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Y:\REAJUSTE\Concessionárias de Distribuição\2022\08 - D53 - EPB\Estrutura\"/>
    </mc:Choice>
  </mc:AlternateContent>
  <xr:revisionPtr revIDLastSave="0" documentId="13_ncr:1_{0A64523D-51DC-4B9A-9F92-6E3FA0EEB747}" xr6:coauthVersionLast="47" xr6:coauthVersionMax="47" xr10:uidLastSave="{00000000-0000-0000-0000-000000000000}"/>
  <bookViews>
    <workbookView xWindow="-120" yWindow="-120" windowWidth="29040" windowHeight="15840" firstSheet="19" activeTab="29" xr2:uid="{DAE0A27E-0BF5-45DF-BC2D-155B9C94AC54}"/>
  </bookViews>
  <sheets>
    <sheet name="Mercado_Receita" sheetId="1" r:id="rId1"/>
    <sheet name="EVENTOS" sheetId="2" r:id="rId2"/>
    <sheet name="TAR FIN" sheetId="50" r:id="rId3"/>
    <sheet name="MERCADO TUSD" sheetId="3" r:id="rId4"/>
    <sheet name="MERCADO TE" sheetId="4" r:id="rId5"/>
    <sheet name="CUSTOS" sheetId="5" r:id="rId6"/>
    <sheet name="TRANSICAO" sheetId="49" r:id="rId7"/>
    <sheet name="TR TUSD" sheetId="41" r:id="rId8"/>
    <sheet name="TUSD BE" sheetId="42" r:id="rId9"/>
    <sheet name="TUSD BF" sheetId="43" r:id="rId10"/>
    <sheet name="TUSD CVA" sheetId="44" r:id="rId11"/>
    <sheet name="TR TE" sheetId="45" r:id="rId12"/>
    <sheet name="TE BE" sheetId="46" r:id="rId13"/>
    <sheet name="TE BF" sheetId="47" r:id="rId14"/>
    <sheet name="TE CVA" sheetId="48" r:id="rId15"/>
    <sheet name="EFEITO" sheetId="51" r:id="rId16"/>
    <sheet name="SUBSIDIO" sheetId="52" r:id="rId17"/>
    <sheet name="TabDinEfeito" sheetId="53" r:id="rId18"/>
    <sheet name="TabDinSubsidio" sheetId="54" r:id="rId19"/>
    <sheet name="TABELAS REH" sheetId="62" r:id="rId20"/>
    <sheet name="CONSISTENCIA" sheetId="55" r:id="rId21"/>
    <sheet name="TUSD" sheetId="57" r:id="rId22"/>
    <sheet name="TE" sheetId="58" r:id="rId23"/>
    <sheet name="RESUMO TUSD" sheetId="59" r:id="rId24"/>
    <sheet name="RESUMO TE" sheetId="60" r:id="rId25"/>
    <sheet name="Descontos" sheetId="20" r:id="rId26"/>
    <sheet name="ERD" sheetId="61" r:id="rId27"/>
    <sheet name="TA - Aplicação" sheetId="63" r:id="rId28"/>
    <sheet name="TA - BE" sheetId="64" r:id="rId29"/>
    <sheet name="TA - CVA" sheetId="65" r:id="rId30"/>
  </sheets>
  <definedNames>
    <definedName name="DadosExternos_1" localSheetId="27" hidden="1">'TA - Aplicação'!$B$3:$AT$68</definedName>
    <definedName name="DadosExternos_1" localSheetId="28" hidden="1">'TA - BE'!$B$3:$AT$68</definedName>
    <definedName name="DadosExternos_1" localSheetId="29" hidden="1">'TA - CVA'!$B$3:$AT$68</definedName>
  </definedNames>
  <calcPr calcId="191029"/>
  <pivotCaches>
    <pivotCache cacheId="4" r:id="rId31"/>
    <pivotCache cacheId="5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62" l="1"/>
  <c r="V32" i="62"/>
  <c r="V31" i="62"/>
  <c r="V30" i="62"/>
  <c r="V29" i="62"/>
  <c r="V28" i="62"/>
  <c r="V27" i="62"/>
  <c r="V26" i="62"/>
  <c r="V21" i="62"/>
  <c r="V16" i="62"/>
  <c r="V25" i="62"/>
  <c r="V20" i="62"/>
  <c r="V15" i="62"/>
  <c r="V24" i="62"/>
  <c r="V23" i="62"/>
  <c r="V22" i="62"/>
  <c r="V19" i="62"/>
  <c r="V18" i="62"/>
  <c r="V17" i="62"/>
  <c r="V14" i="62"/>
  <c r="V13" i="62"/>
  <c r="V12" i="62"/>
  <c r="V11" i="62"/>
  <c r="V9" i="62"/>
  <c r="V10" i="62"/>
  <c r="V8" i="62"/>
  <c r="V7" i="62"/>
  <c r="V6" i="62"/>
  <c r="V5" i="62"/>
  <c r="J19" i="62"/>
  <c r="J18" i="62"/>
  <c r="J14" i="62"/>
  <c r="J13" i="62"/>
  <c r="J6" i="62"/>
  <c r="J5" i="62"/>
  <c r="H12" i="62"/>
  <c r="I3" i="61"/>
  <c r="K3" i="61"/>
  <c r="B2" i="61"/>
  <c r="C2" i="61"/>
  <c r="D2" i="61"/>
  <c r="E2" i="61"/>
  <c r="F2" i="61"/>
  <c r="G2" i="61"/>
  <c r="H2" i="61"/>
  <c r="I2" i="61"/>
  <c r="J2" i="61"/>
  <c r="K2" i="61"/>
  <c r="L2" i="61"/>
  <c r="B11" i="61"/>
  <c r="P11" i="5" l="1"/>
  <c r="P10" i="5"/>
  <c r="P9" i="5"/>
  <c r="R9" i="5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D36" i="5" s="1"/>
  <c r="L5" i="60"/>
  <c r="K5" i="60"/>
  <c r="J5" i="60"/>
  <c r="I5" i="60"/>
  <c r="H5" i="60"/>
  <c r="G5" i="60"/>
  <c r="F5" i="60"/>
  <c r="E5" i="60"/>
  <c r="D5" i="60"/>
  <c r="C5" i="60"/>
  <c r="B5" i="60"/>
  <c r="I2" i="60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F5" i="59"/>
  <c r="E5" i="59"/>
  <c r="D5" i="59"/>
  <c r="C5" i="59"/>
  <c r="B5" i="59"/>
  <c r="I2" i="59"/>
  <c r="AB22" i="57"/>
  <c r="AB21" i="57"/>
  <c r="AB20" i="57"/>
  <c r="AB19" i="57"/>
  <c r="AB18" i="57"/>
  <c r="AB17" i="57"/>
  <c r="AB11" i="57"/>
  <c r="AB10" i="57"/>
  <c r="AB9" i="57"/>
  <c r="AE13" i="55"/>
  <c r="AD13" i="55"/>
  <c r="AC13" i="55"/>
  <c r="AB13" i="55"/>
  <c r="AA13" i="55"/>
  <c r="W13" i="55"/>
  <c r="V13" i="55"/>
  <c r="U13" i="55"/>
  <c r="T13" i="55"/>
  <c r="S13" i="55"/>
  <c r="Y13" i="55" s="1"/>
  <c r="AG13" i="55" s="1"/>
  <c r="R13" i="55"/>
  <c r="X13" i="55" s="1"/>
  <c r="AF13" i="55" s="1"/>
  <c r="AE12" i="55"/>
  <c r="AD12" i="55"/>
  <c r="AE8" i="55"/>
  <c r="AD8" i="55"/>
  <c r="AC8" i="55"/>
  <c r="AB8" i="55"/>
  <c r="AA8" i="55"/>
  <c r="W8" i="55"/>
  <c r="V8" i="55"/>
  <c r="U8" i="55"/>
  <c r="T8" i="55"/>
  <c r="S8" i="55"/>
  <c r="R8" i="55"/>
  <c r="X8" i="55" s="1"/>
  <c r="AF8" i="55" s="1"/>
  <c r="AE6" i="55"/>
  <c r="AD6" i="55"/>
  <c r="AC6" i="55"/>
  <c r="AB6" i="55"/>
  <c r="AA6" i="55"/>
  <c r="X6" i="55"/>
  <c r="AF6" i="55" s="1"/>
  <c r="W6" i="55"/>
  <c r="AJ6" i="55" s="1"/>
  <c r="V6" i="55"/>
  <c r="U6" i="55"/>
  <c r="AI6" i="55" s="1"/>
  <c r="T6" i="55"/>
  <c r="S6" i="55"/>
  <c r="Y6" i="55" s="1"/>
  <c r="AG6" i="55" s="1"/>
  <c r="R6" i="55"/>
  <c r="AE4" i="55"/>
  <c r="AD4" i="55"/>
  <c r="AC4" i="55"/>
  <c r="AB4" i="55"/>
  <c r="AA4" i="55"/>
  <c r="Y4" i="55"/>
  <c r="AG4" i="55" s="1"/>
  <c r="W4" i="55"/>
  <c r="V4" i="55"/>
  <c r="U4" i="55"/>
  <c r="T4" i="55"/>
  <c r="S4" i="55"/>
  <c r="R4" i="55"/>
  <c r="AE3" i="55"/>
  <c r="AD3" i="55"/>
  <c r="AC3" i="55"/>
  <c r="AB3" i="55"/>
  <c r="AA3" i="55"/>
  <c r="W3" i="55"/>
  <c r="V3" i="55"/>
  <c r="U3" i="55"/>
  <c r="T3" i="55"/>
  <c r="S3" i="55"/>
  <c r="R3" i="55"/>
  <c r="X3" i="55" s="1"/>
  <c r="AF3" i="55" s="1"/>
  <c r="J2188" i="55"/>
  <c r="J2187" i="55"/>
  <c r="M2187" i="55" s="1"/>
  <c r="J2186" i="55"/>
  <c r="J2185" i="55"/>
  <c r="M2185" i="55" s="1"/>
  <c r="J2184" i="55"/>
  <c r="J2183" i="55"/>
  <c r="J2182" i="55"/>
  <c r="M2182" i="55" s="1"/>
  <c r="J2181" i="55"/>
  <c r="M2181" i="55" s="1"/>
  <c r="J2180" i="55"/>
  <c r="J2179" i="55"/>
  <c r="J2178" i="55"/>
  <c r="J2177" i="55"/>
  <c r="M2177" i="55" s="1"/>
  <c r="J2176" i="55"/>
  <c r="J1429" i="55"/>
  <c r="J1428" i="55"/>
  <c r="J1427" i="55"/>
  <c r="J1426" i="55"/>
  <c r="J1425" i="55"/>
  <c r="J1424" i="55"/>
  <c r="J1423" i="55"/>
  <c r="J1422" i="55"/>
  <c r="J1421" i="55"/>
  <c r="J1420" i="55"/>
  <c r="J1419" i="55"/>
  <c r="J1418" i="55"/>
  <c r="L1417" i="55"/>
  <c r="K1417" i="55"/>
  <c r="L1416" i="55"/>
  <c r="K1416" i="55"/>
  <c r="L1415" i="55"/>
  <c r="K1415" i="55"/>
  <c r="L1414" i="55"/>
  <c r="K1414" i="55"/>
  <c r="L1413" i="55"/>
  <c r="K1413" i="55"/>
  <c r="L1412" i="55"/>
  <c r="K1412" i="55"/>
  <c r="L1411" i="55"/>
  <c r="K1411" i="55"/>
  <c r="L1410" i="55"/>
  <c r="K1410" i="55"/>
  <c r="L1409" i="55"/>
  <c r="K1409" i="55"/>
  <c r="L1408" i="55"/>
  <c r="K1408" i="55"/>
  <c r="L1407" i="55"/>
  <c r="K1407" i="55"/>
  <c r="L1406" i="55"/>
  <c r="K1406" i="55"/>
  <c r="J1405" i="55"/>
  <c r="J1404" i="55"/>
  <c r="J1403" i="55"/>
  <c r="J1402" i="55"/>
  <c r="J1401" i="55"/>
  <c r="J1400" i="55"/>
  <c r="J1399" i="55"/>
  <c r="J1398" i="55"/>
  <c r="J1397" i="55"/>
  <c r="J1396" i="55"/>
  <c r="J1395" i="55"/>
  <c r="J1394" i="55"/>
  <c r="J1393" i="55"/>
  <c r="J1392" i="55"/>
  <c r="J1391" i="55"/>
  <c r="J1390" i="55"/>
  <c r="J1389" i="55"/>
  <c r="J1388" i="55"/>
  <c r="J1387" i="55"/>
  <c r="J1386" i="55"/>
  <c r="J1385" i="55"/>
  <c r="J1384" i="55"/>
  <c r="J1383" i="55"/>
  <c r="J1382" i="55"/>
  <c r="J1381" i="55"/>
  <c r="J1380" i="55"/>
  <c r="J1379" i="55"/>
  <c r="J1378" i="55"/>
  <c r="J1377" i="55"/>
  <c r="J1376" i="55"/>
  <c r="J1375" i="55"/>
  <c r="J1374" i="55"/>
  <c r="J1373" i="55"/>
  <c r="J1372" i="55"/>
  <c r="J1371" i="55"/>
  <c r="J1370" i="55"/>
  <c r="J1369" i="55"/>
  <c r="J1368" i="55"/>
  <c r="J1367" i="55"/>
  <c r="J1366" i="55"/>
  <c r="L1365" i="55"/>
  <c r="K1365" i="55"/>
  <c r="L1364" i="55"/>
  <c r="K1364" i="55"/>
  <c r="L1363" i="55"/>
  <c r="K1363" i="55"/>
  <c r="L1362" i="55"/>
  <c r="K1362" i="55"/>
  <c r="L1361" i="55"/>
  <c r="K1361" i="55"/>
  <c r="L1360" i="55"/>
  <c r="K1360" i="55"/>
  <c r="L1359" i="55"/>
  <c r="K1359" i="55"/>
  <c r="L1358" i="55"/>
  <c r="K1358" i="55"/>
  <c r="L1357" i="55"/>
  <c r="K1357" i="55"/>
  <c r="L1356" i="55"/>
  <c r="K1356" i="55"/>
  <c r="L1355" i="55"/>
  <c r="K1355" i="55"/>
  <c r="L1354" i="55"/>
  <c r="K1354" i="55"/>
  <c r="L1353" i="55"/>
  <c r="K1353" i="55"/>
  <c r="L1352" i="55"/>
  <c r="K1352" i="55"/>
  <c r="L1351" i="55"/>
  <c r="K1351" i="55"/>
  <c r="L1350" i="55"/>
  <c r="K1350" i="55"/>
  <c r="L1349" i="55"/>
  <c r="K1349" i="55"/>
  <c r="L1348" i="55"/>
  <c r="K1348" i="55"/>
  <c r="L1347" i="55"/>
  <c r="K1347" i="55"/>
  <c r="L1346" i="55"/>
  <c r="K1346" i="55"/>
  <c r="L1345" i="55"/>
  <c r="K1345" i="55"/>
  <c r="L1344" i="55"/>
  <c r="K1344" i="55"/>
  <c r="L1343" i="55"/>
  <c r="K1343" i="55"/>
  <c r="L1342" i="55"/>
  <c r="K1342" i="55"/>
  <c r="L1341" i="55"/>
  <c r="K1341" i="55"/>
  <c r="L1340" i="55"/>
  <c r="K1340" i="55"/>
  <c r="L1339" i="55"/>
  <c r="K1339" i="55"/>
  <c r="L1338" i="55"/>
  <c r="K1338" i="55"/>
  <c r="L1337" i="55"/>
  <c r="K1337" i="55"/>
  <c r="L1336" i="55"/>
  <c r="K1336" i="55"/>
  <c r="L1335" i="55"/>
  <c r="K1335" i="55"/>
  <c r="L1334" i="55"/>
  <c r="K1334" i="55"/>
  <c r="L1333" i="55"/>
  <c r="K1333" i="55"/>
  <c r="L1332" i="55"/>
  <c r="K1332" i="55"/>
  <c r="J1331" i="55"/>
  <c r="J1330" i="55"/>
  <c r="J1329" i="55"/>
  <c r="J1328" i="55"/>
  <c r="J1327" i="55"/>
  <c r="J1326" i="55"/>
  <c r="J1325" i="55"/>
  <c r="J1324" i="55"/>
  <c r="J1323" i="55"/>
  <c r="J1322" i="55"/>
  <c r="J1321" i="55"/>
  <c r="J1320" i="55"/>
  <c r="J1319" i="55"/>
  <c r="J1318" i="55"/>
  <c r="J1317" i="55"/>
  <c r="J1316" i="55"/>
  <c r="J1315" i="55"/>
  <c r="J1314" i="55"/>
  <c r="J1313" i="55"/>
  <c r="J1312" i="55"/>
  <c r="J1311" i="55"/>
  <c r="J1310" i="55"/>
  <c r="J1309" i="55"/>
  <c r="J1308" i="55"/>
  <c r="J1307" i="55"/>
  <c r="J1306" i="55"/>
  <c r="J1305" i="55"/>
  <c r="J1304" i="55"/>
  <c r="J1303" i="55"/>
  <c r="J1302" i="55"/>
  <c r="J1301" i="55"/>
  <c r="J1300" i="55"/>
  <c r="J1299" i="55"/>
  <c r="J1298" i="55"/>
  <c r="J1297" i="55"/>
  <c r="J1296" i="55"/>
  <c r="J1295" i="55"/>
  <c r="J1294" i="55"/>
  <c r="J1293" i="55"/>
  <c r="J1292" i="55"/>
  <c r="J1291" i="55"/>
  <c r="J1290" i="55"/>
  <c r="J1289" i="55"/>
  <c r="J1288" i="55"/>
  <c r="J1287" i="55"/>
  <c r="J1286" i="55"/>
  <c r="J1285" i="55"/>
  <c r="J1284" i="55"/>
  <c r="J1283" i="55"/>
  <c r="J1282" i="55"/>
  <c r="J1281" i="55"/>
  <c r="J1280" i="55"/>
  <c r="J1279" i="55"/>
  <c r="J1278" i="55"/>
  <c r="J1277" i="55"/>
  <c r="J1276" i="55"/>
  <c r="L1275" i="55"/>
  <c r="K1275" i="55"/>
  <c r="L1274" i="55"/>
  <c r="K1274" i="55"/>
  <c r="L1273" i="55"/>
  <c r="K1273" i="55"/>
  <c r="L1272" i="55"/>
  <c r="K1272" i="55"/>
  <c r="L1271" i="55"/>
  <c r="K1271" i="55"/>
  <c r="L1270" i="55"/>
  <c r="K1270" i="55"/>
  <c r="L1269" i="55"/>
  <c r="K1269" i="55"/>
  <c r="L1268" i="55"/>
  <c r="K1268" i="55"/>
  <c r="L1267" i="55"/>
  <c r="K1267" i="55"/>
  <c r="L1266" i="55"/>
  <c r="K1266" i="55"/>
  <c r="L1265" i="55"/>
  <c r="K1265" i="55"/>
  <c r="L1264" i="55"/>
  <c r="K1264" i="55"/>
  <c r="L1263" i="55"/>
  <c r="K1263" i="55"/>
  <c r="L1262" i="55"/>
  <c r="K1262" i="55"/>
  <c r="L1261" i="55"/>
  <c r="K1261" i="55"/>
  <c r="L1260" i="55"/>
  <c r="K1260" i="55"/>
  <c r="L1259" i="55"/>
  <c r="K1259" i="55"/>
  <c r="L1258" i="55"/>
  <c r="K1258" i="55"/>
  <c r="L1257" i="55"/>
  <c r="K1257" i="55"/>
  <c r="L1256" i="55"/>
  <c r="K1256" i="55"/>
  <c r="L1255" i="55"/>
  <c r="K1255" i="55"/>
  <c r="L1254" i="55"/>
  <c r="K1254" i="55"/>
  <c r="L1253" i="55"/>
  <c r="K1253" i="55"/>
  <c r="L1252" i="55"/>
  <c r="K1252" i="55"/>
  <c r="L1251" i="55"/>
  <c r="K1251" i="55"/>
  <c r="L1250" i="55"/>
  <c r="K1250" i="55"/>
  <c r="L1249" i="55"/>
  <c r="K1249" i="55"/>
  <c r="L1248" i="55"/>
  <c r="K1248" i="55"/>
  <c r="L1247" i="55"/>
  <c r="K1247" i="55"/>
  <c r="L1246" i="55"/>
  <c r="K1246" i="55"/>
  <c r="L1245" i="55"/>
  <c r="K1245" i="55"/>
  <c r="L1244" i="55"/>
  <c r="K1244" i="55"/>
  <c r="L1243" i="55"/>
  <c r="K1243" i="55"/>
  <c r="L1242" i="55"/>
  <c r="K1242" i="55"/>
  <c r="L1241" i="55"/>
  <c r="K1241" i="55"/>
  <c r="L1240" i="55"/>
  <c r="K1240" i="55"/>
  <c r="J1239" i="55"/>
  <c r="J1238" i="55"/>
  <c r="J1237" i="55"/>
  <c r="J1236" i="55"/>
  <c r="J1235" i="55"/>
  <c r="J1234" i="55"/>
  <c r="J1233" i="55"/>
  <c r="J1232" i="55"/>
  <c r="J1231" i="55"/>
  <c r="J1230" i="55"/>
  <c r="J1229" i="55"/>
  <c r="J1228" i="55"/>
  <c r="J1227" i="55"/>
  <c r="J1226" i="55"/>
  <c r="J1225" i="55"/>
  <c r="J1224" i="55"/>
  <c r="J1223" i="55"/>
  <c r="J1222" i="55"/>
  <c r="J1221" i="55"/>
  <c r="J1220" i="55"/>
  <c r="J1219" i="55"/>
  <c r="J1218" i="55"/>
  <c r="J1217" i="55"/>
  <c r="J1216" i="55"/>
  <c r="J1215" i="55"/>
  <c r="J1214" i="55"/>
  <c r="J1213" i="55"/>
  <c r="J1212" i="55"/>
  <c r="J1211" i="55"/>
  <c r="J1210" i="55"/>
  <c r="J1209" i="55"/>
  <c r="J1208" i="55"/>
  <c r="J1207" i="55"/>
  <c r="J1206" i="55"/>
  <c r="J1205" i="55"/>
  <c r="J1204" i="55"/>
  <c r="J1203" i="55"/>
  <c r="J1202" i="55"/>
  <c r="J1201" i="55"/>
  <c r="J1200" i="55"/>
  <c r="J1199" i="55"/>
  <c r="J1198" i="55"/>
  <c r="J1197" i="55"/>
  <c r="J1196" i="55"/>
  <c r="J1195" i="55"/>
  <c r="J1194" i="55"/>
  <c r="J1193" i="55"/>
  <c r="J1192" i="55"/>
  <c r="J1191" i="55"/>
  <c r="J1190" i="55"/>
  <c r="J1189" i="55"/>
  <c r="J1188" i="55"/>
  <c r="J1187" i="55"/>
  <c r="J1186" i="55"/>
  <c r="J1185" i="55"/>
  <c r="J1184" i="55"/>
  <c r="J1183" i="55"/>
  <c r="J1182" i="55"/>
  <c r="J1181" i="55"/>
  <c r="J1180" i="55"/>
  <c r="J1179" i="55"/>
  <c r="J1178" i="55"/>
  <c r="J1177" i="55"/>
  <c r="J1176" i="55"/>
  <c r="J1175" i="55"/>
  <c r="J2216" i="55"/>
  <c r="M2216" i="55" s="1"/>
  <c r="J2215" i="55"/>
  <c r="M2215" i="55" s="1"/>
  <c r="J2214" i="55"/>
  <c r="M2214" i="55" s="1"/>
  <c r="J2213" i="55"/>
  <c r="M2213" i="55" s="1"/>
  <c r="M2212" i="55"/>
  <c r="J2212" i="55"/>
  <c r="J2211" i="55"/>
  <c r="M2211" i="55" s="1"/>
  <c r="J2210" i="55"/>
  <c r="M2210" i="55" s="1"/>
  <c r="J2209" i="55"/>
  <c r="M2209" i="55" s="1"/>
  <c r="J2208" i="55"/>
  <c r="M2208" i="55" s="1"/>
  <c r="J2207" i="55"/>
  <c r="M2207" i="55" s="1"/>
  <c r="J2206" i="55"/>
  <c r="M2206" i="55" s="1"/>
  <c r="J2205" i="55"/>
  <c r="M2205" i="55" s="1"/>
  <c r="J2204" i="55"/>
  <c r="M2204" i="55" s="1"/>
  <c r="J2203" i="55"/>
  <c r="M2203" i="55" s="1"/>
  <c r="J2202" i="55"/>
  <c r="M2202" i="55" s="1"/>
  <c r="J2201" i="55"/>
  <c r="M2201" i="55" s="1"/>
  <c r="J2200" i="55"/>
  <c r="M2200" i="55" s="1"/>
  <c r="J2199" i="55"/>
  <c r="M2199" i="55" s="1"/>
  <c r="J2198" i="55"/>
  <c r="M2198" i="55" s="1"/>
  <c r="J2197" i="55"/>
  <c r="M2197" i="55" s="1"/>
  <c r="M2196" i="55"/>
  <c r="J2196" i="55"/>
  <c r="J2195" i="55"/>
  <c r="M2195" i="55" s="1"/>
  <c r="J2194" i="55"/>
  <c r="M2194" i="55" s="1"/>
  <c r="J2193" i="55"/>
  <c r="M2193" i="55" s="1"/>
  <c r="J2192" i="55"/>
  <c r="M2192" i="55" s="1"/>
  <c r="J2191" i="55"/>
  <c r="M2191" i="55" s="1"/>
  <c r="J2190" i="55"/>
  <c r="M2190" i="55" s="1"/>
  <c r="J2189" i="55"/>
  <c r="M2189" i="55" s="1"/>
  <c r="M2188" i="55"/>
  <c r="M2186" i="55"/>
  <c r="M2184" i="55"/>
  <c r="M2183" i="55"/>
  <c r="M2180" i="55"/>
  <c r="M2179" i="55"/>
  <c r="M2178" i="55"/>
  <c r="M2176" i="55"/>
  <c r="J2175" i="55"/>
  <c r="M2175" i="55" s="1"/>
  <c r="J2174" i="55"/>
  <c r="M2174" i="55" s="1"/>
  <c r="J2173" i="55"/>
  <c r="M2173" i="55" s="1"/>
  <c r="J2172" i="55"/>
  <c r="M2172" i="55" s="1"/>
  <c r="M2171" i="55"/>
  <c r="J2171" i="55"/>
  <c r="M2170" i="55"/>
  <c r="J2170" i="55"/>
  <c r="M2169" i="55"/>
  <c r="J2169" i="55"/>
  <c r="J2168" i="55"/>
  <c r="M2168" i="55" s="1"/>
  <c r="J2167" i="55"/>
  <c r="M2167" i="55" s="1"/>
  <c r="M2166" i="55"/>
  <c r="J2166" i="55"/>
  <c r="J2165" i="55"/>
  <c r="M2165" i="55" s="1"/>
  <c r="J2164" i="55"/>
  <c r="M2164" i="55" s="1"/>
  <c r="M2163" i="55"/>
  <c r="J2163" i="55"/>
  <c r="M2162" i="55"/>
  <c r="J2162" i="55"/>
  <c r="M2161" i="55"/>
  <c r="J2161" i="55"/>
  <c r="J2160" i="55"/>
  <c r="M2160" i="55" s="1"/>
  <c r="J2159" i="55"/>
  <c r="M2159" i="55" s="1"/>
  <c r="M2158" i="55"/>
  <c r="J2158" i="55"/>
  <c r="J2157" i="55"/>
  <c r="M2157" i="55" s="1"/>
  <c r="J2156" i="55"/>
  <c r="M2156" i="55" s="1"/>
  <c r="J2155" i="55"/>
  <c r="M2155" i="55" s="1"/>
  <c r="M2154" i="55"/>
  <c r="J2154" i="55"/>
  <c r="J2153" i="55"/>
  <c r="M2153" i="55" s="1"/>
  <c r="J2152" i="55"/>
  <c r="M2152" i="55" s="1"/>
  <c r="J2151" i="55"/>
  <c r="M2151" i="55" s="1"/>
  <c r="M2150" i="55"/>
  <c r="J2150" i="55"/>
  <c r="J2149" i="55"/>
  <c r="M2149" i="55" s="1"/>
  <c r="J2148" i="55"/>
  <c r="M2148" i="55" s="1"/>
  <c r="J2147" i="55"/>
  <c r="M2147" i="55" s="1"/>
  <c r="J2146" i="55"/>
  <c r="M2146" i="55" s="1"/>
  <c r="J2145" i="55"/>
  <c r="M2145" i="55" s="1"/>
  <c r="M2144" i="55"/>
  <c r="J2144" i="55"/>
  <c r="J2143" i="55"/>
  <c r="M2143" i="55" s="1"/>
  <c r="J2142" i="55"/>
  <c r="M2142" i="55" s="1"/>
  <c r="J2141" i="55"/>
  <c r="M2141" i="55" s="1"/>
  <c r="J2140" i="55"/>
  <c r="M2140" i="55" s="1"/>
  <c r="J2139" i="55"/>
  <c r="M2139" i="55" s="1"/>
  <c r="J2138" i="55"/>
  <c r="M2138" i="55" s="1"/>
  <c r="J2137" i="55"/>
  <c r="M2137" i="55" s="1"/>
  <c r="J2136" i="55"/>
  <c r="M2136" i="55" s="1"/>
  <c r="J2135" i="55"/>
  <c r="M2135" i="55" s="1"/>
  <c r="M2134" i="55"/>
  <c r="J2134" i="55"/>
  <c r="J2133" i="55"/>
  <c r="M2133" i="55" s="1"/>
  <c r="J2132" i="55"/>
  <c r="M2132" i="55" s="1"/>
  <c r="J2131" i="55"/>
  <c r="M2131" i="55" s="1"/>
  <c r="J2130" i="55"/>
  <c r="M2130" i="55" s="1"/>
  <c r="J2129" i="55"/>
  <c r="M2129" i="55" s="1"/>
  <c r="J2128" i="55"/>
  <c r="M2128" i="55" s="1"/>
  <c r="J2127" i="55"/>
  <c r="M2127" i="55" s="1"/>
  <c r="M2126" i="55"/>
  <c r="J2126" i="55"/>
  <c r="J2125" i="55"/>
  <c r="M2125" i="55" s="1"/>
  <c r="J2124" i="55"/>
  <c r="M2124" i="55" s="1"/>
  <c r="J2123" i="55"/>
  <c r="M2123" i="55" s="1"/>
  <c r="J2122" i="55"/>
  <c r="M2122" i="55" s="1"/>
  <c r="J2121" i="55"/>
  <c r="M2121" i="55" s="1"/>
  <c r="J2120" i="55"/>
  <c r="M2120" i="55" s="1"/>
  <c r="M2119" i="55"/>
  <c r="J2119" i="55"/>
  <c r="J2118" i="55"/>
  <c r="M2118" i="55" s="1"/>
  <c r="M2117" i="55"/>
  <c r="J2117" i="55"/>
  <c r="J2116" i="55"/>
  <c r="M2116" i="55" s="1"/>
  <c r="J2115" i="55"/>
  <c r="M2115" i="55" s="1"/>
  <c r="J2114" i="55"/>
  <c r="M2114" i="55" s="1"/>
  <c r="M2113" i="55"/>
  <c r="J2113" i="55"/>
  <c r="J2112" i="55"/>
  <c r="M2112" i="55" s="1"/>
  <c r="M2111" i="55"/>
  <c r="J2111" i="55"/>
  <c r="J2110" i="55"/>
  <c r="M2110" i="55" s="1"/>
  <c r="J2109" i="55"/>
  <c r="M2109" i="55" s="1"/>
  <c r="J2108" i="55"/>
  <c r="M2108" i="55" s="1"/>
  <c r="J2107" i="55"/>
  <c r="M2107" i="55" s="1"/>
  <c r="J2106" i="55"/>
  <c r="M2106" i="55" s="1"/>
  <c r="M2105" i="55"/>
  <c r="J2105" i="55"/>
  <c r="J2104" i="55"/>
  <c r="M2104" i="55" s="1"/>
  <c r="J2103" i="55"/>
  <c r="M2103" i="55" s="1"/>
  <c r="J2102" i="55"/>
  <c r="M2102" i="55" s="1"/>
  <c r="J2101" i="55"/>
  <c r="M2101" i="55" s="1"/>
  <c r="J2100" i="55"/>
  <c r="M2100" i="55" s="1"/>
  <c r="J2099" i="55"/>
  <c r="M2099" i="55" s="1"/>
  <c r="J2098" i="55"/>
  <c r="M2098" i="55" s="1"/>
  <c r="M2097" i="55"/>
  <c r="J2097" i="55"/>
  <c r="J2096" i="55"/>
  <c r="M2096" i="55" s="1"/>
  <c r="J2095" i="55"/>
  <c r="M2095" i="55" s="1"/>
  <c r="J2094" i="55"/>
  <c r="M2094" i="55" s="1"/>
  <c r="M2093" i="55"/>
  <c r="J2093" i="55"/>
  <c r="J2092" i="55"/>
  <c r="M2092" i="55" s="1"/>
  <c r="J2091" i="55"/>
  <c r="M2091" i="55" s="1"/>
  <c r="J2090" i="55"/>
  <c r="M2090" i="55" s="1"/>
  <c r="M2089" i="55"/>
  <c r="J2089" i="55"/>
  <c r="J2088" i="55"/>
  <c r="M2088" i="55" s="1"/>
  <c r="M2087" i="55"/>
  <c r="J2087" i="55"/>
  <c r="J2086" i="55"/>
  <c r="M2086" i="55" s="1"/>
  <c r="J2085" i="55"/>
  <c r="M2085" i="55" s="1"/>
  <c r="J2084" i="55"/>
  <c r="M2084" i="55" s="1"/>
  <c r="J2083" i="55"/>
  <c r="M2083" i="55" s="1"/>
  <c r="J2082" i="55"/>
  <c r="M2082" i="55" s="1"/>
  <c r="M2081" i="55"/>
  <c r="J2081" i="55"/>
  <c r="J2080" i="55"/>
  <c r="M2080" i="55" s="1"/>
  <c r="J2079" i="55"/>
  <c r="M2079" i="55" s="1"/>
  <c r="J2078" i="55"/>
  <c r="M2078" i="55" s="1"/>
  <c r="M2077" i="55"/>
  <c r="J2077" i="55"/>
  <c r="J2076" i="55"/>
  <c r="M2076" i="55" s="1"/>
  <c r="J2075" i="55"/>
  <c r="M2075" i="55" s="1"/>
  <c r="J2074" i="55"/>
  <c r="M2074" i="55" s="1"/>
  <c r="M2073" i="55"/>
  <c r="J2073" i="55"/>
  <c r="J2072" i="55"/>
  <c r="M2072" i="55" s="1"/>
  <c r="M2071" i="55"/>
  <c r="J2071" i="55"/>
  <c r="J2070" i="55"/>
  <c r="M2070" i="55" s="1"/>
  <c r="J2069" i="55"/>
  <c r="M2069" i="55" s="1"/>
  <c r="J2068" i="55"/>
  <c r="M2068" i="55" s="1"/>
  <c r="J2067" i="55"/>
  <c r="M2067" i="55" s="1"/>
  <c r="J2066" i="55"/>
  <c r="M2066" i="55" s="1"/>
  <c r="M2065" i="55"/>
  <c r="J2065" i="55"/>
  <c r="J2064" i="55"/>
  <c r="M2064" i="55" s="1"/>
  <c r="J2063" i="55"/>
  <c r="M2063" i="55" s="1"/>
  <c r="J2062" i="55"/>
  <c r="M2062" i="55" s="1"/>
  <c r="M2061" i="55"/>
  <c r="J2061" i="55"/>
  <c r="J2060" i="55"/>
  <c r="M2060" i="55" s="1"/>
  <c r="J2059" i="55"/>
  <c r="M2059" i="55" s="1"/>
  <c r="J2058" i="55"/>
  <c r="M2058" i="55" s="1"/>
  <c r="M2057" i="55"/>
  <c r="J2057" i="55"/>
  <c r="J2056" i="55"/>
  <c r="M2056" i="55" s="1"/>
  <c r="M2055" i="55"/>
  <c r="J2055" i="55"/>
  <c r="J2054" i="55"/>
  <c r="M2054" i="55" s="1"/>
  <c r="M2053" i="55"/>
  <c r="J2053" i="55"/>
  <c r="J2052" i="55"/>
  <c r="M2052" i="55" s="1"/>
  <c r="J2051" i="55"/>
  <c r="M2051" i="55" s="1"/>
  <c r="J2050" i="55"/>
  <c r="M2050" i="55" s="1"/>
  <c r="M2049" i="55"/>
  <c r="J2049" i="55"/>
  <c r="J2048" i="55"/>
  <c r="M2048" i="55" s="1"/>
  <c r="M2047" i="55"/>
  <c r="J2047" i="55"/>
  <c r="J2046" i="55"/>
  <c r="M2046" i="55" s="1"/>
  <c r="M2045" i="55"/>
  <c r="J2045" i="55"/>
  <c r="J2044" i="55"/>
  <c r="M2044" i="55" s="1"/>
  <c r="J2043" i="55"/>
  <c r="M2043" i="55" s="1"/>
  <c r="J2042" i="55"/>
  <c r="M2042" i="55" s="1"/>
  <c r="M2041" i="55"/>
  <c r="J2041" i="55"/>
  <c r="J2040" i="55"/>
  <c r="M2040" i="55" s="1"/>
  <c r="M2039" i="55"/>
  <c r="J2039" i="55"/>
  <c r="J2038" i="55"/>
  <c r="M2038" i="55" s="1"/>
  <c r="J2037" i="55"/>
  <c r="M2037" i="55" s="1"/>
  <c r="J2036" i="55"/>
  <c r="M2036" i="55" s="1"/>
  <c r="J2035" i="55"/>
  <c r="M2035" i="55" s="1"/>
  <c r="J2034" i="55"/>
  <c r="M2034" i="55" s="1"/>
  <c r="J2033" i="55"/>
  <c r="M2033" i="55" s="1"/>
  <c r="J2032" i="55"/>
  <c r="M2032" i="55" s="1"/>
  <c r="J2031" i="55"/>
  <c r="M2031" i="55" s="1"/>
  <c r="J2030" i="55"/>
  <c r="M2030" i="55" s="1"/>
  <c r="M2029" i="55"/>
  <c r="J2029" i="55"/>
  <c r="J2028" i="55"/>
  <c r="M2028" i="55" s="1"/>
  <c r="J2027" i="55"/>
  <c r="M2027" i="55" s="1"/>
  <c r="J2026" i="55"/>
  <c r="M2026" i="55" s="1"/>
  <c r="M2025" i="55"/>
  <c r="J2025" i="55"/>
  <c r="J2024" i="55"/>
  <c r="M2024" i="55" s="1"/>
  <c r="J2023" i="55"/>
  <c r="M2023" i="55" s="1"/>
  <c r="J2022" i="55"/>
  <c r="M2022" i="55" s="1"/>
  <c r="M2021" i="55"/>
  <c r="J2021" i="55"/>
  <c r="J2020" i="55"/>
  <c r="M2020" i="55" s="1"/>
  <c r="M2019" i="55"/>
  <c r="J2019" i="55"/>
  <c r="J2018" i="55"/>
  <c r="M2018" i="55" s="1"/>
  <c r="M2017" i="55"/>
  <c r="J2017" i="55"/>
  <c r="J2016" i="55"/>
  <c r="M2016" i="55" s="1"/>
  <c r="J2015" i="55"/>
  <c r="M2015" i="55" s="1"/>
  <c r="J2014" i="55"/>
  <c r="M2014" i="55" s="1"/>
  <c r="M2013" i="55"/>
  <c r="J2013" i="55"/>
  <c r="J2012" i="55"/>
  <c r="M2012" i="55" s="1"/>
  <c r="M2011" i="55"/>
  <c r="J2011" i="55"/>
  <c r="J2010" i="55"/>
  <c r="M2010" i="55" s="1"/>
  <c r="M2009" i="55"/>
  <c r="J2009" i="55"/>
  <c r="J2008" i="55"/>
  <c r="M2008" i="55" s="1"/>
  <c r="J2007" i="55"/>
  <c r="M2007" i="55" s="1"/>
  <c r="J2006" i="55"/>
  <c r="M2006" i="55" s="1"/>
  <c r="J2005" i="55"/>
  <c r="M2005" i="55" s="1"/>
  <c r="J2004" i="55"/>
  <c r="M2004" i="55" s="1"/>
  <c r="J2003" i="55"/>
  <c r="M2003" i="55" s="1"/>
  <c r="M2002" i="55"/>
  <c r="J2002" i="55"/>
  <c r="J2001" i="55"/>
  <c r="M2001" i="55" s="1"/>
  <c r="J2000" i="55"/>
  <c r="M2000" i="55" s="1"/>
  <c r="J1999" i="55"/>
  <c r="M1999" i="55" s="1"/>
  <c r="J1998" i="55"/>
  <c r="M1998" i="55" s="1"/>
  <c r="J1997" i="55"/>
  <c r="M1997" i="55" s="1"/>
  <c r="M1996" i="55"/>
  <c r="J1996" i="55"/>
  <c r="J1995" i="55"/>
  <c r="M1995" i="55" s="1"/>
  <c r="J1994" i="55"/>
  <c r="M1994" i="55" s="1"/>
  <c r="J1993" i="55"/>
  <c r="M1993" i="55" s="1"/>
  <c r="M1992" i="55"/>
  <c r="J1992" i="55"/>
  <c r="J1991" i="55"/>
  <c r="M1991" i="55" s="1"/>
  <c r="J1990" i="55"/>
  <c r="M1990" i="55" s="1"/>
  <c r="J1989" i="55"/>
  <c r="M1989" i="55" s="1"/>
  <c r="M1988" i="55"/>
  <c r="J1988" i="55"/>
  <c r="J1987" i="55"/>
  <c r="M1987" i="55" s="1"/>
  <c r="M1986" i="55"/>
  <c r="J1986" i="55"/>
  <c r="J1985" i="55"/>
  <c r="M1985" i="55" s="1"/>
  <c r="M1984" i="55"/>
  <c r="J1984" i="55"/>
  <c r="J1983" i="55"/>
  <c r="M1983" i="55" s="1"/>
  <c r="J1982" i="55"/>
  <c r="M1982" i="55" s="1"/>
  <c r="J1981" i="55"/>
  <c r="M1981" i="55" s="1"/>
  <c r="M1980" i="55"/>
  <c r="J1980" i="55"/>
  <c r="J1979" i="55"/>
  <c r="M1979" i="55" s="1"/>
  <c r="M1978" i="55"/>
  <c r="J1978" i="55"/>
  <c r="J1977" i="55"/>
  <c r="M1977" i="55" s="1"/>
  <c r="M1976" i="55"/>
  <c r="J1976" i="55"/>
  <c r="J1975" i="55"/>
  <c r="M1975" i="55" s="1"/>
  <c r="J1974" i="55"/>
  <c r="M1974" i="55" s="1"/>
  <c r="J1973" i="55"/>
  <c r="M1973" i="55" s="1"/>
  <c r="M1972" i="55"/>
  <c r="J1972" i="55"/>
  <c r="J1971" i="55"/>
  <c r="M1971" i="55" s="1"/>
  <c r="M1970" i="55"/>
  <c r="J1970" i="55"/>
  <c r="J1969" i="55"/>
  <c r="M1969" i="55" s="1"/>
  <c r="J1968" i="55"/>
  <c r="M1968" i="55" s="1"/>
  <c r="J1967" i="55"/>
  <c r="M1967" i="55" s="1"/>
  <c r="J1966" i="55"/>
  <c r="M1966" i="55" s="1"/>
  <c r="J1965" i="55"/>
  <c r="M1965" i="55" s="1"/>
  <c r="M1964" i="55"/>
  <c r="J1964" i="55"/>
  <c r="J1963" i="55"/>
  <c r="M1963" i="55" s="1"/>
  <c r="J1962" i="55"/>
  <c r="M1962" i="55" s="1"/>
  <c r="J1961" i="55"/>
  <c r="M1961" i="55" s="1"/>
  <c r="M1960" i="55"/>
  <c r="J1960" i="55"/>
  <c r="J1959" i="55"/>
  <c r="M1959" i="55" s="1"/>
  <c r="J1958" i="55"/>
  <c r="M1958" i="55" s="1"/>
  <c r="J1957" i="55"/>
  <c r="M1957" i="55" s="1"/>
  <c r="M1956" i="55"/>
  <c r="J1956" i="55"/>
  <c r="J1955" i="55"/>
  <c r="M1955" i="55" s="1"/>
  <c r="M1954" i="55"/>
  <c r="J1954" i="55"/>
  <c r="J1953" i="55"/>
  <c r="M1953" i="55" s="1"/>
  <c r="M1952" i="55"/>
  <c r="J1952" i="55"/>
  <c r="J1951" i="55"/>
  <c r="M1951" i="55" s="1"/>
  <c r="J1950" i="55"/>
  <c r="M1950" i="55" s="1"/>
  <c r="J1949" i="55"/>
  <c r="M1949" i="55" s="1"/>
  <c r="M1948" i="55"/>
  <c r="J1948" i="55"/>
  <c r="J1947" i="55"/>
  <c r="M1947" i="55" s="1"/>
  <c r="M1946" i="55"/>
  <c r="J1946" i="55"/>
  <c r="J1945" i="55"/>
  <c r="M1945" i="55" s="1"/>
  <c r="M1944" i="55"/>
  <c r="J1944" i="55"/>
  <c r="J1943" i="55"/>
  <c r="M1943" i="55" s="1"/>
  <c r="J1942" i="55"/>
  <c r="M1942" i="55" s="1"/>
  <c r="J1941" i="55"/>
  <c r="M1941" i="55" s="1"/>
  <c r="M1940" i="55"/>
  <c r="J1940" i="55"/>
  <c r="J1939" i="55"/>
  <c r="M1939" i="55" s="1"/>
  <c r="M1938" i="55"/>
  <c r="J1938" i="55"/>
  <c r="J1937" i="55"/>
  <c r="M1937" i="55" s="1"/>
  <c r="J1936" i="55"/>
  <c r="M1936" i="55" s="1"/>
  <c r="J1935" i="55"/>
  <c r="M1935" i="55" s="1"/>
  <c r="J1934" i="55"/>
  <c r="M1934" i="55" s="1"/>
  <c r="J1933" i="55"/>
  <c r="M1933" i="55" s="1"/>
  <c r="M1932" i="55"/>
  <c r="J1932" i="55"/>
  <c r="J1931" i="55"/>
  <c r="M1931" i="55" s="1"/>
  <c r="J1930" i="55"/>
  <c r="M1930" i="55" s="1"/>
  <c r="J1929" i="55"/>
  <c r="M1929" i="55" s="1"/>
  <c r="M1928" i="55"/>
  <c r="J1928" i="55"/>
  <c r="J1927" i="55"/>
  <c r="M1927" i="55" s="1"/>
  <c r="J1926" i="55"/>
  <c r="M1926" i="55" s="1"/>
  <c r="J1925" i="55"/>
  <c r="M1925" i="55" s="1"/>
  <c r="M1924" i="55"/>
  <c r="J1924" i="55"/>
  <c r="J1923" i="55"/>
  <c r="M1923" i="55" s="1"/>
  <c r="M1922" i="55"/>
  <c r="J1922" i="55"/>
  <c r="J1921" i="55"/>
  <c r="M1921" i="55" s="1"/>
  <c r="M1920" i="55"/>
  <c r="J1920" i="55"/>
  <c r="J1919" i="55"/>
  <c r="M1919" i="55" s="1"/>
  <c r="J1918" i="55"/>
  <c r="M1918" i="55" s="1"/>
  <c r="J1917" i="55"/>
  <c r="M1917" i="55" s="1"/>
  <c r="M1916" i="55"/>
  <c r="J1916" i="55"/>
  <c r="J1915" i="55"/>
  <c r="M1915" i="55" s="1"/>
  <c r="M1914" i="55"/>
  <c r="J1914" i="55"/>
  <c r="J1913" i="55"/>
  <c r="M1913" i="55" s="1"/>
  <c r="M1912" i="55"/>
  <c r="J1912" i="55"/>
  <c r="J1911" i="55"/>
  <c r="M1911" i="55" s="1"/>
  <c r="J1910" i="55"/>
  <c r="M1910" i="55" s="1"/>
  <c r="J1909" i="55"/>
  <c r="M1909" i="55" s="1"/>
  <c r="M1908" i="55"/>
  <c r="J1908" i="55"/>
  <c r="J1907" i="55"/>
  <c r="M1907" i="55" s="1"/>
  <c r="M1906" i="55"/>
  <c r="J1906" i="55"/>
  <c r="J1905" i="55"/>
  <c r="M1905" i="55" s="1"/>
  <c r="J1904" i="55"/>
  <c r="M1904" i="55" s="1"/>
  <c r="J1903" i="55"/>
  <c r="M1903" i="55" s="1"/>
  <c r="J1902" i="55"/>
  <c r="M1902" i="55" s="1"/>
  <c r="J1901" i="55"/>
  <c r="M1900" i="55"/>
  <c r="J1900" i="55"/>
  <c r="J1899" i="55"/>
  <c r="M1899" i="55" s="1"/>
  <c r="J1898" i="55"/>
  <c r="M1898" i="55" s="1"/>
  <c r="J1897" i="55"/>
  <c r="M1897" i="55" s="1"/>
  <c r="M1896" i="55"/>
  <c r="J1896" i="55"/>
  <c r="J1895" i="55"/>
  <c r="M1895" i="55" s="1"/>
  <c r="J1894" i="55"/>
  <c r="M1894" i="55" s="1"/>
  <c r="J1893" i="55"/>
  <c r="M1893" i="55" s="1"/>
  <c r="M1892" i="55"/>
  <c r="J1892" i="55"/>
  <c r="J1891" i="55"/>
  <c r="M1891" i="55" s="1"/>
  <c r="M1890" i="55"/>
  <c r="J1890" i="55"/>
  <c r="J1889" i="55"/>
  <c r="M1889" i="55" s="1"/>
  <c r="M1888" i="55"/>
  <c r="J1888" i="55"/>
  <c r="J1887" i="55"/>
  <c r="M1887" i="55" s="1"/>
  <c r="J1886" i="55"/>
  <c r="M1886" i="55" s="1"/>
  <c r="J1885" i="55"/>
  <c r="M1885" i="55" s="1"/>
  <c r="J1884" i="55"/>
  <c r="M1884" i="55" s="1"/>
  <c r="J1883" i="55"/>
  <c r="M1883" i="55" s="1"/>
  <c r="J1882" i="55"/>
  <c r="M1882" i="55" s="1"/>
  <c r="J1881" i="55"/>
  <c r="M1881" i="55" s="1"/>
  <c r="J1880" i="55"/>
  <c r="M1880" i="55" s="1"/>
  <c r="J1879" i="55"/>
  <c r="M1879" i="55" s="1"/>
  <c r="J1878" i="55"/>
  <c r="M1878" i="55" s="1"/>
  <c r="J1877" i="55"/>
  <c r="M1877" i="55" s="1"/>
  <c r="J1876" i="55"/>
  <c r="M1876" i="55" s="1"/>
  <c r="J1875" i="55"/>
  <c r="M1875" i="55" s="1"/>
  <c r="J1874" i="55"/>
  <c r="M1874" i="55" s="1"/>
  <c r="J1873" i="55"/>
  <c r="M1873" i="55" s="1"/>
  <c r="J1872" i="55"/>
  <c r="M1872" i="55" s="1"/>
  <c r="J1871" i="55"/>
  <c r="M1871" i="55" s="1"/>
  <c r="J1870" i="55"/>
  <c r="M1870" i="55" s="1"/>
  <c r="J1869" i="55"/>
  <c r="M1869" i="55" s="1"/>
  <c r="J1868" i="55"/>
  <c r="M1868" i="55" s="1"/>
  <c r="J1867" i="55"/>
  <c r="M1867" i="55" s="1"/>
  <c r="J1866" i="55"/>
  <c r="M1866" i="55" s="1"/>
  <c r="J1865" i="55"/>
  <c r="M1865" i="55" s="1"/>
  <c r="J1864" i="55"/>
  <c r="M1864" i="55" s="1"/>
  <c r="J1863" i="55"/>
  <c r="M1863" i="55" s="1"/>
  <c r="J1862" i="55"/>
  <c r="M1862" i="55" s="1"/>
  <c r="J1861" i="55"/>
  <c r="M1861" i="55" s="1"/>
  <c r="J1860" i="55"/>
  <c r="M1860" i="55" s="1"/>
  <c r="J1859" i="55"/>
  <c r="M1859" i="55" s="1"/>
  <c r="J1858" i="55"/>
  <c r="M1858" i="55" s="1"/>
  <c r="J1857" i="55"/>
  <c r="M1857" i="55" s="1"/>
  <c r="J1856" i="55"/>
  <c r="M1856" i="55" s="1"/>
  <c r="J1855" i="55"/>
  <c r="M1855" i="55" s="1"/>
  <c r="J1854" i="55"/>
  <c r="M1854" i="55" s="1"/>
  <c r="J1853" i="55"/>
  <c r="M1853" i="55" s="1"/>
  <c r="J1852" i="55"/>
  <c r="M1852" i="55" s="1"/>
  <c r="J1851" i="55"/>
  <c r="M1851" i="55" s="1"/>
  <c r="J1850" i="55"/>
  <c r="M1850" i="55" s="1"/>
  <c r="J1849" i="55"/>
  <c r="M1849" i="55" s="1"/>
  <c r="J1848" i="55"/>
  <c r="M1848" i="55" s="1"/>
  <c r="J1847" i="55"/>
  <c r="M1847" i="55" s="1"/>
  <c r="J1846" i="55"/>
  <c r="M1846" i="55" s="1"/>
  <c r="J1845" i="55"/>
  <c r="M1845" i="55" s="1"/>
  <c r="J1844" i="55"/>
  <c r="M1844" i="55" s="1"/>
  <c r="J1843" i="55"/>
  <c r="M1843" i="55" s="1"/>
  <c r="J1842" i="55"/>
  <c r="M1842" i="55" s="1"/>
  <c r="J1841" i="55"/>
  <c r="M1841" i="55" s="1"/>
  <c r="J1840" i="55"/>
  <c r="M1840" i="55" s="1"/>
  <c r="J1839" i="55"/>
  <c r="M1839" i="55" s="1"/>
  <c r="J1838" i="55"/>
  <c r="M1838" i="55" s="1"/>
  <c r="J1837" i="55"/>
  <c r="M1837" i="55" s="1"/>
  <c r="J1836" i="55"/>
  <c r="M1836" i="55" s="1"/>
  <c r="J1835" i="55"/>
  <c r="M1835" i="55" s="1"/>
  <c r="J1834" i="55"/>
  <c r="M1834" i="55" s="1"/>
  <c r="J1833" i="55"/>
  <c r="M1833" i="55" s="1"/>
  <c r="J1832" i="55"/>
  <c r="M1832" i="55" s="1"/>
  <c r="J1831" i="55"/>
  <c r="M1831" i="55" s="1"/>
  <c r="J1830" i="55"/>
  <c r="M1830" i="55" s="1"/>
  <c r="J1829" i="55"/>
  <c r="M1829" i="55" s="1"/>
  <c r="J1828" i="55"/>
  <c r="M1828" i="55" s="1"/>
  <c r="J1827" i="55"/>
  <c r="M1827" i="55" s="1"/>
  <c r="J1826" i="55"/>
  <c r="M1826" i="55" s="1"/>
  <c r="J1825" i="55"/>
  <c r="M1825" i="55" s="1"/>
  <c r="J1824" i="55"/>
  <c r="M1824" i="55" s="1"/>
  <c r="J1823" i="55"/>
  <c r="M1823" i="55" s="1"/>
  <c r="J1822" i="55"/>
  <c r="M1822" i="55" s="1"/>
  <c r="J1821" i="55"/>
  <c r="M1821" i="55" s="1"/>
  <c r="J1820" i="55"/>
  <c r="M1820" i="55" s="1"/>
  <c r="J1819" i="55"/>
  <c r="M1819" i="55" s="1"/>
  <c r="J1818" i="55"/>
  <c r="M1818" i="55" s="1"/>
  <c r="J1817" i="55"/>
  <c r="M1817" i="55" s="1"/>
  <c r="J1816" i="55"/>
  <c r="M1816" i="55" s="1"/>
  <c r="J1815" i="55"/>
  <c r="M1815" i="55" s="1"/>
  <c r="J1814" i="55"/>
  <c r="M1814" i="55" s="1"/>
  <c r="J1813" i="55"/>
  <c r="M1813" i="55" s="1"/>
  <c r="J1812" i="55"/>
  <c r="M1812" i="55" s="1"/>
  <c r="J1811" i="55"/>
  <c r="M1811" i="55" s="1"/>
  <c r="J1810" i="55"/>
  <c r="M1810" i="55" s="1"/>
  <c r="J1809" i="55"/>
  <c r="M1809" i="55" s="1"/>
  <c r="J1808" i="55"/>
  <c r="M1808" i="55" s="1"/>
  <c r="J1807" i="55"/>
  <c r="M1807" i="55" s="1"/>
  <c r="J1806" i="55"/>
  <c r="M1806" i="55" s="1"/>
  <c r="J1805" i="55"/>
  <c r="M1805" i="55" s="1"/>
  <c r="J1804" i="55"/>
  <c r="M1804" i="55" s="1"/>
  <c r="J1803" i="55"/>
  <c r="M1803" i="55" s="1"/>
  <c r="J1802" i="55"/>
  <c r="M1802" i="55" s="1"/>
  <c r="J1801" i="55"/>
  <c r="M1801" i="55" s="1"/>
  <c r="J1800" i="55"/>
  <c r="M1800" i="55" s="1"/>
  <c r="J1799" i="55"/>
  <c r="M1799" i="55" s="1"/>
  <c r="J1798" i="55"/>
  <c r="M1798" i="55" s="1"/>
  <c r="J1797" i="55"/>
  <c r="M1797" i="55" s="1"/>
  <c r="J1796" i="55"/>
  <c r="M1796" i="55" s="1"/>
  <c r="J1795" i="55"/>
  <c r="M1795" i="55" s="1"/>
  <c r="J1794" i="55"/>
  <c r="M1794" i="55" s="1"/>
  <c r="J1793" i="55"/>
  <c r="M1793" i="55" s="1"/>
  <c r="J1792" i="55"/>
  <c r="M1792" i="55" s="1"/>
  <c r="J1791" i="55"/>
  <c r="M1791" i="55" s="1"/>
  <c r="J1790" i="55"/>
  <c r="M1790" i="55" s="1"/>
  <c r="J1789" i="55"/>
  <c r="M1789" i="55" s="1"/>
  <c r="J1788" i="55"/>
  <c r="M1788" i="55" s="1"/>
  <c r="J1787" i="55"/>
  <c r="M1787" i="55" s="1"/>
  <c r="J1786" i="55"/>
  <c r="M1786" i="55" s="1"/>
  <c r="J1785" i="55"/>
  <c r="M1785" i="55" s="1"/>
  <c r="J1784" i="55"/>
  <c r="M1784" i="55" s="1"/>
  <c r="J1783" i="55"/>
  <c r="M1783" i="55" s="1"/>
  <c r="J1782" i="55"/>
  <c r="M1782" i="55" s="1"/>
  <c r="J1781" i="55"/>
  <c r="M1781" i="55" s="1"/>
  <c r="J1780" i="55"/>
  <c r="M1780" i="55" s="1"/>
  <c r="J1779" i="55"/>
  <c r="M1779" i="55" s="1"/>
  <c r="J1778" i="55"/>
  <c r="M1778" i="55" s="1"/>
  <c r="J1777" i="55"/>
  <c r="M1777" i="55" s="1"/>
  <c r="J1776" i="55"/>
  <c r="M1776" i="55" s="1"/>
  <c r="J1775" i="55"/>
  <c r="M1775" i="55" s="1"/>
  <c r="J1774" i="55"/>
  <c r="M1774" i="55" s="1"/>
  <c r="J1773" i="55"/>
  <c r="M1773" i="55" s="1"/>
  <c r="J1772" i="55"/>
  <c r="M1772" i="55" s="1"/>
  <c r="J1771" i="55"/>
  <c r="M1771" i="55" s="1"/>
  <c r="J1770" i="55"/>
  <c r="M1770" i="55" s="1"/>
  <c r="J1769" i="55"/>
  <c r="M1769" i="55" s="1"/>
  <c r="J1768" i="55"/>
  <c r="M1768" i="55" s="1"/>
  <c r="J1767" i="55"/>
  <c r="M1767" i="55" s="1"/>
  <c r="J1766" i="55"/>
  <c r="M1766" i="55" s="1"/>
  <c r="J1765" i="55"/>
  <c r="M1765" i="55" s="1"/>
  <c r="J1764" i="55"/>
  <c r="M1764" i="55" s="1"/>
  <c r="J1763" i="55"/>
  <c r="M1763" i="55" s="1"/>
  <c r="J1762" i="55"/>
  <c r="M1762" i="55" s="1"/>
  <c r="J1761" i="55"/>
  <c r="M1761" i="55" s="1"/>
  <c r="J1760" i="55"/>
  <c r="M1760" i="55" s="1"/>
  <c r="J1759" i="55"/>
  <c r="M1759" i="55" s="1"/>
  <c r="J1716" i="55"/>
  <c r="M1716" i="55" s="1"/>
  <c r="J1715" i="55"/>
  <c r="M1715" i="55" s="1"/>
  <c r="J1714" i="55"/>
  <c r="M1714" i="55" s="1"/>
  <c r="J1713" i="55"/>
  <c r="M1713" i="55" s="1"/>
  <c r="J1712" i="55"/>
  <c r="M1712" i="55" s="1"/>
  <c r="J1711" i="55"/>
  <c r="M1711" i="55" s="1"/>
  <c r="J1710" i="55"/>
  <c r="M1710" i="55" s="1"/>
  <c r="J1709" i="55"/>
  <c r="M1709" i="55" s="1"/>
  <c r="J1708" i="55"/>
  <c r="M1708" i="55" s="1"/>
  <c r="J1707" i="55"/>
  <c r="M1707" i="55" s="1"/>
  <c r="J1706" i="55"/>
  <c r="M1706" i="55" s="1"/>
  <c r="J1705" i="55"/>
  <c r="M1705" i="55" s="1"/>
  <c r="J1704" i="55"/>
  <c r="M1704" i="55" s="1"/>
  <c r="J1703" i="55"/>
  <c r="M1703" i="55" s="1"/>
  <c r="J1702" i="55"/>
  <c r="M1702" i="55" s="1"/>
  <c r="J1701" i="55"/>
  <c r="M1701" i="55" s="1"/>
  <c r="J1700" i="55"/>
  <c r="M1700" i="55" s="1"/>
  <c r="J1699" i="55"/>
  <c r="M1699" i="55" s="1"/>
  <c r="J1698" i="55"/>
  <c r="M1698" i="55" s="1"/>
  <c r="J1697" i="55"/>
  <c r="M1697" i="55" s="1"/>
  <c r="J1696" i="55"/>
  <c r="M1696" i="55" s="1"/>
  <c r="J1695" i="55"/>
  <c r="M1695" i="55" s="1"/>
  <c r="J1694" i="55"/>
  <c r="M1694" i="55" s="1"/>
  <c r="J1693" i="55"/>
  <c r="M1693" i="55" s="1"/>
  <c r="J1692" i="55"/>
  <c r="M1692" i="55" s="1"/>
  <c r="J1691" i="55"/>
  <c r="M1691" i="55" s="1"/>
  <c r="J1690" i="55"/>
  <c r="M1690" i="55" s="1"/>
  <c r="J1689" i="55"/>
  <c r="M1689" i="55" s="1"/>
  <c r="J1688" i="55"/>
  <c r="M1688" i="55" s="1"/>
  <c r="J1687" i="55"/>
  <c r="M1687" i="55" s="1"/>
  <c r="J1686" i="55"/>
  <c r="M1686" i="55" s="1"/>
  <c r="J1685" i="55"/>
  <c r="M1685" i="55" s="1"/>
  <c r="J1684" i="55"/>
  <c r="M1684" i="55" s="1"/>
  <c r="J1683" i="55"/>
  <c r="M1683" i="55" s="1"/>
  <c r="J1682" i="55"/>
  <c r="M1682" i="55" s="1"/>
  <c r="J1681" i="55"/>
  <c r="M1681" i="55" s="1"/>
  <c r="J1680" i="55"/>
  <c r="M1680" i="55" s="1"/>
  <c r="J1679" i="55"/>
  <c r="M1679" i="55" s="1"/>
  <c r="J1678" i="55"/>
  <c r="M1678" i="55" s="1"/>
  <c r="J1677" i="55"/>
  <c r="M1677" i="55" s="1"/>
  <c r="J1676" i="55"/>
  <c r="M1676" i="55" s="1"/>
  <c r="J1675" i="55"/>
  <c r="M1675" i="55" s="1"/>
  <c r="J1674" i="55"/>
  <c r="M1674" i="55" s="1"/>
  <c r="J1673" i="55"/>
  <c r="M1673" i="55" s="1"/>
  <c r="J1672" i="55"/>
  <c r="M1672" i="55" s="1"/>
  <c r="J1671" i="55"/>
  <c r="M1671" i="55" s="1"/>
  <c r="J1670" i="55"/>
  <c r="M1670" i="55" s="1"/>
  <c r="J1669" i="55"/>
  <c r="M1669" i="55" s="1"/>
  <c r="J1668" i="55"/>
  <c r="M1668" i="55" s="1"/>
  <c r="J1667" i="55"/>
  <c r="M1667" i="55" s="1"/>
  <c r="J1666" i="55"/>
  <c r="M1666" i="55" s="1"/>
  <c r="J1665" i="55"/>
  <c r="M1665" i="55" s="1"/>
  <c r="J1664" i="55"/>
  <c r="M1664" i="55" s="1"/>
  <c r="J1663" i="55"/>
  <c r="M1663" i="55" s="1"/>
  <c r="J1662" i="55"/>
  <c r="M1662" i="55" s="1"/>
  <c r="J1661" i="55"/>
  <c r="M1661" i="55" s="1"/>
  <c r="J1660" i="55"/>
  <c r="M1660" i="55" s="1"/>
  <c r="J1659" i="55"/>
  <c r="M1659" i="55" s="1"/>
  <c r="J1658" i="55"/>
  <c r="M1658" i="55" s="1"/>
  <c r="J1657" i="55"/>
  <c r="M1657" i="55" s="1"/>
  <c r="J1656" i="55"/>
  <c r="M1656" i="55" s="1"/>
  <c r="J1655" i="55"/>
  <c r="M1655" i="55" s="1"/>
  <c r="J1654" i="55"/>
  <c r="M1654" i="55" s="1"/>
  <c r="J1653" i="55"/>
  <c r="M1653" i="55" s="1"/>
  <c r="J1652" i="55"/>
  <c r="M1652" i="55" s="1"/>
  <c r="M1651" i="55"/>
  <c r="J1651" i="55"/>
  <c r="J1650" i="55"/>
  <c r="M1650" i="55" s="1"/>
  <c r="M1649" i="55"/>
  <c r="J1649" i="55"/>
  <c r="J1648" i="55"/>
  <c r="M1648" i="55" s="1"/>
  <c r="M1647" i="55"/>
  <c r="J1647" i="55"/>
  <c r="J1646" i="55"/>
  <c r="M1646" i="55" s="1"/>
  <c r="J1645" i="55"/>
  <c r="M1645" i="55" s="1"/>
  <c r="J1644" i="55"/>
  <c r="M1644" i="55" s="1"/>
  <c r="M1643" i="55"/>
  <c r="J1643" i="55"/>
  <c r="J1642" i="55"/>
  <c r="M1642" i="55" s="1"/>
  <c r="M1641" i="55"/>
  <c r="J1641" i="55"/>
  <c r="J1640" i="55"/>
  <c r="M1640" i="55" s="1"/>
  <c r="M1639" i="55"/>
  <c r="J1639" i="55"/>
  <c r="J1638" i="55"/>
  <c r="M1638" i="55" s="1"/>
  <c r="J1637" i="55"/>
  <c r="M1637" i="55" s="1"/>
  <c r="J1636" i="55"/>
  <c r="M1636" i="55" s="1"/>
  <c r="M1635" i="55"/>
  <c r="J1635" i="55"/>
  <c r="J1634" i="55"/>
  <c r="M1634" i="55" s="1"/>
  <c r="M1633" i="55"/>
  <c r="J1633" i="55"/>
  <c r="J1632" i="55"/>
  <c r="M1632" i="55" s="1"/>
  <c r="M1631" i="55"/>
  <c r="J1631" i="55"/>
  <c r="J1630" i="55"/>
  <c r="M1630" i="55" s="1"/>
  <c r="J1629" i="55"/>
  <c r="M1629" i="55" s="1"/>
  <c r="J1628" i="55"/>
  <c r="M1628" i="55" s="1"/>
  <c r="M1627" i="55"/>
  <c r="J1627" i="55"/>
  <c r="J1626" i="55"/>
  <c r="M1626" i="55" s="1"/>
  <c r="M1625" i="55"/>
  <c r="J1625" i="55"/>
  <c r="J1624" i="55"/>
  <c r="M1624" i="55" s="1"/>
  <c r="M1623" i="55"/>
  <c r="J1623" i="55"/>
  <c r="J1622" i="55"/>
  <c r="M1622" i="55" s="1"/>
  <c r="J1621" i="55"/>
  <c r="M1621" i="55" s="1"/>
  <c r="J1620" i="55"/>
  <c r="M1620" i="55" s="1"/>
  <c r="M1619" i="55"/>
  <c r="J1619" i="55"/>
  <c r="J1618" i="55"/>
  <c r="M1618" i="55" s="1"/>
  <c r="M1617" i="55"/>
  <c r="J1617" i="55"/>
  <c r="J1616" i="55"/>
  <c r="M1616" i="55" s="1"/>
  <c r="M1615" i="55"/>
  <c r="J1615" i="55"/>
  <c r="J1614" i="55"/>
  <c r="M1614" i="55" s="1"/>
  <c r="J1613" i="55"/>
  <c r="M1613" i="55" s="1"/>
  <c r="J1612" i="55"/>
  <c r="M1612" i="55" s="1"/>
  <c r="M1611" i="55"/>
  <c r="J1611" i="55"/>
  <c r="J1610" i="55"/>
  <c r="M1610" i="55" s="1"/>
  <c r="M1609" i="55"/>
  <c r="J1609" i="55"/>
  <c r="J1608" i="55"/>
  <c r="M1608" i="55" s="1"/>
  <c r="M1607" i="55"/>
  <c r="J1607" i="55"/>
  <c r="J1606" i="55"/>
  <c r="M1606" i="55" s="1"/>
  <c r="J1605" i="55"/>
  <c r="M1605" i="55" s="1"/>
  <c r="J1604" i="55"/>
  <c r="M1604" i="55" s="1"/>
  <c r="M1603" i="55"/>
  <c r="J1603" i="55"/>
  <c r="J1602" i="55"/>
  <c r="M1602" i="55" s="1"/>
  <c r="M1601" i="55"/>
  <c r="J1601" i="55"/>
  <c r="J1600" i="55"/>
  <c r="M1600" i="55" s="1"/>
  <c r="M1599" i="55"/>
  <c r="J1599" i="55"/>
  <c r="J1598" i="55"/>
  <c r="M1598" i="55" s="1"/>
  <c r="J1597" i="55"/>
  <c r="M1597" i="55" s="1"/>
  <c r="J1596" i="55"/>
  <c r="M1596" i="55" s="1"/>
  <c r="M1595" i="55"/>
  <c r="J1595" i="55"/>
  <c r="J1594" i="55"/>
  <c r="M1594" i="55" s="1"/>
  <c r="M1593" i="55"/>
  <c r="J1593" i="55"/>
  <c r="J1592" i="55"/>
  <c r="M1592" i="55" s="1"/>
  <c r="M1591" i="55"/>
  <c r="J1591" i="55"/>
  <c r="J1590" i="55"/>
  <c r="M1590" i="55" s="1"/>
  <c r="J1589" i="55"/>
  <c r="M1589" i="55" s="1"/>
  <c r="J1588" i="55"/>
  <c r="M1588" i="55" s="1"/>
  <c r="M1587" i="55"/>
  <c r="J1587" i="55"/>
  <c r="J1586" i="55"/>
  <c r="M1586" i="55" s="1"/>
  <c r="M1585" i="55"/>
  <c r="J1585" i="55"/>
  <c r="J1584" i="55"/>
  <c r="M1584" i="55" s="1"/>
  <c r="M1583" i="55"/>
  <c r="J1583" i="55"/>
  <c r="J1582" i="55"/>
  <c r="M1582" i="55" s="1"/>
  <c r="J1581" i="55"/>
  <c r="M1581" i="55" s="1"/>
  <c r="J1580" i="55"/>
  <c r="M1580" i="55" s="1"/>
  <c r="M1579" i="55"/>
  <c r="J1579" i="55"/>
  <c r="J1578" i="55"/>
  <c r="M1578" i="55" s="1"/>
  <c r="M1577" i="55"/>
  <c r="J1577" i="55"/>
  <c r="J1576" i="55"/>
  <c r="M1576" i="55" s="1"/>
  <c r="M1575" i="55"/>
  <c r="J1575" i="55"/>
  <c r="J1574" i="55"/>
  <c r="M1574" i="55" s="1"/>
  <c r="J1573" i="55"/>
  <c r="M1573" i="55" s="1"/>
  <c r="J1572" i="55"/>
  <c r="M1572" i="55" s="1"/>
  <c r="M1571" i="55"/>
  <c r="J1571" i="55"/>
  <c r="J1570" i="55"/>
  <c r="M1570" i="55" s="1"/>
  <c r="M1569" i="55"/>
  <c r="J1569" i="55"/>
  <c r="J1568" i="55"/>
  <c r="M1568" i="55" s="1"/>
  <c r="J1567" i="55"/>
  <c r="M1567" i="55" s="1"/>
  <c r="M1566" i="55"/>
  <c r="J1566" i="55"/>
  <c r="J1565" i="55"/>
  <c r="M1565" i="55" s="1"/>
  <c r="M1564" i="55"/>
  <c r="J1564" i="55"/>
  <c r="J1563" i="55"/>
  <c r="M1563" i="55" s="1"/>
  <c r="J1562" i="55"/>
  <c r="M1562" i="55" s="1"/>
  <c r="J1561" i="55"/>
  <c r="M1561" i="55" s="1"/>
  <c r="J1560" i="55"/>
  <c r="M1560" i="55" s="1"/>
  <c r="J1559" i="55"/>
  <c r="M1559" i="55" s="1"/>
  <c r="M1558" i="55"/>
  <c r="J1558" i="55"/>
  <c r="J1557" i="55"/>
  <c r="M1557" i="55" s="1"/>
  <c r="J1556" i="55"/>
  <c r="M1556" i="55" s="1"/>
  <c r="J1555" i="55"/>
  <c r="M1555" i="55" s="1"/>
  <c r="M1554" i="55"/>
  <c r="J1554" i="55"/>
  <c r="J1553" i="55"/>
  <c r="M1553" i="55" s="1"/>
  <c r="M1552" i="55"/>
  <c r="J1552" i="55"/>
  <c r="J1551" i="55"/>
  <c r="M1551" i="55" s="1"/>
  <c r="M1550" i="55"/>
  <c r="J1550" i="55"/>
  <c r="J1549" i="55"/>
  <c r="M1549" i="55" s="1"/>
  <c r="J1548" i="55"/>
  <c r="M1548" i="55" s="1"/>
  <c r="J1547" i="55"/>
  <c r="M1547" i="55" s="1"/>
  <c r="M1546" i="55"/>
  <c r="J1546" i="55"/>
  <c r="J1545" i="55"/>
  <c r="M1545" i="55" s="1"/>
  <c r="M1544" i="55"/>
  <c r="J1544" i="55"/>
  <c r="J1543" i="55"/>
  <c r="M1543" i="55" s="1"/>
  <c r="M1542" i="55"/>
  <c r="J1542" i="55"/>
  <c r="J1541" i="55"/>
  <c r="M1541" i="55" s="1"/>
  <c r="J1540" i="55"/>
  <c r="M1540" i="55" s="1"/>
  <c r="J1539" i="55"/>
  <c r="M1539" i="55" s="1"/>
  <c r="M1538" i="55"/>
  <c r="J1538" i="55"/>
  <c r="J1537" i="55"/>
  <c r="M1537" i="55" s="1"/>
  <c r="M1536" i="55"/>
  <c r="J1536" i="55"/>
  <c r="J1535" i="55"/>
  <c r="M1535" i="55" s="1"/>
  <c r="M1534" i="55"/>
  <c r="J1534" i="55"/>
  <c r="J1533" i="55"/>
  <c r="M1533" i="55" s="1"/>
  <c r="J1532" i="55"/>
  <c r="M1532" i="55" s="1"/>
  <c r="J1531" i="55"/>
  <c r="M1531" i="55" s="1"/>
  <c r="M1530" i="55"/>
  <c r="J1530" i="55"/>
  <c r="J1529" i="55"/>
  <c r="M1529" i="55" s="1"/>
  <c r="M1528" i="55"/>
  <c r="J1528" i="55"/>
  <c r="J1527" i="55"/>
  <c r="M1527" i="55" s="1"/>
  <c r="M1526" i="55"/>
  <c r="J1526" i="55"/>
  <c r="J1525" i="55"/>
  <c r="M1525" i="55" s="1"/>
  <c r="J1524" i="55"/>
  <c r="M1524" i="55" s="1"/>
  <c r="J1523" i="55"/>
  <c r="M1523" i="55" s="1"/>
  <c r="M1522" i="55"/>
  <c r="J1522" i="55"/>
  <c r="J1521" i="55"/>
  <c r="M1521" i="55" s="1"/>
  <c r="M1520" i="55"/>
  <c r="J1520" i="55"/>
  <c r="J1519" i="55"/>
  <c r="M1519" i="55" s="1"/>
  <c r="M1518" i="55"/>
  <c r="J1518" i="55"/>
  <c r="J1517" i="55"/>
  <c r="M1517" i="55" s="1"/>
  <c r="J1516" i="55"/>
  <c r="M1516" i="55" s="1"/>
  <c r="J1515" i="55"/>
  <c r="M1515" i="55" s="1"/>
  <c r="M1514" i="55"/>
  <c r="J1514" i="55"/>
  <c r="J1513" i="55"/>
  <c r="M1513" i="55" s="1"/>
  <c r="M1512" i="55"/>
  <c r="J1512" i="55"/>
  <c r="J1511" i="55"/>
  <c r="M1511" i="55" s="1"/>
  <c r="M1510" i="55"/>
  <c r="J1510" i="55"/>
  <c r="J1509" i="55"/>
  <c r="M1509" i="55" s="1"/>
  <c r="J1508" i="55"/>
  <c r="M1508" i="55" s="1"/>
  <c r="J1507" i="55"/>
  <c r="M1507" i="55" s="1"/>
  <c r="M1506" i="55"/>
  <c r="J1506" i="55"/>
  <c r="J1505" i="55"/>
  <c r="M1505" i="55" s="1"/>
  <c r="M1504" i="55"/>
  <c r="J1504" i="55"/>
  <c r="J1503" i="55"/>
  <c r="M1503" i="55" s="1"/>
  <c r="M1502" i="55"/>
  <c r="J1502" i="55"/>
  <c r="J1501" i="55"/>
  <c r="M1501" i="55" s="1"/>
  <c r="J1500" i="55"/>
  <c r="M1500" i="55" s="1"/>
  <c r="J1499" i="55"/>
  <c r="M1499" i="55" s="1"/>
  <c r="M1498" i="55"/>
  <c r="J1498" i="55"/>
  <c r="J1497" i="55"/>
  <c r="M1497" i="55" s="1"/>
  <c r="M1496" i="55"/>
  <c r="J1496" i="55"/>
  <c r="J1495" i="55"/>
  <c r="M1495" i="55" s="1"/>
  <c r="M1494" i="55"/>
  <c r="J1494" i="55"/>
  <c r="J1493" i="55"/>
  <c r="M1493" i="55" s="1"/>
  <c r="J1492" i="55"/>
  <c r="M1492" i="55" s="1"/>
  <c r="J1491" i="55"/>
  <c r="M1491" i="55" s="1"/>
  <c r="M1490" i="55"/>
  <c r="J1490" i="55"/>
  <c r="J1489" i="55"/>
  <c r="M1489" i="55" s="1"/>
  <c r="M1488" i="55"/>
  <c r="J1488" i="55"/>
  <c r="J1487" i="55"/>
  <c r="M1487" i="55" s="1"/>
  <c r="M1486" i="55"/>
  <c r="J1486" i="55"/>
  <c r="J1485" i="55"/>
  <c r="M1485" i="55" s="1"/>
  <c r="J1484" i="55"/>
  <c r="M1484" i="55" s="1"/>
  <c r="J1483" i="55"/>
  <c r="M1483" i="55" s="1"/>
  <c r="M1482" i="55"/>
  <c r="J1482" i="55"/>
  <c r="J1481" i="55"/>
  <c r="M1481" i="55" s="1"/>
  <c r="M1480" i="55"/>
  <c r="J1480" i="55"/>
  <c r="J1479" i="55"/>
  <c r="M1479" i="55" s="1"/>
  <c r="M1478" i="55"/>
  <c r="J1478" i="55"/>
  <c r="J1477" i="55"/>
  <c r="M1477" i="55" s="1"/>
  <c r="J1476" i="55"/>
  <c r="M1476" i="55" s="1"/>
  <c r="J1475" i="55"/>
  <c r="M1475" i="55" s="1"/>
  <c r="M1474" i="55"/>
  <c r="J1474" i="55"/>
  <c r="J1473" i="55"/>
  <c r="M1473" i="55" s="1"/>
  <c r="M1472" i="55"/>
  <c r="J1472" i="55"/>
  <c r="J1471" i="55"/>
  <c r="M1471" i="55" s="1"/>
  <c r="M1470" i="55"/>
  <c r="J1470" i="55"/>
  <c r="J1469" i="55"/>
  <c r="M1469" i="55" s="1"/>
  <c r="J1468" i="55"/>
  <c r="M1468" i="55" s="1"/>
  <c r="J1467" i="55"/>
  <c r="M1467" i="55" s="1"/>
  <c r="M1466" i="55"/>
  <c r="J1466" i="55"/>
  <c r="J1465" i="55"/>
  <c r="M1465" i="55" s="1"/>
  <c r="M1464" i="55"/>
  <c r="J1464" i="55"/>
  <c r="J1463" i="55"/>
  <c r="M1463" i="55" s="1"/>
  <c r="M1462" i="55"/>
  <c r="J1462" i="55"/>
  <c r="J1461" i="55"/>
  <c r="M1461" i="55" s="1"/>
  <c r="J1460" i="55"/>
  <c r="M1460" i="55" s="1"/>
  <c r="J1459" i="55"/>
  <c r="M1459" i="55" s="1"/>
  <c r="M1458" i="55"/>
  <c r="J1458" i="55"/>
  <c r="J1457" i="55"/>
  <c r="M1457" i="55" s="1"/>
  <c r="M1456" i="55"/>
  <c r="J1456" i="55"/>
  <c r="J1455" i="55"/>
  <c r="M1455" i="55" s="1"/>
  <c r="M1454" i="55"/>
  <c r="J1454" i="55"/>
  <c r="J1453" i="55"/>
  <c r="M1453" i="55" s="1"/>
  <c r="J1452" i="55"/>
  <c r="M1452" i="55" s="1"/>
  <c r="J1451" i="55"/>
  <c r="M1451" i="55" s="1"/>
  <c r="M1450" i="55"/>
  <c r="J1450" i="55"/>
  <c r="M1449" i="55"/>
  <c r="J1449" i="55"/>
  <c r="M1448" i="55"/>
  <c r="J1448" i="55"/>
  <c r="M1447" i="55"/>
  <c r="J1447" i="55"/>
  <c r="M1446" i="55"/>
  <c r="J1446" i="55"/>
  <c r="M1445" i="55"/>
  <c r="J1445" i="55"/>
  <c r="M1444" i="55"/>
  <c r="J1444" i="55"/>
  <c r="M1443" i="55"/>
  <c r="J1443" i="55"/>
  <c r="M1442" i="55"/>
  <c r="J1442" i="55"/>
  <c r="M1441" i="55"/>
  <c r="J1441" i="55"/>
  <c r="M1440" i="55"/>
  <c r="J1440" i="55"/>
  <c r="M1439" i="55"/>
  <c r="J1439" i="55"/>
  <c r="M1438" i="55"/>
  <c r="J1438" i="55"/>
  <c r="M1437" i="55"/>
  <c r="J1437" i="55"/>
  <c r="M1436" i="55"/>
  <c r="J1436" i="55"/>
  <c r="M1435" i="55"/>
  <c r="J1435" i="55"/>
  <c r="M1434" i="55"/>
  <c r="J1434" i="55"/>
  <c r="M1433" i="55"/>
  <c r="J1433" i="55"/>
  <c r="M1432" i="55"/>
  <c r="J1432" i="55"/>
  <c r="M1431" i="55"/>
  <c r="J1431" i="55"/>
  <c r="M1430" i="55"/>
  <c r="J1430" i="55"/>
  <c r="M1429" i="55"/>
  <c r="M1428" i="55"/>
  <c r="M1427" i="55"/>
  <c r="M1426" i="55"/>
  <c r="M1425" i="55"/>
  <c r="M1424" i="55"/>
  <c r="M1423" i="55"/>
  <c r="M1422" i="55"/>
  <c r="M1421" i="55"/>
  <c r="M1420" i="55"/>
  <c r="M1419" i="55"/>
  <c r="M1418" i="55"/>
  <c r="O1417" i="55"/>
  <c r="N1417" i="55"/>
  <c r="O1416" i="55"/>
  <c r="N1416" i="55"/>
  <c r="O1415" i="55"/>
  <c r="N1415" i="55"/>
  <c r="O1414" i="55"/>
  <c r="N1414" i="55"/>
  <c r="O1413" i="55"/>
  <c r="N1413" i="55"/>
  <c r="O1412" i="55"/>
  <c r="N1412" i="55"/>
  <c r="O1411" i="55"/>
  <c r="N1411" i="55"/>
  <c r="O1410" i="55"/>
  <c r="N1410" i="55"/>
  <c r="O1409" i="55"/>
  <c r="N1409" i="55"/>
  <c r="O1408" i="55"/>
  <c r="N1408" i="55"/>
  <c r="O1407" i="55"/>
  <c r="N1407" i="55"/>
  <c r="O1406" i="55"/>
  <c r="N1406" i="55"/>
  <c r="M1405" i="55"/>
  <c r="M1404" i="55"/>
  <c r="M1403" i="55"/>
  <c r="M1402" i="55"/>
  <c r="M1401" i="55"/>
  <c r="M1400" i="55"/>
  <c r="M1399" i="55"/>
  <c r="M1398" i="55"/>
  <c r="M1397" i="55"/>
  <c r="M1396" i="55"/>
  <c r="M1395" i="55"/>
  <c r="M1394" i="55"/>
  <c r="M1393" i="55"/>
  <c r="M1392" i="55"/>
  <c r="M1391" i="55"/>
  <c r="M1390" i="55"/>
  <c r="M1389" i="55"/>
  <c r="M1388" i="55"/>
  <c r="M1387" i="55"/>
  <c r="M1386" i="55"/>
  <c r="M1385" i="55"/>
  <c r="M1384" i="55"/>
  <c r="M1383" i="55"/>
  <c r="M1382" i="55"/>
  <c r="M1381" i="55"/>
  <c r="M1380" i="55"/>
  <c r="M1379" i="55"/>
  <c r="M1378" i="55"/>
  <c r="M1377" i="55"/>
  <c r="M1376" i="55"/>
  <c r="M1375" i="55"/>
  <c r="M1374" i="55"/>
  <c r="M1373" i="55"/>
  <c r="M1372" i="55"/>
  <c r="M1371" i="55"/>
  <c r="M1370" i="55"/>
  <c r="M1369" i="55"/>
  <c r="M1368" i="55"/>
  <c r="M1367" i="55"/>
  <c r="M1366" i="55"/>
  <c r="O1365" i="55"/>
  <c r="N1365" i="55"/>
  <c r="O1364" i="55"/>
  <c r="N1364" i="55"/>
  <c r="O1363" i="55"/>
  <c r="N1363" i="55"/>
  <c r="O1362" i="55"/>
  <c r="N1362" i="55"/>
  <c r="O1361" i="55"/>
  <c r="N1361" i="55"/>
  <c r="O1360" i="55"/>
  <c r="N1360" i="55"/>
  <c r="O1359" i="55"/>
  <c r="N1359" i="55"/>
  <c r="O1358" i="55"/>
  <c r="N1358" i="55"/>
  <c r="O1357" i="55"/>
  <c r="N1357" i="55"/>
  <c r="O1356" i="55"/>
  <c r="N1356" i="55"/>
  <c r="O1355" i="55"/>
  <c r="N1355" i="55"/>
  <c r="O1354" i="55"/>
  <c r="N1354" i="55"/>
  <c r="O1353" i="55"/>
  <c r="N1353" i="55"/>
  <c r="O1352" i="55"/>
  <c r="N1352" i="55"/>
  <c r="O1351" i="55"/>
  <c r="N1351" i="55"/>
  <c r="O1350" i="55"/>
  <c r="N1350" i="55"/>
  <c r="O1349" i="55"/>
  <c r="N1349" i="55"/>
  <c r="O1348" i="55"/>
  <c r="N1348" i="55"/>
  <c r="O1347" i="55"/>
  <c r="N1347" i="55"/>
  <c r="O1346" i="55"/>
  <c r="N1346" i="55"/>
  <c r="O1345" i="55"/>
  <c r="N1345" i="55"/>
  <c r="O1344" i="55"/>
  <c r="N1344" i="55"/>
  <c r="O1343" i="55"/>
  <c r="N1343" i="55"/>
  <c r="O1342" i="55"/>
  <c r="N1342" i="55"/>
  <c r="O1341" i="55"/>
  <c r="N1341" i="55"/>
  <c r="O1340" i="55"/>
  <c r="N1340" i="55"/>
  <c r="O1339" i="55"/>
  <c r="N1339" i="55"/>
  <c r="O1338" i="55"/>
  <c r="N1338" i="55"/>
  <c r="O1337" i="55"/>
  <c r="N1337" i="55"/>
  <c r="O1336" i="55"/>
  <c r="N1336" i="55"/>
  <c r="O1335" i="55"/>
  <c r="N1335" i="55"/>
  <c r="O1334" i="55"/>
  <c r="N1334" i="55"/>
  <c r="O1333" i="55"/>
  <c r="N1333" i="55"/>
  <c r="O1332" i="55"/>
  <c r="N1332" i="55"/>
  <c r="M1331" i="55"/>
  <c r="M1330" i="55"/>
  <c r="M1329" i="55"/>
  <c r="M1328" i="55"/>
  <c r="M1327" i="55"/>
  <c r="M1326" i="55"/>
  <c r="M1325" i="55"/>
  <c r="M1324" i="55"/>
  <c r="M1323" i="55"/>
  <c r="M1322" i="55"/>
  <c r="M1321" i="55"/>
  <c r="M1320" i="55"/>
  <c r="M1319" i="55"/>
  <c r="M1318" i="55"/>
  <c r="M1317" i="55"/>
  <c r="M1316" i="55"/>
  <c r="M1315" i="55"/>
  <c r="M1314" i="55"/>
  <c r="M1313" i="55"/>
  <c r="M1312" i="55"/>
  <c r="M1311" i="55"/>
  <c r="M1310" i="55"/>
  <c r="M1309" i="55"/>
  <c r="M1308" i="55"/>
  <c r="M1307" i="55"/>
  <c r="M1306" i="55"/>
  <c r="M1305" i="55"/>
  <c r="M1304" i="55"/>
  <c r="M1303" i="55"/>
  <c r="M1302" i="55"/>
  <c r="M1301" i="55"/>
  <c r="M1300" i="55"/>
  <c r="M1299" i="55"/>
  <c r="M1298" i="55"/>
  <c r="M1297" i="55"/>
  <c r="M1296" i="55"/>
  <c r="M1295" i="55"/>
  <c r="M1294" i="55"/>
  <c r="M1293" i="55"/>
  <c r="M1292" i="55"/>
  <c r="M1291" i="55"/>
  <c r="M1290" i="55"/>
  <c r="M1289" i="55"/>
  <c r="M1288" i="55"/>
  <c r="M1287" i="55"/>
  <c r="M1286" i="55"/>
  <c r="M1285" i="55"/>
  <c r="M1284" i="55"/>
  <c r="M1283" i="55"/>
  <c r="M1282" i="55"/>
  <c r="M1281" i="55"/>
  <c r="M1280" i="55"/>
  <c r="M1279" i="55"/>
  <c r="M1278" i="55"/>
  <c r="M1277" i="55"/>
  <c r="M1276" i="55"/>
  <c r="O1275" i="55"/>
  <c r="N1275" i="55"/>
  <c r="O1274" i="55"/>
  <c r="N1274" i="55"/>
  <c r="O1273" i="55"/>
  <c r="N1273" i="55"/>
  <c r="O1272" i="55"/>
  <c r="N1272" i="55"/>
  <c r="O1271" i="55"/>
  <c r="N1271" i="55"/>
  <c r="O1270" i="55"/>
  <c r="N1270" i="55"/>
  <c r="O1269" i="55"/>
  <c r="N1269" i="55"/>
  <c r="O1268" i="55"/>
  <c r="N1268" i="55"/>
  <c r="O1267" i="55"/>
  <c r="N1267" i="55"/>
  <c r="O1266" i="55"/>
  <c r="N1266" i="55"/>
  <c r="O1265" i="55"/>
  <c r="N1265" i="55"/>
  <c r="O1264" i="55"/>
  <c r="N1264" i="55"/>
  <c r="O1263" i="55"/>
  <c r="N1263" i="55"/>
  <c r="O1262" i="55"/>
  <c r="N1262" i="55"/>
  <c r="O1261" i="55"/>
  <c r="N1261" i="55"/>
  <c r="O1260" i="55"/>
  <c r="N1260" i="55"/>
  <c r="O1259" i="55"/>
  <c r="N1259" i="55"/>
  <c r="O1258" i="55"/>
  <c r="N1258" i="55"/>
  <c r="O1257" i="55"/>
  <c r="N1257" i="55"/>
  <c r="O1256" i="55"/>
  <c r="N1256" i="55"/>
  <c r="O1255" i="55"/>
  <c r="N1255" i="55"/>
  <c r="O1254" i="55"/>
  <c r="N1254" i="55"/>
  <c r="O1253" i="55"/>
  <c r="N1253" i="55"/>
  <c r="O1252" i="55"/>
  <c r="N1252" i="55"/>
  <c r="O1251" i="55"/>
  <c r="N1251" i="55"/>
  <c r="O1250" i="55"/>
  <c r="N1250" i="55"/>
  <c r="O1249" i="55"/>
  <c r="N1249" i="55"/>
  <c r="O1248" i="55"/>
  <c r="N1248" i="55"/>
  <c r="O1247" i="55"/>
  <c r="N1247" i="55"/>
  <c r="O1246" i="55"/>
  <c r="N1246" i="55"/>
  <c r="O1245" i="55"/>
  <c r="N1245" i="55"/>
  <c r="O1244" i="55"/>
  <c r="N1244" i="55"/>
  <c r="O1243" i="55"/>
  <c r="N1243" i="55"/>
  <c r="O1242" i="55"/>
  <c r="N1242" i="55"/>
  <c r="O1241" i="55"/>
  <c r="N1241" i="55"/>
  <c r="O1240" i="55"/>
  <c r="N1240" i="55"/>
  <c r="M1239" i="55"/>
  <c r="M1238" i="55"/>
  <c r="M1237" i="55"/>
  <c r="M1236" i="55"/>
  <c r="M1235" i="55"/>
  <c r="M1234" i="55"/>
  <c r="M1233" i="55"/>
  <c r="M1232" i="55"/>
  <c r="M1231" i="55"/>
  <c r="M1230" i="55"/>
  <c r="M1229" i="55"/>
  <c r="M1228" i="55"/>
  <c r="M1227" i="55"/>
  <c r="M1226" i="55"/>
  <c r="M1225" i="55"/>
  <c r="M1224" i="55"/>
  <c r="M1223" i="55"/>
  <c r="M1222" i="55"/>
  <c r="M1221" i="55"/>
  <c r="M1220" i="55"/>
  <c r="M1219" i="55"/>
  <c r="M1218" i="55"/>
  <c r="M1217" i="55"/>
  <c r="M1216" i="55"/>
  <c r="M1215" i="55"/>
  <c r="M1214" i="55"/>
  <c r="M1213" i="55"/>
  <c r="M1212" i="55"/>
  <c r="M1211" i="55"/>
  <c r="M1210" i="55"/>
  <c r="M1209" i="55"/>
  <c r="M1208" i="55"/>
  <c r="M1207" i="55"/>
  <c r="M1206" i="55"/>
  <c r="M1205" i="55"/>
  <c r="M1204" i="55"/>
  <c r="M1203" i="55"/>
  <c r="M1202" i="55"/>
  <c r="M1201" i="55"/>
  <c r="M1200" i="55"/>
  <c r="M1199" i="55"/>
  <c r="M1198" i="55"/>
  <c r="M1197" i="55"/>
  <c r="M1196" i="55"/>
  <c r="M1195" i="55"/>
  <c r="M1194" i="55"/>
  <c r="M1193" i="55"/>
  <c r="M1192" i="55"/>
  <c r="M1191" i="55"/>
  <c r="M1190" i="55"/>
  <c r="M1189" i="55"/>
  <c r="M1188" i="55"/>
  <c r="M1187" i="55"/>
  <c r="M1186" i="55"/>
  <c r="M1185" i="55"/>
  <c r="M1184" i="55"/>
  <c r="M1183" i="55"/>
  <c r="M1182" i="55"/>
  <c r="M1181" i="55"/>
  <c r="M1180" i="55"/>
  <c r="M1179" i="55"/>
  <c r="M1178" i="55"/>
  <c r="M1177" i="55"/>
  <c r="M1176" i="55"/>
  <c r="M1175" i="55"/>
  <c r="J1174" i="55"/>
  <c r="M1174" i="55" s="1"/>
  <c r="J1173" i="55"/>
  <c r="M1173" i="55" s="1"/>
  <c r="J1172" i="55"/>
  <c r="M1172" i="55" s="1"/>
  <c r="J1171" i="55"/>
  <c r="M1171" i="55" s="1"/>
  <c r="J1170" i="55"/>
  <c r="M1170" i="55" s="1"/>
  <c r="J1169" i="55"/>
  <c r="M1169" i="55" s="1"/>
  <c r="J1168" i="55"/>
  <c r="M1168" i="55" s="1"/>
  <c r="J1167" i="55"/>
  <c r="M1167" i="55" s="1"/>
  <c r="J1166" i="55"/>
  <c r="M1166" i="55" s="1"/>
  <c r="J1165" i="55"/>
  <c r="M1165" i="55" s="1"/>
  <c r="M1164" i="55"/>
  <c r="J1164" i="55"/>
  <c r="J1163" i="55"/>
  <c r="M1163" i="55" s="1"/>
  <c r="J1162" i="55"/>
  <c r="M1162" i="55" s="1"/>
  <c r="J1161" i="55"/>
  <c r="M1161" i="55" s="1"/>
  <c r="J1160" i="55"/>
  <c r="M1160" i="55" s="1"/>
  <c r="J1159" i="55"/>
  <c r="M1159" i="55" s="1"/>
  <c r="J1158" i="55"/>
  <c r="M1158" i="55" s="1"/>
  <c r="J1157" i="55"/>
  <c r="M1157" i="55" s="1"/>
  <c r="M1156" i="55"/>
  <c r="J1156" i="55"/>
  <c r="J1155" i="55"/>
  <c r="M1155" i="55" s="1"/>
  <c r="M1154" i="55"/>
  <c r="J1154" i="55"/>
  <c r="J1153" i="55"/>
  <c r="M1153" i="55" s="1"/>
  <c r="J1152" i="55"/>
  <c r="M1152" i="55" s="1"/>
  <c r="J1151" i="55"/>
  <c r="M1151" i="55" s="1"/>
  <c r="J1150" i="55"/>
  <c r="M1150" i="55" s="1"/>
  <c r="J1149" i="55"/>
  <c r="M1149" i="55" s="1"/>
  <c r="M1148" i="55"/>
  <c r="J1148" i="55"/>
  <c r="J1147" i="55"/>
  <c r="M1147" i="55" s="1"/>
  <c r="L1146" i="55"/>
  <c r="O1146" i="55" s="1"/>
  <c r="K1146" i="55"/>
  <c r="N1146" i="55" s="1"/>
  <c r="O1145" i="55"/>
  <c r="L1145" i="55"/>
  <c r="K1145" i="55"/>
  <c r="N1145" i="55" s="1"/>
  <c r="N1144" i="55"/>
  <c r="L1144" i="55"/>
  <c r="O1144" i="55" s="1"/>
  <c r="K1144" i="55"/>
  <c r="O1143" i="55"/>
  <c r="L1143" i="55"/>
  <c r="K1143" i="55"/>
  <c r="N1143" i="55" s="1"/>
  <c r="L1142" i="55"/>
  <c r="O1142" i="55" s="1"/>
  <c r="K1142" i="55"/>
  <c r="N1142" i="55" s="1"/>
  <c r="L1141" i="55"/>
  <c r="O1141" i="55" s="1"/>
  <c r="K1141" i="55"/>
  <c r="N1141" i="55" s="1"/>
  <c r="L1140" i="55"/>
  <c r="O1140" i="55" s="1"/>
  <c r="K1140" i="55"/>
  <c r="N1140" i="55" s="1"/>
  <c r="L1139" i="55"/>
  <c r="O1139" i="55" s="1"/>
  <c r="K1139" i="55"/>
  <c r="N1139" i="55" s="1"/>
  <c r="L1138" i="55"/>
  <c r="O1138" i="55" s="1"/>
  <c r="K1138" i="55"/>
  <c r="N1138" i="55" s="1"/>
  <c r="L1137" i="55"/>
  <c r="O1137" i="55" s="1"/>
  <c r="K1137" i="55"/>
  <c r="N1137" i="55" s="1"/>
  <c r="L1136" i="55"/>
  <c r="O1136" i="55" s="1"/>
  <c r="K1136" i="55"/>
  <c r="N1136" i="55" s="1"/>
  <c r="L1135" i="55"/>
  <c r="O1135" i="55" s="1"/>
  <c r="K1135" i="55"/>
  <c r="N1135" i="55" s="1"/>
  <c r="L1134" i="55"/>
  <c r="O1134" i="55" s="1"/>
  <c r="K1134" i="55"/>
  <c r="N1134" i="55" s="1"/>
  <c r="L1133" i="55"/>
  <c r="O1133" i="55" s="1"/>
  <c r="K1133" i="55"/>
  <c r="N1133" i="55" s="1"/>
  <c r="L1132" i="55"/>
  <c r="O1132" i="55" s="1"/>
  <c r="K1132" i="55"/>
  <c r="N1132" i="55" s="1"/>
  <c r="L1131" i="55"/>
  <c r="O1131" i="55" s="1"/>
  <c r="K1131" i="55"/>
  <c r="N1131" i="55" s="1"/>
  <c r="L1130" i="55"/>
  <c r="O1130" i="55" s="1"/>
  <c r="K1130" i="55"/>
  <c r="N1130" i="55" s="1"/>
  <c r="L1129" i="55"/>
  <c r="O1129" i="55" s="1"/>
  <c r="K1129" i="55"/>
  <c r="N1129" i="55" s="1"/>
  <c r="L1128" i="55"/>
  <c r="O1128" i="55" s="1"/>
  <c r="K1128" i="55"/>
  <c r="N1128" i="55" s="1"/>
  <c r="L1127" i="55"/>
  <c r="O1127" i="55" s="1"/>
  <c r="K1127" i="55"/>
  <c r="N1127" i="55" s="1"/>
  <c r="L1126" i="55"/>
  <c r="O1126" i="55" s="1"/>
  <c r="K1126" i="55"/>
  <c r="N1126" i="55" s="1"/>
  <c r="L1125" i="55"/>
  <c r="O1125" i="55" s="1"/>
  <c r="K1125" i="55"/>
  <c r="N1125" i="55" s="1"/>
  <c r="L1124" i="55"/>
  <c r="O1124" i="55" s="1"/>
  <c r="K1124" i="55"/>
  <c r="N1124" i="55" s="1"/>
  <c r="L1123" i="55"/>
  <c r="O1123" i="55" s="1"/>
  <c r="K1123" i="55"/>
  <c r="N1123" i="55" s="1"/>
  <c r="L1122" i="55"/>
  <c r="O1122" i="55" s="1"/>
  <c r="K1122" i="55"/>
  <c r="N1122" i="55" s="1"/>
  <c r="L1121" i="55"/>
  <c r="O1121" i="55" s="1"/>
  <c r="K1121" i="55"/>
  <c r="N1121" i="55" s="1"/>
  <c r="J1120" i="55"/>
  <c r="M1120" i="55" s="1"/>
  <c r="J1119" i="55"/>
  <c r="M1119" i="55" s="1"/>
  <c r="J1118" i="55"/>
  <c r="M1118" i="55" s="1"/>
  <c r="J1117" i="55"/>
  <c r="M1117" i="55" s="1"/>
  <c r="J1116" i="55"/>
  <c r="M1116" i="55" s="1"/>
  <c r="J1115" i="55"/>
  <c r="M1115" i="55" s="1"/>
  <c r="J1114" i="55"/>
  <c r="M1114" i="55" s="1"/>
  <c r="M1113" i="55"/>
  <c r="J1113" i="55"/>
  <c r="J1112" i="55"/>
  <c r="M1112" i="55" s="1"/>
  <c r="M1111" i="55"/>
  <c r="J1111" i="55"/>
  <c r="J1110" i="55"/>
  <c r="M1110" i="55" s="1"/>
  <c r="M1109" i="55"/>
  <c r="J1109" i="55"/>
  <c r="J1108" i="55"/>
  <c r="M1108" i="55" s="1"/>
  <c r="J1107" i="55"/>
  <c r="M1107" i="55" s="1"/>
  <c r="J1106" i="55"/>
  <c r="M1106" i="55" s="1"/>
  <c r="M1105" i="55"/>
  <c r="J1105" i="55"/>
  <c r="J1104" i="55"/>
  <c r="M1104" i="55" s="1"/>
  <c r="M1103" i="55"/>
  <c r="J1103" i="55"/>
  <c r="J1102" i="55"/>
  <c r="M1102" i="55" s="1"/>
  <c r="M1101" i="55"/>
  <c r="J1101" i="55"/>
  <c r="J1100" i="55"/>
  <c r="M1100" i="55" s="1"/>
  <c r="J1099" i="55"/>
  <c r="M1099" i="55" s="1"/>
  <c r="J1098" i="55"/>
  <c r="M1098" i="55" s="1"/>
  <c r="M1097" i="55"/>
  <c r="J1097" i="55"/>
  <c r="J1096" i="55"/>
  <c r="M1096" i="55" s="1"/>
  <c r="M1095" i="55"/>
  <c r="J1095" i="55"/>
  <c r="J1094" i="55"/>
  <c r="M1094" i="55" s="1"/>
  <c r="M1093" i="55"/>
  <c r="J1093" i="55"/>
  <c r="J1092" i="55"/>
  <c r="M1092" i="55" s="1"/>
  <c r="J1091" i="55"/>
  <c r="M1091" i="55" s="1"/>
  <c r="J1090" i="55"/>
  <c r="M1090" i="55" s="1"/>
  <c r="M1089" i="55"/>
  <c r="J1089" i="55"/>
  <c r="J1088" i="55"/>
  <c r="M1088" i="55" s="1"/>
  <c r="M1087" i="55"/>
  <c r="J1087" i="55"/>
  <c r="J1086" i="55"/>
  <c r="M1086" i="55" s="1"/>
  <c r="O1085" i="55"/>
  <c r="M1085" i="55"/>
  <c r="L1085" i="55"/>
  <c r="J1085" i="55"/>
  <c r="J1084" i="55"/>
  <c r="M1084" i="55" s="1"/>
  <c r="M1083" i="55"/>
  <c r="J1083" i="55"/>
  <c r="J1082" i="55"/>
  <c r="M1082" i="55" s="1"/>
  <c r="O1081" i="55"/>
  <c r="M1081" i="55"/>
  <c r="L1081" i="55"/>
  <c r="J1081" i="55"/>
  <c r="J1080" i="55"/>
  <c r="M1080" i="55" s="1"/>
  <c r="M1079" i="55"/>
  <c r="J1079" i="55"/>
  <c r="M1078" i="55"/>
  <c r="L1078" i="55"/>
  <c r="O1078" i="55" s="1"/>
  <c r="J1078" i="55"/>
  <c r="J1077" i="55"/>
  <c r="M1077" i="55" s="1"/>
  <c r="M1076" i="55"/>
  <c r="J1076" i="55"/>
  <c r="L1075" i="55"/>
  <c r="O1075" i="55" s="1"/>
  <c r="J1075" i="55"/>
  <c r="M1075" i="55" s="1"/>
  <c r="M1074" i="55"/>
  <c r="J1074" i="55"/>
  <c r="M1073" i="55"/>
  <c r="J1073" i="55"/>
  <c r="M1072" i="55"/>
  <c r="J1072" i="55"/>
  <c r="M1071" i="55"/>
  <c r="L1071" i="55"/>
  <c r="O1071" i="55" s="1"/>
  <c r="J1071" i="55"/>
  <c r="J1070" i="55"/>
  <c r="M1070" i="55" s="1"/>
  <c r="M1069" i="55"/>
  <c r="J1069" i="55"/>
  <c r="J1068" i="55"/>
  <c r="M1068" i="55" s="1"/>
  <c r="M1067" i="55"/>
  <c r="L1067" i="55"/>
  <c r="O1067" i="55" s="1"/>
  <c r="J1067" i="55"/>
  <c r="M1066" i="55"/>
  <c r="J1066" i="55"/>
  <c r="M1065" i="55"/>
  <c r="J1065" i="55"/>
  <c r="M1064" i="55"/>
  <c r="J1064" i="55"/>
  <c r="L1063" i="55"/>
  <c r="O1063" i="55" s="1"/>
  <c r="J1063" i="55"/>
  <c r="M1063" i="55" s="1"/>
  <c r="M1062" i="55"/>
  <c r="J1062" i="55"/>
  <c r="J1061" i="55"/>
  <c r="M1061" i="55" s="1"/>
  <c r="J1060" i="55"/>
  <c r="M1060" i="55" s="1"/>
  <c r="L1059" i="55"/>
  <c r="O1059" i="55" s="1"/>
  <c r="J1059" i="55"/>
  <c r="M1059" i="55" s="1"/>
  <c r="J1058" i="55"/>
  <c r="M1058" i="55" s="1"/>
  <c r="J1057" i="55"/>
  <c r="M1057" i="55" s="1"/>
  <c r="J1056" i="55"/>
  <c r="M1056" i="55" s="1"/>
  <c r="L1055" i="55"/>
  <c r="O1055" i="55" s="1"/>
  <c r="J1055" i="55"/>
  <c r="M1055" i="55" s="1"/>
  <c r="M1054" i="55"/>
  <c r="J1054" i="55"/>
  <c r="J1053" i="55"/>
  <c r="M1053" i="55" s="1"/>
  <c r="L1052" i="55"/>
  <c r="O1052" i="55" s="1"/>
  <c r="J1052" i="55"/>
  <c r="M1052" i="55" s="1"/>
  <c r="J1051" i="55"/>
  <c r="M1051" i="55" s="1"/>
  <c r="J1050" i="55"/>
  <c r="M1050" i="55" s="1"/>
  <c r="J1049" i="55"/>
  <c r="M1049" i="55" s="1"/>
  <c r="N1048" i="55"/>
  <c r="L1048" i="55"/>
  <c r="O1048" i="55" s="1"/>
  <c r="K1048" i="55"/>
  <c r="L1047" i="55"/>
  <c r="O1047" i="55" s="1"/>
  <c r="K1047" i="55"/>
  <c r="N1047" i="55" s="1"/>
  <c r="L1046" i="55"/>
  <c r="O1046" i="55" s="1"/>
  <c r="K1046" i="55"/>
  <c r="N1046" i="55" s="1"/>
  <c r="L1045" i="55"/>
  <c r="O1045" i="55" s="1"/>
  <c r="K1045" i="55"/>
  <c r="N1045" i="55" s="1"/>
  <c r="L1044" i="55"/>
  <c r="O1044" i="55" s="1"/>
  <c r="K1044" i="55"/>
  <c r="N1044" i="55" s="1"/>
  <c r="L1043" i="55"/>
  <c r="O1043" i="55" s="1"/>
  <c r="K1043" i="55"/>
  <c r="N1043" i="55" s="1"/>
  <c r="N1042" i="55"/>
  <c r="L1042" i="55"/>
  <c r="O1042" i="55" s="1"/>
  <c r="K1042" i="55"/>
  <c r="L1041" i="55"/>
  <c r="O1041" i="55" s="1"/>
  <c r="K1041" i="55"/>
  <c r="N1041" i="55" s="1"/>
  <c r="N1040" i="55"/>
  <c r="L1040" i="55"/>
  <c r="O1040" i="55" s="1"/>
  <c r="K1040" i="55"/>
  <c r="L1039" i="55"/>
  <c r="O1039" i="55" s="1"/>
  <c r="K1039" i="55"/>
  <c r="N1039" i="55" s="1"/>
  <c r="L1038" i="55"/>
  <c r="O1038" i="55" s="1"/>
  <c r="K1038" i="55"/>
  <c r="N1038" i="55" s="1"/>
  <c r="L1037" i="55"/>
  <c r="O1037" i="55" s="1"/>
  <c r="K1037" i="55"/>
  <c r="N1037" i="55" s="1"/>
  <c r="L1036" i="55"/>
  <c r="O1036" i="55" s="1"/>
  <c r="K1036" i="55"/>
  <c r="N1036" i="55" s="1"/>
  <c r="L1035" i="55"/>
  <c r="O1035" i="55" s="1"/>
  <c r="K1035" i="55"/>
  <c r="N1035" i="55" s="1"/>
  <c r="N1034" i="55"/>
  <c r="L1034" i="55"/>
  <c r="O1034" i="55" s="1"/>
  <c r="K1034" i="55"/>
  <c r="L1033" i="55"/>
  <c r="O1033" i="55" s="1"/>
  <c r="K1033" i="55"/>
  <c r="N1033" i="55" s="1"/>
  <c r="N1032" i="55"/>
  <c r="L1032" i="55"/>
  <c r="O1032" i="55" s="1"/>
  <c r="K1032" i="55"/>
  <c r="L1031" i="55"/>
  <c r="O1031" i="55" s="1"/>
  <c r="K1031" i="55"/>
  <c r="N1031" i="55" s="1"/>
  <c r="L1030" i="55"/>
  <c r="O1030" i="55" s="1"/>
  <c r="K1030" i="55"/>
  <c r="N1030" i="55" s="1"/>
  <c r="L1029" i="55"/>
  <c r="O1029" i="55" s="1"/>
  <c r="K1029" i="55"/>
  <c r="N1029" i="55" s="1"/>
  <c r="L1028" i="55"/>
  <c r="O1028" i="55" s="1"/>
  <c r="K1028" i="55"/>
  <c r="N1028" i="55" s="1"/>
  <c r="L1027" i="55"/>
  <c r="O1027" i="55" s="1"/>
  <c r="K1027" i="55"/>
  <c r="N1027" i="55" s="1"/>
  <c r="N1026" i="55"/>
  <c r="L1026" i="55"/>
  <c r="O1026" i="55" s="1"/>
  <c r="K1026" i="55"/>
  <c r="L1025" i="55"/>
  <c r="O1025" i="55" s="1"/>
  <c r="K1025" i="55"/>
  <c r="N1025" i="55" s="1"/>
  <c r="N1024" i="55"/>
  <c r="L1024" i="55"/>
  <c r="O1024" i="55" s="1"/>
  <c r="K1024" i="55"/>
  <c r="L1023" i="55"/>
  <c r="O1023" i="55" s="1"/>
  <c r="K1023" i="55"/>
  <c r="N1023" i="55" s="1"/>
  <c r="L1022" i="55"/>
  <c r="O1022" i="55" s="1"/>
  <c r="K1022" i="55"/>
  <c r="N1022" i="55" s="1"/>
  <c r="L1021" i="55"/>
  <c r="O1021" i="55" s="1"/>
  <c r="K1021" i="55"/>
  <c r="N1021" i="55" s="1"/>
  <c r="L1020" i="55"/>
  <c r="O1020" i="55" s="1"/>
  <c r="K1020" i="55"/>
  <c r="N1020" i="55" s="1"/>
  <c r="L1019" i="55"/>
  <c r="O1019" i="55" s="1"/>
  <c r="K1019" i="55"/>
  <c r="N1019" i="55" s="1"/>
  <c r="N1018" i="55"/>
  <c r="L1018" i="55"/>
  <c r="O1018" i="55" s="1"/>
  <c r="K1018" i="55"/>
  <c r="L1017" i="55"/>
  <c r="O1017" i="55" s="1"/>
  <c r="K1017" i="55"/>
  <c r="N1017" i="55" s="1"/>
  <c r="N1016" i="55"/>
  <c r="L1016" i="55"/>
  <c r="O1016" i="55" s="1"/>
  <c r="K1016" i="55"/>
  <c r="L1015" i="55"/>
  <c r="O1015" i="55" s="1"/>
  <c r="K1015" i="55"/>
  <c r="N1015" i="55" s="1"/>
  <c r="L1014" i="55"/>
  <c r="O1014" i="55" s="1"/>
  <c r="K1014" i="55"/>
  <c r="N1014" i="55" s="1"/>
  <c r="L1013" i="55"/>
  <c r="O1013" i="55" s="1"/>
  <c r="K1013" i="55"/>
  <c r="N1013" i="55" s="1"/>
  <c r="L1012" i="55"/>
  <c r="O1012" i="55" s="1"/>
  <c r="K1012" i="55"/>
  <c r="N1012" i="55" s="1"/>
  <c r="L1011" i="55"/>
  <c r="O1011" i="55" s="1"/>
  <c r="K1011" i="55"/>
  <c r="N1011" i="55" s="1"/>
  <c r="N1010" i="55"/>
  <c r="L1010" i="55"/>
  <c r="O1010" i="55" s="1"/>
  <c r="K1010" i="55"/>
  <c r="J1009" i="55"/>
  <c r="M1009" i="55" s="1"/>
  <c r="M1008" i="55"/>
  <c r="J1008" i="55"/>
  <c r="J1007" i="55"/>
  <c r="M1007" i="55" s="1"/>
  <c r="J1006" i="55"/>
  <c r="M1006" i="55" s="1"/>
  <c r="J1005" i="55"/>
  <c r="M1005" i="55" s="1"/>
  <c r="J1004" i="55"/>
  <c r="M1004" i="55" s="1"/>
  <c r="L1003" i="55"/>
  <c r="O1003" i="55" s="1"/>
  <c r="J1003" i="55"/>
  <c r="M1003" i="55" s="1"/>
  <c r="M1002" i="55"/>
  <c r="J1002" i="55"/>
  <c r="J1001" i="55"/>
  <c r="M1001" i="55" s="1"/>
  <c r="J1000" i="55"/>
  <c r="M1000" i="55" s="1"/>
  <c r="L999" i="55"/>
  <c r="O999" i="55" s="1"/>
  <c r="J999" i="55"/>
  <c r="M999" i="55" s="1"/>
  <c r="J998" i="55"/>
  <c r="M998" i="55" s="1"/>
  <c r="J997" i="55"/>
  <c r="M997" i="55" s="1"/>
  <c r="L996" i="55"/>
  <c r="O996" i="55" s="1"/>
  <c r="J996" i="55"/>
  <c r="M996" i="55" s="1"/>
  <c r="J995" i="55"/>
  <c r="M995" i="55" s="1"/>
  <c r="J994" i="55"/>
  <c r="M994" i="55" s="1"/>
  <c r="L993" i="55"/>
  <c r="O993" i="55" s="1"/>
  <c r="J993" i="55"/>
  <c r="M993" i="55" s="1"/>
  <c r="J992" i="55"/>
  <c r="M992" i="55" s="1"/>
  <c r="J991" i="55"/>
  <c r="M991" i="55" s="1"/>
  <c r="J990" i="55"/>
  <c r="M990" i="55" s="1"/>
  <c r="L989" i="55"/>
  <c r="O989" i="55" s="1"/>
  <c r="J989" i="55"/>
  <c r="M989" i="55" s="1"/>
  <c r="J988" i="55"/>
  <c r="M988" i="55" s="1"/>
  <c r="J987" i="55"/>
  <c r="M987" i="55" s="1"/>
  <c r="J986" i="55"/>
  <c r="M986" i="55" s="1"/>
  <c r="J985" i="55"/>
  <c r="M985" i="55" s="1"/>
  <c r="L984" i="55"/>
  <c r="O984" i="55" s="1"/>
  <c r="J984" i="55"/>
  <c r="M984" i="55" s="1"/>
  <c r="J983" i="55"/>
  <c r="M983" i="55" s="1"/>
  <c r="J982" i="55"/>
  <c r="M982" i="55" s="1"/>
  <c r="J981" i="55"/>
  <c r="M981" i="55" s="1"/>
  <c r="L980" i="55"/>
  <c r="O980" i="55" s="1"/>
  <c r="J980" i="55"/>
  <c r="M980" i="55" s="1"/>
  <c r="J979" i="55"/>
  <c r="M979" i="55" s="1"/>
  <c r="J978" i="55"/>
  <c r="M978" i="55" s="1"/>
  <c r="J977" i="55"/>
  <c r="M977" i="55" s="1"/>
  <c r="L976" i="55"/>
  <c r="O976" i="55" s="1"/>
  <c r="J976" i="55"/>
  <c r="M976" i="55" s="1"/>
  <c r="J975" i="55"/>
  <c r="M975" i="55" s="1"/>
  <c r="J974" i="55"/>
  <c r="M974" i="55" s="1"/>
  <c r="J973" i="55"/>
  <c r="M973" i="55" s="1"/>
  <c r="L972" i="55"/>
  <c r="O972" i="55" s="1"/>
  <c r="J972" i="55"/>
  <c r="M972" i="55" s="1"/>
  <c r="J971" i="55"/>
  <c r="M971" i="55" s="1"/>
  <c r="J970" i="55"/>
  <c r="M970" i="55" s="1"/>
  <c r="L969" i="55"/>
  <c r="O969" i="55" s="1"/>
  <c r="J969" i="55"/>
  <c r="M969" i="55" s="1"/>
  <c r="J968" i="55"/>
  <c r="M968" i="55" s="1"/>
  <c r="J967" i="55"/>
  <c r="M967" i="55" s="1"/>
  <c r="J966" i="55"/>
  <c r="M966" i="55" s="1"/>
  <c r="L965" i="55"/>
  <c r="O965" i="55" s="1"/>
  <c r="J965" i="55"/>
  <c r="M965" i="55" s="1"/>
  <c r="L964" i="55"/>
  <c r="O964" i="55" s="1"/>
  <c r="J964" i="55"/>
  <c r="M964" i="55" s="1"/>
  <c r="O963" i="55"/>
  <c r="L963" i="55"/>
  <c r="J963" i="55"/>
  <c r="M963" i="55" s="1"/>
  <c r="L962" i="55"/>
  <c r="O962" i="55" s="1"/>
  <c r="J962" i="55"/>
  <c r="M962" i="55" s="1"/>
  <c r="L961" i="55"/>
  <c r="O961" i="55" s="1"/>
  <c r="J961" i="55"/>
  <c r="M961" i="55" s="1"/>
  <c r="L960" i="55"/>
  <c r="O960" i="55" s="1"/>
  <c r="J960" i="55"/>
  <c r="M960" i="55" s="1"/>
  <c r="L959" i="55"/>
  <c r="O959" i="55" s="1"/>
  <c r="J959" i="55"/>
  <c r="M959" i="55" s="1"/>
  <c r="M958" i="55"/>
  <c r="L958" i="55"/>
  <c r="O958" i="55" s="1"/>
  <c r="J958" i="55"/>
  <c r="L957" i="55"/>
  <c r="O957" i="55" s="1"/>
  <c r="J957" i="55"/>
  <c r="M957" i="55" s="1"/>
  <c r="L956" i="55"/>
  <c r="O956" i="55" s="1"/>
  <c r="J956" i="55"/>
  <c r="M956" i="55" s="1"/>
  <c r="O955" i="55"/>
  <c r="L955" i="55"/>
  <c r="J955" i="55"/>
  <c r="M955" i="55" s="1"/>
  <c r="L954" i="55"/>
  <c r="O954" i="55" s="1"/>
  <c r="J954" i="55"/>
  <c r="M954" i="55" s="1"/>
  <c r="L953" i="55"/>
  <c r="O953" i="55" s="1"/>
  <c r="K953" i="55"/>
  <c r="N953" i="55" s="1"/>
  <c r="L952" i="55"/>
  <c r="O952" i="55" s="1"/>
  <c r="K952" i="55"/>
  <c r="N952" i="55" s="1"/>
  <c r="L951" i="55"/>
  <c r="O951" i="55" s="1"/>
  <c r="K951" i="55"/>
  <c r="N951" i="55" s="1"/>
  <c r="L950" i="55"/>
  <c r="O950" i="55" s="1"/>
  <c r="K950" i="55"/>
  <c r="N950" i="55" s="1"/>
  <c r="L949" i="55"/>
  <c r="O949" i="55" s="1"/>
  <c r="K949" i="55"/>
  <c r="N949" i="55" s="1"/>
  <c r="L948" i="55"/>
  <c r="O948" i="55" s="1"/>
  <c r="K948" i="55"/>
  <c r="N948" i="55" s="1"/>
  <c r="L947" i="55"/>
  <c r="O947" i="55" s="1"/>
  <c r="K947" i="55"/>
  <c r="N947" i="55" s="1"/>
  <c r="L946" i="55"/>
  <c r="O946" i="55" s="1"/>
  <c r="K946" i="55"/>
  <c r="N946" i="55" s="1"/>
  <c r="L945" i="55"/>
  <c r="O945" i="55" s="1"/>
  <c r="K945" i="55"/>
  <c r="N945" i="55" s="1"/>
  <c r="L944" i="55"/>
  <c r="O944" i="55" s="1"/>
  <c r="K944" i="55"/>
  <c r="N944" i="55" s="1"/>
  <c r="L943" i="55"/>
  <c r="O943" i="55" s="1"/>
  <c r="K943" i="55"/>
  <c r="N943" i="55" s="1"/>
  <c r="L942" i="55"/>
  <c r="O942" i="55" s="1"/>
  <c r="K942" i="55"/>
  <c r="N942" i="55" s="1"/>
  <c r="L941" i="55"/>
  <c r="O941" i="55" s="1"/>
  <c r="J941" i="55"/>
  <c r="M941" i="55" s="1"/>
  <c r="L940" i="55"/>
  <c r="O940" i="55" s="1"/>
  <c r="J940" i="55"/>
  <c r="M940" i="55" s="1"/>
  <c r="L939" i="55"/>
  <c r="O939" i="55" s="1"/>
  <c r="J939" i="55"/>
  <c r="M939" i="55" s="1"/>
  <c r="M938" i="55"/>
  <c r="L938" i="55"/>
  <c r="O938" i="55" s="1"/>
  <c r="J938" i="55"/>
  <c r="L937" i="55"/>
  <c r="O937" i="55" s="1"/>
  <c r="J937" i="55"/>
  <c r="M937" i="55" s="1"/>
  <c r="L936" i="55"/>
  <c r="O936" i="55" s="1"/>
  <c r="J936" i="55"/>
  <c r="M936" i="55" s="1"/>
  <c r="O935" i="55"/>
  <c r="L935" i="55"/>
  <c r="J935" i="55"/>
  <c r="M935" i="55" s="1"/>
  <c r="L934" i="55"/>
  <c r="O934" i="55" s="1"/>
  <c r="J934" i="55"/>
  <c r="M934" i="55" s="1"/>
  <c r="L933" i="55"/>
  <c r="O933" i="55" s="1"/>
  <c r="J933" i="55"/>
  <c r="M933" i="55" s="1"/>
  <c r="L932" i="55"/>
  <c r="O932" i="55" s="1"/>
  <c r="J932" i="55"/>
  <c r="M932" i="55" s="1"/>
  <c r="L931" i="55"/>
  <c r="O931" i="55" s="1"/>
  <c r="J931" i="55"/>
  <c r="M931" i="55" s="1"/>
  <c r="M930" i="55"/>
  <c r="L930" i="55"/>
  <c r="O930" i="55" s="1"/>
  <c r="J930" i="55"/>
  <c r="L929" i="55"/>
  <c r="O929" i="55" s="1"/>
  <c r="J929" i="55"/>
  <c r="M929" i="55" s="1"/>
  <c r="L928" i="55"/>
  <c r="O928" i="55" s="1"/>
  <c r="J928" i="55"/>
  <c r="M928" i="55" s="1"/>
  <c r="O927" i="55"/>
  <c r="L927" i="55"/>
  <c r="J927" i="55"/>
  <c r="M927" i="55" s="1"/>
  <c r="L926" i="55"/>
  <c r="O926" i="55" s="1"/>
  <c r="J926" i="55"/>
  <c r="M926" i="55" s="1"/>
  <c r="L925" i="55"/>
  <c r="O925" i="55" s="1"/>
  <c r="J925" i="55"/>
  <c r="M925" i="55" s="1"/>
  <c r="L924" i="55"/>
  <c r="O924" i="55" s="1"/>
  <c r="J924" i="55"/>
  <c r="M924" i="55" s="1"/>
  <c r="L923" i="55"/>
  <c r="O923" i="55" s="1"/>
  <c r="J923" i="55"/>
  <c r="M923" i="55" s="1"/>
  <c r="M922" i="55"/>
  <c r="L922" i="55"/>
  <c r="O922" i="55" s="1"/>
  <c r="J922" i="55"/>
  <c r="L921" i="55"/>
  <c r="O921" i="55" s="1"/>
  <c r="J921" i="55"/>
  <c r="M921" i="55" s="1"/>
  <c r="L920" i="55"/>
  <c r="O920" i="55" s="1"/>
  <c r="J920" i="55"/>
  <c r="M920" i="55" s="1"/>
  <c r="O919" i="55"/>
  <c r="L919" i="55"/>
  <c r="J919" i="55"/>
  <c r="M919" i="55" s="1"/>
  <c r="L918" i="55"/>
  <c r="O918" i="55" s="1"/>
  <c r="J918" i="55"/>
  <c r="M918" i="55" s="1"/>
  <c r="L917" i="55"/>
  <c r="O917" i="55" s="1"/>
  <c r="J917" i="55"/>
  <c r="M917" i="55" s="1"/>
  <c r="L916" i="55"/>
  <c r="O916" i="55" s="1"/>
  <c r="J916" i="55"/>
  <c r="M916" i="55" s="1"/>
  <c r="L915" i="55"/>
  <c r="O915" i="55" s="1"/>
  <c r="J915" i="55"/>
  <c r="M915" i="55" s="1"/>
  <c r="M914" i="55"/>
  <c r="L914" i="55"/>
  <c r="O914" i="55" s="1"/>
  <c r="J914" i="55"/>
  <c r="L913" i="55"/>
  <c r="O913" i="55" s="1"/>
  <c r="J913" i="55"/>
  <c r="M913" i="55" s="1"/>
  <c r="L912" i="55"/>
  <c r="O912" i="55" s="1"/>
  <c r="J912" i="55"/>
  <c r="M912" i="55" s="1"/>
  <c r="O911" i="55"/>
  <c r="L911" i="55"/>
  <c r="J911" i="55"/>
  <c r="M911" i="55" s="1"/>
  <c r="L910" i="55"/>
  <c r="O910" i="55" s="1"/>
  <c r="J910" i="55"/>
  <c r="M910" i="55" s="1"/>
  <c r="L909" i="55"/>
  <c r="O909" i="55" s="1"/>
  <c r="J909" i="55"/>
  <c r="M909" i="55" s="1"/>
  <c r="L908" i="55"/>
  <c r="O908" i="55" s="1"/>
  <c r="J908" i="55"/>
  <c r="M908" i="55" s="1"/>
  <c r="L907" i="55"/>
  <c r="O907" i="55" s="1"/>
  <c r="J907" i="55"/>
  <c r="M907" i="55" s="1"/>
  <c r="M906" i="55"/>
  <c r="L906" i="55"/>
  <c r="O906" i="55" s="1"/>
  <c r="J906" i="55"/>
  <c r="J905" i="55"/>
  <c r="M905" i="55" s="1"/>
  <c r="J904" i="55"/>
  <c r="M904" i="55" s="1"/>
  <c r="J903" i="55"/>
  <c r="M903" i="55" s="1"/>
  <c r="J902" i="55"/>
  <c r="M902" i="55" s="1"/>
  <c r="J901" i="55"/>
  <c r="M901" i="55" s="1"/>
  <c r="M900" i="55"/>
  <c r="J900" i="55"/>
  <c r="J899" i="55"/>
  <c r="M899" i="55" s="1"/>
  <c r="J898" i="55"/>
  <c r="M898" i="55" s="1"/>
  <c r="J897" i="55"/>
  <c r="M897" i="55" s="1"/>
  <c r="J896" i="55"/>
  <c r="M896" i="55" s="1"/>
  <c r="J895" i="55"/>
  <c r="M895" i="55" s="1"/>
  <c r="M894" i="55"/>
  <c r="J894" i="55"/>
  <c r="O893" i="55"/>
  <c r="L893" i="55"/>
  <c r="K893" i="55"/>
  <c r="N893" i="55" s="1"/>
  <c r="N892" i="55"/>
  <c r="L892" i="55"/>
  <c r="O892" i="55" s="1"/>
  <c r="K892" i="55"/>
  <c r="O891" i="55"/>
  <c r="L891" i="55"/>
  <c r="K891" i="55"/>
  <c r="N891" i="55" s="1"/>
  <c r="L890" i="55"/>
  <c r="O890" i="55" s="1"/>
  <c r="K890" i="55"/>
  <c r="N890" i="55" s="1"/>
  <c r="O889" i="55"/>
  <c r="L889" i="55"/>
  <c r="K889" i="55"/>
  <c r="N889" i="55" s="1"/>
  <c r="N888" i="55"/>
  <c r="L888" i="55"/>
  <c r="O888" i="55" s="1"/>
  <c r="K888" i="55"/>
  <c r="O887" i="55"/>
  <c r="L887" i="55"/>
  <c r="K887" i="55"/>
  <c r="N887" i="55" s="1"/>
  <c r="L886" i="55"/>
  <c r="O886" i="55" s="1"/>
  <c r="K886" i="55"/>
  <c r="N886" i="55" s="1"/>
  <c r="O885" i="55"/>
  <c r="L885" i="55"/>
  <c r="K885" i="55"/>
  <c r="N885" i="55" s="1"/>
  <c r="N884" i="55"/>
  <c r="L884" i="55"/>
  <c r="O884" i="55" s="1"/>
  <c r="K884" i="55"/>
  <c r="O883" i="55"/>
  <c r="L883" i="55"/>
  <c r="K883" i="55"/>
  <c r="N883" i="55" s="1"/>
  <c r="L882" i="55"/>
  <c r="O882" i="55" s="1"/>
  <c r="K882" i="55"/>
  <c r="N882" i="55" s="1"/>
  <c r="J881" i="55"/>
  <c r="M881" i="55" s="1"/>
  <c r="J880" i="55"/>
  <c r="M880" i="55" s="1"/>
  <c r="J879" i="55"/>
  <c r="M879" i="55" s="1"/>
  <c r="M878" i="55"/>
  <c r="J878" i="55"/>
  <c r="J877" i="55"/>
  <c r="M877" i="55" s="1"/>
  <c r="J876" i="55"/>
  <c r="M876" i="55" s="1"/>
  <c r="J875" i="55"/>
  <c r="M875" i="55" s="1"/>
  <c r="M874" i="55"/>
  <c r="J874" i="55"/>
  <c r="J873" i="55"/>
  <c r="M873" i="55" s="1"/>
  <c r="J872" i="55"/>
  <c r="M872" i="55" s="1"/>
  <c r="J871" i="55"/>
  <c r="M871" i="55" s="1"/>
  <c r="M870" i="55"/>
  <c r="J870" i="55"/>
  <c r="J869" i="55"/>
  <c r="M869" i="55" s="1"/>
  <c r="J868" i="55"/>
  <c r="M868" i="55" s="1"/>
  <c r="J867" i="55"/>
  <c r="M867" i="55" s="1"/>
  <c r="M866" i="55"/>
  <c r="J866" i="55"/>
  <c r="J865" i="55"/>
  <c r="M865" i="55" s="1"/>
  <c r="J864" i="55"/>
  <c r="M864" i="55" s="1"/>
  <c r="J863" i="55"/>
  <c r="M863" i="55" s="1"/>
  <c r="M862" i="55"/>
  <c r="J862" i="55"/>
  <c r="J861" i="55"/>
  <c r="M861" i="55" s="1"/>
  <c r="J860" i="55"/>
  <c r="M860" i="55" s="1"/>
  <c r="J859" i="55"/>
  <c r="M859" i="55" s="1"/>
  <c r="M858" i="55"/>
  <c r="J858" i="55"/>
  <c r="J857" i="55"/>
  <c r="M857" i="55" s="1"/>
  <c r="J856" i="55"/>
  <c r="M856" i="55" s="1"/>
  <c r="J855" i="55"/>
  <c r="M855" i="55" s="1"/>
  <c r="M854" i="55"/>
  <c r="J854" i="55"/>
  <c r="J853" i="55"/>
  <c r="M853" i="55" s="1"/>
  <c r="J852" i="55"/>
  <c r="M852" i="55" s="1"/>
  <c r="J851" i="55"/>
  <c r="M851" i="55" s="1"/>
  <c r="M850" i="55"/>
  <c r="J850" i="55"/>
  <c r="J849" i="55"/>
  <c r="M849" i="55" s="1"/>
  <c r="J848" i="55"/>
  <c r="M848" i="55" s="1"/>
  <c r="J847" i="55"/>
  <c r="M847" i="55" s="1"/>
  <c r="L846" i="55"/>
  <c r="O846" i="55" s="1"/>
  <c r="J846" i="55"/>
  <c r="M846" i="55" s="1"/>
  <c r="J845" i="55"/>
  <c r="M845" i="55" s="1"/>
  <c r="M844" i="55"/>
  <c r="J844" i="55"/>
  <c r="J843" i="55"/>
  <c r="M843" i="55" s="1"/>
  <c r="M842" i="55"/>
  <c r="L842" i="55"/>
  <c r="O842" i="55" s="1"/>
  <c r="J842" i="55"/>
  <c r="J841" i="55"/>
  <c r="M841" i="55" s="1"/>
  <c r="J840" i="55"/>
  <c r="M840" i="55" s="1"/>
  <c r="J839" i="55"/>
  <c r="M839" i="55" s="1"/>
  <c r="M838" i="55"/>
  <c r="L838" i="55"/>
  <c r="O838" i="55" s="1"/>
  <c r="J838" i="55"/>
  <c r="J837" i="55"/>
  <c r="M837" i="55" s="1"/>
  <c r="M836" i="55"/>
  <c r="J836" i="55"/>
  <c r="J835" i="55"/>
  <c r="M835" i="55" s="1"/>
  <c r="L834" i="55"/>
  <c r="O834" i="55" s="1"/>
  <c r="J834" i="55"/>
  <c r="M834" i="55" s="1"/>
  <c r="J833" i="55"/>
  <c r="M833" i="55" s="1"/>
  <c r="J832" i="55"/>
  <c r="M832" i="55" s="1"/>
  <c r="L831" i="55"/>
  <c r="O831" i="55" s="1"/>
  <c r="J831" i="55"/>
  <c r="M831" i="55" s="1"/>
  <c r="M830" i="55"/>
  <c r="J830" i="55"/>
  <c r="J829" i="55"/>
  <c r="M829" i="55" s="1"/>
  <c r="J828" i="55"/>
  <c r="M828" i="55" s="1"/>
  <c r="L827" i="55"/>
  <c r="O827" i="55" s="1"/>
  <c r="K827" i="55"/>
  <c r="N827" i="55" s="1"/>
  <c r="N826" i="55"/>
  <c r="L826" i="55"/>
  <c r="O826" i="55" s="1"/>
  <c r="K826" i="55"/>
  <c r="L825" i="55"/>
  <c r="O825" i="55" s="1"/>
  <c r="K825" i="55"/>
  <c r="N825" i="55" s="1"/>
  <c r="L824" i="55"/>
  <c r="O824" i="55" s="1"/>
  <c r="K824" i="55"/>
  <c r="N824" i="55" s="1"/>
  <c r="L823" i="55"/>
  <c r="O823" i="55" s="1"/>
  <c r="K823" i="55"/>
  <c r="N823" i="55" s="1"/>
  <c r="N822" i="55"/>
  <c r="L822" i="55"/>
  <c r="O822" i="55" s="1"/>
  <c r="K822" i="55"/>
  <c r="L821" i="55"/>
  <c r="O821" i="55" s="1"/>
  <c r="K821" i="55"/>
  <c r="N821" i="55" s="1"/>
  <c r="L820" i="55"/>
  <c r="O820" i="55" s="1"/>
  <c r="K820" i="55"/>
  <c r="N820" i="55" s="1"/>
  <c r="L819" i="55"/>
  <c r="O819" i="55" s="1"/>
  <c r="K819" i="55"/>
  <c r="N819" i="55" s="1"/>
  <c r="N818" i="55"/>
  <c r="L818" i="55"/>
  <c r="O818" i="55" s="1"/>
  <c r="K818" i="55"/>
  <c r="L817" i="55"/>
  <c r="O817" i="55" s="1"/>
  <c r="K817" i="55"/>
  <c r="N817" i="55" s="1"/>
  <c r="L816" i="55"/>
  <c r="O816" i="55" s="1"/>
  <c r="K816" i="55"/>
  <c r="N816" i="55" s="1"/>
  <c r="O815" i="55"/>
  <c r="L815" i="55"/>
  <c r="K815" i="55"/>
  <c r="N815" i="55" s="1"/>
  <c r="N814" i="55"/>
  <c r="L814" i="55"/>
  <c r="O814" i="55" s="1"/>
  <c r="K814" i="55"/>
  <c r="L813" i="55"/>
  <c r="O813" i="55" s="1"/>
  <c r="K813" i="55"/>
  <c r="N813" i="55" s="1"/>
  <c r="L812" i="55"/>
  <c r="O812" i="55" s="1"/>
  <c r="K812" i="55"/>
  <c r="N812" i="55" s="1"/>
  <c r="O811" i="55"/>
  <c r="L811" i="55"/>
  <c r="K811" i="55"/>
  <c r="N811" i="55" s="1"/>
  <c r="N810" i="55"/>
  <c r="L810" i="55"/>
  <c r="O810" i="55" s="1"/>
  <c r="K810" i="55"/>
  <c r="L809" i="55"/>
  <c r="O809" i="55" s="1"/>
  <c r="K809" i="55"/>
  <c r="N809" i="55" s="1"/>
  <c r="L808" i="55"/>
  <c r="O808" i="55" s="1"/>
  <c r="K808" i="55"/>
  <c r="N808" i="55" s="1"/>
  <c r="O807" i="55"/>
  <c r="L807" i="55"/>
  <c r="K807" i="55"/>
  <c r="N807" i="55" s="1"/>
  <c r="N806" i="55"/>
  <c r="L806" i="55"/>
  <c r="O806" i="55" s="1"/>
  <c r="K806" i="55"/>
  <c r="L805" i="55"/>
  <c r="O805" i="55" s="1"/>
  <c r="K805" i="55"/>
  <c r="N805" i="55" s="1"/>
  <c r="L804" i="55"/>
  <c r="O804" i="55" s="1"/>
  <c r="K804" i="55"/>
  <c r="N804" i="55" s="1"/>
  <c r="O803" i="55"/>
  <c r="L803" i="55"/>
  <c r="K803" i="55"/>
  <c r="N803" i="55" s="1"/>
  <c r="N802" i="55"/>
  <c r="L802" i="55"/>
  <c r="O802" i="55" s="1"/>
  <c r="K802" i="55"/>
  <c r="L801" i="55"/>
  <c r="O801" i="55" s="1"/>
  <c r="K801" i="55"/>
  <c r="N801" i="55" s="1"/>
  <c r="L800" i="55"/>
  <c r="O800" i="55" s="1"/>
  <c r="K800" i="55"/>
  <c r="N800" i="55" s="1"/>
  <c r="O799" i="55"/>
  <c r="L799" i="55"/>
  <c r="K799" i="55"/>
  <c r="N799" i="55" s="1"/>
  <c r="N798" i="55"/>
  <c r="L798" i="55"/>
  <c r="O798" i="55" s="1"/>
  <c r="K798" i="55"/>
  <c r="L797" i="55"/>
  <c r="O797" i="55" s="1"/>
  <c r="K797" i="55"/>
  <c r="N797" i="55" s="1"/>
  <c r="L796" i="55"/>
  <c r="O796" i="55" s="1"/>
  <c r="K796" i="55"/>
  <c r="N796" i="55" s="1"/>
  <c r="O795" i="55"/>
  <c r="L795" i="55"/>
  <c r="K795" i="55"/>
  <c r="N795" i="55" s="1"/>
  <c r="N794" i="55"/>
  <c r="L794" i="55"/>
  <c r="O794" i="55" s="1"/>
  <c r="K794" i="55"/>
  <c r="L793" i="55"/>
  <c r="O793" i="55" s="1"/>
  <c r="K793" i="55"/>
  <c r="N793" i="55" s="1"/>
  <c r="L792" i="55"/>
  <c r="O792" i="55" s="1"/>
  <c r="K792" i="55"/>
  <c r="N792" i="55" s="1"/>
  <c r="O791" i="55"/>
  <c r="L791" i="55"/>
  <c r="K791" i="55"/>
  <c r="N791" i="55" s="1"/>
  <c r="N790" i="55"/>
  <c r="L790" i="55"/>
  <c r="O790" i="55" s="1"/>
  <c r="K790" i="55"/>
  <c r="L789" i="55"/>
  <c r="O789" i="55" s="1"/>
  <c r="K789" i="55"/>
  <c r="N789" i="55" s="1"/>
  <c r="L788" i="55"/>
  <c r="O788" i="55" s="1"/>
  <c r="K788" i="55"/>
  <c r="N788" i="55" s="1"/>
  <c r="J787" i="55"/>
  <c r="M787" i="55" s="1"/>
  <c r="J786" i="55"/>
  <c r="M786" i="55" s="1"/>
  <c r="J785" i="55"/>
  <c r="M785" i="55" s="1"/>
  <c r="M784" i="55"/>
  <c r="J784" i="55"/>
  <c r="J783" i="55"/>
  <c r="M783" i="55" s="1"/>
  <c r="M782" i="55"/>
  <c r="J782" i="55"/>
  <c r="J781" i="55"/>
  <c r="M781" i="55" s="1"/>
  <c r="J780" i="55"/>
  <c r="M780" i="55" s="1"/>
  <c r="J779" i="55"/>
  <c r="M779" i="55" s="1"/>
  <c r="J778" i="55"/>
  <c r="M778" i="55" s="1"/>
  <c r="J777" i="55"/>
  <c r="M777" i="55" s="1"/>
  <c r="M776" i="55"/>
  <c r="J776" i="55"/>
  <c r="J775" i="55"/>
  <c r="M775" i="55" s="1"/>
  <c r="M774" i="55"/>
  <c r="J774" i="55"/>
  <c r="J773" i="55"/>
  <c r="M773" i="55" s="1"/>
  <c r="J772" i="55"/>
  <c r="M772" i="55" s="1"/>
  <c r="J771" i="55"/>
  <c r="M771" i="55" s="1"/>
  <c r="J770" i="55"/>
  <c r="M770" i="55" s="1"/>
  <c r="J769" i="55"/>
  <c r="M769" i="55" s="1"/>
  <c r="M768" i="55"/>
  <c r="J768" i="55"/>
  <c r="J767" i="55"/>
  <c r="M767" i="55" s="1"/>
  <c r="M766" i="55"/>
  <c r="J766" i="55"/>
  <c r="J765" i="55"/>
  <c r="M765" i="55" s="1"/>
  <c r="J764" i="55"/>
  <c r="M764" i="55" s="1"/>
  <c r="O763" i="55"/>
  <c r="L763" i="55"/>
  <c r="J763" i="55"/>
  <c r="M763" i="55" s="1"/>
  <c r="M762" i="55"/>
  <c r="J762" i="55"/>
  <c r="J761" i="55"/>
  <c r="M761" i="55" s="1"/>
  <c r="J760" i="55"/>
  <c r="M760" i="55" s="1"/>
  <c r="O759" i="55"/>
  <c r="L759" i="55"/>
  <c r="J759" i="55"/>
  <c r="M759" i="55" s="1"/>
  <c r="M758" i="55"/>
  <c r="J758" i="55"/>
  <c r="J757" i="55"/>
  <c r="M757" i="55" s="1"/>
  <c r="J756" i="55"/>
  <c r="M756" i="55" s="1"/>
  <c r="O755" i="55"/>
  <c r="L755" i="55"/>
  <c r="J755" i="55"/>
  <c r="M755" i="55" s="1"/>
  <c r="M754" i="55"/>
  <c r="J754" i="55"/>
  <c r="J753" i="55"/>
  <c r="M753" i="55" s="1"/>
  <c r="J752" i="55"/>
  <c r="M752" i="55" s="1"/>
  <c r="O751" i="55"/>
  <c r="L751" i="55"/>
  <c r="J751" i="55"/>
  <c r="M751" i="55" s="1"/>
  <c r="J750" i="55"/>
  <c r="M750" i="55" s="1"/>
  <c r="J749" i="55"/>
  <c r="M749" i="55" s="1"/>
  <c r="J748" i="55"/>
  <c r="M748" i="55" s="1"/>
  <c r="O747" i="55"/>
  <c r="L747" i="55"/>
  <c r="J747" i="55"/>
  <c r="M747" i="55" s="1"/>
  <c r="J746" i="55"/>
  <c r="M746" i="55" s="1"/>
  <c r="J745" i="55"/>
  <c r="M745" i="55" s="1"/>
  <c r="M744" i="55"/>
  <c r="J744" i="55"/>
  <c r="O743" i="55"/>
  <c r="L743" i="55"/>
  <c r="K743" i="55"/>
  <c r="N743" i="55" s="1"/>
  <c r="N742" i="55"/>
  <c r="L742" i="55"/>
  <c r="O742" i="55" s="1"/>
  <c r="K742" i="55"/>
  <c r="O741" i="55"/>
  <c r="L741" i="55"/>
  <c r="K741" i="55"/>
  <c r="N741" i="55" s="1"/>
  <c r="L740" i="55"/>
  <c r="O740" i="55" s="1"/>
  <c r="K740" i="55"/>
  <c r="N740" i="55" s="1"/>
  <c r="L739" i="55"/>
  <c r="O739" i="55" s="1"/>
  <c r="K739" i="55"/>
  <c r="N739" i="55" s="1"/>
  <c r="L738" i="55"/>
  <c r="O738" i="55" s="1"/>
  <c r="K738" i="55"/>
  <c r="N738" i="55" s="1"/>
  <c r="O737" i="55"/>
  <c r="L737" i="55"/>
  <c r="K737" i="55"/>
  <c r="N737" i="55" s="1"/>
  <c r="N736" i="55"/>
  <c r="L736" i="55"/>
  <c r="O736" i="55" s="1"/>
  <c r="K736" i="55"/>
  <c r="L735" i="55"/>
  <c r="O735" i="55" s="1"/>
  <c r="K735" i="55"/>
  <c r="N735" i="55" s="1"/>
  <c r="L734" i="55"/>
  <c r="O734" i="55" s="1"/>
  <c r="K734" i="55"/>
  <c r="N734" i="55" s="1"/>
  <c r="O733" i="55"/>
  <c r="L733" i="55"/>
  <c r="K733" i="55"/>
  <c r="N733" i="55" s="1"/>
  <c r="N732" i="55"/>
  <c r="L732" i="55"/>
  <c r="O732" i="55" s="1"/>
  <c r="K732" i="55"/>
  <c r="L731" i="55"/>
  <c r="O731" i="55" s="1"/>
  <c r="K731" i="55"/>
  <c r="N731" i="55" s="1"/>
  <c r="L730" i="55"/>
  <c r="O730" i="55" s="1"/>
  <c r="K730" i="55"/>
  <c r="N730" i="55" s="1"/>
  <c r="O729" i="55"/>
  <c r="L729" i="55"/>
  <c r="K729" i="55"/>
  <c r="N729" i="55" s="1"/>
  <c r="N728" i="55"/>
  <c r="L728" i="55"/>
  <c r="O728" i="55" s="1"/>
  <c r="K728" i="55"/>
  <c r="L727" i="55"/>
  <c r="O727" i="55" s="1"/>
  <c r="K727" i="55"/>
  <c r="N727" i="55" s="1"/>
  <c r="L726" i="55"/>
  <c r="O726" i="55" s="1"/>
  <c r="K726" i="55"/>
  <c r="N726" i="55" s="1"/>
  <c r="O725" i="55"/>
  <c r="L725" i="55"/>
  <c r="K725" i="55"/>
  <c r="N725" i="55" s="1"/>
  <c r="N724" i="55"/>
  <c r="L724" i="55"/>
  <c r="O724" i="55" s="1"/>
  <c r="K724" i="55"/>
  <c r="L723" i="55"/>
  <c r="O723" i="55" s="1"/>
  <c r="K723" i="55"/>
  <c r="N723" i="55" s="1"/>
  <c r="L722" i="55"/>
  <c r="O722" i="55" s="1"/>
  <c r="K722" i="55"/>
  <c r="N722" i="55" s="1"/>
  <c r="O721" i="55"/>
  <c r="L721" i="55"/>
  <c r="K721" i="55"/>
  <c r="N721" i="55" s="1"/>
  <c r="N720" i="55"/>
  <c r="L720" i="55"/>
  <c r="O720" i="55" s="1"/>
  <c r="K720" i="55"/>
  <c r="L719" i="55"/>
  <c r="O719" i="55" s="1"/>
  <c r="K719" i="55"/>
  <c r="N719" i="55" s="1"/>
  <c r="L718" i="55"/>
  <c r="O718" i="55" s="1"/>
  <c r="K718" i="55"/>
  <c r="N718" i="55" s="1"/>
  <c r="O717" i="55"/>
  <c r="L717" i="55"/>
  <c r="K717" i="55"/>
  <c r="N717" i="55" s="1"/>
  <c r="N716" i="55"/>
  <c r="L716" i="55"/>
  <c r="O716" i="55" s="1"/>
  <c r="K716" i="55"/>
  <c r="L715" i="55"/>
  <c r="O715" i="55" s="1"/>
  <c r="K715" i="55"/>
  <c r="N715" i="55" s="1"/>
  <c r="L714" i="55"/>
  <c r="O714" i="55" s="1"/>
  <c r="K714" i="55"/>
  <c r="N714" i="55" s="1"/>
  <c r="O713" i="55"/>
  <c r="L713" i="55"/>
  <c r="K713" i="55"/>
  <c r="N713" i="55" s="1"/>
  <c r="N712" i="55"/>
  <c r="L712" i="55"/>
  <c r="O712" i="55" s="1"/>
  <c r="K712" i="55"/>
  <c r="L711" i="55"/>
  <c r="O711" i="55" s="1"/>
  <c r="K711" i="55"/>
  <c r="N711" i="55" s="1"/>
  <c r="L710" i="55"/>
  <c r="O710" i="55" s="1"/>
  <c r="K710" i="55"/>
  <c r="N710" i="55" s="1"/>
  <c r="O709" i="55"/>
  <c r="L709" i="55"/>
  <c r="K709" i="55"/>
  <c r="N709" i="55" s="1"/>
  <c r="N708" i="55"/>
  <c r="L708" i="55"/>
  <c r="O708" i="55" s="1"/>
  <c r="K708" i="55"/>
  <c r="L707" i="55"/>
  <c r="O707" i="55" s="1"/>
  <c r="K707" i="55"/>
  <c r="N707" i="55" s="1"/>
  <c r="L706" i="55"/>
  <c r="O706" i="55" s="1"/>
  <c r="K706" i="55"/>
  <c r="N706" i="55" s="1"/>
  <c r="O705" i="55"/>
  <c r="L705" i="55"/>
  <c r="K705" i="55"/>
  <c r="N705" i="55" s="1"/>
  <c r="N704" i="55"/>
  <c r="L704" i="55"/>
  <c r="O704" i="55" s="1"/>
  <c r="K704" i="55"/>
  <c r="L703" i="55"/>
  <c r="O703" i="55" s="1"/>
  <c r="K703" i="55"/>
  <c r="N703" i="55" s="1"/>
  <c r="L702" i="55"/>
  <c r="O702" i="55" s="1"/>
  <c r="K702" i="55"/>
  <c r="N702" i="55" s="1"/>
  <c r="O701" i="55"/>
  <c r="L701" i="55"/>
  <c r="K701" i="55"/>
  <c r="N701" i="55" s="1"/>
  <c r="N700" i="55"/>
  <c r="L700" i="55"/>
  <c r="O700" i="55" s="1"/>
  <c r="K700" i="55"/>
  <c r="L699" i="55"/>
  <c r="O699" i="55" s="1"/>
  <c r="K699" i="55"/>
  <c r="N699" i="55" s="1"/>
  <c r="L698" i="55"/>
  <c r="O698" i="55" s="1"/>
  <c r="K698" i="55"/>
  <c r="N698" i="55" s="1"/>
  <c r="O697" i="55"/>
  <c r="L697" i="55"/>
  <c r="K697" i="55"/>
  <c r="N697" i="55" s="1"/>
  <c r="N696" i="55"/>
  <c r="L696" i="55"/>
  <c r="O696" i="55" s="1"/>
  <c r="K696" i="55"/>
  <c r="L695" i="55"/>
  <c r="O695" i="55" s="1"/>
  <c r="K695" i="55"/>
  <c r="N695" i="55" s="1"/>
  <c r="L694" i="55"/>
  <c r="O694" i="55" s="1"/>
  <c r="K694" i="55"/>
  <c r="N694" i="55" s="1"/>
  <c r="O693" i="55"/>
  <c r="L693" i="55"/>
  <c r="K693" i="55"/>
  <c r="N693" i="55" s="1"/>
  <c r="N692" i="55"/>
  <c r="L692" i="55"/>
  <c r="O692" i="55" s="1"/>
  <c r="K692" i="55"/>
  <c r="L691" i="55"/>
  <c r="O691" i="55" s="1"/>
  <c r="K691" i="55"/>
  <c r="N691" i="55" s="1"/>
  <c r="L690" i="55"/>
  <c r="O690" i="55" s="1"/>
  <c r="K690" i="55"/>
  <c r="N690" i="55" s="1"/>
  <c r="O689" i="55"/>
  <c r="L689" i="55"/>
  <c r="K689" i="55"/>
  <c r="N689" i="55" s="1"/>
  <c r="N688" i="55"/>
  <c r="L688" i="55"/>
  <c r="O688" i="55" s="1"/>
  <c r="K688" i="55"/>
  <c r="L687" i="55"/>
  <c r="O687" i="55" s="1"/>
  <c r="K687" i="55"/>
  <c r="N687" i="55" s="1"/>
  <c r="L686" i="55"/>
  <c r="O686" i="55" s="1"/>
  <c r="K686" i="55"/>
  <c r="N686" i="55" s="1"/>
  <c r="O685" i="55"/>
  <c r="L685" i="55"/>
  <c r="K685" i="55"/>
  <c r="N685" i="55" s="1"/>
  <c r="N684" i="55"/>
  <c r="L684" i="55"/>
  <c r="O684" i="55" s="1"/>
  <c r="K684" i="55"/>
  <c r="L683" i="55"/>
  <c r="O683" i="55" s="1"/>
  <c r="K683" i="55"/>
  <c r="N683" i="55" s="1"/>
  <c r="L682" i="55"/>
  <c r="O682" i="55" s="1"/>
  <c r="K682" i="55"/>
  <c r="N682" i="55" s="1"/>
  <c r="O681" i="55"/>
  <c r="L681" i="55"/>
  <c r="K681" i="55"/>
  <c r="N681" i="55" s="1"/>
  <c r="N680" i="55"/>
  <c r="L680" i="55"/>
  <c r="O680" i="55" s="1"/>
  <c r="K680" i="55"/>
  <c r="L679" i="55"/>
  <c r="O679" i="55" s="1"/>
  <c r="K679" i="55"/>
  <c r="N679" i="55" s="1"/>
  <c r="L678" i="55"/>
  <c r="O678" i="55" s="1"/>
  <c r="K678" i="55"/>
  <c r="N678" i="55" s="1"/>
  <c r="O677" i="55"/>
  <c r="L677" i="55"/>
  <c r="K677" i="55"/>
  <c r="N677" i="55" s="1"/>
  <c r="N676" i="55"/>
  <c r="L676" i="55"/>
  <c r="O676" i="55" s="1"/>
  <c r="K676" i="55"/>
  <c r="L675" i="55"/>
  <c r="O675" i="55" s="1"/>
  <c r="K675" i="55"/>
  <c r="N675" i="55" s="1"/>
  <c r="L674" i="55"/>
  <c r="O674" i="55" s="1"/>
  <c r="K674" i="55"/>
  <c r="N674" i="55" s="1"/>
  <c r="O673" i="55"/>
  <c r="L673" i="55"/>
  <c r="K673" i="55"/>
  <c r="N673" i="55" s="1"/>
  <c r="N672" i="55"/>
  <c r="L672" i="55"/>
  <c r="O672" i="55" s="1"/>
  <c r="K672" i="55"/>
  <c r="L671" i="55"/>
  <c r="O671" i="55" s="1"/>
  <c r="K671" i="55"/>
  <c r="N671" i="55" s="1"/>
  <c r="L670" i="55"/>
  <c r="O670" i="55" s="1"/>
  <c r="K670" i="55"/>
  <c r="N670" i="55" s="1"/>
  <c r="O669" i="55"/>
  <c r="L669" i="55"/>
  <c r="K669" i="55"/>
  <c r="N669" i="55" s="1"/>
  <c r="N668" i="55"/>
  <c r="L668" i="55"/>
  <c r="O668" i="55" s="1"/>
  <c r="K668" i="55"/>
  <c r="L667" i="55"/>
  <c r="O667" i="55" s="1"/>
  <c r="K667" i="55"/>
  <c r="N667" i="55" s="1"/>
  <c r="L666" i="55"/>
  <c r="O666" i="55" s="1"/>
  <c r="K666" i="55"/>
  <c r="N666" i="55" s="1"/>
  <c r="O665" i="55"/>
  <c r="L665" i="55"/>
  <c r="K665" i="55"/>
  <c r="N665" i="55" s="1"/>
  <c r="N664" i="55"/>
  <c r="L664" i="55"/>
  <c r="O664" i="55" s="1"/>
  <c r="K664" i="55"/>
  <c r="L663" i="55"/>
  <c r="O663" i="55" s="1"/>
  <c r="K663" i="55"/>
  <c r="N663" i="55" s="1"/>
  <c r="L662" i="55"/>
  <c r="O662" i="55" s="1"/>
  <c r="K662" i="55"/>
  <c r="N662" i="55" s="1"/>
  <c r="O661" i="55"/>
  <c r="L661" i="55"/>
  <c r="K661" i="55"/>
  <c r="N661" i="55" s="1"/>
  <c r="N660" i="55"/>
  <c r="L660" i="55"/>
  <c r="O660" i="55" s="1"/>
  <c r="K660" i="55"/>
  <c r="L659" i="55"/>
  <c r="O659" i="55" s="1"/>
  <c r="K659" i="55"/>
  <c r="N659" i="55" s="1"/>
  <c r="L658" i="55"/>
  <c r="O658" i="55" s="1"/>
  <c r="K658" i="55"/>
  <c r="N658" i="55" s="1"/>
  <c r="O657" i="55"/>
  <c r="L657" i="55"/>
  <c r="K657" i="55"/>
  <c r="N657" i="55" s="1"/>
  <c r="N656" i="55"/>
  <c r="L656" i="55"/>
  <c r="O656" i="55" s="1"/>
  <c r="K656" i="55"/>
  <c r="L655" i="55"/>
  <c r="O655" i="55" s="1"/>
  <c r="K655" i="55"/>
  <c r="N655" i="55" s="1"/>
  <c r="L654" i="55"/>
  <c r="O654" i="55" s="1"/>
  <c r="K654" i="55"/>
  <c r="N654" i="55" s="1"/>
  <c r="O653" i="55"/>
  <c r="L653" i="55"/>
  <c r="K653" i="55"/>
  <c r="N653" i="55" s="1"/>
  <c r="N652" i="55"/>
  <c r="L652" i="55"/>
  <c r="O652" i="55" s="1"/>
  <c r="K652" i="55"/>
  <c r="L651" i="55"/>
  <c r="O651" i="55" s="1"/>
  <c r="K651" i="55"/>
  <c r="N651" i="55" s="1"/>
  <c r="L650" i="55"/>
  <c r="O650" i="55" s="1"/>
  <c r="K650" i="55"/>
  <c r="N650" i="55" s="1"/>
  <c r="O649" i="55"/>
  <c r="L649" i="55"/>
  <c r="K649" i="55"/>
  <c r="N649" i="55" s="1"/>
  <c r="N648" i="55"/>
  <c r="L648" i="55"/>
  <c r="O648" i="55" s="1"/>
  <c r="K648" i="55"/>
  <c r="L647" i="55"/>
  <c r="O647" i="55" s="1"/>
  <c r="K647" i="55"/>
  <c r="N647" i="55" s="1"/>
  <c r="L646" i="55"/>
  <c r="O646" i="55" s="1"/>
  <c r="K646" i="55"/>
  <c r="N646" i="55" s="1"/>
  <c r="O645" i="55"/>
  <c r="L645" i="55"/>
  <c r="K645" i="55"/>
  <c r="N645" i="55" s="1"/>
  <c r="N644" i="55"/>
  <c r="L644" i="55"/>
  <c r="O644" i="55" s="1"/>
  <c r="K644" i="55"/>
  <c r="L643" i="55"/>
  <c r="O643" i="55" s="1"/>
  <c r="L642" i="55"/>
  <c r="O642" i="55" s="1"/>
  <c r="O641" i="55"/>
  <c r="L641" i="55"/>
  <c r="L640" i="55"/>
  <c r="O640" i="55" s="1"/>
  <c r="L639" i="55"/>
  <c r="O639" i="55" s="1"/>
  <c r="L638" i="55"/>
  <c r="O638" i="55" s="1"/>
  <c r="L637" i="55"/>
  <c r="O637" i="55" s="1"/>
  <c r="L636" i="55"/>
  <c r="O636" i="55" s="1"/>
  <c r="L635" i="55"/>
  <c r="O635" i="55" s="1"/>
  <c r="L634" i="55"/>
  <c r="O634" i="55" s="1"/>
  <c r="L633" i="55"/>
  <c r="O633" i="55" s="1"/>
  <c r="L632" i="55"/>
  <c r="O632" i="55" s="1"/>
  <c r="L631" i="55"/>
  <c r="O631" i="55" s="1"/>
  <c r="L630" i="55"/>
  <c r="O630" i="55" s="1"/>
  <c r="L629" i="55"/>
  <c r="O629" i="55" s="1"/>
  <c r="L628" i="55"/>
  <c r="O628" i="55" s="1"/>
  <c r="L627" i="55"/>
  <c r="O627" i="55" s="1"/>
  <c r="L626" i="55"/>
  <c r="O626" i="55" s="1"/>
  <c r="O625" i="55"/>
  <c r="L625" i="55"/>
  <c r="L624" i="55"/>
  <c r="O624" i="55" s="1"/>
  <c r="L623" i="55"/>
  <c r="O623" i="55" s="1"/>
  <c r="L622" i="55"/>
  <c r="O622" i="55" s="1"/>
  <c r="L621" i="55"/>
  <c r="O621" i="55" s="1"/>
  <c r="L620" i="55"/>
  <c r="O620" i="55" s="1"/>
  <c r="L619" i="55"/>
  <c r="O619" i="55" s="1"/>
  <c r="L618" i="55"/>
  <c r="O618" i="55" s="1"/>
  <c r="L617" i="55"/>
  <c r="O617" i="55" s="1"/>
  <c r="L616" i="55"/>
  <c r="O616" i="55" s="1"/>
  <c r="L615" i="55"/>
  <c r="O615" i="55" s="1"/>
  <c r="L614" i="55"/>
  <c r="O614" i="55" s="1"/>
  <c r="L613" i="55"/>
  <c r="O613" i="55" s="1"/>
  <c r="L612" i="55"/>
  <c r="O612" i="55" s="1"/>
  <c r="L611" i="55"/>
  <c r="O611" i="55" s="1"/>
  <c r="L610" i="55"/>
  <c r="O610" i="55" s="1"/>
  <c r="O609" i="55"/>
  <c r="L609" i="55"/>
  <c r="L608" i="55"/>
  <c r="O608" i="55" s="1"/>
  <c r="L607" i="55"/>
  <c r="O607" i="55" s="1"/>
  <c r="L606" i="55"/>
  <c r="O606" i="55" s="1"/>
  <c r="L605" i="55"/>
  <c r="O605" i="55" s="1"/>
  <c r="L604" i="55"/>
  <c r="O604" i="55" s="1"/>
  <c r="L603" i="55"/>
  <c r="O603" i="55" s="1"/>
  <c r="L602" i="55"/>
  <c r="O602" i="55" s="1"/>
  <c r="L601" i="55"/>
  <c r="O601" i="55" s="1"/>
  <c r="L600" i="55"/>
  <c r="O600" i="55" s="1"/>
  <c r="L599" i="55"/>
  <c r="O599" i="55" s="1"/>
  <c r="L598" i="55"/>
  <c r="O598" i="55" s="1"/>
  <c r="L597" i="55"/>
  <c r="O597" i="55" s="1"/>
  <c r="L596" i="55"/>
  <c r="O596" i="55" s="1"/>
  <c r="L595" i="55"/>
  <c r="O595" i="55" s="1"/>
  <c r="L594" i="55"/>
  <c r="O594" i="55" s="1"/>
  <c r="O593" i="55"/>
  <c r="L593" i="55"/>
  <c r="L592" i="55"/>
  <c r="O592" i="55" s="1"/>
  <c r="L591" i="55"/>
  <c r="O591" i="55" s="1"/>
  <c r="L590" i="55"/>
  <c r="O590" i="55" s="1"/>
  <c r="L589" i="55"/>
  <c r="O589" i="55" s="1"/>
  <c r="L588" i="55"/>
  <c r="O588" i="55" s="1"/>
  <c r="L587" i="55"/>
  <c r="O587" i="55" s="1"/>
  <c r="L586" i="55"/>
  <c r="O586" i="55" s="1"/>
  <c r="L585" i="55"/>
  <c r="O585" i="55" s="1"/>
  <c r="L584" i="55"/>
  <c r="O584" i="55" s="1"/>
  <c r="L583" i="55"/>
  <c r="O583" i="55" s="1"/>
  <c r="L582" i="55"/>
  <c r="O582" i="55" s="1"/>
  <c r="L581" i="55"/>
  <c r="O581" i="55" s="1"/>
  <c r="L580" i="55"/>
  <c r="O580" i="55" s="1"/>
  <c r="L579" i="55"/>
  <c r="O579" i="55" s="1"/>
  <c r="L578" i="55"/>
  <c r="O578" i="55" s="1"/>
  <c r="O577" i="55"/>
  <c r="L577" i="55"/>
  <c r="L576" i="55"/>
  <c r="O576" i="55" s="1"/>
  <c r="L575" i="55"/>
  <c r="O575" i="55" s="1"/>
  <c r="L574" i="55"/>
  <c r="O574" i="55" s="1"/>
  <c r="L573" i="55"/>
  <c r="O573" i="55" s="1"/>
  <c r="L572" i="55"/>
  <c r="O572" i="55" s="1"/>
  <c r="L479" i="55"/>
  <c r="O479" i="55" s="1"/>
  <c r="O476" i="55"/>
  <c r="L476" i="55"/>
  <c r="L473" i="55"/>
  <c r="O473" i="55" s="1"/>
  <c r="O470" i="55"/>
  <c r="M470" i="55"/>
  <c r="L470" i="55"/>
  <c r="J470" i="55"/>
  <c r="O469" i="55"/>
  <c r="M469" i="55"/>
  <c r="L469" i="55"/>
  <c r="J469" i="55"/>
  <c r="L468" i="55"/>
  <c r="O468" i="55" s="1"/>
  <c r="J468" i="55"/>
  <c r="M468" i="55" s="1"/>
  <c r="L449" i="55"/>
  <c r="O449" i="55" s="1"/>
  <c r="O446" i="55"/>
  <c r="L446" i="55"/>
  <c r="L443" i="55"/>
  <c r="O443" i="55" s="1"/>
  <c r="O440" i="55"/>
  <c r="L440" i="55"/>
  <c r="L439" i="55"/>
  <c r="O439" i="55" s="1"/>
  <c r="L438" i="55"/>
  <c r="O438" i="55" s="1"/>
  <c r="L437" i="55"/>
  <c r="O437" i="55" s="1"/>
  <c r="L436" i="55"/>
  <c r="O436" i="55" s="1"/>
  <c r="L435" i="55"/>
  <c r="O435" i="55" s="1"/>
  <c r="L434" i="55"/>
  <c r="O434" i="55" s="1"/>
  <c r="L433" i="55"/>
  <c r="O433" i="55" s="1"/>
  <c r="O432" i="55"/>
  <c r="L432" i="55"/>
  <c r="L431" i="55"/>
  <c r="O431" i="55" s="1"/>
  <c r="L430" i="55"/>
  <c r="O430" i="55" s="1"/>
  <c r="L429" i="55"/>
  <c r="O429" i="55" s="1"/>
  <c r="L428" i="55"/>
  <c r="O428" i="55" s="1"/>
  <c r="M427" i="55"/>
  <c r="L427" i="55"/>
  <c r="O427" i="55" s="1"/>
  <c r="J427" i="55"/>
  <c r="O426" i="55"/>
  <c r="M426" i="55"/>
  <c r="L426" i="55"/>
  <c r="J426" i="55"/>
  <c r="O425" i="55"/>
  <c r="M425" i="55"/>
  <c r="L425" i="55"/>
  <c r="J425" i="55"/>
  <c r="L424" i="55"/>
  <c r="O424" i="55" s="1"/>
  <c r="J424" i="55"/>
  <c r="M424" i="55" s="1"/>
  <c r="L423" i="55"/>
  <c r="O423" i="55" s="1"/>
  <c r="J423" i="55"/>
  <c r="M423" i="55" s="1"/>
  <c r="L422" i="55"/>
  <c r="O422" i="55" s="1"/>
  <c r="J422" i="55"/>
  <c r="M422" i="55" s="1"/>
  <c r="L421" i="55"/>
  <c r="O421" i="55" s="1"/>
  <c r="J421" i="55"/>
  <c r="M421" i="55" s="1"/>
  <c r="O420" i="55"/>
  <c r="L420" i="55"/>
  <c r="J420" i="55"/>
  <c r="M420" i="55" s="1"/>
  <c r="M419" i="55"/>
  <c r="L419" i="55"/>
  <c r="O419" i="55" s="1"/>
  <c r="J419" i="55"/>
  <c r="O418" i="55"/>
  <c r="M418" i="55"/>
  <c r="L418" i="55"/>
  <c r="J418" i="55"/>
  <c r="O417" i="55"/>
  <c r="M417" i="55"/>
  <c r="L417" i="55"/>
  <c r="J417" i="55"/>
  <c r="L416" i="55"/>
  <c r="O416" i="55" s="1"/>
  <c r="J416" i="55"/>
  <c r="M416" i="55" s="1"/>
  <c r="L415" i="55"/>
  <c r="O415" i="55" s="1"/>
  <c r="L414" i="55"/>
  <c r="O414" i="55" s="1"/>
  <c r="L413" i="55"/>
  <c r="O413" i="55" s="1"/>
  <c r="L412" i="55"/>
  <c r="O412" i="55" s="1"/>
  <c r="L411" i="55"/>
  <c r="O411" i="55" s="1"/>
  <c r="O410" i="55"/>
  <c r="L410" i="55"/>
  <c r="L409" i="55"/>
  <c r="O409" i="55" s="1"/>
  <c r="O408" i="55"/>
  <c r="L408" i="55"/>
  <c r="L407" i="55"/>
  <c r="O407" i="55" s="1"/>
  <c r="L406" i="55"/>
  <c r="O406" i="55" s="1"/>
  <c r="L405" i="55"/>
  <c r="O405" i="55" s="1"/>
  <c r="L404" i="55"/>
  <c r="O404" i="55" s="1"/>
  <c r="L403" i="55"/>
  <c r="O403" i="55" s="1"/>
  <c r="O377" i="55"/>
  <c r="L377" i="55"/>
  <c r="M373" i="55"/>
  <c r="L373" i="55"/>
  <c r="O373" i="55" s="1"/>
  <c r="J373" i="55"/>
  <c r="L344" i="55"/>
  <c r="O344" i="55" s="1"/>
  <c r="O340" i="55"/>
  <c r="L340" i="55"/>
  <c r="K340" i="55"/>
  <c r="N340" i="55" s="1"/>
  <c r="L339" i="55"/>
  <c r="O339" i="55" s="1"/>
  <c r="K339" i="55"/>
  <c r="N339" i="55" s="1"/>
  <c r="L338" i="55"/>
  <c r="O338" i="55" s="1"/>
  <c r="K338" i="55"/>
  <c r="N338" i="55" s="1"/>
  <c r="O337" i="55"/>
  <c r="L337" i="55"/>
  <c r="K337" i="55"/>
  <c r="N337" i="55" s="1"/>
  <c r="O336" i="55"/>
  <c r="L336" i="55"/>
  <c r="K336" i="55"/>
  <c r="N336" i="55" s="1"/>
  <c r="L335" i="55"/>
  <c r="O335" i="55" s="1"/>
  <c r="K335" i="55"/>
  <c r="N335" i="55" s="1"/>
  <c r="L334" i="55"/>
  <c r="O334" i="55" s="1"/>
  <c r="K334" i="55"/>
  <c r="N334" i="55" s="1"/>
  <c r="O333" i="55"/>
  <c r="L333" i="55"/>
  <c r="K333" i="55"/>
  <c r="N333" i="55" s="1"/>
  <c r="O332" i="55"/>
  <c r="L332" i="55"/>
  <c r="K332" i="55"/>
  <c r="N332" i="55" s="1"/>
  <c r="L331" i="55"/>
  <c r="O331" i="55" s="1"/>
  <c r="K331" i="55"/>
  <c r="N331" i="55" s="1"/>
  <c r="L330" i="55"/>
  <c r="O330" i="55" s="1"/>
  <c r="K330" i="55"/>
  <c r="N330" i="55" s="1"/>
  <c r="L329" i="55"/>
  <c r="O329" i="55" s="1"/>
  <c r="K329" i="55"/>
  <c r="N329" i="55" s="1"/>
  <c r="O328" i="55"/>
  <c r="L328" i="55"/>
  <c r="K328" i="55"/>
  <c r="N328" i="55" s="1"/>
  <c r="L327" i="55"/>
  <c r="O327" i="55" s="1"/>
  <c r="K327" i="55"/>
  <c r="N327" i="55" s="1"/>
  <c r="L326" i="55"/>
  <c r="O326" i="55" s="1"/>
  <c r="K326" i="55"/>
  <c r="N326" i="55" s="1"/>
  <c r="L325" i="55"/>
  <c r="O325" i="55" s="1"/>
  <c r="K325" i="55"/>
  <c r="N325" i="55" s="1"/>
  <c r="O324" i="55"/>
  <c r="L324" i="55"/>
  <c r="K324" i="55"/>
  <c r="N324" i="55" s="1"/>
  <c r="L323" i="55"/>
  <c r="O323" i="55" s="1"/>
  <c r="K323" i="55"/>
  <c r="N323" i="55" s="1"/>
  <c r="L322" i="55"/>
  <c r="O322" i="55" s="1"/>
  <c r="K322" i="55"/>
  <c r="N322" i="55" s="1"/>
  <c r="L321" i="55"/>
  <c r="O321" i="55" s="1"/>
  <c r="K321" i="55"/>
  <c r="N321" i="55" s="1"/>
  <c r="O320" i="55"/>
  <c r="L320" i="55"/>
  <c r="K320" i="55"/>
  <c r="N320" i="55" s="1"/>
  <c r="L319" i="55"/>
  <c r="O319" i="55" s="1"/>
  <c r="K319" i="55"/>
  <c r="N319" i="55" s="1"/>
  <c r="L318" i="55"/>
  <c r="O318" i="55" s="1"/>
  <c r="K318" i="55"/>
  <c r="N318" i="55" s="1"/>
  <c r="L317" i="55"/>
  <c r="O317" i="55" s="1"/>
  <c r="K317" i="55"/>
  <c r="N317" i="55" s="1"/>
  <c r="O316" i="55"/>
  <c r="L316" i="55"/>
  <c r="K316" i="55"/>
  <c r="N316" i="55" s="1"/>
  <c r="L315" i="55"/>
  <c r="O315" i="55" s="1"/>
  <c r="K315" i="55"/>
  <c r="N315" i="55" s="1"/>
  <c r="L314" i="55"/>
  <c r="O314" i="55" s="1"/>
  <c r="K314" i="55"/>
  <c r="N314" i="55" s="1"/>
  <c r="L313" i="55"/>
  <c r="O313" i="55" s="1"/>
  <c r="K313" i="55"/>
  <c r="N313" i="55" s="1"/>
  <c r="O312" i="55"/>
  <c r="L312" i="55"/>
  <c r="K312" i="55"/>
  <c r="N312" i="55" s="1"/>
  <c r="L311" i="55"/>
  <c r="O311" i="55" s="1"/>
  <c r="K311" i="55"/>
  <c r="N311" i="55" s="1"/>
  <c r="L310" i="55"/>
  <c r="O310" i="55" s="1"/>
  <c r="K310" i="55"/>
  <c r="N310" i="55" s="1"/>
  <c r="L309" i="55"/>
  <c r="O309" i="55" s="1"/>
  <c r="K309" i="55"/>
  <c r="N309" i="55" s="1"/>
  <c r="O308" i="55"/>
  <c r="L308" i="55"/>
  <c r="K308" i="55"/>
  <c r="N308" i="55" s="1"/>
  <c r="L307" i="55"/>
  <c r="O307" i="55" s="1"/>
  <c r="K307" i="55"/>
  <c r="N307" i="55" s="1"/>
  <c r="L306" i="55"/>
  <c r="O306" i="55" s="1"/>
  <c r="K306" i="55"/>
  <c r="N306" i="55" s="1"/>
  <c r="L305" i="55"/>
  <c r="O305" i="55" s="1"/>
  <c r="K305" i="55"/>
  <c r="N305" i="55" s="1"/>
  <c r="O304" i="55"/>
  <c r="L304" i="55"/>
  <c r="K304" i="55"/>
  <c r="N304" i="55" s="1"/>
  <c r="L303" i="55"/>
  <c r="O303" i="55" s="1"/>
  <c r="K303" i="55"/>
  <c r="N303" i="55" s="1"/>
  <c r="L302" i="55"/>
  <c r="O302" i="55" s="1"/>
  <c r="K302" i="55"/>
  <c r="N302" i="55" s="1"/>
  <c r="L301" i="55"/>
  <c r="O301" i="55" s="1"/>
  <c r="K301" i="55"/>
  <c r="N301" i="55" s="1"/>
  <c r="O300" i="55"/>
  <c r="L300" i="55"/>
  <c r="K300" i="55"/>
  <c r="N300" i="55" s="1"/>
  <c r="L299" i="55"/>
  <c r="O299" i="55" s="1"/>
  <c r="K299" i="55"/>
  <c r="N299" i="55" s="1"/>
  <c r="L298" i="55"/>
  <c r="O298" i="55" s="1"/>
  <c r="K298" i="55"/>
  <c r="N298" i="55" s="1"/>
  <c r="L297" i="55"/>
  <c r="O297" i="55" s="1"/>
  <c r="K297" i="55"/>
  <c r="N297" i="55" s="1"/>
  <c r="O296" i="55"/>
  <c r="L296" i="55"/>
  <c r="K296" i="55"/>
  <c r="N296" i="55" s="1"/>
  <c r="L295" i="55"/>
  <c r="O295" i="55" s="1"/>
  <c r="K295" i="55"/>
  <c r="N295" i="55" s="1"/>
  <c r="L294" i="55"/>
  <c r="O294" i="55" s="1"/>
  <c r="K294" i="55"/>
  <c r="N294" i="55" s="1"/>
  <c r="L293" i="55"/>
  <c r="O293" i="55" s="1"/>
  <c r="K293" i="55"/>
  <c r="N293" i="55" s="1"/>
  <c r="O292" i="55"/>
  <c r="L292" i="55"/>
  <c r="K292" i="55"/>
  <c r="N292" i="55" s="1"/>
  <c r="L291" i="55"/>
  <c r="O291" i="55" s="1"/>
  <c r="K291" i="55"/>
  <c r="N291" i="55" s="1"/>
  <c r="L290" i="55"/>
  <c r="O290" i="55" s="1"/>
  <c r="K290" i="55"/>
  <c r="N290" i="55" s="1"/>
  <c r="L289" i="55"/>
  <c r="O289" i="55" s="1"/>
  <c r="K289" i="55"/>
  <c r="N289" i="55" s="1"/>
  <c r="L288" i="55"/>
  <c r="O288" i="55" s="1"/>
  <c r="K288" i="55"/>
  <c r="N288" i="55" s="1"/>
  <c r="N287" i="55"/>
  <c r="L287" i="55"/>
  <c r="O287" i="55" s="1"/>
  <c r="K287" i="55"/>
  <c r="L286" i="55"/>
  <c r="O286" i="55" s="1"/>
  <c r="K286" i="55"/>
  <c r="N286" i="55" s="1"/>
  <c r="O285" i="55"/>
  <c r="L285" i="55"/>
  <c r="K285" i="55"/>
  <c r="N285" i="55" s="1"/>
  <c r="L284" i="55"/>
  <c r="O284" i="55" s="1"/>
  <c r="K284" i="55"/>
  <c r="N284" i="55" s="1"/>
  <c r="N283" i="55"/>
  <c r="L283" i="55"/>
  <c r="O283" i="55" s="1"/>
  <c r="K283" i="55"/>
  <c r="L282" i="55"/>
  <c r="O282" i="55" s="1"/>
  <c r="K282" i="55"/>
  <c r="N282" i="55" s="1"/>
  <c r="O281" i="55"/>
  <c r="L281" i="55"/>
  <c r="K281" i="55"/>
  <c r="N281" i="55" s="1"/>
  <c r="L280" i="55"/>
  <c r="O280" i="55" s="1"/>
  <c r="K280" i="55"/>
  <c r="N280" i="55" s="1"/>
  <c r="N279" i="55"/>
  <c r="L279" i="55"/>
  <c r="O279" i="55" s="1"/>
  <c r="K279" i="55"/>
  <c r="L278" i="55"/>
  <c r="O278" i="55" s="1"/>
  <c r="K278" i="55"/>
  <c r="N278" i="55" s="1"/>
  <c r="O277" i="55"/>
  <c r="L277" i="55"/>
  <c r="K277" i="55"/>
  <c r="N277" i="55" s="1"/>
  <c r="L276" i="55"/>
  <c r="O276" i="55" s="1"/>
  <c r="K276" i="55"/>
  <c r="N276" i="55" s="1"/>
  <c r="N275" i="55"/>
  <c r="L275" i="55"/>
  <c r="O275" i="55" s="1"/>
  <c r="K275" i="55"/>
  <c r="L274" i="55"/>
  <c r="O274" i="55" s="1"/>
  <c r="K274" i="55"/>
  <c r="N274" i="55" s="1"/>
  <c r="O273" i="55"/>
  <c r="L273" i="55"/>
  <c r="K273" i="55"/>
  <c r="N273" i="55" s="1"/>
  <c r="L272" i="55"/>
  <c r="O272" i="55" s="1"/>
  <c r="K272" i="55"/>
  <c r="N272" i="55" s="1"/>
  <c r="N271" i="55"/>
  <c r="L271" i="55"/>
  <c r="O271" i="55" s="1"/>
  <c r="K271" i="55"/>
  <c r="L270" i="55"/>
  <c r="O270" i="55" s="1"/>
  <c r="K270" i="55"/>
  <c r="N270" i="55" s="1"/>
  <c r="O269" i="55"/>
  <c r="L269" i="55"/>
  <c r="K269" i="55"/>
  <c r="N269" i="55" s="1"/>
  <c r="L268" i="55"/>
  <c r="O268" i="55" s="1"/>
  <c r="K268" i="55"/>
  <c r="N268" i="55" s="1"/>
  <c r="N267" i="55"/>
  <c r="L267" i="55"/>
  <c r="O267" i="55" s="1"/>
  <c r="K267" i="55"/>
  <c r="L266" i="55"/>
  <c r="O266" i="55" s="1"/>
  <c r="K266" i="55"/>
  <c r="N266" i="55" s="1"/>
  <c r="O265" i="55"/>
  <c r="L265" i="55"/>
  <c r="K265" i="55"/>
  <c r="N265" i="55" s="1"/>
  <c r="L264" i="55"/>
  <c r="O264" i="55" s="1"/>
  <c r="K264" i="55"/>
  <c r="N264" i="55" s="1"/>
  <c r="N263" i="55"/>
  <c r="L263" i="55"/>
  <c r="O263" i="55" s="1"/>
  <c r="K263" i="55"/>
  <c r="L262" i="55"/>
  <c r="O262" i="55" s="1"/>
  <c r="K262" i="55"/>
  <c r="N262" i="55" s="1"/>
  <c r="O261" i="55"/>
  <c r="L261" i="55"/>
  <c r="K261" i="55"/>
  <c r="N261" i="55" s="1"/>
  <c r="L260" i="55"/>
  <c r="O260" i="55" s="1"/>
  <c r="K260" i="55"/>
  <c r="N260" i="55" s="1"/>
  <c r="N259" i="55"/>
  <c r="L259" i="55"/>
  <c r="O259" i="55" s="1"/>
  <c r="K259" i="55"/>
  <c r="L258" i="55"/>
  <c r="O258" i="55" s="1"/>
  <c r="K258" i="55"/>
  <c r="N258" i="55" s="1"/>
  <c r="O257" i="55"/>
  <c r="L257" i="55"/>
  <c r="K257" i="55"/>
  <c r="N257" i="55" s="1"/>
  <c r="L256" i="55"/>
  <c r="O256" i="55" s="1"/>
  <c r="K256" i="55"/>
  <c r="N256" i="55" s="1"/>
  <c r="N255" i="55"/>
  <c r="L255" i="55"/>
  <c r="O255" i="55" s="1"/>
  <c r="K255" i="55"/>
  <c r="L254" i="55"/>
  <c r="O254" i="55" s="1"/>
  <c r="K254" i="55"/>
  <c r="N254" i="55" s="1"/>
  <c r="O253" i="55"/>
  <c r="L253" i="55"/>
  <c r="K253" i="55"/>
  <c r="N253" i="55" s="1"/>
  <c r="L252" i="55"/>
  <c r="O252" i="55" s="1"/>
  <c r="K252" i="55"/>
  <c r="N252" i="55" s="1"/>
  <c r="N251" i="55"/>
  <c r="L251" i="55"/>
  <c r="O251" i="55" s="1"/>
  <c r="K251" i="55"/>
  <c r="L250" i="55"/>
  <c r="O250" i="55" s="1"/>
  <c r="K250" i="55"/>
  <c r="N250" i="55" s="1"/>
  <c r="O249" i="55"/>
  <c r="L249" i="55"/>
  <c r="K249" i="55"/>
  <c r="N249" i="55" s="1"/>
  <c r="L248" i="55"/>
  <c r="O248" i="55" s="1"/>
  <c r="K248" i="55"/>
  <c r="N248" i="55" s="1"/>
  <c r="N247" i="55"/>
  <c r="L247" i="55"/>
  <c r="O247" i="55" s="1"/>
  <c r="K247" i="55"/>
  <c r="L246" i="55"/>
  <c r="O246" i="55" s="1"/>
  <c r="K246" i="55"/>
  <c r="N246" i="55" s="1"/>
  <c r="O245" i="55"/>
  <c r="L245" i="55"/>
  <c r="K245" i="55"/>
  <c r="N245" i="55" s="1"/>
  <c r="L244" i="55"/>
  <c r="O244" i="55" s="1"/>
  <c r="K244" i="55"/>
  <c r="N244" i="55" s="1"/>
  <c r="N243" i="55"/>
  <c r="L243" i="55"/>
  <c r="O243" i="55" s="1"/>
  <c r="K243" i="55"/>
  <c r="L242" i="55"/>
  <c r="O242" i="55" s="1"/>
  <c r="K242" i="55"/>
  <c r="N242" i="55" s="1"/>
  <c r="O241" i="55"/>
  <c r="L241" i="55"/>
  <c r="K241" i="55"/>
  <c r="N241" i="55" s="1"/>
  <c r="L240" i="55"/>
  <c r="O240" i="55" s="1"/>
  <c r="K240" i="55"/>
  <c r="N240" i="55" s="1"/>
  <c r="N239" i="55"/>
  <c r="L239" i="55"/>
  <c r="O239" i="55" s="1"/>
  <c r="K239" i="55"/>
  <c r="L238" i="55"/>
  <c r="O238" i="55" s="1"/>
  <c r="K238" i="55"/>
  <c r="N238" i="55" s="1"/>
  <c r="O237" i="55"/>
  <c r="L237" i="55"/>
  <c r="K237" i="55"/>
  <c r="N237" i="55" s="1"/>
  <c r="L236" i="55"/>
  <c r="O236" i="55" s="1"/>
  <c r="K236" i="55"/>
  <c r="N236" i="55" s="1"/>
  <c r="N235" i="55"/>
  <c r="L235" i="55"/>
  <c r="O235" i="55" s="1"/>
  <c r="K235" i="55"/>
  <c r="L234" i="55"/>
  <c r="O234" i="55" s="1"/>
  <c r="K234" i="55"/>
  <c r="N234" i="55" s="1"/>
  <c r="O233" i="55"/>
  <c r="L233" i="55"/>
  <c r="K233" i="55"/>
  <c r="N233" i="55" s="1"/>
  <c r="L232" i="55"/>
  <c r="O232" i="55" s="1"/>
  <c r="K232" i="55"/>
  <c r="N232" i="55" s="1"/>
  <c r="N231" i="55"/>
  <c r="L231" i="55"/>
  <c r="O231" i="55" s="1"/>
  <c r="K231" i="55"/>
  <c r="L230" i="55"/>
  <c r="O230" i="55" s="1"/>
  <c r="K230" i="55"/>
  <c r="N230" i="55" s="1"/>
  <c r="O229" i="55"/>
  <c r="L229" i="55"/>
  <c r="K229" i="55"/>
  <c r="N229" i="55" s="1"/>
  <c r="L228" i="55"/>
  <c r="O228" i="55" s="1"/>
  <c r="K228" i="55"/>
  <c r="N228" i="55" s="1"/>
  <c r="N227" i="55"/>
  <c r="L227" i="55"/>
  <c r="O227" i="55" s="1"/>
  <c r="K227" i="55"/>
  <c r="L226" i="55"/>
  <c r="O226" i="55" s="1"/>
  <c r="K226" i="55"/>
  <c r="N226" i="55" s="1"/>
  <c r="O225" i="55"/>
  <c r="L225" i="55"/>
  <c r="K225" i="55"/>
  <c r="N225" i="55" s="1"/>
  <c r="L224" i="55"/>
  <c r="O224" i="55" s="1"/>
  <c r="K224" i="55"/>
  <c r="N224" i="55" s="1"/>
  <c r="N223" i="55"/>
  <c r="L223" i="55"/>
  <c r="O223" i="55" s="1"/>
  <c r="K223" i="55"/>
  <c r="L222" i="55"/>
  <c r="O222" i="55" s="1"/>
  <c r="K222" i="55"/>
  <c r="N222" i="55" s="1"/>
  <c r="O221" i="55"/>
  <c r="L221" i="55"/>
  <c r="K221" i="55"/>
  <c r="N221" i="55" s="1"/>
  <c r="L220" i="55"/>
  <c r="O220" i="55" s="1"/>
  <c r="K220" i="55"/>
  <c r="N220" i="55" s="1"/>
  <c r="L219" i="55"/>
  <c r="O219" i="55" s="1"/>
  <c r="L218" i="55"/>
  <c r="O218" i="55" s="1"/>
  <c r="O217" i="55"/>
  <c r="L217" i="55"/>
  <c r="L216" i="55"/>
  <c r="O216" i="55" s="1"/>
  <c r="O215" i="55"/>
  <c r="L215" i="55"/>
  <c r="L214" i="55"/>
  <c r="O214" i="55" s="1"/>
  <c r="L213" i="55"/>
  <c r="O213" i="55" s="1"/>
  <c r="L212" i="55"/>
  <c r="O212" i="55" s="1"/>
  <c r="L211" i="55"/>
  <c r="O211" i="55" s="1"/>
  <c r="L210" i="55"/>
  <c r="O210" i="55" s="1"/>
  <c r="O209" i="55"/>
  <c r="L209" i="55"/>
  <c r="L208" i="55"/>
  <c r="O208" i="55" s="1"/>
  <c r="O207" i="55"/>
  <c r="L207" i="55"/>
  <c r="L206" i="55"/>
  <c r="O206" i="55" s="1"/>
  <c r="L205" i="55"/>
  <c r="O205" i="55" s="1"/>
  <c r="L204" i="55"/>
  <c r="O204" i="55" s="1"/>
  <c r="L203" i="55"/>
  <c r="O203" i="55" s="1"/>
  <c r="L202" i="55"/>
  <c r="O202" i="55" s="1"/>
  <c r="O201" i="55"/>
  <c r="L201" i="55"/>
  <c r="L200" i="55"/>
  <c r="O200" i="55" s="1"/>
  <c r="O199" i="55"/>
  <c r="L199" i="55"/>
  <c r="L198" i="55"/>
  <c r="O198" i="55" s="1"/>
  <c r="L197" i="55"/>
  <c r="O197" i="55" s="1"/>
  <c r="L196" i="55"/>
  <c r="O196" i="55" s="1"/>
  <c r="L195" i="55"/>
  <c r="O195" i="55" s="1"/>
  <c r="L194" i="55"/>
  <c r="O194" i="55" s="1"/>
  <c r="O193" i="55"/>
  <c r="L193" i="55"/>
  <c r="L192" i="55"/>
  <c r="O192" i="55" s="1"/>
  <c r="O191" i="55"/>
  <c r="L191" i="55"/>
  <c r="L190" i="55"/>
  <c r="O190" i="55" s="1"/>
  <c r="L189" i="55"/>
  <c r="O189" i="55" s="1"/>
  <c r="L188" i="55"/>
  <c r="O188" i="55" s="1"/>
  <c r="L187" i="55"/>
  <c r="O187" i="55" s="1"/>
  <c r="L186" i="55"/>
  <c r="O186" i="55" s="1"/>
  <c r="O185" i="55"/>
  <c r="L185" i="55"/>
  <c r="L184" i="55"/>
  <c r="O184" i="55" s="1"/>
  <c r="O135" i="55"/>
  <c r="L135" i="55"/>
  <c r="L133" i="55"/>
  <c r="O133" i="55" s="1"/>
  <c r="O131" i="55"/>
  <c r="L131" i="55"/>
  <c r="L129" i="55"/>
  <c r="O129" i="55" s="1"/>
  <c r="O127" i="55"/>
  <c r="L127" i="55"/>
  <c r="L125" i="55"/>
  <c r="O125" i="55" s="1"/>
  <c r="O123" i="55"/>
  <c r="L123" i="55"/>
  <c r="L120" i="55"/>
  <c r="O120" i="55" s="1"/>
  <c r="L118" i="55"/>
  <c r="O118" i="55" s="1"/>
  <c r="L116" i="55"/>
  <c r="O116" i="55" s="1"/>
  <c r="L114" i="55"/>
  <c r="O114" i="55" s="1"/>
  <c r="L112" i="55"/>
  <c r="O112" i="55" s="1"/>
  <c r="M110" i="55"/>
  <c r="L110" i="55"/>
  <c r="O110" i="55" s="1"/>
  <c r="J110" i="55"/>
  <c r="L109" i="55"/>
  <c r="O109" i="55" s="1"/>
  <c r="J109" i="55"/>
  <c r="M109" i="55" s="1"/>
  <c r="L108" i="55"/>
  <c r="O108" i="55" s="1"/>
  <c r="J108" i="55"/>
  <c r="M108" i="55" s="1"/>
  <c r="O107" i="55"/>
  <c r="L107" i="55"/>
  <c r="J107" i="55"/>
  <c r="M107" i="55" s="1"/>
  <c r="M106" i="55"/>
  <c r="L106" i="55"/>
  <c r="O106" i="55" s="1"/>
  <c r="J106" i="55"/>
  <c r="L105" i="55"/>
  <c r="O105" i="55" s="1"/>
  <c r="J105" i="55"/>
  <c r="M105" i="55" s="1"/>
  <c r="L104" i="55"/>
  <c r="O104" i="55" s="1"/>
  <c r="J104" i="55"/>
  <c r="M104" i="55" s="1"/>
  <c r="O103" i="55"/>
  <c r="L103" i="55"/>
  <c r="J103" i="55"/>
  <c r="M103" i="55" s="1"/>
  <c r="M102" i="55"/>
  <c r="L102" i="55"/>
  <c r="O102" i="55" s="1"/>
  <c r="J102" i="55"/>
  <c r="L101" i="55"/>
  <c r="O101" i="55" s="1"/>
  <c r="J101" i="55"/>
  <c r="M101" i="55" s="1"/>
  <c r="L100" i="55"/>
  <c r="O100" i="55" s="1"/>
  <c r="J100" i="55"/>
  <c r="M100" i="55" s="1"/>
  <c r="O99" i="55"/>
  <c r="L99" i="55"/>
  <c r="J99" i="55"/>
  <c r="M99" i="55" s="1"/>
  <c r="L98" i="55"/>
  <c r="O98" i="55" s="1"/>
  <c r="L96" i="55"/>
  <c r="O96" i="55" s="1"/>
  <c r="L94" i="55"/>
  <c r="O94" i="55" s="1"/>
  <c r="L92" i="55"/>
  <c r="O92" i="55" s="1"/>
  <c r="L90" i="55"/>
  <c r="O90" i="55" s="1"/>
  <c r="L88" i="55"/>
  <c r="O88" i="55" s="1"/>
  <c r="L86" i="55"/>
  <c r="O86" i="55" s="1"/>
  <c r="L83" i="55"/>
  <c r="O83" i="55" s="1"/>
  <c r="O81" i="55"/>
  <c r="L81" i="55"/>
  <c r="L79" i="55"/>
  <c r="O79" i="55" s="1"/>
  <c r="O77" i="55"/>
  <c r="L77" i="55"/>
  <c r="L75" i="55"/>
  <c r="O75" i="55" s="1"/>
  <c r="O73" i="55"/>
  <c r="L73" i="55"/>
  <c r="L72" i="55"/>
  <c r="O72" i="55" s="1"/>
  <c r="L71" i="55"/>
  <c r="O71" i="55" s="1"/>
  <c r="L70" i="55"/>
  <c r="O70" i="55" s="1"/>
  <c r="L69" i="55"/>
  <c r="O69" i="55" s="1"/>
  <c r="L68" i="55"/>
  <c r="O68" i="55" s="1"/>
  <c r="L67" i="55"/>
  <c r="O67" i="55" s="1"/>
  <c r="L66" i="55"/>
  <c r="O66" i="55" s="1"/>
  <c r="O65" i="55"/>
  <c r="L65" i="55"/>
  <c r="L64" i="55"/>
  <c r="O64" i="55" s="1"/>
  <c r="L63" i="55"/>
  <c r="O63" i="55" s="1"/>
  <c r="L62" i="55"/>
  <c r="O62" i="55" s="1"/>
  <c r="L61" i="55"/>
  <c r="O61" i="55" s="1"/>
  <c r="J61" i="55"/>
  <c r="M61" i="55" s="1"/>
  <c r="L60" i="55"/>
  <c r="O60" i="55" s="1"/>
  <c r="J60" i="55"/>
  <c r="M60" i="55" s="1"/>
  <c r="O59" i="55"/>
  <c r="L59" i="55"/>
  <c r="J59" i="55"/>
  <c r="M59" i="55" s="1"/>
  <c r="L58" i="55"/>
  <c r="O58" i="55" s="1"/>
  <c r="J58" i="55"/>
  <c r="M58" i="55" s="1"/>
  <c r="L57" i="55"/>
  <c r="O57" i="55" s="1"/>
  <c r="J57" i="55"/>
  <c r="M57" i="55" s="1"/>
  <c r="L56" i="55"/>
  <c r="O56" i="55" s="1"/>
  <c r="J56" i="55"/>
  <c r="M56" i="55" s="1"/>
  <c r="O55" i="55"/>
  <c r="L55" i="55"/>
  <c r="J55" i="55"/>
  <c r="M55" i="55" s="1"/>
  <c r="L54" i="55"/>
  <c r="O54" i="55" s="1"/>
  <c r="J54" i="55"/>
  <c r="M54" i="55" s="1"/>
  <c r="O53" i="55"/>
  <c r="L53" i="55"/>
  <c r="J53" i="55"/>
  <c r="M53" i="55" s="1"/>
  <c r="L52" i="55"/>
  <c r="O52" i="55" s="1"/>
  <c r="J52" i="55"/>
  <c r="M52" i="55" s="1"/>
  <c r="O51" i="55"/>
  <c r="L51" i="55"/>
  <c r="J51" i="55"/>
  <c r="M51" i="55" s="1"/>
  <c r="M50" i="55"/>
  <c r="L50" i="55"/>
  <c r="O50" i="55" s="1"/>
  <c r="J50" i="55"/>
  <c r="O49" i="55"/>
  <c r="L49" i="55"/>
  <c r="L48" i="55"/>
  <c r="O48" i="55" s="1"/>
  <c r="L47" i="55"/>
  <c r="O47" i="55" s="1"/>
  <c r="L46" i="55"/>
  <c r="O46" i="55" s="1"/>
  <c r="O45" i="55"/>
  <c r="L45" i="55"/>
  <c r="L44" i="55"/>
  <c r="O44" i="55" s="1"/>
  <c r="L43" i="55"/>
  <c r="O43" i="55" s="1"/>
  <c r="L42" i="55"/>
  <c r="O42" i="55" s="1"/>
  <c r="O41" i="55"/>
  <c r="L41" i="55"/>
  <c r="L40" i="55"/>
  <c r="O40" i="55" s="1"/>
  <c r="L39" i="55"/>
  <c r="O39" i="55" s="1"/>
  <c r="L38" i="55"/>
  <c r="O38" i="55" s="1"/>
  <c r="O37" i="55"/>
  <c r="L37" i="55"/>
  <c r="L36" i="55"/>
  <c r="O36" i="55" s="1"/>
  <c r="L35" i="55"/>
  <c r="O35" i="55" s="1"/>
  <c r="L34" i="55"/>
  <c r="O34" i="55" s="1"/>
  <c r="O33" i="55"/>
  <c r="L33" i="55"/>
  <c r="L32" i="55"/>
  <c r="O32" i="55" s="1"/>
  <c r="L31" i="55"/>
  <c r="O31" i="55" s="1"/>
  <c r="L30" i="55"/>
  <c r="O30" i="55" s="1"/>
  <c r="O29" i="55"/>
  <c r="L29" i="55"/>
  <c r="L28" i="55"/>
  <c r="O28" i="55" s="1"/>
  <c r="L27" i="55"/>
  <c r="O27" i="55" s="1"/>
  <c r="L26" i="55"/>
  <c r="O26" i="55" s="1"/>
  <c r="O25" i="55"/>
  <c r="L25" i="55"/>
  <c r="J25" i="55"/>
  <c r="M25" i="55" s="1"/>
  <c r="M24" i="55"/>
  <c r="L24" i="55"/>
  <c r="O24" i="55" s="1"/>
  <c r="J24" i="55"/>
  <c r="O23" i="55"/>
  <c r="L23" i="55"/>
  <c r="J23" i="55"/>
  <c r="M23" i="55" s="1"/>
  <c r="L22" i="55"/>
  <c r="O22" i="55" s="1"/>
  <c r="J22" i="55"/>
  <c r="M22" i="55" s="1"/>
  <c r="O21" i="55"/>
  <c r="L21" i="55"/>
  <c r="J21" i="55"/>
  <c r="M21" i="55" s="1"/>
  <c r="L20" i="55"/>
  <c r="O20" i="55" s="1"/>
  <c r="J20" i="55"/>
  <c r="M20" i="55" s="1"/>
  <c r="O19" i="55"/>
  <c r="L19" i="55"/>
  <c r="J19" i="55"/>
  <c r="M19" i="55" s="1"/>
  <c r="L18" i="55"/>
  <c r="O18" i="55" s="1"/>
  <c r="J18" i="55"/>
  <c r="M18" i="55" s="1"/>
  <c r="O17" i="55"/>
  <c r="L17" i="55"/>
  <c r="J17" i="55"/>
  <c r="M17" i="55" s="1"/>
  <c r="L16" i="55"/>
  <c r="O16" i="55" s="1"/>
  <c r="J16" i="55"/>
  <c r="M16" i="55" s="1"/>
  <c r="O15" i="55"/>
  <c r="L15" i="55"/>
  <c r="J15" i="55"/>
  <c r="M15" i="55" s="1"/>
  <c r="L14" i="55"/>
  <c r="O14" i="55" s="1"/>
  <c r="J14" i="55"/>
  <c r="M14" i="55" s="1"/>
  <c r="O13" i="55"/>
  <c r="L13" i="55"/>
  <c r="L12" i="55"/>
  <c r="O12" i="55" s="1"/>
  <c r="L11" i="55"/>
  <c r="O11" i="55" s="1"/>
  <c r="L10" i="55"/>
  <c r="O10" i="55" s="1"/>
  <c r="O9" i="55"/>
  <c r="L9" i="55"/>
  <c r="L8" i="55"/>
  <c r="O8" i="55" s="1"/>
  <c r="L7" i="55"/>
  <c r="O7" i="55" s="1"/>
  <c r="L6" i="55"/>
  <c r="O6" i="55" s="1"/>
  <c r="O5" i="55"/>
  <c r="L5" i="55"/>
  <c r="L4" i="55"/>
  <c r="O4" i="55" s="1"/>
  <c r="L3" i="55"/>
  <c r="O3" i="55" s="1"/>
  <c r="L2" i="55"/>
  <c r="X2188" i="51"/>
  <c r="W2188" i="51"/>
  <c r="X2187" i="51"/>
  <c r="W2187" i="51"/>
  <c r="X2186" i="51"/>
  <c r="W2186" i="51"/>
  <c r="X2185" i="51"/>
  <c r="W2185" i="51"/>
  <c r="X2184" i="51"/>
  <c r="W2184" i="51"/>
  <c r="X2183" i="51"/>
  <c r="W2183" i="51"/>
  <c r="X2182" i="51"/>
  <c r="W2182" i="51"/>
  <c r="X2181" i="51"/>
  <c r="W2181" i="51"/>
  <c r="X2180" i="51"/>
  <c r="W2180" i="51"/>
  <c r="X2179" i="51"/>
  <c r="W2179" i="51"/>
  <c r="X2178" i="51"/>
  <c r="W2178" i="51"/>
  <c r="X2177" i="51"/>
  <c r="W2177" i="51"/>
  <c r="X2176" i="51"/>
  <c r="W2176" i="51"/>
  <c r="X1429" i="51"/>
  <c r="W1429" i="51"/>
  <c r="X1428" i="51"/>
  <c r="W1428" i="51"/>
  <c r="X1427" i="51"/>
  <c r="W1427" i="51"/>
  <c r="X1426" i="51"/>
  <c r="W1426" i="51"/>
  <c r="X1425" i="51"/>
  <c r="W1425" i="51"/>
  <c r="X1424" i="51"/>
  <c r="W1424" i="51"/>
  <c r="X1423" i="51"/>
  <c r="W1423" i="51"/>
  <c r="X1422" i="51"/>
  <c r="W1422" i="51"/>
  <c r="X1421" i="51"/>
  <c r="W1421" i="51"/>
  <c r="X1420" i="51"/>
  <c r="W1420" i="51"/>
  <c r="X1419" i="51"/>
  <c r="W1419" i="51"/>
  <c r="X1418" i="51"/>
  <c r="W1418" i="51"/>
  <c r="V1417" i="51"/>
  <c r="V1416" i="51"/>
  <c r="V1415" i="51"/>
  <c r="V1414" i="51"/>
  <c r="V1413" i="51"/>
  <c r="V1412" i="51"/>
  <c r="V1411" i="51"/>
  <c r="V1410" i="51"/>
  <c r="V1409" i="51"/>
  <c r="V1408" i="51"/>
  <c r="V1407" i="51"/>
  <c r="V1406" i="51"/>
  <c r="X1405" i="51"/>
  <c r="W1405" i="51"/>
  <c r="X1404" i="51"/>
  <c r="W1404" i="51"/>
  <c r="X1403" i="51"/>
  <c r="W1403" i="51"/>
  <c r="X1402" i="51"/>
  <c r="W1402" i="51"/>
  <c r="X1401" i="51"/>
  <c r="W1401" i="51"/>
  <c r="X1400" i="51"/>
  <c r="W1400" i="51"/>
  <c r="X1399" i="51"/>
  <c r="W1399" i="51"/>
  <c r="X1398" i="51"/>
  <c r="W1398" i="51"/>
  <c r="X1397" i="51"/>
  <c r="W1397" i="51"/>
  <c r="X1396" i="51"/>
  <c r="W1396" i="51"/>
  <c r="X1395" i="51"/>
  <c r="W1395" i="51"/>
  <c r="X1394" i="51"/>
  <c r="W1394" i="51"/>
  <c r="X1393" i="51"/>
  <c r="W1393" i="51"/>
  <c r="X1392" i="51"/>
  <c r="W1392" i="51"/>
  <c r="X1391" i="51"/>
  <c r="W1391" i="51"/>
  <c r="X1390" i="51"/>
  <c r="W1390" i="51"/>
  <c r="X1389" i="51"/>
  <c r="W1389" i="51"/>
  <c r="X1388" i="51"/>
  <c r="W1388" i="51"/>
  <c r="X1387" i="51"/>
  <c r="W1387" i="51"/>
  <c r="X1386" i="51"/>
  <c r="W1386" i="51"/>
  <c r="X1385" i="51"/>
  <c r="W1385" i="51"/>
  <c r="X1384" i="51"/>
  <c r="W1384" i="51"/>
  <c r="X1383" i="51"/>
  <c r="W1383" i="51"/>
  <c r="X1382" i="51"/>
  <c r="W1382" i="51"/>
  <c r="X1381" i="51"/>
  <c r="W1381" i="51"/>
  <c r="X1380" i="51"/>
  <c r="W1380" i="51"/>
  <c r="X1379" i="51"/>
  <c r="W1379" i="51"/>
  <c r="X1378" i="51"/>
  <c r="W1378" i="51"/>
  <c r="X1377" i="51"/>
  <c r="W1377" i="51"/>
  <c r="X1376" i="51"/>
  <c r="W1376" i="51"/>
  <c r="X1375" i="51"/>
  <c r="W1375" i="51"/>
  <c r="X1374" i="51"/>
  <c r="W1374" i="51"/>
  <c r="X1373" i="51"/>
  <c r="W1373" i="51"/>
  <c r="X1372" i="51"/>
  <c r="W1372" i="51"/>
  <c r="X1371" i="51"/>
  <c r="W1371" i="51"/>
  <c r="X1370" i="51"/>
  <c r="W1370" i="51"/>
  <c r="X1369" i="51"/>
  <c r="W1369" i="51"/>
  <c r="X1368" i="51"/>
  <c r="W1368" i="51"/>
  <c r="X1367" i="51"/>
  <c r="W1367" i="51"/>
  <c r="X1366" i="51"/>
  <c r="W1366" i="51"/>
  <c r="V1365" i="51"/>
  <c r="V1364" i="51"/>
  <c r="V1363" i="51"/>
  <c r="V1362" i="51"/>
  <c r="V1361" i="51"/>
  <c r="V1360" i="51"/>
  <c r="V1359" i="51"/>
  <c r="V1358" i="51"/>
  <c r="V1357" i="51"/>
  <c r="V1356" i="51"/>
  <c r="V1355" i="51"/>
  <c r="V1354" i="51"/>
  <c r="V1353" i="51"/>
  <c r="V1352" i="51"/>
  <c r="V1351" i="51"/>
  <c r="V1350" i="51"/>
  <c r="V1349" i="51"/>
  <c r="V1348" i="51"/>
  <c r="V1347" i="51"/>
  <c r="V1346" i="51"/>
  <c r="V1345" i="51"/>
  <c r="V1344" i="51"/>
  <c r="V1343" i="51"/>
  <c r="V1342" i="51"/>
  <c r="V1341" i="51"/>
  <c r="V1340" i="51"/>
  <c r="V1339" i="51"/>
  <c r="V1338" i="51"/>
  <c r="V1337" i="51"/>
  <c r="V1336" i="51"/>
  <c r="V1335" i="51"/>
  <c r="V1334" i="51"/>
  <c r="V1333" i="51"/>
  <c r="V1332" i="51"/>
  <c r="X1331" i="51"/>
  <c r="W1331" i="51"/>
  <c r="X1330" i="51"/>
  <c r="W1330" i="51"/>
  <c r="X1329" i="51"/>
  <c r="W1329" i="51"/>
  <c r="X1328" i="51"/>
  <c r="W1328" i="51"/>
  <c r="X1327" i="51"/>
  <c r="W1327" i="51"/>
  <c r="X1326" i="51"/>
  <c r="W1326" i="51"/>
  <c r="X1325" i="51"/>
  <c r="W1325" i="51"/>
  <c r="X1324" i="51"/>
  <c r="W1324" i="51"/>
  <c r="X1323" i="51"/>
  <c r="W1323" i="51"/>
  <c r="X1322" i="51"/>
  <c r="W1322" i="51"/>
  <c r="X1321" i="51"/>
  <c r="W1321" i="51"/>
  <c r="X1320" i="51"/>
  <c r="W1320" i="51"/>
  <c r="X1319" i="51"/>
  <c r="W1319" i="51"/>
  <c r="X1318" i="51"/>
  <c r="W1318" i="51"/>
  <c r="X1317" i="51"/>
  <c r="W1317" i="51"/>
  <c r="X1316" i="51"/>
  <c r="W1316" i="51"/>
  <c r="X1315" i="51"/>
  <c r="W1315" i="51"/>
  <c r="X1314" i="51"/>
  <c r="W1314" i="51"/>
  <c r="X1313" i="51"/>
  <c r="W1313" i="51"/>
  <c r="X1312" i="51"/>
  <c r="W1312" i="51"/>
  <c r="X1311" i="51"/>
  <c r="W1311" i="51"/>
  <c r="X1310" i="51"/>
  <c r="W1310" i="51"/>
  <c r="X1309" i="51"/>
  <c r="W1309" i="51"/>
  <c r="X1308" i="51"/>
  <c r="W1308" i="51"/>
  <c r="X1307" i="51"/>
  <c r="W1307" i="51"/>
  <c r="X1306" i="51"/>
  <c r="W1306" i="51"/>
  <c r="X1305" i="51"/>
  <c r="W1305" i="51"/>
  <c r="X1304" i="51"/>
  <c r="W1304" i="51"/>
  <c r="X1303" i="51"/>
  <c r="W1303" i="51"/>
  <c r="X1302" i="51"/>
  <c r="W1302" i="51"/>
  <c r="X1301" i="51"/>
  <c r="W1301" i="51"/>
  <c r="X1300" i="51"/>
  <c r="W1300" i="51"/>
  <c r="X1299" i="51"/>
  <c r="W1299" i="51"/>
  <c r="X1298" i="51"/>
  <c r="W1298" i="51"/>
  <c r="X1297" i="51"/>
  <c r="W1297" i="51"/>
  <c r="X1296" i="51"/>
  <c r="W1296" i="51"/>
  <c r="X1295" i="51"/>
  <c r="W1295" i="51"/>
  <c r="X1294" i="51"/>
  <c r="W1294" i="51"/>
  <c r="X1293" i="51"/>
  <c r="W1293" i="51"/>
  <c r="X1292" i="51"/>
  <c r="W1292" i="51"/>
  <c r="X1291" i="51"/>
  <c r="W1291" i="51"/>
  <c r="X1290" i="51"/>
  <c r="W1290" i="51"/>
  <c r="X1289" i="51"/>
  <c r="W1289" i="51"/>
  <c r="X1288" i="51"/>
  <c r="W1288" i="51"/>
  <c r="X1287" i="51"/>
  <c r="W1287" i="51"/>
  <c r="X1286" i="51"/>
  <c r="W1286" i="51"/>
  <c r="X1285" i="51"/>
  <c r="W1285" i="51"/>
  <c r="X1284" i="51"/>
  <c r="W1284" i="51"/>
  <c r="X1283" i="51"/>
  <c r="W1283" i="51"/>
  <c r="X1282" i="51"/>
  <c r="W1282" i="51"/>
  <c r="X1281" i="51"/>
  <c r="W1281" i="51"/>
  <c r="X1280" i="51"/>
  <c r="W1280" i="51"/>
  <c r="X1279" i="51"/>
  <c r="W1279" i="51"/>
  <c r="X1278" i="51"/>
  <c r="W1278" i="51"/>
  <c r="X1277" i="51"/>
  <c r="W1277" i="51"/>
  <c r="X1276" i="51"/>
  <c r="W1276" i="51"/>
  <c r="V1275" i="51"/>
  <c r="V1274" i="51"/>
  <c r="V1273" i="51"/>
  <c r="V1272" i="51"/>
  <c r="V1271" i="51"/>
  <c r="V1270" i="51"/>
  <c r="V1269" i="51"/>
  <c r="V1268" i="51"/>
  <c r="V1267" i="51"/>
  <c r="V1266" i="51"/>
  <c r="V1265" i="51"/>
  <c r="V1264" i="51"/>
  <c r="V1263" i="51"/>
  <c r="V1262" i="51"/>
  <c r="V1261" i="51"/>
  <c r="V1260" i="51"/>
  <c r="V1259" i="51"/>
  <c r="V1258" i="51"/>
  <c r="V1257" i="51"/>
  <c r="V1256" i="51"/>
  <c r="V1255" i="51"/>
  <c r="V1254" i="51"/>
  <c r="V1253" i="51"/>
  <c r="V1252" i="51"/>
  <c r="V1251" i="51"/>
  <c r="V1250" i="51"/>
  <c r="V1249" i="51"/>
  <c r="V1248" i="51"/>
  <c r="V1247" i="51"/>
  <c r="V1246" i="51"/>
  <c r="V1245" i="51"/>
  <c r="V1244" i="51"/>
  <c r="V1243" i="51"/>
  <c r="V1242" i="51"/>
  <c r="V1241" i="51"/>
  <c r="V1240" i="51"/>
  <c r="X1239" i="51"/>
  <c r="W1239" i="51"/>
  <c r="X1238" i="51"/>
  <c r="W1238" i="51"/>
  <c r="X1237" i="51"/>
  <c r="W1237" i="51"/>
  <c r="X1236" i="51"/>
  <c r="W1236" i="51"/>
  <c r="X1235" i="51"/>
  <c r="W1235" i="51"/>
  <c r="X1234" i="51"/>
  <c r="W1234" i="51"/>
  <c r="X1233" i="51"/>
  <c r="W1233" i="51"/>
  <c r="X1232" i="51"/>
  <c r="W1232" i="51"/>
  <c r="X1231" i="51"/>
  <c r="W1231" i="51"/>
  <c r="X1230" i="51"/>
  <c r="W1230" i="51"/>
  <c r="X1229" i="51"/>
  <c r="W1229" i="51"/>
  <c r="X1228" i="51"/>
  <c r="W1228" i="51"/>
  <c r="X1227" i="51"/>
  <c r="W1227" i="51"/>
  <c r="X1226" i="51"/>
  <c r="W1226" i="51"/>
  <c r="X1225" i="51"/>
  <c r="W1225" i="51"/>
  <c r="X1224" i="51"/>
  <c r="W1224" i="51"/>
  <c r="X1223" i="51"/>
  <c r="W1223" i="51"/>
  <c r="X1222" i="51"/>
  <c r="W1222" i="51"/>
  <c r="X1221" i="51"/>
  <c r="W1221" i="51"/>
  <c r="X1220" i="51"/>
  <c r="W1220" i="51"/>
  <c r="X1219" i="51"/>
  <c r="W1219" i="51"/>
  <c r="X1218" i="51"/>
  <c r="W1218" i="51"/>
  <c r="X1217" i="51"/>
  <c r="W1217" i="51"/>
  <c r="X1216" i="51"/>
  <c r="W1216" i="51"/>
  <c r="X1215" i="51"/>
  <c r="W1215" i="51"/>
  <c r="X1214" i="51"/>
  <c r="W1214" i="51"/>
  <c r="X1213" i="51"/>
  <c r="W1213" i="51"/>
  <c r="X1212" i="51"/>
  <c r="W1212" i="51"/>
  <c r="X1211" i="51"/>
  <c r="W1211" i="51"/>
  <c r="AD1017" i="52"/>
  <c r="X1017" i="52"/>
  <c r="W1017" i="52"/>
  <c r="AD1016" i="52"/>
  <c r="X1016" i="52"/>
  <c r="W1016" i="52"/>
  <c r="AD1015" i="52"/>
  <c r="X1015" i="52"/>
  <c r="W1015" i="52"/>
  <c r="AD1014" i="52"/>
  <c r="X1014" i="52"/>
  <c r="W1014" i="52"/>
  <c r="AD1013" i="52"/>
  <c r="X1013" i="52"/>
  <c r="W1013" i="52"/>
  <c r="AD1012" i="52"/>
  <c r="X1012" i="52"/>
  <c r="W1012" i="52"/>
  <c r="AD1011" i="52"/>
  <c r="X1011" i="52"/>
  <c r="W1011" i="52"/>
  <c r="AD1010" i="52"/>
  <c r="X1010" i="52"/>
  <c r="W1010" i="52"/>
  <c r="AD1009" i="52"/>
  <c r="X1009" i="52"/>
  <c r="W1009" i="52"/>
  <c r="AD1008" i="52"/>
  <c r="X1008" i="52"/>
  <c r="W1008" i="52"/>
  <c r="AD1007" i="52"/>
  <c r="X1007" i="52"/>
  <c r="W1007" i="52"/>
  <c r="AD1006" i="52"/>
  <c r="X1006" i="52"/>
  <c r="W1006" i="52"/>
  <c r="AD1005" i="52"/>
  <c r="AD11" i="55" s="1"/>
  <c r="X1005" i="52"/>
  <c r="W1005" i="52"/>
  <c r="AD671" i="52"/>
  <c r="X671" i="52"/>
  <c r="W671" i="52"/>
  <c r="AD670" i="52"/>
  <c r="X670" i="52"/>
  <c r="W670" i="52"/>
  <c r="AD669" i="52"/>
  <c r="X669" i="52"/>
  <c r="W669" i="52"/>
  <c r="AD668" i="52"/>
  <c r="X668" i="52"/>
  <c r="W668" i="52"/>
  <c r="AD667" i="52"/>
  <c r="X667" i="52"/>
  <c r="W667" i="52"/>
  <c r="AD666" i="52"/>
  <c r="X666" i="52"/>
  <c r="W666" i="52"/>
  <c r="AD665" i="52"/>
  <c r="X665" i="52"/>
  <c r="W665" i="52"/>
  <c r="AD664" i="52"/>
  <c r="X664" i="52"/>
  <c r="W664" i="52"/>
  <c r="AD663" i="52"/>
  <c r="X663" i="52"/>
  <c r="W663" i="52"/>
  <c r="AD662" i="52"/>
  <c r="X662" i="52"/>
  <c r="W662" i="52"/>
  <c r="AD661" i="52"/>
  <c r="X661" i="52"/>
  <c r="W661" i="52"/>
  <c r="AD660" i="52"/>
  <c r="X660" i="52"/>
  <c r="W660" i="52"/>
  <c r="AE659" i="52"/>
  <c r="AB659" i="52"/>
  <c r="V659" i="52"/>
  <c r="AE658" i="52"/>
  <c r="V658" i="52"/>
  <c r="AB658" i="52" s="1"/>
  <c r="AE657" i="52"/>
  <c r="V657" i="52"/>
  <c r="AB657" i="52" s="1"/>
  <c r="AE656" i="52"/>
  <c r="V656" i="52"/>
  <c r="AB656" i="52" s="1"/>
  <c r="AE655" i="52"/>
  <c r="AB655" i="52"/>
  <c r="V655" i="52"/>
  <c r="AE654" i="52"/>
  <c r="V654" i="52"/>
  <c r="AB654" i="52" s="1"/>
  <c r="AE653" i="52"/>
  <c r="V653" i="52"/>
  <c r="AB653" i="52" s="1"/>
  <c r="AE652" i="52"/>
  <c r="V652" i="52"/>
  <c r="AB652" i="52" s="1"/>
  <c r="AE651" i="52"/>
  <c r="V651" i="52"/>
  <c r="AB651" i="52" s="1"/>
  <c r="AE650" i="52"/>
  <c r="V650" i="52"/>
  <c r="AB650" i="52" s="1"/>
  <c r="AE649" i="52"/>
  <c r="V649" i="52"/>
  <c r="AB649" i="52" s="1"/>
  <c r="AE648" i="52"/>
  <c r="V648" i="52"/>
  <c r="AB648" i="52" s="1"/>
  <c r="AD647" i="52"/>
  <c r="X647" i="52"/>
  <c r="W647" i="52"/>
  <c r="AC647" i="52" s="1"/>
  <c r="AD646" i="52"/>
  <c r="X646" i="52"/>
  <c r="W646" i="52"/>
  <c r="AC646" i="52" s="1"/>
  <c r="AD645" i="52"/>
  <c r="X645" i="52"/>
  <c r="W645" i="52"/>
  <c r="AC645" i="52" s="1"/>
  <c r="AD644" i="52"/>
  <c r="X644" i="52"/>
  <c r="W644" i="52"/>
  <c r="AD643" i="52"/>
  <c r="X643" i="52"/>
  <c r="W643" i="52"/>
  <c r="AC643" i="52" s="1"/>
  <c r="AD642" i="52"/>
  <c r="X642" i="52"/>
  <c r="W642" i="52"/>
  <c r="AC642" i="52" s="1"/>
  <c r="AD641" i="52"/>
  <c r="X641" i="52"/>
  <c r="W641" i="52"/>
  <c r="AC641" i="52" s="1"/>
  <c r="AD640" i="52"/>
  <c r="X640" i="52"/>
  <c r="W640" i="52"/>
  <c r="AC640" i="52" s="1"/>
  <c r="AD639" i="52"/>
  <c r="X639" i="52"/>
  <c r="W639" i="52"/>
  <c r="AC639" i="52" s="1"/>
  <c r="AD638" i="52"/>
  <c r="X638" i="52"/>
  <c r="W638" i="52"/>
  <c r="AC638" i="52" s="1"/>
  <c r="AD637" i="52"/>
  <c r="X637" i="52"/>
  <c r="W637" i="52"/>
  <c r="AC637" i="52" s="1"/>
  <c r="AD636" i="52"/>
  <c r="X636" i="52"/>
  <c r="W636" i="52"/>
  <c r="AD635" i="52"/>
  <c r="X635" i="52"/>
  <c r="W635" i="52"/>
  <c r="AC635" i="52" s="1"/>
  <c r="AD634" i="52"/>
  <c r="X634" i="52"/>
  <c r="W634" i="52"/>
  <c r="AC634" i="52" s="1"/>
  <c r="AD633" i="52"/>
  <c r="X633" i="52"/>
  <c r="W633" i="52"/>
  <c r="AC633" i="52" s="1"/>
  <c r="AD632" i="52"/>
  <c r="X632" i="52"/>
  <c r="W632" i="52"/>
  <c r="AC632" i="52" s="1"/>
  <c r="AD631" i="52"/>
  <c r="X631" i="52"/>
  <c r="W631" i="52"/>
  <c r="AC631" i="52" s="1"/>
  <c r="AD630" i="52"/>
  <c r="X630" i="52"/>
  <c r="W630" i="52"/>
  <c r="AC630" i="52" s="1"/>
  <c r="AD629" i="52"/>
  <c r="X629" i="52"/>
  <c r="W629" i="52"/>
  <c r="AC629" i="52" s="1"/>
  <c r="AD628" i="52"/>
  <c r="X628" i="52"/>
  <c r="W628" i="52"/>
  <c r="AC628" i="52" s="1"/>
  <c r="AD627" i="52"/>
  <c r="X627" i="52"/>
  <c r="W627" i="52"/>
  <c r="AC627" i="52" s="1"/>
  <c r="AD626" i="52"/>
  <c r="X626" i="52"/>
  <c r="W626" i="52"/>
  <c r="AC626" i="52" s="1"/>
  <c r="AD625" i="52"/>
  <c r="X625" i="52"/>
  <c r="W625" i="52"/>
  <c r="AC625" i="52" s="1"/>
  <c r="AD624" i="52"/>
  <c r="X624" i="52"/>
  <c r="W624" i="52"/>
  <c r="AC624" i="52" s="1"/>
  <c r="AD623" i="52"/>
  <c r="X623" i="52"/>
  <c r="W623" i="52"/>
  <c r="AC623" i="52" s="1"/>
  <c r="AD622" i="52"/>
  <c r="X622" i="52"/>
  <c r="W622" i="52"/>
  <c r="AC622" i="52" s="1"/>
  <c r="AD621" i="52"/>
  <c r="X621" i="52"/>
  <c r="W621" i="52"/>
  <c r="AC621" i="52" s="1"/>
  <c r="AD620" i="52"/>
  <c r="X620" i="52"/>
  <c r="W620" i="52"/>
  <c r="AC620" i="52" s="1"/>
  <c r="AD619" i="52"/>
  <c r="X619" i="52"/>
  <c r="W619" i="52"/>
  <c r="AC619" i="52" s="1"/>
  <c r="AD618" i="52"/>
  <c r="X618" i="52"/>
  <c r="W618" i="52"/>
  <c r="AC618" i="52" s="1"/>
  <c r="AD617" i="52"/>
  <c r="X617" i="52"/>
  <c r="W617" i="52"/>
  <c r="AC617" i="52" s="1"/>
  <c r="AD616" i="52"/>
  <c r="X616" i="52"/>
  <c r="W616" i="52"/>
  <c r="AC616" i="52" s="1"/>
  <c r="AD615" i="52"/>
  <c r="X615" i="52"/>
  <c r="W615" i="52"/>
  <c r="AC615" i="52" s="1"/>
  <c r="AD614" i="52"/>
  <c r="X614" i="52"/>
  <c r="W614" i="52"/>
  <c r="AC614" i="52" s="1"/>
  <c r="AD613" i="52"/>
  <c r="X613" i="52"/>
  <c r="W613" i="52"/>
  <c r="AC613" i="52" s="1"/>
  <c r="AD612" i="52"/>
  <c r="X612" i="52"/>
  <c r="W612" i="52"/>
  <c r="AC612" i="52" s="1"/>
  <c r="AD611" i="52"/>
  <c r="X611" i="52"/>
  <c r="W611" i="52"/>
  <c r="AC611" i="52" s="1"/>
  <c r="AD610" i="52"/>
  <c r="X610" i="52"/>
  <c r="W610" i="52"/>
  <c r="AC610" i="52" s="1"/>
  <c r="AD609" i="52"/>
  <c r="X609" i="52"/>
  <c r="W609" i="52"/>
  <c r="AC609" i="52" s="1"/>
  <c r="AD608" i="52"/>
  <c r="X608" i="52"/>
  <c r="W608" i="52"/>
  <c r="AC608" i="52" s="1"/>
  <c r="AE607" i="52"/>
  <c r="V607" i="52"/>
  <c r="AB607" i="52" s="1"/>
  <c r="AE606" i="52"/>
  <c r="V606" i="52"/>
  <c r="AB606" i="52" s="1"/>
  <c r="AE605" i="52"/>
  <c r="V605" i="52"/>
  <c r="AB605" i="52" s="1"/>
  <c r="AE604" i="52"/>
  <c r="V604" i="52"/>
  <c r="AB604" i="52" s="1"/>
  <c r="AE603" i="52"/>
  <c r="V603" i="52"/>
  <c r="AB603" i="52" s="1"/>
  <c r="AE602" i="52"/>
  <c r="V602" i="52"/>
  <c r="AB602" i="52" s="1"/>
  <c r="AE601" i="52"/>
  <c r="AB601" i="52"/>
  <c r="V601" i="52"/>
  <c r="AE600" i="52"/>
  <c r="V600" i="52"/>
  <c r="AB600" i="52" s="1"/>
  <c r="AE599" i="52"/>
  <c r="V599" i="52"/>
  <c r="AB599" i="52" s="1"/>
  <c r="AE598" i="52"/>
  <c r="V598" i="52"/>
  <c r="AB598" i="52" s="1"/>
  <c r="AE597" i="52"/>
  <c r="V597" i="52"/>
  <c r="AB597" i="52" s="1"/>
  <c r="AE596" i="52"/>
  <c r="V596" i="52"/>
  <c r="AB596" i="52" s="1"/>
  <c r="AE595" i="52"/>
  <c r="V595" i="52"/>
  <c r="AB595" i="52" s="1"/>
  <c r="AE594" i="52"/>
  <c r="V594" i="52"/>
  <c r="AB594" i="52" s="1"/>
  <c r="AE593" i="52"/>
  <c r="AB593" i="52"/>
  <c r="V593" i="52"/>
  <c r="AE592" i="52"/>
  <c r="V592" i="52"/>
  <c r="AB592" i="52" s="1"/>
  <c r="AE591" i="52"/>
  <c r="V591" i="52"/>
  <c r="AB591" i="52" s="1"/>
  <c r="AE590" i="52"/>
  <c r="AB590" i="52"/>
  <c r="V590" i="52"/>
  <c r="AE589" i="52"/>
  <c r="AB589" i="52"/>
  <c r="V589" i="52"/>
  <c r="AE588" i="52"/>
  <c r="AB588" i="52"/>
  <c r="V588" i="52"/>
  <c r="AE587" i="52"/>
  <c r="AB587" i="52"/>
  <c r="V587" i="52"/>
  <c r="AE586" i="52"/>
  <c r="AB586" i="52"/>
  <c r="V586" i="52"/>
  <c r="AE585" i="52"/>
  <c r="AB585" i="52"/>
  <c r="V585" i="52"/>
  <c r="AE584" i="52"/>
  <c r="AB584" i="52"/>
  <c r="V584" i="52"/>
  <c r="AE583" i="52"/>
  <c r="AB583" i="52"/>
  <c r="V583" i="52"/>
  <c r="AE582" i="52"/>
  <c r="AB582" i="52"/>
  <c r="V582" i="52"/>
  <c r="AE581" i="52"/>
  <c r="AB581" i="52"/>
  <c r="V581" i="52"/>
  <c r="AE580" i="52"/>
  <c r="AB580" i="52"/>
  <c r="V580" i="52"/>
  <c r="AE579" i="52"/>
  <c r="AB579" i="52"/>
  <c r="V579" i="52"/>
  <c r="AE578" i="52"/>
  <c r="AB578" i="52"/>
  <c r="V578" i="52"/>
  <c r="AE577" i="52"/>
  <c r="AB577" i="52"/>
  <c r="V577" i="52"/>
  <c r="AE576" i="52"/>
  <c r="AB576" i="52"/>
  <c r="V576" i="52"/>
  <c r="AE575" i="52"/>
  <c r="AB575" i="52"/>
  <c r="V575" i="52"/>
  <c r="AE574" i="52"/>
  <c r="AB574" i="52"/>
  <c r="V574" i="52"/>
  <c r="AD573" i="52"/>
  <c r="X573" i="52"/>
  <c r="W573" i="52"/>
  <c r="AD572" i="52"/>
  <c r="X572" i="52"/>
  <c r="W572" i="52"/>
  <c r="AD571" i="52"/>
  <c r="X571" i="52"/>
  <c r="W571" i="52"/>
  <c r="X571" i="51"/>
  <c r="W571" i="51"/>
  <c r="V571" i="51"/>
  <c r="AD570" i="52"/>
  <c r="X570" i="52"/>
  <c r="W570" i="52"/>
  <c r="AC570" i="52" s="1"/>
  <c r="X570" i="51"/>
  <c r="W570" i="51"/>
  <c r="V570" i="51"/>
  <c r="AD569" i="52"/>
  <c r="X569" i="52"/>
  <c r="W569" i="52"/>
  <c r="X569" i="51"/>
  <c r="W569" i="51"/>
  <c r="V569" i="51"/>
  <c r="AD568" i="52"/>
  <c r="X568" i="52"/>
  <c r="W568" i="52"/>
  <c r="AC568" i="52" s="1"/>
  <c r="X568" i="51"/>
  <c r="W568" i="51"/>
  <c r="V568" i="51"/>
  <c r="AD567" i="52"/>
  <c r="X567" i="52"/>
  <c r="W567" i="52"/>
  <c r="AC567" i="52" s="1"/>
  <c r="X567" i="51"/>
  <c r="W567" i="51"/>
  <c r="V567" i="51"/>
  <c r="AD566" i="52"/>
  <c r="X566" i="52"/>
  <c r="W566" i="52"/>
  <c r="AC566" i="52" s="1"/>
  <c r="X566" i="51"/>
  <c r="W566" i="51"/>
  <c r="V566" i="51"/>
  <c r="AD565" i="52"/>
  <c r="X565" i="52"/>
  <c r="W565" i="52"/>
  <c r="X565" i="51"/>
  <c r="W565" i="51"/>
  <c r="V565" i="51"/>
  <c r="AD564" i="52"/>
  <c r="X564" i="52"/>
  <c r="W564" i="52"/>
  <c r="X564" i="51"/>
  <c r="W564" i="51"/>
  <c r="V564" i="51"/>
  <c r="AD563" i="52"/>
  <c r="X563" i="52"/>
  <c r="W563" i="52"/>
  <c r="X563" i="51"/>
  <c r="W563" i="51"/>
  <c r="V563" i="51"/>
  <c r="AD562" i="52"/>
  <c r="X562" i="52"/>
  <c r="W562" i="52"/>
  <c r="AC562" i="52" s="1"/>
  <c r="X562" i="51"/>
  <c r="W562" i="51"/>
  <c r="V562" i="51"/>
  <c r="AD561" i="52"/>
  <c r="X561" i="52"/>
  <c r="W561" i="52"/>
  <c r="X561" i="51"/>
  <c r="W561" i="51"/>
  <c r="V561" i="51"/>
  <c r="AD560" i="52"/>
  <c r="X560" i="52"/>
  <c r="W560" i="52"/>
  <c r="AC560" i="52" s="1"/>
  <c r="X560" i="51"/>
  <c r="W560" i="51"/>
  <c r="V560" i="51"/>
  <c r="AD559" i="52"/>
  <c r="X559" i="52"/>
  <c r="W559" i="52"/>
  <c r="AC559" i="52" s="1"/>
  <c r="X559" i="51"/>
  <c r="W559" i="51"/>
  <c r="V559" i="51"/>
  <c r="AD558" i="52"/>
  <c r="X558" i="52"/>
  <c r="W558" i="52"/>
  <c r="AC558" i="52" s="1"/>
  <c r="X558" i="51"/>
  <c r="W558" i="51"/>
  <c r="V558" i="51"/>
  <c r="AD557" i="52"/>
  <c r="X557" i="52"/>
  <c r="W557" i="52"/>
  <c r="X557" i="51"/>
  <c r="W557" i="51"/>
  <c r="V557" i="51"/>
  <c r="AD556" i="52"/>
  <c r="X556" i="52"/>
  <c r="W556" i="52"/>
  <c r="X556" i="51"/>
  <c r="W556" i="51"/>
  <c r="V556" i="51"/>
  <c r="AD555" i="52"/>
  <c r="X555" i="52"/>
  <c r="W555" i="52"/>
  <c r="X555" i="51"/>
  <c r="W555" i="51"/>
  <c r="V555" i="51"/>
  <c r="AD554" i="52"/>
  <c r="X554" i="52"/>
  <c r="W554" i="52"/>
  <c r="AC554" i="52" s="1"/>
  <c r="X554" i="51"/>
  <c r="W554" i="51"/>
  <c r="V554" i="51"/>
  <c r="AD553" i="52"/>
  <c r="X553" i="52"/>
  <c r="W553" i="52"/>
  <c r="X553" i="51"/>
  <c r="W553" i="51"/>
  <c r="AC553" i="51" s="1"/>
  <c r="V553" i="51"/>
  <c r="AD552" i="52"/>
  <c r="X552" i="52"/>
  <c r="W552" i="52"/>
  <c r="AC552" i="52" s="1"/>
  <c r="X552" i="51"/>
  <c r="W552" i="51"/>
  <c r="V552" i="51"/>
  <c r="AD551" i="52"/>
  <c r="X551" i="52"/>
  <c r="W551" i="52"/>
  <c r="AC551" i="52" s="1"/>
  <c r="X551" i="51"/>
  <c r="W551" i="51"/>
  <c r="V551" i="51"/>
  <c r="AD550" i="52"/>
  <c r="X550" i="52"/>
  <c r="W550" i="52"/>
  <c r="X550" i="51"/>
  <c r="W550" i="51"/>
  <c r="V550" i="51"/>
  <c r="AD549" i="52"/>
  <c r="X549" i="52"/>
  <c r="W549" i="52"/>
  <c r="X549" i="51"/>
  <c r="W549" i="51"/>
  <c r="V549" i="51"/>
  <c r="AD548" i="52"/>
  <c r="X548" i="52"/>
  <c r="W548" i="52"/>
  <c r="X548" i="51"/>
  <c r="W548" i="51"/>
  <c r="V548" i="51"/>
  <c r="AD547" i="52"/>
  <c r="X547" i="52"/>
  <c r="W547" i="52"/>
  <c r="AD546" i="52"/>
  <c r="X546" i="52"/>
  <c r="W546" i="52"/>
  <c r="AD545" i="52"/>
  <c r="X545" i="52"/>
  <c r="W545" i="52"/>
  <c r="AD544" i="52"/>
  <c r="X544" i="52"/>
  <c r="W544" i="52"/>
  <c r="AC544" i="52" s="1"/>
  <c r="AD543" i="52"/>
  <c r="X543" i="52"/>
  <c r="W543" i="52"/>
  <c r="AD542" i="52"/>
  <c r="X542" i="52"/>
  <c r="W542" i="52"/>
  <c r="AC542" i="52" s="1"/>
  <c r="AD541" i="52"/>
  <c r="X541" i="52"/>
  <c r="W541" i="52"/>
  <c r="AD540" i="52"/>
  <c r="X540" i="52"/>
  <c r="W540" i="52"/>
  <c r="AC540" i="52" s="1"/>
  <c r="AD539" i="52"/>
  <c r="X539" i="52"/>
  <c r="W539" i="52"/>
  <c r="AD538" i="52"/>
  <c r="X538" i="52"/>
  <c r="W538" i="52"/>
  <c r="AD537" i="52"/>
  <c r="X537" i="52"/>
  <c r="W537" i="52"/>
  <c r="AD536" i="52"/>
  <c r="X536" i="52"/>
  <c r="W536" i="52"/>
  <c r="AC536" i="52" s="1"/>
  <c r="AD535" i="52"/>
  <c r="X535" i="52"/>
  <c r="W535" i="52"/>
  <c r="AD534" i="52"/>
  <c r="X534" i="52"/>
  <c r="W534" i="52"/>
  <c r="AC534" i="52" s="1"/>
  <c r="AD533" i="52"/>
  <c r="X533" i="52"/>
  <c r="W533" i="52"/>
  <c r="AD532" i="52"/>
  <c r="X532" i="52"/>
  <c r="W532" i="52"/>
  <c r="AC532" i="52" s="1"/>
  <c r="AD531" i="52"/>
  <c r="X531" i="52"/>
  <c r="W531" i="52"/>
  <c r="AD530" i="52"/>
  <c r="X530" i="52"/>
  <c r="W530" i="52"/>
  <c r="AD529" i="52"/>
  <c r="X529" i="52"/>
  <c r="W529" i="52"/>
  <c r="AD528" i="52"/>
  <c r="X528" i="52"/>
  <c r="W528" i="52"/>
  <c r="AC528" i="52" s="1"/>
  <c r="AD527" i="52"/>
  <c r="X527" i="52"/>
  <c r="W527" i="52"/>
  <c r="AC527" i="52" s="1"/>
  <c r="AD526" i="52"/>
  <c r="X526" i="52"/>
  <c r="W526" i="52"/>
  <c r="AC526" i="52" s="1"/>
  <c r="AD525" i="52"/>
  <c r="X525" i="52"/>
  <c r="W525" i="52"/>
  <c r="AC525" i="52" s="1"/>
  <c r="AD524" i="52"/>
  <c r="X524" i="52"/>
  <c r="W524" i="52"/>
  <c r="AC524" i="52" s="1"/>
  <c r="AD523" i="52"/>
  <c r="X523" i="52"/>
  <c r="W523" i="52"/>
  <c r="AC523" i="52" s="1"/>
  <c r="AD522" i="52"/>
  <c r="X522" i="52"/>
  <c r="W522" i="52"/>
  <c r="AD521" i="52"/>
  <c r="X521" i="52"/>
  <c r="W521" i="52"/>
  <c r="AC521" i="52" s="1"/>
  <c r="AD520" i="52"/>
  <c r="X520" i="52"/>
  <c r="W520" i="52"/>
  <c r="AC520" i="52" s="1"/>
  <c r="AD519" i="52"/>
  <c r="X519" i="52"/>
  <c r="W519" i="52"/>
  <c r="AC519" i="52" s="1"/>
  <c r="AD518" i="52"/>
  <c r="X518" i="52"/>
  <c r="W518" i="52"/>
  <c r="AC518" i="52" s="1"/>
  <c r="AE517" i="52"/>
  <c r="V517" i="52"/>
  <c r="AB517" i="52" s="1"/>
  <c r="AE516" i="52"/>
  <c r="V516" i="52"/>
  <c r="AB516" i="52" s="1"/>
  <c r="AE515" i="52"/>
  <c r="V515" i="52"/>
  <c r="AB515" i="52" s="1"/>
  <c r="AE514" i="52"/>
  <c r="V514" i="52"/>
  <c r="AB514" i="52" s="1"/>
  <c r="AE513" i="52"/>
  <c r="V513" i="52"/>
  <c r="AB513" i="52" s="1"/>
  <c r="AE512" i="52"/>
  <c r="V512" i="52"/>
  <c r="AB512" i="52" s="1"/>
  <c r="AE511" i="52"/>
  <c r="V511" i="52"/>
  <c r="AB511" i="52" s="1"/>
  <c r="AE510" i="52"/>
  <c r="V510" i="52"/>
  <c r="AB510" i="52" s="1"/>
  <c r="AE509" i="52"/>
  <c r="V509" i="52"/>
  <c r="AB509" i="52" s="1"/>
  <c r="AE508" i="52"/>
  <c r="V508" i="52"/>
  <c r="AB508" i="52" s="1"/>
  <c r="AE507" i="52"/>
  <c r="V507" i="52"/>
  <c r="AB507" i="52" s="1"/>
  <c r="AE506" i="52"/>
  <c r="V506" i="52"/>
  <c r="AB506" i="52" s="1"/>
  <c r="AE505" i="52"/>
  <c r="V505" i="52"/>
  <c r="AB505" i="52" s="1"/>
  <c r="AE504" i="52"/>
  <c r="V504" i="52"/>
  <c r="AB504" i="52" s="1"/>
  <c r="AE503" i="52"/>
  <c r="V503" i="52"/>
  <c r="AB503" i="52" s="1"/>
  <c r="AE502" i="52"/>
  <c r="V502" i="52"/>
  <c r="AB502" i="52" s="1"/>
  <c r="AE501" i="52"/>
  <c r="V501" i="52"/>
  <c r="AB501" i="52" s="1"/>
  <c r="AE500" i="52"/>
  <c r="AB500" i="52"/>
  <c r="V500" i="52"/>
  <c r="AE499" i="52"/>
  <c r="V499" i="52"/>
  <c r="AB499" i="52" s="1"/>
  <c r="AE498" i="52"/>
  <c r="V498" i="52"/>
  <c r="AB498" i="52" s="1"/>
  <c r="AE497" i="52"/>
  <c r="V497" i="52"/>
  <c r="AB497" i="52" s="1"/>
  <c r="AE496" i="52"/>
  <c r="V496" i="52"/>
  <c r="AB496" i="52" s="1"/>
  <c r="AE495" i="52"/>
  <c r="V495" i="52"/>
  <c r="AB495" i="52" s="1"/>
  <c r="AE494" i="52"/>
  <c r="AB494" i="52"/>
  <c r="V494" i="52"/>
  <c r="AE493" i="52"/>
  <c r="V493" i="52"/>
  <c r="AB493" i="52" s="1"/>
  <c r="AE492" i="52"/>
  <c r="V492" i="52"/>
  <c r="AB492" i="52" s="1"/>
  <c r="AE491" i="52"/>
  <c r="V491" i="52"/>
  <c r="AB491" i="52" s="1"/>
  <c r="AE490" i="52"/>
  <c r="V490" i="52"/>
  <c r="AB490" i="52" s="1"/>
  <c r="AE489" i="52"/>
  <c r="V489" i="52"/>
  <c r="AB489" i="52" s="1"/>
  <c r="AE488" i="52"/>
  <c r="V488" i="52"/>
  <c r="AB488" i="52" s="1"/>
  <c r="AE487" i="52"/>
  <c r="V487" i="52"/>
  <c r="AB487" i="52" s="1"/>
  <c r="AE486" i="52"/>
  <c r="V486" i="52"/>
  <c r="AB486" i="52" s="1"/>
  <c r="AE485" i="52"/>
  <c r="V485" i="52"/>
  <c r="AB485" i="52" s="1"/>
  <c r="AE484" i="52"/>
  <c r="V484" i="52"/>
  <c r="AB484" i="52" s="1"/>
  <c r="AE483" i="52"/>
  <c r="V483" i="52"/>
  <c r="AB483" i="52" s="1"/>
  <c r="AE482" i="52"/>
  <c r="V482" i="52"/>
  <c r="AB482" i="52" s="1"/>
  <c r="AD481" i="52"/>
  <c r="X481" i="52"/>
  <c r="W481" i="52"/>
  <c r="AD480" i="52"/>
  <c r="X480" i="52"/>
  <c r="W480" i="52"/>
  <c r="AD479" i="52"/>
  <c r="X479" i="52"/>
  <c r="W479" i="52"/>
  <c r="AD478" i="52"/>
  <c r="X478" i="52"/>
  <c r="W478" i="52"/>
  <c r="AD477" i="52"/>
  <c r="X477" i="52"/>
  <c r="W477" i="52"/>
  <c r="AD476" i="52"/>
  <c r="X476" i="52"/>
  <c r="W476" i="52"/>
  <c r="AD475" i="52"/>
  <c r="X475" i="52"/>
  <c r="W475" i="52"/>
  <c r="AD474" i="52"/>
  <c r="X474" i="52"/>
  <c r="W474" i="52"/>
  <c r="AD473" i="52"/>
  <c r="X473" i="52"/>
  <c r="W473" i="52"/>
  <c r="AD472" i="52"/>
  <c r="X472" i="52"/>
  <c r="W472" i="52"/>
  <c r="AD471" i="52"/>
  <c r="X471" i="52"/>
  <c r="W471" i="52"/>
  <c r="AD470" i="52"/>
  <c r="X470" i="52"/>
  <c r="W470" i="52"/>
  <c r="AD469" i="52"/>
  <c r="X469" i="52"/>
  <c r="W469" i="52"/>
  <c r="AD468" i="52"/>
  <c r="X468" i="52"/>
  <c r="W468" i="52"/>
  <c r="AD467" i="52"/>
  <c r="X467" i="52"/>
  <c r="W467" i="52"/>
  <c r="AD466" i="52"/>
  <c r="X466" i="52"/>
  <c r="W466" i="52"/>
  <c r="AD465" i="52"/>
  <c r="X465" i="52"/>
  <c r="W465" i="52"/>
  <c r="AD464" i="52"/>
  <c r="X464" i="52"/>
  <c r="W464" i="52"/>
  <c r="AD463" i="52"/>
  <c r="X463" i="52"/>
  <c r="W463" i="52"/>
  <c r="AD462" i="52"/>
  <c r="X462" i="52"/>
  <c r="W462" i="52"/>
  <c r="AD461" i="52"/>
  <c r="X461" i="52"/>
  <c r="W461" i="52"/>
  <c r="AD460" i="52"/>
  <c r="X460" i="52"/>
  <c r="W460" i="52"/>
  <c r="AD459" i="52"/>
  <c r="X459" i="52"/>
  <c r="W459" i="52"/>
  <c r="AD458" i="52"/>
  <c r="X458" i="52"/>
  <c r="W458" i="52"/>
  <c r="AD457" i="52"/>
  <c r="X457" i="52"/>
  <c r="W457" i="52"/>
  <c r="AD456" i="52"/>
  <c r="X456" i="52"/>
  <c r="W456" i="52"/>
  <c r="AD455" i="52"/>
  <c r="X455" i="52"/>
  <c r="W455" i="52"/>
  <c r="AD454" i="52"/>
  <c r="X454" i="52"/>
  <c r="W454" i="52"/>
  <c r="AD453" i="52"/>
  <c r="X453" i="52"/>
  <c r="W453" i="52"/>
  <c r="X268" i="52"/>
  <c r="W268" i="52"/>
  <c r="AC268" i="52" s="1"/>
  <c r="V268" i="52"/>
  <c r="AB268" i="52" s="1"/>
  <c r="X267" i="52"/>
  <c r="W267" i="52"/>
  <c r="AC267" i="52" s="1"/>
  <c r="V267" i="52"/>
  <c r="AB267" i="52" s="1"/>
  <c r="X266" i="52"/>
  <c r="W266" i="52"/>
  <c r="AC266" i="52" s="1"/>
  <c r="V266" i="52"/>
  <c r="AB266" i="52" s="1"/>
  <c r="X265" i="52"/>
  <c r="W265" i="52"/>
  <c r="V265" i="52"/>
  <c r="AB265" i="52" s="1"/>
  <c r="AB264" i="52"/>
  <c r="X264" i="52"/>
  <c r="W264" i="52"/>
  <c r="V264" i="52"/>
  <c r="X263" i="52"/>
  <c r="W263" i="52"/>
  <c r="V263" i="52"/>
  <c r="AB263" i="52" s="1"/>
  <c r="X262" i="52"/>
  <c r="W262" i="52"/>
  <c r="V262" i="52"/>
  <c r="AB262" i="52" s="1"/>
  <c r="X261" i="52"/>
  <c r="W261" i="52"/>
  <c r="AC261" i="52" s="1"/>
  <c r="V261" i="52"/>
  <c r="AB261" i="52" s="1"/>
  <c r="X260" i="52"/>
  <c r="W260" i="52"/>
  <c r="AC260" i="52" s="1"/>
  <c r="V260" i="52"/>
  <c r="AB260" i="52" s="1"/>
  <c r="X259" i="52"/>
  <c r="W259" i="52"/>
  <c r="AC259" i="52" s="1"/>
  <c r="V259" i="52"/>
  <c r="AB259" i="52" s="1"/>
  <c r="X258" i="52"/>
  <c r="W258" i="52"/>
  <c r="AC258" i="52" s="1"/>
  <c r="V258" i="52"/>
  <c r="AB258" i="52" s="1"/>
  <c r="X257" i="52"/>
  <c r="W257" i="52"/>
  <c r="V257" i="52"/>
  <c r="AB257" i="52" s="1"/>
  <c r="AB256" i="52"/>
  <c r="X256" i="52"/>
  <c r="W256" i="52"/>
  <c r="V256" i="52"/>
  <c r="X255" i="52"/>
  <c r="W255" i="52"/>
  <c r="V255" i="52"/>
  <c r="AB255" i="52" s="1"/>
  <c r="X254" i="52"/>
  <c r="W254" i="52"/>
  <c r="V254" i="52"/>
  <c r="AB254" i="52" s="1"/>
  <c r="X253" i="52"/>
  <c r="W253" i="52"/>
  <c r="AC253" i="52" s="1"/>
  <c r="V253" i="52"/>
  <c r="AB253" i="52" s="1"/>
  <c r="X252" i="52"/>
  <c r="W252" i="52"/>
  <c r="AC252" i="52" s="1"/>
  <c r="V252" i="52"/>
  <c r="AB252" i="52" s="1"/>
  <c r="X251" i="52"/>
  <c r="W251" i="52"/>
  <c r="AC251" i="52" s="1"/>
  <c r="V251" i="52"/>
  <c r="AB251" i="52" s="1"/>
  <c r="X250" i="52"/>
  <c r="W250" i="52"/>
  <c r="AC250" i="52" s="1"/>
  <c r="V250" i="52"/>
  <c r="AB250" i="52" s="1"/>
  <c r="X249" i="52"/>
  <c r="W249" i="52"/>
  <c r="V249" i="52"/>
  <c r="AB249" i="52" s="1"/>
  <c r="AB248" i="52"/>
  <c r="X248" i="52"/>
  <c r="W248" i="52"/>
  <c r="V248" i="52"/>
  <c r="X247" i="52"/>
  <c r="W247" i="52"/>
  <c r="V247" i="52"/>
  <c r="AB247" i="52" s="1"/>
  <c r="X246" i="52"/>
  <c r="W246" i="52"/>
  <c r="V246" i="52"/>
  <c r="AB246" i="52" s="1"/>
  <c r="X245" i="52"/>
  <c r="W245" i="52"/>
  <c r="AC245" i="52" s="1"/>
  <c r="V245" i="52"/>
  <c r="AB245" i="52" s="1"/>
  <c r="X183" i="51"/>
  <c r="W183" i="51"/>
  <c r="V183" i="51"/>
  <c r="X182" i="51"/>
  <c r="W182" i="51"/>
  <c r="V182" i="51"/>
  <c r="X181" i="51"/>
  <c r="W181" i="51"/>
  <c r="V181" i="51"/>
  <c r="X180" i="51"/>
  <c r="W180" i="51"/>
  <c r="V180" i="51"/>
  <c r="X179" i="51"/>
  <c r="W179" i="51"/>
  <c r="V179" i="51"/>
  <c r="X178" i="51"/>
  <c r="W178" i="51"/>
  <c r="V178" i="51"/>
  <c r="X177" i="51"/>
  <c r="W177" i="51"/>
  <c r="V177" i="51"/>
  <c r="X176" i="51"/>
  <c r="W176" i="51"/>
  <c r="V176" i="51"/>
  <c r="X175" i="51"/>
  <c r="W175" i="51"/>
  <c r="V175" i="51"/>
  <c r="X174" i="51"/>
  <c r="W174" i="51"/>
  <c r="V174" i="51"/>
  <c r="X173" i="51"/>
  <c r="W173" i="51"/>
  <c r="V173" i="51"/>
  <c r="X172" i="51"/>
  <c r="W172" i="51"/>
  <c r="V172" i="51"/>
  <c r="X171" i="51"/>
  <c r="W171" i="51"/>
  <c r="V171" i="51"/>
  <c r="X170" i="51"/>
  <c r="W170" i="51"/>
  <c r="V170" i="51"/>
  <c r="X169" i="51"/>
  <c r="W169" i="51"/>
  <c r="V169" i="51"/>
  <c r="X168" i="51"/>
  <c r="W168" i="51"/>
  <c r="V168" i="51"/>
  <c r="X167" i="51"/>
  <c r="W167" i="51"/>
  <c r="V167" i="51"/>
  <c r="X166" i="51"/>
  <c r="W166" i="51"/>
  <c r="V166" i="51"/>
  <c r="X165" i="51"/>
  <c r="W165" i="51"/>
  <c r="V165" i="51"/>
  <c r="X164" i="51"/>
  <c r="W164" i="51"/>
  <c r="V164" i="51"/>
  <c r="X163" i="51"/>
  <c r="W163" i="51"/>
  <c r="V163" i="51"/>
  <c r="X162" i="51"/>
  <c r="W162" i="51"/>
  <c r="V162" i="51"/>
  <c r="X161" i="51"/>
  <c r="W161" i="51"/>
  <c r="V161" i="51"/>
  <c r="X160" i="51"/>
  <c r="W160" i="51"/>
  <c r="V160" i="51"/>
  <c r="X159" i="51"/>
  <c r="W159" i="51"/>
  <c r="V159" i="51"/>
  <c r="X158" i="51"/>
  <c r="W158" i="51"/>
  <c r="V158" i="51"/>
  <c r="X157" i="51"/>
  <c r="W157" i="51"/>
  <c r="V157" i="51"/>
  <c r="X156" i="51"/>
  <c r="W156" i="51"/>
  <c r="V156" i="51"/>
  <c r="X155" i="51"/>
  <c r="W155" i="51"/>
  <c r="V155" i="51"/>
  <c r="X154" i="51"/>
  <c r="W154" i="51"/>
  <c r="V154" i="51"/>
  <c r="X153" i="51"/>
  <c r="W153" i="51"/>
  <c r="V153" i="51"/>
  <c r="X152" i="51"/>
  <c r="W152" i="51"/>
  <c r="V152" i="51"/>
  <c r="X151" i="51"/>
  <c r="W151" i="51"/>
  <c r="V151" i="51"/>
  <c r="X150" i="51"/>
  <c r="W150" i="51"/>
  <c r="V150" i="51"/>
  <c r="X149" i="51"/>
  <c r="W149" i="51"/>
  <c r="V149" i="51"/>
  <c r="X148" i="51"/>
  <c r="W148" i="51"/>
  <c r="V148" i="51"/>
  <c r="X147" i="51"/>
  <c r="W147" i="51"/>
  <c r="V147" i="51"/>
  <c r="X146" i="51"/>
  <c r="W146" i="51"/>
  <c r="V146" i="51"/>
  <c r="X145" i="51"/>
  <c r="W145" i="51"/>
  <c r="V145" i="51"/>
  <c r="X144" i="51"/>
  <c r="W144" i="51"/>
  <c r="V144" i="51"/>
  <c r="X143" i="51"/>
  <c r="W143" i="51"/>
  <c r="V143" i="51"/>
  <c r="X142" i="51"/>
  <c r="W142" i="51"/>
  <c r="V142" i="51"/>
  <c r="X141" i="51"/>
  <c r="W141" i="51"/>
  <c r="V141" i="51"/>
  <c r="X140" i="51"/>
  <c r="W140" i="51"/>
  <c r="V140" i="51"/>
  <c r="X139" i="51"/>
  <c r="W139" i="51"/>
  <c r="V139" i="51"/>
  <c r="X138" i="51"/>
  <c r="W138" i="51"/>
  <c r="V138" i="51"/>
  <c r="X137" i="51"/>
  <c r="W137" i="51"/>
  <c r="V137" i="51"/>
  <c r="X136" i="51"/>
  <c r="W136" i="51"/>
  <c r="V136" i="51"/>
  <c r="X85" i="52"/>
  <c r="W85" i="52"/>
  <c r="AC85" i="52" s="1"/>
  <c r="V85" i="52"/>
  <c r="AB85" i="52" s="1"/>
  <c r="X84" i="52"/>
  <c r="W84" i="52"/>
  <c r="AC84" i="52" s="1"/>
  <c r="V84" i="52"/>
  <c r="AB84" i="52" s="1"/>
  <c r="X83" i="52"/>
  <c r="W83" i="52"/>
  <c r="V83" i="52"/>
  <c r="AB83" i="52" s="1"/>
  <c r="X82" i="52"/>
  <c r="W82" i="52"/>
  <c r="V82" i="52"/>
  <c r="AB82" i="52" s="1"/>
  <c r="AB81" i="52"/>
  <c r="X81" i="52"/>
  <c r="W81" i="52"/>
  <c r="V81" i="52"/>
  <c r="X80" i="52"/>
  <c r="W80" i="52"/>
  <c r="V80" i="52"/>
  <c r="AB80" i="52" s="1"/>
  <c r="X79" i="52"/>
  <c r="W79" i="52"/>
  <c r="V79" i="52"/>
  <c r="AB79" i="52" s="1"/>
  <c r="X78" i="52"/>
  <c r="W78" i="52"/>
  <c r="AC78" i="52" s="1"/>
  <c r="V78" i="52"/>
  <c r="AB78" i="52" s="1"/>
  <c r="X77" i="52"/>
  <c r="W77" i="52"/>
  <c r="AC77" i="52" s="1"/>
  <c r="V77" i="52"/>
  <c r="AB77" i="52" s="1"/>
  <c r="X76" i="52"/>
  <c r="W76" i="52"/>
  <c r="AC76" i="52" s="1"/>
  <c r="V76" i="52"/>
  <c r="AB76" i="52" s="1"/>
  <c r="X75" i="52"/>
  <c r="W75" i="52"/>
  <c r="V75" i="52"/>
  <c r="AB75" i="52" s="1"/>
  <c r="X74" i="52"/>
  <c r="W74" i="52"/>
  <c r="V74" i="52"/>
  <c r="AB74" i="52" s="1"/>
  <c r="AB73" i="52"/>
  <c r="X73" i="52"/>
  <c r="W73" i="52"/>
  <c r="V73" i="52"/>
  <c r="X72" i="52"/>
  <c r="W72" i="52"/>
  <c r="V72" i="52"/>
  <c r="AB72" i="52" s="1"/>
  <c r="X71" i="52"/>
  <c r="W71" i="52"/>
  <c r="V71" i="52"/>
  <c r="AB71" i="52" s="1"/>
  <c r="X70" i="52"/>
  <c r="W70" i="52"/>
  <c r="AC70" i="52" s="1"/>
  <c r="V70" i="52"/>
  <c r="AB70" i="52" s="1"/>
  <c r="X69" i="52"/>
  <c r="W69" i="52"/>
  <c r="AC69" i="52" s="1"/>
  <c r="V69" i="52"/>
  <c r="AB69" i="52" s="1"/>
  <c r="X68" i="52"/>
  <c r="W68" i="52"/>
  <c r="AC68" i="52" s="1"/>
  <c r="V68" i="52"/>
  <c r="AB68" i="52" s="1"/>
  <c r="X67" i="52"/>
  <c r="W67" i="52"/>
  <c r="AC67" i="52" s="1"/>
  <c r="V67" i="52"/>
  <c r="AB67" i="52" s="1"/>
  <c r="X66" i="52"/>
  <c r="W66" i="52"/>
  <c r="V66" i="52"/>
  <c r="AB66" i="52" s="1"/>
  <c r="AB65" i="52"/>
  <c r="X65" i="52"/>
  <c r="W65" i="52"/>
  <c r="V65" i="52"/>
  <c r="X64" i="52"/>
  <c r="W64" i="52"/>
  <c r="V64" i="52"/>
  <c r="AB64" i="52" s="1"/>
  <c r="X63" i="52"/>
  <c r="W63" i="52"/>
  <c r="V63" i="52"/>
  <c r="AB63" i="52" s="1"/>
  <c r="X62" i="52"/>
  <c r="W62" i="52"/>
  <c r="AC62" i="52" s="1"/>
  <c r="V62" i="52"/>
  <c r="AB62" i="52" s="1"/>
  <c r="X61" i="52"/>
  <c r="W61" i="52"/>
  <c r="AC61" i="52" s="1"/>
  <c r="V61" i="52"/>
  <c r="AB61" i="52" s="1"/>
  <c r="X60" i="52"/>
  <c r="W60" i="52"/>
  <c r="AC60" i="52" s="1"/>
  <c r="V60" i="52"/>
  <c r="AB60" i="52" s="1"/>
  <c r="X59" i="52"/>
  <c r="W59" i="52"/>
  <c r="AC59" i="52" s="1"/>
  <c r="V59" i="52"/>
  <c r="AB59" i="52" s="1"/>
  <c r="X58" i="52"/>
  <c r="W58" i="52"/>
  <c r="V58" i="52"/>
  <c r="AB58" i="52" s="1"/>
  <c r="AB57" i="52"/>
  <c r="X57" i="52"/>
  <c r="W57" i="52"/>
  <c r="V57" i="52"/>
  <c r="X56" i="52"/>
  <c r="W56" i="52"/>
  <c r="V56" i="52"/>
  <c r="AB56" i="52" s="1"/>
  <c r="X55" i="52"/>
  <c r="W55" i="52"/>
  <c r="V55" i="52"/>
  <c r="AB55" i="52" s="1"/>
  <c r="X54" i="52"/>
  <c r="W54" i="52"/>
  <c r="AC54" i="52" s="1"/>
  <c r="V54" i="52"/>
  <c r="AB54" i="52" s="1"/>
  <c r="X53" i="52"/>
  <c r="W53" i="52"/>
  <c r="AC53" i="52" s="1"/>
  <c r="V53" i="52"/>
  <c r="AB53" i="52" s="1"/>
  <c r="X52" i="52"/>
  <c r="W52" i="52"/>
  <c r="AC52" i="52" s="1"/>
  <c r="V52" i="52"/>
  <c r="AB52" i="52" s="1"/>
  <c r="X51" i="52"/>
  <c r="W51" i="52"/>
  <c r="AC51" i="52" s="1"/>
  <c r="V51" i="52"/>
  <c r="AB51" i="52" s="1"/>
  <c r="X50" i="52"/>
  <c r="W50" i="52"/>
  <c r="V50" i="52"/>
  <c r="AB50" i="52" s="1"/>
  <c r="AB49" i="52"/>
  <c r="X49" i="52"/>
  <c r="W49" i="52"/>
  <c r="V49" i="52"/>
  <c r="X48" i="52"/>
  <c r="W48" i="52"/>
  <c r="V48" i="52"/>
  <c r="AB48" i="52" s="1"/>
  <c r="X47" i="52"/>
  <c r="W47" i="52"/>
  <c r="V47" i="52"/>
  <c r="AB47" i="52" s="1"/>
  <c r="X46" i="52"/>
  <c r="W46" i="52"/>
  <c r="AC46" i="52" s="1"/>
  <c r="V46" i="52"/>
  <c r="AB46" i="52" s="1"/>
  <c r="X45" i="52"/>
  <c r="W45" i="52"/>
  <c r="AC45" i="52" s="1"/>
  <c r="V45" i="52"/>
  <c r="AB45" i="52" s="1"/>
  <c r="X44" i="52"/>
  <c r="W44" i="52"/>
  <c r="AC44" i="52" s="1"/>
  <c r="V44" i="52"/>
  <c r="AB44" i="52" s="1"/>
  <c r="X43" i="52"/>
  <c r="W43" i="52"/>
  <c r="AC43" i="52" s="1"/>
  <c r="V43" i="52"/>
  <c r="AB43" i="52" s="1"/>
  <c r="X42" i="52"/>
  <c r="W42" i="52"/>
  <c r="V42" i="52"/>
  <c r="AB42" i="52" s="1"/>
  <c r="AB41" i="52"/>
  <c r="X41" i="52"/>
  <c r="W41" i="52"/>
  <c r="V41" i="52"/>
  <c r="X40" i="52"/>
  <c r="W40" i="52"/>
  <c r="V40" i="52"/>
  <c r="AB40" i="52" s="1"/>
  <c r="X39" i="52"/>
  <c r="W39" i="52"/>
  <c r="V39" i="52"/>
  <c r="AB39" i="52" s="1"/>
  <c r="X38" i="52"/>
  <c r="W38" i="52"/>
  <c r="AC38" i="52" s="1"/>
  <c r="V38" i="52"/>
  <c r="AB38" i="52" s="1"/>
  <c r="M40" i="5"/>
  <c r="M39" i="5"/>
  <c r="M38" i="5"/>
  <c r="AJ9" i="52"/>
  <c r="AI9" i="52"/>
  <c r="AJ4" i="52"/>
  <c r="AI4" i="52"/>
  <c r="AD1004" i="52"/>
  <c r="AD1003" i="52"/>
  <c r="AD1002" i="52"/>
  <c r="AD1001" i="52"/>
  <c r="AD1000" i="52"/>
  <c r="AD999" i="52"/>
  <c r="AD998" i="52"/>
  <c r="AD997" i="52"/>
  <c r="AD996" i="52"/>
  <c r="AD995" i="52"/>
  <c r="AD994" i="52"/>
  <c r="AD993" i="52"/>
  <c r="AD992" i="52"/>
  <c r="AD991" i="52"/>
  <c r="AD990" i="52"/>
  <c r="AD989" i="52"/>
  <c r="AD988" i="52"/>
  <c r="AD987" i="52"/>
  <c r="AD986" i="52"/>
  <c r="AD985" i="52"/>
  <c r="AD984" i="52"/>
  <c r="AD983" i="52"/>
  <c r="AD982" i="52"/>
  <c r="AD981" i="52"/>
  <c r="AD980" i="52"/>
  <c r="AD979" i="52"/>
  <c r="AD978" i="52"/>
  <c r="AD977" i="52"/>
  <c r="AD976" i="52"/>
  <c r="AD975" i="52"/>
  <c r="AD974" i="52"/>
  <c r="AD973" i="52"/>
  <c r="AD972" i="52"/>
  <c r="AD971" i="52"/>
  <c r="AD970" i="52"/>
  <c r="AD969" i="52"/>
  <c r="AD968" i="52"/>
  <c r="AD967" i="52"/>
  <c r="AD966" i="52"/>
  <c r="AD965" i="52"/>
  <c r="AD964" i="52"/>
  <c r="AD963" i="52"/>
  <c r="AD962" i="52"/>
  <c r="AD961" i="52"/>
  <c r="AD960" i="52"/>
  <c r="AD959" i="52"/>
  <c r="AD958" i="52"/>
  <c r="AD957" i="52"/>
  <c r="AD956" i="52"/>
  <c r="AD955" i="52"/>
  <c r="AD954" i="52"/>
  <c r="AD953" i="52"/>
  <c r="AD952" i="52"/>
  <c r="AD951" i="52"/>
  <c r="AD950" i="52"/>
  <c r="AD949" i="52"/>
  <c r="AD948" i="52"/>
  <c r="AD947" i="52"/>
  <c r="AD946" i="52"/>
  <c r="AD945" i="52"/>
  <c r="AD944" i="52"/>
  <c r="AD943" i="52"/>
  <c r="AD942" i="52"/>
  <c r="AD941" i="52"/>
  <c r="AD940" i="52"/>
  <c r="AD939" i="52"/>
  <c r="AD938" i="52"/>
  <c r="AD937" i="52"/>
  <c r="AD936" i="52"/>
  <c r="AD935" i="52"/>
  <c r="AD934" i="52"/>
  <c r="AD933" i="52"/>
  <c r="AD932" i="52"/>
  <c r="AD931" i="52"/>
  <c r="AD930" i="52"/>
  <c r="AD929" i="52"/>
  <c r="AD928" i="52"/>
  <c r="AD927" i="52"/>
  <c r="AD926" i="52"/>
  <c r="AD925" i="52"/>
  <c r="AD924" i="52"/>
  <c r="AD923" i="52"/>
  <c r="AD922" i="52"/>
  <c r="AD921" i="52"/>
  <c r="AD920" i="52"/>
  <c r="AD919" i="52"/>
  <c r="AD918" i="52"/>
  <c r="AD917" i="52"/>
  <c r="AD916" i="52"/>
  <c r="AD915" i="52"/>
  <c r="AD914" i="52"/>
  <c r="AD913" i="52"/>
  <c r="AD912" i="52"/>
  <c r="AD911" i="52"/>
  <c r="AD910" i="52"/>
  <c r="AD909" i="52"/>
  <c r="AD908" i="52"/>
  <c r="AD907" i="52"/>
  <c r="AD906" i="52"/>
  <c r="AD905" i="52"/>
  <c r="AD904" i="52"/>
  <c r="AD903" i="52"/>
  <c r="AD902" i="52"/>
  <c r="AD901" i="52"/>
  <c r="AD900" i="52"/>
  <c r="AD899" i="52"/>
  <c r="AD898" i="52"/>
  <c r="AD897" i="52"/>
  <c r="AD896" i="52"/>
  <c r="AD895" i="52"/>
  <c r="AD894" i="52"/>
  <c r="AD893" i="52"/>
  <c r="AD892" i="52"/>
  <c r="AD891" i="52"/>
  <c r="AD890" i="52"/>
  <c r="AD889" i="52"/>
  <c r="AD888" i="52"/>
  <c r="AD887" i="52"/>
  <c r="AD886" i="52"/>
  <c r="AD885" i="52"/>
  <c r="AD884" i="52"/>
  <c r="AD883" i="52"/>
  <c r="AD882" i="52"/>
  <c r="AD881" i="52"/>
  <c r="AD880" i="52"/>
  <c r="AD879" i="52"/>
  <c r="AD878" i="52"/>
  <c r="AD877" i="52"/>
  <c r="AD876" i="52"/>
  <c r="AD875" i="52"/>
  <c r="AD874" i="52"/>
  <c r="AD873" i="52"/>
  <c r="AD872" i="52"/>
  <c r="AD871" i="52"/>
  <c r="AD870" i="52"/>
  <c r="AD869" i="52"/>
  <c r="AD868" i="52"/>
  <c r="AD867" i="52"/>
  <c r="AD866" i="52"/>
  <c r="AD865" i="52"/>
  <c r="AD864" i="52"/>
  <c r="AD863" i="52"/>
  <c r="AD862" i="52"/>
  <c r="AD861" i="52"/>
  <c r="AD860" i="52"/>
  <c r="AD859" i="52"/>
  <c r="AD858" i="52"/>
  <c r="AD857" i="52"/>
  <c r="AD856" i="52"/>
  <c r="AD855" i="52"/>
  <c r="AD854" i="52"/>
  <c r="AD853" i="52"/>
  <c r="AD852" i="52"/>
  <c r="AD851" i="52"/>
  <c r="AD850" i="52"/>
  <c r="AD849" i="52"/>
  <c r="AD848" i="52"/>
  <c r="AD847" i="52"/>
  <c r="AD846" i="52"/>
  <c r="AD845" i="52"/>
  <c r="AD844" i="52"/>
  <c r="AD843" i="52"/>
  <c r="AD842" i="52"/>
  <c r="AD841" i="52"/>
  <c r="AD840" i="52"/>
  <c r="AD839" i="52"/>
  <c r="AD838" i="52"/>
  <c r="AD837" i="52"/>
  <c r="AD836" i="52"/>
  <c r="AD835" i="52"/>
  <c r="AD834" i="52"/>
  <c r="AD833" i="52"/>
  <c r="AD832" i="52"/>
  <c r="AD831" i="52"/>
  <c r="AD830" i="52"/>
  <c r="AD829" i="52"/>
  <c r="AD828" i="52"/>
  <c r="AD827" i="52"/>
  <c r="AD826" i="52"/>
  <c r="AD825" i="52"/>
  <c r="AD824" i="52"/>
  <c r="AD823" i="52"/>
  <c r="AD822" i="52"/>
  <c r="AD821" i="52"/>
  <c r="AD820" i="52"/>
  <c r="AD819" i="52"/>
  <c r="AD818" i="52"/>
  <c r="AD817" i="52"/>
  <c r="AD816" i="52"/>
  <c r="AD815" i="52"/>
  <c r="AD814" i="52"/>
  <c r="AD813" i="52"/>
  <c r="AD812" i="52"/>
  <c r="AD811" i="52"/>
  <c r="AD810" i="52"/>
  <c r="AD809" i="52"/>
  <c r="AD808" i="52"/>
  <c r="AD807" i="52"/>
  <c r="AD806" i="52"/>
  <c r="AD805" i="52"/>
  <c r="AD804" i="52"/>
  <c r="AD803" i="52"/>
  <c r="AD802" i="52"/>
  <c r="AD801" i="52"/>
  <c r="AD800" i="52"/>
  <c r="AD799" i="52"/>
  <c r="AD798" i="52"/>
  <c r="AD797" i="52"/>
  <c r="AD796" i="52"/>
  <c r="AD795" i="52"/>
  <c r="AD794" i="52"/>
  <c r="AD793" i="52"/>
  <c r="AD792" i="52"/>
  <c r="AD791" i="52"/>
  <c r="AD790" i="52"/>
  <c r="AD789" i="52"/>
  <c r="AD788" i="52"/>
  <c r="AD787" i="52"/>
  <c r="AD786" i="52"/>
  <c r="AD785" i="52"/>
  <c r="AD784" i="52"/>
  <c r="AD783" i="52"/>
  <c r="AD782" i="52"/>
  <c r="AD781" i="52"/>
  <c r="AD780" i="52"/>
  <c r="AD779" i="52"/>
  <c r="AD778" i="52"/>
  <c r="AD777" i="52"/>
  <c r="AD776" i="52"/>
  <c r="AD775" i="52"/>
  <c r="AD774" i="52"/>
  <c r="AD773" i="52"/>
  <c r="AD772" i="52"/>
  <c r="AD771" i="52"/>
  <c r="AD770" i="52"/>
  <c r="AD769" i="52"/>
  <c r="AD768" i="52"/>
  <c r="AD767" i="52"/>
  <c r="AD766" i="52"/>
  <c r="AD765" i="52"/>
  <c r="AD764" i="52"/>
  <c r="AD763" i="52"/>
  <c r="AD762" i="52"/>
  <c r="AD761" i="52"/>
  <c r="AD760" i="52"/>
  <c r="AD759" i="52"/>
  <c r="AD758" i="52"/>
  <c r="AD757" i="52"/>
  <c r="AD756" i="52"/>
  <c r="AD755" i="52"/>
  <c r="AD754" i="52"/>
  <c r="AD753" i="52"/>
  <c r="AD752" i="52"/>
  <c r="AD751" i="52"/>
  <c r="AD750" i="52"/>
  <c r="AD749" i="52"/>
  <c r="AD748" i="52"/>
  <c r="AD747" i="52"/>
  <c r="AD746" i="52"/>
  <c r="AD745" i="52"/>
  <c r="AD744" i="52"/>
  <c r="AD743" i="52"/>
  <c r="AD742" i="52"/>
  <c r="AD741" i="52"/>
  <c r="AD740" i="52"/>
  <c r="AD739" i="52"/>
  <c r="AD738" i="52"/>
  <c r="AD737" i="52"/>
  <c r="AD736" i="52"/>
  <c r="AD735" i="52"/>
  <c r="AD734" i="52"/>
  <c r="AD733" i="52"/>
  <c r="AD732" i="52"/>
  <c r="AD731" i="52"/>
  <c r="AD730" i="52"/>
  <c r="AD729" i="52"/>
  <c r="AD728" i="52"/>
  <c r="AD727" i="52"/>
  <c r="AD726" i="52"/>
  <c r="AD725" i="52"/>
  <c r="AD724" i="52"/>
  <c r="AD723" i="52"/>
  <c r="AD722" i="52"/>
  <c r="AD721" i="52"/>
  <c r="AD720" i="52"/>
  <c r="AD719" i="52"/>
  <c r="AD718" i="52"/>
  <c r="AD717" i="52"/>
  <c r="AD716" i="52"/>
  <c r="AD715" i="52"/>
  <c r="AD714" i="52"/>
  <c r="AD713" i="52"/>
  <c r="AD712" i="52"/>
  <c r="AD711" i="52"/>
  <c r="AD710" i="52"/>
  <c r="AD709" i="52"/>
  <c r="AD708" i="52"/>
  <c r="AD707" i="52"/>
  <c r="AD706" i="52"/>
  <c r="AD705" i="52"/>
  <c r="AD704" i="52"/>
  <c r="AD703" i="52"/>
  <c r="AD702" i="52"/>
  <c r="AD701" i="52"/>
  <c r="AD700" i="52"/>
  <c r="AD699" i="52"/>
  <c r="AD698" i="52"/>
  <c r="AD697" i="52"/>
  <c r="AD696" i="52"/>
  <c r="AD695" i="52"/>
  <c r="AD694" i="52"/>
  <c r="AD693" i="52"/>
  <c r="AD692" i="52"/>
  <c r="AD691" i="52"/>
  <c r="AD690" i="52"/>
  <c r="AD689" i="52"/>
  <c r="AD688" i="52"/>
  <c r="AD687" i="52"/>
  <c r="AD686" i="52"/>
  <c r="AD685" i="52"/>
  <c r="AD684" i="52"/>
  <c r="AD683" i="52"/>
  <c r="AD682" i="52"/>
  <c r="AD681" i="52"/>
  <c r="AD680" i="52"/>
  <c r="AD679" i="52"/>
  <c r="AD678" i="52"/>
  <c r="AD677" i="52"/>
  <c r="AD676" i="52"/>
  <c r="AD675" i="52"/>
  <c r="AD674" i="52"/>
  <c r="AD673" i="52"/>
  <c r="AD672" i="52"/>
  <c r="AD9" i="55" s="1"/>
  <c r="AD452" i="52"/>
  <c r="AD451" i="52"/>
  <c r="AD450" i="52"/>
  <c r="AD449" i="52"/>
  <c r="AD448" i="52"/>
  <c r="AD447" i="52"/>
  <c r="AD446" i="52"/>
  <c r="AD445" i="52"/>
  <c r="AD444" i="52"/>
  <c r="AD443" i="52"/>
  <c r="AD442" i="52"/>
  <c r="AD441" i="52"/>
  <c r="AD440" i="52"/>
  <c r="AD439" i="52"/>
  <c r="AD438" i="52"/>
  <c r="AD437" i="52"/>
  <c r="AD436" i="52"/>
  <c r="AD435" i="52"/>
  <c r="AD434" i="52"/>
  <c r="AD433" i="52"/>
  <c r="AD432" i="52"/>
  <c r="AD431" i="52"/>
  <c r="AD430" i="52"/>
  <c r="AD429" i="52"/>
  <c r="AD428" i="52"/>
  <c r="AD427" i="52"/>
  <c r="AD426" i="52"/>
  <c r="AD425" i="52"/>
  <c r="AD424" i="52"/>
  <c r="AD423" i="52"/>
  <c r="AD422" i="52"/>
  <c r="AD421" i="52"/>
  <c r="AD420" i="52"/>
  <c r="AD419" i="52"/>
  <c r="AD418" i="52"/>
  <c r="AD417" i="52"/>
  <c r="AD416" i="52"/>
  <c r="AD415" i="52"/>
  <c r="AD414" i="52"/>
  <c r="AD413" i="52"/>
  <c r="AD412" i="52"/>
  <c r="AD411" i="52"/>
  <c r="AD410" i="52"/>
  <c r="AD409" i="52"/>
  <c r="AD408" i="52"/>
  <c r="AD407" i="52"/>
  <c r="AD406" i="52"/>
  <c r="AD405" i="52"/>
  <c r="AE404" i="52"/>
  <c r="AE403" i="52"/>
  <c r="AE402" i="52"/>
  <c r="AE401" i="52"/>
  <c r="AE400" i="52"/>
  <c r="AE399" i="52"/>
  <c r="AE398" i="52"/>
  <c r="AE397" i="52"/>
  <c r="AE396" i="52"/>
  <c r="AE395" i="52"/>
  <c r="AE394" i="52"/>
  <c r="AE393" i="52"/>
  <c r="AD392" i="52"/>
  <c r="AD391" i="52"/>
  <c r="AD390" i="52"/>
  <c r="AD389" i="52"/>
  <c r="AD388" i="52"/>
  <c r="AD387" i="52"/>
  <c r="AD386" i="52"/>
  <c r="AD385" i="52"/>
  <c r="AD384" i="52"/>
  <c r="AD383" i="52"/>
  <c r="AD382" i="52"/>
  <c r="AD381" i="52"/>
  <c r="AD380" i="52"/>
  <c r="AD379" i="52"/>
  <c r="AD378" i="52"/>
  <c r="AD377" i="52"/>
  <c r="AD376" i="52"/>
  <c r="AD375" i="52"/>
  <c r="AD374" i="52"/>
  <c r="AD373" i="52"/>
  <c r="AD372" i="52"/>
  <c r="AD371" i="52"/>
  <c r="AD370" i="52"/>
  <c r="AD369" i="52"/>
  <c r="AE368" i="52"/>
  <c r="AE367" i="52"/>
  <c r="AE366" i="52"/>
  <c r="AE365" i="52"/>
  <c r="AE364" i="52"/>
  <c r="AE363" i="52"/>
  <c r="AE362" i="52"/>
  <c r="AE361" i="52"/>
  <c r="AE360" i="52"/>
  <c r="AE359" i="52"/>
  <c r="AE358" i="52"/>
  <c r="AE357" i="52"/>
  <c r="AE356" i="52"/>
  <c r="AE355" i="52"/>
  <c r="AE354" i="52"/>
  <c r="AE353" i="52"/>
  <c r="AE352" i="52"/>
  <c r="AE351" i="52"/>
  <c r="AE350" i="52"/>
  <c r="AE349" i="52"/>
  <c r="AE348" i="52"/>
  <c r="AE347" i="52"/>
  <c r="AE346" i="52"/>
  <c r="AE345" i="52"/>
  <c r="AE344" i="52"/>
  <c r="AE343" i="52"/>
  <c r="AE342" i="52"/>
  <c r="AE341" i="52"/>
  <c r="AE340" i="52"/>
  <c r="AE339" i="52"/>
  <c r="AE338" i="52"/>
  <c r="AE337" i="52"/>
  <c r="AE336" i="52"/>
  <c r="AE335" i="52"/>
  <c r="AE334" i="52"/>
  <c r="AE333" i="52"/>
  <c r="AE332" i="52"/>
  <c r="AE331" i="52"/>
  <c r="AE330" i="52"/>
  <c r="AE329" i="52"/>
  <c r="AE328" i="52"/>
  <c r="AE327" i="52"/>
  <c r="AE326" i="52"/>
  <c r="AE325" i="52"/>
  <c r="AE324" i="52"/>
  <c r="AE323" i="52"/>
  <c r="AE322" i="52"/>
  <c r="AE321" i="52"/>
  <c r="AE320" i="52"/>
  <c r="AE319" i="52"/>
  <c r="AE318" i="52"/>
  <c r="AE317" i="52"/>
  <c r="AE316" i="52"/>
  <c r="AE315" i="52"/>
  <c r="AE314" i="52"/>
  <c r="AE313" i="52"/>
  <c r="AE312" i="52"/>
  <c r="AE311" i="52"/>
  <c r="AE310" i="52"/>
  <c r="AE309" i="52"/>
  <c r="AE308" i="52"/>
  <c r="AE307" i="52"/>
  <c r="AE306" i="52"/>
  <c r="AE305" i="52"/>
  <c r="AE304" i="52"/>
  <c r="AE303" i="52"/>
  <c r="AE302" i="52"/>
  <c r="AE301" i="52"/>
  <c r="AE300" i="52"/>
  <c r="AE299" i="52"/>
  <c r="AE298" i="52"/>
  <c r="AE297" i="52"/>
  <c r="AE296" i="52"/>
  <c r="AE295" i="52"/>
  <c r="AE294" i="52"/>
  <c r="AE293" i="52"/>
  <c r="AE292" i="52"/>
  <c r="AE291" i="52"/>
  <c r="AE290" i="52"/>
  <c r="AE289" i="52"/>
  <c r="AE288" i="52"/>
  <c r="AE287" i="52"/>
  <c r="AE286" i="52"/>
  <c r="AE285" i="52"/>
  <c r="AE284" i="52"/>
  <c r="AE283" i="52"/>
  <c r="AE282" i="52"/>
  <c r="AE281" i="52"/>
  <c r="AE280" i="52"/>
  <c r="AE279" i="52"/>
  <c r="AE278" i="52"/>
  <c r="AE277" i="52"/>
  <c r="AE276" i="52"/>
  <c r="AE275" i="52"/>
  <c r="AE274" i="52"/>
  <c r="AE273" i="52"/>
  <c r="AE272" i="52"/>
  <c r="AE271" i="52"/>
  <c r="AE270" i="52"/>
  <c r="AE269" i="52"/>
  <c r="AD231" i="52"/>
  <c r="AD230" i="52"/>
  <c r="AD229" i="52"/>
  <c r="AD228" i="52"/>
  <c r="AD227" i="52"/>
  <c r="AD226" i="52"/>
  <c r="AD225" i="52"/>
  <c r="AD224" i="52"/>
  <c r="AD223" i="52"/>
  <c r="AD222" i="52"/>
  <c r="AD221" i="52"/>
  <c r="AD220" i="52"/>
  <c r="AE206" i="52"/>
  <c r="AE205" i="52"/>
  <c r="AE204" i="52"/>
  <c r="AE203" i="52"/>
  <c r="AE202" i="52"/>
  <c r="AE201" i="52"/>
  <c r="AE200" i="52"/>
  <c r="AE199" i="52"/>
  <c r="AE198" i="52"/>
  <c r="AE197" i="52"/>
  <c r="AE196" i="52"/>
  <c r="AE195" i="52"/>
  <c r="AE194" i="52"/>
  <c r="AE193" i="52"/>
  <c r="AE192" i="52"/>
  <c r="AE191" i="52"/>
  <c r="AE190" i="52"/>
  <c r="AE189" i="52"/>
  <c r="AE188" i="52"/>
  <c r="AE187" i="52"/>
  <c r="AE186" i="52"/>
  <c r="AE185" i="52"/>
  <c r="AE184" i="52"/>
  <c r="AE183" i="52"/>
  <c r="AE182" i="52"/>
  <c r="AE181" i="52"/>
  <c r="AE180" i="52"/>
  <c r="AE179" i="52"/>
  <c r="AE178" i="52"/>
  <c r="AE177" i="52"/>
  <c r="AE176" i="52"/>
  <c r="AE175" i="52"/>
  <c r="AE174" i="52"/>
  <c r="AE173" i="52"/>
  <c r="AE172" i="52"/>
  <c r="AE171" i="52"/>
  <c r="AE170" i="52"/>
  <c r="AE169" i="52"/>
  <c r="AE168" i="52"/>
  <c r="AE167" i="52"/>
  <c r="AE166" i="52"/>
  <c r="AE165" i="52"/>
  <c r="AE164" i="52"/>
  <c r="AE163" i="52"/>
  <c r="AE162" i="52"/>
  <c r="AE161" i="52"/>
  <c r="AE160" i="52"/>
  <c r="AE159" i="52"/>
  <c r="AE158" i="52"/>
  <c r="AE157" i="52"/>
  <c r="AE156" i="52"/>
  <c r="AE155" i="52"/>
  <c r="AE154" i="52"/>
  <c r="AE153" i="52"/>
  <c r="AE152" i="52"/>
  <c r="AE151" i="52"/>
  <c r="AE150" i="52"/>
  <c r="AE149" i="52"/>
  <c r="AE148" i="52"/>
  <c r="AE147" i="52"/>
  <c r="AE146" i="52"/>
  <c r="AE145" i="52"/>
  <c r="AE144" i="52"/>
  <c r="AE143" i="52"/>
  <c r="AE142" i="52"/>
  <c r="AE141" i="52"/>
  <c r="AE140" i="52"/>
  <c r="AE139" i="52"/>
  <c r="AE138" i="52"/>
  <c r="AE137" i="52"/>
  <c r="AE136" i="52"/>
  <c r="AE135" i="52"/>
  <c r="AE134" i="52"/>
  <c r="AE133" i="52"/>
  <c r="AE132" i="52"/>
  <c r="AE131" i="52"/>
  <c r="AE130" i="52"/>
  <c r="AE129" i="52"/>
  <c r="AE128" i="52"/>
  <c r="AE127" i="52"/>
  <c r="AE126" i="52"/>
  <c r="AE125" i="52"/>
  <c r="AE124" i="52"/>
  <c r="AE123" i="52"/>
  <c r="AE122" i="52"/>
  <c r="AE121" i="52"/>
  <c r="AE120" i="52"/>
  <c r="AE119" i="52"/>
  <c r="AE118" i="52"/>
  <c r="AE117" i="52"/>
  <c r="AE116" i="52"/>
  <c r="AE115" i="52"/>
  <c r="AE114" i="52"/>
  <c r="AE113" i="52"/>
  <c r="AE112" i="52"/>
  <c r="AE111" i="52"/>
  <c r="AE110" i="52"/>
  <c r="AE109" i="52"/>
  <c r="AE108" i="52"/>
  <c r="AE107" i="52"/>
  <c r="AE106" i="52"/>
  <c r="AE105" i="52"/>
  <c r="AE104" i="52"/>
  <c r="AE103" i="52"/>
  <c r="AE102" i="52"/>
  <c r="AE101" i="52"/>
  <c r="AE100" i="52"/>
  <c r="AE99" i="52"/>
  <c r="AE98" i="52"/>
  <c r="AE97" i="52"/>
  <c r="AE96" i="52"/>
  <c r="AE95" i="52"/>
  <c r="AE94" i="52"/>
  <c r="AE93" i="52"/>
  <c r="AE92" i="52"/>
  <c r="AE91" i="52"/>
  <c r="AE90" i="52"/>
  <c r="AE89" i="52"/>
  <c r="AE88" i="52"/>
  <c r="AE87" i="52"/>
  <c r="AE86" i="52"/>
  <c r="AD25" i="52"/>
  <c r="AD24" i="52"/>
  <c r="AD23" i="52"/>
  <c r="AD22" i="52"/>
  <c r="AD21" i="52"/>
  <c r="AD20" i="52"/>
  <c r="AD19" i="52"/>
  <c r="AD18" i="52"/>
  <c r="AD17" i="52"/>
  <c r="AD16" i="52"/>
  <c r="AD15" i="52"/>
  <c r="AD14" i="52"/>
  <c r="V1017" i="52"/>
  <c r="AB1017" i="52" s="1"/>
  <c r="V1016" i="52"/>
  <c r="AB1016" i="52" s="1"/>
  <c r="V1015" i="52"/>
  <c r="AB1015" i="52" s="1"/>
  <c r="V1014" i="52"/>
  <c r="AB1014" i="52" s="1"/>
  <c r="V1013" i="52"/>
  <c r="AB1013" i="52" s="1"/>
  <c r="V1012" i="52"/>
  <c r="AB1012" i="52" s="1"/>
  <c r="V1011" i="52"/>
  <c r="AB1011" i="52" s="1"/>
  <c r="V1010" i="52"/>
  <c r="AB1010" i="52" s="1"/>
  <c r="V1009" i="52"/>
  <c r="AB1009" i="52" s="1"/>
  <c r="V1008" i="52"/>
  <c r="AB1008" i="52" s="1"/>
  <c r="V1007" i="52"/>
  <c r="AB1007" i="52" s="1"/>
  <c r="V1006" i="52"/>
  <c r="AB1006" i="52" s="1"/>
  <c r="V1005" i="52"/>
  <c r="AB1005" i="52" s="1"/>
  <c r="X1004" i="52"/>
  <c r="W1004" i="52"/>
  <c r="V1004" i="52"/>
  <c r="AB1004" i="52" s="1"/>
  <c r="X1003" i="52"/>
  <c r="W1003" i="52"/>
  <c r="V1003" i="52"/>
  <c r="AB1003" i="52" s="1"/>
  <c r="X1002" i="52"/>
  <c r="W1002" i="52"/>
  <c r="V1002" i="52"/>
  <c r="AB1002" i="52" s="1"/>
  <c r="X1001" i="52"/>
  <c r="W1001" i="52"/>
  <c r="V1001" i="52"/>
  <c r="AB1001" i="52" s="1"/>
  <c r="X1000" i="52"/>
  <c r="W1000" i="52"/>
  <c r="V1000" i="52"/>
  <c r="AB1000" i="52" s="1"/>
  <c r="X999" i="52"/>
  <c r="W999" i="52"/>
  <c r="V999" i="52"/>
  <c r="AB999" i="52" s="1"/>
  <c r="X998" i="52"/>
  <c r="W998" i="52"/>
  <c r="V998" i="52"/>
  <c r="AB998" i="52" s="1"/>
  <c r="X997" i="52"/>
  <c r="W997" i="52"/>
  <c r="V997" i="52"/>
  <c r="AB997" i="52" s="1"/>
  <c r="X996" i="52"/>
  <c r="W996" i="52"/>
  <c r="V996" i="52"/>
  <c r="AB996" i="52" s="1"/>
  <c r="X995" i="52"/>
  <c r="W995" i="52"/>
  <c r="V995" i="52"/>
  <c r="AB995" i="52" s="1"/>
  <c r="X994" i="52"/>
  <c r="W994" i="52"/>
  <c r="V994" i="52"/>
  <c r="AB994" i="52" s="1"/>
  <c r="X993" i="52"/>
  <c r="W993" i="52"/>
  <c r="V993" i="52"/>
  <c r="AB993" i="52" s="1"/>
  <c r="X992" i="52"/>
  <c r="W992" i="52"/>
  <c r="V992" i="52"/>
  <c r="AB992" i="52" s="1"/>
  <c r="X991" i="52"/>
  <c r="W991" i="52"/>
  <c r="V991" i="52"/>
  <c r="AB991" i="52" s="1"/>
  <c r="X990" i="52"/>
  <c r="W990" i="52"/>
  <c r="V990" i="52"/>
  <c r="AB990" i="52" s="1"/>
  <c r="X989" i="52"/>
  <c r="W989" i="52"/>
  <c r="V989" i="52"/>
  <c r="AB989" i="52" s="1"/>
  <c r="X988" i="52"/>
  <c r="W988" i="52"/>
  <c r="V988" i="52"/>
  <c r="AB988" i="52" s="1"/>
  <c r="X987" i="52"/>
  <c r="W987" i="52"/>
  <c r="V987" i="52"/>
  <c r="AB987" i="52" s="1"/>
  <c r="X986" i="52"/>
  <c r="W986" i="52"/>
  <c r="V986" i="52"/>
  <c r="AB986" i="52" s="1"/>
  <c r="X985" i="52"/>
  <c r="W985" i="52"/>
  <c r="V985" i="52"/>
  <c r="AB985" i="52" s="1"/>
  <c r="X984" i="52"/>
  <c r="W984" i="52"/>
  <c r="V984" i="52"/>
  <c r="AB984" i="52" s="1"/>
  <c r="X983" i="52"/>
  <c r="W983" i="52"/>
  <c r="V983" i="52"/>
  <c r="AB983" i="52" s="1"/>
  <c r="X982" i="52"/>
  <c r="W982" i="52"/>
  <c r="V982" i="52"/>
  <c r="AB982" i="52" s="1"/>
  <c r="X981" i="52"/>
  <c r="W981" i="52"/>
  <c r="V981" i="52"/>
  <c r="AB981" i="52" s="1"/>
  <c r="X980" i="52"/>
  <c r="W980" i="52"/>
  <c r="V980" i="52"/>
  <c r="AB980" i="52" s="1"/>
  <c r="X979" i="52"/>
  <c r="W979" i="52"/>
  <c r="V979" i="52"/>
  <c r="AB979" i="52" s="1"/>
  <c r="X978" i="52"/>
  <c r="W978" i="52"/>
  <c r="V978" i="52"/>
  <c r="AB978" i="52" s="1"/>
  <c r="X977" i="52"/>
  <c r="W977" i="52"/>
  <c r="V977" i="52"/>
  <c r="AB977" i="52" s="1"/>
  <c r="X976" i="52"/>
  <c r="W976" i="52"/>
  <c r="V976" i="52"/>
  <c r="AB976" i="52" s="1"/>
  <c r="X975" i="52"/>
  <c r="W975" i="52"/>
  <c r="V975" i="52"/>
  <c r="AB975" i="52" s="1"/>
  <c r="X974" i="52"/>
  <c r="W974" i="52"/>
  <c r="V974" i="52"/>
  <c r="AB974" i="52" s="1"/>
  <c r="X973" i="52"/>
  <c r="W973" i="52"/>
  <c r="V973" i="52"/>
  <c r="AB973" i="52" s="1"/>
  <c r="X972" i="52"/>
  <c r="W972" i="52"/>
  <c r="V972" i="52"/>
  <c r="AB972" i="52" s="1"/>
  <c r="X971" i="52"/>
  <c r="W971" i="52"/>
  <c r="V971" i="52"/>
  <c r="AB971" i="52" s="1"/>
  <c r="X970" i="52"/>
  <c r="W970" i="52"/>
  <c r="V970" i="52"/>
  <c r="AB970" i="52" s="1"/>
  <c r="X969" i="52"/>
  <c r="W969" i="52"/>
  <c r="V969" i="52"/>
  <c r="AB969" i="52" s="1"/>
  <c r="X968" i="52"/>
  <c r="W968" i="52"/>
  <c r="V968" i="52"/>
  <c r="AB968" i="52" s="1"/>
  <c r="X967" i="52"/>
  <c r="W967" i="52"/>
  <c r="V967" i="52"/>
  <c r="AB967" i="52" s="1"/>
  <c r="X966" i="52"/>
  <c r="W966" i="52"/>
  <c r="V966" i="52"/>
  <c r="AB966" i="52" s="1"/>
  <c r="X965" i="52"/>
  <c r="W965" i="52"/>
  <c r="V965" i="52"/>
  <c r="AB965" i="52" s="1"/>
  <c r="X964" i="52"/>
  <c r="W964" i="52"/>
  <c r="V964" i="52"/>
  <c r="AB964" i="52" s="1"/>
  <c r="X963" i="52"/>
  <c r="W963" i="52"/>
  <c r="V963" i="52"/>
  <c r="AB963" i="52" s="1"/>
  <c r="X962" i="52"/>
  <c r="W962" i="52"/>
  <c r="V962" i="52"/>
  <c r="AB962" i="52" s="1"/>
  <c r="X961" i="52"/>
  <c r="W961" i="52"/>
  <c r="V961" i="52"/>
  <c r="AB961" i="52" s="1"/>
  <c r="X960" i="52"/>
  <c r="W960" i="52"/>
  <c r="V960" i="52"/>
  <c r="AB960" i="52" s="1"/>
  <c r="X959" i="52"/>
  <c r="W959" i="52"/>
  <c r="V959" i="52"/>
  <c r="AB959" i="52" s="1"/>
  <c r="X958" i="52"/>
  <c r="W958" i="52"/>
  <c r="V958" i="52"/>
  <c r="AB958" i="52" s="1"/>
  <c r="X957" i="52"/>
  <c r="W957" i="52"/>
  <c r="V957" i="52"/>
  <c r="AB957" i="52" s="1"/>
  <c r="X956" i="52"/>
  <c r="W956" i="52"/>
  <c r="V956" i="52"/>
  <c r="AB956" i="52" s="1"/>
  <c r="X955" i="52"/>
  <c r="W955" i="52"/>
  <c r="V955" i="52"/>
  <c r="AB955" i="52" s="1"/>
  <c r="X954" i="52"/>
  <c r="W954" i="52"/>
  <c r="V954" i="52"/>
  <c r="AB954" i="52" s="1"/>
  <c r="X953" i="52"/>
  <c r="W953" i="52"/>
  <c r="V953" i="52"/>
  <c r="AB953" i="52" s="1"/>
  <c r="X952" i="52"/>
  <c r="W952" i="52"/>
  <c r="V952" i="52"/>
  <c r="AB952" i="52" s="1"/>
  <c r="X951" i="52"/>
  <c r="W951" i="52"/>
  <c r="V951" i="52"/>
  <c r="AB951" i="52" s="1"/>
  <c r="X950" i="52"/>
  <c r="W950" i="52"/>
  <c r="V950" i="52"/>
  <c r="AB950" i="52" s="1"/>
  <c r="X949" i="52"/>
  <c r="W949" i="52"/>
  <c r="V949" i="52"/>
  <c r="AB949" i="52" s="1"/>
  <c r="X948" i="52"/>
  <c r="W948" i="52"/>
  <c r="V948" i="52"/>
  <c r="AB948" i="52" s="1"/>
  <c r="X947" i="52"/>
  <c r="W947" i="52"/>
  <c r="V947" i="52"/>
  <c r="AB947" i="52" s="1"/>
  <c r="X946" i="52"/>
  <c r="W946" i="52"/>
  <c r="V946" i="52"/>
  <c r="AB946" i="52" s="1"/>
  <c r="X945" i="52"/>
  <c r="W945" i="52"/>
  <c r="V945" i="52"/>
  <c r="AB945" i="52" s="1"/>
  <c r="X944" i="52"/>
  <c r="W944" i="52"/>
  <c r="V944" i="52"/>
  <c r="AB944" i="52" s="1"/>
  <c r="X943" i="52"/>
  <c r="W943" i="52"/>
  <c r="V943" i="52"/>
  <c r="AB943" i="52" s="1"/>
  <c r="X942" i="52"/>
  <c r="W942" i="52"/>
  <c r="V942" i="52"/>
  <c r="AB942" i="52" s="1"/>
  <c r="X941" i="52"/>
  <c r="W941" i="52"/>
  <c r="V941" i="52"/>
  <c r="AB941" i="52" s="1"/>
  <c r="X940" i="52"/>
  <c r="W940" i="52"/>
  <c r="V940" i="52"/>
  <c r="AB940" i="52" s="1"/>
  <c r="X939" i="52"/>
  <c r="W939" i="52"/>
  <c r="V939" i="52"/>
  <c r="AB939" i="52" s="1"/>
  <c r="X938" i="52"/>
  <c r="W938" i="52"/>
  <c r="V938" i="52"/>
  <c r="AB938" i="52" s="1"/>
  <c r="X937" i="52"/>
  <c r="W937" i="52"/>
  <c r="V937" i="52"/>
  <c r="AB937" i="52" s="1"/>
  <c r="X936" i="52"/>
  <c r="W936" i="52"/>
  <c r="V936" i="52"/>
  <c r="AB936" i="52" s="1"/>
  <c r="X935" i="52"/>
  <c r="W935" i="52"/>
  <c r="V935" i="52"/>
  <c r="AB935" i="52" s="1"/>
  <c r="X934" i="52"/>
  <c r="W934" i="52"/>
  <c r="V934" i="52"/>
  <c r="AB934" i="52" s="1"/>
  <c r="X933" i="52"/>
  <c r="W933" i="52"/>
  <c r="V933" i="52"/>
  <c r="AB933" i="52" s="1"/>
  <c r="X932" i="52"/>
  <c r="W932" i="52"/>
  <c r="V932" i="52"/>
  <c r="AB932" i="52" s="1"/>
  <c r="X931" i="52"/>
  <c r="W931" i="52"/>
  <c r="V931" i="52"/>
  <c r="AB931" i="52" s="1"/>
  <c r="X930" i="52"/>
  <c r="W930" i="52"/>
  <c r="V930" i="52"/>
  <c r="AB930" i="52" s="1"/>
  <c r="X929" i="52"/>
  <c r="W929" i="52"/>
  <c r="V929" i="52"/>
  <c r="AB929" i="52" s="1"/>
  <c r="X928" i="52"/>
  <c r="W928" i="52"/>
  <c r="V928" i="52"/>
  <c r="AB928" i="52" s="1"/>
  <c r="X927" i="52"/>
  <c r="W927" i="52"/>
  <c r="V927" i="52"/>
  <c r="AB927" i="52" s="1"/>
  <c r="X926" i="52"/>
  <c r="W926" i="52"/>
  <c r="V926" i="52"/>
  <c r="AB926" i="52" s="1"/>
  <c r="X925" i="52"/>
  <c r="W925" i="52"/>
  <c r="V925" i="52"/>
  <c r="AB925" i="52" s="1"/>
  <c r="X924" i="52"/>
  <c r="W924" i="52"/>
  <c r="V924" i="52"/>
  <c r="AB924" i="52" s="1"/>
  <c r="X923" i="52"/>
  <c r="W923" i="52"/>
  <c r="V923" i="52"/>
  <c r="AB923" i="52" s="1"/>
  <c r="X922" i="52"/>
  <c r="W922" i="52"/>
  <c r="V922" i="52"/>
  <c r="AB922" i="52" s="1"/>
  <c r="X921" i="52"/>
  <c r="W921" i="52"/>
  <c r="V921" i="52"/>
  <c r="AB921" i="52" s="1"/>
  <c r="X920" i="52"/>
  <c r="W920" i="52"/>
  <c r="V920" i="52"/>
  <c r="AB920" i="52" s="1"/>
  <c r="X919" i="52"/>
  <c r="W919" i="52"/>
  <c r="V919" i="52"/>
  <c r="AB919" i="52" s="1"/>
  <c r="X918" i="52"/>
  <c r="W918" i="52"/>
  <c r="V918" i="52"/>
  <c r="AB918" i="52" s="1"/>
  <c r="X917" i="52"/>
  <c r="W917" i="52"/>
  <c r="V917" i="52"/>
  <c r="AB917" i="52" s="1"/>
  <c r="X916" i="52"/>
  <c r="W916" i="52"/>
  <c r="V916" i="52"/>
  <c r="AB916" i="52" s="1"/>
  <c r="X915" i="52"/>
  <c r="W915" i="52"/>
  <c r="V915" i="52"/>
  <c r="AB915" i="52" s="1"/>
  <c r="X914" i="52"/>
  <c r="W914" i="52"/>
  <c r="V914" i="52"/>
  <c r="AB914" i="52" s="1"/>
  <c r="X913" i="52"/>
  <c r="W913" i="52"/>
  <c r="V913" i="52"/>
  <c r="AB913" i="52" s="1"/>
  <c r="X912" i="52"/>
  <c r="W912" i="52"/>
  <c r="V912" i="52"/>
  <c r="AB912" i="52" s="1"/>
  <c r="X911" i="52"/>
  <c r="W911" i="52"/>
  <c r="V911" i="52"/>
  <c r="AB911" i="52" s="1"/>
  <c r="X910" i="52"/>
  <c r="W910" i="52"/>
  <c r="V910" i="52"/>
  <c r="AB910" i="52" s="1"/>
  <c r="X909" i="52"/>
  <c r="W909" i="52"/>
  <c r="V909" i="52"/>
  <c r="AB909" i="52" s="1"/>
  <c r="X908" i="52"/>
  <c r="W908" i="52"/>
  <c r="V908" i="52"/>
  <c r="AB908" i="52" s="1"/>
  <c r="X907" i="52"/>
  <c r="W907" i="52"/>
  <c r="V907" i="52"/>
  <c r="AB907" i="52" s="1"/>
  <c r="X906" i="52"/>
  <c r="W906" i="52"/>
  <c r="V906" i="52"/>
  <c r="AB906" i="52" s="1"/>
  <c r="X905" i="52"/>
  <c r="W905" i="52"/>
  <c r="V905" i="52"/>
  <c r="AB905" i="52" s="1"/>
  <c r="X904" i="52"/>
  <c r="W904" i="52"/>
  <c r="V904" i="52"/>
  <c r="AB904" i="52" s="1"/>
  <c r="X903" i="52"/>
  <c r="W903" i="52"/>
  <c r="V903" i="52"/>
  <c r="AB903" i="52" s="1"/>
  <c r="X902" i="52"/>
  <c r="W902" i="52"/>
  <c r="V902" i="52"/>
  <c r="AB902" i="52" s="1"/>
  <c r="X901" i="52"/>
  <c r="W901" i="52"/>
  <c r="V901" i="52"/>
  <c r="AB901" i="52" s="1"/>
  <c r="X900" i="52"/>
  <c r="W900" i="52"/>
  <c r="V900" i="52"/>
  <c r="AB900" i="52" s="1"/>
  <c r="X899" i="52"/>
  <c r="W899" i="52"/>
  <c r="V899" i="52"/>
  <c r="AB899" i="52" s="1"/>
  <c r="X898" i="52"/>
  <c r="W898" i="52"/>
  <c r="V898" i="52"/>
  <c r="AB898" i="52" s="1"/>
  <c r="X897" i="52"/>
  <c r="W897" i="52"/>
  <c r="V897" i="52"/>
  <c r="AB897" i="52" s="1"/>
  <c r="X896" i="52"/>
  <c r="W896" i="52"/>
  <c r="V896" i="52"/>
  <c r="AB896" i="52" s="1"/>
  <c r="X895" i="52"/>
  <c r="W895" i="52"/>
  <c r="V895" i="52"/>
  <c r="AB895" i="52" s="1"/>
  <c r="X894" i="52"/>
  <c r="W894" i="52"/>
  <c r="V894" i="52"/>
  <c r="AB894" i="52" s="1"/>
  <c r="X893" i="52"/>
  <c r="W893" i="52"/>
  <c r="V893" i="52"/>
  <c r="AB893" i="52" s="1"/>
  <c r="X892" i="52"/>
  <c r="W892" i="52"/>
  <c r="V892" i="52"/>
  <c r="AB892" i="52" s="1"/>
  <c r="X891" i="52"/>
  <c r="W891" i="52"/>
  <c r="V891" i="52"/>
  <c r="AB891" i="52" s="1"/>
  <c r="X890" i="52"/>
  <c r="W890" i="52"/>
  <c r="V890" i="52"/>
  <c r="AB890" i="52" s="1"/>
  <c r="X889" i="52"/>
  <c r="W889" i="52"/>
  <c r="V889" i="52"/>
  <c r="AB889" i="52" s="1"/>
  <c r="X888" i="52"/>
  <c r="W888" i="52"/>
  <c r="V888" i="52"/>
  <c r="AB888" i="52" s="1"/>
  <c r="X887" i="52"/>
  <c r="W887" i="52"/>
  <c r="V887" i="52"/>
  <c r="AB887" i="52" s="1"/>
  <c r="X886" i="52"/>
  <c r="W886" i="52"/>
  <c r="V886" i="52"/>
  <c r="AB886" i="52" s="1"/>
  <c r="X885" i="52"/>
  <c r="W885" i="52"/>
  <c r="V885" i="52"/>
  <c r="AB885" i="52" s="1"/>
  <c r="X884" i="52"/>
  <c r="W884" i="52"/>
  <c r="V884" i="52"/>
  <c r="AB884" i="52" s="1"/>
  <c r="X883" i="52"/>
  <c r="W883" i="52"/>
  <c r="V883" i="52"/>
  <c r="AB883" i="52" s="1"/>
  <c r="X882" i="52"/>
  <c r="W882" i="52"/>
  <c r="V882" i="52"/>
  <c r="AB882" i="52" s="1"/>
  <c r="X881" i="52"/>
  <c r="W881" i="52"/>
  <c r="V881" i="52"/>
  <c r="AB881" i="52" s="1"/>
  <c r="X880" i="52"/>
  <c r="W880" i="52"/>
  <c r="V880" i="52"/>
  <c r="AB880" i="52" s="1"/>
  <c r="X879" i="52"/>
  <c r="W879" i="52"/>
  <c r="V879" i="52"/>
  <c r="AB879" i="52" s="1"/>
  <c r="X878" i="52"/>
  <c r="W878" i="52"/>
  <c r="V878" i="52"/>
  <c r="AB878" i="52" s="1"/>
  <c r="X877" i="52"/>
  <c r="W877" i="52"/>
  <c r="V877" i="52"/>
  <c r="AB877" i="52" s="1"/>
  <c r="X876" i="52"/>
  <c r="W876" i="52"/>
  <c r="V876" i="52"/>
  <c r="AB876" i="52" s="1"/>
  <c r="X875" i="52"/>
  <c r="W875" i="52"/>
  <c r="V875" i="52"/>
  <c r="AB875" i="52" s="1"/>
  <c r="X874" i="52"/>
  <c r="W874" i="52"/>
  <c r="V874" i="52"/>
  <c r="AB874" i="52" s="1"/>
  <c r="X873" i="52"/>
  <c r="W873" i="52"/>
  <c r="V873" i="52"/>
  <c r="AB873" i="52" s="1"/>
  <c r="X872" i="52"/>
  <c r="W872" i="52"/>
  <c r="V872" i="52"/>
  <c r="AB872" i="52" s="1"/>
  <c r="X871" i="52"/>
  <c r="W871" i="52"/>
  <c r="V871" i="52"/>
  <c r="AB871" i="52" s="1"/>
  <c r="X870" i="52"/>
  <c r="W870" i="52"/>
  <c r="V870" i="52"/>
  <c r="AB870" i="52" s="1"/>
  <c r="X869" i="52"/>
  <c r="W869" i="52"/>
  <c r="V869" i="52"/>
  <c r="AB869" i="52" s="1"/>
  <c r="X868" i="52"/>
  <c r="W868" i="52"/>
  <c r="V868" i="52"/>
  <c r="AB868" i="52" s="1"/>
  <c r="X867" i="52"/>
  <c r="W867" i="52"/>
  <c r="V867" i="52"/>
  <c r="AB867" i="52" s="1"/>
  <c r="X866" i="52"/>
  <c r="W866" i="52"/>
  <c r="V866" i="52"/>
  <c r="AB866" i="52" s="1"/>
  <c r="X865" i="52"/>
  <c r="W865" i="52"/>
  <c r="V865" i="52"/>
  <c r="AB865" i="52" s="1"/>
  <c r="X864" i="52"/>
  <c r="W864" i="52"/>
  <c r="V864" i="52"/>
  <c r="AB864" i="52" s="1"/>
  <c r="X863" i="52"/>
  <c r="W863" i="52"/>
  <c r="V863" i="52"/>
  <c r="AB863" i="52" s="1"/>
  <c r="X862" i="52"/>
  <c r="W862" i="52"/>
  <c r="AC862" i="52" s="1"/>
  <c r="V862" i="52"/>
  <c r="AB862" i="52" s="1"/>
  <c r="X861" i="52"/>
  <c r="W861" i="52"/>
  <c r="V861" i="52"/>
  <c r="AB861" i="52" s="1"/>
  <c r="X860" i="52"/>
  <c r="W860" i="52"/>
  <c r="V860" i="52"/>
  <c r="AB860" i="52" s="1"/>
  <c r="X859" i="52"/>
  <c r="W859" i="52"/>
  <c r="V859" i="52"/>
  <c r="AB859" i="52" s="1"/>
  <c r="X858" i="52"/>
  <c r="W858" i="52"/>
  <c r="AC858" i="52" s="1"/>
  <c r="V858" i="52"/>
  <c r="AB858" i="52" s="1"/>
  <c r="X857" i="52"/>
  <c r="W857" i="52"/>
  <c r="V857" i="52"/>
  <c r="AB857" i="52" s="1"/>
  <c r="X856" i="52"/>
  <c r="W856" i="52"/>
  <c r="V856" i="52"/>
  <c r="AB856" i="52" s="1"/>
  <c r="X855" i="52"/>
  <c r="W855" i="52"/>
  <c r="V855" i="52"/>
  <c r="AB855" i="52" s="1"/>
  <c r="X854" i="52"/>
  <c r="W854" i="52"/>
  <c r="AC854" i="52" s="1"/>
  <c r="V854" i="52"/>
  <c r="AB854" i="52" s="1"/>
  <c r="X853" i="52"/>
  <c r="W853" i="52"/>
  <c r="V853" i="52"/>
  <c r="AB853" i="52" s="1"/>
  <c r="X852" i="52"/>
  <c r="W852" i="52"/>
  <c r="V852" i="52"/>
  <c r="AB852" i="52" s="1"/>
  <c r="X851" i="52"/>
  <c r="W851" i="52"/>
  <c r="V851" i="52"/>
  <c r="AB851" i="52" s="1"/>
  <c r="X850" i="52"/>
  <c r="W850" i="52"/>
  <c r="AC850" i="52" s="1"/>
  <c r="V850" i="52"/>
  <c r="AB850" i="52" s="1"/>
  <c r="X849" i="52"/>
  <c r="W849" i="52"/>
  <c r="V849" i="52"/>
  <c r="AB849" i="52" s="1"/>
  <c r="X848" i="52"/>
  <c r="W848" i="52"/>
  <c r="V848" i="52"/>
  <c r="AB848" i="52" s="1"/>
  <c r="X847" i="52"/>
  <c r="W847" i="52"/>
  <c r="V847" i="52"/>
  <c r="AB847" i="52" s="1"/>
  <c r="X846" i="52"/>
  <c r="W846" i="52"/>
  <c r="AC846" i="52" s="1"/>
  <c r="V846" i="52"/>
  <c r="AB846" i="52" s="1"/>
  <c r="X845" i="52"/>
  <c r="W845" i="52"/>
  <c r="V845" i="52"/>
  <c r="AB845" i="52" s="1"/>
  <c r="X844" i="52"/>
  <c r="W844" i="52"/>
  <c r="V844" i="52"/>
  <c r="AB844" i="52" s="1"/>
  <c r="X843" i="52"/>
  <c r="W843" i="52"/>
  <c r="V843" i="52"/>
  <c r="AB843" i="52" s="1"/>
  <c r="X842" i="52"/>
  <c r="W842" i="52"/>
  <c r="AC842" i="52" s="1"/>
  <c r="V842" i="52"/>
  <c r="AB842" i="52" s="1"/>
  <c r="X841" i="52"/>
  <c r="W841" i="52"/>
  <c r="V841" i="52"/>
  <c r="AB841" i="52" s="1"/>
  <c r="X840" i="52"/>
  <c r="W840" i="52"/>
  <c r="V840" i="52"/>
  <c r="AB840" i="52" s="1"/>
  <c r="X839" i="52"/>
  <c r="W839" i="52"/>
  <c r="V839" i="52"/>
  <c r="AB839" i="52" s="1"/>
  <c r="X838" i="52"/>
  <c r="W838" i="52"/>
  <c r="AC838" i="52" s="1"/>
  <c r="V838" i="52"/>
  <c r="AB838" i="52" s="1"/>
  <c r="X837" i="52"/>
  <c r="W837" i="52"/>
  <c r="V837" i="52"/>
  <c r="AB837" i="52" s="1"/>
  <c r="X836" i="52"/>
  <c r="W836" i="52"/>
  <c r="V836" i="52"/>
  <c r="AB836" i="52" s="1"/>
  <c r="X835" i="52"/>
  <c r="W835" i="52"/>
  <c r="V835" i="52"/>
  <c r="AB835" i="52" s="1"/>
  <c r="X834" i="52"/>
  <c r="W834" i="52"/>
  <c r="AC834" i="52" s="1"/>
  <c r="V834" i="52"/>
  <c r="AB834" i="52" s="1"/>
  <c r="X833" i="52"/>
  <c r="W833" i="52"/>
  <c r="V833" i="52"/>
  <c r="AB833" i="52" s="1"/>
  <c r="X832" i="52"/>
  <c r="W832" i="52"/>
  <c r="V832" i="52"/>
  <c r="AB832" i="52" s="1"/>
  <c r="X831" i="52"/>
  <c r="W831" i="52"/>
  <c r="V831" i="52"/>
  <c r="AB831" i="52" s="1"/>
  <c r="X830" i="52"/>
  <c r="W830" i="52"/>
  <c r="AC830" i="52" s="1"/>
  <c r="V830" i="52"/>
  <c r="AB830" i="52" s="1"/>
  <c r="X829" i="52"/>
  <c r="W829" i="52"/>
  <c r="V829" i="52"/>
  <c r="AB829" i="52" s="1"/>
  <c r="X828" i="52"/>
  <c r="W828" i="52"/>
  <c r="V828" i="52"/>
  <c r="AB828" i="52" s="1"/>
  <c r="X827" i="52"/>
  <c r="W827" i="52"/>
  <c r="V827" i="52"/>
  <c r="AB827" i="52" s="1"/>
  <c r="X826" i="52"/>
  <c r="W826" i="52"/>
  <c r="AC826" i="52" s="1"/>
  <c r="V826" i="52"/>
  <c r="AB826" i="52" s="1"/>
  <c r="X825" i="52"/>
  <c r="W825" i="52"/>
  <c r="V825" i="52"/>
  <c r="AB825" i="52" s="1"/>
  <c r="X824" i="52"/>
  <c r="W824" i="52"/>
  <c r="V824" i="52"/>
  <c r="AB824" i="52" s="1"/>
  <c r="X823" i="52"/>
  <c r="W823" i="52"/>
  <c r="V823" i="52"/>
  <c r="AB823" i="52" s="1"/>
  <c r="X822" i="52"/>
  <c r="W822" i="52"/>
  <c r="AC822" i="52" s="1"/>
  <c r="V822" i="52"/>
  <c r="AB822" i="52" s="1"/>
  <c r="X821" i="52"/>
  <c r="W821" i="52"/>
  <c r="V821" i="52"/>
  <c r="AB821" i="52" s="1"/>
  <c r="X820" i="52"/>
  <c r="W820" i="52"/>
  <c r="V820" i="52"/>
  <c r="AB820" i="52" s="1"/>
  <c r="X819" i="52"/>
  <c r="W819" i="52"/>
  <c r="V819" i="52"/>
  <c r="AB819" i="52" s="1"/>
  <c r="X818" i="52"/>
  <c r="W818" i="52"/>
  <c r="V818" i="52"/>
  <c r="AB818" i="52" s="1"/>
  <c r="X817" i="52"/>
  <c r="W817" i="52"/>
  <c r="V817" i="52"/>
  <c r="AB817" i="52" s="1"/>
  <c r="X816" i="52"/>
  <c r="W816" i="52"/>
  <c r="V816" i="52"/>
  <c r="AB816" i="52" s="1"/>
  <c r="X815" i="52"/>
  <c r="W815" i="52"/>
  <c r="V815" i="52"/>
  <c r="AB815" i="52" s="1"/>
  <c r="X814" i="52"/>
  <c r="W814" i="52"/>
  <c r="AC814" i="52" s="1"/>
  <c r="V814" i="52"/>
  <c r="AB814" i="52" s="1"/>
  <c r="X813" i="52"/>
  <c r="W813" i="52"/>
  <c r="V813" i="52"/>
  <c r="AB813" i="52" s="1"/>
  <c r="X812" i="52"/>
  <c r="W812" i="52"/>
  <c r="V812" i="52"/>
  <c r="AB812" i="52" s="1"/>
  <c r="X811" i="52"/>
  <c r="W811" i="52"/>
  <c r="V811" i="52"/>
  <c r="AB811" i="52" s="1"/>
  <c r="X810" i="52"/>
  <c r="W810" i="52"/>
  <c r="AC810" i="52" s="1"/>
  <c r="V810" i="52"/>
  <c r="AB810" i="52" s="1"/>
  <c r="X809" i="52"/>
  <c r="W809" i="52"/>
  <c r="V809" i="52"/>
  <c r="AB809" i="52" s="1"/>
  <c r="X808" i="52"/>
  <c r="W808" i="52"/>
  <c r="V808" i="52"/>
  <c r="AB808" i="52" s="1"/>
  <c r="X807" i="52"/>
  <c r="W807" i="52"/>
  <c r="V807" i="52"/>
  <c r="AB807" i="52" s="1"/>
  <c r="X806" i="52"/>
  <c r="W806" i="52"/>
  <c r="AC806" i="52" s="1"/>
  <c r="V806" i="52"/>
  <c r="AB806" i="52" s="1"/>
  <c r="X805" i="52"/>
  <c r="W805" i="52"/>
  <c r="V805" i="52"/>
  <c r="AB805" i="52" s="1"/>
  <c r="X804" i="52"/>
  <c r="W804" i="52"/>
  <c r="V804" i="52"/>
  <c r="AB804" i="52" s="1"/>
  <c r="X803" i="52"/>
  <c r="W803" i="52"/>
  <c r="V803" i="52"/>
  <c r="AB803" i="52" s="1"/>
  <c r="X802" i="52"/>
  <c r="W802" i="52"/>
  <c r="AC802" i="52" s="1"/>
  <c r="V802" i="52"/>
  <c r="AB802" i="52" s="1"/>
  <c r="X801" i="52"/>
  <c r="W801" i="52"/>
  <c r="V801" i="52"/>
  <c r="AB801" i="52" s="1"/>
  <c r="X800" i="52"/>
  <c r="W800" i="52"/>
  <c r="V800" i="52"/>
  <c r="AB800" i="52" s="1"/>
  <c r="X799" i="52"/>
  <c r="W799" i="52"/>
  <c r="V799" i="52"/>
  <c r="AB799" i="52" s="1"/>
  <c r="X798" i="52"/>
  <c r="W798" i="52"/>
  <c r="AC798" i="52" s="1"/>
  <c r="V798" i="52"/>
  <c r="AB798" i="52" s="1"/>
  <c r="X797" i="52"/>
  <c r="W797" i="52"/>
  <c r="V797" i="52"/>
  <c r="AB797" i="52" s="1"/>
  <c r="X796" i="52"/>
  <c r="W796" i="52"/>
  <c r="V796" i="52"/>
  <c r="AB796" i="52" s="1"/>
  <c r="X795" i="52"/>
  <c r="W795" i="52"/>
  <c r="V795" i="52"/>
  <c r="AB795" i="52" s="1"/>
  <c r="X794" i="52"/>
  <c r="W794" i="52"/>
  <c r="AC794" i="52" s="1"/>
  <c r="V794" i="52"/>
  <c r="AB794" i="52" s="1"/>
  <c r="X793" i="52"/>
  <c r="W793" i="52"/>
  <c r="V793" i="52"/>
  <c r="AB793" i="52" s="1"/>
  <c r="X792" i="52"/>
  <c r="W792" i="52"/>
  <c r="V792" i="52"/>
  <c r="AB792" i="52" s="1"/>
  <c r="X791" i="52"/>
  <c r="W791" i="52"/>
  <c r="V791" i="52"/>
  <c r="AB791" i="52" s="1"/>
  <c r="X790" i="52"/>
  <c r="W790" i="52"/>
  <c r="AC790" i="52" s="1"/>
  <c r="V790" i="52"/>
  <c r="AB790" i="52" s="1"/>
  <c r="X789" i="52"/>
  <c r="W789" i="52"/>
  <c r="V789" i="52"/>
  <c r="AB789" i="52" s="1"/>
  <c r="X788" i="52"/>
  <c r="W788" i="52"/>
  <c r="V788" i="52"/>
  <c r="AB788" i="52" s="1"/>
  <c r="X787" i="52"/>
  <c r="W787" i="52"/>
  <c r="V787" i="52"/>
  <c r="AB787" i="52" s="1"/>
  <c r="X786" i="52"/>
  <c r="W786" i="52"/>
  <c r="AC786" i="52" s="1"/>
  <c r="V786" i="52"/>
  <c r="AB786" i="52" s="1"/>
  <c r="X785" i="52"/>
  <c r="W785" i="52"/>
  <c r="V785" i="52"/>
  <c r="AB785" i="52" s="1"/>
  <c r="X784" i="52"/>
  <c r="W784" i="52"/>
  <c r="V784" i="52"/>
  <c r="AB784" i="52" s="1"/>
  <c r="X783" i="52"/>
  <c r="W783" i="52"/>
  <c r="V783" i="52"/>
  <c r="AB783" i="52" s="1"/>
  <c r="X782" i="52"/>
  <c r="W782" i="52"/>
  <c r="AC782" i="52" s="1"/>
  <c r="V782" i="52"/>
  <c r="AB782" i="52" s="1"/>
  <c r="X781" i="52"/>
  <c r="W781" i="52"/>
  <c r="V781" i="52"/>
  <c r="AB781" i="52" s="1"/>
  <c r="X780" i="52"/>
  <c r="W780" i="52"/>
  <c r="V780" i="52"/>
  <c r="AB780" i="52" s="1"/>
  <c r="X779" i="52"/>
  <c r="W779" i="52"/>
  <c r="V779" i="52"/>
  <c r="AB779" i="52" s="1"/>
  <c r="X778" i="52"/>
  <c r="W778" i="52"/>
  <c r="AC778" i="52" s="1"/>
  <c r="V778" i="52"/>
  <c r="AB778" i="52" s="1"/>
  <c r="X777" i="52"/>
  <c r="W777" i="52"/>
  <c r="V777" i="52"/>
  <c r="AB777" i="52" s="1"/>
  <c r="X776" i="52"/>
  <c r="W776" i="52"/>
  <c r="V776" i="52"/>
  <c r="AB776" i="52" s="1"/>
  <c r="X775" i="52"/>
  <c r="W775" i="52"/>
  <c r="V775" i="52"/>
  <c r="AB775" i="52" s="1"/>
  <c r="X774" i="52"/>
  <c r="W774" i="52"/>
  <c r="AC774" i="52" s="1"/>
  <c r="V774" i="52"/>
  <c r="AB774" i="52" s="1"/>
  <c r="X773" i="52"/>
  <c r="W773" i="52"/>
  <c r="V773" i="52"/>
  <c r="AB773" i="52" s="1"/>
  <c r="X772" i="52"/>
  <c r="W772" i="52"/>
  <c r="V772" i="52"/>
  <c r="AB772" i="52" s="1"/>
  <c r="X771" i="52"/>
  <c r="W771" i="52"/>
  <c r="V771" i="52"/>
  <c r="AB771" i="52" s="1"/>
  <c r="X770" i="52"/>
  <c r="W770" i="52"/>
  <c r="AC770" i="52" s="1"/>
  <c r="V770" i="52"/>
  <c r="AB770" i="52" s="1"/>
  <c r="X769" i="52"/>
  <c r="W769" i="52"/>
  <c r="V769" i="52"/>
  <c r="AB769" i="52" s="1"/>
  <c r="X768" i="52"/>
  <c r="W768" i="52"/>
  <c r="V768" i="52"/>
  <c r="AB768" i="52" s="1"/>
  <c r="X767" i="52"/>
  <c r="W767" i="52"/>
  <c r="V767" i="52"/>
  <c r="AB767" i="52" s="1"/>
  <c r="X766" i="52"/>
  <c r="W766" i="52"/>
  <c r="AC766" i="52" s="1"/>
  <c r="V766" i="52"/>
  <c r="AB766" i="52" s="1"/>
  <c r="X765" i="52"/>
  <c r="W765" i="52"/>
  <c r="V765" i="52"/>
  <c r="AB765" i="52" s="1"/>
  <c r="X764" i="52"/>
  <c r="W764" i="52"/>
  <c r="V764" i="52"/>
  <c r="AB764" i="52" s="1"/>
  <c r="X763" i="52"/>
  <c r="W763" i="52"/>
  <c r="V763" i="52"/>
  <c r="AB763" i="52" s="1"/>
  <c r="X762" i="52"/>
  <c r="W762" i="52"/>
  <c r="AC762" i="52" s="1"/>
  <c r="V762" i="52"/>
  <c r="AB762" i="52" s="1"/>
  <c r="X761" i="52"/>
  <c r="W761" i="52"/>
  <c r="V761" i="52"/>
  <c r="AB761" i="52" s="1"/>
  <c r="X760" i="52"/>
  <c r="W760" i="52"/>
  <c r="V760" i="52"/>
  <c r="AB760" i="52" s="1"/>
  <c r="X759" i="52"/>
  <c r="W759" i="52"/>
  <c r="V759" i="52"/>
  <c r="AB759" i="52" s="1"/>
  <c r="X758" i="52"/>
  <c r="W758" i="52"/>
  <c r="AC758" i="52" s="1"/>
  <c r="V758" i="52"/>
  <c r="AB758" i="52" s="1"/>
  <c r="X757" i="52"/>
  <c r="W757" i="52"/>
  <c r="V757" i="52"/>
  <c r="AB757" i="52" s="1"/>
  <c r="X756" i="52"/>
  <c r="W756" i="52"/>
  <c r="V756" i="52"/>
  <c r="AB756" i="52" s="1"/>
  <c r="X755" i="52"/>
  <c r="W755" i="52"/>
  <c r="V755" i="52"/>
  <c r="AB755" i="52" s="1"/>
  <c r="X754" i="52"/>
  <c r="W754" i="52"/>
  <c r="AC754" i="52" s="1"/>
  <c r="V754" i="52"/>
  <c r="AB754" i="52" s="1"/>
  <c r="X753" i="52"/>
  <c r="W753" i="52"/>
  <c r="V753" i="52"/>
  <c r="AB753" i="52" s="1"/>
  <c r="X752" i="52"/>
  <c r="W752" i="52"/>
  <c r="V752" i="52"/>
  <c r="AB752" i="52" s="1"/>
  <c r="X751" i="52"/>
  <c r="W751" i="52"/>
  <c r="V751" i="52"/>
  <c r="AB751" i="52" s="1"/>
  <c r="X750" i="52"/>
  <c r="W750" i="52"/>
  <c r="AC750" i="52" s="1"/>
  <c r="V750" i="52"/>
  <c r="AB750" i="52" s="1"/>
  <c r="X749" i="52"/>
  <c r="W749" i="52"/>
  <c r="V749" i="52"/>
  <c r="AB749" i="52" s="1"/>
  <c r="X748" i="52"/>
  <c r="W748" i="52"/>
  <c r="V748" i="52"/>
  <c r="AB748" i="52" s="1"/>
  <c r="X747" i="52"/>
  <c r="W747" i="52"/>
  <c r="V747" i="52"/>
  <c r="AB747" i="52" s="1"/>
  <c r="X746" i="52"/>
  <c r="W746" i="52"/>
  <c r="AC746" i="52" s="1"/>
  <c r="V746" i="52"/>
  <c r="AB746" i="52" s="1"/>
  <c r="X745" i="52"/>
  <c r="W745" i="52"/>
  <c r="V745" i="52"/>
  <c r="AB745" i="52" s="1"/>
  <c r="X744" i="52"/>
  <c r="W744" i="52"/>
  <c r="V744" i="52"/>
  <c r="AB744" i="52" s="1"/>
  <c r="X743" i="52"/>
  <c r="W743" i="52"/>
  <c r="V743" i="52"/>
  <c r="AB743" i="52" s="1"/>
  <c r="X742" i="52"/>
  <c r="W742" i="52"/>
  <c r="AC742" i="52" s="1"/>
  <c r="V742" i="52"/>
  <c r="AB742" i="52" s="1"/>
  <c r="X741" i="52"/>
  <c r="W741" i="52"/>
  <c r="V741" i="52"/>
  <c r="AB741" i="52" s="1"/>
  <c r="X740" i="52"/>
  <c r="W740" i="52"/>
  <c r="V740" i="52"/>
  <c r="AB740" i="52" s="1"/>
  <c r="X739" i="52"/>
  <c r="W739" i="52"/>
  <c r="V739" i="52"/>
  <c r="AB739" i="52" s="1"/>
  <c r="X738" i="52"/>
  <c r="W738" i="52"/>
  <c r="AC738" i="52" s="1"/>
  <c r="V738" i="52"/>
  <c r="AB738" i="52" s="1"/>
  <c r="X737" i="52"/>
  <c r="W737" i="52"/>
  <c r="V737" i="52"/>
  <c r="AB737" i="52" s="1"/>
  <c r="X736" i="52"/>
  <c r="W736" i="52"/>
  <c r="V736" i="52"/>
  <c r="AB736" i="52" s="1"/>
  <c r="X735" i="52"/>
  <c r="W735" i="52"/>
  <c r="V735" i="52"/>
  <c r="AB735" i="52" s="1"/>
  <c r="X734" i="52"/>
  <c r="W734" i="52"/>
  <c r="AC734" i="52" s="1"/>
  <c r="V734" i="52"/>
  <c r="AB734" i="52" s="1"/>
  <c r="X733" i="52"/>
  <c r="W733" i="52"/>
  <c r="V733" i="52"/>
  <c r="AB733" i="52" s="1"/>
  <c r="X732" i="52"/>
  <c r="W732" i="52"/>
  <c r="V732" i="52"/>
  <c r="AB732" i="52" s="1"/>
  <c r="X731" i="52"/>
  <c r="W731" i="52"/>
  <c r="V731" i="52"/>
  <c r="AB731" i="52" s="1"/>
  <c r="X730" i="52"/>
  <c r="W730" i="52"/>
  <c r="AC730" i="52" s="1"/>
  <c r="V730" i="52"/>
  <c r="AB730" i="52" s="1"/>
  <c r="X729" i="52"/>
  <c r="W729" i="52"/>
  <c r="V729" i="52"/>
  <c r="AB729" i="52" s="1"/>
  <c r="X728" i="52"/>
  <c r="W728" i="52"/>
  <c r="V728" i="52"/>
  <c r="AB728" i="52" s="1"/>
  <c r="X727" i="52"/>
  <c r="W727" i="52"/>
  <c r="V727" i="52"/>
  <c r="AB727" i="52" s="1"/>
  <c r="X726" i="52"/>
  <c r="W726" i="52"/>
  <c r="AC726" i="52" s="1"/>
  <c r="V726" i="52"/>
  <c r="AB726" i="52" s="1"/>
  <c r="X725" i="52"/>
  <c r="W725" i="52"/>
  <c r="V725" i="52"/>
  <c r="AB725" i="52" s="1"/>
  <c r="X724" i="52"/>
  <c r="W724" i="52"/>
  <c r="V724" i="52"/>
  <c r="AB724" i="52" s="1"/>
  <c r="X723" i="52"/>
  <c r="W723" i="52"/>
  <c r="V723" i="52"/>
  <c r="AB723" i="52" s="1"/>
  <c r="X722" i="52"/>
  <c r="W722" i="52"/>
  <c r="AC722" i="52" s="1"/>
  <c r="V722" i="52"/>
  <c r="AB722" i="52" s="1"/>
  <c r="X721" i="52"/>
  <c r="W721" i="52"/>
  <c r="V721" i="52"/>
  <c r="AB721" i="52" s="1"/>
  <c r="X720" i="52"/>
  <c r="W720" i="52"/>
  <c r="V720" i="52"/>
  <c r="AB720" i="52" s="1"/>
  <c r="X719" i="52"/>
  <c r="W719" i="52"/>
  <c r="V719" i="52"/>
  <c r="AB719" i="52" s="1"/>
  <c r="X718" i="52"/>
  <c r="W718" i="52"/>
  <c r="AC718" i="52" s="1"/>
  <c r="V718" i="52"/>
  <c r="AB718" i="52" s="1"/>
  <c r="X717" i="52"/>
  <c r="W717" i="52"/>
  <c r="V717" i="52"/>
  <c r="AB717" i="52" s="1"/>
  <c r="X716" i="52"/>
  <c r="W716" i="52"/>
  <c r="V716" i="52"/>
  <c r="AB716" i="52" s="1"/>
  <c r="X715" i="52"/>
  <c r="W715" i="52"/>
  <c r="V715" i="52"/>
  <c r="AB715" i="52" s="1"/>
  <c r="X714" i="52"/>
  <c r="W714" i="52"/>
  <c r="AC714" i="52" s="1"/>
  <c r="V714" i="52"/>
  <c r="AB714" i="52" s="1"/>
  <c r="X713" i="52"/>
  <c r="W713" i="52"/>
  <c r="V713" i="52"/>
  <c r="AB713" i="52" s="1"/>
  <c r="X712" i="52"/>
  <c r="W712" i="52"/>
  <c r="V712" i="52"/>
  <c r="AB712" i="52" s="1"/>
  <c r="X711" i="52"/>
  <c r="W711" i="52"/>
  <c r="V711" i="52"/>
  <c r="AB711" i="52" s="1"/>
  <c r="X710" i="52"/>
  <c r="W710" i="52"/>
  <c r="AC710" i="52" s="1"/>
  <c r="V710" i="52"/>
  <c r="AB710" i="52" s="1"/>
  <c r="X709" i="52"/>
  <c r="W709" i="52"/>
  <c r="V709" i="52"/>
  <c r="AB709" i="52" s="1"/>
  <c r="X708" i="52"/>
  <c r="W708" i="52"/>
  <c r="V708" i="52"/>
  <c r="AB708" i="52" s="1"/>
  <c r="X707" i="52"/>
  <c r="W707" i="52"/>
  <c r="V707" i="52"/>
  <c r="AB707" i="52" s="1"/>
  <c r="X706" i="52"/>
  <c r="W706" i="52"/>
  <c r="AC706" i="52" s="1"/>
  <c r="V706" i="52"/>
  <c r="AB706" i="52" s="1"/>
  <c r="X705" i="52"/>
  <c r="W705" i="52"/>
  <c r="V705" i="52"/>
  <c r="AB705" i="52" s="1"/>
  <c r="X704" i="52"/>
  <c r="W704" i="52"/>
  <c r="V704" i="52"/>
  <c r="AB704" i="52" s="1"/>
  <c r="X703" i="52"/>
  <c r="W703" i="52"/>
  <c r="V703" i="52"/>
  <c r="AB703" i="52" s="1"/>
  <c r="X702" i="52"/>
  <c r="W702" i="52"/>
  <c r="AC702" i="52" s="1"/>
  <c r="V702" i="52"/>
  <c r="AB702" i="52" s="1"/>
  <c r="X701" i="52"/>
  <c r="W701" i="52"/>
  <c r="V701" i="52"/>
  <c r="AB701" i="52" s="1"/>
  <c r="X700" i="52"/>
  <c r="W700" i="52"/>
  <c r="V700" i="52"/>
  <c r="AB700" i="52" s="1"/>
  <c r="X699" i="52"/>
  <c r="W699" i="52"/>
  <c r="V699" i="52"/>
  <c r="AB699" i="52" s="1"/>
  <c r="X698" i="52"/>
  <c r="W698" i="52"/>
  <c r="AC698" i="52" s="1"/>
  <c r="V698" i="52"/>
  <c r="AB698" i="52" s="1"/>
  <c r="X697" i="52"/>
  <c r="W697" i="52"/>
  <c r="V697" i="52"/>
  <c r="AB697" i="52" s="1"/>
  <c r="X696" i="52"/>
  <c r="W696" i="52"/>
  <c r="V696" i="52"/>
  <c r="AB696" i="52" s="1"/>
  <c r="X695" i="52"/>
  <c r="W695" i="52"/>
  <c r="V695" i="52"/>
  <c r="AB695" i="52" s="1"/>
  <c r="X694" i="52"/>
  <c r="W694" i="52"/>
  <c r="AC694" i="52" s="1"/>
  <c r="V694" i="52"/>
  <c r="AB694" i="52" s="1"/>
  <c r="X693" i="52"/>
  <c r="W693" i="52"/>
  <c r="V693" i="52"/>
  <c r="AB693" i="52" s="1"/>
  <c r="X692" i="52"/>
  <c r="W692" i="52"/>
  <c r="V692" i="52"/>
  <c r="AB692" i="52" s="1"/>
  <c r="X691" i="52"/>
  <c r="W691" i="52"/>
  <c r="V691" i="52"/>
  <c r="AB691" i="52" s="1"/>
  <c r="X690" i="52"/>
  <c r="W690" i="52"/>
  <c r="AC690" i="52" s="1"/>
  <c r="V690" i="52"/>
  <c r="AB690" i="52" s="1"/>
  <c r="X689" i="52"/>
  <c r="W689" i="52"/>
  <c r="V689" i="52"/>
  <c r="AB689" i="52" s="1"/>
  <c r="X688" i="52"/>
  <c r="W688" i="52"/>
  <c r="V688" i="52"/>
  <c r="AB688" i="52" s="1"/>
  <c r="X687" i="52"/>
  <c r="W687" i="52"/>
  <c r="V687" i="52"/>
  <c r="AB687" i="52" s="1"/>
  <c r="X686" i="52"/>
  <c r="W686" i="52"/>
  <c r="AC686" i="52" s="1"/>
  <c r="V686" i="52"/>
  <c r="AB686" i="52" s="1"/>
  <c r="X685" i="52"/>
  <c r="W685" i="52"/>
  <c r="V685" i="52"/>
  <c r="AB685" i="52" s="1"/>
  <c r="X684" i="52"/>
  <c r="W684" i="52"/>
  <c r="V684" i="52"/>
  <c r="AB684" i="52" s="1"/>
  <c r="X683" i="52"/>
  <c r="W683" i="52"/>
  <c r="V683" i="52"/>
  <c r="AB683" i="52" s="1"/>
  <c r="X682" i="52"/>
  <c r="W682" i="52"/>
  <c r="AC682" i="52" s="1"/>
  <c r="V682" i="52"/>
  <c r="AB682" i="52" s="1"/>
  <c r="X681" i="52"/>
  <c r="W681" i="52"/>
  <c r="V681" i="52"/>
  <c r="AB681" i="52" s="1"/>
  <c r="X680" i="52"/>
  <c r="W680" i="52"/>
  <c r="V680" i="52"/>
  <c r="AB680" i="52" s="1"/>
  <c r="X679" i="52"/>
  <c r="W679" i="52"/>
  <c r="V679" i="52"/>
  <c r="AB679" i="52" s="1"/>
  <c r="X678" i="52"/>
  <c r="W678" i="52"/>
  <c r="AC678" i="52" s="1"/>
  <c r="V678" i="52"/>
  <c r="AB678" i="52" s="1"/>
  <c r="X677" i="52"/>
  <c r="W677" i="52"/>
  <c r="V677" i="52"/>
  <c r="AB677" i="52" s="1"/>
  <c r="X676" i="52"/>
  <c r="W676" i="52"/>
  <c r="V676" i="52"/>
  <c r="AB676" i="52" s="1"/>
  <c r="X675" i="52"/>
  <c r="W675" i="52"/>
  <c r="V675" i="52"/>
  <c r="AB675" i="52" s="1"/>
  <c r="X674" i="52"/>
  <c r="W674" i="52"/>
  <c r="AC674" i="52" s="1"/>
  <c r="V674" i="52"/>
  <c r="AB674" i="52" s="1"/>
  <c r="X673" i="52"/>
  <c r="W673" i="52"/>
  <c r="V673" i="52"/>
  <c r="AB673" i="52" s="1"/>
  <c r="X672" i="52"/>
  <c r="W672" i="52"/>
  <c r="V672" i="52"/>
  <c r="AB672" i="52" s="1"/>
  <c r="V671" i="52"/>
  <c r="AB671" i="52" s="1"/>
  <c r="V670" i="52"/>
  <c r="AB670" i="52" s="1"/>
  <c r="V669" i="52"/>
  <c r="AB669" i="52" s="1"/>
  <c r="V668" i="52"/>
  <c r="AB668" i="52" s="1"/>
  <c r="V667" i="52"/>
  <c r="AB667" i="52" s="1"/>
  <c r="V666" i="52"/>
  <c r="AB666" i="52" s="1"/>
  <c r="V665" i="52"/>
  <c r="AB665" i="52" s="1"/>
  <c r="V664" i="52"/>
  <c r="AB664" i="52" s="1"/>
  <c r="V663" i="52"/>
  <c r="AB663" i="52" s="1"/>
  <c r="V662" i="52"/>
  <c r="AB662" i="52" s="1"/>
  <c r="V661" i="52"/>
  <c r="AB661" i="52" s="1"/>
  <c r="V660" i="52"/>
  <c r="AB660" i="52" s="1"/>
  <c r="X659" i="52"/>
  <c r="W659" i="52"/>
  <c r="X658" i="52"/>
  <c r="W658" i="52"/>
  <c r="AC658" i="52" s="1"/>
  <c r="X657" i="52"/>
  <c r="W657" i="52"/>
  <c r="X656" i="52"/>
  <c r="W656" i="52"/>
  <c r="AC656" i="52" s="1"/>
  <c r="X655" i="52"/>
  <c r="W655" i="52"/>
  <c r="X654" i="52"/>
  <c r="W654" i="52"/>
  <c r="AC654" i="52" s="1"/>
  <c r="X653" i="52"/>
  <c r="W653" i="52"/>
  <c r="X652" i="52"/>
  <c r="W652" i="52"/>
  <c r="AC652" i="52" s="1"/>
  <c r="X651" i="52"/>
  <c r="W651" i="52"/>
  <c r="X650" i="52"/>
  <c r="W650" i="52"/>
  <c r="AC650" i="52" s="1"/>
  <c r="X649" i="52"/>
  <c r="W649" i="52"/>
  <c r="X648" i="52"/>
  <c r="W648" i="52"/>
  <c r="AC648" i="52" s="1"/>
  <c r="V647" i="52"/>
  <c r="AB647" i="52" s="1"/>
  <c r="V646" i="52"/>
  <c r="AB646" i="52" s="1"/>
  <c r="V645" i="52"/>
  <c r="AB645" i="52" s="1"/>
  <c r="V644" i="52"/>
  <c r="AB644" i="52" s="1"/>
  <c r="V643" i="52"/>
  <c r="AB643" i="52" s="1"/>
  <c r="V642" i="52"/>
  <c r="AB642" i="52" s="1"/>
  <c r="V641" i="52"/>
  <c r="AB641" i="52" s="1"/>
  <c r="V640" i="52"/>
  <c r="AB640" i="52" s="1"/>
  <c r="V639" i="52"/>
  <c r="AB639" i="52" s="1"/>
  <c r="V638" i="52"/>
  <c r="AB638" i="52" s="1"/>
  <c r="V637" i="52"/>
  <c r="AB637" i="52" s="1"/>
  <c r="V636" i="52"/>
  <c r="AB636" i="52" s="1"/>
  <c r="V635" i="52"/>
  <c r="AB635" i="52" s="1"/>
  <c r="V634" i="52"/>
  <c r="AB634" i="52" s="1"/>
  <c r="V633" i="52"/>
  <c r="AB633" i="52" s="1"/>
  <c r="V632" i="52"/>
  <c r="AB632" i="52" s="1"/>
  <c r="V631" i="52"/>
  <c r="AB631" i="52" s="1"/>
  <c r="V630" i="52"/>
  <c r="AB630" i="52" s="1"/>
  <c r="V629" i="52"/>
  <c r="AB629" i="52" s="1"/>
  <c r="V628" i="52"/>
  <c r="AB628" i="52" s="1"/>
  <c r="V627" i="52"/>
  <c r="AB627" i="52" s="1"/>
  <c r="V626" i="52"/>
  <c r="AB626" i="52" s="1"/>
  <c r="V625" i="52"/>
  <c r="AB625" i="52" s="1"/>
  <c r="V624" i="52"/>
  <c r="AB624" i="52" s="1"/>
  <c r="V623" i="52"/>
  <c r="AB623" i="52" s="1"/>
  <c r="V622" i="52"/>
  <c r="AB622" i="52" s="1"/>
  <c r="V621" i="52"/>
  <c r="AB621" i="52" s="1"/>
  <c r="V620" i="52"/>
  <c r="AB620" i="52" s="1"/>
  <c r="V619" i="52"/>
  <c r="AB619" i="52" s="1"/>
  <c r="V618" i="52"/>
  <c r="AB618" i="52" s="1"/>
  <c r="V617" i="52"/>
  <c r="AB617" i="52" s="1"/>
  <c r="V616" i="52"/>
  <c r="AB616" i="52" s="1"/>
  <c r="V615" i="52"/>
  <c r="AB615" i="52" s="1"/>
  <c r="V614" i="52"/>
  <c r="AB614" i="52" s="1"/>
  <c r="V613" i="52"/>
  <c r="AB613" i="52" s="1"/>
  <c r="V612" i="52"/>
  <c r="AB612" i="52" s="1"/>
  <c r="V611" i="52"/>
  <c r="AB611" i="52" s="1"/>
  <c r="V610" i="52"/>
  <c r="AB610" i="52" s="1"/>
  <c r="V609" i="52"/>
  <c r="AB609" i="52" s="1"/>
  <c r="V608" i="52"/>
  <c r="AB608" i="52" s="1"/>
  <c r="X607" i="52"/>
  <c r="W607" i="52"/>
  <c r="X606" i="52"/>
  <c r="W606" i="52"/>
  <c r="AC606" i="52" s="1"/>
  <c r="X605" i="52"/>
  <c r="W605" i="52"/>
  <c r="X604" i="52"/>
  <c r="W604" i="52"/>
  <c r="AC604" i="52" s="1"/>
  <c r="X603" i="52"/>
  <c r="W603" i="52"/>
  <c r="X602" i="52"/>
  <c r="W602" i="52"/>
  <c r="AC602" i="52" s="1"/>
  <c r="X601" i="52"/>
  <c r="W601" i="52"/>
  <c r="X600" i="52"/>
  <c r="W600" i="52"/>
  <c r="AC600" i="52" s="1"/>
  <c r="X599" i="52"/>
  <c r="W599" i="52"/>
  <c r="X598" i="52"/>
  <c r="W598" i="52"/>
  <c r="AC598" i="52" s="1"/>
  <c r="X597" i="52"/>
  <c r="W597" i="52"/>
  <c r="X596" i="52"/>
  <c r="W596" i="52"/>
  <c r="AC596" i="52" s="1"/>
  <c r="X595" i="52"/>
  <c r="W595" i="52"/>
  <c r="X594" i="52"/>
  <c r="W594" i="52"/>
  <c r="AC594" i="52" s="1"/>
  <c r="X593" i="52"/>
  <c r="W593" i="52"/>
  <c r="X592" i="52"/>
  <c r="W592" i="52"/>
  <c r="AC592" i="52" s="1"/>
  <c r="X591" i="52"/>
  <c r="W591" i="52"/>
  <c r="X590" i="52"/>
  <c r="W590" i="52"/>
  <c r="AC590" i="52" s="1"/>
  <c r="X589" i="52"/>
  <c r="W589" i="52"/>
  <c r="X588" i="52"/>
  <c r="W588" i="52"/>
  <c r="AC588" i="52" s="1"/>
  <c r="X587" i="52"/>
  <c r="W587" i="52"/>
  <c r="X586" i="52"/>
  <c r="W586" i="52"/>
  <c r="AC586" i="52" s="1"/>
  <c r="X585" i="52"/>
  <c r="W585" i="52"/>
  <c r="X584" i="52"/>
  <c r="W584" i="52"/>
  <c r="AC584" i="52" s="1"/>
  <c r="X583" i="52"/>
  <c r="W583" i="52"/>
  <c r="X582" i="52"/>
  <c r="W582" i="52"/>
  <c r="AC582" i="52" s="1"/>
  <c r="X581" i="52"/>
  <c r="W581" i="52"/>
  <c r="X580" i="52"/>
  <c r="W580" i="52"/>
  <c r="AC580" i="52" s="1"/>
  <c r="X579" i="52"/>
  <c r="W579" i="52"/>
  <c r="X578" i="52"/>
  <c r="W578" i="52"/>
  <c r="AC578" i="52" s="1"/>
  <c r="X577" i="52"/>
  <c r="W577" i="52"/>
  <c r="X576" i="52"/>
  <c r="W576" i="52"/>
  <c r="AC576" i="52" s="1"/>
  <c r="X575" i="52"/>
  <c r="W575" i="52"/>
  <c r="X574" i="52"/>
  <c r="W574" i="52"/>
  <c r="AC574" i="52" s="1"/>
  <c r="V573" i="52"/>
  <c r="AB573" i="52" s="1"/>
  <c r="V572" i="52"/>
  <c r="AB572" i="52" s="1"/>
  <c r="V571" i="52"/>
  <c r="AB571" i="52" s="1"/>
  <c r="V570" i="52"/>
  <c r="AB570" i="52" s="1"/>
  <c r="V569" i="52"/>
  <c r="AB569" i="52" s="1"/>
  <c r="V568" i="52"/>
  <c r="AB568" i="52" s="1"/>
  <c r="V567" i="52"/>
  <c r="AB567" i="52" s="1"/>
  <c r="V566" i="52"/>
  <c r="AB566" i="52" s="1"/>
  <c r="V565" i="52"/>
  <c r="AB565" i="52" s="1"/>
  <c r="V564" i="52"/>
  <c r="AB564" i="52" s="1"/>
  <c r="V563" i="52"/>
  <c r="AB563" i="52" s="1"/>
  <c r="V562" i="52"/>
  <c r="AB562" i="52" s="1"/>
  <c r="V561" i="52"/>
  <c r="AB561" i="52" s="1"/>
  <c r="V560" i="52"/>
  <c r="AB560" i="52" s="1"/>
  <c r="V559" i="52"/>
  <c r="AB559" i="52" s="1"/>
  <c r="V558" i="52"/>
  <c r="AB558" i="52" s="1"/>
  <c r="V557" i="52"/>
  <c r="AB557" i="52" s="1"/>
  <c r="V556" i="52"/>
  <c r="AB556" i="52" s="1"/>
  <c r="V555" i="52"/>
  <c r="AB555" i="52" s="1"/>
  <c r="V554" i="52"/>
  <c r="AB554" i="52" s="1"/>
  <c r="V553" i="52"/>
  <c r="AB553" i="52" s="1"/>
  <c r="V552" i="52"/>
  <c r="AB552" i="52" s="1"/>
  <c r="V551" i="52"/>
  <c r="AB551" i="52" s="1"/>
  <c r="V550" i="52"/>
  <c r="AB550" i="52" s="1"/>
  <c r="V549" i="52"/>
  <c r="AB549" i="52" s="1"/>
  <c r="V548" i="52"/>
  <c r="AB548" i="52" s="1"/>
  <c r="V547" i="52"/>
  <c r="AB547" i="52" s="1"/>
  <c r="V546" i="52"/>
  <c r="AB546" i="52" s="1"/>
  <c r="V545" i="52"/>
  <c r="AB545" i="52" s="1"/>
  <c r="V544" i="52"/>
  <c r="AB544" i="52" s="1"/>
  <c r="V543" i="52"/>
  <c r="AB543" i="52" s="1"/>
  <c r="V542" i="52"/>
  <c r="AB542" i="52" s="1"/>
  <c r="V541" i="52"/>
  <c r="AB541" i="52" s="1"/>
  <c r="V540" i="52"/>
  <c r="AB540" i="52" s="1"/>
  <c r="V539" i="52"/>
  <c r="AB539" i="52" s="1"/>
  <c r="V538" i="52"/>
  <c r="AB538" i="52" s="1"/>
  <c r="V537" i="52"/>
  <c r="AB537" i="52" s="1"/>
  <c r="V536" i="52"/>
  <c r="AB536" i="52" s="1"/>
  <c r="V535" i="52"/>
  <c r="AB535" i="52" s="1"/>
  <c r="V534" i="52"/>
  <c r="AB534" i="52" s="1"/>
  <c r="V533" i="52"/>
  <c r="AB533" i="52" s="1"/>
  <c r="V532" i="52"/>
  <c r="AB532" i="52" s="1"/>
  <c r="V531" i="52"/>
  <c r="AB531" i="52" s="1"/>
  <c r="V530" i="52"/>
  <c r="AB530" i="52" s="1"/>
  <c r="V529" i="52"/>
  <c r="AB529" i="52" s="1"/>
  <c r="V528" i="52"/>
  <c r="AB528" i="52" s="1"/>
  <c r="V527" i="52"/>
  <c r="AB527" i="52" s="1"/>
  <c r="V526" i="52"/>
  <c r="AB526" i="52" s="1"/>
  <c r="V525" i="52"/>
  <c r="AB525" i="52" s="1"/>
  <c r="V524" i="52"/>
  <c r="AB524" i="52" s="1"/>
  <c r="V523" i="52"/>
  <c r="AB523" i="52" s="1"/>
  <c r="V522" i="52"/>
  <c r="AB522" i="52" s="1"/>
  <c r="V521" i="52"/>
  <c r="AB521" i="52" s="1"/>
  <c r="V520" i="52"/>
  <c r="AB520" i="52" s="1"/>
  <c r="V519" i="52"/>
  <c r="AB519" i="52" s="1"/>
  <c r="V518" i="52"/>
  <c r="AB518" i="52" s="1"/>
  <c r="X517" i="52"/>
  <c r="W517" i="52"/>
  <c r="X516" i="52"/>
  <c r="W516" i="52"/>
  <c r="AC516" i="52" s="1"/>
  <c r="X515" i="52"/>
  <c r="W515" i="52"/>
  <c r="X514" i="52"/>
  <c r="W514" i="52"/>
  <c r="AC514" i="52" s="1"/>
  <c r="X513" i="52"/>
  <c r="W513" i="52"/>
  <c r="X512" i="52"/>
  <c r="W512" i="52"/>
  <c r="AC512" i="52" s="1"/>
  <c r="X511" i="52"/>
  <c r="W511" i="52"/>
  <c r="X510" i="52"/>
  <c r="W510" i="52"/>
  <c r="AC510" i="52" s="1"/>
  <c r="X509" i="52"/>
  <c r="W509" i="52"/>
  <c r="X508" i="52"/>
  <c r="W508" i="52"/>
  <c r="AC508" i="52" s="1"/>
  <c r="X507" i="52"/>
  <c r="W507" i="52"/>
  <c r="X506" i="52"/>
  <c r="W506" i="52"/>
  <c r="AC506" i="52" s="1"/>
  <c r="X505" i="52"/>
  <c r="W505" i="52"/>
  <c r="X504" i="52"/>
  <c r="W504" i="52"/>
  <c r="AC504" i="52" s="1"/>
  <c r="X503" i="52"/>
  <c r="W503" i="52"/>
  <c r="X502" i="52"/>
  <c r="W502" i="52"/>
  <c r="AC502" i="52" s="1"/>
  <c r="X501" i="52"/>
  <c r="W501" i="52"/>
  <c r="X500" i="52"/>
  <c r="W500" i="52"/>
  <c r="AC500" i="52" s="1"/>
  <c r="X499" i="52"/>
  <c r="W499" i="52"/>
  <c r="X498" i="52"/>
  <c r="W498" i="52"/>
  <c r="AC498" i="52" s="1"/>
  <c r="X497" i="52"/>
  <c r="W497" i="52"/>
  <c r="X496" i="52"/>
  <c r="W496" i="52"/>
  <c r="AC496" i="52" s="1"/>
  <c r="X495" i="52"/>
  <c r="W495" i="52"/>
  <c r="X494" i="52"/>
  <c r="W494" i="52"/>
  <c r="AC494" i="52" s="1"/>
  <c r="X493" i="52"/>
  <c r="W493" i="52"/>
  <c r="X492" i="52"/>
  <c r="W492" i="52"/>
  <c r="AC492" i="52" s="1"/>
  <c r="X491" i="52"/>
  <c r="W491" i="52"/>
  <c r="X490" i="52"/>
  <c r="W490" i="52"/>
  <c r="AC490" i="52" s="1"/>
  <c r="X489" i="52"/>
  <c r="W489" i="52"/>
  <c r="X488" i="52"/>
  <c r="W488" i="52"/>
  <c r="AC488" i="52" s="1"/>
  <c r="X487" i="52"/>
  <c r="W487" i="52"/>
  <c r="X486" i="52"/>
  <c r="W486" i="52"/>
  <c r="AC486" i="52" s="1"/>
  <c r="X485" i="52"/>
  <c r="W485" i="52"/>
  <c r="X484" i="52"/>
  <c r="W484" i="52"/>
  <c r="AC484" i="52" s="1"/>
  <c r="X483" i="52"/>
  <c r="W483" i="52"/>
  <c r="X482" i="52"/>
  <c r="W482" i="52"/>
  <c r="AC482" i="52" s="1"/>
  <c r="V481" i="52"/>
  <c r="AB481" i="52" s="1"/>
  <c r="V480" i="52"/>
  <c r="AB480" i="52" s="1"/>
  <c r="V479" i="52"/>
  <c r="AB479" i="52" s="1"/>
  <c r="V478" i="52"/>
  <c r="AB478" i="52" s="1"/>
  <c r="V477" i="52"/>
  <c r="AB477" i="52" s="1"/>
  <c r="V476" i="52"/>
  <c r="AB476" i="52" s="1"/>
  <c r="V475" i="52"/>
  <c r="AB475" i="52" s="1"/>
  <c r="V474" i="52"/>
  <c r="AB474" i="52" s="1"/>
  <c r="V473" i="52"/>
  <c r="AB473" i="52" s="1"/>
  <c r="V472" i="52"/>
  <c r="AB472" i="52" s="1"/>
  <c r="V471" i="52"/>
  <c r="AB471" i="52" s="1"/>
  <c r="V470" i="52"/>
  <c r="AB470" i="52" s="1"/>
  <c r="V469" i="52"/>
  <c r="AB469" i="52" s="1"/>
  <c r="V468" i="52"/>
  <c r="AB468" i="52" s="1"/>
  <c r="V467" i="52"/>
  <c r="AB467" i="52" s="1"/>
  <c r="V466" i="52"/>
  <c r="AB466" i="52" s="1"/>
  <c r="V465" i="52"/>
  <c r="AB465" i="52" s="1"/>
  <c r="V464" i="52"/>
  <c r="AB464" i="52" s="1"/>
  <c r="V463" i="52"/>
  <c r="AB463" i="52" s="1"/>
  <c r="V462" i="52"/>
  <c r="AB462" i="52" s="1"/>
  <c r="V461" i="52"/>
  <c r="AB461" i="52" s="1"/>
  <c r="V460" i="52"/>
  <c r="AB460" i="52" s="1"/>
  <c r="V459" i="52"/>
  <c r="AB459" i="52" s="1"/>
  <c r="V458" i="52"/>
  <c r="AB458" i="52" s="1"/>
  <c r="V457" i="52"/>
  <c r="AB457" i="52" s="1"/>
  <c r="V456" i="52"/>
  <c r="AB456" i="52" s="1"/>
  <c r="V455" i="52"/>
  <c r="AB455" i="52" s="1"/>
  <c r="V454" i="52"/>
  <c r="AB454" i="52" s="1"/>
  <c r="V453" i="52"/>
  <c r="AB453" i="52" s="1"/>
  <c r="X452" i="52"/>
  <c r="W452" i="52"/>
  <c r="V452" i="52"/>
  <c r="AB452" i="52" s="1"/>
  <c r="X451" i="52"/>
  <c r="W451" i="52"/>
  <c r="V451" i="52"/>
  <c r="AB451" i="52" s="1"/>
  <c r="X450" i="52"/>
  <c r="W450" i="52"/>
  <c r="AC450" i="52" s="1"/>
  <c r="V450" i="52"/>
  <c r="AB450" i="52" s="1"/>
  <c r="X449" i="52"/>
  <c r="W449" i="52"/>
  <c r="V449" i="52"/>
  <c r="AB449" i="52" s="1"/>
  <c r="X448" i="52"/>
  <c r="W448" i="52"/>
  <c r="V448" i="52"/>
  <c r="AB448" i="52" s="1"/>
  <c r="X447" i="52"/>
  <c r="W447" i="52"/>
  <c r="V447" i="52"/>
  <c r="AB447" i="52" s="1"/>
  <c r="X446" i="52"/>
  <c r="W446" i="52"/>
  <c r="AC446" i="52" s="1"/>
  <c r="V446" i="52"/>
  <c r="AB446" i="52" s="1"/>
  <c r="X445" i="52"/>
  <c r="W445" i="52"/>
  <c r="V445" i="52"/>
  <c r="AB445" i="52" s="1"/>
  <c r="X444" i="52"/>
  <c r="W444" i="52"/>
  <c r="V444" i="52"/>
  <c r="AB444" i="52" s="1"/>
  <c r="X443" i="52"/>
  <c r="W443" i="52"/>
  <c r="V443" i="52"/>
  <c r="AB443" i="52" s="1"/>
  <c r="X442" i="52"/>
  <c r="W442" i="52"/>
  <c r="AC442" i="52" s="1"/>
  <c r="V442" i="52"/>
  <c r="AB442" i="52" s="1"/>
  <c r="X441" i="52"/>
  <c r="W441" i="52"/>
  <c r="V441" i="52"/>
  <c r="AB441" i="52" s="1"/>
  <c r="X440" i="52"/>
  <c r="W440" i="52"/>
  <c r="V440" i="52"/>
  <c r="AB440" i="52" s="1"/>
  <c r="X439" i="52"/>
  <c r="W439" i="52"/>
  <c r="V439" i="52"/>
  <c r="AB439" i="52" s="1"/>
  <c r="X438" i="52"/>
  <c r="W438" i="52"/>
  <c r="AC438" i="52" s="1"/>
  <c r="V438" i="52"/>
  <c r="AB438" i="52" s="1"/>
  <c r="X437" i="52"/>
  <c r="W437" i="52"/>
  <c r="V437" i="52"/>
  <c r="AB437" i="52" s="1"/>
  <c r="X436" i="52"/>
  <c r="W436" i="52"/>
  <c r="V436" i="52"/>
  <c r="AB436" i="52" s="1"/>
  <c r="X435" i="52"/>
  <c r="W435" i="52"/>
  <c r="V435" i="52"/>
  <c r="AB435" i="52" s="1"/>
  <c r="X434" i="52"/>
  <c r="W434" i="52"/>
  <c r="AC434" i="52" s="1"/>
  <c r="V434" i="52"/>
  <c r="AB434" i="52" s="1"/>
  <c r="X433" i="52"/>
  <c r="W433" i="52"/>
  <c r="V433" i="52"/>
  <c r="AB433" i="52" s="1"/>
  <c r="X432" i="52"/>
  <c r="W432" i="52"/>
  <c r="V432" i="52"/>
  <c r="AB432" i="52" s="1"/>
  <c r="X431" i="52"/>
  <c r="W431" i="52"/>
  <c r="V431" i="52"/>
  <c r="AB431" i="52" s="1"/>
  <c r="X430" i="52"/>
  <c r="W430" i="52"/>
  <c r="AC430" i="52" s="1"/>
  <c r="V430" i="52"/>
  <c r="AB430" i="52" s="1"/>
  <c r="X429" i="52"/>
  <c r="W429" i="52"/>
  <c r="V429" i="52"/>
  <c r="AB429" i="52" s="1"/>
  <c r="X428" i="52"/>
  <c r="W428" i="52"/>
  <c r="V428" i="52"/>
  <c r="AB428" i="52" s="1"/>
  <c r="X427" i="52"/>
  <c r="W427" i="52"/>
  <c r="V427" i="52"/>
  <c r="AB427" i="52" s="1"/>
  <c r="X426" i="52"/>
  <c r="W426" i="52"/>
  <c r="AC426" i="52" s="1"/>
  <c r="V426" i="52"/>
  <c r="AB426" i="52" s="1"/>
  <c r="X425" i="52"/>
  <c r="W425" i="52"/>
  <c r="V425" i="52"/>
  <c r="AB425" i="52" s="1"/>
  <c r="X424" i="52"/>
  <c r="W424" i="52"/>
  <c r="V424" i="52"/>
  <c r="AB424" i="52" s="1"/>
  <c r="X423" i="52"/>
  <c r="W423" i="52"/>
  <c r="V423" i="52"/>
  <c r="AB423" i="52" s="1"/>
  <c r="X422" i="52"/>
  <c r="W422" i="52"/>
  <c r="AC422" i="52" s="1"/>
  <c r="V422" i="52"/>
  <c r="AB422" i="52" s="1"/>
  <c r="X421" i="52"/>
  <c r="W421" i="52"/>
  <c r="V421" i="52"/>
  <c r="AB421" i="52" s="1"/>
  <c r="X420" i="52"/>
  <c r="W420" i="52"/>
  <c r="V420" i="52"/>
  <c r="AB420" i="52" s="1"/>
  <c r="X419" i="52"/>
  <c r="W419" i="52"/>
  <c r="V419" i="52"/>
  <c r="AB419" i="52" s="1"/>
  <c r="X418" i="52"/>
  <c r="W418" i="52"/>
  <c r="AC418" i="52" s="1"/>
  <c r="V418" i="52"/>
  <c r="AB418" i="52" s="1"/>
  <c r="X417" i="52"/>
  <c r="W417" i="52"/>
  <c r="V417" i="52"/>
  <c r="AB417" i="52" s="1"/>
  <c r="X416" i="52"/>
  <c r="W416" i="52"/>
  <c r="V416" i="52"/>
  <c r="AB416" i="52" s="1"/>
  <c r="X415" i="52"/>
  <c r="W415" i="52"/>
  <c r="V415" i="52"/>
  <c r="AB415" i="52" s="1"/>
  <c r="X414" i="52"/>
  <c r="W414" i="52"/>
  <c r="V414" i="52"/>
  <c r="AB414" i="52" s="1"/>
  <c r="X413" i="52"/>
  <c r="W413" i="52"/>
  <c r="AC413" i="52" s="1"/>
  <c r="V413" i="52"/>
  <c r="AB413" i="52" s="1"/>
  <c r="X412" i="52"/>
  <c r="W412" i="52"/>
  <c r="V412" i="52"/>
  <c r="AB412" i="52" s="1"/>
  <c r="X411" i="52"/>
  <c r="W411" i="52"/>
  <c r="V411" i="52"/>
  <c r="AB411" i="52" s="1"/>
  <c r="X410" i="52"/>
  <c r="W410" i="52"/>
  <c r="AC410" i="52" s="1"/>
  <c r="V410" i="52"/>
  <c r="AB410" i="52" s="1"/>
  <c r="X409" i="52"/>
  <c r="W409" i="52"/>
  <c r="AC409" i="52" s="1"/>
  <c r="V409" i="52"/>
  <c r="AB409" i="52" s="1"/>
  <c r="X408" i="52"/>
  <c r="W408" i="52"/>
  <c r="V408" i="52"/>
  <c r="AB408" i="52" s="1"/>
  <c r="X407" i="52"/>
  <c r="W407" i="52"/>
  <c r="V407" i="52"/>
  <c r="AB407" i="52" s="1"/>
  <c r="X406" i="52"/>
  <c r="W406" i="52"/>
  <c r="AC406" i="52" s="1"/>
  <c r="V406" i="52"/>
  <c r="AB406" i="52" s="1"/>
  <c r="X405" i="52"/>
  <c r="W405" i="52"/>
  <c r="AC405" i="52" s="1"/>
  <c r="V405" i="52"/>
  <c r="AB405" i="52" s="1"/>
  <c r="X404" i="52"/>
  <c r="W404" i="52"/>
  <c r="V404" i="52"/>
  <c r="AB404" i="52" s="1"/>
  <c r="X403" i="52"/>
  <c r="W403" i="52"/>
  <c r="V403" i="52"/>
  <c r="AB403" i="52" s="1"/>
  <c r="X402" i="52"/>
  <c r="W402" i="52"/>
  <c r="AC402" i="52" s="1"/>
  <c r="V402" i="52"/>
  <c r="AB402" i="52" s="1"/>
  <c r="X401" i="52"/>
  <c r="W401" i="52"/>
  <c r="AC401" i="52" s="1"/>
  <c r="V401" i="52"/>
  <c r="AB401" i="52" s="1"/>
  <c r="X400" i="52"/>
  <c r="W400" i="52"/>
  <c r="V400" i="52"/>
  <c r="AB400" i="52" s="1"/>
  <c r="X399" i="52"/>
  <c r="W399" i="52"/>
  <c r="V399" i="52"/>
  <c r="AB399" i="52" s="1"/>
  <c r="X398" i="52"/>
  <c r="W398" i="52"/>
  <c r="AC398" i="52" s="1"/>
  <c r="V398" i="52"/>
  <c r="AB398" i="52" s="1"/>
  <c r="X397" i="52"/>
  <c r="W397" i="52"/>
  <c r="AC397" i="52" s="1"/>
  <c r="V397" i="52"/>
  <c r="AB397" i="52" s="1"/>
  <c r="X396" i="52"/>
  <c r="W396" i="52"/>
  <c r="V396" i="52"/>
  <c r="AB396" i="52" s="1"/>
  <c r="X395" i="52"/>
  <c r="W395" i="52"/>
  <c r="V395" i="52"/>
  <c r="AB395" i="52" s="1"/>
  <c r="X394" i="52"/>
  <c r="W394" i="52"/>
  <c r="AC394" i="52" s="1"/>
  <c r="V394" i="52"/>
  <c r="AB394" i="52" s="1"/>
  <c r="X393" i="52"/>
  <c r="W393" i="52"/>
  <c r="AC393" i="52" s="1"/>
  <c r="V393" i="52"/>
  <c r="AB393" i="52" s="1"/>
  <c r="X392" i="52"/>
  <c r="W392" i="52"/>
  <c r="V392" i="52"/>
  <c r="AB392" i="52" s="1"/>
  <c r="X391" i="52"/>
  <c r="W391" i="52"/>
  <c r="V391" i="52"/>
  <c r="AB391" i="52" s="1"/>
  <c r="X390" i="52"/>
  <c r="W390" i="52"/>
  <c r="AC390" i="52" s="1"/>
  <c r="V390" i="52"/>
  <c r="AB390" i="52" s="1"/>
  <c r="X389" i="52"/>
  <c r="W389" i="52"/>
  <c r="AC389" i="52" s="1"/>
  <c r="V389" i="52"/>
  <c r="AB389" i="52" s="1"/>
  <c r="X388" i="52"/>
  <c r="W388" i="52"/>
  <c r="V388" i="52"/>
  <c r="AB388" i="52" s="1"/>
  <c r="X387" i="52"/>
  <c r="W387" i="52"/>
  <c r="V387" i="52"/>
  <c r="AB387" i="52" s="1"/>
  <c r="X386" i="52"/>
  <c r="W386" i="52"/>
  <c r="AC386" i="52" s="1"/>
  <c r="V386" i="52"/>
  <c r="AB386" i="52" s="1"/>
  <c r="X385" i="52"/>
  <c r="W385" i="52"/>
  <c r="AC385" i="52" s="1"/>
  <c r="V385" i="52"/>
  <c r="AB385" i="52" s="1"/>
  <c r="X384" i="52"/>
  <c r="W384" i="52"/>
  <c r="V384" i="52"/>
  <c r="AB384" i="52" s="1"/>
  <c r="X383" i="52"/>
  <c r="W383" i="52"/>
  <c r="V383" i="52"/>
  <c r="AB383" i="52" s="1"/>
  <c r="X382" i="52"/>
  <c r="W382" i="52"/>
  <c r="AC382" i="52" s="1"/>
  <c r="V382" i="52"/>
  <c r="AB382" i="52" s="1"/>
  <c r="X381" i="52"/>
  <c r="W381" i="52"/>
  <c r="AC381" i="52" s="1"/>
  <c r="V381" i="52"/>
  <c r="AB381" i="52" s="1"/>
  <c r="X380" i="52"/>
  <c r="W380" i="52"/>
  <c r="V380" i="52"/>
  <c r="AB380" i="52" s="1"/>
  <c r="X379" i="52"/>
  <c r="W379" i="52"/>
  <c r="V379" i="52"/>
  <c r="AB379" i="52" s="1"/>
  <c r="X378" i="52"/>
  <c r="W378" i="52"/>
  <c r="AC378" i="52" s="1"/>
  <c r="V378" i="52"/>
  <c r="AB378" i="52" s="1"/>
  <c r="X377" i="52"/>
  <c r="W377" i="52"/>
  <c r="AC377" i="52" s="1"/>
  <c r="V377" i="52"/>
  <c r="AB377" i="52" s="1"/>
  <c r="X376" i="52"/>
  <c r="W376" i="52"/>
  <c r="V376" i="52"/>
  <c r="AB376" i="52" s="1"/>
  <c r="X375" i="52"/>
  <c r="W375" i="52"/>
  <c r="V375" i="52"/>
  <c r="AB375" i="52" s="1"/>
  <c r="X374" i="52"/>
  <c r="W374" i="52"/>
  <c r="AC374" i="52" s="1"/>
  <c r="V374" i="52"/>
  <c r="AB374" i="52" s="1"/>
  <c r="X373" i="52"/>
  <c r="W373" i="52"/>
  <c r="AC373" i="52" s="1"/>
  <c r="V373" i="52"/>
  <c r="AB373" i="52" s="1"/>
  <c r="X372" i="52"/>
  <c r="W372" i="52"/>
  <c r="V372" i="52"/>
  <c r="AB372" i="52" s="1"/>
  <c r="X371" i="52"/>
  <c r="W371" i="52"/>
  <c r="V371" i="52"/>
  <c r="AB371" i="52" s="1"/>
  <c r="X370" i="52"/>
  <c r="W370" i="52"/>
  <c r="AC370" i="52" s="1"/>
  <c r="V370" i="52"/>
  <c r="AB370" i="52" s="1"/>
  <c r="X369" i="52"/>
  <c r="W369" i="52"/>
  <c r="AC369" i="52" s="1"/>
  <c r="V369" i="52"/>
  <c r="AB369" i="52" s="1"/>
  <c r="X368" i="52"/>
  <c r="W368" i="52"/>
  <c r="V368" i="52"/>
  <c r="AB368" i="52" s="1"/>
  <c r="X367" i="52"/>
  <c r="W367" i="52"/>
  <c r="V367" i="52"/>
  <c r="AB367" i="52" s="1"/>
  <c r="X366" i="52"/>
  <c r="W366" i="52"/>
  <c r="AC366" i="52" s="1"/>
  <c r="V366" i="52"/>
  <c r="AB366" i="52" s="1"/>
  <c r="X365" i="52"/>
  <c r="W365" i="52"/>
  <c r="AC365" i="52" s="1"/>
  <c r="V365" i="52"/>
  <c r="AB365" i="52" s="1"/>
  <c r="X364" i="52"/>
  <c r="W364" i="52"/>
  <c r="V364" i="52"/>
  <c r="AB364" i="52" s="1"/>
  <c r="X363" i="52"/>
  <c r="W363" i="52"/>
  <c r="V363" i="52"/>
  <c r="AB363" i="52" s="1"/>
  <c r="X362" i="52"/>
  <c r="W362" i="52"/>
  <c r="AC362" i="52" s="1"/>
  <c r="V362" i="52"/>
  <c r="AB362" i="52" s="1"/>
  <c r="X361" i="52"/>
  <c r="W361" i="52"/>
  <c r="AC361" i="52" s="1"/>
  <c r="V361" i="52"/>
  <c r="AB361" i="52" s="1"/>
  <c r="X360" i="52"/>
  <c r="W360" i="52"/>
  <c r="V360" i="52"/>
  <c r="AB360" i="52" s="1"/>
  <c r="X359" i="52"/>
  <c r="W359" i="52"/>
  <c r="V359" i="52"/>
  <c r="AB359" i="52" s="1"/>
  <c r="X358" i="52"/>
  <c r="W358" i="52"/>
  <c r="AC358" i="52" s="1"/>
  <c r="V358" i="52"/>
  <c r="AB358" i="52" s="1"/>
  <c r="X357" i="52"/>
  <c r="W357" i="52"/>
  <c r="AC357" i="52" s="1"/>
  <c r="V357" i="52"/>
  <c r="AB357" i="52" s="1"/>
  <c r="X356" i="52"/>
  <c r="W356" i="52"/>
  <c r="V356" i="52"/>
  <c r="AB356" i="52" s="1"/>
  <c r="X355" i="52"/>
  <c r="W355" i="52"/>
  <c r="V355" i="52"/>
  <c r="AB355" i="52" s="1"/>
  <c r="X354" i="52"/>
  <c r="W354" i="52"/>
  <c r="AC354" i="52" s="1"/>
  <c r="V354" i="52"/>
  <c r="AB354" i="52" s="1"/>
  <c r="X353" i="52"/>
  <c r="W353" i="52"/>
  <c r="AC353" i="52" s="1"/>
  <c r="V353" i="52"/>
  <c r="AB353" i="52" s="1"/>
  <c r="X352" i="52"/>
  <c r="W352" i="52"/>
  <c r="V352" i="52"/>
  <c r="AB352" i="52" s="1"/>
  <c r="X351" i="52"/>
  <c r="W351" i="52"/>
  <c r="V351" i="52"/>
  <c r="AB351" i="52" s="1"/>
  <c r="X350" i="52"/>
  <c r="W350" i="52"/>
  <c r="AC350" i="52" s="1"/>
  <c r="V350" i="52"/>
  <c r="AB350" i="52" s="1"/>
  <c r="X349" i="52"/>
  <c r="W349" i="52"/>
  <c r="AC349" i="52" s="1"/>
  <c r="V349" i="52"/>
  <c r="AB349" i="52" s="1"/>
  <c r="X348" i="52"/>
  <c r="W348" i="52"/>
  <c r="V348" i="52"/>
  <c r="AB348" i="52" s="1"/>
  <c r="X347" i="52"/>
  <c r="W347" i="52"/>
  <c r="V347" i="52"/>
  <c r="AB347" i="52" s="1"/>
  <c r="X346" i="52"/>
  <c r="W346" i="52"/>
  <c r="AC346" i="52" s="1"/>
  <c r="V346" i="52"/>
  <c r="AB346" i="52" s="1"/>
  <c r="X345" i="52"/>
  <c r="W345" i="52"/>
  <c r="AC345" i="52" s="1"/>
  <c r="V345" i="52"/>
  <c r="AB345" i="52" s="1"/>
  <c r="X344" i="52"/>
  <c r="W344" i="52"/>
  <c r="V344" i="52"/>
  <c r="AB344" i="52" s="1"/>
  <c r="X343" i="52"/>
  <c r="W343" i="52"/>
  <c r="V343" i="52"/>
  <c r="AB343" i="52" s="1"/>
  <c r="X342" i="52"/>
  <c r="W342" i="52"/>
  <c r="AC342" i="52" s="1"/>
  <c r="V342" i="52"/>
  <c r="AB342" i="52" s="1"/>
  <c r="X341" i="52"/>
  <c r="W341" i="52"/>
  <c r="AC341" i="52" s="1"/>
  <c r="V341" i="52"/>
  <c r="AB341" i="52" s="1"/>
  <c r="X340" i="52"/>
  <c r="W340" i="52"/>
  <c r="V340" i="52"/>
  <c r="AB340" i="52" s="1"/>
  <c r="X339" i="52"/>
  <c r="W339" i="52"/>
  <c r="V339" i="52"/>
  <c r="AB339" i="52" s="1"/>
  <c r="X338" i="52"/>
  <c r="W338" i="52"/>
  <c r="AC338" i="52" s="1"/>
  <c r="V338" i="52"/>
  <c r="AB338" i="52" s="1"/>
  <c r="X337" i="52"/>
  <c r="W337" i="52"/>
  <c r="AC337" i="52" s="1"/>
  <c r="V337" i="52"/>
  <c r="AB337" i="52" s="1"/>
  <c r="X336" i="52"/>
  <c r="W336" i="52"/>
  <c r="V336" i="52"/>
  <c r="AB336" i="52" s="1"/>
  <c r="X335" i="52"/>
  <c r="W335" i="52"/>
  <c r="V335" i="52"/>
  <c r="AB335" i="52" s="1"/>
  <c r="X334" i="52"/>
  <c r="W334" i="52"/>
  <c r="AC334" i="52" s="1"/>
  <c r="V334" i="52"/>
  <c r="AB334" i="52" s="1"/>
  <c r="X333" i="52"/>
  <c r="W333" i="52"/>
  <c r="AC333" i="52" s="1"/>
  <c r="V333" i="52"/>
  <c r="AB333" i="52" s="1"/>
  <c r="X332" i="52"/>
  <c r="W332" i="52"/>
  <c r="V332" i="52"/>
  <c r="AB332" i="52" s="1"/>
  <c r="X331" i="52"/>
  <c r="W331" i="52"/>
  <c r="V331" i="52"/>
  <c r="AB331" i="52" s="1"/>
  <c r="X330" i="52"/>
  <c r="W330" i="52"/>
  <c r="AC330" i="52" s="1"/>
  <c r="V330" i="52"/>
  <c r="AB330" i="52" s="1"/>
  <c r="X329" i="52"/>
  <c r="W329" i="52"/>
  <c r="AC329" i="52" s="1"/>
  <c r="V329" i="52"/>
  <c r="AB329" i="52" s="1"/>
  <c r="X328" i="52"/>
  <c r="W328" i="52"/>
  <c r="V328" i="52"/>
  <c r="AB328" i="52" s="1"/>
  <c r="X327" i="52"/>
  <c r="W327" i="52"/>
  <c r="V327" i="52"/>
  <c r="AB327" i="52" s="1"/>
  <c r="X326" i="52"/>
  <c r="W326" i="52"/>
  <c r="AC326" i="52" s="1"/>
  <c r="V326" i="52"/>
  <c r="AB326" i="52" s="1"/>
  <c r="X325" i="52"/>
  <c r="W325" i="52"/>
  <c r="AC325" i="52" s="1"/>
  <c r="V325" i="52"/>
  <c r="AB325" i="52" s="1"/>
  <c r="X324" i="52"/>
  <c r="W324" i="52"/>
  <c r="V324" i="52"/>
  <c r="AB324" i="52" s="1"/>
  <c r="X323" i="52"/>
  <c r="W323" i="52"/>
  <c r="V323" i="52"/>
  <c r="AB323" i="52" s="1"/>
  <c r="X322" i="52"/>
  <c r="W322" i="52"/>
  <c r="AC322" i="52" s="1"/>
  <c r="V322" i="52"/>
  <c r="AB322" i="52" s="1"/>
  <c r="X321" i="52"/>
  <c r="W321" i="52"/>
  <c r="AC321" i="52" s="1"/>
  <c r="V321" i="52"/>
  <c r="AB321" i="52" s="1"/>
  <c r="X320" i="52"/>
  <c r="W320" i="52"/>
  <c r="V320" i="52"/>
  <c r="AB320" i="52" s="1"/>
  <c r="X319" i="52"/>
  <c r="W319" i="52"/>
  <c r="V319" i="52"/>
  <c r="AB319" i="52" s="1"/>
  <c r="X318" i="52"/>
  <c r="W318" i="52"/>
  <c r="AC318" i="52" s="1"/>
  <c r="V318" i="52"/>
  <c r="AB318" i="52" s="1"/>
  <c r="X317" i="52"/>
  <c r="W317" i="52"/>
  <c r="AC317" i="52" s="1"/>
  <c r="V317" i="52"/>
  <c r="AB317" i="52" s="1"/>
  <c r="X316" i="52"/>
  <c r="W316" i="52"/>
  <c r="V316" i="52"/>
  <c r="AB316" i="52" s="1"/>
  <c r="X315" i="52"/>
  <c r="W315" i="52"/>
  <c r="V315" i="52"/>
  <c r="AB315" i="52" s="1"/>
  <c r="X314" i="52"/>
  <c r="W314" i="52"/>
  <c r="AC314" i="52" s="1"/>
  <c r="V314" i="52"/>
  <c r="AB314" i="52" s="1"/>
  <c r="X313" i="52"/>
  <c r="W313" i="52"/>
  <c r="AC313" i="52" s="1"/>
  <c r="V313" i="52"/>
  <c r="AB313" i="52" s="1"/>
  <c r="X312" i="52"/>
  <c r="W312" i="52"/>
  <c r="V312" i="52"/>
  <c r="AB312" i="52" s="1"/>
  <c r="X311" i="52"/>
  <c r="W311" i="52"/>
  <c r="V311" i="52"/>
  <c r="AB311" i="52" s="1"/>
  <c r="X310" i="52"/>
  <c r="W310" i="52"/>
  <c r="AC310" i="52" s="1"/>
  <c r="V310" i="52"/>
  <c r="AB310" i="52" s="1"/>
  <c r="X309" i="52"/>
  <c r="W309" i="52"/>
  <c r="AC309" i="52" s="1"/>
  <c r="V309" i="52"/>
  <c r="AB309" i="52" s="1"/>
  <c r="X308" i="52"/>
  <c r="W308" i="52"/>
  <c r="V308" i="52"/>
  <c r="AB308" i="52" s="1"/>
  <c r="X307" i="52"/>
  <c r="W307" i="52"/>
  <c r="V307" i="52"/>
  <c r="AB307" i="52" s="1"/>
  <c r="X306" i="52"/>
  <c r="W306" i="52"/>
  <c r="AC306" i="52" s="1"/>
  <c r="V306" i="52"/>
  <c r="AB306" i="52" s="1"/>
  <c r="X305" i="52"/>
  <c r="W305" i="52"/>
  <c r="AC305" i="52" s="1"/>
  <c r="V305" i="52"/>
  <c r="AB305" i="52" s="1"/>
  <c r="X304" i="52"/>
  <c r="W304" i="52"/>
  <c r="V304" i="52"/>
  <c r="AB304" i="52" s="1"/>
  <c r="X303" i="52"/>
  <c r="W303" i="52"/>
  <c r="V303" i="52"/>
  <c r="AB303" i="52" s="1"/>
  <c r="X302" i="52"/>
  <c r="W302" i="52"/>
  <c r="AC302" i="52" s="1"/>
  <c r="V302" i="52"/>
  <c r="AB302" i="52" s="1"/>
  <c r="X301" i="52"/>
  <c r="W301" i="52"/>
  <c r="AC301" i="52" s="1"/>
  <c r="V301" i="52"/>
  <c r="AB301" i="52" s="1"/>
  <c r="X300" i="52"/>
  <c r="W300" i="52"/>
  <c r="V300" i="52"/>
  <c r="AB300" i="52" s="1"/>
  <c r="X299" i="52"/>
  <c r="W299" i="52"/>
  <c r="V299" i="52"/>
  <c r="AB299" i="52" s="1"/>
  <c r="X298" i="52"/>
  <c r="W298" i="52"/>
  <c r="AC298" i="52" s="1"/>
  <c r="V298" i="52"/>
  <c r="AB298" i="52" s="1"/>
  <c r="X297" i="52"/>
  <c r="W297" i="52"/>
  <c r="AC297" i="52" s="1"/>
  <c r="V297" i="52"/>
  <c r="AB297" i="52" s="1"/>
  <c r="X296" i="52"/>
  <c r="W296" i="52"/>
  <c r="V296" i="52"/>
  <c r="AB296" i="52" s="1"/>
  <c r="X295" i="52"/>
  <c r="W295" i="52"/>
  <c r="V295" i="52"/>
  <c r="AB295" i="52" s="1"/>
  <c r="X294" i="52"/>
  <c r="W294" i="52"/>
  <c r="AC294" i="52" s="1"/>
  <c r="V294" i="52"/>
  <c r="AB294" i="52" s="1"/>
  <c r="X293" i="52"/>
  <c r="W293" i="52"/>
  <c r="AC293" i="52" s="1"/>
  <c r="V293" i="52"/>
  <c r="AB293" i="52" s="1"/>
  <c r="X292" i="52"/>
  <c r="W292" i="52"/>
  <c r="V292" i="52"/>
  <c r="AB292" i="52" s="1"/>
  <c r="X291" i="52"/>
  <c r="W291" i="52"/>
  <c r="V291" i="52"/>
  <c r="AB291" i="52" s="1"/>
  <c r="X290" i="52"/>
  <c r="W290" i="52"/>
  <c r="AC290" i="52" s="1"/>
  <c r="V290" i="52"/>
  <c r="AB290" i="52" s="1"/>
  <c r="X289" i="52"/>
  <c r="W289" i="52"/>
  <c r="AC289" i="52" s="1"/>
  <c r="V289" i="52"/>
  <c r="AB289" i="52" s="1"/>
  <c r="X288" i="52"/>
  <c r="W288" i="52"/>
  <c r="V288" i="52"/>
  <c r="AB288" i="52" s="1"/>
  <c r="X287" i="52"/>
  <c r="W287" i="52"/>
  <c r="V287" i="52"/>
  <c r="AB287" i="52" s="1"/>
  <c r="X286" i="52"/>
  <c r="W286" i="52"/>
  <c r="AC286" i="52" s="1"/>
  <c r="V286" i="52"/>
  <c r="AB286" i="52" s="1"/>
  <c r="X285" i="52"/>
  <c r="W285" i="52"/>
  <c r="AC285" i="52" s="1"/>
  <c r="V285" i="52"/>
  <c r="AB285" i="52" s="1"/>
  <c r="X284" i="52"/>
  <c r="W284" i="52"/>
  <c r="V284" i="52"/>
  <c r="AB284" i="52" s="1"/>
  <c r="X283" i="52"/>
  <c r="W283" i="52"/>
  <c r="V283" i="52"/>
  <c r="AB283" i="52" s="1"/>
  <c r="X282" i="52"/>
  <c r="W282" i="52"/>
  <c r="AC282" i="52" s="1"/>
  <c r="V282" i="52"/>
  <c r="AB282" i="52" s="1"/>
  <c r="X281" i="52"/>
  <c r="W281" i="52"/>
  <c r="AC281" i="52" s="1"/>
  <c r="V281" i="52"/>
  <c r="AB281" i="52" s="1"/>
  <c r="X280" i="52"/>
  <c r="W280" i="52"/>
  <c r="V280" i="52"/>
  <c r="AB280" i="52" s="1"/>
  <c r="X279" i="52"/>
  <c r="W279" i="52"/>
  <c r="V279" i="52"/>
  <c r="AB279" i="52" s="1"/>
  <c r="X278" i="52"/>
  <c r="W278" i="52"/>
  <c r="AC278" i="52" s="1"/>
  <c r="V278" i="52"/>
  <c r="AB278" i="52" s="1"/>
  <c r="X277" i="52"/>
  <c r="W277" i="52"/>
  <c r="AC277" i="52" s="1"/>
  <c r="V277" i="52"/>
  <c r="AB277" i="52" s="1"/>
  <c r="X276" i="52"/>
  <c r="W276" i="52"/>
  <c r="V276" i="52"/>
  <c r="AB276" i="52" s="1"/>
  <c r="X275" i="52"/>
  <c r="W275" i="52"/>
  <c r="V275" i="52"/>
  <c r="AB275" i="52" s="1"/>
  <c r="X274" i="52"/>
  <c r="W274" i="52"/>
  <c r="AC274" i="52" s="1"/>
  <c r="V274" i="52"/>
  <c r="AB274" i="52" s="1"/>
  <c r="X273" i="52"/>
  <c r="W273" i="52"/>
  <c r="V273" i="52"/>
  <c r="AB273" i="52" s="1"/>
  <c r="X272" i="52"/>
  <c r="W272" i="52"/>
  <c r="V272" i="52"/>
  <c r="AB272" i="52" s="1"/>
  <c r="X271" i="52"/>
  <c r="W271" i="52"/>
  <c r="V271" i="52"/>
  <c r="AB271" i="52" s="1"/>
  <c r="X270" i="52"/>
  <c r="W270" i="52"/>
  <c r="AC270" i="52" s="1"/>
  <c r="V270" i="52"/>
  <c r="AB270" i="52" s="1"/>
  <c r="X269" i="52"/>
  <c r="W269" i="52"/>
  <c r="V269" i="52"/>
  <c r="AB269" i="52" s="1"/>
  <c r="X244" i="52"/>
  <c r="W244" i="52"/>
  <c r="V244" i="52"/>
  <c r="AB244" i="52" s="1"/>
  <c r="X243" i="52"/>
  <c r="W243" i="52"/>
  <c r="V243" i="52"/>
  <c r="AB243" i="52" s="1"/>
  <c r="X242" i="52"/>
  <c r="W242" i="52"/>
  <c r="AC242" i="52" s="1"/>
  <c r="V242" i="52"/>
  <c r="AB242" i="52" s="1"/>
  <c r="X241" i="52"/>
  <c r="W241" i="52"/>
  <c r="V241" i="52"/>
  <c r="AB241" i="52" s="1"/>
  <c r="X240" i="52"/>
  <c r="W240" i="52"/>
  <c r="V240" i="52"/>
  <c r="AB240" i="52" s="1"/>
  <c r="X239" i="52"/>
  <c r="W239" i="52"/>
  <c r="V239" i="52"/>
  <c r="AB239" i="52" s="1"/>
  <c r="X238" i="52"/>
  <c r="W238" i="52"/>
  <c r="AC238" i="52" s="1"/>
  <c r="V238" i="52"/>
  <c r="AB238" i="52" s="1"/>
  <c r="X237" i="52"/>
  <c r="W237" i="52"/>
  <c r="V237" i="52"/>
  <c r="AB237" i="52" s="1"/>
  <c r="X236" i="52"/>
  <c r="W236" i="52"/>
  <c r="V236" i="52"/>
  <c r="AB236" i="52" s="1"/>
  <c r="X235" i="52"/>
  <c r="W235" i="52"/>
  <c r="V235" i="52"/>
  <c r="AB235" i="52" s="1"/>
  <c r="X234" i="52"/>
  <c r="W234" i="52"/>
  <c r="AC234" i="52" s="1"/>
  <c r="V234" i="52"/>
  <c r="AB234" i="52" s="1"/>
  <c r="X233" i="52"/>
  <c r="W233" i="52"/>
  <c r="V233" i="52"/>
  <c r="AB233" i="52" s="1"/>
  <c r="X232" i="52"/>
  <c r="W232" i="52"/>
  <c r="V232" i="52"/>
  <c r="AB232" i="52" s="1"/>
  <c r="X231" i="52"/>
  <c r="W231" i="52"/>
  <c r="V231" i="52"/>
  <c r="AB231" i="52" s="1"/>
  <c r="X230" i="52"/>
  <c r="W230" i="52"/>
  <c r="V230" i="52"/>
  <c r="AB230" i="52" s="1"/>
  <c r="X229" i="52"/>
  <c r="W229" i="52"/>
  <c r="V229" i="52"/>
  <c r="AB229" i="52" s="1"/>
  <c r="X228" i="52"/>
  <c r="W228" i="52"/>
  <c r="V228" i="52"/>
  <c r="AB228" i="52" s="1"/>
  <c r="X227" i="52"/>
  <c r="W227" i="52"/>
  <c r="V227" i="52"/>
  <c r="AB227" i="52" s="1"/>
  <c r="X226" i="52"/>
  <c r="W226" i="52"/>
  <c r="V226" i="52"/>
  <c r="AB226" i="52" s="1"/>
  <c r="X225" i="52"/>
  <c r="W225" i="52"/>
  <c r="V225" i="52"/>
  <c r="AB225" i="52" s="1"/>
  <c r="X224" i="52"/>
  <c r="W224" i="52"/>
  <c r="V224" i="52"/>
  <c r="AB224" i="52" s="1"/>
  <c r="X223" i="52"/>
  <c r="W223" i="52"/>
  <c r="V223" i="52"/>
  <c r="AB223" i="52" s="1"/>
  <c r="X222" i="52"/>
  <c r="W222" i="52"/>
  <c r="V222" i="52"/>
  <c r="AB222" i="52" s="1"/>
  <c r="X221" i="52"/>
  <c r="W221" i="52"/>
  <c r="V221" i="52"/>
  <c r="AB221" i="52" s="1"/>
  <c r="X220" i="52"/>
  <c r="W220" i="52"/>
  <c r="V220" i="52"/>
  <c r="AB220" i="52" s="1"/>
  <c r="X219" i="52"/>
  <c r="W219" i="52"/>
  <c r="V219" i="52"/>
  <c r="AB219" i="52" s="1"/>
  <c r="X218" i="52"/>
  <c r="W218" i="52"/>
  <c r="AC218" i="52" s="1"/>
  <c r="V218" i="52"/>
  <c r="AB218" i="52" s="1"/>
  <c r="X217" i="52"/>
  <c r="W217" i="52"/>
  <c r="V217" i="52"/>
  <c r="AB217" i="52" s="1"/>
  <c r="X216" i="52"/>
  <c r="W216" i="52"/>
  <c r="V216" i="52"/>
  <c r="AB216" i="52" s="1"/>
  <c r="X215" i="52"/>
  <c r="W215" i="52"/>
  <c r="V215" i="52"/>
  <c r="AB215" i="52" s="1"/>
  <c r="X214" i="52"/>
  <c r="W214" i="52"/>
  <c r="AC214" i="52" s="1"/>
  <c r="V214" i="52"/>
  <c r="AB214" i="52" s="1"/>
  <c r="X213" i="52"/>
  <c r="W213" i="52"/>
  <c r="V213" i="52"/>
  <c r="AB213" i="52" s="1"/>
  <c r="X212" i="52"/>
  <c r="W212" i="52"/>
  <c r="V212" i="52"/>
  <c r="AB212" i="52" s="1"/>
  <c r="X211" i="52"/>
  <c r="W211" i="52"/>
  <c r="V211" i="52"/>
  <c r="AB211" i="52" s="1"/>
  <c r="X210" i="52"/>
  <c r="W210" i="52"/>
  <c r="AC210" i="52" s="1"/>
  <c r="V210" i="52"/>
  <c r="AB210" i="52" s="1"/>
  <c r="X209" i="52"/>
  <c r="W209" i="52"/>
  <c r="V209" i="52"/>
  <c r="AB209" i="52" s="1"/>
  <c r="X208" i="52"/>
  <c r="W208" i="52"/>
  <c r="V208" i="52"/>
  <c r="AB208" i="52" s="1"/>
  <c r="X207" i="52"/>
  <c r="W207" i="52"/>
  <c r="V207" i="52"/>
  <c r="AB207" i="52" s="1"/>
  <c r="X206" i="52"/>
  <c r="W206" i="52"/>
  <c r="V206" i="52"/>
  <c r="AB206" i="52" s="1"/>
  <c r="X205" i="52"/>
  <c r="W205" i="52"/>
  <c r="V205" i="52"/>
  <c r="AB205" i="52" s="1"/>
  <c r="X204" i="52"/>
  <c r="W204" i="52"/>
  <c r="V204" i="52"/>
  <c r="AB204" i="52" s="1"/>
  <c r="X203" i="52"/>
  <c r="W203" i="52"/>
  <c r="V203" i="52"/>
  <c r="AB203" i="52" s="1"/>
  <c r="X202" i="52"/>
  <c r="W202" i="52"/>
  <c r="V202" i="52"/>
  <c r="AB202" i="52" s="1"/>
  <c r="X201" i="52"/>
  <c r="W201" i="52"/>
  <c r="V201" i="52"/>
  <c r="AB201" i="52" s="1"/>
  <c r="X200" i="52"/>
  <c r="W200" i="52"/>
  <c r="V200" i="52"/>
  <c r="AB200" i="52" s="1"/>
  <c r="X199" i="52"/>
  <c r="W199" i="52"/>
  <c r="V199" i="52"/>
  <c r="AB199" i="52" s="1"/>
  <c r="X198" i="52"/>
  <c r="W198" i="52"/>
  <c r="V198" i="52"/>
  <c r="AB198" i="52" s="1"/>
  <c r="X197" i="52"/>
  <c r="W197" i="52"/>
  <c r="V197" i="52"/>
  <c r="AB197" i="52" s="1"/>
  <c r="X196" i="52"/>
  <c r="W196" i="52"/>
  <c r="V196" i="52"/>
  <c r="AB196" i="52" s="1"/>
  <c r="X195" i="52"/>
  <c r="W195" i="52"/>
  <c r="V195" i="52"/>
  <c r="AB195" i="52" s="1"/>
  <c r="X194" i="52"/>
  <c r="W194" i="52"/>
  <c r="V194" i="52"/>
  <c r="AB194" i="52" s="1"/>
  <c r="X193" i="52"/>
  <c r="W193" i="52"/>
  <c r="V193" i="52"/>
  <c r="AB193" i="52" s="1"/>
  <c r="X192" i="52"/>
  <c r="W192" i="52"/>
  <c r="V192" i="52"/>
  <c r="AB192" i="52" s="1"/>
  <c r="X191" i="52"/>
  <c r="W191" i="52"/>
  <c r="V191" i="52"/>
  <c r="AB191" i="52" s="1"/>
  <c r="X190" i="52"/>
  <c r="W190" i="52"/>
  <c r="V190" i="52"/>
  <c r="AB190" i="52" s="1"/>
  <c r="X189" i="52"/>
  <c r="W189" i="52"/>
  <c r="V189" i="52"/>
  <c r="AB189" i="52" s="1"/>
  <c r="X188" i="52"/>
  <c r="W188" i="52"/>
  <c r="V188" i="52"/>
  <c r="AB188" i="52" s="1"/>
  <c r="X187" i="52"/>
  <c r="W187" i="52"/>
  <c r="V187" i="52"/>
  <c r="AB187" i="52" s="1"/>
  <c r="X186" i="52"/>
  <c r="W186" i="52"/>
  <c r="V186" i="52"/>
  <c r="AB186" i="52" s="1"/>
  <c r="X185" i="52"/>
  <c r="W185" i="52"/>
  <c r="V185" i="52"/>
  <c r="AB185" i="52" s="1"/>
  <c r="X184" i="52"/>
  <c r="W184" i="52"/>
  <c r="V184" i="52"/>
  <c r="AB184" i="52" s="1"/>
  <c r="X183" i="52"/>
  <c r="W183" i="52"/>
  <c r="V183" i="52"/>
  <c r="AB183" i="52" s="1"/>
  <c r="X182" i="52"/>
  <c r="W182" i="52"/>
  <c r="V182" i="52"/>
  <c r="AB182" i="52" s="1"/>
  <c r="X181" i="52"/>
  <c r="W181" i="52"/>
  <c r="V181" i="52"/>
  <c r="AB181" i="52" s="1"/>
  <c r="X180" i="52"/>
  <c r="W180" i="52"/>
  <c r="V180" i="52"/>
  <c r="AB180" i="52" s="1"/>
  <c r="X179" i="52"/>
  <c r="W179" i="52"/>
  <c r="V179" i="52"/>
  <c r="AB179" i="52" s="1"/>
  <c r="X178" i="52"/>
  <c r="W178" i="52"/>
  <c r="V178" i="52"/>
  <c r="AB178" i="52" s="1"/>
  <c r="X177" i="52"/>
  <c r="W177" i="52"/>
  <c r="V177" i="52"/>
  <c r="AB177" i="52" s="1"/>
  <c r="X176" i="52"/>
  <c r="W176" i="52"/>
  <c r="V176" i="52"/>
  <c r="AB176" i="52" s="1"/>
  <c r="X175" i="52"/>
  <c r="W175" i="52"/>
  <c r="V175" i="52"/>
  <c r="AB175" i="52" s="1"/>
  <c r="X174" i="52"/>
  <c r="W174" i="52"/>
  <c r="V174" i="52"/>
  <c r="AB174" i="52" s="1"/>
  <c r="X173" i="52"/>
  <c r="W173" i="52"/>
  <c r="V173" i="52"/>
  <c r="AB173" i="52" s="1"/>
  <c r="X172" i="52"/>
  <c r="W172" i="52"/>
  <c r="V172" i="52"/>
  <c r="AB172" i="52" s="1"/>
  <c r="X171" i="52"/>
  <c r="W171" i="52"/>
  <c r="V171" i="52"/>
  <c r="AB171" i="52" s="1"/>
  <c r="X170" i="52"/>
  <c r="W170" i="52"/>
  <c r="V170" i="52"/>
  <c r="AB170" i="52" s="1"/>
  <c r="X169" i="52"/>
  <c r="W169" i="52"/>
  <c r="V169" i="52"/>
  <c r="AB169" i="52" s="1"/>
  <c r="X168" i="52"/>
  <c r="W168" i="52"/>
  <c r="V168" i="52"/>
  <c r="AB168" i="52" s="1"/>
  <c r="X167" i="52"/>
  <c r="W167" i="52"/>
  <c r="V167" i="52"/>
  <c r="AB167" i="52" s="1"/>
  <c r="X166" i="52"/>
  <c r="W166" i="52"/>
  <c r="V166" i="52"/>
  <c r="AB166" i="52" s="1"/>
  <c r="X165" i="52"/>
  <c r="W165" i="52"/>
  <c r="V165" i="52"/>
  <c r="AB165" i="52" s="1"/>
  <c r="X164" i="52"/>
  <c r="W164" i="52"/>
  <c r="V164" i="52"/>
  <c r="AB164" i="52" s="1"/>
  <c r="X163" i="52"/>
  <c r="W163" i="52"/>
  <c r="V163" i="52"/>
  <c r="AB163" i="52" s="1"/>
  <c r="X162" i="52"/>
  <c r="W162" i="52"/>
  <c r="V162" i="52"/>
  <c r="AB162" i="52" s="1"/>
  <c r="X161" i="52"/>
  <c r="W161" i="52"/>
  <c r="V161" i="52"/>
  <c r="AB161" i="52" s="1"/>
  <c r="X160" i="52"/>
  <c r="W160" i="52"/>
  <c r="V160" i="52"/>
  <c r="AB160" i="52" s="1"/>
  <c r="X159" i="52"/>
  <c r="W159" i="52"/>
  <c r="V159" i="52"/>
  <c r="AB159" i="52" s="1"/>
  <c r="X158" i="52"/>
  <c r="W158" i="52"/>
  <c r="V158" i="52"/>
  <c r="AB158" i="52" s="1"/>
  <c r="X157" i="52"/>
  <c r="W157" i="52"/>
  <c r="V157" i="52"/>
  <c r="AB157" i="52" s="1"/>
  <c r="X156" i="52"/>
  <c r="W156" i="52"/>
  <c r="V156" i="52"/>
  <c r="AB156" i="52" s="1"/>
  <c r="X155" i="52"/>
  <c r="W155" i="52"/>
  <c r="V155" i="52"/>
  <c r="AB155" i="52" s="1"/>
  <c r="X154" i="52"/>
  <c r="W154" i="52"/>
  <c r="V154" i="52"/>
  <c r="AB154" i="52" s="1"/>
  <c r="X153" i="52"/>
  <c r="W153" i="52"/>
  <c r="V153" i="52"/>
  <c r="AB153" i="52" s="1"/>
  <c r="X152" i="52"/>
  <c r="W152" i="52"/>
  <c r="V152" i="52"/>
  <c r="AB152" i="52" s="1"/>
  <c r="X151" i="52"/>
  <c r="W151" i="52"/>
  <c r="V151" i="52"/>
  <c r="AB151" i="52" s="1"/>
  <c r="X150" i="52"/>
  <c r="W150" i="52"/>
  <c r="V150" i="52"/>
  <c r="AB150" i="52" s="1"/>
  <c r="X149" i="52"/>
  <c r="W149" i="52"/>
  <c r="V149" i="52"/>
  <c r="AB149" i="52" s="1"/>
  <c r="X148" i="52"/>
  <c r="W148" i="52"/>
  <c r="V148" i="52"/>
  <c r="AB148" i="52" s="1"/>
  <c r="X147" i="52"/>
  <c r="W147" i="52"/>
  <c r="V147" i="52"/>
  <c r="AB147" i="52" s="1"/>
  <c r="X146" i="52"/>
  <c r="W146" i="52"/>
  <c r="V146" i="52"/>
  <c r="AB146" i="52" s="1"/>
  <c r="X145" i="52"/>
  <c r="W145" i="52"/>
  <c r="V145" i="52"/>
  <c r="AB145" i="52" s="1"/>
  <c r="X144" i="52"/>
  <c r="W144" i="52"/>
  <c r="V144" i="52"/>
  <c r="AB144" i="52" s="1"/>
  <c r="X143" i="52"/>
  <c r="W143" i="52"/>
  <c r="V143" i="52"/>
  <c r="AB143" i="52" s="1"/>
  <c r="X142" i="52"/>
  <c r="W142" i="52"/>
  <c r="V142" i="52"/>
  <c r="AB142" i="52" s="1"/>
  <c r="X141" i="52"/>
  <c r="W141" i="52"/>
  <c r="V141" i="52"/>
  <c r="AB141" i="52" s="1"/>
  <c r="X140" i="52"/>
  <c r="W140" i="52"/>
  <c r="V140" i="52"/>
  <c r="AB140" i="52" s="1"/>
  <c r="X139" i="52"/>
  <c r="W139" i="52"/>
  <c r="V139" i="52"/>
  <c r="AB139" i="52" s="1"/>
  <c r="X138" i="52"/>
  <c r="W138" i="52"/>
  <c r="V138" i="52"/>
  <c r="AB138" i="52" s="1"/>
  <c r="X137" i="52"/>
  <c r="W137" i="52"/>
  <c r="V137" i="52"/>
  <c r="AB137" i="52" s="1"/>
  <c r="X136" i="52"/>
  <c r="W136" i="52"/>
  <c r="V136" i="52"/>
  <c r="AB136" i="52" s="1"/>
  <c r="X135" i="52"/>
  <c r="W135" i="52"/>
  <c r="V135" i="52"/>
  <c r="AB135" i="52" s="1"/>
  <c r="X134" i="52"/>
  <c r="W134" i="52"/>
  <c r="V134" i="52"/>
  <c r="AB134" i="52" s="1"/>
  <c r="X133" i="52"/>
  <c r="W133" i="52"/>
  <c r="V133" i="52"/>
  <c r="AB133" i="52" s="1"/>
  <c r="X132" i="52"/>
  <c r="W132" i="52"/>
  <c r="V132" i="52"/>
  <c r="AB132" i="52" s="1"/>
  <c r="X131" i="52"/>
  <c r="W131" i="52"/>
  <c r="V131" i="52"/>
  <c r="AB131" i="52" s="1"/>
  <c r="X130" i="52"/>
  <c r="W130" i="52"/>
  <c r="V130" i="52"/>
  <c r="AB130" i="52" s="1"/>
  <c r="X129" i="52"/>
  <c r="W129" i="52"/>
  <c r="V129" i="52"/>
  <c r="AB129" i="52" s="1"/>
  <c r="X128" i="52"/>
  <c r="W128" i="52"/>
  <c r="V128" i="52"/>
  <c r="AB128" i="52" s="1"/>
  <c r="X127" i="52"/>
  <c r="W127" i="52"/>
  <c r="V127" i="52"/>
  <c r="AB127" i="52" s="1"/>
  <c r="X126" i="52"/>
  <c r="W126" i="52"/>
  <c r="V126" i="52"/>
  <c r="AB126" i="52" s="1"/>
  <c r="X125" i="52"/>
  <c r="W125" i="52"/>
  <c r="V125" i="52"/>
  <c r="AB125" i="52" s="1"/>
  <c r="X124" i="52"/>
  <c r="W124" i="52"/>
  <c r="V124" i="52"/>
  <c r="AB124" i="52" s="1"/>
  <c r="X123" i="52"/>
  <c r="W123" i="52"/>
  <c r="V123" i="52"/>
  <c r="AB123" i="52" s="1"/>
  <c r="X122" i="52"/>
  <c r="W122" i="52"/>
  <c r="V122" i="52"/>
  <c r="AB122" i="52" s="1"/>
  <c r="X121" i="52"/>
  <c r="W121" i="52"/>
  <c r="V121" i="52"/>
  <c r="AB121" i="52" s="1"/>
  <c r="X120" i="52"/>
  <c r="W120" i="52"/>
  <c r="V120" i="52"/>
  <c r="AB120" i="52" s="1"/>
  <c r="X119" i="52"/>
  <c r="W119" i="52"/>
  <c r="V119" i="52"/>
  <c r="AB119" i="52" s="1"/>
  <c r="X118" i="52"/>
  <c r="W118" i="52"/>
  <c r="V118" i="52"/>
  <c r="AB118" i="52" s="1"/>
  <c r="X117" i="52"/>
  <c r="W117" i="52"/>
  <c r="V117" i="52"/>
  <c r="AB117" i="52" s="1"/>
  <c r="X116" i="52"/>
  <c r="W116" i="52"/>
  <c r="V116" i="52"/>
  <c r="AB116" i="52" s="1"/>
  <c r="X115" i="52"/>
  <c r="W115" i="52"/>
  <c r="V115" i="52"/>
  <c r="AB115" i="52" s="1"/>
  <c r="X114" i="52"/>
  <c r="W114" i="52"/>
  <c r="V114" i="52"/>
  <c r="AB114" i="52" s="1"/>
  <c r="X113" i="52"/>
  <c r="W113" i="52"/>
  <c r="V113" i="52"/>
  <c r="AB113" i="52" s="1"/>
  <c r="X112" i="52"/>
  <c r="W112" i="52"/>
  <c r="V112" i="52"/>
  <c r="AB112" i="52" s="1"/>
  <c r="X111" i="52"/>
  <c r="W111" i="52"/>
  <c r="V111" i="52"/>
  <c r="AB111" i="52" s="1"/>
  <c r="X110" i="52"/>
  <c r="W110" i="52"/>
  <c r="V110" i="52"/>
  <c r="AB110" i="52" s="1"/>
  <c r="X109" i="52"/>
  <c r="W109" i="52"/>
  <c r="V109" i="52"/>
  <c r="AB109" i="52" s="1"/>
  <c r="X108" i="52"/>
  <c r="W108" i="52"/>
  <c r="V108" i="52"/>
  <c r="AB108" i="52" s="1"/>
  <c r="X107" i="52"/>
  <c r="W107" i="52"/>
  <c r="V107" i="52"/>
  <c r="AB107" i="52" s="1"/>
  <c r="X106" i="52"/>
  <c r="W106" i="52"/>
  <c r="V106" i="52"/>
  <c r="AB106" i="52" s="1"/>
  <c r="X105" i="52"/>
  <c r="W105" i="52"/>
  <c r="V105" i="52"/>
  <c r="AB105" i="52" s="1"/>
  <c r="X104" i="52"/>
  <c r="W104" i="52"/>
  <c r="V104" i="52"/>
  <c r="AB104" i="52" s="1"/>
  <c r="X103" i="52"/>
  <c r="W103" i="52"/>
  <c r="V103" i="52"/>
  <c r="AB103" i="52" s="1"/>
  <c r="X102" i="52"/>
  <c r="W102" i="52"/>
  <c r="V102" i="52"/>
  <c r="AB102" i="52" s="1"/>
  <c r="X101" i="52"/>
  <c r="W101" i="52"/>
  <c r="V101" i="52"/>
  <c r="AB101" i="52" s="1"/>
  <c r="X100" i="52"/>
  <c r="W100" i="52"/>
  <c r="V100" i="52"/>
  <c r="AB100" i="52" s="1"/>
  <c r="X99" i="52"/>
  <c r="W99" i="52"/>
  <c r="V99" i="52"/>
  <c r="AB99" i="52" s="1"/>
  <c r="X98" i="52"/>
  <c r="W98" i="52"/>
  <c r="V98" i="52"/>
  <c r="AB98" i="52" s="1"/>
  <c r="X97" i="52"/>
  <c r="W97" i="52"/>
  <c r="V97" i="52"/>
  <c r="AB97" i="52" s="1"/>
  <c r="X96" i="52"/>
  <c r="W96" i="52"/>
  <c r="V96" i="52"/>
  <c r="AB96" i="52" s="1"/>
  <c r="X95" i="52"/>
  <c r="W95" i="52"/>
  <c r="V95" i="52"/>
  <c r="AB95" i="52" s="1"/>
  <c r="X94" i="52"/>
  <c r="W94" i="52"/>
  <c r="V94" i="52"/>
  <c r="AB94" i="52" s="1"/>
  <c r="X93" i="52"/>
  <c r="W93" i="52"/>
  <c r="V93" i="52"/>
  <c r="AB93" i="52" s="1"/>
  <c r="X92" i="52"/>
  <c r="W92" i="52"/>
  <c r="V92" i="52"/>
  <c r="AB92" i="52" s="1"/>
  <c r="X91" i="52"/>
  <c r="W91" i="52"/>
  <c r="V91" i="52"/>
  <c r="AB91" i="52" s="1"/>
  <c r="X90" i="52"/>
  <c r="W90" i="52"/>
  <c r="V90" i="52"/>
  <c r="AB90" i="52" s="1"/>
  <c r="X89" i="52"/>
  <c r="W89" i="52"/>
  <c r="V89" i="52"/>
  <c r="AB89" i="52" s="1"/>
  <c r="X88" i="52"/>
  <c r="W88" i="52"/>
  <c r="V88" i="52"/>
  <c r="AB88" i="52" s="1"/>
  <c r="X87" i="52"/>
  <c r="W87" i="52"/>
  <c r="V87" i="52"/>
  <c r="AB87" i="52" s="1"/>
  <c r="X86" i="52"/>
  <c r="W86" i="52"/>
  <c r="V86" i="52"/>
  <c r="AB86" i="52" s="1"/>
  <c r="X37" i="52"/>
  <c r="W37" i="52"/>
  <c r="AC37" i="52" s="1"/>
  <c r="V37" i="52"/>
  <c r="AB37" i="52" s="1"/>
  <c r="X36" i="52"/>
  <c r="W36" i="52"/>
  <c r="V36" i="52"/>
  <c r="AB36" i="52" s="1"/>
  <c r="X35" i="52"/>
  <c r="W35" i="52"/>
  <c r="V35" i="52"/>
  <c r="AB35" i="52" s="1"/>
  <c r="X34" i="52"/>
  <c r="W34" i="52"/>
  <c r="V34" i="52"/>
  <c r="AB34" i="52" s="1"/>
  <c r="X33" i="52"/>
  <c r="W33" i="52"/>
  <c r="AC33" i="52" s="1"/>
  <c r="V33" i="52"/>
  <c r="AB33" i="52" s="1"/>
  <c r="X32" i="52"/>
  <c r="W32" i="52"/>
  <c r="V32" i="52"/>
  <c r="AB32" i="52" s="1"/>
  <c r="X31" i="52"/>
  <c r="W31" i="52"/>
  <c r="V31" i="52"/>
  <c r="AB31" i="52" s="1"/>
  <c r="X30" i="52"/>
  <c r="W30" i="52"/>
  <c r="V30" i="52"/>
  <c r="AB30" i="52" s="1"/>
  <c r="X29" i="52"/>
  <c r="W29" i="52"/>
  <c r="AC29" i="52" s="1"/>
  <c r="V29" i="52"/>
  <c r="AB29" i="52" s="1"/>
  <c r="X28" i="52"/>
  <c r="W28" i="52"/>
  <c r="V28" i="52"/>
  <c r="AB28" i="52" s="1"/>
  <c r="X27" i="52"/>
  <c r="W27" i="52"/>
  <c r="V27" i="52"/>
  <c r="AB27" i="52" s="1"/>
  <c r="X26" i="52"/>
  <c r="W26" i="52"/>
  <c r="V26" i="52"/>
  <c r="AB26" i="52" s="1"/>
  <c r="X25" i="52"/>
  <c r="W25" i="52"/>
  <c r="V25" i="52"/>
  <c r="AB25" i="52" s="1"/>
  <c r="X24" i="52"/>
  <c r="W24" i="52"/>
  <c r="V24" i="52"/>
  <c r="AB24" i="52" s="1"/>
  <c r="X23" i="52"/>
  <c r="W23" i="52"/>
  <c r="V23" i="52"/>
  <c r="AB23" i="52" s="1"/>
  <c r="X22" i="52"/>
  <c r="W22" i="52"/>
  <c r="V22" i="52"/>
  <c r="AB22" i="52" s="1"/>
  <c r="X21" i="52"/>
  <c r="W21" i="52"/>
  <c r="V21" i="52"/>
  <c r="AB21" i="52" s="1"/>
  <c r="X20" i="52"/>
  <c r="W20" i="52"/>
  <c r="V20" i="52"/>
  <c r="AB20" i="52" s="1"/>
  <c r="X19" i="52"/>
  <c r="W19" i="52"/>
  <c r="V19" i="52"/>
  <c r="AB19" i="52" s="1"/>
  <c r="X18" i="52"/>
  <c r="W18" i="52"/>
  <c r="V18" i="52"/>
  <c r="AB18" i="52" s="1"/>
  <c r="X17" i="52"/>
  <c r="W17" i="52"/>
  <c r="V17" i="52"/>
  <c r="AB17" i="52" s="1"/>
  <c r="X16" i="52"/>
  <c r="W16" i="52"/>
  <c r="V16" i="52"/>
  <c r="AB16" i="52" s="1"/>
  <c r="X15" i="52"/>
  <c r="W15" i="52"/>
  <c r="V15" i="52"/>
  <c r="AB15" i="52" s="1"/>
  <c r="X14" i="52"/>
  <c r="W14" i="52"/>
  <c r="V14" i="52"/>
  <c r="AB14" i="52" s="1"/>
  <c r="X13" i="52"/>
  <c r="W13" i="52"/>
  <c r="AC13" i="52" s="1"/>
  <c r="V13" i="52"/>
  <c r="AB13" i="52" s="1"/>
  <c r="X12" i="52"/>
  <c r="W12" i="52"/>
  <c r="V12" i="52"/>
  <c r="AB12" i="52" s="1"/>
  <c r="X11" i="52"/>
  <c r="W11" i="52"/>
  <c r="V11" i="52"/>
  <c r="AB11" i="52" s="1"/>
  <c r="X10" i="52"/>
  <c r="W10" i="52"/>
  <c r="V10" i="52"/>
  <c r="AB10" i="52" s="1"/>
  <c r="X9" i="52"/>
  <c r="W9" i="52"/>
  <c r="AC9" i="52" s="1"/>
  <c r="V9" i="52"/>
  <c r="AB9" i="52" s="1"/>
  <c r="X8" i="52"/>
  <c r="W8" i="52"/>
  <c r="V8" i="52"/>
  <c r="AB8" i="52" s="1"/>
  <c r="X7" i="52"/>
  <c r="W7" i="52"/>
  <c r="V7" i="52"/>
  <c r="AB7" i="52" s="1"/>
  <c r="X6" i="52"/>
  <c r="W6" i="52"/>
  <c r="V6" i="52"/>
  <c r="AB6" i="52" s="1"/>
  <c r="X5" i="52"/>
  <c r="W5" i="52"/>
  <c r="AC5" i="52" s="1"/>
  <c r="V5" i="52"/>
  <c r="AB5" i="52" s="1"/>
  <c r="X4" i="52"/>
  <c r="W4" i="52"/>
  <c r="V4" i="52"/>
  <c r="AB4" i="52" s="1"/>
  <c r="X3" i="52"/>
  <c r="W3" i="52"/>
  <c r="V3" i="52"/>
  <c r="AB3" i="52" s="1"/>
  <c r="X2" i="52"/>
  <c r="W2" i="52"/>
  <c r="V2" i="52"/>
  <c r="AB2" i="52" s="1"/>
  <c r="AE2216" i="51"/>
  <c r="AE2215" i="51"/>
  <c r="AE2214" i="51"/>
  <c r="AE2213" i="51"/>
  <c r="AE2212" i="51"/>
  <c r="AE2211" i="51"/>
  <c r="AE2210" i="51"/>
  <c r="AE2209" i="51"/>
  <c r="AE2208" i="51"/>
  <c r="AE2207" i="51"/>
  <c r="AE2206" i="51"/>
  <c r="AE2205" i="51"/>
  <c r="AE2204" i="51"/>
  <c r="AE2203" i="51"/>
  <c r="AE2202" i="51"/>
  <c r="AE2201" i="51"/>
  <c r="AE2200" i="51"/>
  <c r="AE2199" i="51"/>
  <c r="AE2198" i="51"/>
  <c r="AE2197" i="51"/>
  <c r="AE2196" i="51"/>
  <c r="AE2195" i="51"/>
  <c r="AE2194" i="51"/>
  <c r="AE2193" i="51"/>
  <c r="AE2192" i="51"/>
  <c r="AE2191" i="51"/>
  <c r="AE2190" i="51"/>
  <c r="AE2189" i="51"/>
  <c r="AA12" i="55" s="1"/>
  <c r="AE2188" i="51"/>
  <c r="AD2188" i="51"/>
  <c r="AC2188" i="51"/>
  <c r="AE2187" i="51"/>
  <c r="AD2187" i="51"/>
  <c r="AC2187" i="51"/>
  <c r="AE2186" i="51"/>
  <c r="AD2186" i="51"/>
  <c r="AC2186" i="51"/>
  <c r="AE2185" i="51"/>
  <c r="AD2185" i="51"/>
  <c r="AC2185" i="51"/>
  <c r="AE2184" i="51"/>
  <c r="AD2184" i="51"/>
  <c r="AC2184" i="51"/>
  <c r="AE2183" i="51"/>
  <c r="AD2183" i="51"/>
  <c r="AC2183" i="51"/>
  <c r="AE2182" i="51"/>
  <c r="AD2182" i="51"/>
  <c r="AC2182" i="51"/>
  <c r="AE2181" i="51"/>
  <c r="AD2181" i="51"/>
  <c r="AC2181" i="51"/>
  <c r="AE2180" i="51"/>
  <c r="AD2180" i="51"/>
  <c r="AC2180" i="51"/>
  <c r="AE2179" i="51"/>
  <c r="AD2179" i="51"/>
  <c r="AC2179" i="51"/>
  <c r="AE2178" i="51"/>
  <c r="AD2178" i="51"/>
  <c r="AC2178" i="51"/>
  <c r="AE2177" i="51"/>
  <c r="AD2177" i="51"/>
  <c r="AC2177" i="51"/>
  <c r="AE2176" i="51"/>
  <c r="AD2176" i="51"/>
  <c r="AC2176" i="51"/>
  <c r="AE2175" i="51"/>
  <c r="AE2174" i="51"/>
  <c r="AE2173" i="51"/>
  <c r="AE2172" i="51"/>
  <c r="AE2171" i="51"/>
  <c r="AE2170" i="51"/>
  <c r="AE2169" i="51"/>
  <c r="AE2168" i="51"/>
  <c r="AE2167" i="51"/>
  <c r="AE2166" i="51"/>
  <c r="AE2165" i="51"/>
  <c r="AE2164" i="51"/>
  <c r="AE2163" i="51"/>
  <c r="AE2162" i="51"/>
  <c r="AE2161" i="51"/>
  <c r="AE2160" i="51"/>
  <c r="AE2159" i="51"/>
  <c r="AE2158" i="51"/>
  <c r="AE2157" i="51"/>
  <c r="AE2156" i="51"/>
  <c r="AE2155" i="51"/>
  <c r="AE2154" i="51"/>
  <c r="AE2153" i="51"/>
  <c r="AE2152" i="51"/>
  <c r="AE2151" i="51"/>
  <c r="AE2150" i="51"/>
  <c r="AE2149" i="51"/>
  <c r="AE2148" i="51"/>
  <c r="AE2147" i="51"/>
  <c r="AE2146" i="51"/>
  <c r="AE2145" i="51"/>
  <c r="AE2144" i="51"/>
  <c r="AE2143" i="51"/>
  <c r="AE2142" i="51"/>
  <c r="AE2141" i="51"/>
  <c r="AE2140" i="51"/>
  <c r="AE2139" i="51"/>
  <c r="AE2138" i="51"/>
  <c r="AE2137" i="51"/>
  <c r="AE2136" i="51"/>
  <c r="AE2135" i="51"/>
  <c r="AE2134" i="51"/>
  <c r="AE2133" i="51"/>
  <c r="AE2132" i="51"/>
  <c r="AE2131" i="51"/>
  <c r="AE2130" i="51"/>
  <c r="AE2129" i="51"/>
  <c r="AE2128" i="51"/>
  <c r="AE2127" i="51"/>
  <c r="AE2126" i="51"/>
  <c r="AE2125" i="51"/>
  <c r="AE2124" i="51"/>
  <c r="AE2123" i="51"/>
  <c r="AE2122" i="51"/>
  <c r="AE2121" i="51"/>
  <c r="AE2120" i="51"/>
  <c r="AE2119" i="51"/>
  <c r="AE2118" i="51"/>
  <c r="AE2117" i="51"/>
  <c r="AE2116" i="51"/>
  <c r="AE2115" i="51"/>
  <c r="AE2114" i="51"/>
  <c r="AE2113" i="51"/>
  <c r="AE2112" i="51"/>
  <c r="AE2111" i="51"/>
  <c r="AE2110" i="51"/>
  <c r="AE2109" i="51"/>
  <c r="AE2108" i="51"/>
  <c r="AE2107" i="51"/>
  <c r="AE2106" i="51"/>
  <c r="AE2105" i="51"/>
  <c r="AE2104" i="51"/>
  <c r="AE2103" i="51"/>
  <c r="AE2102" i="51"/>
  <c r="AE2101" i="51"/>
  <c r="AE2100" i="51"/>
  <c r="AE2099" i="51"/>
  <c r="AE2098" i="51"/>
  <c r="AE2097" i="51"/>
  <c r="AE2096" i="51"/>
  <c r="AE2095" i="51"/>
  <c r="AE2094" i="51"/>
  <c r="AE2093" i="51"/>
  <c r="AE2092" i="51"/>
  <c r="AE2091" i="51"/>
  <c r="AE2090" i="51"/>
  <c r="AE2089" i="51"/>
  <c r="AE2088" i="51"/>
  <c r="AE2087" i="51"/>
  <c r="AE2086" i="51"/>
  <c r="AE2085" i="51"/>
  <c r="AE2084" i="51"/>
  <c r="AE2083" i="51"/>
  <c r="AE2082" i="51"/>
  <c r="AE2081" i="51"/>
  <c r="AE2080" i="51"/>
  <c r="AE2079" i="51"/>
  <c r="AE2078" i="51"/>
  <c r="AE2077" i="51"/>
  <c r="AE2076" i="51"/>
  <c r="AE2075" i="51"/>
  <c r="AE2074" i="51"/>
  <c r="AE2073" i="51"/>
  <c r="AE2072" i="51"/>
  <c r="AE2071" i="51"/>
  <c r="AE2070" i="51"/>
  <c r="AE2069" i="51"/>
  <c r="AE2068" i="51"/>
  <c r="AE2067" i="51"/>
  <c r="AE2066" i="51"/>
  <c r="AE2065" i="51"/>
  <c r="AE2064" i="51"/>
  <c r="AE2063" i="51"/>
  <c r="AE2062" i="51"/>
  <c r="AE2061" i="51"/>
  <c r="AE2060" i="51"/>
  <c r="AE2059" i="51"/>
  <c r="AE2058" i="51"/>
  <c r="AE2057" i="51"/>
  <c r="AE2056" i="51"/>
  <c r="AE2055" i="51"/>
  <c r="AE2054" i="51"/>
  <c r="AE2053" i="51"/>
  <c r="AE2052" i="51"/>
  <c r="AE2051" i="51"/>
  <c r="AE2050" i="51"/>
  <c r="AE2049" i="51"/>
  <c r="AE2048" i="51"/>
  <c r="AE2047" i="51"/>
  <c r="AE2046" i="51"/>
  <c r="AE2045" i="51"/>
  <c r="AE2044" i="51"/>
  <c r="AE2043" i="51"/>
  <c r="AE2042" i="51"/>
  <c r="AE2041" i="51"/>
  <c r="AE2040" i="51"/>
  <c r="AE2039" i="51"/>
  <c r="AE2038" i="51"/>
  <c r="AE2037" i="51"/>
  <c r="AE2036" i="51"/>
  <c r="AE2035" i="51"/>
  <c r="AE2034" i="51"/>
  <c r="AE2033" i="51"/>
  <c r="AE2032" i="51"/>
  <c r="AE2031" i="51"/>
  <c r="AE2030" i="51"/>
  <c r="AE2029" i="51"/>
  <c r="AE2028" i="51"/>
  <c r="AE2027" i="51"/>
  <c r="AE2026" i="51"/>
  <c r="AE2025" i="51"/>
  <c r="AE2024" i="51"/>
  <c r="AE2023" i="51"/>
  <c r="AE2022" i="51"/>
  <c r="AE2021" i="51"/>
  <c r="AE2020" i="51"/>
  <c r="AE2019" i="51"/>
  <c r="AE2018" i="51"/>
  <c r="AE2017" i="51"/>
  <c r="AE2016" i="51"/>
  <c r="AE2015" i="51"/>
  <c r="AE2014" i="51"/>
  <c r="AE2013" i="51"/>
  <c r="AE2012" i="51"/>
  <c r="AE2011" i="51"/>
  <c r="AE2010" i="51"/>
  <c r="AE2009" i="51"/>
  <c r="AE2008" i="51"/>
  <c r="AE2007" i="51"/>
  <c r="AE2006" i="51"/>
  <c r="AE2005" i="51"/>
  <c r="AE2004" i="51"/>
  <c r="AE2003" i="51"/>
  <c r="AE2002" i="51"/>
  <c r="AE2001" i="51"/>
  <c r="AE2000" i="51"/>
  <c r="AE1999" i="51"/>
  <c r="AE1998" i="51"/>
  <c r="AE1997" i="51"/>
  <c r="AE1996" i="51"/>
  <c r="AE1995" i="51"/>
  <c r="AE1994" i="51"/>
  <c r="AE1993" i="51"/>
  <c r="AE1992" i="51"/>
  <c r="AE1991" i="51"/>
  <c r="AE1990" i="51"/>
  <c r="AE1989" i="51"/>
  <c r="AE1988" i="51"/>
  <c r="AE1987" i="51"/>
  <c r="AE1986" i="51"/>
  <c r="AE1985" i="51"/>
  <c r="AE1984" i="51"/>
  <c r="AE1983" i="51"/>
  <c r="AE1982" i="51"/>
  <c r="AE1981" i="51"/>
  <c r="AE1980" i="51"/>
  <c r="AE1979" i="51"/>
  <c r="AE1978" i="51"/>
  <c r="AE1977" i="51"/>
  <c r="AE1976" i="51"/>
  <c r="AE1975" i="51"/>
  <c r="AE1974" i="51"/>
  <c r="AE1973" i="51"/>
  <c r="AE1972" i="51"/>
  <c r="AE1971" i="51"/>
  <c r="AE1970" i="51"/>
  <c r="AE1969" i="51"/>
  <c r="AE1968" i="51"/>
  <c r="AE1967" i="51"/>
  <c r="AE1966" i="51"/>
  <c r="AE1965" i="51"/>
  <c r="AE1964" i="51"/>
  <c r="AE1963" i="51"/>
  <c r="AE1962" i="51"/>
  <c r="AE1961" i="51"/>
  <c r="AE1960" i="51"/>
  <c r="AE1959" i="51"/>
  <c r="AE1958" i="51"/>
  <c r="AE1957" i="51"/>
  <c r="AE1956" i="51"/>
  <c r="AE1955" i="51"/>
  <c r="AE1954" i="51"/>
  <c r="AE1953" i="51"/>
  <c r="AE1952" i="51"/>
  <c r="AE1951" i="51"/>
  <c r="AE1950" i="51"/>
  <c r="AE1949" i="51"/>
  <c r="AE1948" i="51"/>
  <c r="AE1947" i="51"/>
  <c r="AE1946" i="51"/>
  <c r="AE1945" i="51"/>
  <c r="AE1944" i="51"/>
  <c r="AE1943" i="51"/>
  <c r="AE1942" i="51"/>
  <c r="AE1941" i="51"/>
  <c r="AE1940" i="51"/>
  <c r="AE1939" i="51"/>
  <c r="AE1938" i="51"/>
  <c r="AE1937" i="51"/>
  <c r="AE1936" i="51"/>
  <c r="AE1935" i="51"/>
  <c r="AE1934" i="51"/>
  <c r="AE1933" i="51"/>
  <c r="AE1932" i="51"/>
  <c r="AE1931" i="51"/>
  <c r="AE1930" i="51"/>
  <c r="AE1929" i="51"/>
  <c r="AE1928" i="51"/>
  <c r="AE1927" i="51"/>
  <c r="AE1926" i="51"/>
  <c r="AE1925" i="51"/>
  <c r="AE1924" i="51"/>
  <c r="AE1923" i="51"/>
  <c r="AE1922" i="51"/>
  <c r="AE1921" i="51"/>
  <c r="AE1920" i="51"/>
  <c r="AE1919" i="51"/>
  <c r="AE1918" i="51"/>
  <c r="AE1917" i="51"/>
  <c r="AE1916" i="51"/>
  <c r="AE1915" i="51"/>
  <c r="AE1914" i="51"/>
  <c r="AE1913" i="51"/>
  <c r="AE1912" i="51"/>
  <c r="AE1911" i="51"/>
  <c r="AE1910" i="51"/>
  <c r="AE1909" i="51"/>
  <c r="AE1908" i="51"/>
  <c r="AE1907" i="51"/>
  <c r="AE1906" i="51"/>
  <c r="AE1905" i="51"/>
  <c r="AE1904" i="51"/>
  <c r="AE1903" i="51"/>
  <c r="AE1902" i="51"/>
  <c r="AE1901" i="51"/>
  <c r="AE1900" i="51"/>
  <c r="AE1899" i="51"/>
  <c r="AE1898" i="51"/>
  <c r="AE1897" i="51"/>
  <c r="AE1896" i="51"/>
  <c r="AE1895" i="51"/>
  <c r="AE1894" i="51"/>
  <c r="AE1893" i="51"/>
  <c r="AE1892" i="51"/>
  <c r="AE1891" i="51"/>
  <c r="AE1890" i="51"/>
  <c r="AE1889" i="51"/>
  <c r="AE1888" i="51"/>
  <c r="AE1887" i="51"/>
  <c r="AE1886" i="51"/>
  <c r="AE1885" i="51"/>
  <c r="AE1884" i="51"/>
  <c r="AE1883" i="51"/>
  <c r="AE1882" i="51"/>
  <c r="AE1881" i="51"/>
  <c r="AE1880" i="51"/>
  <c r="AE1879" i="51"/>
  <c r="AE1878" i="51"/>
  <c r="AE1877" i="51"/>
  <c r="AE1876" i="51"/>
  <c r="AE1875" i="51"/>
  <c r="AE1874" i="51"/>
  <c r="AE1873" i="51"/>
  <c r="AE1872" i="51"/>
  <c r="AE1871" i="51"/>
  <c r="AE1870" i="51"/>
  <c r="AE1869" i="51"/>
  <c r="AE1868" i="51"/>
  <c r="AE1867" i="51"/>
  <c r="AE1866" i="51"/>
  <c r="AE1865" i="51"/>
  <c r="AE1864" i="51"/>
  <c r="AE1863" i="51"/>
  <c r="AE1862" i="51"/>
  <c r="AE1861" i="51"/>
  <c r="AE1860" i="51"/>
  <c r="AE1859" i="51"/>
  <c r="AE1858" i="51"/>
  <c r="AE1857" i="51"/>
  <c r="AE1856" i="51"/>
  <c r="AE1855" i="51"/>
  <c r="AE1854" i="51"/>
  <c r="AE1853" i="51"/>
  <c r="AE1852" i="51"/>
  <c r="AE1851" i="51"/>
  <c r="AE1850" i="51"/>
  <c r="AE1849" i="51"/>
  <c r="AE1848" i="51"/>
  <c r="AE1847" i="51"/>
  <c r="AE1846" i="51"/>
  <c r="AE1845" i="51"/>
  <c r="AE1844" i="51"/>
  <c r="AE1843" i="51"/>
  <c r="AE1842" i="51"/>
  <c r="AE1841" i="51"/>
  <c r="AE1840" i="51"/>
  <c r="AE1839" i="51"/>
  <c r="AE1838" i="51"/>
  <c r="AE1837" i="51"/>
  <c r="AE1836" i="51"/>
  <c r="AE1835" i="51"/>
  <c r="AE1834" i="51"/>
  <c r="AE1833" i="51"/>
  <c r="AE1832" i="51"/>
  <c r="AE1831" i="51"/>
  <c r="AE1830" i="51"/>
  <c r="AE1829" i="51"/>
  <c r="AE1828" i="51"/>
  <c r="AE1827" i="51"/>
  <c r="AE1826" i="51"/>
  <c r="AE1825" i="51"/>
  <c r="AE1824" i="51"/>
  <c r="AE1823" i="51"/>
  <c r="AE1822" i="51"/>
  <c r="AE1821" i="51"/>
  <c r="AE1820" i="51"/>
  <c r="AE1819" i="51"/>
  <c r="AE1818" i="51"/>
  <c r="AE1817" i="51"/>
  <c r="AE1816" i="51"/>
  <c r="AE1815" i="51"/>
  <c r="AE1814" i="51"/>
  <c r="AE1813" i="51"/>
  <c r="AE1812" i="51"/>
  <c r="AE1811" i="51"/>
  <c r="AE1810" i="51"/>
  <c r="AE1809" i="51"/>
  <c r="AE1808" i="51"/>
  <c r="AE1807" i="51"/>
  <c r="AE1806" i="51"/>
  <c r="AE1805" i="51"/>
  <c r="AE1804" i="51"/>
  <c r="AE1803" i="51"/>
  <c r="AE1802" i="51"/>
  <c r="AE1801" i="51"/>
  <c r="AE1800" i="51"/>
  <c r="AE1799" i="51"/>
  <c r="AE1798" i="51"/>
  <c r="AE1797" i="51"/>
  <c r="AE1796" i="51"/>
  <c r="AE1795" i="51"/>
  <c r="AE1794" i="51"/>
  <c r="AE1793" i="51"/>
  <c r="AE1792" i="51"/>
  <c r="AE1791" i="51"/>
  <c r="AE1790" i="51"/>
  <c r="AE1789" i="51"/>
  <c r="AE1788" i="51"/>
  <c r="AE1787" i="51"/>
  <c r="AE1786" i="51"/>
  <c r="AE1785" i="51"/>
  <c r="AE1784" i="51"/>
  <c r="AE1783" i="51"/>
  <c r="AE1782" i="51"/>
  <c r="AE1781" i="51"/>
  <c r="AE1780" i="51"/>
  <c r="AE1779" i="51"/>
  <c r="AE1778" i="51"/>
  <c r="AE1777" i="51"/>
  <c r="AE1776" i="51"/>
  <c r="AE1775" i="51"/>
  <c r="AE1774" i="51"/>
  <c r="AE1773" i="51"/>
  <c r="AE1772" i="51"/>
  <c r="AE1771" i="51"/>
  <c r="AE1770" i="51"/>
  <c r="AE1769" i="51"/>
  <c r="AE1768" i="51"/>
  <c r="AE1767" i="51"/>
  <c r="AE1766" i="51"/>
  <c r="AE1765" i="51"/>
  <c r="AE1764" i="51"/>
  <c r="AE1763" i="51"/>
  <c r="AE1762" i="51"/>
  <c r="AE1761" i="51"/>
  <c r="AE1760" i="51"/>
  <c r="AE1759" i="51"/>
  <c r="AE1758" i="51"/>
  <c r="AE1757" i="51"/>
  <c r="AE1756" i="51"/>
  <c r="AE1755" i="51"/>
  <c r="AE1754" i="51"/>
  <c r="AE1753" i="51"/>
  <c r="AE1752" i="51"/>
  <c r="AE1751" i="51"/>
  <c r="AE1750" i="51"/>
  <c r="AE1749" i="51"/>
  <c r="AE1748" i="51"/>
  <c r="AE1747" i="51"/>
  <c r="AE1746" i="51"/>
  <c r="AE1745" i="51"/>
  <c r="AE1744" i="51"/>
  <c r="AE1743" i="51"/>
  <c r="AE1742" i="51"/>
  <c r="AE1741" i="51"/>
  <c r="AE1740" i="51"/>
  <c r="AE1739" i="51"/>
  <c r="AE1738" i="51"/>
  <c r="AE1737" i="51"/>
  <c r="AE1736" i="51"/>
  <c r="AE1735" i="51"/>
  <c r="AE1734" i="51"/>
  <c r="AE1733" i="51"/>
  <c r="AE1732" i="51"/>
  <c r="AE1731" i="51"/>
  <c r="AE1730" i="51"/>
  <c r="AE1729" i="51"/>
  <c r="AE1728" i="51"/>
  <c r="AE1727" i="51"/>
  <c r="AE1726" i="51"/>
  <c r="AE1725" i="51"/>
  <c r="AE1724" i="51"/>
  <c r="AE1723" i="51"/>
  <c r="AE1722" i="51"/>
  <c r="AE1721" i="51"/>
  <c r="AE1720" i="51"/>
  <c r="AE1719" i="51"/>
  <c r="AE1718" i="51"/>
  <c r="AE1717" i="51"/>
  <c r="AA10" i="55" s="1"/>
  <c r="AE1716" i="51"/>
  <c r="AE1715" i="51"/>
  <c r="AE1714" i="51"/>
  <c r="AE1713" i="51"/>
  <c r="AE1712" i="51"/>
  <c r="AE1711" i="51"/>
  <c r="AE1710" i="51"/>
  <c r="AE1709" i="51"/>
  <c r="AE1708" i="51"/>
  <c r="AE1707" i="51"/>
  <c r="AE1706" i="51"/>
  <c r="AE1705" i="51"/>
  <c r="AE1704" i="51"/>
  <c r="AE1703" i="51"/>
  <c r="AE1702" i="51"/>
  <c r="AE1701" i="51"/>
  <c r="AE1700" i="51"/>
  <c r="AE1699" i="51"/>
  <c r="AE1698" i="51"/>
  <c r="AE1697" i="51"/>
  <c r="AE1696" i="51"/>
  <c r="AE1695" i="51"/>
  <c r="AE1694" i="51"/>
  <c r="AE1693" i="51"/>
  <c r="AE1692" i="51"/>
  <c r="AE1691" i="51"/>
  <c r="AE1690" i="51"/>
  <c r="AE1689" i="51"/>
  <c r="AE1688" i="51"/>
  <c r="AE1687" i="51"/>
  <c r="AE1686" i="51"/>
  <c r="AE1685" i="51"/>
  <c r="AE1684" i="51"/>
  <c r="AE1683" i="51"/>
  <c r="AE1682" i="51"/>
  <c r="AE1681" i="51"/>
  <c r="AE1680" i="51"/>
  <c r="AE1679" i="51"/>
  <c r="AE1678" i="51"/>
  <c r="AE1677" i="51"/>
  <c r="AE1676" i="51"/>
  <c r="AE1675" i="51"/>
  <c r="AE1674" i="51"/>
  <c r="AE1673" i="51"/>
  <c r="AE1672" i="51"/>
  <c r="AE1671" i="51"/>
  <c r="AE1670" i="51"/>
  <c r="AE1669" i="51"/>
  <c r="AE1668" i="51"/>
  <c r="AE1667" i="51"/>
  <c r="AE1666" i="51"/>
  <c r="AE1665" i="51"/>
  <c r="AE1664" i="51"/>
  <c r="AE1663" i="51"/>
  <c r="AE1662" i="51"/>
  <c r="AE1661" i="51"/>
  <c r="AE1660" i="51"/>
  <c r="AE1659" i="51"/>
  <c r="AE1658" i="51"/>
  <c r="AE1657" i="51"/>
  <c r="AE1656" i="51"/>
  <c r="AE1655" i="51"/>
  <c r="AE1654" i="51"/>
  <c r="AE1653" i="51"/>
  <c r="AE1652" i="51"/>
  <c r="AE1651" i="51"/>
  <c r="AE1650" i="51"/>
  <c r="AE1649" i="51"/>
  <c r="AE1648" i="51"/>
  <c r="AE1647" i="51"/>
  <c r="AE1646" i="51"/>
  <c r="AE1645" i="51"/>
  <c r="AE1644" i="51"/>
  <c r="AE1643" i="51"/>
  <c r="AE1642" i="51"/>
  <c r="AE1641" i="51"/>
  <c r="AE1640" i="51"/>
  <c r="AE1639" i="51"/>
  <c r="AE1638" i="51"/>
  <c r="AE1637" i="51"/>
  <c r="AE1636" i="51"/>
  <c r="AE1635" i="51"/>
  <c r="AE1634" i="51"/>
  <c r="AE1633" i="51"/>
  <c r="AE1632" i="51"/>
  <c r="AE1631" i="51"/>
  <c r="AE1630" i="51"/>
  <c r="AE1629" i="51"/>
  <c r="AE1628" i="51"/>
  <c r="AE1627" i="51"/>
  <c r="AE1626" i="51"/>
  <c r="AE1625" i="51"/>
  <c r="AE1624" i="51"/>
  <c r="AE1623" i="51"/>
  <c r="AE1622" i="51"/>
  <c r="AE1621" i="51"/>
  <c r="AE1620" i="51"/>
  <c r="AE1619" i="51"/>
  <c r="AE1618" i="51"/>
  <c r="AE1617" i="51"/>
  <c r="AE1616" i="51"/>
  <c r="AE1615" i="51"/>
  <c r="AE1614" i="51"/>
  <c r="AE1613" i="51"/>
  <c r="AE1612" i="51"/>
  <c r="AE1611" i="51"/>
  <c r="AE1610" i="51"/>
  <c r="AE1609" i="51"/>
  <c r="AE1608" i="51"/>
  <c r="AE1607" i="51"/>
  <c r="AE1606" i="51"/>
  <c r="AE1605" i="51"/>
  <c r="AE1604" i="51"/>
  <c r="AE1603" i="51"/>
  <c r="AE1602" i="51"/>
  <c r="AE1601" i="51"/>
  <c r="AE1600" i="51"/>
  <c r="AE1599" i="51"/>
  <c r="AE1598" i="51"/>
  <c r="AE1597" i="51"/>
  <c r="AE1596" i="51"/>
  <c r="AE1595" i="51"/>
  <c r="AE1594" i="51"/>
  <c r="AE1593" i="51"/>
  <c r="AE1592" i="51"/>
  <c r="AE1591" i="51"/>
  <c r="AE1590" i="51"/>
  <c r="AE1589" i="51"/>
  <c r="AE1588" i="51"/>
  <c r="AE1587" i="51"/>
  <c r="AE1586" i="51"/>
  <c r="AE1585" i="51"/>
  <c r="AE1584" i="51"/>
  <c r="AE1583" i="51"/>
  <c r="AE1582" i="51"/>
  <c r="AE1581" i="51"/>
  <c r="AE1580" i="51"/>
  <c r="AE1579" i="51"/>
  <c r="AE1578" i="51"/>
  <c r="AE1577" i="51"/>
  <c r="AE1576" i="51"/>
  <c r="AE1575" i="51"/>
  <c r="AE1574" i="51"/>
  <c r="AE1573" i="51"/>
  <c r="AE1572" i="51"/>
  <c r="AE1571" i="51"/>
  <c r="AE1570" i="51"/>
  <c r="AE1569" i="51"/>
  <c r="AE1568" i="51"/>
  <c r="AE1567" i="51"/>
  <c r="AE1566" i="51"/>
  <c r="AE1565" i="51"/>
  <c r="AE1564" i="51"/>
  <c r="AE1563" i="51"/>
  <c r="AE1562" i="51"/>
  <c r="AE1561" i="51"/>
  <c r="AE1560" i="51"/>
  <c r="AE1559" i="51"/>
  <c r="AE1558" i="51"/>
  <c r="AE1557" i="51"/>
  <c r="AE1556" i="51"/>
  <c r="AE1555" i="51"/>
  <c r="AE1554" i="51"/>
  <c r="AE1553" i="51"/>
  <c r="AE1552" i="51"/>
  <c r="AE1551" i="51"/>
  <c r="AE1550" i="51"/>
  <c r="AE1549" i="51"/>
  <c r="AE1548" i="51"/>
  <c r="AE1547" i="51"/>
  <c r="AE1546" i="51"/>
  <c r="AE1545" i="51"/>
  <c r="AE1544" i="51"/>
  <c r="AE1543" i="51"/>
  <c r="AE1542" i="51"/>
  <c r="AE1541" i="51"/>
  <c r="AE1540" i="51"/>
  <c r="AE1539" i="51"/>
  <c r="AE1538" i="51"/>
  <c r="AE1537" i="51"/>
  <c r="AE1536" i="51"/>
  <c r="AE1535" i="51"/>
  <c r="AE1534" i="51"/>
  <c r="AE1533" i="51"/>
  <c r="AE1532" i="51"/>
  <c r="AE1531" i="51"/>
  <c r="AE1530" i="51"/>
  <c r="AE1529" i="51"/>
  <c r="AE1528" i="51"/>
  <c r="AE1527" i="51"/>
  <c r="AE1526" i="51"/>
  <c r="AE1525" i="51"/>
  <c r="AE1524" i="51"/>
  <c r="AE1523" i="51"/>
  <c r="AE1522" i="51"/>
  <c r="AE1521" i="51"/>
  <c r="AE1520" i="51"/>
  <c r="AE1519" i="51"/>
  <c r="AE1518" i="51"/>
  <c r="AE1517" i="51"/>
  <c r="AE1516" i="51"/>
  <c r="AE1515" i="51"/>
  <c r="AE1514" i="51"/>
  <c r="AE1513" i="51"/>
  <c r="AE1512" i="51"/>
  <c r="AE1511" i="51"/>
  <c r="AE1510" i="51"/>
  <c r="AE1509" i="51"/>
  <c r="AE1508" i="51"/>
  <c r="AE1507" i="51"/>
  <c r="AE1506" i="51"/>
  <c r="AE1505" i="51"/>
  <c r="AE1504" i="51"/>
  <c r="AE1503" i="51"/>
  <c r="AE1502" i="51"/>
  <c r="AE1501" i="51"/>
  <c r="AE1500" i="51"/>
  <c r="AE1499" i="51"/>
  <c r="AE1498" i="51"/>
  <c r="AE1497" i="51"/>
  <c r="AE1496" i="51"/>
  <c r="AE1495" i="51"/>
  <c r="AE1494" i="51"/>
  <c r="AE1493" i="51"/>
  <c r="AE1492" i="51"/>
  <c r="AE1491" i="51"/>
  <c r="AE1490" i="51"/>
  <c r="AE1489" i="51"/>
  <c r="AE1488" i="51"/>
  <c r="AE1487" i="51"/>
  <c r="AE1486" i="51"/>
  <c r="AE1485" i="51"/>
  <c r="AE1484" i="51"/>
  <c r="AE1483" i="51"/>
  <c r="AE1482" i="51"/>
  <c r="AE1481" i="51"/>
  <c r="AE1480" i="51"/>
  <c r="AE1479" i="51"/>
  <c r="AE1478" i="51"/>
  <c r="AE1477" i="51"/>
  <c r="AE1476" i="51"/>
  <c r="AE1475" i="51"/>
  <c r="AE1474" i="51"/>
  <c r="AE1473" i="51"/>
  <c r="AE1472" i="51"/>
  <c r="AE1471" i="51"/>
  <c r="AE1470" i="51"/>
  <c r="AE1469" i="51"/>
  <c r="AE1468" i="51"/>
  <c r="AE1467" i="51"/>
  <c r="AE1466" i="51"/>
  <c r="AE1465" i="51"/>
  <c r="AE1464" i="51"/>
  <c r="AE1463" i="51"/>
  <c r="AE1462" i="51"/>
  <c r="AE1461" i="51"/>
  <c r="AE1460" i="51"/>
  <c r="AE1459" i="51"/>
  <c r="AE1458" i="51"/>
  <c r="AE1457" i="51"/>
  <c r="AE1456" i="51"/>
  <c r="AE1455" i="51"/>
  <c r="AE1454" i="51"/>
  <c r="AE1453" i="51"/>
  <c r="AE1452" i="51"/>
  <c r="AE1451" i="51"/>
  <c r="AE1450" i="51"/>
  <c r="AE1449" i="51"/>
  <c r="AE1448" i="51"/>
  <c r="AE1447" i="51"/>
  <c r="AE1446" i="51"/>
  <c r="AE1445" i="51"/>
  <c r="AE1444" i="51"/>
  <c r="AE1443" i="51"/>
  <c r="AE1442" i="51"/>
  <c r="AE1441" i="51"/>
  <c r="AE1440" i="51"/>
  <c r="AE1439" i="51"/>
  <c r="AE1438" i="51"/>
  <c r="AE1437" i="51"/>
  <c r="AE1436" i="51"/>
  <c r="AE1435" i="51"/>
  <c r="AE1434" i="51"/>
  <c r="AE1433" i="51"/>
  <c r="AE1432" i="51"/>
  <c r="AE1431" i="51"/>
  <c r="AE1430" i="51"/>
  <c r="AE1429" i="51"/>
  <c r="AD1429" i="51"/>
  <c r="AC1429" i="51"/>
  <c r="AE1428" i="51"/>
  <c r="AD1428" i="51"/>
  <c r="AC1428" i="51"/>
  <c r="AE1427" i="51"/>
  <c r="AD1427" i="51"/>
  <c r="AC1427" i="51"/>
  <c r="AE1426" i="51"/>
  <c r="AD1426" i="51"/>
  <c r="AC1426" i="51"/>
  <c r="AE1425" i="51"/>
  <c r="AD1425" i="51"/>
  <c r="AC1425" i="51"/>
  <c r="AE1424" i="51"/>
  <c r="AD1424" i="51"/>
  <c r="AC1424" i="51"/>
  <c r="AE1423" i="51"/>
  <c r="AD1423" i="51"/>
  <c r="AC1423" i="51"/>
  <c r="AE1422" i="51"/>
  <c r="AD1422" i="51"/>
  <c r="AC1422" i="51"/>
  <c r="AE1421" i="51"/>
  <c r="AD1421" i="51"/>
  <c r="AC1421" i="51"/>
  <c r="AE1420" i="51"/>
  <c r="AD1420" i="51"/>
  <c r="AC1420" i="51"/>
  <c r="AE1419" i="51"/>
  <c r="AD1419" i="51"/>
  <c r="AC1419" i="51"/>
  <c r="AE1418" i="51"/>
  <c r="AD1418" i="51"/>
  <c r="AC1418" i="51"/>
  <c r="AG1417" i="51"/>
  <c r="AF1417" i="51"/>
  <c r="AB1417" i="51"/>
  <c r="AG1416" i="51"/>
  <c r="AF1416" i="51"/>
  <c r="AB1416" i="51"/>
  <c r="AG1415" i="51"/>
  <c r="AF1415" i="51"/>
  <c r="AB1415" i="51"/>
  <c r="AG1414" i="51"/>
  <c r="AF1414" i="51"/>
  <c r="AB1414" i="51"/>
  <c r="AG1413" i="51"/>
  <c r="AF1413" i="51"/>
  <c r="AB1413" i="51"/>
  <c r="AG1412" i="51"/>
  <c r="AF1412" i="51"/>
  <c r="AB1412" i="51"/>
  <c r="AG1411" i="51"/>
  <c r="AF1411" i="51"/>
  <c r="AB1411" i="51"/>
  <c r="AG1410" i="51"/>
  <c r="AF1410" i="51"/>
  <c r="AB1410" i="51"/>
  <c r="AG1409" i="51"/>
  <c r="AF1409" i="51"/>
  <c r="AB1409" i="51"/>
  <c r="AG1408" i="51"/>
  <c r="AF1408" i="51"/>
  <c r="AB1408" i="51"/>
  <c r="AG1407" i="51"/>
  <c r="AF1407" i="51"/>
  <c r="AB1407" i="51"/>
  <c r="AG1406" i="51"/>
  <c r="AF1406" i="51"/>
  <c r="AB1406" i="51"/>
  <c r="AE1405" i="51"/>
  <c r="AD1405" i="51"/>
  <c r="AC1405" i="51"/>
  <c r="AE1404" i="51"/>
  <c r="AD1404" i="51"/>
  <c r="AC1404" i="51"/>
  <c r="AE1403" i="51"/>
  <c r="AD1403" i="51"/>
  <c r="AC1403" i="51"/>
  <c r="AE1402" i="51"/>
  <c r="AD1402" i="51"/>
  <c r="AC1402" i="51"/>
  <c r="AE1401" i="51"/>
  <c r="AD1401" i="51"/>
  <c r="AC1401" i="51"/>
  <c r="AE1400" i="51"/>
  <c r="AD1400" i="51"/>
  <c r="AC1400" i="51"/>
  <c r="AE1399" i="51"/>
  <c r="AD1399" i="51"/>
  <c r="AC1399" i="51"/>
  <c r="AE1398" i="51"/>
  <c r="AD1398" i="51"/>
  <c r="AC1398" i="51"/>
  <c r="AE1397" i="51"/>
  <c r="AD1397" i="51"/>
  <c r="AC1397" i="51"/>
  <c r="AE1396" i="51"/>
  <c r="AD1396" i="51"/>
  <c r="AC1396" i="51"/>
  <c r="AE1395" i="51"/>
  <c r="AD1395" i="51"/>
  <c r="AC1395" i="51"/>
  <c r="AE1394" i="51"/>
  <c r="AD1394" i="51"/>
  <c r="AC1394" i="51"/>
  <c r="AE1393" i="51"/>
  <c r="AD1393" i="51"/>
  <c r="AC1393" i="51"/>
  <c r="AE1392" i="51"/>
  <c r="AD1392" i="51"/>
  <c r="AC1392" i="51"/>
  <c r="AE1391" i="51"/>
  <c r="AD1391" i="51"/>
  <c r="AC1391" i="51"/>
  <c r="AE1390" i="51"/>
  <c r="AD1390" i="51"/>
  <c r="AC1390" i="51"/>
  <c r="AE1389" i="51"/>
  <c r="AD1389" i="51"/>
  <c r="AC1389" i="51"/>
  <c r="AE1388" i="51"/>
  <c r="AD1388" i="51"/>
  <c r="AC1388" i="51"/>
  <c r="AE1387" i="51"/>
  <c r="AD1387" i="51"/>
  <c r="AC1387" i="51"/>
  <c r="AE1386" i="51"/>
  <c r="AD1386" i="51"/>
  <c r="AC1386" i="51"/>
  <c r="AE1385" i="51"/>
  <c r="AD1385" i="51"/>
  <c r="AC1385" i="51"/>
  <c r="AE1384" i="51"/>
  <c r="AD1384" i="51"/>
  <c r="AC1384" i="51"/>
  <c r="AE1383" i="51"/>
  <c r="AD1383" i="51"/>
  <c r="AC1383" i="51"/>
  <c r="AE1382" i="51"/>
  <c r="AD1382" i="51"/>
  <c r="AC1382" i="51"/>
  <c r="AE1381" i="51"/>
  <c r="AD1381" i="51"/>
  <c r="AC1381" i="51"/>
  <c r="AE1380" i="51"/>
  <c r="AD1380" i="51"/>
  <c r="AC1380" i="51"/>
  <c r="AE1379" i="51"/>
  <c r="AD1379" i="51"/>
  <c r="AC1379" i="51"/>
  <c r="AE1378" i="51"/>
  <c r="AD1378" i="51"/>
  <c r="AC1378" i="51"/>
  <c r="AE1377" i="51"/>
  <c r="AD1377" i="51"/>
  <c r="AC1377" i="51"/>
  <c r="AE1376" i="51"/>
  <c r="AD1376" i="51"/>
  <c r="AC1376" i="51"/>
  <c r="AE1375" i="51"/>
  <c r="AD1375" i="51"/>
  <c r="AC1375" i="51"/>
  <c r="AE1374" i="51"/>
  <c r="AD1374" i="51"/>
  <c r="AC1374" i="51"/>
  <c r="AE1373" i="51"/>
  <c r="AD1373" i="51"/>
  <c r="AC1373" i="51"/>
  <c r="AE1372" i="51"/>
  <c r="AD1372" i="51"/>
  <c r="AC1372" i="51"/>
  <c r="AE1371" i="51"/>
  <c r="AD1371" i="51"/>
  <c r="AC1371" i="51"/>
  <c r="AE1370" i="51"/>
  <c r="AD1370" i="51"/>
  <c r="AC1370" i="51"/>
  <c r="AE1369" i="51"/>
  <c r="AD1369" i="51"/>
  <c r="AC1369" i="51"/>
  <c r="AE1368" i="51"/>
  <c r="AD1368" i="51"/>
  <c r="AC1368" i="51"/>
  <c r="AE1367" i="51"/>
  <c r="AD1367" i="51"/>
  <c r="AC1367" i="51"/>
  <c r="AE1366" i="51"/>
  <c r="AD1366" i="51"/>
  <c r="AC1366" i="51"/>
  <c r="AG1365" i="51"/>
  <c r="AF1365" i="51"/>
  <c r="AB1365" i="51"/>
  <c r="AG1364" i="51"/>
  <c r="AF1364" i="51"/>
  <c r="AB1364" i="51"/>
  <c r="AG1363" i="51"/>
  <c r="AF1363" i="51"/>
  <c r="AB1363" i="51"/>
  <c r="AG1362" i="51"/>
  <c r="AF1362" i="51"/>
  <c r="AB1362" i="51"/>
  <c r="AG1361" i="51"/>
  <c r="AF1361" i="51"/>
  <c r="AB1361" i="51"/>
  <c r="AG1360" i="51"/>
  <c r="AF1360" i="51"/>
  <c r="AB1360" i="51"/>
  <c r="AG1359" i="51"/>
  <c r="AF1359" i="51"/>
  <c r="AB1359" i="51"/>
  <c r="AG1358" i="51"/>
  <c r="AF1358" i="51"/>
  <c r="AB1358" i="51"/>
  <c r="AG1357" i="51"/>
  <c r="AF1357" i="51"/>
  <c r="AB1357" i="51"/>
  <c r="AG1356" i="51"/>
  <c r="AF1356" i="51"/>
  <c r="AB1356" i="51"/>
  <c r="AG1355" i="51"/>
  <c r="AF1355" i="51"/>
  <c r="AB1355" i="51"/>
  <c r="AG1354" i="51"/>
  <c r="AF1354" i="51"/>
  <c r="AB1354" i="51"/>
  <c r="AG1353" i="51"/>
  <c r="AF1353" i="51"/>
  <c r="AB1353" i="51"/>
  <c r="AG1352" i="51"/>
  <c r="AF1352" i="51"/>
  <c r="AB1352" i="51"/>
  <c r="AG1351" i="51"/>
  <c r="AF1351" i="51"/>
  <c r="AB1351" i="51"/>
  <c r="AG1350" i="51"/>
  <c r="AF1350" i="51"/>
  <c r="AB1350" i="51"/>
  <c r="AG1349" i="51"/>
  <c r="AF1349" i="51"/>
  <c r="AB1349" i="51"/>
  <c r="AG1348" i="51"/>
  <c r="AF1348" i="51"/>
  <c r="AB1348" i="51"/>
  <c r="AG1347" i="51"/>
  <c r="AF1347" i="51"/>
  <c r="AB1347" i="51"/>
  <c r="AG1346" i="51"/>
  <c r="AF1346" i="51"/>
  <c r="AB1346" i="51"/>
  <c r="AG1345" i="51"/>
  <c r="AF1345" i="51"/>
  <c r="AB1345" i="51"/>
  <c r="AG1344" i="51"/>
  <c r="AF1344" i="51"/>
  <c r="AB1344" i="51"/>
  <c r="AG1343" i="51"/>
  <c r="AF1343" i="51"/>
  <c r="AB1343" i="51"/>
  <c r="AG1342" i="51"/>
  <c r="AF1342" i="51"/>
  <c r="AB1342" i="51"/>
  <c r="AG1341" i="51"/>
  <c r="AF1341" i="51"/>
  <c r="AB1341" i="51"/>
  <c r="AG1340" i="51"/>
  <c r="AF1340" i="51"/>
  <c r="AB1340" i="51"/>
  <c r="AG1339" i="51"/>
  <c r="AF1339" i="51"/>
  <c r="AB1339" i="51"/>
  <c r="AG1338" i="51"/>
  <c r="AF1338" i="51"/>
  <c r="AB1338" i="51"/>
  <c r="AG1337" i="51"/>
  <c r="AF1337" i="51"/>
  <c r="AB1337" i="51"/>
  <c r="AG1336" i="51"/>
  <c r="AF1336" i="51"/>
  <c r="AB1336" i="51"/>
  <c r="AG1335" i="51"/>
  <c r="AF1335" i="51"/>
  <c r="AB1335" i="51"/>
  <c r="AG1334" i="51"/>
  <c r="AF1334" i="51"/>
  <c r="AB1334" i="51"/>
  <c r="AG1333" i="51"/>
  <c r="AF1333" i="51"/>
  <c r="AB1333" i="51"/>
  <c r="AG1332" i="51"/>
  <c r="AF1332" i="51"/>
  <c r="AB1332" i="51"/>
  <c r="AE1331" i="51"/>
  <c r="AD1331" i="51"/>
  <c r="AC1331" i="51"/>
  <c r="AE1330" i="51"/>
  <c r="AD1330" i="51"/>
  <c r="AC1330" i="51"/>
  <c r="AE1329" i="51"/>
  <c r="AD1329" i="51"/>
  <c r="AC1329" i="51"/>
  <c r="AE1328" i="51"/>
  <c r="AD1328" i="51"/>
  <c r="AC1328" i="51"/>
  <c r="AE1327" i="51"/>
  <c r="AD1327" i="51"/>
  <c r="AC1327" i="51"/>
  <c r="AE1326" i="51"/>
  <c r="AD1326" i="51"/>
  <c r="AC1326" i="51"/>
  <c r="AE1325" i="51"/>
  <c r="AD1325" i="51"/>
  <c r="AC1325" i="51"/>
  <c r="AE1324" i="51"/>
  <c r="AD1324" i="51"/>
  <c r="AC1324" i="51"/>
  <c r="AE1323" i="51"/>
  <c r="AD1323" i="51"/>
  <c r="AC1323" i="51"/>
  <c r="AE1322" i="51"/>
  <c r="AD1322" i="51"/>
  <c r="AC1322" i="51"/>
  <c r="AE1321" i="51"/>
  <c r="AD1321" i="51"/>
  <c r="AC1321" i="51"/>
  <c r="AE1320" i="51"/>
  <c r="AD1320" i="51"/>
  <c r="AC1320" i="51"/>
  <c r="AE1319" i="51"/>
  <c r="AD1319" i="51"/>
  <c r="AC1319" i="51"/>
  <c r="AE1318" i="51"/>
  <c r="AD1318" i="51"/>
  <c r="AC1318" i="51"/>
  <c r="AE1317" i="51"/>
  <c r="AD1317" i="51"/>
  <c r="AC1317" i="51"/>
  <c r="AE1316" i="51"/>
  <c r="AD1316" i="51"/>
  <c r="AC1316" i="51"/>
  <c r="AE1315" i="51"/>
  <c r="AD1315" i="51"/>
  <c r="AC1315" i="51"/>
  <c r="AE1314" i="51"/>
  <c r="AD1314" i="51"/>
  <c r="AC1314" i="51"/>
  <c r="AE1313" i="51"/>
  <c r="AD1313" i="51"/>
  <c r="AC1313" i="51"/>
  <c r="AE1312" i="51"/>
  <c r="AD1312" i="51"/>
  <c r="AC1312" i="51"/>
  <c r="AE1311" i="51"/>
  <c r="AD1311" i="51"/>
  <c r="AC1311" i="51"/>
  <c r="AE1310" i="51"/>
  <c r="AD1310" i="51"/>
  <c r="AC1310" i="51"/>
  <c r="AE1309" i="51"/>
  <c r="AD1309" i="51"/>
  <c r="AC1309" i="51"/>
  <c r="AE1308" i="51"/>
  <c r="AD1308" i="51"/>
  <c r="AC1308" i="51"/>
  <c r="AE1307" i="51"/>
  <c r="AD1307" i="51"/>
  <c r="AC1307" i="51"/>
  <c r="AE1306" i="51"/>
  <c r="AD1306" i="51"/>
  <c r="AC1306" i="51"/>
  <c r="AE1305" i="51"/>
  <c r="AD1305" i="51"/>
  <c r="AC1305" i="51"/>
  <c r="AE1304" i="51"/>
  <c r="AD1304" i="51"/>
  <c r="AC1304" i="51"/>
  <c r="AE1303" i="51"/>
  <c r="AD1303" i="51"/>
  <c r="AC1303" i="51"/>
  <c r="AE1302" i="51"/>
  <c r="AD1302" i="51"/>
  <c r="AC1302" i="51"/>
  <c r="AE1301" i="51"/>
  <c r="AD1301" i="51"/>
  <c r="AC1301" i="51"/>
  <c r="AE1300" i="51"/>
  <c r="AD1300" i="51"/>
  <c r="AC1300" i="51"/>
  <c r="AE1299" i="51"/>
  <c r="AD1299" i="51"/>
  <c r="AC1299" i="51"/>
  <c r="AE1298" i="51"/>
  <c r="AD1298" i="51"/>
  <c r="AC1298" i="51"/>
  <c r="AE1297" i="51"/>
  <c r="AD1297" i="51"/>
  <c r="AC1297" i="51"/>
  <c r="AE1296" i="51"/>
  <c r="AD1296" i="51"/>
  <c r="AC1296" i="51"/>
  <c r="AE1295" i="51"/>
  <c r="AD1295" i="51"/>
  <c r="AC1295" i="51"/>
  <c r="AE1294" i="51"/>
  <c r="AD1294" i="51"/>
  <c r="AC1294" i="51"/>
  <c r="AE1293" i="51"/>
  <c r="AD1293" i="51"/>
  <c r="AC1293" i="51"/>
  <c r="AE1292" i="51"/>
  <c r="AD1292" i="51"/>
  <c r="AC1292" i="51"/>
  <c r="AE1291" i="51"/>
  <c r="AD1291" i="51"/>
  <c r="AC1291" i="51"/>
  <c r="AE1290" i="51"/>
  <c r="AD1290" i="51"/>
  <c r="AC1290" i="51"/>
  <c r="AE1289" i="51"/>
  <c r="AD1289" i="51"/>
  <c r="AC1289" i="51"/>
  <c r="AE1288" i="51"/>
  <c r="AD1288" i="51"/>
  <c r="AC1288" i="51"/>
  <c r="AE1287" i="51"/>
  <c r="AD1287" i="51"/>
  <c r="AC1287" i="51"/>
  <c r="AE1286" i="51"/>
  <c r="AD1286" i="51"/>
  <c r="AC1286" i="51"/>
  <c r="AE1285" i="51"/>
  <c r="AD1285" i="51"/>
  <c r="AC1285" i="51"/>
  <c r="AE1284" i="51"/>
  <c r="AD1284" i="51"/>
  <c r="AC1284" i="51"/>
  <c r="AE1283" i="51"/>
  <c r="AD1283" i="51"/>
  <c r="AC1283" i="51"/>
  <c r="AE1282" i="51"/>
  <c r="AD1282" i="51"/>
  <c r="AC1282" i="51"/>
  <c r="AE1281" i="51"/>
  <c r="AD1281" i="51"/>
  <c r="AC1281" i="51"/>
  <c r="AE1280" i="51"/>
  <c r="AD1280" i="51"/>
  <c r="AC1280" i="51"/>
  <c r="AE1279" i="51"/>
  <c r="AD1279" i="51"/>
  <c r="AC1279" i="51"/>
  <c r="AE1278" i="51"/>
  <c r="AD1278" i="51"/>
  <c r="AC1278" i="51"/>
  <c r="AE1277" i="51"/>
  <c r="AD1277" i="51"/>
  <c r="AC1277" i="51"/>
  <c r="AE1276" i="51"/>
  <c r="AD1276" i="51"/>
  <c r="AC1276" i="51"/>
  <c r="AG1275" i="51"/>
  <c r="AF1275" i="51"/>
  <c r="AB1275" i="51"/>
  <c r="AG1274" i="51"/>
  <c r="AF1274" i="51"/>
  <c r="AB1274" i="51"/>
  <c r="AG1273" i="51"/>
  <c r="AF1273" i="51"/>
  <c r="AB1273" i="51"/>
  <c r="AG1272" i="51"/>
  <c r="AF1272" i="51"/>
  <c r="AB1272" i="51"/>
  <c r="AG1271" i="51"/>
  <c r="AF1271" i="51"/>
  <c r="AB1271" i="51"/>
  <c r="AG1270" i="51"/>
  <c r="AF1270" i="51"/>
  <c r="AB1270" i="51"/>
  <c r="AG1269" i="51"/>
  <c r="AF1269" i="51"/>
  <c r="AB1269" i="51"/>
  <c r="AG1268" i="51"/>
  <c r="AF1268" i="51"/>
  <c r="AB1268" i="51"/>
  <c r="AG1267" i="51"/>
  <c r="AF1267" i="51"/>
  <c r="AB1267" i="51"/>
  <c r="AG1266" i="51"/>
  <c r="AF1266" i="51"/>
  <c r="AB1266" i="51"/>
  <c r="AG1265" i="51"/>
  <c r="AF1265" i="51"/>
  <c r="AB1265" i="51"/>
  <c r="AG1264" i="51"/>
  <c r="AF1264" i="51"/>
  <c r="AB1264" i="51"/>
  <c r="AG1263" i="51"/>
  <c r="AF1263" i="51"/>
  <c r="AB1263" i="51"/>
  <c r="AG1262" i="51"/>
  <c r="AF1262" i="51"/>
  <c r="AB1262" i="51"/>
  <c r="AG1261" i="51"/>
  <c r="AF1261" i="51"/>
  <c r="AB1261" i="51"/>
  <c r="AG1260" i="51"/>
  <c r="AF1260" i="51"/>
  <c r="AB1260" i="51"/>
  <c r="AG1259" i="51"/>
  <c r="AF1259" i="51"/>
  <c r="AB1259" i="51"/>
  <c r="AG1258" i="51"/>
  <c r="AF1258" i="51"/>
  <c r="AB1258" i="51"/>
  <c r="AG1257" i="51"/>
  <c r="AF1257" i="51"/>
  <c r="AB1257" i="51"/>
  <c r="AG1256" i="51"/>
  <c r="AF1256" i="51"/>
  <c r="AB1256" i="51"/>
  <c r="AG1255" i="51"/>
  <c r="AF1255" i="51"/>
  <c r="AB1255" i="51"/>
  <c r="AG1254" i="51"/>
  <c r="AF1254" i="51"/>
  <c r="AB1254" i="51"/>
  <c r="AG1253" i="51"/>
  <c r="AF1253" i="51"/>
  <c r="AB1253" i="51"/>
  <c r="AG1252" i="51"/>
  <c r="AF1252" i="51"/>
  <c r="AB1252" i="51"/>
  <c r="AG1251" i="51"/>
  <c r="AF1251" i="51"/>
  <c r="AB1251" i="51"/>
  <c r="AG1250" i="51"/>
  <c r="AF1250" i="51"/>
  <c r="AB1250" i="51"/>
  <c r="AG1249" i="51"/>
  <c r="AF1249" i="51"/>
  <c r="AB1249" i="51"/>
  <c r="AG1248" i="51"/>
  <c r="AF1248" i="51"/>
  <c r="AB1248" i="51"/>
  <c r="AG1247" i="51"/>
  <c r="AF1247" i="51"/>
  <c r="AB1247" i="51"/>
  <c r="AG1246" i="51"/>
  <c r="AF1246" i="51"/>
  <c r="AB1246" i="51"/>
  <c r="AG1245" i="51"/>
  <c r="AF1245" i="51"/>
  <c r="AB1245" i="51"/>
  <c r="AG1244" i="51"/>
  <c r="AF1244" i="51"/>
  <c r="AB1244" i="51"/>
  <c r="AG1243" i="51"/>
  <c r="AF1243" i="51"/>
  <c r="AB1243" i="51"/>
  <c r="AG1242" i="51"/>
  <c r="AF1242" i="51"/>
  <c r="AB1242" i="51"/>
  <c r="AG1241" i="51"/>
  <c r="AF1241" i="51"/>
  <c r="AB1241" i="51"/>
  <c r="AG1240" i="51"/>
  <c r="AF1240" i="51"/>
  <c r="AB1240" i="51"/>
  <c r="AE1239" i="51"/>
  <c r="AD1239" i="51"/>
  <c r="AC1239" i="51"/>
  <c r="AE1238" i="51"/>
  <c r="AD1238" i="51"/>
  <c r="AC1238" i="51"/>
  <c r="AE1237" i="51"/>
  <c r="AD1237" i="51"/>
  <c r="AC1237" i="51"/>
  <c r="AE1236" i="51"/>
  <c r="AD1236" i="51"/>
  <c r="AC1236" i="51"/>
  <c r="AE1235" i="51"/>
  <c r="AD1235" i="51"/>
  <c r="AC1235" i="51"/>
  <c r="AE1234" i="51"/>
  <c r="AD1234" i="51"/>
  <c r="AC1234" i="51"/>
  <c r="AE1233" i="51"/>
  <c r="AD1233" i="51"/>
  <c r="AC1233" i="51"/>
  <c r="AE1232" i="51"/>
  <c r="AD1232" i="51"/>
  <c r="AC1232" i="51"/>
  <c r="AE1231" i="51"/>
  <c r="AD1231" i="51"/>
  <c r="AC1231" i="51"/>
  <c r="AE1230" i="51"/>
  <c r="AD1230" i="51"/>
  <c r="AC1230" i="51"/>
  <c r="AE1229" i="51"/>
  <c r="AD1229" i="51"/>
  <c r="AC1229" i="51"/>
  <c r="AE1228" i="51"/>
  <c r="AD1228" i="51"/>
  <c r="AC1228" i="51"/>
  <c r="AE1227" i="51"/>
  <c r="AD1227" i="51"/>
  <c r="AC1227" i="51"/>
  <c r="AE1226" i="51"/>
  <c r="AD1226" i="51"/>
  <c r="AC1226" i="51"/>
  <c r="AE1225" i="51"/>
  <c r="AD1225" i="51"/>
  <c r="AC1225" i="51"/>
  <c r="AE1224" i="51"/>
  <c r="AD1224" i="51"/>
  <c r="AC1224" i="51"/>
  <c r="AE1223" i="51"/>
  <c r="AD1223" i="51"/>
  <c r="AC1223" i="51"/>
  <c r="AE1222" i="51"/>
  <c r="AD1222" i="51"/>
  <c r="AC1222" i="51"/>
  <c r="AE1221" i="51"/>
  <c r="AD1221" i="51"/>
  <c r="AC1221" i="51"/>
  <c r="AE1220" i="51"/>
  <c r="AD1220" i="51"/>
  <c r="AC1220" i="51"/>
  <c r="AE1219" i="51"/>
  <c r="AD1219" i="51"/>
  <c r="AC1219" i="51"/>
  <c r="AE1218" i="51"/>
  <c r="AD1218" i="51"/>
  <c r="AC1218" i="51"/>
  <c r="AE1217" i="51"/>
  <c r="AD1217" i="51"/>
  <c r="AC1217" i="51"/>
  <c r="AE1216" i="51"/>
  <c r="AD1216" i="51"/>
  <c r="AC1216" i="51"/>
  <c r="AE1215" i="51"/>
  <c r="AD1215" i="51"/>
  <c r="AC1215" i="51"/>
  <c r="AE1214" i="51"/>
  <c r="AD1214" i="51"/>
  <c r="AC1214" i="51"/>
  <c r="AE1213" i="51"/>
  <c r="AD1213" i="51"/>
  <c r="AC1213" i="51"/>
  <c r="AE1212" i="51"/>
  <c r="AD1212" i="51"/>
  <c r="AC1212" i="51"/>
  <c r="AE1211" i="51"/>
  <c r="AD1211" i="51"/>
  <c r="AC1211" i="51"/>
  <c r="AE1210" i="51"/>
  <c r="AE1209" i="51"/>
  <c r="AE1208" i="51"/>
  <c r="AE1207" i="51"/>
  <c r="AE1206" i="51"/>
  <c r="AE1205" i="51"/>
  <c r="AE1204" i="51"/>
  <c r="AE1203" i="51"/>
  <c r="AE1202" i="51"/>
  <c r="AE1201" i="51"/>
  <c r="AE1200" i="51"/>
  <c r="AE1199" i="51"/>
  <c r="AE1198" i="51"/>
  <c r="AE1197" i="51"/>
  <c r="AE1196" i="51"/>
  <c r="AE1195" i="51"/>
  <c r="AE1194" i="51"/>
  <c r="AE1193" i="51"/>
  <c r="AE1192" i="51"/>
  <c r="AE1191" i="51"/>
  <c r="AE1190" i="51"/>
  <c r="AE1189" i="51"/>
  <c r="AE1188" i="51"/>
  <c r="AE1187" i="51"/>
  <c r="AE1186" i="51"/>
  <c r="AE1185" i="51"/>
  <c r="AE1184" i="51"/>
  <c r="AE1183" i="51"/>
  <c r="AE1182" i="51"/>
  <c r="AE1181" i="51"/>
  <c r="AE1180" i="51"/>
  <c r="AE1179" i="51"/>
  <c r="AE1178" i="51"/>
  <c r="AE1177" i="51"/>
  <c r="AE1176" i="51"/>
  <c r="AE1175" i="51"/>
  <c r="AE1174" i="51"/>
  <c r="AE1173" i="51"/>
  <c r="AE1172" i="51"/>
  <c r="AE1171" i="51"/>
  <c r="AE1170" i="51"/>
  <c r="AE1169" i="51"/>
  <c r="AE1168" i="51"/>
  <c r="AE1167" i="51"/>
  <c r="AE1166" i="51"/>
  <c r="AE1165" i="51"/>
  <c r="AE1164" i="51"/>
  <c r="AE1163" i="51"/>
  <c r="AE1162" i="51"/>
  <c r="AE1161" i="51"/>
  <c r="AE1160" i="51"/>
  <c r="AE1159" i="51"/>
  <c r="AE1158" i="51"/>
  <c r="AE1157" i="51"/>
  <c r="AE1156" i="51"/>
  <c r="AE1155" i="51"/>
  <c r="AE1154" i="51"/>
  <c r="AE1153" i="51"/>
  <c r="AE1152" i="51"/>
  <c r="AE1151" i="51"/>
  <c r="AE1150" i="51"/>
  <c r="AE1149" i="51"/>
  <c r="AE1148" i="51"/>
  <c r="AE1147" i="51"/>
  <c r="AG1146" i="51"/>
  <c r="AF1146" i="51"/>
  <c r="AG1145" i="51"/>
  <c r="AF1145" i="51"/>
  <c r="AG1144" i="51"/>
  <c r="AF1144" i="51"/>
  <c r="AG1143" i="51"/>
  <c r="AF1143" i="51"/>
  <c r="AG1142" i="51"/>
  <c r="AF1142" i="51"/>
  <c r="AG1141" i="51"/>
  <c r="AF1141" i="51"/>
  <c r="AG1140" i="51"/>
  <c r="AF1140" i="51"/>
  <c r="AG1139" i="51"/>
  <c r="AF1139" i="51"/>
  <c r="AG1138" i="51"/>
  <c r="AF1138" i="51"/>
  <c r="AG1137" i="51"/>
  <c r="AF1137" i="51"/>
  <c r="AG1136" i="51"/>
  <c r="AF1136" i="51"/>
  <c r="AG1135" i="51"/>
  <c r="AF1135" i="51"/>
  <c r="AG1134" i="51"/>
  <c r="AF1134" i="51"/>
  <c r="AG1133" i="51"/>
  <c r="AF1133" i="51"/>
  <c r="AG1132" i="51"/>
  <c r="AF1132" i="51"/>
  <c r="AG1131" i="51"/>
  <c r="AF1131" i="51"/>
  <c r="AG1130" i="51"/>
  <c r="AF1130" i="51"/>
  <c r="AG1129" i="51"/>
  <c r="AF1129" i="51"/>
  <c r="AG1128" i="51"/>
  <c r="AF1128" i="51"/>
  <c r="AG1127" i="51"/>
  <c r="AF1127" i="51"/>
  <c r="AG1126" i="51"/>
  <c r="AF1126" i="51"/>
  <c r="AG1125" i="51"/>
  <c r="AF1125" i="51"/>
  <c r="AG1124" i="51"/>
  <c r="AF1124" i="51"/>
  <c r="AG1123" i="51"/>
  <c r="AF1123" i="51"/>
  <c r="AG1122" i="51"/>
  <c r="AF1122" i="51"/>
  <c r="AG1121" i="51"/>
  <c r="AF1121" i="51"/>
  <c r="AE1120" i="51"/>
  <c r="AE1119" i="51"/>
  <c r="AE1118" i="51"/>
  <c r="AE1117" i="51"/>
  <c r="AE1116" i="51"/>
  <c r="AE1115" i="51"/>
  <c r="AE1114" i="51"/>
  <c r="AE1113" i="51"/>
  <c r="AE1112" i="51"/>
  <c r="AE1111" i="51"/>
  <c r="AE1110" i="51"/>
  <c r="AE1109" i="51"/>
  <c r="AE1108" i="51"/>
  <c r="AE1107" i="51"/>
  <c r="AE1106" i="51"/>
  <c r="AE1105" i="51"/>
  <c r="AE1104" i="51"/>
  <c r="AE1103" i="51"/>
  <c r="AE1102" i="51"/>
  <c r="AE1101" i="51"/>
  <c r="AE1100" i="51"/>
  <c r="AE1099" i="51"/>
  <c r="AE1098" i="51"/>
  <c r="AE1097" i="51"/>
  <c r="AE1096" i="51"/>
  <c r="AE1095" i="51"/>
  <c r="AE1094" i="51"/>
  <c r="AE1093" i="51"/>
  <c r="AE1092" i="51"/>
  <c r="AE1091" i="51"/>
  <c r="AE1090" i="51"/>
  <c r="AE1089" i="51"/>
  <c r="AE1088" i="51"/>
  <c r="AE1087" i="51"/>
  <c r="AE1086" i="51"/>
  <c r="AG1085" i="51"/>
  <c r="AE1085" i="51"/>
  <c r="AE1084" i="51"/>
  <c r="AE1083" i="51"/>
  <c r="AE1082" i="51"/>
  <c r="AG1081" i="51"/>
  <c r="AE1081" i="51"/>
  <c r="AE1080" i="51"/>
  <c r="AE1079" i="51"/>
  <c r="AG1078" i="51"/>
  <c r="AE1078" i="51"/>
  <c r="AE1077" i="51"/>
  <c r="AE1076" i="51"/>
  <c r="AG1075" i="51"/>
  <c r="AE1075" i="51"/>
  <c r="AE1074" i="51"/>
  <c r="AE1073" i="51"/>
  <c r="AE1072" i="51"/>
  <c r="AG1071" i="51"/>
  <c r="AE1071" i="51"/>
  <c r="AE1070" i="51"/>
  <c r="AE1069" i="51"/>
  <c r="AE1068" i="51"/>
  <c r="AG1067" i="51"/>
  <c r="AE1067" i="51"/>
  <c r="AE1066" i="51"/>
  <c r="AE1065" i="51"/>
  <c r="AE1064" i="51"/>
  <c r="AG1063" i="51"/>
  <c r="AE1063" i="51"/>
  <c r="AE1062" i="51"/>
  <c r="AE1061" i="51"/>
  <c r="AE1060" i="51"/>
  <c r="AG1059" i="51"/>
  <c r="AE1059" i="51"/>
  <c r="AE1058" i="51"/>
  <c r="AE1057" i="51"/>
  <c r="AE1056" i="51"/>
  <c r="AG1055" i="51"/>
  <c r="AE1055" i="51"/>
  <c r="AE1054" i="51"/>
  <c r="AE1053" i="51"/>
  <c r="AG1052" i="51"/>
  <c r="AE1052" i="51"/>
  <c r="AE1051" i="51"/>
  <c r="AE1050" i="51"/>
  <c r="AE1049" i="51"/>
  <c r="AG1048" i="51"/>
  <c r="AF1048" i="51"/>
  <c r="AG1047" i="51"/>
  <c r="AF1047" i="51"/>
  <c r="AG1046" i="51"/>
  <c r="AF1046" i="51"/>
  <c r="AG1045" i="51"/>
  <c r="AF1045" i="51"/>
  <c r="AG1044" i="51"/>
  <c r="AF1044" i="51"/>
  <c r="AG1043" i="51"/>
  <c r="AF1043" i="51"/>
  <c r="AG1042" i="51"/>
  <c r="AF1042" i="51"/>
  <c r="AG1041" i="51"/>
  <c r="AF1041" i="51"/>
  <c r="AG1040" i="51"/>
  <c r="AF1040" i="51"/>
  <c r="AG1039" i="51"/>
  <c r="AF1039" i="51"/>
  <c r="AG1038" i="51"/>
  <c r="AF1038" i="51"/>
  <c r="AG1037" i="51"/>
  <c r="AF1037" i="51"/>
  <c r="AG1036" i="51"/>
  <c r="AF1036" i="51"/>
  <c r="AG1035" i="51"/>
  <c r="AF1035" i="51"/>
  <c r="AG1034" i="51"/>
  <c r="AF1034" i="51"/>
  <c r="AG1033" i="51"/>
  <c r="AF1033" i="51"/>
  <c r="AG1032" i="51"/>
  <c r="AF1032" i="51"/>
  <c r="AG1031" i="51"/>
  <c r="AF1031" i="51"/>
  <c r="AG1030" i="51"/>
  <c r="AF1030" i="51"/>
  <c r="AG1029" i="51"/>
  <c r="AF1029" i="51"/>
  <c r="AG1028" i="51"/>
  <c r="AF1028" i="51"/>
  <c r="AG1027" i="51"/>
  <c r="AF1027" i="51"/>
  <c r="AG1026" i="51"/>
  <c r="AF1026" i="51"/>
  <c r="AG1025" i="51"/>
  <c r="AF1025" i="51"/>
  <c r="AG1024" i="51"/>
  <c r="AF1024" i="51"/>
  <c r="AG1023" i="51"/>
  <c r="AF1023" i="51"/>
  <c r="AG1022" i="51"/>
  <c r="AF1022" i="51"/>
  <c r="AG1021" i="51"/>
  <c r="AF1021" i="51"/>
  <c r="AG1020" i="51"/>
  <c r="AF1020" i="51"/>
  <c r="AG1019" i="51"/>
  <c r="AF1019" i="51"/>
  <c r="AG1018" i="51"/>
  <c r="AF1018" i="51"/>
  <c r="AG1017" i="51"/>
  <c r="AF1017" i="51"/>
  <c r="AG1016" i="51"/>
  <c r="AF1016" i="51"/>
  <c r="AG1015" i="51"/>
  <c r="AF1015" i="51"/>
  <c r="AG1014" i="51"/>
  <c r="AF1014" i="51"/>
  <c r="AG1013" i="51"/>
  <c r="AF1013" i="51"/>
  <c r="AG1012" i="51"/>
  <c r="AF1012" i="51"/>
  <c r="AG1011" i="51"/>
  <c r="AF1011" i="51"/>
  <c r="AG1010" i="51"/>
  <c r="AF1010" i="51"/>
  <c r="AE1009" i="51"/>
  <c r="AE1008" i="51"/>
  <c r="AE1007" i="51"/>
  <c r="AE1006" i="51"/>
  <c r="AE1005" i="51"/>
  <c r="AE1004" i="51"/>
  <c r="AG1003" i="51"/>
  <c r="AE1003" i="51"/>
  <c r="AE1002" i="51"/>
  <c r="AE1001" i="51"/>
  <c r="AE1000" i="51"/>
  <c r="AG999" i="51"/>
  <c r="AE999" i="51"/>
  <c r="AE998" i="51"/>
  <c r="AE997" i="51"/>
  <c r="AG996" i="51"/>
  <c r="AE996" i="51"/>
  <c r="AE995" i="51"/>
  <c r="AE994" i="51"/>
  <c r="AG993" i="51"/>
  <c r="AE993" i="51"/>
  <c r="AE992" i="51"/>
  <c r="AE991" i="51"/>
  <c r="AE990" i="51"/>
  <c r="AG989" i="51"/>
  <c r="AE989" i="51"/>
  <c r="AE988" i="51"/>
  <c r="AE987" i="51"/>
  <c r="AE986" i="51"/>
  <c r="AE985" i="51"/>
  <c r="AG984" i="51"/>
  <c r="AE984" i="51"/>
  <c r="AE983" i="51"/>
  <c r="AE982" i="51"/>
  <c r="AE981" i="51"/>
  <c r="AG980" i="51"/>
  <c r="AE980" i="51"/>
  <c r="AE979" i="51"/>
  <c r="AE978" i="51"/>
  <c r="AE977" i="51"/>
  <c r="AG976" i="51"/>
  <c r="AE976" i="51"/>
  <c r="AE975" i="51"/>
  <c r="AE974" i="51"/>
  <c r="AE973" i="51"/>
  <c r="AG972" i="51"/>
  <c r="AE972" i="51"/>
  <c r="AE971" i="51"/>
  <c r="AE970" i="51"/>
  <c r="AG969" i="51"/>
  <c r="AE969" i="51"/>
  <c r="AE968" i="51"/>
  <c r="AE967" i="51"/>
  <c r="AE966" i="51"/>
  <c r="AG965" i="51"/>
  <c r="AE965" i="51"/>
  <c r="AG964" i="51"/>
  <c r="AE964" i="51"/>
  <c r="AG963" i="51"/>
  <c r="AE963" i="51"/>
  <c r="AG962" i="51"/>
  <c r="AE962" i="51"/>
  <c r="AG961" i="51"/>
  <c r="AE961" i="51"/>
  <c r="AG960" i="51"/>
  <c r="AE960" i="51"/>
  <c r="AG959" i="51"/>
  <c r="AE959" i="51"/>
  <c r="AG958" i="51"/>
  <c r="AE958" i="51"/>
  <c r="AG957" i="51"/>
  <c r="AE957" i="51"/>
  <c r="AG956" i="51"/>
  <c r="AE956" i="51"/>
  <c r="AG955" i="51"/>
  <c r="AE955" i="51"/>
  <c r="AG954" i="51"/>
  <c r="AE954" i="51"/>
  <c r="AG953" i="51"/>
  <c r="AF953" i="51"/>
  <c r="AG952" i="51"/>
  <c r="AF952" i="51"/>
  <c r="AG951" i="51"/>
  <c r="AF951" i="51"/>
  <c r="AG950" i="51"/>
  <c r="AF950" i="51"/>
  <c r="AG949" i="51"/>
  <c r="AF949" i="51"/>
  <c r="AG948" i="51"/>
  <c r="AF948" i="51"/>
  <c r="AG947" i="51"/>
  <c r="AF947" i="51"/>
  <c r="AG946" i="51"/>
  <c r="AF946" i="51"/>
  <c r="AG945" i="51"/>
  <c r="AF945" i="51"/>
  <c r="AG944" i="51"/>
  <c r="AF944" i="51"/>
  <c r="AG943" i="51"/>
  <c r="AF943" i="51"/>
  <c r="AG942" i="51"/>
  <c r="AF942" i="51"/>
  <c r="AG941" i="51"/>
  <c r="AE941" i="51"/>
  <c r="AG940" i="51"/>
  <c r="AE940" i="51"/>
  <c r="AG939" i="51"/>
  <c r="AE939" i="51"/>
  <c r="AG938" i="51"/>
  <c r="AE938" i="51"/>
  <c r="AG937" i="51"/>
  <c r="AE937" i="51"/>
  <c r="AG936" i="51"/>
  <c r="AE936" i="51"/>
  <c r="AG935" i="51"/>
  <c r="AE935" i="51"/>
  <c r="AG934" i="51"/>
  <c r="AE934" i="51"/>
  <c r="AG933" i="51"/>
  <c r="AE933" i="51"/>
  <c r="AG932" i="51"/>
  <c r="AE932" i="51"/>
  <c r="AG931" i="51"/>
  <c r="AE931" i="51"/>
  <c r="AG930" i="51"/>
  <c r="AE930" i="51"/>
  <c r="AG929" i="51"/>
  <c r="AE929" i="51"/>
  <c r="AG928" i="51"/>
  <c r="AE928" i="51"/>
  <c r="AG927" i="51"/>
  <c r="AE927" i="51"/>
  <c r="AG926" i="51"/>
  <c r="AE926" i="51"/>
  <c r="AG925" i="51"/>
  <c r="AE925" i="51"/>
  <c r="AG924" i="51"/>
  <c r="AE924" i="51"/>
  <c r="AG923" i="51"/>
  <c r="AE923" i="51"/>
  <c r="AG922" i="51"/>
  <c r="AE922" i="51"/>
  <c r="AG921" i="51"/>
  <c r="AE921" i="51"/>
  <c r="AG920" i="51"/>
  <c r="AE920" i="51"/>
  <c r="AG919" i="51"/>
  <c r="AE919" i="51"/>
  <c r="AG918" i="51"/>
  <c r="AE918" i="51"/>
  <c r="AG917" i="51"/>
  <c r="AE917" i="51"/>
  <c r="AG916" i="51"/>
  <c r="AE916" i="51"/>
  <c r="AG915" i="51"/>
  <c r="AE915" i="51"/>
  <c r="AG914" i="51"/>
  <c r="AE914" i="51"/>
  <c r="AG913" i="51"/>
  <c r="AE913" i="51"/>
  <c r="AG912" i="51"/>
  <c r="AE912" i="51"/>
  <c r="AG911" i="51"/>
  <c r="AE911" i="51"/>
  <c r="AG910" i="51"/>
  <c r="AE910" i="51"/>
  <c r="AG909" i="51"/>
  <c r="AE909" i="51"/>
  <c r="AG908" i="51"/>
  <c r="AE908" i="51"/>
  <c r="AG907" i="51"/>
  <c r="AE907" i="51"/>
  <c r="AG906" i="51"/>
  <c r="AE906" i="51"/>
  <c r="AE905" i="51"/>
  <c r="AE904" i="51"/>
  <c r="AE903" i="51"/>
  <c r="AE902" i="51"/>
  <c r="AE901" i="51"/>
  <c r="AE900" i="51"/>
  <c r="AE899" i="51"/>
  <c r="AE898" i="51"/>
  <c r="AE897" i="51"/>
  <c r="AE896" i="51"/>
  <c r="AE895" i="51"/>
  <c r="AE894" i="51"/>
  <c r="AG893" i="51"/>
  <c r="AF893" i="51"/>
  <c r="AG892" i="51"/>
  <c r="AF892" i="51"/>
  <c r="AG891" i="51"/>
  <c r="AF891" i="51"/>
  <c r="AG890" i="51"/>
  <c r="AF890" i="51"/>
  <c r="AG889" i="51"/>
  <c r="AF889" i="51"/>
  <c r="AG888" i="51"/>
  <c r="AF888" i="51"/>
  <c r="AG887" i="51"/>
  <c r="AF887" i="51"/>
  <c r="AG886" i="51"/>
  <c r="AF886" i="51"/>
  <c r="AG885" i="51"/>
  <c r="AF885" i="51"/>
  <c r="AG884" i="51"/>
  <c r="AF884" i="51"/>
  <c r="AG883" i="51"/>
  <c r="AF883" i="51"/>
  <c r="AG882" i="51"/>
  <c r="AF882" i="51"/>
  <c r="AE881" i="51"/>
  <c r="AE880" i="51"/>
  <c r="AE879" i="51"/>
  <c r="AE878" i="51"/>
  <c r="AE877" i="51"/>
  <c r="AE876" i="51"/>
  <c r="AE875" i="51"/>
  <c r="AE874" i="51"/>
  <c r="AE873" i="51"/>
  <c r="AE872" i="51"/>
  <c r="AE871" i="51"/>
  <c r="AE870" i="51"/>
  <c r="AE869" i="51"/>
  <c r="AE868" i="51"/>
  <c r="AE867" i="51"/>
  <c r="AE866" i="51"/>
  <c r="AE865" i="51"/>
  <c r="AE864" i="51"/>
  <c r="AE863" i="51"/>
  <c r="AE862" i="51"/>
  <c r="AE861" i="51"/>
  <c r="AE860" i="51"/>
  <c r="AE859" i="51"/>
  <c r="AE858" i="51"/>
  <c r="AE857" i="51"/>
  <c r="AE856" i="51"/>
  <c r="AE855" i="51"/>
  <c r="AE854" i="51"/>
  <c r="AE853" i="51"/>
  <c r="AE852" i="51"/>
  <c r="AE851" i="51"/>
  <c r="AE850" i="51"/>
  <c r="AE849" i="51"/>
  <c r="AE848" i="51"/>
  <c r="AE847" i="51"/>
  <c r="AG846" i="51"/>
  <c r="AE846" i="51"/>
  <c r="AE845" i="51"/>
  <c r="AE844" i="51"/>
  <c r="AE843" i="51"/>
  <c r="AG842" i="51"/>
  <c r="AE842" i="51"/>
  <c r="AE841" i="51"/>
  <c r="AE840" i="51"/>
  <c r="AE839" i="51"/>
  <c r="AG838" i="51"/>
  <c r="AE838" i="51"/>
  <c r="AE837" i="51"/>
  <c r="AE836" i="51"/>
  <c r="AE835" i="51"/>
  <c r="AG834" i="51"/>
  <c r="AE834" i="51"/>
  <c r="AE833" i="51"/>
  <c r="AE832" i="51"/>
  <c r="AG831" i="51"/>
  <c r="AE831" i="51"/>
  <c r="AE830" i="51"/>
  <c r="AE829" i="51"/>
  <c r="AE828" i="51"/>
  <c r="AG827" i="51"/>
  <c r="AF827" i="51"/>
  <c r="AG826" i="51"/>
  <c r="AF826" i="51"/>
  <c r="AG825" i="51"/>
  <c r="AF825" i="51"/>
  <c r="AG824" i="51"/>
  <c r="AF824" i="51"/>
  <c r="AG823" i="51"/>
  <c r="AF823" i="51"/>
  <c r="AG822" i="51"/>
  <c r="AF822" i="51"/>
  <c r="AG821" i="51"/>
  <c r="AF821" i="51"/>
  <c r="AG820" i="51"/>
  <c r="AF820" i="51"/>
  <c r="AG819" i="51"/>
  <c r="AF819" i="51"/>
  <c r="AG818" i="51"/>
  <c r="AF818" i="51"/>
  <c r="AG817" i="51"/>
  <c r="AF817" i="51"/>
  <c r="AG816" i="51"/>
  <c r="AF816" i="51"/>
  <c r="AG815" i="51"/>
  <c r="AF815" i="51"/>
  <c r="AG814" i="51"/>
  <c r="AF814" i="51"/>
  <c r="AG813" i="51"/>
  <c r="AF813" i="51"/>
  <c r="AG812" i="51"/>
  <c r="AF812" i="51"/>
  <c r="AG811" i="51"/>
  <c r="AF811" i="51"/>
  <c r="AG810" i="51"/>
  <c r="AF810" i="51"/>
  <c r="AG809" i="51"/>
  <c r="AF809" i="51"/>
  <c r="AG808" i="51"/>
  <c r="AF808" i="51"/>
  <c r="AG807" i="51"/>
  <c r="AF807" i="51"/>
  <c r="AG806" i="51"/>
  <c r="AF806" i="51"/>
  <c r="AG805" i="51"/>
  <c r="AF805" i="51"/>
  <c r="AG804" i="51"/>
  <c r="AF804" i="51"/>
  <c r="AG803" i="51"/>
  <c r="AF803" i="51"/>
  <c r="AG802" i="51"/>
  <c r="AF802" i="51"/>
  <c r="AG801" i="51"/>
  <c r="AF801" i="51"/>
  <c r="AG800" i="51"/>
  <c r="AF800" i="51"/>
  <c r="AG799" i="51"/>
  <c r="AF799" i="51"/>
  <c r="AG798" i="51"/>
  <c r="AF798" i="51"/>
  <c r="AG797" i="51"/>
  <c r="AF797" i="51"/>
  <c r="AG796" i="51"/>
  <c r="AF796" i="51"/>
  <c r="AG795" i="51"/>
  <c r="AF795" i="51"/>
  <c r="AG794" i="51"/>
  <c r="AF794" i="51"/>
  <c r="AG793" i="51"/>
  <c r="AF793" i="51"/>
  <c r="AG792" i="51"/>
  <c r="AF792" i="51"/>
  <c r="AG791" i="51"/>
  <c r="AF791" i="51"/>
  <c r="AG790" i="51"/>
  <c r="AF790" i="51"/>
  <c r="AG789" i="51"/>
  <c r="AF789" i="51"/>
  <c r="AG788" i="51"/>
  <c r="AF788" i="51"/>
  <c r="AE787" i="51"/>
  <c r="AE786" i="51"/>
  <c r="AE785" i="51"/>
  <c r="AE784" i="51"/>
  <c r="AE783" i="51"/>
  <c r="AE782" i="51"/>
  <c r="AE781" i="51"/>
  <c r="AE780" i="51"/>
  <c r="AE779" i="51"/>
  <c r="AE778" i="51"/>
  <c r="AE777" i="51"/>
  <c r="AE776" i="51"/>
  <c r="AE775" i="51"/>
  <c r="AE774" i="51"/>
  <c r="AE773" i="51"/>
  <c r="AE772" i="51"/>
  <c r="AE771" i="51"/>
  <c r="AE770" i="51"/>
  <c r="AE769" i="51"/>
  <c r="AE768" i="51"/>
  <c r="AE767" i="51"/>
  <c r="AE766" i="51"/>
  <c r="AE765" i="51"/>
  <c r="AE764" i="51"/>
  <c r="AG763" i="51"/>
  <c r="AE763" i="51"/>
  <c r="AE762" i="51"/>
  <c r="AE761" i="51"/>
  <c r="AE760" i="51"/>
  <c r="AG759" i="51"/>
  <c r="AE759" i="51"/>
  <c r="AE758" i="51"/>
  <c r="AE757" i="51"/>
  <c r="AE756" i="51"/>
  <c r="AG755" i="51"/>
  <c r="AE755" i="51"/>
  <c r="AE754" i="51"/>
  <c r="AE753" i="51"/>
  <c r="AE752" i="51"/>
  <c r="AG751" i="51"/>
  <c r="AE751" i="51"/>
  <c r="AE750" i="51"/>
  <c r="AE749" i="51"/>
  <c r="AE748" i="51"/>
  <c r="AG747" i="51"/>
  <c r="AE747" i="51"/>
  <c r="AE746" i="51"/>
  <c r="AE745" i="51"/>
  <c r="AE744" i="51"/>
  <c r="AG743" i="51"/>
  <c r="AF743" i="51"/>
  <c r="AG742" i="51"/>
  <c r="AF742" i="51"/>
  <c r="AG741" i="51"/>
  <c r="AF741" i="51"/>
  <c r="AG740" i="51"/>
  <c r="AF740" i="51"/>
  <c r="AG739" i="51"/>
  <c r="AF739" i="51"/>
  <c r="AG738" i="51"/>
  <c r="AF738" i="51"/>
  <c r="AG737" i="51"/>
  <c r="AF737" i="51"/>
  <c r="AG736" i="51"/>
  <c r="AF736" i="51"/>
  <c r="AG735" i="51"/>
  <c r="AF735" i="51"/>
  <c r="AG734" i="51"/>
  <c r="AF734" i="51"/>
  <c r="AG733" i="51"/>
  <c r="AF733" i="51"/>
  <c r="AG732" i="51"/>
  <c r="AF732" i="51"/>
  <c r="AG731" i="51"/>
  <c r="AF731" i="51"/>
  <c r="AG730" i="51"/>
  <c r="AF730" i="51"/>
  <c r="AG729" i="51"/>
  <c r="AF729" i="51"/>
  <c r="AG728" i="51"/>
  <c r="AF728" i="51"/>
  <c r="AG727" i="51"/>
  <c r="AF727" i="51"/>
  <c r="AG726" i="51"/>
  <c r="AF726" i="51"/>
  <c r="AG725" i="51"/>
  <c r="AF725" i="51"/>
  <c r="AG724" i="51"/>
  <c r="AF724" i="51"/>
  <c r="AG723" i="51"/>
  <c r="AF723" i="51"/>
  <c r="AG722" i="51"/>
  <c r="AF722" i="51"/>
  <c r="AG721" i="51"/>
  <c r="AF721" i="51"/>
  <c r="AG720" i="51"/>
  <c r="AF720" i="51"/>
  <c r="AG719" i="51"/>
  <c r="AF719" i="51"/>
  <c r="AG718" i="51"/>
  <c r="AF718" i="51"/>
  <c r="AG717" i="51"/>
  <c r="AF717" i="51"/>
  <c r="AG716" i="51"/>
  <c r="AF716" i="51"/>
  <c r="AG715" i="51"/>
  <c r="AF715" i="51"/>
  <c r="AG714" i="51"/>
  <c r="AF714" i="51"/>
  <c r="AG713" i="51"/>
  <c r="AF713" i="51"/>
  <c r="AG712" i="51"/>
  <c r="AF712" i="51"/>
  <c r="AG711" i="51"/>
  <c r="AF711" i="51"/>
  <c r="AG710" i="51"/>
  <c r="AF710" i="51"/>
  <c r="AG709" i="51"/>
  <c r="AF709" i="51"/>
  <c r="AG708" i="51"/>
  <c r="AF708" i="51"/>
  <c r="AG707" i="51"/>
  <c r="AF707" i="51"/>
  <c r="AG706" i="51"/>
  <c r="AF706" i="51"/>
  <c r="AG705" i="51"/>
  <c r="AF705" i="51"/>
  <c r="AG704" i="51"/>
  <c r="AF704" i="51"/>
  <c r="AG703" i="51"/>
  <c r="AF703" i="51"/>
  <c r="AG702" i="51"/>
  <c r="AF702" i="51"/>
  <c r="AG701" i="51"/>
  <c r="AF701" i="51"/>
  <c r="AG700" i="51"/>
  <c r="AF700" i="51"/>
  <c r="AG699" i="51"/>
  <c r="AF699" i="51"/>
  <c r="AG698" i="51"/>
  <c r="AF698" i="51"/>
  <c r="AG697" i="51"/>
  <c r="AF697" i="51"/>
  <c r="AG696" i="51"/>
  <c r="AF696" i="51"/>
  <c r="AG695" i="51"/>
  <c r="AF695" i="51"/>
  <c r="AG694" i="51"/>
  <c r="AF694" i="51"/>
  <c r="AG693" i="51"/>
  <c r="AF693" i="51"/>
  <c r="AG692" i="51"/>
  <c r="AF692" i="51"/>
  <c r="AG691" i="51"/>
  <c r="AF691" i="51"/>
  <c r="AG690" i="51"/>
  <c r="AF690" i="51"/>
  <c r="AG689" i="51"/>
  <c r="AF689" i="51"/>
  <c r="AG688" i="51"/>
  <c r="AF688" i="51"/>
  <c r="AG687" i="51"/>
  <c r="AF687" i="51"/>
  <c r="AG686" i="51"/>
  <c r="AF686" i="51"/>
  <c r="AG685" i="51"/>
  <c r="AF685" i="51"/>
  <c r="AG684" i="51"/>
  <c r="AF684" i="51"/>
  <c r="AG683" i="51"/>
  <c r="AF683" i="51"/>
  <c r="AG682" i="51"/>
  <c r="AF682" i="51"/>
  <c r="AG681" i="51"/>
  <c r="AF681" i="51"/>
  <c r="AG680" i="51"/>
  <c r="AF680" i="51"/>
  <c r="AG679" i="51"/>
  <c r="AF679" i="51"/>
  <c r="AG678" i="51"/>
  <c r="AF678" i="51"/>
  <c r="AG677" i="51"/>
  <c r="AF677" i="51"/>
  <c r="AG676" i="51"/>
  <c r="AF676" i="51"/>
  <c r="AG675" i="51"/>
  <c r="AF675" i="51"/>
  <c r="AG674" i="51"/>
  <c r="AF674" i="51"/>
  <c r="AG673" i="51"/>
  <c r="AF673" i="51"/>
  <c r="AG672" i="51"/>
  <c r="AF672" i="51"/>
  <c r="AG671" i="51"/>
  <c r="AF671" i="51"/>
  <c r="AG670" i="51"/>
  <c r="AF670" i="51"/>
  <c r="AG669" i="51"/>
  <c r="AF669" i="51"/>
  <c r="AG668" i="51"/>
  <c r="AF668" i="51"/>
  <c r="AG667" i="51"/>
  <c r="AF667" i="51"/>
  <c r="AG666" i="51"/>
  <c r="AF666" i="51"/>
  <c r="AG665" i="51"/>
  <c r="AF665" i="51"/>
  <c r="AG664" i="51"/>
  <c r="AF664" i="51"/>
  <c r="AG663" i="51"/>
  <c r="AF663" i="51"/>
  <c r="AG662" i="51"/>
  <c r="AF662" i="51"/>
  <c r="AG661" i="51"/>
  <c r="AF661" i="51"/>
  <c r="AG660" i="51"/>
  <c r="AF660" i="51"/>
  <c r="AG659" i="51"/>
  <c r="AF659" i="51"/>
  <c r="AG658" i="51"/>
  <c r="AF658" i="51"/>
  <c r="AG657" i="51"/>
  <c r="AF657" i="51"/>
  <c r="AG656" i="51"/>
  <c r="AF656" i="51"/>
  <c r="AG655" i="51"/>
  <c r="AF655" i="51"/>
  <c r="AG654" i="51"/>
  <c r="AF654" i="51"/>
  <c r="AG653" i="51"/>
  <c r="AF653" i="51"/>
  <c r="AG652" i="51"/>
  <c r="AF652" i="51"/>
  <c r="AG651" i="51"/>
  <c r="AF651" i="51"/>
  <c r="AG650" i="51"/>
  <c r="AF650" i="51"/>
  <c r="AG649" i="51"/>
  <c r="AF649" i="51"/>
  <c r="AG648" i="51"/>
  <c r="AF648" i="51"/>
  <c r="AG647" i="51"/>
  <c r="AF647" i="51"/>
  <c r="AG646" i="51"/>
  <c r="AF646" i="51"/>
  <c r="AG645" i="51"/>
  <c r="AF645" i="51"/>
  <c r="AG644" i="51"/>
  <c r="AF644" i="51"/>
  <c r="AG643" i="51"/>
  <c r="AG642" i="51"/>
  <c r="AG641" i="51"/>
  <c r="AG640" i="51"/>
  <c r="AG639" i="51"/>
  <c r="AG638" i="51"/>
  <c r="AG637" i="51"/>
  <c r="AG636" i="51"/>
  <c r="AG635" i="51"/>
  <c r="AG634" i="51"/>
  <c r="AG633" i="51"/>
  <c r="AG632" i="51"/>
  <c r="AG631" i="51"/>
  <c r="AG630" i="51"/>
  <c r="AG629" i="51"/>
  <c r="AG628" i="51"/>
  <c r="AG627" i="51"/>
  <c r="AG626" i="51"/>
  <c r="AG625" i="51"/>
  <c r="AG624" i="51"/>
  <c r="AG623" i="51"/>
  <c r="AG622" i="51"/>
  <c r="AG621" i="51"/>
  <c r="AG620" i="51"/>
  <c r="AG619" i="51"/>
  <c r="AG618" i="51"/>
  <c r="AG617" i="51"/>
  <c r="AG616" i="51"/>
  <c r="AG615" i="51"/>
  <c r="AG614" i="51"/>
  <c r="AG613" i="51"/>
  <c r="AG612" i="51"/>
  <c r="AG611" i="51"/>
  <c r="AG610" i="51"/>
  <c r="AG609" i="51"/>
  <c r="AG608" i="51"/>
  <c r="AG607" i="51"/>
  <c r="AG606" i="51"/>
  <c r="AG605" i="51"/>
  <c r="AG604" i="51"/>
  <c r="AG603" i="51"/>
  <c r="AG602" i="51"/>
  <c r="AG601" i="51"/>
  <c r="AG600" i="51"/>
  <c r="AG599" i="51"/>
  <c r="AG598" i="51"/>
  <c r="AG597" i="51"/>
  <c r="AG596" i="51"/>
  <c r="AG595" i="51"/>
  <c r="AG594" i="51"/>
  <c r="AG593" i="51"/>
  <c r="AG592" i="51"/>
  <c r="AG591" i="51"/>
  <c r="AG590" i="51"/>
  <c r="AG589" i="51"/>
  <c r="AG588" i="51"/>
  <c r="AG587" i="51"/>
  <c r="AG586" i="51"/>
  <c r="AG585" i="51"/>
  <c r="AG584" i="51"/>
  <c r="AG583" i="51"/>
  <c r="AG582" i="51"/>
  <c r="AG581" i="51"/>
  <c r="AG580" i="51"/>
  <c r="AG579" i="51"/>
  <c r="AG578" i="51"/>
  <c r="AG577" i="51"/>
  <c r="AG576" i="51"/>
  <c r="AG575" i="51"/>
  <c r="AG574" i="51"/>
  <c r="AG573" i="51"/>
  <c r="AG572" i="51"/>
  <c r="AD571" i="51"/>
  <c r="AC571" i="51"/>
  <c r="AB571" i="51"/>
  <c r="AD570" i="51"/>
  <c r="AC570" i="51"/>
  <c r="AB570" i="51"/>
  <c r="AD569" i="51"/>
  <c r="AC569" i="51"/>
  <c r="AB569" i="51"/>
  <c r="AD568" i="51"/>
  <c r="AC568" i="51"/>
  <c r="AB568" i="51"/>
  <c r="AD567" i="51"/>
  <c r="AC567" i="51"/>
  <c r="AB567" i="51"/>
  <c r="AD566" i="51"/>
  <c r="AC566" i="51"/>
  <c r="AB566" i="51"/>
  <c r="AD565" i="51"/>
  <c r="AC565" i="51"/>
  <c r="AB565" i="51"/>
  <c r="AD564" i="51"/>
  <c r="AC564" i="51"/>
  <c r="AB564" i="51"/>
  <c r="AD563" i="51"/>
  <c r="AC563" i="51"/>
  <c r="AB563" i="51"/>
  <c r="AD562" i="51"/>
  <c r="AC562" i="51"/>
  <c r="AB562" i="51"/>
  <c r="AD561" i="51"/>
  <c r="AC561" i="51"/>
  <c r="AB561" i="51"/>
  <c r="AD560" i="51"/>
  <c r="AC560" i="51"/>
  <c r="AB560" i="51"/>
  <c r="AD559" i="51"/>
  <c r="AC559" i="51"/>
  <c r="AB559" i="51"/>
  <c r="AD558" i="51"/>
  <c r="AC558" i="51"/>
  <c r="AB558" i="51"/>
  <c r="AD557" i="51"/>
  <c r="AC557" i="51"/>
  <c r="AB557" i="51"/>
  <c r="AD556" i="51"/>
  <c r="AC556" i="51"/>
  <c r="AB556" i="51"/>
  <c r="AD555" i="51"/>
  <c r="AC555" i="51"/>
  <c r="AB555" i="51"/>
  <c r="AD554" i="51"/>
  <c r="AC554" i="51"/>
  <c r="AB554" i="51"/>
  <c r="AD553" i="51"/>
  <c r="AB553" i="51"/>
  <c r="AD552" i="51"/>
  <c r="AC552" i="51"/>
  <c r="AB552" i="51"/>
  <c r="AD551" i="51"/>
  <c r="AC551" i="51"/>
  <c r="AB551" i="51"/>
  <c r="AD550" i="51"/>
  <c r="AC550" i="51"/>
  <c r="AB550" i="51"/>
  <c r="AD549" i="51"/>
  <c r="AC549" i="51"/>
  <c r="AB549" i="51"/>
  <c r="AD548" i="51"/>
  <c r="AC548" i="51"/>
  <c r="AB548" i="51"/>
  <c r="AG479" i="51"/>
  <c r="AG476" i="51"/>
  <c r="AG473" i="51"/>
  <c r="AG470" i="51"/>
  <c r="AE470" i="51"/>
  <c r="AG469" i="51"/>
  <c r="AE469" i="51"/>
  <c r="AG468" i="51"/>
  <c r="AE468" i="51"/>
  <c r="AG449" i="51"/>
  <c r="AG446" i="51"/>
  <c r="AG443" i="51"/>
  <c r="AG440" i="51"/>
  <c r="AG439" i="51"/>
  <c r="AG438" i="51"/>
  <c r="AG437" i="51"/>
  <c r="AG436" i="51"/>
  <c r="AG435" i="51"/>
  <c r="AG434" i="51"/>
  <c r="AG433" i="51"/>
  <c r="AG432" i="51"/>
  <c r="AG431" i="51"/>
  <c r="AG430" i="51"/>
  <c r="AG429" i="51"/>
  <c r="AG428" i="51"/>
  <c r="AG427" i="51"/>
  <c r="AE427" i="51"/>
  <c r="AG426" i="51"/>
  <c r="AE426" i="51"/>
  <c r="AG425" i="51"/>
  <c r="AE425" i="51"/>
  <c r="AG424" i="51"/>
  <c r="AE424" i="51"/>
  <c r="AG423" i="51"/>
  <c r="AE423" i="51"/>
  <c r="AG422" i="51"/>
  <c r="AE422" i="51"/>
  <c r="AG421" i="51"/>
  <c r="AE421" i="51"/>
  <c r="AG420" i="51"/>
  <c r="AE420" i="51"/>
  <c r="AG419" i="51"/>
  <c r="AE419" i="51"/>
  <c r="AG418" i="51"/>
  <c r="AE418" i="51"/>
  <c r="AG417" i="51"/>
  <c r="AE417" i="51"/>
  <c r="AG416" i="51"/>
  <c r="AE416" i="51"/>
  <c r="AG415" i="51"/>
  <c r="AG414" i="51"/>
  <c r="AG413" i="51"/>
  <c r="AG412" i="51"/>
  <c r="AG411" i="51"/>
  <c r="AG410" i="51"/>
  <c r="AG409" i="51"/>
  <c r="AG408" i="51"/>
  <c r="AG407" i="51"/>
  <c r="AG406" i="51"/>
  <c r="AG405" i="51"/>
  <c r="AG404" i="51"/>
  <c r="AG403" i="51"/>
  <c r="AG377" i="51"/>
  <c r="AG373" i="51"/>
  <c r="AE373" i="51"/>
  <c r="AG344" i="51"/>
  <c r="AG340" i="51"/>
  <c r="AF340" i="51"/>
  <c r="AG339" i="51"/>
  <c r="AF339" i="51"/>
  <c r="AG338" i="51"/>
  <c r="AF338" i="51"/>
  <c r="AG337" i="51"/>
  <c r="AF337" i="51"/>
  <c r="AG336" i="51"/>
  <c r="AF336" i="51"/>
  <c r="AG335" i="51"/>
  <c r="AF335" i="51"/>
  <c r="AG334" i="51"/>
  <c r="AF334" i="51"/>
  <c r="AG333" i="51"/>
  <c r="AF333" i="51"/>
  <c r="AG332" i="51"/>
  <c r="AF332" i="51"/>
  <c r="AG331" i="51"/>
  <c r="AF331" i="51"/>
  <c r="AG330" i="51"/>
  <c r="AF330" i="51"/>
  <c r="AG329" i="51"/>
  <c r="AF329" i="51"/>
  <c r="AG328" i="51"/>
  <c r="AF328" i="51"/>
  <c r="AG327" i="51"/>
  <c r="AF327" i="51"/>
  <c r="AG326" i="51"/>
  <c r="AF326" i="51"/>
  <c r="AG325" i="51"/>
  <c r="AF325" i="51"/>
  <c r="AG324" i="51"/>
  <c r="AF324" i="51"/>
  <c r="AG323" i="51"/>
  <c r="AF323" i="51"/>
  <c r="AG322" i="51"/>
  <c r="AF322" i="51"/>
  <c r="AG321" i="51"/>
  <c r="AF321" i="51"/>
  <c r="AG320" i="51"/>
  <c r="AF320" i="51"/>
  <c r="AG319" i="51"/>
  <c r="AF319" i="51"/>
  <c r="AG318" i="51"/>
  <c r="AF318" i="51"/>
  <c r="AG317" i="51"/>
  <c r="AF317" i="51"/>
  <c r="AG316" i="51"/>
  <c r="AF316" i="51"/>
  <c r="AG315" i="51"/>
  <c r="AF315" i="51"/>
  <c r="AG314" i="51"/>
  <c r="AF314" i="51"/>
  <c r="AG313" i="51"/>
  <c r="AF313" i="51"/>
  <c r="AG312" i="51"/>
  <c r="AF312" i="51"/>
  <c r="AG311" i="51"/>
  <c r="AF311" i="51"/>
  <c r="AG310" i="51"/>
  <c r="AF310" i="51"/>
  <c r="AG309" i="51"/>
  <c r="AF309" i="51"/>
  <c r="AG308" i="51"/>
  <c r="AF308" i="51"/>
  <c r="AG307" i="51"/>
  <c r="AF307" i="51"/>
  <c r="AG306" i="51"/>
  <c r="AF306" i="51"/>
  <c r="AG305" i="51"/>
  <c r="AF305" i="51"/>
  <c r="AG304" i="51"/>
  <c r="AF304" i="51"/>
  <c r="AG303" i="51"/>
  <c r="AF303" i="51"/>
  <c r="AG302" i="51"/>
  <c r="AF302" i="51"/>
  <c r="AG301" i="51"/>
  <c r="AF301" i="51"/>
  <c r="AG300" i="51"/>
  <c r="AF300" i="51"/>
  <c r="AG299" i="51"/>
  <c r="AF299" i="51"/>
  <c r="AG298" i="51"/>
  <c r="AF298" i="51"/>
  <c r="AG297" i="51"/>
  <c r="AF297" i="51"/>
  <c r="AG296" i="51"/>
  <c r="AF296" i="51"/>
  <c r="AG295" i="51"/>
  <c r="AF295" i="51"/>
  <c r="AG294" i="51"/>
  <c r="AF294" i="51"/>
  <c r="AG293" i="51"/>
  <c r="AF293" i="51"/>
  <c r="AG292" i="51"/>
  <c r="AF292" i="51"/>
  <c r="AG291" i="51"/>
  <c r="AF291" i="51"/>
  <c r="AG290" i="51"/>
  <c r="AF290" i="51"/>
  <c r="AG289" i="51"/>
  <c r="AF289" i="51"/>
  <c r="AG288" i="51"/>
  <c r="AF288" i="51"/>
  <c r="AG287" i="51"/>
  <c r="AF287" i="51"/>
  <c r="AG286" i="51"/>
  <c r="AF286" i="51"/>
  <c r="AG285" i="51"/>
  <c r="AF285" i="51"/>
  <c r="AG284" i="51"/>
  <c r="AF284" i="51"/>
  <c r="AG283" i="51"/>
  <c r="AF283" i="51"/>
  <c r="AG282" i="51"/>
  <c r="AF282" i="51"/>
  <c r="AG281" i="51"/>
  <c r="AF281" i="51"/>
  <c r="AG280" i="51"/>
  <c r="AF280" i="51"/>
  <c r="AG279" i="51"/>
  <c r="AF279" i="51"/>
  <c r="AG278" i="51"/>
  <c r="AF278" i="51"/>
  <c r="AG277" i="51"/>
  <c r="AF277" i="51"/>
  <c r="AG276" i="51"/>
  <c r="AF276" i="51"/>
  <c r="AG275" i="51"/>
  <c r="AF275" i="51"/>
  <c r="AG274" i="51"/>
  <c r="AF274" i="51"/>
  <c r="AG273" i="51"/>
  <c r="AF273" i="51"/>
  <c r="AG272" i="51"/>
  <c r="AF272" i="51"/>
  <c r="AG271" i="51"/>
  <c r="AF271" i="51"/>
  <c r="AG270" i="51"/>
  <c r="AF270" i="51"/>
  <c r="AG269" i="51"/>
  <c r="AF269" i="51"/>
  <c r="AG268" i="51"/>
  <c r="AF268" i="51"/>
  <c r="AG267" i="51"/>
  <c r="AF267" i="51"/>
  <c r="AG266" i="51"/>
  <c r="AF266" i="51"/>
  <c r="AG265" i="51"/>
  <c r="AF265" i="51"/>
  <c r="AG264" i="51"/>
  <c r="AF264" i="51"/>
  <c r="AG263" i="51"/>
  <c r="AF263" i="51"/>
  <c r="AG262" i="51"/>
  <c r="AF262" i="51"/>
  <c r="AG261" i="51"/>
  <c r="AF261" i="51"/>
  <c r="AG260" i="51"/>
  <c r="AF260" i="51"/>
  <c r="AG259" i="51"/>
  <c r="AF259" i="51"/>
  <c r="AG258" i="51"/>
  <c r="AF258" i="51"/>
  <c r="AG257" i="51"/>
  <c r="AF257" i="51"/>
  <c r="AG256" i="51"/>
  <c r="AF256" i="51"/>
  <c r="AG255" i="51"/>
  <c r="AF255" i="51"/>
  <c r="AG254" i="51"/>
  <c r="AF254" i="51"/>
  <c r="AG253" i="51"/>
  <c r="AF253" i="51"/>
  <c r="AG252" i="51"/>
  <c r="AF252" i="51"/>
  <c r="AG251" i="51"/>
  <c r="AF251" i="51"/>
  <c r="AG250" i="51"/>
  <c r="AF250" i="51"/>
  <c r="AG249" i="51"/>
  <c r="AF249" i="51"/>
  <c r="AG248" i="51"/>
  <c r="AF248" i="51"/>
  <c r="AG247" i="51"/>
  <c r="AF247" i="51"/>
  <c r="AG246" i="51"/>
  <c r="AF246" i="51"/>
  <c r="AG245" i="51"/>
  <c r="AF245" i="51"/>
  <c r="AG244" i="51"/>
  <c r="AF244" i="51"/>
  <c r="AG243" i="51"/>
  <c r="AF243" i="51"/>
  <c r="AG242" i="51"/>
  <c r="AF242" i="51"/>
  <c r="AG241" i="51"/>
  <c r="AF241" i="51"/>
  <c r="AG240" i="51"/>
  <c r="AF240" i="51"/>
  <c r="AG239" i="51"/>
  <c r="AF239" i="51"/>
  <c r="AG238" i="51"/>
  <c r="AF238" i="51"/>
  <c r="AG237" i="51"/>
  <c r="AF237" i="51"/>
  <c r="AG236" i="51"/>
  <c r="AF236" i="51"/>
  <c r="AG235" i="51"/>
  <c r="AF235" i="51"/>
  <c r="AG234" i="51"/>
  <c r="AF234" i="51"/>
  <c r="AG233" i="51"/>
  <c r="AF233" i="51"/>
  <c r="AG232" i="51"/>
  <c r="AF232" i="51"/>
  <c r="AG231" i="51"/>
  <c r="AF231" i="51"/>
  <c r="AG230" i="51"/>
  <c r="AF230" i="51"/>
  <c r="AG229" i="51"/>
  <c r="AF229" i="51"/>
  <c r="AG228" i="51"/>
  <c r="AF228" i="51"/>
  <c r="AG227" i="51"/>
  <c r="AF227" i="51"/>
  <c r="AG226" i="51"/>
  <c r="AF226" i="51"/>
  <c r="AG225" i="51"/>
  <c r="AF225" i="51"/>
  <c r="AG224" i="51"/>
  <c r="AF224" i="51"/>
  <c r="AG223" i="51"/>
  <c r="AF223" i="51"/>
  <c r="AG222" i="51"/>
  <c r="AF222" i="51"/>
  <c r="AG221" i="51"/>
  <c r="AF221" i="51"/>
  <c r="AG220" i="51"/>
  <c r="AF220" i="51"/>
  <c r="AG219" i="51"/>
  <c r="AG218" i="51"/>
  <c r="AG217" i="51"/>
  <c r="AG216" i="51"/>
  <c r="AG215" i="51"/>
  <c r="AG214" i="51"/>
  <c r="AG213" i="51"/>
  <c r="AG212" i="51"/>
  <c r="AG211" i="51"/>
  <c r="AG210" i="51"/>
  <c r="AG209" i="51"/>
  <c r="AG208" i="51"/>
  <c r="AG207" i="51"/>
  <c r="AG206" i="51"/>
  <c r="AG205" i="51"/>
  <c r="AG204" i="51"/>
  <c r="AG203" i="51"/>
  <c r="AG202" i="51"/>
  <c r="AG201" i="51"/>
  <c r="AG200" i="51"/>
  <c r="AG199" i="51"/>
  <c r="AG198" i="51"/>
  <c r="AG197" i="51"/>
  <c r="AG196" i="51"/>
  <c r="AG195" i="51"/>
  <c r="AG194" i="51"/>
  <c r="AG193" i="51"/>
  <c r="AG192" i="51"/>
  <c r="AG191" i="51"/>
  <c r="AG190" i="51"/>
  <c r="AG189" i="51"/>
  <c r="AG188" i="51"/>
  <c r="AG187" i="51"/>
  <c r="AG186" i="51"/>
  <c r="AG185" i="51"/>
  <c r="AG184" i="51"/>
  <c r="AD183" i="51"/>
  <c r="AC183" i="51"/>
  <c r="AB183" i="51"/>
  <c r="AD182" i="51"/>
  <c r="AC182" i="51"/>
  <c r="AB182" i="51"/>
  <c r="AD181" i="51"/>
  <c r="AC181" i="51"/>
  <c r="AB181" i="51"/>
  <c r="AD180" i="51"/>
  <c r="AC180" i="51"/>
  <c r="AB180" i="51"/>
  <c r="AD179" i="51"/>
  <c r="AC179" i="51"/>
  <c r="AB179" i="51"/>
  <c r="AD178" i="51"/>
  <c r="AC178" i="51"/>
  <c r="AB178" i="51"/>
  <c r="AD177" i="51"/>
  <c r="AC177" i="51"/>
  <c r="AB177" i="51"/>
  <c r="AD176" i="51"/>
  <c r="AC176" i="51"/>
  <c r="AB176" i="51"/>
  <c r="AD175" i="51"/>
  <c r="AC175" i="51"/>
  <c r="AB175" i="51"/>
  <c r="AD174" i="51"/>
  <c r="AC174" i="51"/>
  <c r="AB174" i="51"/>
  <c r="AD173" i="51"/>
  <c r="AC173" i="51"/>
  <c r="AB173" i="51"/>
  <c r="AD172" i="51"/>
  <c r="AC172" i="51"/>
  <c r="AB172" i="51"/>
  <c r="AD171" i="51"/>
  <c r="AC171" i="51"/>
  <c r="AB171" i="51"/>
  <c r="AD170" i="51"/>
  <c r="AC170" i="51"/>
  <c r="AB170" i="51"/>
  <c r="AD169" i="51"/>
  <c r="AC169" i="51"/>
  <c r="AB169" i="51"/>
  <c r="AD168" i="51"/>
  <c r="AC168" i="51"/>
  <c r="AB168" i="51"/>
  <c r="AD167" i="51"/>
  <c r="AC167" i="51"/>
  <c r="AB167" i="51"/>
  <c r="AD166" i="51"/>
  <c r="AC166" i="51"/>
  <c r="AB166" i="51"/>
  <c r="AD165" i="51"/>
  <c r="AC165" i="51"/>
  <c r="AB165" i="51"/>
  <c r="AD164" i="51"/>
  <c r="AC164" i="51"/>
  <c r="AB164" i="51"/>
  <c r="AD163" i="51"/>
  <c r="AC163" i="51"/>
  <c r="AB163" i="51"/>
  <c r="AD162" i="51"/>
  <c r="AC162" i="51"/>
  <c r="AB162" i="51"/>
  <c r="AD161" i="51"/>
  <c r="AC161" i="51"/>
  <c r="AB161" i="51"/>
  <c r="AD160" i="51"/>
  <c r="AC160" i="51"/>
  <c r="AB160" i="51"/>
  <c r="AD159" i="51"/>
  <c r="AC159" i="51"/>
  <c r="AB159" i="51"/>
  <c r="AD158" i="51"/>
  <c r="AC158" i="51"/>
  <c r="AB158" i="51"/>
  <c r="AD157" i="51"/>
  <c r="AC157" i="51"/>
  <c r="AB157" i="51"/>
  <c r="AD156" i="51"/>
  <c r="AC156" i="51"/>
  <c r="AB156" i="51"/>
  <c r="AD155" i="51"/>
  <c r="AC155" i="51"/>
  <c r="AB155" i="51"/>
  <c r="AD154" i="51"/>
  <c r="AC154" i="51"/>
  <c r="AB154" i="51"/>
  <c r="AD153" i="51"/>
  <c r="AC153" i="51"/>
  <c r="AB153" i="51"/>
  <c r="AD152" i="51"/>
  <c r="AC152" i="51"/>
  <c r="AB152" i="51"/>
  <c r="AD151" i="51"/>
  <c r="AC151" i="51"/>
  <c r="AB151" i="51"/>
  <c r="AD150" i="51"/>
  <c r="AC150" i="51"/>
  <c r="AB150" i="51"/>
  <c r="AD149" i="51"/>
  <c r="AC149" i="51"/>
  <c r="AB149" i="51"/>
  <c r="AD148" i="51"/>
  <c r="AC148" i="51"/>
  <c r="AB148" i="51"/>
  <c r="AD147" i="51"/>
  <c r="AC147" i="51"/>
  <c r="AB147" i="51"/>
  <c r="AD146" i="51"/>
  <c r="AC146" i="51"/>
  <c r="AB146" i="51"/>
  <c r="AD145" i="51"/>
  <c r="AC145" i="51"/>
  <c r="AB145" i="51"/>
  <c r="AD144" i="51"/>
  <c r="AC144" i="51"/>
  <c r="AB144" i="51"/>
  <c r="AD143" i="51"/>
  <c r="AC143" i="51"/>
  <c r="AB143" i="51"/>
  <c r="AD142" i="51"/>
  <c r="AC142" i="51"/>
  <c r="AB142" i="51"/>
  <c r="AD141" i="51"/>
  <c r="AC141" i="51"/>
  <c r="AB141" i="51"/>
  <c r="AD140" i="51"/>
  <c r="AC140" i="51"/>
  <c r="AB140" i="51"/>
  <c r="AD139" i="51"/>
  <c r="AC139" i="51"/>
  <c r="AB139" i="51"/>
  <c r="AD138" i="51"/>
  <c r="AC138" i="51"/>
  <c r="AB138" i="51"/>
  <c r="AD137" i="51"/>
  <c r="AC137" i="51"/>
  <c r="AB137" i="51"/>
  <c r="AD136" i="51"/>
  <c r="AC136" i="51"/>
  <c r="AB136" i="51"/>
  <c r="AG135" i="51"/>
  <c r="AG133" i="51"/>
  <c r="AG131" i="51"/>
  <c r="AG129" i="51"/>
  <c r="AG127" i="51"/>
  <c r="AG125" i="51"/>
  <c r="AG123" i="51"/>
  <c r="AG120" i="51"/>
  <c r="AG118" i="51"/>
  <c r="AG116" i="51"/>
  <c r="AG114" i="51"/>
  <c r="AG112" i="51"/>
  <c r="AG110" i="51"/>
  <c r="AE110" i="51"/>
  <c r="AG109" i="51"/>
  <c r="AE109" i="51"/>
  <c r="AG108" i="51"/>
  <c r="AE108" i="51"/>
  <c r="AG107" i="51"/>
  <c r="AE107" i="51"/>
  <c r="AG106" i="51"/>
  <c r="AE106" i="51"/>
  <c r="AG105" i="51"/>
  <c r="AE105" i="51"/>
  <c r="AG104" i="51"/>
  <c r="AE104" i="51"/>
  <c r="AG103" i="51"/>
  <c r="AE103" i="51"/>
  <c r="AG102" i="51"/>
  <c r="AE102" i="51"/>
  <c r="AG101" i="51"/>
  <c r="AE101" i="51"/>
  <c r="AG100" i="51"/>
  <c r="AE100" i="51"/>
  <c r="AG99" i="51"/>
  <c r="AE99" i="51"/>
  <c r="AG98" i="51"/>
  <c r="AG96" i="51"/>
  <c r="AG94" i="51"/>
  <c r="AG92" i="51"/>
  <c r="AG90" i="51"/>
  <c r="AG88" i="51"/>
  <c r="AG86" i="51"/>
  <c r="AG83" i="51"/>
  <c r="AG81" i="51"/>
  <c r="AG79" i="51"/>
  <c r="AG77" i="51"/>
  <c r="AG75" i="51"/>
  <c r="AG73" i="51"/>
  <c r="AG72" i="51"/>
  <c r="AG71" i="51"/>
  <c r="AG70" i="51"/>
  <c r="AG69" i="51"/>
  <c r="AG68" i="51"/>
  <c r="AG67" i="51"/>
  <c r="AG66" i="51"/>
  <c r="AG65" i="51"/>
  <c r="AG64" i="51"/>
  <c r="AG63" i="51"/>
  <c r="AG62" i="51"/>
  <c r="AG61" i="51"/>
  <c r="AE61" i="51"/>
  <c r="AG60" i="51"/>
  <c r="AE60" i="51"/>
  <c r="AG59" i="51"/>
  <c r="AE59" i="51"/>
  <c r="AG58" i="51"/>
  <c r="AE58" i="51"/>
  <c r="AG57" i="51"/>
  <c r="AE57" i="51"/>
  <c r="AG56" i="51"/>
  <c r="AE56" i="51"/>
  <c r="AG55" i="51"/>
  <c r="AE55" i="51"/>
  <c r="AG54" i="51"/>
  <c r="AE54" i="51"/>
  <c r="AG53" i="51"/>
  <c r="AE53" i="51"/>
  <c r="AG52" i="51"/>
  <c r="AE52" i="51"/>
  <c r="AG51" i="51"/>
  <c r="AE51" i="51"/>
  <c r="AG50" i="51"/>
  <c r="AE50" i="51"/>
  <c r="AG49" i="51"/>
  <c r="AG48" i="51"/>
  <c r="AG47" i="51"/>
  <c r="AG46" i="51"/>
  <c r="AG45" i="51"/>
  <c r="AG44" i="51"/>
  <c r="AG43" i="51"/>
  <c r="AG42" i="51"/>
  <c r="AG41" i="51"/>
  <c r="AG40" i="51"/>
  <c r="AG39" i="51"/>
  <c r="AG38" i="51"/>
  <c r="AG37" i="51"/>
  <c r="AG36" i="51"/>
  <c r="AG35" i="51"/>
  <c r="AG34" i="51"/>
  <c r="AG33" i="51"/>
  <c r="AG32" i="51"/>
  <c r="AG31" i="51"/>
  <c r="AG30" i="51"/>
  <c r="AG29" i="51"/>
  <c r="AG28" i="51"/>
  <c r="AG27" i="51"/>
  <c r="AG26" i="51"/>
  <c r="AG25" i="51"/>
  <c r="AE25" i="51"/>
  <c r="AG24" i="51"/>
  <c r="AE24" i="51"/>
  <c r="AG23" i="51"/>
  <c r="AE23" i="51"/>
  <c r="AG22" i="51"/>
  <c r="AE22" i="51"/>
  <c r="AG21" i="51"/>
  <c r="AE21" i="51"/>
  <c r="AG20" i="51"/>
  <c r="AE20" i="51"/>
  <c r="AG19" i="51"/>
  <c r="AE19" i="51"/>
  <c r="AG18" i="51"/>
  <c r="AE18" i="51"/>
  <c r="AG17" i="51"/>
  <c r="AE17" i="51"/>
  <c r="AG16" i="51"/>
  <c r="AE16" i="51"/>
  <c r="AG15" i="51"/>
  <c r="AE15" i="51"/>
  <c r="AG14" i="51"/>
  <c r="AE14" i="51"/>
  <c r="AG13" i="51"/>
  <c r="AG12" i="51"/>
  <c r="AG11" i="51"/>
  <c r="AG10" i="51"/>
  <c r="AG9" i="51"/>
  <c r="AG8" i="51"/>
  <c r="AG7" i="51"/>
  <c r="AG6" i="51"/>
  <c r="AG5" i="51"/>
  <c r="AG4" i="51"/>
  <c r="AG3" i="51"/>
  <c r="AG2" i="51"/>
  <c r="X2216" i="51"/>
  <c r="AD2216" i="51" s="1"/>
  <c r="W2216" i="51"/>
  <c r="AC2216" i="51" s="1"/>
  <c r="V2216" i="51"/>
  <c r="AB2216" i="51" s="1"/>
  <c r="X2215" i="51"/>
  <c r="AD2215" i="51" s="1"/>
  <c r="W2215" i="51"/>
  <c r="AC2215" i="51" s="1"/>
  <c r="V2215" i="51"/>
  <c r="AB2215" i="51" s="1"/>
  <c r="X2214" i="51"/>
  <c r="AD2214" i="51" s="1"/>
  <c r="W2214" i="51"/>
  <c r="AC2214" i="51" s="1"/>
  <c r="V2214" i="51"/>
  <c r="AB2214" i="51" s="1"/>
  <c r="X2213" i="51"/>
  <c r="AD2213" i="51" s="1"/>
  <c r="W2213" i="51"/>
  <c r="AC2213" i="51" s="1"/>
  <c r="V2213" i="51"/>
  <c r="AB2213" i="51" s="1"/>
  <c r="X2212" i="51"/>
  <c r="AD2212" i="51" s="1"/>
  <c r="W2212" i="51"/>
  <c r="AC2212" i="51" s="1"/>
  <c r="V2212" i="51"/>
  <c r="AB2212" i="51" s="1"/>
  <c r="X2211" i="51"/>
  <c r="AD2211" i="51" s="1"/>
  <c r="W2211" i="51"/>
  <c r="AC2211" i="51" s="1"/>
  <c r="V2211" i="51"/>
  <c r="AB2211" i="51" s="1"/>
  <c r="X2210" i="51"/>
  <c r="AD2210" i="51" s="1"/>
  <c r="W2210" i="51"/>
  <c r="AC2210" i="51" s="1"/>
  <c r="V2210" i="51"/>
  <c r="AB2210" i="51" s="1"/>
  <c r="X2209" i="51"/>
  <c r="AD2209" i="51" s="1"/>
  <c r="W2209" i="51"/>
  <c r="AC2209" i="51" s="1"/>
  <c r="V2209" i="51"/>
  <c r="AB2209" i="51" s="1"/>
  <c r="X2208" i="51"/>
  <c r="AD2208" i="51" s="1"/>
  <c r="W2208" i="51"/>
  <c r="AC2208" i="51" s="1"/>
  <c r="V2208" i="51"/>
  <c r="AB2208" i="51" s="1"/>
  <c r="X2207" i="51"/>
  <c r="AD2207" i="51" s="1"/>
  <c r="W2207" i="51"/>
  <c r="AC2207" i="51" s="1"/>
  <c r="V2207" i="51"/>
  <c r="AB2207" i="51" s="1"/>
  <c r="X2206" i="51"/>
  <c r="AD2206" i="51" s="1"/>
  <c r="W2206" i="51"/>
  <c r="AC2206" i="51" s="1"/>
  <c r="V2206" i="51"/>
  <c r="AB2206" i="51" s="1"/>
  <c r="X2205" i="51"/>
  <c r="AD2205" i="51" s="1"/>
  <c r="W2205" i="51"/>
  <c r="AC2205" i="51" s="1"/>
  <c r="V2205" i="51"/>
  <c r="AB2205" i="51" s="1"/>
  <c r="X2204" i="51"/>
  <c r="AD2204" i="51" s="1"/>
  <c r="W2204" i="51"/>
  <c r="AC2204" i="51" s="1"/>
  <c r="V2204" i="51"/>
  <c r="AB2204" i="51" s="1"/>
  <c r="X2203" i="51"/>
  <c r="AD2203" i="51" s="1"/>
  <c r="W2203" i="51"/>
  <c r="AC2203" i="51" s="1"/>
  <c r="V2203" i="51"/>
  <c r="AB2203" i="51" s="1"/>
  <c r="X2202" i="51"/>
  <c r="AD2202" i="51" s="1"/>
  <c r="W2202" i="51"/>
  <c r="AC2202" i="51" s="1"/>
  <c r="V2202" i="51"/>
  <c r="AB2202" i="51" s="1"/>
  <c r="X2201" i="51"/>
  <c r="AD2201" i="51" s="1"/>
  <c r="W2201" i="51"/>
  <c r="AC2201" i="51" s="1"/>
  <c r="V2201" i="51"/>
  <c r="AB2201" i="51" s="1"/>
  <c r="X2200" i="51"/>
  <c r="AD2200" i="51" s="1"/>
  <c r="W2200" i="51"/>
  <c r="AC2200" i="51" s="1"/>
  <c r="V2200" i="51"/>
  <c r="AB2200" i="51" s="1"/>
  <c r="X2199" i="51"/>
  <c r="AD2199" i="51" s="1"/>
  <c r="W2199" i="51"/>
  <c r="AC2199" i="51" s="1"/>
  <c r="V2199" i="51"/>
  <c r="AB2199" i="51" s="1"/>
  <c r="X2198" i="51"/>
  <c r="AD2198" i="51" s="1"/>
  <c r="W2198" i="51"/>
  <c r="AC2198" i="51" s="1"/>
  <c r="V2198" i="51"/>
  <c r="AB2198" i="51" s="1"/>
  <c r="X2197" i="51"/>
  <c r="AD2197" i="51" s="1"/>
  <c r="W2197" i="51"/>
  <c r="AC2197" i="51" s="1"/>
  <c r="V2197" i="51"/>
  <c r="AB2197" i="51" s="1"/>
  <c r="X2196" i="51"/>
  <c r="AD2196" i="51" s="1"/>
  <c r="W2196" i="51"/>
  <c r="AC2196" i="51" s="1"/>
  <c r="V2196" i="51"/>
  <c r="AB2196" i="51" s="1"/>
  <c r="X2195" i="51"/>
  <c r="AD2195" i="51" s="1"/>
  <c r="W2195" i="51"/>
  <c r="AC2195" i="51" s="1"/>
  <c r="V2195" i="51"/>
  <c r="AB2195" i="51" s="1"/>
  <c r="X2194" i="51"/>
  <c r="AD2194" i="51" s="1"/>
  <c r="W2194" i="51"/>
  <c r="AC2194" i="51" s="1"/>
  <c r="V2194" i="51"/>
  <c r="AB2194" i="51" s="1"/>
  <c r="X2193" i="51"/>
  <c r="AD2193" i="51" s="1"/>
  <c r="W2193" i="51"/>
  <c r="AC2193" i="51" s="1"/>
  <c r="V2193" i="51"/>
  <c r="AB2193" i="51" s="1"/>
  <c r="X2192" i="51"/>
  <c r="AD2192" i="51" s="1"/>
  <c r="W2192" i="51"/>
  <c r="AC2192" i="51" s="1"/>
  <c r="V2192" i="51"/>
  <c r="AB2192" i="51" s="1"/>
  <c r="X2191" i="51"/>
  <c r="AD2191" i="51" s="1"/>
  <c r="W2191" i="51"/>
  <c r="AC2191" i="51" s="1"/>
  <c r="V2191" i="51"/>
  <c r="AB2191" i="51" s="1"/>
  <c r="X2190" i="51"/>
  <c r="AD2190" i="51" s="1"/>
  <c r="W2190" i="51"/>
  <c r="AC2190" i="51" s="1"/>
  <c r="V2190" i="51"/>
  <c r="AB2190" i="51" s="1"/>
  <c r="X2189" i="51"/>
  <c r="AD2189" i="51" s="1"/>
  <c r="W2189" i="51"/>
  <c r="AC2189" i="51" s="1"/>
  <c r="V2189" i="51"/>
  <c r="AB2189" i="51" s="1"/>
  <c r="V2188" i="51"/>
  <c r="AB2188" i="51" s="1"/>
  <c r="V2187" i="51"/>
  <c r="AB2187" i="51" s="1"/>
  <c r="V2186" i="51"/>
  <c r="AB2186" i="51" s="1"/>
  <c r="V2185" i="51"/>
  <c r="AB2185" i="51" s="1"/>
  <c r="V2184" i="51"/>
  <c r="AB2184" i="51" s="1"/>
  <c r="V2183" i="51"/>
  <c r="AB2183" i="51" s="1"/>
  <c r="V2182" i="51"/>
  <c r="AB2182" i="51" s="1"/>
  <c r="V2181" i="51"/>
  <c r="AB2181" i="51" s="1"/>
  <c r="V2180" i="51"/>
  <c r="AB2180" i="51" s="1"/>
  <c r="V2179" i="51"/>
  <c r="AB2179" i="51" s="1"/>
  <c r="V2178" i="51"/>
  <c r="AB2178" i="51" s="1"/>
  <c r="V2177" i="51"/>
  <c r="AB2177" i="51" s="1"/>
  <c r="V2176" i="51"/>
  <c r="AB2176" i="51" s="1"/>
  <c r="X2175" i="51"/>
  <c r="AD2175" i="51" s="1"/>
  <c r="W2175" i="51"/>
  <c r="AC2175" i="51" s="1"/>
  <c r="V2175" i="51"/>
  <c r="AB2175" i="51" s="1"/>
  <c r="X2174" i="51"/>
  <c r="AD2174" i="51" s="1"/>
  <c r="W2174" i="51"/>
  <c r="AC2174" i="51" s="1"/>
  <c r="V2174" i="51"/>
  <c r="AB2174" i="51" s="1"/>
  <c r="X2173" i="51"/>
  <c r="AD2173" i="51" s="1"/>
  <c r="W2173" i="51"/>
  <c r="AC2173" i="51" s="1"/>
  <c r="V2173" i="51"/>
  <c r="AB2173" i="51" s="1"/>
  <c r="X2172" i="51"/>
  <c r="AD2172" i="51" s="1"/>
  <c r="W2172" i="51"/>
  <c r="AC2172" i="51" s="1"/>
  <c r="V2172" i="51"/>
  <c r="AB2172" i="51" s="1"/>
  <c r="X2171" i="51"/>
  <c r="AD2171" i="51" s="1"/>
  <c r="W2171" i="51"/>
  <c r="AC2171" i="51" s="1"/>
  <c r="V2171" i="51"/>
  <c r="AB2171" i="51" s="1"/>
  <c r="X2170" i="51"/>
  <c r="AD2170" i="51" s="1"/>
  <c r="W2170" i="51"/>
  <c r="AC2170" i="51" s="1"/>
  <c r="V2170" i="51"/>
  <c r="AB2170" i="51" s="1"/>
  <c r="X2169" i="51"/>
  <c r="AD2169" i="51" s="1"/>
  <c r="W2169" i="51"/>
  <c r="AC2169" i="51" s="1"/>
  <c r="V2169" i="51"/>
  <c r="AB2169" i="51" s="1"/>
  <c r="X2168" i="51"/>
  <c r="AD2168" i="51" s="1"/>
  <c r="W2168" i="51"/>
  <c r="AC2168" i="51" s="1"/>
  <c r="V2168" i="51"/>
  <c r="AB2168" i="51" s="1"/>
  <c r="X2167" i="51"/>
  <c r="AD2167" i="51" s="1"/>
  <c r="W2167" i="51"/>
  <c r="AC2167" i="51" s="1"/>
  <c r="V2167" i="51"/>
  <c r="AB2167" i="51" s="1"/>
  <c r="X2166" i="51"/>
  <c r="AD2166" i="51" s="1"/>
  <c r="W2166" i="51"/>
  <c r="AC2166" i="51" s="1"/>
  <c r="V2166" i="51"/>
  <c r="AB2166" i="51" s="1"/>
  <c r="X2165" i="51"/>
  <c r="AD2165" i="51" s="1"/>
  <c r="W2165" i="51"/>
  <c r="AC2165" i="51" s="1"/>
  <c r="V2165" i="51"/>
  <c r="AB2165" i="51" s="1"/>
  <c r="X2164" i="51"/>
  <c r="AD2164" i="51" s="1"/>
  <c r="W2164" i="51"/>
  <c r="AC2164" i="51" s="1"/>
  <c r="V2164" i="51"/>
  <c r="AB2164" i="51" s="1"/>
  <c r="X2163" i="51"/>
  <c r="AD2163" i="51" s="1"/>
  <c r="W2163" i="51"/>
  <c r="AC2163" i="51" s="1"/>
  <c r="V2163" i="51"/>
  <c r="AB2163" i="51" s="1"/>
  <c r="X2162" i="51"/>
  <c r="AD2162" i="51" s="1"/>
  <c r="W2162" i="51"/>
  <c r="AC2162" i="51" s="1"/>
  <c r="V2162" i="51"/>
  <c r="AB2162" i="51" s="1"/>
  <c r="X2161" i="51"/>
  <c r="AD2161" i="51" s="1"/>
  <c r="W2161" i="51"/>
  <c r="AC2161" i="51" s="1"/>
  <c r="V2161" i="51"/>
  <c r="AB2161" i="51" s="1"/>
  <c r="X2160" i="51"/>
  <c r="AD2160" i="51" s="1"/>
  <c r="W2160" i="51"/>
  <c r="AC2160" i="51" s="1"/>
  <c r="V2160" i="51"/>
  <c r="AB2160" i="51" s="1"/>
  <c r="X2159" i="51"/>
  <c r="AD2159" i="51" s="1"/>
  <c r="W2159" i="51"/>
  <c r="AC2159" i="51" s="1"/>
  <c r="V2159" i="51"/>
  <c r="AB2159" i="51" s="1"/>
  <c r="X2158" i="51"/>
  <c r="AD2158" i="51" s="1"/>
  <c r="W2158" i="51"/>
  <c r="AC2158" i="51" s="1"/>
  <c r="V2158" i="51"/>
  <c r="AB2158" i="51" s="1"/>
  <c r="X2157" i="51"/>
  <c r="AD2157" i="51" s="1"/>
  <c r="W2157" i="51"/>
  <c r="AC2157" i="51" s="1"/>
  <c r="V2157" i="51"/>
  <c r="AB2157" i="51" s="1"/>
  <c r="X2156" i="51"/>
  <c r="AD2156" i="51" s="1"/>
  <c r="W2156" i="51"/>
  <c r="AC2156" i="51" s="1"/>
  <c r="V2156" i="51"/>
  <c r="AB2156" i="51" s="1"/>
  <c r="X2155" i="51"/>
  <c r="AD2155" i="51" s="1"/>
  <c r="W2155" i="51"/>
  <c r="AC2155" i="51" s="1"/>
  <c r="V2155" i="51"/>
  <c r="AB2155" i="51" s="1"/>
  <c r="X2154" i="51"/>
  <c r="AD2154" i="51" s="1"/>
  <c r="W2154" i="51"/>
  <c r="AC2154" i="51" s="1"/>
  <c r="V2154" i="51"/>
  <c r="AB2154" i="51" s="1"/>
  <c r="X2153" i="51"/>
  <c r="AD2153" i="51" s="1"/>
  <c r="W2153" i="51"/>
  <c r="AC2153" i="51" s="1"/>
  <c r="V2153" i="51"/>
  <c r="AB2153" i="51" s="1"/>
  <c r="X2152" i="51"/>
  <c r="AD2152" i="51" s="1"/>
  <c r="W2152" i="51"/>
  <c r="AC2152" i="51" s="1"/>
  <c r="V2152" i="51"/>
  <c r="AB2152" i="51" s="1"/>
  <c r="X2151" i="51"/>
  <c r="AD2151" i="51" s="1"/>
  <c r="W2151" i="51"/>
  <c r="AC2151" i="51" s="1"/>
  <c r="V2151" i="51"/>
  <c r="AB2151" i="51" s="1"/>
  <c r="X2150" i="51"/>
  <c r="AD2150" i="51" s="1"/>
  <c r="W2150" i="51"/>
  <c r="AC2150" i="51" s="1"/>
  <c r="V2150" i="51"/>
  <c r="AB2150" i="51" s="1"/>
  <c r="X2149" i="51"/>
  <c r="AD2149" i="51" s="1"/>
  <c r="W2149" i="51"/>
  <c r="AC2149" i="51" s="1"/>
  <c r="V2149" i="51"/>
  <c r="AB2149" i="51" s="1"/>
  <c r="X2148" i="51"/>
  <c r="AD2148" i="51" s="1"/>
  <c r="W2148" i="51"/>
  <c r="AC2148" i="51" s="1"/>
  <c r="V2148" i="51"/>
  <c r="AB2148" i="51" s="1"/>
  <c r="X2147" i="51"/>
  <c r="AD2147" i="51" s="1"/>
  <c r="W2147" i="51"/>
  <c r="AC2147" i="51" s="1"/>
  <c r="V2147" i="51"/>
  <c r="AB2147" i="51" s="1"/>
  <c r="X2146" i="51"/>
  <c r="AD2146" i="51" s="1"/>
  <c r="W2146" i="51"/>
  <c r="AC2146" i="51" s="1"/>
  <c r="V2146" i="51"/>
  <c r="AB2146" i="51" s="1"/>
  <c r="X2145" i="51"/>
  <c r="AD2145" i="51" s="1"/>
  <c r="W2145" i="51"/>
  <c r="AC2145" i="51" s="1"/>
  <c r="V2145" i="51"/>
  <c r="AB2145" i="51" s="1"/>
  <c r="X2144" i="51"/>
  <c r="AD2144" i="51" s="1"/>
  <c r="W2144" i="51"/>
  <c r="AC2144" i="51" s="1"/>
  <c r="V2144" i="51"/>
  <c r="AB2144" i="51" s="1"/>
  <c r="X2143" i="51"/>
  <c r="AD2143" i="51" s="1"/>
  <c r="W2143" i="51"/>
  <c r="AC2143" i="51" s="1"/>
  <c r="V2143" i="51"/>
  <c r="AB2143" i="51" s="1"/>
  <c r="X2142" i="51"/>
  <c r="AD2142" i="51" s="1"/>
  <c r="W2142" i="51"/>
  <c r="AC2142" i="51" s="1"/>
  <c r="V2142" i="51"/>
  <c r="AB2142" i="51" s="1"/>
  <c r="X2141" i="51"/>
  <c r="AD2141" i="51" s="1"/>
  <c r="W2141" i="51"/>
  <c r="AC2141" i="51" s="1"/>
  <c r="V2141" i="51"/>
  <c r="AB2141" i="51" s="1"/>
  <c r="X2140" i="51"/>
  <c r="AD2140" i="51" s="1"/>
  <c r="W2140" i="51"/>
  <c r="AC2140" i="51" s="1"/>
  <c r="V2140" i="51"/>
  <c r="AB2140" i="51" s="1"/>
  <c r="X2139" i="51"/>
  <c r="AD2139" i="51" s="1"/>
  <c r="W2139" i="51"/>
  <c r="AC2139" i="51" s="1"/>
  <c r="V2139" i="51"/>
  <c r="AB2139" i="51" s="1"/>
  <c r="X2138" i="51"/>
  <c r="AD2138" i="51" s="1"/>
  <c r="W2138" i="51"/>
  <c r="AC2138" i="51" s="1"/>
  <c r="V2138" i="51"/>
  <c r="AB2138" i="51" s="1"/>
  <c r="X2137" i="51"/>
  <c r="AD2137" i="51" s="1"/>
  <c r="W2137" i="51"/>
  <c r="AC2137" i="51" s="1"/>
  <c r="V2137" i="51"/>
  <c r="AB2137" i="51" s="1"/>
  <c r="X2136" i="51"/>
  <c r="AD2136" i="51" s="1"/>
  <c r="W2136" i="51"/>
  <c r="AC2136" i="51" s="1"/>
  <c r="V2136" i="51"/>
  <c r="AB2136" i="51" s="1"/>
  <c r="X2135" i="51"/>
  <c r="AD2135" i="51" s="1"/>
  <c r="W2135" i="51"/>
  <c r="AC2135" i="51" s="1"/>
  <c r="V2135" i="51"/>
  <c r="AB2135" i="51" s="1"/>
  <c r="X2134" i="51"/>
  <c r="AD2134" i="51" s="1"/>
  <c r="W2134" i="51"/>
  <c r="AC2134" i="51" s="1"/>
  <c r="V2134" i="51"/>
  <c r="AB2134" i="51" s="1"/>
  <c r="X2133" i="51"/>
  <c r="AD2133" i="51" s="1"/>
  <c r="W2133" i="51"/>
  <c r="AC2133" i="51" s="1"/>
  <c r="V2133" i="51"/>
  <c r="AB2133" i="51" s="1"/>
  <c r="X2132" i="51"/>
  <c r="AD2132" i="51" s="1"/>
  <c r="W2132" i="51"/>
  <c r="AC2132" i="51" s="1"/>
  <c r="V2132" i="51"/>
  <c r="AB2132" i="51" s="1"/>
  <c r="X2131" i="51"/>
  <c r="AD2131" i="51" s="1"/>
  <c r="W2131" i="51"/>
  <c r="AC2131" i="51" s="1"/>
  <c r="V2131" i="51"/>
  <c r="AB2131" i="51" s="1"/>
  <c r="X2130" i="51"/>
  <c r="AD2130" i="51" s="1"/>
  <c r="W2130" i="51"/>
  <c r="AC2130" i="51" s="1"/>
  <c r="V2130" i="51"/>
  <c r="AB2130" i="51" s="1"/>
  <c r="X2129" i="51"/>
  <c r="AD2129" i="51" s="1"/>
  <c r="W2129" i="51"/>
  <c r="AC2129" i="51" s="1"/>
  <c r="V2129" i="51"/>
  <c r="AB2129" i="51" s="1"/>
  <c r="X2128" i="51"/>
  <c r="AD2128" i="51" s="1"/>
  <c r="W2128" i="51"/>
  <c r="AC2128" i="51" s="1"/>
  <c r="V2128" i="51"/>
  <c r="AB2128" i="51" s="1"/>
  <c r="X2127" i="51"/>
  <c r="AD2127" i="51" s="1"/>
  <c r="W2127" i="51"/>
  <c r="AC2127" i="51" s="1"/>
  <c r="V2127" i="51"/>
  <c r="AB2127" i="51" s="1"/>
  <c r="X2126" i="51"/>
  <c r="AD2126" i="51" s="1"/>
  <c r="W2126" i="51"/>
  <c r="AC2126" i="51" s="1"/>
  <c r="V2126" i="51"/>
  <c r="AB2126" i="51" s="1"/>
  <c r="X2125" i="51"/>
  <c r="AD2125" i="51" s="1"/>
  <c r="W2125" i="51"/>
  <c r="AC2125" i="51" s="1"/>
  <c r="V2125" i="51"/>
  <c r="AB2125" i="51" s="1"/>
  <c r="X2124" i="51"/>
  <c r="AD2124" i="51" s="1"/>
  <c r="W2124" i="51"/>
  <c r="AC2124" i="51" s="1"/>
  <c r="V2124" i="51"/>
  <c r="AB2124" i="51" s="1"/>
  <c r="X2123" i="51"/>
  <c r="AD2123" i="51" s="1"/>
  <c r="W2123" i="51"/>
  <c r="AC2123" i="51" s="1"/>
  <c r="V2123" i="51"/>
  <c r="AB2123" i="51" s="1"/>
  <c r="X2122" i="51"/>
  <c r="AD2122" i="51" s="1"/>
  <c r="W2122" i="51"/>
  <c r="AC2122" i="51" s="1"/>
  <c r="V2122" i="51"/>
  <c r="AB2122" i="51" s="1"/>
  <c r="X2121" i="51"/>
  <c r="AD2121" i="51" s="1"/>
  <c r="W2121" i="51"/>
  <c r="AC2121" i="51" s="1"/>
  <c r="V2121" i="51"/>
  <c r="AB2121" i="51" s="1"/>
  <c r="X2120" i="51"/>
  <c r="AD2120" i="51" s="1"/>
  <c r="W2120" i="51"/>
  <c r="AC2120" i="51" s="1"/>
  <c r="V2120" i="51"/>
  <c r="AB2120" i="51" s="1"/>
  <c r="X2119" i="51"/>
  <c r="AD2119" i="51" s="1"/>
  <c r="W2119" i="51"/>
  <c r="AC2119" i="51" s="1"/>
  <c r="V2119" i="51"/>
  <c r="AB2119" i="51" s="1"/>
  <c r="X2118" i="51"/>
  <c r="AD2118" i="51" s="1"/>
  <c r="W2118" i="51"/>
  <c r="AC2118" i="51" s="1"/>
  <c r="V2118" i="51"/>
  <c r="AB2118" i="51" s="1"/>
  <c r="X2117" i="51"/>
  <c r="AD2117" i="51" s="1"/>
  <c r="W2117" i="51"/>
  <c r="AC2117" i="51" s="1"/>
  <c r="V2117" i="51"/>
  <c r="AB2117" i="51" s="1"/>
  <c r="X2116" i="51"/>
  <c r="AD2116" i="51" s="1"/>
  <c r="W2116" i="51"/>
  <c r="AC2116" i="51" s="1"/>
  <c r="V2116" i="51"/>
  <c r="AB2116" i="51" s="1"/>
  <c r="X2115" i="51"/>
  <c r="AD2115" i="51" s="1"/>
  <c r="W2115" i="51"/>
  <c r="AC2115" i="51" s="1"/>
  <c r="V2115" i="51"/>
  <c r="AB2115" i="51" s="1"/>
  <c r="X2114" i="51"/>
  <c r="AD2114" i="51" s="1"/>
  <c r="W2114" i="51"/>
  <c r="AC2114" i="51" s="1"/>
  <c r="V2114" i="51"/>
  <c r="AB2114" i="51" s="1"/>
  <c r="X2113" i="51"/>
  <c r="AD2113" i="51" s="1"/>
  <c r="W2113" i="51"/>
  <c r="AC2113" i="51" s="1"/>
  <c r="V2113" i="51"/>
  <c r="AB2113" i="51" s="1"/>
  <c r="X2112" i="51"/>
  <c r="AD2112" i="51" s="1"/>
  <c r="W2112" i="51"/>
  <c r="AC2112" i="51" s="1"/>
  <c r="V2112" i="51"/>
  <c r="AB2112" i="51" s="1"/>
  <c r="X2111" i="51"/>
  <c r="AD2111" i="51" s="1"/>
  <c r="W2111" i="51"/>
  <c r="AC2111" i="51" s="1"/>
  <c r="V2111" i="51"/>
  <c r="AB2111" i="51" s="1"/>
  <c r="X2110" i="51"/>
  <c r="AD2110" i="51" s="1"/>
  <c r="W2110" i="51"/>
  <c r="AC2110" i="51" s="1"/>
  <c r="V2110" i="51"/>
  <c r="AB2110" i="51" s="1"/>
  <c r="X2109" i="51"/>
  <c r="AD2109" i="51" s="1"/>
  <c r="W2109" i="51"/>
  <c r="AC2109" i="51" s="1"/>
  <c r="V2109" i="51"/>
  <c r="AB2109" i="51" s="1"/>
  <c r="X2108" i="51"/>
  <c r="AD2108" i="51" s="1"/>
  <c r="W2108" i="51"/>
  <c r="AC2108" i="51" s="1"/>
  <c r="V2108" i="51"/>
  <c r="AB2108" i="51" s="1"/>
  <c r="X2107" i="51"/>
  <c r="AD2107" i="51" s="1"/>
  <c r="W2107" i="51"/>
  <c r="AC2107" i="51" s="1"/>
  <c r="V2107" i="51"/>
  <c r="AB2107" i="51" s="1"/>
  <c r="X2106" i="51"/>
  <c r="AD2106" i="51" s="1"/>
  <c r="W2106" i="51"/>
  <c r="AC2106" i="51" s="1"/>
  <c r="V2106" i="51"/>
  <c r="AB2106" i="51" s="1"/>
  <c r="X2105" i="51"/>
  <c r="AD2105" i="51" s="1"/>
  <c r="W2105" i="51"/>
  <c r="AC2105" i="51" s="1"/>
  <c r="V2105" i="51"/>
  <c r="AB2105" i="51" s="1"/>
  <c r="X2104" i="51"/>
  <c r="AD2104" i="51" s="1"/>
  <c r="W2104" i="51"/>
  <c r="AC2104" i="51" s="1"/>
  <c r="V2104" i="51"/>
  <c r="AB2104" i="51" s="1"/>
  <c r="X2103" i="51"/>
  <c r="AD2103" i="51" s="1"/>
  <c r="W2103" i="51"/>
  <c r="AC2103" i="51" s="1"/>
  <c r="V2103" i="51"/>
  <c r="AB2103" i="51" s="1"/>
  <c r="X2102" i="51"/>
  <c r="AD2102" i="51" s="1"/>
  <c r="W2102" i="51"/>
  <c r="AC2102" i="51" s="1"/>
  <c r="V2102" i="51"/>
  <c r="AB2102" i="51" s="1"/>
  <c r="X2101" i="51"/>
  <c r="AD2101" i="51" s="1"/>
  <c r="W2101" i="51"/>
  <c r="AC2101" i="51" s="1"/>
  <c r="V2101" i="51"/>
  <c r="AB2101" i="51" s="1"/>
  <c r="X2100" i="51"/>
  <c r="AD2100" i="51" s="1"/>
  <c r="W2100" i="51"/>
  <c r="AC2100" i="51" s="1"/>
  <c r="V2100" i="51"/>
  <c r="AB2100" i="51" s="1"/>
  <c r="X2099" i="51"/>
  <c r="AD2099" i="51" s="1"/>
  <c r="W2099" i="51"/>
  <c r="AC2099" i="51" s="1"/>
  <c r="V2099" i="51"/>
  <c r="AB2099" i="51" s="1"/>
  <c r="X2098" i="51"/>
  <c r="AD2098" i="51" s="1"/>
  <c r="W2098" i="51"/>
  <c r="AC2098" i="51" s="1"/>
  <c r="V2098" i="51"/>
  <c r="AB2098" i="51" s="1"/>
  <c r="X2097" i="51"/>
  <c r="AD2097" i="51" s="1"/>
  <c r="W2097" i="51"/>
  <c r="AC2097" i="51" s="1"/>
  <c r="V2097" i="51"/>
  <c r="AB2097" i="51" s="1"/>
  <c r="X2096" i="51"/>
  <c r="AD2096" i="51" s="1"/>
  <c r="W2096" i="51"/>
  <c r="AC2096" i="51" s="1"/>
  <c r="V2096" i="51"/>
  <c r="AB2096" i="51" s="1"/>
  <c r="X2095" i="51"/>
  <c r="AD2095" i="51" s="1"/>
  <c r="W2095" i="51"/>
  <c r="AC2095" i="51" s="1"/>
  <c r="V2095" i="51"/>
  <c r="AB2095" i="51" s="1"/>
  <c r="X2094" i="51"/>
  <c r="AD2094" i="51" s="1"/>
  <c r="W2094" i="51"/>
  <c r="AC2094" i="51" s="1"/>
  <c r="V2094" i="51"/>
  <c r="AB2094" i="51" s="1"/>
  <c r="X2093" i="51"/>
  <c r="AD2093" i="51" s="1"/>
  <c r="W2093" i="51"/>
  <c r="AC2093" i="51" s="1"/>
  <c r="V2093" i="51"/>
  <c r="AB2093" i="51" s="1"/>
  <c r="X2092" i="51"/>
  <c r="AD2092" i="51" s="1"/>
  <c r="W2092" i="51"/>
  <c r="AC2092" i="51" s="1"/>
  <c r="V2092" i="51"/>
  <c r="AB2092" i="51" s="1"/>
  <c r="X2091" i="51"/>
  <c r="AD2091" i="51" s="1"/>
  <c r="W2091" i="51"/>
  <c r="AC2091" i="51" s="1"/>
  <c r="V2091" i="51"/>
  <c r="AB2091" i="51" s="1"/>
  <c r="X2090" i="51"/>
  <c r="AD2090" i="51" s="1"/>
  <c r="W2090" i="51"/>
  <c r="AC2090" i="51" s="1"/>
  <c r="V2090" i="51"/>
  <c r="AB2090" i="51" s="1"/>
  <c r="X2089" i="51"/>
  <c r="AD2089" i="51" s="1"/>
  <c r="W2089" i="51"/>
  <c r="AC2089" i="51" s="1"/>
  <c r="V2089" i="51"/>
  <c r="AB2089" i="51" s="1"/>
  <c r="X2088" i="51"/>
  <c r="AD2088" i="51" s="1"/>
  <c r="W2088" i="51"/>
  <c r="AC2088" i="51" s="1"/>
  <c r="V2088" i="51"/>
  <c r="AB2088" i="51" s="1"/>
  <c r="X2087" i="51"/>
  <c r="AD2087" i="51" s="1"/>
  <c r="W2087" i="51"/>
  <c r="AC2087" i="51" s="1"/>
  <c r="V2087" i="51"/>
  <c r="AB2087" i="51" s="1"/>
  <c r="X2086" i="51"/>
  <c r="AD2086" i="51" s="1"/>
  <c r="W2086" i="51"/>
  <c r="AC2086" i="51" s="1"/>
  <c r="V2086" i="51"/>
  <c r="AB2086" i="51" s="1"/>
  <c r="X2085" i="51"/>
  <c r="AD2085" i="51" s="1"/>
  <c r="W2085" i="51"/>
  <c r="AC2085" i="51" s="1"/>
  <c r="V2085" i="51"/>
  <c r="AB2085" i="51" s="1"/>
  <c r="X2084" i="51"/>
  <c r="AD2084" i="51" s="1"/>
  <c r="W2084" i="51"/>
  <c r="AC2084" i="51" s="1"/>
  <c r="V2084" i="51"/>
  <c r="AB2084" i="51" s="1"/>
  <c r="X2083" i="51"/>
  <c r="AD2083" i="51" s="1"/>
  <c r="W2083" i="51"/>
  <c r="AC2083" i="51" s="1"/>
  <c r="V2083" i="51"/>
  <c r="AB2083" i="51" s="1"/>
  <c r="X2082" i="51"/>
  <c r="AD2082" i="51" s="1"/>
  <c r="W2082" i="51"/>
  <c r="AC2082" i="51" s="1"/>
  <c r="V2082" i="51"/>
  <c r="AB2082" i="51" s="1"/>
  <c r="X2081" i="51"/>
  <c r="AD2081" i="51" s="1"/>
  <c r="W2081" i="51"/>
  <c r="AC2081" i="51" s="1"/>
  <c r="V2081" i="51"/>
  <c r="AB2081" i="51" s="1"/>
  <c r="X2080" i="51"/>
  <c r="AD2080" i="51" s="1"/>
  <c r="W2080" i="51"/>
  <c r="AC2080" i="51" s="1"/>
  <c r="V2080" i="51"/>
  <c r="AB2080" i="51" s="1"/>
  <c r="X2079" i="51"/>
  <c r="AD2079" i="51" s="1"/>
  <c r="W2079" i="51"/>
  <c r="AC2079" i="51" s="1"/>
  <c r="V2079" i="51"/>
  <c r="AB2079" i="51" s="1"/>
  <c r="X2078" i="51"/>
  <c r="AD2078" i="51" s="1"/>
  <c r="W2078" i="51"/>
  <c r="AC2078" i="51" s="1"/>
  <c r="V2078" i="51"/>
  <c r="AB2078" i="51" s="1"/>
  <c r="X2077" i="51"/>
  <c r="AD2077" i="51" s="1"/>
  <c r="W2077" i="51"/>
  <c r="AC2077" i="51" s="1"/>
  <c r="V2077" i="51"/>
  <c r="AB2077" i="51" s="1"/>
  <c r="X2076" i="51"/>
  <c r="AD2076" i="51" s="1"/>
  <c r="W2076" i="51"/>
  <c r="AC2076" i="51" s="1"/>
  <c r="V2076" i="51"/>
  <c r="AB2076" i="51" s="1"/>
  <c r="X2075" i="51"/>
  <c r="AD2075" i="51" s="1"/>
  <c r="W2075" i="51"/>
  <c r="AC2075" i="51" s="1"/>
  <c r="V2075" i="51"/>
  <c r="AB2075" i="51" s="1"/>
  <c r="X2074" i="51"/>
  <c r="AD2074" i="51" s="1"/>
  <c r="W2074" i="51"/>
  <c r="AC2074" i="51" s="1"/>
  <c r="V2074" i="51"/>
  <c r="AB2074" i="51" s="1"/>
  <c r="X2073" i="51"/>
  <c r="AD2073" i="51" s="1"/>
  <c r="W2073" i="51"/>
  <c r="AC2073" i="51" s="1"/>
  <c r="V2073" i="51"/>
  <c r="AB2073" i="51" s="1"/>
  <c r="X2072" i="51"/>
  <c r="AD2072" i="51" s="1"/>
  <c r="W2072" i="51"/>
  <c r="AC2072" i="51" s="1"/>
  <c r="V2072" i="51"/>
  <c r="AB2072" i="51" s="1"/>
  <c r="X2071" i="51"/>
  <c r="AD2071" i="51" s="1"/>
  <c r="W2071" i="51"/>
  <c r="AC2071" i="51" s="1"/>
  <c r="V2071" i="51"/>
  <c r="AB2071" i="51" s="1"/>
  <c r="X2070" i="51"/>
  <c r="AD2070" i="51" s="1"/>
  <c r="W2070" i="51"/>
  <c r="AC2070" i="51" s="1"/>
  <c r="V2070" i="51"/>
  <c r="AB2070" i="51" s="1"/>
  <c r="X2069" i="51"/>
  <c r="AD2069" i="51" s="1"/>
  <c r="W2069" i="51"/>
  <c r="AC2069" i="51" s="1"/>
  <c r="V2069" i="51"/>
  <c r="AB2069" i="51" s="1"/>
  <c r="X2068" i="51"/>
  <c r="AD2068" i="51" s="1"/>
  <c r="W2068" i="51"/>
  <c r="AC2068" i="51" s="1"/>
  <c r="V2068" i="51"/>
  <c r="AB2068" i="51" s="1"/>
  <c r="X2067" i="51"/>
  <c r="AD2067" i="51" s="1"/>
  <c r="W2067" i="51"/>
  <c r="AC2067" i="51" s="1"/>
  <c r="V2067" i="51"/>
  <c r="AB2067" i="51" s="1"/>
  <c r="X2066" i="51"/>
  <c r="AD2066" i="51" s="1"/>
  <c r="W2066" i="51"/>
  <c r="AC2066" i="51" s="1"/>
  <c r="V2066" i="51"/>
  <c r="AB2066" i="51" s="1"/>
  <c r="X2065" i="51"/>
  <c r="AD2065" i="51" s="1"/>
  <c r="W2065" i="51"/>
  <c r="AC2065" i="51" s="1"/>
  <c r="V2065" i="51"/>
  <c r="AB2065" i="51" s="1"/>
  <c r="X2064" i="51"/>
  <c r="AD2064" i="51" s="1"/>
  <c r="W2064" i="51"/>
  <c r="AC2064" i="51" s="1"/>
  <c r="V2064" i="51"/>
  <c r="AB2064" i="51" s="1"/>
  <c r="X2063" i="51"/>
  <c r="AD2063" i="51" s="1"/>
  <c r="W2063" i="51"/>
  <c r="AC2063" i="51" s="1"/>
  <c r="V2063" i="51"/>
  <c r="AB2063" i="51" s="1"/>
  <c r="X2062" i="51"/>
  <c r="AD2062" i="51" s="1"/>
  <c r="W2062" i="51"/>
  <c r="AC2062" i="51" s="1"/>
  <c r="V2062" i="51"/>
  <c r="AB2062" i="51" s="1"/>
  <c r="X2061" i="51"/>
  <c r="AD2061" i="51" s="1"/>
  <c r="W2061" i="51"/>
  <c r="AC2061" i="51" s="1"/>
  <c r="V2061" i="51"/>
  <c r="AB2061" i="51" s="1"/>
  <c r="X2060" i="51"/>
  <c r="AD2060" i="51" s="1"/>
  <c r="W2060" i="51"/>
  <c r="AC2060" i="51" s="1"/>
  <c r="V2060" i="51"/>
  <c r="AB2060" i="51" s="1"/>
  <c r="X2059" i="51"/>
  <c r="AD2059" i="51" s="1"/>
  <c r="W2059" i="51"/>
  <c r="AC2059" i="51" s="1"/>
  <c r="V2059" i="51"/>
  <c r="AB2059" i="51" s="1"/>
  <c r="X2058" i="51"/>
  <c r="AD2058" i="51" s="1"/>
  <c r="W2058" i="51"/>
  <c r="AC2058" i="51" s="1"/>
  <c r="V2058" i="51"/>
  <c r="AB2058" i="51" s="1"/>
  <c r="X2057" i="51"/>
  <c r="AD2057" i="51" s="1"/>
  <c r="W2057" i="51"/>
  <c r="AC2057" i="51" s="1"/>
  <c r="V2057" i="51"/>
  <c r="AB2057" i="51" s="1"/>
  <c r="X2056" i="51"/>
  <c r="AD2056" i="51" s="1"/>
  <c r="W2056" i="51"/>
  <c r="AC2056" i="51" s="1"/>
  <c r="V2056" i="51"/>
  <c r="AB2056" i="51" s="1"/>
  <c r="X2055" i="51"/>
  <c r="AD2055" i="51" s="1"/>
  <c r="W2055" i="51"/>
  <c r="AC2055" i="51" s="1"/>
  <c r="V2055" i="51"/>
  <c r="AB2055" i="51" s="1"/>
  <c r="X2054" i="51"/>
  <c r="AD2054" i="51" s="1"/>
  <c r="W2054" i="51"/>
  <c r="AC2054" i="51" s="1"/>
  <c r="V2054" i="51"/>
  <c r="AB2054" i="51" s="1"/>
  <c r="X2053" i="51"/>
  <c r="AD2053" i="51" s="1"/>
  <c r="W2053" i="51"/>
  <c r="AC2053" i="51" s="1"/>
  <c r="V2053" i="51"/>
  <c r="AB2053" i="51" s="1"/>
  <c r="X2052" i="51"/>
  <c r="AD2052" i="51" s="1"/>
  <c r="W2052" i="51"/>
  <c r="AC2052" i="51" s="1"/>
  <c r="V2052" i="51"/>
  <c r="AB2052" i="51" s="1"/>
  <c r="X2051" i="51"/>
  <c r="AD2051" i="51" s="1"/>
  <c r="W2051" i="51"/>
  <c r="AC2051" i="51" s="1"/>
  <c r="V2051" i="51"/>
  <c r="AB2051" i="51" s="1"/>
  <c r="X2050" i="51"/>
  <c r="AD2050" i="51" s="1"/>
  <c r="W2050" i="51"/>
  <c r="AC2050" i="51" s="1"/>
  <c r="V2050" i="51"/>
  <c r="AB2050" i="51" s="1"/>
  <c r="X2049" i="51"/>
  <c r="AD2049" i="51" s="1"/>
  <c r="W2049" i="51"/>
  <c r="AC2049" i="51" s="1"/>
  <c r="V2049" i="51"/>
  <c r="AB2049" i="51" s="1"/>
  <c r="X2048" i="51"/>
  <c r="AD2048" i="51" s="1"/>
  <c r="W2048" i="51"/>
  <c r="AC2048" i="51" s="1"/>
  <c r="V2048" i="51"/>
  <c r="AB2048" i="51" s="1"/>
  <c r="X2047" i="51"/>
  <c r="AD2047" i="51" s="1"/>
  <c r="W2047" i="51"/>
  <c r="AC2047" i="51" s="1"/>
  <c r="V2047" i="51"/>
  <c r="AB2047" i="51" s="1"/>
  <c r="X2046" i="51"/>
  <c r="AD2046" i="51" s="1"/>
  <c r="W2046" i="51"/>
  <c r="AC2046" i="51" s="1"/>
  <c r="V2046" i="51"/>
  <c r="AB2046" i="51" s="1"/>
  <c r="X2045" i="51"/>
  <c r="AD2045" i="51" s="1"/>
  <c r="W2045" i="51"/>
  <c r="AC2045" i="51" s="1"/>
  <c r="V2045" i="51"/>
  <c r="AB2045" i="51" s="1"/>
  <c r="X2044" i="51"/>
  <c r="AD2044" i="51" s="1"/>
  <c r="W2044" i="51"/>
  <c r="AC2044" i="51" s="1"/>
  <c r="V2044" i="51"/>
  <c r="AB2044" i="51" s="1"/>
  <c r="X2043" i="51"/>
  <c r="AD2043" i="51" s="1"/>
  <c r="W2043" i="51"/>
  <c r="AC2043" i="51" s="1"/>
  <c r="V2043" i="51"/>
  <c r="AB2043" i="51" s="1"/>
  <c r="X2042" i="51"/>
  <c r="AD2042" i="51" s="1"/>
  <c r="W2042" i="51"/>
  <c r="AC2042" i="51" s="1"/>
  <c r="V2042" i="51"/>
  <c r="AB2042" i="51" s="1"/>
  <c r="X2041" i="51"/>
  <c r="AD2041" i="51" s="1"/>
  <c r="W2041" i="51"/>
  <c r="AC2041" i="51" s="1"/>
  <c r="V2041" i="51"/>
  <c r="AB2041" i="51" s="1"/>
  <c r="X2040" i="51"/>
  <c r="AD2040" i="51" s="1"/>
  <c r="W2040" i="51"/>
  <c r="AC2040" i="51" s="1"/>
  <c r="V2040" i="51"/>
  <c r="AB2040" i="51" s="1"/>
  <c r="X2039" i="51"/>
  <c r="AD2039" i="51" s="1"/>
  <c r="W2039" i="51"/>
  <c r="AC2039" i="51" s="1"/>
  <c r="V2039" i="51"/>
  <c r="AB2039" i="51" s="1"/>
  <c r="X2038" i="51"/>
  <c r="AD2038" i="51" s="1"/>
  <c r="W2038" i="51"/>
  <c r="AC2038" i="51" s="1"/>
  <c r="V2038" i="51"/>
  <c r="AB2038" i="51" s="1"/>
  <c r="X2037" i="51"/>
  <c r="AD2037" i="51" s="1"/>
  <c r="W2037" i="51"/>
  <c r="AC2037" i="51" s="1"/>
  <c r="V2037" i="51"/>
  <c r="AB2037" i="51" s="1"/>
  <c r="X2036" i="51"/>
  <c r="AD2036" i="51" s="1"/>
  <c r="W2036" i="51"/>
  <c r="AC2036" i="51" s="1"/>
  <c r="V2036" i="51"/>
  <c r="AB2036" i="51" s="1"/>
  <c r="X2035" i="51"/>
  <c r="AD2035" i="51" s="1"/>
  <c r="W2035" i="51"/>
  <c r="AC2035" i="51" s="1"/>
  <c r="V2035" i="51"/>
  <c r="AB2035" i="51" s="1"/>
  <c r="X2034" i="51"/>
  <c r="AD2034" i="51" s="1"/>
  <c r="W2034" i="51"/>
  <c r="AC2034" i="51" s="1"/>
  <c r="V2034" i="51"/>
  <c r="AB2034" i="51" s="1"/>
  <c r="X2033" i="51"/>
  <c r="AD2033" i="51" s="1"/>
  <c r="W2033" i="51"/>
  <c r="AC2033" i="51" s="1"/>
  <c r="V2033" i="51"/>
  <c r="AB2033" i="51" s="1"/>
  <c r="X2032" i="51"/>
  <c r="AD2032" i="51" s="1"/>
  <c r="W2032" i="51"/>
  <c r="AC2032" i="51" s="1"/>
  <c r="V2032" i="51"/>
  <c r="AB2032" i="51" s="1"/>
  <c r="X2031" i="51"/>
  <c r="AD2031" i="51" s="1"/>
  <c r="W2031" i="51"/>
  <c r="AC2031" i="51" s="1"/>
  <c r="V2031" i="51"/>
  <c r="AB2031" i="51" s="1"/>
  <c r="X2030" i="51"/>
  <c r="AD2030" i="51" s="1"/>
  <c r="W2030" i="51"/>
  <c r="AC2030" i="51" s="1"/>
  <c r="V2030" i="51"/>
  <c r="AB2030" i="51" s="1"/>
  <c r="X2029" i="51"/>
  <c r="AD2029" i="51" s="1"/>
  <c r="W2029" i="51"/>
  <c r="AC2029" i="51" s="1"/>
  <c r="V2029" i="51"/>
  <c r="AB2029" i="51" s="1"/>
  <c r="X2028" i="51"/>
  <c r="AD2028" i="51" s="1"/>
  <c r="W2028" i="51"/>
  <c r="AC2028" i="51" s="1"/>
  <c r="V2028" i="51"/>
  <c r="AB2028" i="51" s="1"/>
  <c r="X2027" i="51"/>
  <c r="AD2027" i="51" s="1"/>
  <c r="W2027" i="51"/>
  <c r="AC2027" i="51" s="1"/>
  <c r="V2027" i="51"/>
  <c r="AB2027" i="51" s="1"/>
  <c r="X2026" i="51"/>
  <c r="AD2026" i="51" s="1"/>
  <c r="W2026" i="51"/>
  <c r="AC2026" i="51" s="1"/>
  <c r="V2026" i="51"/>
  <c r="AB2026" i="51" s="1"/>
  <c r="X2025" i="51"/>
  <c r="AD2025" i="51" s="1"/>
  <c r="W2025" i="51"/>
  <c r="AC2025" i="51" s="1"/>
  <c r="V2025" i="51"/>
  <c r="AB2025" i="51" s="1"/>
  <c r="X2024" i="51"/>
  <c r="AD2024" i="51" s="1"/>
  <c r="W2024" i="51"/>
  <c r="AC2024" i="51" s="1"/>
  <c r="V2024" i="51"/>
  <c r="AB2024" i="51" s="1"/>
  <c r="X2023" i="51"/>
  <c r="AD2023" i="51" s="1"/>
  <c r="W2023" i="51"/>
  <c r="AC2023" i="51" s="1"/>
  <c r="V2023" i="51"/>
  <c r="AB2023" i="51" s="1"/>
  <c r="X2022" i="51"/>
  <c r="AD2022" i="51" s="1"/>
  <c r="W2022" i="51"/>
  <c r="AC2022" i="51" s="1"/>
  <c r="V2022" i="51"/>
  <c r="AB2022" i="51" s="1"/>
  <c r="X2021" i="51"/>
  <c r="AD2021" i="51" s="1"/>
  <c r="W2021" i="51"/>
  <c r="AC2021" i="51" s="1"/>
  <c r="V2021" i="51"/>
  <c r="AB2021" i="51" s="1"/>
  <c r="X2020" i="51"/>
  <c r="AD2020" i="51" s="1"/>
  <c r="W2020" i="51"/>
  <c r="AC2020" i="51" s="1"/>
  <c r="V2020" i="51"/>
  <c r="AB2020" i="51" s="1"/>
  <c r="X2019" i="51"/>
  <c r="AD2019" i="51" s="1"/>
  <c r="W2019" i="51"/>
  <c r="AC2019" i="51" s="1"/>
  <c r="V2019" i="51"/>
  <c r="AB2019" i="51" s="1"/>
  <c r="X2018" i="51"/>
  <c r="AD2018" i="51" s="1"/>
  <c r="W2018" i="51"/>
  <c r="AC2018" i="51" s="1"/>
  <c r="V2018" i="51"/>
  <c r="AB2018" i="51" s="1"/>
  <c r="X2017" i="51"/>
  <c r="AD2017" i="51" s="1"/>
  <c r="W2017" i="51"/>
  <c r="AC2017" i="51" s="1"/>
  <c r="V2017" i="51"/>
  <c r="AB2017" i="51" s="1"/>
  <c r="X2016" i="51"/>
  <c r="AD2016" i="51" s="1"/>
  <c r="W2016" i="51"/>
  <c r="AC2016" i="51" s="1"/>
  <c r="V2016" i="51"/>
  <c r="AB2016" i="51" s="1"/>
  <c r="X2015" i="51"/>
  <c r="AD2015" i="51" s="1"/>
  <c r="W2015" i="51"/>
  <c r="AC2015" i="51" s="1"/>
  <c r="V2015" i="51"/>
  <c r="AB2015" i="51" s="1"/>
  <c r="X2014" i="51"/>
  <c r="AD2014" i="51" s="1"/>
  <c r="W2014" i="51"/>
  <c r="AC2014" i="51" s="1"/>
  <c r="V2014" i="51"/>
  <c r="AB2014" i="51" s="1"/>
  <c r="X2013" i="51"/>
  <c r="AD2013" i="51" s="1"/>
  <c r="W2013" i="51"/>
  <c r="AC2013" i="51" s="1"/>
  <c r="V2013" i="51"/>
  <c r="AB2013" i="51" s="1"/>
  <c r="X2012" i="51"/>
  <c r="AD2012" i="51" s="1"/>
  <c r="W2012" i="51"/>
  <c r="AC2012" i="51" s="1"/>
  <c r="V2012" i="51"/>
  <c r="AB2012" i="51" s="1"/>
  <c r="X2011" i="51"/>
  <c r="AD2011" i="51" s="1"/>
  <c r="W2011" i="51"/>
  <c r="AC2011" i="51" s="1"/>
  <c r="V2011" i="51"/>
  <c r="AB2011" i="51" s="1"/>
  <c r="X2010" i="51"/>
  <c r="AD2010" i="51" s="1"/>
  <c r="W2010" i="51"/>
  <c r="AC2010" i="51" s="1"/>
  <c r="V2010" i="51"/>
  <c r="AB2010" i="51" s="1"/>
  <c r="X2009" i="51"/>
  <c r="AD2009" i="51" s="1"/>
  <c r="W2009" i="51"/>
  <c r="AC2009" i="51" s="1"/>
  <c r="V2009" i="51"/>
  <c r="AB2009" i="51" s="1"/>
  <c r="X2008" i="51"/>
  <c r="AD2008" i="51" s="1"/>
  <c r="W2008" i="51"/>
  <c r="AC2008" i="51" s="1"/>
  <c r="V2008" i="51"/>
  <c r="AB2008" i="51" s="1"/>
  <c r="X2007" i="51"/>
  <c r="AD2007" i="51" s="1"/>
  <c r="W2007" i="51"/>
  <c r="AC2007" i="51" s="1"/>
  <c r="V2007" i="51"/>
  <c r="AB2007" i="51" s="1"/>
  <c r="X2006" i="51"/>
  <c r="AD2006" i="51" s="1"/>
  <c r="W2006" i="51"/>
  <c r="AC2006" i="51" s="1"/>
  <c r="V2006" i="51"/>
  <c r="AB2006" i="51" s="1"/>
  <c r="X2005" i="51"/>
  <c r="AD2005" i="51" s="1"/>
  <c r="W2005" i="51"/>
  <c r="AC2005" i="51" s="1"/>
  <c r="V2005" i="51"/>
  <c r="AB2005" i="51" s="1"/>
  <c r="X2004" i="51"/>
  <c r="AD2004" i="51" s="1"/>
  <c r="W2004" i="51"/>
  <c r="AC2004" i="51" s="1"/>
  <c r="V2004" i="51"/>
  <c r="AB2004" i="51" s="1"/>
  <c r="X2003" i="51"/>
  <c r="AD2003" i="51" s="1"/>
  <c r="W2003" i="51"/>
  <c r="AC2003" i="51" s="1"/>
  <c r="V2003" i="51"/>
  <c r="AB2003" i="51" s="1"/>
  <c r="X2002" i="51"/>
  <c r="AD2002" i="51" s="1"/>
  <c r="W2002" i="51"/>
  <c r="AC2002" i="51" s="1"/>
  <c r="V2002" i="51"/>
  <c r="AB2002" i="51" s="1"/>
  <c r="X2001" i="51"/>
  <c r="AD2001" i="51" s="1"/>
  <c r="W2001" i="51"/>
  <c r="AC2001" i="51" s="1"/>
  <c r="V2001" i="51"/>
  <c r="AB2001" i="51" s="1"/>
  <c r="X2000" i="51"/>
  <c r="AD2000" i="51" s="1"/>
  <c r="W2000" i="51"/>
  <c r="AC2000" i="51" s="1"/>
  <c r="V2000" i="51"/>
  <c r="AB2000" i="51" s="1"/>
  <c r="X1999" i="51"/>
  <c r="AD1999" i="51" s="1"/>
  <c r="W1999" i="51"/>
  <c r="AC1999" i="51" s="1"/>
  <c r="V1999" i="51"/>
  <c r="AB1999" i="51" s="1"/>
  <c r="X1998" i="51"/>
  <c r="AD1998" i="51" s="1"/>
  <c r="W1998" i="51"/>
  <c r="AC1998" i="51" s="1"/>
  <c r="V1998" i="51"/>
  <c r="AB1998" i="51" s="1"/>
  <c r="X1997" i="51"/>
  <c r="AD1997" i="51" s="1"/>
  <c r="W1997" i="51"/>
  <c r="AC1997" i="51" s="1"/>
  <c r="V1997" i="51"/>
  <c r="AB1997" i="51" s="1"/>
  <c r="X1996" i="51"/>
  <c r="AD1996" i="51" s="1"/>
  <c r="W1996" i="51"/>
  <c r="AC1996" i="51" s="1"/>
  <c r="V1996" i="51"/>
  <c r="AB1996" i="51" s="1"/>
  <c r="X1995" i="51"/>
  <c r="AD1995" i="51" s="1"/>
  <c r="W1995" i="51"/>
  <c r="AC1995" i="51" s="1"/>
  <c r="V1995" i="51"/>
  <c r="AB1995" i="51" s="1"/>
  <c r="X1994" i="51"/>
  <c r="AD1994" i="51" s="1"/>
  <c r="W1994" i="51"/>
  <c r="AC1994" i="51" s="1"/>
  <c r="V1994" i="51"/>
  <c r="AB1994" i="51" s="1"/>
  <c r="X1993" i="51"/>
  <c r="AD1993" i="51" s="1"/>
  <c r="W1993" i="51"/>
  <c r="AC1993" i="51" s="1"/>
  <c r="V1993" i="51"/>
  <c r="AB1993" i="51" s="1"/>
  <c r="X1992" i="51"/>
  <c r="AD1992" i="51" s="1"/>
  <c r="W1992" i="51"/>
  <c r="AC1992" i="51" s="1"/>
  <c r="V1992" i="51"/>
  <c r="AB1992" i="51" s="1"/>
  <c r="X1991" i="51"/>
  <c r="AD1991" i="51" s="1"/>
  <c r="W1991" i="51"/>
  <c r="AC1991" i="51" s="1"/>
  <c r="V1991" i="51"/>
  <c r="AB1991" i="51" s="1"/>
  <c r="X1990" i="51"/>
  <c r="AD1990" i="51" s="1"/>
  <c r="W1990" i="51"/>
  <c r="AC1990" i="51" s="1"/>
  <c r="V1990" i="51"/>
  <c r="AB1990" i="51" s="1"/>
  <c r="X1989" i="51"/>
  <c r="AD1989" i="51" s="1"/>
  <c r="W1989" i="51"/>
  <c r="AC1989" i="51" s="1"/>
  <c r="V1989" i="51"/>
  <c r="AB1989" i="51" s="1"/>
  <c r="X1988" i="51"/>
  <c r="AD1988" i="51" s="1"/>
  <c r="W1988" i="51"/>
  <c r="AC1988" i="51" s="1"/>
  <c r="V1988" i="51"/>
  <c r="AB1988" i="51" s="1"/>
  <c r="X1987" i="51"/>
  <c r="AD1987" i="51" s="1"/>
  <c r="W1987" i="51"/>
  <c r="AC1987" i="51" s="1"/>
  <c r="V1987" i="51"/>
  <c r="AB1987" i="51" s="1"/>
  <c r="X1986" i="51"/>
  <c r="AD1986" i="51" s="1"/>
  <c r="W1986" i="51"/>
  <c r="AC1986" i="51" s="1"/>
  <c r="V1986" i="51"/>
  <c r="AB1986" i="51" s="1"/>
  <c r="X1985" i="51"/>
  <c r="AD1985" i="51" s="1"/>
  <c r="W1985" i="51"/>
  <c r="AC1985" i="51" s="1"/>
  <c r="V1985" i="51"/>
  <c r="AB1985" i="51" s="1"/>
  <c r="X1984" i="51"/>
  <c r="AD1984" i="51" s="1"/>
  <c r="W1984" i="51"/>
  <c r="AC1984" i="51" s="1"/>
  <c r="V1984" i="51"/>
  <c r="AB1984" i="51" s="1"/>
  <c r="X1983" i="51"/>
  <c r="AD1983" i="51" s="1"/>
  <c r="W1983" i="51"/>
  <c r="AC1983" i="51" s="1"/>
  <c r="V1983" i="51"/>
  <c r="AB1983" i="51" s="1"/>
  <c r="X1982" i="51"/>
  <c r="AD1982" i="51" s="1"/>
  <c r="W1982" i="51"/>
  <c r="AC1982" i="51" s="1"/>
  <c r="V1982" i="51"/>
  <c r="AB1982" i="51" s="1"/>
  <c r="X1981" i="51"/>
  <c r="AD1981" i="51" s="1"/>
  <c r="W1981" i="51"/>
  <c r="AC1981" i="51" s="1"/>
  <c r="V1981" i="51"/>
  <c r="AB1981" i="51" s="1"/>
  <c r="X1980" i="51"/>
  <c r="AD1980" i="51" s="1"/>
  <c r="W1980" i="51"/>
  <c r="AC1980" i="51" s="1"/>
  <c r="V1980" i="51"/>
  <c r="AB1980" i="51" s="1"/>
  <c r="X1979" i="51"/>
  <c r="AD1979" i="51" s="1"/>
  <c r="W1979" i="51"/>
  <c r="AC1979" i="51" s="1"/>
  <c r="V1979" i="51"/>
  <c r="AB1979" i="51" s="1"/>
  <c r="X1978" i="51"/>
  <c r="AD1978" i="51" s="1"/>
  <c r="W1978" i="51"/>
  <c r="AC1978" i="51" s="1"/>
  <c r="V1978" i="51"/>
  <c r="AB1978" i="51" s="1"/>
  <c r="X1977" i="51"/>
  <c r="AD1977" i="51" s="1"/>
  <c r="W1977" i="51"/>
  <c r="AC1977" i="51" s="1"/>
  <c r="V1977" i="51"/>
  <c r="AB1977" i="51" s="1"/>
  <c r="X1976" i="51"/>
  <c r="AD1976" i="51" s="1"/>
  <c r="W1976" i="51"/>
  <c r="AC1976" i="51" s="1"/>
  <c r="V1976" i="51"/>
  <c r="AB1976" i="51" s="1"/>
  <c r="X1975" i="51"/>
  <c r="AD1975" i="51" s="1"/>
  <c r="W1975" i="51"/>
  <c r="AC1975" i="51" s="1"/>
  <c r="V1975" i="51"/>
  <c r="AB1975" i="51" s="1"/>
  <c r="X1974" i="51"/>
  <c r="AD1974" i="51" s="1"/>
  <c r="W1974" i="51"/>
  <c r="AC1974" i="51" s="1"/>
  <c r="V1974" i="51"/>
  <c r="AB1974" i="51" s="1"/>
  <c r="X1973" i="51"/>
  <c r="AD1973" i="51" s="1"/>
  <c r="W1973" i="51"/>
  <c r="AC1973" i="51" s="1"/>
  <c r="V1973" i="51"/>
  <c r="AB1973" i="51" s="1"/>
  <c r="X1972" i="51"/>
  <c r="AD1972" i="51" s="1"/>
  <c r="W1972" i="51"/>
  <c r="AC1972" i="51" s="1"/>
  <c r="V1972" i="51"/>
  <c r="AB1972" i="51" s="1"/>
  <c r="X1971" i="51"/>
  <c r="AD1971" i="51" s="1"/>
  <c r="W1971" i="51"/>
  <c r="AC1971" i="51" s="1"/>
  <c r="V1971" i="51"/>
  <c r="AB1971" i="51" s="1"/>
  <c r="X1970" i="51"/>
  <c r="AD1970" i="51" s="1"/>
  <c r="W1970" i="51"/>
  <c r="AC1970" i="51" s="1"/>
  <c r="V1970" i="51"/>
  <c r="AB1970" i="51" s="1"/>
  <c r="X1969" i="51"/>
  <c r="AD1969" i="51" s="1"/>
  <c r="W1969" i="51"/>
  <c r="AC1969" i="51" s="1"/>
  <c r="V1969" i="51"/>
  <c r="AB1969" i="51" s="1"/>
  <c r="X1968" i="51"/>
  <c r="AD1968" i="51" s="1"/>
  <c r="W1968" i="51"/>
  <c r="AC1968" i="51" s="1"/>
  <c r="V1968" i="51"/>
  <c r="AB1968" i="51" s="1"/>
  <c r="X1967" i="51"/>
  <c r="AD1967" i="51" s="1"/>
  <c r="W1967" i="51"/>
  <c r="AC1967" i="51" s="1"/>
  <c r="V1967" i="51"/>
  <c r="AB1967" i="51" s="1"/>
  <c r="X1966" i="51"/>
  <c r="AD1966" i="51" s="1"/>
  <c r="W1966" i="51"/>
  <c r="AC1966" i="51" s="1"/>
  <c r="V1966" i="51"/>
  <c r="AB1966" i="51" s="1"/>
  <c r="X1965" i="51"/>
  <c r="AD1965" i="51" s="1"/>
  <c r="W1965" i="51"/>
  <c r="AC1965" i="51" s="1"/>
  <c r="V1965" i="51"/>
  <c r="AB1965" i="51" s="1"/>
  <c r="X1964" i="51"/>
  <c r="AD1964" i="51" s="1"/>
  <c r="W1964" i="51"/>
  <c r="AC1964" i="51" s="1"/>
  <c r="V1964" i="51"/>
  <c r="AB1964" i="51" s="1"/>
  <c r="X1963" i="51"/>
  <c r="AD1963" i="51" s="1"/>
  <c r="W1963" i="51"/>
  <c r="AC1963" i="51" s="1"/>
  <c r="V1963" i="51"/>
  <c r="AB1963" i="51" s="1"/>
  <c r="X1962" i="51"/>
  <c r="AD1962" i="51" s="1"/>
  <c r="W1962" i="51"/>
  <c r="AC1962" i="51" s="1"/>
  <c r="V1962" i="51"/>
  <c r="AB1962" i="51" s="1"/>
  <c r="X1961" i="51"/>
  <c r="AD1961" i="51" s="1"/>
  <c r="W1961" i="51"/>
  <c r="AC1961" i="51" s="1"/>
  <c r="V1961" i="51"/>
  <c r="AB1961" i="51" s="1"/>
  <c r="X1960" i="51"/>
  <c r="AD1960" i="51" s="1"/>
  <c r="W1960" i="51"/>
  <c r="AC1960" i="51" s="1"/>
  <c r="V1960" i="51"/>
  <c r="AB1960" i="51" s="1"/>
  <c r="X1959" i="51"/>
  <c r="AD1959" i="51" s="1"/>
  <c r="W1959" i="51"/>
  <c r="AC1959" i="51" s="1"/>
  <c r="V1959" i="51"/>
  <c r="AB1959" i="51" s="1"/>
  <c r="X1958" i="51"/>
  <c r="AD1958" i="51" s="1"/>
  <c r="W1958" i="51"/>
  <c r="AC1958" i="51" s="1"/>
  <c r="V1958" i="51"/>
  <c r="AB1958" i="51" s="1"/>
  <c r="X1957" i="51"/>
  <c r="AD1957" i="51" s="1"/>
  <c r="W1957" i="51"/>
  <c r="AC1957" i="51" s="1"/>
  <c r="V1957" i="51"/>
  <c r="AB1957" i="51" s="1"/>
  <c r="X1956" i="51"/>
  <c r="AD1956" i="51" s="1"/>
  <c r="W1956" i="51"/>
  <c r="AC1956" i="51" s="1"/>
  <c r="V1956" i="51"/>
  <c r="AB1956" i="51" s="1"/>
  <c r="X1955" i="51"/>
  <c r="AD1955" i="51" s="1"/>
  <c r="W1955" i="51"/>
  <c r="AC1955" i="51" s="1"/>
  <c r="V1955" i="51"/>
  <c r="AB1955" i="51" s="1"/>
  <c r="X1954" i="51"/>
  <c r="AD1954" i="51" s="1"/>
  <c r="W1954" i="51"/>
  <c r="AC1954" i="51" s="1"/>
  <c r="V1954" i="51"/>
  <c r="AB1954" i="51" s="1"/>
  <c r="X1953" i="51"/>
  <c r="AD1953" i="51" s="1"/>
  <c r="W1953" i="51"/>
  <c r="AC1953" i="51" s="1"/>
  <c r="V1953" i="51"/>
  <c r="AB1953" i="51" s="1"/>
  <c r="X1952" i="51"/>
  <c r="AD1952" i="51" s="1"/>
  <c r="W1952" i="51"/>
  <c r="AC1952" i="51" s="1"/>
  <c r="V1952" i="51"/>
  <c r="AB1952" i="51" s="1"/>
  <c r="X1951" i="51"/>
  <c r="AD1951" i="51" s="1"/>
  <c r="W1951" i="51"/>
  <c r="AC1951" i="51" s="1"/>
  <c r="V1951" i="51"/>
  <c r="AB1951" i="51" s="1"/>
  <c r="X1950" i="51"/>
  <c r="AD1950" i="51" s="1"/>
  <c r="W1950" i="51"/>
  <c r="AC1950" i="51" s="1"/>
  <c r="V1950" i="51"/>
  <c r="AB1950" i="51" s="1"/>
  <c r="X1949" i="51"/>
  <c r="AD1949" i="51" s="1"/>
  <c r="W1949" i="51"/>
  <c r="AC1949" i="51" s="1"/>
  <c r="V1949" i="51"/>
  <c r="AB1949" i="51" s="1"/>
  <c r="X1948" i="51"/>
  <c r="AD1948" i="51" s="1"/>
  <c r="W1948" i="51"/>
  <c r="AC1948" i="51" s="1"/>
  <c r="V1948" i="51"/>
  <c r="AB1948" i="51" s="1"/>
  <c r="X1947" i="51"/>
  <c r="AD1947" i="51" s="1"/>
  <c r="W1947" i="51"/>
  <c r="AC1947" i="51" s="1"/>
  <c r="V1947" i="51"/>
  <c r="AB1947" i="51" s="1"/>
  <c r="X1946" i="51"/>
  <c r="AD1946" i="51" s="1"/>
  <c r="W1946" i="51"/>
  <c r="AC1946" i="51" s="1"/>
  <c r="V1946" i="51"/>
  <c r="AB1946" i="51" s="1"/>
  <c r="X1945" i="51"/>
  <c r="AD1945" i="51" s="1"/>
  <c r="W1945" i="51"/>
  <c r="AC1945" i="51" s="1"/>
  <c r="V1945" i="51"/>
  <c r="AB1945" i="51" s="1"/>
  <c r="X1944" i="51"/>
  <c r="AD1944" i="51" s="1"/>
  <c r="W1944" i="51"/>
  <c r="AC1944" i="51" s="1"/>
  <c r="V1944" i="51"/>
  <c r="AB1944" i="51" s="1"/>
  <c r="X1943" i="51"/>
  <c r="AD1943" i="51" s="1"/>
  <c r="W1943" i="51"/>
  <c r="AC1943" i="51" s="1"/>
  <c r="V1943" i="51"/>
  <c r="AB1943" i="51" s="1"/>
  <c r="X1942" i="51"/>
  <c r="AD1942" i="51" s="1"/>
  <c r="W1942" i="51"/>
  <c r="AC1942" i="51" s="1"/>
  <c r="V1942" i="51"/>
  <c r="AB1942" i="51" s="1"/>
  <c r="X1941" i="51"/>
  <c r="AD1941" i="51" s="1"/>
  <c r="W1941" i="51"/>
  <c r="AC1941" i="51" s="1"/>
  <c r="V1941" i="51"/>
  <c r="AB1941" i="51" s="1"/>
  <c r="X1940" i="51"/>
  <c r="AD1940" i="51" s="1"/>
  <c r="W1940" i="51"/>
  <c r="AC1940" i="51" s="1"/>
  <c r="V1940" i="51"/>
  <c r="AB1940" i="51" s="1"/>
  <c r="X1939" i="51"/>
  <c r="AD1939" i="51" s="1"/>
  <c r="W1939" i="51"/>
  <c r="AC1939" i="51" s="1"/>
  <c r="V1939" i="51"/>
  <c r="AB1939" i="51" s="1"/>
  <c r="X1938" i="51"/>
  <c r="AD1938" i="51" s="1"/>
  <c r="W1938" i="51"/>
  <c r="AC1938" i="51" s="1"/>
  <c r="V1938" i="51"/>
  <c r="AB1938" i="51" s="1"/>
  <c r="X1937" i="51"/>
  <c r="AD1937" i="51" s="1"/>
  <c r="W1937" i="51"/>
  <c r="AC1937" i="51" s="1"/>
  <c r="V1937" i="51"/>
  <c r="AB1937" i="51" s="1"/>
  <c r="X1936" i="51"/>
  <c r="AD1936" i="51" s="1"/>
  <c r="W1936" i="51"/>
  <c r="AC1936" i="51" s="1"/>
  <c r="V1936" i="51"/>
  <c r="AB1936" i="51" s="1"/>
  <c r="X1935" i="51"/>
  <c r="AD1935" i="51" s="1"/>
  <c r="W1935" i="51"/>
  <c r="AC1935" i="51" s="1"/>
  <c r="V1935" i="51"/>
  <c r="AB1935" i="51" s="1"/>
  <c r="X1934" i="51"/>
  <c r="AD1934" i="51" s="1"/>
  <c r="W1934" i="51"/>
  <c r="AC1934" i="51" s="1"/>
  <c r="V1934" i="51"/>
  <c r="AB1934" i="51" s="1"/>
  <c r="X1933" i="51"/>
  <c r="AD1933" i="51" s="1"/>
  <c r="W1933" i="51"/>
  <c r="AC1933" i="51" s="1"/>
  <c r="V1933" i="51"/>
  <c r="AB1933" i="51" s="1"/>
  <c r="X1932" i="51"/>
  <c r="AD1932" i="51" s="1"/>
  <c r="W1932" i="51"/>
  <c r="AC1932" i="51" s="1"/>
  <c r="V1932" i="51"/>
  <c r="AB1932" i="51" s="1"/>
  <c r="X1931" i="51"/>
  <c r="AD1931" i="51" s="1"/>
  <c r="W1931" i="51"/>
  <c r="AC1931" i="51" s="1"/>
  <c r="V1931" i="51"/>
  <c r="AB1931" i="51" s="1"/>
  <c r="X1930" i="51"/>
  <c r="AD1930" i="51" s="1"/>
  <c r="W1930" i="51"/>
  <c r="AC1930" i="51" s="1"/>
  <c r="V1930" i="51"/>
  <c r="AB1930" i="51" s="1"/>
  <c r="X1929" i="51"/>
  <c r="AD1929" i="51" s="1"/>
  <c r="W1929" i="51"/>
  <c r="AC1929" i="51" s="1"/>
  <c r="V1929" i="51"/>
  <c r="AB1929" i="51" s="1"/>
  <c r="X1928" i="51"/>
  <c r="AD1928" i="51" s="1"/>
  <c r="W1928" i="51"/>
  <c r="AC1928" i="51" s="1"/>
  <c r="V1928" i="51"/>
  <c r="AB1928" i="51" s="1"/>
  <c r="X1927" i="51"/>
  <c r="AD1927" i="51" s="1"/>
  <c r="W1927" i="51"/>
  <c r="AC1927" i="51" s="1"/>
  <c r="V1927" i="51"/>
  <c r="AB1927" i="51" s="1"/>
  <c r="X1926" i="51"/>
  <c r="AD1926" i="51" s="1"/>
  <c r="W1926" i="51"/>
  <c r="AC1926" i="51" s="1"/>
  <c r="V1926" i="51"/>
  <c r="AB1926" i="51" s="1"/>
  <c r="X1925" i="51"/>
  <c r="AD1925" i="51" s="1"/>
  <c r="W1925" i="51"/>
  <c r="AC1925" i="51" s="1"/>
  <c r="V1925" i="51"/>
  <c r="AB1925" i="51" s="1"/>
  <c r="X1924" i="51"/>
  <c r="AD1924" i="51" s="1"/>
  <c r="W1924" i="51"/>
  <c r="AC1924" i="51" s="1"/>
  <c r="V1924" i="51"/>
  <c r="AB1924" i="51" s="1"/>
  <c r="X1923" i="51"/>
  <c r="AD1923" i="51" s="1"/>
  <c r="W1923" i="51"/>
  <c r="AC1923" i="51" s="1"/>
  <c r="V1923" i="51"/>
  <c r="AB1923" i="51" s="1"/>
  <c r="X1922" i="51"/>
  <c r="AD1922" i="51" s="1"/>
  <c r="W1922" i="51"/>
  <c r="AC1922" i="51" s="1"/>
  <c r="V1922" i="51"/>
  <c r="AB1922" i="51" s="1"/>
  <c r="X1921" i="51"/>
  <c r="AD1921" i="51" s="1"/>
  <c r="W1921" i="51"/>
  <c r="AC1921" i="51" s="1"/>
  <c r="V1921" i="51"/>
  <c r="AB1921" i="51" s="1"/>
  <c r="X1920" i="51"/>
  <c r="AD1920" i="51" s="1"/>
  <c r="W1920" i="51"/>
  <c r="AC1920" i="51" s="1"/>
  <c r="V1920" i="51"/>
  <c r="AB1920" i="51" s="1"/>
  <c r="X1919" i="51"/>
  <c r="AD1919" i="51" s="1"/>
  <c r="W1919" i="51"/>
  <c r="AC1919" i="51" s="1"/>
  <c r="V1919" i="51"/>
  <c r="AB1919" i="51" s="1"/>
  <c r="X1918" i="51"/>
  <c r="AD1918" i="51" s="1"/>
  <c r="W1918" i="51"/>
  <c r="AC1918" i="51" s="1"/>
  <c r="V1918" i="51"/>
  <c r="AB1918" i="51" s="1"/>
  <c r="X1917" i="51"/>
  <c r="AD1917" i="51" s="1"/>
  <c r="W1917" i="51"/>
  <c r="AC1917" i="51" s="1"/>
  <c r="V1917" i="51"/>
  <c r="AB1917" i="51" s="1"/>
  <c r="X1916" i="51"/>
  <c r="AD1916" i="51" s="1"/>
  <c r="W1916" i="51"/>
  <c r="AC1916" i="51" s="1"/>
  <c r="V1916" i="51"/>
  <c r="AB1916" i="51" s="1"/>
  <c r="X1915" i="51"/>
  <c r="AD1915" i="51" s="1"/>
  <c r="W1915" i="51"/>
  <c r="AC1915" i="51" s="1"/>
  <c r="V1915" i="51"/>
  <c r="AB1915" i="51" s="1"/>
  <c r="X1914" i="51"/>
  <c r="AD1914" i="51" s="1"/>
  <c r="W1914" i="51"/>
  <c r="AC1914" i="51" s="1"/>
  <c r="V1914" i="51"/>
  <c r="AB1914" i="51" s="1"/>
  <c r="X1913" i="51"/>
  <c r="AD1913" i="51" s="1"/>
  <c r="W1913" i="51"/>
  <c r="AC1913" i="51" s="1"/>
  <c r="V1913" i="51"/>
  <c r="AB1913" i="51" s="1"/>
  <c r="X1912" i="51"/>
  <c r="AD1912" i="51" s="1"/>
  <c r="W1912" i="51"/>
  <c r="AC1912" i="51" s="1"/>
  <c r="V1912" i="51"/>
  <c r="AB1912" i="51" s="1"/>
  <c r="X1911" i="51"/>
  <c r="AD1911" i="51" s="1"/>
  <c r="W1911" i="51"/>
  <c r="AC1911" i="51" s="1"/>
  <c r="V1911" i="51"/>
  <c r="AB1911" i="51" s="1"/>
  <c r="X1910" i="51"/>
  <c r="AD1910" i="51" s="1"/>
  <c r="W1910" i="51"/>
  <c r="AC1910" i="51" s="1"/>
  <c r="V1910" i="51"/>
  <c r="AB1910" i="51" s="1"/>
  <c r="X1909" i="51"/>
  <c r="AD1909" i="51" s="1"/>
  <c r="W1909" i="51"/>
  <c r="AC1909" i="51" s="1"/>
  <c r="V1909" i="51"/>
  <c r="AB1909" i="51" s="1"/>
  <c r="X1908" i="51"/>
  <c r="AD1908" i="51" s="1"/>
  <c r="W1908" i="51"/>
  <c r="AC1908" i="51" s="1"/>
  <c r="V1908" i="51"/>
  <c r="AB1908" i="51" s="1"/>
  <c r="X1907" i="51"/>
  <c r="AD1907" i="51" s="1"/>
  <c r="W1907" i="51"/>
  <c r="AC1907" i="51" s="1"/>
  <c r="V1907" i="51"/>
  <c r="AB1907" i="51" s="1"/>
  <c r="X1906" i="51"/>
  <c r="AD1906" i="51" s="1"/>
  <c r="W1906" i="51"/>
  <c r="AC1906" i="51" s="1"/>
  <c r="V1906" i="51"/>
  <c r="AB1906" i="51" s="1"/>
  <c r="X1905" i="51"/>
  <c r="AD1905" i="51" s="1"/>
  <c r="W1905" i="51"/>
  <c r="AC1905" i="51" s="1"/>
  <c r="V1905" i="51"/>
  <c r="AB1905" i="51" s="1"/>
  <c r="X1904" i="51"/>
  <c r="AD1904" i="51" s="1"/>
  <c r="W1904" i="51"/>
  <c r="AC1904" i="51" s="1"/>
  <c r="V1904" i="51"/>
  <c r="AB1904" i="51" s="1"/>
  <c r="X1903" i="51"/>
  <c r="AD1903" i="51" s="1"/>
  <c r="W1903" i="51"/>
  <c r="AC1903" i="51" s="1"/>
  <c r="V1903" i="51"/>
  <c r="AB1903" i="51" s="1"/>
  <c r="X1902" i="51"/>
  <c r="AD1902" i="51" s="1"/>
  <c r="W1902" i="51"/>
  <c r="AC1902" i="51" s="1"/>
  <c r="V1902" i="51"/>
  <c r="AB1902" i="51" s="1"/>
  <c r="X1901" i="51"/>
  <c r="AD1901" i="51" s="1"/>
  <c r="W1901" i="51"/>
  <c r="AC1901" i="51" s="1"/>
  <c r="V1901" i="51"/>
  <c r="AB1901" i="51" s="1"/>
  <c r="X1900" i="51"/>
  <c r="AD1900" i="51" s="1"/>
  <c r="W1900" i="51"/>
  <c r="AC1900" i="51" s="1"/>
  <c r="V1900" i="51"/>
  <c r="AB1900" i="51" s="1"/>
  <c r="X1899" i="51"/>
  <c r="AD1899" i="51" s="1"/>
  <c r="W1899" i="51"/>
  <c r="AC1899" i="51" s="1"/>
  <c r="V1899" i="51"/>
  <c r="AB1899" i="51" s="1"/>
  <c r="X1898" i="51"/>
  <c r="AD1898" i="51" s="1"/>
  <c r="W1898" i="51"/>
  <c r="AC1898" i="51" s="1"/>
  <c r="V1898" i="51"/>
  <c r="AB1898" i="51" s="1"/>
  <c r="X1897" i="51"/>
  <c r="AD1897" i="51" s="1"/>
  <c r="W1897" i="51"/>
  <c r="AC1897" i="51" s="1"/>
  <c r="V1897" i="51"/>
  <c r="AB1897" i="51" s="1"/>
  <c r="X1896" i="51"/>
  <c r="AD1896" i="51" s="1"/>
  <c r="W1896" i="51"/>
  <c r="AC1896" i="51" s="1"/>
  <c r="V1896" i="51"/>
  <c r="AB1896" i="51" s="1"/>
  <c r="X1895" i="51"/>
  <c r="AD1895" i="51" s="1"/>
  <c r="W1895" i="51"/>
  <c r="AC1895" i="51" s="1"/>
  <c r="V1895" i="51"/>
  <c r="AB1895" i="51" s="1"/>
  <c r="X1894" i="51"/>
  <c r="AD1894" i="51" s="1"/>
  <c r="W1894" i="51"/>
  <c r="AC1894" i="51" s="1"/>
  <c r="V1894" i="51"/>
  <c r="AB1894" i="51" s="1"/>
  <c r="X1893" i="51"/>
  <c r="AD1893" i="51" s="1"/>
  <c r="W1893" i="51"/>
  <c r="AC1893" i="51" s="1"/>
  <c r="V1893" i="51"/>
  <c r="AB1893" i="51" s="1"/>
  <c r="X1892" i="51"/>
  <c r="AD1892" i="51" s="1"/>
  <c r="W1892" i="51"/>
  <c r="AC1892" i="51" s="1"/>
  <c r="V1892" i="51"/>
  <c r="AB1892" i="51" s="1"/>
  <c r="X1891" i="51"/>
  <c r="AD1891" i="51" s="1"/>
  <c r="W1891" i="51"/>
  <c r="AC1891" i="51" s="1"/>
  <c r="V1891" i="51"/>
  <c r="AB1891" i="51" s="1"/>
  <c r="X1890" i="51"/>
  <c r="AD1890" i="51" s="1"/>
  <c r="W1890" i="51"/>
  <c r="AC1890" i="51" s="1"/>
  <c r="V1890" i="51"/>
  <c r="AB1890" i="51" s="1"/>
  <c r="X1889" i="51"/>
  <c r="AD1889" i="51" s="1"/>
  <c r="W1889" i="51"/>
  <c r="AC1889" i="51" s="1"/>
  <c r="V1889" i="51"/>
  <c r="AB1889" i="51" s="1"/>
  <c r="X1888" i="51"/>
  <c r="AD1888" i="51" s="1"/>
  <c r="W1888" i="51"/>
  <c r="AC1888" i="51" s="1"/>
  <c r="V1888" i="51"/>
  <c r="AB1888" i="51" s="1"/>
  <c r="X1887" i="51"/>
  <c r="AD1887" i="51" s="1"/>
  <c r="W1887" i="51"/>
  <c r="AC1887" i="51" s="1"/>
  <c r="V1887" i="51"/>
  <c r="AB1887" i="51" s="1"/>
  <c r="X1886" i="51"/>
  <c r="AD1886" i="51" s="1"/>
  <c r="W1886" i="51"/>
  <c r="AC1886" i="51" s="1"/>
  <c r="V1886" i="51"/>
  <c r="AB1886" i="51" s="1"/>
  <c r="X1885" i="51"/>
  <c r="AD1885" i="51" s="1"/>
  <c r="W1885" i="51"/>
  <c r="AC1885" i="51" s="1"/>
  <c r="V1885" i="51"/>
  <c r="AB1885" i="51" s="1"/>
  <c r="X1884" i="51"/>
  <c r="AD1884" i="51" s="1"/>
  <c r="W1884" i="51"/>
  <c r="AC1884" i="51" s="1"/>
  <c r="V1884" i="51"/>
  <c r="AB1884" i="51" s="1"/>
  <c r="X1883" i="51"/>
  <c r="AD1883" i="51" s="1"/>
  <c r="W1883" i="51"/>
  <c r="AC1883" i="51" s="1"/>
  <c r="V1883" i="51"/>
  <c r="AB1883" i="51" s="1"/>
  <c r="X1882" i="51"/>
  <c r="AD1882" i="51" s="1"/>
  <c r="W1882" i="51"/>
  <c r="AC1882" i="51" s="1"/>
  <c r="V1882" i="51"/>
  <c r="AB1882" i="51" s="1"/>
  <c r="X1881" i="51"/>
  <c r="AD1881" i="51" s="1"/>
  <c r="W1881" i="51"/>
  <c r="AC1881" i="51" s="1"/>
  <c r="V1881" i="51"/>
  <c r="AB1881" i="51" s="1"/>
  <c r="X1880" i="51"/>
  <c r="AD1880" i="51" s="1"/>
  <c r="W1880" i="51"/>
  <c r="AC1880" i="51" s="1"/>
  <c r="V1880" i="51"/>
  <c r="AB1880" i="51" s="1"/>
  <c r="X1879" i="51"/>
  <c r="AD1879" i="51" s="1"/>
  <c r="W1879" i="51"/>
  <c r="AC1879" i="51" s="1"/>
  <c r="V1879" i="51"/>
  <c r="AB1879" i="51" s="1"/>
  <c r="X1878" i="51"/>
  <c r="AD1878" i="51" s="1"/>
  <c r="W1878" i="51"/>
  <c r="AC1878" i="51" s="1"/>
  <c r="V1878" i="51"/>
  <c r="AB1878" i="51" s="1"/>
  <c r="X1877" i="51"/>
  <c r="AD1877" i="51" s="1"/>
  <c r="W1877" i="51"/>
  <c r="AC1877" i="51" s="1"/>
  <c r="V1877" i="51"/>
  <c r="AB1877" i="51" s="1"/>
  <c r="X1876" i="51"/>
  <c r="AD1876" i="51" s="1"/>
  <c r="W1876" i="51"/>
  <c r="AC1876" i="51" s="1"/>
  <c r="V1876" i="51"/>
  <c r="AB1876" i="51" s="1"/>
  <c r="X1875" i="51"/>
  <c r="AD1875" i="51" s="1"/>
  <c r="W1875" i="51"/>
  <c r="AC1875" i="51" s="1"/>
  <c r="V1875" i="51"/>
  <c r="AB1875" i="51" s="1"/>
  <c r="X1874" i="51"/>
  <c r="AD1874" i="51" s="1"/>
  <c r="W1874" i="51"/>
  <c r="AC1874" i="51" s="1"/>
  <c r="V1874" i="51"/>
  <c r="AB1874" i="51" s="1"/>
  <c r="X1873" i="51"/>
  <c r="AD1873" i="51" s="1"/>
  <c r="W1873" i="51"/>
  <c r="AC1873" i="51" s="1"/>
  <c r="V1873" i="51"/>
  <c r="AB1873" i="51" s="1"/>
  <c r="X1872" i="51"/>
  <c r="AD1872" i="51" s="1"/>
  <c r="W1872" i="51"/>
  <c r="AC1872" i="51" s="1"/>
  <c r="V1872" i="51"/>
  <c r="AB1872" i="51" s="1"/>
  <c r="X1871" i="51"/>
  <c r="AD1871" i="51" s="1"/>
  <c r="W1871" i="51"/>
  <c r="AC1871" i="51" s="1"/>
  <c r="V1871" i="51"/>
  <c r="AB1871" i="51" s="1"/>
  <c r="X1870" i="51"/>
  <c r="AD1870" i="51" s="1"/>
  <c r="W1870" i="51"/>
  <c r="AC1870" i="51" s="1"/>
  <c r="V1870" i="51"/>
  <c r="AB1870" i="51" s="1"/>
  <c r="X1869" i="51"/>
  <c r="AD1869" i="51" s="1"/>
  <c r="W1869" i="51"/>
  <c r="AC1869" i="51" s="1"/>
  <c r="V1869" i="51"/>
  <c r="AB1869" i="51" s="1"/>
  <c r="X1868" i="51"/>
  <c r="AD1868" i="51" s="1"/>
  <c r="W1868" i="51"/>
  <c r="AC1868" i="51" s="1"/>
  <c r="V1868" i="51"/>
  <c r="AB1868" i="51" s="1"/>
  <c r="X1867" i="51"/>
  <c r="AD1867" i="51" s="1"/>
  <c r="W1867" i="51"/>
  <c r="AC1867" i="51" s="1"/>
  <c r="V1867" i="51"/>
  <c r="AB1867" i="51" s="1"/>
  <c r="X1866" i="51"/>
  <c r="AD1866" i="51" s="1"/>
  <c r="W1866" i="51"/>
  <c r="AC1866" i="51" s="1"/>
  <c r="V1866" i="51"/>
  <c r="AB1866" i="51" s="1"/>
  <c r="X1865" i="51"/>
  <c r="AD1865" i="51" s="1"/>
  <c r="W1865" i="51"/>
  <c r="AC1865" i="51" s="1"/>
  <c r="V1865" i="51"/>
  <c r="AB1865" i="51" s="1"/>
  <c r="X1864" i="51"/>
  <c r="AD1864" i="51" s="1"/>
  <c r="W1864" i="51"/>
  <c r="AC1864" i="51" s="1"/>
  <c r="V1864" i="51"/>
  <c r="AB1864" i="51" s="1"/>
  <c r="X1863" i="51"/>
  <c r="AD1863" i="51" s="1"/>
  <c r="W1863" i="51"/>
  <c r="AC1863" i="51" s="1"/>
  <c r="V1863" i="51"/>
  <c r="AB1863" i="51" s="1"/>
  <c r="X1862" i="51"/>
  <c r="AD1862" i="51" s="1"/>
  <c r="W1862" i="51"/>
  <c r="AC1862" i="51" s="1"/>
  <c r="V1862" i="51"/>
  <c r="AB1862" i="51" s="1"/>
  <c r="X1861" i="51"/>
  <c r="AD1861" i="51" s="1"/>
  <c r="W1861" i="51"/>
  <c r="AC1861" i="51" s="1"/>
  <c r="V1861" i="51"/>
  <c r="AB1861" i="51" s="1"/>
  <c r="X1860" i="51"/>
  <c r="AD1860" i="51" s="1"/>
  <c r="W1860" i="51"/>
  <c r="AC1860" i="51" s="1"/>
  <c r="V1860" i="51"/>
  <c r="AB1860" i="51" s="1"/>
  <c r="X1859" i="51"/>
  <c r="AD1859" i="51" s="1"/>
  <c r="W1859" i="51"/>
  <c r="AC1859" i="51" s="1"/>
  <c r="V1859" i="51"/>
  <c r="AB1859" i="51" s="1"/>
  <c r="X1858" i="51"/>
  <c r="AD1858" i="51" s="1"/>
  <c r="W1858" i="51"/>
  <c r="AC1858" i="51" s="1"/>
  <c r="V1858" i="51"/>
  <c r="AB1858" i="51" s="1"/>
  <c r="X1857" i="51"/>
  <c r="AD1857" i="51" s="1"/>
  <c r="W1857" i="51"/>
  <c r="AC1857" i="51" s="1"/>
  <c r="V1857" i="51"/>
  <c r="AB1857" i="51" s="1"/>
  <c r="X1856" i="51"/>
  <c r="AD1856" i="51" s="1"/>
  <c r="W1856" i="51"/>
  <c r="AC1856" i="51" s="1"/>
  <c r="V1856" i="51"/>
  <c r="AB1856" i="51" s="1"/>
  <c r="X1855" i="51"/>
  <c r="AD1855" i="51" s="1"/>
  <c r="W1855" i="51"/>
  <c r="AC1855" i="51" s="1"/>
  <c r="V1855" i="51"/>
  <c r="AB1855" i="51" s="1"/>
  <c r="X1854" i="51"/>
  <c r="AD1854" i="51" s="1"/>
  <c r="W1854" i="51"/>
  <c r="AC1854" i="51" s="1"/>
  <c r="V1854" i="51"/>
  <c r="AB1854" i="51" s="1"/>
  <c r="X1853" i="51"/>
  <c r="AD1853" i="51" s="1"/>
  <c r="W1853" i="51"/>
  <c r="AC1853" i="51" s="1"/>
  <c r="V1853" i="51"/>
  <c r="AB1853" i="51" s="1"/>
  <c r="X1852" i="51"/>
  <c r="AD1852" i="51" s="1"/>
  <c r="W1852" i="51"/>
  <c r="AC1852" i="51" s="1"/>
  <c r="V1852" i="51"/>
  <c r="AB1852" i="51" s="1"/>
  <c r="X1851" i="51"/>
  <c r="AD1851" i="51" s="1"/>
  <c r="W1851" i="51"/>
  <c r="AC1851" i="51" s="1"/>
  <c r="V1851" i="51"/>
  <c r="AB1851" i="51" s="1"/>
  <c r="X1850" i="51"/>
  <c r="AD1850" i="51" s="1"/>
  <c r="W1850" i="51"/>
  <c r="AC1850" i="51" s="1"/>
  <c r="V1850" i="51"/>
  <c r="AB1850" i="51" s="1"/>
  <c r="X1849" i="51"/>
  <c r="AD1849" i="51" s="1"/>
  <c r="W1849" i="51"/>
  <c r="AC1849" i="51" s="1"/>
  <c r="V1849" i="51"/>
  <c r="AB1849" i="51" s="1"/>
  <c r="X1848" i="51"/>
  <c r="AD1848" i="51" s="1"/>
  <c r="W1848" i="51"/>
  <c r="AC1848" i="51" s="1"/>
  <c r="V1848" i="51"/>
  <c r="AB1848" i="51" s="1"/>
  <c r="X1847" i="51"/>
  <c r="AD1847" i="51" s="1"/>
  <c r="W1847" i="51"/>
  <c r="AC1847" i="51" s="1"/>
  <c r="V1847" i="51"/>
  <c r="AB1847" i="51" s="1"/>
  <c r="X1846" i="51"/>
  <c r="AD1846" i="51" s="1"/>
  <c r="W1846" i="51"/>
  <c r="AC1846" i="51" s="1"/>
  <c r="V1846" i="51"/>
  <c r="AB1846" i="51" s="1"/>
  <c r="X1845" i="51"/>
  <c r="AD1845" i="51" s="1"/>
  <c r="W1845" i="51"/>
  <c r="AC1845" i="51" s="1"/>
  <c r="V1845" i="51"/>
  <c r="AB1845" i="51" s="1"/>
  <c r="X1844" i="51"/>
  <c r="AD1844" i="51" s="1"/>
  <c r="W1844" i="51"/>
  <c r="AC1844" i="51" s="1"/>
  <c r="V1844" i="51"/>
  <c r="AB1844" i="51" s="1"/>
  <c r="X1843" i="51"/>
  <c r="AD1843" i="51" s="1"/>
  <c r="W1843" i="51"/>
  <c r="AC1843" i="51" s="1"/>
  <c r="V1843" i="51"/>
  <c r="AB1843" i="51" s="1"/>
  <c r="X1842" i="51"/>
  <c r="AD1842" i="51" s="1"/>
  <c r="W1842" i="51"/>
  <c r="AC1842" i="51" s="1"/>
  <c r="V1842" i="51"/>
  <c r="AB1842" i="51" s="1"/>
  <c r="X1841" i="51"/>
  <c r="AD1841" i="51" s="1"/>
  <c r="W1841" i="51"/>
  <c r="AC1841" i="51" s="1"/>
  <c r="V1841" i="51"/>
  <c r="AB1841" i="51" s="1"/>
  <c r="X1840" i="51"/>
  <c r="AD1840" i="51" s="1"/>
  <c r="W1840" i="51"/>
  <c r="AC1840" i="51" s="1"/>
  <c r="V1840" i="51"/>
  <c r="AB1840" i="51" s="1"/>
  <c r="X1839" i="51"/>
  <c r="AD1839" i="51" s="1"/>
  <c r="W1839" i="51"/>
  <c r="AC1839" i="51" s="1"/>
  <c r="V1839" i="51"/>
  <c r="AB1839" i="51" s="1"/>
  <c r="X1838" i="51"/>
  <c r="AD1838" i="51" s="1"/>
  <c r="W1838" i="51"/>
  <c r="AC1838" i="51" s="1"/>
  <c r="V1838" i="51"/>
  <c r="AB1838" i="51" s="1"/>
  <c r="X1837" i="51"/>
  <c r="AD1837" i="51" s="1"/>
  <c r="W1837" i="51"/>
  <c r="AC1837" i="51" s="1"/>
  <c r="V1837" i="51"/>
  <c r="AB1837" i="51" s="1"/>
  <c r="X1836" i="51"/>
  <c r="AD1836" i="51" s="1"/>
  <c r="W1836" i="51"/>
  <c r="AC1836" i="51" s="1"/>
  <c r="V1836" i="51"/>
  <c r="AB1836" i="51" s="1"/>
  <c r="X1835" i="51"/>
  <c r="AD1835" i="51" s="1"/>
  <c r="W1835" i="51"/>
  <c r="AC1835" i="51" s="1"/>
  <c r="V1835" i="51"/>
  <c r="AB1835" i="51" s="1"/>
  <c r="X1834" i="51"/>
  <c r="AD1834" i="51" s="1"/>
  <c r="W1834" i="51"/>
  <c r="AC1834" i="51" s="1"/>
  <c r="V1834" i="51"/>
  <c r="AB1834" i="51" s="1"/>
  <c r="X1833" i="51"/>
  <c r="AD1833" i="51" s="1"/>
  <c r="W1833" i="51"/>
  <c r="AC1833" i="51" s="1"/>
  <c r="V1833" i="51"/>
  <c r="AB1833" i="51" s="1"/>
  <c r="X1832" i="51"/>
  <c r="AD1832" i="51" s="1"/>
  <c r="W1832" i="51"/>
  <c r="AC1832" i="51" s="1"/>
  <c r="V1832" i="51"/>
  <c r="AB1832" i="51" s="1"/>
  <c r="X1831" i="51"/>
  <c r="AD1831" i="51" s="1"/>
  <c r="W1831" i="51"/>
  <c r="AC1831" i="51" s="1"/>
  <c r="V1831" i="51"/>
  <c r="AB1831" i="51" s="1"/>
  <c r="X1830" i="51"/>
  <c r="AD1830" i="51" s="1"/>
  <c r="W1830" i="51"/>
  <c r="AC1830" i="51" s="1"/>
  <c r="V1830" i="51"/>
  <c r="AB1830" i="51" s="1"/>
  <c r="X1829" i="51"/>
  <c r="AD1829" i="51" s="1"/>
  <c r="W1829" i="51"/>
  <c r="AC1829" i="51" s="1"/>
  <c r="V1829" i="51"/>
  <c r="AB1829" i="51" s="1"/>
  <c r="X1828" i="51"/>
  <c r="AD1828" i="51" s="1"/>
  <c r="W1828" i="51"/>
  <c r="AC1828" i="51" s="1"/>
  <c r="V1828" i="51"/>
  <c r="AB1828" i="51" s="1"/>
  <c r="X1827" i="51"/>
  <c r="AD1827" i="51" s="1"/>
  <c r="W1827" i="51"/>
  <c r="AC1827" i="51" s="1"/>
  <c r="V1827" i="51"/>
  <c r="AB1827" i="51" s="1"/>
  <c r="X1826" i="51"/>
  <c r="AD1826" i="51" s="1"/>
  <c r="W1826" i="51"/>
  <c r="AC1826" i="51" s="1"/>
  <c r="V1826" i="51"/>
  <c r="AB1826" i="51" s="1"/>
  <c r="X1825" i="51"/>
  <c r="AD1825" i="51" s="1"/>
  <c r="W1825" i="51"/>
  <c r="AC1825" i="51" s="1"/>
  <c r="V1825" i="51"/>
  <c r="AB1825" i="51" s="1"/>
  <c r="X1824" i="51"/>
  <c r="AD1824" i="51" s="1"/>
  <c r="W1824" i="51"/>
  <c r="AC1824" i="51" s="1"/>
  <c r="V1824" i="51"/>
  <c r="AB1824" i="51" s="1"/>
  <c r="X1823" i="51"/>
  <c r="AD1823" i="51" s="1"/>
  <c r="W1823" i="51"/>
  <c r="AC1823" i="51" s="1"/>
  <c r="V1823" i="51"/>
  <c r="AB1823" i="51" s="1"/>
  <c r="X1822" i="51"/>
  <c r="AD1822" i="51" s="1"/>
  <c r="W1822" i="51"/>
  <c r="AC1822" i="51" s="1"/>
  <c r="V1822" i="51"/>
  <c r="AB1822" i="51" s="1"/>
  <c r="X1821" i="51"/>
  <c r="AD1821" i="51" s="1"/>
  <c r="W1821" i="51"/>
  <c r="AC1821" i="51" s="1"/>
  <c r="V1821" i="51"/>
  <c r="AB1821" i="51" s="1"/>
  <c r="X1820" i="51"/>
  <c r="AD1820" i="51" s="1"/>
  <c r="W1820" i="51"/>
  <c r="AC1820" i="51" s="1"/>
  <c r="V1820" i="51"/>
  <c r="AB1820" i="51" s="1"/>
  <c r="X1819" i="51"/>
  <c r="AD1819" i="51" s="1"/>
  <c r="W1819" i="51"/>
  <c r="AC1819" i="51" s="1"/>
  <c r="V1819" i="51"/>
  <c r="AB1819" i="51" s="1"/>
  <c r="X1818" i="51"/>
  <c r="AD1818" i="51" s="1"/>
  <c r="W1818" i="51"/>
  <c r="AC1818" i="51" s="1"/>
  <c r="V1818" i="51"/>
  <c r="AB1818" i="51" s="1"/>
  <c r="X1817" i="51"/>
  <c r="AD1817" i="51" s="1"/>
  <c r="W1817" i="51"/>
  <c r="AC1817" i="51" s="1"/>
  <c r="V1817" i="51"/>
  <c r="AB1817" i="51" s="1"/>
  <c r="X1816" i="51"/>
  <c r="AD1816" i="51" s="1"/>
  <c r="W1816" i="51"/>
  <c r="AC1816" i="51" s="1"/>
  <c r="V1816" i="51"/>
  <c r="AB1816" i="51" s="1"/>
  <c r="X1815" i="51"/>
  <c r="AD1815" i="51" s="1"/>
  <c r="W1815" i="51"/>
  <c r="AC1815" i="51" s="1"/>
  <c r="V1815" i="51"/>
  <c r="AB1815" i="51" s="1"/>
  <c r="X1814" i="51"/>
  <c r="AD1814" i="51" s="1"/>
  <c r="W1814" i="51"/>
  <c r="AC1814" i="51" s="1"/>
  <c r="V1814" i="51"/>
  <c r="AB1814" i="51" s="1"/>
  <c r="X1813" i="51"/>
  <c r="AD1813" i="51" s="1"/>
  <c r="W1813" i="51"/>
  <c r="AC1813" i="51" s="1"/>
  <c r="V1813" i="51"/>
  <c r="AB1813" i="51" s="1"/>
  <c r="X1812" i="51"/>
  <c r="AD1812" i="51" s="1"/>
  <c r="W1812" i="51"/>
  <c r="AC1812" i="51" s="1"/>
  <c r="V1812" i="51"/>
  <c r="AB1812" i="51" s="1"/>
  <c r="X1811" i="51"/>
  <c r="AD1811" i="51" s="1"/>
  <c r="W1811" i="51"/>
  <c r="AC1811" i="51" s="1"/>
  <c r="V1811" i="51"/>
  <c r="AB1811" i="51" s="1"/>
  <c r="X1810" i="51"/>
  <c r="AD1810" i="51" s="1"/>
  <c r="W1810" i="51"/>
  <c r="AC1810" i="51" s="1"/>
  <c r="V1810" i="51"/>
  <c r="AB1810" i="51" s="1"/>
  <c r="X1809" i="51"/>
  <c r="AD1809" i="51" s="1"/>
  <c r="W1809" i="51"/>
  <c r="AC1809" i="51" s="1"/>
  <c r="V1809" i="51"/>
  <c r="AB1809" i="51" s="1"/>
  <c r="X1808" i="51"/>
  <c r="AD1808" i="51" s="1"/>
  <c r="W1808" i="51"/>
  <c r="AC1808" i="51" s="1"/>
  <c r="V1808" i="51"/>
  <c r="AB1808" i="51" s="1"/>
  <c r="X1807" i="51"/>
  <c r="AD1807" i="51" s="1"/>
  <c r="W1807" i="51"/>
  <c r="AC1807" i="51" s="1"/>
  <c r="V1807" i="51"/>
  <c r="AB1807" i="51" s="1"/>
  <c r="X1806" i="51"/>
  <c r="AD1806" i="51" s="1"/>
  <c r="W1806" i="51"/>
  <c r="AC1806" i="51" s="1"/>
  <c r="V1806" i="51"/>
  <c r="AB1806" i="51" s="1"/>
  <c r="X1805" i="51"/>
  <c r="AD1805" i="51" s="1"/>
  <c r="W1805" i="51"/>
  <c r="AC1805" i="51" s="1"/>
  <c r="V1805" i="51"/>
  <c r="AB1805" i="51" s="1"/>
  <c r="X1804" i="51"/>
  <c r="AD1804" i="51" s="1"/>
  <c r="W1804" i="51"/>
  <c r="AC1804" i="51" s="1"/>
  <c r="V1804" i="51"/>
  <c r="AB1804" i="51" s="1"/>
  <c r="X1803" i="51"/>
  <c r="AD1803" i="51" s="1"/>
  <c r="W1803" i="51"/>
  <c r="AC1803" i="51" s="1"/>
  <c r="V1803" i="51"/>
  <c r="AB1803" i="51" s="1"/>
  <c r="X1802" i="51"/>
  <c r="AD1802" i="51" s="1"/>
  <c r="W1802" i="51"/>
  <c r="AC1802" i="51" s="1"/>
  <c r="V1802" i="51"/>
  <c r="AB1802" i="51" s="1"/>
  <c r="X1801" i="51"/>
  <c r="AD1801" i="51" s="1"/>
  <c r="W1801" i="51"/>
  <c r="AC1801" i="51" s="1"/>
  <c r="V1801" i="51"/>
  <c r="AB1801" i="51" s="1"/>
  <c r="X1800" i="51"/>
  <c r="AD1800" i="51" s="1"/>
  <c r="W1800" i="51"/>
  <c r="AC1800" i="51" s="1"/>
  <c r="V1800" i="51"/>
  <c r="AB1800" i="51" s="1"/>
  <c r="X1799" i="51"/>
  <c r="AD1799" i="51" s="1"/>
  <c r="W1799" i="51"/>
  <c r="AC1799" i="51" s="1"/>
  <c r="V1799" i="51"/>
  <c r="AB1799" i="51" s="1"/>
  <c r="X1798" i="51"/>
  <c r="AD1798" i="51" s="1"/>
  <c r="W1798" i="51"/>
  <c r="AC1798" i="51" s="1"/>
  <c r="V1798" i="51"/>
  <c r="AB1798" i="51" s="1"/>
  <c r="X1797" i="51"/>
  <c r="AD1797" i="51" s="1"/>
  <c r="W1797" i="51"/>
  <c r="AC1797" i="51" s="1"/>
  <c r="V1797" i="51"/>
  <c r="AB1797" i="51" s="1"/>
  <c r="X1796" i="51"/>
  <c r="AD1796" i="51" s="1"/>
  <c r="W1796" i="51"/>
  <c r="AC1796" i="51" s="1"/>
  <c r="V1796" i="51"/>
  <c r="AB1796" i="51" s="1"/>
  <c r="X1795" i="51"/>
  <c r="AD1795" i="51" s="1"/>
  <c r="W1795" i="51"/>
  <c r="AC1795" i="51" s="1"/>
  <c r="V1795" i="51"/>
  <c r="AB1795" i="51" s="1"/>
  <c r="X1794" i="51"/>
  <c r="AD1794" i="51" s="1"/>
  <c r="W1794" i="51"/>
  <c r="AC1794" i="51" s="1"/>
  <c r="V1794" i="51"/>
  <c r="AB1794" i="51" s="1"/>
  <c r="X1793" i="51"/>
  <c r="AD1793" i="51" s="1"/>
  <c r="W1793" i="51"/>
  <c r="AC1793" i="51" s="1"/>
  <c r="V1793" i="51"/>
  <c r="AB1793" i="51" s="1"/>
  <c r="X1792" i="51"/>
  <c r="AD1792" i="51" s="1"/>
  <c r="W1792" i="51"/>
  <c r="AC1792" i="51" s="1"/>
  <c r="V1792" i="51"/>
  <c r="AB1792" i="51" s="1"/>
  <c r="X1791" i="51"/>
  <c r="AD1791" i="51" s="1"/>
  <c r="W1791" i="51"/>
  <c r="AC1791" i="51" s="1"/>
  <c r="V1791" i="51"/>
  <c r="AB1791" i="51" s="1"/>
  <c r="X1790" i="51"/>
  <c r="AD1790" i="51" s="1"/>
  <c r="W1790" i="51"/>
  <c r="AC1790" i="51" s="1"/>
  <c r="V1790" i="51"/>
  <c r="AB1790" i="51" s="1"/>
  <c r="X1789" i="51"/>
  <c r="AD1789" i="51" s="1"/>
  <c r="W1789" i="51"/>
  <c r="AC1789" i="51" s="1"/>
  <c r="V1789" i="51"/>
  <c r="AB1789" i="51" s="1"/>
  <c r="X1788" i="51"/>
  <c r="AD1788" i="51" s="1"/>
  <c r="W1788" i="51"/>
  <c r="AC1788" i="51" s="1"/>
  <c r="V1788" i="51"/>
  <c r="AB1788" i="51" s="1"/>
  <c r="X1787" i="51"/>
  <c r="AD1787" i="51" s="1"/>
  <c r="W1787" i="51"/>
  <c r="AC1787" i="51" s="1"/>
  <c r="V1787" i="51"/>
  <c r="AB1787" i="51" s="1"/>
  <c r="X1786" i="51"/>
  <c r="AD1786" i="51" s="1"/>
  <c r="W1786" i="51"/>
  <c r="AC1786" i="51" s="1"/>
  <c r="V1786" i="51"/>
  <c r="AB1786" i="51" s="1"/>
  <c r="X1785" i="51"/>
  <c r="AD1785" i="51" s="1"/>
  <c r="W1785" i="51"/>
  <c r="AC1785" i="51" s="1"/>
  <c r="V1785" i="51"/>
  <c r="AB1785" i="51" s="1"/>
  <c r="X1784" i="51"/>
  <c r="AD1784" i="51" s="1"/>
  <c r="W1784" i="51"/>
  <c r="AC1784" i="51" s="1"/>
  <c r="V1784" i="51"/>
  <c r="AB1784" i="51" s="1"/>
  <c r="X1783" i="51"/>
  <c r="AD1783" i="51" s="1"/>
  <c r="W1783" i="51"/>
  <c r="AC1783" i="51" s="1"/>
  <c r="V1783" i="51"/>
  <c r="AB1783" i="51" s="1"/>
  <c r="X1782" i="51"/>
  <c r="AD1782" i="51" s="1"/>
  <c r="W1782" i="51"/>
  <c r="AC1782" i="51" s="1"/>
  <c r="V1782" i="51"/>
  <c r="AB1782" i="51" s="1"/>
  <c r="X1781" i="51"/>
  <c r="AD1781" i="51" s="1"/>
  <c r="W1781" i="51"/>
  <c r="AC1781" i="51" s="1"/>
  <c r="V1781" i="51"/>
  <c r="AB1781" i="51" s="1"/>
  <c r="X1780" i="51"/>
  <c r="AD1780" i="51" s="1"/>
  <c r="W1780" i="51"/>
  <c r="AC1780" i="51" s="1"/>
  <c r="V1780" i="51"/>
  <c r="AB1780" i="51" s="1"/>
  <c r="X1779" i="51"/>
  <c r="AD1779" i="51" s="1"/>
  <c r="W1779" i="51"/>
  <c r="AC1779" i="51" s="1"/>
  <c r="V1779" i="51"/>
  <c r="AB1779" i="51" s="1"/>
  <c r="X1778" i="51"/>
  <c r="AD1778" i="51" s="1"/>
  <c r="W1778" i="51"/>
  <c r="AC1778" i="51" s="1"/>
  <c r="V1778" i="51"/>
  <c r="AB1778" i="51" s="1"/>
  <c r="X1777" i="51"/>
  <c r="AD1777" i="51" s="1"/>
  <c r="W1777" i="51"/>
  <c r="AC1777" i="51" s="1"/>
  <c r="V1777" i="51"/>
  <c r="AB1777" i="51" s="1"/>
  <c r="X1776" i="51"/>
  <c r="AD1776" i="51" s="1"/>
  <c r="W1776" i="51"/>
  <c r="AC1776" i="51" s="1"/>
  <c r="V1776" i="51"/>
  <c r="AB1776" i="51" s="1"/>
  <c r="X1775" i="51"/>
  <c r="AD1775" i="51" s="1"/>
  <c r="W1775" i="51"/>
  <c r="AC1775" i="51" s="1"/>
  <c r="V1775" i="51"/>
  <c r="AB1775" i="51" s="1"/>
  <c r="X1774" i="51"/>
  <c r="AD1774" i="51" s="1"/>
  <c r="W1774" i="51"/>
  <c r="AC1774" i="51" s="1"/>
  <c r="V1774" i="51"/>
  <c r="AB1774" i="51" s="1"/>
  <c r="X1773" i="51"/>
  <c r="AD1773" i="51" s="1"/>
  <c r="W1773" i="51"/>
  <c r="AC1773" i="51" s="1"/>
  <c r="V1773" i="51"/>
  <c r="AB1773" i="51" s="1"/>
  <c r="X1772" i="51"/>
  <c r="AD1772" i="51" s="1"/>
  <c r="W1772" i="51"/>
  <c r="AC1772" i="51" s="1"/>
  <c r="V1772" i="51"/>
  <c r="AB1772" i="51" s="1"/>
  <c r="X1771" i="51"/>
  <c r="AD1771" i="51" s="1"/>
  <c r="W1771" i="51"/>
  <c r="AC1771" i="51" s="1"/>
  <c r="V1771" i="51"/>
  <c r="AB1771" i="51" s="1"/>
  <c r="X1770" i="51"/>
  <c r="AD1770" i="51" s="1"/>
  <c r="W1770" i="51"/>
  <c r="AC1770" i="51" s="1"/>
  <c r="V1770" i="51"/>
  <c r="AB1770" i="51" s="1"/>
  <c r="X1769" i="51"/>
  <c r="AD1769" i="51" s="1"/>
  <c r="W1769" i="51"/>
  <c r="AC1769" i="51" s="1"/>
  <c r="V1769" i="51"/>
  <c r="AB1769" i="51" s="1"/>
  <c r="X1768" i="51"/>
  <c r="AD1768" i="51" s="1"/>
  <c r="W1768" i="51"/>
  <c r="AC1768" i="51" s="1"/>
  <c r="V1768" i="51"/>
  <c r="AB1768" i="51" s="1"/>
  <c r="X1767" i="51"/>
  <c r="AD1767" i="51" s="1"/>
  <c r="W1767" i="51"/>
  <c r="AC1767" i="51" s="1"/>
  <c r="V1767" i="51"/>
  <c r="AB1767" i="51" s="1"/>
  <c r="X1766" i="51"/>
  <c r="AD1766" i="51" s="1"/>
  <c r="W1766" i="51"/>
  <c r="AC1766" i="51" s="1"/>
  <c r="V1766" i="51"/>
  <c r="AB1766" i="51" s="1"/>
  <c r="X1765" i="51"/>
  <c r="AD1765" i="51" s="1"/>
  <c r="W1765" i="51"/>
  <c r="AC1765" i="51" s="1"/>
  <c r="V1765" i="51"/>
  <c r="AB1765" i="51" s="1"/>
  <c r="X1764" i="51"/>
  <c r="AD1764" i="51" s="1"/>
  <c r="W1764" i="51"/>
  <c r="AC1764" i="51" s="1"/>
  <c r="V1764" i="51"/>
  <c r="AB1764" i="51" s="1"/>
  <c r="X1763" i="51"/>
  <c r="AD1763" i="51" s="1"/>
  <c r="W1763" i="51"/>
  <c r="AC1763" i="51" s="1"/>
  <c r="V1763" i="51"/>
  <c r="AB1763" i="51" s="1"/>
  <c r="X1762" i="51"/>
  <c r="AD1762" i="51" s="1"/>
  <c r="W1762" i="51"/>
  <c r="AC1762" i="51" s="1"/>
  <c r="V1762" i="51"/>
  <c r="AB1762" i="51" s="1"/>
  <c r="X1761" i="51"/>
  <c r="AD1761" i="51" s="1"/>
  <c r="W1761" i="51"/>
  <c r="AC1761" i="51" s="1"/>
  <c r="V1761" i="51"/>
  <c r="AB1761" i="51" s="1"/>
  <c r="X1760" i="51"/>
  <c r="AD1760" i="51" s="1"/>
  <c r="W1760" i="51"/>
  <c r="AC1760" i="51" s="1"/>
  <c r="V1760" i="51"/>
  <c r="AB1760" i="51" s="1"/>
  <c r="X1759" i="51"/>
  <c r="AD1759" i="51" s="1"/>
  <c r="W1759" i="51"/>
  <c r="AC1759" i="51" s="1"/>
  <c r="V1759" i="51"/>
  <c r="AB1759" i="51" s="1"/>
  <c r="X1758" i="51"/>
  <c r="AD1758" i="51" s="1"/>
  <c r="W1758" i="51"/>
  <c r="AC1758" i="51" s="1"/>
  <c r="V1758" i="51"/>
  <c r="AB1758" i="51" s="1"/>
  <c r="X1757" i="51"/>
  <c r="AD1757" i="51" s="1"/>
  <c r="W1757" i="51"/>
  <c r="AC1757" i="51" s="1"/>
  <c r="V1757" i="51"/>
  <c r="AB1757" i="51" s="1"/>
  <c r="X1756" i="51"/>
  <c r="AD1756" i="51" s="1"/>
  <c r="W1756" i="51"/>
  <c r="AC1756" i="51" s="1"/>
  <c r="V1756" i="51"/>
  <c r="AB1756" i="51" s="1"/>
  <c r="X1755" i="51"/>
  <c r="AD1755" i="51" s="1"/>
  <c r="W1755" i="51"/>
  <c r="AC1755" i="51" s="1"/>
  <c r="V1755" i="51"/>
  <c r="AB1755" i="51" s="1"/>
  <c r="X1754" i="51"/>
  <c r="AD1754" i="51" s="1"/>
  <c r="W1754" i="51"/>
  <c r="AC1754" i="51" s="1"/>
  <c r="V1754" i="51"/>
  <c r="AB1754" i="51" s="1"/>
  <c r="X1753" i="51"/>
  <c r="AD1753" i="51" s="1"/>
  <c r="W1753" i="51"/>
  <c r="AC1753" i="51" s="1"/>
  <c r="V1753" i="51"/>
  <c r="AB1753" i="51" s="1"/>
  <c r="X1752" i="51"/>
  <c r="AD1752" i="51" s="1"/>
  <c r="W1752" i="51"/>
  <c r="AC1752" i="51" s="1"/>
  <c r="V1752" i="51"/>
  <c r="AB1752" i="51" s="1"/>
  <c r="X1751" i="51"/>
  <c r="AD1751" i="51" s="1"/>
  <c r="W1751" i="51"/>
  <c r="AC1751" i="51" s="1"/>
  <c r="V1751" i="51"/>
  <c r="AB1751" i="51" s="1"/>
  <c r="X1750" i="51"/>
  <c r="AD1750" i="51" s="1"/>
  <c r="W1750" i="51"/>
  <c r="AC1750" i="51" s="1"/>
  <c r="V1750" i="51"/>
  <c r="AB1750" i="51" s="1"/>
  <c r="X1749" i="51"/>
  <c r="AD1749" i="51" s="1"/>
  <c r="W1749" i="51"/>
  <c r="AC1749" i="51" s="1"/>
  <c r="V1749" i="51"/>
  <c r="AB1749" i="51" s="1"/>
  <c r="X1748" i="51"/>
  <c r="AD1748" i="51" s="1"/>
  <c r="W1748" i="51"/>
  <c r="AC1748" i="51" s="1"/>
  <c r="V1748" i="51"/>
  <c r="AB1748" i="51" s="1"/>
  <c r="X1747" i="51"/>
  <c r="AD1747" i="51" s="1"/>
  <c r="W1747" i="51"/>
  <c r="AC1747" i="51" s="1"/>
  <c r="V1747" i="51"/>
  <c r="AB1747" i="51" s="1"/>
  <c r="X1746" i="51"/>
  <c r="AD1746" i="51" s="1"/>
  <c r="W1746" i="51"/>
  <c r="AC1746" i="51" s="1"/>
  <c r="V1746" i="51"/>
  <c r="AB1746" i="51" s="1"/>
  <c r="X1745" i="51"/>
  <c r="AD1745" i="51" s="1"/>
  <c r="W1745" i="51"/>
  <c r="AC1745" i="51" s="1"/>
  <c r="V1745" i="51"/>
  <c r="AB1745" i="51" s="1"/>
  <c r="X1744" i="51"/>
  <c r="AD1744" i="51" s="1"/>
  <c r="W1744" i="51"/>
  <c r="AC1744" i="51" s="1"/>
  <c r="V1744" i="51"/>
  <c r="AB1744" i="51" s="1"/>
  <c r="X1743" i="51"/>
  <c r="AD1743" i="51" s="1"/>
  <c r="W1743" i="51"/>
  <c r="AC1743" i="51" s="1"/>
  <c r="V1743" i="51"/>
  <c r="AB1743" i="51" s="1"/>
  <c r="X1742" i="51"/>
  <c r="AD1742" i="51" s="1"/>
  <c r="W1742" i="51"/>
  <c r="AC1742" i="51" s="1"/>
  <c r="V1742" i="51"/>
  <c r="AB1742" i="51" s="1"/>
  <c r="X1741" i="51"/>
  <c r="AD1741" i="51" s="1"/>
  <c r="W1741" i="51"/>
  <c r="AC1741" i="51" s="1"/>
  <c r="V1741" i="51"/>
  <c r="AB1741" i="51" s="1"/>
  <c r="X1740" i="51"/>
  <c r="AD1740" i="51" s="1"/>
  <c r="W1740" i="51"/>
  <c r="AC1740" i="51" s="1"/>
  <c r="V1740" i="51"/>
  <c r="AB1740" i="51" s="1"/>
  <c r="X1739" i="51"/>
  <c r="AD1739" i="51" s="1"/>
  <c r="W1739" i="51"/>
  <c r="AC1739" i="51" s="1"/>
  <c r="V1739" i="51"/>
  <c r="AB1739" i="51" s="1"/>
  <c r="X1738" i="51"/>
  <c r="AD1738" i="51" s="1"/>
  <c r="W1738" i="51"/>
  <c r="AC1738" i="51" s="1"/>
  <c r="V1738" i="51"/>
  <c r="AB1738" i="51" s="1"/>
  <c r="X1737" i="51"/>
  <c r="AD1737" i="51" s="1"/>
  <c r="W1737" i="51"/>
  <c r="AC1737" i="51" s="1"/>
  <c r="V1737" i="51"/>
  <c r="AB1737" i="51" s="1"/>
  <c r="X1736" i="51"/>
  <c r="AD1736" i="51" s="1"/>
  <c r="W1736" i="51"/>
  <c r="AC1736" i="51" s="1"/>
  <c r="V1736" i="51"/>
  <c r="AB1736" i="51" s="1"/>
  <c r="X1735" i="51"/>
  <c r="AD1735" i="51" s="1"/>
  <c r="W1735" i="51"/>
  <c r="AC1735" i="51" s="1"/>
  <c r="V1735" i="51"/>
  <c r="AB1735" i="51" s="1"/>
  <c r="X1734" i="51"/>
  <c r="AD1734" i="51" s="1"/>
  <c r="W1734" i="51"/>
  <c r="AC1734" i="51" s="1"/>
  <c r="V1734" i="51"/>
  <c r="AB1734" i="51" s="1"/>
  <c r="X1733" i="51"/>
  <c r="AD1733" i="51" s="1"/>
  <c r="W1733" i="51"/>
  <c r="AC1733" i="51" s="1"/>
  <c r="V1733" i="51"/>
  <c r="AB1733" i="51" s="1"/>
  <c r="X1732" i="51"/>
  <c r="AD1732" i="51" s="1"/>
  <c r="W1732" i="51"/>
  <c r="AC1732" i="51" s="1"/>
  <c r="V1732" i="51"/>
  <c r="AB1732" i="51" s="1"/>
  <c r="X1731" i="51"/>
  <c r="AD1731" i="51" s="1"/>
  <c r="W1731" i="51"/>
  <c r="AC1731" i="51" s="1"/>
  <c r="V1731" i="51"/>
  <c r="AB1731" i="51" s="1"/>
  <c r="X1730" i="51"/>
  <c r="AD1730" i="51" s="1"/>
  <c r="W1730" i="51"/>
  <c r="AC1730" i="51" s="1"/>
  <c r="V1730" i="51"/>
  <c r="AB1730" i="51" s="1"/>
  <c r="X1729" i="51"/>
  <c r="AD1729" i="51" s="1"/>
  <c r="W1729" i="51"/>
  <c r="AC1729" i="51" s="1"/>
  <c r="V1729" i="51"/>
  <c r="AB1729" i="51" s="1"/>
  <c r="X1728" i="51"/>
  <c r="AD1728" i="51" s="1"/>
  <c r="W1728" i="51"/>
  <c r="AC1728" i="51" s="1"/>
  <c r="V1728" i="51"/>
  <c r="AB1728" i="51" s="1"/>
  <c r="X1727" i="51"/>
  <c r="AD1727" i="51" s="1"/>
  <c r="W1727" i="51"/>
  <c r="AC1727" i="51" s="1"/>
  <c r="V1727" i="51"/>
  <c r="AB1727" i="51" s="1"/>
  <c r="X1726" i="51"/>
  <c r="AD1726" i="51" s="1"/>
  <c r="W1726" i="51"/>
  <c r="AC1726" i="51" s="1"/>
  <c r="V1726" i="51"/>
  <c r="AB1726" i="51" s="1"/>
  <c r="X1725" i="51"/>
  <c r="AD1725" i="51" s="1"/>
  <c r="W1725" i="51"/>
  <c r="AC1725" i="51" s="1"/>
  <c r="V1725" i="51"/>
  <c r="AB1725" i="51" s="1"/>
  <c r="X1724" i="51"/>
  <c r="AD1724" i="51" s="1"/>
  <c r="W1724" i="51"/>
  <c r="AC1724" i="51" s="1"/>
  <c r="V1724" i="51"/>
  <c r="AB1724" i="51" s="1"/>
  <c r="X1723" i="51"/>
  <c r="AD1723" i="51" s="1"/>
  <c r="W1723" i="51"/>
  <c r="AC1723" i="51" s="1"/>
  <c r="V1723" i="51"/>
  <c r="AB1723" i="51" s="1"/>
  <c r="X1722" i="51"/>
  <c r="AD1722" i="51" s="1"/>
  <c r="W1722" i="51"/>
  <c r="AC1722" i="51" s="1"/>
  <c r="V1722" i="51"/>
  <c r="AB1722" i="51" s="1"/>
  <c r="X1721" i="51"/>
  <c r="AD1721" i="51" s="1"/>
  <c r="W1721" i="51"/>
  <c r="AC1721" i="51" s="1"/>
  <c r="V1721" i="51"/>
  <c r="AB1721" i="51" s="1"/>
  <c r="X1720" i="51"/>
  <c r="AD1720" i="51" s="1"/>
  <c r="W1720" i="51"/>
  <c r="AC1720" i="51" s="1"/>
  <c r="V1720" i="51"/>
  <c r="AB1720" i="51" s="1"/>
  <c r="X1719" i="51"/>
  <c r="AD1719" i="51" s="1"/>
  <c r="W1719" i="51"/>
  <c r="AC1719" i="51" s="1"/>
  <c r="V1719" i="51"/>
  <c r="AB1719" i="51" s="1"/>
  <c r="X1718" i="51"/>
  <c r="AD1718" i="51" s="1"/>
  <c r="W1718" i="51"/>
  <c r="AC1718" i="51" s="1"/>
  <c r="V1718" i="51"/>
  <c r="AB1718" i="51" s="1"/>
  <c r="X1717" i="51"/>
  <c r="AD1717" i="51" s="1"/>
  <c r="W1717" i="51"/>
  <c r="AC1717" i="51" s="1"/>
  <c r="V1717" i="51"/>
  <c r="AB1717" i="51" s="1"/>
  <c r="X1716" i="51"/>
  <c r="AD1716" i="51" s="1"/>
  <c r="W1716" i="51"/>
  <c r="AC1716" i="51" s="1"/>
  <c r="V1716" i="51"/>
  <c r="AB1716" i="51" s="1"/>
  <c r="X1715" i="51"/>
  <c r="AD1715" i="51" s="1"/>
  <c r="W1715" i="51"/>
  <c r="AC1715" i="51" s="1"/>
  <c r="V1715" i="51"/>
  <c r="AB1715" i="51" s="1"/>
  <c r="X1714" i="51"/>
  <c r="AD1714" i="51" s="1"/>
  <c r="W1714" i="51"/>
  <c r="AC1714" i="51" s="1"/>
  <c r="V1714" i="51"/>
  <c r="AB1714" i="51" s="1"/>
  <c r="X1713" i="51"/>
  <c r="AD1713" i="51" s="1"/>
  <c r="W1713" i="51"/>
  <c r="AC1713" i="51" s="1"/>
  <c r="V1713" i="51"/>
  <c r="AB1713" i="51" s="1"/>
  <c r="X1712" i="51"/>
  <c r="AD1712" i="51" s="1"/>
  <c r="W1712" i="51"/>
  <c r="AC1712" i="51" s="1"/>
  <c r="V1712" i="51"/>
  <c r="AB1712" i="51" s="1"/>
  <c r="X1711" i="51"/>
  <c r="AD1711" i="51" s="1"/>
  <c r="W1711" i="51"/>
  <c r="AC1711" i="51" s="1"/>
  <c r="V1711" i="51"/>
  <c r="AB1711" i="51" s="1"/>
  <c r="X1710" i="51"/>
  <c r="AD1710" i="51" s="1"/>
  <c r="W1710" i="51"/>
  <c r="AC1710" i="51" s="1"/>
  <c r="V1710" i="51"/>
  <c r="AB1710" i="51" s="1"/>
  <c r="X1709" i="51"/>
  <c r="AD1709" i="51" s="1"/>
  <c r="W1709" i="51"/>
  <c r="AC1709" i="51" s="1"/>
  <c r="V1709" i="51"/>
  <c r="AB1709" i="51" s="1"/>
  <c r="X1708" i="51"/>
  <c r="AD1708" i="51" s="1"/>
  <c r="W1708" i="51"/>
  <c r="AC1708" i="51" s="1"/>
  <c r="V1708" i="51"/>
  <c r="AB1708" i="51" s="1"/>
  <c r="X1707" i="51"/>
  <c r="AD1707" i="51" s="1"/>
  <c r="W1707" i="51"/>
  <c r="AC1707" i="51" s="1"/>
  <c r="V1707" i="51"/>
  <c r="AB1707" i="51" s="1"/>
  <c r="X1706" i="51"/>
  <c r="AD1706" i="51" s="1"/>
  <c r="W1706" i="51"/>
  <c r="AC1706" i="51" s="1"/>
  <c r="V1706" i="51"/>
  <c r="AB1706" i="51" s="1"/>
  <c r="X1705" i="51"/>
  <c r="AD1705" i="51" s="1"/>
  <c r="W1705" i="51"/>
  <c r="AC1705" i="51" s="1"/>
  <c r="V1705" i="51"/>
  <c r="AB1705" i="51" s="1"/>
  <c r="X1704" i="51"/>
  <c r="AD1704" i="51" s="1"/>
  <c r="W1704" i="51"/>
  <c r="AC1704" i="51" s="1"/>
  <c r="V1704" i="51"/>
  <c r="AB1704" i="51" s="1"/>
  <c r="X1703" i="51"/>
  <c r="AD1703" i="51" s="1"/>
  <c r="W1703" i="51"/>
  <c r="AC1703" i="51" s="1"/>
  <c r="V1703" i="51"/>
  <c r="AB1703" i="51" s="1"/>
  <c r="X1702" i="51"/>
  <c r="AD1702" i="51" s="1"/>
  <c r="W1702" i="51"/>
  <c r="AC1702" i="51" s="1"/>
  <c r="V1702" i="51"/>
  <c r="AB1702" i="51" s="1"/>
  <c r="X1701" i="51"/>
  <c r="AD1701" i="51" s="1"/>
  <c r="W1701" i="51"/>
  <c r="AC1701" i="51" s="1"/>
  <c r="V1701" i="51"/>
  <c r="AB1701" i="51" s="1"/>
  <c r="X1700" i="51"/>
  <c r="AD1700" i="51" s="1"/>
  <c r="W1700" i="51"/>
  <c r="AC1700" i="51" s="1"/>
  <c r="V1700" i="51"/>
  <c r="AB1700" i="51" s="1"/>
  <c r="X1699" i="51"/>
  <c r="AD1699" i="51" s="1"/>
  <c r="W1699" i="51"/>
  <c r="AC1699" i="51" s="1"/>
  <c r="V1699" i="51"/>
  <c r="AB1699" i="51" s="1"/>
  <c r="X1698" i="51"/>
  <c r="AD1698" i="51" s="1"/>
  <c r="W1698" i="51"/>
  <c r="AC1698" i="51" s="1"/>
  <c r="V1698" i="51"/>
  <c r="AB1698" i="51" s="1"/>
  <c r="X1697" i="51"/>
  <c r="AD1697" i="51" s="1"/>
  <c r="W1697" i="51"/>
  <c r="AC1697" i="51" s="1"/>
  <c r="V1697" i="51"/>
  <c r="AB1697" i="51" s="1"/>
  <c r="X1696" i="51"/>
  <c r="AD1696" i="51" s="1"/>
  <c r="W1696" i="51"/>
  <c r="AC1696" i="51" s="1"/>
  <c r="V1696" i="51"/>
  <c r="AB1696" i="51" s="1"/>
  <c r="X1695" i="51"/>
  <c r="AD1695" i="51" s="1"/>
  <c r="W1695" i="51"/>
  <c r="AC1695" i="51" s="1"/>
  <c r="V1695" i="51"/>
  <c r="AB1695" i="51" s="1"/>
  <c r="X1694" i="51"/>
  <c r="AD1694" i="51" s="1"/>
  <c r="W1694" i="51"/>
  <c r="AC1694" i="51" s="1"/>
  <c r="V1694" i="51"/>
  <c r="AB1694" i="51" s="1"/>
  <c r="X1693" i="51"/>
  <c r="AD1693" i="51" s="1"/>
  <c r="W1693" i="51"/>
  <c r="AC1693" i="51" s="1"/>
  <c r="V1693" i="51"/>
  <c r="AB1693" i="51" s="1"/>
  <c r="X1692" i="51"/>
  <c r="AD1692" i="51" s="1"/>
  <c r="W1692" i="51"/>
  <c r="AC1692" i="51" s="1"/>
  <c r="V1692" i="51"/>
  <c r="AB1692" i="51" s="1"/>
  <c r="X1691" i="51"/>
  <c r="AD1691" i="51" s="1"/>
  <c r="W1691" i="51"/>
  <c r="AC1691" i="51" s="1"/>
  <c r="V1691" i="51"/>
  <c r="AB1691" i="51" s="1"/>
  <c r="X1690" i="51"/>
  <c r="AD1690" i="51" s="1"/>
  <c r="W1690" i="51"/>
  <c r="AC1690" i="51" s="1"/>
  <c r="V1690" i="51"/>
  <c r="AB1690" i="51" s="1"/>
  <c r="X1689" i="51"/>
  <c r="AD1689" i="51" s="1"/>
  <c r="W1689" i="51"/>
  <c r="AC1689" i="51" s="1"/>
  <c r="V1689" i="51"/>
  <c r="AB1689" i="51" s="1"/>
  <c r="X1688" i="51"/>
  <c r="AD1688" i="51" s="1"/>
  <c r="W1688" i="51"/>
  <c r="AC1688" i="51" s="1"/>
  <c r="V1688" i="51"/>
  <c r="AB1688" i="51" s="1"/>
  <c r="X1687" i="51"/>
  <c r="AD1687" i="51" s="1"/>
  <c r="W1687" i="51"/>
  <c r="AC1687" i="51" s="1"/>
  <c r="V1687" i="51"/>
  <c r="AB1687" i="51" s="1"/>
  <c r="X1686" i="51"/>
  <c r="AD1686" i="51" s="1"/>
  <c r="W1686" i="51"/>
  <c r="AC1686" i="51" s="1"/>
  <c r="V1686" i="51"/>
  <c r="AB1686" i="51" s="1"/>
  <c r="X1685" i="51"/>
  <c r="AD1685" i="51" s="1"/>
  <c r="W1685" i="51"/>
  <c r="AC1685" i="51" s="1"/>
  <c r="V1685" i="51"/>
  <c r="AB1685" i="51" s="1"/>
  <c r="X1684" i="51"/>
  <c r="AD1684" i="51" s="1"/>
  <c r="W1684" i="51"/>
  <c r="AC1684" i="51" s="1"/>
  <c r="V1684" i="51"/>
  <c r="AB1684" i="51" s="1"/>
  <c r="X1683" i="51"/>
  <c r="AD1683" i="51" s="1"/>
  <c r="W1683" i="51"/>
  <c r="AC1683" i="51" s="1"/>
  <c r="V1683" i="51"/>
  <c r="AB1683" i="51" s="1"/>
  <c r="X1682" i="51"/>
  <c r="AD1682" i="51" s="1"/>
  <c r="W1682" i="51"/>
  <c r="AC1682" i="51" s="1"/>
  <c r="V1682" i="51"/>
  <c r="AB1682" i="51" s="1"/>
  <c r="X1681" i="51"/>
  <c r="AD1681" i="51" s="1"/>
  <c r="W1681" i="51"/>
  <c r="AC1681" i="51" s="1"/>
  <c r="V1681" i="51"/>
  <c r="AB1681" i="51" s="1"/>
  <c r="X1680" i="51"/>
  <c r="AD1680" i="51" s="1"/>
  <c r="W1680" i="51"/>
  <c r="AC1680" i="51" s="1"/>
  <c r="V1680" i="51"/>
  <c r="AB1680" i="51" s="1"/>
  <c r="X1679" i="51"/>
  <c r="AD1679" i="51" s="1"/>
  <c r="W1679" i="51"/>
  <c r="AC1679" i="51" s="1"/>
  <c r="V1679" i="51"/>
  <c r="AB1679" i="51" s="1"/>
  <c r="X1678" i="51"/>
  <c r="AD1678" i="51" s="1"/>
  <c r="W1678" i="51"/>
  <c r="AC1678" i="51" s="1"/>
  <c r="V1678" i="51"/>
  <c r="AB1678" i="51" s="1"/>
  <c r="X1677" i="51"/>
  <c r="AD1677" i="51" s="1"/>
  <c r="W1677" i="51"/>
  <c r="AC1677" i="51" s="1"/>
  <c r="V1677" i="51"/>
  <c r="AB1677" i="51" s="1"/>
  <c r="X1676" i="51"/>
  <c r="AD1676" i="51" s="1"/>
  <c r="W1676" i="51"/>
  <c r="AC1676" i="51" s="1"/>
  <c r="V1676" i="51"/>
  <c r="AB1676" i="51" s="1"/>
  <c r="X1675" i="51"/>
  <c r="AD1675" i="51" s="1"/>
  <c r="W1675" i="51"/>
  <c r="AC1675" i="51" s="1"/>
  <c r="V1675" i="51"/>
  <c r="AB1675" i="51" s="1"/>
  <c r="X1674" i="51"/>
  <c r="AD1674" i="51" s="1"/>
  <c r="W1674" i="51"/>
  <c r="AC1674" i="51" s="1"/>
  <c r="V1674" i="51"/>
  <c r="AB1674" i="51" s="1"/>
  <c r="X1673" i="51"/>
  <c r="AD1673" i="51" s="1"/>
  <c r="W1673" i="51"/>
  <c r="AC1673" i="51" s="1"/>
  <c r="V1673" i="51"/>
  <c r="AB1673" i="51" s="1"/>
  <c r="X1672" i="51"/>
  <c r="AD1672" i="51" s="1"/>
  <c r="W1672" i="51"/>
  <c r="AC1672" i="51" s="1"/>
  <c r="V1672" i="51"/>
  <c r="AB1672" i="51" s="1"/>
  <c r="X1671" i="51"/>
  <c r="AD1671" i="51" s="1"/>
  <c r="W1671" i="51"/>
  <c r="AC1671" i="51" s="1"/>
  <c r="V1671" i="51"/>
  <c r="AB1671" i="51" s="1"/>
  <c r="X1670" i="51"/>
  <c r="AD1670" i="51" s="1"/>
  <c r="W1670" i="51"/>
  <c r="AC1670" i="51" s="1"/>
  <c r="V1670" i="51"/>
  <c r="AB1670" i="51" s="1"/>
  <c r="X1669" i="51"/>
  <c r="AD1669" i="51" s="1"/>
  <c r="W1669" i="51"/>
  <c r="AC1669" i="51" s="1"/>
  <c r="V1669" i="51"/>
  <c r="AB1669" i="51" s="1"/>
  <c r="X1668" i="51"/>
  <c r="AD1668" i="51" s="1"/>
  <c r="W1668" i="51"/>
  <c r="AC1668" i="51" s="1"/>
  <c r="V1668" i="51"/>
  <c r="AB1668" i="51" s="1"/>
  <c r="X1667" i="51"/>
  <c r="AD1667" i="51" s="1"/>
  <c r="W1667" i="51"/>
  <c r="AC1667" i="51" s="1"/>
  <c r="V1667" i="51"/>
  <c r="AB1667" i="51" s="1"/>
  <c r="X1666" i="51"/>
  <c r="AD1666" i="51" s="1"/>
  <c r="W1666" i="51"/>
  <c r="AC1666" i="51" s="1"/>
  <c r="V1666" i="51"/>
  <c r="AB1666" i="51" s="1"/>
  <c r="X1665" i="51"/>
  <c r="AD1665" i="51" s="1"/>
  <c r="W1665" i="51"/>
  <c r="AC1665" i="51" s="1"/>
  <c r="V1665" i="51"/>
  <c r="AB1665" i="51" s="1"/>
  <c r="X1664" i="51"/>
  <c r="AD1664" i="51" s="1"/>
  <c r="W1664" i="51"/>
  <c r="AC1664" i="51" s="1"/>
  <c r="V1664" i="51"/>
  <c r="AB1664" i="51" s="1"/>
  <c r="X1663" i="51"/>
  <c r="AD1663" i="51" s="1"/>
  <c r="W1663" i="51"/>
  <c r="AC1663" i="51" s="1"/>
  <c r="V1663" i="51"/>
  <c r="AB1663" i="51" s="1"/>
  <c r="X1662" i="51"/>
  <c r="AD1662" i="51" s="1"/>
  <c r="W1662" i="51"/>
  <c r="AC1662" i="51" s="1"/>
  <c r="V1662" i="51"/>
  <c r="AB1662" i="51" s="1"/>
  <c r="X1661" i="51"/>
  <c r="AD1661" i="51" s="1"/>
  <c r="W1661" i="51"/>
  <c r="AC1661" i="51" s="1"/>
  <c r="V1661" i="51"/>
  <c r="AB1661" i="51" s="1"/>
  <c r="X1660" i="51"/>
  <c r="AD1660" i="51" s="1"/>
  <c r="W1660" i="51"/>
  <c r="AC1660" i="51" s="1"/>
  <c r="V1660" i="51"/>
  <c r="AB1660" i="51" s="1"/>
  <c r="X1659" i="51"/>
  <c r="AD1659" i="51" s="1"/>
  <c r="W1659" i="51"/>
  <c r="AC1659" i="51" s="1"/>
  <c r="V1659" i="51"/>
  <c r="AB1659" i="51" s="1"/>
  <c r="X1658" i="51"/>
  <c r="AD1658" i="51" s="1"/>
  <c r="W1658" i="51"/>
  <c r="AC1658" i="51" s="1"/>
  <c r="V1658" i="51"/>
  <c r="AB1658" i="51" s="1"/>
  <c r="X1657" i="51"/>
  <c r="AD1657" i="51" s="1"/>
  <c r="W1657" i="51"/>
  <c r="AC1657" i="51" s="1"/>
  <c r="V1657" i="51"/>
  <c r="AB1657" i="51" s="1"/>
  <c r="X1656" i="51"/>
  <c r="AD1656" i="51" s="1"/>
  <c r="W1656" i="51"/>
  <c r="AC1656" i="51" s="1"/>
  <c r="V1656" i="51"/>
  <c r="AB1656" i="51" s="1"/>
  <c r="X1655" i="51"/>
  <c r="AD1655" i="51" s="1"/>
  <c r="W1655" i="51"/>
  <c r="AC1655" i="51" s="1"/>
  <c r="V1655" i="51"/>
  <c r="AB1655" i="51" s="1"/>
  <c r="X1654" i="51"/>
  <c r="AD1654" i="51" s="1"/>
  <c r="W1654" i="51"/>
  <c r="AC1654" i="51" s="1"/>
  <c r="V1654" i="51"/>
  <c r="AB1654" i="51" s="1"/>
  <c r="X1653" i="51"/>
  <c r="AD1653" i="51" s="1"/>
  <c r="W1653" i="51"/>
  <c r="AC1653" i="51" s="1"/>
  <c r="V1653" i="51"/>
  <c r="AB1653" i="51" s="1"/>
  <c r="X1652" i="51"/>
  <c r="AD1652" i="51" s="1"/>
  <c r="W1652" i="51"/>
  <c r="AC1652" i="51" s="1"/>
  <c r="V1652" i="51"/>
  <c r="AB1652" i="51" s="1"/>
  <c r="X1651" i="51"/>
  <c r="AD1651" i="51" s="1"/>
  <c r="W1651" i="51"/>
  <c r="AC1651" i="51" s="1"/>
  <c r="V1651" i="51"/>
  <c r="AB1651" i="51" s="1"/>
  <c r="X1650" i="51"/>
  <c r="AD1650" i="51" s="1"/>
  <c r="W1650" i="51"/>
  <c r="AC1650" i="51" s="1"/>
  <c r="V1650" i="51"/>
  <c r="AB1650" i="51" s="1"/>
  <c r="X1649" i="51"/>
  <c r="AD1649" i="51" s="1"/>
  <c r="W1649" i="51"/>
  <c r="AC1649" i="51" s="1"/>
  <c r="V1649" i="51"/>
  <c r="AB1649" i="51" s="1"/>
  <c r="X1648" i="51"/>
  <c r="AD1648" i="51" s="1"/>
  <c r="W1648" i="51"/>
  <c r="AC1648" i="51" s="1"/>
  <c r="V1648" i="51"/>
  <c r="AB1648" i="51" s="1"/>
  <c r="X1647" i="51"/>
  <c r="AD1647" i="51" s="1"/>
  <c r="W1647" i="51"/>
  <c r="AC1647" i="51" s="1"/>
  <c r="V1647" i="51"/>
  <c r="AB1647" i="51" s="1"/>
  <c r="X1646" i="51"/>
  <c r="AD1646" i="51" s="1"/>
  <c r="W1646" i="51"/>
  <c r="AC1646" i="51" s="1"/>
  <c r="V1646" i="51"/>
  <c r="AB1646" i="51" s="1"/>
  <c r="X1645" i="51"/>
  <c r="AD1645" i="51" s="1"/>
  <c r="W1645" i="51"/>
  <c r="AC1645" i="51" s="1"/>
  <c r="V1645" i="51"/>
  <c r="AB1645" i="51" s="1"/>
  <c r="X1644" i="51"/>
  <c r="AD1644" i="51" s="1"/>
  <c r="W1644" i="51"/>
  <c r="AC1644" i="51" s="1"/>
  <c r="V1644" i="51"/>
  <c r="AB1644" i="51" s="1"/>
  <c r="X1643" i="51"/>
  <c r="AD1643" i="51" s="1"/>
  <c r="W1643" i="51"/>
  <c r="AC1643" i="51" s="1"/>
  <c r="V1643" i="51"/>
  <c r="AB1643" i="51" s="1"/>
  <c r="X1642" i="51"/>
  <c r="AD1642" i="51" s="1"/>
  <c r="W1642" i="51"/>
  <c r="AC1642" i="51" s="1"/>
  <c r="V1642" i="51"/>
  <c r="AB1642" i="51" s="1"/>
  <c r="X1641" i="51"/>
  <c r="AD1641" i="51" s="1"/>
  <c r="W1641" i="51"/>
  <c r="AC1641" i="51" s="1"/>
  <c r="V1641" i="51"/>
  <c r="AB1641" i="51" s="1"/>
  <c r="X1640" i="51"/>
  <c r="AD1640" i="51" s="1"/>
  <c r="W1640" i="51"/>
  <c r="AC1640" i="51" s="1"/>
  <c r="V1640" i="51"/>
  <c r="AB1640" i="51" s="1"/>
  <c r="X1639" i="51"/>
  <c r="AD1639" i="51" s="1"/>
  <c r="W1639" i="51"/>
  <c r="AC1639" i="51" s="1"/>
  <c r="V1639" i="51"/>
  <c r="AB1639" i="51" s="1"/>
  <c r="X1638" i="51"/>
  <c r="AD1638" i="51" s="1"/>
  <c r="W1638" i="51"/>
  <c r="AC1638" i="51" s="1"/>
  <c r="V1638" i="51"/>
  <c r="AB1638" i="51" s="1"/>
  <c r="X1637" i="51"/>
  <c r="AD1637" i="51" s="1"/>
  <c r="W1637" i="51"/>
  <c r="AC1637" i="51" s="1"/>
  <c r="V1637" i="51"/>
  <c r="AB1637" i="51" s="1"/>
  <c r="X1636" i="51"/>
  <c r="AD1636" i="51" s="1"/>
  <c r="W1636" i="51"/>
  <c r="AC1636" i="51" s="1"/>
  <c r="V1636" i="51"/>
  <c r="AB1636" i="51" s="1"/>
  <c r="X1635" i="51"/>
  <c r="AD1635" i="51" s="1"/>
  <c r="W1635" i="51"/>
  <c r="AC1635" i="51" s="1"/>
  <c r="V1635" i="51"/>
  <c r="AB1635" i="51" s="1"/>
  <c r="X1634" i="51"/>
  <c r="AD1634" i="51" s="1"/>
  <c r="W1634" i="51"/>
  <c r="AC1634" i="51" s="1"/>
  <c r="V1634" i="51"/>
  <c r="AB1634" i="51" s="1"/>
  <c r="X1633" i="51"/>
  <c r="AD1633" i="51" s="1"/>
  <c r="W1633" i="51"/>
  <c r="AC1633" i="51" s="1"/>
  <c r="V1633" i="51"/>
  <c r="AB1633" i="51" s="1"/>
  <c r="X1632" i="51"/>
  <c r="AD1632" i="51" s="1"/>
  <c r="W1632" i="51"/>
  <c r="AC1632" i="51" s="1"/>
  <c r="V1632" i="51"/>
  <c r="AB1632" i="51" s="1"/>
  <c r="X1631" i="51"/>
  <c r="AD1631" i="51" s="1"/>
  <c r="W1631" i="51"/>
  <c r="AC1631" i="51" s="1"/>
  <c r="V1631" i="51"/>
  <c r="AB1631" i="51" s="1"/>
  <c r="X1630" i="51"/>
  <c r="AD1630" i="51" s="1"/>
  <c r="W1630" i="51"/>
  <c r="AC1630" i="51" s="1"/>
  <c r="V1630" i="51"/>
  <c r="AB1630" i="51" s="1"/>
  <c r="X1629" i="51"/>
  <c r="AD1629" i="51" s="1"/>
  <c r="W1629" i="51"/>
  <c r="AC1629" i="51" s="1"/>
  <c r="V1629" i="51"/>
  <c r="AB1629" i="51" s="1"/>
  <c r="X1628" i="51"/>
  <c r="AD1628" i="51" s="1"/>
  <c r="W1628" i="51"/>
  <c r="AC1628" i="51" s="1"/>
  <c r="V1628" i="51"/>
  <c r="AB1628" i="51" s="1"/>
  <c r="X1627" i="51"/>
  <c r="AD1627" i="51" s="1"/>
  <c r="W1627" i="51"/>
  <c r="AC1627" i="51" s="1"/>
  <c r="V1627" i="51"/>
  <c r="AB1627" i="51" s="1"/>
  <c r="X1626" i="51"/>
  <c r="AD1626" i="51" s="1"/>
  <c r="W1626" i="51"/>
  <c r="AC1626" i="51" s="1"/>
  <c r="V1626" i="51"/>
  <c r="AB1626" i="51" s="1"/>
  <c r="X1625" i="51"/>
  <c r="AD1625" i="51" s="1"/>
  <c r="W1625" i="51"/>
  <c r="AC1625" i="51" s="1"/>
  <c r="V1625" i="51"/>
  <c r="AB1625" i="51" s="1"/>
  <c r="X1624" i="51"/>
  <c r="AD1624" i="51" s="1"/>
  <c r="W1624" i="51"/>
  <c r="AC1624" i="51" s="1"/>
  <c r="V1624" i="51"/>
  <c r="AB1624" i="51" s="1"/>
  <c r="X1623" i="51"/>
  <c r="AD1623" i="51" s="1"/>
  <c r="W1623" i="51"/>
  <c r="AC1623" i="51" s="1"/>
  <c r="V1623" i="51"/>
  <c r="AB1623" i="51" s="1"/>
  <c r="X1622" i="51"/>
  <c r="AD1622" i="51" s="1"/>
  <c r="W1622" i="51"/>
  <c r="AC1622" i="51" s="1"/>
  <c r="V1622" i="51"/>
  <c r="AB1622" i="51" s="1"/>
  <c r="X1621" i="51"/>
  <c r="AD1621" i="51" s="1"/>
  <c r="W1621" i="51"/>
  <c r="AC1621" i="51" s="1"/>
  <c r="V1621" i="51"/>
  <c r="AB1621" i="51" s="1"/>
  <c r="X1620" i="51"/>
  <c r="AD1620" i="51" s="1"/>
  <c r="W1620" i="51"/>
  <c r="AC1620" i="51" s="1"/>
  <c r="V1620" i="51"/>
  <c r="AB1620" i="51" s="1"/>
  <c r="X1619" i="51"/>
  <c r="AD1619" i="51" s="1"/>
  <c r="W1619" i="51"/>
  <c r="AC1619" i="51" s="1"/>
  <c r="V1619" i="51"/>
  <c r="AB1619" i="51" s="1"/>
  <c r="X1618" i="51"/>
  <c r="AD1618" i="51" s="1"/>
  <c r="W1618" i="51"/>
  <c r="AC1618" i="51" s="1"/>
  <c r="V1618" i="51"/>
  <c r="AB1618" i="51" s="1"/>
  <c r="X1617" i="51"/>
  <c r="AD1617" i="51" s="1"/>
  <c r="W1617" i="51"/>
  <c r="AC1617" i="51" s="1"/>
  <c r="V1617" i="51"/>
  <c r="AB1617" i="51" s="1"/>
  <c r="X1616" i="51"/>
  <c r="AD1616" i="51" s="1"/>
  <c r="W1616" i="51"/>
  <c r="AC1616" i="51" s="1"/>
  <c r="V1616" i="51"/>
  <c r="AB1616" i="51" s="1"/>
  <c r="X1615" i="51"/>
  <c r="AD1615" i="51" s="1"/>
  <c r="W1615" i="51"/>
  <c r="AC1615" i="51" s="1"/>
  <c r="V1615" i="51"/>
  <c r="AB1615" i="51" s="1"/>
  <c r="X1614" i="51"/>
  <c r="AD1614" i="51" s="1"/>
  <c r="W1614" i="51"/>
  <c r="AC1614" i="51" s="1"/>
  <c r="V1614" i="51"/>
  <c r="AB1614" i="51" s="1"/>
  <c r="X1613" i="51"/>
  <c r="AD1613" i="51" s="1"/>
  <c r="W1613" i="51"/>
  <c r="AC1613" i="51" s="1"/>
  <c r="V1613" i="51"/>
  <c r="AB1613" i="51" s="1"/>
  <c r="X1612" i="51"/>
  <c r="AD1612" i="51" s="1"/>
  <c r="W1612" i="51"/>
  <c r="AC1612" i="51" s="1"/>
  <c r="V1612" i="51"/>
  <c r="AB1612" i="51" s="1"/>
  <c r="X1611" i="51"/>
  <c r="AD1611" i="51" s="1"/>
  <c r="W1611" i="51"/>
  <c r="AC1611" i="51" s="1"/>
  <c r="V1611" i="51"/>
  <c r="AB1611" i="51" s="1"/>
  <c r="X1610" i="51"/>
  <c r="AD1610" i="51" s="1"/>
  <c r="W1610" i="51"/>
  <c r="AC1610" i="51" s="1"/>
  <c r="V1610" i="51"/>
  <c r="AB1610" i="51" s="1"/>
  <c r="X1609" i="51"/>
  <c r="AD1609" i="51" s="1"/>
  <c r="W1609" i="51"/>
  <c r="AC1609" i="51" s="1"/>
  <c r="V1609" i="51"/>
  <c r="AB1609" i="51" s="1"/>
  <c r="X1608" i="51"/>
  <c r="AD1608" i="51" s="1"/>
  <c r="W1608" i="51"/>
  <c r="AC1608" i="51" s="1"/>
  <c r="V1608" i="51"/>
  <c r="AB1608" i="51" s="1"/>
  <c r="X1607" i="51"/>
  <c r="AD1607" i="51" s="1"/>
  <c r="W1607" i="51"/>
  <c r="AC1607" i="51" s="1"/>
  <c r="V1607" i="51"/>
  <c r="AB1607" i="51" s="1"/>
  <c r="X1606" i="51"/>
  <c r="AD1606" i="51" s="1"/>
  <c r="W1606" i="51"/>
  <c r="AC1606" i="51" s="1"/>
  <c r="V1606" i="51"/>
  <c r="AB1606" i="51" s="1"/>
  <c r="X1605" i="51"/>
  <c r="AD1605" i="51" s="1"/>
  <c r="W1605" i="51"/>
  <c r="AC1605" i="51" s="1"/>
  <c r="V1605" i="51"/>
  <c r="AB1605" i="51" s="1"/>
  <c r="X1604" i="51"/>
  <c r="AD1604" i="51" s="1"/>
  <c r="W1604" i="51"/>
  <c r="AC1604" i="51" s="1"/>
  <c r="V1604" i="51"/>
  <c r="AB1604" i="51" s="1"/>
  <c r="X1603" i="51"/>
  <c r="AD1603" i="51" s="1"/>
  <c r="W1603" i="51"/>
  <c r="AC1603" i="51" s="1"/>
  <c r="V1603" i="51"/>
  <c r="AB1603" i="51" s="1"/>
  <c r="X1602" i="51"/>
  <c r="AD1602" i="51" s="1"/>
  <c r="W1602" i="51"/>
  <c r="AC1602" i="51" s="1"/>
  <c r="V1602" i="51"/>
  <c r="AB1602" i="51" s="1"/>
  <c r="X1601" i="51"/>
  <c r="AD1601" i="51" s="1"/>
  <c r="W1601" i="51"/>
  <c r="AC1601" i="51" s="1"/>
  <c r="V1601" i="51"/>
  <c r="AB1601" i="51" s="1"/>
  <c r="X1600" i="51"/>
  <c r="AD1600" i="51" s="1"/>
  <c r="W1600" i="51"/>
  <c r="AC1600" i="51" s="1"/>
  <c r="V1600" i="51"/>
  <c r="AB1600" i="51" s="1"/>
  <c r="X1599" i="51"/>
  <c r="AD1599" i="51" s="1"/>
  <c r="W1599" i="51"/>
  <c r="AC1599" i="51" s="1"/>
  <c r="V1599" i="51"/>
  <c r="AB1599" i="51" s="1"/>
  <c r="X1598" i="51"/>
  <c r="AD1598" i="51" s="1"/>
  <c r="W1598" i="51"/>
  <c r="AC1598" i="51" s="1"/>
  <c r="V1598" i="51"/>
  <c r="AB1598" i="51" s="1"/>
  <c r="X1597" i="51"/>
  <c r="AD1597" i="51" s="1"/>
  <c r="W1597" i="51"/>
  <c r="AC1597" i="51" s="1"/>
  <c r="V1597" i="51"/>
  <c r="AB1597" i="51" s="1"/>
  <c r="X1596" i="51"/>
  <c r="AD1596" i="51" s="1"/>
  <c r="W1596" i="51"/>
  <c r="AC1596" i="51" s="1"/>
  <c r="V1596" i="51"/>
  <c r="AB1596" i="51" s="1"/>
  <c r="X1595" i="51"/>
  <c r="AD1595" i="51" s="1"/>
  <c r="W1595" i="51"/>
  <c r="AC1595" i="51" s="1"/>
  <c r="V1595" i="51"/>
  <c r="AB1595" i="51" s="1"/>
  <c r="X1594" i="51"/>
  <c r="AD1594" i="51" s="1"/>
  <c r="W1594" i="51"/>
  <c r="AC1594" i="51" s="1"/>
  <c r="V1594" i="51"/>
  <c r="AB1594" i="51" s="1"/>
  <c r="X1593" i="51"/>
  <c r="AD1593" i="51" s="1"/>
  <c r="W1593" i="51"/>
  <c r="AC1593" i="51" s="1"/>
  <c r="V1593" i="51"/>
  <c r="AB1593" i="51" s="1"/>
  <c r="X1592" i="51"/>
  <c r="AD1592" i="51" s="1"/>
  <c r="W1592" i="51"/>
  <c r="AC1592" i="51" s="1"/>
  <c r="V1592" i="51"/>
  <c r="AB1592" i="51" s="1"/>
  <c r="X1591" i="51"/>
  <c r="AD1591" i="51" s="1"/>
  <c r="W1591" i="51"/>
  <c r="AC1591" i="51" s="1"/>
  <c r="V1591" i="51"/>
  <c r="AB1591" i="51" s="1"/>
  <c r="X1590" i="51"/>
  <c r="AD1590" i="51" s="1"/>
  <c r="W1590" i="51"/>
  <c r="AC1590" i="51" s="1"/>
  <c r="V1590" i="51"/>
  <c r="AB1590" i="51" s="1"/>
  <c r="X1589" i="51"/>
  <c r="AD1589" i="51" s="1"/>
  <c r="W1589" i="51"/>
  <c r="AC1589" i="51" s="1"/>
  <c r="V1589" i="51"/>
  <c r="AB1589" i="51" s="1"/>
  <c r="X1588" i="51"/>
  <c r="AD1588" i="51" s="1"/>
  <c r="W1588" i="51"/>
  <c r="AC1588" i="51" s="1"/>
  <c r="V1588" i="51"/>
  <c r="AB1588" i="51" s="1"/>
  <c r="X1587" i="51"/>
  <c r="AD1587" i="51" s="1"/>
  <c r="W1587" i="51"/>
  <c r="AC1587" i="51" s="1"/>
  <c r="V1587" i="51"/>
  <c r="AB1587" i="51" s="1"/>
  <c r="X1586" i="51"/>
  <c r="AD1586" i="51" s="1"/>
  <c r="W1586" i="51"/>
  <c r="AC1586" i="51" s="1"/>
  <c r="V1586" i="51"/>
  <c r="AB1586" i="51" s="1"/>
  <c r="X1585" i="51"/>
  <c r="AD1585" i="51" s="1"/>
  <c r="W1585" i="51"/>
  <c r="AC1585" i="51" s="1"/>
  <c r="V1585" i="51"/>
  <c r="AB1585" i="51" s="1"/>
  <c r="X1584" i="51"/>
  <c r="AD1584" i="51" s="1"/>
  <c r="W1584" i="51"/>
  <c r="AC1584" i="51" s="1"/>
  <c r="V1584" i="51"/>
  <c r="AB1584" i="51" s="1"/>
  <c r="X1583" i="51"/>
  <c r="AD1583" i="51" s="1"/>
  <c r="W1583" i="51"/>
  <c r="AC1583" i="51" s="1"/>
  <c r="V1583" i="51"/>
  <c r="AB1583" i="51" s="1"/>
  <c r="X1582" i="51"/>
  <c r="AD1582" i="51" s="1"/>
  <c r="W1582" i="51"/>
  <c r="AC1582" i="51" s="1"/>
  <c r="V1582" i="51"/>
  <c r="AB1582" i="51" s="1"/>
  <c r="X1581" i="51"/>
  <c r="AD1581" i="51" s="1"/>
  <c r="W1581" i="51"/>
  <c r="AC1581" i="51" s="1"/>
  <c r="V1581" i="51"/>
  <c r="AB1581" i="51" s="1"/>
  <c r="X1580" i="51"/>
  <c r="AD1580" i="51" s="1"/>
  <c r="W1580" i="51"/>
  <c r="AC1580" i="51" s="1"/>
  <c r="V1580" i="51"/>
  <c r="AB1580" i="51" s="1"/>
  <c r="X1579" i="51"/>
  <c r="AD1579" i="51" s="1"/>
  <c r="W1579" i="51"/>
  <c r="AC1579" i="51" s="1"/>
  <c r="V1579" i="51"/>
  <c r="AB1579" i="51" s="1"/>
  <c r="X1578" i="51"/>
  <c r="AD1578" i="51" s="1"/>
  <c r="W1578" i="51"/>
  <c r="AC1578" i="51" s="1"/>
  <c r="V1578" i="51"/>
  <c r="AB1578" i="51" s="1"/>
  <c r="X1577" i="51"/>
  <c r="AD1577" i="51" s="1"/>
  <c r="W1577" i="51"/>
  <c r="AC1577" i="51" s="1"/>
  <c r="V1577" i="51"/>
  <c r="AB1577" i="51" s="1"/>
  <c r="X1576" i="51"/>
  <c r="AD1576" i="51" s="1"/>
  <c r="W1576" i="51"/>
  <c r="AC1576" i="51" s="1"/>
  <c r="V1576" i="51"/>
  <c r="AB1576" i="51" s="1"/>
  <c r="X1575" i="51"/>
  <c r="AD1575" i="51" s="1"/>
  <c r="W1575" i="51"/>
  <c r="AC1575" i="51" s="1"/>
  <c r="V1575" i="51"/>
  <c r="AB1575" i="51" s="1"/>
  <c r="X1574" i="51"/>
  <c r="AD1574" i="51" s="1"/>
  <c r="W1574" i="51"/>
  <c r="AC1574" i="51" s="1"/>
  <c r="V1574" i="51"/>
  <c r="AB1574" i="51" s="1"/>
  <c r="X1573" i="51"/>
  <c r="AD1573" i="51" s="1"/>
  <c r="W1573" i="51"/>
  <c r="AC1573" i="51" s="1"/>
  <c r="V1573" i="51"/>
  <c r="AB1573" i="51" s="1"/>
  <c r="X1572" i="51"/>
  <c r="AD1572" i="51" s="1"/>
  <c r="W1572" i="51"/>
  <c r="AC1572" i="51" s="1"/>
  <c r="V1572" i="51"/>
  <c r="AB1572" i="51" s="1"/>
  <c r="X1571" i="51"/>
  <c r="AD1571" i="51" s="1"/>
  <c r="W1571" i="51"/>
  <c r="AC1571" i="51" s="1"/>
  <c r="V1571" i="51"/>
  <c r="AB1571" i="51" s="1"/>
  <c r="X1570" i="51"/>
  <c r="AD1570" i="51" s="1"/>
  <c r="W1570" i="51"/>
  <c r="AC1570" i="51" s="1"/>
  <c r="V1570" i="51"/>
  <c r="AB1570" i="51" s="1"/>
  <c r="X1569" i="51"/>
  <c r="AD1569" i="51" s="1"/>
  <c r="W1569" i="51"/>
  <c r="AC1569" i="51" s="1"/>
  <c r="V1569" i="51"/>
  <c r="AB1569" i="51" s="1"/>
  <c r="X1568" i="51"/>
  <c r="AD1568" i="51" s="1"/>
  <c r="W1568" i="51"/>
  <c r="AC1568" i="51" s="1"/>
  <c r="V1568" i="51"/>
  <c r="AB1568" i="51" s="1"/>
  <c r="X1567" i="51"/>
  <c r="AD1567" i="51" s="1"/>
  <c r="W1567" i="51"/>
  <c r="AC1567" i="51" s="1"/>
  <c r="V1567" i="51"/>
  <c r="AB1567" i="51" s="1"/>
  <c r="X1566" i="51"/>
  <c r="AD1566" i="51" s="1"/>
  <c r="W1566" i="51"/>
  <c r="AC1566" i="51" s="1"/>
  <c r="V1566" i="51"/>
  <c r="AB1566" i="51" s="1"/>
  <c r="X1565" i="51"/>
  <c r="AD1565" i="51" s="1"/>
  <c r="W1565" i="51"/>
  <c r="AC1565" i="51" s="1"/>
  <c r="V1565" i="51"/>
  <c r="AB1565" i="51" s="1"/>
  <c r="X1564" i="51"/>
  <c r="AD1564" i="51" s="1"/>
  <c r="W1564" i="51"/>
  <c r="AC1564" i="51" s="1"/>
  <c r="V1564" i="51"/>
  <c r="AB1564" i="51" s="1"/>
  <c r="X1563" i="51"/>
  <c r="AD1563" i="51" s="1"/>
  <c r="W1563" i="51"/>
  <c r="AC1563" i="51" s="1"/>
  <c r="V1563" i="51"/>
  <c r="AB1563" i="51" s="1"/>
  <c r="X1562" i="51"/>
  <c r="AD1562" i="51" s="1"/>
  <c r="W1562" i="51"/>
  <c r="AC1562" i="51" s="1"/>
  <c r="V1562" i="51"/>
  <c r="AB1562" i="51" s="1"/>
  <c r="X1561" i="51"/>
  <c r="AD1561" i="51" s="1"/>
  <c r="W1561" i="51"/>
  <c r="AC1561" i="51" s="1"/>
  <c r="V1561" i="51"/>
  <c r="AB1561" i="51" s="1"/>
  <c r="X1560" i="51"/>
  <c r="AD1560" i="51" s="1"/>
  <c r="W1560" i="51"/>
  <c r="AC1560" i="51" s="1"/>
  <c r="V1560" i="51"/>
  <c r="AB1560" i="51" s="1"/>
  <c r="X1559" i="51"/>
  <c r="AD1559" i="51" s="1"/>
  <c r="W1559" i="51"/>
  <c r="AC1559" i="51" s="1"/>
  <c r="V1559" i="51"/>
  <c r="AB1559" i="51" s="1"/>
  <c r="X1558" i="51"/>
  <c r="AD1558" i="51" s="1"/>
  <c r="W1558" i="51"/>
  <c r="AC1558" i="51" s="1"/>
  <c r="V1558" i="51"/>
  <c r="AB1558" i="51" s="1"/>
  <c r="X1557" i="51"/>
  <c r="AD1557" i="51" s="1"/>
  <c r="W1557" i="51"/>
  <c r="AC1557" i="51" s="1"/>
  <c r="V1557" i="51"/>
  <c r="AB1557" i="51" s="1"/>
  <c r="X1556" i="51"/>
  <c r="AD1556" i="51" s="1"/>
  <c r="W1556" i="51"/>
  <c r="AC1556" i="51" s="1"/>
  <c r="V1556" i="51"/>
  <c r="AB1556" i="51" s="1"/>
  <c r="X1555" i="51"/>
  <c r="AD1555" i="51" s="1"/>
  <c r="W1555" i="51"/>
  <c r="AC1555" i="51" s="1"/>
  <c r="V1555" i="51"/>
  <c r="AB1555" i="51" s="1"/>
  <c r="X1554" i="51"/>
  <c r="AD1554" i="51" s="1"/>
  <c r="W1554" i="51"/>
  <c r="AC1554" i="51" s="1"/>
  <c r="V1554" i="51"/>
  <c r="AB1554" i="51" s="1"/>
  <c r="X1553" i="51"/>
  <c r="AD1553" i="51" s="1"/>
  <c r="W1553" i="51"/>
  <c r="AC1553" i="51" s="1"/>
  <c r="V1553" i="51"/>
  <c r="AB1553" i="51" s="1"/>
  <c r="X1552" i="51"/>
  <c r="AD1552" i="51" s="1"/>
  <c r="W1552" i="51"/>
  <c r="AC1552" i="51" s="1"/>
  <c r="V1552" i="51"/>
  <c r="AB1552" i="51" s="1"/>
  <c r="X1551" i="51"/>
  <c r="AD1551" i="51" s="1"/>
  <c r="W1551" i="51"/>
  <c r="AC1551" i="51" s="1"/>
  <c r="V1551" i="51"/>
  <c r="AB1551" i="51" s="1"/>
  <c r="X1550" i="51"/>
  <c r="AD1550" i="51" s="1"/>
  <c r="W1550" i="51"/>
  <c r="AC1550" i="51" s="1"/>
  <c r="V1550" i="51"/>
  <c r="AB1550" i="51" s="1"/>
  <c r="X1549" i="51"/>
  <c r="AD1549" i="51" s="1"/>
  <c r="W1549" i="51"/>
  <c r="AC1549" i="51" s="1"/>
  <c r="V1549" i="51"/>
  <c r="AB1549" i="51" s="1"/>
  <c r="X1548" i="51"/>
  <c r="AD1548" i="51" s="1"/>
  <c r="W1548" i="51"/>
  <c r="AC1548" i="51" s="1"/>
  <c r="V1548" i="51"/>
  <c r="AB1548" i="51" s="1"/>
  <c r="X1547" i="51"/>
  <c r="AD1547" i="51" s="1"/>
  <c r="W1547" i="51"/>
  <c r="AC1547" i="51" s="1"/>
  <c r="V1547" i="51"/>
  <c r="AB1547" i="51" s="1"/>
  <c r="X1546" i="51"/>
  <c r="AD1546" i="51" s="1"/>
  <c r="W1546" i="51"/>
  <c r="AC1546" i="51" s="1"/>
  <c r="V1546" i="51"/>
  <c r="AB1546" i="51" s="1"/>
  <c r="X1545" i="51"/>
  <c r="AD1545" i="51" s="1"/>
  <c r="W1545" i="51"/>
  <c r="AC1545" i="51" s="1"/>
  <c r="V1545" i="51"/>
  <c r="AB1545" i="51" s="1"/>
  <c r="X1544" i="51"/>
  <c r="AD1544" i="51" s="1"/>
  <c r="W1544" i="51"/>
  <c r="AC1544" i="51" s="1"/>
  <c r="V1544" i="51"/>
  <c r="AB1544" i="51" s="1"/>
  <c r="X1543" i="51"/>
  <c r="AD1543" i="51" s="1"/>
  <c r="W1543" i="51"/>
  <c r="AC1543" i="51" s="1"/>
  <c r="V1543" i="51"/>
  <c r="AB1543" i="51" s="1"/>
  <c r="X1542" i="51"/>
  <c r="AD1542" i="51" s="1"/>
  <c r="W1542" i="51"/>
  <c r="AC1542" i="51" s="1"/>
  <c r="V1542" i="51"/>
  <c r="AB1542" i="51" s="1"/>
  <c r="X1541" i="51"/>
  <c r="AD1541" i="51" s="1"/>
  <c r="W1541" i="51"/>
  <c r="AC1541" i="51" s="1"/>
  <c r="V1541" i="51"/>
  <c r="AB1541" i="51" s="1"/>
  <c r="X1540" i="51"/>
  <c r="AD1540" i="51" s="1"/>
  <c r="W1540" i="51"/>
  <c r="AC1540" i="51" s="1"/>
  <c r="V1540" i="51"/>
  <c r="AB1540" i="51" s="1"/>
  <c r="X1539" i="51"/>
  <c r="AD1539" i="51" s="1"/>
  <c r="W1539" i="51"/>
  <c r="AC1539" i="51" s="1"/>
  <c r="V1539" i="51"/>
  <c r="AB1539" i="51" s="1"/>
  <c r="X1538" i="51"/>
  <c r="AD1538" i="51" s="1"/>
  <c r="W1538" i="51"/>
  <c r="AC1538" i="51" s="1"/>
  <c r="V1538" i="51"/>
  <c r="AB1538" i="51" s="1"/>
  <c r="X1537" i="51"/>
  <c r="AD1537" i="51" s="1"/>
  <c r="W1537" i="51"/>
  <c r="AC1537" i="51" s="1"/>
  <c r="V1537" i="51"/>
  <c r="AB1537" i="51" s="1"/>
  <c r="X1536" i="51"/>
  <c r="AD1536" i="51" s="1"/>
  <c r="W1536" i="51"/>
  <c r="AC1536" i="51" s="1"/>
  <c r="V1536" i="51"/>
  <c r="AB1536" i="51" s="1"/>
  <c r="X1535" i="51"/>
  <c r="AD1535" i="51" s="1"/>
  <c r="W1535" i="51"/>
  <c r="AC1535" i="51" s="1"/>
  <c r="V1535" i="51"/>
  <c r="AB1535" i="51" s="1"/>
  <c r="X1534" i="51"/>
  <c r="AD1534" i="51" s="1"/>
  <c r="W1534" i="51"/>
  <c r="AC1534" i="51" s="1"/>
  <c r="V1534" i="51"/>
  <c r="AB1534" i="51" s="1"/>
  <c r="X1533" i="51"/>
  <c r="AD1533" i="51" s="1"/>
  <c r="W1533" i="51"/>
  <c r="AC1533" i="51" s="1"/>
  <c r="V1533" i="51"/>
  <c r="AB1533" i="51" s="1"/>
  <c r="X1532" i="51"/>
  <c r="AD1532" i="51" s="1"/>
  <c r="W1532" i="51"/>
  <c r="AC1532" i="51" s="1"/>
  <c r="V1532" i="51"/>
  <c r="AB1532" i="51" s="1"/>
  <c r="X1531" i="51"/>
  <c r="AD1531" i="51" s="1"/>
  <c r="W1531" i="51"/>
  <c r="AC1531" i="51" s="1"/>
  <c r="V1531" i="51"/>
  <c r="AB1531" i="51" s="1"/>
  <c r="X1530" i="51"/>
  <c r="AD1530" i="51" s="1"/>
  <c r="W1530" i="51"/>
  <c r="AC1530" i="51" s="1"/>
  <c r="V1530" i="51"/>
  <c r="AB1530" i="51" s="1"/>
  <c r="X1529" i="51"/>
  <c r="AD1529" i="51" s="1"/>
  <c r="W1529" i="51"/>
  <c r="AC1529" i="51" s="1"/>
  <c r="V1529" i="51"/>
  <c r="AB1529" i="51" s="1"/>
  <c r="X1528" i="51"/>
  <c r="AD1528" i="51" s="1"/>
  <c r="W1528" i="51"/>
  <c r="AC1528" i="51" s="1"/>
  <c r="V1528" i="51"/>
  <c r="AB1528" i="51" s="1"/>
  <c r="X1527" i="51"/>
  <c r="AD1527" i="51" s="1"/>
  <c r="W1527" i="51"/>
  <c r="AC1527" i="51" s="1"/>
  <c r="V1527" i="51"/>
  <c r="AB1527" i="51" s="1"/>
  <c r="X1526" i="51"/>
  <c r="AD1526" i="51" s="1"/>
  <c r="W1526" i="51"/>
  <c r="AC1526" i="51" s="1"/>
  <c r="V1526" i="51"/>
  <c r="AB1526" i="51" s="1"/>
  <c r="X1525" i="51"/>
  <c r="AD1525" i="51" s="1"/>
  <c r="W1525" i="51"/>
  <c r="AC1525" i="51" s="1"/>
  <c r="V1525" i="51"/>
  <c r="AB1525" i="51" s="1"/>
  <c r="X1524" i="51"/>
  <c r="AD1524" i="51" s="1"/>
  <c r="W1524" i="51"/>
  <c r="AC1524" i="51" s="1"/>
  <c r="V1524" i="51"/>
  <c r="AB1524" i="51" s="1"/>
  <c r="X1523" i="51"/>
  <c r="AD1523" i="51" s="1"/>
  <c r="W1523" i="51"/>
  <c r="AC1523" i="51" s="1"/>
  <c r="V1523" i="51"/>
  <c r="AB1523" i="51" s="1"/>
  <c r="X1522" i="51"/>
  <c r="AD1522" i="51" s="1"/>
  <c r="W1522" i="51"/>
  <c r="AC1522" i="51" s="1"/>
  <c r="V1522" i="51"/>
  <c r="AB1522" i="51" s="1"/>
  <c r="X1521" i="51"/>
  <c r="AD1521" i="51" s="1"/>
  <c r="W1521" i="51"/>
  <c r="AC1521" i="51" s="1"/>
  <c r="V1521" i="51"/>
  <c r="AB1521" i="51" s="1"/>
  <c r="X1520" i="51"/>
  <c r="AD1520" i="51" s="1"/>
  <c r="W1520" i="51"/>
  <c r="AC1520" i="51" s="1"/>
  <c r="V1520" i="51"/>
  <c r="AB1520" i="51" s="1"/>
  <c r="X1519" i="51"/>
  <c r="AD1519" i="51" s="1"/>
  <c r="W1519" i="51"/>
  <c r="AC1519" i="51" s="1"/>
  <c r="V1519" i="51"/>
  <c r="AB1519" i="51" s="1"/>
  <c r="X1518" i="51"/>
  <c r="AD1518" i="51" s="1"/>
  <c r="W1518" i="51"/>
  <c r="AC1518" i="51" s="1"/>
  <c r="V1518" i="51"/>
  <c r="AB1518" i="51" s="1"/>
  <c r="X1517" i="51"/>
  <c r="AD1517" i="51" s="1"/>
  <c r="W1517" i="51"/>
  <c r="AC1517" i="51" s="1"/>
  <c r="V1517" i="51"/>
  <c r="AB1517" i="51" s="1"/>
  <c r="X1516" i="51"/>
  <c r="AD1516" i="51" s="1"/>
  <c r="W1516" i="51"/>
  <c r="AC1516" i="51" s="1"/>
  <c r="V1516" i="51"/>
  <c r="AB1516" i="51" s="1"/>
  <c r="X1515" i="51"/>
  <c r="AD1515" i="51" s="1"/>
  <c r="W1515" i="51"/>
  <c r="AC1515" i="51" s="1"/>
  <c r="V1515" i="51"/>
  <c r="AB1515" i="51" s="1"/>
  <c r="X1514" i="51"/>
  <c r="AD1514" i="51" s="1"/>
  <c r="W1514" i="51"/>
  <c r="AC1514" i="51" s="1"/>
  <c r="V1514" i="51"/>
  <c r="AB1514" i="51" s="1"/>
  <c r="X1513" i="51"/>
  <c r="AD1513" i="51" s="1"/>
  <c r="W1513" i="51"/>
  <c r="AC1513" i="51" s="1"/>
  <c r="V1513" i="51"/>
  <c r="AB1513" i="51" s="1"/>
  <c r="X1512" i="51"/>
  <c r="AD1512" i="51" s="1"/>
  <c r="W1512" i="51"/>
  <c r="AC1512" i="51" s="1"/>
  <c r="V1512" i="51"/>
  <c r="AB1512" i="51" s="1"/>
  <c r="X1511" i="51"/>
  <c r="AD1511" i="51" s="1"/>
  <c r="W1511" i="51"/>
  <c r="AC1511" i="51" s="1"/>
  <c r="V1511" i="51"/>
  <c r="AB1511" i="51" s="1"/>
  <c r="X1510" i="51"/>
  <c r="AD1510" i="51" s="1"/>
  <c r="W1510" i="51"/>
  <c r="AC1510" i="51" s="1"/>
  <c r="V1510" i="51"/>
  <c r="AB1510" i="51" s="1"/>
  <c r="X1509" i="51"/>
  <c r="AD1509" i="51" s="1"/>
  <c r="W1509" i="51"/>
  <c r="AC1509" i="51" s="1"/>
  <c r="V1509" i="51"/>
  <c r="AB1509" i="51" s="1"/>
  <c r="X1508" i="51"/>
  <c r="AD1508" i="51" s="1"/>
  <c r="W1508" i="51"/>
  <c r="AC1508" i="51" s="1"/>
  <c r="V1508" i="51"/>
  <c r="AB1508" i="51" s="1"/>
  <c r="X1507" i="51"/>
  <c r="AD1507" i="51" s="1"/>
  <c r="W1507" i="51"/>
  <c r="AC1507" i="51" s="1"/>
  <c r="V1507" i="51"/>
  <c r="AB1507" i="51" s="1"/>
  <c r="X1506" i="51"/>
  <c r="AD1506" i="51" s="1"/>
  <c r="W1506" i="51"/>
  <c r="AC1506" i="51" s="1"/>
  <c r="V1506" i="51"/>
  <c r="AB1506" i="51" s="1"/>
  <c r="X1505" i="51"/>
  <c r="AD1505" i="51" s="1"/>
  <c r="W1505" i="51"/>
  <c r="AC1505" i="51" s="1"/>
  <c r="V1505" i="51"/>
  <c r="AB1505" i="51" s="1"/>
  <c r="X1504" i="51"/>
  <c r="AD1504" i="51" s="1"/>
  <c r="W1504" i="51"/>
  <c r="AC1504" i="51" s="1"/>
  <c r="V1504" i="51"/>
  <c r="AB1504" i="51" s="1"/>
  <c r="X1503" i="51"/>
  <c r="AD1503" i="51" s="1"/>
  <c r="W1503" i="51"/>
  <c r="AC1503" i="51" s="1"/>
  <c r="V1503" i="51"/>
  <c r="AB1503" i="51" s="1"/>
  <c r="X1502" i="51"/>
  <c r="AD1502" i="51" s="1"/>
  <c r="W1502" i="51"/>
  <c r="AC1502" i="51" s="1"/>
  <c r="V1502" i="51"/>
  <c r="AB1502" i="51" s="1"/>
  <c r="X1501" i="51"/>
  <c r="AD1501" i="51" s="1"/>
  <c r="W1501" i="51"/>
  <c r="AC1501" i="51" s="1"/>
  <c r="V1501" i="51"/>
  <c r="AB1501" i="51" s="1"/>
  <c r="X1500" i="51"/>
  <c r="AD1500" i="51" s="1"/>
  <c r="W1500" i="51"/>
  <c r="AC1500" i="51" s="1"/>
  <c r="V1500" i="51"/>
  <c r="AB1500" i="51" s="1"/>
  <c r="X1499" i="51"/>
  <c r="AD1499" i="51" s="1"/>
  <c r="W1499" i="51"/>
  <c r="AC1499" i="51" s="1"/>
  <c r="V1499" i="51"/>
  <c r="AB1499" i="51" s="1"/>
  <c r="X1498" i="51"/>
  <c r="AD1498" i="51" s="1"/>
  <c r="W1498" i="51"/>
  <c r="AC1498" i="51" s="1"/>
  <c r="V1498" i="51"/>
  <c r="AB1498" i="51" s="1"/>
  <c r="X1497" i="51"/>
  <c r="AD1497" i="51" s="1"/>
  <c r="W1497" i="51"/>
  <c r="AC1497" i="51" s="1"/>
  <c r="V1497" i="51"/>
  <c r="AB1497" i="51" s="1"/>
  <c r="X1496" i="51"/>
  <c r="AD1496" i="51" s="1"/>
  <c r="W1496" i="51"/>
  <c r="AC1496" i="51" s="1"/>
  <c r="V1496" i="51"/>
  <c r="AB1496" i="51" s="1"/>
  <c r="X1495" i="51"/>
  <c r="AD1495" i="51" s="1"/>
  <c r="W1495" i="51"/>
  <c r="AC1495" i="51" s="1"/>
  <c r="V1495" i="51"/>
  <c r="AB1495" i="51" s="1"/>
  <c r="X1494" i="51"/>
  <c r="AD1494" i="51" s="1"/>
  <c r="W1494" i="51"/>
  <c r="AC1494" i="51" s="1"/>
  <c r="V1494" i="51"/>
  <c r="AB1494" i="51" s="1"/>
  <c r="X1493" i="51"/>
  <c r="AD1493" i="51" s="1"/>
  <c r="W1493" i="51"/>
  <c r="AC1493" i="51" s="1"/>
  <c r="V1493" i="51"/>
  <c r="AB1493" i="51" s="1"/>
  <c r="X1492" i="51"/>
  <c r="AD1492" i="51" s="1"/>
  <c r="W1492" i="51"/>
  <c r="AC1492" i="51" s="1"/>
  <c r="V1492" i="51"/>
  <c r="AB1492" i="51" s="1"/>
  <c r="X1491" i="51"/>
  <c r="AD1491" i="51" s="1"/>
  <c r="W1491" i="51"/>
  <c r="AC1491" i="51" s="1"/>
  <c r="V1491" i="51"/>
  <c r="AB1491" i="51" s="1"/>
  <c r="X1490" i="51"/>
  <c r="AD1490" i="51" s="1"/>
  <c r="W1490" i="51"/>
  <c r="AC1490" i="51" s="1"/>
  <c r="V1490" i="51"/>
  <c r="AB1490" i="51" s="1"/>
  <c r="X1489" i="51"/>
  <c r="AD1489" i="51" s="1"/>
  <c r="W1489" i="51"/>
  <c r="AC1489" i="51" s="1"/>
  <c r="V1489" i="51"/>
  <c r="AB1489" i="51" s="1"/>
  <c r="X1488" i="51"/>
  <c r="AD1488" i="51" s="1"/>
  <c r="W1488" i="51"/>
  <c r="AC1488" i="51" s="1"/>
  <c r="V1488" i="51"/>
  <c r="AB1488" i="51" s="1"/>
  <c r="X1487" i="51"/>
  <c r="AD1487" i="51" s="1"/>
  <c r="W1487" i="51"/>
  <c r="AC1487" i="51" s="1"/>
  <c r="V1487" i="51"/>
  <c r="AB1487" i="51" s="1"/>
  <c r="X1486" i="51"/>
  <c r="AD1486" i="51" s="1"/>
  <c r="W1486" i="51"/>
  <c r="AC1486" i="51" s="1"/>
  <c r="V1486" i="51"/>
  <c r="AB1486" i="51" s="1"/>
  <c r="X1485" i="51"/>
  <c r="AD1485" i="51" s="1"/>
  <c r="W1485" i="51"/>
  <c r="AC1485" i="51" s="1"/>
  <c r="V1485" i="51"/>
  <c r="AB1485" i="51" s="1"/>
  <c r="X1484" i="51"/>
  <c r="AD1484" i="51" s="1"/>
  <c r="W1484" i="51"/>
  <c r="AC1484" i="51" s="1"/>
  <c r="V1484" i="51"/>
  <c r="AB1484" i="51" s="1"/>
  <c r="X1483" i="51"/>
  <c r="AD1483" i="51" s="1"/>
  <c r="W1483" i="51"/>
  <c r="AC1483" i="51" s="1"/>
  <c r="V1483" i="51"/>
  <c r="AB1483" i="51" s="1"/>
  <c r="X1482" i="51"/>
  <c r="AD1482" i="51" s="1"/>
  <c r="W1482" i="51"/>
  <c r="AC1482" i="51" s="1"/>
  <c r="V1482" i="51"/>
  <c r="AB1482" i="51" s="1"/>
  <c r="X1481" i="51"/>
  <c r="AD1481" i="51" s="1"/>
  <c r="W1481" i="51"/>
  <c r="AC1481" i="51" s="1"/>
  <c r="V1481" i="51"/>
  <c r="AB1481" i="51" s="1"/>
  <c r="X1480" i="51"/>
  <c r="AD1480" i="51" s="1"/>
  <c r="W1480" i="51"/>
  <c r="AC1480" i="51" s="1"/>
  <c r="V1480" i="51"/>
  <c r="AB1480" i="51" s="1"/>
  <c r="X1479" i="51"/>
  <c r="AD1479" i="51" s="1"/>
  <c r="W1479" i="51"/>
  <c r="AC1479" i="51" s="1"/>
  <c r="V1479" i="51"/>
  <c r="AB1479" i="51" s="1"/>
  <c r="X1478" i="51"/>
  <c r="AD1478" i="51" s="1"/>
  <c r="W1478" i="51"/>
  <c r="AC1478" i="51" s="1"/>
  <c r="V1478" i="51"/>
  <c r="AB1478" i="51" s="1"/>
  <c r="X1477" i="51"/>
  <c r="AD1477" i="51" s="1"/>
  <c r="W1477" i="51"/>
  <c r="AC1477" i="51" s="1"/>
  <c r="V1477" i="51"/>
  <c r="AB1477" i="51" s="1"/>
  <c r="X1476" i="51"/>
  <c r="AD1476" i="51" s="1"/>
  <c r="W1476" i="51"/>
  <c r="AC1476" i="51" s="1"/>
  <c r="V1476" i="51"/>
  <c r="AB1476" i="51" s="1"/>
  <c r="X1475" i="51"/>
  <c r="AD1475" i="51" s="1"/>
  <c r="W1475" i="51"/>
  <c r="AC1475" i="51" s="1"/>
  <c r="V1475" i="51"/>
  <c r="AB1475" i="51" s="1"/>
  <c r="X1474" i="51"/>
  <c r="AD1474" i="51" s="1"/>
  <c r="W1474" i="51"/>
  <c r="AC1474" i="51" s="1"/>
  <c r="V1474" i="51"/>
  <c r="AB1474" i="51" s="1"/>
  <c r="X1473" i="51"/>
  <c r="AD1473" i="51" s="1"/>
  <c r="W1473" i="51"/>
  <c r="AC1473" i="51" s="1"/>
  <c r="V1473" i="51"/>
  <c r="AB1473" i="51" s="1"/>
  <c r="X1472" i="51"/>
  <c r="AD1472" i="51" s="1"/>
  <c r="W1472" i="51"/>
  <c r="AC1472" i="51" s="1"/>
  <c r="V1472" i="51"/>
  <c r="AB1472" i="51" s="1"/>
  <c r="X1471" i="51"/>
  <c r="AD1471" i="51" s="1"/>
  <c r="W1471" i="51"/>
  <c r="AC1471" i="51" s="1"/>
  <c r="V1471" i="51"/>
  <c r="AB1471" i="51" s="1"/>
  <c r="X1470" i="51"/>
  <c r="AD1470" i="51" s="1"/>
  <c r="W1470" i="51"/>
  <c r="AC1470" i="51" s="1"/>
  <c r="V1470" i="51"/>
  <c r="AB1470" i="51" s="1"/>
  <c r="X1469" i="51"/>
  <c r="AD1469" i="51" s="1"/>
  <c r="W1469" i="51"/>
  <c r="AC1469" i="51" s="1"/>
  <c r="V1469" i="51"/>
  <c r="AB1469" i="51" s="1"/>
  <c r="X1468" i="51"/>
  <c r="AD1468" i="51" s="1"/>
  <c r="W1468" i="51"/>
  <c r="AC1468" i="51" s="1"/>
  <c r="V1468" i="51"/>
  <c r="AB1468" i="51" s="1"/>
  <c r="X1467" i="51"/>
  <c r="AD1467" i="51" s="1"/>
  <c r="W1467" i="51"/>
  <c r="AC1467" i="51" s="1"/>
  <c r="V1467" i="51"/>
  <c r="AB1467" i="51" s="1"/>
  <c r="X1466" i="51"/>
  <c r="AD1466" i="51" s="1"/>
  <c r="W1466" i="51"/>
  <c r="AC1466" i="51" s="1"/>
  <c r="V1466" i="51"/>
  <c r="AB1466" i="51" s="1"/>
  <c r="X1465" i="51"/>
  <c r="AD1465" i="51" s="1"/>
  <c r="W1465" i="51"/>
  <c r="AC1465" i="51" s="1"/>
  <c r="V1465" i="51"/>
  <c r="AB1465" i="51" s="1"/>
  <c r="X1464" i="51"/>
  <c r="AD1464" i="51" s="1"/>
  <c r="W1464" i="51"/>
  <c r="AC1464" i="51" s="1"/>
  <c r="V1464" i="51"/>
  <c r="AB1464" i="51" s="1"/>
  <c r="X1463" i="51"/>
  <c r="AD1463" i="51" s="1"/>
  <c r="W1463" i="51"/>
  <c r="AC1463" i="51" s="1"/>
  <c r="V1463" i="51"/>
  <c r="AB1463" i="51" s="1"/>
  <c r="X1462" i="51"/>
  <c r="AD1462" i="51" s="1"/>
  <c r="W1462" i="51"/>
  <c r="AC1462" i="51" s="1"/>
  <c r="V1462" i="51"/>
  <c r="AB1462" i="51" s="1"/>
  <c r="X1461" i="51"/>
  <c r="AD1461" i="51" s="1"/>
  <c r="W1461" i="51"/>
  <c r="AC1461" i="51" s="1"/>
  <c r="V1461" i="51"/>
  <c r="AB1461" i="51" s="1"/>
  <c r="X1460" i="51"/>
  <c r="AD1460" i="51" s="1"/>
  <c r="W1460" i="51"/>
  <c r="AC1460" i="51" s="1"/>
  <c r="V1460" i="51"/>
  <c r="AB1460" i="51" s="1"/>
  <c r="X1459" i="51"/>
  <c r="AD1459" i="51" s="1"/>
  <c r="W1459" i="51"/>
  <c r="AC1459" i="51" s="1"/>
  <c r="V1459" i="51"/>
  <c r="AB1459" i="51" s="1"/>
  <c r="X1458" i="51"/>
  <c r="AD1458" i="51" s="1"/>
  <c r="W1458" i="51"/>
  <c r="AC1458" i="51" s="1"/>
  <c r="V1458" i="51"/>
  <c r="AB1458" i="51" s="1"/>
  <c r="X1457" i="51"/>
  <c r="AD1457" i="51" s="1"/>
  <c r="W1457" i="51"/>
  <c r="AC1457" i="51" s="1"/>
  <c r="V1457" i="51"/>
  <c r="AB1457" i="51" s="1"/>
  <c r="X1456" i="51"/>
  <c r="AD1456" i="51" s="1"/>
  <c r="W1456" i="51"/>
  <c r="AC1456" i="51" s="1"/>
  <c r="V1456" i="51"/>
  <c r="AB1456" i="51" s="1"/>
  <c r="X1455" i="51"/>
  <c r="AD1455" i="51" s="1"/>
  <c r="W1455" i="51"/>
  <c r="AC1455" i="51" s="1"/>
  <c r="V1455" i="51"/>
  <c r="AB1455" i="51" s="1"/>
  <c r="X1454" i="51"/>
  <c r="AD1454" i="51" s="1"/>
  <c r="W1454" i="51"/>
  <c r="AC1454" i="51" s="1"/>
  <c r="V1454" i="51"/>
  <c r="AB1454" i="51" s="1"/>
  <c r="X1453" i="51"/>
  <c r="AD1453" i="51" s="1"/>
  <c r="W1453" i="51"/>
  <c r="AC1453" i="51" s="1"/>
  <c r="V1453" i="51"/>
  <c r="AB1453" i="51" s="1"/>
  <c r="X1452" i="51"/>
  <c r="AD1452" i="51" s="1"/>
  <c r="W1452" i="51"/>
  <c r="AC1452" i="51" s="1"/>
  <c r="V1452" i="51"/>
  <c r="AB1452" i="51" s="1"/>
  <c r="X1451" i="51"/>
  <c r="AD1451" i="51" s="1"/>
  <c r="W1451" i="51"/>
  <c r="AC1451" i="51" s="1"/>
  <c r="V1451" i="51"/>
  <c r="AB1451" i="51" s="1"/>
  <c r="X1450" i="51"/>
  <c r="AD1450" i="51" s="1"/>
  <c r="W1450" i="51"/>
  <c r="AC1450" i="51" s="1"/>
  <c r="V1450" i="51"/>
  <c r="AB1450" i="51" s="1"/>
  <c r="X1449" i="51"/>
  <c r="AD1449" i="51" s="1"/>
  <c r="W1449" i="51"/>
  <c r="AC1449" i="51" s="1"/>
  <c r="V1449" i="51"/>
  <c r="AB1449" i="51" s="1"/>
  <c r="X1448" i="51"/>
  <c r="AD1448" i="51" s="1"/>
  <c r="W1448" i="51"/>
  <c r="AC1448" i="51" s="1"/>
  <c r="V1448" i="51"/>
  <c r="AB1448" i="51" s="1"/>
  <c r="X1447" i="51"/>
  <c r="AD1447" i="51" s="1"/>
  <c r="W1447" i="51"/>
  <c r="AC1447" i="51" s="1"/>
  <c r="V1447" i="51"/>
  <c r="AB1447" i="51" s="1"/>
  <c r="X1446" i="51"/>
  <c r="AD1446" i="51" s="1"/>
  <c r="W1446" i="51"/>
  <c r="AC1446" i="51" s="1"/>
  <c r="V1446" i="51"/>
  <c r="AB1446" i="51" s="1"/>
  <c r="X1445" i="51"/>
  <c r="AD1445" i="51" s="1"/>
  <c r="W1445" i="51"/>
  <c r="AC1445" i="51" s="1"/>
  <c r="V1445" i="51"/>
  <c r="AB1445" i="51" s="1"/>
  <c r="X1444" i="51"/>
  <c r="AD1444" i="51" s="1"/>
  <c r="W1444" i="51"/>
  <c r="AC1444" i="51" s="1"/>
  <c r="V1444" i="51"/>
  <c r="AB1444" i="51" s="1"/>
  <c r="X1443" i="51"/>
  <c r="AD1443" i="51" s="1"/>
  <c r="W1443" i="51"/>
  <c r="AC1443" i="51" s="1"/>
  <c r="V1443" i="51"/>
  <c r="AB1443" i="51" s="1"/>
  <c r="X1442" i="51"/>
  <c r="AD1442" i="51" s="1"/>
  <c r="W1442" i="51"/>
  <c r="AC1442" i="51" s="1"/>
  <c r="V1442" i="51"/>
  <c r="AB1442" i="51" s="1"/>
  <c r="X1441" i="51"/>
  <c r="AD1441" i="51" s="1"/>
  <c r="W1441" i="51"/>
  <c r="AC1441" i="51" s="1"/>
  <c r="V1441" i="51"/>
  <c r="AB1441" i="51" s="1"/>
  <c r="X1440" i="51"/>
  <c r="AD1440" i="51" s="1"/>
  <c r="W1440" i="51"/>
  <c r="AC1440" i="51" s="1"/>
  <c r="V1440" i="51"/>
  <c r="AB1440" i="51" s="1"/>
  <c r="X1439" i="51"/>
  <c r="AD1439" i="51" s="1"/>
  <c r="W1439" i="51"/>
  <c r="AC1439" i="51" s="1"/>
  <c r="V1439" i="51"/>
  <c r="AB1439" i="51" s="1"/>
  <c r="X1438" i="51"/>
  <c r="AD1438" i="51" s="1"/>
  <c r="W1438" i="51"/>
  <c r="AC1438" i="51" s="1"/>
  <c r="V1438" i="51"/>
  <c r="AB1438" i="51" s="1"/>
  <c r="X1437" i="51"/>
  <c r="AD1437" i="51" s="1"/>
  <c r="W1437" i="51"/>
  <c r="AC1437" i="51" s="1"/>
  <c r="V1437" i="51"/>
  <c r="AB1437" i="51" s="1"/>
  <c r="X1436" i="51"/>
  <c r="AD1436" i="51" s="1"/>
  <c r="W1436" i="51"/>
  <c r="AC1436" i="51" s="1"/>
  <c r="V1436" i="51"/>
  <c r="AB1436" i="51" s="1"/>
  <c r="X1435" i="51"/>
  <c r="AD1435" i="51" s="1"/>
  <c r="W1435" i="51"/>
  <c r="AC1435" i="51" s="1"/>
  <c r="V1435" i="51"/>
  <c r="AB1435" i="51" s="1"/>
  <c r="X1434" i="51"/>
  <c r="AD1434" i="51" s="1"/>
  <c r="W1434" i="51"/>
  <c r="AC1434" i="51" s="1"/>
  <c r="V1434" i="51"/>
  <c r="AB1434" i="51" s="1"/>
  <c r="X1433" i="51"/>
  <c r="AD1433" i="51" s="1"/>
  <c r="W1433" i="51"/>
  <c r="AC1433" i="51" s="1"/>
  <c r="V1433" i="51"/>
  <c r="AB1433" i="51" s="1"/>
  <c r="X1432" i="51"/>
  <c r="AD1432" i="51" s="1"/>
  <c r="W1432" i="51"/>
  <c r="AC1432" i="51" s="1"/>
  <c r="V1432" i="51"/>
  <c r="AB1432" i="51" s="1"/>
  <c r="X1431" i="51"/>
  <c r="AD1431" i="51" s="1"/>
  <c r="W1431" i="51"/>
  <c r="AC1431" i="51" s="1"/>
  <c r="V1431" i="51"/>
  <c r="AB1431" i="51" s="1"/>
  <c r="X1430" i="51"/>
  <c r="AD1430" i="51" s="1"/>
  <c r="AO4" i="51" s="1"/>
  <c r="W1430" i="51"/>
  <c r="AC1430" i="51" s="1"/>
  <c r="V1430" i="51"/>
  <c r="AB1430" i="51" s="1"/>
  <c r="V1429" i="51"/>
  <c r="AB1429" i="51" s="1"/>
  <c r="V1428" i="51"/>
  <c r="AB1428" i="51" s="1"/>
  <c r="V1427" i="51"/>
  <c r="AB1427" i="51" s="1"/>
  <c r="V1426" i="51"/>
  <c r="AB1426" i="51" s="1"/>
  <c r="V1425" i="51"/>
  <c r="AB1425" i="51" s="1"/>
  <c r="V1424" i="51"/>
  <c r="AB1424" i="51" s="1"/>
  <c r="V1423" i="51"/>
  <c r="AB1423" i="51" s="1"/>
  <c r="V1422" i="51"/>
  <c r="AB1422" i="51" s="1"/>
  <c r="V1421" i="51"/>
  <c r="AB1421" i="51" s="1"/>
  <c r="V1420" i="51"/>
  <c r="AB1420" i="51" s="1"/>
  <c r="V1419" i="51"/>
  <c r="AB1419" i="51" s="1"/>
  <c r="V1418" i="51"/>
  <c r="AB1418" i="51" s="1"/>
  <c r="X1417" i="51"/>
  <c r="AD1417" i="51" s="1"/>
  <c r="W1417" i="51"/>
  <c r="AC1417" i="51" s="1"/>
  <c r="X1416" i="51"/>
  <c r="AD1416" i="51" s="1"/>
  <c r="W1416" i="51"/>
  <c r="AC1416" i="51" s="1"/>
  <c r="X1415" i="51"/>
  <c r="AD1415" i="51" s="1"/>
  <c r="W1415" i="51"/>
  <c r="AC1415" i="51" s="1"/>
  <c r="X1414" i="51"/>
  <c r="AD1414" i="51" s="1"/>
  <c r="W1414" i="51"/>
  <c r="AC1414" i="51" s="1"/>
  <c r="X1413" i="51"/>
  <c r="AD1413" i="51" s="1"/>
  <c r="W1413" i="51"/>
  <c r="AC1413" i="51" s="1"/>
  <c r="X1412" i="51"/>
  <c r="AD1412" i="51" s="1"/>
  <c r="W1412" i="51"/>
  <c r="AC1412" i="51" s="1"/>
  <c r="X1411" i="51"/>
  <c r="AD1411" i="51" s="1"/>
  <c r="W1411" i="51"/>
  <c r="AC1411" i="51" s="1"/>
  <c r="X1410" i="51"/>
  <c r="AD1410" i="51" s="1"/>
  <c r="W1410" i="51"/>
  <c r="AC1410" i="51" s="1"/>
  <c r="X1409" i="51"/>
  <c r="AD1409" i="51" s="1"/>
  <c r="W1409" i="51"/>
  <c r="AC1409" i="51" s="1"/>
  <c r="X1408" i="51"/>
  <c r="AD1408" i="51" s="1"/>
  <c r="W1408" i="51"/>
  <c r="AC1408" i="51" s="1"/>
  <c r="X1407" i="51"/>
  <c r="AD1407" i="51" s="1"/>
  <c r="W1407" i="51"/>
  <c r="AC1407" i="51" s="1"/>
  <c r="X1406" i="51"/>
  <c r="AD1406" i="51" s="1"/>
  <c r="W1406" i="51"/>
  <c r="AC1406" i="51" s="1"/>
  <c r="V1405" i="51"/>
  <c r="AB1405" i="51" s="1"/>
  <c r="V1404" i="51"/>
  <c r="AB1404" i="51" s="1"/>
  <c r="V1403" i="51"/>
  <c r="AB1403" i="51" s="1"/>
  <c r="V1402" i="51"/>
  <c r="AB1402" i="51" s="1"/>
  <c r="V1401" i="51"/>
  <c r="AB1401" i="51" s="1"/>
  <c r="V1400" i="51"/>
  <c r="AB1400" i="51" s="1"/>
  <c r="V1399" i="51"/>
  <c r="AB1399" i="51" s="1"/>
  <c r="V1398" i="51"/>
  <c r="AB1398" i="51" s="1"/>
  <c r="V1397" i="51"/>
  <c r="AB1397" i="51" s="1"/>
  <c r="V1396" i="51"/>
  <c r="AB1396" i="51" s="1"/>
  <c r="V1395" i="51"/>
  <c r="AB1395" i="51" s="1"/>
  <c r="V1394" i="51"/>
  <c r="AB1394" i="51" s="1"/>
  <c r="V1393" i="51"/>
  <c r="AB1393" i="51" s="1"/>
  <c r="V1392" i="51"/>
  <c r="AB1392" i="51" s="1"/>
  <c r="V1391" i="51"/>
  <c r="AB1391" i="51" s="1"/>
  <c r="V1390" i="51"/>
  <c r="AB1390" i="51" s="1"/>
  <c r="V1389" i="51"/>
  <c r="AB1389" i="51" s="1"/>
  <c r="V1388" i="51"/>
  <c r="AB1388" i="51" s="1"/>
  <c r="V1387" i="51"/>
  <c r="AB1387" i="51" s="1"/>
  <c r="V1386" i="51"/>
  <c r="AB1386" i="51" s="1"/>
  <c r="V1385" i="51"/>
  <c r="AB1385" i="51" s="1"/>
  <c r="V1384" i="51"/>
  <c r="AB1384" i="51" s="1"/>
  <c r="V1383" i="51"/>
  <c r="AB1383" i="51" s="1"/>
  <c r="V1382" i="51"/>
  <c r="AB1382" i="51" s="1"/>
  <c r="V1381" i="51"/>
  <c r="AB1381" i="51" s="1"/>
  <c r="V1380" i="51"/>
  <c r="AB1380" i="51" s="1"/>
  <c r="V1379" i="51"/>
  <c r="AB1379" i="51" s="1"/>
  <c r="V1378" i="51"/>
  <c r="AB1378" i="51" s="1"/>
  <c r="V1377" i="51"/>
  <c r="AB1377" i="51" s="1"/>
  <c r="V1376" i="51"/>
  <c r="AB1376" i="51" s="1"/>
  <c r="V1375" i="51"/>
  <c r="AB1375" i="51" s="1"/>
  <c r="V1374" i="51"/>
  <c r="AB1374" i="51" s="1"/>
  <c r="V1373" i="51"/>
  <c r="AB1373" i="51" s="1"/>
  <c r="V1372" i="51"/>
  <c r="AB1372" i="51" s="1"/>
  <c r="V1371" i="51"/>
  <c r="AB1371" i="51" s="1"/>
  <c r="V1370" i="51"/>
  <c r="AB1370" i="51" s="1"/>
  <c r="V1369" i="51"/>
  <c r="AB1369" i="51" s="1"/>
  <c r="V1368" i="51"/>
  <c r="AB1368" i="51" s="1"/>
  <c r="V1367" i="51"/>
  <c r="AB1367" i="51" s="1"/>
  <c r="V1366" i="51"/>
  <c r="AB1366" i="51" s="1"/>
  <c r="X1365" i="51"/>
  <c r="AD1365" i="51" s="1"/>
  <c r="W1365" i="51"/>
  <c r="AC1365" i="51" s="1"/>
  <c r="X1364" i="51"/>
  <c r="AD1364" i="51" s="1"/>
  <c r="W1364" i="51"/>
  <c r="AC1364" i="51" s="1"/>
  <c r="X1363" i="51"/>
  <c r="AD1363" i="51" s="1"/>
  <c r="W1363" i="51"/>
  <c r="AC1363" i="51" s="1"/>
  <c r="X1362" i="51"/>
  <c r="AD1362" i="51" s="1"/>
  <c r="W1362" i="51"/>
  <c r="AC1362" i="51" s="1"/>
  <c r="X1361" i="51"/>
  <c r="AD1361" i="51" s="1"/>
  <c r="W1361" i="51"/>
  <c r="AC1361" i="51" s="1"/>
  <c r="X1360" i="51"/>
  <c r="AD1360" i="51" s="1"/>
  <c r="W1360" i="51"/>
  <c r="AC1360" i="51" s="1"/>
  <c r="X1359" i="51"/>
  <c r="AD1359" i="51" s="1"/>
  <c r="W1359" i="51"/>
  <c r="AC1359" i="51" s="1"/>
  <c r="X1358" i="51"/>
  <c r="AD1358" i="51" s="1"/>
  <c r="W1358" i="51"/>
  <c r="AC1358" i="51" s="1"/>
  <c r="X1357" i="51"/>
  <c r="AD1357" i="51" s="1"/>
  <c r="W1357" i="51"/>
  <c r="AC1357" i="51" s="1"/>
  <c r="X1356" i="51"/>
  <c r="AD1356" i="51" s="1"/>
  <c r="W1356" i="51"/>
  <c r="AC1356" i="51" s="1"/>
  <c r="X1355" i="51"/>
  <c r="AD1355" i="51" s="1"/>
  <c r="W1355" i="51"/>
  <c r="AC1355" i="51" s="1"/>
  <c r="X1354" i="51"/>
  <c r="AD1354" i="51" s="1"/>
  <c r="W1354" i="51"/>
  <c r="AC1354" i="51" s="1"/>
  <c r="X1353" i="51"/>
  <c r="AD1353" i="51" s="1"/>
  <c r="W1353" i="51"/>
  <c r="AC1353" i="51" s="1"/>
  <c r="X1352" i="51"/>
  <c r="AD1352" i="51" s="1"/>
  <c r="W1352" i="51"/>
  <c r="AC1352" i="51" s="1"/>
  <c r="X1351" i="51"/>
  <c r="AD1351" i="51" s="1"/>
  <c r="W1351" i="51"/>
  <c r="AC1351" i="51" s="1"/>
  <c r="X1350" i="51"/>
  <c r="AD1350" i="51" s="1"/>
  <c r="W1350" i="51"/>
  <c r="AC1350" i="51" s="1"/>
  <c r="X1349" i="51"/>
  <c r="AD1349" i="51" s="1"/>
  <c r="W1349" i="51"/>
  <c r="AC1349" i="51" s="1"/>
  <c r="X1348" i="51"/>
  <c r="AD1348" i="51" s="1"/>
  <c r="W1348" i="51"/>
  <c r="AC1348" i="51" s="1"/>
  <c r="X1347" i="51"/>
  <c r="AD1347" i="51" s="1"/>
  <c r="W1347" i="51"/>
  <c r="AC1347" i="51" s="1"/>
  <c r="X1346" i="51"/>
  <c r="AD1346" i="51" s="1"/>
  <c r="W1346" i="51"/>
  <c r="AC1346" i="51" s="1"/>
  <c r="X1345" i="51"/>
  <c r="AD1345" i="51" s="1"/>
  <c r="W1345" i="51"/>
  <c r="AC1345" i="51" s="1"/>
  <c r="X1344" i="51"/>
  <c r="AD1344" i="51" s="1"/>
  <c r="W1344" i="51"/>
  <c r="AC1344" i="51" s="1"/>
  <c r="X1343" i="51"/>
  <c r="AD1343" i="51" s="1"/>
  <c r="W1343" i="51"/>
  <c r="AC1343" i="51" s="1"/>
  <c r="X1342" i="51"/>
  <c r="AD1342" i="51" s="1"/>
  <c r="W1342" i="51"/>
  <c r="AC1342" i="51" s="1"/>
  <c r="X1341" i="51"/>
  <c r="AD1341" i="51" s="1"/>
  <c r="W1341" i="51"/>
  <c r="AC1341" i="51" s="1"/>
  <c r="X1340" i="51"/>
  <c r="AD1340" i="51" s="1"/>
  <c r="W1340" i="51"/>
  <c r="AC1340" i="51" s="1"/>
  <c r="X1339" i="51"/>
  <c r="AD1339" i="51" s="1"/>
  <c r="W1339" i="51"/>
  <c r="AC1339" i="51" s="1"/>
  <c r="X1338" i="51"/>
  <c r="AD1338" i="51" s="1"/>
  <c r="W1338" i="51"/>
  <c r="AC1338" i="51" s="1"/>
  <c r="X1337" i="51"/>
  <c r="AD1337" i="51" s="1"/>
  <c r="W1337" i="51"/>
  <c r="AC1337" i="51" s="1"/>
  <c r="X1336" i="51"/>
  <c r="AD1336" i="51" s="1"/>
  <c r="W1336" i="51"/>
  <c r="AC1336" i="51" s="1"/>
  <c r="X1335" i="51"/>
  <c r="AD1335" i="51" s="1"/>
  <c r="W1335" i="51"/>
  <c r="AC1335" i="51" s="1"/>
  <c r="X1334" i="51"/>
  <c r="AD1334" i="51" s="1"/>
  <c r="W1334" i="51"/>
  <c r="AC1334" i="51" s="1"/>
  <c r="X1333" i="51"/>
  <c r="AD1333" i="51" s="1"/>
  <c r="W1333" i="51"/>
  <c r="AC1333" i="51" s="1"/>
  <c r="X1332" i="51"/>
  <c r="AD1332" i="51" s="1"/>
  <c r="W1332" i="51"/>
  <c r="AC1332" i="51" s="1"/>
  <c r="V1331" i="51"/>
  <c r="AB1331" i="51" s="1"/>
  <c r="V1330" i="51"/>
  <c r="AB1330" i="51" s="1"/>
  <c r="V1329" i="51"/>
  <c r="AB1329" i="51" s="1"/>
  <c r="V1328" i="51"/>
  <c r="AB1328" i="51" s="1"/>
  <c r="V1327" i="51"/>
  <c r="AB1327" i="51" s="1"/>
  <c r="V1326" i="51"/>
  <c r="AB1326" i="51" s="1"/>
  <c r="V1325" i="51"/>
  <c r="AB1325" i="51" s="1"/>
  <c r="V1324" i="51"/>
  <c r="AB1324" i="51" s="1"/>
  <c r="V1323" i="51"/>
  <c r="AB1323" i="51" s="1"/>
  <c r="V1322" i="51"/>
  <c r="AB1322" i="51" s="1"/>
  <c r="V1321" i="51"/>
  <c r="AB1321" i="51" s="1"/>
  <c r="V1320" i="51"/>
  <c r="AB1320" i="51" s="1"/>
  <c r="V1319" i="51"/>
  <c r="AB1319" i="51" s="1"/>
  <c r="V1318" i="51"/>
  <c r="AB1318" i="51" s="1"/>
  <c r="V1317" i="51"/>
  <c r="AB1317" i="51" s="1"/>
  <c r="V1316" i="51"/>
  <c r="AB1316" i="51" s="1"/>
  <c r="V1315" i="51"/>
  <c r="AB1315" i="51" s="1"/>
  <c r="V1314" i="51"/>
  <c r="AB1314" i="51" s="1"/>
  <c r="V1313" i="51"/>
  <c r="AB1313" i="51" s="1"/>
  <c r="V1312" i="51"/>
  <c r="AB1312" i="51" s="1"/>
  <c r="V1311" i="51"/>
  <c r="AB1311" i="51" s="1"/>
  <c r="V1310" i="51"/>
  <c r="AB1310" i="51" s="1"/>
  <c r="V1309" i="51"/>
  <c r="AB1309" i="51" s="1"/>
  <c r="V1308" i="51"/>
  <c r="AB1308" i="51" s="1"/>
  <c r="V1307" i="51"/>
  <c r="AB1307" i="51" s="1"/>
  <c r="V1306" i="51"/>
  <c r="AB1306" i="51" s="1"/>
  <c r="V1305" i="51"/>
  <c r="AB1305" i="51" s="1"/>
  <c r="V1304" i="51"/>
  <c r="AB1304" i="51" s="1"/>
  <c r="V1303" i="51"/>
  <c r="AB1303" i="51" s="1"/>
  <c r="V1302" i="51"/>
  <c r="AB1302" i="51" s="1"/>
  <c r="V1301" i="51"/>
  <c r="AB1301" i="51" s="1"/>
  <c r="V1300" i="51"/>
  <c r="AB1300" i="51" s="1"/>
  <c r="V1299" i="51"/>
  <c r="AB1299" i="51" s="1"/>
  <c r="V1298" i="51"/>
  <c r="AB1298" i="51" s="1"/>
  <c r="V1297" i="51"/>
  <c r="AB1297" i="51" s="1"/>
  <c r="V1296" i="51"/>
  <c r="AB1296" i="51" s="1"/>
  <c r="V1295" i="51"/>
  <c r="AB1295" i="51" s="1"/>
  <c r="V1294" i="51"/>
  <c r="AB1294" i="51" s="1"/>
  <c r="V1293" i="51"/>
  <c r="AB1293" i="51" s="1"/>
  <c r="V1292" i="51"/>
  <c r="AB1292" i="51" s="1"/>
  <c r="V1291" i="51"/>
  <c r="AB1291" i="51" s="1"/>
  <c r="V1290" i="51"/>
  <c r="AB1290" i="51" s="1"/>
  <c r="V1289" i="51"/>
  <c r="AB1289" i="51" s="1"/>
  <c r="V1288" i="51"/>
  <c r="AB1288" i="51" s="1"/>
  <c r="V1287" i="51"/>
  <c r="AB1287" i="51" s="1"/>
  <c r="V1286" i="51"/>
  <c r="AB1286" i="51" s="1"/>
  <c r="V1285" i="51"/>
  <c r="AB1285" i="51" s="1"/>
  <c r="V1284" i="51"/>
  <c r="AB1284" i="51" s="1"/>
  <c r="V1283" i="51"/>
  <c r="AB1283" i="51" s="1"/>
  <c r="V1282" i="51"/>
  <c r="AB1282" i="51" s="1"/>
  <c r="V1281" i="51"/>
  <c r="AB1281" i="51" s="1"/>
  <c r="V1280" i="51"/>
  <c r="AB1280" i="51" s="1"/>
  <c r="V1279" i="51"/>
  <c r="AB1279" i="51" s="1"/>
  <c r="V1278" i="51"/>
  <c r="AB1278" i="51" s="1"/>
  <c r="V1277" i="51"/>
  <c r="AB1277" i="51" s="1"/>
  <c r="V1276" i="51"/>
  <c r="AB1276" i="51" s="1"/>
  <c r="X1275" i="51"/>
  <c r="AD1275" i="51" s="1"/>
  <c r="W1275" i="51"/>
  <c r="AC1275" i="51" s="1"/>
  <c r="X1274" i="51"/>
  <c r="AD1274" i="51" s="1"/>
  <c r="W1274" i="51"/>
  <c r="AC1274" i="51" s="1"/>
  <c r="X1273" i="51"/>
  <c r="AD1273" i="51" s="1"/>
  <c r="W1273" i="51"/>
  <c r="AC1273" i="51" s="1"/>
  <c r="X1272" i="51"/>
  <c r="AD1272" i="51" s="1"/>
  <c r="W1272" i="51"/>
  <c r="AC1272" i="51" s="1"/>
  <c r="X1271" i="51"/>
  <c r="AD1271" i="51" s="1"/>
  <c r="W1271" i="51"/>
  <c r="AC1271" i="51" s="1"/>
  <c r="X1270" i="51"/>
  <c r="AD1270" i="51" s="1"/>
  <c r="W1270" i="51"/>
  <c r="AC1270" i="51" s="1"/>
  <c r="X1269" i="51"/>
  <c r="AD1269" i="51" s="1"/>
  <c r="W1269" i="51"/>
  <c r="AC1269" i="51" s="1"/>
  <c r="X1268" i="51"/>
  <c r="AD1268" i="51" s="1"/>
  <c r="W1268" i="51"/>
  <c r="AC1268" i="51" s="1"/>
  <c r="X1267" i="51"/>
  <c r="AD1267" i="51" s="1"/>
  <c r="W1267" i="51"/>
  <c r="AC1267" i="51" s="1"/>
  <c r="X1266" i="51"/>
  <c r="AD1266" i="51" s="1"/>
  <c r="W1266" i="51"/>
  <c r="AC1266" i="51" s="1"/>
  <c r="X1265" i="51"/>
  <c r="AD1265" i="51" s="1"/>
  <c r="W1265" i="51"/>
  <c r="AC1265" i="51" s="1"/>
  <c r="X1264" i="51"/>
  <c r="AD1264" i="51" s="1"/>
  <c r="W1264" i="51"/>
  <c r="AC1264" i="51" s="1"/>
  <c r="X1263" i="51"/>
  <c r="AD1263" i="51" s="1"/>
  <c r="W1263" i="51"/>
  <c r="AC1263" i="51" s="1"/>
  <c r="X1262" i="51"/>
  <c r="AD1262" i="51" s="1"/>
  <c r="W1262" i="51"/>
  <c r="AC1262" i="51" s="1"/>
  <c r="X1261" i="51"/>
  <c r="AD1261" i="51" s="1"/>
  <c r="W1261" i="51"/>
  <c r="AC1261" i="51" s="1"/>
  <c r="X1260" i="51"/>
  <c r="AD1260" i="51" s="1"/>
  <c r="W1260" i="51"/>
  <c r="AC1260" i="51" s="1"/>
  <c r="X1259" i="51"/>
  <c r="AD1259" i="51" s="1"/>
  <c r="W1259" i="51"/>
  <c r="AC1259" i="51" s="1"/>
  <c r="X1258" i="51"/>
  <c r="AD1258" i="51" s="1"/>
  <c r="W1258" i="51"/>
  <c r="AC1258" i="51" s="1"/>
  <c r="X1257" i="51"/>
  <c r="AD1257" i="51" s="1"/>
  <c r="W1257" i="51"/>
  <c r="AC1257" i="51" s="1"/>
  <c r="X1256" i="51"/>
  <c r="AD1256" i="51" s="1"/>
  <c r="W1256" i="51"/>
  <c r="AC1256" i="51" s="1"/>
  <c r="X1255" i="51"/>
  <c r="AD1255" i="51" s="1"/>
  <c r="W1255" i="51"/>
  <c r="AC1255" i="51" s="1"/>
  <c r="X1254" i="51"/>
  <c r="AD1254" i="51" s="1"/>
  <c r="W1254" i="51"/>
  <c r="AC1254" i="51" s="1"/>
  <c r="X1253" i="51"/>
  <c r="AD1253" i="51" s="1"/>
  <c r="W1253" i="51"/>
  <c r="AC1253" i="51" s="1"/>
  <c r="X1252" i="51"/>
  <c r="AD1252" i="51" s="1"/>
  <c r="W1252" i="51"/>
  <c r="AC1252" i="51" s="1"/>
  <c r="X1251" i="51"/>
  <c r="AD1251" i="51" s="1"/>
  <c r="W1251" i="51"/>
  <c r="AC1251" i="51" s="1"/>
  <c r="X1250" i="51"/>
  <c r="AD1250" i="51" s="1"/>
  <c r="W1250" i="51"/>
  <c r="AC1250" i="51" s="1"/>
  <c r="X1249" i="51"/>
  <c r="AD1249" i="51" s="1"/>
  <c r="W1249" i="51"/>
  <c r="AC1249" i="51" s="1"/>
  <c r="X1248" i="51"/>
  <c r="AD1248" i="51" s="1"/>
  <c r="W1248" i="51"/>
  <c r="AC1248" i="51" s="1"/>
  <c r="X1247" i="51"/>
  <c r="AD1247" i="51" s="1"/>
  <c r="W1247" i="51"/>
  <c r="AC1247" i="51" s="1"/>
  <c r="X1246" i="51"/>
  <c r="AD1246" i="51" s="1"/>
  <c r="W1246" i="51"/>
  <c r="AC1246" i="51" s="1"/>
  <c r="X1245" i="51"/>
  <c r="AD1245" i="51" s="1"/>
  <c r="W1245" i="51"/>
  <c r="AC1245" i="51" s="1"/>
  <c r="X1244" i="51"/>
  <c r="AD1244" i="51" s="1"/>
  <c r="W1244" i="51"/>
  <c r="AC1244" i="51" s="1"/>
  <c r="X1243" i="51"/>
  <c r="AD1243" i="51" s="1"/>
  <c r="W1243" i="51"/>
  <c r="AC1243" i="51" s="1"/>
  <c r="X1242" i="51"/>
  <c r="AD1242" i="51" s="1"/>
  <c r="W1242" i="51"/>
  <c r="AC1242" i="51" s="1"/>
  <c r="X1241" i="51"/>
  <c r="AD1241" i="51" s="1"/>
  <c r="W1241" i="51"/>
  <c r="AC1241" i="51" s="1"/>
  <c r="X1240" i="51"/>
  <c r="AD1240" i="51" s="1"/>
  <c r="W1240" i="51"/>
  <c r="AC1240" i="51" s="1"/>
  <c r="V1239" i="51"/>
  <c r="AB1239" i="51" s="1"/>
  <c r="V1238" i="51"/>
  <c r="AB1238" i="51" s="1"/>
  <c r="V1237" i="51"/>
  <c r="AB1237" i="51" s="1"/>
  <c r="V1236" i="51"/>
  <c r="AB1236" i="51" s="1"/>
  <c r="V1235" i="51"/>
  <c r="AB1235" i="51" s="1"/>
  <c r="V1234" i="51"/>
  <c r="AB1234" i="51" s="1"/>
  <c r="V1233" i="51"/>
  <c r="AB1233" i="51" s="1"/>
  <c r="V1232" i="51"/>
  <c r="AB1232" i="51" s="1"/>
  <c r="V1231" i="51"/>
  <c r="AB1231" i="51" s="1"/>
  <c r="V1230" i="51"/>
  <c r="AB1230" i="51" s="1"/>
  <c r="V1229" i="51"/>
  <c r="AB1229" i="51" s="1"/>
  <c r="V1228" i="51"/>
  <c r="AB1228" i="51" s="1"/>
  <c r="V1227" i="51"/>
  <c r="AB1227" i="51" s="1"/>
  <c r="V1226" i="51"/>
  <c r="AB1226" i="51" s="1"/>
  <c r="V1225" i="51"/>
  <c r="AB1225" i="51" s="1"/>
  <c r="V1224" i="51"/>
  <c r="AB1224" i="51" s="1"/>
  <c r="V1223" i="51"/>
  <c r="AB1223" i="51" s="1"/>
  <c r="V1222" i="51"/>
  <c r="AB1222" i="51" s="1"/>
  <c r="V1221" i="51"/>
  <c r="AB1221" i="51" s="1"/>
  <c r="V1220" i="51"/>
  <c r="AB1220" i="51" s="1"/>
  <c r="V1219" i="51"/>
  <c r="AB1219" i="51" s="1"/>
  <c r="V1218" i="51"/>
  <c r="AB1218" i="51" s="1"/>
  <c r="V1217" i="51"/>
  <c r="AB1217" i="51" s="1"/>
  <c r="V1216" i="51"/>
  <c r="AB1216" i="51" s="1"/>
  <c r="V1215" i="51"/>
  <c r="AB1215" i="51" s="1"/>
  <c r="V1214" i="51"/>
  <c r="AB1214" i="51" s="1"/>
  <c r="V1213" i="51"/>
  <c r="AB1213" i="51" s="1"/>
  <c r="V1212" i="51"/>
  <c r="AB1212" i="51" s="1"/>
  <c r="V1211" i="51"/>
  <c r="AB1211" i="51" s="1"/>
  <c r="X1210" i="51"/>
  <c r="AD1210" i="51" s="1"/>
  <c r="W1210" i="51"/>
  <c r="AC1210" i="51" s="1"/>
  <c r="V1210" i="51"/>
  <c r="AB1210" i="51" s="1"/>
  <c r="X1209" i="51"/>
  <c r="AD1209" i="51" s="1"/>
  <c r="W1209" i="51"/>
  <c r="AC1209" i="51" s="1"/>
  <c r="V1209" i="51"/>
  <c r="AB1209" i="51" s="1"/>
  <c r="X1208" i="51"/>
  <c r="AD1208" i="51" s="1"/>
  <c r="W1208" i="51"/>
  <c r="AC1208" i="51" s="1"/>
  <c r="V1208" i="51"/>
  <c r="AB1208" i="51" s="1"/>
  <c r="X1207" i="51"/>
  <c r="AD1207" i="51" s="1"/>
  <c r="W1207" i="51"/>
  <c r="AC1207" i="51" s="1"/>
  <c r="V1207" i="51"/>
  <c r="AB1207" i="51" s="1"/>
  <c r="X1206" i="51"/>
  <c r="AD1206" i="51" s="1"/>
  <c r="W1206" i="51"/>
  <c r="AC1206" i="51" s="1"/>
  <c r="V1206" i="51"/>
  <c r="AB1206" i="51" s="1"/>
  <c r="X1205" i="51"/>
  <c r="AD1205" i="51" s="1"/>
  <c r="W1205" i="51"/>
  <c r="AC1205" i="51" s="1"/>
  <c r="V1205" i="51"/>
  <c r="AB1205" i="51" s="1"/>
  <c r="X1204" i="51"/>
  <c r="AD1204" i="51" s="1"/>
  <c r="W1204" i="51"/>
  <c r="AC1204" i="51" s="1"/>
  <c r="V1204" i="51"/>
  <c r="AB1204" i="51" s="1"/>
  <c r="X1203" i="51"/>
  <c r="AD1203" i="51" s="1"/>
  <c r="W1203" i="51"/>
  <c r="AC1203" i="51" s="1"/>
  <c r="V1203" i="51"/>
  <c r="AB1203" i="51" s="1"/>
  <c r="X1202" i="51"/>
  <c r="AD1202" i="51" s="1"/>
  <c r="W1202" i="51"/>
  <c r="AC1202" i="51" s="1"/>
  <c r="V1202" i="51"/>
  <c r="AB1202" i="51" s="1"/>
  <c r="X1201" i="51"/>
  <c r="AD1201" i="51" s="1"/>
  <c r="W1201" i="51"/>
  <c r="AC1201" i="51" s="1"/>
  <c r="V1201" i="51"/>
  <c r="AB1201" i="51" s="1"/>
  <c r="X1200" i="51"/>
  <c r="AD1200" i="51" s="1"/>
  <c r="W1200" i="51"/>
  <c r="AC1200" i="51" s="1"/>
  <c r="V1200" i="51"/>
  <c r="AB1200" i="51" s="1"/>
  <c r="X1199" i="51"/>
  <c r="AD1199" i="51" s="1"/>
  <c r="W1199" i="51"/>
  <c r="AC1199" i="51" s="1"/>
  <c r="V1199" i="51"/>
  <c r="AB1199" i="51" s="1"/>
  <c r="X1198" i="51"/>
  <c r="AD1198" i="51" s="1"/>
  <c r="W1198" i="51"/>
  <c r="AC1198" i="51" s="1"/>
  <c r="V1198" i="51"/>
  <c r="AB1198" i="51" s="1"/>
  <c r="X1197" i="51"/>
  <c r="AD1197" i="51" s="1"/>
  <c r="W1197" i="51"/>
  <c r="AC1197" i="51" s="1"/>
  <c r="V1197" i="51"/>
  <c r="AB1197" i="51" s="1"/>
  <c r="X1196" i="51"/>
  <c r="AD1196" i="51" s="1"/>
  <c r="W1196" i="51"/>
  <c r="AC1196" i="51" s="1"/>
  <c r="V1196" i="51"/>
  <c r="AB1196" i="51" s="1"/>
  <c r="X1195" i="51"/>
  <c r="AD1195" i="51" s="1"/>
  <c r="W1195" i="51"/>
  <c r="AC1195" i="51" s="1"/>
  <c r="V1195" i="51"/>
  <c r="AB1195" i="51" s="1"/>
  <c r="X1194" i="51"/>
  <c r="AD1194" i="51" s="1"/>
  <c r="W1194" i="51"/>
  <c r="AC1194" i="51" s="1"/>
  <c r="V1194" i="51"/>
  <c r="AB1194" i="51" s="1"/>
  <c r="X1193" i="51"/>
  <c r="AD1193" i="51" s="1"/>
  <c r="W1193" i="51"/>
  <c r="AC1193" i="51" s="1"/>
  <c r="V1193" i="51"/>
  <c r="AB1193" i="51" s="1"/>
  <c r="X1192" i="51"/>
  <c r="AD1192" i="51" s="1"/>
  <c r="W1192" i="51"/>
  <c r="AC1192" i="51" s="1"/>
  <c r="V1192" i="51"/>
  <c r="AB1192" i="51" s="1"/>
  <c r="X1191" i="51"/>
  <c r="AD1191" i="51" s="1"/>
  <c r="W1191" i="51"/>
  <c r="AC1191" i="51" s="1"/>
  <c r="V1191" i="51"/>
  <c r="AB1191" i="51" s="1"/>
  <c r="X1190" i="51"/>
  <c r="AD1190" i="51" s="1"/>
  <c r="W1190" i="51"/>
  <c r="AC1190" i="51" s="1"/>
  <c r="V1190" i="51"/>
  <c r="AB1190" i="51" s="1"/>
  <c r="X1189" i="51"/>
  <c r="AD1189" i="51" s="1"/>
  <c r="W1189" i="51"/>
  <c r="AC1189" i="51" s="1"/>
  <c r="V1189" i="51"/>
  <c r="AB1189" i="51" s="1"/>
  <c r="X1188" i="51"/>
  <c r="AD1188" i="51" s="1"/>
  <c r="W1188" i="51"/>
  <c r="AC1188" i="51" s="1"/>
  <c r="V1188" i="51"/>
  <c r="AB1188" i="51" s="1"/>
  <c r="X1187" i="51"/>
  <c r="AD1187" i="51" s="1"/>
  <c r="W1187" i="51"/>
  <c r="AC1187" i="51" s="1"/>
  <c r="V1187" i="51"/>
  <c r="AB1187" i="51" s="1"/>
  <c r="X1186" i="51"/>
  <c r="AD1186" i="51" s="1"/>
  <c r="W1186" i="51"/>
  <c r="AC1186" i="51" s="1"/>
  <c r="V1186" i="51"/>
  <c r="AB1186" i="51" s="1"/>
  <c r="X1185" i="51"/>
  <c r="AD1185" i="51" s="1"/>
  <c r="W1185" i="51"/>
  <c r="AC1185" i="51" s="1"/>
  <c r="V1185" i="51"/>
  <c r="AB1185" i="51" s="1"/>
  <c r="X1184" i="51"/>
  <c r="AD1184" i="51" s="1"/>
  <c r="W1184" i="51"/>
  <c r="AC1184" i="51" s="1"/>
  <c r="V1184" i="51"/>
  <c r="AB1184" i="51" s="1"/>
  <c r="X1183" i="51"/>
  <c r="AD1183" i="51" s="1"/>
  <c r="W1183" i="51"/>
  <c r="AC1183" i="51" s="1"/>
  <c r="V1183" i="51"/>
  <c r="AB1183" i="51" s="1"/>
  <c r="X1182" i="51"/>
  <c r="AD1182" i="51" s="1"/>
  <c r="W1182" i="51"/>
  <c r="AC1182" i="51" s="1"/>
  <c r="V1182" i="51"/>
  <c r="AB1182" i="51" s="1"/>
  <c r="X1181" i="51"/>
  <c r="AD1181" i="51" s="1"/>
  <c r="W1181" i="51"/>
  <c r="AC1181" i="51" s="1"/>
  <c r="V1181" i="51"/>
  <c r="AB1181" i="51" s="1"/>
  <c r="X1180" i="51"/>
  <c r="AD1180" i="51" s="1"/>
  <c r="W1180" i="51"/>
  <c r="AC1180" i="51" s="1"/>
  <c r="V1180" i="51"/>
  <c r="AB1180" i="51" s="1"/>
  <c r="X1179" i="51"/>
  <c r="AD1179" i="51" s="1"/>
  <c r="W1179" i="51"/>
  <c r="AC1179" i="51" s="1"/>
  <c r="V1179" i="51"/>
  <c r="AB1179" i="51" s="1"/>
  <c r="X1178" i="51"/>
  <c r="AD1178" i="51" s="1"/>
  <c r="W1178" i="51"/>
  <c r="AC1178" i="51" s="1"/>
  <c r="V1178" i="51"/>
  <c r="AB1178" i="51" s="1"/>
  <c r="X1177" i="51"/>
  <c r="AD1177" i="51" s="1"/>
  <c r="W1177" i="51"/>
  <c r="AC1177" i="51" s="1"/>
  <c r="V1177" i="51"/>
  <c r="AB1177" i="51" s="1"/>
  <c r="X1176" i="51"/>
  <c r="AD1176" i="51" s="1"/>
  <c r="W1176" i="51"/>
  <c r="AC1176" i="51" s="1"/>
  <c r="V1176" i="51"/>
  <c r="AB1176" i="51" s="1"/>
  <c r="X1175" i="51"/>
  <c r="AD1175" i="51" s="1"/>
  <c r="W1175" i="51"/>
  <c r="AC1175" i="51" s="1"/>
  <c r="V1175" i="51"/>
  <c r="AB1175" i="51" s="1"/>
  <c r="X1174" i="51"/>
  <c r="AD1174" i="51" s="1"/>
  <c r="W1174" i="51"/>
  <c r="AC1174" i="51" s="1"/>
  <c r="V1174" i="51"/>
  <c r="AB1174" i="51" s="1"/>
  <c r="X1173" i="51"/>
  <c r="AD1173" i="51" s="1"/>
  <c r="W1173" i="51"/>
  <c r="AC1173" i="51" s="1"/>
  <c r="V1173" i="51"/>
  <c r="AB1173" i="51" s="1"/>
  <c r="X1172" i="51"/>
  <c r="AD1172" i="51" s="1"/>
  <c r="W1172" i="51"/>
  <c r="AC1172" i="51" s="1"/>
  <c r="V1172" i="51"/>
  <c r="AB1172" i="51" s="1"/>
  <c r="X1171" i="51"/>
  <c r="AD1171" i="51" s="1"/>
  <c r="W1171" i="51"/>
  <c r="AC1171" i="51" s="1"/>
  <c r="V1171" i="51"/>
  <c r="AB1171" i="51" s="1"/>
  <c r="X1170" i="51"/>
  <c r="AD1170" i="51" s="1"/>
  <c r="W1170" i="51"/>
  <c r="AC1170" i="51" s="1"/>
  <c r="V1170" i="51"/>
  <c r="AB1170" i="51" s="1"/>
  <c r="X1169" i="51"/>
  <c r="AD1169" i="51" s="1"/>
  <c r="W1169" i="51"/>
  <c r="AC1169" i="51" s="1"/>
  <c r="V1169" i="51"/>
  <c r="AB1169" i="51" s="1"/>
  <c r="X1168" i="51"/>
  <c r="AD1168" i="51" s="1"/>
  <c r="W1168" i="51"/>
  <c r="AC1168" i="51" s="1"/>
  <c r="V1168" i="51"/>
  <c r="AB1168" i="51" s="1"/>
  <c r="X1167" i="51"/>
  <c r="AD1167" i="51" s="1"/>
  <c r="W1167" i="51"/>
  <c r="AC1167" i="51" s="1"/>
  <c r="V1167" i="51"/>
  <c r="AB1167" i="51" s="1"/>
  <c r="X1166" i="51"/>
  <c r="AD1166" i="51" s="1"/>
  <c r="W1166" i="51"/>
  <c r="AC1166" i="51" s="1"/>
  <c r="V1166" i="51"/>
  <c r="AB1166" i="51" s="1"/>
  <c r="X1165" i="51"/>
  <c r="AD1165" i="51" s="1"/>
  <c r="W1165" i="51"/>
  <c r="AC1165" i="51" s="1"/>
  <c r="V1165" i="51"/>
  <c r="AB1165" i="51" s="1"/>
  <c r="X1164" i="51"/>
  <c r="AD1164" i="51" s="1"/>
  <c r="W1164" i="51"/>
  <c r="AC1164" i="51" s="1"/>
  <c r="V1164" i="51"/>
  <c r="AB1164" i="51" s="1"/>
  <c r="X1163" i="51"/>
  <c r="AD1163" i="51" s="1"/>
  <c r="W1163" i="51"/>
  <c r="AC1163" i="51" s="1"/>
  <c r="V1163" i="51"/>
  <c r="AB1163" i="51" s="1"/>
  <c r="X1162" i="51"/>
  <c r="AD1162" i="51" s="1"/>
  <c r="W1162" i="51"/>
  <c r="AC1162" i="51" s="1"/>
  <c r="V1162" i="51"/>
  <c r="AB1162" i="51" s="1"/>
  <c r="X1161" i="51"/>
  <c r="AD1161" i="51" s="1"/>
  <c r="W1161" i="51"/>
  <c r="AC1161" i="51" s="1"/>
  <c r="V1161" i="51"/>
  <c r="AB1161" i="51" s="1"/>
  <c r="X1160" i="51"/>
  <c r="AD1160" i="51" s="1"/>
  <c r="W1160" i="51"/>
  <c r="AC1160" i="51" s="1"/>
  <c r="V1160" i="51"/>
  <c r="AB1160" i="51" s="1"/>
  <c r="X1159" i="51"/>
  <c r="AD1159" i="51" s="1"/>
  <c r="W1159" i="51"/>
  <c r="AC1159" i="51" s="1"/>
  <c r="V1159" i="51"/>
  <c r="AB1159" i="51" s="1"/>
  <c r="X1158" i="51"/>
  <c r="AD1158" i="51" s="1"/>
  <c r="W1158" i="51"/>
  <c r="AC1158" i="51" s="1"/>
  <c r="V1158" i="51"/>
  <c r="AB1158" i="51" s="1"/>
  <c r="X1157" i="51"/>
  <c r="AD1157" i="51" s="1"/>
  <c r="W1157" i="51"/>
  <c r="AC1157" i="51" s="1"/>
  <c r="V1157" i="51"/>
  <c r="AB1157" i="51" s="1"/>
  <c r="X1156" i="51"/>
  <c r="AD1156" i="51" s="1"/>
  <c r="W1156" i="51"/>
  <c r="AC1156" i="51" s="1"/>
  <c r="V1156" i="51"/>
  <c r="AB1156" i="51" s="1"/>
  <c r="X1155" i="51"/>
  <c r="AD1155" i="51" s="1"/>
  <c r="W1155" i="51"/>
  <c r="AC1155" i="51" s="1"/>
  <c r="V1155" i="51"/>
  <c r="AB1155" i="51" s="1"/>
  <c r="X1154" i="51"/>
  <c r="AD1154" i="51" s="1"/>
  <c r="W1154" i="51"/>
  <c r="AC1154" i="51" s="1"/>
  <c r="V1154" i="51"/>
  <c r="AB1154" i="51" s="1"/>
  <c r="X1153" i="51"/>
  <c r="AD1153" i="51" s="1"/>
  <c r="W1153" i="51"/>
  <c r="AC1153" i="51" s="1"/>
  <c r="V1153" i="51"/>
  <c r="AB1153" i="51" s="1"/>
  <c r="X1152" i="51"/>
  <c r="AD1152" i="51" s="1"/>
  <c r="W1152" i="51"/>
  <c r="AC1152" i="51" s="1"/>
  <c r="V1152" i="51"/>
  <c r="AB1152" i="51" s="1"/>
  <c r="X1151" i="51"/>
  <c r="AD1151" i="51" s="1"/>
  <c r="W1151" i="51"/>
  <c r="AC1151" i="51" s="1"/>
  <c r="V1151" i="51"/>
  <c r="AB1151" i="51" s="1"/>
  <c r="X1150" i="51"/>
  <c r="AD1150" i="51" s="1"/>
  <c r="W1150" i="51"/>
  <c r="AC1150" i="51" s="1"/>
  <c r="V1150" i="51"/>
  <c r="AB1150" i="51" s="1"/>
  <c r="X1149" i="51"/>
  <c r="AD1149" i="51" s="1"/>
  <c r="W1149" i="51"/>
  <c r="AC1149" i="51" s="1"/>
  <c r="V1149" i="51"/>
  <c r="AB1149" i="51" s="1"/>
  <c r="X1148" i="51"/>
  <c r="AD1148" i="51" s="1"/>
  <c r="W1148" i="51"/>
  <c r="AC1148" i="51" s="1"/>
  <c r="V1148" i="51"/>
  <c r="AB1148" i="51" s="1"/>
  <c r="X1147" i="51"/>
  <c r="AD1147" i="51" s="1"/>
  <c r="W1147" i="51"/>
  <c r="AC1147" i="51" s="1"/>
  <c r="V1147" i="51"/>
  <c r="AB1147" i="51" s="1"/>
  <c r="X1146" i="51"/>
  <c r="AD1146" i="51" s="1"/>
  <c r="W1146" i="51"/>
  <c r="AC1146" i="51" s="1"/>
  <c r="V1146" i="51"/>
  <c r="AB1146" i="51" s="1"/>
  <c r="X1145" i="51"/>
  <c r="AD1145" i="51" s="1"/>
  <c r="W1145" i="51"/>
  <c r="AC1145" i="51" s="1"/>
  <c r="V1145" i="51"/>
  <c r="AB1145" i="51" s="1"/>
  <c r="X1144" i="51"/>
  <c r="AD1144" i="51" s="1"/>
  <c r="W1144" i="51"/>
  <c r="AC1144" i="51" s="1"/>
  <c r="V1144" i="51"/>
  <c r="AB1144" i="51" s="1"/>
  <c r="X1143" i="51"/>
  <c r="AD1143" i="51" s="1"/>
  <c r="W1143" i="51"/>
  <c r="AC1143" i="51" s="1"/>
  <c r="V1143" i="51"/>
  <c r="AB1143" i="51" s="1"/>
  <c r="X1142" i="51"/>
  <c r="AD1142" i="51" s="1"/>
  <c r="W1142" i="51"/>
  <c r="AC1142" i="51" s="1"/>
  <c r="V1142" i="51"/>
  <c r="AB1142" i="51" s="1"/>
  <c r="X1141" i="51"/>
  <c r="AD1141" i="51" s="1"/>
  <c r="W1141" i="51"/>
  <c r="AC1141" i="51" s="1"/>
  <c r="V1141" i="51"/>
  <c r="AB1141" i="51" s="1"/>
  <c r="X1140" i="51"/>
  <c r="AD1140" i="51" s="1"/>
  <c r="W1140" i="51"/>
  <c r="AC1140" i="51" s="1"/>
  <c r="V1140" i="51"/>
  <c r="AB1140" i="51" s="1"/>
  <c r="X1139" i="51"/>
  <c r="AD1139" i="51" s="1"/>
  <c r="W1139" i="51"/>
  <c r="AC1139" i="51" s="1"/>
  <c r="V1139" i="51"/>
  <c r="AB1139" i="51" s="1"/>
  <c r="X1138" i="51"/>
  <c r="AD1138" i="51" s="1"/>
  <c r="W1138" i="51"/>
  <c r="AC1138" i="51" s="1"/>
  <c r="V1138" i="51"/>
  <c r="AB1138" i="51" s="1"/>
  <c r="X1137" i="51"/>
  <c r="AD1137" i="51" s="1"/>
  <c r="W1137" i="51"/>
  <c r="AC1137" i="51" s="1"/>
  <c r="V1137" i="51"/>
  <c r="AB1137" i="51" s="1"/>
  <c r="X1136" i="51"/>
  <c r="AD1136" i="51" s="1"/>
  <c r="W1136" i="51"/>
  <c r="AC1136" i="51" s="1"/>
  <c r="V1136" i="51"/>
  <c r="AB1136" i="51" s="1"/>
  <c r="X1135" i="51"/>
  <c r="AD1135" i="51" s="1"/>
  <c r="W1135" i="51"/>
  <c r="AC1135" i="51" s="1"/>
  <c r="V1135" i="51"/>
  <c r="AB1135" i="51" s="1"/>
  <c r="X1134" i="51"/>
  <c r="AD1134" i="51" s="1"/>
  <c r="W1134" i="51"/>
  <c r="AC1134" i="51" s="1"/>
  <c r="V1134" i="51"/>
  <c r="AB1134" i="51" s="1"/>
  <c r="X1133" i="51"/>
  <c r="AD1133" i="51" s="1"/>
  <c r="W1133" i="51"/>
  <c r="AC1133" i="51" s="1"/>
  <c r="V1133" i="51"/>
  <c r="AB1133" i="51" s="1"/>
  <c r="X1132" i="51"/>
  <c r="AD1132" i="51" s="1"/>
  <c r="W1132" i="51"/>
  <c r="AC1132" i="51" s="1"/>
  <c r="V1132" i="51"/>
  <c r="AB1132" i="51" s="1"/>
  <c r="X1131" i="51"/>
  <c r="AD1131" i="51" s="1"/>
  <c r="W1131" i="51"/>
  <c r="AC1131" i="51" s="1"/>
  <c r="V1131" i="51"/>
  <c r="AB1131" i="51" s="1"/>
  <c r="X1130" i="51"/>
  <c r="AD1130" i="51" s="1"/>
  <c r="W1130" i="51"/>
  <c r="AC1130" i="51" s="1"/>
  <c r="V1130" i="51"/>
  <c r="AB1130" i="51" s="1"/>
  <c r="X1129" i="51"/>
  <c r="AD1129" i="51" s="1"/>
  <c r="W1129" i="51"/>
  <c r="AC1129" i="51" s="1"/>
  <c r="V1129" i="51"/>
  <c r="AB1129" i="51" s="1"/>
  <c r="X1128" i="51"/>
  <c r="AD1128" i="51" s="1"/>
  <c r="W1128" i="51"/>
  <c r="AC1128" i="51" s="1"/>
  <c r="V1128" i="51"/>
  <c r="AB1128" i="51" s="1"/>
  <c r="X1127" i="51"/>
  <c r="AD1127" i="51" s="1"/>
  <c r="W1127" i="51"/>
  <c r="AC1127" i="51" s="1"/>
  <c r="V1127" i="51"/>
  <c r="AB1127" i="51" s="1"/>
  <c r="X1126" i="51"/>
  <c r="AD1126" i="51" s="1"/>
  <c r="W1126" i="51"/>
  <c r="AC1126" i="51" s="1"/>
  <c r="V1126" i="51"/>
  <c r="AB1126" i="51" s="1"/>
  <c r="X1125" i="51"/>
  <c r="AD1125" i="51" s="1"/>
  <c r="W1125" i="51"/>
  <c r="AC1125" i="51" s="1"/>
  <c r="V1125" i="51"/>
  <c r="AB1125" i="51" s="1"/>
  <c r="X1124" i="51"/>
  <c r="AD1124" i="51" s="1"/>
  <c r="W1124" i="51"/>
  <c r="AC1124" i="51" s="1"/>
  <c r="V1124" i="51"/>
  <c r="AB1124" i="51" s="1"/>
  <c r="X1123" i="51"/>
  <c r="AD1123" i="51" s="1"/>
  <c r="W1123" i="51"/>
  <c r="AC1123" i="51" s="1"/>
  <c r="V1123" i="51"/>
  <c r="AB1123" i="51" s="1"/>
  <c r="X1122" i="51"/>
  <c r="AD1122" i="51" s="1"/>
  <c r="W1122" i="51"/>
  <c r="AC1122" i="51" s="1"/>
  <c r="V1122" i="51"/>
  <c r="AB1122" i="51" s="1"/>
  <c r="X1121" i="51"/>
  <c r="AD1121" i="51" s="1"/>
  <c r="W1121" i="51"/>
  <c r="AC1121" i="51" s="1"/>
  <c r="V1121" i="51"/>
  <c r="AB1121" i="51" s="1"/>
  <c r="X1120" i="51"/>
  <c r="AD1120" i="51" s="1"/>
  <c r="W1120" i="51"/>
  <c r="AC1120" i="51" s="1"/>
  <c r="V1120" i="51"/>
  <c r="AB1120" i="51" s="1"/>
  <c r="X1119" i="51"/>
  <c r="AD1119" i="51" s="1"/>
  <c r="W1119" i="51"/>
  <c r="AC1119" i="51" s="1"/>
  <c r="V1119" i="51"/>
  <c r="AB1119" i="51" s="1"/>
  <c r="X1118" i="51"/>
  <c r="AD1118" i="51" s="1"/>
  <c r="W1118" i="51"/>
  <c r="AC1118" i="51" s="1"/>
  <c r="V1118" i="51"/>
  <c r="AB1118" i="51" s="1"/>
  <c r="X1117" i="51"/>
  <c r="AD1117" i="51" s="1"/>
  <c r="W1117" i="51"/>
  <c r="AC1117" i="51" s="1"/>
  <c r="V1117" i="51"/>
  <c r="AB1117" i="51" s="1"/>
  <c r="X1116" i="51"/>
  <c r="AD1116" i="51" s="1"/>
  <c r="W1116" i="51"/>
  <c r="AC1116" i="51" s="1"/>
  <c r="V1116" i="51"/>
  <c r="AB1116" i="51" s="1"/>
  <c r="X1115" i="51"/>
  <c r="AD1115" i="51" s="1"/>
  <c r="W1115" i="51"/>
  <c r="AC1115" i="51" s="1"/>
  <c r="V1115" i="51"/>
  <c r="AB1115" i="51" s="1"/>
  <c r="X1114" i="51"/>
  <c r="AD1114" i="51" s="1"/>
  <c r="W1114" i="51"/>
  <c r="AC1114" i="51" s="1"/>
  <c r="V1114" i="51"/>
  <c r="AB1114" i="51" s="1"/>
  <c r="X1113" i="51"/>
  <c r="AD1113" i="51" s="1"/>
  <c r="W1113" i="51"/>
  <c r="AC1113" i="51" s="1"/>
  <c r="V1113" i="51"/>
  <c r="AB1113" i="51" s="1"/>
  <c r="X1112" i="51"/>
  <c r="AD1112" i="51" s="1"/>
  <c r="W1112" i="51"/>
  <c r="AC1112" i="51" s="1"/>
  <c r="V1112" i="51"/>
  <c r="AB1112" i="51" s="1"/>
  <c r="X1111" i="51"/>
  <c r="AD1111" i="51" s="1"/>
  <c r="W1111" i="51"/>
  <c r="AC1111" i="51" s="1"/>
  <c r="V1111" i="51"/>
  <c r="AB1111" i="51" s="1"/>
  <c r="X1110" i="51"/>
  <c r="AD1110" i="51" s="1"/>
  <c r="W1110" i="51"/>
  <c r="AC1110" i="51" s="1"/>
  <c r="V1110" i="51"/>
  <c r="AB1110" i="51" s="1"/>
  <c r="X1109" i="51"/>
  <c r="AD1109" i="51" s="1"/>
  <c r="W1109" i="51"/>
  <c r="AC1109" i="51" s="1"/>
  <c r="V1109" i="51"/>
  <c r="AB1109" i="51" s="1"/>
  <c r="X1108" i="51"/>
  <c r="AD1108" i="51" s="1"/>
  <c r="W1108" i="51"/>
  <c r="AC1108" i="51" s="1"/>
  <c r="V1108" i="51"/>
  <c r="AB1108" i="51" s="1"/>
  <c r="X1107" i="51"/>
  <c r="AD1107" i="51" s="1"/>
  <c r="W1107" i="51"/>
  <c r="AC1107" i="51" s="1"/>
  <c r="V1107" i="51"/>
  <c r="AB1107" i="51" s="1"/>
  <c r="X1106" i="51"/>
  <c r="AD1106" i="51" s="1"/>
  <c r="W1106" i="51"/>
  <c r="AC1106" i="51" s="1"/>
  <c r="V1106" i="51"/>
  <c r="AB1106" i="51" s="1"/>
  <c r="X1105" i="51"/>
  <c r="AD1105" i="51" s="1"/>
  <c r="W1105" i="51"/>
  <c r="AC1105" i="51" s="1"/>
  <c r="V1105" i="51"/>
  <c r="AB1105" i="51" s="1"/>
  <c r="X1104" i="51"/>
  <c r="AD1104" i="51" s="1"/>
  <c r="W1104" i="51"/>
  <c r="AC1104" i="51" s="1"/>
  <c r="V1104" i="51"/>
  <c r="AB1104" i="51" s="1"/>
  <c r="X1103" i="51"/>
  <c r="AD1103" i="51" s="1"/>
  <c r="W1103" i="51"/>
  <c r="AC1103" i="51" s="1"/>
  <c r="V1103" i="51"/>
  <c r="AB1103" i="51" s="1"/>
  <c r="X1102" i="51"/>
  <c r="AD1102" i="51" s="1"/>
  <c r="W1102" i="51"/>
  <c r="AC1102" i="51" s="1"/>
  <c r="V1102" i="51"/>
  <c r="AB1102" i="51" s="1"/>
  <c r="X1101" i="51"/>
  <c r="AD1101" i="51" s="1"/>
  <c r="W1101" i="51"/>
  <c r="AC1101" i="51" s="1"/>
  <c r="V1101" i="51"/>
  <c r="AB1101" i="51" s="1"/>
  <c r="X1100" i="51"/>
  <c r="AD1100" i="51" s="1"/>
  <c r="W1100" i="51"/>
  <c r="AC1100" i="51" s="1"/>
  <c r="V1100" i="51"/>
  <c r="AB1100" i="51" s="1"/>
  <c r="X1099" i="51"/>
  <c r="AD1099" i="51" s="1"/>
  <c r="W1099" i="51"/>
  <c r="AC1099" i="51" s="1"/>
  <c r="V1099" i="51"/>
  <c r="AB1099" i="51" s="1"/>
  <c r="X1098" i="51"/>
  <c r="AD1098" i="51" s="1"/>
  <c r="W1098" i="51"/>
  <c r="AC1098" i="51" s="1"/>
  <c r="V1098" i="51"/>
  <c r="AB1098" i="51" s="1"/>
  <c r="X1097" i="51"/>
  <c r="AD1097" i="51" s="1"/>
  <c r="W1097" i="51"/>
  <c r="AC1097" i="51" s="1"/>
  <c r="V1097" i="51"/>
  <c r="AB1097" i="51" s="1"/>
  <c r="X1096" i="51"/>
  <c r="AD1096" i="51" s="1"/>
  <c r="W1096" i="51"/>
  <c r="AC1096" i="51" s="1"/>
  <c r="V1096" i="51"/>
  <c r="AB1096" i="51" s="1"/>
  <c r="X1095" i="51"/>
  <c r="AD1095" i="51" s="1"/>
  <c r="W1095" i="51"/>
  <c r="AC1095" i="51" s="1"/>
  <c r="V1095" i="51"/>
  <c r="AB1095" i="51" s="1"/>
  <c r="X1094" i="51"/>
  <c r="AD1094" i="51" s="1"/>
  <c r="W1094" i="51"/>
  <c r="AC1094" i="51" s="1"/>
  <c r="V1094" i="51"/>
  <c r="AB1094" i="51" s="1"/>
  <c r="X1093" i="51"/>
  <c r="AD1093" i="51" s="1"/>
  <c r="W1093" i="51"/>
  <c r="AC1093" i="51" s="1"/>
  <c r="V1093" i="51"/>
  <c r="AB1093" i="51" s="1"/>
  <c r="X1092" i="51"/>
  <c r="AD1092" i="51" s="1"/>
  <c r="W1092" i="51"/>
  <c r="AC1092" i="51" s="1"/>
  <c r="V1092" i="51"/>
  <c r="AB1092" i="51" s="1"/>
  <c r="X1091" i="51"/>
  <c r="AD1091" i="51" s="1"/>
  <c r="W1091" i="51"/>
  <c r="AC1091" i="51" s="1"/>
  <c r="V1091" i="51"/>
  <c r="AB1091" i="51" s="1"/>
  <c r="X1090" i="51"/>
  <c r="AD1090" i="51" s="1"/>
  <c r="W1090" i="51"/>
  <c r="AC1090" i="51" s="1"/>
  <c r="V1090" i="51"/>
  <c r="AB1090" i="51" s="1"/>
  <c r="X1089" i="51"/>
  <c r="AD1089" i="51" s="1"/>
  <c r="W1089" i="51"/>
  <c r="AC1089" i="51" s="1"/>
  <c r="V1089" i="51"/>
  <c r="AB1089" i="51" s="1"/>
  <c r="X1088" i="51"/>
  <c r="AD1088" i="51" s="1"/>
  <c r="W1088" i="51"/>
  <c r="AC1088" i="51" s="1"/>
  <c r="V1088" i="51"/>
  <c r="AB1088" i="51" s="1"/>
  <c r="X1087" i="51"/>
  <c r="AD1087" i="51" s="1"/>
  <c r="W1087" i="51"/>
  <c r="AC1087" i="51" s="1"/>
  <c r="V1087" i="51"/>
  <c r="AB1087" i="51" s="1"/>
  <c r="X1086" i="51"/>
  <c r="AD1086" i="51" s="1"/>
  <c r="W1086" i="51"/>
  <c r="AC1086" i="51" s="1"/>
  <c r="V1086" i="51"/>
  <c r="AB1086" i="51" s="1"/>
  <c r="X1085" i="51"/>
  <c r="AD1085" i="51" s="1"/>
  <c r="W1085" i="51"/>
  <c r="AC1085" i="51" s="1"/>
  <c r="V1085" i="51"/>
  <c r="AB1085" i="51" s="1"/>
  <c r="X1084" i="51"/>
  <c r="AD1084" i="51" s="1"/>
  <c r="W1084" i="51"/>
  <c r="AC1084" i="51" s="1"/>
  <c r="V1084" i="51"/>
  <c r="AB1084" i="51" s="1"/>
  <c r="X1083" i="51"/>
  <c r="AD1083" i="51" s="1"/>
  <c r="W1083" i="51"/>
  <c r="AC1083" i="51" s="1"/>
  <c r="V1083" i="51"/>
  <c r="AB1083" i="51" s="1"/>
  <c r="X1082" i="51"/>
  <c r="AD1082" i="51" s="1"/>
  <c r="W1082" i="51"/>
  <c r="AC1082" i="51" s="1"/>
  <c r="V1082" i="51"/>
  <c r="AB1082" i="51" s="1"/>
  <c r="X1081" i="51"/>
  <c r="AD1081" i="51" s="1"/>
  <c r="W1081" i="51"/>
  <c r="AC1081" i="51" s="1"/>
  <c r="V1081" i="51"/>
  <c r="AB1081" i="51" s="1"/>
  <c r="X1080" i="51"/>
  <c r="AD1080" i="51" s="1"/>
  <c r="W1080" i="51"/>
  <c r="AC1080" i="51" s="1"/>
  <c r="V1080" i="51"/>
  <c r="AB1080" i="51" s="1"/>
  <c r="X1079" i="51"/>
  <c r="AD1079" i="51" s="1"/>
  <c r="W1079" i="51"/>
  <c r="AC1079" i="51" s="1"/>
  <c r="V1079" i="51"/>
  <c r="AB1079" i="51" s="1"/>
  <c r="X1078" i="51"/>
  <c r="AD1078" i="51" s="1"/>
  <c r="W1078" i="51"/>
  <c r="AC1078" i="51" s="1"/>
  <c r="V1078" i="51"/>
  <c r="AB1078" i="51" s="1"/>
  <c r="X1077" i="51"/>
  <c r="AD1077" i="51" s="1"/>
  <c r="W1077" i="51"/>
  <c r="AC1077" i="51" s="1"/>
  <c r="V1077" i="51"/>
  <c r="AB1077" i="51" s="1"/>
  <c r="X1076" i="51"/>
  <c r="AD1076" i="51" s="1"/>
  <c r="W1076" i="51"/>
  <c r="AC1076" i="51" s="1"/>
  <c r="V1076" i="51"/>
  <c r="AB1076" i="51" s="1"/>
  <c r="X1075" i="51"/>
  <c r="AD1075" i="51" s="1"/>
  <c r="W1075" i="51"/>
  <c r="AC1075" i="51" s="1"/>
  <c r="V1075" i="51"/>
  <c r="AB1075" i="51" s="1"/>
  <c r="X1074" i="51"/>
  <c r="AD1074" i="51" s="1"/>
  <c r="W1074" i="51"/>
  <c r="AC1074" i="51" s="1"/>
  <c r="V1074" i="51"/>
  <c r="AB1074" i="51" s="1"/>
  <c r="X1073" i="51"/>
  <c r="AD1073" i="51" s="1"/>
  <c r="W1073" i="51"/>
  <c r="AC1073" i="51" s="1"/>
  <c r="V1073" i="51"/>
  <c r="AB1073" i="51" s="1"/>
  <c r="X1072" i="51"/>
  <c r="AD1072" i="51" s="1"/>
  <c r="W1072" i="51"/>
  <c r="AC1072" i="51" s="1"/>
  <c r="V1072" i="51"/>
  <c r="AB1072" i="51" s="1"/>
  <c r="X1071" i="51"/>
  <c r="AD1071" i="51" s="1"/>
  <c r="W1071" i="51"/>
  <c r="AC1071" i="51" s="1"/>
  <c r="V1071" i="51"/>
  <c r="AB1071" i="51" s="1"/>
  <c r="X1070" i="51"/>
  <c r="AD1070" i="51" s="1"/>
  <c r="W1070" i="51"/>
  <c r="AC1070" i="51" s="1"/>
  <c r="V1070" i="51"/>
  <c r="AB1070" i="51" s="1"/>
  <c r="X1069" i="51"/>
  <c r="AD1069" i="51" s="1"/>
  <c r="W1069" i="51"/>
  <c r="AC1069" i="51" s="1"/>
  <c r="V1069" i="51"/>
  <c r="AB1069" i="51" s="1"/>
  <c r="X1068" i="51"/>
  <c r="AD1068" i="51" s="1"/>
  <c r="W1068" i="51"/>
  <c r="AC1068" i="51" s="1"/>
  <c r="V1068" i="51"/>
  <c r="AB1068" i="51" s="1"/>
  <c r="X1067" i="51"/>
  <c r="AD1067" i="51" s="1"/>
  <c r="W1067" i="51"/>
  <c r="AC1067" i="51" s="1"/>
  <c r="V1067" i="51"/>
  <c r="AB1067" i="51" s="1"/>
  <c r="X1066" i="51"/>
  <c r="AD1066" i="51" s="1"/>
  <c r="W1066" i="51"/>
  <c r="AC1066" i="51" s="1"/>
  <c r="V1066" i="51"/>
  <c r="AB1066" i="51" s="1"/>
  <c r="X1065" i="51"/>
  <c r="AD1065" i="51" s="1"/>
  <c r="W1065" i="51"/>
  <c r="AC1065" i="51" s="1"/>
  <c r="V1065" i="51"/>
  <c r="AB1065" i="51" s="1"/>
  <c r="X1064" i="51"/>
  <c r="AD1064" i="51" s="1"/>
  <c r="W1064" i="51"/>
  <c r="AC1064" i="51" s="1"/>
  <c r="V1064" i="51"/>
  <c r="AB1064" i="51" s="1"/>
  <c r="X1063" i="51"/>
  <c r="AD1063" i="51" s="1"/>
  <c r="W1063" i="51"/>
  <c r="AC1063" i="51" s="1"/>
  <c r="V1063" i="51"/>
  <c r="AB1063" i="51" s="1"/>
  <c r="X1062" i="51"/>
  <c r="AD1062" i="51" s="1"/>
  <c r="W1062" i="51"/>
  <c r="AC1062" i="51" s="1"/>
  <c r="V1062" i="51"/>
  <c r="AB1062" i="51" s="1"/>
  <c r="X1061" i="51"/>
  <c r="AD1061" i="51" s="1"/>
  <c r="W1061" i="51"/>
  <c r="AC1061" i="51" s="1"/>
  <c r="V1061" i="51"/>
  <c r="AB1061" i="51" s="1"/>
  <c r="X1060" i="51"/>
  <c r="AD1060" i="51" s="1"/>
  <c r="W1060" i="51"/>
  <c r="AC1060" i="51" s="1"/>
  <c r="V1060" i="51"/>
  <c r="AB1060" i="51" s="1"/>
  <c r="X1059" i="51"/>
  <c r="AD1059" i="51" s="1"/>
  <c r="W1059" i="51"/>
  <c r="AC1059" i="51" s="1"/>
  <c r="V1059" i="51"/>
  <c r="AB1059" i="51" s="1"/>
  <c r="X1058" i="51"/>
  <c r="AD1058" i="51" s="1"/>
  <c r="W1058" i="51"/>
  <c r="AC1058" i="51" s="1"/>
  <c r="V1058" i="51"/>
  <c r="AB1058" i="51" s="1"/>
  <c r="X1057" i="51"/>
  <c r="AD1057" i="51" s="1"/>
  <c r="W1057" i="51"/>
  <c r="AC1057" i="51" s="1"/>
  <c r="V1057" i="51"/>
  <c r="AB1057" i="51" s="1"/>
  <c r="X1056" i="51"/>
  <c r="AD1056" i="51" s="1"/>
  <c r="W1056" i="51"/>
  <c r="AC1056" i="51" s="1"/>
  <c r="V1056" i="51"/>
  <c r="AB1056" i="51" s="1"/>
  <c r="X1055" i="51"/>
  <c r="AD1055" i="51" s="1"/>
  <c r="W1055" i="51"/>
  <c r="AC1055" i="51" s="1"/>
  <c r="V1055" i="51"/>
  <c r="AB1055" i="51" s="1"/>
  <c r="X1054" i="51"/>
  <c r="AD1054" i="51" s="1"/>
  <c r="W1054" i="51"/>
  <c r="AC1054" i="51" s="1"/>
  <c r="V1054" i="51"/>
  <c r="AB1054" i="51" s="1"/>
  <c r="X1053" i="51"/>
  <c r="AD1053" i="51" s="1"/>
  <c r="W1053" i="51"/>
  <c r="AC1053" i="51" s="1"/>
  <c r="V1053" i="51"/>
  <c r="AB1053" i="51" s="1"/>
  <c r="X1052" i="51"/>
  <c r="AD1052" i="51" s="1"/>
  <c r="W1052" i="51"/>
  <c r="AC1052" i="51" s="1"/>
  <c r="V1052" i="51"/>
  <c r="AB1052" i="51" s="1"/>
  <c r="X1051" i="51"/>
  <c r="AD1051" i="51" s="1"/>
  <c r="W1051" i="51"/>
  <c r="AC1051" i="51" s="1"/>
  <c r="V1051" i="51"/>
  <c r="AB1051" i="51" s="1"/>
  <c r="X1050" i="51"/>
  <c r="AD1050" i="51" s="1"/>
  <c r="W1050" i="51"/>
  <c r="AC1050" i="51" s="1"/>
  <c r="V1050" i="51"/>
  <c r="AB1050" i="51" s="1"/>
  <c r="X1049" i="51"/>
  <c r="AD1049" i="51" s="1"/>
  <c r="W1049" i="51"/>
  <c r="AC1049" i="51" s="1"/>
  <c r="V1049" i="51"/>
  <c r="AB1049" i="51" s="1"/>
  <c r="X1048" i="51"/>
  <c r="AD1048" i="51" s="1"/>
  <c r="W1048" i="51"/>
  <c r="AC1048" i="51" s="1"/>
  <c r="V1048" i="51"/>
  <c r="AB1048" i="51" s="1"/>
  <c r="X1047" i="51"/>
  <c r="AD1047" i="51" s="1"/>
  <c r="W1047" i="51"/>
  <c r="AC1047" i="51" s="1"/>
  <c r="V1047" i="51"/>
  <c r="AB1047" i="51" s="1"/>
  <c r="X1046" i="51"/>
  <c r="AD1046" i="51" s="1"/>
  <c r="W1046" i="51"/>
  <c r="AC1046" i="51" s="1"/>
  <c r="V1046" i="51"/>
  <c r="AB1046" i="51" s="1"/>
  <c r="X1045" i="51"/>
  <c r="AD1045" i="51" s="1"/>
  <c r="W1045" i="51"/>
  <c r="AC1045" i="51" s="1"/>
  <c r="V1045" i="51"/>
  <c r="AB1045" i="51" s="1"/>
  <c r="X1044" i="51"/>
  <c r="AD1044" i="51" s="1"/>
  <c r="W1044" i="51"/>
  <c r="AC1044" i="51" s="1"/>
  <c r="V1044" i="51"/>
  <c r="AB1044" i="51" s="1"/>
  <c r="X1043" i="51"/>
  <c r="AD1043" i="51" s="1"/>
  <c r="W1043" i="51"/>
  <c r="AC1043" i="51" s="1"/>
  <c r="V1043" i="51"/>
  <c r="AB1043" i="51" s="1"/>
  <c r="X1042" i="51"/>
  <c r="AD1042" i="51" s="1"/>
  <c r="W1042" i="51"/>
  <c r="AC1042" i="51" s="1"/>
  <c r="V1042" i="51"/>
  <c r="AB1042" i="51" s="1"/>
  <c r="X1041" i="51"/>
  <c r="AD1041" i="51" s="1"/>
  <c r="W1041" i="51"/>
  <c r="AC1041" i="51" s="1"/>
  <c r="V1041" i="51"/>
  <c r="AB1041" i="51" s="1"/>
  <c r="X1040" i="51"/>
  <c r="AD1040" i="51" s="1"/>
  <c r="W1040" i="51"/>
  <c r="AC1040" i="51" s="1"/>
  <c r="V1040" i="51"/>
  <c r="AB1040" i="51" s="1"/>
  <c r="X1039" i="51"/>
  <c r="AD1039" i="51" s="1"/>
  <c r="W1039" i="51"/>
  <c r="AC1039" i="51" s="1"/>
  <c r="V1039" i="51"/>
  <c r="AB1039" i="51" s="1"/>
  <c r="X1038" i="51"/>
  <c r="AD1038" i="51" s="1"/>
  <c r="W1038" i="51"/>
  <c r="AC1038" i="51" s="1"/>
  <c r="V1038" i="51"/>
  <c r="AB1038" i="51" s="1"/>
  <c r="X1037" i="51"/>
  <c r="AD1037" i="51" s="1"/>
  <c r="W1037" i="51"/>
  <c r="AC1037" i="51" s="1"/>
  <c r="V1037" i="51"/>
  <c r="AB1037" i="51" s="1"/>
  <c r="X1036" i="51"/>
  <c r="AD1036" i="51" s="1"/>
  <c r="W1036" i="51"/>
  <c r="AC1036" i="51" s="1"/>
  <c r="V1036" i="51"/>
  <c r="AB1036" i="51" s="1"/>
  <c r="X1035" i="51"/>
  <c r="AD1035" i="51" s="1"/>
  <c r="W1035" i="51"/>
  <c r="AC1035" i="51" s="1"/>
  <c r="V1035" i="51"/>
  <c r="AB1035" i="51" s="1"/>
  <c r="X1034" i="51"/>
  <c r="AD1034" i="51" s="1"/>
  <c r="W1034" i="51"/>
  <c r="AC1034" i="51" s="1"/>
  <c r="V1034" i="51"/>
  <c r="AB1034" i="51" s="1"/>
  <c r="X1033" i="51"/>
  <c r="AD1033" i="51" s="1"/>
  <c r="W1033" i="51"/>
  <c r="AC1033" i="51" s="1"/>
  <c r="V1033" i="51"/>
  <c r="AB1033" i="51" s="1"/>
  <c r="X1032" i="51"/>
  <c r="AD1032" i="51" s="1"/>
  <c r="W1032" i="51"/>
  <c r="AC1032" i="51" s="1"/>
  <c r="V1032" i="51"/>
  <c r="AB1032" i="51" s="1"/>
  <c r="X1031" i="51"/>
  <c r="AD1031" i="51" s="1"/>
  <c r="W1031" i="51"/>
  <c r="AC1031" i="51" s="1"/>
  <c r="V1031" i="51"/>
  <c r="AB1031" i="51" s="1"/>
  <c r="X1030" i="51"/>
  <c r="AD1030" i="51" s="1"/>
  <c r="W1030" i="51"/>
  <c r="AC1030" i="51" s="1"/>
  <c r="V1030" i="51"/>
  <c r="AB1030" i="51" s="1"/>
  <c r="X1029" i="51"/>
  <c r="AD1029" i="51" s="1"/>
  <c r="W1029" i="51"/>
  <c r="AC1029" i="51" s="1"/>
  <c r="V1029" i="51"/>
  <c r="AB1029" i="51" s="1"/>
  <c r="X1028" i="51"/>
  <c r="AD1028" i="51" s="1"/>
  <c r="W1028" i="51"/>
  <c r="AC1028" i="51" s="1"/>
  <c r="V1028" i="51"/>
  <c r="AB1028" i="51" s="1"/>
  <c r="X1027" i="51"/>
  <c r="AD1027" i="51" s="1"/>
  <c r="W1027" i="51"/>
  <c r="AC1027" i="51" s="1"/>
  <c r="V1027" i="51"/>
  <c r="AB1027" i="51" s="1"/>
  <c r="X1026" i="51"/>
  <c r="AD1026" i="51" s="1"/>
  <c r="W1026" i="51"/>
  <c r="AC1026" i="51" s="1"/>
  <c r="V1026" i="51"/>
  <c r="AB1026" i="51" s="1"/>
  <c r="X1025" i="51"/>
  <c r="AD1025" i="51" s="1"/>
  <c r="W1025" i="51"/>
  <c r="AC1025" i="51" s="1"/>
  <c r="V1025" i="51"/>
  <c r="AB1025" i="51" s="1"/>
  <c r="X1024" i="51"/>
  <c r="AD1024" i="51" s="1"/>
  <c r="W1024" i="51"/>
  <c r="AC1024" i="51" s="1"/>
  <c r="V1024" i="51"/>
  <c r="AB1024" i="51" s="1"/>
  <c r="X1023" i="51"/>
  <c r="AD1023" i="51" s="1"/>
  <c r="W1023" i="51"/>
  <c r="AC1023" i="51" s="1"/>
  <c r="V1023" i="51"/>
  <c r="AB1023" i="51" s="1"/>
  <c r="X1022" i="51"/>
  <c r="AD1022" i="51" s="1"/>
  <c r="W1022" i="51"/>
  <c r="AC1022" i="51" s="1"/>
  <c r="V1022" i="51"/>
  <c r="AB1022" i="51" s="1"/>
  <c r="X1021" i="51"/>
  <c r="AD1021" i="51" s="1"/>
  <c r="W1021" i="51"/>
  <c r="AC1021" i="51" s="1"/>
  <c r="V1021" i="51"/>
  <c r="AB1021" i="51" s="1"/>
  <c r="X1020" i="51"/>
  <c r="AD1020" i="51" s="1"/>
  <c r="W1020" i="51"/>
  <c r="AC1020" i="51" s="1"/>
  <c r="V1020" i="51"/>
  <c r="AB1020" i="51" s="1"/>
  <c r="X1019" i="51"/>
  <c r="AD1019" i="51" s="1"/>
  <c r="W1019" i="51"/>
  <c r="AC1019" i="51" s="1"/>
  <c r="V1019" i="51"/>
  <c r="AB1019" i="51" s="1"/>
  <c r="X1018" i="51"/>
  <c r="AD1018" i="51" s="1"/>
  <c r="W1018" i="51"/>
  <c r="AC1018" i="51" s="1"/>
  <c r="V1018" i="51"/>
  <c r="AB1018" i="51" s="1"/>
  <c r="X1017" i="51"/>
  <c r="AD1017" i="51" s="1"/>
  <c r="W1017" i="51"/>
  <c r="AC1017" i="51" s="1"/>
  <c r="V1017" i="51"/>
  <c r="AB1017" i="51" s="1"/>
  <c r="X1016" i="51"/>
  <c r="AD1016" i="51" s="1"/>
  <c r="W1016" i="51"/>
  <c r="AC1016" i="51" s="1"/>
  <c r="V1016" i="51"/>
  <c r="AB1016" i="51" s="1"/>
  <c r="X1015" i="51"/>
  <c r="AD1015" i="51" s="1"/>
  <c r="W1015" i="51"/>
  <c r="AC1015" i="51" s="1"/>
  <c r="V1015" i="51"/>
  <c r="AB1015" i="51" s="1"/>
  <c r="X1014" i="51"/>
  <c r="AD1014" i="51" s="1"/>
  <c r="W1014" i="51"/>
  <c r="AC1014" i="51" s="1"/>
  <c r="V1014" i="51"/>
  <c r="AB1014" i="51" s="1"/>
  <c r="X1013" i="51"/>
  <c r="AD1013" i="51" s="1"/>
  <c r="W1013" i="51"/>
  <c r="AC1013" i="51" s="1"/>
  <c r="V1013" i="51"/>
  <c r="AB1013" i="51" s="1"/>
  <c r="X1012" i="51"/>
  <c r="AD1012" i="51" s="1"/>
  <c r="W1012" i="51"/>
  <c r="AC1012" i="51" s="1"/>
  <c r="V1012" i="51"/>
  <c r="AB1012" i="51" s="1"/>
  <c r="X1011" i="51"/>
  <c r="AD1011" i="51" s="1"/>
  <c r="W1011" i="51"/>
  <c r="AC1011" i="51" s="1"/>
  <c r="V1011" i="51"/>
  <c r="AB1011" i="51" s="1"/>
  <c r="X1010" i="51"/>
  <c r="AD1010" i="51" s="1"/>
  <c r="W1010" i="51"/>
  <c r="AC1010" i="51" s="1"/>
  <c r="V1010" i="51"/>
  <c r="AB1010" i="51" s="1"/>
  <c r="X1009" i="51"/>
  <c r="AD1009" i="51" s="1"/>
  <c r="W1009" i="51"/>
  <c r="AC1009" i="51" s="1"/>
  <c r="V1009" i="51"/>
  <c r="AB1009" i="51" s="1"/>
  <c r="X1008" i="51"/>
  <c r="AD1008" i="51" s="1"/>
  <c r="W1008" i="51"/>
  <c r="AC1008" i="51" s="1"/>
  <c r="V1008" i="51"/>
  <c r="AB1008" i="51" s="1"/>
  <c r="X1007" i="51"/>
  <c r="AD1007" i="51" s="1"/>
  <c r="W1007" i="51"/>
  <c r="AC1007" i="51" s="1"/>
  <c r="V1007" i="51"/>
  <c r="AB1007" i="51" s="1"/>
  <c r="X1006" i="51"/>
  <c r="AD1006" i="51" s="1"/>
  <c r="W1006" i="51"/>
  <c r="AC1006" i="51" s="1"/>
  <c r="V1006" i="51"/>
  <c r="AB1006" i="51" s="1"/>
  <c r="X1005" i="51"/>
  <c r="AD1005" i="51" s="1"/>
  <c r="W1005" i="51"/>
  <c r="AC1005" i="51" s="1"/>
  <c r="V1005" i="51"/>
  <c r="AB1005" i="51" s="1"/>
  <c r="X1004" i="51"/>
  <c r="AD1004" i="51" s="1"/>
  <c r="W1004" i="51"/>
  <c r="AC1004" i="51" s="1"/>
  <c r="V1004" i="51"/>
  <c r="AB1004" i="51" s="1"/>
  <c r="X1003" i="51"/>
  <c r="AD1003" i="51" s="1"/>
  <c r="W1003" i="51"/>
  <c r="AC1003" i="51" s="1"/>
  <c r="V1003" i="51"/>
  <c r="AB1003" i="51" s="1"/>
  <c r="X1002" i="51"/>
  <c r="AD1002" i="51" s="1"/>
  <c r="W1002" i="51"/>
  <c r="AC1002" i="51" s="1"/>
  <c r="V1002" i="51"/>
  <c r="AB1002" i="51" s="1"/>
  <c r="X1001" i="51"/>
  <c r="AD1001" i="51" s="1"/>
  <c r="W1001" i="51"/>
  <c r="AC1001" i="51" s="1"/>
  <c r="V1001" i="51"/>
  <c r="AB1001" i="51" s="1"/>
  <c r="X1000" i="51"/>
  <c r="AD1000" i="51" s="1"/>
  <c r="W1000" i="51"/>
  <c r="AC1000" i="51" s="1"/>
  <c r="V1000" i="51"/>
  <c r="AB1000" i="51" s="1"/>
  <c r="X999" i="51"/>
  <c r="AD999" i="51" s="1"/>
  <c r="W999" i="51"/>
  <c r="AC999" i="51" s="1"/>
  <c r="V999" i="51"/>
  <c r="AB999" i="51" s="1"/>
  <c r="X998" i="51"/>
  <c r="AD998" i="51" s="1"/>
  <c r="W998" i="51"/>
  <c r="AC998" i="51" s="1"/>
  <c r="V998" i="51"/>
  <c r="AB998" i="51" s="1"/>
  <c r="X997" i="51"/>
  <c r="AD997" i="51" s="1"/>
  <c r="W997" i="51"/>
  <c r="AC997" i="51" s="1"/>
  <c r="V997" i="51"/>
  <c r="AB997" i="51" s="1"/>
  <c r="X996" i="51"/>
  <c r="AD996" i="51" s="1"/>
  <c r="W996" i="51"/>
  <c r="AC996" i="51" s="1"/>
  <c r="V996" i="51"/>
  <c r="AB996" i="51" s="1"/>
  <c r="X995" i="51"/>
  <c r="AD995" i="51" s="1"/>
  <c r="W995" i="51"/>
  <c r="AC995" i="51" s="1"/>
  <c r="V995" i="51"/>
  <c r="AB995" i="51" s="1"/>
  <c r="X994" i="51"/>
  <c r="AD994" i="51" s="1"/>
  <c r="W994" i="51"/>
  <c r="AC994" i="51" s="1"/>
  <c r="V994" i="51"/>
  <c r="AB994" i="51" s="1"/>
  <c r="X993" i="51"/>
  <c r="AD993" i="51" s="1"/>
  <c r="W993" i="51"/>
  <c r="AC993" i="51" s="1"/>
  <c r="V993" i="51"/>
  <c r="AB993" i="51" s="1"/>
  <c r="X992" i="51"/>
  <c r="AD992" i="51" s="1"/>
  <c r="W992" i="51"/>
  <c r="AC992" i="51" s="1"/>
  <c r="V992" i="51"/>
  <c r="AB992" i="51" s="1"/>
  <c r="X991" i="51"/>
  <c r="AD991" i="51" s="1"/>
  <c r="W991" i="51"/>
  <c r="AC991" i="51" s="1"/>
  <c r="V991" i="51"/>
  <c r="AB991" i="51" s="1"/>
  <c r="X990" i="51"/>
  <c r="AD990" i="51" s="1"/>
  <c r="W990" i="51"/>
  <c r="AC990" i="51" s="1"/>
  <c r="V990" i="51"/>
  <c r="AB990" i="51" s="1"/>
  <c r="X989" i="51"/>
  <c r="AD989" i="51" s="1"/>
  <c r="W989" i="51"/>
  <c r="AC989" i="51" s="1"/>
  <c r="V989" i="51"/>
  <c r="AB989" i="51" s="1"/>
  <c r="X988" i="51"/>
  <c r="AD988" i="51" s="1"/>
  <c r="W988" i="51"/>
  <c r="AC988" i="51" s="1"/>
  <c r="V988" i="51"/>
  <c r="AB988" i="51" s="1"/>
  <c r="X987" i="51"/>
  <c r="AD987" i="51" s="1"/>
  <c r="W987" i="51"/>
  <c r="AC987" i="51" s="1"/>
  <c r="V987" i="51"/>
  <c r="AB987" i="51" s="1"/>
  <c r="X986" i="51"/>
  <c r="AD986" i="51" s="1"/>
  <c r="W986" i="51"/>
  <c r="AC986" i="51" s="1"/>
  <c r="V986" i="51"/>
  <c r="AB986" i="51" s="1"/>
  <c r="X985" i="51"/>
  <c r="AD985" i="51" s="1"/>
  <c r="W985" i="51"/>
  <c r="AC985" i="51" s="1"/>
  <c r="V985" i="51"/>
  <c r="AB985" i="51" s="1"/>
  <c r="X984" i="51"/>
  <c r="AD984" i="51" s="1"/>
  <c r="W984" i="51"/>
  <c r="AC984" i="51" s="1"/>
  <c r="V984" i="51"/>
  <c r="AB984" i="51" s="1"/>
  <c r="X983" i="51"/>
  <c r="AD983" i="51" s="1"/>
  <c r="W983" i="51"/>
  <c r="AC983" i="51" s="1"/>
  <c r="V983" i="51"/>
  <c r="AB983" i="51" s="1"/>
  <c r="X982" i="51"/>
  <c r="AD982" i="51" s="1"/>
  <c r="W982" i="51"/>
  <c r="AC982" i="51" s="1"/>
  <c r="V982" i="51"/>
  <c r="AB982" i="51" s="1"/>
  <c r="X981" i="51"/>
  <c r="AD981" i="51" s="1"/>
  <c r="W981" i="51"/>
  <c r="AC981" i="51" s="1"/>
  <c r="V981" i="51"/>
  <c r="AB981" i="51" s="1"/>
  <c r="X980" i="51"/>
  <c r="AD980" i="51" s="1"/>
  <c r="W980" i="51"/>
  <c r="AC980" i="51" s="1"/>
  <c r="V980" i="51"/>
  <c r="AB980" i="51" s="1"/>
  <c r="X979" i="51"/>
  <c r="AD979" i="51" s="1"/>
  <c r="W979" i="51"/>
  <c r="AC979" i="51" s="1"/>
  <c r="V979" i="51"/>
  <c r="AB979" i="51" s="1"/>
  <c r="X978" i="51"/>
  <c r="AD978" i="51" s="1"/>
  <c r="W978" i="51"/>
  <c r="AC978" i="51" s="1"/>
  <c r="V978" i="51"/>
  <c r="AB978" i="51" s="1"/>
  <c r="X977" i="51"/>
  <c r="AD977" i="51" s="1"/>
  <c r="W977" i="51"/>
  <c r="AC977" i="51" s="1"/>
  <c r="V977" i="51"/>
  <c r="AB977" i="51" s="1"/>
  <c r="X976" i="51"/>
  <c r="AD976" i="51" s="1"/>
  <c r="W976" i="51"/>
  <c r="AC976" i="51" s="1"/>
  <c r="V976" i="51"/>
  <c r="AB976" i="51" s="1"/>
  <c r="X975" i="51"/>
  <c r="AD975" i="51" s="1"/>
  <c r="W975" i="51"/>
  <c r="AC975" i="51" s="1"/>
  <c r="V975" i="51"/>
  <c r="AB975" i="51" s="1"/>
  <c r="X974" i="51"/>
  <c r="AD974" i="51" s="1"/>
  <c r="W974" i="51"/>
  <c r="AC974" i="51" s="1"/>
  <c r="V974" i="51"/>
  <c r="AB974" i="51" s="1"/>
  <c r="X973" i="51"/>
  <c r="AD973" i="51" s="1"/>
  <c r="W973" i="51"/>
  <c r="AC973" i="51" s="1"/>
  <c r="V973" i="51"/>
  <c r="AB973" i="51" s="1"/>
  <c r="X972" i="51"/>
  <c r="AD972" i="51" s="1"/>
  <c r="W972" i="51"/>
  <c r="AC972" i="51" s="1"/>
  <c r="V972" i="51"/>
  <c r="AB972" i="51" s="1"/>
  <c r="X971" i="51"/>
  <c r="AD971" i="51" s="1"/>
  <c r="W971" i="51"/>
  <c r="AC971" i="51" s="1"/>
  <c r="V971" i="51"/>
  <c r="AB971" i="51" s="1"/>
  <c r="X970" i="51"/>
  <c r="AD970" i="51" s="1"/>
  <c r="W970" i="51"/>
  <c r="AC970" i="51" s="1"/>
  <c r="V970" i="51"/>
  <c r="AB970" i="51" s="1"/>
  <c r="X969" i="51"/>
  <c r="AD969" i="51" s="1"/>
  <c r="W969" i="51"/>
  <c r="AC969" i="51" s="1"/>
  <c r="V969" i="51"/>
  <c r="AB969" i="51" s="1"/>
  <c r="X968" i="51"/>
  <c r="AD968" i="51" s="1"/>
  <c r="W968" i="51"/>
  <c r="AC968" i="51" s="1"/>
  <c r="V968" i="51"/>
  <c r="AB968" i="51" s="1"/>
  <c r="X967" i="51"/>
  <c r="AD967" i="51" s="1"/>
  <c r="W967" i="51"/>
  <c r="AC967" i="51" s="1"/>
  <c r="V967" i="51"/>
  <c r="AB967" i="51" s="1"/>
  <c r="X966" i="51"/>
  <c r="AD966" i="51" s="1"/>
  <c r="W966" i="51"/>
  <c r="AC966" i="51" s="1"/>
  <c r="V966" i="51"/>
  <c r="AB966" i="51" s="1"/>
  <c r="X965" i="51"/>
  <c r="AD965" i="51" s="1"/>
  <c r="W965" i="51"/>
  <c r="AC965" i="51" s="1"/>
  <c r="V965" i="51"/>
  <c r="AB965" i="51" s="1"/>
  <c r="X964" i="51"/>
  <c r="AD964" i="51" s="1"/>
  <c r="W964" i="51"/>
  <c r="AC964" i="51" s="1"/>
  <c r="V964" i="51"/>
  <c r="AB964" i="51" s="1"/>
  <c r="X963" i="51"/>
  <c r="AD963" i="51" s="1"/>
  <c r="W963" i="51"/>
  <c r="AC963" i="51" s="1"/>
  <c r="V963" i="51"/>
  <c r="AB963" i="51" s="1"/>
  <c r="X962" i="51"/>
  <c r="AD962" i="51" s="1"/>
  <c r="W962" i="51"/>
  <c r="AC962" i="51" s="1"/>
  <c r="V962" i="51"/>
  <c r="AB962" i="51" s="1"/>
  <c r="X961" i="51"/>
  <c r="AD961" i="51" s="1"/>
  <c r="W961" i="51"/>
  <c r="AC961" i="51" s="1"/>
  <c r="V961" i="51"/>
  <c r="AB961" i="51" s="1"/>
  <c r="X960" i="51"/>
  <c r="AD960" i="51" s="1"/>
  <c r="W960" i="51"/>
  <c r="AC960" i="51" s="1"/>
  <c r="V960" i="51"/>
  <c r="AB960" i="51" s="1"/>
  <c r="X959" i="51"/>
  <c r="AD959" i="51" s="1"/>
  <c r="W959" i="51"/>
  <c r="AC959" i="51" s="1"/>
  <c r="V959" i="51"/>
  <c r="AB959" i="51" s="1"/>
  <c r="X958" i="51"/>
  <c r="AD958" i="51" s="1"/>
  <c r="W958" i="51"/>
  <c r="AC958" i="51" s="1"/>
  <c r="V958" i="51"/>
  <c r="AB958" i="51" s="1"/>
  <c r="X957" i="51"/>
  <c r="AD957" i="51" s="1"/>
  <c r="W957" i="51"/>
  <c r="AC957" i="51" s="1"/>
  <c r="V957" i="51"/>
  <c r="AB957" i="51" s="1"/>
  <c r="X956" i="51"/>
  <c r="AD956" i="51" s="1"/>
  <c r="W956" i="51"/>
  <c r="AC956" i="51" s="1"/>
  <c r="V956" i="51"/>
  <c r="AB956" i="51" s="1"/>
  <c r="X955" i="51"/>
  <c r="AD955" i="51" s="1"/>
  <c r="W955" i="51"/>
  <c r="AC955" i="51" s="1"/>
  <c r="V955" i="51"/>
  <c r="AB955" i="51" s="1"/>
  <c r="X954" i="51"/>
  <c r="AD954" i="51" s="1"/>
  <c r="W954" i="51"/>
  <c r="AC954" i="51" s="1"/>
  <c r="V954" i="51"/>
  <c r="AB954" i="51" s="1"/>
  <c r="X953" i="51"/>
  <c r="AD953" i="51" s="1"/>
  <c r="W953" i="51"/>
  <c r="AC953" i="51" s="1"/>
  <c r="V953" i="51"/>
  <c r="AB953" i="51" s="1"/>
  <c r="X952" i="51"/>
  <c r="AD952" i="51" s="1"/>
  <c r="W952" i="51"/>
  <c r="AC952" i="51" s="1"/>
  <c r="V952" i="51"/>
  <c r="AB952" i="51" s="1"/>
  <c r="X951" i="51"/>
  <c r="AD951" i="51" s="1"/>
  <c r="W951" i="51"/>
  <c r="AC951" i="51" s="1"/>
  <c r="V951" i="51"/>
  <c r="AB951" i="51" s="1"/>
  <c r="X950" i="51"/>
  <c r="AD950" i="51" s="1"/>
  <c r="W950" i="51"/>
  <c r="AC950" i="51" s="1"/>
  <c r="V950" i="51"/>
  <c r="AB950" i="51" s="1"/>
  <c r="X949" i="51"/>
  <c r="AD949" i="51" s="1"/>
  <c r="W949" i="51"/>
  <c r="AC949" i="51" s="1"/>
  <c r="V949" i="51"/>
  <c r="AB949" i="51" s="1"/>
  <c r="X948" i="51"/>
  <c r="AD948" i="51" s="1"/>
  <c r="W948" i="51"/>
  <c r="AC948" i="51" s="1"/>
  <c r="V948" i="51"/>
  <c r="AB948" i="51" s="1"/>
  <c r="X947" i="51"/>
  <c r="AD947" i="51" s="1"/>
  <c r="W947" i="51"/>
  <c r="AC947" i="51" s="1"/>
  <c r="V947" i="51"/>
  <c r="AB947" i="51" s="1"/>
  <c r="X946" i="51"/>
  <c r="AD946" i="51" s="1"/>
  <c r="W946" i="51"/>
  <c r="AC946" i="51" s="1"/>
  <c r="V946" i="51"/>
  <c r="AB946" i="51" s="1"/>
  <c r="X945" i="51"/>
  <c r="AD945" i="51" s="1"/>
  <c r="W945" i="51"/>
  <c r="AC945" i="51" s="1"/>
  <c r="V945" i="51"/>
  <c r="AB945" i="51" s="1"/>
  <c r="X944" i="51"/>
  <c r="AD944" i="51" s="1"/>
  <c r="W944" i="51"/>
  <c r="AC944" i="51" s="1"/>
  <c r="V944" i="51"/>
  <c r="AB944" i="51" s="1"/>
  <c r="X943" i="51"/>
  <c r="AD943" i="51" s="1"/>
  <c r="W943" i="51"/>
  <c r="AC943" i="51" s="1"/>
  <c r="V943" i="51"/>
  <c r="AB943" i="51" s="1"/>
  <c r="X942" i="51"/>
  <c r="AD942" i="51" s="1"/>
  <c r="W942" i="51"/>
  <c r="AC942" i="51" s="1"/>
  <c r="V942" i="51"/>
  <c r="AB942" i="51" s="1"/>
  <c r="X941" i="51"/>
  <c r="AD941" i="51" s="1"/>
  <c r="W941" i="51"/>
  <c r="AC941" i="51" s="1"/>
  <c r="V941" i="51"/>
  <c r="AB941" i="51" s="1"/>
  <c r="X940" i="51"/>
  <c r="AD940" i="51" s="1"/>
  <c r="W940" i="51"/>
  <c r="AC940" i="51" s="1"/>
  <c r="V940" i="51"/>
  <c r="AB940" i="51" s="1"/>
  <c r="X939" i="51"/>
  <c r="AD939" i="51" s="1"/>
  <c r="W939" i="51"/>
  <c r="AC939" i="51" s="1"/>
  <c r="V939" i="51"/>
  <c r="AB939" i="51" s="1"/>
  <c r="X938" i="51"/>
  <c r="AD938" i="51" s="1"/>
  <c r="W938" i="51"/>
  <c r="AC938" i="51" s="1"/>
  <c r="V938" i="51"/>
  <c r="AB938" i="51" s="1"/>
  <c r="X937" i="51"/>
  <c r="AD937" i="51" s="1"/>
  <c r="W937" i="51"/>
  <c r="AC937" i="51" s="1"/>
  <c r="V937" i="51"/>
  <c r="AB937" i="51" s="1"/>
  <c r="X936" i="51"/>
  <c r="AD936" i="51" s="1"/>
  <c r="W936" i="51"/>
  <c r="AC936" i="51" s="1"/>
  <c r="V936" i="51"/>
  <c r="AB936" i="51" s="1"/>
  <c r="X935" i="51"/>
  <c r="AD935" i="51" s="1"/>
  <c r="W935" i="51"/>
  <c r="AC935" i="51" s="1"/>
  <c r="V935" i="51"/>
  <c r="AB935" i="51" s="1"/>
  <c r="X934" i="51"/>
  <c r="AD934" i="51" s="1"/>
  <c r="W934" i="51"/>
  <c r="AC934" i="51" s="1"/>
  <c r="V934" i="51"/>
  <c r="AB934" i="51" s="1"/>
  <c r="X933" i="51"/>
  <c r="AD933" i="51" s="1"/>
  <c r="W933" i="51"/>
  <c r="AC933" i="51" s="1"/>
  <c r="V933" i="51"/>
  <c r="AB933" i="51" s="1"/>
  <c r="X932" i="51"/>
  <c r="AD932" i="51" s="1"/>
  <c r="W932" i="51"/>
  <c r="AC932" i="51" s="1"/>
  <c r="V932" i="51"/>
  <c r="AB932" i="51" s="1"/>
  <c r="X931" i="51"/>
  <c r="AD931" i="51" s="1"/>
  <c r="W931" i="51"/>
  <c r="AC931" i="51" s="1"/>
  <c r="V931" i="51"/>
  <c r="AB931" i="51" s="1"/>
  <c r="X930" i="51"/>
  <c r="AD930" i="51" s="1"/>
  <c r="W930" i="51"/>
  <c r="AC930" i="51" s="1"/>
  <c r="V930" i="51"/>
  <c r="AB930" i="51" s="1"/>
  <c r="X929" i="51"/>
  <c r="AD929" i="51" s="1"/>
  <c r="W929" i="51"/>
  <c r="AC929" i="51" s="1"/>
  <c r="V929" i="51"/>
  <c r="AB929" i="51" s="1"/>
  <c r="X928" i="51"/>
  <c r="AD928" i="51" s="1"/>
  <c r="W928" i="51"/>
  <c r="AC928" i="51" s="1"/>
  <c r="V928" i="51"/>
  <c r="AB928" i="51" s="1"/>
  <c r="X927" i="51"/>
  <c r="AD927" i="51" s="1"/>
  <c r="W927" i="51"/>
  <c r="AC927" i="51" s="1"/>
  <c r="V927" i="51"/>
  <c r="AB927" i="51" s="1"/>
  <c r="X926" i="51"/>
  <c r="AD926" i="51" s="1"/>
  <c r="W926" i="51"/>
  <c r="AC926" i="51" s="1"/>
  <c r="V926" i="51"/>
  <c r="AB926" i="51" s="1"/>
  <c r="X925" i="51"/>
  <c r="AD925" i="51" s="1"/>
  <c r="W925" i="51"/>
  <c r="AC925" i="51" s="1"/>
  <c r="V925" i="51"/>
  <c r="AB925" i="51" s="1"/>
  <c r="X924" i="51"/>
  <c r="AD924" i="51" s="1"/>
  <c r="W924" i="51"/>
  <c r="AC924" i="51" s="1"/>
  <c r="V924" i="51"/>
  <c r="AB924" i="51" s="1"/>
  <c r="X923" i="51"/>
  <c r="AD923" i="51" s="1"/>
  <c r="W923" i="51"/>
  <c r="AC923" i="51" s="1"/>
  <c r="V923" i="51"/>
  <c r="AB923" i="51" s="1"/>
  <c r="X922" i="51"/>
  <c r="AD922" i="51" s="1"/>
  <c r="W922" i="51"/>
  <c r="AC922" i="51" s="1"/>
  <c r="V922" i="51"/>
  <c r="AB922" i="51" s="1"/>
  <c r="X921" i="51"/>
  <c r="AD921" i="51" s="1"/>
  <c r="W921" i="51"/>
  <c r="AC921" i="51" s="1"/>
  <c r="V921" i="51"/>
  <c r="AB921" i="51" s="1"/>
  <c r="X920" i="51"/>
  <c r="AD920" i="51" s="1"/>
  <c r="W920" i="51"/>
  <c r="AC920" i="51" s="1"/>
  <c r="V920" i="51"/>
  <c r="AB920" i="51" s="1"/>
  <c r="X919" i="51"/>
  <c r="AD919" i="51" s="1"/>
  <c r="W919" i="51"/>
  <c r="AC919" i="51" s="1"/>
  <c r="V919" i="51"/>
  <c r="AB919" i="51" s="1"/>
  <c r="X918" i="51"/>
  <c r="AD918" i="51" s="1"/>
  <c r="W918" i="51"/>
  <c r="AC918" i="51" s="1"/>
  <c r="V918" i="51"/>
  <c r="AB918" i="51" s="1"/>
  <c r="X917" i="51"/>
  <c r="AD917" i="51" s="1"/>
  <c r="W917" i="51"/>
  <c r="AC917" i="51" s="1"/>
  <c r="V917" i="51"/>
  <c r="AB917" i="51" s="1"/>
  <c r="X916" i="51"/>
  <c r="AD916" i="51" s="1"/>
  <c r="W916" i="51"/>
  <c r="AC916" i="51" s="1"/>
  <c r="V916" i="51"/>
  <c r="AB916" i="51" s="1"/>
  <c r="X915" i="51"/>
  <c r="AD915" i="51" s="1"/>
  <c r="W915" i="51"/>
  <c r="AC915" i="51" s="1"/>
  <c r="V915" i="51"/>
  <c r="AB915" i="51" s="1"/>
  <c r="X914" i="51"/>
  <c r="AD914" i="51" s="1"/>
  <c r="W914" i="51"/>
  <c r="AC914" i="51" s="1"/>
  <c r="V914" i="51"/>
  <c r="AB914" i="51" s="1"/>
  <c r="X913" i="51"/>
  <c r="AD913" i="51" s="1"/>
  <c r="W913" i="51"/>
  <c r="AC913" i="51" s="1"/>
  <c r="V913" i="51"/>
  <c r="AB913" i="51" s="1"/>
  <c r="X912" i="51"/>
  <c r="AD912" i="51" s="1"/>
  <c r="W912" i="51"/>
  <c r="AC912" i="51" s="1"/>
  <c r="V912" i="51"/>
  <c r="AB912" i="51" s="1"/>
  <c r="X911" i="51"/>
  <c r="AD911" i="51" s="1"/>
  <c r="W911" i="51"/>
  <c r="AC911" i="51" s="1"/>
  <c r="V911" i="51"/>
  <c r="AB911" i="51" s="1"/>
  <c r="X910" i="51"/>
  <c r="AD910" i="51" s="1"/>
  <c r="W910" i="51"/>
  <c r="AC910" i="51" s="1"/>
  <c r="V910" i="51"/>
  <c r="AB910" i="51" s="1"/>
  <c r="X909" i="51"/>
  <c r="AD909" i="51" s="1"/>
  <c r="W909" i="51"/>
  <c r="AC909" i="51" s="1"/>
  <c r="V909" i="51"/>
  <c r="AB909" i="51" s="1"/>
  <c r="X908" i="51"/>
  <c r="AD908" i="51" s="1"/>
  <c r="W908" i="51"/>
  <c r="AC908" i="51" s="1"/>
  <c r="V908" i="51"/>
  <c r="AB908" i="51" s="1"/>
  <c r="X907" i="51"/>
  <c r="AD907" i="51" s="1"/>
  <c r="W907" i="51"/>
  <c r="AC907" i="51" s="1"/>
  <c r="V907" i="51"/>
  <c r="AB907" i="51" s="1"/>
  <c r="X906" i="51"/>
  <c r="AD906" i="51" s="1"/>
  <c r="W906" i="51"/>
  <c r="AC906" i="51" s="1"/>
  <c r="V906" i="51"/>
  <c r="AB906" i="51" s="1"/>
  <c r="X905" i="51"/>
  <c r="AD905" i="51" s="1"/>
  <c r="W905" i="51"/>
  <c r="AC905" i="51" s="1"/>
  <c r="V905" i="51"/>
  <c r="AB905" i="51" s="1"/>
  <c r="X904" i="51"/>
  <c r="AD904" i="51" s="1"/>
  <c r="W904" i="51"/>
  <c r="AC904" i="51" s="1"/>
  <c r="V904" i="51"/>
  <c r="AB904" i="51" s="1"/>
  <c r="X903" i="51"/>
  <c r="AD903" i="51" s="1"/>
  <c r="W903" i="51"/>
  <c r="AC903" i="51" s="1"/>
  <c r="V903" i="51"/>
  <c r="AB903" i="51" s="1"/>
  <c r="X902" i="51"/>
  <c r="AD902" i="51" s="1"/>
  <c r="W902" i="51"/>
  <c r="AC902" i="51" s="1"/>
  <c r="V902" i="51"/>
  <c r="AB902" i="51" s="1"/>
  <c r="X901" i="51"/>
  <c r="AD901" i="51" s="1"/>
  <c r="W901" i="51"/>
  <c r="AC901" i="51" s="1"/>
  <c r="V901" i="51"/>
  <c r="AB901" i="51" s="1"/>
  <c r="X900" i="51"/>
  <c r="AD900" i="51" s="1"/>
  <c r="W900" i="51"/>
  <c r="AC900" i="51" s="1"/>
  <c r="V900" i="51"/>
  <c r="AB900" i="51" s="1"/>
  <c r="X899" i="51"/>
  <c r="AD899" i="51" s="1"/>
  <c r="W899" i="51"/>
  <c r="AC899" i="51" s="1"/>
  <c r="V899" i="51"/>
  <c r="AB899" i="51" s="1"/>
  <c r="X898" i="51"/>
  <c r="AD898" i="51" s="1"/>
  <c r="W898" i="51"/>
  <c r="AC898" i="51" s="1"/>
  <c r="V898" i="51"/>
  <c r="AB898" i="51" s="1"/>
  <c r="X897" i="51"/>
  <c r="AD897" i="51" s="1"/>
  <c r="W897" i="51"/>
  <c r="AC897" i="51" s="1"/>
  <c r="V897" i="51"/>
  <c r="AB897" i="51" s="1"/>
  <c r="X896" i="51"/>
  <c r="AD896" i="51" s="1"/>
  <c r="W896" i="51"/>
  <c r="AC896" i="51" s="1"/>
  <c r="V896" i="51"/>
  <c r="AB896" i="51" s="1"/>
  <c r="X895" i="51"/>
  <c r="AD895" i="51" s="1"/>
  <c r="W895" i="51"/>
  <c r="AC895" i="51" s="1"/>
  <c r="V895" i="51"/>
  <c r="AB895" i="51" s="1"/>
  <c r="X894" i="51"/>
  <c r="AD894" i="51" s="1"/>
  <c r="W894" i="51"/>
  <c r="AC894" i="51" s="1"/>
  <c r="V894" i="51"/>
  <c r="AB894" i="51" s="1"/>
  <c r="X893" i="51"/>
  <c r="AD893" i="51" s="1"/>
  <c r="W893" i="51"/>
  <c r="AC893" i="51" s="1"/>
  <c r="V893" i="51"/>
  <c r="AB893" i="51" s="1"/>
  <c r="X892" i="51"/>
  <c r="AD892" i="51" s="1"/>
  <c r="W892" i="51"/>
  <c r="AC892" i="51" s="1"/>
  <c r="V892" i="51"/>
  <c r="AB892" i="51" s="1"/>
  <c r="X891" i="51"/>
  <c r="AD891" i="51" s="1"/>
  <c r="W891" i="51"/>
  <c r="AC891" i="51" s="1"/>
  <c r="V891" i="51"/>
  <c r="AB891" i="51" s="1"/>
  <c r="X890" i="51"/>
  <c r="AD890" i="51" s="1"/>
  <c r="W890" i="51"/>
  <c r="AC890" i="51" s="1"/>
  <c r="V890" i="51"/>
  <c r="AB890" i="51" s="1"/>
  <c r="X889" i="51"/>
  <c r="AD889" i="51" s="1"/>
  <c r="W889" i="51"/>
  <c r="AC889" i="51" s="1"/>
  <c r="V889" i="51"/>
  <c r="AB889" i="51" s="1"/>
  <c r="X888" i="51"/>
  <c r="AD888" i="51" s="1"/>
  <c r="W888" i="51"/>
  <c r="AC888" i="51" s="1"/>
  <c r="V888" i="51"/>
  <c r="AB888" i="51" s="1"/>
  <c r="X887" i="51"/>
  <c r="AD887" i="51" s="1"/>
  <c r="W887" i="51"/>
  <c r="AC887" i="51" s="1"/>
  <c r="V887" i="51"/>
  <c r="AB887" i="51" s="1"/>
  <c r="X886" i="51"/>
  <c r="AD886" i="51" s="1"/>
  <c r="W886" i="51"/>
  <c r="AC886" i="51" s="1"/>
  <c r="V886" i="51"/>
  <c r="AB886" i="51" s="1"/>
  <c r="X885" i="51"/>
  <c r="AD885" i="51" s="1"/>
  <c r="W885" i="51"/>
  <c r="AC885" i="51" s="1"/>
  <c r="V885" i="51"/>
  <c r="AB885" i="51" s="1"/>
  <c r="X884" i="51"/>
  <c r="AD884" i="51" s="1"/>
  <c r="W884" i="51"/>
  <c r="AC884" i="51" s="1"/>
  <c r="V884" i="51"/>
  <c r="AB884" i="51" s="1"/>
  <c r="X883" i="51"/>
  <c r="AD883" i="51" s="1"/>
  <c r="W883" i="51"/>
  <c r="AC883" i="51" s="1"/>
  <c r="V883" i="51"/>
  <c r="AB883" i="51" s="1"/>
  <c r="X882" i="51"/>
  <c r="AD882" i="51" s="1"/>
  <c r="W882" i="51"/>
  <c r="AC882" i="51" s="1"/>
  <c r="V882" i="51"/>
  <c r="AB882" i="51" s="1"/>
  <c r="X881" i="51"/>
  <c r="AD881" i="51" s="1"/>
  <c r="W881" i="51"/>
  <c r="AC881" i="51" s="1"/>
  <c r="V881" i="51"/>
  <c r="AB881" i="51" s="1"/>
  <c r="X880" i="51"/>
  <c r="AD880" i="51" s="1"/>
  <c r="W880" i="51"/>
  <c r="AC880" i="51" s="1"/>
  <c r="V880" i="51"/>
  <c r="AB880" i="51" s="1"/>
  <c r="X879" i="51"/>
  <c r="AD879" i="51" s="1"/>
  <c r="W879" i="51"/>
  <c r="AC879" i="51" s="1"/>
  <c r="V879" i="51"/>
  <c r="AB879" i="51" s="1"/>
  <c r="X878" i="51"/>
  <c r="AD878" i="51" s="1"/>
  <c r="W878" i="51"/>
  <c r="AC878" i="51" s="1"/>
  <c r="V878" i="51"/>
  <c r="AB878" i="51" s="1"/>
  <c r="X877" i="51"/>
  <c r="AD877" i="51" s="1"/>
  <c r="W877" i="51"/>
  <c r="AC877" i="51" s="1"/>
  <c r="V877" i="51"/>
  <c r="AB877" i="51" s="1"/>
  <c r="X876" i="51"/>
  <c r="AD876" i="51" s="1"/>
  <c r="W876" i="51"/>
  <c r="AC876" i="51" s="1"/>
  <c r="V876" i="51"/>
  <c r="AB876" i="51" s="1"/>
  <c r="X875" i="51"/>
  <c r="AD875" i="51" s="1"/>
  <c r="W875" i="51"/>
  <c r="AC875" i="51" s="1"/>
  <c r="V875" i="51"/>
  <c r="AB875" i="51" s="1"/>
  <c r="X874" i="51"/>
  <c r="AD874" i="51" s="1"/>
  <c r="W874" i="51"/>
  <c r="AC874" i="51" s="1"/>
  <c r="V874" i="51"/>
  <c r="AB874" i="51" s="1"/>
  <c r="X873" i="51"/>
  <c r="AD873" i="51" s="1"/>
  <c r="W873" i="51"/>
  <c r="AC873" i="51" s="1"/>
  <c r="V873" i="51"/>
  <c r="AB873" i="51" s="1"/>
  <c r="X872" i="51"/>
  <c r="AD872" i="51" s="1"/>
  <c r="W872" i="51"/>
  <c r="AC872" i="51" s="1"/>
  <c r="V872" i="51"/>
  <c r="AB872" i="51" s="1"/>
  <c r="X871" i="51"/>
  <c r="AD871" i="51" s="1"/>
  <c r="W871" i="51"/>
  <c r="AC871" i="51" s="1"/>
  <c r="V871" i="51"/>
  <c r="AB871" i="51" s="1"/>
  <c r="X870" i="51"/>
  <c r="AD870" i="51" s="1"/>
  <c r="W870" i="51"/>
  <c r="AC870" i="51" s="1"/>
  <c r="V870" i="51"/>
  <c r="AB870" i="51" s="1"/>
  <c r="X869" i="51"/>
  <c r="AD869" i="51" s="1"/>
  <c r="W869" i="51"/>
  <c r="AC869" i="51" s="1"/>
  <c r="V869" i="51"/>
  <c r="AB869" i="51" s="1"/>
  <c r="X868" i="51"/>
  <c r="AD868" i="51" s="1"/>
  <c r="W868" i="51"/>
  <c r="AC868" i="51" s="1"/>
  <c r="V868" i="51"/>
  <c r="AB868" i="51" s="1"/>
  <c r="X867" i="51"/>
  <c r="AD867" i="51" s="1"/>
  <c r="W867" i="51"/>
  <c r="AC867" i="51" s="1"/>
  <c r="V867" i="51"/>
  <c r="AB867" i="51" s="1"/>
  <c r="X866" i="51"/>
  <c r="AD866" i="51" s="1"/>
  <c r="W866" i="51"/>
  <c r="AC866" i="51" s="1"/>
  <c r="V866" i="51"/>
  <c r="AB866" i="51" s="1"/>
  <c r="X865" i="51"/>
  <c r="AD865" i="51" s="1"/>
  <c r="W865" i="51"/>
  <c r="AC865" i="51" s="1"/>
  <c r="V865" i="51"/>
  <c r="AB865" i="51" s="1"/>
  <c r="X864" i="51"/>
  <c r="AD864" i="51" s="1"/>
  <c r="W864" i="51"/>
  <c r="AC864" i="51" s="1"/>
  <c r="V864" i="51"/>
  <c r="AB864" i="51" s="1"/>
  <c r="X863" i="51"/>
  <c r="AD863" i="51" s="1"/>
  <c r="W863" i="51"/>
  <c r="AC863" i="51" s="1"/>
  <c r="V863" i="51"/>
  <c r="AB863" i="51" s="1"/>
  <c r="X862" i="51"/>
  <c r="AD862" i="51" s="1"/>
  <c r="W862" i="51"/>
  <c r="AC862" i="51" s="1"/>
  <c r="V862" i="51"/>
  <c r="AB862" i="51" s="1"/>
  <c r="X861" i="51"/>
  <c r="AD861" i="51" s="1"/>
  <c r="W861" i="51"/>
  <c r="AC861" i="51" s="1"/>
  <c r="V861" i="51"/>
  <c r="AB861" i="51" s="1"/>
  <c r="X860" i="51"/>
  <c r="AD860" i="51" s="1"/>
  <c r="W860" i="51"/>
  <c r="AC860" i="51" s="1"/>
  <c r="V860" i="51"/>
  <c r="AB860" i="51" s="1"/>
  <c r="X859" i="51"/>
  <c r="AD859" i="51" s="1"/>
  <c r="W859" i="51"/>
  <c r="AC859" i="51" s="1"/>
  <c r="V859" i="51"/>
  <c r="AB859" i="51" s="1"/>
  <c r="X858" i="51"/>
  <c r="AD858" i="51" s="1"/>
  <c r="W858" i="51"/>
  <c r="AC858" i="51" s="1"/>
  <c r="V858" i="51"/>
  <c r="AB858" i="51" s="1"/>
  <c r="X857" i="51"/>
  <c r="AD857" i="51" s="1"/>
  <c r="W857" i="51"/>
  <c r="AC857" i="51" s="1"/>
  <c r="V857" i="51"/>
  <c r="AB857" i="51" s="1"/>
  <c r="X856" i="51"/>
  <c r="AD856" i="51" s="1"/>
  <c r="W856" i="51"/>
  <c r="AC856" i="51" s="1"/>
  <c r="V856" i="51"/>
  <c r="AB856" i="51" s="1"/>
  <c r="X855" i="51"/>
  <c r="AD855" i="51" s="1"/>
  <c r="W855" i="51"/>
  <c r="AC855" i="51" s="1"/>
  <c r="V855" i="51"/>
  <c r="AB855" i="51" s="1"/>
  <c r="X854" i="51"/>
  <c r="AD854" i="51" s="1"/>
  <c r="W854" i="51"/>
  <c r="AC854" i="51" s="1"/>
  <c r="V854" i="51"/>
  <c r="AB854" i="51" s="1"/>
  <c r="X853" i="51"/>
  <c r="AD853" i="51" s="1"/>
  <c r="W853" i="51"/>
  <c r="AC853" i="51" s="1"/>
  <c r="V853" i="51"/>
  <c r="AB853" i="51" s="1"/>
  <c r="X852" i="51"/>
  <c r="AD852" i="51" s="1"/>
  <c r="W852" i="51"/>
  <c r="AC852" i="51" s="1"/>
  <c r="V852" i="51"/>
  <c r="AB852" i="51" s="1"/>
  <c r="X851" i="51"/>
  <c r="AD851" i="51" s="1"/>
  <c r="W851" i="51"/>
  <c r="AC851" i="51" s="1"/>
  <c r="V851" i="51"/>
  <c r="AB851" i="51" s="1"/>
  <c r="X850" i="51"/>
  <c r="AD850" i="51" s="1"/>
  <c r="W850" i="51"/>
  <c r="AC850" i="51" s="1"/>
  <c r="V850" i="51"/>
  <c r="AB850" i="51" s="1"/>
  <c r="X849" i="51"/>
  <c r="AD849" i="51" s="1"/>
  <c r="W849" i="51"/>
  <c r="AC849" i="51" s="1"/>
  <c r="V849" i="51"/>
  <c r="AB849" i="51" s="1"/>
  <c r="X848" i="51"/>
  <c r="AD848" i="51" s="1"/>
  <c r="W848" i="51"/>
  <c r="AC848" i="51" s="1"/>
  <c r="V848" i="51"/>
  <c r="AB848" i="51" s="1"/>
  <c r="X847" i="51"/>
  <c r="AD847" i="51" s="1"/>
  <c r="W847" i="51"/>
  <c r="AC847" i="51" s="1"/>
  <c r="V847" i="51"/>
  <c r="AB847" i="51" s="1"/>
  <c r="X846" i="51"/>
  <c r="AD846" i="51" s="1"/>
  <c r="W846" i="51"/>
  <c r="AC846" i="51" s="1"/>
  <c r="V846" i="51"/>
  <c r="AB846" i="51" s="1"/>
  <c r="X845" i="51"/>
  <c r="AD845" i="51" s="1"/>
  <c r="W845" i="51"/>
  <c r="AC845" i="51" s="1"/>
  <c r="V845" i="51"/>
  <c r="AB845" i="51" s="1"/>
  <c r="X844" i="51"/>
  <c r="AD844" i="51" s="1"/>
  <c r="W844" i="51"/>
  <c r="AC844" i="51" s="1"/>
  <c r="V844" i="51"/>
  <c r="AB844" i="51" s="1"/>
  <c r="X843" i="51"/>
  <c r="AD843" i="51" s="1"/>
  <c r="W843" i="51"/>
  <c r="AC843" i="51" s="1"/>
  <c r="V843" i="51"/>
  <c r="AB843" i="51" s="1"/>
  <c r="X842" i="51"/>
  <c r="AD842" i="51" s="1"/>
  <c r="W842" i="51"/>
  <c r="AC842" i="51" s="1"/>
  <c r="V842" i="51"/>
  <c r="AB842" i="51" s="1"/>
  <c r="X841" i="51"/>
  <c r="AD841" i="51" s="1"/>
  <c r="W841" i="51"/>
  <c r="AC841" i="51" s="1"/>
  <c r="V841" i="51"/>
  <c r="AB841" i="51" s="1"/>
  <c r="X840" i="51"/>
  <c r="AD840" i="51" s="1"/>
  <c r="W840" i="51"/>
  <c r="AC840" i="51" s="1"/>
  <c r="V840" i="51"/>
  <c r="AB840" i="51" s="1"/>
  <c r="X839" i="51"/>
  <c r="AD839" i="51" s="1"/>
  <c r="W839" i="51"/>
  <c r="AC839" i="51" s="1"/>
  <c r="V839" i="51"/>
  <c r="AB839" i="51" s="1"/>
  <c r="X838" i="51"/>
  <c r="AD838" i="51" s="1"/>
  <c r="W838" i="51"/>
  <c r="AC838" i="51" s="1"/>
  <c r="V838" i="51"/>
  <c r="AB838" i="51" s="1"/>
  <c r="X837" i="51"/>
  <c r="AD837" i="51" s="1"/>
  <c r="W837" i="51"/>
  <c r="AC837" i="51" s="1"/>
  <c r="V837" i="51"/>
  <c r="AB837" i="51" s="1"/>
  <c r="X836" i="51"/>
  <c r="AD836" i="51" s="1"/>
  <c r="W836" i="51"/>
  <c r="AC836" i="51" s="1"/>
  <c r="V836" i="51"/>
  <c r="AB836" i="51" s="1"/>
  <c r="X835" i="51"/>
  <c r="AD835" i="51" s="1"/>
  <c r="W835" i="51"/>
  <c r="AC835" i="51" s="1"/>
  <c r="V835" i="51"/>
  <c r="AB835" i="51" s="1"/>
  <c r="X834" i="51"/>
  <c r="AD834" i="51" s="1"/>
  <c r="W834" i="51"/>
  <c r="AC834" i="51" s="1"/>
  <c r="V834" i="51"/>
  <c r="AB834" i="51" s="1"/>
  <c r="X833" i="51"/>
  <c r="AD833" i="51" s="1"/>
  <c r="W833" i="51"/>
  <c r="AC833" i="51" s="1"/>
  <c r="V833" i="51"/>
  <c r="AB833" i="51" s="1"/>
  <c r="X832" i="51"/>
  <c r="AD832" i="51" s="1"/>
  <c r="W832" i="51"/>
  <c r="AC832" i="51" s="1"/>
  <c r="V832" i="51"/>
  <c r="AB832" i="51" s="1"/>
  <c r="X831" i="51"/>
  <c r="AD831" i="51" s="1"/>
  <c r="W831" i="51"/>
  <c r="AC831" i="51" s="1"/>
  <c r="V831" i="51"/>
  <c r="AB831" i="51" s="1"/>
  <c r="X830" i="51"/>
  <c r="AD830" i="51" s="1"/>
  <c r="W830" i="51"/>
  <c r="AC830" i="51" s="1"/>
  <c r="V830" i="51"/>
  <c r="AB830" i="51" s="1"/>
  <c r="X829" i="51"/>
  <c r="AD829" i="51" s="1"/>
  <c r="W829" i="51"/>
  <c r="AC829" i="51" s="1"/>
  <c r="V829" i="51"/>
  <c r="AB829" i="51" s="1"/>
  <c r="X828" i="51"/>
  <c r="AD828" i="51" s="1"/>
  <c r="W828" i="51"/>
  <c r="AC828" i="51" s="1"/>
  <c r="V828" i="51"/>
  <c r="AB828" i="51" s="1"/>
  <c r="X827" i="51"/>
  <c r="AD827" i="51" s="1"/>
  <c r="W827" i="51"/>
  <c r="AC827" i="51" s="1"/>
  <c r="V827" i="51"/>
  <c r="AB827" i="51" s="1"/>
  <c r="X826" i="51"/>
  <c r="AD826" i="51" s="1"/>
  <c r="W826" i="51"/>
  <c r="AC826" i="51" s="1"/>
  <c r="V826" i="51"/>
  <c r="AB826" i="51" s="1"/>
  <c r="X825" i="51"/>
  <c r="AD825" i="51" s="1"/>
  <c r="W825" i="51"/>
  <c r="AC825" i="51" s="1"/>
  <c r="V825" i="51"/>
  <c r="AB825" i="51" s="1"/>
  <c r="X824" i="51"/>
  <c r="AD824" i="51" s="1"/>
  <c r="W824" i="51"/>
  <c r="AC824" i="51" s="1"/>
  <c r="V824" i="51"/>
  <c r="AB824" i="51" s="1"/>
  <c r="X823" i="51"/>
  <c r="AD823" i="51" s="1"/>
  <c r="W823" i="51"/>
  <c r="AC823" i="51" s="1"/>
  <c r="V823" i="51"/>
  <c r="AB823" i="51" s="1"/>
  <c r="X822" i="51"/>
  <c r="AD822" i="51" s="1"/>
  <c r="W822" i="51"/>
  <c r="AC822" i="51" s="1"/>
  <c r="V822" i="51"/>
  <c r="AB822" i="51" s="1"/>
  <c r="X821" i="51"/>
  <c r="AD821" i="51" s="1"/>
  <c r="W821" i="51"/>
  <c r="AC821" i="51" s="1"/>
  <c r="V821" i="51"/>
  <c r="AB821" i="51" s="1"/>
  <c r="X820" i="51"/>
  <c r="AD820" i="51" s="1"/>
  <c r="W820" i="51"/>
  <c r="AC820" i="51" s="1"/>
  <c r="V820" i="51"/>
  <c r="AB820" i="51" s="1"/>
  <c r="X819" i="51"/>
  <c r="AD819" i="51" s="1"/>
  <c r="W819" i="51"/>
  <c r="AC819" i="51" s="1"/>
  <c r="V819" i="51"/>
  <c r="AB819" i="51" s="1"/>
  <c r="X818" i="51"/>
  <c r="AD818" i="51" s="1"/>
  <c r="W818" i="51"/>
  <c r="AC818" i="51" s="1"/>
  <c r="V818" i="51"/>
  <c r="AB818" i="51" s="1"/>
  <c r="X817" i="51"/>
  <c r="AD817" i="51" s="1"/>
  <c r="W817" i="51"/>
  <c r="AC817" i="51" s="1"/>
  <c r="V817" i="51"/>
  <c r="AB817" i="51" s="1"/>
  <c r="X816" i="51"/>
  <c r="AD816" i="51" s="1"/>
  <c r="W816" i="51"/>
  <c r="AC816" i="51" s="1"/>
  <c r="V816" i="51"/>
  <c r="AB816" i="51" s="1"/>
  <c r="X815" i="51"/>
  <c r="AD815" i="51" s="1"/>
  <c r="W815" i="51"/>
  <c r="AC815" i="51" s="1"/>
  <c r="V815" i="51"/>
  <c r="AB815" i="51" s="1"/>
  <c r="X814" i="51"/>
  <c r="AD814" i="51" s="1"/>
  <c r="W814" i="51"/>
  <c r="AC814" i="51" s="1"/>
  <c r="V814" i="51"/>
  <c r="AB814" i="51" s="1"/>
  <c r="X813" i="51"/>
  <c r="AD813" i="51" s="1"/>
  <c r="W813" i="51"/>
  <c r="AC813" i="51" s="1"/>
  <c r="V813" i="51"/>
  <c r="AB813" i="51" s="1"/>
  <c r="X812" i="51"/>
  <c r="AD812" i="51" s="1"/>
  <c r="W812" i="51"/>
  <c r="AC812" i="51" s="1"/>
  <c r="V812" i="51"/>
  <c r="AB812" i="51" s="1"/>
  <c r="X811" i="51"/>
  <c r="AD811" i="51" s="1"/>
  <c r="W811" i="51"/>
  <c r="AC811" i="51" s="1"/>
  <c r="V811" i="51"/>
  <c r="AB811" i="51" s="1"/>
  <c r="X810" i="51"/>
  <c r="AD810" i="51" s="1"/>
  <c r="W810" i="51"/>
  <c r="AC810" i="51" s="1"/>
  <c r="V810" i="51"/>
  <c r="AB810" i="51" s="1"/>
  <c r="X809" i="51"/>
  <c r="AD809" i="51" s="1"/>
  <c r="W809" i="51"/>
  <c r="AC809" i="51" s="1"/>
  <c r="V809" i="51"/>
  <c r="AB809" i="51" s="1"/>
  <c r="X808" i="51"/>
  <c r="AD808" i="51" s="1"/>
  <c r="W808" i="51"/>
  <c r="AC808" i="51" s="1"/>
  <c r="V808" i="51"/>
  <c r="AB808" i="51" s="1"/>
  <c r="X807" i="51"/>
  <c r="AD807" i="51" s="1"/>
  <c r="W807" i="51"/>
  <c r="AC807" i="51" s="1"/>
  <c r="V807" i="51"/>
  <c r="AB807" i="51" s="1"/>
  <c r="X806" i="51"/>
  <c r="AD806" i="51" s="1"/>
  <c r="W806" i="51"/>
  <c r="AC806" i="51" s="1"/>
  <c r="V806" i="51"/>
  <c r="AB806" i="51" s="1"/>
  <c r="X805" i="51"/>
  <c r="AD805" i="51" s="1"/>
  <c r="W805" i="51"/>
  <c r="AC805" i="51" s="1"/>
  <c r="V805" i="51"/>
  <c r="AB805" i="51" s="1"/>
  <c r="X804" i="51"/>
  <c r="AD804" i="51" s="1"/>
  <c r="W804" i="51"/>
  <c r="AC804" i="51" s="1"/>
  <c r="V804" i="51"/>
  <c r="AB804" i="51" s="1"/>
  <c r="X803" i="51"/>
  <c r="AD803" i="51" s="1"/>
  <c r="W803" i="51"/>
  <c r="AC803" i="51" s="1"/>
  <c r="V803" i="51"/>
  <c r="AB803" i="51" s="1"/>
  <c r="X802" i="51"/>
  <c r="AD802" i="51" s="1"/>
  <c r="W802" i="51"/>
  <c r="AC802" i="51" s="1"/>
  <c r="V802" i="51"/>
  <c r="AB802" i="51" s="1"/>
  <c r="X801" i="51"/>
  <c r="AD801" i="51" s="1"/>
  <c r="W801" i="51"/>
  <c r="AC801" i="51" s="1"/>
  <c r="V801" i="51"/>
  <c r="AB801" i="51" s="1"/>
  <c r="X800" i="51"/>
  <c r="AD800" i="51" s="1"/>
  <c r="W800" i="51"/>
  <c r="AC800" i="51" s="1"/>
  <c r="V800" i="51"/>
  <c r="AB800" i="51" s="1"/>
  <c r="X799" i="51"/>
  <c r="AD799" i="51" s="1"/>
  <c r="W799" i="51"/>
  <c r="AC799" i="51" s="1"/>
  <c r="V799" i="51"/>
  <c r="AB799" i="51" s="1"/>
  <c r="X798" i="51"/>
  <c r="AD798" i="51" s="1"/>
  <c r="W798" i="51"/>
  <c r="AC798" i="51" s="1"/>
  <c r="V798" i="51"/>
  <c r="AB798" i="51" s="1"/>
  <c r="X797" i="51"/>
  <c r="AD797" i="51" s="1"/>
  <c r="W797" i="51"/>
  <c r="AC797" i="51" s="1"/>
  <c r="V797" i="51"/>
  <c r="AB797" i="51" s="1"/>
  <c r="X796" i="51"/>
  <c r="AD796" i="51" s="1"/>
  <c r="W796" i="51"/>
  <c r="AC796" i="51" s="1"/>
  <c r="V796" i="51"/>
  <c r="AB796" i="51" s="1"/>
  <c r="X795" i="51"/>
  <c r="AD795" i="51" s="1"/>
  <c r="W795" i="51"/>
  <c r="AC795" i="51" s="1"/>
  <c r="V795" i="51"/>
  <c r="AB795" i="51" s="1"/>
  <c r="X794" i="51"/>
  <c r="AD794" i="51" s="1"/>
  <c r="W794" i="51"/>
  <c r="AC794" i="51" s="1"/>
  <c r="V794" i="51"/>
  <c r="AB794" i="51" s="1"/>
  <c r="X793" i="51"/>
  <c r="AD793" i="51" s="1"/>
  <c r="W793" i="51"/>
  <c r="AC793" i="51" s="1"/>
  <c r="V793" i="51"/>
  <c r="AB793" i="51" s="1"/>
  <c r="X792" i="51"/>
  <c r="AD792" i="51" s="1"/>
  <c r="W792" i="51"/>
  <c r="AC792" i="51" s="1"/>
  <c r="V792" i="51"/>
  <c r="AB792" i="51" s="1"/>
  <c r="X791" i="51"/>
  <c r="AD791" i="51" s="1"/>
  <c r="W791" i="51"/>
  <c r="AC791" i="51" s="1"/>
  <c r="V791" i="51"/>
  <c r="AB791" i="51" s="1"/>
  <c r="X790" i="51"/>
  <c r="AD790" i="51" s="1"/>
  <c r="W790" i="51"/>
  <c r="AC790" i="51" s="1"/>
  <c r="V790" i="51"/>
  <c r="AB790" i="51" s="1"/>
  <c r="X789" i="51"/>
  <c r="AD789" i="51" s="1"/>
  <c r="W789" i="51"/>
  <c r="AC789" i="51" s="1"/>
  <c r="V789" i="51"/>
  <c r="AB789" i="51" s="1"/>
  <c r="X788" i="51"/>
  <c r="AD788" i="51" s="1"/>
  <c r="W788" i="51"/>
  <c r="AC788" i="51" s="1"/>
  <c r="V788" i="51"/>
  <c r="AB788" i="51" s="1"/>
  <c r="X787" i="51"/>
  <c r="AD787" i="51" s="1"/>
  <c r="W787" i="51"/>
  <c r="AC787" i="51" s="1"/>
  <c r="V787" i="51"/>
  <c r="AB787" i="51" s="1"/>
  <c r="X786" i="51"/>
  <c r="AD786" i="51" s="1"/>
  <c r="W786" i="51"/>
  <c r="AC786" i="51" s="1"/>
  <c r="V786" i="51"/>
  <c r="AB786" i="51" s="1"/>
  <c r="X785" i="51"/>
  <c r="AD785" i="51" s="1"/>
  <c r="W785" i="51"/>
  <c r="AC785" i="51" s="1"/>
  <c r="V785" i="51"/>
  <c r="AB785" i="51" s="1"/>
  <c r="X784" i="51"/>
  <c r="AD784" i="51" s="1"/>
  <c r="W784" i="51"/>
  <c r="AC784" i="51" s="1"/>
  <c r="V784" i="51"/>
  <c r="AB784" i="51" s="1"/>
  <c r="X783" i="51"/>
  <c r="AD783" i="51" s="1"/>
  <c r="W783" i="51"/>
  <c r="AC783" i="51" s="1"/>
  <c r="V783" i="51"/>
  <c r="AB783" i="51" s="1"/>
  <c r="X782" i="51"/>
  <c r="AD782" i="51" s="1"/>
  <c r="W782" i="51"/>
  <c r="AC782" i="51" s="1"/>
  <c r="V782" i="51"/>
  <c r="AB782" i="51" s="1"/>
  <c r="X781" i="51"/>
  <c r="AD781" i="51" s="1"/>
  <c r="W781" i="51"/>
  <c r="AC781" i="51" s="1"/>
  <c r="V781" i="51"/>
  <c r="AB781" i="51" s="1"/>
  <c r="X780" i="51"/>
  <c r="AD780" i="51" s="1"/>
  <c r="W780" i="51"/>
  <c r="AC780" i="51" s="1"/>
  <c r="V780" i="51"/>
  <c r="AB780" i="51" s="1"/>
  <c r="X779" i="51"/>
  <c r="AD779" i="51" s="1"/>
  <c r="W779" i="51"/>
  <c r="AC779" i="51" s="1"/>
  <c r="V779" i="51"/>
  <c r="AB779" i="51" s="1"/>
  <c r="X778" i="51"/>
  <c r="AD778" i="51" s="1"/>
  <c r="W778" i="51"/>
  <c r="AC778" i="51" s="1"/>
  <c r="V778" i="51"/>
  <c r="AB778" i="51" s="1"/>
  <c r="X777" i="51"/>
  <c r="AD777" i="51" s="1"/>
  <c r="W777" i="51"/>
  <c r="AC777" i="51" s="1"/>
  <c r="V777" i="51"/>
  <c r="AB777" i="51" s="1"/>
  <c r="X776" i="51"/>
  <c r="AD776" i="51" s="1"/>
  <c r="W776" i="51"/>
  <c r="AC776" i="51" s="1"/>
  <c r="V776" i="51"/>
  <c r="AB776" i="51" s="1"/>
  <c r="X775" i="51"/>
  <c r="AD775" i="51" s="1"/>
  <c r="W775" i="51"/>
  <c r="AC775" i="51" s="1"/>
  <c r="V775" i="51"/>
  <c r="AB775" i="51" s="1"/>
  <c r="X774" i="51"/>
  <c r="AD774" i="51" s="1"/>
  <c r="W774" i="51"/>
  <c r="AC774" i="51" s="1"/>
  <c r="V774" i="51"/>
  <c r="AB774" i="51" s="1"/>
  <c r="X773" i="51"/>
  <c r="AD773" i="51" s="1"/>
  <c r="W773" i="51"/>
  <c r="AC773" i="51" s="1"/>
  <c r="V773" i="51"/>
  <c r="AB773" i="51" s="1"/>
  <c r="X772" i="51"/>
  <c r="AD772" i="51" s="1"/>
  <c r="W772" i="51"/>
  <c r="AC772" i="51" s="1"/>
  <c r="V772" i="51"/>
  <c r="AB772" i="51" s="1"/>
  <c r="X771" i="51"/>
  <c r="AD771" i="51" s="1"/>
  <c r="W771" i="51"/>
  <c r="AC771" i="51" s="1"/>
  <c r="V771" i="51"/>
  <c r="AB771" i="51" s="1"/>
  <c r="X770" i="51"/>
  <c r="AD770" i="51" s="1"/>
  <c r="W770" i="51"/>
  <c r="AC770" i="51" s="1"/>
  <c r="V770" i="51"/>
  <c r="AB770" i="51" s="1"/>
  <c r="X769" i="51"/>
  <c r="AD769" i="51" s="1"/>
  <c r="W769" i="51"/>
  <c r="AC769" i="51" s="1"/>
  <c r="V769" i="51"/>
  <c r="AB769" i="51" s="1"/>
  <c r="X768" i="51"/>
  <c r="AD768" i="51" s="1"/>
  <c r="W768" i="51"/>
  <c r="AC768" i="51" s="1"/>
  <c r="V768" i="51"/>
  <c r="AB768" i="51" s="1"/>
  <c r="X767" i="51"/>
  <c r="AD767" i="51" s="1"/>
  <c r="W767" i="51"/>
  <c r="AC767" i="51" s="1"/>
  <c r="V767" i="51"/>
  <c r="AB767" i="51" s="1"/>
  <c r="X766" i="51"/>
  <c r="AD766" i="51" s="1"/>
  <c r="W766" i="51"/>
  <c r="AC766" i="51" s="1"/>
  <c r="V766" i="51"/>
  <c r="AB766" i="51" s="1"/>
  <c r="X765" i="51"/>
  <c r="AD765" i="51" s="1"/>
  <c r="W765" i="51"/>
  <c r="AC765" i="51" s="1"/>
  <c r="V765" i="51"/>
  <c r="AB765" i="51" s="1"/>
  <c r="X764" i="51"/>
  <c r="AD764" i="51" s="1"/>
  <c r="W764" i="51"/>
  <c r="AC764" i="51" s="1"/>
  <c r="V764" i="51"/>
  <c r="AB764" i="51" s="1"/>
  <c r="X763" i="51"/>
  <c r="AD763" i="51" s="1"/>
  <c r="W763" i="51"/>
  <c r="AC763" i="51" s="1"/>
  <c r="V763" i="51"/>
  <c r="AB763" i="51" s="1"/>
  <c r="X762" i="51"/>
  <c r="AD762" i="51" s="1"/>
  <c r="W762" i="51"/>
  <c r="AC762" i="51" s="1"/>
  <c r="V762" i="51"/>
  <c r="AB762" i="51" s="1"/>
  <c r="X761" i="51"/>
  <c r="AD761" i="51" s="1"/>
  <c r="W761" i="51"/>
  <c r="AC761" i="51" s="1"/>
  <c r="V761" i="51"/>
  <c r="AB761" i="51" s="1"/>
  <c r="X760" i="51"/>
  <c r="AD760" i="51" s="1"/>
  <c r="W760" i="51"/>
  <c r="AC760" i="51" s="1"/>
  <c r="V760" i="51"/>
  <c r="AB760" i="51" s="1"/>
  <c r="X759" i="51"/>
  <c r="AD759" i="51" s="1"/>
  <c r="W759" i="51"/>
  <c r="AC759" i="51" s="1"/>
  <c r="V759" i="51"/>
  <c r="AB759" i="51" s="1"/>
  <c r="X758" i="51"/>
  <c r="AD758" i="51" s="1"/>
  <c r="W758" i="51"/>
  <c r="AC758" i="51" s="1"/>
  <c r="V758" i="51"/>
  <c r="AB758" i="51" s="1"/>
  <c r="X757" i="51"/>
  <c r="AD757" i="51" s="1"/>
  <c r="W757" i="51"/>
  <c r="AC757" i="51" s="1"/>
  <c r="V757" i="51"/>
  <c r="AB757" i="51" s="1"/>
  <c r="X756" i="51"/>
  <c r="AD756" i="51" s="1"/>
  <c r="W756" i="51"/>
  <c r="AC756" i="51" s="1"/>
  <c r="V756" i="51"/>
  <c r="AB756" i="51" s="1"/>
  <c r="X755" i="51"/>
  <c r="AD755" i="51" s="1"/>
  <c r="W755" i="51"/>
  <c r="AC755" i="51" s="1"/>
  <c r="V755" i="51"/>
  <c r="AB755" i="51" s="1"/>
  <c r="X754" i="51"/>
  <c r="AD754" i="51" s="1"/>
  <c r="W754" i="51"/>
  <c r="AC754" i="51" s="1"/>
  <c r="V754" i="51"/>
  <c r="AB754" i="51" s="1"/>
  <c r="X753" i="51"/>
  <c r="AD753" i="51" s="1"/>
  <c r="W753" i="51"/>
  <c r="AC753" i="51" s="1"/>
  <c r="V753" i="51"/>
  <c r="AB753" i="51" s="1"/>
  <c r="X752" i="51"/>
  <c r="AD752" i="51" s="1"/>
  <c r="W752" i="51"/>
  <c r="AC752" i="51" s="1"/>
  <c r="V752" i="51"/>
  <c r="AB752" i="51" s="1"/>
  <c r="X751" i="51"/>
  <c r="AD751" i="51" s="1"/>
  <c r="W751" i="51"/>
  <c r="AC751" i="51" s="1"/>
  <c r="V751" i="51"/>
  <c r="AB751" i="51" s="1"/>
  <c r="X750" i="51"/>
  <c r="AD750" i="51" s="1"/>
  <c r="W750" i="51"/>
  <c r="AC750" i="51" s="1"/>
  <c r="V750" i="51"/>
  <c r="AB750" i="51" s="1"/>
  <c r="X749" i="51"/>
  <c r="AD749" i="51" s="1"/>
  <c r="W749" i="51"/>
  <c r="AC749" i="51" s="1"/>
  <c r="V749" i="51"/>
  <c r="AB749" i="51" s="1"/>
  <c r="X748" i="51"/>
  <c r="AD748" i="51" s="1"/>
  <c r="W748" i="51"/>
  <c r="AC748" i="51" s="1"/>
  <c r="V748" i="51"/>
  <c r="AB748" i="51" s="1"/>
  <c r="X747" i="51"/>
  <c r="AD747" i="51" s="1"/>
  <c r="W747" i="51"/>
  <c r="AC747" i="51" s="1"/>
  <c r="V747" i="51"/>
  <c r="AB747" i="51" s="1"/>
  <c r="X746" i="51"/>
  <c r="AD746" i="51" s="1"/>
  <c r="W746" i="51"/>
  <c r="AC746" i="51" s="1"/>
  <c r="V746" i="51"/>
  <c r="AB746" i="51" s="1"/>
  <c r="X745" i="51"/>
  <c r="AD745" i="51" s="1"/>
  <c r="W745" i="51"/>
  <c r="AC745" i="51" s="1"/>
  <c r="V745" i="51"/>
  <c r="AB745" i="51" s="1"/>
  <c r="X744" i="51"/>
  <c r="AD744" i="51" s="1"/>
  <c r="W744" i="51"/>
  <c r="AC744" i="51" s="1"/>
  <c r="V744" i="51"/>
  <c r="AB744" i="51" s="1"/>
  <c r="X743" i="51"/>
  <c r="AD743" i="51" s="1"/>
  <c r="W743" i="51"/>
  <c r="AC743" i="51" s="1"/>
  <c r="V743" i="51"/>
  <c r="AB743" i="51" s="1"/>
  <c r="X742" i="51"/>
  <c r="AD742" i="51" s="1"/>
  <c r="W742" i="51"/>
  <c r="AC742" i="51" s="1"/>
  <c r="V742" i="51"/>
  <c r="AB742" i="51" s="1"/>
  <c r="X741" i="51"/>
  <c r="AD741" i="51" s="1"/>
  <c r="W741" i="51"/>
  <c r="AC741" i="51" s="1"/>
  <c r="V741" i="51"/>
  <c r="AB741" i="51" s="1"/>
  <c r="X740" i="51"/>
  <c r="AD740" i="51" s="1"/>
  <c r="W740" i="51"/>
  <c r="AC740" i="51" s="1"/>
  <c r="V740" i="51"/>
  <c r="AB740" i="51" s="1"/>
  <c r="X739" i="51"/>
  <c r="AD739" i="51" s="1"/>
  <c r="W739" i="51"/>
  <c r="AC739" i="51" s="1"/>
  <c r="V739" i="51"/>
  <c r="AB739" i="51" s="1"/>
  <c r="X738" i="51"/>
  <c r="AD738" i="51" s="1"/>
  <c r="W738" i="51"/>
  <c r="AC738" i="51" s="1"/>
  <c r="V738" i="51"/>
  <c r="AB738" i="51" s="1"/>
  <c r="X737" i="51"/>
  <c r="AD737" i="51" s="1"/>
  <c r="W737" i="51"/>
  <c r="AC737" i="51" s="1"/>
  <c r="V737" i="51"/>
  <c r="AB737" i="51" s="1"/>
  <c r="X736" i="51"/>
  <c r="AD736" i="51" s="1"/>
  <c r="W736" i="51"/>
  <c r="AC736" i="51" s="1"/>
  <c r="V736" i="51"/>
  <c r="AB736" i="51" s="1"/>
  <c r="X735" i="51"/>
  <c r="AD735" i="51" s="1"/>
  <c r="W735" i="51"/>
  <c r="AC735" i="51" s="1"/>
  <c r="V735" i="51"/>
  <c r="AB735" i="51" s="1"/>
  <c r="X734" i="51"/>
  <c r="AD734" i="51" s="1"/>
  <c r="W734" i="51"/>
  <c r="AC734" i="51" s="1"/>
  <c r="V734" i="51"/>
  <c r="AB734" i="51" s="1"/>
  <c r="X733" i="51"/>
  <c r="AD733" i="51" s="1"/>
  <c r="W733" i="51"/>
  <c r="AC733" i="51" s="1"/>
  <c r="V733" i="51"/>
  <c r="AB733" i="51" s="1"/>
  <c r="X732" i="51"/>
  <c r="AD732" i="51" s="1"/>
  <c r="W732" i="51"/>
  <c r="AC732" i="51" s="1"/>
  <c r="V732" i="51"/>
  <c r="AB732" i="51" s="1"/>
  <c r="X731" i="51"/>
  <c r="AD731" i="51" s="1"/>
  <c r="W731" i="51"/>
  <c r="AC731" i="51" s="1"/>
  <c r="V731" i="51"/>
  <c r="AB731" i="51" s="1"/>
  <c r="X730" i="51"/>
  <c r="AD730" i="51" s="1"/>
  <c r="W730" i="51"/>
  <c r="AC730" i="51" s="1"/>
  <c r="V730" i="51"/>
  <c r="AB730" i="51" s="1"/>
  <c r="X729" i="51"/>
  <c r="AD729" i="51" s="1"/>
  <c r="W729" i="51"/>
  <c r="AC729" i="51" s="1"/>
  <c r="V729" i="51"/>
  <c r="AB729" i="51" s="1"/>
  <c r="X728" i="51"/>
  <c r="AD728" i="51" s="1"/>
  <c r="W728" i="51"/>
  <c r="AC728" i="51" s="1"/>
  <c r="V728" i="51"/>
  <c r="AB728" i="51" s="1"/>
  <c r="X727" i="51"/>
  <c r="AD727" i="51" s="1"/>
  <c r="W727" i="51"/>
  <c r="AC727" i="51" s="1"/>
  <c r="V727" i="51"/>
  <c r="AB727" i="51" s="1"/>
  <c r="X726" i="51"/>
  <c r="AD726" i="51" s="1"/>
  <c r="W726" i="51"/>
  <c r="AC726" i="51" s="1"/>
  <c r="V726" i="51"/>
  <c r="AB726" i="51" s="1"/>
  <c r="X725" i="51"/>
  <c r="AD725" i="51" s="1"/>
  <c r="W725" i="51"/>
  <c r="AC725" i="51" s="1"/>
  <c r="V725" i="51"/>
  <c r="AB725" i="51" s="1"/>
  <c r="X724" i="51"/>
  <c r="AD724" i="51" s="1"/>
  <c r="W724" i="51"/>
  <c r="AC724" i="51" s="1"/>
  <c r="V724" i="51"/>
  <c r="AB724" i="51" s="1"/>
  <c r="X723" i="51"/>
  <c r="AD723" i="51" s="1"/>
  <c r="W723" i="51"/>
  <c r="AC723" i="51" s="1"/>
  <c r="V723" i="51"/>
  <c r="AB723" i="51" s="1"/>
  <c r="X722" i="51"/>
  <c r="AD722" i="51" s="1"/>
  <c r="W722" i="51"/>
  <c r="AC722" i="51" s="1"/>
  <c r="V722" i="51"/>
  <c r="AB722" i="51" s="1"/>
  <c r="X721" i="51"/>
  <c r="AD721" i="51" s="1"/>
  <c r="W721" i="51"/>
  <c r="AC721" i="51" s="1"/>
  <c r="V721" i="51"/>
  <c r="AB721" i="51" s="1"/>
  <c r="X720" i="51"/>
  <c r="AD720" i="51" s="1"/>
  <c r="W720" i="51"/>
  <c r="AC720" i="51" s="1"/>
  <c r="V720" i="51"/>
  <c r="AB720" i="51" s="1"/>
  <c r="X719" i="51"/>
  <c r="AD719" i="51" s="1"/>
  <c r="W719" i="51"/>
  <c r="AC719" i="51" s="1"/>
  <c r="V719" i="51"/>
  <c r="AB719" i="51" s="1"/>
  <c r="X718" i="51"/>
  <c r="AD718" i="51" s="1"/>
  <c r="W718" i="51"/>
  <c r="AC718" i="51" s="1"/>
  <c r="V718" i="51"/>
  <c r="AB718" i="51" s="1"/>
  <c r="X717" i="51"/>
  <c r="AD717" i="51" s="1"/>
  <c r="W717" i="51"/>
  <c r="AC717" i="51" s="1"/>
  <c r="V717" i="51"/>
  <c r="AB717" i="51" s="1"/>
  <c r="X716" i="51"/>
  <c r="AD716" i="51" s="1"/>
  <c r="W716" i="51"/>
  <c r="AC716" i="51" s="1"/>
  <c r="V716" i="51"/>
  <c r="AB716" i="51" s="1"/>
  <c r="X715" i="51"/>
  <c r="AD715" i="51" s="1"/>
  <c r="W715" i="51"/>
  <c r="AC715" i="51" s="1"/>
  <c r="V715" i="51"/>
  <c r="AB715" i="51" s="1"/>
  <c r="X714" i="51"/>
  <c r="AD714" i="51" s="1"/>
  <c r="W714" i="51"/>
  <c r="AC714" i="51" s="1"/>
  <c r="V714" i="51"/>
  <c r="AB714" i="51" s="1"/>
  <c r="X713" i="51"/>
  <c r="AD713" i="51" s="1"/>
  <c r="W713" i="51"/>
  <c r="AC713" i="51" s="1"/>
  <c r="V713" i="51"/>
  <c r="AB713" i="51" s="1"/>
  <c r="X712" i="51"/>
  <c r="AD712" i="51" s="1"/>
  <c r="W712" i="51"/>
  <c r="AC712" i="51" s="1"/>
  <c r="V712" i="51"/>
  <c r="AB712" i="51" s="1"/>
  <c r="X711" i="51"/>
  <c r="AD711" i="51" s="1"/>
  <c r="W711" i="51"/>
  <c r="AC711" i="51" s="1"/>
  <c r="V711" i="51"/>
  <c r="AB711" i="51" s="1"/>
  <c r="X710" i="51"/>
  <c r="AD710" i="51" s="1"/>
  <c r="W710" i="51"/>
  <c r="AC710" i="51" s="1"/>
  <c r="V710" i="51"/>
  <c r="AB710" i="51" s="1"/>
  <c r="X709" i="51"/>
  <c r="AD709" i="51" s="1"/>
  <c r="W709" i="51"/>
  <c r="AC709" i="51" s="1"/>
  <c r="V709" i="51"/>
  <c r="AB709" i="51" s="1"/>
  <c r="X708" i="51"/>
  <c r="AD708" i="51" s="1"/>
  <c r="W708" i="51"/>
  <c r="AC708" i="51" s="1"/>
  <c r="V708" i="51"/>
  <c r="AB708" i="51" s="1"/>
  <c r="X707" i="51"/>
  <c r="AD707" i="51" s="1"/>
  <c r="W707" i="51"/>
  <c r="AC707" i="51" s="1"/>
  <c r="V707" i="51"/>
  <c r="AB707" i="51" s="1"/>
  <c r="X706" i="51"/>
  <c r="AD706" i="51" s="1"/>
  <c r="W706" i="51"/>
  <c r="AC706" i="51" s="1"/>
  <c r="V706" i="51"/>
  <c r="AB706" i="51" s="1"/>
  <c r="X705" i="51"/>
  <c r="AD705" i="51" s="1"/>
  <c r="W705" i="51"/>
  <c r="AC705" i="51" s="1"/>
  <c r="V705" i="51"/>
  <c r="AB705" i="51" s="1"/>
  <c r="X704" i="51"/>
  <c r="AD704" i="51" s="1"/>
  <c r="W704" i="51"/>
  <c r="AC704" i="51" s="1"/>
  <c r="V704" i="51"/>
  <c r="AB704" i="51" s="1"/>
  <c r="X703" i="51"/>
  <c r="AD703" i="51" s="1"/>
  <c r="W703" i="51"/>
  <c r="AC703" i="51" s="1"/>
  <c r="V703" i="51"/>
  <c r="AB703" i="51" s="1"/>
  <c r="X702" i="51"/>
  <c r="AD702" i="51" s="1"/>
  <c r="W702" i="51"/>
  <c r="AC702" i="51" s="1"/>
  <c r="V702" i="51"/>
  <c r="AB702" i="51" s="1"/>
  <c r="X701" i="51"/>
  <c r="AD701" i="51" s="1"/>
  <c r="W701" i="51"/>
  <c r="AC701" i="51" s="1"/>
  <c r="V701" i="51"/>
  <c r="AB701" i="51" s="1"/>
  <c r="X700" i="51"/>
  <c r="AD700" i="51" s="1"/>
  <c r="W700" i="51"/>
  <c r="AC700" i="51" s="1"/>
  <c r="V700" i="51"/>
  <c r="AB700" i="51" s="1"/>
  <c r="X699" i="51"/>
  <c r="AD699" i="51" s="1"/>
  <c r="W699" i="51"/>
  <c r="AC699" i="51" s="1"/>
  <c r="V699" i="51"/>
  <c r="AB699" i="51" s="1"/>
  <c r="X698" i="51"/>
  <c r="AD698" i="51" s="1"/>
  <c r="W698" i="51"/>
  <c r="AC698" i="51" s="1"/>
  <c r="V698" i="51"/>
  <c r="AB698" i="51" s="1"/>
  <c r="X697" i="51"/>
  <c r="AD697" i="51" s="1"/>
  <c r="W697" i="51"/>
  <c r="AC697" i="51" s="1"/>
  <c r="V697" i="51"/>
  <c r="AB697" i="51" s="1"/>
  <c r="X696" i="51"/>
  <c r="AD696" i="51" s="1"/>
  <c r="W696" i="51"/>
  <c r="AC696" i="51" s="1"/>
  <c r="V696" i="51"/>
  <c r="AB696" i="51" s="1"/>
  <c r="X695" i="51"/>
  <c r="AD695" i="51" s="1"/>
  <c r="W695" i="51"/>
  <c r="AC695" i="51" s="1"/>
  <c r="V695" i="51"/>
  <c r="AB695" i="51" s="1"/>
  <c r="X694" i="51"/>
  <c r="AD694" i="51" s="1"/>
  <c r="W694" i="51"/>
  <c r="AC694" i="51" s="1"/>
  <c r="V694" i="51"/>
  <c r="AB694" i="51" s="1"/>
  <c r="X693" i="51"/>
  <c r="AD693" i="51" s="1"/>
  <c r="W693" i="51"/>
  <c r="AC693" i="51" s="1"/>
  <c r="V693" i="51"/>
  <c r="AB693" i="51" s="1"/>
  <c r="X692" i="51"/>
  <c r="AD692" i="51" s="1"/>
  <c r="W692" i="51"/>
  <c r="AC692" i="51" s="1"/>
  <c r="V692" i="51"/>
  <c r="AB692" i="51" s="1"/>
  <c r="X691" i="51"/>
  <c r="AD691" i="51" s="1"/>
  <c r="W691" i="51"/>
  <c r="AC691" i="51" s="1"/>
  <c r="V691" i="51"/>
  <c r="AB691" i="51" s="1"/>
  <c r="X690" i="51"/>
  <c r="AD690" i="51" s="1"/>
  <c r="W690" i="51"/>
  <c r="AC690" i="51" s="1"/>
  <c r="V690" i="51"/>
  <c r="AB690" i="51" s="1"/>
  <c r="X689" i="51"/>
  <c r="AD689" i="51" s="1"/>
  <c r="W689" i="51"/>
  <c r="AC689" i="51" s="1"/>
  <c r="V689" i="51"/>
  <c r="AB689" i="51" s="1"/>
  <c r="X688" i="51"/>
  <c r="AD688" i="51" s="1"/>
  <c r="W688" i="51"/>
  <c r="AC688" i="51" s="1"/>
  <c r="V688" i="51"/>
  <c r="AB688" i="51" s="1"/>
  <c r="X687" i="51"/>
  <c r="AD687" i="51" s="1"/>
  <c r="W687" i="51"/>
  <c r="AC687" i="51" s="1"/>
  <c r="V687" i="51"/>
  <c r="AB687" i="51" s="1"/>
  <c r="X686" i="51"/>
  <c r="AD686" i="51" s="1"/>
  <c r="W686" i="51"/>
  <c r="AC686" i="51" s="1"/>
  <c r="V686" i="51"/>
  <c r="AB686" i="51" s="1"/>
  <c r="X685" i="51"/>
  <c r="AD685" i="51" s="1"/>
  <c r="W685" i="51"/>
  <c r="AC685" i="51" s="1"/>
  <c r="V685" i="51"/>
  <c r="AB685" i="51" s="1"/>
  <c r="X684" i="51"/>
  <c r="AD684" i="51" s="1"/>
  <c r="W684" i="51"/>
  <c r="AC684" i="51" s="1"/>
  <c r="V684" i="51"/>
  <c r="AB684" i="51" s="1"/>
  <c r="X683" i="51"/>
  <c r="AD683" i="51" s="1"/>
  <c r="W683" i="51"/>
  <c r="AC683" i="51" s="1"/>
  <c r="V683" i="51"/>
  <c r="AB683" i="51" s="1"/>
  <c r="X682" i="51"/>
  <c r="AD682" i="51" s="1"/>
  <c r="W682" i="51"/>
  <c r="AC682" i="51" s="1"/>
  <c r="V682" i="51"/>
  <c r="AB682" i="51" s="1"/>
  <c r="X681" i="51"/>
  <c r="AD681" i="51" s="1"/>
  <c r="W681" i="51"/>
  <c r="AC681" i="51" s="1"/>
  <c r="V681" i="51"/>
  <c r="AB681" i="51" s="1"/>
  <c r="X680" i="51"/>
  <c r="AD680" i="51" s="1"/>
  <c r="W680" i="51"/>
  <c r="AC680" i="51" s="1"/>
  <c r="V680" i="51"/>
  <c r="AB680" i="51" s="1"/>
  <c r="X679" i="51"/>
  <c r="AD679" i="51" s="1"/>
  <c r="W679" i="51"/>
  <c r="AC679" i="51" s="1"/>
  <c r="V679" i="51"/>
  <c r="AB679" i="51" s="1"/>
  <c r="X678" i="51"/>
  <c r="AD678" i="51" s="1"/>
  <c r="W678" i="51"/>
  <c r="AC678" i="51" s="1"/>
  <c r="V678" i="51"/>
  <c r="AB678" i="51" s="1"/>
  <c r="X677" i="51"/>
  <c r="AD677" i="51" s="1"/>
  <c r="W677" i="51"/>
  <c r="AC677" i="51" s="1"/>
  <c r="V677" i="51"/>
  <c r="AB677" i="51" s="1"/>
  <c r="X676" i="51"/>
  <c r="AD676" i="51" s="1"/>
  <c r="W676" i="51"/>
  <c r="AC676" i="51" s="1"/>
  <c r="V676" i="51"/>
  <c r="AB676" i="51" s="1"/>
  <c r="X675" i="51"/>
  <c r="AD675" i="51" s="1"/>
  <c r="W675" i="51"/>
  <c r="AC675" i="51" s="1"/>
  <c r="V675" i="51"/>
  <c r="AB675" i="51" s="1"/>
  <c r="X674" i="51"/>
  <c r="AD674" i="51" s="1"/>
  <c r="W674" i="51"/>
  <c r="AC674" i="51" s="1"/>
  <c r="V674" i="51"/>
  <c r="AB674" i="51" s="1"/>
  <c r="X673" i="51"/>
  <c r="AD673" i="51" s="1"/>
  <c r="W673" i="51"/>
  <c r="AC673" i="51" s="1"/>
  <c r="V673" i="51"/>
  <c r="AB673" i="51" s="1"/>
  <c r="X672" i="51"/>
  <c r="AD672" i="51" s="1"/>
  <c r="W672" i="51"/>
  <c r="AC672" i="51" s="1"/>
  <c r="V672" i="51"/>
  <c r="AB672" i="51" s="1"/>
  <c r="X671" i="51"/>
  <c r="AD671" i="51" s="1"/>
  <c r="W671" i="51"/>
  <c r="AC671" i="51" s="1"/>
  <c r="V671" i="51"/>
  <c r="AB671" i="51" s="1"/>
  <c r="X670" i="51"/>
  <c r="AD670" i="51" s="1"/>
  <c r="W670" i="51"/>
  <c r="AC670" i="51" s="1"/>
  <c r="V670" i="51"/>
  <c r="AB670" i="51" s="1"/>
  <c r="X669" i="51"/>
  <c r="AD669" i="51" s="1"/>
  <c r="W669" i="51"/>
  <c r="AC669" i="51" s="1"/>
  <c r="V669" i="51"/>
  <c r="AB669" i="51" s="1"/>
  <c r="X668" i="51"/>
  <c r="AD668" i="51" s="1"/>
  <c r="W668" i="51"/>
  <c r="AC668" i="51" s="1"/>
  <c r="V668" i="51"/>
  <c r="AB668" i="51" s="1"/>
  <c r="X667" i="51"/>
  <c r="AD667" i="51" s="1"/>
  <c r="W667" i="51"/>
  <c r="AC667" i="51" s="1"/>
  <c r="V667" i="51"/>
  <c r="AB667" i="51" s="1"/>
  <c r="X666" i="51"/>
  <c r="AD666" i="51" s="1"/>
  <c r="W666" i="51"/>
  <c r="AC666" i="51" s="1"/>
  <c r="V666" i="51"/>
  <c r="AB666" i="51" s="1"/>
  <c r="X665" i="51"/>
  <c r="AD665" i="51" s="1"/>
  <c r="W665" i="51"/>
  <c r="AC665" i="51" s="1"/>
  <c r="V665" i="51"/>
  <c r="AB665" i="51" s="1"/>
  <c r="X664" i="51"/>
  <c r="AD664" i="51" s="1"/>
  <c r="W664" i="51"/>
  <c r="AC664" i="51" s="1"/>
  <c r="V664" i="51"/>
  <c r="AB664" i="51" s="1"/>
  <c r="X663" i="51"/>
  <c r="AD663" i="51" s="1"/>
  <c r="W663" i="51"/>
  <c r="AC663" i="51" s="1"/>
  <c r="V663" i="51"/>
  <c r="AB663" i="51" s="1"/>
  <c r="X662" i="51"/>
  <c r="AD662" i="51" s="1"/>
  <c r="W662" i="51"/>
  <c r="AC662" i="51" s="1"/>
  <c r="V662" i="51"/>
  <c r="AB662" i="51" s="1"/>
  <c r="X661" i="51"/>
  <c r="AD661" i="51" s="1"/>
  <c r="W661" i="51"/>
  <c r="AC661" i="51" s="1"/>
  <c r="V661" i="51"/>
  <c r="AB661" i="51" s="1"/>
  <c r="X660" i="51"/>
  <c r="AD660" i="51" s="1"/>
  <c r="W660" i="51"/>
  <c r="AC660" i="51" s="1"/>
  <c r="V660" i="51"/>
  <c r="AB660" i="51" s="1"/>
  <c r="X659" i="51"/>
  <c r="AD659" i="51" s="1"/>
  <c r="W659" i="51"/>
  <c r="AC659" i="51" s="1"/>
  <c r="V659" i="51"/>
  <c r="AB659" i="51" s="1"/>
  <c r="X658" i="51"/>
  <c r="AD658" i="51" s="1"/>
  <c r="W658" i="51"/>
  <c r="AC658" i="51" s="1"/>
  <c r="V658" i="51"/>
  <c r="AB658" i="51" s="1"/>
  <c r="X657" i="51"/>
  <c r="AD657" i="51" s="1"/>
  <c r="W657" i="51"/>
  <c r="AC657" i="51" s="1"/>
  <c r="V657" i="51"/>
  <c r="AB657" i="51" s="1"/>
  <c r="X656" i="51"/>
  <c r="AD656" i="51" s="1"/>
  <c r="W656" i="51"/>
  <c r="AC656" i="51" s="1"/>
  <c r="V656" i="51"/>
  <c r="AB656" i="51" s="1"/>
  <c r="X655" i="51"/>
  <c r="AD655" i="51" s="1"/>
  <c r="W655" i="51"/>
  <c r="AC655" i="51" s="1"/>
  <c r="V655" i="51"/>
  <c r="AB655" i="51" s="1"/>
  <c r="X654" i="51"/>
  <c r="AD654" i="51" s="1"/>
  <c r="W654" i="51"/>
  <c r="AC654" i="51" s="1"/>
  <c r="V654" i="51"/>
  <c r="AB654" i="51" s="1"/>
  <c r="X653" i="51"/>
  <c r="AD653" i="51" s="1"/>
  <c r="W653" i="51"/>
  <c r="AC653" i="51" s="1"/>
  <c r="V653" i="51"/>
  <c r="AB653" i="51" s="1"/>
  <c r="X652" i="51"/>
  <c r="AD652" i="51" s="1"/>
  <c r="W652" i="51"/>
  <c r="AC652" i="51" s="1"/>
  <c r="V652" i="51"/>
  <c r="AB652" i="51" s="1"/>
  <c r="X651" i="51"/>
  <c r="AD651" i="51" s="1"/>
  <c r="W651" i="51"/>
  <c r="AC651" i="51" s="1"/>
  <c r="V651" i="51"/>
  <c r="AB651" i="51" s="1"/>
  <c r="X650" i="51"/>
  <c r="AD650" i="51" s="1"/>
  <c r="W650" i="51"/>
  <c r="AC650" i="51" s="1"/>
  <c r="V650" i="51"/>
  <c r="AB650" i="51" s="1"/>
  <c r="X649" i="51"/>
  <c r="AD649" i="51" s="1"/>
  <c r="W649" i="51"/>
  <c r="AC649" i="51" s="1"/>
  <c r="V649" i="51"/>
  <c r="AB649" i="51" s="1"/>
  <c r="X648" i="51"/>
  <c r="AD648" i="51" s="1"/>
  <c r="W648" i="51"/>
  <c r="AC648" i="51" s="1"/>
  <c r="V648" i="51"/>
  <c r="AB648" i="51" s="1"/>
  <c r="X647" i="51"/>
  <c r="AD647" i="51" s="1"/>
  <c r="W647" i="51"/>
  <c r="AC647" i="51" s="1"/>
  <c r="V647" i="51"/>
  <c r="AB647" i="51" s="1"/>
  <c r="X646" i="51"/>
  <c r="AD646" i="51" s="1"/>
  <c r="W646" i="51"/>
  <c r="AC646" i="51" s="1"/>
  <c r="V646" i="51"/>
  <c r="AB646" i="51" s="1"/>
  <c r="X645" i="51"/>
  <c r="AD645" i="51" s="1"/>
  <c r="W645" i="51"/>
  <c r="AC645" i="51" s="1"/>
  <c r="V645" i="51"/>
  <c r="AB645" i="51" s="1"/>
  <c r="X644" i="51"/>
  <c r="AD644" i="51" s="1"/>
  <c r="W644" i="51"/>
  <c r="AC644" i="51" s="1"/>
  <c r="V644" i="51"/>
  <c r="AB644" i="51" s="1"/>
  <c r="X643" i="51"/>
  <c r="AD643" i="51" s="1"/>
  <c r="W643" i="51"/>
  <c r="AC643" i="51" s="1"/>
  <c r="V643" i="51"/>
  <c r="AB643" i="51" s="1"/>
  <c r="X642" i="51"/>
  <c r="AD642" i="51" s="1"/>
  <c r="W642" i="51"/>
  <c r="AC642" i="51" s="1"/>
  <c r="V642" i="51"/>
  <c r="AB642" i="51" s="1"/>
  <c r="X641" i="51"/>
  <c r="AD641" i="51" s="1"/>
  <c r="W641" i="51"/>
  <c r="AC641" i="51" s="1"/>
  <c r="V641" i="51"/>
  <c r="AB641" i="51" s="1"/>
  <c r="X640" i="51"/>
  <c r="AD640" i="51" s="1"/>
  <c r="W640" i="51"/>
  <c r="AC640" i="51" s="1"/>
  <c r="V640" i="51"/>
  <c r="AB640" i="51" s="1"/>
  <c r="X639" i="51"/>
  <c r="AD639" i="51" s="1"/>
  <c r="W639" i="51"/>
  <c r="AC639" i="51" s="1"/>
  <c r="V639" i="51"/>
  <c r="AB639" i="51" s="1"/>
  <c r="X638" i="51"/>
  <c r="AD638" i="51" s="1"/>
  <c r="W638" i="51"/>
  <c r="AC638" i="51" s="1"/>
  <c r="V638" i="51"/>
  <c r="AB638" i="51" s="1"/>
  <c r="X637" i="51"/>
  <c r="AD637" i="51" s="1"/>
  <c r="W637" i="51"/>
  <c r="AC637" i="51" s="1"/>
  <c r="V637" i="51"/>
  <c r="AB637" i="51" s="1"/>
  <c r="X636" i="51"/>
  <c r="AD636" i="51" s="1"/>
  <c r="W636" i="51"/>
  <c r="AC636" i="51" s="1"/>
  <c r="V636" i="51"/>
  <c r="AB636" i="51" s="1"/>
  <c r="X635" i="51"/>
  <c r="AD635" i="51" s="1"/>
  <c r="W635" i="51"/>
  <c r="AC635" i="51" s="1"/>
  <c r="V635" i="51"/>
  <c r="AB635" i="51" s="1"/>
  <c r="X634" i="51"/>
  <c r="AD634" i="51" s="1"/>
  <c r="W634" i="51"/>
  <c r="AC634" i="51" s="1"/>
  <c r="V634" i="51"/>
  <c r="AB634" i="51" s="1"/>
  <c r="X633" i="51"/>
  <c r="AD633" i="51" s="1"/>
  <c r="W633" i="51"/>
  <c r="AC633" i="51" s="1"/>
  <c r="V633" i="51"/>
  <c r="AB633" i="51" s="1"/>
  <c r="X632" i="51"/>
  <c r="AD632" i="51" s="1"/>
  <c r="W632" i="51"/>
  <c r="AC632" i="51" s="1"/>
  <c r="V632" i="51"/>
  <c r="AB632" i="51" s="1"/>
  <c r="X631" i="51"/>
  <c r="AD631" i="51" s="1"/>
  <c r="W631" i="51"/>
  <c r="AC631" i="51" s="1"/>
  <c r="V631" i="51"/>
  <c r="AB631" i="51" s="1"/>
  <c r="X630" i="51"/>
  <c r="AD630" i="51" s="1"/>
  <c r="W630" i="51"/>
  <c r="AC630" i="51" s="1"/>
  <c r="V630" i="51"/>
  <c r="AB630" i="51" s="1"/>
  <c r="X629" i="51"/>
  <c r="AD629" i="51" s="1"/>
  <c r="W629" i="51"/>
  <c r="AC629" i="51" s="1"/>
  <c r="V629" i="51"/>
  <c r="AB629" i="51" s="1"/>
  <c r="X628" i="51"/>
  <c r="AD628" i="51" s="1"/>
  <c r="W628" i="51"/>
  <c r="AC628" i="51" s="1"/>
  <c r="V628" i="51"/>
  <c r="AB628" i="51" s="1"/>
  <c r="X627" i="51"/>
  <c r="AD627" i="51" s="1"/>
  <c r="W627" i="51"/>
  <c r="AC627" i="51" s="1"/>
  <c r="V627" i="51"/>
  <c r="AB627" i="51" s="1"/>
  <c r="X626" i="51"/>
  <c r="AD626" i="51" s="1"/>
  <c r="W626" i="51"/>
  <c r="AC626" i="51" s="1"/>
  <c r="V626" i="51"/>
  <c r="AB626" i="51" s="1"/>
  <c r="X625" i="51"/>
  <c r="AD625" i="51" s="1"/>
  <c r="W625" i="51"/>
  <c r="AC625" i="51" s="1"/>
  <c r="V625" i="51"/>
  <c r="AB625" i="51" s="1"/>
  <c r="X624" i="51"/>
  <c r="AD624" i="51" s="1"/>
  <c r="W624" i="51"/>
  <c r="AC624" i="51" s="1"/>
  <c r="V624" i="51"/>
  <c r="AB624" i="51" s="1"/>
  <c r="X623" i="51"/>
  <c r="AD623" i="51" s="1"/>
  <c r="W623" i="51"/>
  <c r="AC623" i="51" s="1"/>
  <c r="V623" i="51"/>
  <c r="AB623" i="51" s="1"/>
  <c r="X622" i="51"/>
  <c r="AD622" i="51" s="1"/>
  <c r="W622" i="51"/>
  <c r="AC622" i="51" s="1"/>
  <c r="V622" i="51"/>
  <c r="AB622" i="51" s="1"/>
  <c r="X621" i="51"/>
  <c r="AD621" i="51" s="1"/>
  <c r="W621" i="51"/>
  <c r="AC621" i="51" s="1"/>
  <c r="V621" i="51"/>
  <c r="AB621" i="51" s="1"/>
  <c r="X620" i="51"/>
  <c r="AD620" i="51" s="1"/>
  <c r="W620" i="51"/>
  <c r="AC620" i="51" s="1"/>
  <c r="V620" i="51"/>
  <c r="AB620" i="51" s="1"/>
  <c r="X619" i="51"/>
  <c r="AD619" i="51" s="1"/>
  <c r="W619" i="51"/>
  <c r="AC619" i="51" s="1"/>
  <c r="V619" i="51"/>
  <c r="AB619" i="51" s="1"/>
  <c r="X618" i="51"/>
  <c r="AD618" i="51" s="1"/>
  <c r="W618" i="51"/>
  <c r="AC618" i="51" s="1"/>
  <c r="V618" i="51"/>
  <c r="AB618" i="51" s="1"/>
  <c r="X617" i="51"/>
  <c r="AD617" i="51" s="1"/>
  <c r="W617" i="51"/>
  <c r="AC617" i="51" s="1"/>
  <c r="V617" i="51"/>
  <c r="AB617" i="51" s="1"/>
  <c r="X616" i="51"/>
  <c r="AD616" i="51" s="1"/>
  <c r="W616" i="51"/>
  <c r="AC616" i="51" s="1"/>
  <c r="V616" i="51"/>
  <c r="AB616" i="51" s="1"/>
  <c r="X615" i="51"/>
  <c r="AD615" i="51" s="1"/>
  <c r="W615" i="51"/>
  <c r="AC615" i="51" s="1"/>
  <c r="V615" i="51"/>
  <c r="AB615" i="51" s="1"/>
  <c r="X614" i="51"/>
  <c r="AD614" i="51" s="1"/>
  <c r="W614" i="51"/>
  <c r="AC614" i="51" s="1"/>
  <c r="V614" i="51"/>
  <c r="AB614" i="51" s="1"/>
  <c r="X613" i="51"/>
  <c r="AD613" i="51" s="1"/>
  <c r="W613" i="51"/>
  <c r="AC613" i="51" s="1"/>
  <c r="V613" i="51"/>
  <c r="AB613" i="51" s="1"/>
  <c r="X612" i="51"/>
  <c r="AD612" i="51" s="1"/>
  <c r="W612" i="51"/>
  <c r="AC612" i="51" s="1"/>
  <c r="V612" i="51"/>
  <c r="AB612" i="51" s="1"/>
  <c r="X611" i="51"/>
  <c r="AD611" i="51" s="1"/>
  <c r="W611" i="51"/>
  <c r="AC611" i="51" s="1"/>
  <c r="V611" i="51"/>
  <c r="AB611" i="51" s="1"/>
  <c r="X610" i="51"/>
  <c r="AD610" i="51" s="1"/>
  <c r="W610" i="51"/>
  <c r="AC610" i="51" s="1"/>
  <c r="V610" i="51"/>
  <c r="AB610" i="51" s="1"/>
  <c r="X609" i="51"/>
  <c r="AD609" i="51" s="1"/>
  <c r="W609" i="51"/>
  <c r="AC609" i="51" s="1"/>
  <c r="V609" i="51"/>
  <c r="AB609" i="51" s="1"/>
  <c r="X608" i="51"/>
  <c r="AD608" i="51" s="1"/>
  <c r="W608" i="51"/>
  <c r="AC608" i="51" s="1"/>
  <c r="V608" i="51"/>
  <c r="AB608" i="51" s="1"/>
  <c r="X607" i="51"/>
  <c r="AD607" i="51" s="1"/>
  <c r="W607" i="51"/>
  <c r="AC607" i="51" s="1"/>
  <c r="V607" i="51"/>
  <c r="AB607" i="51" s="1"/>
  <c r="X606" i="51"/>
  <c r="AD606" i="51" s="1"/>
  <c r="W606" i="51"/>
  <c r="AC606" i="51" s="1"/>
  <c r="V606" i="51"/>
  <c r="AB606" i="51" s="1"/>
  <c r="X605" i="51"/>
  <c r="AD605" i="51" s="1"/>
  <c r="W605" i="51"/>
  <c r="AC605" i="51" s="1"/>
  <c r="V605" i="51"/>
  <c r="AB605" i="51" s="1"/>
  <c r="X604" i="51"/>
  <c r="AD604" i="51" s="1"/>
  <c r="W604" i="51"/>
  <c r="AC604" i="51" s="1"/>
  <c r="V604" i="51"/>
  <c r="AB604" i="51" s="1"/>
  <c r="X603" i="51"/>
  <c r="AD603" i="51" s="1"/>
  <c r="W603" i="51"/>
  <c r="AC603" i="51" s="1"/>
  <c r="V603" i="51"/>
  <c r="AB603" i="51" s="1"/>
  <c r="X602" i="51"/>
  <c r="AD602" i="51" s="1"/>
  <c r="W602" i="51"/>
  <c r="AC602" i="51" s="1"/>
  <c r="V602" i="51"/>
  <c r="AB602" i="51" s="1"/>
  <c r="X601" i="51"/>
  <c r="AD601" i="51" s="1"/>
  <c r="W601" i="51"/>
  <c r="AC601" i="51" s="1"/>
  <c r="V601" i="51"/>
  <c r="AB601" i="51" s="1"/>
  <c r="X600" i="51"/>
  <c r="AD600" i="51" s="1"/>
  <c r="W600" i="51"/>
  <c r="AC600" i="51" s="1"/>
  <c r="V600" i="51"/>
  <c r="AB600" i="51" s="1"/>
  <c r="X599" i="51"/>
  <c r="AD599" i="51" s="1"/>
  <c r="W599" i="51"/>
  <c r="AC599" i="51" s="1"/>
  <c r="V599" i="51"/>
  <c r="AB599" i="51" s="1"/>
  <c r="X598" i="51"/>
  <c r="AD598" i="51" s="1"/>
  <c r="W598" i="51"/>
  <c r="AC598" i="51" s="1"/>
  <c r="V598" i="51"/>
  <c r="AB598" i="51" s="1"/>
  <c r="X597" i="51"/>
  <c r="AD597" i="51" s="1"/>
  <c r="W597" i="51"/>
  <c r="AC597" i="51" s="1"/>
  <c r="V597" i="51"/>
  <c r="AB597" i="51" s="1"/>
  <c r="X596" i="51"/>
  <c r="AD596" i="51" s="1"/>
  <c r="W596" i="51"/>
  <c r="AC596" i="51" s="1"/>
  <c r="V596" i="51"/>
  <c r="AB596" i="51" s="1"/>
  <c r="X595" i="51"/>
  <c r="AD595" i="51" s="1"/>
  <c r="W595" i="51"/>
  <c r="AC595" i="51" s="1"/>
  <c r="V595" i="51"/>
  <c r="AB595" i="51" s="1"/>
  <c r="X594" i="51"/>
  <c r="AD594" i="51" s="1"/>
  <c r="W594" i="51"/>
  <c r="AC594" i="51" s="1"/>
  <c r="V594" i="51"/>
  <c r="AB594" i="51" s="1"/>
  <c r="X593" i="51"/>
  <c r="AD593" i="51" s="1"/>
  <c r="W593" i="51"/>
  <c r="AC593" i="51" s="1"/>
  <c r="V593" i="51"/>
  <c r="AB593" i="51" s="1"/>
  <c r="X592" i="51"/>
  <c r="AD592" i="51" s="1"/>
  <c r="W592" i="51"/>
  <c r="AC592" i="51" s="1"/>
  <c r="V592" i="51"/>
  <c r="AB592" i="51" s="1"/>
  <c r="X591" i="51"/>
  <c r="AD591" i="51" s="1"/>
  <c r="W591" i="51"/>
  <c r="AC591" i="51" s="1"/>
  <c r="V591" i="51"/>
  <c r="AB591" i="51" s="1"/>
  <c r="X590" i="51"/>
  <c r="AD590" i="51" s="1"/>
  <c r="W590" i="51"/>
  <c r="AC590" i="51" s="1"/>
  <c r="V590" i="51"/>
  <c r="AB590" i="51" s="1"/>
  <c r="X589" i="51"/>
  <c r="AD589" i="51" s="1"/>
  <c r="W589" i="51"/>
  <c r="AC589" i="51" s="1"/>
  <c r="V589" i="51"/>
  <c r="AB589" i="51" s="1"/>
  <c r="X588" i="51"/>
  <c r="AD588" i="51" s="1"/>
  <c r="W588" i="51"/>
  <c r="AC588" i="51" s="1"/>
  <c r="V588" i="51"/>
  <c r="AB588" i="51" s="1"/>
  <c r="X587" i="51"/>
  <c r="AD587" i="51" s="1"/>
  <c r="W587" i="51"/>
  <c r="AC587" i="51" s="1"/>
  <c r="V587" i="51"/>
  <c r="AB587" i="51" s="1"/>
  <c r="X586" i="51"/>
  <c r="AD586" i="51" s="1"/>
  <c r="W586" i="51"/>
  <c r="AC586" i="51" s="1"/>
  <c r="V586" i="51"/>
  <c r="AB586" i="51" s="1"/>
  <c r="X585" i="51"/>
  <c r="AD585" i="51" s="1"/>
  <c r="W585" i="51"/>
  <c r="AC585" i="51" s="1"/>
  <c r="V585" i="51"/>
  <c r="AB585" i="51" s="1"/>
  <c r="X584" i="51"/>
  <c r="AD584" i="51" s="1"/>
  <c r="W584" i="51"/>
  <c r="AC584" i="51" s="1"/>
  <c r="V584" i="51"/>
  <c r="AB584" i="51" s="1"/>
  <c r="X583" i="51"/>
  <c r="AD583" i="51" s="1"/>
  <c r="W583" i="51"/>
  <c r="AC583" i="51" s="1"/>
  <c r="V583" i="51"/>
  <c r="AB583" i="51" s="1"/>
  <c r="X582" i="51"/>
  <c r="AD582" i="51" s="1"/>
  <c r="W582" i="51"/>
  <c r="AC582" i="51" s="1"/>
  <c r="V582" i="51"/>
  <c r="AB582" i="51" s="1"/>
  <c r="X581" i="51"/>
  <c r="AD581" i="51" s="1"/>
  <c r="W581" i="51"/>
  <c r="AC581" i="51" s="1"/>
  <c r="V581" i="51"/>
  <c r="AB581" i="51" s="1"/>
  <c r="X580" i="51"/>
  <c r="AD580" i="51" s="1"/>
  <c r="W580" i="51"/>
  <c r="AC580" i="51" s="1"/>
  <c r="V580" i="51"/>
  <c r="AB580" i="51" s="1"/>
  <c r="X579" i="51"/>
  <c r="AD579" i="51" s="1"/>
  <c r="W579" i="51"/>
  <c r="AC579" i="51" s="1"/>
  <c r="V579" i="51"/>
  <c r="AB579" i="51" s="1"/>
  <c r="X578" i="51"/>
  <c r="AD578" i="51" s="1"/>
  <c r="W578" i="51"/>
  <c r="AC578" i="51" s="1"/>
  <c r="V578" i="51"/>
  <c r="AB578" i="51" s="1"/>
  <c r="X577" i="51"/>
  <c r="AD577" i="51" s="1"/>
  <c r="W577" i="51"/>
  <c r="AC577" i="51" s="1"/>
  <c r="V577" i="51"/>
  <c r="AB577" i="51" s="1"/>
  <c r="X576" i="51"/>
  <c r="AD576" i="51" s="1"/>
  <c r="W576" i="51"/>
  <c r="AC576" i="51" s="1"/>
  <c r="V576" i="51"/>
  <c r="AB576" i="51" s="1"/>
  <c r="X575" i="51"/>
  <c r="AD575" i="51" s="1"/>
  <c r="W575" i="51"/>
  <c r="AC575" i="51" s="1"/>
  <c r="V575" i="51"/>
  <c r="AB575" i="51" s="1"/>
  <c r="X574" i="51"/>
  <c r="AD574" i="51" s="1"/>
  <c r="W574" i="51"/>
  <c r="AC574" i="51" s="1"/>
  <c r="V574" i="51"/>
  <c r="AB574" i="51" s="1"/>
  <c r="X573" i="51"/>
  <c r="AD573" i="51" s="1"/>
  <c r="W573" i="51"/>
  <c r="AC573" i="51" s="1"/>
  <c r="V573" i="51"/>
  <c r="AB573" i="51" s="1"/>
  <c r="X572" i="51"/>
  <c r="AD572" i="51" s="1"/>
  <c r="W572" i="51"/>
  <c r="AC572" i="51" s="1"/>
  <c r="V572" i="51"/>
  <c r="AB572" i="51" s="1"/>
  <c r="X547" i="51"/>
  <c r="AD547" i="51" s="1"/>
  <c r="W547" i="51"/>
  <c r="AC547" i="51" s="1"/>
  <c r="V547" i="51"/>
  <c r="AB547" i="51" s="1"/>
  <c r="X546" i="51"/>
  <c r="AD546" i="51" s="1"/>
  <c r="W546" i="51"/>
  <c r="AC546" i="51" s="1"/>
  <c r="V546" i="51"/>
  <c r="AB546" i="51" s="1"/>
  <c r="X545" i="51"/>
  <c r="AD545" i="51" s="1"/>
  <c r="W545" i="51"/>
  <c r="AC545" i="51" s="1"/>
  <c r="V545" i="51"/>
  <c r="AB545" i="51" s="1"/>
  <c r="X544" i="51"/>
  <c r="AD544" i="51" s="1"/>
  <c r="W544" i="51"/>
  <c r="AC544" i="51" s="1"/>
  <c r="V544" i="51"/>
  <c r="AB544" i="51" s="1"/>
  <c r="X543" i="51"/>
  <c r="AD543" i="51" s="1"/>
  <c r="W543" i="51"/>
  <c r="AC543" i="51" s="1"/>
  <c r="V543" i="51"/>
  <c r="AB543" i="51" s="1"/>
  <c r="X542" i="51"/>
  <c r="AD542" i="51" s="1"/>
  <c r="W542" i="51"/>
  <c r="AC542" i="51" s="1"/>
  <c r="V542" i="51"/>
  <c r="AB542" i="51" s="1"/>
  <c r="X541" i="51"/>
  <c r="AD541" i="51" s="1"/>
  <c r="W541" i="51"/>
  <c r="AC541" i="51" s="1"/>
  <c r="V541" i="51"/>
  <c r="AB541" i="51" s="1"/>
  <c r="X540" i="51"/>
  <c r="AD540" i="51" s="1"/>
  <c r="W540" i="51"/>
  <c r="AC540" i="51" s="1"/>
  <c r="V540" i="51"/>
  <c r="AB540" i="51" s="1"/>
  <c r="X539" i="51"/>
  <c r="AD539" i="51" s="1"/>
  <c r="W539" i="51"/>
  <c r="AC539" i="51" s="1"/>
  <c r="V539" i="51"/>
  <c r="AB539" i="51" s="1"/>
  <c r="X538" i="51"/>
  <c r="AD538" i="51" s="1"/>
  <c r="W538" i="51"/>
  <c r="AC538" i="51" s="1"/>
  <c r="V538" i="51"/>
  <c r="AB538" i="51" s="1"/>
  <c r="X537" i="51"/>
  <c r="AD537" i="51" s="1"/>
  <c r="W537" i="51"/>
  <c r="AC537" i="51" s="1"/>
  <c r="V537" i="51"/>
  <c r="AB537" i="51" s="1"/>
  <c r="X536" i="51"/>
  <c r="AD536" i="51" s="1"/>
  <c r="W536" i="51"/>
  <c r="AC536" i="51" s="1"/>
  <c r="V536" i="51"/>
  <c r="AB536" i="51" s="1"/>
  <c r="X535" i="51"/>
  <c r="AD535" i="51" s="1"/>
  <c r="W535" i="51"/>
  <c r="AC535" i="51" s="1"/>
  <c r="V535" i="51"/>
  <c r="AB535" i="51" s="1"/>
  <c r="X534" i="51"/>
  <c r="AD534" i="51" s="1"/>
  <c r="W534" i="51"/>
  <c r="AC534" i="51" s="1"/>
  <c r="V534" i="51"/>
  <c r="AB534" i="51" s="1"/>
  <c r="X533" i="51"/>
  <c r="AD533" i="51" s="1"/>
  <c r="W533" i="51"/>
  <c r="AC533" i="51" s="1"/>
  <c r="V533" i="51"/>
  <c r="AB533" i="51" s="1"/>
  <c r="X532" i="51"/>
  <c r="AD532" i="51" s="1"/>
  <c r="W532" i="51"/>
  <c r="AC532" i="51" s="1"/>
  <c r="V532" i="51"/>
  <c r="AB532" i="51" s="1"/>
  <c r="X531" i="51"/>
  <c r="AD531" i="51" s="1"/>
  <c r="W531" i="51"/>
  <c r="AC531" i="51" s="1"/>
  <c r="V531" i="51"/>
  <c r="AB531" i="51" s="1"/>
  <c r="X530" i="51"/>
  <c r="AD530" i="51" s="1"/>
  <c r="W530" i="51"/>
  <c r="AC530" i="51" s="1"/>
  <c r="V530" i="51"/>
  <c r="AB530" i="51" s="1"/>
  <c r="X529" i="51"/>
  <c r="AD529" i="51" s="1"/>
  <c r="W529" i="51"/>
  <c r="AC529" i="51" s="1"/>
  <c r="V529" i="51"/>
  <c r="AB529" i="51" s="1"/>
  <c r="X528" i="51"/>
  <c r="AD528" i="51" s="1"/>
  <c r="W528" i="51"/>
  <c r="AC528" i="51" s="1"/>
  <c r="V528" i="51"/>
  <c r="AB528" i="51" s="1"/>
  <c r="X527" i="51"/>
  <c r="AD527" i="51" s="1"/>
  <c r="W527" i="51"/>
  <c r="AC527" i="51" s="1"/>
  <c r="V527" i="51"/>
  <c r="AB527" i="51" s="1"/>
  <c r="X526" i="51"/>
  <c r="AD526" i="51" s="1"/>
  <c r="W526" i="51"/>
  <c r="AC526" i="51" s="1"/>
  <c r="V526" i="51"/>
  <c r="AB526" i="51" s="1"/>
  <c r="X525" i="51"/>
  <c r="AD525" i="51" s="1"/>
  <c r="W525" i="51"/>
  <c r="AC525" i="51" s="1"/>
  <c r="V525" i="51"/>
  <c r="AB525" i="51" s="1"/>
  <c r="X524" i="51"/>
  <c r="AD524" i="51" s="1"/>
  <c r="W524" i="51"/>
  <c r="AC524" i="51" s="1"/>
  <c r="V524" i="51"/>
  <c r="AB524" i="51" s="1"/>
  <c r="X523" i="51"/>
  <c r="AD523" i="51" s="1"/>
  <c r="W523" i="51"/>
  <c r="AC523" i="51" s="1"/>
  <c r="V523" i="51"/>
  <c r="AB523" i="51" s="1"/>
  <c r="X522" i="51"/>
  <c r="AD522" i="51" s="1"/>
  <c r="W522" i="51"/>
  <c r="AC522" i="51" s="1"/>
  <c r="V522" i="51"/>
  <c r="AB522" i="51" s="1"/>
  <c r="X521" i="51"/>
  <c r="AD521" i="51" s="1"/>
  <c r="W521" i="51"/>
  <c r="AC521" i="51" s="1"/>
  <c r="V521" i="51"/>
  <c r="AB521" i="51" s="1"/>
  <c r="X520" i="51"/>
  <c r="AD520" i="51" s="1"/>
  <c r="W520" i="51"/>
  <c r="AC520" i="51" s="1"/>
  <c r="V520" i="51"/>
  <c r="AB520" i="51" s="1"/>
  <c r="X519" i="51"/>
  <c r="AD519" i="51" s="1"/>
  <c r="W519" i="51"/>
  <c r="AC519" i="51" s="1"/>
  <c r="V519" i="51"/>
  <c r="AB519" i="51" s="1"/>
  <c r="X518" i="51"/>
  <c r="AD518" i="51" s="1"/>
  <c r="W518" i="51"/>
  <c r="AC518" i="51" s="1"/>
  <c r="V518" i="51"/>
  <c r="AB518" i="51" s="1"/>
  <c r="X517" i="51"/>
  <c r="AD517" i="51" s="1"/>
  <c r="W517" i="51"/>
  <c r="AC517" i="51" s="1"/>
  <c r="V517" i="51"/>
  <c r="AB517" i="51" s="1"/>
  <c r="X516" i="51"/>
  <c r="AD516" i="51" s="1"/>
  <c r="W516" i="51"/>
  <c r="AC516" i="51" s="1"/>
  <c r="V516" i="51"/>
  <c r="AB516" i="51" s="1"/>
  <c r="X515" i="51"/>
  <c r="AD515" i="51" s="1"/>
  <c r="W515" i="51"/>
  <c r="AC515" i="51" s="1"/>
  <c r="V515" i="51"/>
  <c r="AB515" i="51" s="1"/>
  <c r="X514" i="51"/>
  <c r="AD514" i="51" s="1"/>
  <c r="W514" i="51"/>
  <c r="AC514" i="51" s="1"/>
  <c r="V514" i="51"/>
  <c r="AB514" i="51" s="1"/>
  <c r="X513" i="51"/>
  <c r="AD513" i="51" s="1"/>
  <c r="W513" i="51"/>
  <c r="AC513" i="51" s="1"/>
  <c r="V513" i="51"/>
  <c r="AB513" i="51" s="1"/>
  <c r="X512" i="51"/>
  <c r="AD512" i="51" s="1"/>
  <c r="W512" i="51"/>
  <c r="AC512" i="51" s="1"/>
  <c r="V512" i="51"/>
  <c r="AB512" i="51" s="1"/>
  <c r="X511" i="51"/>
  <c r="AD511" i="51" s="1"/>
  <c r="W511" i="51"/>
  <c r="AC511" i="51" s="1"/>
  <c r="V511" i="51"/>
  <c r="AB511" i="51" s="1"/>
  <c r="X510" i="51"/>
  <c r="AD510" i="51" s="1"/>
  <c r="W510" i="51"/>
  <c r="AC510" i="51" s="1"/>
  <c r="V510" i="51"/>
  <c r="AB510" i="51" s="1"/>
  <c r="X509" i="51"/>
  <c r="AD509" i="51" s="1"/>
  <c r="W509" i="51"/>
  <c r="AC509" i="51" s="1"/>
  <c r="V509" i="51"/>
  <c r="AB509" i="51" s="1"/>
  <c r="X508" i="51"/>
  <c r="AD508" i="51" s="1"/>
  <c r="W508" i="51"/>
  <c r="AC508" i="51" s="1"/>
  <c r="V508" i="51"/>
  <c r="AB508" i="51" s="1"/>
  <c r="X507" i="51"/>
  <c r="AD507" i="51" s="1"/>
  <c r="W507" i="51"/>
  <c r="AC507" i="51" s="1"/>
  <c r="V507" i="51"/>
  <c r="AB507" i="51" s="1"/>
  <c r="X506" i="51"/>
  <c r="AD506" i="51" s="1"/>
  <c r="W506" i="51"/>
  <c r="AC506" i="51" s="1"/>
  <c r="V506" i="51"/>
  <c r="AB506" i="51" s="1"/>
  <c r="X505" i="51"/>
  <c r="AD505" i="51" s="1"/>
  <c r="W505" i="51"/>
  <c r="AC505" i="51" s="1"/>
  <c r="V505" i="51"/>
  <c r="AB505" i="51" s="1"/>
  <c r="X504" i="51"/>
  <c r="AD504" i="51" s="1"/>
  <c r="W504" i="51"/>
  <c r="AC504" i="51" s="1"/>
  <c r="V504" i="51"/>
  <c r="AB504" i="51" s="1"/>
  <c r="X503" i="51"/>
  <c r="AD503" i="51" s="1"/>
  <c r="W503" i="51"/>
  <c r="AC503" i="51" s="1"/>
  <c r="V503" i="51"/>
  <c r="AB503" i="51" s="1"/>
  <c r="X502" i="51"/>
  <c r="AD502" i="51" s="1"/>
  <c r="W502" i="51"/>
  <c r="AC502" i="51" s="1"/>
  <c r="V502" i="51"/>
  <c r="AB502" i="51" s="1"/>
  <c r="X501" i="51"/>
  <c r="AD501" i="51" s="1"/>
  <c r="W501" i="51"/>
  <c r="AC501" i="51" s="1"/>
  <c r="V501" i="51"/>
  <c r="AB501" i="51" s="1"/>
  <c r="X500" i="51"/>
  <c r="AD500" i="51" s="1"/>
  <c r="W500" i="51"/>
  <c r="AC500" i="51" s="1"/>
  <c r="V500" i="51"/>
  <c r="AB500" i="51" s="1"/>
  <c r="X499" i="51"/>
  <c r="AD499" i="51" s="1"/>
  <c r="W499" i="51"/>
  <c r="AC499" i="51" s="1"/>
  <c r="V499" i="51"/>
  <c r="AB499" i="51" s="1"/>
  <c r="X498" i="51"/>
  <c r="AD498" i="51" s="1"/>
  <c r="W498" i="51"/>
  <c r="AC498" i="51" s="1"/>
  <c r="V498" i="51"/>
  <c r="AB498" i="51" s="1"/>
  <c r="X497" i="51"/>
  <c r="AD497" i="51" s="1"/>
  <c r="W497" i="51"/>
  <c r="AC497" i="51" s="1"/>
  <c r="V497" i="51"/>
  <c r="AB497" i="51" s="1"/>
  <c r="X496" i="51"/>
  <c r="AD496" i="51" s="1"/>
  <c r="W496" i="51"/>
  <c r="AC496" i="51" s="1"/>
  <c r="V496" i="51"/>
  <c r="AB496" i="51" s="1"/>
  <c r="X495" i="51"/>
  <c r="AD495" i="51" s="1"/>
  <c r="W495" i="51"/>
  <c r="AC495" i="51" s="1"/>
  <c r="V495" i="51"/>
  <c r="AB495" i="51" s="1"/>
  <c r="X494" i="51"/>
  <c r="AD494" i="51" s="1"/>
  <c r="W494" i="51"/>
  <c r="AC494" i="51" s="1"/>
  <c r="V494" i="51"/>
  <c r="AB494" i="51" s="1"/>
  <c r="X493" i="51"/>
  <c r="AD493" i="51" s="1"/>
  <c r="W493" i="51"/>
  <c r="AC493" i="51" s="1"/>
  <c r="V493" i="51"/>
  <c r="AB493" i="51" s="1"/>
  <c r="X492" i="51"/>
  <c r="AD492" i="51" s="1"/>
  <c r="W492" i="51"/>
  <c r="AC492" i="51" s="1"/>
  <c r="V492" i="51"/>
  <c r="AB492" i="51" s="1"/>
  <c r="X491" i="51"/>
  <c r="AD491" i="51" s="1"/>
  <c r="W491" i="51"/>
  <c r="AC491" i="51" s="1"/>
  <c r="V491" i="51"/>
  <c r="AB491" i="51" s="1"/>
  <c r="X490" i="51"/>
  <c r="AD490" i="51" s="1"/>
  <c r="W490" i="51"/>
  <c r="AC490" i="51" s="1"/>
  <c r="V490" i="51"/>
  <c r="AB490" i="51" s="1"/>
  <c r="X489" i="51"/>
  <c r="AD489" i="51" s="1"/>
  <c r="W489" i="51"/>
  <c r="AC489" i="51" s="1"/>
  <c r="V489" i="51"/>
  <c r="AB489" i="51" s="1"/>
  <c r="X488" i="51"/>
  <c r="AD488" i="51" s="1"/>
  <c r="W488" i="51"/>
  <c r="AC488" i="51" s="1"/>
  <c r="V488" i="51"/>
  <c r="AB488" i="51" s="1"/>
  <c r="X487" i="51"/>
  <c r="AD487" i="51" s="1"/>
  <c r="W487" i="51"/>
  <c r="AC487" i="51" s="1"/>
  <c r="V487" i="51"/>
  <c r="AB487" i="51" s="1"/>
  <c r="X486" i="51"/>
  <c r="AD486" i="51" s="1"/>
  <c r="W486" i="51"/>
  <c r="AC486" i="51" s="1"/>
  <c r="V486" i="51"/>
  <c r="AB486" i="51" s="1"/>
  <c r="X485" i="51"/>
  <c r="AD485" i="51" s="1"/>
  <c r="W485" i="51"/>
  <c r="AC485" i="51" s="1"/>
  <c r="V485" i="51"/>
  <c r="AB485" i="51" s="1"/>
  <c r="X484" i="51"/>
  <c r="AD484" i="51" s="1"/>
  <c r="W484" i="51"/>
  <c r="AC484" i="51" s="1"/>
  <c r="V484" i="51"/>
  <c r="AB484" i="51" s="1"/>
  <c r="X483" i="51"/>
  <c r="AD483" i="51" s="1"/>
  <c r="W483" i="51"/>
  <c r="AC483" i="51" s="1"/>
  <c r="V483" i="51"/>
  <c r="AB483" i="51" s="1"/>
  <c r="X482" i="51"/>
  <c r="AD482" i="51" s="1"/>
  <c r="W482" i="51"/>
  <c r="AC482" i="51" s="1"/>
  <c r="V482" i="51"/>
  <c r="AB482" i="51" s="1"/>
  <c r="X481" i="51"/>
  <c r="AD481" i="51" s="1"/>
  <c r="W481" i="51"/>
  <c r="AC481" i="51" s="1"/>
  <c r="V481" i="51"/>
  <c r="AB481" i="51" s="1"/>
  <c r="X480" i="51"/>
  <c r="AD480" i="51" s="1"/>
  <c r="W480" i="51"/>
  <c r="AC480" i="51" s="1"/>
  <c r="V480" i="51"/>
  <c r="AB480" i="51" s="1"/>
  <c r="X479" i="51"/>
  <c r="AD479" i="51" s="1"/>
  <c r="W479" i="51"/>
  <c r="AC479" i="51" s="1"/>
  <c r="V479" i="51"/>
  <c r="AB479" i="51" s="1"/>
  <c r="X478" i="51"/>
  <c r="AD478" i="51" s="1"/>
  <c r="W478" i="51"/>
  <c r="AC478" i="51" s="1"/>
  <c r="V478" i="51"/>
  <c r="AB478" i="51" s="1"/>
  <c r="X477" i="51"/>
  <c r="AD477" i="51" s="1"/>
  <c r="W477" i="51"/>
  <c r="AC477" i="51" s="1"/>
  <c r="V477" i="51"/>
  <c r="AB477" i="51" s="1"/>
  <c r="X476" i="51"/>
  <c r="AD476" i="51" s="1"/>
  <c r="W476" i="51"/>
  <c r="AC476" i="51" s="1"/>
  <c r="V476" i="51"/>
  <c r="AB476" i="51" s="1"/>
  <c r="X475" i="51"/>
  <c r="AD475" i="51" s="1"/>
  <c r="W475" i="51"/>
  <c r="AC475" i="51" s="1"/>
  <c r="V475" i="51"/>
  <c r="AB475" i="51" s="1"/>
  <c r="X474" i="51"/>
  <c r="AD474" i="51" s="1"/>
  <c r="W474" i="51"/>
  <c r="AC474" i="51" s="1"/>
  <c r="V474" i="51"/>
  <c r="AB474" i="51" s="1"/>
  <c r="X473" i="51"/>
  <c r="AD473" i="51" s="1"/>
  <c r="W473" i="51"/>
  <c r="AC473" i="51" s="1"/>
  <c r="V473" i="51"/>
  <c r="AB473" i="51" s="1"/>
  <c r="X472" i="51"/>
  <c r="AD472" i="51" s="1"/>
  <c r="W472" i="51"/>
  <c r="AC472" i="51" s="1"/>
  <c r="V472" i="51"/>
  <c r="AB472" i="51" s="1"/>
  <c r="X471" i="51"/>
  <c r="AD471" i="51" s="1"/>
  <c r="W471" i="51"/>
  <c r="AC471" i="51" s="1"/>
  <c r="V471" i="51"/>
  <c r="AB471" i="51" s="1"/>
  <c r="X470" i="51"/>
  <c r="AD470" i="51" s="1"/>
  <c r="W470" i="51"/>
  <c r="AC470" i="51" s="1"/>
  <c r="V470" i="51"/>
  <c r="AB470" i="51" s="1"/>
  <c r="X469" i="51"/>
  <c r="AD469" i="51" s="1"/>
  <c r="W469" i="51"/>
  <c r="AC469" i="51" s="1"/>
  <c r="V469" i="51"/>
  <c r="AB469" i="51" s="1"/>
  <c r="X468" i="51"/>
  <c r="AD468" i="51" s="1"/>
  <c r="W468" i="51"/>
  <c r="AC468" i="51" s="1"/>
  <c r="V468" i="51"/>
  <c r="AB468" i="51" s="1"/>
  <c r="X467" i="51"/>
  <c r="AD467" i="51" s="1"/>
  <c r="W467" i="51"/>
  <c r="AC467" i="51" s="1"/>
  <c r="V467" i="51"/>
  <c r="AB467" i="51" s="1"/>
  <c r="X466" i="51"/>
  <c r="AD466" i="51" s="1"/>
  <c r="W466" i="51"/>
  <c r="AC466" i="51" s="1"/>
  <c r="V466" i="51"/>
  <c r="AB466" i="51" s="1"/>
  <c r="X465" i="51"/>
  <c r="AD465" i="51" s="1"/>
  <c r="W465" i="51"/>
  <c r="AC465" i="51" s="1"/>
  <c r="V465" i="51"/>
  <c r="AB465" i="51" s="1"/>
  <c r="X464" i="51"/>
  <c r="AD464" i="51" s="1"/>
  <c r="W464" i="51"/>
  <c r="AC464" i="51" s="1"/>
  <c r="V464" i="51"/>
  <c r="AB464" i="51" s="1"/>
  <c r="X463" i="51"/>
  <c r="AD463" i="51" s="1"/>
  <c r="W463" i="51"/>
  <c r="AC463" i="51" s="1"/>
  <c r="V463" i="51"/>
  <c r="AB463" i="51" s="1"/>
  <c r="X462" i="51"/>
  <c r="AD462" i="51" s="1"/>
  <c r="W462" i="51"/>
  <c r="AC462" i="51" s="1"/>
  <c r="V462" i="51"/>
  <c r="AB462" i="51" s="1"/>
  <c r="X461" i="51"/>
  <c r="AD461" i="51" s="1"/>
  <c r="W461" i="51"/>
  <c r="AC461" i="51" s="1"/>
  <c r="V461" i="51"/>
  <c r="AB461" i="51" s="1"/>
  <c r="X460" i="51"/>
  <c r="AD460" i="51" s="1"/>
  <c r="W460" i="51"/>
  <c r="AC460" i="51" s="1"/>
  <c r="V460" i="51"/>
  <c r="AB460" i="51" s="1"/>
  <c r="X459" i="51"/>
  <c r="AD459" i="51" s="1"/>
  <c r="W459" i="51"/>
  <c r="AC459" i="51" s="1"/>
  <c r="V459" i="51"/>
  <c r="AB459" i="51" s="1"/>
  <c r="X458" i="51"/>
  <c r="AD458" i="51" s="1"/>
  <c r="W458" i="51"/>
  <c r="AC458" i="51" s="1"/>
  <c r="V458" i="51"/>
  <c r="AB458" i="51" s="1"/>
  <c r="X457" i="51"/>
  <c r="AD457" i="51" s="1"/>
  <c r="W457" i="51"/>
  <c r="AC457" i="51" s="1"/>
  <c r="V457" i="51"/>
  <c r="AB457" i="51" s="1"/>
  <c r="X456" i="51"/>
  <c r="AD456" i="51" s="1"/>
  <c r="W456" i="51"/>
  <c r="AC456" i="51" s="1"/>
  <c r="V456" i="51"/>
  <c r="AB456" i="51" s="1"/>
  <c r="X455" i="51"/>
  <c r="AD455" i="51" s="1"/>
  <c r="W455" i="51"/>
  <c r="AC455" i="51" s="1"/>
  <c r="V455" i="51"/>
  <c r="AB455" i="51" s="1"/>
  <c r="X454" i="51"/>
  <c r="AD454" i="51" s="1"/>
  <c r="W454" i="51"/>
  <c r="AC454" i="51" s="1"/>
  <c r="V454" i="51"/>
  <c r="AB454" i="51" s="1"/>
  <c r="X453" i="51"/>
  <c r="AD453" i="51" s="1"/>
  <c r="W453" i="51"/>
  <c r="AC453" i="51" s="1"/>
  <c r="V453" i="51"/>
  <c r="AB453" i="51" s="1"/>
  <c r="X452" i="51"/>
  <c r="AD452" i="51" s="1"/>
  <c r="W452" i="51"/>
  <c r="AC452" i="51" s="1"/>
  <c r="V452" i="51"/>
  <c r="AB452" i="51" s="1"/>
  <c r="X451" i="51"/>
  <c r="AD451" i="51" s="1"/>
  <c r="W451" i="51"/>
  <c r="AC451" i="51" s="1"/>
  <c r="V451" i="51"/>
  <c r="AB451" i="51" s="1"/>
  <c r="X450" i="51"/>
  <c r="AD450" i="51" s="1"/>
  <c r="W450" i="51"/>
  <c r="AC450" i="51" s="1"/>
  <c r="V450" i="51"/>
  <c r="AB450" i="51" s="1"/>
  <c r="X449" i="51"/>
  <c r="AD449" i="51" s="1"/>
  <c r="W449" i="51"/>
  <c r="AC449" i="51" s="1"/>
  <c r="V449" i="51"/>
  <c r="AB449" i="51" s="1"/>
  <c r="X448" i="51"/>
  <c r="AD448" i="51" s="1"/>
  <c r="W448" i="51"/>
  <c r="AC448" i="51" s="1"/>
  <c r="V448" i="51"/>
  <c r="AB448" i="51" s="1"/>
  <c r="X447" i="51"/>
  <c r="AD447" i="51" s="1"/>
  <c r="W447" i="51"/>
  <c r="AC447" i="51" s="1"/>
  <c r="V447" i="51"/>
  <c r="AB447" i="51" s="1"/>
  <c r="X446" i="51"/>
  <c r="AD446" i="51" s="1"/>
  <c r="W446" i="51"/>
  <c r="AC446" i="51" s="1"/>
  <c r="V446" i="51"/>
  <c r="AB446" i="51" s="1"/>
  <c r="X445" i="51"/>
  <c r="AD445" i="51" s="1"/>
  <c r="W445" i="51"/>
  <c r="AC445" i="51" s="1"/>
  <c r="V445" i="51"/>
  <c r="AB445" i="51" s="1"/>
  <c r="X444" i="51"/>
  <c r="AD444" i="51" s="1"/>
  <c r="W444" i="51"/>
  <c r="AC444" i="51" s="1"/>
  <c r="V444" i="51"/>
  <c r="AB444" i="51" s="1"/>
  <c r="X443" i="51"/>
  <c r="AD443" i="51" s="1"/>
  <c r="W443" i="51"/>
  <c r="AC443" i="51" s="1"/>
  <c r="V443" i="51"/>
  <c r="AB443" i="51" s="1"/>
  <c r="X442" i="51"/>
  <c r="AD442" i="51" s="1"/>
  <c r="W442" i="51"/>
  <c r="AC442" i="51" s="1"/>
  <c r="V442" i="51"/>
  <c r="AB442" i="51" s="1"/>
  <c r="X441" i="51"/>
  <c r="AD441" i="51" s="1"/>
  <c r="W441" i="51"/>
  <c r="AC441" i="51" s="1"/>
  <c r="V441" i="51"/>
  <c r="AB441" i="51" s="1"/>
  <c r="X440" i="51"/>
  <c r="AD440" i="51" s="1"/>
  <c r="W440" i="51"/>
  <c r="AC440" i="51" s="1"/>
  <c r="V440" i="51"/>
  <c r="AB440" i="51" s="1"/>
  <c r="X439" i="51"/>
  <c r="AD439" i="51" s="1"/>
  <c r="W439" i="51"/>
  <c r="AC439" i="51" s="1"/>
  <c r="V439" i="51"/>
  <c r="AB439" i="51" s="1"/>
  <c r="X438" i="51"/>
  <c r="AD438" i="51" s="1"/>
  <c r="W438" i="51"/>
  <c r="AC438" i="51" s="1"/>
  <c r="V438" i="51"/>
  <c r="AB438" i="51" s="1"/>
  <c r="X437" i="51"/>
  <c r="AD437" i="51" s="1"/>
  <c r="W437" i="51"/>
  <c r="AC437" i="51" s="1"/>
  <c r="V437" i="51"/>
  <c r="AB437" i="51" s="1"/>
  <c r="X436" i="51"/>
  <c r="AD436" i="51" s="1"/>
  <c r="W436" i="51"/>
  <c r="AC436" i="51" s="1"/>
  <c r="V436" i="51"/>
  <c r="AB436" i="51" s="1"/>
  <c r="X435" i="51"/>
  <c r="AD435" i="51" s="1"/>
  <c r="W435" i="51"/>
  <c r="AC435" i="51" s="1"/>
  <c r="V435" i="51"/>
  <c r="AB435" i="51" s="1"/>
  <c r="X434" i="51"/>
  <c r="AD434" i="51" s="1"/>
  <c r="W434" i="51"/>
  <c r="AC434" i="51" s="1"/>
  <c r="V434" i="51"/>
  <c r="AB434" i="51" s="1"/>
  <c r="X433" i="51"/>
  <c r="AD433" i="51" s="1"/>
  <c r="W433" i="51"/>
  <c r="AC433" i="51" s="1"/>
  <c r="V433" i="51"/>
  <c r="AB433" i="51" s="1"/>
  <c r="X432" i="51"/>
  <c r="AD432" i="51" s="1"/>
  <c r="W432" i="51"/>
  <c r="AC432" i="51" s="1"/>
  <c r="V432" i="51"/>
  <c r="AB432" i="51" s="1"/>
  <c r="X431" i="51"/>
  <c r="AD431" i="51" s="1"/>
  <c r="W431" i="51"/>
  <c r="AC431" i="51" s="1"/>
  <c r="V431" i="51"/>
  <c r="AB431" i="51" s="1"/>
  <c r="X430" i="51"/>
  <c r="AD430" i="51" s="1"/>
  <c r="W430" i="51"/>
  <c r="AC430" i="51" s="1"/>
  <c r="V430" i="51"/>
  <c r="AB430" i="51" s="1"/>
  <c r="X429" i="51"/>
  <c r="AD429" i="51" s="1"/>
  <c r="W429" i="51"/>
  <c r="AC429" i="51" s="1"/>
  <c r="V429" i="51"/>
  <c r="AB429" i="51" s="1"/>
  <c r="X428" i="51"/>
  <c r="AD428" i="51" s="1"/>
  <c r="W428" i="51"/>
  <c r="AC428" i="51" s="1"/>
  <c r="V428" i="51"/>
  <c r="AB428" i="51" s="1"/>
  <c r="X427" i="51"/>
  <c r="AD427" i="51" s="1"/>
  <c r="W427" i="51"/>
  <c r="AC427" i="51" s="1"/>
  <c r="V427" i="51"/>
  <c r="AB427" i="51" s="1"/>
  <c r="X426" i="51"/>
  <c r="AD426" i="51" s="1"/>
  <c r="W426" i="51"/>
  <c r="AC426" i="51" s="1"/>
  <c r="V426" i="51"/>
  <c r="AB426" i="51" s="1"/>
  <c r="X425" i="51"/>
  <c r="AD425" i="51" s="1"/>
  <c r="W425" i="51"/>
  <c r="AC425" i="51" s="1"/>
  <c r="V425" i="51"/>
  <c r="AB425" i="51" s="1"/>
  <c r="X424" i="51"/>
  <c r="AD424" i="51" s="1"/>
  <c r="W424" i="51"/>
  <c r="AC424" i="51" s="1"/>
  <c r="V424" i="51"/>
  <c r="AB424" i="51" s="1"/>
  <c r="X423" i="51"/>
  <c r="AD423" i="51" s="1"/>
  <c r="W423" i="51"/>
  <c r="AC423" i="51" s="1"/>
  <c r="V423" i="51"/>
  <c r="AB423" i="51" s="1"/>
  <c r="X422" i="51"/>
  <c r="AD422" i="51" s="1"/>
  <c r="W422" i="51"/>
  <c r="AC422" i="51" s="1"/>
  <c r="V422" i="51"/>
  <c r="AB422" i="51" s="1"/>
  <c r="X421" i="51"/>
  <c r="AD421" i="51" s="1"/>
  <c r="W421" i="51"/>
  <c r="AC421" i="51" s="1"/>
  <c r="V421" i="51"/>
  <c r="AB421" i="51" s="1"/>
  <c r="X420" i="51"/>
  <c r="AD420" i="51" s="1"/>
  <c r="W420" i="51"/>
  <c r="AC420" i="51" s="1"/>
  <c r="V420" i="51"/>
  <c r="AB420" i="51" s="1"/>
  <c r="X419" i="51"/>
  <c r="AD419" i="51" s="1"/>
  <c r="W419" i="51"/>
  <c r="AC419" i="51" s="1"/>
  <c r="V419" i="51"/>
  <c r="AB419" i="51" s="1"/>
  <c r="X418" i="51"/>
  <c r="AD418" i="51" s="1"/>
  <c r="W418" i="51"/>
  <c r="AC418" i="51" s="1"/>
  <c r="V418" i="51"/>
  <c r="AB418" i="51" s="1"/>
  <c r="X417" i="51"/>
  <c r="AD417" i="51" s="1"/>
  <c r="W417" i="51"/>
  <c r="AC417" i="51" s="1"/>
  <c r="V417" i="51"/>
  <c r="AB417" i="51" s="1"/>
  <c r="X416" i="51"/>
  <c r="AD416" i="51" s="1"/>
  <c r="W416" i="51"/>
  <c r="AC416" i="51" s="1"/>
  <c r="V416" i="51"/>
  <c r="AB416" i="51" s="1"/>
  <c r="X415" i="51"/>
  <c r="AD415" i="51" s="1"/>
  <c r="W415" i="51"/>
  <c r="AC415" i="51" s="1"/>
  <c r="V415" i="51"/>
  <c r="AB415" i="51" s="1"/>
  <c r="X414" i="51"/>
  <c r="AD414" i="51" s="1"/>
  <c r="W414" i="51"/>
  <c r="AC414" i="51" s="1"/>
  <c r="V414" i="51"/>
  <c r="AB414" i="51" s="1"/>
  <c r="X413" i="51"/>
  <c r="AD413" i="51" s="1"/>
  <c r="W413" i="51"/>
  <c r="AC413" i="51" s="1"/>
  <c r="V413" i="51"/>
  <c r="AB413" i="51" s="1"/>
  <c r="X412" i="51"/>
  <c r="AD412" i="51" s="1"/>
  <c r="W412" i="51"/>
  <c r="AC412" i="51" s="1"/>
  <c r="V412" i="51"/>
  <c r="AB412" i="51" s="1"/>
  <c r="X411" i="51"/>
  <c r="AD411" i="51" s="1"/>
  <c r="W411" i="51"/>
  <c r="AC411" i="51" s="1"/>
  <c r="V411" i="51"/>
  <c r="AB411" i="51" s="1"/>
  <c r="X410" i="51"/>
  <c r="AD410" i="51" s="1"/>
  <c r="W410" i="51"/>
  <c r="AC410" i="51" s="1"/>
  <c r="V410" i="51"/>
  <c r="AB410" i="51" s="1"/>
  <c r="X409" i="51"/>
  <c r="AD409" i="51" s="1"/>
  <c r="W409" i="51"/>
  <c r="AC409" i="51" s="1"/>
  <c r="V409" i="51"/>
  <c r="AB409" i="51" s="1"/>
  <c r="X408" i="51"/>
  <c r="AD408" i="51" s="1"/>
  <c r="W408" i="51"/>
  <c r="AC408" i="51" s="1"/>
  <c r="V408" i="51"/>
  <c r="AB408" i="51" s="1"/>
  <c r="X407" i="51"/>
  <c r="AD407" i="51" s="1"/>
  <c r="W407" i="51"/>
  <c r="AC407" i="51" s="1"/>
  <c r="V407" i="51"/>
  <c r="AB407" i="51" s="1"/>
  <c r="X406" i="51"/>
  <c r="AD406" i="51" s="1"/>
  <c r="W406" i="51"/>
  <c r="AC406" i="51" s="1"/>
  <c r="V406" i="51"/>
  <c r="AB406" i="51" s="1"/>
  <c r="X405" i="51"/>
  <c r="AD405" i="51" s="1"/>
  <c r="W405" i="51"/>
  <c r="AC405" i="51" s="1"/>
  <c r="V405" i="51"/>
  <c r="AB405" i="51" s="1"/>
  <c r="X404" i="51"/>
  <c r="AD404" i="51" s="1"/>
  <c r="W404" i="51"/>
  <c r="AC404" i="51" s="1"/>
  <c r="V404" i="51"/>
  <c r="AB404" i="51" s="1"/>
  <c r="X403" i="51"/>
  <c r="AD403" i="51" s="1"/>
  <c r="W403" i="51"/>
  <c r="AC403" i="51" s="1"/>
  <c r="V403" i="51"/>
  <c r="AB403" i="51" s="1"/>
  <c r="X402" i="51"/>
  <c r="AD402" i="51" s="1"/>
  <c r="W402" i="51"/>
  <c r="AC402" i="51" s="1"/>
  <c r="V402" i="51"/>
  <c r="AB402" i="51" s="1"/>
  <c r="X401" i="51"/>
  <c r="AD401" i="51" s="1"/>
  <c r="W401" i="51"/>
  <c r="AC401" i="51" s="1"/>
  <c r="V401" i="51"/>
  <c r="AB401" i="51" s="1"/>
  <c r="X400" i="51"/>
  <c r="AD400" i="51" s="1"/>
  <c r="W400" i="51"/>
  <c r="AC400" i="51" s="1"/>
  <c r="V400" i="51"/>
  <c r="AB400" i="51" s="1"/>
  <c r="X399" i="51"/>
  <c r="AD399" i="51" s="1"/>
  <c r="W399" i="51"/>
  <c r="AC399" i="51" s="1"/>
  <c r="V399" i="51"/>
  <c r="AB399" i="51" s="1"/>
  <c r="X398" i="51"/>
  <c r="AD398" i="51" s="1"/>
  <c r="W398" i="51"/>
  <c r="AC398" i="51" s="1"/>
  <c r="V398" i="51"/>
  <c r="AB398" i="51" s="1"/>
  <c r="X397" i="51"/>
  <c r="AD397" i="51" s="1"/>
  <c r="W397" i="51"/>
  <c r="AC397" i="51" s="1"/>
  <c r="V397" i="51"/>
  <c r="AB397" i="51" s="1"/>
  <c r="X396" i="51"/>
  <c r="AD396" i="51" s="1"/>
  <c r="W396" i="51"/>
  <c r="AC396" i="51" s="1"/>
  <c r="V396" i="51"/>
  <c r="AB396" i="51" s="1"/>
  <c r="X395" i="51"/>
  <c r="AD395" i="51" s="1"/>
  <c r="W395" i="51"/>
  <c r="AC395" i="51" s="1"/>
  <c r="V395" i="51"/>
  <c r="AB395" i="51" s="1"/>
  <c r="X394" i="51"/>
  <c r="AD394" i="51" s="1"/>
  <c r="W394" i="51"/>
  <c r="AC394" i="51" s="1"/>
  <c r="V394" i="51"/>
  <c r="AB394" i="51" s="1"/>
  <c r="X393" i="51"/>
  <c r="AD393" i="51" s="1"/>
  <c r="W393" i="51"/>
  <c r="AC393" i="51" s="1"/>
  <c r="V393" i="51"/>
  <c r="AB393" i="51" s="1"/>
  <c r="X392" i="51"/>
  <c r="AD392" i="51" s="1"/>
  <c r="W392" i="51"/>
  <c r="AC392" i="51" s="1"/>
  <c r="V392" i="51"/>
  <c r="AB392" i="51" s="1"/>
  <c r="X391" i="51"/>
  <c r="AD391" i="51" s="1"/>
  <c r="W391" i="51"/>
  <c r="AC391" i="51" s="1"/>
  <c r="V391" i="51"/>
  <c r="AB391" i="51" s="1"/>
  <c r="X390" i="51"/>
  <c r="AD390" i="51" s="1"/>
  <c r="W390" i="51"/>
  <c r="AC390" i="51" s="1"/>
  <c r="V390" i="51"/>
  <c r="AB390" i="51" s="1"/>
  <c r="X389" i="51"/>
  <c r="AD389" i="51" s="1"/>
  <c r="W389" i="51"/>
  <c r="AC389" i="51" s="1"/>
  <c r="V389" i="51"/>
  <c r="AB389" i="51" s="1"/>
  <c r="X388" i="51"/>
  <c r="AD388" i="51" s="1"/>
  <c r="W388" i="51"/>
  <c r="AC388" i="51" s="1"/>
  <c r="V388" i="51"/>
  <c r="AB388" i="51" s="1"/>
  <c r="X387" i="51"/>
  <c r="AD387" i="51" s="1"/>
  <c r="W387" i="51"/>
  <c r="AC387" i="51" s="1"/>
  <c r="V387" i="51"/>
  <c r="AB387" i="51" s="1"/>
  <c r="X386" i="51"/>
  <c r="AD386" i="51" s="1"/>
  <c r="W386" i="51"/>
  <c r="AC386" i="51" s="1"/>
  <c r="V386" i="51"/>
  <c r="AB386" i="51" s="1"/>
  <c r="X385" i="51"/>
  <c r="AD385" i="51" s="1"/>
  <c r="W385" i="51"/>
  <c r="AC385" i="51" s="1"/>
  <c r="V385" i="51"/>
  <c r="AB385" i="51" s="1"/>
  <c r="X384" i="51"/>
  <c r="AD384" i="51" s="1"/>
  <c r="W384" i="51"/>
  <c r="AC384" i="51" s="1"/>
  <c r="V384" i="51"/>
  <c r="AB384" i="51" s="1"/>
  <c r="X383" i="51"/>
  <c r="AD383" i="51" s="1"/>
  <c r="W383" i="51"/>
  <c r="AC383" i="51" s="1"/>
  <c r="V383" i="51"/>
  <c r="AB383" i="51" s="1"/>
  <c r="X382" i="51"/>
  <c r="AD382" i="51" s="1"/>
  <c r="W382" i="51"/>
  <c r="AC382" i="51" s="1"/>
  <c r="V382" i="51"/>
  <c r="AB382" i="51" s="1"/>
  <c r="X381" i="51"/>
  <c r="AD381" i="51" s="1"/>
  <c r="W381" i="51"/>
  <c r="AC381" i="51" s="1"/>
  <c r="V381" i="51"/>
  <c r="AB381" i="51" s="1"/>
  <c r="X380" i="51"/>
  <c r="AD380" i="51" s="1"/>
  <c r="W380" i="51"/>
  <c r="AC380" i="51" s="1"/>
  <c r="V380" i="51"/>
  <c r="AB380" i="51" s="1"/>
  <c r="X379" i="51"/>
  <c r="AD379" i="51" s="1"/>
  <c r="W379" i="51"/>
  <c r="AC379" i="51" s="1"/>
  <c r="V379" i="51"/>
  <c r="AB379" i="51" s="1"/>
  <c r="X378" i="51"/>
  <c r="AD378" i="51" s="1"/>
  <c r="W378" i="51"/>
  <c r="AC378" i="51" s="1"/>
  <c r="V378" i="51"/>
  <c r="AB378" i="51" s="1"/>
  <c r="X377" i="51"/>
  <c r="AD377" i="51" s="1"/>
  <c r="W377" i="51"/>
  <c r="AC377" i="51" s="1"/>
  <c r="V377" i="51"/>
  <c r="AB377" i="51" s="1"/>
  <c r="X376" i="51"/>
  <c r="AD376" i="51" s="1"/>
  <c r="W376" i="51"/>
  <c r="AC376" i="51" s="1"/>
  <c r="V376" i="51"/>
  <c r="AB376" i="51" s="1"/>
  <c r="X375" i="51"/>
  <c r="AD375" i="51" s="1"/>
  <c r="W375" i="51"/>
  <c r="AC375" i="51" s="1"/>
  <c r="V375" i="51"/>
  <c r="AB375" i="51" s="1"/>
  <c r="X374" i="51"/>
  <c r="AD374" i="51" s="1"/>
  <c r="W374" i="51"/>
  <c r="AC374" i="51" s="1"/>
  <c r="V374" i="51"/>
  <c r="AB374" i="51" s="1"/>
  <c r="X373" i="51"/>
  <c r="AD373" i="51" s="1"/>
  <c r="W373" i="51"/>
  <c r="AC373" i="51" s="1"/>
  <c r="V373" i="51"/>
  <c r="AB373" i="51" s="1"/>
  <c r="X372" i="51"/>
  <c r="AD372" i="51" s="1"/>
  <c r="W372" i="51"/>
  <c r="AC372" i="51" s="1"/>
  <c r="V372" i="51"/>
  <c r="AB372" i="51" s="1"/>
  <c r="X371" i="51"/>
  <c r="AD371" i="51" s="1"/>
  <c r="W371" i="51"/>
  <c r="AC371" i="51" s="1"/>
  <c r="V371" i="51"/>
  <c r="AB371" i="51" s="1"/>
  <c r="X370" i="51"/>
  <c r="AD370" i="51" s="1"/>
  <c r="W370" i="51"/>
  <c r="AC370" i="51" s="1"/>
  <c r="V370" i="51"/>
  <c r="AB370" i="51" s="1"/>
  <c r="X369" i="51"/>
  <c r="AD369" i="51" s="1"/>
  <c r="W369" i="51"/>
  <c r="AC369" i="51" s="1"/>
  <c r="V369" i="51"/>
  <c r="AB369" i="51" s="1"/>
  <c r="X368" i="51"/>
  <c r="AD368" i="51" s="1"/>
  <c r="W368" i="51"/>
  <c r="AC368" i="51" s="1"/>
  <c r="V368" i="51"/>
  <c r="AB368" i="51" s="1"/>
  <c r="X367" i="51"/>
  <c r="AD367" i="51" s="1"/>
  <c r="W367" i="51"/>
  <c r="AC367" i="51" s="1"/>
  <c r="V367" i="51"/>
  <c r="AB367" i="51" s="1"/>
  <c r="X366" i="51"/>
  <c r="AD366" i="51" s="1"/>
  <c r="W366" i="51"/>
  <c r="AC366" i="51" s="1"/>
  <c r="V366" i="51"/>
  <c r="AB366" i="51" s="1"/>
  <c r="X365" i="51"/>
  <c r="AD365" i="51" s="1"/>
  <c r="W365" i="51"/>
  <c r="AC365" i="51" s="1"/>
  <c r="V365" i="51"/>
  <c r="AB365" i="51" s="1"/>
  <c r="X364" i="51"/>
  <c r="AD364" i="51" s="1"/>
  <c r="W364" i="51"/>
  <c r="AC364" i="51" s="1"/>
  <c r="V364" i="51"/>
  <c r="AB364" i="51" s="1"/>
  <c r="X363" i="51"/>
  <c r="AD363" i="51" s="1"/>
  <c r="W363" i="51"/>
  <c r="AC363" i="51" s="1"/>
  <c r="V363" i="51"/>
  <c r="AB363" i="51" s="1"/>
  <c r="X362" i="51"/>
  <c r="AD362" i="51" s="1"/>
  <c r="W362" i="51"/>
  <c r="AC362" i="51" s="1"/>
  <c r="V362" i="51"/>
  <c r="AB362" i="51" s="1"/>
  <c r="X361" i="51"/>
  <c r="AD361" i="51" s="1"/>
  <c r="W361" i="51"/>
  <c r="AC361" i="51" s="1"/>
  <c r="V361" i="51"/>
  <c r="AB361" i="51" s="1"/>
  <c r="X360" i="51"/>
  <c r="AD360" i="51" s="1"/>
  <c r="W360" i="51"/>
  <c r="AC360" i="51" s="1"/>
  <c r="V360" i="51"/>
  <c r="AB360" i="51" s="1"/>
  <c r="X359" i="51"/>
  <c r="AD359" i="51" s="1"/>
  <c r="W359" i="51"/>
  <c r="AC359" i="51" s="1"/>
  <c r="V359" i="51"/>
  <c r="AB359" i="51" s="1"/>
  <c r="X358" i="51"/>
  <c r="AD358" i="51" s="1"/>
  <c r="W358" i="51"/>
  <c r="AC358" i="51" s="1"/>
  <c r="V358" i="51"/>
  <c r="AB358" i="51" s="1"/>
  <c r="X357" i="51"/>
  <c r="AD357" i="51" s="1"/>
  <c r="W357" i="51"/>
  <c r="AC357" i="51" s="1"/>
  <c r="V357" i="51"/>
  <c r="AB357" i="51" s="1"/>
  <c r="X356" i="51"/>
  <c r="AD356" i="51" s="1"/>
  <c r="W356" i="51"/>
  <c r="AC356" i="51" s="1"/>
  <c r="V356" i="51"/>
  <c r="AB356" i="51" s="1"/>
  <c r="X355" i="51"/>
  <c r="AD355" i="51" s="1"/>
  <c r="W355" i="51"/>
  <c r="AC355" i="51" s="1"/>
  <c r="V355" i="51"/>
  <c r="AB355" i="51" s="1"/>
  <c r="X354" i="51"/>
  <c r="AD354" i="51" s="1"/>
  <c r="W354" i="51"/>
  <c r="AC354" i="51" s="1"/>
  <c r="V354" i="51"/>
  <c r="AB354" i="51" s="1"/>
  <c r="X353" i="51"/>
  <c r="AD353" i="51" s="1"/>
  <c r="W353" i="51"/>
  <c r="AC353" i="51" s="1"/>
  <c r="V353" i="51"/>
  <c r="AB353" i="51" s="1"/>
  <c r="X352" i="51"/>
  <c r="AD352" i="51" s="1"/>
  <c r="W352" i="51"/>
  <c r="AC352" i="51" s="1"/>
  <c r="V352" i="51"/>
  <c r="AB352" i="51" s="1"/>
  <c r="X351" i="51"/>
  <c r="AD351" i="51" s="1"/>
  <c r="W351" i="51"/>
  <c r="AC351" i="51" s="1"/>
  <c r="V351" i="51"/>
  <c r="AB351" i="51" s="1"/>
  <c r="X350" i="51"/>
  <c r="AD350" i="51" s="1"/>
  <c r="W350" i="51"/>
  <c r="AC350" i="51" s="1"/>
  <c r="V350" i="51"/>
  <c r="AB350" i="51" s="1"/>
  <c r="X349" i="51"/>
  <c r="AD349" i="51" s="1"/>
  <c r="W349" i="51"/>
  <c r="AC349" i="51" s="1"/>
  <c r="V349" i="51"/>
  <c r="AB349" i="51" s="1"/>
  <c r="X348" i="51"/>
  <c r="AD348" i="51" s="1"/>
  <c r="W348" i="51"/>
  <c r="AC348" i="51" s="1"/>
  <c r="V348" i="51"/>
  <c r="AB348" i="51" s="1"/>
  <c r="X347" i="51"/>
  <c r="AD347" i="51" s="1"/>
  <c r="W347" i="51"/>
  <c r="AC347" i="51" s="1"/>
  <c r="V347" i="51"/>
  <c r="AB347" i="51" s="1"/>
  <c r="X346" i="51"/>
  <c r="AD346" i="51" s="1"/>
  <c r="W346" i="51"/>
  <c r="AC346" i="51" s="1"/>
  <c r="V346" i="51"/>
  <c r="AB346" i="51" s="1"/>
  <c r="X345" i="51"/>
  <c r="AD345" i="51" s="1"/>
  <c r="W345" i="51"/>
  <c r="AC345" i="51" s="1"/>
  <c r="V345" i="51"/>
  <c r="AB345" i="51" s="1"/>
  <c r="X344" i="51"/>
  <c r="AD344" i="51" s="1"/>
  <c r="W344" i="51"/>
  <c r="AC344" i="51" s="1"/>
  <c r="V344" i="51"/>
  <c r="AB344" i="51" s="1"/>
  <c r="X343" i="51"/>
  <c r="AD343" i="51" s="1"/>
  <c r="W343" i="51"/>
  <c r="AC343" i="51" s="1"/>
  <c r="V343" i="51"/>
  <c r="AB343" i="51" s="1"/>
  <c r="X342" i="51"/>
  <c r="AD342" i="51" s="1"/>
  <c r="W342" i="51"/>
  <c r="AC342" i="51" s="1"/>
  <c r="V342" i="51"/>
  <c r="AB342" i="51" s="1"/>
  <c r="X341" i="51"/>
  <c r="AD341" i="51" s="1"/>
  <c r="W341" i="51"/>
  <c r="AC341" i="51" s="1"/>
  <c r="V341" i="51"/>
  <c r="AB341" i="51" s="1"/>
  <c r="X340" i="51"/>
  <c r="AD340" i="51" s="1"/>
  <c r="W340" i="51"/>
  <c r="AC340" i="51" s="1"/>
  <c r="V340" i="51"/>
  <c r="AB340" i="51" s="1"/>
  <c r="X339" i="51"/>
  <c r="AD339" i="51" s="1"/>
  <c r="W339" i="51"/>
  <c r="AC339" i="51" s="1"/>
  <c r="V339" i="51"/>
  <c r="AB339" i="51" s="1"/>
  <c r="X338" i="51"/>
  <c r="AD338" i="51" s="1"/>
  <c r="W338" i="51"/>
  <c r="AC338" i="51" s="1"/>
  <c r="V338" i="51"/>
  <c r="AB338" i="51" s="1"/>
  <c r="X337" i="51"/>
  <c r="AD337" i="51" s="1"/>
  <c r="W337" i="51"/>
  <c r="AC337" i="51" s="1"/>
  <c r="V337" i="51"/>
  <c r="AB337" i="51" s="1"/>
  <c r="X336" i="51"/>
  <c r="AD336" i="51" s="1"/>
  <c r="W336" i="51"/>
  <c r="AC336" i="51" s="1"/>
  <c r="V336" i="51"/>
  <c r="AB336" i="51" s="1"/>
  <c r="X335" i="51"/>
  <c r="AD335" i="51" s="1"/>
  <c r="W335" i="51"/>
  <c r="AC335" i="51" s="1"/>
  <c r="V335" i="51"/>
  <c r="AB335" i="51" s="1"/>
  <c r="X334" i="51"/>
  <c r="AD334" i="51" s="1"/>
  <c r="W334" i="51"/>
  <c r="AC334" i="51" s="1"/>
  <c r="V334" i="51"/>
  <c r="AB334" i="51" s="1"/>
  <c r="X333" i="51"/>
  <c r="AD333" i="51" s="1"/>
  <c r="W333" i="51"/>
  <c r="AC333" i="51" s="1"/>
  <c r="V333" i="51"/>
  <c r="AB333" i="51" s="1"/>
  <c r="X332" i="51"/>
  <c r="AD332" i="51" s="1"/>
  <c r="W332" i="51"/>
  <c r="AC332" i="51" s="1"/>
  <c r="V332" i="51"/>
  <c r="AB332" i="51" s="1"/>
  <c r="X331" i="51"/>
  <c r="AD331" i="51" s="1"/>
  <c r="W331" i="51"/>
  <c r="AC331" i="51" s="1"/>
  <c r="V331" i="51"/>
  <c r="AB331" i="51" s="1"/>
  <c r="X330" i="51"/>
  <c r="AD330" i="51" s="1"/>
  <c r="W330" i="51"/>
  <c r="AC330" i="51" s="1"/>
  <c r="V330" i="51"/>
  <c r="AB330" i="51" s="1"/>
  <c r="X329" i="51"/>
  <c r="AD329" i="51" s="1"/>
  <c r="W329" i="51"/>
  <c r="AC329" i="51" s="1"/>
  <c r="V329" i="51"/>
  <c r="AB329" i="51" s="1"/>
  <c r="X328" i="51"/>
  <c r="AD328" i="51" s="1"/>
  <c r="W328" i="51"/>
  <c r="AC328" i="51" s="1"/>
  <c r="V328" i="51"/>
  <c r="AB328" i="51" s="1"/>
  <c r="X327" i="51"/>
  <c r="AD327" i="51" s="1"/>
  <c r="W327" i="51"/>
  <c r="AC327" i="51" s="1"/>
  <c r="V327" i="51"/>
  <c r="AB327" i="51" s="1"/>
  <c r="X326" i="51"/>
  <c r="AD326" i="51" s="1"/>
  <c r="W326" i="51"/>
  <c r="AC326" i="51" s="1"/>
  <c r="V326" i="51"/>
  <c r="AB326" i="51" s="1"/>
  <c r="X325" i="51"/>
  <c r="AD325" i="51" s="1"/>
  <c r="W325" i="51"/>
  <c r="AC325" i="51" s="1"/>
  <c r="V325" i="51"/>
  <c r="AB325" i="51" s="1"/>
  <c r="X324" i="51"/>
  <c r="AD324" i="51" s="1"/>
  <c r="W324" i="51"/>
  <c r="AC324" i="51" s="1"/>
  <c r="V324" i="51"/>
  <c r="AB324" i="51" s="1"/>
  <c r="X323" i="51"/>
  <c r="AD323" i="51" s="1"/>
  <c r="W323" i="51"/>
  <c r="AC323" i="51" s="1"/>
  <c r="V323" i="51"/>
  <c r="AB323" i="51" s="1"/>
  <c r="X322" i="51"/>
  <c r="AD322" i="51" s="1"/>
  <c r="W322" i="51"/>
  <c r="AC322" i="51" s="1"/>
  <c r="V322" i="51"/>
  <c r="AB322" i="51" s="1"/>
  <c r="X321" i="51"/>
  <c r="AD321" i="51" s="1"/>
  <c r="W321" i="51"/>
  <c r="AC321" i="51" s="1"/>
  <c r="V321" i="51"/>
  <c r="AB321" i="51" s="1"/>
  <c r="X320" i="51"/>
  <c r="AD320" i="51" s="1"/>
  <c r="W320" i="51"/>
  <c r="AC320" i="51" s="1"/>
  <c r="V320" i="51"/>
  <c r="AB320" i="51" s="1"/>
  <c r="X319" i="51"/>
  <c r="AD319" i="51" s="1"/>
  <c r="W319" i="51"/>
  <c r="AC319" i="51" s="1"/>
  <c r="V319" i="51"/>
  <c r="AB319" i="51" s="1"/>
  <c r="X318" i="51"/>
  <c r="AD318" i="51" s="1"/>
  <c r="W318" i="51"/>
  <c r="AC318" i="51" s="1"/>
  <c r="V318" i="51"/>
  <c r="AB318" i="51" s="1"/>
  <c r="X317" i="51"/>
  <c r="AD317" i="51" s="1"/>
  <c r="W317" i="51"/>
  <c r="AC317" i="51" s="1"/>
  <c r="V317" i="51"/>
  <c r="AB317" i="51" s="1"/>
  <c r="X316" i="51"/>
  <c r="AD316" i="51" s="1"/>
  <c r="W316" i="51"/>
  <c r="AC316" i="51" s="1"/>
  <c r="V316" i="51"/>
  <c r="AB316" i="51" s="1"/>
  <c r="X315" i="51"/>
  <c r="AD315" i="51" s="1"/>
  <c r="W315" i="51"/>
  <c r="AC315" i="51" s="1"/>
  <c r="V315" i="51"/>
  <c r="AB315" i="51" s="1"/>
  <c r="X314" i="51"/>
  <c r="AD314" i="51" s="1"/>
  <c r="W314" i="51"/>
  <c r="AC314" i="51" s="1"/>
  <c r="V314" i="51"/>
  <c r="AB314" i="51" s="1"/>
  <c r="X313" i="51"/>
  <c r="AD313" i="51" s="1"/>
  <c r="W313" i="51"/>
  <c r="AC313" i="51" s="1"/>
  <c r="V313" i="51"/>
  <c r="AB313" i="51" s="1"/>
  <c r="X312" i="51"/>
  <c r="AD312" i="51" s="1"/>
  <c r="W312" i="51"/>
  <c r="AC312" i="51" s="1"/>
  <c r="V312" i="51"/>
  <c r="AB312" i="51" s="1"/>
  <c r="X311" i="51"/>
  <c r="AD311" i="51" s="1"/>
  <c r="W311" i="51"/>
  <c r="AC311" i="51" s="1"/>
  <c r="V311" i="51"/>
  <c r="AB311" i="51" s="1"/>
  <c r="X310" i="51"/>
  <c r="AD310" i="51" s="1"/>
  <c r="W310" i="51"/>
  <c r="AC310" i="51" s="1"/>
  <c r="V310" i="51"/>
  <c r="AB310" i="51" s="1"/>
  <c r="X309" i="51"/>
  <c r="AD309" i="51" s="1"/>
  <c r="W309" i="51"/>
  <c r="AC309" i="51" s="1"/>
  <c r="V309" i="51"/>
  <c r="AB309" i="51" s="1"/>
  <c r="X308" i="51"/>
  <c r="AD308" i="51" s="1"/>
  <c r="W308" i="51"/>
  <c r="AC308" i="51" s="1"/>
  <c r="V308" i="51"/>
  <c r="AB308" i="51" s="1"/>
  <c r="X307" i="51"/>
  <c r="AD307" i="51" s="1"/>
  <c r="W307" i="51"/>
  <c r="AC307" i="51" s="1"/>
  <c r="V307" i="51"/>
  <c r="AB307" i="51" s="1"/>
  <c r="X306" i="51"/>
  <c r="AD306" i="51" s="1"/>
  <c r="W306" i="51"/>
  <c r="AC306" i="51" s="1"/>
  <c r="V306" i="51"/>
  <c r="AB306" i="51" s="1"/>
  <c r="X305" i="51"/>
  <c r="AD305" i="51" s="1"/>
  <c r="W305" i="51"/>
  <c r="AC305" i="51" s="1"/>
  <c r="V305" i="51"/>
  <c r="AB305" i="51" s="1"/>
  <c r="X304" i="51"/>
  <c r="AD304" i="51" s="1"/>
  <c r="W304" i="51"/>
  <c r="AC304" i="51" s="1"/>
  <c r="V304" i="51"/>
  <c r="AB304" i="51" s="1"/>
  <c r="X303" i="51"/>
  <c r="AD303" i="51" s="1"/>
  <c r="W303" i="51"/>
  <c r="AC303" i="51" s="1"/>
  <c r="V303" i="51"/>
  <c r="AB303" i="51" s="1"/>
  <c r="X302" i="51"/>
  <c r="AD302" i="51" s="1"/>
  <c r="W302" i="51"/>
  <c r="AC302" i="51" s="1"/>
  <c r="V302" i="51"/>
  <c r="AB302" i="51" s="1"/>
  <c r="X301" i="51"/>
  <c r="AD301" i="51" s="1"/>
  <c r="W301" i="51"/>
  <c r="AC301" i="51" s="1"/>
  <c r="V301" i="51"/>
  <c r="AB301" i="51" s="1"/>
  <c r="X300" i="51"/>
  <c r="AD300" i="51" s="1"/>
  <c r="W300" i="51"/>
  <c r="AC300" i="51" s="1"/>
  <c r="V300" i="51"/>
  <c r="AB300" i="51" s="1"/>
  <c r="X299" i="51"/>
  <c r="AD299" i="51" s="1"/>
  <c r="W299" i="51"/>
  <c r="AC299" i="51" s="1"/>
  <c r="V299" i="51"/>
  <c r="AB299" i="51" s="1"/>
  <c r="X298" i="51"/>
  <c r="AD298" i="51" s="1"/>
  <c r="W298" i="51"/>
  <c r="AC298" i="51" s="1"/>
  <c r="V298" i="51"/>
  <c r="AB298" i="51" s="1"/>
  <c r="X297" i="51"/>
  <c r="AD297" i="51" s="1"/>
  <c r="W297" i="51"/>
  <c r="AC297" i="51" s="1"/>
  <c r="V297" i="51"/>
  <c r="AB297" i="51" s="1"/>
  <c r="X296" i="51"/>
  <c r="AD296" i="51" s="1"/>
  <c r="W296" i="51"/>
  <c r="AC296" i="51" s="1"/>
  <c r="V296" i="51"/>
  <c r="AB296" i="51" s="1"/>
  <c r="X295" i="51"/>
  <c r="AD295" i="51" s="1"/>
  <c r="W295" i="51"/>
  <c r="AC295" i="51" s="1"/>
  <c r="V295" i="51"/>
  <c r="AB295" i="51" s="1"/>
  <c r="X294" i="51"/>
  <c r="AD294" i="51" s="1"/>
  <c r="W294" i="51"/>
  <c r="AC294" i="51" s="1"/>
  <c r="V294" i="51"/>
  <c r="AB294" i="51" s="1"/>
  <c r="X293" i="51"/>
  <c r="AD293" i="51" s="1"/>
  <c r="W293" i="51"/>
  <c r="AC293" i="51" s="1"/>
  <c r="V293" i="51"/>
  <c r="AB293" i="51" s="1"/>
  <c r="X292" i="51"/>
  <c r="AD292" i="51" s="1"/>
  <c r="W292" i="51"/>
  <c r="AC292" i="51" s="1"/>
  <c r="V292" i="51"/>
  <c r="AB292" i="51" s="1"/>
  <c r="X291" i="51"/>
  <c r="AD291" i="51" s="1"/>
  <c r="W291" i="51"/>
  <c r="AC291" i="51" s="1"/>
  <c r="V291" i="51"/>
  <c r="AB291" i="51" s="1"/>
  <c r="X290" i="51"/>
  <c r="AD290" i="51" s="1"/>
  <c r="W290" i="51"/>
  <c r="AC290" i="51" s="1"/>
  <c r="V290" i="51"/>
  <c r="AB290" i="51" s="1"/>
  <c r="X289" i="51"/>
  <c r="AD289" i="51" s="1"/>
  <c r="W289" i="51"/>
  <c r="AC289" i="51" s="1"/>
  <c r="V289" i="51"/>
  <c r="AB289" i="51" s="1"/>
  <c r="X288" i="51"/>
  <c r="AD288" i="51" s="1"/>
  <c r="W288" i="51"/>
  <c r="AC288" i="51" s="1"/>
  <c r="V288" i="51"/>
  <c r="AB288" i="51" s="1"/>
  <c r="X287" i="51"/>
  <c r="AD287" i="51" s="1"/>
  <c r="W287" i="51"/>
  <c r="AC287" i="51" s="1"/>
  <c r="V287" i="51"/>
  <c r="AB287" i="51" s="1"/>
  <c r="X286" i="51"/>
  <c r="AD286" i="51" s="1"/>
  <c r="W286" i="51"/>
  <c r="AC286" i="51" s="1"/>
  <c r="V286" i="51"/>
  <c r="AB286" i="51" s="1"/>
  <c r="X285" i="51"/>
  <c r="AD285" i="51" s="1"/>
  <c r="W285" i="51"/>
  <c r="AC285" i="51" s="1"/>
  <c r="V285" i="51"/>
  <c r="AB285" i="51" s="1"/>
  <c r="X284" i="51"/>
  <c r="AD284" i="51" s="1"/>
  <c r="W284" i="51"/>
  <c r="AC284" i="51" s="1"/>
  <c r="V284" i="51"/>
  <c r="AB284" i="51" s="1"/>
  <c r="X283" i="51"/>
  <c r="AD283" i="51" s="1"/>
  <c r="W283" i="51"/>
  <c r="AC283" i="51" s="1"/>
  <c r="V283" i="51"/>
  <c r="AB283" i="51" s="1"/>
  <c r="X282" i="51"/>
  <c r="AD282" i="51" s="1"/>
  <c r="W282" i="51"/>
  <c r="AC282" i="51" s="1"/>
  <c r="V282" i="51"/>
  <c r="AB282" i="51" s="1"/>
  <c r="X281" i="51"/>
  <c r="AD281" i="51" s="1"/>
  <c r="W281" i="51"/>
  <c r="AC281" i="51" s="1"/>
  <c r="V281" i="51"/>
  <c r="AB281" i="51" s="1"/>
  <c r="X280" i="51"/>
  <c r="AD280" i="51" s="1"/>
  <c r="W280" i="51"/>
  <c r="AC280" i="51" s="1"/>
  <c r="V280" i="51"/>
  <c r="AB280" i="51" s="1"/>
  <c r="X279" i="51"/>
  <c r="AD279" i="51" s="1"/>
  <c r="W279" i="51"/>
  <c r="AC279" i="51" s="1"/>
  <c r="V279" i="51"/>
  <c r="AB279" i="51" s="1"/>
  <c r="X278" i="51"/>
  <c r="AD278" i="51" s="1"/>
  <c r="W278" i="51"/>
  <c r="AC278" i="51" s="1"/>
  <c r="V278" i="51"/>
  <c r="AB278" i="51" s="1"/>
  <c r="X277" i="51"/>
  <c r="AD277" i="51" s="1"/>
  <c r="W277" i="51"/>
  <c r="AC277" i="51" s="1"/>
  <c r="V277" i="51"/>
  <c r="AB277" i="51" s="1"/>
  <c r="X276" i="51"/>
  <c r="AD276" i="51" s="1"/>
  <c r="W276" i="51"/>
  <c r="AC276" i="51" s="1"/>
  <c r="V276" i="51"/>
  <c r="AB276" i="51" s="1"/>
  <c r="X275" i="51"/>
  <c r="AD275" i="51" s="1"/>
  <c r="W275" i="51"/>
  <c r="AC275" i="51" s="1"/>
  <c r="V275" i="51"/>
  <c r="AB275" i="51" s="1"/>
  <c r="X274" i="51"/>
  <c r="AD274" i="51" s="1"/>
  <c r="W274" i="51"/>
  <c r="AC274" i="51" s="1"/>
  <c r="V274" i="51"/>
  <c r="AB274" i="51" s="1"/>
  <c r="X273" i="51"/>
  <c r="AD273" i="51" s="1"/>
  <c r="W273" i="51"/>
  <c r="AC273" i="51" s="1"/>
  <c r="V273" i="51"/>
  <c r="AB273" i="51" s="1"/>
  <c r="X272" i="51"/>
  <c r="AD272" i="51" s="1"/>
  <c r="W272" i="51"/>
  <c r="AC272" i="51" s="1"/>
  <c r="V272" i="51"/>
  <c r="AB272" i="51" s="1"/>
  <c r="X271" i="51"/>
  <c r="AD271" i="51" s="1"/>
  <c r="W271" i="51"/>
  <c r="AC271" i="51" s="1"/>
  <c r="V271" i="51"/>
  <c r="AB271" i="51" s="1"/>
  <c r="X270" i="51"/>
  <c r="AD270" i="51" s="1"/>
  <c r="W270" i="51"/>
  <c r="AC270" i="51" s="1"/>
  <c r="V270" i="51"/>
  <c r="AB270" i="51" s="1"/>
  <c r="X269" i="51"/>
  <c r="AD269" i="51" s="1"/>
  <c r="W269" i="51"/>
  <c r="AC269" i="51" s="1"/>
  <c r="V269" i="51"/>
  <c r="AB269" i="51" s="1"/>
  <c r="X268" i="51"/>
  <c r="AD268" i="51" s="1"/>
  <c r="W268" i="51"/>
  <c r="AC268" i="51" s="1"/>
  <c r="V268" i="51"/>
  <c r="AB268" i="51" s="1"/>
  <c r="X267" i="51"/>
  <c r="AD267" i="51" s="1"/>
  <c r="W267" i="51"/>
  <c r="AC267" i="51" s="1"/>
  <c r="V267" i="51"/>
  <c r="AB267" i="51" s="1"/>
  <c r="X266" i="51"/>
  <c r="AD266" i="51" s="1"/>
  <c r="W266" i="51"/>
  <c r="AC266" i="51" s="1"/>
  <c r="V266" i="51"/>
  <c r="AB266" i="51" s="1"/>
  <c r="X265" i="51"/>
  <c r="AD265" i="51" s="1"/>
  <c r="W265" i="51"/>
  <c r="AC265" i="51" s="1"/>
  <c r="V265" i="51"/>
  <c r="AB265" i="51" s="1"/>
  <c r="X264" i="51"/>
  <c r="AD264" i="51" s="1"/>
  <c r="W264" i="51"/>
  <c r="AC264" i="51" s="1"/>
  <c r="V264" i="51"/>
  <c r="AB264" i="51" s="1"/>
  <c r="X263" i="51"/>
  <c r="AD263" i="51" s="1"/>
  <c r="W263" i="51"/>
  <c r="AC263" i="51" s="1"/>
  <c r="V263" i="51"/>
  <c r="AB263" i="51" s="1"/>
  <c r="X262" i="51"/>
  <c r="AD262" i="51" s="1"/>
  <c r="W262" i="51"/>
  <c r="AC262" i="51" s="1"/>
  <c r="V262" i="51"/>
  <c r="AB262" i="51" s="1"/>
  <c r="X261" i="51"/>
  <c r="AD261" i="51" s="1"/>
  <c r="W261" i="51"/>
  <c r="AC261" i="51" s="1"/>
  <c r="V261" i="51"/>
  <c r="AB261" i="51" s="1"/>
  <c r="X260" i="51"/>
  <c r="AD260" i="51" s="1"/>
  <c r="W260" i="51"/>
  <c r="AC260" i="51" s="1"/>
  <c r="V260" i="51"/>
  <c r="AB260" i="51" s="1"/>
  <c r="X259" i="51"/>
  <c r="AD259" i="51" s="1"/>
  <c r="W259" i="51"/>
  <c r="AC259" i="51" s="1"/>
  <c r="V259" i="51"/>
  <c r="AB259" i="51" s="1"/>
  <c r="X258" i="51"/>
  <c r="AD258" i="51" s="1"/>
  <c r="W258" i="51"/>
  <c r="AC258" i="51" s="1"/>
  <c r="V258" i="51"/>
  <c r="AB258" i="51" s="1"/>
  <c r="X257" i="51"/>
  <c r="AD257" i="51" s="1"/>
  <c r="W257" i="51"/>
  <c r="AC257" i="51" s="1"/>
  <c r="V257" i="51"/>
  <c r="AB257" i="51" s="1"/>
  <c r="X256" i="51"/>
  <c r="AD256" i="51" s="1"/>
  <c r="W256" i="51"/>
  <c r="AC256" i="51" s="1"/>
  <c r="V256" i="51"/>
  <c r="AB256" i="51" s="1"/>
  <c r="X255" i="51"/>
  <c r="AD255" i="51" s="1"/>
  <c r="W255" i="51"/>
  <c r="AC255" i="51" s="1"/>
  <c r="V255" i="51"/>
  <c r="AB255" i="51" s="1"/>
  <c r="X254" i="51"/>
  <c r="AD254" i="51" s="1"/>
  <c r="W254" i="51"/>
  <c r="AC254" i="51" s="1"/>
  <c r="V254" i="51"/>
  <c r="AB254" i="51" s="1"/>
  <c r="X253" i="51"/>
  <c r="AD253" i="51" s="1"/>
  <c r="W253" i="51"/>
  <c r="AC253" i="51" s="1"/>
  <c r="V253" i="51"/>
  <c r="AB253" i="51" s="1"/>
  <c r="X252" i="51"/>
  <c r="AD252" i="51" s="1"/>
  <c r="W252" i="51"/>
  <c r="AC252" i="51" s="1"/>
  <c r="V252" i="51"/>
  <c r="AB252" i="51" s="1"/>
  <c r="X251" i="51"/>
  <c r="AD251" i="51" s="1"/>
  <c r="W251" i="51"/>
  <c r="AC251" i="51" s="1"/>
  <c r="V251" i="51"/>
  <c r="AB251" i="51" s="1"/>
  <c r="X250" i="51"/>
  <c r="AD250" i="51" s="1"/>
  <c r="W250" i="51"/>
  <c r="AC250" i="51" s="1"/>
  <c r="V250" i="51"/>
  <c r="AB250" i="51" s="1"/>
  <c r="X249" i="51"/>
  <c r="AD249" i="51" s="1"/>
  <c r="W249" i="51"/>
  <c r="AC249" i="51" s="1"/>
  <c r="V249" i="51"/>
  <c r="AB249" i="51" s="1"/>
  <c r="X248" i="51"/>
  <c r="AD248" i="51" s="1"/>
  <c r="W248" i="51"/>
  <c r="AC248" i="51" s="1"/>
  <c r="V248" i="51"/>
  <c r="AB248" i="51" s="1"/>
  <c r="X247" i="51"/>
  <c r="AD247" i="51" s="1"/>
  <c r="W247" i="51"/>
  <c r="AC247" i="51" s="1"/>
  <c r="V247" i="51"/>
  <c r="AB247" i="51" s="1"/>
  <c r="X246" i="51"/>
  <c r="AD246" i="51" s="1"/>
  <c r="W246" i="51"/>
  <c r="AC246" i="51" s="1"/>
  <c r="V246" i="51"/>
  <c r="AB246" i="51" s="1"/>
  <c r="X245" i="51"/>
  <c r="AD245" i="51" s="1"/>
  <c r="W245" i="51"/>
  <c r="AC245" i="51" s="1"/>
  <c r="V245" i="51"/>
  <c r="AB245" i="51" s="1"/>
  <c r="X244" i="51"/>
  <c r="AD244" i="51" s="1"/>
  <c r="W244" i="51"/>
  <c r="AC244" i="51" s="1"/>
  <c r="V244" i="51"/>
  <c r="AB244" i="51" s="1"/>
  <c r="X243" i="51"/>
  <c r="AD243" i="51" s="1"/>
  <c r="W243" i="51"/>
  <c r="AC243" i="51" s="1"/>
  <c r="V243" i="51"/>
  <c r="AB243" i="51" s="1"/>
  <c r="X242" i="51"/>
  <c r="AD242" i="51" s="1"/>
  <c r="W242" i="51"/>
  <c r="AC242" i="51" s="1"/>
  <c r="V242" i="51"/>
  <c r="AB242" i="51" s="1"/>
  <c r="X241" i="51"/>
  <c r="AD241" i="51" s="1"/>
  <c r="W241" i="51"/>
  <c r="AC241" i="51" s="1"/>
  <c r="V241" i="51"/>
  <c r="AB241" i="51" s="1"/>
  <c r="X240" i="51"/>
  <c r="AD240" i="51" s="1"/>
  <c r="W240" i="51"/>
  <c r="AC240" i="51" s="1"/>
  <c r="V240" i="51"/>
  <c r="AB240" i="51" s="1"/>
  <c r="X239" i="51"/>
  <c r="AD239" i="51" s="1"/>
  <c r="W239" i="51"/>
  <c r="AC239" i="51" s="1"/>
  <c r="V239" i="51"/>
  <c r="AB239" i="51" s="1"/>
  <c r="X238" i="51"/>
  <c r="AD238" i="51" s="1"/>
  <c r="W238" i="51"/>
  <c r="AC238" i="51" s="1"/>
  <c r="V238" i="51"/>
  <c r="AB238" i="51" s="1"/>
  <c r="X237" i="51"/>
  <c r="AD237" i="51" s="1"/>
  <c r="W237" i="51"/>
  <c r="AC237" i="51" s="1"/>
  <c r="V237" i="51"/>
  <c r="AB237" i="51" s="1"/>
  <c r="X236" i="51"/>
  <c r="AD236" i="51" s="1"/>
  <c r="W236" i="51"/>
  <c r="AC236" i="51" s="1"/>
  <c r="V236" i="51"/>
  <c r="AB236" i="51" s="1"/>
  <c r="X235" i="51"/>
  <c r="AD235" i="51" s="1"/>
  <c r="W235" i="51"/>
  <c r="AC235" i="51" s="1"/>
  <c r="V235" i="51"/>
  <c r="AB235" i="51" s="1"/>
  <c r="X234" i="51"/>
  <c r="AD234" i="51" s="1"/>
  <c r="W234" i="51"/>
  <c r="AC234" i="51" s="1"/>
  <c r="V234" i="51"/>
  <c r="AB234" i="51" s="1"/>
  <c r="X233" i="51"/>
  <c r="AD233" i="51" s="1"/>
  <c r="W233" i="51"/>
  <c r="AC233" i="51" s="1"/>
  <c r="V233" i="51"/>
  <c r="AB233" i="51" s="1"/>
  <c r="X232" i="51"/>
  <c r="AD232" i="51" s="1"/>
  <c r="W232" i="51"/>
  <c r="AC232" i="51" s="1"/>
  <c r="V232" i="51"/>
  <c r="AB232" i="51" s="1"/>
  <c r="X231" i="51"/>
  <c r="AD231" i="51" s="1"/>
  <c r="W231" i="51"/>
  <c r="AC231" i="51" s="1"/>
  <c r="V231" i="51"/>
  <c r="AB231" i="51" s="1"/>
  <c r="X230" i="51"/>
  <c r="AD230" i="51" s="1"/>
  <c r="W230" i="51"/>
  <c r="AC230" i="51" s="1"/>
  <c r="V230" i="51"/>
  <c r="AB230" i="51" s="1"/>
  <c r="X229" i="51"/>
  <c r="AD229" i="51" s="1"/>
  <c r="W229" i="51"/>
  <c r="AC229" i="51" s="1"/>
  <c r="V229" i="51"/>
  <c r="AB229" i="51" s="1"/>
  <c r="X228" i="51"/>
  <c r="AD228" i="51" s="1"/>
  <c r="W228" i="51"/>
  <c r="AC228" i="51" s="1"/>
  <c r="V228" i="51"/>
  <c r="AB228" i="51" s="1"/>
  <c r="X227" i="51"/>
  <c r="AD227" i="51" s="1"/>
  <c r="W227" i="51"/>
  <c r="AC227" i="51" s="1"/>
  <c r="V227" i="51"/>
  <c r="AB227" i="51" s="1"/>
  <c r="X226" i="51"/>
  <c r="AD226" i="51" s="1"/>
  <c r="W226" i="51"/>
  <c r="AC226" i="51" s="1"/>
  <c r="V226" i="51"/>
  <c r="AB226" i="51" s="1"/>
  <c r="X225" i="51"/>
  <c r="AD225" i="51" s="1"/>
  <c r="W225" i="51"/>
  <c r="AC225" i="51" s="1"/>
  <c r="V225" i="51"/>
  <c r="AB225" i="51" s="1"/>
  <c r="X224" i="51"/>
  <c r="AD224" i="51" s="1"/>
  <c r="W224" i="51"/>
  <c r="AC224" i="51" s="1"/>
  <c r="V224" i="51"/>
  <c r="AB224" i="51" s="1"/>
  <c r="X223" i="51"/>
  <c r="AD223" i="51" s="1"/>
  <c r="W223" i="51"/>
  <c r="AC223" i="51" s="1"/>
  <c r="V223" i="51"/>
  <c r="AB223" i="51" s="1"/>
  <c r="X222" i="51"/>
  <c r="AD222" i="51" s="1"/>
  <c r="W222" i="51"/>
  <c r="AC222" i="51" s="1"/>
  <c r="V222" i="51"/>
  <c r="AB222" i="51" s="1"/>
  <c r="X221" i="51"/>
  <c r="AD221" i="51" s="1"/>
  <c r="W221" i="51"/>
  <c r="AC221" i="51" s="1"/>
  <c r="V221" i="51"/>
  <c r="AB221" i="51" s="1"/>
  <c r="X220" i="51"/>
  <c r="AD220" i="51" s="1"/>
  <c r="W220" i="51"/>
  <c r="AC220" i="51" s="1"/>
  <c r="V220" i="51"/>
  <c r="AB220" i="51" s="1"/>
  <c r="X219" i="51"/>
  <c r="AD219" i="51" s="1"/>
  <c r="W219" i="51"/>
  <c r="AC219" i="51" s="1"/>
  <c r="V219" i="51"/>
  <c r="AB219" i="51" s="1"/>
  <c r="X218" i="51"/>
  <c r="AD218" i="51" s="1"/>
  <c r="W218" i="51"/>
  <c r="AC218" i="51" s="1"/>
  <c r="V218" i="51"/>
  <c r="AB218" i="51" s="1"/>
  <c r="X217" i="51"/>
  <c r="AD217" i="51" s="1"/>
  <c r="W217" i="51"/>
  <c r="AC217" i="51" s="1"/>
  <c r="V217" i="51"/>
  <c r="AB217" i="51" s="1"/>
  <c r="X216" i="51"/>
  <c r="AD216" i="51" s="1"/>
  <c r="W216" i="51"/>
  <c r="AC216" i="51" s="1"/>
  <c r="V216" i="51"/>
  <c r="AB216" i="51" s="1"/>
  <c r="X215" i="51"/>
  <c r="AD215" i="51" s="1"/>
  <c r="W215" i="51"/>
  <c r="AC215" i="51" s="1"/>
  <c r="V215" i="51"/>
  <c r="AB215" i="51" s="1"/>
  <c r="X214" i="51"/>
  <c r="AD214" i="51" s="1"/>
  <c r="W214" i="51"/>
  <c r="AC214" i="51" s="1"/>
  <c r="V214" i="51"/>
  <c r="AB214" i="51" s="1"/>
  <c r="X213" i="51"/>
  <c r="AD213" i="51" s="1"/>
  <c r="W213" i="51"/>
  <c r="AC213" i="51" s="1"/>
  <c r="V213" i="51"/>
  <c r="AB213" i="51" s="1"/>
  <c r="X212" i="51"/>
  <c r="AD212" i="51" s="1"/>
  <c r="W212" i="51"/>
  <c r="AC212" i="51" s="1"/>
  <c r="V212" i="51"/>
  <c r="AB212" i="51" s="1"/>
  <c r="X211" i="51"/>
  <c r="AD211" i="51" s="1"/>
  <c r="W211" i="51"/>
  <c r="AC211" i="51" s="1"/>
  <c r="V211" i="51"/>
  <c r="AB211" i="51" s="1"/>
  <c r="X210" i="51"/>
  <c r="AD210" i="51" s="1"/>
  <c r="W210" i="51"/>
  <c r="AC210" i="51" s="1"/>
  <c r="V210" i="51"/>
  <c r="AB210" i="51" s="1"/>
  <c r="X209" i="51"/>
  <c r="AD209" i="51" s="1"/>
  <c r="W209" i="51"/>
  <c r="AC209" i="51" s="1"/>
  <c r="V209" i="51"/>
  <c r="AB209" i="51" s="1"/>
  <c r="X208" i="51"/>
  <c r="AD208" i="51" s="1"/>
  <c r="W208" i="51"/>
  <c r="AC208" i="51" s="1"/>
  <c r="V208" i="51"/>
  <c r="AB208" i="51" s="1"/>
  <c r="X207" i="51"/>
  <c r="AD207" i="51" s="1"/>
  <c r="W207" i="51"/>
  <c r="AC207" i="51" s="1"/>
  <c r="V207" i="51"/>
  <c r="AB207" i="51" s="1"/>
  <c r="X206" i="51"/>
  <c r="AD206" i="51" s="1"/>
  <c r="W206" i="51"/>
  <c r="AC206" i="51" s="1"/>
  <c r="V206" i="51"/>
  <c r="AB206" i="51" s="1"/>
  <c r="X205" i="51"/>
  <c r="AD205" i="51" s="1"/>
  <c r="W205" i="51"/>
  <c r="AC205" i="51" s="1"/>
  <c r="V205" i="51"/>
  <c r="AB205" i="51" s="1"/>
  <c r="X204" i="51"/>
  <c r="AD204" i="51" s="1"/>
  <c r="W204" i="51"/>
  <c r="AC204" i="51" s="1"/>
  <c r="V204" i="51"/>
  <c r="AB204" i="51" s="1"/>
  <c r="X203" i="51"/>
  <c r="AD203" i="51" s="1"/>
  <c r="W203" i="51"/>
  <c r="AC203" i="51" s="1"/>
  <c r="V203" i="51"/>
  <c r="AB203" i="51" s="1"/>
  <c r="X202" i="51"/>
  <c r="AD202" i="51" s="1"/>
  <c r="W202" i="51"/>
  <c r="AC202" i="51" s="1"/>
  <c r="V202" i="51"/>
  <c r="AB202" i="51" s="1"/>
  <c r="X201" i="51"/>
  <c r="AD201" i="51" s="1"/>
  <c r="W201" i="51"/>
  <c r="AC201" i="51" s="1"/>
  <c r="V201" i="51"/>
  <c r="AB201" i="51" s="1"/>
  <c r="X200" i="51"/>
  <c r="AD200" i="51" s="1"/>
  <c r="W200" i="51"/>
  <c r="AC200" i="51" s="1"/>
  <c r="V200" i="51"/>
  <c r="AB200" i="51" s="1"/>
  <c r="X199" i="51"/>
  <c r="AD199" i="51" s="1"/>
  <c r="W199" i="51"/>
  <c r="AC199" i="51" s="1"/>
  <c r="V199" i="51"/>
  <c r="AB199" i="51" s="1"/>
  <c r="X198" i="51"/>
  <c r="AD198" i="51" s="1"/>
  <c r="W198" i="51"/>
  <c r="AC198" i="51" s="1"/>
  <c r="V198" i="51"/>
  <c r="AB198" i="51" s="1"/>
  <c r="X197" i="51"/>
  <c r="AD197" i="51" s="1"/>
  <c r="W197" i="51"/>
  <c r="AC197" i="51" s="1"/>
  <c r="V197" i="51"/>
  <c r="AB197" i="51" s="1"/>
  <c r="X196" i="51"/>
  <c r="AD196" i="51" s="1"/>
  <c r="W196" i="51"/>
  <c r="AC196" i="51" s="1"/>
  <c r="V196" i="51"/>
  <c r="AB196" i="51" s="1"/>
  <c r="X195" i="51"/>
  <c r="AD195" i="51" s="1"/>
  <c r="W195" i="51"/>
  <c r="AC195" i="51" s="1"/>
  <c r="V195" i="51"/>
  <c r="AB195" i="51" s="1"/>
  <c r="X194" i="51"/>
  <c r="AD194" i="51" s="1"/>
  <c r="W194" i="51"/>
  <c r="AC194" i="51" s="1"/>
  <c r="V194" i="51"/>
  <c r="AB194" i="51" s="1"/>
  <c r="X193" i="51"/>
  <c r="AD193" i="51" s="1"/>
  <c r="W193" i="51"/>
  <c r="AC193" i="51" s="1"/>
  <c r="V193" i="51"/>
  <c r="AB193" i="51" s="1"/>
  <c r="X192" i="51"/>
  <c r="AD192" i="51" s="1"/>
  <c r="W192" i="51"/>
  <c r="AC192" i="51" s="1"/>
  <c r="V192" i="51"/>
  <c r="AB192" i="51" s="1"/>
  <c r="X191" i="51"/>
  <c r="AD191" i="51" s="1"/>
  <c r="W191" i="51"/>
  <c r="AC191" i="51" s="1"/>
  <c r="V191" i="51"/>
  <c r="AB191" i="51" s="1"/>
  <c r="X190" i="51"/>
  <c r="AD190" i="51" s="1"/>
  <c r="W190" i="51"/>
  <c r="AC190" i="51" s="1"/>
  <c r="V190" i="51"/>
  <c r="AB190" i="51" s="1"/>
  <c r="X189" i="51"/>
  <c r="AD189" i="51" s="1"/>
  <c r="W189" i="51"/>
  <c r="AC189" i="51" s="1"/>
  <c r="V189" i="51"/>
  <c r="AB189" i="51" s="1"/>
  <c r="X188" i="51"/>
  <c r="AD188" i="51" s="1"/>
  <c r="W188" i="51"/>
  <c r="AC188" i="51" s="1"/>
  <c r="V188" i="51"/>
  <c r="AB188" i="51" s="1"/>
  <c r="X187" i="51"/>
  <c r="AD187" i="51" s="1"/>
  <c r="W187" i="51"/>
  <c r="AC187" i="51" s="1"/>
  <c r="V187" i="51"/>
  <c r="AB187" i="51" s="1"/>
  <c r="X186" i="51"/>
  <c r="AD186" i="51" s="1"/>
  <c r="W186" i="51"/>
  <c r="AC186" i="51" s="1"/>
  <c r="V186" i="51"/>
  <c r="AB186" i="51" s="1"/>
  <c r="X185" i="51"/>
  <c r="AD185" i="51" s="1"/>
  <c r="W185" i="51"/>
  <c r="AC185" i="51" s="1"/>
  <c r="V185" i="51"/>
  <c r="AB185" i="51" s="1"/>
  <c r="X184" i="51"/>
  <c r="AD184" i="51" s="1"/>
  <c r="W184" i="51"/>
  <c r="AC184" i="51" s="1"/>
  <c r="V184" i="51"/>
  <c r="AB184" i="51" s="1"/>
  <c r="X135" i="51"/>
  <c r="AD135" i="51" s="1"/>
  <c r="W135" i="51"/>
  <c r="AC135" i="51" s="1"/>
  <c r="V135" i="51"/>
  <c r="AB135" i="51" s="1"/>
  <c r="X134" i="51"/>
  <c r="AD134" i="51" s="1"/>
  <c r="W134" i="51"/>
  <c r="AC134" i="51" s="1"/>
  <c r="V134" i="51"/>
  <c r="AB134" i="51" s="1"/>
  <c r="X133" i="51"/>
  <c r="AD133" i="51" s="1"/>
  <c r="W133" i="51"/>
  <c r="AC133" i="51" s="1"/>
  <c r="V133" i="51"/>
  <c r="AB133" i="51" s="1"/>
  <c r="X132" i="51"/>
  <c r="AD132" i="51" s="1"/>
  <c r="W132" i="51"/>
  <c r="AC132" i="51" s="1"/>
  <c r="V132" i="51"/>
  <c r="AB132" i="51" s="1"/>
  <c r="X131" i="51"/>
  <c r="AD131" i="51" s="1"/>
  <c r="W131" i="51"/>
  <c r="AC131" i="51" s="1"/>
  <c r="V131" i="51"/>
  <c r="AB131" i="51" s="1"/>
  <c r="X130" i="51"/>
  <c r="AD130" i="51" s="1"/>
  <c r="W130" i="51"/>
  <c r="AC130" i="51" s="1"/>
  <c r="V130" i="51"/>
  <c r="AB130" i="51" s="1"/>
  <c r="X129" i="51"/>
  <c r="AD129" i="51" s="1"/>
  <c r="W129" i="51"/>
  <c r="AC129" i="51" s="1"/>
  <c r="V129" i="51"/>
  <c r="AB129" i="51" s="1"/>
  <c r="X128" i="51"/>
  <c r="AD128" i="51" s="1"/>
  <c r="W128" i="51"/>
  <c r="AC128" i="51" s="1"/>
  <c r="V128" i="51"/>
  <c r="AB128" i="51" s="1"/>
  <c r="X127" i="51"/>
  <c r="AD127" i="51" s="1"/>
  <c r="W127" i="51"/>
  <c r="AC127" i="51" s="1"/>
  <c r="V127" i="51"/>
  <c r="AB127" i="51" s="1"/>
  <c r="X126" i="51"/>
  <c r="AD126" i="51" s="1"/>
  <c r="W126" i="51"/>
  <c r="AC126" i="51" s="1"/>
  <c r="V126" i="51"/>
  <c r="AB126" i="51" s="1"/>
  <c r="X125" i="51"/>
  <c r="AD125" i="51" s="1"/>
  <c r="W125" i="51"/>
  <c r="AC125" i="51" s="1"/>
  <c r="V125" i="51"/>
  <c r="AB125" i="51" s="1"/>
  <c r="X124" i="51"/>
  <c r="AD124" i="51" s="1"/>
  <c r="W124" i="51"/>
  <c r="AC124" i="51" s="1"/>
  <c r="V124" i="51"/>
  <c r="AB124" i="51" s="1"/>
  <c r="X123" i="51"/>
  <c r="AD123" i="51" s="1"/>
  <c r="W123" i="51"/>
  <c r="AC123" i="51" s="1"/>
  <c r="V123" i="51"/>
  <c r="AB123" i="51" s="1"/>
  <c r="X122" i="51"/>
  <c r="AD122" i="51" s="1"/>
  <c r="W122" i="51"/>
  <c r="AC122" i="51" s="1"/>
  <c r="V122" i="51"/>
  <c r="AB122" i="51" s="1"/>
  <c r="X121" i="51"/>
  <c r="AD121" i="51" s="1"/>
  <c r="W121" i="51"/>
  <c r="AC121" i="51" s="1"/>
  <c r="V121" i="51"/>
  <c r="AB121" i="51" s="1"/>
  <c r="X120" i="51"/>
  <c r="AD120" i="51" s="1"/>
  <c r="W120" i="51"/>
  <c r="AC120" i="51" s="1"/>
  <c r="V120" i="51"/>
  <c r="AB120" i="51" s="1"/>
  <c r="X119" i="51"/>
  <c r="AD119" i="51" s="1"/>
  <c r="W119" i="51"/>
  <c r="AC119" i="51" s="1"/>
  <c r="V119" i="51"/>
  <c r="AB119" i="51" s="1"/>
  <c r="X118" i="51"/>
  <c r="AD118" i="51" s="1"/>
  <c r="W118" i="51"/>
  <c r="AC118" i="51" s="1"/>
  <c r="V118" i="51"/>
  <c r="AB118" i="51" s="1"/>
  <c r="X117" i="51"/>
  <c r="AD117" i="51" s="1"/>
  <c r="W117" i="51"/>
  <c r="AC117" i="51" s="1"/>
  <c r="V117" i="51"/>
  <c r="AB117" i="51" s="1"/>
  <c r="X116" i="51"/>
  <c r="AD116" i="51" s="1"/>
  <c r="W116" i="51"/>
  <c r="AC116" i="51" s="1"/>
  <c r="V116" i="51"/>
  <c r="AB116" i="51" s="1"/>
  <c r="X115" i="51"/>
  <c r="AD115" i="51" s="1"/>
  <c r="W115" i="51"/>
  <c r="AC115" i="51" s="1"/>
  <c r="V115" i="51"/>
  <c r="AB115" i="51" s="1"/>
  <c r="X114" i="51"/>
  <c r="AD114" i="51" s="1"/>
  <c r="W114" i="51"/>
  <c r="AC114" i="51" s="1"/>
  <c r="V114" i="51"/>
  <c r="AB114" i="51" s="1"/>
  <c r="X113" i="51"/>
  <c r="AD113" i="51" s="1"/>
  <c r="W113" i="51"/>
  <c r="AC113" i="51" s="1"/>
  <c r="V113" i="51"/>
  <c r="AB113" i="51" s="1"/>
  <c r="X112" i="51"/>
  <c r="AD112" i="51" s="1"/>
  <c r="W112" i="51"/>
  <c r="AC112" i="51" s="1"/>
  <c r="V112" i="51"/>
  <c r="AB112" i="51" s="1"/>
  <c r="X111" i="51"/>
  <c r="AD111" i="51" s="1"/>
  <c r="W111" i="51"/>
  <c r="AC111" i="51" s="1"/>
  <c r="V111" i="51"/>
  <c r="AB111" i="51" s="1"/>
  <c r="X110" i="51"/>
  <c r="AD110" i="51" s="1"/>
  <c r="W110" i="51"/>
  <c r="AC110" i="51" s="1"/>
  <c r="V110" i="51"/>
  <c r="AB110" i="51" s="1"/>
  <c r="X109" i="51"/>
  <c r="AD109" i="51" s="1"/>
  <c r="W109" i="51"/>
  <c r="AC109" i="51" s="1"/>
  <c r="V109" i="51"/>
  <c r="AB109" i="51" s="1"/>
  <c r="X108" i="51"/>
  <c r="AD108" i="51" s="1"/>
  <c r="W108" i="51"/>
  <c r="AC108" i="51" s="1"/>
  <c r="V108" i="51"/>
  <c r="AB108" i="51" s="1"/>
  <c r="X107" i="51"/>
  <c r="AD107" i="51" s="1"/>
  <c r="W107" i="51"/>
  <c r="AC107" i="51" s="1"/>
  <c r="V107" i="51"/>
  <c r="AB107" i="51" s="1"/>
  <c r="X106" i="51"/>
  <c r="AD106" i="51" s="1"/>
  <c r="W106" i="51"/>
  <c r="AC106" i="51" s="1"/>
  <c r="V106" i="51"/>
  <c r="AB106" i="51" s="1"/>
  <c r="X105" i="51"/>
  <c r="AD105" i="51" s="1"/>
  <c r="W105" i="51"/>
  <c r="AC105" i="51" s="1"/>
  <c r="V105" i="51"/>
  <c r="AB105" i="51" s="1"/>
  <c r="X104" i="51"/>
  <c r="AD104" i="51" s="1"/>
  <c r="W104" i="51"/>
  <c r="AC104" i="51" s="1"/>
  <c r="V104" i="51"/>
  <c r="AB104" i="51" s="1"/>
  <c r="X103" i="51"/>
  <c r="AD103" i="51" s="1"/>
  <c r="W103" i="51"/>
  <c r="AC103" i="51" s="1"/>
  <c r="V103" i="51"/>
  <c r="AB103" i="51" s="1"/>
  <c r="X102" i="51"/>
  <c r="AD102" i="51" s="1"/>
  <c r="W102" i="51"/>
  <c r="AC102" i="51" s="1"/>
  <c r="V102" i="51"/>
  <c r="AB102" i="51" s="1"/>
  <c r="X101" i="51"/>
  <c r="AD101" i="51" s="1"/>
  <c r="W101" i="51"/>
  <c r="AC101" i="51" s="1"/>
  <c r="V101" i="51"/>
  <c r="AB101" i="51" s="1"/>
  <c r="X100" i="51"/>
  <c r="AD100" i="51" s="1"/>
  <c r="W100" i="51"/>
  <c r="AC100" i="51" s="1"/>
  <c r="V100" i="51"/>
  <c r="AB100" i="51" s="1"/>
  <c r="X99" i="51"/>
  <c r="AD99" i="51" s="1"/>
  <c r="W99" i="51"/>
  <c r="AC99" i="51" s="1"/>
  <c r="V99" i="51"/>
  <c r="AB99" i="51" s="1"/>
  <c r="X98" i="51"/>
  <c r="AD98" i="51" s="1"/>
  <c r="W98" i="51"/>
  <c r="AC98" i="51" s="1"/>
  <c r="V98" i="51"/>
  <c r="AB98" i="51" s="1"/>
  <c r="X97" i="51"/>
  <c r="AD97" i="51" s="1"/>
  <c r="W97" i="51"/>
  <c r="AC97" i="51" s="1"/>
  <c r="V97" i="51"/>
  <c r="AB97" i="51" s="1"/>
  <c r="X96" i="51"/>
  <c r="AD96" i="51" s="1"/>
  <c r="W96" i="51"/>
  <c r="AC96" i="51" s="1"/>
  <c r="V96" i="51"/>
  <c r="AB96" i="51" s="1"/>
  <c r="X95" i="51"/>
  <c r="AD95" i="51" s="1"/>
  <c r="W95" i="51"/>
  <c r="AC95" i="51" s="1"/>
  <c r="V95" i="51"/>
  <c r="AB95" i="51" s="1"/>
  <c r="X94" i="51"/>
  <c r="AD94" i="51" s="1"/>
  <c r="W94" i="51"/>
  <c r="AC94" i="51" s="1"/>
  <c r="V94" i="51"/>
  <c r="AB94" i="51" s="1"/>
  <c r="X93" i="51"/>
  <c r="AD93" i="51" s="1"/>
  <c r="W93" i="51"/>
  <c r="AC93" i="51" s="1"/>
  <c r="V93" i="51"/>
  <c r="AB93" i="51" s="1"/>
  <c r="X92" i="51"/>
  <c r="AD92" i="51" s="1"/>
  <c r="W92" i="51"/>
  <c r="AC92" i="51" s="1"/>
  <c r="V92" i="51"/>
  <c r="AB92" i="51" s="1"/>
  <c r="X91" i="51"/>
  <c r="AD91" i="51" s="1"/>
  <c r="W91" i="51"/>
  <c r="AC91" i="51" s="1"/>
  <c r="V91" i="51"/>
  <c r="AB91" i="51" s="1"/>
  <c r="X90" i="51"/>
  <c r="AD90" i="51" s="1"/>
  <c r="W90" i="51"/>
  <c r="AC90" i="51" s="1"/>
  <c r="V90" i="51"/>
  <c r="AB90" i="51" s="1"/>
  <c r="X89" i="51"/>
  <c r="AD89" i="51" s="1"/>
  <c r="W89" i="51"/>
  <c r="AC89" i="51" s="1"/>
  <c r="V89" i="51"/>
  <c r="AB89" i="51" s="1"/>
  <c r="X88" i="51"/>
  <c r="AD88" i="51" s="1"/>
  <c r="W88" i="51"/>
  <c r="AC88" i="51" s="1"/>
  <c r="V88" i="51"/>
  <c r="AB88" i="51" s="1"/>
  <c r="X87" i="51"/>
  <c r="AD87" i="51" s="1"/>
  <c r="W87" i="51"/>
  <c r="AC87" i="51" s="1"/>
  <c r="V87" i="51"/>
  <c r="AB87" i="51" s="1"/>
  <c r="X86" i="51"/>
  <c r="AD86" i="51" s="1"/>
  <c r="W86" i="51"/>
  <c r="AC86" i="51" s="1"/>
  <c r="V86" i="51"/>
  <c r="AB86" i="51" s="1"/>
  <c r="X85" i="51"/>
  <c r="AD85" i="51" s="1"/>
  <c r="W85" i="51"/>
  <c r="AC85" i="51" s="1"/>
  <c r="V85" i="51"/>
  <c r="AB85" i="51" s="1"/>
  <c r="X84" i="51"/>
  <c r="AD84" i="51" s="1"/>
  <c r="W84" i="51"/>
  <c r="AC84" i="51" s="1"/>
  <c r="V84" i="51"/>
  <c r="AB84" i="51" s="1"/>
  <c r="X83" i="51"/>
  <c r="AD83" i="51" s="1"/>
  <c r="W83" i="51"/>
  <c r="AC83" i="51" s="1"/>
  <c r="V83" i="51"/>
  <c r="AB83" i="51" s="1"/>
  <c r="X82" i="51"/>
  <c r="AD82" i="51" s="1"/>
  <c r="W82" i="51"/>
  <c r="AC82" i="51" s="1"/>
  <c r="V82" i="51"/>
  <c r="AB82" i="51" s="1"/>
  <c r="X81" i="51"/>
  <c r="AD81" i="51" s="1"/>
  <c r="W81" i="51"/>
  <c r="AC81" i="51" s="1"/>
  <c r="V81" i="51"/>
  <c r="AB81" i="51" s="1"/>
  <c r="X80" i="51"/>
  <c r="AD80" i="51" s="1"/>
  <c r="W80" i="51"/>
  <c r="AC80" i="51" s="1"/>
  <c r="V80" i="51"/>
  <c r="AB80" i="51" s="1"/>
  <c r="X79" i="51"/>
  <c r="AD79" i="51" s="1"/>
  <c r="W79" i="51"/>
  <c r="AC79" i="51" s="1"/>
  <c r="V79" i="51"/>
  <c r="AB79" i="51" s="1"/>
  <c r="X78" i="51"/>
  <c r="AD78" i="51" s="1"/>
  <c r="W78" i="51"/>
  <c r="AC78" i="51" s="1"/>
  <c r="V78" i="51"/>
  <c r="AB78" i="51" s="1"/>
  <c r="X77" i="51"/>
  <c r="AD77" i="51" s="1"/>
  <c r="W77" i="51"/>
  <c r="AC77" i="51" s="1"/>
  <c r="V77" i="51"/>
  <c r="AB77" i="51" s="1"/>
  <c r="X76" i="51"/>
  <c r="AD76" i="51" s="1"/>
  <c r="W76" i="51"/>
  <c r="AC76" i="51" s="1"/>
  <c r="V76" i="51"/>
  <c r="AB76" i="51" s="1"/>
  <c r="X75" i="51"/>
  <c r="AD75" i="51" s="1"/>
  <c r="W75" i="51"/>
  <c r="AC75" i="51" s="1"/>
  <c r="V75" i="51"/>
  <c r="AB75" i="51" s="1"/>
  <c r="X74" i="51"/>
  <c r="AD74" i="51" s="1"/>
  <c r="W74" i="51"/>
  <c r="AC74" i="51" s="1"/>
  <c r="V74" i="51"/>
  <c r="AB74" i="51" s="1"/>
  <c r="X73" i="51"/>
  <c r="AD73" i="51" s="1"/>
  <c r="W73" i="51"/>
  <c r="AC73" i="51" s="1"/>
  <c r="V73" i="51"/>
  <c r="AB73" i="51" s="1"/>
  <c r="X72" i="51"/>
  <c r="AD72" i="51" s="1"/>
  <c r="W72" i="51"/>
  <c r="AC72" i="51" s="1"/>
  <c r="V72" i="51"/>
  <c r="AB72" i="51" s="1"/>
  <c r="X71" i="51"/>
  <c r="AD71" i="51" s="1"/>
  <c r="W71" i="51"/>
  <c r="AC71" i="51" s="1"/>
  <c r="V71" i="51"/>
  <c r="AB71" i="51" s="1"/>
  <c r="X70" i="51"/>
  <c r="AD70" i="51" s="1"/>
  <c r="W70" i="51"/>
  <c r="AC70" i="51" s="1"/>
  <c r="V70" i="51"/>
  <c r="AB70" i="51" s="1"/>
  <c r="X69" i="51"/>
  <c r="AD69" i="51" s="1"/>
  <c r="W69" i="51"/>
  <c r="AC69" i="51" s="1"/>
  <c r="V69" i="51"/>
  <c r="AB69" i="51" s="1"/>
  <c r="X68" i="51"/>
  <c r="AD68" i="51" s="1"/>
  <c r="W68" i="51"/>
  <c r="AC68" i="51" s="1"/>
  <c r="V68" i="51"/>
  <c r="AB68" i="51" s="1"/>
  <c r="X67" i="51"/>
  <c r="AD67" i="51" s="1"/>
  <c r="W67" i="51"/>
  <c r="AC67" i="51" s="1"/>
  <c r="V67" i="51"/>
  <c r="AB67" i="51" s="1"/>
  <c r="X66" i="51"/>
  <c r="AD66" i="51" s="1"/>
  <c r="W66" i="51"/>
  <c r="AC66" i="51" s="1"/>
  <c r="V66" i="51"/>
  <c r="AB66" i="51" s="1"/>
  <c r="X65" i="51"/>
  <c r="AD65" i="51" s="1"/>
  <c r="W65" i="51"/>
  <c r="AC65" i="51" s="1"/>
  <c r="V65" i="51"/>
  <c r="AB65" i="51" s="1"/>
  <c r="X64" i="51"/>
  <c r="AD64" i="51" s="1"/>
  <c r="W64" i="51"/>
  <c r="AC64" i="51" s="1"/>
  <c r="V64" i="51"/>
  <c r="AB64" i="51" s="1"/>
  <c r="X63" i="51"/>
  <c r="AD63" i="51" s="1"/>
  <c r="W63" i="51"/>
  <c r="AC63" i="51" s="1"/>
  <c r="V63" i="51"/>
  <c r="AB63" i="51" s="1"/>
  <c r="X62" i="51"/>
  <c r="AD62" i="51" s="1"/>
  <c r="W62" i="51"/>
  <c r="AC62" i="51" s="1"/>
  <c r="V62" i="51"/>
  <c r="AB62" i="51" s="1"/>
  <c r="X61" i="51"/>
  <c r="AD61" i="51" s="1"/>
  <c r="W61" i="51"/>
  <c r="AC61" i="51" s="1"/>
  <c r="V61" i="51"/>
  <c r="AB61" i="51" s="1"/>
  <c r="X60" i="51"/>
  <c r="AD60" i="51" s="1"/>
  <c r="W60" i="51"/>
  <c r="AC60" i="51" s="1"/>
  <c r="V60" i="51"/>
  <c r="AB60" i="51" s="1"/>
  <c r="X59" i="51"/>
  <c r="AD59" i="51" s="1"/>
  <c r="W59" i="51"/>
  <c r="AC59" i="51" s="1"/>
  <c r="V59" i="51"/>
  <c r="AB59" i="51" s="1"/>
  <c r="X58" i="51"/>
  <c r="AD58" i="51" s="1"/>
  <c r="W58" i="51"/>
  <c r="AC58" i="51" s="1"/>
  <c r="V58" i="51"/>
  <c r="AB58" i="51" s="1"/>
  <c r="X57" i="51"/>
  <c r="AD57" i="51" s="1"/>
  <c r="W57" i="51"/>
  <c r="AC57" i="51" s="1"/>
  <c r="V57" i="51"/>
  <c r="AB57" i="51" s="1"/>
  <c r="X56" i="51"/>
  <c r="AD56" i="51" s="1"/>
  <c r="W56" i="51"/>
  <c r="AC56" i="51" s="1"/>
  <c r="V56" i="51"/>
  <c r="AB56" i="51" s="1"/>
  <c r="X55" i="51"/>
  <c r="AD55" i="51" s="1"/>
  <c r="W55" i="51"/>
  <c r="AC55" i="51" s="1"/>
  <c r="V55" i="51"/>
  <c r="AB55" i="51" s="1"/>
  <c r="X54" i="51"/>
  <c r="AD54" i="51" s="1"/>
  <c r="W54" i="51"/>
  <c r="AC54" i="51" s="1"/>
  <c r="V54" i="51"/>
  <c r="AB54" i="51" s="1"/>
  <c r="X53" i="51"/>
  <c r="AD53" i="51" s="1"/>
  <c r="W53" i="51"/>
  <c r="AC53" i="51" s="1"/>
  <c r="V53" i="51"/>
  <c r="AB53" i="51" s="1"/>
  <c r="X52" i="51"/>
  <c r="AD52" i="51" s="1"/>
  <c r="W52" i="51"/>
  <c r="AC52" i="51" s="1"/>
  <c r="V52" i="51"/>
  <c r="AB52" i="51" s="1"/>
  <c r="X51" i="51"/>
  <c r="AD51" i="51" s="1"/>
  <c r="W51" i="51"/>
  <c r="AC51" i="51" s="1"/>
  <c r="V51" i="51"/>
  <c r="AB51" i="51" s="1"/>
  <c r="X50" i="51"/>
  <c r="AD50" i="51" s="1"/>
  <c r="W50" i="51"/>
  <c r="AC50" i="51" s="1"/>
  <c r="V50" i="51"/>
  <c r="AB50" i="51" s="1"/>
  <c r="X49" i="51"/>
  <c r="AD49" i="51" s="1"/>
  <c r="W49" i="51"/>
  <c r="AC49" i="51" s="1"/>
  <c r="V49" i="51"/>
  <c r="AB49" i="51" s="1"/>
  <c r="X48" i="51"/>
  <c r="AD48" i="51" s="1"/>
  <c r="W48" i="51"/>
  <c r="AC48" i="51" s="1"/>
  <c r="V48" i="51"/>
  <c r="AB48" i="51" s="1"/>
  <c r="X47" i="51"/>
  <c r="AD47" i="51" s="1"/>
  <c r="W47" i="51"/>
  <c r="AC47" i="51" s="1"/>
  <c r="V47" i="51"/>
  <c r="AB47" i="51" s="1"/>
  <c r="X46" i="51"/>
  <c r="AD46" i="51" s="1"/>
  <c r="W46" i="51"/>
  <c r="AC46" i="51" s="1"/>
  <c r="V46" i="51"/>
  <c r="AB46" i="51" s="1"/>
  <c r="X45" i="51"/>
  <c r="AD45" i="51" s="1"/>
  <c r="W45" i="51"/>
  <c r="AC45" i="51" s="1"/>
  <c r="V45" i="51"/>
  <c r="AB45" i="51" s="1"/>
  <c r="X44" i="51"/>
  <c r="AD44" i="51" s="1"/>
  <c r="W44" i="51"/>
  <c r="AC44" i="51" s="1"/>
  <c r="V44" i="51"/>
  <c r="AB44" i="51" s="1"/>
  <c r="X43" i="51"/>
  <c r="AD43" i="51" s="1"/>
  <c r="W43" i="51"/>
  <c r="AC43" i="51" s="1"/>
  <c r="V43" i="51"/>
  <c r="AB43" i="51" s="1"/>
  <c r="X42" i="51"/>
  <c r="AD42" i="51" s="1"/>
  <c r="W42" i="51"/>
  <c r="AC42" i="51" s="1"/>
  <c r="V42" i="51"/>
  <c r="AB42" i="51" s="1"/>
  <c r="X41" i="51"/>
  <c r="AD41" i="51" s="1"/>
  <c r="W41" i="51"/>
  <c r="AC41" i="51" s="1"/>
  <c r="V41" i="51"/>
  <c r="AB41" i="51" s="1"/>
  <c r="X40" i="51"/>
  <c r="AD40" i="51" s="1"/>
  <c r="W40" i="51"/>
  <c r="AC40" i="51" s="1"/>
  <c r="V40" i="51"/>
  <c r="AB40" i="51" s="1"/>
  <c r="X39" i="51"/>
  <c r="AD39" i="51" s="1"/>
  <c r="W39" i="51"/>
  <c r="AC39" i="51" s="1"/>
  <c r="V39" i="51"/>
  <c r="AB39" i="51" s="1"/>
  <c r="X38" i="51"/>
  <c r="AD38" i="51" s="1"/>
  <c r="W38" i="51"/>
  <c r="AC38" i="51" s="1"/>
  <c r="V38" i="51"/>
  <c r="AB38" i="51" s="1"/>
  <c r="X37" i="51"/>
  <c r="AD37" i="51" s="1"/>
  <c r="W37" i="51"/>
  <c r="AC37" i="51" s="1"/>
  <c r="V37" i="51"/>
  <c r="AB37" i="51" s="1"/>
  <c r="X36" i="51"/>
  <c r="AD36" i="51" s="1"/>
  <c r="W36" i="51"/>
  <c r="AC36" i="51" s="1"/>
  <c r="V36" i="51"/>
  <c r="AB36" i="51" s="1"/>
  <c r="X35" i="51"/>
  <c r="AD35" i="51" s="1"/>
  <c r="W35" i="51"/>
  <c r="AC35" i="51" s="1"/>
  <c r="V35" i="51"/>
  <c r="AB35" i="51" s="1"/>
  <c r="X34" i="51"/>
  <c r="AD34" i="51" s="1"/>
  <c r="W34" i="51"/>
  <c r="AC34" i="51" s="1"/>
  <c r="V34" i="51"/>
  <c r="AB34" i="51" s="1"/>
  <c r="X33" i="51"/>
  <c r="AD33" i="51" s="1"/>
  <c r="W33" i="51"/>
  <c r="AC33" i="51" s="1"/>
  <c r="V33" i="51"/>
  <c r="AB33" i="51" s="1"/>
  <c r="X32" i="51"/>
  <c r="AD32" i="51" s="1"/>
  <c r="W32" i="51"/>
  <c r="AC32" i="51" s="1"/>
  <c r="V32" i="51"/>
  <c r="AB32" i="51" s="1"/>
  <c r="X31" i="51"/>
  <c r="AD31" i="51" s="1"/>
  <c r="W31" i="51"/>
  <c r="AC31" i="51" s="1"/>
  <c r="V31" i="51"/>
  <c r="AB31" i="51" s="1"/>
  <c r="X30" i="51"/>
  <c r="AD30" i="51" s="1"/>
  <c r="W30" i="51"/>
  <c r="AC30" i="51" s="1"/>
  <c r="V30" i="51"/>
  <c r="AB30" i="51" s="1"/>
  <c r="X29" i="51"/>
  <c r="AD29" i="51" s="1"/>
  <c r="W29" i="51"/>
  <c r="AC29" i="51" s="1"/>
  <c r="V29" i="51"/>
  <c r="AB29" i="51" s="1"/>
  <c r="X28" i="51"/>
  <c r="AD28" i="51" s="1"/>
  <c r="W28" i="51"/>
  <c r="AC28" i="51" s="1"/>
  <c r="V28" i="51"/>
  <c r="AB28" i="51" s="1"/>
  <c r="X27" i="51"/>
  <c r="AD27" i="51" s="1"/>
  <c r="W27" i="51"/>
  <c r="AC27" i="51" s="1"/>
  <c r="V27" i="51"/>
  <c r="AB27" i="51" s="1"/>
  <c r="X26" i="51"/>
  <c r="AD26" i="51" s="1"/>
  <c r="W26" i="51"/>
  <c r="AC26" i="51" s="1"/>
  <c r="V26" i="51"/>
  <c r="AB26" i="51" s="1"/>
  <c r="X25" i="51"/>
  <c r="AD25" i="51" s="1"/>
  <c r="W25" i="51"/>
  <c r="AC25" i="51" s="1"/>
  <c r="V25" i="51"/>
  <c r="AB25" i="51" s="1"/>
  <c r="X24" i="51"/>
  <c r="AD24" i="51" s="1"/>
  <c r="W24" i="51"/>
  <c r="AC24" i="51" s="1"/>
  <c r="V24" i="51"/>
  <c r="AB24" i="51" s="1"/>
  <c r="X23" i="51"/>
  <c r="AD23" i="51" s="1"/>
  <c r="W23" i="51"/>
  <c r="AC23" i="51" s="1"/>
  <c r="V23" i="51"/>
  <c r="AB23" i="51" s="1"/>
  <c r="X22" i="51"/>
  <c r="AD22" i="51" s="1"/>
  <c r="W22" i="51"/>
  <c r="AC22" i="51" s="1"/>
  <c r="V22" i="51"/>
  <c r="AB22" i="51" s="1"/>
  <c r="X21" i="51"/>
  <c r="AD21" i="51" s="1"/>
  <c r="W21" i="51"/>
  <c r="AC21" i="51" s="1"/>
  <c r="V21" i="51"/>
  <c r="AB21" i="51" s="1"/>
  <c r="X20" i="51"/>
  <c r="AD20" i="51" s="1"/>
  <c r="W20" i="51"/>
  <c r="AC20" i="51" s="1"/>
  <c r="V20" i="51"/>
  <c r="AB20" i="51" s="1"/>
  <c r="X19" i="51"/>
  <c r="AD19" i="51" s="1"/>
  <c r="W19" i="51"/>
  <c r="AC19" i="51" s="1"/>
  <c r="V19" i="51"/>
  <c r="AB19" i="51" s="1"/>
  <c r="X18" i="51"/>
  <c r="AD18" i="51" s="1"/>
  <c r="W18" i="51"/>
  <c r="AC18" i="51" s="1"/>
  <c r="V18" i="51"/>
  <c r="AB18" i="51" s="1"/>
  <c r="X17" i="51"/>
  <c r="AD17" i="51" s="1"/>
  <c r="W17" i="51"/>
  <c r="AC17" i="51" s="1"/>
  <c r="V17" i="51"/>
  <c r="AB17" i="51" s="1"/>
  <c r="X16" i="51"/>
  <c r="AD16" i="51" s="1"/>
  <c r="W16" i="51"/>
  <c r="AC16" i="51" s="1"/>
  <c r="V16" i="51"/>
  <c r="AB16" i="51" s="1"/>
  <c r="X15" i="51"/>
  <c r="AD15" i="51" s="1"/>
  <c r="W15" i="51"/>
  <c r="AC15" i="51" s="1"/>
  <c r="V15" i="51"/>
  <c r="AB15" i="51" s="1"/>
  <c r="X14" i="51"/>
  <c r="AD14" i="51" s="1"/>
  <c r="W14" i="51"/>
  <c r="AC14" i="51" s="1"/>
  <c r="V14" i="51"/>
  <c r="AB14" i="51" s="1"/>
  <c r="X13" i="51"/>
  <c r="AD13" i="51" s="1"/>
  <c r="W13" i="51"/>
  <c r="AC13" i="51" s="1"/>
  <c r="V13" i="51"/>
  <c r="AB13" i="51" s="1"/>
  <c r="X12" i="51"/>
  <c r="AD12" i="51" s="1"/>
  <c r="W12" i="51"/>
  <c r="AC12" i="51" s="1"/>
  <c r="V12" i="51"/>
  <c r="AB12" i="51" s="1"/>
  <c r="X11" i="51"/>
  <c r="AD11" i="51" s="1"/>
  <c r="W11" i="51"/>
  <c r="AC11" i="51" s="1"/>
  <c r="V11" i="51"/>
  <c r="AB11" i="51" s="1"/>
  <c r="X10" i="51"/>
  <c r="AD10" i="51" s="1"/>
  <c r="W10" i="51"/>
  <c r="AC10" i="51" s="1"/>
  <c r="V10" i="51"/>
  <c r="AB10" i="51" s="1"/>
  <c r="X9" i="51"/>
  <c r="AD9" i="51" s="1"/>
  <c r="W9" i="51"/>
  <c r="AC9" i="51" s="1"/>
  <c r="V9" i="51"/>
  <c r="AB9" i="51" s="1"/>
  <c r="X8" i="51"/>
  <c r="AD8" i="51" s="1"/>
  <c r="W8" i="51"/>
  <c r="AC8" i="51" s="1"/>
  <c r="V8" i="51"/>
  <c r="AB8" i="51" s="1"/>
  <c r="X7" i="51"/>
  <c r="AD7" i="51" s="1"/>
  <c r="W7" i="51"/>
  <c r="AC7" i="51" s="1"/>
  <c r="V7" i="51"/>
  <c r="AB7" i="51" s="1"/>
  <c r="X6" i="51"/>
  <c r="AD6" i="51" s="1"/>
  <c r="W6" i="51"/>
  <c r="AC6" i="51" s="1"/>
  <c r="V6" i="51"/>
  <c r="AB6" i="51" s="1"/>
  <c r="X5" i="51"/>
  <c r="AD5" i="51" s="1"/>
  <c r="W5" i="51"/>
  <c r="AC5" i="51" s="1"/>
  <c r="V5" i="51"/>
  <c r="AB5" i="51" s="1"/>
  <c r="X4" i="51"/>
  <c r="AD4" i="51" s="1"/>
  <c r="W4" i="51"/>
  <c r="AC4" i="51" s="1"/>
  <c r="V4" i="51"/>
  <c r="AB4" i="51" s="1"/>
  <c r="X3" i="51"/>
  <c r="AD3" i="51" s="1"/>
  <c r="W3" i="51"/>
  <c r="AC3" i="51" s="1"/>
  <c r="V3" i="51"/>
  <c r="AB3" i="51" s="1"/>
  <c r="X2" i="51"/>
  <c r="AD2" i="51" s="1"/>
  <c r="W2" i="51"/>
  <c r="AC2" i="51" s="1"/>
  <c r="V2" i="51"/>
  <c r="AB2" i="51" s="1"/>
  <c r="AD65" i="41"/>
  <c r="AB65" i="41"/>
  <c r="AA65" i="41"/>
  <c r="AA65" i="42" s="1"/>
  <c r="Z65" i="41"/>
  <c r="X65" i="41"/>
  <c r="W65" i="41"/>
  <c r="AD64" i="41"/>
  <c r="AB64" i="41"/>
  <c r="AA64" i="41"/>
  <c r="Z64" i="41"/>
  <c r="Z64" i="42" s="1"/>
  <c r="AD63" i="41"/>
  <c r="AB63" i="41"/>
  <c r="AA63" i="41"/>
  <c r="AA63" i="42" s="1"/>
  <c r="Z63" i="41"/>
  <c r="Z63" i="42" s="1"/>
  <c r="AD62" i="41"/>
  <c r="AB62" i="41"/>
  <c r="AA62" i="41"/>
  <c r="Z62" i="41"/>
  <c r="Z62" i="42" s="1"/>
  <c r="AD61" i="41"/>
  <c r="AB61" i="41"/>
  <c r="AA61" i="41"/>
  <c r="AA61" i="42" s="1"/>
  <c r="Z61" i="41"/>
  <c r="X61" i="41"/>
  <c r="W61" i="41"/>
  <c r="AD60" i="41"/>
  <c r="AB60" i="41"/>
  <c r="AA60" i="41"/>
  <c r="AA60" i="42" s="1"/>
  <c r="Z60" i="41"/>
  <c r="Z60" i="42" s="1"/>
  <c r="AD59" i="41"/>
  <c r="AB59" i="41"/>
  <c r="AA59" i="41"/>
  <c r="AA59" i="42" s="1"/>
  <c r="Z59" i="41"/>
  <c r="AD58" i="41"/>
  <c r="AB58" i="41"/>
  <c r="AA58" i="41"/>
  <c r="Z58" i="41"/>
  <c r="Z58" i="42" s="1"/>
  <c r="AD57" i="41"/>
  <c r="AB57" i="41"/>
  <c r="AA57" i="41"/>
  <c r="AA57" i="42" s="1"/>
  <c r="Z57" i="41"/>
  <c r="X57" i="41"/>
  <c r="W57" i="41"/>
  <c r="AD56" i="41"/>
  <c r="AB56" i="41"/>
  <c r="AA56" i="41"/>
  <c r="AA56" i="42" s="1"/>
  <c r="Z56" i="41"/>
  <c r="Z56" i="42" s="1"/>
  <c r="AD55" i="41"/>
  <c r="AB55" i="41"/>
  <c r="AA55" i="41"/>
  <c r="AA55" i="42" s="1"/>
  <c r="Z55" i="41"/>
  <c r="Z55" i="42" s="1"/>
  <c r="AD54" i="41"/>
  <c r="AB54" i="41"/>
  <c r="AA54" i="41"/>
  <c r="Z54" i="41"/>
  <c r="AD53" i="41"/>
  <c r="AB53" i="41"/>
  <c r="AA53" i="41"/>
  <c r="AA53" i="42" s="1"/>
  <c r="Z53" i="41"/>
  <c r="X53" i="41"/>
  <c r="W53" i="41"/>
  <c r="AD52" i="41"/>
  <c r="AB52" i="41"/>
  <c r="AA52" i="41"/>
  <c r="Z52" i="41"/>
  <c r="Z52" i="42" s="1"/>
  <c r="AD51" i="41"/>
  <c r="AB51" i="41"/>
  <c r="AA51" i="41"/>
  <c r="AA51" i="42" s="1"/>
  <c r="Z51" i="41"/>
  <c r="Z51" i="42" s="1"/>
  <c r="AD50" i="41"/>
  <c r="AB50" i="41"/>
  <c r="AA50" i="41"/>
  <c r="Z50" i="41"/>
  <c r="Z50" i="42" s="1"/>
  <c r="AD49" i="41"/>
  <c r="AB49" i="41"/>
  <c r="AA49" i="41"/>
  <c r="AA49" i="42" s="1"/>
  <c r="Z49" i="41"/>
  <c r="X49" i="41"/>
  <c r="W49" i="41"/>
  <c r="AD48" i="41"/>
  <c r="AB48" i="41"/>
  <c r="AA48" i="41"/>
  <c r="Z48" i="41"/>
  <c r="Z48" i="42" s="1"/>
  <c r="AD47" i="41"/>
  <c r="AB47" i="41"/>
  <c r="AA47" i="41"/>
  <c r="AA47" i="42" s="1"/>
  <c r="Z47" i="41"/>
  <c r="Z47" i="42" s="1"/>
  <c r="AD46" i="41"/>
  <c r="AB46" i="41"/>
  <c r="AA46" i="41"/>
  <c r="Z46" i="41"/>
  <c r="Z46" i="42" s="1"/>
  <c r="AD45" i="41"/>
  <c r="AB45" i="41"/>
  <c r="AA45" i="41"/>
  <c r="AA45" i="42" s="1"/>
  <c r="Z45" i="41"/>
  <c r="X45" i="41"/>
  <c r="W45" i="41"/>
  <c r="AD44" i="41"/>
  <c r="AB44" i="41"/>
  <c r="AA44" i="41"/>
  <c r="AA44" i="42" s="1"/>
  <c r="Z44" i="41"/>
  <c r="Z44" i="42" s="1"/>
  <c r="AD43" i="41"/>
  <c r="AB43" i="41"/>
  <c r="AA43" i="41"/>
  <c r="AA43" i="42" s="1"/>
  <c r="Z43" i="41"/>
  <c r="AD42" i="41"/>
  <c r="AB42" i="41"/>
  <c r="AA42" i="41"/>
  <c r="Z42" i="41"/>
  <c r="Z42" i="42" s="1"/>
  <c r="AD41" i="41"/>
  <c r="AB41" i="41"/>
  <c r="AA41" i="41"/>
  <c r="AA41" i="42" s="1"/>
  <c r="Z41" i="41"/>
  <c r="X41" i="41"/>
  <c r="W41" i="41"/>
  <c r="AD40" i="41"/>
  <c r="AB40" i="41"/>
  <c r="AA40" i="41"/>
  <c r="AA40" i="42" s="1"/>
  <c r="Z40" i="41"/>
  <c r="Z40" i="42" s="1"/>
  <c r="AD39" i="41"/>
  <c r="AC39" i="41"/>
  <c r="AB39" i="41"/>
  <c r="AA39" i="41"/>
  <c r="AA39" i="42" s="1"/>
  <c r="Z39" i="41"/>
  <c r="Y39" i="41"/>
  <c r="X39" i="41"/>
  <c r="W39" i="41"/>
  <c r="V39" i="41"/>
  <c r="U39" i="41"/>
  <c r="AD38" i="41"/>
  <c r="AB38" i="41"/>
  <c r="AA38" i="41"/>
  <c r="Z38" i="41"/>
  <c r="Y38" i="41"/>
  <c r="AD37" i="41"/>
  <c r="AB37" i="41"/>
  <c r="AA37" i="41"/>
  <c r="AA37" i="42" s="1"/>
  <c r="Z37" i="41"/>
  <c r="AD36" i="41"/>
  <c r="AB36" i="41"/>
  <c r="AA36" i="41"/>
  <c r="Z36" i="41"/>
  <c r="Z36" i="42" s="1"/>
  <c r="AD35" i="41"/>
  <c r="AB35" i="41"/>
  <c r="AA35" i="41"/>
  <c r="AA35" i="42" s="1"/>
  <c r="Z35" i="41"/>
  <c r="Z35" i="42" s="1"/>
  <c r="AD34" i="41"/>
  <c r="AC34" i="41"/>
  <c r="AB34" i="41"/>
  <c r="AA34" i="41"/>
  <c r="Z34" i="41"/>
  <c r="Y34" i="41"/>
  <c r="X34" i="41"/>
  <c r="W34" i="41"/>
  <c r="V34" i="41"/>
  <c r="U34" i="41"/>
  <c r="AD33" i="41"/>
  <c r="AC33" i="41"/>
  <c r="AB33" i="41"/>
  <c r="AA33" i="41"/>
  <c r="AA33" i="42" s="1"/>
  <c r="Z33" i="41"/>
  <c r="Y33" i="41"/>
  <c r="X33" i="41"/>
  <c r="W33" i="41"/>
  <c r="V33" i="41"/>
  <c r="U33" i="41"/>
  <c r="AD32" i="41"/>
  <c r="AC32" i="41"/>
  <c r="AB32" i="41"/>
  <c r="AA32" i="41"/>
  <c r="AA32" i="42" s="1"/>
  <c r="Z32" i="41"/>
  <c r="Z32" i="42" s="1"/>
  <c r="Y32" i="41"/>
  <c r="X32" i="41"/>
  <c r="W32" i="41"/>
  <c r="V32" i="41"/>
  <c r="U32" i="41"/>
  <c r="AD31" i="41"/>
  <c r="AC31" i="41"/>
  <c r="AB31" i="41"/>
  <c r="AA31" i="41"/>
  <c r="AA31" i="42" s="1"/>
  <c r="Z31" i="41"/>
  <c r="Y31" i="41"/>
  <c r="X31" i="41"/>
  <c r="W31" i="41"/>
  <c r="V31" i="41"/>
  <c r="U31" i="41"/>
  <c r="AD30" i="41"/>
  <c r="AC30" i="41"/>
  <c r="AB30" i="41"/>
  <c r="AA30" i="41"/>
  <c r="AA30" i="42" s="1"/>
  <c r="Z30" i="41"/>
  <c r="Z30" i="42" s="1"/>
  <c r="Y30" i="41"/>
  <c r="X30" i="41"/>
  <c r="W30" i="41"/>
  <c r="V30" i="41"/>
  <c r="U30" i="41"/>
  <c r="AD29" i="41"/>
  <c r="AC29" i="41"/>
  <c r="AB29" i="41"/>
  <c r="AA29" i="41"/>
  <c r="AA29" i="42" s="1"/>
  <c r="Z29" i="41"/>
  <c r="Y29" i="41"/>
  <c r="X29" i="41"/>
  <c r="W29" i="41"/>
  <c r="V29" i="41"/>
  <c r="U29" i="41"/>
  <c r="AD28" i="41"/>
  <c r="AC28" i="41"/>
  <c r="AB28" i="41"/>
  <c r="AA28" i="41"/>
  <c r="AA28" i="42" s="1"/>
  <c r="Z28" i="41"/>
  <c r="Z28" i="42" s="1"/>
  <c r="Y28" i="41"/>
  <c r="X28" i="41"/>
  <c r="W28" i="41"/>
  <c r="V28" i="41"/>
  <c r="U28" i="41"/>
  <c r="AD27" i="41"/>
  <c r="AC27" i="41"/>
  <c r="AB27" i="41"/>
  <c r="AA27" i="41"/>
  <c r="AA27" i="42" s="1"/>
  <c r="Z27" i="41"/>
  <c r="Y27" i="41"/>
  <c r="X27" i="41"/>
  <c r="W27" i="41"/>
  <c r="V27" i="41"/>
  <c r="U27" i="41"/>
  <c r="AD26" i="41"/>
  <c r="AC26" i="41"/>
  <c r="AB26" i="41"/>
  <c r="AA26" i="41"/>
  <c r="AA26" i="42" s="1"/>
  <c r="Z26" i="41"/>
  <c r="Z26" i="42" s="1"/>
  <c r="Y26" i="41"/>
  <c r="X26" i="41"/>
  <c r="W26" i="41"/>
  <c r="V26" i="41"/>
  <c r="U26" i="41"/>
  <c r="AD25" i="41"/>
  <c r="AC25" i="41"/>
  <c r="AB25" i="41"/>
  <c r="AA25" i="41"/>
  <c r="AA25" i="42" s="1"/>
  <c r="Z25" i="41"/>
  <c r="Y25" i="41"/>
  <c r="X25" i="41"/>
  <c r="W25" i="41"/>
  <c r="V25" i="41"/>
  <c r="U25" i="41"/>
  <c r="AD24" i="41"/>
  <c r="AC24" i="41"/>
  <c r="AB24" i="41"/>
  <c r="AA24" i="41"/>
  <c r="AA24" i="42" s="1"/>
  <c r="Z24" i="41"/>
  <c r="Z24" i="42" s="1"/>
  <c r="Y24" i="41"/>
  <c r="X24" i="41"/>
  <c r="W24" i="41"/>
  <c r="V24" i="41"/>
  <c r="U24" i="41"/>
  <c r="AD23" i="41"/>
  <c r="AC23" i="41"/>
  <c r="AB23" i="41"/>
  <c r="AA23" i="41"/>
  <c r="AA23" i="42" s="1"/>
  <c r="Z23" i="41"/>
  <c r="Y23" i="41"/>
  <c r="X23" i="41"/>
  <c r="W23" i="41"/>
  <c r="V23" i="41"/>
  <c r="U23" i="41"/>
  <c r="AD22" i="41"/>
  <c r="AC22" i="41"/>
  <c r="AB22" i="41"/>
  <c r="AA22" i="41"/>
  <c r="AA22" i="42" s="1"/>
  <c r="Z22" i="41"/>
  <c r="Y22" i="41"/>
  <c r="X22" i="41"/>
  <c r="W22" i="41"/>
  <c r="V22" i="41"/>
  <c r="U22" i="41"/>
  <c r="AD21" i="41"/>
  <c r="AC21" i="41"/>
  <c r="AB21" i="41"/>
  <c r="AA21" i="41"/>
  <c r="AA21" i="42" s="1"/>
  <c r="Z21" i="41"/>
  <c r="Y21" i="41"/>
  <c r="X21" i="41"/>
  <c r="W21" i="41"/>
  <c r="V21" i="41"/>
  <c r="U21" i="41"/>
  <c r="AD20" i="41"/>
  <c r="AC20" i="41"/>
  <c r="AB20" i="41"/>
  <c r="AA20" i="41"/>
  <c r="Z20" i="41"/>
  <c r="Z20" i="42" s="1"/>
  <c r="Y20" i="41"/>
  <c r="X20" i="41"/>
  <c r="W20" i="41"/>
  <c r="V20" i="41"/>
  <c r="U20" i="41"/>
  <c r="AD19" i="41"/>
  <c r="AC19" i="41"/>
  <c r="AB19" i="41"/>
  <c r="AA19" i="41"/>
  <c r="AA19" i="42" s="1"/>
  <c r="Z19" i="41"/>
  <c r="Y19" i="41"/>
  <c r="X19" i="41"/>
  <c r="W19" i="41"/>
  <c r="V19" i="41"/>
  <c r="U19" i="41"/>
  <c r="AD18" i="41"/>
  <c r="AC18" i="41"/>
  <c r="AB18" i="41"/>
  <c r="AA18" i="41"/>
  <c r="Z18" i="41"/>
  <c r="Y18" i="41"/>
  <c r="X18" i="41"/>
  <c r="W18" i="41"/>
  <c r="V18" i="41"/>
  <c r="U18" i="41"/>
  <c r="AD17" i="41"/>
  <c r="AC17" i="41"/>
  <c r="AB17" i="41"/>
  <c r="AA17" i="41"/>
  <c r="AA17" i="42" s="1"/>
  <c r="Z17" i="41"/>
  <c r="Y17" i="41"/>
  <c r="X17" i="41"/>
  <c r="W17" i="41"/>
  <c r="V17" i="41"/>
  <c r="U17" i="41"/>
  <c r="AD16" i="41"/>
  <c r="AC16" i="41"/>
  <c r="AB16" i="41"/>
  <c r="AA16" i="41"/>
  <c r="AA16" i="42" s="1"/>
  <c r="Z16" i="41"/>
  <c r="Z16" i="42" s="1"/>
  <c r="Y16" i="41"/>
  <c r="X16" i="41"/>
  <c r="W16" i="41"/>
  <c r="V16" i="41"/>
  <c r="U16" i="41"/>
  <c r="AD15" i="41"/>
  <c r="AC15" i="41"/>
  <c r="AB15" i="41"/>
  <c r="AA15" i="41"/>
  <c r="AA15" i="42" s="1"/>
  <c r="Z15" i="41"/>
  <c r="Y15" i="41"/>
  <c r="X15" i="41"/>
  <c r="W15" i="41"/>
  <c r="V15" i="41"/>
  <c r="U15" i="41"/>
  <c r="AD14" i="41"/>
  <c r="AC14" i="41"/>
  <c r="AB14" i="41"/>
  <c r="AA14" i="41"/>
  <c r="AA14" i="42" s="1"/>
  <c r="Z14" i="41"/>
  <c r="Z14" i="42" s="1"/>
  <c r="Y14" i="41"/>
  <c r="X14" i="41"/>
  <c r="W14" i="41"/>
  <c r="V14" i="41"/>
  <c r="U14" i="41"/>
  <c r="AD13" i="41"/>
  <c r="AC13" i="41"/>
  <c r="AB13" i="41"/>
  <c r="AA13" i="41"/>
  <c r="AA13" i="42" s="1"/>
  <c r="Z13" i="41"/>
  <c r="Y13" i="41"/>
  <c r="X13" i="41"/>
  <c r="W13" i="41"/>
  <c r="V13" i="41"/>
  <c r="U13" i="41"/>
  <c r="AD12" i="41"/>
  <c r="AB12" i="41"/>
  <c r="AA12" i="41"/>
  <c r="Z12" i="41"/>
  <c r="Z12" i="42" s="1"/>
  <c r="AD11" i="41"/>
  <c r="AC11" i="41"/>
  <c r="AB11" i="41"/>
  <c r="AA11" i="41"/>
  <c r="Z11" i="41"/>
  <c r="Z11" i="42" s="1"/>
  <c r="Y11" i="41"/>
  <c r="X11" i="41"/>
  <c r="W11" i="41"/>
  <c r="V11" i="41"/>
  <c r="U11" i="41"/>
  <c r="AD10" i="41"/>
  <c r="AC10" i="41"/>
  <c r="AB10" i="41"/>
  <c r="AA10" i="41"/>
  <c r="AA10" i="42" s="1"/>
  <c r="Z10" i="41"/>
  <c r="Y10" i="41"/>
  <c r="X10" i="41"/>
  <c r="W10" i="41"/>
  <c r="V10" i="41"/>
  <c r="U10" i="41"/>
  <c r="AD9" i="41"/>
  <c r="AC9" i="41"/>
  <c r="AB9" i="41"/>
  <c r="AA9" i="41"/>
  <c r="AA9" i="42" s="1"/>
  <c r="Z9" i="41"/>
  <c r="Z9" i="42" s="1"/>
  <c r="Y9" i="41"/>
  <c r="X9" i="41"/>
  <c r="W9" i="41"/>
  <c r="V9" i="41"/>
  <c r="U9" i="41"/>
  <c r="AD8" i="41"/>
  <c r="AC8" i="41"/>
  <c r="AB8" i="41"/>
  <c r="AA8" i="41"/>
  <c r="AA8" i="42" s="1"/>
  <c r="Z8" i="41"/>
  <c r="Z8" i="42" s="1"/>
  <c r="Y8" i="41"/>
  <c r="X8" i="41"/>
  <c r="W8" i="41"/>
  <c r="V8" i="41"/>
  <c r="U8" i="41"/>
  <c r="AD7" i="41"/>
  <c r="AC7" i="41"/>
  <c r="AB7" i="41"/>
  <c r="AA7" i="41"/>
  <c r="Z7" i="41"/>
  <c r="Z7" i="42" s="1"/>
  <c r="Y7" i="41"/>
  <c r="X7" i="41"/>
  <c r="W7" i="41"/>
  <c r="V7" i="41"/>
  <c r="U7" i="41"/>
  <c r="AD6" i="41"/>
  <c r="AC6" i="41"/>
  <c r="AB6" i="41"/>
  <c r="AA6" i="41"/>
  <c r="Z6" i="41"/>
  <c r="Y6" i="41"/>
  <c r="X6" i="41"/>
  <c r="W6" i="41"/>
  <c r="V6" i="41"/>
  <c r="U6" i="41"/>
  <c r="AD5" i="41"/>
  <c r="AC5" i="41"/>
  <c r="AB5" i="41"/>
  <c r="AA5" i="41"/>
  <c r="AA5" i="42" s="1"/>
  <c r="Z5" i="41"/>
  <c r="Z5" i="42" s="1"/>
  <c r="Y5" i="41"/>
  <c r="X5" i="41"/>
  <c r="W5" i="41"/>
  <c r="V5" i="41"/>
  <c r="U5" i="41"/>
  <c r="AP65" i="49"/>
  <c r="AC65" i="49"/>
  <c r="AC65" i="41" s="1"/>
  <c r="Y65" i="49"/>
  <c r="Y65" i="41" s="1"/>
  <c r="X65" i="49"/>
  <c r="W65" i="49"/>
  <c r="V65" i="49"/>
  <c r="V65" i="41" s="1"/>
  <c r="U65" i="49"/>
  <c r="U65" i="41" s="1"/>
  <c r="AP64" i="49"/>
  <c r="AC64" i="49"/>
  <c r="AC64" i="41" s="1"/>
  <c r="Y64" i="49"/>
  <c r="Y64" i="41" s="1"/>
  <c r="X64" i="49"/>
  <c r="X64" i="41" s="1"/>
  <c r="W64" i="49"/>
  <c r="W64" i="41" s="1"/>
  <c r="V64" i="49"/>
  <c r="V64" i="41" s="1"/>
  <c r="U64" i="49"/>
  <c r="U64" i="41" s="1"/>
  <c r="AP63" i="49"/>
  <c r="AC63" i="49"/>
  <c r="AC63" i="41" s="1"/>
  <c r="Y63" i="49"/>
  <c r="Y63" i="41" s="1"/>
  <c r="X63" i="49"/>
  <c r="X63" i="41" s="1"/>
  <c r="W63" i="49"/>
  <c r="W63" i="41" s="1"/>
  <c r="V63" i="49"/>
  <c r="V63" i="41" s="1"/>
  <c r="U63" i="49"/>
  <c r="U63" i="41" s="1"/>
  <c r="AP62" i="49"/>
  <c r="AC62" i="49"/>
  <c r="AC62" i="41" s="1"/>
  <c r="Y62" i="49"/>
  <c r="Y62" i="41" s="1"/>
  <c r="X62" i="49"/>
  <c r="X62" i="41" s="1"/>
  <c r="W62" i="49"/>
  <c r="W62" i="41" s="1"/>
  <c r="V62" i="49"/>
  <c r="V62" i="41" s="1"/>
  <c r="U62" i="49"/>
  <c r="U62" i="41" s="1"/>
  <c r="AP61" i="49"/>
  <c r="AC61" i="49"/>
  <c r="AC61" i="41" s="1"/>
  <c r="Y61" i="49"/>
  <c r="Y61" i="41" s="1"/>
  <c r="X61" i="49"/>
  <c r="W61" i="49"/>
  <c r="V61" i="49"/>
  <c r="V61" i="41" s="1"/>
  <c r="U61" i="49"/>
  <c r="U61" i="41" s="1"/>
  <c r="AP60" i="49"/>
  <c r="AC60" i="49"/>
  <c r="AC60" i="41" s="1"/>
  <c r="Y60" i="49"/>
  <c r="Y60" i="41" s="1"/>
  <c r="X60" i="49"/>
  <c r="X60" i="41" s="1"/>
  <c r="W60" i="49"/>
  <c r="W60" i="41" s="1"/>
  <c r="V60" i="49"/>
  <c r="V60" i="41" s="1"/>
  <c r="U60" i="49"/>
  <c r="U60" i="41" s="1"/>
  <c r="AP59" i="49"/>
  <c r="AC59" i="49"/>
  <c r="AC59" i="41" s="1"/>
  <c r="Y59" i="49"/>
  <c r="Y59" i="41" s="1"/>
  <c r="X59" i="49"/>
  <c r="X59" i="41" s="1"/>
  <c r="W59" i="49"/>
  <c r="W59" i="41" s="1"/>
  <c r="V59" i="49"/>
  <c r="V59" i="41" s="1"/>
  <c r="U59" i="49"/>
  <c r="U59" i="41" s="1"/>
  <c r="AP58" i="49"/>
  <c r="AC58" i="49"/>
  <c r="AC58" i="41" s="1"/>
  <c r="Y58" i="49"/>
  <c r="Y58" i="41" s="1"/>
  <c r="X58" i="49"/>
  <c r="X58" i="41" s="1"/>
  <c r="W58" i="49"/>
  <c r="W58" i="41" s="1"/>
  <c r="V58" i="49"/>
  <c r="V58" i="41" s="1"/>
  <c r="U58" i="49"/>
  <c r="U58" i="41" s="1"/>
  <c r="AP57" i="49"/>
  <c r="AC57" i="49"/>
  <c r="AC57" i="41" s="1"/>
  <c r="Y57" i="49"/>
  <c r="Y57" i="41" s="1"/>
  <c r="X57" i="49"/>
  <c r="W57" i="49"/>
  <c r="V57" i="49"/>
  <c r="V57" i="41" s="1"/>
  <c r="U57" i="49"/>
  <c r="U57" i="41" s="1"/>
  <c r="AP56" i="49"/>
  <c r="AC56" i="49"/>
  <c r="AC56" i="41" s="1"/>
  <c r="Y56" i="49"/>
  <c r="Y56" i="41" s="1"/>
  <c r="X56" i="49"/>
  <c r="X56" i="41" s="1"/>
  <c r="W56" i="49"/>
  <c r="W56" i="41" s="1"/>
  <c r="V56" i="49"/>
  <c r="V56" i="41" s="1"/>
  <c r="U56" i="49"/>
  <c r="U56" i="41" s="1"/>
  <c r="AP55" i="49"/>
  <c r="AC55" i="49"/>
  <c r="AC55" i="41" s="1"/>
  <c r="Y55" i="49"/>
  <c r="Y55" i="41" s="1"/>
  <c r="X55" i="49"/>
  <c r="X55" i="41" s="1"/>
  <c r="W55" i="49"/>
  <c r="W55" i="41" s="1"/>
  <c r="V55" i="49"/>
  <c r="V55" i="41" s="1"/>
  <c r="U55" i="49"/>
  <c r="U55" i="41" s="1"/>
  <c r="AP54" i="49"/>
  <c r="AC54" i="49"/>
  <c r="AC54" i="41" s="1"/>
  <c r="Y54" i="49"/>
  <c r="Y54" i="41" s="1"/>
  <c r="X54" i="49"/>
  <c r="X54" i="41" s="1"/>
  <c r="W54" i="49"/>
  <c r="W54" i="41" s="1"/>
  <c r="V54" i="49"/>
  <c r="V54" i="41" s="1"/>
  <c r="U54" i="49"/>
  <c r="U54" i="41" s="1"/>
  <c r="AP53" i="49"/>
  <c r="AC53" i="49"/>
  <c r="AC53" i="41" s="1"/>
  <c r="Y53" i="49"/>
  <c r="Y53" i="41" s="1"/>
  <c r="X53" i="49"/>
  <c r="W53" i="49"/>
  <c r="V53" i="49"/>
  <c r="V53" i="41" s="1"/>
  <c r="U53" i="49"/>
  <c r="U53" i="41" s="1"/>
  <c r="AP52" i="49"/>
  <c r="AC52" i="49"/>
  <c r="AC52" i="41" s="1"/>
  <c r="Y52" i="49"/>
  <c r="Y52" i="41" s="1"/>
  <c r="X52" i="49"/>
  <c r="X52" i="41" s="1"/>
  <c r="W52" i="49"/>
  <c r="W52" i="41" s="1"/>
  <c r="V52" i="49"/>
  <c r="V52" i="41" s="1"/>
  <c r="U52" i="49"/>
  <c r="U52" i="41" s="1"/>
  <c r="AP51" i="49"/>
  <c r="AC51" i="49"/>
  <c r="AC51" i="41" s="1"/>
  <c r="Y51" i="49"/>
  <c r="Y51" i="41" s="1"/>
  <c r="X51" i="49"/>
  <c r="X51" i="41" s="1"/>
  <c r="W51" i="49"/>
  <c r="W51" i="41" s="1"/>
  <c r="V51" i="49"/>
  <c r="V51" i="41" s="1"/>
  <c r="U51" i="49"/>
  <c r="U51" i="41" s="1"/>
  <c r="AP50" i="49"/>
  <c r="AC50" i="49"/>
  <c r="AC50" i="41" s="1"/>
  <c r="Y50" i="49"/>
  <c r="Y50" i="41" s="1"/>
  <c r="X50" i="49"/>
  <c r="X50" i="41" s="1"/>
  <c r="W50" i="49"/>
  <c r="W50" i="41" s="1"/>
  <c r="V50" i="49"/>
  <c r="V50" i="41" s="1"/>
  <c r="U50" i="49"/>
  <c r="U50" i="41" s="1"/>
  <c r="AP49" i="49"/>
  <c r="AC49" i="49"/>
  <c r="AC49" i="41" s="1"/>
  <c r="Y49" i="49"/>
  <c r="Y49" i="41" s="1"/>
  <c r="X49" i="49"/>
  <c r="W49" i="49"/>
  <c r="V49" i="49"/>
  <c r="V49" i="41" s="1"/>
  <c r="U49" i="49"/>
  <c r="U49" i="41" s="1"/>
  <c r="AP48" i="49"/>
  <c r="AC48" i="49"/>
  <c r="AC48" i="41" s="1"/>
  <c r="Y48" i="49"/>
  <c r="Y48" i="41" s="1"/>
  <c r="X48" i="49"/>
  <c r="X48" i="41" s="1"/>
  <c r="W48" i="49"/>
  <c r="W48" i="41" s="1"/>
  <c r="V48" i="49"/>
  <c r="V48" i="41" s="1"/>
  <c r="U48" i="49"/>
  <c r="U48" i="41" s="1"/>
  <c r="AP47" i="49"/>
  <c r="AC47" i="49"/>
  <c r="AC47" i="41" s="1"/>
  <c r="Y47" i="49"/>
  <c r="Y47" i="41" s="1"/>
  <c r="X47" i="49"/>
  <c r="X47" i="41" s="1"/>
  <c r="W47" i="49"/>
  <c r="W47" i="41" s="1"/>
  <c r="V47" i="49"/>
  <c r="V47" i="41" s="1"/>
  <c r="U47" i="49"/>
  <c r="U47" i="41" s="1"/>
  <c r="AP46" i="49"/>
  <c r="AC46" i="49"/>
  <c r="AC46" i="41" s="1"/>
  <c r="Y46" i="49"/>
  <c r="Y46" i="41" s="1"/>
  <c r="X46" i="49"/>
  <c r="X46" i="41" s="1"/>
  <c r="W46" i="49"/>
  <c r="W46" i="41" s="1"/>
  <c r="V46" i="49"/>
  <c r="V46" i="41" s="1"/>
  <c r="U46" i="49"/>
  <c r="U46" i="41" s="1"/>
  <c r="AP45" i="49"/>
  <c r="AC45" i="49"/>
  <c r="AC45" i="41" s="1"/>
  <c r="Y45" i="49"/>
  <c r="Y45" i="41" s="1"/>
  <c r="X45" i="49"/>
  <c r="W45" i="49"/>
  <c r="V45" i="49"/>
  <c r="V45" i="41" s="1"/>
  <c r="U45" i="49"/>
  <c r="U45" i="41" s="1"/>
  <c r="AP44" i="49"/>
  <c r="AC44" i="49"/>
  <c r="AC44" i="41" s="1"/>
  <c r="Y44" i="49"/>
  <c r="Y44" i="41" s="1"/>
  <c r="X44" i="49"/>
  <c r="X44" i="41" s="1"/>
  <c r="W44" i="49"/>
  <c r="W44" i="41" s="1"/>
  <c r="V44" i="49"/>
  <c r="V44" i="41" s="1"/>
  <c r="U44" i="49"/>
  <c r="U44" i="41" s="1"/>
  <c r="AP43" i="49"/>
  <c r="AC43" i="49"/>
  <c r="AC43" i="41" s="1"/>
  <c r="Y43" i="49"/>
  <c r="Y43" i="41" s="1"/>
  <c r="X43" i="49"/>
  <c r="X43" i="41" s="1"/>
  <c r="W43" i="49"/>
  <c r="W43" i="41" s="1"/>
  <c r="V43" i="49"/>
  <c r="V43" i="41" s="1"/>
  <c r="U43" i="49"/>
  <c r="U43" i="41" s="1"/>
  <c r="AP42" i="49"/>
  <c r="AC42" i="49"/>
  <c r="AC42" i="41" s="1"/>
  <c r="Y42" i="49"/>
  <c r="Y42" i="41" s="1"/>
  <c r="X42" i="49"/>
  <c r="X42" i="41" s="1"/>
  <c r="W42" i="49"/>
  <c r="W42" i="41" s="1"/>
  <c r="V42" i="49"/>
  <c r="V42" i="41" s="1"/>
  <c r="U42" i="49"/>
  <c r="U42" i="41" s="1"/>
  <c r="AP41" i="49"/>
  <c r="AC41" i="49"/>
  <c r="AC41" i="41" s="1"/>
  <c r="Y41" i="49"/>
  <c r="Y41" i="41" s="1"/>
  <c r="X41" i="49"/>
  <c r="W41" i="49"/>
  <c r="V41" i="49"/>
  <c r="V41" i="41" s="1"/>
  <c r="U41" i="49"/>
  <c r="U41" i="41" s="1"/>
  <c r="AP40" i="49"/>
  <c r="AC40" i="49"/>
  <c r="AC40" i="41" s="1"/>
  <c r="Y40" i="49"/>
  <c r="Y40" i="41" s="1"/>
  <c r="X40" i="49"/>
  <c r="X40" i="41" s="1"/>
  <c r="W40" i="49"/>
  <c r="W40" i="41" s="1"/>
  <c r="V40" i="49"/>
  <c r="V40" i="41" s="1"/>
  <c r="U40" i="49"/>
  <c r="U40" i="41" s="1"/>
  <c r="AP38" i="49"/>
  <c r="AC38" i="49"/>
  <c r="AC38" i="41" s="1"/>
  <c r="Y38" i="49"/>
  <c r="X38" i="49"/>
  <c r="X38" i="41" s="1"/>
  <c r="W38" i="49"/>
  <c r="W38" i="41" s="1"/>
  <c r="V38" i="49"/>
  <c r="V38" i="41" s="1"/>
  <c r="U38" i="49"/>
  <c r="U38" i="41" s="1"/>
  <c r="AP37" i="49"/>
  <c r="AC37" i="49"/>
  <c r="AC37" i="41" s="1"/>
  <c r="Y37" i="49"/>
  <c r="Y37" i="41" s="1"/>
  <c r="X37" i="49"/>
  <c r="X37" i="41" s="1"/>
  <c r="W37" i="49"/>
  <c r="W37" i="41" s="1"/>
  <c r="V37" i="49"/>
  <c r="V37" i="41" s="1"/>
  <c r="U37" i="49"/>
  <c r="U37" i="41" s="1"/>
  <c r="AP36" i="49"/>
  <c r="AC36" i="49"/>
  <c r="AC36" i="41" s="1"/>
  <c r="Y36" i="49"/>
  <c r="Y36" i="41" s="1"/>
  <c r="X36" i="49"/>
  <c r="X36" i="41" s="1"/>
  <c r="W36" i="49"/>
  <c r="W36" i="41" s="1"/>
  <c r="V36" i="49"/>
  <c r="V36" i="41" s="1"/>
  <c r="U36" i="49"/>
  <c r="U36" i="41" s="1"/>
  <c r="AP35" i="49"/>
  <c r="AC35" i="49"/>
  <c r="AC35" i="41" s="1"/>
  <c r="Y35" i="49"/>
  <c r="Y35" i="41" s="1"/>
  <c r="X35" i="49"/>
  <c r="X35" i="41" s="1"/>
  <c r="W35" i="49"/>
  <c r="W35" i="41" s="1"/>
  <c r="V35" i="49"/>
  <c r="V35" i="41" s="1"/>
  <c r="U35" i="49"/>
  <c r="U35" i="41" s="1"/>
  <c r="AC12" i="49"/>
  <c r="AC12" i="41" s="1"/>
  <c r="Y12" i="49"/>
  <c r="Y12" i="41" s="1"/>
  <c r="X12" i="49"/>
  <c r="X12" i="41" s="1"/>
  <c r="W12" i="49"/>
  <c r="W12" i="41" s="1"/>
  <c r="V12" i="49"/>
  <c r="V12" i="41" s="1"/>
  <c r="U12" i="49"/>
  <c r="U12" i="41" s="1"/>
  <c r="X49" i="48"/>
  <c r="V49" i="48"/>
  <c r="T49" i="48"/>
  <c r="P49" i="48"/>
  <c r="O49" i="48"/>
  <c r="N49" i="48"/>
  <c r="M49" i="48"/>
  <c r="V48" i="48"/>
  <c r="U48" i="48"/>
  <c r="T48" i="48"/>
  <c r="P48" i="48"/>
  <c r="O48" i="48"/>
  <c r="N48" i="48"/>
  <c r="M48" i="48"/>
  <c r="X47" i="48"/>
  <c r="V47" i="48"/>
  <c r="U47" i="48"/>
  <c r="T47" i="48"/>
  <c r="P47" i="48"/>
  <c r="O47" i="48"/>
  <c r="N47" i="48"/>
  <c r="M47" i="48"/>
  <c r="X49" i="47"/>
  <c r="V49" i="47"/>
  <c r="T49" i="47"/>
  <c r="P49" i="47"/>
  <c r="O49" i="47"/>
  <c r="N49" i="47"/>
  <c r="M49" i="47"/>
  <c r="V48" i="47"/>
  <c r="U48" i="47"/>
  <c r="T48" i="47"/>
  <c r="P48" i="47"/>
  <c r="O48" i="47"/>
  <c r="N48" i="47"/>
  <c r="M48" i="47"/>
  <c r="X47" i="47"/>
  <c r="V47" i="47"/>
  <c r="U47" i="47"/>
  <c r="U51" i="47" s="1"/>
  <c r="T47" i="47"/>
  <c r="T51" i="47" s="1"/>
  <c r="P47" i="47"/>
  <c r="O47" i="47"/>
  <c r="N47" i="47"/>
  <c r="N51" i="47" s="1"/>
  <c r="M47" i="47"/>
  <c r="Y44" i="46"/>
  <c r="Y43" i="46"/>
  <c r="Y42" i="46"/>
  <c r="Y41" i="46"/>
  <c r="Y40" i="46"/>
  <c r="Y39" i="46"/>
  <c r="Y38" i="46"/>
  <c r="Y37" i="46"/>
  <c r="Y36" i="46"/>
  <c r="Y35" i="46"/>
  <c r="Y34" i="46"/>
  <c r="Y33" i="46"/>
  <c r="Y32" i="46"/>
  <c r="Y31" i="46"/>
  <c r="Y30" i="46"/>
  <c r="Y29" i="46"/>
  <c r="Y28" i="46"/>
  <c r="Y27" i="46"/>
  <c r="Y26" i="46"/>
  <c r="Y25" i="46"/>
  <c r="Y24" i="46"/>
  <c r="Y23" i="46"/>
  <c r="Y22" i="46"/>
  <c r="Y21" i="46"/>
  <c r="Y20" i="46"/>
  <c r="Y19" i="46"/>
  <c r="Y18" i="46"/>
  <c r="Y17" i="46"/>
  <c r="Y16" i="46"/>
  <c r="Y15" i="46"/>
  <c r="Y14" i="46"/>
  <c r="Y13" i="46"/>
  <c r="Y12" i="46"/>
  <c r="Y11" i="46"/>
  <c r="Y10" i="46"/>
  <c r="Y9" i="46"/>
  <c r="Y8" i="46"/>
  <c r="Y7" i="46"/>
  <c r="Y6" i="46"/>
  <c r="Y5" i="46"/>
  <c r="X49" i="46"/>
  <c r="V49" i="46"/>
  <c r="T49" i="46"/>
  <c r="P49" i="46"/>
  <c r="O49" i="46"/>
  <c r="N49" i="46"/>
  <c r="M49" i="46"/>
  <c r="V48" i="46"/>
  <c r="U48" i="46"/>
  <c r="T48" i="46"/>
  <c r="P48" i="46"/>
  <c r="O48" i="46"/>
  <c r="N48" i="46"/>
  <c r="M48" i="46"/>
  <c r="X47" i="46"/>
  <c r="V47" i="46"/>
  <c r="V51" i="46" s="1"/>
  <c r="U47" i="46"/>
  <c r="U51" i="46" s="1"/>
  <c r="T47" i="46"/>
  <c r="T51" i="46" s="1"/>
  <c r="P47" i="46"/>
  <c r="O47" i="46"/>
  <c r="O51" i="46" s="1"/>
  <c r="N47" i="46"/>
  <c r="N51" i="46" s="1"/>
  <c r="M47" i="46"/>
  <c r="M51" i="46" s="1"/>
  <c r="X49" i="45"/>
  <c r="X47" i="45"/>
  <c r="V49" i="45"/>
  <c r="V48" i="45"/>
  <c r="V47" i="45"/>
  <c r="U48" i="45"/>
  <c r="U47" i="45"/>
  <c r="T49" i="45"/>
  <c r="T48" i="45"/>
  <c r="T47" i="45"/>
  <c r="R50" i="45"/>
  <c r="P49" i="45"/>
  <c r="P48" i="45"/>
  <c r="P47" i="45"/>
  <c r="O49" i="45"/>
  <c r="O48" i="45"/>
  <c r="O47" i="45"/>
  <c r="N49" i="45"/>
  <c r="N48" i="45"/>
  <c r="N47" i="45"/>
  <c r="M49" i="45"/>
  <c r="M48" i="45"/>
  <c r="M47" i="45"/>
  <c r="Z44" i="45"/>
  <c r="Z43" i="45"/>
  <c r="Z42" i="45"/>
  <c r="Z41" i="45"/>
  <c r="Z40" i="45"/>
  <c r="Z39" i="45"/>
  <c r="Z38" i="45"/>
  <c r="Z37" i="45"/>
  <c r="Z36" i="45"/>
  <c r="Z35" i="45"/>
  <c r="Z34" i="45"/>
  <c r="Z33" i="45"/>
  <c r="Z32" i="45"/>
  <c r="Z31" i="45"/>
  <c r="Z30" i="45"/>
  <c r="Z29" i="45"/>
  <c r="Z28" i="45"/>
  <c r="Z27" i="45"/>
  <c r="Z26" i="45"/>
  <c r="Z25" i="45"/>
  <c r="Z24" i="45"/>
  <c r="Z23" i="45"/>
  <c r="Z22" i="45"/>
  <c r="Z21" i="45"/>
  <c r="Z20" i="45"/>
  <c r="Z19" i="45"/>
  <c r="Z17" i="45"/>
  <c r="Z16" i="45"/>
  <c r="Z15" i="45"/>
  <c r="Z14" i="45"/>
  <c r="V44" i="45"/>
  <c r="V43" i="45"/>
  <c r="V42" i="45"/>
  <c r="V41" i="45"/>
  <c r="V40" i="45"/>
  <c r="V39" i="45"/>
  <c r="V38" i="45"/>
  <c r="V37" i="45"/>
  <c r="V36" i="45"/>
  <c r="V35" i="45"/>
  <c r="V34" i="45"/>
  <c r="V33" i="45"/>
  <c r="V32" i="45"/>
  <c r="V31" i="45"/>
  <c r="V30" i="45"/>
  <c r="V29" i="45"/>
  <c r="V28" i="45"/>
  <c r="V27" i="45"/>
  <c r="V26" i="45"/>
  <c r="V25" i="45"/>
  <c r="V24" i="45"/>
  <c r="V23" i="45"/>
  <c r="V22" i="45"/>
  <c r="V21" i="45"/>
  <c r="V20" i="45"/>
  <c r="V19" i="45"/>
  <c r="V17" i="45"/>
  <c r="V16" i="45"/>
  <c r="V15" i="45"/>
  <c r="V14" i="45"/>
  <c r="U44" i="45"/>
  <c r="U43" i="45"/>
  <c r="U42" i="45"/>
  <c r="U41" i="45"/>
  <c r="U40" i="45"/>
  <c r="U39" i="45"/>
  <c r="U38" i="45"/>
  <c r="U37" i="45"/>
  <c r="U36" i="45"/>
  <c r="U35" i="45"/>
  <c r="U34" i="45"/>
  <c r="U33" i="45"/>
  <c r="U32" i="45"/>
  <c r="U31" i="45"/>
  <c r="U30" i="45"/>
  <c r="U29" i="45"/>
  <c r="U28" i="45"/>
  <c r="U27" i="45"/>
  <c r="U26" i="45"/>
  <c r="U25" i="45"/>
  <c r="U24" i="45"/>
  <c r="U23" i="45"/>
  <c r="U22" i="45"/>
  <c r="U21" i="45"/>
  <c r="U20" i="45"/>
  <c r="U19" i="45"/>
  <c r="U17" i="45"/>
  <c r="U16" i="45"/>
  <c r="U15" i="45"/>
  <c r="U14" i="45"/>
  <c r="T44" i="45"/>
  <c r="T43" i="45"/>
  <c r="T42" i="45"/>
  <c r="T41" i="45"/>
  <c r="T40" i="45"/>
  <c r="T39" i="45"/>
  <c r="T38" i="45"/>
  <c r="T37" i="45"/>
  <c r="T36" i="45"/>
  <c r="T35" i="45"/>
  <c r="T34" i="45"/>
  <c r="T33" i="45"/>
  <c r="T32" i="45"/>
  <c r="T31" i="45"/>
  <c r="T30" i="45"/>
  <c r="T29" i="45"/>
  <c r="T28" i="45"/>
  <c r="T27" i="45"/>
  <c r="T26" i="45"/>
  <c r="T25" i="45"/>
  <c r="T24" i="45"/>
  <c r="T23" i="45"/>
  <c r="T22" i="45"/>
  <c r="T21" i="45"/>
  <c r="T20" i="45"/>
  <c r="T19" i="45"/>
  <c r="T17" i="45"/>
  <c r="T16" i="45"/>
  <c r="T15" i="45"/>
  <c r="T14" i="45"/>
  <c r="R44" i="45"/>
  <c r="R43" i="45"/>
  <c r="R42" i="45"/>
  <c r="R41" i="45"/>
  <c r="R40" i="45"/>
  <c r="R39" i="45"/>
  <c r="R38" i="45"/>
  <c r="R37" i="45"/>
  <c r="R36" i="45"/>
  <c r="R35" i="45"/>
  <c r="R34" i="45"/>
  <c r="R33" i="45"/>
  <c r="R32" i="45"/>
  <c r="R31" i="45"/>
  <c r="R30" i="45"/>
  <c r="R29" i="45"/>
  <c r="R28" i="45"/>
  <c r="R27" i="45"/>
  <c r="R26" i="45"/>
  <c r="R25" i="45"/>
  <c r="R24" i="45"/>
  <c r="R23" i="45"/>
  <c r="R22" i="45"/>
  <c r="R21" i="45"/>
  <c r="R20" i="45"/>
  <c r="R19" i="45"/>
  <c r="R17" i="45"/>
  <c r="R16" i="45"/>
  <c r="R15" i="45"/>
  <c r="R14" i="45"/>
  <c r="P44" i="45"/>
  <c r="P43" i="45"/>
  <c r="P42" i="45"/>
  <c r="P41" i="45"/>
  <c r="P40" i="45"/>
  <c r="P39" i="45"/>
  <c r="P38" i="45"/>
  <c r="P37" i="45"/>
  <c r="P36" i="45"/>
  <c r="P35" i="45"/>
  <c r="P34" i="45"/>
  <c r="P33" i="45"/>
  <c r="P32" i="45"/>
  <c r="P31" i="45"/>
  <c r="P30" i="45"/>
  <c r="P29" i="45"/>
  <c r="P28" i="45"/>
  <c r="P27" i="45"/>
  <c r="P26" i="45"/>
  <c r="P25" i="45"/>
  <c r="P24" i="45"/>
  <c r="P23" i="45"/>
  <c r="P22" i="45"/>
  <c r="P21" i="45"/>
  <c r="P20" i="45"/>
  <c r="P19" i="45"/>
  <c r="P17" i="45"/>
  <c r="P16" i="45"/>
  <c r="P15" i="45"/>
  <c r="P14" i="45"/>
  <c r="O44" i="45"/>
  <c r="O43" i="45"/>
  <c r="O42" i="45"/>
  <c r="O41" i="45"/>
  <c r="O40" i="45"/>
  <c r="O39" i="45"/>
  <c r="O38" i="45"/>
  <c r="O37" i="45"/>
  <c r="O36" i="45"/>
  <c r="O35" i="45"/>
  <c r="O34" i="45"/>
  <c r="O33" i="45"/>
  <c r="O32" i="45"/>
  <c r="O31" i="45"/>
  <c r="O30" i="45"/>
  <c r="O29" i="45"/>
  <c r="O28" i="45"/>
  <c r="O27" i="45"/>
  <c r="O26" i="45"/>
  <c r="O25" i="45"/>
  <c r="O24" i="45"/>
  <c r="O23" i="45"/>
  <c r="O22" i="45"/>
  <c r="O21" i="45"/>
  <c r="O20" i="45"/>
  <c r="O19" i="45"/>
  <c r="O17" i="45"/>
  <c r="O16" i="45"/>
  <c r="O15" i="45"/>
  <c r="O14" i="45"/>
  <c r="N44" i="45"/>
  <c r="N43" i="45"/>
  <c r="N42" i="45"/>
  <c r="N41" i="45"/>
  <c r="N40" i="45"/>
  <c r="N39" i="45"/>
  <c r="N38" i="45"/>
  <c r="N37" i="45"/>
  <c r="N36" i="45"/>
  <c r="N35" i="45"/>
  <c r="N34" i="45"/>
  <c r="N33" i="45"/>
  <c r="N32" i="45"/>
  <c r="N31" i="45"/>
  <c r="N30" i="45"/>
  <c r="N29" i="45"/>
  <c r="N28" i="45"/>
  <c r="N27" i="45"/>
  <c r="N26" i="45"/>
  <c r="N25" i="45"/>
  <c r="N24" i="45"/>
  <c r="N23" i="45"/>
  <c r="N22" i="45"/>
  <c r="N21" i="45"/>
  <c r="N20" i="45"/>
  <c r="N19" i="45"/>
  <c r="N17" i="45"/>
  <c r="N16" i="45"/>
  <c r="N15" i="45"/>
  <c r="N14" i="45"/>
  <c r="M44" i="45"/>
  <c r="M43" i="45"/>
  <c r="M42" i="45"/>
  <c r="M41" i="45"/>
  <c r="M40" i="45"/>
  <c r="M39" i="45"/>
  <c r="M38" i="45"/>
  <c r="M37" i="45"/>
  <c r="M36" i="45"/>
  <c r="M35" i="45"/>
  <c r="M34" i="45"/>
  <c r="M33" i="45"/>
  <c r="M32" i="45"/>
  <c r="M31" i="45"/>
  <c r="M30" i="45"/>
  <c r="M29" i="45"/>
  <c r="M28" i="45"/>
  <c r="M27" i="45"/>
  <c r="M26" i="45"/>
  <c r="M25" i="45"/>
  <c r="M24" i="45"/>
  <c r="M23" i="45"/>
  <c r="M22" i="45"/>
  <c r="M21" i="45"/>
  <c r="M20" i="45"/>
  <c r="M19" i="45"/>
  <c r="M17" i="45"/>
  <c r="M16" i="45"/>
  <c r="M15" i="45"/>
  <c r="M14" i="45"/>
  <c r="L44" i="45"/>
  <c r="L43" i="45"/>
  <c r="L42" i="45"/>
  <c r="L41" i="45"/>
  <c r="L40" i="45"/>
  <c r="L39" i="45"/>
  <c r="L38" i="45"/>
  <c r="L37" i="45"/>
  <c r="L36" i="45"/>
  <c r="L35" i="45"/>
  <c r="L34" i="45"/>
  <c r="L33" i="45"/>
  <c r="L32" i="45"/>
  <c r="L31" i="45"/>
  <c r="L30" i="45"/>
  <c r="L29" i="45"/>
  <c r="L28" i="45"/>
  <c r="L27" i="45"/>
  <c r="L26" i="45"/>
  <c r="L25" i="45"/>
  <c r="L24" i="45"/>
  <c r="L23" i="45"/>
  <c r="L22" i="45"/>
  <c r="L21" i="45"/>
  <c r="L20" i="45"/>
  <c r="L19" i="45"/>
  <c r="L17" i="45"/>
  <c r="L16" i="45"/>
  <c r="L15" i="45"/>
  <c r="L14" i="45"/>
  <c r="AK70" i="44"/>
  <c r="AF70" i="44"/>
  <c r="AP68" i="44" s="1"/>
  <c r="AE70" i="44"/>
  <c r="AO68" i="44" s="1"/>
  <c r="AC70" i="44"/>
  <c r="Y70" i="44"/>
  <c r="X70" i="44"/>
  <c r="W70" i="44"/>
  <c r="S70" i="44"/>
  <c r="R70" i="44"/>
  <c r="Q70" i="44"/>
  <c r="P70" i="44"/>
  <c r="O70" i="44"/>
  <c r="M70" i="44"/>
  <c r="L70" i="44"/>
  <c r="AK69" i="44"/>
  <c r="AF69" i="44"/>
  <c r="AC69" i="44"/>
  <c r="AA69" i="44"/>
  <c r="Z69" i="44"/>
  <c r="Y69" i="44"/>
  <c r="X69" i="44"/>
  <c r="W69" i="44"/>
  <c r="V69" i="44"/>
  <c r="U69" i="44"/>
  <c r="S69" i="44"/>
  <c r="R69" i="44"/>
  <c r="Q69" i="44"/>
  <c r="P69" i="44"/>
  <c r="O69" i="44"/>
  <c r="M69" i="44"/>
  <c r="L69" i="44"/>
  <c r="AL71" i="43"/>
  <c r="AG71" i="43"/>
  <c r="AD71" i="43"/>
  <c r="AB71" i="43"/>
  <c r="T71" i="43"/>
  <c r="AK70" i="43"/>
  <c r="AJ70" i="43"/>
  <c r="AF70" i="43"/>
  <c r="AE70" i="43"/>
  <c r="AC70" i="43"/>
  <c r="AA70" i="43"/>
  <c r="Y70" i="43"/>
  <c r="X70" i="43"/>
  <c r="W70" i="43"/>
  <c r="S70" i="43"/>
  <c r="R70" i="43"/>
  <c r="Q70" i="43"/>
  <c r="P70" i="43"/>
  <c r="O70" i="43"/>
  <c r="M70" i="43"/>
  <c r="L70" i="43"/>
  <c r="AK69" i="43"/>
  <c r="AI69" i="43"/>
  <c r="AF69" i="43"/>
  <c r="AP68" i="43" s="1"/>
  <c r="AD69" i="43"/>
  <c r="AC69" i="43"/>
  <c r="AA69" i="43"/>
  <c r="Z69" i="43"/>
  <c r="Y69" i="43"/>
  <c r="X69" i="43"/>
  <c r="W69" i="43"/>
  <c r="V69" i="43"/>
  <c r="U69" i="43"/>
  <c r="S69" i="43"/>
  <c r="R69" i="43"/>
  <c r="Q69" i="43"/>
  <c r="P69" i="43"/>
  <c r="O69" i="43"/>
  <c r="M69" i="43"/>
  <c r="L69" i="43"/>
  <c r="AL71" i="42"/>
  <c r="AG71" i="42"/>
  <c r="AD71" i="42"/>
  <c r="AB71" i="42"/>
  <c r="T71" i="42"/>
  <c r="AG65" i="42"/>
  <c r="Z65" i="42"/>
  <c r="AG64" i="42"/>
  <c r="AA64" i="42"/>
  <c r="AG63" i="42"/>
  <c r="AG62" i="42"/>
  <c r="AA62" i="42"/>
  <c r="AG61" i="42"/>
  <c r="Z61" i="42"/>
  <c r="AG60" i="42"/>
  <c r="AG59" i="42"/>
  <c r="Z59" i="42"/>
  <c r="AG58" i="42"/>
  <c r="AA58" i="42"/>
  <c r="AG57" i="42"/>
  <c r="Z57" i="42"/>
  <c r="AG56" i="42"/>
  <c r="AG55" i="42"/>
  <c r="AG54" i="42"/>
  <c r="AA54" i="42"/>
  <c r="Z54" i="42"/>
  <c r="AG53" i="42"/>
  <c r="Z53" i="42"/>
  <c r="AG52" i="42"/>
  <c r="AA52" i="42"/>
  <c r="AG51" i="42"/>
  <c r="AG50" i="42"/>
  <c r="AA50" i="42"/>
  <c r="AG49" i="42"/>
  <c r="Z49" i="42"/>
  <c r="AG48" i="42"/>
  <c r="AA48" i="42"/>
  <c r="AG47" i="42"/>
  <c r="AG46" i="42"/>
  <c r="AA46" i="42"/>
  <c r="AG45" i="42"/>
  <c r="Z45" i="42"/>
  <c r="AG44" i="42"/>
  <c r="AG43" i="42"/>
  <c r="Z43" i="42"/>
  <c r="AG42" i="42"/>
  <c r="AA42" i="42"/>
  <c r="AG41" i="42"/>
  <c r="Z41" i="42"/>
  <c r="AG40" i="42"/>
  <c r="AG39" i="42"/>
  <c r="Z39" i="42"/>
  <c r="AG38" i="42"/>
  <c r="AA38" i="42"/>
  <c r="Z38" i="42"/>
  <c r="AG37" i="42"/>
  <c r="Z37" i="42"/>
  <c r="AG36" i="42"/>
  <c r="AA36" i="42"/>
  <c r="AG35" i="42"/>
  <c r="AG34" i="42"/>
  <c r="AA34" i="42"/>
  <c r="Z34" i="42"/>
  <c r="AG33" i="42"/>
  <c r="Z33" i="42"/>
  <c r="AG32" i="42"/>
  <c r="AG31" i="42"/>
  <c r="Z31" i="42"/>
  <c r="AG30" i="42"/>
  <c r="AG29" i="42"/>
  <c r="Z29" i="42"/>
  <c r="AG28" i="42"/>
  <c r="AG27" i="42"/>
  <c r="Z27" i="42"/>
  <c r="AG26" i="42"/>
  <c r="AG25" i="42"/>
  <c r="Z25" i="42"/>
  <c r="AG24" i="42"/>
  <c r="AG23" i="42"/>
  <c r="Z23" i="42"/>
  <c r="AG22" i="42"/>
  <c r="Z22" i="42"/>
  <c r="AG21" i="42"/>
  <c r="Z21" i="42"/>
  <c r="AG20" i="42"/>
  <c r="AA20" i="42"/>
  <c r="AG19" i="42"/>
  <c r="Z19" i="42"/>
  <c r="AG18" i="42"/>
  <c r="AA18" i="42"/>
  <c r="Z18" i="42"/>
  <c r="AG17" i="42"/>
  <c r="Z17" i="42"/>
  <c r="AG16" i="42"/>
  <c r="AG15" i="42"/>
  <c r="Z15" i="42"/>
  <c r="AG14" i="42"/>
  <c r="AG13" i="42"/>
  <c r="Z13" i="42"/>
  <c r="AJ12" i="42"/>
  <c r="AG12" i="42"/>
  <c r="AA12" i="42"/>
  <c r="S12" i="42"/>
  <c r="R12" i="42"/>
  <c r="Q12" i="42"/>
  <c r="P12" i="42"/>
  <c r="L12" i="42"/>
  <c r="AG11" i="42"/>
  <c r="AA11" i="42"/>
  <c r="AG10" i="42"/>
  <c r="Z10" i="42"/>
  <c r="AG9" i="42"/>
  <c r="AG8" i="42"/>
  <c r="AG7" i="42"/>
  <c r="AA7" i="42"/>
  <c r="AG6" i="42"/>
  <c r="AA6" i="42"/>
  <c r="Z6" i="42"/>
  <c r="AG5" i="42"/>
  <c r="AK70" i="42"/>
  <c r="AF70" i="42"/>
  <c r="AE70" i="42"/>
  <c r="AC70" i="42"/>
  <c r="AA70" i="42"/>
  <c r="Z70" i="42"/>
  <c r="Y70" i="42"/>
  <c r="X70" i="42"/>
  <c r="W70" i="42"/>
  <c r="S70" i="42"/>
  <c r="R70" i="42"/>
  <c r="Q70" i="42"/>
  <c r="P70" i="42"/>
  <c r="O70" i="42"/>
  <c r="M70" i="42"/>
  <c r="L70" i="42"/>
  <c r="AK69" i="42"/>
  <c r="AI69" i="42"/>
  <c r="AF69" i="42"/>
  <c r="AC69" i="42"/>
  <c r="AA69" i="42"/>
  <c r="Z69" i="42"/>
  <c r="Y69" i="42"/>
  <c r="X69" i="42"/>
  <c r="W69" i="42"/>
  <c r="V69" i="42"/>
  <c r="U69" i="42"/>
  <c r="S69" i="42"/>
  <c r="R69" i="42"/>
  <c r="Q69" i="42"/>
  <c r="P69" i="42"/>
  <c r="O69" i="42"/>
  <c r="M69" i="42"/>
  <c r="L69" i="42"/>
  <c r="AP65" i="42"/>
  <c r="AP64" i="42"/>
  <c r="AP63" i="42"/>
  <c r="AP62" i="42"/>
  <c r="AP61" i="42"/>
  <c r="AP60" i="42"/>
  <c r="AP59" i="42"/>
  <c r="AP58" i="42"/>
  <c r="AP57" i="42"/>
  <c r="AP56" i="42"/>
  <c r="AP55" i="42"/>
  <c r="AP54" i="42"/>
  <c r="AP53" i="42"/>
  <c r="AP52" i="42"/>
  <c r="AP51" i="42"/>
  <c r="AP50" i="42"/>
  <c r="AP49" i="42"/>
  <c r="AP48" i="42"/>
  <c r="AP47" i="42"/>
  <c r="AP46" i="42"/>
  <c r="AP45" i="42"/>
  <c r="AP44" i="42"/>
  <c r="AP43" i="42"/>
  <c r="AP42" i="42"/>
  <c r="AP41" i="42"/>
  <c r="AP40" i="42"/>
  <c r="AP38" i="42"/>
  <c r="AP37" i="42"/>
  <c r="AP36" i="42"/>
  <c r="AP35" i="42"/>
  <c r="AK72" i="41"/>
  <c r="AK71" i="41"/>
  <c r="AK70" i="41"/>
  <c r="AJ71" i="41"/>
  <c r="AI70" i="41"/>
  <c r="AF72" i="41"/>
  <c r="AF71" i="41"/>
  <c r="AF70" i="41"/>
  <c r="AE72" i="41"/>
  <c r="AE70" i="41"/>
  <c r="AE68" i="44" s="1"/>
  <c r="AD71" i="41"/>
  <c r="AC72" i="41"/>
  <c r="AC71" i="41"/>
  <c r="AC70" i="41"/>
  <c r="AA72" i="41"/>
  <c r="AA71" i="41"/>
  <c r="Z71" i="41"/>
  <c r="Y72" i="41"/>
  <c r="Y71" i="41"/>
  <c r="X72" i="41"/>
  <c r="X71" i="41"/>
  <c r="X70" i="41"/>
  <c r="W72" i="41"/>
  <c r="W71" i="41"/>
  <c r="V72" i="41"/>
  <c r="V71" i="41"/>
  <c r="U71" i="41"/>
  <c r="U70" i="41"/>
  <c r="S72" i="41"/>
  <c r="S71" i="41"/>
  <c r="S70" i="41"/>
  <c r="R72" i="41"/>
  <c r="R71" i="41"/>
  <c r="R70" i="41"/>
  <c r="R68" i="42" s="1"/>
  <c r="Q72" i="41"/>
  <c r="Q71" i="41"/>
  <c r="Q70" i="41"/>
  <c r="Q68" i="43" s="1"/>
  <c r="P72" i="41"/>
  <c r="P71" i="41"/>
  <c r="P70" i="41"/>
  <c r="P68" i="42" s="1"/>
  <c r="O72" i="41"/>
  <c r="O71" i="41"/>
  <c r="O70" i="41"/>
  <c r="O68" i="44" s="1"/>
  <c r="M72" i="41"/>
  <c r="M71" i="41"/>
  <c r="M70" i="41"/>
  <c r="L72" i="41"/>
  <c r="L71" i="41"/>
  <c r="L70" i="41"/>
  <c r="AK30" i="41"/>
  <c r="AK29" i="41"/>
  <c r="AK24" i="41"/>
  <c r="AK23" i="41"/>
  <c r="AK22" i="41"/>
  <c r="AK21" i="41"/>
  <c r="AK20" i="41"/>
  <c r="AK19" i="41"/>
  <c r="AK18" i="41"/>
  <c r="AK17" i="41"/>
  <c r="AK14" i="41"/>
  <c r="AK13" i="41"/>
  <c r="AK12" i="41"/>
  <c r="AK12" i="42" s="1"/>
  <c r="AK11" i="41"/>
  <c r="AK10" i="41"/>
  <c r="AK9" i="41"/>
  <c r="AK6" i="41"/>
  <c r="AK5" i="41"/>
  <c r="AI65" i="41"/>
  <c r="AI64" i="41"/>
  <c r="AI63" i="41"/>
  <c r="AI62" i="41"/>
  <c r="AI61" i="41"/>
  <c r="AI60" i="41"/>
  <c r="AI59" i="41"/>
  <c r="AI58" i="41"/>
  <c r="AI57" i="41"/>
  <c r="AI56" i="41"/>
  <c r="AI55" i="41"/>
  <c r="AI54" i="41"/>
  <c r="AI53" i="41"/>
  <c r="AI52" i="41"/>
  <c r="AI51" i="41"/>
  <c r="AI50" i="41"/>
  <c r="AI49" i="41"/>
  <c r="AI48" i="41"/>
  <c r="AI47" i="41"/>
  <c r="AI46" i="41"/>
  <c r="AI45" i="41"/>
  <c r="AI44" i="41"/>
  <c r="AI43" i="41"/>
  <c r="AI42" i="41"/>
  <c r="AI41" i="41"/>
  <c r="AI40" i="41"/>
  <c r="AI38" i="41"/>
  <c r="AI37" i="41"/>
  <c r="AI36" i="41"/>
  <c r="AI35" i="41"/>
  <c r="AI12" i="41"/>
  <c r="AH65" i="41"/>
  <c r="AH64" i="41"/>
  <c r="AH63" i="41"/>
  <c r="AH62" i="41"/>
  <c r="AH61" i="41"/>
  <c r="AH60" i="41"/>
  <c r="AH59" i="41"/>
  <c r="AH58" i="41"/>
  <c r="AH57" i="41"/>
  <c r="AH56" i="41"/>
  <c r="AH55" i="41"/>
  <c r="AH54" i="41"/>
  <c r="AH53" i="41"/>
  <c r="AH52" i="41"/>
  <c r="AH51" i="41"/>
  <c r="AH50" i="41"/>
  <c r="AH49" i="41"/>
  <c r="AH48" i="41"/>
  <c r="AH47" i="41"/>
  <c r="AH46" i="41"/>
  <c r="AH45" i="41"/>
  <c r="AH44" i="41"/>
  <c r="AH43" i="41"/>
  <c r="AH42" i="41"/>
  <c r="AH41" i="41"/>
  <c r="AH40" i="41"/>
  <c r="AH38" i="41"/>
  <c r="AH37" i="41"/>
  <c r="AH36" i="41"/>
  <c r="AH35" i="41"/>
  <c r="AH12" i="41"/>
  <c r="S65" i="41"/>
  <c r="S64" i="41"/>
  <c r="S63" i="41"/>
  <c r="S62" i="41"/>
  <c r="S61" i="41"/>
  <c r="S60" i="41"/>
  <c r="S59" i="41"/>
  <c r="S58" i="41"/>
  <c r="S57" i="41"/>
  <c r="S56" i="41"/>
  <c r="S55" i="41"/>
  <c r="S54" i="41"/>
  <c r="S53" i="41"/>
  <c r="S52" i="41"/>
  <c r="S51" i="41"/>
  <c r="S50" i="41"/>
  <c r="S49" i="41"/>
  <c r="S48" i="41"/>
  <c r="S47" i="41"/>
  <c r="S46" i="41"/>
  <c r="S45" i="41"/>
  <c r="S44" i="41"/>
  <c r="S43" i="41"/>
  <c r="S42" i="41"/>
  <c r="S41" i="41"/>
  <c r="S40" i="41"/>
  <c r="S38" i="41"/>
  <c r="S37" i="41"/>
  <c r="S36" i="41"/>
  <c r="S35" i="41"/>
  <c r="R65" i="41"/>
  <c r="R64" i="41"/>
  <c r="R63" i="41"/>
  <c r="R62" i="41"/>
  <c r="R61" i="41"/>
  <c r="R60" i="41"/>
  <c r="R59" i="41"/>
  <c r="R58" i="41"/>
  <c r="R57" i="41"/>
  <c r="R56" i="41"/>
  <c r="R55" i="41"/>
  <c r="R54" i="41"/>
  <c r="R53" i="41"/>
  <c r="R52" i="41"/>
  <c r="R51" i="41"/>
  <c r="R50" i="41"/>
  <c r="R49" i="41"/>
  <c r="R48" i="41"/>
  <c r="R47" i="41"/>
  <c r="R46" i="41"/>
  <c r="R45" i="41"/>
  <c r="R44" i="41"/>
  <c r="Q65" i="41"/>
  <c r="Q64" i="41"/>
  <c r="Q63" i="41"/>
  <c r="Q62" i="41"/>
  <c r="Q61" i="41"/>
  <c r="Q60" i="41"/>
  <c r="Q59" i="41"/>
  <c r="Q58" i="41"/>
  <c r="Q57" i="41"/>
  <c r="Q56" i="41"/>
  <c r="Q55" i="41"/>
  <c r="Q54" i="41"/>
  <c r="Q53" i="41"/>
  <c r="Q52" i="41"/>
  <c r="Q51" i="41"/>
  <c r="Q50" i="41"/>
  <c r="Q49" i="41"/>
  <c r="Q48" i="41"/>
  <c r="Q47" i="41"/>
  <c r="Q46" i="41"/>
  <c r="Q45" i="41"/>
  <c r="Q44" i="41"/>
  <c r="Q39" i="41"/>
  <c r="Q34" i="41"/>
  <c r="Q33" i="41"/>
  <c r="Q32" i="41"/>
  <c r="Q31" i="41"/>
  <c r="Q26" i="41"/>
  <c r="Q25" i="41"/>
  <c r="Q15" i="41"/>
  <c r="Q7" i="41"/>
  <c r="P65" i="41"/>
  <c r="P64" i="41"/>
  <c r="P63" i="41"/>
  <c r="P62" i="41"/>
  <c r="P61" i="41"/>
  <c r="P60" i="41"/>
  <c r="P59" i="41"/>
  <c r="P58" i="41"/>
  <c r="P57" i="41"/>
  <c r="P56" i="41"/>
  <c r="P55" i="41"/>
  <c r="P54" i="41"/>
  <c r="P53" i="41"/>
  <c r="P52" i="41"/>
  <c r="P51" i="41"/>
  <c r="P50" i="41"/>
  <c r="P49" i="41"/>
  <c r="P48" i="41"/>
  <c r="P47" i="41"/>
  <c r="P46" i="41"/>
  <c r="P45" i="41"/>
  <c r="P44" i="41"/>
  <c r="O65" i="41"/>
  <c r="O64" i="41"/>
  <c r="O63" i="41"/>
  <c r="O62" i="41"/>
  <c r="O61" i="41"/>
  <c r="O60" i="41"/>
  <c r="O59" i="41"/>
  <c r="O58" i="41"/>
  <c r="O57" i="41"/>
  <c r="O56" i="41"/>
  <c r="O55" i="41"/>
  <c r="O54" i="41"/>
  <c r="O53" i="41"/>
  <c r="O52" i="41"/>
  <c r="O51" i="41"/>
  <c r="O50" i="41"/>
  <c r="O49" i="41"/>
  <c r="O48" i="41"/>
  <c r="O47" i="41"/>
  <c r="O46" i="41"/>
  <c r="O45" i="41"/>
  <c r="O44" i="41"/>
  <c r="O43" i="41"/>
  <c r="O42" i="41"/>
  <c r="O41" i="41"/>
  <c r="O40" i="41"/>
  <c r="O38" i="41"/>
  <c r="O37" i="41"/>
  <c r="O36" i="41"/>
  <c r="O35" i="41"/>
  <c r="O12" i="41"/>
  <c r="N30" i="41"/>
  <c r="N29" i="41"/>
  <c r="N23" i="41"/>
  <c r="N12" i="41"/>
  <c r="AP65" i="41"/>
  <c r="AP64" i="41"/>
  <c r="AP63" i="41"/>
  <c r="AP62" i="41"/>
  <c r="AP61" i="41"/>
  <c r="AP60" i="41"/>
  <c r="AP59" i="41"/>
  <c r="AP58" i="41"/>
  <c r="AP57" i="41"/>
  <c r="AP56" i="41"/>
  <c r="AP55" i="41"/>
  <c r="AP54" i="41"/>
  <c r="AP53" i="41"/>
  <c r="AP52" i="41"/>
  <c r="AP51" i="41"/>
  <c r="AP50" i="41"/>
  <c r="AP49" i="41"/>
  <c r="AP48" i="41"/>
  <c r="AP47" i="41"/>
  <c r="AP46" i="41"/>
  <c r="AP45" i="41"/>
  <c r="AP44" i="41"/>
  <c r="AP43" i="41"/>
  <c r="AP42" i="41"/>
  <c r="AP41" i="41"/>
  <c r="AP40" i="41"/>
  <c r="AP38" i="41"/>
  <c r="AP37" i="41"/>
  <c r="AP36" i="41"/>
  <c r="AP35" i="41"/>
  <c r="M12" i="41"/>
  <c r="L65" i="41"/>
  <c r="L64" i="41"/>
  <c r="L63" i="41"/>
  <c r="L62" i="41"/>
  <c r="L61" i="41"/>
  <c r="L60" i="41"/>
  <c r="L59" i="41"/>
  <c r="L58" i="41"/>
  <c r="L57" i="41"/>
  <c r="L56" i="41"/>
  <c r="L55" i="41"/>
  <c r="L54" i="41"/>
  <c r="L53" i="41"/>
  <c r="L52" i="41"/>
  <c r="L51" i="41"/>
  <c r="L50" i="41"/>
  <c r="L49" i="41"/>
  <c r="L48" i="41"/>
  <c r="L47" i="41"/>
  <c r="L46" i="41"/>
  <c r="L45" i="41"/>
  <c r="L44" i="41"/>
  <c r="L39" i="41"/>
  <c r="L34" i="41"/>
  <c r="L33" i="41"/>
  <c r="L32" i="41"/>
  <c r="L31" i="41"/>
  <c r="L26" i="41"/>
  <c r="L25" i="41"/>
  <c r="L15" i="41"/>
  <c r="L7" i="41"/>
  <c r="AJ70" i="44"/>
  <c r="AJ69" i="44"/>
  <c r="AJ70" i="41"/>
  <c r="AI69" i="44"/>
  <c r="AH70" i="41"/>
  <c r="AA70" i="44"/>
  <c r="Z70" i="44"/>
  <c r="F45" i="5"/>
  <c r="F43" i="5"/>
  <c r="D43" i="5"/>
  <c r="E41" i="5"/>
  <c r="D41" i="5"/>
  <c r="F23" i="5"/>
  <c r="AG72" i="41" s="1"/>
  <c r="D23" i="5"/>
  <c r="AG70" i="41" s="1"/>
  <c r="F20" i="5"/>
  <c r="AD70" i="42" s="1"/>
  <c r="E20" i="5"/>
  <c r="AD69" i="44" s="1"/>
  <c r="D20" i="5"/>
  <c r="AD70" i="41" s="1"/>
  <c r="E18" i="5"/>
  <c r="T41" i="4"/>
  <c r="S41" i="4"/>
  <c r="R41" i="4"/>
  <c r="Q41" i="4"/>
  <c r="P41" i="4"/>
  <c r="O41" i="4"/>
  <c r="N41" i="4"/>
  <c r="M41" i="4"/>
  <c r="L41" i="4"/>
  <c r="K41" i="4"/>
  <c r="J41" i="4"/>
  <c r="I41" i="4"/>
  <c r="U41" i="4" s="1"/>
  <c r="T40" i="4"/>
  <c r="S40" i="4"/>
  <c r="R40" i="4"/>
  <c r="Q40" i="4"/>
  <c r="P40" i="4"/>
  <c r="O40" i="4"/>
  <c r="N40" i="4"/>
  <c r="M40" i="4"/>
  <c r="L40" i="4"/>
  <c r="K40" i="4"/>
  <c r="J40" i="4"/>
  <c r="I40" i="4"/>
  <c r="U40" i="4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62" i="3"/>
  <c r="S62" i="3"/>
  <c r="R62" i="3"/>
  <c r="Q62" i="3"/>
  <c r="P62" i="3"/>
  <c r="O62" i="3"/>
  <c r="N62" i="3"/>
  <c r="M62" i="3"/>
  <c r="L62" i="3"/>
  <c r="K62" i="3"/>
  <c r="J62" i="3"/>
  <c r="I62" i="3"/>
  <c r="U62" i="3" s="1"/>
  <c r="T61" i="3"/>
  <c r="S61" i="3"/>
  <c r="R61" i="3"/>
  <c r="Q61" i="3"/>
  <c r="P61" i="3"/>
  <c r="O61" i="3"/>
  <c r="N61" i="3"/>
  <c r="M61" i="3"/>
  <c r="L61" i="3"/>
  <c r="K61" i="3"/>
  <c r="J61" i="3"/>
  <c r="I61" i="3"/>
  <c r="U61" i="3" s="1"/>
  <c r="T60" i="3"/>
  <c r="S60" i="3"/>
  <c r="R60" i="3"/>
  <c r="Q60" i="3"/>
  <c r="P60" i="3"/>
  <c r="O60" i="3"/>
  <c r="N60" i="3"/>
  <c r="M60" i="3"/>
  <c r="L60" i="3"/>
  <c r="K60" i="3"/>
  <c r="J60" i="3"/>
  <c r="I60" i="3"/>
  <c r="U60" i="3" s="1"/>
  <c r="T59" i="3"/>
  <c r="S59" i="3"/>
  <c r="R59" i="3"/>
  <c r="Q59" i="3"/>
  <c r="P59" i="3"/>
  <c r="O59" i="3"/>
  <c r="N59" i="3"/>
  <c r="M59" i="3"/>
  <c r="L59" i="3"/>
  <c r="K59" i="3"/>
  <c r="J59" i="3"/>
  <c r="I59" i="3"/>
  <c r="U59" i="3" s="1"/>
  <c r="T58" i="3"/>
  <c r="S58" i="3"/>
  <c r="R58" i="3"/>
  <c r="Q58" i="3"/>
  <c r="P58" i="3"/>
  <c r="O58" i="3"/>
  <c r="N58" i="3"/>
  <c r="M58" i="3"/>
  <c r="L58" i="3"/>
  <c r="K58" i="3"/>
  <c r="J58" i="3"/>
  <c r="I58" i="3"/>
  <c r="U58" i="3" s="1"/>
  <c r="T57" i="3"/>
  <c r="S57" i="3"/>
  <c r="R57" i="3"/>
  <c r="Q57" i="3"/>
  <c r="P57" i="3"/>
  <c r="O57" i="3"/>
  <c r="N57" i="3"/>
  <c r="M57" i="3"/>
  <c r="L57" i="3"/>
  <c r="K57" i="3"/>
  <c r="J57" i="3"/>
  <c r="I57" i="3"/>
  <c r="U57" i="3" s="1"/>
  <c r="T56" i="3"/>
  <c r="S56" i="3"/>
  <c r="R56" i="3"/>
  <c r="Q56" i="3"/>
  <c r="P56" i="3"/>
  <c r="O56" i="3"/>
  <c r="N56" i="3"/>
  <c r="M56" i="3"/>
  <c r="L56" i="3"/>
  <c r="K56" i="3"/>
  <c r="J56" i="3"/>
  <c r="I56" i="3"/>
  <c r="U56" i="3" s="1"/>
  <c r="T55" i="3"/>
  <c r="S55" i="3"/>
  <c r="R55" i="3"/>
  <c r="Q55" i="3"/>
  <c r="P55" i="3"/>
  <c r="O55" i="3"/>
  <c r="N55" i="3"/>
  <c r="M55" i="3"/>
  <c r="L55" i="3"/>
  <c r="K55" i="3"/>
  <c r="J55" i="3"/>
  <c r="I55" i="3"/>
  <c r="U55" i="3" s="1"/>
  <c r="T54" i="3"/>
  <c r="S54" i="3"/>
  <c r="R54" i="3"/>
  <c r="Q54" i="3"/>
  <c r="P54" i="3"/>
  <c r="O54" i="3"/>
  <c r="N54" i="3"/>
  <c r="M54" i="3"/>
  <c r="L54" i="3"/>
  <c r="K54" i="3"/>
  <c r="J54" i="3"/>
  <c r="I54" i="3"/>
  <c r="U54" i="3" s="1"/>
  <c r="T53" i="3"/>
  <c r="S53" i="3"/>
  <c r="R53" i="3"/>
  <c r="Q53" i="3"/>
  <c r="P53" i="3"/>
  <c r="O53" i="3"/>
  <c r="N53" i="3"/>
  <c r="M53" i="3"/>
  <c r="L53" i="3"/>
  <c r="K53" i="3"/>
  <c r="J53" i="3"/>
  <c r="I53" i="3"/>
  <c r="U53" i="3" s="1"/>
  <c r="T52" i="3"/>
  <c r="S52" i="3"/>
  <c r="R52" i="3"/>
  <c r="Q52" i="3"/>
  <c r="P52" i="3"/>
  <c r="O52" i="3"/>
  <c r="N52" i="3"/>
  <c r="M52" i="3"/>
  <c r="L52" i="3"/>
  <c r="K52" i="3"/>
  <c r="J52" i="3"/>
  <c r="I52" i="3"/>
  <c r="U52" i="3" s="1"/>
  <c r="T51" i="3"/>
  <c r="S51" i="3"/>
  <c r="R51" i="3"/>
  <c r="Q51" i="3"/>
  <c r="P51" i="3"/>
  <c r="O51" i="3"/>
  <c r="N51" i="3"/>
  <c r="M51" i="3"/>
  <c r="L51" i="3"/>
  <c r="K51" i="3"/>
  <c r="J51" i="3"/>
  <c r="I51" i="3"/>
  <c r="U51" i="3" s="1"/>
  <c r="T50" i="3"/>
  <c r="S50" i="3"/>
  <c r="R50" i="3"/>
  <c r="Q50" i="3"/>
  <c r="P50" i="3"/>
  <c r="O50" i="3"/>
  <c r="N50" i="3"/>
  <c r="M50" i="3"/>
  <c r="L50" i="3"/>
  <c r="K50" i="3"/>
  <c r="J50" i="3"/>
  <c r="I50" i="3"/>
  <c r="U50" i="3" s="1"/>
  <c r="T49" i="3"/>
  <c r="S49" i="3"/>
  <c r="R49" i="3"/>
  <c r="Q49" i="3"/>
  <c r="P49" i="3"/>
  <c r="O49" i="3"/>
  <c r="N49" i="3"/>
  <c r="M49" i="3"/>
  <c r="L49" i="3"/>
  <c r="K49" i="3"/>
  <c r="J49" i="3"/>
  <c r="I49" i="3"/>
  <c r="U49" i="3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Q19" i="3"/>
  <c r="M19" i="3"/>
  <c r="I19" i="3"/>
  <c r="T18" i="3"/>
  <c r="S18" i="3"/>
  <c r="R18" i="3"/>
  <c r="R19" i="3" s="1"/>
  <c r="Q18" i="3"/>
  <c r="P18" i="3"/>
  <c r="O18" i="3"/>
  <c r="N18" i="3"/>
  <c r="N19" i="3" s="1"/>
  <c r="M18" i="3"/>
  <c r="L18" i="3"/>
  <c r="K18" i="3"/>
  <c r="J18" i="3"/>
  <c r="J19" i="3" s="1"/>
  <c r="I18" i="3"/>
  <c r="U18" i="3" s="1"/>
  <c r="T17" i="3"/>
  <c r="T19" i="3" s="1"/>
  <c r="S17" i="3"/>
  <c r="S19" i="3" s="1"/>
  <c r="R17" i="3"/>
  <c r="Q17" i="3"/>
  <c r="P17" i="3"/>
  <c r="P19" i="3" s="1"/>
  <c r="O17" i="3"/>
  <c r="O19" i="3" s="1"/>
  <c r="N17" i="3"/>
  <c r="M17" i="3"/>
  <c r="L17" i="3"/>
  <c r="L19" i="3" s="1"/>
  <c r="K17" i="3"/>
  <c r="K19" i="3" s="1"/>
  <c r="J17" i="3"/>
  <c r="I17" i="3"/>
  <c r="U17" i="3" s="1"/>
  <c r="T16" i="3"/>
  <c r="P16" i="3"/>
  <c r="L16" i="3"/>
  <c r="T15" i="3"/>
  <c r="S15" i="3"/>
  <c r="R15" i="3"/>
  <c r="Q15" i="3"/>
  <c r="Q16" i="3" s="1"/>
  <c r="P15" i="3"/>
  <c r="O15" i="3"/>
  <c r="N15" i="3"/>
  <c r="M15" i="3"/>
  <c r="M16" i="3" s="1"/>
  <c r="L15" i="3"/>
  <c r="K15" i="3"/>
  <c r="J15" i="3"/>
  <c r="I15" i="3"/>
  <c r="U15" i="3" s="1"/>
  <c r="T14" i="3"/>
  <c r="S14" i="3"/>
  <c r="S16" i="3" s="1"/>
  <c r="R14" i="3"/>
  <c r="R16" i="3" s="1"/>
  <c r="Q14" i="3"/>
  <c r="P14" i="3"/>
  <c r="O14" i="3"/>
  <c r="O16" i="3" s="1"/>
  <c r="N14" i="3"/>
  <c r="N16" i="3" s="1"/>
  <c r="M14" i="3"/>
  <c r="L14" i="3"/>
  <c r="K14" i="3"/>
  <c r="K16" i="3" s="1"/>
  <c r="J14" i="3"/>
  <c r="J16" i="3" s="1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P8" i="3"/>
  <c r="L8" i="3"/>
  <c r="T7" i="3"/>
  <c r="S7" i="3"/>
  <c r="R7" i="3"/>
  <c r="Q7" i="3"/>
  <c r="Q8" i="3" s="1"/>
  <c r="P7" i="3"/>
  <c r="O7" i="3"/>
  <c r="N7" i="3"/>
  <c r="M7" i="3"/>
  <c r="M8" i="3" s="1"/>
  <c r="L7" i="3"/>
  <c r="K7" i="3"/>
  <c r="J7" i="3"/>
  <c r="I7" i="3"/>
  <c r="U7" i="3" s="1"/>
  <c r="T6" i="3"/>
  <c r="S6" i="3"/>
  <c r="S8" i="3" s="1"/>
  <c r="R6" i="3"/>
  <c r="R8" i="3" s="1"/>
  <c r="Q6" i="3"/>
  <c r="P6" i="3"/>
  <c r="O6" i="3"/>
  <c r="O8" i="3" s="1"/>
  <c r="N6" i="3"/>
  <c r="N8" i="3" s="1"/>
  <c r="M6" i="3"/>
  <c r="L6" i="3"/>
  <c r="K6" i="3"/>
  <c r="K8" i="3" s="1"/>
  <c r="J6" i="3"/>
  <c r="J8" i="3" s="1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I12" i="57" l="1"/>
  <c r="I12" i="43"/>
  <c r="I12" i="42"/>
  <c r="I12" i="49"/>
  <c r="I12" i="44"/>
  <c r="I12" i="41"/>
  <c r="I13" i="57"/>
  <c r="I13" i="42"/>
  <c r="I13" i="44"/>
  <c r="I13" i="41"/>
  <c r="I13" i="49"/>
  <c r="I13" i="43"/>
  <c r="I14" i="57"/>
  <c r="I14" i="44"/>
  <c r="I14" i="41"/>
  <c r="I14" i="49"/>
  <c r="I14" i="43"/>
  <c r="I14" i="42"/>
  <c r="I15" i="57"/>
  <c r="AT81" i="57" s="1"/>
  <c r="I15" i="44"/>
  <c r="I15" i="41"/>
  <c r="I15" i="49"/>
  <c r="I15" i="43"/>
  <c r="I15" i="42"/>
  <c r="I16" i="57"/>
  <c r="I16" i="49"/>
  <c r="I16" i="43"/>
  <c r="I16" i="42"/>
  <c r="I16" i="44"/>
  <c r="I16" i="41"/>
  <c r="I17" i="57"/>
  <c r="I17" i="42"/>
  <c r="I17" i="44"/>
  <c r="I17" i="41"/>
  <c r="I17" i="49"/>
  <c r="I17" i="43"/>
  <c r="I18" i="57"/>
  <c r="I18" i="44"/>
  <c r="I18" i="41"/>
  <c r="I18" i="49"/>
  <c r="I18" i="43"/>
  <c r="I18" i="42"/>
  <c r="W12" i="42"/>
  <c r="W68" i="41"/>
  <c r="I23" i="57"/>
  <c r="BD89" i="57" s="1"/>
  <c r="I23" i="44"/>
  <c r="I23" i="41"/>
  <c r="I23" i="49"/>
  <c r="I23" i="43"/>
  <c r="I23" i="42"/>
  <c r="I24" i="57"/>
  <c r="I24" i="49"/>
  <c r="I24" i="43"/>
  <c r="I24" i="42"/>
  <c r="I24" i="44"/>
  <c r="I24" i="41"/>
  <c r="I25" i="57"/>
  <c r="I25" i="42"/>
  <c r="I25" i="44"/>
  <c r="I25" i="41"/>
  <c r="I25" i="49"/>
  <c r="I25" i="43"/>
  <c r="I26" i="57"/>
  <c r="I26" i="44"/>
  <c r="I26" i="41"/>
  <c r="I26" i="49"/>
  <c r="I26" i="43"/>
  <c r="I26" i="42"/>
  <c r="I27" i="57"/>
  <c r="AX93" i="57" s="1"/>
  <c r="I27" i="44"/>
  <c r="I27" i="41"/>
  <c r="I27" i="49"/>
  <c r="I27" i="43"/>
  <c r="I27" i="42"/>
  <c r="I28" i="57"/>
  <c r="I28" i="49"/>
  <c r="I28" i="43"/>
  <c r="I28" i="42"/>
  <c r="I28" i="44"/>
  <c r="I28" i="41"/>
  <c r="I29" i="57"/>
  <c r="I29" i="42"/>
  <c r="I29" i="44"/>
  <c r="I29" i="49"/>
  <c r="I29" i="43"/>
  <c r="I29" i="41"/>
  <c r="I30" i="57"/>
  <c r="I30" i="44"/>
  <c r="I30" i="49"/>
  <c r="I30" i="43"/>
  <c r="I30" i="41"/>
  <c r="I30" i="42"/>
  <c r="I31" i="57"/>
  <c r="AS97" i="57" s="1"/>
  <c r="I31" i="44"/>
  <c r="I31" i="49"/>
  <c r="I31" i="43"/>
  <c r="I31" i="42"/>
  <c r="I31" i="41"/>
  <c r="I32" i="57"/>
  <c r="I32" i="49"/>
  <c r="I32" i="43"/>
  <c r="I32" i="42"/>
  <c r="I32" i="41"/>
  <c r="I32" i="44"/>
  <c r="I33" i="57"/>
  <c r="I33" i="42"/>
  <c r="I33" i="41"/>
  <c r="I33" i="44"/>
  <c r="I33" i="49"/>
  <c r="I33" i="43"/>
  <c r="I34" i="57"/>
  <c r="I34" i="44"/>
  <c r="I34" i="49"/>
  <c r="I34" i="43"/>
  <c r="I34" i="42"/>
  <c r="I34" i="41"/>
  <c r="I35" i="57"/>
  <c r="AN101" i="57" s="1"/>
  <c r="I35" i="44"/>
  <c r="I35" i="49"/>
  <c r="I35" i="43"/>
  <c r="I35" i="42"/>
  <c r="I35" i="41"/>
  <c r="I36" i="57"/>
  <c r="I36" i="43"/>
  <c r="I36" i="42"/>
  <c r="I36" i="49"/>
  <c r="I36" i="41"/>
  <c r="I36" i="44"/>
  <c r="I37" i="57"/>
  <c r="AO103" i="57" s="1"/>
  <c r="I37" i="41"/>
  <c r="I37" i="49"/>
  <c r="I37" i="44"/>
  <c r="I37" i="42"/>
  <c r="I37" i="43"/>
  <c r="I38" i="57"/>
  <c r="I38" i="42"/>
  <c r="I38" i="49"/>
  <c r="I38" i="44"/>
  <c r="I38" i="43"/>
  <c r="I38" i="41"/>
  <c r="I39" i="57"/>
  <c r="AW105" i="57" s="1"/>
  <c r="I39" i="44"/>
  <c r="I39" i="49"/>
  <c r="I39" i="43"/>
  <c r="I39" i="42"/>
  <c r="I39" i="41"/>
  <c r="I40" i="57"/>
  <c r="I40" i="49"/>
  <c r="I40" i="43"/>
  <c r="I40" i="42"/>
  <c r="I40" i="41"/>
  <c r="I40" i="44"/>
  <c r="I41" i="57"/>
  <c r="AO107" i="57" s="1"/>
  <c r="I41" i="49"/>
  <c r="I41" i="41"/>
  <c r="I41" i="44"/>
  <c r="I41" i="43"/>
  <c r="I41" i="42"/>
  <c r="I42" i="57"/>
  <c r="I42" i="49"/>
  <c r="I42" i="44"/>
  <c r="I42" i="42"/>
  <c r="I42" i="43"/>
  <c r="I42" i="41"/>
  <c r="I43" i="57"/>
  <c r="AT109" i="57" s="1"/>
  <c r="I43" i="49"/>
  <c r="I43" i="44"/>
  <c r="I43" i="43"/>
  <c r="I43" i="41"/>
  <c r="I43" i="42"/>
  <c r="I44" i="57"/>
  <c r="I44" i="49"/>
  <c r="I44" i="43"/>
  <c r="I44" i="42"/>
  <c r="I44" i="41"/>
  <c r="I44" i="44"/>
  <c r="I45" i="57"/>
  <c r="AR111" i="57" s="1"/>
  <c r="I45" i="49"/>
  <c r="I45" i="41"/>
  <c r="I45" i="44"/>
  <c r="I45" i="43"/>
  <c r="I45" i="42"/>
  <c r="I46" i="57"/>
  <c r="I46" i="49"/>
  <c r="I46" i="44"/>
  <c r="I46" i="42"/>
  <c r="I46" i="43"/>
  <c r="I46" i="41"/>
  <c r="I47" i="57"/>
  <c r="AO113" i="57" s="1"/>
  <c r="I47" i="49"/>
  <c r="I47" i="44"/>
  <c r="I47" i="43"/>
  <c r="I47" i="41"/>
  <c r="I47" i="42"/>
  <c r="I48" i="57"/>
  <c r="I48" i="49"/>
  <c r="I48" i="43"/>
  <c r="I48" i="42"/>
  <c r="I48" i="41"/>
  <c r="I48" i="44"/>
  <c r="I49" i="57"/>
  <c r="AL115" i="57" s="1"/>
  <c r="I49" i="49"/>
  <c r="I49" i="41"/>
  <c r="I49" i="44"/>
  <c r="I49" i="43"/>
  <c r="I49" i="42"/>
  <c r="I50" i="57"/>
  <c r="I50" i="49"/>
  <c r="I50" i="44"/>
  <c r="I50" i="42"/>
  <c r="I50" i="43"/>
  <c r="I50" i="41"/>
  <c r="I51" i="57"/>
  <c r="AJ117" i="57" s="1"/>
  <c r="I51" i="49"/>
  <c r="I51" i="44"/>
  <c r="I51" i="43"/>
  <c r="I51" i="41"/>
  <c r="I51" i="42"/>
  <c r="I52" i="57"/>
  <c r="I52" i="49"/>
  <c r="I52" i="43"/>
  <c r="I52" i="42"/>
  <c r="I52" i="41"/>
  <c r="I52" i="44"/>
  <c r="I53" i="57"/>
  <c r="BB119" i="57" s="1"/>
  <c r="I53" i="49"/>
  <c r="I53" i="41"/>
  <c r="I53" i="44"/>
  <c r="I53" i="43"/>
  <c r="I53" i="42"/>
  <c r="I54" i="57"/>
  <c r="I54" i="49"/>
  <c r="I54" i="44"/>
  <c r="I54" i="42"/>
  <c r="I54" i="43"/>
  <c r="I54" i="41"/>
  <c r="I55" i="57"/>
  <c r="I55" i="49"/>
  <c r="I55" i="44"/>
  <c r="I55" i="43"/>
  <c r="I55" i="41"/>
  <c r="I55" i="42"/>
  <c r="I56" i="57"/>
  <c r="I56" i="49"/>
  <c r="I56" i="43"/>
  <c r="I56" i="42"/>
  <c r="I56" i="41"/>
  <c r="I56" i="44"/>
  <c r="I57" i="57"/>
  <c r="I57" i="49"/>
  <c r="I57" i="41"/>
  <c r="I57" i="44"/>
  <c r="I57" i="43"/>
  <c r="I57" i="42"/>
  <c r="I58" i="57"/>
  <c r="I58" i="49"/>
  <c r="I58" i="44"/>
  <c r="I58" i="42"/>
  <c r="I58" i="43"/>
  <c r="I58" i="41"/>
  <c r="I59" i="57"/>
  <c r="I59" i="49"/>
  <c r="I59" i="44"/>
  <c r="I59" i="43"/>
  <c r="I59" i="41"/>
  <c r="I59" i="42"/>
  <c r="I60" i="57"/>
  <c r="I60" i="49"/>
  <c r="I60" i="43"/>
  <c r="I60" i="42"/>
  <c r="I60" i="41"/>
  <c r="I60" i="44"/>
  <c r="I61" i="57"/>
  <c r="I61" i="49"/>
  <c r="I61" i="41"/>
  <c r="I61" i="44"/>
  <c r="I61" i="43"/>
  <c r="I61" i="42"/>
  <c r="I62" i="57"/>
  <c r="I62" i="49"/>
  <c r="I62" i="44"/>
  <c r="I62" i="42"/>
  <c r="I62" i="43"/>
  <c r="I62" i="41"/>
  <c r="I63" i="57"/>
  <c r="I63" i="49"/>
  <c r="I63" i="44"/>
  <c r="I63" i="43"/>
  <c r="I63" i="41"/>
  <c r="I63" i="42"/>
  <c r="I64" i="57"/>
  <c r="I64" i="49"/>
  <c r="I64" i="43"/>
  <c r="I64" i="42"/>
  <c r="I64" i="41"/>
  <c r="I64" i="44"/>
  <c r="I65" i="57"/>
  <c r="I65" i="49"/>
  <c r="I65" i="41"/>
  <c r="I65" i="44"/>
  <c r="I65" i="43"/>
  <c r="I65" i="42"/>
  <c r="I5" i="58"/>
  <c r="AD50" i="58" s="1"/>
  <c r="P14" i="5"/>
  <c r="I5" i="47"/>
  <c r="I5" i="45"/>
  <c r="I5" i="48"/>
  <c r="I5" i="46"/>
  <c r="I6" i="58"/>
  <c r="I6" i="47"/>
  <c r="I6" i="45"/>
  <c r="I6" i="48"/>
  <c r="I6" i="46"/>
  <c r="I7" i="58"/>
  <c r="I7" i="45"/>
  <c r="I7" i="48"/>
  <c r="I7" i="46"/>
  <c r="I7" i="47"/>
  <c r="I8" i="58"/>
  <c r="I8" i="48"/>
  <c r="I8" i="46"/>
  <c r="I8" i="47"/>
  <c r="I8" i="45"/>
  <c r="I9" i="58"/>
  <c r="I9" i="47"/>
  <c r="I9" i="45"/>
  <c r="I9" i="48"/>
  <c r="I9" i="46"/>
  <c r="I10" i="58"/>
  <c r="I10" i="47"/>
  <c r="I10" i="45"/>
  <c r="I10" i="48"/>
  <c r="I10" i="46"/>
  <c r="I11" i="58"/>
  <c r="I11" i="45"/>
  <c r="I11" i="48"/>
  <c r="I11" i="46"/>
  <c r="I11" i="47"/>
  <c r="I12" i="58"/>
  <c r="I12" i="48"/>
  <c r="I12" i="46"/>
  <c r="I12" i="47"/>
  <c r="I12" i="45"/>
  <c r="I13" i="58"/>
  <c r="I13" i="47"/>
  <c r="I13" i="45"/>
  <c r="I13" i="48"/>
  <c r="I13" i="46"/>
  <c r="I14" i="58"/>
  <c r="AH59" i="58" s="1"/>
  <c r="I14" i="47"/>
  <c r="I14" i="45"/>
  <c r="I14" i="48"/>
  <c r="I14" i="46"/>
  <c r="I15" i="58"/>
  <c r="I15" i="45"/>
  <c r="I15" i="48"/>
  <c r="I15" i="46"/>
  <c r="I15" i="47"/>
  <c r="I16" i="58"/>
  <c r="I16" i="48"/>
  <c r="I16" i="46"/>
  <c r="I16" i="47"/>
  <c r="I16" i="45"/>
  <c r="I17" i="58"/>
  <c r="I17" i="47"/>
  <c r="I17" i="45"/>
  <c r="I17" i="48"/>
  <c r="I17" i="46"/>
  <c r="I18" i="58"/>
  <c r="I18" i="47"/>
  <c r="I18" i="45"/>
  <c r="I18" i="48"/>
  <c r="I18" i="46"/>
  <c r="I19" i="58"/>
  <c r="I19" i="45"/>
  <c r="I19" i="48"/>
  <c r="I19" i="46"/>
  <c r="I19" i="47"/>
  <c r="I20" i="58"/>
  <c r="I20" i="48"/>
  <c r="I20" i="46"/>
  <c r="I20" i="47"/>
  <c r="I20" i="45"/>
  <c r="I21" i="58"/>
  <c r="I21" i="47"/>
  <c r="I21" i="45"/>
  <c r="I21" i="48"/>
  <c r="I21" i="46"/>
  <c r="I22" i="58"/>
  <c r="I22" i="47"/>
  <c r="I22" i="45"/>
  <c r="I22" i="48"/>
  <c r="I22" i="46"/>
  <c r="I23" i="58"/>
  <c r="I23" i="45"/>
  <c r="I23" i="48"/>
  <c r="I23" i="46"/>
  <c r="I23" i="47"/>
  <c r="I24" i="58"/>
  <c r="I24" i="48"/>
  <c r="I24" i="46"/>
  <c r="I24" i="47"/>
  <c r="I24" i="45"/>
  <c r="I25" i="58"/>
  <c r="I25" i="47"/>
  <c r="I25" i="45"/>
  <c r="I25" i="48"/>
  <c r="I25" i="46"/>
  <c r="I26" i="58"/>
  <c r="I26" i="47"/>
  <c r="I26" i="45"/>
  <c r="I26" i="48"/>
  <c r="I26" i="46"/>
  <c r="I27" i="58"/>
  <c r="I27" i="45"/>
  <c r="I27" i="48"/>
  <c r="I27" i="46"/>
  <c r="I27" i="47"/>
  <c r="I28" i="58"/>
  <c r="I28" i="48"/>
  <c r="I28" i="46"/>
  <c r="I28" i="47"/>
  <c r="I28" i="45"/>
  <c r="I29" i="58"/>
  <c r="I29" i="47"/>
  <c r="I29" i="45"/>
  <c r="I29" i="48"/>
  <c r="I29" i="46"/>
  <c r="I30" i="58"/>
  <c r="I30" i="47"/>
  <c r="I30" i="45"/>
  <c r="I30" i="48"/>
  <c r="I30" i="46"/>
  <c r="I31" i="58"/>
  <c r="I31" i="45"/>
  <c r="I31" i="48"/>
  <c r="I31" i="46"/>
  <c r="I31" i="47"/>
  <c r="I32" i="58"/>
  <c r="I32" i="48"/>
  <c r="I32" i="46"/>
  <c r="I32" i="47"/>
  <c r="I32" i="45"/>
  <c r="I33" i="58"/>
  <c r="I33" i="47"/>
  <c r="I33" i="45"/>
  <c r="I33" i="48"/>
  <c r="I33" i="46"/>
  <c r="I34" i="58"/>
  <c r="I34" i="47"/>
  <c r="I34" i="45"/>
  <c r="I34" i="48"/>
  <c r="I34" i="46"/>
  <c r="I35" i="58"/>
  <c r="I35" i="45"/>
  <c r="I35" i="48"/>
  <c r="I35" i="46"/>
  <c r="I35" i="47"/>
  <c r="I36" i="58"/>
  <c r="I36" i="48"/>
  <c r="I36" i="46"/>
  <c r="I36" i="47"/>
  <c r="I36" i="45"/>
  <c r="I37" i="58"/>
  <c r="I37" i="47"/>
  <c r="I37" i="45"/>
  <c r="I37" i="48"/>
  <c r="I37" i="46"/>
  <c r="I38" i="58"/>
  <c r="I38" i="47"/>
  <c r="I38" i="45"/>
  <c r="I38" i="48"/>
  <c r="I38" i="46"/>
  <c r="I39" i="58"/>
  <c r="I39" i="45"/>
  <c r="I39" i="48"/>
  <c r="I39" i="46"/>
  <c r="I39" i="47"/>
  <c r="I40" i="58"/>
  <c r="I40" i="48"/>
  <c r="I40" i="46"/>
  <c r="I40" i="47"/>
  <c r="I40" i="45"/>
  <c r="I41" i="58"/>
  <c r="I41" i="47"/>
  <c r="I41" i="45"/>
  <c r="I41" i="48"/>
  <c r="I41" i="46"/>
  <c r="I42" i="58"/>
  <c r="I42" i="47"/>
  <c r="I42" i="45"/>
  <c r="I42" i="48"/>
  <c r="I42" i="46"/>
  <c r="I43" i="58"/>
  <c r="I43" i="45"/>
  <c r="I43" i="48"/>
  <c r="I43" i="46"/>
  <c r="I43" i="47"/>
  <c r="I44" i="58"/>
  <c r="I44" i="48"/>
  <c r="I44" i="46"/>
  <c r="I44" i="47"/>
  <c r="I44" i="45"/>
  <c r="U68" i="41"/>
  <c r="P12" i="5"/>
  <c r="I5" i="57"/>
  <c r="I5" i="42"/>
  <c r="I5" i="49"/>
  <c r="I5" i="44"/>
  <c r="I5" i="41"/>
  <c r="I5" i="43"/>
  <c r="I6" i="57"/>
  <c r="I6" i="49"/>
  <c r="I6" i="44"/>
  <c r="I6" i="41"/>
  <c r="I6" i="43"/>
  <c r="I6" i="42"/>
  <c r="I7" i="57"/>
  <c r="I7" i="44"/>
  <c r="I7" i="41"/>
  <c r="I7" i="43"/>
  <c r="I7" i="42"/>
  <c r="I7" i="49"/>
  <c r="I8" i="57"/>
  <c r="I8" i="43"/>
  <c r="I8" i="42"/>
  <c r="I8" i="49"/>
  <c r="I8" i="44"/>
  <c r="I8" i="41"/>
  <c r="I9" i="57"/>
  <c r="I9" i="42"/>
  <c r="I9" i="49"/>
  <c r="I9" i="44"/>
  <c r="I9" i="41"/>
  <c r="I9" i="43"/>
  <c r="I10" i="57"/>
  <c r="I10" i="49"/>
  <c r="I10" i="44"/>
  <c r="I10" i="41"/>
  <c r="I10" i="43"/>
  <c r="I10" i="42"/>
  <c r="I20" i="57"/>
  <c r="I20" i="49"/>
  <c r="I20" i="43"/>
  <c r="I20" i="42"/>
  <c r="I20" i="44"/>
  <c r="I20" i="41"/>
  <c r="I21" i="57"/>
  <c r="I21" i="42"/>
  <c r="I21" i="44"/>
  <c r="I21" i="41"/>
  <c r="I21" i="49"/>
  <c r="I21" i="43"/>
  <c r="U19" i="3"/>
  <c r="I8" i="3"/>
  <c r="U8" i="3" s="1"/>
  <c r="I16" i="3"/>
  <c r="U16" i="3" s="1"/>
  <c r="N68" i="41"/>
  <c r="O68" i="41"/>
  <c r="AI68" i="41"/>
  <c r="AT6" i="51"/>
  <c r="AD69" i="42"/>
  <c r="AO5" i="51"/>
  <c r="AT7" i="51"/>
  <c r="AJ7" i="51"/>
  <c r="Y68" i="41"/>
  <c r="AJ4" i="51"/>
  <c r="AT4" i="51"/>
  <c r="AJ2" i="51"/>
  <c r="Q72" i="43"/>
  <c r="AK68" i="41"/>
  <c r="O51" i="47"/>
  <c r="AC68" i="41"/>
  <c r="AT5" i="51"/>
  <c r="AJ5" i="51"/>
  <c r="AJ6" i="51"/>
  <c r="AO7" i="51"/>
  <c r="AO3" i="51"/>
  <c r="AA9" i="55"/>
  <c r="AA11" i="55"/>
  <c r="AO6" i="51"/>
  <c r="AC272" i="52"/>
  <c r="AC276" i="52"/>
  <c r="AC280" i="52"/>
  <c r="AC284" i="52"/>
  <c r="AC288" i="52"/>
  <c r="AC292" i="52"/>
  <c r="AC296" i="52"/>
  <c r="AC300" i="52"/>
  <c r="AC304" i="52"/>
  <c r="AC308" i="52"/>
  <c r="AC312" i="52"/>
  <c r="AC316" i="52"/>
  <c r="AC320" i="52"/>
  <c r="AC324" i="52"/>
  <c r="AC328" i="52"/>
  <c r="AC332" i="52"/>
  <c r="AC336" i="52"/>
  <c r="AC340" i="52"/>
  <c r="AC344" i="52"/>
  <c r="AC348" i="52"/>
  <c r="AC352" i="52"/>
  <c r="AC356" i="52"/>
  <c r="AC360" i="52"/>
  <c r="AC364" i="52"/>
  <c r="AC368" i="52"/>
  <c r="AC372" i="52"/>
  <c r="AC376" i="52"/>
  <c r="AC380" i="52"/>
  <c r="AC384" i="52"/>
  <c r="AC388" i="52"/>
  <c r="AC392" i="52"/>
  <c r="AC396" i="52"/>
  <c r="AC400" i="52"/>
  <c r="AC404" i="52"/>
  <c r="AC408" i="52"/>
  <c r="AC412" i="52"/>
  <c r="AC672" i="52"/>
  <c r="AC676" i="52"/>
  <c r="AC680" i="52"/>
  <c r="AC684" i="52"/>
  <c r="AC688" i="52"/>
  <c r="AC692" i="52"/>
  <c r="AC696" i="52"/>
  <c r="AC700" i="52"/>
  <c r="AC704" i="52"/>
  <c r="AC708" i="52"/>
  <c r="AC712" i="52"/>
  <c r="AC716" i="52"/>
  <c r="AC720" i="52"/>
  <c r="AC724" i="52"/>
  <c r="AC728" i="52"/>
  <c r="AC732" i="52"/>
  <c r="AC736" i="52"/>
  <c r="AC740" i="52"/>
  <c r="AC744" i="52"/>
  <c r="AC748" i="52"/>
  <c r="AC752" i="52"/>
  <c r="AC756" i="52"/>
  <c r="AC760" i="52"/>
  <c r="AC764" i="52"/>
  <c r="AC768" i="52"/>
  <c r="AC3" i="52"/>
  <c r="AC7" i="52"/>
  <c r="AC11" i="52"/>
  <c r="AC27" i="52"/>
  <c r="AC31" i="52"/>
  <c r="AC35" i="52"/>
  <c r="AC271" i="52"/>
  <c r="AC275" i="52"/>
  <c r="AC279" i="52"/>
  <c r="AC283" i="52"/>
  <c r="AC287" i="52"/>
  <c r="AC291" i="52"/>
  <c r="AC295" i="52"/>
  <c r="AC299" i="52"/>
  <c r="AC303" i="52"/>
  <c r="AC307" i="52"/>
  <c r="AC311" i="52"/>
  <c r="AC315" i="52"/>
  <c r="AC319" i="52"/>
  <c r="AC323" i="52"/>
  <c r="AC327" i="52"/>
  <c r="AC331" i="52"/>
  <c r="AC335" i="52"/>
  <c r="AC339" i="52"/>
  <c r="AC343" i="52"/>
  <c r="AC347" i="52"/>
  <c r="AC351" i="52"/>
  <c r="AC355" i="52"/>
  <c r="AC359" i="52"/>
  <c r="AC363" i="52"/>
  <c r="AC367" i="52"/>
  <c r="AC371" i="52"/>
  <c r="AC375" i="52"/>
  <c r="AC379" i="52"/>
  <c r="AC383" i="52"/>
  <c r="AC387" i="52"/>
  <c r="AC391" i="52"/>
  <c r="AC395" i="52"/>
  <c r="AC399" i="52"/>
  <c r="AC403" i="52"/>
  <c r="AC407" i="52"/>
  <c r="AC411" i="52"/>
  <c r="AC419" i="52"/>
  <c r="AC423" i="52"/>
  <c r="AC427" i="52"/>
  <c r="AC431" i="52"/>
  <c r="AC435" i="52"/>
  <c r="AC439" i="52"/>
  <c r="AC443" i="52"/>
  <c r="AC447" i="52"/>
  <c r="AC451" i="52"/>
  <c r="AC483" i="52"/>
  <c r="AC485" i="52"/>
  <c r="AC487" i="52"/>
  <c r="AC489" i="52"/>
  <c r="AC491" i="52"/>
  <c r="AC493" i="52"/>
  <c r="AC495" i="52"/>
  <c r="AC497" i="52"/>
  <c r="AC499" i="52"/>
  <c r="AC501" i="52"/>
  <c r="AC503" i="52"/>
  <c r="AC505" i="52"/>
  <c r="AC507" i="52"/>
  <c r="AC509" i="52"/>
  <c r="AC511" i="52"/>
  <c r="AC513" i="52"/>
  <c r="AC515" i="52"/>
  <c r="AC517" i="52"/>
  <c r="AC575" i="52"/>
  <c r="AC577" i="52"/>
  <c r="AC579" i="52"/>
  <c r="AC581" i="52"/>
  <c r="AC583" i="52"/>
  <c r="AC585" i="52"/>
  <c r="AC587" i="52"/>
  <c r="AC589" i="52"/>
  <c r="AC591" i="52"/>
  <c r="AC593" i="52"/>
  <c r="AC595" i="52"/>
  <c r="AC597" i="52"/>
  <c r="AC599" i="52"/>
  <c r="AC601" i="52"/>
  <c r="AC603" i="52"/>
  <c r="AC605" i="52"/>
  <c r="AC607" i="52"/>
  <c r="AC649" i="52"/>
  <c r="AC651" i="52"/>
  <c r="AC653" i="52"/>
  <c r="AC655" i="52"/>
  <c r="AC657" i="52"/>
  <c r="AC659" i="52"/>
  <c r="AC41" i="52"/>
  <c r="AC42" i="52"/>
  <c r="AC49" i="52"/>
  <c r="AC50" i="52"/>
  <c r="AC57" i="52"/>
  <c r="AC58" i="52"/>
  <c r="AC65" i="52"/>
  <c r="AC66" i="52"/>
  <c r="AC73" i="52"/>
  <c r="AC74" i="52"/>
  <c r="AC81" i="52"/>
  <c r="AC82" i="52"/>
  <c r="AC248" i="52"/>
  <c r="AC249" i="52"/>
  <c r="AC256" i="52"/>
  <c r="AC257" i="52"/>
  <c r="AC264" i="52"/>
  <c r="AC265" i="52"/>
  <c r="AC529" i="52"/>
  <c r="AC533" i="52"/>
  <c r="AC537" i="52"/>
  <c r="AC541" i="52"/>
  <c r="AC545" i="52"/>
  <c r="AC555" i="52"/>
  <c r="AC564" i="52"/>
  <c r="AC39" i="52"/>
  <c r="AC40" i="52"/>
  <c r="AC47" i="52"/>
  <c r="AC48" i="52"/>
  <c r="AC55" i="52"/>
  <c r="AC56" i="52"/>
  <c r="AC63" i="52"/>
  <c r="AC64" i="52"/>
  <c r="AC71" i="52"/>
  <c r="AC72" i="52"/>
  <c r="AC79" i="52"/>
  <c r="AC80" i="52"/>
  <c r="AC246" i="52"/>
  <c r="AC247" i="52"/>
  <c r="AC254" i="52"/>
  <c r="AC255" i="52"/>
  <c r="AC262" i="52"/>
  <c r="AC263" i="52"/>
  <c r="AC453" i="52"/>
  <c r="AC454" i="52"/>
  <c r="AC455" i="52"/>
  <c r="AC456" i="52"/>
  <c r="AC457" i="52"/>
  <c r="AC458" i="52"/>
  <c r="AC459" i="52"/>
  <c r="AC460" i="52"/>
  <c r="AC461" i="52"/>
  <c r="AC462" i="52"/>
  <c r="AC463" i="52"/>
  <c r="AC464" i="52"/>
  <c r="AC465" i="52"/>
  <c r="AC466" i="52"/>
  <c r="AC467" i="52"/>
  <c r="AC468" i="52"/>
  <c r="AC469" i="52"/>
  <c r="AC470" i="52"/>
  <c r="AC471" i="52"/>
  <c r="AC472" i="52"/>
  <c r="AC473" i="52"/>
  <c r="AC474" i="52"/>
  <c r="AC475" i="52"/>
  <c r="AC476" i="52"/>
  <c r="AC477" i="52"/>
  <c r="AC478" i="52"/>
  <c r="AC479" i="52"/>
  <c r="AC480" i="52"/>
  <c r="AC481" i="52"/>
  <c r="AD10" i="55"/>
  <c r="J1755" i="55"/>
  <c r="M1755" i="55" s="1"/>
  <c r="J1751" i="55"/>
  <c r="M1751" i="55" s="1"/>
  <c r="J1747" i="55"/>
  <c r="M1747" i="55" s="1"/>
  <c r="J1743" i="55"/>
  <c r="M1743" i="55" s="1"/>
  <c r="J1739" i="55"/>
  <c r="M1739" i="55" s="1"/>
  <c r="J1735" i="55"/>
  <c r="M1735" i="55" s="1"/>
  <c r="J1731" i="55"/>
  <c r="M1731" i="55" s="1"/>
  <c r="J1727" i="55"/>
  <c r="M1727" i="55" s="1"/>
  <c r="J1723" i="55"/>
  <c r="M1723" i="55" s="1"/>
  <c r="J1719" i="55"/>
  <c r="M1719" i="55" s="1"/>
  <c r="J1758" i="55"/>
  <c r="M1758" i="55" s="1"/>
  <c r="J1753" i="55"/>
  <c r="M1753" i="55" s="1"/>
  <c r="J1748" i="55"/>
  <c r="M1748" i="55" s="1"/>
  <c r="J1742" i="55"/>
  <c r="M1742" i="55" s="1"/>
  <c r="J1737" i="55"/>
  <c r="M1737" i="55" s="1"/>
  <c r="J1732" i="55"/>
  <c r="M1732" i="55" s="1"/>
  <c r="J1726" i="55"/>
  <c r="M1726" i="55" s="1"/>
  <c r="J1721" i="55"/>
  <c r="M1721" i="55" s="1"/>
  <c r="J1757" i="55"/>
  <c r="M1757" i="55" s="1"/>
  <c r="J1752" i="55"/>
  <c r="M1752" i="55" s="1"/>
  <c r="J1746" i="55"/>
  <c r="M1746" i="55" s="1"/>
  <c r="J1741" i="55"/>
  <c r="M1741" i="55" s="1"/>
  <c r="J1736" i="55"/>
  <c r="M1736" i="55" s="1"/>
  <c r="J1730" i="55"/>
  <c r="M1730" i="55" s="1"/>
  <c r="J1725" i="55"/>
  <c r="M1725" i="55" s="1"/>
  <c r="J1720" i="55"/>
  <c r="M1720" i="55" s="1"/>
  <c r="J1756" i="55"/>
  <c r="M1756" i="55" s="1"/>
  <c r="J1750" i="55"/>
  <c r="M1750" i="55" s="1"/>
  <c r="J1745" i="55"/>
  <c r="M1745" i="55" s="1"/>
  <c r="J1740" i="55"/>
  <c r="M1740" i="55" s="1"/>
  <c r="J1734" i="55"/>
  <c r="M1734" i="55" s="1"/>
  <c r="J1729" i="55"/>
  <c r="M1729" i="55" s="1"/>
  <c r="J1724" i="55"/>
  <c r="M1724" i="55" s="1"/>
  <c r="J1718" i="55"/>
  <c r="M1718" i="55" s="1"/>
  <c r="J1754" i="55"/>
  <c r="M1754" i="55" s="1"/>
  <c r="J1749" i="55"/>
  <c r="M1749" i="55" s="1"/>
  <c r="J1744" i="55"/>
  <c r="M1744" i="55" s="1"/>
  <c r="J1738" i="55"/>
  <c r="M1738" i="55" s="1"/>
  <c r="J1733" i="55"/>
  <c r="M1733" i="55" s="1"/>
  <c r="J1728" i="55"/>
  <c r="M1728" i="55" s="1"/>
  <c r="J1722" i="55"/>
  <c r="M1722" i="55" s="1"/>
  <c r="J1717" i="55"/>
  <c r="R10" i="55" s="1"/>
  <c r="AC531" i="52"/>
  <c r="AC535" i="52"/>
  <c r="AC539" i="52"/>
  <c r="AC543" i="52"/>
  <c r="AC547" i="52"/>
  <c r="AC556" i="52"/>
  <c r="AC563" i="52"/>
  <c r="AC772" i="52"/>
  <c r="AC776" i="52"/>
  <c r="AC780" i="52"/>
  <c r="AC784" i="52"/>
  <c r="AC824" i="52"/>
  <c r="AC828" i="52"/>
  <c r="AC832" i="52"/>
  <c r="AC836" i="52"/>
  <c r="AC840" i="52"/>
  <c r="AC844" i="52"/>
  <c r="AC848" i="52"/>
  <c r="AC852" i="52"/>
  <c r="AC856" i="52"/>
  <c r="AC860" i="52"/>
  <c r="AC75" i="52"/>
  <c r="AC83" i="52"/>
  <c r="AC549" i="52"/>
  <c r="AC553" i="52"/>
  <c r="AC557" i="52"/>
  <c r="AC561" i="52"/>
  <c r="AC565" i="52"/>
  <c r="AC569" i="52"/>
  <c r="AC660" i="52"/>
  <c r="AC661" i="52"/>
  <c r="AC662" i="52"/>
  <c r="AC663" i="52"/>
  <c r="AC664" i="52"/>
  <c r="AC665" i="52"/>
  <c r="AC666" i="52"/>
  <c r="AC667" i="52"/>
  <c r="AC668" i="52"/>
  <c r="AC669" i="52"/>
  <c r="AC670" i="52"/>
  <c r="AC671" i="52"/>
  <c r="AC1005" i="52"/>
  <c r="AC1006" i="52"/>
  <c r="AC1007" i="52"/>
  <c r="AC1008" i="52"/>
  <c r="AC1009" i="52"/>
  <c r="AC1010" i="52"/>
  <c r="AC1011" i="52"/>
  <c r="AC1012" i="52"/>
  <c r="AC1013" i="52"/>
  <c r="AC1014" i="52"/>
  <c r="AC1015" i="52"/>
  <c r="AC1016" i="52"/>
  <c r="AC1017" i="52"/>
  <c r="AC571" i="52"/>
  <c r="AC572" i="52"/>
  <c r="AC573" i="52"/>
  <c r="R9" i="55"/>
  <c r="R11" i="55"/>
  <c r="P15" i="5"/>
  <c r="P17" i="5"/>
  <c r="AI4" i="55"/>
  <c r="R10" i="5"/>
  <c r="U12" i="55"/>
  <c r="AI12" i="55" s="1"/>
  <c r="AI8" i="55"/>
  <c r="AI13" i="55"/>
  <c r="R11" i="5"/>
  <c r="Y8" i="55"/>
  <c r="AG8" i="55" s="1"/>
  <c r="Z8" i="55"/>
  <c r="AH8" i="55" s="1"/>
  <c r="Z13" i="55"/>
  <c r="AH13" i="55" s="1"/>
  <c r="N12" i="42"/>
  <c r="AE68" i="43"/>
  <c r="O12" i="42"/>
  <c r="AI12" i="42"/>
  <c r="AE68" i="42"/>
  <c r="V51" i="47"/>
  <c r="M51" i="47"/>
  <c r="E36" i="5"/>
  <c r="F36" i="5"/>
  <c r="D30" i="5" s="1"/>
  <c r="BB72" i="57"/>
  <c r="AX72" i="57"/>
  <c r="AT72" i="57"/>
  <c r="AP72" i="57"/>
  <c r="AL72" i="57"/>
  <c r="BA72" i="57"/>
  <c r="AW72" i="57"/>
  <c r="AS72" i="57"/>
  <c r="AO72" i="57"/>
  <c r="AK72" i="57"/>
  <c r="BD72" i="57"/>
  <c r="AZ72" i="57"/>
  <c r="AV72" i="57"/>
  <c r="AR72" i="57"/>
  <c r="AN72" i="57"/>
  <c r="AJ72" i="57"/>
  <c r="BC72" i="57"/>
  <c r="AY72" i="57"/>
  <c r="AU72" i="57"/>
  <c r="AQ72" i="57"/>
  <c r="AM72" i="57"/>
  <c r="AI72" i="57"/>
  <c r="BA76" i="57"/>
  <c r="AW76" i="57"/>
  <c r="AS76" i="57"/>
  <c r="AO76" i="57"/>
  <c r="AK76" i="57"/>
  <c r="AB76" i="57"/>
  <c r="BD76" i="57"/>
  <c r="AZ76" i="57"/>
  <c r="AV76" i="57"/>
  <c r="AR76" i="57"/>
  <c r="AN76" i="57"/>
  <c r="AJ76" i="57"/>
  <c r="BC76" i="57"/>
  <c r="AY76" i="57"/>
  <c r="AU76" i="57"/>
  <c r="AQ76" i="57"/>
  <c r="AM76" i="57"/>
  <c r="AI76" i="57"/>
  <c r="BB76" i="57"/>
  <c r="AL76" i="57"/>
  <c r="AX76" i="57"/>
  <c r="AT76" i="57"/>
  <c r="AP76" i="57"/>
  <c r="BA80" i="57"/>
  <c r="AW80" i="57"/>
  <c r="AS80" i="57"/>
  <c r="AO80" i="57"/>
  <c r="AK80" i="57"/>
  <c r="BD80" i="57"/>
  <c r="AZ80" i="57"/>
  <c r="AV80" i="57"/>
  <c r="AR80" i="57"/>
  <c r="AN80" i="57"/>
  <c r="AJ80" i="57"/>
  <c r="BC80" i="57"/>
  <c r="AY80" i="57"/>
  <c r="AU80" i="57"/>
  <c r="AQ80" i="57"/>
  <c r="AM80" i="57"/>
  <c r="AI80" i="57"/>
  <c r="BB80" i="57"/>
  <c r="AL80" i="57"/>
  <c r="AX80" i="57"/>
  <c r="AT80" i="57"/>
  <c r="AP80" i="57"/>
  <c r="BC84" i="57"/>
  <c r="AY84" i="57"/>
  <c r="AU84" i="57"/>
  <c r="BD84" i="57"/>
  <c r="AX84" i="57"/>
  <c r="AS84" i="57"/>
  <c r="AO84" i="57"/>
  <c r="AK84" i="57"/>
  <c r="AB84" i="57"/>
  <c r="BB84" i="57"/>
  <c r="AW84" i="57"/>
  <c r="AR84" i="57"/>
  <c r="AN84" i="57"/>
  <c r="AJ84" i="57"/>
  <c r="BA84" i="57"/>
  <c r="AV84" i="57"/>
  <c r="AQ84" i="57"/>
  <c r="AM84" i="57"/>
  <c r="AI84" i="57"/>
  <c r="AL84" i="57"/>
  <c r="AZ84" i="57"/>
  <c r="AT84" i="57"/>
  <c r="AP84" i="57"/>
  <c r="BC92" i="57"/>
  <c r="AY92" i="57"/>
  <c r="AU92" i="57"/>
  <c r="AQ92" i="57"/>
  <c r="AM92" i="57"/>
  <c r="AI92" i="57"/>
  <c r="BD92" i="57"/>
  <c r="AX92" i="57"/>
  <c r="AS92" i="57"/>
  <c r="AN92" i="57"/>
  <c r="BB92" i="57"/>
  <c r="AW92" i="57"/>
  <c r="AR92" i="57"/>
  <c r="AL92" i="57"/>
  <c r="BA92" i="57"/>
  <c r="AV92" i="57"/>
  <c r="AP92" i="57"/>
  <c r="AK92" i="57"/>
  <c r="AT92" i="57"/>
  <c r="AO92" i="57"/>
  <c r="AJ92" i="57"/>
  <c r="AZ92" i="57"/>
  <c r="BC96" i="57"/>
  <c r="AY96" i="57"/>
  <c r="AU96" i="57"/>
  <c r="AQ96" i="57"/>
  <c r="AM96" i="57"/>
  <c r="AI96" i="57"/>
  <c r="BD96" i="57"/>
  <c r="AX96" i="57"/>
  <c r="AS96" i="57"/>
  <c r="AN96" i="57"/>
  <c r="BB96" i="57"/>
  <c r="AW96" i="57"/>
  <c r="AR96" i="57"/>
  <c r="AL96" i="57"/>
  <c r="BA96" i="57"/>
  <c r="AV96" i="57"/>
  <c r="AP96" i="57"/>
  <c r="AK96" i="57"/>
  <c r="AO96" i="57"/>
  <c r="AJ96" i="57"/>
  <c r="AZ96" i="57"/>
  <c r="AT96" i="57"/>
  <c r="BC100" i="57"/>
  <c r="AY100" i="57"/>
  <c r="AU100" i="57"/>
  <c r="AQ100" i="57"/>
  <c r="AM100" i="57"/>
  <c r="AI100" i="57"/>
  <c r="BD100" i="57"/>
  <c r="AX100" i="57"/>
  <c r="AS100" i="57"/>
  <c r="AN100" i="57"/>
  <c r="BB100" i="57"/>
  <c r="AW100" i="57"/>
  <c r="AR100" i="57"/>
  <c r="AL100" i="57"/>
  <c r="BA100" i="57"/>
  <c r="AV100" i="57"/>
  <c r="AP100" i="57"/>
  <c r="AK100" i="57"/>
  <c r="AJ100" i="57"/>
  <c r="AZ100" i="57"/>
  <c r="AT100" i="57"/>
  <c r="AO100" i="57"/>
  <c r="BD104" i="57"/>
  <c r="AZ104" i="57"/>
  <c r="AV104" i="57"/>
  <c r="AR104" i="57"/>
  <c r="AN104" i="57"/>
  <c r="AJ104" i="57"/>
  <c r="BC104" i="57"/>
  <c r="AY104" i="57"/>
  <c r="AU104" i="57"/>
  <c r="AQ104" i="57"/>
  <c r="AM104" i="57"/>
  <c r="AI104" i="57"/>
  <c r="R104" i="57"/>
  <c r="AX104" i="57"/>
  <c r="AP104" i="57"/>
  <c r="AW104" i="57"/>
  <c r="AO104" i="57"/>
  <c r="P104" i="57"/>
  <c r="BB104" i="57"/>
  <c r="AT104" i="57"/>
  <c r="AL104" i="57"/>
  <c r="BA104" i="57"/>
  <c r="AS104" i="57"/>
  <c r="AK104" i="57"/>
  <c r="BC108" i="57"/>
  <c r="AY108" i="57"/>
  <c r="AU108" i="57"/>
  <c r="AQ108" i="57"/>
  <c r="AM108" i="57"/>
  <c r="AZ108" i="57"/>
  <c r="AT108" i="57"/>
  <c r="AO108" i="57"/>
  <c r="AJ108" i="57"/>
  <c r="BD108" i="57"/>
  <c r="AX108" i="57"/>
  <c r="AS108" i="57"/>
  <c r="AN108" i="57"/>
  <c r="AI108" i="57"/>
  <c r="R108" i="57"/>
  <c r="BB108" i="57"/>
  <c r="AW108" i="57"/>
  <c r="AR108" i="57"/>
  <c r="AL108" i="57"/>
  <c r="AP108" i="57"/>
  <c r="AK108" i="57"/>
  <c r="BA108" i="57"/>
  <c r="P108" i="57"/>
  <c r="AV108" i="57"/>
  <c r="BC112" i="57"/>
  <c r="AY112" i="57"/>
  <c r="AU112" i="57"/>
  <c r="AQ112" i="57"/>
  <c r="AM112" i="57"/>
  <c r="AI112" i="57"/>
  <c r="AZ112" i="57"/>
  <c r="AT112" i="57"/>
  <c r="AO112" i="57"/>
  <c r="AJ112" i="57"/>
  <c r="BD112" i="57"/>
  <c r="AX112" i="57"/>
  <c r="AS112" i="57"/>
  <c r="AN112" i="57"/>
  <c r="BB112" i="57"/>
  <c r="AW112" i="57"/>
  <c r="AR112" i="57"/>
  <c r="AL112" i="57"/>
  <c r="AK112" i="57"/>
  <c r="BA112" i="57"/>
  <c r="AV112" i="57"/>
  <c r="AP112" i="57"/>
  <c r="BC116" i="57"/>
  <c r="AY116" i="57"/>
  <c r="AU116" i="57"/>
  <c r="AQ116" i="57"/>
  <c r="AM116" i="57"/>
  <c r="AI116" i="57"/>
  <c r="AZ116" i="57"/>
  <c r="AT116" i="57"/>
  <c r="AO116" i="57"/>
  <c r="AJ116" i="57"/>
  <c r="BD116" i="57"/>
  <c r="AX116" i="57"/>
  <c r="AS116" i="57"/>
  <c r="AN116" i="57"/>
  <c r="BB116" i="57"/>
  <c r="AW116" i="57"/>
  <c r="AR116" i="57"/>
  <c r="AL116" i="57"/>
  <c r="BA116" i="57"/>
  <c r="AV116" i="57"/>
  <c r="AP116" i="57"/>
  <c r="AK116" i="57"/>
  <c r="BC120" i="57"/>
  <c r="AY120" i="57"/>
  <c r="AU120" i="57"/>
  <c r="AQ120" i="57"/>
  <c r="AM120" i="57"/>
  <c r="AI120" i="57"/>
  <c r="AZ120" i="57"/>
  <c r="AT120" i="57"/>
  <c r="AO120" i="57"/>
  <c r="AJ120" i="57"/>
  <c r="BD120" i="57"/>
  <c r="AX120" i="57"/>
  <c r="AS120" i="57"/>
  <c r="AN120" i="57"/>
  <c r="BB120" i="57"/>
  <c r="AW120" i="57"/>
  <c r="AR120" i="57"/>
  <c r="AL120" i="57"/>
  <c r="AV120" i="57"/>
  <c r="AP120" i="57"/>
  <c r="AK120" i="57"/>
  <c r="BA120" i="57"/>
  <c r="BC124" i="57"/>
  <c r="AY124" i="57"/>
  <c r="AU124" i="57"/>
  <c r="AQ124" i="57"/>
  <c r="AM124" i="57"/>
  <c r="AI124" i="57"/>
  <c r="BA124" i="57"/>
  <c r="AV124" i="57"/>
  <c r="AP124" i="57"/>
  <c r="AK124" i="57"/>
  <c r="BD124" i="57"/>
  <c r="AX124" i="57"/>
  <c r="AS124" i="57"/>
  <c r="AN124" i="57"/>
  <c r="AW124" i="57"/>
  <c r="AL124" i="57"/>
  <c r="AT124" i="57"/>
  <c r="AJ124" i="57"/>
  <c r="BB124" i="57"/>
  <c r="AR124" i="57"/>
  <c r="AZ124" i="57"/>
  <c r="AO124" i="57"/>
  <c r="BC128" i="57"/>
  <c r="AY128" i="57"/>
  <c r="AU128" i="57"/>
  <c r="AQ128" i="57"/>
  <c r="AM128" i="57"/>
  <c r="AI128" i="57"/>
  <c r="BA128" i="57"/>
  <c r="AV128" i="57"/>
  <c r="AP128" i="57"/>
  <c r="AK128" i="57"/>
  <c r="BD128" i="57"/>
  <c r="AX128" i="57"/>
  <c r="AS128" i="57"/>
  <c r="AN128" i="57"/>
  <c r="BB128" i="57"/>
  <c r="AR128" i="57"/>
  <c r="AZ128" i="57"/>
  <c r="AO128" i="57"/>
  <c r="AW128" i="57"/>
  <c r="AL128" i="57"/>
  <c r="AT128" i="57"/>
  <c r="AJ128" i="57"/>
  <c r="BA73" i="57"/>
  <c r="AW73" i="57"/>
  <c r="BD73" i="57"/>
  <c r="AZ73" i="57"/>
  <c r="AV73" i="57"/>
  <c r="BA81" i="57"/>
  <c r="AW81" i="57"/>
  <c r="AS81" i="57"/>
  <c r="AO81" i="57"/>
  <c r="AK81" i="57"/>
  <c r="BD81" i="57"/>
  <c r="AZ81" i="57"/>
  <c r="AV81" i="57"/>
  <c r="AR81" i="57"/>
  <c r="AN81" i="57"/>
  <c r="AJ81" i="57"/>
  <c r="BC81" i="57"/>
  <c r="AY81" i="57"/>
  <c r="AU81" i="57"/>
  <c r="AQ81" i="57"/>
  <c r="AM81" i="57"/>
  <c r="AI81" i="57"/>
  <c r="BC89" i="57"/>
  <c r="AY89" i="57"/>
  <c r="AU89" i="57"/>
  <c r="AQ89" i="57"/>
  <c r="AM89" i="57"/>
  <c r="AI89" i="57"/>
  <c r="BB89" i="57"/>
  <c r="AW89" i="57"/>
  <c r="AR89" i="57"/>
  <c r="AL89" i="57"/>
  <c r="BA89" i="57"/>
  <c r="AV89" i="57"/>
  <c r="AP89" i="57"/>
  <c r="AK89" i="57"/>
  <c r="AZ89" i="57"/>
  <c r="AT89" i="57"/>
  <c r="AO89" i="57"/>
  <c r="AJ89" i="57"/>
  <c r="BC93" i="57"/>
  <c r="AY93" i="57"/>
  <c r="AU93" i="57"/>
  <c r="AQ93" i="57"/>
  <c r="AM93" i="57"/>
  <c r="AI93" i="57"/>
  <c r="BB93" i="57"/>
  <c r="AW93" i="57"/>
  <c r="AR93" i="57"/>
  <c r="AL93" i="57"/>
  <c r="BA93" i="57"/>
  <c r="AV93" i="57"/>
  <c r="AP93" i="57"/>
  <c r="AK93" i="57"/>
  <c r="AZ93" i="57"/>
  <c r="AT93" i="57"/>
  <c r="AO93" i="57"/>
  <c r="AJ93" i="57"/>
  <c r="BC97" i="57"/>
  <c r="AY97" i="57"/>
  <c r="AU97" i="57"/>
  <c r="AQ97" i="57"/>
  <c r="AM97" i="57"/>
  <c r="AI97" i="57"/>
  <c r="BB97" i="57"/>
  <c r="AW97" i="57"/>
  <c r="AR97" i="57"/>
  <c r="AL97" i="57"/>
  <c r="BA97" i="57"/>
  <c r="AV97" i="57"/>
  <c r="AP97" i="57"/>
  <c r="AK97" i="57"/>
  <c r="AZ97" i="57"/>
  <c r="AT97" i="57"/>
  <c r="AO97" i="57"/>
  <c r="AJ97" i="57"/>
  <c r="BC101" i="57"/>
  <c r="AY101" i="57"/>
  <c r="AU101" i="57"/>
  <c r="AQ101" i="57"/>
  <c r="AM101" i="57"/>
  <c r="AI101" i="57"/>
  <c r="R101" i="57"/>
  <c r="BB101" i="57"/>
  <c r="AW101" i="57"/>
  <c r="AR101" i="57"/>
  <c r="AL101" i="57"/>
  <c r="P101" i="57"/>
  <c r="BA101" i="57"/>
  <c r="AV101" i="57"/>
  <c r="AP101" i="57"/>
  <c r="AK101" i="57"/>
  <c r="AZ101" i="57"/>
  <c r="AT101" i="57"/>
  <c r="AO101" i="57"/>
  <c r="AJ101" i="57"/>
  <c r="BD105" i="57"/>
  <c r="AZ105" i="57"/>
  <c r="AV105" i="57"/>
  <c r="AR105" i="57"/>
  <c r="AN105" i="57"/>
  <c r="AJ105" i="57"/>
  <c r="BC105" i="57"/>
  <c r="AY105" i="57"/>
  <c r="AU105" i="57"/>
  <c r="AQ105" i="57"/>
  <c r="AM105" i="57"/>
  <c r="AI105" i="57"/>
  <c r="BB105" i="57"/>
  <c r="AT105" i="57"/>
  <c r="AL105" i="57"/>
  <c r="BA105" i="57"/>
  <c r="AS105" i="57"/>
  <c r="AK105" i="57"/>
  <c r="AX105" i="57"/>
  <c r="AP105" i="57"/>
  <c r="BC109" i="57"/>
  <c r="AY109" i="57"/>
  <c r="AU109" i="57"/>
  <c r="AQ109" i="57"/>
  <c r="AM109" i="57"/>
  <c r="AI109" i="57"/>
  <c r="R109" i="57"/>
  <c r="BD109" i="57"/>
  <c r="AX109" i="57"/>
  <c r="AS109" i="57"/>
  <c r="AN109" i="57"/>
  <c r="BB109" i="57"/>
  <c r="AW109" i="57"/>
  <c r="AR109" i="57"/>
  <c r="AL109" i="57"/>
  <c r="P109" i="57"/>
  <c r="BA109" i="57"/>
  <c r="AV109" i="57"/>
  <c r="AP109" i="57"/>
  <c r="AK109" i="57"/>
  <c r="AO109" i="57"/>
  <c r="AJ109" i="57"/>
  <c r="AZ109" i="57"/>
  <c r="BC113" i="57"/>
  <c r="AY113" i="57"/>
  <c r="AU113" i="57"/>
  <c r="AQ113" i="57"/>
  <c r="AM113" i="57"/>
  <c r="AI113" i="57"/>
  <c r="BD113" i="57"/>
  <c r="AX113" i="57"/>
  <c r="AS113" i="57"/>
  <c r="AN113" i="57"/>
  <c r="BB113" i="57"/>
  <c r="AW113" i="57"/>
  <c r="AR113" i="57"/>
  <c r="AL113" i="57"/>
  <c r="BA113" i="57"/>
  <c r="AV113" i="57"/>
  <c r="AP113" i="57"/>
  <c r="AK113" i="57"/>
  <c r="AJ113" i="57"/>
  <c r="AZ113" i="57"/>
  <c r="AT113" i="57"/>
  <c r="BC117" i="57"/>
  <c r="AY117" i="57"/>
  <c r="AU117" i="57"/>
  <c r="AQ117" i="57"/>
  <c r="AM117" i="57"/>
  <c r="AI117" i="57"/>
  <c r="BD117" i="57"/>
  <c r="AX117" i="57"/>
  <c r="AS117" i="57"/>
  <c r="AN117" i="57"/>
  <c r="BB117" i="57"/>
  <c r="AW117" i="57"/>
  <c r="AR117" i="57"/>
  <c r="AL117" i="57"/>
  <c r="BA117" i="57"/>
  <c r="AV117" i="57"/>
  <c r="AP117" i="57"/>
  <c r="AK117" i="57"/>
  <c r="AZ117" i="57"/>
  <c r="AT117" i="57"/>
  <c r="AO117" i="57"/>
  <c r="BC121" i="57"/>
  <c r="AY121" i="57"/>
  <c r="AU121" i="57"/>
  <c r="AQ121" i="57"/>
  <c r="AM121" i="57"/>
  <c r="AI121" i="57"/>
  <c r="BD121" i="57"/>
  <c r="AX121" i="57"/>
  <c r="AS121" i="57"/>
  <c r="AN121" i="57"/>
  <c r="BB121" i="57"/>
  <c r="AW121" i="57"/>
  <c r="AR121" i="57"/>
  <c r="AL121" i="57"/>
  <c r="BA121" i="57"/>
  <c r="AV121" i="57"/>
  <c r="AP121" i="57"/>
  <c r="AK121" i="57"/>
  <c r="AT121" i="57"/>
  <c r="AO121" i="57"/>
  <c r="AJ121" i="57"/>
  <c r="BC125" i="57"/>
  <c r="AY125" i="57"/>
  <c r="AU125" i="57"/>
  <c r="AQ125" i="57"/>
  <c r="AM125" i="57"/>
  <c r="AI125" i="57"/>
  <c r="AZ125" i="57"/>
  <c r="AT125" i="57"/>
  <c r="AO125" i="57"/>
  <c r="AJ125" i="57"/>
  <c r="BB125" i="57"/>
  <c r="AW125" i="57"/>
  <c r="AR125" i="57"/>
  <c r="AL125" i="57"/>
  <c r="AV125" i="57"/>
  <c r="AK125" i="57"/>
  <c r="BD125" i="57"/>
  <c r="AS125" i="57"/>
  <c r="BA125" i="57"/>
  <c r="AP125" i="57"/>
  <c r="AX125" i="57"/>
  <c r="AN125" i="57"/>
  <c r="BC129" i="57"/>
  <c r="AY129" i="57"/>
  <c r="AU129" i="57"/>
  <c r="AQ129" i="57"/>
  <c r="AM129" i="57"/>
  <c r="AI129" i="57"/>
  <c r="AZ129" i="57"/>
  <c r="AT129" i="57"/>
  <c r="AO129" i="57"/>
  <c r="AJ129" i="57"/>
  <c r="BB129" i="57"/>
  <c r="AW129" i="57"/>
  <c r="AR129" i="57"/>
  <c r="AL129" i="57"/>
  <c r="BA129" i="57"/>
  <c r="AP129" i="57"/>
  <c r="AX129" i="57"/>
  <c r="AN129" i="57"/>
  <c r="AV129" i="57"/>
  <c r="AK129" i="57"/>
  <c r="BD129" i="57"/>
  <c r="AS129" i="57"/>
  <c r="AJ71" i="57"/>
  <c r="AN71" i="57"/>
  <c r="AR71" i="57"/>
  <c r="AV71" i="57"/>
  <c r="AZ71" i="57"/>
  <c r="BD71" i="57"/>
  <c r="AJ73" i="57"/>
  <c r="AN73" i="57"/>
  <c r="AR73" i="57"/>
  <c r="AX73" i="57"/>
  <c r="AL74" i="57"/>
  <c r="AT74" i="57"/>
  <c r="AP75" i="57"/>
  <c r="AL78" i="57"/>
  <c r="AP79" i="57"/>
  <c r="AX81" i="57"/>
  <c r="AL82" i="57"/>
  <c r="AP83" i="57"/>
  <c r="AP87" i="57"/>
  <c r="AN89" i="57"/>
  <c r="AK91" i="57"/>
  <c r="BD93" i="57"/>
  <c r="BA95" i="57"/>
  <c r="AX97" i="57"/>
  <c r="AV99" i="57"/>
  <c r="AS101" i="57"/>
  <c r="AW103" i="57"/>
  <c r="AZ121" i="57"/>
  <c r="BA74" i="57"/>
  <c r="AW74" i="57"/>
  <c r="AS74" i="57"/>
  <c r="AO74" i="57"/>
  <c r="AK74" i="57"/>
  <c r="BD74" i="57"/>
  <c r="AZ74" i="57"/>
  <c r="AV74" i="57"/>
  <c r="AR74" i="57"/>
  <c r="AN74" i="57"/>
  <c r="AJ74" i="57"/>
  <c r="BC74" i="57"/>
  <c r="BA78" i="57"/>
  <c r="AW78" i="57"/>
  <c r="AS78" i="57"/>
  <c r="AO78" i="57"/>
  <c r="AK78" i="57"/>
  <c r="BD78" i="57"/>
  <c r="AZ78" i="57"/>
  <c r="AV78" i="57"/>
  <c r="AR78" i="57"/>
  <c r="AN78" i="57"/>
  <c r="AJ78" i="57"/>
  <c r="BC78" i="57"/>
  <c r="AY78" i="57"/>
  <c r="AU78" i="57"/>
  <c r="AQ78" i="57"/>
  <c r="AM78" i="57"/>
  <c r="AI78" i="57"/>
  <c r="BA82" i="57"/>
  <c r="AW82" i="57"/>
  <c r="AS82" i="57"/>
  <c r="AO82" i="57"/>
  <c r="AK82" i="57"/>
  <c r="BD82" i="57"/>
  <c r="AZ82" i="57"/>
  <c r="AV82" i="57"/>
  <c r="AR82" i="57"/>
  <c r="AN82" i="57"/>
  <c r="AJ82" i="57"/>
  <c r="BC82" i="57"/>
  <c r="AY82" i="57"/>
  <c r="AU82" i="57"/>
  <c r="AQ82" i="57"/>
  <c r="AM82" i="57"/>
  <c r="AI82" i="57"/>
  <c r="BC86" i="57"/>
  <c r="AY86" i="57"/>
  <c r="AU86" i="57"/>
  <c r="AQ86" i="57"/>
  <c r="AM86" i="57"/>
  <c r="AI86" i="57"/>
  <c r="BA86" i="57"/>
  <c r="AV86" i="57"/>
  <c r="AP86" i="57"/>
  <c r="AK86" i="57"/>
  <c r="AZ86" i="57"/>
  <c r="AT86" i="57"/>
  <c r="AO86" i="57"/>
  <c r="AJ86" i="57"/>
  <c r="BD86" i="57"/>
  <c r="AX86" i="57"/>
  <c r="AS86" i="57"/>
  <c r="AN86" i="57"/>
  <c r="AB86" i="57"/>
  <c r="BC90" i="57"/>
  <c r="AY90" i="57"/>
  <c r="AU90" i="57"/>
  <c r="AQ90" i="57"/>
  <c r="AM90" i="57"/>
  <c r="AI90" i="57"/>
  <c r="BA90" i="57"/>
  <c r="AV90" i="57"/>
  <c r="AP90" i="57"/>
  <c r="AK90" i="57"/>
  <c r="AZ90" i="57"/>
  <c r="AT90" i="57"/>
  <c r="AO90" i="57"/>
  <c r="AJ90" i="57"/>
  <c r="BD90" i="57"/>
  <c r="AX90" i="57"/>
  <c r="AS90" i="57"/>
  <c r="AN90" i="57"/>
  <c r="BC94" i="57"/>
  <c r="AY94" i="57"/>
  <c r="AU94" i="57"/>
  <c r="AQ94" i="57"/>
  <c r="AM94" i="57"/>
  <c r="AI94" i="57"/>
  <c r="BA94" i="57"/>
  <c r="AV94" i="57"/>
  <c r="AP94" i="57"/>
  <c r="AK94" i="57"/>
  <c r="AZ94" i="57"/>
  <c r="AT94" i="57"/>
  <c r="AO94" i="57"/>
  <c r="AJ94" i="57"/>
  <c r="BD94" i="57"/>
  <c r="AX94" i="57"/>
  <c r="AS94" i="57"/>
  <c r="AN94" i="57"/>
  <c r="BC98" i="57"/>
  <c r="AY98" i="57"/>
  <c r="AU98" i="57"/>
  <c r="AQ98" i="57"/>
  <c r="AM98" i="57"/>
  <c r="AI98" i="57"/>
  <c r="BA98" i="57"/>
  <c r="AV98" i="57"/>
  <c r="AP98" i="57"/>
  <c r="AK98" i="57"/>
  <c r="AZ98" i="57"/>
  <c r="AT98" i="57"/>
  <c r="AO98" i="57"/>
  <c r="AJ98" i="57"/>
  <c r="BD98" i="57"/>
  <c r="AX98" i="57"/>
  <c r="AS98" i="57"/>
  <c r="AN98" i="57"/>
  <c r="BC102" i="57"/>
  <c r="AY102" i="57"/>
  <c r="AU102" i="57"/>
  <c r="AQ102" i="57"/>
  <c r="AM102" i="57"/>
  <c r="AI102" i="57"/>
  <c r="R102" i="57"/>
  <c r="BA102" i="57"/>
  <c r="AV102" i="57"/>
  <c r="AP102" i="57"/>
  <c r="AK102" i="57"/>
  <c r="AZ102" i="57"/>
  <c r="AT102" i="57"/>
  <c r="AO102" i="57"/>
  <c r="AJ102" i="57"/>
  <c r="BD102" i="57"/>
  <c r="AX102" i="57"/>
  <c r="AS102" i="57"/>
  <c r="AN102" i="57"/>
  <c r="BD106" i="57"/>
  <c r="AZ106" i="57"/>
  <c r="AV106" i="57"/>
  <c r="AR106" i="57"/>
  <c r="AN106" i="57"/>
  <c r="AJ106" i="57"/>
  <c r="BC106" i="57"/>
  <c r="AY106" i="57"/>
  <c r="AU106" i="57"/>
  <c r="AQ106" i="57"/>
  <c r="AM106" i="57"/>
  <c r="AI106" i="57"/>
  <c r="R106" i="57"/>
  <c r="AX106" i="57"/>
  <c r="AP106" i="57"/>
  <c r="AW106" i="57"/>
  <c r="AO106" i="57"/>
  <c r="P106" i="57"/>
  <c r="BB106" i="57"/>
  <c r="AT106" i="57"/>
  <c r="AL106" i="57"/>
  <c r="BC110" i="57"/>
  <c r="AY110" i="57"/>
  <c r="AU110" i="57"/>
  <c r="AQ110" i="57"/>
  <c r="AM110" i="57"/>
  <c r="AI110" i="57"/>
  <c r="BB110" i="57"/>
  <c r="AW110" i="57"/>
  <c r="AR110" i="57"/>
  <c r="AL110" i="57"/>
  <c r="BA110" i="57"/>
  <c r="AV110" i="57"/>
  <c r="AP110" i="57"/>
  <c r="AK110" i="57"/>
  <c r="AZ110" i="57"/>
  <c r="AT110" i="57"/>
  <c r="AO110" i="57"/>
  <c r="AJ110" i="57"/>
  <c r="AN110" i="57"/>
  <c r="BD110" i="57"/>
  <c r="AX110" i="57"/>
  <c r="BC114" i="57"/>
  <c r="AY114" i="57"/>
  <c r="AU114" i="57"/>
  <c r="AQ114" i="57"/>
  <c r="AM114" i="57"/>
  <c r="AI114" i="57"/>
  <c r="BB114" i="57"/>
  <c r="AW114" i="57"/>
  <c r="AR114" i="57"/>
  <c r="AL114" i="57"/>
  <c r="BA114" i="57"/>
  <c r="AV114" i="57"/>
  <c r="AP114" i="57"/>
  <c r="AK114" i="57"/>
  <c r="AZ114" i="57"/>
  <c r="AT114" i="57"/>
  <c r="AO114" i="57"/>
  <c r="AJ114" i="57"/>
  <c r="BD114" i="57"/>
  <c r="AX114" i="57"/>
  <c r="AS114" i="57"/>
  <c r="BC118" i="57"/>
  <c r="AY118" i="57"/>
  <c r="AU118" i="57"/>
  <c r="AQ118" i="57"/>
  <c r="AM118" i="57"/>
  <c r="AI118" i="57"/>
  <c r="BB118" i="57"/>
  <c r="AW118" i="57"/>
  <c r="AR118" i="57"/>
  <c r="AL118" i="57"/>
  <c r="BA118" i="57"/>
  <c r="AV118" i="57"/>
  <c r="AP118" i="57"/>
  <c r="AK118" i="57"/>
  <c r="AZ118" i="57"/>
  <c r="AT118" i="57"/>
  <c r="AO118" i="57"/>
  <c r="AJ118" i="57"/>
  <c r="AX118" i="57"/>
  <c r="AS118" i="57"/>
  <c r="AN118" i="57"/>
  <c r="BC122" i="57"/>
  <c r="AY122" i="57"/>
  <c r="AU122" i="57"/>
  <c r="AQ122" i="57"/>
  <c r="AM122" i="57"/>
  <c r="AI122" i="57"/>
  <c r="BB122" i="57"/>
  <c r="AW122" i="57"/>
  <c r="AR122" i="57"/>
  <c r="AL122" i="57"/>
  <c r="BA122" i="57"/>
  <c r="AV122" i="57"/>
  <c r="AP122" i="57"/>
  <c r="AK122" i="57"/>
  <c r="AZ122" i="57"/>
  <c r="AT122" i="57"/>
  <c r="AO122" i="57"/>
  <c r="AJ122" i="57"/>
  <c r="AS122" i="57"/>
  <c r="AN122" i="57"/>
  <c r="BD122" i="57"/>
  <c r="BC126" i="57"/>
  <c r="AY126" i="57"/>
  <c r="AU126" i="57"/>
  <c r="AQ126" i="57"/>
  <c r="AM126" i="57"/>
  <c r="AI126" i="57"/>
  <c r="BD126" i="57"/>
  <c r="AX126" i="57"/>
  <c r="AS126" i="57"/>
  <c r="AN126" i="57"/>
  <c r="BA126" i="57"/>
  <c r="AV126" i="57"/>
  <c r="AP126" i="57"/>
  <c r="AK126" i="57"/>
  <c r="AT126" i="57"/>
  <c r="AJ126" i="57"/>
  <c r="BB126" i="57"/>
  <c r="AR126" i="57"/>
  <c r="AZ126" i="57"/>
  <c r="AO126" i="57"/>
  <c r="AW126" i="57"/>
  <c r="AL126" i="57"/>
  <c r="BC130" i="57"/>
  <c r="AY130" i="57"/>
  <c r="AU130" i="57"/>
  <c r="AQ130" i="57"/>
  <c r="AM130" i="57"/>
  <c r="AI130" i="57"/>
  <c r="BD130" i="57"/>
  <c r="AX130" i="57"/>
  <c r="AS130" i="57"/>
  <c r="AN130" i="57"/>
  <c r="BA130" i="57"/>
  <c r="AV130" i="57"/>
  <c r="AP130" i="57"/>
  <c r="AK130" i="57"/>
  <c r="AZ130" i="57"/>
  <c r="AO130" i="57"/>
  <c r="AW130" i="57"/>
  <c r="AL130" i="57"/>
  <c r="AT130" i="57"/>
  <c r="AJ130" i="57"/>
  <c r="BB130" i="57"/>
  <c r="AR130" i="57"/>
  <c r="AK71" i="57"/>
  <c r="AO71" i="57"/>
  <c r="AS71" i="57"/>
  <c r="AW71" i="57"/>
  <c r="BA71" i="57"/>
  <c r="AK73" i="57"/>
  <c r="AO73" i="57"/>
  <c r="AS73" i="57"/>
  <c r="AY73" i="57"/>
  <c r="AM74" i="57"/>
  <c r="AU74" i="57"/>
  <c r="AP78" i="57"/>
  <c r="AL81" i="57"/>
  <c r="BB81" i="57"/>
  <c r="AP82" i="57"/>
  <c r="AW86" i="57"/>
  <c r="AS89" i="57"/>
  <c r="AR90" i="57"/>
  <c r="AN93" i="57"/>
  <c r="AL94" i="57"/>
  <c r="BD97" i="57"/>
  <c r="BB98" i="57"/>
  <c r="AX101" i="57"/>
  <c r="AW102" i="57"/>
  <c r="BA106" i="57"/>
  <c r="AS110" i="57"/>
  <c r="AN114" i="57"/>
  <c r="BA75" i="57"/>
  <c r="AW75" i="57"/>
  <c r="AS75" i="57"/>
  <c r="AO75" i="57"/>
  <c r="AK75" i="57"/>
  <c r="AB75" i="57"/>
  <c r="BD75" i="57"/>
  <c r="AZ75" i="57"/>
  <c r="AV75" i="57"/>
  <c r="AR75" i="57"/>
  <c r="AN75" i="57"/>
  <c r="AJ75" i="57"/>
  <c r="BC75" i="57"/>
  <c r="AY75" i="57"/>
  <c r="AU75" i="57"/>
  <c r="AQ75" i="57"/>
  <c r="AM75" i="57"/>
  <c r="AI75" i="57"/>
  <c r="BA79" i="57"/>
  <c r="AW79" i="57"/>
  <c r="AS79" i="57"/>
  <c r="AO79" i="57"/>
  <c r="AK79" i="57"/>
  <c r="BD79" i="57"/>
  <c r="AZ79" i="57"/>
  <c r="AV79" i="57"/>
  <c r="AR79" i="57"/>
  <c r="AN79" i="57"/>
  <c r="AJ79" i="57"/>
  <c r="BC79" i="57"/>
  <c r="AY79" i="57"/>
  <c r="AU79" i="57"/>
  <c r="AQ79" i="57"/>
  <c r="AM79" i="57"/>
  <c r="AI79" i="57"/>
  <c r="BA83" i="57"/>
  <c r="AW83" i="57"/>
  <c r="AS83" i="57"/>
  <c r="AO83" i="57"/>
  <c r="AK83" i="57"/>
  <c r="AB83" i="57"/>
  <c r="BD83" i="57"/>
  <c r="AZ83" i="57"/>
  <c r="AV83" i="57"/>
  <c r="AR83" i="57"/>
  <c r="AN83" i="57"/>
  <c r="AJ83" i="57"/>
  <c r="BC83" i="57"/>
  <c r="AY83" i="57"/>
  <c r="AU83" i="57"/>
  <c r="AQ83" i="57"/>
  <c r="AM83" i="57"/>
  <c r="AI83" i="57"/>
  <c r="BC87" i="57"/>
  <c r="AY87" i="57"/>
  <c r="AU87" i="57"/>
  <c r="AQ87" i="57"/>
  <c r="AM87" i="57"/>
  <c r="AI87" i="57"/>
  <c r="AZ87" i="57"/>
  <c r="AT87" i="57"/>
  <c r="AO87" i="57"/>
  <c r="AJ87" i="57"/>
  <c r="BD87" i="57"/>
  <c r="AX87" i="57"/>
  <c r="AS87" i="57"/>
  <c r="AN87" i="57"/>
  <c r="AB87" i="57"/>
  <c r="BB87" i="57"/>
  <c r="AW87" i="57"/>
  <c r="AR87" i="57"/>
  <c r="AL87" i="57"/>
  <c r="BC91" i="57"/>
  <c r="AY91" i="57"/>
  <c r="AU91" i="57"/>
  <c r="AQ91" i="57"/>
  <c r="AM91" i="57"/>
  <c r="AI91" i="57"/>
  <c r="AZ91" i="57"/>
  <c r="AT91" i="57"/>
  <c r="AO91" i="57"/>
  <c r="AJ91" i="57"/>
  <c r="BD91" i="57"/>
  <c r="AX91" i="57"/>
  <c r="AS91" i="57"/>
  <c r="AN91" i="57"/>
  <c r="BB91" i="57"/>
  <c r="AW91" i="57"/>
  <c r="AR91" i="57"/>
  <c r="AL91" i="57"/>
  <c r="BC95" i="57"/>
  <c r="AY95" i="57"/>
  <c r="AU95" i="57"/>
  <c r="AQ95" i="57"/>
  <c r="AM95" i="57"/>
  <c r="AI95" i="57"/>
  <c r="AZ95" i="57"/>
  <c r="AT95" i="57"/>
  <c r="AO95" i="57"/>
  <c r="AJ95" i="57"/>
  <c r="BD95" i="57"/>
  <c r="AX95" i="57"/>
  <c r="AS95" i="57"/>
  <c r="AN95" i="57"/>
  <c r="BB95" i="57"/>
  <c r="AW95" i="57"/>
  <c r="AR95" i="57"/>
  <c r="AL95" i="57"/>
  <c r="BC99" i="57"/>
  <c r="AY99" i="57"/>
  <c r="AU99" i="57"/>
  <c r="AQ99" i="57"/>
  <c r="AM99" i="57"/>
  <c r="AI99" i="57"/>
  <c r="AZ99" i="57"/>
  <c r="AT99" i="57"/>
  <c r="AO99" i="57"/>
  <c r="AJ99" i="57"/>
  <c r="BD99" i="57"/>
  <c r="AX99" i="57"/>
  <c r="AS99" i="57"/>
  <c r="AN99" i="57"/>
  <c r="BB99" i="57"/>
  <c r="AW99" i="57"/>
  <c r="AR99" i="57"/>
  <c r="AL99" i="57"/>
  <c r="BD103" i="57"/>
  <c r="AZ103" i="57"/>
  <c r="AV103" i="57"/>
  <c r="AR103" i="57"/>
  <c r="AN103" i="57"/>
  <c r="AJ103" i="57"/>
  <c r="BC103" i="57"/>
  <c r="AY103" i="57"/>
  <c r="AU103" i="57"/>
  <c r="AQ103" i="57"/>
  <c r="AM103" i="57"/>
  <c r="AI103" i="57"/>
  <c r="R103" i="57"/>
  <c r="BB103" i="57"/>
  <c r="AT103" i="57"/>
  <c r="AL103" i="57"/>
  <c r="BA103" i="57"/>
  <c r="AS103" i="57"/>
  <c r="AK103" i="57"/>
  <c r="AX103" i="57"/>
  <c r="AP103" i="57"/>
  <c r="P103" i="57"/>
  <c r="BD107" i="57"/>
  <c r="AZ107" i="57"/>
  <c r="AV107" i="57"/>
  <c r="AR107" i="57"/>
  <c r="AN107" i="57"/>
  <c r="AJ107" i="57"/>
  <c r="BC107" i="57"/>
  <c r="AY107" i="57"/>
  <c r="AU107" i="57"/>
  <c r="AQ107" i="57"/>
  <c r="AM107" i="57"/>
  <c r="AI107" i="57"/>
  <c r="R107" i="57"/>
  <c r="BB107" i="57"/>
  <c r="AT107" i="57"/>
  <c r="AL107" i="57"/>
  <c r="BA107" i="57"/>
  <c r="AS107" i="57"/>
  <c r="AK107" i="57"/>
  <c r="AX107" i="57"/>
  <c r="AP107" i="57"/>
  <c r="BC111" i="57"/>
  <c r="AY111" i="57"/>
  <c r="AU111" i="57"/>
  <c r="AQ111" i="57"/>
  <c r="AM111" i="57"/>
  <c r="AI111" i="57"/>
  <c r="BA111" i="57"/>
  <c r="AV111" i="57"/>
  <c r="AP111" i="57"/>
  <c r="AK111" i="57"/>
  <c r="AZ111" i="57"/>
  <c r="AT111" i="57"/>
  <c r="AO111" i="57"/>
  <c r="AJ111" i="57"/>
  <c r="BD111" i="57"/>
  <c r="AX111" i="57"/>
  <c r="AS111" i="57"/>
  <c r="AN111" i="57"/>
  <c r="AL111" i="57"/>
  <c r="BB111" i="57"/>
  <c r="AW111" i="57"/>
  <c r="BC115" i="57"/>
  <c r="AY115" i="57"/>
  <c r="AU115" i="57"/>
  <c r="AQ115" i="57"/>
  <c r="AM115" i="57"/>
  <c r="AI115" i="57"/>
  <c r="BA115" i="57"/>
  <c r="AV115" i="57"/>
  <c r="AP115" i="57"/>
  <c r="AK115" i="57"/>
  <c r="AZ115" i="57"/>
  <c r="AT115" i="57"/>
  <c r="AO115" i="57"/>
  <c r="AJ115" i="57"/>
  <c r="BD115" i="57"/>
  <c r="AX115" i="57"/>
  <c r="AS115" i="57"/>
  <c r="AN115" i="57"/>
  <c r="BB115" i="57"/>
  <c r="AW115" i="57"/>
  <c r="AR115" i="57"/>
  <c r="BC119" i="57"/>
  <c r="AY119" i="57"/>
  <c r="AU119" i="57"/>
  <c r="AQ119" i="57"/>
  <c r="AM119" i="57"/>
  <c r="AI119" i="57"/>
  <c r="BA119" i="57"/>
  <c r="AV119" i="57"/>
  <c r="AP119" i="57"/>
  <c r="AK119" i="57"/>
  <c r="AZ119" i="57"/>
  <c r="AT119" i="57"/>
  <c r="AO119" i="57"/>
  <c r="AJ119" i="57"/>
  <c r="BD119" i="57"/>
  <c r="AX119" i="57"/>
  <c r="AS119" i="57"/>
  <c r="AN119" i="57"/>
  <c r="AW119" i="57"/>
  <c r="AR119" i="57"/>
  <c r="AL119" i="57"/>
  <c r="BC123" i="57"/>
  <c r="AY123" i="57"/>
  <c r="AU123" i="57"/>
  <c r="AQ123" i="57"/>
  <c r="AM123" i="57"/>
  <c r="AI123" i="57"/>
  <c r="BB123" i="57"/>
  <c r="AW123" i="57"/>
  <c r="AR123" i="57"/>
  <c r="AL123" i="57"/>
  <c r="AZ123" i="57"/>
  <c r="AT123" i="57"/>
  <c r="AO123" i="57"/>
  <c r="AJ123" i="57"/>
  <c r="AX123" i="57"/>
  <c r="AN123" i="57"/>
  <c r="AV123" i="57"/>
  <c r="AK123" i="57"/>
  <c r="BD123" i="57"/>
  <c r="AS123" i="57"/>
  <c r="BA123" i="57"/>
  <c r="AP123" i="57"/>
  <c r="BC127" i="57"/>
  <c r="AY127" i="57"/>
  <c r="AU127" i="57"/>
  <c r="AQ127" i="57"/>
  <c r="AM127" i="57"/>
  <c r="AI127" i="57"/>
  <c r="BB127" i="57"/>
  <c r="AW127" i="57"/>
  <c r="AR127" i="57"/>
  <c r="AL127" i="57"/>
  <c r="AZ127" i="57"/>
  <c r="AT127" i="57"/>
  <c r="AO127" i="57"/>
  <c r="AJ127" i="57"/>
  <c r="BD127" i="57"/>
  <c r="AS127" i="57"/>
  <c r="BA127" i="57"/>
  <c r="AP127" i="57"/>
  <c r="AX127" i="57"/>
  <c r="AN127" i="57"/>
  <c r="AV127" i="57"/>
  <c r="AK127" i="57"/>
  <c r="BC131" i="57"/>
  <c r="AY131" i="57"/>
  <c r="AU131" i="57"/>
  <c r="AQ131" i="57"/>
  <c r="AM131" i="57"/>
  <c r="AI131" i="57"/>
  <c r="BB131" i="57"/>
  <c r="AW131" i="57"/>
  <c r="AR131" i="57"/>
  <c r="AL131" i="57"/>
  <c r="AZ131" i="57"/>
  <c r="AT131" i="57"/>
  <c r="AO131" i="57"/>
  <c r="AJ131" i="57"/>
  <c r="AX131" i="57"/>
  <c r="AN131" i="57"/>
  <c r="AV131" i="57"/>
  <c r="AK131" i="57"/>
  <c r="BD131" i="57"/>
  <c r="AS131" i="57"/>
  <c r="BA131" i="57"/>
  <c r="AP131" i="57"/>
  <c r="AL71" i="57"/>
  <c r="AP71" i="57"/>
  <c r="AT71" i="57"/>
  <c r="AX71" i="57"/>
  <c r="AL73" i="57"/>
  <c r="AP73" i="57"/>
  <c r="AT73" i="57"/>
  <c r="BB73" i="57"/>
  <c r="AP74" i="57"/>
  <c r="AX74" i="57"/>
  <c r="AX75" i="57"/>
  <c r="AT78" i="57"/>
  <c r="AX79" i="57"/>
  <c r="AP81" i="57"/>
  <c r="AT82" i="57"/>
  <c r="AX83" i="57"/>
  <c r="BB86" i="57"/>
  <c r="BA87" i="57"/>
  <c r="AX89" i="57"/>
  <c r="AW90" i="57"/>
  <c r="AV91" i="57"/>
  <c r="AS93" i="57"/>
  <c r="AR94" i="57"/>
  <c r="AP95" i="57"/>
  <c r="AN97" i="57"/>
  <c r="AL98" i="57"/>
  <c r="AK99" i="57"/>
  <c r="BD101" i="57"/>
  <c r="BB102" i="57"/>
  <c r="AO105" i="57"/>
  <c r="P107" i="57"/>
  <c r="AW107" i="57"/>
  <c r="BD118" i="57"/>
  <c r="AX122" i="57"/>
  <c r="AE53" i="58"/>
  <c r="AA53" i="58"/>
  <c r="AH53" i="58"/>
  <c r="AD53" i="58"/>
  <c r="Z53" i="58"/>
  <c r="AB53" i="58"/>
  <c r="AG53" i="58"/>
  <c r="Y53" i="58"/>
  <c r="AF53" i="58"/>
  <c r="X53" i="58"/>
  <c r="AE57" i="58"/>
  <c r="AA57" i="58"/>
  <c r="AH57" i="58"/>
  <c r="AD57" i="58"/>
  <c r="Z57" i="58"/>
  <c r="AB57" i="58"/>
  <c r="AG57" i="58"/>
  <c r="Y57" i="58"/>
  <c r="AF57" i="58"/>
  <c r="X57" i="58"/>
  <c r="AC57" i="58"/>
  <c r="AG61" i="58"/>
  <c r="AC61" i="58"/>
  <c r="Y61" i="58"/>
  <c r="AD61" i="58"/>
  <c r="X61" i="58"/>
  <c r="AH61" i="58"/>
  <c r="AB61" i="58"/>
  <c r="AE61" i="58"/>
  <c r="AA61" i="58"/>
  <c r="Z61" i="58"/>
  <c r="AF61" i="58"/>
  <c r="AG65" i="58"/>
  <c r="AC65" i="58"/>
  <c r="Y65" i="58"/>
  <c r="AF65" i="58"/>
  <c r="AA65" i="58"/>
  <c r="AE65" i="58"/>
  <c r="Z65" i="58"/>
  <c r="AB65" i="58"/>
  <c r="X65" i="58"/>
  <c r="AH65" i="58"/>
  <c r="AD65" i="58"/>
  <c r="AG69" i="58"/>
  <c r="AC69" i="58"/>
  <c r="Y69" i="58"/>
  <c r="AD69" i="58"/>
  <c r="X69" i="58"/>
  <c r="AH69" i="58"/>
  <c r="AB69" i="58"/>
  <c r="Z69" i="58"/>
  <c r="AF69" i="58"/>
  <c r="AE69" i="58"/>
  <c r="AA69" i="58"/>
  <c r="AG73" i="58"/>
  <c r="AC73" i="58"/>
  <c r="Y73" i="58"/>
  <c r="AF73" i="58"/>
  <c r="AA73" i="58"/>
  <c r="AE73" i="58"/>
  <c r="Z73" i="58"/>
  <c r="AH73" i="58"/>
  <c r="AD73" i="58"/>
  <c r="AB73" i="58"/>
  <c r="X73" i="58"/>
  <c r="AG77" i="58"/>
  <c r="AC77" i="58"/>
  <c r="Y77" i="58"/>
  <c r="AD77" i="58"/>
  <c r="X77" i="58"/>
  <c r="AH77" i="58"/>
  <c r="AB77" i="58"/>
  <c r="AE77" i="58"/>
  <c r="AA77" i="58"/>
  <c r="Z77" i="58"/>
  <c r="AF77" i="58"/>
  <c r="AH81" i="58"/>
  <c r="AD81" i="58"/>
  <c r="Z81" i="58"/>
  <c r="AE81" i="58"/>
  <c r="Y81" i="58"/>
  <c r="AB81" i="58"/>
  <c r="AG81" i="58"/>
  <c r="AA81" i="58"/>
  <c r="AF81" i="58"/>
  <c r="AC81" i="58"/>
  <c r="X81" i="58"/>
  <c r="AH85" i="58"/>
  <c r="AD85" i="58"/>
  <c r="Z85" i="58"/>
  <c r="AG85" i="58"/>
  <c r="AB85" i="58"/>
  <c r="AF85" i="58"/>
  <c r="Y85" i="58"/>
  <c r="AE85" i="58"/>
  <c r="X85" i="58"/>
  <c r="AC85" i="58"/>
  <c r="AA85" i="58"/>
  <c r="AH89" i="58"/>
  <c r="AD89" i="58"/>
  <c r="Z89" i="58"/>
  <c r="AE89" i="58"/>
  <c r="Y89" i="58"/>
  <c r="AC89" i="58"/>
  <c r="AB89" i="58"/>
  <c r="AF89" i="58"/>
  <c r="AA89" i="58"/>
  <c r="X89" i="58"/>
  <c r="AG89" i="58"/>
  <c r="AC53" i="58"/>
  <c r="AE51" i="58"/>
  <c r="AA51" i="58"/>
  <c r="AH51" i="58"/>
  <c r="AD51" i="58"/>
  <c r="Z51" i="58"/>
  <c r="AF51" i="58"/>
  <c r="X51" i="58"/>
  <c r="AC51" i="58"/>
  <c r="AB51" i="58"/>
  <c r="Y51" i="58"/>
  <c r="AE55" i="58"/>
  <c r="AA55" i="58"/>
  <c r="AH55" i="58"/>
  <c r="AD55" i="58"/>
  <c r="Z55" i="58"/>
  <c r="AF55" i="58"/>
  <c r="X55" i="58"/>
  <c r="AC55" i="58"/>
  <c r="AB55" i="58"/>
  <c r="AG55" i="58"/>
  <c r="Y55" i="58"/>
  <c r="AG59" i="58"/>
  <c r="AE59" i="58"/>
  <c r="AA59" i="58"/>
  <c r="AD59" i="58"/>
  <c r="Z59" i="58"/>
  <c r="AF59" i="58"/>
  <c r="X59" i="58"/>
  <c r="AC59" i="58"/>
  <c r="AB59" i="58"/>
  <c r="Y59" i="58"/>
  <c r="AG63" i="58"/>
  <c r="AC63" i="58"/>
  <c r="Y63" i="58"/>
  <c r="AH63" i="58"/>
  <c r="AB63" i="58"/>
  <c r="AF63" i="58"/>
  <c r="AA63" i="58"/>
  <c r="AD63" i="58"/>
  <c r="Z63" i="58"/>
  <c r="X63" i="58"/>
  <c r="AE63" i="58"/>
  <c r="AG67" i="58"/>
  <c r="AC67" i="58"/>
  <c r="Y67" i="58"/>
  <c r="AE67" i="58"/>
  <c r="Z67" i="58"/>
  <c r="AD67" i="58"/>
  <c r="X67" i="58"/>
  <c r="AA67" i="58"/>
  <c r="AH67" i="58"/>
  <c r="AF67" i="58"/>
  <c r="AG71" i="58"/>
  <c r="AC71" i="58"/>
  <c r="Y71" i="58"/>
  <c r="AH71" i="58"/>
  <c r="AB71" i="58"/>
  <c r="AF71" i="58"/>
  <c r="AA71" i="58"/>
  <c r="X71" i="58"/>
  <c r="AE71" i="58"/>
  <c r="AD71" i="58"/>
  <c r="Z71" i="58"/>
  <c r="AG75" i="58"/>
  <c r="AC75" i="58"/>
  <c r="Y75" i="58"/>
  <c r="AE75" i="58"/>
  <c r="Z75" i="58"/>
  <c r="AD75" i="58"/>
  <c r="X75" i="58"/>
  <c r="AF75" i="58"/>
  <c r="AB75" i="58"/>
  <c r="AA75" i="58"/>
  <c r="AH79" i="58"/>
  <c r="AD79" i="58"/>
  <c r="Z79" i="58"/>
  <c r="AF79" i="58"/>
  <c r="AA79" i="58"/>
  <c r="AC79" i="58"/>
  <c r="AB79" i="58"/>
  <c r="X79" i="58"/>
  <c r="AG79" i="58"/>
  <c r="AE79" i="58"/>
  <c r="Y79" i="58"/>
  <c r="AH83" i="58"/>
  <c r="AD83" i="58"/>
  <c r="Z83" i="58"/>
  <c r="AC83" i="58"/>
  <c r="X83" i="58"/>
  <c r="AG83" i="58"/>
  <c r="AA83" i="58"/>
  <c r="AF83" i="58"/>
  <c r="Y83" i="58"/>
  <c r="AE83" i="58"/>
  <c r="AB83" i="58"/>
  <c r="AH87" i="58"/>
  <c r="AD87" i="58"/>
  <c r="Z87" i="58"/>
  <c r="AF87" i="58"/>
  <c r="AA87" i="58"/>
  <c r="AE87" i="58"/>
  <c r="X87" i="58"/>
  <c r="AC87" i="58"/>
  <c r="AG87" i="58"/>
  <c r="AB87" i="58"/>
  <c r="Y87" i="58"/>
  <c r="AG51" i="58"/>
  <c r="K8" i="60" s="1"/>
  <c r="AB67" i="58"/>
  <c r="AH75" i="58"/>
  <c r="AG50" i="58"/>
  <c r="AC50" i="58"/>
  <c r="Y50" i="58"/>
  <c r="C8" i="60" s="1"/>
  <c r="AH50" i="58"/>
  <c r="AB50" i="58"/>
  <c r="AF50" i="58"/>
  <c r="AA50" i="58"/>
  <c r="E8" i="60" s="1"/>
  <c r="AE50" i="58"/>
  <c r="Z50" i="58"/>
  <c r="AG54" i="58"/>
  <c r="AC54" i="58"/>
  <c r="Y54" i="58"/>
  <c r="AF54" i="58"/>
  <c r="AB54" i="58"/>
  <c r="X54" i="58"/>
  <c r="AD54" i="58"/>
  <c r="AA54" i="58"/>
  <c r="AH54" i="58"/>
  <c r="Z54" i="58"/>
  <c r="X50" i="58"/>
  <c r="AE54" i="58"/>
  <c r="AG52" i="58"/>
  <c r="AC52" i="58"/>
  <c r="Y52" i="58"/>
  <c r="AF52" i="58"/>
  <c r="AB52" i="58"/>
  <c r="X52" i="58"/>
  <c r="AG56" i="58"/>
  <c r="AC56" i="58"/>
  <c r="Y56" i="58"/>
  <c r="AF56" i="58"/>
  <c r="AB56" i="58"/>
  <c r="X56" i="58"/>
  <c r="AE60" i="58"/>
  <c r="AA60" i="58"/>
  <c r="AD60" i="58"/>
  <c r="Y60" i="58"/>
  <c r="AH60" i="58"/>
  <c r="AC60" i="58"/>
  <c r="X60" i="58"/>
  <c r="AE64" i="58"/>
  <c r="AA64" i="58"/>
  <c r="AG64" i="58"/>
  <c r="AB64" i="58"/>
  <c r="AF64" i="58"/>
  <c r="Z64" i="58"/>
  <c r="AE68" i="58"/>
  <c r="AA68" i="58"/>
  <c r="AD68" i="58"/>
  <c r="Y68" i="58"/>
  <c r="AH68" i="58"/>
  <c r="AC68" i="58"/>
  <c r="X68" i="58"/>
  <c r="AE72" i="58"/>
  <c r="AA72" i="58"/>
  <c r="AG72" i="58"/>
  <c r="AB72" i="58"/>
  <c r="AF72" i="58"/>
  <c r="Z72" i="58"/>
  <c r="AE76" i="58"/>
  <c r="AA76" i="58"/>
  <c r="AD76" i="58"/>
  <c r="Y76" i="58"/>
  <c r="AH76" i="58"/>
  <c r="AC76" i="58"/>
  <c r="X76" i="58"/>
  <c r="AF80" i="58"/>
  <c r="AB80" i="58"/>
  <c r="X80" i="58"/>
  <c r="AE80" i="58"/>
  <c r="Z80" i="58"/>
  <c r="AC80" i="58"/>
  <c r="AH80" i="58"/>
  <c r="AA80" i="58"/>
  <c r="AF84" i="58"/>
  <c r="AB84" i="58"/>
  <c r="X84" i="58"/>
  <c r="AH84" i="58"/>
  <c r="AC84" i="58"/>
  <c r="AG84" i="58"/>
  <c r="Z84" i="58"/>
  <c r="AE84" i="58"/>
  <c r="Y84" i="58"/>
  <c r="AF88" i="58"/>
  <c r="AB88" i="58"/>
  <c r="X88" i="58"/>
  <c r="AE88" i="58"/>
  <c r="Z88" i="58"/>
  <c r="AD88" i="58"/>
  <c r="AC88" i="58"/>
  <c r="AE52" i="58"/>
  <c r="AE56" i="58"/>
  <c r="AB60" i="58"/>
  <c r="Y64" i="58"/>
  <c r="AG68" i="58"/>
  <c r="AD72" i="58"/>
  <c r="AB76" i="58"/>
  <c r="Y80" i="58"/>
  <c r="AH88" i="58"/>
  <c r="X58" i="58"/>
  <c r="AB58" i="58"/>
  <c r="AF58" i="58"/>
  <c r="AB62" i="58"/>
  <c r="Y66" i="58"/>
  <c r="AB70" i="58"/>
  <c r="Y74" i="58"/>
  <c r="Z82" i="58"/>
  <c r="AE62" i="58"/>
  <c r="AA62" i="58"/>
  <c r="AE66" i="58"/>
  <c r="AA66" i="58"/>
  <c r="AE70" i="58"/>
  <c r="AA70" i="58"/>
  <c r="AE74" i="58"/>
  <c r="AA74" i="58"/>
  <c r="AF78" i="58"/>
  <c r="AB78" i="58"/>
  <c r="AG78" i="58"/>
  <c r="AA78" i="58"/>
  <c r="AF82" i="58"/>
  <c r="AB82" i="58"/>
  <c r="X82" i="58"/>
  <c r="AD82" i="58"/>
  <c r="Y82" i="58"/>
  <c r="AF86" i="58"/>
  <c r="AB86" i="58"/>
  <c r="X86" i="58"/>
  <c r="AG86" i="58"/>
  <c r="AA86" i="58"/>
  <c r="Y58" i="58"/>
  <c r="AC58" i="58"/>
  <c r="X62" i="58"/>
  <c r="AC62" i="58"/>
  <c r="AH62" i="58"/>
  <c r="Z66" i="58"/>
  <c r="AF66" i="58"/>
  <c r="X70" i="58"/>
  <c r="AC70" i="58"/>
  <c r="AH70" i="58"/>
  <c r="Z74" i="58"/>
  <c r="AF74" i="58"/>
  <c r="X78" i="58"/>
  <c r="AD78" i="58"/>
  <c r="AA82" i="58"/>
  <c r="AH82" i="58"/>
  <c r="Y86" i="58"/>
  <c r="AE86" i="58"/>
  <c r="I8" i="60"/>
  <c r="G8" i="60"/>
  <c r="F8" i="60"/>
  <c r="Z4" i="55"/>
  <c r="AH4" i="55" s="1"/>
  <c r="Z3" i="55"/>
  <c r="AH3" i="55" s="1"/>
  <c r="AJ4" i="55"/>
  <c r="AJ13" i="55"/>
  <c r="O2" i="55"/>
  <c r="U9" i="55"/>
  <c r="AI9" i="55" s="1"/>
  <c r="M1717" i="55"/>
  <c r="U10" i="55" s="1"/>
  <c r="AI10" i="55" s="1"/>
  <c r="M1901" i="55"/>
  <c r="U11" i="55" s="1"/>
  <c r="AI11" i="55" s="1"/>
  <c r="R12" i="55"/>
  <c r="X12" i="55" s="1"/>
  <c r="AF12" i="55" s="1"/>
  <c r="Y3" i="55"/>
  <c r="AG3" i="55" s="1"/>
  <c r="AJ3" i="55"/>
  <c r="Z6" i="55"/>
  <c r="AH6" i="55" s="1"/>
  <c r="X4" i="55"/>
  <c r="AF4" i="55" s="1"/>
  <c r="AI3" i="55"/>
  <c r="AJ8" i="55"/>
  <c r="AT2" i="51"/>
  <c r="AO2" i="51"/>
  <c r="AO8" i="51" s="1"/>
  <c r="AJ3" i="51"/>
  <c r="AJ8" i="51" s="1"/>
  <c r="AT3" i="51"/>
  <c r="AJ9" i="51"/>
  <c r="AC522" i="52"/>
  <c r="AC530" i="52"/>
  <c r="AC538" i="52"/>
  <c r="AC546" i="52"/>
  <c r="AC550" i="52"/>
  <c r="AC548" i="52"/>
  <c r="AC636" i="52"/>
  <c r="AI5" i="52" s="1"/>
  <c r="AC644" i="52"/>
  <c r="AC212" i="52"/>
  <c r="AC213" i="52"/>
  <c r="AC220" i="52"/>
  <c r="AC221" i="52"/>
  <c r="AC222" i="52"/>
  <c r="AC233" i="52"/>
  <c r="AC237" i="52"/>
  <c r="AC241" i="52"/>
  <c r="AC269" i="52"/>
  <c r="AC273" i="52"/>
  <c r="AC2" i="52"/>
  <c r="AI2" i="52" s="1"/>
  <c r="AC6" i="52"/>
  <c r="AC10" i="52"/>
  <c r="AC14" i="52"/>
  <c r="AC15" i="52"/>
  <c r="AC16" i="52"/>
  <c r="AC17" i="52"/>
  <c r="AC18" i="52"/>
  <c r="AC19" i="52"/>
  <c r="AC20" i="52"/>
  <c r="AC21" i="52"/>
  <c r="AC22" i="52"/>
  <c r="AC23" i="52"/>
  <c r="AC24" i="52"/>
  <c r="AC25" i="52"/>
  <c r="AC26" i="52"/>
  <c r="AC30" i="52"/>
  <c r="AC34" i="52"/>
  <c r="AC86" i="52"/>
  <c r="AI3" i="52" s="1"/>
  <c r="AC87" i="52"/>
  <c r="AC88" i="52"/>
  <c r="AC89" i="52"/>
  <c r="AC90" i="52"/>
  <c r="AC91" i="52"/>
  <c r="AC92" i="52"/>
  <c r="AC93" i="52"/>
  <c r="AC94" i="52"/>
  <c r="AC95" i="52"/>
  <c r="AC96" i="52"/>
  <c r="AC97" i="52"/>
  <c r="AC98" i="52"/>
  <c r="AC99" i="52"/>
  <c r="AC100" i="52"/>
  <c r="AC101" i="52"/>
  <c r="AC102" i="52"/>
  <c r="AC103" i="52"/>
  <c r="AC104" i="52"/>
  <c r="AC105" i="52"/>
  <c r="AC106" i="52"/>
  <c r="AC107" i="52"/>
  <c r="AC108" i="52"/>
  <c r="AC109" i="52"/>
  <c r="AC110" i="52"/>
  <c r="AC111" i="52"/>
  <c r="AC112" i="52"/>
  <c r="AC113" i="52"/>
  <c r="AC114" i="52"/>
  <c r="AC115" i="52"/>
  <c r="AC116" i="52"/>
  <c r="AC117" i="52"/>
  <c r="AC118" i="52"/>
  <c r="AC119" i="52"/>
  <c r="AC120" i="52"/>
  <c r="AC121" i="52"/>
  <c r="AC122" i="52"/>
  <c r="AC123" i="52"/>
  <c r="AC124" i="52"/>
  <c r="AC125" i="52"/>
  <c r="AC126" i="52"/>
  <c r="AC127" i="52"/>
  <c r="AC208" i="52"/>
  <c r="AC209" i="52"/>
  <c r="AC216" i="52"/>
  <c r="AC217" i="52"/>
  <c r="AC4" i="52"/>
  <c r="AC8" i="52"/>
  <c r="AC12" i="52"/>
  <c r="AC28" i="52"/>
  <c r="AC32" i="52"/>
  <c r="AC36" i="52"/>
  <c r="AC223" i="52"/>
  <c r="AC224" i="52"/>
  <c r="AC225" i="52"/>
  <c r="AC226" i="52"/>
  <c r="AC227" i="52"/>
  <c r="AC228" i="52"/>
  <c r="AC229" i="52"/>
  <c r="AC230" i="52"/>
  <c r="AC231" i="52"/>
  <c r="AC232" i="52"/>
  <c r="AC236" i="52"/>
  <c r="AC240" i="52"/>
  <c r="AC244" i="52"/>
  <c r="AC420" i="52"/>
  <c r="AC424" i="52"/>
  <c r="AC428" i="52"/>
  <c r="AC432" i="52"/>
  <c r="AC436" i="52"/>
  <c r="AC440" i="52"/>
  <c r="AC444" i="52"/>
  <c r="AC448" i="52"/>
  <c r="AC452" i="52"/>
  <c r="AC414" i="52"/>
  <c r="AC415" i="52"/>
  <c r="AC416" i="52"/>
  <c r="AC417" i="52"/>
  <c r="AI7" i="52" s="1"/>
  <c r="AC421" i="52"/>
  <c r="AC425" i="52"/>
  <c r="AC429" i="52"/>
  <c r="AC433" i="52"/>
  <c r="AC437" i="52"/>
  <c r="AC441" i="52"/>
  <c r="AC445" i="52"/>
  <c r="AC449" i="52"/>
  <c r="AC675" i="52"/>
  <c r="AC679" i="52"/>
  <c r="AC683" i="52"/>
  <c r="AC687" i="52"/>
  <c r="AC691" i="52"/>
  <c r="AC695" i="52"/>
  <c r="AC699" i="52"/>
  <c r="AC703" i="52"/>
  <c r="AC128" i="52"/>
  <c r="AC129" i="52"/>
  <c r="AC130" i="52"/>
  <c r="AC131" i="52"/>
  <c r="AC132" i="52"/>
  <c r="AC133" i="52"/>
  <c r="AC134" i="52"/>
  <c r="AC135" i="52"/>
  <c r="AC136" i="52"/>
  <c r="AC137" i="52"/>
  <c r="AC138" i="52"/>
  <c r="AC139" i="52"/>
  <c r="AC140" i="52"/>
  <c r="AC141" i="52"/>
  <c r="AC142" i="52"/>
  <c r="AC143" i="52"/>
  <c r="AC144" i="52"/>
  <c r="AC145" i="52"/>
  <c r="AC146" i="52"/>
  <c r="AC147" i="52"/>
  <c r="AC148" i="52"/>
  <c r="AC149" i="52"/>
  <c r="AC150" i="52"/>
  <c r="AC151" i="52"/>
  <c r="AC152" i="52"/>
  <c r="AC153" i="52"/>
  <c r="AC154" i="52"/>
  <c r="AC155" i="52"/>
  <c r="AC156" i="52"/>
  <c r="AC157" i="52"/>
  <c r="AC158" i="52"/>
  <c r="AC159" i="52"/>
  <c r="AC160" i="52"/>
  <c r="AC161" i="52"/>
  <c r="AC162" i="52"/>
  <c r="AC163" i="52"/>
  <c r="AC164" i="52"/>
  <c r="AC165" i="52"/>
  <c r="AC166" i="52"/>
  <c r="AC167" i="52"/>
  <c r="AC168" i="52"/>
  <c r="AC169" i="52"/>
  <c r="AC170" i="52"/>
  <c r="AC171" i="52"/>
  <c r="AC172" i="52"/>
  <c r="AC173" i="52"/>
  <c r="AC174" i="52"/>
  <c r="AC175" i="52"/>
  <c r="AC176" i="52"/>
  <c r="AC177" i="52"/>
  <c r="AC178" i="52"/>
  <c r="AC179" i="52"/>
  <c r="AC180" i="52"/>
  <c r="AC181" i="52"/>
  <c r="AC182" i="52"/>
  <c r="AC183" i="52"/>
  <c r="AC184" i="52"/>
  <c r="AC185" i="52"/>
  <c r="AC186" i="52"/>
  <c r="AC187" i="52"/>
  <c r="AC188" i="52"/>
  <c r="AC189" i="52"/>
  <c r="AC190" i="52"/>
  <c r="AC191" i="52"/>
  <c r="AC192" i="52"/>
  <c r="AC193" i="52"/>
  <c r="AC194" i="52"/>
  <c r="AC195" i="52"/>
  <c r="AC196" i="52"/>
  <c r="AC197" i="52"/>
  <c r="AC198" i="52"/>
  <c r="AC199" i="52"/>
  <c r="AC200" i="52"/>
  <c r="AC201" i="52"/>
  <c r="AC202" i="52"/>
  <c r="AC203" i="52"/>
  <c r="AC204" i="52"/>
  <c r="AC205" i="52"/>
  <c r="AC206" i="52"/>
  <c r="AC207" i="52"/>
  <c r="AC211" i="52"/>
  <c r="AC215" i="52"/>
  <c r="AC219" i="52"/>
  <c r="AC235" i="52"/>
  <c r="AC239" i="52"/>
  <c r="AC243" i="52"/>
  <c r="AC673" i="52"/>
  <c r="AI8" i="52" s="1"/>
  <c r="AC677" i="52"/>
  <c r="AC681" i="52"/>
  <c r="AC685" i="52"/>
  <c r="AC689" i="52"/>
  <c r="AC693" i="52"/>
  <c r="AC697" i="52"/>
  <c r="AC701" i="52"/>
  <c r="AC705" i="52"/>
  <c r="AC709" i="52"/>
  <c r="AC713" i="52"/>
  <c r="AC717" i="52"/>
  <c r="AC721" i="52"/>
  <c r="AC725" i="52"/>
  <c r="AC729" i="52"/>
  <c r="AC733" i="52"/>
  <c r="AC737" i="52"/>
  <c r="AC741" i="52"/>
  <c r="AC745" i="52"/>
  <c r="AC749" i="52"/>
  <c r="AC753" i="52"/>
  <c r="AC757" i="52"/>
  <c r="AC761" i="52"/>
  <c r="AC765" i="52"/>
  <c r="AC769" i="52"/>
  <c r="AC773" i="52"/>
  <c r="AC777" i="52"/>
  <c r="AC781" i="52"/>
  <c r="AC785" i="52"/>
  <c r="AC789" i="52"/>
  <c r="AC793" i="52"/>
  <c r="AC797" i="52"/>
  <c r="AC801" i="52"/>
  <c r="AC805" i="52"/>
  <c r="AC809" i="52"/>
  <c r="AC813" i="52"/>
  <c r="AC817" i="52"/>
  <c r="AC821" i="52"/>
  <c r="AC825" i="52"/>
  <c r="AC829" i="52"/>
  <c r="AC833" i="52"/>
  <c r="AC837" i="52"/>
  <c r="AC841" i="52"/>
  <c r="AC845" i="52"/>
  <c r="AC849" i="52"/>
  <c r="AC853" i="52"/>
  <c r="AC857" i="52"/>
  <c r="AC861" i="52"/>
  <c r="AC865" i="52"/>
  <c r="AC869" i="52"/>
  <c r="AC873" i="52"/>
  <c r="AC877" i="52"/>
  <c r="AC881" i="52"/>
  <c r="AC885" i="52"/>
  <c r="AC889" i="52"/>
  <c r="AC893" i="52"/>
  <c r="AC897" i="52"/>
  <c r="AC901" i="52"/>
  <c r="AC905" i="52"/>
  <c r="AC909" i="52"/>
  <c r="AC913" i="52"/>
  <c r="AC917" i="52"/>
  <c r="AC921" i="52"/>
  <c r="AC925" i="52"/>
  <c r="AC929" i="52"/>
  <c r="AC933" i="52"/>
  <c r="AC937" i="52"/>
  <c r="AC941" i="52"/>
  <c r="AC945" i="52"/>
  <c r="AC949" i="52"/>
  <c r="AC953" i="52"/>
  <c r="AC957" i="52"/>
  <c r="AC961" i="52"/>
  <c r="AC965" i="52"/>
  <c r="AC969" i="52"/>
  <c r="AC973" i="52"/>
  <c r="AC977" i="52"/>
  <c r="AC981" i="52"/>
  <c r="AC985" i="52"/>
  <c r="AC989" i="52"/>
  <c r="AC993" i="52"/>
  <c r="AC997" i="52"/>
  <c r="AC1001" i="52"/>
  <c r="AT9" i="51"/>
  <c r="AC818" i="52"/>
  <c r="AC866" i="52"/>
  <c r="AC870" i="52"/>
  <c r="AC874" i="52"/>
  <c r="AC878" i="52"/>
  <c r="AC882" i="52"/>
  <c r="AC886" i="52"/>
  <c r="AC890" i="52"/>
  <c r="AC894" i="52"/>
  <c r="AC898" i="52"/>
  <c r="AC902" i="52"/>
  <c r="AC906" i="52"/>
  <c r="AC910" i="52"/>
  <c r="AC914" i="52"/>
  <c r="AC918" i="52"/>
  <c r="AC922" i="52"/>
  <c r="AC926" i="52"/>
  <c r="AC930" i="52"/>
  <c r="AC934" i="52"/>
  <c r="AC938" i="52"/>
  <c r="AC942" i="52"/>
  <c r="AC946" i="52"/>
  <c r="AC950" i="52"/>
  <c r="AC954" i="52"/>
  <c r="AC958" i="52"/>
  <c r="AC962" i="52"/>
  <c r="AC966" i="52"/>
  <c r="AC970" i="52"/>
  <c r="AC974" i="52"/>
  <c r="AC978" i="52"/>
  <c r="AC982" i="52"/>
  <c r="AC986" i="52"/>
  <c r="AC990" i="52"/>
  <c r="AC994" i="52"/>
  <c r="AC998" i="52"/>
  <c r="AC1002" i="52"/>
  <c r="AO9" i="51"/>
  <c r="AC707" i="52"/>
  <c r="AC711" i="52"/>
  <c r="AC715" i="52"/>
  <c r="AC719" i="52"/>
  <c r="AC723" i="52"/>
  <c r="AC727" i="52"/>
  <c r="AC731" i="52"/>
  <c r="AC735" i="52"/>
  <c r="AC739" i="52"/>
  <c r="AC743" i="52"/>
  <c r="AC747" i="52"/>
  <c r="AC751" i="52"/>
  <c r="AC755" i="52"/>
  <c r="AC759" i="52"/>
  <c r="AC763" i="52"/>
  <c r="AC767" i="52"/>
  <c r="AC771" i="52"/>
  <c r="AC775" i="52"/>
  <c r="AC779" i="52"/>
  <c r="AC783" i="52"/>
  <c r="AC787" i="52"/>
  <c r="AC791" i="52"/>
  <c r="AC795" i="52"/>
  <c r="AC799" i="52"/>
  <c r="AC803" i="52"/>
  <c r="AC807" i="52"/>
  <c r="AC811" i="52"/>
  <c r="AC815" i="52"/>
  <c r="AC819" i="52"/>
  <c r="AC823" i="52"/>
  <c r="AC827" i="52"/>
  <c r="AC831" i="52"/>
  <c r="AC835" i="52"/>
  <c r="AC839" i="52"/>
  <c r="AC843" i="52"/>
  <c r="AC847" i="52"/>
  <c r="AC851" i="52"/>
  <c r="AC855" i="52"/>
  <c r="AC859" i="52"/>
  <c r="AC863" i="52"/>
  <c r="AC867" i="52"/>
  <c r="AC871" i="52"/>
  <c r="AC875" i="52"/>
  <c r="AC879" i="52"/>
  <c r="AC883" i="52"/>
  <c r="AC887" i="52"/>
  <c r="AC891" i="52"/>
  <c r="AC895" i="52"/>
  <c r="AC899" i="52"/>
  <c r="AC903" i="52"/>
  <c r="AC907" i="52"/>
  <c r="AC911" i="52"/>
  <c r="AC915" i="52"/>
  <c r="AC919" i="52"/>
  <c r="AC923" i="52"/>
  <c r="AC927" i="52"/>
  <c r="AC931" i="52"/>
  <c r="AC935" i="52"/>
  <c r="AC939" i="52"/>
  <c r="AC943" i="52"/>
  <c r="AC947" i="52"/>
  <c r="AC951" i="52"/>
  <c r="AC955" i="52"/>
  <c r="AC959" i="52"/>
  <c r="AC963" i="52"/>
  <c r="AC967" i="52"/>
  <c r="AC971" i="52"/>
  <c r="AC975" i="52"/>
  <c r="AC979" i="52"/>
  <c r="AC983" i="52"/>
  <c r="AC987" i="52"/>
  <c r="AC991" i="52"/>
  <c r="AC995" i="52"/>
  <c r="AC999" i="52"/>
  <c r="AC1003" i="52"/>
  <c r="AC788" i="52"/>
  <c r="AC792" i="52"/>
  <c r="AC796" i="52"/>
  <c r="AC800" i="52"/>
  <c r="AC804" i="52"/>
  <c r="AC808" i="52"/>
  <c r="AC812" i="52"/>
  <c r="AC816" i="52"/>
  <c r="AC820" i="52"/>
  <c r="AC864" i="52"/>
  <c r="AC868" i="52"/>
  <c r="AC872" i="52"/>
  <c r="AC876" i="52"/>
  <c r="AC880" i="52"/>
  <c r="AC884" i="52"/>
  <c r="AC888" i="52"/>
  <c r="AC892" i="52"/>
  <c r="AC896" i="52"/>
  <c r="AC900" i="52"/>
  <c r="AC904" i="52"/>
  <c r="AC908" i="52"/>
  <c r="AC912" i="52"/>
  <c r="AC916" i="52"/>
  <c r="AC920" i="52"/>
  <c r="AC924" i="52"/>
  <c r="AC928" i="52"/>
  <c r="AC932" i="52"/>
  <c r="AC936" i="52"/>
  <c r="AC940" i="52"/>
  <c r="AC944" i="52"/>
  <c r="AC948" i="52"/>
  <c r="AC952" i="52"/>
  <c r="AC956" i="52"/>
  <c r="AC960" i="52"/>
  <c r="AC964" i="52"/>
  <c r="AC968" i="52"/>
  <c r="AC972" i="52"/>
  <c r="AC976" i="52"/>
  <c r="AC980" i="52"/>
  <c r="AC984" i="52"/>
  <c r="AC988" i="52"/>
  <c r="AC992" i="52"/>
  <c r="AC996" i="52"/>
  <c r="AC1000" i="52"/>
  <c r="AC1004" i="52"/>
  <c r="X12" i="42"/>
  <c r="X68" i="41"/>
  <c r="AC12" i="42"/>
  <c r="AG68" i="44"/>
  <c r="AG68" i="42"/>
  <c r="AG68" i="43"/>
  <c r="AJ68" i="44"/>
  <c r="AJ68" i="43"/>
  <c r="AJ72" i="43" s="1"/>
  <c r="AJ12" i="44" s="1"/>
  <c r="AJ68" i="42"/>
  <c r="AB69" i="44"/>
  <c r="AB69" i="43"/>
  <c r="AB71" i="41"/>
  <c r="AB69" i="42"/>
  <c r="AH69" i="44"/>
  <c r="AH71" i="41"/>
  <c r="AI70" i="44"/>
  <c r="AI70" i="43"/>
  <c r="AI72" i="41"/>
  <c r="Z47" i="48"/>
  <c r="Z47" i="46"/>
  <c r="Z47" i="45"/>
  <c r="Z50" i="45" s="1"/>
  <c r="Z47" i="47"/>
  <c r="X68" i="43"/>
  <c r="X72" i="43" s="1"/>
  <c r="X68" i="44"/>
  <c r="X68" i="42"/>
  <c r="AD68" i="44"/>
  <c r="AD68" i="43"/>
  <c r="AD68" i="42"/>
  <c r="AF68" i="43"/>
  <c r="AF68" i="44"/>
  <c r="Y49" i="47"/>
  <c r="Y49" i="45"/>
  <c r="Y49" i="48"/>
  <c r="Y49" i="46"/>
  <c r="F18" i="5"/>
  <c r="V70" i="44"/>
  <c r="V70" i="43"/>
  <c r="D18" i="5"/>
  <c r="AB70" i="41" s="1"/>
  <c r="W70" i="41"/>
  <c r="AH68" i="41"/>
  <c r="AH12" i="42"/>
  <c r="M68" i="44"/>
  <c r="M68" i="43"/>
  <c r="M72" i="43" s="1"/>
  <c r="M68" i="42"/>
  <c r="U68" i="44"/>
  <c r="U68" i="43"/>
  <c r="U68" i="42"/>
  <c r="AI68" i="44"/>
  <c r="AI68" i="43"/>
  <c r="AI68" i="42"/>
  <c r="AK68" i="44"/>
  <c r="AK68" i="43"/>
  <c r="AK72" i="43" s="1"/>
  <c r="AK12" i="44" s="1"/>
  <c r="AK68" i="42"/>
  <c r="AH69" i="42"/>
  <c r="AI70" i="42"/>
  <c r="U70" i="44"/>
  <c r="U70" i="43"/>
  <c r="U70" i="42"/>
  <c r="U72" i="41"/>
  <c r="U49" i="47"/>
  <c r="U49" i="48"/>
  <c r="U49" i="45"/>
  <c r="U49" i="46"/>
  <c r="F41" i="5"/>
  <c r="AH70" i="44"/>
  <c r="F28" i="5"/>
  <c r="AH70" i="43"/>
  <c r="Z48" i="45"/>
  <c r="Z48" i="48"/>
  <c r="Z48" i="47"/>
  <c r="E45" i="5"/>
  <c r="P68" i="43"/>
  <c r="P72" i="43" s="1"/>
  <c r="P68" i="44"/>
  <c r="AC68" i="44"/>
  <c r="AC68" i="43"/>
  <c r="AC72" i="43" s="1"/>
  <c r="AC12" i="44" s="1"/>
  <c r="AD12" i="44" s="1"/>
  <c r="AC68" i="42"/>
  <c r="AH72" i="41"/>
  <c r="AH70" i="42"/>
  <c r="AD12" i="42"/>
  <c r="O68" i="42"/>
  <c r="AF68" i="42"/>
  <c r="W47" i="48"/>
  <c r="W47" i="47"/>
  <c r="W47" i="46"/>
  <c r="W47" i="45"/>
  <c r="D45" i="5"/>
  <c r="AD70" i="44"/>
  <c r="AD70" i="43"/>
  <c r="AD72" i="41"/>
  <c r="W48" i="48"/>
  <c r="W48" i="47"/>
  <c r="W48" i="46"/>
  <c r="W48" i="45"/>
  <c r="AH68" i="43"/>
  <c r="AH68" i="44"/>
  <c r="AH68" i="42"/>
  <c r="M68" i="41"/>
  <c r="M12" i="42"/>
  <c r="V68" i="41"/>
  <c r="V12" i="42"/>
  <c r="L68" i="43"/>
  <c r="L72" i="43" s="1"/>
  <c r="L68" i="44"/>
  <c r="L68" i="42"/>
  <c r="V70" i="42"/>
  <c r="AH69" i="43"/>
  <c r="O68" i="43"/>
  <c r="O72" i="43" s="1"/>
  <c r="Z48" i="46"/>
  <c r="AG70" i="44"/>
  <c r="AG70" i="43"/>
  <c r="R47" i="48"/>
  <c r="R47" i="45"/>
  <c r="R47" i="47"/>
  <c r="Z49" i="47"/>
  <c r="Z49" i="46"/>
  <c r="Z49" i="48"/>
  <c r="Z49" i="45"/>
  <c r="S68" i="44"/>
  <c r="S68" i="43"/>
  <c r="AI71" i="41"/>
  <c r="AJ72" i="41"/>
  <c r="AJ69" i="42"/>
  <c r="AJ70" i="42"/>
  <c r="U12" i="42"/>
  <c r="Y12" i="42"/>
  <c r="AJ69" i="43"/>
  <c r="R47" i="46"/>
  <c r="Y47" i="48"/>
  <c r="Y47" i="45"/>
  <c r="Y47" i="46"/>
  <c r="Y47" i="47"/>
  <c r="AA49" i="48"/>
  <c r="AA49" i="45"/>
  <c r="AA49" i="46"/>
  <c r="AA49" i="47"/>
  <c r="Q68" i="44"/>
  <c r="Q68" i="42"/>
  <c r="R68" i="43"/>
  <c r="R72" i="43" s="1"/>
  <c r="R12" i="44" s="1"/>
  <c r="R68" i="44"/>
  <c r="Z72" i="41"/>
  <c r="AG70" i="42"/>
  <c r="S68" i="42"/>
  <c r="Z70" i="43"/>
  <c r="P51" i="47"/>
  <c r="Y46" i="46"/>
  <c r="P51" i="46"/>
  <c r="X46" i="46"/>
  <c r="O50" i="45"/>
  <c r="O50" i="46" s="1"/>
  <c r="U50" i="45"/>
  <c r="U50" i="46" s="1"/>
  <c r="N46" i="45"/>
  <c r="S46" i="45"/>
  <c r="V46" i="45"/>
  <c r="Z46" i="45"/>
  <c r="N50" i="45"/>
  <c r="N50" i="46" s="1"/>
  <c r="P50" i="45"/>
  <c r="T50" i="45"/>
  <c r="T50" i="46" s="1"/>
  <c r="V50" i="45"/>
  <c r="V50" i="46" s="1"/>
  <c r="M50" i="45"/>
  <c r="M50" i="46" s="1"/>
  <c r="X50" i="45"/>
  <c r="L46" i="45"/>
  <c r="P46" i="45"/>
  <c r="T46" i="45"/>
  <c r="M46" i="45"/>
  <c r="O46" i="45"/>
  <c r="O51" i="45" s="1"/>
  <c r="O15" i="46" s="1"/>
  <c r="Q46" i="45"/>
  <c r="R46" i="45"/>
  <c r="U46" i="45"/>
  <c r="W46" i="45"/>
  <c r="X46" i="45"/>
  <c r="X51" i="45" s="1"/>
  <c r="AA46" i="45"/>
  <c r="O12" i="44"/>
  <c r="X12" i="44"/>
  <c r="Q12" i="44"/>
  <c r="L12" i="44"/>
  <c r="M83" i="41"/>
  <c r="M78" i="41"/>
  <c r="M81" i="41"/>
  <c r="T12" i="42"/>
  <c r="AM71" i="42"/>
  <c r="AF68" i="41"/>
  <c r="Q68" i="41"/>
  <c r="S68" i="41"/>
  <c r="AJ68" i="41"/>
  <c r="Z68" i="41"/>
  <c r="Z70" i="41" s="1"/>
  <c r="AA68" i="41"/>
  <c r="AA70" i="41" s="1"/>
  <c r="D28" i="5"/>
  <c r="AL70" i="41" s="1"/>
  <c r="E28" i="5"/>
  <c r="D37" i="5"/>
  <c r="I11" i="57" l="1"/>
  <c r="I11" i="44"/>
  <c r="I11" i="41"/>
  <c r="I11" i="43"/>
  <c r="I11" i="42"/>
  <c r="I11" i="49"/>
  <c r="AD86" i="58"/>
  <c r="Z86" i="58"/>
  <c r="AH86" i="58"/>
  <c r="AC86" i="58"/>
  <c r="AG82" i="58"/>
  <c r="AC82" i="58"/>
  <c r="AE82" i="58"/>
  <c r="AC78" i="58"/>
  <c r="AE78" i="58"/>
  <c r="Z78" i="58"/>
  <c r="Y78" i="58"/>
  <c r="AH78" i="58"/>
  <c r="AD74" i="58"/>
  <c r="AC74" i="58"/>
  <c r="AB74" i="58"/>
  <c r="AH74" i="58"/>
  <c r="X74" i="58"/>
  <c r="AG74" i="58"/>
  <c r="AG70" i="58"/>
  <c r="AD70" i="58"/>
  <c r="Z70" i="58"/>
  <c r="Y70" i="58"/>
  <c r="AF70" i="58"/>
  <c r="AD66" i="58"/>
  <c r="AC66" i="58"/>
  <c r="AB66" i="58"/>
  <c r="AH66" i="58"/>
  <c r="X66" i="58"/>
  <c r="AG66" i="58"/>
  <c r="AG62" i="58"/>
  <c r="AD62" i="58"/>
  <c r="Z62" i="58"/>
  <c r="Y62" i="58"/>
  <c r="AF62" i="58"/>
  <c r="AG58" i="58"/>
  <c r="K6" i="60" s="1"/>
  <c r="AE58" i="58"/>
  <c r="AD58" i="58"/>
  <c r="AA58" i="58"/>
  <c r="AH58" i="58"/>
  <c r="Z58" i="58"/>
  <c r="AH72" i="43"/>
  <c r="AI6" i="52"/>
  <c r="AJ10" i="51"/>
  <c r="I22" i="57"/>
  <c r="I22" i="44"/>
  <c r="I22" i="41"/>
  <c r="I22" i="49"/>
  <c r="I22" i="43"/>
  <c r="I22" i="42"/>
  <c r="AR86" i="57"/>
  <c r="AL86" i="57"/>
  <c r="AT75" i="57"/>
  <c r="BB75" i="57"/>
  <c r="AL75" i="57"/>
  <c r="M77" i="41"/>
  <c r="AM73" i="57"/>
  <c r="BC73" i="57"/>
  <c r="AI73" i="57"/>
  <c r="AU73" i="57"/>
  <c r="AQ73" i="57"/>
  <c r="Y46" i="45"/>
  <c r="AS106" i="57"/>
  <c r="AK106" i="57"/>
  <c r="AR102" i="57"/>
  <c r="AL102" i="57"/>
  <c r="P102" i="57"/>
  <c r="AW98" i="57"/>
  <c r="AR98" i="57"/>
  <c r="BB94" i="57"/>
  <c r="AW94" i="57"/>
  <c r="AL90" i="57"/>
  <c r="BB90" i="57"/>
  <c r="AE69" i="41"/>
  <c r="AE74" i="41" s="1"/>
  <c r="AT83" i="57"/>
  <c r="BB83" i="57"/>
  <c r="AL83" i="57"/>
  <c r="AT79" i="57"/>
  <c r="BB79" i="57"/>
  <c r="AL79" i="57"/>
  <c r="P13" i="5"/>
  <c r="P16" i="5" s="1"/>
  <c r="BB71" i="57"/>
  <c r="AU71" i="57"/>
  <c r="AQ71" i="57"/>
  <c r="BC71" i="57"/>
  <c r="AM71" i="57"/>
  <c r="AY71" i="57"/>
  <c r="AI71" i="57"/>
  <c r="AA88" i="58"/>
  <c r="Y88" i="58"/>
  <c r="C6" i="60" s="1"/>
  <c r="AG88" i="58"/>
  <c r="AD84" i="58"/>
  <c r="AA84" i="58"/>
  <c r="AG80" i="58"/>
  <c r="AD80" i="58"/>
  <c r="AF76" i="58"/>
  <c r="Z76" i="58"/>
  <c r="D6" i="60" s="1"/>
  <c r="AG76" i="58"/>
  <c r="AC72" i="58"/>
  <c r="Y72" i="58"/>
  <c r="X72" i="58"/>
  <c r="B6" i="60" s="1"/>
  <c r="AH72" i="58"/>
  <c r="AB68" i="58"/>
  <c r="Z68" i="58"/>
  <c r="AF68" i="58"/>
  <c r="J6" i="60" s="1"/>
  <c r="AD64" i="58"/>
  <c r="AC64" i="58"/>
  <c r="X64" i="58"/>
  <c r="AH64" i="58"/>
  <c r="AF60" i="58"/>
  <c r="Z60" i="58"/>
  <c r="AG60" i="58"/>
  <c r="AH56" i="58"/>
  <c r="AD56" i="58"/>
  <c r="AA56" i="58"/>
  <c r="Z56" i="58"/>
  <c r="AH52" i="58"/>
  <c r="AD52" i="58"/>
  <c r="H6" i="60" s="1"/>
  <c r="AA52" i="58"/>
  <c r="Z52" i="58"/>
  <c r="AB46" i="45"/>
  <c r="M84" i="41"/>
  <c r="M82" i="41"/>
  <c r="M79" i="41" s="1"/>
  <c r="M85" i="41" s="1"/>
  <c r="AE68" i="41"/>
  <c r="P68" i="41"/>
  <c r="R68" i="41"/>
  <c r="L68" i="41"/>
  <c r="H8" i="60"/>
  <c r="I19" i="57"/>
  <c r="I19" i="44"/>
  <c r="I19" i="41"/>
  <c r="I19" i="49"/>
  <c r="I19" i="43"/>
  <c r="I19" i="42"/>
  <c r="AV87" i="57"/>
  <c r="AK87" i="57"/>
  <c r="BB74" i="57"/>
  <c r="AI74" i="57"/>
  <c r="AY74" i="57"/>
  <c r="AQ74" i="57"/>
  <c r="BA99" i="57"/>
  <c r="AP99" i="57"/>
  <c r="AK95" i="57"/>
  <c r="AV95" i="57"/>
  <c r="AP91" i="57"/>
  <c r="BA91" i="57"/>
  <c r="BB82" i="57"/>
  <c r="AX82" i="57"/>
  <c r="BB78" i="57"/>
  <c r="AX78" i="57"/>
  <c r="AH12" i="44"/>
  <c r="D4" i="5"/>
  <c r="K10" i="60"/>
  <c r="H10" i="60"/>
  <c r="D10" i="60"/>
  <c r="D8" i="60"/>
  <c r="E6" i="60"/>
  <c r="E10" i="60"/>
  <c r="F10" i="60"/>
  <c r="F6" i="60"/>
  <c r="I6" i="60"/>
  <c r="I10" i="60"/>
  <c r="J10" i="60"/>
  <c r="J8" i="60"/>
  <c r="L10" i="60"/>
  <c r="L6" i="60"/>
  <c r="L8" i="60"/>
  <c r="C10" i="60"/>
  <c r="B10" i="60"/>
  <c r="B8" i="60"/>
  <c r="G10" i="60"/>
  <c r="G6" i="60"/>
  <c r="X11" i="55"/>
  <c r="AF11" i="55" s="1"/>
  <c r="X10" i="55"/>
  <c r="AF10" i="55" s="1"/>
  <c r="X9" i="55"/>
  <c r="AF9" i="55" s="1"/>
  <c r="AT8" i="51"/>
  <c r="AT10" i="51" s="1"/>
  <c r="AO10" i="51"/>
  <c r="O50" i="47"/>
  <c r="M50" i="47"/>
  <c r="M51" i="45"/>
  <c r="M13" i="46" s="1"/>
  <c r="V50" i="47"/>
  <c r="O15" i="47"/>
  <c r="O15" i="58" s="1"/>
  <c r="O60" i="58" s="1"/>
  <c r="O15" i="48"/>
  <c r="M18" i="46"/>
  <c r="M11" i="46"/>
  <c r="M10" i="46"/>
  <c r="M7" i="46"/>
  <c r="M6" i="46"/>
  <c r="M38" i="46"/>
  <c r="M37" i="46"/>
  <c r="M33" i="46"/>
  <c r="M21" i="46"/>
  <c r="M44" i="46"/>
  <c r="M34" i="46"/>
  <c r="M39" i="46"/>
  <c r="M15" i="46"/>
  <c r="M19" i="46"/>
  <c r="M16" i="46"/>
  <c r="M36" i="46"/>
  <c r="M22" i="46"/>
  <c r="M24" i="46"/>
  <c r="U50" i="47"/>
  <c r="O39" i="46"/>
  <c r="AB68" i="43"/>
  <c r="AB68" i="44"/>
  <c r="AB68" i="42"/>
  <c r="O18" i="46"/>
  <c r="O12" i="46"/>
  <c r="O10" i="46"/>
  <c r="O8" i="46"/>
  <c r="O6" i="46"/>
  <c r="O9" i="46"/>
  <c r="O41" i="46"/>
  <c r="O37" i="46"/>
  <c r="O29" i="46"/>
  <c r="O25" i="46"/>
  <c r="O11" i="46"/>
  <c r="O22" i="46"/>
  <c r="O13" i="46"/>
  <c r="O30" i="46"/>
  <c r="O7" i="46"/>
  <c r="O42" i="46"/>
  <c r="O19" i="46"/>
  <c r="O5" i="46"/>
  <c r="O20" i="46"/>
  <c r="O36" i="46"/>
  <c r="O17" i="46"/>
  <c r="O34" i="46"/>
  <c r="O14" i="46"/>
  <c r="O43" i="46"/>
  <c r="O23" i="46"/>
  <c r="O24" i="46"/>
  <c r="O40" i="46"/>
  <c r="O38" i="46"/>
  <c r="O27" i="46"/>
  <c r="O21" i="46"/>
  <c r="O31" i="46"/>
  <c r="O28" i="46"/>
  <c r="O44" i="46"/>
  <c r="O16" i="46"/>
  <c r="O35" i="46"/>
  <c r="O33" i="46"/>
  <c r="T50" i="47"/>
  <c r="U51" i="45"/>
  <c r="O32" i="46"/>
  <c r="M12" i="44"/>
  <c r="S47" i="48"/>
  <c r="S47" i="47"/>
  <c r="S47" i="45"/>
  <c r="S47" i="46"/>
  <c r="AL69" i="44"/>
  <c r="AL69" i="42"/>
  <c r="AL71" i="41"/>
  <c r="AL69" i="43"/>
  <c r="O26" i="46"/>
  <c r="AA47" i="47"/>
  <c r="AA47" i="45"/>
  <c r="AA47" i="46"/>
  <c r="AA47" i="48"/>
  <c r="AL70" i="44"/>
  <c r="AL70" i="43"/>
  <c r="AL72" i="41"/>
  <c r="AL70" i="42"/>
  <c r="M27" i="46"/>
  <c r="U72" i="43"/>
  <c r="Z51" i="46"/>
  <c r="Z50" i="46" s="1"/>
  <c r="AL68" i="44"/>
  <c r="AL68" i="43"/>
  <c r="AL68" i="42"/>
  <c r="AA68" i="44"/>
  <c r="AA68" i="43"/>
  <c r="AA72" i="43" s="1"/>
  <c r="AA68" i="42"/>
  <c r="R51" i="45"/>
  <c r="T51" i="45"/>
  <c r="P50" i="46"/>
  <c r="AB12" i="42"/>
  <c r="W49" i="48"/>
  <c r="W49" i="45"/>
  <c r="W49" i="47"/>
  <c r="W49" i="46"/>
  <c r="AI72" i="43"/>
  <c r="R49" i="48"/>
  <c r="R49" i="47"/>
  <c r="R51" i="47" s="1"/>
  <c r="R50" i="47" s="1"/>
  <c r="R49" i="46"/>
  <c r="R49" i="45"/>
  <c r="Z68" i="43"/>
  <c r="Z72" i="43" s="1"/>
  <c r="Z68" i="44"/>
  <c r="Z68" i="42"/>
  <c r="P51" i="45"/>
  <c r="N50" i="47"/>
  <c r="R48" i="48"/>
  <c r="R48" i="47"/>
  <c r="R48" i="46"/>
  <c r="R51" i="46" s="1"/>
  <c r="R50" i="46" s="1"/>
  <c r="R48" i="45"/>
  <c r="P12" i="44"/>
  <c r="AA48" i="48"/>
  <c r="AA48" i="47"/>
  <c r="AA48" i="46"/>
  <c r="AA48" i="45"/>
  <c r="AL12" i="42"/>
  <c r="W68" i="44"/>
  <c r="W68" i="43"/>
  <c r="W72" i="43" s="1"/>
  <c r="W68" i="42"/>
  <c r="AB70" i="44"/>
  <c r="AB70" i="43"/>
  <c r="AB70" i="42"/>
  <c r="AB72" i="41"/>
  <c r="Z51" i="47"/>
  <c r="Z50" i="47" s="1"/>
  <c r="P50" i="47"/>
  <c r="Z51" i="45"/>
  <c r="N51" i="45"/>
  <c r="V51" i="45"/>
  <c r="N70" i="41"/>
  <c r="F37" i="5"/>
  <c r="E37" i="5"/>
  <c r="AN85" i="57" l="1"/>
  <c r="AU85" i="57"/>
  <c r="BB85" i="57"/>
  <c r="BA85" i="57"/>
  <c r="AZ85" i="57"/>
  <c r="AQ85" i="57"/>
  <c r="AW85" i="57"/>
  <c r="AV85" i="57"/>
  <c r="AT85" i="57"/>
  <c r="BC85" i="57"/>
  <c r="AM85" i="57"/>
  <c r="AR85" i="57"/>
  <c r="AP85" i="57"/>
  <c r="AO85" i="57"/>
  <c r="AB85" i="57"/>
  <c r="AY85" i="57"/>
  <c r="AI85" i="57"/>
  <c r="AL85" i="57"/>
  <c r="AK85" i="57"/>
  <c r="AJ85" i="57"/>
  <c r="AS85" i="57"/>
  <c r="AX85" i="57"/>
  <c r="BD85" i="57"/>
  <c r="AG67" i="42"/>
  <c r="Z67" i="42"/>
  <c r="Z72" i="42" s="1"/>
  <c r="AF67" i="42"/>
  <c r="AE67" i="42"/>
  <c r="AA67" i="42"/>
  <c r="AA72" i="42" s="1"/>
  <c r="AT77" i="57"/>
  <c r="AW77" i="57"/>
  <c r="AB77" i="57"/>
  <c r="AR77" i="57"/>
  <c r="AY77" i="57"/>
  <c r="R10" i="59" s="1"/>
  <c r="AI77" i="57"/>
  <c r="AL77" i="57"/>
  <c r="AS77" i="57"/>
  <c r="BD77" i="57"/>
  <c r="AN77" i="57"/>
  <c r="AU77" i="57"/>
  <c r="AX77" i="57"/>
  <c r="BB77" i="57"/>
  <c r="U10" i="59" s="1"/>
  <c r="AP77" i="57"/>
  <c r="AO77" i="57"/>
  <c r="AZ77" i="57"/>
  <c r="AJ77" i="57"/>
  <c r="AQ77" i="57"/>
  <c r="J6" i="59" s="1"/>
  <c r="BA77" i="57"/>
  <c r="AK77" i="57"/>
  <c r="AV77" i="57"/>
  <c r="BC77" i="57"/>
  <c r="AM77" i="57"/>
  <c r="F10" i="59" s="1"/>
  <c r="V8" i="59"/>
  <c r="M41" i="46"/>
  <c r="M20" i="46"/>
  <c r="M30" i="46"/>
  <c r="M14" i="46"/>
  <c r="M28" i="46"/>
  <c r="M25" i="46"/>
  <c r="M42" i="46"/>
  <c r="M8" i="46"/>
  <c r="M12" i="46"/>
  <c r="J8" i="59"/>
  <c r="V6" i="59"/>
  <c r="AY88" i="57"/>
  <c r="AI88" i="57"/>
  <c r="AN88" i="57"/>
  <c r="AR88" i="57"/>
  <c r="AP88" i="57"/>
  <c r="AO88" i="57"/>
  <c r="AU88" i="57"/>
  <c r="BD88" i="57"/>
  <c r="AB88" i="57"/>
  <c r="AL88" i="57"/>
  <c r="AK88" i="57"/>
  <c r="AJ88" i="57"/>
  <c r="AQ88" i="57"/>
  <c r="AX88" i="57"/>
  <c r="BB88" i="57"/>
  <c r="BA88" i="57"/>
  <c r="AZ88" i="57"/>
  <c r="BC88" i="57"/>
  <c r="AM88" i="57"/>
  <c r="AS88" i="57"/>
  <c r="AW88" i="57"/>
  <c r="AV88" i="57"/>
  <c r="AT88" i="57"/>
  <c r="M28" i="41"/>
  <c r="M44" i="41"/>
  <c r="M52" i="41"/>
  <c r="M60" i="41"/>
  <c r="AA69" i="41"/>
  <c r="M38" i="41"/>
  <c r="M55" i="41"/>
  <c r="Q69" i="41"/>
  <c r="Q74" i="41" s="1"/>
  <c r="M8" i="41"/>
  <c r="M32" i="41"/>
  <c r="M46" i="41"/>
  <c r="M54" i="41"/>
  <c r="M62" i="41"/>
  <c r="M25" i="41"/>
  <c r="L69" i="41"/>
  <c r="L74" i="41" s="1"/>
  <c r="M41" i="41"/>
  <c r="M49" i="41"/>
  <c r="M57" i="41"/>
  <c r="M65" i="41"/>
  <c r="AF69" i="41"/>
  <c r="AF74" i="41" s="1"/>
  <c r="M35" i="41"/>
  <c r="S69" i="41"/>
  <c r="S74" i="41" s="1"/>
  <c r="M7" i="41"/>
  <c r="M48" i="41"/>
  <c r="U69" i="41"/>
  <c r="U74" i="41" s="1"/>
  <c r="P69" i="41"/>
  <c r="P74" i="41" s="1"/>
  <c r="AI69" i="41"/>
  <c r="AI74" i="41" s="1"/>
  <c r="M51" i="41"/>
  <c r="M37" i="41"/>
  <c r="M16" i="41"/>
  <c r="M58" i="41"/>
  <c r="R69" i="41"/>
  <c r="R74" i="41" s="1"/>
  <c r="M45" i="41"/>
  <c r="M15" i="41"/>
  <c r="Y69" i="41"/>
  <c r="X69" i="41"/>
  <c r="X74" i="41" s="1"/>
  <c r="M47" i="41"/>
  <c r="V69" i="41"/>
  <c r="M27" i="41"/>
  <c r="M40" i="41"/>
  <c r="M56" i="41"/>
  <c r="M33" i="41"/>
  <c r="M43" i="41"/>
  <c r="M59" i="41"/>
  <c r="W69" i="41"/>
  <c r="W74" i="41" s="1"/>
  <c r="AC69" i="41"/>
  <c r="AC74" i="41" s="1"/>
  <c r="M50" i="41"/>
  <c r="M36" i="41"/>
  <c r="M53" i="41"/>
  <c r="O69" i="41"/>
  <c r="O74" i="41" s="1"/>
  <c r="AH69" i="41"/>
  <c r="AH74" i="41" s="1"/>
  <c r="M34" i="41"/>
  <c r="M63" i="41"/>
  <c r="M64" i="41"/>
  <c r="M39" i="41"/>
  <c r="M42" i="41"/>
  <c r="Z69" i="41"/>
  <c r="M26" i="41"/>
  <c r="M61" i="41"/>
  <c r="M31" i="41"/>
  <c r="M69" i="41" s="1"/>
  <c r="M74" i="41" s="1"/>
  <c r="M15" i="42" s="1"/>
  <c r="M15" i="44" s="1"/>
  <c r="J10" i="59"/>
  <c r="M23" i="46"/>
  <c r="M43" i="46"/>
  <c r="M32" i="46"/>
  <c r="M17" i="46"/>
  <c r="M31" i="46"/>
  <c r="M29" i="46"/>
  <c r="M5" i="46"/>
  <c r="M9" i="46"/>
  <c r="M8" i="60"/>
  <c r="V10" i="59"/>
  <c r="R8" i="59"/>
  <c r="N8" i="59"/>
  <c r="R6" i="59"/>
  <c r="F6" i="59"/>
  <c r="AO12" i="44"/>
  <c r="AI12" i="44"/>
  <c r="AL12" i="44" s="1"/>
  <c r="U12" i="44"/>
  <c r="F4" i="5"/>
  <c r="E4" i="5"/>
  <c r="E30" i="5"/>
  <c r="F30" i="5"/>
  <c r="M6" i="60"/>
  <c r="M10" i="60"/>
  <c r="AP12" i="44"/>
  <c r="M40" i="42"/>
  <c r="M40" i="44" s="1"/>
  <c r="M40" i="46"/>
  <c r="M35" i="46"/>
  <c r="M26" i="46"/>
  <c r="M43" i="42"/>
  <c r="M43" i="44" s="1"/>
  <c r="T13" i="46"/>
  <c r="T11" i="46"/>
  <c r="T9" i="46"/>
  <c r="T7" i="46"/>
  <c r="T5" i="46"/>
  <c r="T12" i="46"/>
  <c r="T39" i="46"/>
  <c r="T27" i="46"/>
  <c r="T14" i="46"/>
  <c r="T6" i="46"/>
  <c r="T35" i="46"/>
  <c r="T21" i="46"/>
  <c r="T16" i="46"/>
  <c r="T23" i="46"/>
  <c r="T10" i="46"/>
  <c r="T8" i="46"/>
  <c r="T44" i="46"/>
  <c r="T41" i="46"/>
  <c r="T18" i="46"/>
  <c r="T43" i="46"/>
  <c r="T24" i="46"/>
  <c r="T29" i="46"/>
  <c r="T22" i="46"/>
  <c r="T38" i="46"/>
  <c r="T40" i="46"/>
  <c r="T36" i="46"/>
  <c r="T26" i="46"/>
  <c r="T42" i="46"/>
  <c r="T15" i="46"/>
  <c r="T25" i="46"/>
  <c r="T30" i="46"/>
  <c r="T20" i="46"/>
  <c r="T37" i="46"/>
  <c r="T19" i="46"/>
  <c r="T17" i="46"/>
  <c r="T33" i="46"/>
  <c r="T28" i="46"/>
  <c r="T31" i="46"/>
  <c r="T34" i="46"/>
  <c r="T32" i="46"/>
  <c r="AA63" i="44"/>
  <c r="AA64" i="44"/>
  <c r="AA60" i="44"/>
  <c r="AA44" i="44"/>
  <c r="AA55" i="44"/>
  <c r="AA31" i="44"/>
  <c r="AA53" i="44"/>
  <c r="AA36" i="44"/>
  <c r="AA51" i="44"/>
  <c r="AA23" i="44"/>
  <c r="AA19" i="44"/>
  <c r="AA13" i="44"/>
  <c r="AA30" i="44"/>
  <c r="AA12" i="44"/>
  <c r="AA14" i="44"/>
  <c r="AA58" i="44"/>
  <c r="AA61" i="44"/>
  <c r="AA50" i="44"/>
  <c r="AA42" i="44"/>
  <c r="AA38" i="44"/>
  <c r="AA29" i="44"/>
  <c r="AA49" i="44"/>
  <c r="AA39" i="44"/>
  <c r="AA43" i="44"/>
  <c r="AA22" i="44"/>
  <c r="AA18" i="44"/>
  <c r="AA8" i="44"/>
  <c r="AA47" i="44"/>
  <c r="AA10" i="44"/>
  <c r="AA11" i="44"/>
  <c r="AA52" i="44"/>
  <c r="AA46" i="44"/>
  <c r="AA33" i="44"/>
  <c r="AA41" i="44"/>
  <c r="AA25" i="44"/>
  <c r="AA15" i="44"/>
  <c r="AA37" i="44"/>
  <c r="AA5" i="44"/>
  <c r="AA59" i="44"/>
  <c r="AA57" i="44"/>
  <c r="AA20" i="44"/>
  <c r="AA24" i="44"/>
  <c r="AA48" i="44"/>
  <c r="AA26" i="44"/>
  <c r="AA9" i="44"/>
  <c r="AA56" i="44"/>
  <c r="AA40" i="44"/>
  <c r="AA27" i="44"/>
  <c r="AA32" i="44"/>
  <c r="AA21" i="44"/>
  <c r="AA6" i="44"/>
  <c r="AA7" i="44"/>
  <c r="AA65" i="44"/>
  <c r="AA62" i="44"/>
  <c r="AA28" i="44"/>
  <c r="AA34" i="44"/>
  <c r="AA54" i="44"/>
  <c r="AA35" i="44"/>
  <c r="AA45" i="44"/>
  <c r="AA17" i="44"/>
  <c r="AA16" i="44"/>
  <c r="M27" i="47"/>
  <c r="M27" i="48"/>
  <c r="O26" i="47"/>
  <c r="O26" i="58" s="1"/>
  <c r="O71" i="58" s="1"/>
  <c r="O26" i="48"/>
  <c r="O32" i="47"/>
  <c r="O32" i="48"/>
  <c r="O44" i="47"/>
  <c r="O44" i="58" s="1"/>
  <c r="O89" i="58" s="1"/>
  <c r="O44" i="48"/>
  <c r="O27" i="47"/>
  <c r="O27" i="58" s="1"/>
  <c r="O72" i="58" s="1"/>
  <c r="O27" i="48"/>
  <c r="O23" i="47"/>
  <c r="O23" i="48"/>
  <c r="O17" i="47"/>
  <c r="O17" i="58" s="1"/>
  <c r="O62" i="58" s="1"/>
  <c r="O17" i="48"/>
  <c r="O19" i="47"/>
  <c r="O19" i="58" s="1"/>
  <c r="O64" i="58" s="1"/>
  <c r="O19" i="48"/>
  <c r="O13" i="47"/>
  <c r="O13" i="58" s="1"/>
  <c r="O58" i="58" s="1"/>
  <c r="O13" i="48"/>
  <c r="O29" i="47"/>
  <c r="O29" i="48"/>
  <c r="O6" i="47"/>
  <c r="O6" i="58" s="1"/>
  <c r="O51" i="58" s="1"/>
  <c r="O6" i="48"/>
  <c r="O18" i="47"/>
  <c r="O18" i="58" s="1"/>
  <c r="O63" i="58" s="1"/>
  <c r="O18" i="48"/>
  <c r="M24" i="47"/>
  <c r="M24" i="48"/>
  <c r="M36" i="47"/>
  <c r="M36" i="58" s="1"/>
  <c r="M81" i="58" s="1"/>
  <c r="M36" i="48"/>
  <c r="M19" i="47"/>
  <c r="M19" i="48"/>
  <c r="M39" i="47"/>
  <c r="M39" i="58" s="1"/>
  <c r="M84" i="58" s="1"/>
  <c r="M39" i="48"/>
  <c r="M44" i="47"/>
  <c r="M44" i="48"/>
  <c r="M33" i="47"/>
  <c r="M33" i="58" s="1"/>
  <c r="M78" i="58" s="1"/>
  <c r="M33" i="48"/>
  <c r="M38" i="47"/>
  <c r="M38" i="48"/>
  <c r="M7" i="47"/>
  <c r="M7" i="58" s="1"/>
  <c r="M52" i="58" s="1"/>
  <c r="M7" i="48"/>
  <c r="M11" i="47"/>
  <c r="M11" i="48"/>
  <c r="M24" i="42"/>
  <c r="M14" i="42"/>
  <c r="M27" i="42"/>
  <c r="M13" i="42"/>
  <c r="M8" i="42"/>
  <c r="O33" i="47"/>
  <c r="O33" i="48"/>
  <c r="O28" i="47"/>
  <c r="O28" i="48"/>
  <c r="O38" i="47"/>
  <c r="O38" i="48"/>
  <c r="O43" i="47"/>
  <c r="O43" i="48"/>
  <c r="O36" i="47"/>
  <c r="O36" i="48"/>
  <c r="O42" i="47"/>
  <c r="O42" i="48"/>
  <c r="O22" i="47"/>
  <c r="O22" i="48"/>
  <c r="O37" i="47"/>
  <c r="O37" i="48"/>
  <c r="O8" i="47"/>
  <c r="O8" i="48"/>
  <c r="M41" i="47"/>
  <c r="M41" i="58" s="1"/>
  <c r="M86" i="58" s="1"/>
  <c r="M41" i="48"/>
  <c r="M20" i="47"/>
  <c r="M20" i="48"/>
  <c r="M14" i="47"/>
  <c r="M14" i="58" s="1"/>
  <c r="M59" i="58" s="1"/>
  <c r="M14" i="48"/>
  <c r="M28" i="47"/>
  <c r="M28" i="48"/>
  <c r="M25" i="47"/>
  <c r="M25" i="58" s="1"/>
  <c r="M70" i="58" s="1"/>
  <c r="M25" i="48"/>
  <c r="M42" i="47"/>
  <c r="M42" i="48"/>
  <c r="M8" i="47"/>
  <c r="M8" i="58" s="1"/>
  <c r="M53" i="58" s="1"/>
  <c r="M8" i="48"/>
  <c r="M12" i="47"/>
  <c r="M12" i="48"/>
  <c r="AO12" i="43"/>
  <c r="AM12" i="42"/>
  <c r="W12" i="44"/>
  <c r="L47" i="47"/>
  <c r="L47" i="46"/>
  <c r="L47" i="45"/>
  <c r="L47" i="48"/>
  <c r="M39" i="42"/>
  <c r="M57" i="42"/>
  <c r="M37" i="42"/>
  <c r="M16" i="42"/>
  <c r="O35" i="47"/>
  <c r="O35" i="48"/>
  <c r="O31" i="47"/>
  <c r="O31" i="58" s="1"/>
  <c r="O76" i="58" s="1"/>
  <c r="O31" i="48"/>
  <c r="O40" i="47"/>
  <c r="O40" i="48"/>
  <c r="O14" i="47"/>
  <c r="O14" i="58" s="1"/>
  <c r="O59" i="58" s="1"/>
  <c r="O14" i="48"/>
  <c r="O20" i="47"/>
  <c r="O20" i="48"/>
  <c r="O7" i="47"/>
  <c r="O7" i="58" s="1"/>
  <c r="O52" i="58" s="1"/>
  <c r="O7" i="48"/>
  <c r="O11" i="47"/>
  <c r="O11" i="48"/>
  <c r="O41" i="47"/>
  <c r="O41" i="58" s="1"/>
  <c r="O86" i="58" s="1"/>
  <c r="O41" i="48"/>
  <c r="O10" i="47"/>
  <c r="O10" i="48"/>
  <c r="O39" i="47"/>
  <c r="O39" i="58" s="1"/>
  <c r="O84" i="58" s="1"/>
  <c r="O39" i="48"/>
  <c r="M56" i="42"/>
  <c r="M33" i="42"/>
  <c r="M23" i="47"/>
  <c r="M23" i="48"/>
  <c r="M43" i="47"/>
  <c r="M43" i="58" s="1"/>
  <c r="M88" i="58" s="1"/>
  <c r="M43" i="48"/>
  <c r="M32" i="47"/>
  <c r="M32" i="48"/>
  <c r="M17" i="47"/>
  <c r="M17" i="58" s="1"/>
  <c r="M62" i="58" s="1"/>
  <c r="M17" i="48"/>
  <c r="M31" i="47"/>
  <c r="M31" i="48"/>
  <c r="M29" i="47"/>
  <c r="M29" i="58" s="1"/>
  <c r="M74" i="58" s="1"/>
  <c r="M29" i="48"/>
  <c r="M5" i="47"/>
  <c r="M5" i="48"/>
  <c r="M46" i="46"/>
  <c r="M9" i="47"/>
  <c r="M9" i="58" s="1"/>
  <c r="M54" i="58" s="1"/>
  <c r="M9" i="48"/>
  <c r="M13" i="47"/>
  <c r="M13" i="58" s="1"/>
  <c r="M58" i="58" s="1"/>
  <c r="M13" i="48"/>
  <c r="AP12" i="43"/>
  <c r="M42" i="42"/>
  <c r="M53" i="42"/>
  <c r="S49" i="48"/>
  <c r="S49" i="45"/>
  <c r="S49" i="46"/>
  <c r="S49" i="47"/>
  <c r="Q37" i="42"/>
  <c r="Q35" i="42"/>
  <c r="Q29" i="42"/>
  <c r="Q27" i="42"/>
  <c r="Q23" i="42"/>
  <c r="Q21" i="42"/>
  <c r="Q19" i="42"/>
  <c r="Q17" i="42"/>
  <c r="Q15" i="42"/>
  <c r="Q13" i="42"/>
  <c r="Q7" i="42"/>
  <c r="Q42" i="42"/>
  <c r="Q10" i="42"/>
  <c r="Q8" i="42"/>
  <c r="Q5" i="42"/>
  <c r="Q50" i="42"/>
  <c r="Q38" i="42"/>
  <c r="Q30" i="42"/>
  <c r="Q22" i="42"/>
  <c r="Q14" i="42"/>
  <c r="Q59" i="42"/>
  <c r="Q51" i="42"/>
  <c r="Q46" i="42"/>
  <c r="Q43" i="42"/>
  <c r="Q34" i="42"/>
  <c r="Q26" i="42"/>
  <c r="Q18" i="42"/>
  <c r="Q11" i="42"/>
  <c r="Q55" i="42"/>
  <c r="Q41" i="42"/>
  <c r="Q36" i="42"/>
  <c r="Q28" i="42"/>
  <c r="Q20" i="42"/>
  <c r="Q63" i="42"/>
  <c r="Q40" i="42"/>
  <c r="Q32" i="42"/>
  <c r="Q24" i="42"/>
  <c r="Q16" i="42"/>
  <c r="Q9" i="42"/>
  <c r="Q6" i="42"/>
  <c r="Q60" i="42"/>
  <c r="Q44" i="42"/>
  <c r="Q39" i="42"/>
  <c r="Q49" i="42"/>
  <c r="Q53" i="42"/>
  <c r="Q52" i="42"/>
  <c r="Q47" i="42"/>
  <c r="Q25" i="42"/>
  <c r="Q57" i="42"/>
  <c r="Q54" i="42"/>
  <c r="Q58" i="42"/>
  <c r="Q56" i="42"/>
  <c r="Q33" i="42"/>
  <c r="Q61" i="42"/>
  <c r="Q62" i="42"/>
  <c r="Q31" i="42"/>
  <c r="Q65" i="42"/>
  <c r="Q64" i="42"/>
  <c r="Q45" i="42"/>
  <c r="Q48" i="42"/>
  <c r="N43" i="46"/>
  <c r="N35" i="46"/>
  <c r="N8" i="46"/>
  <c r="N7" i="46"/>
  <c r="N23" i="46"/>
  <c r="N18" i="46"/>
  <c r="N10" i="46"/>
  <c r="N9" i="46"/>
  <c r="N39" i="46"/>
  <c r="N33" i="46"/>
  <c r="N27" i="46"/>
  <c r="N12" i="46"/>
  <c r="N14" i="46"/>
  <c r="N13" i="46"/>
  <c r="N11" i="46"/>
  <c r="N5" i="46"/>
  <c r="N6" i="46"/>
  <c r="N21" i="46"/>
  <c r="N38" i="46"/>
  <c r="N30" i="46"/>
  <c r="N28" i="46"/>
  <c r="N25" i="46"/>
  <c r="N31" i="46"/>
  <c r="N17" i="46"/>
  <c r="N34" i="46"/>
  <c r="N15" i="46"/>
  <c r="N32" i="46"/>
  <c r="N29" i="46"/>
  <c r="N22" i="46"/>
  <c r="N42" i="46"/>
  <c r="N36" i="46"/>
  <c r="N20" i="46"/>
  <c r="N40" i="46"/>
  <c r="N37" i="46"/>
  <c r="N26" i="46"/>
  <c r="N44" i="46"/>
  <c r="N41" i="46"/>
  <c r="N24" i="46"/>
  <c r="N19" i="46"/>
  <c r="N16" i="46"/>
  <c r="Z13" i="46"/>
  <c r="Z11" i="46"/>
  <c r="Z9" i="46"/>
  <c r="Z7" i="46"/>
  <c r="Z5" i="46"/>
  <c r="Z41" i="46"/>
  <c r="Z18" i="46"/>
  <c r="Z10" i="46"/>
  <c r="Z33" i="46"/>
  <c r="Z29" i="46"/>
  <c r="Z12" i="46"/>
  <c r="Z8" i="46"/>
  <c r="Z6" i="46"/>
  <c r="Z39" i="46"/>
  <c r="Z27" i="46"/>
  <c r="Z34" i="46"/>
  <c r="Z30" i="46"/>
  <c r="Z23" i="46"/>
  <c r="Z16" i="46"/>
  <c r="Z14" i="46"/>
  <c r="Z35" i="46"/>
  <c r="Z28" i="46"/>
  <c r="Z44" i="46"/>
  <c r="Z42" i="46"/>
  <c r="Z19" i="46"/>
  <c r="Z37" i="46"/>
  <c r="Z15" i="46"/>
  <c r="Z32" i="46"/>
  <c r="Z38" i="46"/>
  <c r="Z17" i="46"/>
  <c r="Z31" i="46"/>
  <c r="Z20" i="46"/>
  <c r="Z36" i="46"/>
  <c r="Z22" i="46"/>
  <c r="Z43" i="46"/>
  <c r="Z40" i="46"/>
  <c r="Z25" i="46"/>
  <c r="Z24" i="46"/>
  <c r="Z26" i="46"/>
  <c r="Z21" i="46"/>
  <c r="M44" i="42"/>
  <c r="M63" i="42"/>
  <c r="Z65" i="44"/>
  <c r="Z57" i="44"/>
  <c r="Z53" i="44"/>
  <c r="Z45" i="44"/>
  <c r="Z37" i="44"/>
  <c r="Z44" i="44"/>
  <c r="Z38" i="44"/>
  <c r="Z29" i="44"/>
  <c r="Z24" i="44"/>
  <c r="Z11" i="44"/>
  <c r="Z5" i="44"/>
  <c r="Z46" i="44"/>
  <c r="Z20" i="44"/>
  <c r="Z8" i="44"/>
  <c r="Z17" i="44"/>
  <c r="Z63" i="44"/>
  <c r="Z60" i="44"/>
  <c r="Z51" i="44"/>
  <c r="Z43" i="44"/>
  <c r="Z54" i="44"/>
  <c r="Z40" i="44"/>
  <c r="Z35" i="44"/>
  <c r="Z27" i="44"/>
  <c r="Z16" i="44"/>
  <c r="Z10" i="44"/>
  <c r="Z32" i="44"/>
  <c r="Z36" i="44"/>
  <c r="Z15" i="44"/>
  <c r="Z18" i="44"/>
  <c r="Z23" i="44"/>
  <c r="Z6" i="44"/>
  <c r="Z59" i="44"/>
  <c r="Z47" i="44"/>
  <c r="Z48" i="44"/>
  <c r="Z31" i="44"/>
  <c r="Z12" i="44"/>
  <c r="Z56" i="44"/>
  <c r="Z22" i="44"/>
  <c r="Z13" i="44"/>
  <c r="Z39" i="44"/>
  <c r="Z42" i="44"/>
  <c r="Z7" i="44"/>
  <c r="Z49" i="44"/>
  <c r="Z33" i="44"/>
  <c r="Z28" i="44"/>
  <c r="Z34" i="44"/>
  <c r="Z58" i="44"/>
  <c r="Z41" i="44"/>
  <c r="Z62" i="44"/>
  <c r="Z50" i="44"/>
  <c r="Z9" i="44"/>
  <c r="Z26" i="44"/>
  <c r="Z25" i="44"/>
  <c r="Z19" i="44"/>
  <c r="Z64" i="44"/>
  <c r="Z55" i="44"/>
  <c r="Z21" i="44"/>
  <c r="Z61" i="44"/>
  <c r="Z52" i="44"/>
  <c r="Z14" i="44"/>
  <c r="Z30" i="44"/>
  <c r="R18" i="46"/>
  <c r="R13" i="46"/>
  <c r="R12" i="46"/>
  <c r="R11" i="46"/>
  <c r="R10" i="46"/>
  <c r="R9" i="46"/>
  <c r="R8" i="46"/>
  <c r="R7" i="46"/>
  <c r="R6" i="46"/>
  <c r="R5" i="46"/>
  <c r="R37" i="46"/>
  <c r="R29" i="46"/>
  <c r="R33" i="46"/>
  <c r="R34" i="46"/>
  <c r="R39" i="46"/>
  <c r="R40" i="46"/>
  <c r="R27" i="46"/>
  <c r="R32" i="46"/>
  <c r="R42" i="46"/>
  <c r="R14" i="46"/>
  <c r="R43" i="46"/>
  <c r="R16" i="46"/>
  <c r="R15" i="46"/>
  <c r="R36" i="46"/>
  <c r="R21" i="46"/>
  <c r="R26" i="46"/>
  <c r="R17" i="46"/>
  <c r="R23" i="46"/>
  <c r="R41" i="46"/>
  <c r="R19" i="46"/>
  <c r="R28" i="46"/>
  <c r="R20" i="46"/>
  <c r="R44" i="46"/>
  <c r="R25" i="46"/>
  <c r="R38" i="46"/>
  <c r="R22" i="46"/>
  <c r="R31" i="46"/>
  <c r="R24" i="46"/>
  <c r="R30" i="46"/>
  <c r="R35" i="46"/>
  <c r="M54" i="42"/>
  <c r="M49" i="42"/>
  <c r="M51" i="42"/>
  <c r="U13" i="46"/>
  <c r="U6" i="46"/>
  <c r="U5" i="46"/>
  <c r="U16" i="46"/>
  <c r="U8" i="46"/>
  <c r="U7" i="46"/>
  <c r="U31" i="46"/>
  <c r="U23" i="46"/>
  <c r="U11" i="46"/>
  <c r="U10" i="46"/>
  <c r="U9" i="46"/>
  <c r="U18" i="46"/>
  <c r="U25" i="46"/>
  <c r="U12" i="46"/>
  <c r="U37" i="46"/>
  <c r="U17" i="46"/>
  <c r="U14" i="46"/>
  <c r="U24" i="46"/>
  <c r="U44" i="46"/>
  <c r="U41" i="46"/>
  <c r="U42" i="46"/>
  <c r="U27" i="46"/>
  <c r="U21" i="46"/>
  <c r="U35" i="46"/>
  <c r="U28" i="46"/>
  <c r="U22" i="46"/>
  <c r="U30" i="46"/>
  <c r="U43" i="46"/>
  <c r="U33" i="46"/>
  <c r="U39" i="46"/>
  <c r="U15" i="46"/>
  <c r="U32" i="46"/>
  <c r="U26" i="46"/>
  <c r="U38" i="46"/>
  <c r="U20" i="46"/>
  <c r="U19" i="46"/>
  <c r="U40" i="46"/>
  <c r="U29" i="46"/>
  <c r="U34" i="46"/>
  <c r="U36" i="46"/>
  <c r="M26" i="42"/>
  <c r="M48" i="42"/>
  <c r="M30" i="47"/>
  <c r="M30" i="58" s="1"/>
  <c r="M75" i="58" s="1"/>
  <c r="M30" i="48"/>
  <c r="S48" i="48"/>
  <c r="S48" i="47"/>
  <c r="S48" i="46"/>
  <c r="S48" i="45"/>
  <c r="N68" i="44"/>
  <c r="N68" i="43"/>
  <c r="N68" i="42"/>
  <c r="V18" i="46"/>
  <c r="V12" i="46"/>
  <c r="V10" i="46"/>
  <c r="V8" i="46"/>
  <c r="V6" i="46"/>
  <c r="V27" i="46"/>
  <c r="V7" i="46"/>
  <c r="V43" i="46"/>
  <c r="V31" i="46"/>
  <c r="V23" i="46"/>
  <c r="V9" i="46"/>
  <c r="V5" i="46"/>
  <c r="V44" i="46"/>
  <c r="V41" i="46"/>
  <c r="V25" i="46"/>
  <c r="V37" i="46"/>
  <c r="V32" i="46"/>
  <c r="V21" i="46"/>
  <c r="V19" i="46"/>
  <c r="V13" i="46"/>
  <c r="V33" i="46"/>
  <c r="V38" i="46"/>
  <c r="V11" i="46"/>
  <c r="V26" i="46"/>
  <c r="V34" i="46"/>
  <c r="V36" i="46"/>
  <c r="V40" i="46"/>
  <c r="V42" i="46"/>
  <c r="V17" i="46"/>
  <c r="V14" i="46"/>
  <c r="V15" i="46"/>
  <c r="V22" i="46"/>
  <c r="V35" i="46"/>
  <c r="V20" i="46"/>
  <c r="V16" i="46"/>
  <c r="V39" i="46"/>
  <c r="V28" i="46"/>
  <c r="V29" i="46"/>
  <c r="V30" i="46"/>
  <c r="V24" i="46"/>
  <c r="P18" i="46"/>
  <c r="P11" i="46"/>
  <c r="P10" i="46"/>
  <c r="P19" i="46"/>
  <c r="P13" i="46"/>
  <c r="P12" i="46"/>
  <c r="P5" i="46"/>
  <c r="P43" i="46"/>
  <c r="P36" i="46"/>
  <c r="P28" i="46"/>
  <c r="P24" i="46"/>
  <c r="P15" i="46"/>
  <c r="P14" i="46"/>
  <c r="P35" i="46"/>
  <c r="P31" i="46"/>
  <c r="P16" i="46"/>
  <c r="P6" i="46"/>
  <c r="P9" i="46"/>
  <c r="P8" i="46"/>
  <c r="P7" i="46"/>
  <c r="P20" i="46"/>
  <c r="P25" i="46"/>
  <c r="P22" i="46"/>
  <c r="P42" i="46"/>
  <c r="P27" i="46"/>
  <c r="P44" i="46"/>
  <c r="P41" i="46"/>
  <c r="P26" i="46"/>
  <c r="P30" i="46"/>
  <c r="P29" i="46"/>
  <c r="P34" i="46"/>
  <c r="P32" i="46"/>
  <c r="P33" i="46"/>
  <c r="P38" i="46"/>
  <c r="P23" i="46"/>
  <c r="P39" i="46"/>
  <c r="P37" i="46"/>
  <c r="P40" i="46"/>
  <c r="P21" i="46"/>
  <c r="P17" i="46"/>
  <c r="M60" i="42"/>
  <c r="M47" i="42"/>
  <c r="M32" i="42"/>
  <c r="M25" i="42"/>
  <c r="M65" i="42"/>
  <c r="M50" i="42"/>
  <c r="O16" i="47"/>
  <c r="O16" i="58" s="1"/>
  <c r="O61" i="58" s="1"/>
  <c r="O16" i="48"/>
  <c r="O21" i="47"/>
  <c r="O21" i="48"/>
  <c r="O24" i="47"/>
  <c r="O24" i="58" s="1"/>
  <c r="O69" i="58" s="1"/>
  <c r="O24" i="48"/>
  <c r="O34" i="47"/>
  <c r="O34" i="48"/>
  <c r="O5" i="47"/>
  <c r="O5" i="58" s="1"/>
  <c r="O50" i="58" s="1"/>
  <c r="O46" i="46"/>
  <c r="O5" i="48"/>
  <c r="O30" i="47"/>
  <c r="O30" i="48"/>
  <c r="O25" i="47"/>
  <c r="O25" i="58" s="1"/>
  <c r="O70" i="58" s="1"/>
  <c r="O25" i="48"/>
  <c r="O9" i="47"/>
  <c r="O9" i="48"/>
  <c r="O12" i="47"/>
  <c r="O12" i="58" s="1"/>
  <c r="O57" i="58" s="1"/>
  <c r="O12" i="48"/>
  <c r="M7" i="42"/>
  <c r="M22" i="47"/>
  <c r="M22" i="58" s="1"/>
  <c r="M67" i="58" s="1"/>
  <c r="M22" i="48"/>
  <c r="M16" i="47"/>
  <c r="M16" i="58" s="1"/>
  <c r="M61" i="58" s="1"/>
  <c r="M16" i="48"/>
  <c r="M15" i="47"/>
  <c r="M15" i="58" s="1"/>
  <c r="M60" i="58" s="1"/>
  <c r="M15" i="48"/>
  <c r="M34" i="47"/>
  <c r="M34" i="58" s="1"/>
  <c r="M79" i="58" s="1"/>
  <c r="M34" i="48"/>
  <c r="M21" i="47"/>
  <c r="M21" i="58" s="1"/>
  <c r="M66" i="58" s="1"/>
  <c r="M21" i="48"/>
  <c r="M37" i="47"/>
  <c r="M37" i="58" s="1"/>
  <c r="M82" i="58" s="1"/>
  <c r="M37" i="48"/>
  <c r="M6" i="47"/>
  <c r="M6" i="58" s="1"/>
  <c r="M51" i="58" s="1"/>
  <c r="M6" i="48"/>
  <c r="M10" i="47"/>
  <c r="M10" i="58" s="1"/>
  <c r="M55" i="58" s="1"/>
  <c r="M10" i="48"/>
  <c r="M18" i="47"/>
  <c r="M18" i="58" s="1"/>
  <c r="M63" i="58" s="1"/>
  <c r="M18" i="48"/>
  <c r="M58" i="42"/>
  <c r="M61" i="42"/>
  <c r="D35" i="5"/>
  <c r="X52" i="42" l="1"/>
  <c r="X52" i="44" s="1"/>
  <c r="X36" i="42"/>
  <c r="X36" i="44" s="1"/>
  <c r="X49" i="42"/>
  <c r="X49" i="44" s="1"/>
  <c r="X48" i="42"/>
  <c r="X48" i="44" s="1"/>
  <c r="X46" i="42"/>
  <c r="X34" i="42"/>
  <c r="X34" i="44" s="1"/>
  <c r="X26" i="42"/>
  <c r="X18" i="42"/>
  <c r="X18" i="44" s="1"/>
  <c r="X59" i="42"/>
  <c r="X42" i="42"/>
  <c r="X42" i="44" s="1"/>
  <c r="X13" i="42"/>
  <c r="X13" i="44" s="1"/>
  <c r="X25" i="42"/>
  <c r="X25" i="44" s="1"/>
  <c r="X63" i="42"/>
  <c r="X63" i="44" s="1"/>
  <c r="X5" i="42"/>
  <c r="X39" i="42"/>
  <c r="X39" i="44" s="1"/>
  <c r="X8" i="42"/>
  <c r="X8" i="44" s="1"/>
  <c r="X57" i="42"/>
  <c r="X57" i="44" s="1"/>
  <c r="X64" i="42"/>
  <c r="X64" i="44" s="1"/>
  <c r="X50" i="42"/>
  <c r="X50" i="44" s="1"/>
  <c r="X30" i="42"/>
  <c r="X22" i="42"/>
  <c r="X11" i="42"/>
  <c r="X29" i="42"/>
  <c r="X10" i="42"/>
  <c r="X60" i="42"/>
  <c r="X44" i="42"/>
  <c r="X44" i="44" s="1"/>
  <c r="X58" i="42"/>
  <c r="X58" i="44" s="1"/>
  <c r="X43" i="42"/>
  <c r="X43" i="44" s="1"/>
  <c r="X65" i="42"/>
  <c r="X65" i="44" s="1"/>
  <c r="X35" i="42"/>
  <c r="X35" i="44" s="1"/>
  <c r="X61" i="42"/>
  <c r="X61" i="44" s="1"/>
  <c r="X32" i="42"/>
  <c r="X32" i="44" s="1"/>
  <c r="X24" i="42"/>
  <c r="X24" i="44" s="1"/>
  <c r="X16" i="42"/>
  <c r="X16" i="44" s="1"/>
  <c r="X51" i="42"/>
  <c r="X51" i="44" s="1"/>
  <c r="X37" i="42"/>
  <c r="X37" i="44" s="1"/>
  <c r="X54" i="42"/>
  <c r="X54" i="44" s="1"/>
  <c r="X17" i="42"/>
  <c r="X17" i="44" s="1"/>
  <c r="X47" i="42"/>
  <c r="X47" i="44" s="1"/>
  <c r="X62" i="42"/>
  <c r="X62" i="44" s="1"/>
  <c r="X31" i="42"/>
  <c r="X31" i="44" s="1"/>
  <c r="X14" i="42"/>
  <c r="X45" i="42"/>
  <c r="X27" i="42"/>
  <c r="X53" i="42"/>
  <c r="X23" i="42"/>
  <c r="X40" i="42"/>
  <c r="X40" i="44" s="1"/>
  <c r="X56" i="42"/>
  <c r="X56" i="44" s="1"/>
  <c r="X38" i="42"/>
  <c r="X38" i="44" s="1"/>
  <c r="X28" i="42"/>
  <c r="X28" i="44" s="1"/>
  <c r="X20" i="42"/>
  <c r="X20" i="44" s="1"/>
  <c r="X6" i="42"/>
  <c r="X6" i="44" s="1"/>
  <c r="X9" i="42"/>
  <c r="X9" i="44" s="1"/>
  <c r="X21" i="42"/>
  <c r="X21" i="44" s="1"/>
  <c r="X33" i="42"/>
  <c r="X33" i="44" s="1"/>
  <c r="X7" i="42"/>
  <c r="X7" i="44" s="1"/>
  <c r="X19" i="42"/>
  <c r="X19" i="44" s="1"/>
  <c r="X55" i="42"/>
  <c r="X55" i="44" s="1"/>
  <c r="X15" i="42"/>
  <c r="X15" i="44" s="1"/>
  <c r="X41" i="42"/>
  <c r="R62" i="42"/>
  <c r="R62" i="44" s="1"/>
  <c r="R60" i="42"/>
  <c r="R60" i="44" s="1"/>
  <c r="R5" i="42"/>
  <c r="R38" i="42"/>
  <c r="R38" i="44" s="1"/>
  <c r="R30" i="42"/>
  <c r="R30" i="44" s="1"/>
  <c r="R22" i="42"/>
  <c r="R22" i="44" s="1"/>
  <c r="R14" i="42"/>
  <c r="R14" i="44" s="1"/>
  <c r="R41" i="42"/>
  <c r="R41" i="44" s="1"/>
  <c r="R64" i="42"/>
  <c r="R64" i="44" s="1"/>
  <c r="R31" i="42"/>
  <c r="R31" i="44" s="1"/>
  <c r="R33" i="42"/>
  <c r="R33" i="44" s="1"/>
  <c r="R7" i="42"/>
  <c r="R7" i="44" s="1"/>
  <c r="R29" i="42"/>
  <c r="R29" i="44" s="1"/>
  <c r="R52" i="42"/>
  <c r="R52" i="44" s="1"/>
  <c r="R56" i="42"/>
  <c r="R56" i="44" s="1"/>
  <c r="R45" i="42"/>
  <c r="R45" i="44" s="1"/>
  <c r="R43" i="42"/>
  <c r="R43" i="44" s="1"/>
  <c r="R18" i="42"/>
  <c r="R18" i="44" s="1"/>
  <c r="R58" i="42"/>
  <c r="R58" i="44" s="1"/>
  <c r="R17" i="42"/>
  <c r="R17" i="44" s="1"/>
  <c r="R55" i="42"/>
  <c r="R55" i="44" s="1"/>
  <c r="R42" i="42"/>
  <c r="R42" i="44" s="1"/>
  <c r="R65" i="42"/>
  <c r="R65" i="44" s="1"/>
  <c r="R36" i="42"/>
  <c r="R36" i="44" s="1"/>
  <c r="R28" i="42"/>
  <c r="R28" i="44" s="1"/>
  <c r="R20" i="42"/>
  <c r="R20" i="44" s="1"/>
  <c r="R6" i="42"/>
  <c r="R6" i="44" s="1"/>
  <c r="R35" i="42"/>
  <c r="R35" i="44" s="1"/>
  <c r="R61" i="42"/>
  <c r="R61" i="44" s="1"/>
  <c r="R23" i="42"/>
  <c r="R23" i="44" s="1"/>
  <c r="R25" i="42"/>
  <c r="R25" i="44" s="1"/>
  <c r="R57" i="42"/>
  <c r="R57" i="44" s="1"/>
  <c r="R21" i="42"/>
  <c r="R21" i="44" s="1"/>
  <c r="R50" i="42"/>
  <c r="R50" i="44" s="1"/>
  <c r="R59" i="42"/>
  <c r="R59" i="44" s="1"/>
  <c r="R63" i="42"/>
  <c r="R63" i="44" s="1"/>
  <c r="R10" i="42"/>
  <c r="R10" i="44" s="1"/>
  <c r="R26" i="42"/>
  <c r="R26" i="44" s="1"/>
  <c r="R53" i="42"/>
  <c r="R53" i="44" s="1"/>
  <c r="R15" i="42"/>
  <c r="R15" i="44" s="1"/>
  <c r="R13" i="42"/>
  <c r="R13" i="44" s="1"/>
  <c r="R51" i="42"/>
  <c r="R51" i="44" s="1"/>
  <c r="R34" i="42"/>
  <c r="R34" i="44" s="1"/>
  <c r="R27" i="42"/>
  <c r="R27" i="44" s="1"/>
  <c r="R49" i="42"/>
  <c r="R49" i="44" s="1"/>
  <c r="R48" i="42"/>
  <c r="R48" i="44" s="1"/>
  <c r="R8" i="42"/>
  <c r="R8" i="44" s="1"/>
  <c r="R40" i="42"/>
  <c r="R40" i="44" s="1"/>
  <c r="R32" i="42"/>
  <c r="R32" i="44" s="1"/>
  <c r="R24" i="42"/>
  <c r="R24" i="44" s="1"/>
  <c r="R16" i="42"/>
  <c r="R16" i="44" s="1"/>
  <c r="R44" i="42"/>
  <c r="R44" i="44" s="1"/>
  <c r="R19" i="42"/>
  <c r="R19" i="44" s="1"/>
  <c r="R39" i="42"/>
  <c r="R39" i="44" s="1"/>
  <c r="R9" i="42"/>
  <c r="R9" i="44" s="1"/>
  <c r="R11" i="42"/>
  <c r="R11" i="44" s="1"/>
  <c r="R37" i="42"/>
  <c r="R37" i="44" s="1"/>
  <c r="R47" i="42"/>
  <c r="R47" i="44" s="1"/>
  <c r="R46" i="42"/>
  <c r="R46" i="44" s="1"/>
  <c r="R54" i="42"/>
  <c r="R54" i="44" s="1"/>
  <c r="T6" i="59"/>
  <c r="T8" i="59"/>
  <c r="T10" i="59"/>
  <c r="H8" i="59"/>
  <c r="H10" i="59"/>
  <c r="H6" i="59"/>
  <c r="N10" i="59"/>
  <c r="N6" i="59"/>
  <c r="E10" i="59"/>
  <c r="E6" i="59"/>
  <c r="E8" i="59"/>
  <c r="M62" i="42"/>
  <c r="M31" i="42"/>
  <c r="M52" i="42"/>
  <c r="M59" i="42"/>
  <c r="O37" i="58"/>
  <c r="O82" i="58" s="1"/>
  <c r="O42" i="58"/>
  <c r="O87" i="58" s="1"/>
  <c r="O43" i="58"/>
  <c r="O88" i="58" s="1"/>
  <c r="O28" i="58"/>
  <c r="O73" i="58" s="1"/>
  <c r="M11" i="42"/>
  <c r="M21" i="42"/>
  <c r="M9" i="42"/>
  <c r="M18" i="42"/>
  <c r="M30" i="42"/>
  <c r="M28" i="42"/>
  <c r="M28" i="44" s="1"/>
  <c r="M41" i="42"/>
  <c r="M41" i="44" s="1"/>
  <c r="M55" i="42"/>
  <c r="M55" i="44" s="1"/>
  <c r="AH54" i="42"/>
  <c r="AH54" i="44" s="1"/>
  <c r="AH64" i="42"/>
  <c r="AH33" i="42"/>
  <c r="AH33" i="44" s="1"/>
  <c r="AH25" i="42"/>
  <c r="AH25" i="44" s="1"/>
  <c r="AH17" i="42"/>
  <c r="AH17" i="44" s="1"/>
  <c r="AH50" i="42"/>
  <c r="AH50" i="44" s="1"/>
  <c r="AH58" i="42"/>
  <c r="AH58" i="44" s="1"/>
  <c r="AH9" i="42"/>
  <c r="AH9" i="44" s="1"/>
  <c r="AH48" i="42"/>
  <c r="AH48" i="44" s="1"/>
  <c r="AH20" i="42"/>
  <c r="AH20" i="44" s="1"/>
  <c r="AH7" i="42"/>
  <c r="AH7" i="44" s="1"/>
  <c r="AH34" i="42"/>
  <c r="AH34" i="44" s="1"/>
  <c r="AH38" i="42"/>
  <c r="AH38" i="44" s="1"/>
  <c r="AH57" i="42"/>
  <c r="AH57" i="44" s="1"/>
  <c r="AH65" i="42"/>
  <c r="AH65" i="44" s="1"/>
  <c r="AH42" i="42"/>
  <c r="AH42" i="44" s="1"/>
  <c r="AH21" i="42"/>
  <c r="AH24" i="42"/>
  <c r="AH24" i="44" s="1"/>
  <c r="AH36" i="42"/>
  <c r="AH36" i="44" s="1"/>
  <c r="AH18" i="42"/>
  <c r="AH45" i="42"/>
  <c r="AH45" i="44" s="1"/>
  <c r="AH31" i="42"/>
  <c r="AH31" i="44" s="1"/>
  <c r="AH23" i="42"/>
  <c r="AH15" i="42"/>
  <c r="AH15" i="44" s="1"/>
  <c r="AH10" i="42"/>
  <c r="AH32" i="42"/>
  <c r="AH32" i="44" s="1"/>
  <c r="AH6" i="42"/>
  <c r="AH41" i="42"/>
  <c r="AH41" i="44" s="1"/>
  <c r="AH30" i="42"/>
  <c r="AH51" i="42"/>
  <c r="AH51" i="44" s="1"/>
  <c r="AH26" i="42"/>
  <c r="AH53" i="42"/>
  <c r="AH53" i="44" s="1"/>
  <c r="AH47" i="42"/>
  <c r="AH44" i="42"/>
  <c r="AH44" i="44" s="1"/>
  <c r="AH35" i="42"/>
  <c r="AH59" i="42"/>
  <c r="AH59" i="44" s="1"/>
  <c r="AH13" i="42"/>
  <c r="AH13" i="44" s="1"/>
  <c r="AH62" i="42"/>
  <c r="AH46" i="42"/>
  <c r="AH46" i="44" s="1"/>
  <c r="AH37" i="42"/>
  <c r="AH29" i="42"/>
  <c r="AH29" i="44" s="1"/>
  <c r="AH8" i="42"/>
  <c r="AH22" i="42"/>
  <c r="AH63" i="42"/>
  <c r="AH63" i="44" s="1"/>
  <c r="AH40" i="42"/>
  <c r="AH40" i="44" s="1"/>
  <c r="AH39" i="42"/>
  <c r="AH39" i="44" s="1"/>
  <c r="AH27" i="42"/>
  <c r="AH27" i="44" s="1"/>
  <c r="AH19" i="42"/>
  <c r="AH19" i="44" s="1"/>
  <c r="AH5" i="42"/>
  <c r="AH61" i="42"/>
  <c r="AH61" i="44" s="1"/>
  <c r="AH16" i="42"/>
  <c r="AH16" i="44" s="1"/>
  <c r="AH56" i="42"/>
  <c r="AH56" i="44" s="1"/>
  <c r="AH28" i="42"/>
  <c r="AH28" i="44" s="1"/>
  <c r="AH14" i="42"/>
  <c r="AH14" i="44" s="1"/>
  <c r="AH43" i="42"/>
  <c r="AH43" i="44" s="1"/>
  <c r="AH11" i="42"/>
  <c r="AH11" i="44" s="1"/>
  <c r="AH52" i="42"/>
  <c r="AH52" i="44" s="1"/>
  <c r="AH60" i="42"/>
  <c r="AH60" i="44" s="1"/>
  <c r="AH55" i="42"/>
  <c r="AH55" i="44" s="1"/>
  <c r="AH49" i="42"/>
  <c r="AH49" i="44" s="1"/>
  <c r="AI63" i="42"/>
  <c r="AI63" i="44" s="1"/>
  <c r="AI38" i="42"/>
  <c r="AI38" i="44" s="1"/>
  <c r="AI28" i="42"/>
  <c r="AI28" i="44" s="1"/>
  <c r="AI20" i="42"/>
  <c r="AI20" i="44" s="1"/>
  <c r="AI6" i="42"/>
  <c r="AI6" i="44" s="1"/>
  <c r="AI7" i="42"/>
  <c r="AI7" i="44" s="1"/>
  <c r="AI31" i="42"/>
  <c r="AI31" i="44" s="1"/>
  <c r="AI5" i="42"/>
  <c r="AI25" i="42"/>
  <c r="AI25" i="44" s="1"/>
  <c r="AI54" i="42"/>
  <c r="AI54" i="44" s="1"/>
  <c r="AI29" i="42"/>
  <c r="AI29" i="44" s="1"/>
  <c r="AI65" i="42"/>
  <c r="AI65" i="44" s="1"/>
  <c r="AI46" i="42"/>
  <c r="AI46" i="44" s="1"/>
  <c r="AI56" i="42"/>
  <c r="AI56" i="44" s="1"/>
  <c r="AI58" i="42"/>
  <c r="AI58" i="44" s="1"/>
  <c r="AI32" i="42"/>
  <c r="AI27" i="42"/>
  <c r="AI27" i="44" s="1"/>
  <c r="AI42" i="42"/>
  <c r="AI44" i="42"/>
  <c r="AI44" i="44" s="1"/>
  <c r="AI57" i="42"/>
  <c r="AI48" i="42"/>
  <c r="AI45" i="42"/>
  <c r="AI10" i="42"/>
  <c r="AI34" i="42"/>
  <c r="AI34" i="44" s="1"/>
  <c r="AI26" i="42"/>
  <c r="AI18" i="42"/>
  <c r="AI18" i="44" s="1"/>
  <c r="AI47" i="42"/>
  <c r="AI53" i="42"/>
  <c r="AI53" i="44" s="1"/>
  <c r="AI23" i="42"/>
  <c r="AI62" i="42"/>
  <c r="AI62" i="44" s="1"/>
  <c r="AI17" i="42"/>
  <c r="AI49" i="42"/>
  <c r="AI49" i="44" s="1"/>
  <c r="AI21" i="42"/>
  <c r="AI60" i="42"/>
  <c r="AI60" i="44" s="1"/>
  <c r="AI40" i="42"/>
  <c r="AI50" i="42"/>
  <c r="AI50" i="44" s="1"/>
  <c r="AI55" i="42"/>
  <c r="AI8" i="42"/>
  <c r="AI8" i="44" s="1"/>
  <c r="AI16" i="42"/>
  <c r="AI15" i="42"/>
  <c r="AI15" i="44" s="1"/>
  <c r="AI61" i="42"/>
  <c r="AI61" i="44" s="1"/>
  <c r="AI64" i="42"/>
  <c r="AI64" i="44" s="1"/>
  <c r="AI52" i="42"/>
  <c r="AI52" i="44" s="1"/>
  <c r="AI24" i="42"/>
  <c r="AI24" i="44" s="1"/>
  <c r="AI51" i="42"/>
  <c r="AI13" i="42"/>
  <c r="AI13" i="44" s="1"/>
  <c r="AI43" i="42"/>
  <c r="AI30" i="42"/>
  <c r="AI30" i="44" s="1"/>
  <c r="AI22" i="42"/>
  <c r="AI22" i="44" s="1"/>
  <c r="AI14" i="42"/>
  <c r="AI14" i="44" s="1"/>
  <c r="AI19" i="42"/>
  <c r="AI39" i="42"/>
  <c r="AI39" i="44" s="1"/>
  <c r="AI11" i="42"/>
  <c r="AI11" i="44" s="1"/>
  <c r="AI33" i="42"/>
  <c r="AI59" i="42"/>
  <c r="AI59" i="44" s="1"/>
  <c r="AI37" i="42"/>
  <c r="AI37" i="44" s="1"/>
  <c r="AI9" i="42"/>
  <c r="AI9" i="44" s="1"/>
  <c r="AI35" i="42"/>
  <c r="AI41" i="42"/>
  <c r="AI41" i="44" s="1"/>
  <c r="AI36" i="42"/>
  <c r="AI36" i="44" s="1"/>
  <c r="L45" i="42"/>
  <c r="L45" i="44" s="1"/>
  <c r="L56" i="42"/>
  <c r="L56" i="44" s="1"/>
  <c r="L39" i="42"/>
  <c r="L39" i="44" s="1"/>
  <c r="L29" i="42"/>
  <c r="L19" i="42"/>
  <c r="L7" i="42"/>
  <c r="L8" i="42"/>
  <c r="L43" i="42"/>
  <c r="L55" i="42"/>
  <c r="L22" i="42"/>
  <c r="L24" i="42"/>
  <c r="L53" i="42"/>
  <c r="L28" i="42"/>
  <c r="L62" i="42"/>
  <c r="L46" i="42"/>
  <c r="L59" i="42"/>
  <c r="L61" i="42"/>
  <c r="L65" i="42"/>
  <c r="L65" i="44" s="1"/>
  <c r="L37" i="42"/>
  <c r="L15" i="42"/>
  <c r="L64" i="42"/>
  <c r="L40" i="42"/>
  <c r="L44" i="42"/>
  <c r="L31" i="42"/>
  <c r="L54" i="42"/>
  <c r="L54" i="44" s="1"/>
  <c r="L33" i="42"/>
  <c r="L33" i="44" s="1"/>
  <c r="L47" i="42"/>
  <c r="L47" i="44" s="1"/>
  <c r="L27" i="42"/>
  <c r="L17" i="42"/>
  <c r="L17" i="44" s="1"/>
  <c r="L52" i="42"/>
  <c r="L52" i="44" s="1"/>
  <c r="L5" i="42"/>
  <c r="L18" i="42"/>
  <c r="L18" i="44" s="1"/>
  <c r="L50" i="42"/>
  <c r="L50" i="44" s="1"/>
  <c r="L14" i="42"/>
  <c r="L14" i="44" s="1"/>
  <c r="L16" i="42"/>
  <c r="L16" i="44" s="1"/>
  <c r="L48" i="42"/>
  <c r="L48" i="44" s="1"/>
  <c r="L20" i="42"/>
  <c r="L20" i="44" s="1"/>
  <c r="L63" i="42"/>
  <c r="L63" i="44" s="1"/>
  <c r="L23" i="42"/>
  <c r="L42" i="42"/>
  <c r="L38" i="42"/>
  <c r="L9" i="42"/>
  <c r="L57" i="42"/>
  <c r="L34" i="42"/>
  <c r="L34" i="44" s="1"/>
  <c r="L11" i="42"/>
  <c r="L41" i="42"/>
  <c r="L26" i="42"/>
  <c r="L49" i="42"/>
  <c r="L49" i="44" s="1"/>
  <c r="L58" i="42"/>
  <c r="L58" i="44" s="1"/>
  <c r="L35" i="42"/>
  <c r="L21" i="42"/>
  <c r="L13" i="42"/>
  <c r="L10" i="42"/>
  <c r="L51" i="42"/>
  <c r="L60" i="42"/>
  <c r="L30" i="42"/>
  <c r="L32" i="42"/>
  <c r="L6" i="42"/>
  <c r="L36" i="42"/>
  <c r="L25" i="42"/>
  <c r="I10" i="59"/>
  <c r="I8" i="59"/>
  <c r="I6" i="59"/>
  <c r="G8" i="59"/>
  <c r="G10" i="59"/>
  <c r="G6" i="59"/>
  <c r="B6" i="59"/>
  <c r="B8" i="59"/>
  <c r="B10" i="59"/>
  <c r="P8" i="59"/>
  <c r="P10" i="59"/>
  <c r="P6" i="59"/>
  <c r="U8" i="59"/>
  <c r="M34" i="42"/>
  <c r="M45" i="42"/>
  <c r="M17" i="42"/>
  <c r="M29" i="42"/>
  <c r="M23" i="42"/>
  <c r="M20" i="42"/>
  <c r="M5" i="42"/>
  <c r="M36" i="42"/>
  <c r="M36" i="44" s="1"/>
  <c r="M38" i="42"/>
  <c r="M38" i="44" s="1"/>
  <c r="M46" i="42"/>
  <c r="M46" i="44" s="1"/>
  <c r="O61" i="42"/>
  <c r="O61" i="44" s="1"/>
  <c r="O30" i="42"/>
  <c r="O30" i="44" s="1"/>
  <c r="O22" i="42"/>
  <c r="O22" i="44" s="1"/>
  <c r="O14" i="42"/>
  <c r="O14" i="44" s="1"/>
  <c r="O11" i="42"/>
  <c r="O11" i="44" s="1"/>
  <c r="O21" i="42"/>
  <c r="O21" i="44" s="1"/>
  <c r="O25" i="42"/>
  <c r="O25" i="44" s="1"/>
  <c r="O52" i="42"/>
  <c r="O52" i="44" s="1"/>
  <c r="O27" i="42"/>
  <c r="O27" i="44" s="1"/>
  <c r="O59" i="42"/>
  <c r="O59" i="44" s="1"/>
  <c r="O15" i="42"/>
  <c r="O15" i="44" s="1"/>
  <c r="O41" i="42"/>
  <c r="O41" i="44" s="1"/>
  <c r="O49" i="42"/>
  <c r="O49" i="44" s="1"/>
  <c r="O37" i="42"/>
  <c r="O37" i="44" s="1"/>
  <c r="O54" i="42"/>
  <c r="O54" i="44" s="1"/>
  <c r="O58" i="42"/>
  <c r="O58" i="44" s="1"/>
  <c r="O40" i="42"/>
  <c r="O40" i="44" s="1"/>
  <c r="O26" i="42"/>
  <c r="O26" i="44" s="1"/>
  <c r="O18" i="42"/>
  <c r="O18" i="44" s="1"/>
  <c r="O56" i="42"/>
  <c r="O56" i="44" s="1"/>
  <c r="O45" i="42"/>
  <c r="O45" i="44" s="1"/>
  <c r="O10" i="42"/>
  <c r="O10" i="44" s="1"/>
  <c r="O31" i="42"/>
  <c r="O31" i="44" s="1"/>
  <c r="O46" i="42"/>
  <c r="O46" i="44" s="1"/>
  <c r="O63" i="42"/>
  <c r="O63" i="44" s="1"/>
  <c r="O28" i="42"/>
  <c r="O28" i="44" s="1"/>
  <c r="O20" i="42"/>
  <c r="O20" i="44" s="1"/>
  <c r="O6" i="42"/>
  <c r="O6" i="44" s="1"/>
  <c r="O9" i="42"/>
  <c r="O9" i="44" s="1"/>
  <c r="O13" i="42"/>
  <c r="O13" i="44" s="1"/>
  <c r="O17" i="42"/>
  <c r="O17" i="44" s="1"/>
  <c r="O47" i="42"/>
  <c r="O47" i="44" s="1"/>
  <c r="O19" i="42"/>
  <c r="O19" i="44" s="1"/>
  <c r="O39" i="42"/>
  <c r="O39" i="44" s="1"/>
  <c r="O8" i="42"/>
  <c r="O8" i="44" s="1"/>
  <c r="O48" i="42"/>
  <c r="O48" i="44" s="1"/>
  <c r="O55" i="42"/>
  <c r="O55" i="44" s="1"/>
  <c r="O38" i="42"/>
  <c r="O38" i="44" s="1"/>
  <c r="O34" i="42"/>
  <c r="O34" i="44" s="1"/>
  <c r="O44" i="42"/>
  <c r="O44" i="44" s="1"/>
  <c r="O42" i="42"/>
  <c r="O42" i="44" s="1"/>
  <c r="O64" i="42"/>
  <c r="O64" i="44" s="1"/>
  <c r="O5" i="42"/>
  <c r="O53" i="42"/>
  <c r="O53" i="44" s="1"/>
  <c r="O43" i="42"/>
  <c r="O43" i="44" s="1"/>
  <c r="O32" i="42"/>
  <c r="O32" i="44" s="1"/>
  <c r="O24" i="42"/>
  <c r="O24" i="44" s="1"/>
  <c r="O16" i="42"/>
  <c r="O16" i="44" s="1"/>
  <c r="O60" i="42"/>
  <c r="O60" i="44" s="1"/>
  <c r="O29" i="42"/>
  <c r="O29" i="44" s="1"/>
  <c r="O33" i="42"/>
  <c r="O33" i="44" s="1"/>
  <c r="O7" i="42"/>
  <c r="O7" i="44" s="1"/>
  <c r="O35" i="42"/>
  <c r="O35" i="44" s="1"/>
  <c r="O65" i="42"/>
  <c r="O65" i="44" s="1"/>
  <c r="O23" i="42"/>
  <c r="O23" i="44" s="1"/>
  <c r="O51" i="42"/>
  <c r="O51" i="44" s="1"/>
  <c r="O62" i="42"/>
  <c r="O62" i="44" s="1"/>
  <c r="O50" i="42"/>
  <c r="O50" i="44" s="1"/>
  <c r="O57" i="42"/>
  <c r="O57" i="44" s="1"/>
  <c r="O36" i="42"/>
  <c r="O36" i="44" s="1"/>
  <c r="AC48" i="42"/>
  <c r="AC30" i="42"/>
  <c r="AC22" i="42"/>
  <c r="AC14" i="42"/>
  <c r="AC11" i="42"/>
  <c r="AC23" i="42"/>
  <c r="AC54" i="42"/>
  <c r="AC35" i="42"/>
  <c r="AC52" i="42"/>
  <c r="AC13" i="42"/>
  <c r="AC33" i="42"/>
  <c r="AC7" i="42"/>
  <c r="AC43" i="42"/>
  <c r="AC64" i="42"/>
  <c r="AC42" i="42"/>
  <c r="AC26" i="42"/>
  <c r="AC65" i="42"/>
  <c r="AC45" i="42"/>
  <c r="AC19" i="42"/>
  <c r="AC17" i="42"/>
  <c r="AC59" i="42"/>
  <c r="AC58" i="42"/>
  <c r="AC28" i="42"/>
  <c r="AC20" i="42"/>
  <c r="AC6" i="42"/>
  <c r="AC9" i="42"/>
  <c r="AC15" i="42"/>
  <c r="AC47" i="42"/>
  <c r="AC27" i="42"/>
  <c r="AC49" i="42"/>
  <c r="AC5" i="42"/>
  <c r="AC25" i="42"/>
  <c r="AC56" i="42"/>
  <c r="AC53" i="42"/>
  <c r="AC50" i="42"/>
  <c r="AC40" i="42"/>
  <c r="AC62" i="42"/>
  <c r="AC39" i="42"/>
  <c r="AC29" i="42"/>
  <c r="AC46" i="42"/>
  <c r="AC38" i="42"/>
  <c r="AC34" i="42"/>
  <c r="AC18" i="42"/>
  <c r="AC63" i="42"/>
  <c r="AC60" i="42"/>
  <c r="AC51" i="42"/>
  <c r="AC32" i="42"/>
  <c r="AC24" i="42"/>
  <c r="AC16" i="42"/>
  <c r="AC41" i="42"/>
  <c r="AC31" i="42"/>
  <c r="AC57" i="42"/>
  <c r="AC44" i="42"/>
  <c r="AC10" i="42"/>
  <c r="AC21" i="42"/>
  <c r="AC55" i="42"/>
  <c r="AC8" i="42"/>
  <c r="AC36" i="42"/>
  <c r="AC37" i="42"/>
  <c r="AC61" i="42"/>
  <c r="V70" i="41"/>
  <c r="Y70" i="41"/>
  <c r="P49" i="42"/>
  <c r="P49" i="44" s="1"/>
  <c r="P11" i="42"/>
  <c r="P11" i="44" s="1"/>
  <c r="P37" i="42"/>
  <c r="P37" i="44" s="1"/>
  <c r="P29" i="42"/>
  <c r="P29" i="44" s="1"/>
  <c r="P21" i="42"/>
  <c r="P21" i="44" s="1"/>
  <c r="P13" i="42"/>
  <c r="P13" i="44" s="1"/>
  <c r="P32" i="42"/>
  <c r="P32" i="44" s="1"/>
  <c r="P5" i="42"/>
  <c r="P36" i="42"/>
  <c r="P36" i="44" s="1"/>
  <c r="P50" i="42"/>
  <c r="P50" i="44" s="1"/>
  <c r="P22" i="42"/>
  <c r="P22" i="44" s="1"/>
  <c r="P42" i="42"/>
  <c r="P42" i="44" s="1"/>
  <c r="P53" i="42"/>
  <c r="P53" i="44" s="1"/>
  <c r="P51" i="42"/>
  <c r="P51" i="44" s="1"/>
  <c r="P55" i="42"/>
  <c r="P55" i="44" s="1"/>
  <c r="P33" i="42"/>
  <c r="P33" i="44" s="1"/>
  <c r="P57" i="42"/>
  <c r="P57" i="44" s="1"/>
  <c r="P62" i="42"/>
  <c r="P62" i="44" s="1"/>
  <c r="P10" i="42"/>
  <c r="P10" i="44" s="1"/>
  <c r="P44" i="42"/>
  <c r="P44" i="44" s="1"/>
  <c r="P9" i="42"/>
  <c r="P9" i="44" s="1"/>
  <c r="P35" i="42"/>
  <c r="P35" i="44" s="1"/>
  <c r="P27" i="42"/>
  <c r="P27" i="44" s="1"/>
  <c r="P19" i="42"/>
  <c r="P19" i="44" s="1"/>
  <c r="P7" i="42"/>
  <c r="P7" i="44" s="1"/>
  <c r="P24" i="42"/>
  <c r="P24" i="44" s="1"/>
  <c r="P65" i="42"/>
  <c r="P65" i="44" s="1"/>
  <c r="P28" i="42"/>
  <c r="P28" i="44" s="1"/>
  <c r="P45" i="42"/>
  <c r="P45" i="44" s="1"/>
  <c r="P14" i="42"/>
  <c r="P14" i="44" s="1"/>
  <c r="P34" i="42"/>
  <c r="P34" i="44" s="1"/>
  <c r="P47" i="42"/>
  <c r="P47" i="44" s="1"/>
  <c r="P46" i="42"/>
  <c r="P46" i="44" s="1"/>
  <c r="P54" i="42"/>
  <c r="P54" i="44" s="1"/>
  <c r="P58" i="42"/>
  <c r="P58" i="44" s="1"/>
  <c r="P17" i="42"/>
  <c r="P17" i="44" s="1"/>
  <c r="P20" i="42"/>
  <c r="P20" i="44" s="1"/>
  <c r="P26" i="42"/>
  <c r="P26" i="44" s="1"/>
  <c r="P56" i="42"/>
  <c r="P56" i="44" s="1"/>
  <c r="P25" i="42"/>
  <c r="P25" i="44" s="1"/>
  <c r="P16" i="42"/>
  <c r="P16" i="44" s="1"/>
  <c r="P38" i="42"/>
  <c r="P38" i="44" s="1"/>
  <c r="P64" i="42"/>
  <c r="P64" i="44" s="1"/>
  <c r="P59" i="42"/>
  <c r="P59" i="44" s="1"/>
  <c r="P41" i="42"/>
  <c r="P41" i="44" s="1"/>
  <c r="P39" i="42"/>
  <c r="P39" i="44" s="1"/>
  <c r="P31" i="42"/>
  <c r="P31" i="44" s="1"/>
  <c r="P23" i="42"/>
  <c r="P23" i="44" s="1"/>
  <c r="P15" i="42"/>
  <c r="P15" i="44" s="1"/>
  <c r="P40" i="42"/>
  <c r="P40" i="44" s="1"/>
  <c r="P6" i="42"/>
  <c r="P6" i="44" s="1"/>
  <c r="P48" i="42"/>
  <c r="P48" i="44" s="1"/>
  <c r="P8" i="42"/>
  <c r="P8" i="44" s="1"/>
  <c r="P30" i="42"/>
  <c r="P30" i="44" s="1"/>
  <c r="P43" i="42"/>
  <c r="P43" i="44" s="1"/>
  <c r="P18" i="42"/>
  <c r="P18" i="44" s="1"/>
  <c r="P61" i="42"/>
  <c r="P61" i="44" s="1"/>
  <c r="P63" i="42"/>
  <c r="P63" i="44" s="1"/>
  <c r="P60" i="42"/>
  <c r="P60" i="44" s="1"/>
  <c r="P52" i="42"/>
  <c r="P52" i="44" s="1"/>
  <c r="S36" i="42"/>
  <c r="S48" i="42"/>
  <c r="S61" i="42"/>
  <c r="S50" i="42"/>
  <c r="S34" i="42"/>
  <c r="S26" i="42"/>
  <c r="S18" i="42"/>
  <c r="S63" i="42"/>
  <c r="S55" i="42"/>
  <c r="S10" i="42"/>
  <c r="S37" i="42"/>
  <c r="S39" i="42"/>
  <c r="S8" i="42"/>
  <c r="S47" i="42"/>
  <c r="S19" i="42"/>
  <c r="S65" i="42"/>
  <c r="S43" i="42"/>
  <c r="S22" i="42"/>
  <c r="S11" i="42"/>
  <c r="S49" i="42"/>
  <c r="S23" i="42"/>
  <c r="S62" i="42"/>
  <c r="S32" i="42"/>
  <c r="S24" i="42"/>
  <c r="S16" i="42"/>
  <c r="S51" i="42"/>
  <c r="S33" i="42"/>
  <c r="S7" i="42"/>
  <c r="S29" i="42"/>
  <c r="S31" i="42"/>
  <c r="S56" i="42"/>
  <c r="S44" i="42"/>
  <c r="S5" i="42"/>
  <c r="S59" i="42"/>
  <c r="S40" i="42"/>
  <c r="S41" i="42"/>
  <c r="S57" i="42"/>
  <c r="S30" i="42"/>
  <c r="S14" i="42"/>
  <c r="S25" i="42"/>
  <c r="S21" i="42"/>
  <c r="S54" i="42"/>
  <c r="S58" i="42"/>
  <c r="S60" i="42"/>
  <c r="S35" i="42"/>
  <c r="S38" i="42"/>
  <c r="S45" i="42"/>
  <c r="S46" i="42"/>
  <c r="S28" i="42"/>
  <c r="S20" i="42"/>
  <c r="S6" i="42"/>
  <c r="S9" i="42"/>
  <c r="S17" i="42"/>
  <c r="S42" i="42"/>
  <c r="S13" i="42"/>
  <c r="S15" i="42"/>
  <c r="S52" i="42"/>
  <c r="S27" i="42"/>
  <c r="S53" i="42"/>
  <c r="S64" i="42"/>
  <c r="O8" i="59"/>
  <c r="O10" i="59"/>
  <c r="O6" i="59"/>
  <c r="C10" i="59"/>
  <c r="C6" i="59"/>
  <c r="C8" i="59"/>
  <c r="W8" i="59"/>
  <c r="W10" i="59"/>
  <c r="W6" i="59"/>
  <c r="M6" i="59"/>
  <c r="M8" i="59"/>
  <c r="M10" i="59"/>
  <c r="Z50" i="43"/>
  <c r="Y50" i="57" s="1"/>
  <c r="Y116" i="57" s="1"/>
  <c r="Z35" i="43"/>
  <c r="Y35" i="57" s="1"/>
  <c r="Y101" i="57" s="1"/>
  <c r="Z64" i="43"/>
  <c r="Y64" i="57" s="1"/>
  <c r="Y130" i="57" s="1"/>
  <c r="Z47" i="43"/>
  <c r="Y47" i="57" s="1"/>
  <c r="Y113" i="57" s="1"/>
  <c r="Z45" i="43"/>
  <c r="Z25" i="43"/>
  <c r="Y25" i="57" s="1"/>
  <c r="Y91" i="57" s="1"/>
  <c r="Z10" i="43"/>
  <c r="Y10" i="57" s="1"/>
  <c r="Y76" i="57" s="1"/>
  <c r="Z34" i="43"/>
  <c r="Y34" i="57" s="1"/>
  <c r="Y100" i="57" s="1"/>
  <c r="Z17" i="43"/>
  <c r="Y17" i="57" s="1"/>
  <c r="Y83" i="57" s="1"/>
  <c r="Z38" i="43"/>
  <c r="Y38" i="57" s="1"/>
  <c r="Y104" i="57" s="1"/>
  <c r="Z14" i="43"/>
  <c r="Z55" i="43"/>
  <c r="Z15" i="43"/>
  <c r="Z9" i="43"/>
  <c r="Y9" i="57" s="1"/>
  <c r="Y75" i="57" s="1"/>
  <c r="Z18" i="43"/>
  <c r="Y18" i="57" s="1"/>
  <c r="Y84" i="57" s="1"/>
  <c r="Z58" i="43"/>
  <c r="Y58" i="57" s="1"/>
  <c r="Y124" i="57" s="1"/>
  <c r="Z57" i="43"/>
  <c r="Y57" i="57" s="1"/>
  <c r="Y123" i="57" s="1"/>
  <c r="Z36" i="43"/>
  <c r="Y36" i="57" s="1"/>
  <c r="Y102" i="57" s="1"/>
  <c r="Z29" i="43"/>
  <c r="Z5" i="43"/>
  <c r="Z7" i="43"/>
  <c r="Y7" i="57" s="1"/>
  <c r="Y73" i="57" s="1"/>
  <c r="Z62" i="43"/>
  <c r="Y62" i="57" s="1"/>
  <c r="Y128" i="57" s="1"/>
  <c r="Z46" i="43"/>
  <c r="Z31" i="43"/>
  <c r="Y31" i="57" s="1"/>
  <c r="Y97" i="57" s="1"/>
  <c r="Z59" i="43"/>
  <c r="Z42" i="43"/>
  <c r="Y42" i="57" s="1"/>
  <c r="Y108" i="57" s="1"/>
  <c r="Z41" i="43"/>
  <c r="Z24" i="43"/>
  <c r="Y24" i="57" s="1"/>
  <c r="Y90" i="57" s="1"/>
  <c r="Z6" i="43"/>
  <c r="Y6" i="57" s="1"/>
  <c r="Y72" i="57" s="1"/>
  <c r="Z32" i="43"/>
  <c r="Y32" i="57" s="1"/>
  <c r="Y98" i="57" s="1"/>
  <c r="Z8" i="43"/>
  <c r="Y8" i="57" s="1"/>
  <c r="Y74" i="57" s="1"/>
  <c r="Z33" i="43"/>
  <c r="Y33" i="57" s="1"/>
  <c r="Y99" i="57" s="1"/>
  <c r="Z11" i="43"/>
  <c r="Y11" i="57" s="1"/>
  <c r="Y77" i="57" s="1"/>
  <c r="Z40" i="43"/>
  <c r="Y40" i="57" s="1"/>
  <c r="Y106" i="57" s="1"/>
  <c r="Z12" i="43"/>
  <c r="Z65" i="43"/>
  <c r="Y65" i="57" s="1"/>
  <c r="Y131" i="57" s="1"/>
  <c r="Z13" i="43"/>
  <c r="Y13" i="57" s="1"/>
  <c r="Y79" i="57" s="1"/>
  <c r="Z43" i="43"/>
  <c r="Y43" i="57" s="1"/>
  <c r="Y109" i="57" s="1"/>
  <c r="Z56" i="43"/>
  <c r="Y56" i="57" s="1"/>
  <c r="Y122" i="57" s="1"/>
  <c r="Z44" i="43"/>
  <c r="Y44" i="57" s="1"/>
  <c r="Y110" i="57" s="1"/>
  <c r="Z53" i="43"/>
  <c r="Y53" i="57" s="1"/>
  <c r="Y119" i="57" s="1"/>
  <c r="Z26" i="43"/>
  <c r="Z27" i="43"/>
  <c r="Y27" i="57" s="1"/>
  <c r="Y93" i="57" s="1"/>
  <c r="Z20" i="43"/>
  <c r="Y20" i="57" s="1"/>
  <c r="Y86" i="57" s="1"/>
  <c r="Z28" i="43"/>
  <c r="Y28" i="57" s="1"/>
  <c r="Y94" i="57" s="1"/>
  <c r="Z60" i="43"/>
  <c r="Y60" i="57" s="1"/>
  <c r="Y126" i="57" s="1"/>
  <c r="Z54" i="43"/>
  <c r="Z39" i="43"/>
  <c r="Z61" i="43"/>
  <c r="Y61" i="57" s="1"/>
  <c r="Y127" i="57" s="1"/>
  <c r="Z52" i="43"/>
  <c r="Y52" i="57" s="1"/>
  <c r="Y118" i="57" s="1"/>
  <c r="Z51" i="43"/>
  <c r="Y51" i="57" s="1"/>
  <c r="Y117" i="57" s="1"/>
  <c r="Z30" i="43"/>
  <c r="Y30" i="57" s="1"/>
  <c r="Y96" i="57" s="1"/>
  <c r="Z16" i="43"/>
  <c r="Z37" i="43"/>
  <c r="Y37" i="57" s="1"/>
  <c r="Y103" i="57" s="1"/>
  <c r="Z22" i="43"/>
  <c r="Y22" i="57" s="1"/>
  <c r="Y88" i="57" s="1"/>
  <c r="Z48" i="43"/>
  <c r="Y48" i="57" s="1"/>
  <c r="Y114" i="57" s="1"/>
  <c r="Z19" i="43"/>
  <c r="Y19" i="57" s="1"/>
  <c r="Y85" i="57" s="1"/>
  <c r="Z63" i="43"/>
  <c r="Z21" i="43"/>
  <c r="Y21" i="57" s="1"/>
  <c r="Y87" i="57" s="1"/>
  <c r="Z49" i="43"/>
  <c r="Y49" i="57" s="1"/>
  <c r="Y115" i="57" s="1"/>
  <c r="Z23" i="43"/>
  <c r="Y23" i="57" s="1"/>
  <c r="Y89" i="57" s="1"/>
  <c r="F8" i="59"/>
  <c r="Y14" i="57"/>
  <c r="Y80" i="57" s="1"/>
  <c r="Y55" i="57"/>
  <c r="Y121" i="57" s="1"/>
  <c r="Y26" i="57"/>
  <c r="Y92" i="57" s="1"/>
  <c r="Y41" i="57"/>
  <c r="Y107" i="57" s="1"/>
  <c r="Y39" i="57"/>
  <c r="Y105" i="57" s="1"/>
  <c r="Y12" i="57"/>
  <c r="Y78" i="57" s="1"/>
  <c r="Y59" i="57"/>
  <c r="Y125" i="57" s="1"/>
  <c r="Y15" i="57"/>
  <c r="Y81" i="57" s="1"/>
  <c r="Y16" i="57"/>
  <c r="Y82" i="57" s="1"/>
  <c r="Y54" i="57"/>
  <c r="Y120" i="57" s="1"/>
  <c r="Y63" i="57"/>
  <c r="Y129" i="57" s="1"/>
  <c r="Y46" i="57"/>
  <c r="Y112" i="57" s="1"/>
  <c r="Y29" i="57"/>
  <c r="Y95" i="57" s="1"/>
  <c r="Y45" i="57"/>
  <c r="Y111" i="57" s="1"/>
  <c r="M64" i="42"/>
  <c r="M19" i="42"/>
  <c r="M6" i="42"/>
  <c r="M22" i="42"/>
  <c r="M10" i="42"/>
  <c r="M35" i="42"/>
  <c r="M35" i="44" s="1"/>
  <c r="W42" i="42"/>
  <c r="W42" i="44" s="1"/>
  <c r="W50" i="42"/>
  <c r="W50" i="44" s="1"/>
  <c r="W28" i="42"/>
  <c r="W28" i="44" s="1"/>
  <c r="W20" i="42"/>
  <c r="W20" i="44" s="1"/>
  <c r="W6" i="42"/>
  <c r="W6" i="44" s="1"/>
  <c r="W31" i="42"/>
  <c r="W31" i="44" s="1"/>
  <c r="W57" i="42"/>
  <c r="W57" i="44" s="1"/>
  <c r="W41" i="42"/>
  <c r="W41" i="44" s="1"/>
  <c r="W49" i="42"/>
  <c r="W49" i="44" s="1"/>
  <c r="W13" i="42"/>
  <c r="W13" i="44" s="1"/>
  <c r="W25" i="42"/>
  <c r="W25" i="44" s="1"/>
  <c r="W61" i="42"/>
  <c r="W61" i="44" s="1"/>
  <c r="W43" i="42"/>
  <c r="W43" i="44" s="1"/>
  <c r="W59" i="42"/>
  <c r="W59" i="44" s="1"/>
  <c r="W64" i="42"/>
  <c r="W64" i="44" s="1"/>
  <c r="W45" i="42"/>
  <c r="W45" i="44" s="1"/>
  <c r="W32" i="42"/>
  <c r="W32" i="44" s="1"/>
  <c r="W16" i="42"/>
  <c r="W16" i="44" s="1"/>
  <c r="W47" i="42"/>
  <c r="W47" i="44" s="1"/>
  <c r="W46" i="42"/>
  <c r="W46" i="44" s="1"/>
  <c r="W11" i="42"/>
  <c r="W11" i="44" s="1"/>
  <c r="W55" i="42"/>
  <c r="W55" i="44" s="1"/>
  <c r="W63" i="42"/>
  <c r="W63" i="44" s="1"/>
  <c r="W10" i="42"/>
  <c r="W10" i="44" s="1"/>
  <c r="W34" i="42"/>
  <c r="W34" i="44" s="1"/>
  <c r="W26" i="42"/>
  <c r="W26" i="44" s="1"/>
  <c r="W18" i="42"/>
  <c r="W18" i="44" s="1"/>
  <c r="W65" i="42"/>
  <c r="W65" i="44" s="1"/>
  <c r="W23" i="42"/>
  <c r="W23" i="44" s="1"/>
  <c r="W53" i="42"/>
  <c r="W53" i="44" s="1"/>
  <c r="W35" i="42"/>
  <c r="W35" i="44" s="1"/>
  <c r="W37" i="42"/>
  <c r="W37" i="44" s="1"/>
  <c r="W51" i="42"/>
  <c r="W51" i="44" s="1"/>
  <c r="W17" i="42"/>
  <c r="W17" i="44" s="1"/>
  <c r="W38" i="42"/>
  <c r="W38" i="44" s="1"/>
  <c r="W58" i="42"/>
  <c r="W58" i="44" s="1"/>
  <c r="W36" i="42"/>
  <c r="W36" i="44" s="1"/>
  <c r="W24" i="42"/>
  <c r="W24" i="44" s="1"/>
  <c r="W15" i="42"/>
  <c r="W15" i="44" s="1"/>
  <c r="W29" i="42"/>
  <c r="W29" i="44" s="1"/>
  <c r="W54" i="42"/>
  <c r="W54" i="44" s="1"/>
  <c r="W8" i="42"/>
  <c r="W8" i="44" s="1"/>
  <c r="W62" i="42"/>
  <c r="W62" i="44" s="1"/>
  <c r="W27" i="42"/>
  <c r="W27" i="44" s="1"/>
  <c r="W40" i="42"/>
  <c r="W40" i="44" s="1"/>
  <c r="W52" i="42"/>
  <c r="W52" i="44" s="1"/>
  <c r="W5" i="42"/>
  <c r="W30" i="42"/>
  <c r="W30" i="44" s="1"/>
  <c r="W22" i="42"/>
  <c r="W22" i="44" s="1"/>
  <c r="W14" i="42"/>
  <c r="W14" i="44" s="1"/>
  <c r="W39" i="42"/>
  <c r="W39" i="44" s="1"/>
  <c r="W9" i="42"/>
  <c r="W9" i="44" s="1"/>
  <c r="W44" i="42"/>
  <c r="W44" i="44" s="1"/>
  <c r="W19" i="42"/>
  <c r="W19" i="44" s="1"/>
  <c r="W21" i="42"/>
  <c r="W21" i="44" s="1"/>
  <c r="W33" i="42"/>
  <c r="W33" i="44" s="1"/>
  <c r="W7" i="42"/>
  <c r="W7" i="44" s="1"/>
  <c r="W56" i="42"/>
  <c r="W56" i="44" s="1"/>
  <c r="W60" i="42"/>
  <c r="W60" i="44" s="1"/>
  <c r="W48" i="42"/>
  <c r="W48" i="44" s="1"/>
  <c r="U41" i="42"/>
  <c r="U41" i="44" s="1"/>
  <c r="U60" i="42"/>
  <c r="U60" i="44" s="1"/>
  <c r="U33" i="42"/>
  <c r="U33" i="44" s="1"/>
  <c r="U25" i="42"/>
  <c r="U17" i="42"/>
  <c r="U17" i="44" s="1"/>
  <c r="U48" i="42"/>
  <c r="U48" i="44" s="1"/>
  <c r="U52" i="42"/>
  <c r="U52" i="44" s="1"/>
  <c r="U16" i="42"/>
  <c r="U16" i="44" s="1"/>
  <c r="U34" i="42"/>
  <c r="U34" i="44" s="1"/>
  <c r="U45" i="42"/>
  <c r="U45" i="44" s="1"/>
  <c r="U14" i="42"/>
  <c r="U14" i="44" s="1"/>
  <c r="U49" i="42"/>
  <c r="U53" i="42"/>
  <c r="U53" i="44" s="1"/>
  <c r="U36" i="42"/>
  <c r="U36" i="44" s="1"/>
  <c r="U56" i="42"/>
  <c r="U29" i="42"/>
  <c r="U29" i="44" s="1"/>
  <c r="U20" i="42"/>
  <c r="U20" i="44" s="1"/>
  <c r="U18" i="42"/>
  <c r="U18" i="44" s="1"/>
  <c r="U42" i="42"/>
  <c r="U42" i="44" s="1"/>
  <c r="U54" i="42"/>
  <c r="U54" i="44" s="1"/>
  <c r="U44" i="42"/>
  <c r="U31" i="42"/>
  <c r="U31" i="44" s="1"/>
  <c r="U23" i="42"/>
  <c r="U23" i="44" s="1"/>
  <c r="U15" i="42"/>
  <c r="U28" i="42"/>
  <c r="U40" i="42"/>
  <c r="U40" i="44" s="1"/>
  <c r="U6" i="42"/>
  <c r="U6" i="44" s="1"/>
  <c r="U26" i="42"/>
  <c r="U26" i="44" s="1"/>
  <c r="U38" i="42"/>
  <c r="U38" i="44" s="1"/>
  <c r="U10" i="42"/>
  <c r="U10" i="44" s="1"/>
  <c r="U62" i="42"/>
  <c r="U37" i="42"/>
  <c r="U37" i="44" s="1"/>
  <c r="U51" i="42"/>
  <c r="U51" i="44" s="1"/>
  <c r="U64" i="42"/>
  <c r="U64" i="44" s="1"/>
  <c r="U55" i="42"/>
  <c r="U55" i="44" s="1"/>
  <c r="U39" i="42"/>
  <c r="U39" i="44" s="1"/>
  <c r="U13" i="42"/>
  <c r="U13" i="44" s="1"/>
  <c r="U32" i="42"/>
  <c r="U32" i="44" s="1"/>
  <c r="U30" i="42"/>
  <c r="U30" i="44" s="1"/>
  <c r="U59" i="42"/>
  <c r="U59" i="44" s="1"/>
  <c r="U61" i="42"/>
  <c r="U61" i="44" s="1"/>
  <c r="U11" i="42"/>
  <c r="U11" i="44" s="1"/>
  <c r="U21" i="42"/>
  <c r="U5" i="42"/>
  <c r="U65" i="42"/>
  <c r="U57" i="42"/>
  <c r="U57" i="44" s="1"/>
  <c r="U9" i="42"/>
  <c r="U9" i="44" s="1"/>
  <c r="U35" i="42"/>
  <c r="U35" i="44" s="1"/>
  <c r="U27" i="42"/>
  <c r="U27" i="44" s="1"/>
  <c r="U19" i="42"/>
  <c r="U19" i="44" s="1"/>
  <c r="U7" i="42"/>
  <c r="U7" i="44" s="1"/>
  <c r="U8" i="42"/>
  <c r="U8" i="44" s="1"/>
  <c r="U24" i="42"/>
  <c r="U24" i="44" s="1"/>
  <c r="U43" i="42"/>
  <c r="U43" i="44" s="1"/>
  <c r="U50" i="42"/>
  <c r="U50" i="44" s="1"/>
  <c r="U22" i="42"/>
  <c r="U22" i="44" s="1"/>
  <c r="U63" i="42"/>
  <c r="U63" i="44" s="1"/>
  <c r="U47" i="42"/>
  <c r="U47" i="44" s="1"/>
  <c r="U58" i="42"/>
  <c r="U58" i="44" s="1"/>
  <c r="U46" i="42"/>
  <c r="U46" i="44" s="1"/>
  <c r="D8" i="59"/>
  <c r="D6" i="59"/>
  <c r="D10" i="59"/>
  <c r="S8" i="59"/>
  <c r="S6" i="59"/>
  <c r="S10" i="59"/>
  <c r="Q8" i="59"/>
  <c r="Q10" i="59"/>
  <c r="Q6" i="59"/>
  <c r="L10" i="59"/>
  <c r="L6" i="59"/>
  <c r="L8" i="59"/>
  <c r="K8" i="59"/>
  <c r="K10" i="59"/>
  <c r="K6" i="59"/>
  <c r="AA65" i="43"/>
  <c r="Z65" i="57" s="1"/>
  <c r="Z131" i="57" s="1"/>
  <c r="AA49" i="43"/>
  <c r="Z49" i="57" s="1"/>
  <c r="Z115" i="57" s="1"/>
  <c r="AA34" i="43"/>
  <c r="Z34" i="57" s="1"/>
  <c r="Z100" i="57" s="1"/>
  <c r="AA56" i="43"/>
  <c r="Z56" i="57" s="1"/>
  <c r="Z122" i="57" s="1"/>
  <c r="AA63" i="43"/>
  <c r="Z63" i="57" s="1"/>
  <c r="Z129" i="57" s="1"/>
  <c r="AA35" i="43"/>
  <c r="Z35" i="57" s="1"/>
  <c r="Z101" i="57" s="1"/>
  <c r="AA15" i="43"/>
  <c r="Z15" i="57" s="1"/>
  <c r="Z81" i="57" s="1"/>
  <c r="AA59" i="43"/>
  <c r="Z59" i="57" s="1"/>
  <c r="Z125" i="57" s="1"/>
  <c r="AA16" i="43"/>
  <c r="Z16" i="57" s="1"/>
  <c r="Z82" i="57" s="1"/>
  <c r="AA58" i="43"/>
  <c r="Z58" i="57" s="1"/>
  <c r="Z124" i="57" s="1"/>
  <c r="AA18" i="43"/>
  <c r="Z18" i="57" s="1"/>
  <c r="Z84" i="57" s="1"/>
  <c r="AA36" i="43"/>
  <c r="Z36" i="57" s="1"/>
  <c r="Z102" i="57" s="1"/>
  <c r="AA20" i="43"/>
  <c r="Z20" i="57" s="1"/>
  <c r="Z86" i="57" s="1"/>
  <c r="AA54" i="43"/>
  <c r="Z54" i="57" s="1"/>
  <c r="Z120" i="57" s="1"/>
  <c r="AA32" i="43"/>
  <c r="Z32" i="57" s="1"/>
  <c r="Z98" i="57" s="1"/>
  <c r="AA8" i="43"/>
  <c r="Z8" i="57" s="1"/>
  <c r="Z74" i="57" s="1"/>
  <c r="AA57" i="43"/>
  <c r="Z57" i="57" s="1"/>
  <c r="Z123" i="57" s="1"/>
  <c r="AA26" i="43"/>
  <c r="Z26" i="57" s="1"/>
  <c r="Z92" i="57" s="1"/>
  <c r="AA46" i="43"/>
  <c r="Z46" i="57" s="1"/>
  <c r="Z112" i="57" s="1"/>
  <c r="AA23" i="43"/>
  <c r="Z23" i="57" s="1"/>
  <c r="Z89" i="57" s="1"/>
  <c r="AA5" i="43"/>
  <c r="Z5" i="57" s="1"/>
  <c r="Z71" i="57" s="1"/>
  <c r="AA7" i="43"/>
  <c r="Z7" i="57" s="1"/>
  <c r="Z73" i="57" s="1"/>
  <c r="AA25" i="43"/>
  <c r="Z25" i="57" s="1"/>
  <c r="Z91" i="57" s="1"/>
  <c r="AA10" i="43"/>
  <c r="Z10" i="57" s="1"/>
  <c r="Z76" i="57" s="1"/>
  <c r="AA11" i="43"/>
  <c r="Z11" i="57" s="1"/>
  <c r="Z77" i="57" s="1"/>
  <c r="AA39" i="43"/>
  <c r="Z39" i="57" s="1"/>
  <c r="Z105" i="57" s="1"/>
  <c r="AA61" i="43"/>
  <c r="Z61" i="57" s="1"/>
  <c r="Z127" i="57" s="1"/>
  <c r="AA45" i="43"/>
  <c r="Z45" i="57" s="1"/>
  <c r="Z111" i="57" s="1"/>
  <c r="AA30" i="43"/>
  <c r="Z30" i="57" s="1"/>
  <c r="Z96" i="57" s="1"/>
  <c r="AA51" i="43"/>
  <c r="Z51" i="57" s="1"/>
  <c r="Z117" i="57" s="1"/>
  <c r="AA55" i="43"/>
  <c r="Z55" i="57" s="1"/>
  <c r="Z121" i="57" s="1"/>
  <c r="AA29" i="43"/>
  <c r="Z29" i="57" s="1"/>
  <c r="Z95" i="57" s="1"/>
  <c r="AA9" i="43"/>
  <c r="Z9" i="57" s="1"/>
  <c r="Z75" i="57" s="1"/>
  <c r="AA52" i="43"/>
  <c r="Z52" i="57" s="1"/>
  <c r="Z118" i="57" s="1"/>
  <c r="AA12" i="43"/>
  <c r="Z12" i="57" s="1"/>
  <c r="Z78" i="57" s="1"/>
  <c r="AA43" i="43"/>
  <c r="Z43" i="57" s="1"/>
  <c r="Z109" i="57" s="1"/>
  <c r="AA13" i="43"/>
  <c r="Z13" i="57" s="1"/>
  <c r="Z79" i="57" s="1"/>
  <c r="AA33" i="43"/>
  <c r="Z33" i="57" s="1"/>
  <c r="Z99" i="57" s="1"/>
  <c r="AA14" i="43"/>
  <c r="Z14" i="57" s="1"/>
  <c r="Z80" i="57" s="1"/>
  <c r="AA44" i="43"/>
  <c r="Z44" i="57" s="1"/>
  <c r="Z110" i="57" s="1"/>
  <c r="AA27" i="43"/>
  <c r="Z27" i="57" s="1"/>
  <c r="Z93" i="57" s="1"/>
  <c r="AA42" i="43"/>
  <c r="Z42" i="57" s="1"/>
  <c r="Z108" i="57" s="1"/>
  <c r="AA50" i="43"/>
  <c r="Z50" i="57" s="1"/>
  <c r="Z116" i="57" s="1"/>
  <c r="AA47" i="43"/>
  <c r="Z47" i="57" s="1"/>
  <c r="Z113" i="57" s="1"/>
  <c r="AA31" i="43"/>
  <c r="Z31" i="57" s="1"/>
  <c r="Z97" i="57" s="1"/>
  <c r="AA22" i="43"/>
  <c r="Z22" i="57" s="1"/>
  <c r="Z88" i="57" s="1"/>
  <c r="AA53" i="43"/>
  <c r="Z53" i="57" s="1"/>
  <c r="Z119" i="57" s="1"/>
  <c r="AA38" i="43"/>
  <c r="Z38" i="57" s="1"/>
  <c r="Z104" i="57" s="1"/>
  <c r="AA60" i="43"/>
  <c r="Z60" i="57" s="1"/>
  <c r="Z126" i="57" s="1"/>
  <c r="AA41" i="43"/>
  <c r="Z41" i="57" s="1"/>
  <c r="Z107" i="57" s="1"/>
  <c r="AA40" i="43"/>
  <c r="Z40" i="57" s="1"/>
  <c r="Z106" i="57" s="1"/>
  <c r="AA19" i="43"/>
  <c r="Z19" i="57" s="1"/>
  <c r="Z85" i="57" s="1"/>
  <c r="AA64" i="43"/>
  <c r="Z64" i="57" s="1"/>
  <c r="Z130" i="57" s="1"/>
  <c r="AA21" i="43"/>
  <c r="Z21" i="57" s="1"/>
  <c r="Z87" i="57" s="1"/>
  <c r="AA62" i="43"/>
  <c r="Z62" i="57" s="1"/>
  <c r="Z128" i="57" s="1"/>
  <c r="AA24" i="43"/>
  <c r="Z24" i="57" s="1"/>
  <c r="Z90" i="57" s="1"/>
  <c r="AA48" i="43"/>
  <c r="Z48" i="57" s="1"/>
  <c r="Z114" i="57" s="1"/>
  <c r="AA28" i="43"/>
  <c r="Z28" i="57" s="1"/>
  <c r="Z94" i="57" s="1"/>
  <c r="AA6" i="43"/>
  <c r="Z6" i="57" s="1"/>
  <c r="Z72" i="57" s="1"/>
  <c r="AA37" i="43"/>
  <c r="Z37" i="57" s="1"/>
  <c r="Z103" i="57" s="1"/>
  <c r="AA17" i="43"/>
  <c r="Z17" i="57" s="1"/>
  <c r="Z83" i="57" s="1"/>
  <c r="U6" i="59"/>
  <c r="O34" i="58"/>
  <c r="O79" i="58" s="1"/>
  <c r="O21" i="58"/>
  <c r="O66" i="58" s="1"/>
  <c r="M5" i="58"/>
  <c r="M50" i="58" s="1"/>
  <c r="M31" i="58"/>
  <c r="M76" i="58" s="1"/>
  <c r="M32" i="58"/>
  <c r="M77" i="58" s="1"/>
  <c r="M23" i="58"/>
  <c r="M68" i="58" s="1"/>
  <c r="M11" i="58"/>
  <c r="M56" i="58" s="1"/>
  <c r="M38" i="58"/>
  <c r="M83" i="58" s="1"/>
  <c r="M44" i="58"/>
  <c r="M89" i="58" s="1"/>
  <c r="M19" i="58"/>
  <c r="M64" i="58" s="1"/>
  <c r="M24" i="58"/>
  <c r="M69" i="58" s="1"/>
  <c r="M27" i="58"/>
  <c r="M72" i="58" s="1"/>
  <c r="O9" i="58"/>
  <c r="O54" i="58" s="1"/>
  <c r="O10" i="58"/>
  <c r="O55" i="58" s="1"/>
  <c r="O11" i="58"/>
  <c r="O56" i="58" s="1"/>
  <c r="O20" i="58"/>
  <c r="O65" i="58" s="1"/>
  <c r="O40" i="58"/>
  <c r="O85" i="58" s="1"/>
  <c r="O35" i="58"/>
  <c r="O80" i="58" s="1"/>
  <c r="M12" i="58"/>
  <c r="M57" i="58" s="1"/>
  <c r="M42" i="58"/>
  <c r="M87" i="58" s="1"/>
  <c r="M28" i="58"/>
  <c r="M73" i="58" s="1"/>
  <c r="M20" i="58"/>
  <c r="M65" i="58" s="1"/>
  <c r="O8" i="58"/>
  <c r="O53" i="58" s="1"/>
  <c r="O22" i="58"/>
  <c r="O67" i="58" s="1"/>
  <c r="O36" i="58"/>
  <c r="O81" i="58" s="1"/>
  <c r="O38" i="58"/>
  <c r="O83" i="58" s="1"/>
  <c r="O33" i="58"/>
  <c r="O78" i="58" s="1"/>
  <c r="O29" i="58"/>
  <c r="O74" i="58" s="1"/>
  <c r="O23" i="58"/>
  <c r="O68" i="58" s="1"/>
  <c r="O32" i="58"/>
  <c r="O77" i="58" s="1"/>
  <c r="E9" i="60"/>
  <c r="E15" i="60" s="1"/>
  <c r="E11" i="60"/>
  <c r="O30" i="58"/>
  <c r="O75" i="58" s="1"/>
  <c r="M35" i="47"/>
  <c r="M35" i="48"/>
  <c r="M40" i="47"/>
  <c r="M40" i="58" s="1"/>
  <c r="M85" i="58" s="1"/>
  <c r="M40" i="48"/>
  <c r="M26" i="48"/>
  <c r="M26" i="47"/>
  <c r="M26" i="58" s="1"/>
  <c r="M71" i="58" s="1"/>
  <c r="M65" i="44"/>
  <c r="M60" i="44"/>
  <c r="P33" i="47"/>
  <c r="P33" i="58" s="1"/>
  <c r="P78" i="58" s="1"/>
  <c r="P33" i="48"/>
  <c r="P20" i="47"/>
  <c r="P20" i="58" s="1"/>
  <c r="P65" i="58" s="1"/>
  <c r="P20" i="48"/>
  <c r="P36" i="47"/>
  <c r="P36" i="58" s="1"/>
  <c r="P81" i="58" s="1"/>
  <c r="P36" i="48"/>
  <c r="P18" i="47"/>
  <c r="P18" i="58" s="1"/>
  <c r="P63" i="58" s="1"/>
  <c r="P18" i="48"/>
  <c r="V24" i="47"/>
  <c r="T24" i="58" s="1"/>
  <c r="T69" i="58" s="1"/>
  <c r="V24" i="48"/>
  <c r="V22" i="47"/>
  <c r="T22" i="58" s="1"/>
  <c r="T67" i="58" s="1"/>
  <c r="V22" i="48"/>
  <c r="V26" i="47"/>
  <c r="T26" i="58" s="1"/>
  <c r="T71" i="58" s="1"/>
  <c r="V26" i="48"/>
  <c r="V37" i="47"/>
  <c r="T37" i="58" s="1"/>
  <c r="T82" i="58" s="1"/>
  <c r="V37" i="48"/>
  <c r="V43" i="47"/>
  <c r="T43" i="58" s="1"/>
  <c r="T88" i="58" s="1"/>
  <c r="V43" i="48"/>
  <c r="W19" i="46"/>
  <c r="U19" i="47"/>
  <c r="S19" i="58" s="1"/>
  <c r="S64" i="58" s="1"/>
  <c r="U19" i="48"/>
  <c r="W43" i="46"/>
  <c r="U43" i="47"/>
  <c r="U43" i="48"/>
  <c r="W41" i="46"/>
  <c r="U41" i="47"/>
  <c r="S41" i="58" s="1"/>
  <c r="S86" i="58" s="1"/>
  <c r="U41" i="48"/>
  <c r="U18" i="47"/>
  <c r="S18" i="58" s="1"/>
  <c r="S63" i="58" s="1"/>
  <c r="U18" i="48"/>
  <c r="U16" i="47"/>
  <c r="S16" i="58" s="1"/>
  <c r="S61" i="58" s="1"/>
  <c r="U16" i="48"/>
  <c r="S31" i="46"/>
  <c r="R31" i="47"/>
  <c r="S31" i="47" s="1"/>
  <c r="R31" i="48"/>
  <c r="S31" i="48" s="1"/>
  <c r="S41" i="46"/>
  <c r="R41" i="47"/>
  <c r="S41" i="47" s="1"/>
  <c r="R41" i="48"/>
  <c r="S41" i="48" s="1"/>
  <c r="S43" i="46"/>
  <c r="R43" i="47"/>
  <c r="S43" i="47" s="1"/>
  <c r="R43" i="48"/>
  <c r="S43" i="48" s="1"/>
  <c r="S33" i="46"/>
  <c r="R33" i="47"/>
  <c r="S33" i="47" s="1"/>
  <c r="R33" i="48"/>
  <c r="S33" i="48" s="1"/>
  <c r="S10" i="46"/>
  <c r="R10" i="47"/>
  <c r="S10" i="47" s="1"/>
  <c r="R10" i="48"/>
  <c r="S10" i="48" s="1"/>
  <c r="AA40" i="46"/>
  <c r="Z40" i="47"/>
  <c r="AA40" i="47" s="1"/>
  <c r="Z40" i="48"/>
  <c r="AA40" i="48" s="1"/>
  <c r="AA32" i="46"/>
  <c r="Z32" i="47"/>
  <c r="AA32" i="47" s="1"/>
  <c r="Z32" i="48"/>
  <c r="AA32" i="48" s="1"/>
  <c r="Z14" i="47"/>
  <c r="AA14" i="47" s="1"/>
  <c r="AA14" i="46"/>
  <c r="Z14" i="48"/>
  <c r="AA14" i="48" s="1"/>
  <c r="AA34" i="46"/>
  <c r="Z34" i="47"/>
  <c r="AA34" i="47" s="1"/>
  <c r="Z34" i="48"/>
  <c r="AA34" i="48" s="1"/>
  <c r="Z10" i="47"/>
  <c r="AA10" i="47" s="1"/>
  <c r="AA10" i="46"/>
  <c r="Z10" i="48"/>
  <c r="AA10" i="48" s="1"/>
  <c r="N37" i="47"/>
  <c r="N37" i="48"/>
  <c r="N15" i="47"/>
  <c r="N15" i="48"/>
  <c r="N21" i="47"/>
  <c r="N21" i="48"/>
  <c r="N33" i="47"/>
  <c r="N33" i="48"/>
  <c r="N35" i="47"/>
  <c r="N35" i="48"/>
  <c r="Q61" i="44"/>
  <c r="Q52" i="44"/>
  <c r="Q16" i="44"/>
  <c r="Q41" i="44"/>
  <c r="Q51" i="44"/>
  <c r="Q8" i="44"/>
  <c r="Q21" i="44"/>
  <c r="M46" i="48"/>
  <c r="M56" i="44"/>
  <c r="M8" i="44"/>
  <c r="M27" i="44"/>
  <c r="M24" i="44"/>
  <c r="T34" i="47"/>
  <c r="T34" i="48"/>
  <c r="W34" i="46"/>
  <c r="T30" i="47"/>
  <c r="R30" i="58" s="1"/>
  <c r="R75" i="58" s="1"/>
  <c r="T30" i="48"/>
  <c r="W30" i="46"/>
  <c r="T22" i="47"/>
  <c r="R22" i="58" s="1"/>
  <c r="R67" i="58" s="1"/>
  <c r="W22" i="46"/>
  <c r="T22" i="48"/>
  <c r="T10" i="47"/>
  <c r="R10" i="58" s="1"/>
  <c r="R55" i="58" s="1"/>
  <c r="T10" i="48"/>
  <c r="T35" i="47"/>
  <c r="R35" i="58" s="1"/>
  <c r="R80" i="58" s="1"/>
  <c r="T35" i="48"/>
  <c r="T9" i="48"/>
  <c r="T9" i="47"/>
  <c r="L49" i="48"/>
  <c r="L49" i="47"/>
  <c r="L51" i="47" s="1"/>
  <c r="L49" i="46"/>
  <c r="L49" i="45"/>
  <c r="O46" i="47"/>
  <c r="M25" i="44"/>
  <c r="P17" i="47"/>
  <c r="P17" i="58" s="1"/>
  <c r="P62" i="58" s="1"/>
  <c r="P17" i="48"/>
  <c r="P32" i="47"/>
  <c r="P32" i="58" s="1"/>
  <c r="P77" i="58" s="1"/>
  <c r="P32" i="48"/>
  <c r="P42" i="47"/>
  <c r="P42" i="58" s="1"/>
  <c r="P87" i="58" s="1"/>
  <c r="P42" i="48"/>
  <c r="P16" i="47"/>
  <c r="P16" i="58" s="1"/>
  <c r="P61" i="58" s="1"/>
  <c r="P16" i="48"/>
  <c r="P43" i="47"/>
  <c r="P43" i="58" s="1"/>
  <c r="P88" i="58" s="1"/>
  <c r="P43" i="48"/>
  <c r="V30" i="47"/>
  <c r="T30" i="58" s="1"/>
  <c r="T75" i="58" s="1"/>
  <c r="V30" i="48"/>
  <c r="W15" i="46"/>
  <c r="V15" i="47"/>
  <c r="V15" i="48"/>
  <c r="V19" i="47"/>
  <c r="V19" i="48"/>
  <c r="W9" i="46"/>
  <c r="V9" i="47"/>
  <c r="T9" i="58" s="1"/>
  <c r="T54" i="58" s="1"/>
  <c r="V9" i="48"/>
  <c r="W10" i="46"/>
  <c r="V10" i="47"/>
  <c r="V10" i="48"/>
  <c r="W20" i="46"/>
  <c r="U20" i="47"/>
  <c r="U20" i="48"/>
  <c r="U30" i="47"/>
  <c r="U30" i="48"/>
  <c r="W44" i="46"/>
  <c r="U44" i="47"/>
  <c r="S44" i="58" s="1"/>
  <c r="S89" i="58" s="1"/>
  <c r="U44" i="48"/>
  <c r="U9" i="47"/>
  <c r="S9" i="58" s="1"/>
  <c r="S54" i="58" s="1"/>
  <c r="U9" i="48"/>
  <c r="U5" i="47"/>
  <c r="U46" i="46"/>
  <c r="U5" i="48"/>
  <c r="S35" i="46"/>
  <c r="R35" i="47"/>
  <c r="S35" i="47" s="1"/>
  <c r="R35" i="48"/>
  <c r="S35" i="48" s="1"/>
  <c r="S20" i="46"/>
  <c r="R20" i="47"/>
  <c r="S20" i="47" s="1"/>
  <c r="R20" i="48"/>
  <c r="S20" i="48" s="1"/>
  <c r="S36" i="46"/>
  <c r="R36" i="47"/>
  <c r="S36" i="47" s="1"/>
  <c r="R36" i="48"/>
  <c r="S36" i="48" s="1"/>
  <c r="S29" i="46"/>
  <c r="R29" i="47"/>
  <c r="S29" i="47" s="1"/>
  <c r="R29" i="48"/>
  <c r="S29" i="48" s="1"/>
  <c r="S11" i="46"/>
  <c r="R11" i="47"/>
  <c r="S11" i="47" s="1"/>
  <c r="R11" i="48"/>
  <c r="S11" i="48" s="1"/>
  <c r="M44" i="44"/>
  <c r="AA26" i="46"/>
  <c r="Z26" i="47"/>
  <c r="AA26" i="47" s="1"/>
  <c r="Z26" i="48"/>
  <c r="AA26" i="48" s="1"/>
  <c r="Z31" i="47"/>
  <c r="AA31" i="47" s="1"/>
  <c r="AA31" i="46"/>
  <c r="Z31" i="48"/>
  <c r="AA31" i="48" s="1"/>
  <c r="AA44" i="46"/>
  <c r="Z44" i="47"/>
  <c r="AA44" i="47" s="1"/>
  <c r="Z44" i="48"/>
  <c r="AA44" i="48" s="1"/>
  <c r="Z27" i="47"/>
  <c r="AA27" i="47" s="1"/>
  <c r="AA27" i="46"/>
  <c r="Z27" i="48"/>
  <c r="AA27" i="48" s="1"/>
  <c r="AA18" i="46"/>
  <c r="Z18" i="47"/>
  <c r="AA18" i="47" s="1"/>
  <c r="Z18" i="48"/>
  <c r="AA18" i="48" s="1"/>
  <c r="N40" i="47"/>
  <c r="N40" i="48"/>
  <c r="N34" i="47"/>
  <c r="N34" i="48"/>
  <c r="N6" i="48"/>
  <c r="N6" i="47"/>
  <c r="N6" i="58" s="1"/>
  <c r="N51" i="58" s="1"/>
  <c r="N39" i="47"/>
  <c r="N39" i="48"/>
  <c r="N43" i="47"/>
  <c r="N43" i="48"/>
  <c r="Q57" i="44"/>
  <c r="Q60" i="44"/>
  <c r="Q20" i="44"/>
  <c r="Q34" i="44"/>
  <c r="Q10" i="44"/>
  <c r="Q37" i="44"/>
  <c r="M46" i="47"/>
  <c r="M21" i="44"/>
  <c r="M18" i="44"/>
  <c r="T31" i="47"/>
  <c r="T31" i="48"/>
  <c r="T19" i="47"/>
  <c r="W19" i="47" s="1"/>
  <c r="T19" i="48"/>
  <c r="W19" i="48" s="1"/>
  <c r="T25" i="47"/>
  <c r="T25" i="48"/>
  <c r="T36" i="47"/>
  <c r="T36" i="48"/>
  <c r="T29" i="47"/>
  <c r="T29" i="48"/>
  <c r="T41" i="47"/>
  <c r="T41" i="48"/>
  <c r="T23" i="47"/>
  <c r="T23" i="48"/>
  <c r="T6" i="47"/>
  <c r="T6" i="48"/>
  <c r="T12" i="47"/>
  <c r="T12" i="48"/>
  <c r="T11" i="47"/>
  <c r="T11" i="48"/>
  <c r="L48" i="48"/>
  <c r="L48" i="47"/>
  <c r="L48" i="45"/>
  <c r="L48" i="46"/>
  <c r="L51" i="46" s="1"/>
  <c r="M58" i="44"/>
  <c r="M50" i="44"/>
  <c r="M32" i="44"/>
  <c r="P21" i="47"/>
  <c r="P21" i="58" s="1"/>
  <c r="P66" i="58" s="1"/>
  <c r="P21" i="48"/>
  <c r="P23" i="47"/>
  <c r="P23" i="58" s="1"/>
  <c r="P68" i="58" s="1"/>
  <c r="P23" i="48"/>
  <c r="P34" i="47"/>
  <c r="P34" i="58" s="1"/>
  <c r="P79" i="58" s="1"/>
  <c r="P34" i="48"/>
  <c r="P41" i="47"/>
  <c r="P41" i="58" s="1"/>
  <c r="P86" i="58" s="1"/>
  <c r="P41" i="48"/>
  <c r="P22" i="47"/>
  <c r="P22" i="58" s="1"/>
  <c r="P67" i="58" s="1"/>
  <c r="P22" i="48"/>
  <c r="P8" i="47"/>
  <c r="P8" i="58" s="1"/>
  <c r="P53" i="58" s="1"/>
  <c r="P8" i="48"/>
  <c r="P31" i="47"/>
  <c r="P31" i="58" s="1"/>
  <c r="P76" i="58" s="1"/>
  <c r="P31" i="48"/>
  <c r="P24" i="47"/>
  <c r="P24" i="58" s="1"/>
  <c r="P69" i="58" s="1"/>
  <c r="P24" i="48"/>
  <c r="P5" i="47"/>
  <c r="P46" i="46"/>
  <c r="P5" i="48"/>
  <c r="P10" i="47"/>
  <c r="P10" i="48"/>
  <c r="V29" i="47"/>
  <c r="V29" i="48"/>
  <c r="V20" i="47"/>
  <c r="V20" i="48"/>
  <c r="W14" i="46"/>
  <c r="V14" i="47"/>
  <c r="T14" i="58" s="1"/>
  <c r="T59" i="58" s="1"/>
  <c r="V14" i="48"/>
  <c r="V36" i="47"/>
  <c r="T36" i="58" s="1"/>
  <c r="T81" i="58" s="1"/>
  <c r="V36" i="48"/>
  <c r="V38" i="47"/>
  <c r="T38" i="58" s="1"/>
  <c r="T83" i="58" s="1"/>
  <c r="V38" i="48"/>
  <c r="V21" i="47"/>
  <c r="T21" i="58" s="1"/>
  <c r="T66" i="58" s="1"/>
  <c r="V21" i="48"/>
  <c r="V41" i="47"/>
  <c r="T41" i="58" s="1"/>
  <c r="T86" i="58" s="1"/>
  <c r="V41" i="48"/>
  <c r="V23" i="47"/>
  <c r="T23" i="58" s="1"/>
  <c r="T68" i="58" s="1"/>
  <c r="V23" i="48"/>
  <c r="V27" i="47"/>
  <c r="T27" i="58" s="1"/>
  <c r="T72" i="58" s="1"/>
  <c r="V27" i="48"/>
  <c r="W12" i="46"/>
  <c r="V12" i="47"/>
  <c r="V12" i="48"/>
  <c r="W29" i="46"/>
  <c r="U29" i="47"/>
  <c r="S29" i="58" s="1"/>
  <c r="S74" i="58" s="1"/>
  <c r="U29" i="48"/>
  <c r="U38" i="47"/>
  <c r="S38" i="58" s="1"/>
  <c r="S83" i="58" s="1"/>
  <c r="U38" i="48"/>
  <c r="W39" i="46"/>
  <c r="U39" i="47"/>
  <c r="U39" i="48"/>
  <c r="U22" i="47"/>
  <c r="U22" i="48"/>
  <c r="W27" i="46"/>
  <c r="U27" i="47"/>
  <c r="S27" i="58" s="1"/>
  <c r="S72" i="58" s="1"/>
  <c r="U27" i="48"/>
  <c r="W24" i="46"/>
  <c r="U24" i="47"/>
  <c r="U24" i="48"/>
  <c r="U12" i="47"/>
  <c r="U12" i="48"/>
  <c r="U10" i="47"/>
  <c r="U10" i="48"/>
  <c r="U7" i="47"/>
  <c r="U7" i="48"/>
  <c r="U6" i="47"/>
  <c r="U6" i="48"/>
  <c r="M51" i="44"/>
  <c r="S30" i="46"/>
  <c r="R30" i="47"/>
  <c r="S30" i="47" s="1"/>
  <c r="R30" i="48"/>
  <c r="S30" i="48" s="1"/>
  <c r="S38" i="46"/>
  <c r="R38" i="47"/>
  <c r="S38" i="47" s="1"/>
  <c r="R38" i="48"/>
  <c r="S38" i="48" s="1"/>
  <c r="S28" i="46"/>
  <c r="R28" i="47"/>
  <c r="S28" i="47" s="1"/>
  <c r="R28" i="48"/>
  <c r="S28" i="48" s="1"/>
  <c r="S17" i="46"/>
  <c r="R17" i="47"/>
  <c r="S17" i="47" s="1"/>
  <c r="R17" i="48"/>
  <c r="S17" i="48" s="1"/>
  <c r="S15" i="46"/>
  <c r="R15" i="47"/>
  <c r="S15" i="47" s="1"/>
  <c r="R15" i="48"/>
  <c r="S15" i="48" s="1"/>
  <c r="S42" i="46"/>
  <c r="R42" i="47"/>
  <c r="S42" i="47" s="1"/>
  <c r="R42" i="48"/>
  <c r="S42" i="48" s="1"/>
  <c r="S39" i="46"/>
  <c r="R39" i="47"/>
  <c r="S39" i="47" s="1"/>
  <c r="R39" i="48"/>
  <c r="S39" i="48" s="1"/>
  <c r="S37" i="46"/>
  <c r="R37" i="47"/>
  <c r="S37" i="47" s="1"/>
  <c r="R37" i="48"/>
  <c r="S37" i="48" s="1"/>
  <c r="S8" i="46"/>
  <c r="R8" i="47"/>
  <c r="S8" i="47" s="1"/>
  <c r="R8" i="48"/>
  <c r="S8" i="48" s="1"/>
  <c r="S12" i="46"/>
  <c r="R12" i="47"/>
  <c r="S12" i="47" s="1"/>
  <c r="R12" i="48"/>
  <c r="S12" i="48" s="1"/>
  <c r="M63" i="44"/>
  <c r="AA24" i="46"/>
  <c r="Z24" i="47"/>
  <c r="AA24" i="47" s="1"/>
  <c r="Z24" i="48"/>
  <c r="AA24" i="48" s="1"/>
  <c r="AA22" i="46"/>
  <c r="Z22" i="47"/>
  <c r="AA22" i="47" s="1"/>
  <c r="Z22" i="48"/>
  <c r="AA22" i="48" s="1"/>
  <c r="Z17" i="47"/>
  <c r="AA17" i="47" s="1"/>
  <c r="AA17" i="46"/>
  <c r="Z17" i="48"/>
  <c r="AA17" i="48" s="1"/>
  <c r="AA37" i="46"/>
  <c r="Z37" i="47"/>
  <c r="AA37" i="47" s="1"/>
  <c r="Z37" i="48"/>
  <c r="AA37" i="48" s="1"/>
  <c r="AA28" i="46"/>
  <c r="Z28" i="47"/>
  <c r="AA28" i="47" s="1"/>
  <c r="Z28" i="48"/>
  <c r="AA28" i="48" s="1"/>
  <c r="Z23" i="47"/>
  <c r="AA23" i="47" s="1"/>
  <c r="AA23" i="46"/>
  <c r="Z23" i="48"/>
  <c r="AA23" i="48" s="1"/>
  <c r="Z39" i="47"/>
  <c r="AA39" i="47" s="1"/>
  <c r="AA39" i="46"/>
  <c r="Z39" i="48"/>
  <c r="AA39" i="48" s="1"/>
  <c r="AA29" i="46"/>
  <c r="Z29" i="47"/>
  <c r="AA29" i="47" s="1"/>
  <c r="Z29" i="48"/>
  <c r="AA29" i="48" s="1"/>
  <c r="AA41" i="46"/>
  <c r="Z41" i="47"/>
  <c r="AA41" i="47" s="1"/>
  <c r="Z41" i="48"/>
  <c r="AA41" i="48" s="1"/>
  <c r="Z11" i="47"/>
  <c r="AA11" i="47" s="1"/>
  <c r="AA11" i="46"/>
  <c r="Z11" i="48"/>
  <c r="AA11" i="48" s="1"/>
  <c r="N16" i="47"/>
  <c r="N16" i="48"/>
  <c r="N44" i="47"/>
  <c r="N44" i="48"/>
  <c r="N20" i="47"/>
  <c r="N20" i="48"/>
  <c r="N29" i="47"/>
  <c r="N29" i="48"/>
  <c r="N17" i="47"/>
  <c r="N17" i="48"/>
  <c r="N30" i="47"/>
  <c r="N30" i="48"/>
  <c r="N5" i="47"/>
  <c r="N5" i="48"/>
  <c r="N46" i="46"/>
  <c r="N12" i="47"/>
  <c r="N12" i="58" s="1"/>
  <c r="N57" i="58" s="1"/>
  <c r="N12" i="48"/>
  <c r="N9" i="47"/>
  <c r="N9" i="58" s="1"/>
  <c r="N54" i="58" s="1"/>
  <c r="N9" i="48"/>
  <c r="N7" i="47"/>
  <c r="N7" i="58" s="1"/>
  <c r="N52" i="58" s="1"/>
  <c r="N7" i="48"/>
  <c r="Q48" i="44"/>
  <c r="Q31" i="44"/>
  <c r="Q56" i="44"/>
  <c r="Q25" i="44"/>
  <c r="Q49" i="44"/>
  <c r="Q6" i="44"/>
  <c r="Q32" i="44"/>
  <c r="Q28" i="44"/>
  <c r="Q11" i="44"/>
  <c r="Q43" i="44"/>
  <c r="Q14" i="44"/>
  <c r="Q50" i="44"/>
  <c r="Q42" i="44"/>
  <c r="Q17" i="44"/>
  <c r="Q27" i="44"/>
  <c r="M53" i="44"/>
  <c r="M62" i="44"/>
  <c r="M31" i="44"/>
  <c r="M52" i="44"/>
  <c r="M17" i="44"/>
  <c r="M29" i="44"/>
  <c r="M23" i="44"/>
  <c r="M20" i="44"/>
  <c r="M67" i="42"/>
  <c r="M72" i="42" s="1"/>
  <c r="M60" i="43" s="1"/>
  <c r="M60" i="57" s="1"/>
  <c r="M126" i="57" s="1"/>
  <c r="M5" i="44"/>
  <c r="AA67" i="44"/>
  <c r="T28" i="47"/>
  <c r="T28" i="48"/>
  <c r="T37" i="47"/>
  <c r="T37" i="48"/>
  <c r="T15" i="47"/>
  <c r="T15" i="48"/>
  <c r="T40" i="47"/>
  <c r="T40" i="48"/>
  <c r="T24" i="47"/>
  <c r="T24" i="48"/>
  <c r="W24" i="48" s="1"/>
  <c r="T44" i="47"/>
  <c r="T44" i="48"/>
  <c r="T16" i="47"/>
  <c r="T16" i="48"/>
  <c r="T14" i="48"/>
  <c r="T14" i="47"/>
  <c r="R14" i="58" s="1"/>
  <c r="R59" i="58" s="1"/>
  <c r="T5" i="48"/>
  <c r="T5" i="47"/>
  <c r="R5" i="58" s="1"/>
  <c r="R50" i="58" s="1"/>
  <c r="T46" i="46"/>
  <c r="T13" i="47"/>
  <c r="R13" i="58" s="1"/>
  <c r="R58" i="58" s="1"/>
  <c r="T13" i="48"/>
  <c r="N72" i="41"/>
  <c r="N70" i="43"/>
  <c r="N72" i="43" s="1"/>
  <c r="N12" i="44" s="1"/>
  <c r="N70" i="42"/>
  <c r="N70" i="44"/>
  <c r="M47" i="44"/>
  <c r="P37" i="47"/>
  <c r="P37" i="48"/>
  <c r="P30" i="47"/>
  <c r="P30" i="48"/>
  <c r="P27" i="47"/>
  <c r="P27" i="48"/>
  <c r="P6" i="47"/>
  <c r="P6" i="48"/>
  <c r="P14" i="47"/>
  <c r="P14" i="48"/>
  <c r="P13" i="47"/>
  <c r="P13" i="48"/>
  <c r="V39" i="47"/>
  <c r="V39" i="48"/>
  <c r="V42" i="47"/>
  <c r="V42" i="48"/>
  <c r="W13" i="46"/>
  <c r="V13" i="47"/>
  <c r="T13" i="58" s="1"/>
  <c r="T58" i="58" s="1"/>
  <c r="V13" i="48"/>
  <c r="W5" i="46"/>
  <c r="V5" i="47"/>
  <c r="V46" i="46"/>
  <c r="V5" i="48"/>
  <c r="W8" i="46"/>
  <c r="V8" i="47"/>
  <c r="V8" i="48"/>
  <c r="W36" i="46"/>
  <c r="U36" i="47"/>
  <c r="S36" i="58" s="1"/>
  <c r="S81" i="58" s="1"/>
  <c r="U36" i="48"/>
  <c r="W32" i="46"/>
  <c r="U32" i="47"/>
  <c r="U32" i="48"/>
  <c r="W35" i="46"/>
  <c r="U35" i="47"/>
  <c r="S35" i="58" s="1"/>
  <c r="S80" i="58" s="1"/>
  <c r="U35" i="48"/>
  <c r="U17" i="47"/>
  <c r="S17" i="58" s="1"/>
  <c r="S62" i="58" s="1"/>
  <c r="U17" i="48"/>
  <c r="W23" i="46"/>
  <c r="U23" i="47"/>
  <c r="U23" i="48"/>
  <c r="M54" i="44"/>
  <c r="S44" i="46"/>
  <c r="R44" i="47"/>
  <c r="S44" i="47" s="1"/>
  <c r="R44" i="48"/>
  <c r="S44" i="48" s="1"/>
  <c r="S21" i="46"/>
  <c r="R21" i="47"/>
  <c r="S21" i="47" s="1"/>
  <c r="R21" i="48"/>
  <c r="S21" i="48" s="1"/>
  <c r="S27" i="46"/>
  <c r="R27" i="47"/>
  <c r="S27" i="47" s="1"/>
  <c r="R27" i="48"/>
  <c r="S27" i="48" s="1"/>
  <c r="S6" i="46"/>
  <c r="R6" i="47"/>
  <c r="S6" i="47" s="1"/>
  <c r="R6" i="48"/>
  <c r="S6" i="48" s="1"/>
  <c r="S18" i="46"/>
  <c r="R18" i="47"/>
  <c r="S18" i="47" s="1"/>
  <c r="R18" i="48"/>
  <c r="S18" i="48" s="1"/>
  <c r="AA21" i="46"/>
  <c r="Z21" i="47"/>
  <c r="AA21" i="47" s="1"/>
  <c r="Z21" i="48"/>
  <c r="AA21" i="48" s="1"/>
  <c r="AA20" i="46"/>
  <c r="Z20" i="47"/>
  <c r="AA20" i="47" s="1"/>
  <c r="Z20" i="48"/>
  <c r="AA20" i="48" s="1"/>
  <c r="AA42" i="46"/>
  <c r="Z42" i="47"/>
  <c r="AA42" i="47" s="1"/>
  <c r="Z42" i="48"/>
  <c r="AA42" i="48" s="1"/>
  <c r="Z8" i="47"/>
  <c r="AA8" i="47" s="1"/>
  <c r="AA8" i="46"/>
  <c r="Z8" i="48"/>
  <c r="AA8" i="48" s="1"/>
  <c r="Z7" i="47"/>
  <c r="AA7" i="47" s="1"/>
  <c r="AA7" i="46"/>
  <c r="Z7" i="48"/>
  <c r="AA7" i="48" s="1"/>
  <c r="N24" i="47"/>
  <c r="N24" i="58" s="1"/>
  <c r="N69" i="58" s="1"/>
  <c r="N24" i="48"/>
  <c r="N42" i="47"/>
  <c r="N42" i="58" s="1"/>
  <c r="N87" i="58" s="1"/>
  <c r="N42" i="48"/>
  <c r="N25" i="47"/>
  <c r="N25" i="58" s="1"/>
  <c r="N70" i="58" s="1"/>
  <c r="N25" i="48"/>
  <c r="N13" i="47"/>
  <c r="N13" i="58" s="1"/>
  <c r="N58" i="58" s="1"/>
  <c r="N13" i="48"/>
  <c r="N18" i="47"/>
  <c r="N18" i="58" s="1"/>
  <c r="N63" i="58" s="1"/>
  <c r="N18" i="48"/>
  <c r="Q64" i="44"/>
  <c r="Q54" i="44"/>
  <c r="Q44" i="44"/>
  <c r="Q63" i="44"/>
  <c r="Q26" i="44"/>
  <c r="Q30" i="44"/>
  <c r="Q13" i="44"/>
  <c r="Q35" i="44"/>
  <c r="M37" i="44"/>
  <c r="M13" i="44"/>
  <c r="M14" i="44"/>
  <c r="T17" i="47"/>
  <c r="T17" i="48"/>
  <c r="T26" i="47"/>
  <c r="W26" i="46"/>
  <c r="T26" i="48"/>
  <c r="T18" i="47"/>
  <c r="R18" i="58" s="1"/>
  <c r="R63" i="58" s="1"/>
  <c r="T18" i="48"/>
  <c r="W18" i="46"/>
  <c r="T39" i="47"/>
  <c r="T39" i="48"/>
  <c r="M61" i="44"/>
  <c r="M7" i="44"/>
  <c r="P39" i="47"/>
  <c r="P39" i="58" s="1"/>
  <c r="P84" i="58" s="1"/>
  <c r="P39" i="48"/>
  <c r="P26" i="47"/>
  <c r="P26" i="58" s="1"/>
  <c r="P71" i="58" s="1"/>
  <c r="P26" i="48"/>
  <c r="P7" i="47"/>
  <c r="P7" i="58" s="1"/>
  <c r="P52" i="58" s="1"/>
  <c r="P7" i="48"/>
  <c r="P15" i="47"/>
  <c r="P15" i="58" s="1"/>
  <c r="P60" i="58" s="1"/>
  <c r="P15" i="48"/>
  <c r="P19" i="47"/>
  <c r="P19" i="58" s="1"/>
  <c r="P64" i="58" s="1"/>
  <c r="P19" i="48"/>
  <c r="W16" i="46"/>
  <c r="V16" i="47"/>
  <c r="V16" i="48"/>
  <c r="V40" i="47"/>
  <c r="V40" i="48"/>
  <c r="W11" i="46"/>
  <c r="V11" i="47"/>
  <c r="T11" i="58" s="1"/>
  <c r="T56" i="58" s="1"/>
  <c r="V11" i="48"/>
  <c r="V25" i="47"/>
  <c r="T25" i="58" s="1"/>
  <c r="T70" i="58" s="1"/>
  <c r="V25" i="48"/>
  <c r="W7" i="46"/>
  <c r="V7" i="47"/>
  <c r="V7" i="48"/>
  <c r="U34" i="47"/>
  <c r="U34" i="48"/>
  <c r="U15" i="47"/>
  <c r="U15" i="48"/>
  <c r="W21" i="46"/>
  <c r="U21" i="47"/>
  <c r="S21" i="58" s="1"/>
  <c r="S66" i="58" s="1"/>
  <c r="U21" i="48"/>
  <c r="W37" i="46"/>
  <c r="U37" i="47"/>
  <c r="U37" i="48"/>
  <c r="W31" i="46"/>
  <c r="U31" i="47"/>
  <c r="S31" i="58" s="1"/>
  <c r="S76" i="58" s="1"/>
  <c r="U31" i="48"/>
  <c r="S22" i="46"/>
  <c r="R22" i="47"/>
  <c r="S22" i="47" s="1"/>
  <c r="R22" i="48"/>
  <c r="S22" i="48" s="1"/>
  <c r="S23" i="46"/>
  <c r="R23" i="47"/>
  <c r="S23" i="47" s="1"/>
  <c r="R23" i="48"/>
  <c r="S23" i="48" s="1"/>
  <c r="S14" i="46"/>
  <c r="R14" i="47"/>
  <c r="S14" i="47" s="1"/>
  <c r="R14" i="48"/>
  <c r="S14" i="48" s="1"/>
  <c r="S40" i="46"/>
  <c r="R40" i="47"/>
  <c r="S40" i="47" s="1"/>
  <c r="R40" i="48"/>
  <c r="S40" i="48" s="1"/>
  <c r="S7" i="46"/>
  <c r="R7" i="47"/>
  <c r="S7" i="47" s="1"/>
  <c r="R7" i="48"/>
  <c r="S7" i="48" s="1"/>
  <c r="Z43" i="47"/>
  <c r="AA43" i="47" s="1"/>
  <c r="AA43" i="46"/>
  <c r="Z43" i="48"/>
  <c r="AA43" i="48" s="1"/>
  <c r="Z15" i="47"/>
  <c r="AA15" i="47" s="1"/>
  <c r="AA15" i="46"/>
  <c r="Z15" i="48"/>
  <c r="AA15" i="48" s="1"/>
  <c r="Z16" i="47"/>
  <c r="AA16" i="47" s="1"/>
  <c r="AA16" i="46"/>
  <c r="Z16" i="48"/>
  <c r="AA16" i="48" s="1"/>
  <c r="Z12" i="47"/>
  <c r="AA12" i="47" s="1"/>
  <c r="AA12" i="46"/>
  <c r="Z12" i="48"/>
  <c r="AA12" i="48" s="1"/>
  <c r="Z9" i="47"/>
  <c r="AA9" i="47" s="1"/>
  <c r="AA9" i="46"/>
  <c r="Z9" i="48"/>
  <c r="AA9" i="48" s="1"/>
  <c r="N41" i="47"/>
  <c r="N41" i="58" s="1"/>
  <c r="N86" i="58" s="1"/>
  <c r="N41" i="48"/>
  <c r="N22" i="47"/>
  <c r="N22" i="58" s="1"/>
  <c r="N67" i="58" s="1"/>
  <c r="N22" i="48"/>
  <c r="N28" i="47"/>
  <c r="N28" i="58" s="1"/>
  <c r="N73" i="58" s="1"/>
  <c r="N28" i="48"/>
  <c r="N14" i="47"/>
  <c r="N14" i="58" s="1"/>
  <c r="N59" i="58" s="1"/>
  <c r="N14" i="48"/>
  <c r="N23" i="47"/>
  <c r="N23" i="58" s="1"/>
  <c r="N68" i="58" s="1"/>
  <c r="N23" i="48"/>
  <c r="Q65" i="44"/>
  <c r="Q33" i="44"/>
  <c r="Q53" i="44"/>
  <c r="Q24" i="44"/>
  <c r="Q55" i="44"/>
  <c r="Q59" i="44"/>
  <c r="Q38" i="44"/>
  <c r="Q15" i="44"/>
  <c r="Q23" i="44"/>
  <c r="M33" i="44"/>
  <c r="M16" i="43"/>
  <c r="M16" i="57" s="1"/>
  <c r="M82" i="57" s="1"/>
  <c r="M16" i="44"/>
  <c r="M57" i="43"/>
  <c r="M57" i="57" s="1"/>
  <c r="M123" i="57" s="1"/>
  <c r="M57" i="44"/>
  <c r="M59" i="44"/>
  <c r="M11" i="44"/>
  <c r="M9" i="43"/>
  <c r="M9" i="44"/>
  <c r="M30" i="44"/>
  <c r="Q47" i="48"/>
  <c r="Q47" i="47"/>
  <c r="Q47" i="46"/>
  <c r="Q47" i="45"/>
  <c r="N71" i="41"/>
  <c r="N69" i="44"/>
  <c r="N69" i="43"/>
  <c r="N69" i="42"/>
  <c r="O46" i="48"/>
  <c r="P40" i="47"/>
  <c r="P40" i="48"/>
  <c r="P38" i="47"/>
  <c r="P38" i="48"/>
  <c r="P29" i="47"/>
  <c r="P29" i="48"/>
  <c r="P44" i="47"/>
  <c r="P44" i="48"/>
  <c r="P25" i="47"/>
  <c r="P25" i="48"/>
  <c r="P9" i="47"/>
  <c r="P9" i="48"/>
  <c r="P35" i="47"/>
  <c r="P35" i="48"/>
  <c r="P28" i="47"/>
  <c r="P28" i="48"/>
  <c r="P12" i="47"/>
  <c r="P12" i="48"/>
  <c r="P11" i="47"/>
  <c r="P11" i="48"/>
  <c r="V28" i="47"/>
  <c r="V28" i="48"/>
  <c r="V35" i="47"/>
  <c r="V35" i="48"/>
  <c r="W17" i="46"/>
  <c r="V17" i="47"/>
  <c r="T17" i="58" s="1"/>
  <c r="T62" i="58" s="1"/>
  <c r="V17" i="48"/>
  <c r="V34" i="47"/>
  <c r="T34" i="58" s="1"/>
  <c r="T79" i="58" s="1"/>
  <c r="V34" i="48"/>
  <c r="V33" i="47"/>
  <c r="T33" i="58" s="1"/>
  <c r="T78" i="58" s="1"/>
  <c r="V33" i="48"/>
  <c r="V32" i="47"/>
  <c r="T32" i="58" s="1"/>
  <c r="T77" i="58" s="1"/>
  <c r="V32" i="48"/>
  <c r="V44" i="47"/>
  <c r="T44" i="58" s="1"/>
  <c r="T89" i="58" s="1"/>
  <c r="V44" i="48"/>
  <c r="V31" i="47"/>
  <c r="T31" i="58" s="1"/>
  <c r="T76" i="58" s="1"/>
  <c r="V31" i="48"/>
  <c r="W6" i="46"/>
  <c r="V6" i="47"/>
  <c r="V6" i="48"/>
  <c r="V18" i="47"/>
  <c r="V18" i="48"/>
  <c r="M48" i="43"/>
  <c r="M48" i="57" s="1"/>
  <c r="M114" i="57" s="1"/>
  <c r="M48" i="44"/>
  <c r="M26" i="44"/>
  <c r="W40" i="46"/>
  <c r="U40" i="47"/>
  <c r="S40" i="58" s="1"/>
  <c r="S85" i="58" s="1"/>
  <c r="U40" i="48"/>
  <c r="U26" i="47"/>
  <c r="S26" i="58" s="1"/>
  <c r="S71" i="58" s="1"/>
  <c r="U26" i="48"/>
  <c r="W33" i="46"/>
  <c r="U33" i="47"/>
  <c r="U33" i="48"/>
  <c r="W28" i="46"/>
  <c r="U28" i="47"/>
  <c r="S28" i="58" s="1"/>
  <c r="S73" i="58" s="1"/>
  <c r="U28" i="48"/>
  <c r="U42" i="47"/>
  <c r="S42" i="58" s="1"/>
  <c r="S87" i="58" s="1"/>
  <c r="U42" i="48"/>
  <c r="U14" i="47"/>
  <c r="S14" i="58" s="1"/>
  <c r="S59" i="58" s="1"/>
  <c r="U14" i="48"/>
  <c r="W25" i="46"/>
  <c r="U25" i="47"/>
  <c r="U25" i="48"/>
  <c r="U11" i="47"/>
  <c r="U11" i="48"/>
  <c r="U8" i="47"/>
  <c r="U8" i="48"/>
  <c r="U13" i="47"/>
  <c r="U13" i="48"/>
  <c r="M49" i="44"/>
  <c r="S24" i="46"/>
  <c r="R24" i="47"/>
  <c r="S24" i="47" s="1"/>
  <c r="R24" i="48"/>
  <c r="S24" i="48" s="1"/>
  <c r="S25" i="46"/>
  <c r="R25" i="47"/>
  <c r="S25" i="47" s="1"/>
  <c r="R25" i="48"/>
  <c r="S25" i="48" s="1"/>
  <c r="S19" i="46"/>
  <c r="R19" i="47"/>
  <c r="S19" i="47" s="1"/>
  <c r="R19" i="48"/>
  <c r="S19" i="48" s="1"/>
  <c r="S26" i="46"/>
  <c r="R26" i="47"/>
  <c r="S26" i="47" s="1"/>
  <c r="R26" i="48"/>
  <c r="S26" i="48" s="1"/>
  <c r="S16" i="46"/>
  <c r="R16" i="47"/>
  <c r="S16" i="47" s="1"/>
  <c r="R16" i="48"/>
  <c r="S16" i="48" s="1"/>
  <c r="S32" i="46"/>
  <c r="R32" i="47"/>
  <c r="S32" i="47" s="1"/>
  <c r="R32" i="48"/>
  <c r="S32" i="48" s="1"/>
  <c r="S34" i="46"/>
  <c r="R34" i="47"/>
  <c r="S34" i="47" s="1"/>
  <c r="R34" i="48"/>
  <c r="S34" i="48" s="1"/>
  <c r="S5" i="46"/>
  <c r="R5" i="47"/>
  <c r="R5" i="48"/>
  <c r="R46" i="46"/>
  <c r="S9" i="46"/>
  <c r="R9" i="47"/>
  <c r="S9" i="47" s="1"/>
  <c r="R9" i="48"/>
  <c r="S9" i="48" s="1"/>
  <c r="S13" i="46"/>
  <c r="R13" i="47"/>
  <c r="S13" i="47" s="1"/>
  <c r="R13" i="48"/>
  <c r="S13" i="48" s="1"/>
  <c r="Z67" i="44"/>
  <c r="AA25" i="46"/>
  <c r="Z25" i="47"/>
  <c r="AA25" i="47" s="1"/>
  <c r="Z25" i="48"/>
  <c r="AA25" i="48" s="1"/>
  <c r="AA36" i="46"/>
  <c r="Z36" i="47"/>
  <c r="AA36" i="47" s="1"/>
  <c r="Z36" i="48"/>
  <c r="AA36" i="48" s="1"/>
  <c r="AA38" i="46"/>
  <c r="Z38" i="47"/>
  <c r="AA38" i="47" s="1"/>
  <c r="Z38" i="48"/>
  <c r="AA38" i="48" s="1"/>
  <c r="Z19" i="47"/>
  <c r="AA19" i="47" s="1"/>
  <c r="AA19" i="46"/>
  <c r="Z19" i="48"/>
  <c r="AA19" i="48" s="1"/>
  <c r="Z35" i="47"/>
  <c r="AA35" i="47" s="1"/>
  <c r="AA35" i="46"/>
  <c r="Z35" i="48"/>
  <c r="AA35" i="48" s="1"/>
  <c r="AA30" i="46"/>
  <c r="Z30" i="47"/>
  <c r="AA30" i="47" s="1"/>
  <c r="Z30" i="48"/>
  <c r="AA30" i="48" s="1"/>
  <c r="Z6" i="47"/>
  <c r="AA6" i="47" s="1"/>
  <c r="AA6" i="46"/>
  <c r="Z6" i="48"/>
  <c r="AA6" i="48" s="1"/>
  <c r="AA33" i="46"/>
  <c r="Z33" i="47"/>
  <c r="AA33" i="47" s="1"/>
  <c r="Z33" i="48"/>
  <c r="AA33" i="48" s="1"/>
  <c r="Z5" i="47"/>
  <c r="V5" i="58" s="1"/>
  <c r="V50" i="58" s="1"/>
  <c r="AA5" i="46"/>
  <c r="Z5" i="48"/>
  <c r="Z46" i="46"/>
  <c r="Z13" i="47"/>
  <c r="AA13" i="47" s="1"/>
  <c r="AA13" i="46"/>
  <c r="Z13" i="48"/>
  <c r="AA13" i="48" s="1"/>
  <c r="N19" i="47"/>
  <c r="N19" i="58" s="1"/>
  <c r="N64" i="58" s="1"/>
  <c r="N19" i="48"/>
  <c r="N26" i="47"/>
  <c r="N26" i="58" s="1"/>
  <c r="N71" i="58" s="1"/>
  <c r="N26" i="48"/>
  <c r="N36" i="47"/>
  <c r="N36" i="58" s="1"/>
  <c r="N81" i="58" s="1"/>
  <c r="N36" i="48"/>
  <c r="N32" i="47"/>
  <c r="N32" i="58" s="1"/>
  <c r="N77" i="58" s="1"/>
  <c r="N32" i="48"/>
  <c r="N31" i="47"/>
  <c r="N31" i="58" s="1"/>
  <c r="N76" i="58" s="1"/>
  <c r="N31" i="48"/>
  <c r="N38" i="47"/>
  <c r="N38" i="58" s="1"/>
  <c r="N83" i="58" s="1"/>
  <c r="N38" i="48"/>
  <c r="N11" i="47"/>
  <c r="N11" i="58" s="1"/>
  <c r="N56" i="58" s="1"/>
  <c r="N11" i="48"/>
  <c r="N27" i="47"/>
  <c r="N27" i="58" s="1"/>
  <c r="N72" i="58" s="1"/>
  <c r="N27" i="48"/>
  <c r="N10" i="47"/>
  <c r="N10" i="58" s="1"/>
  <c r="N55" i="58" s="1"/>
  <c r="N10" i="48"/>
  <c r="N8" i="47"/>
  <c r="N8" i="58" s="1"/>
  <c r="N53" i="58" s="1"/>
  <c r="N8" i="48"/>
  <c r="Q45" i="44"/>
  <c r="Q62" i="44"/>
  <c r="Q58" i="44"/>
  <c r="Q47" i="44"/>
  <c r="Q39" i="44"/>
  <c r="Q9" i="44"/>
  <c r="Q40" i="44"/>
  <c r="Q36" i="44"/>
  <c r="Q18" i="44"/>
  <c r="Q46" i="44"/>
  <c r="Q22" i="44"/>
  <c r="Q5" i="44"/>
  <c r="Q67" i="42"/>
  <c r="Q72" i="42" s="1"/>
  <c r="Q12" i="43" s="1"/>
  <c r="Q12" i="57" s="1"/>
  <c r="Q78" i="57" s="1"/>
  <c r="Q7" i="44"/>
  <c r="Q19" i="44"/>
  <c r="Q29" i="43"/>
  <c r="Q29" i="57" s="1"/>
  <c r="Q95" i="57" s="1"/>
  <c r="Q29" i="44"/>
  <c r="M42" i="44"/>
  <c r="M39" i="44"/>
  <c r="L50" i="45"/>
  <c r="L51" i="45" s="1"/>
  <c r="M34" i="44"/>
  <c r="M45" i="43"/>
  <c r="M45" i="44"/>
  <c r="M64" i="44"/>
  <c r="M19" i="44"/>
  <c r="M6" i="44"/>
  <c r="M22" i="44"/>
  <c r="M10" i="44"/>
  <c r="T32" i="47"/>
  <c r="W32" i="47" s="1"/>
  <c r="T32" i="48"/>
  <c r="W32" i="48" s="1"/>
  <c r="T33" i="47"/>
  <c r="W33" i="47" s="1"/>
  <c r="T33" i="48"/>
  <c r="T20" i="47"/>
  <c r="W20" i="47" s="1"/>
  <c r="T20" i="48"/>
  <c r="W20" i="48" s="1"/>
  <c r="T42" i="48"/>
  <c r="T42" i="47"/>
  <c r="W42" i="46"/>
  <c r="T38" i="47"/>
  <c r="T38" i="48"/>
  <c r="W38" i="48" s="1"/>
  <c r="W38" i="46"/>
  <c r="T43" i="47"/>
  <c r="R43" i="58" s="1"/>
  <c r="R88" i="58" s="1"/>
  <c r="T43" i="48"/>
  <c r="W43" i="48" s="1"/>
  <c r="T8" i="47"/>
  <c r="W8" i="47" s="1"/>
  <c r="T8" i="48"/>
  <c r="W8" i="48" s="1"/>
  <c r="T21" i="47"/>
  <c r="R21" i="58" s="1"/>
  <c r="R66" i="58" s="1"/>
  <c r="T21" i="48"/>
  <c r="T27" i="47"/>
  <c r="W27" i="47" s="1"/>
  <c r="T27" i="48"/>
  <c r="W27" i="48" s="1"/>
  <c r="T7" i="47"/>
  <c r="R7" i="58" s="1"/>
  <c r="R52" i="58" s="1"/>
  <c r="T7" i="48"/>
  <c r="D46" i="5"/>
  <c r="D10" i="5"/>
  <c r="T70" i="41" s="1"/>
  <c r="P9" i="59" l="1"/>
  <c r="P11" i="59"/>
  <c r="P7" i="59"/>
  <c r="Z67" i="43"/>
  <c r="P5" i="44"/>
  <c r="P67" i="44" s="1"/>
  <c r="P67" i="42"/>
  <c r="P72" i="42" s="1"/>
  <c r="Y74" i="41"/>
  <c r="Y68" i="44"/>
  <c r="Y68" i="43"/>
  <c r="Y72" i="43" s="1"/>
  <c r="Y12" i="44" s="1"/>
  <c r="Y68" i="42"/>
  <c r="AD36" i="42"/>
  <c r="AC36" i="44"/>
  <c r="AD36" i="44" s="1"/>
  <c r="AC10" i="44"/>
  <c r="AD10" i="44" s="1"/>
  <c r="AD10" i="42"/>
  <c r="AC41" i="44"/>
  <c r="AD41" i="44" s="1"/>
  <c r="AD41" i="42"/>
  <c r="AD51" i="42"/>
  <c r="AC51" i="44"/>
  <c r="AD51" i="44" s="1"/>
  <c r="AC34" i="44"/>
  <c r="AD34" i="44" s="1"/>
  <c r="AD34" i="42"/>
  <c r="AD39" i="42"/>
  <c r="AC39" i="44"/>
  <c r="AD39" i="44" s="1"/>
  <c r="AD53" i="42"/>
  <c r="AC53" i="44"/>
  <c r="AD53" i="44" s="1"/>
  <c r="AD49" i="42"/>
  <c r="AC49" i="44"/>
  <c r="AD49" i="44" s="1"/>
  <c r="AD9" i="42"/>
  <c r="AC9" i="44"/>
  <c r="AD9" i="44" s="1"/>
  <c r="AC58" i="44"/>
  <c r="AD58" i="44" s="1"/>
  <c r="AD58" i="42"/>
  <c r="AD45" i="42"/>
  <c r="AC45" i="44"/>
  <c r="AD45" i="44" s="1"/>
  <c r="AC64" i="44"/>
  <c r="AD64" i="44" s="1"/>
  <c r="AD64" i="42"/>
  <c r="AD13" i="42"/>
  <c r="AC13" i="44"/>
  <c r="AD13" i="44" s="1"/>
  <c r="AD23" i="42"/>
  <c r="AC23" i="44"/>
  <c r="AD23" i="44" s="1"/>
  <c r="AD30" i="42"/>
  <c r="AC30" i="44"/>
  <c r="AD30" i="44" s="1"/>
  <c r="X10" i="59"/>
  <c r="P14" i="59" s="1"/>
  <c r="L32" i="44"/>
  <c r="L10" i="44"/>
  <c r="L11" i="44"/>
  <c r="L38" i="44"/>
  <c r="L64" i="44"/>
  <c r="L61" i="44"/>
  <c r="L28" i="44"/>
  <c r="L55" i="44"/>
  <c r="L19" i="44"/>
  <c r="AI51" i="44"/>
  <c r="AI55" i="44"/>
  <c r="AI21" i="44"/>
  <c r="AI23" i="44"/>
  <c r="AI26" i="44"/>
  <c r="AI48" i="44"/>
  <c r="AH67" i="42"/>
  <c r="AH72" i="42" s="1"/>
  <c r="AH47" i="43" s="1"/>
  <c r="AD47" i="57" s="1"/>
  <c r="AD113" i="57" s="1"/>
  <c r="AH5" i="44"/>
  <c r="AH47" i="44"/>
  <c r="AH30" i="43"/>
  <c r="AD30" i="57" s="1"/>
  <c r="AD96" i="57" s="1"/>
  <c r="AH30" i="44"/>
  <c r="AH10" i="44"/>
  <c r="AH21" i="43"/>
  <c r="AD21" i="57" s="1"/>
  <c r="AD87" i="57" s="1"/>
  <c r="AH21" i="44"/>
  <c r="X53" i="44"/>
  <c r="X60" i="44"/>
  <c r="X22" i="44"/>
  <c r="X59" i="44"/>
  <c r="X46" i="44"/>
  <c r="R38" i="58"/>
  <c r="R83" i="58" s="1"/>
  <c r="M45" i="57"/>
  <c r="M111" i="57" s="1"/>
  <c r="Q7" i="43"/>
  <c r="Q7" i="57" s="1"/>
  <c r="Q73" i="57" s="1"/>
  <c r="Q5" i="58"/>
  <c r="Q50" i="58" s="1"/>
  <c r="S13" i="58"/>
  <c r="S58" i="58" s="1"/>
  <c r="S11" i="58"/>
  <c r="S56" i="58" s="1"/>
  <c r="S33" i="58"/>
  <c r="S78" i="58" s="1"/>
  <c r="T18" i="58"/>
  <c r="T63" i="58" s="1"/>
  <c r="T28" i="58"/>
  <c r="T73" i="58" s="1"/>
  <c r="P12" i="58"/>
  <c r="P57" i="58" s="1"/>
  <c r="P35" i="58"/>
  <c r="P80" i="58" s="1"/>
  <c r="P25" i="58"/>
  <c r="P70" i="58" s="1"/>
  <c r="P29" i="58"/>
  <c r="P74" i="58" s="1"/>
  <c r="P40" i="58"/>
  <c r="P85" i="58" s="1"/>
  <c r="S37" i="58"/>
  <c r="S82" i="58" s="1"/>
  <c r="S34" i="58"/>
  <c r="S79" i="58" s="1"/>
  <c r="T16" i="58"/>
  <c r="T61" i="58" s="1"/>
  <c r="R39" i="58"/>
  <c r="R84" i="58" s="1"/>
  <c r="R17" i="58"/>
  <c r="R62" i="58" s="1"/>
  <c r="S23" i="58"/>
  <c r="S68" i="58" s="1"/>
  <c r="S32" i="58"/>
  <c r="S77" i="58" s="1"/>
  <c r="T42" i="58"/>
  <c r="T87" i="58" s="1"/>
  <c r="P13" i="58"/>
  <c r="P58" i="58" s="1"/>
  <c r="P6" i="58"/>
  <c r="P51" i="58" s="1"/>
  <c r="P30" i="58"/>
  <c r="P75" i="58" s="1"/>
  <c r="R16" i="58"/>
  <c r="R61" i="58" s="1"/>
  <c r="R24" i="58"/>
  <c r="R69" i="58" s="1"/>
  <c r="R15" i="58"/>
  <c r="R60" i="58" s="1"/>
  <c r="R28" i="58"/>
  <c r="R73" i="58" s="1"/>
  <c r="N5" i="58"/>
  <c r="N50" i="58" s="1"/>
  <c r="N17" i="58"/>
  <c r="N62" i="58" s="1"/>
  <c r="N20" i="58"/>
  <c r="N65" i="58" s="1"/>
  <c r="N16" i="58"/>
  <c r="N61" i="58" s="1"/>
  <c r="S6" i="58"/>
  <c r="S51" i="58" s="1"/>
  <c r="S10" i="58"/>
  <c r="S55" i="58" s="1"/>
  <c r="S24" i="58"/>
  <c r="S69" i="58" s="1"/>
  <c r="S39" i="58"/>
  <c r="S84" i="58" s="1"/>
  <c r="T12" i="58"/>
  <c r="T57" i="58" s="1"/>
  <c r="T29" i="58"/>
  <c r="T74" i="58" s="1"/>
  <c r="R12" i="58"/>
  <c r="R57" i="58" s="1"/>
  <c r="R23" i="58"/>
  <c r="R68" i="58" s="1"/>
  <c r="R29" i="58"/>
  <c r="R74" i="58" s="1"/>
  <c r="R25" i="58"/>
  <c r="R70" i="58" s="1"/>
  <c r="R31" i="58"/>
  <c r="R76" i="58" s="1"/>
  <c r="N43" i="58"/>
  <c r="N88" i="58" s="1"/>
  <c r="N40" i="58"/>
  <c r="N85" i="58" s="1"/>
  <c r="S30" i="58"/>
  <c r="S75" i="58" s="1"/>
  <c r="T10" i="58"/>
  <c r="T55" i="58" s="1"/>
  <c r="T15" i="58"/>
  <c r="T60" i="58" s="1"/>
  <c r="R34" i="58"/>
  <c r="R79" i="58" s="1"/>
  <c r="N33" i="58"/>
  <c r="N78" i="58" s="1"/>
  <c r="N15" i="58"/>
  <c r="N60" i="58" s="1"/>
  <c r="S43" i="58"/>
  <c r="S88" i="58" s="1"/>
  <c r="E7" i="60"/>
  <c r="E13" i="60" s="1"/>
  <c r="U65" i="44"/>
  <c r="U28" i="44"/>
  <c r="U44" i="44"/>
  <c r="V74" i="41"/>
  <c r="V68" i="44"/>
  <c r="V68" i="43"/>
  <c r="V72" i="43" s="1"/>
  <c r="V12" i="44" s="1"/>
  <c r="V68" i="42"/>
  <c r="AD8" i="42"/>
  <c r="AC8" i="44"/>
  <c r="AD8" i="44" s="1"/>
  <c r="AD44" i="42"/>
  <c r="AC44" i="44"/>
  <c r="AD44" i="44" s="1"/>
  <c r="AD16" i="42"/>
  <c r="AC16" i="44"/>
  <c r="AD16" i="44" s="1"/>
  <c r="AC60" i="44"/>
  <c r="AD60" i="44" s="1"/>
  <c r="AD60" i="42"/>
  <c r="AD38" i="42"/>
  <c r="AC38" i="44"/>
  <c r="AD38" i="44" s="1"/>
  <c r="AD62" i="42"/>
  <c r="AC62" i="44"/>
  <c r="AD62" i="44" s="1"/>
  <c r="AD56" i="42"/>
  <c r="AC56" i="44"/>
  <c r="AD56" i="44" s="1"/>
  <c r="AC27" i="44"/>
  <c r="AD27" i="44" s="1"/>
  <c r="AD27" i="42"/>
  <c r="AC6" i="44"/>
  <c r="AD6" i="44" s="1"/>
  <c r="AD6" i="42"/>
  <c r="AC59" i="44"/>
  <c r="AD59" i="44" s="1"/>
  <c r="AD59" i="42"/>
  <c r="AD65" i="42"/>
  <c r="AC65" i="44"/>
  <c r="AD65" i="44" s="1"/>
  <c r="AD43" i="42"/>
  <c r="AC43" i="44"/>
  <c r="AD43" i="44" s="1"/>
  <c r="AD52" i="42"/>
  <c r="AC52" i="44"/>
  <c r="AD52" i="44" s="1"/>
  <c r="AD11" i="42"/>
  <c r="AC11" i="44"/>
  <c r="AD11" i="44" s="1"/>
  <c r="AC48" i="44"/>
  <c r="AD48" i="44" s="1"/>
  <c r="AD48" i="42"/>
  <c r="X8" i="59"/>
  <c r="L25" i="44"/>
  <c r="L30" i="44"/>
  <c r="L13" i="44"/>
  <c r="L42" i="44"/>
  <c r="L42" i="43"/>
  <c r="L42" i="57" s="1"/>
  <c r="L108" i="57" s="1"/>
  <c r="L27" i="44"/>
  <c r="L31" i="44"/>
  <c r="L15" i="44"/>
  <c r="L59" i="44"/>
  <c r="L59" i="43"/>
  <c r="L59" i="57" s="1"/>
  <c r="L125" i="57" s="1"/>
  <c r="L53" i="44"/>
  <c r="L43" i="44"/>
  <c r="L29" i="44"/>
  <c r="AI57" i="44"/>
  <c r="AI32" i="44"/>
  <c r="AI5" i="44"/>
  <c r="AI67" i="42"/>
  <c r="AI72" i="42" s="1"/>
  <c r="AI21" i="43" s="1"/>
  <c r="AE21" i="57" s="1"/>
  <c r="AE87" i="57" s="1"/>
  <c r="AH37" i="43"/>
  <c r="AD37" i="57" s="1"/>
  <c r="AD103" i="57" s="1"/>
  <c r="AH37" i="44"/>
  <c r="AH18" i="43"/>
  <c r="AH18" i="44"/>
  <c r="X41" i="44"/>
  <c r="X27" i="44"/>
  <c r="X10" i="44"/>
  <c r="X30" i="44"/>
  <c r="P5" i="58"/>
  <c r="P50" i="58" s="1"/>
  <c r="S5" i="58"/>
  <c r="S50" i="58" s="1"/>
  <c r="AA67" i="43"/>
  <c r="U5" i="44"/>
  <c r="U67" i="42"/>
  <c r="U72" i="42" s="1"/>
  <c r="U65" i="43" s="1"/>
  <c r="T65" i="57" s="1"/>
  <c r="T131" i="57" s="1"/>
  <c r="U15" i="44"/>
  <c r="U49" i="43"/>
  <c r="T49" i="57" s="1"/>
  <c r="T115" i="57" s="1"/>
  <c r="U49" i="44"/>
  <c r="U25" i="44"/>
  <c r="AD61" i="42"/>
  <c r="AC61" i="44"/>
  <c r="AD61" i="44" s="1"/>
  <c r="AD55" i="42"/>
  <c r="AC55" i="44"/>
  <c r="AD55" i="44" s="1"/>
  <c r="AC57" i="44"/>
  <c r="AD57" i="44" s="1"/>
  <c r="AD57" i="42"/>
  <c r="AD24" i="42"/>
  <c r="AC24" i="44"/>
  <c r="AD24" i="44" s="1"/>
  <c r="AC63" i="44"/>
  <c r="AD63" i="44" s="1"/>
  <c r="AD63" i="42"/>
  <c r="AD46" i="42"/>
  <c r="AC46" i="44"/>
  <c r="AD46" i="44" s="1"/>
  <c r="AD40" i="42"/>
  <c r="AC40" i="44"/>
  <c r="AD40" i="44" s="1"/>
  <c r="AD25" i="42"/>
  <c r="AC25" i="44"/>
  <c r="AD25" i="44" s="1"/>
  <c r="AD47" i="42"/>
  <c r="AC47" i="44"/>
  <c r="AD47" i="44" s="1"/>
  <c r="AD20" i="42"/>
  <c r="AC20" i="44"/>
  <c r="AD20" i="44" s="1"/>
  <c r="AC17" i="44"/>
  <c r="AD17" i="44" s="1"/>
  <c r="AD17" i="42"/>
  <c r="AD26" i="42"/>
  <c r="AC26" i="44"/>
  <c r="AD26" i="44" s="1"/>
  <c r="AC7" i="44"/>
  <c r="AD7" i="44" s="1"/>
  <c r="AD7" i="42"/>
  <c r="AD35" i="42"/>
  <c r="AC35" i="44"/>
  <c r="AD35" i="44" s="1"/>
  <c r="AD14" i="42"/>
  <c r="AC14" i="44"/>
  <c r="AD14" i="44" s="1"/>
  <c r="X6" i="59"/>
  <c r="P13" i="59" s="1"/>
  <c r="L36" i="44"/>
  <c r="L36" i="43"/>
  <c r="L36" i="57" s="1"/>
  <c r="L102" i="57" s="1"/>
  <c r="L60" i="44"/>
  <c r="L21" i="44"/>
  <c r="L21" i="43"/>
  <c r="L21" i="57" s="1"/>
  <c r="L87" i="57" s="1"/>
  <c r="L26" i="43"/>
  <c r="L26" i="57" s="1"/>
  <c r="L92" i="57" s="1"/>
  <c r="L26" i="44"/>
  <c r="L57" i="44"/>
  <c r="L57" i="43"/>
  <c r="L57" i="57" s="1"/>
  <c r="L123" i="57" s="1"/>
  <c r="L23" i="43"/>
  <c r="L23" i="57" s="1"/>
  <c r="L89" i="57" s="1"/>
  <c r="L23" i="44"/>
  <c r="L67" i="42"/>
  <c r="L72" i="42" s="1"/>
  <c r="L5" i="44"/>
  <c r="L44" i="43"/>
  <c r="L44" i="57" s="1"/>
  <c r="L110" i="57" s="1"/>
  <c r="L44" i="44"/>
  <c r="L37" i="43"/>
  <c r="L37" i="44"/>
  <c r="L46" i="43"/>
  <c r="L46" i="57" s="1"/>
  <c r="L112" i="57" s="1"/>
  <c r="L46" i="44"/>
  <c r="L24" i="43"/>
  <c r="L24" i="44"/>
  <c r="L8" i="43"/>
  <c r="L8" i="57" s="1"/>
  <c r="L74" i="57" s="1"/>
  <c r="L8" i="44"/>
  <c r="AI19" i="44"/>
  <c r="AI43" i="43"/>
  <c r="AE43" i="57" s="1"/>
  <c r="AE109" i="57" s="1"/>
  <c r="AI43" i="44"/>
  <c r="AI16" i="44"/>
  <c r="AI16" i="43"/>
  <c r="AE16" i="57" s="1"/>
  <c r="AE82" i="57" s="1"/>
  <c r="AI40" i="43"/>
  <c r="AE40" i="57" s="1"/>
  <c r="AE106" i="57" s="1"/>
  <c r="AI40" i="44"/>
  <c r="AI17" i="44"/>
  <c r="AI17" i="43"/>
  <c r="AE17" i="57" s="1"/>
  <c r="AE83" i="57" s="1"/>
  <c r="AI47" i="43"/>
  <c r="AE47" i="57" s="1"/>
  <c r="AE113" i="57" s="1"/>
  <c r="AI47" i="44"/>
  <c r="AI10" i="44"/>
  <c r="AI10" i="43"/>
  <c r="AE10" i="57" s="1"/>
  <c r="AE76" i="57" s="1"/>
  <c r="AH22" i="44"/>
  <c r="AH22" i="43"/>
  <c r="AH35" i="43"/>
  <c r="AH35" i="44"/>
  <c r="AH26" i="44"/>
  <c r="AH26" i="43"/>
  <c r="AH6" i="43"/>
  <c r="AH6" i="44"/>
  <c r="AH23" i="44"/>
  <c r="AH23" i="43"/>
  <c r="R67" i="42"/>
  <c r="R5" i="44"/>
  <c r="R67" i="44" s="1"/>
  <c r="X45" i="44"/>
  <c r="X29" i="44"/>
  <c r="X26" i="44"/>
  <c r="Y5" i="57"/>
  <c r="Y71" i="57" s="1"/>
  <c r="R42" i="58"/>
  <c r="R87" i="58" s="1"/>
  <c r="S8" i="58"/>
  <c r="S53" i="58" s="1"/>
  <c r="S25" i="58"/>
  <c r="S70" i="58" s="1"/>
  <c r="T6" i="58"/>
  <c r="T51" i="58" s="1"/>
  <c r="T35" i="58"/>
  <c r="T80" i="58" s="1"/>
  <c r="P11" i="58"/>
  <c r="P56" i="58" s="1"/>
  <c r="P28" i="58"/>
  <c r="P73" i="58" s="1"/>
  <c r="P9" i="58"/>
  <c r="P54" i="58" s="1"/>
  <c r="P44" i="58"/>
  <c r="P89" i="58" s="1"/>
  <c r="P38" i="58"/>
  <c r="P83" i="58" s="1"/>
  <c r="M9" i="57"/>
  <c r="M75" i="57" s="1"/>
  <c r="S15" i="58"/>
  <c r="S60" i="58" s="1"/>
  <c r="T7" i="58"/>
  <c r="T52" i="58" s="1"/>
  <c r="T40" i="58"/>
  <c r="T85" i="58" s="1"/>
  <c r="R26" i="58"/>
  <c r="R71" i="58" s="1"/>
  <c r="T8" i="58"/>
  <c r="T53" i="58" s="1"/>
  <c r="T5" i="58"/>
  <c r="T50" i="58" s="1"/>
  <c r="J11" i="60" s="1"/>
  <c r="T39" i="58"/>
  <c r="T84" i="58" s="1"/>
  <c r="P14" i="58"/>
  <c r="P59" i="58" s="1"/>
  <c r="P27" i="58"/>
  <c r="P72" i="58" s="1"/>
  <c r="P37" i="58"/>
  <c r="P82" i="58" s="1"/>
  <c r="R44" i="58"/>
  <c r="R89" i="58" s="1"/>
  <c r="R40" i="58"/>
  <c r="R85" i="58" s="1"/>
  <c r="R37" i="58"/>
  <c r="R82" i="58" s="1"/>
  <c r="N30" i="58"/>
  <c r="N75" i="58" s="1"/>
  <c r="N29" i="58"/>
  <c r="N74" i="58" s="1"/>
  <c r="N44" i="58"/>
  <c r="N89" i="58" s="1"/>
  <c r="S7" i="58"/>
  <c r="S52" i="58" s="1"/>
  <c r="S12" i="58"/>
  <c r="S57" i="58" s="1"/>
  <c r="S22" i="58"/>
  <c r="S67" i="58" s="1"/>
  <c r="T20" i="58"/>
  <c r="T65" i="58" s="1"/>
  <c r="P10" i="58"/>
  <c r="P55" i="58" s="1"/>
  <c r="R11" i="58"/>
  <c r="R56" i="58" s="1"/>
  <c r="R6" i="58"/>
  <c r="R51" i="58" s="1"/>
  <c r="R41" i="58"/>
  <c r="R86" i="58" s="1"/>
  <c r="R36" i="58"/>
  <c r="R81" i="58" s="1"/>
  <c r="N39" i="58"/>
  <c r="N84" i="58" s="1"/>
  <c r="N34" i="58"/>
  <c r="N79" i="58" s="1"/>
  <c r="S20" i="58"/>
  <c r="S65" i="58" s="1"/>
  <c r="T19" i="58"/>
  <c r="T64" i="58" s="1"/>
  <c r="R9" i="58"/>
  <c r="R54" i="58" s="1"/>
  <c r="N35" i="58"/>
  <c r="N80" i="58" s="1"/>
  <c r="N21" i="58"/>
  <c r="N66" i="58" s="1"/>
  <c r="N37" i="58"/>
  <c r="N82" i="58" s="1"/>
  <c r="M35" i="58"/>
  <c r="M80" i="58" s="1"/>
  <c r="U21" i="44"/>
  <c r="U62" i="43"/>
  <c r="U62" i="44"/>
  <c r="U56" i="43"/>
  <c r="T56" i="57" s="1"/>
  <c r="T122" i="57" s="1"/>
  <c r="U56" i="44"/>
  <c r="W67" i="42"/>
  <c r="W72" i="42" s="1"/>
  <c r="W5" i="44"/>
  <c r="W67" i="44" s="1"/>
  <c r="S67" i="42"/>
  <c r="AC37" i="44"/>
  <c r="AD37" i="44" s="1"/>
  <c r="AD37" i="42"/>
  <c r="AD21" i="42"/>
  <c r="AC21" i="44"/>
  <c r="AD21" i="44" s="1"/>
  <c r="AD31" i="42"/>
  <c r="AC31" i="44"/>
  <c r="AD31" i="44" s="1"/>
  <c r="AD32" i="42"/>
  <c r="AC32" i="44"/>
  <c r="AD32" i="44" s="1"/>
  <c r="AD18" i="42"/>
  <c r="AC18" i="44"/>
  <c r="AD18" i="44" s="1"/>
  <c r="AD29" i="42"/>
  <c r="AC29" i="43"/>
  <c r="AC29" i="44"/>
  <c r="AD29" i="44" s="1"/>
  <c r="AD50" i="42"/>
  <c r="AC50" i="44"/>
  <c r="AD50" i="44" s="1"/>
  <c r="AC5" i="44"/>
  <c r="AD5" i="42"/>
  <c r="AC67" i="42"/>
  <c r="AC72" i="42" s="1"/>
  <c r="AC15" i="44"/>
  <c r="AD15" i="44" s="1"/>
  <c r="AD15" i="42"/>
  <c r="AC28" i="44"/>
  <c r="AD28" i="44" s="1"/>
  <c r="AD28" i="42"/>
  <c r="AC19" i="44"/>
  <c r="AD19" i="44" s="1"/>
  <c r="AD19" i="42"/>
  <c r="AD42" i="42"/>
  <c r="AC42" i="44"/>
  <c r="AD42" i="44" s="1"/>
  <c r="AD33" i="42"/>
  <c r="AC33" i="43"/>
  <c r="AC33" i="44"/>
  <c r="AD33" i="44" s="1"/>
  <c r="AD54" i="42"/>
  <c r="AC54" i="44"/>
  <c r="AD54" i="44" s="1"/>
  <c r="AC22" i="44"/>
  <c r="AD22" i="44" s="1"/>
  <c r="AD22" i="42"/>
  <c r="AC22" i="43"/>
  <c r="O67" i="42"/>
  <c r="O72" i="42" s="1"/>
  <c r="O5" i="44"/>
  <c r="O67" i="44" s="1"/>
  <c r="L6" i="43"/>
  <c r="L6" i="44"/>
  <c r="L51" i="43"/>
  <c r="L51" i="57" s="1"/>
  <c r="L117" i="57" s="1"/>
  <c r="L51" i="44"/>
  <c r="L35" i="43"/>
  <c r="L35" i="44"/>
  <c r="L41" i="43"/>
  <c r="L41" i="57" s="1"/>
  <c r="L107" i="57" s="1"/>
  <c r="L41" i="44"/>
  <c r="L9" i="43"/>
  <c r="L9" i="44"/>
  <c r="L40" i="44"/>
  <c r="L40" i="43"/>
  <c r="L62" i="44"/>
  <c r="L62" i="43"/>
  <c r="L62" i="57" s="1"/>
  <c r="L128" i="57" s="1"/>
  <c r="L22" i="43"/>
  <c r="L22" i="57" s="1"/>
  <c r="L88" i="57" s="1"/>
  <c r="L22" i="44"/>
  <c r="L7" i="43"/>
  <c r="L7" i="44"/>
  <c r="AI35" i="44"/>
  <c r="AI35" i="43"/>
  <c r="AI33" i="44"/>
  <c r="AI45" i="43"/>
  <c r="AE45" i="57" s="1"/>
  <c r="AE111" i="57" s="1"/>
  <c r="AI45" i="44"/>
  <c r="AI42" i="44"/>
  <c r="AH8" i="43"/>
  <c r="AD8" i="57" s="1"/>
  <c r="AD74" i="57" s="1"/>
  <c r="AH8" i="44"/>
  <c r="AH62" i="43"/>
  <c r="AH62" i="44"/>
  <c r="AH64" i="44"/>
  <c r="AH64" i="43"/>
  <c r="X23" i="44"/>
  <c r="X14" i="44"/>
  <c r="X11" i="44"/>
  <c r="X67" i="42"/>
  <c r="X72" i="42" s="1"/>
  <c r="X60" i="43" s="1"/>
  <c r="W60" i="57" s="1"/>
  <c r="W126" i="57" s="1"/>
  <c r="X5" i="44"/>
  <c r="X67" i="44" s="1"/>
  <c r="E14" i="60"/>
  <c r="D9" i="60"/>
  <c r="D7" i="60"/>
  <c r="D13" i="60" s="1"/>
  <c r="D11" i="60"/>
  <c r="F9" i="60"/>
  <c r="F7" i="60"/>
  <c r="F13" i="60" s="1"/>
  <c r="F11" i="60"/>
  <c r="I9" i="60"/>
  <c r="I7" i="60"/>
  <c r="I13" i="60" s="1"/>
  <c r="I11" i="60"/>
  <c r="J9" i="60"/>
  <c r="J7" i="60"/>
  <c r="J13" i="60" s="1"/>
  <c r="H9" i="60"/>
  <c r="H11" i="60"/>
  <c r="W16" i="48"/>
  <c r="V27" i="58"/>
  <c r="V72" i="58" s="1"/>
  <c r="V31" i="58"/>
  <c r="V76" i="58" s="1"/>
  <c r="Q12" i="58"/>
  <c r="Q57" i="58" s="1"/>
  <c r="Q42" i="58"/>
  <c r="Q87" i="58" s="1"/>
  <c r="Q38" i="58"/>
  <c r="Q83" i="58" s="1"/>
  <c r="V8" i="58"/>
  <c r="V53" i="58" s="1"/>
  <c r="V32" i="58"/>
  <c r="V77" i="58" s="1"/>
  <c r="Q11" i="58"/>
  <c r="Q56" i="58" s="1"/>
  <c r="Q14" i="58"/>
  <c r="Q59" i="58" s="1"/>
  <c r="Q22" i="58"/>
  <c r="Q67" i="58" s="1"/>
  <c r="V33" i="58"/>
  <c r="V78" i="58" s="1"/>
  <c r="V19" i="58"/>
  <c r="V64" i="58" s="1"/>
  <c r="Q33" i="58"/>
  <c r="Q78" i="58" s="1"/>
  <c r="Q41" i="58"/>
  <c r="Q86" i="58" s="1"/>
  <c r="V39" i="58"/>
  <c r="V84" i="58" s="1"/>
  <c r="V17" i="58"/>
  <c r="V62" i="58" s="1"/>
  <c r="Q26" i="58"/>
  <c r="Q71" i="58" s="1"/>
  <c r="R8" i="58"/>
  <c r="R53" i="58" s="1"/>
  <c r="R20" i="58"/>
  <c r="R65" i="58" s="1"/>
  <c r="V9" i="58"/>
  <c r="V54" i="58" s="1"/>
  <c r="V16" i="58"/>
  <c r="V61" i="58" s="1"/>
  <c r="V43" i="58"/>
  <c r="V88" i="58" s="1"/>
  <c r="Q8" i="58"/>
  <c r="Q53" i="58" s="1"/>
  <c r="Q15" i="58"/>
  <c r="Q60" i="58" s="1"/>
  <c r="Q30" i="58"/>
  <c r="Q75" i="58" s="1"/>
  <c r="V34" i="58"/>
  <c r="V79" i="58" s="1"/>
  <c r="V20" i="58"/>
  <c r="V65" i="58" s="1"/>
  <c r="Q7" i="58"/>
  <c r="Q52" i="58" s="1"/>
  <c r="Q36" i="58"/>
  <c r="Q81" i="58" s="1"/>
  <c r="Q35" i="58"/>
  <c r="Q80" i="58" s="1"/>
  <c r="V6" i="58"/>
  <c r="V51" i="58" s="1"/>
  <c r="L11" i="60" s="1"/>
  <c r="V38" i="58"/>
  <c r="V83" i="58" s="1"/>
  <c r="Q18" i="58"/>
  <c r="Q63" i="58" s="1"/>
  <c r="Q27" i="58"/>
  <c r="Q72" i="58" s="1"/>
  <c r="Q44" i="58"/>
  <c r="Q89" i="58" s="1"/>
  <c r="V11" i="58"/>
  <c r="V56" i="58" s="1"/>
  <c r="V23" i="58"/>
  <c r="V68" i="58" s="1"/>
  <c r="V22" i="58"/>
  <c r="V67" i="58" s="1"/>
  <c r="Q34" i="58"/>
  <c r="Q79" i="58" s="1"/>
  <c r="Q19" i="58"/>
  <c r="Q64" i="58" s="1"/>
  <c r="R33" i="58"/>
  <c r="R78" i="58" s="1"/>
  <c r="V18" i="58"/>
  <c r="V63" i="58" s="1"/>
  <c r="V44" i="58"/>
  <c r="V89" i="58" s="1"/>
  <c r="V26" i="58"/>
  <c r="V71" i="58" s="1"/>
  <c r="Q37" i="58"/>
  <c r="Q82" i="58" s="1"/>
  <c r="Q17" i="58"/>
  <c r="Q62" i="58" s="1"/>
  <c r="V7" i="58"/>
  <c r="V52" i="58" s="1"/>
  <c r="V14" i="58"/>
  <c r="V59" i="58" s="1"/>
  <c r="V40" i="58"/>
  <c r="V85" i="58" s="1"/>
  <c r="Q29" i="58"/>
  <c r="Q74" i="58" s="1"/>
  <c r="Q23" i="58"/>
  <c r="Q68" i="58" s="1"/>
  <c r="V13" i="58"/>
  <c r="V58" i="58" s="1"/>
  <c r="V30" i="58"/>
  <c r="V75" i="58" s="1"/>
  <c r="V36" i="58"/>
  <c r="V81" i="58" s="1"/>
  <c r="Q10" i="58"/>
  <c r="Q55" i="58" s="1"/>
  <c r="Q43" i="58"/>
  <c r="Q88" i="58" s="1"/>
  <c r="Q31" i="58"/>
  <c r="Q76" i="58" s="1"/>
  <c r="C9" i="60"/>
  <c r="C11" i="60"/>
  <c r="C7" i="60"/>
  <c r="C13" i="60" s="1"/>
  <c r="V41" i="58"/>
  <c r="V86" i="58" s="1"/>
  <c r="V28" i="58"/>
  <c r="V73" i="58" s="1"/>
  <c r="V24" i="58"/>
  <c r="V69" i="58" s="1"/>
  <c r="Q13" i="58"/>
  <c r="Q58" i="58" s="1"/>
  <c r="Q32" i="58"/>
  <c r="Q77" i="58" s="1"/>
  <c r="Q25" i="58"/>
  <c r="Q70" i="58" s="1"/>
  <c r="R27" i="58"/>
  <c r="R72" i="58" s="1"/>
  <c r="R32" i="58"/>
  <c r="R77" i="58" s="1"/>
  <c r="V12" i="58"/>
  <c r="V57" i="58" s="1"/>
  <c r="V15" i="58"/>
  <c r="V60" i="58" s="1"/>
  <c r="Q39" i="58"/>
  <c r="Q84" i="58" s="1"/>
  <c r="Q28" i="58"/>
  <c r="Q73" i="58" s="1"/>
  <c r="V10" i="58"/>
  <c r="V55" i="58" s="1"/>
  <c r="V42" i="58"/>
  <c r="V87" i="58" s="1"/>
  <c r="V21" i="58"/>
  <c r="V66" i="58" s="1"/>
  <c r="Q40" i="58"/>
  <c r="Q85" i="58" s="1"/>
  <c r="Q20" i="58"/>
  <c r="Q65" i="58" s="1"/>
  <c r="R19" i="58"/>
  <c r="R64" i="58" s="1"/>
  <c r="V35" i="58"/>
  <c r="V80" i="58" s="1"/>
  <c r="V25" i="58"/>
  <c r="V70" i="58" s="1"/>
  <c r="Q6" i="58"/>
  <c r="Q51" i="58" s="1"/>
  <c r="G9" i="60" s="1"/>
  <c r="Q21" i="58"/>
  <c r="Q66" i="58" s="1"/>
  <c r="V29" i="58"/>
  <c r="V74" i="58" s="1"/>
  <c r="V37" i="58"/>
  <c r="V82" i="58" s="1"/>
  <c r="Q9" i="58"/>
  <c r="Q54" i="58" s="1"/>
  <c r="Q16" i="58"/>
  <c r="Q61" i="58" s="1"/>
  <c r="Q24" i="58"/>
  <c r="Q69" i="58" s="1"/>
  <c r="W16" i="47"/>
  <c r="W15" i="47"/>
  <c r="Q50" i="43"/>
  <c r="Q50" i="57" s="1"/>
  <c r="Q116" i="57" s="1"/>
  <c r="Q25" i="43"/>
  <c r="Q25" i="57" s="1"/>
  <c r="Q91" i="57" s="1"/>
  <c r="Q17" i="43"/>
  <c r="Q17" i="57" s="1"/>
  <c r="Q83" i="57" s="1"/>
  <c r="Q6" i="43"/>
  <c r="Q6" i="57" s="1"/>
  <c r="Q72" i="57" s="1"/>
  <c r="L50" i="46"/>
  <c r="W11" i="48"/>
  <c r="W41" i="48"/>
  <c r="W9" i="48"/>
  <c r="Q28" i="43"/>
  <c r="Q28" i="57" s="1"/>
  <c r="Q94" i="57" s="1"/>
  <c r="W11" i="47"/>
  <c r="W41" i="47"/>
  <c r="W15" i="48"/>
  <c r="Q43" i="43"/>
  <c r="Q43" i="57" s="1"/>
  <c r="Q109" i="57" s="1"/>
  <c r="Q31" i="43"/>
  <c r="Q31" i="57" s="1"/>
  <c r="Q97" i="57" s="1"/>
  <c r="W35" i="48"/>
  <c r="W22" i="48"/>
  <c r="W30" i="48"/>
  <c r="L13" i="46"/>
  <c r="L11" i="46"/>
  <c r="L9" i="46"/>
  <c r="L7" i="46"/>
  <c r="L5" i="46"/>
  <c r="L14" i="46"/>
  <c r="L6" i="46"/>
  <c r="L35" i="46"/>
  <c r="L27" i="46"/>
  <c r="L8" i="46"/>
  <c r="L41" i="46"/>
  <c r="L19" i="46"/>
  <c r="L18" i="46"/>
  <c r="L44" i="46"/>
  <c r="L37" i="46"/>
  <c r="L12" i="46"/>
  <c r="L32" i="46"/>
  <c r="L23" i="46"/>
  <c r="L10" i="46"/>
  <c r="L26" i="46"/>
  <c r="L42" i="46"/>
  <c r="L31" i="46"/>
  <c r="L24" i="46"/>
  <c r="L15" i="46"/>
  <c r="L39" i="46"/>
  <c r="L16" i="46"/>
  <c r="L30" i="46"/>
  <c r="L43" i="46"/>
  <c r="L28" i="46"/>
  <c r="L20" i="46"/>
  <c r="L21" i="46"/>
  <c r="L33" i="46"/>
  <c r="L17" i="46"/>
  <c r="L34" i="46"/>
  <c r="L36" i="46"/>
  <c r="L25" i="46"/>
  <c r="L22" i="46"/>
  <c r="L40" i="46"/>
  <c r="L38" i="46"/>
  <c r="L29" i="46"/>
  <c r="AA5" i="48"/>
  <c r="AA46" i="48" s="1"/>
  <c r="Z46" i="48"/>
  <c r="S5" i="48"/>
  <c r="S46" i="48" s="1"/>
  <c r="R46" i="48"/>
  <c r="W42" i="48"/>
  <c r="W46" i="46"/>
  <c r="W5" i="47"/>
  <c r="T46" i="47"/>
  <c r="W28" i="48"/>
  <c r="M62" i="43"/>
  <c r="M62" i="57" s="1"/>
  <c r="M128" i="57" s="1"/>
  <c r="M53" i="43"/>
  <c r="M53" i="57" s="1"/>
  <c r="M119" i="57" s="1"/>
  <c r="W6" i="48"/>
  <c r="W36" i="48"/>
  <c r="W34" i="47"/>
  <c r="T68" i="44"/>
  <c r="T68" i="43"/>
  <c r="T68" i="42"/>
  <c r="AB47" i="47"/>
  <c r="X51" i="47" s="1"/>
  <c r="AB47" i="46"/>
  <c r="AB47" i="48"/>
  <c r="AB47" i="45"/>
  <c r="W7" i="48"/>
  <c r="W21" i="48"/>
  <c r="W38" i="47"/>
  <c r="M19" i="43"/>
  <c r="M19" i="57" s="1"/>
  <c r="M85" i="57" s="1"/>
  <c r="Q22" i="43"/>
  <c r="Q22" i="57" s="1"/>
  <c r="Q88" i="57" s="1"/>
  <c r="Q18" i="43"/>
  <c r="Q18" i="57" s="1"/>
  <c r="Q84" i="57" s="1"/>
  <c r="Q40" i="43"/>
  <c r="Q40" i="57" s="1"/>
  <c r="Q106" i="57" s="1"/>
  <c r="Q39" i="43"/>
  <c r="Q39" i="57" s="1"/>
  <c r="Q105" i="57" s="1"/>
  <c r="Q58" i="43"/>
  <c r="Q58" i="57" s="1"/>
  <c r="Q124" i="57" s="1"/>
  <c r="Q45" i="43"/>
  <c r="Q45" i="57" s="1"/>
  <c r="Q111" i="57" s="1"/>
  <c r="Q15" i="43"/>
  <c r="Q15" i="57" s="1"/>
  <c r="Q81" i="57" s="1"/>
  <c r="Q24" i="43"/>
  <c r="Q24" i="57" s="1"/>
  <c r="Q90" i="57" s="1"/>
  <c r="M61" i="43"/>
  <c r="M61" i="57" s="1"/>
  <c r="M127" i="57" s="1"/>
  <c r="W26" i="47"/>
  <c r="M13" i="43"/>
  <c r="M13" i="57" s="1"/>
  <c r="M79" i="57" s="1"/>
  <c r="Q30" i="43"/>
  <c r="Q30" i="57" s="1"/>
  <c r="Q96" i="57" s="1"/>
  <c r="Q54" i="43"/>
  <c r="Q54" i="57" s="1"/>
  <c r="Q120" i="57" s="1"/>
  <c r="V46" i="48"/>
  <c r="M47" i="43"/>
  <c r="M47" i="57" s="1"/>
  <c r="M113" i="57" s="1"/>
  <c r="W13" i="48"/>
  <c r="W24" i="47"/>
  <c r="W28" i="47"/>
  <c r="M23" i="43"/>
  <c r="M23" i="57" s="1"/>
  <c r="M89" i="57" s="1"/>
  <c r="M52" i="43"/>
  <c r="M52" i="57" s="1"/>
  <c r="M118" i="57" s="1"/>
  <c r="W6" i="47"/>
  <c r="Q10" i="43"/>
  <c r="Q10" i="57" s="1"/>
  <c r="Q76" i="57" s="1"/>
  <c r="Q20" i="43"/>
  <c r="Q20" i="57" s="1"/>
  <c r="Q86" i="57" s="1"/>
  <c r="Q57" i="43"/>
  <c r="Q57" i="57" s="1"/>
  <c r="Q123" i="57" s="1"/>
  <c r="U46" i="47"/>
  <c r="W35" i="47"/>
  <c r="W30" i="47"/>
  <c r="Q21" i="43"/>
  <c r="Q21" i="57" s="1"/>
  <c r="Q87" i="57" s="1"/>
  <c r="Q51" i="43"/>
  <c r="Q51" i="57" s="1"/>
  <c r="Q117" i="57" s="1"/>
  <c r="Q16" i="43"/>
  <c r="Q16" i="57" s="1"/>
  <c r="Q82" i="57" s="1"/>
  <c r="Q61" i="43"/>
  <c r="Q61" i="57" s="1"/>
  <c r="Q127" i="57" s="1"/>
  <c r="W7" i="47"/>
  <c r="W21" i="47"/>
  <c r="W43" i="47"/>
  <c r="Q19" i="43"/>
  <c r="Q19" i="57" s="1"/>
  <c r="Q85" i="57" s="1"/>
  <c r="Q67" i="44"/>
  <c r="AA5" i="47"/>
  <c r="AA46" i="47" s="1"/>
  <c r="Z46" i="47"/>
  <c r="S46" i="46"/>
  <c r="M26" i="43"/>
  <c r="M26" i="57" s="1"/>
  <c r="M92" i="57" s="1"/>
  <c r="M30" i="43"/>
  <c r="M30" i="57" s="1"/>
  <c r="M96" i="57" s="1"/>
  <c r="M11" i="43"/>
  <c r="M11" i="57" s="1"/>
  <c r="M77" i="57" s="1"/>
  <c r="W39" i="48"/>
  <c r="W18" i="47"/>
  <c r="W17" i="48"/>
  <c r="M37" i="43"/>
  <c r="M37" i="57" s="1"/>
  <c r="M103" i="57" s="1"/>
  <c r="W13" i="47"/>
  <c r="W14" i="47"/>
  <c r="W44" i="48"/>
  <c r="W40" i="48"/>
  <c r="W37" i="48"/>
  <c r="M31" i="43"/>
  <c r="M31" i="57" s="1"/>
  <c r="M97" i="57" s="1"/>
  <c r="Q27" i="43"/>
  <c r="Q27" i="57" s="1"/>
  <c r="Q93" i="57" s="1"/>
  <c r="Q42" i="43"/>
  <c r="Q42" i="57" s="1"/>
  <c r="Q108" i="57" s="1"/>
  <c r="Q14" i="43"/>
  <c r="Q14" i="57" s="1"/>
  <c r="Q80" i="57" s="1"/>
  <c r="Q11" i="43"/>
  <c r="Q11" i="57" s="1"/>
  <c r="Q77" i="57" s="1"/>
  <c r="Q32" i="43"/>
  <c r="Q32" i="57" s="1"/>
  <c r="Q98" i="57" s="1"/>
  <c r="Q49" i="43"/>
  <c r="Q49" i="57" s="1"/>
  <c r="Q115" i="57" s="1"/>
  <c r="Q56" i="43"/>
  <c r="Q56" i="57" s="1"/>
  <c r="Q122" i="57" s="1"/>
  <c r="Q48" i="43"/>
  <c r="Q48" i="57" s="1"/>
  <c r="Q114" i="57" s="1"/>
  <c r="N46" i="48"/>
  <c r="W12" i="48"/>
  <c r="W23" i="48"/>
  <c r="W29" i="48"/>
  <c r="W25" i="48"/>
  <c r="W31" i="48"/>
  <c r="M21" i="43"/>
  <c r="M21" i="57" s="1"/>
  <c r="M87" i="57" s="1"/>
  <c r="M44" i="43"/>
  <c r="M44" i="57" s="1"/>
  <c r="M110" i="57" s="1"/>
  <c r="M25" i="43"/>
  <c r="M25" i="57" s="1"/>
  <c r="M91" i="57" s="1"/>
  <c r="W9" i="47"/>
  <c r="W10" i="48"/>
  <c r="W22" i="47"/>
  <c r="M24" i="43"/>
  <c r="M24" i="57" s="1"/>
  <c r="M90" i="57" s="1"/>
  <c r="M8" i="43"/>
  <c r="M8" i="57" s="1"/>
  <c r="M74" i="57" s="1"/>
  <c r="M12" i="43"/>
  <c r="M12" i="57" s="1"/>
  <c r="M78" i="57" s="1"/>
  <c r="M41" i="43"/>
  <c r="M41" i="57" s="1"/>
  <c r="M107" i="57" s="1"/>
  <c r="M40" i="43"/>
  <c r="M40" i="57" s="1"/>
  <c r="M106" i="57" s="1"/>
  <c r="M15" i="43"/>
  <c r="M15" i="57" s="1"/>
  <c r="M81" i="57" s="1"/>
  <c r="M35" i="43"/>
  <c r="M35" i="57" s="1"/>
  <c r="M101" i="57" s="1"/>
  <c r="M36" i="43"/>
  <c r="M36" i="57" s="1"/>
  <c r="M102" i="57" s="1"/>
  <c r="M43" i="43"/>
  <c r="M43" i="57" s="1"/>
  <c r="M109" i="57" s="1"/>
  <c r="M28" i="43"/>
  <c r="M28" i="57" s="1"/>
  <c r="M94" i="57" s="1"/>
  <c r="M55" i="43"/>
  <c r="M55" i="57" s="1"/>
  <c r="M121" i="57" s="1"/>
  <c r="M46" i="43"/>
  <c r="M46" i="57" s="1"/>
  <c r="M112" i="57" s="1"/>
  <c r="M38" i="43"/>
  <c r="M38" i="57" s="1"/>
  <c r="M104" i="57" s="1"/>
  <c r="M50" i="43"/>
  <c r="M50" i="57" s="1"/>
  <c r="M116" i="57" s="1"/>
  <c r="M58" i="43"/>
  <c r="M58" i="57" s="1"/>
  <c r="M124" i="57" s="1"/>
  <c r="M18" i="43"/>
  <c r="M18" i="57" s="1"/>
  <c r="M84" i="57" s="1"/>
  <c r="M27" i="43"/>
  <c r="M27" i="57" s="1"/>
  <c r="M93" i="57" s="1"/>
  <c r="M65" i="43"/>
  <c r="M65" i="57" s="1"/>
  <c r="M131" i="57" s="1"/>
  <c r="M22" i="43"/>
  <c r="M22" i="57" s="1"/>
  <c r="M88" i="57" s="1"/>
  <c r="M34" i="43"/>
  <c r="M34" i="57" s="1"/>
  <c r="M100" i="57" s="1"/>
  <c r="M39" i="43"/>
  <c r="M39" i="57" s="1"/>
  <c r="M105" i="57" s="1"/>
  <c r="M42" i="43"/>
  <c r="M42" i="57" s="1"/>
  <c r="M108" i="57" s="1"/>
  <c r="AA46" i="46"/>
  <c r="S5" i="47"/>
  <c r="S46" i="47" s="1"/>
  <c r="R46" i="47"/>
  <c r="M49" i="43"/>
  <c r="M49" i="57" s="1"/>
  <c r="M115" i="57" s="1"/>
  <c r="Q59" i="43"/>
  <c r="Q59" i="57" s="1"/>
  <c r="Q125" i="57" s="1"/>
  <c r="Q33" i="43"/>
  <c r="Q33" i="57" s="1"/>
  <c r="Q99" i="57" s="1"/>
  <c r="W18" i="48"/>
  <c r="Q35" i="43"/>
  <c r="Q35" i="57" s="1"/>
  <c r="Q101" i="57" s="1"/>
  <c r="Q63" i="43"/>
  <c r="Q63" i="57" s="1"/>
  <c r="Q129" i="57" s="1"/>
  <c r="M54" i="43"/>
  <c r="M54" i="57" s="1"/>
  <c r="M120" i="57" s="1"/>
  <c r="W5" i="48"/>
  <c r="T46" i="48"/>
  <c r="M5" i="43"/>
  <c r="M5" i="57" s="1"/>
  <c r="M71" i="57" s="1"/>
  <c r="M17" i="43"/>
  <c r="M17" i="57" s="1"/>
  <c r="M83" i="57" s="1"/>
  <c r="M63" i="43"/>
  <c r="M63" i="57" s="1"/>
  <c r="M129" i="57" s="1"/>
  <c r="P46" i="47"/>
  <c r="W36" i="47"/>
  <c r="W42" i="47"/>
  <c r="W33" i="48"/>
  <c r="M10" i="43"/>
  <c r="M10" i="57" s="1"/>
  <c r="M76" i="57" s="1"/>
  <c r="M6" i="43"/>
  <c r="M6" i="57" s="1"/>
  <c r="M72" i="57" s="1"/>
  <c r="M64" i="43"/>
  <c r="M64" i="57" s="1"/>
  <c r="M130" i="57" s="1"/>
  <c r="L50" i="47"/>
  <c r="Q5" i="43"/>
  <c r="Q5" i="57" s="1"/>
  <c r="Q71" i="57" s="1"/>
  <c r="Q46" i="43"/>
  <c r="Q46" i="57" s="1"/>
  <c r="Q112" i="57" s="1"/>
  <c r="Q36" i="43"/>
  <c r="Q36" i="57" s="1"/>
  <c r="Q102" i="57" s="1"/>
  <c r="Q9" i="43"/>
  <c r="Q9" i="57" s="1"/>
  <c r="Q75" i="57" s="1"/>
  <c r="Q47" i="43"/>
  <c r="Q47" i="57" s="1"/>
  <c r="Q113" i="57" s="1"/>
  <c r="Q62" i="43"/>
  <c r="Q62" i="57" s="1"/>
  <c r="Q128" i="57" s="1"/>
  <c r="M59" i="43"/>
  <c r="M59" i="57" s="1"/>
  <c r="M125" i="57" s="1"/>
  <c r="M33" i="43"/>
  <c r="M33" i="57" s="1"/>
  <c r="M99" i="57" s="1"/>
  <c r="Q23" i="43"/>
  <c r="Q23" i="57" s="1"/>
  <c r="Q89" i="57" s="1"/>
  <c r="Q38" i="43"/>
  <c r="Q38" i="57" s="1"/>
  <c r="Q104" i="57" s="1"/>
  <c r="Q55" i="43"/>
  <c r="Q55" i="57" s="1"/>
  <c r="Q121" i="57" s="1"/>
  <c r="Q53" i="43"/>
  <c r="Q53" i="57" s="1"/>
  <c r="Q119" i="57" s="1"/>
  <c r="Q65" i="43"/>
  <c r="Q65" i="57" s="1"/>
  <c r="Q131" i="57" s="1"/>
  <c r="M7" i="43"/>
  <c r="M7" i="57" s="1"/>
  <c r="M73" i="57" s="1"/>
  <c r="W39" i="47"/>
  <c r="W26" i="48"/>
  <c r="W17" i="47"/>
  <c r="M14" i="43"/>
  <c r="M14" i="57" s="1"/>
  <c r="M80" i="57" s="1"/>
  <c r="Q13" i="43"/>
  <c r="Q13" i="57" s="1"/>
  <c r="Q79" i="57" s="1"/>
  <c r="Q26" i="43"/>
  <c r="Q26" i="57" s="1"/>
  <c r="Q92" i="57" s="1"/>
  <c r="Q44" i="43"/>
  <c r="Q44" i="57" s="1"/>
  <c r="Q110" i="57" s="1"/>
  <c r="Q64" i="43"/>
  <c r="Q64" i="57" s="1"/>
  <c r="Q130" i="57" s="1"/>
  <c r="V46" i="47"/>
  <c r="W14" i="48"/>
  <c r="W44" i="47"/>
  <c r="W40" i="47"/>
  <c r="W37" i="47"/>
  <c r="M67" i="44"/>
  <c r="M20" i="43"/>
  <c r="M20" i="57" s="1"/>
  <c r="M86" i="57" s="1"/>
  <c r="M29" i="43"/>
  <c r="M29" i="57" s="1"/>
  <c r="M95" i="57" s="1"/>
  <c r="N46" i="47"/>
  <c r="M51" i="43"/>
  <c r="M51" i="57" s="1"/>
  <c r="M117" i="57" s="1"/>
  <c r="P46" i="48"/>
  <c r="M32" i="43"/>
  <c r="M32" i="57" s="1"/>
  <c r="M98" i="57" s="1"/>
  <c r="W12" i="47"/>
  <c r="W23" i="47"/>
  <c r="W29" i="47"/>
  <c r="W25" i="47"/>
  <c r="W31" i="47"/>
  <c r="Q37" i="43"/>
  <c r="Q37" i="57" s="1"/>
  <c r="Q103" i="57" s="1"/>
  <c r="Q34" i="43"/>
  <c r="Q34" i="57" s="1"/>
  <c r="Q100" i="57" s="1"/>
  <c r="Q60" i="43"/>
  <c r="Q60" i="57" s="1"/>
  <c r="Q126" i="57" s="1"/>
  <c r="U46" i="48"/>
  <c r="W10" i="47"/>
  <c r="W34" i="48"/>
  <c r="M56" i="43"/>
  <c r="M56" i="57" s="1"/>
  <c r="M122" i="57" s="1"/>
  <c r="Q8" i="43"/>
  <c r="Q8" i="57" s="1"/>
  <c r="Q74" i="57" s="1"/>
  <c r="Q41" i="43"/>
  <c r="Q41" i="57" s="1"/>
  <c r="Q107" i="57" s="1"/>
  <c r="Q52" i="43"/>
  <c r="Q52" i="57" s="1"/>
  <c r="Q118" i="57" s="1"/>
  <c r="D29" i="5"/>
  <c r="D47" i="5"/>
  <c r="F35" i="5"/>
  <c r="E35" i="5"/>
  <c r="F10" i="5"/>
  <c r="F29" i="5" s="1"/>
  <c r="E10" i="5"/>
  <c r="X11" i="43" l="1"/>
  <c r="W11" i="57" s="1"/>
  <c r="W77" i="57" s="1"/>
  <c r="AA22" i="57"/>
  <c r="AA88" i="57" s="1"/>
  <c r="AD22" i="43"/>
  <c r="AC12" i="43"/>
  <c r="AC56" i="43"/>
  <c r="AC19" i="43"/>
  <c r="AC54" i="43"/>
  <c r="AC9" i="43"/>
  <c r="AC58" i="43"/>
  <c r="AC11" i="43"/>
  <c r="AC55" i="43"/>
  <c r="AC6" i="43"/>
  <c r="AC50" i="43"/>
  <c r="AC28" i="43"/>
  <c r="AC23" i="43"/>
  <c r="AC8" i="43"/>
  <c r="AC63" i="43"/>
  <c r="AC14" i="43"/>
  <c r="AC32" i="43"/>
  <c r="AC20" i="43"/>
  <c r="AC38" i="43"/>
  <c r="AC46" i="43"/>
  <c r="AC13" i="43"/>
  <c r="AC49" i="43"/>
  <c r="AC18" i="43"/>
  <c r="AC52" i="43"/>
  <c r="AC24" i="43"/>
  <c r="AC61" i="43"/>
  <c r="AC27" i="43"/>
  <c r="AC15" i="43"/>
  <c r="AC51" i="43"/>
  <c r="AC35" i="43"/>
  <c r="AC31" i="43"/>
  <c r="AC47" i="43"/>
  <c r="AC37" i="43"/>
  <c r="AC48" i="43"/>
  <c r="AC42" i="43"/>
  <c r="AC40" i="43"/>
  <c r="AC45" i="43"/>
  <c r="AC43" i="43"/>
  <c r="AC57" i="43"/>
  <c r="AC5" i="43"/>
  <c r="AC7" i="43"/>
  <c r="AC21" i="43"/>
  <c r="AC26" i="43"/>
  <c r="AC25" i="43"/>
  <c r="AC65" i="43"/>
  <c r="AC62" i="43"/>
  <c r="AC17" i="43"/>
  <c r="AC64" i="43"/>
  <c r="AC44" i="43"/>
  <c r="AC53" i="43"/>
  <c r="AC30" i="43"/>
  <c r="AC16" i="43"/>
  <c r="W55" i="43"/>
  <c r="V55" i="57" s="1"/>
  <c r="V121" i="57" s="1"/>
  <c r="W21" i="43"/>
  <c r="V21" i="57" s="1"/>
  <c r="V87" i="57" s="1"/>
  <c r="W44" i="43"/>
  <c r="V44" i="57" s="1"/>
  <c r="V110" i="57" s="1"/>
  <c r="W6" i="43"/>
  <c r="V6" i="57" s="1"/>
  <c r="V72" i="57" s="1"/>
  <c r="W35" i="43"/>
  <c r="V35" i="57" s="1"/>
  <c r="V101" i="57" s="1"/>
  <c r="W28" i="43"/>
  <c r="V28" i="57" s="1"/>
  <c r="V94" i="57" s="1"/>
  <c r="W40" i="43"/>
  <c r="V40" i="57" s="1"/>
  <c r="V106" i="57" s="1"/>
  <c r="W34" i="43"/>
  <c r="V34" i="57" s="1"/>
  <c r="V100" i="57" s="1"/>
  <c r="W38" i="43"/>
  <c r="V38" i="57" s="1"/>
  <c r="V104" i="57" s="1"/>
  <c r="W14" i="43"/>
  <c r="V14" i="57" s="1"/>
  <c r="V80" i="57" s="1"/>
  <c r="W56" i="43"/>
  <c r="V56" i="57" s="1"/>
  <c r="V122" i="57" s="1"/>
  <c r="W50" i="43"/>
  <c r="V50" i="57" s="1"/>
  <c r="V116" i="57" s="1"/>
  <c r="W13" i="43"/>
  <c r="V13" i="57" s="1"/>
  <c r="V79" i="57" s="1"/>
  <c r="W51" i="43"/>
  <c r="V51" i="57" s="1"/>
  <c r="V117" i="57" s="1"/>
  <c r="W15" i="43"/>
  <c r="V15" i="57" s="1"/>
  <c r="V81" i="57" s="1"/>
  <c r="W42" i="43"/>
  <c r="V42" i="57" s="1"/>
  <c r="V108" i="57" s="1"/>
  <c r="W53" i="43"/>
  <c r="V53" i="57" s="1"/>
  <c r="V119" i="57" s="1"/>
  <c r="W60" i="43"/>
  <c r="V60" i="57" s="1"/>
  <c r="V126" i="57" s="1"/>
  <c r="W43" i="43"/>
  <c r="V43" i="57" s="1"/>
  <c r="V109" i="57" s="1"/>
  <c r="W25" i="43"/>
  <c r="V25" i="57" s="1"/>
  <c r="V91" i="57" s="1"/>
  <c r="W24" i="43"/>
  <c r="V24" i="57" s="1"/>
  <c r="V90" i="57" s="1"/>
  <c r="W57" i="43"/>
  <c r="V57" i="57" s="1"/>
  <c r="V123" i="57" s="1"/>
  <c r="W58" i="43"/>
  <c r="V58" i="57" s="1"/>
  <c r="V124" i="57" s="1"/>
  <c r="W9" i="43"/>
  <c r="V9" i="57" s="1"/>
  <c r="V75" i="57" s="1"/>
  <c r="W48" i="43"/>
  <c r="V48" i="57" s="1"/>
  <c r="V114" i="57" s="1"/>
  <c r="W20" i="43"/>
  <c r="V20" i="57" s="1"/>
  <c r="V86" i="57" s="1"/>
  <c r="W61" i="43"/>
  <c r="V61" i="57" s="1"/>
  <c r="V127" i="57" s="1"/>
  <c r="W27" i="43"/>
  <c r="V27" i="57" s="1"/>
  <c r="V93" i="57" s="1"/>
  <c r="W12" i="43"/>
  <c r="V12" i="57" s="1"/>
  <c r="V78" i="57" s="1"/>
  <c r="W7" i="43"/>
  <c r="V7" i="57" s="1"/>
  <c r="V73" i="57" s="1"/>
  <c r="W17" i="43"/>
  <c r="V17" i="57" s="1"/>
  <c r="V83" i="57" s="1"/>
  <c r="W37" i="43"/>
  <c r="V37" i="57" s="1"/>
  <c r="V103" i="57" s="1"/>
  <c r="W47" i="43"/>
  <c r="V47" i="57" s="1"/>
  <c r="V113" i="57" s="1"/>
  <c r="W39" i="43"/>
  <c r="V39" i="57" s="1"/>
  <c r="V105" i="57" s="1"/>
  <c r="W18" i="43"/>
  <c r="V18" i="57" s="1"/>
  <c r="V84" i="57" s="1"/>
  <c r="W22" i="43"/>
  <c r="V22" i="57" s="1"/>
  <c r="V88" i="57" s="1"/>
  <c r="W11" i="43"/>
  <c r="V11" i="57" s="1"/>
  <c r="V77" i="57" s="1"/>
  <c r="W64" i="43"/>
  <c r="V64" i="57" s="1"/>
  <c r="V130" i="57" s="1"/>
  <c r="W8" i="43"/>
  <c r="V8" i="57" s="1"/>
  <c r="V74" i="57" s="1"/>
  <c r="W19" i="43"/>
  <c r="V19" i="57" s="1"/>
  <c r="V85" i="57" s="1"/>
  <c r="W31" i="43"/>
  <c r="V31" i="57" s="1"/>
  <c r="V97" i="57" s="1"/>
  <c r="W59" i="43"/>
  <c r="V59" i="57" s="1"/>
  <c r="V125" i="57" s="1"/>
  <c r="W32" i="43"/>
  <c r="V32" i="57" s="1"/>
  <c r="V98" i="57" s="1"/>
  <c r="W46" i="43"/>
  <c r="V46" i="57" s="1"/>
  <c r="V112" i="57" s="1"/>
  <c r="W63" i="43"/>
  <c r="V63" i="57" s="1"/>
  <c r="V129" i="57" s="1"/>
  <c r="W10" i="43"/>
  <c r="V10" i="57" s="1"/>
  <c r="V76" i="57" s="1"/>
  <c r="W36" i="43"/>
  <c r="V36" i="57" s="1"/>
  <c r="V102" i="57" s="1"/>
  <c r="W26" i="43"/>
  <c r="V26" i="57" s="1"/>
  <c r="V92" i="57" s="1"/>
  <c r="W5" i="43"/>
  <c r="W65" i="43"/>
  <c r="V65" i="57" s="1"/>
  <c r="V131" i="57" s="1"/>
  <c r="W62" i="43"/>
  <c r="V62" i="57" s="1"/>
  <c r="V128" i="57" s="1"/>
  <c r="W45" i="43"/>
  <c r="V45" i="57" s="1"/>
  <c r="V111" i="57" s="1"/>
  <c r="W49" i="43"/>
  <c r="V49" i="57" s="1"/>
  <c r="V115" i="57" s="1"/>
  <c r="W29" i="43"/>
  <c r="V29" i="57" s="1"/>
  <c r="V95" i="57" s="1"/>
  <c r="W30" i="43"/>
  <c r="V30" i="57" s="1"/>
  <c r="V96" i="57" s="1"/>
  <c r="W33" i="43"/>
  <c r="V33" i="57" s="1"/>
  <c r="V99" i="57" s="1"/>
  <c r="W41" i="43"/>
  <c r="V41" i="57" s="1"/>
  <c r="V107" i="57" s="1"/>
  <c r="W23" i="43"/>
  <c r="V23" i="57" s="1"/>
  <c r="V89" i="57" s="1"/>
  <c r="W16" i="43"/>
  <c r="V16" i="57" s="1"/>
  <c r="V82" i="57" s="1"/>
  <c r="W54" i="43"/>
  <c r="V54" i="57" s="1"/>
  <c r="V120" i="57" s="1"/>
  <c r="W52" i="43"/>
  <c r="V52" i="57" s="1"/>
  <c r="V118" i="57" s="1"/>
  <c r="T62" i="57"/>
  <c r="T128" i="57" s="1"/>
  <c r="O9" i="59"/>
  <c r="O15" i="59" s="1"/>
  <c r="O7" i="59"/>
  <c r="O13" i="59" s="1"/>
  <c r="O11" i="59"/>
  <c r="X29" i="43"/>
  <c r="W29" i="57" s="1"/>
  <c r="W95" i="57" s="1"/>
  <c r="S72" i="42"/>
  <c r="R72" i="42"/>
  <c r="AD6" i="57"/>
  <c r="AD72" i="57" s="1"/>
  <c r="AD35" i="57"/>
  <c r="AD101" i="57" s="1"/>
  <c r="AI19" i="43"/>
  <c r="AE19" i="57" s="1"/>
  <c r="AE85" i="57" s="1"/>
  <c r="L24" i="57"/>
  <c r="L90" i="57" s="1"/>
  <c r="L37" i="57"/>
  <c r="L103" i="57" s="1"/>
  <c r="L63" i="43"/>
  <c r="L63" i="57" s="1"/>
  <c r="L129" i="57" s="1"/>
  <c r="L52" i="43"/>
  <c r="L52" i="57" s="1"/>
  <c r="L118" i="57" s="1"/>
  <c r="L50" i="43"/>
  <c r="L50" i="57" s="1"/>
  <c r="L116" i="57" s="1"/>
  <c r="L5" i="43"/>
  <c r="L45" i="43"/>
  <c r="L45" i="57" s="1"/>
  <c r="L111" i="57" s="1"/>
  <c r="L39" i="43"/>
  <c r="L39" i="57" s="1"/>
  <c r="L105" i="57" s="1"/>
  <c r="L14" i="43"/>
  <c r="L14" i="57" s="1"/>
  <c r="L80" i="57" s="1"/>
  <c r="L20" i="43"/>
  <c r="L20" i="57" s="1"/>
  <c r="L86" i="57" s="1"/>
  <c r="L16" i="43"/>
  <c r="L16" i="57" s="1"/>
  <c r="L82" i="57" s="1"/>
  <c r="L65" i="43"/>
  <c r="L65" i="57" s="1"/>
  <c r="L131" i="57" s="1"/>
  <c r="L56" i="43"/>
  <c r="L56" i="57" s="1"/>
  <c r="L122" i="57" s="1"/>
  <c r="L48" i="43"/>
  <c r="L48" i="57" s="1"/>
  <c r="L114" i="57" s="1"/>
  <c r="L12" i="43"/>
  <c r="L12" i="57" s="1"/>
  <c r="L78" i="57" s="1"/>
  <c r="L34" i="43"/>
  <c r="L34" i="57" s="1"/>
  <c r="L100" i="57" s="1"/>
  <c r="L33" i="43"/>
  <c r="L33" i="57" s="1"/>
  <c r="L99" i="57" s="1"/>
  <c r="L54" i="43"/>
  <c r="L54" i="57" s="1"/>
  <c r="L120" i="57" s="1"/>
  <c r="L58" i="43"/>
  <c r="L58" i="57" s="1"/>
  <c r="L124" i="57" s="1"/>
  <c r="L47" i="43"/>
  <c r="L47" i="57" s="1"/>
  <c r="L113" i="57" s="1"/>
  <c r="L18" i="43"/>
  <c r="L18" i="57" s="1"/>
  <c r="L84" i="57" s="1"/>
  <c r="L49" i="43"/>
  <c r="L49" i="57" s="1"/>
  <c r="L115" i="57" s="1"/>
  <c r="L17" i="43"/>
  <c r="L17" i="57" s="1"/>
  <c r="L83" i="57" s="1"/>
  <c r="X30" i="43"/>
  <c r="W30" i="57" s="1"/>
  <c r="W96" i="57" s="1"/>
  <c r="X27" i="43"/>
  <c r="W27" i="57" s="1"/>
  <c r="W93" i="57" s="1"/>
  <c r="AD18" i="57"/>
  <c r="AD84" i="57" s="1"/>
  <c r="AI67" i="44"/>
  <c r="AI57" i="43"/>
  <c r="AE57" i="57" s="1"/>
  <c r="AE123" i="57" s="1"/>
  <c r="L43" i="43"/>
  <c r="L43" i="57" s="1"/>
  <c r="L109" i="57" s="1"/>
  <c r="L31" i="43"/>
  <c r="L31" i="57" s="1"/>
  <c r="L97" i="57" s="1"/>
  <c r="L30" i="43"/>
  <c r="L30" i="57" s="1"/>
  <c r="L96" i="57" s="1"/>
  <c r="X22" i="43"/>
  <c r="W22" i="57" s="1"/>
  <c r="W88" i="57" s="1"/>
  <c r="L11" i="43"/>
  <c r="L11" i="57" s="1"/>
  <c r="L77" i="57" s="1"/>
  <c r="L32" i="43"/>
  <c r="L32" i="57" s="1"/>
  <c r="L98" i="57" s="1"/>
  <c r="AC10" i="43"/>
  <c r="AC36" i="43"/>
  <c r="X23" i="43"/>
  <c r="W23" i="57" s="1"/>
  <c r="W89" i="57" s="1"/>
  <c r="AD62" i="57"/>
  <c r="AD128" i="57" s="1"/>
  <c r="AI42" i="43"/>
  <c r="AE42" i="57" s="1"/>
  <c r="AE108" i="57" s="1"/>
  <c r="AI33" i="43"/>
  <c r="AE33" i="57" s="1"/>
  <c r="AE99" i="57" s="1"/>
  <c r="L7" i="57"/>
  <c r="L73" i="57" s="1"/>
  <c r="L9" i="57"/>
  <c r="L75" i="57" s="1"/>
  <c r="L35" i="57"/>
  <c r="L101" i="57" s="1"/>
  <c r="L6" i="57"/>
  <c r="L72" i="57" s="1"/>
  <c r="AD67" i="42"/>
  <c r="U21" i="43"/>
  <c r="T21" i="57" s="1"/>
  <c r="T87" i="57" s="1"/>
  <c r="AD23" i="57"/>
  <c r="AD89" i="57" s="1"/>
  <c r="AD26" i="57"/>
  <c r="AD92" i="57" s="1"/>
  <c r="AD22" i="57"/>
  <c r="AD88" i="57" s="1"/>
  <c r="L60" i="43"/>
  <c r="L60" i="57" s="1"/>
  <c r="L126" i="57" s="1"/>
  <c r="U25" i="43"/>
  <c r="T25" i="57" s="1"/>
  <c r="T91" i="57" s="1"/>
  <c r="U15" i="43"/>
  <c r="T15" i="57" s="1"/>
  <c r="T81" i="57" s="1"/>
  <c r="X10" i="43"/>
  <c r="W10" i="57" s="1"/>
  <c r="W76" i="57" s="1"/>
  <c r="L27" i="43"/>
  <c r="L27" i="57" s="1"/>
  <c r="L93" i="57" s="1"/>
  <c r="L25" i="43"/>
  <c r="L25" i="57" s="1"/>
  <c r="L91" i="57" s="1"/>
  <c r="AC60" i="43"/>
  <c r="U44" i="43"/>
  <c r="T44" i="57" s="1"/>
  <c r="T110" i="57" s="1"/>
  <c r="X46" i="43"/>
  <c r="W46" i="57" s="1"/>
  <c r="W112" i="57" s="1"/>
  <c r="X53" i="43"/>
  <c r="W53" i="57" s="1"/>
  <c r="W119" i="57" s="1"/>
  <c r="AH10" i="43"/>
  <c r="AD10" i="57" s="1"/>
  <c r="AD76" i="57" s="1"/>
  <c r="AI48" i="43"/>
  <c r="AE48" i="57" s="1"/>
  <c r="AE114" i="57" s="1"/>
  <c r="AI23" i="43"/>
  <c r="AE23" i="57" s="1"/>
  <c r="AE89" i="57" s="1"/>
  <c r="AI55" i="43"/>
  <c r="AE55" i="57" s="1"/>
  <c r="AE121" i="57" s="1"/>
  <c r="L19" i="43"/>
  <c r="L19" i="57" s="1"/>
  <c r="L85" i="57" s="1"/>
  <c r="L28" i="43"/>
  <c r="L28" i="57" s="1"/>
  <c r="L94" i="57" s="1"/>
  <c r="L64" i="43"/>
  <c r="L64" i="57" s="1"/>
  <c r="L130" i="57" s="1"/>
  <c r="AC34" i="43"/>
  <c r="Y11" i="42"/>
  <c r="Y35" i="42"/>
  <c r="Y35" i="44" s="1"/>
  <c r="Y27" i="42"/>
  <c r="Y27" i="44" s="1"/>
  <c r="Y19" i="42"/>
  <c r="Y7" i="42"/>
  <c r="Y7" i="44" s="1"/>
  <c r="Y24" i="42"/>
  <c r="Y60" i="42"/>
  <c r="Y60" i="44" s="1"/>
  <c r="Y28" i="42"/>
  <c r="Y30" i="42"/>
  <c r="Y30" i="44" s="1"/>
  <c r="Y43" i="42"/>
  <c r="Y18" i="42"/>
  <c r="Y18" i="44" s="1"/>
  <c r="Y49" i="42"/>
  <c r="Y53" i="42"/>
  <c r="Y53" i="44" s="1"/>
  <c r="Y56" i="42"/>
  <c r="Y59" i="42"/>
  <c r="Y59" i="44" s="1"/>
  <c r="Y9" i="42"/>
  <c r="Y9" i="44" s="1"/>
  <c r="Y33" i="42"/>
  <c r="Y25" i="42"/>
  <c r="Y25" i="44" s="1"/>
  <c r="Y17" i="42"/>
  <c r="Y52" i="42"/>
  <c r="Y52" i="44" s="1"/>
  <c r="Y16" i="42"/>
  <c r="Y16" i="44" s="1"/>
  <c r="Y55" i="42"/>
  <c r="Y55" i="44" s="1"/>
  <c r="Y20" i="42"/>
  <c r="Y22" i="42"/>
  <c r="Y22" i="44" s="1"/>
  <c r="Y42" i="42"/>
  <c r="Y58" i="42"/>
  <c r="Y37" i="42"/>
  <c r="Y37" i="44" s="1"/>
  <c r="Y46" i="42"/>
  <c r="Y41" i="42"/>
  <c r="Y41" i="44" s="1"/>
  <c r="Y47" i="42"/>
  <c r="Y47" i="44" s="1"/>
  <c r="Y44" i="42"/>
  <c r="Y31" i="42"/>
  <c r="Y23" i="42"/>
  <c r="Y15" i="42"/>
  <c r="Y40" i="42"/>
  <c r="Y6" i="42"/>
  <c r="Y48" i="42"/>
  <c r="Y8" i="42"/>
  <c r="Y14" i="42"/>
  <c r="Y34" i="42"/>
  <c r="Y61" i="42"/>
  <c r="Y54" i="42"/>
  <c r="Y57" i="42"/>
  <c r="Y50" i="42"/>
  <c r="Y64" i="42"/>
  <c r="Y39" i="42"/>
  <c r="Y39" i="44" s="1"/>
  <c r="Y29" i="42"/>
  <c r="Y29" i="44" s="1"/>
  <c r="Y21" i="42"/>
  <c r="Y13" i="42"/>
  <c r="Y13" i="44" s="1"/>
  <c r="Y32" i="42"/>
  <c r="Y32" i="44" s="1"/>
  <c r="Y5" i="42"/>
  <c r="Y36" i="42"/>
  <c r="Y36" i="44" s="1"/>
  <c r="Y38" i="42"/>
  <c r="Y38" i="44" s="1"/>
  <c r="Y10" i="42"/>
  <c r="Y10" i="44" s="1"/>
  <c r="Y26" i="42"/>
  <c r="Y26" i="44" s="1"/>
  <c r="Y51" i="42"/>
  <c r="Y51" i="44" s="1"/>
  <c r="Y63" i="42"/>
  <c r="Y63" i="44" s="1"/>
  <c r="Y62" i="42"/>
  <c r="Y62" i="44" s="1"/>
  <c r="Y65" i="42"/>
  <c r="Y65" i="44" s="1"/>
  <c r="Y45" i="42"/>
  <c r="Y45" i="44" s="1"/>
  <c r="H7" i="60"/>
  <c r="H13" i="60" s="1"/>
  <c r="AD64" i="57"/>
  <c r="AD130" i="57" s="1"/>
  <c r="AE35" i="57"/>
  <c r="AE101" i="57" s="1"/>
  <c r="L40" i="57"/>
  <c r="L106" i="57" s="1"/>
  <c r="AD33" i="43"/>
  <c r="AA33" i="57"/>
  <c r="AA99" i="57" s="1"/>
  <c r="AD5" i="44"/>
  <c r="AD67" i="44" s="1"/>
  <c r="AC67" i="44"/>
  <c r="AD29" i="43"/>
  <c r="AA29" i="57"/>
  <c r="AA95" i="57" s="1"/>
  <c r="X26" i="43"/>
  <c r="W26" i="57" s="1"/>
  <c r="W92" i="57" s="1"/>
  <c r="X45" i="43"/>
  <c r="W45" i="57" s="1"/>
  <c r="W111" i="57" s="1"/>
  <c r="U61" i="43"/>
  <c r="T61" i="57" s="1"/>
  <c r="T127" i="57" s="1"/>
  <c r="U59" i="43"/>
  <c r="T59" i="57" s="1"/>
  <c r="T125" i="57" s="1"/>
  <c r="U10" i="43"/>
  <c r="T10" i="57" s="1"/>
  <c r="T76" i="57" s="1"/>
  <c r="U35" i="43"/>
  <c r="T35" i="57" s="1"/>
  <c r="T101" i="57" s="1"/>
  <c r="U54" i="43"/>
  <c r="T54" i="57" s="1"/>
  <c r="T120" i="57" s="1"/>
  <c r="U6" i="43"/>
  <c r="T6" i="57" s="1"/>
  <c r="T72" i="57" s="1"/>
  <c r="U48" i="43"/>
  <c r="T48" i="57" s="1"/>
  <c r="T114" i="57" s="1"/>
  <c r="U32" i="43"/>
  <c r="T32" i="57" s="1"/>
  <c r="T98" i="57" s="1"/>
  <c r="U26" i="43"/>
  <c r="T26" i="57" s="1"/>
  <c r="T92" i="57" s="1"/>
  <c r="U30" i="43"/>
  <c r="T30" i="57" s="1"/>
  <c r="T96" i="57" s="1"/>
  <c r="U50" i="43"/>
  <c r="T50" i="57" s="1"/>
  <c r="T116" i="57" s="1"/>
  <c r="U7" i="43"/>
  <c r="T7" i="57" s="1"/>
  <c r="T73" i="57" s="1"/>
  <c r="U11" i="43"/>
  <c r="T11" i="57" s="1"/>
  <c r="T77" i="57" s="1"/>
  <c r="U9" i="43"/>
  <c r="T9" i="57" s="1"/>
  <c r="T75" i="57" s="1"/>
  <c r="U33" i="43"/>
  <c r="T33" i="57" s="1"/>
  <c r="T99" i="57" s="1"/>
  <c r="U39" i="43"/>
  <c r="T39" i="57" s="1"/>
  <c r="T105" i="57" s="1"/>
  <c r="U46" i="43"/>
  <c r="T46" i="57" s="1"/>
  <c r="T112" i="57" s="1"/>
  <c r="U52" i="43"/>
  <c r="T52" i="57" s="1"/>
  <c r="T118" i="57" s="1"/>
  <c r="U51" i="43"/>
  <c r="T51" i="57" s="1"/>
  <c r="T117" i="57" s="1"/>
  <c r="U29" i="43"/>
  <c r="T29" i="57" s="1"/>
  <c r="T95" i="57" s="1"/>
  <c r="U8" i="43"/>
  <c r="T8" i="57" s="1"/>
  <c r="T74" i="57" s="1"/>
  <c r="U55" i="43"/>
  <c r="T55" i="57" s="1"/>
  <c r="T121" i="57" s="1"/>
  <c r="U16" i="43"/>
  <c r="T16" i="57" s="1"/>
  <c r="T82" i="57" s="1"/>
  <c r="U27" i="43"/>
  <c r="T27" i="57" s="1"/>
  <c r="T93" i="57" s="1"/>
  <c r="U34" i="43"/>
  <c r="T34" i="57" s="1"/>
  <c r="T100" i="57" s="1"/>
  <c r="U40" i="43"/>
  <c r="T40" i="57" s="1"/>
  <c r="T106" i="57" s="1"/>
  <c r="U19" i="43"/>
  <c r="U18" i="43"/>
  <c r="T18" i="57" s="1"/>
  <c r="T84" i="57" s="1"/>
  <c r="U45" i="43"/>
  <c r="T45" i="57" s="1"/>
  <c r="T111" i="57" s="1"/>
  <c r="U31" i="43"/>
  <c r="T31" i="57" s="1"/>
  <c r="T97" i="57" s="1"/>
  <c r="U20" i="43"/>
  <c r="T20" i="57" s="1"/>
  <c r="T86" i="57" s="1"/>
  <c r="U22" i="43"/>
  <c r="T22" i="57" s="1"/>
  <c r="T88" i="57" s="1"/>
  <c r="U12" i="43"/>
  <c r="U43" i="43"/>
  <c r="T43" i="57" s="1"/>
  <c r="T109" i="57" s="1"/>
  <c r="U14" i="43"/>
  <c r="T14" i="57" s="1"/>
  <c r="T80" i="57" s="1"/>
  <c r="U5" i="43"/>
  <c r="U24" i="43"/>
  <c r="T24" i="57" s="1"/>
  <c r="T90" i="57" s="1"/>
  <c r="U60" i="43"/>
  <c r="T60" i="57" s="1"/>
  <c r="T126" i="57" s="1"/>
  <c r="U37" i="43"/>
  <c r="T37" i="57" s="1"/>
  <c r="T103" i="57" s="1"/>
  <c r="U64" i="43"/>
  <c r="T64" i="57" s="1"/>
  <c r="T130" i="57" s="1"/>
  <c r="U47" i="43"/>
  <c r="T47" i="57" s="1"/>
  <c r="T113" i="57" s="1"/>
  <c r="U13" i="43"/>
  <c r="T13" i="57" s="1"/>
  <c r="T79" i="57" s="1"/>
  <c r="U53" i="43"/>
  <c r="T53" i="57" s="1"/>
  <c r="T119" i="57" s="1"/>
  <c r="U38" i="43"/>
  <c r="T38" i="57" s="1"/>
  <c r="T104" i="57" s="1"/>
  <c r="U42" i="43"/>
  <c r="U58" i="43"/>
  <c r="T58" i="57" s="1"/>
  <c r="T124" i="57" s="1"/>
  <c r="U41" i="43"/>
  <c r="T41" i="57" s="1"/>
  <c r="T107" i="57" s="1"/>
  <c r="U57" i="43"/>
  <c r="T57" i="57" s="1"/>
  <c r="T123" i="57" s="1"/>
  <c r="U36" i="43"/>
  <c r="T36" i="57" s="1"/>
  <c r="T102" i="57" s="1"/>
  <c r="U23" i="43"/>
  <c r="T23" i="57" s="1"/>
  <c r="T89" i="57" s="1"/>
  <c r="U63" i="43"/>
  <c r="T63" i="57" s="1"/>
  <c r="T129" i="57" s="1"/>
  <c r="U17" i="43"/>
  <c r="T17" i="57" s="1"/>
  <c r="T83" i="57" s="1"/>
  <c r="X41" i="43"/>
  <c r="W41" i="57" s="1"/>
  <c r="W107" i="57" s="1"/>
  <c r="AI32" i="43"/>
  <c r="AE32" i="57" s="1"/>
  <c r="AE98" i="57" s="1"/>
  <c r="L29" i="43"/>
  <c r="L29" i="57" s="1"/>
  <c r="L95" i="57" s="1"/>
  <c r="L53" i="43"/>
  <c r="L53" i="57" s="1"/>
  <c r="L119" i="57" s="1"/>
  <c r="L15" i="43"/>
  <c r="L15" i="57" s="1"/>
  <c r="L81" i="57" s="1"/>
  <c r="L13" i="43"/>
  <c r="L13" i="57" s="1"/>
  <c r="L79" i="57" s="1"/>
  <c r="AC59" i="43"/>
  <c r="AH67" i="44"/>
  <c r="AI26" i="43"/>
  <c r="AE26" i="57" s="1"/>
  <c r="AE92" i="57" s="1"/>
  <c r="L55" i="43"/>
  <c r="L55" i="57" s="1"/>
  <c r="L121" i="57" s="1"/>
  <c r="L10" i="43"/>
  <c r="L10" i="57" s="1"/>
  <c r="L76" i="57" s="1"/>
  <c r="AC39" i="43"/>
  <c r="P60" i="43"/>
  <c r="P60" i="57" s="1"/>
  <c r="P126" i="57" s="1"/>
  <c r="P13" i="43"/>
  <c r="P13" i="57" s="1"/>
  <c r="P79" i="57" s="1"/>
  <c r="P62" i="43"/>
  <c r="P62" i="57" s="1"/>
  <c r="P128" i="57" s="1"/>
  <c r="P54" i="43"/>
  <c r="P54" i="57" s="1"/>
  <c r="P120" i="57" s="1"/>
  <c r="P48" i="43"/>
  <c r="P48" i="57" s="1"/>
  <c r="P114" i="57" s="1"/>
  <c r="P20" i="43"/>
  <c r="P20" i="57" s="1"/>
  <c r="P86" i="57" s="1"/>
  <c r="P7" i="43"/>
  <c r="P7" i="57" s="1"/>
  <c r="P73" i="57" s="1"/>
  <c r="P46" i="43"/>
  <c r="P46" i="57" s="1"/>
  <c r="P112" i="57" s="1"/>
  <c r="P58" i="43"/>
  <c r="P58" i="57" s="1"/>
  <c r="P124" i="57" s="1"/>
  <c r="P28" i="43"/>
  <c r="P28" i="57" s="1"/>
  <c r="P94" i="57" s="1"/>
  <c r="P11" i="43"/>
  <c r="P11" i="57" s="1"/>
  <c r="P77" i="57" s="1"/>
  <c r="P63" i="43"/>
  <c r="P63" i="57" s="1"/>
  <c r="P129" i="57" s="1"/>
  <c r="P36" i="43"/>
  <c r="P14" i="43"/>
  <c r="P14" i="57" s="1"/>
  <c r="P80" i="57" s="1"/>
  <c r="P41" i="43"/>
  <c r="P8" i="43"/>
  <c r="P8" i="57" s="1"/>
  <c r="P74" i="57" s="1"/>
  <c r="P31" i="43"/>
  <c r="P31" i="57" s="1"/>
  <c r="P97" i="57" s="1"/>
  <c r="P43" i="43"/>
  <c r="P6" i="43"/>
  <c r="P6" i="57" s="1"/>
  <c r="P72" i="57" s="1"/>
  <c r="P26" i="43"/>
  <c r="P26" i="57" s="1"/>
  <c r="P92" i="57" s="1"/>
  <c r="P18" i="43"/>
  <c r="P18" i="57" s="1"/>
  <c r="P84" i="57" s="1"/>
  <c r="P37" i="43"/>
  <c r="P33" i="43"/>
  <c r="P33" i="57" s="1"/>
  <c r="P99" i="57" s="1"/>
  <c r="P64" i="43"/>
  <c r="P64" i="57" s="1"/>
  <c r="P130" i="57" s="1"/>
  <c r="P65" i="43"/>
  <c r="P65" i="57" s="1"/>
  <c r="P131" i="57" s="1"/>
  <c r="P12" i="43"/>
  <c r="P12" i="57" s="1"/>
  <c r="P78" i="57" s="1"/>
  <c r="P57" i="43"/>
  <c r="P57" i="57" s="1"/>
  <c r="P123" i="57" s="1"/>
  <c r="P47" i="43"/>
  <c r="P47" i="57" s="1"/>
  <c r="P113" i="57" s="1"/>
  <c r="P50" i="43"/>
  <c r="P50" i="57" s="1"/>
  <c r="P116" i="57" s="1"/>
  <c r="P10" i="43"/>
  <c r="P10" i="57" s="1"/>
  <c r="P76" i="57" s="1"/>
  <c r="P39" i="43"/>
  <c r="P39" i="57" s="1"/>
  <c r="P105" i="57" s="1"/>
  <c r="P22" i="43"/>
  <c r="P22" i="57" s="1"/>
  <c r="P88" i="57" s="1"/>
  <c r="P52" i="43"/>
  <c r="P52" i="57" s="1"/>
  <c r="P118" i="57" s="1"/>
  <c r="P5" i="43"/>
  <c r="P21" i="43"/>
  <c r="P21" i="57" s="1"/>
  <c r="P87" i="57" s="1"/>
  <c r="P17" i="43"/>
  <c r="P17" i="57" s="1"/>
  <c r="P83" i="57" s="1"/>
  <c r="P56" i="43"/>
  <c r="P56" i="57" s="1"/>
  <c r="P122" i="57" s="1"/>
  <c r="P9" i="43"/>
  <c r="P9" i="57" s="1"/>
  <c r="P75" i="57" s="1"/>
  <c r="P45" i="43"/>
  <c r="P45" i="57" s="1"/>
  <c r="P111" i="57" s="1"/>
  <c r="P49" i="43"/>
  <c r="P49" i="57" s="1"/>
  <c r="P115" i="57" s="1"/>
  <c r="P38" i="43"/>
  <c r="P35" i="43"/>
  <c r="P59" i="43"/>
  <c r="P59" i="57" s="1"/>
  <c r="P125" i="57" s="1"/>
  <c r="P42" i="43"/>
  <c r="P40" i="43"/>
  <c r="P29" i="43"/>
  <c r="P29" i="57" s="1"/>
  <c r="P95" i="57" s="1"/>
  <c r="P53" i="43"/>
  <c r="P53" i="57" s="1"/>
  <c r="P119" i="57" s="1"/>
  <c r="P15" i="43"/>
  <c r="P15" i="57" s="1"/>
  <c r="P81" i="57" s="1"/>
  <c r="P61" i="43"/>
  <c r="P61" i="57" s="1"/>
  <c r="P127" i="57" s="1"/>
  <c r="P25" i="43"/>
  <c r="P25" i="57" s="1"/>
  <c r="P91" i="57" s="1"/>
  <c r="P19" i="43"/>
  <c r="P19" i="57" s="1"/>
  <c r="P85" i="57" s="1"/>
  <c r="P51" i="43"/>
  <c r="P51" i="57" s="1"/>
  <c r="P117" i="57" s="1"/>
  <c r="P23" i="43"/>
  <c r="P23" i="57" s="1"/>
  <c r="P89" i="57" s="1"/>
  <c r="P32" i="43"/>
  <c r="P32" i="57" s="1"/>
  <c r="P98" i="57" s="1"/>
  <c r="P16" i="43"/>
  <c r="P16" i="57" s="1"/>
  <c r="P82" i="57" s="1"/>
  <c r="P27" i="43"/>
  <c r="P27" i="57" s="1"/>
  <c r="P93" i="57" s="1"/>
  <c r="P34" i="43"/>
  <c r="P34" i="57" s="1"/>
  <c r="P100" i="57" s="1"/>
  <c r="P44" i="43"/>
  <c r="P44" i="57" s="1"/>
  <c r="P110" i="57" s="1"/>
  <c r="P24" i="43"/>
  <c r="P24" i="57" s="1"/>
  <c r="P90" i="57" s="1"/>
  <c r="P30" i="43"/>
  <c r="P30" i="57" s="1"/>
  <c r="P96" i="57" s="1"/>
  <c r="P55" i="43"/>
  <c r="P55" i="57" s="1"/>
  <c r="P121" i="57" s="1"/>
  <c r="X62" i="43"/>
  <c r="W62" i="57" s="1"/>
  <c r="W128" i="57" s="1"/>
  <c r="X42" i="43"/>
  <c r="W42" i="57" s="1"/>
  <c r="W108" i="57" s="1"/>
  <c r="X28" i="43"/>
  <c r="W28" i="57" s="1"/>
  <c r="W94" i="57" s="1"/>
  <c r="X7" i="43"/>
  <c r="W7" i="57" s="1"/>
  <c r="W73" i="57" s="1"/>
  <c r="X50" i="43"/>
  <c r="W50" i="57" s="1"/>
  <c r="W116" i="57" s="1"/>
  <c r="X52" i="43"/>
  <c r="W52" i="57" s="1"/>
  <c r="W118" i="57" s="1"/>
  <c r="X56" i="43"/>
  <c r="W56" i="57" s="1"/>
  <c r="W122" i="57" s="1"/>
  <c r="X55" i="43"/>
  <c r="W55" i="57" s="1"/>
  <c r="W121" i="57" s="1"/>
  <c r="X54" i="43"/>
  <c r="W54" i="57" s="1"/>
  <c r="W120" i="57" s="1"/>
  <c r="X13" i="43"/>
  <c r="W13" i="57" s="1"/>
  <c r="W79" i="57" s="1"/>
  <c r="X20" i="43"/>
  <c r="W20" i="57" s="1"/>
  <c r="W86" i="57" s="1"/>
  <c r="X48" i="43"/>
  <c r="W48" i="57" s="1"/>
  <c r="W114" i="57" s="1"/>
  <c r="X8" i="43"/>
  <c r="W8" i="57" s="1"/>
  <c r="W74" i="57" s="1"/>
  <c r="X33" i="43"/>
  <c r="W33" i="57" s="1"/>
  <c r="W99" i="57" s="1"/>
  <c r="X32" i="43"/>
  <c r="W32" i="57" s="1"/>
  <c r="W98" i="57" s="1"/>
  <c r="X24" i="43"/>
  <c r="W24" i="57" s="1"/>
  <c r="W90" i="57" s="1"/>
  <c r="X43" i="43"/>
  <c r="W43" i="57" s="1"/>
  <c r="W109" i="57" s="1"/>
  <c r="X65" i="43"/>
  <c r="W65" i="57" s="1"/>
  <c r="W131" i="57" s="1"/>
  <c r="X49" i="43"/>
  <c r="W49" i="57" s="1"/>
  <c r="W115" i="57" s="1"/>
  <c r="X47" i="43"/>
  <c r="W47" i="57" s="1"/>
  <c r="W113" i="57" s="1"/>
  <c r="X63" i="43"/>
  <c r="W63" i="57" s="1"/>
  <c r="W129" i="57" s="1"/>
  <c r="X34" i="43"/>
  <c r="W34" i="57" s="1"/>
  <c r="W100" i="57" s="1"/>
  <c r="X17" i="43"/>
  <c r="W17" i="57" s="1"/>
  <c r="W83" i="57" s="1"/>
  <c r="X6" i="43"/>
  <c r="W6" i="57" s="1"/>
  <c r="W72" i="57" s="1"/>
  <c r="X37" i="43"/>
  <c r="W37" i="57" s="1"/>
  <c r="W103" i="57" s="1"/>
  <c r="X44" i="43"/>
  <c r="W44" i="57" s="1"/>
  <c r="W110" i="57" s="1"/>
  <c r="X19" i="43"/>
  <c r="W19" i="57" s="1"/>
  <c r="W85" i="57" s="1"/>
  <c r="X16" i="43"/>
  <c r="W16" i="57" s="1"/>
  <c r="W82" i="57" s="1"/>
  <c r="X12" i="43"/>
  <c r="W12" i="57" s="1"/>
  <c r="W78" i="57" s="1"/>
  <c r="X58" i="43"/>
  <c r="W58" i="57" s="1"/>
  <c r="W124" i="57" s="1"/>
  <c r="X35" i="43"/>
  <c r="W35" i="57" s="1"/>
  <c r="W101" i="57" s="1"/>
  <c r="X64" i="43"/>
  <c r="W64" i="57" s="1"/>
  <c r="W130" i="57" s="1"/>
  <c r="X57" i="43"/>
  <c r="W57" i="57" s="1"/>
  <c r="W123" i="57" s="1"/>
  <c r="X31" i="43"/>
  <c r="W31" i="57" s="1"/>
  <c r="W97" i="57" s="1"/>
  <c r="X5" i="43"/>
  <c r="X40" i="43"/>
  <c r="W40" i="57" s="1"/>
  <c r="W106" i="57" s="1"/>
  <c r="X18" i="43"/>
  <c r="W18" i="57" s="1"/>
  <c r="W84" i="57" s="1"/>
  <c r="X25" i="43"/>
  <c r="W25" i="57" s="1"/>
  <c r="W91" i="57" s="1"/>
  <c r="X15" i="43"/>
  <c r="W15" i="57" s="1"/>
  <c r="W81" i="57" s="1"/>
  <c r="X9" i="43"/>
  <c r="W9" i="57" s="1"/>
  <c r="W75" i="57" s="1"/>
  <c r="X61" i="43"/>
  <c r="W61" i="57" s="1"/>
  <c r="W127" i="57" s="1"/>
  <c r="X38" i="43"/>
  <c r="W38" i="57" s="1"/>
  <c r="W104" i="57" s="1"/>
  <c r="X36" i="43"/>
  <c r="W36" i="57" s="1"/>
  <c r="W102" i="57" s="1"/>
  <c r="X39" i="43"/>
  <c r="W39" i="57" s="1"/>
  <c r="W105" i="57" s="1"/>
  <c r="X21" i="43"/>
  <c r="W21" i="57" s="1"/>
  <c r="W87" i="57" s="1"/>
  <c r="X51" i="43"/>
  <c r="W51" i="57" s="1"/>
  <c r="W117" i="57" s="1"/>
  <c r="X14" i="43"/>
  <c r="W14" i="57" s="1"/>
  <c r="W80" i="57" s="1"/>
  <c r="O52" i="43"/>
  <c r="O52" i="57" s="1"/>
  <c r="O118" i="57" s="1"/>
  <c r="O14" i="43"/>
  <c r="O14" i="57" s="1"/>
  <c r="O80" i="57" s="1"/>
  <c r="O59" i="43"/>
  <c r="O59" i="57" s="1"/>
  <c r="O125" i="57" s="1"/>
  <c r="O40" i="43"/>
  <c r="O40" i="57" s="1"/>
  <c r="O106" i="57" s="1"/>
  <c r="O47" i="43"/>
  <c r="O47" i="57" s="1"/>
  <c r="O113" i="57" s="1"/>
  <c r="O53" i="43"/>
  <c r="O53" i="57" s="1"/>
  <c r="O119" i="57" s="1"/>
  <c r="O11" i="43"/>
  <c r="O11" i="57" s="1"/>
  <c r="O77" i="57" s="1"/>
  <c r="O49" i="43"/>
  <c r="O49" i="57" s="1"/>
  <c r="O115" i="57" s="1"/>
  <c r="O34" i="43"/>
  <c r="O34" i="57" s="1"/>
  <c r="O100" i="57" s="1"/>
  <c r="O24" i="43"/>
  <c r="O24" i="57" s="1"/>
  <c r="O90" i="57" s="1"/>
  <c r="O62" i="43"/>
  <c r="O62" i="57" s="1"/>
  <c r="O128" i="57" s="1"/>
  <c r="O39" i="43"/>
  <c r="O39" i="57" s="1"/>
  <c r="O105" i="57" s="1"/>
  <c r="O44" i="43"/>
  <c r="O44" i="57" s="1"/>
  <c r="O110" i="57" s="1"/>
  <c r="O7" i="43"/>
  <c r="O7" i="57" s="1"/>
  <c r="O73" i="57" s="1"/>
  <c r="O20" i="43"/>
  <c r="O20" i="57" s="1"/>
  <c r="O86" i="57" s="1"/>
  <c r="O8" i="43"/>
  <c r="O8" i="57" s="1"/>
  <c r="O74" i="57" s="1"/>
  <c r="O9" i="43"/>
  <c r="O9" i="57" s="1"/>
  <c r="O75" i="57" s="1"/>
  <c r="O41" i="43"/>
  <c r="O41" i="57" s="1"/>
  <c r="O107" i="57" s="1"/>
  <c r="O63" i="43"/>
  <c r="O63" i="57" s="1"/>
  <c r="O129" i="57" s="1"/>
  <c r="O12" i="43"/>
  <c r="O12" i="57" s="1"/>
  <c r="O78" i="57" s="1"/>
  <c r="O48" i="43"/>
  <c r="O48" i="57" s="1"/>
  <c r="O114" i="57" s="1"/>
  <c r="O25" i="43"/>
  <c r="O25" i="57" s="1"/>
  <c r="O91" i="57" s="1"/>
  <c r="O54" i="43"/>
  <c r="O54" i="57" s="1"/>
  <c r="O120" i="57" s="1"/>
  <c r="O18" i="43"/>
  <c r="O18" i="57" s="1"/>
  <c r="O84" i="57" s="1"/>
  <c r="O33" i="43"/>
  <c r="O33" i="57" s="1"/>
  <c r="O99" i="57" s="1"/>
  <c r="O57" i="43"/>
  <c r="O57" i="57" s="1"/>
  <c r="O123" i="57" s="1"/>
  <c r="O38" i="43"/>
  <c r="O38" i="57" s="1"/>
  <c r="O104" i="57" s="1"/>
  <c r="O26" i="43"/>
  <c r="O26" i="57" s="1"/>
  <c r="O92" i="57" s="1"/>
  <c r="O32" i="43"/>
  <c r="O32" i="57" s="1"/>
  <c r="O98" i="57" s="1"/>
  <c r="O65" i="43"/>
  <c r="O65" i="57" s="1"/>
  <c r="O131" i="57" s="1"/>
  <c r="O55" i="43"/>
  <c r="O55" i="57" s="1"/>
  <c r="O121" i="57" s="1"/>
  <c r="O29" i="43"/>
  <c r="O29" i="57" s="1"/>
  <c r="O95" i="57" s="1"/>
  <c r="O21" i="43"/>
  <c r="O21" i="57" s="1"/>
  <c r="O87" i="57" s="1"/>
  <c r="O61" i="43"/>
  <c r="O61" i="57" s="1"/>
  <c r="O127" i="57" s="1"/>
  <c r="O60" i="43"/>
  <c r="O60" i="57" s="1"/>
  <c r="O126" i="57" s="1"/>
  <c r="O28" i="43"/>
  <c r="O28" i="57" s="1"/>
  <c r="O94" i="57" s="1"/>
  <c r="O43" i="43"/>
  <c r="O43" i="57" s="1"/>
  <c r="O109" i="57" s="1"/>
  <c r="O5" i="43"/>
  <c r="O27" i="43"/>
  <c r="O27" i="57" s="1"/>
  <c r="O93" i="57" s="1"/>
  <c r="O56" i="43"/>
  <c r="O56" i="57" s="1"/>
  <c r="O122" i="57" s="1"/>
  <c r="O35" i="43"/>
  <c r="O35" i="57" s="1"/>
  <c r="O101" i="57" s="1"/>
  <c r="O64" i="43"/>
  <c r="O64" i="57" s="1"/>
  <c r="O130" i="57" s="1"/>
  <c r="O16" i="43"/>
  <c r="O16" i="57" s="1"/>
  <c r="O82" i="57" s="1"/>
  <c r="O51" i="43"/>
  <c r="O51" i="57" s="1"/>
  <c r="O117" i="57" s="1"/>
  <c r="O17" i="43"/>
  <c r="O17" i="57" s="1"/>
  <c r="O83" i="57" s="1"/>
  <c r="O50" i="43"/>
  <c r="O50" i="57" s="1"/>
  <c r="O116" i="57" s="1"/>
  <c r="O19" i="43"/>
  <c r="O19" i="57" s="1"/>
  <c r="O85" i="57" s="1"/>
  <c r="O31" i="43"/>
  <c r="O31" i="57" s="1"/>
  <c r="O97" i="57" s="1"/>
  <c r="O37" i="43"/>
  <c r="O37" i="57" s="1"/>
  <c r="O103" i="57" s="1"/>
  <c r="O30" i="43"/>
  <c r="O30" i="57" s="1"/>
  <c r="O96" i="57" s="1"/>
  <c r="O46" i="43"/>
  <c r="O46" i="57" s="1"/>
  <c r="O112" i="57" s="1"/>
  <c r="O58" i="43"/>
  <c r="O58" i="57" s="1"/>
  <c r="O124" i="57" s="1"/>
  <c r="O6" i="43"/>
  <c r="O6" i="57" s="1"/>
  <c r="O72" i="57" s="1"/>
  <c r="O42" i="43"/>
  <c r="O42" i="57" s="1"/>
  <c r="O108" i="57" s="1"/>
  <c r="O36" i="43"/>
  <c r="O36" i="57" s="1"/>
  <c r="O102" i="57" s="1"/>
  <c r="O22" i="43"/>
  <c r="O22" i="57" s="1"/>
  <c r="O88" i="57" s="1"/>
  <c r="O15" i="43"/>
  <c r="O15" i="57" s="1"/>
  <c r="O81" i="57" s="1"/>
  <c r="O10" i="43"/>
  <c r="O10" i="57" s="1"/>
  <c r="O76" i="57" s="1"/>
  <c r="O23" i="43"/>
  <c r="O23" i="57" s="1"/>
  <c r="O89" i="57" s="1"/>
  <c r="O13" i="43"/>
  <c r="O13" i="57" s="1"/>
  <c r="O79" i="57" s="1"/>
  <c r="O45" i="43"/>
  <c r="O45" i="57" s="1"/>
  <c r="O111" i="57" s="1"/>
  <c r="L67" i="44"/>
  <c r="U67" i="44"/>
  <c r="AI14" i="43"/>
  <c r="AE14" i="57" s="1"/>
  <c r="AE80" i="57" s="1"/>
  <c r="AI29" i="43"/>
  <c r="AE29" i="57" s="1"/>
  <c r="AE95" i="57" s="1"/>
  <c r="AI53" i="43"/>
  <c r="AE53" i="57" s="1"/>
  <c r="AE119" i="57" s="1"/>
  <c r="AI50" i="43"/>
  <c r="AE50" i="57" s="1"/>
  <c r="AE116" i="57" s="1"/>
  <c r="AI24" i="43"/>
  <c r="AE24" i="57" s="1"/>
  <c r="AE90" i="57" s="1"/>
  <c r="AI13" i="43"/>
  <c r="AE13" i="57" s="1"/>
  <c r="AE79" i="57" s="1"/>
  <c r="AI38" i="43"/>
  <c r="AE38" i="57" s="1"/>
  <c r="AE104" i="57" s="1"/>
  <c r="AI58" i="43"/>
  <c r="AE58" i="57" s="1"/>
  <c r="AE124" i="57" s="1"/>
  <c r="AI11" i="43"/>
  <c r="AE11" i="57" s="1"/>
  <c r="AE77" i="57" s="1"/>
  <c r="AI30" i="43"/>
  <c r="AE30" i="57" s="1"/>
  <c r="AE96" i="57" s="1"/>
  <c r="AI65" i="43"/>
  <c r="AE65" i="57" s="1"/>
  <c r="AE131" i="57" s="1"/>
  <c r="AI56" i="43"/>
  <c r="AE56" i="57" s="1"/>
  <c r="AE122" i="57" s="1"/>
  <c r="AI44" i="43"/>
  <c r="AE44" i="57" s="1"/>
  <c r="AE110" i="57" s="1"/>
  <c r="AI6" i="43"/>
  <c r="AE6" i="57" s="1"/>
  <c r="AE72" i="57" s="1"/>
  <c r="AI41" i="43"/>
  <c r="AE41" i="57" s="1"/>
  <c r="AE107" i="57" s="1"/>
  <c r="AI52" i="43"/>
  <c r="AE52" i="57" s="1"/>
  <c r="AE118" i="57" s="1"/>
  <c r="AI62" i="43"/>
  <c r="AE62" i="57" s="1"/>
  <c r="AE128" i="57" s="1"/>
  <c r="AI27" i="43"/>
  <c r="AE27" i="57" s="1"/>
  <c r="AE93" i="57" s="1"/>
  <c r="AI64" i="43"/>
  <c r="AE64" i="57" s="1"/>
  <c r="AE130" i="57" s="1"/>
  <c r="AI20" i="43"/>
  <c r="AE20" i="57" s="1"/>
  <c r="AE86" i="57" s="1"/>
  <c r="AI37" i="43"/>
  <c r="AE37" i="57" s="1"/>
  <c r="AE103" i="57" s="1"/>
  <c r="AI39" i="43"/>
  <c r="AE39" i="57" s="1"/>
  <c r="AE105" i="57" s="1"/>
  <c r="AI12" i="43"/>
  <c r="AE12" i="57" s="1"/>
  <c r="AE78" i="57" s="1"/>
  <c r="AI34" i="43"/>
  <c r="AE34" i="57" s="1"/>
  <c r="AE100" i="57" s="1"/>
  <c r="AI49" i="43"/>
  <c r="AE49" i="57" s="1"/>
  <c r="AE115" i="57" s="1"/>
  <c r="AI15" i="43"/>
  <c r="AE15" i="57" s="1"/>
  <c r="AE81" i="57" s="1"/>
  <c r="AI7" i="43"/>
  <c r="AE7" i="57" s="1"/>
  <c r="AE73" i="57" s="1"/>
  <c r="AI25" i="43"/>
  <c r="AE25" i="57" s="1"/>
  <c r="AE91" i="57" s="1"/>
  <c r="AI36" i="43"/>
  <c r="AE36" i="57" s="1"/>
  <c r="AE102" i="57" s="1"/>
  <c r="AI9" i="43"/>
  <c r="AE9" i="57" s="1"/>
  <c r="AE75" i="57" s="1"/>
  <c r="AI5" i="43"/>
  <c r="AI59" i="43"/>
  <c r="AE59" i="57" s="1"/>
  <c r="AE125" i="57" s="1"/>
  <c r="AI31" i="43"/>
  <c r="AE31" i="57" s="1"/>
  <c r="AE97" i="57" s="1"/>
  <c r="AI28" i="43"/>
  <c r="AE28" i="57" s="1"/>
  <c r="AE94" i="57" s="1"/>
  <c r="AI63" i="43"/>
  <c r="AE63" i="57" s="1"/>
  <c r="AE129" i="57" s="1"/>
  <c r="AI18" i="43"/>
  <c r="AE18" i="57" s="1"/>
  <c r="AE84" i="57" s="1"/>
  <c r="AI60" i="43"/>
  <c r="AE60" i="57" s="1"/>
  <c r="AE126" i="57" s="1"/>
  <c r="AI8" i="43"/>
  <c r="AE8" i="57" s="1"/>
  <c r="AE74" i="57" s="1"/>
  <c r="AI61" i="43"/>
  <c r="AE61" i="57" s="1"/>
  <c r="AE127" i="57" s="1"/>
  <c r="AI46" i="43"/>
  <c r="AE46" i="57" s="1"/>
  <c r="AE112" i="57" s="1"/>
  <c r="AI22" i="43"/>
  <c r="AE22" i="57" s="1"/>
  <c r="AE88" i="57" s="1"/>
  <c r="AI54" i="43"/>
  <c r="AE54" i="57" s="1"/>
  <c r="AE120" i="57" s="1"/>
  <c r="V39" i="42"/>
  <c r="V27" i="42"/>
  <c r="V19" i="42"/>
  <c r="V7" i="42"/>
  <c r="V8" i="42"/>
  <c r="V18" i="42"/>
  <c r="V50" i="42"/>
  <c r="V14" i="42"/>
  <c r="V16" i="42"/>
  <c r="V48" i="42"/>
  <c r="V20" i="42"/>
  <c r="V55" i="42"/>
  <c r="V35" i="42"/>
  <c r="V44" i="42"/>
  <c r="V51" i="42"/>
  <c r="V21" i="42"/>
  <c r="V13" i="42"/>
  <c r="V26" i="42"/>
  <c r="V56" i="42"/>
  <c r="V53" i="42"/>
  <c r="V42" i="42"/>
  <c r="V37" i="42"/>
  <c r="V52" i="42"/>
  <c r="V33" i="42"/>
  <c r="V25" i="42"/>
  <c r="V17" i="42"/>
  <c r="V61" i="42"/>
  <c r="V5" i="42"/>
  <c r="V11" i="42"/>
  <c r="V38" i="42"/>
  <c r="V40" i="42"/>
  <c r="V9" i="42"/>
  <c r="V41" i="42"/>
  <c r="V43" i="42"/>
  <c r="V57" i="42"/>
  <c r="V64" i="42"/>
  <c r="V58" i="42"/>
  <c r="V62" i="42"/>
  <c r="V22" i="42"/>
  <c r="V65" i="42"/>
  <c r="V31" i="42"/>
  <c r="V23" i="42"/>
  <c r="V15" i="42"/>
  <c r="V45" i="42"/>
  <c r="V34" i="42"/>
  <c r="V63" i="42"/>
  <c r="V30" i="42"/>
  <c r="V32" i="42"/>
  <c r="V6" i="42"/>
  <c r="V36" i="42"/>
  <c r="V60" i="42"/>
  <c r="V59" i="42"/>
  <c r="V54" i="42"/>
  <c r="V49" i="42"/>
  <c r="V47" i="42"/>
  <c r="V29" i="42"/>
  <c r="V10" i="42"/>
  <c r="V24" i="42"/>
  <c r="V28" i="42"/>
  <c r="V46" i="42"/>
  <c r="U28" i="43"/>
  <c r="T28" i="57" s="1"/>
  <c r="T94" i="57" s="1"/>
  <c r="X59" i="43"/>
  <c r="W59" i="57" s="1"/>
  <c r="W125" i="57" s="1"/>
  <c r="AH60" i="43"/>
  <c r="AD60" i="57" s="1"/>
  <c r="AD126" i="57" s="1"/>
  <c r="AH9" i="43"/>
  <c r="AD9" i="57" s="1"/>
  <c r="AD75" i="57" s="1"/>
  <c r="AH61" i="43"/>
  <c r="AD61" i="57" s="1"/>
  <c r="AD127" i="57" s="1"/>
  <c r="AH36" i="43"/>
  <c r="AD36" i="57" s="1"/>
  <c r="AD102" i="57" s="1"/>
  <c r="AH32" i="43"/>
  <c r="AD32" i="57" s="1"/>
  <c r="AD98" i="57" s="1"/>
  <c r="AH44" i="43"/>
  <c r="AD44" i="57" s="1"/>
  <c r="AD110" i="57" s="1"/>
  <c r="AH39" i="43"/>
  <c r="AD39" i="57" s="1"/>
  <c r="AD105" i="57" s="1"/>
  <c r="AH54" i="43"/>
  <c r="AD54" i="57" s="1"/>
  <c r="AD120" i="57" s="1"/>
  <c r="AH43" i="43"/>
  <c r="AD43" i="57" s="1"/>
  <c r="AD109" i="57" s="1"/>
  <c r="AH33" i="43"/>
  <c r="AD33" i="57" s="1"/>
  <c r="AD99" i="57" s="1"/>
  <c r="AH7" i="43"/>
  <c r="AD7" i="57" s="1"/>
  <c r="AD73" i="57" s="1"/>
  <c r="AH59" i="43"/>
  <c r="AD59" i="57" s="1"/>
  <c r="AD125" i="57" s="1"/>
  <c r="AH52" i="43"/>
  <c r="AD52" i="57" s="1"/>
  <c r="AD118" i="57" s="1"/>
  <c r="AH28" i="43"/>
  <c r="AD28" i="57" s="1"/>
  <c r="AD94" i="57" s="1"/>
  <c r="AH49" i="43"/>
  <c r="AD49" i="57" s="1"/>
  <c r="AD115" i="57" s="1"/>
  <c r="AH20" i="43"/>
  <c r="AD20" i="57" s="1"/>
  <c r="AD86" i="57" s="1"/>
  <c r="AH55" i="43"/>
  <c r="AD55" i="57" s="1"/>
  <c r="AD121" i="57" s="1"/>
  <c r="AH29" i="43"/>
  <c r="AD29" i="57" s="1"/>
  <c r="AD95" i="57" s="1"/>
  <c r="AH46" i="43"/>
  <c r="AD46" i="57" s="1"/>
  <c r="AD112" i="57" s="1"/>
  <c r="AH41" i="43"/>
  <c r="AD41" i="57" s="1"/>
  <c r="AD107" i="57" s="1"/>
  <c r="AH19" i="43"/>
  <c r="AD19" i="57" s="1"/>
  <c r="AD85" i="57" s="1"/>
  <c r="AH12" i="43"/>
  <c r="AD12" i="57" s="1"/>
  <c r="AD78" i="57" s="1"/>
  <c r="AH50" i="43"/>
  <c r="AD50" i="57" s="1"/>
  <c r="AD116" i="57" s="1"/>
  <c r="AH17" i="43"/>
  <c r="AD17" i="57" s="1"/>
  <c r="AD83" i="57" s="1"/>
  <c r="AH38" i="43"/>
  <c r="AD38" i="57" s="1"/>
  <c r="AD104" i="57" s="1"/>
  <c r="AH57" i="43"/>
  <c r="AD57" i="57" s="1"/>
  <c r="AD123" i="57" s="1"/>
  <c r="AH13" i="43"/>
  <c r="AD13" i="57" s="1"/>
  <c r="AD79" i="57" s="1"/>
  <c r="AH63" i="43"/>
  <c r="AD63" i="57" s="1"/>
  <c r="AD129" i="57" s="1"/>
  <c r="AH31" i="43"/>
  <c r="AD31" i="57" s="1"/>
  <c r="AD97" i="57" s="1"/>
  <c r="AH51" i="43"/>
  <c r="AD51" i="57" s="1"/>
  <c r="AD117" i="57" s="1"/>
  <c r="AH16" i="43"/>
  <c r="AD16" i="57" s="1"/>
  <c r="AD82" i="57" s="1"/>
  <c r="AH56" i="43"/>
  <c r="AD56" i="57" s="1"/>
  <c r="AD122" i="57" s="1"/>
  <c r="AH34" i="43"/>
  <c r="AD34" i="57" s="1"/>
  <c r="AD100" i="57" s="1"/>
  <c r="AH58" i="43"/>
  <c r="AD58" i="57" s="1"/>
  <c r="AD124" i="57" s="1"/>
  <c r="AH65" i="43"/>
  <c r="AD65" i="57" s="1"/>
  <c r="AD131" i="57" s="1"/>
  <c r="AH48" i="43"/>
  <c r="AD48" i="57" s="1"/>
  <c r="AD114" i="57" s="1"/>
  <c r="AH27" i="43"/>
  <c r="AD27" i="57" s="1"/>
  <c r="AD93" i="57" s="1"/>
  <c r="AH25" i="43"/>
  <c r="AD25" i="57" s="1"/>
  <c r="AD91" i="57" s="1"/>
  <c r="AH5" i="43"/>
  <c r="AH24" i="43"/>
  <c r="AD24" i="57" s="1"/>
  <c r="AD90" i="57" s="1"/>
  <c r="AH45" i="43"/>
  <c r="AD45" i="57" s="1"/>
  <c r="AD111" i="57" s="1"/>
  <c r="AH15" i="43"/>
  <c r="AD15" i="57" s="1"/>
  <c r="AD81" i="57" s="1"/>
  <c r="AH53" i="43"/>
  <c r="AD53" i="57" s="1"/>
  <c r="AD119" i="57" s="1"/>
  <c r="AH14" i="43"/>
  <c r="AD14" i="57" s="1"/>
  <c r="AD80" i="57" s="1"/>
  <c r="AH40" i="43"/>
  <c r="AD40" i="57" s="1"/>
  <c r="AD106" i="57" s="1"/>
  <c r="AH11" i="43"/>
  <c r="AD11" i="57" s="1"/>
  <c r="AD77" i="57" s="1"/>
  <c r="AH42" i="43"/>
  <c r="AD42" i="57" s="1"/>
  <c r="AD108" i="57" s="1"/>
  <c r="AI51" i="43"/>
  <c r="AE51" i="57" s="1"/>
  <c r="AE117" i="57" s="1"/>
  <c r="L61" i="43"/>
  <c r="L61" i="57" s="1"/>
  <c r="L127" i="57" s="1"/>
  <c r="L38" i="43"/>
  <c r="L38" i="57" s="1"/>
  <c r="L104" i="57" s="1"/>
  <c r="AC41" i="43"/>
  <c r="AB12" i="44"/>
  <c r="P15" i="59"/>
  <c r="G15" i="60"/>
  <c r="G14" i="60"/>
  <c r="C11" i="59"/>
  <c r="C7" i="59"/>
  <c r="C13" i="59" s="1"/>
  <c r="C9" i="59"/>
  <c r="L9" i="60"/>
  <c r="F15" i="60"/>
  <c r="F14" i="60"/>
  <c r="H15" i="60"/>
  <c r="H14" i="60"/>
  <c r="G11" i="60"/>
  <c r="I15" i="60"/>
  <c r="I14" i="60"/>
  <c r="E42" i="5"/>
  <c r="E21" i="5"/>
  <c r="L7" i="60"/>
  <c r="L13" i="60" s="1"/>
  <c r="G7" i="60"/>
  <c r="G13" i="60" s="1"/>
  <c r="J15" i="60"/>
  <c r="J14" i="60"/>
  <c r="G9" i="59"/>
  <c r="G11" i="59"/>
  <c r="G7" i="59"/>
  <c r="G13" i="59" s="1"/>
  <c r="C15" i="60"/>
  <c r="C14" i="60"/>
  <c r="D15" i="60"/>
  <c r="D14" i="60"/>
  <c r="AM72" i="41"/>
  <c r="AM70" i="44"/>
  <c r="AM70" i="43"/>
  <c r="AM70" i="42"/>
  <c r="L36" i="47"/>
  <c r="Q36" i="47" s="1"/>
  <c r="L36" i="48"/>
  <c r="Q36" i="48" s="1"/>
  <c r="Q36" i="46"/>
  <c r="AB36" i="46" s="1"/>
  <c r="L30" i="47"/>
  <c r="Q30" i="47" s="1"/>
  <c r="L30" i="48"/>
  <c r="Q30" i="48" s="1"/>
  <c r="Q30" i="46"/>
  <c r="AB30" i="46" s="1"/>
  <c r="L10" i="47"/>
  <c r="Q10" i="47" s="1"/>
  <c r="L10" i="48"/>
  <c r="Q10" i="48" s="1"/>
  <c r="Q10" i="46"/>
  <c r="AB10" i="46" s="1"/>
  <c r="L6" i="47"/>
  <c r="Q6" i="47" s="1"/>
  <c r="L6" i="48"/>
  <c r="Q6" i="48" s="1"/>
  <c r="Q6" i="46"/>
  <c r="AB6" i="46" s="1"/>
  <c r="T71" i="41"/>
  <c r="T69" i="44"/>
  <c r="T69" i="43"/>
  <c r="T69" i="42"/>
  <c r="Q48" i="48"/>
  <c r="Q48" i="45"/>
  <c r="Q48" i="46"/>
  <c r="Q48" i="47"/>
  <c r="L40" i="47"/>
  <c r="Q40" i="47" s="1"/>
  <c r="L40" i="48"/>
  <c r="Q40" i="48" s="1"/>
  <c r="Q40" i="46"/>
  <c r="AB40" i="46" s="1"/>
  <c r="L34" i="47"/>
  <c r="Q34" i="47" s="1"/>
  <c r="L34" i="48"/>
  <c r="Q34" i="48" s="1"/>
  <c r="Q34" i="46"/>
  <c r="AB34" i="46" s="1"/>
  <c r="L20" i="47"/>
  <c r="Q20" i="47" s="1"/>
  <c r="L20" i="48"/>
  <c r="Q20" i="48" s="1"/>
  <c r="Q20" i="46"/>
  <c r="AB20" i="46" s="1"/>
  <c r="L16" i="47"/>
  <c r="Q16" i="47" s="1"/>
  <c r="L16" i="48"/>
  <c r="Q16" i="48" s="1"/>
  <c r="Q16" i="46"/>
  <c r="AB16" i="46" s="1"/>
  <c r="L31" i="47"/>
  <c r="Q31" i="47" s="1"/>
  <c r="L31" i="48"/>
  <c r="Q31" i="48" s="1"/>
  <c r="Q31" i="46"/>
  <c r="AB31" i="46" s="1"/>
  <c r="L23" i="47"/>
  <c r="Q23" i="47" s="1"/>
  <c r="L23" i="48"/>
  <c r="Q23" i="48" s="1"/>
  <c r="Q23" i="46"/>
  <c r="AB23" i="46" s="1"/>
  <c r="L44" i="47"/>
  <c r="Q44" i="47" s="1"/>
  <c r="L44" i="48"/>
  <c r="Q44" i="48" s="1"/>
  <c r="Q44" i="46"/>
  <c r="AB44" i="46" s="1"/>
  <c r="L8" i="47"/>
  <c r="Q8" i="47" s="1"/>
  <c r="L8" i="48"/>
  <c r="Q8" i="48" s="1"/>
  <c r="Q8" i="46"/>
  <c r="AB8" i="46" s="1"/>
  <c r="L11" i="47"/>
  <c r="Q11" i="47" s="1"/>
  <c r="L11" i="48"/>
  <c r="Q11" i="48" s="1"/>
  <c r="Q11" i="46"/>
  <c r="AB11" i="46" s="1"/>
  <c r="T70" i="44"/>
  <c r="T70" i="43"/>
  <c r="T70" i="42"/>
  <c r="Q49" i="48"/>
  <c r="Q49" i="47"/>
  <c r="Q49" i="45"/>
  <c r="Q49" i="46"/>
  <c r="AM70" i="41"/>
  <c r="AM68" i="44"/>
  <c r="AM68" i="42"/>
  <c r="AM68" i="43" s="1"/>
  <c r="W46" i="48"/>
  <c r="L22" i="47"/>
  <c r="Q22" i="47" s="1"/>
  <c r="L22" i="48"/>
  <c r="Q22" i="48" s="1"/>
  <c r="Q22" i="46"/>
  <c r="AB22" i="46" s="1"/>
  <c r="L17" i="47"/>
  <c r="Q17" i="47" s="1"/>
  <c r="L17" i="48"/>
  <c r="Q17" i="48" s="1"/>
  <c r="Q17" i="46"/>
  <c r="AB17" i="46" s="1"/>
  <c r="L28" i="47"/>
  <c r="Q28" i="47" s="1"/>
  <c r="L28" i="48"/>
  <c r="Q28" i="48" s="1"/>
  <c r="Q28" i="46"/>
  <c r="AB28" i="46" s="1"/>
  <c r="L39" i="47"/>
  <c r="Q39" i="47" s="1"/>
  <c r="L39" i="48"/>
  <c r="Q39" i="48" s="1"/>
  <c r="Q39" i="46"/>
  <c r="AB39" i="46" s="1"/>
  <c r="L42" i="47"/>
  <c r="Q42" i="47" s="1"/>
  <c r="L42" i="48"/>
  <c r="Q42" i="48" s="1"/>
  <c r="Q42" i="46"/>
  <c r="AB42" i="46" s="1"/>
  <c r="L32" i="47"/>
  <c r="Q32" i="47" s="1"/>
  <c r="L32" i="48"/>
  <c r="Q32" i="48" s="1"/>
  <c r="Q32" i="46"/>
  <c r="AB32" i="46" s="1"/>
  <c r="L18" i="47"/>
  <c r="Q18" i="47" s="1"/>
  <c r="L18" i="48"/>
  <c r="Q18" i="48" s="1"/>
  <c r="Q18" i="46"/>
  <c r="AB18" i="46" s="1"/>
  <c r="L27" i="47"/>
  <c r="Q27" i="47" s="1"/>
  <c r="L27" i="48"/>
  <c r="Q27" i="48" s="1"/>
  <c r="Q27" i="46"/>
  <c r="AB27" i="46" s="1"/>
  <c r="L5" i="47"/>
  <c r="L46" i="46"/>
  <c r="L5" i="48"/>
  <c r="Q5" i="46"/>
  <c r="L13" i="47"/>
  <c r="Q13" i="47" s="1"/>
  <c r="L13" i="48"/>
  <c r="Q13" i="48" s="1"/>
  <c r="Q13" i="46"/>
  <c r="AB13" i="46" s="1"/>
  <c r="M67" i="43"/>
  <c r="L38" i="47"/>
  <c r="Q38" i="47" s="1"/>
  <c r="L38" i="48"/>
  <c r="Q38" i="48" s="1"/>
  <c r="Q38" i="46"/>
  <c r="AB38" i="46" s="1"/>
  <c r="L21" i="47"/>
  <c r="Q21" i="47" s="1"/>
  <c r="L21" i="48"/>
  <c r="Q21" i="48" s="1"/>
  <c r="Q21" i="46"/>
  <c r="AB21" i="46" s="1"/>
  <c r="L24" i="47"/>
  <c r="Q24" i="47" s="1"/>
  <c r="L24" i="48"/>
  <c r="Q24" i="48" s="1"/>
  <c r="Q24" i="46"/>
  <c r="AB24" i="46" s="1"/>
  <c r="L37" i="47"/>
  <c r="Q37" i="47" s="1"/>
  <c r="L37" i="48"/>
  <c r="Q37" i="48" s="1"/>
  <c r="Q37" i="46"/>
  <c r="AB37" i="46" s="1"/>
  <c r="L41" i="47"/>
  <c r="Q41" i="47" s="1"/>
  <c r="L41" i="48"/>
  <c r="Q41" i="48" s="1"/>
  <c r="Q41" i="46"/>
  <c r="AB41" i="46" s="1"/>
  <c r="L9" i="47"/>
  <c r="Q9" i="47" s="1"/>
  <c r="L9" i="48"/>
  <c r="Q9" i="48" s="1"/>
  <c r="Q9" i="46"/>
  <c r="AB9" i="46" s="1"/>
  <c r="L14" i="47"/>
  <c r="Q14" i="47" s="1"/>
  <c r="L14" i="48"/>
  <c r="Q14" i="48" s="1"/>
  <c r="Q14" i="46"/>
  <c r="AB14" i="46" s="1"/>
  <c r="Q67" i="43"/>
  <c r="W46" i="47"/>
  <c r="L29" i="47"/>
  <c r="Q29" i="47" s="1"/>
  <c r="L29" i="48"/>
  <c r="Q29" i="48" s="1"/>
  <c r="Q29" i="46"/>
  <c r="AB29" i="46" s="1"/>
  <c r="L25" i="47"/>
  <c r="Q25" i="47" s="1"/>
  <c r="L25" i="48"/>
  <c r="Q25" i="48" s="1"/>
  <c r="Q25" i="46"/>
  <c r="AB25" i="46" s="1"/>
  <c r="L33" i="47"/>
  <c r="Q33" i="47" s="1"/>
  <c r="L33" i="48"/>
  <c r="Q33" i="48" s="1"/>
  <c r="Q33" i="46"/>
  <c r="AB33" i="46" s="1"/>
  <c r="L43" i="47"/>
  <c r="Q43" i="47" s="1"/>
  <c r="L43" i="48"/>
  <c r="Q43" i="48" s="1"/>
  <c r="Q43" i="46"/>
  <c r="AB43" i="46" s="1"/>
  <c r="L15" i="47"/>
  <c r="Q15" i="47" s="1"/>
  <c r="L15" i="48"/>
  <c r="Q15" i="48" s="1"/>
  <c r="Q15" i="46"/>
  <c r="AB15" i="46" s="1"/>
  <c r="L26" i="47"/>
  <c r="Q26" i="47" s="1"/>
  <c r="Q26" i="46"/>
  <c r="AB26" i="46" s="1"/>
  <c r="L26" i="48"/>
  <c r="Q26" i="48" s="1"/>
  <c r="L12" i="47"/>
  <c r="Q12" i="47" s="1"/>
  <c r="L12" i="48"/>
  <c r="Q12" i="48" s="1"/>
  <c r="Q12" i="46"/>
  <c r="AB12" i="46" s="1"/>
  <c r="L19" i="47"/>
  <c r="Q19" i="47" s="1"/>
  <c r="L19" i="48"/>
  <c r="Q19" i="48" s="1"/>
  <c r="Q19" i="46"/>
  <c r="AB19" i="46" s="1"/>
  <c r="L35" i="47"/>
  <c r="Q35" i="47" s="1"/>
  <c r="Q35" i="46"/>
  <c r="AB35" i="46" s="1"/>
  <c r="L35" i="48"/>
  <c r="Q35" i="48" s="1"/>
  <c r="L7" i="47"/>
  <c r="Q7" i="47" s="1"/>
  <c r="L7" i="48"/>
  <c r="Q7" i="48" s="1"/>
  <c r="Q7" i="46"/>
  <c r="AB7" i="46" s="1"/>
  <c r="F47" i="5"/>
  <c r="T72" i="41"/>
  <c r="F46" i="5"/>
  <c r="O14" i="59" l="1"/>
  <c r="V24" i="44"/>
  <c r="AB24" i="42"/>
  <c r="V49" i="44"/>
  <c r="AB49" i="42"/>
  <c r="V36" i="44"/>
  <c r="AB36" i="42"/>
  <c r="V63" i="44"/>
  <c r="AB63" i="42"/>
  <c r="V23" i="44"/>
  <c r="AB23" i="42"/>
  <c r="V62" i="44"/>
  <c r="AB62" i="42"/>
  <c r="V43" i="44"/>
  <c r="AB43" i="42"/>
  <c r="V38" i="44"/>
  <c r="AB38" i="42"/>
  <c r="V17" i="44"/>
  <c r="AB17" i="42"/>
  <c r="V37" i="44"/>
  <c r="AB37" i="42"/>
  <c r="V26" i="44"/>
  <c r="AB26" i="42"/>
  <c r="V44" i="44"/>
  <c r="AB44" i="42"/>
  <c r="V48" i="44"/>
  <c r="AB48" i="42"/>
  <c r="V18" i="44"/>
  <c r="AB18" i="42"/>
  <c r="V27" i="44"/>
  <c r="AB27" i="42"/>
  <c r="T5" i="57"/>
  <c r="T71" i="57" s="1"/>
  <c r="U67" i="43"/>
  <c r="AB36" i="44"/>
  <c r="Y21" i="44"/>
  <c r="Y50" i="44"/>
  <c r="Y34" i="44"/>
  <c r="Y6" i="44"/>
  <c r="Y31" i="44"/>
  <c r="Y46" i="44"/>
  <c r="Y49" i="44"/>
  <c r="AB49" i="44" s="1"/>
  <c r="Y28" i="44"/>
  <c r="Y19" i="44"/>
  <c r="AD34" i="43"/>
  <c r="AA34" i="57"/>
  <c r="AA100" i="57" s="1"/>
  <c r="AD10" i="43"/>
  <c r="AA10" i="57"/>
  <c r="AA76" i="57" s="1"/>
  <c r="AD53" i="43"/>
  <c r="AA53" i="57"/>
  <c r="AA119" i="57" s="1"/>
  <c r="AD62" i="43"/>
  <c r="AA62" i="57"/>
  <c r="AA128" i="57" s="1"/>
  <c r="AD21" i="43"/>
  <c r="AA21" i="57"/>
  <c r="AA87" i="57" s="1"/>
  <c r="AD43" i="43"/>
  <c r="AA43" i="57"/>
  <c r="AA109" i="57" s="1"/>
  <c r="AD48" i="43"/>
  <c r="AA48" i="57"/>
  <c r="AA114" i="57" s="1"/>
  <c r="AD35" i="43"/>
  <c r="AA35" i="57"/>
  <c r="AA101" i="57" s="1"/>
  <c r="AA61" i="57"/>
  <c r="AA127" i="57" s="1"/>
  <c r="AD61" i="43"/>
  <c r="AA49" i="57"/>
  <c r="AA115" i="57" s="1"/>
  <c r="AD49" i="43"/>
  <c r="AD20" i="43"/>
  <c r="AA20" i="57"/>
  <c r="AA86" i="57" s="1"/>
  <c r="AD8" i="43"/>
  <c r="AA8" i="57"/>
  <c r="AA74" i="57" s="1"/>
  <c r="AD6" i="43"/>
  <c r="AA6" i="57"/>
  <c r="AA72" i="57" s="1"/>
  <c r="AD9" i="43"/>
  <c r="AA9" i="57"/>
  <c r="AA75" i="57" s="1"/>
  <c r="AD12" i="43"/>
  <c r="AA12" i="57"/>
  <c r="AA78" i="57" s="1"/>
  <c r="AD41" i="43"/>
  <c r="AA41" i="57"/>
  <c r="AA107" i="57" s="1"/>
  <c r="AD5" i="57"/>
  <c r="AD71" i="57" s="1"/>
  <c r="AH67" i="43"/>
  <c r="V10" i="44"/>
  <c r="AB10" i="42"/>
  <c r="V54" i="44"/>
  <c r="AB54" i="42"/>
  <c r="V6" i="44"/>
  <c r="AB6" i="42"/>
  <c r="V34" i="44"/>
  <c r="AB34" i="42"/>
  <c r="V31" i="44"/>
  <c r="AB31" i="42"/>
  <c r="V58" i="44"/>
  <c r="AB58" i="42"/>
  <c r="V41" i="44"/>
  <c r="AB41" i="42"/>
  <c r="V11" i="44"/>
  <c r="AB11" i="42"/>
  <c r="V25" i="44"/>
  <c r="AB25" i="42"/>
  <c r="V42" i="44"/>
  <c r="AB42" i="42"/>
  <c r="V13" i="44"/>
  <c r="AB13" i="42"/>
  <c r="V35" i="44"/>
  <c r="AB35" i="42"/>
  <c r="V16" i="44"/>
  <c r="AB16" i="42"/>
  <c r="AB8" i="42"/>
  <c r="V8" i="44"/>
  <c r="V39" i="44"/>
  <c r="AB39" i="42"/>
  <c r="AE5" i="57"/>
  <c r="AE71" i="57" s="1"/>
  <c r="AI67" i="43"/>
  <c r="O5" i="57"/>
  <c r="O71" i="57" s="1"/>
  <c r="O67" i="43"/>
  <c r="P5" i="57"/>
  <c r="P71" i="57" s="1"/>
  <c r="P67" i="43"/>
  <c r="AD59" i="43"/>
  <c r="AA59" i="57"/>
  <c r="AA125" i="57" s="1"/>
  <c r="T19" i="57"/>
  <c r="T85" i="57" s="1"/>
  <c r="AB26" i="44"/>
  <c r="Y67" i="42"/>
  <c r="Y72" i="42" s="1"/>
  <c r="Y21" i="43" s="1"/>
  <c r="Y5" i="44"/>
  <c r="Y57" i="44"/>
  <c r="Y14" i="44"/>
  <c r="Y40" i="44"/>
  <c r="Y44" i="44"/>
  <c r="AB44" i="44" s="1"/>
  <c r="AB37" i="44"/>
  <c r="Y20" i="44"/>
  <c r="Y17" i="44"/>
  <c r="AB17" i="44" s="1"/>
  <c r="AB59" i="44"/>
  <c r="AB18" i="44"/>
  <c r="AB27" i="44"/>
  <c r="L5" i="57"/>
  <c r="L71" i="57" s="1"/>
  <c r="L67" i="43"/>
  <c r="V5" i="57"/>
  <c r="V71" i="57" s="1"/>
  <c r="W67" i="43"/>
  <c r="AD44" i="43"/>
  <c r="AA44" i="57"/>
  <c r="AA110" i="57" s="1"/>
  <c r="AD65" i="43"/>
  <c r="AA65" i="57"/>
  <c r="AA131" i="57" s="1"/>
  <c r="AD7" i="43"/>
  <c r="AA7" i="57"/>
  <c r="AA73" i="57" s="1"/>
  <c r="AD45" i="43"/>
  <c r="AA45" i="57"/>
  <c r="AA111" i="57" s="1"/>
  <c r="AD37" i="43"/>
  <c r="AA37" i="57"/>
  <c r="AA103" i="57" s="1"/>
  <c r="AD51" i="43"/>
  <c r="AA51" i="57"/>
  <c r="AA117" i="57" s="1"/>
  <c r="AD24" i="43"/>
  <c r="AA24" i="57"/>
  <c r="AA90" i="57" s="1"/>
  <c r="AD13" i="43"/>
  <c r="AA13" i="57"/>
  <c r="AA79" i="57" s="1"/>
  <c r="AD32" i="43"/>
  <c r="AA32" i="57"/>
  <c r="AA98" i="57" s="1"/>
  <c r="AD23" i="43"/>
  <c r="AA23" i="57"/>
  <c r="AA89" i="57" s="1"/>
  <c r="AD55" i="43"/>
  <c r="AA55" i="57"/>
  <c r="AA121" i="57" s="1"/>
  <c r="AD54" i="43"/>
  <c r="AA54" i="57"/>
  <c r="AA120" i="57" s="1"/>
  <c r="V46" i="44"/>
  <c r="AB46" i="42"/>
  <c r="V29" i="44"/>
  <c r="AB29" i="44" s="1"/>
  <c r="AB29" i="42"/>
  <c r="V59" i="44"/>
  <c r="AB59" i="42"/>
  <c r="V32" i="44"/>
  <c r="AB32" i="42"/>
  <c r="V45" i="44"/>
  <c r="AB45" i="44" s="1"/>
  <c r="AB45" i="42"/>
  <c r="V65" i="44"/>
  <c r="AB65" i="44" s="1"/>
  <c r="AB65" i="42"/>
  <c r="V64" i="44"/>
  <c r="AB64" i="42"/>
  <c r="V9" i="44"/>
  <c r="AB9" i="44" s="1"/>
  <c r="AB9" i="42"/>
  <c r="V5" i="44"/>
  <c r="V67" i="42"/>
  <c r="V72" i="42" s="1"/>
  <c r="V12" i="43" s="1"/>
  <c r="U12" i="57" s="1"/>
  <c r="U78" i="57" s="1"/>
  <c r="AB5" i="42"/>
  <c r="V33" i="44"/>
  <c r="V33" i="43"/>
  <c r="U33" i="57" s="1"/>
  <c r="U99" i="57" s="1"/>
  <c r="AB33" i="42"/>
  <c r="V53" i="44"/>
  <c r="AB53" i="42"/>
  <c r="V21" i="44"/>
  <c r="AB21" i="42"/>
  <c r="V55" i="43"/>
  <c r="U55" i="57" s="1"/>
  <c r="U121" i="57" s="1"/>
  <c r="V55" i="44"/>
  <c r="AB55" i="42"/>
  <c r="V14" i="44"/>
  <c r="AB14" i="42"/>
  <c r="V7" i="44"/>
  <c r="AB7" i="42"/>
  <c r="AB62" i="44"/>
  <c r="AB10" i="44"/>
  <c r="AB32" i="44"/>
  <c r="AB39" i="44"/>
  <c r="Y54" i="43"/>
  <c r="Y54" i="44"/>
  <c r="AB54" i="44" s="1"/>
  <c r="Y8" i="44"/>
  <c r="AB8" i="44" s="1"/>
  <c r="Y8" i="43"/>
  <c r="Y15" i="43"/>
  <c r="Y15" i="44"/>
  <c r="Y58" i="44"/>
  <c r="AB58" i="44" s="1"/>
  <c r="Y58" i="43"/>
  <c r="AB55" i="44"/>
  <c r="AB25" i="44"/>
  <c r="Y56" i="44"/>
  <c r="Y56" i="43"/>
  <c r="Y43" i="44"/>
  <c r="AB43" i="44" s="1"/>
  <c r="Y43" i="43"/>
  <c r="Y24" i="43"/>
  <c r="X24" i="57" s="1"/>
  <c r="X90" i="57" s="1"/>
  <c r="Y24" i="44"/>
  <c r="AB24" i="44" s="1"/>
  <c r="AB35" i="44"/>
  <c r="R48" i="43"/>
  <c r="R48" i="57" s="1"/>
  <c r="R114" i="57" s="1"/>
  <c r="R50" i="43"/>
  <c r="R50" i="57" s="1"/>
  <c r="R116" i="57" s="1"/>
  <c r="R61" i="43"/>
  <c r="R61" i="57" s="1"/>
  <c r="R127" i="57" s="1"/>
  <c r="R56" i="43"/>
  <c r="R56" i="57" s="1"/>
  <c r="R122" i="57" s="1"/>
  <c r="R31" i="43"/>
  <c r="R31" i="57" s="1"/>
  <c r="R97" i="57" s="1"/>
  <c r="R22" i="43"/>
  <c r="R22" i="57" s="1"/>
  <c r="R88" i="57" s="1"/>
  <c r="R11" i="43"/>
  <c r="R11" i="57" s="1"/>
  <c r="R77" i="57" s="1"/>
  <c r="R26" i="43"/>
  <c r="R26" i="57" s="1"/>
  <c r="R92" i="57" s="1"/>
  <c r="R58" i="43"/>
  <c r="R58" i="57" s="1"/>
  <c r="R124" i="57" s="1"/>
  <c r="R35" i="43"/>
  <c r="R54" i="43"/>
  <c r="R54" i="57" s="1"/>
  <c r="R120" i="57" s="1"/>
  <c r="R44" i="43"/>
  <c r="R44" i="57" s="1"/>
  <c r="R110" i="57" s="1"/>
  <c r="R40" i="43"/>
  <c r="R27" i="43"/>
  <c r="R27" i="57" s="1"/>
  <c r="R93" i="57" s="1"/>
  <c r="R7" i="43"/>
  <c r="R7" i="57" s="1"/>
  <c r="R73" i="57" s="1"/>
  <c r="R60" i="43"/>
  <c r="R60" i="57" s="1"/>
  <c r="R126" i="57" s="1"/>
  <c r="R21" i="43"/>
  <c r="R21" i="57" s="1"/>
  <c r="R87" i="57" s="1"/>
  <c r="R28" i="43"/>
  <c r="R28" i="57" s="1"/>
  <c r="R94" i="57" s="1"/>
  <c r="R52" i="43"/>
  <c r="R52" i="57" s="1"/>
  <c r="R118" i="57" s="1"/>
  <c r="R64" i="43"/>
  <c r="R64" i="57" s="1"/>
  <c r="R130" i="57" s="1"/>
  <c r="R46" i="43"/>
  <c r="R46" i="57" s="1"/>
  <c r="R112" i="57" s="1"/>
  <c r="R8" i="43"/>
  <c r="R8" i="57" s="1"/>
  <c r="R74" i="57" s="1"/>
  <c r="R5" i="43"/>
  <c r="R18" i="43"/>
  <c r="R18" i="57" s="1"/>
  <c r="R84" i="57" s="1"/>
  <c r="R6" i="43"/>
  <c r="R6" i="57" s="1"/>
  <c r="R72" i="57" s="1"/>
  <c r="R9" i="43"/>
  <c r="R9" i="57" s="1"/>
  <c r="R75" i="57" s="1"/>
  <c r="R16" i="43"/>
  <c r="R16" i="57" s="1"/>
  <c r="R82" i="57" s="1"/>
  <c r="R55" i="43"/>
  <c r="R55" i="57" s="1"/>
  <c r="R121" i="57" s="1"/>
  <c r="R34" i="43"/>
  <c r="R34" i="57" s="1"/>
  <c r="R100" i="57" s="1"/>
  <c r="R30" i="43"/>
  <c r="R30" i="57" s="1"/>
  <c r="R96" i="57" s="1"/>
  <c r="R12" i="43"/>
  <c r="R12" i="57" s="1"/>
  <c r="R78" i="57" s="1"/>
  <c r="R63" i="43"/>
  <c r="R63" i="57" s="1"/>
  <c r="R129" i="57" s="1"/>
  <c r="R57" i="43"/>
  <c r="R57" i="57" s="1"/>
  <c r="R123" i="57" s="1"/>
  <c r="R65" i="43"/>
  <c r="R65" i="57" s="1"/>
  <c r="R131" i="57" s="1"/>
  <c r="R29" i="43"/>
  <c r="R29" i="57" s="1"/>
  <c r="R95" i="57" s="1"/>
  <c r="R41" i="43"/>
  <c r="R47" i="43"/>
  <c r="R47" i="57" s="1"/>
  <c r="R113" i="57" s="1"/>
  <c r="R13" i="43"/>
  <c r="R13" i="57" s="1"/>
  <c r="R79" i="57" s="1"/>
  <c r="R51" i="43"/>
  <c r="R51" i="57" s="1"/>
  <c r="R117" i="57" s="1"/>
  <c r="R43" i="43"/>
  <c r="R20" i="43"/>
  <c r="R20" i="57" s="1"/>
  <c r="R86" i="57" s="1"/>
  <c r="R39" i="43"/>
  <c r="R39" i="57" s="1"/>
  <c r="R105" i="57" s="1"/>
  <c r="R24" i="43"/>
  <c r="R24" i="57" s="1"/>
  <c r="R90" i="57" s="1"/>
  <c r="R49" i="43"/>
  <c r="R49" i="57" s="1"/>
  <c r="R115" i="57" s="1"/>
  <c r="R10" i="43"/>
  <c r="R10" i="57" s="1"/>
  <c r="R76" i="57" s="1"/>
  <c r="R38" i="43"/>
  <c r="R62" i="43"/>
  <c r="R62" i="57" s="1"/>
  <c r="R128" i="57" s="1"/>
  <c r="R59" i="43"/>
  <c r="R59" i="57" s="1"/>
  <c r="R125" i="57" s="1"/>
  <c r="R23" i="43"/>
  <c r="R23" i="57" s="1"/>
  <c r="R89" i="57" s="1"/>
  <c r="R42" i="43"/>
  <c r="R33" i="43"/>
  <c r="R33" i="57" s="1"/>
  <c r="R99" i="57" s="1"/>
  <c r="R14" i="43"/>
  <c r="R14" i="57" s="1"/>
  <c r="R80" i="57" s="1"/>
  <c r="R37" i="43"/>
  <c r="R53" i="43"/>
  <c r="R53" i="57" s="1"/>
  <c r="R119" i="57" s="1"/>
  <c r="R17" i="43"/>
  <c r="R17" i="57" s="1"/>
  <c r="R83" i="57" s="1"/>
  <c r="R25" i="43"/>
  <c r="R25" i="57" s="1"/>
  <c r="R91" i="57" s="1"/>
  <c r="R36" i="43"/>
  <c r="R19" i="43"/>
  <c r="R19" i="57" s="1"/>
  <c r="R85" i="57" s="1"/>
  <c r="R32" i="43"/>
  <c r="R32" i="57" s="1"/>
  <c r="R98" i="57" s="1"/>
  <c r="R15" i="43"/>
  <c r="R15" i="57" s="1"/>
  <c r="R81" i="57" s="1"/>
  <c r="R45" i="43"/>
  <c r="R45" i="57" s="1"/>
  <c r="R111" i="57" s="1"/>
  <c r="AD16" i="43"/>
  <c r="AA16" i="57"/>
  <c r="AA82" i="57" s="1"/>
  <c r="AD64" i="43"/>
  <c r="AA64" i="57"/>
  <c r="AA130" i="57" s="1"/>
  <c r="AD25" i="43"/>
  <c r="AA25" i="57"/>
  <c r="AA91" i="57" s="1"/>
  <c r="AA5" i="57"/>
  <c r="AA71" i="57" s="1"/>
  <c r="AD5" i="43"/>
  <c r="AC67" i="43"/>
  <c r="AA40" i="57"/>
  <c r="AA106" i="57" s="1"/>
  <c r="AD40" i="43"/>
  <c r="AD47" i="43"/>
  <c r="AA47" i="57"/>
  <c r="AA113" i="57" s="1"/>
  <c r="AA15" i="57"/>
  <c r="AA81" i="57" s="1"/>
  <c r="AD15" i="43"/>
  <c r="AA52" i="57"/>
  <c r="AA118" i="57" s="1"/>
  <c r="AD52" i="43"/>
  <c r="AA46" i="57"/>
  <c r="AA112" i="57" s="1"/>
  <c r="AD46" i="43"/>
  <c r="AD14" i="43"/>
  <c r="AA14" i="57"/>
  <c r="AA80" i="57" s="1"/>
  <c r="AD28" i="43"/>
  <c r="AA28" i="57"/>
  <c r="AA94" i="57" s="1"/>
  <c r="AD11" i="43"/>
  <c r="AA11" i="57"/>
  <c r="AA77" i="57" s="1"/>
  <c r="AD19" i="43"/>
  <c r="AA19" i="57"/>
  <c r="AA85" i="57" s="1"/>
  <c r="L5" i="58"/>
  <c r="L50" i="58" s="1"/>
  <c r="V28" i="43"/>
  <c r="U28" i="57" s="1"/>
  <c r="U94" i="57" s="1"/>
  <c r="AB28" i="42"/>
  <c r="V28" i="44"/>
  <c r="V47" i="43"/>
  <c r="V47" i="44"/>
  <c r="AB47" i="44" s="1"/>
  <c r="AB47" i="42"/>
  <c r="V60" i="43"/>
  <c r="V60" i="44"/>
  <c r="AB60" i="44" s="1"/>
  <c r="AB60" i="42"/>
  <c r="V30" i="44"/>
  <c r="AB30" i="42"/>
  <c r="V30" i="43"/>
  <c r="U30" i="57" s="1"/>
  <c r="U96" i="57" s="1"/>
  <c r="V15" i="43"/>
  <c r="U15" i="57" s="1"/>
  <c r="U81" i="57" s="1"/>
  <c r="V15" i="44"/>
  <c r="AB15" i="42"/>
  <c r="V22" i="43"/>
  <c r="V22" i="44"/>
  <c r="AB22" i="44" s="1"/>
  <c r="AB22" i="42"/>
  <c r="AB57" i="42"/>
  <c r="V57" i="44"/>
  <c r="V57" i="43"/>
  <c r="U57" i="57" s="1"/>
  <c r="U123" i="57" s="1"/>
  <c r="V40" i="44"/>
  <c r="AB40" i="42"/>
  <c r="V40" i="43"/>
  <c r="V61" i="44"/>
  <c r="AB61" i="42"/>
  <c r="V61" i="43"/>
  <c r="V52" i="44"/>
  <c r="AB52" i="44" s="1"/>
  <c r="AB52" i="42"/>
  <c r="V52" i="43"/>
  <c r="V56" i="43"/>
  <c r="V56" i="44"/>
  <c r="AB56" i="42"/>
  <c r="V51" i="43"/>
  <c r="AB51" i="42"/>
  <c r="V51" i="44"/>
  <c r="AB51" i="44" s="1"/>
  <c r="V20" i="43"/>
  <c r="U20" i="57" s="1"/>
  <c r="U86" i="57" s="1"/>
  <c r="V20" i="44"/>
  <c r="AB20" i="42"/>
  <c r="V50" i="43"/>
  <c r="V50" i="44"/>
  <c r="AB50" i="42"/>
  <c r="V19" i="43"/>
  <c r="V19" i="44"/>
  <c r="AB19" i="42"/>
  <c r="X67" i="43"/>
  <c r="W5" i="57"/>
  <c r="W71" i="57" s="1"/>
  <c r="AD39" i="43"/>
  <c r="AA39" i="57"/>
  <c r="AA105" i="57" s="1"/>
  <c r="T42" i="57"/>
  <c r="T108" i="57" s="1"/>
  <c r="T12" i="57"/>
  <c r="T78" i="57" s="1"/>
  <c r="AB63" i="44"/>
  <c r="AB38" i="44"/>
  <c r="AB13" i="44"/>
  <c r="Y64" i="43"/>
  <c r="X64" i="57" s="1"/>
  <c r="X130" i="57" s="1"/>
  <c r="Y64" i="44"/>
  <c r="AB64" i="44" s="1"/>
  <c r="Y61" i="43"/>
  <c r="Y61" i="44"/>
  <c r="Y48" i="43"/>
  <c r="Y48" i="44"/>
  <c r="AB48" i="44" s="1"/>
  <c r="Y23" i="43"/>
  <c r="Y23" i="44"/>
  <c r="AB23" i="44" s="1"/>
  <c r="AB41" i="44"/>
  <c r="Y42" i="43"/>
  <c r="X42" i="57" s="1"/>
  <c r="X108" i="57" s="1"/>
  <c r="Y42" i="44"/>
  <c r="AB42" i="44" s="1"/>
  <c r="AB16" i="44"/>
  <c r="Y33" i="43"/>
  <c r="Y33" i="44"/>
  <c r="AB33" i="44" s="1"/>
  <c r="AB53" i="44"/>
  <c r="AB30" i="44"/>
  <c r="AB7" i="44"/>
  <c r="Y11" i="43"/>
  <c r="X11" i="57" s="1"/>
  <c r="X77" i="57" s="1"/>
  <c r="Y11" i="44"/>
  <c r="AB11" i="44" s="1"/>
  <c r="AA60" i="57"/>
  <c r="AA126" i="57" s="1"/>
  <c r="AD60" i="43"/>
  <c r="AA36" i="57"/>
  <c r="AA102" i="57" s="1"/>
  <c r="AD36" i="43"/>
  <c r="S62" i="43"/>
  <c r="S45" i="43"/>
  <c r="S19" i="43"/>
  <c r="S27" i="43"/>
  <c r="S28" i="43"/>
  <c r="S18" i="43"/>
  <c r="S48" i="43"/>
  <c r="S6" i="43"/>
  <c r="S7" i="43"/>
  <c r="S54" i="43"/>
  <c r="S44" i="43"/>
  <c r="S40" i="43"/>
  <c r="S43" i="43"/>
  <c r="S13" i="43"/>
  <c r="S53" i="43"/>
  <c r="S63" i="43"/>
  <c r="S57" i="43"/>
  <c r="S65" i="43"/>
  <c r="S37" i="43"/>
  <c r="S52" i="43"/>
  <c r="S64" i="43"/>
  <c r="S60" i="43"/>
  <c r="S20" i="43"/>
  <c r="S30" i="43"/>
  <c r="S9" i="43"/>
  <c r="S16" i="43"/>
  <c r="S51" i="43"/>
  <c r="S56" i="43"/>
  <c r="S49" i="43"/>
  <c r="S26" i="43"/>
  <c r="S59" i="43"/>
  <c r="S23" i="43"/>
  <c r="S42" i="43"/>
  <c r="S11" i="43"/>
  <c r="S29" i="43"/>
  <c r="S14" i="43"/>
  <c r="S58" i="43"/>
  <c r="S12" i="43"/>
  <c r="S25" i="43"/>
  <c r="S36" i="43"/>
  <c r="S38" i="43"/>
  <c r="S39" i="43"/>
  <c r="S24" i="43"/>
  <c r="S17" i="43"/>
  <c r="S41" i="43"/>
  <c r="S15" i="43"/>
  <c r="S34" i="43"/>
  <c r="S50" i="43"/>
  <c r="S61" i="43"/>
  <c r="S46" i="43"/>
  <c r="S8" i="43"/>
  <c r="S33" i="43"/>
  <c r="S22" i="43"/>
  <c r="S35" i="43"/>
  <c r="S5" i="43"/>
  <c r="S32" i="43"/>
  <c r="S55" i="43"/>
  <c r="S10" i="43"/>
  <c r="S21" i="43"/>
  <c r="S47" i="43"/>
  <c r="S31" i="43"/>
  <c r="AA30" i="57"/>
  <c r="AA96" i="57" s="1"/>
  <c r="AD30" i="43"/>
  <c r="AD17" i="43"/>
  <c r="AA17" i="57"/>
  <c r="AA83" i="57" s="1"/>
  <c r="AD26" i="43"/>
  <c r="AA26" i="57"/>
  <c r="AA92" i="57" s="1"/>
  <c r="AD57" i="43"/>
  <c r="AA57" i="57"/>
  <c r="AA123" i="57" s="1"/>
  <c r="AD42" i="43"/>
  <c r="AA42" i="57"/>
  <c r="AA108" i="57" s="1"/>
  <c r="AA31" i="57"/>
  <c r="AA97" i="57" s="1"/>
  <c r="AD31" i="43"/>
  <c r="AD27" i="43"/>
  <c r="AA27" i="57"/>
  <c r="AA93" i="57" s="1"/>
  <c r="AD18" i="43"/>
  <c r="AA18" i="57"/>
  <c r="AA84" i="57" s="1"/>
  <c r="AD38" i="43"/>
  <c r="AA38" i="57"/>
  <c r="AA104" i="57" s="1"/>
  <c r="AA63" i="57"/>
  <c r="AA129" i="57" s="1"/>
  <c r="AD63" i="43"/>
  <c r="AD50" i="43"/>
  <c r="AA50" i="57"/>
  <c r="AA116" i="57" s="1"/>
  <c r="AD58" i="43"/>
  <c r="AA58" i="57"/>
  <c r="AA124" i="57" s="1"/>
  <c r="AD56" i="43"/>
  <c r="AA56" i="57"/>
  <c r="AA122" i="57" s="1"/>
  <c r="L12" i="58"/>
  <c r="L57" i="58" s="1"/>
  <c r="L33" i="58"/>
  <c r="L78" i="58" s="1"/>
  <c r="G15" i="59"/>
  <c r="G14" i="59"/>
  <c r="L13" i="58"/>
  <c r="L58" i="58" s="1"/>
  <c r="L32" i="58"/>
  <c r="L77" i="58" s="1"/>
  <c r="L17" i="58"/>
  <c r="L62" i="58" s="1"/>
  <c r="L14" i="58"/>
  <c r="L59" i="58" s="1"/>
  <c r="L31" i="58"/>
  <c r="L76" i="58" s="1"/>
  <c r="L40" i="58"/>
  <c r="L85" i="58" s="1"/>
  <c r="L37" i="58"/>
  <c r="L82" i="58" s="1"/>
  <c r="L21" i="58"/>
  <c r="L66" i="58" s="1"/>
  <c r="L7" i="58"/>
  <c r="L52" i="58" s="1"/>
  <c r="L26" i="58"/>
  <c r="L71" i="58" s="1"/>
  <c r="L25" i="58"/>
  <c r="L70" i="58" s="1"/>
  <c r="L42" i="58"/>
  <c r="L87" i="58" s="1"/>
  <c r="L22" i="58"/>
  <c r="L67" i="58" s="1"/>
  <c r="L8" i="58"/>
  <c r="L53" i="58" s="1"/>
  <c r="L16" i="58"/>
  <c r="L61" i="58" s="1"/>
  <c r="L9" i="58"/>
  <c r="L54" i="58" s="1"/>
  <c r="L10" i="58"/>
  <c r="L55" i="58" s="1"/>
  <c r="L36" i="58"/>
  <c r="L81" i="58" s="1"/>
  <c r="C14" i="59"/>
  <c r="C15" i="59"/>
  <c r="L35" i="58"/>
  <c r="L80" i="58" s="1"/>
  <c r="L15" i="58"/>
  <c r="L60" i="58" s="1"/>
  <c r="L29" i="58"/>
  <c r="L74" i="58" s="1"/>
  <c r="L27" i="58"/>
  <c r="L72" i="58" s="1"/>
  <c r="L39" i="58"/>
  <c r="L84" i="58" s="1"/>
  <c r="L44" i="58"/>
  <c r="L89" i="58" s="1"/>
  <c r="L20" i="58"/>
  <c r="L65" i="58" s="1"/>
  <c r="L6" i="58"/>
  <c r="L51" i="58" s="1"/>
  <c r="B9" i="60" s="1"/>
  <c r="L24" i="58"/>
  <c r="L69" i="58" s="1"/>
  <c r="L38" i="58"/>
  <c r="L83" i="58" s="1"/>
  <c r="L19" i="58"/>
  <c r="L64" i="58" s="1"/>
  <c r="L43" i="58"/>
  <c r="L88" i="58" s="1"/>
  <c r="L18" i="58"/>
  <c r="L63" i="58" s="1"/>
  <c r="L28" i="58"/>
  <c r="L73" i="58" s="1"/>
  <c r="L11" i="58"/>
  <c r="L56" i="58" s="1"/>
  <c r="L23" i="58"/>
  <c r="L68" i="58" s="1"/>
  <c r="L34" i="58"/>
  <c r="L79" i="58" s="1"/>
  <c r="L15" i="60"/>
  <c r="L14" i="60"/>
  <c r="L41" i="58"/>
  <c r="L86" i="58" s="1"/>
  <c r="L30" i="58"/>
  <c r="L75" i="58" s="1"/>
  <c r="X12" i="48"/>
  <c r="X33" i="48"/>
  <c r="X20" i="48"/>
  <c r="X38" i="48"/>
  <c r="X32" i="48"/>
  <c r="X16" i="48"/>
  <c r="X10" i="48"/>
  <c r="X48" i="48"/>
  <c r="X48" i="45"/>
  <c r="X48" i="46"/>
  <c r="X51" i="46" s="1"/>
  <c r="X12" i="47" s="1"/>
  <c r="Y12" i="47" s="1"/>
  <c r="AB12" i="47" s="1"/>
  <c r="X48" i="47"/>
  <c r="X15" i="48"/>
  <c r="X29" i="47"/>
  <c r="Y29" i="47" s="1"/>
  <c r="AB29" i="47" s="1"/>
  <c r="X29" i="48"/>
  <c r="X9" i="48"/>
  <c r="X21" i="48"/>
  <c r="Q5" i="47"/>
  <c r="L46" i="47"/>
  <c r="X18" i="47"/>
  <c r="Y18" i="47" s="1"/>
  <c r="AB18" i="47" s="1"/>
  <c r="X18" i="48"/>
  <c r="X28" i="47"/>
  <c r="Y28" i="47" s="1"/>
  <c r="AB28" i="47" s="1"/>
  <c r="X28" i="48"/>
  <c r="X11" i="47"/>
  <c r="Y11" i="47" s="1"/>
  <c r="AB11" i="47" s="1"/>
  <c r="X11" i="48"/>
  <c r="X31" i="47"/>
  <c r="Y31" i="47" s="1"/>
  <c r="X31" i="48"/>
  <c r="X40" i="47"/>
  <c r="Y40" i="47" s="1"/>
  <c r="AB40" i="47" s="1"/>
  <c r="X40" i="48"/>
  <c r="X6" i="47"/>
  <c r="Y6" i="47" s="1"/>
  <c r="AB6" i="47" s="1"/>
  <c r="X6" i="48"/>
  <c r="X26" i="47"/>
  <c r="Y26" i="47" s="1"/>
  <c r="AB26" i="47" s="1"/>
  <c r="X26" i="48"/>
  <c r="X14" i="47"/>
  <c r="Y14" i="47" s="1"/>
  <c r="AB14" i="47" s="1"/>
  <c r="X14" i="48"/>
  <c r="X37" i="47"/>
  <c r="Y37" i="47" s="1"/>
  <c r="AB37" i="47" s="1"/>
  <c r="X37" i="48"/>
  <c r="X13" i="47"/>
  <c r="Y13" i="47" s="1"/>
  <c r="AB13" i="47" s="1"/>
  <c r="X13" i="48"/>
  <c r="L46" i="48"/>
  <c r="Q5" i="48"/>
  <c r="X42" i="47"/>
  <c r="Y42" i="47" s="1"/>
  <c r="AB42" i="47" s="1"/>
  <c r="X42" i="48"/>
  <c r="X22" i="47"/>
  <c r="Y22" i="47" s="1"/>
  <c r="AB22" i="47" s="1"/>
  <c r="X22" i="48"/>
  <c r="X44" i="47"/>
  <c r="Y44" i="47" s="1"/>
  <c r="AB44" i="47" s="1"/>
  <c r="X44" i="48"/>
  <c r="AB31" i="47"/>
  <c r="X30" i="48"/>
  <c r="AE71" i="41"/>
  <c r="AE69" i="44"/>
  <c r="AE69" i="43"/>
  <c r="AO68" i="43" s="1"/>
  <c r="AE69" i="42"/>
  <c r="X19" i="47"/>
  <c r="Y19" i="47" s="1"/>
  <c r="AB19" i="47" s="1"/>
  <c r="X19" i="48"/>
  <c r="X43" i="48"/>
  <c r="X41" i="47"/>
  <c r="Y41" i="47" s="1"/>
  <c r="AB41" i="47" s="1"/>
  <c r="X41" i="48"/>
  <c r="X17" i="48"/>
  <c r="X8" i="47"/>
  <c r="Y8" i="47" s="1"/>
  <c r="X8" i="48"/>
  <c r="AB49" i="48"/>
  <c r="AB49" i="46"/>
  <c r="AB49" i="45"/>
  <c r="AB49" i="47"/>
  <c r="X7" i="47"/>
  <c r="Y7" i="47" s="1"/>
  <c r="AB7" i="47" s="1"/>
  <c r="X7" i="48"/>
  <c r="X35" i="47"/>
  <c r="Y35" i="47" s="1"/>
  <c r="AB35" i="47" s="1"/>
  <c r="X35" i="48"/>
  <c r="X25" i="47"/>
  <c r="Y25" i="47" s="1"/>
  <c r="AB25" i="47" s="1"/>
  <c r="X25" i="48"/>
  <c r="X24" i="47"/>
  <c r="Y24" i="47" s="1"/>
  <c r="AB24" i="47" s="1"/>
  <c r="X24" i="48"/>
  <c r="Q46" i="46"/>
  <c r="AB5" i="46"/>
  <c r="X27" i="47"/>
  <c r="Y27" i="47" s="1"/>
  <c r="AB27" i="47" s="1"/>
  <c r="X27" i="48"/>
  <c r="X39" i="47"/>
  <c r="Y39" i="47" s="1"/>
  <c r="AB39" i="47" s="1"/>
  <c r="X39" i="48"/>
  <c r="AB8" i="47"/>
  <c r="X23" i="47"/>
  <c r="Y23" i="47" s="1"/>
  <c r="AB23" i="47" s="1"/>
  <c r="X23" i="48"/>
  <c r="X34" i="47"/>
  <c r="Y34" i="47" s="1"/>
  <c r="AB34" i="47" s="1"/>
  <c r="X34" i="48"/>
  <c r="X36" i="47"/>
  <c r="Y36" i="47" s="1"/>
  <c r="AB36" i="47" s="1"/>
  <c r="X36" i="48"/>
  <c r="E43" i="5"/>
  <c r="E23" i="5"/>
  <c r="X21" i="57" l="1"/>
  <c r="X87" i="57" s="1"/>
  <c r="AB33" i="43"/>
  <c r="X33" i="57"/>
  <c r="X99" i="57" s="1"/>
  <c r="X48" i="57"/>
  <c r="X114" i="57" s="1"/>
  <c r="AB56" i="44"/>
  <c r="X8" i="57"/>
  <c r="X74" i="57" s="1"/>
  <c r="V65" i="43"/>
  <c r="V32" i="43"/>
  <c r="Y20" i="43"/>
  <c r="Y44" i="43"/>
  <c r="AB14" i="44"/>
  <c r="Y67" i="44"/>
  <c r="V39" i="43"/>
  <c r="V13" i="43"/>
  <c r="V25" i="43"/>
  <c r="V11" i="43"/>
  <c r="V10" i="43"/>
  <c r="T11" i="59"/>
  <c r="T9" i="59"/>
  <c r="T7" i="59"/>
  <c r="T13" i="59" s="1"/>
  <c r="AB28" i="44"/>
  <c r="AB31" i="44"/>
  <c r="AB34" i="44"/>
  <c r="V18" i="43"/>
  <c r="V37" i="43"/>
  <c r="V38" i="43"/>
  <c r="V43" i="43"/>
  <c r="U43" i="57" s="1"/>
  <c r="U109" i="57" s="1"/>
  <c r="AB61" i="44"/>
  <c r="U50" i="57"/>
  <c r="U116" i="57" s="1"/>
  <c r="U40" i="57"/>
  <c r="U106" i="57" s="1"/>
  <c r="U22" i="57"/>
  <c r="U88" i="57" s="1"/>
  <c r="U47" i="57"/>
  <c r="U113" i="57" s="1"/>
  <c r="AD67" i="43"/>
  <c r="AB43" i="43"/>
  <c r="X43" i="57"/>
  <c r="X109" i="57" s="1"/>
  <c r="V14" i="43"/>
  <c r="U14" i="57" s="1"/>
  <c r="U80" i="57" s="1"/>
  <c r="V67" i="44"/>
  <c r="AB5" i="44"/>
  <c r="V64" i="43"/>
  <c r="V46" i="43"/>
  <c r="U46" i="57" s="1"/>
  <c r="U112" i="57" s="1"/>
  <c r="B9" i="59"/>
  <c r="B11" i="59"/>
  <c r="B7" i="59"/>
  <c r="B13" i="59" s="1"/>
  <c r="AB20" i="44"/>
  <c r="AB40" i="44"/>
  <c r="AB57" i="44"/>
  <c r="Y12" i="43"/>
  <c r="Y27" i="43"/>
  <c r="X27" i="57" s="1"/>
  <c r="X93" i="57" s="1"/>
  <c r="Y32" i="43"/>
  <c r="X32" i="57" s="1"/>
  <c r="X98" i="57" s="1"/>
  <c r="Y30" i="43"/>
  <c r="Y13" i="43"/>
  <c r="X13" i="57" s="1"/>
  <c r="X79" i="57" s="1"/>
  <c r="Y51" i="43"/>
  <c r="Y60" i="43"/>
  <c r="Y5" i="43"/>
  <c r="Y39" i="43"/>
  <c r="X39" i="57" s="1"/>
  <c r="X105" i="57" s="1"/>
  <c r="Y53" i="43"/>
  <c r="X53" i="57" s="1"/>
  <c r="X119" i="57" s="1"/>
  <c r="Y16" i="43"/>
  <c r="X16" i="57" s="1"/>
  <c r="X82" i="57" s="1"/>
  <c r="Y65" i="43"/>
  <c r="X65" i="57" s="1"/>
  <c r="X131" i="57" s="1"/>
  <c r="Y52" i="43"/>
  <c r="Y7" i="43"/>
  <c r="X7" i="57" s="1"/>
  <c r="X73" i="57" s="1"/>
  <c r="Y25" i="43"/>
  <c r="X25" i="57" s="1"/>
  <c r="X91" i="57" s="1"/>
  <c r="Y9" i="43"/>
  <c r="X9" i="57" s="1"/>
  <c r="X75" i="57" s="1"/>
  <c r="Y45" i="43"/>
  <c r="X45" i="57" s="1"/>
  <c r="X111" i="57" s="1"/>
  <c r="Y62" i="43"/>
  <c r="X62" i="57" s="1"/>
  <c r="X128" i="57" s="1"/>
  <c r="Y26" i="43"/>
  <c r="X26" i="57" s="1"/>
  <c r="X92" i="57" s="1"/>
  <c r="Y47" i="43"/>
  <c r="Y36" i="43"/>
  <c r="X36" i="57" s="1"/>
  <c r="X102" i="57" s="1"/>
  <c r="Y22" i="43"/>
  <c r="Y18" i="43"/>
  <c r="X18" i="57" s="1"/>
  <c r="X84" i="57" s="1"/>
  <c r="Y38" i="43"/>
  <c r="X38" i="57" s="1"/>
  <c r="X104" i="57" s="1"/>
  <c r="Y29" i="43"/>
  <c r="X29" i="57" s="1"/>
  <c r="X95" i="57" s="1"/>
  <c r="Y37" i="43"/>
  <c r="X37" i="57" s="1"/>
  <c r="X103" i="57" s="1"/>
  <c r="Y55" i="43"/>
  <c r="Y63" i="43"/>
  <c r="X63" i="57" s="1"/>
  <c r="X129" i="57" s="1"/>
  <c r="Y10" i="43"/>
  <c r="X10" i="57" s="1"/>
  <c r="X76" i="57" s="1"/>
  <c r="Y35" i="43"/>
  <c r="X35" i="57" s="1"/>
  <c r="X101" i="57" s="1"/>
  <c r="Y41" i="43"/>
  <c r="X41" i="57" s="1"/>
  <c r="X107" i="57" s="1"/>
  <c r="Y59" i="43"/>
  <c r="X59" i="57" s="1"/>
  <c r="X125" i="57" s="1"/>
  <c r="F11" i="59"/>
  <c r="F7" i="59"/>
  <c r="F13" i="59" s="1"/>
  <c r="F9" i="59"/>
  <c r="U7" i="59"/>
  <c r="U13" i="59" s="1"/>
  <c r="U9" i="59"/>
  <c r="U11" i="59"/>
  <c r="V35" i="43"/>
  <c r="V42" i="43"/>
  <c r="V58" i="43"/>
  <c r="U58" i="57" s="1"/>
  <c r="U124" i="57" s="1"/>
  <c r="V34" i="43"/>
  <c r="U34" i="57" s="1"/>
  <c r="U100" i="57" s="1"/>
  <c r="AB19" i="44"/>
  <c r="Y31" i="43"/>
  <c r="Y34" i="43"/>
  <c r="AB21" i="44"/>
  <c r="V27" i="43"/>
  <c r="V26" i="43"/>
  <c r="V36" i="43"/>
  <c r="X20" i="47"/>
  <c r="Y20" i="47" s="1"/>
  <c r="AB20" i="47" s="1"/>
  <c r="X23" i="57"/>
  <c r="X89" i="57" s="1"/>
  <c r="X61" i="57"/>
  <c r="X127" i="57" s="1"/>
  <c r="M11" i="59"/>
  <c r="M9" i="59"/>
  <c r="M7" i="59"/>
  <c r="M13" i="59" s="1"/>
  <c r="U19" i="57"/>
  <c r="U85" i="57" s="1"/>
  <c r="U56" i="57"/>
  <c r="U122" i="57" s="1"/>
  <c r="U61" i="57"/>
  <c r="U127" i="57" s="1"/>
  <c r="AB61" i="43"/>
  <c r="U60" i="57"/>
  <c r="U126" i="57" s="1"/>
  <c r="Q9" i="59"/>
  <c r="Q7" i="59"/>
  <c r="Q13" i="59" s="1"/>
  <c r="AB15" i="44"/>
  <c r="V7" i="43"/>
  <c r="V53" i="43"/>
  <c r="AB67" i="42"/>
  <c r="V59" i="43"/>
  <c r="V29" i="43"/>
  <c r="Y40" i="43"/>
  <c r="X40" i="57" s="1"/>
  <c r="X106" i="57" s="1"/>
  <c r="Y57" i="43"/>
  <c r="V16" i="43"/>
  <c r="V31" i="43"/>
  <c r="U31" i="57" s="1"/>
  <c r="U97" i="57" s="1"/>
  <c r="Y19" i="43"/>
  <c r="X19" i="57" s="1"/>
  <c r="X85" i="57" s="1"/>
  <c r="Y49" i="43"/>
  <c r="AB46" i="44"/>
  <c r="Y6" i="43"/>
  <c r="AB50" i="44"/>
  <c r="J7" i="59"/>
  <c r="J13" i="59" s="1"/>
  <c r="J9" i="59"/>
  <c r="J11" i="59"/>
  <c r="V44" i="43"/>
  <c r="U44" i="57" s="1"/>
  <c r="U110" i="57" s="1"/>
  <c r="V17" i="43"/>
  <c r="U17" i="57" s="1"/>
  <c r="U83" i="57" s="1"/>
  <c r="V62" i="43"/>
  <c r="V63" i="43"/>
  <c r="V24" i="43"/>
  <c r="S67" i="43"/>
  <c r="U51" i="57"/>
  <c r="U117" i="57" s="1"/>
  <c r="U52" i="57"/>
  <c r="U118" i="57" s="1"/>
  <c r="R5" i="57"/>
  <c r="R71" i="57" s="1"/>
  <c r="R67" i="43"/>
  <c r="S72" i="43" s="1"/>
  <c r="AB56" i="43"/>
  <c r="X56" i="57"/>
  <c r="X122" i="57" s="1"/>
  <c r="AB58" i="43"/>
  <c r="X58" i="57"/>
  <c r="X124" i="57" s="1"/>
  <c r="AB15" i="43"/>
  <c r="X15" i="57"/>
  <c r="X81" i="57" s="1"/>
  <c r="X54" i="57"/>
  <c r="X120" i="57" s="1"/>
  <c r="V21" i="43"/>
  <c r="U21" i="57" s="1"/>
  <c r="U87" i="57" s="1"/>
  <c r="V5" i="43"/>
  <c r="V9" i="43"/>
  <c r="V45" i="43"/>
  <c r="L7" i="59"/>
  <c r="L13" i="59" s="1"/>
  <c r="L11" i="59"/>
  <c r="L9" i="59"/>
  <c r="Y17" i="43"/>
  <c r="Y14" i="43"/>
  <c r="E9" i="59"/>
  <c r="E11" i="59"/>
  <c r="E7" i="59"/>
  <c r="E13" i="59" s="1"/>
  <c r="V8" i="43"/>
  <c r="U8" i="57" s="1"/>
  <c r="U74" i="57" s="1"/>
  <c r="V41" i="43"/>
  <c r="V6" i="43"/>
  <c r="U6" i="57" s="1"/>
  <c r="U72" i="57" s="1"/>
  <c r="V54" i="43"/>
  <c r="U54" i="57" s="1"/>
  <c r="U120" i="57" s="1"/>
  <c r="Q11" i="59"/>
  <c r="Y28" i="43"/>
  <c r="Y46" i="43"/>
  <c r="AB6" i="44"/>
  <c r="Y50" i="43"/>
  <c r="V48" i="43"/>
  <c r="U48" i="57" s="1"/>
  <c r="U114" i="57" s="1"/>
  <c r="V23" i="43"/>
  <c r="U23" i="57" s="1"/>
  <c r="U89" i="57" s="1"/>
  <c r="V49" i="43"/>
  <c r="U49" i="57" s="1"/>
  <c r="U115" i="57" s="1"/>
  <c r="B15" i="60"/>
  <c r="B14" i="60"/>
  <c r="AB46" i="46"/>
  <c r="X17" i="47"/>
  <c r="Y17" i="47" s="1"/>
  <c r="AB17" i="47" s="1"/>
  <c r="X43" i="47"/>
  <c r="Y43" i="47" s="1"/>
  <c r="AB43" i="47" s="1"/>
  <c r="X30" i="47"/>
  <c r="Y30" i="47" s="1"/>
  <c r="AB30" i="47" s="1"/>
  <c r="X38" i="47"/>
  <c r="Y38" i="47" s="1"/>
  <c r="AB38" i="47" s="1"/>
  <c r="X33" i="47"/>
  <c r="Y33" i="47" s="1"/>
  <c r="AB33" i="47" s="1"/>
  <c r="B7" i="60"/>
  <c r="B13" i="60" s="1"/>
  <c r="B11" i="60"/>
  <c r="X15" i="47"/>
  <c r="Y15" i="47" s="1"/>
  <c r="AB15" i="47" s="1"/>
  <c r="Y19" i="48"/>
  <c r="AB19" i="48" s="1"/>
  <c r="S10" i="62" s="1"/>
  <c r="U19" i="58"/>
  <c r="U64" i="58" s="1"/>
  <c r="Y36" i="48"/>
  <c r="AB36" i="48" s="1"/>
  <c r="U36" i="58"/>
  <c r="U81" i="58" s="1"/>
  <c r="Y23" i="48"/>
  <c r="AB23" i="48" s="1"/>
  <c r="S12" i="62" s="1"/>
  <c r="U23" i="58"/>
  <c r="U68" i="58" s="1"/>
  <c r="Y35" i="48"/>
  <c r="AB35" i="48" s="1"/>
  <c r="U35" i="58"/>
  <c r="U80" i="58" s="1"/>
  <c r="Y22" i="48"/>
  <c r="AB22" i="48" s="1"/>
  <c r="U22" i="58"/>
  <c r="U67" i="58" s="1"/>
  <c r="Y37" i="48"/>
  <c r="AB37" i="48" s="1"/>
  <c r="U37" i="58"/>
  <c r="U82" i="58" s="1"/>
  <c r="Y6" i="48"/>
  <c r="AB6" i="48" s="1"/>
  <c r="G6" i="62" s="1"/>
  <c r="U6" i="58"/>
  <c r="U51" i="58" s="1"/>
  <c r="Y31" i="48"/>
  <c r="AB31" i="48" s="1"/>
  <c r="S22" i="62" s="1"/>
  <c r="U31" i="58"/>
  <c r="U76" i="58" s="1"/>
  <c r="Y28" i="48"/>
  <c r="AB28" i="48" s="1"/>
  <c r="S18" i="62" s="1"/>
  <c r="U28" i="58"/>
  <c r="U73" i="58" s="1"/>
  <c r="Y29" i="48"/>
  <c r="AB29" i="48" s="1"/>
  <c r="S19" i="62" s="1"/>
  <c r="U29" i="58"/>
  <c r="U74" i="58" s="1"/>
  <c r="Y10" i="48"/>
  <c r="AB10" i="48" s="1"/>
  <c r="S5" i="62" s="1"/>
  <c r="Y33" i="48"/>
  <c r="AB33" i="48" s="1"/>
  <c r="S24" i="62" s="1"/>
  <c r="U33" i="58"/>
  <c r="U78" i="58" s="1"/>
  <c r="Y25" i="48"/>
  <c r="AB25" i="48" s="1"/>
  <c r="S14" i="62" s="1"/>
  <c r="U25" i="58"/>
  <c r="U70" i="58" s="1"/>
  <c r="Y8" i="48"/>
  <c r="AB8" i="48" s="1"/>
  <c r="U8" i="58"/>
  <c r="U53" i="58" s="1"/>
  <c r="Y26" i="48"/>
  <c r="AB26" i="48" s="1"/>
  <c r="U26" i="58"/>
  <c r="U71" i="58" s="1"/>
  <c r="Y34" i="48"/>
  <c r="AB34" i="48" s="1"/>
  <c r="U34" i="58"/>
  <c r="U79" i="58" s="1"/>
  <c r="Y42" i="48"/>
  <c r="AB42" i="48" s="1"/>
  <c r="S30" i="62" s="1"/>
  <c r="U42" i="58"/>
  <c r="U87" i="58" s="1"/>
  <c r="Y14" i="48"/>
  <c r="AB14" i="48" s="1"/>
  <c r="AA1573" i="51" s="1"/>
  <c r="AG1573" i="51" s="1"/>
  <c r="U14" i="58"/>
  <c r="U59" i="58" s="1"/>
  <c r="Y40" i="48"/>
  <c r="AB40" i="48" s="1"/>
  <c r="S29" i="62" s="1"/>
  <c r="U40" i="58"/>
  <c r="U85" i="58" s="1"/>
  <c r="Y11" i="48"/>
  <c r="AB11" i="48" s="1"/>
  <c r="U11" i="58"/>
  <c r="U56" i="58" s="1"/>
  <c r="Y18" i="48"/>
  <c r="AB18" i="48" s="1"/>
  <c r="S8" i="62" s="1"/>
  <c r="U18" i="58"/>
  <c r="U63" i="58" s="1"/>
  <c r="Y21" i="48"/>
  <c r="AB21" i="48" s="1"/>
  <c r="Y15" i="48"/>
  <c r="AB15" i="48" s="1"/>
  <c r="U15" i="58"/>
  <c r="U60" i="58" s="1"/>
  <c r="Y32" i="48"/>
  <c r="AB32" i="48" s="1"/>
  <c r="S23" i="62" s="1"/>
  <c r="Y20" i="48"/>
  <c r="AB20" i="48" s="1"/>
  <c r="U20" i="58"/>
  <c r="U65" i="58" s="1"/>
  <c r="Y41" i="48"/>
  <c r="AB41" i="48" s="1"/>
  <c r="S31" i="62" s="1"/>
  <c r="U41" i="58"/>
  <c r="U86" i="58" s="1"/>
  <c r="Y16" i="48"/>
  <c r="AB16" i="48" s="1"/>
  <c r="Y27" i="48"/>
  <c r="AB27" i="48" s="1"/>
  <c r="S17" i="62" s="1"/>
  <c r="U27" i="58"/>
  <c r="U72" i="58" s="1"/>
  <c r="Y24" i="48"/>
  <c r="AB24" i="48" s="1"/>
  <c r="S13" i="62" s="1"/>
  <c r="U24" i="58"/>
  <c r="U69" i="58" s="1"/>
  <c r="Y7" i="48"/>
  <c r="AB7" i="48" s="1"/>
  <c r="U7" i="58"/>
  <c r="U52" i="58" s="1"/>
  <c r="Y44" i="48"/>
  <c r="AB44" i="48" s="1"/>
  <c r="S33" i="62" s="1"/>
  <c r="U44" i="58"/>
  <c r="U89" i="58" s="1"/>
  <c r="Y13" i="48"/>
  <c r="AB13" i="48" s="1"/>
  <c r="S9" i="62" s="1"/>
  <c r="U13" i="58"/>
  <c r="U58" i="58" s="1"/>
  <c r="Y39" i="48"/>
  <c r="AB39" i="48" s="1"/>
  <c r="S28" i="62" s="1"/>
  <c r="U39" i="58"/>
  <c r="U84" i="58" s="1"/>
  <c r="Y17" i="48"/>
  <c r="AB17" i="48" s="1"/>
  <c r="U17" i="58"/>
  <c r="U62" i="58" s="1"/>
  <c r="Y43" i="48"/>
  <c r="AB43" i="48" s="1"/>
  <c r="S32" i="62" s="1"/>
  <c r="U43" i="58"/>
  <c r="U88" i="58" s="1"/>
  <c r="Y30" i="48"/>
  <c r="AB30" i="48" s="1"/>
  <c r="U30" i="58"/>
  <c r="U75" i="58" s="1"/>
  <c r="Y9" i="48"/>
  <c r="AB9" i="48" s="1"/>
  <c r="Y38" i="48"/>
  <c r="AB38" i="48" s="1"/>
  <c r="AA1980" i="51" s="1"/>
  <c r="U38" i="58"/>
  <c r="U83" i="58" s="1"/>
  <c r="Y12" i="48"/>
  <c r="AB12" i="48" s="1"/>
  <c r="S7" i="62" s="1"/>
  <c r="U12" i="58"/>
  <c r="U57" i="58" s="1"/>
  <c r="AA44" i="52"/>
  <c r="AA162" i="51"/>
  <c r="AG162" i="51" s="1"/>
  <c r="AA138" i="51"/>
  <c r="AG138" i="51" s="1"/>
  <c r="AA66" i="52"/>
  <c r="AA166" i="51"/>
  <c r="AG166" i="51" s="1"/>
  <c r="AA142" i="51"/>
  <c r="AA63" i="52"/>
  <c r="AA65" i="52"/>
  <c r="AA41" i="52"/>
  <c r="AA164" i="51"/>
  <c r="AG164" i="51" s="1"/>
  <c r="AA140" i="51"/>
  <c r="AG140" i="51" s="1"/>
  <c r="AA39" i="52"/>
  <c r="AA1405" i="51"/>
  <c r="AG1405" i="51" s="1"/>
  <c r="AA553" i="51"/>
  <c r="AG553" i="51" s="1"/>
  <c r="AA1404" i="51"/>
  <c r="AG1404" i="51" s="1"/>
  <c r="AA2187" i="51"/>
  <c r="AA1012" i="52"/>
  <c r="AA1008" i="52"/>
  <c r="AA2180" i="51"/>
  <c r="AA1007" i="52"/>
  <c r="AA2185" i="51"/>
  <c r="AG2185" i="51" s="1"/>
  <c r="AA1014" i="52"/>
  <c r="AA2186" i="51"/>
  <c r="AG2186" i="51" s="1"/>
  <c r="AA1005" i="52"/>
  <c r="AA1017" i="52"/>
  <c r="AA1429" i="51"/>
  <c r="AG1429" i="51" s="1"/>
  <c r="AA1425" i="51"/>
  <c r="AA1421" i="51"/>
  <c r="AA1393" i="51"/>
  <c r="AG1393" i="51" s="1"/>
  <c r="AA1389" i="51"/>
  <c r="AG1389" i="51" s="1"/>
  <c r="AA1385" i="51"/>
  <c r="AA1381" i="51"/>
  <c r="AA1377" i="51"/>
  <c r="AG1377" i="51" s="1"/>
  <c r="AA1373" i="51"/>
  <c r="AG1373" i="51" s="1"/>
  <c r="AA1369" i="51"/>
  <c r="AA1301" i="51"/>
  <c r="AA1297" i="51"/>
  <c r="AG1297" i="51" s="1"/>
  <c r="AA1293" i="51"/>
  <c r="AG1293" i="51" s="1"/>
  <c r="AA1289" i="51"/>
  <c r="AA1285" i="51"/>
  <c r="AA1281" i="51"/>
  <c r="AG1281" i="51" s="1"/>
  <c r="AA1277" i="51"/>
  <c r="AG1277" i="51" s="1"/>
  <c r="AA671" i="52"/>
  <c r="AA667" i="52"/>
  <c r="AA663" i="52"/>
  <c r="AA634" i="52"/>
  <c r="AA630" i="52"/>
  <c r="AA626" i="52"/>
  <c r="AA622" i="52"/>
  <c r="AA618" i="52"/>
  <c r="AA614" i="52"/>
  <c r="AA610" i="52"/>
  <c r="AA570" i="51"/>
  <c r="AG570" i="51" s="1"/>
  <c r="AA566" i="51"/>
  <c r="AA562" i="51"/>
  <c r="AA543" i="52"/>
  <c r="AA539" i="52"/>
  <c r="AA535" i="52"/>
  <c r="AA531" i="52"/>
  <c r="AA527" i="52"/>
  <c r="AA523" i="52"/>
  <c r="AA519" i="52"/>
  <c r="AA264" i="52"/>
  <c r="AA263" i="52"/>
  <c r="AA1426" i="51"/>
  <c r="AG1426" i="51" s="1"/>
  <c r="AA1422" i="51"/>
  <c r="AG1422" i="51" s="1"/>
  <c r="AA1418" i="51"/>
  <c r="AA1390" i="51"/>
  <c r="AA1386" i="51"/>
  <c r="AG1386" i="51" s="1"/>
  <c r="AA1382" i="51"/>
  <c r="AG1382" i="51" s="1"/>
  <c r="AA1378" i="51"/>
  <c r="AA1374" i="51"/>
  <c r="AA1370" i="51"/>
  <c r="AG1370" i="51" s="1"/>
  <c r="AA1366" i="51"/>
  <c r="AG1366" i="51" s="1"/>
  <c r="AA1298" i="51"/>
  <c r="AA1294" i="51"/>
  <c r="AA1290" i="51"/>
  <c r="AG1290" i="51" s="1"/>
  <c r="AA1286" i="51"/>
  <c r="AG1286" i="51" s="1"/>
  <c r="AA1282" i="51"/>
  <c r="AA1278" i="51"/>
  <c r="AA670" i="52"/>
  <c r="AA666" i="52"/>
  <c r="AA662" i="52"/>
  <c r="AA633" i="52"/>
  <c r="AA629" i="52"/>
  <c r="AA625" i="52"/>
  <c r="AA621" i="52"/>
  <c r="AA617" i="52"/>
  <c r="AA613" i="52"/>
  <c r="AA609" i="52"/>
  <c r="AA569" i="51"/>
  <c r="AA565" i="51"/>
  <c r="AA561" i="51"/>
  <c r="AG561" i="51" s="1"/>
  <c r="AA542" i="52"/>
  <c r="AA538" i="52"/>
  <c r="AA534" i="52"/>
  <c r="AA530" i="52"/>
  <c r="AA526" i="52"/>
  <c r="AA522" i="52"/>
  <c r="AA518" i="52"/>
  <c r="AA262" i="52"/>
  <c r="AA261" i="52"/>
  <c r="AA1427" i="51"/>
  <c r="AA1423" i="51"/>
  <c r="AA1419" i="51"/>
  <c r="AG1419" i="51" s="1"/>
  <c r="AA1391" i="51"/>
  <c r="AA1387" i="51"/>
  <c r="AA1383" i="51"/>
  <c r="AA1379" i="51"/>
  <c r="AG1379" i="51" s="1"/>
  <c r="AA1375" i="51"/>
  <c r="AG1375" i="51" s="1"/>
  <c r="AA1371" i="51"/>
  <c r="AA1367" i="51"/>
  <c r="AA1299" i="51"/>
  <c r="AG1299" i="51" s="1"/>
  <c r="AA1295" i="51"/>
  <c r="AG1295" i="51" s="1"/>
  <c r="AA1291" i="51"/>
  <c r="AA1287" i="51"/>
  <c r="AA1283" i="51"/>
  <c r="AG1283" i="51" s="1"/>
  <c r="AA1279" i="51"/>
  <c r="AG1279" i="51" s="1"/>
  <c r="AA669" i="52"/>
  <c r="AA665" i="52"/>
  <c r="AA661" i="52"/>
  <c r="AA632" i="52"/>
  <c r="AA628" i="52"/>
  <c r="AA624" i="52"/>
  <c r="AA620" i="52"/>
  <c r="AA616" i="52"/>
  <c r="AA612" i="52"/>
  <c r="AA608" i="52"/>
  <c r="AA568" i="51"/>
  <c r="AG568" i="51" s="1"/>
  <c r="AA564" i="51"/>
  <c r="AG564" i="51" s="1"/>
  <c r="AA560" i="51"/>
  <c r="AA541" i="52"/>
  <c r="AA537" i="52"/>
  <c r="AA533" i="52"/>
  <c r="AA529" i="52"/>
  <c r="AA525" i="52"/>
  <c r="AA521" i="52"/>
  <c r="AA268" i="52"/>
  <c r="AA267" i="52"/>
  <c r="AA260" i="52"/>
  <c r="AA1428" i="51"/>
  <c r="AG1428" i="51" s="1"/>
  <c r="AA1384" i="51"/>
  <c r="AA1368" i="51"/>
  <c r="AA1292" i="51"/>
  <c r="AA1276" i="51"/>
  <c r="AG1276" i="51" s="1"/>
  <c r="AA660" i="52"/>
  <c r="AA631" i="52"/>
  <c r="AA615" i="52"/>
  <c r="AA571" i="51"/>
  <c r="AG571" i="51" s="1"/>
  <c r="AA563" i="51"/>
  <c r="AG563" i="51" s="1"/>
  <c r="AA536" i="52"/>
  <c r="AA520" i="52"/>
  <c r="AA259" i="52"/>
  <c r="AA1372" i="51"/>
  <c r="AG1372" i="51" s="1"/>
  <c r="AA1296" i="51"/>
  <c r="AA524" i="52"/>
  <c r="AA1424" i="51"/>
  <c r="AG1424" i="51" s="1"/>
  <c r="AA1380" i="51"/>
  <c r="AG1380" i="51" s="1"/>
  <c r="AA1288" i="51"/>
  <c r="AA627" i="52"/>
  <c r="AA611" i="52"/>
  <c r="AA532" i="52"/>
  <c r="AA258" i="52"/>
  <c r="AA257" i="52"/>
  <c r="AA1280" i="51"/>
  <c r="AG1280" i="51" s="1"/>
  <c r="AA664" i="52"/>
  <c r="AA635" i="52"/>
  <c r="AA1420" i="51"/>
  <c r="AA1392" i="51"/>
  <c r="AG1392" i="51" s="1"/>
  <c r="AA1376" i="51"/>
  <c r="AA1300" i="51"/>
  <c r="AA1284" i="51"/>
  <c r="AA668" i="52"/>
  <c r="AA623" i="52"/>
  <c r="AA567" i="51"/>
  <c r="AA528" i="52"/>
  <c r="AA266" i="52"/>
  <c r="AA265" i="52"/>
  <c r="AA1388" i="51"/>
  <c r="AA619" i="52"/>
  <c r="AA540" i="52"/>
  <c r="AA1567" i="51"/>
  <c r="AA1563" i="51"/>
  <c r="AA1559" i="51"/>
  <c r="AA1555" i="51"/>
  <c r="AA1551" i="51"/>
  <c r="AA1547" i="51"/>
  <c r="AA1543" i="51"/>
  <c r="AA1539" i="51"/>
  <c r="AA1535" i="51"/>
  <c r="AA1531" i="51"/>
  <c r="AA1527" i="51"/>
  <c r="AA1523" i="51"/>
  <c r="AA672" i="52"/>
  <c r="AA1568" i="51"/>
  <c r="AA1562" i="51"/>
  <c r="AA1557" i="51"/>
  <c r="AA1552" i="51"/>
  <c r="AA1546" i="51"/>
  <c r="AA1541" i="51"/>
  <c r="AA1536" i="51"/>
  <c r="AA1530" i="51"/>
  <c r="AA1525" i="51"/>
  <c r="AA1566" i="51"/>
  <c r="AA1561" i="51"/>
  <c r="AA1556" i="51"/>
  <c r="AA1550" i="51"/>
  <c r="AA1545" i="51"/>
  <c r="AA1540" i="51"/>
  <c r="AA1534" i="51"/>
  <c r="AA1529" i="51"/>
  <c r="AA1524" i="51"/>
  <c r="AA1565" i="51"/>
  <c r="AA1560" i="51"/>
  <c r="AA1554" i="51"/>
  <c r="AA1549" i="51"/>
  <c r="AA1544" i="51"/>
  <c r="AA1538" i="51"/>
  <c r="AA1533" i="51"/>
  <c r="AA1528" i="51"/>
  <c r="AA1522" i="51"/>
  <c r="AA1564" i="51"/>
  <c r="AA1558" i="51"/>
  <c r="AA1553" i="51"/>
  <c r="AA1548" i="51"/>
  <c r="AA1542" i="51"/>
  <c r="AA1537" i="51"/>
  <c r="AA1532" i="51"/>
  <c r="AA1526" i="51"/>
  <c r="AA1521" i="51"/>
  <c r="AA2003" i="51"/>
  <c r="AA1943" i="51"/>
  <c r="AA2010" i="51"/>
  <c r="AA1950" i="51"/>
  <c r="AA1934" i="51"/>
  <c r="AA1957" i="51"/>
  <c r="AA2009" i="51"/>
  <c r="AA1937" i="51"/>
  <c r="AA1936" i="51"/>
  <c r="AA1940" i="51"/>
  <c r="AA820" i="52"/>
  <c r="AA819" i="52"/>
  <c r="AA1715" i="51"/>
  <c r="AG1715" i="51" s="1"/>
  <c r="AA1711" i="51"/>
  <c r="AG1711" i="51" s="1"/>
  <c r="AA1707" i="51"/>
  <c r="AG1707" i="51" s="1"/>
  <c r="AA1703" i="51"/>
  <c r="AG1703" i="51" s="1"/>
  <c r="AA1699" i="51"/>
  <c r="AG1699" i="51" s="1"/>
  <c r="AA1695" i="51"/>
  <c r="AG1695" i="51" s="1"/>
  <c r="AA1691" i="51"/>
  <c r="AG1691" i="51" s="1"/>
  <c r="AA1687" i="51"/>
  <c r="AG1687" i="51" s="1"/>
  <c r="AA1683" i="51"/>
  <c r="AG1683" i="51" s="1"/>
  <c r="AA818" i="52"/>
  <c r="AA817" i="52"/>
  <c r="AA816" i="52"/>
  <c r="AA815" i="52"/>
  <c r="AA814" i="52"/>
  <c r="AA813" i="52"/>
  <c r="AA812" i="52"/>
  <c r="AA811" i="52"/>
  <c r="AA810" i="52"/>
  <c r="AA809" i="52"/>
  <c r="AA808" i="52"/>
  <c r="AA807" i="52"/>
  <c r="AA806" i="52"/>
  <c r="AA805" i="52"/>
  <c r="AA804" i="52"/>
  <c r="AA803" i="52"/>
  <c r="AA802" i="52"/>
  <c r="AA801" i="52"/>
  <c r="AA800" i="52"/>
  <c r="AA799" i="52"/>
  <c r="AA798" i="52"/>
  <c r="AA797" i="52"/>
  <c r="AA796" i="52"/>
  <c r="AA795" i="52"/>
  <c r="AA794" i="52"/>
  <c r="AA793" i="52"/>
  <c r="AA792" i="52"/>
  <c r="AA791" i="52"/>
  <c r="AA790" i="52"/>
  <c r="AA789" i="52"/>
  <c r="AA788" i="52"/>
  <c r="AA787" i="52"/>
  <c r="AA786" i="52"/>
  <c r="AA785" i="52"/>
  <c r="AA784" i="52"/>
  <c r="AA1712" i="51"/>
  <c r="AG1712" i="51" s="1"/>
  <c r="AA1706" i="51"/>
  <c r="AG1706" i="51" s="1"/>
  <c r="AA1701" i="51"/>
  <c r="AG1701" i="51" s="1"/>
  <c r="AA1696" i="51"/>
  <c r="AG1696" i="51" s="1"/>
  <c r="AA1690" i="51"/>
  <c r="AG1690" i="51" s="1"/>
  <c r="AA1685" i="51"/>
  <c r="AG1685" i="51" s="1"/>
  <c r="AA1714" i="51"/>
  <c r="AG1714" i="51" s="1"/>
  <c r="AA1708" i="51"/>
  <c r="AG1708" i="51" s="1"/>
  <c r="AA1700" i="51"/>
  <c r="AG1700" i="51" s="1"/>
  <c r="AA1693" i="51"/>
  <c r="AG1693" i="51" s="1"/>
  <c r="AA1686" i="51"/>
  <c r="AG1686" i="51" s="1"/>
  <c r="AA1680" i="51"/>
  <c r="AA1713" i="51"/>
  <c r="AG1713" i="51" s="1"/>
  <c r="AA1705" i="51"/>
  <c r="AG1705" i="51" s="1"/>
  <c r="AA1698" i="51"/>
  <c r="AG1698" i="51" s="1"/>
  <c r="AA1692" i="51"/>
  <c r="AG1692" i="51" s="1"/>
  <c r="AA1684" i="51"/>
  <c r="AG1684" i="51" s="1"/>
  <c r="AA1710" i="51"/>
  <c r="AG1710" i="51" s="1"/>
  <c r="AA1704" i="51"/>
  <c r="AG1704" i="51" s="1"/>
  <c r="AA1697" i="51"/>
  <c r="AG1697" i="51" s="1"/>
  <c r="AA1689" i="51"/>
  <c r="AG1689" i="51" s="1"/>
  <c r="AA1682" i="51"/>
  <c r="AG1682" i="51" s="1"/>
  <c r="AA1716" i="51"/>
  <c r="AG1716" i="51" s="1"/>
  <c r="AA1709" i="51"/>
  <c r="AG1709" i="51" s="1"/>
  <c r="AA1702" i="51"/>
  <c r="AG1702" i="51" s="1"/>
  <c r="AA1694" i="51"/>
  <c r="AG1694" i="51" s="1"/>
  <c r="AA1688" i="51"/>
  <c r="AG1688" i="51" s="1"/>
  <c r="AA1681" i="51"/>
  <c r="AG1681" i="51" s="1"/>
  <c r="AG2187" i="51"/>
  <c r="AG2180" i="51"/>
  <c r="AA2175" i="51"/>
  <c r="AA2171" i="51"/>
  <c r="AA2167" i="51"/>
  <c r="AA2163" i="51"/>
  <c r="AA2159" i="51"/>
  <c r="AA2155" i="51"/>
  <c r="AA2151" i="51"/>
  <c r="AA2147" i="51"/>
  <c r="AA2143" i="51"/>
  <c r="AA2139" i="51"/>
  <c r="AA2135" i="51"/>
  <c r="AA2131" i="51"/>
  <c r="AA2127" i="51"/>
  <c r="AA2123" i="51"/>
  <c r="AA2119" i="51"/>
  <c r="AA2115" i="51"/>
  <c r="AA2111" i="51"/>
  <c r="AA2107" i="51"/>
  <c r="AA2103" i="51"/>
  <c r="AA2099" i="51"/>
  <c r="AA2095" i="51"/>
  <c r="AA2091" i="51"/>
  <c r="AA2087" i="51"/>
  <c r="AA2083" i="51"/>
  <c r="AA2079" i="51"/>
  <c r="AA2075" i="51"/>
  <c r="AA2071" i="51"/>
  <c r="AA2067" i="51"/>
  <c r="AA2063" i="51"/>
  <c r="AA2059" i="51"/>
  <c r="AA2055" i="51"/>
  <c r="AA2051" i="51"/>
  <c r="AA2047" i="51"/>
  <c r="AA2043" i="51"/>
  <c r="AA2039" i="51"/>
  <c r="AA2035" i="51"/>
  <c r="AA2031" i="51"/>
  <c r="AA2027" i="51"/>
  <c r="AA2174" i="51"/>
  <c r="AA2170" i="51"/>
  <c r="AA2166" i="51"/>
  <c r="AA2162" i="51"/>
  <c r="AA2158" i="51"/>
  <c r="AA2154" i="51"/>
  <c r="AA2150" i="51"/>
  <c r="AA2146" i="51"/>
  <c r="AA2142" i="51"/>
  <c r="AA2138" i="51"/>
  <c r="AA2134" i="51"/>
  <c r="AA2130" i="51"/>
  <c r="AA2126" i="51"/>
  <c r="AA2122" i="51"/>
  <c r="AA2118" i="51"/>
  <c r="AA2114" i="51"/>
  <c r="AA2110" i="51"/>
  <c r="AA2106" i="51"/>
  <c r="AA2102" i="51"/>
  <c r="AA2098" i="51"/>
  <c r="AA2094" i="51"/>
  <c r="AA2090" i="51"/>
  <c r="AA2086" i="51"/>
  <c r="AA2082" i="51"/>
  <c r="AA2078" i="51"/>
  <c r="AA2074" i="51"/>
  <c r="AA2070" i="51"/>
  <c r="AA2066" i="51"/>
  <c r="AA2062" i="51"/>
  <c r="AA2058" i="51"/>
  <c r="AA2054" i="51"/>
  <c r="AA2050" i="51"/>
  <c r="AA2046" i="51"/>
  <c r="AA2042" i="51"/>
  <c r="AA2038" i="51"/>
  <c r="AA2034" i="51"/>
  <c r="AA2030" i="51"/>
  <c r="AA2173" i="51"/>
  <c r="AA2165" i="51"/>
  <c r="AA2157" i="51"/>
  <c r="AA2149" i="51"/>
  <c r="AA2141" i="51"/>
  <c r="AA2133" i="51"/>
  <c r="AA2125" i="51"/>
  <c r="AA2117" i="51"/>
  <c r="AA2109" i="51"/>
  <c r="AA2101" i="51"/>
  <c r="AA2093" i="51"/>
  <c r="AA2085" i="51"/>
  <c r="AA2077" i="51"/>
  <c r="AA2069" i="51"/>
  <c r="AA2061" i="51"/>
  <c r="AA2053" i="51"/>
  <c r="AA2045" i="51"/>
  <c r="AA2037" i="51"/>
  <c r="AA2029" i="51"/>
  <c r="AA2169" i="51"/>
  <c r="AA2161" i="51"/>
  <c r="AA2153" i="51"/>
  <c r="AA2145" i="51"/>
  <c r="AA2137" i="51"/>
  <c r="AA2129" i="51"/>
  <c r="AA2121" i="51"/>
  <c r="AA2113" i="51"/>
  <c r="AA2105" i="51"/>
  <c r="AA2097" i="51"/>
  <c r="AA2089" i="51"/>
  <c r="AA2081" i="51"/>
  <c r="AA2073" i="51"/>
  <c r="AA2065" i="51"/>
  <c r="AA2057" i="51"/>
  <c r="AA2049" i="51"/>
  <c r="AA2041" i="51"/>
  <c r="AA2033" i="51"/>
  <c r="AA2168" i="51"/>
  <c r="AA2160" i="51"/>
  <c r="AA2152" i="51"/>
  <c r="AA2144" i="51"/>
  <c r="AA2136" i="51"/>
  <c r="AA2128" i="51"/>
  <c r="AA2120" i="51"/>
  <c r="AA2112" i="51"/>
  <c r="AA2104" i="51"/>
  <c r="AA2096" i="51"/>
  <c r="AA2088" i="51"/>
  <c r="AA2080" i="51"/>
  <c r="AA2072" i="51"/>
  <c r="AA2064" i="51"/>
  <c r="AA2056" i="51"/>
  <c r="AA2048" i="51"/>
  <c r="AA2040" i="51"/>
  <c r="AA2032" i="51"/>
  <c r="AA2172" i="51"/>
  <c r="AA2140" i="51"/>
  <c r="AA2108" i="51"/>
  <c r="AA2076" i="51"/>
  <c r="AA2044" i="51"/>
  <c r="AA2164" i="51"/>
  <c r="AA2132" i="51"/>
  <c r="AA2100" i="51"/>
  <c r="AA2068" i="51"/>
  <c r="AA2036" i="51"/>
  <c r="AA2156" i="51"/>
  <c r="AA2124" i="51"/>
  <c r="AA2092" i="51"/>
  <c r="AA2060" i="51"/>
  <c r="AA2028" i="51"/>
  <c r="AA2148" i="51"/>
  <c r="AA2116" i="51"/>
  <c r="AA2084" i="51"/>
  <c r="AA2052" i="51"/>
  <c r="AA1004" i="52"/>
  <c r="AA1003" i="52"/>
  <c r="AA1002" i="52"/>
  <c r="AA1001" i="52"/>
  <c r="AA1000" i="52"/>
  <c r="AA999" i="52"/>
  <c r="AA998" i="52"/>
  <c r="AA997" i="52"/>
  <c r="AA996" i="52"/>
  <c r="AA995" i="52"/>
  <c r="AA994" i="52"/>
  <c r="AA993" i="52"/>
  <c r="AA992" i="52"/>
  <c r="AA991" i="52"/>
  <c r="AA990" i="52"/>
  <c r="AA989" i="52"/>
  <c r="AA988" i="52"/>
  <c r="AA987" i="52"/>
  <c r="AA986" i="52"/>
  <c r="AA985" i="52"/>
  <c r="AA984" i="52"/>
  <c r="AA983" i="52"/>
  <c r="AA982" i="52"/>
  <c r="AA981" i="52"/>
  <c r="AA980" i="52"/>
  <c r="AA979" i="52"/>
  <c r="AA978" i="52"/>
  <c r="AA977" i="52"/>
  <c r="AA976" i="52"/>
  <c r="AA975" i="52"/>
  <c r="AA974" i="52"/>
  <c r="AA973" i="52"/>
  <c r="AA972" i="52"/>
  <c r="AA971" i="52"/>
  <c r="AA970" i="52"/>
  <c r="AA969" i="52"/>
  <c r="AA968" i="52"/>
  <c r="AA967" i="52"/>
  <c r="AA966" i="52"/>
  <c r="AA965" i="52"/>
  <c r="AA964" i="52"/>
  <c r="AA963" i="52"/>
  <c r="AA962" i="52"/>
  <c r="AA961" i="52"/>
  <c r="AA960" i="52"/>
  <c r="AA959" i="52"/>
  <c r="AA958" i="52"/>
  <c r="AA957" i="52"/>
  <c r="AA956" i="52"/>
  <c r="AA955" i="52"/>
  <c r="AA954" i="52"/>
  <c r="AA953" i="52"/>
  <c r="AA952" i="52"/>
  <c r="AA951" i="52"/>
  <c r="AA950" i="52"/>
  <c r="AA949" i="52"/>
  <c r="AA948" i="52"/>
  <c r="AA947" i="52"/>
  <c r="AA946" i="52"/>
  <c r="AA945" i="52"/>
  <c r="AA944" i="52"/>
  <c r="AA943" i="52"/>
  <c r="AA942" i="52"/>
  <c r="AA941" i="52"/>
  <c r="AA940" i="52"/>
  <c r="AA939" i="52"/>
  <c r="AA938" i="52"/>
  <c r="AA937" i="52"/>
  <c r="AA936" i="52"/>
  <c r="AA935" i="52"/>
  <c r="AA934" i="52"/>
  <c r="AA933" i="52"/>
  <c r="AA932" i="52"/>
  <c r="AA931" i="52"/>
  <c r="AA930" i="52"/>
  <c r="AA929" i="52"/>
  <c r="AA928" i="52"/>
  <c r="AA927" i="52"/>
  <c r="AA926" i="52"/>
  <c r="AA925" i="52"/>
  <c r="AA924" i="52"/>
  <c r="AA923" i="52"/>
  <c r="AA922" i="52"/>
  <c r="AA921" i="52"/>
  <c r="AA920" i="52"/>
  <c r="AA919" i="52"/>
  <c r="AA918" i="52"/>
  <c r="AA917" i="52"/>
  <c r="AA916" i="52"/>
  <c r="AA915" i="52"/>
  <c r="AA914" i="52"/>
  <c r="AA913" i="52"/>
  <c r="AA912" i="52"/>
  <c r="AA911" i="52"/>
  <c r="AA910" i="52"/>
  <c r="AA909" i="52"/>
  <c r="AA908" i="52"/>
  <c r="AA907" i="52"/>
  <c r="AA906" i="52"/>
  <c r="AA905" i="52"/>
  <c r="AA904" i="52"/>
  <c r="AA903" i="52"/>
  <c r="AA902" i="52"/>
  <c r="AA901" i="52"/>
  <c r="AA900" i="52"/>
  <c r="AA899" i="52"/>
  <c r="AA898" i="52"/>
  <c r="AA897" i="52"/>
  <c r="AA896" i="52"/>
  <c r="AA895" i="52"/>
  <c r="AA894" i="52"/>
  <c r="AA893" i="52"/>
  <c r="AA892" i="52"/>
  <c r="AA891" i="52"/>
  <c r="AA890" i="52"/>
  <c r="AA889" i="52"/>
  <c r="AA888" i="52"/>
  <c r="AA887" i="52"/>
  <c r="AA886" i="52"/>
  <c r="AA885" i="52"/>
  <c r="AA884" i="52"/>
  <c r="AA883" i="52"/>
  <c r="AA882" i="52"/>
  <c r="AA881" i="52"/>
  <c r="AA880" i="52"/>
  <c r="AA879" i="52"/>
  <c r="AA878" i="52"/>
  <c r="AA877" i="52"/>
  <c r="AA876" i="52"/>
  <c r="AA875" i="52"/>
  <c r="AA874" i="52"/>
  <c r="AA873" i="52"/>
  <c r="AA872" i="52"/>
  <c r="AA871" i="52"/>
  <c r="AA870" i="52"/>
  <c r="AA869" i="52"/>
  <c r="AA868" i="52"/>
  <c r="AA867" i="52"/>
  <c r="AA866" i="52"/>
  <c r="AA865" i="52"/>
  <c r="AA864" i="52"/>
  <c r="AA863" i="52"/>
  <c r="AA1899" i="51"/>
  <c r="AG1899" i="51" s="1"/>
  <c r="AA1895" i="51"/>
  <c r="AG1895" i="51" s="1"/>
  <c r="AA1891" i="51"/>
  <c r="AG1891" i="51" s="1"/>
  <c r="AA1887" i="51"/>
  <c r="AG1887" i="51" s="1"/>
  <c r="AA1883" i="51"/>
  <c r="AG1883" i="51" s="1"/>
  <c r="AA1879" i="51"/>
  <c r="AG1879" i="51" s="1"/>
  <c r="AA1875" i="51"/>
  <c r="AG1875" i="51" s="1"/>
  <c r="AA1871" i="51"/>
  <c r="AG1871" i="51" s="1"/>
  <c r="AA1867" i="51"/>
  <c r="AG1867" i="51" s="1"/>
  <c r="AA1863" i="51"/>
  <c r="AG1863" i="51" s="1"/>
  <c r="AA1859" i="51"/>
  <c r="AG1859" i="51" s="1"/>
  <c r="AA1855" i="51"/>
  <c r="AG1855" i="51" s="1"/>
  <c r="AA1851" i="51"/>
  <c r="AG1851" i="51" s="1"/>
  <c r="AA1847" i="51"/>
  <c r="AG1847" i="51" s="1"/>
  <c r="AA1843" i="51"/>
  <c r="AG1843" i="51" s="1"/>
  <c r="AA1839" i="51"/>
  <c r="AG1839" i="51" s="1"/>
  <c r="AA1835" i="51"/>
  <c r="AG1835" i="51" s="1"/>
  <c r="AA1831" i="51"/>
  <c r="AG1831" i="51" s="1"/>
  <c r="AA1827" i="51"/>
  <c r="AG1827" i="51" s="1"/>
  <c r="AA1823" i="51"/>
  <c r="AG1823" i="51" s="1"/>
  <c r="AA1819" i="51"/>
  <c r="AG1819" i="51" s="1"/>
  <c r="AA1815" i="51"/>
  <c r="AG1815" i="51" s="1"/>
  <c r="AA1811" i="51"/>
  <c r="AG1811" i="51" s="1"/>
  <c r="AA1807" i="51"/>
  <c r="AG1807" i="51" s="1"/>
  <c r="AA1803" i="51"/>
  <c r="AG1803" i="51" s="1"/>
  <c r="AA1799" i="51"/>
  <c r="AG1799" i="51" s="1"/>
  <c r="AA1795" i="51"/>
  <c r="AG1795" i="51" s="1"/>
  <c r="AA1791" i="51"/>
  <c r="AG1791" i="51" s="1"/>
  <c r="AA1787" i="51"/>
  <c r="AG1787" i="51" s="1"/>
  <c r="AA1783" i="51"/>
  <c r="AG1783" i="51" s="1"/>
  <c r="AA1779" i="51"/>
  <c r="AG1779" i="51" s="1"/>
  <c r="AA1775" i="51"/>
  <c r="AG1775" i="51" s="1"/>
  <c r="AA1771" i="51"/>
  <c r="AG1771" i="51" s="1"/>
  <c r="AA1767" i="51"/>
  <c r="AG1767" i="51" s="1"/>
  <c r="AA1763" i="51"/>
  <c r="AG1763" i="51" s="1"/>
  <c r="AA1759" i="51"/>
  <c r="AG1759" i="51" s="1"/>
  <c r="AA1898" i="51"/>
  <c r="AG1898" i="51" s="1"/>
  <c r="AA1894" i="51"/>
  <c r="AG1894" i="51" s="1"/>
  <c r="AA1890" i="51"/>
  <c r="AG1890" i="51" s="1"/>
  <c r="AA1893" i="51"/>
  <c r="AG1893" i="51" s="1"/>
  <c r="AA1886" i="51"/>
  <c r="AG1886" i="51" s="1"/>
  <c r="AA1881" i="51"/>
  <c r="AG1881" i="51" s="1"/>
  <c r="AA1876" i="51"/>
  <c r="AG1876" i="51" s="1"/>
  <c r="AA1870" i="51"/>
  <c r="AG1870" i="51" s="1"/>
  <c r="AA1865" i="51"/>
  <c r="AG1865" i="51" s="1"/>
  <c r="AA1860" i="51"/>
  <c r="AG1860" i="51" s="1"/>
  <c r="AA1854" i="51"/>
  <c r="AG1854" i="51" s="1"/>
  <c r="AA1849" i="51"/>
  <c r="AG1849" i="51" s="1"/>
  <c r="AA1844" i="51"/>
  <c r="AG1844" i="51" s="1"/>
  <c r="AA1838" i="51"/>
  <c r="AG1838" i="51" s="1"/>
  <c r="AA1833" i="51"/>
  <c r="AG1833" i="51" s="1"/>
  <c r="AA1828" i="51"/>
  <c r="AG1828" i="51" s="1"/>
  <c r="AA1822" i="51"/>
  <c r="AG1822" i="51" s="1"/>
  <c r="AA1817" i="51"/>
  <c r="AG1817" i="51" s="1"/>
  <c r="AA1812" i="51"/>
  <c r="AG1812" i="51" s="1"/>
  <c r="AA1806" i="51"/>
  <c r="AG1806" i="51" s="1"/>
  <c r="AA1801" i="51"/>
  <c r="AG1801" i="51" s="1"/>
  <c r="AA1796" i="51"/>
  <c r="AG1796" i="51" s="1"/>
  <c r="AA1790" i="51"/>
  <c r="AG1790" i="51" s="1"/>
  <c r="AA1785" i="51"/>
  <c r="AG1785" i="51" s="1"/>
  <c r="AA1780" i="51"/>
  <c r="AG1780" i="51" s="1"/>
  <c r="AA1774" i="51"/>
  <c r="AG1774" i="51" s="1"/>
  <c r="AA1769" i="51"/>
  <c r="AG1769" i="51" s="1"/>
  <c r="AA1764" i="51"/>
  <c r="AG1764" i="51" s="1"/>
  <c r="AA1897" i="51"/>
  <c r="AG1897" i="51" s="1"/>
  <c r="AA1889" i="51"/>
  <c r="AG1889" i="51" s="1"/>
  <c r="AA1884" i="51"/>
  <c r="AG1884" i="51" s="1"/>
  <c r="AA1878" i="51"/>
  <c r="AG1878" i="51" s="1"/>
  <c r="AA1873" i="51"/>
  <c r="AG1873" i="51" s="1"/>
  <c r="AA1868" i="51"/>
  <c r="AG1868" i="51" s="1"/>
  <c r="AA1862" i="51"/>
  <c r="AG1862" i="51" s="1"/>
  <c r="AA1857" i="51"/>
  <c r="AG1857" i="51" s="1"/>
  <c r="AA1852" i="51"/>
  <c r="AG1852" i="51" s="1"/>
  <c r="AA1846" i="51"/>
  <c r="AG1846" i="51" s="1"/>
  <c r="AA1841" i="51"/>
  <c r="AG1841" i="51" s="1"/>
  <c r="AA1836" i="51"/>
  <c r="AG1836" i="51" s="1"/>
  <c r="AA1830" i="51"/>
  <c r="AG1830" i="51" s="1"/>
  <c r="AA1825" i="51"/>
  <c r="AG1825" i="51" s="1"/>
  <c r="AA1820" i="51"/>
  <c r="AG1820" i="51" s="1"/>
  <c r="AA1814" i="51"/>
  <c r="AG1814" i="51" s="1"/>
  <c r="AA1809" i="51"/>
  <c r="AG1809" i="51" s="1"/>
  <c r="AA1804" i="51"/>
  <c r="AG1804" i="51" s="1"/>
  <c r="AA1798" i="51"/>
  <c r="AG1798" i="51" s="1"/>
  <c r="AA1793" i="51"/>
  <c r="AG1793" i="51" s="1"/>
  <c r="AA1788" i="51"/>
  <c r="AG1788" i="51" s="1"/>
  <c r="AA1782" i="51"/>
  <c r="AG1782" i="51" s="1"/>
  <c r="AA1777" i="51"/>
  <c r="AG1777" i="51" s="1"/>
  <c r="AA1772" i="51"/>
  <c r="AG1772" i="51" s="1"/>
  <c r="AA1766" i="51"/>
  <c r="AG1766" i="51" s="1"/>
  <c r="AA1761" i="51"/>
  <c r="AG1761" i="51" s="1"/>
  <c r="AA1896" i="51"/>
  <c r="AG1896" i="51" s="1"/>
  <c r="AA1888" i="51"/>
  <c r="AG1888" i="51" s="1"/>
  <c r="AA1882" i="51"/>
  <c r="AG1882" i="51" s="1"/>
  <c r="AA1877" i="51"/>
  <c r="AG1877" i="51" s="1"/>
  <c r="AA1872" i="51"/>
  <c r="AG1872" i="51" s="1"/>
  <c r="AA1866" i="51"/>
  <c r="AG1866" i="51" s="1"/>
  <c r="AA1861" i="51"/>
  <c r="AG1861" i="51" s="1"/>
  <c r="AA1856" i="51"/>
  <c r="AG1856" i="51" s="1"/>
  <c r="AA1850" i="51"/>
  <c r="AG1850" i="51" s="1"/>
  <c r="AA1845" i="51"/>
  <c r="AG1845" i="51" s="1"/>
  <c r="AA1840" i="51"/>
  <c r="AG1840" i="51" s="1"/>
  <c r="AA1834" i="51"/>
  <c r="AG1834" i="51" s="1"/>
  <c r="AA1829" i="51"/>
  <c r="AG1829" i="51" s="1"/>
  <c r="AA1824" i="51"/>
  <c r="AG1824" i="51" s="1"/>
  <c r="AA1818" i="51"/>
  <c r="AG1818" i="51" s="1"/>
  <c r="AA1813" i="51"/>
  <c r="AG1813" i="51" s="1"/>
  <c r="AA1808" i="51"/>
  <c r="AG1808" i="51" s="1"/>
  <c r="AA1802" i="51"/>
  <c r="AG1802" i="51" s="1"/>
  <c r="AA1797" i="51"/>
  <c r="AG1797" i="51" s="1"/>
  <c r="AA1792" i="51"/>
  <c r="AG1792" i="51" s="1"/>
  <c r="AA1786" i="51"/>
  <c r="AG1786" i="51" s="1"/>
  <c r="AA1781" i="51"/>
  <c r="AG1781" i="51" s="1"/>
  <c r="AA1776" i="51"/>
  <c r="AG1776" i="51" s="1"/>
  <c r="AA1770" i="51"/>
  <c r="AG1770" i="51" s="1"/>
  <c r="AA1765" i="51"/>
  <c r="AG1765" i="51" s="1"/>
  <c r="AA1760" i="51"/>
  <c r="AG1760" i="51" s="1"/>
  <c r="AA1885" i="51"/>
  <c r="AG1885" i="51" s="1"/>
  <c r="AA1864" i="51"/>
  <c r="AG1864" i="51" s="1"/>
  <c r="AA1842" i="51"/>
  <c r="AG1842" i="51" s="1"/>
  <c r="AA1821" i="51"/>
  <c r="AG1821" i="51" s="1"/>
  <c r="AA1800" i="51"/>
  <c r="AG1800" i="51" s="1"/>
  <c r="AA1778" i="51"/>
  <c r="AG1778" i="51" s="1"/>
  <c r="AA1880" i="51"/>
  <c r="AG1880" i="51" s="1"/>
  <c r="AA1858" i="51"/>
  <c r="AG1858" i="51" s="1"/>
  <c r="AA1837" i="51"/>
  <c r="AG1837" i="51" s="1"/>
  <c r="AA1816" i="51"/>
  <c r="AG1816" i="51" s="1"/>
  <c r="AA1794" i="51"/>
  <c r="AG1794" i="51" s="1"/>
  <c r="AA1773" i="51"/>
  <c r="AG1773" i="51" s="1"/>
  <c r="AA1900" i="51"/>
  <c r="AG1900" i="51" s="1"/>
  <c r="AA1874" i="51"/>
  <c r="AG1874" i="51" s="1"/>
  <c r="AA1853" i="51"/>
  <c r="AG1853" i="51" s="1"/>
  <c r="AA1832" i="51"/>
  <c r="AG1832" i="51" s="1"/>
  <c r="AA1810" i="51"/>
  <c r="AG1810" i="51" s="1"/>
  <c r="AA1789" i="51"/>
  <c r="AG1789" i="51" s="1"/>
  <c r="AA1768" i="51"/>
  <c r="AG1768" i="51" s="1"/>
  <c r="AA1892" i="51"/>
  <c r="AG1892" i="51" s="1"/>
  <c r="AA1869" i="51"/>
  <c r="AG1869" i="51" s="1"/>
  <c r="AA1848" i="51"/>
  <c r="AG1848" i="51" s="1"/>
  <c r="AA1826" i="51"/>
  <c r="AG1826" i="51" s="1"/>
  <c r="AA1805" i="51"/>
  <c r="AG1805" i="51" s="1"/>
  <c r="AA1784" i="51"/>
  <c r="AG1784" i="51" s="1"/>
  <c r="AA1762" i="51"/>
  <c r="AG1762" i="51" s="1"/>
  <c r="AA860" i="52"/>
  <c r="AA856" i="52"/>
  <c r="AA852" i="52"/>
  <c r="AA1755" i="51"/>
  <c r="AA1753" i="51"/>
  <c r="AA1754" i="51"/>
  <c r="AA1721" i="51"/>
  <c r="AA1587" i="51"/>
  <c r="AG1587" i="51" s="1"/>
  <c r="AA1596" i="51"/>
  <c r="AG1596" i="51" s="1"/>
  <c r="AA1999" i="51"/>
  <c r="AA1995" i="51"/>
  <c r="AA1991" i="51"/>
  <c r="AA1927" i="51"/>
  <c r="AA1923" i="51"/>
  <c r="AA1919" i="51"/>
  <c r="AA1915" i="51"/>
  <c r="AA1911" i="51"/>
  <c r="AA1907" i="51"/>
  <c r="AA1903" i="51"/>
  <c r="AA1998" i="51"/>
  <c r="AA1994" i="51"/>
  <c r="AA1990" i="51"/>
  <c r="AA1926" i="51"/>
  <c r="AA1922" i="51"/>
  <c r="AA1918" i="51"/>
  <c r="AA1914" i="51"/>
  <c r="AA1910" i="51"/>
  <c r="AA1906" i="51"/>
  <c r="AA1902" i="51"/>
  <c r="AA1997" i="51"/>
  <c r="AA1989" i="51"/>
  <c r="AA1925" i="51"/>
  <c r="AA1917" i="51"/>
  <c r="AA1909" i="51"/>
  <c r="AA1901" i="51"/>
  <c r="AA1993" i="51"/>
  <c r="AA1929" i="51"/>
  <c r="AA1921" i="51"/>
  <c r="AA1913" i="51"/>
  <c r="AA1905" i="51"/>
  <c r="AA2000" i="51"/>
  <c r="AA1992" i="51"/>
  <c r="AA1928" i="51"/>
  <c r="AA1920" i="51"/>
  <c r="AA1912" i="51"/>
  <c r="AA1904" i="51"/>
  <c r="AA1916" i="51"/>
  <c r="AA1908" i="51"/>
  <c r="AA1996" i="51"/>
  <c r="AA1988" i="51"/>
  <c r="AA1924" i="51"/>
  <c r="AA1451" i="51"/>
  <c r="AA1435" i="51"/>
  <c r="AA1445" i="51"/>
  <c r="AA1449" i="51"/>
  <c r="AA1458" i="51"/>
  <c r="AA1437" i="51"/>
  <c r="AA1446" i="51"/>
  <c r="AA838" i="52"/>
  <c r="AA837" i="52"/>
  <c r="AA836" i="52"/>
  <c r="AA835" i="52"/>
  <c r="AA834" i="52"/>
  <c r="AA833" i="52"/>
  <c r="AA832" i="52"/>
  <c r="AA831" i="52"/>
  <c r="AA830" i="52"/>
  <c r="AA829" i="52"/>
  <c r="AA828" i="52"/>
  <c r="AA827" i="52"/>
  <c r="AA822" i="52"/>
  <c r="AA821" i="52"/>
  <c r="AA1731" i="51"/>
  <c r="AA1727" i="51"/>
  <c r="AA1723" i="51"/>
  <c r="AA1732" i="51"/>
  <c r="AA1734" i="51"/>
  <c r="AA1729" i="51"/>
  <c r="AA1724" i="51"/>
  <c r="AA1733" i="51"/>
  <c r="AA1728" i="51"/>
  <c r="AA1717" i="51"/>
  <c r="AA1730" i="51"/>
  <c r="AA1726" i="51"/>
  <c r="AA1718" i="51"/>
  <c r="AA1725" i="51"/>
  <c r="AA983" i="51"/>
  <c r="AA509" i="51"/>
  <c r="AA343" i="51"/>
  <c r="AA1175" i="51"/>
  <c r="AG1175" i="51" s="1"/>
  <c r="AA781" i="51"/>
  <c r="AA450" i="51"/>
  <c r="AA994" i="51"/>
  <c r="AA512" i="51"/>
  <c r="AA341" i="51"/>
  <c r="AA1178" i="51"/>
  <c r="AG1178" i="51" s="1"/>
  <c r="AA778" i="51"/>
  <c r="AA365" i="51"/>
  <c r="AA2210" i="51"/>
  <c r="AA1483" i="51"/>
  <c r="AA1465" i="51"/>
  <c r="AA1639" i="51"/>
  <c r="AG1639" i="51" s="1"/>
  <c r="AA1635" i="51"/>
  <c r="AG1635" i="51" s="1"/>
  <c r="AA1631" i="51"/>
  <c r="AG1631" i="51" s="1"/>
  <c r="AA1627" i="51"/>
  <c r="AG1627" i="51" s="1"/>
  <c r="AA1623" i="51"/>
  <c r="AG1623" i="51" s="1"/>
  <c r="AA1619" i="51"/>
  <c r="AG1619" i="51" s="1"/>
  <c r="AA1615" i="51"/>
  <c r="AG1615" i="51" s="1"/>
  <c r="AA1611" i="51"/>
  <c r="AG1611" i="51" s="1"/>
  <c r="AA1607" i="51"/>
  <c r="AG1607" i="51" s="1"/>
  <c r="AA746" i="52"/>
  <c r="AA745" i="52"/>
  <c r="AA744" i="52"/>
  <c r="AA743" i="52"/>
  <c r="AA742" i="52"/>
  <c r="AA741" i="52"/>
  <c r="AA740" i="52"/>
  <c r="AA739" i="52"/>
  <c r="AA738" i="52"/>
  <c r="AA737" i="52"/>
  <c r="AA736" i="52"/>
  <c r="AA735" i="52"/>
  <c r="AA734" i="52"/>
  <c r="AA733" i="52"/>
  <c r="AA732" i="52"/>
  <c r="AA731" i="52"/>
  <c r="AA730" i="52"/>
  <c r="AA729" i="52"/>
  <c r="AA728" i="52"/>
  <c r="AA727" i="52"/>
  <c r="AA726" i="52"/>
  <c r="AA725" i="52"/>
  <c r="AA724" i="52"/>
  <c r="AA723" i="52"/>
  <c r="AA722" i="52"/>
  <c r="AA721" i="52"/>
  <c r="AA720" i="52"/>
  <c r="AA719" i="52"/>
  <c r="AA718" i="52"/>
  <c r="AA717" i="52"/>
  <c r="AA716" i="52"/>
  <c r="AA715" i="52"/>
  <c r="AA714" i="52"/>
  <c r="AA713" i="52"/>
  <c r="AA712" i="52"/>
  <c r="AA711" i="52"/>
  <c r="AA710" i="52"/>
  <c r="AA1642" i="51"/>
  <c r="AG1642" i="51" s="1"/>
  <c r="AA1637" i="51"/>
  <c r="AG1637" i="51" s="1"/>
  <c r="AA1632" i="51"/>
  <c r="AG1632" i="51" s="1"/>
  <c r="AA1626" i="51"/>
  <c r="AG1626" i="51" s="1"/>
  <c r="AA1621" i="51"/>
  <c r="AG1621" i="51" s="1"/>
  <c r="AA1616" i="51"/>
  <c r="AG1616" i="51" s="1"/>
  <c r="AA1610" i="51"/>
  <c r="AG1610" i="51" s="1"/>
  <c r="AA1641" i="51"/>
  <c r="AG1641" i="51" s="1"/>
  <c r="AA1636" i="51"/>
  <c r="AG1636" i="51" s="1"/>
  <c r="AA1630" i="51"/>
  <c r="AG1630" i="51" s="1"/>
  <c r="AA1625" i="51"/>
  <c r="AG1625" i="51" s="1"/>
  <c r="AA1620" i="51"/>
  <c r="AG1620" i="51" s="1"/>
  <c r="AA1614" i="51"/>
  <c r="AG1614" i="51" s="1"/>
  <c r="AA1609" i="51"/>
  <c r="AG1609" i="51" s="1"/>
  <c r="AA1640" i="51"/>
  <c r="AG1640" i="51" s="1"/>
  <c r="AA1634" i="51"/>
  <c r="AG1634" i="51" s="1"/>
  <c r="AA1629" i="51"/>
  <c r="AG1629" i="51" s="1"/>
  <c r="AA1624" i="51"/>
  <c r="AG1624" i="51" s="1"/>
  <c r="AA1618" i="51"/>
  <c r="AG1618" i="51" s="1"/>
  <c r="AA1613" i="51"/>
  <c r="AG1613" i="51" s="1"/>
  <c r="AA1608" i="51"/>
  <c r="AG1608" i="51" s="1"/>
  <c r="AA1638" i="51"/>
  <c r="AG1638" i="51" s="1"/>
  <c r="AA1633" i="51"/>
  <c r="AG1633" i="51" s="1"/>
  <c r="AA1628" i="51"/>
  <c r="AG1628" i="51" s="1"/>
  <c r="AA1622" i="51"/>
  <c r="AG1622" i="51" s="1"/>
  <c r="AA1617" i="51"/>
  <c r="AG1617" i="51" s="1"/>
  <c r="AA1612" i="51"/>
  <c r="AG1612" i="51" s="1"/>
  <c r="AA1606" i="51"/>
  <c r="AG1606" i="51" s="1"/>
  <c r="AA849" i="52"/>
  <c r="AA845" i="52"/>
  <c r="AA841" i="52"/>
  <c r="AA823" i="52"/>
  <c r="AA1719" i="51"/>
  <c r="AA1740" i="51"/>
  <c r="AA1720" i="51"/>
  <c r="AG1427" i="51"/>
  <c r="AG1423" i="51"/>
  <c r="AG1391" i="51"/>
  <c r="AG1387" i="51"/>
  <c r="AG1383" i="51"/>
  <c r="AG1371" i="51"/>
  <c r="AG1367" i="51"/>
  <c r="AG1301" i="51"/>
  <c r="AG1289" i="51"/>
  <c r="AG1285" i="51"/>
  <c r="AA1173" i="51"/>
  <c r="AA1169" i="51"/>
  <c r="AA1165" i="51"/>
  <c r="AA1161" i="51"/>
  <c r="AA1157" i="51"/>
  <c r="AA1153" i="51"/>
  <c r="AA1149" i="51"/>
  <c r="AA1091" i="51"/>
  <c r="AA1087" i="51"/>
  <c r="AA1082" i="51"/>
  <c r="AA1076" i="51"/>
  <c r="AA1070" i="51"/>
  <c r="AA1065" i="51"/>
  <c r="AA1060" i="51"/>
  <c r="AA1054" i="51"/>
  <c r="AA1049" i="51"/>
  <c r="AA904" i="51"/>
  <c r="AA900" i="51"/>
  <c r="AA896" i="51"/>
  <c r="AA868" i="51"/>
  <c r="AA864" i="51"/>
  <c r="AA860" i="51"/>
  <c r="AA856" i="51"/>
  <c r="AA852" i="51"/>
  <c r="AA848" i="51"/>
  <c r="AA843" i="51"/>
  <c r="AA837" i="51"/>
  <c r="AA832" i="51"/>
  <c r="AG566" i="51"/>
  <c r="AG562" i="51"/>
  <c r="AA546" i="51"/>
  <c r="AA542" i="51"/>
  <c r="AA538" i="51"/>
  <c r="AA534" i="51"/>
  <c r="AA530" i="51"/>
  <c r="AA526" i="51"/>
  <c r="AA494" i="51"/>
  <c r="AG1418" i="51"/>
  <c r="AG1390" i="51"/>
  <c r="AG1385" i="51"/>
  <c r="AG1374" i="51"/>
  <c r="AG1369" i="51"/>
  <c r="AG1298" i="51"/>
  <c r="AG1292" i="51"/>
  <c r="AG1287" i="51"/>
  <c r="AG1282" i="51"/>
  <c r="AA1171" i="51"/>
  <c r="AA1166" i="51"/>
  <c r="AA1160" i="51"/>
  <c r="AA1155" i="51"/>
  <c r="AA1150" i="51"/>
  <c r="AA1086" i="51"/>
  <c r="AA1079" i="51"/>
  <c r="AA1072" i="51"/>
  <c r="AA1064" i="51"/>
  <c r="AA1057" i="51"/>
  <c r="AA1050" i="51"/>
  <c r="AA903" i="51"/>
  <c r="AA898" i="51"/>
  <c r="AA865" i="51"/>
  <c r="AA859" i="51"/>
  <c r="AA854" i="51"/>
  <c r="AA849" i="51"/>
  <c r="AA841" i="51"/>
  <c r="AA835" i="51"/>
  <c r="AA828" i="51"/>
  <c r="AA547" i="51"/>
  <c r="AA541" i="51"/>
  <c r="AA536" i="51"/>
  <c r="AA531" i="51"/>
  <c r="AA525" i="51"/>
  <c r="AA493" i="51"/>
  <c r="AA489" i="51"/>
  <c r="AA485" i="51"/>
  <c r="AA481" i="51"/>
  <c r="AA475" i="51"/>
  <c r="AA402" i="51"/>
  <c r="AA398" i="51"/>
  <c r="AA394" i="51"/>
  <c r="AA390" i="51"/>
  <c r="AA386" i="51"/>
  <c r="AA382" i="51"/>
  <c r="AA378" i="51"/>
  <c r="AG1384" i="51"/>
  <c r="AG1378" i="51"/>
  <c r="AG1368" i="51"/>
  <c r="AG1296" i="51"/>
  <c r="AG1291" i="51"/>
  <c r="AA1170" i="51"/>
  <c r="AA1164" i="51"/>
  <c r="AA1159" i="51"/>
  <c r="AA1154" i="51"/>
  <c r="AA1148" i="51"/>
  <c r="AA1090" i="51"/>
  <c r="AA1084" i="51"/>
  <c r="AA1077" i="51"/>
  <c r="AA1069" i="51"/>
  <c r="AA1062" i="51"/>
  <c r="AA1056" i="51"/>
  <c r="AA902" i="51"/>
  <c r="AA897" i="51"/>
  <c r="AA869" i="51"/>
  <c r="AA863" i="51"/>
  <c r="AA858" i="51"/>
  <c r="AA853" i="51"/>
  <c r="AA847" i="51"/>
  <c r="AA840" i="51"/>
  <c r="AA833" i="51"/>
  <c r="AG567" i="51"/>
  <c r="AA545" i="51"/>
  <c r="AA540" i="51"/>
  <c r="AA535" i="51"/>
  <c r="AA529" i="51"/>
  <c r="AA524" i="51"/>
  <c r="AA497" i="51"/>
  <c r="AA492" i="51"/>
  <c r="AA488" i="51"/>
  <c r="AA484" i="51"/>
  <c r="AA480" i="51"/>
  <c r="AA474" i="51"/>
  <c r="AA401" i="51"/>
  <c r="AA397" i="51"/>
  <c r="AA393" i="51"/>
  <c r="AA389" i="51"/>
  <c r="AA385" i="51"/>
  <c r="AA381" i="51"/>
  <c r="AA376" i="51"/>
  <c r="AG1421" i="51"/>
  <c r="AG1388" i="51"/>
  <c r="AG1300" i="51"/>
  <c r="AG1284" i="51"/>
  <c r="AA1174" i="51"/>
  <c r="AA1168" i="51"/>
  <c r="AA1163" i="51"/>
  <c r="AA1158" i="51"/>
  <c r="AA1152" i="51"/>
  <c r="AA1147" i="51"/>
  <c r="AA1089" i="51"/>
  <c r="AA1083" i="51"/>
  <c r="AA1074" i="51"/>
  <c r="AA1068" i="51"/>
  <c r="AA1061" i="51"/>
  <c r="AA1053" i="51"/>
  <c r="AA901" i="51"/>
  <c r="AA895" i="51"/>
  <c r="AA867" i="51"/>
  <c r="AA862" i="51"/>
  <c r="AA857" i="51"/>
  <c r="AA851" i="51"/>
  <c r="AA845" i="51"/>
  <c r="AA839" i="51"/>
  <c r="AA830" i="51"/>
  <c r="AG565" i="51"/>
  <c r="AG560" i="51"/>
  <c r="AA544" i="51"/>
  <c r="AA539" i="51"/>
  <c r="AA533" i="51"/>
  <c r="AA528" i="51"/>
  <c r="AA523" i="51"/>
  <c r="AA496" i="51"/>
  <c r="AA491" i="51"/>
  <c r="AA487" i="51"/>
  <c r="AA483" i="51"/>
  <c r="AA478" i="51"/>
  <c r="AA472" i="51"/>
  <c r="AA400" i="51"/>
  <c r="AA396" i="51"/>
  <c r="AA392" i="51"/>
  <c r="AA388" i="51"/>
  <c r="AA384" i="51"/>
  <c r="AA380" i="51"/>
  <c r="AA375" i="51"/>
  <c r="AG1425" i="51"/>
  <c r="AG1420" i="51"/>
  <c r="AG1381" i="51"/>
  <c r="AG1376" i="51"/>
  <c r="AG1294" i="51"/>
  <c r="AG1288" i="51"/>
  <c r="AG1278" i="51"/>
  <c r="AA1172" i="51"/>
  <c r="AA1167" i="51"/>
  <c r="AA1162" i="51"/>
  <c r="AA1156" i="51"/>
  <c r="AA1151" i="51"/>
  <c r="AA1088" i="51"/>
  <c r="AA1080" i="51"/>
  <c r="AA1073" i="51"/>
  <c r="AA1066" i="51"/>
  <c r="AA1058" i="51"/>
  <c r="AA1051" i="51"/>
  <c r="AA905" i="51"/>
  <c r="AA899" i="51"/>
  <c r="AA894" i="51"/>
  <c r="AA866" i="51"/>
  <c r="AA861" i="51"/>
  <c r="AA855" i="51"/>
  <c r="AA850" i="51"/>
  <c r="AA844" i="51"/>
  <c r="AA836" i="51"/>
  <c r="AA829" i="51"/>
  <c r="AG569" i="51"/>
  <c r="AA543" i="51"/>
  <c r="AA537" i="51"/>
  <c r="AA532" i="51"/>
  <c r="AA527" i="51"/>
  <c r="AA495" i="51"/>
  <c r="AA490" i="51"/>
  <c r="AA486" i="51"/>
  <c r="AA482" i="51"/>
  <c r="AA477" i="51"/>
  <c r="AA471" i="51"/>
  <c r="AA399" i="51"/>
  <c r="AA383" i="51"/>
  <c r="AA395" i="51"/>
  <c r="AA379" i="51"/>
  <c r="AA391" i="51"/>
  <c r="AA374" i="51"/>
  <c r="AA387" i="51"/>
  <c r="AG142" i="51"/>
  <c r="AA74" i="51"/>
  <c r="AA80" i="51"/>
  <c r="AA78" i="51"/>
  <c r="AA91" i="51"/>
  <c r="AA1979" i="51"/>
  <c r="AA2018" i="51"/>
  <c r="AA1966" i="51"/>
  <c r="AA1981" i="51"/>
  <c r="AA2017" i="51"/>
  <c r="AA1961" i="51"/>
  <c r="AA1976" i="51"/>
  <c r="AA1972" i="51"/>
  <c r="X16" i="47"/>
  <c r="Y16" i="47" s="1"/>
  <c r="AB16" i="47" s="1"/>
  <c r="X32" i="47"/>
  <c r="Y32" i="47" s="1"/>
  <c r="AB32" i="47" s="1"/>
  <c r="Y48" i="48"/>
  <c r="Y48" i="46"/>
  <c r="Y48" i="47"/>
  <c r="Y48" i="45"/>
  <c r="Q46" i="48"/>
  <c r="AG71" i="41"/>
  <c r="AG69" i="44"/>
  <c r="AG69" i="43"/>
  <c r="AG69" i="42"/>
  <c r="X5" i="47"/>
  <c r="X5" i="48"/>
  <c r="Q46" i="47"/>
  <c r="X21" i="47"/>
  <c r="Y21" i="47" s="1"/>
  <c r="AB21" i="47" s="1"/>
  <c r="X9" i="47"/>
  <c r="Y9" i="47" s="1"/>
  <c r="AB9" i="47" s="1"/>
  <c r="X10" i="47"/>
  <c r="Y10" i="47" s="1"/>
  <c r="AB10" i="47" s="1"/>
  <c r="E47" i="5"/>
  <c r="E29" i="5"/>
  <c r="E46" i="5"/>
  <c r="AA1013" i="52" l="1"/>
  <c r="AA1010" i="52"/>
  <c r="AA2176" i="51"/>
  <c r="AG2176" i="51" s="1"/>
  <c r="AA2183" i="51"/>
  <c r="AG2183" i="51" s="1"/>
  <c r="S6" i="62"/>
  <c r="AA1479" i="51"/>
  <c r="AA1463" i="51"/>
  <c r="AA1472" i="51"/>
  <c r="AA1481" i="51"/>
  <c r="AA1460" i="51"/>
  <c r="AA1469" i="51"/>
  <c r="AA1473" i="51"/>
  <c r="AA1475" i="51"/>
  <c r="AA1488" i="51"/>
  <c r="AA1466" i="51"/>
  <c r="AA1476" i="51"/>
  <c r="AG1476" i="51" s="1"/>
  <c r="AA1485" i="51"/>
  <c r="AA1464" i="51"/>
  <c r="AA1468" i="51"/>
  <c r="AA1487" i="51"/>
  <c r="AA1471" i="51"/>
  <c r="AA1482" i="51"/>
  <c r="AA1461" i="51"/>
  <c r="AA1470" i="51"/>
  <c r="AG1470" i="51" s="1"/>
  <c r="AA1480" i="51"/>
  <c r="AA1484" i="51"/>
  <c r="AA1462" i="51"/>
  <c r="AA1401" i="51"/>
  <c r="AG1401" i="51" s="1"/>
  <c r="AA1321" i="51"/>
  <c r="AG1321" i="51" s="1"/>
  <c r="AA1305" i="51"/>
  <c r="AG1305" i="51" s="1"/>
  <c r="AA1225" i="51"/>
  <c r="AG1225" i="51" s="1"/>
  <c r="AA646" i="52"/>
  <c r="AA567" i="52"/>
  <c r="AA555" i="52"/>
  <c r="AA547" i="52"/>
  <c r="AA467" i="52"/>
  <c r="AA1402" i="51"/>
  <c r="AG1402" i="51" s="1"/>
  <c r="AA1326" i="51"/>
  <c r="AG1326" i="51" s="1"/>
  <c r="AA1310" i="51"/>
  <c r="AG1310" i="51" s="1"/>
  <c r="AA1234" i="51"/>
  <c r="AG1234" i="51" s="1"/>
  <c r="AA1218" i="51"/>
  <c r="AG1218" i="51" s="1"/>
  <c r="AA637" i="52"/>
  <c r="AA558" i="52"/>
  <c r="AA550" i="52"/>
  <c r="AA474" i="52"/>
  <c r="AA458" i="52"/>
  <c r="AA1395" i="51"/>
  <c r="AG1395" i="51" s="1"/>
  <c r="AA1319" i="51"/>
  <c r="AG1319" i="51" s="1"/>
  <c r="AA1303" i="51"/>
  <c r="AG1303" i="51" s="1"/>
  <c r="AA1227" i="51"/>
  <c r="AG1227" i="51" s="1"/>
  <c r="AA1211" i="51"/>
  <c r="AG1211" i="51" s="1"/>
  <c r="AA573" i="52"/>
  <c r="AA557" i="52"/>
  <c r="AA549" i="52"/>
  <c r="AA477" i="52"/>
  <c r="AA461" i="52"/>
  <c r="AA1324" i="51"/>
  <c r="AG1324" i="51" s="1"/>
  <c r="AA568" i="52"/>
  <c r="AA468" i="52"/>
  <c r="AA1312" i="51"/>
  <c r="AG1312" i="51" s="1"/>
  <c r="AA245" i="52"/>
  <c r="AA1236" i="51"/>
  <c r="AG1236" i="51" s="1"/>
  <c r="AA480" i="52"/>
  <c r="AA1328" i="51"/>
  <c r="AG1328" i="51" s="1"/>
  <c r="AA1232" i="51"/>
  <c r="AG1232" i="51" s="1"/>
  <c r="AA559" i="51"/>
  <c r="AG559" i="51" s="1"/>
  <c r="AA544" i="52"/>
  <c r="AA255" i="52"/>
  <c r="AA254" i="52"/>
  <c r="AA450" i="52"/>
  <c r="AA446" i="52"/>
  <c r="AA442" i="52"/>
  <c r="AA438" i="52"/>
  <c r="AA434" i="52"/>
  <c r="AA430" i="52"/>
  <c r="AA426" i="52"/>
  <c r="AA422" i="52"/>
  <c r="AA418" i="52"/>
  <c r="AA1205" i="51"/>
  <c r="AG1205" i="51" s="1"/>
  <c r="AA1189" i="51"/>
  <c r="AG1189" i="51" s="1"/>
  <c r="AA1119" i="51"/>
  <c r="AA1103" i="51"/>
  <c r="AA1001" i="51"/>
  <c r="AA979" i="51"/>
  <c r="AA876" i="51"/>
  <c r="AA779" i="51"/>
  <c r="AA762" i="51"/>
  <c r="AA510" i="51"/>
  <c r="AG510" i="51" s="1"/>
  <c r="AA1397" i="51"/>
  <c r="AG1397" i="51" s="1"/>
  <c r="AA1317" i="51"/>
  <c r="AG1317" i="51" s="1"/>
  <c r="AA1237" i="51"/>
  <c r="AG1237" i="51" s="1"/>
  <c r="AA1221" i="51"/>
  <c r="AG1221" i="51" s="1"/>
  <c r="AA642" i="52"/>
  <c r="AA563" i="52"/>
  <c r="AA554" i="51"/>
  <c r="AG554" i="51" s="1"/>
  <c r="AA479" i="52"/>
  <c r="AA463" i="52"/>
  <c r="AA1398" i="51"/>
  <c r="AG1398" i="51" s="1"/>
  <c r="AA1322" i="51"/>
  <c r="AG1322" i="51" s="1"/>
  <c r="AA1306" i="51"/>
  <c r="AG1306" i="51" s="1"/>
  <c r="AA1230" i="51"/>
  <c r="AG1230" i="51" s="1"/>
  <c r="AA1214" i="51"/>
  <c r="AG1214" i="51" s="1"/>
  <c r="AA570" i="52"/>
  <c r="AA557" i="51"/>
  <c r="AG557" i="51" s="1"/>
  <c r="AA549" i="51"/>
  <c r="AG549" i="51" s="1"/>
  <c r="AA470" i="52"/>
  <c r="AA454" i="52"/>
  <c r="AA1331" i="51"/>
  <c r="AG1331" i="51" s="1"/>
  <c r="AA1315" i="51"/>
  <c r="AG1315" i="51" s="1"/>
  <c r="AA1239" i="51"/>
  <c r="AG1239" i="51" s="1"/>
  <c r="AA1223" i="51"/>
  <c r="AG1223" i="51" s="1"/>
  <c r="AA644" i="52"/>
  <c r="AA569" i="52"/>
  <c r="AA556" i="51"/>
  <c r="AG556" i="51" s="1"/>
  <c r="AA548" i="51"/>
  <c r="AG548" i="51" s="1"/>
  <c r="AA473" i="52"/>
  <c r="AA457" i="52"/>
  <c r="AA1308" i="51"/>
  <c r="AG1308" i="51" s="1"/>
  <c r="AA560" i="52"/>
  <c r="AA252" i="52"/>
  <c r="AA1212" i="51"/>
  <c r="AG1212" i="51" s="1"/>
  <c r="AA1396" i="51"/>
  <c r="AG1396" i="51" s="1"/>
  <c r="AA1220" i="51"/>
  <c r="AG1220" i="51" s="1"/>
  <c r="AA464" i="52"/>
  <c r="AA1228" i="51"/>
  <c r="AG1228" i="51" s="1"/>
  <c r="AA1216" i="51"/>
  <c r="AG1216" i="51" s="1"/>
  <c r="AA556" i="52"/>
  <c r="AA476" i="52"/>
  <c r="AA248" i="52"/>
  <c r="AA449" i="52"/>
  <c r="AA445" i="52"/>
  <c r="AA441" i="52"/>
  <c r="AA437" i="52"/>
  <c r="AA433" i="52"/>
  <c r="AA429" i="52"/>
  <c r="AA425" i="52"/>
  <c r="AA421" i="52"/>
  <c r="AA417" i="52"/>
  <c r="AA1201" i="51"/>
  <c r="AG1201" i="51" s="1"/>
  <c r="AA1185" i="51"/>
  <c r="AG1185" i="51" s="1"/>
  <c r="AA1115" i="51"/>
  <c r="AA1099" i="51"/>
  <c r="AA995" i="51"/>
  <c r="AA974" i="51"/>
  <c r="AA872" i="51"/>
  <c r="AA775" i="51"/>
  <c r="AA757" i="51"/>
  <c r="AA522" i="51"/>
  <c r="L548" i="55" s="1"/>
  <c r="AA506" i="51"/>
  <c r="AA1208" i="51"/>
  <c r="AG1208" i="51" s="1"/>
  <c r="AA1329" i="51"/>
  <c r="AG1329" i="51" s="1"/>
  <c r="AA1313" i="51"/>
  <c r="AG1313" i="51" s="1"/>
  <c r="AA1233" i="51"/>
  <c r="AG1233" i="51" s="1"/>
  <c r="AA1217" i="51"/>
  <c r="AG1217" i="51" s="1"/>
  <c r="AA638" i="52"/>
  <c r="AA559" i="52"/>
  <c r="AA551" i="52"/>
  <c r="AA475" i="52"/>
  <c r="AA459" i="52"/>
  <c r="AA1394" i="51"/>
  <c r="AG1394" i="51" s="1"/>
  <c r="AA1318" i="51"/>
  <c r="AG1318" i="51" s="1"/>
  <c r="AA1302" i="51"/>
  <c r="AG1302" i="51" s="1"/>
  <c r="AA1226" i="51"/>
  <c r="AG1226" i="51" s="1"/>
  <c r="AA645" i="52"/>
  <c r="AA566" i="52"/>
  <c r="AA554" i="52"/>
  <c r="AA546" i="52"/>
  <c r="AA466" i="52"/>
  <c r="AA1403" i="51"/>
  <c r="AG1403" i="51" s="1"/>
  <c r="AA1327" i="51"/>
  <c r="AG1327" i="51" s="1"/>
  <c r="AA1311" i="51"/>
  <c r="AG1311" i="51" s="1"/>
  <c r="AA1235" i="51"/>
  <c r="AG1235" i="51" s="1"/>
  <c r="AA1219" i="51"/>
  <c r="AG1219" i="51" s="1"/>
  <c r="AA640" i="52"/>
  <c r="AA565" i="52"/>
  <c r="AA553" i="52"/>
  <c r="AA545" i="52"/>
  <c r="AA469" i="52"/>
  <c r="AA453" i="52"/>
  <c r="AA1224" i="51"/>
  <c r="AG1224" i="51" s="1"/>
  <c r="AA555" i="51"/>
  <c r="AG555" i="51" s="1"/>
  <c r="AA251" i="52"/>
  <c r="AA456" i="52"/>
  <c r="AA1320" i="51"/>
  <c r="AG1320" i="51" s="1"/>
  <c r="AA643" i="52"/>
  <c r="AA250" i="52"/>
  <c r="AA246" i="52"/>
  <c r="AA639" i="52"/>
  <c r="AA551" i="51"/>
  <c r="AG551" i="51" s="1"/>
  <c r="AA460" i="52"/>
  <c r="AA247" i="52"/>
  <c r="AA452" i="52"/>
  <c r="AA448" i="52"/>
  <c r="AA444" i="52"/>
  <c r="AA440" i="52"/>
  <c r="AA436" i="52"/>
  <c r="AA432" i="52"/>
  <c r="AA428" i="52"/>
  <c r="AA424" i="52"/>
  <c r="AA420" i="52"/>
  <c r="AA1197" i="51"/>
  <c r="AG1197" i="51" s="1"/>
  <c r="AA1181" i="51"/>
  <c r="AG1181" i="51" s="1"/>
  <c r="AA1111" i="51"/>
  <c r="AA1095" i="51"/>
  <c r="AG1095" i="51" s="1"/>
  <c r="AA990" i="51"/>
  <c r="AA968" i="51"/>
  <c r="AA787" i="51"/>
  <c r="AA771" i="51"/>
  <c r="AG771" i="51" s="1"/>
  <c r="AA752" i="51"/>
  <c r="AA518" i="51"/>
  <c r="AA502" i="51"/>
  <c r="AA1325" i="51"/>
  <c r="AG1325" i="51" s="1"/>
  <c r="AA571" i="52"/>
  <c r="AA455" i="52"/>
  <c r="AA1222" i="51"/>
  <c r="AG1222" i="51" s="1"/>
  <c r="AA478" i="52"/>
  <c r="AA1307" i="51"/>
  <c r="AG1307" i="51" s="1"/>
  <c r="AA561" i="52"/>
  <c r="AA1400" i="51"/>
  <c r="AG1400" i="51" s="1"/>
  <c r="AA253" i="52"/>
  <c r="AA1316" i="51"/>
  <c r="AG1316" i="51" s="1"/>
  <c r="AA472" i="52"/>
  <c r="AA443" i="52"/>
  <c r="AA427" i="52"/>
  <c r="AA1107" i="51"/>
  <c r="AA783" i="51"/>
  <c r="AA498" i="51"/>
  <c r="AA1203" i="51"/>
  <c r="AG1203" i="51" s="1"/>
  <c r="AA1182" i="51"/>
  <c r="AG1182" i="51" s="1"/>
  <c r="AA1108" i="51"/>
  <c r="AA1005" i="51"/>
  <c r="AA977" i="51"/>
  <c r="AA870" i="51"/>
  <c r="AA766" i="51"/>
  <c r="AA504" i="51"/>
  <c r="AA459" i="51"/>
  <c r="AA372" i="51"/>
  <c r="AA356" i="51"/>
  <c r="AA1191" i="51"/>
  <c r="AG1191" i="51" s="1"/>
  <c r="AA1117" i="51"/>
  <c r="AA1096" i="51"/>
  <c r="AA988" i="51"/>
  <c r="AA879" i="51"/>
  <c r="AA776" i="51"/>
  <c r="L776" i="55" s="1"/>
  <c r="O776" i="55" s="1"/>
  <c r="AA750" i="51"/>
  <c r="AA513" i="51"/>
  <c r="AA462" i="51"/>
  <c r="AA444" i="51"/>
  <c r="AA359" i="51"/>
  <c r="AA342" i="51"/>
  <c r="AA1195" i="51"/>
  <c r="AG1195" i="51" s="1"/>
  <c r="AA1116" i="51"/>
  <c r="AA1094" i="51"/>
  <c r="AA987" i="51"/>
  <c r="AA878" i="51"/>
  <c r="AA774" i="51"/>
  <c r="AA749" i="51"/>
  <c r="AA507" i="51"/>
  <c r="AA457" i="51"/>
  <c r="AA370" i="51"/>
  <c r="AA354" i="51"/>
  <c r="AA1194" i="51"/>
  <c r="AG1194" i="51" s="1"/>
  <c r="AA1120" i="51"/>
  <c r="AA1098" i="51"/>
  <c r="AA992" i="51"/>
  <c r="AA877" i="51"/>
  <c r="AA773" i="51"/>
  <c r="AA748" i="51"/>
  <c r="AA516" i="51"/>
  <c r="AA464" i="51"/>
  <c r="AA349" i="51"/>
  <c r="AA447" i="51"/>
  <c r="AG447" i="51" s="1"/>
  <c r="AA353" i="51"/>
  <c r="AA1309" i="51"/>
  <c r="AG1309" i="51" s="1"/>
  <c r="AA558" i="51"/>
  <c r="AG558" i="51" s="1"/>
  <c r="AA1330" i="51"/>
  <c r="AG1330" i="51" s="1"/>
  <c r="AA641" i="52"/>
  <c r="AA462" i="52"/>
  <c r="AA1231" i="51"/>
  <c r="AG1231" i="51" s="1"/>
  <c r="AA552" i="51"/>
  <c r="AG552" i="51" s="1"/>
  <c r="AA647" i="52"/>
  <c r="AA1304" i="51"/>
  <c r="AG1304" i="51" s="1"/>
  <c r="AA564" i="52"/>
  <c r="AA439" i="52"/>
  <c r="AA423" i="52"/>
  <c r="AA1209" i="51"/>
  <c r="AG1209" i="51" s="1"/>
  <c r="AA1006" i="51"/>
  <c r="AA767" i="51"/>
  <c r="AA1198" i="51"/>
  <c r="AG1198" i="51" s="1"/>
  <c r="AA1176" i="51"/>
  <c r="AG1176" i="51" s="1"/>
  <c r="AA1102" i="51"/>
  <c r="AA998" i="51"/>
  <c r="AA970" i="51"/>
  <c r="AA782" i="51"/>
  <c r="AA760" i="51"/>
  <c r="AA520" i="51"/>
  <c r="L520" i="55" s="1"/>
  <c r="O520" i="55" s="1"/>
  <c r="AA499" i="51"/>
  <c r="AA455" i="51"/>
  <c r="AA368" i="51"/>
  <c r="AA352" i="51"/>
  <c r="L352" i="55" s="1"/>
  <c r="O352" i="55" s="1"/>
  <c r="AA1207" i="51"/>
  <c r="AG1207" i="51" s="1"/>
  <c r="AA1186" i="51"/>
  <c r="AG1186" i="51" s="1"/>
  <c r="AA1112" i="51"/>
  <c r="AA1009" i="51"/>
  <c r="AA982" i="51"/>
  <c r="AA874" i="51"/>
  <c r="AA770" i="51"/>
  <c r="AA744" i="51"/>
  <c r="AA508" i="51"/>
  <c r="AA458" i="51"/>
  <c r="AA371" i="51"/>
  <c r="AA355" i="51"/>
  <c r="AA1190" i="51"/>
  <c r="AG1190" i="51" s="1"/>
  <c r="AA1110" i="51"/>
  <c r="AA1008" i="51"/>
  <c r="AA981" i="51"/>
  <c r="AA873" i="51"/>
  <c r="AA769" i="51"/>
  <c r="AA501" i="51"/>
  <c r="AA453" i="51"/>
  <c r="L453" i="55" s="1"/>
  <c r="O453" i="55" s="1"/>
  <c r="AA366" i="51"/>
  <c r="AA350" i="51"/>
  <c r="AA1210" i="51"/>
  <c r="AG1210" i="51" s="1"/>
  <c r="AA1188" i="51"/>
  <c r="AG1188" i="51" s="1"/>
  <c r="AA1114" i="51"/>
  <c r="AA1093" i="51"/>
  <c r="AA986" i="51"/>
  <c r="AA871" i="51"/>
  <c r="L871" i="55" s="1"/>
  <c r="O871" i="55" s="1"/>
  <c r="AA768" i="51"/>
  <c r="AA511" i="51"/>
  <c r="AA460" i="51"/>
  <c r="AA452" i="51"/>
  <c r="AG452" i="51" s="1"/>
  <c r="AA357" i="51"/>
  <c r="AA1229" i="51"/>
  <c r="AG1229" i="51" s="1"/>
  <c r="AA550" i="51"/>
  <c r="AG550" i="51" s="1"/>
  <c r="AA1314" i="51"/>
  <c r="AG1314" i="51" s="1"/>
  <c r="AA562" i="52"/>
  <c r="AA1399" i="51"/>
  <c r="AG1399" i="51" s="1"/>
  <c r="AA1215" i="51"/>
  <c r="AG1215" i="51" s="1"/>
  <c r="AA481" i="52"/>
  <c r="AA552" i="52"/>
  <c r="AA572" i="52"/>
  <c r="AA548" i="52"/>
  <c r="AA451" i="52"/>
  <c r="AA435" i="52"/>
  <c r="AA419" i="52"/>
  <c r="AA1193" i="51"/>
  <c r="AG1193" i="51" s="1"/>
  <c r="AA985" i="51"/>
  <c r="AA746" i="51"/>
  <c r="AA1192" i="51"/>
  <c r="AG1192" i="51" s="1"/>
  <c r="AA1118" i="51"/>
  <c r="AA1097" i="51"/>
  <c r="AG1097" i="51" s="1"/>
  <c r="AA991" i="51"/>
  <c r="AA881" i="51"/>
  <c r="AA777" i="51"/>
  <c r="AA753" i="51"/>
  <c r="AG753" i="51" s="1"/>
  <c r="AA515" i="51"/>
  <c r="AA467" i="51"/>
  <c r="AA451" i="51"/>
  <c r="AA364" i="51"/>
  <c r="AA348" i="51"/>
  <c r="AA1202" i="51"/>
  <c r="AG1202" i="51" s="1"/>
  <c r="AA1180" i="51"/>
  <c r="AG1180" i="51" s="1"/>
  <c r="AA1106" i="51"/>
  <c r="AA1004" i="51"/>
  <c r="AA975" i="51"/>
  <c r="AA786" i="51"/>
  <c r="AA765" i="51"/>
  <c r="AA503" i="51"/>
  <c r="AA454" i="51"/>
  <c r="AA367" i="51"/>
  <c r="AA351" i="51"/>
  <c r="AG351" i="51" s="1"/>
  <c r="AA1206" i="51"/>
  <c r="AG1206" i="51" s="1"/>
  <c r="AA1184" i="51"/>
  <c r="AG1184" i="51" s="1"/>
  <c r="AA1105" i="51"/>
  <c r="AA1002" i="51"/>
  <c r="AG1002" i="51" s="1"/>
  <c r="AA973" i="51"/>
  <c r="AA785" i="51"/>
  <c r="AA764" i="51"/>
  <c r="AA517" i="51"/>
  <c r="L517" i="55" s="1"/>
  <c r="O517" i="55" s="1"/>
  <c r="AA465" i="51"/>
  <c r="AA448" i="51"/>
  <c r="AA362" i="51"/>
  <c r="AA346" i="51"/>
  <c r="AA1204" i="51"/>
  <c r="AG1204" i="51" s="1"/>
  <c r="AA1183" i="51"/>
  <c r="AG1183" i="51" s="1"/>
  <c r="AA1109" i="51"/>
  <c r="AA1007" i="51"/>
  <c r="AG1007" i="51" s="1"/>
  <c r="AA978" i="51"/>
  <c r="AA784" i="51"/>
  <c r="AA761" i="51"/>
  <c r="AA505" i="51"/>
  <c r="AA456" i="51"/>
  <c r="AA361" i="51"/>
  <c r="AA441" i="51"/>
  <c r="AA1486" i="51"/>
  <c r="AA500" i="51"/>
  <c r="AA971" i="51"/>
  <c r="AA1199" i="51"/>
  <c r="AG1199" i="51" s="1"/>
  <c r="AA358" i="51"/>
  <c r="AA756" i="51"/>
  <c r="AA1100" i="51"/>
  <c r="AA466" i="51"/>
  <c r="AA967" i="51"/>
  <c r="AG967" i="51" s="1"/>
  <c r="AA1196" i="51"/>
  <c r="AG1196" i="51" s="1"/>
  <c r="AA360" i="51"/>
  <c r="AA745" i="51"/>
  <c r="AA1092" i="51"/>
  <c r="AG1092" i="51" s="1"/>
  <c r="AA514" i="51"/>
  <c r="AA431" i="52"/>
  <c r="AA465" i="52"/>
  <c r="AA1238" i="51"/>
  <c r="AG1238" i="51" s="1"/>
  <c r="S27" i="62"/>
  <c r="AA2015" i="51"/>
  <c r="AA1975" i="51"/>
  <c r="AA1959" i="51"/>
  <c r="AG1959" i="51" s="1"/>
  <c r="AA2014" i="51"/>
  <c r="AA1974" i="51"/>
  <c r="AA1987" i="51"/>
  <c r="AA1971" i="51"/>
  <c r="AA2026" i="51"/>
  <c r="AA1986" i="51"/>
  <c r="S11" i="62"/>
  <c r="AA1599" i="51"/>
  <c r="AG1599" i="51" s="1"/>
  <c r="AA1583" i="51"/>
  <c r="AG1583" i="51" s="1"/>
  <c r="AA709" i="52"/>
  <c r="AA705" i="52"/>
  <c r="AA701" i="52"/>
  <c r="AA697" i="52"/>
  <c r="AA693" i="52"/>
  <c r="AA689" i="52"/>
  <c r="AA685" i="52"/>
  <c r="AA681" i="52"/>
  <c r="AA677" i="52"/>
  <c r="AA673" i="52"/>
  <c r="AA1589" i="51"/>
  <c r="AG1589" i="51" s="1"/>
  <c r="AA1604" i="51"/>
  <c r="AG1604" i="51" s="1"/>
  <c r="AA1582" i="51"/>
  <c r="AG1582" i="51" s="1"/>
  <c r="AA1597" i="51"/>
  <c r="AG1597" i="51" s="1"/>
  <c r="AA1576" i="51"/>
  <c r="AG1576" i="51" s="1"/>
  <c r="AA1590" i="51"/>
  <c r="AG1590" i="51" s="1"/>
  <c r="AA1569" i="51"/>
  <c r="AG1569" i="51" s="1"/>
  <c r="AA1595" i="51"/>
  <c r="AG1595" i="51" s="1"/>
  <c r="AA1579" i="51"/>
  <c r="AG1579" i="51" s="1"/>
  <c r="AA708" i="52"/>
  <c r="AA704" i="52"/>
  <c r="AA700" i="52"/>
  <c r="AA696" i="52"/>
  <c r="AA692" i="52"/>
  <c r="AA688" i="52"/>
  <c r="AA684" i="52"/>
  <c r="AA680" i="52"/>
  <c r="AA676" i="52"/>
  <c r="AA1605" i="51"/>
  <c r="AG1605" i="51" s="1"/>
  <c r="AA1584" i="51"/>
  <c r="AG1584" i="51" s="1"/>
  <c r="AA1598" i="51"/>
  <c r="AG1598" i="51" s="1"/>
  <c r="AA1577" i="51"/>
  <c r="AG1577" i="51" s="1"/>
  <c r="AA1592" i="51"/>
  <c r="AG1592" i="51" s="1"/>
  <c r="AA1570" i="51"/>
  <c r="AG1570" i="51" s="1"/>
  <c r="AA1585" i="51"/>
  <c r="AG1585" i="51" s="1"/>
  <c r="AA1591" i="51"/>
  <c r="AG1591" i="51" s="1"/>
  <c r="AA1575" i="51"/>
  <c r="AG1575" i="51" s="1"/>
  <c r="AA707" i="52"/>
  <c r="AA703" i="52"/>
  <c r="AA699" i="52"/>
  <c r="AA695" i="52"/>
  <c r="AA691" i="52"/>
  <c r="AA687" i="52"/>
  <c r="AA683" i="52"/>
  <c r="AA679" i="52"/>
  <c r="AA675" i="52"/>
  <c r="AA1600" i="51"/>
  <c r="AG1600" i="51" s="1"/>
  <c r="AA1578" i="51"/>
  <c r="AG1578" i="51" s="1"/>
  <c r="AA1593" i="51"/>
  <c r="AG1593" i="51" s="1"/>
  <c r="AA1572" i="51"/>
  <c r="AG1572" i="51" s="1"/>
  <c r="AA1586" i="51"/>
  <c r="AG1586" i="51" s="1"/>
  <c r="AA1601" i="51"/>
  <c r="AG1601" i="51" s="1"/>
  <c r="AA1580" i="51"/>
  <c r="AG1580" i="51" s="1"/>
  <c r="AA1571" i="51"/>
  <c r="AG1571" i="51" s="1"/>
  <c r="AA694" i="52"/>
  <c r="AA678" i="52"/>
  <c r="AA1588" i="51"/>
  <c r="AG1588" i="51" s="1"/>
  <c r="AA1574" i="51"/>
  <c r="AG1574" i="51" s="1"/>
  <c r="AA706" i="52"/>
  <c r="AA690" i="52"/>
  <c r="AA674" i="52"/>
  <c r="AA1602" i="51"/>
  <c r="AG1602" i="51" s="1"/>
  <c r="AA1603" i="51"/>
  <c r="AG1603" i="51" s="1"/>
  <c r="AA702" i="52"/>
  <c r="AA686" i="52"/>
  <c r="AA1594" i="51"/>
  <c r="AG1594" i="51" s="1"/>
  <c r="AA1581" i="51"/>
  <c r="AG1581" i="51" s="1"/>
  <c r="AA1675" i="51"/>
  <c r="AG1675" i="51" s="1"/>
  <c r="AA1984" i="51"/>
  <c r="AA1969" i="51"/>
  <c r="AA2025" i="51"/>
  <c r="L2025" i="55" s="1"/>
  <c r="O2025" i="55" s="1"/>
  <c r="AA2021" i="51"/>
  <c r="AA1970" i="51"/>
  <c r="AA2022" i="51"/>
  <c r="AA1983" i="51"/>
  <c r="AA2020" i="51"/>
  <c r="AA1960" i="51"/>
  <c r="AA2016" i="51"/>
  <c r="AA1977" i="51"/>
  <c r="AG1977" i="51" s="1"/>
  <c r="AA1965" i="51"/>
  <c r="AA1958" i="51"/>
  <c r="AA1978" i="51"/>
  <c r="AA1963" i="51"/>
  <c r="AG1963" i="51" s="1"/>
  <c r="AA2019" i="51"/>
  <c r="AA1478" i="51"/>
  <c r="AA1477" i="51"/>
  <c r="AA369" i="51"/>
  <c r="AA521" i="51"/>
  <c r="AA1000" i="51"/>
  <c r="AA442" i="51"/>
  <c r="AA780" i="51"/>
  <c r="AA1179" i="51"/>
  <c r="AG1179" i="51" s="1"/>
  <c r="AA347" i="51"/>
  <c r="AA519" i="51"/>
  <c r="AA997" i="51"/>
  <c r="L997" i="55" s="1"/>
  <c r="O997" i="55" s="1"/>
  <c r="AA445" i="51"/>
  <c r="AA772" i="51"/>
  <c r="AA1113" i="51"/>
  <c r="AA880" i="51"/>
  <c r="AG880" i="51" s="1"/>
  <c r="AA447" i="52"/>
  <c r="AA682" i="52"/>
  <c r="AA256" i="52"/>
  <c r="AA636" i="52"/>
  <c r="AA471" i="52"/>
  <c r="AA1964" i="51"/>
  <c r="AA1968" i="51"/>
  <c r="AA2024" i="51"/>
  <c r="AG2024" i="51" s="1"/>
  <c r="AA1985" i="51"/>
  <c r="AA1973" i="51"/>
  <c r="AA1962" i="51"/>
  <c r="AA1982" i="51"/>
  <c r="AA1967" i="51"/>
  <c r="AA2023" i="51"/>
  <c r="AA1474" i="51"/>
  <c r="AA1467" i="51"/>
  <c r="AA345" i="51"/>
  <c r="AA754" i="51"/>
  <c r="AA1104" i="51"/>
  <c r="AA461" i="51"/>
  <c r="AA966" i="51"/>
  <c r="AA1200" i="51"/>
  <c r="AG1200" i="51" s="1"/>
  <c r="AA363" i="51"/>
  <c r="AA758" i="51"/>
  <c r="AG758" i="51" s="1"/>
  <c r="AA1101" i="51"/>
  <c r="AA463" i="51"/>
  <c r="AA875" i="51"/>
  <c r="AA1187" i="51"/>
  <c r="AG1187" i="51" s="1"/>
  <c r="AA1177" i="51"/>
  <c r="AG1177" i="51" s="1"/>
  <c r="AA698" i="52"/>
  <c r="AA249" i="52"/>
  <c r="AA1323" i="51"/>
  <c r="AG1323" i="51" s="1"/>
  <c r="AA1213" i="51"/>
  <c r="AG1213" i="51" s="1"/>
  <c r="G19" i="62"/>
  <c r="G14" i="62"/>
  <c r="S26" i="62"/>
  <c r="S21" i="62"/>
  <c r="S16" i="62"/>
  <c r="G18" i="62"/>
  <c r="G13" i="62"/>
  <c r="S25" i="62"/>
  <c r="S20" i="62"/>
  <c r="S15" i="62"/>
  <c r="AB28" i="43"/>
  <c r="X28" i="57"/>
  <c r="X94" i="57" s="1"/>
  <c r="U41" i="57"/>
  <c r="U107" i="57" s="1"/>
  <c r="AB41" i="43"/>
  <c r="E14" i="59"/>
  <c r="E15" i="59"/>
  <c r="U5" i="57"/>
  <c r="U71" i="57" s="1"/>
  <c r="AB5" i="43"/>
  <c r="V67" i="43"/>
  <c r="U63" i="57"/>
  <c r="U129" i="57" s="1"/>
  <c r="AB63" i="43"/>
  <c r="AB6" i="43"/>
  <c r="X6" i="57"/>
  <c r="X72" i="57" s="1"/>
  <c r="U29" i="57"/>
  <c r="U95" i="57" s="1"/>
  <c r="AB29" i="43"/>
  <c r="U7" i="57"/>
  <c r="U73" i="57" s="1"/>
  <c r="AB7" i="43"/>
  <c r="U36" i="57"/>
  <c r="U102" i="57" s="1"/>
  <c r="AB36" i="43"/>
  <c r="AB34" i="43"/>
  <c r="X34" i="57"/>
  <c r="X100" i="57" s="1"/>
  <c r="U15" i="59"/>
  <c r="U14" i="59"/>
  <c r="AB52" i="43"/>
  <c r="X52" i="57"/>
  <c r="X118" i="57" s="1"/>
  <c r="X12" i="57"/>
  <c r="X78" i="57" s="1"/>
  <c r="AB12" i="43"/>
  <c r="U64" i="57"/>
  <c r="U130" i="57" s="1"/>
  <c r="AB64" i="43"/>
  <c r="U18" i="57"/>
  <c r="U84" i="57" s="1"/>
  <c r="AB18" i="43"/>
  <c r="AB11" i="43"/>
  <c r="U11" i="57"/>
  <c r="U77" i="57" s="1"/>
  <c r="U32" i="57"/>
  <c r="U98" i="57" s="1"/>
  <c r="AB32" i="43"/>
  <c r="AB50" i="43"/>
  <c r="X50" i="57"/>
  <c r="X116" i="57" s="1"/>
  <c r="AB14" i="43"/>
  <c r="X14" i="57"/>
  <c r="X80" i="57" s="1"/>
  <c r="U62" i="57"/>
  <c r="U128" i="57" s="1"/>
  <c r="AB62" i="43"/>
  <c r="J14" i="59"/>
  <c r="J15" i="59"/>
  <c r="U16" i="57"/>
  <c r="U82" i="57" s="1"/>
  <c r="AB16" i="43"/>
  <c r="U59" i="57"/>
  <c r="U125" i="57" s="1"/>
  <c r="AB59" i="43"/>
  <c r="U26" i="57"/>
  <c r="U92" i="57" s="1"/>
  <c r="AB26" i="43"/>
  <c r="AB31" i="43"/>
  <c r="X31" i="57"/>
  <c r="X97" i="57" s="1"/>
  <c r="U42" i="57"/>
  <c r="U108" i="57" s="1"/>
  <c r="AB42" i="43"/>
  <c r="AB47" i="43"/>
  <c r="X47" i="57"/>
  <c r="X113" i="57" s="1"/>
  <c r="X5" i="57"/>
  <c r="X71" i="57" s="1"/>
  <c r="N7" i="59" s="1"/>
  <c r="N13" i="59" s="1"/>
  <c r="Y67" i="43"/>
  <c r="X30" i="57"/>
  <c r="X96" i="57" s="1"/>
  <c r="AB30" i="43"/>
  <c r="AB67" i="44"/>
  <c r="AB40" i="43"/>
  <c r="T15" i="59"/>
  <c r="T14" i="59"/>
  <c r="U25" i="57"/>
  <c r="U91" i="57" s="1"/>
  <c r="AB25" i="43"/>
  <c r="U65" i="57"/>
  <c r="U131" i="57" s="1"/>
  <c r="AB65" i="43"/>
  <c r="AB17" i="43"/>
  <c r="X17" i="57"/>
  <c r="X83" i="57" s="1"/>
  <c r="U45" i="57"/>
  <c r="U111" i="57" s="1"/>
  <c r="AB45" i="43"/>
  <c r="S62" i="44"/>
  <c r="S62" i="57" s="1"/>
  <c r="S128" i="57" s="1"/>
  <c r="S44" i="44"/>
  <c r="S44" i="57" s="1"/>
  <c r="S110" i="57" s="1"/>
  <c r="S13" i="44"/>
  <c r="S13" i="57" s="1"/>
  <c r="S79" i="57" s="1"/>
  <c r="S26" i="44"/>
  <c r="S26" i="57" s="1"/>
  <c r="S92" i="57" s="1"/>
  <c r="S35" i="44"/>
  <c r="S35" i="57" s="1"/>
  <c r="S101" i="57" s="1"/>
  <c r="S30" i="44"/>
  <c r="S30" i="57" s="1"/>
  <c r="S96" i="57" s="1"/>
  <c r="S28" i="44"/>
  <c r="S28" i="57" s="1"/>
  <c r="S94" i="57" s="1"/>
  <c r="S19" i="44"/>
  <c r="S19" i="57" s="1"/>
  <c r="S85" i="57" s="1"/>
  <c r="S52" i="44"/>
  <c r="S52" i="57" s="1"/>
  <c r="S118" i="57" s="1"/>
  <c r="S64" i="44"/>
  <c r="S64" i="57" s="1"/>
  <c r="S130" i="57" s="1"/>
  <c r="S55" i="44"/>
  <c r="S55" i="57" s="1"/>
  <c r="S121" i="57" s="1"/>
  <c r="S18" i="44"/>
  <c r="S18" i="57" s="1"/>
  <c r="S84" i="57" s="1"/>
  <c r="S61" i="44"/>
  <c r="S61" i="57" s="1"/>
  <c r="S127" i="57" s="1"/>
  <c r="S25" i="44"/>
  <c r="S25" i="57" s="1"/>
  <c r="S91" i="57" s="1"/>
  <c r="S11" i="44"/>
  <c r="S11" i="57" s="1"/>
  <c r="S77" i="57" s="1"/>
  <c r="S12" i="44"/>
  <c r="S54" i="44"/>
  <c r="S54" i="57" s="1"/>
  <c r="S120" i="57" s="1"/>
  <c r="S24" i="44"/>
  <c r="S24" i="57" s="1"/>
  <c r="S90" i="57" s="1"/>
  <c r="S17" i="44"/>
  <c r="S17" i="57" s="1"/>
  <c r="S83" i="57" s="1"/>
  <c r="S34" i="44"/>
  <c r="S34" i="57" s="1"/>
  <c r="S100" i="57" s="1"/>
  <c r="S45" i="44"/>
  <c r="S45" i="57" s="1"/>
  <c r="S111" i="57" s="1"/>
  <c r="S63" i="44"/>
  <c r="S63" i="57" s="1"/>
  <c r="S129" i="57" s="1"/>
  <c r="S47" i="44"/>
  <c r="S47" i="57" s="1"/>
  <c r="S113" i="57" s="1"/>
  <c r="S16" i="44"/>
  <c r="S16" i="57" s="1"/>
  <c r="S82" i="57" s="1"/>
  <c r="S29" i="44"/>
  <c r="S29" i="57" s="1"/>
  <c r="S95" i="57" s="1"/>
  <c r="S41" i="44"/>
  <c r="S41" i="57" s="1"/>
  <c r="S107" i="57" s="1"/>
  <c r="S49" i="44"/>
  <c r="S49" i="57" s="1"/>
  <c r="S115" i="57" s="1"/>
  <c r="S43" i="44"/>
  <c r="S43" i="57" s="1"/>
  <c r="S109" i="57" s="1"/>
  <c r="S36" i="44"/>
  <c r="S36" i="57" s="1"/>
  <c r="S102" i="57" s="1"/>
  <c r="S20" i="44"/>
  <c r="S20" i="57" s="1"/>
  <c r="S86" i="57" s="1"/>
  <c r="S8" i="44"/>
  <c r="S8" i="57" s="1"/>
  <c r="S74" i="57" s="1"/>
  <c r="S60" i="44"/>
  <c r="S60" i="57" s="1"/>
  <c r="S126" i="57" s="1"/>
  <c r="S46" i="44"/>
  <c r="S46" i="57" s="1"/>
  <c r="S112" i="57" s="1"/>
  <c r="S32" i="44"/>
  <c r="S32" i="57" s="1"/>
  <c r="S98" i="57" s="1"/>
  <c r="S58" i="44"/>
  <c r="S58" i="57" s="1"/>
  <c r="S124" i="57" s="1"/>
  <c r="S50" i="44"/>
  <c r="S50" i="57" s="1"/>
  <c r="S116" i="57" s="1"/>
  <c r="S31" i="44"/>
  <c r="S31" i="57" s="1"/>
  <c r="S97" i="57" s="1"/>
  <c r="S57" i="44"/>
  <c r="S57" i="57" s="1"/>
  <c r="S123" i="57" s="1"/>
  <c r="S9" i="44"/>
  <c r="S9" i="57" s="1"/>
  <c r="S75" i="57" s="1"/>
  <c r="S40" i="44"/>
  <c r="S40" i="57" s="1"/>
  <c r="S106" i="57" s="1"/>
  <c r="S7" i="44"/>
  <c r="S7" i="57" s="1"/>
  <c r="S73" i="57" s="1"/>
  <c r="S22" i="44"/>
  <c r="S22" i="57" s="1"/>
  <c r="S88" i="57" s="1"/>
  <c r="S15" i="44"/>
  <c r="S15" i="57" s="1"/>
  <c r="S81" i="57" s="1"/>
  <c r="S10" i="44"/>
  <c r="S10" i="57" s="1"/>
  <c r="S76" i="57" s="1"/>
  <c r="S42" i="44"/>
  <c r="S42" i="57" s="1"/>
  <c r="S108" i="57" s="1"/>
  <c r="S65" i="44"/>
  <c r="S65" i="57" s="1"/>
  <c r="S131" i="57" s="1"/>
  <c r="S48" i="44"/>
  <c r="S48" i="57" s="1"/>
  <c r="S114" i="57" s="1"/>
  <c r="S37" i="44"/>
  <c r="S37" i="57" s="1"/>
  <c r="S103" i="57" s="1"/>
  <c r="S51" i="44"/>
  <c r="S51" i="57" s="1"/>
  <c r="S117" i="57" s="1"/>
  <c r="S27" i="44"/>
  <c r="S27" i="57" s="1"/>
  <c r="S93" i="57" s="1"/>
  <c r="S23" i="44"/>
  <c r="S23" i="57" s="1"/>
  <c r="S89" i="57" s="1"/>
  <c r="S14" i="44"/>
  <c r="S14" i="57" s="1"/>
  <c r="S80" i="57" s="1"/>
  <c r="S6" i="44"/>
  <c r="S6" i="57" s="1"/>
  <c r="S72" i="57" s="1"/>
  <c r="S39" i="44"/>
  <c r="S39" i="57" s="1"/>
  <c r="S105" i="57" s="1"/>
  <c r="S56" i="44"/>
  <c r="S56" i="57" s="1"/>
  <c r="S122" i="57" s="1"/>
  <c r="S33" i="44"/>
  <c r="S33" i="57" s="1"/>
  <c r="S99" i="57" s="1"/>
  <c r="S38" i="44"/>
  <c r="S38" i="57" s="1"/>
  <c r="S104" i="57" s="1"/>
  <c r="S53" i="44"/>
  <c r="S53" i="57" s="1"/>
  <c r="S119" i="57" s="1"/>
  <c r="S59" i="44"/>
  <c r="S59" i="57" s="1"/>
  <c r="S125" i="57" s="1"/>
  <c r="S21" i="44"/>
  <c r="S21" i="57" s="1"/>
  <c r="S87" i="57" s="1"/>
  <c r="S5" i="44"/>
  <c r="AB49" i="43"/>
  <c r="X49" i="57"/>
  <c r="X115" i="57" s="1"/>
  <c r="AB57" i="43"/>
  <c r="X57" i="57"/>
  <c r="X123" i="57" s="1"/>
  <c r="M15" i="59"/>
  <c r="M14" i="59"/>
  <c r="AB23" i="43"/>
  <c r="U27" i="57"/>
  <c r="U93" i="57" s="1"/>
  <c r="AB27" i="43"/>
  <c r="U35" i="57"/>
  <c r="U101" i="57" s="1"/>
  <c r="AB35" i="43"/>
  <c r="F15" i="59"/>
  <c r="F14" i="59"/>
  <c r="X55" i="57"/>
  <c r="X121" i="57" s="1"/>
  <c r="AB55" i="43"/>
  <c r="AB60" i="43"/>
  <c r="X60" i="57"/>
  <c r="X126" i="57" s="1"/>
  <c r="B15" i="59"/>
  <c r="B14" i="59"/>
  <c r="U38" i="57"/>
  <c r="U104" i="57" s="1"/>
  <c r="AB38" i="43"/>
  <c r="U13" i="57"/>
  <c r="U79" i="57" s="1"/>
  <c r="AB13" i="43"/>
  <c r="AB44" i="43"/>
  <c r="X44" i="57"/>
  <c r="X110" i="57" s="1"/>
  <c r="AB48" i="43"/>
  <c r="AB21" i="43"/>
  <c r="AB46" i="43"/>
  <c r="X46" i="57"/>
  <c r="X112" i="57" s="1"/>
  <c r="L14" i="59"/>
  <c r="L15" i="59"/>
  <c r="U9" i="57"/>
  <c r="U75" i="57" s="1"/>
  <c r="AB9" i="43"/>
  <c r="AB54" i="43"/>
  <c r="H11" i="59"/>
  <c r="H9" i="59"/>
  <c r="H7" i="59"/>
  <c r="H13" i="59" s="1"/>
  <c r="U24" i="57"/>
  <c r="U90" i="57" s="1"/>
  <c r="AB24" i="43"/>
  <c r="U53" i="57"/>
  <c r="U119" i="57" s="1"/>
  <c r="AB53" i="43"/>
  <c r="Q15" i="59"/>
  <c r="Q14" i="59"/>
  <c r="AB22" i="43"/>
  <c r="X22" i="57"/>
  <c r="X88" i="57" s="1"/>
  <c r="X51" i="57"/>
  <c r="X117" i="57" s="1"/>
  <c r="AB51" i="43"/>
  <c r="U37" i="57"/>
  <c r="U103" i="57" s="1"/>
  <c r="AB37" i="43"/>
  <c r="U10" i="57"/>
  <c r="U76" i="57" s="1"/>
  <c r="AB10" i="43"/>
  <c r="U39" i="57"/>
  <c r="U105" i="57" s="1"/>
  <c r="AB39" i="43"/>
  <c r="AB20" i="43"/>
  <c r="X20" i="57"/>
  <c r="X86" i="57" s="1"/>
  <c r="AB8" i="43"/>
  <c r="AB19" i="43"/>
  <c r="AA85" i="51"/>
  <c r="AA87" i="51"/>
  <c r="AG87" i="51" s="1"/>
  <c r="AA82" i="51"/>
  <c r="AA1736" i="51"/>
  <c r="AG1736" i="51" s="1"/>
  <c r="AA1745" i="51"/>
  <c r="AA1735" i="51"/>
  <c r="AG1735" i="51" s="1"/>
  <c r="AA824" i="52"/>
  <c r="AA842" i="52"/>
  <c r="AA846" i="52"/>
  <c r="AA850" i="52"/>
  <c r="AA2213" i="51"/>
  <c r="AA2201" i="51"/>
  <c r="AA1757" i="51"/>
  <c r="AA1750" i="51"/>
  <c r="AG1750" i="51" s="1"/>
  <c r="AA1758" i="51"/>
  <c r="AA825" i="52"/>
  <c r="AA853" i="52"/>
  <c r="AA857" i="52"/>
  <c r="AA861" i="52"/>
  <c r="AA2004" i="51"/>
  <c r="AA1944" i="51"/>
  <c r="AA1945" i="51"/>
  <c r="AG1945" i="51" s="1"/>
  <c r="AA1933" i="51"/>
  <c r="AA2005" i="51"/>
  <c r="AA1938" i="51"/>
  <c r="AA1954" i="51"/>
  <c r="AG1954" i="51" s="1"/>
  <c r="AA1931" i="51"/>
  <c r="AA1947" i="51"/>
  <c r="AA2007" i="51"/>
  <c r="AA46" i="52"/>
  <c r="AA143" i="51"/>
  <c r="AG143" i="51" s="1"/>
  <c r="AA167" i="51"/>
  <c r="AG167" i="51" s="1"/>
  <c r="AA48" i="52"/>
  <c r="AA72" i="52"/>
  <c r="AA71" i="52"/>
  <c r="AA145" i="51"/>
  <c r="AG145" i="51" s="1"/>
  <c r="AA169" i="51"/>
  <c r="AG169" i="51" s="1"/>
  <c r="AA67" i="52"/>
  <c r="AA141" i="51"/>
  <c r="AG141" i="51" s="1"/>
  <c r="AA165" i="51"/>
  <c r="AG165" i="51" s="1"/>
  <c r="AA45" i="52"/>
  <c r="AA76" i="51"/>
  <c r="AG76" i="51" s="1"/>
  <c r="AA93" i="51"/>
  <c r="AA95" i="51"/>
  <c r="AA89" i="51"/>
  <c r="AA1741" i="51"/>
  <c r="AG1741" i="51" s="1"/>
  <c r="AA1738" i="51"/>
  <c r="AA1737" i="51"/>
  <c r="AA1739" i="51"/>
  <c r="AA839" i="52"/>
  <c r="AA843" i="52"/>
  <c r="AA847" i="52"/>
  <c r="AA2209" i="51"/>
  <c r="AA2195" i="51"/>
  <c r="AG2195" i="51" s="1"/>
  <c r="AA1722" i="51"/>
  <c r="AA1756" i="51"/>
  <c r="AA1747" i="51"/>
  <c r="AA826" i="52"/>
  <c r="AA854" i="52"/>
  <c r="AA858" i="52"/>
  <c r="AA862" i="52"/>
  <c r="AA1956" i="51"/>
  <c r="AG1956" i="51" s="1"/>
  <c r="AA1948" i="51"/>
  <c r="AA1952" i="51"/>
  <c r="AG1952" i="51" s="1"/>
  <c r="AA1953" i="51"/>
  <c r="AA1941" i="51"/>
  <c r="L1941" i="55" s="1"/>
  <c r="O1941" i="55" s="1"/>
  <c r="AA2013" i="51"/>
  <c r="AA1942" i="51"/>
  <c r="AG1942" i="51" s="1"/>
  <c r="AA2002" i="51"/>
  <c r="AA1935" i="51"/>
  <c r="AG1935" i="51" s="1"/>
  <c r="AA1951" i="51"/>
  <c r="AA2011" i="51"/>
  <c r="AG2011" i="51" s="1"/>
  <c r="AA2182" i="51"/>
  <c r="AG2182" i="51" s="1"/>
  <c r="AA1009" i="52"/>
  <c r="AA2177" i="51"/>
  <c r="AG2177" i="51" s="1"/>
  <c r="AA1011" i="52"/>
  <c r="AA2184" i="51"/>
  <c r="AG2184" i="51" s="1"/>
  <c r="AA1016" i="52"/>
  <c r="AA70" i="52"/>
  <c r="AA146" i="51"/>
  <c r="AG146" i="51" s="1"/>
  <c r="AA170" i="51"/>
  <c r="AG170" i="51" s="1"/>
  <c r="AA49" i="52"/>
  <c r="AA73" i="52"/>
  <c r="AA136" i="51"/>
  <c r="AG136" i="51" s="1"/>
  <c r="AA160" i="51"/>
  <c r="AG160" i="51" s="1"/>
  <c r="AA42" i="52"/>
  <c r="AA38" i="52"/>
  <c r="AA144" i="51"/>
  <c r="AG144" i="51" s="1"/>
  <c r="AA168" i="51"/>
  <c r="AG168" i="51" s="1"/>
  <c r="AA68" i="52"/>
  <c r="AA1507" i="51"/>
  <c r="AA84" i="51"/>
  <c r="AG84" i="51" s="1"/>
  <c r="AA97" i="51"/>
  <c r="AA1746" i="51"/>
  <c r="AG1746" i="51" s="1"/>
  <c r="AA1744" i="51"/>
  <c r="AA1742" i="51"/>
  <c r="AA1743" i="51"/>
  <c r="AA840" i="52"/>
  <c r="AA844" i="52"/>
  <c r="AA848" i="52"/>
  <c r="AA2189" i="51"/>
  <c r="AA2211" i="51"/>
  <c r="L2211" i="55" s="1"/>
  <c r="O2211" i="55" s="1"/>
  <c r="AA1752" i="51"/>
  <c r="AA1749" i="51"/>
  <c r="AA1748" i="51"/>
  <c r="AA1751" i="51"/>
  <c r="AG1751" i="51" s="1"/>
  <c r="AA851" i="52"/>
  <c r="AA855" i="52"/>
  <c r="AA859" i="52"/>
  <c r="AA1932" i="51"/>
  <c r="L1932" i="55" s="1"/>
  <c r="O1932" i="55" s="1"/>
  <c r="AA2012" i="51"/>
  <c r="AA2008" i="51"/>
  <c r="AG2008" i="51" s="1"/>
  <c r="AA2001" i="51"/>
  <c r="AA1949" i="51"/>
  <c r="L1949" i="55" s="1"/>
  <c r="O1949" i="55" s="1"/>
  <c r="AA1930" i="51"/>
  <c r="AA1946" i="51"/>
  <c r="L1946" i="55" s="1"/>
  <c r="O1946" i="55" s="1"/>
  <c r="AA2006" i="51"/>
  <c r="AA1939" i="51"/>
  <c r="L1939" i="55" s="1"/>
  <c r="O1939" i="55" s="1"/>
  <c r="AA1955" i="51"/>
  <c r="AA2178" i="51"/>
  <c r="AG2178" i="51" s="1"/>
  <c r="AA1006" i="52"/>
  <c r="AA2181" i="51"/>
  <c r="AG2181" i="51" s="1"/>
  <c r="AA1015" i="52"/>
  <c r="AA2188" i="51"/>
  <c r="AG2188" i="51" s="1"/>
  <c r="AA2179" i="51"/>
  <c r="AG2179" i="51" s="1"/>
  <c r="AA137" i="51"/>
  <c r="AG137" i="51" s="1"/>
  <c r="AA161" i="51"/>
  <c r="AG161" i="51" s="1"/>
  <c r="AA40" i="52"/>
  <c r="AA64" i="52"/>
  <c r="AA47" i="52"/>
  <c r="AA139" i="51"/>
  <c r="AG139" i="51" s="1"/>
  <c r="AA163" i="51"/>
  <c r="AG163" i="51" s="1"/>
  <c r="AA43" i="52"/>
  <c r="AA62" i="52"/>
  <c r="AA147" i="51"/>
  <c r="AG147" i="51" s="1"/>
  <c r="AA171" i="51"/>
  <c r="AG171" i="51" s="1"/>
  <c r="AA69" i="52"/>
  <c r="AA1494" i="51"/>
  <c r="L1494" i="55" s="1"/>
  <c r="O1494" i="55" s="1"/>
  <c r="AA1516" i="51"/>
  <c r="AA1506" i="51"/>
  <c r="AG1506" i="51" s="1"/>
  <c r="AA1497" i="51"/>
  <c r="AA1518" i="51"/>
  <c r="L1518" i="55" s="1"/>
  <c r="O1518" i="55" s="1"/>
  <c r="AA1509" i="51"/>
  <c r="AA1495" i="51"/>
  <c r="AG1495" i="51" s="1"/>
  <c r="AA1511" i="51"/>
  <c r="AA1649" i="51"/>
  <c r="AG1649" i="51" s="1"/>
  <c r="AA1670" i="51"/>
  <c r="AG1670" i="51" s="1"/>
  <c r="AA1656" i="51"/>
  <c r="AG1656" i="51" s="1"/>
  <c r="AA1677" i="51"/>
  <c r="AG1677" i="51" s="1"/>
  <c r="AA1662" i="51"/>
  <c r="AG1662" i="51" s="1"/>
  <c r="AA1648" i="51"/>
  <c r="AG1648" i="51" s="1"/>
  <c r="AA1669" i="51"/>
  <c r="AG1669" i="51" s="1"/>
  <c r="AA749" i="52"/>
  <c r="AA753" i="52"/>
  <c r="AA757" i="52"/>
  <c r="AA761" i="52"/>
  <c r="AA765" i="52"/>
  <c r="AA769" i="52"/>
  <c r="AA773" i="52"/>
  <c r="AA777" i="52"/>
  <c r="AA781" i="52"/>
  <c r="AA1647" i="51"/>
  <c r="AG1647" i="51" s="1"/>
  <c r="AA1663" i="51"/>
  <c r="AG1663" i="51" s="1"/>
  <c r="AA1679" i="51"/>
  <c r="AG1679" i="51" s="1"/>
  <c r="AA1500" i="51"/>
  <c r="AA1490" i="51"/>
  <c r="L1490" i="55" s="1"/>
  <c r="O1490" i="55" s="1"/>
  <c r="AA1512" i="51"/>
  <c r="AA1502" i="51"/>
  <c r="AA1493" i="51"/>
  <c r="AA1514" i="51"/>
  <c r="L1514" i="55" s="1"/>
  <c r="O1514" i="55" s="1"/>
  <c r="AA1499" i="51"/>
  <c r="AA1515" i="51"/>
  <c r="AA1654" i="51"/>
  <c r="AG1654" i="51" s="1"/>
  <c r="AA1676" i="51"/>
  <c r="AG1676" i="51" s="1"/>
  <c r="AA1661" i="51"/>
  <c r="AG1661" i="51" s="1"/>
  <c r="AA1646" i="51"/>
  <c r="AG1646" i="51" s="1"/>
  <c r="AA1668" i="51"/>
  <c r="AG1668" i="51" s="1"/>
  <c r="AA1653" i="51"/>
  <c r="AG1653" i="51" s="1"/>
  <c r="AA1674" i="51"/>
  <c r="AG1674" i="51" s="1"/>
  <c r="AA750" i="52"/>
  <c r="AA754" i="52"/>
  <c r="AA758" i="52"/>
  <c r="AA762" i="52"/>
  <c r="AA766" i="52"/>
  <c r="AA770" i="52"/>
  <c r="AA774" i="52"/>
  <c r="AA778" i="52"/>
  <c r="AA782" i="52"/>
  <c r="AA1651" i="51"/>
  <c r="AG1651" i="51" s="1"/>
  <c r="AA1667" i="51"/>
  <c r="AG1667" i="51" s="1"/>
  <c r="U32" i="58"/>
  <c r="U77" i="58" s="1"/>
  <c r="U21" i="58"/>
  <c r="U66" i="58" s="1"/>
  <c r="U5" i="58"/>
  <c r="U50" i="58" s="1"/>
  <c r="AA1505" i="51"/>
  <c r="AG1505" i="51" s="1"/>
  <c r="AA1496" i="51"/>
  <c r="AA1517" i="51"/>
  <c r="AA1508" i="51"/>
  <c r="AA1498" i="51"/>
  <c r="AG1498" i="51" s="1"/>
  <c r="AA1520" i="51"/>
  <c r="AA1503" i="51"/>
  <c r="AA1519" i="51"/>
  <c r="AA1660" i="51"/>
  <c r="AG1660" i="51" s="1"/>
  <c r="AA1645" i="51"/>
  <c r="AG1645" i="51" s="1"/>
  <c r="AA1666" i="51"/>
  <c r="AG1666" i="51" s="1"/>
  <c r="AA1652" i="51"/>
  <c r="AG1652" i="51" s="1"/>
  <c r="AA1673" i="51"/>
  <c r="AG1673" i="51" s="1"/>
  <c r="AA1658" i="51"/>
  <c r="AG1658" i="51" s="1"/>
  <c r="AA747" i="52"/>
  <c r="AA751" i="52"/>
  <c r="AA755" i="52"/>
  <c r="AA759" i="52"/>
  <c r="AA763" i="52"/>
  <c r="AA767" i="52"/>
  <c r="AA771" i="52"/>
  <c r="AA775" i="52"/>
  <c r="AA779" i="52"/>
  <c r="AA783" i="52"/>
  <c r="AA1655" i="51"/>
  <c r="AG1655" i="51" s="1"/>
  <c r="AA1671" i="51"/>
  <c r="AG1671" i="51" s="1"/>
  <c r="AA1489" i="51"/>
  <c r="AG1489" i="51" s="1"/>
  <c r="AA1510" i="51"/>
  <c r="AA1501" i="51"/>
  <c r="AG1501" i="51" s="1"/>
  <c r="AA1492" i="51"/>
  <c r="AG1492" i="51" s="1"/>
  <c r="AA1513" i="51"/>
  <c r="AG1513" i="51" s="1"/>
  <c r="AA1504" i="51"/>
  <c r="AA1491" i="51"/>
  <c r="AG1491" i="51" s="1"/>
  <c r="AA1644" i="51"/>
  <c r="AG1644" i="51" s="1"/>
  <c r="AA1665" i="51"/>
  <c r="AG1665" i="51" s="1"/>
  <c r="AA1650" i="51"/>
  <c r="AG1650" i="51" s="1"/>
  <c r="AA1672" i="51"/>
  <c r="AG1672" i="51" s="1"/>
  <c r="AA1657" i="51"/>
  <c r="AG1657" i="51" s="1"/>
  <c r="AA1678" i="51"/>
  <c r="AG1678" i="51" s="1"/>
  <c r="AA1664" i="51"/>
  <c r="AG1664" i="51" s="1"/>
  <c r="AA748" i="52"/>
  <c r="AA752" i="52"/>
  <c r="AA756" i="52"/>
  <c r="AA760" i="52"/>
  <c r="AA764" i="52"/>
  <c r="AA768" i="52"/>
  <c r="AA772" i="52"/>
  <c r="AA776" i="52"/>
  <c r="AA780" i="52"/>
  <c r="AA1643" i="51"/>
  <c r="AG1643" i="51" s="1"/>
  <c r="AA1659" i="51"/>
  <c r="AG1659" i="51" s="1"/>
  <c r="U9" i="58"/>
  <c r="U54" i="58" s="1"/>
  <c r="U16" i="58"/>
  <c r="U61" i="58" s="1"/>
  <c r="U10" i="58"/>
  <c r="U55" i="58" s="1"/>
  <c r="AA2197" i="51"/>
  <c r="AG2197" i="51" s="1"/>
  <c r="AA2193" i="51"/>
  <c r="AA2194" i="51"/>
  <c r="L2194" i="55" s="1"/>
  <c r="O2194" i="55" s="1"/>
  <c r="AA2216" i="51"/>
  <c r="AA2206" i="51"/>
  <c r="AA2199" i="51"/>
  <c r="AA2215" i="51"/>
  <c r="AG2215" i="51" s="1"/>
  <c r="AA1430" i="51"/>
  <c r="AA1452" i="51"/>
  <c r="AA1442" i="51"/>
  <c r="AA1433" i="51"/>
  <c r="AG1433" i="51" s="1"/>
  <c r="AA1454" i="51"/>
  <c r="AA1450" i="51"/>
  <c r="AA1439" i="51"/>
  <c r="AA1455" i="51"/>
  <c r="AG1455" i="51" s="1"/>
  <c r="AA2192" i="51"/>
  <c r="AA2208" i="51"/>
  <c r="AG2208" i="51" s="1"/>
  <c r="AA2204" i="51"/>
  <c r="AG2204" i="51" s="1"/>
  <c r="AA2200" i="51"/>
  <c r="AG2200" i="51" s="1"/>
  <c r="AA2190" i="51"/>
  <c r="AA2212" i="51"/>
  <c r="AG2212" i="51" s="1"/>
  <c r="AA2203" i="51"/>
  <c r="AG2203" i="51" s="1"/>
  <c r="AA1436" i="51"/>
  <c r="AG1436" i="51" s="1"/>
  <c r="AA1457" i="51"/>
  <c r="AA1448" i="51"/>
  <c r="AA1438" i="51"/>
  <c r="L1438" i="55" s="1"/>
  <c r="O1438" i="55" s="1"/>
  <c r="AA1434" i="51"/>
  <c r="AG1434" i="51" s="1"/>
  <c r="AA1456" i="51"/>
  <c r="AA1443" i="51"/>
  <c r="AA1459" i="51"/>
  <c r="L1459" i="55" s="1"/>
  <c r="O1459" i="55" s="1"/>
  <c r="K9" i="60"/>
  <c r="K11" i="60"/>
  <c r="M11" i="60" s="1"/>
  <c r="AA2202" i="51"/>
  <c r="AG2202" i="51" s="1"/>
  <c r="AA2198" i="51"/>
  <c r="AA2214" i="51"/>
  <c r="AG2214" i="51" s="1"/>
  <c r="AA2205" i="51"/>
  <c r="AA2196" i="51"/>
  <c r="AG2196" i="51" s="1"/>
  <c r="AA2191" i="51"/>
  <c r="AA2207" i="51"/>
  <c r="AG2207" i="51" s="1"/>
  <c r="AA1441" i="51"/>
  <c r="AA1432" i="51"/>
  <c r="L1432" i="55" s="1"/>
  <c r="O1432" i="55" s="1"/>
  <c r="AA1453" i="51"/>
  <c r="AA1444" i="51"/>
  <c r="L1444" i="55" s="1"/>
  <c r="O1444" i="55" s="1"/>
  <c r="AA1440" i="51"/>
  <c r="AA1431" i="51"/>
  <c r="AG1431" i="51" s="1"/>
  <c r="AA1447" i="51"/>
  <c r="AG1447" i="51" s="1"/>
  <c r="AG1980" i="51"/>
  <c r="L1980" i="55"/>
  <c r="O1980" i="55" s="1"/>
  <c r="AG2025" i="51"/>
  <c r="AG1986" i="51"/>
  <c r="L1986" i="55"/>
  <c r="O1986" i="55" s="1"/>
  <c r="AG1987" i="51"/>
  <c r="L1987" i="55"/>
  <c r="O1987" i="55" s="1"/>
  <c r="AG82" i="51"/>
  <c r="L82" i="55"/>
  <c r="O82" i="55" s="1"/>
  <c r="AG379" i="51"/>
  <c r="L379" i="55"/>
  <c r="O379" i="55" s="1"/>
  <c r="AG537" i="51"/>
  <c r="L537" i="55"/>
  <c r="O537" i="55" s="1"/>
  <c r="AG899" i="51"/>
  <c r="L899" i="55"/>
  <c r="O899" i="55" s="1"/>
  <c r="AG1172" i="51"/>
  <c r="L1172" i="55"/>
  <c r="O1172" i="55" s="1"/>
  <c r="AG491" i="51"/>
  <c r="L491" i="55"/>
  <c r="O491" i="55" s="1"/>
  <c r="AG845" i="51"/>
  <c r="L845" i="55"/>
  <c r="O845" i="55" s="1"/>
  <c r="AG1089" i="51"/>
  <c r="L1089" i="55"/>
  <c r="O1089" i="55" s="1"/>
  <c r="AG393" i="51"/>
  <c r="L393" i="55"/>
  <c r="O393" i="55" s="1"/>
  <c r="AG540" i="51"/>
  <c r="L540" i="55"/>
  <c r="O540" i="55" s="1"/>
  <c r="AG902" i="51"/>
  <c r="L902" i="55"/>
  <c r="O902" i="55" s="1"/>
  <c r="AG382" i="51"/>
  <c r="L382" i="55"/>
  <c r="O382" i="55" s="1"/>
  <c r="AG531" i="51"/>
  <c r="L531" i="55"/>
  <c r="O531" i="55" s="1"/>
  <c r="AG865" i="51"/>
  <c r="L865" i="55"/>
  <c r="O865" i="55" s="1"/>
  <c r="AG1166" i="51"/>
  <c r="L1166" i="55"/>
  <c r="O1166" i="55" s="1"/>
  <c r="AG542" i="51"/>
  <c r="L542" i="55"/>
  <c r="O542" i="55" s="1"/>
  <c r="AG864" i="51"/>
  <c r="L864" i="55"/>
  <c r="O864" i="55" s="1"/>
  <c r="AG1087" i="51"/>
  <c r="L1087" i="55"/>
  <c r="O1087" i="55" s="1"/>
  <c r="AG1740" i="51"/>
  <c r="L1740" i="55"/>
  <c r="O1740" i="55" s="1"/>
  <c r="AG1462" i="51"/>
  <c r="L1462" i="55"/>
  <c r="O1462" i="55" s="1"/>
  <c r="AG1471" i="51"/>
  <c r="L1471" i="55"/>
  <c r="O1471" i="55" s="1"/>
  <c r="AG2199" i="51"/>
  <c r="L2199" i="55"/>
  <c r="O2199" i="55" s="1"/>
  <c r="AG978" i="51"/>
  <c r="L978" i="55"/>
  <c r="O978" i="55" s="1"/>
  <c r="AG362" i="51"/>
  <c r="L362" i="55"/>
  <c r="O362" i="55" s="1"/>
  <c r="AG517" i="51"/>
  <c r="AG966" i="51"/>
  <c r="L966" i="55"/>
  <c r="O966" i="55" s="1"/>
  <c r="AG347" i="51"/>
  <c r="L347" i="55"/>
  <c r="O347" i="55" s="1"/>
  <c r="AG466" i="51"/>
  <c r="L466" i="55"/>
  <c r="O466" i="55" s="1"/>
  <c r="AG776" i="51"/>
  <c r="AG1096" i="51"/>
  <c r="L1096" i="55"/>
  <c r="O1096" i="55" s="1"/>
  <c r="AG451" i="51"/>
  <c r="L451" i="55"/>
  <c r="O451" i="55" s="1"/>
  <c r="AG745" i="51"/>
  <c r="L745" i="55"/>
  <c r="O745" i="55" s="1"/>
  <c r="AG983" i="51"/>
  <c r="L983" i="55"/>
  <c r="O983" i="55" s="1"/>
  <c r="L552" i="55"/>
  <c r="O552" i="55" s="1"/>
  <c r="L557" i="55"/>
  <c r="O557" i="55" s="1"/>
  <c r="L555" i="55"/>
  <c r="O555" i="55" s="1"/>
  <c r="AG783" i="51"/>
  <c r="L783" i="55"/>
  <c r="O783" i="55" s="1"/>
  <c r="AG1006" i="51"/>
  <c r="L1006" i="55"/>
  <c r="O1006" i="55" s="1"/>
  <c r="AG1732" i="51"/>
  <c r="L1732" i="55"/>
  <c r="O1732" i="55" s="1"/>
  <c r="L1447" i="55"/>
  <c r="O1447" i="55" s="1"/>
  <c r="AG1916" i="51"/>
  <c r="L1916" i="55"/>
  <c r="O1916" i="55" s="1"/>
  <c r="AG1901" i="51"/>
  <c r="L1901" i="55"/>
  <c r="AG1910" i="51"/>
  <c r="L1910" i="55"/>
  <c r="O1910" i="55" s="1"/>
  <c r="AG1919" i="51"/>
  <c r="L1919" i="55"/>
  <c r="O1919" i="55" s="1"/>
  <c r="AG1748" i="51"/>
  <c r="L1748" i="55"/>
  <c r="O1748" i="55" s="1"/>
  <c r="AG1504" i="51"/>
  <c r="L1504" i="55"/>
  <c r="O1504" i="55" s="1"/>
  <c r="AG1507" i="51"/>
  <c r="L1507" i="55"/>
  <c r="O1507" i="55" s="1"/>
  <c r="AG2076" i="51"/>
  <c r="L2076" i="55"/>
  <c r="O2076" i="55" s="1"/>
  <c r="AG2096" i="51"/>
  <c r="L2096" i="55"/>
  <c r="O2096" i="55" s="1"/>
  <c r="AG2033" i="51"/>
  <c r="L2033" i="55"/>
  <c r="O2033" i="55" s="1"/>
  <c r="AG2129" i="51"/>
  <c r="L2129" i="55"/>
  <c r="O2129" i="55" s="1"/>
  <c r="AG2061" i="51"/>
  <c r="L2061" i="55"/>
  <c r="O2061" i="55" s="1"/>
  <c r="AG2125" i="51"/>
  <c r="L2125" i="55"/>
  <c r="O2125" i="55" s="1"/>
  <c r="AG2046" i="51"/>
  <c r="L2046" i="55"/>
  <c r="O2046" i="55" s="1"/>
  <c r="AG2110" i="51"/>
  <c r="L2110" i="55"/>
  <c r="O2110" i="55" s="1"/>
  <c r="AG2158" i="51"/>
  <c r="L2158" i="55"/>
  <c r="O2158" i="55" s="1"/>
  <c r="AG2047" i="51"/>
  <c r="L2047" i="55"/>
  <c r="O2047" i="55" s="1"/>
  <c r="AG2095" i="51"/>
  <c r="L2095" i="55"/>
  <c r="O2095" i="55" s="1"/>
  <c r="AG2143" i="51"/>
  <c r="L2143" i="55"/>
  <c r="O2143" i="55" s="1"/>
  <c r="AG1953" i="51"/>
  <c r="L1953" i="55"/>
  <c r="O1953" i="55" s="1"/>
  <c r="AG1951" i="51"/>
  <c r="L1951" i="55"/>
  <c r="O1951" i="55" s="1"/>
  <c r="AG1548" i="51"/>
  <c r="L1548" i="55"/>
  <c r="O1548" i="55" s="1"/>
  <c r="AG1565" i="51"/>
  <c r="L1565" i="55"/>
  <c r="O1565" i="55" s="1"/>
  <c r="AG1536" i="51"/>
  <c r="L1536" i="55"/>
  <c r="O1536" i="55" s="1"/>
  <c r="AG1539" i="51"/>
  <c r="L1539" i="55"/>
  <c r="O1539" i="55" s="1"/>
  <c r="AG2020" i="51"/>
  <c r="L2020" i="55"/>
  <c r="O2020" i="55" s="1"/>
  <c r="AG1960" i="51"/>
  <c r="L1960" i="55"/>
  <c r="O1960" i="55" s="1"/>
  <c r="AG2016" i="51"/>
  <c r="L2016" i="55"/>
  <c r="O2016" i="55" s="1"/>
  <c r="AG1965" i="51"/>
  <c r="L1965" i="55"/>
  <c r="O1965" i="55" s="1"/>
  <c r="AG1958" i="51"/>
  <c r="L1958" i="55"/>
  <c r="O1958" i="55" s="1"/>
  <c r="AG1974" i="51"/>
  <c r="L1974" i="55"/>
  <c r="O1974" i="55" s="1"/>
  <c r="AG2014" i="51"/>
  <c r="L2014" i="55"/>
  <c r="O2014" i="55" s="1"/>
  <c r="L1959" i="55"/>
  <c r="O1959" i="55" s="1"/>
  <c r="AG1975" i="51"/>
  <c r="L1975" i="55"/>
  <c r="O1975" i="55" s="1"/>
  <c r="AG2015" i="51"/>
  <c r="L2015" i="55"/>
  <c r="O2015" i="55" s="1"/>
  <c r="AG78" i="51"/>
  <c r="L78" i="55"/>
  <c r="O78" i="55" s="1"/>
  <c r="AG89" i="51"/>
  <c r="L89" i="55"/>
  <c r="O89" i="55" s="1"/>
  <c r="AG387" i="51"/>
  <c r="L387" i="55"/>
  <c r="O387" i="55" s="1"/>
  <c r="AG395" i="51"/>
  <c r="L395" i="55"/>
  <c r="O395" i="55" s="1"/>
  <c r="AG477" i="51"/>
  <c r="L477" i="55"/>
  <c r="O477" i="55" s="1"/>
  <c r="AG495" i="51"/>
  <c r="L495" i="55"/>
  <c r="O495" i="55" s="1"/>
  <c r="AG543" i="51"/>
  <c r="L543" i="55"/>
  <c r="O543" i="55" s="1"/>
  <c r="AG836" i="51"/>
  <c r="L836" i="55"/>
  <c r="O836" i="55" s="1"/>
  <c r="AG861" i="51"/>
  <c r="L861" i="55"/>
  <c r="O861" i="55" s="1"/>
  <c r="AG905" i="51"/>
  <c r="L905" i="55"/>
  <c r="O905" i="55" s="1"/>
  <c r="AG1073" i="51"/>
  <c r="L1073" i="55"/>
  <c r="O1073" i="55" s="1"/>
  <c r="AG1156" i="51"/>
  <c r="L1156" i="55"/>
  <c r="O1156" i="55" s="1"/>
  <c r="AG375" i="51"/>
  <c r="L375" i="55"/>
  <c r="O375" i="55" s="1"/>
  <c r="AG392" i="51"/>
  <c r="L392" i="55"/>
  <c r="O392" i="55" s="1"/>
  <c r="AG478" i="51"/>
  <c r="L478" i="55"/>
  <c r="O478" i="55" s="1"/>
  <c r="AG496" i="51"/>
  <c r="L496" i="55"/>
  <c r="O496" i="55" s="1"/>
  <c r="AG539" i="51"/>
  <c r="L539" i="55"/>
  <c r="O539" i="55" s="1"/>
  <c r="AG851" i="51"/>
  <c r="L851" i="55"/>
  <c r="O851" i="55" s="1"/>
  <c r="AG895" i="51"/>
  <c r="L895" i="55"/>
  <c r="O895" i="55" s="1"/>
  <c r="AG1068" i="51"/>
  <c r="L1068" i="55"/>
  <c r="O1068" i="55" s="1"/>
  <c r="AG1147" i="51"/>
  <c r="L1147" i="55"/>
  <c r="O1147" i="55" s="1"/>
  <c r="AG1168" i="51"/>
  <c r="L1168" i="55"/>
  <c r="O1168" i="55" s="1"/>
  <c r="AG381" i="51"/>
  <c r="L381" i="55"/>
  <c r="O381" i="55" s="1"/>
  <c r="AG397" i="51"/>
  <c r="L397" i="55"/>
  <c r="O397" i="55" s="1"/>
  <c r="AG484" i="51"/>
  <c r="L484" i="55"/>
  <c r="O484" i="55" s="1"/>
  <c r="AG524" i="51"/>
  <c r="L524" i="55"/>
  <c r="O524" i="55" s="1"/>
  <c r="AG545" i="51"/>
  <c r="L545" i="55"/>
  <c r="O545" i="55" s="1"/>
  <c r="AG840" i="51"/>
  <c r="L840" i="55"/>
  <c r="O840" i="55" s="1"/>
  <c r="AG863" i="51"/>
  <c r="L863" i="55"/>
  <c r="O863" i="55" s="1"/>
  <c r="AG1056" i="51"/>
  <c r="L1056" i="55"/>
  <c r="O1056" i="55" s="1"/>
  <c r="AG1084" i="51"/>
  <c r="L1084" i="55"/>
  <c r="O1084" i="55" s="1"/>
  <c r="AG1159" i="51"/>
  <c r="L1159" i="55"/>
  <c r="O1159" i="55" s="1"/>
  <c r="AG386" i="51"/>
  <c r="L386" i="55"/>
  <c r="O386" i="55" s="1"/>
  <c r="AG402" i="51"/>
  <c r="L402" i="55"/>
  <c r="O402" i="55" s="1"/>
  <c r="AG489" i="51"/>
  <c r="L489" i="55"/>
  <c r="O489" i="55" s="1"/>
  <c r="AG536" i="51"/>
  <c r="L536" i="55"/>
  <c r="O536" i="55" s="1"/>
  <c r="AG849" i="51"/>
  <c r="L849" i="55"/>
  <c r="O849" i="55" s="1"/>
  <c r="AG898" i="51"/>
  <c r="L898" i="55"/>
  <c r="O898" i="55" s="1"/>
  <c r="AG1064" i="51"/>
  <c r="L1064" i="55"/>
  <c r="O1064" i="55" s="1"/>
  <c r="AG1150" i="51"/>
  <c r="L1150" i="55"/>
  <c r="O1150" i="55" s="1"/>
  <c r="AG1171" i="51"/>
  <c r="L1171" i="55"/>
  <c r="O1171" i="55" s="1"/>
  <c r="AG530" i="51"/>
  <c r="L530" i="55"/>
  <c r="O530" i="55" s="1"/>
  <c r="AG546" i="51"/>
  <c r="L546" i="55"/>
  <c r="O546" i="55" s="1"/>
  <c r="AG832" i="51"/>
  <c r="L832" i="55"/>
  <c r="O832" i="55" s="1"/>
  <c r="AG852" i="51"/>
  <c r="L852" i="55"/>
  <c r="O852" i="55" s="1"/>
  <c r="AG868" i="51"/>
  <c r="L868" i="55"/>
  <c r="O868" i="55" s="1"/>
  <c r="AG1049" i="51"/>
  <c r="L1049" i="55"/>
  <c r="O1049" i="55" s="1"/>
  <c r="AG1070" i="51"/>
  <c r="L1070" i="55"/>
  <c r="O1070" i="55" s="1"/>
  <c r="AG1091" i="51"/>
  <c r="L1091" i="55"/>
  <c r="O1091" i="55" s="1"/>
  <c r="AG1161" i="51"/>
  <c r="L1161" i="55"/>
  <c r="O1161" i="55" s="1"/>
  <c r="AG1745" i="51"/>
  <c r="L1745" i="55"/>
  <c r="O1745" i="55" s="1"/>
  <c r="AG1468" i="51"/>
  <c r="L1468" i="55"/>
  <c r="O1468" i="55" s="1"/>
  <c r="AG1464" i="51"/>
  <c r="L1464" i="55"/>
  <c r="O1464" i="55" s="1"/>
  <c r="AG1485" i="51"/>
  <c r="L1485" i="55"/>
  <c r="O1485" i="55" s="1"/>
  <c r="L1476" i="55"/>
  <c r="O1476" i="55" s="1"/>
  <c r="AG1466" i="51"/>
  <c r="L1466" i="55"/>
  <c r="O1466" i="55" s="1"/>
  <c r="AG1488" i="51"/>
  <c r="L1488" i="55"/>
  <c r="O1488" i="55" s="1"/>
  <c r="AG1475" i="51"/>
  <c r="L1475" i="55"/>
  <c r="O1475" i="55" s="1"/>
  <c r="AG2192" i="51"/>
  <c r="L2192" i="55"/>
  <c r="O2192" i="55" s="1"/>
  <c r="L2204" i="55"/>
  <c r="O2204" i="55" s="1"/>
  <c r="AG2190" i="51"/>
  <c r="L2190" i="55"/>
  <c r="O2190" i="55" s="1"/>
  <c r="AG353" i="51"/>
  <c r="L353" i="55"/>
  <c r="O353" i="55" s="1"/>
  <c r="AG349" i="51"/>
  <c r="L349" i="55"/>
  <c r="O349" i="55" s="1"/>
  <c r="AG464" i="51"/>
  <c r="L464" i="55"/>
  <c r="O464" i="55" s="1"/>
  <c r="AG516" i="51"/>
  <c r="L516" i="55"/>
  <c r="O516" i="55" s="1"/>
  <c r="AG768" i="51"/>
  <c r="L768" i="55"/>
  <c r="O768" i="55" s="1"/>
  <c r="AG871" i="51"/>
  <c r="AG986" i="51"/>
  <c r="L986" i="55"/>
  <c r="O986" i="55" s="1"/>
  <c r="AG1093" i="51"/>
  <c r="L1093" i="55"/>
  <c r="O1093" i="55" s="1"/>
  <c r="AG1114" i="51"/>
  <c r="L1114" i="55"/>
  <c r="O1114" i="55" s="1"/>
  <c r="AG350" i="51"/>
  <c r="L350" i="55"/>
  <c r="O350" i="55" s="1"/>
  <c r="AG366" i="51"/>
  <c r="L366" i="55"/>
  <c r="O366" i="55" s="1"/>
  <c r="AG453" i="51"/>
  <c r="AG501" i="51"/>
  <c r="L501" i="55"/>
  <c r="O501" i="55" s="1"/>
  <c r="AG764" i="51"/>
  <c r="L764" i="55"/>
  <c r="O764" i="55" s="1"/>
  <c r="AG785" i="51"/>
  <c r="L785" i="55"/>
  <c r="O785" i="55" s="1"/>
  <c r="AG973" i="51"/>
  <c r="L973" i="55"/>
  <c r="O973" i="55" s="1"/>
  <c r="AG1105" i="51"/>
  <c r="L1105" i="55"/>
  <c r="O1105" i="55" s="1"/>
  <c r="AG367" i="51"/>
  <c r="L367" i="55"/>
  <c r="O367" i="55" s="1"/>
  <c r="AG454" i="51"/>
  <c r="L454" i="55"/>
  <c r="O454" i="55" s="1"/>
  <c r="AG503" i="51"/>
  <c r="L503" i="55"/>
  <c r="O503" i="55" s="1"/>
  <c r="AG781" i="51"/>
  <c r="L781" i="55"/>
  <c r="O781" i="55" s="1"/>
  <c r="AG997" i="51"/>
  <c r="AG1101" i="51"/>
  <c r="L1101" i="55"/>
  <c r="O1101" i="55" s="1"/>
  <c r="AG352" i="51"/>
  <c r="AG368" i="51"/>
  <c r="L368" i="55"/>
  <c r="O368" i="55" s="1"/>
  <c r="AG455" i="51"/>
  <c r="L455" i="55"/>
  <c r="O455" i="55" s="1"/>
  <c r="AG499" i="51"/>
  <c r="L499" i="55"/>
  <c r="O499" i="55" s="1"/>
  <c r="AG520" i="51"/>
  <c r="AG777" i="51"/>
  <c r="L777" i="55"/>
  <c r="O777" i="55" s="1"/>
  <c r="AG881" i="51"/>
  <c r="L881" i="55"/>
  <c r="O881" i="55" s="1"/>
  <c r="AG991" i="51"/>
  <c r="L991" i="55"/>
  <c r="O991" i="55" s="1"/>
  <c r="AG1118" i="51"/>
  <c r="L1118" i="55"/>
  <c r="O1118" i="55" s="1"/>
  <c r="AG752" i="51"/>
  <c r="L752" i="55"/>
  <c r="O752" i="55" s="1"/>
  <c r="AG787" i="51"/>
  <c r="L787" i="55"/>
  <c r="O787" i="55" s="1"/>
  <c r="AG968" i="51"/>
  <c r="L968" i="55"/>
  <c r="O968" i="55" s="1"/>
  <c r="AG990" i="51"/>
  <c r="L990" i="55"/>
  <c r="O990" i="55" s="1"/>
  <c r="AG1111" i="51"/>
  <c r="L1111" i="55"/>
  <c r="O1111" i="55" s="1"/>
  <c r="AG1730" i="51"/>
  <c r="L1730" i="55"/>
  <c r="O1730" i="55" s="1"/>
  <c r="AG1724" i="51"/>
  <c r="L1724" i="55"/>
  <c r="O1724" i="55" s="1"/>
  <c r="AG1723" i="51"/>
  <c r="L1723" i="55"/>
  <c r="O1723" i="55" s="1"/>
  <c r="AG1446" i="51"/>
  <c r="L1446" i="55"/>
  <c r="O1446" i="55" s="1"/>
  <c r="AG1437" i="51"/>
  <c r="L1437" i="55"/>
  <c r="O1437" i="55" s="1"/>
  <c r="AG1458" i="51"/>
  <c r="L1458" i="55"/>
  <c r="O1458" i="55" s="1"/>
  <c r="AG1449" i="51"/>
  <c r="L1449" i="55"/>
  <c r="O1449" i="55" s="1"/>
  <c r="AG1445" i="51"/>
  <c r="L1445" i="55"/>
  <c r="O1445" i="55" s="1"/>
  <c r="AG1435" i="51"/>
  <c r="L1435" i="55"/>
  <c r="O1435" i="55" s="1"/>
  <c r="AG1451" i="51"/>
  <c r="L1451" i="55"/>
  <c r="O1451" i="55" s="1"/>
  <c r="AG1988" i="51"/>
  <c r="L1988" i="55"/>
  <c r="O1988" i="55" s="1"/>
  <c r="AG1904" i="51"/>
  <c r="L1904" i="55"/>
  <c r="O1904" i="55" s="1"/>
  <c r="AG1992" i="51"/>
  <c r="L1992" i="55"/>
  <c r="O1992" i="55" s="1"/>
  <c r="AG1921" i="51"/>
  <c r="L1921" i="55"/>
  <c r="O1921" i="55" s="1"/>
  <c r="AG1909" i="51"/>
  <c r="L1909" i="55"/>
  <c r="O1909" i="55" s="1"/>
  <c r="AG1997" i="51"/>
  <c r="L1997" i="55"/>
  <c r="O1997" i="55" s="1"/>
  <c r="AG1914" i="51"/>
  <c r="L1914" i="55"/>
  <c r="O1914" i="55" s="1"/>
  <c r="AG1990" i="51"/>
  <c r="L1990" i="55"/>
  <c r="O1990" i="55" s="1"/>
  <c r="AG1907" i="51"/>
  <c r="L1907" i="55"/>
  <c r="O1907" i="55" s="1"/>
  <c r="AG1923" i="51"/>
  <c r="L1923" i="55"/>
  <c r="O1923" i="55" s="1"/>
  <c r="AG1999" i="51"/>
  <c r="L1999" i="55"/>
  <c r="O1999" i="55" s="1"/>
  <c r="AG1721" i="51"/>
  <c r="L1721" i="55"/>
  <c r="O1721" i="55" s="1"/>
  <c r="AG1754" i="51"/>
  <c r="L1754" i="55"/>
  <c r="O1754" i="55" s="1"/>
  <c r="AG1753" i="51"/>
  <c r="L1753" i="55"/>
  <c r="O1753" i="55" s="1"/>
  <c r="AG1755" i="51"/>
  <c r="L1755" i="55"/>
  <c r="O1755" i="55" s="1"/>
  <c r="AG1494" i="51"/>
  <c r="AG1516" i="51"/>
  <c r="L1516" i="55"/>
  <c r="O1516" i="55" s="1"/>
  <c r="L1506" i="55"/>
  <c r="O1506" i="55" s="1"/>
  <c r="AG1497" i="51"/>
  <c r="L1497" i="55"/>
  <c r="O1497" i="55" s="1"/>
  <c r="AG1518" i="51"/>
  <c r="AG1509" i="51"/>
  <c r="L1509" i="55"/>
  <c r="O1509" i="55" s="1"/>
  <c r="AG1511" i="51"/>
  <c r="L1511" i="55"/>
  <c r="O1511" i="55" s="1"/>
  <c r="AG2084" i="51"/>
  <c r="L2084" i="55"/>
  <c r="O2084" i="55" s="1"/>
  <c r="AG2028" i="51"/>
  <c r="L2028" i="55"/>
  <c r="O2028" i="55" s="1"/>
  <c r="AG2156" i="51"/>
  <c r="L2156" i="55"/>
  <c r="O2156" i="55" s="1"/>
  <c r="AG2132" i="51"/>
  <c r="L2132" i="55"/>
  <c r="O2132" i="55" s="1"/>
  <c r="AG2108" i="51"/>
  <c r="L2108" i="55"/>
  <c r="O2108" i="55" s="1"/>
  <c r="AG2040" i="51"/>
  <c r="L2040" i="55"/>
  <c r="O2040" i="55" s="1"/>
  <c r="AG2072" i="51"/>
  <c r="L2072" i="55"/>
  <c r="O2072" i="55" s="1"/>
  <c r="AG2104" i="51"/>
  <c r="L2104" i="55"/>
  <c r="O2104" i="55" s="1"/>
  <c r="AG2136" i="51"/>
  <c r="L2136" i="55"/>
  <c r="O2136" i="55" s="1"/>
  <c r="AG2168" i="51"/>
  <c r="L2168" i="55"/>
  <c r="O2168" i="55" s="1"/>
  <c r="AG2041" i="51"/>
  <c r="L2041" i="55"/>
  <c r="O2041" i="55" s="1"/>
  <c r="AG2073" i="51"/>
  <c r="L2073" i="55"/>
  <c r="O2073" i="55" s="1"/>
  <c r="AG2105" i="51"/>
  <c r="L2105" i="55"/>
  <c r="O2105" i="55" s="1"/>
  <c r="AG2137" i="51"/>
  <c r="L2137" i="55"/>
  <c r="O2137" i="55" s="1"/>
  <c r="AG2169" i="51"/>
  <c r="L2169" i="55"/>
  <c r="O2169" i="55" s="1"/>
  <c r="AG2037" i="51"/>
  <c r="L2037" i="55"/>
  <c r="O2037" i="55" s="1"/>
  <c r="AG2069" i="51"/>
  <c r="L2069" i="55"/>
  <c r="O2069" i="55" s="1"/>
  <c r="AG2101" i="51"/>
  <c r="L2101" i="55"/>
  <c r="O2101" i="55" s="1"/>
  <c r="AG2133" i="51"/>
  <c r="L2133" i="55"/>
  <c r="O2133" i="55" s="1"/>
  <c r="AG2165" i="51"/>
  <c r="L2165" i="55"/>
  <c r="O2165" i="55" s="1"/>
  <c r="AG2034" i="51"/>
  <c r="L2034" i="55"/>
  <c r="O2034" i="55" s="1"/>
  <c r="AG2050" i="51"/>
  <c r="L2050" i="55"/>
  <c r="O2050" i="55" s="1"/>
  <c r="AG2066" i="51"/>
  <c r="L2066" i="55"/>
  <c r="O2066" i="55" s="1"/>
  <c r="AG2082" i="51"/>
  <c r="L2082" i="55"/>
  <c r="O2082" i="55" s="1"/>
  <c r="AG2098" i="51"/>
  <c r="L2098" i="55"/>
  <c r="O2098" i="55" s="1"/>
  <c r="AG2114" i="51"/>
  <c r="L2114" i="55"/>
  <c r="O2114" i="55" s="1"/>
  <c r="AG2130" i="51"/>
  <c r="L2130" i="55"/>
  <c r="O2130" i="55" s="1"/>
  <c r="AG2146" i="51"/>
  <c r="L2146" i="55"/>
  <c r="O2146" i="55" s="1"/>
  <c r="AG2162" i="51"/>
  <c r="L2162" i="55"/>
  <c r="O2162" i="55" s="1"/>
  <c r="AG2035" i="51"/>
  <c r="L2035" i="55"/>
  <c r="O2035" i="55" s="1"/>
  <c r="AG2051" i="51"/>
  <c r="L2051" i="55"/>
  <c r="O2051" i="55" s="1"/>
  <c r="AG2067" i="51"/>
  <c r="L2067" i="55"/>
  <c r="O2067" i="55" s="1"/>
  <c r="AG2083" i="51"/>
  <c r="L2083" i="55"/>
  <c r="O2083" i="55" s="1"/>
  <c r="AG2099" i="51"/>
  <c r="L2099" i="55"/>
  <c r="O2099" i="55" s="1"/>
  <c r="AG2115" i="51"/>
  <c r="L2115" i="55"/>
  <c r="O2115" i="55" s="1"/>
  <c r="AG2131" i="51"/>
  <c r="L2131" i="55"/>
  <c r="O2131" i="55" s="1"/>
  <c r="AG2147" i="51"/>
  <c r="L2147" i="55"/>
  <c r="O2147" i="55" s="1"/>
  <c r="AG2163" i="51"/>
  <c r="L2163" i="55"/>
  <c r="O2163" i="55" s="1"/>
  <c r="AG1932" i="51"/>
  <c r="AG2012" i="51"/>
  <c r="L2012" i="55"/>
  <c r="O2012" i="55" s="1"/>
  <c r="AG2001" i="51"/>
  <c r="L2001" i="55"/>
  <c r="O2001" i="55" s="1"/>
  <c r="AG1949" i="51"/>
  <c r="AG1930" i="51"/>
  <c r="L1930" i="55"/>
  <c r="O1930" i="55" s="1"/>
  <c r="AG1946" i="51"/>
  <c r="AG2006" i="51"/>
  <c r="L2006" i="55"/>
  <c r="O2006" i="55" s="1"/>
  <c r="AG1939" i="51"/>
  <c r="AG1955" i="51"/>
  <c r="L1955" i="55"/>
  <c r="O1955" i="55" s="1"/>
  <c r="AG1532" i="51"/>
  <c r="L1532" i="55"/>
  <c r="O1532" i="55" s="1"/>
  <c r="AG1553" i="51"/>
  <c r="L1553" i="55"/>
  <c r="O1553" i="55" s="1"/>
  <c r="AG1528" i="51"/>
  <c r="L1528" i="55"/>
  <c r="O1528" i="55" s="1"/>
  <c r="AG1549" i="51"/>
  <c r="L1549" i="55"/>
  <c r="O1549" i="55" s="1"/>
  <c r="AG1524" i="51"/>
  <c r="L1524" i="55"/>
  <c r="O1524" i="55" s="1"/>
  <c r="AG1545" i="51"/>
  <c r="L1545" i="55"/>
  <c r="O1545" i="55" s="1"/>
  <c r="AG1566" i="51"/>
  <c r="L1566" i="55"/>
  <c r="O1566" i="55" s="1"/>
  <c r="AG1541" i="51"/>
  <c r="L1541" i="55"/>
  <c r="O1541" i="55" s="1"/>
  <c r="AG1562" i="51"/>
  <c r="L1562" i="55"/>
  <c r="O1562" i="55" s="1"/>
  <c r="AG1527" i="51"/>
  <c r="L1527" i="55"/>
  <c r="O1527" i="55" s="1"/>
  <c r="AG1543" i="51"/>
  <c r="L1543" i="55"/>
  <c r="O1543" i="55" s="1"/>
  <c r="AG1559" i="51"/>
  <c r="L1559" i="55"/>
  <c r="O1559" i="55" s="1"/>
  <c r="AG1984" i="51"/>
  <c r="L1984" i="55"/>
  <c r="O1984" i="55" s="1"/>
  <c r="AG2021" i="51"/>
  <c r="L2021" i="55"/>
  <c r="O2021" i="55" s="1"/>
  <c r="AG2026" i="51"/>
  <c r="L2026" i="55"/>
  <c r="O2026" i="55" s="1"/>
  <c r="AG490" i="51"/>
  <c r="L490" i="55"/>
  <c r="O490" i="55" s="1"/>
  <c r="AG855" i="51"/>
  <c r="L855" i="55"/>
  <c r="O855" i="55" s="1"/>
  <c r="AG1151" i="51"/>
  <c r="L1151" i="55"/>
  <c r="O1151" i="55" s="1"/>
  <c r="AG472" i="51"/>
  <c r="L472" i="55"/>
  <c r="O472" i="55" s="1"/>
  <c r="AG1061" i="51"/>
  <c r="L1061" i="55"/>
  <c r="O1061" i="55" s="1"/>
  <c r="AG376" i="51"/>
  <c r="L376" i="55"/>
  <c r="O376" i="55" s="1"/>
  <c r="AG497" i="51"/>
  <c r="L497" i="55"/>
  <c r="O497" i="55" s="1"/>
  <c r="AG858" i="51"/>
  <c r="L858" i="55"/>
  <c r="O858" i="55" s="1"/>
  <c r="AG1154" i="51"/>
  <c r="L1154" i="55"/>
  <c r="O1154" i="55" s="1"/>
  <c r="AG485" i="51"/>
  <c r="L485" i="55"/>
  <c r="O485" i="55" s="1"/>
  <c r="AG841" i="51"/>
  <c r="L841" i="55"/>
  <c r="O841" i="55" s="1"/>
  <c r="AG1086" i="51"/>
  <c r="L1086" i="55"/>
  <c r="O1086" i="55" s="1"/>
  <c r="AG526" i="51"/>
  <c r="L526" i="55"/>
  <c r="O526" i="55" s="1"/>
  <c r="AG848" i="51"/>
  <c r="L848" i="55"/>
  <c r="O848" i="55" s="1"/>
  <c r="AG1065" i="51"/>
  <c r="L1065" i="55"/>
  <c r="O1065" i="55" s="1"/>
  <c r="AG1157" i="51"/>
  <c r="L1157" i="55"/>
  <c r="O1157" i="55" s="1"/>
  <c r="AG1720" i="51"/>
  <c r="L1720" i="55"/>
  <c r="O1720" i="55" s="1"/>
  <c r="AG1484" i="51"/>
  <c r="L1484" i="55"/>
  <c r="O1484" i="55" s="1"/>
  <c r="AG1461" i="51"/>
  <c r="L1461" i="55"/>
  <c r="O1461" i="55" s="1"/>
  <c r="AG1487" i="51"/>
  <c r="L1487" i="55"/>
  <c r="O1487" i="55" s="1"/>
  <c r="AG2216" i="51"/>
  <c r="L2216" i="55"/>
  <c r="O2216" i="55" s="1"/>
  <c r="AG460" i="51"/>
  <c r="L460" i="55"/>
  <c r="O460" i="55" s="1"/>
  <c r="AG761" i="51"/>
  <c r="L761" i="55"/>
  <c r="O761" i="55" s="1"/>
  <c r="AG448" i="51"/>
  <c r="L448" i="55"/>
  <c r="O448" i="55" s="1"/>
  <c r="AG756" i="51"/>
  <c r="L756" i="55"/>
  <c r="O756" i="55" s="1"/>
  <c r="AG994" i="51"/>
  <c r="L994" i="55"/>
  <c r="O994" i="55" s="1"/>
  <c r="AG363" i="51"/>
  <c r="L363" i="55"/>
  <c r="O363" i="55" s="1"/>
  <c r="AG519" i="51"/>
  <c r="L519" i="55"/>
  <c r="O519" i="55" s="1"/>
  <c r="AG879" i="51"/>
  <c r="L879" i="55"/>
  <c r="O879" i="55" s="1"/>
  <c r="AG348" i="51"/>
  <c r="L348" i="55"/>
  <c r="O348" i="55" s="1"/>
  <c r="AG467" i="51"/>
  <c r="L467" i="55"/>
  <c r="O467" i="55" s="1"/>
  <c r="AG772" i="51"/>
  <c r="L772" i="55"/>
  <c r="O772" i="55" s="1"/>
  <c r="AG746" i="51"/>
  <c r="L746" i="55"/>
  <c r="O746" i="55" s="1"/>
  <c r="AG1107" i="51"/>
  <c r="L1107" i="55"/>
  <c r="O1107" i="55" s="1"/>
  <c r="AG1733" i="51"/>
  <c r="L1733" i="55"/>
  <c r="O1733" i="55" s="1"/>
  <c r="AG1453" i="51"/>
  <c r="L1453" i="55"/>
  <c r="O1453" i="55" s="1"/>
  <c r="AG1928" i="51"/>
  <c r="L1928" i="55"/>
  <c r="O1928" i="55" s="1"/>
  <c r="AG1989" i="51"/>
  <c r="L1989" i="55"/>
  <c r="O1989" i="55" s="1"/>
  <c r="AG1926" i="51"/>
  <c r="L1926" i="55"/>
  <c r="O1926" i="55" s="1"/>
  <c r="AG1995" i="51"/>
  <c r="L1995" i="55"/>
  <c r="O1995" i="55" s="1"/>
  <c r="AG1752" i="51"/>
  <c r="L1752" i="55"/>
  <c r="O1752" i="55" s="1"/>
  <c r="AG1510" i="51"/>
  <c r="L1510" i="55"/>
  <c r="O1510" i="55" s="1"/>
  <c r="AG2052" i="51"/>
  <c r="L2052" i="55"/>
  <c r="O2052" i="55" s="1"/>
  <c r="AG2100" i="51"/>
  <c r="L2100" i="55"/>
  <c r="O2100" i="55" s="1"/>
  <c r="AG2032" i="51"/>
  <c r="L2032" i="55"/>
  <c r="O2032" i="55" s="1"/>
  <c r="AG2128" i="51"/>
  <c r="L2128" i="55"/>
  <c r="O2128" i="55" s="1"/>
  <c r="AG2065" i="51"/>
  <c r="L2065" i="55"/>
  <c r="O2065" i="55" s="1"/>
  <c r="AG2161" i="51"/>
  <c r="L2161" i="55"/>
  <c r="O2161" i="55" s="1"/>
  <c r="AG2093" i="51"/>
  <c r="L2093" i="55"/>
  <c r="O2093" i="55" s="1"/>
  <c r="AG2030" i="51"/>
  <c r="L2030" i="55"/>
  <c r="O2030" i="55" s="1"/>
  <c r="AG2062" i="51"/>
  <c r="L2062" i="55"/>
  <c r="O2062" i="55" s="1"/>
  <c r="AG2094" i="51"/>
  <c r="L2094" i="55"/>
  <c r="O2094" i="55" s="1"/>
  <c r="AG2142" i="51"/>
  <c r="L2142" i="55"/>
  <c r="O2142" i="55" s="1"/>
  <c r="AG2031" i="51"/>
  <c r="L2031" i="55"/>
  <c r="O2031" i="55" s="1"/>
  <c r="AG2079" i="51"/>
  <c r="L2079" i="55"/>
  <c r="O2079" i="55" s="1"/>
  <c r="AG2111" i="51"/>
  <c r="L2111" i="55"/>
  <c r="O2111" i="55" s="1"/>
  <c r="AG2159" i="51"/>
  <c r="L2159" i="55"/>
  <c r="O2159" i="55" s="1"/>
  <c r="AG2013" i="51"/>
  <c r="L2013" i="55"/>
  <c r="O2013" i="55" s="1"/>
  <c r="L1935" i="55"/>
  <c r="O1935" i="55" s="1"/>
  <c r="AG1526" i="51"/>
  <c r="L1526" i="55"/>
  <c r="O1526" i="55" s="1"/>
  <c r="AG1522" i="51"/>
  <c r="L1522" i="55"/>
  <c r="O1522" i="55" s="1"/>
  <c r="AG1540" i="51"/>
  <c r="L1540" i="55"/>
  <c r="O1540" i="55" s="1"/>
  <c r="AG1557" i="51"/>
  <c r="L1557" i="55"/>
  <c r="O1557" i="55" s="1"/>
  <c r="AG1555" i="51"/>
  <c r="L1555" i="55"/>
  <c r="O1555" i="55" s="1"/>
  <c r="AG1964" i="51"/>
  <c r="L1964" i="55"/>
  <c r="O1964" i="55" s="1"/>
  <c r="AG1968" i="51"/>
  <c r="L1968" i="55"/>
  <c r="O1968" i="55" s="1"/>
  <c r="AG1985" i="51"/>
  <c r="L1985" i="55"/>
  <c r="O1985" i="55" s="1"/>
  <c r="AG1973" i="51"/>
  <c r="L1973" i="55"/>
  <c r="O1973" i="55" s="1"/>
  <c r="AG1962" i="51"/>
  <c r="L1962" i="55"/>
  <c r="O1962" i="55" s="1"/>
  <c r="AG1978" i="51"/>
  <c r="L1978" i="55"/>
  <c r="O1978" i="55" s="1"/>
  <c r="AG2018" i="51"/>
  <c r="L2018" i="55"/>
  <c r="O2018" i="55" s="1"/>
  <c r="AG1979" i="51"/>
  <c r="L1979" i="55"/>
  <c r="O1979" i="55" s="1"/>
  <c r="AG2019" i="51"/>
  <c r="L2019" i="55"/>
  <c r="O2019" i="55" s="1"/>
  <c r="AG85" i="51"/>
  <c r="L85" i="55"/>
  <c r="O85" i="55" s="1"/>
  <c r="AG80" i="51"/>
  <c r="L80" i="55"/>
  <c r="O80" i="55" s="1"/>
  <c r="AG97" i="51"/>
  <c r="L168" i="55"/>
  <c r="O168" i="55" s="1"/>
  <c r="L164" i="55"/>
  <c r="O164" i="55" s="1"/>
  <c r="L160" i="55"/>
  <c r="O160" i="55" s="1"/>
  <c r="L144" i="55"/>
  <c r="O144" i="55" s="1"/>
  <c r="L140" i="55"/>
  <c r="O140" i="55" s="1"/>
  <c r="L136" i="55"/>
  <c r="L167" i="55"/>
  <c r="L165" i="55"/>
  <c r="O165" i="55" s="1"/>
  <c r="L170" i="55"/>
  <c r="O170" i="55" s="1"/>
  <c r="L163" i="55"/>
  <c r="L161" i="55"/>
  <c r="O161" i="55" s="1"/>
  <c r="L147" i="55"/>
  <c r="O147" i="55" s="1"/>
  <c r="L145" i="55"/>
  <c r="L138" i="55"/>
  <c r="O138" i="55" s="1"/>
  <c r="L143" i="55"/>
  <c r="O143" i="55" s="1"/>
  <c r="L171" i="55"/>
  <c r="O171" i="55" s="1"/>
  <c r="L166" i="55"/>
  <c r="O166" i="55" s="1"/>
  <c r="L142" i="55"/>
  <c r="O142" i="55" s="1"/>
  <c r="L137" i="55"/>
  <c r="L169" i="55"/>
  <c r="O169" i="55" s="1"/>
  <c r="L146" i="55"/>
  <c r="L162" i="55"/>
  <c r="O162" i="55" s="1"/>
  <c r="L141" i="55"/>
  <c r="O141" i="55" s="1"/>
  <c r="L139" i="55"/>
  <c r="O139" i="55" s="1"/>
  <c r="L97" i="55"/>
  <c r="O97" i="55" s="1"/>
  <c r="AG374" i="51"/>
  <c r="L374" i="55"/>
  <c r="O374" i="55" s="1"/>
  <c r="AG383" i="51"/>
  <c r="L383" i="55"/>
  <c r="O383" i="55" s="1"/>
  <c r="AG482" i="51"/>
  <c r="L482" i="55"/>
  <c r="O482" i="55" s="1"/>
  <c r="AG527" i="51"/>
  <c r="L527" i="55"/>
  <c r="O527" i="55" s="1"/>
  <c r="AG844" i="51"/>
  <c r="L844" i="55"/>
  <c r="O844" i="55" s="1"/>
  <c r="AG866" i="51"/>
  <c r="L866" i="55"/>
  <c r="O866" i="55" s="1"/>
  <c r="AG1051" i="51"/>
  <c r="L1051" i="55"/>
  <c r="O1051" i="55" s="1"/>
  <c r="AG1080" i="51"/>
  <c r="L1080" i="55"/>
  <c r="O1080" i="55" s="1"/>
  <c r="AG1162" i="51"/>
  <c r="L1162" i="55"/>
  <c r="O1162" i="55" s="1"/>
  <c r="AG380" i="51"/>
  <c r="L380" i="55"/>
  <c r="O380" i="55" s="1"/>
  <c r="AG396" i="51"/>
  <c r="L396" i="55"/>
  <c r="O396" i="55" s="1"/>
  <c r="AG483" i="51"/>
  <c r="L483" i="55"/>
  <c r="O483" i="55" s="1"/>
  <c r="AG523" i="51"/>
  <c r="L523" i="55"/>
  <c r="O523" i="55" s="1"/>
  <c r="AG544" i="51"/>
  <c r="L544" i="55"/>
  <c r="O544" i="55" s="1"/>
  <c r="AG830" i="51"/>
  <c r="L830" i="55"/>
  <c r="O830" i="55" s="1"/>
  <c r="AG857" i="51"/>
  <c r="L857" i="55"/>
  <c r="O857" i="55" s="1"/>
  <c r="AG901" i="51"/>
  <c r="L901" i="55"/>
  <c r="O901" i="55" s="1"/>
  <c r="AG1074" i="51"/>
  <c r="L1074" i="55"/>
  <c r="O1074" i="55" s="1"/>
  <c r="AG1152" i="51"/>
  <c r="L1152" i="55"/>
  <c r="O1152" i="55" s="1"/>
  <c r="AG1174" i="51"/>
  <c r="L1428" i="55"/>
  <c r="O1428" i="55" s="1"/>
  <c r="L1424" i="55"/>
  <c r="O1424" i="55" s="1"/>
  <c r="L1420" i="55"/>
  <c r="O1420" i="55" s="1"/>
  <c r="L1392" i="55"/>
  <c r="O1392" i="55" s="1"/>
  <c r="L1388" i="55"/>
  <c r="O1388" i="55" s="1"/>
  <c r="L1384" i="55"/>
  <c r="O1384" i="55" s="1"/>
  <c r="L1380" i="55"/>
  <c r="O1380" i="55" s="1"/>
  <c r="L1376" i="55"/>
  <c r="O1376" i="55" s="1"/>
  <c r="L1372" i="55"/>
  <c r="O1372" i="55" s="1"/>
  <c r="L1368" i="55"/>
  <c r="O1368" i="55" s="1"/>
  <c r="L1426" i="55"/>
  <c r="O1426" i="55" s="1"/>
  <c r="L1423" i="55"/>
  <c r="O1423" i="55" s="1"/>
  <c r="L1418" i="55"/>
  <c r="O1418" i="55" s="1"/>
  <c r="L1389" i="55"/>
  <c r="O1389" i="55" s="1"/>
  <c r="L1381" i="55"/>
  <c r="O1381" i="55" s="1"/>
  <c r="L1373" i="55"/>
  <c r="O1373" i="55" s="1"/>
  <c r="L1298" i="55"/>
  <c r="O1298" i="55" s="1"/>
  <c r="L1294" i="55"/>
  <c r="O1294" i="55" s="1"/>
  <c r="L1290" i="55"/>
  <c r="O1290" i="55" s="1"/>
  <c r="L1286" i="55"/>
  <c r="O1286" i="55" s="1"/>
  <c r="L1282" i="55"/>
  <c r="O1282" i="55" s="1"/>
  <c r="L1278" i="55"/>
  <c r="O1278" i="55" s="1"/>
  <c r="L1427" i="55"/>
  <c r="O1427" i="55" s="1"/>
  <c r="L1422" i="55"/>
  <c r="O1422" i="55" s="1"/>
  <c r="L1419" i="55"/>
  <c r="O1419" i="55" s="1"/>
  <c r="L1390" i="55"/>
  <c r="O1390" i="55" s="1"/>
  <c r="L1383" i="55"/>
  <c r="O1383" i="55" s="1"/>
  <c r="L1374" i="55"/>
  <c r="O1374" i="55" s="1"/>
  <c r="L1367" i="55"/>
  <c r="O1367" i="55" s="1"/>
  <c r="L1299" i="55"/>
  <c r="O1299" i="55" s="1"/>
  <c r="L1291" i="55"/>
  <c r="O1291" i="55" s="1"/>
  <c r="L1283" i="55"/>
  <c r="O1283" i="55" s="1"/>
  <c r="L1425" i="55"/>
  <c r="O1425" i="55" s="1"/>
  <c r="L1393" i="55"/>
  <c r="O1393" i="55" s="1"/>
  <c r="L1386" i="55"/>
  <c r="O1386" i="55" s="1"/>
  <c r="L1379" i="55"/>
  <c r="O1379" i="55" s="1"/>
  <c r="L1377" i="55"/>
  <c r="O1377" i="55" s="1"/>
  <c r="L1370" i="55"/>
  <c r="O1370" i="55" s="1"/>
  <c r="L1391" i="55"/>
  <c r="O1391" i="55" s="1"/>
  <c r="L1382" i="55"/>
  <c r="O1382" i="55" s="1"/>
  <c r="L1375" i="55"/>
  <c r="O1375" i="55" s="1"/>
  <c r="L1366" i="55"/>
  <c r="O1366" i="55" s="1"/>
  <c r="L1421" i="55"/>
  <c r="O1421" i="55" s="1"/>
  <c r="L1385" i="55"/>
  <c r="O1385" i="55" s="1"/>
  <c r="L1292" i="55"/>
  <c r="O1292" i="55" s="1"/>
  <c r="L1285" i="55"/>
  <c r="O1285" i="55" s="1"/>
  <c r="L1276" i="55"/>
  <c r="O1276" i="55" s="1"/>
  <c r="L1387" i="55"/>
  <c r="O1387" i="55" s="1"/>
  <c r="L1301" i="55"/>
  <c r="O1301" i="55" s="1"/>
  <c r="L1297" i="55"/>
  <c r="O1297" i="55" s="1"/>
  <c r="L1295" i="55"/>
  <c r="O1295" i="55" s="1"/>
  <c r="L1288" i="55"/>
  <c r="O1288" i="55" s="1"/>
  <c r="L1281" i="55"/>
  <c r="O1281" i="55" s="1"/>
  <c r="L1279" i="55"/>
  <c r="O1279" i="55" s="1"/>
  <c r="L1429" i="55"/>
  <c r="O1429" i="55" s="1"/>
  <c r="L1378" i="55"/>
  <c r="O1378" i="55" s="1"/>
  <c r="L1369" i="55"/>
  <c r="O1369" i="55" s="1"/>
  <c r="L1293" i="55"/>
  <c r="O1293" i="55" s="1"/>
  <c r="L1284" i="55"/>
  <c r="O1284" i="55" s="1"/>
  <c r="L1277" i="55"/>
  <c r="O1277" i="55" s="1"/>
  <c r="L1371" i="55"/>
  <c r="O1371" i="55" s="1"/>
  <c r="L1296" i="55"/>
  <c r="O1296" i="55" s="1"/>
  <c r="L1287" i="55"/>
  <c r="O1287" i="55" s="1"/>
  <c r="L1289" i="55"/>
  <c r="O1289" i="55" s="1"/>
  <c r="L1280" i="55"/>
  <c r="O1280" i="55" s="1"/>
  <c r="L1300" i="55"/>
  <c r="O1300" i="55" s="1"/>
  <c r="L1174" i="55"/>
  <c r="O1174" i="55" s="1"/>
  <c r="AG385" i="51"/>
  <c r="L385" i="55"/>
  <c r="O385" i="55" s="1"/>
  <c r="AG401" i="51"/>
  <c r="L401" i="55"/>
  <c r="O401" i="55" s="1"/>
  <c r="AG488" i="51"/>
  <c r="L488" i="55"/>
  <c r="O488" i="55" s="1"/>
  <c r="AG529" i="51"/>
  <c r="L529" i="55"/>
  <c r="O529" i="55" s="1"/>
  <c r="AG847" i="51"/>
  <c r="L847" i="55"/>
  <c r="O847" i="55" s="1"/>
  <c r="AG869" i="51"/>
  <c r="L869" i="55"/>
  <c r="O869" i="55" s="1"/>
  <c r="AG1062" i="51"/>
  <c r="L1062" i="55"/>
  <c r="O1062" i="55" s="1"/>
  <c r="AG1090" i="51"/>
  <c r="L1090" i="55"/>
  <c r="O1090" i="55" s="1"/>
  <c r="AG1164" i="51"/>
  <c r="L1164" i="55"/>
  <c r="O1164" i="55" s="1"/>
  <c r="AG390" i="51"/>
  <c r="L390" i="55"/>
  <c r="O390" i="55" s="1"/>
  <c r="AG475" i="51"/>
  <c r="L475" i="55"/>
  <c r="O475" i="55" s="1"/>
  <c r="AG493" i="51"/>
  <c r="L493" i="55"/>
  <c r="O493" i="55" s="1"/>
  <c r="AG541" i="51"/>
  <c r="L541" i="55"/>
  <c r="O541" i="55" s="1"/>
  <c r="AG828" i="51"/>
  <c r="L828" i="55"/>
  <c r="O828" i="55" s="1"/>
  <c r="AG854" i="51"/>
  <c r="L854" i="55"/>
  <c r="O854" i="55" s="1"/>
  <c r="AG903" i="51"/>
  <c r="L903" i="55"/>
  <c r="O903" i="55" s="1"/>
  <c r="AG1072" i="51"/>
  <c r="L1072" i="55"/>
  <c r="O1072" i="55" s="1"/>
  <c r="AG1155" i="51"/>
  <c r="L1155" i="55"/>
  <c r="O1155" i="55" s="1"/>
  <c r="AG534" i="51"/>
  <c r="L534" i="55"/>
  <c r="O534" i="55" s="1"/>
  <c r="AG837" i="51"/>
  <c r="L837" i="55"/>
  <c r="O837" i="55" s="1"/>
  <c r="AG856" i="51"/>
  <c r="L856" i="55"/>
  <c r="O856" i="55" s="1"/>
  <c r="AG896" i="51"/>
  <c r="L896" i="55"/>
  <c r="O896" i="55" s="1"/>
  <c r="AG1054" i="51"/>
  <c r="L1054" i="55"/>
  <c r="O1054" i="55" s="1"/>
  <c r="AG1076" i="51"/>
  <c r="L1076" i="55"/>
  <c r="O1076" i="55" s="1"/>
  <c r="AG1149" i="51"/>
  <c r="L1149" i="55"/>
  <c r="O1149" i="55" s="1"/>
  <c r="AG1165" i="51"/>
  <c r="L1165" i="55"/>
  <c r="O1165" i="55" s="1"/>
  <c r="L1741" i="55"/>
  <c r="O1741" i="55" s="1"/>
  <c r="AG1738" i="51"/>
  <c r="L1738" i="55"/>
  <c r="O1738" i="55" s="1"/>
  <c r="AG1737" i="51"/>
  <c r="L1737" i="55"/>
  <c r="O1737" i="55" s="1"/>
  <c r="AG1739" i="51"/>
  <c r="L1739" i="55"/>
  <c r="O1739" i="55" s="1"/>
  <c r="AG1473" i="51"/>
  <c r="L1473" i="55"/>
  <c r="O1473" i="55" s="1"/>
  <c r="AG1469" i="51"/>
  <c r="L1469" i="55"/>
  <c r="O1469" i="55" s="1"/>
  <c r="AG1460" i="51"/>
  <c r="L1460" i="55"/>
  <c r="O1460" i="55" s="1"/>
  <c r="AG1481" i="51"/>
  <c r="L1481" i="55"/>
  <c r="O1481" i="55" s="1"/>
  <c r="AG1472" i="51"/>
  <c r="L1472" i="55"/>
  <c r="O1472" i="55" s="1"/>
  <c r="AG1463" i="51"/>
  <c r="L1463" i="55"/>
  <c r="O1463" i="55" s="1"/>
  <c r="AG1479" i="51"/>
  <c r="L1479" i="55"/>
  <c r="O1479" i="55" s="1"/>
  <c r="AG2198" i="51"/>
  <c r="L2198" i="55"/>
  <c r="O2198" i="55" s="1"/>
  <c r="L2214" i="55"/>
  <c r="O2214" i="55" s="1"/>
  <c r="AG2205" i="51"/>
  <c r="L2205" i="55"/>
  <c r="O2205" i="55" s="1"/>
  <c r="AG2191" i="51"/>
  <c r="L2191" i="55"/>
  <c r="O2191" i="55" s="1"/>
  <c r="AG369" i="51"/>
  <c r="L369" i="55"/>
  <c r="O369" i="55" s="1"/>
  <c r="AG345" i="51"/>
  <c r="L345" i="55"/>
  <c r="O345" i="55" s="1"/>
  <c r="AG365" i="51"/>
  <c r="L365" i="55"/>
  <c r="O365" i="55" s="1"/>
  <c r="AG500" i="51"/>
  <c r="L500" i="55"/>
  <c r="O500" i="55" s="1"/>
  <c r="AG521" i="51"/>
  <c r="L521" i="55"/>
  <c r="O521" i="55" s="1"/>
  <c r="AG748" i="51"/>
  <c r="L748" i="55"/>
  <c r="O748" i="55" s="1"/>
  <c r="AG773" i="51"/>
  <c r="L773" i="55"/>
  <c r="O773" i="55" s="1"/>
  <c r="AG877" i="51"/>
  <c r="L877" i="55"/>
  <c r="O877" i="55" s="1"/>
  <c r="AG992" i="51"/>
  <c r="L992" i="55"/>
  <c r="O992" i="55" s="1"/>
  <c r="AG1098" i="51"/>
  <c r="L1098" i="55"/>
  <c r="O1098" i="55" s="1"/>
  <c r="AG1120" i="51"/>
  <c r="L1404" i="55"/>
  <c r="O1404" i="55" s="1"/>
  <c r="L1400" i="55"/>
  <c r="O1400" i="55" s="1"/>
  <c r="L1396" i="55"/>
  <c r="O1396" i="55" s="1"/>
  <c r="L1328" i="55"/>
  <c r="O1328" i="55" s="1"/>
  <c r="L1324" i="55"/>
  <c r="O1324" i="55" s="1"/>
  <c r="L1405" i="55"/>
  <c r="O1405" i="55" s="1"/>
  <c r="L1397" i="55"/>
  <c r="O1397" i="55" s="1"/>
  <c r="L1330" i="55"/>
  <c r="O1330" i="55" s="1"/>
  <c r="L1327" i="55"/>
  <c r="O1327" i="55" s="1"/>
  <c r="L1322" i="55"/>
  <c r="O1322" i="55" s="1"/>
  <c r="L1318" i="55"/>
  <c r="O1318" i="55" s="1"/>
  <c r="L1314" i="55"/>
  <c r="O1314" i="55" s="1"/>
  <c r="L1310" i="55"/>
  <c r="O1310" i="55" s="1"/>
  <c r="L1306" i="55"/>
  <c r="O1306" i="55" s="1"/>
  <c r="L1302" i="55"/>
  <c r="O1302" i="55" s="1"/>
  <c r="L1238" i="55"/>
  <c r="O1238" i="55" s="1"/>
  <c r="L1234" i="55"/>
  <c r="O1234" i="55" s="1"/>
  <c r="L1230" i="55"/>
  <c r="O1230" i="55" s="1"/>
  <c r="L1226" i="55"/>
  <c r="O1226" i="55" s="1"/>
  <c r="L1222" i="55"/>
  <c r="O1222" i="55" s="1"/>
  <c r="L1218" i="55"/>
  <c r="O1218" i="55" s="1"/>
  <c r="L1399" i="55"/>
  <c r="O1399" i="55" s="1"/>
  <c r="L1315" i="55"/>
  <c r="O1315" i="55" s="1"/>
  <c r="L1307" i="55"/>
  <c r="O1307" i="55" s="1"/>
  <c r="L1237" i="55"/>
  <c r="O1237" i="55" s="1"/>
  <c r="L1232" i="55"/>
  <c r="O1232" i="55" s="1"/>
  <c r="L1229" i="55"/>
  <c r="O1229" i="55" s="1"/>
  <c r="L1224" i="55"/>
  <c r="O1224" i="55" s="1"/>
  <c r="L1221" i="55"/>
  <c r="O1221" i="55" s="1"/>
  <c r="L1215" i="55"/>
  <c r="O1215" i="55" s="1"/>
  <c r="L1211" i="55"/>
  <c r="O1211" i="55" s="1"/>
  <c r="L1207" i="55"/>
  <c r="O1207" i="55" s="1"/>
  <c r="L1203" i="55"/>
  <c r="O1203" i="55" s="1"/>
  <c r="L1199" i="55"/>
  <c r="O1199" i="55" s="1"/>
  <c r="L1195" i="55"/>
  <c r="O1195" i="55" s="1"/>
  <c r="L1191" i="55"/>
  <c r="O1191" i="55" s="1"/>
  <c r="L1187" i="55"/>
  <c r="O1187" i="55" s="1"/>
  <c r="L1183" i="55"/>
  <c r="O1183" i="55" s="1"/>
  <c r="L1179" i="55"/>
  <c r="O1179" i="55" s="1"/>
  <c r="L1175" i="55"/>
  <c r="O1175" i="55" s="1"/>
  <c r="L1402" i="55"/>
  <c r="O1402" i="55" s="1"/>
  <c r="L1395" i="55"/>
  <c r="O1395" i="55" s="1"/>
  <c r="L1331" i="55"/>
  <c r="O1331" i="55" s="1"/>
  <c r="L1329" i="55"/>
  <c r="O1329" i="55" s="1"/>
  <c r="L1325" i="55"/>
  <c r="O1325" i="55" s="1"/>
  <c r="L1323" i="55"/>
  <c r="O1323" i="55" s="1"/>
  <c r="L1321" i="55"/>
  <c r="O1321" i="55" s="1"/>
  <c r="L1398" i="55"/>
  <c r="O1398" i="55" s="1"/>
  <c r="L1326" i="55"/>
  <c r="O1326" i="55" s="1"/>
  <c r="L1319" i="55"/>
  <c r="O1319" i="55" s="1"/>
  <c r="L1311" i="55"/>
  <c r="O1311" i="55" s="1"/>
  <c r="L1303" i="55"/>
  <c r="O1303" i="55" s="1"/>
  <c r="L1394" i="55"/>
  <c r="O1394" i="55" s="1"/>
  <c r="L1236" i="55"/>
  <c r="O1236" i="55" s="1"/>
  <c r="L1228" i="55"/>
  <c r="O1228" i="55" s="1"/>
  <c r="L1220" i="55"/>
  <c r="O1220" i="55" s="1"/>
  <c r="L1317" i="55"/>
  <c r="O1317" i="55" s="1"/>
  <c r="L1313" i="55"/>
  <c r="O1313" i="55" s="1"/>
  <c r="L1309" i="55"/>
  <c r="O1309" i="55" s="1"/>
  <c r="L1305" i="55"/>
  <c r="O1305" i="55" s="1"/>
  <c r="L1213" i="55"/>
  <c r="O1213" i="55" s="1"/>
  <c r="L1210" i="55"/>
  <c r="O1210" i="55" s="1"/>
  <c r="L1205" i="55"/>
  <c r="O1205" i="55" s="1"/>
  <c r="L1202" i="55"/>
  <c r="O1202" i="55" s="1"/>
  <c r="L1197" i="55"/>
  <c r="O1197" i="55" s="1"/>
  <c r="L1194" i="55"/>
  <c r="O1194" i="55" s="1"/>
  <c r="L1189" i="55"/>
  <c r="O1189" i="55" s="1"/>
  <c r="L1186" i="55"/>
  <c r="O1186" i="55" s="1"/>
  <c r="L1181" i="55"/>
  <c r="O1181" i="55" s="1"/>
  <c r="L1178" i="55"/>
  <c r="O1178" i="55" s="1"/>
  <c r="L1401" i="55"/>
  <c r="O1401" i="55" s="1"/>
  <c r="L1216" i="55"/>
  <c r="O1216" i="55" s="1"/>
  <c r="L1208" i="55"/>
  <c r="O1208" i="55" s="1"/>
  <c r="L1200" i="55"/>
  <c r="O1200" i="55" s="1"/>
  <c r="L1192" i="55"/>
  <c r="O1192" i="55" s="1"/>
  <c r="L1184" i="55"/>
  <c r="O1184" i="55" s="1"/>
  <c r="L1176" i="55"/>
  <c r="O1176" i="55" s="1"/>
  <c r="L1235" i="55"/>
  <c r="O1235" i="55" s="1"/>
  <c r="L1206" i="55"/>
  <c r="O1206" i="55" s="1"/>
  <c r="L1201" i="55"/>
  <c r="O1201" i="55" s="1"/>
  <c r="L1190" i="55"/>
  <c r="O1190" i="55" s="1"/>
  <c r="L1185" i="55"/>
  <c r="O1185" i="55" s="1"/>
  <c r="L1320" i="55"/>
  <c r="O1320" i="55" s="1"/>
  <c r="L1312" i="55"/>
  <c r="O1312" i="55" s="1"/>
  <c r="L1304" i="55"/>
  <c r="O1304" i="55" s="1"/>
  <c r="L1223" i="55"/>
  <c r="O1223" i="55" s="1"/>
  <c r="L1217" i="55"/>
  <c r="O1217" i="55" s="1"/>
  <c r="L1212" i="55"/>
  <c r="O1212" i="55" s="1"/>
  <c r="L1196" i="55"/>
  <c r="O1196" i="55" s="1"/>
  <c r="L1180" i="55"/>
  <c r="O1180" i="55" s="1"/>
  <c r="L1231" i="55"/>
  <c r="O1231" i="55" s="1"/>
  <c r="L1225" i="55"/>
  <c r="O1225" i="55" s="1"/>
  <c r="L1219" i="55"/>
  <c r="O1219" i="55" s="1"/>
  <c r="L1214" i="55"/>
  <c r="O1214" i="55" s="1"/>
  <c r="L1209" i="55"/>
  <c r="O1209" i="55" s="1"/>
  <c r="L1198" i="55"/>
  <c r="O1198" i="55" s="1"/>
  <c r="L1193" i="55"/>
  <c r="O1193" i="55" s="1"/>
  <c r="L1182" i="55"/>
  <c r="O1182" i="55" s="1"/>
  <c r="L1177" i="55"/>
  <c r="O1177" i="55" s="1"/>
  <c r="L1239" i="55"/>
  <c r="O1239" i="55" s="1"/>
  <c r="L1316" i="55"/>
  <c r="O1316" i="55" s="1"/>
  <c r="L1204" i="55"/>
  <c r="O1204" i="55" s="1"/>
  <c r="L1188" i="55"/>
  <c r="O1188" i="55" s="1"/>
  <c r="L1403" i="55"/>
  <c r="O1403" i="55" s="1"/>
  <c r="L1308" i="55"/>
  <c r="O1308" i="55" s="1"/>
  <c r="L1227" i="55"/>
  <c r="O1227" i="55" s="1"/>
  <c r="L1233" i="55"/>
  <c r="O1233" i="55" s="1"/>
  <c r="L1120" i="55"/>
  <c r="O1120" i="55" s="1"/>
  <c r="AG354" i="51"/>
  <c r="L354" i="55"/>
  <c r="O354" i="55" s="1"/>
  <c r="AG370" i="51"/>
  <c r="L370" i="55"/>
  <c r="O370" i="55" s="1"/>
  <c r="AG457" i="51"/>
  <c r="L457" i="55"/>
  <c r="O457" i="55" s="1"/>
  <c r="AG507" i="51"/>
  <c r="L507" i="55"/>
  <c r="O507" i="55" s="1"/>
  <c r="AG769" i="51"/>
  <c r="L769" i="55"/>
  <c r="O769" i="55" s="1"/>
  <c r="AG873" i="51"/>
  <c r="L873" i="55"/>
  <c r="O873" i="55" s="1"/>
  <c r="AG981" i="51"/>
  <c r="L981" i="55"/>
  <c r="O981" i="55" s="1"/>
  <c r="AG1008" i="51"/>
  <c r="L1008" i="55"/>
  <c r="O1008" i="55" s="1"/>
  <c r="AG1110" i="51"/>
  <c r="L1110" i="55"/>
  <c r="O1110" i="55" s="1"/>
  <c r="AG355" i="51"/>
  <c r="L355" i="55"/>
  <c r="O355" i="55" s="1"/>
  <c r="AG371" i="51"/>
  <c r="L371" i="55"/>
  <c r="O371" i="55" s="1"/>
  <c r="AG458" i="51"/>
  <c r="L458" i="55"/>
  <c r="O458" i="55" s="1"/>
  <c r="AG508" i="51"/>
  <c r="L508" i="55"/>
  <c r="O508" i="55" s="1"/>
  <c r="AG765" i="51"/>
  <c r="L765" i="55"/>
  <c r="O765" i="55" s="1"/>
  <c r="AG786" i="51"/>
  <c r="L786" i="55"/>
  <c r="O786" i="55" s="1"/>
  <c r="AG975" i="51"/>
  <c r="L975" i="55"/>
  <c r="O975" i="55" s="1"/>
  <c r="AG1004" i="51"/>
  <c r="L1004" i="55"/>
  <c r="O1004" i="55" s="1"/>
  <c r="AG1106" i="51"/>
  <c r="L1106" i="55"/>
  <c r="O1106" i="55" s="1"/>
  <c r="AG356" i="51"/>
  <c r="L356" i="55"/>
  <c r="O356" i="55" s="1"/>
  <c r="AG372" i="51"/>
  <c r="L372" i="55"/>
  <c r="O372" i="55" s="1"/>
  <c r="AG459" i="51"/>
  <c r="L459" i="55"/>
  <c r="O459" i="55" s="1"/>
  <c r="AG504" i="51"/>
  <c r="L504" i="55"/>
  <c r="O504" i="55" s="1"/>
  <c r="AG760" i="51"/>
  <c r="L760" i="55"/>
  <c r="O760" i="55" s="1"/>
  <c r="AG782" i="51"/>
  <c r="L782" i="55"/>
  <c r="O782" i="55" s="1"/>
  <c r="AG970" i="51"/>
  <c r="L970" i="55"/>
  <c r="O970" i="55" s="1"/>
  <c r="AG998" i="51"/>
  <c r="L998" i="55"/>
  <c r="O998" i="55" s="1"/>
  <c r="AG1102" i="51"/>
  <c r="L1102" i="55"/>
  <c r="O1102" i="55" s="1"/>
  <c r="AG498" i="51"/>
  <c r="L498" i="55"/>
  <c r="O498" i="55" s="1"/>
  <c r="AG514" i="51"/>
  <c r="L514" i="55"/>
  <c r="O514" i="55" s="1"/>
  <c r="AG757" i="51"/>
  <c r="L757" i="55"/>
  <c r="O757" i="55" s="1"/>
  <c r="AG775" i="51"/>
  <c r="L775" i="55"/>
  <c r="O775" i="55" s="1"/>
  <c r="AG872" i="51"/>
  <c r="L872" i="55"/>
  <c r="O872" i="55" s="1"/>
  <c r="AG974" i="51"/>
  <c r="L974" i="55"/>
  <c r="O974" i="55" s="1"/>
  <c r="AG995" i="51"/>
  <c r="L995" i="55"/>
  <c r="O995" i="55" s="1"/>
  <c r="AG1099" i="51"/>
  <c r="L1099" i="55"/>
  <c r="O1099" i="55" s="1"/>
  <c r="AG1115" i="51"/>
  <c r="L1115" i="55"/>
  <c r="O1115" i="55" s="1"/>
  <c r="AG1725" i="51"/>
  <c r="L1725" i="55"/>
  <c r="O1725" i="55" s="1"/>
  <c r="AG1717" i="51"/>
  <c r="L1717" i="55"/>
  <c r="AG1729" i="51"/>
  <c r="L1729" i="55"/>
  <c r="O1729" i="55" s="1"/>
  <c r="AG1727" i="51"/>
  <c r="L1727" i="55"/>
  <c r="O1727" i="55" s="1"/>
  <c r="AG1430" i="51"/>
  <c r="L1430" i="55"/>
  <c r="AG1452" i="51"/>
  <c r="L1452" i="55"/>
  <c r="O1452" i="55" s="1"/>
  <c r="AG1442" i="51"/>
  <c r="L1442" i="55"/>
  <c r="O1442" i="55" s="1"/>
  <c r="AG1454" i="51"/>
  <c r="L1454" i="55"/>
  <c r="O1454" i="55" s="1"/>
  <c r="AG1450" i="51"/>
  <c r="L1450" i="55"/>
  <c r="O1450" i="55" s="1"/>
  <c r="AG1439" i="51"/>
  <c r="L1439" i="55"/>
  <c r="O1439" i="55" s="1"/>
  <c r="AG1996" i="51"/>
  <c r="L1996" i="55"/>
  <c r="O1996" i="55" s="1"/>
  <c r="AG1912" i="51"/>
  <c r="L1912" i="55"/>
  <c r="O1912" i="55" s="1"/>
  <c r="AG2000" i="51"/>
  <c r="L2000" i="55"/>
  <c r="O2000" i="55" s="1"/>
  <c r="AG1929" i="51"/>
  <c r="L1929" i="55"/>
  <c r="O1929" i="55" s="1"/>
  <c r="AG1917" i="51"/>
  <c r="L1917" i="55"/>
  <c r="O1917" i="55" s="1"/>
  <c r="AG1902" i="51"/>
  <c r="L1902" i="55"/>
  <c r="O1902" i="55" s="1"/>
  <c r="AG1918" i="51"/>
  <c r="L1918" i="55"/>
  <c r="O1918" i="55" s="1"/>
  <c r="AG1994" i="51"/>
  <c r="L1994" i="55"/>
  <c r="O1994" i="55" s="1"/>
  <c r="AG1911" i="51"/>
  <c r="L1911" i="55"/>
  <c r="O1911" i="55" s="1"/>
  <c r="AG1927" i="51"/>
  <c r="L1927" i="55"/>
  <c r="O1927" i="55" s="1"/>
  <c r="AG1757" i="51"/>
  <c r="L1757" i="55"/>
  <c r="O1757" i="55" s="1"/>
  <c r="AG1758" i="51"/>
  <c r="L1758" i="55"/>
  <c r="O1758" i="55" s="1"/>
  <c r="AG1500" i="51"/>
  <c r="L1500" i="55"/>
  <c r="O1500" i="55" s="1"/>
  <c r="AG1490" i="51"/>
  <c r="AG1512" i="51"/>
  <c r="L1512" i="55"/>
  <c r="O1512" i="55" s="1"/>
  <c r="AG1502" i="51"/>
  <c r="L1502" i="55"/>
  <c r="O1502" i="55" s="1"/>
  <c r="AG1493" i="51"/>
  <c r="L1493" i="55"/>
  <c r="O1493" i="55" s="1"/>
  <c r="AG1514" i="51"/>
  <c r="AG1499" i="51"/>
  <c r="L1499" i="55"/>
  <c r="O1499" i="55" s="1"/>
  <c r="AG1515" i="51"/>
  <c r="L1515" i="55"/>
  <c r="O1515" i="55" s="1"/>
  <c r="AG2116" i="51"/>
  <c r="L2116" i="55"/>
  <c r="O2116" i="55" s="1"/>
  <c r="AG2060" i="51"/>
  <c r="L2060" i="55"/>
  <c r="O2060" i="55" s="1"/>
  <c r="AG2036" i="51"/>
  <c r="L2036" i="55"/>
  <c r="O2036" i="55" s="1"/>
  <c r="AG2164" i="51"/>
  <c r="L2164" i="55"/>
  <c r="O2164" i="55" s="1"/>
  <c r="AG2140" i="51"/>
  <c r="L2140" i="55"/>
  <c r="O2140" i="55" s="1"/>
  <c r="AG2048" i="51"/>
  <c r="L2048" i="55"/>
  <c r="O2048" i="55" s="1"/>
  <c r="AG2080" i="51"/>
  <c r="L2080" i="55"/>
  <c r="O2080" i="55" s="1"/>
  <c r="AG2112" i="51"/>
  <c r="L2112" i="55"/>
  <c r="O2112" i="55" s="1"/>
  <c r="AG2144" i="51"/>
  <c r="L2144" i="55"/>
  <c r="O2144" i="55" s="1"/>
  <c r="AG2049" i="51"/>
  <c r="L2049" i="55"/>
  <c r="O2049" i="55" s="1"/>
  <c r="AG2081" i="51"/>
  <c r="L2081" i="55"/>
  <c r="O2081" i="55" s="1"/>
  <c r="AG2113" i="51"/>
  <c r="L2113" i="55"/>
  <c r="O2113" i="55" s="1"/>
  <c r="AG2145" i="51"/>
  <c r="L2145" i="55"/>
  <c r="O2145" i="55" s="1"/>
  <c r="AG2045" i="51"/>
  <c r="L2045" i="55"/>
  <c r="O2045" i="55" s="1"/>
  <c r="AG2077" i="51"/>
  <c r="L2077" i="55"/>
  <c r="O2077" i="55" s="1"/>
  <c r="AG2109" i="51"/>
  <c r="L2109" i="55"/>
  <c r="O2109" i="55" s="1"/>
  <c r="AG2141" i="51"/>
  <c r="L2141" i="55"/>
  <c r="O2141" i="55" s="1"/>
  <c r="AG2173" i="51"/>
  <c r="L2173" i="55"/>
  <c r="O2173" i="55" s="1"/>
  <c r="AG2038" i="51"/>
  <c r="L2038" i="55"/>
  <c r="O2038" i="55" s="1"/>
  <c r="AG2054" i="51"/>
  <c r="L2054" i="55"/>
  <c r="O2054" i="55" s="1"/>
  <c r="AG2070" i="51"/>
  <c r="L2070" i="55"/>
  <c r="O2070" i="55" s="1"/>
  <c r="AG2086" i="51"/>
  <c r="L2086" i="55"/>
  <c r="O2086" i="55" s="1"/>
  <c r="AG2102" i="51"/>
  <c r="L2102" i="55"/>
  <c r="O2102" i="55" s="1"/>
  <c r="AG2118" i="51"/>
  <c r="L2118" i="55"/>
  <c r="O2118" i="55" s="1"/>
  <c r="AG2134" i="51"/>
  <c r="L2134" i="55"/>
  <c r="O2134" i="55" s="1"/>
  <c r="AG2150" i="51"/>
  <c r="L2150" i="55"/>
  <c r="O2150" i="55" s="1"/>
  <c r="AG2166" i="51"/>
  <c r="L2166" i="55"/>
  <c r="O2166" i="55" s="1"/>
  <c r="AG2039" i="51"/>
  <c r="L2039" i="55"/>
  <c r="O2039" i="55" s="1"/>
  <c r="AG2055" i="51"/>
  <c r="L2055" i="55"/>
  <c r="O2055" i="55" s="1"/>
  <c r="AG2071" i="51"/>
  <c r="L2071" i="55"/>
  <c r="O2071" i="55" s="1"/>
  <c r="AG2087" i="51"/>
  <c r="L2087" i="55"/>
  <c r="O2087" i="55" s="1"/>
  <c r="AG2103" i="51"/>
  <c r="L2103" i="55"/>
  <c r="O2103" i="55" s="1"/>
  <c r="AG2119" i="51"/>
  <c r="L2119" i="55"/>
  <c r="O2119" i="55" s="1"/>
  <c r="AG2135" i="51"/>
  <c r="L2135" i="55"/>
  <c r="O2135" i="55" s="1"/>
  <c r="AG2151" i="51"/>
  <c r="L2151" i="55"/>
  <c r="O2151" i="55" s="1"/>
  <c r="AG2167" i="51"/>
  <c r="L2167" i="55"/>
  <c r="O2167" i="55" s="1"/>
  <c r="AG1680" i="51"/>
  <c r="L1715" i="55"/>
  <c r="O1715" i="55" s="1"/>
  <c r="L1710" i="55"/>
  <c r="O1710" i="55" s="1"/>
  <c r="L1707" i="55"/>
  <c r="O1707" i="55" s="1"/>
  <c r="L1702" i="55"/>
  <c r="O1702" i="55" s="1"/>
  <c r="L1699" i="55"/>
  <c r="O1699" i="55" s="1"/>
  <c r="L1714" i="55"/>
  <c r="O1714" i="55" s="1"/>
  <c r="L1703" i="55"/>
  <c r="O1703" i="55" s="1"/>
  <c r="L1700" i="55"/>
  <c r="O1700" i="55" s="1"/>
  <c r="L1696" i="55"/>
  <c r="O1696" i="55" s="1"/>
  <c r="L1693" i="55"/>
  <c r="O1693" i="55" s="1"/>
  <c r="L1688" i="55"/>
  <c r="O1688" i="55" s="1"/>
  <c r="L1685" i="55"/>
  <c r="O1685" i="55" s="1"/>
  <c r="L1680" i="55"/>
  <c r="O1680" i="55" s="1"/>
  <c r="L1677" i="55"/>
  <c r="O1677" i="55" s="1"/>
  <c r="L1672" i="55"/>
  <c r="L1669" i="55"/>
  <c r="O1669" i="55" s="1"/>
  <c r="L1664" i="55"/>
  <c r="O1664" i="55" s="1"/>
  <c r="L1661" i="55"/>
  <c r="O1661" i="55" s="1"/>
  <c r="L1656" i="55"/>
  <c r="O1656" i="55" s="1"/>
  <c r="L1653" i="55"/>
  <c r="L1648" i="55"/>
  <c r="O1648" i="55" s="1"/>
  <c r="L1645" i="55"/>
  <c r="O1645" i="55" s="1"/>
  <c r="L1640" i="55"/>
  <c r="O1640" i="55" s="1"/>
  <c r="L1637" i="55"/>
  <c r="O1637" i="55" s="1"/>
  <c r="L1632" i="55"/>
  <c r="O1632" i="55" s="1"/>
  <c r="L1629" i="55"/>
  <c r="O1629" i="55" s="1"/>
  <c r="L1624" i="55"/>
  <c r="O1624" i="55" s="1"/>
  <c r="L1621" i="55"/>
  <c r="O1621" i="55" s="1"/>
  <c r="L1713" i="55"/>
  <c r="O1713" i="55" s="1"/>
  <c r="L1709" i="55"/>
  <c r="O1709" i="55" s="1"/>
  <c r="L1706" i="55"/>
  <c r="O1706" i="55" s="1"/>
  <c r="L1695" i="55"/>
  <c r="O1695" i="55" s="1"/>
  <c r="L1690" i="55"/>
  <c r="O1690" i="55" s="1"/>
  <c r="L1687" i="55"/>
  <c r="O1687" i="55" s="1"/>
  <c r="L1682" i="55"/>
  <c r="O1682" i="55" s="1"/>
  <c r="L1679" i="55"/>
  <c r="O1679" i="55" s="1"/>
  <c r="L1674" i="55"/>
  <c r="O1674" i="55" s="1"/>
  <c r="L1671" i="55"/>
  <c r="O1671" i="55" s="1"/>
  <c r="L1666" i="55"/>
  <c r="O1666" i="55" s="1"/>
  <c r="L1663" i="55"/>
  <c r="O1663" i="55" s="1"/>
  <c r="L1658" i="55"/>
  <c r="O1658" i="55" s="1"/>
  <c r="L1655" i="55"/>
  <c r="O1655" i="55" s="1"/>
  <c r="L1650" i="55"/>
  <c r="O1650" i="55" s="1"/>
  <c r="L1647" i="55"/>
  <c r="L1642" i="55"/>
  <c r="O1642" i="55" s="1"/>
  <c r="L1639" i="55"/>
  <c r="O1639" i="55" s="1"/>
  <c r="L1634" i="55"/>
  <c r="O1634" i="55" s="1"/>
  <c r="L1631" i="55"/>
  <c r="O1631" i="55" s="1"/>
  <c r="L1626" i="55"/>
  <c r="O1626" i="55" s="1"/>
  <c r="L1623" i="55"/>
  <c r="O1623" i="55" s="1"/>
  <c r="L1618" i="55"/>
  <c r="O1618" i="55" s="1"/>
  <c r="L1616" i="55"/>
  <c r="O1616" i="55" s="1"/>
  <c r="L1614" i="55"/>
  <c r="O1614" i="55" s="1"/>
  <c r="L1612" i="55"/>
  <c r="O1612" i="55" s="1"/>
  <c r="L1610" i="55"/>
  <c r="O1610" i="55" s="1"/>
  <c r="L1608" i="55"/>
  <c r="O1608" i="55" s="1"/>
  <c r="L1606" i="55"/>
  <c r="O1606" i="55" s="1"/>
  <c r="L1604" i="55"/>
  <c r="O1604" i="55" s="1"/>
  <c r="L1602" i="55"/>
  <c r="O1602" i="55" s="1"/>
  <c r="L1600" i="55"/>
  <c r="O1600" i="55" s="1"/>
  <c r="L1598" i="55"/>
  <c r="O1598" i="55" s="1"/>
  <c r="L1596" i="55"/>
  <c r="O1596" i="55" s="1"/>
  <c r="L1594" i="55"/>
  <c r="O1594" i="55" s="1"/>
  <c r="L1592" i="55"/>
  <c r="O1592" i="55" s="1"/>
  <c r="L1590" i="55"/>
  <c r="O1590" i="55" s="1"/>
  <c r="L1588" i="55"/>
  <c r="O1588" i="55" s="1"/>
  <c r="L1586" i="55"/>
  <c r="O1586" i="55" s="1"/>
  <c r="L1584" i="55"/>
  <c r="O1584" i="55" s="1"/>
  <c r="L1582" i="55"/>
  <c r="O1582" i="55" s="1"/>
  <c r="L1580" i="55"/>
  <c r="O1580" i="55" s="1"/>
  <c r="L1578" i="55"/>
  <c r="O1578" i="55" s="1"/>
  <c r="L1576" i="55"/>
  <c r="O1576" i="55" s="1"/>
  <c r="L1574" i="55"/>
  <c r="O1574" i="55" s="1"/>
  <c r="L1572" i="55"/>
  <c r="O1572" i="55" s="1"/>
  <c r="L1570" i="55"/>
  <c r="O1570" i="55" s="1"/>
  <c r="L1716" i="55"/>
  <c r="O1716" i="55" s="1"/>
  <c r="L1712" i="55"/>
  <c r="O1712" i="55" s="1"/>
  <c r="L1705" i="55"/>
  <c r="O1705" i="55" s="1"/>
  <c r="L1701" i="55"/>
  <c r="O1701" i="55" s="1"/>
  <c r="L1698" i="55"/>
  <c r="O1698" i="55" s="1"/>
  <c r="L1692" i="55"/>
  <c r="O1692" i="55" s="1"/>
  <c r="L1689" i="55"/>
  <c r="O1689" i="55" s="1"/>
  <c r="L1684" i="55"/>
  <c r="O1684" i="55" s="1"/>
  <c r="L1681" i="55"/>
  <c r="O1681" i="55" s="1"/>
  <c r="L1676" i="55"/>
  <c r="L1673" i="55"/>
  <c r="O1673" i="55" s="1"/>
  <c r="L1668" i="55"/>
  <c r="O1668" i="55" s="1"/>
  <c r="L1665" i="55"/>
  <c r="O1665" i="55" s="1"/>
  <c r="L1660" i="55"/>
  <c r="L1657" i="55"/>
  <c r="O1657" i="55" s="1"/>
  <c r="L1652" i="55"/>
  <c r="O1652" i="55" s="1"/>
  <c r="L1649" i="55"/>
  <c r="L1644" i="55"/>
  <c r="O1644" i="55" s="1"/>
  <c r="L1641" i="55"/>
  <c r="O1641" i="55" s="1"/>
  <c r="L1704" i="55"/>
  <c r="O1704" i="55" s="1"/>
  <c r="L1691" i="55"/>
  <c r="O1691" i="55" s="1"/>
  <c r="L1670" i="55"/>
  <c r="O1670" i="55" s="1"/>
  <c r="L1659" i="55"/>
  <c r="O1659" i="55" s="1"/>
  <c r="L1638" i="55"/>
  <c r="O1638" i="55" s="1"/>
  <c r="L1627" i="55"/>
  <c r="O1627" i="55" s="1"/>
  <c r="L1622" i="55"/>
  <c r="O1622" i="55" s="1"/>
  <c r="L1617" i="55"/>
  <c r="O1617" i="55" s="1"/>
  <c r="L1613" i="55"/>
  <c r="O1613" i="55" s="1"/>
  <c r="L1609" i="55"/>
  <c r="O1609" i="55" s="1"/>
  <c r="L1605" i="55"/>
  <c r="O1605" i="55" s="1"/>
  <c r="L1601" i="55"/>
  <c r="O1601" i="55" s="1"/>
  <c r="L1597" i="55"/>
  <c r="O1597" i="55" s="1"/>
  <c r="L1593" i="55"/>
  <c r="O1593" i="55" s="1"/>
  <c r="L1589" i="55"/>
  <c r="O1589" i="55" s="1"/>
  <c r="L1585" i="55"/>
  <c r="O1585" i="55" s="1"/>
  <c r="L1581" i="55"/>
  <c r="O1581" i="55" s="1"/>
  <c r="L1577" i="55"/>
  <c r="O1577" i="55" s="1"/>
  <c r="L1573" i="55"/>
  <c r="O1573" i="55" s="1"/>
  <c r="L1569" i="55"/>
  <c r="O1569" i="55" s="1"/>
  <c r="L1678" i="55"/>
  <c r="O1678" i="55" s="1"/>
  <c r="L1667" i="55"/>
  <c r="L1646" i="55"/>
  <c r="O1646" i="55" s="1"/>
  <c r="L1636" i="55"/>
  <c r="O1636" i="55" s="1"/>
  <c r="L1625" i="55"/>
  <c r="O1625" i="55" s="1"/>
  <c r="L1620" i="55"/>
  <c r="O1620" i="55" s="1"/>
  <c r="L1697" i="55"/>
  <c r="O1697" i="55" s="1"/>
  <c r="L1675" i="55"/>
  <c r="O1675" i="55" s="1"/>
  <c r="L1654" i="55"/>
  <c r="O1654" i="55" s="1"/>
  <c r="L1635" i="55"/>
  <c r="O1635" i="55" s="1"/>
  <c r="L1615" i="55"/>
  <c r="O1615" i="55" s="1"/>
  <c r="L1607" i="55"/>
  <c r="O1607" i="55" s="1"/>
  <c r="L1599" i="55"/>
  <c r="O1599" i="55" s="1"/>
  <c r="L1591" i="55"/>
  <c r="O1591" i="55" s="1"/>
  <c r="L1583" i="55"/>
  <c r="O1583" i="55" s="1"/>
  <c r="L1575" i="55"/>
  <c r="O1575" i="55" s="1"/>
  <c r="L1694" i="55"/>
  <c r="O1694" i="55" s="1"/>
  <c r="L1651" i="55"/>
  <c r="O1651" i="55" s="1"/>
  <c r="L1633" i="55"/>
  <c r="O1633" i="55" s="1"/>
  <c r="L1711" i="55"/>
  <c r="O1711" i="55" s="1"/>
  <c r="L1686" i="55"/>
  <c r="O1686" i="55" s="1"/>
  <c r="L1643" i="55"/>
  <c r="O1643" i="55" s="1"/>
  <c r="L1630" i="55"/>
  <c r="O1630" i="55" s="1"/>
  <c r="L1619" i="55"/>
  <c r="O1619" i="55" s="1"/>
  <c r="L1611" i="55"/>
  <c r="O1611" i="55" s="1"/>
  <c r="L1603" i="55"/>
  <c r="O1603" i="55" s="1"/>
  <c r="L1595" i="55"/>
  <c r="O1595" i="55" s="1"/>
  <c r="L1587" i="55"/>
  <c r="O1587" i="55" s="1"/>
  <c r="L1579" i="55"/>
  <c r="O1579" i="55" s="1"/>
  <c r="L1571" i="55"/>
  <c r="O1571" i="55" s="1"/>
  <c r="L1708" i="55"/>
  <c r="O1708" i="55" s="1"/>
  <c r="L1683" i="55"/>
  <c r="O1683" i="55" s="1"/>
  <c r="L1662" i="55"/>
  <c r="L1628" i="55"/>
  <c r="O1628" i="55" s="1"/>
  <c r="AG1940" i="51"/>
  <c r="L1940" i="55"/>
  <c r="O1940" i="55" s="1"/>
  <c r="AG1936" i="51"/>
  <c r="L1936" i="55"/>
  <c r="O1936" i="55" s="1"/>
  <c r="AG1937" i="51"/>
  <c r="L1937" i="55"/>
  <c r="O1937" i="55" s="1"/>
  <c r="AG2009" i="51"/>
  <c r="L2009" i="55"/>
  <c r="O2009" i="55" s="1"/>
  <c r="AG1957" i="51"/>
  <c r="L1957" i="55"/>
  <c r="O1957" i="55" s="1"/>
  <c r="AG1934" i="51"/>
  <c r="L1934" i="55"/>
  <c r="O1934" i="55" s="1"/>
  <c r="AG1950" i="51"/>
  <c r="L1950" i="55"/>
  <c r="O1950" i="55" s="1"/>
  <c r="AG2010" i="51"/>
  <c r="L2010" i="55"/>
  <c r="O2010" i="55" s="1"/>
  <c r="AG1943" i="51"/>
  <c r="L1943" i="55"/>
  <c r="O1943" i="55" s="1"/>
  <c r="AG2003" i="51"/>
  <c r="L2003" i="55"/>
  <c r="O2003" i="55" s="1"/>
  <c r="AG1537" i="51"/>
  <c r="L1537" i="55"/>
  <c r="O1537" i="55" s="1"/>
  <c r="AG1558" i="51"/>
  <c r="L1558" i="55"/>
  <c r="O1558" i="55" s="1"/>
  <c r="AG1533" i="51"/>
  <c r="L1533" i="55"/>
  <c r="O1533" i="55" s="1"/>
  <c r="AG1554" i="51"/>
  <c r="L1554" i="55"/>
  <c r="O1554" i="55" s="1"/>
  <c r="AG1529" i="51"/>
  <c r="L1529" i="55"/>
  <c r="O1529" i="55" s="1"/>
  <c r="AG1550" i="51"/>
  <c r="L1550" i="55"/>
  <c r="O1550" i="55" s="1"/>
  <c r="AG1525" i="51"/>
  <c r="L1525" i="55"/>
  <c r="O1525" i="55" s="1"/>
  <c r="AG1546" i="51"/>
  <c r="L1546" i="55"/>
  <c r="O1546" i="55" s="1"/>
  <c r="AG1568" i="51"/>
  <c r="L1568" i="55"/>
  <c r="O1568" i="55" s="1"/>
  <c r="AG1531" i="51"/>
  <c r="L1531" i="55"/>
  <c r="O1531" i="55" s="1"/>
  <c r="AG1547" i="51"/>
  <c r="L1547" i="55"/>
  <c r="O1547" i="55" s="1"/>
  <c r="AG1563" i="51"/>
  <c r="L1563" i="55"/>
  <c r="O1563" i="55" s="1"/>
  <c r="AG1969" i="51"/>
  <c r="L1969" i="55"/>
  <c r="O1969" i="55" s="1"/>
  <c r="AG1970" i="51"/>
  <c r="L1970" i="55"/>
  <c r="O1970" i="55" s="1"/>
  <c r="AG1971" i="51"/>
  <c r="L1971" i="55"/>
  <c r="O1971" i="55" s="1"/>
  <c r="AG95" i="51"/>
  <c r="L95" i="55"/>
  <c r="O95" i="55" s="1"/>
  <c r="AG471" i="51"/>
  <c r="L471" i="55"/>
  <c r="O471" i="55" s="1"/>
  <c r="AG829" i="51"/>
  <c r="L829" i="55"/>
  <c r="O829" i="55" s="1"/>
  <c r="AG1066" i="51"/>
  <c r="L1066" i="55"/>
  <c r="O1066" i="55" s="1"/>
  <c r="AG388" i="51"/>
  <c r="L388" i="55"/>
  <c r="O388" i="55" s="1"/>
  <c r="AG533" i="51"/>
  <c r="L533" i="55"/>
  <c r="O533" i="55" s="1"/>
  <c r="AG867" i="51"/>
  <c r="L867" i="55"/>
  <c r="O867" i="55" s="1"/>
  <c r="AG1163" i="51"/>
  <c r="L1163" i="55"/>
  <c r="O1163" i="55" s="1"/>
  <c r="AG480" i="51"/>
  <c r="L480" i="55"/>
  <c r="O480" i="55" s="1"/>
  <c r="AG833" i="51"/>
  <c r="L833" i="55"/>
  <c r="O833" i="55" s="1"/>
  <c r="AG1077" i="51"/>
  <c r="L1077" i="55"/>
  <c r="O1077" i="55" s="1"/>
  <c r="AG398" i="51"/>
  <c r="L398" i="55"/>
  <c r="O398" i="55" s="1"/>
  <c r="AG1057" i="51"/>
  <c r="L1057" i="55"/>
  <c r="O1057" i="55" s="1"/>
  <c r="AG904" i="51"/>
  <c r="L904" i="55"/>
  <c r="O904" i="55" s="1"/>
  <c r="AG1173" i="51"/>
  <c r="L1173" i="55"/>
  <c r="O1173" i="55" s="1"/>
  <c r="AG1719" i="51"/>
  <c r="L1719" i="55"/>
  <c r="O1719" i="55" s="1"/>
  <c r="AG1480" i="51"/>
  <c r="L1480" i="55"/>
  <c r="O1480" i="55" s="1"/>
  <c r="AG1482" i="51"/>
  <c r="L1482" i="55"/>
  <c r="O1482" i="55" s="1"/>
  <c r="AG2193" i="51"/>
  <c r="L2193" i="55"/>
  <c r="O2193" i="55" s="1"/>
  <c r="AG2206" i="51"/>
  <c r="L2206" i="55"/>
  <c r="O2206" i="55" s="1"/>
  <c r="AG357" i="51"/>
  <c r="L357" i="55"/>
  <c r="O357" i="55" s="1"/>
  <c r="AG511" i="51"/>
  <c r="L511" i="55"/>
  <c r="O511" i="55" s="1"/>
  <c r="AG784" i="51"/>
  <c r="L784" i="55"/>
  <c r="O784" i="55" s="1"/>
  <c r="AG1109" i="51"/>
  <c r="L1109" i="55"/>
  <c r="O1109" i="55" s="1"/>
  <c r="AG346" i="51"/>
  <c r="L346" i="55"/>
  <c r="O346" i="55" s="1"/>
  <c r="AG465" i="51"/>
  <c r="L465" i="55"/>
  <c r="O465" i="55" s="1"/>
  <c r="AG780" i="51"/>
  <c r="L780" i="55"/>
  <c r="O780" i="55" s="1"/>
  <c r="AG1100" i="51"/>
  <c r="L1100" i="55"/>
  <c r="O1100" i="55" s="1"/>
  <c r="AG450" i="51"/>
  <c r="L450" i="55"/>
  <c r="O450" i="55" s="1"/>
  <c r="AG750" i="51"/>
  <c r="L750" i="55"/>
  <c r="O750" i="55" s="1"/>
  <c r="AG988" i="51"/>
  <c r="L988" i="55"/>
  <c r="O988" i="55" s="1"/>
  <c r="AG1117" i="51"/>
  <c r="L1117" i="55"/>
  <c r="O1117" i="55" s="1"/>
  <c r="AG364" i="51"/>
  <c r="L364" i="55"/>
  <c r="O364" i="55" s="1"/>
  <c r="AG515" i="51"/>
  <c r="L515" i="55"/>
  <c r="O515" i="55" s="1"/>
  <c r="AG875" i="51"/>
  <c r="L875" i="55"/>
  <c r="O875" i="55" s="1"/>
  <c r="AG1113" i="51"/>
  <c r="L1113" i="55"/>
  <c r="O1113" i="55" s="1"/>
  <c r="AG506" i="51"/>
  <c r="L506" i="55"/>
  <c r="O506" i="55" s="1"/>
  <c r="AG767" i="51"/>
  <c r="L767" i="55"/>
  <c r="O767" i="55" s="1"/>
  <c r="AG985" i="51"/>
  <c r="L985" i="55"/>
  <c r="O985" i="55" s="1"/>
  <c r="AG1726" i="51"/>
  <c r="L1726" i="55"/>
  <c r="O1726" i="55" s="1"/>
  <c r="AG1441" i="51"/>
  <c r="L1441" i="55"/>
  <c r="O1441" i="55" s="1"/>
  <c r="AG1440" i="51"/>
  <c r="L1440" i="55"/>
  <c r="O1440" i="55" s="1"/>
  <c r="AG1924" i="51"/>
  <c r="L1924" i="55"/>
  <c r="O1924" i="55" s="1"/>
  <c r="AG1913" i="51"/>
  <c r="L1913" i="55"/>
  <c r="O1913" i="55" s="1"/>
  <c r="AG1903" i="51"/>
  <c r="L1903" i="55"/>
  <c r="O1903" i="55" s="1"/>
  <c r="AG1749" i="51"/>
  <c r="L1749" i="55"/>
  <c r="O1749" i="55" s="1"/>
  <c r="L1491" i="55"/>
  <c r="O1491" i="55" s="1"/>
  <c r="AG2124" i="51"/>
  <c r="L2124" i="55"/>
  <c r="O2124" i="55" s="1"/>
  <c r="AG2064" i="51"/>
  <c r="L2064" i="55"/>
  <c r="O2064" i="55" s="1"/>
  <c r="AG2160" i="51"/>
  <c r="L2160" i="55"/>
  <c r="O2160" i="55" s="1"/>
  <c r="AG2097" i="51"/>
  <c r="L2097" i="55"/>
  <c r="O2097" i="55" s="1"/>
  <c r="AG2029" i="51"/>
  <c r="L2029" i="55"/>
  <c r="O2029" i="55" s="1"/>
  <c r="AG2157" i="51"/>
  <c r="L2157" i="55"/>
  <c r="O2157" i="55" s="1"/>
  <c r="AG2078" i="51"/>
  <c r="L2078" i="55"/>
  <c r="O2078" i="55" s="1"/>
  <c r="AG2126" i="51"/>
  <c r="L2126" i="55"/>
  <c r="O2126" i="55" s="1"/>
  <c r="AG2174" i="51"/>
  <c r="L2174" i="55"/>
  <c r="O2174" i="55" s="1"/>
  <c r="AG2063" i="51"/>
  <c r="L2063" i="55"/>
  <c r="O2063" i="55" s="1"/>
  <c r="AG2127" i="51"/>
  <c r="L2127" i="55"/>
  <c r="O2127" i="55" s="1"/>
  <c r="AG2175" i="51"/>
  <c r="L2186" i="55"/>
  <c r="O2186" i="55" s="1"/>
  <c r="L2182" i="55"/>
  <c r="O2182" i="55" s="1"/>
  <c r="L2178" i="55"/>
  <c r="O2178" i="55" s="1"/>
  <c r="L2188" i="55"/>
  <c r="O2188" i="55" s="1"/>
  <c r="L2185" i="55"/>
  <c r="O2185" i="55" s="1"/>
  <c r="L2180" i="55"/>
  <c r="O2180" i="55" s="1"/>
  <c r="L2177" i="55"/>
  <c r="O2177" i="55" s="1"/>
  <c r="L2183" i="55"/>
  <c r="O2183" i="55" s="1"/>
  <c r="L2184" i="55"/>
  <c r="O2184" i="55" s="1"/>
  <c r="L2181" i="55"/>
  <c r="L2176" i="55"/>
  <c r="O2176" i="55" s="1"/>
  <c r="L2179" i="55"/>
  <c r="O2179" i="55" s="1"/>
  <c r="L2187" i="55"/>
  <c r="O2187" i="55" s="1"/>
  <c r="L2175" i="55"/>
  <c r="O2175" i="55" s="1"/>
  <c r="AG1948" i="51"/>
  <c r="L1948" i="55"/>
  <c r="O1948" i="55" s="1"/>
  <c r="AG1941" i="51"/>
  <c r="AG2002" i="51"/>
  <c r="L2002" i="55"/>
  <c r="O2002" i="55" s="1"/>
  <c r="AG1544" i="51"/>
  <c r="L1544" i="55"/>
  <c r="O1544" i="55" s="1"/>
  <c r="AG1561" i="51"/>
  <c r="L1561" i="55"/>
  <c r="O1561" i="55" s="1"/>
  <c r="AG1523" i="51"/>
  <c r="L1523" i="55"/>
  <c r="O1523" i="55" s="1"/>
  <c r="AG1972" i="51"/>
  <c r="L1972" i="55"/>
  <c r="O1972" i="55" s="1"/>
  <c r="AG1976" i="51"/>
  <c r="L1976" i="55"/>
  <c r="O1976" i="55" s="1"/>
  <c r="AG1961" i="51"/>
  <c r="L1961" i="55"/>
  <c r="O1961" i="55" s="1"/>
  <c r="AG2017" i="51"/>
  <c r="L2017" i="55"/>
  <c r="O2017" i="55" s="1"/>
  <c r="AG1981" i="51"/>
  <c r="L1981" i="55"/>
  <c r="O1981" i="55" s="1"/>
  <c r="AG1966" i="51"/>
  <c r="L1966" i="55"/>
  <c r="O1966" i="55" s="1"/>
  <c r="AG1982" i="51"/>
  <c r="L1982" i="55"/>
  <c r="O1982" i="55" s="1"/>
  <c r="AG2022" i="51"/>
  <c r="L2022" i="55"/>
  <c r="O2022" i="55" s="1"/>
  <c r="AG1967" i="51"/>
  <c r="L1967" i="55"/>
  <c r="O1967" i="55" s="1"/>
  <c r="AG1983" i="51"/>
  <c r="L1983" i="55"/>
  <c r="O1983" i="55" s="1"/>
  <c r="AG2023" i="51"/>
  <c r="L2023" i="55"/>
  <c r="O2023" i="55" s="1"/>
  <c r="AG91" i="51"/>
  <c r="L91" i="55"/>
  <c r="O91" i="55" s="1"/>
  <c r="AG93" i="51"/>
  <c r="L93" i="55"/>
  <c r="O93" i="55" s="1"/>
  <c r="AG74" i="51"/>
  <c r="L74" i="55"/>
  <c r="AG391" i="51"/>
  <c r="L391" i="55"/>
  <c r="O391" i="55" s="1"/>
  <c r="AG399" i="51"/>
  <c r="L399" i="55"/>
  <c r="O399" i="55" s="1"/>
  <c r="AG486" i="51"/>
  <c r="L486" i="55"/>
  <c r="O486" i="55" s="1"/>
  <c r="AG532" i="51"/>
  <c r="L532" i="55"/>
  <c r="O532" i="55" s="1"/>
  <c r="AG850" i="51"/>
  <c r="L850" i="55"/>
  <c r="O850" i="55" s="1"/>
  <c r="AG894" i="51"/>
  <c r="L894" i="55"/>
  <c r="O894" i="55" s="1"/>
  <c r="AG1058" i="51"/>
  <c r="L1058" i="55"/>
  <c r="O1058" i="55" s="1"/>
  <c r="AG1088" i="51"/>
  <c r="L1088" i="55"/>
  <c r="O1088" i="55" s="1"/>
  <c r="AG1167" i="51"/>
  <c r="L1167" i="55"/>
  <c r="O1167" i="55" s="1"/>
  <c r="AG384" i="51"/>
  <c r="L384" i="55"/>
  <c r="O384" i="55" s="1"/>
  <c r="AG400" i="51"/>
  <c r="L400" i="55"/>
  <c r="O400" i="55" s="1"/>
  <c r="AG487" i="51"/>
  <c r="L487" i="55"/>
  <c r="O487" i="55" s="1"/>
  <c r="AG528" i="51"/>
  <c r="L528" i="55"/>
  <c r="O528" i="55" s="1"/>
  <c r="AG839" i="51"/>
  <c r="L839" i="55"/>
  <c r="O839" i="55" s="1"/>
  <c r="AG862" i="51"/>
  <c r="L862" i="55"/>
  <c r="O862" i="55" s="1"/>
  <c r="AG1053" i="51"/>
  <c r="L1053" i="55"/>
  <c r="O1053" i="55" s="1"/>
  <c r="AG1083" i="51"/>
  <c r="L1083" i="55"/>
  <c r="O1083" i="55" s="1"/>
  <c r="AG1158" i="51"/>
  <c r="L1158" i="55"/>
  <c r="O1158" i="55" s="1"/>
  <c r="AG389" i="51"/>
  <c r="L389" i="55"/>
  <c r="O389" i="55" s="1"/>
  <c r="AG474" i="51"/>
  <c r="L474" i="55"/>
  <c r="O474" i="55" s="1"/>
  <c r="AG492" i="51"/>
  <c r="L492" i="55"/>
  <c r="O492" i="55" s="1"/>
  <c r="AG535" i="51"/>
  <c r="L535" i="55"/>
  <c r="O535" i="55" s="1"/>
  <c r="AG853" i="51"/>
  <c r="L853" i="55"/>
  <c r="O853" i="55" s="1"/>
  <c r="AG897" i="51"/>
  <c r="L897" i="55"/>
  <c r="O897" i="55" s="1"/>
  <c r="AG1069" i="51"/>
  <c r="L1069" i="55"/>
  <c r="O1069" i="55" s="1"/>
  <c r="AG1148" i="51"/>
  <c r="L1148" i="55"/>
  <c r="O1148" i="55" s="1"/>
  <c r="AG1170" i="51"/>
  <c r="L1170" i="55"/>
  <c r="O1170" i="55" s="1"/>
  <c r="AG378" i="51"/>
  <c r="L378" i="55"/>
  <c r="O378" i="55" s="1"/>
  <c r="AG394" i="51"/>
  <c r="L394" i="55"/>
  <c r="O394" i="55" s="1"/>
  <c r="AG481" i="51"/>
  <c r="L481" i="55"/>
  <c r="O481" i="55" s="1"/>
  <c r="AG525" i="51"/>
  <c r="L525" i="55"/>
  <c r="O525" i="55" s="1"/>
  <c r="AG547" i="51"/>
  <c r="L568" i="55"/>
  <c r="O568" i="55" s="1"/>
  <c r="L564" i="55"/>
  <c r="O564" i="55" s="1"/>
  <c r="L560" i="55"/>
  <c r="O560" i="55" s="1"/>
  <c r="L570" i="55"/>
  <c r="O570" i="55" s="1"/>
  <c r="L563" i="55"/>
  <c r="O563" i="55" s="1"/>
  <c r="L561" i="55"/>
  <c r="O561" i="55" s="1"/>
  <c r="L566" i="55"/>
  <c r="O566" i="55" s="1"/>
  <c r="L571" i="55"/>
  <c r="O571" i="55" s="1"/>
  <c r="L567" i="55"/>
  <c r="O567" i="55" s="1"/>
  <c r="L569" i="55"/>
  <c r="O569" i="55" s="1"/>
  <c r="L562" i="55"/>
  <c r="O562" i="55" s="1"/>
  <c r="L565" i="55"/>
  <c r="O565" i="55" s="1"/>
  <c r="L547" i="55"/>
  <c r="O547" i="55" s="1"/>
  <c r="AG835" i="51"/>
  <c r="L835" i="55"/>
  <c r="O835" i="55" s="1"/>
  <c r="AG859" i="51"/>
  <c r="L859" i="55"/>
  <c r="O859" i="55" s="1"/>
  <c r="AG1050" i="51"/>
  <c r="L1050" i="55"/>
  <c r="O1050" i="55" s="1"/>
  <c r="AG1079" i="51"/>
  <c r="L1079" i="55"/>
  <c r="O1079" i="55" s="1"/>
  <c r="AG1160" i="51"/>
  <c r="L1160" i="55"/>
  <c r="O1160" i="55" s="1"/>
  <c r="AG494" i="51"/>
  <c r="L494" i="55"/>
  <c r="O494" i="55" s="1"/>
  <c r="AG538" i="51"/>
  <c r="L538" i="55"/>
  <c r="O538" i="55" s="1"/>
  <c r="AG843" i="51"/>
  <c r="L843" i="55"/>
  <c r="O843" i="55" s="1"/>
  <c r="AG860" i="51"/>
  <c r="L860" i="55"/>
  <c r="O860" i="55" s="1"/>
  <c r="AG900" i="51"/>
  <c r="L900" i="55"/>
  <c r="O900" i="55" s="1"/>
  <c r="AG1060" i="51"/>
  <c r="L1060" i="55"/>
  <c r="O1060" i="55" s="1"/>
  <c r="AG1082" i="51"/>
  <c r="L1082" i="55"/>
  <c r="O1082" i="55" s="1"/>
  <c r="AG1153" i="51"/>
  <c r="L1153" i="55"/>
  <c r="O1153" i="55" s="1"/>
  <c r="AG1169" i="51"/>
  <c r="L1169" i="55"/>
  <c r="O1169" i="55" s="1"/>
  <c r="AG1744" i="51"/>
  <c r="L1744" i="55"/>
  <c r="O1744" i="55" s="1"/>
  <c r="AG1742" i="51"/>
  <c r="L1742" i="55"/>
  <c r="O1742" i="55" s="1"/>
  <c r="AG1743" i="51"/>
  <c r="L1743" i="55"/>
  <c r="O1743" i="55" s="1"/>
  <c r="AG1478" i="51"/>
  <c r="L1478" i="55"/>
  <c r="O1478" i="55" s="1"/>
  <c r="AG1474" i="51"/>
  <c r="L1474" i="55"/>
  <c r="O1474" i="55" s="1"/>
  <c r="AG1465" i="51"/>
  <c r="L1465" i="55"/>
  <c r="O1465" i="55" s="1"/>
  <c r="AG1486" i="51"/>
  <c r="L1486" i="55"/>
  <c r="O1486" i="55" s="1"/>
  <c r="AG1477" i="51"/>
  <c r="L1477" i="55"/>
  <c r="O1477" i="55" s="1"/>
  <c r="AG1467" i="51"/>
  <c r="L1467" i="55"/>
  <c r="O1467" i="55" s="1"/>
  <c r="AG1483" i="51"/>
  <c r="L1483" i="55"/>
  <c r="O1483" i="55" s="1"/>
  <c r="AG2213" i="51"/>
  <c r="L2213" i="55"/>
  <c r="O2213" i="55" s="1"/>
  <c r="AG2209" i="51"/>
  <c r="L2209" i="55"/>
  <c r="O2209" i="55" s="1"/>
  <c r="AG2189" i="51"/>
  <c r="L2189" i="55"/>
  <c r="AG2210" i="51"/>
  <c r="L2210" i="55"/>
  <c r="O2210" i="55" s="1"/>
  <c r="AG2201" i="51"/>
  <c r="L2201" i="55"/>
  <c r="O2201" i="55" s="1"/>
  <c r="AG2211" i="51"/>
  <c r="AG441" i="51"/>
  <c r="L441" i="55"/>
  <c r="O441" i="55" s="1"/>
  <c r="AG361" i="51"/>
  <c r="L361" i="55"/>
  <c r="O361" i="55" s="1"/>
  <c r="AG456" i="51"/>
  <c r="L456" i="55"/>
  <c r="O456" i="55" s="1"/>
  <c r="AG505" i="51"/>
  <c r="L505" i="55"/>
  <c r="O505" i="55" s="1"/>
  <c r="AG754" i="51"/>
  <c r="L754" i="55"/>
  <c r="O754" i="55" s="1"/>
  <c r="AG778" i="51"/>
  <c r="L778" i="55"/>
  <c r="O778" i="55" s="1"/>
  <c r="AG971" i="51"/>
  <c r="L971" i="55"/>
  <c r="O971" i="55" s="1"/>
  <c r="AG1000" i="51"/>
  <c r="L1000" i="55"/>
  <c r="O1000" i="55" s="1"/>
  <c r="AG1104" i="51"/>
  <c r="L1104" i="55"/>
  <c r="O1104" i="55" s="1"/>
  <c r="AG341" i="51"/>
  <c r="L341" i="55"/>
  <c r="AG358" i="51"/>
  <c r="L358" i="55"/>
  <c r="O358" i="55" s="1"/>
  <c r="AG442" i="51"/>
  <c r="L442" i="55"/>
  <c r="O442" i="55" s="1"/>
  <c r="AG461" i="51"/>
  <c r="L461" i="55"/>
  <c r="O461" i="55" s="1"/>
  <c r="AG512" i="51"/>
  <c r="L512" i="55"/>
  <c r="O512" i="55" s="1"/>
  <c r="AG749" i="51"/>
  <c r="L749" i="55"/>
  <c r="O749" i="55" s="1"/>
  <c r="AG774" i="51"/>
  <c r="L774" i="55"/>
  <c r="O774" i="55" s="1"/>
  <c r="AG878" i="51"/>
  <c r="L878" i="55"/>
  <c r="O878" i="55" s="1"/>
  <c r="AG987" i="51"/>
  <c r="L987" i="55"/>
  <c r="O987" i="55" s="1"/>
  <c r="AG1094" i="51"/>
  <c r="L1094" i="55"/>
  <c r="O1094" i="55" s="1"/>
  <c r="AG1116" i="51"/>
  <c r="L1116" i="55"/>
  <c r="O1116" i="55" s="1"/>
  <c r="AG342" i="51"/>
  <c r="L342" i="55"/>
  <c r="O342" i="55" s="1"/>
  <c r="AG359" i="51"/>
  <c r="L359" i="55"/>
  <c r="O359" i="55" s="1"/>
  <c r="AG444" i="51"/>
  <c r="L444" i="55"/>
  <c r="O444" i="55" s="1"/>
  <c r="AG462" i="51"/>
  <c r="L462" i="55"/>
  <c r="O462" i="55" s="1"/>
  <c r="AG513" i="51"/>
  <c r="L513" i="55"/>
  <c r="O513" i="55" s="1"/>
  <c r="AG744" i="51"/>
  <c r="L744" i="55"/>
  <c r="O744" i="55" s="1"/>
  <c r="AG770" i="51"/>
  <c r="L770" i="55"/>
  <c r="O770" i="55" s="1"/>
  <c r="AG874" i="51"/>
  <c r="L874" i="55"/>
  <c r="O874" i="55" s="1"/>
  <c r="AG982" i="51"/>
  <c r="L982" i="55"/>
  <c r="O982" i="55" s="1"/>
  <c r="AG1009" i="51"/>
  <c r="L1009" i="55"/>
  <c r="O1009" i="55" s="1"/>
  <c r="AG1112" i="51"/>
  <c r="L1112" i="55"/>
  <c r="O1112" i="55" s="1"/>
  <c r="AG343" i="51"/>
  <c r="L343" i="55"/>
  <c r="O343" i="55" s="1"/>
  <c r="AG360" i="51"/>
  <c r="L360" i="55"/>
  <c r="O360" i="55" s="1"/>
  <c r="AG445" i="51"/>
  <c r="L445" i="55"/>
  <c r="O445" i="55" s="1"/>
  <c r="AG463" i="51"/>
  <c r="L463" i="55"/>
  <c r="O463" i="55" s="1"/>
  <c r="AG509" i="51"/>
  <c r="L509" i="55"/>
  <c r="O509" i="55" s="1"/>
  <c r="AG766" i="51"/>
  <c r="L766" i="55"/>
  <c r="O766" i="55" s="1"/>
  <c r="AG870" i="51"/>
  <c r="L870" i="55"/>
  <c r="O870" i="55" s="1"/>
  <c r="AG977" i="51"/>
  <c r="L977" i="55"/>
  <c r="O977" i="55" s="1"/>
  <c r="AG1005" i="51"/>
  <c r="L1005" i="55"/>
  <c r="O1005" i="55" s="1"/>
  <c r="AG1108" i="51"/>
  <c r="L1108" i="55"/>
  <c r="O1108" i="55" s="1"/>
  <c r="AG502" i="51"/>
  <c r="L502" i="55"/>
  <c r="O502" i="55" s="1"/>
  <c r="AG518" i="51"/>
  <c r="L518" i="55"/>
  <c r="O518" i="55" s="1"/>
  <c r="AG762" i="51"/>
  <c r="L762" i="55"/>
  <c r="O762" i="55" s="1"/>
  <c r="AG779" i="51"/>
  <c r="L779" i="55"/>
  <c r="O779" i="55" s="1"/>
  <c r="AG876" i="51"/>
  <c r="L876" i="55"/>
  <c r="O876" i="55" s="1"/>
  <c r="AG979" i="51"/>
  <c r="L979" i="55"/>
  <c r="O979" i="55" s="1"/>
  <c r="AG1001" i="51"/>
  <c r="L1001" i="55"/>
  <c r="O1001" i="55" s="1"/>
  <c r="AG1103" i="51"/>
  <c r="L1103" i="55"/>
  <c r="O1103" i="55" s="1"/>
  <c r="AG1119" i="51"/>
  <c r="L1119" i="55"/>
  <c r="O1119" i="55" s="1"/>
  <c r="AG1718" i="51"/>
  <c r="L1718" i="55"/>
  <c r="O1718" i="55" s="1"/>
  <c r="AG1728" i="51"/>
  <c r="L1728" i="55"/>
  <c r="O1728" i="55" s="1"/>
  <c r="AG1734" i="51"/>
  <c r="L1734" i="55"/>
  <c r="O1734" i="55" s="1"/>
  <c r="AG1731" i="51"/>
  <c r="L1731" i="55"/>
  <c r="O1731" i="55" s="1"/>
  <c r="AG1457" i="51"/>
  <c r="L1457" i="55"/>
  <c r="O1457" i="55" s="1"/>
  <c r="AG1448" i="51"/>
  <c r="L1448" i="55"/>
  <c r="O1448" i="55" s="1"/>
  <c r="AG1438" i="51"/>
  <c r="AG1456" i="51"/>
  <c r="L1456" i="55"/>
  <c r="O1456" i="55" s="1"/>
  <c r="AG1443" i="51"/>
  <c r="L1443" i="55"/>
  <c r="O1443" i="55" s="1"/>
  <c r="AG1459" i="51"/>
  <c r="AG1908" i="51"/>
  <c r="L1908" i="55"/>
  <c r="O1908" i="55" s="1"/>
  <c r="AG1920" i="51"/>
  <c r="L1920" i="55"/>
  <c r="O1920" i="55" s="1"/>
  <c r="AG1905" i="51"/>
  <c r="L1905" i="55"/>
  <c r="O1905" i="55" s="1"/>
  <c r="AG1993" i="51"/>
  <c r="L1993" i="55"/>
  <c r="O1993" i="55" s="1"/>
  <c r="AG1925" i="51"/>
  <c r="L1925" i="55"/>
  <c r="O1925" i="55" s="1"/>
  <c r="AG1906" i="51"/>
  <c r="L1906" i="55"/>
  <c r="O1906" i="55" s="1"/>
  <c r="AG1922" i="51"/>
  <c r="L1922" i="55"/>
  <c r="O1922" i="55" s="1"/>
  <c r="AG1998" i="51"/>
  <c r="L1998" i="55"/>
  <c r="O1998" i="55" s="1"/>
  <c r="AG1915" i="51"/>
  <c r="L1915" i="55"/>
  <c r="O1915" i="55" s="1"/>
  <c r="AG1991" i="51"/>
  <c r="L1991" i="55"/>
  <c r="O1991" i="55" s="1"/>
  <c r="AG1722" i="51"/>
  <c r="L1722" i="55"/>
  <c r="O1722" i="55" s="1"/>
  <c r="AG1756" i="51"/>
  <c r="L1756" i="55"/>
  <c r="O1756" i="55" s="1"/>
  <c r="AG1747" i="51"/>
  <c r="L1747" i="55"/>
  <c r="O1747" i="55" s="1"/>
  <c r="AG1496" i="51"/>
  <c r="L1496" i="55"/>
  <c r="O1496" i="55" s="1"/>
  <c r="AG1517" i="51"/>
  <c r="L1517" i="55"/>
  <c r="O1517" i="55" s="1"/>
  <c r="AG1508" i="51"/>
  <c r="L1508" i="55"/>
  <c r="O1508" i="55" s="1"/>
  <c r="AG1520" i="51"/>
  <c r="L1520" i="55"/>
  <c r="O1520" i="55" s="1"/>
  <c r="AG1503" i="51"/>
  <c r="L1503" i="55"/>
  <c r="O1503" i="55" s="1"/>
  <c r="AG1519" i="51"/>
  <c r="L1519" i="55"/>
  <c r="O1519" i="55" s="1"/>
  <c r="AG2148" i="51"/>
  <c r="L2148" i="55"/>
  <c r="O2148" i="55" s="1"/>
  <c r="AG2092" i="51"/>
  <c r="L2092" i="55"/>
  <c r="O2092" i="55" s="1"/>
  <c r="AG2068" i="51"/>
  <c r="L2068" i="55"/>
  <c r="O2068" i="55" s="1"/>
  <c r="AG2044" i="51"/>
  <c r="L2044" i="55"/>
  <c r="O2044" i="55" s="1"/>
  <c r="AG2172" i="51"/>
  <c r="L2172" i="55"/>
  <c r="O2172" i="55" s="1"/>
  <c r="AG2056" i="51"/>
  <c r="L2056" i="55"/>
  <c r="O2056" i="55" s="1"/>
  <c r="AG2088" i="51"/>
  <c r="L2088" i="55"/>
  <c r="O2088" i="55" s="1"/>
  <c r="AG2120" i="51"/>
  <c r="L2120" i="55"/>
  <c r="O2120" i="55" s="1"/>
  <c r="AG2152" i="51"/>
  <c r="L2152" i="55"/>
  <c r="O2152" i="55" s="1"/>
  <c r="AG2057" i="51"/>
  <c r="L2057" i="55"/>
  <c r="O2057" i="55" s="1"/>
  <c r="AG2089" i="51"/>
  <c r="L2089" i="55"/>
  <c r="O2089" i="55" s="1"/>
  <c r="AG2121" i="51"/>
  <c r="L2121" i="55"/>
  <c r="O2121" i="55" s="1"/>
  <c r="AG2153" i="51"/>
  <c r="L2153" i="55"/>
  <c r="O2153" i="55" s="1"/>
  <c r="AG2053" i="51"/>
  <c r="L2053" i="55"/>
  <c r="O2053" i="55" s="1"/>
  <c r="AG2085" i="51"/>
  <c r="L2085" i="55"/>
  <c r="O2085" i="55" s="1"/>
  <c r="AG2117" i="51"/>
  <c r="L2117" i="55"/>
  <c r="O2117" i="55" s="1"/>
  <c r="AG2149" i="51"/>
  <c r="L2149" i="55"/>
  <c r="O2149" i="55" s="1"/>
  <c r="AG2042" i="51"/>
  <c r="L2042" i="55"/>
  <c r="O2042" i="55" s="1"/>
  <c r="AG2058" i="51"/>
  <c r="L2058" i="55"/>
  <c r="O2058" i="55" s="1"/>
  <c r="AG2074" i="51"/>
  <c r="L2074" i="55"/>
  <c r="O2074" i="55" s="1"/>
  <c r="AG2090" i="51"/>
  <c r="L2090" i="55"/>
  <c r="O2090" i="55" s="1"/>
  <c r="AG2106" i="51"/>
  <c r="L2106" i="55"/>
  <c r="O2106" i="55" s="1"/>
  <c r="AG2122" i="51"/>
  <c r="L2122" i="55"/>
  <c r="O2122" i="55" s="1"/>
  <c r="AG2138" i="51"/>
  <c r="L2138" i="55"/>
  <c r="O2138" i="55" s="1"/>
  <c r="AG2154" i="51"/>
  <c r="L2154" i="55"/>
  <c r="O2154" i="55" s="1"/>
  <c r="AG2170" i="51"/>
  <c r="L2170" i="55"/>
  <c r="O2170" i="55" s="1"/>
  <c r="AG2027" i="51"/>
  <c r="L2027" i="55"/>
  <c r="O2027" i="55" s="1"/>
  <c r="AG2043" i="51"/>
  <c r="L2043" i="55"/>
  <c r="O2043" i="55" s="1"/>
  <c r="AG2059" i="51"/>
  <c r="L2059" i="55"/>
  <c r="O2059" i="55" s="1"/>
  <c r="AG2075" i="51"/>
  <c r="L2075" i="55"/>
  <c r="O2075" i="55" s="1"/>
  <c r="AG2091" i="51"/>
  <c r="L2091" i="55"/>
  <c r="O2091" i="55" s="1"/>
  <c r="AG2107" i="51"/>
  <c r="L2107" i="55"/>
  <c r="O2107" i="55" s="1"/>
  <c r="AG2123" i="51"/>
  <c r="L2123" i="55"/>
  <c r="O2123" i="55" s="1"/>
  <c r="AG2139" i="51"/>
  <c r="L2139" i="55"/>
  <c r="O2139" i="55" s="1"/>
  <c r="AG2155" i="51"/>
  <c r="L2155" i="55"/>
  <c r="O2155" i="55" s="1"/>
  <c r="AG2171" i="51"/>
  <c r="L2171" i="55"/>
  <c r="O2171" i="55" s="1"/>
  <c r="AG2004" i="51"/>
  <c r="L2004" i="55"/>
  <c r="O2004" i="55" s="1"/>
  <c r="AG1944" i="51"/>
  <c r="L1944" i="55"/>
  <c r="O1944" i="55" s="1"/>
  <c r="AG1933" i="51"/>
  <c r="L1933" i="55"/>
  <c r="O1933" i="55" s="1"/>
  <c r="AG2005" i="51"/>
  <c r="L2005" i="55"/>
  <c r="O2005" i="55" s="1"/>
  <c r="AG1938" i="51"/>
  <c r="L1938" i="55"/>
  <c r="O1938" i="55" s="1"/>
  <c r="AG1931" i="51"/>
  <c r="L1931" i="55"/>
  <c r="O1931" i="55" s="1"/>
  <c r="AG1947" i="51"/>
  <c r="L1947" i="55"/>
  <c r="O1947" i="55" s="1"/>
  <c r="AG2007" i="51"/>
  <c r="L2007" i="55"/>
  <c r="O2007" i="55" s="1"/>
  <c r="AG1521" i="51"/>
  <c r="L1899" i="55"/>
  <c r="O1899" i="55" s="1"/>
  <c r="L1897" i="55"/>
  <c r="O1897" i="55" s="1"/>
  <c r="L1895" i="55"/>
  <c r="O1895" i="55" s="1"/>
  <c r="L1893" i="55"/>
  <c r="O1893" i="55" s="1"/>
  <c r="L1891" i="55"/>
  <c r="O1891" i="55" s="1"/>
  <c r="L1889" i="55"/>
  <c r="O1889" i="55" s="1"/>
  <c r="L1887" i="55"/>
  <c r="O1887" i="55" s="1"/>
  <c r="L1885" i="55"/>
  <c r="O1885" i="55" s="1"/>
  <c r="L1898" i="55"/>
  <c r="O1898" i="55" s="1"/>
  <c r="L1890" i="55"/>
  <c r="O1890" i="55" s="1"/>
  <c r="L1883" i="55"/>
  <c r="O1883" i="55" s="1"/>
  <c r="L1881" i="55"/>
  <c r="O1881" i="55" s="1"/>
  <c r="L1879" i="55"/>
  <c r="O1879" i="55" s="1"/>
  <c r="L1877" i="55"/>
  <c r="O1877" i="55" s="1"/>
  <c r="L1875" i="55"/>
  <c r="O1875" i="55" s="1"/>
  <c r="L1873" i="55"/>
  <c r="O1873" i="55" s="1"/>
  <c r="L1871" i="55"/>
  <c r="O1871" i="55" s="1"/>
  <c r="L1869" i="55"/>
  <c r="O1869" i="55" s="1"/>
  <c r="L1867" i="55"/>
  <c r="O1867" i="55" s="1"/>
  <c r="L1865" i="55"/>
  <c r="O1865" i="55" s="1"/>
  <c r="L1863" i="55"/>
  <c r="O1863" i="55" s="1"/>
  <c r="L1861" i="55"/>
  <c r="O1861" i="55" s="1"/>
  <c r="L1859" i="55"/>
  <c r="O1859" i="55" s="1"/>
  <c r="L1857" i="55"/>
  <c r="O1857" i="55" s="1"/>
  <c r="L1855" i="55"/>
  <c r="O1855" i="55" s="1"/>
  <c r="L1853" i="55"/>
  <c r="O1853" i="55" s="1"/>
  <c r="L1851" i="55"/>
  <c r="O1851" i="55" s="1"/>
  <c r="L1849" i="55"/>
  <c r="O1849" i="55" s="1"/>
  <c r="L1847" i="55"/>
  <c r="O1847" i="55" s="1"/>
  <c r="L1845" i="55"/>
  <c r="O1845" i="55" s="1"/>
  <c r="L1843" i="55"/>
  <c r="O1843" i="55" s="1"/>
  <c r="L1841" i="55"/>
  <c r="O1841" i="55" s="1"/>
  <c r="L1839" i="55"/>
  <c r="O1839" i="55" s="1"/>
  <c r="L1837" i="55"/>
  <c r="O1837" i="55" s="1"/>
  <c r="L1835" i="55"/>
  <c r="O1835" i="55" s="1"/>
  <c r="L1833" i="55"/>
  <c r="O1833" i="55" s="1"/>
  <c r="L1831" i="55"/>
  <c r="O1831" i="55" s="1"/>
  <c r="L1829" i="55"/>
  <c r="O1829" i="55" s="1"/>
  <c r="L1827" i="55"/>
  <c r="O1827" i="55" s="1"/>
  <c r="L1825" i="55"/>
  <c r="O1825" i="55" s="1"/>
  <c r="L1823" i="55"/>
  <c r="O1823" i="55" s="1"/>
  <c r="L1821" i="55"/>
  <c r="O1821" i="55" s="1"/>
  <c r="L1819" i="55"/>
  <c r="O1819" i="55" s="1"/>
  <c r="L1817" i="55"/>
  <c r="O1817" i="55" s="1"/>
  <c r="L1815" i="55"/>
  <c r="O1815" i="55" s="1"/>
  <c r="L1813" i="55"/>
  <c r="O1813" i="55" s="1"/>
  <c r="L1811" i="55"/>
  <c r="O1811" i="55" s="1"/>
  <c r="L1809" i="55"/>
  <c r="O1809" i="55" s="1"/>
  <c r="L1807" i="55"/>
  <c r="O1807" i="55" s="1"/>
  <c r="L1805" i="55"/>
  <c r="O1805" i="55" s="1"/>
  <c r="L1803" i="55"/>
  <c r="O1803" i="55" s="1"/>
  <c r="L1801" i="55"/>
  <c r="O1801" i="55" s="1"/>
  <c r="L1799" i="55"/>
  <c r="O1799" i="55" s="1"/>
  <c r="L1797" i="55"/>
  <c r="O1797" i="55" s="1"/>
  <c r="L1795" i="55"/>
  <c r="O1795" i="55" s="1"/>
  <c r="L1793" i="55"/>
  <c r="O1793" i="55" s="1"/>
  <c r="L1791" i="55"/>
  <c r="O1791" i="55" s="1"/>
  <c r="L1789" i="55"/>
  <c r="O1789" i="55" s="1"/>
  <c r="L1787" i="55"/>
  <c r="O1787" i="55" s="1"/>
  <c r="L1785" i="55"/>
  <c r="O1785" i="55" s="1"/>
  <c r="L1783" i="55"/>
  <c r="O1783" i="55" s="1"/>
  <c r="L1781" i="55"/>
  <c r="O1781" i="55" s="1"/>
  <c r="L1779" i="55"/>
  <c r="O1779" i="55" s="1"/>
  <c r="L1777" i="55"/>
  <c r="O1777" i="55" s="1"/>
  <c r="L1775" i="55"/>
  <c r="O1775" i="55" s="1"/>
  <c r="L1773" i="55"/>
  <c r="O1773" i="55" s="1"/>
  <c r="L1771" i="55"/>
  <c r="O1771" i="55" s="1"/>
  <c r="L1769" i="55"/>
  <c r="O1769" i="55" s="1"/>
  <c r="L1767" i="55"/>
  <c r="O1767" i="55" s="1"/>
  <c r="L1765" i="55"/>
  <c r="O1765" i="55" s="1"/>
  <c r="L1763" i="55"/>
  <c r="O1763" i="55" s="1"/>
  <c r="L1761" i="55"/>
  <c r="O1761" i="55" s="1"/>
  <c r="L1759" i="55"/>
  <c r="O1759" i="55" s="1"/>
  <c r="L1900" i="55"/>
  <c r="O1900" i="55" s="1"/>
  <c r="L1892" i="55"/>
  <c r="O1892" i="55" s="1"/>
  <c r="L1894" i="55"/>
  <c r="O1894" i="55" s="1"/>
  <c r="L1886" i="55"/>
  <c r="O1886" i="55" s="1"/>
  <c r="L1884" i="55"/>
  <c r="O1884" i="55" s="1"/>
  <c r="L1882" i="55"/>
  <c r="O1882" i="55" s="1"/>
  <c r="L1880" i="55"/>
  <c r="O1880" i="55" s="1"/>
  <c r="L1878" i="55"/>
  <c r="O1878" i="55" s="1"/>
  <c r="L1876" i="55"/>
  <c r="O1876" i="55" s="1"/>
  <c r="L1874" i="55"/>
  <c r="O1874" i="55" s="1"/>
  <c r="L1872" i="55"/>
  <c r="O1872" i="55" s="1"/>
  <c r="L1870" i="55"/>
  <c r="O1870" i="55" s="1"/>
  <c r="L1868" i="55"/>
  <c r="O1868" i="55" s="1"/>
  <c r="L1866" i="55"/>
  <c r="O1866" i="55" s="1"/>
  <c r="L1864" i="55"/>
  <c r="O1864" i="55" s="1"/>
  <c r="L1862" i="55"/>
  <c r="O1862" i="55" s="1"/>
  <c r="L1860" i="55"/>
  <c r="O1860" i="55" s="1"/>
  <c r="L1858" i="55"/>
  <c r="O1858" i="55" s="1"/>
  <c r="L1856" i="55"/>
  <c r="O1856" i="55" s="1"/>
  <c r="L1854" i="55"/>
  <c r="O1854" i="55" s="1"/>
  <c r="L1852" i="55"/>
  <c r="O1852" i="55" s="1"/>
  <c r="L1850" i="55"/>
  <c r="O1850" i="55" s="1"/>
  <c r="L1848" i="55"/>
  <c r="O1848" i="55" s="1"/>
  <c r="L1846" i="55"/>
  <c r="O1846" i="55" s="1"/>
  <c r="L1844" i="55"/>
  <c r="O1844" i="55" s="1"/>
  <c r="L1842" i="55"/>
  <c r="O1842" i="55" s="1"/>
  <c r="L1840" i="55"/>
  <c r="O1840" i="55" s="1"/>
  <c r="L1838" i="55"/>
  <c r="O1838" i="55" s="1"/>
  <c r="L1836" i="55"/>
  <c r="O1836" i="55" s="1"/>
  <c r="L1834" i="55"/>
  <c r="O1834" i="55" s="1"/>
  <c r="L1832" i="55"/>
  <c r="O1832" i="55" s="1"/>
  <c r="L1830" i="55"/>
  <c r="O1830" i="55" s="1"/>
  <c r="L1828" i="55"/>
  <c r="O1828" i="55" s="1"/>
  <c r="L1826" i="55"/>
  <c r="O1826" i="55" s="1"/>
  <c r="L1824" i="55"/>
  <c r="O1824" i="55" s="1"/>
  <c r="L1822" i="55"/>
  <c r="O1822" i="55" s="1"/>
  <c r="L1820" i="55"/>
  <c r="O1820" i="55" s="1"/>
  <c r="L1818" i="55"/>
  <c r="O1818" i="55" s="1"/>
  <c r="L1816" i="55"/>
  <c r="O1816" i="55" s="1"/>
  <c r="L1814" i="55"/>
  <c r="O1814" i="55" s="1"/>
  <c r="L1812" i="55"/>
  <c r="O1812" i="55" s="1"/>
  <c r="L1810" i="55"/>
  <c r="O1810" i="55" s="1"/>
  <c r="L1808" i="55"/>
  <c r="O1808" i="55" s="1"/>
  <c r="L1806" i="55"/>
  <c r="O1806" i="55" s="1"/>
  <c r="L1804" i="55"/>
  <c r="O1804" i="55" s="1"/>
  <c r="L1802" i="55"/>
  <c r="O1802" i="55" s="1"/>
  <c r="L1800" i="55"/>
  <c r="O1800" i="55" s="1"/>
  <c r="L1798" i="55"/>
  <c r="O1798" i="55" s="1"/>
  <c r="L1796" i="55"/>
  <c r="O1796" i="55" s="1"/>
  <c r="L1794" i="55"/>
  <c r="O1794" i="55" s="1"/>
  <c r="L1792" i="55"/>
  <c r="O1792" i="55" s="1"/>
  <c r="L1790" i="55"/>
  <c r="O1790" i="55" s="1"/>
  <c r="L1788" i="55"/>
  <c r="O1788" i="55" s="1"/>
  <c r="L1786" i="55"/>
  <c r="O1786" i="55" s="1"/>
  <c r="L1784" i="55"/>
  <c r="O1784" i="55" s="1"/>
  <c r="L1782" i="55"/>
  <c r="O1782" i="55" s="1"/>
  <c r="L1780" i="55"/>
  <c r="O1780" i="55" s="1"/>
  <c r="L1778" i="55"/>
  <c r="O1778" i="55" s="1"/>
  <c r="L1776" i="55"/>
  <c r="O1776" i="55" s="1"/>
  <c r="L1774" i="55"/>
  <c r="O1774" i="55" s="1"/>
  <c r="L1772" i="55"/>
  <c r="O1772" i="55" s="1"/>
  <c r="L1770" i="55"/>
  <c r="O1770" i="55" s="1"/>
  <c r="L1768" i="55"/>
  <c r="O1768" i="55" s="1"/>
  <c r="L1766" i="55"/>
  <c r="O1766" i="55" s="1"/>
  <c r="L1764" i="55"/>
  <c r="O1764" i="55" s="1"/>
  <c r="L1762" i="55"/>
  <c r="O1762" i="55" s="1"/>
  <c r="L1760" i="55"/>
  <c r="O1760" i="55" s="1"/>
  <c r="L1896" i="55"/>
  <c r="O1896" i="55" s="1"/>
  <c r="L1888" i="55"/>
  <c r="O1888" i="55" s="1"/>
  <c r="L1521" i="55"/>
  <c r="O1521" i="55" s="1"/>
  <c r="AG1542" i="51"/>
  <c r="L1542" i="55"/>
  <c r="O1542" i="55" s="1"/>
  <c r="AG1564" i="51"/>
  <c r="L1564" i="55"/>
  <c r="O1564" i="55" s="1"/>
  <c r="AG1538" i="51"/>
  <c r="L1538" i="55"/>
  <c r="O1538" i="55" s="1"/>
  <c r="AG1560" i="51"/>
  <c r="L1560" i="55"/>
  <c r="O1560" i="55" s="1"/>
  <c r="AG1534" i="51"/>
  <c r="L1534" i="55"/>
  <c r="O1534" i="55" s="1"/>
  <c r="AG1556" i="51"/>
  <c r="L1556" i="55"/>
  <c r="O1556" i="55" s="1"/>
  <c r="AG1530" i="51"/>
  <c r="L1530" i="55"/>
  <c r="O1530" i="55" s="1"/>
  <c r="AG1552" i="51"/>
  <c r="L1552" i="55"/>
  <c r="O1552" i="55" s="1"/>
  <c r="AG1535" i="51"/>
  <c r="L1535" i="55"/>
  <c r="O1535" i="55" s="1"/>
  <c r="AG1551" i="51"/>
  <c r="L1551" i="55"/>
  <c r="O1551" i="55" s="1"/>
  <c r="AG1567" i="51"/>
  <c r="L1567" i="55"/>
  <c r="O1567" i="55" s="1"/>
  <c r="X46" i="48"/>
  <c r="Y5" i="48"/>
  <c r="Y5" i="47"/>
  <c r="X46" i="47"/>
  <c r="AB48" i="48"/>
  <c r="AB48" i="46"/>
  <c r="AB48" i="47"/>
  <c r="AB48" i="45"/>
  <c r="AM71" i="41"/>
  <c r="AM69" i="44"/>
  <c r="AM69" i="43"/>
  <c r="AM69" i="42"/>
  <c r="O548" i="55" l="1"/>
  <c r="O167" i="55"/>
  <c r="L1963" i="55"/>
  <c r="O1963" i="55" s="1"/>
  <c r="L2024" i="55"/>
  <c r="O2024" i="55" s="1"/>
  <c r="L2011" i="55"/>
  <c r="O2011" i="55" s="1"/>
  <c r="L1495" i="55"/>
  <c r="O1495" i="55" s="1"/>
  <c r="L1095" i="55"/>
  <c r="O1095" i="55" s="1"/>
  <c r="L771" i="55"/>
  <c r="O771" i="55" s="1"/>
  <c r="L510" i="55"/>
  <c r="O510" i="55" s="1"/>
  <c r="L1097" i="55"/>
  <c r="O1097" i="55" s="1"/>
  <c r="L753" i="55"/>
  <c r="O753" i="55" s="1"/>
  <c r="L967" i="55"/>
  <c r="O967" i="55" s="1"/>
  <c r="L758" i="55"/>
  <c r="O758" i="55" s="1"/>
  <c r="L351" i="55"/>
  <c r="O351" i="55" s="1"/>
  <c r="L1002" i="55"/>
  <c r="O1002" i="55" s="1"/>
  <c r="L447" i="55"/>
  <c r="O447" i="55" s="1"/>
  <c r="L2212" i="55"/>
  <c r="O2212" i="55" s="1"/>
  <c r="L522" i="55"/>
  <c r="O522" i="55" s="1"/>
  <c r="L549" i="55"/>
  <c r="O549" i="55" s="1"/>
  <c r="L559" i="55"/>
  <c r="O559" i="55" s="1"/>
  <c r="L556" i="55"/>
  <c r="O556" i="55" s="1"/>
  <c r="L452" i="55"/>
  <c r="O452" i="55" s="1"/>
  <c r="L2197" i="55"/>
  <c r="O2197" i="55" s="1"/>
  <c r="L1470" i="55"/>
  <c r="O1470" i="55" s="1"/>
  <c r="O163" i="55"/>
  <c r="O136" i="55"/>
  <c r="L1952" i="55"/>
  <c r="O1952" i="55" s="1"/>
  <c r="L1513" i="55"/>
  <c r="O1513" i="55" s="1"/>
  <c r="L880" i="55"/>
  <c r="O880" i="55" s="1"/>
  <c r="L1092" i="55"/>
  <c r="O1092" i="55" s="1"/>
  <c r="L1007" i="55"/>
  <c r="O1007" i="55" s="1"/>
  <c r="L84" i="55"/>
  <c r="O84" i="55" s="1"/>
  <c r="L2008" i="55"/>
  <c r="O2008" i="55" s="1"/>
  <c r="L2208" i="55"/>
  <c r="O2208" i="55" s="1"/>
  <c r="L1736" i="55"/>
  <c r="O1736" i="55" s="1"/>
  <c r="L1977" i="55"/>
  <c r="O1977" i="55" s="1"/>
  <c r="L1489" i="55"/>
  <c r="O1489" i="55" s="1"/>
  <c r="L551" i="55"/>
  <c r="O551" i="55" s="1"/>
  <c r="L553" i="55"/>
  <c r="O553" i="55" s="1"/>
  <c r="L554" i="55"/>
  <c r="O554" i="55" s="1"/>
  <c r="AG522" i="51"/>
  <c r="O146" i="55"/>
  <c r="O145" i="55"/>
  <c r="L558" i="55"/>
  <c r="O558" i="55" s="1"/>
  <c r="L550" i="55"/>
  <c r="O550" i="55" s="1"/>
  <c r="L1954" i="55"/>
  <c r="O1954" i="55" s="1"/>
  <c r="L1945" i="55"/>
  <c r="O1945" i="55" s="1"/>
  <c r="L1498" i="55"/>
  <c r="O1498" i="55" s="1"/>
  <c r="L1505" i="55"/>
  <c r="O1505" i="55" s="1"/>
  <c r="L1436" i="55"/>
  <c r="O1436" i="55" s="1"/>
  <c r="L2195" i="55"/>
  <c r="O2195" i="55" s="1"/>
  <c r="L1746" i="55"/>
  <c r="O1746" i="55" s="1"/>
  <c r="L87" i="55"/>
  <c r="O87" i="55" s="1"/>
  <c r="L76" i="55"/>
  <c r="O76" i="55" s="1"/>
  <c r="O1660" i="55"/>
  <c r="O1676" i="55"/>
  <c r="L1750" i="55"/>
  <c r="O1750" i="55" s="1"/>
  <c r="L2200" i="55"/>
  <c r="O2200" i="55" s="1"/>
  <c r="L1434" i="55"/>
  <c r="O1434" i="55" s="1"/>
  <c r="L1501" i="55"/>
  <c r="O1501" i="55" s="1"/>
  <c r="O1667" i="55"/>
  <c r="O1649" i="55"/>
  <c r="O1647" i="55"/>
  <c r="O1653" i="55"/>
  <c r="L2207" i="55"/>
  <c r="O2207" i="55" s="1"/>
  <c r="O137" i="55"/>
  <c r="L1956" i="55"/>
  <c r="O1956" i="55" s="1"/>
  <c r="L1751" i="55"/>
  <c r="O1751" i="55" s="1"/>
  <c r="L2215" i="55"/>
  <c r="O2215" i="55" s="1"/>
  <c r="L1735" i="55"/>
  <c r="O1735" i="55" s="1"/>
  <c r="AG2194" i="51"/>
  <c r="O2181" i="55"/>
  <c r="O1662" i="55"/>
  <c r="O1672" i="55"/>
  <c r="AG1444" i="51"/>
  <c r="T12" i="44"/>
  <c r="S12" i="57"/>
  <c r="S78" i="57" s="1"/>
  <c r="AB67" i="43"/>
  <c r="K7" i="59"/>
  <c r="K13" i="59" s="1"/>
  <c r="K11" i="59"/>
  <c r="H15" i="59"/>
  <c r="H14" i="59"/>
  <c r="S5" i="57"/>
  <c r="S71" i="57" s="1"/>
  <c r="S67" i="44"/>
  <c r="N11" i="59"/>
  <c r="N9" i="59"/>
  <c r="K9" i="59"/>
  <c r="K7" i="60"/>
  <c r="L2203" i="55"/>
  <c r="O2203" i="55" s="1"/>
  <c r="L1942" i="55"/>
  <c r="O1942" i="55" s="1"/>
  <c r="L1492" i="55"/>
  <c r="O1492" i="55" s="1"/>
  <c r="AP6" i="51"/>
  <c r="AQ6" i="51" s="1"/>
  <c r="AG1432" i="51"/>
  <c r="AP4" i="51" s="1"/>
  <c r="L1455" i="55"/>
  <c r="O1455" i="55" s="1"/>
  <c r="L1433" i="55"/>
  <c r="O1433" i="55" s="1"/>
  <c r="AC12" i="55"/>
  <c r="AP7" i="51"/>
  <c r="AQ7" i="51" s="1"/>
  <c r="L2196" i="55"/>
  <c r="O2196" i="55" s="1"/>
  <c r="L2202" i="55"/>
  <c r="O2202" i="55" s="1"/>
  <c r="L1431" i="55"/>
  <c r="O1431" i="55" s="1"/>
  <c r="M9" i="60"/>
  <c r="K15" i="60"/>
  <c r="K14" i="60"/>
  <c r="M7" i="60"/>
  <c r="M13" i="60" s="1"/>
  <c r="K13" i="60"/>
  <c r="AP5" i="51"/>
  <c r="AQ5" i="51" s="1"/>
  <c r="O1717" i="55"/>
  <c r="W10" i="55" s="1"/>
  <c r="AC11" i="55"/>
  <c r="AC7" i="55"/>
  <c r="AC9" i="55"/>
  <c r="T11" i="55"/>
  <c r="O1901" i="55"/>
  <c r="W11" i="55" s="1"/>
  <c r="AC10" i="55"/>
  <c r="AP3" i="51"/>
  <c r="AQ3" i="51" s="1"/>
  <c r="T7" i="55"/>
  <c r="O341" i="55"/>
  <c r="W7" i="55" s="1"/>
  <c r="O2189" i="55"/>
  <c r="O74" i="55"/>
  <c r="T9" i="55"/>
  <c r="O1430" i="55"/>
  <c r="Y46" i="47"/>
  <c r="AB5" i="47"/>
  <c r="AB46" i="47" s="1"/>
  <c r="Y46" i="48"/>
  <c r="AB5" i="48"/>
  <c r="G5" i="62" s="1"/>
  <c r="AP9" i="51" l="1"/>
  <c r="AQ9" i="51" s="1"/>
  <c r="AQ4" i="51"/>
  <c r="T10" i="55"/>
  <c r="Z10" i="55" s="1"/>
  <c r="AH10" i="55" s="1"/>
  <c r="W12" i="55"/>
  <c r="T12" i="55"/>
  <c r="K15" i="59"/>
  <c r="K14" i="59"/>
  <c r="I7" i="59"/>
  <c r="I13" i="59" s="1"/>
  <c r="I9" i="59"/>
  <c r="I11" i="59"/>
  <c r="N15" i="59"/>
  <c r="N14" i="59"/>
  <c r="W9" i="55"/>
  <c r="Z9" i="55" s="1"/>
  <c r="AH9" i="55" s="1"/>
  <c r="M15" i="60"/>
  <c r="M14" i="60"/>
  <c r="Z7" i="55"/>
  <c r="AH7" i="55" s="1"/>
  <c r="Z11" i="55"/>
  <c r="AH11" i="55" s="1"/>
  <c r="AA85" i="52"/>
  <c r="AA84" i="52"/>
  <c r="AA77" i="52"/>
  <c r="AA76" i="52"/>
  <c r="AA61" i="52"/>
  <c r="AA60" i="52"/>
  <c r="AA53" i="52"/>
  <c r="AA52" i="52"/>
  <c r="AA181" i="51"/>
  <c r="AG181" i="51" s="1"/>
  <c r="AA177" i="51"/>
  <c r="AG177" i="51" s="1"/>
  <c r="AA174" i="51"/>
  <c r="AA159" i="51"/>
  <c r="AG159" i="51" s="1"/>
  <c r="AA156" i="51"/>
  <c r="AG156" i="51" s="1"/>
  <c r="AA153" i="51"/>
  <c r="AG153" i="51" s="1"/>
  <c r="AA150" i="51"/>
  <c r="AG150" i="51" s="1"/>
  <c r="AA78" i="52"/>
  <c r="AA55" i="52"/>
  <c r="AA83" i="52"/>
  <c r="AA82" i="52"/>
  <c r="AA75" i="52"/>
  <c r="AA74" i="52"/>
  <c r="AA59" i="52"/>
  <c r="AA58" i="52"/>
  <c r="AA51" i="52"/>
  <c r="AA50" i="52"/>
  <c r="AA182" i="51"/>
  <c r="AA179" i="51"/>
  <c r="AG179" i="51" s="1"/>
  <c r="AA176" i="51"/>
  <c r="AG176" i="51" s="1"/>
  <c r="AA173" i="51"/>
  <c r="AG173" i="51" s="1"/>
  <c r="AA157" i="51"/>
  <c r="AG157" i="51" s="1"/>
  <c r="AA154" i="51"/>
  <c r="AG154" i="51" s="1"/>
  <c r="AA151" i="51"/>
  <c r="AG151" i="51" s="1"/>
  <c r="AA148" i="51"/>
  <c r="AG148" i="51" s="1"/>
  <c r="AA81" i="52"/>
  <c r="AA80" i="52"/>
  <c r="AA57" i="52"/>
  <c r="AA56" i="52"/>
  <c r="AA183" i="51"/>
  <c r="AG183" i="51" s="1"/>
  <c r="AA180" i="51"/>
  <c r="AG180" i="51" s="1"/>
  <c r="AA178" i="51"/>
  <c r="AG178" i="51" s="1"/>
  <c r="AA175" i="51"/>
  <c r="AG175" i="51" s="1"/>
  <c r="AA172" i="51"/>
  <c r="AG172" i="51" s="1"/>
  <c r="AA158" i="51"/>
  <c r="AG158" i="51" s="1"/>
  <c r="AA155" i="51"/>
  <c r="AG155" i="51" s="1"/>
  <c r="AA152" i="51"/>
  <c r="AG152" i="51" s="1"/>
  <c r="AA149" i="51"/>
  <c r="AG149" i="51" s="1"/>
  <c r="AA79" i="52"/>
  <c r="AA54" i="52"/>
  <c r="AB46" i="48"/>
  <c r="AG182" i="51"/>
  <c r="AG174" i="51"/>
  <c r="AA132" i="51"/>
  <c r="AA124" i="51"/>
  <c r="AA117" i="51"/>
  <c r="AA130" i="51"/>
  <c r="AA122" i="51"/>
  <c r="AA115" i="51"/>
  <c r="AA128" i="51"/>
  <c r="AA121" i="51"/>
  <c r="AA113" i="51"/>
  <c r="AA119" i="51"/>
  <c r="AA111" i="51"/>
  <c r="AA134" i="51"/>
  <c r="AA126" i="51"/>
  <c r="Z12" i="55" l="1"/>
  <c r="AH12" i="55" s="1"/>
  <c r="I15" i="59"/>
  <c r="I14" i="59"/>
  <c r="AG134" i="51"/>
  <c r="L180" i="55"/>
  <c r="O180" i="55" s="1"/>
  <c r="L176" i="55"/>
  <c r="O176" i="55" s="1"/>
  <c r="L172" i="55"/>
  <c r="O172" i="55" s="1"/>
  <c r="L156" i="55"/>
  <c r="O156" i="55" s="1"/>
  <c r="L152" i="55"/>
  <c r="O152" i="55" s="1"/>
  <c r="L148" i="55"/>
  <c r="O148" i="55" s="1"/>
  <c r="L183" i="55"/>
  <c r="O183" i="55" s="1"/>
  <c r="L181" i="55"/>
  <c r="O181" i="55" s="1"/>
  <c r="L174" i="55"/>
  <c r="O174" i="55" s="1"/>
  <c r="L158" i="55"/>
  <c r="O158" i="55" s="1"/>
  <c r="L179" i="55"/>
  <c r="O179" i="55" s="1"/>
  <c r="L177" i="55"/>
  <c r="O177" i="55" s="1"/>
  <c r="L154" i="55"/>
  <c r="O154" i="55" s="1"/>
  <c r="L182" i="55"/>
  <c r="O182" i="55" s="1"/>
  <c r="L175" i="55"/>
  <c r="O175" i="55" s="1"/>
  <c r="L157" i="55"/>
  <c r="O157" i="55" s="1"/>
  <c r="L155" i="55"/>
  <c r="O155" i="55" s="1"/>
  <c r="L150" i="55"/>
  <c r="O150" i="55" s="1"/>
  <c r="L178" i="55"/>
  <c r="O178" i="55" s="1"/>
  <c r="L173" i="55"/>
  <c r="O173" i="55" s="1"/>
  <c r="L159" i="55"/>
  <c r="O159" i="55" s="1"/>
  <c r="L149" i="55"/>
  <c r="O149" i="55" s="1"/>
  <c r="L153" i="55"/>
  <c r="O153" i="55" s="1"/>
  <c r="L151" i="55"/>
  <c r="O151" i="55" s="1"/>
  <c r="L134" i="55"/>
  <c r="O134" i="55" s="1"/>
  <c r="AG113" i="51"/>
  <c r="L113" i="55"/>
  <c r="O113" i="55" s="1"/>
  <c r="AG132" i="51"/>
  <c r="L132" i="55"/>
  <c r="O132" i="55" s="1"/>
  <c r="AG126" i="51"/>
  <c r="L126" i="55"/>
  <c r="O126" i="55" s="1"/>
  <c r="AG128" i="51"/>
  <c r="L128" i="55"/>
  <c r="O128" i="55" s="1"/>
  <c r="AG122" i="51"/>
  <c r="L122" i="55"/>
  <c r="O122" i="55" s="1"/>
  <c r="AG117" i="51"/>
  <c r="L117" i="55"/>
  <c r="O117" i="55" s="1"/>
  <c r="AG111" i="51"/>
  <c r="AC5" i="55" s="1"/>
  <c r="L111" i="55"/>
  <c r="AG130" i="51"/>
  <c r="L130" i="55"/>
  <c r="O130" i="55" s="1"/>
  <c r="AG124" i="51"/>
  <c r="L124" i="55"/>
  <c r="O124" i="55" s="1"/>
  <c r="AG119" i="51"/>
  <c r="L119" i="55"/>
  <c r="O119" i="55" s="1"/>
  <c r="AG121" i="51"/>
  <c r="L121" i="55"/>
  <c r="O121" i="55" s="1"/>
  <c r="AG115" i="51"/>
  <c r="L115" i="55"/>
  <c r="O115" i="55" s="1"/>
  <c r="AP2" i="51"/>
  <c r="AQ2" i="51" s="1"/>
  <c r="O111" i="55" l="1"/>
  <c r="W5" i="55" s="1"/>
  <c r="T5" i="55"/>
  <c r="AP8" i="51"/>
  <c r="AP10" i="51" s="1"/>
  <c r="AQ10" i="51" s="1"/>
  <c r="Z5" i="55" l="1"/>
  <c r="AH5" i="55" s="1"/>
  <c r="AQ8" i="51"/>
  <c r="N992" i="55"/>
  <c r="K992" i="55"/>
  <c r="N158" i="55"/>
  <c r="K158" i="55"/>
  <c r="AE173" i="51"/>
  <c r="Y173" i="51"/>
  <c r="M328" i="55"/>
  <c r="J328" i="55"/>
  <c r="M359" i="55"/>
  <c r="J359" i="55"/>
  <c r="M706" i="55"/>
  <c r="J706" i="55"/>
  <c r="N1518" i="55"/>
  <c r="K1518" i="55"/>
  <c r="AE557" i="51"/>
  <c r="Y557" i="51"/>
  <c r="M141" i="55"/>
  <c r="J141" i="55"/>
  <c r="N1077" i="55"/>
  <c r="K1077" i="55"/>
  <c r="AF2011" i="51"/>
  <c r="AG121" i="57"/>
  <c r="AG55" i="57"/>
  <c r="AE26" i="51"/>
  <c r="M199" i="55"/>
  <c r="J199" i="55"/>
  <c r="N1467" i="55"/>
  <c r="K1467" i="55"/>
  <c r="M650" i="55"/>
  <c r="J650" i="55"/>
  <c r="AF387" i="51"/>
  <c r="M681" i="55"/>
  <c r="J681" i="55"/>
  <c r="N188" i="55"/>
  <c r="K188" i="55"/>
  <c r="AF1458" i="51"/>
  <c r="M597" i="55"/>
  <c r="J597" i="55"/>
  <c r="AF1873" i="51"/>
  <c r="Z1873" i="51"/>
  <c r="M705" i="55"/>
  <c r="J705" i="55"/>
  <c r="M524" i="55"/>
  <c r="J524" i="55"/>
  <c r="M351" i="55"/>
  <c r="J351" i="55"/>
  <c r="N1620" i="55"/>
  <c r="K1620" i="55"/>
  <c r="N1746" i="55"/>
  <c r="K1746" i="55"/>
  <c r="AF155" i="51"/>
  <c r="Z155" i="51"/>
  <c r="N864" i="55"/>
  <c r="K864" i="55"/>
  <c r="AF558" i="51"/>
  <c r="Z558" i="51"/>
  <c r="M891" i="55"/>
  <c r="J891" i="55"/>
  <c r="M239" i="55"/>
  <c r="J239" i="55"/>
  <c r="M188" i="55"/>
  <c r="J188" i="55"/>
  <c r="F49" i="5"/>
  <c r="F48" i="5"/>
  <c r="AM67" i="44"/>
  <c r="M809" i="55"/>
  <c r="J809" i="55"/>
  <c r="N632" i="55"/>
  <c r="K632" i="55"/>
  <c r="N1917" i="55"/>
  <c r="K1917" i="55"/>
  <c r="N900" i="55"/>
  <c r="K900" i="55"/>
  <c r="M357" i="55"/>
  <c r="J357" i="55"/>
  <c r="AE554" i="51"/>
  <c r="Y554" i="51"/>
  <c r="N63" i="55"/>
  <c r="K63" i="55"/>
  <c r="M1121" i="55"/>
  <c r="J1121" i="55"/>
  <c r="N1291" i="55"/>
  <c r="K1291" i="55"/>
  <c r="M374" i="55"/>
  <c r="J374" i="55"/>
  <c r="N528" i="55"/>
  <c r="K528" i="55"/>
  <c r="AF1195" i="51"/>
  <c r="Z1195" i="51"/>
  <c r="N2038" i="55"/>
  <c r="K2038" i="55"/>
  <c r="N2149" i="55"/>
  <c r="K2149" i="55"/>
  <c r="AD291" i="52"/>
  <c r="Y291" i="52"/>
  <c r="M550" i="55"/>
  <c r="J550" i="55"/>
  <c r="N863" i="55"/>
  <c r="K863" i="55"/>
  <c r="M378" i="55"/>
  <c r="J378" i="55"/>
  <c r="AF475" i="51"/>
  <c r="M46" i="55"/>
  <c r="J46" i="55"/>
  <c r="M946" i="55"/>
  <c r="J946" i="55"/>
  <c r="M74" i="55"/>
  <c r="J74" i="55"/>
  <c r="AD127" i="52"/>
  <c r="Y127" i="52"/>
  <c r="N1396" i="55"/>
  <c r="K1396" i="55"/>
  <c r="N911" i="55"/>
  <c r="K911" i="55"/>
  <c r="N1102" i="55"/>
  <c r="K1102" i="55"/>
  <c r="N161" i="55"/>
  <c r="K161" i="55"/>
  <c r="AF1603" i="51"/>
  <c r="Z1603" i="51"/>
  <c r="M1029" i="55"/>
  <c r="J1029" i="55"/>
  <c r="Z188" i="51"/>
  <c r="AF188" i="51"/>
  <c r="M1032" i="55"/>
  <c r="J1032" i="55"/>
  <c r="AE160" i="51"/>
  <c r="Y160" i="51"/>
  <c r="M535" i="55"/>
  <c r="J535" i="55"/>
  <c r="M167" i="55"/>
  <c r="J167" i="55"/>
  <c r="M399" i="55"/>
  <c r="J399" i="55"/>
  <c r="M943" i="55"/>
  <c r="J943" i="55"/>
  <c r="AF1794" i="51"/>
  <c r="Z1794" i="51"/>
  <c r="AF1378" i="51"/>
  <c r="Z1378" i="51"/>
  <c r="N1283" i="55"/>
  <c r="K1283" i="55"/>
  <c r="M1046" i="55"/>
  <c r="J1046" i="55"/>
  <c r="AD126" i="52"/>
  <c r="Y126" i="52"/>
  <c r="M5" i="55"/>
  <c r="J5" i="55"/>
  <c r="AE527" i="51"/>
  <c r="N1932" i="55"/>
  <c r="K1932" i="55"/>
  <c r="N1231" i="55"/>
  <c r="K1231" i="55"/>
  <c r="N990" i="55"/>
  <c r="K990" i="55"/>
  <c r="AE802" i="52"/>
  <c r="Z802" i="52"/>
  <c r="N1454" i="55"/>
  <c r="K1454" i="55"/>
  <c r="N422" i="55"/>
  <c r="K422" i="55"/>
  <c r="AE881" i="52"/>
  <c r="Z881" i="52"/>
  <c r="Z1077" i="51"/>
  <c r="AF1077" i="51"/>
  <c r="N1964" i="55"/>
  <c r="K1964" i="55"/>
  <c r="AJ5" i="55"/>
  <c r="V5" i="55"/>
  <c r="N2" i="55"/>
  <c r="N2125" i="55"/>
  <c r="K2125" i="55"/>
  <c r="M526" i="55"/>
  <c r="J526" i="55"/>
  <c r="M396" i="55"/>
  <c r="J396" i="55"/>
  <c r="N112" i="55"/>
  <c r="K112" i="55"/>
  <c r="N576" i="55"/>
  <c r="K576" i="55"/>
  <c r="N1884" i="55"/>
  <c r="K1884" i="55"/>
  <c r="AF400" i="51"/>
  <c r="AF1003" i="51"/>
  <c r="N451" i="55"/>
  <c r="K451" i="55"/>
  <c r="M161" i="55"/>
  <c r="J161" i="55"/>
  <c r="AE568" i="52"/>
  <c r="Z568" i="52"/>
  <c r="N15" i="55"/>
  <c r="K15" i="55"/>
  <c r="N75" i="55"/>
  <c r="K75" i="55"/>
  <c r="N895" i="55"/>
  <c r="K895" i="55"/>
  <c r="N766" i="55"/>
  <c r="K766" i="55"/>
  <c r="M133" i="55"/>
  <c r="J133" i="55"/>
  <c r="M339" i="55"/>
  <c r="J339" i="55"/>
  <c r="AD121" i="52"/>
  <c r="Y121" i="52"/>
  <c r="N84" i="55"/>
  <c r="K84" i="55"/>
  <c r="M150" i="55"/>
  <c r="J150" i="55"/>
  <c r="AE826" i="52"/>
  <c r="Z826" i="52"/>
  <c r="N585" i="55"/>
  <c r="K585" i="55"/>
  <c r="AF51" i="51"/>
  <c r="Y524" i="51"/>
  <c r="AE524" i="51"/>
  <c r="AE810" i="51"/>
  <c r="AM13" i="44"/>
  <c r="T13" i="44"/>
  <c r="N13" i="44"/>
  <c r="AF507" i="51"/>
  <c r="M71" i="55"/>
  <c r="J71" i="55"/>
  <c r="Z1746" i="51"/>
  <c r="AF1746" i="51"/>
  <c r="M519" i="55"/>
  <c r="J519" i="55"/>
  <c r="N348" i="55"/>
  <c r="K348" i="55"/>
  <c r="N1674" i="55"/>
  <c r="K1674" i="55"/>
  <c r="N497" i="55"/>
  <c r="K497" i="55"/>
  <c r="N28" i="55"/>
  <c r="K28" i="55"/>
  <c r="M306" i="55"/>
  <c r="J306" i="55"/>
  <c r="N985" i="55"/>
  <c r="K985" i="55"/>
  <c r="N1322" i="55"/>
  <c r="K1322" i="55"/>
  <c r="N1168" i="55"/>
  <c r="K1168" i="55"/>
  <c r="AE860" i="52"/>
  <c r="Z860" i="52"/>
  <c r="Q34" i="62"/>
  <c r="AM29" i="42"/>
  <c r="T34" i="62"/>
  <c r="AF1463" i="51"/>
  <c r="M643" i="55"/>
  <c r="J643" i="55"/>
  <c r="M661" i="55"/>
  <c r="J661" i="55"/>
  <c r="Z1003" i="51"/>
  <c r="K1003" i="55"/>
  <c r="N1003" i="55"/>
  <c r="AF1854" i="51"/>
  <c r="Z1854" i="51"/>
  <c r="AE231" i="51"/>
  <c r="N515" i="55"/>
  <c r="K515" i="55"/>
  <c r="Z1917" i="51"/>
  <c r="AF1917" i="51"/>
  <c r="AE793" i="51"/>
  <c r="AE716" i="52"/>
  <c r="Z716" i="52"/>
  <c r="AE159" i="51"/>
  <c r="Y159" i="51"/>
  <c r="N1075" i="55"/>
  <c r="K1075" i="55"/>
  <c r="N110" i="55"/>
  <c r="K110" i="55"/>
  <c r="AE144" i="51"/>
  <c r="Y144" i="51"/>
  <c r="N27" i="55"/>
  <c r="K27" i="55"/>
  <c r="M502" i="55"/>
  <c r="J502" i="55"/>
  <c r="AE13" i="52"/>
  <c r="Z13" i="52"/>
  <c r="M72" i="55"/>
  <c r="J72" i="55"/>
  <c r="AF1800" i="51"/>
  <c r="Z1800" i="51"/>
  <c r="AF1959" i="51"/>
  <c r="N91" i="57"/>
  <c r="N25" i="57"/>
  <c r="AD393" i="52"/>
  <c r="Y393" i="52"/>
  <c r="AE483" i="51"/>
  <c r="AF11" i="51"/>
  <c r="M1034" i="55"/>
  <c r="J1034" i="55"/>
  <c r="Z1463" i="51"/>
  <c r="K1463" i="55"/>
  <c r="N1463" i="55"/>
  <c r="N17" i="55"/>
  <c r="K17" i="55"/>
  <c r="AE624" i="52"/>
  <c r="Z624" i="52"/>
  <c r="N1717" i="55"/>
  <c r="V10" i="55"/>
  <c r="AJ10" i="55"/>
  <c r="N70" i="55"/>
  <c r="K70" i="55"/>
  <c r="N609" i="55"/>
  <c r="K609" i="55"/>
  <c r="AE472" i="52"/>
  <c r="Z472" i="52"/>
  <c r="Z63" i="51"/>
  <c r="AF63" i="51"/>
  <c r="M662" i="55"/>
  <c r="J662" i="55"/>
  <c r="N838" i="55"/>
  <c r="K838" i="55"/>
  <c r="N2096" i="55"/>
  <c r="K2096" i="55"/>
  <c r="AE646" i="51"/>
  <c r="M86" i="55"/>
  <c r="J86" i="55"/>
  <c r="N781" i="55"/>
  <c r="K781" i="55"/>
  <c r="AE893" i="51"/>
  <c r="N581" i="55"/>
  <c r="K581" i="55"/>
  <c r="M1265" i="55"/>
  <c r="J1265" i="55"/>
  <c r="AE187" i="51"/>
  <c r="M1336" i="55"/>
  <c r="J1336" i="55"/>
  <c r="Z400" i="51"/>
  <c r="K400" i="55"/>
  <c r="N400" i="55"/>
  <c r="M115" i="55"/>
  <c r="J115" i="55"/>
  <c r="AM46" i="44"/>
  <c r="T46" i="44"/>
  <c r="N46" i="44"/>
  <c r="N1980" i="55"/>
  <c r="K1980" i="55"/>
  <c r="AF1303" i="51"/>
  <c r="Z1303" i="51"/>
  <c r="N354" i="55"/>
  <c r="K354" i="55"/>
  <c r="M671" i="55"/>
  <c r="J671" i="55"/>
  <c r="N200" i="55"/>
  <c r="K200" i="55"/>
  <c r="N358" i="55"/>
  <c r="K358" i="55"/>
  <c r="N1190" i="55"/>
  <c r="K1190" i="55"/>
  <c r="AE1009" i="52"/>
  <c r="Z1009" i="52"/>
  <c r="AE272" i="51"/>
  <c r="M134" i="55"/>
  <c r="J134" i="55"/>
  <c r="M140" i="55"/>
  <c r="J140" i="55"/>
  <c r="Z475" i="51"/>
  <c r="K475" i="55"/>
  <c r="N475" i="55"/>
  <c r="AE786" i="52"/>
  <c r="Z786" i="52"/>
  <c r="AJ3" i="52"/>
  <c r="AD86" i="52"/>
  <c r="Y86" i="52"/>
  <c r="M441" i="55"/>
  <c r="J441" i="55"/>
  <c r="N66" i="55"/>
  <c r="K66" i="55"/>
  <c r="AE724" i="51"/>
  <c r="AF486" i="51"/>
  <c r="AE229" i="51"/>
  <c r="M240" i="55"/>
  <c r="J240" i="55"/>
  <c r="N393" i="55"/>
  <c r="K393" i="55"/>
  <c r="M660" i="55"/>
  <c r="J660" i="55"/>
  <c r="N351" i="55"/>
  <c r="K351" i="55"/>
  <c r="M571" i="55"/>
  <c r="J571" i="55"/>
  <c r="N500" i="55"/>
  <c r="K500" i="55"/>
  <c r="AF1590" i="51"/>
  <c r="Z1590" i="51"/>
  <c r="M285" i="55"/>
  <c r="J285" i="55"/>
  <c r="N1330" i="55"/>
  <c r="K1330" i="55"/>
  <c r="M6" i="55"/>
  <c r="J6" i="55"/>
  <c r="M160" i="55"/>
  <c r="J160" i="55"/>
  <c r="AE124" i="51"/>
  <c r="N142" i="55"/>
  <c r="K142" i="55"/>
  <c r="N174" i="55"/>
  <c r="K174" i="55"/>
  <c r="AE800" i="51"/>
  <c r="M131" i="55"/>
  <c r="J131" i="55"/>
  <c r="AE1409" i="51"/>
  <c r="Y1409" i="51"/>
  <c r="N828" i="55"/>
  <c r="K828" i="55"/>
  <c r="AC84" i="57"/>
  <c r="AC18" i="57"/>
  <c r="AE838" i="52"/>
  <c r="Z838" i="52"/>
  <c r="AD7" i="55"/>
  <c r="AD207" i="52"/>
  <c r="Y207" i="52"/>
  <c r="N455" i="55"/>
  <c r="K455" i="55"/>
  <c r="N905" i="55"/>
  <c r="K905" i="55"/>
  <c r="M459" i="55"/>
  <c r="J459" i="55"/>
  <c r="M171" i="55"/>
  <c r="J171" i="55"/>
  <c r="N563" i="55"/>
  <c r="K563" i="55"/>
  <c r="N573" i="55"/>
  <c r="K573" i="55"/>
  <c r="AD132" i="52"/>
  <c r="Y132" i="52"/>
  <c r="M717" i="55"/>
  <c r="J717" i="55"/>
  <c r="M523" i="55"/>
  <c r="J523" i="55"/>
  <c r="M2" i="55"/>
  <c r="U5" i="55"/>
  <c r="AI5" i="55"/>
  <c r="Z15" i="51"/>
  <c r="AF15" i="51"/>
  <c r="M132" i="55"/>
  <c r="J132" i="55"/>
  <c r="AD247" i="52"/>
  <c r="Y247" i="52"/>
  <c r="AE98" i="51"/>
  <c r="M192" i="55"/>
  <c r="J192" i="55"/>
  <c r="N1235" i="55"/>
  <c r="K1235" i="55"/>
  <c r="M572" i="55"/>
  <c r="J572" i="55"/>
  <c r="N976" i="55"/>
  <c r="K976" i="55"/>
  <c r="Z51" i="51"/>
  <c r="K51" i="55"/>
  <c r="N51" i="55"/>
  <c r="M302" i="55"/>
  <c r="J302" i="55"/>
  <c r="M948" i="55"/>
  <c r="J948" i="55"/>
  <c r="AF1300" i="51"/>
  <c r="Z1300" i="51"/>
  <c r="N1700" i="55"/>
  <c r="K1700" i="55"/>
  <c r="AD91" i="52"/>
  <c r="Y91" i="52"/>
  <c r="AF405" i="51"/>
  <c r="M269" i="55"/>
  <c r="J269" i="55"/>
  <c r="Y306" i="51"/>
  <c r="AE306" i="51"/>
  <c r="Y948" i="51"/>
  <c r="AE948" i="51"/>
  <c r="AF1558" i="51"/>
  <c r="M1035" i="55"/>
  <c r="J1035" i="55"/>
  <c r="M711" i="55"/>
  <c r="J711" i="55"/>
  <c r="N440" i="55"/>
  <c r="K440" i="55"/>
  <c r="Z110" i="51"/>
  <c r="AF110" i="51"/>
  <c r="Y269" i="51"/>
  <c r="AE269" i="51"/>
  <c r="N208" i="55"/>
  <c r="K208" i="55"/>
  <c r="N1306" i="55"/>
  <c r="K1306" i="55"/>
  <c r="M372" i="55"/>
  <c r="J372" i="55"/>
  <c r="M1274" i="55"/>
  <c r="J1274" i="55"/>
  <c r="AF860" i="51"/>
  <c r="N37" i="43"/>
  <c r="T37" i="43"/>
  <c r="AM37" i="43"/>
  <c r="Y328" i="51"/>
  <c r="AE328" i="51"/>
  <c r="AF1087" i="51"/>
  <c r="Y239" i="51"/>
  <c r="AE239" i="51"/>
  <c r="M476" i="55"/>
  <c r="J476" i="55"/>
  <c r="Y374" i="51"/>
  <c r="AE374" i="51"/>
  <c r="M435" i="55"/>
  <c r="J435" i="55"/>
  <c r="Z17" i="51"/>
  <c r="AF17" i="51"/>
  <c r="N2070" i="55"/>
  <c r="K2070" i="55"/>
  <c r="N910" i="55"/>
  <c r="K910" i="55"/>
  <c r="AE365" i="51"/>
  <c r="N1877" i="55"/>
  <c r="K1877" i="55"/>
  <c r="AD330" i="52"/>
  <c r="Y330" i="52"/>
  <c r="Z2038" i="51"/>
  <c r="AF2038" i="51"/>
  <c r="N378" i="55"/>
  <c r="K378" i="55"/>
  <c r="N604" i="55"/>
  <c r="K604" i="55"/>
  <c r="N1162" i="55"/>
  <c r="K1162" i="55"/>
  <c r="N847" i="55"/>
  <c r="K847" i="55"/>
  <c r="Y115" i="51"/>
  <c r="AE115" i="51"/>
  <c r="N1891" i="55"/>
  <c r="K1891" i="55"/>
  <c r="Y441" i="51"/>
  <c r="AE441" i="51"/>
  <c r="N956" i="55"/>
  <c r="K956" i="55"/>
  <c r="N1276" i="55"/>
  <c r="K1276" i="55"/>
  <c r="M794" i="55"/>
  <c r="J794" i="55"/>
  <c r="M42" i="55"/>
  <c r="J42" i="55"/>
  <c r="N395" i="55"/>
  <c r="K395" i="55"/>
  <c r="N197" i="55"/>
  <c r="K197" i="55"/>
  <c r="N998" i="55"/>
  <c r="K998" i="55"/>
  <c r="Y5" i="51"/>
  <c r="AE5" i="51"/>
  <c r="AE130" i="51"/>
  <c r="Y535" i="51"/>
  <c r="AE535" i="51"/>
  <c r="M275" i="55"/>
  <c r="J275" i="55"/>
  <c r="N73" i="55"/>
  <c r="K73" i="55"/>
  <c r="Y943" i="51"/>
  <c r="AE943" i="51"/>
  <c r="N196" i="55"/>
  <c r="K196" i="55"/>
  <c r="Y1046" i="51"/>
  <c r="AE1046" i="51"/>
  <c r="AF970" i="51"/>
  <c r="AB72" i="57"/>
  <c r="AB6" i="57"/>
  <c r="AE708" i="52"/>
  <c r="Z708" i="52"/>
  <c r="Z1964" i="51"/>
  <c r="AF1964" i="51"/>
  <c r="AE432" i="51"/>
  <c r="M215" i="55"/>
  <c r="J215" i="55"/>
  <c r="Y396" i="51"/>
  <c r="AE396" i="51"/>
  <c r="N966" i="55"/>
  <c r="K966" i="55"/>
  <c r="AE331" i="51"/>
  <c r="AE203" i="51"/>
  <c r="AE257" i="51"/>
  <c r="AE521" i="51"/>
  <c r="Z1467" i="51"/>
  <c r="AF1467" i="51"/>
  <c r="AF1449" i="51"/>
  <c r="AF854" i="51"/>
  <c r="N376" i="55"/>
  <c r="K376" i="55"/>
  <c r="Z895" i="51"/>
  <c r="AF895" i="51"/>
  <c r="M183" i="55"/>
  <c r="J183" i="55"/>
  <c r="N1421" i="55"/>
  <c r="K1421" i="55"/>
  <c r="Z766" i="51"/>
  <c r="AF766" i="51"/>
  <c r="AE286" i="51"/>
  <c r="M458" i="55"/>
  <c r="J458" i="55"/>
  <c r="N2018" i="55"/>
  <c r="K2018" i="55"/>
  <c r="AE10" i="55"/>
  <c r="AE821" i="52"/>
  <c r="Z821" i="52"/>
  <c r="AE184" i="51"/>
  <c r="AF356" i="51"/>
  <c r="N1060" i="55"/>
  <c r="K1060" i="55"/>
  <c r="Y359" i="51"/>
  <c r="AE359" i="51"/>
  <c r="M1410" i="55"/>
  <c r="J1410" i="55"/>
  <c r="AE460" i="52"/>
  <c r="Z460" i="52"/>
  <c r="Y597" i="51"/>
  <c r="AE597" i="51"/>
  <c r="AD205" i="52"/>
  <c r="Y205" i="52"/>
  <c r="N448" i="55"/>
  <c r="K448" i="55"/>
  <c r="AE811" i="51"/>
  <c r="N178" i="55"/>
  <c r="K178" i="55"/>
  <c r="M453" i="55"/>
  <c r="J453" i="55"/>
  <c r="N1800" i="55"/>
  <c r="K1800" i="55"/>
  <c r="Y133" i="51"/>
  <c r="AE133" i="51"/>
  <c r="AC78" i="57"/>
  <c r="AP67" i="43"/>
  <c r="AP69" i="43"/>
  <c r="AF12" i="43"/>
  <c r="AC12" i="57"/>
  <c r="AF372" i="51"/>
  <c r="N145" i="55"/>
  <c r="K145" i="55"/>
  <c r="Z422" i="51"/>
  <c r="AF422" i="51"/>
  <c r="N1224" i="55"/>
  <c r="K1224" i="55"/>
  <c r="Z507" i="51"/>
  <c r="K507" i="55"/>
  <c r="N507" i="55"/>
  <c r="N58" i="55"/>
  <c r="K58" i="55"/>
  <c r="N1155" i="55"/>
  <c r="K1155" i="55"/>
  <c r="N1522" i="55"/>
  <c r="K1522" i="55"/>
  <c r="N1437" i="55"/>
  <c r="K1437" i="55"/>
  <c r="Z585" i="51"/>
  <c r="AF585" i="51"/>
  <c r="AF1219" i="51"/>
  <c r="Z1219" i="51"/>
  <c r="AF439" i="51"/>
  <c r="Z976" i="51"/>
  <c r="AF976" i="51"/>
  <c r="N6" i="55"/>
  <c r="K6" i="55"/>
  <c r="Y519" i="51"/>
  <c r="AE519" i="51"/>
  <c r="AE509" i="51"/>
  <c r="N449" i="55"/>
  <c r="K449" i="55"/>
  <c r="Z348" i="51"/>
  <c r="AF348" i="51"/>
  <c r="M584" i="55"/>
  <c r="J584" i="55"/>
  <c r="N874" i="55"/>
  <c r="K874" i="55"/>
  <c r="N1606" i="55"/>
  <c r="K1606" i="55"/>
  <c r="M503" i="55"/>
  <c r="J503" i="55"/>
  <c r="Z985" i="51"/>
  <c r="AF985" i="51"/>
  <c r="AF109" i="51"/>
  <c r="AL19" i="43"/>
  <c r="AJ19" i="43"/>
  <c r="N566" i="55"/>
  <c r="K566" i="55"/>
  <c r="Z1449" i="51"/>
  <c r="K1449" i="55"/>
  <c r="N1449" i="55"/>
  <c r="AF1924" i="51"/>
  <c r="Z2096" i="51"/>
  <c r="AF2096" i="51"/>
  <c r="AE578" i="51"/>
  <c r="Z112" i="51"/>
  <c r="AF112" i="51"/>
  <c r="Z854" i="51"/>
  <c r="K854" i="55"/>
  <c r="N854" i="55"/>
  <c r="AE471" i="51"/>
  <c r="Y231" i="51"/>
  <c r="J231" i="55"/>
  <c r="M231" i="55"/>
  <c r="AF927" i="51"/>
  <c r="M220" i="55"/>
  <c r="J220" i="55"/>
  <c r="Y793" i="51"/>
  <c r="J793" i="55"/>
  <c r="M793" i="55"/>
  <c r="N1184" i="55"/>
  <c r="K1184" i="55"/>
  <c r="M574" i="55"/>
  <c r="J574" i="55"/>
  <c r="AE1248" i="51"/>
  <c r="Y1248" i="51"/>
  <c r="Z900" i="51"/>
  <c r="AF900" i="51"/>
  <c r="AF1488" i="51"/>
  <c r="AE117" i="51"/>
  <c r="Y130" i="51"/>
  <c r="J130" i="55"/>
  <c r="M130" i="55"/>
  <c r="AF1005" i="51"/>
  <c r="Z27" i="51"/>
  <c r="AF27" i="51"/>
  <c r="AF530" i="51"/>
  <c r="N111" i="55"/>
  <c r="K111" i="55"/>
  <c r="N492" i="55"/>
  <c r="K492" i="55"/>
  <c r="Y72" i="51"/>
  <c r="AE72" i="51"/>
  <c r="AE631" i="51"/>
  <c r="N523" i="55"/>
  <c r="K523" i="55"/>
  <c r="AF2083" i="51"/>
  <c r="N1195" i="55"/>
  <c r="K1195" i="55"/>
  <c r="AF388" i="51"/>
  <c r="AF2152" i="51"/>
  <c r="N24" i="55"/>
  <c r="K24" i="55"/>
  <c r="N159" i="55"/>
  <c r="K159" i="55"/>
  <c r="AF129" i="51"/>
  <c r="AE613" i="51"/>
  <c r="Y483" i="51"/>
  <c r="J483" i="55"/>
  <c r="M483" i="55"/>
  <c r="AE326" i="51"/>
  <c r="AE224" i="51"/>
  <c r="M77" i="55"/>
  <c r="J77" i="55"/>
  <c r="M138" i="55"/>
  <c r="J138" i="55"/>
  <c r="M720" i="55"/>
  <c r="J720" i="55"/>
  <c r="M287" i="55"/>
  <c r="J287" i="55"/>
  <c r="Y662" i="51"/>
  <c r="AE662" i="51"/>
  <c r="Y435" i="51"/>
  <c r="AE435" i="51"/>
  <c r="M139" i="55"/>
  <c r="J139" i="55"/>
  <c r="N185" i="55"/>
  <c r="K185" i="55"/>
  <c r="Z838" i="51"/>
  <c r="AF838" i="51"/>
  <c r="Y578" i="51"/>
  <c r="J578" i="55"/>
  <c r="M578" i="55"/>
  <c r="Y646" i="51"/>
  <c r="J646" i="55"/>
  <c r="M646" i="55"/>
  <c r="M266" i="55"/>
  <c r="J266" i="55"/>
  <c r="Y86" i="51"/>
  <c r="AE86" i="51"/>
  <c r="AF2114" i="51"/>
  <c r="AF1584" i="51"/>
  <c r="Z1584" i="51"/>
  <c r="N1167" i="55"/>
  <c r="K1167" i="55"/>
  <c r="AF1838" i="51"/>
  <c r="Z1838" i="51"/>
  <c r="Y893" i="51"/>
  <c r="J893" i="55"/>
  <c r="M893" i="55"/>
  <c r="Z581" i="51"/>
  <c r="AF581" i="51"/>
  <c r="Y809" i="51"/>
  <c r="AE809" i="51"/>
  <c r="N898" i="55"/>
  <c r="K898" i="55"/>
  <c r="Y187" i="51"/>
  <c r="J187" i="55"/>
  <c r="M187" i="55"/>
  <c r="AE27" i="51"/>
  <c r="AE889" i="51"/>
  <c r="Y378" i="51"/>
  <c r="AE378" i="51"/>
  <c r="AF1388" i="51"/>
  <c r="Z1388" i="51"/>
  <c r="AE335" i="51"/>
  <c r="Z1162" i="51"/>
  <c r="AF1162" i="51"/>
  <c r="Z860" i="51"/>
  <c r="K860" i="55"/>
  <c r="N860" i="55"/>
  <c r="N858" i="55"/>
  <c r="K858" i="55"/>
  <c r="N1539" i="55"/>
  <c r="K1539" i="55"/>
  <c r="N913" i="55"/>
  <c r="K913" i="55"/>
  <c r="AF1535" i="51"/>
  <c r="N842" i="55"/>
  <c r="K842" i="55"/>
  <c r="AF204" i="51"/>
  <c r="AE621" i="51"/>
  <c r="AF767" i="51"/>
  <c r="Y272" i="51"/>
  <c r="J272" i="55"/>
  <c r="M272" i="55"/>
  <c r="AF1956" i="51"/>
  <c r="AE496" i="51"/>
  <c r="AF468" i="51"/>
  <c r="AE715" i="51"/>
  <c r="AE327" i="51"/>
  <c r="N459" i="55"/>
  <c r="K459" i="55"/>
  <c r="Y286" i="51"/>
  <c r="J286" i="55"/>
  <c r="M286" i="55"/>
  <c r="N357" i="55"/>
  <c r="K357" i="55"/>
  <c r="Z910" i="51"/>
  <c r="AF910" i="51"/>
  <c r="Y631" i="51"/>
  <c r="J631" i="55"/>
  <c r="M631" i="55"/>
  <c r="Y724" i="51"/>
  <c r="J724" i="55"/>
  <c r="M724" i="55"/>
  <c r="Z486" i="51"/>
  <c r="K486" i="55"/>
  <c r="N486" i="55"/>
  <c r="Y229" i="51"/>
  <c r="J229" i="55"/>
  <c r="M229" i="55"/>
  <c r="AF1806" i="51"/>
  <c r="Z1806" i="51"/>
  <c r="N139" i="55"/>
  <c r="K139" i="55"/>
  <c r="N31" i="55"/>
  <c r="K31" i="55"/>
  <c r="M3" i="55"/>
  <c r="J3" i="55"/>
  <c r="AF1597" i="51"/>
  <c r="Z1597" i="51"/>
  <c r="M404" i="55"/>
  <c r="J404" i="55"/>
  <c r="N97" i="55"/>
  <c r="K97" i="55"/>
  <c r="AE166" i="51"/>
  <c r="Y166" i="51"/>
  <c r="AF417" i="51"/>
  <c r="Z1924" i="51"/>
  <c r="K1924" i="55"/>
  <c r="N1924" i="55"/>
  <c r="N176" i="55"/>
  <c r="K176" i="55"/>
  <c r="Y240" i="51"/>
  <c r="AE240" i="51"/>
  <c r="AF2059" i="51"/>
  <c r="AE371" i="51"/>
  <c r="AF408" i="51"/>
  <c r="N2080" i="55"/>
  <c r="K2080" i="55"/>
  <c r="AF904" i="51"/>
  <c r="AF403" i="51"/>
  <c r="Y509" i="51"/>
  <c r="J509" i="55"/>
  <c r="M509" i="55"/>
  <c r="N1208" i="55"/>
  <c r="K1208" i="55"/>
  <c r="AF7" i="55"/>
  <c r="X7" i="55"/>
  <c r="R7" i="55"/>
  <c r="AF748" i="51"/>
  <c r="Y800" i="51"/>
  <c r="J800" i="55"/>
  <c r="M800" i="55"/>
  <c r="AF127" i="57"/>
  <c r="AF61" i="57"/>
  <c r="M126" i="55"/>
  <c r="J126" i="55"/>
  <c r="M480" i="55"/>
  <c r="J480" i="55"/>
  <c r="N1460" i="55"/>
  <c r="K1460" i="55"/>
  <c r="N597" i="55"/>
  <c r="K597" i="55"/>
  <c r="N379" i="55"/>
  <c r="K379" i="55"/>
  <c r="M1014" i="55"/>
  <c r="J1014" i="55"/>
  <c r="AF1299" i="51"/>
  <c r="Z1299" i="51"/>
  <c r="N1898" i="55"/>
  <c r="K1898" i="55"/>
  <c r="M1247" i="55"/>
  <c r="J1247" i="55"/>
  <c r="N209" i="55"/>
  <c r="K209" i="55"/>
  <c r="N1922" i="55"/>
  <c r="K1922" i="55"/>
  <c r="AF1975" i="51"/>
  <c r="Z767" i="51"/>
  <c r="K767" i="55"/>
  <c r="N767" i="55"/>
  <c r="Y1029" i="51"/>
  <c r="AE1029" i="51"/>
  <c r="N421" i="55"/>
  <c r="K421" i="55"/>
  <c r="M557" i="55"/>
  <c r="J557" i="55"/>
  <c r="AE674" i="52"/>
  <c r="Z674" i="52"/>
  <c r="Z109" i="51"/>
  <c r="K109" i="55"/>
  <c r="N109" i="55"/>
  <c r="Z204" i="51"/>
  <c r="K204" i="55"/>
  <c r="N204" i="55"/>
  <c r="AF31" i="44"/>
  <c r="AP31" i="44"/>
  <c r="N2040" i="55"/>
  <c r="K2040" i="55"/>
  <c r="M148" i="55"/>
  <c r="J148" i="55"/>
  <c r="M195" i="55"/>
  <c r="J195" i="55"/>
  <c r="N110" i="57"/>
  <c r="N44" i="57"/>
  <c r="AE1352" i="51"/>
  <c r="Y1352" i="51"/>
  <c r="Y811" i="51"/>
  <c r="J811" i="55"/>
  <c r="M811" i="55"/>
  <c r="AF396" i="51"/>
  <c r="AF744" i="51"/>
  <c r="Y339" i="51"/>
  <c r="AE339" i="51"/>
  <c r="Y810" i="51"/>
  <c r="J810" i="55"/>
  <c r="M810" i="55"/>
  <c r="N1238" i="55"/>
  <c r="K1238" i="55"/>
  <c r="AF39" i="51"/>
  <c r="AE383" i="51"/>
  <c r="Y643" i="51"/>
  <c r="AE643" i="51"/>
  <c r="Z31" i="51"/>
  <c r="AF31" i="51"/>
  <c r="AE277" i="51"/>
  <c r="M944" i="55"/>
  <c r="J944" i="55"/>
  <c r="AF420" i="51"/>
  <c r="Z609" i="51"/>
  <c r="AF609" i="51"/>
  <c r="AE270" i="51"/>
  <c r="Y1034" i="51"/>
  <c r="AE1034" i="51"/>
  <c r="AV3" i="51"/>
  <c r="AU3" i="51"/>
  <c r="Z1980" i="51"/>
  <c r="AF1980" i="51"/>
  <c r="Z354" i="51"/>
  <c r="AF354" i="51"/>
  <c r="Z497" i="51"/>
  <c r="AF497" i="51"/>
  <c r="Z863" i="51"/>
  <c r="AF863" i="51"/>
  <c r="AF1079" i="51"/>
  <c r="N499" i="55"/>
  <c r="K499" i="55"/>
  <c r="Z393" i="51"/>
  <c r="AF393" i="51"/>
  <c r="Z66" i="51"/>
  <c r="AF66" i="51"/>
  <c r="M704" i="55"/>
  <c r="J704" i="55"/>
  <c r="N786" i="55"/>
  <c r="K786" i="55"/>
  <c r="M1362" i="55"/>
  <c r="J1362" i="55"/>
  <c r="Z451" i="51"/>
  <c r="AF451" i="51"/>
  <c r="M191" i="55"/>
  <c r="J191" i="55"/>
  <c r="AF202" i="51"/>
  <c r="AG74" i="57"/>
  <c r="AG8" i="57"/>
  <c r="AE7" i="51"/>
  <c r="Z58" i="51"/>
  <c r="AF58" i="51"/>
  <c r="N1566" i="55"/>
  <c r="K1566" i="55"/>
  <c r="M64" i="55"/>
  <c r="J64" i="55"/>
  <c r="Z992" i="51"/>
  <c r="AF992" i="51"/>
  <c r="N1368" i="55"/>
  <c r="K1368" i="55"/>
  <c r="Y1032" i="51"/>
  <c r="AE1032" i="51"/>
  <c r="AF1426" i="51"/>
  <c r="Z1426" i="51"/>
  <c r="Z1932" i="51"/>
  <c r="AF1932" i="51"/>
  <c r="Z990" i="51"/>
  <c r="AF990" i="51"/>
  <c r="Z2125" i="51"/>
  <c r="AF2125" i="51"/>
  <c r="Y526" i="51"/>
  <c r="AE526" i="51"/>
  <c r="Y220" i="51"/>
  <c r="AE220" i="51"/>
  <c r="Z84" i="51"/>
  <c r="AF84" i="51"/>
  <c r="N126" i="57"/>
  <c r="N60" i="57"/>
  <c r="Y661" i="51"/>
  <c r="AE661" i="51"/>
  <c r="AF1567" i="51"/>
  <c r="N170" i="55"/>
  <c r="K170" i="55"/>
  <c r="Y191" i="51"/>
  <c r="AE191" i="51"/>
  <c r="N143" i="55"/>
  <c r="K143" i="55"/>
  <c r="N1697" i="55"/>
  <c r="K1697" i="55"/>
  <c r="Y527" i="51"/>
  <c r="J527" i="55"/>
  <c r="M527" i="55"/>
  <c r="Z1060" i="51"/>
  <c r="AF1060" i="51"/>
  <c r="Z1075" i="51"/>
  <c r="AF1075" i="51"/>
  <c r="Z395" i="51"/>
  <c r="AF395" i="51"/>
  <c r="AF1882" i="51"/>
  <c r="Z1882" i="51"/>
  <c r="Z197" i="51"/>
  <c r="AF197" i="51"/>
  <c r="Z387" i="51"/>
  <c r="K387" i="55"/>
  <c r="N387" i="55"/>
  <c r="Z998" i="51"/>
  <c r="AF998" i="51"/>
  <c r="Z2011" i="51"/>
  <c r="K2011" i="55"/>
  <c r="N2011" i="55"/>
  <c r="Y64" i="51"/>
  <c r="AE64" i="51"/>
  <c r="Y574" i="51"/>
  <c r="AE574" i="51"/>
  <c r="AF1831" i="51"/>
  <c r="Z1831" i="51"/>
  <c r="Z970" i="51"/>
  <c r="K970" i="55"/>
  <c r="N970" i="55"/>
  <c r="Y650" i="51"/>
  <c r="AE650" i="51"/>
  <c r="AK55" i="44"/>
  <c r="AK55" i="41"/>
  <c r="AK55" i="42"/>
  <c r="AK55" i="43"/>
  <c r="Y432" i="51"/>
  <c r="J432" i="55"/>
  <c r="M432" i="55"/>
  <c r="Z73" i="51"/>
  <c r="AF73" i="51"/>
  <c r="Z200" i="51"/>
  <c r="AF200" i="51"/>
  <c r="Y26" i="51"/>
  <c r="J26" i="55"/>
  <c r="M26" i="55"/>
  <c r="Y399" i="51"/>
  <c r="AE399" i="51"/>
  <c r="AK8" i="44"/>
  <c r="AK8" i="41"/>
  <c r="AK8" i="42"/>
  <c r="AK8" i="43"/>
  <c r="Z1518" i="51"/>
  <c r="AF1518" i="51"/>
  <c r="Z1458" i="51"/>
  <c r="K1458" i="55"/>
  <c r="N1458" i="55"/>
  <c r="Z1566" i="51"/>
  <c r="AF1566" i="51"/>
  <c r="Z196" i="51"/>
  <c r="AF196" i="51"/>
  <c r="Y681" i="51"/>
  <c r="AE681" i="51"/>
  <c r="Z356" i="51"/>
  <c r="K356" i="55"/>
  <c r="N356" i="55"/>
  <c r="AE389" i="52"/>
  <c r="Z389" i="52"/>
  <c r="Y257" i="51"/>
  <c r="J257" i="55"/>
  <c r="M257" i="55"/>
  <c r="AE551" i="51"/>
  <c r="Y551" i="51"/>
  <c r="Z1005" i="51"/>
  <c r="K1005" i="55"/>
  <c r="N1005" i="55"/>
  <c r="Y275" i="51"/>
  <c r="AE275" i="51"/>
  <c r="Z1959" i="51"/>
  <c r="K1959" i="55"/>
  <c r="N1959" i="55"/>
  <c r="Y215" i="51"/>
  <c r="AE215" i="51"/>
  <c r="Z1168" i="51"/>
  <c r="AF1168" i="51"/>
  <c r="Z39" i="51"/>
  <c r="K39" i="55"/>
  <c r="N39" i="55"/>
  <c r="Z966" i="51"/>
  <c r="AF966" i="51"/>
  <c r="N1807" i="55"/>
  <c r="K1807" i="55"/>
  <c r="Y71" i="51"/>
  <c r="AE71" i="51"/>
  <c r="Z75" i="51"/>
  <c r="AF75" i="51"/>
  <c r="Z1522" i="51"/>
  <c r="AF1522" i="51"/>
  <c r="N136" i="55"/>
  <c r="K136" i="55"/>
  <c r="Z1437" i="51"/>
  <c r="AF1437" i="51"/>
  <c r="Z1167" i="51"/>
  <c r="AF1167" i="51"/>
  <c r="Y331" i="51"/>
  <c r="J331" i="55"/>
  <c r="M331" i="55"/>
  <c r="Y203" i="51"/>
  <c r="J203" i="55"/>
  <c r="M203" i="55"/>
  <c r="AO6" i="43"/>
  <c r="AE6" i="43"/>
  <c r="AG6" i="43"/>
  <c r="Y521" i="51"/>
  <c r="J521" i="55"/>
  <c r="M521" i="55"/>
  <c r="Z576" i="51"/>
  <c r="AF576" i="51"/>
  <c r="N1304" i="55"/>
  <c r="K1304" i="55"/>
  <c r="AE950" i="51"/>
  <c r="AE235" i="51"/>
  <c r="Y132" i="51"/>
  <c r="AE132" i="51"/>
  <c r="Y458" i="51"/>
  <c r="AE458" i="51"/>
  <c r="Y98" i="51"/>
  <c r="J98" i="55"/>
  <c r="M98" i="55"/>
  <c r="AD195" i="52"/>
  <c r="Y195" i="52"/>
  <c r="Z372" i="51"/>
  <c r="K372" i="55"/>
  <c r="N372" i="55"/>
  <c r="AD142" i="52"/>
  <c r="Y142" i="52"/>
  <c r="Y184" i="51"/>
  <c r="J184" i="55"/>
  <c r="M184" i="55"/>
  <c r="Y192" i="51"/>
  <c r="AE192" i="51"/>
  <c r="Y706" i="51"/>
  <c r="AE706" i="51"/>
  <c r="M493" i="55"/>
  <c r="J493" i="55"/>
  <c r="Y572" i="51"/>
  <c r="AE572" i="51"/>
  <c r="Z376" i="51"/>
  <c r="AF376" i="51"/>
  <c r="Z448" i="51"/>
  <c r="AF448" i="51"/>
  <c r="Y351" i="51"/>
  <c r="AE351" i="51"/>
  <c r="Y453" i="51"/>
  <c r="AE453" i="51"/>
  <c r="Z439" i="51"/>
  <c r="K439" i="55"/>
  <c r="N439" i="55"/>
  <c r="Y502" i="51"/>
  <c r="AE502" i="51"/>
  <c r="Y705" i="51"/>
  <c r="AE705" i="51"/>
  <c r="Z744" i="51"/>
  <c r="K744" i="55"/>
  <c r="N744" i="55"/>
  <c r="AF1177" i="51"/>
  <c r="Z1177" i="51"/>
  <c r="Z2018" i="51"/>
  <c r="AF2018" i="51"/>
  <c r="N2076" i="55"/>
  <c r="K2076" i="55"/>
  <c r="AE1407" i="51"/>
  <c r="Y1407" i="51"/>
  <c r="Y302" i="51"/>
  <c r="AE302" i="51"/>
  <c r="Z864" i="51"/>
  <c r="AF864" i="51"/>
  <c r="Z842" i="51"/>
  <c r="AF842" i="51"/>
  <c r="Y199" i="51"/>
  <c r="AE199" i="51"/>
  <c r="Y493" i="51"/>
  <c r="AE493" i="51"/>
  <c r="M395" i="55"/>
  <c r="J395" i="55"/>
  <c r="Z1087" i="51"/>
  <c r="K1087" i="55"/>
  <c r="N1087" i="55"/>
  <c r="Y891" i="51"/>
  <c r="AE891" i="51"/>
  <c r="Z405" i="51"/>
  <c r="K405" i="55"/>
  <c r="N405" i="55"/>
  <c r="Z6" i="51"/>
  <c r="AF6" i="51"/>
  <c r="Z2152" i="51"/>
  <c r="K2152" i="55"/>
  <c r="N2152" i="55"/>
  <c r="Z874" i="51"/>
  <c r="AF874" i="51"/>
  <c r="Y383" i="51"/>
  <c r="J383" i="55"/>
  <c r="M383" i="55"/>
  <c r="Y503" i="51"/>
  <c r="AE503" i="51"/>
  <c r="Z2076" i="51"/>
  <c r="AF2076" i="51"/>
  <c r="AE910" i="52"/>
  <c r="Z910" i="52"/>
  <c r="N144" i="55"/>
  <c r="K144" i="55"/>
  <c r="N493" i="55"/>
  <c r="K493" i="55"/>
  <c r="Y188" i="51"/>
  <c r="AE188" i="51"/>
  <c r="Z1558" i="51"/>
  <c r="K1558" i="55"/>
  <c r="N1558" i="55"/>
  <c r="Z632" i="51"/>
  <c r="AF632" i="51"/>
  <c r="Y117" i="51"/>
  <c r="J117" i="55"/>
  <c r="M117" i="55"/>
  <c r="AE801" i="52"/>
  <c r="Z801" i="52"/>
  <c r="AE416" i="52"/>
  <c r="Z416" i="52"/>
  <c r="Y1035" i="51"/>
  <c r="AE1035" i="51"/>
  <c r="Y395" i="51"/>
  <c r="AE395" i="51"/>
  <c r="Y471" i="51"/>
  <c r="J471" i="55"/>
  <c r="M471" i="55"/>
  <c r="N1706" i="55"/>
  <c r="K1706" i="55"/>
  <c r="Z421" i="51"/>
  <c r="AF421" i="51"/>
  <c r="Y711" i="51"/>
  <c r="AE711" i="51"/>
  <c r="Z440" i="51"/>
  <c r="AF440" i="51"/>
  <c r="Y357" i="51"/>
  <c r="AE357" i="51"/>
  <c r="Z781" i="51"/>
  <c r="AF781" i="51"/>
  <c r="Z1567" i="51"/>
  <c r="K1567" i="55"/>
  <c r="N1567" i="55"/>
  <c r="Z1155" i="51"/>
  <c r="AF1155" i="51"/>
  <c r="Y235" i="51"/>
  <c r="J235" i="55"/>
  <c r="M235" i="55"/>
  <c r="Z396" i="51"/>
  <c r="K396" i="55"/>
  <c r="N396" i="55"/>
  <c r="AF1900" i="51"/>
  <c r="Z1900" i="51"/>
  <c r="Z208" i="51"/>
  <c r="AF208" i="51"/>
  <c r="Z515" i="51"/>
  <c r="AF515" i="51"/>
  <c r="Y372" i="51"/>
  <c r="AE372" i="51"/>
  <c r="Z11" i="51"/>
  <c r="K11" i="55"/>
  <c r="N11" i="55"/>
  <c r="M67" i="55"/>
  <c r="J67" i="55"/>
  <c r="Z1488" i="51"/>
  <c r="K1488" i="55"/>
  <c r="N1488" i="55"/>
  <c r="N1192" i="55"/>
  <c r="K1192" i="55"/>
  <c r="N570" i="55"/>
  <c r="K570" i="55"/>
  <c r="Z358" i="51"/>
  <c r="AF358" i="51"/>
  <c r="AF446" i="51"/>
  <c r="Z530" i="51"/>
  <c r="K530" i="55"/>
  <c r="N530" i="55"/>
  <c r="AE38" i="52"/>
  <c r="Z38" i="52"/>
  <c r="Z111" i="51"/>
  <c r="AF111" i="51"/>
  <c r="AF2098" i="51"/>
  <c r="AE465" i="51"/>
  <c r="Z493" i="51"/>
  <c r="AF493" i="51"/>
  <c r="AE555" i="51"/>
  <c r="Y555" i="51"/>
  <c r="Y365" i="51"/>
  <c r="J365" i="55"/>
  <c r="M365" i="55"/>
  <c r="Z523" i="51"/>
  <c r="AF523" i="51"/>
  <c r="Z1454" i="51"/>
  <c r="AF1454" i="51"/>
  <c r="Y7" i="51"/>
  <c r="J7" i="55"/>
  <c r="M7" i="55"/>
  <c r="Z2083" i="51"/>
  <c r="K2083" i="55"/>
  <c r="N2083" i="55"/>
  <c r="Z388" i="51"/>
  <c r="K388" i="55"/>
  <c r="N388" i="55"/>
  <c r="Y584" i="51"/>
  <c r="AE584" i="51"/>
  <c r="Z28" i="51"/>
  <c r="AF28" i="51"/>
  <c r="Z129" i="51"/>
  <c r="K129" i="55"/>
  <c r="N129" i="55"/>
  <c r="N1907" i="55"/>
  <c r="K1907" i="55"/>
  <c r="Y613" i="51"/>
  <c r="J613" i="55"/>
  <c r="M613" i="55"/>
  <c r="Y476" i="51"/>
  <c r="AE476" i="51"/>
  <c r="Y326" i="51"/>
  <c r="J326" i="55"/>
  <c r="M326" i="55"/>
  <c r="Y67" i="51"/>
  <c r="AE67" i="51"/>
  <c r="Z2149" i="51"/>
  <c r="AF2149" i="51"/>
  <c r="AE273" i="51"/>
  <c r="Z420" i="51"/>
  <c r="K420" i="55"/>
  <c r="N420" i="55"/>
  <c r="N1300" i="55"/>
  <c r="K1300" i="55"/>
  <c r="M1347" i="55"/>
  <c r="J1347" i="55"/>
  <c r="Y224" i="51"/>
  <c r="J224" i="55"/>
  <c r="M224" i="55"/>
  <c r="N1217" i="55"/>
  <c r="K1217" i="55"/>
  <c r="Z492" i="51"/>
  <c r="AF492" i="51"/>
  <c r="Y287" i="51"/>
  <c r="AE287" i="51"/>
  <c r="N584" i="55"/>
  <c r="K584" i="55"/>
  <c r="Y1121" i="51"/>
  <c r="AE1121" i="51"/>
  <c r="Y270" i="51"/>
  <c r="J270" i="55"/>
  <c r="M270" i="55"/>
  <c r="M440" i="55"/>
  <c r="J440" i="55"/>
  <c r="Z446" i="51"/>
  <c r="K446" i="55"/>
  <c r="N446" i="55"/>
  <c r="Z898" i="51"/>
  <c r="AF898" i="51"/>
  <c r="Y277" i="51"/>
  <c r="J277" i="55"/>
  <c r="M277" i="55"/>
  <c r="Z2114" i="51"/>
  <c r="K2114" i="55"/>
  <c r="N2114" i="55"/>
  <c r="Y944" i="51"/>
  <c r="AE944" i="51"/>
  <c r="Z378" i="51"/>
  <c r="AF378" i="51"/>
  <c r="Z1907" i="51"/>
  <c r="AF1907" i="51"/>
  <c r="M155" i="55"/>
  <c r="J155" i="55"/>
  <c r="Z604" i="51"/>
  <c r="AF604" i="51"/>
  <c r="Y77" i="51"/>
  <c r="AE77" i="51"/>
  <c r="Z2070" i="51"/>
  <c r="AF2070" i="51"/>
  <c r="Y720" i="51"/>
  <c r="AE720" i="51"/>
  <c r="M41" i="55"/>
  <c r="J41" i="55"/>
  <c r="Z584" i="51"/>
  <c r="AF584" i="51"/>
  <c r="Z185" i="51"/>
  <c r="AF185" i="51"/>
  <c r="Z847" i="51"/>
  <c r="AF847" i="51"/>
  <c r="Z202" i="51"/>
  <c r="K202" i="55"/>
  <c r="N202" i="55"/>
  <c r="Y27" i="51"/>
  <c r="J27" i="55"/>
  <c r="M27" i="55"/>
  <c r="Y889" i="51"/>
  <c r="J889" i="55"/>
  <c r="M889" i="55"/>
  <c r="Y335" i="51"/>
  <c r="J335" i="55"/>
  <c r="M335" i="55"/>
  <c r="Y41" i="51"/>
  <c r="AE41" i="51"/>
  <c r="Y465" i="51"/>
  <c r="J465" i="55"/>
  <c r="M465" i="55"/>
  <c r="Y440" i="51"/>
  <c r="AE440" i="51"/>
  <c r="Z858" i="51"/>
  <c r="AF858" i="51"/>
  <c r="Z1539" i="51"/>
  <c r="AF1539" i="51"/>
  <c r="Z1535" i="51"/>
  <c r="K1535" i="55"/>
  <c r="N1535" i="55"/>
  <c r="Y950" i="51"/>
  <c r="J950" i="55"/>
  <c r="M950" i="55"/>
  <c r="Z528" i="51"/>
  <c r="AF528" i="51"/>
  <c r="Y621" i="51"/>
  <c r="J621" i="55"/>
  <c r="M621" i="55"/>
  <c r="Y273" i="51"/>
  <c r="J273" i="55"/>
  <c r="M273" i="55"/>
  <c r="Y266" i="51"/>
  <c r="AE266" i="51"/>
  <c r="AE844" i="52"/>
  <c r="Z844" i="52"/>
  <c r="Z1956" i="51"/>
  <c r="K1956" i="55"/>
  <c r="N1956" i="55"/>
  <c r="Y496" i="51"/>
  <c r="J496" i="55"/>
  <c r="M496" i="55"/>
  <c r="Z468" i="51"/>
  <c r="K468" i="55"/>
  <c r="N468" i="55"/>
  <c r="N1979" i="55"/>
  <c r="K1979" i="55"/>
  <c r="Z2098" i="51"/>
  <c r="K2098" i="55"/>
  <c r="N2098" i="55"/>
  <c r="Z1079" i="51"/>
  <c r="K1079" i="55"/>
  <c r="N1079" i="55"/>
  <c r="Y327" i="51"/>
  <c r="J327" i="55"/>
  <c r="M327" i="55"/>
  <c r="M173" i="55"/>
  <c r="J173" i="55"/>
  <c r="Z24" i="51"/>
  <c r="AF24" i="51"/>
  <c r="Z357" i="51"/>
  <c r="AF357" i="51"/>
  <c r="Y946" i="51"/>
  <c r="AE946" i="51"/>
  <c r="Z956" i="51"/>
  <c r="AF956" i="51"/>
  <c r="Y74" i="51"/>
  <c r="AE74" i="51"/>
  <c r="Z499" i="51"/>
  <c r="AF499" i="51"/>
  <c r="AI7" i="55"/>
  <c r="U7" i="55"/>
  <c r="J341" i="55"/>
  <c r="M341" i="55"/>
  <c r="M354" i="55"/>
  <c r="J354" i="55"/>
  <c r="N64" i="55"/>
  <c r="K64" i="55"/>
  <c r="Z1979" i="51"/>
  <c r="AF1979" i="51"/>
  <c r="Y46" i="51"/>
  <c r="AE46" i="51"/>
  <c r="AB109" i="57"/>
  <c r="AB43" i="57"/>
  <c r="N1801" i="55"/>
  <c r="K1801" i="55"/>
  <c r="AE53" i="52"/>
  <c r="Z53" i="52"/>
  <c r="N122" i="55"/>
  <c r="K122" i="55"/>
  <c r="Z911" i="51"/>
  <c r="AF911" i="51"/>
  <c r="Z417" i="51"/>
  <c r="K417" i="55"/>
  <c r="N417" i="55"/>
  <c r="N1963" i="55"/>
  <c r="K1963" i="55"/>
  <c r="Z1102" i="51"/>
  <c r="AF1102" i="51"/>
  <c r="AE368" i="51"/>
  <c r="Y371" i="51"/>
  <c r="J371" i="55"/>
  <c r="M371" i="55"/>
  <c r="Z408" i="51"/>
  <c r="K408" i="55"/>
  <c r="N408" i="55"/>
  <c r="AO43" i="43"/>
  <c r="AE43" i="43"/>
  <c r="AG43" i="43"/>
  <c r="AF219" i="51"/>
  <c r="Z403" i="51"/>
  <c r="K403" i="55"/>
  <c r="N403" i="55"/>
  <c r="AF1546" i="51"/>
  <c r="Z748" i="51"/>
  <c r="K748" i="55"/>
  <c r="N748" i="55"/>
  <c r="N1164" i="55"/>
  <c r="K1164" i="55"/>
  <c r="AF152" i="51"/>
  <c r="Z152" i="51"/>
  <c r="N1592" i="55"/>
  <c r="K1592" i="55"/>
  <c r="AE1357" i="51"/>
  <c r="Y1357" i="51"/>
  <c r="N116" i="55"/>
  <c r="K116" i="55"/>
  <c r="M1267" i="55"/>
  <c r="J1267" i="55"/>
  <c r="Y1014" i="51"/>
  <c r="AE1014" i="51"/>
  <c r="N631" i="55"/>
  <c r="K631" i="55"/>
  <c r="N553" i="55"/>
  <c r="K553" i="55"/>
  <c r="N1226" i="55"/>
  <c r="K1226" i="55"/>
  <c r="N546" i="55"/>
  <c r="K546" i="55"/>
  <c r="AF1626" i="51"/>
  <c r="Z1626" i="51"/>
  <c r="N1299" i="55"/>
  <c r="K1299" i="55"/>
  <c r="Z1922" i="51"/>
  <c r="AF1922" i="51"/>
  <c r="AE1261" i="51"/>
  <c r="Y1261" i="51"/>
  <c r="Z913" i="51"/>
  <c r="AF913" i="51"/>
  <c r="AE809" i="52"/>
  <c r="Z809" i="52"/>
  <c r="AF108" i="51"/>
  <c r="AE232" i="51"/>
  <c r="AF2065" i="51"/>
  <c r="AF1501" i="51"/>
  <c r="Z459" i="51"/>
  <c r="AF459" i="51"/>
  <c r="AF2084" i="51"/>
  <c r="AE481" i="51"/>
  <c r="N1929" i="55"/>
  <c r="K1929" i="55"/>
  <c r="AE259" i="52"/>
  <c r="Z259" i="52"/>
  <c r="AE30" i="51"/>
  <c r="M691" i="55"/>
  <c r="J691" i="55"/>
  <c r="N419" i="55"/>
  <c r="K419" i="55"/>
  <c r="AF1322" i="51"/>
  <c r="Z1322" i="51"/>
  <c r="AE91" i="51"/>
  <c r="N1663" i="55"/>
  <c r="K1663" i="55"/>
  <c r="AF474" i="51"/>
  <c r="N758" i="55"/>
  <c r="K758" i="55"/>
  <c r="N510" i="55"/>
  <c r="K510" i="55"/>
  <c r="N1744" i="55"/>
  <c r="K1744" i="55"/>
  <c r="N1054" i="55"/>
  <c r="K1054" i="55"/>
  <c r="N999" i="55"/>
  <c r="K999" i="55"/>
  <c r="AE1242" i="51"/>
  <c r="Y1242" i="51"/>
  <c r="N1295" i="55"/>
  <c r="K1295" i="55"/>
  <c r="AF480" i="51"/>
  <c r="AE1264" i="51"/>
  <c r="Y1264" i="51"/>
  <c r="M301" i="55"/>
  <c r="J301" i="55"/>
  <c r="AD322" i="52"/>
  <c r="Y322" i="52"/>
  <c r="AF876" i="51"/>
  <c r="AF1379" i="51"/>
  <c r="Z1379" i="51"/>
  <c r="AE708" i="51"/>
  <c r="N391" i="55"/>
  <c r="K391" i="55"/>
  <c r="Y232" i="51"/>
  <c r="J232" i="55"/>
  <c r="M232" i="55"/>
  <c r="Z2065" i="51"/>
  <c r="K2065" i="55"/>
  <c r="N2065" i="55"/>
  <c r="Z1501" i="51"/>
  <c r="K1501" i="55"/>
  <c r="N1501" i="55"/>
  <c r="AE233" i="51"/>
  <c r="Z2084" i="51"/>
  <c r="K2084" i="55"/>
  <c r="N2084" i="55"/>
  <c r="Y481" i="51"/>
  <c r="J481" i="55"/>
  <c r="M481" i="55"/>
  <c r="M393" i="55"/>
  <c r="J393" i="55"/>
  <c r="N1905" i="55"/>
  <c r="K1905" i="55"/>
  <c r="M820" i="55"/>
  <c r="J820" i="55"/>
  <c r="M668" i="55"/>
  <c r="J668" i="55"/>
  <c r="Y354" i="51"/>
  <c r="AE354" i="51"/>
  <c r="Y715" i="51"/>
  <c r="J715" i="55"/>
  <c r="M715" i="55"/>
  <c r="Z927" i="51"/>
  <c r="K927" i="55"/>
  <c r="N927" i="55"/>
  <c r="Y794" i="51"/>
  <c r="AE794" i="51"/>
  <c r="Z64" i="51"/>
  <c r="AF64" i="51"/>
  <c r="AE984" i="52"/>
  <c r="Z984" i="52"/>
  <c r="Y42" i="51"/>
  <c r="AE42" i="51"/>
  <c r="Y660" i="51"/>
  <c r="AE660" i="51"/>
  <c r="Z672" i="52"/>
  <c r="AE672" i="52"/>
  <c r="AE9" i="55"/>
  <c r="Y3" i="51"/>
  <c r="AE3" i="51"/>
  <c r="Z351" i="51"/>
  <c r="AF351" i="51"/>
  <c r="AF1792" i="51"/>
  <c r="Z1792" i="51"/>
  <c r="Y404" i="51"/>
  <c r="AE404" i="51"/>
  <c r="Z500" i="51"/>
  <c r="AF500" i="51"/>
  <c r="Y704" i="51"/>
  <c r="AE704" i="51"/>
  <c r="Z122" i="51"/>
  <c r="AF122" i="51"/>
  <c r="Y285" i="51"/>
  <c r="AE285" i="51"/>
  <c r="Z1963" i="51"/>
  <c r="AF1963" i="51"/>
  <c r="Y6" i="51"/>
  <c r="AE6" i="51"/>
  <c r="Y368" i="51"/>
  <c r="J368" i="55"/>
  <c r="M368" i="55"/>
  <c r="Z2059" i="51"/>
  <c r="K2059" i="55"/>
  <c r="N2059" i="55"/>
  <c r="Y124" i="51"/>
  <c r="J124" i="55"/>
  <c r="M124" i="55"/>
  <c r="N2189" i="55"/>
  <c r="V12" i="55"/>
  <c r="AJ12" i="55"/>
  <c r="Z786" i="51"/>
  <c r="AF786" i="51"/>
  <c r="Z1546" i="51"/>
  <c r="K1546" i="55"/>
  <c r="N1546" i="55"/>
  <c r="Z219" i="51"/>
  <c r="K219" i="55"/>
  <c r="N219" i="55"/>
  <c r="Z904" i="51"/>
  <c r="K904" i="55"/>
  <c r="N904" i="55"/>
  <c r="AE629" i="52"/>
  <c r="Z629" i="52"/>
  <c r="Z108" i="51"/>
  <c r="K108" i="55"/>
  <c r="N108" i="55"/>
  <c r="N1110" i="55"/>
  <c r="K1110" i="55"/>
  <c r="Y30" i="51"/>
  <c r="J30" i="55"/>
  <c r="M30" i="55"/>
  <c r="Z1164" i="51"/>
  <c r="AF1164" i="51"/>
  <c r="AF754" i="51"/>
  <c r="N2085" i="55"/>
  <c r="K2085" i="55"/>
  <c r="AE560" i="51"/>
  <c r="Y560" i="51"/>
  <c r="N352" i="55"/>
  <c r="K352" i="55"/>
  <c r="AF1290" i="51"/>
  <c r="Z1290" i="51"/>
  <c r="N1859" i="55"/>
  <c r="K1859" i="55"/>
  <c r="AF1784" i="51"/>
  <c r="Z1784" i="51"/>
  <c r="Z474" i="51"/>
  <c r="K474" i="55"/>
  <c r="N474" i="55"/>
  <c r="N920" i="55"/>
  <c r="K920" i="55"/>
  <c r="M1047" i="55"/>
  <c r="J1047" i="55"/>
  <c r="N1063" i="55"/>
  <c r="K1063" i="55"/>
  <c r="N745" i="55"/>
  <c r="K745" i="55"/>
  <c r="M456" i="55"/>
  <c r="J456" i="55"/>
  <c r="N362" i="55"/>
  <c r="K362" i="55"/>
  <c r="N1622" i="55"/>
  <c r="K1622" i="55"/>
  <c r="N1830" i="55"/>
  <c r="K1830" i="55"/>
  <c r="Z876" i="51"/>
  <c r="K876" i="55"/>
  <c r="N876" i="55"/>
  <c r="Z449" i="51"/>
  <c r="AF449" i="51"/>
  <c r="AL8" i="51"/>
  <c r="AK8" i="51"/>
  <c r="Z573" i="51"/>
  <c r="AF573" i="51"/>
  <c r="Z70" i="51"/>
  <c r="AF70" i="51"/>
  <c r="AE892" i="52"/>
  <c r="Z892" i="52"/>
  <c r="M1259" i="55"/>
  <c r="J1259" i="55"/>
  <c r="M612" i="55"/>
  <c r="J612" i="55"/>
  <c r="AF1660" i="51"/>
  <c r="Z1660" i="51"/>
  <c r="M564" i="55"/>
  <c r="J564" i="55"/>
  <c r="M1022" i="55"/>
  <c r="J1022" i="55"/>
  <c r="N545" i="55"/>
  <c r="K545" i="55"/>
  <c r="M250" i="55"/>
  <c r="J250" i="55"/>
  <c r="N1292" i="55"/>
  <c r="K1292" i="55"/>
  <c r="N1966" i="55"/>
  <c r="K1966" i="55"/>
  <c r="N1312" i="55"/>
  <c r="K1312" i="55"/>
  <c r="M892" i="55"/>
  <c r="J892" i="55"/>
  <c r="AJ11" i="55"/>
  <c r="V11" i="55"/>
  <c r="N1901" i="55"/>
  <c r="N1824" i="55"/>
  <c r="K1824" i="55"/>
  <c r="N906" i="55"/>
  <c r="K906" i="55"/>
  <c r="N1118" i="55"/>
  <c r="K1118" i="55"/>
  <c r="N211" i="55"/>
  <c r="K211" i="55"/>
  <c r="N1314" i="55"/>
  <c r="K1314" i="55"/>
  <c r="AF463" i="51"/>
  <c r="N2047" i="55"/>
  <c r="K2047" i="55"/>
  <c r="Y717" i="51"/>
  <c r="AE717" i="51"/>
  <c r="Z2040" i="51"/>
  <c r="AF2040" i="51"/>
  <c r="Y393" i="51"/>
  <c r="AE393" i="51"/>
  <c r="N752" i="55"/>
  <c r="K752" i="55"/>
  <c r="AF138" i="51"/>
  <c r="Z138" i="51"/>
  <c r="Y523" i="51"/>
  <c r="AE523" i="51"/>
  <c r="Y62" i="52"/>
  <c r="AD62" i="52"/>
  <c r="AJ5" i="52"/>
  <c r="M1341" i="55"/>
  <c r="J1341" i="55"/>
  <c r="N932" i="55"/>
  <c r="K932" i="55"/>
  <c r="N1752" i="55"/>
  <c r="K1752" i="55"/>
  <c r="Z1929" i="51"/>
  <c r="AF1929" i="51"/>
  <c r="Y820" i="51"/>
  <c r="AE820" i="51"/>
  <c r="AB112" i="57"/>
  <c r="AB46" i="57"/>
  <c r="M498" i="55"/>
  <c r="J498" i="55"/>
  <c r="N642" i="55"/>
  <c r="K642" i="55"/>
  <c r="AD155" i="52"/>
  <c r="Y155" i="52"/>
  <c r="N1579" i="55"/>
  <c r="K1579" i="55"/>
  <c r="N1239" i="55"/>
  <c r="K1239" i="55"/>
  <c r="M251" i="55"/>
  <c r="J251" i="55"/>
  <c r="AF1314" i="51"/>
  <c r="Z1314" i="51"/>
  <c r="AF1397" i="51"/>
  <c r="Z1397" i="51"/>
  <c r="AJ9" i="55"/>
  <c r="V9" i="55"/>
  <c r="N1430" i="55"/>
  <c r="M264" i="55"/>
  <c r="J264" i="55"/>
  <c r="M212" i="55"/>
  <c r="J212" i="55"/>
  <c r="M1334" i="55"/>
  <c r="J1334" i="55"/>
  <c r="N1474" i="55"/>
  <c r="K1474" i="55"/>
  <c r="M318" i="55"/>
  <c r="J318" i="55"/>
  <c r="AF583" i="51"/>
  <c r="AF45" i="51"/>
  <c r="AF386" i="51"/>
  <c r="M1137" i="55"/>
  <c r="J1137" i="55"/>
  <c r="N1402" i="55"/>
  <c r="K1402" i="55"/>
  <c r="N491" i="55"/>
  <c r="K491" i="55"/>
  <c r="AE385" i="51"/>
  <c r="AF1619" i="51"/>
  <c r="Z1619" i="51"/>
  <c r="M533" i="55"/>
  <c r="J533" i="55"/>
  <c r="AO46" i="43"/>
  <c r="AE46" i="43"/>
  <c r="AG46" i="43"/>
  <c r="N1078" i="55"/>
  <c r="K1078" i="55"/>
  <c r="N69" i="55"/>
  <c r="K69" i="55"/>
  <c r="AF896" i="51"/>
  <c r="AE25" i="52"/>
  <c r="Z25" i="52"/>
  <c r="N623" i="55"/>
  <c r="K623" i="55"/>
  <c r="AF453" i="51"/>
  <c r="AF2133" i="51"/>
  <c r="M409" i="55"/>
  <c r="J409" i="55"/>
  <c r="N1736" i="55"/>
  <c r="K1736" i="55"/>
  <c r="N2037" i="55"/>
  <c r="K2037" i="55"/>
  <c r="N921" i="55"/>
  <c r="K921" i="55"/>
  <c r="AF1086" i="51"/>
  <c r="AF1507" i="51"/>
  <c r="M260" i="55"/>
  <c r="J260" i="55"/>
  <c r="N212" i="55"/>
  <c r="K212" i="55"/>
  <c r="Y1047" i="51"/>
  <c r="AE1047" i="51"/>
  <c r="M113" i="55"/>
  <c r="J113" i="55"/>
  <c r="M450" i="55"/>
  <c r="J450" i="55"/>
  <c r="AE380" i="51"/>
  <c r="N772" i="55"/>
  <c r="K772" i="55"/>
  <c r="M1143" i="55"/>
  <c r="J1143" i="55"/>
  <c r="N67" i="55"/>
  <c r="K67" i="55"/>
  <c r="AE833" i="52"/>
  <c r="Z833" i="52"/>
  <c r="AD123" i="52"/>
  <c r="Y123" i="52"/>
  <c r="M81" i="55"/>
  <c r="J81" i="55"/>
  <c r="Y480" i="51"/>
  <c r="AE480" i="51"/>
  <c r="AF1876" i="51"/>
  <c r="Z1876" i="51"/>
  <c r="N1561" i="55"/>
  <c r="K1561" i="55"/>
  <c r="N2095" i="55"/>
  <c r="K2095" i="55"/>
  <c r="N538" i="55"/>
  <c r="K538" i="55"/>
  <c r="AD130" i="52"/>
  <c r="Y130" i="52"/>
  <c r="N997" i="55"/>
  <c r="K997" i="55"/>
  <c r="AE628" i="51"/>
  <c r="M13" i="55"/>
  <c r="J13" i="55"/>
  <c r="Y459" i="51"/>
  <c r="AE459" i="51"/>
  <c r="AF1236" i="51"/>
  <c r="Z1236" i="51"/>
  <c r="AF205" i="51"/>
  <c r="M122" i="55"/>
  <c r="J122" i="55"/>
  <c r="AD254" i="52"/>
  <c r="Y254" i="52"/>
  <c r="N1320" i="55"/>
  <c r="K1320" i="55"/>
  <c r="N131" i="55"/>
  <c r="K131" i="55"/>
  <c r="N1309" i="55"/>
  <c r="K1309" i="55"/>
  <c r="Y126" i="51"/>
  <c r="AE126" i="51"/>
  <c r="AF2050" i="51"/>
  <c r="AF484" i="51"/>
  <c r="N483" i="55"/>
  <c r="K483" i="55"/>
  <c r="Z745" i="51"/>
  <c r="AF745" i="51"/>
  <c r="Z905" i="51"/>
  <c r="AF905" i="51"/>
  <c r="Z362" i="51"/>
  <c r="AF362" i="51"/>
  <c r="N1211" i="55"/>
  <c r="K1211" i="55"/>
  <c r="N1194" i="55"/>
  <c r="K1194" i="55"/>
  <c r="AF938" i="51"/>
  <c r="N1992" i="55"/>
  <c r="K1992" i="55"/>
  <c r="AE1125" i="51"/>
  <c r="AF94" i="51"/>
  <c r="N347" i="55"/>
  <c r="K347" i="55"/>
  <c r="M540" i="55"/>
  <c r="J540" i="55"/>
  <c r="N469" i="55"/>
  <c r="K469" i="55"/>
  <c r="N1589" i="55"/>
  <c r="K1589" i="55"/>
  <c r="M76" i="55"/>
  <c r="J76" i="55"/>
  <c r="M694" i="55"/>
  <c r="J694" i="55"/>
  <c r="N1438" i="55"/>
  <c r="K1438" i="55"/>
  <c r="N118" i="55"/>
  <c r="K118" i="55"/>
  <c r="N1450" i="55"/>
  <c r="K1450" i="55"/>
  <c r="N2100" i="55"/>
  <c r="K2100" i="55"/>
  <c r="N1103" i="55"/>
  <c r="K1103" i="55"/>
  <c r="M236" i="55"/>
  <c r="J236" i="55"/>
  <c r="AE452" i="51"/>
  <c r="AG47" i="44"/>
  <c r="AE47" i="44"/>
  <c r="AO47" i="44"/>
  <c r="AD109" i="52"/>
  <c r="Y109" i="52"/>
  <c r="AE756" i="52"/>
  <c r="Z756" i="52"/>
  <c r="AE524" i="52"/>
  <c r="Z524" i="52"/>
  <c r="N986" i="55"/>
  <c r="K986" i="55"/>
  <c r="N26" i="55"/>
  <c r="K26" i="55"/>
  <c r="N2051" i="55"/>
  <c r="K2051" i="55"/>
  <c r="N759" i="55"/>
  <c r="K759" i="55"/>
  <c r="N1909" i="55"/>
  <c r="K1909" i="55"/>
  <c r="N1062" i="55"/>
  <c r="K1062" i="55"/>
  <c r="N1871" i="55"/>
  <c r="K1871" i="55"/>
  <c r="M609" i="55"/>
  <c r="J609" i="55"/>
  <c r="AC127" i="57"/>
  <c r="AC61" i="57"/>
  <c r="AF61" i="43"/>
  <c r="AP61" i="43"/>
  <c r="N1465" i="55"/>
  <c r="K1465" i="55"/>
  <c r="AD312" i="52"/>
  <c r="Y312" i="52"/>
  <c r="AE5" i="55"/>
  <c r="AE2" i="52"/>
  <c r="Z2" i="52"/>
  <c r="M594" i="55"/>
  <c r="J594" i="55"/>
  <c r="M616" i="55"/>
  <c r="J616" i="55"/>
  <c r="N389" i="55"/>
  <c r="K389" i="55"/>
  <c r="N166" i="55"/>
  <c r="K166" i="55"/>
  <c r="AF607" i="51"/>
  <c r="M639" i="55"/>
  <c r="J639" i="55"/>
  <c r="M1271" i="55"/>
  <c r="J1271" i="55"/>
  <c r="AF2025" i="51"/>
  <c r="AE7" i="55"/>
  <c r="AE207" i="52"/>
  <c r="Z207" i="52"/>
  <c r="AF1049" i="51"/>
  <c r="AF370" i="51"/>
  <c r="AF50" i="44"/>
  <c r="AP50" i="44"/>
  <c r="M722" i="55"/>
  <c r="J722" i="55"/>
  <c r="M180" i="55"/>
  <c r="J180" i="55"/>
  <c r="AE201" i="51"/>
  <c r="AE1339" i="51"/>
  <c r="Y1339" i="51"/>
  <c r="N1843" i="55"/>
  <c r="K1843" i="55"/>
  <c r="M179" i="55"/>
  <c r="J179" i="55"/>
  <c r="AE382" i="51"/>
  <c r="AE451" i="51"/>
  <c r="N1148" i="55"/>
  <c r="K1148" i="55"/>
  <c r="AF1307" i="51"/>
  <c r="Z1307" i="51"/>
  <c r="M1141" i="55"/>
  <c r="J1141" i="55"/>
  <c r="N479" i="55"/>
  <c r="K479" i="55"/>
  <c r="N1534" i="55"/>
  <c r="K1534" i="55"/>
  <c r="AE855" i="52"/>
  <c r="Z855" i="52"/>
  <c r="AF1325" i="51"/>
  <c r="Z1325" i="51"/>
  <c r="AF1916" i="51"/>
  <c r="N187" i="55"/>
  <c r="K187" i="55"/>
  <c r="M197" i="55"/>
  <c r="J197" i="55"/>
  <c r="AF1808" i="51"/>
  <c r="Z1808" i="51"/>
  <c r="M174" i="55"/>
  <c r="J174" i="55"/>
  <c r="AE175" i="51"/>
  <c r="Y175" i="51"/>
  <c r="N102" i="57"/>
  <c r="N36" i="57"/>
  <c r="M725" i="55"/>
  <c r="J725" i="55"/>
  <c r="N775" i="55"/>
  <c r="K775" i="55"/>
  <c r="AD581" i="52"/>
  <c r="Y581" i="52"/>
  <c r="N50" i="55"/>
  <c r="K50" i="55"/>
  <c r="M684" i="55"/>
  <c r="J684" i="55"/>
  <c r="M599" i="55"/>
  <c r="J599" i="55"/>
  <c r="N1797" i="55"/>
  <c r="K1797" i="55"/>
  <c r="N1540" i="55"/>
  <c r="K1540" i="55"/>
  <c r="M78" i="55"/>
  <c r="J78" i="55"/>
  <c r="M186" i="55"/>
  <c r="J186" i="55"/>
  <c r="N1869" i="55"/>
  <c r="K1869" i="55"/>
  <c r="M554" i="55"/>
  <c r="J554" i="55"/>
  <c r="M1140" i="55"/>
  <c r="J1140" i="55"/>
  <c r="N87" i="55"/>
  <c r="K87" i="55"/>
  <c r="AG102" i="57"/>
  <c r="AG36" i="57"/>
  <c r="M387" i="55"/>
  <c r="J387" i="55"/>
  <c r="N470" i="55"/>
  <c r="K470" i="55"/>
  <c r="M1033" i="55"/>
  <c r="J1033" i="55"/>
  <c r="AE937" i="52"/>
  <c r="Z937" i="52"/>
  <c r="AF1190" i="51"/>
  <c r="Z1190" i="51"/>
  <c r="M611" i="55"/>
  <c r="J611" i="55"/>
  <c r="AE54" i="52"/>
  <c r="Z54" i="52"/>
  <c r="N853" i="55"/>
  <c r="K853" i="55"/>
  <c r="AE848" i="52"/>
  <c r="Z848" i="52"/>
  <c r="N1915" i="55"/>
  <c r="K1915" i="55"/>
  <c r="M685" i="55"/>
  <c r="J685" i="55"/>
  <c r="N1303" i="55"/>
  <c r="K1303" i="55"/>
  <c r="AF179" i="51"/>
  <c r="Z179" i="51"/>
  <c r="N1094" i="55"/>
  <c r="K1094" i="55"/>
  <c r="AE880" i="52"/>
  <c r="Z880" i="52"/>
  <c r="N191" i="55"/>
  <c r="K191" i="55"/>
  <c r="M1249" i="55"/>
  <c r="J1249" i="55"/>
  <c r="AD156" i="52"/>
  <c r="Y156" i="52"/>
  <c r="N918" i="55"/>
  <c r="K918" i="55"/>
  <c r="AF369" i="51"/>
  <c r="N1603" i="55"/>
  <c r="K1603" i="55"/>
  <c r="M333" i="55"/>
  <c r="J333" i="55"/>
  <c r="N1818" i="55"/>
  <c r="K1818" i="55"/>
  <c r="AF460" i="51"/>
  <c r="AE139" i="51"/>
  <c r="Y139" i="51"/>
  <c r="N355" i="55"/>
  <c r="K355" i="55"/>
  <c r="M606" i="55"/>
  <c r="J606" i="55"/>
  <c r="AD317" i="52"/>
  <c r="Y317" i="52"/>
  <c r="AE1273" i="51"/>
  <c r="Y1273" i="51"/>
  <c r="M142" i="55"/>
  <c r="J142" i="55"/>
  <c r="N361" i="55"/>
  <c r="K361" i="55"/>
  <c r="M162" i="55"/>
  <c r="J162" i="55"/>
  <c r="AE466" i="51"/>
  <c r="AG12" i="43"/>
  <c r="M346" i="55"/>
  <c r="J346" i="55"/>
  <c r="N774" i="55"/>
  <c r="K774" i="55"/>
  <c r="AE950" i="52"/>
  <c r="Z950" i="52"/>
  <c r="N1790" i="55"/>
  <c r="K1790" i="55"/>
  <c r="AD368" i="52"/>
  <c r="Y368" i="52"/>
  <c r="N2116" i="55"/>
  <c r="K2116" i="55"/>
  <c r="AD294" i="52"/>
  <c r="Y294" i="52"/>
  <c r="N1496" i="55"/>
  <c r="K1496" i="55"/>
  <c r="AL63" i="44"/>
  <c r="AJ63" i="44"/>
  <c r="AE466" i="52"/>
  <c r="Z466" i="52"/>
  <c r="M177" i="55"/>
  <c r="J177" i="55"/>
  <c r="AF2077" i="51"/>
  <c r="N524" i="55"/>
  <c r="K524" i="55"/>
  <c r="N35" i="55"/>
  <c r="K35" i="55"/>
  <c r="M338" i="55"/>
  <c r="J338" i="55"/>
  <c r="M87" i="55"/>
  <c r="J87" i="55"/>
  <c r="N638" i="55"/>
  <c r="K638" i="55"/>
  <c r="M436" i="55"/>
  <c r="J436" i="55"/>
  <c r="M242" i="55"/>
  <c r="J242" i="55"/>
  <c r="AD105" i="52"/>
  <c r="Y105" i="52"/>
  <c r="N2102" i="55"/>
  <c r="K2102" i="55"/>
  <c r="N593" i="55"/>
  <c r="K593" i="55"/>
  <c r="AE932" i="52"/>
  <c r="Z932" i="52"/>
  <c r="M89" i="55"/>
  <c r="J89" i="55"/>
  <c r="N514" i="55"/>
  <c r="K514" i="55"/>
  <c r="AD53" i="52"/>
  <c r="Y53" i="52"/>
  <c r="AF1754" i="51"/>
  <c r="N148" i="55"/>
  <c r="K148" i="55"/>
  <c r="AF903" i="51"/>
  <c r="AM44" i="44"/>
  <c r="T44" i="44"/>
  <c r="N44" i="44"/>
  <c r="AV7" i="51"/>
  <c r="AU7" i="51"/>
  <c r="AE792" i="52"/>
  <c r="Z792" i="52"/>
  <c r="M714" i="55"/>
  <c r="J714" i="55"/>
  <c r="N1538" i="55"/>
  <c r="K1538" i="55"/>
  <c r="M151" i="55"/>
  <c r="J151" i="55"/>
  <c r="AL45" i="44"/>
  <c r="AJ45" i="44"/>
  <c r="N1872" i="55"/>
  <c r="K1872" i="55"/>
  <c r="AF1419" i="51"/>
  <c r="Z1419" i="51"/>
  <c r="AE206" i="51"/>
  <c r="AM48" i="44"/>
  <c r="T48" i="44"/>
  <c r="N48" i="44"/>
  <c r="AE743" i="51"/>
  <c r="M539" i="55"/>
  <c r="J539" i="55"/>
  <c r="M676" i="55"/>
  <c r="J676" i="55"/>
  <c r="N1611" i="55"/>
  <c r="K1611" i="55"/>
  <c r="N782" i="55"/>
  <c r="K782" i="55"/>
  <c r="Z2080" i="51"/>
  <c r="AF2080" i="51"/>
  <c r="Z583" i="51"/>
  <c r="K583" i="55"/>
  <c r="N583" i="55"/>
  <c r="Z45" i="51"/>
  <c r="K45" i="55"/>
  <c r="N45" i="55"/>
  <c r="Z386" i="51"/>
  <c r="K386" i="55"/>
  <c r="N386" i="55"/>
  <c r="M40" i="55"/>
  <c r="J40" i="55"/>
  <c r="Z491" i="51"/>
  <c r="AF491" i="51"/>
  <c r="Z2047" i="51"/>
  <c r="AF2047" i="51"/>
  <c r="Y385" i="51"/>
  <c r="J385" i="55"/>
  <c r="M385" i="55"/>
  <c r="N183" i="55"/>
  <c r="K183" i="55"/>
  <c r="Z1460" i="51"/>
  <c r="AF1460" i="51"/>
  <c r="Z932" i="51"/>
  <c r="AF932" i="51"/>
  <c r="AE618" i="52"/>
  <c r="Z618" i="52"/>
  <c r="AF1669" i="51"/>
  <c r="Z1669" i="51"/>
  <c r="N773" i="55"/>
  <c r="K773" i="55"/>
  <c r="Y498" i="51"/>
  <c r="AE498" i="51"/>
  <c r="Z1078" i="51"/>
  <c r="AF1078" i="51"/>
  <c r="AF1220" i="51"/>
  <c r="Z1220" i="51"/>
  <c r="M741" i="55"/>
  <c r="J741" i="55"/>
  <c r="AF1674" i="51"/>
  <c r="Z1674" i="51"/>
  <c r="Z896" i="51"/>
  <c r="K896" i="55"/>
  <c r="N896" i="55"/>
  <c r="N43" i="55"/>
  <c r="K43" i="55"/>
  <c r="Z209" i="51"/>
  <c r="AF209" i="51"/>
  <c r="Z453" i="51"/>
  <c r="K453" i="55"/>
  <c r="N453" i="55"/>
  <c r="N443" i="55"/>
  <c r="K443" i="55"/>
  <c r="Z2133" i="51"/>
  <c r="K2133" i="55"/>
  <c r="N2133" i="55"/>
  <c r="AF6" i="44"/>
  <c r="AP6" i="44"/>
  <c r="AP18" i="43"/>
  <c r="AF18" i="43"/>
  <c r="AG18" i="43"/>
  <c r="N2150" i="55"/>
  <c r="K2150" i="55"/>
  <c r="AF962" i="51"/>
  <c r="AF44" i="51"/>
  <c r="AF206" i="51"/>
  <c r="AF1081" i="51"/>
  <c r="AF105" i="51"/>
  <c r="Z1507" i="51"/>
  <c r="K1507" i="55"/>
  <c r="N1507" i="55"/>
  <c r="AE1272" i="51"/>
  <c r="Y1272" i="51"/>
  <c r="AE442" i="51"/>
  <c r="Z116" i="51"/>
  <c r="AF116" i="51"/>
  <c r="Z212" i="51"/>
  <c r="AF212" i="51"/>
  <c r="Y113" i="51"/>
  <c r="AE113" i="51"/>
  <c r="Y380" i="51"/>
  <c r="J380" i="55"/>
  <c r="M380" i="55"/>
  <c r="Z1063" i="51"/>
  <c r="AF1063" i="51"/>
  <c r="AF1532" i="51"/>
  <c r="Z631" i="51"/>
  <c r="AF631" i="51"/>
  <c r="N1703" i="55"/>
  <c r="K1703" i="55"/>
  <c r="M1256" i="55"/>
  <c r="J1256" i="55"/>
  <c r="N1066" i="55"/>
  <c r="K1066" i="55"/>
  <c r="N1633" i="55"/>
  <c r="K1633" i="55"/>
  <c r="M826" i="55"/>
  <c r="J826" i="55"/>
  <c r="AF582" i="51"/>
  <c r="AE802" i="51"/>
  <c r="N1839" i="55"/>
  <c r="K1839" i="55"/>
  <c r="N1952" i="55"/>
  <c r="K1952" i="55"/>
  <c r="AF1400" i="51"/>
  <c r="Z1400" i="51"/>
  <c r="M666" i="55"/>
  <c r="J666" i="55"/>
  <c r="N9" i="55"/>
  <c r="K9" i="55"/>
  <c r="AF132" i="51"/>
  <c r="M630" i="55"/>
  <c r="J630" i="55"/>
  <c r="Y628" i="51"/>
  <c r="J628" i="55"/>
  <c r="M628" i="55"/>
  <c r="AE1245" i="51"/>
  <c r="Y1245" i="51"/>
  <c r="N1810" i="55"/>
  <c r="K1810" i="55"/>
  <c r="AF1788" i="51"/>
  <c r="Z1788" i="51"/>
  <c r="AF2078" i="51"/>
  <c r="AF447" i="51"/>
  <c r="Y13" i="51"/>
  <c r="AE13" i="51"/>
  <c r="M1241" i="55"/>
  <c r="J1241" i="55"/>
  <c r="N1296" i="55"/>
  <c r="K1296" i="55"/>
  <c r="Z205" i="51"/>
  <c r="K205" i="55"/>
  <c r="N205" i="55"/>
  <c r="Y691" i="51"/>
  <c r="AE691" i="51"/>
  <c r="N1769" i="55"/>
  <c r="K1769" i="55"/>
  <c r="AE827" i="51"/>
  <c r="AE149" i="51"/>
  <c r="Y149" i="51"/>
  <c r="N43" i="43"/>
  <c r="T43" i="43"/>
  <c r="AM43" i="43"/>
  <c r="AE885" i="52"/>
  <c r="Z885" i="52"/>
  <c r="Z2050" i="51"/>
  <c r="K2050" i="55"/>
  <c r="N2050" i="55"/>
  <c r="Z597" i="51"/>
  <c r="AF597" i="51"/>
  <c r="Z484" i="51"/>
  <c r="K484" i="55"/>
  <c r="N484" i="55"/>
  <c r="AE392" i="51"/>
  <c r="Z1054" i="51"/>
  <c r="AF1054" i="51"/>
  <c r="AE1044" i="51"/>
  <c r="AF1954" i="51"/>
  <c r="AF375" i="51"/>
  <c r="AE449" i="51"/>
  <c r="Z938" i="51"/>
  <c r="K938" i="55"/>
  <c r="N938" i="55"/>
  <c r="AF184" i="51"/>
  <c r="AP49" i="43"/>
  <c r="AF49" i="43"/>
  <c r="AC49" i="57"/>
  <c r="AC115" i="57"/>
  <c r="N80" i="55"/>
  <c r="K80" i="55"/>
  <c r="N482" i="55"/>
  <c r="K482" i="55"/>
  <c r="Y1125" i="51"/>
  <c r="J1125" i="55"/>
  <c r="M1125" i="55"/>
  <c r="N2199" i="55"/>
  <c r="K2199" i="55"/>
  <c r="Z94" i="51"/>
  <c r="K94" i="55"/>
  <c r="N94" i="55"/>
  <c r="AE454" i="52"/>
  <c r="Z454" i="52"/>
  <c r="N1154" i="55"/>
  <c r="K1154" i="55"/>
  <c r="N833" i="55"/>
  <c r="K833" i="55"/>
  <c r="Y540" i="51"/>
  <c r="AE540" i="51"/>
  <c r="AE678" i="51"/>
  <c r="AF1096" i="51"/>
  <c r="AV5" i="51"/>
  <c r="AU5" i="51"/>
  <c r="AE1144" i="51"/>
  <c r="Z2100" i="51"/>
  <c r="AF2100" i="51"/>
  <c r="AM33" i="44"/>
  <c r="T33" i="44"/>
  <c r="N33" i="44"/>
  <c r="Y452" i="51"/>
  <c r="J452" i="55"/>
  <c r="M452" i="55"/>
  <c r="AE9" i="51"/>
  <c r="M446" i="55"/>
  <c r="J446" i="55"/>
  <c r="AF588" i="51"/>
  <c r="AF756" i="51"/>
  <c r="M227" i="55"/>
  <c r="J227" i="55"/>
  <c r="AE268" i="51"/>
  <c r="Z759" i="51"/>
  <c r="AF759" i="51"/>
  <c r="M8" i="55"/>
  <c r="J8" i="55"/>
  <c r="AF2063" i="51"/>
  <c r="AF430" i="51"/>
  <c r="AF1088" i="51"/>
  <c r="Z607" i="51"/>
  <c r="K607" i="55"/>
  <c r="N607" i="55"/>
  <c r="AF965" i="51"/>
  <c r="M561" i="55"/>
  <c r="J561" i="55"/>
  <c r="Z2025" i="51"/>
  <c r="K2025" i="55"/>
  <c r="N2025" i="55"/>
  <c r="N535" i="55"/>
  <c r="K535" i="55"/>
  <c r="Z1049" i="51"/>
  <c r="K1049" i="55"/>
  <c r="N1049" i="55"/>
  <c r="Z370" i="51"/>
  <c r="K370" i="55"/>
  <c r="N370" i="55"/>
  <c r="N1643" i="55"/>
  <c r="K1643" i="55"/>
  <c r="N542" i="55"/>
  <c r="K542" i="55"/>
  <c r="AD656" i="52"/>
  <c r="Y656" i="52"/>
  <c r="AF532" i="51"/>
  <c r="AF464" i="51"/>
  <c r="AE390" i="52"/>
  <c r="Z390" i="52"/>
  <c r="AE1412" i="51"/>
  <c r="Y1412" i="51"/>
  <c r="N189" i="55"/>
  <c r="K189" i="55"/>
  <c r="AE632" i="51"/>
  <c r="AE795" i="51"/>
  <c r="AE823" i="52"/>
  <c r="Z823" i="52"/>
  <c r="Y1144" i="51"/>
  <c r="J1144" i="55"/>
  <c r="M1144" i="55"/>
  <c r="N934" i="55"/>
  <c r="K934" i="55"/>
  <c r="M381" i="55"/>
  <c r="J381" i="55"/>
  <c r="AE315" i="51"/>
  <c r="Y382" i="51"/>
  <c r="J382" i="55"/>
  <c r="M382" i="55"/>
  <c r="AE391" i="51"/>
  <c r="AF1104" i="51"/>
  <c r="N168" i="55"/>
  <c r="K168" i="55"/>
  <c r="N1068" i="55"/>
  <c r="K1068" i="55"/>
  <c r="AF1727" i="51"/>
  <c r="N869" i="55"/>
  <c r="K869" i="55"/>
  <c r="N783" i="55"/>
  <c r="K783" i="55"/>
  <c r="AE63" i="52"/>
  <c r="Z63" i="52"/>
  <c r="N156" i="55"/>
  <c r="K156" i="55"/>
  <c r="AF1490" i="51"/>
  <c r="AF1442" i="51"/>
  <c r="M677" i="55"/>
  <c r="J677" i="55"/>
  <c r="M165" i="55"/>
  <c r="J165" i="55"/>
  <c r="N1668" i="55"/>
  <c r="K1668" i="55"/>
  <c r="AF160" i="51"/>
  <c r="Z160" i="51"/>
  <c r="Y391" i="51"/>
  <c r="J391" i="55"/>
  <c r="M391" i="55"/>
  <c r="AE279" i="51"/>
  <c r="AE818" i="51"/>
  <c r="AF580" i="51"/>
  <c r="N1950" i="55"/>
  <c r="K1950" i="55"/>
  <c r="N856" i="55"/>
  <c r="K856" i="55"/>
  <c r="N1318" i="55"/>
  <c r="K1318" i="55"/>
  <c r="N57" i="55"/>
  <c r="K57" i="55"/>
  <c r="Z1438" i="51"/>
  <c r="AF1438" i="51"/>
  <c r="N167" i="55"/>
  <c r="K167" i="55"/>
  <c r="N1191" i="55"/>
  <c r="K1191" i="55"/>
  <c r="AE248" i="52"/>
  <c r="Z248" i="52"/>
  <c r="AE885" i="51"/>
  <c r="AF619" i="51"/>
  <c r="AE553" i="51"/>
  <c r="Y553" i="51"/>
  <c r="M176" i="55"/>
  <c r="J176" i="55"/>
  <c r="N12" i="55"/>
  <c r="K12" i="55"/>
  <c r="N1578" i="55"/>
  <c r="K1578" i="55"/>
  <c r="N1547" i="55"/>
  <c r="K1547" i="55"/>
  <c r="AF1852" i="51"/>
  <c r="Z1852" i="51"/>
  <c r="AF414" i="51"/>
  <c r="AD358" i="52"/>
  <c r="Y358" i="52"/>
  <c r="N213" i="55"/>
  <c r="K213" i="55"/>
  <c r="M1349" i="55"/>
  <c r="J1349" i="55"/>
  <c r="M657" i="55"/>
  <c r="J657" i="55"/>
  <c r="M85" i="55"/>
  <c r="J85" i="55"/>
  <c r="AE77" i="52"/>
  <c r="Z77" i="52"/>
  <c r="N610" i="55"/>
  <c r="K610" i="55"/>
  <c r="M247" i="55"/>
  <c r="J247" i="55"/>
  <c r="AE764" i="52"/>
  <c r="Z764" i="52"/>
  <c r="AE10" i="51"/>
  <c r="AE49" i="51"/>
  <c r="AF518" i="51"/>
  <c r="Z853" i="51"/>
  <c r="AF853" i="51"/>
  <c r="M528" i="55"/>
  <c r="J528" i="55"/>
  <c r="N1196" i="55"/>
  <c r="K1196" i="55"/>
  <c r="N1232" i="55"/>
  <c r="K1232" i="55"/>
  <c r="Y685" i="51"/>
  <c r="AE685" i="51"/>
  <c r="Y694" i="51"/>
  <c r="AE694" i="51"/>
  <c r="Z1103" i="51"/>
  <c r="AF1103" i="51"/>
  <c r="N1468" i="55"/>
  <c r="K1468" i="55"/>
  <c r="M93" i="55"/>
  <c r="J93" i="55"/>
  <c r="AF1780" i="51"/>
  <c r="Z1780" i="51"/>
  <c r="N1972" i="55"/>
  <c r="K1972" i="55"/>
  <c r="N1378" i="55"/>
  <c r="K1378" i="55"/>
  <c r="Z447" i="51"/>
  <c r="K447" i="55"/>
  <c r="N447" i="55"/>
  <c r="AF1477" i="51"/>
  <c r="AF7" i="51"/>
  <c r="N785" i="55"/>
  <c r="K785" i="55"/>
  <c r="AF867" i="51"/>
  <c r="N186" i="55"/>
  <c r="K186" i="55"/>
  <c r="AE31" i="51"/>
  <c r="Z369" i="51"/>
  <c r="K369" i="55"/>
  <c r="N369" i="55"/>
  <c r="Z460" i="51"/>
  <c r="K460" i="55"/>
  <c r="N460" i="55"/>
  <c r="AF1237" i="51"/>
  <c r="Z1237" i="51"/>
  <c r="M570" i="55"/>
  <c r="J570" i="55"/>
  <c r="AF490" i="51"/>
  <c r="N1749" i="55"/>
  <c r="K1749" i="55"/>
  <c r="AF1811" i="51"/>
  <c r="Z1811" i="51"/>
  <c r="Z87" i="51"/>
  <c r="AF87" i="51"/>
  <c r="N509" i="55"/>
  <c r="K509" i="55"/>
  <c r="N1372" i="55"/>
  <c r="K1372" i="55"/>
  <c r="N2163" i="55"/>
  <c r="K2163" i="55"/>
  <c r="AF1895" i="51"/>
  <c r="Z1895" i="51"/>
  <c r="AD343" i="52"/>
  <c r="Y343" i="52"/>
  <c r="AC125" i="57"/>
  <c r="AC59" i="57"/>
  <c r="AF59" i="43"/>
  <c r="AP59" i="43"/>
  <c r="N559" i="55"/>
  <c r="K559" i="55"/>
  <c r="N410" i="55"/>
  <c r="K410" i="55"/>
  <c r="N1223" i="55"/>
  <c r="K1223" i="55"/>
  <c r="N2034" i="55"/>
  <c r="K2034" i="55"/>
  <c r="N1874" i="55"/>
  <c r="K1874" i="55"/>
  <c r="N1726" i="55"/>
  <c r="K1726" i="55"/>
  <c r="N1873" i="55"/>
  <c r="K1873" i="55"/>
  <c r="N1599" i="55"/>
  <c r="K1599" i="55"/>
  <c r="AE541" i="52"/>
  <c r="Z541" i="52"/>
  <c r="AD145" i="52"/>
  <c r="Y145" i="52"/>
  <c r="N1106" i="55"/>
  <c r="K1106" i="55"/>
  <c r="Z518" i="51"/>
  <c r="K518" i="55"/>
  <c r="N518" i="55"/>
  <c r="N1659" i="55"/>
  <c r="K1659" i="55"/>
  <c r="Z1496" i="51"/>
  <c r="AF1496" i="51"/>
  <c r="AF1714" i="51"/>
  <c r="Z1714" i="51"/>
  <c r="M1261" i="55"/>
  <c r="J1261" i="55"/>
  <c r="Z2077" i="51"/>
  <c r="K2077" i="55"/>
  <c r="N2077" i="55"/>
  <c r="N146" i="55"/>
  <c r="K146" i="55"/>
  <c r="M703" i="55"/>
  <c r="J703" i="55"/>
  <c r="N1861" i="55"/>
  <c r="K1861" i="55"/>
  <c r="AE1001" i="52"/>
  <c r="Z1001" i="52"/>
  <c r="AE882" i="52"/>
  <c r="Z882" i="52"/>
  <c r="M682" i="55"/>
  <c r="J682" i="55"/>
  <c r="N19" i="55"/>
  <c r="K19" i="55"/>
  <c r="AF1841" i="51"/>
  <c r="Z1841" i="51"/>
  <c r="M510" i="55"/>
  <c r="J510" i="55"/>
  <c r="Y49" i="51"/>
  <c r="J49" i="55"/>
  <c r="M49" i="55"/>
  <c r="Z490" i="51"/>
  <c r="K490" i="55"/>
  <c r="N490" i="55"/>
  <c r="AB106" i="57"/>
  <c r="AB40" i="57"/>
  <c r="N960" i="55"/>
  <c r="K960" i="55"/>
  <c r="AD88" i="52"/>
  <c r="Y88" i="52"/>
  <c r="AC104" i="57"/>
  <c r="AP38" i="43"/>
  <c r="AF38" i="43"/>
  <c r="AC38" i="57"/>
  <c r="AE518" i="52"/>
  <c r="Z518" i="52"/>
  <c r="AD285" i="52"/>
  <c r="Y285" i="52"/>
  <c r="N215" i="55"/>
  <c r="K215" i="55"/>
  <c r="N1866" i="55"/>
  <c r="K1866" i="55"/>
  <c r="N481" i="55"/>
  <c r="K481" i="55"/>
  <c r="N2036" i="55"/>
  <c r="K2036" i="55"/>
  <c r="N550" i="55"/>
  <c r="K550" i="55"/>
  <c r="N384" i="55"/>
  <c r="K384" i="55"/>
  <c r="AF605" i="51"/>
  <c r="AE911" i="52"/>
  <c r="Z911" i="52"/>
  <c r="N180" i="55"/>
  <c r="K180" i="55"/>
  <c r="AF1549" i="51"/>
  <c r="AE83" i="51"/>
  <c r="AD85" i="52"/>
  <c r="Y85" i="52"/>
  <c r="AF1782" i="51"/>
  <c r="Z1782" i="51"/>
  <c r="AE1026" i="51"/>
  <c r="AF1527" i="51"/>
  <c r="AE323" i="51"/>
  <c r="AF473" i="51"/>
  <c r="Z1110" i="51"/>
  <c r="AF1110" i="51"/>
  <c r="Z754" i="51"/>
  <c r="K754" i="55"/>
  <c r="N754" i="55"/>
  <c r="AE19" i="52"/>
  <c r="Z19" i="52"/>
  <c r="AE128" i="51"/>
  <c r="M214" i="55"/>
  <c r="J214" i="55"/>
  <c r="Y91" i="51"/>
  <c r="J91" i="55"/>
  <c r="M91" i="55"/>
  <c r="Z1905" i="51"/>
  <c r="AF1905" i="51"/>
  <c r="Z758" i="51"/>
  <c r="AF758" i="51"/>
  <c r="Y195" i="51"/>
  <c r="AE195" i="51"/>
  <c r="AF428" i="51"/>
  <c r="M293" i="55"/>
  <c r="J293" i="55"/>
  <c r="Z480" i="51"/>
  <c r="K480" i="55"/>
  <c r="N480" i="55"/>
  <c r="N502" i="55"/>
  <c r="K502" i="55"/>
  <c r="AF139" i="51"/>
  <c r="Z139" i="51"/>
  <c r="AE557" i="52"/>
  <c r="Z557" i="52"/>
  <c r="AD55" i="52"/>
  <c r="Y55" i="52"/>
  <c r="Z782" i="51"/>
  <c r="AF782" i="51"/>
  <c r="N1838" i="55"/>
  <c r="K1838" i="55"/>
  <c r="N565" i="55"/>
  <c r="K565" i="55"/>
  <c r="AF1588" i="51"/>
  <c r="Z1588" i="51"/>
  <c r="AE288" i="51"/>
  <c r="AF13" i="51"/>
  <c r="AE316" i="51"/>
  <c r="AE388" i="51"/>
  <c r="Z419" i="51"/>
  <c r="AF419" i="51"/>
  <c r="AF1971" i="51"/>
  <c r="N2019" i="55"/>
  <c r="K2019" i="55"/>
  <c r="AE478" i="51"/>
  <c r="Z920" i="51"/>
  <c r="AF920" i="51"/>
  <c r="N349" i="55"/>
  <c r="K349" i="55"/>
  <c r="N1071" i="55"/>
  <c r="K1071" i="55"/>
  <c r="AE1027" i="51"/>
  <c r="Z2199" i="51"/>
  <c r="AF2199" i="51"/>
  <c r="AF127" i="51"/>
  <c r="M951" i="55"/>
  <c r="J951" i="55"/>
  <c r="Z1744" i="51"/>
  <c r="AF1744" i="51"/>
  <c r="Z642" i="51"/>
  <c r="AF642" i="51"/>
  <c r="AF831" i="51"/>
  <c r="M290" i="55"/>
  <c r="J290" i="55"/>
  <c r="N1827" i="55"/>
  <c r="K1827" i="55"/>
  <c r="AE321" i="51"/>
  <c r="Z546" i="51"/>
  <c r="AF546" i="51"/>
  <c r="AF427" i="51"/>
  <c r="AE382" i="52"/>
  <c r="Z382" i="52"/>
  <c r="M1126" i="55"/>
  <c r="J1126" i="55"/>
  <c r="Y381" i="51"/>
  <c r="AE381" i="51"/>
  <c r="AF961" i="51"/>
  <c r="AE1138" i="51"/>
  <c r="AB7" i="55"/>
  <c r="AF341" i="51"/>
  <c r="M400" i="55"/>
  <c r="J400" i="55"/>
  <c r="Y264" i="51"/>
  <c r="AE264" i="51"/>
  <c r="AF1667" i="51"/>
  <c r="Z1667" i="51"/>
  <c r="N922" i="55"/>
  <c r="K922" i="55"/>
  <c r="M626" i="55"/>
  <c r="J626" i="55"/>
  <c r="M947" i="55"/>
  <c r="J947" i="55"/>
  <c r="V13" i="59"/>
  <c r="V7" i="59"/>
  <c r="Z962" i="51"/>
  <c r="K962" i="55"/>
  <c r="N962" i="55"/>
  <c r="Z44" i="51"/>
  <c r="K44" i="55"/>
  <c r="N44" i="55"/>
  <c r="Z206" i="51"/>
  <c r="K206" i="55"/>
  <c r="N206" i="55"/>
  <c r="Z1081" i="51"/>
  <c r="K1081" i="55"/>
  <c r="N1081" i="55"/>
  <c r="Z105" i="51"/>
  <c r="K105" i="55"/>
  <c r="N105" i="55"/>
  <c r="Y40" i="51"/>
  <c r="AE40" i="51"/>
  <c r="Z352" i="51"/>
  <c r="AF352" i="51"/>
  <c r="AF972" i="51"/>
  <c r="N602" i="55"/>
  <c r="K602" i="55"/>
  <c r="AE236" i="52"/>
  <c r="Z236" i="52"/>
  <c r="AE912" i="52"/>
  <c r="Z912" i="52"/>
  <c r="Z773" i="51"/>
  <c r="AF773" i="51"/>
  <c r="N834" i="55"/>
  <c r="K834" i="55"/>
  <c r="N380" i="55"/>
  <c r="K380" i="55"/>
  <c r="AF1633" i="51"/>
  <c r="Z1633" i="51"/>
  <c r="AE454" i="51"/>
  <c r="Z69" i="51"/>
  <c r="AF69" i="51"/>
  <c r="N544" i="55"/>
  <c r="K544" i="55"/>
  <c r="M563" i="55"/>
  <c r="J563" i="55"/>
  <c r="Z1066" i="51"/>
  <c r="AF1066" i="51"/>
  <c r="M665" i="55"/>
  <c r="J665" i="55"/>
  <c r="Z582" i="51"/>
  <c r="K582" i="55"/>
  <c r="N582" i="55"/>
  <c r="Y802" i="51"/>
  <c r="J802" i="55"/>
  <c r="M802" i="55"/>
  <c r="N1637" i="55"/>
  <c r="K1637" i="55"/>
  <c r="AE458" i="52"/>
  <c r="Z458" i="52"/>
  <c r="N1218" i="55"/>
  <c r="K1218" i="55"/>
  <c r="N549" i="55"/>
  <c r="K549" i="55"/>
  <c r="N1319" i="55"/>
  <c r="K1319" i="55"/>
  <c r="AF2129" i="51"/>
  <c r="Z1952" i="51"/>
  <c r="AF1952" i="51"/>
  <c r="Y666" i="51"/>
  <c r="AE666" i="51"/>
  <c r="R33" i="62"/>
  <c r="AM65" i="42"/>
  <c r="U33" i="62"/>
  <c r="Z132" i="51"/>
  <c r="K132" i="55"/>
  <c r="N132" i="55"/>
  <c r="Y630" i="51"/>
  <c r="AE630" i="51"/>
  <c r="AF991" i="51"/>
  <c r="AF1153" i="51"/>
  <c r="AF2131" i="51"/>
  <c r="AE271" i="51"/>
  <c r="M401" i="55"/>
  <c r="J401" i="55"/>
  <c r="Z2078" i="51"/>
  <c r="K2078" i="55"/>
  <c r="N2078" i="55"/>
  <c r="N154" i="55"/>
  <c r="K154" i="55"/>
  <c r="Z1468" i="51"/>
  <c r="AF1468" i="51"/>
  <c r="AE225" i="51"/>
  <c r="N1888" i="55"/>
  <c r="K1888" i="55"/>
  <c r="N1400" i="55"/>
  <c r="K1400" i="55"/>
  <c r="Z211" i="51"/>
  <c r="AF211" i="51"/>
  <c r="AD59" i="52"/>
  <c r="Y59" i="52"/>
  <c r="N978" i="55"/>
  <c r="K978" i="55"/>
  <c r="AE625" i="51"/>
  <c r="AF516" i="51"/>
  <c r="N495" i="55"/>
  <c r="K495" i="55"/>
  <c r="AF525" i="51"/>
  <c r="AE543" i="51"/>
  <c r="N88" i="57"/>
  <c r="N22" i="57"/>
  <c r="AF1447" i="51"/>
  <c r="N20" i="43"/>
  <c r="T20" i="43"/>
  <c r="AM20" i="43"/>
  <c r="Y1044" i="51"/>
  <c r="J1044" i="55"/>
  <c r="M1044" i="55"/>
  <c r="Z1954" i="51"/>
  <c r="K1954" i="55"/>
  <c r="N1954" i="55"/>
  <c r="Z375" i="51"/>
  <c r="K375" i="55"/>
  <c r="N375" i="55"/>
  <c r="Y449" i="51"/>
  <c r="J449" i="55"/>
  <c r="M449" i="55"/>
  <c r="Z184" i="51"/>
  <c r="K184" i="55"/>
  <c r="N184" i="55"/>
  <c r="Y1143" i="51"/>
  <c r="AE1143" i="51"/>
  <c r="Y826" i="51"/>
  <c r="AE826" i="51"/>
  <c r="AE342" i="51"/>
  <c r="AE690" i="51"/>
  <c r="AF441" i="51"/>
  <c r="Z538" i="51"/>
  <c r="AF538" i="51"/>
  <c r="Y678" i="51"/>
  <c r="J678" i="55"/>
  <c r="M678" i="55"/>
  <c r="Z1096" i="51"/>
  <c r="K1096" i="55"/>
  <c r="N1096" i="55"/>
  <c r="N1652" i="55"/>
  <c r="K1652" i="55"/>
  <c r="AF106" i="51"/>
  <c r="N612" i="55"/>
  <c r="K612" i="55"/>
  <c r="Z934" i="51"/>
  <c r="AF934" i="51"/>
  <c r="AE680" i="52"/>
  <c r="Z680" i="52"/>
  <c r="AE84" i="51"/>
  <c r="N1820" i="55"/>
  <c r="K1820" i="55"/>
  <c r="M573" i="55"/>
  <c r="J573" i="55"/>
  <c r="M253" i="55"/>
  <c r="J253" i="55"/>
  <c r="N564" i="55"/>
  <c r="K564" i="55"/>
  <c r="M627" i="55"/>
  <c r="J627" i="55"/>
  <c r="Y9" i="51"/>
  <c r="J9" i="55"/>
  <c r="M9" i="55"/>
  <c r="Y446" i="51"/>
  <c r="AE446" i="51"/>
  <c r="Z347" i="51"/>
  <c r="AF347" i="51"/>
  <c r="AF1297" i="51"/>
  <c r="Z1297" i="51"/>
  <c r="N1180" i="55"/>
  <c r="K1180" i="55"/>
  <c r="Z588" i="51"/>
  <c r="K588" i="55"/>
  <c r="N588" i="55"/>
  <c r="Z756" i="51"/>
  <c r="K756" i="55"/>
  <c r="N756" i="55"/>
  <c r="AE366" i="51"/>
  <c r="Y227" i="51"/>
  <c r="AE227" i="51"/>
  <c r="Y268" i="51"/>
  <c r="J268" i="55"/>
  <c r="M268" i="55"/>
  <c r="N390" i="55"/>
  <c r="K390" i="55"/>
  <c r="M1146" i="55"/>
  <c r="J1146" i="55"/>
  <c r="AF154" i="51"/>
  <c r="Z154" i="51"/>
  <c r="AD296" i="52"/>
  <c r="Y296" i="52"/>
  <c r="M340" i="55"/>
  <c r="J340" i="55"/>
  <c r="AF2062" i="51"/>
  <c r="AF1634" i="51"/>
  <c r="Z1634" i="51"/>
  <c r="Z1909" i="51"/>
  <c r="AF1909" i="51"/>
  <c r="Z2063" i="51"/>
  <c r="K2063" i="55"/>
  <c r="N2063" i="55"/>
  <c r="Z430" i="51"/>
  <c r="K430" i="55"/>
  <c r="N430" i="55"/>
  <c r="N1687" i="55"/>
  <c r="K1687" i="55"/>
  <c r="Z1088" i="51"/>
  <c r="K1088" i="55"/>
  <c r="N1088" i="55"/>
  <c r="N2066" i="55"/>
  <c r="K2066" i="55"/>
  <c r="Z965" i="51"/>
  <c r="K965" i="55"/>
  <c r="N965" i="55"/>
  <c r="N123" i="55"/>
  <c r="K123" i="55"/>
  <c r="AE223" i="52"/>
  <c r="Z223" i="52"/>
  <c r="AE37" i="51"/>
  <c r="AE1136" i="51"/>
  <c r="AF1863" i="51"/>
  <c r="Z1863" i="51"/>
  <c r="M728" i="55"/>
  <c r="J728" i="55"/>
  <c r="Z535" i="51"/>
  <c r="AF535" i="51"/>
  <c r="AF2110" i="51"/>
  <c r="AE512" i="51"/>
  <c r="AE1048" i="51"/>
  <c r="AF498" i="51"/>
  <c r="N2031" i="55"/>
  <c r="K2031" i="55"/>
  <c r="M428" i="55"/>
  <c r="J428" i="55"/>
  <c r="AE1133" i="51"/>
  <c r="Z1561" i="51"/>
  <c r="AF1561" i="51"/>
  <c r="Z532" i="51"/>
  <c r="K532" i="55"/>
  <c r="N532" i="55"/>
  <c r="AE542" i="51"/>
  <c r="AD400" i="52"/>
  <c r="Y400" i="52"/>
  <c r="N579" i="55"/>
  <c r="K579" i="55"/>
  <c r="Y632" i="51"/>
  <c r="J632" i="55"/>
  <c r="M632" i="55"/>
  <c r="AF2181" i="51"/>
  <c r="Z2181" i="51"/>
  <c r="Z106" i="51"/>
  <c r="K106" i="55"/>
  <c r="N106" i="55"/>
  <c r="Y795" i="51"/>
  <c r="J795" i="55"/>
  <c r="M795" i="55"/>
  <c r="AF84" i="57"/>
  <c r="AF18" i="57"/>
  <c r="AK49" i="43"/>
  <c r="AK49" i="44"/>
  <c r="AF615" i="51"/>
  <c r="AF1515" i="51"/>
  <c r="Y315" i="51"/>
  <c r="J315" i="55"/>
  <c r="M315" i="55"/>
  <c r="AE482" i="51"/>
  <c r="AF1165" i="51"/>
  <c r="Y342" i="51"/>
  <c r="J342" i="55"/>
  <c r="M342" i="55"/>
  <c r="Z1104" i="51"/>
  <c r="K1104" i="55"/>
  <c r="N1104" i="55"/>
  <c r="AF182" i="51"/>
  <c r="Z182" i="51"/>
  <c r="AF1665" i="51"/>
  <c r="Z1665" i="51"/>
  <c r="N76" i="57"/>
  <c r="N10" i="57"/>
  <c r="N1219" i="55"/>
  <c r="K1219" i="55"/>
  <c r="AF574" i="51"/>
  <c r="Z1727" i="51"/>
  <c r="K1727" i="55"/>
  <c r="N1727" i="55"/>
  <c r="N1092" i="55"/>
  <c r="K1092" i="55"/>
  <c r="AF72" i="42"/>
  <c r="AE72" i="42"/>
  <c r="Z783" i="51"/>
  <c r="AF783" i="51"/>
  <c r="AF836" i="51"/>
  <c r="Z1490" i="51"/>
  <c r="K1490" i="55"/>
  <c r="N1490" i="55"/>
  <c r="Z1442" i="51"/>
  <c r="K1442" i="55"/>
  <c r="N1442" i="55"/>
  <c r="G52" i="5"/>
  <c r="G48" i="5"/>
  <c r="N79" i="57"/>
  <c r="N13" i="57"/>
  <c r="AF96" i="51"/>
  <c r="Y512" i="51"/>
  <c r="J512" i="55"/>
  <c r="M512" i="55"/>
  <c r="AE634" i="51"/>
  <c r="Z869" i="51"/>
  <c r="AF869" i="51"/>
  <c r="Y279" i="51"/>
  <c r="J279" i="55"/>
  <c r="M279" i="55"/>
  <c r="Y818" i="51"/>
  <c r="J818" i="55"/>
  <c r="M818" i="55"/>
  <c r="Z580" i="51"/>
  <c r="K580" i="55"/>
  <c r="N580" i="55"/>
  <c r="N2161" i="55"/>
  <c r="K2161" i="55"/>
  <c r="AE82" i="52"/>
  <c r="Z82" i="52"/>
  <c r="AF1073" i="51"/>
  <c r="AV9" i="51"/>
  <c r="M1145" i="55"/>
  <c r="J1145" i="55"/>
  <c r="Z785" i="51"/>
  <c r="AF785" i="51"/>
  <c r="M408" i="55"/>
  <c r="J408" i="55"/>
  <c r="Y885" i="51"/>
  <c r="J885" i="55"/>
  <c r="M885" i="55"/>
  <c r="N1638" i="55"/>
  <c r="K1638" i="55"/>
  <c r="Y543" i="51"/>
  <c r="J543" i="55"/>
  <c r="M543" i="55"/>
  <c r="Z619" i="51"/>
  <c r="K619" i="55"/>
  <c r="N619" i="55"/>
  <c r="Y634" i="51"/>
  <c r="J634" i="55"/>
  <c r="M634" i="55"/>
  <c r="AE68" i="52"/>
  <c r="Z68" i="52"/>
  <c r="AE930" i="52"/>
  <c r="Z930" i="52"/>
  <c r="Z1106" i="51"/>
  <c r="AF1106" i="51"/>
  <c r="Z12" i="51"/>
  <c r="AF12" i="51"/>
  <c r="M602" i="55"/>
  <c r="J602" i="55"/>
  <c r="M710" i="55"/>
  <c r="J710" i="55"/>
  <c r="AE816" i="51"/>
  <c r="AK10" i="44"/>
  <c r="AK10" i="43"/>
  <c r="Z213" i="51"/>
  <c r="AF213" i="51"/>
  <c r="Y657" i="51"/>
  <c r="AE657" i="51"/>
  <c r="Z610" i="51"/>
  <c r="AF610" i="51"/>
  <c r="Y247" i="51"/>
  <c r="AE247" i="51"/>
  <c r="M455" i="55"/>
  <c r="J455" i="55"/>
  <c r="M618" i="55"/>
  <c r="J618" i="55"/>
  <c r="AF1866" i="51"/>
  <c r="Z1866" i="51"/>
  <c r="AF21" i="51"/>
  <c r="M538" i="55"/>
  <c r="J538" i="55"/>
  <c r="AF1650" i="51"/>
  <c r="Z1650" i="51"/>
  <c r="AD600" i="52"/>
  <c r="Y600" i="52"/>
  <c r="AF512" i="51"/>
  <c r="AE330" i="51"/>
  <c r="M313" i="55"/>
  <c r="J313" i="55"/>
  <c r="AD114" i="52"/>
  <c r="Y114" i="52"/>
  <c r="AF61" i="51"/>
  <c r="Z1477" i="51"/>
  <c r="K1477" i="55"/>
  <c r="N1477" i="55"/>
  <c r="Z7" i="51"/>
  <c r="K7" i="55"/>
  <c r="N7" i="55"/>
  <c r="AE200" i="51"/>
  <c r="Z867" i="51"/>
  <c r="K867" i="55"/>
  <c r="N867" i="55"/>
  <c r="Z127" i="51"/>
  <c r="K127" i="55"/>
  <c r="N127" i="55"/>
  <c r="AP21" i="44"/>
  <c r="AF21" i="44"/>
  <c r="AG21" i="44"/>
  <c r="Y31" i="51"/>
  <c r="J31" i="55"/>
  <c r="M31" i="55"/>
  <c r="AF100" i="57"/>
  <c r="AF34" i="57"/>
  <c r="Y482" i="51"/>
  <c r="J482" i="55"/>
  <c r="M482" i="55"/>
  <c r="Z2110" i="51"/>
  <c r="K2110" i="55"/>
  <c r="N2110" i="55"/>
  <c r="Y1048" i="51"/>
  <c r="J1048" i="55"/>
  <c r="M1048" i="55"/>
  <c r="M185" i="55"/>
  <c r="J185" i="55"/>
  <c r="AE129" i="51"/>
  <c r="AF1008" i="51"/>
  <c r="M364" i="55"/>
  <c r="J364" i="55"/>
  <c r="AF60" i="44"/>
  <c r="AP60" i="44"/>
  <c r="Z1547" i="51"/>
  <c r="AF1547" i="51"/>
  <c r="N371" i="55"/>
  <c r="K371" i="55"/>
  <c r="N522" i="55"/>
  <c r="K522" i="55"/>
  <c r="N1289" i="55"/>
  <c r="K1289" i="55"/>
  <c r="AE360" i="51"/>
  <c r="AF177" i="51"/>
  <c r="Z177" i="51"/>
  <c r="N1311" i="55"/>
  <c r="K1311" i="55"/>
  <c r="AK36" i="44"/>
  <c r="AK36" i="41"/>
  <c r="AK36" i="42"/>
  <c r="AK36" i="43"/>
  <c r="AF168" i="51"/>
  <c r="Z168" i="51"/>
  <c r="M289" i="55"/>
  <c r="J289" i="55"/>
  <c r="N152" i="55"/>
  <c r="K152" i="55"/>
  <c r="Y1033" i="51"/>
  <c r="AE1033" i="51"/>
  <c r="N92" i="57"/>
  <c r="N26" i="57"/>
  <c r="N881" i="55"/>
  <c r="K881" i="55"/>
  <c r="AF1630" i="51"/>
  <c r="Z1630" i="51"/>
  <c r="N1444" i="55"/>
  <c r="K1444" i="55"/>
  <c r="N1189" i="55"/>
  <c r="K1189" i="55"/>
  <c r="Y611" i="51"/>
  <c r="AE611" i="51"/>
  <c r="Z2034" i="51"/>
  <c r="AF2034" i="51"/>
  <c r="N2056" i="55"/>
  <c r="K2056" i="55"/>
  <c r="AE1246" i="51"/>
  <c r="Y1246" i="51"/>
  <c r="AF1475" i="51"/>
  <c r="AF628" i="51"/>
  <c r="AF926" i="51"/>
  <c r="AE118" i="51"/>
  <c r="AE238" i="51"/>
  <c r="Z1972" i="51"/>
  <c r="AF1972" i="51"/>
  <c r="N1804" i="55"/>
  <c r="K1804" i="55"/>
  <c r="N750" i="55"/>
  <c r="K750" i="55"/>
  <c r="AL7" i="51"/>
  <c r="AK7" i="51"/>
  <c r="AE70" i="51"/>
  <c r="M297" i="55"/>
  <c r="J297" i="55"/>
  <c r="M284" i="55"/>
  <c r="J284" i="55"/>
  <c r="AK10" i="42"/>
  <c r="AG10" i="57"/>
  <c r="AG76" i="57"/>
  <c r="M274" i="55"/>
  <c r="J274" i="55"/>
  <c r="N618" i="55"/>
  <c r="K618" i="55"/>
  <c r="AE656" i="51"/>
  <c r="N1686" i="55"/>
  <c r="K1686" i="55"/>
  <c r="AF1810" i="51"/>
  <c r="Z1810" i="51"/>
  <c r="N848" i="55"/>
  <c r="K848" i="55"/>
  <c r="AL7" i="43"/>
  <c r="AJ7" i="43"/>
  <c r="AE1262" i="51"/>
  <c r="Y1262" i="51"/>
  <c r="M181" i="55"/>
  <c r="J181" i="55"/>
  <c r="Y1133" i="51"/>
  <c r="J1133" i="55"/>
  <c r="M1133" i="55"/>
  <c r="Y528" i="51"/>
  <c r="AE528" i="51"/>
  <c r="AD42" i="52"/>
  <c r="Y42" i="52"/>
  <c r="N128" i="55"/>
  <c r="K128" i="55"/>
  <c r="AF537" i="51"/>
  <c r="AF1200" i="51"/>
  <c r="Z1200" i="51"/>
  <c r="Z2116" i="51"/>
  <c r="AF2116" i="51"/>
  <c r="AF549" i="51"/>
  <c r="Z549" i="51"/>
  <c r="Z1094" i="51"/>
  <c r="AF1094" i="51"/>
  <c r="AE249" i="52"/>
  <c r="Z249" i="52"/>
  <c r="Z605" i="51"/>
  <c r="K605" i="55"/>
  <c r="N605" i="55"/>
  <c r="M367" i="55"/>
  <c r="J367" i="55"/>
  <c r="AC73" i="57"/>
  <c r="AC7" i="57"/>
  <c r="AF7" i="43"/>
  <c r="AP7" i="43"/>
  <c r="AF746" i="51"/>
  <c r="AF494" i="51"/>
  <c r="AE615" i="51"/>
  <c r="AF124" i="51"/>
  <c r="AF879" i="51"/>
  <c r="N844" i="55"/>
  <c r="K844" i="55"/>
  <c r="N558" i="55"/>
  <c r="K558" i="55"/>
  <c r="Z1975" i="51"/>
  <c r="K1975" i="55"/>
  <c r="N1975" i="55"/>
  <c r="Z390" i="51"/>
  <c r="AF390" i="51"/>
  <c r="AK2" i="51"/>
  <c r="AL2" i="51"/>
  <c r="AE455" i="52"/>
  <c r="Z455" i="52"/>
  <c r="AF1867" i="51"/>
  <c r="Z1867" i="51"/>
  <c r="M555" i="55"/>
  <c r="J555" i="55"/>
  <c r="Y708" i="51"/>
  <c r="J708" i="55"/>
  <c r="M708" i="55"/>
  <c r="Z391" i="51"/>
  <c r="AF391" i="51"/>
  <c r="Y612" i="51"/>
  <c r="AE612" i="51"/>
  <c r="Z2085" i="51"/>
  <c r="AF2085" i="51"/>
  <c r="Z545" i="51"/>
  <c r="AF545" i="51"/>
  <c r="Y250" i="51"/>
  <c r="AE250" i="51"/>
  <c r="Z1966" i="51"/>
  <c r="AF1966" i="51"/>
  <c r="Y892" i="51"/>
  <c r="AE892" i="51"/>
  <c r="Y233" i="51"/>
  <c r="J233" i="55"/>
  <c r="M233" i="55"/>
  <c r="Z906" i="51"/>
  <c r="AF906" i="51"/>
  <c r="AL26" i="43"/>
  <c r="AJ26" i="43"/>
  <c r="Y1022" i="51"/>
  <c r="AE1022" i="51"/>
  <c r="AF82" i="51"/>
  <c r="Z463" i="51"/>
  <c r="K463" i="55"/>
  <c r="N463" i="55"/>
  <c r="Y1026" i="51"/>
  <c r="J1026" i="55"/>
  <c r="M1026" i="55"/>
  <c r="Y671" i="51"/>
  <c r="AE671" i="51"/>
  <c r="Z1527" i="51"/>
  <c r="K1527" i="55"/>
  <c r="N1527" i="55"/>
  <c r="Y323" i="51"/>
  <c r="J323" i="55"/>
  <c r="M323" i="55"/>
  <c r="Z473" i="51"/>
  <c r="K473" i="55"/>
  <c r="N473" i="55"/>
  <c r="Z752" i="51"/>
  <c r="AF752" i="51"/>
  <c r="Y388" i="51"/>
  <c r="J388" i="55"/>
  <c r="M388" i="55"/>
  <c r="Z978" i="51"/>
  <c r="AF978" i="51"/>
  <c r="Y128" i="51"/>
  <c r="J128" i="55"/>
  <c r="M128" i="55"/>
  <c r="AE55" i="52"/>
  <c r="Z55" i="52"/>
  <c r="Y214" i="51"/>
  <c r="AE214" i="51"/>
  <c r="Z80" i="51"/>
  <c r="AF80" i="51"/>
  <c r="Z495" i="51"/>
  <c r="AF495" i="51"/>
  <c r="AE70" i="52"/>
  <c r="Z70" i="52"/>
  <c r="Z510" i="51"/>
  <c r="AF510" i="51"/>
  <c r="Z1752" i="51"/>
  <c r="AF1752" i="51"/>
  <c r="N1183" i="55"/>
  <c r="K1183" i="55"/>
  <c r="Z428" i="51"/>
  <c r="K428" i="55"/>
  <c r="N428" i="55"/>
  <c r="AF1583" i="51"/>
  <c r="Z1583" i="51"/>
  <c r="Z379" i="51"/>
  <c r="AF379" i="51"/>
  <c r="AF1318" i="51"/>
  <c r="Z1318" i="51"/>
  <c r="Y293" i="51"/>
  <c r="AE293" i="51"/>
  <c r="Y741" i="51"/>
  <c r="AE741" i="51"/>
  <c r="Z189" i="51"/>
  <c r="AF189" i="51"/>
  <c r="Y400" i="51"/>
  <c r="AE400" i="51"/>
  <c r="Z1154" i="51"/>
  <c r="AF1154" i="51"/>
  <c r="M144" i="55"/>
  <c r="J144" i="55"/>
  <c r="Z502" i="51"/>
  <c r="AF502" i="51"/>
  <c r="AE882" i="51"/>
  <c r="Y251" i="51"/>
  <c r="AE251" i="51"/>
  <c r="Z482" i="51"/>
  <c r="AF482" i="51"/>
  <c r="AE207" i="51"/>
  <c r="N458" i="55"/>
  <c r="K458" i="55"/>
  <c r="M156" i="55"/>
  <c r="J156" i="55"/>
  <c r="Y212" i="51"/>
  <c r="AE212" i="51"/>
  <c r="Z1474" i="51"/>
  <c r="AF1474" i="51"/>
  <c r="Y318" i="51"/>
  <c r="AE318" i="51"/>
  <c r="Y288" i="51"/>
  <c r="J288" i="55"/>
  <c r="M288" i="55"/>
  <c r="Z13" i="51"/>
  <c r="K13" i="55"/>
  <c r="N13" i="55"/>
  <c r="Y316" i="51"/>
  <c r="J316" i="55"/>
  <c r="M316" i="55"/>
  <c r="Z1086" i="51"/>
  <c r="K1086" i="55"/>
  <c r="N1086" i="55"/>
  <c r="Z82" i="51"/>
  <c r="K82" i="55"/>
  <c r="N82" i="55"/>
  <c r="Z972" i="51"/>
  <c r="K972" i="55"/>
  <c r="N972" i="55"/>
  <c r="Z1971" i="51"/>
  <c r="K1971" i="55"/>
  <c r="N1971" i="55"/>
  <c r="AE929" i="52"/>
  <c r="Z929" i="52"/>
  <c r="Y442" i="51"/>
  <c r="J442" i="55"/>
  <c r="M442" i="55"/>
  <c r="Z2019" i="51"/>
  <c r="AF2019" i="51"/>
  <c r="Y478" i="51"/>
  <c r="J478" i="55"/>
  <c r="M478" i="55"/>
  <c r="Z1071" i="51"/>
  <c r="AF1071" i="51"/>
  <c r="Y1027" i="51"/>
  <c r="J1027" i="55"/>
  <c r="M1027" i="55"/>
  <c r="Y951" i="51"/>
  <c r="AE951" i="51"/>
  <c r="Y533" i="51"/>
  <c r="AE533" i="51"/>
  <c r="Z1532" i="51"/>
  <c r="K1532" i="55"/>
  <c r="N1532" i="55"/>
  <c r="Z999" i="51"/>
  <c r="AF999" i="51"/>
  <c r="Z455" i="51"/>
  <c r="AF455" i="51"/>
  <c r="Y456" i="51"/>
  <c r="AE456" i="51"/>
  <c r="Z831" i="51"/>
  <c r="K831" i="55"/>
  <c r="N831" i="55"/>
  <c r="Y668" i="51"/>
  <c r="AE668" i="51"/>
  <c r="M575" i="55"/>
  <c r="J575" i="55"/>
  <c r="Y321" i="51"/>
  <c r="J321" i="55"/>
  <c r="M321" i="55"/>
  <c r="N11" i="44"/>
  <c r="T11" i="44"/>
  <c r="AM11" i="44"/>
  <c r="Z427" i="51"/>
  <c r="K427" i="55"/>
  <c r="N427" i="55"/>
  <c r="Z623" i="51"/>
  <c r="AF623" i="51"/>
  <c r="Y1126" i="51"/>
  <c r="AE1126" i="51"/>
  <c r="Z961" i="51"/>
  <c r="K961" i="55"/>
  <c r="N961" i="55"/>
  <c r="Y1138" i="51"/>
  <c r="J1138" i="55"/>
  <c r="M1138" i="55"/>
  <c r="Y253" i="51"/>
  <c r="AE253" i="51"/>
  <c r="Z1092" i="51"/>
  <c r="AF1092" i="51"/>
  <c r="N1058" i="55"/>
  <c r="K1058" i="55"/>
  <c r="Y626" i="51"/>
  <c r="AE626" i="51"/>
  <c r="Y340" i="51"/>
  <c r="AE340" i="51"/>
  <c r="Y947" i="51"/>
  <c r="AE947" i="51"/>
  <c r="Y409" i="51"/>
  <c r="AE409" i="51"/>
  <c r="Z1736" i="51"/>
  <c r="AF1736" i="51"/>
  <c r="Z2037" i="51"/>
  <c r="AF2037" i="51"/>
  <c r="Z921" i="51"/>
  <c r="AF921" i="51"/>
  <c r="Z1118" i="51"/>
  <c r="AF1118" i="51"/>
  <c r="Y1137" i="51"/>
  <c r="AE1137" i="51"/>
  <c r="Y625" i="51"/>
  <c r="J625" i="55"/>
  <c r="M625" i="55"/>
  <c r="Y827" i="51"/>
  <c r="J827" i="55"/>
  <c r="M827" i="55"/>
  <c r="Z828" i="51"/>
  <c r="AF828" i="51"/>
  <c r="Z602" i="51"/>
  <c r="AF602" i="51"/>
  <c r="Z57" i="51"/>
  <c r="AF57" i="51"/>
  <c r="Y260" i="51"/>
  <c r="AE260" i="51"/>
  <c r="AE914" i="52"/>
  <c r="Z914" i="52"/>
  <c r="Z349" i="51"/>
  <c r="AF349" i="51"/>
  <c r="AF1819" i="51"/>
  <c r="Z1819" i="51"/>
  <c r="Z1058" i="51"/>
  <c r="AF1058" i="51"/>
  <c r="Z922" i="51"/>
  <c r="AF922" i="51"/>
  <c r="AD188" i="52"/>
  <c r="Y188" i="52"/>
  <c r="Y392" i="51"/>
  <c r="J392" i="55"/>
  <c r="M392" i="55"/>
  <c r="Z772" i="51"/>
  <c r="AF772" i="51"/>
  <c r="Z834" i="51"/>
  <c r="AF834" i="51"/>
  <c r="AE253" i="52"/>
  <c r="Z253" i="52"/>
  <c r="AF851" i="51"/>
  <c r="Y290" i="51"/>
  <c r="AE290" i="51"/>
  <c r="Y454" i="51"/>
  <c r="J454" i="55"/>
  <c r="M454" i="55"/>
  <c r="Y575" i="51"/>
  <c r="AE575" i="51"/>
  <c r="Z579" i="51"/>
  <c r="AF579" i="51"/>
  <c r="AE65" i="52"/>
  <c r="Z65" i="52"/>
  <c r="Z43" i="51"/>
  <c r="AF43" i="51"/>
  <c r="Y665" i="51"/>
  <c r="AE665" i="51"/>
  <c r="Z67" i="51"/>
  <c r="AF67" i="51"/>
  <c r="Y81" i="51"/>
  <c r="AE81" i="51"/>
  <c r="Z443" i="51"/>
  <c r="AF443" i="51"/>
  <c r="Z542" i="51"/>
  <c r="AF542" i="51"/>
  <c r="K2189" i="55"/>
  <c r="S12" i="55"/>
  <c r="Y12" i="55"/>
  <c r="AG12" i="55"/>
  <c r="Z2129" i="51"/>
  <c r="K2129" i="55"/>
  <c r="N2129" i="55"/>
  <c r="N155" i="55"/>
  <c r="K155" i="55"/>
  <c r="Z2150" i="51"/>
  <c r="AF2150" i="51"/>
  <c r="Z2062" i="51"/>
  <c r="K2062" i="55"/>
  <c r="N2062" i="55"/>
  <c r="N568" i="55"/>
  <c r="K568" i="55"/>
  <c r="Y8" i="51"/>
  <c r="AE8" i="51"/>
  <c r="Z997" i="51"/>
  <c r="AF997" i="51"/>
  <c r="Z991" i="51"/>
  <c r="K991" i="55"/>
  <c r="N991" i="55"/>
  <c r="Z1153" i="51"/>
  <c r="K1153" i="55"/>
  <c r="N1153" i="55"/>
  <c r="Z2131" i="51"/>
  <c r="K2131" i="55"/>
  <c r="N2131" i="55"/>
  <c r="Y271" i="51"/>
  <c r="J271" i="55"/>
  <c r="M271" i="55"/>
  <c r="AE403" i="51"/>
  <c r="AF2044" i="51"/>
  <c r="N1115" i="55"/>
  <c r="K1115" i="55"/>
  <c r="AD596" i="52"/>
  <c r="Y596" i="52"/>
  <c r="M595" i="55"/>
  <c r="J595" i="55"/>
  <c r="Y882" i="51"/>
  <c r="J882" i="55"/>
  <c r="M882" i="55"/>
  <c r="Z512" i="51"/>
  <c r="K512" i="55"/>
  <c r="N512" i="55"/>
  <c r="M1246" i="55"/>
  <c r="J1246" i="55"/>
  <c r="Y225" i="51"/>
  <c r="J225" i="55"/>
  <c r="M225" i="55"/>
  <c r="Y122" i="51"/>
  <c r="AE122" i="51"/>
  <c r="Z131" i="51"/>
  <c r="AF131" i="51"/>
  <c r="Y131" i="51"/>
  <c r="AE131" i="51"/>
  <c r="Z516" i="51"/>
  <c r="K516" i="55"/>
  <c r="N516" i="55"/>
  <c r="N1384" i="55"/>
  <c r="K1384" i="55"/>
  <c r="AE224" i="52"/>
  <c r="Z224" i="52"/>
  <c r="Z458" i="51"/>
  <c r="AF458" i="51"/>
  <c r="Z525" i="51"/>
  <c r="K525" i="55"/>
  <c r="N525" i="55"/>
  <c r="M1360" i="55"/>
  <c r="J1360" i="55"/>
  <c r="Y450" i="51"/>
  <c r="AE450" i="51"/>
  <c r="Z1447" i="51"/>
  <c r="K1447" i="55"/>
  <c r="N1447" i="55"/>
  <c r="Z483" i="51"/>
  <c r="AF483" i="51"/>
  <c r="AF1175" i="51"/>
  <c r="Z1175" i="51"/>
  <c r="N1234" i="55"/>
  <c r="K1234" i="55"/>
  <c r="Z380" i="51"/>
  <c r="AF380" i="51"/>
  <c r="Y401" i="51"/>
  <c r="AE401" i="51"/>
  <c r="Z544" i="51"/>
  <c r="AF544" i="51"/>
  <c r="Z1992" i="51"/>
  <c r="AF1992" i="51"/>
  <c r="Y301" i="51"/>
  <c r="AE301" i="51"/>
  <c r="N554" i="55"/>
  <c r="K554" i="55"/>
  <c r="N77" i="57"/>
  <c r="N11" i="57"/>
  <c r="Y207" i="51"/>
  <c r="J207" i="55"/>
  <c r="M207" i="55"/>
  <c r="N1382" i="55"/>
  <c r="K1382" i="55"/>
  <c r="Y690" i="51"/>
  <c r="J690" i="55"/>
  <c r="M690" i="55"/>
  <c r="Z441" i="51"/>
  <c r="K441" i="55"/>
  <c r="N441" i="55"/>
  <c r="M65" i="55"/>
  <c r="J65" i="55"/>
  <c r="AE32" i="51"/>
  <c r="Z469" i="51"/>
  <c r="AF469" i="51"/>
  <c r="M377" i="55"/>
  <c r="J377" i="55"/>
  <c r="AE221" i="52"/>
  <c r="Z221" i="52"/>
  <c r="Z612" i="51"/>
  <c r="AF612" i="51"/>
  <c r="Y76" i="51"/>
  <c r="AE76" i="51"/>
  <c r="AF1745" i="51"/>
  <c r="N381" i="55"/>
  <c r="K381" i="55"/>
  <c r="Z118" i="51"/>
  <c r="AF118" i="51"/>
  <c r="Z1450" i="51"/>
  <c r="AF1450" i="51"/>
  <c r="Z574" i="51"/>
  <c r="K574" i="55"/>
  <c r="N574" i="55"/>
  <c r="Y84" i="51"/>
  <c r="J84" i="55"/>
  <c r="M84" i="55"/>
  <c r="Z750" i="51"/>
  <c r="AF750" i="51"/>
  <c r="Z1916" i="51"/>
  <c r="K1916" i="55"/>
  <c r="N1916" i="55"/>
  <c r="AF1157" i="51"/>
  <c r="Y451" i="51"/>
  <c r="J451" i="55"/>
  <c r="M451" i="55"/>
  <c r="AF1394" i="51"/>
  <c r="Z1394" i="51"/>
  <c r="Y627" i="51"/>
  <c r="AE627" i="51"/>
  <c r="N954" i="55"/>
  <c r="K954" i="55"/>
  <c r="Y93" i="51"/>
  <c r="AE93" i="51"/>
  <c r="AF592" i="51"/>
  <c r="Z2095" i="51"/>
  <c r="AF2095" i="51"/>
  <c r="Z986" i="51"/>
  <c r="AF986" i="51"/>
  <c r="Y366" i="51"/>
  <c r="J366" i="55"/>
  <c r="M366" i="55"/>
  <c r="Z2051" i="51"/>
  <c r="AF2051" i="51"/>
  <c r="Z833" i="51"/>
  <c r="AF833" i="51"/>
  <c r="AF1855" i="51"/>
  <c r="Z1855" i="51"/>
  <c r="Y65" i="51"/>
  <c r="AE65" i="51"/>
  <c r="Z1062" i="51"/>
  <c r="AF1062" i="51"/>
  <c r="Y609" i="51"/>
  <c r="AE609" i="51"/>
  <c r="Y428" i="51"/>
  <c r="AE428" i="51"/>
  <c r="Z1465" i="51"/>
  <c r="AF1465" i="51"/>
  <c r="Z26" i="51"/>
  <c r="AF26" i="51"/>
  <c r="Z464" i="51"/>
  <c r="K464" i="55"/>
  <c r="N464" i="55"/>
  <c r="Z9" i="51"/>
  <c r="AF9" i="51"/>
  <c r="Y594" i="51"/>
  <c r="AE594" i="51"/>
  <c r="Y616" i="51"/>
  <c r="AE616" i="51"/>
  <c r="Z389" i="51"/>
  <c r="AF389" i="51"/>
  <c r="Y201" i="51"/>
  <c r="J201" i="55"/>
  <c r="M201" i="55"/>
  <c r="Z2044" i="51"/>
  <c r="K2044" i="55"/>
  <c r="N2044" i="55"/>
  <c r="Z2066" i="51"/>
  <c r="AF2066" i="51"/>
  <c r="Z1115" i="51"/>
  <c r="AF1115" i="51"/>
  <c r="Y595" i="51"/>
  <c r="AE595" i="51"/>
  <c r="N7" i="43"/>
  <c r="T7" i="43"/>
  <c r="AM7" i="43"/>
  <c r="Y37" i="51"/>
  <c r="J37" i="55"/>
  <c r="M37" i="55"/>
  <c r="Y1136" i="51"/>
  <c r="J1136" i="55"/>
  <c r="M1136" i="55"/>
  <c r="N1809" i="55"/>
  <c r="K1809" i="55"/>
  <c r="Z1068" i="51"/>
  <c r="AF1068" i="51"/>
  <c r="AL37" i="43"/>
  <c r="AJ37" i="43"/>
  <c r="Y728" i="51"/>
  <c r="AE728" i="51"/>
  <c r="M1245" i="55"/>
  <c r="J1245" i="55"/>
  <c r="Z2031" i="51"/>
  <c r="AF2031" i="51"/>
  <c r="Z615" i="51"/>
  <c r="K615" i="55"/>
  <c r="N615" i="55"/>
  <c r="AE1142" i="51"/>
  <c r="Y722" i="51"/>
  <c r="AE722" i="51"/>
  <c r="Y542" i="51"/>
  <c r="J542" i="55"/>
  <c r="M542" i="55"/>
  <c r="Y32" i="51"/>
  <c r="J32" i="55"/>
  <c r="M32" i="55"/>
  <c r="Y377" i="51"/>
  <c r="AE377" i="51"/>
  <c r="Z851" i="51"/>
  <c r="K851" i="55"/>
  <c r="N851" i="55"/>
  <c r="M1332" i="55"/>
  <c r="J1332" i="55"/>
  <c r="Y639" i="51"/>
  <c r="AE639" i="51"/>
  <c r="Z123" i="51"/>
  <c r="AF123" i="51"/>
  <c r="Z1745" i="51"/>
  <c r="K1745" i="55"/>
  <c r="N1745" i="55"/>
  <c r="AK49" i="41"/>
  <c r="AK49" i="42"/>
  <c r="AG49" i="57"/>
  <c r="AG115" i="57"/>
  <c r="Z1515" i="51"/>
  <c r="K1515" i="55"/>
  <c r="N1515" i="55"/>
  <c r="N1176" i="55"/>
  <c r="K1176" i="55"/>
  <c r="Z1157" i="51"/>
  <c r="K1157" i="55"/>
  <c r="N1157" i="55"/>
  <c r="Z1165" i="51"/>
  <c r="K1165" i="55"/>
  <c r="N1165" i="55"/>
  <c r="Z1148" i="51"/>
  <c r="AF1148" i="51"/>
  <c r="AF1051" i="51"/>
  <c r="Y1141" i="51"/>
  <c r="AE1141" i="51"/>
  <c r="AE798" i="51"/>
  <c r="Z479" i="51"/>
  <c r="AF479" i="51"/>
  <c r="Z1534" i="51"/>
  <c r="AF1534" i="51"/>
  <c r="Z381" i="51"/>
  <c r="AF381" i="51"/>
  <c r="AE573" i="52"/>
  <c r="Z573" i="52"/>
  <c r="Y236" i="51"/>
  <c r="AE236" i="51"/>
  <c r="Z187" i="51"/>
  <c r="AF187" i="51"/>
  <c r="Z954" i="51"/>
  <c r="AF954" i="51"/>
  <c r="Z592" i="51"/>
  <c r="K592" i="55"/>
  <c r="N592" i="55"/>
  <c r="Z836" i="51"/>
  <c r="K836" i="55"/>
  <c r="N836" i="55"/>
  <c r="Z1950" i="51"/>
  <c r="AF1950" i="51"/>
  <c r="Y1145" i="51"/>
  <c r="AE1145" i="51"/>
  <c r="AM67" i="42"/>
  <c r="D48" i="5"/>
  <c r="D49" i="5"/>
  <c r="Y677" i="51"/>
  <c r="AE677" i="51"/>
  <c r="Z96" i="51"/>
  <c r="K96" i="55"/>
  <c r="N96" i="55"/>
  <c r="AE268" i="52"/>
  <c r="Z268" i="52"/>
  <c r="N134" i="55"/>
  <c r="K134" i="55"/>
  <c r="Y725" i="51"/>
  <c r="AE725" i="51"/>
  <c r="Y573" i="51"/>
  <c r="AE573" i="51"/>
  <c r="Z1051" i="51"/>
  <c r="K1051" i="55"/>
  <c r="N1051" i="55"/>
  <c r="Y197" i="51"/>
  <c r="AE197" i="51"/>
  <c r="Z775" i="51"/>
  <c r="AF775" i="51"/>
  <c r="Z50" i="51"/>
  <c r="AF50" i="51"/>
  <c r="K2" i="55"/>
  <c r="S5" i="55"/>
  <c r="Y5" i="55"/>
  <c r="AG5" i="55"/>
  <c r="Z2161" i="51"/>
  <c r="AF2161" i="51"/>
  <c r="Y684" i="51"/>
  <c r="AE684" i="51"/>
  <c r="Y599" i="51"/>
  <c r="AE599" i="51"/>
  <c r="Z1073" i="51"/>
  <c r="K1073" i="55"/>
  <c r="N1073" i="55"/>
  <c r="Z1540" i="51"/>
  <c r="AF1540" i="51"/>
  <c r="N1388" i="55"/>
  <c r="K1388" i="55"/>
  <c r="AE1240" i="51"/>
  <c r="Y1240" i="51"/>
  <c r="Y78" i="51"/>
  <c r="AE78" i="51"/>
  <c r="Y186" i="51"/>
  <c r="AE186" i="51"/>
  <c r="Y185" i="51"/>
  <c r="AE185" i="51"/>
  <c r="Y1140" i="51"/>
  <c r="AE1140" i="51"/>
  <c r="Z1008" i="51"/>
  <c r="K1008" i="55"/>
  <c r="N1008" i="55"/>
  <c r="AE812" i="52"/>
  <c r="Z812" i="52"/>
  <c r="N1397" i="55"/>
  <c r="K1397" i="55"/>
  <c r="AG89" i="57"/>
  <c r="AG23" i="57"/>
  <c r="Y602" i="51"/>
  <c r="AE602" i="51"/>
  <c r="Y360" i="51"/>
  <c r="J360" i="55"/>
  <c r="M360" i="55"/>
  <c r="Y466" i="51"/>
  <c r="J466" i="55"/>
  <c r="M466" i="55"/>
  <c r="AE40" i="52"/>
  <c r="Z40" i="52"/>
  <c r="AF23" i="44"/>
  <c r="AP23" i="44"/>
  <c r="AO67" i="43"/>
  <c r="AO69" i="43"/>
  <c r="AE12" i="43"/>
  <c r="AB12" i="57"/>
  <c r="AB78" i="57"/>
  <c r="AE442" i="52"/>
  <c r="Z442" i="52"/>
  <c r="Y455" i="51"/>
  <c r="AE455" i="51"/>
  <c r="AE314" i="51"/>
  <c r="N1064" i="55"/>
  <c r="K1064" i="55"/>
  <c r="Y618" i="51"/>
  <c r="AE618" i="51"/>
  <c r="Y70" i="51"/>
  <c r="J70" i="55"/>
  <c r="M70" i="55"/>
  <c r="Z1915" i="51"/>
  <c r="AF1915" i="51"/>
  <c r="Z21" i="51"/>
  <c r="K21" i="55"/>
  <c r="N21" i="55"/>
  <c r="AE1346" i="51"/>
  <c r="Y1346" i="51"/>
  <c r="AF1319" i="51"/>
  <c r="Z1319" i="51"/>
  <c r="AF1288" i="51"/>
  <c r="Z1288" i="51"/>
  <c r="N763" i="55"/>
  <c r="K763" i="55"/>
  <c r="Y330" i="51"/>
  <c r="J330" i="55"/>
  <c r="M330" i="55"/>
  <c r="Y313" i="51"/>
  <c r="AE313" i="51"/>
  <c r="N784" i="55"/>
  <c r="K784" i="55"/>
  <c r="Y403" i="51"/>
  <c r="J403" i="55"/>
  <c r="M403" i="55"/>
  <c r="Z61" i="51"/>
  <c r="K61" i="55"/>
  <c r="N61" i="55"/>
  <c r="Z191" i="51"/>
  <c r="AF191" i="51"/>
  <c r="Z856" i="51"/>
  <c r="AF856" i="51"/>
  <c r="Y200" i="51"/>
  <c r="J200" i="55"/>
  <c r="M200" i="55"/>
  <c r="AE71" i="52"/>
  <c r="Z71" i="52"/>
  <c r="Z918" i="51"/>
  <c r="AF918" i="51"/>
  <c r="Y408" i="51"/>
  <c r="AE408" i="51"/>
  <c r="Y333" i="51"/>
  <c r="AE333" i="51"/>
  <c r="AE537" i="51"/>
  <c r="Z186" i="51"/>
  <c r="AF186" i="51"/>
  <c r="Y129" i="51"/>
  <c r="J129" i="55"/>
  <c r="M129" i="55"/>
  <c r="AD203" i="52"/>
  <c r="Y203" i="52"/>
  <c r="N1229" i="55"/>
  <c r="K1229" i="55"/>
  <c r="N829" i="55"/>
  <c r="K829" i="55"/>
  <c r="Z1754" i="51"/>
  <c r="K1754" i="55"/>
  <c r="N1754" i="55"/>
  <c r="N150" i="55"/>
  <c r="K150" i="55"/>
  <c r="AK23" i="44"/>
  <c r="AK23" i="42"/>
  <c r="AK23" i="43"/>
  <c r="Y710" i="51"/>
  <c r="AE710" i="51"/>
  <c r="Z903" i="51"/>
  <c r="K903" i="55"/>
  <c r="N903" i="55"/>
  <c r="M402" i="55"/>
  <c r="J402" i="55"/>
  <c r="N1650" i="55"/>
  <c r="K1650" i="55"/>
  <c r="AE276" i="51"/>
  <c r="Y387" i="51"/>
  <c r="AE387" i="51"/>
  <c r="N373" i="55"/>
  <c r="K373" i="55"/>
  <c r="Y289" i="51"/>
  <c r="AE289" i="51"/>
  <c r="Z470" i="51"/>
  <c r="AF470" i="51"/>
  <c r="Y85" i="51"/>
  <c r="AE85" i="51"/>
  <c r="AF1632" i="51"/>
  <c r="Z1632" i="51"/>
  <c r="M241" i="55"/>
  <c r="J241" i="55"/>
  <c r="Z537" i="51"/>
  <c r="K537" i="55"/>
  <c r="N537" i="55"/>
  <c r="N557" i="55"/>
  <c r="K557" i="55"/>
  <c r="N1770" i="55"/>
  <c r="K1770" i="55"/>
  <c r="AP14" i="43"/>
  <c r="AF14" i="43"/>
  <c r="AC14" i="57"/>
  <c r="AC80" i="57"/>
  <c r="Z2056" i="51"/>
  <c r="AF2056" i="51"/>
  <c r="N432" i="55"/>
  <c r="K432" i="55"/>
  <c r="M159" i="55"/>
  <c r="J159" i="55"/>
  <c r="AE222" i="52"/>
  <c r="Z222" i="52"/>
  <c r="AE550" i="51"/>
  <c r="Y550" i="51"/>
  <c r="M149" i="55"/>
  <c r="J149" i="55"/>
  <c r="Z1475" i="51"/>
  <c r="K1475" i="55"/>
  <c r="N1475" i="55"/>
  <c r="Z628" i="51"/>
  <c r="K628" i="55"/>
  <c r="N628" i="55"/>
  <c r="Z784" i="51"/>
  <c r="AF784" i="51"/>
  <c r="Z926" i="51"/>
  <c r="K926" i="55"/>
  <c r="N926" i="55"/>
  <c r="M553" i="55"/>
  <c r="J553" i="55"/>
  <c r="AE44" i="52"/>
  <c r="Z44" i="52"/>
  <c r="Y118" i="51"/>
  <c r="J118" i="55"/>
  <c r="M118" i="55"/>
  <c r="Y238" i="51"/>
  <c r="J238" i="55"/>
  <c r="M238" i="55"/>
  <c r="M437" i="55"/>
  <c r="J437" i="55"/>
  <c r="Z524" i="51"/>
  <c r="AF524" i="51"/>
  <c r="N1325" i="55"/>
  <c r="K1325" i="55"/>
  <c r="Y338" i="51"/>
  <c r="AE338" i="51"/>
  <c r="Y537" i="51"/>
  <c r="J537" i="55"/>
  <c r="M537" i="55"/>
  <c r="N438" i="55"/>
  <c r="K438" i="55"/>
  <c r="Y87" i="51"/>
  <c r="AE87" i="51"/>
  <c r="AE548" i="52"/>
  <c r="Z548" i="52"/>
  <c r="Y436" i="51"/>
  <c r="AE436" i="51"/>
  <c r="N540" i="55"/>
  <c r="K540" i="55"/>
  <c r="N1699" i="55"/>
  <c r="K1699" i="55"/>
  <c r="M68" i="55"/>
  <c r="J68" i="55"/>
  <c r="Y656" i="51"/>
  <c r="J656" i="55"/>
  <c r="M656" i="55"/>
  <c r="N643" i="55"/>
  <c r="K643" i="55"/>
  <c r="AL30" i="44"/>
  <c r="AJ30" i="44"/>
  <c r="N624" i="55"/>
  <c r="K624" i="55"/>
  <c r="M506" i="55"/>
  <c r="J506" i="55"/>
  <c r="Y89" i="51"/>
  <c r="AE89" i="51"/>
  <c r="Y798" i="51"/>
  <c r="J798" i="55"/>
  <c r="M798" i="55"/>
  <c r="N1469" i="55"/>
  <c r="K1469" i="55"/>
  <c r="AE72" i="52"/>
  <c r="Z72" i="52"/>
  <c r="Z1749" i="51"/>
  <c r="AF1749" i="51"/>
  <c r="N2180" i="55"/>
  <c r="K2180" i="55"/>
  <c r="Z763" i="51"/>
  <c r="AF763" i="51"/>
  <c r="Z2163" i="51"/>
  <c r="AF2163" i="51"/>
  <c r="AE770" i="52"/>
  <c r="Z770" i="52"/>
  <c r="N2008" i="55"/>
  <c r="K2008" i="55"/>
  <c r="Z410" i="51"/>
  <c r="AF410" i="51"/>
  <c r="Z1726" i="51"/>
  <c r="AF1726" i="51"/>
  <c r="AF1466" i="51"/>
  <c r="AF5" i="51"/>
  <c r="AE371" i="52"/>
  <c r="Z371" i="52"/>
  <c r="Z2189" i="51"/>
  <c r="AF2189" i="51"/>
  <c r="AB12" i="55"/>
  <c r="AG124" i="57"/>
  <c r="AG58" i="57"/>
  <c r="M823" i="55"/>
  <c r="J823" i="55"/>
  <c r="M322" i="55"/>
  <c r="J322" i="55"/>
  <c r="N1690" i="55"/>
  <c r="K1690" i="55"/>
  <c r="Z746" i="51"/>
  <c r="K746" i="55"/>
  <c r="N746" i="55"/>
  <c r="N1666" i="55"/>
  <c r="K1666" i="55"/>
  <c r="AE66" i="51"/>
  <c r="AF203" i="51"/>
  <c r="N96" i="57"/>
  <c r="N30" i="57"/>
  <c r="AM50" i="43"/>
  <c r="T50" i="43"/>
  <c r="N50" i="43"/>
  <c r="Z355" i="51"/>
  <c r="AF355" i="51"/>
  <c r="AD336" i="52"/>
  <c r="Y336" i="52"/>
  <c r="AE944" i="52"/>
  <c r="Z944" i="52"/>
  <c r="AG5" i="44"/>
  <c r="AE5" i="44"/>
  <c r="AE67" i="44"/>
  <c r="Y437" i="51"/>
  <c r="AE437" i="51"/>
  <c r="Y703" i="51"/>
  <c r="AE703" i="51"/>
  <c r="Z35" i="51"/>
  <c r="AF35" i="51"/>
  <c r="N109" i="57"/>
  <c r="N43" i="57"/>
  <c r="Z498" i="51"/>
  <c r="K498" i="55"/>
  <c r="N498" i="55"/>
  <c r="N2184" i="55"/>
  <c r="K2184" i="55"/>
  <c r="Z438" i="51"/>
  <c r="AF438" i="51"/>
  <c r="Y297" i="51"/>
  <c r="AE297" i="51"/>
  <c r="Z638" i="51"/>
  <c r="AF638" i="51"/>
  <c r="Y284" i="51"/>
  <c r="AE284" i="51"/>
  <c r="Y682" i="51"/>
  <c r="AE682" i="51"/>
  <c r="Y242" i="51"/>
  <c r="AE242" i="51"/>
  <c r="Z540" i="51"/>
  <c r="AF540" i="51"/>
  <c r="Y274" i="51"/>
  <c r="AE274" i="51"/>
  <c r="Z19" i="51"/>
  <c r="AF19" i="51"/>
  <c r="Y68" i="51"/>
  <c r="AE68" i="51"/>
  <c r="Z618" i="51"/>
  <c r="AF618" i="51"/>
  <c r="Y510" i="51"/>
  <c r="AE510" i="51"/>
  <c r="Z2102" i="51"/>
  <c r="AF2102" i="51"/>
  <c r="Z643" i="51"/>
  <c r="AF643" i="51"/>
  <c r="Z593" i="51"/>
  <c r="AF593" i="51"/>
  <c r="Z624" i="51"/>
  <c r="AF624" i="51"/>
  <c r="Z848" i="51"/>
  <c r="AF848" i="51"/>
  <c r="Z1064" i="51"/>
  <c r="AF1064" i="51"/>
  <c r="AE979" i="52"/>
  <c r="Z979" i="52"/>
  <c r="AD490" i="52"/>
  <c r="Y490" i="52"/>
  <c r="AE713" i="52"/>
  <c r="Z713" i="52"/>
  <c r="AF103" i="51"/>
  <c r="Z960" i="51"/>
  <c r="AF960" i="51"/>
  <c r="Z514" i="51"/>
  <c r="AF514" i="51"/>
  <c r="Z1469" i="51"/>
  <c r="AF1469" i="51"/>
  <c r="Y506" i="51"/>
  <c r="AE506" i="51"/>
  <c r="M261" i="55"/>
  <c r="J261" i="55"/>
  <c r="Z509" i="51"/>
  <c r="AF509" i="51"/>
  <c r="Y402" i="51"/>
  <c r="AE402" i="51"/>
  <c r="M221" i="55"/>
  <c r="J221" i="55"/>
  <c r="AF1581" i="51"/>
  <c r="Z1581" i="51"/>
  <c r="AF1370" i="51"/>
  <c r="Z1370" i="51"/>
  <c r="Y241" i="51"/>
  <c r="AE241" i="51"/>
  <c r="AD56" i="52"/>
  <c r="Y56" i="52"/>
  <c r="AF2115" i="51"/>
  <c r="Z432" i="51"/>
  <c r="AF432" i="51"/>
  <c r="Y1142" i="51"/>
  <c r="J1142" i="55"/>
  <c r="M1142" i="55"/>
  <c r="Z1466" i="51"/>
  <c r="K1466" i="55"/>
  <c r="N1466" i="55"/>
  <c r="Z5" i="51"/>
  <c r="K5" i="55"/>
  <c r="N5" i="55"/>
  <c r="M1264" i="55"/>
  <c r="J1264" i="55"/>
  <c r="N1393" i="55"/>
  <c r="K1393" i="55"/>
  <c r="AO40" i="43"/>
  <c r="AE40" i="43"/>
  <c r="AG40" i="43"/>
  <c r="Z103" i="51"/>
  <c r="K103" i="55"/>
  <c r="N103" i="55"/>
  <c r="N1651" i="55"/>
  <c r="K1651" i="55"/>
  <c r="AE804" i="52"/>
  <c r="Z804" i="52"/>
  <c r="M82" i="55"/>
  <c r="J82" i="55"/>
  <c r="Y322" i="51"/>
  <c r="AE322" i="51"/>
  <c r="AF1215" i="51"/>
  <c r="Z1215" i="51"/>
  <c r="Z1538" i="51"/>
  <c r="AF1538" i="51"/>
  <c r="M300" i="55"/>
  <c r="J300" i="55"/>
  <c r="AE901" i="52"/>
  <c r="Z901" i="52"/>
  <c r="Z2115" i="51"/>
  <c r="K2115" i="55"/>
  <c r="N2115" i="55"/>
  <c r="AE515" i="51"/>
  <c r="AE88" i="51"/>
  <c r="AF382" i="51"/>
  <c r="AE731" i="51"/>
  <c r="Y261" i="51"/>
  <c r="AE261" i="51"/>
  <c r="AE213" i="51"/>
  <c r="Y221" i="51"/>
  <c r="AE221" i="51"/>
  <c r="M447" i="55"/>
  <c r="J447" i="55"/>
  <c r="Z128" i="51"/>
  <c r="AF128" i="51"/>
  <c r="AF1059" i="51"/>
  <c r="AE347" i="51"/>
  <c r="AM7" i="44"/>
  <c r="T7" i="44"/>
  <c r="N7" i="44"/>
  <c r="AF99" i="51"/>
  <c r="AE1127" i="51"/>
  <c r="N572" i="55"/>
  <c r="K572" i="55"/>
  <c r="N1928" i="55"/>
  <c r="K1928" i="55"/>
  <c r="AF1298" i="51"/>
  <c r="Z1298" i="51"/>
  <c r="N55" i="55"/>
  <c r="K55" i="55"/>
  <c r="AV4" i="51"/>
  <c r="AE246" i="52"/>
  <c r="Z246" i="52"/>
  <c r="Y300" i="51"/>
  <c r="AE300" i="51"/>
  <c r="N1665" i="55"/>
  <c r="K1665" i="55"/>
  <c r="N2123" i="55"/>
  <c r="K2123" i="55"/>
  <c r="N1163" i="55"/>
  <c r="K1163" i="55"/>
  <c r="M228" i="55"/>
  <c r="J228" i="55"/>
  <c r="N2067" i="55"/>
  <c r="K2067" i="55"/>
  <c r="AE229" i="52"/>
  <c r="Z229" i="52"/>
  <c r="M590" i="55"/>
  <c r="J590" i="55"/>
  <c r="Y538" i="51"/>
  <c r="AE538" i="51"/>
  <c r="N1900" i="55"/>
  <c r="K1900" i="55"/>
  <c r="AF1377" i="51"/>
  <c r="Z1377" i="51"/>
  <c r="AE891" i="52"/>
  <c r="Z891" i="52"/>
  <c r="N1481" i="55"/>
  <c r="K1481" i="55"/>
  <c r="AG14" i="44"/>
  <c r="AE14" i="44"/>
  <c r="AO14" i="44"/>
  <c r="AF1056" i="51"/>
  <c r="N124" i="57"/>
  <c r="N58" i="57"/>
  <c r="AE772" i="52"/>
  <c r="Z772" i="52"/>
  <c r="N1840" i="55"/>
  <c r="K1840" i="55"/>
  <c r="N2168" i="55"/>
  <c r="K2168" i="55"/>
  <c r="N2013" i="55"/>
  <c r="K2013" i="55"/>
  <c r="AU14" i="51"/>
  <c r="AU12" i="51"/>
  <c r="AE138" i="51"/>
  <c r="Y138" i="51"/>
  <c r="M375" i="55"/>
  <c r="J375" i="55"/>
  <c r="AF1161" i="51"/>
  <c r="Z829" i="51"/>
  <c r="AF829" i="51"/>
  <c r="Z361" i="51"/>
  <c r="AF361" i="51"/>
  <c r="N1644" i="55"/>
  <c r="K1644" i="55"/>
  <c r="AF1562" i="51"/>
  <c r="AE633" i="51"/>
  <c r="Y346" i="51"/>
  <c r="AE346" i="51"/>
  <c r="AF1505" i="51"/>
  <c r="AF1114" i="51"/>
  <c r="AF14" i="51"/>
  <c r="AE407" i="51"/>
  <c r="AE760" i="52"/>
  <c r="Z760" i="52"/>
  <c r="AE8" i="52"/>
  <c r="Z8" i="52"/>
  <c r="M137" i="55"/>
  <c r="J137" i="55"/>
  <c r="AE982" i="52"/>
  <c r="Z982" i="52"/>
  <c r="AE7" i="52"/>
  <c r="Z7" i="52"/>
  <c r="M295" i="55"/>
  <c r="J295" i="55"/>
  <c r="AF1835" i="51"/>
  <c r="Z1835" i="51"/>
  <c r="M805" i="55"/>
  <c r="J805" i="55"/>
  <c r="AF30" i="51"/>
  <c r="AF560" i="51"/>
  <c r="Z560" i="51"/>
  <c r="N616" i="55"/>
  <c r="K616" i="55"/>
  <c r="N489" i="55"/>
  <c r="K489" i="55"/>
  <c r="AE422" i="52"/>
  <c r="Z422" i="52"/>
  <c r="N2054" i="55"/>
  <c r="K2054" i="55"/>
  <c r="N1478" i="55"/>
  <c r="K1478" i="55"/>
  <c r="N1947" i="55"/>
  <c r="K1947" i="55"/>
  <c r="AF48" i="44"/>
  <c r="AP48" i="44"/>
  <c r="AE696" i="51"/>
  <c r="M477" i="55"/>
  <c r="J477" i="55"/>
  <c r="AE462" i="51"/>
  <c r="AE541" i="51"/>
  <c r="M406" i="55"/>
  <c r="J406" i="55"/>
  <c r="M565" i="55"/>
  <c r="J565" i="55"/>
  <c r="N914" i="55"/>
  <c r="K914" i="55"/>
  <c r="AE644" i="51"/>
  <c r="N18" i="55"/>
  <c r="K18" i="55"/>
  <c r="N151" i="55"/>
  <c r="K151" i="55"/>
  <c r="N115" i="55"/>
  <c r="K115" i="55"/>
  <c r="AD304" i="52"/>
  <c r="Y304" i="52"/>
  <c r="N1497" i="55"/>
  <c r="K1497" i="55"/>
  <c r="M369" i="55"/>
  <c r="J369" i="55"/>
  <c r="AF1198" i="51"/>
  <c r="Z1198" i="51"/>
  <c r="N868" i="55"/>
  <c r="K868" i="55"/>
  <c r="N596" i="55"/>
  <c r="K596" i="55"/>
  <c r="M461" i="55"/>
  <c r="J461" i="55"/>
  <c r="M170" i="55"/>
  <c r="J170" i="55"/>
  <c r="AF1978" i="51"/>
  <c r="AF16" i="51"/>
  <c r="AF871" i="51"/>
  <c r="AF1530" i="51"/>
  <c r="AD118" i="52"/>
  <c r="Y118" i="52"/>
  <c r="M243" i="55"/>
  <c r="J243" i="55"/>
  <c r="AF1111" i="51"/>
  <c r="AE738" i="52"/>
  <c r="Z738" i="52"/>
  <c r="AF1147" i="51"/>
  <c r="AB124" i="57"/>
  <c r="AB58" i="57"/>
  <c r="N1221" i="55"/>
  <c r="K1221" i="55"/>
  <c r="AD234" i="52"/>
  <c r="Y234" i="52"/>
  <c r="N1729" i="55"/>
  <c r="K1729" i="55"/>
  <c r="AE456" i="52"/>
  <c r="Z456" i="52"/>
  <c r="N1233" i="55"/>
  <c r="K1233" i="55"/>
  <c r="N1389" i="55"/>
  <c r="K1389" i="55"/>
  <c r="AL11" i="44"/>
  <c r="AJ11" i="44"/>
  <c r="AE406" i="52"/>
  <c r="Z406" i="52"/>
  <c r="AD147" i="52"/>
  <c r="Y147" i="52"/>
  <c r="N909" i="55"/>
  <c r="K909" i="55"/>
  <c r="M353" i="55"/>
  <c r="J353" i="55"/>
  <c r="AE685" i="52"/>
  <c r="Z685" i="52"/>
  <c r="AF1327" i="51"/>
  <c r="Z1327" i="51"/>
  <c r="N1761" i="55"/>
  <c r="K1761" i="55"/>
  <c r="N113" i="55"/>
  <c r="K113" i="55"/>
  <c r="N452" i="55"/>
  <c r="K452" i="55"/>
  <c r="M670" i="55"/>
  <c r="J670" i="55"/>
  <c r="M1417" i="55"/>
  <c r="J1417" i="55"/>
  <c r="N1777" i="55"/>
  <c r="K1777" i="55"/>
  <c r="AD76" i="52"/>
  <c r="Y76" i="52"/>
  <c r="M280" i="55"/>
  <c r="J280" i="55"/>
  <c r="AE67" i="52"/>
  <c r="Z67" i="52"/>
  <c r="M1037" i="55"/>
  <c r="J1037" i="55"/>
  <c r="AF1944" i="51"/>
  <c r="AF88" i="51"/>
  <c r="AE601" i="51"/>
  <c r="AF2206" i="51"/>
  <c r="AE683" i="51"/>
  <c r="AF2156" i="51"/>
  <c r="N1426" i="55"/>
  <c r="K1426" i="55"/>
  <c r="N47" i="55"/>
  <c r="K47" i="55"/>
  <c r="AE445" i="52"/>
  <c r="Z445" i="52"/>
  <c r="AF2041" i="51"/>
  <c r="AF850" i="51"/>
  <c r="AE742" i="51"/>
  <c r="N1331" i="55"/>
  <c r="K1331" i="55"/>
  <c r="AG82" i="57"/>
  <c r="AG16" i="57"/>
  <c r="N1084" i="55"/>
  <c r="K1084" i="55"/>
  <c r="N2144" i="55"/>
  <c r="K2144" i="55"/>
  <c r="AE535" i="52"/>
  <c r="Z535" i="52"/>
  <c r="AF142" i="51"/>
  <c r="Z142" i="51"/>
  <c r="N755" i="55"/>
  <c r="K755" i="55"/>
  <c r="N133" i="55"/>
  <c r="K133" i="55"/>
  <c r="N2130" i="55"/>
  <c r="K2130" i="55"/>
  <c r="AL36" i="43"/>
  <c r="AJ36" i="43"/>
  <c r="M348" i="55"/>
  <c r="J348" i="55"/>
  <c r="N1678" i="55"/>
  <c r="K1678" i="55"/>
  <c r="M175" i="55"/>
  <c r="J175" i="55"/>
  <c r="N769" i="55"/>
  <c r="K769" i="55"/>
  <c r="M172" i="55"/>
  <c r="J172" i="55"/>
  <c r="AF974" i="51"/>
  <c r="AE448" i="51"/>
  <c r="AF2014" i="51"/>
  <c r="AE219" i="51"/>
  <c r="AV2" i="51"/>
  <c r="N614" i="55"/>
  <c r="K614" i="55"/>
  <c r="AE1358" i="51"/>
  <c r="Y1358" i="51"/>
  <c r="N67" i="43"/>
  <c r="N1175" i="55"/>
  <c r="K1175" i="55"/>
  <c r="AM16" i="44"/>
  <c r="T16" i="44"/>
  <c r="N16" i="44"/>
  <c r="N1431" i="55"/>
  <c r="K1431" i="55"/>
  <c r="AG10" i="55"/>
  <c r="Y10" i="55"/>
  <c r="K1717" i="55"/>
  <c r="S10" i="55"/>
  <c r="N1857" i="55"/>
  <c r="K1857" i="55"/>
  <c r="AM29" i="43"/>
  <c r="T29" i="43"/>
  <c r="N29" i="43"/>
  <c r="N1480" i="55"/>
  <c r="K1480" i="55"/>
  <c r="AE265" i="52"/>
  <c r="Z265" i="52"/>
  <c r="N1791" i="55"/>
  <c r="K1791" i="55"/>
  <c r="AE372" i="52"/>
  <c r="Z372" i="52"/>
  <c r="N2154" i="55"/>
  <c r="K2154" i="55"/>
  <c r="N32" i="55"/>
  <c r="K32" i="55"/>
  <c r="AE266" i="52"/>
  <c r="Z266" i="52"/>
  <c r="N1116" i="55"/>
  <c r="K1116" i="55"/>
  <c r="N1782" i="55"/>
  <c r="K1782" i="55"/>
  <c r="N79" i="55"/>
  <c r="K79" i="55"/>
  <c r="N931" i="55"/>
  <c r="K931" i="55"/>
  <c r="AF1312" i="51"/>
  <c r="Z1312" i="51"/>
  <c r="N1197" i="55"/>
  <c r="K1197" i="55"/>
  <c r="N82" i="57"/>
  <c r="N16" i="57"/>
  <c r="N92" i="55"/>
  <c r="K92" i="55"/>
  <c r="AF2192" i="51"/>
  <c r="AE536" i="51"/>
  <c r="AF1455" i="51"/>
  <c r="M394" i="55"/>
  <c r="J394" i="55"/>
  <c r="M645" i="55"/>
  <c r="J645" i="55"/>
  <c r="N2099" i="55"/>
  <c r="K2099" i="55"/>
  <c r="D14" i="59"/>
  <c r="D15" i="59"/>
  <c r="AG35" i="43"/>
  <c r="AE84" i="52"/>
  <c r="Z84" i="52"/>
  <c r="N1508" i="55"/>
  <c r="K1508" i="55"/>
  <c r="N2097" i="55"/>
  <c r="K2097" i="55"/>
  <c r="M329" i="55"/>
  <c r="J329" i="55"/>
  <c r="N56" i="55"/>
  <c r="K56" i="55"/>
  <c r="AM61" i="44"/>
  <c r="T61" i="44"/>
  <c r="N61" i="44"/>
  <c r="N1391" i="55"/>
  <c r="K1391" i="55"/>
  <c r="AF1366" i="51"/>
  <c r="Z1366" i="51"/>
  <c r="N1602" i="55"/>
  <c r="K1602" i="55"/>
  <c r="N1471" i="55"/>
  <c r="K1471" i="55"/>
  <c r="N360" i="55"/>
  <c r="K360" i="55"/>
  <c r="AM30" i="44"/>
  <c r="T30" i="44"/>
  <c r="N30" i="44"/>
  <c r="N1427" i="55"/>
  <c r="K1427" i="55"/>
  <c r="AF2016" i="51"/>
  <c r="M801" i="55"/>
  <c r="J801" i="55"/>
  <c r="N2145" i="55"/>
  <c r="K2145" i="55"/>
  <c r="AE167" i="51"/>
  <c r="Y167" i="51"/>
  <c r="N175" i="55"/>
  <c r="K175" i="55"/>
  <c r="N1373" i="55"/>
  <c r="K1373" i="55"/>
  <c r="AL25" i="44"/>
  <c r="AJ25" i="44"/>
  <c r="AF54" i="51"/>
  <c r="N877" i="55"/>
  <c r="K877" i="55"/>
  <c r="AM25" i="44"/>
  <c r="T25" i="44"/>
  <c r="N25" i="44"/>
  <c r="N1755" i="55"/>
  <c r="K1755" i="55"/>
  <c r="N1628" i="55"/>
  <c r="K1628" i="55"/>
  <c r="AE1041" i="51"/>
  <c r="AF1666" i="51"/>
  <c r="Z1666" i="51"/>
  <c r="AF1698" i="51"/>
  <c r="Z1698" i="51"/>
  <c r="N777" i="55"/>
  <c r="K777" i="55"/>
  <c r="AF1926" i="51"/>
  <c r="AD43" i="52"/>
  <c r="Y43" i="52"/>
  <c r="AF1572" i="51"/>
  <c r="Z1572" i="51"/>
  <c r="N1542" i="55"/>
  <c r="K1542" i="55"/>
  <c r="Y515" i="51"/>
  <c r="J515" i="55"/>
  <c r="M515" i="55"/>
  <c r="M168" i="55"/>
  <c r="J168" i="55"/>
  <c r="Y88" i="51"/>
  <c r="J88" i="55"/>
  <c r="M88" i="55"/>
  <c r="AE426" i="52"/>
  <c r="Z426" i="52"/>
  <c r="Z382" i="51"/>
  <c r="K382" i="55"/>
  <c r="N382" i="55"/>
  <c r="Y731" i="51"/>
  <c r="J731" i="55"/>
  <c r="M731" i="55"/>
  <c r="AF1380" i="51"/>
  <c r="Z1380" i="51"/>
  <c r="Z215" i="51"/>
  <c r="AF215" i="51"/>
  <c r="AE1347" i="51"/>
  <c r="Y1347" i="51"/>
  <c r="AE151" i="51"/>
  <c r="Y151" i="51"/>
  <c r="Y213" i="51"/>
  <c r="J213" i="55"/>
  <c r="M213" i="55"/>
  <c r="AD282" i="52"/>
  <c r="Y282" i="52"/>
  <c r="Z2008" i="51"/>
  <c r="AF2008" i="51"/>
  <c r="Z1059" i="51"/>
  <c r="K1059" i="55"/>
  <c r="N1059" i="55"/>
  <c r="Y347" i="51"/>
  <c r="J347" i="55"/>
  <c r="M347" i="55"/>
  <c r="AF1212" i="51"/>
  <c r="Z1212" i="51"/>
  <c r="Z844" i="51"/>
  <c r="AF844" i="51"/>
  <c r="AD607" i="52"/>
  <c r="Y607" i="52"/>
  <c r="AF1883" i="51"/>
  <c r="Z1883" i="51"/>
  <c r="Z99" i="51"/>
  <c r="K99" i="55"/>
  <c r="N99" i="55"/>
  <c r="AE702" i="52"/>
  <c r="Z702" i="52"/>
  <c r="Y1127" i="51"/>
  <c r="J1127" i="55"/>
  <c r="M1127" i="55"/>
  <c r="N1795" i="55"/>
  <c r="K1795" i="55"/>
  <c r="N1615" i="55"/>
  <c r="K1615" i="55"/>
  <c r="Z2036" i="51"/>
  <c r="AF2036" i="51"/>
  <c r="AK58" i="43"/>
  <c r="AK58" i="41"/>
  <c r="AK58" i="42"/>
  <c r="AK58" i="44"/>
  <c r="Y82" i="51"/>
  <c r="AE82" i="51"/>
  <c r="M62" i="55"/>
  <c r="J62" i="55"/>
  <c r="AE559" i="52"/>
  <c r="Z559" i="52"/>
  <c r="AF1668" i="51"/>
  <c r="Z1668" i="51"/>
  <c r="AD212" i="52"/>
  <c r="Y212" i="52"/>
  <c r="M669" i="55"/>
  <c r="J669" i="55"/>
  <c r="Z2123" i="51"/>
  <c r="AF2123" i="51"/>
  <c r="N29" i="55"/>
  <c r="K29" i="55"/>
  <c r="Z1163" i="51"/>
  <c r="AF1163" i="51"/>
  <c r="AE1043" i="51"/>
  <c r="M265" i="55"/>
  <c r="J265" i="55"/>
  <c r="N536" i="55"/>
  <c r="K536" i="55"/>
  <c r="M120" i="55"/>
  <c r="J120" i="55"/>
  <c r="AF899" i="51"/>
  <c r="AF77" i="51"/>
  <c r="N1896" i="55"/>
  <c r="K1896" i="55"/>
  <c r="M244" i="55"/>
  <c r="J244" i="55"/>
  <c r="Z1056" i="51"/>
  <c r="K1056" i="55"/>
  <c r="N1056" i="55"/>
  <c r="N1725" i="55"/>
  <c r="K1725" i="55"/>
  <c r="AL20" i="43"/>
  <c r="AJ20" i="43"/>
  <c r="AF1813" i="51"/>
  <c r="Z1813" i="51"/>
  <c r="AD54" i="52"/>
  <c r="Y54" i="52"/>
  <c r="AF2162" i="51"/>
  <c r="AF52" i="51"/>
  <c r="Z1161" i="51"/>
  <c r="K1161" i="55"/>
  <c r="N1161" i="55"/>
  <c r="Y364" i="51"/>
  <c r="AE364" i="51"/>
  <c r="AE177" i="51"/>
  <c r="Y177" i="51"/>
  <c r="AF1886" i="51"/>
  <c r="Z1886" i="51"/>
  <c r="AE431" i="51"/>
  <c r="Z373" i="51"/>
  <c r="AF373" i="51"/>
  <c r="Z1562" i="51"/>
  <c r="K1562" i="55"/>
  <c r="N1562" i="55"/>
  <c r="Y633" i="51"/>
  <c r="J633" i="55"/>
  <c r="M633" i="55"/>
  <c r="Z881" i="51"/>
  <c r="AF881" i="51"/>
  <c r="Z1505" i="51"/>
  <c r="K1505" i="55"/>
  <c r="N1505" i="55"/>
  <c r="Z1114" i="51"/>
  <c r="K1114" i="55"/>
  <c r="N1114" i="55"/>
  <c r="Z14" i="51"/>
  <c r="K14" i="55"/>
  <c r="N14" i="55"/>
  <c r="AE233" i="52"/>
  <c r="Z233" i="52"/>
  <c r="Y407" i="51"/>
  <c r="J407" i="55"/>
  <c r="M407" i="55"/>
  <c r="AE1361" i="51"/>
  <c r="Y1361" i="51"/>
  <c r="AD589" i="52"/>
  <c r="Y589" i="52"/>
  <c r="AL11" i="43"/>
  <c r="AJ11" i="43"/>
  <c r="AE572" i="52"/>
  <c r="Z572" i="52"/>
  <c r="AF2027" i="51"/>
  <c r="AF425" i="51"/>
  <c r="N1965" i="55"/>
  <c r="K1965" i="55"/>
  <c r="AF1840" i="51"/>
  <c r="Z1840" i="51"/>
  <c r="N1308" i="55"/>
  <c r="K1308" i="55"/>
  <c r="AF173" i="51"/>
  <c r="Z173" i="51"/>
  <c r="AE581" i="51"/>
  <c r="AE505" i="51"/>
  <c r="Y295" i="51"/>
  <c r="AE295" i="51"/>
  <c r="M460" i="55"/>
  <c r="J460" i="55"/>
  <c r="Y590" i="51"/>
  <c r="AE590" i="51"/>
  <c r="N1544" i="55"/>
  <c r="K1544" i="55"/>
  <c r="Z30" i="51"/>
  <c r="K30" i="55"/>
  <c r="N30" i="55"/>
  <c r="N1923" i="55"/>
  <c r="K1923" i="55"/>
  <c r="AF2170" i="51"/>
  <c r="AB80" i="57"/>
  <c r="AB14" i="57"/>
  <c r="AF1556" i="51"/>
  <c r="N859" i="55"/>
  <c r="K859" i="55"/>
  <c r="AF101" i="57"/>
  <c r="AF35" i="57"/>
  <c r="M1346" i="55"/>
  <c r="J1346" i="55"/>
  <c r="N1199" i="55"/>
  <c r="K1199" i="55"/>
  <c r="N1709" i="55"/>
  <c r="K1709" i="55"/>
  <c r="Z1478" i="51"/>
  <c r="AF1478" i="51"/>
  <c r="N1886" i="55"/>
  <c r="K1886" i="55"/>
  <c r="AE552" i="51"/>
  <c r="Y552" i="51"/>
  <c r="N1679" i="55"/>
  <c r="K1679" i="55"/>
  <c r="M362" i="55"/>
  <c r="J362" i="55"/>
  <c r="AF765" i="51"/>
  <c r="M198" i="55"/>
  <c r="J198" i="55"/>
  <c r="M1242" i="55"/>
  <c r="J1242" i="55"/>
  <c r="AF435" i="51"/>
  <c r="Y462" i="51"/>
  <c r="J462" i="55"/>
  <c r="M462" i="55"/>
  <c r="N1766" i="55"/>
  <c r="K1766" i="55"/>
  <c r="M712" i="55"/>
  <c r="J712" i="55"/>
  <c r="Y644" i="51"/>
  <c r="J644" i="55"/>
  <c r="M644" i="55"/>
  <c r="AA5" i="55"/>
  <c r="AE427" i="52"/>
  <c r="Z427" i="52"/>
  <c r="N1759" i="55"/>
  <c r="K1759" i="55"/>
  <c r="AF1451" i="51"/>
  <c r="AF98" i="51"/>
  <c r="AF587" i="51"/>
  <c r="M1031" i="55"/>
  <c r="J1031" i="55"/>
  <c r="Z1978" i="51"/>
  <c r="K1978" i="55"/>
  <c r="N1978" i="55"/>
  <c r="Z2027" i="51"/>
  <c r="K2027" i="55"/>
  <c r="N2027" i="55"/>
  <c r="N1595" i="55"/>
  <c r="K1595" i="55"/>
  <c r="Z16" i="51"/>
  <c r="K16" i="55"/>
  <c r="N16" i="55"/>
  <c r="Z871" i="51"/>
  <c r="K871" i="55"/>
  <c r="N871" i="55"/>
  <c r="Z1530" i="51"/>
  <c r="K1530" i="55"/>
  <c r="N1530" i="55"/>
  <c r="M1266" i="55"/>
  <c r="J1266" i="55"/>
  <c r="AF770" i="51"/>
  <c r="AE397" i="51"/>
  <c r="AE75" i="51"/>
  <c r="AE246" i="51"/>
  <c r="AF975" i="51"/>
  <c r="AF1095" i="51"/>
  <c r="AF342" i="51"/>
  <c r="Z115" i="51"/>
  <c r="AF115" i="51"/>
  <c r="AF2120" i="51"/>
  <c r="AF1433" i="51"/>
  <c r="AF928" i="51"/>
  <c r="AE319" i="51"/>
  <c r="AG49" i="43"/>
  <c r="AF541" i="51"/>
  <c r="AF529" i="51"/>
  <c r="M1017" i="55"/>
  <c r="J1017" i="55"/>
  <c r="AF1809" i="51"/>
  <c r="Z1809" i="51"/>
  <c r="AF586" i="51"/>
  <c r="AE543" i="52"/>
  <c r="Z543" i="52"/>
  <c r="AF402" i="51"/>
  <c r="AE41" i="52"/>
  <c r="Z41" i="52"/>
  <c r="N880" i="55"/>
  <c r="K880" i="55"/>
  <c r="N1065" i="55"/>
  <c r="K1065" i="55"/>
  <c r="Z1944" i="51"/>
  <c r="K1944" i="55"/>
  <c r="N1944" i="55"/>
  <c r="Z88" i="51"/>
  <c r="K88" i="55"/>
  <c r="N88" i="55"/>
  <c r="N1634" i="55"/>
  <c r="K1634" i="55"/>
  <c r="Y601" i="51"/>
  <c r="J601" i="55"/>
  <c r="M601" i="55"/>
  <c r="Z2206" i="51"/>
  <c r="K2206" i="55"/>
  <c r="N2206" i="55"/>
  <c r="Y683" i="51"/>
  <c r="J683" i="55"/>
  <c r="M683" i="55"/>
  <c r="M1358" i="55"/>
  <c r="J1358" i="55"/>
  <c r="AL57" i="44"/>
  <c r="AJ57" i="44"/>
  <c r="N1970" i="55"/>
  <c r="K1970" i="55"/>
  <c r="N2094" i="55"/>
  <c r="K2094" i="55"/>
  <c r="AF1735" i="51"/>
  <c r="Z2041" i="51"/>
  <c r="K2041" i="55"/>
  <c r="N2041" i="55"/>
  <c r="Z850" i="51"/>
  <c r="K850" i="55"/>
  <c r="N850" i="55"/>
  <c r="Y1043" i="51"/>
  <c r="J1043" i="55"/>
  <c r="M1043" i="55"/>
  <c r="Y742" i="51"/>
  <c r="J742" i="55"/>
  <c r="M742" i="55"/>
  <c r="AD241" i="52"/>
  <c r="Y241" i="52"/>
  <c r="AF1678" i="51"/>
  <c r="Z1678" i="51"/>
  <c r="AF38" i="51"/>
  <c r="AF520" i="51"/>
  <c r="AF199" i="51"/>
  <c r="N1401" i="55"/>
  <c r="K1401" i="55"/>
  <c r="AF601" i="51"/>
  <c r="AE248" i="51"/>
  <c r="N343" i="55"/>
  <c r="K343" i="55"/>
  <c r="Y1037" i="51"/>
  <c r="AE1037" i="51"/>
  <c r="AE607" i="51"/>
  <c r="AE952" i="51"/>
  <c r="AE311" i="51"/>
  <c r="AD489" i="52"/>
  <c r="Y489" i="52"/>
  <c r="AD320" i="52"/>
  <c r="Y320" i="52"/>
  <c r="Z77" i="51"/>
  <c r="K77" i="55"/>
  <c r="N77" i="55"/>
  <c r="Z974" i="51"/>
  <c r="K974" i="55"/>
  <c r="N974" i="55"/>
  <c r="Y448" i="51"/>
  <c r="J448" i="55"/>
  <c r="M448" i="55"/>
  <c r="AF174" i="51"/>
  <c r="Z174" i="51"/>
  <c r="Z2014" i="51"/>
  <c r="K2014" i="55"/>
  <c r="N2014" i="55"/>
  <c r="N1083" i="55"/>
  <c r="K1083" i="55"/>
  <c r="N37" i="55"/>
  <c r="K37" i="55"/>
  <c r="AF2176" i="51"/>
  <c r="Z2176" i="51"/>
  <c r="Y75" i="51"/>
  <c r="J75" i="55"/>
  <c r="M75" i="55"/>
  <c r="Y219" i="51"/>
  <c r="J219" i="55"/>
  <c r="M219" i="55"/>
  <c r="AE2" i="51"/>
  <c r="AU2" i="51"/>
  <c r="AU8" i="51"/>
  <c r="AV8" i="51"/>
  <c r="AE1356" i="51"/>
  <c r="Y1356" i="51"/>
  <c r="AE145" i="51"/>
  <c r="Y145" i="51"/>
  <c r="Z402" i="51"/>
  <c r="K402" i="55"/>
  <c r="N402" i="55"/>
  <c r="Z975" i="51"/>
  <c r="K975" i="55"/>
  <c r="N975" i="55"/>
  <c r="N173" i="55"/>
  <c r="K173" i="55"/>
  <c r="Z765" i="51"/>
  <c r="K765" i="55"/>
  <c r="N765" i="55"/>
  <c r="N941" i="55"/>
  <c r="K941" i="55"/>
  <c r="N72" i="55"/>
  <c r="K72" i="55"/>
  <c r="N177" i="55"/>
  <c r="K177" i="55"/>
  <c r="AD125" i="52"/>
  <c r="Y125" i="52"/>
  <c r="N99" i="57"/>
  <c r="N33" i="57"/>
  <c r="N1315" i="55"/>
  <c r="K1315" i="55"/>
  <c r="AF1232" i="51"/>
  <c r="Z1232" i="51"/>
  <c r="AF151" i="51"/>
  <c r="Z151" i="51"/>
  <c r="AF1795" i="51"/>
  <c r="Z1795" i="51"/>
  <c r="N1935" i="55"/>
  <c r="K1935" i="55"/>
  <c r="N1439" i="55"/>
  <c r="K1439" i="55"/>
  <c r="AG55" i="44"/>
  <c r="AE55" i="44"/>
  <c r="AO55" i="44"/>
  <c r="N121" i="57"/>
  <c r="N55" i="57"/>
  <c r="N1930" i="55"/>
  <c r="K1930" i="55"/>
  <c r="AF1309" i="51"/>
  <c r="Z1309" i="51"/>
  <c r="AF1557" i="51"/>
  <c r="M517" i="55"/>
  <c r="J517" i="55"/>
  <c r="M1263" i="55"/>
  <c r="J1263" i="55"/>
  <c r="AE633" i="52"/>
  <c r="Z633" i="52"/>
  <c r="N394" i="55"/>
  <c r="K394" i="55"/>
  <c r="AE530" i="52"/>
  <c r="Z530" i="52"/>
  <c r="AE282" i="51"/>
  <c r="Z79" i="51"/>
  <c r="AF79" i="51"/>
  <c r="S13" i="59"/>
  <c r="S7" i="59"/>
  <c r="AM6" i="43"/>
  <c r="T6" i="43"/>
  <c r="N6" i="43"/>
  <c r="M1348" i="55"/>
  <c r="J1348" i="55"/>
  <c r="N418" i="55"/>
  <c r="K418" i="55"/>
  <c r="AE520" i="52"/>
  <c r="Z520" i="52"/>
  <c r="Z2192" i="51"/>
  <c r="K2192" i="55"/>
  <c r="N2192" i="55"/>
  <c r="M799" i="55"/>
  <c r="J799" i="55"/>
  <c r="AM17" i="44"/>
  <c r="T17" i="44"/>
  <c r="N17" i="44"/>
  <c r="Y536" i="51"/>
  <c r="J536" i="55"/>
  <c r="M536" i="55"/>
  <c r="AE441" i="52"/>
  <c r="Z441" i="52"/>
  <c r="Z614" i="51"/>
  <c r="AF614" i="51"/>
  <c r="N1403" i="55"/>
  <c r="K1403" i="55"/>
  <c r="AO35" i="43"/>
  <c r="AE35" i="43"/>
  <c r="AB35" i="57"/>
  <c r="AB101" i="57"/>
  <c r="AE467" i="52"/>
  <c r="Z467" i="52"/>
  <c r="AB128" i="57"/>
  <c r="AB62" i="57"/>
  <c r="AG59" i="44"/>
  <c r="AE59" i="44"/>
  <c r="AO59" i="44"/>
  <c r="Z1480" i="51"/>
  <c r="AF1480" i="51"/>
  <c r="M819" i="55"/>
  <c r="J819" i="55"/>
  <c r="Z931" i="51"/>
  <c r="AF931" i="51"/>
  <c r="F21" i="62"/>
  <c r="AM27" i="42"/>
  <c r="I21" i="62"/>
  <c r="N1080" i="55"/>
  <c r="K1080" i="55"/>
  <c r="Z1557" i="51"/>
  <c r="K1557" i="55"/>
  <c r="N1557" i="55"/>
  <c r="AG64" i="44"/>
  <c r="AE64" i="44"/>
  <c r="AO64" i="44"/>
  <c r="M1344" i="55"/>
  <c r="J1344" i="55"/>
  <c r="AF1702" i="51"/>
  <c r="Z1702" i="51"/>
  <c r="N1108" i="55"/>
  <c r="K1108" i="55"/>
  <c r="AD83" i="52"/>
  <c r="Y83" i="52"/>
  <c r="N521" i="55"/>
  <c r="K521" i="55"/>
  <c r="N59" i="55"/>
  <c r="K59" i="55"/>
  <c r="M1023" i="55"/>
  <c r="J1023" i="55"/>
  <c r="AD199" i="52"/>
  <c r="Y199" i="52"/>
  <c r="AE432" i="52"/>
  <c r="Z432" i="52"/>
  <c r="N1200" i="55"/>
  <c r="K1200" i="55"/>
  <c r="M507" i="55"/>
  <c r="J507" i="55"/>
  <c r="AF345" i="51"/>
  <c r="AF1392" i="51"/>
  <c r="Z1392" i="51"/>
  <c r="M438" i="55"/>
  <c r="J438" i="55"/>
  <c r="Z2016" i="51"/>
  <c r="K2016" i="55"/>
  <c r="N2016" i="55"/>
  <c r="AL53" i="43"/>
  <c r="AJ53" i="43"/>
  <c r="N53" i="44"/>
  <c r="T53" i="44"/>
  <c r="AM53" i="44"/>
  <c r="AE768" i="52"/>
  <c r="Z768" i="52"/>
  <c r="N57" i="43"/>
  <c r="T57" i="43"/>
  <c r="AM57" i="43"/>
  <c r="N1082" i="55"/>
  <c r="K1082" i="55"/>
  <c r="AE1020" i="51"/>
  <c r="N192" i="55"/>
  <c r="K192" i="55"/>
  <c r="AF973" i="51"/>
  <c r="M294" i="55"/>
  <c r="J294" i="55"/>
  <c r="M807" i="55"/>
  <c r="J807" i="55"/>
  <c r="N1000" i="55"/>
  <c r="K1000" i="55"/>
  <c r="AE94" i="51"/>
  <c r="N1989" i="55"/>
  <c r="K1989" i="55"/>
  <c r="AE845" i="52"/>
  <c r="Z845" i="52"/>
  <c r="AF56" i="44"/>
  <c r="AP56" i="44"/>
  <c r="M259" i="55"/>
  <c r="J259" i="55"/>
  <c r="N1188" i="55"/>
  <c r="K1188" i="55"/>
  <c r="AE168" i="51"/>
  <c r="Y168" i="51"/>
  <c r="AF1570" i="51"/>
  <c r="Z1570" i="51"/>
  <c r="AE750" i="52"/>
  <c r="Z750" i="52"/>
  <c r="N1831" i="55"/>
  <c r="K1831" i="55"/>
  <c r="N1374" i="55"/>
  <c r="K1374" i="55"/>
  <c r="N1870" i="55"/>
  <c r="K1870" i="55"/>
  <c r="N2181" i="55"/>
  <c r="K2181" i="55"/>
  <c r="N1642" i="55"/>
  <c r="K1642" i="55"/>
  <c r="N1394" i="55"/>
  <c r="K1394" i="55"/>
  <c r="Z384" i="51"/>
  <c r="AF384" i="51"/>
  <c r="AE487" i="51"/>
  <c r="N555" i="55"/>
  <c r="K555" i="55"/>
  <c r="AE878" i="52"/>
  <c r="Z878" i="52"/>
  <c r="Y669" i="51"/>
  <c r="AE669" i="51"/>
  <c r="AE208" i="52"/>
  <c r="Z208" i="52"/>
  <c r="N23" i="55"/>
  <c r="K23" i="55"/>
  <c r="M485" i="55"/>
  <c r="J485" i="55"/>
  <c r="Z536" i="51"/>
  <c r="AF536" i="51"/>
  <c r="N935" i="55"/>
  <c r="K935" i="55"/>
  <c r="Y120" i="51"/>
  <c r="AE120" i="51"/>
  <c r="N412" i="55"/>
  <c r="K412" i="55"/>
  <c r="AF1294" i="51"/>
  <c r="Z1294" i="51"/>
  <c r="Z899" i="51"/>
  <c r="K899" i="55"/>
  <c r="N899" i="55"/>
  <c r="M653" i="55"/>
  <c r="J653" i="55"/>
  <c r="N1607" i="55"/>
  <c r="K1607" i="55"/>
  <c r="AF1781" i="51"/>
  <c r="Z1781" i="51"/>
  <c r="N872" i="55"/>
  <c r="K872" i="55"/>
  <c r="N1277" i="55"/>
  <c r="K1277" i="55"/>
  <c r="AE231" i="52"/>
  <c r="Z231" i="52"/>
  <c r="N2209" i="55"/>
  <c r="K2209" i="55"/>
  <c r="Y244" i="51"/>
  <c r="AE244" i="51"/>
  <c r="AF4" i="51"/>
  <c r="U18" i="62"/>
  <c r="AM49" i="42"/>
  <c r="R18" i="62"/>
  <c r="Y198" i="51"/>
  <c r="AE198" i="51"/>
  <c r="U10" i="62"/>
  <c r="AM40" i="42"/>
  <c r="R10" i="62"/>
  <c r="N140" i="55"/>
  <c r="K140" i="55"/>
  <c r="AJ7" i="52"/>
  <c r="AE417" i="52"/>
  <c r="Z417" i="52"/>
  <c r="AL18" i="43"/>
  <c r="AJ18" i="43"/>
  <c r="AE993" i="52"/>
  <c r="Z993" i="52"/>
  <c r="N1629" i="55"/>
  <c r="K1629" i="55"/>
  <c r="Z2162" i="51"/>
  <c r="K2162" i="55"/>
  <c r="N2162" i="55"/>
  <c r="AF92" i="57"/>
  <c r="AF26" i="57"/>
  <c r="AL7" i="44"/>
  <c r="AJ7" i="44"/>
  <c r="Z52" i="51"/>
  <c r="K52" i="55"/>
  <c r="N52" i="55"/>
  <c r="AF749" i="51"/>
  <c r="Y606" i="51"/>
  <c r="AE606" i="51"/>
  <c r="Y431" i="51"/>
  <c r="J431" i="55"/>
  <c r="M431" i="55"/>
  <c r="AF2177" i="51"/>
  <c r="Z2177" i="51"/>
  <c r="Z1444" i="51"/>
  <c r="AF1444" i="51"/>
  <c r="AF1921" i="51"/>
  <c r="AF2103" i="51"/>
  <c r="N1313" i="55"/>
  <c r="K1313" i="55"/>
  <c r="M723" i="55"/>
  <c r="J723" i="55"/>
  <c r="AF511" i="51"/>
  <c r="N915" i="55"/>
  <c r="K915" i="55"/>
  <c r="M1359" i="55"/>
  <c r="J1359" i="55"/>
  <c r="AE378" i="52"/>
  <c r="Z378" i="52"/>
  <c r="Y505" i="51"/>
  <c r="J505" i="55"/>
  <c r="M505" i="55"/>
  <c r="Y460" i="51"/>
  <c r="AE460" i="51"/>
  <c r="Y265" i="51"/>
  <c r="AE265" i="51"/>
  <c r="AE697" i="51"/>
  <c r="Z1544" i="51"/>
  <c r="AF1544" i="51"/>
  <c r="Z1923" i="51"/>
  <c r="AF1923" i="51"/>
  <c r="Z2170" i="51"/>
  <c r="K2170" i="55"/>
  <c r="N2170" i="55"/>
  <c r="N606" i="55"/>
  <c r="K606" i="55"/>
  <c r="Y1031" i="51"/>
  <c r="AE1031" i="51"/>
  <c r="AF2000" i="51"/>
  <c r="N2177" i="55"/>
  <c r="K2177" i="55"/>
  <c r="Z1481" i="51"/>
  <c r="AF1481" i="51"/>
  <c r="Y362" i="51"/>
  <c r="AE362" i="51"/>
  <c r="Z435" i="51"/>
  <c r="K435" i="55"/>
  <c r="N435" i="55"/>
  <c r="AG60" i="44"/>
  <c r="AE60" i="44"/>
  <c r="AO60" i="44"/>
  <c r="M1272" i="55"/>
  <c r="J1272" i="55"/>
  <c r="N636" i="55"/>
  <c r="K636" i="55"/>
  <c r="AE824" i="52"/>
  <c r="Z824" i="52"/>
  <c r="AE1139" i="51"/>
  <c r="AE47" i="51"/>
  <c r="AD70" i="52"/>
  <c r="Y70" i="52"/>
  <c r="AE951" i="52"/>
  <c r="Z951" i="52"/>
  <c r="AO14" i="43"/>
  <c r="AE14" i="43"/>
  <c r="AG14" i="43"/>
  <c r="Z859" i="51"/>
  <c r="AF859" i="51"/>
  <c r="AF988" i="51"/>
  <c r="AF1160" i="51"/>
  <c r="AF195" i="51"/>
  <c r="M738" i="55"/>
  <c r="J738" i="55"/>
  <c r="AF161" i="51"/>
  <c r="Z161" i="51"/>
  <c r="AE1021" i="51"/>
  <c r="AF2055" i="51"/>
  <c r="M429" i="55"/>
  <c r="J429" i="55"/>
  <c r="AE171" i="51"/>
  <c r="Y171" i="51"/>
  <c r="AF1643" i="51"/>
  <c r="Z1643" i="51"/>
  <c r="N571" i="55"/>
  <c r="K571" i="55"/>
  <c r="AD263" i="52"/>
  <c r="Y263" i="52"/>
  <c r="Z1451" i="51"/>
  <c r="K1451" i="55"/>
  <c r="N1451" i="55"/>
  <c r="Z98" i="51"/>
  <c r="K98" i="55"/>
  <c r="N98" i="55"/>
  <c r="AE816" i="52"/>
  <c r="Z816" i="52"/>
  <c r="Z587" i="51"/>
  <c r="K587" i="55"/>
  <c r="N587" i="55"/>
  <c r="AF374" i="51"/>
  <c r="Z37" i="51"/>
  <c r="AF37" i="51"/>
  <c r="AE672" i="51"/>
  <c r="Y712" i="51"/>
  <c r="AE712" i="51"/>
  <c r="AE264" i="52"/>
  <c r="Z264" i="52"/>
  <c r="N1985" i="55"/>
  <c r="K1985" i="55"/>
  <c r="AF1982" i="51"/>
  <c r="Z770" i="51"/>
  <c r="K770" i="55"/>
  <c r="N770" i="55"/>
  <c r="Y397" i="51"/>
  <c r="J397" i="55"/>
  <c r="M397" i="55"/>
  <c r="Y246" i="51"/>
  <c r="J246" i="55"/>
  <c r="M246" i="55"/>
  <c r="M740" i="55"/>
  <c r="J740" i="55"/>
  <c r="AE644" i="52"/>
  <c r="Z644" i="52"/>
  <c r="Z4" i="51"/>
  <c r="K4" i="55"/>
  <c r="N4" i="55"/>
  <c r="AE80" i="52"/>
  <c r="Z80" i="52"/>
  <c r="Z1095" i="51"/>
  <c r="K1095" i="55"/>
  <c r="N1095" i="55"/>
  <c r="Z342" i="51"/>
  <c r="K342" i="55"/>
  <c r="N342" i="55"/>
  <c r="AF1209" i="51"/>
  <c r="Z1209" i="51"/>
  <c r="Z2120" i="51"/>
  <c r="K2120" i="55"/>
  <c r="N2120" i="55"/>
  <c r="AF2185" i="51"/>
  <c r="Z2185" i="51"/>
  <c r="M164" i="55"/>
  <c r="J164" i="55"/>
  <c r="Z1433" i="51"/>
  <c r="K1433" i="55"/>
  <c r="N1433" i="55"/>
  <c r="Z928" i="51"/>
  <c r="K928" i="55"/>
  <c r="N928" i="55"/>
  <c r="Y319" i="51"/>
  <c r="J319" i="55"/>
  <c r="M319" i="55"/>
  <c r="AO49" i="43"/>
  <c r="AE49" i="43"/>
  <c r="AB49" i="57"/>
  <c r="AB115" i="57"/>
  <c r="M1262" i="55"/>
  <c r="J1262" i="55"/>
  <c r="Z541" i="51"/>
  <c r="K541" i="55"/>
  <c r="N541" i="55"/>
  <c r="AF102" i="51"/>
  <c r="Y805" i="51"/>
  <c r="AE805" i="51"/>
  <c r="AD209" i="52"/>
  <c r="Y209" i="52"/>
  <c r="Y1017" i="51"/>
  <c r="AE1017" i="51"/>
  <c r="Z586" i="51"/>
  <c r="K586" i="55"/>
  <c r="N586" i="55"/>
  <c r="N599" i="55"/>
  <c r="K599" i="55"/>
  <c r="N207" i="55"/>
  <c r="K207" i="55"/>
  <c r="AE1351" i="51"/>
  <c r="Y1351" i="51"/>
  <c r="AE579" i="51"/>
  <c r="Z1065" i="51"/>
  <c r="AF1065" i="51"/>
  <c r="Z1083" i="51"/>
  <c r="AF1083" i="51"/>
  <c r="AF964" i="51"/>
  <c r="AF100" i="51"/>
  <c r="N78" i="55"/>
  <c r="K78" i="55"/>
  <c r="Z1970" i="51"/>
  <c r="AF1970" i="51"/>
  <c r="AE610" i="52"/>
  <c r="Z610" i="52"/>
  <c r="Z1735" i="51"/>
  <c r="K1735" i="55"/>
  <c r="N1735" i="55"/>
  <c r="AD194" i="52"/>
  <c r="Y194" i="52"/>
  <c r="AF1537" i="51"/>
  <c r="AE1011" i="51"/>
  <c r="Z38" i="51"/>
  <c r="K38" i="55"/>
  <c r="N38" i="55"/>
  <c r="Z520" i="51"/>
  <c r="K520" i="55"/>
  <c r="N520" i="55"/>
  <c r="Z199" i="51"/>
  <c r="K199" i="55"/>
  <c r="N199" i="55"/>
  <c r="Z601" i="51"/>
  <c r="K601" i="55"/>
  <c r="N601" i="55"/>
  <c r="N1649" i="55"/>
  <c r="K1649" i="55"/>
  <c r="AF1424" i="51"/>
  <c r="Z1424" i="51"/>
  <c r="Y248" i="51"/>
  <c r="J248" i="55"/>
  <c r="M248" i="55"/>
  <c r="Z880" i="51"/>
  <c r="AF880" i="51"/>
  <c r="AF2088" i="51"/>
  <c r="AE490" i="51"/>
  <c r="Y607" i="51"/>
  <c r="J607" i="55"/>
  <c r="M607" i="55"/>
  <c r="M157" i="55"/>
  <c r="J157" i="55"/>
  <c r="Y952" i="51"/>
  <c r="J952" i="55"/>
  <c r="M952" i="55"/>
  <c r="Y311" i="51"/>
  <c r="J311" i="55"/>
  <c r="M311" i="55"/>
  <c r="N591" i="55"/>
  <c r="K591" i="55"/>
  <c r="N1635" i="55"/>
  <c r="K1635" i="55"/>
  <c r="AE178" i="51"/>
  <c r="Y178" i="51"/>
  <c r="AF1541" i="51"/>
  <c r="AE332" i="51"/>
  <c r="AE667" i="51"/>
  <c r="M1025" i="55"/>
  <c r="J1025" i="55"/>
  <c r="N182" i="55"/>
  <c r="K182" i="55"/>
  <c r="AF959" i="51"/>
  <c r="AF1753" i="51"/>
  <c r="AM39" i="43"/>
  <c r="T39" i="43"/>
  <c r="N39" i="43"/>
  <c r="N85" i="57"/>
  <c r="N19" i="57"/>
  <c r="AK45" i="44"/>
  <c r="AK45" i="43"/>
  <c r="AE620" i="51"/>
  <c r="AE953" i="51"/>
  <c r="N1698" i="55"/>
  <c r="K1698" i="55"/>
  <c r="AG9" i="55"/>
  <c r="K1430" i="55"/>
  <c r="S9" i="55"/>
  <c r="Y9" i="55"/>
  <c r="Z941" i="51"/>
  <c r="AF941" i="51"/>
  <c r="Z72" i="51"/>
  <c r="AF72" i="51"/>
  <c r="AF124" i="57"/>
  <c r="AF58" i="57"/>
  <c r="N81" i="57"/>
  <c r="N15" i="57"/>
  <c r="AE123" i="51"/>
  <c r="AD339" i="52"/>
  <c r="Y339" i="52"/>
  <c r="Z1935" i="51"/>
  <c r="AF1935" i="51"/>
  <c r="Z1439" i="51"/>
  <c r="AF1439" i="51"/>
  <c r="M624" i="55"/>
  <c r="J624" i="55"/>
  <c r="AD10" i="52"/>
  <c r="Y10" i="52"/>
  <c r="X11" i="59"/>
  <c r="D11" i="59"/>
  <c r="Y517" i="51"/>
  <c r="AE517" i="51"/>
  <c r="AE659" i="51"/>
  <c r="Z192" i="51"/>
  <c r="AF192" i="51"/>
  <c r="AJ7" i="55"/>
  <c r="V7" i="55"/>
  <c r="N341" i="55"/>
  <c r="N135" i="55"/>
  <c r="K135" i="55"/>
  <c r="Y282" i="51"/>
  <c r="J282" i="55"/>
  <c r="M282" i="55"/>
  <c r="M119" i="55"/>
  <c r="J119" i="55"/>
  <c r="AE448" i="52"/>
  <c r="Z448" i="52"/>
  <c r="N1957" i="55"/>
  <c r="K1957" i="55"/>
  <c r="AE828" i="52"/>
  <c r="Z828" i="52"/>
  <c r="AL67" i="43"/>
  <c r="AE972" i="52"/>
  <c r="Z972" i="52"/>
  <c r="AE829" i="52"/>
  <c r="Z829" i="52"/>
  <c r="Z418" i="51"/>
  <c r="AF418" i="51"/>
  <c r="AE529" i="51"/>
  <c r="M434" i="55"/>
  <c r="J434" i="55"/>
  <c r="Y438" i="51"/>
  <c r="AE438" i="51"/>
  <c r="AL6" i="51"/>
  <c r="AK6" i="51"/>
  <c r="AF1589" i="51"/>
  <c r="Z1589" i="51"/>
  <c r="AF1991" i="51"/>
  <c r="Z988" i="51"/>
  <c r="K988" i="55"/>
  <c r="N988" i="55"/>
  <c r="AE610" i="51"/>
  <c r="AF1418" i="51"/>
  <c r="Z1418" i="51"/>
  <c r="AF1848" i="51"/>
  <c r="Z1848" i="51"/>
  <c r="AF595" i="51"/>
  <c r="U19" i="62"/>
  <c r="AM50" i="42"/>
  <c r="R19" i="62"/>
  <c r="Z2055" i="51"/>
  <c r="K2055" i="55"/>
  <c r="N2055" i="55"/>
  <c r="Z1431" i="51"/>
  <c r="AF1431" i="51"/>
  <c r="M718" i="55"/>
  <c r="J718" i="55"/>
  <c r="N149" i="55"/>
  <c r="K149" i="55"/>
  <c r="M398" i="55"/>
  <c r="J398" i="55"/>
  <c r="M303" i="55"/>
  <c r="J303" i="55"/>
  <c r="N1953" i="55"/>
  <c r="K1953" i="55"/>
  <c r="Z1930" i="51"/>
  <c r="AF1930" i="51"/>
  <c r="Z1116" i="51"/>
  <c r="AF1116" i="51"/>
  <c r="N1669" i="55"/>
  <c r="K1669" i="55"/>
  <c r="Z1080" i="51"/>
  <c r="AF1080" i="51"/>
  <c r="AF933" i="51"/>
  <c r="AF594" i="51"/>
  <c r="M883" i="55"/>
  <c r="J883" i="55"/>
  <c r="X13" i="59"/>
  <c r="X7" i="59"/>
  <c r="M797" i="55"/>
  <c r="J797" i="55"/>
  <c r="AE209" i="52"/>
  <c r="Z209" i="52"/>
  <c r="M384" i="55"/>
  <c r="J384" i="55"/>
  <c r="AE622" i="52"/>
  <c r="Z622" i="52"/>
  <c r="AD47" i="52"/>
  <c r="Y47" i="52"/>
  <c r="N107" i="55"/>
  <c r="K107" i="55"/>
  <c r="AD592" i="52"/>
  <c r="Y592" i="52"/>
  <c r="AF968" i="51"/>
  <c r="AF1390" i="51"/>
  <c r="Z1390" i="51"/>
  <c r="M308" i="55"/>
  <c r="J308" i="55"/>
  <c r="N1609" i="55"/>
  <c r="K1609" i="55"/>
  <c r="AE52" i="52"/>
  <c r="Z52" i="52"/>
  <c r="AE1042" i="51"/>
  <c r="Y529" i="51"/>
  <c r="J529" i="55"/>
  <c r="M529" i="55"/>
  <c r="AF2046" i="51"/>
  <c r="AD286" i="52"/>
  <c r="Y286" i="52"/>
  <c r="AF1462" i="51"/>
  <c r="AF513" i="51"/>
  <c r="M48" i="55"/>
  <c r="J48" i="55"/>
  <c r="N981" i="55"/>
  <c r="K981" i="55"/>
  <c r="AF413" i="51"/>
  <c r="AE36" i="52"/>
  <c r="Z36" i="52"/>
  <c r="AF2104" i="51"/>
  <c r="Y1020" i="51"/>
  <c r="J1020" i="55"/>
  <c r="M1020" i="55"/>
  <c r="AE598" i="51"/>
  <c r="Z973" i="51"/>
  <c r="K973" i="55"/>
  <c r="N973" i="55"/>
  <c r="M580" i="55"/>
  <c r="J580" i="55"/>
  <c r="Y123" i="51"/>
  <c r="J123" i="55"/>
  <c r="M123" i="55"/>
  <c r="Y94" i="51"/>
  <c r="J94" i="55"/>
  <c r="M94" i="55"/>
  <c r="AF1432" i="51"/>
  <c r="AE706" i="52"/>
  <c r="Z706" i="52"/>
  <c r="N214" i="55"/>
  <c r="K214" i="55"/>
  <c r="AE11" i="51"/>
  <c r="AD331" i="52"/>
  <c r="Y331" i="52"/>
  <c r="AE540" i="52"/>
  <c r="Z540" i="52"/>
  <c r="N193" i="55"/>
  <c r="K193" i="55"/>
  <c r="AF80" i="57"/>
  <c r="AF14" i="57"/>
  <c r="N1601" i="55"/>
  <c r="K1601" i="55"/>
  <c r="N1661" i="55"/>
  <c r="K1661" i="55"/>
  <c r="Z494" i="51"/>
  <c r="K494" i="55"/>
  <c r="N494" i="55"/>
  <c r="Y66" i="51"/>
  <c r="J66" i="55"/>
  <c r="M66" i="55"/>
  <c r="Y206" i="51"/>
  <c r="J206" i="55"/>
  <c r="M206" i="55"/>
  <c r="Z1549" i="51"/>
  <c r="K1549" i="55"/>
  <c r="N1549" i="55"/>
  <c r="Y615" i="51"/>
  <c r="J615" i="55"/>
  <c r="M615" i="55"/>
  <c r="AD488" i="52"/>
  <c r="Y488" i="52"/>
  <c r="Z414" i="51"/>
  <c r="K414" i="55"/>
  <c r="N414" i="55"/>
  <c r="Y816" i="51"/>
  <c r="J816" i="55"/>
  <c r="M816" i="55"/>
  <c r="Z124" i="51"/>
  <c r="K124" i="55"/>
  <c r="N124" i="55"/>
  <c r="Y447" i="51"/>
  <c r="AE447" i="51"/>
  <c r="Y367" i="51"/>
  <c r="AE367" i="51"/>
  <c r="Z879" i="51"/>
  <c r="K879" i="55"/>
  <c r="N879" i="55"/>
  <c r="Z203" i="51"/>
  <c r="K203" i="55"/>
  <c r="N203" i="55"/>
  <c r="N1836" i="55"/>
  <c r="K1836" i="55"/>
  <c r="Z481" i="51"/>
  <c r="AF481" i="51"/>
  <c r="N1895" i="55"/>
  <c r="K1895" i="55"/>
  <c r="Y10" i="51"/>
  <c r="J10" i="55"/>
  <c r="M10" i="55"/>
  <c r="Y314" i="51"/>
  <c r="J314" i="55"/>
  <c r="M314" i="55"/>
  <c r="AF1679" i="51"/>
  <c r="Z1679" i="51"/>
  <c r="AD210" i="52"/>
  <c r="Y210" i="52"/>
  <c r="Y743" i="51"/>
  <c r="J743" i="55"/>
  <c r="M743" i="55"/>
  <c r="Y83" i="51"/>
  <c r="J83" i="55"/>
  <c r="M83" i="55"/>
  <c r="N1424" i="55"/>
  <c r="K1424" i="55"/>
  <c r="Z572" i="51"/>
  <c r="AF572" i="51"/>
  <c r="Y539" i="51"/>
  <c r="AE539" i="51"/>
  <c r="AE532" i="51"/>
  <c r="N98" i="57"/>
  <c r="N32" i="57"/>
  <c r="Y823" i="51"/>
  <c r="AE823" i="51"/>
  <c r="Y676" i="51"/>
  <c r="AE676" i="51"/>
  <c r="Z1928" i="51"/>
  <c r="AF1928" i="51"/>
  <c r="Z78" i="51"/>
  <c r="AF78" i="51"/>
  <c r="Z425" i="51"/>
  <c r="K425" i="55"/>
  <c r="N425" i="55"/>
  <c r="Z511" i="51"/>
  <c r="K511" i="55"/>
  <c r="N511" i="55"/>
  <c r="Y276" i="51"/>
  <c r="J276" i="55"/>
  <c r="M276" i="55"/>
  <c r="AE1011" i="52"/>
  <c r="Z1011" i="52"/>
  <c r="Y714" i="51"/>
  <c r="AE714" i="51"/>
  <c r="Y487" i="51"/>
  <c r="J487" i="55"/>
  <c r="M487" i="55"/>
  <c r="AF1828" i="51"/>
  <c r="Z1828" i="51"/>
  <c r="Y740" i="51"/>
  <c r="AE740" i="51"/>
  <c r="AF1617" i="51"/>
  <c r="Z1617" i="51"/>
  <c r="Y581" i="51"/>
  <c r="J581" i="55"/>
  <c r="M581" i="55"/>
  <c r="Z23" i="51"/>
  <c r="AF23" i="51"/>
  <c r="Y228" i="51"/>
  <c r="AE228" i="51"/>
  <c r="M1045" i="55"/>
  <c r="J1045" i="55"/>
  <c r="AE1333" i="51"/>
  <c r="Y1333" i="51"/>
  <c r="Y485" i="51"/>
  <c r="AE485" i="51"/>
  <c r="Y697" i="51"/>
  <c r="J697" i="55"/>
  <c r="M697" i="55"/>
  <c r="Z412" i="51"/>
  <c r="AF412" i="51"/>
  <c r="Z1985" i="51"/>
  <c r="AF1985" i="51"/>
  <c r="U23" i="62"/>
  <c r="AM53" i="42"/>
  <c r="R23" i="62"/>
  <c r="Z2094" i="51"/>
  <c r="AF2094" i="51"/>
  <c r="Z1556" i="51"/>
  <c r="K1556" i="55"/>
  <c r="N1556" i="55"/>
  <c r="Z55" i="51"/>
  <c r="AF55" i="51"/>
  <c r="Y653" i="51"/>
  <c r="AE653" i="51"/>
  <c r="Y541" i="51"/>
  <c r="J541" i="55"/>
  <c r="M541" i="55"/>
  <c r="Z872" i="51"/>
  <c r="AF872" i="51"/>
  <c r="Y672" i="51"/>
  <c r="J672" i="55"/>
  <c r="M672" i="55"/>
  <c r="N768" i="55"/>
  <c r="K768" i="55"/>
  <c r="Y696" i="51"/>
  <c r="J696" i="55"/>
  <c r="M696" i="55"/>
  <c r="AD192" i="52"/>
  <c r="Y192" i="52"/>
  <c r="AE933" i="52"/>
  <c r="Z933" i="52"/>
  <c r="AF780" i="51"/>
  <c r="AF169" i="51"/>
  <c r="Z169" i="51"/>
  <c r="Z2168" i="51"/>
  <c r="AF2168" i="51"/>
  <c r="Z2013" i="51"/>
  <c r="AF2013" i="51"/>
  <c r="AU4" i="51"/>
  <c r="AU9" i="51"/>
  <c r="AU10" i="51"/>
  <c r="AV10" i="51"/>
  <c r="Y375" i="51"/>
  <c r="AE375" i="51"/>
  <c r="AF67" i="44"/>
  <c r="Z749" i="51"/>
  <c r="K749" i="55"/>
  <c r="N749" i="55"/>
  <c r="N1604" i="55"/>
  <c r="K1604" i="55"/>
  <c r="AE158" i="51"/>
  <c r="Y158" i="51"/>
  <c r="Z371" i="51"/>
  <c r="AF371" i="51"/>
  <c r="AF1804" i="51"/>
  <c r="Z1804" i="51"/>
  <c r="N2176" i="55"/>
  <c r="K2176" i="55"/>
  <c r="N1379" i="55"/>
  <c r="K1379" i="55"/>
  <c r="Z774" i="51"/>
  <c r="AF774" i="51"/>
  <c r="AF1185" i="51"/>
  <c r="Z1185" i="51"/>
  <c r="Z1921" i="51"/>
  <c r="K1921" i="55"/>
  <c r="N1921" i="55"/>
  <c r="N1281" i="55"/>
  <c r="K1281" i="55"/>
  <c r="AE960" i="52"/>
  <c r="Z960" i="52"/>
  <c r="Z2103" i="51"/>
  <c r="K2103" i="55"/>
  <c r="N2103" i="55"/>
  <c r="N556" i="55"/>
  <c r="K556" i="55"/>
  <c r="AE459" i="52"/>
  <c r="Z459" i="52"/>
  <c r="AD325" i="52"/>
  <c r="Y325" i="52"/>
  <c r="Y62" i="51"/>
  <c r="AE62" i="51"/>
  <c r="AF1645" i="51"/>
  <c r="Z1645" i="51"/>
  <c r="N1675" i="55"/>
  <c r="K1675" i="55"/>
  <c r="Z915" i="51"/>
  <c r="AF915" i="51"/>
  <c r="Z529" i="51"/>
  <c r="K529" i="55"/>
  <c r="N529" i="55"/>
  <c r="AE565" i="51"/>
  <c r="Y565" i="51"/>
  <c r="Z29" i="51"/>
  <c r="AF29" i="51"/>
  <c r="Y1045" i="51"/>
  <c r="AE1045" i="51"/>
  <c r="Z2067" i="51"/>
  <c r="AF2067" i="51"/>
  <c r="Z935" i="51"/>
  <c r="AF935" i="51"/>
  <c r="Z489" i="51"/>
  <c r="AF489" i="51"/>
  <c r="Z606" i="51"/>
  <c r="AF606" i="51"/>
  <c r="Z1965" i="51"/>
  <c r="AF1965" i="51"/>
  <c r="Z2000" i="51"/>
  <c r="K2000" i="55"/>
  <c r="N2000" i="55"/>
  <c r="Y738" i="51"/>
  <c r="AE738" i="51"/>
  <c r="Z1947" i="51"/>
  <c r="AF1947" i="51"/>
  <c r="Z2209" i="51"/>
  <c r="AF2209" i="51"/>
  <c r="N1692" i="55"/>
  <c r="K1692" i="55"/>
  <c r="N1670" i="55"/>
  <c r="K1670" i="55"/>
  <c r="Z768" i="51"/>
  <c r="AF768" i="51"/>
  <c r="Z1725" i="51"/>
  <c r="AF1725" i="51"/>
  <c r="Z780" i="51"/>
  <c r="K780" i="55"/>
  <c r="N780" i="55"/>
  <c r="N1067" i="55"/>
  <c r="K1067" i="55"/>
  <c r="Y579" i="51"/>
  <c r="J579" i="55"/>
  <c r="M579" i="55"/>
  <c r="Z636" i="51"/>
  <c r="AF636" i="51"/>
  <c r="Y477" i="51"/>
  <c r="AE477" i="51"/>
  <c r="AF1197" i="51"/>
  <c r="Z1197" i="51"/>
  <c r="Y1139" i="51"/>
  <c r="J1139" i="55"/>
  <c r="M1139" i="55"/>
  <c r="Y47" i="51"/>
  <c r="J47" i="55"/>
  <c r="M47" i="55"/>
  <c r="AF556" i="51"/>
  <c r="Z556" i="51"/>
  <c r="Y406" i="51"/>
  <c r="AE406" i="51"/>
  <c r="AD297" i="52"/>
  <c r="Y297" i="52"/>
  <c r="Z1111" i="51"/>
  <c r="K1111" i="55"/>
  <c r="N1111" i="55"/>
  <c r="N1881" i="55"/>
  <c r="K1881" i="55"/>
  <c r="Z616" i="51"/>
  <c r="AF616" i="51"/>
  <c r="Z1147" i="51"/>
  <c r="K1147" i="55"/>
  <c r="N1147" i="55"/>
  <c r="AE222" i="51"/>
  <c r="Z1160" i="51"/>
  <c r="K1160" i="55"/>
  <c r="N1160" i="55"/>
  <c r="Z195" i="51"/>
  <c r="K195" i="55"/>
  <c r="N195" i="55"/>
  <c r="Z18" i="51"/>
  <c r="AF18" i="51"/>
  <c r="Y48" i="51"/>
  <c r="AE48" i="51"/>
  <c r="Y1021" i="51"/>
  <c r="J1021" i="55"/>
  <c r="M1021" i="55"/>
  <c r="AE924" i="52"/>
  <c r="Z924" i="52"/>
  <c r="Z1067" i="51"/>
  <c r="AF1067" i="51"/>
  <c r="Z343" i="51"/>
  <c r="AF343" i="51"/>
  <c r="M737" i="55"/>
  <c r="J737" i="55"/>
  <c r="Y429" i="51"/>
  <c r="AE429" i="51"/>
  <c r="Z1497" i="51"/>
  <c r="AF1497" i="51"/>
  <c r="Y369" i="51"/>
  <c r="AE369" i="51"/>
  <c r="Z868" i="51"/>
  <c r="AF868" i="51"/>
  <c r="Z596" i="51"/>
  <c r="AF596" i="51"/>
  <c r="Y461" i="51"/>
  <c r="AE461" i="51"/>
  <c r="Z591" i="51"/>
  <c r="AF591" i="51"/>
  <c r="Z2156" i="51"/>
  <c r="K2156" i="55"/>
  <c r="N2156" i="55"/>
  <c r="AE137" i="51"/>
  <c r="Y137" i="51"/>
  <c r="Z374" i="51"/>
  <c r="K374" i="55"/>
  <c r="N374" i="55"/>
  <c r="N1321" i="55"/>
  <c r="K1321" i="55"/>
  <c r="N1893" i="55"/>
  <c r="K1893" i="55"/>
  <c r="AL38" i="44"/>
  <c r="AJ38" i="44"/>
  <c r="Y243" i="51"/>
  <c r="AE243" i="51"/>
  <c r="Z914" i="51"/>
  <c r="AF914" i="51"/>
  <c r="AO58" i="43"/>
  <c r="AE58" i="43"/>
  <c r="AG58" i="43"/>
  <c r="Z1729" i="51"/>
  <c r="AF1729" i="51"/>
  <c r="AF1472" i="51"/>
  <c r="Y799" i="51"/>
  <c r="AE799" i="51"/>
  <c r="N127" i="57"/>
  <c r="N61" i="57"/>
  <c r="Y737" i="51"/>
  <c r="AE737" i="51"/>
  <c r="Z909" i="51"/>
  <c r="AF909" i="51"/>
  <c r="Y353" i="51"/>
  <c r="AE353" i="51"/>
  <c r="Z113" i="51"/>
  <c r="AF113" i="51"/>
  <c r="Z452" i="51"/>
  <c r="AF452" i="51"/>
  <c r="Y670" i="51"/>
  <c r="AE670" i="51"/>
  <c r="Z102" i="51"/>
  <c r="K102" i="55"/>
  <c r="N102" i="55"/>
  <c r="N138" i="55"/>
  <c r="K138" i="55"/>
  <c r="AF116" i="57"/>
  <c r="AF50" i="57"/>
  <c r="AE876" i="52"/>
  <c r="Z876" i="52"/>
  <c r="Z2054" i="51"/>
  <c r="AF2054" i="51"/>
  <c r="AL8" i="43"/>
  <c r="AJ8" i="43"/>
  <c r="AE1417" i="51"/>
  <c r="Y1417" i="51"/>
  <c r="N1280" i="55"/>
  <c r="K1280" i="55"/>
  <c r="Z207" i="51"/>
  <c r="AF207" i="51"/>
  <c r="N62" i="44"/>
  <c r="T62" i="44"/>
  <c r="AM62" i="44"/>
  <c r="Y490" i="51"/>
  <c r="J490" i="55"/>
  <c r="M490" i="55"/>
  <c r="M548" i="55"/>
  <c r="J548" i="55"/>
  <c r="AD94" i="52"/>
  <c r="Y94" i="52"/>
  <c r="AF1602" i="51"/>
  <c r="Z1602" i="51"/>
  <c r="AE20" i="52"/>
  <c r="Z20" i="52"/>
  <c r="N1639" i="55"/>
  <c r="K1639" i="55"/>
  <c r="N1571" i="55"/>
  <c r="K1571" i="55"/>
  <c r="Z964" i="51"/>
  <c r="K964" i="55"/>
  <c r="N964" i="55"/>
  <c r="Z100" i="51"/>
  <c r="K100" i="55"/>
  <c r="N100" i="55"/>
  <c r="N160" i="55"/>
  <c r="K160" i="55"/>
  <c r="AF145" i="51"/>
  <c r="Z145" i="51"/>
  <c r="Z47" i="51"/>
  <c r="AF47" i="51"/>
  <c r="Y723" i="51"/>
  <c r="AE723" i="51"/>
  <c r="Z1537" i="51"/>
  <c r="K1537" i="55"/>
  <c r="N1537" i="55"/>
  <c r="N1854" i="55"/>
  <c r="K1854" i="55"/>
  <c r="Y1011" i="51"/>
  <c r="J1011" i="55"/>
  <c r="M1011" i="55"/>
  <c r="AF1778" i="51"/>
  <c r="Z1778" i="51"/>
  <c r="AF1211" i="51"/>
  <c r="Z1211" i="51"/>
  <c r="AK16" i="43"/>
  <c r="AK16" i="41"/>
  <c r="AK16" i="42"/>
  <c r="AK16" i="44"/>
  <c r="Z1084" i="51"/>
  <c r="AF1084" i="51"/>
  <c r="Z599" i="51"/>
  <c r="AF599" i="51"/>
  <c r="Z2144" i="51"/>
  <c r="AF2144" i="51"/>
  <c r="Y580" i="51"/>
  <c r="AE580" i="51"/>
  <c r="Z755" i="51"/>
  <c r="AF755" i="51"/>
  <c r="Y280" i="51"/>
  <c r="AE280" i="51"/>
  <c r="Z2088" i="51"/>
  <c r="K2088" i="55"/>
  <c r="N2088" i="55"/>
  <c r="Z133" i="51"/>
  <c r="AF133" i="51"/>
  <c r="Z2130" i="51"/>
  <c r="AF2130" i="51"/>
  <c r="Y348" i="51"/>
  <c r="AE348" i="51"/>
  <c r="Z769" i="51"/>
  <c r="AF769" i="51"/>
  <c r="N108" i="57"/>
  <c r="N42" i="57"/>
  <c r="Z1541" i="51"/>
  <c r="K1541" i="55"/>
  <c r="N1541" i="55"/>
  <c r="AD315" i="52"/>
  <c r="Y315" i="52"/>
  <c r="Y332" i="51"/>
  <c r="J332" i="55"/>
  <c r="M332" i="55"/>
  <c r="AE627" i="52"/>
  <c r="Z627" i="52"/>
  <c r="AL6" i="43"/>
  <c r="AJ6" i="43"/>
  <c r="N1204" i="55"/>
  <c r="K1204" i="55"/>
  <c r="Y667" i="51"/>
  <c r="J667" i="55"/>
  <c r="M667" i="55"/>
  <c r="Y1025" i="51"/>
  <c r="AE1025" i="51"/>
  <c r="Z1455" i="51"/>
  <c r="K1455" i="55"/>
  <c r="N1455" i="55"/>
  <c r="Z959" i="51"/>
  <c r="K959" i="55"/>
  <c r="N959" i="55"/>
  <c r="Z1753" i="51"/>
  <c r="K1753" i="55"/>
  <c r="N1753" i="55"/>
  <c r="N1771" i="55"/>
  <c r="K1771" i="55"/>
  <c r="N2183" i="55"/>
  <c r="K2183" i="55"/>
  <c r="N1681" i="55"/>
  <c r="K1681" i="55"/>
  <c r="AD4" i="52"/>
  <c r="Y4" i="52"/>
  <c r="AE787" i="52"/>
  <c r="Z787" i="52"/>
  <c r="N1667" i="55"/>
  <c r="K1667" i="55"/>
  <c r="Y620" i="51"/>
  <c r="J620" i="55"/>
  <c r="M620" i="55"/>
  <c r="Y953" i="51"/>
  <c r="J953" i="55"/>
  <c r="M953" i="55"/>
  <c r="Z1472" i="51"/>
  <c r="K1472" i="55"/>
  <c r="N1472" i="55"/>
  <c r="F15" i="62"/>
  <c r="F16" i="62"/>
  <c r="I16" i="62"/>
  <c r="AM16" i="42"/>
  <c r="I15" i="62"/>
  <c r="AF404" i="51"/>
  <c r="U20" i="62"/>
  <c r="U25" i="62"/>
  <c r="R20" i="62"/>
  <c r="R15" i="62"/>
  <c r="U15" i="62"/>
  <c r="AM56" i="42"/>
  <c r="R25" i="62"/>
  <c r="AK34" i="43"/>
  <c r="AK34" i="44"/>
  <c r="N5" i="43"/>
  <c r="T5" i="43"/>
  <c r="AM5" i="43"/>
  <c r="T67" i="43"/>
  <c r="N121" i="55"/>
  <c r="K121" i="55"/>
  <c r="AE183" i="51"/>
  <c r="Y183" i="51"/>
  <c r="AF1523" i="51"/>
  <c r="M884" i="55"/>
  <c r="J884" i="55"/>
  <c r="N1585" i="55"/>
  <c r="K1585" i="55"/>
  <c r="N1999" i="55"/>
  <c r="K1999" i="55"/>
  <c r="AD148" i="52"/>
  <c r="Y148" i="52"/>
  <c r="AF551" i="51"/>
  <c r="Z551" i="51"/>
  <c r="N1672" i="55"/>
  <c r="K1672" i="55"/>
  <c r="AE1263" i="51"/>
  <c r="Y1263" i="51"/>
  <c r="Y624" i="51"/>
  <c r="AE624" i="51"/>
  <c r="AF2169" i="51"/>
  <c r="T35" i="62"/>
  <c r="AM30" i="42"/>
  <c r="Q35" i="62"/>
  <c r="Z32" i="51"/>
  <c r="AF32" i="51"/>
  <c r="Y659" i="51"/>
  <c r="J659" i="55"/>
  <c r="M659" i="55"/>
  <c r="AF1281" i="51"/>
  <c r="Z1281" i="51"/>
  <c r="Y119" i="51"/>
  <c r="AE119" i="51"/>
  <c r="M501" i="55"/>
  <c r="J501" i="55"/>
  <c r="AD512" i="52"/>
  <c r="Y512" i="52"/>
  <c r="Y507" i="51"/>
  <c r="AE507" i="51"/>
  <c r="Z59" i="51"/>
  <c r="AF59" i="51"/>
  <c r="AE870" i="52"/>
  <c r="Z870" i="52"/>
  <c r="Z968" i="51"/>
  <c r="K968" i="55"/>
  <c r="N968" i="55"/>
  <c r="N1573" i="55"/>
  <c r="K1573" i="55"/>
  <c r="Z1957" i="51"/>
  <c r="AF1957" i="51"/>
  <c r="Y11" i="51"/>
  <c r="J11" i="55"/>
  <c r="M11" i="55"/>
  <c r="Z345" i="51"/>
  <c r="K345" i="55"/>
  <c r="N345" i="55"/>
  <c r="AE968" i="52"/>
  <c r="Z968" i="52"/>
  <c r="N1841" i="55"/>
  <c r="K1841" i="55"/>
  <c r="R14" i="59"/>
  <c r="R9" i="59"/>
  <c r="R15" i="59"/>
  <c r="N87" i="57"/>
  <c r="N21" i="57"/>
  <c r="M202" i="55"/>
  <c r="J202" i="55"/>
  <c r="U8" i="62"/>
  <c r="AM39" i="42"/>
  <c r="R8" i="62"/>
  <c r="Z1991" i="51"/>
  <c r="K1991" i="55"/>
  <c r="N1991" i="55"/>
  <c r="AF1372" i="51"/>
  <c r="Z1372" i="51"/>
  <c r="Y202" i="51"/>
  <c r="AE202" i="51"/>
  <c r="Y610" i="51"/>
  <c r="J610" i="55"/>
  <c r="M610" i="55"/>
  <c r="Y394" i="51"/>
  <c r="AE394" i="51"/>
  <c r="Y645" i="51"/>
  <c r="AE645" i="51"/>
  <c r="Z595" i="51"/>
  <c r="K595" i="55"/>
  <c r="N595" i="55"/>
  <c r="X14" i="59"/>
  <c r="D9" i="59"/>
  <c r="X9" i="59"/>
  <c r="X15" i="59"/>
  <c r="N1177" i="55"/>
  <c r="K1177" i="55"/>
  <c r="Z933" i="51"/>
  <c r="K933" i="55"/>
  <c r="N933" i="55"/>
  <c r="AO45" i="44"/>
  <c r="AE45" i="44"/>
  <c r="AG45" i="44"/>
  <c r="Z121" i="51"/>
  <c r="AF121" i="51"/>
  <c r="Y884" i="51"/>
  <c r="AE884" i="51"/>
  <c r="Z1999" i="51"/>
  <c r="AF1999" i="51"/>
  <c r="M716" i="55"/>
  <c r="J716" i="55"/>
  <c r="AF1601" i="51"/>
  <c r="Z1601" i="51"/>
  <c r="Z2097" i="51"/>
  <c r="AF2097" i="51"/>
  <c r="Y329" i="51"/>
  <c r="AE329" i="51"/>
  <c r="Z56" i="51"/>
  <c r="AF56" i="51"/>
  <c r="AE281" i="51"/>
  <c r="Z594" i="51"/>
  <c r="K594" i="55"/>
  <c r="N594" i="55"/>
  <c r="N1695" i="55"/>
  <c r="K1695" i="55"/>
  <c r="Y883" i="51"/>
  <c r="AE883" i="51"/>
  <c r="Z135" i="51"/>
  <c r="AF135" i="51"/>
  <c r="Z394" i="51"/>
  <c r="AF394" i="51"/>
  <c r="N5" i="57"/>
  <c r="N71" i="57"/>
  <c r="D7" i="59"/>
  <c r="D13" i="59"/>
  <c r="Y797" i="51"/>
  <c r="AE797" i="51"/>
  <c r="N377" i="55"/>
  <c r="K377" i="55"/>
  <c r="Y501" i="51"/>
  <c r="AE501" i="51"/>
  <c r="N1949" i="55"/>
  <c r="K1949" i="55"/>
  <c r="AE470" i="52"/>
  <c r="Z470" i="52"/>
  <c r="N1751" i="55"/>
  <c r="K1751" i="55"/>
  <c r="AD397" i="52"/>
  <c r="Y397" i="52"/>
  <c r="Z1471" i="51"/>
  <c r="AF1471" i="51"/>
  <c r="Z360" i="51"/>
  <c r="AF360" i="51"/>
  <c r="N1806" i="55"/>
  <c r="K1806" i="55"/>
  <c r="Y1042" i="51"/>
  <c r="J1042" i="55"/>
  <c r="M1042" i="55"/>
  <c r="Z92" i="51"/>
  <c r="AF92" i="51"/>
  <c r="Y434" i="51"/>
  <c r="AE434" i="51"/>
  <c r="Z2046" i="51"/>
  <c r="K2046" i="55"/>
  <c r="N2046" i="55"/>
  <c r="Z404" i="51"/>
  <c r="K404" i="55"/>
  <c r="N404" i="55"/>
  <c r="AE965" i="52"/>
  <c r="Z965" i="52"/>
  <c r="Y801" i="51"/>
  <c r="AE801" i="51"/>
  <c r="Z1462" i="51"/>
  <c r="K1462" i="55"/>
  <c r="N1462" i="55"/>
  <c r="Z2145" i="51"/>
  <c r="AF2145" i="51"/>
  <c r="AF1321" i="51"/>
  <c r="Z1321" i="51"/>
  <c r="Z413" i="51"/>
  <c r="K413" i="55"/>
  <c r="N413" i="55"/>
  <c r="Z2104" i="51"/>
  <c r="K2104" i="55"/>
  <c r="N2104" i="55"/>
  <c r="AE530" i="51"/>
  <c r="AE1250" i="51"/>
  <c r="Y1250" i="51"/>
  <c r="N984" i="55"/>
  <c r="K984" i="55"/>
  <c r="M237" i="55"/>
  <c r="J237" i="55"/>
  <c r="Z877" i="51"/>
  <c r="AF877" i="51"/>
  <c r="Z1755" i="51"/>
  <c r="AF1755" i="51"/>
  <c r="M193" i="55"/>
  <c r="J193" i="55"/>
  <c r="N90" i="57"/>
  <c r="N24" i="57"/>
  <c r="AD61" i="52"/>
  <c r="Y61" i="52"/>
  <c r="AE212" i="52"/>
  <c r="Z212" i="52"/>
  <c r="N1185" i="55"/>
  <c r="K1185" i="55"/>
  <c r="N1849" i="55"/>
  <c r="K1849" i="55"/>
  <c r="AF172" i="51"/>
  <c r="Z172" i="51"/>
  <c r="M145" i="55"/>
  <c r="J145" i="55"/>
  <c r="AB126" i="57"/>
  <c r="AB60" i="57"/>
  <c r="N434" i="55"/>
  <c r="K434" i="55"/>
  <c r="N1533" i="55"/>
  <c r="K1533" i="55"/>
  <c r="N1647" i="55"/>
  <c r="K1647" i="55"/>
  <c r="M511" i="55"/>
  <c r="J511" i="55"/>
  <c r="AF1278" i="51"/>
  <c r="Z1278" i="51"/>
  <c r="AF1708" i="51"/>
  <c r="Z1708" i="51"/>
  <c r="AE205" i="51"/>
  <c r="AE700" i="51"/>
  <c r="AE853" i="52"/>
  <c r="Z853" i="52"/>
  <c r="N1512" i="55"/>
  <c r="K1512" i="55"/>
  <c r="Z521" i="51"/>
  <c r="AF521" i="51"/>
  <c r="N423" i="55"/>
  <c r="K423" i="55"/>
  <c r="AF149" i="51"/>
  <c r="Z149" i="51"/>
  <c r="M36" i="55"/>
  <c r="J36" i="55"/>
  <c r="Z1926" i="51"/>
  <c r="K1926" i="55"/>
  <c r="N1926" i="55"/>
  <c r="N543" i="55"/>
  <c r="K543" i="55"/>
  <c r="AD104" i="52"/>
  <c r="Y104" i="52"/>
  <c r="AD79" i="52"/>
  <c r="Y79" i="52"/>
  <c r="N2072" i="55"/>
  <c r="K2072" i="55"/>
  <c r="N2006" i="55"/>
  <c r="K2006" i="55"/>
  <c r="AE735" i="52"/>
  <c r="Z735" i="52"/>
  <c r="AE437" i="52"/>
  <c r="Z437" i="52"/>
  <c r="N1576" i="55"/>
  <c r="K1576" i="55"/>
  <c r="M474" i="55"/>
  <c r="J474" i="55"/>
  <c r="N2017" i="55"/>
  <c r="K2017" i="55"/>
  <c r="N832" i="55"/>
  <c r="K832" i="55"/>
  <c r="AE741" i="52"/>
  <c r="Z741" i="52"/>
  <c r="M494" i="55"/>
  <c r="J494" i="55"/>
  <c r="AF1878" i="51"/>
  <c r="Z1878" i="51"/>
  <c r="AD7" i="52"/>
  <c r="Y7" i="52"/>
  <c r="N58" i="43"/>
  <c r="T58" i="43"/>
  <c r="AM58" i="43"/>
  <c r="AD324" i="52"/>
  <c r="Y324" i="52"/>
  <c r="N1748" i="55"/>
  <c r="K1748" i="55"/>
  <c r="N1712" i="55"/>
  <c r="K1712" i="55"/>
  <c r="N1461" i="55"/>
  <c r="K1461" i="55"/>
  <c r="AD275" i="52"/>
  <c r="Y275" i="52"/>
  <c r="N2060" i="55"/>
  <c r="K2060" i="55"/>
  <c r="AF2180" i="51"/>
  <c r="Z2180" i="51"/>
  <c r="AL46" i="43"/>
  <c r="AJ46" i="43"/>
  <c r="N1962" i="55"/>
  <c r="K1962" i="55"/>
  <c r="N2190" i="55"/>
  <c r="K2190" i="55"/>
  <c r="N1994" i="55"/>
  <c r="K1994" i="55"/>
  <c r="L77" i="41"/>
  <c r="AF40" i="44"/>
  <c r="AP40" i="44"/>
  <c r="AG25" i="44"/>
  <c r="AE25" i="44"/>
  <c r="AO25" i="44"/>
  <c r="N1498" i="55"/>
  <c r="K1498" i="55"/>
  <c r="AF2182" i="51"/>
  <c r="Z2182" i="51"/>
  <c r="AE740" i="52"/>
  <c r="Z740" i="52"/>
  <c r="N471" i="55"/>
  <c r="K471" i="55"/>
  <c r="AL48" i="44"/>
  <c r="AJ48" i="44"/>
  <c r="AD270" i="52"/>
  <c r="Y270" i="52"/>
  <c r="AG39" i="44"/>
  <c r="AE39" i="44"/>
  <c r="AO39" i="44"/>
  <c r="M166" i="55"/>
  <c r="J166" i="55"/>
  <c r="AE260" i="52"/>
  <c r="Z260" i="52"/>
  <c r="AF635" i="51"/>
  <c r="AD138" i="52"/>
  <c r="Y138" i="52"/>
  <c r="N104" i="55"/>
  <c r="K104" i="55"/>
  <c r="N2074" i="55"/>
  <c r="K2074" i="55"/>
  <c r="AE226" i="51"/>
  <c r="AF1801" i="51"/>
  <c r="Z1801" i="51"/>
  <c r="M641" i="55"/>
  <c r="J641" i="55"/>
  <c r="M789" i="55"/>
  <c r="J789" i="55"/>
  <c r="AL27" i="44"/>
  <c r="AJ27" i="44"/>
  <c r="N1150" i="55"/>
  <c r="K1150" i="55"/>
  <c r="N2153" i="55"/>
  <c r="K2153" i="55"/>
  <c r="N126" i="55"/>
  <c r="K126" i="55"/>
  <c r="M1333" i="55"/>
  <c r="J1333" i="55"/>
  <c r="AE635" i="52"/>
  <c r="Z635" i="52"/>
  <c r="AE239" i="52"/>
  <c r="Z239" i="52"/>
  <c r="AE334" i="51"/>
  <c r="AF1710" i="51"/>
  <c r="Z1710" i="51"/>
  <c r="N1998" i="55"/>
  <c r="K1998" i="55"/>
  <c r="N2205" i="55"/>
  <c r="K2205" i="55"/>
  <c r="AG22" i="44"/>
  <c r="AF22" i="44"/>
  <c r="AP22" i="44"/>
  <c r="Y303" i="51"/>
  <c r="AE303" i="51"/>
  <c r="N506" i="55"/>
  <c r="K506" i="55"/>
  <c r="M813" i="55"/>
  <c r="J813" i="55"/>
  <c r="AG108" i="57"/>
  <c r="AG42" i="57"/>
  <c r="AF1180" i="51"/>
  <c r="Z1180" i="51"/>
  <c r="N120" i="55"/>
  <c r="K120" i="55"/>
  <c r="AF1238" i="51"/>
  <c r="Z1238" i="51"/>
  <c r="Y474" i="51"/>
  <c r="AE474" i="51"/>
  <c r="N2042" i="55"/>
  <c r="K2042" i="55"/>
  <c r="N1864" i="55"/>
  <c r="K1864" i="55"/>
  <c r="N1050" i="55"/>
  <c r="K1050" i="55"/>
  <c r="AF159" i="51"/>
  <c r="Z159" i="51"/>
  <c r="AE267" i="51"/>
  <c r="AE702" i="51"/>
  <c r="M497" i="55"/>
  <c r="J497" i="55"/>
  <c r="AD404" i="52"/>
  <c r="Y404" i="52"/>
  <c r="AF2024" i="51"/>
  <c r="N1513" i="55"/>
  <c r="K1513" i="55"/>
  <c r="N2010" i="55"/>
  <c r="K2010" i="55"/>
  <c r="M788" i="55"/>
  <c r="J788" i="55"/>
  <c r="N1610" i="55"/>
  <c r="K1610" i="55"/>
  <c r="AG40" i="44"/>
  <c r="AE40" i="44"/>
  <c r="AO40" i="44"/>
  <c r="N353" i="55"/>
  <c r="K353" i="55"/>
  <c r="N129" i="57"/>
  <c r="N63" i="57"/>
  <c r="Z1751" i="51"/>
  <c r="AF1751" i="51"/>
  <c r="N424" i="55"/>
  <c r="K424" i="55"/>
  <c r="AE850" i="52"/>
  <c r="Z850" i="52"/>
  <c r="N547" i="55"/>
  <c r="K547" i="55"/>
  <c r="AF1606" i="51"/>
  <c r="Z1606" i="51"/>
  <c r="N1627" i="55"/>
  <c r="K1627" i="55"/>
  <c r="AM18" i="44"/>
  <c r="T18" i="44"/>
  <c r="N18" i="44"/>
  <c r="AF1654" i="51"/>
  <c r="Z1654" i="51"/>
  <c r="AF1552" i="51"/>
  <c r="AG119" i="57"/>
  <c r="AG53" i="57"/>
  <c r="N1927" i="55"/>
  <c r="K1927" i="55"/>
  <c r="N1279" i="55"/>
  <c r="K1279" i="55"/>
  <c r="AD153" i="52"/>
  <c r="Y153" i="52"/>
  <c r="N873" i="55"/>
  <c r="K873" i="55"/>
  <c r="AD582" i="52"/>
  <c r="Y582" i="52"/>
  <c r="AG117" i="57"/>
  <c r="AG51" i="57"/>
  <c r="N433" i="55"/>
  <c r="K433" i="55"/>
  <c r="AE481" i="52"/>
  <c r="Z481" i="52"/>
  <c r="AD243" i="52"/>
  <c r="Y243" i="52"/>
  <c r="N762" i="55"/>
  <c r="K762" i="55"/>
  <c r="AF147" i="51"/>
  <c r="Z147" i="51"/>
  <c r="N217" i="55"/>
  <c r="K217" i="55"/>
  <c r="AF566" i="51"/>
  <c r="Z566" i="51"/>
  <c r="N560" i="55"/>
  <c r="K560" i="55"/>
  <c r="N1572" i="55"/>
  <c r="K1572" i="55"/>
  <c r="M730" i="55"/>
  <c r="J730" i="55"/>
  <c r="AD172" i="52"/>
  <c r="Y172" i="52"/>
  <c r="AF1833" i="51"/>
  <c r="Z1833" i="51"/>
  <c r="M1355" i="55"/>
  <c r="J1355" i="55"/>
  <c r="AE464" i="52"/>
  <c r="Z464" i="52"/>
  <c r="N1317" i="55"/>
  <c r="K1317" i="55"/>
  <c r="N163" i="55"/>
  <c r="K163" i="55"/>
  <c r="M1039" i="55"/>
  <c r="J1039" i="55"/>
  <c r="N398" i="55"/>
  <c r="K398" i="55"/>
  <c r="AE1415" i="51"/>
  <c r="Y1415" i="51"/>
  <c r="AE375" i="52"/>
  <c r="Z375" i="52"/>
  <c r="AM22" i="44"/>
  <c r="T22" i="44"/>
  <c r="N22" i="44"/>
  <c r="M568" i="55"/>
  <c r="J568" i="55"/>
  <c r="AF1713" i="51"/>
  <c r="Z1713" i="51"/>
  <c r="AE817" i="52"/>
  <c r="Z817" i="52"/>
  <c r="AG28" i="44"/>
  <c r="AE28" i="44"/>
  <c r="AO28" i="44"/>
  <c r="AG107" i="57"/>
  <c r="AG41" i="57"/>
  <c r="AE908" i="52"/>
  <c r="Z908" i="52"/>
  <c r="N1734" i="55"/>
  <c r="K1734" i="55"/>
  <c r="N1577" i="55"/>
  <c r="K1577" i="55"/>
  <c r="N153" i="55"/>
  <c r="K153" i="55"/>
  <c r="AM9" i="44"/>
  <c r="T9" i="44"/>
  <c r="N9" i="44"/>
  <c r="AE15" i="52"/>
  <c r="Z15" i="52"/>
  <c r="N1694" i="55"/>
  <c r="K1694" i="55"/>
  <c r="M414" i="55"/>
  <c r="J414" i="55"/>
  <c r="Z471" i="51"/>
  <c r="AF471" i="51"/>
  <c r="M1243" i="55"/>
  <c r="J1243" i="55"/>
  <c r="N2033" i="55"/>
  <c r="K2033" i="55"/>
  <c r="N1521" i="55"/>
  <c r="K1521" i="55"/>
  <c r="AF49" i="51"/>
  <c r="Z635" i="51"/>
  <c r="K635" i="55"/>
  <c r="N635" i="55"/>
  <c r="AE116" i="51"/>
  <c r="Y226" i="51"/>
  <c r="J226" i="55"/>
  <c r="M226" i="55"/>
  <c r="AE1249" i="51"/>
  <c r="Y1249" i="51"/>
  <c r="AF98" i="57"/>
  <c r="AF32" i="57"/>
  <c r="AF980" i="51"/>
  <c r="N34" i="44"/>
  <c r="T34" i="44"/>
  <c r="AM34" i="44"/>
  <c r="AP30" i="43"/>
  <c r="AF30" i="43"/>
  <c r="AC30" i="57"/>
  <c r="AC96" i="57"/>
  <c r="AF461" i="51"/>
  <c r="AE411" i="51"/>
  <c r="AE652" i="51"/>
  <c r="AF5" i="55"/>
  <c r="X5" i="55"/>
  <c r="Y2" i="51"/>
  <c r="J2" i="55"/>
  <c r="R5" i="55"/>
  <c r="AF1188" i="51"/>
  <c r="Z1188" i="51"/>
  <c r="AG96" i="57"/>
  <c r="AG30" i="57"/>
  <c r="M664" i="55"/>
  <c r="J664" i="55"/>
  <c r="AC92" i="57"/>
  <c r="AC26" i="57"/>
  <c r="AF26" i="43"/>
  <c r="AP26" i="43"/>
  <c r="AE262" i="51"/>
  <c r="AE1337" i="51"/>
  <c r="Y1337" i="51"/>
  <c r="AE343" i="51"/>
  <c r="N1829" i="55"/>
  <c r="K1829" i="55"/>
  <c r="M211" i="55"/>
  <c r="J211" i="55"/>
  <c r="AE1030" i="51"/>
  <c r="N95" i="57"/>
  <c r="N29" i="57"/>
  <c r="AG7" i="55"/>
  <c r="Y7" i="55"/>
  <c r="Z341" i="51"/>
  <c r="K341" i="55"/>
  <c r="S7" i="55"/>
  <c r="AE241" i="52"/>
  <c r="Z241" i="52"/>
  <c r="AB9" i="55"/>
  <c r="N1327" i="55"/>
  <c r="K1327" i="55"/>
  <c r="AF1914" i="51"/>
  <c r="AL54" i="44"/>
  <c r="AJ54" i="44"/>
  <c r="AF2201" i="51"/>
  <c r="Z2017" i="51"/>
  <c r="AF2017" i="51"/>
  <c r="Y267" i="51"/>
  <c r="J267" i="55"/>
  <c r="M267" i="55"/>
  <c r="Y702" i="51"/>
  <c r="J702" i="55"/>
  <c r="M702" i="55"/>
  <c r="AL41" i="44"/>
  <c r="AJ41" i="44"/>
  <c r="M163" i="55"/>
  <c r="J163" i="55"/>
  <c r="M1354" i="55"/>
  <c r="J1354" i="55"/>
  <c r="AE267" i="52"/>
  <c r="Z267" i="52"/>
  <c r="AD214" i="52"/>
  <c r="Y214" i="52"/>
  <c r="AE928" i="52"/>
  <c r="Z928" i="52"/>
  <c r="Z2060" i="51"/>
  <c r="AF2060" i="51"/>
  <c r="N919" i="55"/>
  <c r="K919" i="55"/>
  <c r="AM54" i="43"/>
  <c r="T54" i="43"/>
  <c r="N54" i="43"/>
  <c r="M1260" i="55"/>
  <c r="J1260" i="55"/>
  <c r="AF1827" i="51"/>
  <c r="Z1827" i="51"/>
  <c r="AE538" i="52"/>
  <c r="Z538" i="52"/>
  <c r="AO16" i="44"/>
  <c r="AE16" i="44"/>
  <c r="AG16" i="44"/>
  <c r="AF1658" i="51"/>
  <c r="Z1658" i="51"/>
  <c r="Z1498" i="51"/>
  <c r="AF1498" i="51"/>
  <c r="AF590" i="51"/>
  <c r="AG120" i="57"/>
  <c r="AG54" i="57"/>
  <c r="N1090" i="55"/>
  <c r="K1090" i="55"/>
  <c r="N2191" i="55"/>
  <c r="K2191" i="55"/>
  <c r="M942" i="55"/>
  <c r="J942" i="55"/>
  <c r="M549" i="55"/>
  <c r="J549" i="55"/>
  <c r="AF1887" i="51"/>
  <c r="Z1887" i="51"/>
  <c r="AD82" i="52"/>
  <c r="Y82" i="52"/>
  <c r="M1340" i="55"/>
  <c r="J1340" i="55"/>
  <c r="AE730" i="52"/>
  <c r="Z730" i="52"/>
  <c r="AE453" i="52"/>
  <c r="Z453" i="52"/>
  <c r="AF90" i="51"/>
  <c r="Y819" i="51"/>
  <c r="AE819" i="51"/>
  <c r="AF1990" i="51"/>
  <c r="AE686" i="51"/>
  <c r="Z1108" i="51"/>
  <c r="AF1108" i="51"/>
  <c r="M1251" i="55"/>
  <c r="J1251" i="55"/>
  <c r="AE615" i="52"/>
  <c r="Z615" i="52"/>
  <c r="AF977" i="51"/>
  <c r="AF2035" i="51"/>
  <c r="AG42" i="43"/>
  <c r="M569" i="55"/>
  <c r="J569" i="55"/>
  <c r="N2122" i="55"/>
  <c r="K2122" i="55"/>
  <c r="N955" i="55"/>
  <c r="K955" i="55"/>
  <c r="M467" i="55"/>
  <c r="J467" i="55"/>
  <c r="N472" i="55"/>
  <c r="K472" i="55"/>
  <c r="AE444" i="51"/>
  <c r="AF385" i="51"/>
  <c r="AE23" i="52"/>
  <c r="Z23" i="52"/>
  <c r="M732" i="55"/>
  <c r="J732" i="55"/>
  <c r="AE414" i="52"/>
  <c r="Z414" i="52"/>
  <c r="AD128" i="52"/>
  <c r="Y128" i="52"/>
  <c r="N104" i="57"/>
  <c r="N38" i="57"/>
  <c r="AE11" i="55"/>
  <c r="AE1005" i="52"/>
  <c r="Z1005" i="52"/>
  <c r="N1381" i="55"/>
  <c r="K1381" i="55"/>
  <c r="N1587" i="55"/>
  <c r="K1587" i="55"/>
  <c r="Z1982" i="51"/>
  <c r="K1982" i="55"/>
  <c r="N1982" i="55"/>
  <c r="AE726" i="51"/>
  <c r="AF1295" i="51"/>
  <c r="Z1295" i="51"/>
  <c r="N1623" i="55"/>
  <c r="K1623" i="55"/>
  <c r="Z54" i="51"/>
  <c r="K54" i="55"/>
  <c r="N54" i="55"/>
  <c r="AK34" i="41"/>
  <c r="AK34" i="42"/>
  <c r="AG34" i="57"/>
  <c r="AG100" i="57"/>
  <c r="AE792" i="51"/>
  <c r="Z1523" i="51"/>
  <c r="K1523" i="55"/>
  <c r="N1523" i="55"/>
  <c r="AF640" i="51"/>
  <c r="AE463" i="51"/>
  <c r="AK24" i="44"/>
  <c r="AK24" i="43"/>
  <c r="N1636" i="55"/>
  <c r="K1636" i="55"/>
  <c r="Z1432" i="51"/>
  <c r="K1432" i="55"/>
  <c r="N1432" i="55"/>
  <c r="Z2169" i="51"/>
  <c r="K2169" i="55"/>
  <c r="N2169" i="55"/>
  <c r="AE996" i="52"/>
  <c r="Z996" i="52"/>
  <c r="AD272" i="52"/>
  <c r="Y272" i="52"/>
  <c r="AE586" i="51"/>
  <c r="AO62" i="43"/>
  <c r="AE62" i="43"/>
  <c r="AG62" i="43"/>
  <c r="Y463" i="51"/>
  <c r="J463" i="55"/>
  <c r="M463" i="55"/>
  <c r="N63" i="43"/>
  <c r="T63" i="43"/>
  <c r="AM63" i="43"/>
  <c r="AD179" i="52"/>
  <c r="Y179" i="52"/>
  <c r="Y1041" i="51"/>
  <c r="J1041" i="55"/>
  <c r="M1041" i="55"/>
  <c r="AE96" i="51"/>
  <c r="N2175" i="55"/>
  <c r="K2175" i="55"/>
  <c r="Y384" i="51"/>
  <c r="AE384" i="51"/>
  <c r="Z1949" i="51"/>
  <c r="AF1949" i="51"/>
  <c r="AF629" i="51"/>
  <c r="N637" i="55"/>
  <c r="K637" i="55"/>
  <c r="AF1830" i="51"/>
  <c r="Z1830" i="51"/>
  <c r="AL11" i="42"/>
  <c r="AB91" i="57"/>
  <c r="AB25" i="57"/>
  <c r="AE582" i="51"/>
  <c r="M588" i="55"/>
  <c r="J588" i="55"/>
  <c r="Y700" i="51"/>
  <c r="J700" i="55"/>
  <c r="M700" i="55"/>
  <c r="AE495" i="51"/>
  <c r="N1805" i="55"/>
  <c r="K1805" i="55"/>
  <c r="Z777" i="51"/>
  <c r="AF777" i="51"/>
  <c r="M204" i="55"/>
  <c r="J204" i="55"/>
  <c r="Y205" i="51"/>
  <c r="J205" i="55"/>
  <c r="M205" i="55"/>
  <c r="Z434" i="51"/>
  <c r="AF434" i="51"/>
  <c r="Y211" i="51"/>
  <c r="AE211" i="51"/>
  <c r="N1948" i="55"/>
  <c r="K1948" i="55"/>
  <c r="N1288" i="55"/>
  <c r="K1288" i="55"/>
  <c r="AG5" i="43"/>
  <c r="AE67" i="43"/>
  <c r="AL17" i="43"/>
  <c r="AJ17" i="43"/>
  <c r="Z1533" i="51"/>
  <c r="AF1533" i="51"/>
  <c r="N181" i="55"/>
  <c r="K181" i="55"/>
  <c r="AE630" i="52"/>
  <c r="Z630" i="52"/>
  <c r="N1286" i="55"/>
  <c r="K1286" i="55"/>
  <c r="AD396" i="52"/>
  <c r="Y396" i="52"/>
  <c r="N1945" i="55"/>
  <c r="K1945" i="55"/>
  <c r="AE720" i="52"/>
  <c r="Z720" i="52"/>
  <c r="AB97" i="57"/>
  <c r="AB31" i="57"/>
  <c r="AM64" i="44"/>
  <c r="T64" i="44"/>
  <c r="N64" i="44"/>
  <c r="AE1413" i="51"/>
  <c r="Y1413" i="51"/>
  <c r="AE873" i="52"/>
  <c r="Z873" i="52"/>
  <c r="Y511" i="51"/>
  <c r="AE511" i="51"/>
  <c r="AF2215" i="51"/>
  <c r="M699" i="55"/>
  <c r="J699" i="55"/>
  <c r="AD347" i="52"/>
  <c r="Y347" i="52"/>
  <c r="N1420" i="55"/>
  <c r="K1420" i="55"/>
  <c r="N1842" i="55"/>
  <c r="K1842" i="55"/>
  <c r="N2136" i="55"/>
  <c r="K2136" i="55"/>
  <c r="AE986" i="52"/>
  <c r="Z986" i="52"/>
  <c r="AA7" i="55"/>
  <c r="M1254" i="55"/>
  <c r="J1254" i="55"/>
  <c r="AE522" i="52"/>
  <c r="Z522" i="52"/>
  <c r="N778" i="55"/>
  <c r="K778" i="55"/>
  <c r="N1793" i="55"/>
  <c r="K1793" i="55"/>
  <c r="AD97" i="52"/>
  <c r="Y97" i="52"/>
  <c r="M635" i="55"/>
  <c r="J635" i="55"/>
  <c r="AE78" i="52"/>
  <c r="Z78" i="52"/>
  <c r="Z1461" i="51"/>
  <c r="AF1461" i="51"/>
  <c r="N1173" i="55"/>
  <c r="K1173" i="55"/>
  <c r="AL50" i="43"/>
  <c r="AJ50" i="43"/>
  <c r="AE709" i="52"/>
  <c r="Z709" i="52"/>
  <c r="AF95" i="57"/>
  <c r="AF29" i="57"/>
  <c r="Z49" i="51"/>
  <c r="K49" i="55"/>
  <c r="N49" i="55"/>
  <c r="Y716" i="51"/>
  <c r="AE716" i="51"/>
  <c r="Y116" i="51"/>
  <c r="J116" i="55"/>
  <c r="M116" i="55"/>
  <c r="AF1367" i="51"/>
  <c r="Z1367" i="51"/>
  <c r="AD349" i="52"/>
  <c r="Y349" i="52"/>
  <c r="AF1445" i="51"/>
  <c r="AF760" i="51"/>
  <c r="AE1006" i="52"/>
  <c r="Z1006" i="52"/>
  <c r="AD162" i="52"/>
  <c r="Y162" i="52"/>
  <c r="Z980" i="51"/>
  <c r="K980" i="55"/>
  <c r="N980" i="55"/>
  <c r="AF1569" i="51"/>
  <c r="Z1569" i="51"/>
  <c r="AE196" i="51"/>
  <c r="AE379" i="51"/>
  <c r="Z461" i="51"/>
  <c r="K461" i="55"/>
  <c r="N461" i="55"/>
  <c r="Y411" i="51"/>
  <c r="J411" i="55"/>
  <c r="M411" i="55"/>
  <c r="N1290" i="55"/>
  <c r="K1290" i="55"/>
  <c r="Y652" i="51"/>
  <c r="J652" i="55"/>
  <c r="M652" i="55"/>
  <c r="N608" i="55"/>
  <c r="K608" i="55"/>
  <c r="AD303" i="52"/>
  <c r="Y303" i="52"/>
  <c r="AE46" i="52"/>
  <c r="Z46" i="52"/>
  <c r="AE320" i="51"/>
  <c r="N1479" i="55"/>
  <c r="K1479" i="55"/>
  <c r="N359" i="55"/>
  <c r="K359" i="55"/>
  <c r="Z2" i="51"/>
  <c r="AF2" i="51"/>
  <c r="AB5" i="55"/>
  <c r="Y262" i="51"/>
  <c r="J262" i="55"/>
  <c r="M262" i="55"/>
  <c r="N1593" i="55"/>
  <c r="K1593" i="55"/>
  <c r="AK24" i="42"/>
  <c r="AG24" i="57"/>
  <c r="AG90" i="57"/>
  <c r="Y343" i="51"/>
  <c r="J343" i="55"/>
  <c r="M343" i="55"/>
  <c r="AE719" i="51"/>
  <c r="N2188" i="55"/>
  <c r="K2188" i="55"/>
  <c r="Z1962" i="51"/>
  <c r="AF1962" i="51"/>
  <c r="AE170" i="51"/>
  <c r="Y170" i="51"/>
  <c r="N1489" i="55"/>
  <c r="K1489" i="55"/>
  <c r="AF54" i="44"/>
  <c r="AP54" i="44"/>
  <c r="M619" i="55"/>
  <c r="J619" i="55"/>
  <c r="N1383" i="55"/>
  <c r="K1383" i="55"/>
  <c r="AF1646" i="51"/>
  <c r="Z1646" i="51"/>
  <c r="N1786" i="55"/>
  <c r="K1786" i="55"/>
  <c r="N1937" i="55"/>
  <c r="K1937" i="55"/>
  <c r="AG11" i="55"/>
  <c r="K1901" i="55"/>
  <c r="S11" i="55"/>
  <c r="Y11" i="55"/>
  <c r="AE1258" i="51"/>
  <c r="Y1258" i="51"/>
  <c r="AF1911" i="51"/>
  <c r="AD242" i="52"/>
  <c r="Y242" i="52"/>
  <c r="M824" i="55"/>
  <c r="J824" i="55"/>
  <c r="AL16" i="44"/>
  <c r="AJ16" i="44"/>
  <c r="S11" i="59"/>
  <c r="Z193" i="51"/>
  <c r="AF193" i="51"/>
  <c r="AD202" i="52"/>
  <c r="Y202" i="52"/>
  <c r="U17" i="62"/>
  <c r="AM48" i="42"/>
  <c r="R17" i="62"/>
  <c r="M389" i="55"/>
  <c r="J389" i="55"/>
  <c r="AC76" i="57"/>
  <c r="AC10" i="57"/>
  <c r="Z1734" i="51"/>
  <c r="AF1734" i="51"/>
  <c r="N2148" i="55"/>
  <c r="K2148" i="55"/>
  <c r="N1574" i="55"/>
  <c r="K1574" i="55"/>
  <c r="N1328" i="55"/>
  <c r="K1328" i="55"/>
  <c r="N2143" i="55"/>
  <c r="K2143" i="55"/>
  <c r="Y1023" i="51"/>
  <c r="AE1023" i="51"/>
  <c r="AE296" i="51"/>
  <c r="T67" i="44"/>
  <c r="T5" i="44"/>
  <c r="AM5" i="44"/>
  <c r="AE34" i="52"/>
  <c r="Z34" i="52"/>
  <c r="AE18" i="52"/>
  <c r="Z18" i="52"/>
  <c r="N46" i="43"/>
  <c r="T46" i="43"/>
  <c r="AM46" i="43"/>
  <c r="AE237" i="52"/>
  <c r="Z237" i="52"/>
  <c r="N169" i="55"/>
  <c r="K169" i="55"/>
  <c r="AD266" i="52"/>
  <c r="Y266" i="52"/>
  <c r="Z2033" i="51"/>
  <c r="AF2033" i="51"/>
  <c r="AD178" i="52"/>
  <c r="Y178" i="52"/>
  <c r="AD655" i="52"/>
  <c r="Y655" i="52"/>
  <c r="AL31" i="43"/>
  <c r="AJ31" i="43"/>
  <c r="AE746" i="52"/>
  <c r="Z746" i="52"/>
  <c r="N2137" i="55"/>
  <c r="K2137" i="55"/>
  <c r="AF1235" i="51"/>
  <c r="Z1235" i="51"/>
  <c r="AF1119" i="51"/>
  <c r="Y718" i="51"/>
  <c r="AE718" i="51"/>
  <c r="Z90" i="51"/>
  <c r="K90" i="55"/>
  <c r="N90" i="55"/>
  <c r="AF1604" i="51"/>
  <c r="Z1604" i="51"/>
  <c r="Z1953" i="51"/>
  <c r="AF1953" i="51"/>
  <c r="Z1990" i="51"/>
  <c r="K1990" i="55"/>
  <c r="N1990" i="55"/>
  <c r="Y686" i="51"/>
  <c r="J686" i="55"/>
  <c r="M686" i="55"/>
  <c r="AE63" i="51"/>
  <c r="AE352" i="51"/>
  <c r="Z107" i="51"/>
  <c r="AF107" i="51"/>
  <c r="N1193" i="55"/>
  <c r="K1193" i="55"/>
  <c r="AE549" i="52"/>
  <c r="Z549" i="52"/>
  <c r="Z977" i="51"/>
  <c r="K977" i="55"/>
  <c r="N977" i="55"/>
  <c r="Z2035" i="51"/>
  <c r="K2035" i="55"/>
  <c r="N2035" i="55"/>
  <c r="Y308" i="51"/>
  <c r="AE308" i="51"/>
  <c r="N2022" i="55"/>
  <c r="K2022" i="55"/>
  <c r="M1240" i="55"/>
  <c r="J1240" i="55"/>
  <c r="AF1052" i="51"/>
  <c r="M325" i="55"/>
  <c r="J325" i="55"/>
  <c r="M499" i="55"/>
  <c r="J499" i="55"/>
  <c r="N22" i="55"/>
  <c r="K22" i="55"/>
  <c r="N1093" i="55"/>
  <c r="K1093" i="55"/>
  <c r="AF1493" i="51"/>
  <c r="AE679" i="52"/>
  <c r="Z679" i="52"/>
  <c r="N1499" i="55"/>
  <c r="K1499" i="55"/>
  <c r="AD311" i="52"/>
  <c r="Y311" i="52"/>
  <c r="AD584" i="52"/>
  <c r="Y584" i="52"/>
  <c r="Z1513" i="51"/>
  <c r="AF1513" i="51"/>
  <c r="AF503" i="51"/>
  <c r="Z2190" i="51"/>
  <c r="AF2190" i="51"/>
  <c r="Y532" i="51"/>
  <c r="J532" i="55"/>
  <c r="M532" i="55"/>
  <c r="AF1308" i="51"/>
  <c r="Z1308" i="51"/>
  <c r="Y222" i="51"/>
  <c r="J222" i="55"/>
  <c r="M222" i="55"/>
  <c r="AF1576" i="51"/>
  <c r="Z1576" i="51"/>
  <c r="AE216" i="52"/>
  <c r="Z216" i="52"/>
  <c r="Z513" i="51"/>
  <c r="K513" i="55"/>
  <c r="N513" i="55"/>
  <c r="AK45" i="41"/>
  <c r="AK45" i="42"/>
  <c r="AG45" i="57"/>
  <c r="AG111" i="57"/>
  <c r="AE169" i="51"/>
  <c r="Y169" i="51"/>
  <c r="N1834" i="55"/>
  <c r="K1834" i="55"/>
  <c r="Z2099" i="51"/>
  <c r="AF2099" i="51"/>
  <c r="Z1082" i="51"/>
  <c r="AF1082" i="51"/>
  <c r="Z2154" i="51"/>
  <c r="AF2154" i="51"/>
  <c r="AE798" i="52"/>
  <c r="Z798" i="52"/>
  <c r="Y281" i="51"/>
  <c r="J281" i="55"/>
  <c r="M281" i="55"/>
  <c r="Y530" i="51"/>
  <c r="J530" i="55"/>
  <c r="M530" i="55"/>
  <c r="Y598" i="51"/>
  <c r="J598" i="55"/>
  <c r="M598" i="55"/>
  <c r="N1779" i="55"/>
  <c r="K1779" i="55"/>
  <c r="N1377" i="55"/>
  <c r="K1377" i="55"/>
  <c r="Y294" i="51"/>
  <c r="AE294" i="51"/>
  <c r="Z984" i="51"/>
  <c r="AF984" i="51"/>
  <c r="Y807" i="51"/>
  <c r="AE807" i="51"/>
  <c r="Y726" i="51"/>
  <c r="J726" i="55"/>
  <c r="M726" i="55"/>
  <c r="N1213" i="55"/>
  <c r="K1213" i="55"/>
  <c r="AE566" i="51"/>
  <c r="Y566" i="51"/>
  <c r="Y237" i="51"/>
  <c r="AE237" i="51"/>
  <c r="Z1000" i="51"/>
  <c r="AF1000" i="51"/>
  <c r="Z981" i="51"/>
  <c r="AF981" i="51"/>
  <c r="Y792" i="51"/>
  <c r="J792" i="55"/>
  <c r="M792" i="55"/>
  <c r="Z640" i="51"/>
  <c r="K640" i="55"/>
  <c r="N640" i="55"/>
  <c r="M1356" i="55"/>
  <c r="J1356" i="55"/>
  <c r="Z1989" i="51"/>
  <c r="AF1989" i="51"/>
  <c r="Z214" i="51"/>
  <c r="AF214" i="51"/>
  <c r="Y193" i="51"/>
  <c r="AE193" i="51"/>
  <c r="AE387" i="52"/>
  <c r="Z387" i="52"/>
  <c r="Y586" i="51"/>
  <c r="J586" i="55"/>
  <c r="M586" i="55"/>
  <c r="Y398" i="51"/>
  <c r="AE398" i="51"/>
  <c r="AF1629" i="51"/>
  <c r="Z1629" i="51"/>
  <c r="Y259" i="51"/>
  <c r="AE259" i="51"/>
  <c r="N902" i="55"/>
  <c r="K902" i="55"/>
  <c r="Y96" i="51"/>
  <c r="J96" i="55"/>
  <c r="M96" i="55"/>
  <c r="Z760" i="51"/>
  <c r="K760" i="55"/>
  <c r="N760" i="55"/>
  <c r="Z629" i="51"/>
  <c r="K629" i="55"/>
  <c r="N629" i="55"/>
  <c r="Z637" i="51"/>
  <c r="AF637" i="51"/>
  <c r="Y196" i="51"/>
  <c r="J196" i="55"/>
  <c r="M196" i="55"/>
  <c r="AF1228" i="51"/>
  <c r="Z1228" i="51"/>
  <c r="AE562" i="51"/>
  <c r="Y562" i="51"/>
  <c r="AJ11" i="42"/>
  <c r="AF11" i="57"/>
  <c r="AF77" i="57"/>
  <c r="N1582" i="55"/>
  <c r="K1582" i="55"/>
  <c r="AD273" i="52"/>
  <c r="Y273" i="52"/>
  <c r="Y582" i="51"/>
  <c r="J582" i="55"/>
  <c r="M582" i="55"/>
  <c r="N1796" i="55"/>
  <c r="K1796" i="55"/>
  <c r="Y588" i="51"/>
  <c r="AE588" i="51"/>
  <c r="Z1512" i="51"/>
  <c r="AF1512" i="51"/>
  <c r="AF67" i="43"/>
  <c r="N598" i="55"/>
  <c r="K598" i="55"/>
  <c r="Y495" i="51"/>
  <c r="J495" i="55"/>
  <c r="M495" i="55"/>
  <c r="N1658" i="55"/>
  <c r="K1658" i="55"/>
  <c r="Y664" i="51"/>
  <c r="AE664" i="51"/>
  <c r="Y334" i="51"/>
  <c r="J334" i="55"/>
  <c r="M334" i="55"/>
  <c r="AE418" i="52"/>
  <c r="Z418" i="52"/>
  <c r="AE698" i="52"/>
  <c r="Z698" i="52"/>
  <c r="Y204" i="51"/>
  <c r="AE204" i="51"/>
  <c r="AK30" i="44"/>
  <c r="AK30" i="42"/>
  <c r="AK30" i="43"/>
  <c r="AE157" i="51"/>
  <c r="Y157" i="51"/>
  <c r="AJ67" i="43"/>
  <c r="AL5" i="43"/>
  <c r="AJ5" i="43"/>
  <c r="AE226" i="52"/>
  <c r="Z226" i="52"/>
  <c r="AE17" i="52"/>
  <c r="Z17" i="52"/>
  <c r="Z1948" i="51"/>
  <c r="AF1948" i="51"/>
  <c r="Z2072" i="51"/>
  <c r="AF2072" i="51"/>
  <c r="Z902" i="51"/>
  <c r="AF902" i="51"/>
  <c r="AF1829" i="51"/>
  <c r="Z1829" i="51"/>
  <c r="AF1877" i="51"/>
  <c r="Z1877" i="51"/>
  <c r="Z2148" i="51"/>
  <c r="AF2148" i="51"/>
  <c r="M291" i="55"/>
  <c r="J291" i="55"/>
  <c r="Z1945" i="51"/>
  <c r="AF1945" i="51"/>
  <c r="Z1914" i="51"/>
  <c r="K1914" i="55"/>
  <c r="N1914" i="55"/>
  <c r="AO31" i="43"/>
  <c r="AE31" i="43"/>
  <c r="AG31" i="43"/>
  <c r="Z2201" i="51"/>
  <c r="K2201" i="55"/>
  <c r="N2201" i="55"/>
  <c r="AD113" i="52"/>
  <c r="Y113" i="52"/>
  <c r="AE729" i="52"/>
  <c r="Z729" i="52"/>
  <c r="AE952" i="52"/>
  <c r="Z952" i="52"/>
  <c r="AF1853" i="51"/>
  <c r="Z1853" i="51"/>
  <c r="Z832" i="51"/>
  <c r="AF832" i="51"/>
  <c r="Y389" i="51"/>
  <c r="AE389" i="51"/>
  <c r="N1816" i="55"/>
  <c r="K1816" i="55"/>
  <c r="Z2024" i="51"/>
  <c r="K2024" i="55"/>
  <c r="N2024" i="55"/>
  <c r="AE521" i="52"/>
  <c r="Z521" i="52"/>
  <c r="Y699" i="51"/>
  <c r="AE699" i="51"/>
  <c r="N779" i="55"/>
  <c r="K779" i="55"/>
  <c r="AD318" i="52"/>
  <c r="Y318" i="52"/>
  <c r="AE474" i="52"/>
  <c r="Z474" i="52"/>
  <c r="U22" i="62"/>
  <c r="AM52" i="42"/>
  <c r="R22" i="62"/>
  <c r="N165" i="55"/>
  <c r="K165" i="55"/>
  <c r="AF1218" i="51"/>
  <c r="Z1218" i="51"/>
  <c r="N411" i="55"/>
  <c r="K411" i="55"/>
  <c r="Y341" i="51"/>
  <c r="AE341" i="51"/>
  <c r="AK3" i="51"/>
  <c r="AL3" i="51"/>
  <c r="AF104" i="57"/>
  <c r="AF38" i="57"/>
  <c r="Y1030" i="51"/>
  <c r="J1030" i="55"/>
  <c r="M1030" i="55"/>
  <c r="M695" i="55"/>
  <c r="J695" i="55"/>
  <c r="AE763" i="52"/>
  <c r="Z763" i="52"/>
  <c r="AE143" i="51"/>
  <c r="Y143" i="51"/>
  <c r="Z2143" i="51"/>
  <c r="AF2143" i="51"/>
  <c r="I8" i="62"/>
  <c r="F8" i="62"/>
  <c r="F7" i="62"/>
  <c r="AM8" i="42"/>
  <c r="I7" i="62"/>
  <c r="AE954" i="52"/>
  <c r="Z954" i="52"/>
  <c r="AP56" i="43"/>
  <c r="AF56" i="43"/>
  <c r="AC56" i="57"/>
  <c r="AC122" i="57"/>
  <c r="AF81" i="57"/>
  <c r="AF15" i="57"/>
  <c r="Z1994" i="51"/>
  <c r="AF1994" i="51"/>
  <c r="N5" i="44"/>
  <c r="N67" i="44"/>
  <c r="N1483" i="55"/>
  <c r="K1483" i="55"/>
  <c r="Z2006" i="51"/>
  <c r="AF2006" i="51"/>
  <c r="Z1552" i="51"/>
  <c r="K1552" i="55"/>
  <c r="N1552" i="55"/>
  <c r="M1250" i="55"/>
  <c r="J1250" i="55"/>
  <c r="AE75" i="52"/>
  <c r="Z75" i="52"/>
  <c r="N505" i="55"/>
  <c r="K505" i="55"/>
  <c r="AE634" i="52"/>
  <c r="Z634" i="52"/>
  <c r="Z1173" i="51"/>
  <c r="AF1173" i="51"/>
  <c r="Z590" i="51"/>
  <c r="K590" i="55"/>
  <c r="N590" i="55"/>
  <c r="AE256" i="52"/>
  <c r="Z256" i="52"/>
  <c r="Z104" i="51"/>
  <c r="AF104" i="51"/>
  <c r="Z2074" i="51"/>
  <c r="AF2074" i="51"/>
  <c r="AO60" i="43"/>
  <c r="AE60" i="43"/>
  <c r="AG60" i="43"/>
  <c r="AE569" i="52"/>
  <c r="Z569" i="52"/>
  <c r="Z1445" i="51"/>
  <c r="K1445" i="55"/>
  <c r="N1445" i="55"/>
  <c r="Y641" i="51"/>
  <c r="AE641" i="51"/>
  <c r="Y789" i="51"/>
  <c r="AE789" i="51"/>
  <c r="AD583" i="52"/>
  <c r="Y583" i="52"/>
  <c r="Y379" i="51"/>
  <c r="J379" i="55"/>
  <c r="M379" i="55"/>
  <c r="Z1150" i="51"/>
  <c r="AF1150" i="51"/>
  <c r="AO25" i="43"/>
  <c r="AE25" i="43"/>
  <c r="AG25" i="43"/>
  <c r="Z126" i="51"/>
  <c r="AF126" i="51"/>
  <c r="Z608" i="51"/>
  <c r="AF608" i="51"/>
  <c r="Z598" i="51"/>
  <c r="AF598" i="51"/>
  <c r="Z423" i="51"/>
  <c r="AF423" i="51"/>
  <c r="Y320" i="51"/>
  <c r="J320" i="55"/>
  <c r="M320" i="55"/>
  <c r="Z1479" i="51"/>
  <c r="AF1479" i="51"/>
  <c r="Y36" i="51"/>
  <c r="AE36" i="51"/>
  <c r="Z1998" i="51"/>
  <c r="AF1998" i="51"/>
  <c r="Z2205" i="51"/>
  <c r="AF2205" i="51"/>
  <c r="AF1865" i="51"/>
  <c r="Z1865" i="51"/>
  <c r="Z377" i="51"/>
  <c r="AF377" i="51"/>
  <c r="Y719" i="51"/>
  <c r="J719" i="55"/>
  <c r="M719" i="55"/>
  <c r="R24" i="62"/>
  <c r="AM54" i="42"/>
  <c r="U24" i="62"/>
  <c r="Z506" i="51"/>
  <c r="AF506" i="51"/>
  <c r="AE1334" i="51"/>
  <c r="Y1334" i="51"/>
  <c r="AF140" i="51"/>
  <c r="Z140" i="51"/>
  <c r="AK42" i="43"/>
  <c r="AK42" i="41"/>
  <c r="AK42" i="42"/>
  <c r="AK42" i="44"/>
  <c r="N123" i="57"/>
  <c r="N57" i="57"/>
  <c r="AF1229" i="51"/>
  <c r="Z1229" i="51"/>
  <c r="Y291" i="51"/>
  <c r="AE291" i="51"/>
  <c r="AO15" i="44"/>
  <c r="AE15" i="44"/>
  <c r="AG15" i="44"/>
  <c r="AP42" i="43"/>
  <c r="AF42" i="43"/>
  <c r="AC42" i="57"/>
  <c r="AC108" i="57"/>
  <c r="Z1493" i="51"/>
  <c r="K1493" i="55"/>
  <c r="N1493" i="55"/>
  <c r="AE647" i="52"/>
  <c r="Z647" i="52"/>
  <c r="Z2042" i="51"/>
  <c r="AF2042" i="51"/>
  <c r="M534" i="55"/>
  <c r="J534" i="55"/>
  <c r="M1270" i="55"/>
  <c r="J1270" i="55"/>
  <c r="AF1384" i="51"/>
  <c r="Z1384" i="51"/>
  <c r="AD81" i="52"/>
  <c r="Y81" i="52"/>
  <c r="AL35" i="44"/>
  <c r="AJ35" i="44"/>
  <c r="Z411" i="51"/>
  <c r="AF411" i="51"/>
  <c r="AF1824" i="51"/>
  <c r="Z1824" i="51"/>
  <c r="AE923" i="52"/>
  <c r="Z923" i="52"/>
  <c r="AD394" i="52"/>
  <c r="Y394" i="52"/>
  <c r="Y494" i="51"/>
  <c r="AE494" i="51"/>
  <c r="N20" i="44"/>
  <c r="T20" i="44"/>
  <c r="AM20" i="44"/>
  <c r="S15" i="59"/>
  <c r="AP5" i="43"/>
  <c r="AF5" i="43"/>
  <c r="AC5" i="57"/>
  <c r="AC71" i="57"/>
  <c r="S9" i="59"/>
  <c r="S14" i="59"/>
  <c r="R30" i="62"/>
  <c r="AM63" i="42"/>
  <c r="U30" i="62"/>
  <c r="Z2136" i="51"/>
  <c r="AF2136" i="51"/>
  <c r="Y788" i="51"/>
  <c r="AE788" i="51"/>
  <c r="Y813" i="51"/>
  <c r="AE813" i="51"/>
  <c r="AE638" i="52"/>
  <c r="Z638" i="52"/>
  <c r="N64" i="43"/>
  <c r="T64" i="43"/>
  <c r="AM64" i="43"/>
  <c r="Y695" i="51"/>
  <c r="AE695" i="51"/>
  <c r="Z424" i="51"/>
  <c r="AF424" i="51"/>
  <c r="AL62" i="44"/>
  <c r="AJ62" i="44"/>
  <c r="N141" i="55"/>
  <c r="K141" i="55"/>
  <c r="AE887" i="52"/>
  <c r="Z887" i="52"/>
  <c r="Z919" i="51"/>
  <c r="AF919" i="51"/>
  <c r="Y296" i="51"/>
  <c r="J296" i="55"/>
  <c r="M296" i="55"/>
  <c r="N2093" i="55"/>
  <c r="K2093" i="55"/>
  <c r="AF1618" i="51"/>
  <c r="Z1618" i="51"/>
  <c r="AE726" i="52"/>
  <c r="Z726" i="52"/>
  <c r="W14" i="59"/>
  <c r="W9" i="59"/>
  <c r="W15" i="59"/>
  <c r="Z505" i="51"/>
  <c r="AF505" i="51"/>
  <c r="AK53" i="44"/>
  <c r="AK53" i="41"/>
  <c r="AK53" i="42"/>
  <c r="AK53" i="43"/>
  <c r="Y414" i="51"/>
  <c r="AE414" i="51"/>
  <c r="AE1012" i="52"/>
  <c r="Z1012" i="52"/>
  <c r="AL67" i="44"/>
  <c r="AL5" i="44"/>
  <c r="M698" i="55"/>
  <c r="J698" i="55"/>
  <c r="AD337" i="52"/>
  <c r="Y337" i="52"/>
  <c r="AF1791" i="51"/>
  <c r="Z1791" i="51"/>
  <c r="AO33" i="44"/>
  <c r="AE33" i="44"/>
  <c r="AG33" i="44"/>
  <c r="M1345" i="55"/>
  <c r="J1345" i="55"/>
  <c r="M210" i="55"/>
  <c r="J210" i="55"/>
  <c r="N28" i="43"/>
  <c r="T28" i="43"/>
  <c r="AM28" i="43"/>
  <c r="Z1119" i="51"/>
  <c r="K1119" i="55"/>
  <c r="N1119" i="55"/>
  <c r="AF1217" i="51"/>
  <c r="Z1217" i="51"/>
  <c r="Z762" i="51"/>
  <c r="AF762" i="51"/>
  <c r="Z217" i="51"/>
  <c r="AF217" i="51"/>
  <c r="Y63" i="51"/>
  <c r="J63" i="55"/>
  <c r="M63" i="55"/>
  <c r="Y352" i="51"/>
  <c r="J352" i="55"/>
  <c r="M352" i="55"/>
  <c r="Y730" i="51"/>
  <c r="AE730" i="51"/>
  <c r="N1074" i="55"/>
  <c r="K1074" i="55"/>
  <c r="M1406" i="55"/>
  <c r="J1406" i="55"/>
  <c r="AF1637" i="51"/>
  <c r="Z1637" i="51"/>
  <c r="AF1694" i="51"/>
  <c r="Z1694" i="51"/>
  <c r="N1851" i="55"/>
  <c r="K1851" i="55"/>
  <c r="M638" i="55"/>
  <c r="J638" i="55"/>
  <c r="AF539" i="51"/>
  <c r="N111" i="57"/>
  <c r="N45" i="57"/>
  <c r="N1072" i="55"/>
  <c r="K1072" i="55"/>
  <c r="N1939" i="55"/>
  <c r="K1939" i="55"/>
  <c r="AB10" i="55"/>
  <c r="Z2093" i="51"/>
  <c r="AF2093" i="51"/>
  <c r="M390" i="55"/>
  <c r="J390" i="55"/>
  <c r="R11" i="59"/>
  <c r="AE655" i="51"/>
  <c r="AF1524" i="51"/>
  <c r="M1338" i="55"/>
  <c r="J1338" i="55"/>
  <c r="Z873" i="51"/>
  <c r="AF873" i="51"/>
  <c r="Y698" i="51"/>
  <c r="AE698" i="51"/>
  <c r="Z433" i="51"/>
  <c r="AF433" i="51"/>
  <c r="Y210" i="51"/>
  <c r="AE210" i="51"/>
  <c r="N1448" i="55"/>
  <c r="K1448" i="55"/>
  <c r="N2193" i="55"/>
  <c r="K2193" i="55"/>
  <c r="AF166" i="51"/>
  <c r="Z166" i="51"/>
  <c r="N1057" i="55"/>
  <c r="K1057" i="55"/>
  <c r="AD309" i="52"/>
  <c r="Y309" i="52"/>
  <c r="M518" i="55"/>
  <c r="J518" i="55"/>
  <c r="AE897" i="52"/>
  <c r="Z897" i="52"/>
  <c r="N1464" i="55"/>
  <c r="K1464" i="55"/>
  <c r="AF41" i="44"/>
  <c r="AP41" i="44"/>
  <c r="AM14" i="43"/>
  <c r="T14" i="43"/>
  <c r="N14" i="43"/>
  <c r="M729" i="55"/>
  <c r="J729" i="55"/>
  <c r="AM52" i="43"/>
  <c r="T52" i="43"/>
  <c r="N52" i="43"/>
  <c r="AB129" i="57"/>
  <c r="AB63" i="57"/>
  <c r="AE713" i="51"/>
  <c r="AE345" i="51"/>
  <c r="N1495" i="55"/>
  <c r="K1495" i="55"/>
  <c r="AF1802" i="51"/>
  <c r="Z1802" i="51"/>
  <c r="N2128" i="55"/>
  <c r="K2128" i="55"/>
  <c r="AF1693" i="51"/>
  <c r="Z1693" i="51"/>
  <c r="AE465" i="52"/>
  <c r="Z465" i="52"/>
  <c r="M182" i="55"/>
  <c r="J182" i="55"/>
  <c r="N1550" i="55"/>
  <c r="K1550" i="55"/>
  <c r="AF478" i="51"/>
  <c r="AM41" i="44"/>
  <c r="T41" i="44"/>
  <c r="N41" i="44"/>
  <c r="AE245" i="51"/>
  <c r="N1380" i="55"/>
  <c r="K1380" i="55"/>
  <c r="M484" i="55"/>
  <c r="J484" i="55"/>
  <c r="N912" i="55"/>
  <c r="K912" i="55"/>
  <c r="N875" i="55"/>
  <c r="K875" i="55"/>
  <c r="N1580" i="55"/>
  <c r="K1580" i="55"/>
  <c r="AF1676" i="51"/>
  <c r="Z1676" i="51"/>
  <c r="N1822" i="55"/>
  <c r="K1822" i="55"/>
  <c r="AF130" i="51"/>
  <c r="N363" i="55"/>
  <c r="K363" i="55"/>
  <c r="AE667" i="52"/>
  <c r="Z667" i="52"/>
  <c r="N1446" i="55"/>
  <c r="K1446" i="55"/>
  <c r="AE662" i="52"/>
  <c r="Z662" i="52"/>
  <c r="AD601" i="52"/>
  <c r="Y601" i="52"/>
  <c r="AD293" i="52"/>
  <c r="Y293" i="52"/>
  <c r="M544" i="55"/>
  <c r="J544" i="55"/>
  <c r="N979" i="55"/>
  <c r="K979" i="55"/>
  <c r="AD187" i="52"/>
  <c r="Y187" i="52"/>
  <c r="AD586" i="52"/>
  <c r="Y586" i="52"/>
  <c r="N1419" i="55"/>
  <c r="K1419" i="55"/>
  <c r="N939" i="55"/>
  <c r="K939" i="55"/>
  <c r="N1960" i="55"/>
  <c r="K1960" i="55"/>
  <c r="AE162" i="51"/>
  <c r="Y162" i="51"/>
  <c r="M472" i="55"/>
  <c r="J472" i="55"/>
  <c r="AM54" i="44"/>
  <c r="T54" i="44"/>
  <c r="N54" i="44"/>
  <c r="N1614" i="55"/>
  <c r="K1614" i="55"/>
  <c r="AF1421" i="51"/>
  <c r="Z1421" i="51"/>
  <c r="AF1881" i="51"/>
  <c r="Z1881" i="51"/>
  <c r="AB82" i="57"/>
  <c r="AB16" i="57"/>
  <c r="N1680" i="55"/>
  <c r="K1680" i="55"/>
  <c r="AG114" i="57"/>
  <c r="AG48" i="57"/>
  <c r="T67" i="42"/>
  <c r="AF1578" i="51"/>
  <c r="Z1578" i="51"/>
  <c r="AE471" i="52"/>
  <c r="Z471" i="52"/>
  <c r="AD287" i="52"/>
  <c r="Y287" i="52"/>
  <c r="AF1846" i="51"/>
  <c r="Z1846" i="51"/>
  <c r="AE444" i="52"/>
  <c r="Z444" i="52"/>
  <c r="AD580" i="52"/>
  <c r="Y580" i="52"/>
  <c r="N210" i="55"/>
  <c r="K210" i="55"/>
  <c r="N1671" i="55"/>
  <c r="K1671" i="55"/>
  <c r="AF1371" i="51"/>
  <c r="Z1371" i="51"/>
  <c r="N1616" i="55"/>
  <c r="K1616" i="55"/>
  <c r="AF1672" i="51"/>
  <c r="Z1672" i="51"/>
  <c r="N137" i="55"/>
  <c r="K137" i="55"/>
  <c r="AE405" i="52"/>
  <c r="Z405" i="52"/>
  <c r="AE526" i="52"/>
  <c r="Z526" i="52"/>
  <c r="M888" i="55"/>
  <c r="J888" i="55"/>
  <c r="AE420" i="52"/>
  <c r="Z420" i="52"/>
  <c r="AF1287" i="51"/>
  <c r="Z1287" i="51"/>
  <c r="AF44" i="44"/>
  <c r="AP44" i="44"/>
  <c r="N1305" i="55"/>
  <c r="K1305" i="55"/>
  <c r="AE711" i="52"/>
  <c r="Z711" i="52"/>
  <c r="AF1292" i="51"/>
  <c r="Z1292" i="51"/>
  <c r="L82" i="41"/>
  <c r="AE1363" i="51"/>
  <c r="Y1363" i="51"/>
  <c r="AL44" i="43"/>
  <c r="AJ44" i="43"/>
  <c r="M430" i="55"/>
  <c r="J430" i="55"/>
  <c r="M1414" i="55"/>
  <c r="J1414" i="55"/>
  <c r="AF508" i="51"/>
  <c r="Z543" i="51"/>
  <c r="AF543" i="51"/>
  <c r="AF1690" i="51"/>
  <c r="Z1690" i="51"/>
  <c r="N1789" i="55"/>
  <c r="K1789" i="55"/>
  <c r="AD599" i="52"/>
  <c r="Y599" i="52"/>
  <c r="AE477" i="52"/>
  <c r="Z477" i="52"/>
  <c r="AO42" i="43"/>
  <c r="AE42" i="43"/>
  <c r="AB42" i="57"/>
  <c r="AB108" i="57"/>
  <c r="AE1129" i="51"/>
  <c r="AE29" i="51"/>
  <c r="AF1997" i="51"/>
  <c r="N1482" i="55"/>
  <c r="K1482" i="55"/>
  <c r="N1708" i="55"/>
  <c r="K1708" i="55"/>
  <c r="AF106" i="57"/>
  <c r="AF40" i="57"/>
  <c r="M305" i="55"/>
  <c r="J305" i="55"/>
  <c r="Z1052" i="51"/>
  <c r="K1052" i="55"/>
  <c r="N1052" i="55"/>
  <c r="M299" i="55"/>
  <c r="J299" i="55"/>
  <c r="AF2160" i="51"/>
  <c r="AE1130" i="51"/>
  <c r="AE386" i="51"/>
  <c r="AF216" i="51"/>
  <c r="AO7" i="44"/>
  <c r="AE7" i="44"/>
  <c r="AG7" i="44"/>
  <c r="N1856" i="55"/>
  <c r="K1856" i="55"/>
  <c r="AE841" i="52"/>
  <c r="Z841" i="52"/>
  <c r="M949" i="55"/>
  <c r="J949" i="55"/>
  <c r="Y444" i="51"/>
  <c r="J444" i="55"/>
  <c r="M444" i="55"/>
  <c r="AL24" i="44"/>
  <c r="AJ24" i="44"/>
  <c r="AD649" i="52"/>
  <c r="Y649" i="52"/>
  <c r="Z2215" i="51"/>
  <c r="K2215" i="55"/>
  <c r="N2215" i="55"/>
  <c r="Z385" i="51"/>
  <c r="K385" i="55"/>
  <c r="N385" i="55"/>
  <c r="AE211" i="52"/>
  <c r="Z211" i="52"/>
  <c r="N1640" i="55"/>
  <c r="K1640" i="55"/>
  <c r="N617" i="55"/>
  <c r="K617" i="55"/>
  <c r="Y619" i="51"/>
  <c r="AE619" i="51"/>
  <c r="Y534" i="51"/>
  <c r="AE534" i="51"/>
  <c r="N1156" i="55"/>
  <c r="K1156" i="55"/>
  <c r="Z539" i="51"/>
  <c r="K539" i="55"/>
  <c r="N539" i="55"/>
  <c r="AF1610" i="51"/>
  <c r="Z1610" i="51"/>
  <c r="N839" i="55"/>
  <c r="K839" i="55"/>
  <c r="AE861" i="52"/>
  <c r="Z861" i="52"/>
  <c r="N1392" i="55"/>
  <c r="K1392" i="55"/>
  <c r="Z2010" i="51"/>
  <c r="AF2010" i="51"/>
  <c r="M439" i="55"/>
  <c r="J439" i="55"/>
  <c r="AF150" i="51"/>
  <c r="Z150" i="51"/>
  <c r="M1024" i="55"/>
  <c r="J1024" i="55"/>
  <c r="Z503" i="51"/>
  <c r="K503" i="55"/>
  <c r="N503" i="55"/>
  <c r="AF105" i="57"/>
  <c r="AF39" i="57"/>
  <c r="Z1911" i="51"/>
  <c r="K1911" i="55"/>
  <c r="N1911" i="55"/>
  <c r="M92" i="55"/>
  <c r="J92" i="55"/>
  <c r="M445" i="55"/>
  <c r="J445" i="55"/>
  <c r="AE617" i="52"/>
  <c r="Z617" i="52"/>
  <c r="AD146" i="52"/>
  <c r="Y146" i="52"/>
  <c r="AF1369" i="51"/>
  <c r="Z1369" i="51"/>
  <c r="Z1717" i="51"/>
  <c r="AF1717" i="51"/>
  <c r="AK5" i="51"/>
  <c r="AL5" i="51"/>
  <c r="AE822" i="52"/>
  <c r="Z822" i="52"/>
  <c r="AP14" i="44"/>
  <c r="AF14" i="44"/>
  <c r="N855" i="55"/>
  <c r="K855" i="55"/>
  <c r="AO5" i="43"/>
  <c r="AE5" i="43"/>
  <c r="AB5" i="57"/>
  <c r="AB71" i="57"/>
  <c r="R7" i="59"/>
  <c r="R13" i="59"/>
  <c r="Y655" i="51"/>
  <c r="J655" i="55"/>
  <c r="M655" i="55"/>
  <c r="AF1194" i="51"/>
  <c r="Z1194" i="51"/>
  <c r="AE1365" i="51"/>
  <c r="Y1365" i="51"/>
  <c r="AF1761" i="51"/>
  <c r="Z1761" i="51"/>
  <c r="AF1675" i="51"/>
  <c r="Z1675" i="51"/>
  <c r="Z1524" i="51"/>
  <c r="K1524" i="55"/>
  <c r="N1524" i="55"/>
  <c r="N1179" i="55"/>
  <c r="K1179" i="55"/>
  <c r="AD235" i="52"/>
  <c r="Y235" i="52"/>
  <c r="Z1090" i="51"/>
  <c r="AF1090" i="51"/>
  <c r="N908" i="55"/>
  <c r="K908" i="55"/>
  <c r="N987" i="55"/>
  <c r="K987" i="55"/>
  <c r="AF126" i="57"/>
  <c r="AF60" i="57"/>
  <c r="M90" i="55"/>
  <c r="J90" i="55"/>
  <c r="AF1836" i="51"/>
  <c r="Z1836" i="51"/>
  <c r="AC101" i="57"/>
  <c r="AC35" i="57"/>
  <c r="AF35" i="43"/>
  <c r="AP35" i="43"/>
  <c r="N401" i="55"/>
  <c r="K401" i="55"/>
  <c r="AE370" i="51"/>
  <c r="AD124" i="52"/>
  <c r="Y124" i="52"/>
  <c r="Y713" i="51"/>
  <c r="J713" i="55"/>
  <c r="M713" i="55"/>
  <c r="Y345" i="51"/>
  <c r="J345" i="55"/>
  <c r="M345" i="55"/>
  <c r="AE415" i="52"/>
  <c r="Z415" i="52"/>
  <c r="AF148" i="51"/>
  <c r="Z148" i="51"/>
  <c r="AF2001" i="51"/>
  <c r="N445" i="55"/>
  <c r="K445" i="55"/>
  <c r="AC119" i="57"/>
  <c r="AC53" i="57"/>
  <c r="AF53" i="43"/>
  <c r="AP53" i="43"/>
  <c r="AE33" i="52"/>
  <c r="Z33" i="52"/>
  <c r="AF1097" i="51"/>
  <c r="AE12" i="52"/>
  <c r="Z12" i="52"/>
  <c r="M591" i="55"/>
  <c r="J591" i="55"/>
  <c r="AE725" i="52"/>
  <c r="Z725" i="52"/>
  <c r="Z478" i="51"/>
  <c r="K478" i="55"/>
  <c r="N478" i="55"/>
  <c r="AE480" i="52"/>
  <c r="Z480" i="52"/>
  <c r="Z1508" i="51"/>
  <c r="AF1508" i="51"/>
  <c r="AD8" i="52"/>
  <c r="Y8" i="52"/>
  <c r="AF559" i="51"/>
  <c r="Z559" i="51"/>
  <c r="AF1305" i="51"/>
  <c r="Z1305" i="51"/>
  <c r="AD345" i="52"/>
  <c r="Y345" i="52"/>
  <c r="Y245" i="51"/>
  <c r="J245" i="55"/>
  <c r="M245" i="55"/>
  <c r="M552" i="55"/>
  <c r="J552" i="55"/>
  <c r="AF641" i="51"/>
  <c r="AF1940" i="51"/>
  <c r="AD166" i="52"/>
  <c r="Y166" i="52"/>
  <c r="N1660" i="55"/>
  <c r="K1660" i="55"/>
  <c r="AE692" i="52"/>
  <c r="Z692" i="52"/>
  <c r="AD93" i="52"/>
  <c r="Y93" i="52"/>
  <c r="AF1733" i="51"/>
  <c r="Z1748" i="51"/>
  <c r="AF1748" i="51"/>
  <c r="AD174" i="52"/>
  <c r="Y174" i="52"/>
  <c r="AE469" i="52"/>
  <c r="Z469" i="52"/>
  <c r="Z130" i="51"/>
  <c r="K130" i="55"/>
  <c r="N130" i="55"/>
  <c r="AF533" i="51"/>
  <c r="Z2193" i="51"/>
  <c r="AF2193" i="51"/>
  <c r="N84" i="57"/>
  <c r="N18" i="57"/>
  <c r="N1684" i="55"/>
  <c r="K1684" i="55"/>
  <c r="AF1837" i="51"/>
  <c r="Z1837" i="51"/>
  <c r="M1013" i="55"/>
  <c r="J1013" i="55"/>
  <c r="N1570" i="55"/>
  <c r="K1570" i="55"/>
  <c r="Y638" i="51"/>
  <c r="AE638" i="51"/>
  <c r="AF485" i="51"/>
  <c r="N1517" i="55"/>
  <c r="K1517" i="55"/>
  <c r="AE811" i="52"/>
  <c r="Z811" i="52"/>
  <c r="N1202" i="55"/>
  <c r="K1202" i="55"/>
  <c r="AB122" i="57"/>
  <c r="AB56" i="57"/>
  <c r="M592" i="55"/>
  <c r="J592" i="55"/>
  <c r="N1908" i="55"/>
  <c r="K1908" i="55"/>
  <c r="AF1783" i="51"/>
  <c r="Z1783" i="51"/>
  <c r="AM43" i="44"/>
  <c r="T43" i="44"/>
  <c r="N43" i="44"/>
  <c r="Y472" i="51"/>
  <c r="AE472" i="51"/>
  <c r="AF51" i="44"/>
  <c r="AP51" i="44"/>
  <c r="N157" i="55"/>
  <c r="K157" i="55"/>
  <c r="N1848" i="55"/>
  <c r="K1848" i="55"/>
  <c r="Z1093" i="51"/>
  <c r="AF1093" i="51"/>
  <c r="N350" i="55"/>
  <c r="K350" i="55"/>
  <c r="AE384" i="52"/>
  <c r="Z384" i="52"/>
  <c r="AD35" i="52"/>
  <c r="Y35" i="52"/>
  <c r="AF1861" i="51"/>
  <c r="Z1861" i="51"/>
  <c r="N2089" i="55"/>
  <c r="K2089" i="55"/>
  <c r="N835" i="55"/>
  <c r="K835" i="55"/>
  <c r="AL32" i="43"/>
  <c r="AJ32" i="43"/>
  <c r="N2049" i="55"/>
  <c r="K2049" i="55"/>
  <c r="N1569" i="55"/>
  <c r="K1569" i="55"/>
  <c r="M355" i="55"/>
  <c r="J355" i="55"/>
  <c r="AC123" i="57"/>
  <c r="AC57" i="57"/>
  <c r="AF57" i="43"/>
  <c r="AP57" i="43"/>
  <c r="AC126" i="57"/>
  <c r="AC60" i="57"/>
  <c r="AP60" i="43"/>
  <c r="AF60" i="43"/>
  <c r="AF12" i="44"/>
  <c r="AP69" i="44"/>
  <c r="AP67" i="44"/>
  <c r="AG32" i="44"/>
  <c r="AE32" i="44"/>
  <c r="AO32" i="44"/>
  <c r="AD45" i="52"/>
  <c r="Y45" i="52"/>
  <c r="N1089" i="55"/>
  <c r="K1089" i="55"/>
  <c r="M1364" i="55"/>
  <c r="J1364" i="55"/>
  <c r="AE835" i="52"/>
  <c r="Z835" i="52"/>
  <c r="N1484" i="55"/>
  <c r="K1484" i="55"/>
  <c r="N764" i="55"/>
  <c r="K764" i="55"/>
  <c r="AF1234" i="51"/>
  <c r="Z1234" i="51"/>
  <c r="AF1730" i="51"/>
  <c r="M79" i="55"/>
  <c r="J79" i="55"/>
  <c r="AL27" i="43"/>
  <c r="AJ27" i="43"/>
  <c r="M545" i="55"/>
  <c r="J545" i="55"/>
  <c r="AE153" i="51"/>
  <c r="Y153" i="51"/>
  <c r="M473" i="55"/>
  <c r="J473" i="55"/>
  <c r="AF2126" i="51"/>
  <c r="Z508" i="51"/>
  <c r="K508" i="55"/>
  <c r="N508" i="55"/>
  <c r="AF1625" i="51"/>
  <c r="Z1625" i="51"/>
  <c r="AE317" i="51"/>
  <c r="AK11" i="43"/>
  <c r="AK11" i="44"/>
  <c r="AL55" i="43"/>
  <c r="AJ55" i="43"/>
  <c r="N19" i="44"/>
  <c r="T19" i="44"/>
  <c r="AM19" i="44"/>
  <c r="AE694" i="52"/>
  <c r="Z694" i="52"/>
  <c r="AF1402" i="51"/>
  <c r="Z1402" i="51"/>
  <c r="Y1129" i="51"/>
  <c r="J1129" i="55"/>
  <c r="M1129" i="55"/>
  <c r="Y29" i="51"/>
  <c r="J29" i="55"/>
  <c r="M29" i="55"/>
  <c r="Z1997" i="51"/>
  <c r="K1997" i="55"/>
  <c r="N1997" i="55"/>
  <c r="Z1482" i="51"/>
  <c r="AF1482" i="51"/>
  <c r="Z2153" i="51"/>
  <c r="AF2153" i="51"/>
  <c r="N1724" i="55"/>
  <c r="K1724" i="55"/>
  <c r="AD190" i="52"/>
  <c r="Y190" i="52"/>
  <c r="Y299" i="51"/>
  <c r="AE299" i="51"/>
  <c r="Z359" i="51"/>
  <c r="AF359" i="51"/>
  <c r="AE676" i="52"/>
  <c r="Z676" i="52"/>
  <c r="N1591" i="55"/>
  <c r="K1591" i="55"/>
  <c r="N1227" i="55"/>
  <c r="K1227" i="55"/>
  <c r="Z2160" i="51"/>
  <c r="K2160" i="55"/>
  <c r="N2160" i="55"/>
  <c r="Y1130" i="51"/>
  <c r="J1130" i="55"/>
  <c r="M1130" i="55"/>
  <c r="Y386" i="51"/>
  <c r="J386" i="55"/>
  <c r="M386" i="55"/>
  <c r="Z216" i="51"/>
  <c r="K216" i="55"/>
  <c r="N216" i="55"/>
  <c r="AF34" i="51"/>
  <c r="N862" i="55"/>
  <c r="K862" i="55"/>
  <c r="AF2135" i="51"/>
  <c r="N1301" i="55"/>
  <c r="K1301" i="55"/>
  <c r="AE254" i="52"/>
  <c r="Z254" i="52"/>
  <c r="AG38" i="44"/>
  <c r="AE38" i="44"/>
  <c r="AO38" i="44"/>
  <c r="Z1050" i="51"/>
  <c r="AF1050" i="51"/>
  <c r="M640" i="55"/>
  <c r="J640" i="55"/>
  <c r="AE1350" i="51"/>
  <c r="Y1350" i="51"/>
  <c r="AE670" i="52"/>
  <c r="Z670" i="52"/>
  <c r="AF1296" i="51"/>
  <c r="Z1296" i="51"/>
  <c r="AD67" i="52"/>
  <c r="Y67" i="52"/>
  <c r="AE1243" i="51"/>
  <c r="Y1243" i="51"/>
  <c r="M593" i="55"/>
  <c r="J593" i="55"/>
  <c r="AL61" i="43"/>
  <c r="AJ61" i="43"/>
  <c r="Z839" i="51"/>
  <c r="AF839" i="51"/>
  <c r="N1158" i="55"/>
  <c r="K1158" i="55"/>
  <c r="N1560" i="55"/>
  <c r="K1560" i="55"/>
  <c r="AE788" i="52"/>
  <c r="Z788" i="52"/>
  <c r="Z778" i="51"/>
  <c r="AF778" i="51"/>
  <c r="AE220" i="52"/>
  <c r="Z220" i="52"/>
  <c r="AG41" i="44"/>
  <c r="AE41" i="44"/>
  <c r="AO41" i="44"/>
  <c r="AF1933" i="51"/>
  <c r="AP10" i="43"/>
  <c r="AF10" i="43"/>
  <c r="AG10" i="43"/>
  <c r="N1772" i="55"/>
  <c r="K1772" i="55"/>
  <c r="M675" i="55"/>
  <c r="J675" i="55"/>
  <c r="AE190" i="51"/>
  <c r="AF1105" i="51"/>
  <c r="AF36" i="51"/>
  <c r="N1329" i="55"/>
  <c r="K1329" i="55"/>
  <c r="Z855" i="51"/>
  <c r="AF855" i="51"/>
  <c r="AF2002" i="51"/>
  <c r="N1004" i="55"/>
  <c r="K1004" i="55"/>
  <c r="AE973" i="52"/>
  <c r="Z973" i="52"/>
  <c r="Z1927" i="51"/>
  <c r="AF1927" i="51"/>
  <c r="AJ5" i="44"/>
  <c r="AJ67" i="44"/>
  <c r="N1215" i="55"/>
  <c r="K1215" i="55"/>
  <c r="AG57" i="44"/>
  <c r="AE57" i="44"/>
  <c r="AO57" i="44"/>
  <c r="M614" i="55"/>
  <c r="J614" i="55"/>
  <c r="AK51" i="43"/>
  <c r="AK51" i="41"/>
  <c r="AK51" i="42"/>
  <c r="AK51" i="44"/>
  <c r="Z987" i="51"/>
  <c r="AF987" i="51"/>
  <c r="N1787" i="55"/>
  <c r="K1787" i="55"/>
  <c r="N1632" i="55"/>
  <c r="K1632" i="55"/>
  <c r="AF569" i="51"/>
  <c r="Z569" i="51"/>
  <c r="Y370" i="51"/>
  <c r="J370" i="55"/>
  <c r="M370" i="55"/>
  <c r="AF1159" i="51"/>
  <c r="M1012" i="55"/>
  <c r="J1012" i="55"/>
  <c r="Z2001" i="51"/>
  <c r="K2001" i="55"/>
  <c r="N2001" i="55"/>
  <c r="AF568" i="51"/>
  <c r="Z568" i="51"/>
  <c r="AF1592" i="51"/>
  <c r="Z1592" i="51"/>
  <c r="AE58" i="52"/>
  <c r="Z58" i="52"/>
  <c r="Z445" i="51"/>
  <c r="AF445" i="51"/>
  <c r="N72" i="57"/>
  <c r="N6" i="57"/>
  <c r="M1342" i="55"/>
  <c r="J1342" i="55"/>
  <c r="AE218" i="51"/>
  <c r="AM24" i="44"/>
  <c r="T24" i="44"/>
  <c r="N24" i="44"/>
  <c r="Z1097" i="51"/>
  <c r="K1097" i="55"/>
  <c r="N1097" i="55"/>
  <c r="AE674" i="51"/>
  <c r="AC128" i="57"/>
  <c r="AP62" i="43"/>
  <c r="AF62" i="43"/>
  <c r="AC62" i="57"/>
  <c r="AE249" i="51"/>
  <c r="N1294" i="55"/>
  <c r="K1294" i="55"/>
  <c r="AD364" i="52"/>
  <c r="Y364" i="52"/>
  <c r="M596" i="55"/>
  <c r="J596" i="55"/>
  <c r="AF996" i="51"/>
  <c r="AF1531" i="51"/>
  <c r="AF415" i="51"/>
  <c r="Z955" i="51"/>
  <c r="AF955" i="51"/>
  <c r="AE478" i="52"/>
  <c r="Z478" i="52"/>
  <c r="N1832" i="55"/>
  <c r="K1832" i="55"/>
  <c r="Z641" i="51"/>
  <c r="K641" i="55"/>
  <c r="N641" i="55"/>
  <c r="Z1940" i="51"/>
  <c r="K1940" i="55"/>
  <c r="N1940" i="55"/>
  <c r="AF1986" i="51"/>
  <c r="AF1396" i="51"/>
  <c r="Z1396" i="51"/>
  <c r="AE692" i="51"/>
  <c r="Z1733" i="51"/>
  <c r="K1733" i="55"/>
  <c r="N1733" i="55"/>
  <c r="N1845" i="55"/>
  <c r="K1845" i="55"/>
  <c r="AF1765" i="51"/>
  <c r="Z1765" i="51"/>
  <c r="AF68" i="51"/>
  <c r="AO63" i="43"/>
  <c r="AE63" i="43"/>
  <c r="AG63" i="43"/>
  <c r="Z533" i="51"/>
  <c r="K533" i="55"/>
  <c r="N533" i="55"/>
  <c r="Z1517" i="51"/>
  <c r="AF1517" i="51"/>
  <c r="N1899" i="55"/>
  <c r="K1899" i="55"/>
  <c r="AF1850" i="51"/>
  <c r="Z1850" i="51"/>
  <c r="AL41" i="43"/>
  <c r="AJ41" i="43"/>
  <c r="AF1615" i="51"/>
  <c r="Z1615" i="51"/>
  <c r="N870" i="55"/>
  <c r="K870" i="55"/>
  <c r="AF517" i="51"/>
  <c r="Y949" i="51"/>
  <c r="AE949" i="51"/>
  <c r="AE39" i="52"/>
  <c r="Z39" i="52"/>
  <c r="AE687" i="51"/>
  <c r="Z1939" i="51"/>
  <c r="AF1939" i="51"/>
  <c r="AF36" i="44"/>
  <c r="AP36" i="44"/>
  <c r="AL36" i="44"/>
  <c r="AJ36" i="44"/>
  <c r="AL36" i="42"/>
  <c r="N2109" i="55"/>
  <c r="K2109" i="55"/>
  <c r="AE997" i="52"/>
  <c r="Z997" i="52"/>
  <c r="AG27" i="44"/>
  <c r="AE27" i="44"/>
  <c r="AO27" i="44"/>
  <c r="AF1969" i="51"/>
  <c r="M344" i="55"/>
  <c r="J344" i="55"/>
  <c r="N2092" i="55"/>
  <c r="K2092" i="55"/>
  <c r="AD269" i="52"/>
  <c r="Y269" i="52"/>
  <c r="N1170" i="55"/>
  <c r="K1170" i="55"/>
  <c r="N2091" i="55"/>
  <c r="K2091" i="55"/>
  <c r="N552" i="55"/>
  <c r="K552" i="55"/>
  <c r="N147" i="55"/>
  <c r="K147" i="55"/>
  <c r="N2151" i="55"/>
  <c r="K2151" i="55"/>
  <c r="AE884" i="52"/>
  <c r="Z884" i="52"/>
  <c r="N25" i="55"/>
  <c r="K25" i="55"/>
  <c r="N1553" i="55"/>
  <c r="K1553" i="55"/>
  <c r="N1399" i="55"/>
  <c r="K1399" i="55"/>
  <c r="AE857" i="52"/>
  <c r="Z857" i="52"/>
  <c r="AF570" i="51"/>
  <c r="Z570" i="51"/>
  <c r="AG48" i="44"/>
  <c r="AE48" i="44"/>
  <c r="AO48" i="44"/>
  <c r="AE942" i="52"/>
  <c r="Z942" i="52"/>
  <c r="N1428" i="55"/>
  <c r="K1428" i="55"/>
  <c r="Z1464" i="51"/>
  <c r="AF1464" i="51"/>
  <c r="N1285" i="55"/>
  <c r="K1285" i="55"/>
  <c r="AE852" i="52"/>
  <c r="Z852" i="52"/>
  <c r="N2012" i="55"/>
  <c r="K2012" i="55"/>
  <c r="AE739" i="52"/>
  <c r="Z739" i="52"/>
  <c r="AF1640" i="51"/>
  <c r="Z1640" i="51"/>
  <c r="N46" i="57"/>
  <c r="N112" i="57"/>
  <c r="Z1089" i="51"/>
  <c r="AF1089" i="51"/>
  <c r="N2057" i="55"/>
  <c r="K2057" i="55"/>
  <c r="AC103" i="57"/>
  <c r="AP37" i="43"/>
  <c r="AF37" i="43"/>
  <c r="AC37" i="57"/>
  <c r="N91" i="55"/>
  <c r="K91" i="55"/>
  <c r="AF1428" i="51"/>
  <c r="Z1428" i="51"/>
  <c r="AE949" i="52"/>
  <c r="Z949" i="52"/>
  <c r="AE925" i="52"/>
  <c r="Z925" i="52"/>
  <c r="AF61" i="44"/>
  <c r="AP61" i="44"/>
  <c r="AE242" i="52"/>
  <c r="Z242" i="52"/>
  <c r="AD659" i="52"/>
  <c r="Y659" i="52"/>
  <c r="AE1274" i="51"/>
  <c r="Y1274" i="51"/>
  <c r="N1942" i="55"/>
  <c r="K1942" i="55"/>
  <c r="N1865" i="55"/>
  <c r="K1865" i="55"/>
  <c r="AE820" i="52"/>
  <c r="Z820" i="52"/>
  <c r="AF1284" i="51"/>
  <c r="Z1284" i="51"/>
  <c r="M890" i="55"/>
  <c r="J890" i="55"/>
  <c r="AD398" i="52"/>
  <c r="Y398" i="52"/>
  <c r="Z1730" i="51"/>
  <c r="K1730" i="55"/>
  <c r="N1730" i="55"/>
  <c r="AM44" i="43"/>
  <c r="N44" i="43"/>
  <c r="T44" i="43"/>
  <c r="Z2126" i="51"/>
  <c r="K2126" i="55"/>
  <c r="N2126" i="55"/>
  <c r="AE278" i="51"/>
  <c r="Y317" i="51"/>
  <c r="J317" i="55"/>
  <c r="M317" i="55"/>
  <c r="AD299" i="52"/>
  <c r="Y299" i="52"/>
  <c r="AK11" i="42"/>
  <c r="AG11" i="57"/>
  <c r="AG77" i="57"/>
  <c r="Z1542" i="51"/>
  <c r="AF1542" i="51"/>
  <c r="AD587" i="52"/>
  <c r="Y587" i="52"/>
  <c r="Z1074" i="51"/>
  <c r="AF1074" i="51"/>
  <c r="Z2022" i="51"/>
  <c r="AF2022" i="51"/>
  <c r="Z2122" i="51"/>
  <c r="AF2122" i="51"/>
  <c r="Y1039" i="51"/>
  <c r="AE1039" i="51"/>
  <c r="M208" i="55"/>
  <c r="J208" i="55"/>
  <c r="Z398" i="51"/>
  <c r="AF398" i="51"/>
  <c r="Y467" i="51"/>
  <c r="AE467" i="51"/>
  <c r="Y325" i="51"/>
  <c r="AE325" i="51"/>
  <c r="AF2184" i="51"/>
  <c r="Z2184" i="51"/>
  <c r="Z472" i="51"/>
  <c r="AF472" i="51"/>
  <c r="Y499" i="51"/>
  <c r="AE499" i="51"/>
  <c r="Z34" i="51"/>
  <c r="K34" i="55"/>
  <c r="N34" i="55"/>
  <c r="AF1662" i="51"/>
  <c r="Z1662" i="51"/>
  <c r="AE991" i="52"/>
  <c r="Z991" i="52"/>
  <c r="N1664" i="55"/>
  <c r="K1664" i="55"/>
  <c r="Z2135" i="51"/>
  <c r="K2135" i="55"/>
  <c r="N2135" i="55"/>
  <c r="Z485" i="51"/>
  <c r="K485" i="55"/>
  <c r="N485" i="55"/>
  <c r="AD244" i="52"/>
  <c r="Y244" i="52"/>
  <c r="Z1986" i="51"/>
  <c r="K1986" i="55"/>
  <c r="N1986" i="55"/>
  <c r="N1237" i="55"/>
  <c r="K1237" i="55"/>
  <c r="Z120" i="51"/>
  <c r="AF120" i="51"/>
  <c r="Z1489" i="51"/>
  <c r="AF1489" i="51"/>
  <c r="Y640" i="51"/>
  <c r="AE640" i="51"/>
  <c r="Z1499" i="51"/>
  <c r="AF1499" i="51"/>
  <c r="Z1937" i="51"/>
  <c r="AF1937" i="51"/>
  <c r="Y732" i="51"/>
  <c r="AE732" i="51"/>
  <c r="Y497" i="51"/>
  <c r="AE497" i="51"/>
  <c r="AF1184" i="51"/>
  <c r="Z1184" i="51"/>
  <c r="Y593" i="51"/>
  <c r="AE593" i="51"/>
  <c r="AD63" i="52"/>
  <c r="Y63" i="52"/>
  <c r="Y824" i="51"/>
  <c r="AE824" i="51"/>
  <c r="AE637" i="52"/>
  <c r="Z637" i="52"/>
  <c r="Z1072" i="51"/>
  <c r="AF1072" i="51"/>
  <c r="AK41" i="43"/>
  <c r="AK41" i="41"/>
  <c r="AK41" i="42"/>
  <c r="AK41" i="44"/>
  <c r="Z1933" i="51"/>
  <c r="K1933" i="55"/>
  <c r="N1933" i="55"/>
  <c r="Z353" i="51"/>
  <c r="AF353" i="51"/>
  <c r="AL59" i="44"/>
  <c r="AJ59" i="44"/>
  <c r="Y675" i="51"/>
  <c r="AE675" i="51"/>
  <c r="AD60" i="52"/>
  <c r="Y60" i="52"/>
  <c r="Y190" i="51"/>
  <c r="J190" i="55"/>
  <c r="M190" i="55"/>
  <c r="Z1105" i="51"/>
  <c r="K1105" i="55"/>
  <c r="N1105" i="55"/>
  <c r="Z36" i="51"/>
  <c r="K36" i="55"/>
  <c r="N36" i="55"/>
  <c r="N1310" i="55"/>
  <c r="K1310" i="55"/>
  <c r="Z862" i="51"/>
  <c r="AF862" i="51"/>
  <c r="AF564" i="51"/>
  <c r="Z564" i="51"/>
  <c r="Y390" i="51"/>
  <c r="AE390" i="51"/>
  <c r="AD499" i="52"/>
  <c r="Y499" i="52"/>
  <c r="Z2002" i="51"/>
  <c r="K2002" i="55"/>
  <c r="N2002" i="55"/>
  <c r="AD111" i="52"/>
  <c r="Y111" i="52"/>
  <c r="N1583" i="55"/>
  <c r="K1583" i="55"/>
  <c r="AE736" i="52"/>
  <c r="Z736" i="52"/>
  <c r="AF1612" i="51"/>
  <c r="Z1612" i="51"/>
  <c r="AE719" i="52"/>
  <c r="Z719" i="52"/>
  <c r="N1387" i="55"/>
  <c r="K1387" i="55"/>
  <c r="Z1004" i="51"/>
  <c r="AF1004" i="51"/>
  <c r="AO37" i="44"/>
  <c r="AE37" i="44"/>
  <c r="AG37" i="44"/>
  <c r="AK54" i="43"/>
  <c r="AK54" i="41"/>
  <c r="AK54" i="42"/>
  <c r="AK54" i="44"/>
  <c r="M637" i="55"/>
  <c r="J637" i="55"/>
  <c r="Y614" i="51"/>
  <c r="AE614" i="51"/>
  <c r="Z2191" i="51"/>
  <c r="AF2191" i="51"/>
  <c r="Y942" i="51"/>
  <c r="AE942" i="51"/>
  <c r="AO42" i="44"/>
  <c r="AE42" i="44"/>
  <c r="AG42" i="44"/>
  <c r="Z1158" i="51"/>
  <c r="AF1158" i="51"/>
  <c r="Z2137" i="51"/>
  <c r="AF2137" i="51"/>
  <c r="Z1170" i="51"/>
  <c r="AF1170" i="51"/>
  <c r="AD514" i="52"/>
  <c r="Y514" i="52"/>
  <c r="AF76" i="57"/>
  <c r="AF10" i="57"/>
  <c r="Y729" i="51"/>
  <c r="AE729" i="51"/>
  <c r="N2106" i="55"/>
  <c r="K2106" i="55"/>
  <c r="AP11" i="44"/>
  <c r="AF11" i="44"/>
  <c r="AG11" i="44"/>
  <c r="N1287" i="55"/>
  <c r="K1287" i="55"/>
  <c r="Z1159" i="51"/>
  <c r="K1159" i="55"/>
  <c r="N1159" i="55"/>
  <c r="N1676" i="55"/>
  <c r="K1676" i="55"/>
  <c r="AF1575" i="51"/>
  <c r="Z1575" i="51"/>
  <c r="AF1204" i="51"/>
  <c r="Z1204" i="51"/>
  <c r="Z870" i="51"/>
  <c r="AF870" i="51"/>
  <c r="Z1495" i="51"/>
  <c r="AF1495" i="51"/>
  <c r="AG94" i="57"/>
  <c r="AG28" i="57"/>
  <c r="Z517" i="51"/>
  <c r="K517" i="55"/>
  <c r="N517" i="55"/>
  <c r="Y218" i="51"/>
  <c r="J218" i="55"/>
  <c r="M218" i="55"/>
  <c r="N1731" i="55"/>
  <c r="K1731" i="55"/>
  <c r="Y674" i="51"/>
  <c r="J674" i="55"/>
  <c r="M674" i="55"/>
  <c r="AD185" i="52"/>
  <c r="Y185" i="52"/>
  <c r="Y249" i="51"/>
  <c r="J249" i="55"/>
  <c r="M249" i="55"/>
  <c r="N71" i="55"/>
  <c r="K71" i="55"/>
  <c r="Y596" i="51"/>
  <c r="AE596" i="51"/>
  <c r="Z996" i="51"/>
  <c r="K996" i="55"/>
  <c r="N996" i="55"/>
  <c r="AF1820" i="51"/>
  <c r="Z1820" i="51"/>
  <c r="N1828" i="55"/>
  <c r="K1828" i="55"/>
  <c r="AF131" i="57"/>
  <c r="AF65" i="57"/>
  <c r="AE32" i="52"/>
  <c r="Z32" i="52"/>
  <c r="Z1531" i="51"/>
  <c r="K1531" i="55"/>
  <c r="N1531" i="55"/>
  <c r="Z415" i="51"/>
  <c r="K415" i="55"/>
  <c r="N415" i="55"/>
  <c r="Y305" i="51"/>
  <c r="AE305" i="51"/>
  <c r="Y484" i="51"/>
  <c r="AE484" i="51"/>
  <c r="Z912" i="51"/>
  <c r="AF912" i="51"/>
  <c r="Z875" i="51"/>
  <c r="AF875" i="51"/>
  <c r="Y208" i="51"/>
  <c r="AE208" i="51"/>
  <c r="Z617" i="51"/>
  <c r="AF617" i="51"/>
  <c r="AE922" i="52"/>
  <c r="Z922" i="52"/>
  <c r="AE970" i="52"/>
  <c r="Z970" i="52"/>
  <c r="Y692" i="51"/>
  <c r="J692" i="55"/>
  <c r="M692" i="55"/>
  <c r="AE722" i="52"/>
  <c r="Z722" i="52"/>
  <c r="Z22" i="51"/>
  <c r="AF22" i="51"/>
  <c r="AE424" i="52"/>
  <c r="Z424" i="52"/>
  <c r="AL34" i="44"/>
  <c r="AJ34" i="44"/>
  <c r="Z68" i="51"/>
  <c r="K68" i="55"/>
  <c r="N68" i="55"/>
  <c r="Z363" i="51"/>
  <c r="AF363" i="51"/>
  <c r="Z1448" i="51"/>
  <c r="AF1448" i="51"/>
  <c r="Y518" i="51"/>
  <c r="AE518" i="51"/>
  <c r="AD492" i="52"/>
  <c r="Y492" i="52"/>
  <c r="Z1446" i="51"/>
  <c r="AF1446" i="51"/>
  <c r="Y544" i="51"/>
  <c r="AE544" i="51"/>
  <c r="Z979" i="51"/>
  <c r="AF979" i="51"/>
  <c r="AF1859" i="51"/>
  <c r="Z1859" i="51"/>
  <c r="Y687" i="51"/>
  <c r="J687" i="55"/>
  <c r="M687" i="55"/>
  <c r="AK38" i="44"/>
  <c r="AK38" i="43"/>
  <c r="AP10" i="44"/>
  <c r="AF10" i="44"/>
  <c r="AG10" i="44"/>
  <c r="AD150" i="52"/>
  <c r="Y150" i="52"/>
  <c r="AJ36" i="42"/>
  <c r="AF36" i="57"/>
  <c r="AF102" i="57"/>
  <c r="Z1960" i="51"/>
  <c r="AF1960" i="51"/>
  <c r="Y355" i="51"/>
  <c r="AE355" i="51"/>
  <c r="AF1686" i="51"/>
  <c r="Z1686" i="51"/>
  <c r="Z1969" i="51"/>
  <c r="K1969" i="55"/>
  <c r="N1969" i="55"/>
  <c r="AF16" i="44"/>
  <c r="AP16" i="44"/>
  <c r="N995" i="55"/>
  <c r="K995" i="55"/>
  <c r="AK38" i="41"/>
  <c r="AK38" i="42"/>
  <c r="AG38" i="57"/>
  <c r="AG104" i="57"/>
  <c r="M663" i="55"/>
  <c r="J663" i="55"/>
  <c r="AE889" i="52"/>
  <c r="Z889" i="52"/>
  <c r="Z1553" i="51"/>
  <c r="AF1553" i="51"/>
  <c r="AE842" i="52"/>
  <c r="Z842" i="52"/>
  <c r="N2127" i="55"/>
  <c r="K2127" i="55"/>
  <c r="N1543" i="55"/>
  <c r="K1543" i="55"/>
  <c r="AD515" i="52"/>
  <c r="Y515" i="52"/>
  <c r="M405" i="55"/>
  <c r="J405" i="55"/>
  <c r="N1702" i="55"/>
  <c r="K1702" i="55"/>
  <c r="N861" i="55"/>
  <c r="K861" i="55"/>
  <c r="AE642" i="52"/>
  <c r="Z642" i="52"/>
  <c r="N1492" i="55"/>
  <c r="K1492" i="55"/>
  <c r="AE948" i="52"/>
  <c r="Z948" i="52"/>
  <c r="Y473" i="51"/>
  <c r="AE473" i="51"/>
  <c r="M567" i="55"/>
  <c r="J567" i="55"/>
  <c r="AP25" i="43"/>
  <c r="AF25" i="43"/>
  <c r="AC25" i="57"/>
  <c r="AC91" i="57"/>
  <c r="AD219" i="52"/>
  <c r="Y219" i="52"/>
  <c r="Y430" i="51"/>
  <c r="AE430" i="51"/>
  <c r="N26" i="43"/>
  <c r="T26" i="43"/>
  <c r="AM26" i="43"/>
  <c r="AE939" i="52"/>
  <c r="Z939" i="52"/>
  <c r="Y278" i="51"/>
  <c r="J278" i="55"/>
  <c r="M278" i="55"/>
  <c r="AD255" i="52"/>
  <c r="Y255" i="52"/>
  <c r="Z1560" i="51"/>
  <c r="AF1560" i="51"/>
  <c r="N450" i="55"/>
  <c r="K450" i="55"/>
  <c r="AF1750" i="51"/>
  <c r="Y637" i="51"/>
  <c r="AE637" i="51"/>
  <c r="AE642" i="51"/>
  <c r="Y1013" i="51"/>
  <c r="AE1013" i="51"/>
  <c r="Z1731" i="51"/>
  <c r="AF1731" i="51"/>
  <c r="M307" i="55"/>
  <c r="J307" i="55"/>
  <c r="AG91" i="57"/>
  <c r="AG25" i="57"/>
  <c r="N757" i="55"/>
  <c r="K757" i="55"/>
  <c r="AF830" i="51"/>
  <c r="M887" i="55"/>
  <c r="J887" i="55"/>
  <c r="Y592" i="51"/>
  <c r="AE592" i="51"/>
  <c r="N504" i="55"/>
  <c r="K504" i="55"/>
  <c r="AE48" i="52"/>
  <c r="Z48" i="52"/>
  <c r="N2141" i="55"/>
  <c r="K2141" i="55"/>
  <c r="AE80" i="51"/>
  <c r="AE623" i="51"/>
  <c r="AG127" i="57"/>
  <c r="AG61" i="57"/>
  <c r="AE715" i="52"/>
  <c r="Z715" i="52"/>
  <c r="M337" i="55"/>
  <c r="J337" i="55"/>
  <c r="AF1685" i="51"/>
  <c r="Z1685" i="51"/>
  <c r="M531" i="55"/>
  <c r="J531" i="55"/>
  <c r="AF555" i="51"/>
  <c r="Z555" i="51"/>
  <c r="AF1607" i="51"/>
  <c r="Z1607" i="51"/>
  <c r="Z2128" i="51"/>
  <c r="AF2128" i="51"/>
  <c r="AD217" i="52"/>
  <c r="Y217" i="52"/>
  <c r="M1363" i="55"/>
  <c r="J1363" i="55"/>
  <c r="M1123" i="55"/>
  <c r="J1123" i="55"/>
  <c r="AD657" i="52"/>
  <c r="Y657" i="52"/>
  <c r="AF1420" i="51"/>
  <c r="Z1420" i="51"/>
  <c r="M298" i="55"/>
  <c r="J298" i="55"/>
  <c r="AF1405" i="51"/>
  <c r="Z1405" i="51"/>
  <c r="AE1266" i="51"/>
  <c r="Y1266" i="51"/>
  <c r="AE898" i="52"/>
  <c r="Z898" i="52"/>
  <c r="AF1385" i="51"/>
  <c r="Z1385" i="51"/>
  <c r="N97" i="57"/>
  <c r="N31" i="57"/>
  <c r="N93" i="57"/>
  <c r="N27" i="57"/>
  <c r="AD577" i="52"/>
  <c r="Y577" i="52"/>
  <c r="N994" i="55"/>
  <c r="K994" i="55"/>
  <c r="N1858" i="55"/>
  <c r="K1858" i="55"/>
  <c r="Z1057" i="51"/>
  <c r="AF1057" i="51"/>
  <c r="N1798" i="55"/>
  <c r="K1798" i="55"/>
  <c r="AF47" i="44"/>
  <c r="AP47" i="44"/>
  <c r="N1395" i="55"/>
  <c r="K1395" i="55"/>
  <c r="AD487" i="52"/>
  <c r="Y487" i="52"/>
  <c r="AE734" i="51"/>
  <c r="AF747" i="51"/>
  <c r="AF94" i="57"/>
  <c r="AF28" i="57"/>
  <c r="AE825" i="51"/>
  <c r="AM34" i="43"/>
  <c r="T34" i="43"/>
  <c r="N34" i="43"/>
  <c r="AD66" i="52"/>
  <c r="Y66" i="52"/>
  <c r="AF2108" i="51"/>
  <c r="AF1399" i="51"/>
  <c r="Z1399" i="51"/>
  <c r="AE757" i="52"/>
  <c r="Z757" i="52"/>
  <c r="AE31" i="52"/>
  <c r="Z31" i="52"/>
  <c r="M283" i="55"/>
  <c r="J283" i="55"/>
  <c r="N1166" i="55"/>
  <c r="K1166" i="55"/>
  <c r="AF87" i="57"/>
  <c r="AF21" i="57"/>
  <c r="AE717" i="52"/>
  <c r="Z717" i="52"/>
  <c r="AE1255" i="51"/>
  <c r="Y1255" i="51"/>
  <c r="AC109" i="57"/>
  <c r="AC43" i="57"/>
  <c r="AF43" i="43"/>
  <c r="AP43" i="43"/>
  <c r="AM11" i="43"/>
  <c r="T11" i="43"/>
  <c r="N11" i="43"/>
  <c r="AE818" i="52"/>
  <c r="Z818" i="52"/>
  <c r="M349" i="55"/>
  <c r="J349" i="55"/>
  <c r="N897" i="55"/>
  <c r="K897" i="55"/>
  <c r="N81" i="55"/>
  <c r="K81" i="55"/>
  <c r="AG31" i="44"/>
  <c r="AE31" i="44"/>
  <c r="AO31" i="44"/>
  <c r="M43" i="55"/>
  <c r="J43" i="55"/>
  <c r="AF1868" i="51"/>
  <c r="Z1868" i="51"/>
  <c r="Z1724" i="51"/>
  <c r="AF1724" i="51"/>
  <c r="AF163" i="51"/>
  <c r="Z163" i="51"/>
  <c r="N76" i="55"/>
  <c r="K76" i="55"/>
  <c r="N2039" i="55"/>
  <c r="K2039" i="55"/>
  <c r="N1906" i="55"/>
  <c r="K1906" i="55"/>
  <c r="M739" i="55"/>
  <c r="J739" i="55"/>
  <c r="AE182" i="51"/>
  <c r="Y182" i="51"/>
  <c r="M223" i="55"/>
  <c r="J223" i="55"/>
  <c r="AL21" i="43"/>
  <c r="AJ21" i="43"/>
  <c r="AC121" i="57"/>
  <c r="AC55" i="57"/>
  <c r="AF55" i="43"/>
  <c r="AP55" i="43"/>
  <c r="AE419" i="52"/>
  <c r="Z419" i="52"/>
  <c r="AE64" i="52"/>
  <c r="Z64" i="52"/>
  <c r="N2155" i="55"/>
  <c r="K2155" i="55"/>
  <c r="N2211" i="55"/>
  <c r="K2211" i="55"/>
  <c r="AF2118" i="51"/>
  <c r="N346" i="55"/>
  <c r="K346" i="55"/>
  <c r="AE258" i="52"/>
  <c r="Z258" i="52"/>
  <c r="AD89" i="52"/>
  <c r="Y89" i="52"/>
  <c r="N761" i="55"/>
  <c r="K761" i="55"/>
  <c r="AF633" i="51"/>
  <c r="M1122" i="55"/>
  <c r="J1122" i="55"/>
  <c r="AF1595" i="51"/>
  <c r="Z1595" i="51"/>
  <c r="N2208" i="55"/>
  <c r="K2208" i="55"/>
  <c r="AE758" i="52"/>
  <c r="Z758" i="52"/>
  <c r="AG61" i="43"/>
  <c r="AF46" i="51"/>
  <c r="AE304" i="51"/>
  <c r="AM55" i="44"/>
  <c r="T55" i="44"/>
  <c r="N55" i="44"/>
  <c r="N2204" i="55"/>
  <c r="K2204" i="55"/>
  <c r="N2058" i="55"/>
  <c r="K2058" i="55"/>
  <c r="AF1880" i="51"/>
  <c r="Z1880" i="51"/>
  <c r="M605" i="55"/>
  <c r="J605" i="55"/>
  <c r="N172" i="55"/>
  <c r="K172" i="55"/>
  <c r="N1452" i="55"/>
  <c r="K1452" i="55"/>
  <c r="AF43" i="44"/>
  <c r="AP43" i="44"/>
  <c r="AE161" i="51"/>
  <c r="Y161" i="51"/>
  <c r="N1112" i="55"/>
  <c r="K1112" i="55"/>
  <c r="AE554" i="52"/>
  <c r="Z554" i="52"/>
  <c r="N901" i="55"/>
  <c r="K901" i="55"/>
  <c r="N923" i="55"/>
  <c r="K923" i="55"/>
  <c r="AM16" i="43"/>
  <c r="T16" i="43"/>
  <c r="N16" i="43"/>
  <c r="AE148" i="51"/>
  <c r="Y148" i="51"/>
  <c r="N1853" i="55"/>
  <c r="K1853" i="55"/>
  <c r="AF137" i="51"/>
  <c r="Z137" i="51"/>
  <c r="N2158" i="55"/>
  <c r="K2158" i="55"/>
  <c r="M658" i="55"/>
  <c r="J658" i="55"/>
  <c r="N1897" i="55"/>
  <c r="K1897" i="55"/>
  <c r="AM53" i="43"/>
  <c r="T53" i="43"/>
  <c r="N53" i="43"/>
  <c r="AE1019" i="51"/>
  <c r="AF600" i="51"/>
  <c r="N993" i="55"/>
  <c r="K993" i="55"/>
  <c r="AE370" i="52"/>
  <c r="Z370" i="52"/>
  <c r="AF42" i="51"/>
  <c r="N1931" i="55"/>
  <c r="K1931" i="55"/>
  <c r="AF26" i="44"/>
  <c r="AP26" i="44"/>
  <c r="AF2132" i="51"/>
  <c r="AF392" i="51"/>
  <c r="N1673" i="55"/>
  <c r="K1673" i="55"/>
  <c r="AE252" i="52"/>
  <c r="Z252" i="52"/>
  <c r="AF59" i="44"/>
  <c r="AP59" i="44"/>
  <c r="M1352" i="55"/>
  <c r="J1352" i="55"/>
  <c r="N958" i="55"/>
  <c r="K958" i="55"/>
  <c r="M292" i="55"/>
  <c r="J292" i="55"/>
  <c r="AC97" i="57"/>
  <c r="AC31" i="57"/>
  <c r="AF31" i="43"/>
  <c r="AP31" i="43"/>
  <c r="AE570" i="52"/>
  <c r="Z570" i="52"/>
  <c r="AE49" i="52"/>
  <c r="Z49" i="52"/>
  <c r="AF1862" i="51"/>
  <c r="Z1862" i="51"/>
  <c r="AF129" i="57"/>
  <c r="AF63" i="57"/>
  <c r="N85" i="55"/>
  <c r="K85" i="55"/>
  <c r="AE189" i="51"/>
  <c r="N488" i="55"/>
  <c r="K488" i="55"/>
  <c r="AF8" i="51"/>
  <c r="AF111" i="57"/>
  <c r="AF45" i="57"/>
  <c r="AE369" i="52"/>
  <c r="Z369" i="52"/>
  <c r="M577" i="55"/>
  <c r="J577" i="55"/>
  <c r="AE214" i="52"/>
  <c r="Z214" i="52"/>
  <c r="AF1207" i="51"/>
  <c r="Z1207" i="51"/>
  <c r="AM48" i="43"/>
  <c r="T48" i="43"/>
  <c r="N48" i="43"/>
  <c r="AC90" i="57"/>
  <c r="AC24" i="57"/>
  <c r="AF24" i="43"/>
  <c r="AP24" i="43"/>
  <c r="AD574" i="52"/>
  <c r="Y574" i="52"/>
  <c r="AF1925" i="51"/>
  <c r="AE1040" i="51"/>
  <c r="AF1608" i="51"/>
  <c r="Z1608" i="51"/>
  <c r="AE525" i="52"/>
  <c r="Z525" i="52"/>
  <c r="AM50" i="44"/>
  <c r="T50" i="44"/>
  <c r="N50" i="44"/>
  <c r="AE732" i="52"/>
  <c r="Z732" i="52"/>
  <c r="M413" i="55"/>
  <c r="J413" i="55"/>
  <c r="Y439" i="51"/>
  <c r="AE439" i="51"/>
  <c r="Y92" i="51"/>
  <c r="AE92" i="51"/>
  <c r="AF2164" i="51"/>
  <c r="AO6" i="44"/>
  <c r="AE6" i="44"/>
  <c r="AG6" i="44"/>
  <c r="AF118" i="57"/>
  <c r="AF52" i="57"/>
  <c r="AF181" i="51"/>
  <c r="Z181" i="51"/>
  <c r="Z1750" i="51"/>
  <c r="K1750" i="55"/>
  <c r="N1750" i="55"/>
  <c r="AE941" i="52"/>
  <c r="Z941" i="52"/>
  <c r="AF1779" i="51"/>
  <c r="Z1779" i="51"/>
  <c r="M146" i="55"/>
  <c r="J146" i="55"/>
  <c r="AD653" i="52"/>
  <c r="Y653" i="52"/>
  <c r="AE452" i="52"/>
  <c r="Z452" i="52"/>
  <c r="AE619" i="52"/>
  <c r="Z619" i="52"/>
  <c r="Y642" i="51"/>
  <c r="J642" i="55"/>
  <c r="M642" i="55"/>
  <c r="AE875" i="52"/>
  <c r="Z875" i="52"/>
  <c r="Y591" i="51"/>
  <c r="AE591" i="51"/>
  <c r="AE762" i="52"/>
  <c r="Z762" i="52"/>
  <c r="AE978" i="52"/>
  <c r="Z978" i="52"/>
  <c r="AO36" i="44"/>
  <c r="AE36" i="44"/>
  <c r="AG36" i="44"/>
  <c r="Z1908" i="51"/>
  <c r="AF1908" i="51"/>
  <c r="AK28" i="43"/>
  <c r="AK28" i="41"/>
  <c r="AK28" i="42"/>
  <c r="AK28" i="44"/>
  <c r="N1802" i="55"/>
  <c r="K1802" i="55"/>
  <c r="AL33" i="44"/>
  <c r="AJ33" i="44"/>
  <c r="Z830" i="51"/>
  <c r="K830" i="55"/>
  <c r="N830" i="55"/>
  <c r="AF1457" i="51"/>
  <c r="AE834" i="52"/>
  <c r="Z834" i="52"/>
  <c r="AF1777" i="51"/>
  <c r="Z1777" i="51"/>
  <c r="AE1247" i="51"/>
  <c r="Y1247" i="51"/>
  <c r="AM39" i="44"/>
  <c r="T39" i="44"/>
  <c r="N39" i="44"/>
  <c r="M1036" i="55"/>
  <c r="J1036" i="55"/>
  <c r="Y80" i="51"/>
  <c r="J80" i="55"/>
  <c r="M80" i="55"/>
  <c r="Y623" i="51"/>
  <c r="J623" i="55"/>
  <c r="M623" i="55"/>
  <c r="AF426" i="51"/>
  <c r="AE491" i="51"/>
  <c r="AE1124" i="51"/>
  <c r="AB117" i="57"/>
  <c r="AB51" i="57"/>
  <c r="N407" i="55"/>
  <c r="K407" i="55"/>
  <c r="N627" i="55"/>
  <c r="K627" i="55"/>
  <c r="AE742" i="52"/>
  <c r="Z742" i="52"/>
  <c r="AF1554" i="51"/>
  <c r="N364" i="55"/>
  <c r="K364" i="55"/>
  <c r="AD163" i="52"/>
  <c r="Y163" i="52"/>
  <c r="N2113" i="55"/>
  <c r="K2113" i="55"/>
  <c r="N1764" i="55"/>
  <c r="K1764" i="55"/>
  <c r="Z2057" i="51"/>
  <c r="AF2057" i="51"/>
  <c r="Z210" i="51"/>
  <c r="AF210" i="51"/>
  <c r="AL37" i="44"/>
  <c r="AJ37" i="44"/>
  <c r="AF1514" i="51"/>
  <c r="AE464" i="51"/>
  <c r="Z91" i="51"/>
  <c r="AF91" i="51"/>
  <c r="AE217" i="52"/>
  <c r="Z217" i="52"/>
  <c r="Y734" i="51"/>
  <c r="J734" i="55"/>
  <c r="M734" i="55"/>
  <c r="N1210" i="55"/>
  <c r="K1210" i="55"/>
  <c r="Z747" i="51"/>
  <c r="K747" i="55"/>
  <c r="N747" i="55"/>
  <c r="AL46" i="44"/>
  <c r="AJ46" i="44"/>
  <c r="M152" i="55"/>
  <c r="J152" i="55"/>
  <c r="AF1671" i="51"/>
  <c r="Z1671" i="51"/>
  <c r="AD216" i="52"/>
  <c r="Y216" i="52"/>
  <c r="Y825" i="51"/>
  <c r="J825" i="55"/>
  <c r="M825" i="55"/>
  <c r="AE847" i="52"/>
  <c r="Z847" i="52"/>
  <c r="Z764" i="51"/>
  <c r="AF764" i="51"/>
  <c r="AF2064" i="51"/>
  <c r="Z2108" i="51"/>
  <c r="K2108" i="55"/>
  <c r="N2108" i="55"/>
  <c r="AF1797" i="51"/>
  <c r="Z1797" i="51"/>
  <c r="AE678" i="52"/>
  <c r="Z678" i="52"/>
  <c r="AE980" i="52"/>
  <c r="Z980" i="52"/>
  <c r="AC93" i="57"/>
  <c r="AC27" i="57"/>
  <c r="AF27" i="43"/>
  <c r="AP27" i="43"/>
  <c r="AE784" i="52"/>
  <c r="Z784" i="52"/>
  <c r="N1107" i="55"/>
  <c r="K1107" i="55"/>
  <c r="AE451" i="52"/>
  <c r="Z451" i="52"/>
  <c r="AE1015" i="52"/>
  <c r="Z1015" i="52"/>
  <c r="N2216" i="55"/>
  <c r="K2216" i="55"/>
  <c r="AE651" i="51"/>
  <c r="AE252" i="51"/>
  <c r="N42" i="43"/>
  <c r="T42" i="43"/>
  <c r="AM42" i="43"/>
  <c r="AF167" i="51"/>
  <c r="Z167" i="51"/>
  <c r="AE645" i="52"/>
  <c r="Z645" i="52"/>
  <c r="AF454" i="51"/>
  <c r="AE791" i="52"/>
  <c r="Z791" i="52"/>
  <c r="Y635" i="51"/>
  <c r="AE635" i="51"/>
  <c r="AE388" i="52"/>
  <c r="Z388" i="52"/>
  <c r="AF1330" i="51"/>
  <c r="Z1330" i="51"/>
  <c r="AF190" i="51"/>
  <c r="Y90" i="51"/>
  <c r="AE90" i="51"/>
  <c r="AD340" i="52"/>
  <c r="Y340" i="52"/>
  <c r="Y344" i="51"/>
  <c r="AE344" i="51"/>
  <c r="Z2118" i="51"/>
  <c r="K2118" i="55"/>
  <c r="N2118" i="55"/>
  <c r="AE412" i="52"/>
  <c r="Z412" i="52"/>
  <c r="AE576" i="51"/>
  <c r="AF1910" i="51"/>
  <c r="AF840" i="51"/>
  <c r="AF198" i="51"/>
  <c r="Z633" i="51"/>
  <c r="K633" i="55"/>
  <c r="N633" i="55"/>
  <c r="AF477" i="51"/>
  <c r="AE50" i="52"/>
  <c r="Z50" i="52"/>
  <c r="AD164" i="52"/>
  <c r="Y164" i="52"/>
  <c r="AF2165" i="51"/>
  <c r="AO61" i="43"/>
  <c r="AE61" i="43"/>
  <c r="AB61" i="57"/>
  <c r="AB127" i="57"/>
  <c r="Z46" i="51"/>
  <c r="K46" i="55"/>
  <c r="N46" i="55"/>
  <c r="Y304" i="51"/>
  <c r="J304" i="55"/>
  <c r="M304" i="55"/>
  <c r="AF86" i="57"/>
  <c r="AF20" i="57"/>
  <c r="AD344" i="52"/>
  <c r="Y344" i="52"/>
  <c r="Y1123" i="51"/>
  <c r="AE1123" i="51"/>
  <c r="AL44" i="44"/>
  <c r="AJ44" i="44"/>
  <c r="AE1341" i="51"/>
  <c r="Y1341" i="51"/>
  <c r="AD333" i="52"/>
  <c r="Y333" i="52"/>
  <c r="AG17" i="44"/>
  <c r="AF17" i="44"/>
  <c r="AP17" i="44"/>
  <c r="Z861" i="51"/>
  <c r="AF861" i="51"/>
  <c r="N2210" i="55"/>
  <c r="K2210" i="55"/>
  <c r="Z994" i="51"/>
  <c r="AF994" i="51"/>
  <c r="AE255" i="52"/>
  <c r="Z255" i="52"/>
  <c r="AE895" i="52"/>
  <c r="Z895" i="52"/>
  <c r="E49" i="5"/>
  <c r="E48" i="5"/>
  <c r="AE569" i="51"/>
  <c r="Y569" i="51"/>
  <c r="AF1191" i="51"/>
  <c r="Z1191" i="51"/>
  <c r="AE761" i="52"/>
  <c r="Z761" i="52"/>
  <c r="AE778" i="52"/>
  <c r="Z778" i="52"/>
  <c r="M522" i="55"/>
  <c r="J522" i="55"/>
  <c r="Z600" i="51"/>
  <c r="K600" i="55"/>
  <c r="N600" i="55"/>
  <c r="N1656" i="55"/>
  <c r="K1656" i="55"/>
  <c r="AE439" i="52"/>
  <c r="Z439" i="52"/>
  <c r="Z42" i="51"/>
  <c r="K42" i="55"/>
  <c r="N42" i="55"/>
  <c r="AL5" i="42"/>
  <c r="AL67" i="42"/>
  <c r="AF2172" i="51"/>
  <c r="AD485" i="52"/>
  <c r="Y485" i="52"/>
  <c r="N1868" i="55"/>
  <c r="K1868" i="55"/>
  <c r="Z2132" i="51"/>
  <c r="K2132" i="55"/>
  <c r="N2132" i="55"/>
  <c r="Z392" i="51"/>
  <c r="K392" i="55"/>
  <c r="N392" i="55"/>
  <c r="AF1787" i="51"/>
  <c r="Z1787" i="51"/>
  <c r="AE547" i="52"/>
  <c r="Z547" i="52"/>
  <c r="AD135" i="52"/>
  <c r="Y135" i="52"/>
  <c r="AD40" i="52"/>
  <c r="Y40" i="52"/>
  <c r="N1765" i="55"/>
  <c r="K1765" i="55"/>
  <c r="AD594" i="52"/>
  <c r="Y594" i="52"/>
  <c r="AF431" i="51"/>
  <c r="AF1747" i="51"/>
  <c r="AO53" i="44"/>
  <c r="AE53" i="44"/>
  <c r="AG53" i="44"/>
  <c r="N59" i="44"/>
  <c r="T59" i="44"/>
  <c r="AM59" i="44"/>
  <c r="AE142" i="51"/>
  <c r="Y142" i="51"/>
  <c r="AF1903" i="51"/>
  <c r="AF1053" i="51"/>
  <c r="AE796" i="51"/>
  <c r="N365" i="55"/>
  <c r="K365" i="55"/>
  <c r="AC95" i="57"/>
  <c r="AP29" i="43"/>
  <c r="AF29" i="43"/>
  <c r="AC29" i="57"/>
  <c r="AE733" i="51"/>
  <c r="AG29" i="44"/>
  <c r="AE29" i="44"/>
  <c r="AO29" i="44"/>
  <c r="AD288" i="52"/>
  <c r="Y288" i="52"/>
  <c r="AE851" i="52"/>
  <c r="Z851" i="52"/>
  <c r="Z2049" i="51"/>
  <c r="AF2049" i="51"/>
  <c r="M736" i="55"/>
  <c r="J736" i="55"/>
  <c r="N2007" i="55"/>
  <c r="K2007" i="55"/>
  <c r="AE813" i="52"/>
  <c r="Z813" i="52"/>
  <c r="AE415" i="51"/>
  <c r="AE817" i="51"/>
  <c r="AF1611" i="51"/>
  <c r="Z1611" i="51"/>
  <c r="N613" i="55"/>
  <c r="K613" i="55"/>
  <c r="AD598" i="52"/>
  <c r="Y598" i="52"/>
  <c r="AG28" i="43"/>
  <c r="AG32" i="43"/>
  <c r="AG38" i="43"/>
  <c r="Z901" i="51"/>
  <c r="AF901" i="51"/>
  <c r="Z923" i="51"/>
  <c r="AF923" i="51"/>
  <c r="AE1355" i="51"/>
  <c r="Y1355" i="51"/>
  <c r="AF1179" i="51"/>
  <c r="Z1179" i="51"/>
  <c r="N436" i="55"/>
  <c r="K436" i="55"/>
  <c r="AD218" i="52"/>
  <c r="Y218" i="52"/>
  <c r="AE971" i="52"/>
  <c r="Z971" i="52"/>
  <c r="Z2164" i="51"/>
  <c r="K2164" i="55"/>
  <c r="N2164" i="55"/>
  <c r="AF406" i="51"/>
  <c r="AE865" i="52"/>
  <c r="Z865" i="52"/>
  <c r="AE492" i="51"/>
  <c r="AE488" i="51"/>
  <c r="N51" i="43"/>
  <c r="T51" i="43"/>
  <c r="AM51" i="43"/>
  <c r="AF929" i="51"/>
  <c r="Y1012" i="51"/>
  <c r="AE1012" i="51"/>
  <c r="AE869" i="52"/>
  <c r="Z869" i="52"/>
  <c r="N1404" i="55"/>
  <c r="K1404" i="55"/>
  <c r="AE611" i="52"/>
  <c r="Z611" i="52"/>
  <c r="Z2091" i="51"/>
  <c r="AF2091" i="51"/>
  <c r="Z2151" i="51"/>
  <c r="AF2151" i="51"/>
  <c r="Z1457" i="51"/>
  <c r="K1457" i="55"/>
  <c r="N1457" i="55"/>
  <c r="AF1002" i="51"/>
  <c r="M1415" i="55"/>
  <c r="J1415" i="55"/>
  <c r="AD511" i="52"/>
  <c r="Y511" i="52"/>
  <c r="AF571" i="51"/>
  <c r="Z571" i="51"/>
  <c r="N1892" i="55"/>
  <c r="K1892" i="55"/>
  <c r="Z1550" i="51"/>
  <c r="AF1550" i="51"/>
  <c r="Z2092" i="51"/>
  <c r="AF2092" i="51"/>
  <c r="AD77" i="52"/>
  <c r="Y77" i="52"/>
  <c r="AF1739" i="51"/>
  <c r="AO50" i="44"/>
  <c r="AE50" i="44"/>
  <c r="AG50" i="44"/>
  <c r="M1339" i="55"/>
  <c r="J1339" i="55"/>
  <c r="Z426" i="51"/>
  <c r="K426" i="55"/>
  <c r="N426" i="55"/>
  <c r="Y491" i="51"/>
  <c r="J491" i="55"/>
  <c r="M491" i="55"/>
  <c r="M1273" i="55"/>
  <c r="J1273" i="55"/>
  <c r="AE263" i="52"/>
  <c r="Z263" i="52"/>
  <c r="Y1124" i="51"/>
  <c r="J1124" i="55"/>
  <c r="M1124" i="55"/>
  <c r="N1889" i="55"/>
  <c r="K1889" i="55"/>
  <c r="AE859" i="52"/>
  <c r="Z859" i="52"/>
  <c r="Z407" i="51"/>
  <c r="AF407" i="51"/>
  <c r="M560" i="55"/>
  <c r="J560" i="55"/>
  <c r="AF1821" i="51"/>
  <c r="Z1821" i="51"/>
  <c r="N983" i="55"/>
  <c r="K983" i="55"/>
  <c r="AF1673" i="51"/>
  <c r="Z1673" i="51"/>
  <c r="AD95" i="52"/>
  <c r="Y95" i="52"/>
  <c r="Z1554" i="51"/>
  <c r="K1554" i="55"/>
  <c r="N1554" i="55"/>
  <c r="Z364" i="51"/>
  <c r="AF364" i="51"/>
  <c r="N80" i="41"/>
  <c r="N1918" i="55"/>
  <c r="K1918" i="55"/>
  <c r="Z2113" i="51"/>
  <c r="AF2113" i="51"/>
  <c r="M679" i="55"/>
  <c r="J679" i="55"/>
  <c r="Z401" i="51"/>
  <c r="AF401" i="51"/>
  <c r="Y1036" i="51"/>
  <c r="AE1036" i="51"/>
  <c r="N1617" i="55"/>
  <c r="K1617" i="55"/>
  <c r="AF1898" i="51"/>
  <c r="Z1898" i="51"/>
  <c r="Z2012" i="51"/>
  <c r="AF2012" i="51"/>
  <c r="AE614" i="52"/>
  <c r="Z614" i="52"/>
  <c r="N2197" i="55"/>
  <c r="K2197" i="55"/>
  <c r="Z1514" i="51"/>
  <c r="K1514" i="55"/>
  <c r="N1514" i="55"/>
  <c r="AF171" i="51"/>
  <c r="Z171" i="51"/>
  <c r="AE230" i="52"/>
  <c r="Z230" i="52"/>
  <c r="AF1282" i="51"/>
  <c r="Z1282" i="51"/>
  <c r="N1768" i="55"/>
  <c r="K1768" i="55"/>
  <c r="M153" i="55"/>
  <c r="J153" i="55"/>
  <c r="Y464" i="51"/>
  <c r="J464" i="55"/>
  <c r="M464" i="55"/>
  <c r="Z1492" i="51"/>
  <c r="AF1492" i="51"/>
  <c r="AF1529" i="51"/>
  <c r="AF1756" i="51"/>
  <c r="Z1942" i="51"/>
  <c r="AF1942" i="51"/>
  <c r="AE72" i="43"/>
  <c r="AM67" i="43"/>
  <c r="AF72" i="43"/>
  <c r="Z2064" i="51"/>
  <c r="K2064" i="55"/>
  <c r="N2064" i="55"/>
  <c r="AF1509" i="51"/>
  <c r="AL56" i="44"/>
  <c r="AJ56" i="44"/>
  <c r="AD197" i="52"/>
  <c r="Y197" i="52"/>
  <c r="N1528" i="55"/>
  <c r="K1528" i="55"/>
  <c r="N1371" i="55"/>
  <c r="K1371" i="55"/>
  <c r="N1297" i="55"/>
  <c r="K1297" i="55"/>
  <c r="N1723" i="55"/>
  <c r="K1723" i="55"/>
  <c r="Z1107" i="51"/>
  <c r="AF1107" i="51"/>
  <c r="N1504" i="55"/>
  <c r="K1504" i="55"/>
  <c r="AD92" i="52"/>
  <c r="Y92" i="52"/>
  <c r="AF1659" i="51"/>
  <c r="Z1659" i="51"/>
  <c r="AE744" i="52"/>
  <c r="Z744" i="52"/>
  <c r="Z2216" i="51"/>
  <c r="AF2216" i="51"/>
  <c r="Y651" i="51"/>
  <c r="J651" i="55"/>
  <c r="M651" i="55"/>
  <c r="AE1338" i="51"/>
  <c r="Y1338" i="51"/>
  <c r="AE888" i="52"/>
  <c r="Z888" i="52"/>
  <c r="Y252" i="51"/>
  <c r="J252" i="55"/>
  <c r="M252" i="55"/>
  <c r="Z454" i="51"/>
  <c r="K454" i="55"/>
  <c r="N454" i="55"/>
  <c r="AD603" i="52"/>
  <c r="Y603" i="52"/>
  <c r="AF2213" i="51"/>
  <c r="N1677" i="55"/>
  <c r="K1677" i="55"/>
  <c r="AE608" i="52"/>
  <c r="Z608" i="52"/>
  <c r="AE407" i="52"/>
  <c r="Z407" i="52"/>
  <c r="AE686" i="52"/>
  <c r="Z686" i="52"/>
  <c r="AF1843" i="51"/>
  <c r="Z1843" i="51"/>
  <c r="AE709" i="51"/>
  <c r="N23" i="43"/>
  <c r="T23" i="43"/>
  <c r="AM23" i="43"/>
  <c r="N1205" i="55"/>
  <c r="K1205" i="55"/>
  <c r="N1825" i="55"/>
  <c r="K1825" i="55"/>
  <c r="Z908" i="51"/>
  <c r="AF908" i="51"/>
  <c r="AF1771" i="51"/>
  <c r="Z1771" i="51"/>
  <c r="Z190" i="51"/>
  <c r="K190" i="55"/>
  <c r="N190" i="55"/>
  <c r="AC79" i="57"/>
  <c r="AP13" i="43"/>
  <c r="AF13" i="43"/>
  <c r="AC13" i="57"/>
  <c r="AO56" i="43"/>
  <c r="AE56" i="43"/>
  <c r="AG56" i="43"/>
  <c r="AP45" i="43"/>
  <c r="AF45" i="43"/>
  <c r="AC45" i="57"/>
  <c r="AC111" i="57"/>
  <c r="AF1586" i="51"/>
  <c r="Z1586" i="51"/>
  <c r="AF771" i="51"/>
  <c r="N2004" i="55"/>
  <c r="K2004" i="55"/>
  <c r="H24" i="62"/>
  <c r="E24" i="62"/>
  <c r="Z1910" i="51"/>
  <c r="K1910" i="55"/>
  <c r="N1910" i="55"/>
  <c r="N1324" i="55"/>
  <c r="K1324" i="55"/>
  <c r="Z840" i="51"/>
  <c r="K840" i="55"/>
  <c r="N840" i="55"/>
  <c r="Z198" i="51"/>
  <c r="K198" i="55"/>
  <c r="N198" i="55"/>
  <c r="M1252" i="55"/>
  <c r="J1252" i="55"/>
  <c r="N1487" i="55"/>
  <c r="K1487" i="55"/>
  <c r="AF1317" i="51"/>
  <c r="Z1317" i="51"/>
  <c r="Z477" i="51"/>
  <c r="K477" i="55"/>
  <c r="N477" i="55"/>
  <c r="AE793" i="52"/>
  <c r="Z793" i="52"/>
  <c r="AE376" i="52"/>
  <c r="Z376" i="52"/>
  <c r="N20" i="55"/>
  <c r="K20" i="55"/>
  <c r="AF1233" i="51"/>
  <c r="Z1233" i="51"/>
  <c r="N1974" i="55"/>
  <c r="K1974" i="55"/>
  <c r="AE174" i="51"/>
  <c r="Y174" i="51"/>
  <c r="Z2165" i="51"/>
  <c r="K2165" i="55"/>
  <c r="N2165" i="55"/>
  <c r="AE790" i="51"/>
  <c r="AF1231" i="51"/>
  <c r="Z1231" i="51"/>
  <c r="AE1265" i="51"/>
  <c r="Y1265" i="51"/>
  <c r="AE621" i="52"/>
  <c r="Z621" i="52"/>
  <c r="AL4" i="51"/>
  <c r="M39" i="55"/>
  <c r="J39" i="55"/>
  <c r="Z1002" i="51"/>
  <c r="K1002" i="55"/>
  <c r="N1002" i="55"/>
  <c r="AF1639" i="51"/>
  <c r="Z1639" i="51"/>
  <c r="AP5" i="44"/>
  <c r="AF5" i="44"/>
  <c r="AG44" i="43"/>
  <c r="N442" i="55"/>
  <c r="K442" i="55"/>
  <c r="AF89" i="57"/>
  <c r="AF23" i="57"/>
  <c r="AE767" i="52"/>
  <c r="Z767" i="52"/>
  <c r="AF1682" i="51"/>
  <c r="Z1682" i="51"/>
  <c r="M1128" i="55"/>
  <c r="J1128" i="55"/>
  <c r="AD365" i="52"/>
  <c r="Y365" i="52"/>
  <c r="AD292" i="52"/>
  <c r="Y292" i="52"/>
  <c r="AM42" i="44"/>
  <c r="T42" i="44"/>
  <c r="N42" i="44"/>
  <c r="AE563" i="52"/>
  <c r="Z563" i="52"/>
  <c r="AG33" i="43"/>
  <c r="AE336" i="51"/>
  <c r="N2157" i="55"/>
  <c r="K2157" i="55"/>
  <c r="N1201" i="55"/>
  <c r="K1201" i="55"/>
  <c r="AE779" i="52"/>
  <c r="Z779" i="52"/>
  <c r="AD173" i="52"/>
  <c r="Y173" i="52"/>
  <c r="N1760" i="55"/>
  <c r="K1760" i="55"/>
  <c r="AD483" i="52"/>
  <c r="Y483" i="52"/>
  <c r="AE904" i="52"/>
  <c r="Z904" i="52"/>
  <c r="AE373" i="52"/>
  <c r="Z373" i="52"/>
  <c r="AE1408" i="51"/>
  <c r="Y1408" i="51"/>
  <c r="AE808" i="51"/>
  <c r="N925" i="55"/>
  <c r="K925" i="55"/>
  <c r="Z1166" i="51"/>
  <c r="AF1166" i="51"/>
  <c r="AE701" i="52"/>
  <c r="Z701" i="52"/>
  <c r="AD338" i="52"/>
  <c r="Y338" i="52"/>
  <c r="N2029" i="55"/>
  <c r="K2029" i="55"/>
  <c r="AE216" i="51"/>
  <c r="N1823" i="55"/>
  <c r="K1823" i="55"/>
  <c r="M38" i="55"/>
  <c r="J38" i="55"/>
  <c r="Z2172" i="51"/>
  <c r="K2172" i="55"/>
  <c r="N2172" i="55"/>
  <c r="AE673" i="51"/>
  <c r="AE28" i="51"/>
  <c r="AF2171" i="51"/>
  <c r="AF1113" i="51"/>
  <c r="Z1156" i="51"/>
  <c r="AF1156" i="51"/>
  <c r="Z431" i="51"/>
  <c r="K431" i="55"/>
  <c r="N431" i="55"/>
  <c r="AE1416" i="51"/>
  <c r="Y1416" i="51"/>
  <c r="Z1747" i="51"/>
  <c r="K1747" i="55"/>
  <c r="N1747" i="55"/>
  <c r="Y445" i="51"/>
  <c r="AE445" i="51"/>
  <c r="AE1008" i="52"/>
  <c r="Z1008" i="52"/>
  <c r="AF117" i="51"/>
  <c r="AP9" i="44"/>
  <c r="AF9" i="44"/>
  <c r="AG9" i="44"/>
  <c r="Z1903" i="51"/>
  <c r="K1903" i="55"/>
  <c r="N1903" i="55"/>
  <c r="M1365" i="55"/>
  <c r="J1365" i="55"/>
  <c r="Z1053" i="51"/>
  <c r="K1053" i="55"/>
  <c r="N1053" i="55"/>
  <c r="Y796" i="51"/>
  <c r="J796" i="55"/>
  <c r="M796" i="55"/>
  <c r="AE969" i="52"/>
  <c r="Z969" i="52"/>
  <c r="M457" i="55"/>
  <c r="J457" i="55"/>
  <c r="N83" i="55"/>
  <c r="K83" i="55"/>
  <c r="AF397" i="51"/>
  <c r="AF1920" i="51"/>
  <c r="AF621" i="51"/>
  <c r="AE179" i="51"/>
  <c r="Y179" i="51"/>
  <c r="AD500" i="52"/>
  <c r="Y500" i="52"/>
  <c r="AD136" i="52"/>
  <c r="Y136" i="52"/>
  <c r="AF1306" i="51"/>
  <c r="Z1306" i="51"/>
  <c r="M1413" i="55"/>
  <c r="J1413" i="55"/>
  <c r="N1212" i="55"/>
  <c r="K1212" i="55"/>
  <c r="AF753" i="51"/>
  <c r="AL9" i="51"/>
  <c r="N1961" i="55"/>
  <c r="K1961" i="55"/>
  <c r="AE766" i="52"/>
  <c r="Z766" i="52"/>
  <c r="AE1410" i="51"/>
  <c r="Y1410" i="51"/>
  <c r="AK44" i="44"/>
  <c r="AK44" i="43"/>
  <c r="AF1070" i="51"/>
  <c r="N1653" i="55"/>
  <c r="K1653" i="55"/>
  <c r="AE550" i="52"/>
  <c r="Z550" i="52"/>
  <c r="AF201" i="51"/>
  <c r="N1987" i="55"/>
  <c r="K1987" i="55"/>
  <c r="AF1216" i="51"/>
  <c r="Z1216" i="51"/>
  <c r="N2182" i="55"/>
  <c r="K2182" i="55"/>
  <c r="Z779" i="51"/>
  <c r="AF779" i="51"/>
  <c r="AD350" i="52"/>
  <c r="Y350" i="52"/>
  <c r="Z450" i="51"/>
  <c r="AF450" i="51"/>
  <c r="AD289" i="52"/>
  <c r="Y289" i="52"/>
  <c r="AD332" i="52"/>
  <c r="Y332" i="52"/>
  <c r="M556" i="55"/>
  <c r="J556" i="55"/>
  <c r="Z406" i="51"/>
  <c r="K406" i="55"/>
  <c r="N406" i="55"/>
  <c r="Z2106" i="51"/>
  <c r="AF2106" i="51"/>
  <c r="Y492" i="51"/>
  <c r="J492" i="55"/>
  <c r="M492" i="55"/>
  <c r="Y488" i="51"/>
  <c r="J488" i="55"/>
  <c r="M488" i="55"/>
  <c r="N1885" i="55"/>
  <c r="K1885" i="55"/>
  <c r="N1386" i="55"/>
  <c r="K1386" i="55"/>
  <c r="AF1276" i="51"/>
  <c r="Z1276" i="51"/>
  <c r="AD183" i="52"/>
  <c r="Y183" i="52"/>
  <c r="AD30" i="52"/>
  <c r="Y30" i="52"/>
  <c r="AE938" i="52"/>
  <c r="Z938" i="52"/>
  <c r="N1815" i="55"/>
  <c r="K1815" i="55"/>
  <c r="AF53" i="51"/>
  <c r="AF1704" i="51"/>
  <c r="Z1704" i="51"/>
  <c r="Z929" i="51"/>
  <c r="K929" i="55"/>
  <c r="N929" i="55"/>
  <c r="N1236" i="55"/>
  <c r="K1236" i="55"/>
  <c r="N562" i="55"/>
  <c r="K562" i="55"/>
  <c r="N1682" i="55"/>
  <c r="K1682" i="55"/>
  <c r="Y307" i="51"/>
  <c r="AE307" i="51"/>
  <c r="AK25" i="44"/>
  <c r="AK25" i="41"/>
  <c r="AK25" i="42"/>
  <c r="AK25" i="43"/>
  <c r="Z757" i="51"/>
  <c r="AF757" i="51"/>
  <c r="Y887" i="51"/>
  <c r="AE887" i="51"/>
  <c r="Y663" i="51"/>
  <c r="AE663" i="51"/>
  <c r="Z20" i="51"/>
  <c r="AF20" i="51"/>
  <c r="Z939" i="51"/>
  <c r="AF939" i="51"/>
  <c r="AE714" i="52"/>
  <c r="Z714" i="52"/>
  <c r="AE438" i="52"/>
  <c r="Z438" i="52"/>
  <c r="M1337" i="55"/>
  <c r="J1337" i="55"/>
  <c r="Z504" i="51"/>
  <c r="AF504" i="51"/>
  <c r="AK48" i="44"/>
  <c r="AK48" i="41"/>
  <c r="AK48" i="42"/>
  <c r="AK48" i="43"/>
  <c r="Z2141" i="51"/>
  <c r="AF2141" i="51"/>
  <c r="AE473" i="52"/>
  <c r="Z473" i="52"/>
  <c r="AO16" i="43"/>
  <c r="AE16" i="43"/>
  <c r="AG16" i="43"/>
  <c r="AK61" i="43"/>
  <c r="AK61" i="41"/>
  <c r="AK61" i="42"/>
  <c r="AK61" i="44"/>
  <c r="N2159" i="55"/>
  <c r="K2159" i="55"/>
  <c r="Z1739" i="51"/>
  <c r="K1739" i="55"/>
  <c r="N1739" i="55"/>
  <c r="Y337" i="51"/>
  <c r="AE337" i="51"/>
  <c r="Y39" i="51"/>
  <c r="AE39" i="51"/>
  <c r="Y531" i="51"/>
  <c r="AE531" i="51"/>
  <c r="N38" i="44"/>
  <c r="T38" i="44"/>
  <c r="AM38" i="44"/>
  <c r="AE976" i="52"/>
  <c r="Z976" i="52"/>
  <c r="AO44" i="43"/>
  <c r="AE44" i="43"/>
  <c r="AB44" i="57"/>
  <c r="AB110" i="57"/>
  <c r="N2021" i="55"/>
  <c r="K2021" i="55"/>
  <c r="Z983" i="51"/>
  <c r="AF983" i="51"/>
  <c r="Z2127" i="51"/>
  <c r="AF2127" i="51"/>
  <c r="Z1918" i="51"/>
  <c r="AF1918" i="51"/>
  <c r="Y679" i="51"/>
  <c r="AE679" i="51"/>
  <c r="Z1543" i="51"/>
  <c r="AF1543" i="51"/>
  <c r="AF34" i="44"/>
  <c r="AP34" i="44"/>
  <c r="AL47" i="43"/>
  <c r="AJ47" i="43"/>
  <c r="AD605" i="52"/>
  <c r="Y605" i="52"/>
  <c r="N40" i="44"/>
  <c r="T40" i="44"/>
  <c r="AM40" i="44"/>
  <c r="Y405" i="51"/>
  <c r="AE405" i="51"/>
  <c r="AE411" i="52"/>
  <c r="Z411" i="52"/>
  <c r="Z2197" i="51"/>
  <c r="AF2197" i="51"/>
  <c r="AF40" i="51"/>
  <c r="AE309" i="51"/>
  <c r="AO33" i="43"/>
  <c r="AE33" i="43"/>
  <c r="AB33" i="57"/>
  <c r="AB99" i="57"/>
  <c r="Z2029" i="51"/>
  <c r="AF2029" i="51"/>
  <c r="N1773" i="55"/>
  <c r="K1773" i="55"/>
  <c r="AP38" i="44"/>
  <c r="AF38" i="44"/>
  <c r="Y888" i="51"/>
  <c r="AE888" i="51"/>
  <c r="Z1529" i="51"/>
  <c r="K1529" i="55"/>
  <c r="N1529" i="55"/>
  <c r="AD161" i="52"/>
  <c r="Y161" i="52"/>
  <c r="AE872" i="52"/>
  <c r="Z872" i="52"/>
  <c r="N1846" i="55"/>
  <c r="K1846" i="55"/>
  <c r="Z1756" i="51"/>
  <c r="K1756" i="55"/>
  <c r="N1756" i="55"/>
  <c r="AE909" i="52"/>
  <c r="Z909" i="52"/>
  <c r="AE953" i="52"/>
  <c r="Z953" i="52"/>
  <c r="N14" i="44"/>
  <c r="T14" i="44"/>
  <c r="AM14" i="44"/>
  <c r="AE915" i="52"/>
  <c r="Z915" i="52"/>
  <c r="Y1019" i="51"/>
  <c r="J1019" i="55"/>
  <c r="M1019" i="55"/>
  <c r="AE774" i="52"/>
  <c r="Z774" i="52"/>
  <c r="M154" i="55"/>
  <c r="J154" i="55"/>
  <c r="N1596" i="55"/>
  <c r="K1596" i="55"/>
  <c r="AD323" i="52"/>
  <c r="Y323" i="52"/>
  <c r="Y79" i="51"/>
  <c r="AE79" i="51"/>
  <c r="AF554" i="51"/>
  <c r="Z554" i="51"/>
  <c r="Z1509" i="51"/>
  <c r="K1509" i="55"/>
  <c r="N1509" i="55"/>
  <c r="Y545" i="51"/>
  <c r="AE545" i="51"/>
  <c r="AE163" i="51"/>
  <c r="Y163" i="51"/>
  <c r="AF1623" i="51"/>
  <c r="Z1623" i="51"/>
  <c r="Z1528" i="51"/>
  <c r="AF1528" i="51"/>
  <c r="N1835" i="55"/>
  <c r="K1835" i="55"/>
  <c r="Z1723" i="51"/>
  <c r="AF1723" i="51"/>
  <c r="Z1504" i="51"/>
  <c r="AF1504" i="51"/>
  <c r="AL13" i="43"/>
  <c r="AJ13" i="43"/>
  <c r="N1696" i="55"/>
  <c r="K1696" i="55"/>
  <c r="Y298" i="51"/>
  <c r="AE298" i="51"/>
  <c r="AF1796" i="51"/>
  <c r="Z1796" i="51"/>
  <c r="AF1320" i="51"/>
  <c r="Z1320" i="51"/>
  <c r="Y349" i="51"/>
  <c r="AE349" i="51"/>
  <c r="Z897" i="51"/>
  <c r="AF897" i="51"/>
  <c r="Z81" i="51"/>
  <c r="AF81" i="51"/>
  <c r="AF565" i="51"/>
  <c r="Z565" i="51"/>
  <c r="AE1268" i="51"/>
  <c r="Y1268" i="51"/>
  <c r="Y43" i="51"/>
  <c r="AE43" i="51"/>
  <c r="N51" i="44"/>
  <c r="T51" i="44"/>
  <c r="AM51" i="44"/>
  <c r="Z2213" i="51"/>
  <c r="K2213" i="55"/>
  <c r="N2213" i="55"/>
  <c r="Z76" i="51"/>
  <c r="AF76" i="51"/>
  <c r="Z2039" i="51"/>
  <c r="AF2039" i="51"/>
  <c r="Z1906" i="51"/>
  <c r="AF1906" i="51"/>
  <c r="Y739" i="51"/>
  <c r="AE739" i="51"/>
  <c r="Y709" i="51"/>
  <c r="J709" i="55"/>
  <c r="M709" i="55"/>
  <c r="Y223" i="51"/>
  <c r="AE223" i="51"/>
  <c r="Z1483" i="51"/>
  <c r="AF1483" i="51"/>
  <c r="AF1403" i="51"/>
  <c r="Z1403" i="51"/>
  <c r="AE462" i="52"/>
  <c r="Z462" i="52"/>
  <c r="Z2155" i="51"/>
  <c r="AF2155" i="51"/>
  <c r="Z2211" i="51"/>
  <c r="AF2211" i="51"/>
  <c r="AF2119" i="51"/>
  <c r="Z771" i="51"/>
  <c r="K771" i="55"/>
  <c r="N771" i="55"/>
  <c r="AF1323" i="51"/>
  <c r="Z1323" i="51"/>
  <c r="Z346" i="51"/>
  <c r="AF346" i="51"/>
  <c r="Z761" i="51"/>
  <c r="AF761" i="51"/>
  <c r="Z350" i="51"/>
  <c r="AF350" i="51"/>
  <c r="Z1487" i="51"/>
  <c r="AF1487" i="51"/>
  <c r="Z995" i="51"/>
  <c r="AF995" i="51"/>
  <c r="Y1122" i="51"/>
  <c r="AE1122" i="51"/>
  <c r="Z2208" i="51"/>
  <c r="AF2208" i="51"/>
  <c r="Z835" i="51"/>
  <c r="AF835" i="51"/>
  <c r="AF1324" i="51"/>
  <c r="Z1324" i="51"/>
  <c r="Y1024" i="51"/>
  <c r="AE1024" i="51"/>
  <c r="Y790" i="51"/>
  <c r="J790" i="55"/>
  <c r="M790" i="55"/>
  <c r="N1178" i="55"/>
  <c r="K1178" i="55"/>
  <c r="N1618" i="55"/>
  <c r="K1618" i="55"/>
  <c r="Z2159" i="51"/>
  <c r="AF2159" i="51"/>
  <c r="Z2204" i="51"/>
  <c r="AF2204" i="51"/>
  <c r="Z2058" i="51"/>
  <c r="AF2058" i="51"/>
  <c r="Y605" i="51"/>
  <c r="AE605" i="51"/>
  <c r="Z1452" i="51"/>
  <c r="AF1452" i="51"/>
  <c r="AO51" i="43"/>
  <c r="AE51" i="43"/>
  <c r="AG51" i="43"/>
  <c r="AD151" i="52"/>
  <c r="Y151" i="52"/>
  <c r="Z627" i="51"/>
  <c r="AF627" i="51"/>
  <c r="AE374" i="52"/>
  <c r="Z374" i="52"/>
  <c r="Z2021" i="51"/>
  <c r="AF2021" i="51"/>
  <c r="AD167" i="52"/>
  <c r="Y167" i="52"/>
  <c r="Z442" i="51"/>
  <c r="AF442" i="51"/>
  <c r="N456" i="55"/>
  <c r="K456" i="55"/>
  <c r="Y1128" i="51"/>
  <c r="AE1128" i="51"/>
  <c r="Z1112" i="51"/>
  <c r="AF1112" i="51"/>
  <c r="AE244" i="52"/>
  <c r="Z244" i="52"/>
  <c r="N1526" i="55"/>
  <c r="K1526" i="55"/>
  <c r="AE691" i="52"/>
  <c r="Z691" i="52"/>
  <c r="M689" i="55"/>
  <c r="J689" i="55"/>
  <c r="AO35" i="44"/>
  <c r="AE35" i="44"/>
  <c r="AG35" i="44"/>
  <c r="AD157" i="52"/>
  <c r="Y157" i="52"/>
  <c r="M1361" i="55"/>
  <c r="J1361" i="55"/>
  <c r="Z40" i="51"/>
  <c r="K40" i="55"/>
  <c r="N40" i="55"/>
  <c r="AL58" i="44"/>
  <c r="AJ58" i="44"/>
  <c r="Y336" i="51"/>
  <c r="J336" i="55"/>
  <c r="M336" i="55"/>
  <c r="Z2157" i="51"/>
  <c r="AF2157" i="51"/>
  <c r="M112" i="55"/>
  <c r="J112" i="55"/>
  <c r="Z2158" i="51"/>
  <c r="AF2158" i="51"/>
  <c r="Y658" i="51"/>
  <c r="AE658" i="51"/>
  <c r="AL13" i="44"/>
  <c r="AJ13" i="44"/>
  <c r="N56" i="44"/>
  <c r="T56" i="44"/>
  <c r="AM56" i="44"/>
  <c r="AF1844" i="51"/>
  <c r="Z1844" i="51"/>
  <c r="AL54" i="43"/>
  <c r="AJ54" i="43"/>
  <c r="AF1624" i="51"/>
  <c r="Z1624" i="51"/>
  <c r="N21" i="44"/>
  <c r="T21" i="44"/>
  <c r="AM21" i="44"/>
  <c r="AE681" i="52"/>
  <c r="Z681" i="52"/>
  <c r="AF1768" i="51"/>
  <c r="Z1768" i="51"/>
  <c r="AF1757" i="51"/>
  <c r="Z993" i="51"/>
  <c r="AF993" i="51"/>
  <c r="AF620" i="51"/>
  <c r="AE665" i="52"/>
  <c r="Z665" i="52"/>
  <c r="Y216" i="51"/>
  <c r="J216" i="55"/>
  <c r="M216" i="55"/>
  <c r="Z1931" i="51"/>
  <c r="AF1931" i="51"/>
  <c r="Z1974" i="51"/>
  <c r="AF1974" i="51"/>
  <c r="Y673" i="51"/>
  <c r="J673" i="55"/>
  <c r="M673" i="55"/>
  <c r="N164" i="55"/>
  <c r="K164" i="55"/>
  <c r="AE136" i="51"/>
  <c r="Y136" i="51"/>
  <c r="Y28" i="51"/>
  <c r="J28" i="55"/>
  <c r="M28" i="55"/>
  <c r="AF176" i="51"/>
  <c r="Z176" i="51"/>
  <c r="Z2171" i="51"/>
  <c r="K2171" i="55"/>
  <c r="N2171" i="55"/>
  <c r="Z1113" i="51"/>
  <c r="K1113" i="55"/>
  <c r="N1113" i="55"/>
  <c r="AF1688" i="51"/>
  <c r="Z1688" i="51"/>
  <c r="AE831" i="52"/>
  <c r="Z831" i="52"/>
  <c r="Z117" i="51"/>
  <c r="K117" i="55"/>
  <c r="N117" i="55"/>
  <c r="AE808" i="52"/>
  <c r="Z808" i="52"/>
  <c r="Z958" i="51"/>
  <c r="AF958" i="51"/>
  <c r="Y292" i="51"/>
  <c r="AE292" i="51"/>
  <c r="N1882" i="55"/>
  <c r="K1882" i="55"/>
  <c r="AE688" i="52"/>
  <c r="Z688" i="52"/>
  <c r="AE1010" i="51"/>
  <c r="Z2109" i="51"/>
  <c r="AF2109" i="51"/>
  <c r="AE479" i="51"/>
  <c r="Z25" i="51"/>
  <c r="AF25" i="51"/>
  <c r="AE566" i="52"/>
  <c r="Z566" i="52"/>
  <c r="AE558" i="51"/>
  <c r="Y558" i="51"/>
  <c r="AF1677" i="51"/>
  <c r="Z1677" i="51"/>
  <c r="M721" i="55"/>
  <c r="J721" i="55"/>
  <c r="N368" i="55"/>
  <c r="K368" i="55"/>
  <c r="AE500" i="51"/>
  <c r="AF7" i="44"/>
  <c r="AP7" i="44"/>
  <c r="AF1699" i="51"/>
  <c r="Z1699" i="51"/>
  <c r="Z456" i="51"/>
  <c r="AF456" i="51"/>
  <c r="AD277" i="52"/>
  <c r="Y277" i="52"/>
  <c r="AM38" i="43"/>
  <c r="N38" i="43"/>
  <c r="T38" i="43"/>
  <c r="N1819" i="55"/>
  <c r="K1819" i="55"/>
  <c r="AL12" i="43"/>
  <c r="N857" i="55"/>
  <c r="K857" i="55"/>
  <c r="AF2032" i="51"/>
  <c r="N1456" i="55"/>
  <c r="K1456" i="55"/>
  <c r="AE28" i="52"/>
  <c r="Z28" i="52"/>
  <c r="N476" i="55"/>
  <c r="K476" i="55"/>
  <c r="AF1285" i="51"/>
  <c r="Z1285" i="51"/>
  <c r="AF1651" i="51"/>
  <c r="Z1651" i="51"/>
  <c r="N1732" i="55"/>
  <c r="K1732" i="55"/>
  <c r="N2023" i="55"/>
  <c r="K2023" i="55"/>
  <c r="AE737" i="52"/>
  <c r="Z737" i="52"/>
  <c r="N1936" i="55"/>
  <c r="K1936" i="55"/>
  <c r="AE731" i="52"/>
  <c r="Z731" i="52"/>
  <c r="AE628" i="52"/>
  <c r="Z628" i="52"/>
  <c r="AD122" i="52"/>
  <c r="Y122" i="52"/>
  <c r="AE11" i="52"/>
  <c r="Z11" i="52"/>
  <c r="AM29" i="44"/>
  <c r="T29" i="44"/>
  <c r="N29" i="44"/>
  <c r="N1784" i="55"/>
  <c r="K1784" i="55"/>
  <c r="AF1386" i="51"/>
  <c r="Z1386" i="51"/>
  <c r="N122" i="57"/>
  <c r="N56" i="57"/>
  <c r="AF1647" i="51"/>
  <c r="Z1647" i="51"/>
  <c r="AF1864" i="51"/>
  <c r="Z1864" i="51"/>
  <c r="AL39" i="44"/>
  <c r="AJ39" i="44"/>
  <c r="AC129" i="57"/>
  <c r="AC63" i="57"/>
  <c r="AF63" i="43"/>
  <c r="AP63" i="43"/>
  <c r="AB121" i="57"/>
  <c r="AB55" i="57"/>
  <c r="N1728" i="55"/>
  <c r="K1728" i="55"/>
  <c r="AE754" i="52"/>
  <c r="Z754" i="52"/>
  <c r="AE946" i="52"/>
  <c r="Z946" i="52"/>
  <c r="N83" i="57"/>
  <c r="N17" i="57"/>
  <c r="AL8" i="44"/>
  <c r="AJ8" i="44"/>
  <c r="AF1851" i="51"/>
  <c r="Z1851" i="51"/>
  <c r="AF1892" i="51"/>
  <c r="Z1892" i="51"/>
  <c r="AF42" i="44"/>
  <c r="AP42" i="44"/>
  <c r="AL52" i="44"/>
  <c r="AJ52" i="44"/>
  <c r="N1494" i="55"/>
  <c r="K1494" i="55"/>
  <c r="N1742" i="55"/>
  <c r="K1742" i="55"/>
  <c r="AF1799" i="51"/>
  <c r="Z1799" i="51"/>
  <c r="M1353" i="55"/>
  <c r="J1353" i="55"/>
  <c r="AC82" i="57"/>
  <c r="AC16" i="57"/>
  <c r="AF16" i="43"/>
  <c r="N16" i="41"/>
  <c r="N16" i="42"/>
  <c r="T16" i="42"/>
  <c r="AP16" i="43"/>
  <c r="AB92" i="57"/>
  <c r="AB26" i="57"/>
  <c r="AJ12" i="52"/>
  <c r="AJ2" i="52"/>
  <c r="AF1222" i="51"/>
  <c r="Z1222" i="51"/>
  <c r="AE243" i="52"/>
  <c r="Z243" i="52"/>
  <c r="AM58" i="44"/>
  <c r="T58" i="44"/>
  <c r="N58" i="44"/>
  <c r="AF1326" i="51"/>
  <c r="Z1326" i="51"/>
  <c r="AF1621" i="51"/>
  <c r="Z1621" i="51"/>
  <c r="M804" i="55"/>
  <c r="J804" i="55"/>
  <c r="AE1411" i="51"/>
  <c r="Y1411" i="51"/>
  <c r="AD169" i="52"/>
  <c r="Y169" i="52"/>
  <c r="N466" i="55"/>
  <c r="K466" i="55"/>
  <c r="N940" i="55"/>
  <c r="K940" i="55"/>
  <c r="AF1622" i="51"/>
  <c r="Z1622" i="51"/>
  <c r="N2073" i="55"/>
  <c r="K2073" i="55"/>
  <c r="AF1656" i="51"/>
  <c r="Z1656" i="51"/>
  <c r="N89" i="57"/>
  <c r="N23" i="57"/>
  <c r="N1837" i="55"/>
  <c r="K1837" i="55"/>
  <c r="N1385" i="55"/>
  <c r="K1385" i="55"/>
  <c r="M254" i="55"/>
  <c r="J254" i="55"/>
  <c r="AE562" i="52"/>
  <c r="Z562" i="52"/>
  <c r="N1182" i="55"/>
  <c r="K1182" i="55"/>
  <c r="AL53" i="44"/>
  <c r="AJ53" i="44"/>
  <c r="N2207" i="55"/>
  <c r="K2207" i="55"/>
  <c r="AF1302" i="51"/>
  <c r="Z1302" i="51"/>
  <c r="M350" i="55"/>
  <c r="J350" i="55"/>
  <c r="AE1344" i="51"/>
  <c r="Y1344" i="51"/>
  <c r="AF1545" i="51"/>
  <c r="AE683" i="52"/>
  <c r="Z683" i="52"/>
  <c r="N2140" i="55"/>
  <c r="K2140" i="55"/>
  <c r="N1803" i="55"/>
  <c r="K1803" i="55"/>
  <c r="AE523" i="52"/>
  <c r="Z523" i="52"/>
  <c r="AF776" i="51"/>
  <c r="AF108" i="57"/>
  <c r="AF42" i="57"/>
  <c r="AF1785" i="51"/>
  <c r="Z1785" i="51"/>
  <c r="N3" i="55"/>
  <c r="K3" i="55"/>
  <c r="AE877" i="52"/>
  <c r="Z877" i="52"/>
  <c r="AC99" i="57"/>
  <c r="AC33" i="57"/>
  <c r="AF33" i="43"/>
  <c r="AP33" i="43"/>
  <c r="N2009" i="55"/>
  <c r="K2009" i="55"/>
  <c r="N2043" i="55"/>
  <c r="K2043" i="55"/>
  <c r="AG87" i="57"/>
  <c r="AG21" i="57"/>
  <c r="N1418" i="55"/>
  <c r="K1418" i="55"/>
  <c r="M310" i="55"/>
  <c r="J310" i="55"/>
  <c r="AF841" i="51"/>
  <c r="AE1336" i="51"/>
  <c r="Y1336" i="51"/>
  <c r="AE533" i="52"/>
  <c r="Z533" i="52"/>
  <c r="M654" i="55"/>
  <c r="J654" i="55"/>
  <c r="AE527" i="52"/>
  <c r="Z527" i="52"/>
  <c r="N1586" i="55"/>
  <c r="K1586" i="55"/>
  <c r="N2079" i="55"/>
  <c r="K2079" i="55"/>
  <c r="Y457" i="51"/>
  <c r="AE457" i="51"/>
  <c r="Z83" i="51"/>
  <c r="AF83" i="51"/>
  <c r="Z85" i="51"/>
  <c r="AF85" i="51"/>
  <c r="Y733" i="51"/>
  <c r="J733" i="55"/>
  <c r="M733" i="55"/>
  <c r="Y1010" i="51"/>
  <c r="J1010" i="55"/>
  <c r="M1010" i="55"/>
  <c r="AD355" i="52"/>
  <c r="Y355" i="52"/>
  <c r="M559" i="55"/>
  <c r="J559" i="55"/>
  <c r="N1282" i="55"/>
  <c r="K1282" i="55"/>
  <c r="Z488" i="51"/>
  <c r="AF488" i="51"/>
  <c r="AL49" i="43"/>
  <c r="AJ49" i="43"/>
  <c r="AE172" i="51"/>
  <c r="Y172" i="51"/>
  <c r="AD131" i="52"/>
  <c r="Y131" i="52"/>
  <c r="AF1691" i="51"/>
  <c r="Z1691" i="51"/>
  <c r="AD509" i="52"/>
  <c r="Y509" i="52"/>
  <c r="AL6" i="44"/>
  <c r="AJ6" i="44"/>
  <c r="AE964" i="52"/>
  <c r="Z964" i="52"/>
  <c r="Y479" i="51"/>
  <c r="J479" i="55"/>
  <c r="M479" i="55"/>
  <c r="Z1484" i="51"/>
  <c r="AF1484" i="51"/>
  <c r="Y577" i="51"/>
  <c r="AE577" i="51"/>
  <c r="AF1763" i="51"/>
  <c r="Z1763" i="51"/>
  <c r="Y415" i="51"/>
  <c r="J415" i="55"/>
  <c r="M415" i="55"/>
  <c r="Y500" i="51"/>
  <c r="J500" i="55"/>
  <c r="M500" i="55"/>
  <c r="Y817" i="51"/>
  <c r="J817" i="55"/>
  <c r="M817" i="55"/>
  <c r="Z1961" i="51"/>
  <c r="AF1961" i="51"/>
  <c r="AO28" i="43"/>
  <c r="AE28" i="43"/>
  <c r="AB28" i="57"/>
  <c r="AB94" i="57"/>
  <c r="AE797" i="52"/>
  <c r="Z797" i="52"/>
  <c r="AO32" i="43"/>
  <c r="AE32" i="43"/>
  <c r="AB32" i="57"/>
  <c r="AB98" i="57"/>
  <c r="N1366" i="55"/>
  <c r="K1366" i="55"/>
  <c r="AE783" i="52"/>
  <c r="Z783" i="52"/>
  <c r="AF1814" i="51"/>
  <c r="Z1814" i="51"/>
  <c r="AF1283" i="51"/>
  <c r="Z1283" i="51"/>
  <c r="AD256" i="52"/>
  <c r="Y256" i="52"/>
  <c r="AD37" i="52"/>
  <c r="Y37" i="52"/>
  <c r="AL14" i="44"/>
  <c r="AJ14" i="44"/>
  <c r="AE1359" i="51"/>
  <c r="Y1359" i="51"/>
  <c r="AF27" i="44"/>
  <c r="AP27" i="44"/>
  <c r="N1203" i="55"/>
  <c r="K1203" i="55"/>
  <c r="Z2210" i="51"/>
  <c r="AF2210" i="51"/>
  <c r="AD206" i="52"/>
  <c r="Y206" i="52"/>
  <c r="AO38" i="43"/>
  <c r="AE38" i="43"/>
  <c r="AB38" i="57"/>
  <c r="AB104" i="57"/>
  <c r="M1412" i="55"/>
  <c r="J1412" i="55"/>
  <c r="Y689" i="51"/>
  <c r="AE689" i="51"/>
  <c r="Y890" i="51"/>
  <c r="AE890" i="51"/>
  <c r="AF1393" i="51"/>
  <c r="Z1393" i="51"/>
  <c r="AD279" i="52"/>
  <c r="Y279" i="52"/>
  <c r="AE227" i="52"/>
  <c r="Z227" i="52"/>
  <c r="AE905" i="52"/>
  <c r="Z905" i="52"/>
  <c r="AF123" i="57"/>
  <c r="AF57" i="57"/>
  <c r="AE556" i="52"/>
  <c r="Z556" i="52"/>
  <c r="AF1375" i="51"/>
  <c r="Z1375" i="51"/>
  <c r="AD51" i="52"/>
  <c r="Y51" i="52"/>
  <c r="AE868" i="52"/>
  <c r="Z868" i="52"/>
  <c r="AL10" i="44"/>
  <c r="AJ10" i="44"/>
  <c r="Y808" i="51"/>
  <c r="J808" i="55"/>
  <c r="M808" i="55"/>
  <c r="AP28" i="43"/>
  <c r="AF28" i="43"/>
  <c r="AC28" i="57"/>
  <c r="AC94" i="57"/>
  <c r="Y309" i="51"/>
  <c r="J309" i="55"/>
  <c r="M309" i="55"/>
  <c r="N1847" i="55"/>
  <c r="K1847" i="55"/>
  <c r="N1307" i="55"/>
  <c r="K1307" i="55"/>
  <c r="N1689" i="55"/>
  <c r="K1689" i="55"/>
  <c r="Z620" i="51"/>
  <c r="K620" i="55"/>
  <c r="N620" i="55"/>
  <c r="AE1260" i="51"/>
  <c r="Y1260" i="51"/>
  <c r="M1416" i="55"/>
  <c r="J1416" i="55"/>
  <c r="AE385" i="52"/>
  <c r="Z385" i="52"/>
  <c r="AJ67" i="42"/>
  <c r="AJ72" i="42"/>
  <c r="AJ12" i="43"/>
  <c r="AF12" i="57"/>
  <c r="AF78" i="57"/>
  <c r="AE548" i="51"/>
  <c r="Y548" i="51"/>
  <c r="AF1230" i="51"/>
  <c r="Z1230" i="51"/>
  <c r="Y38" i="51"/>
  <c r="AE38" i="51"/>
  <c r="AL16" i="43"/>
  <c r="AJ16" i="43"/>
  <c r="AE636" i="52"/>
  <c r="Z636" i="52"/>
  <c r="Z1757" i="51"/>
  <c r="K1757" i="55"/>
  <c r="N1757" i="55"/>
  <c r="Z2032" i="51"/>
  <c r="K2032" i="55"/>
  <c r="N2032" i="55"/>
  <c r="AG11" i="43"/>
  <c r="AE1354" i="51"/>
  <c r="Y1354" i="51"/>
  <c r="AE356" i="51"/>
  <c r="AC107" i="57"/>
  <c r="AC41" i="57"/>
  <c r="AF41" i="43"/>
  <c r="AP41" i="43"/>
  <c r="Z857" i="51"/>
  <c r="AF857" i="51"/>
  <c r="AF74" i="57"/>
  <c r="AF8" i="57"/>
  <c r="AF550" i="51"/>
  <c r="Z550" i="51"/>
  <c r="AD106" i="52"/>
  <c r="Y106" i="52"/>
  <c r="AL37" i="42"/>
  <c r="AE1135" i="51"/>
  <c r="AC120" i="57"/>
  <c r="AC54" i="57"/>
  <c r="AF54" i="43"/>
  <c r="AP54" i="43"/>
  <c r="N1630" i="55"/>
  <c r="K1630" i="55"/>
  <c r="AF170" i="51"/>
  <c r="Z170" i="51"/>
  <c r="AD651" i="52"/>
  <c r="Y651" i="52"/>
  <c r="N878" i="55"/>
  <c r="K878" i="55"/>
  <c r="N1621" i="55"/>
  <c r="K1621" i="55"/>
  <c r="AE810" i="52"/>
  <c r="Z810" i="52"/>
  <c r="N1230" i="55"/>
  <c r="K1230" i="55"/>
  <c r="N194" i="55"/>
  <c r="K194" i="55"/>
  <c r="AD606" i="52"/>
  <c r="Y606" i="52"/>
  <c r="AF1775" i="51"/>
  <c r="Z1775" i="51"/>
  <c r="AE413" i="52"/>
  <c r="Z413" i="52"/>
  <c r="N2075" i="55"/>
  <c r="K2075" i="55"/>
  <c r="AF143" i="51"/>
  <c r="Z143" i="51"/>
  <c r="N34" i="57"/>
  <c r="N100" i="57"/>
  <c r="N2030" i="55"/>
  <c r="K2030" i="55"/>
  <c r="AE225" i="52"/>
  <c r="Z225" i="52"/>
  <c r="M1407" i="55"/>
  <c r="J1407" i="55"/>
  <c r="AD12" i="52"/>
  <c r="Y12" i="52"/>
  <c r="N2101" i="55"/>
  <c r="K2101" i="55"/>
  <c r="AE59" i="52"/>
  <c r="Z59" i="52"/>
  <c r="N916" i="55"/>
  <c r="K916" i="55"/>
  <c r="AC75" i="57"/>
  <c r="AC9" i="57"/>
  <c r="AL13" i="42"/>
  <c r="AL18" i="42"/>
  <c r="N1473" i="55"/>
  <c r="K1473" i="55"/>
  <c r="AD265" i="52"/>
  <c r="Y265" i="52"/>
  <c r="AF1692" i="51"/>
  <c r="Z1692" i="51"/>
  <c r="AF1816" i="51"/>
  <c r="Z1816" i="51"/>
  <c r="AE563" i="51"/>
  <c r="Y563" i="51"/>
  <c r="M514" i="55"/>
  <c r="J514" i="55"/>
  <c r="AF1766" i="51"/>
  <c r="Z1766" i="51"/>
  <c r="AF1889" i="51"/>
  <c r="Z1889" i="51"/>
  <c r="AE564" i="51"/>
  <c r="Y564" i="51"/>
  <c r="AL65" i="44"/>
  <c r="AJ65" i="44"/>
  <c r="N1946" i="55"/>
  <c r="K1946" i="55"/>
  <c r="AF88" i="57"/>
  <c r="AF22" i="57"/>
  <c r="N2090" i="55"/>
  <c r="K2090" i="55"/>
  <c r="AE899" i="52"/>
  <c r="Z899" i="52"/>
  <c r="AF1227" i="51"/>
  <c r="Z1227" i="51"/>
  <c r="Y2" i="52"/>
  <c r="AD2" i="52"/>
  <c r="AD5" i="55"/>
  <c r="AF1202" i="51"/>
  <c r="Z1202" i="51"/>
  <c r="AD90" i="52"/>
  <c r="Y90" i="52"/>
  <c r="AO26" i="43"/>
  <c r="AE26" i="43"/>
  <c r="AG26" i="43"/>
  <c r="N383" i="55"/>
  <c r="K383" i="55"/>
  <c r="N1006" i="55"/>
  <c r="K1006" i="55"/>
  <c r="N86" i="55"/>
  <c r="K86" i="55"/>
  <c r="AF1758" i="51"/>
  <c r="AF73" i="57"/>
  <c r="AF7" i="57"/>
  <c r="AD71" i="52"/>
  <c r="Y71" i="52"/>
  <c r="AP6" i="43"/>
  <c r="AF6" i="43"/>
  <c r="AC6" i="57"/>
  <c r="AC72" i="57"/>
  <c r="AD588" i="52"/>
  <c r="Y588" i="52"/>
  <c r="AE983" i="52"/>
  <c r="Z983" i="52"/>
  <c r="AD57" i="52"/>
  <c r="Y57" i="52"/>
  <c r="AF1627" i="51"/>
  <c r="Z1627" i="51"/>
  <c r="AF1178" i="51"/>
  <c r="Z1178" i="51"/>
  <c r="AE361" i="51"/>
  <c r="N2185" i="55"/>
  <c r="K2185" i="55"/>
  <c r="AE699" i="52"/>
  <c r="Z699" i="52"/>
  <c r="AD44" i="52"/>
  <c r="Y44" i="52"/>
  <c r="AM56" i="43"/>
  <c r="T56" i="43"/>
  <c r="N56" i="43"/>
  <c r="AD117" i="52"/>
  <c r="Y117" i="52"/>
  <c r="N1738" i="55"/>
  <c r="K1738" i="55"/>
  <c r="AF85" i="57"/>
  <c r="AF19" i="57"/>
  <c r="AD513" i="52"/>
  <c r="Y513" i="52"/>
  <c r="AE814" i="51"/>
  <c r="AF1427" i="51"/>
  <c r="Z1427" i="51"/>
  <c r="V11" i="59"/>
  <c r="AE410" i="51"/>
  <c r="AE735" i="51"/>
  <c r="Z925" i="51"/>
  <c r="AF925" i="51"/>
  <c r="AF1069" i="51"/>
  <c r="AF837" i="51"/>
  <c r="AG13" i="43"/>
  <c r="AF578" i="51"/>
  <c r="AE358" i="51"/>
  <c r="AF1661" i="51"/>
  <c r="Z1661" i="51"/>
  <c r="AE570" i="51"/>
  <c r="Y570" i="51"/>
  <c r="AG21" i="43"/>
  <c r="AF2068" i="51"/>
  <c r="AG46" i="44"/>
  <c r="AE46" i="44"/>
  <c r="AO46" i="44"/>
  <c r="AP11" i="43"/>
  <c r="AF11" i="43"/>
  <c r="AC11" i="57"/>
  <c r="AC77" i="57"/>
  <c r="Z837" i="51"/>
  <c r="K837" i="55"/>
  <c r="N837" i="55"/>
  <c r="N561" i="55"/>
  <c r="K561" i="55"/>
  <c r="AM9" i="43"/>
  <c r="N9" i="43"/>
  <c r="T9" i="43"/>
  <c r="Y356" i="51"/>
  <c r="J356" i="55"/>
  <c r="M356" i="55"/>
  <c r="N1887" i="55"/>
  <c r="K1887" i="55"/>
  <c r="AE409" i="52"/>
  <c r="Z409" i="52"/>
  <c r="AE508" i="51"/>
  <c r="AE230" i="51"/>
  <c r="AE34" i="51"/>
  <c r="AO61" i="44"/>
  <c r="AE61" i="44"/>
  <c r="AG61" i="44"/>
  <c r="AE805" i="52"/>
  <c r="Z805" i="52"/>
  <c r="AF1571" i="51"/>
  <c r="Z1571" i="51"/>
  <c r="AE1257" i="51"/>
  <c r="Y1257" i="51"/>
  <c r="AD208" i="52"/>
  <c r="Y208" i="52"/>
  <c r="AE863" i="52"/>
  <c r="Z863" i="52"/>
  <c r="AJ37" i="42"/>
  <c r="AF37" i="57"/>
  <c r="AF103" i="57"/>
  <c r="AD175" i="52"/>
  <c r="Y175" i="52"/>
  <c r="AF1559" i="51"/>
  <c r="N1704" i="55"/>
  <c r="K1704" i="55"/>
  <c r="AM65" i="44"/>
  <c r="T65" i="44"/>
  <c r="N65" i="44"/>
  <c r="AE625" i="52"/>
  <c r="Z625" i="52"/>
  <c r="AE723" i="52"/>
  <c r="Z723" i="52"/>
  <c r="M562" i="55"/>
  <c r="J562" i="55"/>
  <c r="N1691" i="55"/>
  <c r="K1691" i="55"/>
  <c r="N526" i="55"/>
  <c r="K526" i="55"/>
  <c r="AE232" i="52"/>
  <c r="Z232" i="52"/>
  <c r="Z2101" i="51"/>
  <c r="AF2101" i="51"/>
  <c r="AM15" i="43"/>
  <c r="T15" i="43"/>
  <c r="N15" i="43"/>
  <c r="Z2075" i="51"/>
  <c r="AF2075" i="51"/>
  <c r="M600" i="55"/>
  <c r="J600" i="55"/>
  <c r="AE896" i="52"/>
  <c r="Z896" i="52"/>
  <c r="AD327" i="52"/>
  <c r="Y327" i="52"/>
  <c r="M1255" i="55"/>
  <c r="J1255" i="55"/>
  <c r="AE43" i="52"/>
  <c r="Z43" i="52"/>
  <c r="M815" i="55"/>
  <c r="J815" i="55"/>
  <c r="AD590" i="52"/>
  <c r="Y590" i="52"/>
  <c r="AE79" i="52"/>
  <c r="Z79" i="52"/>
  <c r="AJ13" i="42"/>
  <c r="AF13" i="57"/>
  <c r="AF79" i="57"/>
  <c r="AE475" i="52"/>
  <c r="Z475" i="52"/>
  <c r="AJ18" i="42"/>
  <c r="AJ18" i="44"/>
  <c r="AL18" i="44"/>
  <c r="N1181" i="55"/>
  <c r="K1181" i="55"/>
  <c r="N1719" i="55"/>
  <c r="K1719" i="55"/>
  <c r="AD602" i="52"/>
  <c r="Y602" i="52"/>
  <c r="N1737" i="55"/>
  <c r="K1737" i="55"/>
  <c r="N1767" i="55"/>
  <c r="K1767" i="55"/>
  <c r="N1198" i="55"/>
  <c r="K1198" i="55"/>
  <c r="AF1582" i="51"/>
  <c r="Z1582" i="51"/>
  <c r="AG52" i="44"/>
  <c r="AE52" i="44"/>
  <c r="AO52" i="44"/>
  <c r="N1655" i="55"/>
  <c r="K1655" i="55"/>
  <c r="AC113" i="57"/>
  <c r="AP47" i="43"/>
  <c r="AF47" i="43"/>
  <c r="AC47" i="57"/>
  <c r="N1436" i="55"/>
  <c r="K1436" i="55"/>
  <c r="AB119" i="57"/>
  <c r="AB53" i="57"/>
  <c r="N1519" i="55"/>
  <c r="K1519" i="55"/>
  <c r="AF1759" i="51"/>
  <c r="Z1759" i="51"/>
  <c r="AE936" i="52"/>
  <c r="Z936" i="52"/>
  <c r="M1015" i="55"/>
  <c r="J1015" i="55"/>
  <c r="M169" i="55"/>
  <c r="J169" i="55"/>
  <c r="N1187" i="55"/>
  <c r="K1187" i="55"/>
  <c r="AF1391" i="51"/>
  <c r="Z1391" i="51"/>
  <c r="N1098" i="55"/>
  <c r="K1098" i="55"/>
  <c r="N1876" i="55"/>
  <c r="K1876" i="55"/>
  <c r="AE553" i="52"/>
  <c r="Z553" i="52"/>
  <c r="AD305" i="52"/>
  <c r="Y305" i="52"/>
  <c r="AL30" i="43"/>
  <c r="AJ30" i="43"/>
  <c r="AP35" i="44"/>
  <c r="AF35" i="44"/>
  <c r="AF1870" i="51"/>
  <c r="Z1870" i="51"/>
  <c r="N1683" i="55"/>
  <c r="K1683" i="55"/>
  <c r="M680" i="55"/>
  <c r="J680" i="55"/>
  <c r="AF1286" i="51"/>
  <c r="Z1286" i="51"/>
  <c r="AE1254" i="51"/>
  <c r="Y1254" i="51"/>
  <c r="M158" i="55"/>
  <c r="J158" i="55"/>
  <c r="AE639" i="52"/>
  <c r="Z639" i="52"/>
  <c r="AE1003" i="52"/>
  <c r="Z1003" i="52"/>
  <c r="N1941" i="55"/>
  <c r="K1941" i="55"/>
  <c r="AD351" i="52"/>
  <c r="Y351" i="52"/>
  <c r="AE62" i="52"/>
  <c r="Z62" i="52"/>
  <c r="AL14" i="42"/>
  <c r="Z1758" i="51"/>
  <c r="K1758" i="55"/>
  <c r="N1758" i="55"/>
  <c r="AE1267" i="51"/>
  <c r="Y1267" i="51"/>
  <c r="AE668" i="52"/>
  <c r="Z668" i="52"/>
  <c r="AE21" i="52"/>
  <c r="Z21" i="52"/>
  <c r="N1612" i="55"/>
  <c r="K1612" i="55"/>
  <c r="AE486" i="51"/>
  <c r="AG78" i="57"/>
  <c r="AG12" i="57"/>
  <c r="AK12" i="43"/>
  <c r="AK72" i="42"/>
  <c r="AK67" i="42"/>
  <c r="AE176" i="51"/>
  <c r="Y176" i="51"/>
  <c r="AE707" i="51"/>
  <c r="Y361" i="51"/>
  <c r="J361" i="55"/>
  <c r="M361" i="55"/>
  <c r="AF1897" i="51"/>
  <c r="Z1897" i="51"/>
  <c r="H10" i="62"/>
  <c r="E10" i="62"/>
  <c r="N9" i="57"/>
  <c r="N75" i="57"/>
  <c r="AE45" i="52"/>
  <c r="Z45" i="52"/>
  <c r="AB93" i="57"/>
  <c r="AB27" i="57"/>
  <c r="N1551" i="55"/>
  <c r="K1551" i="55"/>
  <c r="AE664" i="52"/>
  <c r="Z664" i="52"/>
  <c r="Z1473" i="51"/>
  <c r="AF1473" i="51"/>
  <c r="N89" i="55"/>
  <c r="K89" i="55"/>
  <c r="AD268" i="52"/>
  <c r="Y268" i="52"/>
  <c r="AE1340" i="51"/>
  <c r="Y1340" i="51"/>
  <c r="N1326" i="55"/>
  <c r="K1326" i="55"/>
  <c r="Y514" i="51"/>
  <c r="AE514" i="51"/>
  <c r="AF1201" i="51"/>
  <c r="Z1201" i="51"/>
  <c r="AE956" i="52"/>
  <c r="Z956" i="52"/>
  <c r="Z365" i="51"/>
  <c r="AF365" i="51"/>
  <c r="Z71" i="51"/>
  <c r="AF71" i="51"/>
  <c r="Z397" i="51"/>
  <c r="K397" i="55"/>
  <c r="N397" i="55"/>
  <c r="Y189" i="51"/>
  <c r="J189" i="55"/>
  <c r="M189" i="55"/>
  <c r="Z2119" i="51"/>
  <c r="K2119" i="55"/>
  <c r="N2119" i="55"/>
  <c r="AE858" i="52"/>
  <c r="Z858" i="52"/>
  <c r="Z1920" i="51"/>
  <c r="K1920" i="55"/>
  <c r="N1920" i="55"/>
  <c r="Z2004" i="51"/>
  <c r="AF2004" i="51"/>
  <c r="AD233" i="52"/>
  <c r="Y233" i="52"/>
  <c r="AE988" i="52"/>
  <c r="Z988" i="52"/>
  <c r="AE1259" i="51"/>
  <c r="Y1259" i="51"/>
  <c r="AF1872" i="51"/>
  <c r="Z1872" i="51"/>
  <c r="Z53" i="51"/>
  <c r="K53" i="55"/>
  <c r="N53" i="55"/>
  <c r="Z8" i="51"/>
  <c r="K8" i="55"/>
  <c r="N8" i="55"/>
  <c r="Z621" i="51"/>
  <c r="K621" i="55"/>
  <c r="N621" i="55"/>
  <c r="Z2089" i="51"/>
  <c r="AF2089" i="51"/>
  <c r="AM18" i="42"/>
  <c r="Y576" i="51"/>
  <c r="J576" i="55"/>
  <c r="M576" i="55"/>
  <c r="Y736" i="51"/>
  <c r="AE736" i="51"/>
  <c r="Y721" i="51"/>
  <c r="AE721" i="51"/>
  <c r="Z2007" i="51"/>
  <c r="AF2007" i="51"/>
  <c r="Z368" i="51"/>
  <c r="AF368" i="51"/>
  <c r="N49" i="44"/>
  <c r="T49" i="44"/>
  <c r="AM49" i="44"/>
  <c r="AE433" i="52"/>
  <c r="Z433" i="52"/>
  <c r="Z753" i="51"/>
  <c r="K753" i="55"/>
  <c r="N753" i="55"/>
  <c r="AE773" i="52"/>
  <c r="Z773" i="52"/>
  <c r="Z1430" i="51"/>
  <c r="AF1430" i="51"/>
  <c r="AK4" i="51"/>
  <c r="AK9" i="51"/>
  <c r="AK10" i="51"/>
  <c r="AL10" i="51"/>
  <c r="Z613" i="51"/>
  <c r="AF613" i="51"/>
  <c r="N45" i="43"/>
  <c r="T45" i="43"/>
  <c r="AM45" i="43"/>
  <c r="AK44" i="41"/>
  <c r="AK44" i="42"/>
  <c r="AG44" i="57"/>
  <c r="AG110" i="57"/>
  <c r="AE24" i="52"/>
  <c r="Z24" i="52"/>
  <c r="AE854" i="52"/>
  <c r="Z854" i="52"/>
  <c r="AD129" i="52"/>
  <c r="Y129" i="52"/>
  <c r="AD401" i="52"/>
  <c r="Y401" i="52"/>
  <c r="AE545" i="52"/>
  <c r="Z545" i="52"/>
  <c r="AF1807" i="51"/>
  <c r="Z1807" i="51"/>
  <c r="AE57" i="52"/>
  <c r="Z57" i="52"/>
  <c r="Z1070" i="51"/>
  <c r="K1070" i="55"/>
  <c r="N1070" i="55"/>
  <c r="N162" i="55"/>
  <c r="K162" i="55"/>
  <c r="AE555" i="52"/>
  <c r="Z555" i="52"/>
  <c r="Z1925" i="51"/>
  <c r="K1925" i="55"/>
  <c r="N1925" i="55"/>
  <c r="AF1573" i="51"/>
  <c r="Z1573" i="51"/>
  <c r="N94" i="57"/>
  <c r="N28" i="57"/>
  <c r="AE218" i="52"/>
  <c r="Z218" i="52"/>
  <c r="Y1040" i="51"/>
  <c r="J1040" i="55"/>
  <c r="M1040" i="55"/>
  <c r="M551" i="55"/>
  <c r="J551" i="55"/>
  <c r="AE919" i="52"/>
  <c r="Z919" i="52"/>
  <c r="Z1526" i="51"/>
  <c r="AF1526" i="51"/>
  <c r="AE1007" i="52"/>
  <c r="Z1007" i="52"/>
  <c r="AE408" i="52"/>
  <c r="Z408" i="52"/>
  <c r="Y112" i="51"/>
  <c r="AE112" i="51"/>
  <c r="AE152" i="51"/>
  <c r="Y152" i="51"/>
  <c r="Z201" i="51"/>
  <c r="K201" i="55"/>
  <c r="N201" i="55"/>
  <c r="Z436" i="51"/>
  <c r="AF436" i="51"/>
  <c r="V15" i="59"/>
  <c r="AJ5" i="42"/>
  <c r="AF5" i="57"/>
  <c r="AF71" i="57"/>
  <c r="V9" i="59"/>
  <c r="V14" i="59"/>
  <c r="AE666" i="52"/>
  <c r="Z666" i="52"/>
  <c r="AE987" i="52"/>
  <c r="Z987" i="52"/>
  <c r="AE463" i="52"/>
  <c r="Z463" i="52"/>
  <c r="AE380" i="52"/>
  <c r="Z380" i="52"/>
  <c r="AD308" i="52"/>
  <c r="Y308" i="52"/>
  <c r="Y410" i="51"/>
  <c r="J410" i="55"/>
  <c r="M410" i="55"/>
  <c r="Y735" i="51"/>
  <c r="J735" i="55"/>
  <c r="M735" i="55"/>
  <c r="Y283" i="51"/>
  <c r="AE283" i="51"/>
  <c r="AD171" i="52"/>
  <c r="Y171" i="52"/>
  <c r="Z1069" i="51"/>
  <c r="K1069" i="55"/>
  <c r="N1069" i="55"/>
  <c r="AF1331" i="51"/>
  <c r="Z1331" i="51"/>
  <c r="AE926" i="52"/>
  <c r="Z926" i="52"/>
  <c r="AE16" i="52"/>
  <c r="Z16" i="52"/>
  <c r="AO13" i="43"/>
  <c r="AE13" i="43"/>
  <c r="AB13" i="57"/>
  <c r="AB79" i="57"/>
  <c r="Z578" i="51"/>
  <c r="K578" i="55"/>
  <c r="N578" i="55"/>
  <c r="AF1812" i="51"/>
  <c r="Z1812" i="51"/>
  <c r="T40" i="42"/>
  <c r="AP40" i="43"/>
  <c r="AF40" i="43"/>
  <c r="AC40" i="57"/>
  <c r="AC106" i="57"/>
  <c r="AD280" i="52"/>
  <c r="Y280" i="52"/>
  <c r="Y358" i="51"/>
  <c r="J358" i="55"/>
  <c r="M358" i="55"/>
  <c r="Z1987" i="51"/>
  <c r="AF1987" i="51"/>
  <c r="AP21" i="43"/>
  <c r="AF21" i="43"/>
  <c r="AC21" i="57"/>
  <c r="AC87" i="57"/>
  <c r="AF156" i="51"/>
  <c r="Z156" i="51"/>
  <c r="Z2068" i="51"/>
  <c r="K2068" i="55"/>
  <c r="N2068" i="55"/>
  <c r="AP65" i="43"/>
  <c r="AF65" i="43"/>
  <c r="AC65" i="57"/>
  <c r="AC131" i="57"/>
  <c r="AE874" i="52"/>
  <c r="Z874" i="52"/>
  <c r="AL42" i="44"/>
  <c r="AJ42" i="44"/>
  <c r="AD604" i="52"/>
  <c r="Y604" i="52"/>
  <c r="Y413" i="51"/>
  <c r="AE413" i="51"/>
  <c r="AD276" i="52"/>
  <c r="Y276" i="52"/>
  <c r="Y508" i="51"/>
  <c r="J508" i="55"/>
  <c r="M508" i="55"/>
  <c r="Y230" i="51"/>
  <c r="J230" i="55"/>
  <c r="M230" i="55"/>
  <c r="Y34" i="51"/>
  <c r="J34" i="55"/>
  <c r="M34" i="55"/>
  <c r="Z1456" i="51"/>
  <c r="AF1456" i="51"/>
  <c r="Z476" i="51"/>
  <c r="AF476" i="51"/>
  <c r="N1904" i="55"/>
  <c r="K1904" i="55"/>
  <c r="Z1732" i="51"/>
  <c r="AF1732" i="51"/>
  <c r="N1525" i="55"/>
  <c r="K1525" i="55"/>
  <c r="AE10" i="52"/>
  <c r="Z10" i="52"/>
  <c r="AE687" i="52"/>
  <c r="Z687" i="52"/>
  <c r="AF2178" i="51"/>
  <c r="Z2178" i="51"/>
  <c r="Z1936" i="51"/>
  <c r="AF1936" i="51"/>
  <c r="M603" i="55"/>
  <c r="J603" i="55"/>
  <c r="N1608" i="55"/>
  <c r="K1608" i="55"/>
  <c r="N1778" i="55"/>
  <c r="K1778" i="55"/>
  <c r="Z526" i="51"/>
  <c r="AF526" i="51"/>
  <c r="N1568" i="55"/>
  <c r="K1568" i="55"/>
  <c r="AP44" i="43"/>
  <c r="AF44" i="43"/>
  <c r="AC44" i="57"/>
  <c r="AC110" i="57"/>
  <c r="F10" i="62"/>
  <c r="F9" i="62"/>
  <c r="I9" i="62"/>
  <c r="I10" i="62"/>
  <c r="AE747" i="52"/>
  <c r="Z747" i="52"/>
  <c r="AF1822" i="51"/>
  <c r="Z1822" i="51"/>
  <c r="N65" i="55"/>
  <c r="K65" i="55"/>
  <c r="AE1406" i="51"/>
  <c r="Y1406" i="51"/>
  <c r="AD252" i="52"/>
  <c r="Y252" i="52"/>
  <c r="AD99" i="52"/>
  <c r="Y99" i="52"/>
  <c r="AL39" i="42"/>
  <c r="AJ8" i="42"/>
  <c r="AL8" i="42"/>
  <c r="N2117" i="55"/>
  <c r="K2117" i="55"/>
  <c r="AJ39" i="42"/>
  <c r="AJ39" i="43"/>
  <c r="AL39" i="43"/>
  <c r="AP48" i="43"/>
  <c r="AF48" i="43"/>
  <c r="AC48" i="57"/>
  <c r="AC114" i="57"/>
  <c r="N42" i="41"/>
  <c r="N42" i="42"/>
  <c r="T42" i="42"/>
  <c r="AM42" i="42"/>
  <c r="Z1494" i="51"/>
  <c r="AF1494" i="51"/>
  <c r="N1785" i="55"/>
  <c r="K1785" i="55"/>
  <c r="AP9" i="43"/>
  <c r="AF9" i="43"/>
  <c r="AG9" i="43"/>
  <c r="N1833" i="55"/>
  <c r="K1833" i="55"/>
  <c r="AF1715" i="51"/>
  <c r="Z1715" i="51"/>
  <c r="AD517" i="52"/>
  <c r="Y517" i="52"/>
  <c r="Z2117" i="51"/>
  <c r="AF2117" i="51"/>
  <c r="Z1436" i="51"/>
  <c r="AF1436" i="51"/>
  <c r="Z1098" i="51"/>
  <c r="AF1098" i="51"/>
  <c r="AE536" i="52"/>
  <c r="Z536" i="52"/>
  <c r="AF1223" i="51"/>
  <c r="Z1223" i="51"/>
  <c r="N1598" i="55"/>
  <c r="K1598" i="55"/>
  <c r="Z466" i="51"/>
  <c r="AF466" i="51"/>
  <c r="M217" i="55"/>
  <c r="J217" i="55"/>
  <c r="N1701" i="55"/>
  <c r="K1701" i="55"/>
  <c r="Z2073" i="51"/>
  <c r="AF2073" i="51"/>
  <c r="Y254" i="51"/>
  <c r="AE254" i="51"/>
  <c r="N429" i="55"/>
  <c r="K429" i="55"/>
  <c r="M1257" i="55"/>
  <c r="J1257" i="55"/>
  <c r="N55" i="43"/>
  <c r="T55" i="43"/>
  <c r="AM55" i="43"/>
  <c r="AE529" i="52"/>
  <c r="Z529" i="52"/>
  <c r="AM60" i="44"/>
  <c r="T60" i="44"/>
  <c r="N60" i="44"/>
  <c r="AF37" i="44"/>
  <c r="AP37" i="44"/>
  <c r="AD262" i="52"/>
  <c r="Y262" i="52"/>
  <c r="AD363" i="52"/>
  <c r="Y363" i="52"/>
  <c r="AL31" i="44"/>
  <c r="AJ31" i="44"/>
  <c r="AG92" i="57"/>
  <c r="AG26" i="57"/>
  <c r="Z2140" i="51"/>
  <c r="AF2140" i="51"/>
  <c r="AG67" i="44"/>
  <c r="AD140" i="52"/>
  <c r="Y140" i="52"/>
  <c r="AB95" i="57"/>
  <c r="AB29" i="57"/>
  <c r="AE935" i="52"/>
  <c r="Z935" i="52"/>
  <c r="M558" i="55"/>
  <c r="J558" i="55"/>
  <c r="AD295" i="52"/>
  <c r="Y295" i="52"/>
  <c r="N437" i="55"/>
  <c r="K437" i="55"/>
  <c r="Z3" i="51"/>
  <c r="AF3" i="51"/>
  <c r="AE1360" i="51"/>
  <c r="Y1360" i="51"/>
  <c r="AE974" i="52"/>
  <c r="Z974" i="52"/>
  <c r="AE435" i="52"/>
  <c r="Z435" i="52"/>
  <c r="Z2009" i="51"/>
  <c r="AF2009" i="51"/>
  <c r="Z2043" i="51"/>
  <c r="AF2043" i="51"/>
  <c r="AK21" i="43"/>
  <c r="AK21" i="42"/>
  <c r="AK21" i="44"/>
  <c r="N128" i="57"/>
  <c r="N62" i="57"/>
  <c r="AD36" i="52"/>
  <c r="Y36" i="52"/>
  <c r="AE238" i="52"/>
  <c r="Z238" i="52"/>
  <c r="AE22" i="52"/>
  <c r="Z22" i="52"/>
  <c r="N1693" i="55"/>
  <c r="K1693" i="55"/>
  <c r="N843" i="55"/>
  <c r="K843" i="55"/>
  <c r="AF1885" i="51"/>
  <c r="Z1885" i="51"/>
  <c r="Z1728" i="51"/>
  <c r="AF1728" i="51"/>
  <c r="Z1719" i="51"/>
  <c r="AF1719" i="51"/>
  <c r="Z1737" i="51"/>
  <c r="AF1737" i="51"/>
  <c r="AD284" i="52"/>
  <c r="Y284" i="52"/>
  <c r="AE565" i="52"/>
  <c r="Z565" i="52"/>
  <c r="AF1858" i="51"/>
  <c r="Z1858" i="51"/>
  <c r="AB114" i="57"/>
  <c r="AB48" i="57"/>
  <c r="Z89" i="51"/>
  <c r="AF89" i="51"/>
  <c r="AE977" i="52"/>
  <c r="Z977" i="52"/>
  <c r="M73" i="55"/>
  <c r="J73" i="55"/>
  <c r="AL43" i="43"/>
  <c r="AJ43" i="43"/>
  <c r="N1476" i="55"/>
  <c r="K1476" i="55"/>
  <c r="Z1738" i="51"/>
  <c r="AF1738" i="51"/>
  <c r="AM18" i="43"/>
  <c r="T18" i="43"/>
  <c r="N18" i="43"/>
  <c r="AD143" i="52"/>
  <c r="Y143" i="52"/>
  <c r="AF1329" i="51"/>
  <c r="Z1329" i="51"/>
  <c r="AO53" i="43"/>
  <c r="AE53" i="43"/>
  <c r="AG53" i="43"/>
  <c r="N1613" i="55"/>
  <c r="K1613" i="55"/>
  <c r="AD271" i="52"/>
  <c r="Y271" i="52"/>
  <c r="AL48" i="43"/>
  <c r="AJ48" i="43"/>
  <c r="M44" i="55"/>
  <c r="J44" i="55"/>
  <c r="AF164" i="51"/>
  <c r="Z164" i="51"/>
  <c r="AD26" i="52"/>
  <c r="Y26" i="52"/>
  <c r="AM45" i="44"/>
  <c r="T45" i="44"/>
  <c r="N45" i="44"/>
  <c r="N2003" i="55"/>
  <c r="K2003" i="55"/>
  <c r="AF1239" i="51"/>
  <c r="Z1239" i="51"/>
  <c r="AF1224" i="51"/>
  <c r="Z1224" i="51"/>
  <c r="AF122" i="57"/>
  <c r="AF56" i="57"/>
  <c r="AE821" i="51"/>
  <c r="AE443" i="51"/>
  <c r="AL15" i="42"/>
  <c r="AF1536" i="51"/>
  <c r="AD502" i="52"/>
  <c r="Y502" i="52"/>
  <c r="N1390" i="55"/>
  <c r="K1390" i="55"/>
  <c r="AL61" i="42"/>
  <c r="W11" i="59"/>
  <c r="AC124" i="57"/>
  <c r="AC58" i="57"/>
  <c r="AF58" i="43"/>
  <c r="AP58" i="43"/>
  <c r="N845" i="55"/>
  <c r="K845" i="55"/>
  <c r="AE815" i="52"/>
  <c r="Z815" i="52"/>
  <c r="N1186" i="55"/>
  <c r="K1186" i="55"/>
  <c r="AJ15" i="43"/>
  <c r="AL15" i="43"/>
  <c r="AD652" i="52"/>
  <c r="Y652" i="52"/>
  <c r="AE867" i="52"/>
  <c r="Z867" i="52"/>
  <c r="AE879" i="52"/>
  <c r="Z879" i="52"/>
  <c r="AC118" i="57"/>
  <c r="AC52" i="57"/>
  <c r="AF52" i="43"/>
  <c r="AP52" i="43"/>
  <c r="AF1577" i="51"/>
  <c r="Z1577" i="51"/>
  <c r="AE1269" i="51"/>
  <c r="Y1269" i="51"/>
  <c r="AL47" i="44"/>
  <c r="AJ47" i="44"/>
  <c r="AL29" i="44"/>
  <c r="AJ29" i="44"/>
  <c r="Y821" i="51"/>
  <c r="J821" i="55"/>
  <c r="M821" i="55"/>
  <c r="AF1891" i="51"/>
  <c r="Z1891" i="51"/>
  <c r="Y443" i="51"/>
  <c r="J443" i="55"/>
  <c r="M443" i="55"/>
  <c r="AJ15" i="42"/>
  <c r="AJ15" i="44"/>
  <c r="AL15" i="44"/>
  <c r="AF99" i="57"/>
  <c r="AF33" i="57"/>
  <c r="Z1536" i="51"/>
  <c r="K1536" i="55"/>
  <c r="N1536" i="55"/>
  <c r="AF1213" i="51"/>
  <c r="Z1213" i="51"/>
  <c r="AD314" i="52"/>
  <c r="Y314" i="52"/>
  <c r="AE386" i="52"/>
  <c r="Z386" i="52"/>
  <c r="N18" i="42"/>
  <c r="T18" i="42"/>
  <c r="AP18" i="44"/>
  <c r="AF18" i="44"/>
  <c r="AG18" i="44"/>
  <c r="AJ61" i="42"/>
  <c r="AJ61" i="44"/>
  <c r="AL61" i="44"/>
  <c r="Z429" i="51"/>
  <c r="AF429" i="51"/>
  <c r="N1209" i="55"/>
  <c r="K1209" i="55"/>
  <c r="AD186" i="52"/>
  <c r="Y186" i="52"/>
  <c r="AB113" i="57"/>
  <c r="AB47" i="57"/>
  <c r="N751" i="55"/>
  <c r="K751" i="55"/>
  <c r="AE862" i="52"/>
  <c r="Z862" i="52"/>
  <c r="N1625" i="55"/>
  <c r="K1625" i="55"/>
  <c r="AK67" i="43"/>
  <c r="Z1545" i="51"/>
  <c r="K1545" i="55"/>
  <c r="N1545" i="55"/>
  <c r="AJ14" i="42"/>
  <c r="AJ14" i="43"/>
  <c r="AL14" i="43"/>
  <c r="N1624" i="55"/>
  <c r="K1624" i="55"/>
  <c r="M143" i="55"/>
  <c r="J143" i="55"/>
  <c r="N1776" i="55"/>
  <c r="K1776" i="55"/>
  <c r="N218" i="55"/>
  <c r="K218" i="55"/>
  <c r="AM41" i="42"/>
  <c r="N1453" i="55"/>
  <c r="K1453" i="55"/>
  <c r="AF1376" i="51"/>
  <c r="Z1376" i="51"/>
  <c r="Z776" i="51"/>
  <c r="K776" i="55"/>
  <c r="N776" i="55"/>
  <c r="N1707" i="55"/>
  <c r="K1707" i="55"/>
  <c r="N1631" i="55"/>
  <c r="K1631" i="55"/>
  <c r="AL22" i="44"/>
  <c r="AJ22" i="44"/>
  <c r="M147" i="55"/>
  <c r="J147" i="55"/>
  <c r="Z1559" i="51"/>
  <c r="K1559" i="55"/>
  <c r="N1559" i="55"/>
  <c r="AE1349" i="51"/>
  <c r="Y1349" i="51"/>
  <c r="N1423" i="55"/>
  <c r="K1423" i="55"/>
  <c r="N62" i="43"/>
  <c r="T62" i="43"/>
  <c r="AM62" i="43"/>
  <c r="N33" i="55"/>
  <c r="K33" i="55"/>
  <c r="Y486" i="51"/>
  <c r="J486" i="55"/>
  <c r="M486" i="55"/>
  <c r="Y1135" i="51"/>
  <c r="J1135" i="55"/>
  <c r="M1135" i="55"/>
  <c r="AF95" i="51"/>
  <c r="Y815" i="51"/>
  <c r="AE815" i="51"/>
  <c r="Y707" i="51"/>
  <c r="J707" i="55"/>
  <c r="M707" i="55"/>
  <c r="AF1893" i="51"/>
  <c r="Z1893" i="51"/>
  <c r="AE33" i="51"/>
  <c r="AK13" i="43"/>
  <c r="AK13" i="44"/>
  <c r="AG22" i="43"/>
  <c r="AF109" i="57"/>
  <c r="AF43" i="57"/>
  <c r="AE696" i="52"/>
  <c r="Z696" i="52"/>
  <c r="AE927" i="52"/>
  <c r="Z927" i="52"/>
  <c r="Z841" i="51"/>
  <c r="K841" i="55"/>
  <c r="N841" i="55"/>
  <c r="AF2187" i="51"/>
  <c r="Z2187" i="51"/>
  <c r="AD158" i="52"/>
  <c r="Y158" i="52"/>
  <c r="AE111" i="51"/>
  <c r="AE546" i="51"/>
  <c r="M649" i="55"/>
  <c r="J649" i="55"/>
  <c r="AF1181" i="51"/>
  <c r="Z1181" i="51"/>
  <c r="AE836" i="52"/>
  <c r="Z836" i="52"/>
  <c r="AF1055" i="51"/>
  <c r="N2005" i="55"/>
  <c r="K2005" i="55"/>
  <c r="M636" i="55"/>
  <c r="J636" i="55"/>
  <c r="N1091" i="55"/>
  <c r="K1091" i="55"/>
  <c r="N1813" i="55"/>
  <c r="K1813" i="55"/>
  <c r="Y814" i="51"/>
  <c r="J814" i="55"/>
  <c r="M814" i="55"/>
  <c r="AD361" i="52"/>
  <c r="Y361" i="52"/>
  <c r="AB125" i="57"/>
  <c r="AB59" i="57"/>
  <c r="N1516" i="55"/>
  <c r="K1516" i="55"/>
  <c r="N1206" i="55"/>
  <c r="K1206" i="55"/>
  <c r="AF178" i="51"/>
  <c r="Z178" i="51"/>
  <c r="AE440" i="52"/>
  <c r="Z440" i="52"/>
  <c r="AE663" i="52"/>
  <c r="Z663" i="52"/>
  <c r="AE981" i="52"/>
  <c r="Z981" i="52"/>
  <c r="AL32" i="42"/>
  <c r="AG5" i="57"/>
  <c r="AG71" i="57"/>
  <c r="W7" i="59"/>
  <c r="W13" i="59"/>
  <c r="AF1594" i="51"/>
  <c r="Z1594" i="51"/>
  <c r="AF1616" i="51"/>
  <c r="Z1616" i="51"/>
  <c r="AD137" i="52"/>
  <c r="Y137" i="52"/>
  <c r="AF136" i="51"/>
  <c r="Z136" i="51"/>
  <c r="AE513" i="51"/>
  <c r="Y654" i="51"/>
  <c r="AE654" i="51"/>
  <c r="AL16" i="42"/>
  <c r="AF52" i="44"/>
  <c r="AP52" i="44"/>
  <c r="AV6" i="51"/>
  <c r="AU6" i="51"/>
  <c r="AD491" i="52"/>
  <c r="Y491" i="52"/>
  <c r="AD648" i="52"/>
  <c r="Y648" i="52"/>
  <c r="N2167" i="55"/>
  <c r="K2167" i="55"/>
  <c r="Z2207" i="51"/>
  <c r="AF2207" i="51"/>
  <c r="AL58" i="42"/>
  <c r="N1713" i="55"/>
  <c r="K1713" i="55"/>
  <c r="Z383" i="51"/>
  <c r="AF383" i="51"/>
  <c r="N2015" i="55"/>
  <c r="K2015" i="55"/>
  <c r="AF1773" i="51"/>
  <c r="Z1773" i="51"/>
  <c r="N1001" i="55"/>
  <c r="K1001" i="55"/>
  <c r="N989" i="55"/>
  <c r="K989" i="55"/>
  <c r="Z86" i="51"/>
  <c r="AF86" i="51"/>
  <c r="AK26" i="44"/>
  <c r="AK26" i="41"/>
  <c r="AK26" i="42"/>
  <c r="AK26" i="43"/>
  <c r="AD253" i="52"/>
  <c r="Y253" i="52"/>
  <c r="AF183" i="51"/>
  <c r="Z183" i="51"/>
  <c r="AP32" i="43"/>
  <c r="AF32" i="43"/>
  <c r="AC32" i="57"/>
  <c r="AC98" i="57"/>
  <c r="AF1192" i="51"/>
  <c r="Z1192" i="51"/>
  <c r="AE571" i="52"/>
  <c r="Z571" i="52"/>
  <c r="AJ7" i="42"/>
  <c r="AL7" i="42"/>
  <c r="N2196" i="55"/>
  <c r="K2196" i="55"/>
  <c r="AE864" i="52"/>
  <c r="Z864" i="52"/>
  <c r="N1715" i="55"/>
  <c r="K1715" i="55"/>
  <c r="AP22" i="43"/>
  <c r="AF22" i="43"/>
  <c r="AC22" i="57"/>
  <c r="AC88" i="57"/>
  <c r="M376" i="55"/>
  <c r="J376" i="55"/>
  <c r="AE641" i="52"/>
  <c r="Z641" i="52"/>
  <c r="Z1904" i="51"/>
  <c r="AF1904" i="51"/>
  <c r="AD211" i="52"/>
  <c r="Y211" i="52"/>
  <c r="Z878" i="51"/>
  <c r="AF878" i="51"/>
  <c r="Y522" i="51"/>
  <c r="AE522" i="51"/>
  <c r="Z437" i="51"/>
  <c r="AF437" i="51"/>
  <c r="AL51" i="43"/>
  <c r="AJ51" i="43"/>
  <c r="AF1764" i="51"/>
  <c r="Z1764" i="51"/>
  <c r="Y600" i="51"/>
  <c r="AE600" i="51"/>
  <c r="N1763" i="55"/>
  <c r="K1763" i="55"/>
  <c r="AE837" i="52"/>
  <c r="Z837" i="52"/>
  <c r="AF1774" i="51"/>
  <c r="Z1774" i="51"/>
  <c r="Z95" i="51"/>
  <c r="K95" i="55"/>
  <c r="N95" i="55"/>
  <c r="AE646" i="52"/>
  <c r="Z646" i="52"/>
  <c r="Y33" i="51"/>
  <c r="J33" i="55"/>
  <c r="M33" i="55"/>
  <c r="AK13" i="42"/>
  <c r="AG13" i="57"/>
  <c r="AG79" i="57"/>
  <c r="Y376" i="51"/>
  <c r="AE376" i="51"/>
  <c r="AE733" i="52"/>
  <c r="Z733" i="52"/>
  <c r="N50" i="57"/>
  <c r="N116" i="57"/>
  <c r="AD196" i="52"/>
  <c r="Y196" i="52"/>
  <c r="AD301" i="52"/>
  <c r="Y301" i="52"/>
  <c r="AE544" i="52"/>
  <c r="Z544" i="52"/>
  <c r="AL60" i="43"/>
  <c r="AJ60" i="43"/>
  <c r="AE755" i="52"/>
  <c r="Z755" i="52"/>
  <c r="AE961" i="52"/>
  <c r="Z961" i="52"/>
  <c r="Z1551" i="51"/>
  <c r="AF1551" i="51"/>
  <c r="AE257" i="52"/>
  <c r="Z257" i="52"/>
  <c r="AE262" i="52"/>
  <c r="Z262" i="52"/>
  <c r="Y111" i="51"/>
  <c r="J111" i="55"/>
  <c r="M111" i="55"/>
  <c r="Y546" i="51"/>
  <c r="J546" i="55"/>
  <c r="M546" i="55"/>
  <c r="Z1742" i="51"/>
  <c r="AF1742" i="51"/>
  <c r="N1441" i="55"/>
  <c r="K1441" i="55"/>
  <c r="AE632" i="52"/>
  <c r="Z632" i="52"/>
  <c r="AF563" i="51"/>
  <c r="Z563" i="51"/>
  <c r="Z1055" i="51"/>
  <c r="K1055" i="55"/>
  <c r="N1055" i="55"/>
  <c r="N1654" i="55"/>
  <c r="K1654" i="55"/>
  <c r="AF1793" i="51"/>
  <c r="Z1793" i="51"/>
  <c r="AF1183" i="51"/>
  <c r="Z1183" i="51"/>
  <c r="AF1574" i="51"/>
  <c r="Z1574" i="51"/>
  <c r="AE76" i="52"/>
  <c r="Z76" i="52"/>
  <c r="N1648" i="55"/>
  <c r="K1648" i="55"/>
  <c r="N1293" i="55"/>
  <c r="K1293" i="55"/>
  <c r="AE421" i="52"/>
  <c r="Z421" i="52"/>
  <c r="AD654" i="52"/>
  <c r="Y654" i="52"/>
  <c r="AD110" i="52"/>
  <c r="Y110" i="52"/>
  <c r="AE546" i="52"/>
  <c r="Z546" i="52"/>
  <c r="AE620" i="52"/>
  <c r="Z620" i="52"/>
  <c r="AG109" i="57"/>
  <c r="AG43" i="57"/>
  <c r="Y1015" i="51"/>
  <c r="AE1015" i="51"/>
  <c r="AO59" i="43"/>
  <c r="AE59" i="43"/>
  <c r="AG59" i="43"/>
  <c r="M1134" i="55"/>
  <c r="J1134" i="55"/>
  <c r="AJ32" i="42"/>
  <c r="AJ32" i="44"/>
  <c r="AL32" i="44"/>
  <c r="AF1701" i="51"/>
  <c r="Z1701" i="51"/>
  <c r="AD46" i="52"/>
  <c r="Y46" i="52"/>
  <c r="Y310" i="51"/>
  <c r="AE310" i="51"/>
  <c r="AF1707" i="51"/>
  <c r="Z1707" i="51"/>
  <c r="AE963" i="52"/>
  <c r="Z963" i="52"/>
  <c r="Z2090" i="51"/>
  <c r="AF2090" i="51"/>
  <c r="AE894" i="52"/>
  <c r="Z894" i="52"/>
  <c r="AE219" i="52"/>
  <c r="Z219" i="52"/>
  <c r="AE154" i="51"/>
  <c r="Y154" i="51"/>
  <c r="AD356" i="52"/>
  <c r="Y356" i="52"/>
  <c r="N1429" i="55"/>
  <c r="K1429" i="55"/>
  <c r="AE1253" i="51"/>
  <c r="Y1253" i="51"/>
  <c r="Y513" i="51"/>
  <c r="J513" i="55"/>
  <c r="M513" i="55"/>
  <c r="N1762" i="55"/>
  <c r="K1762" i="55"/>
  <c r="AE519" i="52"/>
  <c r="Z519" i="52"/>
  <c r="Z940" i="51"/>
  <c r="AF940" i="51"/>
  <c r="AD74" i="52"/>
  <c r="Y74" i="52"/>
  <c r="AJ16" i="41"/>
  <c r="AJ16" i="42"/>
  <c r="AF16" i="57"/>
  <c r="AF82" i="57"/>
  <c r="AF1404" i="51"/>
  <c r="Z1404" i="51"/>
  <c r="M1269" i="55"/>
  <c r="J1269" i="55"/>
  <c r="AD274" i="52"/>
  <c r="Y274" i="52"/>
  <c r="AB89" i="57"/>
  <c r="AB23" i="57"/>
  <c r="N907" i="55"/>
  <c r="K907" i="55"/>
  <c r="AF1279" i="51"/>
  <c r="Z1279" i="51"/>
  <c r="AF1894" i="51"/>
  <c r="Z1894" i="51"/>
  <c r="Z1901" i="51"/>
  <c r="AF1901" i="51"/>
  <c r="AB11" i="55"/>
  <c r="Z1941" i="51"/>
  <c r="AF1941" i="51"/>
  <c r="Y680" i="51"/>
  <c r="AE680" i="51"/>
  <c r="AL26" i="42"/>
  <c r="Z2079" i="51"/>
  <c r="AF2079" i="51"/>
  <c r="M886" i="55"/>
  <c r="J886" i="55"/>
  <c r="AG75" i="57"/>
  <c r="AG9" i="57"/>
  <c r="AM13" i="43"/>
  <c r="T13" i="43"/>
  <c r="N13" i="43"/>
  <c r="N1879" i="55"/>
  <c r="K1879" i="55"/>
  <c r="AL23" i="43"/>
  <c r="AJ23" i="43"/>
  <c r="M589" i="55"/>
  <c r="J589" i="55"/>
  <c r="AD50" i="52"/>
  <c r="Y50" i="52"/>
  <c r="AG93" i="57"/>
  <c r="AG27" i="57"/>
  <c r="M1131" i="55"/>
  <c r="J1131" i="55"/>
  <c r="M45" i="55"/>
  <c r="J45" i="55"/>
  <c r="N1007" i="55"/>
  <c r="K1007" i="55"/>
  <c r="Z751" i="51"/>
  <c r="AF751" i="51"/>
  <c r="AD27" i="52"/>
  <c r="Y27" i="52"/>
  <c r="AF1208" i="51"/>
  <c r="Z1208" i="51"/>
  <c r="AE447" i="52"/>
  <c r="Z447" i="52"/>
  <c r="AF1772" i="51"/>
  <c r="Z1772" i="51"/>
  <c r="N852" i="55"/>
  <c r="K852" i="55"/>
  <c r="N1890" i="55"/>
  <c r="K1890" i="55"/>
  <c r="AF1826" i="51"/>
  <c r="Z1826" i="51"/>
  <c r="Z2023" i="51"/>
  <c r="AF2023" i="51"/>
  <c r="AK35" i="43"/>
  <c r="AK35" i="44"/>
  <c r="N917" i="55"/>
  <c r="K917" i="55"/>
  <c r="AE568" i="51"/>
  <c r="Y568" i="51"/>
  <c r="Z33" i="51"/>
  <c r="AF33" i="51"/>
  <c r="N2214" i="55"/>
  <c r="K2214" i="55"/>
  <c r="AF1186" i="51"/>
  <c r="Z1186" i="51"/>
  <c r="AE42" i="52"/>
  <c r="Z42" i="52"/>
  <c r="Z2030" i="51"/>
  <c r="AF2030" i="51"/>
  <c r="N1101" i="55"/>
  <c r="K1101" i="55"/>
  <c r="AE689" i="52"/>
  <c r="Z689" i="52"/>
  <c r="AF144" i="51"/>
  <c r="Z144" i="51"/>
  <c r="AE819" i="52"/>
  <c r="Z819" i="52"/>
  <c r="N467" i="55"/>
  <c r="K467" i="55"/>
  <c r="AC74" i="57"/>
  <c r="AC8" i="57"/>
  <c r="AF8" i="43"/>
  <c r="AP8" i="43"/>
  <c r="N971" i="55"/>
  <c r="K971" i="55"/>
  <c r="AE240" i="52"/>
  <c r="Z240" i="52"/>
  <c r="AE728" i="52"/>
  <c r="Z728" i="52"/>
  <c r="N1172" i="55"/>
  <c r="K1172" i="55"/>
  <c r="AE457" i="52"/>
  <c r="Z457" i="52"/>
  <c r="AE955" i="52"/>
  <c r="Z955" i="52"/>
  <c r="AD204" i="52"/>
  <c r="Y204" i="52"/>
  <c r="AE245" i="52"/>
  <c r="Z245" i="52"/>
  <c r="AF1988" i="51"/>
  <c r="T27" i="42"/>
  <c r="AO27" i="43"/>
  <c r="AE27" i="43"/>
  <c r="AG27" i="43"/>
  <c r="AF1973" i="51"/>
  <c r="AF1790" i="51"/>
  <c r="Z1790" i="51"/>
  <c r="AF64" i="44"/>
  <c r="AP64" i="44"/>
  <c r="AF1628" i="51"/>
  <c r="Z1628" i="51"/>
  <c r="M608" i="55"/>
  <c r="J608" i="55"/>
  <c r="AD29" i="52"/>
  <c r="Y29" i="52"/>
  <c r="N1878" i="55"/>
  <c r="K1878" i="55"/>
  <c r="AC112" i="57"/>
  <c r="AC46" i="57"/>
  <c r="AF46" i="43"/>
  <c r="AP46" i="43"/>
  <c r="AE1014" i="52"/>
  <c r="Z1014" i="52"/>
  <c r="T48" i="42"/>
  <c r="AO48" i="43"/>
  <c r="AE48" i="43"/>
  <c r="AG48" i="43"/>
  <c r="N487" i="55"/>
  <c r="K487" i="55"/>
  <c r="AE60" i="52"/>
  <c r="Z60" i="52"/>
  <c r="AF1555" i="51"/>
  <c r="AM47" i="44"/>
  <c r="T47" i="44"/>
  <c r="N47" i="44"/>
  <c r="Z843" i="51"/>
  <c r="AF843" i="51"/>
  <c r="N1817" i="55"/>
  <c r="K1817" i="55"/>
  <c r="AD300" i="52"/>
  <c r="Y300" i="52"/>
  <c r="AF46" i="44"/>
  <c r="AP46" i="44"/>
  <c r="AF121" i="57"/>
  <c r="AF55" i="57"/>
  <c r="AG122" i="57"/>
  <c r="AG56" i="57"/>
  <c r="Y44" i="51"/>
  <c r="AE44" i="51"/>
  <c r="AF63" i="44"/>
  <c r="AP63" i="44"/>
  <c r="AF548" i="51"/>
  <c r="Z548" i="51"/>
  <c r="AG15" i="43"/>
  <c r="AF2069" i="51"/>
  <c r="N2086" i="55"/>
  <c r="K2086" i="55"/>
  <c r="AE743" i="52"/>
  <c r="Z743" i="52"/>
  <c r="M1244" i="55"/>
  <c r="J1244" i="55"/>
  <c r="AD575" i="52"/>
  <c r="Y575" i="52"/>
  <c r="AF1434" i="51"/>
  <c r="AD189" i="52"/>
  <c r="Y189" i="52"/>
  <c r="AL50" i="44"/>
  <c r="AJ50" i="44"/>
  <c r="AE434" i="52"/>
  <c r="Z434" i="52"/>
  <c r="AF1740" i="51"/>
  <c r="AD506" i="52"/>
  <c r="Y506" i="52"/>
  <c r="N1486" i="55"/>
  <c r="K1486" i="55"/>
  <c r="N1588" i="55"/>
  <c r="K1588" i="55"/>
  <c r="M136" i="55"/>
  <c r="J136" i="55"/>
  <c r="M803" i="55"/>
  <c r="J803" i="55"/>
  <c r="AF30" i="44"/>
  <c r="AP30" i="44"/>
  <c r="M504" i="55"/>
  <c r="J504" i="55"/>
  <c r="AE73" i="52"/>
  <c r="Z73" i="52"/>
  <c r="N1714" i="55"/>
  <c r="K1714" i="55"/>
  <c r="AK67" i="44"/>
  <c r="AK5" i="44"/>
  <c r="AE1345" i="51"/>
  <c r="Y1345" i="51"/>
  <c r="N1913" i="55"/>
  <c r="K1913" i="55"/>
  <c r="AD107" i="52"/>
  <c r="Y107" i="52"/>
  <c r="AG20" i="44"/>
  <c r="AF20" i="44"/>
  <c r="AP20" i="44"/>
  <c r="M945" i="55"/>
  <c r="J945" i="55"/>
  <c r="AE235" i="52"/>
  <c r="Z235" i="52"/>
  <c r="M806" i="55"/>
  <c r="J806" i="55"/>
  <c r="AF1832" i="51"/>
  <c r="Z1832" i="51"/>
  <c r="N171" i="55"/>
  <c r="K171" i="55"/>
  <c r="AE695" i="52"/>
  <c r="Z695" i="52"/>
  <c r="AE5" i="52"/>
  <c r="Z5" i="52"/>
  <c r="N1883" i="55"/>
  <c r="K1883" i="55"/>
  <c r="AL59" i="43"/>
  <c r="AJ59" i="43"/>
  <c r="AD508" i="52"/>
  <c r="Y508" i="52"/>
  <c r="N2166" i="55"/>
  <c r="K2166" i="55"/>
  <c r="AD319" i="52"/>
  <c r="Y319" i="52"/>
  <c r="AJ26" i="42"/>
  <c r="AJ26" i="44"/>
  <c r="AL26" i="44"/>
  <c r="Y350" i="51"/>
  <c r="AE350" i="51"/>
  <c r="AE612" i="52"/>
  <c r="Z612" i="52"/>
  <c r="N1902" i="55"/>
  <c r="K1902" i="55"/>
  <c r="AD236" i="52"/>
  <c r="Y236" i="52"/>
  <c r="Z989" i="51"/>
  <c r="AF989" i="51"/>
  <c r="AE324" i="51"/>
  <c r="Z2196" i="51"/>
  <c r="AF2196" i="51"/>
  <c r="Y603" i="51"/>
  <c r="AE603" i="51"/>
  <c r="AF1383" i="51"/>
  <c r="Z1383" i="51"/>
  <c r="Z1453" i="51"/>
  <c r="AF1453" i="51"/>
  <c r="AK35" i="41"/>
  <c r="AK35" i="42"/>
  <c r="AG35" i="57"/>
  <c r="AG101" i="57"/>
  <c r="AE559" i="51"/>
  <c r="Y559" i="51"/>
  <c r="N52" i="57"/>
  <c r="N118" i="57"/>
  <c r="N1323" i="55"/>
  <c r="K1323" i="55"/>
  <c r="AF1187" i="51"/>
  <c r="Z1187" i="51"/>
  <c r="AD245" i="52"/>
  <c r="Y245" i="52"/>
  <c r="AD134" i="52"/>
  <c r="Y134" i="52"/>
  <c r="Z194" i="51"/>
  <c r="AF194" i="51"/>
  <c r="AF501" i="51"/>
  <c r="Z917" i="51"/>
  <c r="AF917" i="51"/>
  <c r="AF1225" i="51"/>
  <c r="Z1225" i="51"/>
  <c r="N51" i="57"/>
  <c r="N117" i="57"/>
  <c r="AF552" i="51"/>
  <c r="Z552" i="51"/>
  <c r="Z1101" i="51"/>
  <c r="AF1101" i="51"/>
  <c r="AF1983" i="51"/>
  <c r="N1619" i="55"/>
  <c r="K1619" i="55"/>
  <c r="N1278" i="55"/>
  <c r="K1278" i="55"/>
  <c r="AE194" i="51"/>
  <c r="AL31" i="42"/>
  <c r="Z1988" i="51"/>
  <c r="K1988" i="55"/>
  <c r="N1988" i="55"/>
  <c r="AF577" i="51"/>
  <c r="AD170" i="52"/>
  <c r="Y170" i="52"/>
  <c r="Z1973" i="51"/>
  <c r="K1973" i="55"/>
  <c r="N1973" i="55"/>
  <c r="AF1720" i="51"/>
  <c r="AF1440" i="51"/>
  <c r="M234" i="55"/>
  <c r="J234" i="55"/>
  <c r="AF117" i="57"/>
  <c r="AF51" i="57"/>
  <c r="AF1805" i="51"/>
  <c r="Z1805" i="51"/>
  <c r="AM41" i="43"/>
  <c r="T41" i="43"/>
  <c r="N41" i="43"/>
  <c r="Y649" i="51"/>
  <c r="AE649" i="51"/>
  <c r="AO13" i="44"/>
  <c r="AE13" i="44"/>
  <c r="AG13" i="44"/>
  <c r="AF2188" i="51"/>
  <c r="Z2188" i="51"/>
  <c r="AE712" i="52"/>
  <c r="Z712" i="52"/>
  <c r="Z1555" i="51"/>
  <c r="K1555" i="55"/>
  <c r="N1555" i="55"/>
  <c r="AD578" i="52"/>
  <c r="Y578" i="52"/>
  <c r="Z1519" i="51"/>
  <c r="AF1519" i="51"/>
  <c r="AK43" i="44"/>
  <c r="AK43" i="41"/>
  <c r="AK43" i="42"/>
  <c r="AK43" i="43"/>
  <c r="AE433" i="51"/>
  <c r="AL34" i="42"/>
  <c r="Y1134" i="51"/>
  <c r="AE1134" i="51"/>
  <c r="Z845" i="51"/>
  <c r="AF845" i="51"/>
  <c r="Y217" i="51"/>
  <c r="AE217" i="51"/>
  <c r="AO15" i="43"/>
  <c r="AE15" i="43"/>
  <c r="AB15" i="57"/>
  <c r="AB81" i="57"/>
  <c r="AF1620" i="51"/>
  <c r="Z1620" i="51"/>
  <c r="Z2069" i="51"/>
  <c r="K2069" i="55"/>
  <c r="N2069" i="55"/>
  <c r="AD313" i="52"/>
  <c r="Y313" i="52"/>
  <c r="AE710" i="52"/>
  <c r="Z710" i="52"/>
  <c r="M566" i="55"/>
  <c r="J566" i="55"/>
  <c r="AD213" i="52"/>
  <c r="Y213" i="52"/>
  <c r="N32" i="43"/>
  <c r="T32" i="43"/>
  <c r="AM32" i="43"/>
  <c r="AE803" i="52"/>
  <c r="Z803" i="52"/>
  <c r="Z1434" i="51"/>
  <c r="K1434" i="55"/>
  <c r="N1434" i="55"/>
  <c r="AF865" i="51"/>
  <c r="AE558" i="52"/>
  <c r="Z558" i="52"/>
  <c r="Z1740" i="51"/>
  <c r="K1740" i="55"/>
  <c r="N1740" i="55"/>
  <c r="AD258" i="52"/>
  <c r="Y258" i="52"/>
  <c r="AF1976" i="51"/>
  <c r="AK33" i="44"/>
  <c r="AK33" i="43"/>
  <c r="AF963" i="51"/>
  <c r="AK65" i="43"/>
  <c r="AK65" i="44"/>
  <c r="AF1151" i="51"/>
  <c r="AF2138" i="51"/>
  <c r="AF2134" i="51"/>
  <c r="AE647" i="51"/>
  <c r="AF1798" i="51"/>
  <c r="Z1798" i="51"/>
  <c r="AD329" i="52"/>
  <c r="Y329" i="52"/>
  <c r="AB96" i="57"/>
  <c r="AB30" i="57"/>
  <c r="M255" i="55"/>
  <c r="J255" i="55"/>
  <c r="N2198" i="55"/>
  <c r="K2198" i="55"/>
  <c r="AE1353" i="51"/>
  <c r="Y1353" i="51"/>
  <c r="AE1364" i="51"/>
  <c r="Y1364" i="51"/>
  <c r="N1938" i="55"/>
  <c r="K1938" i="55"/>
  <c r="AF787" i="51"/>
  <c r="AG81" i="57"/>
  <c r="AG15" i="57"/>
  <c r="AD48" i="52"/>
  <c r="Y48" i="52"/>
  <c r="AE775" i="52"/>
  <c r="Z775" i="52"/>
  <c r="N626" i="55"/>
  <c r="K626" i="55"/>
  <c r="AE626" i="52"/>
  <c r="Z626" i="52"/>
  <c r="M1016" i="55"/>
  <c r="J1016" i="55"/>
  <c r="AF1712" i="51"/>
  <c r="Z1712" i="51"/>
  <c r="AE532" i="52"/>
  <c r="Z532" i="52"/>
  <c r="L78" i="41"/>
  <c r="AD503" i="52"/>
  <c r="Y503" i="52"/>
  <c r="AF1311" i="51"/>
  <c r="Z1311" i="51"/>
  <c r="AE261" i="52"/>
  <c r="Z261" i="52"/>
  <c r="AE958" i="52"/>
  <c r="Z958" i="52"/>
  <c r="AF1657" i="51"/>
  <c r="Z1657" i="51"/>
  <c r="AE1251" i="51"/>
  <c r="Y1251" i="51"/>
  <c r="AF2173" i="51"/>
  <c r="Z1001" i="51"/>
  <c r="AF1001" i="51"/>
  <c r="AE234" i="52"/>
  <c r="Z234" i="52"/>
  <c r="AF561" i="51"/>
  <c r="Z561" i="51"/>
  <c r="AF15" i="44"/>
  <c r="AP15" i="44"/>
  <c r="AF1638" i="51"/>
  <c r="Z1638" i="51"/>
  <c r="Y324" i="51"/>
  <c r="J324" i="55"/>
  <c r="M324" i="55"/>
  <c r="N11" i="42"/>
  <c r="T11" i="42"/>
  <c r="AM11" i="42"/>
  <c r="Z218" i="51"/>
  <c r="AF218" i="51"/>
  <c r="AM8" i="43"/>
  <c r="T8" i="43"/>
  <c r="N8" i="43"/>
  <c r="I22" i="62"/>
  <c r="F22" i="62"/>
  <c r="AF534" i="51"/>
  <c r="AE1010" i="52"/>
  <c r="Z1010" i="52"/>
  <c r="AF1709" i="51"/>
  <c r="Z1709" i="51"/>
  <c r="Z501" i="51"/>
  <c r="K501" i="55"/>
  <c r="N501" i="55"/>
  <c r="AD141" i="52"/>
  <c r="Y141" i="52"/>
  <c r="AE547" i="51"/>
  <c r="N1844" i="55"/>
  <c r="K1844" i="55"/>
  <c r="Z1983" i="51"/>
  <c r="K1983" i="55"/>
  <c r="N1983" i="55"/>
  <c r="AF1591" i="51"/>
  <c r="Z1591" i="51"/>
  <c r="AF1548" i="51"/>
  <c r="AF846" i="51"/>
  <c r="N48" i="41"/>
  <c r="N48" i="42"/>
  <c r="N48" i="57"/>
  <c r="N114" i="57"/>
  <c r="N1705" i="55"/>
  <c r="K1705" i="55"/>
  <c r="AD96" i="52"/>
  <c r="Y96" i="52"/>
  <c r="T10" i="42"/>
  <c r="AM10" i="42"/>
  <c r="Y194" i="51"/>
  <c r="J194" i="55"/>
  <c r="M194" i="55"/>
  <c r="AD498" i="52"/>
  <c r="Y498" i="52"/>
  <c r="AE613" i="52"/>
  <c r="Z613" i="52"/>
  <c r="AF162" i="51"/>
  <c r="Z162" i="51"/>
  <c r="AF153" i="51"/>
  <c r="Z153" i="51"/>
  <c r="AE83" i="52"/>
  <c r="Z83" i="52"/>
  <c r="AJ31" i="42"/>
  <c r="AF31" i="57"/>
  <c r="AF97" i="57"/>
  <c r="Z916" i="51"/>
  <c r="AF916" i="51"/>
  <c r="Z577" i="51"/>
  <c r="K577" i="55"/>
  <c r="N577" i="55"/>
  <c r="N1109" i="55"/>
  <c r="K1109" i="55"/>
  <c r="AE26" i="52"/>
  <c r="Z26" i="52"/>
  <c r="AE436" i="52"/>
  <c r="Z436" i="52"/>
  <c r="AF1823" i="51"/>
  <c r="Z1823" i="51"/>
  <c r="Z1720" i="51"/>
  <c r="K1720" i="55"/>
  <c r="N1720" i="55"/>
  <c r="Z1440" i="51"/>
  <c r="K1440" i="55"/>
  <c r="N1440" i="55"/>
  <c r="Y234" i="51"/>
  <c r="AE234" i="51"/>
  <c r="N367" i="55"/>
  <c r="K367" i="55"/>
  <c r="AF1579" i="51"/>
  <c r="Z1579" i="51"/>
  <c r="AE542" i="52"/>
  <c r="Z542" i="52"/>
  <c r="Y73" i="51"/>
  <c r="AE73" i="51"/>
  <c r="L84" i="41"/>
  <c r="Z1476" i="51"/>
  <c r="AF1476" i="51"/>
  <c r="Z2005" i="51"/>
  <c r="AF2005" i="51"/>
  <c r="AK39" i="44"/>
  <c r="AK39" i="43"/>
  <c r="AL29" i="42"/>
  <c r="Z1946" i="51"/>
  <c r="AF1946" i="51"/>
  <c r="AE564" i="52"/>
  <c r="Z564" i="52"/>
  <c r="AL64" i="44"/>
  <c r="AJ64" i="44"/>
  <c r="Y433" i="51"/>
  <c r="J433" i="55"/>
  <c r="M433" i="55"/>
  <c r="AE383" i="52"/>
  <c r="Z383" i="52"/>
  <c r="Z1516" i="51"/>
  <c r="AF1516" i="51"/>
  <c r="AJ34" i="42"/>
  <c r="AJ34" i="43"/>
  <c r="AL34" i="43"/>
  <c r="AF1316" i="51"/>
  <c r="Z1316" i="51"/>
  <c r="Y804" i="51"/>
  <c r="AE804" i="51"/>
  <c r="M1357" i="55"/>
  <c r="J1357" i="55"/>
  <c r="AF1149" i="51"/>
  <c r="Z2003" i="51"/>
  <c r="AF2003" i="51"/>
  <c r="AD232" i="52"/>
  <c r="Y232" i="52"/>
  <c r="AF1879" i="51"/>
  <c r="Z1879" i="51"/>
  <c r="AG36" i="43"/>
  <c r="AO26" i="44"/>
  <c r="AE26" i="44"/>
  <c r="AG26" i="44"/>
  <c r="AD237" i="52"/>
  <c r="Y237" i="52"/>
  <c r="AO23" i="43"/>
  <c r="AE23" i="43"/>
  <c r="AG23" i="43"/>
  <c r="N1216" i="55"/>
  <c r="K1216" i="55"/>
  <c r="AD31" i="52"/>
  <c r="Y31" i="52"/>
  <c r="Z865" i="51"/>
  <c r="K865" i="55"/>
  <c r="N865" i="55"/>
  <c r="AF2082" i="51"/>
  <c r="N23" i="44"/>
  <c r="T23" i="44"/>
  <c r="AM23" i="44"/>
  <c r="AP64" i="43"/>
  <c r="AF64" i="43"/>
  <c r="AC64" i="57"/>
  <c r="AC130" i="57"/>
  <c r="Z1976" i="51"/>
  <c r="K1976" i="55"/>
  <c r="N1976" i="55"/>
  <c r="AE531" i="52"/>
  <c r="Z531" i="52"/>
  <c r="AE1017" i="52"/>
  <c r="Z1017" i="52"/>
  <c r="AK33" i="41"/>
  <c r="AK33" i="42"/>
  <c r="AG33" i="57"/>
  <c r="AG99" i="57"/>
  <c r="AE9" i="52"/>
  <c r="Z9" i="52"/>
  <c r="Z963" i="51"/>
  <c r="K963" i="55"/>
  <c r="N963" i="55"/>
  <c r="AK65" i="41"/>
  <c r="AK65" i="42"/>
  <c r="AG65" i="57"/>
  <c r="AG131" i="57"/>
  <c r="Z1151" i="51"/>
  <c r="K1151" i="55"/>
  <c r="N1151" i="55"/>
  <c r="AL17" i="44"/>
  <c r="AJ17" i="44"/>
  <c r="Z2138" i="51"/>
  <c r="K2138" i="55"/>
  <c r="N2138" i="55"/>
  <c r="N1597" i="55"/>
  <c r="K1597" i="55"/>
  <c r="Z2134" i="51"/>
  <c r="K2134" i="55"/>
  <c r="N2134" i="55"/>
  <c r="Y647" i="51"/>
  <c r="J647" i="55"/>
  <c r="M647" i="55"/>
  <c r="AK57" i="43"/>
  <c r="AK57" i="44"/>
  <c r="AD310" i="52"/>
  <c r="Y310" i="52"/>
  <c r="AF1884" i="51"/>
  <c r="Z1884" i="51"/>
  <c r="AE135" i="51"/>
  <c r="N49" i="43"/>
  <c r="T49" i="43"/>
  <c r="AM49" i="43"/>
  <c r="Z787" i="51"/>
  <c r="K787" i="55"/>
  <c r="N787" i="55"/>
  <c r="AF1874" i="51"/>
  <c r="Z1874" i="51"/>
  <c r="AB105" i="57"/>
  <c r="AB39" i="57"/>
  <c r="AD261" i="52"/>
  <c r="Y261" i="52"/>
  <c r="AC85" i="57"/>
  <c r="AC19" i="57"/>
  <c r="M1132" i="55"/>
  <c r="J1132" i="55"/>
  <c r="AE560" i="52"/>
  <c r="Z560" i="52"/>
  <c r="AE959" i="52"/>
  <c r="Z959" i="52"/>
  <c r="N1741" i="55"/>
  <c r="K1741" i="55"/>
  <c r="Y886" i="51"/>
  <c r="AE886" i="51"/>
  <c r="AK9" i="44"/>
  <c r="AK9" i="42"/>
  <c r="AK9" i="43"/>
  <c r="N1821" i="55"/>
  <c r="K1821" i="55"/>
  <c r="AJ58" i="42"/>
  <c r="AJ58" i="43"/>
  <c r="AL58" i="43"/>
  <c r="N52" i="44"/>
  <c r="T52" i="44"/>
  <c r="AM52" i="44"/>
  <c r="Y589" i="51"/>
  <c r="AE589" i="51"/>
  <c r="AK27" i="44"/>
  <c r="AK27" i="41"/>
  <c r="AK27" i="42"/>
  <c r="AK27" i="43"/>
  <c r="Y1131" i="51"/>
  <c r="AE1131" i="51"/>
  <c r="Z1007" i="51"/>
  <c r="AF1007" i="51"/>
  <c r="Z1006" i="51"/>
  <c r="AF1006" i="51"/>
  <c r="Z2173" i="51"/>
  <c r="K2173" i="55"/>
  <c r="N2173" i="55"/>
  <c r="Z852" i="51"/>
  <c r="AF852" i="51"/>
  <c r="Z1525" i="51"/>
  <c r="AF1525" i="51"/>
  <c r="AE785" i="52"/>
  <c r="Z785" i="52"/>
  <c r="AE251" i="52"/>
  <c r="Z251" i="52"/>
  <c r="N1425" i="55"/>
  <c r="K1425" i="55"/>
  <c r="N12" i="57"/>
  <c r="N78" i="57"/>
  <c r="M1409" i="55"/>
  <c r="J1409" i="55"/>
  <c r="AO29" i="43"/>
  <c r="AE29" i="43"/>
  <c r="AG29" i="43"/>
  <c r="N1788" i="55"/>
  <c r="K1788" i="55"/>
  <c r="AF1899" i="51"/>
  <c r="Z1899" i="51"/>
  <c r="Z534" i="51"/>
  <c r="K534" i="55"/>
  <c r="N534" i="55"/>
  <c r="AD585" i="52"/>
  <c r="Y585" i="52"/>
  <c r="AE35" i="52"/>
  <c r="Z35" i="52"/>
  <c r="AF1596" i="51"/>
  <c r="Z1596" i="51"/>
  <c r="AE379" i="52"/>
  <c r="Z379" i="52"/>
  <c r="AO55" i="43"/>
  <c r="AE55" i="43"/>
  <c r="AG55" i="43"/>
  <c r="Z2214" i="51"/>
  <c r="AF2214" i="51"/>
  <c r="AF1857" i="51"/>
  <c r="Z1857" i="51"/>
  <c r="N1584" i="55"/>
  <c r="K1584" i="55"/>
  <c r="Y547" i="51"/>
  <c r="J547" i="55"/>
  <c r="M547" i="55"/>
  <c r="Z65" i="51"/>
  <c r="AF65" i="51"/>
  <c r="N1174" i="55"/>
  <c r="K1174" i="55"/>
  <c r="N2105" i="55"/>
  <c r="K2105" i="55"/>
  <c r="AE534" i="52"/>
  <c r="Z534" i="52"/>
  <c r="Z1548" i="51"/>
  <c r="K1548" i="55"/>
  <c r="N1548" i="55"/>
  <c r="Z846" i="51"/>
  <c r="K846" i="55"/>
  <c r="N846" i="55"/>
  <c r="Z467" i="51"/>
  <c r="AF467" i="51"/>
  <c r="Z971" i="51"/>
  <c r="AF971" i="51"/>
  <c r="Z1172" i="51"/>
  <c r="AF1172" i="51"/>
  <c r="N26" i="44"/>
  <c r="T26" i="44"/>
  <c r="AM26" i="44"/>
  <c r="AD283" i="52"/>
  <c r="Y283" i="52"/>
  <c r="M688" i="55"/>
  <c r="J688" i="55"/>
  <c r="AE1013" i="52"/>
  <c r="Z1013" i="52"/>
  <c r="AF1644" i="51"/>
  <c r="Z1644" i="51"/>
  <c r="Z1109" i="51"/>
  <c r="AF1109" i="51"/>
  <c r="Y608" i="51"/>
  <c r="AE608" i="51"/>
  <c r="Z367" i="51"/>
  <c r="AF367" i="51"/>
  <c r="AE37" i="52"/>
  <c r="Z37" i="52"/>
  <c r="Z1441" i="51"/>
  <c r="AF1441" i="51"/>
  <c r="N64" i="57"/>
  <c r="N130" i="57"/>
  <c r="Z487" i="51"/>
  <c r="AF487" i="51"/>
  <c r="AK39" i="41"/>
  <c r="AK39" i="42"/>
  <c r="AG39" i="57"/>
  <c r="AG105" i="57"/>
  <c r="AJ29" i="42"/>
  <c r="AJ29" i="43"/>
  <c r="AL29" i="43"/>
  <c r="Y636" i="51"/>
  <c r="AE636" i="51"/>
  <c r="Z1091" i="51"/>
  <c r="AF1091" i="51"/>
  <c r="N65" i="43"/>
  <c r="T65" i="43"/>
  <c r="AM65" i="43"/>
  <c r="AK56" i="43"/>
  <c r="AK56" i="41"/>
  <c r="AK56" i="42"/>
  <c r="AK56" i="44"/>
  <c r="AD281" i="52"/>
  <c r="Y281" i="52"/>
  <c r="Z1149" i="51"/>
  <c r="K1149" i="55"/>
  <c r="N1149" i="55"/>
  <c r="N1605" i="55"/>
  <c r="K1605" i="55"/>
  <c r="AD591" i="52"/>
  <c r="Y591" i="52"/>
  <c r="Z2086" i="51"/>
  <c r="AF2086" i="51"/>
  <c r="N22" i="43"/>
  <c r="T22" i="43"/>
  <c r="AM22" i="43"/>
  <c r="AD402" i="52"/>
  <c r="Y402" i="52"/>
  <c r="AD154" i="52"/>
  <c r="Y154" i="52"/>
  <c r="AO36" i="43"/>
  <c r="AE36" i="43"/>
  <c r="AB36" i="57"/>
  <c r="AB102" i="57"/>
  <c r="AE1348" i="51"/>
  <c r="Y1348" i="51"/>
  <c r="AF1593" i="51"/>
  <c r="Z1593" i="51"/>
  <c r="AE69" i="52"/>
  <c r="Z69" i="52"/>
  <c r="AJ50" i="42"/>
  <c r="AL50" i="42"/>
  <c r="AO65" i="44"/>
  <c r="AE65" i="44"/>
  <c r="AG65" i="44"/>
  <c r="M1275" i="55"/>
  <c r="J1275" i="55"/>
  <c r="Z2082" i="51"/>
  <c r="K2082" i="55"/>
  <c r="N2082" i="55"/>
  <c r="N103" i="57"/>
  <c r="N37" i="57"/>
  <c r="Z1486" i="51"/>
  <c r="AF1486" i="51"/>
  <c r="Y803" i="51"/>
  <c r="AE803" i="51"/>
  <c r="Y504" i="51"/>
  <c r="AE504" i="51"/>
  <c r="AK5" i="42"/>
  <c r="AK5" i="43"/>
  <c r="Z1913" i="51"/>
  <c r="AF1913" i="51"/>
  <c r="AE1252" i="51"/>
  <c r="Y1252" i="51"/>
  <c r="N2107" i="55"/>
  <c r="K2107" i="55"/>
  <c r="AB107" i="57"/>
  <c r="AB41" i="57"/>
  <c r="AE771" i="52"/>
  <c r="Z771" i="52"/>
  <c r="AE943" i="52"/>
  <c r="Z943" i="52"/>
  <c r="Y945" i="51"/>
  <c r="AE945" i="51"/>
  <c r="N1951" i="55"/>
  <c r="K1951" i="55"/>
  <c r="AE210" i="52"/>
  <c r="Z210" i="52"/>
  <c r="Y806" i="51"/>
  <c r="AE806" i="51"/>
  <c r="AM24" i="43"/>
  <c r="T24" i="43"/>
  <c r="N24" i="43"/>
  <c r="M1258" i="55"/>
  <c r="J1258" i="55"/>
  <c r="AF1655" i="51"/>
  <c r="Z1655" i="51"/>
  <c r="AD259" i="52"/>
  <c r="Y259" i="52"/>
  <c r="AD359" i="52"/>
  <c r="Y359" i="52"/>
  <c r="AE1332" i="51"/>
  <c r="Y1332" i="51"/>
  <c r="AE643" i="52"/>
  <c r="Z643" i="52"/>
  <c r="AL24" i="43"/>
  <c r="AJ24" i="43"/>
  <c r="M585" i="55"/>
  <c r="J585" i="55"/>
  <c r="AF45" i="44"/>
  <c r="AP45" i="44"/>
  <c r="AD3" i="52"/>
  <c r="Y3" i="52"/>
  <c r="N1284" i="55"/>
  <c r="K1284" i="55"/>
  <c r="Z2107" i="51"/>
  <c r="AF2107" i="51"/>
  <c r="T41" i="42"/>
  <c r="AO41" i="43"/>
  <c r="AE41" i="43"/>
  <c r="AG41" i="43"/>
  <c r="AO30" i="43"/>
  <c r="AE30" i="43"/>
  <c r="AG30" i="43"/>
  <c r="Y255" i="51"/>
  <c r="AE255" i="51"/>
  <c r="Z2198" i="51"/>
  <c r="AF2198" i="51"/>
  <c r="AF1182" i="51"/>
  <c r="Z1182" i="51"/>
  <c r="N894" i="55"/>
  <c r="K894" i="55"/>
  <c r="N625" i="55"/>
  <c r="K625" i="55"/>
  <c r="AD184" i="52"/>
  <c r="Y184" i="52"/>
  <c r="Z1951" i="51"/>
  <c r="AF1951" i="51"/>
  <c r="Z1938" i="51"/>
  <c r="AF1938" i="51"/>
  <c r="AE631" i="52"/>
  <c r="Z631" i="52"/>
  <c r="N1775" i="55"/>
  <c r="K1775" i="55"/>
  <c r="AB120" i="57"/>
  <c r="AB54" i="57"/>
  <c r="AG34" i="44"/>
  <c r="AE34" i="44"/>
  <c r="AO34" i="44"/>
  <c r="AF1958" i="51"/>
  <c r="N1600" i="55"/>
  <c r="K1600" i="55"/>
  <c r="N569" i="55"/>
  <c r="K569" i="55"/>
  <c r="AD120" i="52"/>
  <c r="Y120" i="52"/>
  <c r="N611" i="55"/>
  <c r="K611" i="55"/>
  <c r="AC86" i="57"/>
  <c r="AC20" i="57"/>
  <c r="AE392" i="52"/>
  <c r="Z392" i="52"/>
  <c r="AF1395" i="51"/>
  <c r="Z1395" i="51"/>
  <c r="N1214" i="55"/>
  <c r="K1214" i="55"/>
  <c r="M4" i="55"/>
  <c r="J4" i="55"/>
  <c r="N2174" i="55"/>
  <c r="K2174" i="55"/>
  <c r="AF1315" i="51"/>
  <c r="Z1315" i="51"/>
  <c r="N1459" i="55"/>
  <c r="K1459" i="55"/>
  <c r="AE724" i="52"/>
  <c r="Z724" i="52"/>
  <c r="AF13" i="44"/>
  <c r="AP13" i="44"/>
  <c r="N2111" i="55"/>
  <c r="K2111" i="55"/>
  <c r="AD264" i="52"/>
  <c r="Y264" i="52"/>
  <c r="AL22" i="43"/>
  <c r="AJ22" i="43"/>
  <c r="N1367" i="55"/>
  <c r="K1367" i="55"/>
  <c r="AF1890" i="51"/>
  <c r="Z1890" i="51"/>
  <c r="AF1291" i="51"/>
  <c r="Z1291" i="51"/>
  <c r="N1510" i="55"/>
  <c r="K1510" i="55"/>
  <c r="AD11" i="52"/>
  <c r="Y11" i="52"/>
  <c r="AF1696" i="51"/>
  <c r="Z1696" i="51"/>
  <c r="AF128" i="57"/>
  <c r="AF62" i="57"/>
  <c r="M516" i="55"/>
  <c r="J516" i="55"/>
  <c r="N1565" i="55"/>
  <c r="K1565" i="55"/>
  <c r="N1662" i="55"/>
  <c r="K1662" i="55"/>
  <c r="AF1152" i="51"/>
  <c r="AF41" i="51"/>
  <c r="AF1226" i="51"/>
  <c r="Z1226" i="51"/>
  <c r="AF1770" i="51"/>
  <c r="Z1770" i="51"/>
  <c r="N1405" i="55"/>
  <c r="K1405" i="55"/>
  <c r="AF1869" i="51"/>
  <c r="Z1869" i="51"/>
  <c r="AF90" i="57"/>
  <c r="AF24" i="57"/>
  <c r="AL10" i="43"/>
  <c r="AJ10" i="43"/>
  <c r="AE146" i="51"/>
  <c r="Y146" i="51"/>
  <c r="AL33" i="42"/>
  <c r="AE812" i="51"/>
  <c r="AF531" i="51"/>
  <c r="N1808" i="55"/>
  <c r="K1808" i="55"/>
  <c r="N1967" i="55"/>
  <c r="K1967" i="55"/>
  <c r="AE962" i="52"/>
  <c r="Z962" i="52"/>
  <c r="AD32" i="52"/>
  <c r="Y32" i="52"/>
  <c r="AM60" i="43"/>
  <c r="T60" i="43"/>
  <c r="N60" i="43"/>
  <c r="AF93" i="57"/>
  <c r="AF27" i="57"/>
  <c r="AG8" i="44"/>
  <c r="AE8" i="44"/>
  <c r="AO8" i="44"/>
  <c r="AD191" i="52"/>
  <c r="Y191" i="52"/>
  <c r="AD108" i="52"/>
  <c r="Y108" i="52"/>
  <c r="AL45" i="42"/>
  <c r="AF119" i="57"/>
  <c r="AF53" i="57"/>
  <c r="N2139" i="55"/>
  <c r="K2139" i="55"/>
  <c r="AG130" i="57"/>
  <c r="AG64" i="57"/>
  <c r="AE660" i="52"/>
  <c r="Z660" i="52"/>
  <c r="AE528" i="52"/>
  <c r="Z528" i="52"/>
  <c r="AF1310" i="51"/>
  <c r="Z1310" i="51"/>
  <c r="AL20" i="42"/>
  <c r="AF1825" i="51"/>
  <c r="Z1825" i="51"/>
  <c r="N2212" i="55"/>
  <c r="K2212" i="55"/>
  <c r="AF1648" i="51"/>
  <c r="Z1648" i="51"/>
  <c r="AF1598" i="51"/>
  <c r="Z1598" i="51"/>
  <c r="AC105" i="57"/>
  <c r="AC39" i="57"/>
  <c r="AF39" i="43"/>
  <c r="AP39" i="43"/>
  <c r="AE994" i="52"/>
  <c r="Z994" i="52"/>
  <c r="AF562" i="51"/>
  <c r="Z562" i="51"/>
  <c r="AF24" i="44"/>
  <c r="AP24" i="44"/>
  <c r="N639" i="55"/>
  <c r="K639" i="55"/>
  <c r="AD595" i="52"/>
  <c r="Y595" i="52"/>
  <c r="AL64" i="43"/>
  <c r="AJ64" i="43"/>
  <c r="AG95" i="57"/>
  <c r="AG29" i="57"/>
  <c r="AF120" i="57"/>
  <c r="AF54" i="57"/>
  <c r="AG128" i="57"/>
  <c r="AG62" i="57"/>
  <c r="AF1304" i="51"/>
  <c r="Z1304" i="51"/>
  <c r="N1100" i="55"/>
  <c r="K1100" i="55"/>
  <c r="N10" i="43"/>
  <c r="T10" i="43"/>
  <c r="AM10" i="43"/>
  <c r="Y688" i="51"/>
  <c r="AE688" i="51"/>
  <c r="N1716" i="55"/>
  <c r="K1716" i="55"/>
  <c r="Z1958" i="51"/>
  <c r="K1958" i="55"/>
  <c r="N1958" i="55"/>
  <c r="AE30" i="52"/>
  <c r="Z30" i="52"/>
  <c r="AD367" i="52"/>
  <c r="Y367" i="52"/>
  <c r="N32" i="44"/>
  <c r="T32" i="44"/>
  <c r="AM32" i="44"/>
  <c r="AK15" i="44"/>
  <c r="AK15" i="41"/>
  <c r="AK15" i="42"/>
  <c r="AK15" i="43"/>
  <c r="Z97" i="51"/>
  <c r="AF97" i="51"/>
  <c r="AO39" i="43"/>
  <c r="AE39" i="43"/>
  <c r="AG39" i="43"/>
  <c r="Z626" i="51"/>
  <c r="AF626" i="51"/>
  <c r="AP19" i="43"/>
  <c r="AF19" i="43"/>
  <c r="AG19" i="43"/>
  <c r="Y1132" i="51"/>
  <c r="AE1132" i="51"/>
  <c r="AL59" i="42"/>
  <c r="Y1016" i="51"/>
  <c r="AE1016" i="51"/>
  <c r="Z1152" i="51"/>
  <c r="K1152" i="55"/>
  <c r="N1152" i="55"/>
  <c r="Z41" i="51"/>
  <c r="K41" i="55"/>
  <c r="N41" i="55"/>
  <c r="AE156" i="51"/>
  <c r="Y156" i="51"/>
  <c r="Y585" i="51"/>
  <c r="AE585" i="51"/>
  <c r="AE1414" i="51"/>
  <c r="Y1414" i="51"/>
  <c r="AE832" i="52"/>
  <c r="Z832" i="52"/>
  <c r="N567" i="55"/>
  <c r="K567" i="55"/>
  <c r="AD180" i="52"/>
  <c r="Y180" i="52"/>
  <c r="Z1741" i="51"/>
  <c r="AF1741" i="51"/>
  <c r="Y812" i="51"/>
  <c r="J812" i="55"/>
  <c r="M812" i="55"/>
  <c r="AE721" i="52"/>
  <c r="Z721" i="52"/>
  <c r="N2179" i="55"/>
  <c r="K2179" i="55"/>
  <c r="N1711" i="55"/>
  <c r="K1711" i="55"/>
  <c r="AE616" i="52"/>
  <c r="Z616" i="52"/>
  <c r="AK17" i="43"/>
  <c r="AK17" i="44"/>
  <c r="AE1335" i="51"/>
  <c r="Y1335" i="51"/>
  <c r="AE1018" i="51"/>
  <c r="AE567" i="52"/>
  <c r="Z567" i="52"/>
  <c r="AF119" i="51"/>
  <c r="AG24" i="43"/>
  <c r="AJ45" i="42"/>
  <c r="AJ45" i="43"/>
  <c r="AL45" i="43"/>
  <c r="AE74" i="52"/>
  <c r="Z74" i="52"/>
  <c r="AD103" i="52"/>
  <c r="Y103" i="52"/>
  <c r="M701" i="55"/>
  <c r="J701" i="55"/>
  <c r="Z2167" i="51"/>
  <c r="AF2167" i="51"/>
  <c r="AD650" i="52"/>
  <c r="Y650" i="52"/>
  <c r="AJ59" i="42"/>
  <c r="AF59" i="57"/>
  <c r="AF125" i="57"/>
  <c r="AD200" i="52"/>
  <c r="Y200" i="52"/>
  <c r="AF180" i="51"/>
  <c r="Z180" i="51"/>
  <c r="AF49" i="44"/>
  <c r="AP49" i="44"/>
  <c r="AF1206" i="51"/>
  <c r="Z1206" i="51"/>
  <c r="AF1817" i="51"/>
  <c r="Z1817" i="51"/>
  <c r="AF2121" i="51"/>
  <c r="AG80" i="57"/>
  <c r="AG14" i="57"/>
  <c r="AE789" i="52"/>
  <c r="Z789" i="52"/>
  <c r="AE920" i="52"/>
  <c r="Z920" i="52"/>
  <c r="AF91" i="57"/>
  <c r="AF25" i="57"/>
  <c r="AF1845" i="51"/>
  <c r="Z1845" i="51"/>
  <c r="N1993" i="55"/>
  <c r="K1993" i="55"/>
  <c r="AF1664" i="51"/>
  <c r="Z1664" i="51"/>
  <c r="AE907" i="52"/>
  <c r="Z907" i="52"/>
  <c r="N630" i="55"/>
  <c r="K630" i="55"/>
  <c r="AE134" i="51"/>
  <c r="AD510" i="52"/>
  <c r="Y510" i="52"/>
  <c r="AF527" i="51"/>
  <c r="M1253" i="55"/>
  <c r="J1253" i="55"/>
  <c r="AE431" i="52"/>
  <c r="Z431" i="52"/>
  <c r="M1351" i="55"/>
  <c r="J1351" i="55"/>
  <c r="N63" i="44"/>
  <c r="T63" i="44"/>
  <c r="AM63" i="44"/>
  <c r="N1061" i="55"/>
  <c r="K1061" i="55"/>
  <c r="AK17" i="42"/>
  <c r="AG17" i="57"/>
  <c r="AG83" i="57"/>
  <c r="AE727" i="51"/>
  <c r="AD165" i="52"/>
  <c r="Y165" i="52"/>
  <c r="Y1018" i="51"/>
  <c r="J1018" i="55"/>
  <c r="M1018" i="55"/>
  <c r="AF2061" i="51"/>
  <c r="AO24" i="43"/>
  <c r="AE24" i="43"/>
  <c r="AB24" i="57"/>
  <c r="AB90" i="57"/>
  <c r="N1225" i="55"/>
  <c r="K1225" i="55"/>
  <c r="AE520" i="51"/>
  <c r="AE931" i="52"/>
  <c r="Z931" i="52"/>
  <c r="AE669" i="52"/>
  <c r="Z669" i="52"/>
  <c r="AM15" i="44"/>
  <c r="N15" i="44"/>
  <c r="T15" i="44"/>
  <c r="AE97" i="51"/>
  <c r="AF1803" i="51"/>
  <c r="Z1803" i="51"/>
  <c r="N47" i="43"/>
  <c r="T47" i="43"/>
  <c r="AM47" i="43"/>
  <c r="AE66" i="52"/>
  <c r="Z66" i="52"/>
  <c r="AM10" i="44"/>
  <c r="T10" i="44"/>
  <c r="N10" i="42"/>
  <c r="N10" i="44"/>
  <c r="AM35" i="44"/>
  <c r="T35" i="44"/>
  <c r="N35" i="44"/>
  <c r="AF1389" i="51"/>
  <c r="Z1389" i="51"/>
  <c r="AF1839" i="51"/>
  <c r="Z1839" i="51"/>
  <c r="AB116" i="57"/>
  <c r="AB50" i="57"/>
  <c r="AD334" i="52"/>
  <c r="Y334" i="52"/>
  <c r="AG58" i="44"/>
  <c r="AE58" i="44"/>
  <c r="AO58" i="44"/>
  <c r="AF575" i="51"/>
  <c r="N1688" i="55"/>
  <c r="K1688" i="55"/>
  <c r="Z575" i="51"/>
  <c r="K575" i="55"/>
  <c r="N575" i="55"/>
  <c r="AD658" i="52"/>
  <c r="Y658" i="52"/>
  <c r="AE446" i="52"/>
  <c r="Z446" i="52"/>
  <c r="AD182" i="52"/>
  <c r="Y182" i="52"/>
  <c r="AD64" i="52"/>
  <c r="Y64" i="52"/>
  <c r="AL60" i="42"/>
  <c r="AF65" i="44"/>
  <c r="AP65" i="44"/>
  <c r="AE752" i="52"/>
  <c r="Z752" i="52"/>
  <c r="AE800" i="52"/>
  <c r="Z800" i="52"/>
  <c r="AL49" i="44"/>
  <c r="AJ49" i="44"/>
  <c r="N462" i="55"/>
  <c r="K462" i="55"/>
  <c r="AB74" i="57"/>
  <c r="AB8" i="57"/>
  <c r="Z1568" i="51"/>
  <c r="AF1568" i="51"/>
  <c r="AE1000" i="52"/>
  <c r="Z1000" i="52"/>
  <c r="AF1697" i="51"/>
  <c r="Z1697" i="51"/>
  <c r="AF567" i="51"/>
  <c r="Z567" i="51"/>
  <c r="AF1767" i="51"/>
  <c r="Z1767" i="51"/>
  <c r="N54" i="57"/>
  <c r="N120" i="57"/>
  <c r="AK57" i="41"/>
  <c r="AK57" i="42"/>
  <c r="AG57" i="57"/>
  <c r="AG123" i="57"/>
  <c r="N1228" i="55"/>
  <c r="K1228" i="55"/>
  <c r="AF1423" i="51"/>
  <c r="Z1423" i="51"/>
  <c r="AE567" i="51"/>
  <c r="Y567" i="51"/>
  <c r="AE181" i="51"/>
  <c r="Y181" i="51"/>
  <c r="Z894" i="51"/>
  <c r="AF894" i="51"/>
  <c r="Z625" i="51"/>
  <c r="AF625" i="51"/>
  <c r="Z2105" i="51"/>
  <c r="AF2105" i="51"/>
  <c r="AE839" i="52"/>
  <c r="Z839" i="52"/>
  <c r="AP51" i="43"/>
  <c r="AF51" i="43"/>
  <c r="AC51" i="57"/>
  <c r="AC117" i="57"/>
  <c r="Y135" i="51"/>
  <c r="J135" i="55"/>
  <c r="M135" i="55"/>
  <c r="AE430" i="52"/>
  <c r="Z430" i="52"/>
  <c r="AP62" i="44"/>
  <c r="AF62" i="44"/>
  <c r="AD395" i="52"/>
  <c r="Y395" i="52"/>
  <c r="AO54" i="43"/>
  <c r="AE54" i="43"/>
  <c r="AG54" i="43"/>
  <c r="AE1244" i="51"/>
  <c r="Y1244" i="51"/>
  <c r="AE866" i="52"/>
  <c r="Z866" i="52"/>
  <c r="AF1684" i="51"/>
  <c r="Z1684" i="51"/>
  <c r="AD115" i="52"/>
  <c r="Y115" i="52"/>
  <c r="AE947" i="52"/>
  <c r="Z947" i="52"/>
  <c r="Z547" i="51"/>
  <c r="AF547" i="51"/>
  <c r="Z611" i="51"/>
  <c r="AF611" i="51"/>
  <c r="AP20" i="43"/>
  <c r="AF20" i="43"/>
  <c r="AG20" i="43"/>
  <c r="Y4" i="51"/>
  <c r="AE4" i="51"/>
  <c r="Z2174" i="51"/>
  <c r="AF2174" i="51"/>
  <c r="Z1459" i="51"/>
  <c r="AF1459" i="51"/>
  <c r="Z2111" i="51"/>
  <c r="AF2111" i="51"/>
  <c r="AJ22" i="42"/>
  <c r="AL22" i="42"/>
  <c r="Z1510" i="51"/>
  <c r="AF1510" i="51"/>
  <c r="Y516" i="51"/>
  <c r="AE516" i="51"/>
  <c r="Z1565" i="51"/>
  <c r="AF1565" i="51"/>
  <c r="AM59" i="43"/>
  <c r="T59" i="43"/>
  <c r="N59" i="43"/>
  <c r="AE769" i="52"/>
  <c r="Z769" i="52"/>
  <c r="N114" i="55"/>
  <c r="K114" i="55"/>
  <c r="AD248" i="52"/>
  <c r="Y248" i="52"/>
  <c r="AJ24" i="42"/>
  <c r="AL24" i="42"/>
  <c r="AE990" i="52"/>
  <c r="Z990" i="52"/>
  <c r="AJ10" i="42"/>
  <c r="AL10" i="42"/>
  <c r="N49" i="57"/>
  <c r="N115" i="57"/>
  <c r="AE791" i="51"/>
  <c r="AE707" i="52"/>
  <c r="Z707" i="52"/>
  <c r="N1120" i="55"/>
  <c r="K1120" i="55"/>
  <c r="N1626" i="55"/>
  <c r="K1626" i="55"/>
  <c r="AE822" i="51"/>
  <c r="Z1967" i="51"/>
  <c r="AF1967" i="51"/>
  <c r="AE748" i="52"/>
  <c r="Z748" i="52"/>
  <c r="AE587" i="51"/>
  <c r="AF1600" i="51"/>
  <c r="Z1600" i="51"/>
  <c r="AD80" i="52"/>
  <c r="Y80" i="52"/>
  <c r="AG67" i="43"/>
  <c r="AE871" i="52"/>
  <c r="Z871" i="52"/>
  <c r="AE69" i="51"/>
  <c r="AF2048" i="51"/>
  <c r="Z2015" i="51"/>
  <c r="AF2015" i="51"/>
  <c r="AJ53" i="42"/>
  <c r="AL53" i="42"/>
  <c r="Z2139" i="51"/>
  <c r="AF2139" i="51"/>
  <c r="Y97" i="51"/>
  <c r="J97" i="55"/>
  <c r="M97" i="55"/>
  <c r="Z1902" i="51"/>
  <c r="AF1902" i="51"/>
  <c r="AF1769" i="51"/>
  <c r="Z1769" i="51"/>
  <c r="AK47" i="43"/>
  <c r="AK47" i="44"/>
  <c r="AE827" i="52"/>
  <c r="Z827" i="52"/>
  <c r="AD357" i="52"/>
  <c r="Y357" i="52"/>
  <c r="AO43" i="44"/>
  <c r="AE43" i="44"/>
  <c r="AG43" i="44"/>
  <c r="AD177" i="52"/>
  <c r="Y177" i="52"/>
  <c r="AE1343" i="51"/>
  <c r="Y1343" i="51"/>
  <c r="N1370" i="55"/>
  <c r="K1370" i="55"/>
  <c r="AE14" i="52"/>
  <c r="Z14" i="52"/>
  <c r="Z639" i="51"/>
  <c r="AF639" i="51"/>
  <c r="AE790" i="52"/>
  <c r="Z790" i="52"/>
  <c r="AE843" i="52"/>
  <c r="Z843" i="52"/>
  <c r="N29" i="42"/>
  <c r="T29" i="42"/>
  <c r="AP29" i="44"/>
  <c r="AF29" i="44"/>
  <c r="AF1520" i="51"/>
  <c r="AD144" i="52"/>
  <c r="Y144" i="52"/>
  <c r="AF1641" i="51"/>
  <c r="Z1641" i="51"/>
  <c r="N1685" i="55"/>
  <c r="K1685" i="55"/>
  <c r="AL43" i="42"/>
  <c r="AG52" i="43"/>
  <c r="AM57" i="42"/>
  <c r="AL48" i="42"/>
  <c r="N73" i="57"/>
  <c r="N7" i="57"/>
  <c r="N1996" i="55"/>
  <c r="K1996" i="55"/>
  <c r="AD13" i="52"/>
  <c r="Y13" i="52"/>
  <c r="AJ60" i="42"/>
  <c r="AJ60" i="44"/>
  <c r="AL60" i="44"/>
  <c r="AD302" i="52"/>
  <c r="Y302" i="52"/>
  <c r="Z1520" i="51"/>
  <c r="K1520" i="55"/>
  <c r="N1520" i="55"/>
  <c r="AE1241" i="51"/>
  <c r="Y1241" i="51"/>
  <c r="AL25" i="43"/>
  <c r="AJ25" i="43"/>
  <c r="Y701" i="51"/>
  <c r="AE701" i="51"/>
  <c r="AE782" i="52"/>
  <c r="Z782" i="52"/>
  <c r="AF60" i="51"/>
  <c r="AM57" i="44"/>
  <c r="T57" i="44"/>
  <c r="N57" i="44"/>
  <c r="AG86" i="57"/>
  <c r="AG20" i="57"/>
  <c r="N1799" i="55"/>
  <c r="K1799" i="55"/>
  <c r="AF1585" i="51"/>
  <c r="Z1585" i="51"/>
  <c r="AF1743" i="51"/>
  <c r="AL42" i="42"/>
  <c r="AG116" i="57"/>
  <c r="AG50" i="57"/>
  <c r="H9" i="62"/>
  <c r="E9" i="62"/>
  <c r="AE140" i="51"/>
  <c r="Y140" i="51"/>
  <c r="M604" i="55"/>
  <c r="J604" i="55"/>
  <c r="AF1193" i="51"/>
  <c r="Z1193" i="51"/>
  <c r="AD482" i="52"/>
  <c r="Y482" i="52"/>
  <c r="AD65" i="52"/>
  <c r="Y65" i="52"/>
  <c r="M1248" i="55"/>
  <c r="J1248" i="55"/>
  <c r="AF158" i="51"/>
  <c r="Z158" i="51"/>
  <c r="AL52" i="42"/>
  <c r="AF115" i="57"/>
  <c r="AF49" i="57"/>
  <c r="AD139" i="52"/>
  <c r="Y139" i="52"/>
  <c r="AE661" i="52"/>
  <c r="Z661" i="52"/>
  <c r="AD260" i="52"/>
  <c r="Y260" i="52"/>
  <c r="Z114" i="51"/>
  <c r="AF114" i="51"/>
  <c r="Z2166" i="51"/>
  <c r="AF2166" i="51"/>
  <c r="U14" i="62"/>
  <c r="R14" i="62"/>
  <c r="N1867" i="55"/>
  <c r="K1867" i="55"/>
  <c r="M1343" i="55"/>
  <c r="J1343" i="55"/>
  <c r="AE886" i="52"/>
  <c r="Z886" i="52"/>
  <c r="AE700" i="52"/>
  <c r="Z700" i="52"/>
  <c r="AE150" i="51"/>
  <c r="Y150" i="51"/>
  <c r="AF1649" i="51"/>
  <c r="Z1649" i="51"/>
  <c r="AD198" i="52"/>
  <c r="Y198" i="52"/>
  <c r="Y791" i="51"/>
  <c r="J791" i="55"/>
  <c r="M791" i="55"/>
  <c r="AD496" i="52"/>
  <c r="Y496" i="52"/>
  <c r="AE1016" i="52"/>
  <c r="Z1016" i="52"/>
  <c r="AJ33" i="42"/>
  <c r="AJ33" i="43"/>
  <c r="AL33" i="43"/>
  <c r="AP32" i="44"/>
  <c r="AF32" i="44"/>
  <c r="Y134" i="51"/>
  <c r="J178" i="55"/>
  <c r="M178" i="55"/>
  <c r="AP50" i="43"/>
  <c r="AF50" i="43"/>
  <c r="AC50" i="57"/>
  <c r="AC116" i="57"/>
  <c r="Z531" i="51"/>
  <c r="K531" i="55"/>
  <c r="N531" i="55"/>
  <c r="AF1888" i="51"/>
  <c r="Z1888" i="51"/>
  <c r="Z527" i="51"/>
  <c r="K527" i="55"/>
  <c r="N527" i="55"/>
  <c r="AE561" i="51"/>
  <c r="Y561" i="51"/>
  <c r="AE903" i="52"/>
  <c r="Z903" i="52"/>
  <c r="Y822" i="51"/>
  <c r="J822" i="55"/>
  <c r="M822" i="55"/>
  <c r="AE561" i="52"/>
  <c r="Z561" i="52"/>
  <c r="AE992" i="52"/>
  <c r="Z992" i="52"/>
  <c r="AE759" i="52"/>
  <c r="Z759" i="52"/>
  <c r="Y587" i="51"/>
  <c r="J587" i="55"/>
  <c r="M587" i="55"/>
  <c r="AE141" i="51"/>
  <c r="Y141" i="51"/>
  <c r="AE537" i="52"/>
  <c r="Z537" i="52"/>
  <c r="AE1256" i="51"/>
  <c r="Y1256" i="51"/>
  <c r="AF2183" i="51"/>
  <c r="Z2183" i="51"/>
  <c r="Z1061" i="51"/>
  <c r="AF1061" i="51"/>
  <c r="AD593" i="52"/>
  <c r="Y593" i="52"/>
  <c r="AD133" i="52"/>
  <c r="Y133" i="52"/>
  <c r="Y727" i="51"/>
  <c r="J727" i="55"/>
  <c r="M727" i="55"/>
  <c r="AD326" i="52"/>
  <c r="Y326" i="52"/>
  <c r="AJ27" i="42"/>
  <c r="AL27" i="42"/>
  <c r="AF1387" i="51"/>
  <c r="Z1387" i="51"/>
  <c r="N2186" i="55"/>
  <c r="K2186" i="55"/>
  <c r="Z2061" i="51"/>
  <c r="K2061" i="55"/>
  <c r="N2061" i="55"/>
  <c r="Z119" i="51"/>
  <c r="K119" i="55"/>
  <c r="N119" i="55"/>
  <c r="AF75" i="57"/>
  <c r="AF9" i="57"/>
  <c r="AD201" i="52"/>
  <c r="Y201" i="52"/>
  <c r="AD328" i="52"/>
  <c r="Y328" i="52"/>
  <c r="Z2048" i="51"/>
  <c r="K2048" i="55"/>
  <c r="N2048" i="55"/>
  <c r="Y520" i="51"/>
  <c r="J520" i="55"/>
  <c r="M520" i="55"/>
  <c r="AO47" i="43"/>
  <c r="AE47" i="43"/>
  <c r="AG47" i="43"/>
  <c r="AE671" i="52"/>
  <c r="Z671" i="52"/>
  <c r="Y69" i="51"/>
  <c r="J69" i="55"/>
  <c r="M69" i="55"/>
  <c r="M1350" i="55"/>
  <c r="J1350" i="55"/>
  <c r="AK64" i="44"/>
  <c r="AK64" i="41"/>
  <c r="AK64" i="42"/>
  <c r="AK64" i="43"/>
  <c r="AF1652" i="51"/>
  <c r="Z1652" i="51"/>
  <c r="AD486" i="52"/>
  <c r="Y486" i="52"/>
  <c r="N36" i="44"/>
  <c r="T36" i="44"/>
  <c r="AM36" i="44"/>
  <c r="AF1860" i="51"/>
  <c r="Z1860" i="51"/>
  <c r="AK47" i="41"/>
  <c r="AK47" i="42"/>
  <c r="AG47" i="57"/>
  <c r="AG113" i="57"/>
  <c r="N1646" i="55"/>
  <c r="K1646" i="55"/>
  <c r="AJ20" i="42"/>
  <c r="AJ20" i="44"/>
  <c r="AL20" i="44"/>
  <c r="N1826" i="55"/>
  <c r="K1826" i="55"/>
  <c r="M1335" i="55"/>
  <c r="J1335" i="55"/>
  <c r="Z2121" i="51"/>
  <c r="K2121" i="55"/>
  <c r="N2121" i="55"/>
  <c r="N43" i="41"/>
  <c r="N43" i="42"/>
  <c r="T43" i="42"/>
  <c r="AM43" i="42"/>
  <c r="AF175" i="51"/>
  <c r="Z175" i="51"/>
  <c r="AD9" i="52"/>
  <c r="Y9" i="52"/>
  <c r="M12" i="55"/>
  <c r="J12" i="55"/>
  <c r="N1298" i="55"/>
  <c r="K1298" i="55"/>
  <c r="AE846" i="52"/>
  <c r="Z846" i="52"/>
  <c r="AK14" i="43"/>
  <c r="AK14" i="42"/>
  <c r="AK14" i="44"/>
  <c r="AJ25" i="42"/>
  <c r="AL25" i="42"/>
  <c r="AO62" i="44"/>
  <c r="AE62" i="44"/>
  <c r="AG62" i="44"/>
  <c r="N2071" i="55"/>
  <c r="K2071" i="55"/>
  <c r="AD100" i="52"/>
  <c r="Y100" i="52"/>
  <c r="AD160" i="52"/>
  <c r="Y160" i="52"/>
  <c r="Z830" i="52"/>
  <c r="AE830" i="52"/>
  <c r="AE622" i="51"/>
  <c r="AK29" i="43"/>
  <c r="AK29" i="42"/>
  <c r="AK29" i="44"/>
  <c r="AJ43" i="41"/>
  <c r="AJ43" i="42"/>
  <c r="AJ43" i="44"/>
  <c r="AL43" i="44"/>
  <c r="AD149" i="52"/>
  <c r="Y149" i="52"/>
  <c r="Y622" i="51"/>
  <c r="J622" i="55"/>
  <c r="M622" i="55"/>
  <c r="AK59" i="43"/>
  <c r="AK59" i="44"/>
  <c r="AJ54" i="42"/>
  <c r="AL54" i="42"/>
  <c r="AG126" i="57"/>
  <c r="AG60" i="57"/>
  <c r="N1169" i="55"/>
  <c r="K1169" i="55"/>
  <c r="U7" i="62"/>
  <c r="R7" i="62"/>
  <c r="H23" i="62"/>
  <c r="E23" i="62"/>
  <c r="AE799" i="52"/>
  <c r="Z799" i="52"/>
  <c r="AE6" i="52"/>
  <c r="Z6" i="52"/>
  <c r="AE807" i="52"/>
  <c r="Z807" i="52"/>
  <c r="AE640" i="52"/>
  <c r="Z640" i="52"/>
  <c r="N366" i="55"/>
  <c r="K366" i="55"/>
  <c r="AE751" i="52"/>
  <c r="Z751" i="52"/>
  <c r="N93" i="55"/>
  <c r="K93" i="55"/>
  <c r="Y45" i="51"/>
  <c r="AE45" i="51"/>
  <c r="AL19" i="44"/>
  <c r="AJ19" i="44"/>
  <c r="AF107" i="57"/>
  <c r="AF41" i="57"/>
  <c r="AL63" i="43"/>
  <c r="AJ63" i="43"/>
  <c r="AE61" i="52"/>
  <c r="Z61" i="52"/>
  <c r="R28" i="62"/>
  <c r="U28" i="62"/>
  <c r="AF1703" i="51"/>
  <c r="Z1703" i="51"/>
  <c r="AE412" i="51"/>
  <c r="AF2146" i="51"/>
  <c r="AE571" i="51"/>
  <c r="Y571" i="51"/>
  <c r="AF1435" i="51"/>
  <c r="AE1038" i="51"/>
  <c r="AF967" i="51"/>
  <c r="N924" i="55"/>
  <c r="K924" i="55"/>
  <c r="AF1896" i="51"/>
  <c r="Z1896" i="51"/>
  <c r="AF1919" i="51"/>
  <c r="M127" i="55"/>
  <c r="J127" i="55"/>
  <c r="N1943" i="55"/>
  <c r="K1943" i="55"/>
  <c r="AE476" i="52"/>
  <c r="Z476" i="52"/>
  <c r="AF55" i="44"/>
  <c r="AP55" i="44"/>
  <c r="AE114" i="51"/>
  <c r="AD507" i="52"/>
  <c r="Y507" i="52"/>
  <c r="AF1563" i="51"/>
  <c r="AF113" i="57"/>
  <c r="AF47" i="57"/>
  <c r="AD352" i="52"/>
  <c r="Y352" i="52"/>
  <c r="AD238" i="52"/>
  <c r="Y238" i="52"/>
  <c r="AD68" i="52"/>
  <c r="Y68" i="52"/>
  <c r="AD576" i="52"/>
  <c r="Y576" i="52"/>
  <c r="AG24" i="44"/>
  <c r="AE24" i="44"/>
  <c r="AO24" i="44"/>
  <c r="N52" i="41"/>
  <c r="N52" i="42"/>
  <c r="T52" i="42"/>
  <c r="AO52" i="43"/>
  <c r="AE52" i="43"/>
  <c r="AB52" i="57"/>
  <c r="AB118" i="57"/>
  <c r="N1894" i="55"/>
  <c r="K1894" i="55"/>
  <c r="AD579" i="52"/>
  <c r="Y579" i="52"/>
  <c r="AK59" i="41"/>
  <c r="AK59" i="42"/>
  <c r="AG59" i="57"/>
  <c r="AG125" i="57"/>
  <c r="AE391" i="52"/>
  <c r="Z391" i="52"/>
  <c r="Z2071" i="51"/>
  <c r="AF2071" i="51"/>
  <c r="AF1443" i="51"/>
  <c r="AK20" i="44"/>
  <c r="AK20" i="42"/>
  <c r="AK20" i="43"/>
  <c r="AJ48" i="41"/>
  <c r="AJ48" i="42"/>
  <c r="AF48" i="57"/>
  <c r="AF114" i="57"/>
  <c r="N519" i="55"/>
  <c r="K519" i="55"/>
  <c r="N1657" i="55"/>
  <c r="K1657" i="55"/>
  <c r="N1502" i="55"/>
  <c r="K1502" i="55"/>
  <c r="N866" i="55"/>
  <c r="K866" i="55"/>
  <c r="AF1635" i="51"/>
  <c r="Z1635" i="51"/>
  <c r="AE1275" i="51"/>
  <c r="Y1275" i="51"/>
  <c r="AE443" i="52"/>
  <c r="Z443" i="52"/>
  <c r="AJ52" i="42"/>
  <c r="AJ52" i="43"/>
  <c r="AL52" i="43"/>
  <c r="AD41" i="52"/>
  <c r="Y41" i="52"/>
  <c r="Z1743" i="51"/>
  <c r="K1743" i="55"/>
  <c r="N1743" i="55"/>
  <c r="AD298" i="52"/>
  <c r="Y298" i="52"/>
  <c r="AP57" i="44"/>
  <c r="AF57" i="44"/>
  <c r="N47" i="57"/>
  <c r="N113" i="57"/>
  <c r="AE147" i="51"/>
  <c r="Y147" i="51"/>
  <c r="M95" i="55"/>
  <c r="J95" i="55"/>
  <c r="AD306" i="52"/>
  <c r="Y306" i="52"/>
  <c r="AE377" i="52"/>
  <c r="Z377" i="52"/>
  <c r="AG44" i="44"/>
  <c r="AE44" i="44"/>
  <c r="AO44" i="44"/>
  <c r="N1850" i="55"/>
  <c r="K1850" i="55"/>
  <c r="AE623" i="52"/>
  <c r="Z623" i="52"/>
  <c r="AD75" i="52"/>
  <c r="Y75" i="52"/>
  <c r="AE840" i="52"/>
  <c r="Z840" i="52"/>
  <c r="AE883" i="52"/>
  <c r="Z883" i="52"/>
  <c r="E27" i="62"/>
  <c r="H27" i="62"/>
  <c r="AE906" i="52"/>
  <c r="Z906" i="52"/>
  <c r="N1222" i="55"/>
  <c r="K1222" i="55"/>
  <c r="Z630" i="51"/>
  <c r="AF630" i="51"/>
  <c r="AF1689" i="51"/>
  <c r="Z1689" i="51"/>
  <c r="AE363" i="51"/>
  <c r="AF1663" i="51"/>
  <c r="Z1663" i="51"/>
  <c r="N1009" i="55"/>
  <c r="K1009" i="55"/>
  <c r="AP33" i="44"/>
  <c r="AF33" i="44"/>
  <c r="AF48" i="51"/>
  <c r="N1722" i="55"/>
  <c r="K1722" i="55"/>
  <c r="AF1301" i="51"/>
  <c r="Z1301" i="51"/>
  <c r="N74" i="57"/>
  <c r="N8" i="57"/>
  <c r="AE468" i="52"/>
  <c r="Z468" i="52"/>
  <c r="Y412" i="51"/>
  <c r="J412" i="55"/>
  <c r="M412" i="55"/>
  <c r="AE475" i="51"/>
  <c r="Y12" i="51"/>
  <c r="AE12" i="51"/>
  <c r="Z2146" i="51"/>
  <c r="K2146" i="55"/>
  <c r="N2146" i="55"/>
  <c r="AE629" i="51"/>
  <c r="Z1435" i="51"/>
  <c r="K1435" i="55"/>
  <c r="N1435" i="55"/>
  <c r="Y1038" i="51"/>
  <c r="J1038" i="55"/>
  <c r="M1038" i="55"/>
  <c r="AC89" i="57"/>
  <c r="AC23" i="57"/>
  <c r="AF23" i="43"/>
  <c r="AP23" i="43"/>
  <c r="AE450" i="52"/>
  <c r="Z450" i="52"/>
  <c r="Z967" i="51"/>
  <c r="K967" i="55"/>
  <c r="N967" i="55"/>
  <c r="AD251" i="52"/>
  <c r="Y251" i="52"/>
  <c r="N1076" i="55"/>
  <c r="K1076" i="55"/>
  <c r="Z1919" i="51"/>
  <c r="K1919" i="55"/>
  <c r="N1919" i="55"/>
  <c r="AF1199" i="51"/>
  <c r="Z1199" i="51"/>
  <c r="N2187" i="55"/>
  <c r="K2187" i="55"/>
  <c r="AF1196" i="51"/>
  <c r="Z1196" i="51"/>
  <c r="AF1425" i="51"/>
  <c r="Z1425" i="51"/>
  <c r="AF146" i="51"/>
  <c r="Z146" i="51"/>
  <c r="AG73" i="57"/>
  <c r="AG7" i="57"/>
  <c r="N2195" i="55"/>
  <c r="K2195" i="55"/>
  <c r="N1855" i="55"/>
  <c r="K1855" i="55"/>
  <c r="Z866" i="51"/>
  <c r="AF866" i="51"/>
  <c r="AD342" i="52"/>
  <c r="Y342" i="52"/>
  <c r="N551" i="55"/>
  <c r="K551" i="55"/>
  <c r="AE704" i="52"/>
  <c r="Z704" i="52"/>
  <c r="AF2081" i="51"/>
  <c r="AM31" i="44"/>
  <c r="T31" i="44"/>
  <c r="N31" i="44"/>
  <c r="AD267" i="52"/>
  <c r="Y267" i="52"/>
  <c r="AD495" i="52"/>
  <c r="Y495" i="52"/>
  <c r="Z2081" i="51"/>
  <c r="K2081" i="55"/>
  <c r="N2081" i="55"/>
  <c r="AE893" i="52"/>
  <c r="Z893" i="52"/>
  <c r="AK18" i="43"/>
  <c r="AK18" i="44"/>
  <c r="AE35" i="51"/>
  <c r="N634" i="55"/>
  <c r="K634" i="55"/>
  <c r="AM28" i="42"/>
  <c r="Z907" i="51"/>
  <c r="AF907" i="51"/>
  <c r="N41" i="41"/>
  <c r="N41" i="42"/>
  <c r="N41" i="57"/>
  <c r="N107" i="57"/>
  <c r="Y363" i="51"/>
  <c r="J363" i="55"/>
  <c r="M363" i="55"/>
  <c r="AD239" i="52"/>
  <c r="Y239" i="52"/>
  <c r="AE551" i="52"/>
  <c r="Z551" i="52"/>
  <c r="N1934" i="55"/>
  <c r="K1934" i="55"/>
  <c r="M263" i="55"/>
  <c r="J263" i="55"/>
  <c r="Z48" i="51"/>
  <c r="K48" i="55"/>
  <c r="N48" i="55"/>
  <c r="AF2087" i="51"/>
  <c r="N2203" i="55"/>
  <c r="K2203" i="55"/>
  <c r="Y475" i="51"/>
  <c r="J475" i="55"/>
  <c r="M475" i="55"/>
  <c r="AE423" i="52"/>
  <c r="Z423" i="52"/>
  <c r="Y629" i="51"/>
  <c r="J629" i="55"/>
  <c r="M629" i="55"/>
  <c r="AB130" i="57"/>
  <c r="AB64" i="57"/>
  <c r="AF1099" i="51"/>
  <c r="M525" i="55"/>
  <c r="J525" i="55"/>
  <c r="AF1587" i="51"/>
  <c r="Z1587" i="51"/>
  <c r="AE56" i="52"/>
  <c r="Z56" i="52"/>
  <c r="AF1328" i="51"/>
  <c r="Z1328" i="51"/>
  <c r="AL40" i="43"/>
  <c r="AJ40" i="43"/>
  <c r="AE806" i="52"/>
  <c r="Z806" i="52"/>
  <c r="N1794" i="55"/>
  <c r="K1794" i="55"/>
  <c r="R32" i="62"/>
  <c r="U32" i="62"/>
  <c r="AL28" i="43"/>
  <c r="AJ28" i="43"/>
  <c r="AG17" i="43"/>
  <c r="M617" i="55"/>
  <c r="J617" i="55"/>
  <c r="N1398" i="55"/>
  <c r="K1398" i="55"/>
  <c r="AE228" i="52"/>
  <c r="Z228" i="52"/>
  <c r="AE556" i="51"/>
  <c r="Y556" i="51"/>
  <c r="AF2028" i="51"/>
  <c r="AF1374" i="51"/>
  <c r="Z1374" i="51"/>
  <c r="AB100" i="57"/>
  <c r="AB34" i="57"/>
  <c r="N1369" i="55"/>
  <c r="K1369" i="55"/>
  <c r="N1564" i="55"/>
  <c r="K1564" i="55"/>
  <c r="AD72" i="52"/>
  <c r="Y72" i="52"/>
  <c r="AE780" i="52"/>
  <c r="Z780" i="52"/>
  <c r="AE856" i="52"/>
  <c r="Z856" i="52"/>
  <c r="Z60" i="51"/>
  <c r="K60" i="55"/>
  <c r="N60" i="55"/>
  <c r="AD176" i="52"/>
  <c r="Y176" i="52"/>
  <c r="AP17" i="43"/>
  <c r="AF17" i="43"/>
  <c r="AC17" i="57"/>
  <c r="AC83" i="57"/>
  <c r="AF557" i="51"/>
  <c r="Z557" i="51"/>
  <c r="AF1718" i="51"/>
  <c r="AE27" i="52"/>
  <c r="Z27" i="52"/>
  <c r="AE1002" i="52"/>
  <c r="Z1002" i="52"/>
  <c r="AE902" i="52"/>
  <c r="Z902" i="52"/>
  <c r="AD112" i="52"/>
  <c r="Y112" i="52"/>
  <c r="Z1563" i="51"/>
  <c r="K1563" i="55"/>
  <c r="N1563" i="55"/>
  <c r="AE985" i="52"/>
  <c r="Z985" i="52"/>
  <c r="AF1683" i="51"/>
  <c r="Z1683" i="51"/>
  <c r="N409" i="55"/>
  <c r="K409" i="55"/>
  <c r="N1812" i="55"/>
  <c r="K1812" i="55"/>
  <c r="AJ49" i="42"/>
  <c r="AL49" i="42"/>
  <c r="Z2028" i="51"/>
  <c r="K2028" i="55"/>
  <c r="N2028" i="55"/>
  <c r="AJ42" i="41"/>
  <c r="AJ42" i="42"/>
  <c r="AJ42" i="43"/>
  <c r="AL42" i="43"/>
  <c r="AE921" i="52"/>
  <c r="Z921" i="52"/>
  <c r="AE825" i="52"/>
  <c r="Z825" i="52"/>
  <c r="AK50" i="43"/>
  <c r="AK50" i="41"/>
  <c r="AK50" i="42"/>
  <c r="AK50" i="44"/>
  <c r="AE429" i="52"/>
  <c r="Z429" i="52"/>
  <c r="AE697" i="52"/>
  <c r="Z697" i="52"/>
  <c r="AD28" i="52"/>
  <c r="Y28" i="52"/>
  <c r="AP19" i="44"/>
  <c r="AF19" i="44"/>
  <c r="AG19" i="44"/>
  <c r="AO8" i="43"/>
  <c r="AE8" i="43"/>
  <c r="AG8" i="43"/>
  <c r="Y95" i="51"/>
  <c r="AE95" i="51"/>
  <c r="N1852" i="55"/>
  <c r="K1852" i="55"/>
  <c r="AK18" i="42"/>
  <c r="AG18" i="57"/>
  <c r="AG84" i="57"/>
  <c r="AF1695" i="51"/>
  <c r="Z1695" i="51"/>
  <c r="AD346" i="52"/>
  <c r="Y346" i="52"/>
  <c r="Y35" i="51"/>
  <c r="J35" i="55"/>
  <c r="M35" i="55"/>
  <c r="N1811" i="55"/>
  <c r="K1811" i="55"/>
  <c r="Z93" i="51"/>
  <c r="AF93" i="51"/>
  <c r="AJ54" i="41"/>
  <c r="N54" i="41"/>
  <c r="N54" i="42"/>
  <c r="T54" i="42"/>
  <c r="AO54" i="44"/>
  <c r="AE54" i="44"/>
  <c r="AG54" i="44"/>
  <c r="AP34" i="43"/>
  <c r="AF34" i="43"/>
  <c r="AC34" i="57"/>
  <c r="AC100" i="57"/>
  <c r="AF1653" i="51"/>
  <c r="Z1653" i="51"/>
  <c r="AJ19" i="42"/>
  <c r="AL19" i="42"/>
  <c r="AJ41" i="41"/>
  <c r="AJ41" i="42"/>
  <c r="AL41" i="42"/>
  <c r="AJ63" i="42"/>
  <c r="AL63" i="42"/>
  <c r="N28" i="44"/>
  <c r="T28" i="44"/>
  <c r="AM28" i="44"/>
  <c r="AF1711" i="51"/>
  <c r="Z1711" i="51"/>
  <c r="U12" i="62"/>
  <c r="R12" i="62"/>
  <c r="AD290" i="52"/>
  <c r="Y290" i="52"/>
  <c r="AF1815" i="51"/>
  <c r="Z1815" i="51"/>
  <c r="Z2087" i="51"/>
  <c r="K2087" i="55"/>
  <c r="N2087" i="55"/>
  <c r="AE381" i="52"/>
  <c r="Z381" i="52"/>
  <c r="AO5" i="44"/>
  <c r="AO67" i="44"/>
  <c r="AO69" i="44"/>
  <c r="AE12" i="44"/>
  <c r="AG12" i="44"/>
  <c r="AM12" i="44"/>
  <c r="AE1270" i="51"/>
  <c r="Y1270" i="51"/>
  <c r="AD101" i="52"/>
  <c r="Y101" i="52"/>
  <c r="AD49" i="52"/>
  <c r="Y49" i="52"/>
  <c r="Z1099" i="51"/>
  <c r="K1099" i="55"/>
  <c r="N1099" i="55"/>
  <c r="Y525" i="51"/>
  <c r="AE525" i="51"/>
  <c r="M489" i="55"/>
  <c r="J489" i="55"/>
  <c r="AD307" i="52"/>
  <c r="Y307" i="52"/>
  <c r="AD52" i="52"/>
  <c r="Y52" i="52"/>
  <c r="N1862" i="55"/>
  <c r="K1862" i="55"/>
  <c r="N28" i="41"/>
  <c r="N28" i="42"/>
  <c r="T28" i="42"/>
  <c r="AP28" i="44"/>
  <c r="AF28" i="44"/>
  <c r="N101" i="55"/>
  <c r="K101" i="55"/>
  <c r="Y127" i="51"/>
  <c r="AE127" i="51"/>
  <c r="AK60" i="44"/>
  <c r="AK60" i="41"/>
  <c r="AK60" i="42"/>
  <c r="AK60" i="43"/>
  <c r="AE155" i="51"/>
  <c r="Y155" i="51"/>
  <c r="AE682" i="52"/>
  <c r="Z682" i="52"/>
  <c r="AE250" i="52"/>
  <c r="Z250" i="52"/>
  <c r="AL6" i="42"/>
  <c r="AE47" i="52"/>
  <c r="Z47" i="52"/>
  <c r="M1411" i="55"/>
  <c r="J1411" i="55"/>
  <c r="Z1502" i="51"/>
  <c r="AF1502" i="51"/>
  <c r="H26" i="62"/>
  <c r="E26" i="62"/>
  <c r="N1641" i="55"/>
  <c r="K1641" i="55"/>
  <c r="N1491" i="55"/>
  <c r="K1491" i="55"/>
  <c r="N1581" i="55"/>
  <c r="K1581" i="55"/>
  <c r="AE425" i="52"/>
  <c r="Z425" i="52"/>
  <c r="N125" i="57"/>
  <c r="N59" i="57"/>
  <c r="AF1401" i="51"/>
  <c r="Z1401" i="51"/>
  <c r="R5" i="62"/>
  <c r="U5" i="62"/>
  <c r="AF936" i="51"/>
  <c r="AF399" i="51"/>
  <c r="N2202" i="55"/>
  <c r="K2202" i="55"/>
  <c r="N106" i="57"/>
  <c r="N40" i="57"/>
  <c r="M693" i="55"/>
  <c r="J693" i="55"/>
  <c r="U27" i="62"/>
  <c r="R27" i="62"/>
  <c r="U9" i="62"/>
  <c r="R9" i="62"/>
  <c r="N1968" i="55"/>
  <c r="K1968" i="55"/>
  <c r="AG118" i="57"/>
  <c r="AG52" i="57"/>
  <c r="N1207" i="55"/>
  <c r="K1207" i="55"/>
  <c r="AJ50" i="41"/>
  <c r="N50" i="41"/>
  <c r="N50" i="42"/>
  <c r="T50" i="42"/>
  <c r="AO50" i="43"/>
  <c r="AE50" i="43"/>
  <c r="AG50" i="43"/>
  <c r="AC102" i="57"/>
  <c r="AC36" i="57"/>
  <c r="AF36" i="43"/>
  <c r="AP36" i="43"/>
  <c r="N101" i="57"/>
  <c r="N35" i="57"/>
  <c r="Z1009" i="51"/>
  <c r="AF1009" i="51"/>
  <c r="N131" i="57"/>
  <c r="N65" i="57"/>
  <c r="AE957" i="52"/>
  <c r="Z957" i="52"/>
  <c r="AM30" i="43"/>
  <c r="T30" i="43"/>
  <c r="N30" i="43"/>
  <c r="AE727" i="52"/>
  <c r="Z727" i="52"/>
  <c r="AD493" i="52"/>
  <c r="Y493" i="52"/>
  <c r="AF2124" i="51"/>
  <c r="AL44" i="42"/>
  <c r="AD403" i="52"/>
  <c r="Y403" i="52"/>
  <c r="N937" i="55"/>
  <c r="K937" i="55"/>
  <c r="N1721" i="55"/>
  <c r="K1721" i="55"/>
  <c r="AF2179" i="51"/>
  <c r="Z2179" i="51"/>
  <c r="AO64" i="43"/>
  <c r="AE64" i="43"/>
  <c r="AG64" i="43"/>
  <c r="N2053" i="55"/>
  <c r="K2053" i="55"/>
  <c r="AF1609" i="51"/>
  <c r="Z1609" i="51"/>
  <c r="AE609" i="52"/>
  <c r="Z609" i="52"/>
  <c r="AL21" i="44"/>
  <c r="AJ21" i="44"/>
  <c r="AD98" i="52"/>
  <c r="Y98" i="52"/>
  <c r="AE776" i="52"/>
  <c r="Z776" i="52"/>
  <c r="AF1203" i="51"/>
  <c r="Z1203" i="51"/>
  <c r="N1117" i="55"/>
  <c r="K1117" i="55"/>
  <c r="AF74" i="51"/>
  <c r="AF1381" i="51"/>
  <c r="Z1381" i="51"/>
  <c r="AD87" i="52"/>
  <c r="Y87" i="52"/>
  <c r="N2142" i="55"/>
  <c r="K2142" i="55"/>
  <c r="N496" i="55"/>
  <c r="K496" i="55"/>
  <c r="AF1700" i="51"/>
  <c r="Z1700" i="51"/>
  <c r="M209" i="55"/>
  <c r="J209" i="55"/>
  <c r="AF1912" i="51"/>
  <c r="AL57" i="43"/>
  <c r="AJ57" i="43"/>
  <c r="AF1368" i="51"/>
  <c r="Z1368" i="51"/>
  <c r="AF589" i="51"/>
  <c r="AL56" i="43"/>
  <c r="AJ56" i="43"/>
  <c r="AF1776" i="51"/>
  <c r="Z1776" i="51"/>
  <c r="AK7" i="44"/>
  <c r="AK7" i="42"/>
  <c r="AK7" i="43"/>
  <c r="Y114" i="51"/>
  <c r="J114" i="55"/>
  <c r="M114" i="55"/>
  <c r="AE967" i="52"/>
  <c r="Z967" i="52"/>
  <c r="AK62" i="43"/>
  <c r="AK62" i="41"/>
  <c r="AK62" i="42"/>
  <c r="AK62" i="44"/>
  <c r="T33" i="42"/>
  <c r="AM33" i="42"/>
  <c r="Z1443" i="51"/>
  <c r="K1443" i="55"/>
  <c r="N1443" i="55"/>
  <c r="AD246" i="52"/>
  <c r="Y246" i="52"/>
  <c r="R6" i="62"/>
  <c r="U6" i="62"/>
  <c r="AE165" i="51"/>
  <c r="Y165" i="51"/>
  <c r="Z519" i="51"/>
  <c r="AF519" i="51"/>
  <c r="N46" i="41"/>
  <c r="N46" i="42"/>
  <c r="T46" i="42"/>
  <c r="AM46" i="42"/>
  <c r="Z1718" i="51"/>
  <c r="K1718" i="55"/>
  <c r="N1718" i="55"/>
  <c r="AE989" i="52"/>
  <c r="Z989" i="52"/>
  <c r="T20" i="42"/>
  <c r="AM20" i="42"/>
  <c r="Y617" i="51"/>
  <c r="AE617" i="51"/>
  <c r="Z1996" i="51"/>
  <c r="AF1996" i="51"/>
  <c r="Z1491" i="51"/>
  <c r="AF1491" i="51"/>
  <c r="N20" i="42"/>
  <c r="N20" i="57"/>
  <c r="N86" i="57"/>
  <c r="Z936" i="51"/>
  <c r="K936" i="55"/>
  <c r="N936" i="55"/>
  <c r="Z399" i="51"/>
  <c r="K399" i="55"/>
  <c r="N399" i="55"/>
  <c r="AO34" i="43"/>
  <c r="AE34" i="43"/>
  <c r="AG34" i="43"/>
  <c r="F26" i="62"/>
  <c r="F27" i="62"/>
  <c r="I27" i="62"/>
  <c r="I26" i="62"/>
  <c r="N982" i="55"/>
  <c r="K982" i="55"/>
  <c r="AK31" i="44"/>
  <c r="AK31" i="43"/>
  <c r="N30" i="42"/>
  <c r="T30" i="42"/>
  <c r="AO30" i="44"/>
  <c r="AE30" i="44"/>
  <c r="AG30" i="44"/>
  <c r="AE693" i="52"/>
  <c r="Z693" i="52"/>
  <c r="AE180" i="51"/>
  <c r="Y180" i="51"/>
  <c r="AF1981" i="51"/>
  <c r="AJ49" i="41"/>
  <c r="N49" i="41"/>
  <c r="N49" i="42"/>
  <c r="T49" i="42"/>
  <c r="AO49" i="44"/>
  <c r="AE49" i="44"/>
  <c r="AG49" i="44"/>
  <c r="AF849" i="51"/>
  <c r="AF2194" i="51"/>
  <c r="Z1722" i="51"/>
  <c r="AF1722" i="51"/>
  <c r="Z2203" i="51"/>
  <c r="AF2203" i="51"/>
  <c r="AE684" i="52"/>
  <c r="Z684" i="52"/>
  <c r="Z2124" i="51"/>
  <c r="K2124" i="55"/>
  <c r="N2124" i="55"/>
  <c r="AJ44" i="42"/>
  <c r="AF44" i="57"/>
  <c r="AF110" i="57"/>
  <c r="AL64" i="42"/>
  <c r="AE890" i="52"/>
  <c r="Z890" i="52"/>
  <c r="AF1818" i="51"/>
  <c r="Z1818" i="51"/>
  <c r="AE917" i="52"/>
  <c r="Z917" i="52"/>
  <c r="AF2147" i="51"/>
  <c r="T39" i="42"/>
  <c r="AP39" i="44"/>
  <c r="AF39" i="44"/>
  <c r="AD34" i="52"/>
  <c r="Y34" i="52"/>
  <c r="AF2052" i="51"/>
  <c r="AE1271" i="51"/>
  <c r="Y1271" i="51"/>
  <c r="AD84" i="52"/>
  <c r="Y84" i="52"/>
  <c r="AF62" i="51"/>
  <c r="AF1205" i="51"/>
  <c r="Z1205" i="51"/>
  <c r="AM35" i="43"/>
  <c r="T35" i="43"/>
  <c r="N35" i="43"/>
  <c r="AD240" i="52"/>
  <c r="Y240" i="52"/>
  <c r="AL9" i="43"/>
  <c r="AJ9" i="43"/>
  <c r="AD5" i="52"/>
  <c r="Y5" i="52"/>
  <c r="AF2186" i="51"/>
  <c r="Z2186" i="51"/>
  <c r="AF1429" i="51"/>
  <c r="Z1429" i="51"/>
  <c r="AE999" i="52"/>
  <c r="Z999" i="52"/>
  <c r="AE916" i="52"/>
  <c r="Z916" i="52"/>
  <c r="AD215" i="52"/>
  <c r="Y215" i="52"/>
  <c r="AE1028" i="51"/>
  <c r="AB73" i="57"/>
  <c r="AB7" i="57"/>
  <c r="AG103" i="57"/>
  <c r="AG37" i="57"/>
  <c r="N1575" i="55"/>
  <c r="K1575" i="55"/>
  <c r="AG129" i="57"/>
  <c r="AG63" i="57"/>
  <c r="AK31" i="41"/>
  <c r="AK31" i="42"/>
  <c r="AG31" i="57"/>
  <c r="AG97" i="57"/>
  <c r="AF2200" i="51"/>
  <c r="AL23" i="42"/>
  <c r="N27" i="44"/>
  <c r="T27" i="44"/>
  <c r="AM27" i="44"/>
  <c r="AE247" i="52"/>
  <c r="Z247" i="52"/>
  <c r="N1375" i="55"/>
  <c r="K1375" i="55"/>
  <c r="Z1981" i="51"/>
  <c r="K1981" i="55"/>
  <c r="N1981" i="55"/>
  <c r="AE795" i="52"/>
  <c r="Z795" i="52"/>
  <c r="Z2212" i="51"/>
  <c r="AF2212" i="51"/>
  <c r="AF1706" i="51"/>
  <c r="Z1706" i="51"/>
  <c r="Y263" i="51"/>
  <c r="AE263" i="51"/>
  <c r="Z849" i="51"/>
  <c r="K849" i="55"/>
  <c r="N849" i="55"/>
  <c r="Z2194" i="51"/>
  <c r="K2194" i="55"/>
  <c r="N2194" i="55"/>
  <c r="AE479" i="52"/>
  <c r="Z479" i="52"/>
  <c r="AE749" i="52"/>
  <c r="Z749" i="52"/>
  <c r="AF1373" i="51"/>
  <c r="Z1373" i="51"/>
  <c r="AF1716" i="51"/>
  <c r="Z1716" i="51"/>
  <c r="AE934" i="52"/>
  <c r="Z934" i="52"/>
  <c r="AJ64" i="42"/>
  <c r="AF64" i="57"/>
  <c r="AF130" i="57"/>
  <c r="AF1955" i="51"/>
  <c r="Z2147" i="51"/>
  <c r="K2147" i="55"/>
  <c r="N2147" i="55"/>
  <c r="M1408" i="55"/>
  <c r="J1408" i="55"/>
  <c r="AE213" i="52"/>
  <c r="Z213" i="52"/>
  <c r="AE1342" i="51"/>
  <c r="Y1342" i="51"/>
  <c r="AF1849" i="51"/>
  <c r="Z1849" i="51"/>
  <c r="AE765" i="52"/>
  <c r="Z765" i="52"/>
  <c r="Z2052" i="51"/>
  <c r="K2052" i="55"/>
  <c r="N2052" i="55"/>
  <c r="AE675" i="52"/>
  <c r="Z675" i="52"/>
  <c r="AL46" i="42"/>
  <c r="Z62" i="51"/>
  <c r="K62" i="55"/>
  <c r="N62" i="55"/>
  <c r="AF1171" i="51"/>
  <c r="AE945" i="52"/>
  <c r="Z945" i="52"/>
  <c r="AF553" i="51"/>
  <c r="Z553" i="51"/>
  <c r="AE164" i="51"/>
  <c r="Y164" i="51"/>
  <c r="AF1834" i="51"/>
  <c r="Z1834" i="51"/>
  <c r="AF1280" i="51"/>
  <c r="Z1280" i="51"/>
  <c r="AD335" i="52"/>
  <c r="Y335" i="52"/>
  <c r="AD505" i="52"/>
  <c r="Y505" i="52"/>
  <c r="AE995" i="52"/>
  <c r="Z995" i="52"/>
  <c r="N119" i="57"/>
  <c r="N53" i="57"/>
  <c r="N1710" i="55"/>
  <c r="K1710" i="55"/>
  <c r="N416" i="55"/>
  <c r="K416" i="55"/>
  <c r="AE966" i="52"/>
  <c r="Z966" i="52"/>
  <c r="N444" i="55"/>
  <c r="K444" i="55"/>
  <c r="AF165" i="51"/>
  <c r="Z165" i="51"/>
  <c r="AE940" i="52"/>
  <c r="Z940" i="52"/>
  <c r="AD73" i="52"/>
  <c r="Y73" i="52"/>
  <c r="Z101" i="51"/>
  <c r="AF101" i="51"/>
  <c r="Z1943" i="51"/>
  <c r="AF1943" i="51"/>
  <c r="N55" i="41"/>
  <c r="N55" i="42"/>
  <c r="T55" i="42"/>
  <c r="AM55" i="42"/>
  <c r="Z924" i="51"/>
  <c r="AF924" i="51"/>
  <c r="AF1580" i="51"/>
  <c r="Z1580" i="51"/>
  <c r="Y489" i="51"/>
  <c r="AE489" i="51"/>
  <c r="AJ6" i="42"/>
  <c r="AF6" i="57"/>
  <c r="AF72" i="57"/>
  <c r="Z2195" i="51"/>
  <c r="AF2195" i="51"/>
  <c r="N61" i="43"/>
  <c r="T61" i="43"/>
  <c r="AM61" i="43"/>
  <c r="AL28" i="42"/>
  <c r="T17" i="42"/>
  <c r="AM17" i="42"/>
  <c r="Y604" i="51"/>
  <c r="AE604" i="51"/>
  <c r="N56" i="41"/>
  <c r="N56" i="42"/>
  <c r="T56" i="42"/>
  <c r="AO56" i="44"/>
  <c r="AE56" i="44"/>
  <c r="AG56" i="44"/>
  <c r="F24" i="62"/>
  <c r="I23" i="62"/>
  <c r="I24" i="62"/>
  <c r="F23" i="62"/>
  <c r="N1485" i="55"/>
  <c r="K1485" i="55"/>
  <c r="AF1176" i="51"/>
  <c r="Z1176" i="51"/>
  <c r="N1792" i="55"/>
  <c r="K1792" i="55"/>
  <c r="AF141" i="51"/>
  <c r="Z141" i="51"/>
  <c r="T8" i="42"/>
  <c r="AP8" i="44"/>
  <c r="AF8" i="44"/>
  <c r="AD278" i="52"/>
  <c r="Y278" i="52"/>
  <c r="AJ47" i="42"/>
  <c r="AL47" i="42"/>
  <c r="Z366" i="51"/>
  <c r="AF366" i="51"/>
  <c r="AF1762" i="51"/>
  <c r="Z1762" i="51"/>
  <c r="L83" i="41"/>
  <c r="Z982" i="51"/>
  <c r="AF982" i="51"/>
  <c r="N17" i="42"/>
  <c r="N17" i="43"/>
  <c r="T17" i="43"/>
  <c r="AM17" i="43"/>
  <c r="N1422" i="55"/>
  <c r="K1422" i="55"/>
  <c r="U29" i="62"/>
  <c r="R29" i="62"/>
  <c r="Z2202" i="51"/>
  <c r="AF2202" i="51"/>
  <c r="Y693" i="51"/>
  <c r="AE693" i="51"/>
  <c r="N603" i="55"/>
  <c r="K603" i="55"/>
  <c r="AJ27" i="41"/>
  <c r="N27" i="41"/>
  <c r="N27" i="42"/>
  <c r="N27" i="43"/>
  <c r="T27" i="43"/>
  <c r="AM27" i="43"/>
  <c r="AE777" i="52"/>
  <c r="Z777" i="52"/>
  <c r="AJ64" i="41"/>
  <c r="N64" i="41"/>
  <c r="N64" i="42"/>
  <c r="T64" i="42"/>
  <c r="AM64" i="42"/>
  <c r="Z2200" i="51"/>
  <c r="K2200" i="55"/>
  <c r="N2200" i="55"/>
  <c r="AJ23" i="42"/>
  <c r="AJ23" i="44"/>
  <c r="AL23" i="44"/>
  <c r="Z1968" i="51"/>
  <c r="AF1968" i="51"/>
  <c r="AK52" i="44"/>
  <c r="AJ52" i="41"/>
  <c r="AK52" i="41"/>
  <c r="AK52" i="42"/>
  <c r="AK52" i="43"/>
  <c r="N63" i="41"/>
  <c r="N63" i="42"/>
  <c r="T63" i="42"/>
  <c r="AO63" i="44"/>
  <c r="AE63" i="44"/>
  <c r="AG63" i="44"/>
  <c r="AP15" i="43"/>
  <c r="AF15" i="43"/>
  <c r="AC15" i="57"/>
  <c r="AC81" i="57"/>
  <c r="Y38" i="52"/>
  <c r="AD38" i="52"/>
  <c r="AJ6" i="52"/>
  <c r="Z1934" i="51"/>
  <c r="AF1934" i="51"/>
  <c r="AF1760" i="51"/>
  <c r="Z1760" i="51"/>
  <c r="AD497" i="52"/>
  <c r="Y497" i="52"/>
  <c r="N1783" i="55"/>
  <c r="K1783" i="55"/>
  <c r="Z937" i="51"/>
  <c r="AF937" i="51"/>
  <c r="AJ44" i="41"/>
  <c r="N44" i="41"/>
  <c r="N44" i="42"/>
  <c r="T44" i="42"/>
  <c r="AM44" i="42"/>
  <c r="Z1721" i="51"/>
  <c r="AF1721" i="51"/>
  <c r="N37" i="44"/>
  <c r="T37" i="44"/>
  <c r="AM37" i="44"/>
  <c r="AE814" i="52"/>
  <c r="Z814" i="52"/>
  <c r="AJ60" i="41"/>
  <c r="N60" i="41"/>
  <c r="N60" i="42"/>
  <c r="T60" i="42"/>
  <c r="AM60" i="42"/>
  <c r="Z1955" i="51"/>
  <c r="K1955" i="55"/>
  <c r="N1955" i="55"/>
  <c r="AD501" i="52"/>
  <c r="Y501" i="52"/>
  <c r="Z2053" i="51"/>
  <c r="AF2053" i="51"/>
  <c r="AJ21" i="42"/>
  <c r="AL21" i="42"/>
  <c r="Z1076" i="51"/>
  <c r="AF1076" i="51"/>
  <c r="AF1605" i="51"/>
  <c r="Z1605" i="51"/>
  <c r="AE998" i="52"/>
  <c r="Z998" i="52"/>
  <c r="Z1117" i="51"/>
  <c r="AF1117" i="51"/>
  <c r="AJ46" i="42"/>
  <c r="AF46" i="57"/>
  <c r="AF112" i="57"/>
  <c r="AL38" i="42"/>
  <c r="AE258" i="51"/>
  <c r="AD102" i="52"/>
  <c r="Y102" i="52"/>
  <c r="AF83" i="57"/>
  <c r="AF17" i="57"/>
  <c r="N10" i="55"/>
  <c r="K10" i="55"/>
  <c r="AF622" i="51"/>
  <c r="M583" i="55"/>
  <c r="J583" i="55"/>
  <c r="AE549" i="51"/>
  <c r="Y549" i="51"/>
  <c r="U13" i="62"/>
  <c r="R13" i="62"/>
  <c r="N1470" i="55"/>
  <c r="K1470" i="55"/>
  <c r="AE215" i="52"/>
  <c r="Z215" i="52"/>
  <c r="N2045" i="55"/>
  <c r="K2045" i="55"/>
  <c r="AF1500" i="51"/>
  <c r="AB111" i="57"/>
  <c r="AB45" i="57"/>
  <c r="AD504" i="52"/>
  <c r="Y504" i="52"/>
  <c r="AF1313" i="51"/>
  <c r="Z1313" i="51"/>
  <c r="AF25" i="44"/>
  <c r="AP25" i="44"/>
  <c r="AD484" i="52"/>
  <c r="Y484" i="52"/>
  <c r="AL62" i="43"/>
  <c r="AJ62" i="43"/>
  <c r="N1085" i="55"/>
  <c r="K1085" i="55"/>
  <c r="N1590" i="55"/>
  <c r="K1590" i="55"/>
  <c r="AE539" i="52"/>
  <c r="Z539" i="52"/>
  <c r="AF1277" i="51"/>
  <c r="Z1277" i="51"/>
  <c r="N1984" i="55"/>
  <c r="K1984" i="55"/>
  <c r="AE718" i="52"/>
  <c r="Z718" i="52"/>
  <c r="AE4" i="52"/>
  <c r="Z4" i="52"/>
  <c r="N1376" i="55"/>
  <c r="K1376" i="55"/>
  <c r="AF58" i="44"/>
  <c r="AP58" i="44"/>
  <c r="AE1004" i="52"/>
  <c r="Z1004" i="52"/>
  <c r="AF1875" i="51"/>
  <c r="Z1875" i="51"/>
  <c r="AE900" i="52"/>
  <c r="Z900" i="52"/>
  <c r="AF457" i="51"/>
  <c r="N1645" i="55"/>
  <c r="K1645" i="55"/>
  <c r="AM19" i="43"/>
  <c r="N19" i="43"/>
  <c r="T19" i="43"/>
  <c r="AL65" i="42"/>
  <c r="AF1842" i="51"/>
  <c r="Z1842" i="51"/>
  <c r="AD168" i="52"/>
  <c r="Y168" i="52"/>
  <c r="AE461" i="52"/>
  <c r="Z461" i="52"/>
  <c r="N930" i="55"/>
  <c r="K930" i="55"/>
  <c r="AF2026" i="51"/>
  <c r="AF1977" i="51"/>
  <c r="AF1871" i="51"/>
  <c r="Z1871" i="51"/>
  <c r="N957" i="55"/>
  <c r="K957" i="55"/>
  <c r="AF157" i="51"/>
  <c r="Z157" i="51"/>
  <c r="N1860" i="55"/>
  <c r="K1860" i="55"/>
  <c r="AE312" i="51"/>
  <c r="AE705" i="52"/>
  <c r="Z705" i="52"/>
  <c r="AM51" i="42"/>
  <c r="AD316" i="52"/>
  <c r="Y316" i="52"/>
  <c r="AG106" i="57"/>
  <c r="AG40" i="57"/>
  <c r="AD33" i="52"/>
  <c r="Y33" i="52"/>
  <c r="AG65" i="43"/>
  <c r="N2112" i="55"/>
  <c r="K2112" i="55"/>
  <c r="AL40" i="42"/>
  <c r="AF1670" i="51"/>
  <c r="Z1670" i="51"/>
  <c r="M1268" i="55"/>
  <c r="J1268" i="55"/>
  <c r="AF1856" i="51"/>
  <c r="Z1856" i="51"/>
  <c r="N1995" i="55"/>
  <c r="K1995" i="55"/>
  <c r="AE81" i="52"/>
  <c r="Z81" i="52"/>
  <c r="AE428" i="52"/>
  <c r="Z428" i="52"/>
  <c r="M648" i="55"/>
  <c r="J648" i="55"/>
  <c r="AD116" i="52"/>
  <c r="Y116" i="52"/>
  <c r="N1875" i="55"/>
  <c r="K1875" i="55"/>
  <c r="AF1382" i="51"/>
  <c r="Z1382" i="51"/>
  <c r="AJ38" i="42"/>
  <c r="AJ38" i="43"/>
  <c r="AL38" i="43"/>
  <c r="Z1171" i="51"/>
  <c r="K1171" i="55"/>
  <c r="N1171" i="55"/>
  <c r="Z74" i="51"/>
  <c r="K74" i="55"/>
  <c r="N74" i="55"/>
  <c r="AF1705" i="51"/>
  <c r="Z1705" i="51"/>
  <c r="AF1636" i="51"/>
  <c r="Z1636" i="51"/>
  <c r="Y258" i="51"/>
  <c r="J258" i="55"/>
  <c r="M258" i="55"/>
  <c r="Z1100" i="51"/>
  <c r="AF1100" i="51"/>
  <c r="AD257" i="52"/>
  <c r="Y257" i="52"/>
  <c r="Z622" i="51"/>
  <c r="K622" i="55"/>
  <c r="N622" i="55"/>
  <c r="Z1485" i="51"/>
  <c r="AF1485" i="51"/>
  <c r="R31" i="62"/>
  <c r="U31" i="62"/>
  <c r="AF1786" i="51"/>
  <c r="Z1786" i="51"/>
  <c r="Z496" i="51"/>
  <c r="AF496" i="51"/>
  <c r="T21" i="42"/>
  <c r="AM21" i="42"/>
  <c r="Y583" i="51"/>
  <c r="AE583" i="51"/>
  <c r="AF1422" i="51"/>
  <c r="Z1422" i="51"/>
  <c r="AF1293" i="51"/>
  <c r="Z1293" i="51"/>
  <c r="N9" i="42"/>
  <c r="T9" i="42"/>
  <c r="AM9" i="42"/>
  <c r="Y209" i="51"/>
  <c r="AE209" i="51"/>
  <c r="AD348" i="52"/>
  <c r="Y348" i="52"/>
  <c r="N1863" i="55"/>
  <c r="K1863" i="55"/>
  <c r="AJ65" i="42"/>
  <c r="AJ65" i="43"/>
  <c r="AL65" i="43"/>
  <c r="AF1398" i="51"/>
  <c r="Z1398" i="51"/>
  <c r="N32" i="41"/>
  <c r="N32" i="42"/>
  <c r="T32" i="42"/>
  <c r="AM32" i="42"/>
  <c r="Z1470" i="51"/>
  <c r="AF1470" i="51"/>
  <c r="AF1614" i="51"/>
  <c r="Z1614" i="51"/>
  <c r="AE449" i="52"/>
  <c r="Z449" i="52"/>
  <c r="Z2026" i="51"/>
  <c r="K2026" i="55"/>
  <c r="N2026" i="55"/>
  <c r="Z1977" i="51"/>
  <c r="K1977" i="55"/>
  <c r="N1977" i="55"/>
  <c r="Z2045" i="51"/>
  <c r="AF2045" i="51"/>
  <c r="AE781" i="52"/>
  <c r="Z781" i="52"/>
  <c r="Z416" i="51"/>
  <c r="AF416" i="51"/>
  <c r="AD39" i="52"/>
  <c r="Y39" i="52"/>
  <c r="Y312" i="51"/>
  <c r="J312" i="55"/>
  <c r="M312" i="55"/>
  <c r="AG51" i="44"/>
  <c r="N51" i="41"/>
  <c r="N51" i="42"/>
  <c r="T51" i="42"/>
  <c r="AO51" i="44"/>
  <c r="AE51" i="44"/>
  <c r="AM25" i="43"/>
  <c r="N25" i="43"/>
  <c r="T25" i="43"/>
  <c r="AE913" i="52"/>
  <c r="Z913" i="52"/>
  <c r="AF53" i="44"/>
  <c r="AJ53" i="41"/>
  <c r="N53" i="41"/>
  <c r="N53" i="42"/>
  <c r="T53" i="42"/>
  <c r="AP53" i="44"/>
  <c r="Z1169" i="51"/>
  <c r="AF1169" i="51"/>
  <c r="AF969" i="51"/>
  <c r="N465" i="55"/>
  <c r="K465" i="55"/>
  <c r="AF1221" i="51"/>
  <c r="Z1221" i="51"/>
  <c r="AD119" i="52"/>
  <c r="Y119" i="52"/>
  <c r="N1880" i="55"/>
  <c r="K1880" i="55"/>
  <c r="AF1210" i="51"/>
  <c r="Z1210" i="51"/>
  <c r="AJ28" i="41"/>
  <c r="AJ28" i="42"/>
  <c r="AJ28" i="44"/>
  <c r="AL28" i="44"/>
  <c r="E15" i="62"/>
  <c r="E13" i="62"/>
  <c r="H13" i="62"/>
  <c r="N13" i="42"/>
  <c r="T13" i="42"/>
  <c r="AM13" i="42"/>
  <c r="H15" i="62"/>
  <c r="AJ17" i="42"/>
  <c r="AL17" i="42"/>
  <c r="AL9" i="42"/>
  <c r="Z10" i="51"/>
  <c r="AF10" i="51"/>
  <c r="AF1681" i="51"/>
  <c r="Z1681" i="51"/>
  <c r="AF1289" i="51"/>
  <c r="Z1289" i="51"/>
  <c r="Z2142" i="51"/>
  <c r="AF2142" i="51"/>
  <c r="AJ62" i="42"/>
  <c r="AL62" i="42"/>
  <c r="AE410" i="52"/>
  <c r="Z410" i="52"/>
  <c r="Z1085" i="51"/>
  <c r="AF1085" i="51"/>
  <c r="F18" i="62"/>
  <c r="I18" i="62"/>
  <c r="Z1984" i="51"/>
  <c r="AF1984" i="51"/>
  <c r="Z1174" i="51"/>
  <c r="AF1174" i="51"/>
  <c r="AJ58" i="41"/>
  <c r="N58" i="41"/>
  <c r="N58" i="42"/>
  <c r="T58" i="42"/>
  <c r="AM58" i="42"/>
  <c r="Z603" i="51"/>
  <c r="AF603" i="51"/>
  <c r="AE794" i="52"/>
  <c r="Z794" i="52"/>
  <c r="AE85" i="52"/>
  <c r="Z85" i="52"/>
  <c r="AM45" i="42"/>
  <c r="Z849" i="52"/>
  <c r="AE849" i="52"/>
  <c r="Z1564" i="51"/>
  <c r="AF1564" i="51"/>
  <c r="Z409" i="51"/>
  <c r="AF409" i="51"/>
  <c r="N1506" i="55"/>
  <c r="K1506" i="55"/>
  <c r="Y1028" i="51"/>
  <c r="J1028" i="55"/>
  <c r="M1028" i="55"/>
  <c r="AD159" i="52"/>
  <c r="Y159" i="52"/>
  <c r="AE3" i="52"/>
  <c r="Z3" i="52"/>
  <c r="AJ25" i="41"/>
  <c r="N25" i="41"/>
  <c r="N25" i="42"/>
  <c r="T25" i="42"/>
  <c r="AM25" i="42"/>
  <c r="Z957" i="51"/>
  <c r="AF957" i="51"/>
  <c r="N1781" i="55"/>
  <c r="K1781" i="55"/>
  <c r="N1780" i="55"/>
  <c r="K1780" i="55"/>
  <c r="AO23" i="44"/>
  <c r="AE23" i="44"/>
  <c r="AG23" i="44"/>
  <c r="N1511" i="55"/>
  <c r="K1511" i="55"/>
  <c r="AF1631" i="51"/>
  <c r="Z1631" i="51"/>
  <c r="AL35" i="42"/>
  <c r="N179" i="55"/>
  <c r="K179" i="55"/>
  <c r="AG85" i="57"/>
  <c r="AG19" i="57"/>
  <c r="AD366" i="52"/>
  <c r="Y366" i="52"/>
  <c r="AE256" i="51"/>
  <c r="AK6" i="44"/>
  <c r="AK6" i="43"/>
  <c r="AM33" i="43"/>
  <c r="T33" i="43"/>
  <c r="AJ33" i="41"/>
  <c r="N33" i="41"/>
  <c r="N33" i="42"/>
  <c r="N33" i="43"/>
  <c r="AF1599" i="51"/>
  <c r="Z1599" i="51"/>
  <c r="AE51" i="52"/>
  <c r="Z51" i="52"/>
  <c r="AD249" i="52"/>
  <c r="Y249" i="52"/>
  <c r="Z673" i="52"/>
  <c r="AE673" i="52"/>
  <c r="AJ8" i="52"/>
  <c r="AD152" i="52"/>
  <c r="Y152" i="52"/>
  <c r="AO7" i="43"/>
  <c r="AE7" i="43"/>
  <c r="AG7" i="43"/>
  <c r="N21" i="42"/>
  <c r="N21" i="43"/>
  <c r="T21" i="43"/>
  <c r="AM21" i="43"/>
  <c r="AJ35" i="42"/>
  <c r="AJ35" i="43"/>
  <c r="AL35" i="43"/>
  <c r="AK40" i="43"/>
  <c r="AK40" i="41"/>
  <c r="AK40" i="42"/>
  <c r="AK40" i="44"/>
  <c r="AJ56" i="41"/>
  <c r="AJ56" i="42"/>
  <c r="AL56" i="42"/>
  <c r="N36" i="43"/>
  <c r="T36" i="43"/>
  <c r="AM36" i="43"/>
  <c r="AE734" i="52"/>
  <c r="Z734" i="52"/>
  <c r="AD597" i="52"/>
  <c r="Y597" i="52"/>
  <c r="AG37" i="43"/>
  <c r="AF2020" i="51"/>
  <c r="AJ8" i="41"/>
  <c r="N8" i="41"/>
  <c r="N8" i="42"/>
  <c r="N8" i="44"/>
  <c r="T8" i="44"/>
  <c r="AM8" i="44"/>
  <c r="AJ65" i="41"/>
  <c r="N65" i="41"/>
  <c r="N65" i="42"/>
  <c r="T65" i="42"/>
  <c r="AO65" i="43"/>
  <c r="AE65" i="43"/>
  <c r="AB65" i="57"/>
  <c r="AB131" i="57"/>
  <c r="AD494" i="52"/>
  <c r="Y494" i="52"/>
  <c r="AF2175" i="51"/>
  <c r="AE552" i="52"/>
  <c r="Z552" i="52"/>
  <c r="AD353" i="52"/>
  <c r="Y353" i="52"/>
  <c r="Y256" i="51"/>
  <c r="J256" i="55"/>
  <c r="M256" i="55"/>
  <c r="AD354" i="52"/>
  <c r="Y354" i="52"/>
  <c r="AK6" i="42"/>
  <c r="AG6" i="57"/>
  <c r="AG72" i="57"/>
  <c r="AJ40" i="42"/>
  <c r="AJ40" i="44"/>
  <c r="AL40" i="44"/>
  <c r="Z969" i="51"/>
  <c r="K969" i="55"/>
  <c r="N969" i="55"/>
  <c r="AD250" i="52"/>
  <c r="Y250" i="52"/>
  <c r="AE125" i="51"/>
  <c r="AK22" i="44"/>
  <c r="AK22" i="43"/>
  <c r="AF1503" i="51"/>
  <c r="H17" i="62"/>
  <c r="E20" i="62"/>
  <c r="H20" i="62"/>
  <c r="E17" i="62"/>
  <c r="AE121" i="51"/>
  <c r="AK46" i="44"/>
  <c r="AK46" i="43"/>
  <c r="AF522" i="51"/>
  <c r="AL51" i="42"/>
  <c r="AF344" i="51"/>
  <c r="Z1993" i="51"/>
  <c r="AF1993" i="51"/>
  <c r="AO37" i="43"/>
  <c r="AE37" i="43"/>
  <c r="AB37" i="57"/>
  <c r="AB103" i="57"/>
  <c r="AJ59" i="41"/>
  <c r="N59" i="41"/>
  <c r="N59" i="42"/>
  <c r="T59" i="42"/>
  <c r="AM59" i="42"/>
  <c r="Z2020" i="51"/>
  <c r="K2020" i="55"/>
  <c r="N2020" i="55"/>
  <c r="AF1847" i="51"/>
  <c r="Z1847" i="51"/>
  <c r="Z796" i="52"/>
  <c r="AE796" i="52"/>
  <c r="N14" i="57"/>
  <c r="N80" i="57"/>
  <c r="AF125" i="51"/>
  <c r="AL30" i="42"/>
  <c r="Y648" i="51"/>
  <c r="AE648" i="51"/>
  <c r="Z2175" i="51"/>
  <c r="K2178" i="55"/>
  <c r="N2178" i="55"/>
  <c r="AE703" i="52"/>
  <c r="Z703" i="52"/>
  <c r="AL55" i="42"/>
  <c r="AF1120" i="51"/>
  <c r="AG57" i="43"/>
  <c r="E8" i="62"/>
  <c r="H6" i="62"/>
  <c r="H8" i="62"/>
  <c r="E6" i="62"/>
  <c r="AE918" i="52"/>
  <c r="Z918" i="52"/>
  <c r="AK32" i="43"/>
  <c r="AK32" i="44"/>
  <c r="Y125" i="51"/>
  <c r="J125" i="55"/>
  <c r="M125" i="55"/>
  <c r="AK22" i="42"/>
  <c r="AG22" i="57"/>
  <c r="AG88" i="57"/>
  <c r="Z1503" i="51"/>
  <c r="K1503" i="55"/>
  <c r="N1503" i="55"/>
  <c r="AE29" i="52"/>
  <c r="Z29" i="52"/>
  <c r="Y516" i="52"/>
  <c r="AD516" i="52"/>
  <c r="AD58" i="52"/>
  <c r="Y58" i="52"/>
  <c r="AF1613" i="51"/>
  <c r="Z1613" i="51"/>
  <c r="N1594" i="55"/>
  <c r="K1594" i="55"/>
  <c r="AD362" i="52"/>
  <c r="Y362" i="52"/>
  <c r="Y121" i="51"/>
  <c r="J121" i="55"/>
  <c r="M121" i="55"/>
  <c r="AJ46" i="41"/>
  <c r="AK46" i="41"/>
  <c r="AK46" i="42"/>
  <c r="AG46" i="57"/>
  <c r="AG112" i="57"/>
  <c r="Z522" i="51"/>
  <c r="K548" i="55"/>
  <c r="N548" i="55"/>
  <c r="AF1642" i="51"/>
  <c r="Z1642" i="51"/>
  <c r="AF1189" i="51"/>
  <c r="Z1189" i="51"/>
  <c r="K1316" i="55"/>
  <c r="N1316" i="55"/>
  <c r="AJ51" i="41"/>
  <c r="AJ51" i="42"/>
  <c r="AJ51" i="44"/>
  <c r="AL51" i="44"/>
  <c r="N1814" i="55"/>
  <c r="K1814" i="55"/>
  <c r="AE745" i="52"/>
  <c r="AJ36" i="41"/>
  <c r="N36" i="41"/>
  <c r="N36" i="42"/>
  <c r="T36" i="42"/>
  <c r="AM36" i="42"/>
  <c r="Z745" i="52"/>
  <c r="AD321" i="52"/>
  <c r="Y321" i="52"/>
  <c r="AF1789" i="51"/>
  <c r="Z1789" i="51"/>
  <c r="Z457" i="51"/>
  <c r="K457" i="55"/>
  <c r="N457" i="55"/>
  <c r="AD181" i="52"/>
  <c r="Y181" i="52"/>
  <c r="N1774" i="55"/>
  <c r="K1774" i="55"/>
  <c r="AE753" i="52"/>
  <c r="N37" i="41"/>
  <c r="N37" i="42"/>
  <c r="T37" i="42"/>
  <c r="AM37" i="42"/>
  <c r="Z753" i="52"/>
  <c r="N19" i="42"/>
  <c r="T19" i="42"/>
  <c r="AM19" i="42"/>
  <c r="Z634" i="51"/>
  <c r="AF634" i="51"/>
  <c r="Z1912" i="51"/>
  <c r="K1912" i="55"/>
  <c r="N1912" i="55"/>
  <c r="Z462" i="51"/>
  <c r="AF462" i="51"/>
  <c r="Z1506" i="51"/>
  <c r="AF1506" i="51"/>
  <c r="AJ57" i="42"/>
  <c r="AL57" i="42"/>
  <c r="Z930" i="51"/>
  <c r="AF930" i="51"/>
  <c r="F13" i="62"/>
  <c r="F14" i="62"/>
  <c r="I14" i="62"/>
  <c r="I13" i="62"/>
  <c r="N6" i="44"/>
  <c r="T6" i="44"/>
  <c r="AM6" i="44"/>
  <c r="Y69" i="52"/>
  <c r="AD69" i="52"/>
  <c r="AJ9" i="42"/>
  <c r="AJ9" i="44"/>
  <c r="AL9" i="44"/>
  <c r="AD78" i="52"/>
  <c r="Y78" i="52"/>
  <c r="AD193" i="52"/>
  <c r="Y193" i="52"/>
  <c r="AE975" i="52"/>
  <c r="Z975" i="52"/>
  <c r="AE690" i="52"/>
  <c r="Z690" i="52"/>
  <c r="K1220" i="55"/>
  <c r="N1220" i="55"/>
  <c r="AJ39" i="41"/>
  <c r="N39" i="41"/>
  <c r="N39" i="42"/>
  <c r="N39" i="57"/>
  <c r="N105" i="57"/>
  <c r="Y1362" i="51"/>
  <c r="AE1362" i="51"/>
  <c r="Z1500" i="51"/>
  <c r="K1500" i="55"/>
  <c r="N1500" i="55"/>
  <c r="Y399" i="52"/>
  <c r="AD399" i="52"/>
  <c r="Z1687" i="51"/>
  <c r="AF1687" i="51"/>
  <c r="T31" i="42"/>
  <c r="AM31" i="42"/>
  <c r="Z1511" i="51"/>
  <c r="AF1511" i="51"/>
  <c r="AJ45" i="41"/>
  <c r="N45" i="41"/>
  <c r="N45" i="42"/>
  <c r="T45" i="42"/>
  <c r="AO45" i="43"/>
  <c r="AE45" i="43"/>
  <c r="AG45" i="43"/>
  <c r="N22" i="42"/>
  <c r="T22" i="42"/>
  <c r="AM22" i="42"/>
  <c r="Z589" i="51"/>
  <c r="K589" i="55"/>
  <c r="N589" i="55"/>
  <c r="AD360" i="52"/>
  <c r="Y360" i="52"/>
  <c r="Z134" i="51"/>
  <c r="AF134" i="51"/>
  <c r="Z344" i="51"/>
  <c r="K344" i="55"/>
  <c r="N344" i="55"/>
  <c r="AF1214" i="51"/>
  <c r="Z1214" i="51"/>
  <c r="AK37" i="44"/>
  <c r="AJ37" i="41"/>
  <c r="AK37" i="41"/>
  <c r="AK37" i="42"/>
  <c r="AK37" i="43"/>
  <c r="AK19" i="44"/>
  <c r="AK7" i="41"/>
  <c r="AK69" i="41"/>
  <c r="AK74" i="41"/>
  <c r="AK19" i="42"/>
  <c r="AK19" i="43"/>
  <c r="E5" i="62"/>
  <c r="H5" i="62"/>
  <c r="E7" i="62"/>
  <c r="T5" i="42"/>
  <c r="AM5" i="42"/>
  <c r="H7" i="62"/>
  <c r="Z444" i="51"/>
  <c r="AF444" i="51"/>
  <c r="Z125" i="51"/>
  <c r="K125" i="55"/>
  <c r="N125" i="55"/>
  <c r="AJ69" i="41"/>
  <c r="AJ74" i="41"/>
  <c r="AJ30" i="42"/>
  <c r="AF30" i="57"/>
  <c r="AF96" i="57"/>
  <c r="E29" i="62"/>
  <c r="H29" i="62"/>
  <c r="AJ62" i="41"/>
  <c r="N62" i="41"/>
  <c r="N62" i="42"/>
  <c r="T62" i="42"/>
  <c r="AM62" i="42"/>
  <c r="Z2112" i="51"/>
  <c r="AF2112" i="51"/>
  <c r="AJ40" i="41"/>
  <c r="N40" i="41"/>
  <c r="N40" i="42"/>
  <c r="N40" i="43"/>
  <c r="T40" i="43"/>
  <c r="AM40" i="43"/>
  <c r="AJ55" i="41"/>
  <c r="AJ55" i="42"/>
  <c r="AJ55" i="44"/>
  <c r="AL55" i="44"/>
  <c r="Z1120" i="51"/>
  <c r="K1302" i="55"/>
  <c r="N1302" i="55"/>
  <c r="AJ57" i="41"/>
  <c r="N57" i="41"/>
  <c r="N57" i="42"/>
  <c r="T57" i="42"/>
  <c r="AO57" i="43"/>
  <c r="AE57" i="43"/>
  <c r="AB57" i="57"/>
  <c r="AB123" i="57"/>
  <c r="N6" i="42"/>
  <c r="T6" i="42"/>
  <c r="AM6" i="42"/>
  <c r="Y6" i="52"/>
  <c r="AD6" i="52"/>
  <c r="AJ38" i="41"/>
  <c r="N38" i="41"/>
  <c r="N38" i="42"/>
  <c r="T38" i="42"/>
  <c r="AM38" i="42"/>
  <c r="Z1680" i="51"/>
  <c r="AF1680" i="51"/>
  <c r="N31" i="43"/>
  <c r="T31" i="43"/>
  <c r="AM31" i="43"/>
  <c r="AE677" i="52"/>
  <c r="Z677" i="52"/>
  <c r="N23" i="42"/>
  <c r="T23" i="42"/>
  <c r="AM23" i="42"/>
  <c r="Y341" i="52"/>
  <c r="AD341" i="52"/>
  <c r="AJ32" i="41"/>
  <c r="AK32" i="41"/>
  <c r="AK32" i="42"/>
  <c r="AG32" i="57"/>
  <c r="AG98" i="57"/>
  <c r="AJ15" i="41"/>
  <c r="N15" i="41"/>
  <c r="N15" i="42"/>
  <c r="T15" i="42"/>
  <c r="AM15" i="42"/>
  <c r="Z465" i="51"/>
  <c r="AF465" i="51"/>
  <c r="U11" i="62"/>
  <c r="AJ35" i="41"/>
  <c r="N35" i="41"/>
  <c r="N35" i="42"/>
  <c r="T35" i="42"/>
  <c r="AM35" i="42"/>
  <c r="R11" i="62"/>
  <c r="N24" i="42"/>
  <c r="T24" i="42"/>
  <c r="AM24" i="42"/>
  <c r="Y1146" i="51"/>
  <c r="AE1146" i="51"/>
  <c r="I19" i="62"/>
  <c r="N78" i="41"/>
  <c r="AJ26" i="41"/>
  <c r="N26" i="41"/>
  <c r="N26" i="42"/>
  <c r="T26" i="42"/>
  <c r="AM26" i="42"/>
  <c r="F19" i="62"/>
  <c r="R16" i="62"/>
  <c r="U26" i="62"/>
  <c r="U21" i="62"/>
  <c r="U16" i="62"/>
  <c r="R21" i="62"/>
  <c r="AJ47" i="41"/>
  <c r="N47" i="41"/>
  <c r="N47" i="42"/>
  <c r="T47" i="42"/>
  <c r="AM47" i="42"/>
  <c r="R26" i="62"/>
  <c r="N5" i="42"/>
  <c r="N67" i="42"/>
  <c r="N72" i="42"/>
  <c r="N12" i="43"/>
  <c r="T12" i="43"/>
  <c r="AM12" i="43"/>
  <c r="E12" i="62"/>
  <c r="AK63" i="43"/>
  <c r="AJ63" i="41"/>
  <c r="AK63" i="41"/>
  <c r="AK63" i="42"/>
  <c r="AK63" i="44"/>
  <c r="H14" i="62"/>
  <c r="H16" i="62"/>
  <c r="E14" i="62"/>
  <c r="N69" i="41"/>
  <c r="N74" i="41"/>
  <c r="N14" i="42"/>
  <c r="T14" i="42"/>
  <c r="AM14" i="42"/>
  <c r="E16" i="62"/>
  <c r="AJ61" i="41"/>
  <c r="N61" i="41"/>
  <c r="N61" i="42"/>
  <c r="T61" i="42"/>
  <c r="AM61" i="42"/>
  <c r="Z1995" i="51"/>
  <c r="AF1995" i="51"/>
  <c r="AJ34" i="41"/>
  <c r="N34" i="41"/>
  <c r="N34" i="42"/>
  <c r="T34" i="42"/>
  <c r="AM34" i="42"/>
  <c r="Z1521" i="51"/>
  <c r="AF1521" i="51"/>
  <c r="F5" i="62"/>
  <c r="I5" i="62"/>
  <c r="F6" i="62"/>
  <c r="N79" i="41"/>
  <c r="AJ31" i="41"/>
  <c r="N31" i="41"/>
  <c r="N31" i="42"/>
  <c r="L81" i="41"/>
  <c r="L79" i="41"/>
  <c r="L85" i="41"/>
  <c r="N77" i="41"/>
  <c r="AJ7" i="41"/>
  <c r="N7" i="41"/>
  <c r="N7" i="42"/>
  <c r="T7" i="42"/>
  <c r="AM7" i="42"/>
  <c r="I6" i="6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62390B4B-0522-4B51-A2A6-0B3A2ED5115E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9418CB-9566-4AC7-B8E9-F7393F9E2577}" name="Conexão" type="7" refreshedVersion="8" background="1" saveData="1"/>
  <connection id="2" xr16:uid="{7229091A-D14B-42F7-8155-CF76ACD64008}" name="Conexão1" type="7" refreshedVersion="8" background="1" saveData="1"/>
  <connection id="3" xr16:uid="{8C319167-9E19-4FAB-9BA5-FE32CE8A1882}" name="Conexão2" type="7" refreshedVersion="8" background="1" saveData="1"/>
</connections>
</file>

<file path=xl/sharedStrings.xml><?xml version="1.0" encoding="utf-8"?>
<sst xmlns="http://schemas.openxmlformats.org/spreadsheetml/2006/main" count="81114" uniqueCount="1565">
  <si>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</si>
  <si>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</si>
  <si>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</si>
  <si>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</si>
  <si>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</si>
  <si>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</si>
  <si>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</si>
  <si>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</si>
  <si>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</si>
  <si>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</si>
  <si>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</si>
  <si>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</si>
  <si>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</si>
  <si>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</si>
  <si>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</si>
  <si>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</si>
  <si>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</si>
  <si>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</si>
  <si>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</si>
  <si>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</si>
  <si>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</si>
  <si>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</si>
  <si>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</si>
  <si>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</si>
  <si>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</si>
  <si>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</si>
  <si>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</si>
  <si>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</si>
  <si>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</si>
  <si>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</si>
  <si>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</si>
  <si>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</si>
  <si>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</si>
  <si>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</si>
  <si>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</si>
  <si>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</si>
  <si>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</si>
  <si>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</si>
  <si>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</si>
  <si>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A3</t>
  </si>
  <si>
    <t>Azul</t>
  </si>
  <si>
    <t>A4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</si>
  <si>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</si>
  <si>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</si>
  <si>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</si>
  <si>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</si>
  <si>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</si>
  <si>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</si>
  <si>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</si>
  <si>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</si>
  <si>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</si>
  <si>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</si>
  <si>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</si>
  <si>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</si>
  <si>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</si>
  <si>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</si>
  <si>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</si>
  <si>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PROJETADO</t>
  </si>
  <si>
    <t>LIVRE</t>
  </si>
  <si>
    <t>APE</t>
  </si>
  <si>
    <t>LIVRE APE</t>
  </si>
  <si>
    <t>Fonte incentivada</t>
  </si>
  <si>
    <t>Distribuição</t>
  </si>
  <si>
    <t>Celpe</t>
  </si>
  <si>
    <t>DISTRIBUIÇÃO</t>
  </si>
  <si>
    <t>EBO</t>
  </si>
  <si>
    <t>Geração</t>
  </si>
  <si>
    <t>CUREMAS</t>
  </si>
  <si>
    <t>GERAÇÃO</t>
  </si>
  <si>
    <t>JAPUNGU</t>
  </si>
  <si>
    <t>GIASA II</t>
  </si>
  <si>
    <t>MILLENNIUM</t>
  </si>
  <si>
    <t>VITÓRIA</t>
  </si>
  <si>
    <t>MATARACA</t>
  </si>
  <si>
    <t>TABU</t>
  </si>
  <si>
    <t>CANOAS</t>
  </si>
  <si>
    <t>LAGOA 1</t>
  </si>
  <si>
    <t>LAGOA 2</t>
  </si>
  <si>
    <t>ANGICO I</t>
  </si>
  <si>
    <t>MALTA</t>
  </si>
  <si>
    <t>MONTE ALEGRE</t>
  </si>
  <si>
    <t>MIRIRI</t>
  </si>
  <si>
    <t>ASJA JOÃO PESSOA</t>
  </si>
  <si>
    <t>FERREIRA COSTA JOÃO PESSOA</t>
  </si>
  <si>
    <t>POLPA IDEAL II</t>
  </si>
  <si>
    <t>POLPA IDEAL I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</si>
  <si>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</si>
  <si>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</si>
  <si>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</si>
  <si>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</si>
  <si>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</si>
  <si>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</si>
  <si>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</si>
  <si>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</si>
  <si>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</si>
  <si>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</si>
  <si>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</si>
  <si>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</si>
  <si>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</si>
  <si>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</si>
  <si>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</si>
  <si>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</si>
  <si>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</si>
  <si>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</si>
  <si>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</si>
  <si>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</si>
  <si>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</si>
  <si>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</si>
  <si>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</si>
  <si>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Energia convencional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</si>
  <si>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</si>
  <si>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</si>
  <si>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</si>
  <si>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</si>
  <si>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</si>
  <si>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</si>
  <si>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</si>
  <si>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</si>
  <si>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</si>
  <si>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</si>
  <si>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44409A3AzulNão se aplicaNão se aplicaNão se aplicaNão se aplicaFora ponta</t>
  </si>
  <si>
    <t>44440A3AzulNão se aplicaNão se aplicaNão se aplicaNão se aplicaFora ponta</t>
  </si>
  <si>
    <t>44470A3AzulNão se aplicaNão se aplicaNão se aplicaNão se aplicaFora ponta</t>
  </si>
  <si>
    <t>44501A3AzulNão se aplicaNão se aplicaNão se aplicaNão se aplicaFora ponta</t>
  </si>
  <si>
    <t>44531A3AzulNão se aplicaNão se aplicaNão se aplicaNão se aplicaFora ponta</t>
  </si>
  <si>
    <t>44562A3AzulNão se aplicaNão se aplicaNão se aplicaNão se aplicaFora ponta</t>
  </si>
  <si>
    <t>44593A3AzulNão se aplicaNão se aplicaNão se aplicaNão se aplicaFora ponta</t>
  </si>
  <si>
    <t>44621A3AzulNão se aplicaNão se aplicaNão se aplicaNão se aplicaFora ponta</t>
  </si>
  <si>
    <t>44652A3AzulNão se aplicaNão se aplicaNão se aplicaNão se aplicaFora ponta</t>
  </si>
  <si>
    <t>44682A3AzulNão se aplicaNão se aplicaNão se aplicaNão se aplicaFora ponta</t>
  </si>
  <si>
    <t>44713A3AzulNão se aplicaNão se aplicaNão se aplicaNão se aplicaFora ponta</t>
  </si>
  <si>
    <t>44743A3AzulNão se aplicaNão se aplicaNão se aplicaNão se aplicaFora ponta</t>
  </si>
  <si>
    <t>44409A3AzulNão se aplicaNão se aplicaNão se aplicaNão se aplicaNão se aplica</t>
  </si>
  <si>
    <t>44440A3AzulNão se aplicaNão se aplicaNão se aplicaNão se aplicaNão se aplica</t>
  </si>
  <si>
    <t>44470A3AzulNão se aplicaNão se aplicaNão se aplicaNão se aplicaNão se aplica</t>
  </si>
  <si>
    <t>44501A3AzulNão se aplicaNão se aplicaNão se aplicaNão se aplicaNão se aplica</t>
  </si>
  <si>
    <t>44531A3AzulNão se aplicaNão se aplicaNão se aplicaNão se aplicaNão se aplica</t>
  </si>
  <si>
    <t>44562A3AzulNão se aplicaNão se aplicaNão se aplicaNão se aplicaNão se aplica</t>
  </si>
  <si>
    <t>44593A3AzulNão se aplicaNão se aplicaNão se aplicaNão se aplicaNão se aplica</t>
  </si>
  <si>
    <t>44621A3AzulNão se aplicaNão se aplicaNão se aplicaNão se aplicaNão se aplica</t>
  </si>
  <si>
    <t>44652A3AzulNão se aplicaNão se aplicaNão se aplicaNão se aplicaNão se aplica</t>
  </si>
  <si>
    <t>44682A3AzulNão se aplicaNão se aplicaNão se aplicaNão se aplicaNão se aplica</t>
  </si>
  <si>
    <t>44713A3AzulNão se aplicaNão se aplicaNão se aplicaNão se aplicaNão se aplica</t>
  </si>
  <si>
    <t>44743A3AzulNão se aplicaNão se aplicaNão se aplicaNão se aplicaNão se aplica</t>
  </si>
  <si>
    <t>44409A3AzulNão se aplicaNão se aplicaNão se aplicaNão se aplicaPonta</t>
  </si>
  <si>
    <t>44440A3AzulNão se aplicaNão se aplicaNão se aplicaNão se aplicaPonta</t>
  </si>
  <si>
    <t>44470A3AzulNão se aplicaNão se aplicaNão se aplicaNão se aplicaPonta</t>
  </si>
  <si>
    <t>44501A3AzulNão se aplicaNão se aplicaNão se aplicaNão se aplicaPonta</t>
  </si>
  <si>
    <t>44531A3AzulNão se aplicaNão se aplicaNão se aplicaNão se aplicaPonta</t>
  </si>
  <si>
    <t>44562A3AzulNão se aplicaNão se aplicaNão se aplicaNão se aplicaPonta</t>
  </si>
  <si>
    <t>44593A3AzulNão se aplicaNão se aplicaNão se aplicaNão se aplicaPonta</t>
  </si>
  <si>
    <t>44621A3AzulNão se aplicaNão se aplicaNão se aplicaNão se aplicaPonta</t>
  </si>
  <si>
    <t>44652A3AzulNão se aplicaNão se aplicaNão se aplicaNão se aplicaPonta</t>
  </si>
  <si>
    <t>44682A3AzulNão se aplicaNão se aplicaNão se aplicaNão se aplicaPonta</t>
  </si>
  <si>
    <t>44713A3AzulNão se aplicaNão se aplicaNão se aplicaNão se aplicaPonta</t>
  </si>
  <si>
    <t>44743A3AzulNão se aplicaNão se aplicaNão se aplicaNão se aplicaPonta</t>
  </si>
  <si>
    <t>44409A3DistribuiçãoNão se aplicaNão se aplicaNão se aplicaEBOFora ponta</t>
  </si>
  <si>
    <t>44440A3DistribuiçãoNão se aplicaNão se aplicaNão se aplicaEBOFora ponta</t>
  </si>
  <si>
    <t>44470A3DistribuiçãoNão se aplicaNão se aplicaNão se aplicaEBOFora ponta</t>
  </si>
  <si>
    <t>44501A3DistribuiçãoNão se aplicaNão se aplicaNão se aplicaEBOFora ponta</t>
  </si>
  <si>
    <t>44531A3DistribuiçãoNão se aplicaNão se aplicaNão se aplicaEBOFora ponta</t>
  </si>
  <si>
    <t>44562A3DistribuiçãoNão se aplicaNão se aplicaNão se aplicaEBOFora ponta</t>
  </si>
  <si>
    <t>44593A3DistribuiçãoNão se aplicaNão se aplicaNão se aplicaEBOFora ponta</t>
  </si>
  <si>
    <t>44621A3DistribuiçãoNão se aplicaNão se aplicaNão se aplicaEBOFora ponta</t>
  </si>
  <si>
    <t>44652A3DistribuiçãoNão se aplicaNão se aplicaNão se aplicaEBOFora ponta</t>
  </si>
  <si>
    <t>44682A3DistribuiçãoNão se aplicaNão se aplicaNão se aplicaEBOFora ponta</t>
  </si>
  <si>
    <t>44713A3DistribuiçãoNão se aplicaNão se aplicaNão se aplicaEBOFora ponta</t>
  </si>
  <si>
    <t>44743A3DistribuiçãoNão se aplicaNão se aplicaNão se aplicaEBOFora ponta</t>
  </si>
  <si>
    <t>44409A3DistribuiçãoNão se aplicaNão se aplicaNão se aplicaEBONão se aplica</t>
  </si>
  <si>
    <t>44440A3DistribuiçãoNão se aplicaNão se aplicaNão se aplicaEBONão se aplica</t>
  </si>
  <si>
    <t>44470A3DistribuiçãoNão se aplicaNão se aplicaNão se aplicaEBONão se aplica</t>
  </si>
  <si>
    <t>44501A3DistribuiçãoNão se aplicaNão se aplicaNão se aplicaEBONão se aplica</t>
  </si>
  <si>
    <t>44531A3DistribuiçãoNão se aplicaNão se aplicaNão se aplicaEBONão se aplica</t>
  </si>
  <si>
    <t>44562A3DistribuiçãoNão se aplicaNão se aplicaNão se aplicaEBONão se aplica</t>
  </si>
  <si>
    <t>44593A3DistribuiçãoNão se aplicaNão se aplicaNão se aplicaEBONão se aplica</t>
  </si>
  <si>
    <t>44621A3DistribuiçãoNão se aplicaNão se aplicaNão se aplicaEBONão se aplica</t>
  </si>
  <si>
    <t>44652A3DistribuiçãoNão se aplicaNão se aplicaNão se aplicaEBONão se aplica</t>
  </si>
  <si>
    <t>44682A3DistribuiçãoNão se aplicaNão se aplicaNão se aplicaEBONão se aplica</t>
  </si>
  <si>
    <t>44713A3DistribuiçãoNão se aplicaNão se aplicaNão se aplicaEBONão se aplica</t>
  </si>
  <si>
    <t>44743A3DistribuiçãoNão se aplicaNão se aplicaNão se aplicaEBONão se aplica</t>
  </si>
  <si>
    <t>44409A3DistribuiçãoNão se aplicaNão se aplicaNão se aplicaEBOPonta</t>
  </si>
  <si>
    <t>44440A3DistribuiçãoNão se aplicaNão se aplicaNão se aplicaEBOPonta</t>
  </si>
  <si>
    <t>44470A3DistribuiçãoNão se aplicaNão se aplicaNão se aplicaEBOPonta</t>
  </si>
  <si>
    <t>44501A3DistribuiçãoNão se aplicaNão se aplicaNão se aplicaEBOPonta</t>
  </si>
  <si>
    <t>44531A3DistribuiçãoNão se aplicaNão se aplicaNão se aplicaEBOPonta</t>
  </si>
  <si>
    <t>44562A3DistribuiçãoNão se aplicaNão se aplicaNão se aplicaEBOPonta</t>
  </si>
  <si>
    <t>44593A3DistribuiçãoNão se aplicaNão se aplicaNão se aplicaEBOPonta</t>
  </si>
  <si>
    <t>44621A3DistribuiçãoNão se aplicaNão se aplicaNão se aplicaEBOPonta</t>
  </si>
  <si>
    <t>44652A3DistribuiçãoNão se aplicaNão se aplicaNão se aplicaEBOPonta</t>
  </si>
  <si>
    <t>44682A3DistribuiçãoNão se aplicaNão se aplicaNão se aplicaEBOPonta</t>
  </si>
  <si>
    <t>44713A3DistribuiçãoNão se aplicaNão se aplicaNão se aplicaEBOPonta</t>
  </si>
  <si>
    <t>44743A3DistribuiçãoNão se aplicaNão se aplicaNão se aplicaEBOPonta</t>
  </si>
  <si>
    <t>44409A3GeraçãoNão se aplicaNão se aplicaNão se aplicaNão se aplicaNão se aplica</t>
  </si>
  <si>
    <t>44440A3GeraçãoNão se aplicaNão se aplicaNão se aplicaNão se aplicaNão se aplica</t>
  </si>
  <si>
    <t>44470A3GeraçãoNão se aplicaNão se aplicaNão se aplicaNão se aplicaNão se aplica</t>
  </si>
  <si>
    <t>44501A3GeraçãoNão se aplicaNão se aplicaNão se aplicaNão se aplicaNão se aplica</t>
  </si>
  <si>
    <t>44531A3GeraçãoNão se aplicaNão se aplicaNão se aplicaNão se aplicaNão se aplica</t>
  </si>
  <si>
    <t>44562A3GeraçãoNão se aplicaNão se aplicaNão se aplicaNão se aplicaNão se aplica</t>
  </si>
  <si>
    <t>44593A3GeraçãoNão se aplicaNão se aplicaNão se aplicaNão se aplicaNão se aplica</t>
  </si>
  <si>
    <t>44621A3GeraçãoNão se aplicaNão se aplicaNão se aplicaNão se aplicaNão se aplica</t>
  </si>
  <si>
    <t>44652A3GeraçãoNão se aplicaNão se aplicaNão se aplicaNão se aplicaNão se aplica</t>
  </si>
  <si>
    <t>44682A3GeraçãoNão se aplicaNão se aplicaNão se aplicaNão se aplicaNão se aplica</t>
  </si>
  <si>
    <t>44713A3GeraçãoNão se aplicaNão se aplicaNão se aplicaNão se aplicaNão se aplica</t>
  </si>
  <si>
    <t>44743A3GeraçãoNão se aplicaNão se aplicaNão se aplicaNão se aplicaNão se aplica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</si>
  <si>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</si>
  <si>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</si>
  <si>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</si>
  <si>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</si>
  <si>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</si>
  <si>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</si>
  <si>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</si>
  <si>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</si>
  <si>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</si>
  <si>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</si>
  <si>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</si>
  <si>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44743A4AzulNão se aplicaNão se aplicaNão se aplicaNão se aplicaFora ponta</t>
  </si>
  <si>
    <t>44409A4AzulNão se aplicaNão se aplicaNão se aplicaNão se aplicaNão se aplica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</si>
  <si>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</si>
  <si>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</si>
  <si>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</si>
  <si>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</si>
  <si>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</si>
  <si>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</si>
  <si>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</si>
  <si>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</si>
  <si>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</si>
  <si>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</si>
  <si>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</si>
  <si>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44743A4AzulNão se aplicaNão se aplicaNão se aplicaNão se aplicaPonta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</si>
  <si>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</si>
  <si>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</si>
  <si>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</si>
  <si>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</si>
  <si>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</si>
  <si>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</si>
  <si>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</si>
  <si>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</si>
  <si>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</si>
  <si>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44713A4AzulNão se aplicaNão se aplicaNão se aplicaNão se aplicaNão se aplica</t>
  </si>
  <si>
    <t>44743A4AzulNão se aplicaNão se aplicaNão se aplicaNão se aplicaNão se aplica</t>
  </si>
  <si>
    <t>44409A4DistribuiçãoNão se aplicaNão se aplicaNão se aplicaCelpeFora ponta</t>
  </si>
  <si>
    <t>44409A4DistribuiçãoNão se aplicaNão se aplicaNão se aplicaEBOFora ponta</t>
  </si>
  <si>
    <t>44440A4DistribuiçãoNão se aplicaNão se aplicaNão se aplicaCelpeFora ponta</t>
  </si>
  <si>
    <t>44440A4DistribuiçãoNão se aplicaNão se aplicaNão se aplicaEBOFora ponta</t>
  </si>
  <si>
    <t>44470A4DistribuiçãoNão se aplicaNão se aplicaNão se aplicaCelpeFora ponta</t>
  </si>
  <si>
    <t>44470A4DistribuiçãoNão se aplicaNão se aplicaNão se aplicaEBOFora ponta</t>
  </si>
  <si>
    <t>44501A4DistribuiçãoNão se aplicaNão se aplicaNão se aplicaCelpeFora ponta</t>
  </si>
  <si>
    <t>44501A4DistribuiçãoNão se aplicaNão se aplicaNão se aplicaEBOFora ponta</t>
  </si>
  <si>
    <t>44531A4DistribuiçãoNão se aplicaNão se aplicaNão se aplicaCelpeFora ponta</t>
  </si>
  <si>
    <t>44531A4DistribuiçãoNão se aplicaNão se aplicaNão se aplicaEBOFora ponta</t>
  </si>
  <si>
    <t>44562A4DistribuiçãoNão se aplicaNão se aplicaNão se aplicaCelpeFora ponta</t>
  </si>
  <si>
    <t>44562A4DistribuiçãoNão se aplicaNão se aplicaNão se aplicaEBOFora ponta</t>
  </si>
  <si>
    <t>44593A4DistribuiçãoNão se aplicaNão se aplicaNão se aplicaCelpeFora ponta</t>
  </si>
  <si>
    <t>44593A4DistribuiçãoNão se aplicaNão se aplicaNão se aplicaEBOFora ponta</t>
  </si>
  <si>
    <t>44621A4DistribuiçãoNão se aplicaNão se aplicaNão se aplicaCelpeFora ponta</t>
  </si>
  <si>
    <t>44621A4DistribuiçãoNão se aplicaNão se aplicaNão se aplicaEBOFora ponta</t>
  </si>
  <si>
    <t>44652A4DistribuiçãoNão se aplicaNão se aplicaNão se aplicaCelpeFora ponta</t>
  </si>
  <si>
    <t>44652A4DistribuiçãoNão se aplicaNão se aplicaNão se aplicaEBOFora ponta</t>
  </si>
  <si>
    <t>44682A4DistribuiçãoNão se aplicaNão se aplicaNão se aplicaCelpeFora ponta</t>
  </si>
  <si>
    <t>44682A4DistribuiçãoNão se aplicaNão se aplicaNão se aplicaEBOFora ponta</t>
  </si>
  <si>
    <t>44713A4DistribuiçãoNão se aplicaNão se aplicaNão se aplicaCelpeFora ponta</t>
  </si>
  <si>
    <t>44713A4DistribuiçãoNão se aplicaNão se aplicaNão se aplicaEBOFora ponta</t>
  </si>
  <si>
    <t>44743A4DistribuiçãoNão se aplicaNão se aplicaNão se aplicaCelpeFora ponta</t>
  </si>
  <si>
    <t>44743A4DistribuiçãoNão se aplicaNão se aplicaNão se aplicaEBOFora ponta</t>
  </si>
  <si>
    <t>44409A4DistribuiçãoNão se aplicaNão se aplicaNão se aplicaCelpeNão se aplica</t>
  </si>
  <si>
    <t>44409A4DistribuiçãoNão se aplicaNão se aplicaNão se aplicaEBONão se aplica</t>
  </si>
  <si>
    <t>44440A4DistribuiçãoNão se aplicaNão se aplicaNão se aplicaCelpeNão se aplica</t>
  </si>
  <si>
    <t>44440A4DistribuiçãoNão se aplicaNão se aplicaNão se aplicaEBONão se aplica</t>
  </si>
  <si>
    <t>44470A4DistribuiçãoNão se aplicaNão se aplicaNão se aplicaCelpeNão se aplica</t>
  </si>
  <si>
    <t>44470A4DistribuiçãoNão se aplicaNão se aplicaNão se aplicaEBONão se aplica</t>
  </si>
  <si>
    <t>44501A4DistribuiçãoNão se aplicaNão se aplicaNão se aplicaCelpeNão se aplica</t>
  </si>
  <si>
    <t>44501A4DistribuiçãoNão se aplicaNão se aplicaNão se aplicaEBONão se aplica</t>
  </si>
  <si>
    <t>44531A4DistribuiçãoNão se aplicaNão se aplicaNão se aplicaCelpeNão se aplica</t>
  </si>
  <si>
    <t>44531A4DistribuiçãoNão se aplicaNão se aplicaNão se aplicaEBONão se aplica</t>
  </si>
  <si>
    <t>44562A4DistribuiçãoNão se aplicaNão se aplicaNão se aplicaCelpeNão se aplica</t>
  </si>
  <si>
    <t>44562A4DistribuiçãoNão se aplicaNão se aplicaNão se aplicaEBONão se aplica</t>
  </si>
  <si>
    <t>44593A4DistribuiçãoNão se aplicaNão se aplicaNão se aplicaCelpeNão se aplica</t>
  </si>
  <si>
    <t>44593A4DistribuiçãoNão se aplicaNão se aplicaNão se aplicaEBONão se aplica</t>
  </si>
  <si>
    <t>44621A4DistribuiçãoNão se aplicaNão se aplicaNão se aplicaCelpeNão se aplica</t>
  </si>
  <si>
    <t>44621A4DistribuiçãoNão se aplicaNão se aplicaNão se aplicaEBONão se aplica</t>
  </si>
  <si>
    <t>44652A4DistribuiçãoNão se aplicaNão se aplicaNão se aplicaCelpeNão se aplica</t>
  </si>
  <si>
    <t>44652A4DistribuiçãoNão se aplicaNão se aplicaNão se aplicaEBONão se aplica</t>
  </si>
  <si>
    <t>44682A4DistribuiçãoNão se aplicaNão se aplicaNão se aplicaCelpeNão se aplica</t>
  </si>
  <si>
    <t>44682A4DistribuiçãoNão se aplicaNão se aplicaNão se aplicaEBONão se aplica</t>
  </si>
  <si>
    <t>44713A4DistribuiçãoNão se aplicaNão se aplicaNão se aplicaCelpeNão se aplica</t>
  </si>
  <si>
    <t>44713A4DistribuiçãoNão se aplicaNão se aplicaNão se aplicaEBONão se aplica</t>
  </si>
  <si>
    <t>44743A4DistribuiçãoNão se aplicaNão se aplicaNão se aplicaCelpeNão se aplica</t>
  </si>
  <si>
    <t>44743A4DistribuiçãoNão se aplicaNão se aplicaNão se aplicaEBONão se aplica</t>
  </si>
  <si>
    <t>44409A4DistribuiçãoNão se aplicaNão se aplicaNão se aplicaCelpePonta</t>
  </si>
  <si>
    <t>44409A4DistribuiçãoNão se aplicaNão se aplicaNão se aplicaEBOPonta</t>
  </si>
  <si>
    <t>44440A4DistribuiçãoNão se aplicaNão se aplicaNão se aplicaCelpePonta</t>
  </si>
  <si>
    <t>44440A4DistribuiçãoNão se aplicaNão se aplicaNão se aplicaEBOPonta</t>
  </si>
  <si>
    <t>44470A4DistribuiçãoNão se aplicaNão se aplicaNão se aplicaCelpePonta</t>
  </si>
  <si>
    <t>44470A4DistribuiçãoNão se aplicaNão se aplicaNão se aplicaEBOPonta</t>
  </si>
  <si>
    <t>44501A4DistribuiçãoNão se aplicaNão se aplicaNão se aplicaCelpePonta</t>
  </si>
  <si>
    <t>44501A4DistribuiçãoNão se aplicaNão se aplicaNão se aplicaEBOPonta</t>
  </si>
  <si>
    <t>44531A4DistribuiçãoNão se aplicaNão se aplicaNão se aplicaCelpePonta</t>
  </si>
  <si>
    <t>44531A4DistribuiçãoNão se aplicaNão se aplicaNão se aplicaEBOPonta</t>
  </si>
  <si>
    <t>44562A4DistribuiçãoNão se aplicaNão se aplicaNão se aplicaCelpePonta</t>
  </si>
  <si>
    <t>44562A4DistribuiçãoNão se aplicaNão se aplicaNão se aplicaEBOPonta</t>
  </si>
  <si>
    <t>44593A4DistribuiçãoNão se aplicaNão se aplicaNão se aplicaCelpePonta</t>
  </si>
  <si>
    <t>44593A4DistribuiçãoNão se aplicaNão se aplicaNão se aplicaEBOPonta</t>
  </si>
  <si>
    <t>44621A4DistribuiçãoNão se aplicaNão se aplicaNão se aplicaCelpePonta</t>
  </si>
  <si>
    <t>44621A4DistribuiçãoNão se aplicaNão se aplicaNão se aplicaEBOPonta</t>
  </si>
  <si>
    <t>44652A4DistribuiçãoNão se aplicaNão se aplicaNão se aplicaCelpePonta</t>
  </si>
  <si>
    <t>44652A4DistribuiçãoNão se aplicaNão se aplicaNão se aplicaEBOPonta</t>
  </si>
  <si>
    <t>44682A4DistribuiçãoNão se aplicaNão se aplicaNão se aplicaCelpePonta</t>
  </si>
  <si>
    <t>44682A4DistribuiçãoNão se aplicaNão se aplicaNão se aplicaEBOPonta</t>
  </si>
  <si>
    <t>44713A4DistribuiçãoNão se aplicaNão se aplicaNão se aplicaCelpePonta</t>
  </si>
  <si>
    <t>44713A4DistribuiçãoNão se aplicaNão se aplicaNão se aplicaEBOPonta</t>
  </si>
  <si>
    <t>44743A4DistribuiçãoNão se aplicaNão se aplicaNão se aplicaCelpePonta</t>
  </si>
  <si>
    <t>44743A4DistribuiçãoNão se aplicaNão se aplicaNão se aplicaEBOPonta</t>
  </si>
  <si>
    <t>44409A4GeraçãoNão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</si>
  <si>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</si>
  <si>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</si>
  <si>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</si>
  <si>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</si>
  <si>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</si>
  <si>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</si>
  <si>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</si>
  <si>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</si>
  <si>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</si>
  <si>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44713A4GeraçãoNão se aplicaNão se aplicaNão se aplicaNão se aplicaNão se aplica</t>
  </si>
  <si>
    <t>44743A4GeraçãoNão se aplicaNão se aplicaNão se aplicaNão se aplicaNão se aplica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</si>
  <si>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</si>
  <si>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</si>
  <si>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</si>
  <si>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</si>
  <si>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</si>
  <si>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</si>
  <si>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</si>
  <si>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</si>
  <si>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</si>
  <si>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</si>
  <si>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</si>
  <si>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44743A4VerdeNão se aplicaNão se aplicaNão se aplicaNão se aplicaFora ponta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</si>
  <si>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</si>
  <si>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</si>
  <si>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</si>
  <si>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</si>
  <si>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</si>
  <si>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</si>
  <si>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</si>
  <si>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</si>
  <si>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</si>
  <si>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</si>
  <si>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</si>
  <si>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44743A4VerdeNão se aplicaNão se aplicaNão se aplicaNão se aplicaNão se aplica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</si>
  <si>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</si>
  <si>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</si>
  <si>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</si>
  <si>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</si>
  <si>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</si>
  <si>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</si>
  <si>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</si>
  <si>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</si>
  <si>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</si>
  <si>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</si>
  <si>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</si>
  <si>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44743A4VerdeNão se aplicaNão se aplicaNão se aplicaNão se aplicaPonta</t>
  </si>
  <si>
    <t>44409A4VerdeNão se aplicaNão se aplicaAPENão se aplicaFora ponta</t>
  </si>
  <si>
    <t>44440A4VerdeNão se aplicaNão se aplicaAPENão se aplicaFora ponta</t>
  </si>
  <si>
    <t>44470A4VerdeNão se aplicaNão se aplicaAPENão se aplicaFora ponta</t>
  </si>
  <si>
    <t>44501A4VerdeNão se aplicaNão se aplicaAPENão se aplicaFora ponta</t>
  </si>
  <si>
    <t>44531A4VerdeNão se aplicaNão se aplicaAPENão se aplicaFora ponta</t>
  </si>
  <si>
    <t>44562A4VerdeNão se aplicaNão se aplicaAPENão se aplicaFora ponta</t>
  </si>
  <si>
    <t>44593A4VerdeNão se aplicaNão se aplicaAPENão se aplicaFora ponta</t>
  </si>
  <si>
    <t>44621A4VerdeNão se aplicaNão se aplicaAPENão se aplicaFora ponta</t>
  </si>
  <si>
    <t>44652A4VerdeNão se aplicaNão se aplicaAPENão se aplicaFora ponta</t>
  </si>
  <si>
    <t>44682A4VerdeNão se aplicaNão se aplicaAPENão se aplicaFora ponta</t>
  </si>
  <si>
    <t>44713A4VerdeNão se aplicaNão se aplicaAPENão se aplicaFora ponta</t>
  </si>
  <si>
    <t>44743A4VerdeNão se aplicaNão se aplicaAPENão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</si>
  <si>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</si>
  <si>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</si>
  <si>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</si>
  <si>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</si>
  <si>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</si>
  <si>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</si>
  <si>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</si>
  <si>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</si>
  <si>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</si>
  <si>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</si>
  <si>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</si>
  <si>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44743B1BrancaResidencialResidencialNão se aplicaNão se aplicaFora ponta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</si>
  <si>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</si>
  <si>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</si>
  <si>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</si>
  <si>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</si>
  <si>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</si>
  <si>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</si>
  <si>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</si>
  <si>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</si>
  <si>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</si>
  <si>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</si>
  <si>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</si>
  <si>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44743B1BrancaResidencialResidencialNão se aplicaNão se aplicaIntermediário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</si>
  <si>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</si>
  <si>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</si>
  <si>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</si>
  <si>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</si>
  <si>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</si>
  <si>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</si>
  <si>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</si>
  <si>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</si>
  <si>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</si>
  <si>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</si>
  <si>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</si>
  <si>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44743B1BrancaResidencialResidencialNão se aplicaNão se aplicaPonta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</si>
  <si>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</si>
  <si>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</si>
  <si>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</si>
  <si>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</si>
  <si>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</si>
  <si>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</si>
  <si>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</si>
  <si>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</si>
  <si>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</si>
  <si>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</si>
  <si>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</si>
  <si>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44743B1ConvencionalResidencialResidencialNão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</si>
  <si>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</si>
  <si>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</si>
  <si>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</si>
  <si>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</si>
  <si>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</si>
  <si>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</si>
  <si>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</si>
  <si>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</si>
  <si>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</si>
  <si>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</si>
  <si>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</si>
  <si>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44743B1ConvencionalResidencialResidencial baixa renda – faixa 01Não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</si>
  <si>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</si>
  <si>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</si>
  <si>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</si>
  <si>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</si>
  <si>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</si>
  <si>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</si>
  <si>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</si>
  <si>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</si>
  <si>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</si>
  <si>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</si>
  <si>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</si>
  <si>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44743B1ConvencionalResidencialResidencial baixa renda – faixa 02Não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</si>
  <si>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</si>
  <si>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</si>
  <si>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</si>
  <si>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</si>
  <si>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</si>
  <si>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</si>
  <si>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</si>
  <si>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</si>
  <si>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</si>
  <si>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</si>
  <si>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</si>
  <si>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44743B1ConvencionalResidencialResidencial baixa renda – faixa 03Não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</si>
  <si>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</si>
  <si>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</si>
  <si>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</si>
  <si>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</si>
  <si>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</si>
  <si>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</si>
  <si>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</si>
  <si>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</si>
  <si>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</si>
  <si>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</si>
  <si>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</si>
  <si>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44743B1ConvencionalResidencialResidencial baixa renda – faixa 04Não se aplicaNão se aplicaNão se aplica</t>
  </si>
  <si>
    <t>44440B2BrancaRuralNão se aplicaNão se aplicaNão se aplicaFora ponta</t>
  </si>
  <si>
    <t>44501B2BrancaRuralNão se aplicaNão se aplicaNão se aplicaFora ponta</t>
  </si>
  <si>
    <t>44440B2BrancaRuralNão se aplicaNão se aplicaNão se aplicaIntermediário</t>
  </si>
  <si>
    <t>44501B2BrancaRuralNão se aplicaNão se aplicaNão se aplicaIntermediário</t>
  </si>
  <si>
    <t>44440B2BrancaRuralNão se aplicaNão se aplicaNão se aplicaPonta</t>
  </si>
  <si>
    <t>44501B2BrancaRuralNão se aplicaNão se aplicaNão se aplicaPonta</t>
  </si>
  <si>
    <t>44409B2BrancaRuralNão se aplicaNão se aplicaNão se aplicaFora ponta</t>
  </si>
  <si>
    <t>44470B2BrancaRuralNão se aplicaNão se aplicaNão se aplicaFora ponta</t>
  </si>
  <si>
    <t>44531B2BrancaRuralNão se aplicaNão se aplicaNão se aplicaFora ponta</t>
  </si>
  <si>
    <t>44562B2BrancaRuralNão se aplicaNão se aplicaNão se aplicaFora ponta</t>
  </si>
  <si>
    <t>44593B2BrancaRuralNão se aplicaNão se aplicaNão se aplicaFora ponta</t>
  </si>
  <si>
    <t>44621B2BrancaRuralNão se aplicaNão se aplicaNão se aplicaFora ponta</t>
  </si>
  <si>
    <t>44652B2BrancaRuralNão se aplicaNão se aplicaNão se aplicaFora ponta</t>
  </si>
  <si>
    <t>44682B2BrancaRuralNão se aplicaNão se aplicaNão se aplicaFora ponta</t>
  </si>
  <si>
    <t>44713B2BrancaRuralNão se aplicaNão se aplicaNão se aplicaFora ponta</t>
  </si>
  <si>
    <t>44743B2BrancaRuralNão se aplicaNão se aplicaNão se aplicaFora ponta</t>
  </si>
  <si>
    <t>44409B2BrancaRuralNão se aplicaNão se aplicaNão se aplicaIntermediário</t>
  </si>
  <si>
    <t>44470B2BrancaRuralNão se aplicaNão se aplicaNão se aplicaIntermediário</t>
  </si>
  <si>
    <t>44531B2BrancaRuralNão se aplicaNão se aplicaNão se aplicaIntermediário</t>
  </si>
  <si>
    <t>44562B2BrancaRuralNão se aplicaNão se aplicaNão se aplicaIntermediário</t>
  </si>
  <si>
    <t>44593B2BrancaRuralNão se aplicaNão se aplicaNão se aplicaIntermediário</t>
  </si>
  <si>
    <t>44621B2BrancaRuralNão se aplicaNão se aplicaNão se aplicaIntermediário</t>
  </si>
  <si>
    <t>44652B2BrancaRuralNão se aplicaNão se aplicaNão se aplicaIntermediário</t>
  </si>
  <si>
    <t>44682B2BrancaRuralNão se aplicaNão se aplicaNão se aplicaIntermediário</t>
  </si>
  <si>
    <t>44713B2BrancaRuralNão se aplicaNão se aplicaNão se aplicaIntermediário</t>
  </si>
  <si>
    <t>44743B2BrancaRuralNão se aplicaNão se aplicaNão se aplicaIntermediário</t>
  </si>
  <si>
    <t>44409B2BrancaRuralNão se aplicaNão se aplicaNão se aplicaPonta</t>
  </si>
  <si>
    <t>44470B2BrancaRuralNão se aplicaNão se aplicaNão se aplicaPonta</t>
  </si>
  <si>
    <t>44531B2BrancaRuralNão se aplicaNão se aplicaNão se aplicaPonta</t>
  </si>
  <si>
    <t>44562B2BrancaRuralNão se aplicaNão se aplicaNão se aplicaPonta</t>
  </si>
  <si>
    <t>44593B2BrancaRuralNão se aplicaNão se aplicaNão se aplicaPonta</t>
  </si>
  <si>
    <t>44621B2BrancaRuralNão se aplicaNão se aplicaNão se aplicaPonta</t>
  </si>
  <si>
    <t>44652B2BrancaRuralNão se aplicaNão se aplicaNão se aplicaPonta</t>
  </si>
  <si>
    <t>44682B2BrancaRuralNão se aplicaNão se aplicaNão se aplicaPonta</t>
  </si>
  <si>
    <t>44713B2BrancaRuralNão se aplicaNão se aplicaNão se aplicaPonta</t>
  </si>
  <si>
    <t>44743B2BrancaRuralNão se aplicaNão se aplicaNão se aplicaPonta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</si>
  <si>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</si>
  <si>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</si>
  <si>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</si>
  <si>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</si>
  <si>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</si>
  <si>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</si>
  <si>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</si>
  <si>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</si>
  <si>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</si>
  <si>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</si>
  <si>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</si>
  <si>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44743B2ConvencionalRuralNão se aplicaNão se aplicaNão se aplicaNão se aplica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</si>
  <si>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</si>
  <si>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</si>
  <si>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</si>
  <si>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</si>
  <si>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</si>
  <si>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</si>
  <si>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</si>
  <si>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</si>
  <si>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</si>
  <si>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</si>
  <si>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</si>
  <si>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44743B3BrancaNão se aplicaNão se aplicaNão se aplicaNão se aplicaFora ponta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</si>
  <si>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</si>
  <si>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</si>
  <si>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</si>
  <si>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</si>
  <si>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</si>
  <si>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</si>
  <si>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</si>
  <si>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</si>
  <si>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</si>
  <si>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</si>
  <si>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</si>
  <si>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44743B3BrancaNão se aplicaNão se aplicaNão se aplicaNão se aplicaIntermediário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</si>
  <si>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</si>
  <si>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</si>
  <si>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</si>
  <si>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</si>
  <si>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</si>
  <si>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</si>
  <si>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</si>
  <si>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</si>
  <si>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</si>
  <si>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</si>
  <si>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</si>
  <si>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44743B3BrancaNão se aplicaNão se aplicaNão se aplicaNão se aplicaPonta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</si>
  <si>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</si>
  <si>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</si>
  <si>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</si>
  <si>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</si>
  <si>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</si>
  <si>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</si>
  <si>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</si>
  <si>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</si>
  <si>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</si>
  <si>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</si>
  <si>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</si>
  <si>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44743B3ConvencionalNão se aplicaNão se aplicaNão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</si>
  <si>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</si>
  <si>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</si>
  <si>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</si>
  <si>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</si>
  <si>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</si>
  <si>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</si>
  <si>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</si>
  <si>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</si>
  <si>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</si>
  <si>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</si>
  <si>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</si>
  <si>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44743B4ConvencionalIluminação públicaIluminação pública – B4aNão se aplicaNão se aplicaNão se aplica</t>
  </si>
  <si>
    <t>CHAVE TE</t>
  </si>
  <si>
    <t>44409A3Energia horáriaNão se aplicaNão se aplicaNão se aplicaNão se aplicaFora ponta</t>
  </si>
  <si>
    <t>44440A3Energia horáriaNão se aplicaNão se aplicaNão se aplicaNão se aplicaFora ponta</t>
  </si>
  <si>
    <t>44470A3Energia horáriaNão se aplicaNão se aplicaNão se aplicaNão se aplicaFora ponta</t>
  </si>
  <si>
    <t>44501A3Energia horáriaNão se aplicaNão se aplicaNão se aplicaNão se aplicaFora ponta</t>
  </si>
  <si>
    <t>44531A3Energia horáriaNão se aplicaNão se aplicaNão se aplicaNão se aplicaFora ponta</t>
  </si>
  <si>
    <t>44562A3Energia horáriaNão se aplicaNão se aplicaNão se aplicaNão se aplicaFora ponta</t>
  </si>
  <si>
    <t>44593A3Energia horáriaNão se aplicaNão se aplicaNão se aplicaNão se aplicaFora ponta</t>
  </si>
  <si>
    <t>44621A3Energia horáriaNão se aplicaNão se aplicaNão se aplicaNão se aplicaFora ponta</t>
  </si>
  <si>
    <t>44652A3Energia horáriaNão se aplicaNão se aplicaNão se aplicaNão se aplicaFora ponta</t>
  </si>
  <si>
    <t>44682A3Energia horáriaNão se aplicaNão se aplicaNão se aplicaNão se aplicaFora ponta</t>
  </si>
  <si>
    <t>44713A3Energia horáriaNão se aplicaNão se aplicaNão se aplicaNão se aplicaFora ponta</t>
  </si>
  <si>
    <t>44743A3Energia horáriaNão se aplicaNão se aplicaNão se aplicaNão se aplicaFora ponta</t>
  </si>
  <si>
    <t>44409A3Energia horáriaNão se aplicaNão se aplicaNão se aplicaNão se aplicaPonta</t>
  </si>
  <si>
    <t>44440A3Energia horáriaNão se aplicaNão se aplicaNão se aplicaNão se aplicaPonta</t>
  </si>
  <si>
    <t>44470A3Energia horáriaNão se aplicaNão se aplicaNão se aplicaNão se aplicaPonta</t>
  </si>
  <si>
    <t>44501A3Energia horáriaNão se aplicaNão se aplicaNão se aplicaNão se aplicaPonta</t>
  </si>
  <si>
    <t>44531A3Energia horáriaNão se aplicaNão se aplicaNão se aplicaNão se aplicaPonta</t>
  </si>
  <si>
    <t>44562A3Energia horáriaNão se aplicaNão se aplicaNão se aplicaNão se aplicaPonta</t>
  </si>
  <si>
    <t>44593A3Energia horáriaNão se aplicaNão se aplicaNão se aplicaNão se aplicaPonta</t>
  </si>
  <si>
    <t>44621A3Energia horáriaNão se aplicaNão se aplicaNão se aplicaNão se aplicaPonta</t>
  </si>
  <si>
    <t>44652A3Energia horáriaNão se aplicaNão se aplicaNão se aplicaNão se aplicaPonta</t>
  </si>
  <si>
    <t>44682A3Energia horáriaNão se aplicaNão se aplicaNão se aplicaNão se aplicaPonta</t>
  </si>
  <si>
    <t>44713A3Energia horáriaNão se aplicaNão se aplicaNão se aplicaNão se aplicaPonta</t>
  </si>
  <si>
    <t>44743A3Energia horáriaNão se aplicaNão se aplicaNão se aplicaNão se aplicaPonta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</si>
  <si>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</si>
  <si>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</si>
  <si>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</si>
  <si>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</si>
  <si>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</si>
  <si>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</si>
  <si>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</si>
  <si>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</si>
  <si>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</si>
  <si>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</si>
  <si>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</si>
  <si>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44743A4Energia horáriaNão se aplicaNão se aplicaNão se aplicaNão se aplicaFora 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</si>
  <si>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</si>
  <si>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</si>
  <si>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</si>
  <si>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</si>
  <si>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</si>
  <si>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</si>
  <si>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</si>
  <si>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</si>
  <si>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</si>
  <si>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</si>
  <si>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</si>
  <si>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44743A4Energia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</si>
  <si>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</si>
  <si>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</si>
  <si>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</si>
  <si>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</si>
  <si>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</si>
  <si>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</si>
  <si>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</si>
  <si>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</si>
  <si>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</si>
  <si>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</si>
  <si>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</si>
  <si>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</si>
  <si>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</si>
  <si>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</si>
  <si>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</si>
  <si>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44743B1Energia horáriaResidencialResidencialNão se aplicaNão se aplicaFora ponta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</si>
  <si>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</si>
  <si>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</si>
  <si>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</si>
  <si>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</si>
  <si>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</si>
  <si>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</si>
  <si>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</si>
  <si>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</si>
  <si>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</si>
  <si>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</si>
  <si>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</si>
  <si>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44743B1Energia horáriaResidencialResidencialNão se aplicaNão se aplicaIntermediário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</si>
  <si>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</si>
  <si>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</si>
  <si>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</si>
  <si>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</si>
  <si>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</si>
  <si>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</si>
  <si>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</si>
  <si>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</si>
  <si>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</si>
  <si>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</si>
  <si>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</si>
  <si>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44743B1Energia horáriaResidencialResidencialNão se aplicaNão se aplicaPonta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</si>
  <si>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</si>
  <si>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</si>
  <si>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</si>
  <si>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</si>
  <si>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</si>
  <si>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</si>
  <si>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</si>
  <si>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</si>
  <si>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</si>
  <si>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</si>
  <si>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</si>
  <si>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44743B1Energia convencionalResidencialResidencialNão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</si>
  <si>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</si>
  <si>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</si>
  <si>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</si>
  <si>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</si>
  <si>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</si>
  <si>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</si>
  <si>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</si>
  <si>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</si>
  <si>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</si>
  <si>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</si>
  <si>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</si>
  <si>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44743B1Energia convencionalResidencialResidencial baixa renda – faixa 01Não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</si>
  <si>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</si>
  <si>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</si>
  <si>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</si>
  <si>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</si>
  <si>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</si>
  <si>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</si>
  <si>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</si>
  <si>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</si>
  <si>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</si>
  <si>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</si>
  <si>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</si>
  <si>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44743B1Energia convencionalResidencialResidencial baixa renda – faixa 02Não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</si>
  <si>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</si>
  <si>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</si>
  <si>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</si>
  <si>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</si>
  <si>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</si>
  <si>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</si>
  <si>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</si>
  <si>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</si>
  <si>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</si>
  <si>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</si>
  <si>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</si>
  <si>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44743B1Energia convencionalResidencialResidencial baixa renda – faixa 03Não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</si>
  <si>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</si>
  <si>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</si>
  <si>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</si>
  <si>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</si>
  <si>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</si>
  <si>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</si>
  <si>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</si>
  <si>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</si>
  <si>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</si>
  <si>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</si>
  <si>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</si>
  <si>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44743B1Energia convencionalResidencialResidencial baixa renda – faixa 04Não se aplicaNão se aplicaNão se aplica</t>
  </si>
  <si>
    <t>44440B2Energia horáriaRuralNão se aplicaNão se aplicaNão se aplicaFora ponta</t>
  </si>
  <si>
    <t>44501B2Energia horáriaRuralNão se aplicaNão se aplicaNão se aplicaFora ponta</t>
  </si>
  <si>
    <t>44440B2Energia horáriaRuralNão se aplicaNão se aplicaNão se aplicaIntermediário</t>
  </si>
  <si>
    <t>44501B2Energia horáriaRuralNão se aplicaNão se aplicaNão se aplicaIntermediário</t>
  </si>
  <si>
    <t>44440B2Energia horáriaRuralNão se aplicaNão se aplicaNão se aplicaPonta</t>
  </si>
  <si>
    <t>44501B2Energia horáriaRuralNão se aplicaNão se aplicaNão se aplicaPonta</t>
  </si>
  <si>
    <t>44409B2Energia horáriaRuralNão se aplicaNão se aplicaNão se aplicaFora ponta</t>
  </si>
  <si>
    <t>44470B2Energia horáriaRuralNão se aplicaNão se aplicaNão se aplicaFora ponta</t>
  </si>
  <si>
    <t>44531B2Energia horáriaRuralNão se aplicaNão se aplicaNão se aplicaFora ponta</t>
  </si>
  <si>
    <t>44562B2Energia horáriaRuralNão se aplicaNão se aplicaNão se aplicaFora ponta</t>
  </si>
  <si>
    <t>44593B2Energia horáriaRuralNão se aplicaNão se aplicaNão se aplicaFora ponta</t>
  </si>
  <si>
    <t>44621B2Energia horáriaRuralNão se aplicaNão se aplicaNão se aplicaFora ponta</t>
  </si>
  <si>
    <t>44652B2Energia horáriaRuralNão se aplicaNão se aplicaNão se aplicaFora ponta</t>
  </si>
  <si>
    <t>44682B2Energia horáriaRuralNão se aplicaNão se aplicaNão se aplicaFora ponta</t>
  </si>
  <si>
    <t>44713B2Energia horáriaRuralNão se aplicaNão se aplicaNão se aplicaFora ponta</t>
  </si>
  <si>
    <t>44743B2Energia horáriaRuralNão se aplicaNão se aplicaNão se aplicaFora ponta</t>
  </si>
  <si>
    <t>44409B2Energia horáriaRuralNão se aplicaNão se aplicaNão se aplicaIntermediário</t>
  </si>
  <si>
    <t>44470B2Energia horáriaRuralNão se aplicaNão se aplicaNão se aplicaIntermediário</t>
  </si>
  <si>
    <t>44531B2Energia horáriaRuralNão se aplicaNão se aplicaNão se aplicaIntermediário</t>
  </si>
  <si>
    <t>44562B2Energia horáriaRuralNão se aplicaNão se aplicaNão se aplicaIntermediário</t>
  </si>
  <si>
    <t>44593B2Energia horáriaRuralNão se aplicaNão se aplicaNão se aplicaIntermediário</t>
  </si>
  <si>
    <t>44621B2Energia horáriaRuralNão se aplicaNão se aplicaNão se aplicaIntermediário</t>
  </si>
  <si>
    <t>44652B2Energia horáriaRuralNão se aplicaNão se aplicaNão se aplicaIntermediário</t>
  </si>
  <si>
    <t>44682B2Energia horáriaRuralNão se aplicaNão se aplicaNão se aplicaIntermediário</t>
  </si>
  <si>
    <t>44713B2Energia horáriaRuralNão se aplicaNão se aplicaNão se aplicaIntermediário</t>
  </si>
  <si>
    <t>44743B2Energia horáriaRuralNão se aplicaNão se aplicaNão se aplicaIntermediário</t>
  </si>
  <si>
    <t>44409B2Energia horáriaRuralNão se aplicaNão se aplicaNão se aplicaPonta</t>
  </si>
  <si>
    <t>44470B2Energia horáriaRuralNão se aplicaNão se aplicaNão se aplicaPonta</t>
  </si>
  <si>
    <t>44531B2Energia horáriaRuralNão se aplicaNão se aplicaNão se aplicaPonta</t>
  </si>
  <si>
    <t>44562B2Energia horáriaRuralNão se aplicaNão se aplicaNão se aplicaPonta</t>
  </si>
  <si>
    <t>44593B2Energia horáriaRuralNão se aplicaNão se aplicaNão se aplicaPonta</t>
  </si>
  <si>
    <t>44621B2Energia horáriaRuralNão se aplicaNão se aplicaNão se aplicaPonta</t>
  </si>
  <si>
    <t>44652B2Energia horáriaRuralNão se aplicaNão se aplicaNão se aplicaPonta</t>
  </si>
  <si>
    <t>44682B2Energia horáriaRuralNão se aplicaNão se aplicaNão se aplicaPonta</t>
  </si>
  <si>
    <t>44713B2Energia horáriaRuralNão se aplicaNão se aplicaNão se aplicaPonta</t>
  </si>
  <si>
    <t>44743B2Energia horáriaRuralNão se aplicaNão se aplicaNão se aplicaPonta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</si>
  <si>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</si>
  <si>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</si>
  <si>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</si>
  <si>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</si>
  <si>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</si>
  <si>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</si>
  <si>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</si>
  <si>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</si>
  <si>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</si>
  <si>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</si>
  <si>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</si>
  <si>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44743B2Energia convencionalRuralNão se aplicaNão se aplicaNão se aplicaNão se aplica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</si>
  <si>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</si>
  <si>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</si>
  <si>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</si>
  <si>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</si>
  <si>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</si>
  <si>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</si>
  <si>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</si>
  <si>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</si>
  <si>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</si>
  <si>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</si>
  <si>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</si>
  <si>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44743B3Energia horáriaNão se aplicaNão se aplicaNão se aplicaNão se aplicaFora ponta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</si>
  <si>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</si>
  <si>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</si>
  <si>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</si>
  <si>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</si>
  <si>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</si>
  <si>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</si>
  <si>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</si>
  <si>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</si>
  <si>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</si>
  <si>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</si>
  <si>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</si>
  <si>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44743B3Energia horáriaNão se aplicaNão se aplicaNão se aplicaNão se aplicaIntermediário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</si>
  <si>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</si>
  <si>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</si>
  <si>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</si>
  <si>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</si>
  <si>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</si>
  <si>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</si>
  <si>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</si>
  <si>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</si>
  <si>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</si>
  <si>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</si>
  <si>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</si>
  <si>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44743B3Energia horáriaNão se aplicaNão se aplicaNão se aplicaNão se aplicaPonta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</si>
  <si>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</si>
  <si>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</si>
  <si>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</si>
  <si>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</si>
  <si>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</si>
  <si>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</si>
  <si>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</si>
  <si>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</si>
  <si>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</si>
  <si>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</si>
  <si>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</si>
  <si>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44743B3Energia convencionalNão se aplicaNão se aplicaNão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</si>
  <si>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</si>
  <si>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</si>
  <si>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</si>
  <si>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</si>
  <si>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</si>
  <si>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</si>
  <si>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</si>
  <si>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</si>
  <si>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</si>
  <si>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</si>
  <si>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</si>
  <si>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44743B4Energia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</si>
  <si>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</si>
  <si>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</si>
  <si>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</si>
  <si>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</si>
  <si>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</si>
  <si>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</si>
  <si>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</si>
  <si>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</si>
  <si>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</si>
  <si>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</si>
  <si>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</si>
  <si>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</si>
  <si>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</si>
  <si>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</si>
  <si>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</si>
  <si>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</si>
  <si>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</si>
  <si>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</si>
  <si>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</si>
  <si>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</si>
  <si>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</si>
  <si>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</si>
  <si>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</si>
  <si>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</si>
  <si>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</si>
  <si>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</si>
  <si>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</si>
  <si>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</si>
  <si>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</si>
  <si>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</si>
  <si>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</si>
  <si>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</si>
  <si>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</si>
  <si>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</si>
  <si>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</si>
  <si>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</si>
  <si>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</si>
  <si>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</si>
  <si>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</si>
  <si>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</si>
  <si>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</si>
  <si>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</si>
  <si>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</si>
  <si>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</si>
  <si>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</si>
  <si>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</si>
  <si>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</si>
  <si>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</si>
  <si>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</si>
  <si>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</si>
  <si>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</si>
  <si>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</si>
  <si>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</si>
  <si>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</si>
  <si>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</si>
  <si>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</si>
  <si>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</si>
  <si>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</si>
  <si>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</si>
  <si>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</si>
  <si>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</si>
  <si>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</si>
  <si>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</si>
  <si>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</si>
  <si>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</si>
  <si>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</si>
  <si>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</si>
  <si>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</si>
  <si>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</si>
  <si>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</si>
  <si>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</si>
  <si>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</si>
  <si>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</si>
  <si>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</si>
  <si>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</si>
  <si>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</si>
  <si>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</si>
  <si>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</si>
  <si>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</si>
  <si>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</si>
  <si>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</si>
  <si>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</si>
  <si>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</si>
  <si>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</si>
  <si>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</si>
  <si>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</si>
  <si>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</si>
  <si>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</si>
  <si>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</si>
  <si>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</si>
  <si>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</si>
  <si>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</si>
  <si>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</si>
  <si>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</si>
  <si>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</si>
  <si>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</si>
  <si>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</si>
  <si>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</si>
  <si>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</si>
  <si>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</si>
  <si>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</si>
  <si>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</si>
  <si>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</si>
  <si>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</si>
  <si>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</si>
  <si>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</si>
  <si>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</si>
  <si>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</si>
  <si>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</si>
  <si>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</si>
  <si>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</si>
  <si>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</si>
  <si>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</si>
  <si>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</si>
  <si>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</si>
  <si>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</si>
  <si>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</si>
  <si>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</si>
  <si>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</si>
  <si>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</si>
  <si>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</si>
  <si>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</si>
  <si>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</si>
  <si>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</si>
  <si>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</si>
  <si>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</si>
  <si>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</si>
  <si>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</si>
  <si>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</si>
  <si>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</si>
  <si>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Planilha Custo</t>
  </si>
  <si>
    <t>Planilha CUSTO</t>
  </si>
  <si>
    <t xml:space="preserve">Branca </t>
  </si>
  <si>
    <t xml:space="preserve">Convencional 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</si>
  <si>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</si>
  <si>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</si>
  <si>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</si>
  <si>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</si>
  <si>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</si>
  <si>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</si>
  <si>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</si>
  <si>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</si>
  <si>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</si>
  <si>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</si>
  <si>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</si>
  <si>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</si>
  <si>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</si>
  <si>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</si>
  <si>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</si>
  <si>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</si>
  <si>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</si>
  <si>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</si>
  <si>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</si>
  <si>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</si>
  <si>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</si>
  <si>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</si>
  <si>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</si>
  <si>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</si>
  <si>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</si>
  <si>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</si>
  <si>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</si>
  <si>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</si>
  <si>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</si>
  <si>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</si>
  <si>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</si>
  <si>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RURAL</t>
  </si>
  <si>
    <t>SUBSIDIO ÁGUA, ESGOTO E SANEAMENTO</t>
  </si>
  <si>
    <t>SUBSIDIO GERAÇÃO FONTE INCENTIVADA</t>
  </si>
  <si>
    <t>SUBSIDIO IRRIGANTE/AQUICULTOR</t>
  </si>
  <si>
    <t>SUBSIDIO BAIXA RENDA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</si>
  <si>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</si>
  <si>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</si>
  <si>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</si>
  <si>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</si>
  <si>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</si>
  <si>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</si>
  <si>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</si>
  <si>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</si>
  <si>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</si>
  <si>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</si>
  <si>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</si>
  <si>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Azul1Serviço públicoÁgua, esgoto e saneamentoPlanilha CUSTOA3</t>
  </si>
  <si>
    <t>2021</t>
  </si>
  <si>
    <t>Verde1Serviço públicoÁgua, esgoto e saneamentoPlanilha CUSTOA3</t>
  </si>
  <si>
    <t>Convencional1Serviço públicoÁgua, esgoto e saneamentoPlanilha CUSTOA3</t>
  </si>
  <si>
    <t>Convencional1RuralCooperativa de eletrificação ruralPlanilha CUSTOB2</t>
  </si>
  <si>
    <t>Branca1RuralCooperativa de eletrificação ruralPlanilha CUSTOB2</t>
  </si>
  <si>
    <t>Convencional1RuralNão se aplicaRuralB2</t>
  </si>
  <si>
    <t>Azul1RuralNão se aplicaPlanilha CustoA4</t>
  </si>
  <si>
    <t>Verde1RuralNão se aplicaPlanilha CustoA4</t>
  </si>
  <si>
    <t>Convencional 1RuralNão se aplicaPlanilha CustoA4</t>
  </si>
  <si>
    <t>Branca 1RuralNão se aplicaRuralB2</t>
  </si>
  <si>
    <t>Azul1RuralNão se aplicaPlanilha CustoA3</t>
  </si>
  <si>
    <t>Verde1RuralNão se aplicaPlanilha CustoA3</t>
  </si>
  <si>
    <t>Convencional 1RuralNão se aplicaPlanilha CustoA3</t>
  </si>
  <si>
    <t>Convencional1RuralServiço público de irrigação ruralPlanilha CUSTOB2</t>
  </si>
  <si>
    <t>Branca1RuralServiço público de irrigação ruralPlanilha CUSTOB2</t>
  </si>
  <si>
    <t>Azul1Serviço públicoÁgua, esgoto e saneamentoPlanilha CUSTOA4</t>
  </si>
  <si>
    <t>Verde1Serviço públicoÁgua, esgoto e saneamentoPlanilha CUSTOA4</t>
  </si>
  <si>
    <t>Convencional1Serviço públicoÁgua, esgoto e saneamentoPlanilha CUSTOA4</t>
  </si>
  <si>
    <t>Convencional1Serviço públicoÁgua, esgoto e saneamentoPlanilha CUSTOB3</t>
  </si>
  <si>
    <t>Branca 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</si>
  <si>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</si>
  <si>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</si>
  <si>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</si>
  <si>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</si>
  <si>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</si>
  <si>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</si>
  <si>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</si>
  <si>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</si>
  <si>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</si>
  <si>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</si>
  <si>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</si>
  <si>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</si>
  <si>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</si>
  <si>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</si>
  <si>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</si>
  <si>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</si>
  <si>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</si>
  <si>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</si>
  <si>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</si>
  <si>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</si>
  <si>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</si>
  <si>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</si>
  <si>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</si>
  <si>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</si>
  <si>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</si>
  <si>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2.929, DE 24 DE AGOSTO DE 2021</t>
  </si>
  <si>
    <t>TOTAL ABAS</t>
  </si>
  <si>
    <t>AVALIAÇÃO</t>
  </si>
  <si>
    <t>Coeficientes de transição</t>
  </si>
  <si>
    <t>A2</t>
  </si>
  <si>
    <t>A3a</t>
  </si>
  <si>
    <t>AS</t>
  </si>
  <si>
    <t>Carga</t>
  </si>
  <si>
    <t>Ajustado para o passo 4 da transição. Não altere.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</si>
  <si>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</si>
  <si>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</si>
  <si>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</si>
  <si>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</si>
  <si>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</si>
  <si>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</si>
  <si>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</si>
  <si>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</si>
  <si>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</si>
  <si>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</si>
  <si>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</si>
  <si>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</si>
  <si>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</si>
  <si>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</si>
  <si>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</si>
  <si>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</si>
  <si>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</si>
  <si>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</si>
  <si>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</si>
  <si>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</si>
  <si>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</si>
  <si>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</si>
  <si>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</si>
  <si>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</si>
  <si>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</si>
  <si>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</si>
  <si>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</si>
  <si>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</si>
  <si>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</si>
  <si>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</si>
  <si>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</si>
  <si>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</si>
  <si>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</si>
  <si>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</si>
  <si>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</si>
  <si>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</si>
  <si>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</si>
  <si>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</si>
  <si>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</si>
  <si>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</si>
  <si>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</si>
  <si>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</si>
  <si>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</si>
  <si>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</si>
  <si>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</si>
  <si>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</si>
  <si>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</si>
  <si>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</si>
  <si>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</si>
  <si>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</si>
  <si>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</si>
  <si>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</si>
  <si>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</si>
  <si>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</si>
  <si>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</si>
  <si>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</si>
  <si>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</si>
  <si>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</si>
  <si>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</si>
  <si>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</si>
  <si>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</si>
  <si>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</si>
  <si>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</si>
  <si>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</si>
  <si>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</si>
  <si>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</si>
  <si>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</si>
  <si>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A3Azul</t>
  </si>
  <si>
    <t>A3AzulNão se aplica</t>
  </si>
  <si>
    <t>A3AzulNão se aplicaNão se aplica</t>
  </si>
  <si>
    <t>A3AzulNão se aplicaNão se aplicaNão se aplica</t>
  </si>
  <si>
    <t>A3AzulNão se aplicaNão se aplicaNão se aplicaNão se aplica</t>
  </si>
  <si>
    <t>A3AzulNão se aplicaNão se aplicaNão se aplicaNão se aplicaDP</t>
  </si>
  <si>
    <t>A3AzulNão se aplicaNão se aplicaNão se aplicaNão se aplicaDFP</t>
  </si>
  <si>
    <t>A3AzulNão se aplicaNão se aplicaNão se aplicaNão se aplicaE</t>
  </si>
  <si>
    <t>A3AzulNão se aplicaNão se aplicaAPE</t>
  </si>
  <si>
    <t>A3AzulNão se aplicaNão se aplicaAPENão se aplica</t>
  </si>
  <si>
    <t>A3AzulNão se aplicaNão se aplicaAPENão se aplicaE</t>
  </si>
  <si>
    <t>A3Distribuição</t>
  </si>
  <si>
    <t>A3DistribuiçãoNão se aplica</t>
  </si>
  <si>
    <t>A3DistribuiçãoNão se aplicaNão se aplica</t>
  </si>
  <si>
    <t>A3DistribuiçãoNão se aplicaNão se aplicaNão se aplica</t>
  </si>
  <si>
    <t>A3DistribuiçãoNão se aplicaNão se aplicaNão se aplicaEBO</t>
  </si>
  <si>
    <t>A3DistribuiçãoNão se aplicaNão se aplicaNão se aplicaEBODP</t>
  </si>
  <si>
    <t>A3DistribuiçãoNão se aplicaNão se aplicaNão se aplicaEBODFP</t>
  </si>
  <si>
    <t>A3DistribuiçãoNão se aplicaNão se aplicaNão se aplicaEBOE</t>
  </si>
  <si>
    <t>A3Geração</t>
  </si>
  <si>
    <t>A3GeraçãoNão se aplica</t>
  </si>
  <si>
    <t>A3GeraçãoNão se aplicaNão se aplica</t>
  </si>
  <si>
    <t>A3GeraçãoNão se aplicaNão se aplicaNão se aplica</t>
  </si>
  <si>
    <t>A3GeraçãoNão se aplicaNão se aplicaNão se aplicaNão se aplica</t>
  </si>
  <si>
    <t>A3GeraçãoNão se aplicaNão se aplicaNão se aplicaNão se aplicaD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</si>
  <si>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</si>
  <si>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</si>
  <si>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</si>
  <si>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</si>
  <si>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</si>
  <si>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</si>
  <si>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</si>
  <si>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</si>
  <si>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</si>
  <si>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</si>
  <si>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</si>
  <si>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A4Distribuição</t>
  </si>
  <si>
    <t>A4DistribuiçãoNão se aplica</t>
  </si>
  <si>
    <t>A4DistribuiçãoNão se aplicaNão se aplica</t>
  </si>
  <si>
    <t>A4DistribuiçãoNão se aplicaNão se aplicaNão se aplica</t>
  </si>
  <si>
    <t>A4DistribuiçãoNão se aplicaNão se aplicaNão se aplicaCelpe</t>
  </si>
  <si>
    <t>A4DistribuiçãoNão se aplicaNão se aplicaNão se aplicaCelpeDP</t>
  </si>
  <si>
    <t>A4DistribuiçãoNão se aplicaNão se aplicaNão se aplicaCelpeDFP</t>
  </si>
  <si>
    <t>A4DistribuiçãoNão se aplicaNão se aplicaNão se aplicaCelpeE</t>
  </si>
  <si>
    <t>A4DistribuiçãoNão se aplicaNão se aplicaNão se aplicaEBO</t>
  </si>
  <si>
    <t>A4DistribuiçãoNão se aplicaNão se aplicaNão se aplicaEBODP</t>
  </si>
  <si>
    <t>A4DistribuiçãoNão se aplicaNão se aplicaNão se aplicaEBODFP</t>
  </si>
  <si>
    <t>A4DistribuiçãoNão se aplicaNão se aplicaNão se aplicaEBOE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</si>
  <si>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</si>
  <si>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</si>
  <si>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</si>
  <si>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</si>
  <si>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</si>
  <si>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</si>
  <si>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</si>
  <si>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</si>
  <si>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</si>
  <si>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</si>
  <si>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</si>
  <si>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</si>
  <si>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</si>
  <si>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</si>
  <si>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</si>
  <si>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</si>
  <si>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</si>
  <si>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</si>
  <si>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</si>
  <si>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</si>
  <si>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</si>
  <si>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</si>
  <si>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</si>
  <si>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</si>
  <si>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</si>
  <si>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</si>
  <si>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</si>
  <si>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</si>
  <si>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</si>
  <si>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</si>
  <si>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</si>
  <si>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</si>
  <si>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</si>
  <si>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</si>
  <si>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</si>
  <si>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</si>
  <si>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</si>
  <si>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</si>
  <si>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</si>
  <si>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</si>
  <si>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</si>
  <si>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</si>
  <si>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</si>
  <si>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</si>
  <si>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</si>
  <si>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</si>
  <si>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</si>
  <si>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</si>
  <si>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</si>
  <si>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</si>
  <si>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</si>
  <si>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</si>
  <si>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</si>
  <si>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</si>
  <si>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</si>
  <si>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</si>
  <si>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</si>
  <si>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</si>
  <si>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</si>
  <si>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</si>
  <si>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</si>
  <si>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</si>
  <si>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</si>
  <si>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</si>
  <si>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</si>
  <si>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</si>
  <si>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</si>
  <si>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</si>
  <si>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</si>
  <si>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</si>
  <si>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</si>
  <si>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</si>
  <si>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</si>
  <si>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</si>
  <si>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</si>
  <si>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</si>
  <si>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</si>
  <si>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</si>
  <si>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</si>
  <si>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</si>
  <si>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</si>
  <si>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</si>
  <si>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</si>
  <si>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</si>
  <si>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</si>
  <si>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</si>
  <si>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</si>
  <si>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</si>
  <si>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</si>
  <si>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</si>
  <si>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</si>
  <si>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</si>
  <si>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</si>
  <si>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</si>
  <si>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</si>
  <si>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</si>
  <si>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</si>
  <si>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</si>
  <si>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</si>
  <si>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</si>
  <si>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</si>
  <si>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</si>
  <si>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</si>
  <si>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</si>
  <si>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</si>
  <si>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</si>
  <si>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</si>
  <si>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</si>
  <si>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</si>
  <si>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</si>
  <si>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</si>
  <si>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</si>
  <si>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</si>
  <si>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</si>
  <si>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</si>
  <si>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</si>
  <si>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</si>
  <si>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</si>
  <si>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</si>
  <si>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</si>
  <si>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</si>
  <si>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</si>
  <si>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</si>
  <si>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</si>
  <si>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</si>
  <si>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</si>
  <si>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</si>
  <si>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</si>
  <si>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</si>
  <si>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</si>
  <si>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</si>
  <si>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</si>
  <si>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</si>
  <si>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</si>
  <si>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</si>
  <si>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</si>
  <si>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</si>
  <si>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</si>
  <si>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</si>
  <si>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</si>
  <si>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</si>
  <si>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</si>
  <si>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</si>
  <si>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</si>
  <si>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</si>
  <si>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</si>
  <si>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</si>
  <si>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</si>
  <si>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</si>
  <si>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</si>
  <si>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</si>
  <si>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</si>
  <si>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</si>
  <si>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</si>
  <si>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</si>
  <si>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</si>
  <si>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</si>
  <si>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</si>
  <si>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</si>
  <si>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A3Energia horária</t>
  </si>
  <si>
    <t>A3Energia horáriaNão se aplica</t>
  </si>
  <si>
    <t>A3Energia horáriaNão se aplicaNão se aplica</t>
  </si>
  <si>
    <t>A3Energia horáriaNão se aplicaNão se aplicaNão se aplica</t>
  </si>
  <si>
    <t>A3Energia horáriaNão se aplicaNão se aplicaNão se aplicaNão se aplica</t>
  </si>
  <si>
    <t>A3Energia horáriaNão se aplicaNão se aplicaNão se aplicaNão se aplicaEP</t>
  </si>
  <si>
    <t>A3Energia horáriaNão se aplicaNão se aplicaNão se aplicaNão se aplicaEFP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</si>
  <si>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</si>
  <si>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</si>
  <si>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</si>
  <si>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</si>
  <si>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</si>
  <si>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</si>
  <si>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</si>
  <si>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</si>
  <si>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</si>
  <si>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</si>
  <si>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</si>
  <si>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</si>
  <si>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</si>
  <si>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</si>
  <si>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</si>
  <si>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</si>
  <si>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</si>
  <si>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</si>
  <si>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</si>
  <si>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</si>
  <si>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</si>
  <si>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</si>
  <si>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</si>
  <si>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</si>
  <si>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</si>
  <si>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</si>
  <si>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</si>
  <si>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</si>
  <si>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</si>
  <si>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</si>
  <si>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</si>
  <si>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</si>
  <si>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</si>
  <si>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</si>
  <si>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</si>
  <si>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</si>
  <si>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</si>
  <si>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</si>
  <si>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</si>
  <si>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</si>
  <si>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</si>
  <si>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</si>
  <si>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</si>
  <si>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</si>
  <si>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</si>
  <si>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</si>
  <si>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</si>
  <si>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</si>
  <si>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</si>
  <si>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</si>
  <si>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</si>
  <si>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</si>
  <si>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</si>
  <si>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</si>
  <si>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</si>
  <si>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</si>
  <si>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</si>
  <si>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</si>
  <si>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</si>
  <si>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</si>
  <si>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</si>
  <si>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</si>
  <si>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</si>
  <si>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</si>
  <si>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</si>
  <si>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</si>
  <si>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</si>
  <si>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</si>
  <si>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</si>
  <si>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</si>
  <si>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</si>
  <si>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</si>
  <si>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</si>
  <si>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</si>
  <si>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</si>
  <si>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</si>
  <si>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</si>
  <si>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</si>
  <si>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</si>
  <si>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</si>
  <si>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</si>
  <si>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</si>
  <si>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</si>
  <si>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</si>
  <si>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</si>
  <si>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</si>
  <si>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</si>
  <si>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</si>
  <si>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</si>
  <si>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</si>
  <si>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</si>
  <si>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</si>
  <si>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</si>
  <si>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</si>
  <si>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</si>
  <si>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</si>
  <si>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</si>
  <si>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</si>
  <si>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</si>
  <si>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</si>
  <si>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</si>
  <si>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</si>
  <si>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</si>
  <si>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</si>
  <si>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</si>
  <si>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</si>
  <si>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</si>
  <si>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</si>
  <si>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</si>
  <si>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</si>
  <si>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</si>
  <si>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</si>
  <si>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</si>
  <si>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</si>
  <si>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</si>
  <si>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</si>
  <si>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</si>
  <si>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</si>
  <si>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</si>
  <si>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</si>
  <si>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</si>
  <si>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</si>
  <si>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</si>
  <si>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</si>
  <si>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</si>
  <si>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</si>
  <si>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</si>
  <si>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</si>
  <si>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</si>
  <si>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</si>
  <si>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</si>
  <si>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</si>
  <si>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</si>
  <si>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</si>
  <si>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</si>
  <si>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</si>
  <si>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</si>
  <si>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</si>
  <si>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</si>
  <si>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</si>
  <si>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</si>
  <si>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</si>
  <si>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</si>
  <si>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</si>
  <si>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</si>
  <si>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</si>
  <si>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</si>
  <si>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</si>
  <si>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</si>
  <si>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</si>
  <si>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</si>
  <si>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</si>
  <si>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</si>
  <si>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</si>
  <si>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(SUB)GRUPO</t>
  </si>
  <si>
    <t>TUSD (R$)</t>
  </si>
  <si>
    <t>TUSD (MWh)</t>
  </si>
  <si>
    <t>PNT (R$/MWh)</t>
  </si>
  <si>
    <t>VAR. AX01</t>
  </si>
  <si>
    <t>VAR. AX02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</si>
  <si>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</si>
  <si>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</si>
  <si>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</si>
  <si>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</si>
  <si>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</si>
  <si>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</si>
  <si>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</si>
  <si>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</si>
  <si>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</si>
  <si>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</si>
  <si>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</si>
  <si>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</si>
  <si>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</si>
  <si>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</si>
  <si>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</si>
  <si>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</si>
  <si>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</si>
  <si>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</si>
  <si>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</si>
  <si>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</si>
  <si>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</si>
  <si>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</si>
  <si>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</si>
  <si>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</si>
  <si>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</si>
  <si>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</si>
  <si>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</si>
  <si>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</si>
  <si>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</si>
  <si>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</si>
  <si>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</si>
  <si>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</si>
  <si>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</si>
  <si>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</si>
  <si>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BENEFICIO_L14299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</si>
  <si>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</si>
  <si>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</si>
  <si>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</si>
  <si>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</si>
  <si>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</si>
  <si>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</si>
  <si>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</si>
  <si>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</si>
  <si>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</si>
  <si>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</si>
  <si>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</si>
  <si>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</si>
  <si>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</si>
  <si>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</si>
  <si>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</si>
  <si>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 BENEFICIO_L14299</t>
  </si>
  <si>
    <t>TE_Per_RB</t>
  </si>
  <si>
    <t>Baixa Renda</t>
  </si>
  <si>
    <t>Perdas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</si>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</sst>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 ;[Red]\-#,##0.00\ "/>
    <numFmt numFmtId="169" formatCode="#,##0.00;[Red]#,##0.00"/>
  </numFmts>
  <fonts count="1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130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40" fontId="3" fillId="0" borderId="8" xfId="0" applyNumberFormat="1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8" xfId="0" applyFont="1" applyBorder="1" applyAlignment="1">
      <alignment vertical="center"/>
    </xf>
    <xf numFmtId="40" fontId="3" fillId="0" borderId="9" xfId="0" applyNumberFormat="1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165" fontId="3" fillId="0" borderId="0" xfId="0" applyNumberFormat="1" applyFont="1"/>
    <xf numFmtId="0" fontId="3" fillId="0" borderId="9" xfId="0" applyFont="1" applyBorder="1" applyAlignment="1">
      <alignment vertical="center"/>
    </xf>
    <xf numFmtId="164" fontId="3" fillId="0" borderId="0" xfId="1" applyFont="1"/>
    <xf numFmtId="164" fontId="3" fillId="0" borderId="0" xfId="0" applyNumberFormat="1" applyFont="1"/>
    <xf numFmtId="40" fontId="3" fillId="0" borderId="11" xfId="0" applyNumberFormat="1" applyFont="1" applyBorder="1" applyAlignment="1">
      <alignment horizontal="left" vertical="center"/>
    </xf>
    <xf numFmtId="40" fontId="3" fillId="0" borderId="11" xfId="0" applyNumberFormat="1" applyFont="1" applyBorder="1" applyAlignment="1">
      <alignment vertical="center"/>
    </xf>
    <xf numFmtId="40" fontId="4" fillId="0" borderId="11" xfId="0" applyNumberFormat="1" applyFont="1" applyBorder="1" applyAlignment="1">
      <alignment horizontal="center" vertical="center"/>
    </xf>
    <xf numFmtId="40" fontId="3" fillId="0" borderId="12" xfId="0" applyNumberFormat="1" applyFont="1" applyBorder="1" applyAlignment="1">
      <alignment vertical="center"/>
    </xf>
    <xf numFmtId="40" fontId="4" fillId="0" borderId="12" xfId="0" applyNumberFormat="1" applyFont="1" applyBorder="1" applyAlignment="1">
      <alignment horizontal="center" vertical="center"/>
    </xf>
    <xf numFmtId="40" fontId="3" fillId="0" borderId="16" xfId="0" applyNumberFormat="1" applyFont="1" applyBorder="1" applyAlignment="1">
      <alignment horizontal="left" vertical="center"/>
    </xf>
    <xf numFmtId="40" fontId="3" fillId="0" borderId="16" xfId="0" applyNumberFormat="1" applyFont="1" applyBorder="1" applyAlignment="1">
      <alignment vertical="center"/>
    </xf>
    <xf numFmtId="0" fontId="4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vertical="center"/>
    </xf>
    <xf numFmtId="40" fontId="3" fillId="0" borderId="16" xfId="0" applyNumberFormat="1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40" fontId="4" fillId="0" borderId="16" xfId="0" applyNumberFormat="1" applyFont="1" applyBorder="1" applyAlignment="1">
      <alignment horizontal="center" vertical="center"/>
    </xf>
    <xf numFmtId="40" fontId="3" fillId="0" borderId="16" xfId="0" applyNumberFormat="1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0" fillId="0" borderId="13" xfId="0" applyBorder="1"/>
    <xf numFmtId="0" fontId="0" fillId="0" borderId="16" xfId="0" applyBorder="1"/>
    <xf numFmtId="0" fontId="2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40" fontId="1" fillId="0" borderId="16" xfId="0" applyNumberFormat="1" applyFont="1" applyBorder="1" applyAlignment="1">
      <alignment horizontal="center" vertical="center"/>
    </xf>
    <xf numFmtId="166" fontId="1" fillId="0" borderId="16" xfId="0" applyNumberFormat="1" applyFont="1" applyBorder="1" applyAlignment="1">
      <alignment horizontal="center" vertical="center"/>
    </xf>
    <xf numFmtId="0" fontId="3" fillId="0" borderId="16" xfId="0" applyFont="1" applyBorder="1"/>
    <xf numFmtId="0" fontId="4" fillId="0" borderId="16" xfId="0" applyFont="1" applyBorder="1"/>
    <xf numFmtId="40" fontId="1" fillId="2" borderId="0" xfId="0" applyNumberFormat="1" applyFont="1" applyFill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14" fontId="2" fillId="0" borderId="16" xfId="0" applyNumberFormat="1" applyFont="1" applyBorder="1" applyAlignment="1">
      <alignment horizontal="center" vertical="center"/>
    </xf>
    <xf numFmtId="14" fontId="1" fillId="0" borderId="16" xfId="0" applyNumberFormat="1" applyFont="1" applyBorder="1" applyAlignment="1">
      <alignment horizontal="center" vertical="center"/>
    </xf>
    <xf numFmtId="40" fontId="3" fillId="0" borderId="16" xfId="0" applyNumberFormat="1" applyFont="1" applyBorder="1"/>
    <xf numFmtId="40" fontId="2" fillId="0" borderId="16" xfId="0" applyNumberFormat="1" applyFont="1" applyBorder="1" applyAlignment="1">
      <alignment horizontal="center" vertical="center"/>
    </xf>
    <xf numFmtId="0" fontId="3" fillId="0" borderId="16" xfId="0" applyFont="1" applyBorder="1" applyAlignment="1">
      <alignment vertical="center"/>
    </xf>
    <xf numFmtId="168" fontId="1" fillId="0" borderId="0" xfId="0" applyNumberFormat="1" applyFont="1" applyAlignment="1">
      <alignment horizontal="center" vertical="center"/>
    </xf>
    <xf numFmtId="165" fontId="3" fillId="0" borderId="16" xfId="0" applyNumberFormat="1" applyFont="1" applyBorder="1" applyAlignment="1">
      <alignment vertical="center"/>
    </xf>
    <xf numFmtId="40" fontId="3" fillId="0" borderId="16" xfId="0" applyNumberFormat="1" applyFont="1" applyBorder="1" applyAlignment="1">
      <alignment horizontal="left" vertical="center" indent="1"/>
    </xf>
    <xf numFmtId="40" fontId="3" fillId="0" borderId="16" xfId="0" quotePrefix="1" applyNumberFormat="1" applyFont="1" applyBorder="1" applyAlignment="1">
      <alignment horizontal="left" vertical="center" indent="1"/>
    </xf>
    <xf numFmtId="10" fontId="3" fillId="0" borderId="0" xfId="0" applyNumberFormat="1" applyFont="1"/>
    <xf numFmtId="2" fontId="9" fillId="3" borderId="17" xfId="0" applyNumberFormat="1" applyFont="1" applyFill="1" applyBorder="1" applyAlignment="1">
      <alignment horizontal="center" vertical="center"/>
    </xf>
    <xf numFmtId="0" fontId="9" fillId="3" borderId="17" xfId="0" applyFont="1" applyFill="1" applyBorder="1" applyAlignment="1">
      <alignment horizontal="left" vertical="center" indent="1"/>
    </xf>
    <xf numFmtId="4" fontId="9" fillId="4" borderId="0" xfId="0" applyNumberFormat="1" applyFont="1" applyFill="1" applyAlignment="1">
      <alignment vertical="center"/>
    </xf>
    <xf numFmtId="0" fontId="9" fillId="4" borderId="0" xfId="0" applyFont="1" applyFill="1" applyAlignment="1">
      <alignment horizontal="left" vertical="center" indent="1"/>
    </xf>
    <xf numFmtId="10" fontId="9" fillId="3" borderId="0" xfId="0" applyNumberFormat="1" applyFont="1" applyFill="1" applyAlignment="1">
      <alignment vertical="center"/>
    </xf>
    <xf numFmtId="0" fontId="9" fillId="3" borderId="0" xfId="0" applyFont="1" applyFill="1" applyAlignment="1">
      <alignment horizontal="left" vertical="center" indent="1"/>
    </xf>
    <xf numFmtId="10" fontId="9" fillId="4" borderId="0" xfId="0" applyNumberFormat="1" applyFont="1" applyFill="1" applyAlignment="1">
      <alignment vertical="center"/>
    </xf>
    <xf numFmtId="0" fontId="10" fillId="5" borderId="18" xfId="0" applyFont="1" applyFill="1" applyBorder="1" applyAlignment="1">
      <alignment horizontal="center" vertical="center"/>
    </xf>
    <xf numFmtId="40" fontId="9" fillId="3" borderId="17" xfId="0" applyNumberFormat="1" applyFont="1" applyFill="1" applyBorder="1" applyAlignment="1">
      <alignment horizontal="center" vertical="center"/>
    </xf>
    <xf numFmtId="169" fontId="9" fillId="4" borderId="0" xfId="0" applyNumberFormat="1" applyFont="1" applyFill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16" xfId="0" applyFont="1" applyBorder="1" applyAlignment="1">
      <alignment vertical="center"/>
    </xf>
    <xf numFmtId="0" fontId="0" fillId="0" borderId="16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6" xfId="0" applyBorder="1" applyAlignment="1">
      <alignment vertical="center"/>
    </xf>
    <xf numFmtId="40" fontId="3" fillId="0" borderId="11" xfId="0" applyNumberFormat="1" applyFont="1" applyBorder="1" applyAlignment="1">
      <alignment horizontal="left" vertical="center"/>
    </xf>
    <xf numFmtId="0" fontId="4" fillId="0" borderId="1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4" fillId="0" borderId="13" xfId="0" applyNumberFormat="1" applyFont="1" applyBorder="1" applyAlignment="1">
      <alignment horizontal="center" vertical="center"/>
    </xf>
    <xf numFmtId="40" fontId="6" fillId="0" borderId="14" xfId="0" applyNumberFormat="1" applyFont="1" applyBorder="1" applyAlignment="1">
      <alignment horizontal="center" vertical="center"/>
    </xf>
    <xf numFmtId="40" fontId="6" fillId="0" borderId="15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vertical="center"/>
    </xf>
    <xf numFmtId="0" fontId="4" fillId="0" borderId="16" xfId="0" applyFont="1" applyBorder="1" applyAlignment="1">
      <alignment horizontal="center" vertical="center"/>
    </xf>
    <xf numFmtId="40" fontId="3" fillId="0" borderId="16" xfId="0" applyNumberFormat="1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" fontId="12" fillId="6" borderId="20" xfId="0" applyNumberFormat="1" applyFont="1" applyFill="1" applyBorder="1"/>
    <xf numFmtId="4" fontId="12" fillId="6" borderId="15" xfId="0" applyNumberFormat="1" applyFont="1" applyFill="1" applyBorder="1"/>
    <xf numFmtId="4" fontId="12" fillId="6" borderId="21" xfId="0" applyNumberFormat="1" applyFont="1" applyFill="1" applyBorder="1"/>
    <xf numFmtId="4" fontId="12" fillId="6" borderId="3" xfId="0" applyNumberFormat="1" applyFont="1" applyFill="1" applyBorder="1"/>
    <xf numFmtId="4" fontId="12" fillId="6" borderId="16" xfId="0" applyNumberFormat="1" applyFont="1" applyFill="1" applyBorder="1"/>
    <xf numFmtId="4" fontId="12" fillId="6" borderId="2" xfId="0" applyNumberFormat="1" applyFont="1" applyFill="1" applyBorder="1"/>
    <xf numFmtId="4" fontId="12" fillId="6" borderId="22" xfId="0" applyNumberFormat="1" applyFont="1" applyFill="1" applyBorder="1"/>
    <xf numFmtId="4" fontId="12" fillId="6" borderId="13" xfId="0" applyNumberFormat="1" applyFont="1" applyFill="1" applyBorder="1"/>
    <xf numFmtId="4" fontId="12" fillId="6" borderId="19" xfId="0" applyNumberFormat="1" applyFont="1" applyFill="1" applyBorder="1"/>
    <xf numFmtId="4" fontId="12" fillId="6" borderId="16" xfId="0" applyNumberFormat="1" applyFont="1" applyFill="1" applyBorder="1" applyAlignment="1">
      <alignment horizontal="center"/>
    </xf>
    <xf numFmtId="4" fontId="12" fillId="6" borderId="15" xfId="0" applyNumberFormat="1" applyFont="1" applyFill="1" applyBorder="1" applyAlignment="1">
      <alignment horizontal="center"/>
    </xf>
    <xf numFmtId="4" fontId="12" fillId="6" borderId="21" xfId="0" applyNumberFormat="1" applyFont="1" applyFill="1" applyBorder="1" applyAlignment="1">
      <alignment horizontal="center"/>
    </xf>
    <xf numFmtId="4" fontId="12" fillId="6" borderId="21" xfId="0" applyNumberFormat="1" applyFont="1" applyFill="1" applyBorder="1" applyAlignment="1">
      <alignment horizontal="center"/>
    </xf>
    <xf numFmtId="4" fontId="12" fillId="6" borderId="15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637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70" formatCode="#,##0.00_);[Red]\(#,##0.00\)"/>
    </dxf>
    <dxf>
      <numFmt numFmtId="170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5.1020374495064802E-4</c:v>
                </c:pt>
                <c:pt idx="1">
                  <c:v>2.915423484282699E-4</c:v>
                </c:pt>
                <c:pt idx="2">
                  <c:v>-3.2341065030226971E-4</c:v>
                </c:pt>
                <c:pt idx="3">
                  <c:v>2.0315799566626554E-6</c:v>
                </c:pt>
                <c:pt idx="4">
                  <c:v>0</c:v>
                </c:pt>
                <c:pt idx="5">
                  <c:v>5.2312601023160675E-2</c:v>
                </c:pt>
                <c:pt idx="6">
                  <c:v>2.4412466338520934E-2</c:v>
                </c:pt>
                <c:pt idx="7">
                  <c:v>0</c:v>
                </c:pt>
                <c:pt idx="8">
                  <c:v>2.0407510210036419E-2</c:v>
                </c:pt>
                <c:pt idx="9">
                  <c:v>-5.3899108175786328E-3</c:v>
                </c:pt>
                <c:pt idx="10">
                  <c:v>-3.6079049387081649E-3</c:v>
                </c:pt>
                <c:pt idx="11">
                  <c:v>3.2664312530519531E-4</c:v>
                </c:pt>
                <c:pt idx="12">
                  <c:v>-9.4095660911506173E-4</c:v>
                </c:pt>
                <c:pt idx="13">
                  <c:v>0</c:v>
                </c:pt>
                <c:pt idx="14">
                  <c:v>0</c:v>
                </c:pt>
                <c:pt idx="15">
                  <c:v>6.0999234035447533E-2</c:v>
                </c:pt>
                <c:pt idx="16">
                  <c:v>-9.0377425196514025E-2</c:v>
                </c:pt>
                <c:pt idx="17">
                  <c:v>0</c:v>
                </c:pt>
                <c:pt idx="18">
                  <c:v>-7.4654699076205184E-3</c:v>
                </c:pt>
                <c:pt idx="19">
                  <c:v>1.9209111307739047E-4</c:v>
                </c:pt>
                <c:pt idx="20">
                  <c:v>-3.0014367765878159E-3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A-4F9E-894D-444921F1058B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-3.290955128504874E-4</c:v>
                </c:pt>
                <c:pt idx="1">
                  <c:v>2.1793539772533565E-4</c:v>
                </c:pt>
                <c:pt idx="2">
                  <c:v>2.7708979581391873E-4</c:v>
                </c:pt>
                <c:pt idx="3">
                  <c:v>1.694512640554652E-5</c:v>
                </c:pt>
                <c:pt idx="4">
                  <c:v>0</c:v>
                </c:pt>
                <c:pt idx="5">
                  <c:v>6.1229584797161368E-2</c:v>
                </c:pt>
                <c:pt idx="6">
                  <c:v>4.6078456611586861E-2</c:v>
                </c:pt>
                <c:pt idx="7">
                  <c:v>0</c:v>
                </c:pt>
                <c:pt idx="8">
                  <c:v>3.8169569551731966E-2</c:v>
                </c:pt>
                <c:pt idx="9">
                  <c:v>-1.0516908245646082E-2</c:v>
                </c:pt>
                <c:pt idx="10">
                  <c:v>-6.5370841783181262E-3</c:v>
                </c:pt>
                <c:pt idx="11">
                  <c:v>6.2341802031117867E-4</c:v>
                </c:pt>
                <c:pt idx="12">
                  <c:v>-1.089776261292958E-3</c:v>
                </c:pt>
                <c:pt idx="13">
                  <c:v>0</c:v>
                </c:pt>
                <c:pt idx="14">
                  <c:v>0</c:v>
                </c:pt>
                <c:pt idx="15">
                  <c:v>4.0264563609749449E-2</c:v>
                </c:pt>
                <c:pt idx="16">
                  <c:v>-8.1866678854846331E-2</c:v>
                </c:pt>
                <c:pt idx="17">
                  <c:v>0</c:v>
                </c:pt>
                <c:pt idx="18">
                  <c:v>-5.8863223072034227E-3</c:v>
                </c:pt>
                <c:pt idx="19">
                  <c:v>-3.3065744783638987E-4</c:v>
                </c:pt>
                <c:pt idx="20">
                  <c:v>-1.4442764129833142E-3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A-4F9E-894D-444921F1058B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-3.290955128504874E-4</c:v>
                </c:pt>
                <c:pt idx="1">
                  <c:v>2.1793539772533565E-4</c:v>
                </c:pt>
                <c:pt idx="2">
                  <c:v>2.7708979581391873E-4</c:v>
                </c:pt>
                <c:pt idx="3">
                  <c:v>1.694512640554652E-5</c:v>
                </c:pt>
                <c:pt idx="4">
                  <c:v>0</c:v>
                </c:pt>
                <c:pt idx="5">
                  <c:v>6.1229584797161368E-2</c:v>
                </c:pt>
                <c:pt idx="6">
                  <c:v>4.6078456611586861E-2</c:v>
                </c:pt>
                <c:pt idx="7">
                  <c:v>0</c:v>
                </c:pt>
                <c:pt idx="8">
                  <c:v>3.8169569551731966E-2</c:v>
                </c:pt>
                <c:pt idx="9">
                  <c:v>-1.0516908245646082E-2</c:v>
                </c:pt>
                <c:pt idx="10">
                  <c:v>-6.5370841783181262E-3</c:v>
                </c:pt>
                <c:pt idx="11">
                  <c:v>6.2341802031117867E-4</c:v>
                </c:pt>
                <c:pt idx="12">
                  <c:v>-1.089776261292958E-3</c:v>
                </c:pt>
                <c:pt idx="13">
                  <c:v>0</c:v>
                </c:pt>
                <c:pt idx="14">
                  <c:v>0</c:v>
                </c:pt>
                <c:pt idx="15">
                  <c:v>4.0264563609749449E-2</c:v>
                </c:pt>
                <c:pt idx="16">
                  <c:v>-8.1866678854846331E-2</c:v>
                </c:pt>
                <c:pt idx="17">
                  <c:v>0</c:v>
                </c:pt>
                <c:pt idx="18">
                  <c:v>-5.8863223072034227E-3</c:v>
                </c:pt>
                <c:pt idx="19">
                  <c:v>-3.3065744783638987E-4</c:v>
                </c:pt>
                <c:pt idx="20">
                  <c:v>-1.4442764129833142E-3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A-4F9E-894D-444921F1058B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65CA-4F9E-894D-444921F1058B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65CA-4F9E-894D-444921F1058B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65CA-4F9E-894D-444921F1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032152"/>
        <c:axId val="632040024"/>
      </c:radarChart>
      <c:catAx>
        <c:axId val="6320321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632040024"/>
        <c:crosses val="autoZero"/>
        <c:auto val="1"/>
        <c:lblAlgn val="ctr"/>
        <c:lblOffset val="100"/>
        <c:noMultiLvlLbl val="0"/>
      </c:catAx>
      <c:valAx>
        <c:axId val="632040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32032152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General</c:formatCode>
                <c:ptCount val="11"/>
                <c:pt idx="0">
                  <c:v>5.3443436917266452E-4</c:v>
                </c:pt>
                <c:pt idx="1">
                  <c:v>0.17455101241320178</c:v>
                </c:pt>
                <c:pt idx="2">
                  <c:v>0</c:v>
                </c:pt>
                <c:pt idx="3">
                  <c:v>2.2884189543682716E-2</c:v>
                </c:pt>
                <c:pt idx="4">
                  <c:v>-6.8645068097938841E-2</c:v>
                </c:pt>
                <c:pt idx="5">
                  <c:v>-7.8717884384134296E-2</c:v>
                </c:pt>
                <c:pt idx="6">
                  <c:v>0</c:v>
                </c:pt>
                <c:pt idx="7">
                  <c:v>0</c:v>
                </c:pt>
                <c:pt idx="8">
                  <c:v>-8.2260247074641461E-18</c:v>
                </c:pt>
                <c:pt idx="9">
                  <c:v>-7.9848419266685552E-2</c:v>
                </c:pt>
                <c:pt idx="10">
                  <c:v>1.4822498980337127E-3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8-4B07-BCC5-1ADD77C20FF1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General</c:formatCode>
                <c:ptCount val="11"/>
                <c:pt idx="0">
                  <c:v>4.9097623907747804E-4</c:v>
                </c:pt>
                <c:pt idx="1">
                  <c:v>0.17369703583789367</c:v>
                </c:pt>
                <c:pt idx="2">
                  <c:v>0</c:v>
                </c:pt>
                <c:pt idx="3">
                  <c:v>2.2806978838864549E-2</c:v>
                </c:pt>
                <c:pt idx="4">
                  <c:v>-6.8413461290102548E-2</c:v>
                </c:pt>
                <c:pt idx="5">
                  <c:v>-8.2346550123535825E-2</c:v>
                </c:pt>
                <c:pt idx="6">
                  <c:v>0</c:v>
                </c:pt>
                <c:pt idx="7">
                  <c:v>0</c:v>
                </c:pt>
                <c:pt idx="8">
                  <c:v>-1.2888600772674109E-17</c:v>
                </c:pt>
                <c:pt idx="9">
                  <c:v>-7.9462187458782266E-2</c:v>
                </c:pt>
                <c:pt idx="10">
                  <c:v>1.3883921007209756E-3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58-4B07-BCC5-1ADD77C20FF1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General</c:formatCode>
                <c:ptCount val="11"/>
                <c:pt idx="0">
                  <c:v>4.9097623907747804E-4</c:v>
                </c:pt>
                <c:pt idx="1">
                  <c:v>0.17369703583789367</c:v>
                </c:pt>
                <c:pt idx="2">
                  <c:v>0</c:v>
                </c:pt>
                <c:pt idx="3">
                  <c:v>2.2806978838864549E-2</c:v>
                </c:pt>
                <c:pt idx="4">
                  <c:v>-6.8413461290102548E-2</c:v>
                </c:pt>
                <c:pt idx="5">
                  <c:v>-8.2346550123535825E-2</c:v>
                </c:pt>
                <c:pt idx="6">
                  <c:v>0</c:v>
                </c:pt>
                <c:pt idx="7">
                  <c:v>0</c:v>
                </c:pt>
                <c:pt idx="8">
                  <c:v>-1.2888600772674109E-17</c:v>
                </c:pt>
                <c:pt idx="9">
                  <c:v>-7.9462187458782266E-2</c:v>
                </c:pt>
                <c:pt idx="10">
                  <c:v>1.3883921007209756E-3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58-4B07-BCC5-1ADD77C20FF1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3258-4B07-BCC5-1ADD77C20FF1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3258-4B07-BCC5-1ADD77C20FF1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3258-4B07-BCC5-1ADD77C20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185896"/>
        <c:axId val="795186224"/>
      </c:radarChart>
      <c:catAx>
        <c:axId val="7951858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95186224"/>
        <c:crosses val="autoZero"/>
        <c:auto val="1"/>
        <c:lblAlgn val="ctr"/>
        <c:lblOffset val="100"/>
        <c:noMultiLvlLbl val="0"/>
      </c:catAx>
      <c:valAx>
        <c:axId val="795186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95185896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190501</xdr:colOff>
      <xdr:row>16</xdr:row>
      <xdr:rowOff>0</xdr:rowOff>
    </xdr:from>
    <xdr:to>
      <xdr:col>15</xdr:col>
      <xdr:colOff>238126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9FB4797-A998-57DC-BB85-E10E0EE3E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219076</xdr:colOff>
      <xdr:row>16</xdr:row>
      <xdr:rowOff>0</xdr:rowOff>
    </xdr:from>
    <xdr:to>
      <xdr:col>15</xdr:col>
      <xdr:colOff>323851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3054487-1232-180F-243F-F19A9A9BC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85.71043900463" createdVersion="5" refreshedVersion="8" minRefreshableVersion="3" recordCount="2215" xr:uid="{62FAFA75-FAB6-4B7B-BA9B-10F3C0EA0AA3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"/>
        <s v="A4"/>
        <s v="B1"/>
        <s v="B2"/>
        <s v="B3"/>
        <s v="B4"/>
      </sharedItems>
    </cacheField>
    <cacheField name="Modalidade" numFmtId="0">
      <sharedItems count="6">
        <s v="Azul"/>
        <s v="Distribuição"/>
        <s v="Geração"/>
        <s v="Verde"/>
        <s v="Branca"/>
        <s v="Convencional"/>
      </sharedItems>
    </cacheField>
    <cacheField name="Classe" numFmtId="0">
      <sharedItems count="9">
        <s v="Comercial"/>
        <s v="Industrial"/>
        <s v="Rural"/>
        <s v="Serviço público"/>
        <s v="Não se aplica"/>
        <s v="Poder público"/>
        <s v="Consumo próprio"/>
        <s v="Residencial"/>
        <s v="Iluminação pública"/>
      </sharedItems>
    </cacheField>
    <cacheField name="Subclasse" numFmtId="0">
      <sharedItems count="10">
        <s v="Não se aplica"/>
        <s v="Água, esgoto e saneamento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  <s v="Iluminação pública – B4a"/>
      </sharedItems>
    </cacheField>
    <cacheField name="Detalhe" numFmtId="0">
      <sharedItems count="5">
        <s v="Não se aplica"/>
        <s v="Fonte incentivada"/>
        <s v="APE"/>
        <s v="IRRIG./AQUIC. PR"/>
        <s v="IRRIG./AQUIC."/>
      </sharedItems>
    </cacheField>
    <cacheField name="Agente" numFmtId="0">
      <sharedItems count="21">
        <s v="Não se aplica"/>
        <s v="EBO"/>
        <s v="CUREMAS"/>
        <s v="JAPUNGU"/>
        <s v="GIASA II"/>
        <s v="MILLENNIUM"/>
        <s v="MATARACA"/>
        <s v="CANOAS"/>
        <s v="LAGOA 1"/>
        <s v="LAGOA 2"/>
        <s v="ANGICO I"/>
        <s v="MALTA"/>
        <s v="Celpe"/>
        <s v="VITÓRIA"/>
        <s v="TABU"/>
        <s v="MONTE ALEGRE"/>
        <s v="MIRIRI"/>
        <s v="ASJA JOÃO PESSOA"/>
        <s v="FERREIRA COSTA JOÃO PESSOA"/>
        <s v="POLPA IDEAL II"/>
        <s v="POLPA IDEAL I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8-01T00:00:00" maxDate="2022-07-02T00:00:00" count="12"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</sharedItems>
    </cacheField>
    <cacheField name="D" numFmtId="40">
      <sharedItems containsSemiMixedTypes="0" containsString="0" containsNumber="1" containsInteger="1" minValue="-707" maxValue="82242"/>
    </cacheField>
    <cacheField name="Daj" numFmtId="40">
      <sharedItems containsSemiMixedTypes="0" containsString="0" containsNumber="1" minValue="-707" maxValue="82242"/>
    </cacheField>
    <cacheField name="TUSD_E" numFmtId="40">
      <sharedItems containsSemiMixedTypes="0" containsString="0" containsNumber="1" minValue="-1733.798" maxValue="129166.337"/>
    </cacheField>
    <cacheField name="TUSD_Eaj" numFmtId="40">
      <sharedItems containsSemiMixedTypes="0" containsString="0" containsNumber="1" minValue="-1733.798" maxValue="129166.337"/>
    </cacheField>
    <cacheField name="TE_E" numFmtId="40">
      <sharedItems containsSemiMixedTypes="0" containsString="0" containsNumber="1" minValue="-1733.798" maxValue="129166.337"/>
    </cacheField>
    <cacheField name="TE_Eaj" numFmtId="40">
      <sharedItems containsSemiMixedTypes="0" containsString="0" containsNumber="1" minValue="-1733.798" maxValue="129166.337"/>
    </cacheField>
    <cacheField name="UC" numFmtId="40">
      <sharedItems containsSemiMixedTypes="0" containsString="0" containsNumber="1" containsInteger="1" minValue="-1179" maxValue="802997"/>
    </cacheField>
    <cacheField name="OPÇÃO" numFmtId="0">
      <sharedItems count="5">
        <s v="LIVRE"/>
        <s v="CATIVO"/>
        <s v="DISTRIBUIÇÃO"/>
        <s v="GERAÇÃO"/>
        <s v="LIVRE APE"/>
      </sharedItems>
    </cacheField>
    <cacheField name="CóD. AUX." numFmtId="0">
      <sharedItems containsString="0" containsBlank="1" containsNumber="1" containsInteger="1" minValue="0" maxValue="52044"/>
    </cacheField>
    <cacheField name="CóD. AUX. TUSD R$/kW" numFmtId="40">
      <sharedItems containsSemiMixedTypes="0" containsString="0" containsNumber="1" containsInteger="1" minValue="0" maxValue="40"/>
    </cacheField>
    <cacheField name="CóD. AUX. TUSD R$/MWh" numFmtId="40">
      <sharedItems containsSemiMixedTypes="0" containsString="0" containsNumber="1" containsInteger="1" minValue="0" maxValue="62"/>
    </cacheField>
    <cacheField name="CóD. AUX. TE R$/MWh" numFmtId="40">
      <sharedItems containsSemiMixedTypes="0" containsString="0" containsNumber="1" containsInteger="1" minValue="0" maxValue="102"/>
    </cacheField>
    <cacheField name="TUSD (R$/kW)" numFmtId="40">
      <sharedItems containsSemiMixedTypes="0" containsString="0" containsNumber="1" minValue="0" maxValue="52.15"/>
    </cacheField>
    <cacheField name="TUSD (R$/MWh)" numFmtId="40">
      <sharedItems containsSemiMixedTypes="0" containsString="0" containsNumber="1" minValue="0" maxValue="1330.19"/>
    </cacheField>
    <cacheField name="TE (R$/MWh)" numFmtId="40">
      <sharedItems containsSemiMixedTypes="0" containsString="0" containsNumber="1" minValue="0" maxValue="397.62"/>
    </cacheField>
    <cacheField name="TUSD (R$/kW) NOVA" numFmtId="40">
      <sharedItems containsString="0" containsBlank="1" containsNumber="1" minValue="12.124300073734677" maxValue="57.437679027724307"/>
    </cacheField>
    <cacheField name="TUSD (R$/MWh) NOVA" numFmtId="40">
      <sharedItems containsString="0" containsBlank="1" containsNumber="1" minValue="6.3395684558220253" maxValue="1471.0742690262982"/>
    </cacheField>
    <cacheField name="TE (R$/MWh) NOVA" numFmtId="40">
      <sharedItems containsString="0" containsBlank="1" containsNumber="1" minValue="82.296318148854084" maxValue="351.67159959099928"/>
    </cacheField>
    <cacheField name="RA0 ou RV - TUSD (kW)" numFmtId="40">
      <sharedItems containsSemiMixedTypes="0" containsString="0" containsNumber="1" minValue="-18537.54" maxValue="1495673.8800000001"/>
    </cacheField>
    <cacheField name="RA0 ou RV - TUSD (MWh)" numFmtId="40">
      <sharedItems containsSemiMixedTypes="0" containsString="0" containsNumber="1" minValue="-325364.53268" maxValue="44071554.1844"/>
    </cacheField>
    <cacheField name="RA0 ou RV - TE (MWh)" numFmtId="40">
      <sharedItems containsSemiMixedTypes="0" containsString="0" containsNumber="1" minValue="-243858.6887" maxValue="33030415.697639998"/>
    </cacheField>
    <cacheField name="RA1 ou RRD - TUSD (kW)" numFmtId="40">
      <sharedItems containsSemiMixedTypes="0" containsString="0" containsNumber="1" minValue="-20426.472399839444" maxValue="1629285.927072804"/>
    </cacheField>
    <cacheField name="RA1 ou RRD - TUSD (MWh)" numFmtId="40">
      <sharedItems containsSemiMixedTypes="0" containsString="0" containsNumber="1" minValue="-363061.72893829102" maxValue="49177746.963965222"/>
    </cacheField>
    <cacheField name="RA1 ou RRD - TE (MWh)" numFmtId="40">
      <sharedItems containsSemiMixedTypes="0" containsString="0" containsNumber="1" minValue="-224219.58713604516" maxValue="30371182.753926009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85.710868402777" createdVersion="5" refreshedVersion="8" minRefreshableVersion="3" recordCount="1016" xr:uid="{905995BA-83AD-4D99-8454-A33FACAD4B82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5">
        <s v="A3"/>
        <s v="A4"/>
        <s v="B1"/>
        <s v="B2"/>
        <s v="B3"/>
      </sharedItems>
    </cacheField>
    <cacheField name="Modalidade" numFmtId="0">
      <sharedItems count="5">
        <s v="Azul"/>
        <s v="Geração"/>
        <s v="Verde"/>
        <s v="Convencional"/>
        <s v="Branca"/>
      </sharedItems>
    </cacheField>
    <cacheField name="Classe" numFmtId="0">
      <sharedItems count="5">
        <s v="Industrial"/>
        <s v="Rural"/>
        <s v="Serviço público"/>
        <s v="Não se aplica"/>
        <s v="Residencial"/>
      </sharedItems>
    </cacheField>
    <cacheField name="Subclasse" numFmtId="0">
      <sharedItems count="9">
        <s v="Não se aplica"/>
        <s v="Água, esgoto e saneamento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</sharedItems>
    </cacheField>
    <cacheField name="Detalhe" numFmtId="0">
      <sharedItems count="4">
        <s v="Fonte incentivada"/>
        <s v="Não se aplica"/>
        <s v="IRRIG./AQUIC. PR"/>
        <s v="IRRIG./AQUIC."/>
      </sharedItems>
    </cacheField>
    <cacheField name="Agente" numFmtId="0">
      <sharedItems count="19">
        <s v="Não se aplica"/>
        <s v="CUREMAS"/>
        <s v="JAPUNGU"/>
        <s v="GIASA II"/>
        <s v="MILLENNIUM"/>
        <s v="MATARACA"/>
        <s v="CANOAS"/>
        <s v="LAGOA 1"/>
        <s v="LAGOA 2"/>
        <s v="ANGICO I"/>
        <s v="MALTA"/>
        <s v="VITÓRIA"/>
        <s v="TABU"/>
        <s v="MONTE ALEGRE"/>
        <s v="MIRIRI"/>
        <s v="ASJA JOÃO PESSOA"/>
        <s v="FERREIRA COSTA JOÃO PESSOA"/>
        <s v="POLPA IDEAL II"/>
        <s v="POLPA IDEAL I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8-01T00:00:00" maxDate="2022-07-02T00:00:00" count="12"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</sharedItems>
    </cacheField>
    <cacheField name="D" numFmtId="40">
      <sharedItems containsSemiMixedTypes="0" containsString="0" containsNumber="1" containsInteger="1" minValue="-536" maxValue="44450"/>
    </cacheField>
    <cacheField name="Daj" numFmtId="40">
      <sharedItems containsSemiMixedTypes="0" containsString="0" containsNumber="1" minValue="-536" maxValue="22225"/>
    </cacheField>
    <cacheField name="TUSD_E" numFmtId="40">
      <sharedItems containsSemiMixedTypes="0" containsString="0" containsNumber="1" minValue="-167.78399999999999" maxValue="107190.459"/>
    </cacheField>
    <cacheField name="TUSD_Eaj" numFmtId="40">
      <sharedItems containsSemiMixedTypes="0" containsString="0" containsNumber="1" minValue="-167.78399999999999" maxValue="107190.459"/>
    </cacheField>
    <cacheField name="TE_E" numFmtId="40">
      <sharedItems containsSemiMixedTypes="0" containsString="0" containsNumber="1" minValue="-160.626" maxValue="107190.459"/>
    </cacheField>
    <cacheField name="TE_Eaj" numFmtId="40">
      <sharedItems containsSemiMixedTypes="0" containsString="0" containsNumber="1" minValue="-160.626" maxValue="107190.459"/>
    </cacheField>
    <cacheField name="UC" numFmtId="40">
      <sharedItems containsSemiMixedTypes="0" containsString="0" containsNumber="1" containsInteger="1" minValue="-158" maxValue="796021"/>
    </cacheField>
    <cacheField name="OPÇÃO" numFmtId="0">
      <sharedItems/>
    </cacheField>
    <cacheField name="CóD. AUX." numFmtId="0">
      <sharedItems containsString="0" containsBlank="1" containsNumber="1" containsInteger="1" minValue="0" maxValue="52044"/>
    </cacheField>
    <cacheField name="CóD. AUX. TUSD R$/kW" numFmtId="0">
      <sharedItems containsSemiMixedTypes="0" containsString="0" containsNumber="1" containsInteger="1" minValue="0" maxValue="40"/>
    </cacheField>
    <cacheField name="CóD. AUX. TUSD R$/MWh" numFmtId="0">
      <sharedItems containsSemiMixedTypes="0" containsString="0" containsNumber="1" containsInteger="1" minValue="0" maxValue="57"/>
    </cacheField>
    <cacheField name="CóD. AUX. TE R$/MWh" numFmtId="0">
      <sharedItems containsSemiMixedTypes="0" containsString="0" containsNumber="1" containsInteger="1" minValue="0" maxValue="100"/>
    </cacheField>
    <cacheField name="TUSD (R$/kW)" numFmtId="40">
      <sharedItems containsSemiMixedTypes="0" containsString="0" containsNumber="1" minValue="0" maxValue="52.15"/>
    </cacheField>
    <cacheField name="TUSD (R$/MWh)" numFmtId="40">
      <sharedItems containsSemiMixedTypes="0" containsString="0" containsNumber="1" minValue="0" maxValue="1330.19"/>
    </cacheField>
    <cacheField name="TE (R$/MWh)" numFmtId="40">
      <sharedItems containsSemiMixedTypes="0" containsString="0" containsNumber="1" minValue="0" maxValue="397.62"/>
    </cacheField>
    <cacheField name="TUSD (R$/kW) NOVA" numFmtId="40">
      <sharedItems containsString="0" containsBlank="1" containsNumber="1" minValue="12.124300073734677" maxValue="57.437679027724307"/>
    </cacheField>
    <cacheField name="TUSD (R$/MWh) NOVA" numFmtId="40">
      <sharedItems containsString="0" containsBlank="1" containsNumber="1" minValue="56.586384886641618" maxValue="1471.0742690262982"/>
    </cacheField>
    <cacheField name="TE (R$/MWh) NOVA" numFmtId="40">
      <sharedItems containsString="0" containsBlank="1" containsNumber="1" minValue="82.296318148854084" maxValue="351.67159959099928"/>
    </cacheField>
    <cacheField name="SUBSIDIO kW - TV" numFmtId="40">
      <sharedItems containsSemiMixedTypes="0" containsString="0" containsNumber="1" minValue="-14387.304000000004" maxValue="617415.18779999996"/>
    </cacheField>
    <cacheField name="SUBSIDIO MWh - TV" numFmtId="40">
      <sharedItems containsSemiMixedTypes="0" containsString="0" containsNumber="1" minValue="-28098.105037999994" maxValue="5332896.4053599993"/>
    </cacheField>
    <cacheField name="SUBSIDIO kW - TN" numFmtId="40">
      <sharedItems containsSemiMixedTypes="0" containsString="0" containsNumber="1" minValue="-15672.555527758677" maxValue="680328.36572913046"/>
    </cacheField>
    <cacheField name="SUBSIDIO MWh - TN" numFmtId="40">
      <sharedItems containsSemiMixedTypes="0" containsString="0" containsNumber="1" minValue="-28374.02423133429" maxValue="5246844.6516256174"/>
    </cacheField>
    <cacheField name="TIPO" numFmtId="0">
      <sharedItems containsBlank="1" count="7">
        <s v="SUBSIDIO CARGA FONTE INCENTIVADA"/>
        <s v="SUBSIDIO RURAL"/>
        <s v="SUBSIDIO ÁGUA, ESGOTO E SANEAMENTO"/>
        <s v="SUBSIDIO GERAÇÃO FONTE INCENTIVADA"/>
        <s v="SUBSIDIO IRRIGANTE/AQUICULTOR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5">
  <r>
    <s v="Regular"/>
    <x v="0"/>
    <x v="0"/>
    <x v="0"/>
    <x v="0"/>
    <x v="0"/>
    <x v="0"/>
    <x v="0"/>
    <x v="0"/>
    <n v="7800"/>
    <n v="7800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7126"/>
    <n v="0"/>
    <n v="0"/>
    <n v="94569.540575130479"/>
    <n v="0"/>
    <n v="0"/>
  </r>
  <r>
    <s v="Regular"/>
    <x v="0"/>
    <x v="0"/>
    <x v="0"/>
    <x v="0"/>
    <x v="0"/>
    <x v="0"/>
    <x v="0"/>
    <x v="1"/>
    <n v="7300"/>
    <n v="7300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1541"/>
    <n v="0"/>
    <n v="0"/>
    <n v="88507.390538263135"/>
    <n v="0"/>
    <n v="0"/>
  </r>
  <r>
    <s v="Regular"/>
    <x v="0"/>
    <x v="0"/>
    <x v="0"/>
    <x v="0"/>
    <x v="0"/>
    <x v="0"/>
    <x v="0"/>
    <x v="2"/>
    <n v="7300"/>
    <n v="7300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1541"/>
    <n v="0"/>
    <n v="0"/>
    <n v="88507.390538263135"/>
    <n v="0"/>
    <n v="0"/>
  </r>
  <r>
    <s v="Regular"/>
    <x v="0"/>
    <x v="0"/>
    <x v="0"/>
    <x v="0"/>
    <x v="0"/>
    <x v="0"/>
    <x v="0"/>
    <x v="3"/>
    <n v="7300"/>
    <n v="7300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1541"/>
    <n v="0"/>
    <n v="0"/>
    <n v="88507.390538263135"/>
    <n v="0"/>
    <n v="0"/>
  </r>
  <r>
    <s v="Regular"/>
    <x v="0"/>
    <x v="0"/>
    <x v="0"/>
    <x v="0"/>
    <x v="0"/>
    <x v="0"/>
    <x v="0"/>
    <x v="4"/>
    <n v="7543"/>
    <n v="7543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4255.31"/>
    <n v="0"/>
    <n v="0"/>
    <n v="91453.595456180672"/>
    <n v="0"/>
    <n v="0"/>
  </r>
  <r>
    <s v="Regular"/>
    <x v="0"/>
    <x v="0"/>
    <x v="0"/>
    <x v="0"/>
    <x v="0"/>
    <x v="0"/>
    <x v="0"/>
    <x v="5"/>
    <n v="7417"/>
    <n v="7417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2847.89"/>
    <n v="0"/>
    <n v="0"/>
    <n v="89925.933646890102"/>
    <n v="0"/>
    <n v="0"/>
  </r>
  <r>
    <s v="Regular"/>
    <x v="0"/>
    <x v="0"/>
    <x v="0"/>
    <x v="0"/>
    <x v="0"/>
    <x v="0"/>
    <x v="0"/>
    <x v="6"/>
    <n v="7308"/>
    <n v="7308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1630.36"/>
    <n v="0"/>
    <n v="0"/>
    <n v="88604.384938853022"/>
    <n v="0"/>
    <n v="0"/>
  </r>
  <r>
    <s v="Regular"/>
    <x v="0"/>
    <x v="0"/>
    <x v="0"/>
    <x v="0"/>
    <x v="0"/>
    <x v="0"/>
    <x v="0"/>
    <x v="7"/>
    <n v="7300"/>
    <n v="7300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1541"/>
    <n v="0"/>
    <n v="0"/>
    <n v="88507.390538263135"/>
    <n v="0"/>
    <n v="0"/>
  </r>
  <r>
    <s v="Regular"/>
    <x v="0"/>
    <x v="0"/>
    <x v="0"/>
    <x v="0"/>
    <x v="0"/>
    <x v="0"/>
    <x v="0"/>
    <x v="8"/>
    <n v="7300"/>
    <n v="7300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1541"/>
    <n v="0"/>
    <n v="0"/>
    <n v="88507.390538263135"/>
    <n v="0"/>
    <n v="0"/>
  </r>
  <r>
    <s v="Regular"/>
    <x v="0"/>
    <x v="0"/>
    <x v="0"/>
    <x v="0"/>
    <x v="0"/>
    <x v="0"/>
    <x v="0"/>
    <x v="9"/>
    <n v="7480"/>
    <n v="7480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3551.600000000006"/>
    <n v="0"/>
    <n v="0"/>
    <n v="90689.76455153538"/>
    <n v="0"/>
    <n v="0"/>
  </r>
  <r>
    <s v="Regular"/>
    <x v="0"/>
    <x v="0"/>
    <x v="0"/>
    <x v="0"/>
    <x v="0"/>
    <x v="0"/>
    <x v="0"/>
    <x v="10"/>
    <n v="7300"/>
    <n v="7300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1541"/>
    <n v="0"/>
    <n v="0"/>
    <n v="88507.390538263135"/>
    <n v="0"/>
    <n v="0"/>
  </r>
  <r>
    <s v="PROJETADO"/>
    <x v="0"/>
    <x v="0"/>
    <x v="0"/>
    <x v="0"/>
    <x v="0"/>
    <x v="0"/>
    <x v="0"/>
    <x v="11"/>
    <n v="7300"/>
    <n v="7300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1541"/>
    <n v="0"/>
    <n v="0"/>
    <n v="88507.390538263135"/>
    <n v="0"/>
    <n v="0"/>
  </r>
  <r>
    <s v="Regular"/>
    <x v="0"/>
    <x v="0"/>
    <x v="0"/>
    <x v="0"/>
    <x v="0"/>
    <x v="0"/>
    <x v="1"/>
    <x v="0"/>
    <n v="0"/>
    <n v="0"/>
    <n v="2752.7629999999999"/>
    <n v="2752.7629999999999"/>
    <n v="0"/>
    <n v="0"/>
    <n v="2"/>
    <x v="0"/>
    <n v="0"/>
    <n v="0"/>
    <n v="5"/>
    <n v="0"/>
    <n v="0"/>
    <n v="41.95"/>
    <n v="0"/>
    <m/>
    <n v="56.586384886641618"/>
    <m/>
    <n v="0"/>
    <n v="115478.40785"/>
    <n v="0"/>
    <n v="0"/>
    <n v="155768.90661970625"/>
    <n v="0"/>
  </r>
  <r>
    <s v="Regular"/>
    <x v="0"/>
    <x v="0"/>
    <x v="0"/>
    <x v="0"/>
    <x v="0"/>
    <x v="0"/>
    <x v="1"/>
    <x v="1"/>
    <n v="0"/>
    <n v="0"/>
    <n v="2726.3040000000001"/>
    <n v="2726.3040000000001"/>
    <n v="0"/>
    <n v="0"/>
    <n v="2"/>
    <x v="0"/>
    <n v="0"/>
    <n v="0"/>
    <n v="5"/>
    <n v="0"/>
    <n v="0"/>
    <n v="41.95"/>
    <n v="0"/>
    <m/>
    <n v="56.586384886641618"/>
    <m/>
    <n v="0"/>
    <n v="114368.45280000001"/>
    <n v="0"/>
    <n v="0"/>
    <n v="154271.6874619906"/>
    <n v="0"/>
  </r>
  <r>
    <s v="Regular"/>
    <x v="0"/>
    <x v="0"/>
    <x v="0"/>
    <x v="0"/>
    <x v="0"/>
    <x v="0"/>
    <x v="1"/>
    <x v="2"/>
    <n v="0"/>
    <n v="0"/>
    <n v="2692.7339999999999"/>
    <n v="2692.7339999999999"/>
    <n v="0"/>
    <n v="0"/>
    <n v="2"/>
    <x v="0"/>
    <n v="0"/>
    <n v="0"/>
    <n v="5"/>
    <n v="0"/>
    <n v="0"/>
    <n v="41.95"/>
    <n v="0"/>
    <m/>
    <n v="56.586384886641618"/>
    <m/>
    <n v="0"/>
    <n v="112960.19130000001"/>
    <n v="0"/>
    <n v="0"/>
    <n v="152372.08252134602"/>
    <n v="0"/>
  </r>
  <r>
    <s v="Regular"/>
    <x v="0"/>
    <x v="0"/>
    <x v="0"/>
    <x v="0"/>
    <x v="0"/>
    <x v="0"/>
    <x v="1"/>
    <x v="3"/>
    <n v="0"/>
    <n v="0"/>
    <n v="2948.279"/>
    <n v="2948.279"/>
    <n v="0"/>
    <n v="0"/>
    <n v="2"/>
    <x v="0"/>
    <n v="0"/>
    <n v="0"/>
    <n v="5"/>
    <n v="0"/>
    <n v="0"/>
    <n v="41.95"/>
    <n v="0"/>
    <m/>
    <n v="56.586384886641618"/>
    <m/>
    <n v="0"/>
    <n v="123680.30405000001"/>
    <n v="0"/>
    <n v="0"/>
    <n v="166832.45024720285"/>
    <n v="0"/>
  </r>
  <r>
    <s v="Regular"/>
    <x v="0"/>
    <x v="0"/>
    <x v="0"/>
    <x v="0"/>
    <x v="0"/>
    <x v="0"/>
    <x v="1"/>
    <x v="4"/>
    <n v="0"/>
    <n v="0"/>
    <n v="3035.6489999999999"/>
    <n v="3035.6489999999999"/>
    <n v="0"/>
    <n v="0"/>
    <n v="2"/>
    <x v="0"/>
    <n v="0"/>
    <n v="0"/>
    <n v="5"/>
    <n v="0"/>
    <n v="0"/>
    <n v="41.95"/>
    <n v="0"/>
    <m/>
    <n v="56.586384886641618"/>
    <m/>
    <n v="0"/>
    <n v="127345.47555"/>
    <n v="0"/>
    <n v="0"/>
    <n v="171776.40269474874"/>
    <n v="0"/>
  </r>
  <r>
    <s v="Regular"/>
    <x v="0"/>
    <x v="0"/>
    <x v="0"/>
    <x v="0"/>
    <x v="0"/>
    <x v="0"/>
    <x v="1"/>
    <x v="5"/>
    <n v="0"/>
    <n v="0"/>
    <n v="3267.9490000000001"/>
    <n v="3267.9490000000001"/>
    <n v="0"/>
    <n v="0"/>
    <n v="2"/>
    <x v="0"/>
    <n v="0"/>
    <n v="0"/>
    <n v="5"/>
    <n v="0"/>
    <n v="0"/>
    <n v="41.95"/>
    <n v="0"/>
    <m/>
    <n v="56.586384886641618"/>
    <m/>
    <n v="0"/>
    <n v="137090.46055000002"/>
    <n v="0"/>
    <n v="0"/>
    <n v="184921.41990391558"/>
    <n v="0"/>
  </r>
  <r>
    <s v="Regular"/>
    <x v="0"/>
    <x v="0"/>
    <x v="0"/>
    <x v="0"/>
    <x v="0"/>
    <x v="0"/>
    <x v="1"/>
    <x v="6"/>
    <n v="0"/>
    <n v="0"/>
    <n v="3085.8290000000002"/>
    <n v="3085.8290000000002"/>
    <n v="0"/>
    <n v="0"/>
    <n v="2"/>
    <x v="0"/>
    <n v="0"/>
    <n v="0"/>
    <n v="5"/>
    <n v="0"/>
    <n v="0"/>
    <n v="41.95"/>
    <n v="0"/>
    <m/>
    <n v="56.586384886641618"/>
    <m/>
    <n v="0"/>
    <n v="129450.52655000001"/>
    <n v="0"/>
    <n v="0"/>
    <n v="174615.90748836042"/>
    <n v="0"/>
  </r>
  <r>
    <s v="Regular"/>
    <x v="0"/>
    <x v="0"/>
    <x v="0"/>
    <x v="0"/>
    <x v="0"/>
    <x v="0"/>
    <x v="1"/>
    <x v="7"/>
    <n v="0"/>
    <n v="0"/>
    <n v="2812.7179999999998"/>
    <n v="2812.7179999999998"/>
    <n v="0"/>
    <n v="0"/>
    <n v="2"/>
    <x v="0"/>
    <n v="0"/>
    <n v="0"/>
    <n v="5"/>
    <n v="0"/>
    <n v="0"/>
    <n v="41.95"/>
    <n v="0"/>
    <m/>
    <n v="56.586384886641618"/>
    <m/>
    <n v="0"/>
    <n v="117993.52010000001"/>
    <n v="0"/>
    <n v="0"/>
    <n v="159161.54332558482"/>
    <n v="0"/>
  </r>
  <r>
    <s v="Regular"/>
    <x v="0"/>
    <x v="0"/>
    <x v="0"/>
    <x v="0"/>
    <x v="0"/>
    <x v="0"/>
    <x v="1"/>
    <x v="8"/>
    <n v="0"/>
    <n v="0"/>
    <n v="3131.2710000000002"/>
    <n v="3131.2710000000002"/>
    <n v="0"/>
    <n v="0"/>
    <n v="2"/>
    <x v="0"/>
    <n v="0"/>
    <n v="0"/>
    <n v="5"/>
    <n v="0"/>
    <n v="0"/>
    <n v="41.95"/>
    <n v="0"/>
    <m/>
    <n v="56.586384886641618"/>
    <m/>
    <n v="0"/>
    <n v="131356.81845000002"/>
    <n v="0"/>
    <n v="0"/>
    <n v="177187.30599037919"/>
    <n v="0"/>
  </r>
  <r>
    <s v="Regular"/>
    <x v="0"/>
    <x v="0"/>
    <x v="0"/>
    <x v="0"/>
    <x v="0"/>
    <x v="0"/>
    <x v="1"/>
    <x v="9"/>
    <n v="0"/>
    <n v="0"/>
    <n v="2944.0569999999998"/>
    <n v="2944.0569999999998"/>
    <n v="0"/>
    <n v="0"/>
    <n v="2"/>
    <x v="0"/>
    <n v="0"/>
    <n v="0"/>
    <n v="5"/>
    <n v="0"/>
    <n v="0"/>
    <n v="41.95"/>
    <n v="0"/>
    <m/>
    <n v="56.586384886641618"/>
    <m/>
    <n v="0"/>
    <n v="123503.19115"/>
    <n v="0"/>
    <n v="0"/>
    <n v="166593.54253021145"/>
    <n v="0"/>
  </r>
  <r>
    <s v="Regular"/>
    <x v="0"/>
    <x v="0"/>
    <x v="0"/>
    <x v="0"/>
    <x v="0"/>
    <x v="0"/>
    <x v="1"/>
    <x v="10"/>
    <n v="0"/>
    <n v="0"/>
    <n v="3004.7359999999999"/>
    <n v="3004.7359999999999"/>
    <n v="0"/>
    <n v="0"/>
    <n v="2"/>
    <x v="0"/>
    <n v="0"/>
    <n v="0"/>
    <n v="5"/>
    <n v="0"/>
    <n v="0"/>
    <n v="41.95"/>
    <n v="0"/>
    <m/>
    <n v="56.586384886641618"/>
    <m/>
    <n v="0"/>
    <n v="126048.6752"/>
    <n v="0"/>
    <n v="0"/>
    <n v="170027.14777874798"/>
    <n v="0"/>
  </r>
  <r>
    <s v="PROJETADO"/>
    <x v="0"/>
    <x v="0"/>
    <x v="0"/>
    <x v="0"/>
    <x v="0"/>
    <x v="0"/>
    <x v="1"/>
    <x v="11"/>
    <n v="0"/>
    <n v="0"/>
    <n v="3004.7359999999999"/>
    <n v="3004.7359999999999"/>
    <n v="0"/>
    <n v="0"/>
    <n v="2"/>
    <x v="0"/>
    <n v="0"/>
    <n v="0"/>
    <n v="5"/>
    <n v="0"/>
    <n v="0"/>
    <n v="41.95"/>
    <n v="0"/>
    <m/>
    <n v="56.586384886641618"/>
    <m/>
    <n v="0"/>
    <n v="126048.6752"/>
    <n v="0"/>
    <n v="0"/>
    <n v="170027.14777874798"/>
    <n v="0"/>
  </r>
  <r>
    <s v="Regular"/>
    <x v="0"/>
    <x v="0"/>
    <x v="0"/>
    <x v="0"/>
    <x v="0"/>
    <x v="0"/>
    <x v="2"/>
    <x v="0"/>
    <n v="6500"/>
    <n v="6500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39620"/>
    <n v="0"/>
    <n v="0"/>
    <n v="152092.58126370763"/>
    <n v="0"/>
    <n v="0"/>
  </r>
  <r>
    <s v="Regular"/>
    <x v="0"/>
    <x v="0"/>
    <x v="0"/>
    <x v="0"/>
    <x v="0"/>
    <x v="0"/>
    <x v="2"/>
    <x v="1"/>
    <n v="6500"/>
    <n v="6500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39620"/>
    <n v="0"/>
    <n v="0"/>
    <n v="152092.58126370763"/>
    <n v="0"/>
    <n v="0"/>
  </r>
  <r>
    <s v="Regular"/>
    <x v="0"/>
    <x v="0"/>
    <x v="0"/>
    <x v="0"/>
    <x v="0"/>
    <x v="0"/>
    <x v="2"/>
    <x v="2"/>
    <n v="6500"/>
    <n v="6500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39620"/>
    <n v="0"/>
    <n v="0"/>
    <n v="152092.58126370763"/>
    <n v="0"/>
    <n v="0"/>
  </r>
  <r>
    <s v="Regular"/>
    <x v="0"/>
    <x v="0"/>
    <x v="0"/>
    <x v="0"/>
    <x v="0"/>
    <x v="0"/>
    <x v="2"/>
    <x v="3"/>
    <n v="6500"/>
    <n v="6500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39620"/>
    <n v="0"/>
    <n v="0"/>
    <n v="152092.58126370763"/>
    <n v="0"/>
    <n v="0"/>
  </r>
  <r>
    <s v="Regular"/>
    <x v="0"/>
    <x v="0"/>
    <x v="0"/>
    <x v="0"/>
    <x v="0"/>
    <x v="0"/>
    <x v="2"/>
    <x v="4"/>
    <n v="6500"/>
    <n v="6500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39620"/>
    <n v="0"/>
    <n v="0"/>
    <n v="152092.58126370763"/>
    <n v="0"/>
    <n v="0"/>
  </r>
  <r>
    <s v="Regular"/>
    <x v="0"/>
    <x v="0"/>
    <x v="0"/>
    <x v="0"/>
    <x v="0"/>
    <x v="0"/>
    <x v="2"/>
    <x v="5"/>
    <n v="6696"/>
    <n v="6696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3830.08000000002"/>
    <n v="0"/>
    <n v="0"/>
    <n v="156678.75756027483"/>
    <n v="0"/>
    <n v="0"/>
  </r>
  <r>
    <s v="Regular"/>
    <x v="0"/>
    <x v="0"/>
    <x v="0"/>
    <x v="0"/>
    <x v="0"/>
    <x v="0"/>
    <x v="2"/>
    <x v="6"/>
    <n v="6512"/>
    <n v="6512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39877.76000000001"/>
    <n v="0"/>
    <n v="0"/>
    <n v="152373.36756757909"/>
    <n v="0"/>
    <n v="0"/>
  </r>
  <r>
    <s v="Regular"/>
    <x v="0"/>
    <x v="0"/>
    <x v="0"/>
    <x v="0"/>
    <x v="0"/>
    <x v="0"/>
    <x v="2"/>
    <x v="7"/>
    <n v="6500"/>
    <n v="6500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39620"/>
    <n v="0"/>
    <n v="0"/>
    <n v="152092.58126370763"/>
    <n v="0"/>
    <n v="0"/>
  </r>
  <r>
    <s v="Regular"/>
    <x v="0"/>
    <x v="0"/>
    <x v="0"/>
    <x v="0"/>
    <x v="0"/>
    <x v="0"/>
    <x v="2"/>
    <x v="8"/>
    <n v="6500"/>
    <n v="6500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39620"/>
    <n v="0"/>
    <n v="0"/>
    <n v="152092.58126370763"/>
    <n v="0"/>
    <n v="0"/>
  </r>
  <r>
    <s v="Regular"/>
    <x v="0"/>
    <x v="0"/>
    <x v="0"/>
    <x v="0"/>
    <x v="0"/>
    <x v="0"/>
    <x v="2"/>
    <x v="9"/>
    <n v="6596"/>
    <n v="6596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1682.08000000002"/>
    <n v="0"/>
    <n v="0"/>
    <n v="154338.87169467931"/>
    <n v="0"/>
    <n v="0"/>
  </r>
  <r>
    <s v="Regular"/>
    <x v="0"/>
    <x v="0"/>
    <x v="0"/>
    <x v="0"/>
    <x v="0"/>
    <x v="0"/>
    <x v="2"/>
    <x v="10"/>
    <n v="6656"/>
    <n v="6656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2970.88"/>
    <n v="0"/>
    <n v="0"/>
    <n v="155742.80321403663"/>
    <n v="0"/>
    <n v="0"/>
  </r>
  <r>
    <s v="PROJETADO"/>
    <x v="0"/>
    <x v="0"/>
    <x v="0"/>
    <x v="0"/>
    <x v="0"/>
    <x v="0"/>
    <x v="2"/>
    <x v="11"/>
    <n v="6656"/>
    <n v="6656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2970.88"/>
    <n v="0"/>
    <n v="0"/>
    <n v="155742.80321403663"/>
    <n v="0"/>
    <n v="0"/>
  </r>
  <r>
    <s v="Regular"/>
    <x v="0"/>
    <x v="0"/>
    <x v="1"/>
    <x v="0"/>
    <x v="1"/>
    <x v="0"/>
    <x v="0"/>
    <x v="0"/>
    <n v="5460"/>
    <n v="2948.4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32933.628000000004"/>
    <n v="0"/>
    <n v="0"/>
    <n v="35747.286337399324"/>
    <n v="0"/>
    <n v="0"/>
  </r>
  <r>
    <s v="Regular"/>
    <x v="0"/>
    <x v="0"/>
    <x v="1"/>
    <x v="0"/>
    <x v="1"/>
    <x v="0"/>
    <x v="0"/>
    <x v="1"/>
    <n v="5460"/>
    <n v="2839.2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31713.863999999998"/>
    <n v="0"/>
    <n v="0"/>
    <n v="34423.312769347489"/>
    <n v="0"/>
    <n v="0"/>
  </r>
  <r>
    <s v="Regular"/>
    <x v="0"/>
    <x v="0"/>
    <x v="1"/>
    <x v="0"/>
    <x v="1"/>
    <x v="0"/>
    <x v="0"/>
    <x v="2"/>
    <n v="5460"/>
    <n v="4968.6000000000004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55499.262000000002"/>
    <n v="0"/>
    <n v="0"/>
    <n v="60240.797346358122"/>
    <n v="0"/>
    <n v="0"/>
  </r>
  <r>
    <s v="Regular"/>
    <x v="0"/>
    <x v="0"/>
    <x v="1"/>
    <x v="0"/>
    <x v="1"/>
    <x v="0"/>
    <x v="0"/>
    <x v="3"/>
    <n v="8690"/>
    <n v="5387.8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60181.726000000002"/>
    <n v="0"/>
    <n v="0"/>
    <n v="65323.303937267694"/>
    <n v="0"/>
    <n v="0"/>
  </r>
  <r>
    <s v="Regular"/>
    <x v="0"/>
    <x v="0"/>
    <x v="1"/>
    <x v="0"/>
    <x v="1"/>
    <x v="0"/>
    <x v="0"/>
    <x v="4"/>
    <n v="6570"/>
    <n v="2233.8000000000002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24951.546000000002"/>
    <n v="0"/>
    <n v="0"/>
    <n v="27083.261504708524"/>
    <n v="0"/>
    <n v="0"/>
  </r>
  <r>
    <s v="Regular"/>
    <x v="0"/>
    <x v="0"/>
    <x v="1"/>
    <x v="0"/>
    <x v="1"/>
    <x v="0"/>
    <x v="0"/>
    <x v="5"/>
    <n v="6570"/>
    <n v="2299.5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25685.415000000001"/>
    <n v="0"/>
    <n v="0"/>
    <n v="27879.82801955289"/>
    <n v="0"/>
    <n v="0"/>
  </r>
  <r>
    <s v="Regular"/>
    <x v="0"/>
    <x v="0"/>
    <x v="1"/>
    <x v="0"/>
    <x v="1"/>
    <x v="0"/>
    <x v="0"/>
    <x v="6"/>
    <n v="6570"/>
    <n v="2233.8000000000002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24951.546000000002"/>
    <n v="0"/>
    <n v="0"/>
    <n v="27083.261504708524"/>
    <n v="0"/>
    <n v="0"/>
  </r>
  <r>
    <s v="Regular"/>
    <x v="0"/>
    <x v="0"/>
    <x v="1"/>
    <x v="0"/>
    <x v="1"/>
    <x v="0"/>
    <x v="0"/>
    <x v="7"/>
    <n v="6570"/>
    <n v="2430.9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27153.153000000002"/>
    <n v="0"/>
    <n v="0"/>
    <n v="29472.961049241629"/>
    <n v="0"/>
    <n v="0"/>
  </r>
  <r>
    <s v="Regular"/>
    <x v="0"/>
    <x v="0"/>
    <x v="1"/>
    <x v="0"/>
    <x v="1"/>
    <x v="0"/>
    <x v="0"/>
    <x v="8"/>
    <n v="6570"/>
    <n v="2233.8000000000002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24951.546000000002"/>
    <n v="0"/>
    <n v="0"/>
    <n v="27083.261504708524"/>
    <n v="0"/>
    <n v="0"/>
  </r>
  <r>
    <s v="Regular"/>
    <x v="0"/>
    <x v="0"/>
    <x v="1"/>
    <x v="0"/>
    <x v="1"/>
    <x v="0"/>
    <x v="0"/>
    <x v="9"/>
    <n v="6570"/>
    <n v="2233.8000000000002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24951.546000000002"/>
    <n v="0"/>
    <n v="0"/>
    <n v="27083.261504708524"/>
    <n v="0"/>
    <n v="0"/>
  </r>
  <r>
    <s v="Regular"/>
    <x v="0"/>
    <x v="0"/>
    <x v="1"/>
    <x v="0"/>
    <x v="1"/>
    <x v="0"/>
    <x v="0"/>
    <x v="10"/>
    <n v="6570"/>
    <n v="2233.8000000000002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24951.546000000002"/>
    <n v="0"/>
    <n v="0"/>
    <n v="27083.261504708524"/>
    <n v="0"/>
    <n v="0"/>
  </r>
  <r>
    <s v="PROJETADO"/>
    <x v="0"/>
    <x v="0"/>
    <x v="1"/>
    <x v="0"/>
    <x v="1"/>
    <x v="0"/>
    <x v="0"/>
    <x v="11"/>
    <n v="6570"/>
    <n v="2233.8000000000002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24951.546000000002"/>
    <n v="0"/>
    <n v="0"/>
    <n v="27083.261504708524"/>
    <n v="0"/>
    <n v="0"/>
  </r>
  <r>
    <s v="Regular"/>
    <x v="0"/>
    <x v="0"/>
    <x v="1"/>
    <x v="0"/>
    <x v="1"/>
    <x v="0"/>
    <x v="1"/>
    <x v="0"/>
    <n v="0"/>
    <n v="0"/>
    <n v="1322.09"/>
    <n v="1322.09"/>
    <n v="0"/>
    <n v="0"/>
    <n v="4"/>
    <x v="0"/>
    <n v="0"/>
    <n v="0"/>
    <n v="5"/>
    <n v="0"/>
    <n v="0"/>
    <n v="41.95"/>
    <n v="0"/>
    <m/>
    <n v="56.586384886641618"/>
    <m/>
    <n v="0"/>
    <n v="55461.675499999998"/>
    <n v="0"/>
    <n v="0"/>
    <n v="74812.293594780014"/>
    <n v="0"/>
  </r>
  <r>
    <s v="Regular"/>
    <x v="0"/>
    <x v="0"/>
    <x v="1"/>
    <x v="0"/>
    <x v="1"/>
    <x v="0"/>
    <x v="1"/>
    <x v="1"/>
    <n v="0"/>
    <n v="0"/>
    <n v="1296.7840000000001"/>
    <n v="1296.7840000000001"/>
    <n v="0"/>
    <n v="0"/>
    <n v="4"/>
    <x v="0"/>
    <n v="0"/>
    <n v="0"/>
    <n v="5"/>
    <n v="0"/>
    <n v="0"/>
    <n v="41.95"/>
    <n v="0"/>
    <m/>
    <n v="56.586384886641618"/>
    <m/>
    <n v="0"/>
    <n v="54400.088800000005"/>
    <n v="0"/>
    <n v="0"/>
    <n v="73380.318538838663"/>
    <n v="0"/>
  </r>
  <r>
    <s v="Regular"/>
    <x v="0"/>
    <x v="0"/>
    <x v="1"/>
    <x v="0"/>
    <x v="1"/>
    <x v="0"/>
    <x v="1"/>
    <x v="2"/>
    <n v="0"/>
    <n v="0"/>
    <n v="1202.2439999999999"/>
    <n v="1202.2439999999999"/>
    <n v="0"/>
    <n v="0"/>
    <n v="4"/>
    <x v="0"/>
    <n v="0"/>
    <n v="0"/>
    <n v="5"/>
    <n v="0"/>
    <n v="0"/>
    <n v="41.95"/>
    <n v="0"/>
    <m/>
    <n v="56.586384886641618"/>
    <m/>
    <n v="0"/>
    <n v="50434.135799999996"/>
    <n v="0"/>
    <n v="0"/>
    <n v="68030.641711655553"/>
    <n v="0"/>
  </r>
  <r>
    <s v="Regular"/>
    <x v="0"/>
    <x v="0"/>
    <x v="1"/>
    <x v="0"/>
    <x v="1"/>
    <x v="0"/>
    <x v="1"/>
    <x v="3"/>
    <n v="0"/>
    <n v="0"/>
    <n v="3153.1880000000001"/>
    <n v="3153.1880000000001"/>
    <n v="0"/>
    <n v="0"/>
    <n v="5"/>
    <x v="0"/>
    <n v="0"/>
    <n v="0"/>
    <n v="5"/>
    <n v="0"/>
    <n v="0"/>
    <n v="41.95"/>
    <n v="0"/>
    <m/>
    <n v="56.586384886641618"/>
    <m/>
    <n v="0"/>
    <n v="132276.2366"/>
    <n v="0"/>
    <n v="0"/>
    <n v="178427.50978793972"/>
    <n v="0"/>
  </r>
  <r>
    <s v="Regular"/>
    <x v="0"/>
    <x v="0"/>
    <x v="1"/>
    <x v="0"/>
    <x v="1"/>
    <x v="0"/>
    <x v="1"/>
    <x v="4"/>
    <n v="0"/>
    <n v="0"/>
    <n v="2288.6550000000002"/>
    <n v="2288.6550000000002"/>
    <n v="0"/>
    <n v="0"/>
    <n v="4"/>
    <x v="0"/>
    <n v="0"/>
    <n v="0"/>
    <n v="5"/>
    <n v="0"/>
    <n v="0"/>
    <n v="41.95"/>
    <n v="0"/>
    <m/>
    <n v="56.586384886641618"/>
    <m/>
    <n v="0"/>
    <n v="96009.077250000017"/>
    <n v="0"/>
    <n v="0"/>
    <n v="129506.71270273678"/>
    <n v="0"/>
  </r>
  <r>
    <s v="Regular"/>
    <x v="0"/>
    <x v="0"/>
    <x v="1"/>
    <x v="0"/>
    <x v="1"/>
    <x v="0"/>
    <x v="1"/>
    <x v="5"/>
    <n v="0"/>
    <n v="0"/>
    <n v="2190.7370000000001"/>
    <n v="2190.7370000000001"/>
    <n v="0"/>
    <n v="0"/>
    <n v="4"/>
    <x v="0"/>
    <n v="0"/>
    <n v="0"/>
    <n v="5"/>
    <n v="0"/>
    <n v="0"/>
    <n v="41.95"/>
    <n v="0"/>
    <m/>
    <n v="56.586384886641618"/>
    <m/>
    <n v="0"/>
    <n v="91901.417150000008"/>
    <n v="0"/>
    <n v="0"/>
    <n v="123965.8870674066"/>
    <n v="0"/>
  </r>
  <r>
    <s v="Regular"/>
    <x v="0"/>
    <x v="0"/>
    <x v="1"/>
    <x v="0"/>
    <x v="1"/>
    <x v="0"/>
    <x v="1"/>
    <x v="6"/>
    <n v="0"/>
    <n v="0"/>
    <n v="1980.68"/>
    <n v="1980.68"/>
    <n v="0"/>
    <n v="0"/>
    <n v="4"/>
    <x v="0"/>
    <n v="0"/>
    <n v="0"/>
    <n v="5"/>
    <n v="0"/>
    <n v="0"/>
    <n v="41.95"/>
    <n v="0"/>
    <m/>
    <n v="56.586384886641618"/>
    <m/>
    <n v="0"/>
    <n v="83089.526000000013"/>
    <n v="0"/>
    <n v="0"/>
    <n v="112079.52081727333"/>
    <n v="0"/>
  </r>
  <r>
    <s v="Regular"/>
    <x v="0"/>
    <x v="0"/>
    <x v="1"/>
    <x v="0"/>
    <x v="1"/>
    <x v="0"/>
    <x v="1"/>
    <x v="7"/>
    <n v="0"/>
    <n v="0"/>
    <n v="1640.53"/>
    <n v="1640.53"/>
    <n v="0"/>
    <n v="0"/>
    <n v="4"/>
    <x v="0"/>
    <n v="0"/>
    <n v="0"/>
    <n v="5"/>
    <n v="0"/>
    <n v="0"/>
    <n v="41.95"/>
    <n v="0"/>
    <m/>
    <n v="56.586384886641618"/>
    <m/>
    <n v="0"/>
    <n v="68820.233500000002"/>
    <n v="0"/>
    <n v="0"/>
    <n v="92831.661998082171"/>
    <n v="0"/>
  </r>
  <r>
    <s v="Regular"/>
    <x v="0"/>
    <x v="0"/>
    <x v="1"/>
    <x v="0"/>
    <x v="1"/>
    <x v="0"/>
    <x v="1"/>
    <x v="8"/>
    <n v="0"/>
    <n v="0"/>
    <n v="2244.9459999999999"/>
    <n v="2244.9459999999999"/>
    <n v="0"/>
    <n v="0"/>
    <n v="4"/>
    <x v="0"/>
    <n v="0"/>
    <n v="0"/>
    <n v="5"/>
    <n v="0"/>
    <n v="0"/>
    <n v="41.95"/>
    <n v="0"/>
    <m/>
    <n v="56.586384886641618"/>
    <m/>
    <n v="0"/>
    <n v="94175.484700000001"/>
    <n v="0"/>
    <n v="0"/>
    <n v="127033.37840572654"/>
    <n v="0"/>
  </r>
  <r>
    <s v="Regular"/>
    <x v="0"/>
    <x v="0"/>
    <x v="1"/>
    <x v="0"/>
    <x v="1"/>
    <x v="0"/>
    <x v="1"/>
    <x v="9"/>
    <n v="0"/>
    <n v="0"/>
    <n v="2199.9859999999999"/>
    <n v="2199.9859999999999"/>
    <n v="0"/>
    <n v="0"/>
    <n v="4"/>
    <x v="0"/>
    <n v="0"/>
    <n v="0"/>
    <n v="5"/>
    <n v="0"/>
    <n v="0"/>
    <n v="41.95"/>
    <n v="0"/>
    <m/>
    <n v="56.586384886641618"/>
    <m/>
    <n v="0"/>
    <n v="92289.412700000001"/>
    <n v="0"/>
    <n v="0"/>
    <n v="124489.25454122314"/>
    <n v="0"/>
  </r>
  <r>
    <s v="Regular"/>
    <x v="0"/>
    <x v="0"/>
    <x v="1"/>
    <x v="0"/>
    <x v="1"/>
    <x v="0"/>
    <x v="1"/>
    <x v="10"/>
    <n v="0"/>
    <n v="0"/>
    <n v="2167.8310000000001"/>
    <n v="2167.8310000000001"/>
    <n v="0"/>
    <n v="0"/>
    <n v="4"/>
    <x v="0"/>
    <n v="0"/>
    <n v="0"/>
    <n v="5"/>
    <n v="0"/>
    <n v="0"/>
    <n v="41.95"/>
    <n v="0"/>
    <m/>
    <n v="56.586384886641618"/>
    <m/>
    <n v="0"/>
    <n v="90940.510450000016"/>
    <n v="0"/>
    <n v="0"/>
    <n v="122669.71933519319"/>
    <n v="0"/>
  </r>
  <r>
    <s v="PROJETADO"/>
    <x v="0"/>
    <x v="0"/>
    <x v="1"/>
    <x v="0"/>
    <x v="1"/>
    <x v="0"/>
    <x v="1"/>
    <x v="11"/>
    <n v="0"/>
    <n v="0"/>
    <n v="2167.8310000000001"/>
    <n v="2167.8310000000001"/>
    <n v="0"/>
    <n v="0"/>
    <n v="4"/>
    <x v="0"/>
    <n v="0"/>
    <n v="0"/>
    <n v="5"/>
    <n v="0"/>
    <n v="0"/>
    <n v="41.95"/>
    <n v="0"/>
    <m/>
    <n v="56.586384886641618"/>
    <m/>
    <n v="0"/>
    <n v="90940.510450000016"/>
    <n v="0"/>
    <n v="0"/>
    <n v="122669.71933519319"/>
    <n v="0"/>
  </r>
  <r>
    <s v="Regular"/>
    <x v="0"/>
    <x v="0"/>
    <x v="1"/>
    <x v="0"/>
    <x v="1"/>
    <x v="0"/>
    <x v="2"/>
    <x v="0"/>
    <n v="3940"/>
    <n v="2639.8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56702.904000000002"/>
    <n v="0"/>
    <n v="0"/>
    <n v="61768.307079990067"/>
    <n v="0"/>
    <n v="0"/>
  </r>
  <r>
    <s v="Regular"/>
    <x v="0"/>
    <x v="0"/>
    <x v="1"/>
    <x v="0"/>
    <x v="1"/>
    <x v="0"/>
    <x v="2"/>
    <x v="1"/>
    <n v="3940"/>
    <n v="2758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59241.840000000004"/>
    <n v="0"/>
    <n v="0"/>
    <n v="64534.05217312395"/>
    <n v="0"/>
    <n v="0"/>
  </r>
  <r>
    <s v="Regular"/>
    <x v="0"/>
    <x v="0"/>
    <x v="1"/>
    <x v="0"/>
    <x v="1"/>
    <x v="0"/>
    <x v="2"/>
    <x v="2"/>
    <n v="3940"/>
    <n v="4609.8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99018.504000000001"/>
    <n v="0"/>
    <n v="0"/>
    <n v="107864.05863222147"/>
    <n v="0"/>
    <n v="0"/>
  </r>
  <r>
    <s v="Regular"/>
    <x v="0"/>
    <x v="0"/>
    <x v="1"/>
    <x v="0"/>
    <x v="1"/>
    <x v="0"/>
    <x v="2"/>
    <x v="3"/>
    <n v="6627"/>
    <n v="4903.9799999999996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05337.4904"/>
    <n v="0"/>
    <n v="0"/>
    <n v="114747.5348716303"/>
    <n v="0"/>
    <n v="0"/>
  </r>
  <r>
    <s v="Regular"/>
    <x v="0"/>
    <x v="0"/>
    <x v="1"/>
    <x v="0"/>
    <x v="1"/>
    <x v="0"/>
    <x v="2"/>
    <x v="4"/>
    <n v="4818"/>
    <n v="1975.38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42431.162400000001"/>
    <n v="0"/>
    <n v="0"/>
    <n v="46221.637411800431"/>
    <n v="0"/>
    <n v="0"/>
  </r>
  <r>
    <s v="Regular"/>
    <x v="0"/>
    <x v="0"/>
    <x v="1"/>
    <x v="0"/>
    <x v="1"/>
    <x v="0"/>
    <x v="2"/>
    <x v="5"/>
    <n v="4737"/>
    <n v="1989.54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42735.319199999998"/>
    <n v="0"/>
    <n v="0"/>
    <n v="46552.965250368754"/>
    <n v="0"/>
    <n v="0"/>
  </r>
  <r>
    <s v="Regular"/>
    <x v="0"/>
    <x v="0"/>
    <x v="1"/>
    <x v="0"/>
    <x v="1"/>
    <x v="0"/>
    <x v="2"/>
    <x v="6"/>
    <n v="4766"/>
    <n v="2001.72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42996.945599999999"/>
    <n v="0"/>
    <n v="0"/>
    <n v="46837.963348798286"/>
    <n v="0"/>
    <n v="0"/>
  </r>
  <r>
    <s v="Regular"/>
    <x v="0"/>
    <x v="0"/>
    <x v="1"/>
    <x v="0"/>
    <x v="1"/>
    <x v="0"/>
    <x v="2"/>
    <x v="7"/>
    <n v="4922"/>
    <n v="2116.46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45461.560799999999"/>
    <n v="0"/>
    <n v="0"/>
    <n v="49522.748390982561"/>
    <n v="0"/>
    <n v="0"/>
  </r>
  <r>
    <s v="Regular"/>
    <x v="0"/>
    <x v="0"/>
    <x v="1"/>
    <x v="0"/>
    <x v="1"/>
    <x v="0"/>
    <x v="2"/>
    <x v="8"/>
    <n v="4890"/>
    <n v="2053.8000000000002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44115.624000000003"/>
    <n v="0"/>
    <n v="0"/>
    <n v="48056.575907600425"/>
    <n v="0"/>
    <n v="0"/>
  </r>
  <r>
    <s v="Regular"/>
    <x v="0"/>
    <x v="0"/>
    <x v="1"/>
    <x v="0"/>
    <x v="1"/>
    <x v="0"/>
    <x v="2"/>
    <x v="9"/>
    <n v="4640"/>
    <n v="1902.4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40863.552000000003"/>
    <n v="0"/>
    <n v="0"/>
    <n v="44513.988707088836"/>
    <n v="0"/>
    <n v="0"/>
  </r>
  <r>
    <s v="Regular"/>
    <x v="0"/>
    <x v="0"/>
    <x v="1"/>
    <x v="0"/>
    <x v="1"/>
    <x v="0"/>
    <x v="2"/>
    <x v="10"/>
    <n v="4917"/>
    <n v="2065.14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44359.207199999997"/>
    <n v="0"/>
    <n v="0"/>
    <n v="48321.918964758952"/>
    <n v="0"/>
    <n v="0"/>
  </r>
  <r>
    <s v="PROJETADO"/>
    <x v="0"/>
    <x v="0"/>
    <x v="1"/>
    <x v="0"/>
    <x v="1"/>
    <x v="0"/>
    <x v="2"/>
    <x v="11"/>
    <n v="4917"/>
    <n v="2065.14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44359.207199999997"/>
    <n v="0"/>
    <n v="0"/>
    <n v="48321.918964758952"/>
    <n v="0"/>
    <n v="0"/>
  </r>
  <r>
    <s v="Regular"/>
    <x v="0"/>
    <x v="0"/>
    <x v="1"/>
    <x v="0"/>
    <x v="0"/>
    <x v="0"/>
    <x v="0"/>
    <x v="0"/>
    <n v="9995"/>
    <n v="9995"/>
    <n v="2217.962"/>
    <n v="2217.962"/>
    <n v="2217.962"/>
    <n v="2217.962"/>
    <n v="0"/>
    <x v="1"/>
    <n v="0"/>
    <n v="3"/>
    <n v="5"/>
    <n v="65"/>
    <n v="11.17"/>
    <n v="41.95"/>
    <n v="242.82"/>
    <n v="12.124300073734677"/>
    <n v="56.586384886641618"/>
    <n v="224.53785920244138"/>
    <n v="111644.15"/>
    <n v="93043.505900000004"/>
    <n v="538565.53284"/>
    <n v="121182.3792369781"/>
    <n v="125506.45139594542"/>
    <n v="498016.4392723653"/>
  </r>
  <r>
    <s v="Regular"/>
    <x v="0"/>
    <x v="0"/>
    <x v="1"/>
    <x v="0"/>
    <x v="0"/>
    <x v="0"/>
    <x v="0"/>
    <x v="0"/>
    <n v="79678"/>
    <n v="79678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90003.26"/>
    <n v="0"/>
    <n v="0"/>
    <n v="966039.98127503158"/>
    <n v="0"/>
    <n v="0"/>
  </r>
  <r>
    <s v="Regular"/>
    <x v="0"/>
    <x v="0"/>
    <x v="1"/>
    <x v="0"/>
    <x v="0"/>
    <x v="0"/>
    <x v="0"/>
    <x v="1"/>
    <n v="9631"/>
    <n v="9631"/>
    <n v="1836.9829999999999"/>
    <n v="1836.9829999999999"/>
    <n v="1836.9829999999999"/>
    <n v="1836.9829999999999"/>
    <n v="0"/>
    <x v="1"/>
    <n v="0"/>
    <n v="3"/>
    <n v="5"/>
    <n v="65"/>
    <n v="11.17"/>
    <n v="41.95"/>
    <n v="242.82"/>
    <n v="12.124300073734677"/>
    <n v="56.586384886641618"/>
    <n v="224.53785920244138"/>
    <n v="107578.27"/>
    <n v="77061.436849999998"/>
    <n v="446056.21205999999"/>
    <n v="116769.13401013867"/>
    <n v="103948.22706821757"/>
    <n v="412472.23021127837"/>
  </r>
  <r>
    <s v="Regular"/>
    <x v="0"/>
    <x v="0"/>
    <x v="1"/>
    <x v="0"/>
    <x v="0"/>
    <x v="0"/>
    <x v="0"/>
    <x v="1"/>
    <n v="79757"/>
    <n v="79757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90885.69"/>
    <n v="0"/>
    <n v="0"/>
    <n v="966997.80098085664"/>
    <n v="0"/>
    <n v="0"/>
  </r>
  <r>
    <s v="Regular"/>
    <x v="0"/>
    <x v="0"/>
    <x v="1"/>
    <x v="0"/>
    <x v="0"/>
    <x v="0"/>
    <x v="0"/>
    <x v="2"/>
    <n v="4584"/>
    <n v="4584"/>
    <n v="443.43099999999998"/>
    <n v="443.43099999999998"/>
    <n v="443.43099999999998"/>
    <n v="443.43099999999998"/>
    <n v="0"/>
    <x v="1"/>
    <n v="0"/>
    <n v="3"/>
    <n v="5"/>
    <n v="65"/>
    <n v="11.17"/>
    <n v="41.95"/>
    <n v="242.82"/>
    <n v="12.124300073734677"/>
    <n v="56.586384886641618"/>
    <n v="224.53785920244138"/>
    <n v="51203.28"/>
    <n v="18601.93045"/>
    <n v="107673.91541999999"/>
    <n v="55577.791537999758"/>
    <n v="25092.157236668379"/>
    <n v="99567.047443997784"/>
  </r>
  <r>
    <s v="Regular"/>
    <x v="0"/>
    <x v="0"/>
    <x v="1"/>
    <x v="0"/>
    <x v="0"/>
    <x v="0"/>
    <x v="0"/>
    <x v="2"/>
    <n v="80288"/>
    <n v="80288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96816.96"/>
    <n v="0"/>
    <n v="0"/>
    <n v="973435.80432000977"/>
    <n v="0"/>
    <n v="0"/>
  </r>
  <r>
    <s v="Regular"/>
    <x v="0"/>
    <x v="0"/>
    <x v="1"/>
    <x v="0"/>
    <x v="0"/>
    <x v="0"/>
    <x v="0"/>
    <x v="3"/>
    <n v="6174"/>
    <n v="6174"/>
    <n v="1770.8889999999999"/>
    <n v="1770.8889999999999"/>
    <n v="1770.8889999999999"/>
    <n v="1770.8889999999999"/>
    <n v="0"/>
    <x v="1"/>
    <n v="0"/>
    <n v="3"/>
    <n v="5"/>
    <n v="65"/>
    <n v="11.17"/>
    <n v="41.95"/>
    <n v="242.82"/>
    <n v="12.124300073734677"/>
    <n v="56.586384886641618"/>
    <n v="224.53785920244138"/>
    <n v="68963.58"/>
    <n v="74288.793550000002"/>
    <n v="430007.26697999996"/>
    <n v="74855.428655237891"/>
    <n v="100208.20654551988"/>
    <n v="397631.6249451522"/>
  </r>
  <r>
    <s v="Regular"/>
    <x v="0"/>
    <x v="0"/>
    <x v="1"/>
    <x v="0"/>
    <x v="0"/>
    <x v="0"/>
    <x v="0"/>
    <x v="3"/>
    <n v="80195"/>
    <n v="80195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95778.15"/>
    <n v="0"/>
    <n v="0"/>
    <n v="972308.24441315245"/>
    <n v="0"/>
    <n v="0"/>
  </r>
  <r>
    <s v="Regular"/>
    <x v="0"/>
    <x v="0"/>
    <x v="1"/>
    <x v="0"/>
    <x v="0"/>
    <x v="0"/>
    <x v="0"/>
    <x v="4"/>
    <n v="7656"/>
    <n v="7656"/>
    <n v="758.78800000000001"/>
    <n v="758.78800000000001"/>
    <n v="758.78800000000001"/>
    <n v="758.78800000000001"/>
    <n v="0"/>
    <x v="1"/>
    <n v="0"/>
    <n v="3"/>
    <n v="5"/>
    <n v="65"/>
    <n v="11.17"/>
    <n v="41.95"/>
    <n v="242.82"/>
    <n v="12.124300073734677"/>
    <n v="56.586384886641618"/>
    <n v="224.53785920244138"/>
    <n v="85517.52"/>
    <n v="31831.156600000002"/>
    <n v="184248.90216"/>
    <n v="92823.641364512689"/>
    <n v="42937.069815365023"/>
    <n v="170376.63310850208"/>
  </r>
  <r>
    <s v="Regular"/>
    <x v="0"/>
    <x v="0"/>
    <x v="1"/>
    <x v="0"/>
    <x v="0"/>
    <x v="0"/>
    <x v="0"/>
    <x v="4"/>
    <n v="82242"/>
    <n v="82242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918643.14"/>
    <n v="0"/>
    <n v="0"/>
    <n v="997126.68666408735"/>
    <n v="0"/>
    <n v="0"/>
  </r>
  <r>
    <s v="Regular"/>
    <x v="0"/>
    <x v="0"/>
    <x v="1"/>
    <x v="0"/>
    <x v="0"/>
    <x v="0"/>
    <x v="0"/>
    <x v="5"/>
    <n v="5137"/>
    <n v="5137"/>
    <n v="910.68399999999997"/>
    <n v="910.68399999999997"/>
    <n v="910.68399999999997"/>
    <n v="910.68399999999997"/>
    <n v="0"/>
    <x v="1"/>
    <n v="0"/>
    <n v="3"/>
    <n v="5"/>
    <n v="65"/>
    <n v="11.17"/>
    <n v="41.95"/>
    <n v="242.82"/>
    <n v="12.124300073734677"/>
    <n v="56.586384886641618"/>
    <n v="224.53785920244138"/>
    <n v="57380.29"/>
    <n v="38203.193800000001"/>
    <n v="221132.28887999998"/>
    <n v="62282.529478775032"/>
    <n v="51532.31533410633"/>
    <n v="204483.03576991611"/>
  </r>
  <r>
    <s v="Refaturamento - Regular"/>
    <x v="0"/>
    <x v="0"/>
    <x v="1"/>
    <x v="0"/>
    <x v="0"/>
    <x v="0"/>
    <x v="0"/>
    <x v="5"/>
    <n v="0"/>
    <n v="0"/>
    <n v="9.6110000000000007"/>
    <n v="9.6110000000000007"/>
    <n v="9.6110000000000007"/>
    <n v="9.6110000000000007"/>
    <n v="0"/>
    <x v="1"/>
    <n v="0"/>
    <n v="0"/>
    <n v="5"/>
    <n v="65"/>
    <n v="0"/>
    <n v="41.95"/>
    <n v="242.82"/>
    <n v="12.124300073734677"/>
    <n v="56.586384886641618"/>
    <n v="224.53785920244138"/>
    <n v="0"/>
    <n v="403.18145000000004"/>
    <n v="2333.7430199999999"/>
    <n v="0"/>
    <n v="543.85174514551261"/>
    <n v="2158.0333647946641"/>
  </r>
  <r>
    <s v="Regular"/>
    <x v="0"/>
    <x v="0"/>
    <x v="1"/>
    <x v="0"/>
    <x v="0"/>
    <x v="0"/>
    <x v="0"/>
    <x v="5"/>
    <n v="79659"/>
    <n v="79659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89791.03"/>
    <n v="0"/>
    <n v="0"/>
    <n v="965809.61957363063"/>
    <n v="0"/>
    <n v="0"/>
  </r>
  <r>
    <s v="Regular"/>
    <x v="0"/>
    <x v="0"/>
    <x v="1"/>
    <x v="0"/>
    <x v="0"/>
    <x v="0"/>
    <x v="0"/>
    <x v="6"/>
    <n v="3015"/>
    <n v="3015"/>
    <n v="958.54499999999996"/>
    <n v="958.54499999999996"/>
    <n v="958.54499999999996"/>
    <n v="958.54499999999996"/>
    <n v="0"/>
    <x v="1"/>
    <n v="0"/>
    <n v="3"/>
    <n v="5"/>
    <n v="65"/>
    <n v="11.17"/>
    <n v="41.95"/>
    <n v="242.82"/>
    <n v="12.124300073734677"/>
    <n v="56.586384886641618"/>
    <n v="224.53785920244138"/>
    <n v="33677.550000000003"/>
    <n v="40210.962749999999"/>
    <n v="232753.89689999999"/>
    <n v="36554.76472231005"/>
    <n v="54240.59630116589"/>
    <n v="215229.64224920416"/>
  </r>
  <r>
    <s v="Regular"/>
    <x v="0"/>
    <x v="0"/>
    <x v="1"/>
    <x v="0"/>
    <x v="0"/>
    <x v="0"/>
    <x v="0"/>
    <x v="6"/>
    <n v="79658"/>
    <n v="79658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89779.86"/>
    <n v="0"/>
    <n v="0"/>
    <n v="965797.49527355691"/>
    <n v="0"/>
    <n v="0"/>
  </r>
  <r>
    <s v="Regular"/>
    <x v="0"/>
    <x v="0"/>
    <x v="1"/>
    <x v="0"/>
    <x v="0"/>
    <x v="0"/>
    <x v="0"/>
    <x v="7"/>
    <n v="3101"/>
    <n v="3101"/>
    <n v="802.63"/>
    <n v="802.63"/>
    <n v="802.63"/>
    <n v="802.63"/>
    <n v="0"/>
    <x v="1"/>
    <n v="0"/>
    <n v="3"/>
    <n v="5"/>
    <n v="65"/>
    <n v="11.17"/>
    <n v="41.95"/>
    <n v="242.82"/>
    <n v="12.124300073734677"/>
    <n v="56.586384886641618"/>
    <n v="224.53785920244138"/>
    <n v="34638.17"/>
    <n v="33670.328500000003"/>
    <n v="194894.61659999998"/>
    <n v="37597.454528651237"/>
    <n v="45417.930101565158"/>
    <n v="180220.82193165552"/>
  </r>
  <r>
    <s v="Regular"/>
    <x v="0"/>
    <x v="0"/>
    <x v="1"/>
    <x v="0"/>
    <x v="0"/>
    <x v="0"/>
    <x v="0"/>
    <x v="7"/>
    <n v="79872"/>
    <n v="79872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92170.23999999999"/>
    <n v="0"/>
    <n v="0"/>
    <n v="968392.09548933606"/>
    <n v="0"/>
    <n v="0"/>
  </r>
  <r>
    <s v="Regular"/>
    <x v="0"/>
    <x v="0"/>
    <x v="1"/>
    <x v="0"/>
    <x v="0"/>
    <x v="0"/>
    <x v="0"/>
    <x v="8"/>
    <n v="3072"/>
    <n v="3072"/>
    <n v="1021.4349999999999"/>
    <n v="1021.4349999999999"/>
    <n v="1021.4349999999999"/>
    <n v="1021.4349999999999"/>
    <n v="0"/>
    <x v="1"/>
    <n v="0"/>
    <n v="3"/>
    <n v="5"/>
    <n v="65"/>
    <n v="11.17"/>
    <n v="41.95"/>
    <n v="242.82"/>
    <n v="12.124300073734677"/>
    <n v="56.586384886641618"/>
    <n v="224.53785920244138"/>
    <n v="34314.239999999998"/>
    <n v="42849.198250000001"/>
    <n v="248024.84669999997"/>
    <n v="37245.849826512931"/>
    <n v="57799.314046686777"/>
    <n v="229350.8282144457"/>
  </r>
  <r>
    <s v="Regular"/>
    <x v="0"/>
    <x v="0"/>
    <x v="1"/>
    <x v="0"/>
    <x v="0"/>
    <x v="0"/>
    <x v="0"/>
    <x v="8"/>
    <n v="80028"/>
    <n v="80028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93912.76"/>
    <n v="0"/>
    <n v="0"/>
    <n v="970283.48630083876"/>
    <n v="0"/>
    <n v="0"/>
  </r>
  <r>
    <s v="Regular"/>
    <x v="0"/>
    <x v="0"/>
    <x v="1"/>
    <x v="0"/>
    <x v="0"/>
    <x v="0"/>
    <x v="0"/>
    <x v="9"/>
    <n v="3120"/>
    <n v="3120"/>
    <n v="1153.4100000000001"/>
    <n v="1153.4100000000001"/>
    <n v="1153.4100000000001"/>
    <n v="1153.4100000000001"/>
    <n v="0"/>
    <x v="1"/>
    <n v="0"/>
    <n v="3"/>
    <n v="5"/>
    <n v="65"/>
    <n v="11.17"/>
    <n v="41.95"/>
    <n v="242.82"/>
    <n v="12.124300073734677"/>
    <n v="56.586384886641618"/>
    <n v="224.53785920244138"/>
    <n v="34850.400000000001"/>
    <n v="48385.549500000008"/>
    <n v="280071.01620000001"/>
    <n v="37827.816230052194"/>
    <n v="65267.302192101313"/>
    <n v="258984.21218268794"/>
  </r>
  <r>
    <s v="Regular"/>
    <x v="0"/>
    <x v="0"/>
    <x v="1"/>
    <x v="0"/>
    <x v="0"/>
    <x v="0"/>
    <x v="0"/>
    <x v="9"/>
    <n v="80060"/>
    <n v="80060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94270.2"/>
    <n v="0"/>
    <n v="0"/>
    <n v="970671.46390319825"/>
    <n v="0"/>
    <n v="0"/>
  </r>
  <r>
    <s v="Regular"/>
    <x v="0"/>
    <x v="0"/>
    <x v="1"/>
    <x v="0"/>
    <x v="0"/>
    <x v="0"/>
    <x v="0"/>
    <x v="10"/>
    <n v="3081"/>
    <n v="3081"/>
    <n v="1294.31"/>
    <n v="1294.31"/>
    <n v="1294.31"/>
    <n v="1294.31"/>
    <n v="0"/>
    <x v="1"/>
    <n v="0"/>
    <n v="3"/>
    <n v="5"/>
    <n v="65"/>
    <n v="11.17"/>
    <n v="41.95"/>
    <n v="242.82"/>
    <n v="12.124300073734677"/>
    <n v="56.586384886641618"/>
    <n v="224.53785920244138"/>
    <n v="34414.769999999997"/>
    <n v="54296.304499999998"/>
    <n v="314284.3542"/>
    <n v="37354.968527176541"/>
    <n v="73240.323822629114"/>
    <n v="290621.59654431191"/>
  </r>
  <r>
    <s v="Regular"/>
    <x v="0"/>
    <x v="0"/>
    <x v="1"/>
    <x v="0"/>
    <x v="0"/>
    <x v="0"/>
    <x v="0"/>
    <x v="10"/>
    <n v="79821"/>
    <n v="79821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91600.57"/>
    <n v="0"/>
    <n v="0"/>
    <n v="967773.75618557562"/>
    <n v="0"/>
    <n v="0"/>
  </r>
  <r>
    <s v="PROJETADO"/>
    <x v="0"/>
    <x v="0"/>
    <x v="1"/>
    <x v="0"/>
    <x v="0"/>
    <x v="0"/>
    <x v="0"/>
    <x v="11"/>
    <n v="3081"/>
    <n v="3081"/>
    <n v="1294.31"/>
    <n v="1294.31"/>
    <n v="1294.31"/>
    <n v="1294.31"/>
    <n v="0"/>
    <x v="1"/>
    <n v="0"/>
    <n v="3"/>
    <n v="5"/>
    <n v="65"/>
    <n v="11.17"/>
    <n v="41.95"/>
    <n v="242.82"/>
    <n v="12.124300073734677"/>
    <n v="56.586384886641618"/>
    <n v="224.53785920244138"/>
    <n v="34414.769999999997"/>
    <n v="54296.304499999998"/>
    <n v="314284.3542"/>
    <n v="37354.968527176541"/>
    <n v="73240.323822629114"/>
    <n v="290621.59654431191"/>
  </r>
  <r>
    <s v="PROJETADO"/>
    <x v="0"/>
    <x v="0"/>
    <x v="1"/>
    <x v="0"/>
    <x v="0"/>
    <x v="0"/>
    <x v="0"/>
    <x v="11"/>
    <n v="79821"/>
    <n v="79821"/>
    <n v="0"/>
    <n v="0"/>
    <n v="0"/>
    <n v="0"/>
    <n v="0"/>
    <x v="0"/>
    <n v="0"/>
    <n v="3"/>
    <n v="0"/>
    <n v="0"/>
    <n v="11.17"/>
    <n v="0"/>
    <n v="0"/>
    <n v="12.124300073734677"/>
    <n v="56.586384886641618"/>
    <m/>
    <n v="891600.57"/>
    <n v="0"/>
    <n v="0"/>
    <n v="967773.75618557562"/>
    <n v="0"/>
    <n v="0"/>
  </r>
  <r>
    <s v="Regular"/>
    <x v="0"/>
    <x v="0"/>
    <x v="1"/>
    <x v="0"/>
    <x v="0"/>
    <x v="0"/>
    <x v="1"/>
    <x v="0"/>
    <n v="0"/>
    <n v="0"/>
    <n v="41102.165999999997"/>
    <n v="41102.165999999997"/>
    <n v="0"/>
    <n v="0"/>
    <n v="12"/>
    <x v="0"/>
    <n v="0"/>
    <n v="0"/>
    <n v="5"/>
    <n v="0"/>
    <n v="0"/>
    <n v="41.95"/>
    <n v="0"/>
    <m/>
    <n v="56.586384886641618"/>
    <m/>
    <n v="0"/>
    <n v="1724235.8637000001"/>
    <n v="0"/>
    <n v="0"/>
    <n v="2325822.9849506347"/>
    <n v="0"/>
  </r>
  <r>
    <s v="Regular"/>
    <x v="0"/>
    <x v="0"/>
    <x v="1"/>
    <x v="0"/>
    <x v="0"/>
    <x v="0"/>
    <x v="1"/>
    <x v="1"/>
    <n v="0"/>
    <n v="0"/>
    <n v="41848.686000000002"/>
    <n v="41848.686000000002"/>
    <n v="0"/>
    <n v="0"/>
    <n v="12"/>
    <x v="0"/>
    <n v="0"/>
    <n v="0"/>
    <n v="5"/>
    <n v="0"/>
    <n v="0"/>
    <n v="41.95"/>
    <n v="0"/>
    <m/>
    <n v="56.586384886641618"/>
    <m/>
    <n v="0"/>
    <n v="1755552.3777000001"/>
    <n v="0"/>
    <n v="0"/>
    <n v="2368065.8529962106"/>
    <n v="0"/>
  </r>
  <r>
    <s v="Regular"/>
    <x v="0"/>
    <x v="0"/>
    <x v="1"/>
    <x v="0"/>
    <x v="0"/>
    <x v="0"/>
    <x v="1"/>
    <x v="2"/>
    <n v="0"/>
    <n v="0"/>
    <n v="43769.120000000003"/>
    <n v="43769.120000000003"/>
    <n v="0"/>
    <n v="0"/>
    <n v="12"/>
    <x v="0"/>
    <n v="0"/>
    <n v="0"/>
    <n v="5"/>
    <n v="0"/>
    <n v="0"/>
    <n v="41.95"/>
    <n v="0"/>
    <m/>
    <n v="56.586384886641618"/>
    <m/>
    <n v="0"/>
    <n v="1836114.5840000003"/>
    <n v="0"/>
    <n v="0"/>
    <n v="2476736.2704696036"/>
    <n v="0"/>
  </r>
  <r>
    <s v="Regular"/>
    <x v="0"/>
    <x v="0"/>
    <x v="1"/>
    <x v="0"/>
    <x v="0"/>
    <x v="0"/>
    <x v="1"/>
    <x v="3"/>
    <n v="0"/>
    <n v="0"/>
    <n v="41115.533000000003"/>
    <n v="41115.533000000003"/>
    <n v="0"/>
    <n v="0"/>
    <n v="12"/>
    <x v="0"/>
    <n v="0"/>
    <n v="0"/>
    <n v="5"/>
    <n v="0"/>
    <n v="0"/>
    <n v="41.95"/>
    <n v="0"/>
    <m/>
    <n v="56.586384886641618"/>
    <m/>
    <n v="0"/>
    <n v="1724796.6093500003"/>
    <n v="0"/>
    <n v="0"/>
    <n v="2326579.3751574149"/>
    <n v="0"/>
  </r>
  <r>
    <s v="Regular"/>
    <x v="0"/>
    <x v="0"/>
    <x v="1"/>
    <x v="0"/>
    <x v="0"/>
    <x v="0"/>
    <x v="1"/>
    <x v="4"/>
    <n v="0"/>
    <n v="0"/>
    <n v="41824.671000000002"/>
    <n v="41824.671000000002"/>
    <n v="0"/>
    <n v="0"/>
    <n v="13"/>
    <x v="0"/>
    <n v="0"/>
    <n v="0"/>
    <n v="5"/>
    <n v="0"/>
    <n v="0"/>
    <n v="41.95"/>
    <n v="0"/>
    <m/>
    <n v="56.586384886641618"/>
    <m/>
    <n v="0"/>
    <n v="1754544.9484500003"/>
    <n v="0"/>
    <n v="0"/>
    <n v="2366706.9309631581"/>
    <n v="0"/>
  </r>
  <r>
    <s v="Regular"/>
    <x v="0"/>
    <x v="0"/>
    <x v="1"/>
    <x v="0"/>
    <x v="0"/>
    <x v="0"/>
    <x v="1"/>
    <x v="5"/>
    <n v="0"/>
    <n v="0"/>
    <n v="36495.809000000001"/>
    <n v="36495.809000000001"/>
    <n v="0"/>
    <n v="0"/>
    <n v="13"/>
    <x v="0"/>
    <n v="0"/>
    <n v="0"/>
    <n v="5"/>
    <n v="0"/>
    <n v="0"/>
    <n v="41.95"/>
    <n v="0"/>
    <m/>
    <n v="56.586384886641618"/>
    <m/>
    <n v="0"/>
    <n v="1530999.1875500001"/>
    <n v="0"/>
    <n v="0"/>
    <n v="2065165.8948233591"/>
    <n v="0"/>
  </r>
  <r>
    <s v="Regular"/>
    <x v="0"/>
    <x v="0"/>
    <x v="1"/>
    <x v="0"/>
    <x v="0"/>
    <x v="0"/>
    <x v="1"/>
    <x v="6"/>
    <n v="0"/>
    <n v="0"/>
    <n v="41843.396999999997"/>
    <n v="41843.396999999997"/>
    <n v="0"/>
    <n v="0"/>
    <n v="13"/>
    <x v="0"/>
    <n v="0"/>
    <n v="0"/>
    <n v="5"/>
    <n v="0"/>
    <n v="0"/>
    <n v="41.95"/>
    <n v="0"/>
    <m/>
    <n v="56.586384886641618"/>
    <m/>
    <n v="0"/>
    <n v="1755330.5041499999"/>
    <n v="0"/>
    <n v="0"/>
    <n v="2367766.5676065451"/>
    <n v="0"/>
  </r>
  <r>
    <s v="Regular"/>
    <x v="0"/>
    <x v="0"/>
    <x v="1"/>
    <x v="0"/>
    <x v="0"/>
    <x v="0"/>
    <x v="1"/>
    <x v="7"/>
    <n v="0"/>
    <n v="0"/>
    <n v="37626.337"/>
    <n v="37626.337"/>
    <n v="0"/>
    <n v="0"/>
    <n v="13"/>
    <x v="0"/>
    <n v="0"/>
    <n v="0"/>
    <n v="5"/>
    <n v="0"/>
    <n v="0"/>
    <n v="41.95"/>
    <n v="0"/>
    <m/>
    <n v="56.586384886641618"/>
    <m/>
    <n v="0"/>
    <n v="1578424.83715"/>
    <n v="0"/>
    <n v="0"/>
    <n v="2129138.3873564843"/>
    <n v="0"/>
  </r>
  <r>
    <s v="Regular"/>
    <x v="0"/>
    <x v="0"/>
    <x v="1"/>
    <x v="0"/>
    <x v="0"/>
    <x v="0"/>
    <x v="1"/>
    <x v="8"/>
    <n v="0"/>
    <n v="0"/>
    <n v="41955.839999999997"/>
    <n v="41955.839999999997"/>
    <n v="0"/>
    <n v="0"/>
    <n v="13"/>
    <x v="0"/>
    <n v="0"/>
    <n v="0"/>
    <n v="5"/>
    <n v="0"/>
    <n v="0"/>
    <n v="41.95"/>
    <n v="0"/>
    <m/>
    <n v="56.586384886641618"/>
    <m/>
    <n v="0"/>
    <n v="1760047.4879999999"/>
    <n v="0"/>
    <n v="0"/>
    <n v="2374129.3104823534"/>
    <n v="0"/>
  </r>
  <r>
    <s v="Regular"/>
    <x v="0"/>
    <x v="0"/>
    <x v="1"/>
    <x v="0"/>
    <x v="0"/>
    <x v="0"/>
    <x v="1"/>
    <x v="9"/>
    <n v="0"/>
    <n v="0"/>
    <n v="40929.413999999997"/>
    <n v="40929.413999999997"/>
    <n v="0"/>
    <n v="0"/>
    <n v="13"/>
    <x v="0"/>
    <n v="0"/>
    <n v="0"/>
    <n v="5"/>
    <n v="0"/>
    <n v="0"/>
    <n v="41.95"/>
    <n v="0"/>
    <m/>
    <n v="56.586384886641618"/>
    <m/>
    <n v="0"/>
    <n v="1716988.9173000001"/>
    <n v="0"/>
    <n v="0"/>
    <n v="2316047.5737886978"/>
    <n v="0"/>
  </r>
  <r>
    <s v="Regular"/>
    <x v="0"/>
    <x v="0"/>
    <x v="1"/>
    <x v="0"/>
    <x v="0"/>
    <x v="0"/>
    <x v="1"/>
    <x v="10"/>
    <n v="0"/>
    <n v="0"/>
    <n v="41451.843999999997"/>
    <n v="41451.843999999997"/>
    <n v="0"/>
    <n v="0"/>
    <n v="13"/>
    <x v="0"/>
    <n v="0"/>
    <n v="0"/>
    <n v="5"/>
    <n v="0"/>
    <n v="0"/>
    <n v="41.95"/>
    <n v="0"/>
    <m/>
    <n v="56.586384886641618"/>
    <m/>
    <n v="0"/>
    <n v="1738904.8558"/>
    <n v="0"/>
    <n v="0"/>
    <n v="2345609.9988450259"/>
    <n v="0"/>
  </r>
  <r>
    <s v="PROJETADO"/>
    <x v="0"/>
    <x v="0"/>
    <x v="1"/>
    <x v="0"/>
    <x v="0"/>
    <x v="0"/>
    <x v="1"/>
    <x v="11"/>
    <n v="0"/>
    <n v="0"/>
    <n v="41451.843999999997"/>
    <n v="41451.843999999997"/>
    <n v="0"/>
    <n v="0"/>
    <n v="13"/>
    <x v="0"/>
    <n v="0"/>
    <n v="0"/>
    <n v="5"/>
    <n v="0"/>
    <n v="0"/>
    <n v="41.95"/>
    <n v="0"/>
    <m/>
    <n v="56.586384886641618"/>
    <m/>
    <n v="0"/>
    <n v="1738904.8558"/>
    <n v="0"/>
    <n v="0"/>
    <n v="2345609.9988450259"/>
    <n v="0"/>
  </r>
  <r>
    <s v="Regular"/>
    <x v="0"/>
    <x v="0"/>
    <x v="1"/>
    <x v="0"/>
    <x v="0"/>
    <x v="0"/>
    <x v="2"/>
    <x v="0"/>
    <n v="7314"/>
    <n v="7314"/>
    <n v="182.25700000000001"/>
    <n v="182.25700000000001"/>
    <n v="182.25700000000001"/>
    <n v="182.25700000000001"/>
    <n v="0"/>
    <x v="1"/>
    <n v="0"/>
    <n v="1"/>
    <n v="5"/>
    <n v="64"/>
    <n v="21.48"/>
    <n v="41.95"/>
    <n v="397.62"/>
    <n v="23.398858655955021"/>
    <n v="56.586384886641618"/>
    <n v="351.67159959099928"/>
    <n v="157104.72"/>
    <n v="7645.6811500000003"/>
    <n v="72469.028340000004"/>
    <n v="171139.25220965501"/>
    <n v="10313.264750284641"/>
    <n v="64094.610726656756"/>
  </r>
  <r>
    <s v="Regular"/>
    <x v="0"/>
    <x v="0"/>
    <x v="1"/>
    <x v="0"/>
    <x v="0"/>
    <x v="0"/>
    <x v="2"/>
    <x v="0"/>
    <n v="67502"/>
    <n v="67502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49942.96"/>
    <n v="0"/>
    <n v="0"/>
    <n v="1579469.7569942758"/>
    <n v="0"/>
    <n v="0"/>
  </r>
  <r>
    <s v="Regular"/>
    <x v="0"/>
    <x v="0"/>
    <x v="1"/>
    <x v="0"/>
    <x v="0"/>
    <x v="0"/>
    <x v="2"/>
    <x v="1"/>
    <n v="6416"/>
    <n v="6416"/>
    <n v="143.01599999999999"/>
    <n v="143.01599999999999"/>
    <n v="143.01599999999999"/>
    <n v="143.01599999999999"/>
    <n v="0"/>
    <x v="1"/>
    <n v="0"/>
    <n v="1"/>
    <n v="5"/>
    <n v="64"/>
    <n v="21.48"/>
    <n v="41.95"/>
    <n v="397.62"/>
    <n v="23.398858655955021"/>
    <n v="56.586384886641618"/>
    <n v="351.67159959099928"/>
    <n v="137815.67999999999"/>
    <n v="5999.5212000000001"/>
    <n v="56866.021919999999"/>
    <n v="150127.0771366074"/>
    <n v="8092.7584209479373"/>
    <n v="50294.665487106351"/>
  </r>
  <r>
    <s v="Regular"/>
    <x v="0"/>
    <x v="0"/>
    <x v="1"/>
    <x v="0"/>
    <x v="0"/>
    <x v="0"/>
    <x v="2"/>
    <x v="1"/>
    <n v="67579"/>
    <n v="67579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51596.92"/>
    <n v="0"/>
    <n v="0"/>
    <n v="1581271.4691107844"/>
    <n v="0"/>
    <n v="0"/>
  </r>
  <r>
    <s v="Regular"/>
    <x v="0"/>
    <x v="0"/>
    <x v="1"/>
    <x v="0"/>
    <x v="0"/>
    <x v="0"/>
    <x v="2"/>
    <x v="2"/>
    <n v="1748"/>
    <n v="1748"/>
    <n v="29.946999999999999"/>
    <n v="29.946999999999999"/>
    <n v="29.946999999999999"/>
    <n v="29.946999999999999"/>
    <n v="0"/>
    <x v="1"/>
    <n v="0"/>
    <n v="1"/>
    <n v="5"/>
    <n v="64"/>
    <n v="21.48"/>
    <n v="41.95"/>
    <n v="397.62"/>
    <n v="23.398858655955021"/>
    <n v="56.586384886641618"/>
    <n v="351.67159959099928"/>
    <n v="37547.040000000001"/>
    <n v="1256.27665"/>
    <n v="11907.52614"/>
    <n v="40901.204930609376"/>
    <n v="1694.5924682002565"/>
    <n v="10531.509392951655"/>
  </r>
  <r>
    <s v="Regular"/>
    <x v="0"/>
    <x v="0"/>
    <x v="1"/>
    <x v="0"/>
    <x v="0"/>
    <x v="0"/>
    <x v="2"/>
    <x v="2"/>
    <n v="67969"/>
    <n v="67969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59974.12"/>
    <n v="0"/>
    <n v="0"/>
    <n v="1590397.0239866069"/>
    <n v="0"/>
    <n v="0"/>
  </r>
  <r>
    <s v="Regular"/>
    <x v="0"/>
    <x v="0"/>
    <x v="1"/>
    <x v="0"/>
    <x v="0"/>
    <x v="0"/>
    <x v="2"/>
    <x v="3"/>
    <n v="1748"/>
    <n v="1748"/>
    <n v="160.47"/>
    <n v="160.47"/>
    <n v="160.47"/>
    <n v="160.47"/>
    <n v="0"/>
    <x v="1"/>
    <n v="0"/>
    <n v="1"/>
    <n v="5"/>
    <n v="64"/>
    <n v="21.48"/>
    <n v="41.95"/>
    <n v="397.62"/>
    <n v="23.398858655955021"/>
    <n v="56.586384886641618"/>
    <n v="351.67159959099928"/>
    <n v="37547.040000000001"/>
    <n v="6731.7165000000005"/>
    <n v="63806.081400000003"/>
    <n v="40901.204930609376"/>
    <n v="9080.41718275938"/>
    <n v="56432.741586367651"/>
  </r>
  <r>
    <s v="Regular"/>
    <x v="0"/>
    <x v="0"/>
    <x v="1"/>
    <x v="0"/>
    <x v="0"/>
    <x v="0"/>
    <x v="2"/>
    <x v="3"/>
    <n v="68142"/>
    <n v="68142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63690.16"/>
    <n v="0"/>
    <n v="0"/>
    <n v="1594445.026534087"/>
    <n v="0"/>
    <n v="0"/>
  </r>
  <r>
    <s v="Regular"/>
    <x v="0"/>
    <x v="0"/>
    <x v="1"/>
    <x v="0"/>
    <x v="0"/>
    <x v="0"/>
    <x v="2"/>
    <x v="4"/>
    <n v="1731"/>
    <n v="1731"/>
    <n v="53.613999999999997"/>
    <n v="53.613999999999997"/>
    <n v="53.613999999999997"/>
    <n v="53.613999999999997"/>
    <n v="0"/>
    <x v="1"/>
    <n v="0"/>
    <n v="1"/>
    <n v="5"/>
    <n v="64"/>
    <n v="21.48"/>
    <n v="41.95"/>
    <n v="397.62"/>
    <n v="23.398858655955021"/>
    <n v="56.586384886641618"/>
    <n v="351.67159959099928"/>
    <n v="37181.879999999997"/>
    <n v="2249.1073000000001"/>
    <n v="21317.998680000001"/>
    <n v="40503.424333458141"/>
    <n v="3033.8224393124037"/>
    <n v="18854.521140471836"/>
  </r>
  <r>
    <s v="Regular"/>
    <x v="0"/>
    <x v="0"/>
    <x v="1"/>
    <x v="0"/>
    <x v="0"/>
    <x v="0"/>
    <x v="2"/>
    <x v="4"/>
    <n v="69631"/>
    <n v="69631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95673.8800000001"/>
    <n v="0"/>
    <n v="0"/>
    <n v="1629285.927072804"/>
    <n v="0"/>
    <n v="0"/>
  </r>
  <r>
    <s v="Regular"/>
    <x v="0"/>
    <x v="0"/>
    <x v="1"/>
    <x v="0"/>
    <x v="0"/>
    <x v="0"/>
    <x v="2"/>
    <x v="5"/>
    <n v="2514"/>
    <n v="2514"/>
    <n v="78.617999999999995"/>
    <n v="78.617999999999995"/>
    <n v="78.617999999999995"/>
    <n v="78.617999999999995"/>
    <n v="0"/>
    <x v="1"/>
    <n v="0"/>
    <n v="1"/>
    <n v="5"/>
    <n v="64"/>
    <n v="21.48"/>
    <n v="41.95"/>
    <n v="397.62"/>
    <n v="23.398858655955021"/>
    <n v="56.586384886641618"/>
    <n v="351.67159959099928"/>
    <n v="54000.72"/>
    <n v="3298.0250999999998"/>
    <n v="31260.08916"/>
    <n v="58824.73066107092"/>
    <n v="4448.7084070179908"/>
    <n v="27647.717816645181"/>
  </r>
  <r>
    <s v="Refaturamento - Regular"/>
    <x v="0"/>
    <x v="0"/>
    <x v="1"/>
    <x v="0"/>
    <x v="0"/>
    <x v="0"/>
    <x v="2"/>
    <x v="5"/>
    <n v="0"/>
    <n v="0"/>
    <n v="0.97399999999999998"/>
    <n v="0.97399999999999998"/>
    <n v="0.97399999999999998"/>
    <n v="0.97399999999999998"/>
    <n v="0"/>
    <x v="1"/>
    <n v="0"/>
    <n v="0"/>
    <n v="5"/>
    <n v="64"/>
    <n v="0"/>
    <n v="41.95"/>
    <n v="397.62"/>
    <n v="23.398858655955021"/>
    <n v="56.586384886641618"/>
    <n v="351.67159959099928"/>
    <n v="0"/>
    <n v="40.859300000000005"/>
    <n v="387.28188"/>
    <n v="0"/>
    <n v="55.115138879588933"/>
    <n v="342.52813800163329"/>
  </r>
  <r>
    <s v="Regular"/>
    <x v="0"/>
    <x v="0"/>
    <x v="1"/>
    <x v="0"/>
    <x v="0"/>
    <x v="0"/>
    <x v="2"/>
    <x v="5"/>
    <n v="67548"/>
    <n v="67548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50931.04"/>
    <n v="0"/>
    <n v="0"/>
    <n v="1580546.1044924497"/>
    <n v="0"/>
    <n v="0"/>
  </r>
  <r>
    <s v="Regular"/>
    <x v="0"/>
    <x v="0"/>
    <x v="1"/>
    <x v="0"/>
    <x v="0"/>
    <x v="0"/>
    <x v="2"/>
    <x v="6"/>
    <n v="2225"/>
    <n v="2225"/>
    <n v="74.215999999999994"/>
    <n v="74.215999999999994"/>
    <n v="74.215999999999994"/>
    <n v="74.215999999999994"/>
    <n v="0"/>
    <x v="1"/>
    <n v="0"/>
    <n v="1"/>
    <n v="5"/>
    <n v="64"/>
    <n v="21.48"/>
    <n v="41.95"/>
    <n v="397.62"/>
    <n v="23.398858655955021"/>
    <n v="56.586384886641618"/>
    <n v="351.67159959099928"/>
    <n v="47793"/>
    <n v="3113.3611999999998"/>
    <n v="29509.765919999998"/>
    <n v="52062.460509499921"/>
    <n v="4199.6151407469943"/>
    <n v="26099.659435245601"/>
  </r>
  <r>
    <s v="Regular"/>
    <x v="0"/>
    <x v="0"/>
    <x v="1"/>
    <x v="0"/>
    <x v="0"/>
    <x v="0"/>
    <x v="2"/>
    <x v="6"/>
    <n v="67343"/>
    <n v="67343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46527.6400000001"/>
    <n v="0"/>
    <n v="0"/>
    <n v="1575749.3384679789"/>
    <n v="0"/>
    <n v="0"/>
  </r>
  <r>
    <s v="Regular"/>
    <x v="0"/>
    <x v="0"/>
    <x v="1"/>
    <x v="0"/>
    <x v="0"/>
    <x v="0"/>
    <x v="2"/>
    <x v="7"/>
    <n v="1834"/>
    <n v="1834"/>
    <n v="62.34"/>
    <n v="62.34"/>
    <n v="62.34"/>
    <n v="62.34"/>
    <n v="0"/>
    <x v="1"/>
    <n v="0"/>
    <n v="1"/>
    <n v="5"/>
    <n v="64"/>
    <n v="21.48"/>
    <n v="41.95"/>
    <n v="397.62"/>
    <n v="23.398858655955021"/>
    <n v="56.586384886641618"/>
    <n v="351.67159959099928"/>
    <n v="39394.32"/>
    <n v="2615.1630000000005"/>
    <n v="24787.630800000003"/>
    <n v="42913.506775021509"/>
    <n v="3527.5952338332386"/>
    <n v="21923.207518502895"/>
  </r>
  <r>
    <s v="Regular"/>
    <x v="0"/>
    <x v="0"/>
    <x v="1"/>
    <x v="0"/>
    <x v="0"/>
    <x v="0"/>
    <x v="2"/>
    <x v="7"/>
    <n v="67126"/>
    <n v="67126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41866.48"/>
    <n v="0"/>
    <n v="0"/>
    <n v="1570671.7861396368"/>
    <n v="0"/>
    <n v="0"/>
  </r>
  <r>
    <s v="Regular"/>
    <x v="0"/>
    <x v="0"/>
    <x v="1"/>
    <x v="0"/>
    <x v="0"/>
    <x v="0"/>
    <x v="2"/>
    <x v="8"/>
    <n v="1798"/>
    <n v="1798"/>
    <n v="83.822999999999993"/>
    <n v="83.822999999999993"/>
    <n v="83.822999999999993"/>
    <n v="83.822999999999993"/>
    <n v="0"/>
    <x v="1"/>
    <n v="0"/>
    <n v="1"/>
    <n v="5"/>
    <n v="64"/>
    <n v="21.48"/>
    <n v="41.95"/>
    <n v="397.62"/>
    <n v="23.398858655955021"/>
    <n v="56.586384886641618"/>
    <n v="351.67159959099928"/>
    <n v="38621.040000000001"/>
    <n v="3516.3748500000002"/>
    <n v="33329.701259999994"/>
    <n v="42071.147863407125"/>
    <n v="4743.2405403529601"/>
    <n v="29478.168492516332"/>
  </r>
  <r>
    <s v="Regular"/>
    <x v="0"/>
    <x v="0"/>
    <x v="1"/>
    <x v="0"/>
    <x v="0"/>
    <x v="0"/>
    <x v="2"/>
    <x v="8"/>
    <n v="67761"/>
    <n v="67761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55506.28"/>
    <n v="0"/>
    <n v="0"/>
    <n v="1585530.0613861682"/>
    <n v="0"/>
    <n v="0"/>
  </r>
  <r>
    <s v="Regular"/>
    <x v="0"/>
    <x v="0"/>
    <x v="1"/>
    <x v="0"/>
    <x v="0"/>
    <x v="0"/>
    <x v="2"/>
    <x v="9"/>
    <n v="2625"/>
    <n v="2625"/>
    <n v="84.878"/>
    <n v="84.878"/>
    <n v="84.878"/>
    <n v="84.878"/>
    <n v="0"/>
    <x v="1"/>
    <n v="0"/>
    <n v="1"/>
    <n v="5"/>
    <n v="64"/>
    <n v="21.48"/>
    <n v="41.95"/>
    <n v="397.62"/>
    <n v="23.398858655955021"/>
    <n v="56.586384886641618"/>
    <n v="351.67159959099928"/>
    <n v="56385"/>
    <n v="3560.6321000000003"/>
    <n v="33749.190360000001"/>
    <n v="61422.003971881932"/>
    <n v="4802.9391764083675"/>
    <n v="29849.182030084838"/>
  </r>
  <r>
    <s v="Regular"/>
    <x v="0"/>
    <x v="0"/>
    <x v="1"/>
    <x v="0"/>
    <x v="0"/>
    <x v="0"/>
    <x v="2"/>
    <x v="9"/>
    <n v="67717"/>
    <n v="67717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54561.16"/>
    <n v="0"/>
    <n v="0"/>
    <n v="1584500.5116053061"/>
    <n v="0"/>
    <n v="0"/>
  </r>
  <r>
    <s v="Regular"/>
    <x v="0"/>
    <x v="0"/>
    <x v="1"/>
    <x v="0"/>
    <x v="0"/>
    <x v="0"/>
    <x v="2"/>
    <x v="10"/>
    <n v="2294"/>
    <n v="2294"/>
    <n v="112.01900000000001"/>
    <n v="112.01900000000001"/>
    <n v="112.01900000000001"/>
    <n v="112.01900000000001"/>
    <n v="0"/>
    <x v="1"/>
    <n v="0"/>
    <n v="1"/>
    <n v="5"/>
    <n v="64"/>
    <n v="21.48"/>
    <n v="41.95"/>
    <n v="397.62"/>
    <n v="23.398858655955021"/>
    <n v="56.586384886641618"/>
    <n v="351.67159959099928"/>
    <n v="49275.12"/>
    <n v="4699.1970500000007"/>
    <n v="44540.994780000001"/>
    <n v="53676.981756760819"/>
    <n v="6338.7502486167077"/>
    <n v="39393.900914584148"/>
  </r>
  <r>
    <s v="Regular"/>
    <x v="0"/>
    <x v="0"/>
    <x v="1"/>
    <x v="0"/>
    <x v="0"/>
    <x v="0"/>
    <x v="2"/>
    <x v="10"/>
    <n v="67801"/>
    <n v="67801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56365.48"/>
    <n v="0"/>
    <n v="0"/>
    <n v="1586466.0157324064"/>
    <n v="0"/>
    <n v="0"/>
  </r>
  <r>
    <s v="PROJETADO"/>
    <x v="0"/>
    <x v="0"/>
    <x v="1"/>
    <x v="0"/>
    <x v="0"/>
    <x v="0"/>
    <x v="2"/>
    <x v="11"/>
    <n v="2294"/>
    <n v="2294"/>
    <n v="112.01900000000001"/>
    <n v="112.01900000000001"/>
    <n v="112.01900000000001"/>
    <n v="112.01900000000001"/>
    <n v="0"/>
    <x v="1"/>
    <n v="0"/>
    <n v="1"/>
    <n v="5"/>
    <n v="64"/>
    <n v="21.48"/>
    <n v="41.95"/>
    <n v="397.62"/>
    <n v="23.398858655955021"/>
    <n v="56.586384886641618"/>
    <n v="351.67159959099928"/>
    <n v="49275.12"/>
    <n v="4699.1970500000007"/>
    <n v="44540.994780000001"/>
    <n v="53676.981756760819"/>
    <n v="6338.7502486167077"/>
    <n v="39393.900914584148"/>
  </r>
  <r>
    <s v="PROJETADO"/>
    <x v="0"/>
    <x v="0"/>
    <x v="1"/>
    <x v="0"/>
    <x v="0"/>
    <x v="0"/>
    <x v="2"/>
    <x v="11"/>
    <n v="67801"/>
    <n v="67801"/>
    <n v="0"/>
    <n v="0"/>
    <n v="0"/>
    <n v="0"/>
    <n v="0"/>
    <x v="0"/>
    <n v="0"/>
    <n v="1"/>
    <n v="0"/>
    <n v="0"/>
    <n v="21.48"/>
    <n v="0"/>
    <n v="0"/>
    <n v="23.398858655955021"/>
    <n v="56.586384886641618"/>
    <m/>
    <n v="1456365.48"/>
    <n v="0"/>
    <n v="0"/>
    <n v="1586466.0157324064"/>
    <n v="0"/>
    <n v="0"/>
  </r>
  <r>
    <s v="Regular"/>
    <x v="0"/>
    <x v="0"/>
    <x v="2"/>
    <x v="0"/>
    <x v="0"/>
    <x v="0"/>
    <x v="0"/>
    <x v="0"/>
    <n v="1365"/>
    <n v="1310.4000000000001"/>
    <n v="472.5"/>
    <n v="453.6"/>
    <n v="472.5"/>
    <n v="453.6"/>
    <n v="0"/>
    <x v="1"/>
    <n v="0"/>
    <n v="3"/>
    <n v="5"/>
    <n v="65"/>
    <n v="11.17"/>
    <n v="41.95"/>
    <n v="242.82"/>
    <n v="12.124300073734677"/>
    <n v="56.586384886641618"/>
    <n v="224.53785920244138"/>
    <n v="14637.168000000001"/>
    <n v="19028.52"/>
    <n v="110143.152"/>
    <n v="15887.682816621922"/>
    <n v="25667.584184580639"/>
    <n v="101850.37293422742"/>
  </r>
  <r>
    <s v="Regular"/>
    <x v="0"/>
    <x v="0"/>
    <x v="2"/>
    <x v="0"/>
    <x v="0"/>
    <x v="0"/>
    <x v="0"/>
    <x v="1"/>
    <n v="1400"/>
    <n v="1344"/>
    <n v="619.5"/>
    <n v="594.72"/>
    <n v="619.5"/>
    <n v="594.72"/>
    <n v="0"/>
    <x v="1"/>
    <n v="0"/>
    <n v="3"/>
    <n v="5"/>
    <n v="65"/>
    <n v="11.17"/>
    <n v="41.95"/>
    <n v="242.82"/>
    <n v="12.124300073734677"/>
    <n v="56.586384886641618"/>
    <n v="224.53785920244138"/>
    <n v="15012.48"/>
    <n v="24948.504000000004"/>
    <n v="144409.91039999999"/>
    <n v="16295.059299099406"/>
    <n v="33653.054819783501"/>
    <n v="133537.15562487594"/>
  </r>
  <r>
    <s v="Regular"/>
    <x v="0"/>
    <x v="0"/>
    <x v="2"/>
    <x v="0"/>
    <x v="0"/>
    <x v="0"/>
    <x v="0"/>
    <x v="2"/>
    <n v="1365"/>
    <n v="1310.4000000000001"/>
    <n v="675.5"/>
    <n v="648.48"/>
    <n v="675.5"/>
    <n v="648.48"/>
    <n v="0"/>
    <x v="1"/>
    <n v="0"/>
    <n v="3"/>
    <n v="5"/>
    <n v="65"/>
    <n v="11.17"/>
    <n v="41.95"/>
    <n v="242.82"/>
    <n v="12.124300073734677"/>
    <n v="56.586384886641618"/>
    <n v="224.53785920244138"/>
    <n v="14637.168000000001"/>
    <n v="27203.736000000004"/>
    <n v="157463.9136"/>
    <n v="15887.682816621922"/>
    <n v="36695.13887128936"/>
    <n v="145608.31093559921"/>
  </r>
  <r>
    <s v="Regular"/>
    <x v="0"/>
    <x v="0"/>
    <x v="2"/>
    <x v="0"/>
    <x v="0"/>
    <x v="0"/>
    <x v="0"/>
    <x v="3"/>
    <n v="1365"/>
    <n v="1310.4000000000001"/>
    <n v="668.5"/>
    <n v="641.76"/>
    <n v="668.5"/>
    <n v="641.76"/>
    <n v="0"/>
    <x v="1"/>
    <n v="0"/>
    <n v="3"/>
    <n v="5"/>
    <n v="65"/>
    <n v="11.17"/>
    <n v="41.95"/>
    <n v="242.82"/>
    <n v="12.124300073734677"/>
    <n v="56.586384886641618"/>
    <n v="224.53785920244138"/>
    <n v="14637.168000000001"/>
    <n v="26921.832000000002"/>
    <n v="155832.16319999998"/>
    <n v="15887.682816621922"/>
    <n v="36314.878364851123"/>
    <n v="144099.41652175877"/>
  </r>
  <r>
    <s v="Regular"/>
    <x v="0"/>
    <x v="0"/>
    <x v="2"/>
    <x v="0"/>
    <x v="0"/>
    <x v="0"/>
    <x v="0"/>
    <x v="4"/>
    <n v="1365"/>
    <n v="1310.4000000000001"/>
    <n v="574"/>
    <n v="551.04"/>
    <n v="574"/>
    <n v="551.04"/>
    <n v="0"/>
    <x v="1"/>
    <n v="0"/>
    <n v="3"/>
    <n v="5"/>
    <n v="65"/>
    <n v="11.17"/>
    <n v="41.95"/>
    <n v="242.82"/>
    <n v="12.124300073734677"/>
    <n v="56.586384886641618"/>
    <n v="224.53785920244138"/>
    <n v="14637.168000000001"/>
    <n v="23116.128000000001"/>
    <n v="133803.53279999999"/>
    <n v="15887.682816621922"/>
    <n v="31181.361527934994"/>
    <n v="123729.34193491329"/>
  </r>
  <r>
    <s v="Regular"/>
    <x v="0"/>
    <x v="0"/>
    <x v="2"/>
    <x v="0"/>
    <x v="0"/>
    <x v="0"/>
    <x v="0"/>
    <x v="5"/>
    <n v="1372"/>
    <n v="1317.12"/>
    <n v="153.733"/>
    <n v="147.58367999999999"/>
    <n v="153.733"/>
    <n v="147.58367999999999"/>
    <n v="0"/>
    <x v="1"/>
    <n v="0"/>
    <n v="3"/>
    <n v="5"/>
    <n v="65"/>
    <n v="11.17"/>
    <n v="41.95"/>
    <n v="242.82"/>
    <n v="12.124300073734677"/>
    <n v="56.586384886641618"/>
    <n v="224.53785920244138"/>
    <n v="14712.230399999999"/>
    <n v="6191.1353760000002"/>
    <n v="35836.269177599999"/>
    <n v="15969.158113117417"/>
    <n v="8351.2269194669516"/>
    <n v="33138.123560418164"/>
  </r>
  <r>
    <s v="Regular"/>
    <x v="0"/>
    <x v="0"/>
    <x v="2"/>
    <x v="0"/>
    <x v="0"/>
    <x v="0"/>
    <x v="0"/>
    <x v="6"/>
    <n v="1380"/>
    <n v="1324.8"/>
    <n v="304"/>
    <n v="291.83999999999997"/>
    <n v="304"/>
    <n v="291.83999999999997"/>
    <n v="0"/>
    <x v="1"/>
    <n v="0"/>
    <n v="3"/>
    <n v="5"/>
    <n v="65"/>
    <n v="11.17"/>
    <n v="41.95"/>
    <n v="242.82"/>
    <n v="12.124300073734677"/>
    <n v="56.586384886641618"/>
    <n v="224.53785920244138"/>
    <n v="14798.016"/>
    <n v="12242.688"/>
    <n v="70864.588799999998"/>
    <n v="16062.272737683699"/>
    <n v="16514.170565317487"/>
    <n v="65529.128829640489"/>
  </r>
  <r>
    <s v="Regular"/>
    <x v="0"/>
    <x v="0"/>
    <x v="2"/>
    <x v="0"/>
    <x v="0"/>
    <x v="0"/>
    <x v="0"/>
    <x v="7"/>
    <n v="1372"/>
    <n v="1317.12"/>
    <n v="218.36199999999999"/>
    <n v="209.62752"/>
    <n v="218.36199999999999"/>
    <n v="209.62752"/>
    <n v="0"/>
    <x v="1"/>
    <n v="0"/>
    <n v="3"/>
    <n v="5"/>
    <n v="65"/>
    <n v="11.17"/>
    <n v="41.95"/>
    <n v="242.82"/>
    <n v="12.124300073734677"/>
    <n v="56.586384886641618"/>
    <n v="224.53785920244138"/>
    <n v="14712.230399999999"/>
    <n v="8793.8744640000004"/>
    <n v="50901.754406400003"/>
    <n v="15969.158113117417"/>
    <n v="11862.063529552164"/>
    <n v="47069.314570716968"/>
  </r>
  <r>
    <s v="Regular"/>
    <x v="0"/>
    <x v="0"/>
    <x v="2"/>
    <x v="0"/>
    <x v="0"/>
    <x v="0"/>
    <x v="0"/>
    <x v="8"/>
    <n v="1363"/>
    <n v="1308.48"/>
    <n v="180.59800000000001"/>
    <n v="173.37407999999999"/>
    <n v="180.59800000000001"/>
    <n v="173.37407999999999"/>
    <n v="0"/>
    <x v="1"/>
    <n v="0"/>
    <n v="3"/>
    <n v="5"/>
    <n v="65"/>
    <n v="11.17"/>
    <n v="41.95"/>
    <n v="242.82"/>
    <n v="12.124300073734677"/>
    <n v="56.586384886641618"/>
    <n v="224.53785920244138"/>
    <n v="14615.721600000001"/>
    <n v="7273.0426560000005"/>
    <n v="42098.6941056"/>
    <n v="15864.40416048035"/>
    <n v="9810.6124202473948"/>
    <n v="38929.044764392806"/>
  </r>
  <r>
    <s v="Regular"/>
    <x v="0"/>
    <x v="0"/>
    <x v="2"/>
    <x v="0"/>
    <x v="0"/>
    <x v="0"/>
    <x v="0"/>
    <x v="9"/>
    <n v="1374"/>
    <n v="1319.04"/>
    <n v="253.95599999999999"/>
    <n v="243.79776000000001"/>
    <n v="253.95599999999999"/>
    <n v="243.79776000000001"/>
    <n v="0"/>
    <x v="1"/>
    <n v="0"/>
    <n v="3"/>
    <n v="5"/>
    <n v="65"/>
    <n v="11.17"/>
    <n v="41.95"/>
    <n v="242.82"/>
    <n v="12.124300073734677"/>
    <n v="56.586384886641618"/>
    <n v="224.53785920244138"/>
    <n v="14733.676799999999"/>
    <n v="10227.316032000001"/>
    <n v="59198.972083200002"/>
    <n v="15992.436769258988"/>
    <n v="13795.63388186108"/>
    <n v="54741.8271087506"/>
  </r>
  <r>
    <s v="Regular"/>
    <x v="0"/>
    <x v="0"/>
    <x v="2"/>
    <x v="0"/>
    <x v="0"/>
    <x v="0"/>
    <x v="0"/>
    <x v="10"/>
    <n v="1363"/>
    <n v="1308.48"/>
    <n v="198.58600000000001"/>
    <n v="190.64256"/>
    <n v="198.58600000000001"/>
    <n v="190.64256"/>
    <n v="0"/>
    <x v="1"/>
    <n v="0"/>
    <n v="3"/>
    <n v="5"/>
    <n v="65"/>
    <n v="11.17"/>
    <n v="41.95"/>
    <n v="242.82"/>
    <n v="12.124300073734677"/>
    <n v="56.586384886641618"/>
    <n v="224.53785920244138"/>
    <n v="14615.721600000001"/>
    <n v="7997.4553920000008"/>
    <n v="46291.826419199999"/>
    <n v="15864.40416048035"/>
    <n v="10787.773275934667"/>
    <n v="42806.472295272986"/>
  </r>
  <r>
    <s v="PROJETADO"/>
    <x v="0"/>
    <x v="0"/>
    <x v="2"/>
    <x v="0"/>
    <x v="0"/>
    <x v="0"/>
    <x v="0"/>
    <x v="11"/>
    <n v="1363"/>
    <n v="1308.48"/>
    <n v="198.58600000000001"/>
    <n v="190.64256"/>
    <n v="198.58600000000001"/>
    <n v="190.64256"/>
    <n v="0"/>
    <x v="1"/>
    <n v="0"/>
    <n v="3"/>
    <n v="5"/>
    <n v="65"/>
    <n v="11.17"/>
    <n v="41.95"/>
    <n v="242.82"/>
    <n v="12.124300073734677"/>
    <n v="56.586384886641618"/>
    <n v="224.53785920244138"/>
    <n v="14615.721600000001"/>
    <n v="7997.4553920000008"/>
    <n v="46291.826419199999"/>
    <n v="15864.40416048035"/>
    <n v="10787.773275934667"/>
    <n v="42806.472295272986"/>
  </r>
  <r>
    <s v="Regular"/>
    <x v="0"/>
    <x v="0"/>
    <x v="2"/>
    <x v="0"/>
    <x v="0"/>
    <x v="0"/>
    <x v="2"/>
    <x v="0"/>
    <n v="24"/>
    <n v="23.04"/>
    <n v="0"/>
    <n v="0"/>
    <n v="0"/>
    <n v="0"/>
    <n v="0"/>
    <x v="1"/>
    <n v="0"/>
    <n v="1"/>
    <n v="0"/>
    <n v="0"/>
    <n v="21.48"/>
    <n v="0"/>
    <n v="0"/>
    <n v="23.398858655955021"/>
    <n v="56.586384886641618"/>
    <n v="351.67159959099928"/>
    <n v="494.89920000000001"/>
    <n v="0"/>
    <n v="0"/>
    <n v="539.10970343320366"/>
    <n v="0"/>
    <n v="0"/>
  </r>
  <r>
    <s v="Regular"/>
    <x v="0"/>
    <x v="0"/>
    <x v="2"/>
    <x v="0"/>
    <x v="0"/>
    <x v="0"/>
    <x v="2"/>
    <x v="1"/>
    <n v="35"/>
    <n v="33.6"/>
    <n v="3.5"/>
    <n v="3.36"/>
    <n v="3.5"/>
    <n v="3.36"/>
    <n v="0"/>
    <x v="1"/>
    <n v="0"/>
    <n v="1"/>
    <n v="5"/>
    <n v="64"/>
    <n v="21.48"/>
    <n v="41.95"/>
    <n v="397.62"/>
    <n v="23.398858655955021"/>
    <n v="56.586384886641618"/>
    <n v="351.67159959099928"/>
    <n v="721.72800000000007"/>
    <n v="140.952"/>
    <n v="1336.0031999999999"/>
    <n v="786.20165084008875"/>
    <n v="190.13025321911581"/>
    <n v="1181.6165746257575"/>
  </r>
  <r>
    <s v="Regular"/>
    <x v="0"/>
    <x v="0"/>
    <x v="2"/>
    <x v="0"/>
    <x v="0"/>
    <x v="0"/>
    <x v="2"/>
    <x v="2"/>
    <n v="105"/>
    <n v="100.8"/>
    <n v="0"/>
    <n v="0"/>
    <n v="0"/>
    <n v="0"/>
    <n v="0"/>
    <x v="1"/>
    <n v="0"/>
    <n v="1"/>
    <n v="0"/>
    <n v="0"/>
    <n v="21.48"/>
    <n v="0"/>
    <n v="0"/>
    <n v="23.398858655955021"/>
    <n v="56.586384886641618"/>
    <n v="351.67159959099928"/>
    <n v="2165.1840000000002"/>
    <n v="0"/>
    <n v="0"/>
    <n v="2358.6049525202661"/>
    <n v="0"/>
    <n v="0"/>
  </r>
  <r>
    <s v="Regular"/>
    <x v="0"/>
    <x v="0"/>
    <x v="2"/>
    <x v="0"/>
    <x v="0"/>
    <x v="0"/>
    <x v="2"/>
    <x v="3"/>
    <n v="140"/>
    <n v="134.4"/>
    <n v="0"/>
    <n v="0"/>
    <n v="0"/>
    <n v="0"/>
    <n v="0"/>
    <x v="1"/>
    <n v="0"/>
    <n v="1"/>
    <n v="0"/>
    <n v="0"/>
    <n v="21.48"/>
    <n v="0"/>
    <n v="0"/>
    <n v="23.398858655955021"/>
    <n v="56.586384886641618"/>
    <n v="351.67159959099928"/>
    <n v="2886.9120000000003"/>
    <n v="0"/>
    <n v="0"/>
    <n v="3144.806603360355"/>
    <n v="0"/>
    <n v="0"/>
  </r>
  <r>
    <s v="Regular"/>
    <x v="0"/>
    <x v="0"/>
    <x v="2"/>
    <x v="0"/>
    <x v="0"/>
    <x v="0"/>
    <x v="2"/>
    <x v="4"/>
    <n v="210"/>
    <n v="201.6"/>
    <n v="0"/>
    <n v="0"/>
    <n v="0"/>
    <n v="0"/>
    <n v="0"/>
    <x v="1"/>
    <n v="0"/>
    <n v="1"/>
    <n v="0"/>
    <n v="0"/>
    <n v="21.48"/>
    <n v="0"/>
    <n v="0"/>
    <n v="23.398858655955021"/>
    <n v="56.586384886641618"/>
    <n v="351.67159959099928"/>
    <n v="4330.3680000000004"/>
    <n v="0"/>
    <n v="0"/>
    <n v="4717.2099050405322"/>
    <n v="0"/>
    <n v="0"/>
  </r>
  <r>
    <s v="Regular"/>
    <x v="0"/>
    <x v="0"/>
    <x v="2"/>
    <x v="0"/>
    <x v="0"/>
    <x v="0"/>
    <x v="2"/>
    <x v="5"/>
    <n v="21"/>
    <n v="20.16"/>
    <n v="1.0149999999999999"/>
    <n v="0.97440000000000004"/>
    <n v="1.0149999999999999"/>
    <n v="0.97440000000000004"/>
    <n v="0"/>
    <x v="1"/>
    <n v="0"/>
    <n v="1"/>
    <n v="5"/>
    <n v="64"/>
    <n v="21.48"/>
    <n v="41.95"/>
    <n v="397.62"/>
    <n v="23.398858655955021"/>
    <n v="56.586384886641618"/>
    <n v="351.67159959099928"/>
    <n v="433.03680000000003"/>
    <n v="40.876080000000002"/>
    <n v="387.44092800000004"/>
    <n v="471.72099050405325"/>
    <n v="55.137773433543593"/>
    <n v="342.6688066414697"/>
  </r>
  <r>
    <s v="Regular"/>
    <x v="0"/>
    <x v="0"/>
    <x v="2"/>
    <x v="0"/>
    <x v="0"/>
    <x v="0"/>
    <x v="2"/>
    <x v="6"/>
    <n v="21"/>
    <n v="20.16"/>
    <n v="0.45600000000000002"/>
    <n v="0.43775999999999998"/>
    <n v="0.45600000000000002"/>
    <n v="0.43775999999999998"/>
    <n v="0"/>
    <x v="1"/>
    <n v="0"/>
    <n v="1"/>
    <n v="5"/>
    <n v="64"/>
    <n v="21.48"/>
    <n v="41.95"/>
    <n v="397.62"/>
    <n v="23.398858655955021"/>
    <n v="56.586384886641618"/>
    <n v="351.67159959099928"/>
    <n v="433.03680000000003"/>
    <n v="18.364032000000002"/>
    <n v="174.06213119999998"/>
    <n v="471.72099050405325"/>
    <n v="24.771255847976235"/>
    <n v="153.94775943695583"/>
  </r>
  <r>
    <s v="Regular"/>
    <x v="0"/>
    <x v="0"/>
    <x v="2"/>
    <x v="0"/>
    <x v="0"/>
    <x v="0"/>
    <x v="2"/>
    <x v="7"/>
    <n v="193"/>
    <n v="185.28"/>
    <n v="0.56200000000000006"/>
    <n v="0.53952"/>
    <n v="0.56200000000000006"/>
    <n v="0.53952"/>
    <n v="0"/>
    <x v="1"/>
    <n v="0"/>
    <n v="1"/>
    <n v="5"/>
    <n v="64"/>
    <n v="21.48"/>
    <n v="41.95"/>
    <n v="397.62"/>
    <n v="23.398858655955021"/>
    <n v="56.586384886641618"/>
    <n v="351.67159959099928"/>
    <n v="3979.8144000000002"/>
    <n v="22.632864000000001"/>
    <n v="214.52394240000001"/>
    <n v="4335.3405317753459"/>
    <n v="30.529486374040886"/>
    <n v="189.73386141133594"/>
  </r>
  <r>
    <s v="Regular"/>
    <x v="0"/>
    <x v="0"/>
    <x v="2"/>
    <x v="0"/>
    <x v="0"/>
    <x v="0"/>
    <x v="2"/>
    <x v="8"/>
    <n v="190"/>
    <n v="182.4"/>
    <n v="0.47799999999999998"/>
    <n v="0.45888000000000001"/>
    <n v="0.47799999999999998"/>
    <n v="0.45888000000000001"/>
    <n v="0"/>
    <x v="1"/>
    <n v="0"/>
    <n v="1"/>
    <n v="5"/>
    <n v="64"/>
    <n v="21.48"/>
    <n v="41.95"/>
    <n v="397.62"/>
    <n v="23.398858655955021"/>
    <n v="56.586384886641618"/>
    <n v="351.67159959099928"/>
    <n v="3917.9520000000002"/>
    <n v="19.250016000000002"/>
    <n v="182.4598656"/>
    <n v="4267.9518188461961"/>
    <n v="25.966360296782106"/>
    <n v="161.37506362031775"/>
  </r>
  <r>
    <s v="Regular"/>
    <x v="0"/>
    <x v="0"/>
    <x v="2"/>
    <x v="0"/>
    <x v="0"/>
    <x v="0"/>
    <x v="2"/>
    <x v="9"/>
    <n v="378"/>
    <n v="362.88"/>
    <n v="0.81299999999999994"/>
    <n v="0.78047999999999995"/>
    <n v="0.81299999999999994"/>
    <n v="0.78047999999999995"/>
    <n v="0"/>
    <x v="1"/>
    <n v="0"/>
    <n v="1"/>
    <n v="5"/>
    <n v="64"/>
    <n v="21.48"/>
    <n v="41.95"/>
    <n v="397.62"/>
    <n v="23.398858655955021"/>
    <n v="56.586384886641618"/>
    <n v="351.67159959099928"/>
    <n v="7794.6624000000002"/>
    <n v="32.741135999999997"/>
    <n v="310.33445760000001"/>
    <n v="8490.9778290729573"/>
    <n v="44.164541676326046"/>
    <n v="274.47265004878312"/>
  </r>
  <r>
    <s v="Regular"/>
    <x v="0"/>
    <x v="0"/>
    <x v="2"/>
    <x v="0"/>
    <x v="0"/>
    <x v="0"/>
    <x v="2"/>
    <x v="10"/>
    <n v="201"/>
    <n v="192.96"/>
    <n v="0.56499999999999995"/>
    <n v="0.54239999999999999"/>
    <n v="0.56499999999999995"/>
    <n v="0.54239999999999999"/>
    <n v="0"/>
    <x v="1"/>
    <n v="0"/>
    <n v="1"/>
    <n v="5"/>
    <n v="64"/>
    <n v="21.48"/>
    <n v="41.95"/>
    <n v="397.62"/>
    <n v="23.398858655955021"/>
    <n v="56.586384886641618"/>
    <n v="351.67159959099928"/>
    <n v="4144.7808000000005"/>
    <n v="22.753680000000003"/>
    <n v="215.66908799999999"/>
    <n v="4515.0437662530812"/>
    <n v="30.692455162514413"/>
    <n v="190.74667561815801"/>
  </r>
  <r>
    <s v="PROJETADO"/>
    <x v="0"/>
    <x v="0"/>
    <x v="2"/>
    <x v="0"/>
    <x v="0"/>
    <x v="0"/>
    <x v="2"/>
    <x v="11"/>
    <n v="201"/>
    <n v="192.96"/>
    <n v="0.56499999999999995"/>
    <n v="0.54239999999999999"/>
    <n v="0.56499999999999995"/>
    <n v="0.54239999999999999"/>
    <n v="0"/>
    <x v="1"/>
    <n v="0"/>
    <n v="1"/>
    <n v="5"/>
    <n v="64"/>
    <n v="21.48"/>
    <n v="41.95"/>
    <n v="397.62"/>
    <n v="23.398858655955021"/>
    <n v="56.586384886641618"/>
    <n v="351.67159959099928"/>
    <n v="4144.7808000000005"/>
    <n v="22.753680000000003"/>
    <n v="215.66908799999999"/>
    <n v="4515.0437662530812"/>
    <n v="30.692455162514413"/>
    <n v="190.74667561815801"/>
  </r>
  <r>
    <s v="Regular"/>
    <x v="0"/>
    <x v="0"/>
    <x v="3"/>
    <x v="1"/>
    <x v="0"/>
    <x v="0"/>
    <x v="0"/>
    <x v="0"/>
    <n v="10100"/>
    <n v="8585"/>
    <n v="5331"/>
    <n v="5011.1400000000003"/>
    <n v="5331"/>
    <n v="5011.1400000000003"/>
    <n v="0"/>
    <x v="1"/>
    <n v="0"/>
    <n v="3"/>
    <n v="5"/>
    <n v="65"/>
    <n v="11.17"/>
    <n v="41.95"/>
    <n v="242.82"/>
    <n v="12.124300073734677"/>
    <n v="56.586384886641618"/>
    <n v="224.53785920244138"/>
    <n v="95894.45"/>
    <n v="210217.32300000003"/>
    <n v="1216805.0148"/>
    <n v="104087.1161330122"/>
    <n v="283562.29676084529"/>
    <n v="1125190.6477637221"/>
  </r>
  <r>
    <s v="Regular"/>
    <x v="0"/>
    <x v="0"/>
    <x v="3"/>
    <x v="1"/>
    <x v="0"/>
    <x v="0"/>
    <x v="0"/>
    <x v="1"/>
    <n v="10100"/>
    <n v="8585"/>
    <n v="5330"/>
    <n v="5010.2"/>
    <n v="5330"/>
    <n v="5010.2"/>
    <n v="0"/>
    <x v="1"/>
    <n v="0"/>
    <n v="3"/>
    <n v="5"/>
    <n v="65"/>
    <n v="11.17"/>
    <n v="41.95"/>
    <n v="242.82"/>
    <n v="12.124300073734677"/>
    <n v="56.586384886641618"/>
    <n v="224.53785920244138"/>
    <n v="95894.45"/>
    <n v="210177.89"/>
    <n v="1216576.764"/>
    <n v="104087.1161330122"/>
    <n v="283509.10555905185"/>
    <n v="1124979.5821760718"/>
  </r>
  <r>
    <s v="Regular"/>
    <x v="0"/>
    <x v="0"/>
    <x v="3"/>
    <x v="1"/>
    <x v="0"/>
    <x v="0"/>
    <x v="0"/>
    <x v="2"/>
    <n v="10180"/>
    <n v="8653"/>
    <n v="5567"/>
    <n v="5232.9799999999996"/>
    <n v="5567"/>
    <n v="5232.9799999999996"/>
    <n v="0"/>
    <x v="1"/>
    <n v="0"/>
    <n v="3"/>
    <n v="5"/>
    <n v="65"/>
    <n v="11.17"/>
    <n v="41.95"/>
    <n v="242.82"/>
    <n v="12.124300073734677"/>
    <n v="56.586384886641618"/>
    <n v="224.53785920244138"/>
    <n v="96654.01"/>
    <n v="219523.511"/>
    <n v="1270672.2035999999"/>
    <n v="104911.56853802616"/>
    <n v="296115.42038409784"/>
    <n v="1175002.1264491917"/>
  </r>
  <r>
    <s v="Regular"/>
    <x v="0"/>
    <x v="0"/>
    <x v="3"/>
    <x v="1"/>
    <x v="0"/>
    <x v="0"/>
    <x v="0"/>
    <x v="3"/>
    <n v="10260"/>
    <n v="8721"/>
    <n v="5781"/>
    <n v="5434.14"/>
    <n v="5781"/>
    <n v="5434.14"/>
    <n v="0"/>
    <x v="1"/>
    <n v="0"/>
    <n v="3"/>
    <n v="5"/>
    <n v="65"/>
    <n v="11.17"/>
    <n v="41.95"/>
    <n v="242.82"/>
    <n v="12.124300073734677"/>
    <n v="56.586384886641618"/>
    <n v="224.53785920244138"/>
    <n v="97413.569999999992"/>
    <n v="227962.17300000004"/>
    <n v="1319517.8748000001"/>
    <n v="105736.02094304012"/>
    <n v="307498.33756789472"/>
    <n v="1220170.1622063548"/>
  </r>
  <r>
    <s v="Regular"/>
    <x v="0"/>
    <x v="0"/>
    <x v="3"/>
    <x v="1"/>
    <x v="0"/>
    <x v="0"/>
    <x v="0"/>
    <x v="4"/>
    <n v="10190"/>
    <n v="8661.5"/>
    <n v="6006"/>
    <n v="5645.64"/>
    <n v="6006"/>
    <n v="5645.64"/>
    <n v="0"/>
    <x v="1"/>
    <n v="0"/>
    <n v="3"/>
    <n v="5"/>
    <n v="65"/>
    <n v="11.17"/>
    <n v="41.95"/>
    <n v="242.82"/>
    <n v="12.124300073734677"/>
    <n v="56.586384886641618"/>
    <n v="224.53785920244138"/>
    <n v="96748.955000000002"/>
    <n v="236834.59800000003"/>
    <n v="1370874.3048"/>
    <n v="105014.6250886529"/>
    <n v="319466.35797141941"/>
    <n v="1267659.9194276712"/>
  </r>
  <r>
    <s v="Regular"/>
    <x v="0"/>
    <x v="0"/>
    <x v="3"/>
    <x v="1"/>
    <x v="0"/>
    <x v="0"/>
    <x v="0"/>
    <x v="5"/>
    <n v="10253"/>
    <n v="8715.0499999999993"/>
    <n v="5725.0789999999997"/>
    <n v="5381.5742600000003"/>
    <n v="5725.0789999999997"/>
    <n v="5381.5742600000003"/>
    <n v="0"/>
    <x v="1"/>
    <n v="0"/>
    <n v="3"/>
    <n v="5"/>
    <n v="65"/>
    <n v="11.17"/>
    <n v="41.95"/>
    <n v="242.82"/>
    <n v="12.124300073734677"/>
    <n v="56.586384886641618"/>
    <n v="224.53785920244138"/>
    <n v="97347.108499999988"/>
    <n v="225757.04020700004"/>
    <n v="1306753.8618131999"/>
    <n v="105663.88135760139"/>
    <n v="304523.83237240359"/>
    <n v="1208367.1634793628"/>
  </r>
  <r>
    <s v="Regular"/>
    <x v="0"/>
    <x v="0"/>
    <x v="3"/>
    <x v="1"/>
    <x v="0"/>
    <x v="0"/>
    <x v="0"/>
    <x v="6"/>
    <n v="10262"/>
    <n v="8722.6999999999989"/>
    <n v="5526.3230000000003"/>
    <n v="5194.7436200000002"/>
    <n v="5526.3230000000003"/>
    <n v="5194.7436200000002"/>
    <n v="0"/>
    <x v="1"/>
    <n v="0"/>
    <n v="3"/>
    <n v="5"/>
    <n v="65"/>
    <n v="11.17"/>
    <n v="41.95"/>
    <n v="242.82"/>
    <n v="12.124300073734677"/>
    <n v="56.586384886641618"/>
    <n v="224.53785920244138"/>
    <n v="97432.558999999994"/>
    <n v="217919.49485900003"/>
    <n v="1261387.6458084001"/>
    <n v="105756.63225316546"/>
    <n v="293951.76186874596"/>
    <n v="1166416.6115403406"/>
  </r>
  <r>
    <s v="Regular"/>
    <x v="0"/>
    <x v="0"/>
    <x v="3"/>
    <x v="1"/>
    <x v="0"/>
    <x v="0"/>
    <x v="0"/>
    <x v="7"/>
    <n v="10263"/>
    <n v="8723.5499999999993"/>
    <n v="5847.049"/>
    <n v="5496.22606"/>
    <n v="5847.049"/>
    <n v="5496.22606"/>
    <n v="0"/>
    <x v="1"/>
    <n v="0"/>
    <n v="3"/>
    <n v="5"/>
    <n v="65"/>
    <n v="11.17"/>
    <n v="41.95"/>
    <n v="242.82"/>
    <n v="12.124300073734677"/>
    <n v="56.586384886641618"/>
    <n v="224.53785920244138"/>
    <n v="97442.053499999995"/>
    <n v="230566.68321700001"/>
    <n v="1334593.6118892001"/>
    <n v="105766.93790822814"/>
    <n v="311011.56325514981"/>
    <n v="1234110.8332050692"/>
  </r>
  <r>
    <s v="Regular"/>
    <x v="0"/>
    <x v="0"/>
    <x v="3"/>
    <x v="1"/>
    <x v="0"/>
    <x v="0"/>
    <x v="0"/>
    <x v="8"/>
    <n v="10698"/>
    <n v="9093.2999999999993"/>
    <n v="5625.5640000000003"/>
    <n v="5288.0301600000003"/>
    <n v="5625.5640000000003"/>
    <n v="5288.0301600000003"/>
    <n v="0"/>
    <x v="1"/>
    <n v="0"/>
    <n v="3"/>
    <n v="5"/>
    <n v="65"/>
    <n v="11.17"/>
    <n v="41.95"/>
    <n v="242.82"/>
    <n v="12.124300073734677"/>
    <n v="56.586384886641618"/>
    <n v="224.53785920244138"/>
    <n v="101572.16099999999"/>
    <n v="221832.86521200003"/>
    <n v="1284039.4834512"/>
    <n v="110249.89786049153"/>
    <n v="299230.50992592907"/>
    <n v="1187362.9715243436"/>
  </r>
  <r>
    <s v="Regular"/>
    <x v="0"/>
    <x v="0"/>
    <x v="3"/>
    <x v="1"/>
    <x v="0"/>
    <x v="0"/>
    <x v="0"/>
    <x v="9"/>
    <n v="10196"/>
    <n v="8666.6"/>
    <n v="5745.7179999999998"/>
    <n v="5400.9749199999997"/>
    <n v="5745.7179999999998"/>
    <n v="5400.9749199999997"/>
    <n v="0"/>
    <x v="1"/>
    <n v="0"/>
    <n v="3"/>
    <n v="5"/>
    <n v="65"/>
    <n v="11.17"/>
    <n v="41.95"/>
    <n v="242.82"/>
    <n v="12.124300073734677"/>
    <n v="56.586384886641618"/>
    <n v="224.53785920244138"/>
    <n v="96805.922000000006"/>
    <n v="226570.89789399999"/>
    <n v="1311464.7300743998"/>
    <n v="105076.45901902896"/>
    <n v="305621.64558621839"/>
    <n v="1212723.3461428771"/>
  </r>
  <r>
    <s v="Regular"/>
    <x v="0"/>
    <x v="0"/>
    <x v="3"/>
    <x v="1"/>
    <x v="0"/>
    <x v="0"/>
    <x v="0"/>
    <x v="10"/>
    <n v="10110"/>
    <n v="8593.5"/>
    <n v="5405.5959999999995"/>
    <n v="5081.2602399999996"/>
    <n v="5405.5959999999995"/>
    <n v="5081.2602399999996"/>
    <n v="0"/>
    <x v="1"/>
    <n v="0"/>
    <n v="3"/>
    <n v="5"/>
    <n v="65"/>
    <n v="11.17"/>
    <n v="41.95"/>
    <n v="242.82"/>
    <n v="12.124300073734677"/>
    <n v="56.586384886641618"/>
    <n v="224.53785920244138"/>
    <n v="95989.395000000004"/>
    <n v="213158.86706799999"/>
    <n v="1233831.6114767999"/>
    <n v="104190.17268363894"/>
    <n v="287530.14764982893"/>
    <n v="1140935.2963400835"/>
  </r>
  <r>
    <s v="PROJETADO"/>
    <x v="0"/>
    <x v="0"/>
    <x v="3"/>
    <x v="1"/>
    <x v="0"/>
    <x v="0"/>
    <x v="0"/>
    <x v="11"/>
    <n v="10110"/>
    <n v="8593.5"/>
    <n v="5405.5959999999995"/>
    <n v="5081.2602399999996"/>
    <n v="5405.5959999999995"/>
    <n v="5081.2602399999996"/>
    <n v="0"/>
    <x v="1"/>
    <n v="0"/>
    <n v="3"/>
    <n v="5"/>
    <n v="65"/>
    <n v="11.17"/>
    <n v="41.95"/>
    <n v="242.82"/>
    <n v="12.124300073734677"/>
    <n v="56.586384886641618"/>
    <n v="224.53785920244138"/>
    <n v="95989.395000000004"/>
    <n v="213158.86706799999"/>
    <n v="1233831.6114767999"/>
    <n v="104190.17268363894"/>
    <n v="287530.14764982893"/>
    <n v="1140935.2963400835"/>
  </r>
  <r>
    <s v="Regular"/>
    <x v="0"/>
    <x v="0"/>
    <x v="3"/>
    <x v="1"/>
    <x v="0"/>
    <x v="0"/>
    <x v="2"/>
    <x v="0"/>
    <n v="9080"/>
    <n v="7718"/>
    <n v="513"/>
    <n v="482.22"/>
    <n v="513"/>
    <n v="482.22"/>
    <n v="0"/>
    <x v="1"/>
    <n v="0"/>
    <n v="1"/>
    <n v="5"/>
    <n v="64"/>
    <n v="21.48"/>
    <n v="41.95"/>
    <n v="397.62"/>
    <n v="23.398858655955021"/>
    <n v="56.586384886641618"/>
    <n v="351.67159959099928"/>
    <n v="165782.64000000001"/>
    <n v="20229.129000000001"/>
    <n v="191740.31640000001"/>
    <n v="180592.39110666086"/>
    <n v="27287.086520036322"/>
    <n v="169583.07875477168"/>
  </r>
  <r>
    <s v="Regular"/>
    <x v="0"/>
    <x v="0"/>
    <x v="3"/>
    <x v="1"/>
    <x v="0"/>
    <x v="0"/>
    <x v="2"/>
    <x v="1"/>
    <n v="9000"/>
    <n v="7650"/>
    <n v="493"/>
    <n v="463.42"/>
    <n v="493"/>
    <n v="463.42"/>
    <n v="0"/>
    <x v="1"/>
    <n v="0"/>
    <n v="1"/>
    <n v="5"/>
    <n v="64"/>
    <n v="21.48"/>
    <n v="41.95"/>
    <n v="397.62"/>
    <n v="23.398858655955021"/>
    <n v="56.586384886641618"/>
    <n v="351.67159959099928"/>
    <n v="164322"/>
    <n v="19440.469000000001"/>
    <n v="184265.06040000002"/>
    <n v="179001.26871805592"/>
    <n v="26223.262484167459"/>
    <n v="162971.6526824609"/>
  </r>
  <r>
    <s v="Regular"/>
    <x v="0"/>
    <x v="0"/>
    <x v="3"/>
    <x v="1"/>
    <x v="0"/>
    <x v="0"/>
    <x v="2"/>
    <x v="2"/>
    <n v="9540"/>
    <n v="8109"/>
    <n v="505"/>
    <n v="474.7"/>
    <n v="505"/>
    <n v="474.7"/>
    <n v="0"/>
    <x v="1"/>
    <n v="0"/>
    <n v="1"/>
    <n v="5"/>
    <n v="64"/>
    <n v="21.48"/>
    <n v="41.95"/>
    <n v="397.62"/>
    <n v="23.398858655955021"/>
    <n v="56.586384886641618"/>
    <n v="351.67159959099928"/>
    <n v="174181.32"/>
    <n v="19913.665000000001"/>
    <n v="188750.21400000001"/>
    <n v="189741.34484113927"/>
    <n v="26861.556905688776"/>
    <n v="166938.50832584736"/>
  </r>
  <r>
    <s v="Regular"/>
    <x v="0"/>
    <x v="0"/>
    <x v="3"/>
    <x v="1"/>
    <x v="0"/>
    <x v="0"/>
    <x v="2"/>
    <x v="3"/>
    <n v="9480"/>
    <n v="8058"/>
    <n v="529"/>
    <n v="497.26"/>
    <n v="529"/>
    <n v="497.26"/>
    <n v="0"/>
    <x v="1"/>
    <n v="0"/>
    <n v="1"/>
    <n v="5"/>
    <n v="64"/>
    <n v="21.48"/>
    <n v="41.95"/>
    <n v="397.62"/>
    <n v="23.398858655955021"/>
    <n v="56.586384886641618"/>
    <n v="351.67159959099928"/>
    <n v="173085.84"/>
    <n v="20860.057000000001"/>
    <n v="197720.52119999999"/>
    <n v="188548.00304968556"/>
    <n v="28138.145748731411"/>
    <n v="174872.21961262031"/>
  </r>
  <r>
    <s v="Regular"/>
    <x v="0"/>
    <x v="0"/>
    <x v="3"/>
    <x v="1"/>
    <x v="0"/>
    <x v="0"/>
    <x v="2"/>
    <x v="4"/>
    <n v="10190"/>
    <n v="8661.5"/>
    <n v="600"/>
    <n v="564"/>
    <n v="600"/>
    <n v="564"/>
    <n v="0"/>
    <x v="1"/>
    <n v="0"/>
    <n v="1"/>
    <n v="5"/>
    <n v="64"/>
    <n v="21.48"/>
    <n v="41.95"/>
    <n v="397.62"/>
    <n v="23.398858655955021"/>
    <n v="56.586384886641618"/>
    <n v="351.67159959099928"/>
    <n v="186049.02"/>
    <n v="23659.800000000003"/>
    <n v="224257.68"/>
    <n v="202669.2142485544"/>
    <n v="31914.721076065871"/>
    <n v="198342.78216932359"/>
  </r>
  <r>
    <s v="Regular"/>
    <x v="0"/>
    <x v="0"/>
    <x v="3"/>
    <x v="1"/>
    <x v="0"/>
    <x v="0"/>
    <x v="2"/>
    <x v="5"/>
    <n v="9703"/>
    <n v="8247.5499999999993"/>
    <n v="532.51300000000003"/>
    <n v="500.56222000000002"/>
    <n v="532.51300000000003"/>
    <n v="500.56222000000002"/>
    <n v="0"/>
    <x v="1"/>
    <n v="0"/>
    <n v="1"/>
    <n v="5"/>
    <n v="64"/>
    <n v="21.48"/>
    <n v="41.95"/>
    <n v="397.62"/>
    <n v="23.398858655955021"/>
    <n v="56.586384886641618"/>
    <n v="351.67159959099928"/>
    <n v="177157.37399999998"/>
    <n v="20998.585129000003"/>
    <n v="199033.54991640002"/>
    <n v="192983.25670792183"/>
    <n v="28325.00644063178"/>
    <n v="176033.5166022217"/>
  </r>
  <r>
    <s v="Regular"/>
    <x v="0"/>
    <x v="0"/>
    <x v="3"/>
    <x v="1"/>
    <x v="0"/>
    <x v="0"/>
    <x v="2"/>
    <x v="6"/>
    <n v="9740"/>
    <n v="8279"/>
    <n v="517.00900000000001"/>
    <n v="485.98845999999998"/>
    <n v="517.00900000000001"/>
    <n v="485.98845999999998"/>
    <n v="0"/>
    <x v="1"/>
    <n v="0"/>
    <n v="1"/>
    <n v="5"/>
    <n v="64"/>
    <n v="21.48"/>
    <n v="41.95"/>
    <n v="397.62"/>
    <n v="23.398858655955021"/>
    <n v="56.586384886641618"/>
    <n v="351.67159959099928"/>
    <n v="177832.92"/>
    <n v="20387.215897000002"/>
    <n v="193238.73146519999"/>
    <n v="193719.15081265161"/>
    <n v="27500.330048026233"/>
    <n v="170908.33911096636"/>
  </r>
  <r>
    <s v="Regular"/>
    <x v="0"/>
    <x v="0"/>
    <x v="3"/>
    <x v="1"/>
    <x v="0"/>
    <x v="0"/>
    <x v="2"/>
    <x v="7"/>
    <n v="9021"/>
    <n v="7667.8499999999995"/>
    <n v="535.46400000000006"/>
    <n v="503.33616000000001"/>
    <n v="535.46400000000006"/>
    <n v="503.33616000000001"/>
    <n v="0"/>
    <x v="1"/>
    <n v="0"/>
    <n v="1"/>
    <n v="5"/>
    <n v="64"/>
    <n v="21.48"/>
    <n v="41.95"/>
    <n v="397.62"/>
    <n v="23.398858655955021"/>
    <n v="56.586384886641618"/>
    <n v="351.67159959099928"/>
    <n v="164705.41800000001"/>
    <n v="21114.951912"/>
    <n v="200136.52393920001"/>
    <n v="179418.9383450647"/>
    <n v="28481.973677124228"/>
    <n v="177009.03251919115"/>
  </r>
  <r>
    <s v="Regular"/>
    <x v="0"/>
    <x v="0"/>
    <x v="3"/>
    <x v="1"/>
    <x v="0"/>
    <x v="0"/>
    <x v="2"/>
    <x v="8"/>
    <n v="9149"/>
    <n v="7776.65"/>
    <n v="452.89499999999998"/>
    <n v="425.72129999999999"/>
    <n v="452.89499999999998"/>
    <n v="425.72129999999999"/>
    <n v="0"/>
    <x v="1"/>
    <n v="0"/>
    <n v="1"/>
    <n v="5"/>
    <n v="64"/>
    <n v="21.48"/>
    <n v="41.95"/>
    <n v="397.62"/>
    <n v="23.398858655955021"/>
    <n v="56.586384886641618"/>
    <n v="351.67159959099928"/>
    <n v="167042.44200000001"/>
    <n v="17859.008535000001"/>
    <n v="169275.30330599999"/>
    <n v="181964.73416683261"/>
    <n v="24090.02933624142"/>
    <n v="149714.09055095966"/>
  </r>
  <r>
    <s v="Regular"/>
    <x v="0"/>
    <x v="0"/>
    <x v="3"/>
    <x v="1"/>
    <x v="0"/>
    <x v="0"/>
    <x v="2"/>
    <x v="9"/>
    <n v="8978"/>
    <n v="7631.3"/>
    <n v="527.52700000000004"/>
    <n v="495.87538000000001"/>
    <n v="527.52700000000004"/>
    <n v="495.87538000000001"/>
    <n v="0"/>
    <x v="1"/>
    <n v="0"/>
    <n v="1"/>
    <n v="5"/>
    <n v="64"/>
    <n v="21.48"/>
    <n v="41.95"/>
    <n v="397.62"/>
    <n v="23.398858655955021"/>
    <n v="56.586384886641618"/>
    <n v="351.67159959099928"/>
    <n v="163920.32399999999"/>
    <n v="20801.972191000001"/>
    <n v="197169.96859560002"/>
    <n v="178563.71006118954"/>
    <n v="28059.79510848967"/>
    <n v="174385.2880823946"/>
  </r>
  <r>
    <s v="Regular"/>
    <x v="0"/>
    <x v="0"/>
    <x v="3"/>
    <x v="1"/>
    <x v="0"/>
    <x v="0"/>
    <x v="2"/>
    <x v="10"/>
    <n v="8944"/>
    <n v="7602.4"/>
    <n v="501.512"/>
    <n v="471.42128000000002"/>
    <n v="501.512"/>
    <n v="471.42128000000002"/>
    <n v="0"/>
    <x v="1"/>
    <n v="0"/>
    <n v="1"/>
    <n v="5"/>
    <n v="64"/>
    <n v="21.48"/>
    <n v="41.95"/>
    <n v="397.62"/>
    <n v="23.398858655955021"/>
    <n v="56.586384886641618"/>
    <n v="351.67159959099928"/>
    <n v="163299.552"/>
    <n v="19776.122696000002"/>
    <n v="187446.52935360002"/>
    <n v="177887.48304603243"/>
    <n v="26676.025993833249"/>
    <n v="165785.47561883635"/>
  </r>
  <r>
    <s v="PROJETADO"/>
    <x v="0"/>
    <x v="0"/>
    <x v="3"/>
    <x v="1"/>
    <x v="0"/>
    <x v="0"/>
    <x v="2"/>
    <x v="11"/>
    <n v="8944"/>
    <n v="7602.4"/>
    <n v="501.512"/>
    <n v="471.42128000000002"/>
    <n v="501.512"/>
    <n v="471.42128000000002"/>
    <n v="0"/>
    <x v="1"/>
    <n v="0"/>
    <n v="1"/>
    <n v="5"/>
    <n v="64"/>
    <n v="21.48"/>
    <n v="41.95"/>
    <n v="397.62"/>
    <n v="23.398858655955021"/>
    <n v="56.586384886641618"/>
    <n v="351.67159959099928"/>
    <n v="163299.552"/>
    <n v="19776.122696000002"/>
    <n v="187446.52935360002"/>
    <n v="177887.48304603243"/>
    <n v="26676.025993833249"/>
    <n v="165785.47561883635"/>
  </r>
  <r>
    <s v="Regular"/>
    <x v="0"/>
    <x v="1"/>
    <x v="4"/>
    <x v="0"/>
    <x v="0"/>
    <x v="1"/>
    <x v="0"/>
    <x v="0"/>
    <n v="29300"/>
    <n v="29300"/>
    <n v="0"/>
    <n v="0"/>
    <n v="0"/>
    <n v="0"/>
    <n v="0"/>
    <x v="2"/>
    <n v="6611"/>
    <n v="12"/>
    <n v="0"/>
    <n v="0"/>
    <n v="11.28"/>
    <n v="0"/>
    <n v="0"/>
    <n v="12.124300073734677"/>
    <n v="6.3395684558220253"/>
    <m/>
    <n v="330504"/>
    <n v="0"/>
    <n v="0"/>
    <n v="355241.99216042605"/>
    <n v="0"/>
    <n v="0"/>
  </r>
  <r>
    <s v="Regular"/>
    <x v="0"/>
    <x v="1"/>
    <x v="4"/>
    <x v="0"/>
    <x v="0"/>
    <x v="1"/>
    <x v="0"/>
    <x v="1"/>
    <n v="29300"/>
    <n v="29300"/>
    <n v="0"/>
    <n v="0"/>
    <n v="0"/>
    <n v="0"/>
    <n v="0"/>
    <x v="2"/>
    <n v="6611"/>
    <n v="12"/>
    <n v="0"/>
    <n v="0"/>
    <n v="11.28"/>
    <n v="0"/>
    <n v="0"/>
    <n v="12.124300073734677"/>
    <n v="6.3395684558220253"/>
    <m/>
    <n v="330504"/>
    <n v="0"/>
    <n v="0"/>
    <n v="355241.99216042605"/>
    <n v="0"/>
    <n v="0"/>
  </r>
  <r>
    <s v="Regular"/>
    <x v="0"/>
    <x v="1"/>
    <x v="4"/>
    <x v="0"/>
    <x v="0"/>
    <x v="1"/>
    <x v="0"/>
    <x v="2"/>
    <n v="29300"/>
    <n v="29300"/>
    <n v="0"/>
    <n v="0"/>
    <n v="0"/>
    <n v="0"/>
    <n v="0"/>
    <x v="2"/>
    <n v="6611"/>
    <n v="12"/>
    <n v="0"/>
    <n v="0"/>
    <n v="11.28"/>
    <n v="0"/>
    <n v="0"/>
    <n v="12.124300073734677"/>
    <n v="6.3395684558220253"/>
    <m/>
    <n v="330504"/>
    <n v="0"/>
    <n v="0"/>
    <n v="355241.99216042605"/>
    <n v="0"/>
    <n v="0"/>
  </r>
  <r>
    <s v="Regular"/>
    <x v="0"/>
    <x v="1"/>
    <x v="4"/>
    <x v="0"/>
    <x v="0"/>
    <x v="1"/>
    <x v="0"/>
    <x v="3"/>
    <n v="29300"/>
    <n v="29300"/>
    <n v="0"/>
    <n v="0"/>
    <n v="0"/>
    <n v="0"/>
    <n v="0"/>
    <x v="2"/>
    <n v="6611"/>
    <n v="12"/>
    <n v="0"/>
    <n v="0"/>
    <n v="11.28"/>
    <n v="0"/>
    <n v="0"/>
    <n v="12.124300073734677"/>
    <n v="6.3395684558220253"/>
    <m/>
    <n v="330504"/>
    <n v="0"/>
    <n v="0"/>
    <n v="355241.99216042605"/>
    <n v="0"/>
    <n v="0"/>
  </r>
  <r>
    <s v="Regular"/>
    <x v="0"/>
    <x v="1"/>
    <x v="4"/>
    <x v="0"/>
    <x v="0"/>
    <x v="1"/>
    <x v="0"/>
    <x v="4"/>
    <n v="29300"/>
    <n v="29300"/>
    <n v="0"/>
    <n v="0"/>
    <n v="0"/>
    <n v="0"/>
    <n v="0"/>
    <x v="2"/>
    <n v="6611"/>
    <n v="12"/>
    <n v="0"/>
    <n v="0"/>
    <n v="11.28"/>
    <n v="0"/>
    <n v="0"/>
    <n v="12.124300073734677"/>
    <n v="6.3395684558220253"/>
    <m/>
    <n v="330504"/>
    <n v="0"/>
    <n v="0"/>
    <n v="355241.99216042605"/>
    <n v="0"/>
    <n v="0"/>
  </r>
  <r>
    <s v="Regular"/>
    <x v="0"/>
    <x v="1"/>
    <x v="4"/>
    <x v="0"/>
    <x v="0"/>
    <x v="1"/>
    <x v="0"/>
    <x v="5"/>
    <n v="29300"/>
    <n v="29300"/>
    <n v="0"/>
    <n v="0"/>
    <n v="0"/>
    <n v="0"/>
    <n v="0"/>
    <x v="2"/>
    <n v="6611"/>
    <n v="12"/>
    <n v="0"/>
    <n v="0"/>
    <n v="11.28"/>
    <n v="0"/>
    <n v="0"/>
    <n v="12.124300073734677"/>
    <n v="6.3395684558220253"/>
    <m/>
    <n v="330504"/>
    <n v="0"/>
    <n v="0"/>
    <n v="355241.99216042605"/>
    <n v="0"/>
    <n v="0"/>
  </r>
  <r>
    <s v="Regular"/>
    <x v="0"/>
    <x v="1"/>
    <x v="4"/>
    <x v="0"/>
    <x v="0"/>
    <x v="1"/>
    <x v="0"/>
    <x v="6"/>
    <n v="29300"/>
    <n v="29300"/>
    <n v="0"/>
    <n v="0"/>
    <n v="0"/>
    <n v="0"/>
    <n v="0"/>
    <x v="2"/>
    <n v="6611"/>
    <n v="12"/>
    <n v="0"/>
    <n v="0"/>
    <n v="11.28"/>
    <n v="0"/>
    <n v="0"/>
    <n v="12.124300073734677"/>
    <n v="6.3395684558220253"/>
    <m/>
    <n v="330504"/>
    <n v="0"/>
    <n v="0"/>
    <n v="355241.99216042605"/>
    <n v="0"/>
    <n v="0"/>
  </r>
  <r>
    <s v="Regular"/>
    <x v="0"/>
    <x v="1"/>
    <x v="4"/>
    <x v="0"/>
    <x v="0"/>
    <x v="1"/>
    <x v="0"/>
    <x v="7"/>
    <n v="29300"/>
    <n v="29300"/>
    <n v="0"/>
    <n v="0"/>
    <n v="0"/>
    <n v="0"/>
    <n v="0"/>
    <x v="2"/>
    <n v="6611"/>
    <n v="12"/>
    <n v="0"/>
    <n v="0"/>
    <n v="11.28"/>
    <n v="0"/>
    <n v="0"/>
    <n v="12.124300073734677"/>
    <n v="6.3395684558220253"/>
    <m/>
    <n v="330504"/>
    <n v="0"/>
    <n v="0"/>
    <n v="355241.99216042605"/>
    <n v="0"/>
    <n v="0"/>
  </r>
  <r>
    <s v="Regular"/>
    <x v="0"/>
    <x v="1"/>
    <x v="4"/>
    <x v="0"/>
    <x v="0"/>
    <x v="1"/>
    <x v="0"/>
    <x v="8"/>
    <n v="29300"/>
    <n v="29300"/>
    <n v="0"/>
    <n v="0"/>
    <n v="0"/>
    <n v="0"/>
    <n v="0"/>
    <x v="2"/>
    <n v="6611"/>
    <n v="12"/>
    <n v="0"/>
    <n v="0"/>
    <n v="11.28"/>
    <n v="0"/>
    <n v="0"/>
    <n v="12.124300073734677"/>
    <n v="6.3395684558220253"/>
    <m/>
    <n v="330504"/>
    <n v="0"/>
    <n v="0"/>
    <n v="355241.99216042605"/>
    <n v="0"/>
    <n v="0"/>
  </r>
  <r>
    <s v="Regular"/>
    <x v="0"/>
    <x v="1"/>
    <x v="4"/>
    <x v="0"/>
    <x v="0"/>
    <x v="1"/>
    <x v="0"/>
    <x v="9"/>
    <n v="29300"/>
    <n v="29300"/>
    <n v="0"/>
    <n v="0"/>
    <n v="0"/>
    <n v="0"/>
    <n v="0"/>
    <x v="2"/>
    <n v="6611"/>
    <n v="12"/>
    <n v="0"/>
    <n v="0"/>
    <n v="11.28"/>
    <n v="0"/>
    <n v="0"/>
    <n v="12.124300073734677"/>
    <n v="6.3395684558220253"/>
    <m/>
    <n v="330504"/>
    <n v="0"/>
    <n v="0"/>
    <n v="355241.99216042605"/>
    <n v="0"/>
    <n v="0"/>
  </r>
  <r>
    <s v="Regular"/>
    <x v="0"/>
    <x v="1"/>
    <x v="4"/>
    <x v="0"/>
    <x v="0"/>
    <x v="1"/>
    <x v="0"/>
    <x v="10"/>
    <n v="29300"/>
    <n v="29300"/>
    <n v="0"/>
    <n v="0"/>
    <n v="0"/>
    <n v="0"/>
    <n v="0"/>
    <x v="2"/>
    <n v="6611"/>
    <n v="12"/>
    <n v="0"/>
    <n v="0"/>
    <n v="11.28"/>
    <n v="0"/>
    <n v="0"/>
    <n v="12.124300073734677"/>
    <n v="6.3395684558220253"/>
    <m/>
    <n v="330504"/>
    <n v="0"/>
    <n v="0"/>
    <n v="355241.99216042605"/>
    <n v="0"/>
    <n v="0"/>
  </r>
  <r>
    <s v="PROJETADO"/>
    <x v="0"/>
    <x v="1"/>
    <x v="4"/>
    <x v="0"/>
    <x v="0"/>
    <x v="1"/>
    <x v="0"/>
    <x v="11"/>
    <n v="29300"/>
    <n v="29300"/>
    <n v="0"/>
    <n v="0"/>
    <n v="0"/>
    <n v="0"/>
    <n v="0"/>
    <x v="2"/>
    <n v="6611"/>
    <n v="12"/>
    <n v="0"/>
    <n v="0"/>
    <n v="11.28"/>
    <n v="0"/>
    <n v="0"/>
    <n v="12.124300073734677"/>
    <n v="6.3395684558220253"/>
    <m/>
    <n v="330504"/>
    <n v="0"/>
    <n v="0"/>
    <n v="355241.99216042605"/>
    <n v="0"/>
    <n v="0"/>
  </r>
  <r>
    <s v="Regular"/>
    <x v="0"/>
    <x v="1"/>
    <x v="4"/>
    <x v="0"/>
    <x v="0"/>
    <x v="1"/>
    <x v="1"/>
    <x v="0"/>
    <n v="0"/>
    <n v="0"/>
    <n v="11443.019"/>
    <n v="11443.019"/>
    <n v="0"/>
    <n v="0"/>
    <n v="0"/>
    <x v="2"/>
    <n v="6611"/>
    <n v="0"/>
    <n v="14"/>
    <n v="0"/>
    <n v="0"/>
    <n v="6.99"/>
    <n v="0"/>
    <n v="28.971478306022291"/>
    <n v="6.3395684558220253"/>
    <m/>
    <n v="0"/>
    <n v="79986.702810000003"/>
    <n v="0"/>
    <n v="0"/>
    <n v="72543.802291772095"/>
    <n v="0"/>
  </r>
  <r>
    <s v="Regular"/>
    <x v="0"/>
    <x v="1"/>
    <x v="4"/>
    <x v="0"/>
    <x v="0"/>
    <x v="1"/>
    <x v="1"/>
    <x v="1"/>
    <n v="0"/>
    <n v="0"/>
    <n v="11136.861999999999"/>
    <n v="11136.861999999999"/>
    <n v="0"/>
    <n v="0"/>
    <n v="0"/>
    <x v="2"/>
    <n v="6611"/>
    <n v="0"/>
    <n v="14"/>
    <n v="0"/>
    <n v="0"/>
    <n v="6.99"/>
    <n v="0"/>
    <n v="28.971478306022291"/>
    <n v="6.3395684558220253"/>
    <m/>
    <n v="0"/>
    <n v="77846.665379999991"/>
    <n v="0"/>
    <n v="0"/>
    <n v="70602.899032042988"/>
    <n v="0"/>
  </r>
  <r>
    <s v="Regular"/>
    <x v="0"/>
    <x v="1"/>
    <x v="4"/>
    <x v="0"/>
    <x v="0"/>
    <x v="1"/>
    <x v="1"/>
    <x v="2"/>
    <n v="0"/>
    <n v="0"/>
    <n v="11604.642"/>
    <n v="11604.642"/>
    <n v="0"/>
    <n v="0"/>
    <n v="0"/>
    <x v="2"/>
    <n v="6611"/>
    <n v="0"/>
    <n v="14"/>
    <n v="0"/>
    <n v="0"/>
    <n v="6.99"/>
    <n v="0"/>
    <n v="28.971478306022291"/>
    <n v="6.3395684558220253"/>
    <m/>
    <n v="0"/>
    <n v="81116.447580000007"/>
    <n v="0"/>
    <n v="0"/>
    <n v="73568.422364307422"/>
    <n v="0"/>
  </r>
  <r>
    <s v="Regular"/>
    <x v="0"/>
    <x v="1"/>
    <x v="4"/>
    <x v="0"/>
    <x v="0"/>
    <x v="1"/>
    <x v="1"/>
    <x v="3"/>
    <n v="0"/>
    <n v="0"/>
    <n v="12398.616"/>
    <n v="12398.616"/>
    <n v="0"/>
    <n v="0"/>
    <n v="0"/>
    <x v="2"/>
    <n v="6611"/>
    <n v="0"/>
    <n v="14"/>
    <n v="0"/>
    <n v="0"/>
    <n v="6.99"/>
    <n v="0"/>
    <n v="28.971478306022291"/>
    <n v="6.3395684558220253"/>
    <m/>
    <n v="0"/>
    <n v="86666.325840000005"/>
    <n v="0"/>
    <n v="0"/>
    <n v="78601.87488945025"/>
    <n v="0"/>
  </r>
  <r>
    <s v="Regular"/>
    <x v="0"/>
    <x v="1"/>
    <x v="4"/>
    <x v="0"/>
    <x v="0"/>
    <x v="1"/>
    <x v="1"/>
    <x v="4"/>
    <n v="0"/>
    <n v="0"/>
    <n v="12355.644"/>
    <n v="12355.644"/>
    <n v="0"/>
    <n v="0"/>
    <n v="0"/>
    <x v="2"/>
    <n v="6611"/>
    <n v="0"/>
    <n v="14"/>
    <n v="0"/>
    <n v="0"/>
    <n v="6.99"/>
    <n v="0"/>
    <n v="28.971478306022291"/>
    <n v="6.3395684558220253"/>
    <m/>
    <n v="0"/>
    <n v="86365.951560000001"/>
    <n v="0"/>
    <n v="0"/>
    <n v="78329.450953766675"/>
    <n v="0"/>
  </r>
  <r>
    <s v="Regular"/>
    <x v="0"/>
    <x v="1"/>
    <x v="4"/>
    <x v="0"/>
    <x v="0"/>
    <x v="1"/>
    <x v="1"/>
    <x v="5"/>
    <n v="0"/>
    <n v="0"/>
    <n v="12554.525"/>
    <n v="12554.525"/>
    <n v="0"/>
    <n v="0"/>
    <n v="0"/>
    <x v="2"/>
    <n v="6611"/>
    <n v="0"/>
    <n v="14"/>
    <n v="0"/>
    <n v="0"/>
    <n v="6.99"/>
    <n v="0"/>
    <n v="28.971478306022291"/>
    <n v="6.3395684558220253"/>
    <m/>
    <n v="0"/>
    <n v="87756.129750000007"/>
    <n v="0"/>
    <n v="0"/>
    <n v="79590.270667829012"/>
    <n v="0"/>
  </r>
  <r>
    <s v="Regular"/>
    <x v="0"/>
    <x v="1"/>
    <x v="4"/>
    <x v="0"/>
    <x v="0"/>
    <x v="1"/>
    <x v="1"/>
    <x v="6"/>
    <n v="0"/>
    <n v="0"/>
    <n v="12240.692999999999"/>
    <n v="12240.692999999999"/>
    <n v="0"/>
    <n v="0"/>
    <n v="0"/>
    <x v="2"/>
    <n v="6611"/>
    <n v="0"/>
    <n v="14"/>
    <n v="0"/>
    <n v="0"/>
    <n v="6.99"/>
    <n v="0"/>
    <n v="28.971478306022291"/>
    <n v="6.3395684558220253"/>
    <m/>
    <n v="0"/>
    <n v="85562.444069999998"/>
    <n v="0"/>
    <n v="0"/>
    <n v="77600.711220201469"/>
    <n v="0"/>
  </r>
  <r>
    <s v="Regular"/>
    <x v="0"/>
    <x v="1"/>
    <x v="4"/>
    <x v="0"/>
    <x v="0"/>
    <x v="1"/>
    <x v="1"/>
    <x v="7"/>
    <n v="0"/>
    <n v="0"/>
    <n v="11557.92"/>
    <n v="11557.92"/>
    <n v="0"/>
    <n v="0"/>
    <n v="0"/>
    <x v="2"/>
    <n v="6611"/>
    <n v="0"/>
    <n v="14"/>
    <n v="0"/>
    <n v="0"/>
    <n v="6.99"/>
    <n v="0"/>
    <n v="28.971478306022291"/>
    <n v="6.3395684558220253"/>
    <m/>
    <n v="0"/>
    <n v="80789.860800000009"/>
    <n v="0"/>
    <n v="0"/>
    <n v="73272.225046914507"/>
    <n v="0"/>
  </r>
  <r>
    <s v="Regular"/>
    <x v="0"/>
    <x v="1"/>
    <x v="4"/>
    <x v="0"/>
    <x v="0"/>
    <x v="1"/>
    <x v="1"/>
    <x v="8"/>
    <n v="0"/>
    <n v="0"/>
    <n v="12544.321"/>
    <n v="12544.321"/>
    <n v="0"/>
    <n v="0"/>
    <n v="0"/>
    <x v="2"/>
    <n v="6611"/>
    <n v="0"/>
    <n v="14"/>
    <n v="0"/>
    <n v="0"/>
    <n v="6.99"/>
    <n v="0"/>
    <n v="28.971478306022291"/>
    <n v="6.3395684558220253"/>
    <m/>
    <n v="0"/>
    <n v="87684.803790000005"/>
    <n v="0"/>
    <n v="0"/>
    <n v="79525.5817113058"/>
    <n v="0"/>
  </r>
  <r>
    <s v="Regular"/>
    <x v="0"/>
    <x v="1"/>
    <x v="4"/>
    <x v="0"/>
    <x v="0"/>
    <x v="1"/>
    <x v="1"/>
    <x v="9"/>
    <n v="0"/>
    <n v="0"/>
    <n v="11977.334999999999"/>
    <n v="11977.334999999999"/>
    <n v="0"/>
    <n v="0"/>
    <n v="0"/>
    <x v="2"/>
    <n v="6611"/>
    <n v="0"/>
    <n v="14"/>
    <n v="0"/>
    <n v="0"/>
    <n v="6.99"/>
    <n v="0"/>
    <n v="28.971478306022291"/>
    <n v="6.3395684558220253"/>
    <m/>
    <n v="0"/>
    <n v="83721.571649999998"/>
    <n v="0"/>
    <n v="0"/>
    <n v="75931.13515081309"/>
    <n v="0"/>
  </r>
  <r>
    <s v="Regular"/>
    <x v="0"/>
    <x v="1"/>
    <x v="4"/>
    <x v="0"/>
    <x v="0"/>
    <x v="1"/>
    <x v="1"/>
    <x v="10"/>
    <n v="0"/>
    <n v="0"/>
    <n v="11880.42"/>
    <n v="11880.42"/>
    <n v="0"/>
    <n v="0"/>
    <n v="0"/>
    <x v="2"/>
    <n v="6611"/>
    <n v="0"/>
    <n v="14"/>
    <n v="0"/>
    <n v="0"/>
    <n v="6.99"/>
    <n v="0"/>
    <n v="28.971478306022291"/>
    <n v="6.3395684558220253"/>
    <m/>
    <n v="0"/>
    <n v="83044.135800000004"/>
    <n v="0"/>
    <n v="0"/>
    <n v="75316.735873917103"/>
    <n v="0"/>
  </r>
  <r>
    <s v="PROJETADO"/>
    <x v="0"/>
    <x v="1"/>
    <x v="4"/>
    <x v="0"/>
    <x v="0"/>
    <x v="1"/>
    <x v="1"/>
    <x v="11"/>
    <n v="0"/>
    <n v="0"/>
    <n v="11880.42"/>
    <n v="11880.42"/>
    <n v="0"/>
    <n v="0"/>
    <n v="0"/>
    <x v="2"/>
    <n v="6611"/>
    <n v="0"/>
    <n v="14"/>
    <n v="0"/>
    <n v="0"/>
    <n v="6.99"/>
    <n v="0"/>
    <n v="28.971478306022291"/>
    <n v="6.3395684558220253"/>
    <m/>
    <n v="0"/>
    <n v="83044.135800000004"/>
    <n v="0"/>
    <n v="0"/>
    <n v="75316.735873917103"/>
    <n v="0"/>
  </r>
  <r>
    <s v="Regular"/>
    <x v="0"/>
    <x v="1"/>
    <x v="4"/>
    <x v="0"/>
    <x v="0"/>
    <x v="1"/>
    <x v="2"/>
    <x v="0"/>
    <n v="28600"/>
    <n v="28600"/>
    <n v="0"/>
    <n v="0"/>
    <n v="0"/>
    <n v="0"/>
    <n v="0"/>
    <x v="2"/>
    <n v="6611"/>
    <n v="9"/>
    <n v="0"/>
    <n v="0"/>
    <n v="21.7"/>
    <n v="0"/>
    <n v="0"/>
    <n v="23.398858655955021"/>
    <n v="6.3395684558220253"/>
    <m/>
    <n v="620620"/>
    <n v="0"/>
    <n v="0"/>
    <n v="669207.35756031354"/>
    <n v="0"/>
    <n v="0"/>
  </r>
  <r>
    <s v="Regular"/>
    <x v="0"/>
    <x v="1"/>
    <x v="4"/>
    <x v="0"/>
    <x v="0"/>
    <x v="1"/>
    <x v="2"/>
    <x v="1"/>
    <n v="28600"/>
    <n v="28600"/>
    <n v="0"/>
    <n v="0"/>
    <n v="0"/>
    <n v="0"/>
    <n v="0"/>
    <x v="2"/>
    <n v="6611"/>
    <n v="9"/>
    <n v="0"/>
    <n v="0"/>
    <n v="21.7"/>
    <n v="0"/>
    <n v="0"/>
    <n v="23.398858655955021"/>
    <n v="6.3395684558220253"/>
    <m/>
    <n v="620620"/>
    <n v="0"/>
    <n v="0"/>
    <n v="669207.35756031354"/>
    <n v="0"/>
    <n v="0"/>
  </r>
  <r>
    <s v="Regular"/>
    <x v="0"/>
    <x v="1"/>
    <x v="4"/>
    <x v="0"/>
    <x v="0"/>
    <x v="1"/>
    <x v="2"/>
    <x v="2"/>
    <n v="28600"/>
    <n v="28600"/>
    <n v="0"/>
    <n v="0"/>
    <n v="0"/>
    <n v="0"/>
    <n v="0"/>
    <x v="2"/>
    <n v="6611"/>
    <n v="9"/>
    <n v="0"/>
    <n v="0"/>
    <n v="21.7"/>
    <n v="0"/>
    <n v="0"/>
    <n v="23.398858655955021"/>
    <n v="6.3395684558220253"/>
    <m/>
    <n v="620620"/>
    <n v="0"/>
    <n v="0"/>
    <n v="669207.35756031354"/>
    <n v="0"/>
    <n v="0"/>
  </r>
  <r>
    <s v="Regular"/>
    <x v="0"/>
    <x v="1"/>
    <x v="4"/>
    <x v="0"/>
    <x v="0"/>
    <x v="1"/>
    <x v="2"/>
    <x v="3"/>
    <n v="28600"/>
    <n v="28600"/>
    <n v="0"/>
    <n v="0"/>
    <n v="0"/>
    <n v="0"/>
    <n v="0"/>
    <x v="2"/>
    <n v="6611"/>
    <n v="9"/>
    <n v="0"/>
    <n v="0"/>
    <n v="21.7"/>
    <n v="0"/>
    <n v="0"/>
    <n v="23.398858655955021"/>
    <n v="6.3395684558220253"/>
    <m/>
    <n v="620620"/>
    <n v="0"/>
    <n v="0"/>
    <n v="669207.35756031354"/>
    <n v="0"/>
    <n v="0"/>
  </r>
  <r>
    <s v="Regular"/>
    <x v="0"/>
    <x v="1"/>
    <x v="4"/>
    <x v="0"/>
    <x v="0"/>
    <x v="1"/>
    <x v="2"/>
    <x v="4"/>
    <n v="28600"/>
    <n v="28600"/>
    <n v="0"/>
    <n v="0"/>
    <n v="0"/>
    <n v="0"/>
    <n v="0"/>
    <x v="2"/>
    <n v="6611"/>
    <n v="9"/>
    <n v="0"/>
    <n v="0"/>
    <n v="21.7"/>
    <n v="0"/>
    <n v="0"/>
    <n v="23.398858655955021"/>
    <n v="6.3395684558220253"/>
    <m/>
    <n v="620620"/>
    <n v="0"/>
    <n v="0"/>
    <n v="669207.35756031354"/>
    <n v="0"/>
    <n v="0"/>
  </r>
  <r>
    <s v="Regular"/>
    <x v="0"/>
    <x v="1"/>
    <x v="4"/>
    <x v="0"/>
    <x v="0"/>
    <x v="1"/>
    <x v="2"/>
    <x v="5"/>
    <n v="29792"/>
    <n v="29792"/>
    <n v="0"/>
    <n v="0"/>
    <n v="0"/>
    <n v="0"/>
    <n v="0"/>
    <x v="2"/>
    <n v="6611"/>
    <n v="9"/>
    <n v="0"/>
    <n v="0"/>
    <n v="21.7"/>
    <n v="0"/>
    <n v="0"/>
    <n v="23.398858655955021"/>
    <n v="6.3395684558220253"/>
    <m/>
    <n v="646486.4"/>
    <n v="0"/>
    <n v="0"/>
    <n v="697098.79707821202"/>
    <n v="0"/>
    <n v="0"/>
  </r>
  <r>
    <s v="Regular"/>
    <x v="0"/>
    <x v="1"/>
    <x v="4"/>
    <x v="0"/>
    <x v="0"/>
    <x v="1"/>
    <x v="2"/>
    <x v="6"/>
    <n v="28600"/>
    <n v="28600"/>
    <n v="0"/>
    <n v="0"/>
    <n v="0"/>
    <n v="0"/>
    <n v="0"/>
    <x v="2"/>
    <n v="6611"/>
    <n v="9"/>
    <n v="0"/>
    <n v="0"/>
    <n v="21.7"/>
    <n v="0"/>
    <n v="0"/>
    <n v="23.398858655955021"/>
    <n v="6.3395684558220253"/>
    <m/>
    <n v="620620"/>
    <n v="0"/>
    <n v="0"/>
    <n v="669207.35756031354"/>
    <n v="0"/>
    <n v="0"/>
  </r>
  <r>
    <s v="Regular"/>
    <x v="0"/>
    <x v="1"/>
    <x v="4"/>
    <x v="0"/>
    <x v="0"/>
    <x v="1"/>
    <x v="2"/>
    <x v="7"/>
    <n v="28600"/>
    <n v="28600"/>
    <n v="0"/>
    <n v="0"/>
    <n v="0"/>
    <n v="0"/>
    <n v="0"/>
    <x v="2"/>
    <n v="6611"/>
    <n v="9"/>
    <n v="0"/>
    <n v="0"/>
    <n v="21.7"/>
    <n v="0"/>
    <n v="0"/>
    <n v="23.398858655955021"/>
    <n v="6.3395684558220253"/>
    <m/>
    <n v="620620"/>
    <n v="0"/>
    <n v="0"/>
    <n v="669207.35756031354"/>
    <n v="0"/>
    <n v="0"/>
  </r>
  <r>
    <s v="Regular"/>
    <x v="0"/>
    <x v="1"/>
    <x v="4"/>
    <x v="0"/>
    <x v="0"/>
    <x v="1"/>
    <x v="2"/>
    <x v="8"/>
    <n v="28600"/>
    <n v="28600"/>
    <n v="0"/>
    <n v="0"/>
    <n v="0"/>
    <n v="0"/>
    <n v="0"/>
    <x v="2"/>
    <n v="6611"/>
    <n v="9"/>
    <n v="0"/>
    <n v="0"/>
    <n v="21.7"/>
    <n v="0"/>
    <n v="0"/>
    <n v="23.398858655955021"/>
    <n v="6.3395684558220253"/>
    <m/>
    <n v="620620"/>
    <n v="0"/>
    <n v="0"/>
    <n v="669207.35756031354"/>
    <n v="0"/>
    <n v="0"/>
  </r>
  <r>
    <s v="Regular"/>
    <x v="0"/>
    <x v="1"/>
    <x v="4"/>
    <x v="0"/>
    <x v="0"/>
    <x v="1"/>
    <x v="2"/>
    <x v="9"/>
    <n v="28600"/>
    <n v="28600"/>
    <n v="0"/>
    <n v="0"/>
    <n v="0"/>
    <n v="0"/>
    <n v="0"/>
    <x v="2"/>
    <n v="6611"/>
    <n v="9"/>
    <n v="0"/>
    <n v="0"/>
    <n v="21.7"/>
    <n v="0"/>
    <n v="0"/>
    <n v="23.398858655955021"/>
    <n v="6.3395684558220253"/>
    <m/>
    <n v="620620"/>
    <n v="0"/>
    <n v="0"/>
    <n v="669207.35756031354"/>
    <n v="0"/>
    <n v="0"/>
  </r>
  <r>
    <s v="Regular"/>
    <x v="0"/>
    <x v="1"/>
    <x v="4"/>
    <x v="0"/>
    <x v="0"/>
    <x v="1"/>
    <x v="2"/>
    <x v="10"/>
    <n v="28600"/>
    <n v="28600"/>
    <n v="0"/>
    <n v="0"/>
    <n v="0"/>
    <n v="0"/>
    <n v="0"/>
    <x v="2"/>
    <n v="6611"/>
    <n v="9"/>
    <n v="0"/>
    <n v="0"/>
    <n v="21.7"/>
    <n v="0"/>
    <n v="0"/>
    <n v="23.398858655955021"/>
    <n v="6.3395684558220253"/>
    <m/>
    <n v="620620"/>
    <n v="0"/>
    <n v="0"/>
    <n v="669207.35756031354"/>
    <n v="0"/>
    <n v="0"/>
  </r>
  <r>
    <s v="PROJETADO"/>
    <x v="0"/>
    <x v="1"/>
    <x v="4"/>
    <x v="0"/>
    <x v="0"/>
    <x v="1"/>
    <x v="2"/>
    <x v="11"/>
    <n v="28600"/>
    <n v="28600"/>
    <n v="0"/>
    <n v="0"/>
    <n v="0"/>
    <n v="0"/>
    <n v="0"/>
    <x v="2"/>
    <n v="6611"/>
    <n v="9"/>
    <n v="0"/>
    <n v="0"/>
    <n v="21.7"/>
    <n v="0"/>
    <n v="0"/>
    <n v="23.398858655955021"/>
    <n v="6.3395684558220253"/>
    <m/>
    <n v="620620"/>
    <n v="0"/>
    <n v="0"/>
    <n v="669207.35756031354"/>
    <n v="0"/>
    <n v="0"/>
  </r>
  <r>
    <s v="Regular"/>
    <x v="0"/>
    <x v="2"/>
    <x v="4"/>
    <x v="0"/>
    <x v="0"/>
    <x v="2"/>
    <x v="1"/>
    <x v="0"/>
    <n v="3500"/>
    <n v="3500"/>
    <n v="0"/>
    <n v="0"/>
    <n v="0"/>
    <n v="0"/>
    <n v="0"/>
    <x v="3"/>
    <n v="27402"/>
    <n v="16"/>
    <n v="0"/>
    <n v="0"/>
    <n v="12.9"/>
    <n v="0"/>
    <n v="0"/>
    <n v="14.085249121662242"/>
    <m/>
    <m/>
    <n v="45150"/>
    <n v="0"/>
    <n v="0"/>
    <n v="49298.371925817846"/>
    <n v="0"/>
    <n v="0"/>
  </r>
  <r>
    <s v="Regular"/>
    <x v="0"/>
    <x v="2"/>
    <x v="4"/>
    <x v="0"/>
    <x v="0"/>
    <x v="3"/>
    <x v="1"/>
    <x v="0"/>
    <n v="3000"/>
    <n v="1500"/>
    <n v="0"/>
    <n v="0"/>
    <n v="0"/>
    <n v="0"/>
    <n v="0"/>
    <x v="3"/>
    <n v="28515"/>
    <n v="16"/>
    <n v="0"/>
    <n v="0"/>
    <n v="12.9"/>
    <n v="0"/>
    <n v="0"/>
    <n v="14.085249121662242"/>
    <m/>
    <m/>
    <n v="19350"/>
    <n v="0"/>
    <n v="0"/>
    <n v="21127.873682493362"/>
    <n v="0"/>
    <n v="0"/>
  </r>
  <r>
    <s v="Regular"/>
    <x v="0"/>
    <x v="2"/>
    <x v="4"/>
    <x v="0"/>
    <x v="0"/>
    <x v="4"/>
    <x v="1"/>
    <x v="0"/>
    <n v="11000"/>
    <n v="5500"/>
    <n v="0"/>
    <n v="0"/>
    <n v="0"/>
    <n v="0"/>
    <n v="0"/>
    <x v="3"/>
    <n v="28957"/>
    <n v="16"/>
    <n v="0"/>
    <n v="0"/>
    <n v="12.9"/>
    <n v="0"/>
    <n v="0"/>
    <n v="14.085249121662242"/>
    <m/>
    <m/>
    <n v="70950"/>
    <n v="0"/>
    <n v="0"/>
    <n v="77468.870169142334"/>
    <n v="0"/>
    <n v="0"/>
  </r>
  <r>
    <s v="Refaturamento - Regular"/>
    <x v="0"/>
    <x v="2"/>
    <x v="4"/>
    <x v="0"/>
    <x v="0"/>
    <x v="4"/>
    <x v="1"/>
    <x v="0"/>
    <n v="-536"/>
    <n v="-536"/>
    <n v="0"/>
    <n v="0"/>
    <n v="0"/>
    <n v="0"/>
    <n v="0"/>
    <x v="3"/>
    <n v="28957"/>
    <n v="16"/>
    <n v="0"/>
    <n v="0"/>
    <n v="12.9"/>
    <n v="0"/>
    <n v="0"/>
    <n v="14.085249121662242"/>
    <m/>
    <m/>
    <n v="-6914.4000000000005"/>
    <n v="0"/>
    <n v="0"/>
    <n v="-7549.693529210962"/>
    <n v="0"/>
    <n v="0"/>
  </r>
  <r>
    <s v="Regular"/>
    <x v="0"/>
    <x v="2"/>
    <x v="4"/>
    <x v="0"/>
    <x v="0"/>
    <x v="5"/>
    <x v="1"/>
    <x v="0"/>
    <n v="10050"/>
    <n v="5025"/>
    <n v="0"/>
    <n v="0"/>
    <n v="0"/>
    <n v="0"/>
    <n v="0"/>
    <x v="3"/>
    <n v="29041"/>
    <n v="16"/>
    <n v="0"/>
    <n v="0"/>
    <n v="12.9"/>
    <n v="0"/>
    <n v="0"/>
    <n v="14.085249121662242"/>
    <m/>
    <m/>
    <n v="64822.5"/>
    <n v="0"/>
    <n v="0"/>
    <n v="70778.376836352763"/>
    <n v="0"/>
    <n v="0"/>
  </r>
  <r>
    <s v="Regular"/>
    <x v="0"/>
    <x v="2"/>
    <x v="4"/>
    <x v="0"/>
    <x v="0"/>
    <x v="6"/>
    <x v="1"/>
    <x v="0"/>
    <n v="44450"/>
    <n v="22225"/>
    <n v="0"/>
    <n v="0"/>
    <n v="0"/>
    <n v="0"/>
    <n v="0"/>
    <x v="3"/>
    <n v="29092"/>
    <n v="16"/>
    <n v="0"/>
    <n v="0"/>
    <n v="12.9"/>
    <n v="0"/>
    <n v="0"/>
    <n v="14.085249121662242"/>
    <m/>
    <m/>
    <n v="286702.5"/>
    <n v="0"/>
    <n v="0"/>
    <n v="313044.66172894335"/>
    <n v="0"/>
    <n v="0"/>
  </r>
  <r>
    <s v="Regular"/>
    <x v="0"/>
    <x v="2"/>
    <x v="4"/>
    <x v="0"/>
    <x v="0"/>
    <x v="7"/>
    <x v="1"/>
    <x v="0"/>
    <n v="30000"/>
    <n v="15000"/>
    <n v="0"/>
    <n v="0"/>
    <n v="0"/>
    <n v="0"/>
    <n v="0"/>
    <x v="3"/>
    <n v="33663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8"/>
    <x v="1"/>
    <x v="0"/>
    <n v="30000"/>
    <n v="15000"/>
    <n v="0"/>
    <n v="0"/>
    <n v="0"/>
    <n v="0"/>
    <n v="0"/>
    <x v="3"/>
    <n v="33664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9"/>
    <x v="1"/>
    <x v="0"/>
    <n v="30000"/>
    <n v="15000"/>
    <n v="0"/>
    <n v="0"/>
    <n v="0"/>
    <n v="0"/>
    <n v="0"/>
    <x v="3"/>
    <n v="33665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10"/>
    <x v="1"/>
    <x v="0"/>
    <n v="27000"/>
    <n v="13500"/>
    <n v="0"/>
    <n v="0"/>
    <n v="0"/>
    <n v="0"/>
    <n v="0"/>
    <x v="3"/>
    <n v="34085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11"/>
    <x v="1"/>
    <x v="0"/>
    <n v="27000"/>
    <n v="13500"/>
    <n v="0"/>
    <n v="0"/>
    <n v="0"/>
    <n v="0"/>
    <n v="0"/>
    <x v="3"/>
    <n v="34086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2"/>
    <x v="1"/>
    <x v="1"/>
    <n v="3500"/>
    <n v="3500"/>
    <n v="0"/>
    <n v="0"/>
    <n v="0"/>
    <n v="0"/>
    <n v="0"/>
    <x v="3"/>
    <n v="27402"/>
    <n v="16"/>
    <n v="0"/>
    <n v="0"/>
    <n v="12.9"/>
    <n v="0"/>
    <n v="0"/>
    <n v="14.085249121662242"/>
    <m/>
    <m/>
    <n v="45150"/>
    <n v="0"/>
    <n v="0"/>
    <n v="49298.371925817846"/>
    <n v="0"/>
    <n v="0"/>
  </r>
  <r>
    <s v="Regular"/>
    <x v="0"/>
    <x v="2"/>
    <x v="4"/>
    <x v="0"/>
    <x v="0"/>
    <x v="3"/>
    <x v="1"/>
    <x v="1"/>
    <n v="3000"/>
    <n v="1500"/>
    <n v="0"/>
    <n v="0"/>
    <n v="0"/>
    <n v="0"/>
    <n v="0"/>
    <x v="3"/>
    <n v="28515"/>
    <n v="16"/>
    <n v="0"/>
    <n v="0"/>
    <n v="12.9"/>
    <n v="0"/>
    <n v="0"/>
    <n v="14.085249121662242"/>
    <m/>
    <m/>
    <n v="19350"/>
    <n v="0"/>
    <n v="0"/>
    <n v="21127.873682493362"/>
    <n v="0"/>
    <n v="0"/>
  </r>
  <r>
    <s v="Regular"/>
    <x v="0"/>
    <x v="2"/>
    <x v="4"/>
    <x v="0"/>
    <x v="0"/>
    <x v="4"/>
    <x v="1"/>
    <x v="1"/>
    <n v="11000"/>
    <n v="5500"/>
    <n v="0"/>
    <n v="0"/>
    <n v="0"/>
    <n v="0"/>
    <n v="0"/>
    <x v="3"/>
    <n v="28957"/>
    <n v="16"/>
    <n v="0"/>
    <n v="0"/>
    <n v="12.9"/>
    <n v="0"/>
    <n v="0"/>
    <n v="14.085249121662242"/>
    <m/>
    <m/>
    <n v="70950"/>
    <n v="0"/>
    <n v="0"/>
    <n v="77468.870169142334"/>
    <n v="0"/>
    <n v="0"/>
  </r>
  <r>
    <s v="Regular"/>
    <x v="0"/>
    <x v="2"/>
    <x v="4"/>
    <x v="0"/>
    <x v="0"/>
    <x v="5"/>
    <x v="1"/>
    <x v="1"/>
    <n v="10050"/>
    <n v="5025"/>
    <n v="0"/>
    <n v="0"/>
    <n v="0"/>
    <n v="0"/>
    <n v="0"/>
    <x v="3"/>
    <n v="29041"/>
    <n v="16"/>
    <n v="0"/>
    <n v="0"/>
    <n v="12.9"/>
    <n v="0"/>
    <n v="0"/>
    <n v="14.085249121662242"/>
    <m/>
    <m/>
    <n v="64822.5"/>
    <n v="0"/>
    <n v="0"/>
    <n v="70778.376836352763"/>
    <n v="0"/>
    <n v="0"/>
  </r>
  <r>
    <s v="Regular"/>
    <x v="0"/>
    <x v="2"/>
    <x v="4"/>
    <x v="0"/>
    <x v="0"/>
    <x v="6"/>
    <x v="1"/>
    <x v="1"/>
    <n v="44450"/>
    <n v="22225"/>
    <n v="0"/>
    <n v="0"/>
    <n v="0"/>
    <n v="0"/>
    <n v="0"/>
    <x v="3"/>
    <n v="29092"/>
    <n v="16"/>
    <n v="0"/>
    <n v="0"/>
    <n v="12.9"/>
    <n v="0"/>
    <n v="0"/>
    <n v="14.085249121662242"/>
    <m/>
    <m/>
    <n v="286702.5"/>
    <n v="0"/>
    <n v="0"/>
    <n v="313044.66172894335"/>
    <n v="0"/>
    <n v="0"/>
  </r>
  <r>
    <s v="Regular"/>
    <x v="0"/>
    <x v="2"/>
    <x v="4"/>
    <x v="0"/>
    <x v="0"/>
    <x v="7"/>
    <x v="1"/>
    <x v="1"/>
    <n v="30000"/>
    <n v="15000"/>
    <n v="0"/>
    <n v="0"/>
    <n v="0"/>
    <n v="0"/>
    <n v="0"/>
    <x v="3"/>
    <n v="33663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8"/>
    <x v="1"/>
    <x v="1"/>
    <n v="30000"/>
    <n v="15000"/>
    <n v="0"/>
    <n v="0"/>
    <n v="0"/>
    <n v="0"/>
    <n v="0"/>
    <x v="3"/>
    <n v="33664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9"/>
    <x v="1"/>
    <x v="1"/>
    <n v="30000"/>
    <n v="15000"/>
    <n v="0"/>
    <n v="0"/>
    <n v="0"/>
    <n v="0"/>
    <n v="0"/>
    <x v="3"/>
    <n v="33665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10"/>
    <x v="1"/>
    <x v="1"/>
    <n v="27000"/>
    <n v="13500"/>
    <n v="0"/>
    <n v="0"/>
    <n v="0"/>
    <n v="0"/>
    <n v="0"/>
    <x v="3"/>
    <n v="34085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11"/>
    <x v="1"/>
    <x v="1"/>
    <n v="27000"/>
    <n v="13500"/>
    <n v="0"/>
    <n v="0"/>
    <n v="0"/>
    <n v="0"/>
    <n v="0"/>
    <x v="3"/>
    <n v="34086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2"/>
    <x v="1"/>
    <x v="2"/>
    <n v="3500"/>
    <n v="3500"/>
    <n v="0"/>
    <n v="0"/>
    <n v="0"/>
    <n v="0"/>
    <n v="0"/>
    <x v="3"/>
    <n v="27402"/>
    <n v="16"/>
    <n v="0"/>
    <n v="0"/>
    <n v="12.9"/>
    <n v="0"/>
    <n v="0"/>
    <n v="14.085249121662242"/>
    <m/>
    <m/>
    <n v="45150"/>
    <n v="0"/>
    <n v="0"/>
    <n v="49298.371925817846"/>
    <n v="0"/>
    <n v="0"/>
  </r>
  <r>
    <s v="Regular"/>
    <x v="0"/>
    <x v="2"/>
    <x v="4"/>
    <x v="0"/>
    <x v="0"/>
    <x v="3"/>
    <x v="1"/>
    <x v="2"/>
    <n v="3000"/>
    <n v="1500"/>
    <n v="0"/>
    <n v="0"/>
    <n v="0"/>
    <n v="0"/>
    <n v="0"/>
    <x v="3"/>
    <n v="28515"/>
    <n v="16"/>
    <n v="0"/>
    <n v="0"/>
    <n v="12.9"/>
    <n v="0"/>
    <n v="0"/>
    <n v="14.085249121662242"/>
    <m/>
    <m/>
    <n v="19350"/>
    <n v="0"/>
    <n v="0"/>
    <n v="21127.873682493362"/>
    <n v="0"/>
    <n v="0"/>
  </r>
  <r>
    <s v="Regular"/>
    <x v="0"/>
    <x v="2"/>
    <x v="4"/>
    <x v="0"/>
    <x v="0"/>
    <x v="4"/>
    <x v="1"/>
    <x v="2"/>
    <n v="11000"/>
    <n v="5500"/>
    <n v="0"/>
    <n v="0"/>
    <n v="0"/>
    <n v="0"/>
    <n v="0"/>
    <x v="3"/>
    <n v="28957"/>
    <n v="16"/>
    <n v="0"/>
    <n v="0"/>
    <n v="12.9"/>
    <n v="0"/>
    <n v="0"/>
    <n v="14.085249121662242"/>
    <m/>
    <m/>
    <n v="70950"/>
    <n v="0"/>
    <n v="0"/>
    <n v="77468.870169142334"/>
    <n v="0"/>
    <n v="0"/>
  </r>
  <r>
    <s v="Regular"/>
    <x v="0"/>
    <x v="2"/>
    <x v="4"/>
    <x v="0"/>
    <x v="0"/>
    <x v="5"/>
    <x v="1"/>
    <x v="2"/>
    <n v="10050"/>
    <n v="5025"/>
    <n v="0"/>
    <n v="0"/>
    <n v="0"/>
    <n v="0"/>
    <n v="0"/>
    <x v="3"/>
    <n v="29041"/>
    <n v="16"/>
    <n v="0"/>
    <n v="0"/>
    <n v="12.9"/>
    <n v="0"/>
    <n v="0"/>
    <n v="14.085249121662242"/>
    <m/>
    <m/>
    <n v="64822.5"/>
    <n v="0"/>
    <n v="0"/>
    <n v="70778.376836352763"/>
    <n v="0"/>
    <n v="0"/>
  </r>
  <r>
    <s v="Regular"/>
    <x v="0"/>
    <x v="2"/>
    <x v="4"/>
    <x v="0"/>
    <x v="0"/>
    <x v="6"/>
    <x v="1"/>
    <x v="2"/>
    <n v="44450"/>
    <n v="22225"/>
    <n v="0"/>
    <n v="0"/>
    <n v="0"/>
    <n v="0"/>
    <n v="0"/>
    <x v="3"/>
    <n v="29092"/>
    <n v="16"/>
    <n v="0"/>
    <n v="0"/>
    <n v="12.9"/>
    <n v="0"/>
    <n v="0"/>
    <n v="14.085249121662242"/>
    <m/>
    <m/>
    <n v="286702.5"/>
    <n v="0"/>
    <n v="0"/>
    <n v="313044.66172894335"/>
    <n v="0"/>
    <n v="0"/>
  </r>
  <r>
    <s v="Regular"/>
    <x v="0"/>
    <x v="2"/>
    <x v="4"/>
    <x v="0"/>
    <x v="0"/>
    <x v="7"/>
    <x v="1"/>
    <x v="2"/>
    <n v="30000"/>
    <n v="15000"/>
    <n v="0"/>
    <n v="0"/>
    <n v="0"/>
    <n v="0"/>
    <n v="0"/>
    <x v="3"/>
    <n v="33663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8"/>
    <x v="1"/>
    <x v="2"/>
    <n v="30000"/>
    <n v="15000"/>
    <n v="0"/>
    <n v="0"/>
    <n v="0"/>
    <n v="0"/>
    <n v="0"/>
    <x v="3"/>
    <n v="33664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9"/>
    <x v="1"/>
    <x v="2"/>
    <n v="30000"/>
    <n v="15000"/>
    <n v="0"/>
    <n v="0"/>
    <n v="0"/>
    <n v="0"/>
    <n v="0"/>
    <x v="3"/>
    <n v="33665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10"/>
    <x v="1"/>
    <x v="2"/>
    <n v="27000"/>
    <n v="13500"/>
    <n v="0"/>
    <n v="0"/>
    <n v="0"/>
    <n v="0"/>
    <n v="0"/>
    <x v="3"/>
    <n v="34085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11"/>
    <x v="1"/>
    <x v="2"/>
    <n v="27000"/>
    <n v="13500"/>
    <n v="0"/>
    <n v="0"/>
    <n v="0"/>
    <n v="0"/>
    <n v="0"/>
    <x v="3"/>
    <n v="34086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2"/>
    <x v="1"/>
    <x v="3"/>
    <n v="3500"/>
    <n v="3500"/>
    <n v="0"/>
    <n v="0"/>
    <n v="0"/>
    <n v="0"/>
    <n v="0"/>
    <x v="3"/>
    <n v="27402"/>
    <n v="16"/>
    <n v="0"/>
    <n v="0"/>
    <n v="12.9"/>
    <n v="0"/>
    <n v="0"/>
    <n v="14.085249121662242"/>
    <m/>
    <m/>
    <n v="45150"/>
    <n v="0"/>
    <n v="0"/>
    <n v="49298.371925817846"/>
    <n v="0"/>
    <n v="0"/>
  </r>
  <r>
    <s v="Regular"/>
    <x v="0"/>
    <x v="2"/>
    <x v="4"/>
    <x v="0"/>
    <x v="0"/>
    <x v="3"/>
    <x v="1"/>
    <x v="3"/>
    <n v="3714"/>
    <n v="1857"/>
    <n v="0"/>
    <n v="0"/>
    <n v="0"/>
    <n v="0"/>
    <n v="0"/>
    <x v="3"/>
    <n v="28515"/>
    <n v="16"/>
    <n v="0"/>
    <n v="0"/>
    <n v="12.9"/>
    <n v="0"/>
    <n v="0"/>
    <n v="14.085249121662242"/>
    <m/>
    <m/>
    <n v="23955.3"/>
    <n v="0"/>
    <n v="0"/>
    <n v="26156.307618926785"/>
    <n v="0"/>
    <n v="0"/>
  </r>
  <r>
    <s v="Regular"/>
    <x v="0"/>
    <x v="2"/>
    <x v="4"/>
    <x v="0"/>
    <x v="0"/>
    <x v="4"/>
    <x v="1"/>
    <x v="3"/>
    <n v="11812"/>
    <n v="5906"/>
    <n v="0"/>
    <n v="0"/>
    <n v="0"/>
    <n v="0"/>
    <n v="0"/>
    <x v="3"/>
    <n v="28957"/>
    <n v="16"/>
    <n v="0"/>
    <n v="0"/>
    <n v="12.9"/>
    <n v="0"/>
    <n v="0"/>
    <n v="14.085249121662242"/>
    <m/>
    <m/>
    <n v="76187.400000000009"/>
    <n v="0"/>
    <n v="0"/>
    <n v="83187.481312537202"/>
    <n v="0"/>
    <n v="0"/>
  </r>
  <r>
    <s v="Regular"/>
    <x v="0"/>
    <x v="2"/>
    <x v="4"/>
    <x v="0"/>
    <x v="0"/>
    <x v="5"/>
    <x v="1"/>
    <x v="3"/>
    <n v="10050"/>
    <n v="5025"/>
    <n v="0"/>
    <n v="0"/>
    <n v="0"/>
    <n v="0"/>
    <n v="0"/>
    <x v="3"/>
    <n v="29041"/>
    <n v="16"/>
    <n v="0"/>
    <n v="0"/>
    <n v="12.9"/>
    <n v="0"/>
    <n v="0"/>
    <n v="14.085249121662242"/>
    <m/>
    <m/>
    <n v="64822.5"/>
    <n v="0"/>
    <n v="0"/>
    <n v="70778.376836352763"/>
    <n v="0"/>
    <n v="0"/>
  </r>
  <r>
    <s v="Regular"/>
    <x v="0"/>
    <x v="2"/>
    <x v="4"/>
    <x v="0"/>
    <x v="0"/>
    <x v="6"/>
    <x v="1"/>
    <x v="3"/>
    <n v="44450"/>
    <n v="22225"/>
    <n v="0"/>
    <n v="0"/>
    <n v="0"/>
    <n v="0"/>
    <n v="0"/>
    <x v="3"/>
    <n v="29092"/>
    <n v="16"/>
    <n v="0"/>
    <n v="0"/>
    <n v="12.9"/>
    <n v="0"/>
    <n v="0"/>
    <n v="14.085249121662242"/>
    <m/>
    <m/>
    <n v="286702.5"/>
    <n v="0"/>
    <n v="0"/>
    <n v="313044.66172894335"/>
    <n v="0"/>
    <n v="0"/>
  </r>
  <r>
    <s v="Regular"/>
    <x v="0"/>
    <x v="2"/>
    <x v="4"/>
    <x v="0"/>
    <x v="0"/>
    <x v="7"/>
    <x v="1"/>
    <x v="3"/>
    <n v="30000"/>
    <n v="15000"/>
    <n v="0"/>
    <n v="0"/>
    <n v="0"/>
    <n v="0"/>
    <n v="0"/>
    <x v="3"/>
    <n v="33663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8"/>
    <x v="1"/>
    <x v="3"/>
    <n v="30000"/>
    <n v="15000"/>
    <n v="0"/>
    <n v="0"/>
    <n v="0"/>
    <n v="0"/>
    <n v="0"/>
    <x v="3"/>
    <n v="33664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9"/>
    <x v="1"/>
    <x v="3"/>
    <n v="30000"/>
    <n v="15000"/>
    <n v="0"/>
    <n v="0"/>
    <n v="0"/>
    <n v="0"/>
    <n v="0"/>
    <x v="3"/>
    <n v="33665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10"/>
    <x v="1"/>
    <x v="3"/>
    <n v="27000"/>
    <n v="13500"/>
    <n v="0"/>
    <n v="0"/>
    <n v="0"/>
    <n v="0"/>
    <n v="0"/>
    <x v="3"/>
    <n v="34085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11"/>
    <x v="1"/>
    <x v="3"/>
    <n v="27000"/>
    <n v="13500"/>
    <n v="0"/>
    <n v="0"/>
    <n v="0"/>
    <n v="0"/>
    <n v="0"/>
    <x v="3"/>
    <n v="34086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2"/>
    <x v="1"/>
    <x v="4"/>
    <n v="3500"/>
    <n v="3500"/>
    <n v="0"/>
    <n v="0"/>
    <n v="0"/>
    <n v="0"/>
    <n v="0"/>
    <x v="3"/>
    <n v="27402"/>
    <n v="16"/>
    <n v="0"/>
    <n v="0"/>
    <n v="12.9"/>
    <n v="0"/>
    <n v="0"/>
    <n v="14.085249121662242"/>
    <m/>
    <m/>
    <n v="45150"/>
    <n v="0"/>
    <n v="0"/>
    <n v="49298.371925817846"/>
    <n v="0"/>
    <n v="0"/>
  </r>
  <r>
    <s v="Regular"/>
    <x v="0"/>
    <x v="2"/>
    <x v="4"/>
    <x v="0"/>
    <x v="0"/>
    <x v="3"/>
    <x v="1"/>
    <x v="4"/>
    <n v="3322"/>
    <n v="1661"/>
    <n v="0"/>
    <n v="0"/>
    <n v="0"/>
    <n v="0"/>
    <n v="0"/>
    <x v="3"/>
    <n v="28515"/>
    <n v="16"/>
    <n v="0"/>
    <n v="0"/>
    <n v="12.9"/>
    <n v="0"/>
    <n v="0"/>
    <n v="14.085249121662242"/>
    <m/>
    <m/>
    <n v="21426.9"/>
    <n v="0"/>
    <n v="0"/>
    <n v="23395.598791080985"/>
    <n v="0"/>
    <n v="0"/>
  </r>
  <r>
    <s v="Regular"/>
    <x v="0"/>
    <x v="2"/>
    <x v="4"/>
    <x v="0"/>
    <x v="0"/>
    <x v="4"/>
    <x v="1"/>
    <x v="4"/>
    <n v="12140"/>
    <n v="6070"/>
    <n v="0"/>
    <n v="0"/>
    <n v="0"/>
    <n v="0"/>
    <n v="0"/>
    <x v="3"/>
    <n v="28957"/>
    <n v="16"/>
    <n v="0"/>
    <n v="0"/>
    <n v="12.9"/>
    <n v="0"/>
    <n v="0"/>
    <n v="14.085249121662242"/>
    <m/>
    <m/>
    <n v="78303"/>
    <n v="0"/>
    <n v="0"/>
    <n v="85497.462168489816"/>
    <n v="0"/>
    <n v="0"/>
  </r>
  <r>
    <s v="Regular"/>
    <x v="0"/>
    <x v="2"/>
    <x v="4"/>
    <x v="0"/>
    <x v="0"/>
    <x v="5"/>
    <x v="1"/>
    <x v="4"/>
    <n v="10050"/>
    <n v="5025"/>
    <n v="0"/>
    <n v="0"/>
    <n v="0"/>
    <n v="0"/>
    <n v="0"/>
    <x v="3"/>
    <n v="29041"/>
    <n v="16"/>
    <n v="0"/>
    <n v="0"/>
    <n v="12.9"/>
    <n v="0"/>
    <n v="0"/>
    <n v="14.085249121662242"/>
    <m/>
    <m/>
    <n v="64822.5"/>
    <n v="0"/>
    <n v="0"/>
    <n v="70778.376836352763"/>
    <n v="0"/>
    <n v="0"/>
  </r>
  <r>
    <s v="Regular"/>
    <x v="0"/>
    <x v="2"/>
    <x v="4"/>
    <x v="0"/>
    <x v="0"/>
    <x v="6"/>
    <x v="1"/>
    <x v="4"/>
    <n v="44450"/>
    <n v="22225"/>
    <n v="0"/>
    <n v="0"/>
    <n v="0"/>
    <n v="0"/>
    <n v="0"/>
    <x v="3"/>
    <n v="29092"/>
    <n v="16"/>
    <n v="0"/>
    <n v="0"/>
    <n v="12.9"/>
    <n v="0"/>
    <n v="0"/>
    <n v="14.085249121662242"/>
    <m/>
    <m/>
    <n v="286702.5"/>
    <n v="0"/>
    <n v="0"/>
    <n v="313044.66172894335"/>
    <n v="0"/>
    <n v="0"/>
  </r>
  <r>
    <s v="Regular"/>
    <x v="0"/>
    <x v="2"/>
    <x v="4"/>
    <x v="0"/>
    <x v="0"/>
    <x v="7"/>
    <x v="1"/>
    <x v="4"/>
    <n v="30000"/>
    <n v="15000"/>
    <n v="0"/>
    <n v="0"/>
    <n v="0"/>
    <n v="0"/>
    <n v="0"/>
    <x v="3"/>
    <n v="33663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8"/>
    <x v="1"/>
    <x v="4"/>
    <n v="30000"/>
    <n v="15000"/>
    <n v="0"/>
    <n v="0"/>
    <n v="0"/>
    <n v="0"/>
    <n v="0"/>
    <x v="3"/>
    <n v="33664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9"/>
    <x v="1"/>
    <x v="4"/>
    <n v="30000"/>
    <n v="15000"/>
    <n v="0"/>
    <n v="0"/>
    <n v="0"/>
    <n v="0"/>
    <n v="0"/>
    <x v="3"/>
    <n v="33665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10"/>
    <x v="1"/>
    <x v="4"/>
    <n v="27000"/>
    <n v="13500"/>
    <n v="0"/>
    <n v="0"/>
    <n v="0"/>
    <n v="0"/>
    <n v="0"/>
    <x v="3"/>
    <n v="34085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11"/>
    <x v="1"/>
    <x v="4"/>
    <n v="27000"/>
    <n v="13500"/>
    <n v="0"/>
    <n v="0"/>
    <n v="0"/>
    <n v="0"/>
    <n v="0"/>
    <x v="3"/>
    <n v="34086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2"/>
    <x v="1"/>
    <x v="5"/>
    <n v="3500"/>
    <n v="3500"/>
    <n v="0"/>
    <n v="0"/>
    <n v="0"/>
    <n v="0"/>
    <n v="0"/>
    <x v="3"/>
    <n v="27402"/>
    <n v="16"/>
    <n v="0"/>
    <n v="0"/>
    <n v="12.9"/>
    <n v="0"/>
    <n v="0"/>
    <n v="14.085249121662242"/>
    <m/>
    <m/>
    <n v="45150"/>
    <n v="0"/>
    <n v="0"/>
    <n v="49298.371925817846"/>
    <n v="0"/>
    <n v="0"/>
  </r>
  <r>
    <s v="Regular"/>
    <x v="0"/>
    <x v="2"/>
    <x v="4"/>
    <x v="0"/>
    <x v="0"/>
    <x v="3"/>
    <x v="1"/>
    <x v="5"/>
    <n v="3434"/>
    <n v="1717"/>
    <n v="0"/>
    <n v="0"/>
    <n v="0"/>
    <n v="0"/>
    <n v="0"/>
    <x v="3"/>
    <n v="28515"/>
    <n v="16"/>
    <n v="0"/>
    <n v="0"/>
    <n v="12.9"/>
    <n v="0"/>
    <n v="0"/>
    <n v="14.085249121662242"/>
    <m/>
    <m/>
    <n v="22149.3"/>
    <n v="0"/>
    <n v="0"/>
    <n v="24184.372741894069"/>
    <n v="0"/>
    <n v="0"/>
  </r>
  <r>
    <s v="Regular"/>
    <x v="0"/>
    <x v="2"/>
    <x v="4"/>
    <x v="0"/>
    <x v="0"/>
    <x v="4"/>
    <x v="1"/>
    <x v="5"/>
    <n v="11644"/>
    <n v="5822"/>
    <n v="0"/>
    <n v="0"/>
    <n v="0"/>
    <n v="0"/>
    <n v="0"/>
    <x v="3"/>
    <n v="28957"/>
    <n v="16"/>
    <n v="0"/>
    <n v="0"/>
    <n v="12.9"/>
    <n v="0"/>
    <n v="0"/>
    <n v="14.085249121662242"/>
    <m/>
    <m/>
    <n v="75103.8"/>
    <n v="0"/>
    <n v="0"/>
    <n v="82004.320386317573"/>
    <n v="0"/>
    <n v="0"/>
  </r>
  <r>
    <s v="Regular"/>
    <x v="0"/>
    <x v="2"/>
    <x v="4"/>
    <x v="0"/>
    <x v="0"/>
    <x v="5"/>
    <x v="1"/>
    <x v="5"/>
    <n v="10050"/>
    <n v="5025"/>
    <n v="0"/>
    <n v="0"/>
    <n v="0"/>
    <n v="0"/>
    <n v="0"/>
    <x v="3"/>
    <n v="29041"/>
    <n v="16"/>
    <n v="0"/>
    <n v="0"/>
    <n v="12.9"/>
    <n v="0"/>
    <n v="0"/>
    <n v="14.085249121662242"/>
    <m/>
    <m/>
    <n v="64822.5"/>
    <n v="0"/>
    <n v="0"/>
    <n v="70778.376836352763"/>
    <n v="0"/>
    <n v="0"/>
  </r>
  <r>
    <s v="Regular"/>
    <x v="0"/>
    <x v="2"/>
    <x v="4"/>
    <x v="0"/>
    <x v="0"/>
    <x v="6"/>
    <x v="1"/>
    <x v="5"/>
    <n v="44450"/>
    <n v="22225"/>
    <n v="0"/>
    <n v="0"/>
    <n v="0"/>
    <n v="0"/>
    <n v="0"/>
    <x v="3"/>
    <n v="29092"/>
    <n v="16"/>
    <n v="0"/>
    <n v="0"/>
    <n v="12.9"/>
    <n v="0"/>
    <n v="0"/>
    <n v="14.085249121662242"/>
    <m/>
    <m/>
    <n v="286702.5"/>
    <n v="0"/>
    <n v="0"/>
    <n v="313044.66172894335"/>
    <n v="0"/>
    <n v="0"/>
  </r>
  <r>
    <s v="Regular"/>
    <x v="0"/>
    <x v="2"/>
    <x v="4"/>
    <x v="0"/>
    <x v="0"/>
    <x v="7"/>
    <x v="1"/>
    <x v="5"/>
    <n v="30000"/>
    <n v="15000"/>
    <n v="0"/>
    <n v="0"/>
    <n v="0"/>
    <n v="0"/>
    <n v="0"/>
    <x v="3"/>
    <n v="33663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8"/>
    <x v="1"/>
    <x v="5"/>
    <n v="30000"/>
    <n v="15000"/>
    <n v="0"/>
    <n v="0"/>
    <n v="0"/>
    <n v="0"/>
    <n v="0"/>
    <x v="3"/>
    <n v="33664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9"/>
    <x v="1"/>
    <x v="5"/>
    <n v="30000"/>
    <n v="15000"/>
    <n v="0"/>
    <n v="0"/>
    <n v="0"/>
    <n v="0"/>
    <n v="0"/>
    <x v="3"/>
    <n v="33665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10"/>
    <x v="1"/>
    <x v="5"/>
    <n v="27000"/>
    <n v="13500"/>
    <n v="0"/>
    <n v="0"/>
    <n v="0"/>
    <n v="0"/>
    <n v="0"/>
    <x v="3"/>
    <n v="34085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11"/>
    <x v="1"/>
    <x v="5"/>
    <n v="27000"/>
    <n v="13500"/>
    <n v="0"/>
    <n v="0"/>
    <n v="0"/>
    <n v="0"/>
    <n v="0"/>
    <x v="3"/>
    <n v="34086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2"/>
    <x v="1"/>
    <x v="6"/>
    <n v="3500"/>
    <n v="3500"/>
    <n v="0"/>
    <n v="0"/>
    <n v="0"/>
    <n v="0"/>
    <n v="0"/>
    <x v="3"/>
    <n v="27402"/>
    <n v="16"/>
    <n v="0"/>
    <n v="0"/>
    <n v="12.9"/>
    <n v="0"/>
    <n v="0"/>
    <n v="14.085249121662242"/>
    <m/>
    <m/>
    <n v="45150"/>
    <n v="0"/>
    <n v="0"/>
    <n v="49298.371925817846"/>
    <n v="0"/>
    <n v="0"/>
  </r>
  <r>
    <s v="Regular"/>
    <x v="0"/>
    <x v="2"/>
    <x v="4"/>
    <x v="0"/>
    <x v="0"/>
    <x v="3"/>
    <x v="1"/>
    <x v="6"/>
    <n v="3000"/>
    <n v="3000"/>
    <n v="0"/>
    <n v="0"/>
    <n v="0"/>
    <n v="0"/>
    <n v="0"/>
    <x v="3"/>
    <n v="28515"/>
    <n v="16"/>
    <n v="0"/>
    <n v="0"/>
    <n v="12.9"/>
    <n v="0"/>
    <n v="0"/>
    <n v="14.085249121662242"/>
    <m/>
    <m/>
    <n v="38700"/>
    <n v="0"/>
    <n v="0"/>
    <n v="42255.747364986724"/>
    <n v="0"/>
    <n v="0"/>
  </r>
  <r>
    <s v="Regular"/>
    <x v="0"/>
    <x v="2"/>
    <x v="4"/>
    <x v="0"/>
    <x v="0"/>
    <x v="4"/>
    <x v="1"/>
    <x v="6"/>
    <n v="11000"/>
    <n v="5500"/>
    <n v="0"/>
    <n v="0"/>
    <n v="0"/>
    <n v="0"/>
    <n v="0"/>
    <x v="3"/>
    <n v="28957"/>
    <n v="16"/>
    <n v="0"/>
    <n v="0"/>
    <n v="12.9"/>
    <n v="0"/>
    <n v="0"/>
    <n v="14.085249121662242"/>
    <m/>
    <m/>
    <n v="70950"/>
    <n v="0"/>
    <n v="0"/>
    <n v="77468.870169142334"/>
    <n v="0"/>
    <n v="0"/>
  </r>
  <r>
    <s v="Regular"/>
    <x v="0"/>
    <x v="2"/>
    <x v="4"/>
    <x v="0"/>
    <x v="0"/>
    <x v="5"/>
    <x v="1"/>
    <x v="6"/>
    <n v="10050"/>
    <n v="5025"/>
    <n v="0"/>
    <n v="0"/>
    <n v="0"/>
    <n v="0"/>
    <n v="0"/>
    <x v="3"/>
    <n v="29041"/>
    <n v="16"/>
    <n v="0"/>
    <n v="0"/>
    <n v="12.9"/>
    <n v="0"/>
    <n v="0"/>
    <n v="14.085249121662242"/>
    <m/>
    <m/>
    <n v="64822.5"/>
    <n v="0"/>
    <n v="0"/>
    <n v="70778.376836352763"/>
    <n v="0"/>
    <n v="0"/>
  </r>
  <r>
    <s v="Regular"/>
    <x v="0"/>
    <x v="2"/>
    <x v="4"/>
    <x v="0"/>
    <x v="0"/>
    <x v="6"/>
    <x v="1"/>
    <x v="6"/>
    <n v="44450"/>
    <n v="22225"/>
    <n v="0"/>
    <n v="0"/>
    <n v="0"/>
    <n v="0"/>
    <n v="0"/>
    <x v="3"/>
    <n v="29092"/>
    <n v="16"/>
    <n v="0"/>
    <n v="0"/>
    <n v="12.9"/>
    <n v="0"/>
    <n v="0"/>
    <n v="14.085249121662242"/>
    <m/>
    <m/>
    <n v="286702.5"/>
    <n v="0"/>
    <n v="0"/>
    <n v="313044.66172894335"/>
    <n v="0"/>
    <n v="0"/>
  </r>
  <r>
    <s v="Regular"/>
    <x v="0"/>
    <x v="2"/>
    <x v="4"/>
    <x v="0"/>
    <x v="0"/>
    <x v="7"/>
    <x v="1"/>
    <x v="6"/>
    <n v="30000"/>
    <n v="15000"/>
    <n v="0"/>
    <n v="0"/>
    <n v="0"/>
    <n v="0"/>
    <n v="0"/>
    <x v="3"/>
    <n v="33663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8"/>
    <x v="1"/>
    <x v="6"/>
    <n v="30000"/>
    <n v="15000"/>
    <n v="0"/>
    <n v="0"/>
    <n v="0"/>
    <n v="0"/>
    <n v="0"/>
    <x v="3"/>
    <n v="33664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9"/>
    <x v="1"/>
    <x v="6"/>
    <n v="30000"/>
    <n v="15000"/>
    <n v="0"/>
    <n v="0"/>
    <n v="0"/>
    <n v="0"/>
    <n v="0"/>
    <x v="3"/>
    <n v="33665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10"/>
    <x v="1"/>
    <x v="6"/>
    <n v="27000"/>
    <n v="13500"/>
    <n v="0"/>
    <n v="0"/>
    <n v="0"/>
    <n v="0"/>
    <n v="0"/>
    <x v="3"/>
    <n v="34085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11"/>
    <x v="1"/>
    <x v="6"/>
    <n v="27000"/>
    <n v="13500"/>
    <n v="0"/>
    <n v="0"/>
    <n v="0"/>
    <n v="0"/>
    <n v="0"/>
    <x v="3"/>
    <n v="34086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2"/>
    <x v="1"/>
    <x v="7"/>
    <n v="3500"/>
    <n v="3500"/>
    <n v="0"/>
    <n v="0"/>
    <n v="0"/>
    <n v="0"/>
    <n v="0"/>
    <x v="3"/>
    <n v="27402"/>
    <n v="16"/>
    <n v="0"/>
    <n v="0"/>
    <n v="12.9"/>
    <n v="0"/>
    <n v="0"/>
    <n v="14.085249121662242"/>
    <m/>
    <m/>
    <n v="45150"/>
    <n v="0"/>
    <n v="0"/>
    <n v="49298.371925817846"/>
    <n v="0"/>
    <n v="0"/>
  </r>
  <r>
    <s v="Regular"/>
    <x v="0"/>
    <x v="2"/>
    <x v="4"/>
    <x v="0"/>
    <x v="0"/>
    <x v="3"/>
    <x v="1"/>
    <x v="7"/>
    <n v="3000"/>
    <n v="1500"/>
    <n v="0"/>
    <n v="0"/>
    <n v="0"/>
    <n v="0"/>
    <n v="0"/>
    <x v="3"/>
    <n v="28515"/>
    <n v="16"/>
    <n v="0"/>
    <n v="0"/>
    <n v="12.9"/>
    <n v="0"/>
    <n v="0"/>
    <n v="14.085249121662242"/>
    <m/>
    <m/>
    <n v="19350"/>
    <n v="0"/>
    <n v="0"/>
    <n v="21127.873682493362"/>
    <n v="0"/>
    <n v="0"/>
  </r>
  <r>
    <s v="Regular"/>
    <x v="0"/>
    <x v="2"/>
    <x v="4"/>
    <x v="0"/>
    <x v="0"/>
    <x v="4"/>
    <x v="1"/>
    <x v="7"/>
    <n v="11000"/>
    <n v="5500"/>
    <n v="0"/>
    <n v="0"/>
    <n v="0"/>
    <n v="0"/>
    <n v="0"/>
    <x v="3"/>
    <n v="28957"/>
    <n v="16"/>
    <n v="0"/>
    <n v="0"/>
    <n v="12.9"/>
    <n v="0"/>
    <n v="0"/>
    <n v="14.085249121662242"/>
    <m/>
    <m/>
    <n v="70950"/>
    <n v="0"/>
    <n v="0"/>
    <n v="77468.870169142334"/>
    <n v="0"/>
    <n v="0"/>
  </r>
  <r>
    <s v="Regular"/>
    <x v="0"/>
    <x v="2"/>
    <x v="4"/>
    <x v="0"/>
    <x v="0"/>
    <x v="5"/>
    <x v="1"/>
    <x v="7"/>
    <n v="10050"/>
    <n v="5025"/>
    <n v="0"/>
    <n v="0"/>
    <n v="0"/>
    <n v="0"/>
    <n v="0"/>
    <x v="3"/>
    <n v="29041"/>
    <n v="16"/>
    <n v="0"/>
    <n v="0"/>
    <n v="12.9"/>
    <n v="0"/>
    <n v="0"/>
    <n v="14.085249121662242"/>
    <m/>
    <m/>
    <n v="64822.5"/>
    <n v="0"/>
    <n v="0"/>
    <n v="70778.376836352763"/>
    <n v="0"/>
    <n v="0"/>
  </r>
  <r>
    <s v="Regular"/>
    <x v="0"/>
    <x v="2"/>
    <x v="4"/>
    <x v="0"/>
    <x v="0"/>
    <x v="6"/>
    <x v="1"/>
    <x v="7"/>
    <n v="44450"/>
    <n v="22225"/>
    <n v="0"/>
    <n v="0"/>
    <n v="0"/>
    <n v="0"/>
    <n v="0"/>
    <x v="3"/>
    <n v="29092"/>
    <n v="16"/>
    <n v="0"/>
    <n v="0"/>
    <n v="12.9"/>
    <n v="0"/>
    <n v="0"/>
    <n v="14.085249121662242"/>
    <m/>
    <m/>
    <n v="286702.5"/>
    <n v="0"/>
    <n v="0"/>
    <n v="313044.66172894335"/>
    <n v="0"/>
    <n v="0"/>
  </r>
  <r>
    <s v="Regular"/>
    <x v="0"/>
    <x v="2"/>
    <x v="4"/>
    <x v="0"/>
    <x v="0"/>
    <x v="7"/>
    <x v="1"/>
    <x v="7"/>
    <n v="30000"/>
    <n v="15000"/>
    <n v="0"/>
    <n v="0"/>
    <n v="0"/>
    <n v="0"/>
    <n v="0"/>
    <x v="3"/>
    <n v="33663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8"/>
    <x v="1"/>
    <x v="7"/>
    <n v="30000"/>
    <n v="15000"/>
    <n v="0"/>
    <n v="0"/>
    <n v="0"/>
    <n v="0"/>
    <n v="0"/>
    <x v="3"/>
    <n v="33664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9"/>
    <x v="1"/>
    <x v="7"/>
    <n v="30000"/>
    <n v="15000"/>
    <n v="0"/>
    <n v="0"/>
    <n v="0"/>
    <n v="0"/>
    <n v="0"/>
    <x v="3"/>
    <n v="33665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10"/>
    <x v="1"/>
    <x v="7"/>
    <n v="27000"/>
    <n v="13500"/>
    <n v="0"/>
    <n v="0"/>
    <n v="0"/>
    <n v="0"/>
    <n v="0"/>
    <x v="3"/>
    <n v="34085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11"/>
    <x v="1"/>
    <x v="7"/>
    <n v="27000"/>
    <n v="13500"/>
    <n v="0"/>
    <n v="0"/>
    <n v="0"/>
    <n v="0"/>
    <n v="0"/>
    <x v="3"/>
    <n v="34086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2"/>
    <x v="1"/>
    <x v="8"/>
    <n v="3500"/>
    <n v="3500"/>
    <n v="0"/>
    <n v="0"/>
    <n v="0"/>
    <n v="0"/>
    <n v="0"/>
    <x v="3"/>
    <n v="27402"/>
    <n v="16"/>
    <n v="0"/>
    <n v="0"/>
    <n v="12.9"/>
    <n v="0"/>
    <n v="0"/>
    <n v="14.085249121662242"/>
    <m/>
    <m/>
    <n v="45150"/>
    <n v="0"/>
    <n v="0"/>
    <n v="49298.371925817846"/>
    <n v="0"/>
    <n v="0"/>
  </r>
  <r>
    <s v="Regular"/>
    <x v="0"/>
    <x v="2"/>
    <x v="4"/>
    <x v="0"/>
    <x v="0"/>
    <x v="3"/>
    <x v="1"/>
    <x v="8"/>
    <n v="3000"/>
    <n v="1500"/>
    <n v="0"/>
    <n v="0"/>
    <n v="0"/>
    <n v="0"/>
    <n v="0"/>
    <x v="3"/>
    <n v="28515"/>
    <n v="16"/>
    <n v="0"/>
    <n v="0"/>
    <n v="12.9"/>
    <n v="0"/>
    <n v="0"/>
    <n v="14.085249121662242"/>
    <m/>
    <m/>
    <n v="19350"/>
    <n v="0"/>
    <n v="0"/>
    <n v="21127.873682493362"/>
    <n v="0"/>
    <n v="0"/>
  </r>
  <r>
    <s v="Regular"/>
    <x v="0"/>
    <x v="2"/>
    <x v="4"/>
    <x v="0"/>
    <x v="0"/>
    <x v="4"/>
    <x v="1"/>
    <x v="8"/>
    <n v="11000"/>
    <n v="5500"/>
    <n v="0"/>
    <n v="0"/>
    <n v="0"/>
    <n v="0"/>
    <n v="0"/>
    <x v="3"/>
    <n v="28957"/>
    <n v="16"/>
    <n v="0"/>
    <n v="0"/>
    <n v="12.9"/>
    <n v="0"/>
    <n v="0"/>
    <n v="14.085249121662242"/>
    <m/>
    <m/>
    <n v="70950"/>
    <n v="0"/>
    <n v="0"/>
    <n v="77468.870169142334"/>
    <n v="0"/>
    <n v="0"/>
  </r>
  <r>
    <s v="Regular"/>
    <x v="0"/>
    <x v="2"/>
    <x v="4"/>
    <x v="0"/>
    <x v="0"/>
    <x v="5"/>
    <x v="1"/>
    <x v="8"/>
    <n v="10050"/>
    <n v="5025"/>
    <n v="0"/>
    <n v="0"/>
    <n v="0"/>
    <n v="0"/>
    <n v="0"/>
    <x v="3"/>
    <n v="29041"/>
    <n v="16"/>
    <n v="0"/>
    <n v="0"/>
    <n v="12.9"/>
    <n v="0"/>
    <n v="0"/>
    <n v="14.085249121662242"/>
    <m/>
    <m/>
    <n v="64822.5"/>
    <n v="0"/>
    <n v="0"/>
    <n v="70778.376836352763"/>
    <n v="0"/>
    <n v="0"/>
  </r>
  <r>
    <s v="Regular"/>
    <x v="0"/>
    <x v="2"/>
    <x v="4"/>
    <x v="0"/>
    <x v="0"/>
    <x v="6"/>
    <x v="1"/>
    <x v="8"/>
    <n v="44450"/>
    <n v="22225"/>
    <n v="0"/>
    <n v="0"/>
    <n v="0"/>
    <n v="0"/>
    <n v="0"/>
    <x v="3"/>
    <n v="29092"/>
    <n v="16"/>
    <n v="0"/>
    <n v="0"/>
    <n v="12.9"/>
    <n v="0"/>
    <n v="0"/>
    <n v="14.085249121662242"/>
    <m/>
    <m/>
    <n v="286702.5"/>
    <n v="0"/>
    <n v="0"/>
    <n v="313044.66172894335"/>
    <n v="0"/>
    <n v="0"/>
  </r>
  <r>
    <s v="Regular"/>
    <x v="0"/>
    <x v="2"/>
    <x v="4"/>
    <x v="0"/>
    <x v="0"/>
    <x v="7"/>
    <x v="1"/>
    <x v="8"/>
    <n v="30000"/>
    <n v="15000"/>
    <n v="0"/>
    <n v="0"/>
    <n v="0"/>
    <n v="0"/>
    <n v="0"/>
    <x v="3"/>
    <n v="33663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8"/>
    <x v="1"/>
    <x v="8"/>
    <n v="30000"/>
    <n v="15000"/>
    <n v="0"/>
    <n v="0"/>
    <n v="0"/>
    <n v="0"/>
    <n v="0"/>
    <x v="3"/>
    <n v="33664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9"/>
    <x v="1"/>
    <x v="8"/>
    <n v="30000"/>
    <n v="15000"/>
    <n v="0"/>
    <n v="0"/>
    <n v="0"/>
    <n v="0"/>
    <n v="0"/>
    <x v="3"/>
    <n v="33665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10"/>
    <x v="1"/>
    <x v="8"/>
    <n v="27000"/>
    <n v="13500"/>
    <n v="0"/>
    <n v="0"/>
    <n v="0"/>
    <n v="0"/>
    <n v="0"/>
    <x v="3"/>
    <n v="34085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11"/>
    <x v="1"/>
    <x v="8"/>
    <n v="27000"/>
    <n v="13500"/>
    <n v="0"/>
    <n v="0"/>
    <n v="0"/>
    <n v="0"/>
    <n v="0"/>
    <x v="3"/>
    <n v="34086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2"/>
    <x v="1"/>
    <x v="9"/>
    <n v="3500"/>
    <n v="3500"/>
    <n v="0"/>
    <n v="0"/>
    <n v="0"/>
    <n v="0"/>
    <n v="0"/>
    <x v="3"/>
    <n v="27402"/>
    <n v="16"/>
    <n v="0"/>
    <n v="0"/>
    <n v="12.9"/>
    <n v="0"/>
    <n v="0"/>
    <n v="14.085249121662242"/>
    <m/>
    <m/>
    <n v="45150"/>
    <n v="0"/>
    <n v="0"/>
    <n v="49298.371925817846"/>
    <n v="0"/>
    <n v="0"/>
  </r>
  <r>
    <s v="Regular"/>
    <x v="0"/>
    <x v="2"/>
    <x v="4"/>
    <x v="0"/>
    <x v="0"/>
    <x v="3"/>
    <x v="1"/>
    <x v="9"/>
    <n v="3000"/>
    <n v="1500"/>
    <n v="0"/>
    <n v="0"/>
    <n v="0"/>
    <n v="0"/>
    <n v="0"/>
    <x v="3"/>
    <n v="28515"/>
    <n v="16"/>
    <n v="0"/>
    <n v="0"/>
    <n v="12.9"/>
    <n v="0"/>
    <n v="0"/>
    <n v="14.085249121662242"/>
    <m/>
    <m/>
    <n v="19350"/>
    <n v="0"/>
    <n v="0"/>
    <n v="21127.873682493362"/>
    <n v="0"/>
    <n v="0"/>
  </r>
  <r>
    <s v="Regular"/>
    <x v="0"/>
    <x v="2"/>
    <x v="4"/>
    <x v="0"/>
    <x v="0"/>
    <x v="4"/>
    <x v="1"/>
    <x v="9"/>
    <n v="11000"/>
    <n v="5500"/>
    <n v="0"/>
    <n v="0"/>
    <n v="0"/>
    <n v="0"/>
    <n v="0"/>
    <x v="3"/>
    <n v="28957"/>
    <n v="16"/>
    <n v="0"/>
    <n v="0"/>
    <n v="12.9"/>
    <n v="0"/>
    <n v="0"/>
    <n v="14.085249121662242"/>
    <m/>
    <m/>
    <n v="70950"/>
    <n v="0"/>
    <n v="0"/>
    <n v="77468.870169142334"/>
    <n v="0"/>
    <n v="0"/>
  </r>
  <r>
    <s v="Regular"/>
    <x v="0"/>
    <x v="2"/>
    <x v="4"/>
    <x v="0"/>
    <x v="0"/>
    <x v="5"/>
    <x v="1"/>
    <x v="9"/>
    <n v="10050"/>
    <n v="5025"/>
    <n v="0"/>
    <n v="0"/>
    <n v="0"/>
    <n v="0"/>
    <n v="0"/>
    <x v="3"/>
    <n v="29041"/>
    <n v="16"/>
    <n v="0"/>
    <n v="0"/>
    <n v="12.9"/>
    <n v="0"/>
    <n v="0"/>
    <n v="14.085249121662242"/>
    <m/>
    <m/>
    <n v="64822.5"/>
    <n v="0"/>
    <n v="0"/>
    <n v="70778.376836352763"/>
    <n v="0"/>
    <n v="0"/>
  </r>
  <r>
    <s v="Regular"/>
    <x v="0"/>
    <x v="2"/>
    <x v="4"/>
    <x v="0"/>
    <x v="0"/>
    <x v="6"/>
    <x v="1"/>
    <x v="9"/>
    <n v="44450"/>
    <n v="22225"/>
    <n v="0"/>
    <n v="0"/>
    <n v="0"/>
    <n v="0"/>
    <n v="0"/>
    <x v="3"/>
    <n v="29092"/>
    <n v="16"/>
    <n v="0"/>
    <n v="0"/>
    <n v="12.9"/>
    <n v="0"/>
    <n v="0"/>
    <n v="14.085249121662242"/>
    <m/>
    <m/>
    <n v="286702.5"/>
    <n v="0"/>
    <n v="0"/>
    <n v="313044.66172894335"/>
    <n v="0"/>
    <n v="0"/>
  </r>
  <r>
    <s v="Regular"/>
    <x v="0"/>
    <x v="2"/>
    <x v="4"/>
    <x v="0"/>
    <x v="0"/>
    <x v="7"/>
    <x v="1"/>
    <x v="9"/>
    <n v="30000"/>
    <n v="15000"/>
    <n v="0"/>
    <n v="0"/>
    <n v="0"/>
    <n v="0"/>
    <n v="0"/>
    <x v="3"/>
    <n v="33663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8"/>
    <x v="1"/>
    <x v="9"/>
    <n v="30000"/>
    <n v="15000"/>
    <n v="0"/>
    <n v="0"/>
    <n v="0"/>
    <n v="0"/>
    <n v="0"/>
    <x v="3"/>
    <n v="33664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9"/>
    <x v="1"/>
    <x v="9"/>
    <n v="30000"/>
    <n v="15000"/>
    <n v="0"/>
    <n v="0"/>
    <n v="0"/>
    <n v="0"/>
    <n v="0"/>
    <x v="3"/>
    <n v="33665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10"/>
    <x v="1"/>
    <x v="9"/>
    <n v="27000"/>
    <n v="13500"/>
    <n v="0"/>
    <n v="0"/>
    <n v="0"/>
    <n v="0"/>
    <n v="0"/>
    <x v="3"/>
    <n v="34085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11"/>
    <x v="1"/>
    <x v="9"/>
    <n v="27000"/>
    <n v="13500"/>
    <n v="0"/>
    <n v="0"/>
    <n v="0"/>
    <n v="0"/>
    <n v="0"/>
    <x v="3"/>
    <n v="34086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2"/>
    <x v="1"/>
    <x v="10"/>
    <n v="3500"/>
    <n v="3500"/>
    <n v="0"/>
    <n v="0"/>
    <n v="0"/>
    <n v="0"/>
    <n v="0"/>
    <x v="3"/>
    <n v="27402"/>
    <n v="16"/>
    <n v="0"/>
    <n v="0"/>
    <n v="12.9"/>
    <n v="0"/>
    <n v="0"/>
    <n v="14.085249121662242"/>
    <m/>
    <m/>
    <n v="45150"/>
    <n v="0"/>
    <n v="0"/>
    <n v="49298.371925817846"/>
    <n v="0"/>
    <n v="0"/>
  </r>
  <r>
    <s v="Regular"/>
    <x v="0"/>
    <x v="2"/>
    <x v="4"/>
    <x v="0"/>
    <x v="0"/>
    <x v="3"/>
    <x v="1"/>
    <x v="10"/>
    <n v="3000"/>
    <n v="1500"/>
    <n v="0"/>
    <n v="0"/>
    <n v="0"/>
    <n v="0"/>
    <n v="0"/>
    <x v="3"/>
    <n v="28515"/>
    <n v="16"/>
    <n v="0"/>
    <n v="0"/>
    <n v="12.9"/>
    <n v="0"/>
    <n v="0"/>
    <n v="14.085249121662242"/>
    <m/>
    <m/>
    <n v="19350"/>
    <n v="0"/>
    <n v="0"/>
    <n v="21127.873682493362"/>
    <n v="0"/>
    <n v="0"/>
  </r>
  <r>
    <s v="Regular"/>
    <x v="0"/>
    <x v="2"/>
    <x v="4"/>
    <x v="0"/>
    <x v="0"/>
    <x v="4"/>
    <x v="1"/>
    <x v="10"/>
    <n v="11000"/>
    <n v="5500"/>
    <n v="0"/>
    <n v="0"/>
    <n v="0"/>
    <n v="0"/>
    <n v="0"/>
    <x v="3"/>
    <n v="28957"/>
    <n v="16"/>
    <n v="0"/>
    <n v="0"/>
    <n v="12.9"/>
    <n v="0"/>
    <n v="0"/>
    <n v="14.085249121662242"/>
    <m/>
    <m/>
    <n v="70950"/>
    <n v="0"/>
    <n v="0"/>
    <n v="77468.870169142334"/>
    <n v="0"/>
    <n v="0"/>
  </r>
  <r>
    <s v="Regular"/>
    <x v="0"/>
    <x v="2"/>
    <x v="4"/>
    <x v="0"/>
    <x v="0"/>
    <x v="5"/>
    <x v="1"/>
    <x v="10"/>
    <n v="10050"/>
    <n v="5025"/>
    <n v="0"/>
    <n v="0"/>
    <n v="0"/>
    <n v="0"/>
    <n v="0"/>
    <x v="3"/>
    <n v="29041"/>
    <n v="16"/>
    <n v="0"/>
    <n v="0"/>
    <n v="12.9"/>
    <n v="0"/>
    <n v="0"/>
    <n v="14.085249121662242"/>
    <m/>
    <m/>
    <n v="64822.5"/>
    <n v="0"/>
    <n v="0"/>
    <n v="70778.376836352763"/>
    <n v="0"/>
    <n v="0"/>
  </r>
  <r>
    <s v="Regular"/>
    <x v="0"/>
    <x v="2"/>
    <x v="4"/>
    <x v="0"/>
    <x v="0"/>
    <x v="6"/>
    <x v="1"/>
    <x v="10"/>
    <n v="44450"/>
    <n v="22225"/>
    <n v="0"/>
    <n v="0"/>
    <n v="0"/>
    <n v="0"/>
    <n v="0"/>
    <x v="3"/>
    <n v="29092"/>
    <n v="16"/>
    <n v="0"/>
    <n v="0"/>
    <n v="12.9"/>
    <n v="0"/>
    <n v="0"/>
    <n v="14.085249121662242"/>
    <m/>
    <m/>
    <n v="286702.5"/>
    <n v="0"/>
    <n v="0"/>
    <n v="313044.66172894335"/>
    <n v="0"/>
    <n v="0"/>
  </r>
  <r>
    <s v="Regular"/>
    <x v="0"/>
    <x v="2"/>
    <x v="4"/>
    <x v="0"/>
    <x v="0"/>
    <x v="7"/>
    <x v="1"/>
    <x v="10"/>
    <n v="30000"/>
    <n v="15000"/>
    <n v="0"/>
    <n v="0"/>
    <n v="0"/>
    <n v="0"/>
    <n v="0"/>
    <x v="3"/>
    <n v="33663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8"/>
    <x v="1"/>
    <x v="10"/>
    <n v="30000"/>
    <n v="15000"/>
    <n v="0"/>
    <n v="0"/>
    <n v="0"/>
    <n v="0"/>
    <n v="0"/>
    <x v="3"/>
    <n v="33664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9"/>
    <x v="1"/>
    <x v="10"/>
    <n v="30000"/>
    <n v="15000"/>
    <n v="0"/>
    <n v="0"/>
    <n v="0"/>
    <n v="0"/>
    <n v="0"/>
    <x v="3"/>
    <n v="33665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Regular"/>
    <x v="0"/>
    <x v="2"/>
    <x v="4"/>
    <x v="0"/>
    <x v="0"/>
    <x v="10"/>
    <x v="1"/>
    <x v="10"/>
    <n v="27000"/>
    <n v="13500"/>
    <n v="0"/>
    <n v="0"/>
    <n v="0"/>
    <n v="0"/>
    <n v="0"/>
    <x v="3"/>
    <n v="34085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0"/>
    <x v="2"/>
    <x v="4"/>
    <x v="0"/>
    <x v="0"/>
    <x v="11"/>
    <x v="1"/>
    <x v="10"/>
    <n v="27000"/>
    <n v="13500"/>
    <n v="0"/>
    <n v="0"/>
    <n v="0"/>
    <n v="0"/>
    <n v="0"/>
    <x v="3"/>
    <n v="34086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PROJETADO"/>
    <x v="0"/>
    <x v="2"/>
    <x v="4"/>
    <x v="0"/>
    <x v="0"/>
    <x v="2"/>
    <x v="1"/>
    <x v="11"/>
    <n v="3500"/>
    <n v="3500"/>
    <n v="0"/>
    <n v="0"/>
    <n v="0"/>
    <n v="0"/>
    <n v="0"/>
    <x v="3"/>
    <n v="27402"/>
    <n v="16"/>
    <n v="0"/>
    <n v="0"/>
    <n v="12.9"/>
    <n v="0"/>
    <n v="0"/>
    <n v="14.085249121662242"/>
    <m/>
    <m/>
    <n v="45150"/>
    <n v="0"/>
    <n v="0"/>
    <n v="49298.371925817846"/>
    <n v="0"/>
    <n v="0"/>
  </r>
  <r>
    <s v="PROJETADO"/>
    <x v="0"/>
    <x v="2"/>
    <x v="4"/>
    <x v="0"/>
    <x v="0"/>
    <x v="3"/>
    <x v="1"/>
    <x v="11"/>
    <n v="3000"/>
    <n v="1500"/>
    <n v="0"/>
    <n v="0"/>
    <n v="0"/>
    <n v="0"/>
    <n v="0"/>
    <x v="3"/>
    <n v="28515"/>
    <n v="16"/>
    <n v="0"/>
    <n v="0"/>
    <n v="12.9"/>
    <n v="0"/>
    <n v="0"/>
    <n v="14.085249121662242"/>
    <m/>
    <m/>
    <n v="19350"/>
    <n v="0"/>
    <n v="0"/>
    <n v="21127.873682493362"/>
    <n v="0"/>
    <n v="0"/>
  </r>
  <r>
    <s v="PROJETADO"/>
    <x v="0"/>
    <x v="2"/>
    <x v="4"/>
    <x v="0"/>
    <x v="0"/>
    <x v="4"/>
    <x v="1"/>
    <x v="11"/>
    <n v="11000"/>
    <n v="5500"/>
    <n v="0"/>
    <n v="0"/>
    <n v="0"/>
    <n v="0"/>
    <n v="0"/>
    <x v="3"/>
    <n v="28957"/>
    <n v="16"/>
    <n v="0"/>
    <n v="0"/>
    <n v="12.9"/>
    <n v="0"/>
    <n v="0"/>
    <n v="14.085249121662242"/>
    <m/>
    <m/>
    <n v="70950"/>
    <n v="0"/>
    <n v="0"/>
    <n v="77468.870169142334"/>
    <n v="0"/>
    <n v="0"/>
  </r>
  <r>
    <s v="PROJETADO"/>
    <x v="0"/>
    <x v="2"/>
    <x v="4"/>
    <x v="0"/>
    <x v="0"/>
    <x v="5"/>
    <x v="1"/>
    <x v="11"/>
    <n v="10050"/>
    <n v="5025"/>
    <n v="0"/>
    <n v="0"/>
    <n v="0"/>
    <n v="0"/>
    <n v="0"/>
    <x v="3"/>
    <n v="29041"/>
    <n v="16"/>
    <n v="0"/>
    <n v="0"/>
    <n v="12.9"/>
    <n v="0"/>
    <n v="0"/>
    <n v="14.085249121662242"/>
    <m/>
    <m/>
    <n v="64822.5"/>
    <n v="0"/>
    <n v="0"/>
    <n v="70778.376836352763"/>
    <n v="0"/>
    <n v="0"/>
  </r>
  <r>
    <s v="PROJETADO"/>
    <x v="0"/>
    <x v="2"/>
    <x v="4"/>
    <x v="0"/>
    <x v="0"/>
    <x v="6"/>
    <x v="1"/>
    <x v="11"/>
    <n v="44450"/>
    <n v="22225"/>
    <n v="0"/>
    <n v="0"/>
    <n v="0"/>
    <n v="0"/>
    <n v="0"/>
    <x v="3"/>
    <n v="29092"/>
    <n v="16"/>
    <n v="0"/>
    <n v="0"/>
    <n v="12.9"/>
    <n v="0"/>
    <n v="0"/>
    <n v="14.085249121662242"/>
    <m/>
    <m/>
    <n v="286702.5"/>
    <n v="0"/>
    <n v="0"/>
    <n v="313044.66172894335"/>
    <n v="0"/>
    <n v="0"/>
  </r>
  <r>
    <s v="PROJETADO"/>
    <x v="0"/>
    <x v="2"/>
    <x v="4"/>
    <x v="0"/>
    <x v="0"/>
    <x v="7"/>
    <x v="1"/>
    <x v="11"/>
    <n v="30000"/>
    <n v="15000"/>
    <n v="0"/>
    <n v="0"/>
    <n v="0"/>
    <n v="0"/>
    <n v="0"/>
    <x v="3"/>
    <n v="33663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PROJETADO"/>
    <x v="0"/>
    <x v="2"/>
    <x v="4"/>
    <x v="0"/>
    <x v="0"/>
    <x v="8"/>
    <x v="1"/>
    <x v="11"/>
    <n v="30000"/>
    <n v="15000"/>
    <n v="0"/>
    <n v="0"/>
    <n v="0"/>
    <n v="0"/>
    <n v="0"/>
    <x v="3"/>
    <n v="33664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PROJETADO"/>
    <x v="0"/>
    <x v="2"/>
    <x v="4"/>
    <x v="0"/>
    <x v="0"/>
    <x v="9"/>
    <x v="1"/>
    <x v="11"/>
    <n v="30000"/>
    <n v="15000"/>
    <n v="0"/>
    <n v="0"/>
    <n v="0"/>
    <n v="0"/>
    <n v="0"/>
    <x v="3"/>
    <n v="33665"/>
    <n v="16"/>
    <n v="0"/>
    <n v="0"/>
    <n v="12.9"/>
    <n v="0"/>
    <n v="0"/>
    <n v="14.085249121662242"/>
    <m/>
    <m/>
    <n v="193500"/>
    <n v="0"/>
    <n v="0"/>
    <n v="211278.73682493364"/>
    <n v="0"/>
    <n v="0"/>
  </r>
  <r>
    <s v="PROJETADO"/>
    <x v="0"/>
    <x v="2"/>
    <x v="4"/>
    <x v="0"/>
    <x v="0"/>
    <x v="10"/>
    <x v="1"/>
    <x v="11"/>
    <n v="27000"/>
    <n v="13500"/>
    <n v="0"/>
    <n v="0"/>
    <n v="0"/>
    <n v="0"/>
    <n v="0"/>
    <x v="3"/>
    <n v="34085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PROJETADO"/>
    <x v="0"/>
    <x v="2"/>
    <x v="4"/>
    <x v="0"/>
    <x v="0"/>
    <x v="11"/>
    <x v="1"/>
    <x v="11"/>
    <n v="27000"/>
    <n v="13500"/>
    <n v="0"/>
    <n v="0"/>
    <n v="0"/>
    <n v="0"/>
    <n v="0"/>
    <x v="3"/>
    <n v="34086"/>
    <n v="16"/>
    <n v="0"/>
    <n v="0"/>
    <n v="12.9"/>
    <n v="0"/>
    <n v="0"/>
    <n v="14.085249121662242"/>
    <m/>
    <m/>
    <n v="174150"/>
    <n v="0"/>
    <n v="0"/>
    <n v="190150.86314244027"/>
    <n v="0"/>
    <n v="0"/>
  </r>
  <r>
    <s v="Regular"/>
    <x v="1"/>
    <x v="0"/>
    <x v="0"/>
    <x v="0"/>
    <x v="0"/>
    <x v="0"/>
    <x v="0"/>
    <x v="0"/>
    <n v="6610"/>
    <n v="6610"/>
    <n v="2260.0410000000002"/>
    <n v="2260.0410000000002"/>
    <n v="2260.0410000000002"/>
    <n v="2260.0410000000002"/>
    <n v="0"/>
    <x v="1"/>
    <n v="0"/>
    <n v="20"/>
    <n v="22"/>
    <n v="67"/>
    <n v="26.22"/>
    <n v="62.57"/>
    <n v="242.82"/>
    <n v="28.891757284072764"/>
    <n v="75.886085105957733"/>
    <n v="224.53785920244138"/>
    <n v="173314.19999999998"/>
    <n v="141410.76537000001"/>
    <n v="548783.15561999998"/>
    <n v="190974.51564772098"/>
    <n v="171505.66366895384"/>
    <n v="507464.76784974488"/>
  </r>
  <r>
    <s v="Sistema de Compensação"/>
    <x v="1"/>
    <x v="0"/>
    <x v="0"/>
    <x v="0"/>
    <x v="0"/>
    <x v="0"/>
    <x v="0"/>
    <x v="0"/>
    <n v="125"/>
    <n v="125"/>
    <n v="15.191000000000001"/>
    <n v="15.191000000000001"/>
    <n v="15.191000000000001"/>
    <n v="15.191000000000001"/>
    <n v="0"/>
    <x v="1"/>
    <n v="0"/>
    <n v="20"/>
    <n v="22"/>
    <n v="67"/>
    <n v="26.22"/>
    <n v="62.57"/>
    <n v="242.82"/>
    <n v="28.891757284072764"/>
    <n v="75.886085105957733"/>
    <n v="224.53785920244138"/>
    <n v="3277.5"/>
    <n v="950.50087000000008"/>
    <n v="3688.6786200000001"/>
    <n v="3611.4696605090953"/>
    <n v="1152.785518844604"/>
    <n v="3410.9546191442873"/>
  </r>
  <r>
    <s v="Sistema de Compensação"/>
    <x v="1"/>
    <x v="0"/>
    <x v="0"/>
    <x v="0"/>
    <x v="0"/>
    <x v="0"/>
    <x v="0"/>
    <x v="0"/>
    <n v="-160"/>
    <n v="-160"/>
    <n v="2.1419999999999999"/>
    <n v="2.1419999999999999"/>
    <n v="2.1419999999999999"/>
    <n v="2.1419999999999999"/>
    <n v="0"/>
    <x v="1"/>
    <n v="0"/>
    <n v="20"/>
    <n v="22"/>
    <n v="67"/>
    <n v="26.22"/>
    <n v="62.57"/>
    <n v="242.82"/>
    <n v="28.891757284072764"/>
    <n v="75.886085105957733"/>
    <n v="224.53785920244138"/>
    <n v="-4195.2"/>
    <n v="134.02493999999999"/>
    <n v="520.12043999999992"/>
    <n v="-4622.6811654516423"/>
    <n v="162.54799429696146"/>
    <n v="480.96009441162943"/>
  </r>
  <r>
    <s v="Regular"/>
    <x v="1"/>
    <x v="0"/>
    <x v="0"/>
    <x v="0"/>
    <x v="0"/>
    <x v="0"/>
    <x v="0"/>
    <x v="0"/>
    <n v="70"/>
    <n v="70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1835.3999999999999"/>
    <n v="0"/>
    <n v="0"/>
    <n v="2022.4230098850935"/>
    <n v="0"/>
    <n v="0"/>
  </r>
  <r>
    <s v="Regular"/>
    <x v="1"/>
    <x v="0"/>
    <x v="0"/>
    <x v="0"/>
    <x v="0"/>
    <x v="0"/>
    <x v="0"/>
    <x v="1"/>
    <n v="6809"/>
    <n v="6809"/>
    <n v="2341.3330000000001"/>
    <n v="2341.3330000000001"/>
    <n v="2341.3330000000001"/>
    <n v="2341.3330000000001"/>
    <n v="0"/>
    <x v="1"/>
    <n v="0"/>
    <n v="20"/>
    <n v="22"/>
    <n v="67"/>
    <n v="26.22"/>
    <n v="62.57"/>
    <n v="242.82"/>
    <n v="28.891757284072764"/>
    <n v="75.886085105957733"/>
    <n v="224.53785920244138"/>
    <n v="178531.97999999998"/>
    <n v="146497.20581000001"/>
    <n v="568522.47906000004"/>
    <n v="196723.97534725146"/>
    <n v="177674.59529938735"/>
    <n v="525717.89950002974"/>
  </r>
  <r>
    <s v="Sistema de Compensação"/>
    <x v="1"/>
    <x v="0"/>
    <x v="0"/>
    <x v="0"/>
    <x v="0"/>
    <x v="0"/>
    <x v="0"/>
    <x v="1"/>
    <n v="125"/>
    <n v="125"/>
    <n v="14.555"/>
    <n v="14.555"/>
    <n v="14.555"/>
    <n v="14.555"/>
    <n v="0"/>
    <x v="1"/>
    <n v="0"/>
    <n v="20"/>
    <n v="22"/>
    <n v="67"/>
    <n v="26.22"/>
    <n v="62.57"/>
    <n v="242.82"/>
    <n v="28.891757284072764"/>
    <n v="75.886085105957733"/>
    <n v="224.53785920244138"/>
    <n v="3277.5"/>
    <n v="910.70635000000004"/>
    <n v="3534.2450999999996"/>
    <n v="3611.4696605090953"/>
    <n v="1104.5219687172148"/>
    <n v="3268.1485406915344"/>
  </r>
  <r>
    <s v="Regular"/>
    <x v="1"/>
    <x v="0"/>
    <x v="0"/>
    <x v="0"/>
    <x v="0"/>
    <x v="0"/>
    <x v="0"/>
    <x v="2"/>
    <n v="6593"/>
    <n v="6593"/>
    <n v="2396.6849999999999"/>
    <n v="2396.6849999999999"/>
    <n v="2396.6849999999999"/>
    <n v="2396.6849999999999"/>
    <n v="0"/>
    <x v="1"/>
    <n v="0"/>
    <n v="20"/>
    <n v="22"/>
    <n v="67"/>
    <n v="26.22"/>
    <n v="62.57"/>
    <n v="242.82"/>
    <n v="28.891757284072764"/>
    <n v="75.886085105957733"/>
    <n v="224.53785920244138"/>
    <n v="172868.46"/>
    <n v="149960.58045000001"/>
    <n v="581963.05169999995"/>
    <n v="190483.35577389173"/>
    <n v="181875.04188217231"/>
    <n v="538146.51908260316"/>
  </r>
  <r>
    <s v="Sistema de Compensação"/>
    <x v="1"/>
    <x v="0"/>
    <x v="0"/>
    <x v="0"/>
    <x v="0"/>
    <x v="0"/>
    <x v="0"/>
    <x v="2"/>
    <n v="155"/>
    <n v="155"/>
    <n v="23.007000000000001"/>
    <n v="23.007000000000001"/>
    <n v="23.007000000000001"/>
    <n v="23.007000000000001"/>
    <n v="0"/>
    <x v="1"/>
    <n v="0"/>
    <n v="20"/>
    <n v="22"/>
    <n v="67"/>
    <n v="26.22"/>
    <n v="62.57"/>
    <n v="242.82"/>
    <n v="28.891757284072764"/>
    <n v="75.886085105957733"/>
    <n v="224.53785920244138"/>
    <n v="4064.1"/>
    <n v="1439.54799"/>
    <n v="5586.5597400000006"/>
    <n v="4478.2223790312783"/>
    <n v="1745.9111600327697"/>
    <n v="5165.9425266705694"/>
  </r>
  <r>
    <s v="Regular"/>
    <x v="1"/>
    <x v="0"/>
    <x v="0"/>
    <x v="0"/>
    <x v="0"/>
    <x v="0"/>
    <x v="0"/>
    <x v="3"/>
    <n v="7123"/>
    <n v="7123"/>
    <n v="2465.6750000000002"/>
    <n v="2465.6750000000002"/>
    <n v="2465.6750000000002"/>
    <n v="2465.6750000000002"/>
    <n v="0"/>
    <x v="1"/>
    <n v="0"/>
    <n v="20"/>
    <n v="22"/>
    <n v="67"/>
    <n v="26.22"/>
    <n v="62.57"/>
    <n v="242.82"/>
    <n v="28.891757284072764"/>
    <n v="75.886085105957733"/>
    <n v="224.53785920244138"/>
    <n v="186765.06"/>
    <n v="154277.28475000002"/>
    <n v="598715.20350000006"/>
    <n v="205795.98713445029"/>
    <n v="187110.42289363235"/>
    <n v="553637.38598897972"/>
  </r>
  <r>
    <s v="Refaturamento - Regular"/>
    <x v="1"/>
    <x v="0"/>
    <x v="0"/>
    <x v="0"/>
    <x v="0"/>
    <x v="0"/>
    <x v="0"/>
    <x v="3"/>
    <n v="30"/>
    <n v="30"/>
    <n v="0"/>
    <n v="0"/>
    <n v="0"/>
    <n v="0"/>
    <n v="0"/>
    <x v="1"/>
    <n v="0"/>
    <n v="20"/>
    <n v="0"/>
    <n v="0"/>
    <n v="26.22"/>
    <n v="0"/>
    <n v="0"/>
    <n v="28.891757284072764"/>
    <n v="75.886085105957733"/>
    <n v="224.53785920244138"/>
    <n v="786.59999999999991"/>
    <n v="0"/>
    <n v="0"/>
    <n v="866.75271852218293"/>
    <n v="0"/>
    <n v="0"/>
  </r>
  <r>
    <s v="Sistema de Compensação"/>
    <x v="1"/>
    <x v="0"/>
    <x v="0"/>
    <x v="0"/>
    <x v="0"/>
    <x v="0"/>
    <x v="0"/>
    <x v="3"/>
    <n v="155"/>
    <n v="155"/>
    <n v="36.808"/>
    <n v="36.808"/>
    <n v="36.808"/>
    <n v="36.808"/>
    <n v="0"/>
    <x v="1"/>
    <n v="0"/>
    <n v="20"/>
    <n v="22"/>
    <n v="67"/>
    <n v="26.22"/>
    <n v="62.57"/>
    <n v="242.82"/>
    <n v="28.891757284072764"/>
    <n v="75.886085105957733"/>
    <n v="224.53785920244138"/>
    <n v="4064.1"/>
    <n v="2303.07656"/>
    <n v="8937.7185599999993"/>
    <n v="4478.2223790312783"/>
    <n v="2793.2150205800922"/>
    <n v="8264.7895215234621"/>
  </r>
  <r>
    <s v="Regular"/>
    <x v="1"/>
    <x v="0"/>
    <x v="0"/>
    <x v="0"/>
    <x v="0"/>
    <x v="0"/>
    <x v="0"/>
    <x v="4"/>
    <n v="7380"/>
    <n v="7380"/>
    <n v="2648.634"/>
    <n v="2648.634"/>
    <n v="2648.634"/>
    <n v="2648.634"/>
    <n v="0"/>
    <x v="1"/>
    <n v="0"/>
    <n v="20"/>
    <n v="22"/>
    <n v="67"/>
    <n v="26.22"/>
    <n v="62.57"/>
    <n v="242.82"/>
    <n v="28.891757284072764"/>
    <n v="75.886085105957733"/>
    <n v="224.53785920244138"/>
    <n v="193503.6"/>
    <n v="165725.02937999999"/>
    <n v="643141.30787999998"/>
    <n v="213221.16875645699"/>
    <n v="200994.46513853327"/>
    <n v="594718.6081707991"/>
  </r>
  <r>
    <s v="Sistema de Compensação"/>
    <x v="1"/>
    <x v="0"/>
    <x v="0"/>
    <x v="0"/>
    <x v="0"/>
    <x v="0"/>
    <x v="0"/>
    <x v="4"/>
    <n v="155"/>
    <n v="155"/>
    <n v="33.165999999999997"/>
    <n v="33.165999999999997"/>
    <n v="33.165999999999997"/>
    <n v="33.165999999999997"/>
    <n v="0"/>
    <x v="1"/>
    <n v="0"/>
    <n v="20"/>
    <n v="22"/>
    <n v="67"/>
    <n v="26.22"/>
    <n v="62.57"/>
    <n v="242.82"/>
    <n v="28.891757284072764"/>
    <n v="75.886085105957733"/>
    <n v="224.53785920244138"/>
    <n v="4064.1"/>
    <n v="2075.1966199999997"/>
    <n v="8053.3681199999992"/>
    <n v="4478.2223790312783"/>
    <n v="2516.8378986241937"/>
    <n v="7447.0226383081699"/>
  </r>
  <r>
    <s v="Regular"/>
    <x v="1"/>
    <x v="0"/>
    <x v="0"/>
    <x v="0"/>
    <x v="0"/>
    <x v="0"/>
    <x v="0"/>
    <x v="5"/>
    <n v="8083"/>
    <n v="8083"/>
    <n v="2691.9969999999998"/>
    <n v="2691.9969999999998"/>
    <n v="2691.9969999999998"/>
    <n v="2691.9969999999998"/>
    <n v="0"/>
    <x v="1"/>
    <n v="0"/>
    <n v="20"/>
    <n v="22"/>
    <n v="67"/>
    <n v="26.22"/>
    <n v="62.57"/>
    <n v="242.82"/>
    <n v="28.891757284072764"/>
    <n v="75.886085105957733"/>
    <n v="224.53785920244138"/>
    <n v="211936.25999999998"/>
    <n v="168438.25229"/>
    <n v="653670.71153999993"/>
    <n v="233532.07412716016"/>
    <n v="204285.1134469829"/>
    <n v="604455.2433593946"/>
  </r>
  <r>
    <s v="Refaturamento - Regular"/>
    <x v="1"/>
    <x v="0"/>
    <x v="0"/>
    <x v="0"/>
    <x v="0"/>
    <x v="0"/>
    <x v="0"/>
    <x v="5"/>
    <n v="30"/>
    <n v="30"/>
    <n v="0"/>
    <n v="0"/>
    <n v="0"/>
    <n v="0"/>
    <n v="0"/>
    <x v="1"/>
    <n v="0"/>
    <n v="20"/>
    <n v="0"/>
    <n v="0"/>
    <n v="26.22"/>
    <n v="0"/>
    <n v="0"/>
    <n v="28.891757284072764"/>
    <n v="75.886085105957733"/>
    <n v="224.53785920244138"/>
    <n v="786.59999999999991"/>
    <n v="0"/>
    <n v="0"/>
    <n v="866.75271852218293"/>
    <n v="0"/>
    <n v="0"/>
  </r>
  <r>
    <s v="Sistema de Compensação"/>
    <x v="1"/>
    <x v="0"/>
    <x v="0"/>
    <x v="0"/>
    <x v="0"/>
    <x v="0"/>
    <x v="0"/>
    <x v="5"/>
    <n v="1228"/>
    <n v="1228"/>
    <n v="81.542000000000002"/>
    <n v="81.542000000000002"/>
    <n v="81.542000000000002"/>
    <n v="81.542000000000002"/>
    <n v="0"/>
    <x v="1"/>
    <n v="0"/>
    <n v="20"/>
    <n v="22"/>
    <n v="67"/>
    <n v="26.22"/>
    <n v="62.57"/>
    <n v="242.82"/>
    <n v="28.891757284072764"/>
    <n v="75.886085105957733"/>
    <n v="224.53785920244138"/>
    <n v="32198.16"/>
    <n v="5102.0829400000002"/>
    <n v="19800.028439999998"/>
    <n v="35479.077944841352"/>
    <n v="6187.9031517100057"/>
    <n v="18309.266115085476"/>
  </r>
  <r>
    <s v="Sistema de Compensação"/>
    <x v="1"/>
    <x v="0"/>
    <x v="0"/>
    <x v="0"/>
    <x v="0"/>
    <x v="0"/>
    <x v="0"/>
    <x v="5"/>
    <n v="0"/>
    <n v="0"/>
    <n v="1.9159999999999999"/>
    <n v="1.9159999999999999"/>
    <n v="1.9159999999999999"/>
    <n v="1.9159999999999999"/>
    <n v="0"/>
    <x v="1"/>
    <n v="0"/>
    <n v="0"/>
    <n v="22"/>
    <n v="67"/>
    <n v="0"/>
    <n v="62.57"/>
    <n v="242.82"/>
    <n v="28.891757284072764"/>
    <n v="75.886085105957733"/>
    <n v="224.53785920244138"/>
    <n v="0"/>
    <n v="119.88412"/>
    <n v="465.24311999999998"/>
    <n v="0"/>
    <n v="145.39773906301502"/>
    <n v="430.21453823187767"/>
  </r>
  <r>
    <s v="Regular"/>
    <x v="1"/>
    <x v="0"/>
    <x v="0"/>
    <x v="0"/>
    <x v="0"/>
    <x v="0"/>
    <x v="0"/>
    <x v="6"/>
    <n v="7873"/>
    <n v="7873"/>
    <n v="2519.1909999999998"/>
    <n v="2519.1909999999998"/>
    <n v="2519.1909999999998"/>
    <n v="2519.1909999999998"/>
    <n v="0"/>
    <x v="1"/>
    <n v="0"/>
    <n v="20"/>
    <n v="22"/>
    <n v="67"/>
    <n v="26.22"/>
    <n v="62.57"/>
    <n v="242.82"/>
    <n v="28.891757284072764"/>
    <n v="75.886085105957733"/>
    <n v="224.53785920244138"/>
    <n v="206430.06"/>
    <n v="157625.78086999999"/>
    <n v="611709.95861999993"/>
    <n v="227464.80509750487"/>
    <n v="191171.54262416274"/>
    <n v="565653.75406205747"/>
  </r>
  <r>
    <s v="Refaturamento - Regular"/>
    <x v="1"/>
    <x v="0"/>
    <x v="0"/>
    <x v="0"/>
    <x v="0"/>
    <x v="0"/>
    <x v="0"/>
    <x v="6"/>
    <n v="-335"/>
    <n v="-335"/>
    <n v="0"/>
    <n v="0"/>
    <n v="0"/>
    <n v="0"/>
    <n v="0"/>
    <x v="1"/>
    <n v="0"/>
    <n v="20"/>
    <n v="0"/>
    <n v="0"/>
    <n v="26.22"/>
    <n v="0"/>
    <n v="0"/>
    <n v="28.891757284072764"/>
    <n v="75.886085105957733"/>
    <n v="224.53785920244138"/>
    <n v="-8783.6999999999989"/>
    <n v="0"/>
    <n v="0"/>
    <n v="-9678.7386901643749"/>
    <n v="0"/>
    <n v="0"/>
  </r>
  <r>
    <s v="Sistema de Compensação"/>
    <x v="1"/>
    <x v="0"/>
    <x v="0"/>
    <x v="0"/>
    <x v="0"/>
    <x v="0"/>
    <x v="0"/>
    <x v="6"/>
    <n v="1214"/>
    <n v="1214"/>
    <n v="76.356999999999999"/>
    <n v="76.356999999999999"/>
    <n v="76.356999999999999"/>
    <n v="76.356999999999999"/>
    <n v="0"/>
    <x v="1"/>
    <n v="0"/>
    <n v="20"/>
    <n v="22"/>
    <n v="67"/>
    <n v="26.22"/>
    <n v="62.57"/>
    <n v="242.82"/>
    <n v="28.891757284072764"/>
    <n v="75.886085105957733"/>
    <n v="224.53785920244138"/>
    <n v="31831.079999999998"/>
    <n v="4777.6574899999996"/>
    <n v="18541.006740000001"/>
    <n v="35074.593342864333"/>
    <n v="5794.4338004356141"/>
    <n v="17145.037315120815"/>
  </r>
  <r>
    <s v="Regular"/>
    <x v="1"/>
    <x v="0"/>
    <x v="0"/>
    <x v="0"/>
    <x v="0"/>
    <x v="0"/>
    <x v="0"/>
    <x v="7"/>
    <n v="7756"/>
    <n v="7756"/>
    <n v="2647.4229999999998"/>
    <n v="2647.4229999999998"/>
    <n v="2647.4229999999998"/>
    <n v="2647.4229999999998"/>
    <n v="0"/>
    <x v="1"/>
    <n v="0"/>
    <n v="20"/>
    <n v="22"/>
    <n v="67"/>
    <n v="26.22"/>
    <n v="62.57"/>
    <n v="242.82"/>
    <n v="28.891757284072764"/>
    <n v="75.886085105957733"/>
    <n v="224.53785920244138"/>
    <n v="203362.31999999998"/>
    <n v="165649.25710999998"/>
    <n v="642847.25285999989"/>
    <n v="224084.46949526836"/>
    <n v="200902.56708946993"/>
    <n v="594446.69282330491"/>
  </r>
  <r>
    <s v="Sistema de Compensação"/>
    <x v="1"/>
    <x v="0"/>
    <x v="0"/>
    <x v="0"/>
    <x v="0"/>
    <x v="0"/>
    <x v="0"/>
    <x v="7"/>
    <n v="1156"/>
    <n v="1156"/>
    <n v="64.281999999999996"/>
    <n v="64.281999999999996"/>
    <n v="64.281999999999996"/>
    <n v="64.281999999999996"/>
    <n v="0"/>
    <x v="1"/>
    <n v="0"/>
    <n v="20"/>
    <n v="22"/>
    <n v="67"/>
    <n v="26.22"/>
    <n v="62.57"/>
    <n v="242.82"/>
    <n v="28.891757284072764"/>
    <n v="75.886085105957733"/>
    <n v="224.53785920244138"/>
    <n v="30310.32"/>
    <n v="4022.1247399999997"/>
    <n v="15608.955239999999"/>
    <n v="33398.871420388117"/>
    <n v="4878.1093227811743"/>
    <n v="14433.742665251337"/>
  </r>
  <r>
    <s v="Regular"/>
    <x v="1"/>
    <x v="0"/>
    <x v="0"/>
    <x v="0"/>
    <x v="0"/>
    <x v="0"/>
    <x v="0"/>
    <x v="8"/>
    <n v="7907"/>
    <n v="7907"/>
    <n v="2633.529"/>
    <n v="2633.529"/>
    <n v="2633.529"/>
    <n v="2633.529"/>
    <n v="0"/>
    <x v="1"/>
    <n v="0"/>
    <n v="20"/>
    <n v="22"/>
    <n v="67"/>
    <n v="26.22"/>
    <n v="62.57"/>
    <n v="242.82"/>
    <n v="28.891757284072764"/>
    <n v="75.886085105957733"/>
    <n v="224.53785920244138"/>
    <n v="207321.53999999998"/>
    <n v="164779.90953"/>
    <n v="639473.51177999994"/>
    <n v="228447.12484516334"/>
    <n v="199848.20582300777"/>
    <n v="591326.9638075463"/>
  </r>
  <r>
    <s v="Refaturamento - Regular"/>
    <x v="1"/>
    <x v="0"/>
    <x v="0"/>
    <x v="0"/>
    <x v="0"/>
    <x v="0"/>
    <x v="0"/>
    <x v="8"/>
    <n v="0"/>
    <n v="0"/>
    <n v="-5.0229999999999997"/>
    <n v="-5.0229999999999997"/>
    <n v="-5.0229999999999997"/>
    <n v="-5.0229999999999997"/>
    <n v="0"/>
    <x v="1"/>
    <n v="0"/>
    <n v="0"/>
    <n v="22"/>
    <n v="67"/>
    <n v="0"/>
    <n v="62.57"/>
    <n v="242.82"/>
    <n v="28.891757284072764"/>
    <n v="75.886085105957733"/>
    <n v="224.53785920244138"/>
    <n v="0"/>
    <n v="-314.28910999999999"/>
    <n v="-1219.6848599999998"/>
    <n v="0"/>
    <n v="-381.17580548722566"/>
    <n v="-1127.8536667738631"/>
  </r>
  <r>
    <s v="Sistema de Compensação"/>
    <x v="1"/>
    <x v="0"/>
    <x v="0"/>
    <x v="0"/>
    <x v="0"/>
    <x v="0"/>
    <x v="0"/>
    <x v="8"/>
    <n v="1145"/>
    <n v="1145"/>
    <n v="73.512"/>
    <n v="73.512"/>
    <n v="73.512"/>
    <n v="73.512"/>
    <n v="0"/>
    <x v="1"/>
    <n v="0"/>
    <n v="20"/>
    <n v="22"/>
    <n v="67"/>
    <n v="26.22"/>
    <n v="62.57"/>
    <n v="242.82"/>
    <n v="28.891757284072764"/>
    <n v="75.886085105957733"/>
    <n v="224.53785920244138"/>
    <n v="30021.899999999998"/>
    <n v="4599.6458400000001"/>
    <n v="17850.183839999998"/>
    <n v="33081.062090263316"/>
    <n v="5578.5378883091653"/>
    <n v="16506.227105689872"/>
  </r>
  <r>
    <s v="Regular"/>
    <x v="1"/>
    <x v="0"/>
    <x v="0"/>
    <x v="0"/>
    <x v="0"/>
    <x v="0"/>
    <x v="0"/>
    <x v="9"/>
    <n v="7598"/>
    <n v="7598"/>
    <n v="2534.7089999999998"/>
    <n v="2534.7089999999998"/>
    <n v="2534.7089999999998"/>
    <n v="2534.7089999999998"/>
    <n v="0"/>
    <x v="1"/>
    <n v="0"/>
    <n v="20"/>
    <n v="22"/>
    <n v="67"/>
    <n v="26.22"/>
    <n v="62.57"/>
    <n v="242.82"/>
    <n v="28.891757284072764"/>
    <n v="75.886085105957733"/>
    <n v="224.53785920244138"/>
    <n v="199219.56"/>
    <n v="158596.74213"/>
    <n v="615478.03937999997"/>
    <n v="219519.57184438486"/>
    <n v="192349.142892837"/>
    <n v="569138.13256116095"/>
  </r>
  <r>
    <s v="Refaturamento - Regular"/>
    <x v="1"/>
    <x v="0"/>
    <x v="0"/>
    <x v="0"/>
    <x v="0"/>
    <x v="0"/>
    <x v="0"/>
    <x v="9"/>
    <n v="-60"/>
    <n v="-60"/>
    <n v="-7.3719999999999999"/>
    <n v="-7.3719999999999999"/>
    <n v="-7.3719999999999999"/>
    <n v="-7.3719999999999999"/>
    <n v="0"/>
    <x v="1"/>
    <n v="0"/>
    <n v="20"/>
    <n v="22"/>
    <n v="67"/>
    <n v="26.22"/>
    <n v="62.57"/>
    <n v="242.82"/>
    <n v="28.891757284072764"/>
    <n v="75.886085105957733"/>
    <n v="224.53785920244138"/>
    <n v="-1573.1999999999998"/>
    <n v="-461.26603999999998"/>
    <n v="-1790.0690399999999"/>
    <n v="-1733.5054370443659"/>
    <n v="-559.43221940112039"/>
    <n v="-1655.2930980403978"/>
  </r>
  <r>
    <s v="Sistema de Compensação"/>
    <x v="1"/>
    <x v="0"/>
    <x v="0"/>
    <x v="0"/>
    <x v="0"/>
    <x v="0"/>
    <x v="0"/>
    <x v="9"/>
    <n v="1400"/>
    <n v="1400"/>
    <n v="86.244"/>
    <n v="86.244"/>
    <n v="86.244"/>
    <n v="86.244"/>
    <n v="0"/>
    <x v="1"/>
    <n v="0"/>
    <n v="20"/>
    <n v="22"/>
    <n v="67"/>
    <n v="26.22"/>
    <n v="62.57"/>
    <n v="242.82"/>
    <n v="28.891757284072764"/>
    <n v="75.886085105957733"/>
    <n v="224.53785920244138"/>
    <n v="36708"/>
    <n v="5396.2870800000001"/>
    <n v="20941.768079999998"/>
    <n v="40448.460197701868"/>
    <n v="6544.7195238782188"/>
    <n v="19365.043129055353"/>
  </r>
  <r>
    <s v="Regular"/>
    <x v="1"/>
    <x v="0"/>
    <x v="0"/>
    <x v="0"/>
    <x v="0"/>
    <x v="0"/>
    <x v="0"/>
    <x v="10"/>
    <n v="7295"/>
    <n v="7295"/>
    <n v="2270.2240000000002"/>
    <n v="2270.2240000000002"/>
    <n v="2270.2240000000002"/>
    <n v="2270.2240000000002"/>
    <n v="0"/>
    <x v="1"/>
    <n v="0"/>
    <n v="20"/>
    <n v="22"/>
    <n v="67"/>
    <n v="26.22"/>
    <n v="62.57"/>
    <n v="242.82"/>
    <n v="28.891757284072764"/>
    <n v="75.886085105957733"/>
    <n v="224.53785920244138"/>
    <n v="191274.9"/>
    <n v="142047.91568000001"/>
    <n v="551255.79168000002"/>
    <n v="210765.36938731081"/>
    <n v="172278.41167358781"/>
    <n v="509751.23687000334"/>
  </r>
  <r>
    <s v="Sistema de Compensação"/>
    <x v="1"/>
    <x v="0"/>
    <x v="0"/>
    <x v="0"/>
    <x v="0"/>
    <x v="0"/>
    <x v="0"/>
    <x v="10"/>
    <n v="1432"/>
    <n v="1432"/>
    <n v="60.866"/>
    <n v="60.866"/>
    <n v="60.866"/>
    <n v="60.866"/>
    <n v="0"/>
    <x v="1"/>
    <n v="0"/>
    <n v="20"/>
    <n v="22"/>
    <n v="67"/>
    <n v="26.22"/>
    <n v="62.57"/>
    <n v="242.82"/>
    <n v="28.891757284072764"/>
    <n v="75.886085105957733"/>
    <n v="224.53785920244138"/>
    <n v="37547.040000000001"/>
    <n v="3808.38562"/>
    <n v="14779.482119999999"/>
    <n v="41372.996430792198"/>
    <n v="4618.8824560592229"/>
    <n v="13666.721338215797"/>
  </r>
  <r>
    <s v="PROJETADO"/>
    <x v="1"/>
    <x v="0"/>
    <x v="0"/>
    <x v="0"/>
    <x v="0"/>
    <x v="0"/>
    <x v="0"/>
    <x v="11"/>
    <n v="7295"/>
    <n v="7295"/>
    <n v="2270.2240000000002"/>
    <n v="2270.2240000000002"/>
    <n v="2270.2240000000002"/>
    <n v="2270.2240000000002"/>
    <n v="0"/>
    <x v="1"/>
    <n v="0"/>
    <n v="20"/>
    <n v="22"/>
    <n v="67"/>
    <n v="26.22"/>
    <n v="62.57"/>
    <n v="242.82"/>
    <n v="28.891757284072764"/>
    <n v="75.886085105957733"/>
    <n v="224.53785920244138"/>
    <n v="191274.9"/>
    <n v="142047.91568000001"/>
    <n v="551255.79168000002"/>
    <n v="210765.36938731081"/>
    <n v="172278.41167358781"/>
    <n v="509751.23687000334"/>
  </r>
  <r>
    <s v="PROJETADO"/>
    <x v="1"/>
    <x v="0"/>
    <x v="0"/>
    <x v="0"/>
    <x v="0"/>
    <x v="0"/>
    <x v="0"/>
    <x v="11"/>
    <n v="1432"/>
    <n v="1432"/>
    <n v="60.866"/>
    <n v="60.866"/>
    <n v="60.866"/>
    <n v="60.866"/>
    <n v="0"/>
    <x v="1"/>
    <n v="0"/>
    <n v="20"/>
    <n v="22"/>
    <n v="67"/>
    <n v="26.22"/>
    <n v="62.57"/>
    <n v="242.82"/>
    <n v="28.891757284072764"/>
    <n v="75.886085105957733"/>
    <n v="224.53785920244138"/>
    <n v="37547.040000000001"/>
    <n v="3808.38562"/>
    <n v="14779.482119999999"/>
    <n v="41372.996430792198"/>
    <n v="4618.8824560592229"/>
    <n v="13666.721338215797"/>
  </r>
  <r>
    <s v="Regular"/>
    <x v="1"/>
    <x v="0"/>
    <x v="0"/>
    <x v="0"/>
    <x v="0"/>
    <x v="0"/>
    <x v="1"/>
    <x v="0"/>
    <n v="0"/>
    <n v="0"/>
    <n v="15.478"/>
    <n v="15.478"/>
    <n v="0"/>
    <n v="0"/>
    <n v="1"/>
    <x v="0"/>
    <n v="0"/>
    <n v="0"/>
    <n v="22"/>
    <n v="0"/>
    <n v="0"/>
    <n v="62.57"/>
    <n v="0"/>
    <m/>
    <n v="75.886085105957733"/>
    <m/>
    <n v="0"/>
    <n v="968.45845999999995"/>
    <n v="0"/>
    <n v="0"/>
    <n v="1174.5648252700137"/>
    <n v="0"/>
  </r>
  <r>
    <s v="Regular"/>
    <x v="1"/>
    <x v="0"/>
    <x v="0"/>
    <x v="0"/>
    <x v="0"/>
    <x v="0"/>
    <x v="2"/>
    <x v="0"/>
    <n v="5882"/>
    <n v="5882"/>
    <n v="248.38499999999999"/>
    <n v="248.38499999999999"/>
    <n v="248.38499999999999"/>
    <n v="248.38499999999999"/>
    <n v="0"/>
    <x v="1"/>
    <n v="0"/>
    <n v="18"/>
    <n v="22"/>
    <n v="66"/>
    <n v="52.15"/>
    <n v="62.57"/>
    <n v="397.62"/>
    <n v="57.437679027724307"/>
    <n v="75.886085105957733"/>
    <n v="351.67159959099928"/>
    <n v="306746.3"/>
    <n v="15541.44945"/>
    <n v="98762.843699999998"/>
    <n v="337848.42804107437"/>
    <n v="18848.965249043311"/>
    <n v="87349.950264410349"/>
  </r>
  <r>
    <s v="Sistema de Compensação"/>
    <x v="1"/>
    <x v="0"/>
    <x v="0"/>
    <x v="0"/>
    <x v="0"/>
    <x v="0"/>
    <x v="2"/>
    <x v="0"/>
    <n v="115"/>
    <n v="115"/>
    <n v="2.52"/>
    <n v="2.52"/>
    <n v="2.52"/>
    <n v="2.52"/>
    <n v="0"/>
    <x v="1"/>
    <n v="0"/>
    <n v="18"/>
    <n v="22"/>
    <n v="66"/>
    <n v="52.15"/>
    <n v="62.57"/>
    <n v="397.62"/>
    <n v="57.437679027724307"/>
    <n v="75.886085105957733"/>
    <n v="351.67159959099928"/>
    <n v="5997.25"/>
    <n v="157.6764"/>
    <n v="1002.0024"/>
    <n v="6605.3330881882957"/>
    <n v="191.23293446701348"/>
    <n v="886.21243096931823"/>
  </r>
  <r>
    <s v="Sistema de Compensação"/>
    <x v="1"/>
    <x v="0"/>
    <x v="0"/>
    <x v="0"/>
    <x v="0"/>
    <x v="0"/>
    <x v="2"/>
    <x v="0"/>
    <n v="-160"/>
    <n v="-160"/>
    <n v="-4.7560000000000002"/>
    <n v="-4.7560000000000002"/>
    <n v="-4.7560000000000002"/>
    <n v="-4.7560000000000002"/>
    <n v="0"/>
    <x v="1"/>
    <n v="0"/>
    <n v="18"/>
    <n v="22"/>
    <n v="66"/>
    <n v="52.15"/>
    <n v="62.57"/>
    <n v="397.62"/>
    <n v="57.437679027724307"/>
    <n v="75.886085105957733"/>
    <n v="351.67159959099928"/>
    <n v="-8344"/>
    <n v="-297.58292"/>
    <n v="-1891.0807200000002"/>
    <n v="-9190.0286444358899"/>
    <n v="-360.91422076393502"/>
    <n v="-1672.5501276547927"/>
  </r>
  <r>
    <s v="Regular"/>
    <x v="1"/>
    <x v="0"/>
    <x v="0"/>
    <x v="0"/>
    <x v="0"/>
    <x v="0"/>
    <x v="2"/>
    <x v="0"/>
    <n v="60"/>
    <n v="60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3129"/>
    <n v="0"/>
    <n v="0"/>
    <n v="3446.2607416634582"/>
    <n v="0"/>
    <n v="0"/>
  </r>
  <r>
    <s v="Regular"/>
    <x v="1"/>
    <x v="0"/>
    <x v="0"/>
    <x v="0"/>
    <x v="0"/>
    <x v="0"/>
    <x v="2"/>
    <x v="1"/>
    <n v="6084"/>
    <n v="6084"/>
    <n v="254.88300000000001"/>
    <n v="254.88300000000001"/>
    <n v="254.88300000000001"/>
    <n v="254.88300000000001"/>
    <n v="0"/>
    <x v="1"/>
    <n v="0"/>
    <n v="18"/>
    <n v="22"/>
    <n v="66"/>
    <n v="52.15"/>
    <n v="62.57"/>
    <n v="397.62"/>
    <n v="57.437679027724307"/>
    <n v="75.886085105957733"/>
    <n v="351.67159959099928"/>
    <n v="317280.59999999998"/>
    <n v="15948.02931"/>
    <n v="101346.57846"/>
    <n v="349450.8392046747"/>
    <n v="19342.073030061827"/>
    <n v="89635.112318552667"/>
  </r>
  <r>
    <s v="Sistema de Compensação"/>
    <x v="1"/>
    <x v="0"/>
    <x v="0"/>
    <x v="0"/>
    <x v="0"/>
    <x v="0"/>
    <x v="2"/>
    <x v="1"/>
    <n v="115"/>
    <n v="115"/>
    <n v="2.552"/>
    <n v="2.552"/>
    <n v="2.552"/>
    <n v="2.552"/>
    <n v="0"/>
    <x v="1"/>
    <n v="0"/>
    <n v="18"/>
    <n v="22"/>
    <n v="66"/>
    <n v="52.15"/>
    <n v="62.57"/>
    <n v="397.62"/>
    <n v="57.437679027724307"/>
    <n v="75.886085105957733"/>
    <n v="351.67159959099928"/>
    <n v="5997.25"/>
    <n v="159.67864"/>
    <n v="1014.7262400000001"/>
    <n v="6605.3330881882957"/>
    <n v="193.66128919040415"/>
    <n v="897.46592215623014"/>
  </r>
  <r>
    <s v="Regular"/>
    <x v="1"/>
    <x v="0"/>
    <x v="0"/>
    <x v="0"/>
    <x v="0"/>
    <x v="0"/>
    <x v="2"/>
    <x v="2"/>
    <n v="5786"/>
    <n v="5786"/>
    <n v="246.70400000000001"/>
    <n v="246.70400000000001"/>
    <n v="246.70400000000001"/>
    <n v="246.70400000000001"/>
    <n v="0"/>
    <x v="1"/>
    <n v="0"/>
    <n v="18"/>
    <n v="22"/>
    <n v="66"/>
    <n v="52.15"/>
    <n v="62.57"/>
    <n v="397.62"/>
    <n v="57.437679027724307"/>
    <n v="75.886085105957733"/>
    <n v="351.67159959099928"/>
    <n v="301739.89999999997"/>
    <n v="15436.26928"/>
    <n v="98094.444480000006"/>
    <n v="332334.41085441282"/>
    <n v="18721.400739980196"/>
    <n v="86758.790305497881"/>
  </r>
  <r>
    <s v="Sistema de Compensação"/>
    <x v="1"/>
    <x v="0"/>
    <x v="0"/>
    <x v="0"/>
    <x v="0"/>
    <x v="0"/>
    <x v="2"/>
    <x v="2"/>
    <n v="122"/>
    <n v="122"/>
    <n v="3.6480000000000001"/>
    <n v="3.6480000000000001"/>
    <n v="3.6480000000000001"/>
    <n v="3.6480000000000001"/>
    <n v="0"/>
    <x v="1"/>
    <n v="0"/>
    <n v="18"/>
    <n v="22"/>
    <n v="66"/>
    <n v="52.15"/>
    <n v="62.57"/>
    <n v="397.62"/>
    <n v="57.437679027724307"/>
    <n v="75.886085105957733"/>
    <n v="351.67159959099928"/>
    <n v="6362.3"/>
    <n v="228.25536"/>
    <n v="1450.5177600000002"/>
    <n v="7007.3968413823659"/>
    <n v="276.8324384665338"/>
    <n v="1282.8979953079654"/>
  </r>
  <r>
    <s v="Regular"/>
    <x v="1"/>
    <x v="0"/>
    <x v="0"/>
    <x v="0"/>
    <x v="0"/>
    <x v="0"/>
    <x v="2"/>
    <x v="3"/>
    <n v="6109"/>
    <n v="6109"/>
    <n v="256.95400000000001"/>
    <n v="256.95400000000001"/>
    <n v="256.95400000000001"/>
    <n v="256.95400000000001"/>
    <n v="0"/>
    <x v="1"/>
    <n v="0"/>
    <n v="18"/>
    <n v="22"/>
    <n v="66"/>
    <n v="52.15"/>
    <n v="62.57"/>
    <n v="397.62"/>
    <n v="57.437679027724307"/>
    <n v="75.886085105957733"/>
    <n v="351.67159959099928"/>
    <n v="318584.34999999998"/>
    <n v="16077.611780000001"/>
    <n v="102170.04948"/>
    <n v="350886.78118036781"/>
    <n v="19499.233112316262"/>
    <n v="90363.424201305636"/>
  </r>
  <r>
    <s v="Sistema de Compensação"/>
    <x v="1"/>
    <x v="0"/>
    <x v="0"/>
    <x v="0"/>
    <x v="0"/>
    <x v="0"/>
    <x v="2"/>
    <x v="3"/>
    <n v="129"/>
    <n v="129"/>
    <n v="4.766"/>
    <n v="4.766"/>
    <n v="4.766"/>
    <n v="4.766"/>
    <n v="0"/>
    <x v="1"/>
    <n v="0"/>
    <n v="18"/>
    <n v="22"/>
    <n v="66"/>
    <n v="52.15"/>
    <n v="62.57"/>
    <n v="397.62"/>
    <n v="57.437679027724307"/>
    <n v="75.886085105957733"/>
    <n v="351.67159959099928"/>
    <n v="6727.3499999999995"/>
    <n v="298.20862"/>
    <n v="1895.05692"/>
    <n v="7409.4605945764361"/>
    <n v="361.67308161499454"/>
    <n v="1676.0668436507026"/>
  </r>
  <r>
    <s v="Regular"/>
    <x v="1"/>
    <x v="0"/>
    <x v="0"/>
    <x v="0"/>
    <x v="0"/>
    <x v="0"/>
    <x v="2"/>
    <x v="4"/>
    <n v="6571"/>
    <n v="6571"/>
    <n v="298.80500000000001"/>
    <n v="298.80500000000001"/>
    <n v="298.80500000000001"/>
    <n v="298.80500000000001"/>
    <n v="0"/>
    <x v="1"/>
    <n v="0"/>
    <n v="18"/>
    <n v="22"/>
    <n v="66"/>
    <n v="52.15"/>
    <n v="62.57"/>
    <n v="397.62"/>
    <n v="57.437679027724307"/>
    <n v="75.886085105957733"/>
    <n v="351.67159959099928"/>
    <n v="342677.64999999997"/>
    <n v="18696.22885"/>
    <n v="118810.8441"/>
    <n v="377422.98889117641"/>
    <n v="22675.141660085701"/>
    <n v="105081.23231578854"/>
  </r>
  <r>
    <s v="Sistema de Compensação"/>
    <x v="1"/>
    <x v="0"/>
    <x v="0"/>
    <x v="0"/>
    <x v="0"/>
    <x v="0"/>
    <x v="2"/>
    <x v="4"/>
    <n v="135"/>
    <n v="135"/>
    <n v="4.1790000000000003"/>
    <n v="4.1790000000000003"/>
    <n v="4.1790000000000003"/>
    <n v="4.1790000000000003"/>
    <n v="0"/>
    <x v="1"/>
    <n v="0"/>
    <n v="18"/>
    <n v="22"/>
    <n v="66"/>
    <n v="52.15"/>
    <n v="62.57"/>
    <n v="397.62"/>
    <n v="57.437679027724307"/>
    <n v="75.886085105957733"/>
    <n v="351.67159959099928"/>
    <n v="7040.25"/>
    <n v="261.48003"/>
    <n v="1661.65398"/>
    <n v="7754.0866687427815"/>
    <n v="317.12794965779739"/>
    <n v="1469.635614690786"/>
  </r>
  <r>
    <s v="Regular"/>
    <x v="1"/>
    <x v="0"/>
    <x v="0"/>
    <x v="0"/>
    <x v="0"/>
    <x v="0"/>
    <x v="2"/>
    <x v="5"/>
    <n v="6545"/>
    <n v="6545"/>
    <n v="274.87299999999999"/>
    <n v="274.87299999999999"/>
    <n v="274.87299999999999"/>
    <n v="274.87299999999999"/>
    <n v="0"/>
    <x v="1"/>
    <n v="0"/>
    <n v="18"/>
    <n v="22"/>
    <n v="66"/>
    <n v="52.15"/>
    <n v="62.57"/>
    <n v="397.62"/>
    <n v="57.437679027724307"/>
    <n v="75.886085105957733"/>
    <n v="351.67159959099928"/>
    <n v="341321.75"/>
    <n v="17198.803609999999"/>
    <n v="109295.00225999999"/>
    <n v="375929.60923645558"/>
    <n v="20859.035871329917"/>
    <n v="96665.027594376748"/>
  </r>
  <r>
    <s v="Refaturamento - Regular"/>
    <x v="1"/>
    <x v="0"/>
    <x v="0"/>
    <x v="0"/>
    <x v="0"/>
    <x v="0"/>
    <x v="2"/>
    <x v="5"/>
    <n v="7"/>
    <n v="7"/>
    <n v="0"/>
    <n v="0"/>
    <n v="0"/>
    <n v="0"/>
    <n v="0"/>
    <x v="1"/>
    <n v="0"/>
    <n v="18"/>
    <n v="0"/>
    <n v="0"/>
    <n v="52.15"/>
    <n v="0"/>
    <n v="0"/>
    <n v="57.437679027724307"/>
    <n v="75.886085105957733"/>
    <n v="351.67159959099928"/>
    <n v="365.05"/>
    <n v="0"/>
    <n v="0"/>
    <n v="402.06375319407016"/>
    <n v="0"/>
    <n v="0"/>
  </r>
  <r>
    <s v="Sistema de Compensação"/>
    <x v="1"/>
    <x v="0"/>
    <x v="0"/>
    <x v="0"/>
    <x v="0"/>
    <x v="0"/>
    <x v="2"/>
    <x v="5"/>
    <n v="338"/>
    <n v="338"/>
    <n v="14.587999999999999"/>
    <n v="14.587999999999999"/>
    <n v="14.587999999999999"/>
    <n v="14.587999999999999"/>
    <n v="0"/>
    <x v="1"/>
    <n v="0"/>
    <n v="18"/>
    <n v="22"/>
    <n v="66"/>
    <n v="52.15"/>
    <n v="62.57"/>
    <n v="397.62"/>
    <n v="57.437679027724307"/>
    <n v="75.886085105957733"/>
    <n v="351.67159959099928"/>
    <n v="17626.7"/>
    <n v="912.77116000000001"/>
    <n v="5800.48056"/>
    <n v="19413.935511370815"/>
    <n v="1107.0262095257112"/>
    <n v="5130.1852948334972"/>
  </r>
  <r>
    <s v="Regular"/>
    <x v="1"/>
    <x v="0"/>
    <x v="0"/>
    <x v="0"/>
    <x v="0"/>
    <x v="0"/>
    <x v="2"/>
    <x v="6"/>
    <n v="6769"/>
    <n v="6769"/>
    <n v="270.89"/>
    <n v="270.89"/>
    <n v="270.89"/>
    <n v="270.89"/>
    <n v="0"/>
    <x v="1"/>
    <n v="0"/>
    <n v="18"/>
    <n v="22"/>
    <n v="66"/>
    <n v="52.15"/>
    <n v="62.57"/>
    <n v="397.62"/>
    <n v="57.437679027724307"/>
    <n v="75.886085105957733"/>
    <n v="351.67159959099928"/>
    <n v="353003.35"/>
    <n v="16949.587299999999"/>
    <n v="107711.2818"/>
    <n v="388795.64933866583"/>
    <n v="20556.781594352888"/>
    <n v="95264.319613205793"/>
  </r>
  <r>
    <s v="Sistema de Compensação"/>
    <x v="1"/>
    <x v="0"/>
    <x v="0"/>
    <x v="0"/>
    <x v="0"/>
    <x v="0"/>
    <x v="2"/>
    <x v="6"/>
    <n v="332"/>
    <n v="332"/>
    <n v="13.218999999999999"/>
    <n v="13.218999999999999"/>
    <n v="13.218999999999999"/>
    <n v="13.218999999999999"/>
    <n v="0"/>
    <x v="1"/>
    <n v="0"/>
    <n v="18"/>
    <n v="22"/>
    <n v="66"/>
    <n v="52.15"/>
    <n v="62.57"/>
    <n v="397.62"/>
    <n v="57.437679027724307"/>
    <n v="75.886085105957733"/>
    <n v="351.67159959099928"/>
    <n v="17313.8"/>
    <n v="827.11282999999992"/>
    <n v="5256.1387800000002"/>
    <n v="19069.309437204469"/>
    <n v="1003.1381590156552"/>
    <n v="4648.7468749934196"/>
  </r>
  <r>
    <s v="Regular"/>
    <x v="1"/>
    <x v="0"/>
    <x v="0"/>
    <x v="0"/>
    <x v="0"/>
    <x v="0"/>
    <x v="2"/>
    <x v="7"/>
    <n v="6831"/>
    <n v="6831"/>
    <n v="295.435"/>
    <n v="295.435"/>
    <n v="295.435"/>
    <n v="295.435"/>
    <n v="0"/>
    <x v="1"/>
    <n v="0"/>
    <n v="18"/>
    <n v="22"/>
    <n v="66"/>
    <n v="52.15"/>
    <n v="62.57"/>
    <n v="397.62"/>
    <n v="57.437679027724307"/>
    <n v="75.886085105957733"/>
    <n v="351.67159959099928"/>
    <n v="356236.64999999997"/>
    <n v="18485.36795"/>
    <n v="117470.86470000001"/>
    <n v="392356.78543838474"/>
    <n v="22419.405553278622"/>
    <n v="103896.09902516687"/>
  </r>
  <r>
    <s v="Sistema de Compensação"/>
    <x v="1"/>
    <x v="0"/>
    <x v="0"/>
    <x v="0"/>
    <x v="0"/>
    <x v="0"/>
    <x v="2"/>
    <x v="7"/>
    <n v="260"/>
    <n v="260"/>
    <n v="11.763"/>
    <n v="11.763"/>
    <n v="11.763"/>
    <n v="11.763"/>
    <n v="0"/>
    <x v="1"/>
    <n v="0"/>
    <n v="18"/>
    <n v="22"/>
    <n v="66"/>
    <n v="52.15"/>
    <n v="62.57"/>
    <n v="397.62"/>
    <n v="57.437679027724307"/>
    <n v="75.886085105957733"/>
    <n v="351.67159959099928"/>
    <n v="13559"/>
    <n v="736.01090999999997"/>
    <n v="4677.20406"/>
    <n v="14933.79654720832"/>
    <n v="892.64801910138078"/>
    <n v="4136.7130259889245"/>
  </r>
  <r>
    <s v="Regular"/>
    <x v="1"/>
    <x v="0"/>
    <x v="0"/>
    <x v="0"/>
    <x v="0"/>
    <x v="0"/>
    <x v="2"/>
    <x v="8"/>
    <n v="6993"/>
    <n v="6993"/>
    <n v="264.53500000000003"/>
    <n v="264.53500000000003"/>
    <n v="264.53500000000003"/>
    <n v="264.53500000000003"/>
    <n v="0"/>
    <x v="1"/>
    <n v="0"/>
    <n v="18"/>
    <n v="22"/>
    <n v="66"/>
    <n v="52.15"/>
    <n v="62.57"/>
    <n v="397.62"/>
    <n v="57.437679027724307"/>
    <n v="75.886085105957733"/>
    <n v="351.67159959099928"/>
    <n v="364684.95"/>
    <n v="16551.954950000003"/>
    <n v="105184.40670000001"/>
    <n v="401661.68944087607"/>
    <n v="20074.52552350453"/>
    <n v="93029.446597804999"/>
  </r>
  <r>
    <s v="Refaturamento - Regular"/>
    <x v="1"/>
    <x v="0"/>
    <x v="0"/>
    <x v="0"/>
    <x v="0"/>
    <x v="0"/>
    <x v="2"/>
    <x v="8"/>
    <n v="0"/>
    <n v="0"/>
    <n v="-0.50900000000000001"/>
    <n v="-0.50900000000000001"/>
    <n v="-0.50900000000000001"/>
    <n v="-0.50900000000000001"/>
    <n v="0"/>
    <x v="1"/>
    <n v="0"/>
    <n v="0"/>
    <n v="22"/>
    <n v="66"/>
    <n v="0"/>
    <n v="62.57"/>
    <n v="397.62"/>
    <n v="57.437679027724307"/>
    <n v="75.886085105957733"/>
    <n v="351.67159959099928"/>
    <n v="0"/>
    <n v="-31.848130000000001"/>
    <n v="-202.38858000000002"/>
    <n v="0"/>
    <n v="-38.626017318932483"/>
    <n v="-179.00084419181863"/>
  </r>
  <r>
    <s v="Sistema de Compensação"/>
    <x v="1"/>
    <x v="0"/>
    <x v="0"/>
    <x v="0"/>
    <x v="0"/>
    <x v="0"/>
    <x v="2"/>
    <x v="8"/>
    <n v="255"/>
    <n v="255"/>
    <n v="10.176"/>
    <n v="10.176"/>
    <n v="10.176"/>
    <n v="10.176"/>
    <n v="0"/>
    <x v="1"/>
    <n v="0"/>
    <n v="18"/>
    <n v="22"/>
    <n v="66"/>
    <n v="52.15"/>
    <n v="62.57"/>
    <n v="397.62"/>
    <n v="57.437679027724307"/>
    <n v="75.886085105957733"/>
    <n v="351.67159959099928"/>
    <n v="13298.25"/>
    <n v="636.71231999999998"/>
    <n v="4046.1811200000002"/>
    <n v="14646.608152069699"/>
    <n v="772.21680203822586"/>
    <n v="3578.6101974380085"/>
  </r>
  <r>
    <s v="Regular"/>
    <x v="1"/>
    <x v="0"/>
    <x v="0"/>
    <x v="0"/>
    <x v="0"/>
    <x v="0"/>
    <x v="2"/>
    <x v="9"/>
    <n v="6752"/>
    <n v="6752"/>
    <n v="278.20499999999998"/>
    <n v="278.20499999999998"/>
    <n v="278.20499999999998"/>
    <n v="278.20499999999998"/>
    <n v="0"/>
    <x v="1"/>
    <n v="0"/>
    <n v="18"/>
    <n v="22"/>
    <n v="66"/>
    <n v="52.15"/>
    <n v="62.57"/>
    <n v="397.62"/>
    <n v="57.437679027724307"/>
    <n v="75.886085105957733"/>
    <n v="351.67159959099928"/>
    <n v="352116.8"/>
    <n v="17407.28685"/>
    <n v="110619.87209999999"/>
    <n v="387819.20879519451"/>
    <n v="21111.888306902969"/>
    <n v="97836.797364213955"/>
  </r>
  <r>
    <s v="Refaturamento - Regular"/>
    <x v="1"/>
    <x v="0"/>
    <x v="0"/>
    <x v="0"/>
    <x v="0"/>
    <x v="0"/>
    <x v="2"/>
    <x v="9"/>
    <n v="-48"/>
    <n v="-48"/>
    <n v="-1.282"/>
    <n v="-1.282"/>
    <n v="-1.282"/>
    <n v="-1.282"/>
    <n v="0"/>
    <x v="1"/>
    <n v="0"/>
    <n v="18"/>
    <n v="22"/>
    <n v="66"/>
    <n v="52.15"/>
    <n v="62.57"/>
    <n v="397.62"/>
    <n v="57.437679027724307"/>
    <n v="75.886085105957733"/>
    <n v="351.67159959099928"/>
    <n v="-2503.1999999999998"/>
    <n v="-80.214740000000006"/>
    <n v="-509.74884000000003"/>
    <n v="-2757.0085933307669"/>
    <n v="-97.285961105837814"/>
    <n v="-450.8429906756611"/>
  </r>
  <r>
    <s v="Sistema de Compensação"/>
    <x v="1"/>
    <x v="0"/>
    <x v="0"/>
    <x v="0"/>
    <x v="0"/>
    <x v="0"/>
    <x v="2"/>
    <x v="9"/>
    <n v="514"/>
    <n v="514"/>
    <n v="16.263999999999999"/>
    <n v="16.263999999999999"/>
    <n v="16.263999999999999"/>
    <n v="16.263999999999999"/>
    <n v="0"/>
    <x v="1"/>
    <n v="0"/>
    <n v="18"/>
    <n v="22"/>
    <n v="66"/>
    <n v="52.15"/>
    <n v="62.57"/>
    <n v="397.62"/>
    <n v="57.437679027724307"/>
    <n v="75.886085105957733"/>
    <n v="351.67159959099928"/>
    <n v="26805.1"/>
    <n v="1017.63848"/>
    <n v="6466.8916799999997"/>
    <n v="29522.967020250293"/>
    <n v="1234.2112881632966"/>
    <n v="5719.5868957480125"/>
  </r>
  <r>
    <s v="Regular"/>
    <x v="1"/>
    <x v="0"/>
    <x v="0"/>
    <x v="0"/>
    <x v="0"/>
    <x v="0"/>
    <x v="2"/>
    <x v="10"/>
    <n v="6464"/>
    <n v="6464"/>
    <n v="248.37100000000001"/>
    <n v="248.37100000000001"/>
    <n v="248.37100000000001"/>
    <n v="248.37100000000001"/>
    <n v="0"/>
    <x v="1"/>
    <n v="0"/>
    <n v="18"/>
    <n v="22"/>
    <n v="66"/>
    <n v="52.15"/>
    <n v="62.57"/>
    <n v="397.62"/>
    <n v="57.437679027724307"/>
    <n v="75.886085105957733"/>
    <n v="351.67159959099928"/>
    <n v="337097.6"/>
    <n v="15540.573470000001"/>
    <n v="98757.277020000009"/>
    <n v="371277.15723520995"/>
    <n v="18847.902843851829"/>
    <n v="87345.026862016079"/>
  </r>
  <r>
    <s v="Sistema de Compensação"/>
    <x v="1"/>
    <x v="0"/>
    <x v="0"/>
    <x v="0"/>
    <x v="0"/>
    <x v="0"/>
    <x v="2"/>
    <x v="10"/>
    <n v="557"/>
    <n v="557"/>
    <n v="13.986000000000001"/>
    <n v="13.986000000000001"/>
    <n v="13.986000000000001"/>
    <n v="13.986000000000001"/>
    <n v="0"/>
    <x v="1"/>
    <n v="0"/>
    <n v="18"/>
    <n v="22"/>
    <n v="66"/>
    <n v="52.15"/>
    <n v="62.57"/>
    <n v="397.62"/>
    <n v="57.437679027724307"/>
    <n v="75.886085105957733"/>
    <n v="351.67159959099928"/>
    <n v="29047.55"/>
    <n v="875.10401999999999"/>
    <n v="5561.1133200000004"/>
    <n v="31992.787218442438"/>
    <n v="1061.342786291925"/>
    <n v="4918.478991879716"/>
  </r>
  <r>
    <s v="PROJETADO"/>
    <x v="1"/>
    <x v="0"/>
    <x v="0"/>
    <x v="0"/>
    <x v="0"/>
    <x v="0"/>
    <x v="2"/>
    <x v="11"/>
    <n v="6464"/>
    <n v="6464"/>
    <n v="248.37100000000001"/>
    <n v="248.37100000000001"/>
    <n v="248.37100000000001"/>
    <n v="248.37100000000001"/>
    <n v="0"/>
    <x v="1"/>
    <n v="0"/>
    <n v="18"/>
    <n v="22"/>
    <n v="66"/>
    <n v="52.15"/>
    <n v="62.57"/>
    <n v="397.62"/>
    <n v="57.437679027724307"/>
    <n v="75.886085105957733"/>
    <n v="351.67159959099928"/>
    <n v="337097.6"/>
    <n v="15540.573470000001"/>
    <n v="98757.277020000009"/>
    <n v="371277.15723520995"/>
    <n v="18847.902843851829"/>
    <n v="87345.026862016079"/>
  </r>
  <r>
    <s v="PROJETADO"/>
    <x v="1"/>
    <x v="0"/>
    <x v="0"/>
    <x v="0"/>
    <x v="0"/>
    <x v="0"/>
    <x v="2"/>
    <x v="11"/>
    <n v="557"/>
    <n v="557"/>
    <n v="13.986000000000001"/>
    <n v="13.986000000000001"/>
    <n v="13.986000000000001"/>
    <n v="13.986000000000001"/>
    <n v="0"/>
    <x v="1"/>
    <n v="0"/>
    <n v="18"/>
    <n v="22"/>
    <n v="66"/>
    <n v="52.15"/>
    <n v="62.57"/>
    <n v="397.62"/>
    <n v="57.437679027724307"/>
    <n v="75.886085105957733"/>
    <n v="351.67159959099928"/>
    <n v="29047.55"/>
    <n v="875.10401999999999"/>
    <n v="5561.1133200000004"/>
    <n v="31992.787218442438"/>
    <n v="1061.342786291925"/>
    <n v="4918.478991879716"/>
  </r>
  <r>
    <s v="Regular"/>
    <x v="1"/>
    <x v="0"/>
    <x v="1"/>
    <x v="0"/>
    <x v="1"/>
    <x v="0"/>
    <x v="0"/>
    <x v="0"/>
    <n v="14719"/>
    <n v="7359.5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192966.09"/>
    <n v="0"/>
    <n v="0"/>
    <n v="212628.8877321335"/>
    <n v="0"/>
    <n v="0"/>
  </r>
  <r>
    <s v="Regular"/>
    <x v="1"/>
    <x v="0"/>
    <x v="1"/>
    <x v="0"/>
    <x v="1"/>
    <x v="0"/>
    <x v="0"/>
    <x v="1"/>
    <n v="14708"/>
    <n v="7354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192821.88"/>
    <n v="0"/>
    <n v="0"/>
    <n v="212469.98306707109"/>
    <n v="0"/>
    <n v="0"/>
  </r>
  <r>
    <s v="Regular"/>
    <x v="1"/>
    <x v="0"/>
    <x v="1"/>
    <x v="0"/>
    <x v="1"/>
    <x v="0"/>
    <x v="0"/>
    <x v="2"/>
    <n v="14677"/>
    <n v="8806.2000000000007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230898.56400000001"/>
    <n v="0"/>
    <n v="0"/>
    <n v="254426.59299500159"/>
    <n v="0"/>
    <n v="0"/>
  </r>
  <r>
    <s v="Regular"/>
    <x v="1"/>
    <x v="0"/>
    <x v="1"/>
    <x v="0"/>
    <x v="1"/>
    <x v="0"/>
    <x v="0"/>
    <x v="3"/>
    <n v="18485"/>
    <n v="9242.5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242338.34999999998"/>
    <n v="0"/>
    <n v="0"/>
    <n v="267032.0666980425"/>
    <n v="0"/>
    <n v="0"/>
  </r>
  <r>
    <s v="Regular"/>
    <x v="1"/>
    <x v="0"/>
    <x v="1"/>
    <x v="0"/>
    <x v="1"/>
    <x v="0"/>
    <x v="0"/>
    <x v="4"/>
    <n v="18851"/>
    <n v="9236.99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242193.87779999999"/>
    <n v="0"/>
    <n v="0"/>
    <n v="266872.87311540724"/>
    <n v="0"/>
    <n v="0"/>
  </r>
  <r>
    <s v="Regular"/>
    <x v="1"/>
    <x v="0"/>
    <x v="1"/>
    <x v="0"/>
    <x v="1"/>
    <x v="0"/>
    <x v="0"/>
    <x v="5"/>
    <n v="18785"/>
    <n v="9204.65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241345.92299999998"/>
    <n v="0"/>
    <n v="0"/>
    <n v="265938.51368484035"/>
    <n v="0"/>
    <n v="0"/>
  </r>
  <r>
    <s v="Regular"/>
    <x v="1"/>
    <x v="0"/>
    <x v="1"/>
    <x v="0"/>
    <x v="1"/>
    <x v="0"/>
    <x v="0"/>
    <x v="6"/>
    <n v="18838"/>
    <n v="9230.6200000000008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242026.85640000002"/>
    <n v="0"/>
    <n v="0"/>
    <n v="266688.83262150775"/>
    <n v="0"/>
    <n v="0"/>
  </r>
  <r>
    <s v="Regular"/>
    <x v="1"/>
    <x v="0"/>
    <x v="1"/>
    <x v="0"/>
    <x v="1"/>
    <x v="0"/>
    <x v="0"/>
    <x v="7"/>
    <n v="18847"/>
    <n v="9235.0300000000007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242142.4866"/>
    <n v="0"/>
    <n v="0"/>
    <n v="266816.24527113052"/>
    <n v="0"/>
    <n v="0"/>
  </r>
  <r>
    <s v="Regular"/>
    <x v="1"/>
    <x v="0"/>
    <x v="1"/>
    <x v="0"/>
    <x v="1"/>
    <x v="0"/>
    <x v="0"/>
    <x v="8"/>
    <n v="19668"/>
    <n v="10227.36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268161.37920000002"/>
    <n v="0"/>
    <n v="0"/>
    <n v="295486.40277683444"/>
    <n v="0"/>
    <n v="0"/>
  </r>
  <r>
    <s v="Refaturamento - Regular"/>
    <x v="1"/>
    <x v="0"/>
    <x v="1"/>
    <x v="0"/>
    <x v="1"/>
    <x v="0"/>
    <x v="0"/>
    <x v="8"/>
    <n v="-530"/>
    <n v="-530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-13896.599999999999"/>
    <n v="0"/>
    <n v="0"/>
    <n v="-15312.631360558566"/>
    <n v="0"/>
    <n v="0"/>
  </r>
  <r>
    <s v="Regular"/>
    <x v="1"/>
    <x v="0"/>
    <x v="1"/>
    <x v="0"/>
    <x v="1"/>
    <x v="0"/>
    <x v="0"/>
    <x v="9"/>
    <n v="19571"/>
    <n v="10176.92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266838.84239999996"/>
    <n v="0"/>
    <n v="0"/>
    <n v="294029.10253942577"/>
    <n v="0"/>
    <n v="0"/>
  </r>
  <r>
    <s v="Regular"/>
    <x v="1"/>
    <x v="0"/>
    <x v="1"/>
    <x v="0"/>
    <x v="1"/>
    <x v="0"/>
    <x v="0"/>
    <x v="10"/>
    <n v="19622"/>
    <n v="10203.44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267534.19679999998"/>
    <n v="0"/>
    <n v="0"/>
    <n v="294795.31194259942"/>
    <n v="0"/>
    <n v="0"/>
  </r>
  <r>
    <s v="PROJETADO"/>
    <x v="1"/>
    <x v="0"/>
    <x v="1"/>
    <x v="0"/>
    <x v="1"/>
    <x v="0"/>
    <x v="0"/>
    <x v="11"/>
    <n v="19622"/>
    <n v="10203.44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267534.19679999998"/>
    <n v="0"/>
    <n v="0"/>
    <n v="294795.31194259942"/>
    <n v="0"/>
    <n v="0"/>
  </r>
  <r>
    <s v="Regular"/>
    <x v="1"/>
    <x v="0"/>
    <x v="1"/>
    <x v="0"/>
    <x v="1"/>
    <x v="0"/>
    <x v="1"/>
    <x v="0"/>
    <n v="0"/>
    <n v="0"/>
    <n v="5800.2359999999999"/>
    <n v="5800.2359999999999"/>
    <n v="0"/>
    <n v="0"/>
    <n v="33"/>
    <x v="0"/>
    <n v="0"/>
    <n v="0"/>
    <n v="22"/>
    <n v="0"/>
    <n v="0"/>
    <n v="62.57"/>
    <n v="0"/>
    <m/>
    <n v="75.886085105957733"/>
    <m/>
    <n v="0"/>
    <n v="362920.76652"/>
    <n v="0"/>
    <n v="0"/>
    <n v="440157.20273063984"/>
    <n v="0"/>
  </r>
  <r>
    <s v="Regular"/>
    <x v="1"/>
    <x v="0"/>
    <x v="1"/>
    <x v="0"/>
    <x v="1"/>
    <x v="0"/>
    <x v="1"/>
    <x v="1"/>
    <n v="0"/>
    <n v="0"/>
    <n v="5742.8829999999998"/>
    <n v="5742.8829999999998"/>
    <n v="0"/>
    <n v="0"/>
    <n v="33"/>
    <x v="0"/>
    <n v="0"/>
    <n v="0"/>
    <n v="22"/>
    <n v="0"/>
    <n v="0"/>
    <n v="62.57"/>
    <n v="0"/>
    <m/>
    <n v="75.886085105957733"/>
    <m/>
    <n v="0"/>
    <n v="359332.18930999999"/>
    <n v="0"/>
    <n v="0"/>
    <n v="435804.90809155785"/>
    <n v="0"/>
  </r>
  <r>
    <s v="Regular"/>
    <x v="1"/>
    <x v="0"/>
    <x v="1"/>
    <x v="0"/>
    <x v="1"/>
    <x v="0"/>
    <x v="1"/>
    <x v="2"/>
    <n v="0"/>
    <n v="0"/>
    <n v="5807.5169999999998"/>
    <n v="5807.5169999999998"/>
    <n v="0"/>
    <n v="0"/>
    <n v="33"/>
    <x v="0"/>
    <n v="0"/>
    <n v="0"/>
    <n v="22"/>
    <n v="0"/>
    <n v="0"/>
    <n v="62.57"/>
    <n v="0"/>
    <m/>
    <n v="75.886085105957733"/>
    <m/>
    <n v="0"/>
    <n v="363376.33869"/>
    <n v="0"/>
    <n v="0"/>
    <n v="440709.72931629635"/>
    <n v="0"/>
  </r>
  <r>
    <s v="Regular"/>
    <x v="1"/>
    <x v="0"/>
    <x v="1"/>
    <x v="0"/>
    <x v="1"/>
    <x v="0"/>
    <x v="1"/>
    <x v="3"/>
    <n v="0"/>
    <n v="0"/>
    <n v="7795.9849999999997"/>
    <n v="7795.9849999999997"/>
    <n v="0"/>
    <n v="0"/>
    <n v="35"/>
    <x v="0"/>
    <n v="0"/>
    <n v="0"/>
    <n v="22"/>
    <n v="0"/>
    <n v="0"/>
    <n v="62.57"/>
    <n v="0"/>
    <m/>
    <n v="75.886085105957733"/>
    <m/>
    <n v="0"/>
    <n v="487794.78145000001"/>
    <n v="0"/>
    <n v="0"/>
    <n v="591606.78119476989"/>
    <n v="0"/>
  </r>
  <r>
    <s v="Regular"/>
    <x v="1"/>
    <x v="0"/>
    <x v="1"/>
    <x v="0"/>
    <x v="1"/>
    <x v="0"/>
    <x v="1"/>
    <x v="4"/>
    <n v="0"/>
    <n v="0"/>
    <n v="8006.0680000000002"/>
    <n v="8006.0680000000002"/>
    <n v="0"/>
    <n v="0"/>
    <n v="35"/>
    <x v="0"/>
    <n v="0"/>
    <n v="0"/>
    <n v="22"/>
    <n v="0"/>
    <n v="0"/>
    <n v="62.57"/>
    <n v="0"/>
    <m/>
    <n v="75.886085105957733"/>
    <m/>
    <n v="0"/>
    <n v="500939.67476000002"/>
    <n v="0"/>
    <n v="0"/>
    <n v="607549.15761208488"/>
    <n v="0"/>
  </r>
  <r>
    <s v="Regular"/>
    <x v="1"/>
    <x v="0"/>
    <x v="1"/>
    <x v="0"/>
    <x v="1"/>
    <x v="0"/>
    <x v="1"/>
    <x v="5"/>
    <n v="0"/>
    <n v="0"/>
    <n v="8472.1119999999992"/>
    <n v="8472.1119999999992"/>
    <n v="0"/>
    <n v="0"/>
    <n v="35"/>
    <x v="0"/>
    <n v="0"/>
    <n v="0"/>
    <n v="22"/>
    <n v="0"/>
    <n v="0"/>
    <n v="62.57"/>
    <n v="0"/>
    <m/>
    <n v="75.886085105957733"/>
    <m/>
    <n v="0"/>
    <n v="530100.0478399999"/>
    <n v="0"/>
    <n v="0"/>
    <n v="642915.41225920571"/>
    <n v="0"/>
  </r>
  <r>
    <s v="Regular"/>
    <x v="1"/>
    <x v="0"/>
    <x v="1"/>
    <x v="0"/>
    <x v="1"/>
    <x v="0"/>
    <x v="1"/>
    <x v="6"/>
    <n v="0"/>
    <n v="0"/>
    <n v="7630.09"/>
    <n v="7630.09"/>
    <n v="0"/>
    <n v="0"/>
    <n v="35"/>
    <x v="0"/>
    <n v="0"/>
    <n v="0"/>
    <n v="22"/>
    <n v="0"/>
    <n v="0"/>
    <n v="62.57"/>
    <n v="0"/>
    <m/>
    <n v="75.886085105957733"/>
    <m/>
    <n v="0"/>
    <n v="477414.73129999998"/>
    <n v="0"/>
    <n v="0"/>
    <n v="579017.65910611709"/>
    <n v="0"/>
  </r>
  <r>
    <s v="Regular"/>
    <x v="1"/>
    <x v="0"/>
    <x v="1"/>
    <x v="0"/>
    <x v="1"/>
    <x v="0"/>
    <x v="1"/>
    <x v="7"/>
    <n v="0"/>
    <n v="0"/>
    <n v="7194.3190000000004"/>
    <n v="7194.3190000000004"/>
    <n v="0"/>
    <n v="0"/>
    <n v="35"/>
    <x v="0"/>
    <n v="0"/>
    <n v="0"/>
    <n v="22"/>
    <n v="0"/>
    <n v="0"/>
    <n v="62.57"/>
    <n v="0"/>
    <m/>
    <n v="75.886085105957733"/>
    <m/>
    <n v="0"/>
    <n v="450148.53983000002"/>
    <n v="0"/>
    <n v="0"/>
    <n v="545948.7039134088"/>
    <n v="0"/>
  </r>
  <r>
    <s v="Regular"/>
    <x v="1"/>
    <x v="0"/>
    <x v="1"/>
    <x v="0"/>
    <x v="1"/>
    <x v="0"/>
    <x v="1"/>
    <x v="8"/>
    <n v="0"/>
    <n v="0"/>
    <n v="8225.7209999999995"/>
    <n v="8225.7209999999995"/>
    <n v="0"/>
    <n v="0"/>
    <n v="37"/>
    <x v="0"/>
    <n v="0"/>
    <n v="0"/>
    <n v="22"/>
    <n v="0"/>
    <n v="0"/>
    <n v="62.57"/>
    <n v="0"/>
    <m/>
    <n v="75.886085105957733"/>
    <m/>
    <n v="0"/>
    <n v="514683.36296999996"/>
    <n v="0"/>
    <n v="0"/>
    <n v="624217.76386386366"/>
    <n v="0"/>
  </r>
  <r>
    <s v="Regular"/>
    <x v="1"/>
    <x v="0"/>
    <x v="1"/>
    <x v="0"/>
    <x v="1"/>
    <x v="0"/>
    <x v="1"/>
    <x v="9"/>
    <n v="0"/>
    <n v="0"/>
    <n v="7602.5020000000004"/>
    <n v="7602.5020000000004"/>
    <n v="0"/>
    <n v="0"/>
    <n v="37"/>
    <x v="0"/>
    <n v="0"/>
    <n v="0"/>
    <n v="22"/>
    <n v="0"/>
    <n v="0"/>
    <n v="62.57"/>
    <n v="0"/>
    <m/>
    <n v="75.886085105957733"/>
    <m/>
    <n v="0"/>
    <n v="475688.55014000001"/>
    <n v="0"/>
    <n v="0"/>
    <n v="576924.11379021395"/>
    <n v="0"/>
  </r>
  <r>
    <s v="Regular"/>
    <x v="1"/>
    <x v="0"/>
    <x v="1"/>
    <x v="0"/>
    <x v="1"/>
    <x v="0"/>
    <x v="1"/>
    <x v="10"/>
    <n v="0"/>
    <n v="0"/>
    <n v="7974.6809999999996"/>
    <n v="7974.6809999999996"/>
    <n v="0"/>
    <n v="0"/>
    <n v="37"/>
    <x v="0"/>
    <n v="0"/>
    <n v="0"/>
    <n v="22"/>
    <n v="0"/>
    <n v="0"/>
    <n v="62.57"/>
    <n v="0"/>
    <m/>
    <n v="75.886085105957733"/>
    <m/>
    <n v="0"/>
    <n v="498975.79016999999"/>
    <n v="0"/>
    <n v="0"/>
    <n v="605167.32105886412"/>
    <n v="0"/>
  </r>
  <r>
    <s v="PROJETADO"/>
    <x v="1"/>
    <x v="0"/>
    <x v="1"/>
    <x v="0"/>
    <x v="1"/>
    <x v="0"/>
    <x v="1"/>
    <x v="11"/>
    <n v="0"/>
    <n v="0"/>
    <n v="7974.6809999999996"/>
    <n v="7974.6809999999996"/>
    <n v="0"/>
    <n v="0"/>
    <n v="37"/>
    <x v="0"/>
    <n v="0"/>
    <n v="0"/>
    <n v="22"/>
    <n v="0"/>
    <n v="0"/>
    <n v="62.57"/>
    <n v="0"/>
    <m/>
    <n v="75.886085105957733"/>
    <m/>
    <n v="0"/>
    <n v="498975.79016999999"/>
    <n v="0"/>
    <n v="0"/>
    <n v="605167.32105886412"/>
    <n v="0"/>
  </r>
  <r>
    <s v="Regular"/>
    <x v="1"/>
    <x v="0"/>
    <x v="1"/>
    <x v="0"/>
    <x v="1"/>
    <x v="0"/>
    <x v="2"/>
    <x v="0"/>
    <n v="12811"/>
    <n v="6533.61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340727.76149999996"/>
    <n v="0"/>
    <n v="0"/>
    <n v="375275.3940723298"/>
    <n v="0"/>
    <n v="0"/>
  </r>
  <r>
    <s v="Regular"/>
    <x v="1"/>
    <x v="0"/>
    <x v="1"/>
    <x v="0"/>
    <x v="1"/>
    <x v="0"/>
    <x v="2"/>
    <x v="1"/>
    <n v="12867"/>
    <n v="8878.23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462999.69449999998"/>
    <n v="0"/>
    <n v="0"/>
    <n v="509944.92507431278"/>
    <n v="0"/>
    <n v="0"/>
  </r>
  <r>
    <s v="Regular"/>
    <x v="1"/>
    <x v="0"/>
    <x v="1"/>
    <x v="0"/>
    <x v="1"/>
    <x v="0"/>
    <x v="2"/>
    <x v="2"/>
    <n v="12821"/>
    <n v="8333.65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434599.84749999997"/>
    <n v="0"/>
    <n v="0"/>
    <n v="478665.51382939465"/>
    <n v="0"/>
    <n v="0"/>
  </r>
  <r>
    <s v="Regular"/>
    <x v="1"/>
    <x v="0"/>
    <x v="1"/>
    <x v="0"/>
    <x v="1"/>
    <x v="0"/>
    <x v="2"/>
    <x v="3"/>
    <n v="16672"/>
    <n v="7502.4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391250.16"/>
    <n v="0"/>
    <n v="0"/>
    <n v="430920.44313759881"/>
    <n v="0"/>
    <n v="0"/>
  </r>
  <r>
    <s v="Regular"/>
    <x v="1"/>
    <x v="0"/>
    <x v="1"/>
    <x v="0"/>
    <x v="1"/>
    <x v="0"/>
    <x v="2"/>
    <x v="4"/>
    <n v="16924"/>
    <n v="8292.76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432467.43400000001"/>
    <n v="0"/>
    <n v="0"/>
    <n v="476316.88713395107"/>
    <n v="0"/>
    <n v="0"/>
  </r>
  <r>
    <s v="Regular"/>
    <x v="1"/>
    <x v="0"/>
    <x v="1"/>
    <x v="0"/>
    <x v="1"/>
    <x v="0"/>
    <x v="2"/>
    <x v="5"/>
    <n v="17070"/>
    <n v="8364.2999999999993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436198.24499999994"/>
    <n v="0"/>
    <n v="0"/>
    <n v="480425.97869159438"/>
    <n v="0"/>
    <n v="0"/>
  </r>
  <r>
    <s v="Regular"/>
    <x v="1"/>
    <x v="0"/>
    <x v="1"/>
    <x v="0"/>
    <x v="1"/>
    <x v="0"/>
    <x v="2"/>
    <x v="6"/>
    <n v="17129"/>
    <n v="8393.2099999999991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437705.90149999992"/>
    <n v="0"/>
    <n v="0"/>
    <n v="482086.50199228589"/>
    <n v="0"/>
    <n v="0"/>
  </r>
  <r>
    <s v="Regular"/>
    <x v="1"/>
    <x v="0"/>
    <x v="1"/>
    <x v="0"/>
    <x v="1"/>
    <x v="0"/>
    <x v="2"/>
    <x v="7"/>
    <n v="17115"/>
    <n v="8386.35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437348.15250000003"/>
    <n v="0"/>
    <n v="0"/>
    <n v="481692.47951415577"/>
    <n v="0"/>
    <n v="0"/>
  </r>
  <r>
    <s v="Regular"/>
    <x v="1"/>
    <x v="0"/>
    <x v="1"/>
    <x v="0"/>
    <x v="1"/>
    <x v="0"/>
    <x v="2"/>
    <x v="8"/>
    <n v="17674"/>
    <n v="9190.48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479283.53199999995"/>
    <n v="0"/>
    <n v="0"/>
    <n v="527879.84035071963"/>
    <n v="0"/>
    <n v="0"/>
  </r>
  <r>
    <s v="Refaturamento - Regular"/>
    <x v="1"/>
    <x v="0"/>
    <x v="1"/>
    <x v="0"/>
    <x v="1"/>
    <x v="0"/>
    <x v="2"/>
    <x v="8"/>
    <n v="1218"/>
    <n v="1218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63518.7"/>
    <n v="0"/>
    <n v="0"/>
    <n v="69959.0930557682"/>
    <n v="0"/>
    <n v="0"/>
  </r>
  <r>
    <s v="Regular"/>
    <x v="1"/>
    <x v="0"/>
    <x v="1"/>
    <x v="0"/>
    <x v="1"/>
    <x v="0"/>
    <x v="2"/>
    <x v="9"/>
    <n v="17739"/>
    <n v="9224.2800000000007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481046.20200000005"/>
    <n v="0"/>
    <n v="0"/>
    <n v="529821.23390185682"/>
    <n v="0"/>
    <n v="0"/>
  </r>
  <r>
    <s v="Regular"/>
    <x v="1"/>
    <x v="0"/>
    <x v="1"/>
    <x v="0"/>
    <x v="1"/>
    <x v="0"/>
    <x v="2"/>
    <x v="10"/>
    <n v="18007"/>
    <n v="9363.64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488313.82599999994"/>
    <n v="0"/>
    <n v="0"/>
    <n v="537825.7488511604"/>
    <n v="0"/>
    <n v="0"/>
  </r>
  <r>
    <s v="PROJETADO"/>
    <x v="1"/>
    <x v="0"/>
    <x v="1"/>
    <x v="0"/>
    <x v="1"/>
    <x v="0"/>
    <x v="2"/>
    <x v="11"/>
    <n v="18007"/>
    <n v="9363.64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488313.82599999994"/>
    <n v="0"/>
    <n v="0"/>
    <n v="537825.7488511604"/>
    <n v="0"/>
    <n v="0"/>
  </r>
  <r>
    <s v="Regular"/>
    <x v="1"/>
    <x v="0"/>
    <x v="1"/>
    <x v="0"/>
    <x v="0"/>
    <x v="0"/>
    <x v="0"/>
    <x v="0"/>
    <n v="1215"/>
    <n v="1215"/>
    <n v="164.822"/>
    <n v="164.822"/>
    <n v="164.822"/>
    <n v="164.822"/>
    <n v="0"/>
    <x v="1"/>
    <n v="0"/>
    <n v="20"/>
    <n v="22"/>
    <n v="67"/>
    <n v="26.22"/>
    <n v="62.57"/>
    <n v="242.82"/>
    <n v="28.891757284072764"/>
    <n v="75.886085105957733"/>
    <n v="224.53785920244138"/>
    <n v="31857.3"/>
    <n v="10312.912539999999"/>
    <n v="40022.07804"/>
    <n v="35103.485100148406"/>
    <n v="12507.696319334165"/>
    <n v="37008.779029464793"/>
  </r>
  <r>
    <s v="Sistema de Compensação"/>
    <x v="1"/>
    <x v="0"/>
    <x v="1"/>
    <x v="0"/>
    <x v="0"/>
    <x v="0"/>
    <x v="0"/>
    <x v="0"/>
    <n v="230"/>
    <n v="230"/>
    <n v="1.44"/>
    <n v="1.44"/>
    <n v="1.44"/>
    <n v="1.44"/>
    <n v="0"/>
    <x v="1"/>
    <n v="0"/>
    <n v="20"/>
    <n v="22"/>
    <n v="67"/>
    <n v="26.22"/>
    <n v="62.57"/>
    <n v="242.82"/>
    <n v="28.891757284072764"/>
    <n v="75.886085105957733"/>
    <n v="224.53785920244138"/>
    <n v="6030.5999999999995"/>
    <n v="90.100799999999992"/>
    <n v="349.66079999999999"/>
    <n v="6645.1041753367354"/>
    <n v="109.27596255257913"/>
    <n v="323.33451725151559"/>
  </r>
  <r>
    <s v="Regular"/>
    <x v="1"/>
    <x v="0"/>
    <x v="1"/>
    <x v="0"/>
    <x v="0"/>
    <x v="0"/>
    <x v="0"/>
    <x v="0"/>
    <n v="3413"/>
    <n v="3413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89488.86"/>
    <n v="0"/>
    <n v="0"/>
    <n v="98607.56761054034"/>
    <n v="0"/>
    <n v="0"/>
  </r>
  <r>
    <s v="Regular"/>
    <x v="1"/>
    <x v="0"/>
    <x v="1"/>
    <x v="0"/>
    <x v="0"/>
    <x v="0"/>
    <x v="0"/>
    <x v="1"/>
    <n v="1265"/>
    <n v="1265"/>
    <n v="207.13399999999999"/>
    <n v="207.13399999999999"/>
    <n v="207.13399999999999"/>
    <n v="207.13399999999999"/>
    <n v="0"/>
    <x v="1"/>
    <n v="0"/>
    <n v="20"/>
    <n v="22"/>
    <n v="67"/>
    <n v="26.22"/>
    <n v="62.57"/>
    <n v="242.82"/>
    <n v="28.891757284072764"/>
    <n v="75.886085105957733"/>
    <n v="224.53785920244138"/>
    <n v="33168.299999999996"/>
    <n v="12960.374379999999"/>
    <n v="50296.277879999994"/>
    <n v="36548.072964352046"/>
    <n v="15718.588352337449"/>
    <n v="46509.42492803849"/>
  </r>
  <r>
    <s v="Sistema de Compensação"/>
    <x v="1"/>
    <x v="0"/>
    <x v="1"/>
    <x v="0"/>
    <x v="0"/>
    <x v="0"/>
    <x v="0"/>
    <x v="1"/>
    <n v="230"/>
    <n v="230"/>
    <n v="12.96"/>
    <n v="12.96"/>
    <n v="12.96"/>
    <n v="12.96"/>
    <n v="0"/>
    <x v="1"/>
    <n v="0"/>
    <n v="20"/>
    <n v="22"/>
    <n v="67"/>
    <n v="26.22"/>
    <n v="62.57"/>
    <n v="242.82"/>
    <n v="28.891757284072764"/>
    <n v="75.886085105957733"/>
    <n v="224.53785920244138"/>
    <n v="6030.5999999999995"/>
    <n v="810.9072000000001"/>
    <n v="3146.9472000000001"/>
    <n v="6645.1041753367354"/>
    <n v="983.48366297321229"/>
    <n v="2910.0106552636407"/>
  </r>
  <r>
    <s v="Regular"/>
    <x v="1"/>
    <x v="0"/>
    <x v="1"/>
    <x v="0"/>
    <x v="0"/>
    <x v="0"/>
    <x v="0"/>
    <x v="1"/>
    <n v="3400"/>
    <n v="3400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89148"/>
    <n v="0"/>
    <n v="0"/>
    <n v="98231.974765847393"/>
    <n v="0"/>
    <n v="0"/>
  </r>
  <r>
    <s v="Regular"/>
    <x v="1"/>
    <x v="0"/>
    <x v="1"/>
    <x v="0"/>
    <x v="0"/>
    <x v="0"/>
    <x v="0"/>
    <x v="2"/>
    <n v="1265"/>
    <n v="1265"/>
    <n v="200.53899999999999"/>
    <n v="200.53899999999999"/>
    <n v="200.53899999999999"/>
    <n v="200.53899999999999"/>
    <n v="0"/>
    <x v="1"/>
    <n v="0"/>
    <n v="20"/>
    <n v="22"/>
    <n v="67"/>
    <n v="26.22"/>
    <n v="62.57"/>
    <n v="242.82"/>
    <n v="28.891757284072764"/>
    <n v="75.886085105957733"/>
    <n v="224.53785920244138"/>
    <n v="33168.299999999996"/>
    <n v="12547.72523"/>
    <n v="48694.879979999998"/>
    <n v="36548.072964352046"/>
    <n v="15218.119621063657"/>
    <n v="45028.597746598389"/>
  </r>
  <r>
    <s v="Sistema de Compensação"/>
    <x v="1"/>
    <x v="0"/>
    <x v="1"/>
    <x v="0"/>
    <x v="0"/>
    <x v="0"/>
    <x v="0"/>
    <x v="2"/>
    <n v="230"/>
    <n v="230"/>
    <n v="12.96"/>
    <n v="12.96"/>
    <n v="12.96"/>
    <n v="12.96"/>
    <n v="0"/>
    <x v="1"/>
    <n v="0"/>
    <n v="20"/>
    <n v="22"/>
    <n v="67"/>
    <n v="26.22"/>
    <n v="62.57"/>
    <n v="242.82"/>
    <n v="28.891757284072764"/>
    <n v="75.886085105957733"/>
    <n v="224.53785920244138"/>
    <n v="6030.5999999999995"/>
    <n v="810.9072000000001"/>
    <n v="3146.9472000000001"/>
    <n v="6645.1041753367354"/>
    <n v="983.48366297321229"/>
    <n v="2910.0106552636407"/>
  </r>
  <r>
    <s v="Regular"/>
    <x v="1"/>
    <x v="0"/>
    <x v="1"/>
    <x v="0"/>
    <x v="0"/>
    <x v="0"/>
    <x v="0"/>
    <x v="2"/>
    <n v="3423"/>
    <n v="3423"/>
    <n v="0"/>
    <n v="0"/>
    <n v="0"/>
    <n v="0"/>
    <n v="0"/>
    <x v="0"/>
    <n v="0"/>
    <n v="20"/>
    <n v="0"/>
    <n v="0"/>
    <n v="26.22"/>
    <n v="0"/>
    <n v="0"/>
    <n v="28.891757284072764"/>
    <n v="75.886085105957733"/>
    <m/>
    <n v="89751.06"/>
    <n v="0"/>
    <n v="0"/>
    <n v="98896.485183381068"/>
    <n v="0"/>
    <n v="0"/>
  </r>
  <r>
    <s v="Regular"/>
    <x v="1"/>
    <x v="0"/>
    <x v="1"/>
    <x v="0"/>
    <x v="0"/>
    <x v="0"/>
    <x v="0"/>
    <x v="3"/>
    <n v="1265"/>
    <n v="1265"/>
    <n v="198.40700000000001"/>
    <n v="198.40700000000001"/>
    <n v="198.40700000000001"/>
    <n v="198.40700000000001"/>
    <n v="0"/>
    <x v="1"/>
    <n v="0"/>
    <n v="20"/>
    <n v="22"/>
    <n v="67"/>
    <n v="26.22"/>
    <n v="62.57"/>
    <n v="242.82"/>
    <n v="28.891757284072764"/>
    <n v="75.886085105957733"/>
    <n v="224.53785920244138"/>
    <n v="33168.299999999996"/>
    <n v="12414.325990000001"/>
    <n v="48177.187740000001"/>
    <n v="36548.072964352046"/>
    <n v="15056.330487617757"/>
    <n v="44549.883030778787"/>
  </r>
  <r>
    <s v="Sistema de Compensação"/>
    <x v="1"/>
    <x v="0"/>
    <x v="1"/>
    <x v="0"/>
    <x v="0"/>
    <x v="0"/>
    <x v="0"/>
    <x v="3"/>
    <n v="230"/>
    <n v="230"/>
    <n v="22.08"/>
    <n v="22.08"/>
    <n v="22.08"/>
    <n v="22.08"/>
    <n v="0"/>
    <x v="1"/>
    <n v="0"/>
    <n v="20"/>
    <n v="22"/>
    <n v="67"/>
    <n v="26.22"/>
    <n v="62.57"/>
    <n v="242.82"/>
    <n v="28.891757284072764"/>
    <n v="75.886085105957733"/>
    <n v="224.53785920244138"/>
    <n v="6030.5999999999995"/>
    <n v="1381.5455999999999"/>
    <n v="5361.4655999999995"/>
    <n v="6645.1041753367354"/>
    <n v="1675.5647591395466"/>
    <n v="4957.7959311899049"/>
  </r>
  <r>
    <s v="Regular"/>
    <x v="1"/>
    <x v="0"/>
    <x v="1"/>
    <x v="0"/>
    <x v="0"/>
    <x v="0"/>
    <x v="0"/>
    <x v="4"/>
    <n v="1265"/>
    <n v="1265"/>
    <n v="204.10499999999999"/>
    <n v="204.10499999999999"/>
    <n v="204.10499999999999"/>
    <n v="204.10499999999999"/>
    <n v="0"/>
    <x v="1"/>
    <n v="0"/>
    <n v="20"/>
    <n v="22"/>
    <n v="67"/>
    <n v="26.22"/>
    <n v="62.57"/>
    <n v="242.82"/>
    <n v="28.891757284072764"/>
    <n v="75.886085105957733"/>
    <n v="224.53785920244138"/>
    <n v="33168.299999999996"/>
    <n v="12770.849849999999"/>
    <n v="49560.776099999995"/>
    <n v="36548.072964352046"/>
    <n v="15488.729400551501"/>
    <n v="45829.299752514293"/>
  </r>
  <r>
    <s v="Sistema de Compensação"/>
    <x v="1"/>
    <x v="0"/>
    <x v="1"/>
    <x v="0"/>
    <x v="0"/>
    <x v="0"/>
    <x v="0"/>
    <x v="4"/>
    <n v="230"/>
    <n v="230"/>
    <n v="8.64"/>
    <n v="8.64"/>
    <n v="8.64"/>
    <n v="8.64"/>
    <n v="0"/>
    <x v="1"/>
    <n v="0"/>
    <n v="20"/>
    <n v="22"/>
    <n v="67"/>
    <n v="26.22"/>
    <n v="62.57"/>
    <n v="242.82"/>
    <n v="28.891757284072764"/>
    <n v="75.886085105957733"/>
    <n v="224.53785920244138"/>
    <n v="6030.5999999999995"/>
    <n v="540.60480000000007"/>
    <n v="2097.9648000000002"/>
    <n v="6645.1041753367354"/>
    <n v="655.6557753154749"/>
    <n v="1940.0071035090937"/>
  </r>
  <r>
    <s v="Regular"/>
    <x v="1"/>
    <x v="0"/>
    <x v="1"/>
    <x v="0"/>
    <x v="0"/>
    <x v="0"/>
    <x v="0"/>
    <x v="5"/>
    <n v="783"/>
    <n v="783"/>
    <n v="85.57"/>
    <n v="85.57"/>
    <n v="85.57"/>
    <n v="85.57"/>
    <n v="0"/>
    <x v="1"/>
    <n v="0"/>
    <n v="20"/>
    <n v="22"/>
    <n v="67"/>
    <n v="26.22"/>
    <n v="62.57"/>
    <n v="242.82"/>
    <n v="28.891757284072764"/>
    <n v="75.886085105957733"/>
    <n v="224.53785920244138"/>
    <n v="20530.259999999998"/>
    <n v="5354.1148999999996"/>
    <n v="20778.107399999997"/>
    <n v="22622.245953428974"/>
    <n v="6493.5723025168027"/>
    <n v="19213.704611952908"/>
  </r>
  <r>
    <s v="Sistema de Compensação"/>
    <x v="1"/>
    <x v="0"/>
    <x v="1"/>
    <x v="0"/>
    <x v="0"/>
    <x v="0"/>
    <x v="0"/>
    <x v="5"/>
    <n v="230"/>
    <n v="230"/>
    <n v="3.6429999999999998"/>
    <n v="3.6429999999999998"/>
    <n v="3.6429999999999998"/>
    <n v="3.6429999999999998"/>
    <n v="0"/>
    <x v="1"/>
    <n v="0"/>
    <n v="20"/>
    <n v="22"/>
    <n v="67"/>
    <n v="26.22"/>
    <n v="62.57"/>
    <n v="242.82"/>
    <n v="28.891757284072764"/>
    <n v="75.886085105957733"/>
    <n v="224.53785920244138"/>
    <n v="6030.5999999999995"/>
    <n v="227.94251"/>
    <n v="884.59325999999987"/>
    <n v="6645.1041753367354"/>
    <n v="276.45300804100401"/>
    <n v="817.99142107449393"/>
  </r>
  <r>
    <s v="Regular"/>
    <x v="1"/>
    <x v="0"/>
    <x v="1"/>
    <x v="0"/>
    <x v="0"/>
    <x v="0"/>
    <x v="0"/>
    <x v="6"/>
    <n v="799"/>
    <n v="799"/>
    <n v="122.378"/>
    <n v="122.378"/>
    <n v="122.378"/>
    <n v="122.378"/>
    <n v="0"/>
    <x v="1"/>
    <n v="0"/>
    <n v="20"/>
    <n v="22"/>
    <n v="67"/>
    <n v="26.22"/>
    <n v="62.57"/>
    <n v="242.82"/>
    <n v="28.891757284072764"/>
    <n v="75.886085105957733"/>
    <n v="224.53785920244138"/>
    <n v="20949.78"/>
    <n v="7657.19146"/>
    <n v="29715.825959999998"/>
    <n v="23084.514069974139"/>
    <n v="9286.7873230968962"/>
    <n v="27478.494133476372"/>
  </r>
  <r>
    <s v="Sistema de Compensação"/>
    <x v="1"/>
    <x v="0"/>
    <x v="1"/>
    <x v="0"/>
    <x v="0"/>
    <x v="0"/>
    <x v="0"/>
    <x v="6"/>
    <n v="230"/>
    <n v="230"/>
    <n v="7.6269999999999998"/>
    <n v="7.6269999999999998"/>
    <n v="7.6269999999999998"/>
    <n v="7.6269999999999998"/>
    <n v="0"/>
    <x v="1"/>
    <n v="0"/>
    <n v="20"/>
    <n v="22"/>
    <n v="67"/>
    <n v="26.22"/>
    <n v="62.57"/>
    <n v="242.82"/>
    <n v="28.891757284072764"/>
    <n v="75.886085105957733"/>
    <n v="224.53785920244138"/>
    <n v="6030.5999999999995"/>
    <n v="477.22138999999999"/>
    <n v="1851.9881399999999"/>
    <n v="6645.1041753367354"/>
    <n v="578.78317110313958"/>
    <n v="1712.5502521370204"/>
  </r>
  <r>
    <s v="Regular"/>
    <x v="1"/>
    <x v="0"/>
    <x v="1"/>
    <x v="0"/>
    <x v="0"/>
    <x v="0"/>
    <x v="0"/>
    <x v="7"/>
    <n v="767"/>
    <n v="767"/>
    <n v="97.004999999999995"/>
    <n v="97.004999999999995"/>
    <n v="97.004999999999995"/>
    <n v="97.004999999999995"/>
    <n v="0"/>
    <x v="1"/>
    <n v="0"/>
    <n v="20"/>
    <n v="22"/>
    <n v="67"/>
    <n v="26.22"/>
    <n v="62.57"/>
    <n v="242.82"/>
    <n v="28.891757284072764"/>
    <n v="75.886085105957733"/>
    <n v="224.53785920244138"/>
    <n v="20110.739999999998"/>
    <n v="6069.6028499999993"/>
    <n v="23554.754099999998"/>
    <n v="22159.977836883809"/>
    <n v="7361.3296857034293"/>
    <n v="21781.295031932827"/>
  </r>
  <r>
    <s v="Sistema de Compensação"/>
    <x v="1"/>
    <x v="0"/>
    <x v="1"/>
    <x v="0"/>
    <x v="0"/>
    <x v="0"/>
    <x v="0"/>
    <x v="7"/>
    <n v="230"/>
    <n v="230"/>
    <n v="13.53"/>
    <n v="13.53"/>
    <n v="13.53"/>
    <n v="13.53"/>
    <n v="0"/>
    <x v="1"/>
    <n v="0"/>
    <n v="20"/>
    <n v="22"/>
    <n v="67"/>
    <n v="26.22"/>
    <n v="62.57"/>
    <n v="242.82"/>
    <n v="28.891757284072764"/>
    <n v="75.886085105957733"/>
    <n v="224.53785920244138"/>
    <n v="6030.5999999999995"/>
    <n v="846.57209999999998"/>
    <n v="3285.3545999999997"/>
    <n v="6645.1041753367354"/>
    <n v="1026.738731483608"/>
    <n v="3037.9972350090316"/>
  </r>
  <r>
    <s v="Regular"/>
    <x v="1"/>
    <x v="0"/>
    <x v="1"/>
    <x v="0"/>
    <x v="0"/>
    <x v="0"/>
    <x v="0"/>
    <x v="8"/>
    <n v="765"/>
    <n v="765"/>
    <n v="101.637"/>
    <n v="101.637"/>
    <n v="101.637"/>
    <n v="101.637"/>
    <n v="0"/>
    <x v="1"/>
    <n v="0"/>
    <n v="20"/>
    <n v="22"/>
    <n v="67"/>
    <n v="26.22"/>
    <n v="62.57"/>
    <n v="242.82"/>
    <n v="28.891757284072764"/>
    <n v="75.886085105957733"/>
    <n v="224.53785920244138"/>
    <n v="20058.3"/>
    <n v="6359.4270900000001"/>
    <n v="24679.496339999998"/>
    <n v="22102.194322315663"/>
    <n v="7712.8340319142262"/>
    <n v="22821.354395758535"/>
  </r>
  <r>
    <s v="Sistema de Compensação"/>
    <x v="1"/>
    <x v="0"/>
    <x v="1"/>
    <x v="0"/>
    <x v="0"/>
    <x v="0"/>
    <x v="0"/>
    <x v="8"/>
    <n v="230"/>
    <n v="230"/>
    <n v="16.568999999999999"/>
    <n v="16.568999999999999"/>
    <n v="16.568999999999999"/>
    <n v="16.568999999999999"/>
    <n v="0"/>
    <x v="1"/>
    <n v="0"/>
    <n v="20"/>
    <n v="22"/>
    <n v="67"/>
    <n v="26.22"/>
    <n v="62.57"/>
    <n v="242.82"/>
    <n v="28.891757284072764"/>
    <n v="75.886085105957733"/>
    <n v="224.53785920244138"/>
    <n v="6030.5999999999995"/>
    <n v="1036.7223300000001"/>
    <n v="4023.2845799999996"/>
    <n v="6645.1041753367354"/>
    <n v="1257.3565441206135"/>
    <n v="3720.367789125251"/>
  </r>
  <r>
    <s v="Regular"/>
    <x v="1"/>
    <x v="0"/>
    <x v="1"/>
    <x v="0"/>
    <x v="0"/>
    <x v="0"/>
    <x v="0"/>
    <x v="9"/>
    <n v="767"/>
    <n v="767"/>
    <n v="108.212"/>
    <n v="108.212"/>
    <n v="108.212"/>
    <n v="108.212"/>
    <n v="0"/>
    <x v="1"/>
    <n v="0"/>
    <n v="20"/>
    <n v="22"/>
    <n v="67"/>
    <n v="26.22"/>
    <n v="62.57"/>
    <n v="242.82"/>
    <n v="28.891757284072764"/>
    <n v="75.886085105957733"/>
    <n v="224.53785920244138"/>
    <n v="20110.739999999998"/>
    <n v="6770.8248400000002"/>
    <n v="26276.037840000001"/>
    <n v="22159.977836883809"/>
    <n v="8211.7850414858985"/>
    <n v="24297.690820014588"/>
  </r>
  <r>
    <s v="Sistema de Compensação"/>
    <x v="1"/>
    <x v="0"/>
    <x v="1"/>
    <x v="0"/>
    <x v="0"/>
    <x v="0"/>
    <x v="0"/>
    <x v="9"/>
    <n v="230"/>
    <n v="230"/>
    <n v="27.782"/>
    <n v="27.782"/>
    <n v="27.782"/>
    <n v="27.782"/>
    <n v="0"/>
    <x v="1"/>
    <n v="0"/>
    <n v="20"/>
    <n v="22"/>
    <n v="67"/>
    <n v="26.22"/>
    <n v="62.57"/>
    <n v="242.82"/>
    <n v="28.891757284072764"/>
    <n v="75.886085105957733"/>
    <n v="224.53785920244138"/>
    <n v="6030.5999999999995"/>
    <n v="1738.3197399999999"/>
    <n v="6746.0252399999999"/>
    <n v="6645.1041753367354"/>
    <n v="2108.267216413718"/>
    <n v="6238.1108043622262"/>
  </r>
  <r>
    <s v="Regular"/>
    <x v="1"/>
    <x v="0"/>
    <x v="1"/>
    <x v="0"/>
    <x v="0"/>
    <x v="0"/>
    <x v="0"/>
    <x v="10"/>
    <n v="765"/>
    <n v="765"/>
    <n v="102.377"/>
    <n v="102.377"/>
    <n v="102.377"/>
    <n v="102.377"/>
    <n v="0"/>
    <x v="1"/>
    <n v="0"/>
    <n v="20"/>
    <n v="22"/>
    <n v="67"/>
    <n v="26.22"/>
    <n v="62.57"/>
    <n v="242.82"/>
    <n v="28.891757284072764"/>
    <n v="75.886085105957733"/>
    <n v="224.53785920244138"/>
    <n v="20058.3"/>
    <n v="6405.7288899999994"/>
    <n v="24859.183139999997"/>
    <n v="22102.194322315663"/>
    <n v="7768.9897348926343"/>
    <n v="22987.512411568339"/>
  </r>
  <r>
    <s v="Sistema de Compensação"/>
    <x v="1"/>
    <x v="0"/>
    <x v="1"/>
    <x v="0"/>
    <x v="0"/>
    <x v="0"/>
    <x v="0"/>
    <x v="10"/>
    <n v="230"/>
    <n v="230"/>
    <n v="24.739000000000001"/>
    <n v="24.739000000000001"/>
    <n v="24.739000000000001"/>
    <n v="24.739000000000001"/>
    <n v="0"/>
    <x v="1"/>
    <n v="0"/>
    <n v="20"/>
    <n v="22"/>
    <n v="67"/>
    <n v="26.22"/>
    <n v="62.57"/>
    <n v="242.82"/>
    <n v="28.891757284072764"/>
    <n v="75.886085105957733"/>
    <n v="224.53785920244138"/>
    <n v="6030.5999999999995"/>
    <n v="1547.91923"/>
    <n v="6007.1239800000003"/>
    <n v="6645.1041753367354"/>
    <n v="1877.3458594362885"/>
    <n v="5554.8420988091975"/>
  </r>
  <r>
    <s v="PROJETADO"/>
    <x v="1"/>
    <x v="0"/>
    <x v="1"/>
    <x v="0"/>
    <x v="0"/>
    <x v="0"/>
    <x v="0"/>
    <x v="11"/>
    <n v="765"/>
    <n v="765"/>
    <n v="102.377"/>
    <n v="102.377"/>
    <n v="102.377"/>
    <n v="102.377"/>
    <n v="0"/>
    <x v="1"/>
    <n v="0"/>
    <n v="20"/>
    <n v="22"/>
    <n v="67"/>
    <n v="26.22"/>
    <n v="62.57"/>
    <n v="242.82"/>
    <n v="28.891757284072764"/>
    <n v="75.886085105957733"/>
    <n v="224.53785920244138"/>
    <n v="20058.3"/>
    <n v="6405.7288899999994"/>
    <n v="24859.183139999997"/>
    <n v="22102.194322315663"/>
    <n v="7768.9897348926343"/>
    <n v="22987.512411568339"/>
  </r>
  <r>
    <s v="PROJETADO"/>
    <x v="1"/>
    <x v="0"/>
    <x v="1"/>
    <x v="0"/>
    <x v="0"/>
    <x v="0"/>
    <x v="0"/>
    <x v="11"/>
    <n v="230"/>
    <n v="230"/>
    <n v="24.739000000000001"/>
    <n v="24.739000000000001"/>
    <n v="24.739000000000001"/>
    <n v="24.739000000000001"/>
    <n v="0"/>
    <x v="1"/>
    <n v="0"/>
    <n v="20"/>
    <n v="22"/>
    <n v="67"/>
    <n v="26.22"/>
    <n v="62.57"/>
    <n v="242.82"/>
    <n v="28.891757284072764"/>
    <n v="75.886085105957733"/>
    <n v="224.53785920244138"/>
    <n v="6030.5999999999995"/>
    <n v="1547.91923"/>
    <n v="6007.1239800000003"/>
    <n v="6645.1041753367354"/>
    <n v="1877.3458594362885"/>
    <n v="5554.8420988091975"/>
  </r>
  <r>
    <s v="Regular"/>
    <x v="1"/>
    <x v="0"/>
    <x v="1"/>
    <x v="0"/>
    <x v="0"/>
    <x v="0"/>
    <x v="1"/>
    <x v="0"/>
    <n v="0"/>
    <n v="0"/>
    <n v="1794.596"/>
    <n v="1794.596"/>
    <n v="0"/>
    <n v="0"/>
    <n v="1"/>
    <x v="0"/>
    <n v="0"/>
    <n v="0"/>
    <n v="22"/>
    <n v="0"/>
    <n v="0"/>
    <n v="62.57"/>
    <n v="0"/>
    <m/>
    <n v="75.886085105957733"/>
    <m/>
    <n v="0"/>
    <n v="112287.87172"/>
    <n v="0"/>
    <n v="0"/>
    <n v="136184.86478681132"/>
    <n v="0"/>
  </r>
  <r>
    <s v="Regular"/>
    <x v="1"/>
    <x v="0"/>
    <x v="1"/>
    <x v="0"/>
    <x v="0"/>
    <x v="0"/>
    <x v="1"/>
    <x v="1"/>
    <n v="0"/>
    <n v="0"/>
    <n v="1644.855"/>
    <n v="1644.855"/>
    <n v="0"/>
    <n v="0"/>
    <n v="1"/>
    <x v="0"/>
    <n v="0"/>
    <n v="0"/>
    <n v="22"/>
    <n v="0"/>
    <n v="0"/>
    <n v="62.57"/>
    <n v="0"/>
    <m/>
    <n v="75.886085105957733"/>
    <m/>
    <n v="0"/>
    <n v="102918.57735000001"/>
    <n v="0"/>
    <n v="0"/>
    <n v="124821.60651696011"/>
    <n v="0"/>
  </r>
  <r>
    <s v="Regular"/>
    <x v="1"/>
    <x v="0"/>
    <x v="1"/>
    <x v="0"/>
    <x v="0"/>
    <x v="0"/>
    <x v="1"/>
    <x v="2"/>
    <n v="0"/>
    <n v="0"/>
    <n v="1789.5329999999999"/>
    <n v="1789.5329999999999"/>
    <n v="0"/>
    <n v="0"/>
    <n v="1"/>
    <x v="0"/>
    <n v="0"/>
    <n v="0"/>
    <n v="22"/>
    <n v="0"/>
    <n v="0"/>
    <n v="62.57"/>
    <n v="0"/>
    <m/>
    <n v="75.886085105957733"/>
    <m/>
    <n v="0"/>
    <n v="111971.07981"/>
    <n v="0"/>
    <n v="0"/>
    <n v="135800.65353791986"/>
    <n v="0"/>
  </r>
  <r>
    <s v="Regular"/>
    <x v="1"/>
    <x v="0"/>
    <x v="1"/>
    <x v="0"/>
    <x v="0"/>
    <x v="0"/>
    <x v="2"/>
    <x v="0"/>
    <n v="678"/>
    <n v="678"/>
    <n v="15.446"/>
    <n v="15.446"/>
    <n v="15.446"/>
    <n v="15.446"/>
    <n v="0"/>
    <x v="1"/>
    <n v="0"/>
    <n v="18"/>
    <n v="22"/>
    <n v="66"/>
    <n v="52.15"/>
    <n v="62.57"/>
    <n v="397.62"/>
    <n v="57.437679027724307"/>
    <n v="75.886085105957733"/>
    <n v="351.67159959099928"/>
    <n v="35357.699999999997"/>
    <n v="966.45622000000003"/>
    <n v="6141.6385199999995"/>
    <n v="38942.746380797078"/>
    <n v="1172.1364705466231"/>
    <n v="5431.9195272825746"/>
  </r>
  <r>
    <s v="Sistema de Compensação"/>
    <x v="1"/>
    <x v="0"/>
    <x v="1"/>
    <x v="0"/>
    <x v="0"/>
    <x v="0"/>
    <x v="2"/>
    <x v="0"/>
    <n v="8"/>
    <n v="8"/>
    <n v="0.48"/>
    <n v="0.48"/>
    <n v="0.48"/>
    <n v="0.48"/>
    <n v="0"/>
    <x v="1"/>
    <n v="0"/>
    <n v="18"/>
    <n v="22"/>
    <n v="66"/>
    <n v="52.15"/>
    <n v="62.57"/>
    <n v="397.62"/>
    <n v="57.437679027724307"/>
    <n v="75.886085105957733"/>
    <n v="351.67159959099928"/>
    <n v="417.2"/>
    <n v="30.0336"/>
    <n v="190.85759999999999"/>
    <n v="459.50143222179446"/>
    <n v="36.425320850859713"/>
    <n v="168.80236780367966"/>
  </r>
  <r>
    <s v="Regular"/>
    <x v="1"/>
    <x v="0"/>
    <x v="1"/>
    <x v="0"/>
    <x v="0"/>
    <x v="0"/>
    <x v="2"/>
    <x v="0"/>
    <n v="3410"/>
    <n v="3410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177831.5"/>
    <n v="0"/>
    <n v="0"/>
    <n v="195862.48548453988"/>
    <n v="0"/>
    <n v="0"/>
  </r>
  <r>
    <s v="Regular"/>
    <x v="1"/>
    <x v="0"/>
    <x v="1"/>
    <x v="0"/>
    <x v="0"/>
    <x v="0"/>
    <x v="2"/>
    <x v="1"/>
    <n v="728"/>
    <n v="728"/>
    <n v="16.795000000000002"/>
    <n v="16.795000000000002"/>
    <n v="16.795000000000002"/>
    <n v="16.795000000000002"/>
    <n v="0"/>
    <x v="1"/>
    <n v="0"/>
    <n v="18"/>
    <n v="22"/>
    <n v="66"/>
    <n v="52.15"/>
    <n v="62.57"/>
    <n v="397.62"/>
    <n v="57.437679027724307"/>
    <n v="75.886085105957733"/>
    <n v="351.67159959099928"/>
    <n v="37965.199999999997"/>
    <n v="1050.8631500000001"/>
    <n v="6678.027900000001"/>
    <n v="41814.630332183297"/>
    <n v="1274.5067993545601"/>
    <n v="5906.3245151308338"/>
  </r>
  <r>
    <s v="Sistema de Compensação"/>
    <x v="1"/>
    <x v="0"/>
    <x v="1"/>
    <x v="0"/>
    <x v="0"/>
    <x v="0"/>
    <x v="2"/>
    <x v="1"/>
    <n v="8"/>
    <n v="8"/>
    <n v="0"/>
    <n v="0"/>
    <n v="0"/>
    <n v="0"/>
    <n v="0"/>
    <x v="1"/>
    <n v="0"/>
    <n v="18"/>
    <n v="0"/>
    <n v="0"/>
    <n v="52.15"/>
    <n v="0"/>
    <n v="0"/>
    <n v="57.437679027724307"/>
    <n v="75.886085105957733"/>
    <n v="351.67159959099928"/>
    <n v="417.2"/>
    <n v="0"/>
    <n v="0"/>
    <n v="459.50143222179446"/>
    <n v="0"/>
    <n v="0"/>
  </r>
  <r>
    <s v="Regular"/>
    <x v="1"/>
    <x v="0"/>
    <x v="1"/>
    <x v="0"/>
    <x v="0"/>
    <x v="0"/>
    <x v="2"/>
    <x v="1"/>
    <n v="3400"/>
    <n v="3400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177310"/>
    <n v="0"/>
    <n v="0"/>
    <n v="195288.10869426266"/>
    <n v="0"/>
    <n v="0"/>
  </r>
  <r>
    <s v="Regular"/>
    <x v="1"/>
    <x v="0"/>
    <x v="1"/>
    <x v="0"/>
    <x v="0"/>
    <x v="0"/>
    <x v="2"/>
    <x v="2"/>
    <n v="728"/>
    <n v="728"/>
    <n v="16.013000000000002"/>
    <n v="16.013000000000002"/>
    <n v="16.013000000000002"/>
    <n v="16.013000000000002"/>
    <n v="0"/>
    <x v="1"/>
    <n v="0"/>
    <n v="18"/>
    <n v="22"/>
    <n v="66"/>
    <n v="52.15"/>
    <n v="62.57"/>
    <n v="397.62"/>
    <n v="57.437679027724307"/>
    <n v="75.886085105957733"/>
    <n v="351.67159959099928"/>
    <n v="37965.199999999997"/>
    <n v="1001.9334100000001"/>
    <n v="6367.0890600000012"/>
    <n v="41814.630332183297"/>
    <n v="1215.1638808017012"/>
    <n v="5631.3173242506718"/>
  </r>
  <r>
    <s v="Sistema de Compensação"/>
    <x v="1"/>
    <x v="0"/>
    <x v="1"/>
    <x v="0"/>
    <x v="0"/>
    <x v="0"/>
    <x v="2"/>
    <x v="2"/>
    <n v="8"/>
    <n v="8"/>
    <n v="0"/>
    <n v="0"/>
    <n v="0"/>
    <n v="0"/>
    <n v="0"/>
    <x v="1"/>
    <n v="0"/>
    <n v="18"/>
    <n v="0"/>
    <n v="0"/>
    <n v="52.15"/>
    <n v="0"/>
    <n v="0"/>
    <n v="57.437679027724307"/>
    <n v="75.886085105957733"/>
    <n v="351.67159959099928"/>
    <n v="417.2"/>
    <n v="0"/>
    <n v="0"/>
    <n v="459.50143222179446"/>
    <n v="0"/>
    <n v="0"/>
  </r>
  <r>
    <s v="Regular"/>
    <x v="1"/>
    <x v="0"/>
    <x v="1"/>
    <x v="0"/>
    <x v="0"/>
    <x v="0"/>
    <x v="2"/>
    <x v="2"/>
    <n v="3413"/>
    <n v="3413"/>
    <n v="0"/>
    <n v="0"/>
    <n v="0"/>
    <n v="0"/>
    <n v="0"/>
    <x v="0"/>
    <n v="0"/>
    <n v="18"/>
    <n v="0"/>
    <n v="0"/>
    <n v="52.15"/>
    <n v="0"/>
    <n v="0"/>
    <n v="57.437679027724307"/>
    <n v="75.886085105957733"/>
    <m/>
    <n v="177987.94999999998"/>
    <n v="0"/>
    <n v="0"/>
    <n v="196034.79852162307"/>
    <n v="0"/>
    <n v="0"/>
  </r>
  <r>
    <s v="Regular"/>
    <x v="1"/>
    <x v="0"/>
    <x v="1"/>
    <x v="0"/>
    <x v="0"/>
    <x v="0"/>
    <x v="2"/>
    <x v="3"/>
    <n v="728"/>
    <n v="728"/>
    <n v="17.356000000000002"/>
    <n v="17.356000000000002"/>
    <n v="17.356000000000002"/>
    <n v="17.356000000000002"/>
    <n v="0"/>
    <x v="1"/>
    <n v="0"/>
    <n v="18"/>
    <n v="22"/>
    <n v="66"/>
    <n v="52.15"/>
    <n v="62.57"/>
    <n v="397.62"/>
    <n v="57.437679027724307"/>
    <n v="75.886085105957733"/>
    <n v="351.67159959099928"/>
    <n v="37965.199999999997"/>
    <n v="1085.9649200000001"/>
    <n v="6901.0927200000006"/>
    <n v="41814.630332183297"/>
    <n v="1317.0788930990025"/>
    <n v="6103.6122825013845"/>
  </r>
  <r>
    <s v="Sistema de Compensação"/>
    <x v="1"/>
    <x v="0"/>
    <x v="1"/>
    <x v="0"/>
    <x v="0"/>
    <x v="0"/>
    <x v="2"/>
    <x v="3"/>
    <n v="8"/>
    <n v="8"/>
    <n v="0.48"/>
    <n v="0.48"/>
    <n v="0.48"/>
    <n v="0.48"/>
    <n v="0"/>
    <x v="1"/>
    <n v="0"/>
    <n v="18"/>
    <n v="22"/>
    <n v="66"/>
    <n v="52.15"/>
    <n v="62.57"/>
    <n v="397.62"/>
    <n v="57.437679027724307"/>
    <n v="75.886085105957733"/>
    <n v="351.67159959099928"/>
    <n v="417.2"/>
    <n v="30.0336"/>
    <n v="190.85759999999999"/>
    <n v="459.50143222179446"/>
    <n v="36.425320850859713"/>
    <n v="168.80236780367966"/>
  </r>
  <r>
    <s v="Regular"/>
    <x v="1"/>
    <x v="0"/>
    <x v="1"/>
    <x v="0"/>
    <x v="0"/>
    <x v="0"/>
    <x v="2"/>
    <x v="4"/>
    <n v="875"/>
    <n v="875"/>
    <n v="18.228000000000002"/>
    <n v="18.228000000000002"/>
    <n v="18.228000000000002"/>
    <n v="18.228000000000002"/>
    <n v="0"/>
    <x v="1"/>
    <n v="0"/>
    <n v="18"/>
    <n v="22"/>
    <n v="66"/>
    <n v="52.15"/>
    <n v="62.57"/>
    <n v="397.62"/>
    <n v="57.437679027724307"/>
    <n v="75.886085105957733"/>
    <n v="351.67159959099928"/>
    <n v="45631.25"/>
    <n v="1140.5259600000002"/>
    <n v="7247.8173600000009"/>
    <n v="50257.969149258766"/>
    <n v="1383.2515593113976"/>
    <n v="6410.2699173447354"/>
  </r>
  <r>
    <s v="Sistema de Compensação"/>
    <x v="1"/>
    <x v="0"/>
    <x v="1"/>
    <x v="0"/>
    <x v="0"/>
    <x v="0"/>
    <x v="2"/>
    <x v="4"/>
    <n v="9"/>
    <n v="9"/>
    <n v="0"/>
    <n v="0"/>
    <n v="0"/>
    <n v="0"/>
    <n v="0"/>
    <x v="1"/>
    <n v="0"/>
    <n v="18"/>
    <n v="0"/>
    <n v="0"/>
    <n v="52.15"/>
    <n v="0"/>
    <n v="0"/>
    <n v="57.437679027724307"/>
    <n v="75.886085105957733"/>
    <n v="351.67159959099928"/>
    <n v="469.34999999999997"/>
    <n v="0"/>
    <n v="0"/>
    <n v="516.93911124951876"/>
    <n v="0"/>
    <n v="0"/>
  </r>
  <r>
    <s v="Regular"/>
    <x v="1"/>
    <x v="0"/>
    <x v="1"/>
    <x v="0"/>
    <x v="0"/>
    <x v="0"/>
    <x v="2"/>
    <x v="5"/>
    <n v="342"/>
    <n v="342"/>
    <n v="11.324999999999999"/>
    <n v="11.324999999999999"/>
    <n v="11.324999999999999"/>
    <n v="11.324999999999999"/>
    <n v="0"/>
    <x v="1"/>
    <n v="0"/>
    <n v="18"/>
    <n v="22"/>
    <n v="66"/>
    <n v="52.15"/>
    <n v="62.57"/>
    <n v="397.62"/>
    <n v="57.437679027724307"/>
    <n v="75.886085105957733"/>
    <n v="351.67159959099928"/>
    <n v="17835.3"/>
    <n v="708.60524999999996"/>
    <n v="4503.0464999999995"/>
    <n v="19643.686227481714"/>
    <n v="859.40991382497123"/>
    <n v="3982.6808653680664"/>
  </r>
  <r>
    <s v="Sistema de Compensação"/>
    <x v="1"/>
    <x v="0"/>
    <x v="1"/>
    <x v="0"/>
    <x v="0"/>
    <x v="0"/>
    <x v="2"/>
    <x v="5"/>
    <n v="8"/>
    <n v="8"/>
    <n v="7.2999999999999995E-2"/>
    <n v="7.2999999999999995E-2"/>
    <n v="7.2999999999999995E-2"/>
    <n v="7.2999999999999995E-2"/>
    <n v="0"/>
    <x v="1"/>
    <n v="0"/>
    <n v="18"/>
    <n v="22"/>
    <n v="66"/>
    <n v="52.15"/>
    <n v="62.57"/>
    <n v="397.62"/>
    <n v="57.437679027724307"/>
    <n v="75.886085105957733"/>
    <n v="351.67159959099928"/>
    <n v="417.2"/>
    <n v="4.5676100000000002"/>
    <n v="29.026259999999997"/>
    <n v="459.50143222179446"/>
    <n v="5.5396842127349144"/>
    <n v="25.672026770142946"/>
  </r>
  <r>
    <s v="Regular"/>
    <x v="1"/>
    <x v="0"/>
    <x v="1"/>
    <x v="0"/>
    <x v="0"/>
    <x v="0"/>
    <x v="2"/>
    <x v="6"/>
    <n v="404"/>
    <n v="404"/>
    <n v="12.776999999999999"/>
    <n v="12.776999999999999"/>
    <n v="12.776999999999999"/>
    <n v="12.776999999999999"/>
    <n v="0"/>
    <x v="1"/>
    <n v="0"/>
    <n v="18"/>
    <n v="22"/>
    <n v="66"/>
    <n v="52.15"/>
    <n v="62.57"/>
    <n v="397.62"/>
    <n v="57.437679027724307"/>
    <n v="75.886085105957733"/>
    <n v="351.67159959099928"/>
    <n v="21068.6"/>
    <n v="799.45688999999993"/>
    <n v="5080.3907399999998"/>
    <n v="23204.822327200622"/>
    <n v="969.59650939882192"/>
    <n v="4493.3080279741971"/>
  </r>
  <r>
    <s v="Sistema de Compensação"/>
    <x v="1"/>
    <x v="0"/>
    <x v="1"/>
    <x v="0"/>
    <x v="0"/>
    <x v="0"/>
    <x v="2"/>
    <x v="6"/>
    <n v="20"/>
    <n v="20"/>
    <n v="0.14299999999999999"/>
    <n v="0.14299999999999999"/>
    <n v="0.14299999999999999"/>
    <n v="0.14299999999999999"/>
    <n v="0"/>
    <x v="1"/>
    <n v="0"/>
    <n v="18"/>
    <n v="22"/>
    <n v="66"/>
    <n v="52.15"/>
    <n v="62.57"/>
    <n v="397.62"/>
    <n v="57.437679027724307"/>
    <n v="75.886085105957733"/>
    <n v="351.67159959099928"/>
    <n v="1043"/>
    <n v="8.9475099999999994"/>
    <n v="56.859659999999998"/>
    <n v="1148.7535805544862"/>
    <n v="10.851710170151955"/>
    <n v="50.28903874151289"/>
  </r>
  <r>
    <s v="Regular"/>
    <x v="1"/>
    <x v="0"/>
    <x v="1"/>
    <x v="0"/>
    <x v="0"/>
    <x v="0"/>
    <x v="2"/>
    <x v="7"/>
    <n v="328"/>
    <n v="328"/>
    <n v="11.138999999999999"/>
    <n v="11.138999999999999"/>
    <n v="11.138999999999999"/>
    <n v="11.138999999999999"/>
    <n v="0"/>
    <x v="1"/>
    <n v="0"/>
    <n v="18"/>
    <n v="22"/>
    <n v="66"/>
    <n v="52.15"/>
    <n v="62.57"/>
    <n v="397.62"/>
    <n v="57.437679027724307"/>
    <n v="75.886085105957733"/>
    <n v="351.67159959099928"/>
    <n v="17105.2"/>
    <n v="696.96722999999997"/>
    <n v="4429.0891799999999"/>
    <n v="18839.558721093574"/>
    <n v="845.29510199526317"/>
    <n v="3917.2699478441409"/>
  </r>
  <r>
    <s v="Sistema de Compensação"/>
    <x v="1"/>
    <x v="0"/>
    <x v="1"/>
    <x v="0"/>
    <x v="0"/>
    <x v="0"/>
    <x v="2"/>
    <x v="7"/>
    <n v="8"/>
    <n v="8"/>
    <n v="0.16"/>
    <n v="0.16"/>
    <n v="0.16"/>
    <n v="0.16"/>
    <n v="0"/>
    <x v="1"/>
    <n v="0"/>
    <n v="18"/>
    <n v="22"/>
    <n v="66"/>
    <n v="52.15"/>
    <n v="62.57"/>
    <n v="397.62"/>
    <n v="57.437679027724307"/>
    <n v="75.886085105957733"/>
    <n v="351.67159959099928"/>
    <n v="417.2"/>
    <n v="10.011200000000001"/>
    <n v="63.619199999999999"/>
    <n v="459.50143222179446"/>
    <n v="12.141773616953238"/>
    <n v="56.267455934559884"/>
  </r>
  <r>
    <s v="Regular"/>
    <x v="1"/>
    <x v="0"/>
    <x v="1"/>
    <x v="0"/>
    <x v="0"/>
    <x v="0"/>
    <x v="2"/>
    <x v="8"/>
    <n v="328"/>
    <n v="328"/>
    <n v="9.9670000000000005"/>
    <n v="9.9670000000000005"/>
    <n v="9.9670000000000005"/>
    <n v="9.9670000000000005"/>
    <n v="0"/>
    <x v="1"/>
    <n v="0"/>
    <n v="18"/>
    <n v="22"/>
    <n v="66"/>
    <n v="52.15"/>
    <n v="62.57"/>
    <n v="397.62"/>
    <n v="57.437679027724307"/>
    <n v="75.886085105957733"/>
    <n v="351.67159959099928"/>
    <n v="17105.2"/>
    <n v="623.63519000000008"/>
    <n v="3963.0785400000004"/>
    <n v="18839.558721093574"/>
    <n v="756.35661025108072"/>
    <n v="3505.11083312349"/>
  </r>
  <r>
    <s v="Sistema de Compensação"/>
    <x v="1"/>
    <x v="0"/>
    <x v="1"/>
    <x v="0"/>
    <x v="0"/>
    <x v="0"/>
    <x v="2"/>
    <x v="8"/>
    <n v="8"/>
    <n v="8"/>
    <n v="0.14000000000000001"/>
    <n v="0.14000000000000001"/>
    <n v="0.14000000000000001"/>
    <n v="0.14000000000000001"/>
    <n v="0"/>
    <x v="1"/>
    <n v="0"/>
    <n v="18"/>
    <n v="22"/>
    <n v="66"/>
    <n v="52.15"/>
    <n v="62.57"/>
    <n v="397.62"/>
    <n v="57.437679027724307"/>
    <n v="75.886085105957733"/>
    <n v="351.67159959099928"/>
    <n v="417.2"/>
    <n v="8.7598000000000003"/>
    <n v="55.666800000000009"/>
    <n v="459.50143222179446"/>
    <n v="10.624051914834084"/>
    <n v="49.234023942739903"/>
  </r>
  <r>
    <s v="Regular"/>
    <x v="1"/>
    <x v="0"/>
    <x v="1"/>
    <x v="0"/>
    <x v="0"/>
    <x v="0"/>
    <x v="2"/>
    <x v="9"/>
    <n v="328"/>
    <n v="328"/>
    <n v="10.414"/>
    <n v="10.414"/>
    <n v="10.414"/>
    <n v="10.414"/>
    <n v="0"/>
    <x v="1"/>
    <n v="0"/>
    <n v="18"/>
    <n v="22"/>
    <n v="66"/>
    <n v="52.15"/>
    <n v="62.57"/>
    <n v="397.62"/>
    <n v="57.437679027724307"/>
    <n v="75.886085105957733"/>
    <n v="351.67159959099928"/>
    <n v="17105.2"/>
    <n v="651.60397999999998"/>
    <n v="4140.8146799999995"/>
    <n v="18839.558721093574"/>
    <n v="790.27769029344381"/>
    <n v="3662.3080381406662"/>
  </r>
  <r>
    <s v="Sistema de Compensação"/>
    <x v="1"/>
    <x v="0"/>
    <x v="1"/>
    <x v="0"/>
    <x v="0"/>
    <x v="0"/>
    <x v="2"/>
    <x v="9"/>
    <n v="16"/>
    <n v="16"/>
    <n v="0.18"/>
    <n v="0.18"/>
    <n v="0.18"/>
    <n v="0.18"/>
    <n v="0"/>
    <x v="1"/>
    <n v="0"/>
    <n v="18"/>
    <n v="22"/>
    <n v="66"/>
    <n v="52.15"/>
    <n v="62.57"/>
    <n v="397.62"/>
    <n v="57.437679027724307"/>
    <n v="75.886085105957733"/>
    <n v="351.67159959099928"/>
    <n v="834.4"/>
    <n v="11.262599999999999"/>
    <n v="71.571600000000004"/>
    <n v="919.00286444358892"/>
    <n v="13.659495319072391"/>
    <n v="63.300887926379865"/>
  </r>
  <r>
    <s v="Regular"/>
    <x v="1"/>
    <x v="0"/>
    <x v="1"/>
    <x v="0"/>
    <x v="0"/>
    <x v="0"/>
    <x v="2"/>
    <x v="10"/>
    <n v="344"/>
    <n v="344"/>
    <n v="9.8290000000000006"/>
    <n v="9.8290000000000006"/>
    <n v="9.8290000000000006"/>
    <n v="9.8290000000000006"/>
    <n v="0"/>
    <x v="1"/>
    <n v="0"/>
    <n v="18"/>
    <n v="22"/>
    <n v="66"/>
    <n v="52.15"/>
    <n v="62.57"/>
    <n v="397.62"/>
    <n v="57.437679027724307"/>
    <n v="75.886085105957733"/>
    <n v="351.67159959099928"/>
    <n v="17939.599999999999"/>
    <n v="615.00053000000003"/>
    <n v="3908.2069800000004"/>
    <n v="19758.561585537162"/>
    <n v="745.88433050645858"/>
    <n v="3456.5801523799323"/>
  </r>
  <r>
    <s v="Sistema de Compensação"/>
    <x v="1"/>
    <x v="0"/>
    <x v="1"/>
    <x v="0"/>
    <x v="0"/>
    <x v="0"/>
    <x v="2"/>
    <x v="10"/>
    <n v="9"/>
    <n v="9"/>
    <n v="0.17399999999999999"/>
    <n v="0.17399999999999999"/>
    <n v="0.17399999999999999"/>
    <n v="0.17399999999999999"/>
    <n v="0"/>
    <x v="1"/>
    <n v="0"/>
    <n v="18"/>
    <n v="22"/>
    <n v="66"/>
    <n v="52.15"/>
    <n v="62.57"/>
    <n v="397.62"/>
    <n v="57.437679027724307"/>
    <n v="75.886085105957733"/>
    <n v="351.67159959099928"/>
    <n v="469.34999999999997"/>
    <n v="10.887179999999999"/>
    <n v="69.185879999999997"/>
    <n v="516.93911124951876"/>
    <n v="13.204178808436644"/>
    <n v="61.190858328833869"/>
  </r>
  <r>
    <s v="PROJETADO"/>
    <x v="1"/>
    <x v="0"/>
    <x v="1"/>
    <x v="0"/>
    <x v="0"/>
    <x v="0"/>
    <x v="2"/>
    <x v="11"/>
    <n v="344"/>
    <n v="344"/>
    <n v="9.8290000000000006"/>
    <n v="9.8290000000000006"/>
    <n v="9.8290000000000006"/>
    <n v="9.8290000000000006"/>
    <n v="0"/>
    <x v="1"/>
    <n v="0"/>
    <n v="18"/>
    <n v="22"/>
    <n v="66"/>
    <n v="52.15"/>
    <n v="62.57"/>
    <n v="397.62"/>
    <n v="57.437679027724307"/>
    <n v="75.886085105957733"/>
    <n v="351.67159959099928"/>
    <n v="17939.599999999999"/>
    <n v="615.00053000000003"/>
    <n v="3908.2069800000004"/>
    <n v="19758.561585537162"/>
    <n v="745.88433050645858"/>
    <n v="3456.5801523799323"/>
  </r>
  <r>
    <s v="PROJETADO"/>
    <x v="1"/>
    <x v="0"/>
    <x v="1"/>
    <x v="0"/>
    <x v="0"/>
    <x v="0"/>
    <x v="2"/>
    <x v="11"/>
    <n v="9"/>
    <n v="9"/>
    <n v="0.17399999999999999"/>
    <n v="0.17399999999999999"/>
    <n v="0.17399999999999999"/>
    <n v="0.17399999999999999"/>
    <n v="0"/>
    <x v="1"/>
    <n v="0"/>
    <n v="18"/>
    <n v="22"/>
    <n v="66"/>
    <n v="52.15"/>
    <n v="62.57"/>
    <n v="397.62"/>
    <n v="57.437679027724307"/>
    <n v="75.886085105957733"/>
    <n v="351.67159959099928"/>
    <n v="469.34999999999997"/>
    <n v="10.887179999999999"/>
    <n v="69.185879999999997"/>
    <n v="516.93911124951876"/>
    <n v="13.204178808436644"/>
    <n v="61.190858328833869"/>
  </r>
  <r>
    <s v="Regular"/>
    <x v="1"/>
    <x v="0"/>
    <x v="5"/>
    <x v="0"/>
    <x v="0"/>
    <x v="0"/>
    <x v="0"/>
    <x v="0"/>
    <n v="8262"/>
    <n v="8262"/>
    <n v="1449.3030000000001"/>
    <n v="1449.3030000000001"/>
    <n v="1449.3030000000001"/>
    <n v="1449.3030000000001"/>
    <n v="0"/>
    <x v="1"/>
    <n v="0"/>
    <n v="20"/>
    <n v="22"/>
    <n v="67"/>
    <n v="26.22"/>
    <n v="62.57"/>
    <n v="242.82"/>
    <n v="28.891757284072764"/>
    <n v="75.886085105957733"/>
    <n v="224.53785920244138"/>
    <n v="216629.63999999998"/>
    <n v="90682.888710000014"/>
    <n v="351919.75446000003"/>
    <n v="238703.69868100918"/>
    <n v="109981.93080231987"/>
    <n v="325423.39295567595"/>
  </r>
  <r>
    <s v="Sistema de Compensação"/>
    <x v="1"/>
    <x v="0"/>
    <x v="5"/>
    <x v="0"/>
    <x v="0"/>
    <x v="0"/>
    <x v="0"/>
    <x v="0"/>
    <n v="746"/>
    <n v="746"/>
    <n v="40.033999999999999"/>
    <n v="40.033999999999999"/>
    <n v="40.033999999999999"/>
    <n v="40.033999999999999"/>
    <n v="0"/>
    <x v="1"/>
    <n v="0"/>
    <n v="20"/>
    <n v="22"/>
    <n v="67"/>
    <n v="26.22"/>
    <n v="62.57"/>
    <n v="242.82"/>
    <n v="28.891757284072764"/>
    <n v="75.886085105957733"/>
    <n v="224.53785920244138"/>
    <n v="19560.12"/>
    <n v="2504.9273800000001"/>
    <n v="9721.0558799999999"/>
    <n v="21553.250933918283"/>
    <n v="3038.0235311319116"/>
    <n v="8989.1486553105387"/>
  </r>
  <r>
    <s v="Regular"/>
    <x v="1"/>
    <x v="0"/>
    <x v="5"/>
    <x v="0"/>
    <x v="0"/>
    <x v="0"/>
    <x v="0"/>
    <x v="1"/>
    <n v="3997"/>
    <n v="3997"/>
    <n v="1011.646"/>
    <n v="1011.646"/>
    <n v="1011.646"/>
    <n v="1011.646"/>
    <n v="0"/>
    <x v="1"/>
    <n v="0"/>
    <n v="20"/>
    <n v="22"/>
    <n v="67"/>
    <n v="26.22"/>
    <n v="62.57"/>
    <n v="242.82"/>
    <n v="28.891757284072764"/>
    <n v="75.886085105957733"/>
    <n v="224.53785920244138"/>
    <n v="104801.34"/>
    <n v="63298.690219999997"/>
    <n v="245647.88171999998"/>
    <n v="115480.35386443883"/>
    <n v="76769.854453101711"/>
    <n v="227152.827110713"/>
  </r>
  <r>
    <s v="Refaturamento - Regular"/>
    <x v="1"/>
    <x v="0"/>
    <x v="5"/>
    <x v="0"/>
    <x v="0"/>
    <x v="0"/>
    <x v="0"/>
    <x v="1"/>
    <n v="348"/>
    <n v="348"/>
    <n v="121.8"/>
    <n v="121.8"/>
    <n v="121.8"/>
    <n v="121.8"/>
    <n v="0"/>
    <x v="1"/>
    <n v="0"/>
    <n v="20"/>
    <n v="22"/>
    <n v="67"/>
    <n v="26.22"/>
    <n v="62.57"/>
    <n v="242.82"/>
    <n v="28.891757284072764"/>
    <n v="75.886085105957733"/>
    <n v="224.53785920244138"/>
    <n v="9124.56"/>
    <n v="7621.0259999999998"/>
    <n v="29575.475999999999"/>
    <n v="10054.331534857321"/>
    <n v="9242.9251659056517"/>
    <n v="27348.711250857359"/>
  </r>
  <r>
    <s v="Sistema de Compensação"/>
    <x v="1"/>
    <x v="0"/>
    <x v="5"/>
    <x v="0"/>
    <x v="0"/>
    <x v="0"/>
    <x v="0"/>
    <x v="1"/>
    <n v="5036"/>
    <n v="5036"/>
    <n v="638.50400000000002"/>
    <n v="638.50400000000002"/>
    <n v="638.50400000000002"/>
    <n v="638.50400000000002"/>
    <n v="0"/>
    <x v="1"/>
    <n v="0"/>
    <n v="20"/>
    <n v="22"/>
    <n v="67"/>
    <n v="26.22"/>
    <n v="62.57"/>
    <n v="242.82"/>
    <n v="28.891757284072764"/>
    <n v="75.886085105957733"/>
    <n v="224.53785920244138"/>
    <n v="132043.91999999998"/>
    <n v="39951.19528"/>
    <n v="155041.54128"/>
    <n v="145498.88968259044"/>
    <n v="48453.568884494438"/>
    <n v="143368.32125219563"/>
  </r>
  <r>
    <s v="Regular"/>
    <x v="1"/>
    <x v="0"/>
    <x v="5"/>
    <x v="0"/>
    <x v="0"/>
    <x v="0"/>
    <x v="0"/>
    <x v="2"/>
    <n v="4194"/>
    <n v="4194"/>
    <n v="1163.0360000000001"/>
    <n v="1163.0360000000001"/>
    <n v="1163.0360000000001"/>
    <n v="1163.0360000000001"/>
    <n v="0"/>
    <x v="1"/>
    <n v="0"/>
    <n v="20"/>
    <n v="22"/>
    <n v="67"/>
    <n v="26.22"/>
    <n v="62.57"/>
    <n v="242.82"/>
    <n v="28.891757284072764"/>
    <n v="75.886085105957733"/>
    <n v="224.53785920244138"/>
    <n v="109966.68"/>
    <n v="72771.162519999998"/>
    <n v="282408.40152000001"/>
    <n v="121172.03004940118"/>
    <n v="88258.248877292659"/>
    <n v="261145.61361537062"/>
  </r>
  <r>
    <s v="Sistema de Compensação"/>
    <x v="1"/>
    <x v="0"/>
    <x v="5"/>
    <x v="0"/>
    <x v="0"/>
    <x v="0"/>
    <x v="0"/>
    <x v="2"/>
    <n v="5036"/>
    <n v="5036"/>
    <n v="572.60799999999995"/>
    <n v="572.60799999999995"/>
    <n v="572.60799999999995"/>
    <n v="572.60799999999995"/>
    <n v="0"/>
    <x v="1"/>
    <n v="0"/>
    <n v="20"/>
    <n v="22"/>
    <n v="67"/>
    <n v="26.22"/>
    <n v="62.57"/>
    <n v="242.82"/>
    <n v="28.891757284072764"/>
    <n v="75.886085105957733"/>
    <n v="224.53785920244138"/>
    <n v="132043.91999999998"/>
    <n v="35828.082559999995"/>
    <n v="139040.67455999998"/>
    <n v="145498.88968259044"/>
    <n v="43452.97942035224"/>
    <n v="128572.17448219155"/>
  </r>
  <r>
    <s v="Regular"/>
    <x v="1"/>
    <x v="0"/>
    <x v="5"/>
    <x v="0"/>
    <x v="0"/>
    <x v="0"/>
    <x v="0"/>
    <x v="3"/>
    <n v="3940"/>
    <n v="3940"/>
    <n v="1044.9079999999999"/>
    <n v="1044.9079999999999"/>
    <n v="1044.9079999999999"/>
    <n v="1044.9079999999999"/>
    <n v="0"/>
    <x v="1"/>
    <n v="0"/>
    <n v="20"/>
    <n v="22"/>
    <n v="67"/>
    <n v="26.22"/>
    <n v="62.57"/>
    <n v="242.82"/>
    <n v="28.891757284072764"/>
    <n v="75.886085105957733"/>
    <n v="224.53785920244138"/>
    <n v="103306.79999999999"/>
    <n v="65379.893559999997"/>
    <n v="253724.56055999998"/>
    <n v="113833.52369924668"/>
    <n v="79293.977415896079"/>
    <n v="234621.40538350461"/>
  </r>
  <r>
    <s v="Sistema de Compensação"/>
    <x v="1"/>
    <x v="0"/>
    <x v="5"/>
    <x v="0"/>
    <x v="0"/>
    <x v="0"/>
    <x v="0"/>
    <x v="3"/>
    <n v="5036"/>
    <n v="5036"/>
    <n v="675.63800000000003"/>
    <n v="675.63800000000003"/>
    <n v="675.63800000000003"/>
    <n v="675.63800000000003"/>
    <n v="0"/>
    <x v="1"/>
    <n v="0"/>
    <n v="20"/>
    <n v="22"/>
    <n v="67"/>
    <n v="26.22"/>
    <n v="62.57"/>
    <n v="242.82"/>
    <n v="28.891757284072764"/>
    <n v="75.886085105957733"/>
    <n v="224.53785920244138"/>
    <n v="132043.91999999998"/>
    <n v="42274.66966"/>
    <n v="164058.41915999999"/>
    <n v="145498.88968259044"/>
    <n v="51271.522768819072"/>
    <n v="151706.3101158191"/>
  </r>
  <r>
    <s v="Regular"/>
    <x v="1"/>
    <x v="0"/>
    <x v="5"/>
    <x v="0"/>
    <x v="0"/>
    <x v="0"/>
    <x v="0"/>
    <x v="4"/>
    <n v="3983"/>
    <n v="3983"/>
    <n v="1084.0260000000001"/>
    <n v="1084.0260000000001"/>
    <n v="1084.0260000000001"/>
    <n v="1084.0260000000001"/>
    <n v="0"/>
    <x v="1"/>
    <n v="0"/>
    <n v="20"/>
    <n v="22"/>
    <n v="67"/>
    <n v="26.22"/>
    <n v="62.57"/>
    <n v="242.82"/>
    <n v="28.891757284072764"/>
    <n v="75.886085105957733"/>
    <n v="224.53785920244138"/>
    <n v="104434.26"/>
    <n v="67827.50682000001"/>
    <n v="263223.19332000002"/>
    <n v="115075.86926246181"/>
    <n v="82262.489293070947"/>
    <n v="243404.87735978575"/>
  </r>
  <r>
    <s v="Sistema de Compensação"/>
    <x v="1"/>
    <x v="0"/>
    <x v="5"/>
    <x v="0"/>
    <x v="0"/>
    <x v="0"/>
    <x v="0"/>
    <x v="4"/>
    <n v="5036"/>
    <n v="5036"/>
    <n v="668.29399999999998"/>
    <n v="668.29399999999998"/>
    <n v="668.29399999999998"/>
    <n v="668.29399999999998"/>
    <n v="0"/>
    <x v="1"/>
    <n v="0"/>
    <n v="20"/>
    <n v="22"/>
    <n v="67"/>
    <n v="26.22"/>
    <n v="62.57"/>
    <n v="242.82"/>
    <n v="28.891757284072764"/>
    <n v="75.886085105957733"/>
    <n v="224.53785920244138"/>
    <n v="132043.91999999998"/>
    <n v="41815.155579999999"/>
    <n v="162275.14908"/>
    <n v="145498.88968259044"/>
    <n v="50714.215359800917"/>
    <n v="150057.30407783636"/>
  </r>
  <r>
    <s v="Regular"/>
    <x v="1"/>
    <x v="0"/>
    <x v="5"/>
    <x v="0"/>
    <x v="0"/>
    <x v="0"/>
    <x v="0"/>
    <x v="5"/>
    <n v="3907"/>
    <n v="3907"/>
    <n v="1014.723"/>
    <n v="1014.723"/>
    <n v="1014.723"/>
    <n v="1014.723"/>
    <n v="0"/>
    <x v="1"/>
    <n v="0"/>
    <n v="20"/>
    <n v="22"/>
    <n v="67"/>
    <n v="26.22"/>
    <n v="62.57"/>
    <n v="242.82"/>
    <n v="28.891757284072764"/>
    <n v="75.886085105957733"/>
    <n v="224.53785920244138"/>
    <n v="102441.54"/>
    <n v="63491.218109999994"/>
    <n v="246395.03885999997"/>
    <n v="112880.09570887229"/>
    <n v="77003.355936972745"/>
    <n v="227843.73010347891"/>
  </r>
  <r>
    <s v="Sistema de Compensação"/>
    <x v="1"/>
    <x v="0"/>
    <x v="5"/>
    <x v="0"/>
    <x v="0"/>
    <x v="0"/>
    <x v="0"/>
    <x v="5"/>
    <n v="5036"/>
    <n v="5036"/>
    <n v="564.1"/>
    <n v="564.1"/>
    <n v="564.1"/>
    <n v="564.1"/>
    <n v="0"/>
    <x v="1"/>
    <n v="0"/>
    <n v="20"/>
    <n v="22"/>
    <n v="67"/>
    <n v="26.22"/>
    <n v="62.57"/>
    <n v="242.82"/>
    <n v="28.891757284072764"/>
    <n v="75.886085105957733"/>
    <n v="224.53785920244138"/>
    <n v="132043.91999999998"/>
    <n v="35295.737000000001"/>
    <n v="136974.76199999999"/>
    <n v="145498.88968259044"/>
    <n v="42807.340608270759"/>
    <n v="126661.80637609719"/>
  </r>
  <r>
    <s v="Regular"/>
    <x v="1"/>
    <x v="0"/>
    <x v="5"/>
    <x v="0"/>
    <x v="0"/>
    <x v="0"/>
    <x v="0"/>
    <x v="6"/>
    <n v="4360"/>
    <n v="4360"/>
    <n v="1054.931"/>
    <n v="1054.931"/>
    <n v="1054.931"/>
    <n v="1054.931"/>
    <n v="0"/>
    <x v="1"/>
    <n v="0"/>
    <n v="20"/>
    <n v="22"/>
    <n v="67"/>
    <n v="26.22"/>
    <n v="62.57"/>
    <n v="242.82"/>
    <n v="28.891757284072764"/>
    <n v="75.886085105957733"/>
    <n v="224.53785920244138"/>
    <n v="114319.2"/>
    <n v="66007.032670000001"/>
    <n v="256158.34542"/>
    <n v="125968.06175855725"/>
    <n v="80054.583646913103"/>
    <n v="236871.94834629071"/>
  </r>
  <r>
    <s v="Sistema de Compensação"/>
    <x v="1"/>
    <x v="0"/>
    <x v="5"/>
    <x v="0"/>
    <x v="0"/>
    <x v="0"/>
    <x v="0"/>
    <x v="6"/>
    <n v="5036"/>
    <n v="5036"/>
    <n v="641.90800000000002"/>
    <n v="641.90800000000002"/>
    <n v="641.90800000000002"/>
    <n v="641.90800000000002"/>
    <n v="0"/>
    <x v="1"/>
    <n v="0"/>
    <n v="20"/>
    <n v="22"/>
    <n v="67"/>
    <n v="26.22"/>
    <n v="62.57"/>
    <n v="242.82"/>
    <n v="28.891757284072764"/>
    <n v="75.886085105957733"/>
    <n v="224.53785920244138"/>
    <n v="132043.91999999998"/>
    <n v="40164.183559999998"/>
    <n v="155868.10055999999"/>
    <n v="145498.88968259044"/>
    <n v="48711.885118195118"/>
    <n v="144132.64812492076"/>
  </r>
  <r>
    <s v="Regular"/>
    <x v="1"/>
    <x v="0"/>
    <x v="5"/>
    <x v="0"/>
    <x v="0"/>
    <x v="0"/>
    <x v="0"/>
    <x v="7"/>
    <n v="3954"/>
    <n v="3954"/>
    <n v="1054.376"/>
    <n v="1054.376"/>
    <n v="1054.376"/>
    <n v="1054.376"/>
    <n v="0"/>
    <x v="1"/>
    <n v="0"/>
    <n v="20"/>
    <n v="22"/>
    <n v="67"/>
    <n v="26.22"/>
    <n v="62.57"/>
    <n v="242.82"/>
    <n v="28.891757284072764"/>
    <n v="75.886085105957733"/>
    <n v="224.53785920244138"/>
    <n v="103673.87999999999"/>
    <n v="65972.306320000003"/>
    <n v="256023.58031999998"/>
    <n v="114238.0083012237"/>
    <n v="80012.466869679294"/>
    <n v="236747.32983443333"/>
  </r>
  <r>
    <s v="Sistema de Compensação"/>
    <x v="1"/>
    <x v="0"/>
    <x v="5"/>
    <x v="0"/>
    <x v="0"/>
    <x v="0"/>
    <x v="0"/>
    <x v="7"/>
    <n v="5036"/>
    <n v="5036"/>
    <n v="850.57500000000005"/>
    <n v="850.57500000000005"/>
    <n v="850.57500000000005"/>
    <n v="850.57500000000005"/>
    <n v="0"/>
    <x v="1"/>
    <n v="0"/>
    <n v="20"/>
    <n v="22"/>
    <n v="67"/>
    <n v="26.22"/>
    <n v="62.57"/>
    <n v="242.82"/>
    <n v="28.891757284072764"/>
    <n v="75.886085105957733"/>
    <n v="224.53785920244138"/>
    <n v="132043.91999999998"/>
    <n v="53220.477750000005"/>
    <n v="206536.62150000001"/>
    <n v="145498.88968259044"/>
    <n v="64546.806839000004"/>
    <n v="190986.2895911166"/>
  </r>
  <r>
    <s v="Regular"/>
    <x v="1"/>
    <x v="0"/>
    <x v="5"/>
    <x v="0"/>
    <x v="0"/>
    <x v="0"/>
    <x v="0"/>
    <x v="8"/>
    <n v="3959"/>
    <n v="3959"/>
    <n v="1012.4589999999999"/>
    <n v="1012.4589999999999"/>
    <n v="1012.4589999999999"/>
    <n v="1012.4589999999999"/>
    <n v="0"/>
    <x v="1"/>
    <n v="0"/>
    <n v="20"/>
    <n v="22"/>
    <n v="67"/>
    <n v="26.22"/>
    <n v="62.57"/>
    <n v="242.82"/>
    <n v="28.891757284072764"/>
    <n v="75.886085105957733"/>
    <n v="224.53785920244138"/>
    <n v="103804.98"/>
    <n v="63349.559629999996"/>
    <n v="245845.29437999998"/>
    <n v="114382.46708764407"/>
    <n v="76831.54984029285"/>
    <n v="227335.37639024458"/>
  </r>
  <r>
    <s v="Sistema de Compensação"/>
    <x v="1"/>
    <x v="0"/>
    <x v="5"/>
    <x v="0"/>
    <x v="0"/>
    <x v="0"/>
    <x v="0"/>
    <x v="8"/>
    <n v="5036"/>
    <n v="5036"/>
    <n v="841.072"/>
    <n v="841.072"/>
    <n v="841.072"/>
    <n v="841.072"/>
    <n v="0"/>
    <x v="1"/>
    <n v="0"/>
    <n v="20"/>
    <n v="22"/>
    <n v="67"/>
    <n v="26.22"/>
    <n v="62.57"/>
    <n v="242.82"/>
    <n v="28.891757284072764"/>
    <n v="75.886085105957733"/>
    <n v="224.53785920244138"/>
    <n v="132043.91999999998"/>
    <n v="52625.875039999999"/>
    <n v="204229.10303999999"/>
    <n v="145498.88968259044"/>
    <n v="63825.661372238079"/>
    <n v="188852.50631511578"/>
  </r>
  <r>
    <s v="Regular"/>
    <x v="1"/>
    <x v="0"/>
    <x v="5"/>
    <x v="0"/>
    <x v="0"/>
    <x v="0"/>
    <x v="0"/>
    <x v="9"/>
    <n v="3952"/>
    <n v="3952"/>
    <n v="1017.345"/>
    <n v="1017.345"/>
    <n v="1017.345"/>
    <n v="1017.345"/>
    <n v="0"/>
    <x v="1"/>
    <n v="0"/>
    <n v="20"/>
    <n v="22"/>
    <n v="67"/>
    <n v="26.22"/>
    <n v="62.57"/>
    <n v="242.82"/>
    <n v="28.891757284072764"/>
    <n v="75.886085105957733"/>
    <n v="224.53785920244138"/>
    <n v="103621.44"/>
    <n v="63655.27665"/>
    <n v="247031.71290000001"/>
    <n v="114180.22478665556"/>
    <n v="77202.329252120573"/>
    <n v="228432.46837030773"/>
  </r>
  <r>
    <s v="Sistema de Compensação"/>
    <x v="1"/>
    <x v="0"/>
    <x v="5"/>
    <x v="0"/>
    <x v="0"/>
    <x v="0"/>
    <x v="0"/>
    <x v="9"/>
    <n v="5036"/>
    <n v="5036"/>
    <n v="914.46600000000001"/>
    <n v="914.46600000000001"/>
    <n v="914.46600000000001"/>
    <n v="914.46600000000001"/>
    <n v="0"/>
    <x v="1"/>
    <n v="0"/>
    <n v="20"/>
    <n v="22"/>
    <n v="67"/>
    <n v="26.22"/>
    <n v="62.57"/>
    <n v="242.82"/>
    <n v="28.891757284072764"/>
    <n v="75.886085105957733"/>
    <n v="224.53785920244138"/>
    <n v="132043.91999999998"/>
    <n v="57218.137620000001"/>
    <n v="222050.63412"/>
    <n v="145498.88968259044"/>
    <n v="69395.244702504744"/>
    <n v="205332.23795341977"/>
  </r>
  <r>
    <s v="Regular"/>
    <x v="1"/>
    <x v="0"/>
    <x v="5"/>
    <x v="0"/>
    <x v="0"/>
    <x v="0"/>
    <x v="0"/>
    <x v="10"/>
    <n v="3881"/>
    <n v="3881"/>
    <n v="896.73500000000001"/>
    <n v="896.73500000000001"/>
    <n v="896.73500000000001"/>
    <n v="896.73500000000001"/>
    <n v="0"/>
    <x v="1"/>
    <n v="0"/>
    <n v="20"/>
    <n v="22"/>
    <n v="67"/>
    <n v="26.22"/>
    <n v="62.57"/>
    <n v="242.82"/>
    <n v="28.891757284072764"/>
    <n v="75.886085105957733"/>
    <n v="224.53785920244138"/>
    <n v="101759.81999999999"/>
    <n v="56108.70895"/>
    <n v="217745.19269999999"/>
    <n v="112128.9100194864"/>
    <n v="68049.708527491006"/>
    <n v="201350.95717190127"/>
  </r>
  <r>
    <s v="Sistema de Compensação"/>
    <x v="1"/>
    <x v="0"/>
    <x v="5"/>
    <x v="0"/>
    <x v="0"/>
    <x v="0"/>
    <x v="0"/>
    <x v="10"/>
    <n v="5036"/>
    <n v="5036"/>
    <n v="709.71100000000001"/>
    <n v="709.71100000000001"/>
    <n v="709.71100000000001"/>
    <n v="709.71100000000001"/>
    <n v="0"/>
    <x v="1"/>
    <n v="0"/>
    <n v="20"/>
    <n v="22"/>
    <n v="67"/>
    <n v="26.22"/>
    <n v="62.57"/>
    <n v="242.82"/>
    <n v="28.891757284072764"/>
    <n v="75.886085105957733"/>
    <n v="224.53785920244138"/>
    <n v="132043.91999999998"/>
    <n v="44406.617270000002"/>
    <n v="172332.02502"/>
    <n v="145498.88968259044"/>
    <n v="53857.189346634368"/>
    <n v="159356.98859242388"/>
  </r>
  <r>
    <s v="PROJETADO"/>
    <x v="1"/>
    <x v="0"/>
    <x v="5"/>
    <x v="0"/>
    <x v="0"/>
    <x v="0"/>
    <x v="0"/>
    <x v="11"/>
    <n v="3881"/>
    <n v="3881"/>
    <n v="896.73500000000001"/>
    <n v="896.73500000000001"/>
    <n v="896.73500000000001"/>
    <n v="896.73500000000001"/>
    <n v="0"/>
    <x v="1"/>
    <n v="0"/>
    <n v="20"/>
    <n v="22"/>
    <n v="67"/>
    <n v="26.22"/>
    <n v="62.57"/>
    <n v="242.82"/>
    <n v="28.891757284072764"/>
    <n v="75.886085105957733"/>
    <n v="224.53785920244138"/>
    <n v="101759.81999999999"/>
    <n v="56108.70895"/>
    <n v="217745.19269999999"/>
    <n v="112128.9100194864"/>
    <n v="68049.708527491006"/>
    <n v="201350.95717190127"/>
  </r>
  <r>
    <s v="PROJETADO"/>
    <x v="1"/>
    <x v="0"/>
    <x v="5"/>
    <x v="0"/>
    <x v="0"/>
    <x v="0"/>
    <x v="0"/>
    <x v="11"/>
    <n v="5036"/>
    <n v="5036"/>
    <n v="709.71100000000001"/>
    <n v="709.71100000000001"/>
    <n v="709.71100000000001"/>
    <n v="709.71100000000001"/>
    <n v="0"/>
    <x v="1"/>
    <n v="0"/>
    <n v="20"/>
    <n v="22"/>
    <n v="67"/>
    <n v="26.22"/>
    <n v="62.57"/>
    <n v="242.82"/>
    <n v="28.891757284072764"/>
    <n v="75.886085105957733"/>
    <n v="224.53785920244138"/>
    <n v="132043.91999999998"/>
    <n v="44406.617270000002"/>
    <n v="172332.02502"/>
    <n v="145498.88968259044"/>
    <n v="53857.189346634368"/>
    <n v="159356.98859242388"/>
  </r>
  <r>
    <s v="Regular"/>
    <x v="1"/>
    <x v="0"/>
    <x v="5"/>
    <x v="0"/>
    <x v="0"/>
    <x v="0"/>
    <x v="2"/>
    <x v="0"/>
    <n v="5813"/>
    <n v="5813"/>
    <n v="146.81899999999999"/>
    <n v="146.81899999999999"/>
    <n v="146.81899999999999"/>
    <n v="146.81899999999999"/>
    <n v="0"/>
    <x v="1"/>
    <n v="0"/>
    <n v="18"/>
    <n v="22"/>
    <n v="66"/>
    <n v="52.15"/>
    <n v="62.57"/>
    <n v="397.62"/>
    <n v="57.437679027724307"/>
    <n v="75.886085105957733"/>
    <n v="351.67159959099928"/>
    <n v="303147.95"/>
    <n v="9186.464829999999"/>
    <n v="58378.170779999993"/>
    <n v="333885.22818816139"/>
    <n v="11141.519129171607"/>
    <n v="51632.072580350919"/>
  </r>
  <r>
    <s v="Sistema de Compensação"/>
    <x v="1"/>
    <x v="0"/>
    <x v="5"/>
    <x v="0"/>
    <x v="0"/>
    <x v="0"/>
    <x v="2"/>
    <x v="0"/>
    <n v="543"/>
    <n v="543"/>
    <n v="7.1459999999999999"/>
    <n v="7.1459999999999999"/>
    <n v="7.1459999999999999"/>
    <n v="7.1459999999999999"/>
    <n v="0"/>
    <x v="1"/>
    <n v="0"/>
    <n v="18"/>
    <n v="22"/>
    <n v="66"/>
    <n v="52.15"/>
    <n v="62.57"/>
    <n v="397.62"/>
    <n v="57.437679027724307"/>
    <n v="75.886085105957733"/>
    <n v="351.67159959099928"/>
    <n v="28317.45"/>
    <n v="447.12522000000001"/>
    <n v="2841.3925199999999"/>
    <n v="31188.659712054297"/>
    <n v="542.2819641671739"/>
    <n v="2513.0452506772808"/>
  </r>
  <r>
    <s v="Regular"/>
    <x v="1"/>
    <x v="0"/>
    <x v="5"/>
    <x v="0"/>
    <x v="0"/>
    <x v="0"/>
    <x v="2"/>
    <x v="1"/>
    <n v="3042"/>
    <n v="3042"/>
    <n v="103.00700000000001"/>
    <n v="103.00700000000001"/>
    <n v="103.00700000000001"/>
    <n v="103.00700000000001"/>
    <n v="0"/>
    <x v="1"/>
    <n v="0"/>
    <n v="18"/>
    <n v="22"/>
    <n v="66"/>
    <n v="52.15"/>
    <n v="62.57"/>
    <n v="397.62"/>
    <n v="57.437679027724307"/>
    <n v="75.886085105957733"/>
    <n v="351.67159959099928"/>
    <n v="158640.29999999999"/>
    <n v="6445.1479900000004"/>
    <n v="40957.643340000002"/>
    <n v="174725.41960233735"/>
    <n v="7816.7979685093887"/>
    <n v="36224.636459070061"/>
  </r>
  <r>
    <s v="Refaturamento - Regular"/>
    <x v="1"/>
    <x v="0"/>
    <x v="5"/>
    <x v="0"/>
    <x v="0"/>
    <x v="0"/>
    <x v="2"/>
    <x v="1"/>
    <n v="318"/>
    <n v="318"/>
    <n v="13.2"/>
    <n v="13.2"/>
    <n v="13.2"/>
    <n v="13.2"/>
    <n v="0"/>
    <x v="1"/>
    <n v="0"/>
    <n v="18"/>
    <n v="22"/>
    <n v="66"/>
    <n v="52.15"/>
    <n v="62.57"/>
    <n v="397.62"/>
    <n v="57.437679027724307"/>
    <n v="75.886085105957733"/>
    <n v="351.67159959099928"/>
    <n v="16583.7"/>
    <n v="825.92399999999998"/>
    <n v="5248.5839999999998"/>
    <n v="18265.181930816329"/>
    <n v="1001.696323398642"/>
    <n v="4642.0651146011905"/>
  </r>
  <r>
    <s v="Sistema de Compensação"/>
    <x v="1"/>
    <x v="0"/>
    <x v="5"/>
    <x v="0"/>
    <x v="0"/>
    <x v="0"/>
    <x v="2"/>
    <x v="1"/>
    <n v="3396"/>
    <n v="3396"/>
    <n v="67.055999999999997"/>
    <n v="67.055999999999997"/>
    <n v="67.055999999999997"/>
    <n v="67.055999999999997"/>
    <n v="0"/>
    <x v="1"/>
    <n v="0"/>
    <n v="18"/>
    <n v="22"/>
    <n v="66"/>
    <n v="52.15"/>
    <n v="62.57"/>
    <n v="397.62"/>
    <n v="57.437679027724307"/>
    <n v="75.886085105957733"/>
    <n v="351.67159959099928"/>
    <n v="177101.4"/>
    <n v="4195.6939199999997"/>
    <n v="26662.80672"/>
    <n v="195058.35797815176"/>
    <n v="5088.6173228651014"/>
    <n v="23581.690782174046"/>
  </r>
  <r>
    <s v="Regular"/>
    <x v="1"/>
    <x v="0"/>
    <x v="5"/>
    <x v="0"/>
    <x v="0"/>
    <x v="0"/>
    <x v="2"/>
    <x v="2"/>
    <n v="3169"/>
    <n v="3169"/>
    <n v="109.072"/>
    <n v="109.072"/>
    <n v="109.072"/>
    <n v="109.072"/>
    <n v="0"/>
    <x v="1"/>
    <n v="0"/>
    <n v="18"/>
    <n v="22"/>
    <n v="66"/>
    <n v="52.15"/>
    <n v="62.57"/>
    <n v="397.62"/>
    <n v="57.437679027724307"/>
    <n v="75.886085105957733"/>
    <n v="351.67159959099928"/>
    <n v="165263.35"/>
    <n v="6824.6350400000001"/>
    <n v="43369.208640000004"/>
    <n v="182020.00483885832"/>
    <n v="8277.0470746770225"/>
    <n v="38357.524710589474"/>
  </r>
  <r>
    <s v="Sistema de Compensação"/>
    <x v="1"/>
    <x v="0"/>
    <x v="5"/>
    <x v="0"/>
    <x v="0"/>
    <x v="0"/>
    <x v="2"/>
    <x v="2"/>
    <n v="3396"/>
    <n v="3396"/>
    <n v="56.101999999999997"/>
    <n v="56.101999999999997"/>
    <n v="56.101999999999997"/>
    <n v="56.101999999999997"/>
    <n v="0"/>
    <x v="1"/>
    <n v="0"/>
    <n v="18"/>
    <n v="22"/>
    <n v="66"/>
    <n v="52.15"/>
    <n v="62.57"/>
    <n v="397.62"/>
    <n v="57.437679027724307"/>
    <n v="75.886085105957733"/>
    <n v="351.67159959099928"/>
    <n v="177101.4"/>
    <n v="3510.3021399999998"/>
    <n v="22307.277239999999"/>
    <n v="195058.35797815176"/>
    <n v="4257.3611466144403"/>
    <n v="19729.480080254241"/>
  </r>
  <r>
    <s v="Regular"/>
    <x v="1"/>
    <x v="0"/>
    <x v="5"/>
    <x v="0"/>
    <x v="0"/>
    <x v="0"/>
    <x v="2"/>
    <x v="3"/>
    <n v="3038"/>
    <n v="3038"/>
    <n v="96.266000000000005"/>
    <n v="96.266000000000005"/>
    <n v="96.266000000000005"/>
    <n v="96.266000000000005"/>
    <n v="0"/>
    <x v="1"/>
    <n v="0"/>
    <n v="18"/>
    <n v="22"/>
    <n v="66"/>
    <n v="52.15"/>
    <n v="62.57"/>
    <n v="397.62"/>
    <n v="57.437679027724307"/>
    <n v="75.886085105957733"/>
    <n v="351.67159959099928"/>
    <n v="158431.69999999998"/>
    <n v="6023.3636200000001"/>
    <n v="38277.286920000006"/>
    <n v="174495.66888622646"/>
    <n v="7305.2498688101277"/>
    <n v="33854.018206227141"/>
  </r>
  <r>
    <s v="Sistema de Compensação"/>
    <x v="1"/>
    <x v="0"/>
    <x v="5"/>
    <x v="0"/>
    <x v="0"/>
    <x v="0"/>
    <x v="2"/>
    <x v="3"/>
    <n v="3396"/>
    <n v="3396"/>
    <n v="60.844000000000001"/>
    <n v="60.844000000000001"/>
    <n v="60.844000000000001"/>
    <n v="60.844000000000001"/>
    <n v="0"/>
    <x v="1"/>
    <n v="0"/>
    <n v="18"/>
    <n v="22"/>
    <n v="66"/>
    <n v="52.15"/>
    <n v="62.57"/>
    <n v="397.62"/>
    <n v="57.437679027724307"/>
    <n v="75.886085105957733"/>
    <n v="351.67159959099928"/>
    <n v="177101.4"/>
    <n v="3807.0090800000003"/>
    <n v="24192.791280000001"/>
    <n v="195058.35797815176"/>
    <n v="4617.2129621868926"/>
    <n v="21397.106805514759"/>
  </r>
  <r>
    <s v="Regular"/>
    <x v="1"/>
    <x v="0"/>
    <x v="5"/>
    <x v="0"/>
    <x v="0"/>
    <x v="0"/>
    <x v="2"/>
    <x v="4"/>
    <n v="2986"/>
    <n v="2986"/>
    <n v="109.33499999999999"/>
    <n v="109.33499999999999"/>
    <n v="109.33499999999999"/>
    <n v="109.33499999999999"/>
    <n v="0"/>
    <x v="1"/>
    <n v="0"/>
    <n v="18"/>
    <n v="22"/>
    <n v="66"/>
    <n v="52.15"/>
    <n v="62.57"/>
    <n v="397.62"/>
    <n v="57.437679027724307"/>
    <n v="75.886085105957733"/>
    <n v="351.67159959099928"/>
    <n v="155719.9"/>
    <n v="6841.0909499999998"/>
    <n v="43473.782699999996"/>
    <n v="171508.90957678479"/>
    <n v="8297.0051150598883"/>
    <n v="38450.014341281902"/>
  </r>
  <r>
    <s v="Sistema de Compensação"/>
    <x v="1"/>
    <x v="0"/>
    <x v="5"/>
    <x v="0"/>
    <x v="0"/>
    <x v="0"/>
    <x v="2"/>
    <x v="4"/>
    <n v="3396"/>
    <n v="3396"/>
    <n v="68.367999999999995"/>
    <n v="68.367999999999995"/>
    <n v="68.367999999999995"/>
    <n v="68.367999999999995"/>
    <n v="0"/>
    <x v="1"/>
    <n v="0"/>
    <n v="18"/>
    <n v="22"/>
    <n v="66"/>
    <n v="52.15"/>
    <n v="62.57"/>
    <n v="397.62"/>
    <n v="57.437679027724307"/>
    <n v="75.886085105957733"/>
    <n v="351.67159959099928"/>
    <n v="177101.4"/>
    <n v="4277.7857599999998"/>
    <n v="27184.48416"/>
    <n v="195058.35797815176"/>
    <n v="5188.1798665241176"/>
    <n v="24043.083920837438"/>
  </r>
  <r>
    <s v="Regular"/>
    <x v="1"/>
    <x v="0"/>
    <x v="5"/>
    <x v="0"/>
    <x v="0"/>
    <x v="0"/>
    <x v="2"/>
    <x v="5"/>
    <n v="2928"/>
    <n v="2928"/>
    <n v="98.435000000000002"/>
    <n v="98.435000000000002"/>
    <n v="98.435000000000002"/>
    <n v="98.435000000000002"/>
    <n v="0"/>
    <x v="1"/>
    <n v="0"/>
    <n v="18"/>
    <n v="22"/>
    <n v="66"/>
    <n v="52.15"/>
    <n v="62.57"/>
    <n v="397.62"/>
    <n v="57.437679027724307"/>
    <n v="75.886085105957733"/>
    <n v="351.67159959099928"/>
    <n v="152695.19999999998"/>
    <n v="6159.0779499999999"/>
    <n v="39139.724699999999"/>
    <n v="168177.52419317677"/>
    <n v="7469.8467874049493"/>
    <n v="34616.793905740014"/>
  </r>
  <r>
    <s v="Sistema de Compensação"/>
    <x v="1"/>
    <x v="0"/>
    <x v="5"/>
    <x v="0"/>
    <x v="0"/>
    <x v="0"/>
    <x v="2"/>
    <x v="5"/>
    <n v="3396"/>
    <n v="3396"/>
    <n v="55.548000000000002"/>
    <n v="55.548000000000002"/>
    <n v="55.548000000000002"/>
    <n v="55.548000000000002"/>
    <n v="0"/>
    <x v="1"/>
    <n v="0"/>
    <n v="18"/>
    <n v="22"/>
    <n v="66"/>
    <n v="52.15"/>
    <n v="62.57"/>
    <n v="397.62"/>
    <n v="57.437679027724307"/>
    <n v="75.886085105957733"/>
    <n v="351.67159959099928"/>
    <n v="177101.4"/>
    <n v="3475.6383599999999"/>
    <n v="22086.995760000002"/>
    <n v="195058.35797815176"/>
    <n v="4215.32025546574"/>
    <n v="19534.654014080828"/>
  </r>
  <r>
    <s v="Regular"/>
    <x v="1"/>
    <x v="0"/>
    <x v="5"/>
    <x v="0"/>
    <x v="0"/>
    <x v="0"/>
    <x v="2"/>
    <x v="6"/>
    <n v="3389"/>
    <n v="3389"/>
    <n v="119.373"/>
    <n v="119.373"/>
    <n v="119.373"/>
    <n v="119.373"/>
    <n v="0"/>
    <x v="1"/>
    <n v="0"/>
    <n v="18"/>
    <n v="22"/>
    <n v="66"/>
    <n v="52.15"/>
    <n v="62.57"/>
    <n v="397.62"/>
    <n v="57.437679027724307"/>
    <n v="75.886085105957733"/>
    <n v="351.67159959099928"/>
    <n v="176736.35"/>
    <n v="7469.1686100000006"/>
    <n v="47465.092260000005"/>
    <n v="194656.29422495767"/>
    <n v="9058.7496373534923"/>
    <n v="41980.093857976361"/>
  </r>
  <r>
    <s v="Sistema de Compensação"/>
    <x v="1"/>
    <x v="0"/>
    <x v="5"/>
    <x v="0"/>
    <x v="0"/>
    <x v="0"/>
    <x v="2"/>
    <x v="6"/>
    <n v="3396"/>
    <n v="3396"/>
    <n v="60.972000000000001"/>
    <n v="60.972000000000001"/>
    <n v="60.972000000000001"/>
    <n v="60.972000000000001"/>
    <n v="0"/>
    <x v="1"/>
    <n v="0"/>
    <n v="18"/>
    <n v="22"/>
    <n v="66"/>
    <n v="52.15"/>
    <n v="62.57"/>
    <n v="397.62"/>
    <n v="57.437679027724307"/>
    <n v="75.886085105957733"/>
    <n v="351.67159959099928"/>
    <n v="177101.4"/>
    <n v="3815.0180399999999"/>
    <n v="24243.68664"/>
    <n v="195058.35797815176"/>
    <n v="4626.926381080455"/>
    <n v="21442.120770262409"/>
  </r>
  <r>
    <s v="Regular"/>
    <x v="1"/>
    <x v="0"/>
    <x v="5"/>
    <x v="0"/>
    <x v="0"/>
    <x v="0"/>
    <x v="2"/>
    <x v="7"/>
    <n v="2967"/>
    <n v="2967"/>
    <n v="104.895"/>
    <n v="104.895"/>
    <n v="104.895"/>
    <n v="104.895"/>
    <n v="0"/>
    <x v="1"/>
    <n v="0"/>
    <n v="18"/>
    <n v="22"/>
    <n v="66"/>
    <n v="52.15"/>
    <n v="62.57"/>
    <n v="397.62"/>
    <n v="57.437679027724307"/>
    <n v="75.886085105957733"/>
    <n v="351.67159959099928"/>
    <n v="154729.04999999999"/>
    <n v="6563.2801499999996"/>
    <n v="41708.349900000001"/>
    <n v="170417.59367525802"/>
    <n v="7960.0708971894364"/>
    <n v="36888.592439097869"/>
  </r>
  <r>
    <s v="Sistema de Compensação"/>
    <x v="1"/>
    <x v="0"/>
    <x v="5"/>
    <x v="0"/>
    <x v="0"/>
    <x v="0"/>
    <x v="2"/>
    <x v="7"/>
    <n v="3396"/>
    <n v="3396"/>
    <n v="86.563999999999993"/>
    <n v="86.563999999999993"/>
    <n v="86.563999999999993"/>
    <n v="86.563999999999993"/>
    <n v="0"/>
    <x v="1"/>
    <n v="0"/>
    <n v="18"/>
    <n v="22"/>
    <n v="66"/>
    <n v="52.15"/>
    <n v="62.57"/>
    <n v="397.62"/>
    <n v="57.437679027724307"/>
    <n v="75.886085105957733"/>
    <n v="351.67159959099928"/>
    <n v="177101.4"/>
    <n v="5416.3094799999999"/>
    <n v="34419.577679999995"/>
    <n v="195058.35797815176"/>
    <n v="6569.0030711121244"/>
    <n v="30442.100346995259"/>
  </r>
  <r>
    <s v="Regular"/>
    <x v="1"/>
    <x v="0"/>
    <x v="5"/>
    <x v="0"/>
    <x v="0"/>
    <x v="0"/>
    <x v="2"/>
    <x v="8"/>
    <n v="2971"/>
    <n v="2971"/>
    <n v="91.233999999999995"/>
    <n v="91.233999999999995"/>
    <n v="91.233999999999995"/>
    <n v="91.233999999999995"/>
    <n v="0"/>
    <x v="1"/>
    <n v="0"/>
    <n v="18"/>
    <n v="22"/>
    <n v="66"/>
    <n v="52.15"/>
    <n v="62.57"/>
    <n v="397.62"/>
    <n v="57.437679027724307"/>
    <n v="75.886085105957733"/>
    <n v="351.67159959099928"/>
    <n v="154937.65"/>
    <n v="5708.5113799999999"/>
    <n v="36276.463080000001"/>
    <n v="170647.34439136891"/>
    <n v="6923.3910885569476"/>
    <n v="32084.406717085225"/>
  </r>
  <r>
    <s v="Sistema de Compensação"/>
    <x v="1"/>
    <x v="0"/>
    <x v="5"/>
    <x v="0"/>
    <x v="0"/>
    <x v="0"/>
    <x v="2"/>
    <x v="8"/>
    <n v="3399"/>
    <n v="3399"/>
    <n v="87.722999999999999"/>
    <n v="87.722999999999999"/>
    <n v="87.722999999999999"/>
    <n v="87.722999999999999"/>
    <n v="0"/>
    <x v="1"/>
    <n v="0"/>
    <n v="18"/>
    <n v="22"/>
    <n v="66"/>
    <n v="52.15"/>
    <n v="62.57"/>
    <n v="397.62"/>
    <n v="57.437679027724307"/>
    <n v="75.886085105957733"/>
    <n v="351.67159959099928"/>
    <n v="177257.85"/>
    <n v="5488.8281100000004"/>
    <n v="34880.419260000002"/>
    <n v="195230.67101523493"/>
    <n v="6656.9550437499302"/>
    <n v="30849.687730921229"/>
  </r>
  <r>
    <s v="Regular"/>
    <x v="1"/>
    <x v="0"/>
    <x v="5"/>
    <x v="0"/>
    <x v="0"/>
    <x v="0"/>
    <x v="2"/>
    <x v="9"/>
    <n v="2950"/>
    <n v="2950"/>
    <n v="104.66500000000001"/>
    <n v="104.66500000000001"/>
    <n v="104.66500000000001"/>
    <n v="104.66500000000001"/>
    <n v="0"/>
    <x v="1"/>
    <n v="0"/>
    <n v="18"/>
    <n v="22"/>
    <n v="66"/>
    <n v="52.15"/>
    <n v="62.57"/>
    <n v="397.62"/>
    <n v="57.437679027724307"/>
    <n v="75.886085105957733"/>
    <n v="351.67159959099928"/>
    <n v="153842.5"/>
    <n v="6548.8890500000007"/>
    <n v="41616.897300000004"/>
    <n v="169441.1531317867"/>
    <n v="7942.617097615067"/>
    <n v="36807.707971191943"/>
  </r>
  <r>
    <s v="Sistema de Compensação"/>
    <x v="1"/>
    <x v="0"/>
    <x v="5"/>
    <x v="0"/>
    <x v="0"/>
    <x v="0"/>
    <x v="2"/>
    <x v="9"/>
    <n v="3399"/>
    <n v="3399"/>
    <n v="101.20699999999999"/>
    <n v="101.20699999999999"/>
    <n v="101.20699999999999"/>
    <n v="101.20699999999999"/>
    <n v="0"/>
    <x v="1"/>
    <n v="0"/>
    <n v="18"/>
    <n v="22"/>
    <n v="66"/>
    <n v="52.15"/>
    <n v="62.57"/>
    <n v="397.62"/>
    <n v="57.437679027724307"/>
    <n v="75.886085105957733"/>
    <n v="351.67159959099928"/>
    <n v="177257.85"/>
    <n v="6332.5219899999993"/>
    <n v="40241.927339999995"/>
    <n v="195230.67101523493"/>
    <n v="7680.2030153186633"/>
    <n v="35591.627579806263"/>
  </r>
  <r>
    <s v="Regular"/>
    <x v="1"/>
    <x v="0"/>
    <x v="5"/>
    <x v="0"/>
    <x v="0"/>
    <x v="0"/>
    <x v="2"/>
    <x v="10"/>
    <n v="2879"/>
    <n v="2879"/>
    <n v="88.801000000000002"/>
    <n v="88.801000000000002"/>
    <n v="88.801000000000002"/>
    <n v="88.801000000000002"/>
    <n v="0"/>
    <x v="1"/>
    <n v="0"/>
    <n v="18"/>
    <n v="22"/>
    <n v="66"/>
    <n v="52.15"/>
    <n v="62.57"/>
    <n v="397.62"/>
    <n v="57.437679027724307"/>
    <n v="75.886085105957733"/>
    <n v="351.67159959099928"/>
    <n v="150139.85"/>
    <n v="5556.2785700000004"/>
    <n v="35309.053619999999"/>
    <n v="165363.07792081829"/>
    <n v="6738.7602434941527"/>
    <n v="31228.789715280327"/>
  </r>
  <r>
    <s v="Sistema de Compensação"/>
    <x v="1"/>
    <x v="0"/>
    <x v="5"/>
    <x v="0"/>
    <x v="0"/>
    <x v="0"/>
    <x v="2"/>
    <x v="10"/>
    <n v="3396"/>
    <n v="3396"/>
    <n v="80.043999999999997"/>
    <n v="80.043999999999997"/>
    <n v="80.043999999999997"/>
    <n v="80.043999999999997"/>
    <n v="0"/>
    <x v="1"/>
    <n v="0"/>
    <n v="18"/>
    <n v="22"/>
    <n v="66"/>
    <n v="52.15"/>
    <n v="62.57"/>
    <n v="397.62"/>
    <n v="57.437679027724307"/>
    <n v="75.886085105957733"/>
    <n v="351.67159959099928"/>
    <n v="177101.4"/>
    <n v="5008.3530799999999"/>
    <n v="31827.095279999998"/>
    <n v="195058.35797815176"/>
    <n v="6074.2257962212807"/>
    <n v="28149.201517661946"/>
  </r>
  <r>
    <s v="PROJETADO"/>
    <x v="1"/>
    <x v="0"/>
    <x v="5"/>
    <x v="0"/>
    <x v="0"/>
    <x v="0"/>
    <x v="2"/>
    <x v="11"/>
    <n v="2879"/>
    <n v="2879"/>
    <n v="88.801000000000002"/>
    <n v="88.801000000000002"/>
    <n v="88.801000000000002"/>
    <n v="88.801000000000002"/>
    <n v="0"/>
    <x v="1"/>
    <n v="0"/>
    <n v="18"/>
    <n v="22"/>
    <n v="66"/>
    <n v="52.15"/>
    <n v="62.57"/>
    <n v="397.62"/>
    <n v="57.437679027724307"/>
    <n v="75.886085105957733"/>
    <n v="351.67159959099928"/>
    <n v="150139.85"/>
    <n v="5556.2785700000004"/>
    <n v="35309.053619999999"/>
    <n v="165363.07792081829"/>
    <n v="6738.7602434941527"/>
    <n v="31228.789715280327"/>
  </r>
  <r>
    <s v="PROJETADO"/>
    <x v="1"/>
    <x v="0"/>
    <x v="5"/>
    <x v="0"/>
    <x v="0"/>
    <x v="0"/>
    <x v="2"/>
    <x v="11"/>
    <n v="3396"/>
    <n v="3396"/>
    <n v="80.043999999999997"/>
    <n v="80.043999999999997"/>
    <n v="80.043999999999997"/>
    <n v="80.043999999999997"/>
    <n v="0"/>
    <x v="1"/>
    <n v="0"/>
    <n v="18"/>
    <n v="22"/>
    <n v="66"/>
    <n v="52.15"/>
    <n v="62.57"/>
    <n v="397.62"/>
    <n v="57.437679027724307"/>
    <n v="75.886085105957733"/>
    <n v="351.67159959099928"/>
    <n v="177101.4"/>
    <n v="5008.3530799999999"/>
    <n v="31827.095279999998"/>
    <n v="195058.35797815176"/>
    <n v="6074.2257962212807"/>
    <n v="28149.201517661946"/>
  </r>
  <r>
    <s v="Regular"/>
    <x v="1"/>
    <x v="0"/>
    <x v="3"/>
    <x v="1"/>
    <x v="0"/>
    <x v="0"/>
    <x v="0"/>
    <x v="0"/>
    <n v="15834"/>
    <n v="13458.9"/>
    <n v="6737.0190000000002"/>
    <n v="6332.7978599999997"/>
    <n v="6737.0190000000002"/>
    <n v="6332.7978599999997"/>
    <n v="0"/>
    <x v="1"/>
    <n v="0"/>
    <n v="20"/>
    <n v="22"/>
    <n v="67"/>
    <n v="26.22"/>
    <n v="62.57"/>
    <n v="242.82"/>
    <n v="28.891757284072764"/>
    <n v="75.886085105957733"/>
    <n v="224.53785920244138"/>
    <n v="352892.35799999995"/>
    <n v="396243.16210019996"/>
    <n v="1537729.9763651998"/>
    <n v="388851.27211060689"/>
    <n v="480571.23736278695"/>
    <n v="1421952.8742462019"/>
  </r>
  <r>
    <s v="Regular"/>
    <x v="1"/>
    <x v="0"/>
    <x v="3"/>
    <x v="1"/>
    <x v="0"/>
    <x v="0"/>
    <x v="0"/>
    <x v="1"/>
    <n v="16014"/>
    <n v="13611.9"/>
    <n v="6745.8490000000002"/>
    <n v="6341.0980600000003"/>
    <n v="6745.8490000000002"/>
    <n v="6341.0980600000003"/>
    <n v="0"/>
    <x v="1"/>
    <n v="0"/>
    <n v="20"/>
    <n v="22"/>
    <n v="67"/>
    <n v="26.22"/>
    <n v="62.57"/>
    <n v="242.82"/>
    <n v="28.891757284072764"/>
    <n v="75.886085105957733"/>
    <n v="224.53785920244138"/>
    <n v="356904.01799999998"/>
    <n v="396762.50561420002"/>
    <n v="1539745.4309292"/>
    <n v="393271.71097507002"/>
    <n v="481201.10704638349"/>
    <n v="1423816.5833851541"/>
  </r>
  <r>
    <s v="Regular"/>
    <x v="1"/>
    <x v="0"/>
    <x v="3"/>
    <x v="1"/>
    <x v="0"/>
    <x v="0"/>
    <x v="0"/>
    <x v="2"/>
    <n v="16098"/>
    <n v="13683.3"/>
    <n v="7260.2830000000004"/>
    <n v="6824.6660199999997"/>
    <n v="7260.2830000000004"/>
    <n v="6824.6660199999997"/>
    <n v="0"/>
    <x v="1"/>
    <n v="0"/>
    <n v="20"/>
    <n v="22"/>
    <n v="67"/>
    <n v="26.22"/>
    <n v="62.57"/>
    <n v="242.82"/>
    <n v="28.891757284072764"/>
    <n v="75.886085105957733"/>
    <n v="224.53785920244138"/>
    <n v="358776.12599999999"/>
    <n v="427019.35287139995"/>
    <n v="1657165.4029764"/>
    <n v="395334.5824451528"/>
    <n v="517897.18641345779"/>
    <n v="1532395.8979024459"/>
  </r>
  <r>
    <s v="Regular"/>
    <x v="1"/>
    <x v="0"/>
    <x v="3"/>
    <x v="1"/>
    <x v="0"/>
    <x v="0"/>
    <x v="0"/>
    <x v="3"/>
    <n v="16078"/>
    <n v="13666.3"/>
    <n v="7093.0640000000003"/>
    <n v="6667.4801600000001"/>
    <n v="7093.0640000000003"/>
    <n v="6667.4801600000001"/>
    <n v="0"/>
    <x v="1"/>
    <n v="0"/>
    <n v="20"/>
    <n v="22"/>
    <n v="67"/>
    <n v="26.22"/>
    <n v="62.57"/>
    <n v="242.82"/>
    <n v="28.891757284072764"/>
    <n v="75.886085105957733"/>
    <n v="224.53785920244138"/>
    <n v="358330.38599999994"/>
    <n v="417184.2336112"/>
    <n v="1618997.5324512001"/>
    <n v="394843.42257132358"/>
    <n v="505968.96686404466"/>
    <n v="1497101.7214011513"/>
  </r>
  <r>
    <s v="Regular"/>
    <x v="1"/>
    <x v="0"/>
    <x v="3"/>
    <x v="1"/>
    <x v="0"/>
    <x v="0"/>
    <x v="0"/>
    <x v="4"/>
    <n v="16132"/>
    <n v="13712.199999999999"/>
    <n v="7178.634"/>
    <n v="6747.9159600000003"/>
    <n v="7178.634"/>
    <n v="6747.9159600000003"/>
    <n v="0"/>
    <x v="1"/>
    <n v="0"/>
    <n v="20"/>
    <n v="22"/>
    <n v="67"/>
    <n v="26.22"/>
    <n v="62.57"/>
    <n v="242.82"/>
    <n v="28.891757284072764"/>
    <n v="75.886085105957733"/>
    <n v="224.53785920244138"/>
    <n v="359533.88399999996"/>
    <n v="422217.10161720001"/>
    <n v="1638528.9534072001"/>
    <n v="396169.55423066253"/>
    <n v="512072.9248284105"/>
    <n v="1515162.6037363871"/>
  </r>
  <r>
    <s v="Regular"/>
    <x v="1"/>
    <x v="0"/>
    <x v="3"/>
    <x v="1"/>
    <x v="0"/>
    <x v="0"/>
    <x v="0"/>
    <x v="5"/>
    <n v="16093"/>
    <n v="13679.05"/>
    <n v="7217.5349999999999"/>
    <n v="6784.4829"/>
    <n v="7217.5349999999999"/>
    <n v="6784.4829"/>
    <n v="0"/>
    <x v="1"/>
    <n v="0"/>
    <n v="20"/>
    <n v="22"/>
    <n v="67"/>
    <n v="26.22"/>
    <n v="62.57"/>
    <n v="242.82"/>
    <n v="28.891757284072764"/>
    <n v="75.886085105957733"/>
    <n v="224.53785920244138"/>
    <n v="358664.69099999999"/>
    <n v="424505.09505300003"/>
    <n v="1647408.137778"/>
    <n v="395211.7924766955"/>
    <n v="514847.84674931492"/>
    <n v="1523373.2661615713"/>
  </r>
  <r>
    <s v="Regular"/>
    <x v="1"/>
    <x v="0"/>
    <x v="3"/>
    <x v="1"/>
    <x v="0"/>
    <x v="0"/>
    <x v="0"/>
    <x v="6"/>
    <n v="16070"/>
    <n v="13659.5"/>
    <n v="6627.8530000000001"/>
    <n v="6230.1818199999998"/>
    <n v="6627.8530000000001"/>
    <n v="6230.1818199999998"/>
    <n v="0"/>
    <x v="1"/>
    <n v="0"/>
    <n v="20"/>
    <n v="22"/>
    <n v="67"/>
    <n v="26.22"/>
    <n v="62.57"/>
    <n v="242.82"/>
    <n v="28.891757284072764"/>
    <n v="75.886085105957733"/>
    <n v="224.53785920244138"/>
    <n v="358152.08999999997"/>
    <n v="389822.47647739999"/>
    <n v="1512812.7495323999"/>
    <n v="394646.95862179191"/>
    <n v="472784.10781811061"/>
    <n v="1398911.68830477"/>
  </r>
  <r>
    <s v="Regular"/>
    <x v="1"/>
    <x v="0"/>
    <x v="3"/>
    <x v="1"/>
    <x v="0"/>
    <x v="0"/>
    <x v="0"/>
    <x v="7"/>
    <n v="16184"/>
    <n v="13756.4"/>
    <n v="7175.6440000000002"/>
    <n v="6745.1053599999996"/>
    <n v="7175.6440000000002"/>
    <n v="6745.1053599999996"/>
    <n v="0"/>
    <x v="1"/>
    <n v="0"/>
    <n v="20"/>
    <n v="22"/>
    <n v="67"/>
    <n v="26.22"/>
    <n v="62.57"/>
    <n v="242.82"/>
    <n v="28.891757284072764"/>
    <n v="75.886085105957733"/>
    <n v="224.53785920244138"/>
    <n v="360692.80799999996"/>
    <n v="422041.24237519997"/>
    <n v="1637846.4835151997"/>
    <n v="397446.56990261853"/>
    <n v="511859.63939761167"/>
    <n v="1514531.5176293126"/>
  </r>
  <r>
    <s v="Regular"/>
    <x v="1"/>
    <x v="0"/>
    <x v="3"/>
    <x v="1"/>
    <x v="0"/>
    <x v="0"/>
    <x v="0"/>
    <x v="8"/>
    <n v="16101"/>
    <n v="13685.85"/>
    <n v="6956.0370000000003"/>
    <n v="6538.6747800000003"/>
    <n v="6956.0370000000003"/>
    <n v="6538.6747800000003"/>
    <n v="0"/>
    <x v="1"/>
    <n v="0"/>
    <n v="20"/>
    <n v="22"/>
    <n v="67"/>
    <n v="26.22"/>
    <n v="62.57"/>
    <n v="242.82"/>
    <n v="28.891757284072764"/>
    <n v="75.886085105957733"/>
    <n v="224.53785920244138"/>
    <n v="358842.98700000002"/>
    <n v="409124.88098459999"/>
    <n v="1587721.0100795999"/>
    <n v="395408.25642622722"/>
    <n v="496194.4308352595"/>
    <n v="1468180.0371221944"/>
  </r>
  <r>
    <s v="Regular"/>
    <x v="1"/>
    <x v="0"/>
    <x v="3"/>
    <x v="1"/>
    <x v="0"/>
    <x v="0"/>
    <x v="0"/>
    <x v="9"/>
    <n v="16125"/>
    <n v="13706.25"/>
    <n v="6974.0360000000001"/>
    <n v="6555.5938399999995"/>
    <n v="6974.0360000000001"/>
    <n v="6555.5938399999995"/>
    <n v="0"/>
    <x v="1"/>
    <n v="0"/>
    <n v="20"/>
    <n v="22"/>
    <n v="67"/>
    <n v="26.22"/>
    <n v="62.57"/>
    <n v="242.82"/>
    <n v="28.891757284072764"/>
    <n v="75.886085105957733"/>
    <n v="224.53785920244138"/>
    <n v="359377.875"/>
    <n v="410183.50656879996"/>
    <n v="1591829.2962287997"/>
    <n v="395997.64827482234"/>
    <n v="497478.35206233221"/>
    <n v="1471979.006634312"/>
  </r>
  <r>
    <s v="Regular"/>
    <x v="1"/>
    <x v="0"/>
    <x v="3"/>
    <x v="1"/>
    <x v="0"/>
    <x v="0"/>
    <x v="0"/>
    <x v="10"/>
    <n v="16086"/>
    <n v="13673.1"/>
    <n v="6602.4160000000002"/>
    <n v="6206.2710399999996"/>
    <n v="6602.4160000000002"/>
    <n v="6206.2710399999996"/>
    <n v="0"/>
    <x v="1"/>
    <n v="0"/>
    <n v="20"/>
    <n v="22"/>
    <n v="67"/>
    <n v="26.22"/>
    <n v="62.57"/>
    <n v="242.82"/>
    <n v="28.891757284072764"/>
    <n v="75.886085105957733"/>
    <n v="224.53785920244138"/>
    <n v="358508.68199999997"/>
    <n v="388326.37897279998"/>
    <n v="1507006.7339327999"/>
    <n v="395039.8865208553"/>
    <n v="470969.61233208078"/>
    <n v="1393542.8129517094"/>
  </r>
  <r>
    <s v="PROJETADO"/>
    <x v="1"/>
    <x v="0"/>
    <x v="3"/>
    <x v="1"/>
    <x v="0"/>
    <x v="0"/>
    <x v="0"/>
    <x v="11"/>
    <n v="16086"/>
    <n v="13673.1"/>
    <n v="6602.4160000000002"/>
    <n v="6206.2710399999996"/>
    <n v="6602.4160000000002"/>
    <n v="6206.2710399999996"/>
    <n v="0"/>
    <x v="1"/>
    <n v="0"/>
    <n v="20"/>
    <n v="22"/>
    <n v="67"/>
    <n v="26.22"/>
    <n v="62.57"/>
    <n v="242.82"/>
    <n v="28.891757284072764"/>
    <n v="75.886085105957733"/>
    <n v="224.53785920244138"/>
    <n v="358508.68199999997"/>
    <n v="388326.37897279998"/>
    <n v="1507006.7339327999"/>
    <n v="395039.8865208553"/>
    <n v="470969.61233208078"/>
    <n v="1393542.8129517094"/>
  </r>
  <r>
    <s v="Regular"/>
    <x v="1"/>
    <x v="0"/>
    <x v="3"/>
    <x v="1"/>
    <x v="0"/>
    <x v="0"/>
    <x v="2"/>
    <x v="0"/>
    <n v="15523"/>
    <n v="13194.55"/>
    <n v="691.70100000000002"/>
    <n v="650.19893999999999"/>
    <n v="691.70100000000002"/>
    <n v="650.19893999999999"/>
    <n v="0"/>
    <x v="1"/>
    <n v="0"/>
    <n v="18"/>
    <n v="22"/>
    <n v="66"/>
    <n v="52.15"/>
    <n v="62.57"/>
    <n v="397.62"/>
    <n v="57.437679027724307"/>
    <n v="75.886085105957733"/>
    <n v="351.67159959099928"/>
    <n v="688095.78249999997"/>
    <n v="40682.947675800002"/>
    <n v="258532.10252280001"/>
    <n v="757864.32781525969"/>
    <n v="49341.052096643507"/>
    <n v="228656.50128217216"/>
  </r>
  <r>
    <s v="Regular"/>
    <x v="1"/>
    <x v="0"/>
    <x v="3"/>
    <x v="1"/>
    <x v="0"/>
    <x v="0"/>
    <x v="2"/>
    <x v="1"/>
    <n v="15631"/>
    <n v="13286.35"/>
    <n v="674.91300000000001"/>
    <n v="634.41822000000002"/>
    <n v="674.91300000000001"/>
    <n v="634.41822000000002"/>
    <n v="0"/>
    <x v="1"/>
    <n v="0"/>
    <n v="18"/>
    <n v="22"/>
    <n v="66"/>
    <n v="52.15"/>
    <n v="62.57"/>
    <n v="397.62"/>
    <n v="57.437679027724307"/>
    <n v="75.886085105957733"/>
    <n v="351.67159959099928"/>
    <n v="692883.15249999997"/>
    <n v="39695.548025399999"/>
    <n v="252257.37263640002"/>
    <n v="763137.10675000492"/>
    <n v="48143.515035690216"/>
    <n v="223106.8702370745"/>
  </r>
  <r>
    <s v="Regular"/>
    <x v="1"/>
    <x v="0"/>
    <x v="3"/>
    <x v="1"/>
    <x v="0"/>
    <x v="0"/>
    <x v="2"/>
    <x v="2"/>
    <n v="15687"/>
    <n v="13333.949999999999"/>
    <n v="665.97199999999998"/>
    <n v="626.01368000000002"/>
    <n v="665.97199999999998"/>
    <n v="626.01368000000002"/>
    <n v="0"/>
    <x v="1"/>
    <n v="0"/>
    <n v="18"/>
    <n v="22"/>
    <n v="66"/>
    <n v="52.15"/>
    <n v="62.57"/>
    <n v="397.62"/>
    <n v="57.437679027724307"/>
    <n v="75.886085105957733"/>
    <n v="351.67159959099928"/>
    <n v="695365.49249999993"/>
    <n v="39169.675957600004"/>
    <n v="248915.55944160002"/>
    <n v="765871.14027172443"/>
    <n v="47505.727397973795"/>
    <n v="220151.23221144796"/>
  </r>
  <r>
    <s v="Regular"/>
    <x v="1"/>
    <x v="0"/>
    <x v="3"/>
    <x v="1"/>
    <x v="0"/>
    <x v="0"/>
    <x v="2"/>
    <x v="3"/>
    <n v="15717"/>
    <n v="13359.449999999999"/>
    <n v="660.49800000000005"/>
    <n v="620.86811999999998"/>
    <n v="660.49800000000005"/>
    <n v="620.86811999999998"/>
    <n v="0"/>
    <x v="1"/>
    <n v="0"/>
    <n v="18"/>
    <n v="22"/>
    <n v="66"/>
    <n v="52.15"/>
    <n v="62.57"/>
    <n v="397.62"/>
    <n v="57.437679027724307"/>
    <n v="75.886085105957733"/>
    <n v="351.67159959099928"/>
    <n v="696695.31749999989"/>
    <n v="38847.7182684"/>
    <n v="246869.5818744"/>
    <n v="767335.80108693149"/>
    <n v="47115.250993895977"/>
    <n v="218341.68489545648"/>
  </r>
  <r>
    <s v="Regular"/>
    <x v="1"/>
    <x v="0"/>
    <x v="3"/>
    <x v="1"/>
    <x v="0"/>
    <x v="0"/>
    <x v="2"/>
    <x v="4"/>
    <n v="15797"/>
    <n v="13427.449999999999"/>
    <n v="749.51499999999999"/>
    <n v="704.54409999999996"/>
    <n v="749.51499999999999"/>
    <n v="704.54409999999996"/>
    <n v="0"/>
    <x v="1"/>
    <n v="0"/>
    <n v="18"/>
    <n v="22"/>
    <n v="66"/>
    <n v="52.15"/>
    <n v="62.57"/>
    <n v="397.62"/>
    <n v="57.437679027724307"/>
    <n v="75.886085105957733"/>
    <n v="351.67159959099928"/>
    <n v="700241.51749999996"/>
    <n v="44083.324336999998"/>
    <n v="280140.82504199998"/>
    <n v="771241.56326081674"/>
    <n v="53465.093533500389"/>
    <n v="247768.15062940095"/>
  </r>
  <r>
    <s v="Regular"/>
    <x v="1"/>
    <x v="0"/>
    <x v="3"/>
    <x v="1"/>
    <x v="0"/>
    <x v="0"/>
    <x v="2"/>
    <x v="5"/>
    <n v="15827"/>
    <n v="13452.949999999999"/>
    <n v="705.90800000000002"/>
    <n v="663.55352000000005"/>
    <n v="705.90800000000002"/>
    <n v="663.55352000000005"/>
    <n v="0"/>
    <x v="1"/>
    <n v="0"/>
    <n v="18"/>
    <n v="22"/>
    <n v="66"/>
    <n v="52.15"/>
    <n v="62.57"/>
    <n v="397.62"/>
    <n v="57.437679027724307"/>
    <n v="75.886085105957733"/>
    <n v="351.67159959099928"/>
    <n v="701571.34249999991"/>
    <n v="41518.543746400006"/>
    <n v="263842.15062240005"/>
    <n v="772706.22407602367"/>
    <n v="50354.47889107783"/>
    <n v="233352.92779263816"/>
  </r>
  <r>
    <s v="Regular"/>
    <x v="1"/>
    <x v="0"/>
    <x v="3"/>
    <x v="1"/>
    <x v="0"/>
    <x v="0"/>
    <x v="2"/>
    <x v="6"/>
    <n v="15702"/>
    <n v="13346.699999999999"/>
    <n v="675.41099999999994"/>
    <n v="634.88634000000002"/>
    <n v="675.41099999999994"/>
    <n v="634.88634000000002"/>
    <n v="0"/>
    <x v="1"/>
    <n v="0"/>
    <n v="18"/>
    <n v="22"/>
    <n v="66"/>
    <n v="52.15"/>
    <n v="62.57"/>
    <n v="397.62"/>
    <n v="57.437679027724307"/>
    <n v="75.886085105957733"/>
    <n v="351.67159959099928"/>
    <n v="696030.40499999991"/>
    <n v="39724.8382938"/>
    <n v="252443.50651080001"/>
    <n v="766603.47067932796"/>
    <n v="48179.038829850018"/>
    <n v="223271.49474627504"/>
  </r>
  <r>
    <s v="Regular"/>
    <x v="1"/>
    <x v="0"/>
    <x v="3"/>
    <x v="1"/>
    <x v="0"/>
    <x v="0"/>
    <x v="2"/>
    <x v="7"/>
    <n v="15785"/>
    <n v="13417.25"/>
    <n v="713.55700000000002"/>
    <n v="670.74357999999995"/>
    <n v="713.55700000000002"/>
    <n v="670.74357999999995"/>
    <n v="0"/>
    <x v="1"/>
    <n v="0"/>
    <n v="18"/>
    <n v="22"/>
    <n v="66"/>
    <n v="52.15"/>
    <n v="62.57"/>
    <n v="397.62"/>
    <n v="57.437679027724307"/>
    <n v="75.886085105957733"/>
    <n v="351.67159959099928"/>
    <n v="699709.58750000002"/>
    <n v="41968.425800599995"/>
    <n v="266701.06227960001"/>
    <n v="770655.69893473398"/>
    <n v="50900.104396154762"/>
    <n v="235881.46769399339"/>
  </r>
  <r>
    <s v="Regular"/>
    <x v="1"/>
    <x v="0"/>
    <x v="3"/>
    <x v="1"/>
    <x v="0"/>
    <x v="0"/>
    <x v="2"/>
    <x v="8"/>
    <n v="15736"/>
    <n v="13375.6"/>
    <n v="629.35400000000004"/>
    <n v="591.59276"/>
    <n v="629.35400000000004"/>
    <n v="591.59276"/>
    <n v="0"/>
    <x v="1"/>
    <n v="0"/>
    <n v="18"/>
    <n v="22"/>
    <n v="66"/>
    <n v="52.15"/>
    <n v="62.57"/>
    <n v="397.62"/>
    <n v="57.437679027724307"/>
    <n v="75.886085105957733"/>
    <n v="351.67159959099928"/>
    <n v="697537.54"/>
    <n v="37015.958993200002"/>
    <n v="235229.1132312"/>
    <n v="768263.41960322927"/>
    <n v="44893.658533428425"/>
    <n v="208046.37221565415"/>
  </r>
  <r>
    <s v="Regular"/>
    <x v="1"/>
    <x v="0"/>
    <x v="3"/>
    <x v="1"/>
    <x v="0"/>
    <x v="0"/>
    <x v="2"/>
    <x v="9"/>
    <n v="15726"/>
    <n v="13367.1"/>
    <n v="689.95899999999995"/>
    <n v="648.56146000000001"/>
    <n v="689.95899999999995"/>
    <n v="648.56146000000001"/>
    <n v="0"/>
    <x v="1"/>
    <n v="0"/>
    <n v="18"/>
    <n v="22"/>
    <n v="66"/>
    <n v="52.15"/>
    <n v="62.57"/>
    <n v="397.62"/>
    <n v="57.437679027724307"/>
    <n v="75.886085105957733"/>
    <n v="351.67159959099928"/>
    <n v="697094.26500000001"/>
    <n v="40580.490552200004"/>
    <n v="257881.0077252"/>
    <n v="767775.19933149358"/>
    <n v="49216.790150004206"/>
    <n v="228080.64607127389"/>
  </r>
  <r>
    <s v="Regular"/>
    <x v="1"/>
    <x v="0"/>
    <x v="3"/>
    <x v="1"/>
    <x v="0"/>
    <x v="0"/>
    <x v="2"/>
    <x v="10"/>
    <n v="15772"/>
    <n v="13406.199999999999"/>
    <n v="676.96100000000001"/>
    <n v="636.34334000000001"/>
    <n v="676.96100000000001"/>
    <n v="636.34334000000001"/>
    <n v="0"/>
    <x v="1"/>
    <n v="0"/>
    <n v="18"/>
    <n v="22"/>
    <n v="66"/>
    <n v="52.15"/>
    <n v="62.57"/>
    <n v="397.62"/>
    <n v="57.437679027724307"/>
    <n v="75.886085105957733"/>
    <n v="351.67159959099928"/>
    <n v="699133.33"/>
    <n v="39816.002783800002"/>
    <n v="253022.83885080001"/>
    <n v="770021.01258147752"/>
    <n v="48289.6048558494"/>
    <n v="223783.88026687913"/>
  </r>
  <r>
    <s v="PROJETADO"/>
    <x v="1"/>
    <x v="0"/>
    <x v="3"/>
    <x v="1"/>
    <x v="0"/>
    <x v="0"/>
    <x v="2"/>
    <x v="11"/>
    <n v="15772"/>
    <n v="13406.199999999999"/>
    <n v="676.96100000000001"/>
    <n v="636.34334000000001"/>
    <n v="676.96100000000001"/>
    <n v="636.34334000000001"/>
    <n v="0"/>
    <x v="1"/>
    <n v="0"/>
    <n v="18"/>
    <n v="22"/>
    <n v="66"/>
    <n v="52.15"/>
    <n v="62.57"/>
    <n v="397.62"/>
    <n v="57.437679027724307"/>
    <n v="75.886085105957733"/>
    <n v="351.67159959099928"/>
    <n v="699133.33"/>
    <n v="39816.002783800002"/>
    <n v="253022.83885080001"/>
    <n v="770021.01258147752"/>
    <n v="48289.6048558494"/>
    <n v="223783.88026687913"/>
  </r>
  <r>
    <s v="Regular"/>
    <x v="1"/>
    <x v="1"/>
    <x v="4"/>
    <x v="0"/>
    <x v="0"/>
    <x v="12"/>
    <x v="0"/>
    <x v="0"/>
    <n v="7168"/>
    <n v="7168"/>
    <n v="0"/>
    <n v="0"/>
    <n v="0"/>
    <n v="0"/>
    <n v="0"/>
    <x v="2"/>
    <n v="43"/>
    <n v="28"/>
    <n v="0"/>
    <n v="0"/>
    <n v="13.55"/>
    <n v="0"/>
    <n v="0"/>
    <n v="14.693654553637149"/>
    <n v="13.607845097437366"/>
    <m/>
    <n v="97126.400000000009"/>
    <n v="0"/>
    <n v="0"/>
    <n v="105324.11584047109"/>
    <n v="0"/>
    <n v="0"/>
  </r>
  <r>
    <s v="Regular"/>
    <x v="1"/>
    <x v="1"/>
    <x v="4"/>
    <x v="0"/>
    <x v="0"/>
    <x v="1"/>
    <x v="0"/>
    <x v="0"/>
    <n v="4019"/>
    <n v="4019"/>
    <n v="0"/>
    <n v="0"/>
    <n v="0"/>
    <n v="0"/>
    <n v="0"/>
    <x v="2"/>
    <n v="6611"/>
    <n v="34"/>
    <n v="0"/>
    <n v="0"/>
    <n v="13.55"/>
    <n v="0"/>
    <n v="0"/>
    <n v="14.693654553637149"/>
    <n v="13.607845097437366"/>
    <m/>
    <n v="54457.450000000004"/>
    <n v="0"/>
    <n v="0"/>
    <n v="59053.797651067704"/>
    <n v="0"/>
    <n v="0"/>
  </r>
  <r>
    <s v="Regular"/>
    <x v="1"/>
    <x v="1"/>
    <x v="4"/>
    <x v="0"/>
    <x v="0"/>
    <x v="12"/>
    <x v="0"/>
    <x v="1"/>
    <n v="7168"/>
    <n v="7168"/>
    <n v="0"/>
    <n v="0"/>
    <n v="0"/>
    <n v="0"/>
    <n v="0"/>
    <x v="2"/>
    <n v="43"/>
    <n v="28"/>
    <n v="0"/>
    <n v="0"/>
    <n v="13.55"/>
    <n v="0"/>
    <n v="0"/>
    <n v="14.693654553637149"/>
    <n v="13.607845097437366"/>
    <m/>
    <n v="97126.400000000009"/>
    <n v="0"/>
    <n v="0"/>
    <n v="105324.11584047109"/>
    <n v="0"/>
    <n v="0"/>
  </r>
  <r>
    <s v="Regular"/>
    <x v="1"/>
    <x v="1"/>
    <x v="4"/>
    <x v="0"/>
    <x v="0"/>
    <x v="1"/>
    <x v="0"/>
    <x v="1"/>
    <n v="4019"/>
    <n v="4019"/>
    <n v="0"/>
    <n v="0"/>
    <n v="0"/>
    <n v="0"/>
    <n v="0"/>
    <x v="2"/>
    <n v="6611"/>
    <n v="34"/>
    <n v="0"/>
    <n v="0"/>
    <n v="13.55"/>
    <n v="0"/>
    <n v="0"/>
    <n v="14.693654553637149"/>
    <n v="13.607845097437366"/>
    <m/>
    <n v="54457.450000000004"/>
    <n v="0"/>
    <n v="0"/>
    <n v="59053.797651067704"/>
    <n v="0"/>
    <n v="0"/>
  </r>
  <r>
    <s v="Regular"/>
    <x v="1"/>
    <x v="1"/>
    <x v="4"/>
    <x v="0"/>
    <x v="0"/>
    <x v="12"/>
    <x v="0"/>
    <x v="2"/>
    <n v="7168"/>
    <n v="7168"/>
    <n v="0"/>
    <n v="0"/>
    <n v="0"/>
    <n v="0"/>
    <n v="0"/>
    <x v="2"/>
    <n v="43"/>
    <n v="28"/>
    <n v="0"/>
    <n v="0"/>
    <n v="13.55"/>
    <n v="0"/>
    <n v="0"/>
    <n v="14.693654553637149"/>
    <n v="13.607845097437366"/>
    <m/>
    <n v="97126.400000000009"/>
    <n v="0"/>
    <n v="0"/>
    <n v="105324.11584047109"/>
    <n v="0"/>
    <n v="0"/>
  </r>
  <r>
    <s v="Regular"/>
    <x v="1"/>
    <x v="1"/>
    <x v="4"/>
    <x v="0"/>
    <x v="0"/>
    <x v="1"/>
    <x v="0"/>
    <x v="2"/>
    <n v="4019"/>
    <n v="4019"/>
    <n v="0"/>
    <n v="0"/>
    <n v="0"/>
    <n v="0"/>
    <n v="0"/>
    <x v="2"/>
    <n v="6611"/>
    <n v="34"/>
    <n v="0"/>
    <n v="0"/>
    <n v="13.55"/>
    <n v="0"/>
    <n v="0"/>
    <n v="14.693654553637149"/>
    <n v="13.607845097437366"/>
    <m/>
    <n v="54457.450000000004"/>
    <n v="0"/>
    <n v="0"/>
    <n v="59053.797651067704"/>
    <n v="0"/>
    <n v="0"/>
  </r>
  <r>
    <s v="Regular"/>
    <x v="1"/>
    <x v="1"/>
    <x v="4"/>
    <x v="0"/>
    <x v="0"/>
    <x v="12"/>
    <x v="0"/>
    <x v="3"/>
    <n v="7168"/>
    <n v="7168"/>
    <n v="0"/>
    <n v="0"/>
    <n v="0"/>
    <n v="0"/>
    <n v="0"/>
    <x v="2"/>
    <n v="43"/>
    <n v="28"/>
    <n v="0"/>
    <n v="0"/>
    <n v="13.55"/>
    <n v="0"/>
    <n v="0"/>
    <n v="14.693654553637149"/>
    <n v="13.607845097437366"/>
    <m/>
    <n v="97126.400000000009"/>
    <n v="0"/>
    <n v="0"/>
    <n v="105324.11584047109"/>
    <n v="0"/>
    <n v="0"/>
  </r>
  <r>
    <s v="Regular"/>
    <x v="1"/>
    <x v="1"/>
    <x v="4"/>
    <x v="0"/>
    <x v="0"/>
    <x v="1"/>
    <x v="0"/>
    <x v="3"/>
    <n v="4019"/>
    <n v="4019"/>
    <n v="0"/>
    <n v="0"/>
    <n v="0"/>
    <n v="0"/>
    <n v="0"/>
    <x v="2"/>
    <n v="6611"/>
    <n v="34"/>
    <n v="0"/>
    <n v="0"/>
    <n v="13.55"/>
    <n v="0"/>
    <n v="0"/>
    <n v="14.693654553637149"/>
    <n v="13.607845097437366"/>
    <m/>
    <n v="54457.450000000004"/>
    <n v="0"/>
    <n v="0"/>
    <n v="59053.797651067704"/>
    <n v="0"/>
    <n v="0"/>
  </r>
  <r>
    <s v="Regular"/>
    <x v="1"/>
    <x v="1"/>
    <x v="4"/>
    <x v="0"/>
    <x v="0"/>
    <x v="12"/>
    <x v="0"/>
    <x v="4"/>
    <n v="7168"/>
    <n v="7168"/>
    <n v="0"/>
    <n v="0"/>
    <n v="0"/>
    <n v="0"/>
    <n v="0"/>
    <x v="2"/>
    <n v="43"/>
    <n v="28"/>
    <n v="0"/>
    <n v="0"/>
    <n v="13.55"/>
    <n v="0"/>
    <n v="0"/>
    <n v="14.693654553637149"/>
    <n v="13.607845097437366"/>
    <m/>
    <n v="97126.400000000009"/>
    <n v="0"/>
    <n v="0"/>
    <n v="105324.11584047109"/>
    <n v="0"/>
    <n v="0"/>
  </r>
  <r>
    <s v="Regular"/>
    <x v="1"/>
    <x v="1"/>
    <x v="4"/>
    <x v="0"/>
    <x v="0"/>
    <x v="1"/>
    <x v="0"/>
    <x v="4"/>
    <n v="4019"/>
    <n v="4019"/>
    <n v="0"/>
    <n v="0"/>
    <n v="0"/>
    <n v="0"/>
    <n v="0"/>
    <x v="2"/>
    <n v="6611"/>
    <n v="34"/>
    <n v="0"/>
    <n v="0"/>
    <n v="13.55"/>
    <n v="0"/>
    <n v="0"/>
    <n v="14.693654553637149"/>
    <n v="13.607845097437366"/>
    <m/>
    <n v="54457.450000000004"/>
    <n v="0"/>
    <n v="0"/>
    <n v="59053.797651067704"/>
    <n v="0"/>
    <n v="0"/>
  </r>
  <r>
    <s v="Regular"/>
    <x v="1"/>
    <x v="1"/>
    <x v="4"/>
    <x v="0"/>
    <x v="0"/>
    <x v="12"/>
    <x v="0"/>
    <x v="5"/>
    <n v="7168"/>
    <n v="7168"/>
    <n v="0"/>
    <n v="0"/>
    <n v="0"/>
    <n v="0"/>
    <n v="0"/>
    <x v="2"/>
    <n v="43"/>
    <n v="28"/>
    <n v="0"/>
    <n v="0"/>
    <n v="13.55"/>
    <n v="0"/>
    <n v="0"/>
    <n v="14.693654553637149"/>
    <n v="13.607845097437366"/>
    <m/>
    <n v="97126.400000000009"/>
    <n v="0"/>
    <n v="0"/>
    <n v="105324.11584047109"/>
    <n v="0"/>
    <n v="0"/>
  </r>
  <r>
    <s v="Regular"/>
    <x v="1"/>
    <x v="1"/>
    <x v="4"/>
    <x v="0"/>
    <x v="0"/>
    <x v="1"/>
    <x v="0"/>
    <x v="5"/>
    <n v="4019"/>
    <n v="4019"/>
    <n v="0"/>
    <n v="0"/>
    <n v="0"/>
    <n v="0"/>
    <n v="0"/>
    <x v="2"/>
    <n v="6611"/>
    <n v="34"/>
    <n v="0"/>
    <n v="0"/>
    <n v="13.55"/>
    <n v="0"/>
    <n v="0"/>
    <n v="14.693654553637149"/>
    <n v="13.607845097437366"/>
    <m/>
    <n v="54457.450000000004"/>
    <n v="0"/>
    <n v="0"/>
    <n v="59053.797651067704"/>
    <n v="0"/>
    <n v="0"/>
  </r>
  <r>
    <s v="Regular"/>
    <x v="1"/>
    <x v="1"/>
    <x v="4"/>
    <x v="0"/>
    <x v="0"/>
    <x v="12"/>
    <x v="0"/>
    <x v="6"/>
    <n v="7168"/>
    <n v="7168"/>
    <n v="0"/>
    <n v="0"/>
    <n v="0"/>
    <n v="0"/>
    <n v="0"/>
    <x v="2"/>
    <n v="43"/>
    <n v="28"/>
    <n v="0"/>
    <n v="0"/>
    <n v="13.55"/>
    <n v="0"/>
    <n v="0"/>
    <n v="14.693654553637149"/>
    <n v="13.607845097437366"/>
    <m/>
    <n v="97126.400000000009"/>
    <n v="0"/>
    <n v="0"/>
    <n v="105324.11584047109"/>
    <n v="0"/>
    <n v="0"/>
  </r>
  <r>
    <s v="Regular"/>
    <x v="1"/>
    <x v="1"/>
    <x v="4"/>
    <x v="0"/>
    <x v="0"/>
    <x v="1"/>
    <x v="0"/>
    <x v="6"/>
    <n v="4019"/>
    <n v="4019"/>
    <n v="0"/>
    <n v="0"/>
    <n v="0"/>
    <n v="0"/>
    <n v="0"/>
    <x v="2"/>
    <n v="6611"/>
    <n v="34"/>
    <n v="0"/>
    <n v="0"/>
    <n v="13.55"/>
    <n v="0"/>
    <n v="0"/>
    <n v="14.693654553637149"/>
    <n v="13.607845097437366"/>
    <m/>
    <n v="54457.450000000004"/>
    <n v="0"/>
    <n v="0"/>
    <n v="59053.797651067704"/>
    <n v="0"/>
    <n v="0"/>
  </r>
  <r>
    <s v="Regular"/>
    <x v="1"/>
    <x v="1"/>
    <x v="4"/>
    <x v="0"/>
    <x v="0"/>
    <x v="12"/>
    <x v="0"/>
    <x v="7"/>
    <n v="7168"/>
    <n v="7168"/>
    <n v="0"/>
    <n v="0"/>
    <n v="0"/>
    <n v="0"/>
    <n v="0"/>
    <x v="2"/>
    <n v="43"/>
    <n v="28"/>
    <n v="0"/>
    <n v="0"/>
    <n v="13.55"/>
    <n v="0"/>
    <n v="0"/>
    <n v="14.693654553637149"/>
    <n v="13.607845097437366"/>
    <m/>
    <n v="97126.400000000009"/>
    <n v="0"/>
    <n v="0"/>
    <n v="105324.11584047109"/>
    <n v="0"/>
    <n v="0"/>
  </r>
  <r>
    <s v="Regular"/>
    <x v="1"/>
    <x v="1"/>
    <x v="4"/>
    <x v="0"/>
    <x v="0"/>
    <x v="1"/>
    <x v="0"/>
    <x v="7"/>
    <n v="4019"/>
    <n v="4019"/>
    <n v="0"/>
    <n v="0"/>
    <n v="0"/>
    <n v="0"/>
    <n v="0"/>
    <x v="2"/>
    <n v="6611"/>
    <n v="34"/>
    <n v="0"/>
    <n v="0"/>
    <n v="13.55"/>
    <n v="0"/>
    <n v="0"/>
    <n v="14.693654553637149"/>
    <n v="13.607845097437366"/>
    <m/>
    <n v="54457.450000000004"/>
    <n v="0"/>
    <n v="0"/>
    <n v="59053.797651067704"/>
    <n v="0"/>
    <n v="0"/>
  </r>
  <r>
    <s v="Regular"/>
    <x v="1"/>
    <x v="1"/>
    <x v="4"/>
    <x v="0"/>
    <x v="0"/>
    <x v="12"/>
    <x v="0"/>
    <x v="8"/>
    <n v="7168"/>
    <n v="7168"/>
    <n v="0"/>
    <n v="0"/>
    <n v="0"/>
    <n v="0"/>
    <n v="0"/>
    <x v="2"/>
    <n v="43"/>
    <n v="28"/>
    <n v="0"/>
    <n v="0"/>
    <n v="13.55"/>
    <n v="0"/>
    <n v="0"/>
    <n v="14.693654553637149"/>
    <n v="13.607845097437366"/>
    <m/>
    <n v="97126.400000000009"/>
    <n v="0"/>
    <n v="0"/>
    <n v="105324.11584047109"/>
    <n v="0"/>
    <n v="0"/>
  </r>
  <r>
    <s v="Regular"/>
    <x v="1"/>
    <x v="1"/>
    <x v="4"/>
    <x v="0"/>
    <x v="0"/>
    <x v="1"/>
    <x v="0"/>
    <x v="8"/>
    <n v="4019"/>
    <n v="4019"/>
    <n v="0"/>
    <n v="0"/>
    <n v="0"/>
    <n v="0"/>
    <n v="0"/>
    <x v="2"/>
    <n v="6611"/>
    <n v="34"/>
    <n v="0"/>
    <n v="0"/>
    <n v="13.55"/>
    <n v="0"/>
    <n v="0"/>
    <n v="14.693654553637149"/>
    <n v="13.607845097437366"/>
    <m/>
    <n v="54457.450000000004"/>
    <n v="0"/>
    <n v="0"/>
    <n v="59053.797651067704"/>
    <n v="0"/>
    <n v="0"/>
  </r>
  <r>
    <s v="Regular"/>
    <x v="1"/>
    <x v="1"/>
    <x v="4"/>
    <x v="0"/>
    <x v="0"/>
    <x v="12"/>
    <x v="0"/>
    <x v="9"/>
    <n v="7168"/>
    <n v="7168"/>
    <n v="0"/>
    <n v="0"/>
    <n v="0"/>
    <n v="0"/>
    <n v="0"/>
    <x v="2"/>
    <n v="43"/>
    <n v="28"/>
    <n v="0"/>
    <n v="0"/>
    <n v="13.55"/>
    <n v="0"/>
    <n v="0"/>
    <n v="14.693654553637149"/>
    <n v="13.607845097437366"/>
    <m/>
    <n v="97126.400000000009"/>
    <n v="0"/>
    <n v="0"/>
    <n v="105324.11584047109"/>
    <n v="0"/>
    <n v="0"/>
  </r>
  <r>
    <s v="Regular"/>
    <x v="1"/>
    <x v="1"/>
    <x v="4"/>
    <x v="0"/>
    <x v="0"/>
    <x v="1"/>
    <x v="0"/>
    <x v="9"/>
    <n v="4019"/>
    <n v="4019"/>
    <n v="0"/>
    <n v="0"/>
    <n v="0"/>
    <n v="0"/>
    <n v="0"/>
    <x v="2"/>
    <n v="6611"/>
    <n v="34"/>
    <n v="0"/>
    <n v="0"/>
    <n v="13.55"/>
    <n v="0"/>
    <n v="0"/>
    <n v="14.693654553637149"/>
    <n v="13.607845097437366"/>
    <m/>
    <n v="54457.450000000004"/>
    <n v="0"/>
    <n v="0"/>
    <n v="59053.797651067704"/>
    <n v="0"/>
    <n v="0"/>
  </r>
  <r>
    <s v="Regular"/>
    <x v="1"/>
    <x v="1"/>
    <x v="4"/>
    <x v="0"/>
    <x v="0"/>
    <x v="12"/>
    <x v="0"/>
    <x v="10"/>
    <n v="7168"/>
    <n v="7168"/>
    <n v="0"/>
    <n v="0"/>
    <n v="0"/>
    <n v="0"/>
    <n v="0"/>
    <x v="2"/>
    <n v="43"/>
    <n v="28"/>
    <n v="0"/>
    <n v="0"/>
    <n v="13.55"/>
    <n v="0"/>
    <n v="0"/>
    <n v="14.693654553637149"/>
    <n v="13.607845097437366"/>
    <m/>
    <n v="97126.400000000009"/>
    <n v="0"/>
    <n v="0"/>
    <n v="105324.11584047109"/>
    <n v="0"/>
    <n v="0"/>
  </r>
  <r>
    <s v="Regular"/>
    <x v="1"/>
    <x v="1"/>
    <x v="4"/>
    <x v="0"/>
    <x v="0"/>
    <x v="1"/>
    <x v="0"/>
    <x v="10"/>
    <n v="4019"/>
    <n v="4019"/>
    <n v="0"/>
    <n v="0"/>
    <n v="0"/>
    <n v="0"/>
    <n v="0"/>
    <x v="2"/>
    <n v="6611"/>
    <n v="34"/>
    <n v="0"/>
    <n v="0"/>
    <n v="13.55"/>
    <n v="0"/>
    <n v="0"/>
    <n v="14.693654553637149"/>
    <n v="13.607845097437366"/>
    <m/>
    <n v="54457.450000000004"/>
    <n v="0"/>
    <n v="0"/>
    <n v="59053.797651067704"/>
    <n v="0"/>
    <n v="0"/>
  </r>
  <r>
    <s v="PROJETADO"/>
    <x v="1"/>
    <x v="1"/>
    <x v="4"/>
    <x v="0"/>
    <x v="0"/>
    <x v="12"/>
    <x v="0"/>
    <x v="11"/>
    <n v="7168"/>
    <n v="7168"/>
    <n v="0"/>
    <n v="0"/>
    <n v="0"/>
    <n v="0"/>
    <n v="0"/>
    <x v="2"/>
    <n v="43"/>
    <n v="28"/>
    <n v="0"/>
    <n v="0"/>
    <n v="13.55"/>
    <n v="0"/>
    <n v="0"/>
    <n v="14.693654553637149"/>
    <n v="13.607845097437366"/>
    <m/>
    <n v="97126.400000000009"/>
    <n v="0"/>
    <n v="0"/>
    <n v="105324.11584047109"/>
    <n v="0"/>
    <n v="0"/>
  </r>
  <r>
    <s v="PROJETADO"/>
    <x v="1"/>
    <x v="1"/>
    <x v="4"/>
    <x v="0"/>
    <x v="0"/>
    <x v="1"/>
    <x v="0"/>
    <x v="11"/>
    <n v="4019"/>
    <n v="4019"/>
    <n v="0"/>
    <n v="0"/>
    <n v="0"/>
    <n v="0"/>
    <n v="0"/>
    <x v="2"/>
    <n v="6611"/>
    <n v="34"/>
    <n v="0"/>
    <n v="0"/>
    <n v="13.55"/>
    <n v="0"/>
    <n v="0"/>
    <n v="14.693654553637149"/>
    <n v="13.607845097437366"/>
    <m/>
    <n v="54457.450000000004"/>
    <n v="0"/>
    <n v="0"/>
    <n v="59053.797651067704"/>
    <n v="0"/>
    <n v="0"/>
  </r>
  <r>
    <s v="Regular"/>
    <x v="1"/>
    <x v="1"/>
    <x v="4"/>
    <x v="0"/>
    <x v="0"/>
    <x v="12"/>
    <x v="1"/>
    <x v="0"/>
    <n v="0"/>
    <n v="0"/>
    <n v="3276.0230000000001"/>
    <n v="3276.0230000000001"/>
    <n v="0"/>
    <n v="0"/>
    <n v="0"/>
    <x v="2"/>
    <n v="43"/>
    <n v="0"/>
    <n v="30"/>
    <n v="0"/>
    <n v="0"/>
    <n v="15"/>
    <n v="0"/>
    <n v="34.673419765411182"/>
    <n v="13.607845097437366"/>
    <m/>
    <n v="0"/>
    <n v="49140.345000000001"/>
    <n v="0"/>
    <n v="0"/>
    <n v="44579.613519642051"/>
    <n v="0"/>
  </r>
  <r>
    <s v="Regular"/>
    <x v="1"/>
    <x v="1"/>
    <x v="4"/>
    <x v="0"/>
    <x v="0"/>
    <x v="1"/>
    <x v="1"/>
    <x v="0"/>
    <n v="0"/>
    <n v="0"/>
    <n v="1919.4010000000001"/>
    <n v="1919.4010000000001"/>
    <n v="0"/>
    <n v="0"/>
    <n v="0"/>
    <x v="2"/>
    <n v="6611"/>
    <n v="0"/>
    <n v="36"/>
    <n v="0"/>
    <n v="0"/>
    <n v="15"/>
    <n v="0"/>
    <n v="34.673419765411182"/>
    <n v="13.607845097437366"/>
    <m/>
    <n v="0"/>
    <n v="28791.014999999999"/>
    <n v="0"/>
    <n v="0"/>
    <n v="26118.911487866379"/>
    <n v="0"/>
  </r>
  <r>
    <s v="Regular"/>
    <x v="1"/>
    <x v="1"/>
    <x v="4"/>
    <x v="0"/>
    <x v="0"/>
    <x v="12"/>
    <x v="1"/>
    <x v="1"/>
    <n v="0"/>
    <n v="0"/>
    <n v="3213.8580000000002"/>
    <n v="3213.8580000000002"/>
    <n v="0"/>
    <n v="0"/>
    <n v="0"/>
    <x v="2"/>
    <n v="43"/>
    <n v="0"/>
    <n v="30"/>
    <n v="0"/>
    <n v="0"/>
    <n v="15"/>
    <n v="0"/>
    <n v="34.673419765411182"/>
    <n v="13.607845097437366"/>
    <m/>
    <n v="0"/>
    <n v="48207.87"/>
    <n v="0"/>
    <n v="0"/>
    <n v="43733.681829159861"/>
    <n v="0"/>
  </r>
  <r>
    <s v="Regular"/>
    <x v="1"/>
    <x v="1"/>
    <x v="4"/>
    <x v="0"/>
    <x v="0"/>
    <x v="1"/>
    <x v="1"/>
    <x v="1"/>
    <n v="0"/>
    <n v="0"/>
    <n v="1997.009"/>
    <n v="1997.009"/>
    <n v="0"/>
    <n v="0"/>
    <n v="0"/>
    <x v="2"/>
    <n v="6611"/>
    <n v="0"/>
    <n v="36"/>
    <n v="0"/>
    <n v="0"/>
    <n v="15"/>
    <n v="0"/>
    <n v="34.673419765411182"/>
    <n v="13.607845097437366"/>
    <m/>
    <n v="0"/>
    <n v="29955.135000000002"/>
    <n v="0"/>
    <n v="0"/>
    <n v="27174.989130188296"/>
    <n v="0"/>
  </r>
  <r>
    <s v="Regular"/>
    <x v="1"/>
    <x v="1"/>
    <x v="4"/>
    <x v="0"/>
    <x v="0"/>
    <x v="12"/>
    <x v="1"/>
    <x v="2"/>
    <n v="0"/>
    <n v="0"/>
    <n v="3431.54"/>
    <n v="3431.54"/>
    <n v="0"/>
    <n v="0"/>
    <n v="0"/>
    <x v="2"/>
    <n v="43"/>
    <n v="0"/>
    <n v="30"/>
    <n v="0"/>
    <n v="0"/>
    <n v="15"/>
    <n v="0"/>
    <n v="34.673419765411182"/>
    <n v="13.607845097437366"/>
    <m/>
    <n v="0"/>
    <n v="51473.1"/>
    <n v="0"/>
    <n v="0"/>
    <n v="46695.864765660219"/>
    <n v="0"/>
  </r>
  <r>
    <s v="Regular"/>
    <x v="1"/>
    <x v="1"/>
    <x v="4"/>
    <x v="0"/>
    <x v="0"/>
    <x v="1"/>
    <x v="1"/>
    <x v="2"/>
    <n v="0"/>
    <n v="0"/>
    <n v="1907.954"/>
    <n v="1907.954"/>
    <n v="0"/>
    <n v="0"/>
    <n v="0"/>
    <x v="2"/>
    <n v="6611"/>
    <n v="0"/>
    <n v="36"/>
    <n v="0"/>
    <n v="0"/>
    <n v="15"/>
    <n v="0"/>
    <n v="34.673419765411182"/>
    <n v="13.607845097437366"/>
    <m/>
    <n v="0"/>
    <n v="28619.309999999998"/>
    <n v="0"/>
    <n v="0"/>
    <n v="25963.142485036013"/>
    <n v="0"/>
  </r>
  <r>
    <s v="Regular"/>
    <x v="1"/>
    <x v="1"/>
    <x v="4"/>
    <x v="0"/>
    <x v="0"/>
    <x v="12"/>
    <x v="1"/>
    <x v="3"/>
    <n v="0"/>
    <n v="0"/>
    <n v="3815.3670000000002"/>
    <n v="3815.3670000000002"/>
    <n v="0"/>
    <n v="0"/>
    <n v="0"/>
    <x v="2"/>
    <n v="43"/>
    <n v="0"/>
    <n v="30"/>
    <n v="0"/>
    <n v="0"/>
    <n v="15"/>
    <n v="0"/>
    <n v="34.673419765411182"/>
    <n v="13.607845097437366"/>
    <m/>
    <n v="0"/>
    <n v="57230.505000000005"/>
    <n v="0"/>
    <n v="0"/>
    <n v="51918.923125874317"/>
    <n v="0"/>
  </r>
  <r>
    <s v="Regular"/>
    <x v="1"/>
    <x v="1"/>
    <x v="4"/>
    <x v="0"/>
    <x v="0"/>
    <x v="1"/>
    <x v="1"/>
    <x v="3"/>
    <n v="0"/>
    <n v="0"/>
    <n v="2034.29"/>
    <n v="2034.29"/>
    <n v="0"/>
    <n v="0"/>
    <n v="0"/>
    <x v="2"/>
    <n v="6611"/>
    <n v="0"/>
    <n v="36"/>
    <n v="0"/>
    <n v="0"/>
    <n v="15"/>
    <n v="0"/>
    <n v="34.673419765411182"/>
    <n v="13.607845097437366"/>
    <m/>
    <n v="0"/>
    <n v="30514.35"/>
    <n v="0"/>
    <n v="0"/>
    <n v="27682.303203265859"/>
    <n v="0"/>
  </r>
  <r>
    <s v="Regular"/>
    <x v="1"/>
    <x v="1"/>
    <x v="4"/>
    <x v="0"/>
    <x v="0"/>
    <x v="12"/>
    <x v="1"/>
    <x v="4"/>
    <n v="0"/>
    <n v="0"/>
    <n v="3913.3580000000002"/>
    <n v="3913.3580000000002"/>
    <n v="0"/>
    <n v="0"/>
    <n v="0"/>
    <x v="2"/>
    <n v="43"/>
    <n v="0"/>
    <n v="30"/>
    <n v="0"/>
    <n v="0"/>
    <n v="15"/>
    <n v="0"/>
    <n v="34.673419765411182"/>
    <n v="13.607845097437366"/>
    <m/>
    <n v="0"/>
    <n v="58700.37"/>
    <n v="0"/>
    <n v="0"/>
    <n v="53252.3694748173"/>
    <n v="0"/>
  </r>
  <r>
    <s v="Regular"/>
    <x v="1"/>
    <x v="1"/>
    <x v="4"/>
    <x v="0"/>
    <x v="0"/>
    <x v="1"/>
    <x v="1"/>
    <x v="4"/>
    <n v="0"/>
    <n v="0"/>
    <n v="1957.3050000000001"/>
    <n v="1957.3050000000001"/>
    <n v="0"/>
    <n v="0"/>
    <n v="0"/>
    <x v="2"/>
    <n v="6611"/>
    <n v="0"/>
    <n v="36"/>
    <n v="0"/>
    <n v="0"/>
    <n v="15"/>
    <n v="0"/>
    <n v="34.673419765411182"/>
    <n v="13.607845097437366"/>
    <m/>
    <n v="0"/>
    <n v="29359.575000000001"/>
    <n v="0"/>
    <n v="0"/>
    <n v="26634.703248439644"/>
    <n v="0"/>
  </r>
  <r>
    <s v="Regular"/>
    <x v="1"/>
    <x v="1"/>
    <x v="4"/>
    <x v="0"/>
    <x v="0"/>
    <x v="12"/>
    <x v="1"/>
    <x v="5"/>
    <n v="0"/>
    <n v="0"/>
    <n v="4013.9430000000002"/>
    <n v="4013.9430000000002"/>
    <n v="0"/>
    <n v="0"/>
    <n v="0"/>
    <x v="2"/>
    <n v="43"/>
    <n v="0"/>
    <n v="30"/>
    <n v="0"/>
    <n v="0"/>
    <n v="15"/>
    <n v="0"/>
    <n v="34.673419765411182"/>
    <n v="13.607845097437366"/>
    <m/>
    <n v="0"/>
    <n v="60209.145000000004"/>
    <n v="0"/>
    <n v="0"/>
    <n v="54621.114573943036"/>
    <n v="0"/>
  </r>
  <r>
    <s v="Regular"/>
    <x v="1"/>
    <x v="1"/>
    <x v="4"/>
    <x v="0"/>
    <x v="0"/>
    <x v="1"/>
    <x v="1"/>
    <x v="5"/>
    <n v="0"/>
    <n v="0"/>
    <n v="1860.662"/>
    <n v="1860.662"/>
    <n v="0"/>
    <n v="0"/>
    <n v="0"/>
    <x v="2"/>
    <n v="6611"/>
    <n v="0"/>
    <n v="36"/>
    <n v="0"/>
    <n v="0"/>
    <n v="15"/>
    <n v="0"/>
    <n v="34.673419765411182"/>
    <n v="13.607845097437366"/>
    <m/>
    <n v="0"/>
    <n v="27909.93"/>
    <n v="0"/>
    <n v="0"/>
    <n v="25319.600274688004"/>
    <n v="0"/>
  </r>
  <r>
    <s v="Regular"/>
    <x v="1"/>
    <x v="1"/>
    <x v="4"/>
    <x v="0"/>
    <x v="0"/>
    <x v="12"/>
    <x v="1"/>
    <x v="6"/>
    <n v="0"/>
    <n v="0"/>
    <n v="3716.3220000000001"/>
    <n v="3716.3220000000001"/>
    <n v="0"/>
    <n v="0"/>
    <n v="0"/>
    <x v="2"/>
    <n v="43"/>
    <n v="0"/>
    <n v="30"/>
    <n v="0"/>
    <n v="0"/>
    <n v="15"/>
    <n v="0"/>
    <n v="34.673419765411182"/>
    <n v="13.607845097437366"/>
    <m/>
    <n v="0"/>
    <n v="55744.83"/>
    <n v="0"/>
    <n v="0"/>
    <n v="50571.134108198625"/>
    <n v="0"/>
  </r>
  <r>
    <s v="Regular"/>
    <x v="1"/>
    <x v="1"/>
    <x v="4"/>
    <x v="0"/>
    <x v="0"/>
    <x v="1"/>
    <x v="1"/>
    <x v="6"/>
    <n v="0"/>
    <n v="0"/>
    <n v="1897.0550000000001"/>
    <n v="1897.0550000000001"/>
    <n v="0"/>
    <n v="0"/>
    <n v="0"/>
    <x v="2"/>
    <n v="6611"/>
    <n v="0"/>
    <n v="36"/>
    <n v="0"/>
    <n v="0"/>
    <n v="15"/>
    <n v="0"/>
    <n v="34.673419765411182"/>
    <n v="13.607845097437366"/>
    <m/>
    <n v="0"/>
    <n v="28455.825000000001"/>
    <n v="0"/>
    <n v="0"/>
    <n v="25814.830581319042"/>
    <n v="0"/>
  </r>
  <r>
    <s v="Regular"/>
    <x v="1"/>
    <x v="1"/>
    <x v="4"/>
    <x v="0"/>
    <x v="0"/>
    <x v="12"/>
    <x v="1"/>
    <x v="7"/>
    <n v="0"/>
    <n v="0"/>
    <n v="3512.3440000000001"/>
    <n v="3512.3440000000001"/>
    <n v="0"/>
    <n v="0"/>
    <n v="0"/>
    <x v="2"/>
    <n v="43"/>
    <n v="0"/>
    <n v="30"/>
    <n v="0"/>
    <n v="0"/>
    <n v="15"/>
    <n v="0"/>
    <n v="34.673419765411182"/>
    <n v="13.607845097437366"/>
    <m/>
    <n v="0"/>
    <n v="52685.16"/>
    <n v="0"/>
    <n v="0"/>
    <n v="47795.43308091355"/>
    <n v="0"/>
  </r>
  <r>
    <s v="Regular"/>
    <x v="1"/>
    <x v="1"/>
    <x v="4"/>
    <x v="0"/>
    <x v="0"/>
    <x v="1"/>
    <x v="1"/>
    <x v="7"/>
    <n v="0"/>
    <n v="0"/>
    <n v="1873.6849999999999"/>
    <n v="1873.6849999999999"/>
    <n v="0"/>
    <n v="0"/>
    <n v="0"/>
    <x v="2"/>
    <n v="6611"/>
    <n v="0"/>
    <n v="36"/>
    <n v="0"/>
    <n v="0"/>
    <n v="15"/>
    <n v="0"/>
    <n v="34.673419765411182"/>
    <n v="13.607845097437366"/>
    <m/>
    <n v="0"/>
    <n v="28105.274999999998"/>
    <n v="0"/>
    <n v="0"/>
    <n v="25496.815241391931"/>
    <n v="0"/>
  </r>
  <r>
    <s v="Regular"/>
    <x v="1"/>
    <x v="1"/>
    <x v="4"/>
    <x v="0"/>
    <x v="0"/>
    <x v="12"/>
    <x v="1"/>
    <x v="8"/>
    <n v="0"/>
    <n v="0"/>
    <n v="3894.2080000000001"/>
    <n v="3894.2080000000001"/>
    <n v="0"/>
    <n v="0"/>
    <n v="0"/>
    <x v="2"/>
    <n v="43"/>
    <n v="0"/>
    <n v="30"/>
    <n v="0"/>
    <n v="0"/>
    <n v="15"/>
    <n v="0"/>
    <n v="34.673419765411182"/>
    <n v="13.607845097437366"/>
    <m/>
    <n v="0"/>
    <n v="58413.120000000003"/>
    <n v="0"/>
    <n v="0"/>
    <n v="52991.779241201373"/>
    <n v="0"/>
  </r>
  <r>
    <s v="Regular"/>
    <x v="1"/>
    <x v="1"/>
    <x v="4"/>
    <x v="0"/>
    <x v="0"/>
    <x v="1"/>
    <x v="1"/>
    <x v="8"/>
    <n v="0"/>
    <n v="0"/>
    <n v="2043.826"/>
    <n v="2043.826"/>
    <n v="0"/>
    <n v="0"/>
    <n v="0"/>
    <x v="2"/>
    <n v="6611"/>
    <n v="0"/>
    <n v="36"/>
    <n v="0"/>
    <n v="0"/>
    <n v="15"/>
    <n v="0"/>
    <n v="34.673419765411182"/>
    <n v="13.607845097437366"/>
    <m/>
    <n v="0"/>
    <n v="30657.39"/>
    <n v="0"/>
    <n v="0"/>
    <n v="27812.067614115022"/>
    <n v="0"/>
  </r>
  <r>
    <s v="Regular"/>
    <x v="1"/>
    <x v="1"/>
    <x v="4"/>
    <x v="0"/>
    <x v="0"/>
    <x v="12"/>
    <x v="1"/>
    <x v="9"/>
    <n v="0"/>
    <n v="0"/>
    <n v="3705.6680000000001"/>
    <n v="3705.6680000000001"/>
    <n v="0"/>
    <n v="0"/>
    <n v="0"/>
    <x v="2"/>
    <n v="43"/>
    <n v="0"/>
    <n v="30"/>
    <n v="0"/>
    <n v="0"/>
    <n v="15"/>
    <n v="0"/>
    <n v="34.673419765411182"/>
    <n v="13.607845097437366"/>
    <m/>
    <n v="0"/>
    <n v="55585.020000000004"/>
    <n v="0"/>
    <n v="0"/>
    <n v="50426.156126530528"/>
    <n v="0"/>
  </r>
  <r>
    <s v="Regular"/>
    <x v="1"/>
    <x v="1"/>
    <x v="4"/>
    <x v="0"/>
    <x v="0"/>
    <x v="1"/>
    <x v="1"/>
    <x v="9"/>
    <n v="0"/>
    <n v="0"/>
    <n v="2131.5149999999999"/>
    <n v="2131.5149999999999"/>
    <n v="0"/>
    <n v="0"/>
    <n v="0"/>
    <x v="2"/>
    <n v="6611"/>
    <n v="0"/>
    <n v="36"/>
    <n v="0"/>
    <n v="0"/>
    <n v="15"/>
    <n v="0"/>
    <n v="34.673419765411182"/>
    <n v="13.607845097437366"/>
    <m/>
    <n v="0"/>
    <n v="31972.724999999999"/>
    <n v="0"/>
    <n v="0"/>
    <n v="29005.325942864205"/>
    <n v="0"/>
  </r>
  <r>
    <s v="Regular"/>
    <x v="1"/>
    <x v="1"/>
    <x v="4"/>
    <x v="0"/>
    <x v="0"/>
    <x v="12"/>
    <x v="1"/>
    <x v="10"/>
    <n v="0"/>
    <n v="0"/>
    <n v="3698.556"/>
    <n v="3698.556"/>
    <n v="0"/>
    <n v="0"/>
    <n v="0"/>
    <x v="2"/>
    <n v="43"/>
    <n v="0"/>
    <n v="30"/>
    <n v="0"/>
    <n v="0"/>
    <n v="15"/>
    <n v="0"/>
    <n v="34.673419765411182"/>
    <n v="13.607845097437366"/>
    <m/>
    <n v="0"/>
    <n v="55478.340000000004"/>
    <n v="0"/>
    <n v="0"/>
    <n v="50329.377132197558"/>
    <n v="0"/>
  </r>
  <r>
    <s v="Regular"/>
    <x v="1"/>
    <x v="1"/>
    <x v="4"/>
    <x v="0"/>
    <x v="0"/>
    <x v="1"/>
    <x v="1"/>
    <x v="10"/>
    <n v="0"/>
    <n v="0"/>
    <n v="1987.5840000000001"/>
    <n v="1987.5840000000001"/>
    <n v="0"/>
    <n v="0"/>
    <n v="0"/>
    <x v="2"/>
    <n v="6611"/>
    <n v="0"/>
    <n v="36"/>
    <n v="0"/>
    <n v="0"/>
    <n v="15"/>
    <n v="0"/>
    <n v="34.673419765411182"/>
    <n v="13.607845097437366"/>
    <m/>
    <n v="0"/>
    <n v="29813.760000000002"/>
    <n v="0"/>
    <n v="0"/>
    <n v="27046.735190144951"/>
    <n v="0"/>
  </r>
  <r>
    <s v="PROJETADO"/>
    <x v="1"/>
    <x v="1"/>
    <x v="4"/>
    <x v="0"/>
    <x v="0"/>
    <x v="12"/>
    <x v="1"/>
    <x v="11"/>
    <n v="0"/>
    <n v="0"/>
    <n v="3698.556"/>
    <n v="3698.556"/>
    <n v="0"/>
    <n v="0"/>
    <n v="0"/>
    <x v="2"/>
    <n v="43"/>
    <n v="0"/>
    <n v="30"/>
    <n v="0"/>
    <n v="0"/>
    <n v="15"/>
    <n v="0"/>
    <n v="34.673419765411182"/>
    <n v="13.607845097437366"/>
    <m/>
    <n v="0"/>
    <n v="55478.340000000004"/>
    <n v="0"/>
    <n v="0"/>
    <n v="50329.377132197558"/>
    <n v="0"/>
  </r>
  <r>
    <s v="PROJETADO"/>
    <x v="1"/>
    <x v="1"/>
    <x v="4"/>
    <x v="0"/>
    <x v="0"/>
    <x v="1"/>
    <x v="1"/>
    <x v="11"/>
    <n v="0"/>
    <n v="0"/>
    <n v="1987.5840000000001"/>
    <n v="1987.5840000000001"/>
    <n v="0"/>
    <n v="0"/>
    <n v="0"/>
    <x v="2"/>
    <n v="6611"/>
    <n v="0"/>
    <n v="36"/>
    <n v="0"/>
    <n v="0"/>
    <n v="15"/>
    <n v="0"/>
    <n v="34.673419765411182"/>
    <n v="13.607845097437366"/>
    <m/>
    <n v="0"/>
    <n v="29813.760000000002"/>
    <n v="0"/>
    <n v="0"/>
    <n v="27046.735190144951"/>
    <n v="0"/>
  </r>
  <r>
    <s v="Regular"/>
    <x v="1"/>
    <x v="1"/>
    <x v="4"/>
    <x v="0"/>
    <x v="0"/>
    <x v="12"/>
    <x v="2"/>
    <x v="0"/>
    <n v="6951"/>
    <n v="6951"/>
    <n v="0"/>
    <n v="0"/>
    <n v="0"/>
    <n v="0"/>
    <n v="0"/>
    <x v="2"/>
    <n v="43"/>
    <n v="26"/>
    <n v="0"/>
    <n v="0"/>
    <n v="25.64"/>
    <n v="0"/>
    <n v="0"/>
    <n v="27.749673905241721"/>
    <n v="13.607845097437366"/>
    <m/>
    <n v="178223.64"/>
    <n v="0"/>
    <n v="0"/>
    <n v="192887.98331533521"/>
    <n v="0"/>
    <n v="0"/>
  </r>
  <r>
    <s v="Regular"/>
    <x v="1"/>
    <x v="1"/>
    <x v="4"/>
    <x v="0"/>
    <x v="0"/>
    <x v="1"/>
    <x v="2"/>
    <x v="0"/>
    <n v="1984"/>
    <n v="1984"/>
    <n v="0"/>
    <n v="0"/>
    <n v="0"/>
    <n v="0"/>
    <n v="0"/>
    <x v="2"/>
    <n v="6611"/>
    <n v="32"/>
    <n v="0"/>
    <n v="0"/>
    <n v="25.64"/>
    <n v="0"/>
    <n v="0"/>
    <n v="27.749673905241721"/>
    <n v="13.607845097437366"/>
    <m/>
    <n v="50869.760000000002"/>
    <n v="0"/>
    <n v="0"/>
    <n v="55055.353027999576"/>
    <n v="0"/>
    <n v="0"/>
  </r>
  <r>
    <s v="Regular"/>
    <x v="1"/>
    <x v="1"/>
    <x v="4"/>
    <x v="0"/>
    <x v="0"/>
    <x v="12"/>
    <x v="2"/>
    <x v="1"/>
    <n v="6951"/>
    <n v="6951"/>
    <n v="0"/>
    <n v="0"/>
    <n v="0"/>
    <n v="0"/>
    <n v="0"/>
    <x v="2"/>
    <n v="43"/>
    <n v="26"/>
    <n v="0"/>
    <n v="0"/>
    <n v="25.64"/>
    <n v="0"/>
    <n v="0"/>
    <n v="27.749673905241721"/>
    <n v="13.607845097437366"/>
    <m/>
    <n v="178223.64"/>
    <n v="0"/>
    <n v="0"/>
    <n v="192887.98331533521"/>
    <n v="0"/>
    <n v="0"/>
  </r>
  <r>
    <s v="Regular"/>
    <x v="1"/>
    <x v="1"/>
    <x v="4"/>
    <x v="0"/>
    <x v="0"/>
    <x v="1"/>
    <x v="2"/>
    <x v="1"/>
    <n v="1980"/>
    <n v="1980"/>
    <n v="0"/>
    <n v="0"/>
    <n v="0"/>
    <n v="0"/>
    <n v="0"/>
    <x v="2"/>
    <n v="6611"/>
    <n v="32"/>
    <n v="0"/>
    <n v="0"/>
    <n v="25.64"/>
    <n v="0"/>
    <n v="0"/>
    <n v="27.749673905241721"/>
    <n v="13.607845097437366"/>
    <m/>
    <n v="50767.200000000004"/>
    <n v="0"/>
    <n v="0"/>
    <n v="54944.354332378607"/>
    <n v="0"/>
    <n v="0"/>
  </r>
  <r>
    <s v="Regular"/>
    <x v="1"/>
    <x v="1"/>
    <x v="4"/>
    <x v="0"/>
    <x v="0"/>
    <x v="12"/>
    <x v="2"/>
    <x v="2"/>
    <n v="6951"/>
    <n v="6951"/>
    <n v="0"/>
    <n v="0"/>
    <n v="0"/>
    <n v="0"/>
    <n v="0"/>
    <x v="2"/>
    <n v="43"/>
    <n v="26"/>
    <n v="0"/>
    <n v="0"/>
    <n v="25.64"/>
    <n v="0"/>
    <n v="0"/>
    <n v="27.749673905241721"/>
    <n v="13.607845097437366"/>
    <m/>
    <n v="178223.64"/>
    <n v="0"/>
    <n v="0"/>
    <n v="192887.98331533521"/>
    <n v="0"/>
    <n v="0"/>
  </r>
  <r>
    <s v="Regular"/>
    <x v="1"/>
    <x v="1"/>
    <x v="4"/>
    <x v="0"/>
    <x v="0"/>
    <x v="1"/>
    <x v="2"/>
    <x v="2"/>
    <n v="2036"/>
    <n v="2036"/>
    <n v="0"/>
    <n v="0"/>
    <n v="0"/>
    <n v="0"/>
    <n v="0"/>
    <x v="2"/>
    <n v="6611"/>
    <n v="32"/>
    <n v="0"/>
    <n v="0"/>
    <n v="25.64"/>
    <n v="0"/>
    <n v="0"/>
    <n v="27.749673905241721"/>
    <n v="13.607845097437366"/>
    <m/>
    <n v="52203.040000000001"/>
    <n v="0"/>
    <n v="0"/>
    <n v="56498.336071072146"/>
    <n v="0"/>
    <n v="0"/>
  </r>
  <r>
    <s v="Regular"/>
    <x v="1"/>
    <x v="1"/>
    <x v="4"/>
    <x v="0"/>
    <x v="0"/>
    <x v="12"/>
    <x v="2"/>
    <x v="3"/>
    <n v="6951"/>
    <n v="6951"/>
    <n v="0"/>
    <n v="0"/>
    <n v="0"/>
    <n v="0"/>
    <n v="0"/>
    <x v="2"/>
    <n v="43"/>
    <n v="26"/>
    <n v="0"/>
    <n v="0"/>
    <n v="25.64"/>
    <n v="0"/>
    <n v="0"/>
    <n v="27.749673905241721"/>
    <n v="13.607845097437366"/>
    <m/>
    <n v="178223.64"/>
    <n v="0"/>
    <n v="0"/>
    <n v="192887.98331533521"/>
    <n v="0"/>
    <n v="0"/>
  </r>
  <r>
    <s v="Regular"/>
    <x v="1"/>
    <x v="1"/>
    <x v="4"/>
    <x v="0"/>
    <x v="0"/>
    <x v="1"/>
    <x v="2"/>
    <x v="3"/>
    <n v="1944"/>
    <n v="1944"/>
    <n v="0"/>
    <n v="0"/>
    <n v="0"/>
    <n v="0"/>
    <n v="0"/>
    <x v="2"/>
    <n v="6611"/>
    <n v="32"/>
    <n v="0"/>
    <n v="0"/>
    <n v="25.64"/>
    <n v="0"/>
    <n v="0"/>
    <n v="27.749673905241721"/>
    <n v="13.607845097437366"/>
    <m/>
    <n v="49844.160000000003"/>
    <n v="0"/>
    <n v="0"/>
    <n v="53945.366071789904"/>
    <n v="0"/>
    <n v="0"/>
  </r>
  <r>
    <s v="Regular"/>
    <x v="1"/>
    <x v="1"/>
    <x v="4"/>
    <x v="0"/>
    <x v="0"/>
    <x v="12"/>
    <x v="2"/>
    <x v="4"/>
    <n v="6951"/>
    <n v="6951"/>
    <n v="0"/>
    <n v="0"/>
    <n v="0"/>
    <n v="0"/>
    <n v="0"/>
    <x v="2"/>
    <n v="43"/>
    <n v="26"/>
    <n v="0"/>
    <n v="0"/>
    <n v="25.64"/>
    <n v="0"/>
    <n v="0"/>
    <n v="27.749673905241721"/>
    <n v="13.607845097437366"/>
    <m/>
    <n v="178223.64"/>
    <n v="0"/>
    <n v="0"/>
    <n v="192887.98331533521"/>
    <n v="0"/>
    <n v="0"/>
  </r>
  <r>
    <s v="Regular"/>
    <x v="1"/>
    <x v="1"/>
    <x v="4"/>
    <x v="0"/>
    <x v="0"/>
    <x v="1"/>
    <x v="2"/>
    <x v="4"/>
    <n v="2272"/>
    <n v="2272"/>
    <n v="0"/>
    <n v="0"/>
    <n v="0"/>
    <n v="0"/>
    <n v="0"/>
    <x v="2"/>
    <n v="6611"/>
    <n v="32"/>
    <n v="0"/>
    <n v="0"/>
    <n v="25.64"/>
    <n v="0"/>
    <n v="0"/>
    <n v="27.749673905241721"/>
    <n v="13.607845097437366"/>
    <m/>
    <n v="58254.080000000002"/>
    <n v="0"/>
    <n v="0"/>
    <n v="63047.259112709187"/>
    <n v="0"/>
    <n v="0"/>
  </r>
  <r>
    <s v="Regular"/>
    <x v="1"/>
    <x v="1"/>
    <x v="4"/>
    <x v="0"/>
    <x v="0"/>
    <x v="12"/>
    <x v="2"/>
    <x v="5"/>
    <n v="6951"/>
    <n v="6951"/>
    <n v="0"/>
    <n v="0"/>
    <n v="0"/>
    <n v="0"/>
    <n v="0"/>
    <x v="2"/>
    <n v="43"/>
    <n v="26"/>
    <n v="0"/>
    <n v="0"/>
    <n v="25.64"/>
    <n v="0"/>
    <n v="0"/>
    <n v="27.749673905241721"/>
    <n v="13.607845097437366"/>
    <m/>
    <n v="178223.64"/>
    <n v="0"/>
    <n v="0"/>
    <n v="192887.98331533521"/>
    <n v="0"/>
    <n v="0"/>
  </r>
  <r>
    <s v="Regular"/>
    <x v="1"/>
    <x v="1"/>
    <x v="4"/>
    <x v="0"/>
    <x v="0"/>
    <x v="1"/>
    <x v="2"/>
    <x v="5"/>
    <n v="2728"/>
    <n v="2728"/>
    <n v="0"/>
    <n v="0"/>
    <n v="0"/>
    <n v="0"/>
    <n v="0"/>
    <x v="2"/>
    <n v="6611"/>
    <n v="32"/>
    <n v="0"/>
    <n v="0"/>
    <n v="25.64"/>
    <n v="0"/>
    <n v="0"/>
    <n v="27.749673905241721"/>
    <n v="13.607845097437366"/>
    <m/>
    <n v="69945.919999999998"/>
    <n v="0"/>
    <n v="0"/>
    <n v="75701.110413499409"/>
    <n v="0"/>
    <n v="0"/>
  </r>
  <r>
    <s v="Regular"/>
    <x v="1"/>
    <x v="1"/>
    <x v="4"/>
    <x v="0"/>
    <x v="0"/>
    <x v="12"/>
    <x v="2"/>
    <x v="6"/>
    <n v="6951"/>
    <n v="6951"/>
    <n v="0"/>
    <n v="0"/>
    <n v="0"/>
    <n v="0"/>
    <n v="0"/>
    <x v="2"/>
    <n v="43"/>
    <n v="26"/>
    <n v="0"/>
    <n v="0"/>
    <n v="25.64"/>
    <n v="0"/>
    <n v="0"/>
    <n v="27.749673905241721"/>
    <n v="13.607845097437366"/>
    <m/>
    <n v="178223.64"/>
    <n v="0"/>
    <n v="0"/>
    <n v="192887.98331533521"/>
    <n v="0"/>
    <n v="0"/>
  </r>
  <r>
    <s v="Regular"/>
    <x v="1"/>
    <x v="1"/>
    <x v="4"/>
    <x v="0"/>
    <x v="0"/>
    <x v="1"/>
    <x v="2"/>
    <x v="6"/>
    <n v="2420"/>
    <n v="2420"/>
    <n v="0"/>
    <n v="0"/>
    <n v="0"/>
    <n v="0"/>
    <n v="0"/>
    <x v="2"/>
    <n v="6611"/>
    <n v="32"/>
    <n v="0"/>
    <n v="0"/>
    <n v="25.64"/>
    <n v="0"/>
    <n v="0"/>
    <n v="27.749673905241721"/>
    <n v="13.607845097437366"/>
    <m/>
    <n v="62048.800000000003"/>
    <n v="0"/>
    <n v="0"/>
    <n v="67154.210850684962"/>
    <n v="0"/>
    <n v="0"/>
  </r>
  <r>
    <s v="Regular"/>
    <x v="1"/>
    <x v="1"/>
    <x v="4"/>
    <x v="0"/>
    <x v="0"/>
    <x v="12"/>
    <x v="2"/>
    <x v="7"/>
    <n v="6951"/>
    <n v="6951"/>
    <n v="0"/>
    <n v="0"/>
    <n v="0"/>
    <n v="0"/>
    <n v="0"/>
    <x v="2"/>
    <n v="43"/>
    <n v="26"/>
    <n v="0"/>
    <n v="0"/>
    <n v="25.64"/>
    <n v="0"/>
    <n v="0"/>
    <n v="27.749673905241721"/>
    <n v="13.607845097437366"/>
    <m/>
    <n v="178223.64"/>
    <n v="0"/>
    <n v="0"/>
    <n v="192887.98331533521"/>
    <n v="0"/>
    <n v="0"/>
  </r>
  <r>
    <s v="Regular"/>
    <x v="1"/>
    <x v="1"/>
    <x v="4"/>
    <x v="0"/>
    <x v="0"/>
    <x v="1"/>
    <x v="2"/>
    <x v="7"/>
    <n v="2452"/>
    <n v="2452"/>
    <n v="0"/>
    <n v="0"/>
    <n v="0"/>
    <n v="0"/>
    <n v="0"/>
    <x v="2"/>
    <n v="6611"/>
    <n v="32"/>
    <n v="0"/>
    <n v="0"/>
    <n v="25.64"/>
    <n v="0"/>
    <n v="0"/>
    <n v="27.749673905241721"/>
    <n v="13.607845097437366"/>
    <m/>
    <n v="62869.279999999999"/>
    <n v="0"/>
    <n v="0"/>
    <n v="68042.200415652696"/>
    <n v="0"/>
    <n v="0"/>
  </r>
  <r>
    <s v="Regular"/>
    <x v="1"/>
    <x v="1"/>
    <x v="4"/>
    <x v="0"/>
    <x v="0"/>
    <x v="12"/>
    <x v="2"/>
    <x v="8"/>
    <n v="6951"/>
    <n v="6951"/>
    <n v="0"/>
    <n v="0"/>
    <n v="0"/>
    <n v="0"/>
    <n v="0"/>
    <x v="2"/>
    <n v="43"/>
    <n v="26"/>
    <n v="0"/>
    <n v="0"/>
    <n v="25.64"/>
    <n v="0"/>
    <n v="0"/>
    <n v="27.749673905241721"/>
    <n v="13.607845097437366"/>
    <m/>
    <n v="178223.64"/>
    <n v="0"/>
    <n v="0"/>
    <n v="192887.98331533521"/>
    <n v="0"/>
    <n v="0"/>
  </r>
  <r>
    <s v="Regular"/>
    <x v="1"/>
    <x v="1"/>
    <x v="4"/>
    <x v="0"/>
    <x v="0"/>
    <x v="1"/>
    <x v="2"/>
    <x v="8"/>
    <n v="2460"/>
    <n v="2460"/>
    <n v="0"/>
    <n v="0"/>
    <n v="0"/>
    <n v="0"/>
    <n v="0"/>
    <x v="2"/>
    <n v="6611"/>
    <n v="32"/>
    <n v="0"/>
    <n v="0"/>
    <n v="25.64"/>
    <n v="0"/>
    <n v="0"/>
    <n v="27.749673905241721"/>
    <n v="13.607845097437366"/>
    <m/>
    <n v="63074.400000000001"/>
    <n v="0"/>
    <n v="0"/>
    <n v="68264.197806894634"/>
    <n v="0"/>
    <n v="0"/>
  </r>
  <r>
    <s v="Regular"/>
    <x v="1"/>
    <x v="1"/>
    <x v="4"/>
    <x v="0"/>
    <x v="0"/>
    <x v="12"/>
    <x v="2"/>
    <x v="9"/>
    <n v="6951"/>
    <n v="6951"/>
    <n v="0"/>
    <n v="0"/>
    <n v="0"/>
    <n v="0"/>
    <n v="0"/>
    <x v="2"/>
    <n v="43"/>
    <n v="26"/>
    <n v="0"/>
    <n v="0"/>
    <n v="25.64"/>
    <n v="0"/>
    <n v="0"/>
    <n v="27.749673905241721"/>
    <n v="13.607845097437366"/>
    <m/>
    <n v="178223.64"/>
    <n v="0"/>
    <n v="0"/>
    <n v="192887.98331533521"/>
    <n v="0"/>
    <n v="0"/>
  </r>
  <r>
    <s v="Regular"/>
    <x v="1"/>
    <x v="1"/>
    <x v="4"/>
    <x v="0"/>
    <x v="0"/>
    <x v="1"/>
    <x v="2"/>
    <x v="9"/>
    <n v="2780"/>
    <n v="2780"/>
    <n v="0"/>
    <n v="0"/>
    <n v="0"/>
    <n v="0"/>
    <n v="0"/>
    <x v="2"/>
    <n v="6611"/>
    <n v="32"/>
    <n v="0"/>
    <n v="0"/>
    <n v="25.64"/>
    <n v="0"/>
    <n v="0"/>
    <n v="27.749673905241721"/>
    <n v="13.607845097437366"/>
    <m/>
    <n v="71279.199999999997"/>
    <n v="0"/>
    <n v="0"/>
    <n v="77144.09345657198"/>
    <n v="0"/>
    <n v="0"/>
  </r>
  <r>
    <s v="Regular"/>
    <x v="1"/>
    <x v="1"/>
    <x v="4"/>
    <x v="0"/>
    <x v="0"/>
    <x v="12"/>
    <x v="2"/>
    <x v="10"/>
    <n v="7031"/>
    <n v="7031"/>
    <n v="0"/>
    <n v="0"/>
    <n v="0"/>
    <n v="0"/>
    <n v="0"/>
    <x v="2"/>
    <n v="43"/>
    <n v="26"/>
    <n v="0"/>
    <n v="0"/>
    <n v="25.64"/>
    <n v="0"/>
    <n v="0"/>
    <n v="27.749673905241721"/>
    <n v="13.607845097437366"/>
    <m/>
    <n v="180274.84"/>
    <n v="0"/>
    <n v="0"/>
    <n v="195107.95722775455"/>
    <n v="0"/>
    <n v="0"/>
  </r>
  <r>
    <s v="Regular"/>
    <x v="1"/>
    <x v="1"/>
    <x v="4"/>
    <x v="0"/>
    <x v="0"/>
    <x v="1"/>
    <x v="2"/>
    <x v="10"/>
    <n v="2544"/>
    <n v="2544"/>
    <n v="0"/>
    <n v="0"/>
    <n v="0"/>
    <n v="0"/>
    <n v="0"/>
    <x v="2"/>
    <n v="6611"/>
    <n v="32"/>
    <n v="0"/>
    <n v="0"/>
    <n v="25.64"/>
    <n v="0"/>
    <n v="0"/>
    <n v="27.749673905241721"/>
    <n v="13.607845097437366"/>
    <m/>
    <n v="65228.160000000003"/>
    <n v="0"/>
    <n v="0"/>
    <n v="70595.170414934939"/>
    <n v="0"/>
    <n v="0"/>
  </r>
  <r>
    <s v="PROJETADO"/>
    <x v="1"/>
    <x v="1"/>
    <x v="4"/>
    <x v="0"/>
    <x v="0"/>
    <x v="12"/>
    <x v="2"/>
    <x v="11"/>
    <n v="7031"/>
    <n v="7031"/>
    <n v="0"/>
    <n v="0"/>
    <n v="0"/>
    <n v="0"/>
    <n v="0"/>
    <x v="2"/>
    <n v="43"/>
    <n v="26"/>
    <n v="0"/>
    <n v="0"/>
    <n v="25.64"/>
    <n v="0"/>
    <n v="0"/>
    <n v="27.749673905241721"/>
    <n v="13.607845097437366"/>
    <m/>
    <n v="180274.84"/>
    <n v="0"/>
    <n v="0"/>
    <n v="195107.95722775455"/>
    <n v="0"/>
    <n v="0"/>
  </r>
  <r>
    <s v="PROJETADO"/>
    <x v="1"/>
    <x v="1"/>
    <x v="4"/>
    <x v="0"/>
    <x v="0"/>
    <x v="1"/>
    <x v="2"/>
    <x v="11"/>
    <n v="2544"/>
    <n v="2544"/>
    <n v="0"/>
    <n v="0"/>
    <n v="0"/>
    <n v="0"/>
    <n v="0"/>
    <x v="2"/>
    <n v="6611"/>
    <n v="32"/>
    <n v="0"/>
    <n v="0"/>
    <n v="25.64"/>
    <n v="0"/>
    <n v="0"/>
    <n v="27.749673905241721"/>
    <n v="13.607845097437366"/>
    <m/>
    <n v="65228.160000000003"/>
    <n v="0"/>
    <n v="0"/>
    <n v="70595.170414934939"/>
    <n v="0"/>
    <n v="0"/>
  </r>
  <r>
    <s v="Regular"/>
    <x v="1"/>
    <x v="2"/>
    <x v="4"/>
    <x v="0"/>
    <x v="0"/>
    <x v="13"/>
    <x v="1"/>
    <x v="0"/>
    <n v="4500"/>
    <n v="2250"/>
    <n v="0"/>
    <n v="0"/>
    <n v="0"/>
    <n v="0"/>
    <n v="0"/>
    <x v="3"/>
    <n v="29075"/>
    <n v="38"/>
    <n v="0"/>
    <n v="0"/>
    <n v="14.41"/>
    <n v="0"/>
    <n v="0"/>
    <n v="15.961981786190728"/>
    <m/>
    <m/>
    <n v="32422.5"/>
    <n v="0"/>
    <n v="0"/>
    <n v="35914.459018929141"/>
    <n v="0"/>
    <n v="0"/>
  </r>
  <r>
    <s v="Regular"/>
    <x v="1"/>
    <x v="2"/>
    <x v="4"/>
    <x v="0"/>
    <x v="0"/>
    <x v="14"/>
    <x v="1"/>
    <x v="0"/>
    <n v="3000"/>
    <n v="1500"/>
    <n v="0"/>
    <n v="0"/>
    <n v="0"/>
    <n v="0"/>
    <n v="0"/>
    <x v="3"/>
    <m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5"/>
    <x v="1"/>
    <x v="0"/>
    <n v="3000"/>
    <n v="1500"/>
    <n v="0"/>
    <n v="0"/>
    <n v="0"/>
    <n v="0"/>
    <n v="0"/>
    <x v="3"/>
    <n v="34891"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6"/>
    <x v="1"/>
    <x v="0"/>
    <n v="600"/>
    <n v="300"/>
    <n v="0"/>
    <n v="0"/>
    <n v="0"/>
    <n v="0"/>
    <n v="0"/>
    <x v="3"/>
    <n v="34893"/>
    <n v="38"/>
    <n v="0"/>
    <n v="0"/>
    <n v="14.41"/>
    <n v="0"/>
    <n v="0"/>
    <n v="15.961981786190728"/>
    <m/>
    <m/>
    <n v="4323"/>
    <n v="0"/>
    <n v="0"/>
    <n v="4788.594535857218"/>
    <n v="0"/>
    <n v="0"/>
  </r>
  <r>
    <s v="Regular"/>
    <x v="1"/>
    <x v="2"/>
    <x v="4"/>
    <x v="0"/>
    <x v="0"/>
    <x v="17"/>
    <x v="1"/>
    <x v="0"/>
    <n v="4800"/>
    <n v="0"/>
    <n v="0"/>
    <n v="0"/>
    <n v="0"/>
    <n v="0"/>
    <n v="0"/>
    <x v="3"/>
    <n v="43199"/>
    <n v="38"/>
    <n v="0"/>
    <n v="0"/>
    <n v="14.41"/>
    <n v="0"/>
    <n v="0"/>
    <n v="15.961981786190728"/>
    <m/>
    <m/>
    <n v="0"/>
    <n v="0"/>
    <n v="0"/>
    <n v="0"/>
    <n v="0"/>
    <n v="0"/>
  </r>
  <r>
    <s v="Regular"/>
    <x v="1"/>
    <x v="2"/>
    <x v="4"/>
    <x v="0"/>
    <x v="0"/>
    <x v="18"/>
    <x v="1"/>
    <x v="0"/>
    <n v="200"/>
    <n v="100"/>
    <n v="0"/>
    <n v="0"/>
    <n v="0"/>
    <n v="0"/>
    <n v="0"/>
    <x v="3"/>
    <m/>
    <n v="38"/>
    <n v="0"/>
    <n v="0"/>
    <n v="14.41"/>
    <n v="0"/>
    <n v="0"/>
    <n v="15.961981786190728"/>
    <m/>
    <m/>
    <n v="1441"/>
    <n v="0"/>
    <n v="0"/>
    <n v="1596.1981786190729"/>
    <n v="0"/>
    <n v="0"/>
  </r>
  <r>
    <s v="Regular"/>
    <x v="1"/>
    <x v="2"/>
    <x v="4"/>
    <x v="0"/>
    <x v="0"/>
    <x v="13"/>
    <x v="1"/>
    <x v="1"/>
    <n v="4500"/>
    <n v="2250"/>
    <n v="0"/>
    <n v="0"/>
    <n v="0"/>
    <n v="0"/>
    <n v="0"/>
    <x v="3"/>
    <n v="29075"/>
    <n v="38"/>
    <n v="0"/>
    <n v="0"/>
    <n v="14.41"/>
    <n v="0"/>
    <n v="0"/>
    <n v="15.961981786190728"/>
    <m/>
    <m/>
    <n v="32422.5"/>
    <n v="0"/>
    <n v="0"/>
    <n v="35914.459018929141"/>
    <n v="0"/>
    <n v="0"/>
  </r>
  <r>
    <s v="Regular"/>
    <x v="1"/>
    <x v="2"/>
    <x v="4"/>
    <x v="0"/>
    <x v="0"/>
    <x v="14"/>
    <x v="1"/>
    <x v="1"/>
    <n v="3000"/>
    <n v="1500"/>
    <n v="0"/>
    <n v="0"/>
    <n v="0"/>
    <n v="0"/>
    <n v="0"/>
    <x v="3"/>
    <m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5"/>
    <x v="1"/>
    <x v="1"/>
    <n v="3000"/>
    <n v="1500"/>
    <n v="0"/>
    <n v="0"/>
    <n v="0"/>
    <n v="0"/>
    <n v="0"/>
    <x v="3"/>
    <n v="34891"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6"/>
    <x v="1"/>
    <x v="1"/>
    <n v="600"/>
    <n v="300"/>
    <n v="0"/>
    <n v="0"/>
    <n v="0"/>
    <n v="0"/>
    <n v="0"/>
    <x v="3"/>
    <n v="34893"/>
    <n v="38"/>
    <n v="0"/>
    <n v="0"/>
    <n v="14.41"/>
    <n v="0"/>
    <n v="0"/>
    <n v="15.961981786190728"/>
    <m/>
    <m/>
    <n v="4323"/>
    <n v="0"/>
    <n v="0"/>
    <n v="4788.594535857218"/>
    <n v="0"/>
    <n v="0"/>
  </r>
  <r>
    <s v="Regular"/>
    <x v="1"/>
    <x v="2"/>
    <x v="4"/>
    <x v="0"/>
    <x v="0"/>
    <x v="17"/>
    <x v="1"/>
    <x v="1"/>
    <n v="4800"/>
    <n v="0"/>
    <n v="0"/>
    <n v="0"/>
    <n v="0"/>
    <n v="0"/>
    <n v="0"/>
    <x v="3"/>
    <n v="43199"/>
    <n v="38"/>
    <n v="0"/>
    <n v="0"/>
    <n v="14.41"/>
    <n v="0"/>
    <n v="0"/>
    <n v="15.961981786190728"/>
    <m/>
    <m/>
    <n v="0"/>
    <n v="0"/>
    <n v="0"/>
    <n v="0"/>
    <n v="0"/>
    <n v="0"/>
  </r>
  <r>
    <s v="Regular"/>
    <x v="1"/>
    <x v="2"/>
    <x v="4"/>
    <x v="0"/>
    <x v="0"/>
    <x v="18"/>
    <x v="1"/>
    <x v="1"/>
    <n v="200"/>
    <n v="100"/>
    <n v="0"/>
    <n v="0"/>
    <n v="0"/>
    <n v="0"/>
    <n v="0"/>
    <x v="3"/>
    <m/>
    <n v="38"/>
    <n v="0"/>
    <n v="0"/>
    <n v="14.41"/>
    <n v="0"/>
    <n v="0"/>
    <n v="15.961981786190728"/>
    <m/>
    <m/>
    <n v="1441"/>
    <n v="0"/>
    <n v="0"/>
    <n v="1596.1981786190729"/>
    <n v="0"/>
    <n v="0"/>
  </r>
  <r>
    <s v="Regular"/>
    <x v="1"/>
    <x v="2"/>
    <x v="4"/>
    <x v="0"/>
    <x v="0"/>
    <x v="19"/>
    <x v="1"/>
    <x v="1"/>
    <n v="250"/>
    <n v="125"/>
    <n v="0"/>
    <n v="0"/>
    <n v="0"/>
    <n v="0"/>
    <n v="0"/>
    <x v="3"/>
    <m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faturamento - Regular"/>
    <x v="1"/>
    <x v="2"/>
    <x v="4"/>
    <x v="0"/>
    <x v="0"/>
    <x v="19"/>
    <x v="1"/>
    <x v="1"/>
    <n v="122"/>
    <n v="122"/>
    <n v="0"/>
    <n v="0"/>
    <n v="0"/>
    <n v="0"/>
    <n v="0"/>
    <x v="3"/>
    <m/>
    <n v="38"/>
    <n v="0"/>
    <n v="0"/>
    <n v="14.41"/>
    <n v="0"/>
    <n v="0"/>
    <n v="15.961981786190728"/>
    <m/>
    <m/>
    <n v="1758.02"/>
    <n v="0"/>
    <n v="0"/>
    <n v="1947.3617779152689"/>
    <n v="0"/>
    <n v="0"/>
  </r>
  <r>
    <s v="Regular"/>
    <x v="1"/>
    <x v="2"/>
    <x v="4"/>
    <x v="0"/>
    <x v="0"/>
    <x v="20"/>
    <x v="1"/>
    <x v="1"/>
    <n v="250"/>
    <n v="125"/>
    <n v="0"/>
    <n v="0"/>
    <n v="0"/>
    <n v="0"/>
    <n v="0"/>
    <x v="3"/>
    <n v="52044"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faturamento - Regular"/>
    <x v="1"/>
    <x v="2"/>
    <x v="4"/>
    <x v="0"/>
    <x v="0"/>
    <x v="20"/>
    <x v="1"/>
    <x v="1"/>
    <n v="223"/>
    <n v="223"/>
    <n v="0"/>
    <n v="0"/>
    <n v="0"/>
    <n v="0"/>
    <n v="0"/>
    <x v="3"/>
    <n v="52044"/>
    <n v="38"/>
    <n v="0"/>
    <n v="0"/>
    <n v="14.41"/>
    <n v="0"/>
    <n v="0"/>
    <n v="15.961981786190728"/>
    <m/>
    <m/>
    <n v="3213.43"/>
    <n v="0"/>
    <n v="0"/>
    <n v="3559.5219383205326"/>
    <n v="0"/>
    <n v="0"/>
  </r>
  <r>
    <s v="Regular"/>
    <x v="1"/>
    <x v="2"/>
    <x v="4"/>
    <x v="0"/>
    <x v="0"/>
    <x v="13"/>
    <x v="1"/>
    <x v="2"/>
    <n v="4500"/>
    <n v="2250"/>
    <n v="0"/>
    <n v="0"/>
    <n v="0"/>
    <n v="0"/>
    <n v="0"/>
    <x v="3"/>
    <n v="29075"/>
    <n v="38"/>
    <n v="0"/>
    <n v="0"/>
    <n v="14.41"/>
    <n v="0"/>
    <n v="0"/>
    <n v="15.961981786190728"/>
    <m/>
    <m/>
    <n v="32422.5"/>
    <n v="0"/>
    <n v="0"/>
    <n v="35914.459018929141"/>
    <n v="0"/>
    <n v="0"/>
  </r>
  <r>
    <s v="Regular"/>
    <x v="1"/>
    <x v="2"/>
    <x v="4"/>
    <x v="0"/>
    <x v="0"/>
    <x v="14"/>
    <x v="1"/>
    <x v="2"/>
    <n v="3000"/>
    <n v="1500"/>
    <n v="0"/>
    <n v="0"/>
    <n v="0"/>
    <n v="0"/>
    <n v="0"/>
    <x v="3"/>
    <m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5"/>
    <x v="1"/>
    <x v="2"/>
    <n v="3884"/>
    <n v="1942"/>
    <n v="0"/>
    <n v="0"/>
    <n v="0"/>
    <n v="0"/>
    <n v="0"/>
    <x v="3"/>
    <n v="34891"/>
    <n v="38"/>
    <n v="0"/>
    <n v="0"/>
    <n v="14.41"/>
    <n v="0"/>
    <n v="0"/>
    <n v="15.961981786190728"/>
    <m/>
    <m/>
    <n v="27984.22"/>
    <n v="0"/>
    <n v="0"/>
    <n v="30998.168628782394"/>
    <n v="0"/>
    <n v="0"/>
  </r>
  <r>
    <s v="Regular"/>
    <x v="1"/>
    <x v="2"/>
    <x v="4"/>
    <x v="0"/>
    <x v="0"/>
    <x v="16"/>
    <x v="1"/>
    <x v="2"/>
    <n v="600"/>
    <n v="300"/>
    <n v="0"/>
    <n v="0"/>
    <n v="0"/>
    <n v="0"/>
    <n v="0"/>
    <x v="3"/>
    <n v="34893"/>
    <n v="38"/>
    <n v="0"/>
    <n v="0"/>
    <n v="14.41"/>
    <n v="0"/>
    <n v="0"/>
    <n v="15.961981786190728"/>
    <m/>
    <m/>
    <n v="4323"/>
    <n v="0"/>
    <n v="0"/>
    <n v="4788.594535857218"/>
    <n v="0"/>
    <n v="0"/>
  </r>
  <r>
    <s v="Regular"/>
    <x v="1"/>
    <x v="2"/>
    <x v="4"/>
    <x v="0"/>
    <x v="0"/>
    <x v="17"/>
    <x v="1"/>
    <x v="2"/>
    <n v="4800"/>
    <n v="0"/>
    <n v="0"/>
    <n v="0"/>
    <n v="0"/>
    <n v="0"/>
    <n v="0"/>
    <x v="3"/>
    <n v="43199"/>
    <n v="38"/>
    <n v="0"/>
    <n v="0"/>
    <n v="14.41"/>
    <n v="0"/>
    <n v="0"/>
    <n v="15.961981786190728"/>
    <m/>
    <m/>
    <n v="0"/>
    <n v="0"/>
    <n v="0"/>
    <n v="0"/>
    <n v="0"/>
    <n v="0"/>
  </r>
  <r>
    <s v="Regular"/>
    <x v="1"/>
    <x v="2"/>
    <x v="4"/>
    <x v="0"/>
    <x v="0"/>
    <x v="18"/>
    <x v="1"/>
    <x v="2"/>
    <n v="200"/>
    <n v="100"/>
    <n v="0"/>
    <n v="0"/>
    <n v="0"/>
    <n v="0"/>
    <n v="0"/>
    <x v="3"/>
    <m/>
    <n v="38"/>
    <n v="0"/>
    <n v="0"/>
    <n v="14.41"/>
    <n v="0"/>
    <n v="0"/>
    <n v="15.961981786190728"/>
    <m/>
    <m/>
    <n v="1441"/>
    <n v="0"/>
    <n v="0"/>
    <n v="1596.1981786190729"/>
    <n v="0"/>
    <n v="0"/>
  </r>
  <r>
    <s v="Regular"/>
    <x v="1"/>
    <x v="2"/>
    <x v="4"/>
    <x v="0"/>
    <x v="0"/>
    <x v="19"/>
    <x v="1"/>
    <x v="2"/>
    <n v="250"/>
    <n v="125"/>
    <n v="0"/>
    <n v="0"/>
    <n v="0"/>
    <n v="0"/>
    <n v="0"/>
    <x v="3"/>
    <m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20"/>
    <x v="1"/>
    <x v="2"/>
    <n v="250"/>
    <n v="125"/>
    <n v="0"/>
    <n v="0"/>
    <n v="0"/>
    <n v="0"/>
    <n v="0"/>
    <x v="3"/>
    <n v="52044"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13"/>
    <x v="1"/>
    <x v="3"/>
    <n v="4500"/>
    <n v="2250"/>
    <n v="0"/>
    <n v="0"/>
    <n v="0"/>
    <n v="0"/>
    <n v="0"/>
    <x v="3"/>
    <n v="29075"/>
    <n v="38"/>
    <n v="0"/>
    <n v="0"/>
    <n v="14.41"/>
    <n v="0"/>
    <n v="0"/>
    <n v="15.961981786190728"/>
    <m/>
    <m/>
    <n v="32422.5"/>
    <n v="0"/>
    <n v="0"/>
    <n v="35914.459018929141"/>
    <n v="0"/>
    <n v="0"/>
  </r>
  <r>
    <s v="Regular"/>
    <x v="1"/>
    <x v="2"/>
    <x v="4"/>
    <x v="0"/>
    <x v="0"/>
    <x v="14"/>
    <x v="1"/>
    <x v="3"/>
    <n v="3000"/>
    <n v="1500"/>
    <n v="0"/>
    <n v="0"/>
    <n v="0"/>
    <n v="0"/>
    <n v="0"/>
    <x v="3"/>
    <m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5"/>
    <x v="1"/>
    <x v="3"/>
    <n v="4641"/>
    <n v="2320.5"/>
    <n v="0"/>
    <n v="0"/>
    <n v="0"/>
    <n v="0"/>
    <n v="0"/>
    <x v="3"/>
    <n v="34891"/>
    <n v="38"/>
    <n v="0"/>
    <n v="0"/>
    <n v="14.41"/>
    <n v="0"/>
    <n v="0"/>
    <n v="15.961981786190728"/>
    <m/>
    <m/>
    <n v="33438.404999999999"/>
    <n v="0"/>
    <n v="0"/>
    <n v="37039.778734855587"/>
    <n v="0"/>
    <n v="0"/>
  </r>
  <r>
    <s v="Regular"/>
    <x v="1"/>
    <x v="2"/>
    <x v="4"/>
    <x v="0"/>
    <x v="0"/>
    <x v="16"/>
    <x v="1"/>
    <x v="3"/>
    <n v="1025"/>
    <n v="512.5"/>
    <n v="0"/>
    <n v="0"/>
    <n v="0"/>
    <n v="0"/>
    <n v="0"/>
    <x v="3"/>
    <n v="34893"/>
    <n v="38"/>
    <n v="0"/>
    <n v="0"/>
    <n v="14.41"/>
    <n v="0"/>
    <n v="0"/>
    <n v="15.961981786190728"/>
    <m/>
    <m/>
    <n v="7385.125"/>
    <n v="0"/>
    <n v="0"/>
    <n v="8180.5156654227485"/>
    <n v="0"/>
    <n v="0"/>
  </r>
  <r>
    <s v="Refaturamento - Regular"/>
    <x v="1"/>
    <x v="2"/>
    <x v="4"/>
    <x v="0"/>
    <x v="0"/>
    <x v="16"/>
    <x v="1"/>
    <x v="3"/>
    <n v="297"/>
    <n v="297"/>
    <n v="0"/>
    <n v="0"/>
    <n v="0"/>
    <n v="0"/>
    <n v="0"/>
    <x v="3"/>
    <n v="34893"/>
    <n v="38"/>
    <n v="0"/>
    <n v="0"/>
    <n v="14.41"/>
    <n v="0"/>
    <n v="0"/>
    <n v="15.961981786190728"/>
    <m/>
    <m/>
    <n v="4279.7700000000004"/>
    <n v="0"/>
    <n v="0"/>
    <n v="4740.7085904986461"/>
    <n v="0"/>
    <n v="0"/>
  </r>
  <r>
    <s v="Regular"/>
    <x v="1"/>
    <x v="2"/>
    <x v="4"/>
    <x v="0"/>
    <x v="0"/>
    <x v="17"/>
    <x v="1"/>
    <x v="3"/>
    <n v="4800"/>
    <n v="0"/>
    <n v="0"/>
    <n v="0"/>
    <n v="0"/>
    <n v="0"/>
    <n v="0"/>
    <x v="3"/>
    <n v="43199"/>
    <n v="38"/>
    <n v="0"/>
    <n v="0"/>
    <n v="14.41"/>
    <n v="0"/>
    <n v="0"/>
    <n v="15.961981786190728"/>
    <m/>
    <m/>
    <n v="0"/>
    <n v="0"/>
    <n v="0"/>
    <n v="0"/>
    <n v="0"/>
    <n v="0"/>
  </r>
  <r>
    <s v="Regular"/>
    <x v="1"/>
    <x v="2"/>
    <x v="4"/>
    <x v="0"/>
    <x v="0"/>
    <x v="18"/>
    <x v="1"/>
    <x v="3"/>
    <n v="1645"/>
    <n v="822.5"/>
    <n v="0"/>
    <n v="0"/>
    <n v="0"/>
    <n v="0"/>
    <n v="0"/>
    <x v="3"/>
    <m/>
    <n v="38"/>
    <n v="0"/>
    <n v="0"/>
    <n v="14.41"/>
    <n v="0"/>
    <n v="0"/>
    <n v="15.961981786190728"/>
    <m/>
    <m/>
    <n v="11852.225"/>
    <n v="0"/>
    <n v="0"/>
    <n v="13128.730019141874"/>
    <n v="0"/>
    <n v="0"/>
  </r>
  <r>
    <s v="Refaturamento - Regular"/>
    <x v="1"/>
    <x v="2"/>
    <x v="4"/>
    <x v="0"/>
    <x v="0"/>
    <x v="18"/>
    <x v="1"/>
    <x v="3"/>
    <n v="270"/>
    <n v="270"/>
    <n v="0"/>
    <n v="0"/>
    <n v="0"/>
    <n v="0"/>
    <n v="0"/>
    <x v="3"/>
    <m/>
    <n v="38"/>
    <n v="0"/>
    <n v="0"/>
    <n v="14.41"/>
    <n v="0"/>
    <n v="0"/>
    <n v="15.961981786190728"/>
    <m/>
    <m/>
    <n v="3890.7"/>
    <n v="0"/>
    <n v="0"/>
    <n v="4309.735082271497"/>
    <n v="0"/>
    <n v="0"/>
  </r>
  <r>
    <s v="Regular"/>
    <x v="1"/>
    <x v="2"/>
    <x v="4"/>
    <x v="0"/>
    <x v="0"/>
    <x v="19"/>
    <x v="1"/>
    <x v="3"/>
    <n v="250"/>
    <n v="125"/>
    <n v="0"/>
    <n v="0"/>
    <n v="0"/>
    <n v="0"/>
    <n v="0"/>
    <x v="3"/>
    <m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20"/>
    <x v="1"/>
    <x v="3"/>
    <n v="250"/>
    <n v="125"/>
    <n v="0"/>
    <n v="0"/>
    <n v="0"/>
    <n v="0"/>
    <n v="0"/>
    <x v="3"/>
    <n v="52044"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13"/>
    <x v="1"/>
    <x v="4"/>
    <n v="4500"/>
    <n v="2250"/>
    <n v="0"/>
    <n v="0"/>
    <n v="0"/>
    <n v="0"/>
    <n v="0"/>
    <x v="3"/>
    <n v="29075"/>
    <n v="38"/>
    <n v="0"/>
    <n v="0"/>
    <n v="14.41"/>
    <n v="0"/>
    <n v="0"/>
    <n v="15.961981786190728"/>
    <m/>
    <m/>
    <n v="32422.5"/>
    <n v="0"/>
    <n v="0"/>
    <n v="35914.459018929141"/>
    <n v="0"/>
    <n v="0"/>
  </r>
  <r>
    <s v="Regular"/>
    <x v="1"/>
    <x v="2"/>
    <x v="4"/>
    <x v="0"/>
    <x v="0"/>
    <x v="14"/>
    <x v="1"/>
    <x v="4"/>
    <n v="3000"/>
    <n v="1500"/>
    <n v="0"/>
    <n v="0"/>
    <n v="0"/>
    <n v="0"/>
    <n v="0"/>
    <x v="3"/>
    <m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5"/>
    <x v="1"/>
    <x v="4"/>
    <n v="4702"/>
    <n v="2351"/>
    <n v="0"/>
    <n v="0"/>
    <n v="0"/>
    <n v="0"/>
    <n v="0"/>
    <x v="3"/>
    <n v="34891"/>
    <n v="38"/>
    <n v="0"/>
    <n v="0"/>
    <n v="14.41"/>
    <n v="0"/>
    <n v="0"/>
    <n v="15.961981786190728"/>
    <m/>
    <m/>
    <n v="33877.910000000003"/>
    <n v="0"/>
    <n v="0"/>
    <n v="37526.619179334404"/>
    <n v="0"/>
    <n v="0"/>
  </r>
  <r>
    <s v="Regular"/>
    <x v="1"/>
    <x v="2"/>
    <x v="4"/>
    <x v="0"/>
    <x v="0"/>
    <x v="16"/>
    <x v="1"/>
    <x v="4"/>
    <n v="600"/>
    <n v="300"/>
    <n v="0"/>
    <n v="0"/>
    <n v="0"/>
    <n v="0"/>
    <n v="0"/>
    <x v="3"/>
    <n v="34893"/>
    <n v="38"/>
    <n v="0"/>
    <n v="0"/>
    <n v="14.41"/>
    <n v="0"/>
    <n v="0"/>
    <n v="15.961981786190728"/>
    <m/>
    <m/>
    <n v="4323"/>
    <n v="0"/>
    <n v="0"/>
    <n v="4788.594535857218"/>
    <n v="0"/>
    <n v="0"/>
  </r>
  <r>
    <s v="Refaturamento - Regular"/>
    <x v="1"/>
    <x v="2"/>
    <x v="4"/>
    <x v="0"/>
    <x v="0"/>
    <x v="16"/>
    <x v="1"/>
    <x v="4"/>
    <n v="233"/>
    <n v="233"/>
    <n v="0"/>
    <n v="0"/>
    <n v="0"/>
    <n v="0"/>
    <n v="0"/>
    <x v="3"/>
    <n v="34893"/>
    <n v="38"/>
    <n v="0"/>
    <n v="0"/>
    <n v="14.41"/>
    <n v="0"/>
    <n v="0"/>
    <n v="15.961981786190728"/>
    <m/>
    <m/>
    <n v="3357.53"/>
    <n v="0"/>
    <n v="0"/>
    <n v="3719.1417561824396"/>
    <n v="0"/>
    <n v="0"/>
  </r>
  <r>
    <s v="Regular"/>
    <x v="1"/>
    <x v="2"/>
    <x v="4"/>
    <x v="0"/>
    <x v="0"/>
    <x v="17"/>
    <x v="1"/>
    <x v="4"/>
    <n v="4800"/>
    <n v="0"/>
    <n v="0"/>
    <n v="0"/>
    <n v="0"/>
    <n v="0"/>
    <n v="0"/>
    <x v="3"/>
    <n v="43199"/>
    <n v="38"/>
    <n v="0"/>
    <n v="0"/>
    <n v="14.41"/>
    <n v="0"/>
    <n v="0"/>
    <n v="15.961981786190728"/>
    <m/>
    <m/>
    <n v="0"/>
    <n v="0"/>
    <n v="0"/>
    <n v="0"/>
    <n v="0"/>
    <n v="0"/>
  </r>
  <r>
    <s v="Regular"/>
    <x v="1"/>
    <x v="2"/>
    <x v="4"/>
    <x v="0"/>
    <x v="0"/>
    <x v="18"/>
    <x v="1"/>
    <x v="4"/>
    <n v="2400"/>
    <n v="1200"/>
    <n v="0"/>
    <n v="0"/>
    <n v="0"/>
    <n v="0"/>
    <n v="0"/>
    <x v="3"/>
    <m/>
    <n v="38"/>
    <n v="0"/>
    <n v="0"/>
    <n v="14.41"/>
    <n v="0"/>
    <n v="0"/>
    <n v="15.961981786190728"/>
    <m/>
    <m/>
    <n v="17292"/>
    <n v="0"/>
    <n v="0"/>
    <n v="19154.378143428872"/>
    <n v="0"/>
    <n v="0"/>
  </r>
  <r>
    <s v="Regular"/>
    <x v="1"/>
    <x v="2"/>
    <x v="4"/>
    <x v="0"/>
    <x v="0"/>
    <x v="19"/>
    <x v="1"/>
    <x v="4"/>
    <n v="250"/>
    <n v="125"/>
    <n v="0"/>
    <n v="0"/>
    <n v="0"/>
    <n v="0"/>
    <n v="0"/>
    <x v="3"/>
    <m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20"/>
    <x v="1"/>
    <x v="4"/>
    <n v="250"/>
    <n v="125"/>
    <n v="0"/>
    <n v="0"/>
    <n v="0"/>
    <n v="0"/>
    <n v="0"/>
    <x v="3"/>
    <n v="52044"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13"/>
    <x v="1"/>
    <x v="5"/>
    <n v="4500"/>
    <n v="2250"/>
    <n v="0"/>
    <n v="0"/>
    <n v="0"/>
    <n v="0"/>
    <n v="0"/>
    <x v="3"/>
    <n v="29075"/>
    <n v="38"/>
    <n v="0"/>
    <n v="0"/>
    <n v="14.41"/>
    <n v="0"/>
    <n v="0"/>
    <n v="15.961981786190728"/>
    <m/>
    <m/>
    <n v="32422.5"/>
    <n v="0"/>
    <n v="0"/>
    <n v="35914.459018929141"/>
    <n v="0"/>
    <n v="0"/>
  </r>
  <r>
    <s v="Regular"/>
    <x v="1"/>
    <x v="2"/>
    <x v="4"/>
    <x v="0"/>
    <x v="0"/>
    <x v="14"/>
    <x v="1"/>
    <x v="5"/>
    <n v="3000"/>
    <n v="1500"/>
    <n v="0"/>
    <n v="0"/>
    <n v="0"/>
    <n v="0"/>
    <n v="0"/>
    <x v="3"/>
    <m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5"/>
    <x v="1"/>
    <x v="5"/>
    <n v="4689"/>
    <n v="2344.5"/>
    <n v="0"/>
    <n v="0"/>
    <n v="0"/>
    <n v="0"/>
    <n v="0"/>
    <x v="3"/>
    <n v="34891"/>
    <n v="38"/>
    <n v="0"/>
    <n v="0"/>
    <n v="14.41"/>
    <n v="0"/>
    <n v="0"/>
    <n v="15.961981786190728"/>
    <m/>
    <m/>
    <n v="33784.245000000003"/>
    <n v="0"/>
    <n v="0"/>
    <n v="37422.866297724162"/>
    <n v="0"/>
    <n v="0"/>
  </r>
  <r>
    <s v="Regular"/>
    <x v="1"/>
    <x v="2"/>
    <x v="4"/>
    <x v="0"/>
    <x v="0"/>
    <x v="16"/>
    <x v="1"/>
    <x v="5"/>
    <n v="600"/>
    <n v="300"/>
    <n v="0"/>
    <n v="0"/>
    <n v="0"/>
    <n v="0"/>
    <n v="0"/>
    <x v="3"/>
    <n v="34893"/>
    <n v="38"/>
    <n v="0"/>
    <n v="0"/>
    <n v="14.41"/>
    <n v="0"/>
    <n v="0"/>
    <n v="15.961981786190728"/>
    <m/>
    <m/>
    <n v="4323"/>
    <n v="0"/>
    <n v="0"/>
    <n v="4788.594535857218"/>
    <n v="0"/>
    <n v="0"/>
  </r>
  <r>
    <s v="Refaturamento - Regular"/>
    <x v="1"/>
    <x v="2"/>
    <x v="4"/>
    <x v="0"/>
    <x v="0"/>
    <x v="16"/>
    <x v="1"/>
    <x v="5"/>
    <n v="211"/>
    <n v="211"/>
    <n v="0"/>
    <n v="0"/>
    <n v="0"/>
    <n v="0"/>
    <n v="0"/>
    <x v="3"/>
    <n v="34893"/>
    <n v="38"/>
    <n v="0"/>
    <n v="0"/>
    <n v="14.41"/>
    <n v="0"/>
    <n v="0"/>
    <n v="15.961981786190728"/>
    <m/>
    <m/>
    <n v="3040.51"/>
    <n v="0"/>
    <n v="0"/>
    <n v="3367.9781568862436"/>
    <n v="0"/>
    <n v="0"/>
  </r>
  <r>
    <s v="Regular"/>
    <x v="1"/>
    <x v="2"/>
    <x v="4"/>
    <x v="0"/>
    <x v="0"/>
    <x v="17"/>
    <x v="1"/>
    <x v="5"/>
    <n v="4800"/>
    <n v="0"/>
    <n v="0"/>
    <n v="0"/>
    <n v="0"/>
    <n v="0"/>
    <n v="0"/>
    <x v="3"/>
    <n v="43199"/>
    <n v="38"/>
    <n v="0"/>
    <n v="0"/>
    <n v="14.41"/>
    <n v="0"/>
    <n v="0"/>
    <n v="15.961981786190728"/>
    <m/>
    <m/>
    <n v="0"/>
    <n v="0"/>
    <n v="0"/>
    <n v="0"/>
    <n v="0"/>
    <n v="0"/>
  </r>
  <r>
    <s v="Regular"/>
    <x v="1"/>
    <x v="2"/>
    <x v="4"/>
    <x v="0"/>
    <x v="0"/>
    <x v="18"/>
    <x v="1"/>
    <x v="5"/>
    <n v="2400"/>
    <n v="1200"/>
    <n v="0"/>
    <n v="0"/>
    <n v="0"/>
    <n v="0"/>
    <n v="0"/>
    <x v="3"/>
    <m/>
    <n v="38"/>
    <n v="0"/>
    <n v="0"/>
    <n v="14.41"/>
    <n v="0"/>
    <n v="0"/>
    <n v="15.961981786190728"/>
    <m/>
    <m/>
    <n v="17292"/>
    <n v="0"/>
    <n v="0"/>
    <n v="19154.378143428872"/>
    <n v="0"/>
    <n v="0"/>
  </r>
  <r>
    <s v="Regular"/>
    <x v="1"/>
    <x v="2"/>
    <x v="4"/>
    <x v="0"/>
    <x v="0"/>
    <x v="19"/>
    <x v="1"/>
    <x v="5"/>
    <n v="250"/>
    <n v="125"/>
    <n v="0"/>
    <n v="0"/>
    <n v="0"/>
    <n v="0"/>
    <n v="0"/>
    <x v="3"/>
    <m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20"/>
    <x v="1"/>
    <x v="5"/>
    <n v="250"/>
    <n v="125"/>
    <n v="0"/>
    <n v="0"/>
    <n v="0"/>
    <n v="0"/>
    <n v="0"/>
    <x v="3"/>
    <n v="52044"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13"/>
    <x v="1"/>
    <x v="6"/>
    <n v="4500"/>
    <n v="2250"/>
    <n v="0"/>
    <n v="0"/>
    <n v="0"/>
    <n v="0"/>
    <n v="0"/>
    <x v="3"/>
    <n v="29075"/>
    <n v="38"/>
    <n v="0"/>
    <n v="0"/>
    <n v="14.41"/>
    <n v="0"/>
    <n v="0"/>
    <n v="15.961981786190728"/>
    <m/>
    <m/>
    <n v="32422.5"/>
    <n v="0"/>
    <n v="0"/>
    <n v="35914.459018929141"/>
    <n v="0"/>
    <n v="0"/>
  </r>
  <r>
    <s v="Regular"/>
    <x v="1"/>
    <x v="2"/>
    <x v="4"/>
    <x v="0"/>
    <x v="0"/>
    <x v="14"/>
    <x v="1"/>
    <x v="6"/>
    <n v="3000"/>
    <n v="1500"/>
    <n v="0"/>
    <n v="0"/>
    <n v="0"/>
    <n v="0"/>
    <n v="0"/>
    <x v="3"/>
    <m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5"/>
    <x v="1"/>
    <x v="6"/>
    <n v="3000"/>
    <n v="1500"/>
    <n v="0"/>
    <n v="0"/>
    <n v="0"/>
    <n v="0"/>
    <n v="0"/>
    <x v="3"/>
    <n v="34891"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6"/>
    <x v="1"/>
    <x v="6"/>
    <n v="600"/>
    <n v="300"/>
    <n v="0"/>
    <n v="0"/>
    <n v="0"/>
    <n v="0"/>
    <n v="0"/>
    <x v="3"/>
    <n v="34893"/>
    <n v="38"/>
    <n v="0"/>
    <n v="0"/>
    <n v="14.41"/>
    <n v="0"/>
    <n v="0"/>
    <n v="15.961981786190728"/>
    <m/>
    <m/>
    <n v="4323"/>
    <n v="0"/>
    <n v="0"/>
    <n v="4788.594535857218"/>
    <n v="0"/>
    <n v="0"/>
  </r>
  <r>
    <s v="Regular"/>
    <x v="1"/>
    <x v="2"/>
    <x v="4"/>
    <x v="0"/>
    <x v="0"/>
    <x v="17"/>
    <x v="1"/>
    <x v="6"/>
    <n v="4800"/>
    <n v="0"/>
    <n v="0"/>
    <n v="0"/>
    <n v="0"/>
    <n v="0"/>
    <n v="0"/>
    <x v="3"/>
    <n v="43199"/>
    <n v="38"/>
    <n v="0"/>
    <n v="0"/>
    <n v="14.41"/>
    <n v="0"/>
    <n v="0"/>
    <n v="15.961981786190728"/>
    <m/>
    <m/>
    <n v="0"/>
    <n v="0"/>
    <n v="0"/>
    <n v="0"/>
    <n v="0"/>
    <n v="0"/>
  </r>
  <r>
    <s v="Regular"/>
    <x v="1"/>
    <x v="2"/>
    <x v="4"/>
    <x v="0"/>
    <x v="0"/>
    <x v="18"/>
    <x v="1"/>
    <x v="6"/>
    <n v="2400"/>
    <n v="1200"/>
    <n v="0"/>
    <n v="0"/>
    <n v="0"/>
    <n v="0"/>
    <n v="0"/>
    <x v="3"/>
    <m/>
    <n v="38"/>
    <n v="0"/>
    <n v="0"/>
    <n v="14.41"/>
    <n v="0"/>
    <n v="0"/>
    <n v="15.961981786190728"/>
    <m/>
    <m/>
    <n v="17292"/>
    <n v="0"/>
    <n v="0"/>
    <n v="19154.378143428872"/>
    <n v="0"/>
    <n v="0"/>
  </r>
  <r>
    <s v="Regular"/>
    <x v="1"/>
    <x v="2"/>
    <x v="4"/>
    <x v="0"/>
    <x v="0"/>
    <x v="19"/>
    <x v="1"/>
    <x v="6"/>
    <n v="250"/>
    <n v="125"/>
    <n v="0"/>
    <n v="0"/>
    <n v="0"/>
    <n v="0"/>
    <n v="0"/>
    <x v="3"/>
    <m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20"/>
    <x v="1"/>
    <x v="6"/>
    <n v="250"/>
    <n v="125"/>
    <n v="0"/>
    <n v="0"/>
    <n v="0"/>
    <n v="0"/>
    <n v="0"/>
    <x v="3"/>
    <n v="52044"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13"/>
    <x v="1"/>
    <x v="7"/>
    <n v="4500"/>
    <n v="2250"/>
    <n v="0"/>
    <n v="0"/>
    <n v="0"/>
    <n v="0"/>
    <n v="0"/>
    <x v="3"/>
    <n v="29075"/>
    <n v="38"/>
    <n v="0"/>
    <n v="0"/>
    <n v="14.41"/>
    <n v="0"/>
    <n v="0"/>
    <n v="15.961981786190728"/>
    <m/>
    <m/>
    <n v="32422.5"/>
    <n v="0"/>
    <n v="0"/>
    <n v="35914.459018929141"/>
    <n v="0"/>
    <n v="0"/>
  </r>
  <r>
    <s v="Regular"/>
    <x v="1"/>
    <x v="2"/>
    <x v="4"/>
    <x v="0"/>
    <x v="0"/>
    <x v="14"/>
    <x v="1"/>
    <x v="7"/>
    <n v="3000"/>
    <n v="1500"/>
    <n v="0"/>
    <n v="0"/>
    <n v="0"/>
    <n v="0"/>
    <n v="0"/>
    <x v="3"/>
    <m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5"/>
    <x v="1"/>
    <x v="7"/>
    <n v="3000"/>
    <n v="1500"/>
    <n v="0"/>
    <n v="0"/>
    <n v="0"/>
    <n v="0"/>
    <n v="0"/>
    <x v="3"/>
    <n v="34891"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6"/>
    <x v="1"/>
    <x v="7"/>
    <n v="600"/>
    <n v="300"/>
    <n v="0"/>
    <n v="0"/>
    <n v="0"/>
    <n v="0"/>
    <n v="0"/>
    <x v="3"/>
    <n v="34893"/>
    <n v="38"/>
    <n v="0"/>
    <n v="0"/>
    <n v="14.41"/>
    <n v="0"/>
    <n v="0"/>
    <n v="15.961981786190728"/>
    <m/>
    <m/>
    <n v="4323"/>
    <n v="0"/>
    <n v="0"/>
    <n v="4788.594535857218"/>
    <n v="0"/>
    <n v="0"/>
  </r>
  <r>
    <s v="Regular"/>
    <x v="1"/>
    <x v="2"/>
    <x v="4"/>
    <x v="0"/>
    <x v="0"/>
    <x v="17"/>
    <x v="1"/>
    <x v="7"/>
    <n v="4800"/>
    <n v="0"/>
    <n v="0"/>
    <n v="0"/>
    <n v="0"/>
    <n v="0"/>
    <n v="0"/>
    <x v="3"/>
    <n v="43199"/>
    <n v="38"/>
    <n v="0"/>
    <n v="0"/>
    <n v="14.41"/>
    <n v="0"/>
    <n v="0"/>
    <n v="15.961981786190728"/>
    <m/>
    <m/>
    <n v="0"/>
    <n v="0"/>
    <n v="0"/>
    <n v="0"/>
    <n v="0"/>
    <n v="0"/>
  </r>
  <r>
    <s v="Regular"/>
    <x v="1"/>
    <x v="2"/>
    <x v="4"/>
    <x v="0"/>
    <x v="0"/>
    <x v="18"/>
    <x v="1"/>
    <x v="7"/>
    <n v="2400"/>
    <n v="1200"/>
    <n v="0"/>
    <n v="0"/>
    <n v="0"/>
    <n v="0"/>
    <n v="0"/>
    <x v="3"/>
    <m/>
    <n v="38"/>
    <n v="0"/>
    <n v="0"/>
    <n v="14.41"/>
    <n v="0"/>
    <n v="0"/>
    <n v="15.961981786190728"/>
    <m/>
    <m/>
    <n v="17292"/>
    <n v="0"/>
    <n v="0"/>
    <n v="19154.378143428872"/>
    <n v="0"/>
    <n v="0"/>
  </r>
  <r>
    <s v="Regular"/>
    <x v="1"/>
    <x v="2"/>
    <x v="4"/>
    <x v="0"/>
    <x v="0"/>
    <x v="19"/>
    <x v="1"/>
    <x v="7"/>
    <n v="250"/>
    <n v="125"/>
    <n v="0"/>
    <n v="0"/>
    <n v="0"/>
    <n v="0"/>
    <n v="0"/>
    <x v="3"/>
    <m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20"/>
    <x v="1"/>
    <x v="7"/>
    <n v="250"/>
    <n v="125"/>
    <n v="0"/>
    <n v="0"/>
    <n v="0"/>
    <n v="0"/>
    <n v="0"/>
    <x v="3"/>
    <n v="52044"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13"/>
    <x v="1"/>
    <x v="8"/>
    <n v="4500"/>
    <n v="2250"/>
    <n v="0"/>
    <n v="0"/>
    <n v="0"/>
    <n v="0"/>
    <n v="0"/>
    <x v="3"/>
    <n v="29075"/>
    <n v="38"/>
    <n v="0"/>
    <n v="0"/>
    <n v="14.41"/>
    <n v="0"/>
    <n v="0"/>
    <n v="15.961981786190728"/>
    <m/>
    <m/>
    <n v="32422.5"/>
    <n v="0"/>
    <n v="0"/>
    <n v="35914.459018929141"/>
    <n v="0"/>
    <n v="0"/>
  </r>
  <r>
    <s v="Regular"/>
    <x v="1"/>
    <x v="2"/>
    <x v="4"/>
    <x v="0"/>
    <x v="0"/>
    <x v="14"/>
    <x v="1"/>
    <x v="8"/>
    <n v="3000"/>
    <n v="1500"/>
    <n v="0"/>
    <n v="0"/>
    <n v="0"/>
    <n v="0"/>
    <n v="0"/>
    <x v="3"/>
    <m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5"/>
    <x v="1"/>
    <x v="8"/>
    <n v="3000"/>
    <n v="1500"/>
    <n v="0"/>
    <n v="0"/>
    <n v="0"/>
    <n v="0"/>
    <n v="0"/>
    <x v="3"/>
    <n v="34891"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6"/>
    <x v="1"/>
    <x v="8"/>
    <n v="600"/>
    <n v="300"/>
    <n v="0"/>
    <n v="0"/>
    <n v="0"/>
    <n v="0"/>
    <n v="0"/>
    <x v="3"/>
    <n v="34893"/>
    <n v="38"/>
    <n v="0"/>
    <n v="0"/>
    <n v="14.41"/>
    <n v="0"/>
    <n v="0"/>
    <n v="15.961981786190728"/>
    <m/>
    <m/>
    <n v="4323"/>
    <n v="0"/>
    <n v="0"/>
    <n v="4788.594535857218"/>
    <n v="0"/>
    <n v="0"/>
  </r>
  <r>
    <s v="Regular"/>
    <x v="1"/>
    <x v="2"/>
    <x v="4"/>
    <x v="0"/>
    <x v="0"/>
    <x v="17"/>
    <x v="1"/>
    <x v="8"/>
    <n v="4800"/>
    <n v="0"/>
    <n v="0"/>
    <n v="0"/>
    <n v="0"/>
    <n v="0"/>
    <n v="0"/>
    <x v="3"/>
    <n v="43199"/>
    <n v="38"/>
    <n v="0"/>
    <n v="0"/>
    <n v="14.41"/>
    <n v="0"/>
    <n v="0"/>
    <n v="15.961981786190728"/>
    <m/>
    <m/>
    <n v="0"/>
    <n v="0"/>
    <n v="0"/>
    <n v="0"/>
    <n v="0"/>
    <n v="0"/>
  </r>
  <r>
    <s v="Regular"/>
    <x v="1"/>
    <x v="2"/>
    <x v="4"/>
    <x v="0"/>
    <x v="0"/>
    <x v="18"/>
    <x v="1"/>
    <x v="8"/>
    <n v="2400"/>
    <n v="1200"/>
    <n v="0"/>
    <n v="0"/>
    <n v="0"/>
    <n v="0"/>
    <n v="0"/>
    <x v="3"/>
    <m/>
    <n v="38"/>
    <n v="0"/>
    <n v="0"/>
    <n v="14.41"/>
    <n v="0"/>
    <n v="0"/>
    <n v="15.961981786190728"/>
    <m/>
    <m/>
    <n v="17292"/>
    <n v="0"/>
    <n v="0"/>
    <n v="19154.378143428872"/>
    <n v="0"/>
    <n v="0"/>
  </r>
  <r>
    <s v="Regular"/>
    <x v="1"/>
    <x v="2"/>
    <x v="4"/>
    <x v="0"/>
    <x v="0"/>
    <x v="19"/>
    <x v="1"/>
    <x v="8"/>
    <n v="250"/>
    <n v="125"/>
    <n v="0"/>
    <n v="0"/>
    <n v="0"/>
    <n v="0"/>
    <n v="0"/>
    <x v="3"/>
    <m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20"/>
    <x v="1"/>
    <x v="8"/>
    <n v="250"/>
    <n v="125"/>
    <n v="0"/>
    <n v="0"/>
    <n v="0"/>
    <n v="0"/>
    <n v="0"/>
    <x v="3"/>
    <n v="52044"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13"/>
    <x v="1"/>
    <x v="9"/>
    <n v="4500"/>
    <n v="2250"/>
    <n v="0"/>
    <n v="0"/>
    <n v="0"/>
    <n v="0"/>
    <n v="0"/>
    <x v="3"/>
    <n v="29075"/>
    <n v="38"/>
    <n v="0"/>
    <n v="0"/>
    <n v="14.41"/>
    <n v="0"/>
    <n v="0"/>
    <n v="15.961981786190728"/>
    <m/>
    <m/>
    <n v="32422.5"/>
    <n v="0"/>
    <n v="0"/>
    <n v="35914.459018929141"/>
    <n v="0"/>
    <n v="0"/>
  </r>
  <r>
    <s v="Regular"/>
    <x v="1"/>
    <x v="2"/>
    <x v="4"/>
    <x v="0"/>
    <x v="0"/>
    <x v="14"/>
    <x v="1"/>
    <x v="9"/>
    <n v="3000"/>
    <n v="1500"/>
    <n v="0"/>
    <n v="0"/>
    <n v="0"/>
    <n v="0"/>
    <n v="0"/>
    <x v="3"/>
    <m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5"/>
    <x v="1"/>
    <x v="9"/>
    <n v="3000"/>
    <n v="1500"/>
    <n v="0"/>
    <n v="0"/>
    <n v="0"/>
    <n v="0"/>
    <n v="0"/>
    <x v="3"/>
    <n v="34891"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6"/>
    <x v="1"/>
    <x v="9"/>
    <n v="600"/>
    <n v="300"/>
    <n v="0"/>
    <n v="0"/>
    <n v="0"/>
    <n v="0"/>
    <n v="0"/>
    <x v="3"/>
    <n v="34893"/>
    <n v="38"/>
    <n v="0"/>
    <n v="0"/>
    <n v="14.41"/>
    <n v="0"/>
    <n v="0"/>
    <n v="15.961981786190728"/>
    <m/>
    <m/>
    <n v="4323"/>
    <n v="0"/>
    <n v="0"/>
    <n v="4788.594535857218"/>
    <n v="0"/>
    <n v="0"/>
  </r>
  <r>
    <s v="Regular"/>
    <x v="1"/>
    <x v="2"/>
    <x v="4"/>
    <x v="0"/>
    <x v="0"/>
    <x v="17"/>
    <x v="1"/>
    <x v="9"/>
    <n v="4800"/>
    <n v="0"/>
    <n v="0"/>
    <n v="0"/>
    <n v="0"/>
    <n v="0"/>
    <n v="0"/>
    <x v="3"/>
    <n v="43199"/>
    <n v="38"/>
    <n v="0"/>
    <n v="0"/>
    <n v="14.41"/>
    <n v="0"/>
    <n v="0"/>
    <n v="15.961981786190728"/>
    <m/>
    <m/>
    <n v="0"/>
    <n v="0"/>
    <n v="0"/>
    <n v="0"/>
    <n v="0"/>
    <n v="0"/>
  </r>
  <r>
    <s v="Regular"/>
    <x v="1"/>
    <x v="2"/>
    <x v="4"/>
    <x v="0"/>
    <x v="0"/>
    <x v="18"/>
    <x v="1"/>
    <x v="9"/>
    <n v="2400"/>
    <n v="1200"/>
    <n v="0"/>
    <n v="0"/>
    <n v="0"/>
    <n v="0"/>
    <n v="0"/>
    <x v="3"/>
    <m/>
    <n v="38"/>
    <n v="0"/>
    <n v="0"/>
    <n v="14.41"/>
    <n v="0"/>
    <n v="0"/>
    <n v="15.961981786190728"/>
    <m/>
    <m/>
    <n v="17292"/>
    <n v="0"/>
    <n v="0"/>
    <n v="19154.378143428872"/>
    <n v="0"/>
    <n v="0"/>
  </r>
  <r>
    <s v="Regular"/>
    <x v="1"/>
    <x v="2"/>
    <x v="4"/>
    <x v="0"/>
    <x v="0"/>
    <x v="19"/>
    <x v="1"/>
    <x v="9"/>
    <n v="250"/>
    <n v="125"/>
    <n v="0"/>
    <n v="0"/>
    <n v="0"/>
    <n v="0"/>
    <n v="0"/>
    <x v="3"/>
    <m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20"/>
    <x v="1"/>
    <x v="9"/>
    <n v="250"/>
    <n v="125"/>
    <n v="0"/>
    <n v="0"/>
    <n v="0"/>
    <n v="0"/>
    <n v="0"/>
    <x v="3"/>
    <n v="52044"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13"/>
    <x v="1"/>
    <x v="10"/>
    <n v="4500"/>
    <n v="2250"/>
    <n v="0"/>
    <n v="0"/>
    <n v="0"/>
    <n v="0"/>
    <n v="0"/>
    <x v="3"/>
    <n v="29075"/>
    <n v="38"/>
    <n v="0"/>
    <n v="0"/>
    <n v="14.41"/>
    <n v="0"/>
    <n v="0"/>
    <n v="15.961981786190728"/>
    <m/>
    <m/>
    <n v="32422.5"/>
    <n v="0"/>
    <n v="0"/>
    <n v="35914.459018929141"/>
    <n v="0"/>
    <n v="0"/>
  </r>
  <r>
    <s v="Regular"/>
    <x v="1"/>
    <x v="2"/>
    <x v="4"/>
    <x v="0"/>
    <x v="0"/>
    <x v="14"/>
    <x v="1"/>
    <x v="10"/>
    <n v="3000"/>
    <n v="1500"/>
    <n v="0"/>
    <n v="0"/>
    <n v="0"/>
    <n v="0"/>
    <n v="0"/>
    <x v="3"/>
    <m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5"/>
    <x v="1"/>
    <x v="10"/>
    <n v="3000"/>
    <n v="1500"/>
    <n v="0"/>
    <n v="0"/>
    <n v="0"/>
    <n v="0"/>
    <n v="0"/>
    <x v="3"/>
    <n v="34891"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Regular"/>
    <x v="1"/>
    <x v="2"/>
    <x v="4"/>
    <x v="0"/>
    <x v="0"/>
    <x v="16"/>
    <x v="1"/>
    <x v="10"/>
    <n v="600"/>
    <n v="300"/>
    <n v="0"/>
    <n v="0"/>
    <n v="0"/>
    <n v="0"/>
    <n v="0"/>
    <x v="3"/>
    <n v="34893"/>
    <n v="38"/>
    <n v="0"/>
    <n v="0"/>
    <n v="14.41"/>
    <n v="0"/>
    <n v="0"/>
    <n v="15.961981786190728"/>
    <m/>
    <m/>
    <n v="4323"/>
    <n v="0"/>
    <n v="0"/>
    <n v="4788.594535857218"/>
    <n v="0"/>
    <n v="0"/>
  </r>
  <r>
    <s v="Regular"/>
    <x v="1"/>
    <x v="2"/>
    <x v="4"/>
    <x v="0"/>
    <x v="0"/>
    <x v="17"/>
    <x v="1"/>
    <x v="10"/>
    <n v="4800"/>
    <n v="0"/>
    <n v="0"/>
    <n v="0"/>
    <n v="0"/>
    <n v="0"/>
    <n v="0"/>
    <x v="3"/>
    <n v="43199"/>
    <n v="38"/>
    <n v="0"/>
    <n v="0"/>
    <n v="14.41"/>
    <n v="0"/>
    <n v="0"/>
    <n v="15.961981786190728"/>
    <m/>
    <m/>
    <n v="0"/>
    <n v="0"/>
    <n v="0"/>
    <n v="0"/>
    <n v="0"/>
    <n v="0"/>
  </r>
  <r>
    <s v="Regular"/>
    <x v="1"/>
    <x v="2"/>
    <x v="4"/>
    <x v="0"/>
    <x v="0"/>
    <x v="18"/>
    <x v="1"/>
    <x v="10"/>
    <n v="2400"/>
    <n v="1200"/>
    <n v="0"/>
    <n v="0"/>
    <n v="0"/>
    <n v="0"/>
    <n v="0"/>
    <x v="3"/>
    <m/>
    <n v="38"/>
    <n v="0"/>
    <n v="0"/>
    <n v="14.41"/>
    <n v="0"/>
    <n v="0"/>
    <n v="15.961981786190728"/>
    <m/>
    <m/>
    <n v="17292"/>
    <n v="0"/>
    <n v="0"/>
    <n v="19154.378143428872"/>
    <n v="0"/>
    <n v="0"/>
  </r>
  <r>
    <s v="Regular"/>
    <x v="1"/>
    <x v="2"/>
    <x v="4"/>
    <x v="0"/>
    <x v="0"/>
    <x v="19"/>
    <x v="1"/>
    <x v="10"/>
    <n v="250"/>
    <n v="125"/>
    <n v="0"/>
    <n v="0"/>
    <n v="0"/>
    <n v="0"/>
    <n v="0"/>
    <x v="3"/>
    <m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2"/>
    <x v="4"/>
    <x v="0"/>
    <x v="0"/>
    <x v="20"/>
    <x v="1"/>
    <x v="10"/>
    <n v="250"/>
    <n v="125"/>
    <n v="0"/>
    <n v="0"/>
    <n v="0"/>
    <n v="0"/>
    <n v="0"/>
    <x v="3"/>
    <n v="52044"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PROJETADO"/>
    <x v="1"/>
    <x v="2"/>
    <x v="4"/>
    <x v="0"/>
    <x v="0"/>
    <x v="13"/>
    <x v="1"/>
    <x v="11"/>
    <n v="4500"/>
    <n v="2250"/>
    <n v="0"/>
    <n v="0"/>
    <n v="0"/>
    <n v="0"/>
    <n v="0"/>
    <x v="3"/>
    <n v="29075"/>
    <n v="38"/>
    <n v="0"/>
    <n v="0"/>
    <n v="14.41"/>
    <n v="0"/>
    <n v="0"/>
    <n v="15.961981786190728"/>
    <m/>
    <m/>
    <n v="32422.5"/>
    <n v="0"/>
    <n v="0"/>
    <n v="35914.459018929141"/>
    <n v="0"/>
    <n v="0"/>
  </r>
  <r>
    <s v="PROJETADO"/>
    <x v="1"/>
    <x v="2"/>
    <x v="4"/>
    <x v="0"/>
    <x v="0"/>
    <x v="14"/>
    <x v="1"/>
    <x v="11"/>
    <n v="3000"/>
    <n v="1500"/>
    <n v="0"/>
    <n v="0"/>
    <n v="0"/>
    <n v="0"/>
    <n v="0"/>
    <x v="3"/>
    <m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PROJETADO"/>
    <x v="1"/>
    <x v="2"/>
    <x v="4"/>
    <x v="0"/>
    <x v="0"/>
    <x v="15"/>
    <x v="1"/>
    <x v="11"/>
    <n v="3000"/>
    <n v="1500"/>
    <n v="0"/>
    <n v="0"/>
    <n v="0"/>
    <n v="0"/>
    <n v="0"/>
    <x v="3"/>
    <n v="34891"/>
    <n v="38"/>
    <n v="0"/>
    <n v="0"/>
    <n v="14.41"/>
    <n v="0"/>
    <n v="0"/>
    <n v="15.961981786190728"/>
    <m/>
    <m/>
    <n v="21615"/>
    <n v="0"/>
    <n v="0"/>
    <n v="23942.972679286093"/>
    <n v="0"/>
    <n v="0"/>
  </r>
  <r>
    <s v="PROJETADO"/>
    <x v="1"/>
    <x v="2"/>
    <x v="4"/>
    <x v="0"/>
    <x v="0"/>
    <x v="16"/>
    <x v="1"/>
    <x v="11"/>
    <n v="600"/>
    <n v="300"/>
    <n v="0"/>
    <n v="0"/>
    <n v="0"/>
    <n v="0"/>
    <n v="0"/>
    <x v="3"/>
    <n v="34893"/>
    <n v="38"/>
    <n v="0"/>
    <n v="0"/>
    <n v="14.41"/>
    <n v="0"/>
    <n v="0"/>
    <n v="15.961981786190728"/>
    <m/>
    <m/>
    <n v="4323"/>
    <n v="0"/>
    <n v="0"/>
    <n v="4788.594535857218"/>
    <n v="0"/>
    <n v="0"/>
  </r>
  <r>
    <s v="PROJETADO"/>
    <x v="1"/>
    <x v="2"/>
    <x v="4"/>
    <x v="0"/>
    <x v="0"/>
    <x v="17"/>
    <x v="1"/>
    <x v="11"/>
    <n v="4800"/>
    <n v="0"/>
    <n v="0"/>
    <n v="0"/>
    <n v="0"/>
    <n v="0"/>
    <n v="0"/>
    <x v="3"/>
    <n v="43199"/>
    <n v="38"/>
    <n v="0"/>
    <n v="0"/>
    <n v="14.41"/>
    <n v="0"/>
    <n v="0"/>
    <n v="15.961981786190728"/>
    <m/>
    <m/>
    <n v="0"/>
    <n v="0"/>
    <n v="0"/>
    <n v="0"/>
    <n v="0"/>
    <n v="0"/>
  </r>
  <r>
    <s v="PROJETADO"/>
    <x v="1"/>
    <x v="2"/>
    <x v="4"/>
    <x v="0"/>
    <x v="0"/>
    <x v="18"/>
    <x v="1"/>
    <x v="11"/>
    <n v="2400"/>
    <n v="1200"/>
    <n v="0"/>
    <n v="0"/>
    <n v="0"/>
    <n v="0"/>
    <n v="0"/>
    <x v="3"/>
    <m/>
    <n v="38"/>
    <n v="0"/>
    <n v="0"/>
    <n v="14.41"/>
    <n v="0"/>
    <n v="0"/>
    <n v="15.961981786190728"/>
    <m/>
    <m/>
    <n v="17292"/>
    <n v="0"/>
    <n v="0"/>
    <n v="19154.378143428872"/>
    <n v="0"/>
    <n v="0"/>
  </r>
  <r>
    <s v="PROJETADO"/>
    <x v="1"/>
    <x v="2"/>
    <x v="4"/>
    <x v="0"/>
    <x v="0"/>
    <x v="19"/>
    <x v="1"/>
    <x v="11"/>
    <n v="250"/>
    <n v="125"/>
    <n v="0"/>
    <n v="0"/>
    <n v="0"/>
    <n v="0"/>
    <n v="0"/>
    <x v="3"/>
    <m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PROJETADO"/>
    <x v="1"/>
    <x v="2"/>
    <x v="4"/>
    <x v="0"/>
    <x v="0"/>
    <x v="20"/>
    <x v="1"/>
    <x v="11"/>
    <n v="250"/>
    <n v="125"/>
    <n v="0"/>
    <n v="0"/>
    <n v="0"/>
    <n v="0"/>
    <n v="0"/>
    <x v="3"/>
    <n v="52044"/>
    <n v="38"/>
    <n v="0"/>
    <n v="0"/>
    <n v="14.41"/>
    <n v="0"/>
    <n v="0"/>
    <n v="15.961981786190728"/>
    <m/>
    <m/>
    <n v="1801.25"/>
    <n v="0"/>
    <n v="0"/>
    <n v="1995.2477232738411"/>
    <n v="0"/>
    <n v="0"/>
  </r>
  <r>
    <s v="Regular"/>
    <x v="1"/>
    <x v="3"/>
    <x v="0"/>
    <x v="0"/>
    <x v="0"/>
    <x v="0"/>
    <x v="0"/>
    <x v="0"/>
    <n v="0"/>
    <n v="0"/>
    <n v="10179.378000000001"/>
    <n v="10179.378000000001"/>
    <n v="10179.378000000001"/>
    <n v="10179.378000000001"/>
    <n v="0"/>
    <x v="1"/>
    <n v="0"/>
    <n v="0"/>
    <n v="44"/>
    <n v="67"/>
    <n v="0"/>
    <n v="62.57"/>
    <n v="242.82"/>
    <m/>
    <n v="75.886085105957733"/>
    <n v="224.53785920244138"/>
    <n v="0"/>
    <n v="636923.68145999999"/>
    <n v="2471756.5659600003"/>
    <n v="0"/>
    <n v="772473.14523371391"/>
    <n v="2285655.7441324294"/>
  </r>
  <r>
    <s v="Sistema de Compensação"/>
    <x v="1"/>
    <x v="3"/>
    <x v="0"/>
    <x v="0"/>
    <x v="0"/>
    <x v="0"/>
    <x v="0"/>
    <x v="0"/>
    <n v="0"/>
    <n v="0"/>
    <n v="354.34699999999998"/>
    <n v="354.34699999999998"/>
    <n v="354.34699999999998"/>
    <n v="354.34699999999998"/>
    <n v="0"/>
    <x v="1"/>
    <n v="0"/>
    <n v="0"/>
    <n v="44"/>
    <n v="67"/>
    <n v="0"/>
    <n v="62.57"/>
    <n v="242.82"/>
    <m/>
    <n v="75.886085105957733"/>
    <n v="224.53785920244138"/>
    <n v="0"/>
    <n v="22171.49179"/>
    <n v="86042.538539999994"/>
    <n v="0"/>
    <n v="26890.006599040804"/>
    <n v="79564.316794807499"/>
  </r>
  <r>
    <s v="Sistema de Compensação"/>
    <x v="1"/>
    <x v="3"/>
    <x v="0"/>
    <x v="0"/>
    <x v="0"/>
    <x v="0"/>
    <x v="0"/>
    <x v="0"/>
    <n v="0"/>
    <n v="0"/>
    <n v="-2.347"/>
    <n v="-2.347"/>
    <n v="-2.347"/>
    <n v="-2.347"/>
    <n v="0"/>
    <x v="1"/>
    <n v="0"/>
    <n v="0"/>
    <n v="44"/>
    <n v="67"/>
    <n v="0"/>
    <n v="62.57"/>
    <n v="242.82"/>
    <m/>
    <n v="75.886085105957733"/>
    <n v="224.53785920244138"/>
    <n v="0"/>
    <n v="-146.85178999999999"/>
    <n v="-569.89854000000003"/>
    <n v="0"/>
    <n v="-178.10464174368281"/>
    <n v="-526.99035554812997"/>
  </r>
  <r>
    <s v="Regular"/>
    <x v="1"/>
    <x v="3"/>
    <x v="0"/>
    <x v="0"/>
    <x v="0"/>
    <x v="0"/>
    <x v="0"/>
    <x v="0"/>
    <n v="0"/>
    <n v="0"/>
    <n v="13.048999999999999"/>
    <n v="13.048999999999999"/>
    <n v="0"/>
    <n v="0"/>
    <n v="0"/>
    <x v="0"/>
    <n v="0"/>
    <n v="0"/>
    <n v="44"/>
    <n v="0"/>
    <n v="0"/>
    <n v="62.57"/>
    <n v="0"/>
    <m/>
    <n v="75.886085105957733"/>
    <m/>
    <n v="0"/>
    <n v="816.47592999999995"/>
    <n v="0"/>
    <n v="0"/>
    <n v="990.23752454764247"/>
    <n v="0"/>
  </r>
  <r>
    <s v="Regular"/>
    <x v="1"/>
    <x v="3"/>
    <x v="0"/>
    <x v="0"/>
    <x v="0"/>
    <x v="0"/>
    <x v="0"/>
    <x v="1"/>
    <n v="0"/>
    <n v="0"/>
    <n v="10558.073"/>
    <n v="10558.073"/>
    <n v="10558.073"/>
    <n v="10558.073"/>
    <n v="0"/>
    <x v="1"/>
    <n v="0"/>
    <n v="0"/>
    <n v="44"/>
    <n v="67"/>
    <n v="0"/>
    <n v="62.57"/>
    <n v="242.82"/>
    <m/>
    <n v="75.886085105957733"/>
    <n v="224.53785920244138"/>
    <n v="0"/>
    <n v="660618.62760999997"/>
    <n v="2563711.2858600002"/>
    <n v="0"/>
    <n v="801210.82623291446"/>
    <n v="2370687.1087230979"/>
  </r>
  <r>
    <s v="Sistema de Compensação"/>
    <x v="1"/>
    <x v="3"/>
    <x v="0"/>
    <x v="0"/>
    <x v="0"/>
    <x v="0"/>
    <x v="0"/>
    <x v="1"/>
    <n v="0"/>
    <n v="0"/>
    <n v="444.69600000000003"/>
    <n v="444.69600000000003"/>
    <n v="444.69600000000003"/>
    <n v="444.69600000000003"/>
    <n v="0"/>
    <x v="1"/>
    <n v="0"/>
    <n v="0"/>
    <n v="44"/>
    <n v="67"/>
    <n v="0"/>
    <n v="62.57"/>
    <n v="242.82"/>
    <m/>
    <n v="75.886085105957733"/>
    <n v="224.53785920244138"/>
    <n v="0"/>
    <n v="27824.628720000001"/>
    <n v="107981.08272000001"/>
    <n v="0"/>
    <n v="33746.238502278982"/>
    <n v="99851.087835888873"/>
  </r>
  <r>
    <s v="Sistema de Compensação"/>
    <x v="1"/>
    <x v="3"/>
    <x v="0"/>
    <x v="0"/>
    <x v="0"/>
    <x v="0"/>
    <x v="0"/>
    <x v="1"/>
    <n v="0"/>
    <n v="0"/>
    <n v="0.54200000000000004"/>
    <n v="0.54200000000000004"/>
    <n v="0.54200000000000004"/>
    <n v="0.54200000000000004"/>
    <n v="0"/>
    <x v="1"/>
    <n v="0"/>
    <n v="0"/>
    <n v="44"/>
    <n v="67"/>
    <n v="0"/>
    <n v="62.57"/>
    <n v="242.82"/>
    <m/>
    <n v="75.886085105957733"/>
    <n v="224.53785920244138"/>
    <n v="0"/>
    <n v="33.912939999999999"/>
    <n v="131.60844"/>
    <n v="0"/>
    <n v="41.130258127429094"/>
    <n v="121.69951968772324"/>
  </r>
  <r>
    <s v="Regular"/>
    <x v="1"/>
    <x v="3"/>
    <x v="0"/>
    <x v="0"/>
    <x v="0"/>
    <x v="0"/>
    <x v="0"/>
    <x v="1"/>
    <n v="0"/>
    <n v="0"/>
    <n v="36.709000000000003"/>
    <n v="36.709000000000003"/>
    <n v="0"/>
    <n v="0"/>
    <n v="0"/>
    <x v="0"/>
    <n v="0"/>
    <n v="0"/>
    <n v="44"/>
    <n v="0"/>
    <n v="0"/>
    <n v="62.57"/>
    <n v="0"/>
    <m/>
    <n v="75.886085105957733"/>
    <m/>
    <n v="0"/>
    <n v="2296.8821300000004"/>
    <n v="0"/>
    <n v="0"/>
    <n v="2785.7022981546024"/>
    <n v="0"/>
  </r>
  <r>
    <s v="Regular"/>
    <x v="1"/>
    <x v="3"/>
    <x v="0"/>
    <x v="0"/>
    <x v="0"/>
    <x v="0"/>
    <x v="0"/>
    <x v="2"/>
    <n v="0"/>
    <n v="0"/>
    <n v="11646.715"/>
    <n v="11646.715"/>
    <n v="11646.715"/>
    <n v="11646.715"/>
    <n v="0"/>
    <x v="1"/>
    <n v="0"/>
    <n v="0"/>
    <n v="44"/>
    <n v="67"/>
    <n v="0"/>
    <n v="62.57"/>
    <n v="242.82"/>
    <m/>
    <n v="75.886085105957733"/>
    <n v="224.53785920244138"/>
    <n v="0"/>
    <n v="728734.95755000005"/>
    <n v="2828055.3363000001"/>
    <n v="0"/>
    <n v="883823.60569483449"/>
    <n v="2615128.452840962"/>
  </r>
  <r>
    <s v="Refaturamento - Regular"/>
    <x v="1"/>
    <x v="3"/>
    <x v="0"/>
    <x v="0"/>
    <x v="0"/>
    <x v="0"/>
    <x v="0"/>
    <x v="2"/>
    <n v="0"/>
    <n v="0"/>
    <n v="-25.53"/>
    <n v="-25.53"/>
    <n v="-25.53"/>
    <n v="-25.53"/>
    <n v="0"/>
    <x v="1"/>
    <n v="0"/>
    <n v="0"/>
    <n v="44"/>
    <n v="67"/>
    <n v="0"/>
    <n v="62.57"/>
    <n v="242.82"/>
    <m/>
    <n v="75.886085105957733"/>
    <n v="224.53785920244138"/>
    <n v="0"/>
    <n v="-1597.4121"/>
    <n v="-6199.1945999999998"/>
    <n v="0"/>
    <n v="-1937.3717527551009"/>
    <n v="-5732.451545438329"/>
  </r>
  <r>
    <s v="Sistema de Compensação"/>
    <x v="1"/>
    <x v="3"/>
    <x v="0"/>
    <x v="0"/>
    <x v="0"/>
    <x v="0"/>
    <x v="0"/>
    <x v="2"/>
    <n v="0"/>
    <n v="0"/>
    <n v="632.53599999999994"/>
    <n v="632.53599999999994"/>
    <n v="632.53599999999994"/>
    <n v="632.53599999999994"/>
    <n v="0"/>
    <x v="1"/>
    <n v="0"/>
    <n v="0"/>
    <n v="44"/>
    <n v="67"/>
    <n v="0"/>
    <n v="62.57"/>
    <n v="242.82"/>
    <m/>
    <n v="75.886085105957733"/>
    <n v="224.53785920244138"/>
    <n v="0"/>
    <n v="39577.777519999996"/>
    <n v="153592.39151999998"/>
    <n v="0"/>
    <n v="48000.680728582076"/>
    <n v="142028.27930847544"/>
  </r>
  <r>
    <s v="Regular"/>
    <x v="1"/>
    <x v="3"/>
    <x v="0"/>
    <x v="0"/>
    <x v="0"/>
    <x v="0"/>
    <x v="0"/>
    <x v="2"/>
    <n v="0"/>
    <n v="0"/>
    <n v="26.274000000000001"/>
    <n v="26.274000000000001"/>
    <n v="0"/>
    <n v="0"/>
    <n v="0"/>
    <x v="0"/>
    <n v="0"/>
    <n v="0"/>
    <n v="44"/>
    <n v="0"/>
    <n v="0"/>
    <n v="62.57"/>
    <n v="0"/>
    <m/>
    <n v="75.886085105957733"/>
    <m/>
    <n v="0"/>
    <n v="1643.9641800000002"/>
    <n v="0"/>
    <n v="0"/>
    <n v="1993.8310000739336"/>
    <n v="0"/>
  </r>
  <r>
    <s v="Regular"/>
    <x v="1"/>
    <x v="3"/>
    <x v="0"/>
    <x v="0"/>
    <x v="0"/>
    <x v="0"/>
    <x v="0"/>
    <x v="3"/>
    <n v="0"/>
    <n v="0"/>
    <n v="11792.344999999999"/>
    <n v="11792.344999999999"/>
    <n v="11792.344999999999"/>
    <n v="11792.344999999999"/>
    <n v="0"/>
    <x v="1"/>
    <n v="0"/>
    <n v="0"/>
    <n v="44"/>
    <n v="67"/>
    <n v="0"/>
    <n v="62.57"/>
    <n v="242.82"/>
    <m/>
    <n v="75.886085105957733"/>
    <n v="224.53785920244138"/>
    <n v="0"/>
    <n v="737847.02665000001"/>
    <n v="2863417.2128999997"/>
    <n v="0"/>
    <n v="894874.89626881504"/>
    <n v="2647827.9012766136"/>
  </r>
  <r>
    <s v="Refaturamento - Regular"/>
    <x v="1"/>
    <x v="3"/>
    <x v="0"/>
    <x v="0"/>
    <x v="0"/>
    <x v="0"/>
    <x v="0"/>
    <x v="3"/>
    <n v="0"/>
    <n v="0"/>
    <n v="-127.76600000000001"/>
    <n v="-127.76600000000001"/>
    <n v="-127.76600000000001"/>
    <n v="-127.76600000000001"/>
    <n v="0"/>
    <x v="1"/>
    <n v="0"/>
    <n v="0"/>
    <n v="44"/>
    <n v="67"/>
    <n v="0"/>
    <n v="62.57"/>
    <n v="242.82"/>
    <m/>
    <n v="75.886085105957733"/>
    <n v="224.53785920244138"/>
    <n v="0"/>
    <n v="-7994.31862"/>
    <n v="-31024.14012"/>
    <n v="0"/>
    <n v="-9695.6615496477953"/>
    <n v="-28688.304118859127"/>
  </r>
  <r>
    <s v="Sistema de Compensação"/>
    <x v="1"/>
    <x v="3"/>
    <x v="0"/>
    <x v="0"/>
    <x v="0"/>
    <x v="0"/>
    <x v="0"/>
    <x v="3"/>
    <n v="0"/>
    <n v="0"/>
    <n v="562.83000000000004"/>
    <n v="562.83000000000004"/>
    <n v="562.83000000000004"/>
    <n v="562.83000000000004"/>
    <n v="0"/>
    <x v="1"/>
    <n v="0"/>
    <n v="0"/>
    <n v="44"/>
    <n v="67"/>
    <n v="0"/>
    <n v="62.57"/>
    <n v="242.82"/>
    <m/>
    <n v="75.886085105957733"/>
    <n v="224.53785920244138"/>
    <n v="0"/>
    <n v="35216.273100000006"/>
    <n v="136666.3806"/>
    <n v="0"/>
    <n v="42710.965280186196"/>
    <n v="126376.64329491009"/>
  </r>
  <r>
    <s v="Regular"/>
    <x v="1"/>
    <x v="3"/>
    <x v="0"/>
    <x v="0"/>
    <x v="0"/>
    <x v="0"/>
    <x v="0"/>
    <x v="3"/>
    <n v="0"/>
    <n v="0"/>
    <n v="16.843"/>
    <n v="16.843"/>
    <n v="0"/>
    <n v="0"/>
    <n v="0"/>
    <x v="0"/>
    <n v="0"/>
    <n v="0"/>
    <n v="44"/>
    <n v="0"/>
    <n v="0"/>
    <n v="62.57"/>
    <n v="0"/>
    <m/>
    <n v="75.886085105957733"/>
    <m/>
    <n v="0"/>
    <n v="1053.8665100000001"/>
    <n v="0"/>
    <n v="0"/>
    <n v="1278.1493314396462"/>
    <n v="0"/>
  </r>
  <r>
    <s v="Regular"/>
    <x v="1"/>
    <x v="3"/>
    <x v="0"/>
    <x v="0"/>
    <x v="0"/>
    <x v="0"/>
    <x v="0"/>
    <x v="4"/>
    <n v="0"/>
    <n v="0"/>
    <n v="12065.823"/>
    <n v="12065.823"/>
    <n v="12065.823"/>
    <n v="12065.823"/>
    <n v="0"/>
    <x v="1"/>
    <n v="0"/>
    <n v="0"/>
    <n v="44"/>
    <n v="67"/>
    <n v="0"/>
    <n v="62.57"/>
    <n v="242.82"/>
    <m/>
    <n v="75.886085105957733"/>
    <n v="224.53785920244138"/>
    <n v="0"/>
    <n v="754958.54511000006"/>
    <n v="2929823.1408600002"/>
    <n v="0"/>
    <n v="915628.07105142227"/>
    <n v="2709234.0659355791"/>
  </r>
  <r>
    <s v="Refaturamento - Regular"/>
    <x v="1"/>
    <x v="3"/>
    <x v="0"/>
    <x v="0"/>
    <x v="0"/>
    <x v="0"/>
    <x v="0"/>
    <x v="4"/>
    <n v="0"/>
    <n v="0"/>
    <n v="-37.938000000000002"/>
    <n v="-37.938000000000002"/>
    <n v="-37.938000000000002"/>
    <n v="-37.938000000000002"/>
    <n v="0"/>
    <x v="1"/>
    <n v="0"/>
    <n v="0"/>
    <n v="44"/>
    <n v="67"/>
    <n v="0"/>
    <n v="62.57"/>
    <n v="242.82"/>
    <m/>
    <n v="75.886085105957733"/>
    <n v="224.53785920244138"/>
    <n v="0"/>
    <n v="-2373.7806600000004"/>
    <n v="-9212.105160000001"/>
    <n v="0"/>
    <n v="-2878.9662967498248"/>
    <n v="-8518.5173024222222"/>
  </r>
  <r>
    <s v="Sistema de Compensação"/>
    <x v="1"/>
    <x v="3"/>
    <x v="0"/>
    <x v="0"/>
    <x v="0"/>
    <x v="0"/>
    <x v="0"/>
    <x v="4"/>
    <n v="0"/>
    <n v="0"/>
    <n v="679.02800000000002"/>
    <n v="679.02800000000002"/>
    <n v="679.02800000000002"/>
    <n v="679.02800000000002"/>
    <n v="0"/>
    <x v="1"/>
    <n v="0"/>
    <n v="0"/>
    <n v="44"/>
    <n v="67"/>
    <n v="0"/>
    <n v="62.57"/>
    <n v="242.82"/>
    <m/>
    <n v="75.886085105957733"/>
    <n v="224.53785920244138"/>
    <n v="0"/>
    <n v="42486.78196"/>
    <n v="164881.57896000001"/>
    <n v="0"/>
    <n v="51528.776597328266"/>
    <n v="152467.49345851538"/>
  </r>
  <r>
    <s v="Regular"/>
    <x v="1"/>
    <x v="3"/>
    <x v="0"/>
    <x v="0"/>
    <x v="0"/>
    <x v="0"/>
    <x v="0"/>
    <x v="4"/>
    <n v="0"/>
    <n v="0"/>
    <n v="16.596"/>
    <n v="16.596"/>
    <n v="0"/>
    <n v="0"/>
    <n v="0"/>
    <x v="0"/>
    <n v="0"/>
    <n v="0"/>
    <n v="44"/>
    <n v="0"/>
    <n v="0"/>
    <n v="62.57"/>
    <n v="0"/>
    <m/>
    <n v="75.886085105957733"/>
    <m/>
    <n v="0"/>
    <n v="1038.4117200000001"/>
    <n v="0"/>
    <n v="0"/>
    <n v="1259.4054684184746"/>
    <n v="0"/>
  </r>
  <r>
    <s v="Regular"/>
    <x v="1"/>
    <x v="3"/>
    <x v="0"/>
    <x v="0"/>
    <x v="0"/>
    <x v="0"/>
    <x v="0"/>
    <x v="5"/>
    <n v="0"/>
    <n v="0"/>
    <n v="11556.489"/>
    <n v="11556.489"/>
    <n v="11556.489"/>
    <n v="11556.489"/>
    <n v="0"/>
    <x v="1"/>
    <n v="0"/>
    <n v="0"/>
    <n v="44"/>
    <n v="67"/>
    <n v="0"/>
    <n v="62.57"/>
    <n v="242.82"/>
    <m/>
    <n v="75.886085105957733"/>
    <n v="224.53785920244138"/>
    <n v="0"/>
    <n v="723089.51673000003"/>
    <n v="2806146.6589799998"/>
    <n v="0"/>
    <n v="876976.70778006432"/>
    <n v="2594869.2999565625"/>
  </r>
  <r>
    <s v="Sistema de Compensação"/>
    <x v="1"/>
    <x v="3"/>
    <x v="0"/>
    <x v="0"/>
    <x v="0"/>
    <x v="0"/>
    <x v="0"/>
    <x v="5"/>
    <n v="0"/>
    <n v="0"/>
    <n v="529.077"/>
    <n v="529.077"/>
    <n v="529.077"/>
    <n v="529.077"/>
    <n v="0"/>
    <x v="1"/>
    <n v="0"/>
    <n v="0"/>
    <n v="44"/>
    <n v="67"/>
    <n v="0"/>
    <n v="62.57"/>
    <n v="242.82"/>
    <m/>
    <n v="75.886085105957733"/>
    <n v="224.53785920244138"/>
    <n v="0"/>
    <n v="33104.347889999997"/>
    <n v="128470.47714"/>
    <n v="0"/>
    <n v="40149.582249604799"/>
    <n v="118797.81693325008"/>
  </r>
  <r>
    <s v="Sistema de Compensação"/>
    <x v="1"/>
    <x v="3"/>
    <x v="0"/>
    <x v="0"/>
    <x v="0"/>
    <x v="0"/>
    <x v="0"/>
    <x v="5"/>
    <n v="0"/>
    <n v="0"/>
    <n v="-39.090000000000003"/>
    <n v="-39.090000000000003"/>
    <n v="-39.090000000000003"/>
    <n v="-39.090000000000003"/>
    <n v="0"/>
    <x v="1"/>
    <n v="0"/>
    <n v="0"/>
    <n v="44"/>
    <n v="67"/>
    <n v="0"/>
    <n v="62.57"/>
    <n v="242.82"/>
    <m/>
    <n v="75.886085105957733"/>
    <n v="224.53785920244138"/>
    <n v="0"/>
    <n v="-2445.8613"/>
    <n v="-9491.8338000000003"/>
    <n v="0"/>
    <n v="-2966.3870667918882"/>
    <n v="-8777.1849162234339"/>
  </r>
  <r>
    <s v="Regular"/>
    <x v="1"/>
    <x v="3"/>
    <x v="0"/>
    <x v="0"/>
    <x v="0"/>
    <x v="0"/>
    <x v="0"/>
    <x v="6"/>
    <n v="0"/>
    <n v="0"/>
    <n v="11001.540999999999"/>
    <n v="11001.540999999999"/>
    <n v="11001.540999999999"/>
    <n v="11001.540999999999"/>
    <n v="0"/>
    <x v="1"/>
    <n v="0"/>
    <n v="0"/>
    <n v="44"/>
    <n v="67"/>
    <n v="0"/>
    <n v="62.57"/>
    <n v="242.82"/>
    <m/>
    <n v="75.886085105957733"/>
    <n v="224.53785920244138"/>
    <n v="0"/>
    <n v="688366.42036999995"/>
    <n v="2671394.1856199997"/>
    <n v="0"/>
    <n v="834863.87662268325"/>
    <n v="2470262.4640678861"/>
  </r>
  <r>
    <s v="Refaturamento - Regular"/>
    <x v="1"/>
    <x v="3"/>
    <x v="0"/>
    <x v="0"/>
    <x v="0"/>
    <x v="0"/>
    <x v="0"/>
    <x v="6"/>
    <n v="0"/>
    <n v="0"/>
    <n v="-48.62"/>
    <n v="-48.62"/>
    <n v="-48.62"/>
    <n v="-48.62"/>
    <n v="0"/>
    <x v="1"/>
    <n v="0"/>
    <n v="0"/>
    <n v="44"/>
    <n v="67"/>
    <n v="0"/>
    <n v="62.57"/>
    <n v="242.82"/>
    <m/>
    <n v="75.886085105957733"/>
    <n v="224.53785920244138"/>
    <n v="0"/>
    <n v="-3042.1533999999997"/>
    <n v="-11805.908399999998"/>
    <n v="0"/>
    <n v="-3689.5814578516647"/>
    <n v="-10917.030714422699"/>
  </r>
  <r>
    <s v="Sistema de Compensação"/>
    <x v="1"/>
    <x v="3"/>
    <x v="0"/>
    <x v="0"/>
    <x v="0"/>
    <x v="0"/>
    <x v="0"/>
    <x v="6"/>
    <n v="0"/>
    <n v="0"/>
    <n v="586.09900000000005"/>
    <n v="586.09900000000005"/>
    <n v="586.09900000000005"/>
    <n v="586.09900000000005"/>
    <n v="0"/>
    <x v="1"/>
    <n v="0"/>
    <n v="0"/>
    <n v="44"/>
    <n v="67"/>
    <n v="0"/>
    <n v="62.57"/>
    <n v="242.82"/>
    <m/>
    <n v="75.886085105957733"/>
    <n v="224.53785920244138"/>
    <n v="0"/>
    <n v="36672.21443"/>
    <n v="142316.55918000001"/>
    <n v="0"/>
    <n v="44476.758594516723"/>
    <n v="131601.41474069169"/>
  </r>
  <r>
    <s v="Sistema de Compensação"/>
    <x v="1"/>
    <x v="3"/>
    <x v="0"/>
    <x v="0"/>
    <x v="0"/>
    <x v="0"/>
    <x v="0"/>
    <x v="6"/>
    <n v="0"/>
    <n v="0"/>
    <n v="-13.651999999999999"/>
    <n v="-13.651999999999999"/>
    <n v="-13.651999999999999"/>
    <n v="-13.651999999999999"/>
    <n v="0"/>
    <x v="1"/>
    <n v="0"/>
    <n v="0"/>
    <n v="44"/>
    <n v="67"/>
    <n v="0"/>
    <n v="62.57"/>
    <n v="242.82"/>
    <m/>
    <n v="75.886085105957733"/>
    <n v="224.53785920244138"/>
    <n v="0"/>
    <n v="-854.2056399999999"/>
    <n v="-3314.9786399999998"/>
    <n v="0"/>
    <n v="-1035.9968338665349"/>
    <n v="-3065.3908538317296"/>
  </r>
  <r>
    <s v="Regular"/>
    <x v="1"/>
    <x v="3"/>
    <x v="0"/>
    <x v="0"/>
    <x v="0"/>
    <x v="0"/>
    <x v="0"/>
    <x v="7"/>
    <n v="0"/>
    <n v="0"/>
    <n v="11596.415999999999"/>
    <n v="11596.415999999999"/>
    <n v="11596.415999999999"/>
    <n v="11596.415999999999"/>
    <n v="0"/>
    <x v="1"/>
    <n v="0"/>
    <n v="0"/>
    <n v="44"/>
    <n v="67"/>
    <n v="0"/>
    <n v="62.57"/>
    <n v="242.82"/>
    <m/>
    <n v="75.886085105957733"/>
    <n v="224.53785920244138"/>
    <n v="0"/>
    <n v="725587.74911999993"/>
    <n v="2815841.7331199995"/>
    <n v="0"/>
    <n v="880006.61150008987"/>
    <n v="2603834.4230609383"/>
  </r>
  <r>
    <s v="Sistema de Compensação"/>
    <x v="1"/>
    <x v="3"/>
    <x v="0"/>
    <x v="0"/>
    <x v="0"/>
    <x v="0"/>
    <x v="0"/>
    <x v="7"/>
    <n v="0"/>
    <n v="0"/>
    <n v="797.14599999999996"/>
    <n v="797.14599999999996"/>
    <n v="797.14599999999996"/>
    <n v="797.14599999999996"/>
    <n v="0"/>
    <x v="1"/>
    <n v="0"/>
    <n v="0"/>
    <n v="44"/>
    <n v="67"/>
    <n v="0"/>
    <n v="62.57"/>
    <n v="242.82"/>
    <m/>
    <n v="75.886085105957733"/>
    <n v="224.53785920244138"/>
    <n v="0"/>
    <n v="49877.425219999997"/>
    <n v="193562.99171999999"/>
    <n v="0"/>
    <n v="60492.289197873783"/>
    <n v="178989.45631178934"/>
  </r>
  <r>
    <s v="Regular"/>
    <x v="1"/>
    <x v="3"/>
    <x v="0"/>
    <x v="0"/>
    <x v="0"/>
    <x v="0"/>
    <x v="0"/>
    <x v="8"/>
    <n v="0"/>
    <n v="0"/>
    <n v="11429.665999999999"/>
    <n v="11429.665999999999"/>
    <n v="11429.665999999999"/>
    <n v="11429.665999999999"/>
    <n v="0"/>
    <x v="1"/>
    <n v="0"/>
    <n v="0"/>
    <n v="44"/>
    <n v="67"/>
    <n v="0"/>
    <n v="62.57"/>
    <n v="242.82"/>
    <m/>
    <n v="75.886085105957733"/>
    <n v="224.53785920244138"/>
    <n v="0"/>
    <n v="715154.20161999995"/>
    <n v="2775351.4981199997"/>
    <n v="0"/>
    <n v="867352.60680867149"/>
    <n v="2566392.735038931"/>
  </r>
  <r>
    <s v="Refaturamento - Regular"/>
    <x v="1"/>
    <x v="3"/>
    <x v="0"/>
    <x v="0"/>
    <x v="0"/>
    <x v="0"/>
    <x v="0"/>
    <x v="8"/>
    <n v="0"/>
    <n v="0"/>
    <n v="31.545000000000002"/>
    <n v="31.545000000000002"/>
    <n v="31.545000000000002"/>
    <n v="31.545000000000002"/>
    <n v="0"/>
    <x v="1"/>
    <n v="0"/>
    <n v="0"/>
    <n v="44"/>
    <n v="67"/>
    <n v="0"/>
    <n v="62.57"/>
    <n v="242.82"/>
    <m/>
    <n v="75.886085105957733"/>
    <n v="224.53785920244138"/>
    <n v="0"/>
    <n v="1973.7706500000002"/>
    <n v="7659.7569000000003"/>
    <n v="0"/>
    <n v="2393.826554667437"/>
    <n v="7083.046768541014"/>
  </r>
  <r>
    <s v="Sistema de Compensação"/>
    <x v="1"/>
    <x v="3"/>
    <x v="0"/>
    <x v="0"/>
    <x v="0"/>
    <x v="0"/>
    <x v="0"/>
    <x v="8"/>
    <n v="0"/>
    <n v="0"/>
    <n v="704.81799999999998"/>
    <n v="704.81799999999998"/>
    <n v="704.81799999999998"/>
    <n v="704.81799999999998"/>
    <n v="0"/>
    <x v="1"/>
    <n v="0"/>
    <n v="0"/>
    <n v="44"/>
    <n v="67"/>
    <n v="0"/>
    <n v="62.57"/>
    <n v="242.82"/>
    <m/>
    <n v="75.886085105957733"/>
    <n v="224.53785920244138"/>
    <n v="0"/>
    <n v="44100.46226"/>
    <n v="171143.90675999998"/>
    <n v="0"/>
    <n v="53485.878732210913"/>
    <n v="158258.32484734632"/>
  </r>
  <r>
    <s v="Sistema de Compensação"/>
    <x v="1"/>
    <x v="3"/>
    <x v="0"/>
    <x v="0"/>
    <x v="0"/>
    <x v="0"/>
    <x v="0"/>
    <x v="8"/>
    <n v="0"/>
    <n v="0"/>
    <n v="1.284"/>
    <n v="1.284"/>
    <n v="1.284"/>
    <n v="1.284"/>
    <n v="0"/>
    <x v="1"/>
    <n v="0"/>
    <n v="0"/>
    <n v="44"/>
    <n v="67"/>
    <n v="0"/>
    <n v="62.57"/>
    <n v="242.82"/>
    <m/>
    <n v="75.886085105957733"/>
    <n v="224.53785920244138"/>
    <n v="0"/>
    <n v="80.339880000000008"/>
    <n v="311.78088000000002"/>
    <n v="0"/>
    <n v="97.437733276049727"/>
    <n v="288.30661121593477"/>
  </r>
  <r>
    <s v="Regular"/>
    <x v="1"/>
    <x v="3"/>
    <x v="0"/>
    <x v="0"/>
    <x v="0"/>
    <x v="0"/>
    <x v="0"/>
    <x v="9"/>
    <n v="0"/>
    <n v="0"/>
    <n v="11324.556"/>
    <n v="11324.556"/>
    <n v="11324.556"/>
    <n v="11324.556"/>
    <n v="0"/>
    <x v="1"/>
    <n v="0"/>
    <n v="0"/>
    <n v="44"/>
    <n v="67"/>
    <n v="0"/>
    <n v="62.57"/>
    <n v="242.82"/>
    <m/>
    <n v="75.886085105957733"/>
    <n v="224.53785920244138"/>
    <n v="0"/>
    <n v="708577.46892000001"/>
    <n v="2749828.6879199999"/>
    <n v="0"/>
    <n v="859376.2204031843"/>
    <n v="2542791.5606581629"/>
  </r>
  <r>
    <s v="Refaturamento - Regular"/>
    <x v="1"/>
    <x v="3"/>
    <x v="0"/>
    <x v="0"/>
    <x v="0"/>
    <x v="0"/>
    <x v="0"/>
    <x v="9"/>
    <n v="0"/>
    <n v="0"/>
    <n v="3.4609999999999999"/>
    <n v="3.4609999999999999"/>
    <n v="3.4609999999999999"/>
    <n v="3.4609999999999999"/>
    <n v="0"/>
    <x v="1"/>
    <n v="0"/>
    <n v="0"/>
    <n v="44"/>
    <n v="67"/>
    <n v="0"/>
    <n v="62.57"/>
    <n v="242.82"/>
    <m/>
    <n v="75.886085105957733"/>
    <n v="224.53785920244138"/>
    <n v="0"/>
    <n v="216.55476999999999"/>
    <n v="840.40001999999993"/>
    <n v="0"/>
    <n v="262.64174055171969"/>
    <n v="777.12553069964963"/>
  </r>
  <r>
    <s v="Sistema de Compensação"/>
    <x v="1"/>
    <x v="3"/>
    <x v="0"/>
    <x v="0"/>
    <x v="0"/>
    <x v="0"/>
    <x v="0"/>
    <x v="9"/>
    <n v="0"/>
    <n v="0"/>
    <n v="822.24900000000002"/>
    <n v="822.24900000000002"/>
    <n v="822.24900000000002"/>
    <n v="822.24900000000002"/>
    <n v="0"/>
    <x v="1"/>
    <n v="0"/>
    <n v="0"/>
    <n v="44"/>
    <n v="67"/>
    <n v="0"/>
    <n v="62.57"/>
    <n v="242.82"/>
    <m/>
    <n v="75.886085105957733"/>
    <n v="224.53785920244138"/>
    <n v="0"/>
    <n v="51448.119930000001"/>
    <n v="199658.50218000001"/>
    <n v="0"/>
    <n v="62397.257592288639"/>
    <n v="184626.03019134823"/>
  </r>
  <r>
    <s v="Regular"/>
    <x v="1"/>
    <x v="3"/>
    <x v="0"/>
    <x v="0"/>
    <x v="0"/>
    <x v="0"/>
    <x v="0"/>
    <x v="10"/>
    <n v="0"/>
    <n v="0"/>
    <n v="10196.415000000001"/>
    <n v="10196.415000000001"/>
    <n v="10196.415000000001"/>
    <n v="10196.415000000001"/>
    <n v="0"/>
    <x v="1"/>
    <n v="0"/>
    <n v="0"/>
    <n v="44"/>
    <n v="67"/>
    <n v="0"/>
    <n v="62.57"/>
    <n v="242.82"/>
    <m/>
    <n v="75.886085105957733"/>
    <n v="224.53785920244138"/>
    <n v="0"/>
    <n v="637989.6865500001"/>
    <n v="2475893.4903000002"/>
    <n v="0"/>
    <n v="773766.01646566403"/>
    <n v="2289481.1956396615"/>
  </r>
  <r>
    <s v="Refaturamento - Regular"/>
    <x v="1"/>
    <x v="3"/>
    <x v="0"/>
    <x v="0"/>
    <x v="0"/>
    <x v="0"/>
    <x v="0"/>
    <x v="10"/>
    <n v="0"/>
    <n v="0"/>
    <n v="2.4380000000000002"/>
    <n v="2.4380000000000002"/>
    <n v="2.4380000000000002"/>
    <n v="2.4380000000000002"/>
    <n v="0"/>
    <x v="1"/>
    <n v="0"/>
    <n v="0"/>
    <n v="44"/>
    <n v="67"/>
    <n v="0"/>
    <n v="62.57"/>
    <n v="242.82"/>
    <m/>
    <n v="75.886085105957733"/>
    <n v="224.53785920244138"/>
    <n v="0"/>
    <n v="152.54566"/>
    <n v="591.99516000000006"/>
    <n v="0"/>
    <n v="185.01027548832496"/>
    <n v="547.42330073555217"/>
  </r>
  <r>
    <s v="Sistema de Compensação"/>
    <x v="1"/>
    <x v="3"/>
    <x v="0"/>
    <x v="0"/>
    <x v="0"/>
    <x v="0"/>
    <x v="0"/>
    <x v="10"/>
    <n v="0"/>
    <n v="0"/>
    <n v="693.97900000000004"/>
    <n v="693.97900000000004"/>
    <n v="693.97900000000004"/>
    <n v="693.97900000000004"/>
    <n v="0"/>
    <x v="1"/>
    <n v="0"/>
    <n v="0"/>
    <n v="44"/>
    <n v="67"/>
    <n v="0"/>
    <n v="62.57"/>
    <n v="242.82"/>
    <m/>
    <n v="75.886085105957733"/>
    <n v="224.53785920244138"/>
    <n v="0"/>
    <n v="43422.266030000006"/>
    <n v="168511.98078000001"/>
    <n v="0"/>
    <n v="52663.349455747448"/>
    <n v="155824.55899145108"/>
  </r>
  <r>
    <s v="Sistema de Compensação"/>
    <x v="1"/>
    <x v="3"/>
    <x v="0"/>
    <x v="0"/>
    <x v="0"/>
    <x v="0"/>
    <x v="0"/>
    <x v="10"/>
    <n v="0"/>
    <n v="0"/>
    <n v="-10.134"/>
    <n v="-10.134"/>
    <n v="-10.134"/>
    <n v="-10.134"/>
    <n v="0"/>
    <x v="1"/>
    <n v="0"/>
    <n v="0"/>
    <n v="44"/>
    <n v="67"/>
    <n v="0"/>
    <n v="62.57"/>
    <n v="242.82"/>
    <m/>
    <n v="75.886085105957733"/>
    <n v="224.53785920244138"/>
    <n v="0"/>
    <n v="-634.08438000000001"/>
    <n v="-2460.7378800000001"/>
    <n v="0"/>
    <n v="-769.02958646377567"/>
    <n v="-2275.4666651575412"/>
  </r>
  <r>
    <s v="PROJETADO"/>
    <x v="1"/>
    <x v="3"/>
    <x v="0"/>
    <x v="0"/>
    <x v="0"/>
    <x v="0"/>
    <x v="0"/>
    <x v="11"/>
    <n v="0"/>
    <n v="0"/>
    <n v="10196.415000000001"/>
    <n v="10196.415000000001"/>
    <n v="10196.415000000001"/>
    <n v="10196.415000000001"/>
    <n v="0"/>
    <x v="1"/>
    <n v="0"/>
    <n v="0"/>
    <n v="44"/>
    <n v="67"/>
    <n v="0"/>
    <n v="62.57"/>
    <n v="242.82"/>
    <m/>
    <n v="75.886085105957733"/>
    <n v="224.53785920244138"/>
    <n v="0"/>
    <n v="637989.6865500001"/>
    <n v="2475893.4903000002"/>
    <n v="0"/>
    <n v="773766.01646566403"/>
    <n v="2289481.1956396615"/>
  </r>
  <r>
    <s v="PROJETADO"/>
    <x v="1"/>
    <x v="3"/>
    <x v="0"/>
    <x v="0"/>
    <x v="0"/>
    <x v="0"/>
    <x v="0"/>
    <x v="11"/>
    <n v="0"/>
    <n v="0"/>
    <n v="2.4380000000000002"/>
    <n v="2.4380000000000002"/>
    <n v="2.4380000000000002"/>
    <n v="2.4380000000000002"/>
    <n v="0"/>
    <x v="1"/>
    <n v="0"/>
    <n v="0"/>
    <n v="44"/>
    <n v="67"/>
    <n v="0"/>
    <n v="62.57"/>
    <n v="242.82"/>
    <m/>
    <n v="75.886085105957733"/>
    <n v="224.53785920244138"/>
    <n v="0"/>
    <n v="152.54566"/>
    <n v="591.99516000000006"/>
    <n v="0"/>
    <n v="185.01027548832496"/>
    <n v="547.42330073555217"/>
  </r>
  <r>
    <s v="PROJETADO"/>
    <x v="1"/>
    <x v="3"/>
    <x v="0"/>
    <x v="0"/>
    <x v="0"/>
    <x v="0"/>
    <x v="0"/>
    <x v="11"/>
    <n v="0"/>
    <n v="0"/>
    <n v="693.97900000000004"/>
    <n v="693.97900000000004"/>
    <n v="693.97900000000004"/>
    <n v="693.97900000000004"/>
    <n v="0"/>
    <x v="1"/>
    <n v="0"/>
    <n v="0"/>
    <n v="44"/>
    <n v="67"/>
    <n v="0"/>
    <n v="62.57"/>
    <n v="242.82"/>
    <m/>
    <n v="75.886085105957733"/>
    <n v="224.53785920244138"/>
    <n v="0"/>
    <n v="43422.266030000006"/>
    <n v="168511.98078000001"/>
    <n v="0"/>
    <n v="52663.349455747448"/>
    <n v="155824.55899145108"/>
  </r>
  <r>
    <s v="PROJETADO"/>
    <x v="1"/>
    <x v="3"/>
    <x v="0"/>
    <x v="0"/>
    <x v="0"/>
    <x v="0"/>
    <x v="0"/>
    <x v="11"/>
    <n v="0"/>
    <n v="0"/>
    <n v="-10.134"/>
    <n v="-10.134"/>
    <n v="-10.134"/>
    <n v="-10.134"/>
    <n v="0"/>
    <x v="1"/>
    <n v="0"/>
    <n v="0"/>
    <n v="44"/>
    <n v="67"/>
    <n v="0"/>
    <n v="62.57"/>
    <n v="242.82"/>
    <m/>
    <n v="75.886085105957733"/>
    <n v="224.53785920244138"/>
    <n v="0"/>
    <n v="-634.08438000000001"/>
    <n v="-2460.7378800000001"/>
    <n v="0"/>
    <n v="-769.02958646377567"/>
    <n v="-2275.4666651575412"/>
  </r>
  <r>
    <s v="Regular"/>
    <x v="1"/>
    <x v="3"/>
    <x v="0"/>
    <x v="0"/>
    <x v="0"/>
    <x v="0"/>
    <x v="1"/>
    <x v="0"/>
    <n v="52957"/>
    <n v="52957"/>
    <n v="0"/>
    <n v="0"/>
    <n v="0"/>
    <n v="0"/>
    <n v="559"/>
    <x v="1"/>
    <n v="0"/>
    <n v="40"/>
    <n v="0"/>
    <n v="0"/>
    <n v="26.22"/>
    <n v="0"/>
    <n v="0"/>
    <n v="28.891757284072764"/>
    <m/>
    <m/>
    <n v="1388532.54"/>
    <n v="0"/>
    <n v="0"/>
    <n v="1530020.7904926413"/>
    <n v="0"/>
    <n v="0"/>
  </r>
  <r>
    <s v="Sistema de Compensação"/>
    <x v="1"/>
    <x v="3"/>
    <x v="0"/>
    <x v="0"/>
    <x v="0"/>
    <x v="0"/>
    <x v="1"/>
    <x v="0"/>
    <n v="11870"/>
    <n v="11870"/>
    <n v="0"/>
    <n v="0"/>
    <n v="0"/>
    <n v="0"/>
    <n v="44"/>
    <x v="1"/>
    <n v="0"/>
    <n v="40"/>
    <n v="0"/>
    <n v="0"/>
    <n v="26.22"/>
    <n v="0"/>
    <n v="0"/>
    <n v="28.891757284072764"/>
    <m/>
    <m/>
    <n v="311231.39999999997"/>
    <n v="0"/>
    <n v="0"/>
    <n v="342945.1589619437"/>
    <n v="0"/>
    <n v="0"/>
  </r>
  <r>
    <s v="Sistema de Compensação"/>
    <x v="1"/>
    <x v="3"/>
    <x v="0"/>
    <x v="0"/>
    <x v="0"/>
    <x v="0"/>
    <x v="1"/>
    <x v="0"/>
    <n v="160"/>
    <n v="160"/>
    <n v="0"/>
    <n v="0"/>
    <n v="0"/>
    <n v="0"/>
    <n v="1"/>
    <x v="1"/>
    <n v="0"/>
    <n v="40"/>
    <n v="0"/>
    <n v="0"/>
    <n v="26.22"/>
    <n v="0"/>
    <n v="0"/>
    <n v="28.891757284072764"/>
    <m/>
    <m/>
    <n v="4195.2"/>
    <n v="0"/>
    <n v="0"/>
    <n v="4622.6811654516423"/>
    <n v="0"/>
    <n v="0"/>
  </r>
  <r>
    <s v="Regular"/>
    <x v="1"/>
    <x v="3"/>
    <x v="0"/>
    <x v="0"/>
    <x v="0"/>
    <x v="0"/>
    <x v="1"/>
    <x v="0"/>
    <n v="115"/>
    <n v="115"/>
    <n v="0"/>
    <n v="0"/>
    <n v="0"/>
    <n v="0"/>
    <n v="1"/>
    <x v="0"/>
    <n v="0"/>
    <n v="40"/>
    <n v="0"/>
    <n v="0"/>
    <n v="26.22"/>
    <n v="0"/>
    <n v="0"/>
    <n v="28.891757284072764"/>
    <m/>
    <m/>
    <n v="3015.2999999999997"/>
    <n v="0"/>
    <n v="0"/>
    <n v="3322.5520876683677"/>
    <n v="0"/>
    <n v="0"/>
  </r>
  <r>
    <s v="Regular"/>
    <x v="1"/>
    <x v="3"/>
    <x v="0"/>
    <x v="0"/>
    <x v="0"/>
    <x v="0"/>
    <x v="1"/>
    <x v="1"/>
    <n v="53185"/>
    <n v="53185"/>
    <n v="0"/>
    <n v="0"/>
    <n v="0"/>
    <n v="0"/>
    <n v="561"/>
    <x v="1"/>
    <n v="0"/>
    <n v="40"/>
    <n v="0"/>
    <n v="0"/>
    <n v="26.22"/>
    <n v="0"/>
    <n v="0"/>
    <n v="28.891757284072764"/>
    <m/>
    <m/>
    <n v="1394510.7"/>
    <n v="0"/>
    <n v="0"/>
    <n v="1536608.11115341"/>
    <n v="0"/>
    <n v="0"/>
  </r>
  <r>
    <s v="Sistema de Compensação"/>
    <x v="1"/>
    <x v="3"/>
    <x v="0"/>
    <x v="0"/>
    <x v="0"/>
    <x v="0"/>
    <x v="1"/>
    <x v="1"/>
    <n v="12553"/>
    <n v="12553"/>
    <n v="0"/>
    <n v="0"/>
    <n v="0"/>
    <n v="0"/>
    <n v="45"/>
    <x v="1"/>
    <n v="0"/>
    <n v="40"/>
    <n v="0"/>
    <n v="0"/>
    <n v="26.22"/>
    <n v="0"/>
    <n v="0"/>
    <n v="28.891757284072764"/>
    <m/>
    <m/>
    <n v="329139.65999999997"/>
    <n v="0"/>
    <n v="0"/>
    <n v="362678.22918696539"/>
    <n v="0"/>
    <n v="0"/>
  </r>
  <r>
    <s v="Regular"/>
    <x v="1"/>
    <x v="3"/>
    <x v="0"/>
    <x v="0"/>
    <x v="0"/>
    <x v="0"/>
    <x v="1"/>
    <x v="1"/>
    <n v="305"/>
    <n v="305"/>
    <n v="0"/>
    <n v="0"/>
    <n v="0"/>
    <n v="0"/>
    <n v="3"/>
    <x v="0"/>
    <n v="0"/>
    <n v="40"/>
    <n v="0"/>
    <n v="0"/>
    <n v="26.22"/>
    <n v="0"/>
    <n v="0"/>
    <n v="28.891757284072764"/>
    <m/>
    <m/>
    <n v="7997.0999999999995"/>
    <n v="0"/>
    <n v="0"/>
    <n v="8811.9859716421925"/>
    <n v="0"/>
    <n v="0"/>
  </r>
  <r>
    <s v="Regular"/>
    <x v="1"/>
    <x v="3"/>
    <x v="0"/>
    <x v="0"/>
    <x v="0"/>
    <x v="0"/>
    <x v="1"/>
    <x v="2"/>
    <n v="53789"/>
    <n v="53789"/>
    <n v="0"/>
    <n v="0"/>
    <n v="0"/>
    <n v="0"/>
    <n v="559"/>
    <x v="1"/>
    <n v="0"/>
    <n v="40"/>
    <n v="0"/>
    <n v="0"/>
    <n v="26.22"/>
    <n v="0"/>
    <n v="0"/>
    <n v="28.891757284072764"/>
    <m/>
    <m/>
    <n v="1410347.5799999998"/>
    <n v="0"/>
    <n v="0"/>
    <n v="1554058.7325529899"/>
    <n v="0"/>
    <n v="0"/>
  </r>
  <r>
    <s v="Refaturamento - Regular"/>
    <x v="1"/>
    <x v="3"/>
    <x v="0"/>
    <x v="0"/>
    <x v="0"/>
    <x v="0"/>
    <x v="1"/>
    <x v="2"/>
    <n v="-598"/>
    <n v="-598"/>
    <n v="0"/>
    <n v="0"/>
    <n v="0"/>
    <n v="0"/>
    <n v="0"/>
    <x v="1"/>
    <n v="0"/>
    <n v="40"/>
    <n v="0"/>
    <n v="0"/>
    <n v="26.22"/>
    <n v="0"/>
    <n v="0"/>
    <n v="28.891757284072764"/>
    <m/>
    <m/>
    <n v="-15679.56"/>
    <n v="0"/>
    <n v="0"/>
    <n v="-17277.270855875511"/>
    <n v="0"/>
    <n v="0"/>
  </r>
  <r>
    <s v="Sistema de Compensação"/>
    <x v="1"/>
    <x v="3"/>
    <x v="0"/>
    <x v="0"/>
    <x v="0"/>
    <x v="0"/>
    <x v="1"/>
    <x v="2"/>
    <n v="12501"/>
    <n v="12501"/>
    <n v="0"/>
    <n v="0"/>
    <n v="0"/>
    <n v="0"/>
    <n v="50"/>
    <x v="1"/>
    <n v="0"/>
    <n v="40"/>
    <n v="0"/>
    <n v="0"/>
    <n v="26.22"/>
    <n v="0"/>
    <n v="0"/>
    <n v="28.891757284072764"/>
    <m/>
    <m/>
    <n v="327776.21999999997"/>
    <n v="0"/>
    <n v="0"/>
    <n v="361175.8578081936"/>
    <n v="0"/>
    <n v="0"/>
  </r>
  <r>
    <s v="Regular"/>
    <x v="1"/>
    <x v="3"/>
    <x v="0"/>
    <x v="0"/>
    <x v="0"/>
    <x v="0"/>
    <x v="1"/>
    <x v="2"/>
    <n v="215"/>
    <n v="215"/>
    <n v="0"/>
    <n v="0"/>
    <n v="0"/>
    <n v="0"/>
    <n v="2"/>
    <x v="0"/>
    <n v="0"/>
    <n v="40"/>
    <n v="0"/>
    <n v="0"/>
    <n v="26.22"/>
    <n v="0"/>
    <n v="0"/>
    <n v="28.891757284072764"/>
    <m/>
    <m/>
    <n v="5637.3"/>
    <n v="0"/>
    <n v="0"/>
    <n v="6211.7278160756441"/>
    <n v="0"/>
    <n v="0"/>
  </r>
  <r>
    <s v="Regular"/>
    <x v="1"/>
    <x v="3"/>
    <x v="0"/>
    <x v="0"/>
    <x v="0"/>
    <x v="0"/>
    <x v="1"/>
    <x v="3"/>
    <n v="53606"/>
    <n v="53606"/>
    <n v="0"/>
    <n v="0"/>
    <n v="0"/>
    <n v="0"/>
    <n v="549"/>
    <x v="1"/>
    <n v="0"/>
    <n v="40"/>
    <n v="0"/>
    <n v="0"/>
    <n v="26.22"/>
    <n v="0"/>
    <n v="0"/>
    <n v="28.891757284072764"/>
    <m/>
    <m/>
    <n v="1405549.3199999998"/>
    <n v="0"/>
    <n v="0"/>
    <n v="1548771.5409700046"/>
    <n v="0"/>
    <n v="0"/>
  </r>
  <r>
    <s v="Refaturamento - Regular"/>
    <x v="1"/>
    <x v="3"/>
    <x v="0"/>
    <x v="0"/>
    <x v="0"/>
    <x v="0"/>
    <x v="1"/>
    <x v="3"/>
    <n v="-622"/>
    <n v="-622"/>
    <n v="0"/>
    <n v="0"/>
    <n v="0"/>
    <n v="0"/>
    <n v="-2"/>
    <x v="1"/>
    <n v="0"/>
    <n v="40"/>
    <n v="0"/>
    <n v="0"/>
    <n v="26.22"/>
    <n v="0"/>
    <n v="0"/>
    <n v="28.891757284072764"/>
    <m/>
    <m/>
    <n v="-16308.84"/>
    <n v="0"/>
    <n v="0"/>
    <n v="-17970.673030693259"/>
    <n v="0"/>
    <n v="0"/>
  </r>
  <r>
    <s v="Sistema de Compensação"/>
    <x v="1"/>
    <x v="3"/>
    <x v="0"/>
    <x v="0"/>
    <x v="0"/>
    <x v="0"/>
    <x v="1"/>
    <x v="3"/>
    <n v="12772"/>
    <n v="12772"/>
    <n v="0"/>
    <n v="0"/>
    <n v="0"/>
    <n v="0"/>
    <n v="52"/>
    <x v="1"/>
    <n v="0"/>
    <n v="40"/>
    <n v="0"/>
    <n v="0"/>
    <n v="26.22"/>
    <n v="0"/>
    <n v="0"/>
    <n v="28.891757284072764"/>
    <m/>
    <m/>
    <n v="334881.83999999997"/>
    <n v="0"/>
    <n v="0"/>
    <n v="369005.52403217735"/>
    <n v="0"/>
    <n v="0"/>
  </r>
  <r>
    <s v="Regular"/>
    <x v="1"/>
    <x v="3"/>
    <x v="0"/>
    <x v="0"/>
    <x v="0"/>
    <x v="0"/>
    <x v="1"/>
    <x v="3"/>
    <n v="115"/>
    <n v="115"/>
    <n v="0"/>
    <n v="0"/>
    <n v="0"/>
    <n v="0"/>
    <n v="1"/>
    <x v="0"/>
    <n v="0"/>
    <n v="40"/>
    <n v="0"/>
    <n v="0"/>
    <n v="26.22"/>
    <n v="0"/>
    <n v="0"/>
    <n v="28.891757284072764"/>
    <m/>
    <m/>
    <n v="3015.2999999999997"/>
    <n v="0"/>
    <n v="0"/>
    <n v="3322.5520876683677"/>
    <n v="0"/>
    <n v="0"/>
  </r>
  <r>
    <s v="Regular"/>
    <x v="1"/>
    <x v="3"/>
    <x v="0"/>
    <x v="0"/>
    <x v="0"/>
    <x v="0"/>
    <x v="1"/>
    <x v="4"/>
    <n v="54848"/>
    <n v="54848"/>
    <n v="0"/>
    <n v="0"/>
    <n v="0"/>
    <n v="0"/>
    <n v="549"/>
    <x v="1"/>
    <n v="0"/>
    <n v="40"/>
    <n v="0"/>
    <n v="0"/>
    <n v="26.22"/>
    <n v="0"/>
    <n v="0"/>
    <n v="28.891757284072764"/>
    <m/>
    <m/>
    <n v="1438114.5599999998"/>
    <n v="0"/>
    <n v="0"/>
    <n v="1584655.1035168229"/>
    <n v="0"/>
    <n v="0"/>
  </r>
  <r>
    <s v="Refaturamento - Regular"/>
    <x v="1"/>
    <x v="3"/>
    <x v="0"/>
    <x v="0"/>
    <x v="0"/>
    <x v="0"/>
    <x v="1"/>
    <x v="4"/>
    <n v="-34"/>
    <n v="-34"/>
    <n v="0"/>
    <n v="0"/>
    <n v="0"/>
    <n v="0"/>
    <n v="-1"/>
    <x v="1"/>
    <n v="0"/>
    <n v="40"/>
    <n v="0"/>
    <n v="0"/>
    <n v="26.22"/>
    <n v="0"/>
    <n v="0"/>
    <n v="28.891757284072764"/>
    <m/>
    <m/>
    <n v="-891.48"/>
    <n v="0"/>
    <n v="0"/>
    <n v="-982.31974765847394"/>
    <n v="0"/>
    <n v="0"/>
  </r>
  <r>
    <s v="Sistema de Compensação"/>
    <x v="1"/>
    <x v="3"/>
    <x v="0"/>
    <x v="0"/>
    <x v="0"/>
    <x v="0"/>
    <x v="1"/>
    <x v="4"/>
    <n v="13084"/>
    <n v="13084"/>
    <n v="0"/>
    <n v="0"/>
    <n v="0"/>
    <n v="0"/>
    <n v="56"/>
    <x v="1"/>
    <n v="0"/>
    <n v="40"/>
    <n v="0"/>
    <n v="0"/>
    <n v="26.22"/>
    <n v="0"/>
    <n v="0"/>
    <n v="28.891757284072764"/>
    <m/>
    <m/>
    <n v="343062.48"/>
    <n v="0"/>
    <n v="0"/>
    <n v="378019.75230480806"/>
    <n v="0"/>
    <n v="0"/>
  </r>
  <r>
    <s v="Regular"/>
    <x v="1"/>
    <x v="3"/>
    <x v="0"/>
    <x v="0"/>
    <x v="0"/>
    <x v="0"/>
    <x v="1"/>
    <x v="4"/>
    <n v="115"/>
    <n v="115"/>
    <n v="0"/>
    <n v="0"/>
    <n v="0"/>
    <n v="0"/>
    <n v="1"/>
    <x v="0"/>
    <n v="0"/>
    <n v="40"/>
    <n v="0"/>
    <n v="0"/>
    <n v="26.22"/>
    <n v="0"/>
    <n v="0"/>
    <n v="28.891757284072764"/>
    <m/>
    <m/>
    <n v="3015.2999999999997"/>
    <n v="0"/>
    <n v="0"/>
    <n v="3322.5520876683677"/>
    <n v="0"/>
    <n v="0"/>
  </r>
  <r>
    <s v="Regular"/>
    <x v="1"/>
    <x v="3"/>
    <x v="0"/>
    <x v="0"/>
    <x v="0"/>
    <x v="0"/>
    <x v="1"/>
    <x v="5"/>
    <n v="53534"/>
    <n v="53534"/>
    <n v="0"/>
    <n v="0"/>
    <n v="0"/>
    <n v="0"/>
    <n v="540"/>
    <x v="1"/>
    <n v="0"/>
    <n v="40"/>
    <n v="0"/>
    <n v="0"/>
    <n v="26.22"/>
    <n v="0"/>
    <n v="0"/>
    <n v="28.891757284072764"/>
    <m/>
    <m/>
    <n v="1403661.48"/>
    <n v="0"/>
    <n v="0"/>
    <n v="1546691.3344455513"/>
    <n v="0"/>
    <n v="0"/>
  </r>
  <r>
    <s v="Refaturamento - Regular"/>
    <x v="1"/>
    <x v="3"/>
    <x v="0"/>
    <x v="0"/>
    <x v="0"/>
    <x v="0"/>
    <x v="1"/>
    <x v="5"/>
    <n v="-707"/>
    <n v="-707"/>
    <n v="0"/>
    <n v="0"/>
    <n v="0"/>
    <n v="0"/>
    <n v="1"/>
    <x v="1"/>
    <n v="0"/>
    <n v="40"/>
    <n v="0"/>
    <n v="0"/>
    <n v="26.22"/>
    <n v="0"/>
    <n v="0"/>
    <n v="28.891757284072764"/>
    <m/>
    <m/>
    <n v="-18537.54"/>
    <n v="0"/>
    <n v="0"/>
    <n v="-20426.472399839444"/>
    <n v="0"/>
    <n v="0"/>
  </r>
  <r>
    <s v="Sistema de Compensação"/>
    <x v="1"/>
    <x v="3"/>
    <x v="0"/>
    <x v="0"/>
    <x v="0"/>
    <x v="0"/>
    <x v="1"/>
    <x v="5"/>
    <n v="13223"/>
    <n v="13223"/>
    <n v="0"/>
    <n v="0"/>
    <n v="0"/>
    <n v="0"/>
    <n v="58"/>
    <x v="1"/>
    <n v="0"/>
    <n v="40"/>
    <n v="0"/>
    <n v="0"/>
    <n v="26.22"/>
    <n v="0"/>
    <n v="0"/>
    <n v="28.891757284072764"/>
    <m/>
    <m/>
    <n v="346707.06"/>
    <n v="0"/>
    <n v="0"/>
    <n v="382035.70656729414"/>
    <n v="0"/>
    <n v="0"/>
  </r>
  <r>
    <s v="Regular"/>
    <x v="1"/>
    <x v="3"/>
    <x v="0"/>
    <x v="0"/>
    <x v="0"/>
    <x v="0"/>
    <x v="1"/>
    <x v="6"/>
    <n v="54109"/>
    <n v="54109"/>
    <n v="0"/>
    <n v="0"/>
    <n v="0"/>
    <n v="0"/>
    <n v="539"/>
    <x v="1"/>
    <n v="0"/>
    <n v="40"/>
    <n v="0"/>
    <n v="0"/>
    <n v="26.22"/>
    <n v="0"/>
    <n v="0"/>
    <n v="28.891757284072764"/>
    <m/>
    <m/>
    <n v="1418737.98"/>
    <n v="0"/>
    <n v="0"/>
    <n v="1563304.0948838932"/>
    <n v="0"/>
    <n v="0"/>
  </r>
  <r>
    <s v="Refaturamento - Regular"/>
    <x v="1"/>
    <x v="3"/>
    <x v="0"/>
    <x v="0"/>
    <x v="0"/>
    <x v="0"/>
    <x v="1"/>
    <x v="6"/>
    <n v="-474"/>
    <n v="-474"/>
    <n v="0"/>
    <n v="0"/>
    <n v="0"/>
    <n v="0"/>
    <n v="1"/>
    <x v="1"/>
    <n v="0"/>
    <n v="40"/>
    <n v="0"/>
    <n v="0"/>
    <n v="26.22"/>
    <n v="0"/>
    <n v="0"/>
    <n v="28.891757284072764"/>
    <m/>
    <m/>
    <n v="-12428.279999999999"/>
    <n v="0"/>
    <n v="0"/>
    <n v="-13694.69295265049"/>
    <n v="0"/>
    <n v="0"/>
  </r>
  <r>
    <s v="Sistema de Compensação"/>
    <x v="1"/>
    <x v="3"/>
    <x v="0"/>
    <x v="0"/>
    <x v="0"/>
    <x v="0"/>
    <x v="1"/>
    <x v="6"/>
    <n v="14099"/>
    <n v="14099"/>
    <n v="0"/>
    <n v="0"/>
    <n v="0"/>
    <n v="0"/>
    <n v="63"/>
    <x v="1"/>
    <n v="0"/>
    <n v="40"/>
    <n v="0"/>
    <n v="0"/>
    <n v="26.22"/>
    <n v="0"/>
    <n v="0"/>
    <n v="28.891757284072764"/>
    <m/>
    <m/>
    <n v="369675.77999999997"/>
    <n v="0"/>
    <n v="0"/>
    <n v="407344.88594814192"/>
    <n v="0"/>
    <n v="0"/>
  </r>
  <r>
    <s v="Regular"/>
    <x v="1"/>
    <x v="3"/>
    <x v="0"/>
    <x v="0"/>
    <x v="0"/>
    <x v="0"/>
    <x v="1"/>
    <x v="7"/>
    <n v="54354"/>
    <n v="54354"/>
    <n v="0"/>
    <n v="0"/>
    <n v="0"/>
    <n v="0"/>
    <n v="536"/>
    <x v="1"/>
    <n v="0"/>
    <n v="40"/>
    <n v="0"/>
    <n v="0"/>
    <n v="26.22"/>
    <n v="0"/>
    <n v="0"/>
    <n v="28.891757284072764"/>
    <m/>
    <m/>
    <n v="1425161.88"/>
    <n v="0"/>
    <n v="0"/>
    <n v="1570382.5754184909"/>
    <n v="0"/>
    <n v="0"/>
  </r>
  <r>
    <s v="Sistema de Compensação"/>
    <x v="1"/>
    <x v="3"/>
    <x v="0"/>
    <x v="0"/>
    <x v="0"/>
    <x v="0"/>
    <x v="1"/>
    <x v="7"/>
    <n v="15678"/>
    <n v="15678"/>
    <n v="0"/>
    <n v="0"/>
    <n v="0"/>
    <n v="0"/>
    <n v="68"/>
    <x v="1"/>
    <n v="0"/>
    <n v="40"/>
    <n v="0"/>
    <n v="0"/>
    <n v="26.22"/>
    <n v="0"/>
    <n v="0"/>
    <n v="28.891757284072764"/>
    <m/>
    <m/>
    <n v="411077.16"/>
    <n v="0"/>
    <n v="0"/>
    <n v="452964.97069969279"/>
    <n v="0"/>
    <n v="0"/>
  </r>
  <r>
    <s v="Regular"/>
    <x v="1"/>
    <x v="3"/>
    <x v="0"/>
    <x v="0"/>
    <x v="0"/>
    <x v="0"/>
    <x v="1"/>
    <x v="8"/>
    <n v="54353"/>
    <n v="54353"/>
    <n v="0"/>
    <n v="0"/>
    <n v="0"/>
    <n v="0"/>
    <n v="534"/>
    <x v="1"/>
    <n v="0"/>
    <n v="40"/>
    <n v="0"/>
    <n v="0"/>
    <n v="26.22"/>
    <n v="0"/>
    <n v="0"/>
    <n v="28.891757284072764"/>
    <m/>
    <m/>
    <n v="1425135.66"/>
    <n v="0"/>
    <n v="0"/>
    <n v="1570353.6836612069"/>
    <n v="0"/>
    <n v="0"/>
  </r>
  <r>
    <s v="Refaturamento - Regular"/>
    <x v="1"/>
    <x v="3"/>
    <x v="0"/>
    <x v="0"/>
    <x v="0"/>
    <x v="0"/>
    <x v="1"/>
    <x v="8"/>
    <n v="-38"/>
    <n v="-38"/>
    <n v="0"/>
    <n v="0"/>
    <n v="0"/>
    <n v="0"/>
    <n v="1"/>
    <x v="1"/>
    <n v="0"/>
    <n v="40"/>
    <n v="0"/>
    <n v="0"/>
    <n v="26.22"/>
    <n v="0"/>
    <n v="0"/>
    <n v="28.891757284072764"/>
    <m/>
    <m/>
    <n v="-996.3599999999999"/>
    <n v="0"/>
    <n v="0"/>
    <n v="-1097.886776794765"/>
    <n v="0"/>
    <n v="0"/>
  </r>
  <r>
    <s v="Sistema de Compensação"/>
    <x v="1"/>
    <x v="3"/>
    <x v="0"/>
    <x v="0"/>
    <x v="0"/>
    <x v="0"/>
    <x v="1"/>
    <x v="8"/>
    <n v="17214"/>
    <n v="17214"/>
    <n v="0"/>
    <n v="0"/>
    <n v="0"/>
    <n v="0"/>
    <n v="70"/>
    <x v="1"/>
    <n v="0"/>
    <n v="40"/>
    <n v="0"/>
    <n v="0"/>
    <n v="26.22"/>
    <n v="0"/>
    <n v="0"/>
    <n v="28.891757284072764"/>
    <m/>
    <m/>
    <n v="451351.07999999996"/>
    <n v="0"/>
    <n v="0"/>
    <n v="497342.70988802856"/>
    <n v="0"/>
    <n v="0"/>
  </r>
  <r>
    <s v="Sistema de Compensação"/>
    <x v="1"/>
    <x v="3"/>
    <x v="0"/>
    <x v="0"/>
    <x v="0"/>
    <x v="0"/>
    <x v="1"/>
    <x v="8"/>
    <n v="-29"/>
    <n v="-29"/>
    <n v="0"/>
    <n v="0"/>
    <n v="0"/>
    <n v="0"/>
    <n v="0"/>
    <x v="1"/>
    <n v="0"/>
    <n v="40"/>
    <n v="0"/>
    <n v="0"/>
    <n v="26.22"/>
    <n v="0"/>
    <n v="0"/>
    <n v="28.891757284072764"/>
    <m/>
    <m/>
    <n v="-760.38"/>
    <n v="0"/>
    <n v="0"/>
    <n v="-837.86096123811012"/>
    <n v="0"/>
    <n v="0"/>
  </r>
  <r>
    <s v="Regular"/>
    <x v="1"/>
    <x v="3"/>
    <x v="0"/>
    <x v="0"/>
    <x v="0"/>
    <x v="0"/>
    <x v="1"/>
    <x v="9"/>
    <n v="54836"/>
    <n v="54836"/>
    <n v="0"/>
    <n v="0"/>
    <n v="0"/>
    <n v="0"/>
    <n v="531"/>
    <x v="1"/>
    <n v="0"/>
    <n v="40"/>
    <n v="0"/>
    <n v="0"/>
    <n v="26.22"/>
    <n v="0"/>
    <n v="0"/>
    <n v="28.891757284072764"/>
    <m/>
    <m/>
    <n v="1437799.92"/>
    <n v="0"/>
    <n v="0"/>
    <n v="1584308.402429414"/>
    <n v="0"/>
    <n v="0"/>
  </r>
  <r>
    <s v="Refaturamento - Regular"/>
    <x v="1"/>
    <x v="3"/>
    <x v="0"/>
    <x v="0"/>
    <x v="0"/>
    <x v="0"/>
    <x v="1"/>
    <x v="9"/>
    <n v="-30"/>
    <n v="-30"/>
    <n v="0"/>
    <n v="0"/>
    <n v="0"/>
    <n v="0"/>
    <n v="-1"/>
    <x v="1"/>
    <n v="0"/>
    <n v="40"/>
    <n v="0"/>
    <n v="0"/>
    <n v="26.22"/>
    <n v="0"/>
    <n v="0"/>
    <n v="28.891757284072764"/>
    <m/>
    <m/>
    <n v="-786.59999999999991"/>
    <n v="0"/>
    <n v="0"/>
    <n v="-866.75271852218293"/>
    <n v="0"/>
    <n v="0"/>
  </r>
  <r>
    <s v="Sistema de Compensação"/>
    <x v="1"/>
    <x v="3"/>
    <x v="0"/>
    <x v="0"/>
    <x v="0"/>
    <x v="0"/>
    <x v="1"/>
    <x v="9"/>
    <n v="17688"/>
    <n v="17688"/>
    <n v="0"/>
    <n v="0"/>
    <n v="0"/>
    <n v="0"/>
    <n v="72"/>
    <x v="1"/>
    <n v="0"/>
    <n v="40"/>
    <n v="0"/>
    <n v="0"/>
    <n v="26.22"/>
    <n v="0"/>
    <n v="0"/>
    <n v="28.891757284072764"/>
    <m/>
    <m/>
    <n v="463779.36"/>
    <n v="0"/>
    <n v="0"/>
    <n v="511037.40284067905"/>
    <n v="0"/>
    <n v="0"/>
  </r>
  <r>
    <s v="Regular"/>
    <x v="1"/>
    <x v="3"/>
    <x v="0"/>
    <x v="0"/>
    <x v="0"/>
    <x v="0"/>
    <x v="1"/>
    <x v="10"/>
    <n v="53630"/>
    <n v="53630"/>
    <n v="0"/>
    <n v="0"/>
    <n v="0"/>
    <n v="0"/>
    <n v="524"/>
    <x v="1"/>
    <n v="0"/>
    <n v="40"/>
    <n v="0"/>
    <n v="0"/>
    <n v="26.22"/>
    <n v="0"/>
    <n v="0"/>
    <n v="28.891757284072764"/>
    <m/>
    <m/>
    <n v="1406178.5999999999"/>
    <n v="0"/>
    <n v="0"/>
    <n v="1549464.9431448223"/>
    <n v="0"/>
    <n v="0"/>
  </r>
  <r>
    <s v="Sistema de Compensação"/>
    <x v="1"/>
    <x v="3"/>
    <x v="0"/>
    <x v="0"/>
    <x v="0"/>
    <x v="0"/>
    <x v="1"/>
    <x v="10"/>
    <n v="18022"/>
    <n v="18022"/>
    <n v="0"/>
    <n v="0"/>
    <n v="0"/>
    <n v="0"/>
    <n v="75"/>
    <x v="1"/>
    <n v="0"/>
    <n v="40"/>
    <n v="0"/>
    <n v="0"/>
    <n v="26.22"/>
    <n v="0"/>
    <n v="0"/>
    <n v="28.891757284072764"/>
    <m/>
    <m/>
    <n v="472536.83999999997"/>
    <n v="0"/>
    <n v="0"/>
    <n v="520687.24977355934"/>
    <n v="0"/>
    <n v="0"/>
  </r>
  <r>
    <s v="Sistema de Compensação"/>
    <x v="1"/>
    <x v="3"/>
    <x v="0"/>
    <x v="0"/>
    <x v="0"/>
    <x v="0"/>
    <x v="1"/>
    <x v="10"/>
    <n v="-38"/>
    <n v="-38"/>
    <n v="0"/>
    <n v="0"/>
    <n v="0"/>
    <n v="0"/>
    <n v="-1"/>
    <x v="1"/>
    <n v="0"/>
    <n v="40"/>
    <n v="0"/>
    <n v="0"/>
    <n v="26.22"/>
    <n v="0"/>
    <n v="0"/>
    <n v="28.891757284072764"/>
    <m/>
    <m/>
    <n v="-996.3599999999999"/>
    <n v="0"/>
    <n v="0"/>
    <n v="-1097.886776794765"/>
    <n v="0"/>
    <n v="0"/>
  </r>
  <r>
    <s v="PROJETADO"/>
    <x v="1"/>
    <x v="3"/>
    <x v="0"/>
    <x v="0"/>
    <x v="0"/>
    <x v="0"/>
    <x v="1"/>
    <x v="11"/>
    <n v="53630"/>
    <n v="53630"/>
    <n v="0"/>
    <n v="0"/>
    <n v="0"/>
    <n v="0"/>
    <n v="524"/>
    <x v="1"/>
    <n v="0"/>
    <n v="40"/>
    <n v="0"/>
    <n v="0"/>
    <n v="26.22"/>
    <n v="0"/>
    <n v="0"/>
    <n v="28.891757284072764"/>
    <m/>
    <m/>
    <n v="1406178.5999999999"/>
    <n v="0"/>
    <n v="0"/>
    <n v="1549464.9431448223"/>
    <n v="0"/>
    <n v="0"/>
  </r>
  <r>
    <s v="PROJETADO"/>
    <x v="1"/>
    <x v="3"/>
    <x v="0"/>
    <x v="0"/>
    <x v="0"/>
    <x v="0"/>
    <x v="1"/>
    <x v="11"/>
    <n v="18022"/>
    <n v="18022"/>
    <n v="0"/>
    <n v="0"/>
    <n v="0"/>
    <n v="0"/>
    <n v="75"/>
    <x v="1"/>
    <n v="0"/>
    <n v="40"/>
    <n v="0"/>
    <n v="0"/>
    <n v="26.22"/>
    <n v="0"/>
    <n v="0"/>
    <n v="28.891757284072764"/>
    <m/>
    <m/>
    <n v="472536.83999999997"/>
    <n v="0"/>
    <n v="0"/>
    <n v="520687.24977355934"/>
    <n v="0"/>
    <n v="0"/>
  </r>
  <r>
    <s v="PROJETADO"/>
    <x v="1"/>
    <x v="3"/>
    <x v="0"/>
    <x v="0"/>
    <x v="0"/>
    <x v="0"/>
    <x v="1"/>
    <x v="11"/>
    <n v="-38"/>
    <n v="-38"/>
    <n v="0"/>
    <n v="0"/>
    <n v="0"/>
    <n v="0"/>
    <n v="-1"/>
    <x v="1"/>
    <n v="0"/>
    <n v="40"/>
    <n v="0"/>
    <n v="0"/>
    <n v="26.22"/>
    <n v="0"/>
    <n v="0"/>
    <n v="28.891757284072764"/>
    <m/>
    <m/>
    <n v="-996.3599999999999"/>
    <n v="0"/>
    <n v="0"/>
    <n v="-1097.886776794765"/>
    <n v="0"/>
    <n v="0"/>
  </r>
  <r>
    <s v="Regular"/>
    <x v="1"/>
    <x v="3"/>
    <x v="0"/>
    <x v="0"/>
    <x v="0"/>
    <x v="0"/>
    <x v="2"/>
    <x v="0"/>
    <n v="0"/>
    <n v="0"/>
    <n v="650.86800000000005"/>
    <n v="650.86800000000005"/>
    <n v="650.86800000000005"/>
    <n v="650.86800000000005"/>
    <n v="0"/>
    <x v="1"/>
    <n v="0"/>
    <n v="0"/>
    <n v="42"/>
    <n v="66"/>
    <n v="0"/>
    <n v="1330.19"/>
    <n v="397.62"/>
    <m/>
    <n v="1471.0742690262982"/>
    <n v="351.67159959099928"/>
    <n v="0"/>
    <n v="865778.10492000007"/>
    <n v="258798.13416000002"/>
    <n v="0"/>
    <n v="957475.16733260872"/>
    <n v="228891.79068259452"/>
  </r>
  <r>
    <s v="Sistema de Compensação"/>
    <x v="1"/>
    <x v="3"/>
    <x v="0"/>
    <x v="0"/>
    <x v="0"/>
    <x v="0"/>
    <x v="2"/>
    <x v="0"/>
    <n v="0"/>
    <n v="0"/>
    <n v="48.954999999999998"/>
    <n v="48.954999999999998"/>
    <n v="48.954999999999998"/>
    <n v="48.954999999999998"/>
    <n v="0"/>
    <x v="1"/>
    <n v="0"/>
    <n v="0"/>
    <n v="42"/>
    <n v="66"/>
    <n v="0"/>
    <n v="1330.19"/>
    <n v="397.62"/>
    <m/>
    <n v="1471.0742690262982"/>
    <n v="351.67159959099928"/>
    <n v="0"/>
    <n v="65119.45145"/>
    <n v="19465.487099999998"/>
    <n v="0"/>
    <n v="72016.440840182433"/>
    <n v="17216.083157977369"/>
  </r>
  <r>
    <s v="Sistema de Compensação"/>
    <x v="1"/>
    <x v="3"/>
    <x v="0"/>
    <x v="0"/>
    <x v="0"/>
    <x v="0"/>
    <x v="2"/>
    <x v="0"/>
    <n v="0"/>
    <n v="0"/>
    <n v="4.7560000000000002"/>
    <n v="4.7560000000000002"/>
    <n v="4.7560000000000002"/>
    <n v="4.7560000000000002"/>
    <n v="0"/>
    <x v="1"/>
    <n v="0"/>
    <n v="0"/>
    <n v="42"/>
    <n v="66"/>
    <n v="0"/>
    <n v="1330.19"/>
    <n v="397.62"/>
    <m/>
    <n v="1471.0742690262982"/>
    <n v="351.67159959099928"/>
    <n v="0"/>
    <n v="6326.3836400000009"/>
    <n v="1891.0807200000002"/>
    <n v="0"/>
    <n v="6996.4292234890745"/>
    <n v="1672.5501276547927"/>
  </r>
  <r>
    <s v="Regular"/>
    <x v="1"/>
    <x v="3"/>
    <x v="0"/>
    <x v="0"/>
    <x v="0"/>
    <x v="0"/>
    <x v="2"/>
    <x v="0"/>
    <n v="0"/>
    <n v="0"/>
    <n v="1.02"/>
    <n v="1.02"/>
    <n v="0"/>
    <n v="0"/>
    <n v="0"/>
    <x v="0"/>
    <n v="0"/>
    <n v="0"/>
    <n v="42"/>
    <n v="0"/>
    <n v="0"/>
    <n v="1330.19"/>
    <n v="0"/>
    <m/>
    <n v="1471.0742690262982"/>
    <m/>
    <n v="0"/>
    <n v="1356.7938000000001"/>
    <n v="0"/>
    <n v="0"/>
    <n v="1500.4957544068243"/>
    <n v="0"/>
  </r>
  <r>
    <s v="Regular"/>
    <x v="1"/>
    <x v="3"/>
    <x v="0"/>
    <x v="0"/>
    <x v="0"/>
    <x v="0"/>
    <x v="2"/>
    <x v="1"/>
    <n v="0"/>
    <n v="0"/>
    <n v="655.86599999999999"/>
    <n v="655.86599999999999"/>
    <n v="655.86599999999999"/>
    <n v="655.86599999999999"/>
    <n v="0"/>
    <x v="1"/>
    <n v="0"/>
    <n v="0"/>
    <n v="42"/>
    <n v="66"/>
    <n v="0"/>
    <n v="1330.19"/>
    <n v="397.62"/>
    <m/>
    <n v="1471.0742690262982"/>
    <n v="351.67159959099928"/>
    <n v="0"/>
    <n v="872426.39454000001"/>
    <n v="260785.43891999999"/>
    <n v="0"/>
    <n v="964827.59652920207"/>
    <n v="230649.44533735033"/>
  </r>
  <r>
    <s v="Sistema de Compensação"/>
    <x v="1"/>
    <x v="3"/>
    <x v="0"/>
    <x v="0"/>
    <x v="0"/>
    <x v="0"/>
    <x v="2"/>
    <x v="1"/>
    <n v="0"/>
    <n v="0"/>
    <n v="62.988999999999997"/>
    <n v="62.988999999999997"/>
    <n v="62.988999999999997"/>
    <n v="62.988999999999997"/>
    <n v="0"/>
    <x v="1"/>
    <n v="0"/>
    <n v="0"/>
    <n v="42"/>
    <n v="66"/>
    <n v="0"/>
    <n v="1330.19"/>
    <n v="397.62"/>
    <m/>
    <n v="1471.0742690262982"/>
    <n v="351.67159959099928"/>
    <n v="0"/>
    <n v="83787.337910000002"/>
    <n v="25045.686180000001"/>
    <n v="0"/>
    <n v="92661.497131697499"/>
    <n v="22151.442386637453"/>
  </r>
  <r>
    <s v="Regular"/>
    <x v="1"/>
    <x v="3"/>
    <x v="0"/>
    <x v="0"/>
    <x v="0"/>
    <x v="0"/>
    <x v="2"/>
    <x v="1"/>
    <n v="0"/>
    <n v="0"/>
    <n v="2.637"/>
    <n v="2.637"/>
    <n v="0"/>
    <n v="0"/>
    <n v="0"/>
    <x v="0"/>
    <n v="0"/>
    <n v="0"/>
    <n v="42"/>
    <n v="0"/>
    <n v="0"/>
    <n v="1330.19"/>
    <n v="0"/>
    <m/>
    <n v="1471.0742690262982"/>
    <m/>
    <n v="0"/>
    <n v="3507.7110299999999"/>
    <n v="0"/>
    <n v="0"/>
    <n v="3879.2228474223484"/>
    <n v="0"/>
  </r>
  <r>
    <s v="Regular"/>
    <x v="1"/>
    <x v="3"/>
    <x v="0"/>
    <x v="0"/>
    <x v="0"/>
    <x v="0"/>
    <x v="2"/>
    <x v="2"/>
    <n v="0"/>
    <n v="0"/>
    <n v="744.03800000000001"/>
    <n v="744.03800000000001"/>
    <n v="744.03800000000001"/>
    <n v="744.03800000000001"/>
    <n v="0"/>
    <x v="1"/>
    <n v="0"/>
    <n v="0"/>
    <n v="42"/>
    <n v="66"/>
    <n v="0"/>
    <n v="1330.19"/>
    <n v="397.62"/>
    <m/>
    <n v="1471.0742690262982"/>
    <n v="351.67159959099928"/>
    <n v="0"/>
    <n v="989711.90722000005"/>
    <n v="295844.38955999998"/>
    <n v="0"/>
    <n v="1094535.156977789"/>
    <n v="261657.03361648793"/>
  </r>
  <r>
    <s v="Refaturamento - Regular"/>
    <x v="1"/>
    <x v="3"/>
    <x v="0"/>
    <x v="0"/>
    <x v="0"/>
    <x v="0"/>
    <x v="2"/>
    <x v="2"/>
    <n v="0"/>
    <n v="0"/>
    <n v="-0.73899999999999999"/>
    <n v="-0.73899999999999999"/>
    <n v="-0.73899999999999999"/>
    <n v="-0.73899999999999999"/>
    <n v="0"/>
    <x v="1"/>
    <n v="0"/>
    <n v="0"/>
    <n v="42"/>
    <n v="66"/>
    <n v="0"/>
    <n v="1330.19"/>
    <n v="397.62"/>
    <m/>
    <n v="1471.0742690262982"/>
    <n v="351.67159959099928"/>
    <n v="0"/>
    <n v="-983.01040999999998"/>
    <n v="-293.84118000000001"/>
    <n v="0"/>
    <n v="-1087.1238848104344"/>
    <n v="-259.88531209774845"/>
  </r>
  <r>
    <s v="Sistema de Compensação"/>
    <x v="1"/>
    <x v="3"/>
    <x v="0"/>
    <x v="0"/>
    <x v="0"/>
    <x v="0"/>
    <x v="2"/>
    <x v="2"/>
    <n v="0"/>
    <n v="0"/>
    <n v="73.391999999999996"/>
    <n v="73.391999999999996"/>
    <n v="73.391999999999996"/>
    <n v="73.391999999999996"/>
    <n v="0"/>
    <x v="1"/>
    <n v="0"/>
    <n v="0"/>
    <n v="42"/>
    <n v="66"/>
    <n v="0"/>
    <n v="1330.19"/>
    <n v="397.62"/>
    <m/>
    <n v="1471.0742690262982"/>
    <n v="351.67159959099928"/>
    <n v="0"/>
    <n v="97625.304479999992"/>
    <n v="29182.127039999999"/>
    <n v="0"/>
    <n v="107965.08275237808"/>
    <n v="25809.882037182619"/>
  </r>
  <r>
    <s v="Regular"/>
    <x v="1"/>
    <x v="3"/>
    <x v="0"/>
    <x v="0"/>
    <x v="0"/>
    <x v="0"/>
    <x v="2"/>
    <x v="2"/>
    <n v="0"/>
    <n v="0"/>
    <n v="1.835"/>
    <n v="1.835"/>
    <n v="0"/>
    <n v="0"/>
    <n v="0"/>
    <x v="0"/>
    <n v="0"/>
    <n v="0"/>
    <n v="42"/>
    <n v="0"/>
    <n v="0"/>
    <n v="1330.19"/>
    <n v="0"/>
    <m/>
    <n v="1471.0742690262982"/>
    <m/>
    <n v="0"/>
    <n v="2440.8986500000001"/>
    <n v="0"/>
    <n v="0"/>
    <n v="2699.4212836632573"/>
    <n v="0"/>
  </r>
  <r>
    <s v="Regular"/>
    <x v="1"/>
    <x v="3"/>
    <x v="0"/>
    <x v="0"/>
    <x v="0"/>
    <x v="0"/>
    <x v="2"/>
    <x v="3"/>
    <n v="0"/>
    <n v="0"/>
    <n v="723.38599999999997"/>
    <n v="723.38599999999997"/>
    <n v="723.38599999999997"/>
    <n v="723.38599999999997"/>
    <n v="0"/>
    <x v="1"/>
    <n v="0"/>
    <n v="0"/>
    <n v="42"/>
    <n v="66"/>
    <n v="0"/>
    <n v="1330.19"/>
    <n v="397.62"/>
    <m/>
    <n v="1471.0742690262982"/>
    <n v="351.67159959099928"/>
    <n v="0"/>
    <n v="962240.82334"/>
    <n v="287632.74131999997"/>
    <n v="0"/>
    <n v="1064154.5311738576"/>
    <n v="254394.31174173459"/>
  </r>
  <r>
    <s v="Refaturamento - Regular"/>
    <x v="1"/>
    <x v="3"/>
    <x v="0"/>
    <x v="0"/>
    <x v="0"/>
    <x v="0"/>
    <x v="2"/>
    <x v="3"/>
    <n v="0"/>
    <n v="0"/>
    <n v="-25.914000000000001"/>
    <n v="-25.914000000000001"/>
    <n v="-25.914000000000001"/>
    <n v="-25.914000000000001"/>
    <n v="0"/>
    <x v="1"/>
    <n v="0"/>
    <n v="0"/>
    <n v="42"/>
    <n v="66"/>
    <n v="0"/>
    <n v="1330.19"/>
    <n v="397.62"/>
    <m/>
    <n v="1471.0742690262982"/>
    <n v="351.67159959099928"/>
    <n v="0"/>
    <n v="-34470.543660000003"/>
    <n v="-10303.92468"/>
    <n v="0"/>
    <n v="-38121.418607547494"/>
    <n v="-9113.2178318011556"/>
  </r>
  <r>
    <s v="Sistema de Compensação"/>
    <x v="1"/>
    <x v="3"/>
    <x v="0"/>
    <x v="0"/>
    <x v="0"/>
    <x v="0"/>
    <x v="2"/>
    <x v="3"/>
    <n v="0"/>
    <n v="0"/>
    <n v="70.212000000000003"/>
    <n v="70.212000000000003"/>
    <n v="70.212000000000003"/>
    <n v="70.212000000000003"/>
    <n v="0"/>
    <x v="1"/>
    <n v="0"/>
    <n v="0"/>
    <n v="42"/>
    <n v="66"/>
    <n v="0"/>
    <n v="1330.19"/>
    <n v="397.62"/>
    <m/>
    <n v="1471.0742690262982"/>
    <n v="351.67159959099928"/>
    <n v="0"/>
    <n v="93395.30028000001"/>
    <n v="27917.695440000003"/>
    <n v="0"/>
    <n v="103287.06657687445"/>
    <n v="24691.566350483241"/>
  </r>
  <r>
    <s v="Regular"/>
    <x v="1"/>
    <x v="3"/>
    <x v="0"/>
    <x v="0"/>
    <x v="0"/>
    <x v="0"/>
    <x v="2"/>
    <x v="3"/>
    <n v="0"/>
    <n v="0"/>
    <n v="0.96499999999999997"/>
    <n v="0.96499999999999997"/>
    <n v="0"/>
    <n v="0"/>
    <n v="0"/>
    <x v="0"/>
    <n v="0"/>
    <n v="0"/>
    <n v="42"/>
    <n v="0"/>
    <n v="0"/>
    <n v="1330.19"/>
    <n v="0"/>
    <m/>
    <n v="1471.0742690262982"/>
    <m/>
    <n v="0"/>
    <n v="1283.6333500000001"/>
    <n v="0"/>
    <n v="0"/>
    <n v="1419.5866696103778"/>
    <n v="0"/>
  </r>
  <r>
    <s v="Regular"/>
    <x v="1"/>
    <x v="3"/>
    <x v="0"/>
    <x v="0"/>
    <x v="0"/>
    <x v="0"/>
    <x v="2"/>
    <x v="4"/>
    <n v="0"/>
    <n v="0"/>
    <n v="845.05799999999999"/>
    <n v="845.05799999999999"/>
    <n v="845.05799999999999"/>
    <n v="845.05799999999999"/>
    <n v="0"/>
    <x v="1"/>
    <n v="0"/>
    <n v="0"/>
    <n v="42"/>
    <n v="66"/>
    <n v="0"/>
    <n v="1330.19"/>
    <n v="397.62"/>
    <m/>
    <n v="1471.0742690262982"/>
    <n v="351.67159959099928"/>
    <n v="0"/>
    <n v="1124087.70102"/>
    <n v="336011.96195999999"/>
    <n v="0"/>
    <n v="1243143.0796348255"/>
    <n v="297182.89860717067"/>
  </r>
  <r>
    <s v="Refaturamento - Regular"/>
    <x v="1"/>
    <x v="3"/>
    <x v="0"/>
    <x v="0"/>
    <x v="0"/>
    <x v="0"/>
    <x v="2"/>
    <x v="4"/>
    <n v="0"/>
    <n v="0"/>
    <n v="-8.718"/>
    <n v="-8.718"/>
    <n v="-8.718"/>
    <n v="-8.718"/>
    <n v="0"/>
    <x v="1"/>
    <n v="0"/>
    <n v="0"/>
    <n v="42"/>
    <n v="66"/>
    <n v="0"/>
    <n v="1330.19"/>
    <n v="397.62"/>
    <m/>
    <n v="1471.0742690262982"/>
    <n v="351.67159959099928"/>
    <n v="0"/>
    <n v="-11596.59642"/>
    <n v="-3466.4511600000001"/>
    <n v="0"/>
    <n v="-12824.825477371269"/>
    <n v="-3065.8730052343317"/>
  </r>
  <r>
    <s v="Sistema de Compensação"/>
    <x v="1"/>
    <x v="3"/>
    <x v="0"/>
    <x v="0"/>
    <x v="0"/>
    <x v="0"/>
    <x v="2"/>
    <x v="4"/>
    <n v="0"/>
    <n v="0"/>
    <n v="89.019000000000005"/>
    <n v="89.019000000000005"/>
    <n v="89.019000000000005"/>
    <n v="89.019000000000005"/>
    <n v="0"/>
    <x v="1"/>
    <n v="0"/>
    <n v="0"/>
    <n v="42"/>
    <n v="66"/>
    <n v="0"/>
    <n v="1330.19"/>
    <n v="397.62"/>
    <m/>
    <n v="1471.0742690262982"/>
    <n v="351.67159959099928"/>
    <n v="0"/>
    <n v="118412.18361000001"/>
    <n v="35395.734780000006"/>
    <n v="0"/>
    <n v="130953.56035445206"/>
    <n v="31305.454123991167"/>
  </r>
  <r>
    <s v="Regular"/>
    <x v="1"/>
    <x v="3"/>
    <x v="0"/>
    <x v="0"/>
    <x v="0"/>
    <x v="0"/>
    <x v="2"/>
    <x v="4"/>
    <n v="0"/>
    <n v="0"/>
    <n v="1.284"/>
    <n v="1.284"/>
    <n v="0"/>
    <n v="0"/>
    <n v="0"/>
    <x v="0"/>
    <n v="0"/>
    <n v="0"/>
    <n v="42"/>
    <n v="0"/>
    <n v="0"/>
    <n v="1330.19"/>
    <n v="0"/>
    <m/>
    <n v="1471.0742690262982"/>
    <m/>
    <n v="0"/>
    <n v="1707.96396"/>
    <n v="0"/>
    <n v="0"/>
    <n v="1888.859361429767"/>
    <n v="0"/>
  </r>
  <r>
    <s v="Regular"/>
    <x v="1"/>
    <x v="3"/>
    <x v="0"/>
    <x v="0"/>
    <x v="0"/>
    <x v="0"/>
    <x v="2"/>
    <x v="5"/>
    <n v="0"/>
    <n v="0"/>
    <n v="853.14400000000001"/>
    <n v="853.14400000000001"/>
    <n v="853.14400000000001"/>
    <n v="853.14400000000001"/>
    <n v="0"/>
    <x v="1"/>
    <n v="0"/>
    <n v="0"/>
    <n v="42"/>
    <n v="66"/>
    <n v="0"/>
    <n v="1330.19"/>
    <n v="397.62"/>
    <m/>
    <n v="1471.0742690262982"/>
    <n v="351.67159959099928"/>
    <n v="0"/>
    <n v="1134843.61736"/>
    <n v="339227.11728000001"/>
    <n v="0"/>
    <n v="1255038.1861741722"/>
    <n v="300026.51516146347"/>
  </r>
  <r>
    <s v="Sistema de Compensação"/>
    <x v="1"/>
    <x v="3"/>
    <x v="0"/>
    <x v="0"/>
    <x v="0"/>
    <x v="0"/>
    <x v="2"/>
    <x v="5"/>
    <n v="0"/>
    <n v="0"/>
    <n v="71.245999999999995"/>
    <n v="71.245999999999995"/>
    <n v="71.245999999999995"/>
    <n v="71.245999999999995"/>
    <n v="0"/>
    <x v="1"/>
    <n v="0"/>
    <n v="0"/>
    <n v="42"/>
    <n v="66"/>
    <n v="0"/>
    <n v="1330.19"/>
    <n v="397.62"/>
    <m/>
    <n v="1471.0742690262982"/>
    <n v="351.67159959099928"/>
    <n v="0"/>
    <n v="94770.716740000003"/>
    <n v="28328.834519999997"/>
    <n v="0"/>
    <n v="104808.15737104764"/>
    <n v="25055.194784460335"/>
  </r>
  <r>
    <s v="Regular"/>
    <x v="1"/>
    <x v="3"/>
    <x v="0"/>
    <x v="0"/>
    <x v="0"/>
    <x v="0"/>
    <x v="2"/>
    <x v="6"/>
    <n v="0"/>
    <n v="0"/>
    <n v="786.74699999999996"/>
    <n v="786.74699999999996"/>
    <n v="786.74699999999996"/>
    <n v="786.74699999999996"/>
    <n v="0"/>
    <x v="1"/>
    <n v="0"/>
    <n v="0"/>
    <n v="42"/>
    <n v="66"/>
    <n v="0"/>
    <n v="1330.19"/>
    <n v="397.62"/>
    <m/>
    <n v="1471.0742690262982"/>
    <n v="351.67159959099928"/>
    <n v="0"/>
    <n v="1046522.99193"/>
    <n v="312826.34213999996"/>
    <n v="0"/>
    <n v="1157363.2679336329"/>
    <n v="276676.57596341992"/>
  </r>
  <r>
    <s v="Refaturamento - Regular"/>
    <x v="1"/>
    <x v="3"/>
    <x v="0"/>
    <x v="0"/>
    <x v="0"/>
    <x v="0"/>
    <x v="2"/>
    <x v="6"/>
    <n v="0"/>
    <n v="0"/>
    <n v="-5.1340000000000003"/>
    <n v="-5.1340000000000003"/>
    <n v="-5.1340000000000003"/>
    <n v="-5.1340000000000003"/>
    <n v="0"/>
    <x v="1"/>
    <n v="0"/>
    <n v="0"/>
    <n v="42"/>
    <n v="66"/>
    <n v="0"/>
    <n v="1330.19"/>
    <n v="397.62"/>
    <m/>
    <n v="1471.0742690262982"/>
    <n v="351.67159959099928"/>
    <n v="0"/>
    <n v="-6829.1954600000008"/>
    <n v="-2041.3810800000001"/>
    <n v="0"/>
    <n v="-7552.4952971810153"/>
    <n v="-1805.4819923001903"/>
  </r>
  <r>
    <s v="Sistema de Compensação"/>
    <x v="1"/>
    <x v="3"/>
    <x v="0"/>
    <x v="0"/>
    <x v="0"/>
    <x v="0"/>
    <x v="2"/>
    <x v="6"/>
    <n v="0"/>
    <n v="0"/>
    <n v="69.754000000000005"/>
    <n v="69.754000000000005"/>
    <n v="69.754000000000005"/>
    <n v="69.754000000000005"/>
    <n v="0"/>
    <x v="1"/>
    <n v="0"/>
    <n v="0"/>
    <n v="42"/>
    <n v="66"/>
    <n v="0"/>
    <n v="1330.19"/>
    <n v="397.62"/>
    <m/>
    <n v="1471.0742690262982"/>
    <n v="351.67159959099928"/>
    <n v="0"/>
    <n v="92786.073260000005"/>
    <n v="27735.585480000002"/>
    <n v="0"/>
    <n v="102613.31456166042"/>
    <n v="24530.500757870566"/>
  </r>
  <r>
    <s v="Sistema de Compensação"/>
    <x v="1"/>
    <x v="3"/>
    <x v="0"/>
    <x v="0"/>
    <x v="0"/>
    <x v="0"/>
    <x v="2"/>
    <x v="6"/>
    <n v="0"/>
    <n v="0"/>
    <n v="-21.218"/>
    <n v="-21.218"/>
    <n v="-21.218"/>
    <n v="-21.218"/>
    <n v="0"/>
    <x v="1"/>
    <n v="0"/>
    <n v="0"/>
    <n v="42"/>
    <n v="66"/>
    <n v="0"/>
    <n v="1330.19"/>
    <n v="397.62"/>
    <m/>
    <n v="1471.0742690262982"/>
    <n v="351.67159959099928"/>
    <n v="0"/>
    <n v="-28223.971420000002"/>
    <n v="-8436.7011600000005"/>
    <n v="0"/>
    <n v="-31213.253840199995"/>
    <n v="-7461.7680001218223"/>
  </r>
  <r>
    <s v="Regular"/>
    <x v="1"/>
    <x v="3"/>
    <x v="0"/>
    <x v="0"/>
    <x v="0"/>
    <x v="0"/>
    <x v="2"/>
    <x v="7"/>
    <n v="0"/>
    <n v="0"/>
    <n v="845.57299999999998"/>
    <n v="845.57299999999998"/>
    <n v="845.57299999999998"/>
    <n v="845.57299999999998"/>
    <n v="0"/>
    <x v="1"/>
    <n v="0"/>
    <n v="0"/>
    <n v="42"/>
    <n v="66"/>
    <n v="0"/>
    <n v="1330.19"/>
    <n v="397.62"/>
    <m/>
    <n v="1471.0742690262982"/>
    <n v="351.67159959099928"/>
    <n v="0"/>
    <n v="1124772.74887"/>
    <n v="336216.73625999998"/>
    <n v="0"/>
    <n v="1243900.6828833739"/>
    <n v="297364.00948096003"/>
  </r>
  <r>
    <s v="Sistema de Compensação"/>
    <x v="1"/>
    <x v="3"/>
    <x v="0"/>
    <x v="0"/>
    <x v="0"/>
    <x v="0"/>
    <x v="2"/>
    <x v="7"/>
    <n v="0"/>
    <n v="0"/>
    <n v="118.858"/>
    <n v="118.858"/>
    <n v="118.858"/>
    <n v="118.858"/>
    <n v="0"/>
    <x v="1"/>
    <n v="0"/>
    <n v="0"/>
    <n v="42"/>
    <n v="66"/>
    <n v="0"/>
    <n v="1330.19"/>
    <n v="397.62"/>
    <m/>
    <n v="1471.0742690262982"/>
    <n v="351.67159959099928"/>
    <n v="0"/>
    <n v="158103.72302"/>
    <n v="47260.31796"/>
    <n v="0"/>
    <n v="174848.94546792776"/>
    <n v="41798.982984186994"/>
  </r>
  <r>
    <s v="Regular"/>
    <x v="1"/>
    <x v="3"/>
    <x v="0"/>
    <x v="0"/>
    <x v="0"/>
    <x v="0"/>
    <x v="2"/>
    <x v="8"/>
    <n v="0"/>
    <n v="0"/>
    <n v="808.17399999999998"/>
    <n v="808.17399999999998"/>
    <n v="808.17399999999998"/>
    <n v="808.17399999999998"/>
    <n v="0"/>
    <x v="1"/>
    <n v="0"/>
    <n v="0"/>
    <n v="42"/>
    <n v="66"/>
    <n v="0"/>
    <n v="1330.19"/>
    <n v="397.62"/>
    <m/>
    <n v="1471.0742690262982"/>
    <n v="351.67159959099928"/>
    <n v="0"/>
    <n v="1075024.97306"/>
    <n v="321346.14587999997"/>
    <n v="0"/>
    <n v="1188883.9762960596"/>
    <n v="284211.84332785622"/>
  </r>
  <r>
    <s v="Refaturamento - Regular"/>
    <x v="1"/>
    <x v="3"/>
    <x v="0"/>
    <x v="0"/>
    <x v="0"/>
    <x v="0"/>
    <x v="2"/>
    <x v="8"/>
    <n v="0"/>
    <n v="0"/>
    <n v="5.7229999999999999"/>
    <n v="5.7229999999999999"/>
    <n v="5.7229999999999999"/>
    <n v="5.7229999999999999"/>
    <n v="0"/>
    <x v="1"/>
    <n v="0"/>
    <n v="0"/>
    <n v="42"/>
    <n v="66"/>
    <n v="0"/>
    <n v="1330.19"/>
    <n v="397.62"/>
    <m/>
    <n v="1471.0742690262982"/>
    <n v="351.67159959099928"/>
    <n v="0"/>
    <n v="7612.6773700000003"/>
    <n v="2275.57926"/>
    <n v="0"/>
    <n v="8418.9580416375047"/>
    <n v="2012.6165644592888"/>
  </r>
  <r>
    <s v="Sistema de Compensação"/>
    <x v="1"/>
    <x v="3"/>
    <x v="0"/>
    <x v="0"/>
    <x v="0"/>
    <x v="0"/>
    <x v="2"/>
    <x v="8"/>
    <n v="0"/>
    <n v="0"/>
    <n v="94.355999999999995"/>
    <n v="94.355999999999995"/>
    <n v="94.355999999999995"/>
    <n v="94.355999999999995"/>
    <n v="0"/>
    <x v="1"/>
    <n v="0"/>
    <n v="0"/>
    <n v="42"/>
    <n v="66"/>
    <n v="0"/>
    <n v="1330.19"/>
    <n v="397.62"/>
    <m/>
    <n v="1471.0742690262982"/>
    <n v="351.67159959099928"/>
    <n v="0"/>
    <n v="125511.40764"/>
    <n v="37517.832719999999"/>
    <n v="0"/>
    <n v="138804.68372824538"/>
    <n v="33182.325451008328"/>
  </r>
  <r>
    <s v="Sistema de Compensação"/>
    <x v="1"/>
    <x v="3"/>
    <x v="0"/>
    <x v="0"/>
    <x v="0"/>
    <x v="0"/>
    <x v="2"/>
    <x v="8"/>
    <n v="0"/>
    <n v="0"/>
    <n v="-2E-3"/>
    <n v="-2E-3"/>
    <n v="-2E-3"/>
    <n v="-2E-3"/>
    <n v="0"/>
    <x v="1"/>
    <n v="0"/>
    <n v="0"/>
    <n v="42"/>
    <n v="66"/>
    <n v="0"/>
    <n v="1330.19"/>
    <n v="397.62"/>
    <m/>
    <n v="1471.0742690262982"/>
    <n v="351.67159959099928"/>
    <n v="0"/>
    <n v="-2.66038"/>
    <n v="-0.79524000000000006"/>
    <n v="0"/>
    <n v="-2.9421485380525967"/>
    <n v="-0.70334319918199861"/>
  </r>
  <r>
    <s v="Regular"/>
    <x v="1"/>
    <x v="3"/>
    <x v="0"/>
    <x v="0"/>
    <x v="0"/>
    <x v="0"/>
    <x v="2"/>
    <x v="9"/>
    <n v="0"/>
    <n v="0"/>
    <n v="842.45500000000004"/>
    <n v="842.45500000000004"/>
    <n v="842.45500000000004"/>
    <n v="842.45500000000004"/>
    <n v="0"/>
    <x v="1"/>
    <n v="0"/>
    <n v="0"/>
    <n v="42"/>
    <n v="66"/>
    <n v="0"/>
    <n v="1330.19"/>
    <n v="397.62"/>
    <m/>
    <n v="1471.0742690262982"/>
    <n v="351.67159959099928"/>
    <n v="0"/>
    <n v="1120625.2164500002"/>
    <n v="334976.9571"/>
    <n v="0"/>
    <n v="1239313.8733125501"/>
    <n v="296267.49743343529"/>
  </r>
  <r>
    <s v="Refaturamento - Regular"/>
    <x v="1"/>
    <x v="3"/>
    <x v="0"/>
    <x v="0"/>
    <x v="0"/>
    <x v="0"/>
    <x v="2"/>
    <x v="9"/>
    <n v="0"/>
    <n v="0"/>
    <n v="-0.13200000000000001"/>
    <n v="-0.13200000000000001"/>
    <n v="-0.13200000000000001"/>
    <n v="-0.13200000000000001"/>
    <n v="0"/>
    <x v="1"/>
    <n v="0"/>
    <n v="0"/>
    <n v="42"/>
    <n v="66"/>
    <n v="0"/>
    <n v="1330.19"/>
    <n v="397.62"/>
    <m/>
    <n v="1471.0742690262982"/>
    <n v="351.67159959099928"/>
    <n v="0"/>
    <n v="-175.58508"/>
    <n v="-52.485840000000003"/>
    <n v="0"/>
    <n v="-194.18180351147137"/>
    <n v="-46.420651146011906"/>
  </r>
  <r>
    <s v="Sistema de Compensação"/>
    <x v="1"/>
    <x v="3"/>
    <x v="0"/>
    <x v="0"/>
    <x v="0"/>
    <x v="0"/>
    <x v="2"/>
    <x v="9"/>
    <n v="0"/>
    <n v="0"/>
    <n v="112.30200000000001"/>
    <n v="112.30200000000001"/>
    <n v="112.30200000000001"/>
    <n v="112.30200000000001"/>
    <n v="0"/>
    <x v="1"/>
    <n v="0"/>
    <n v="0"/>
    <n v="42"/>
    <n v="66"/>
    <n v="0"/>
    <n v="1330.19"/>
    <n v="397.62"/>
    <m/>
    <n v="1471.0742690262982"/>
    <n v="351.67159959099928"/>
    <n v="0"/>
    <n v="149382.99738000002"/>
    <n v="44653.521240000002"/>
    <n v="0"/>
    <n v="165204.58256019137"/>
    <n v="39493.423977268401"/>
  </r>
  <r>
    <s v="Regular"/>
    <x v="1"/>
    <x v="3"/>
    <x v="0"/>
    <x v="0"/>
    <x v="0"/>
    <x v="0"/>
    <x v="2"/>
    <x v="10"/>
    <n v="0"/>
    <n v="0"/>
    <n v="838.82299999999998"/>
    <n v="838.82299999999998"/>
    <n v="838.82299999999998"/>
    <n v="838.82299999999998"/>
    <n v="0"/>
    <x v="1"/>
    <n v="0"/>
    <n v="0"/>
    <n v="42"/>
    <n v="66"/>
    <n v="0"/>
    <n v="1330.19"/>
    <n v="397.62"/>
    <m/>
    <n v="1471.0742690262982"/>
    <n v="351.67159959099928"/>
    <n v="0"/>
    <n v="1115793.96637"/>
    <n v="333532.80125999998"/>
    <n v="0"/>
    <n v="1233970.9315674466"/>
    <n v="294990.22618372081"/>
  </r>
  <r>
    <s v="Refaturamento - Regular"/>
    <x v="1"/>
    <x v="3"/>
    <x v="0"/>
    <x v="0"/>
    <x v="0"/>
    <x v="0"/>
    <x v="2"/>
    <x v="10"/>
    <n v="0"/>
    <n v="0"/>
    <n v="0.38600000000000001"/>
    <n v="0.38600000000000001"/>
    <n v="0.38600000000000001"/>
    <n v="0.38600000000000001"/>
    <n v="0"/>
    <x v="1"/>
    <n v="0"/>
    <n v="0"/>
    <n v="42"/>
    <n v="66"/>
    <n v="0"/>
    <n v="1330.19"/>
    <n v="397.62"/>
    <m/>
    <n v="1471.0742690262982"/>
    <n v="351.67159959099928"/>
    <n v="0"/>
    <n v="513.45334000000003"/>
    <n v="153.48132000000001"/>
    <n v="0"/>
    <n v="567.83466784415111"/>
    <n v="135.74523744212573"/>
  </r>
  <r>
    <s v="Sistema de Compensação"/>
    <x v="1"/>
    <x v="3"/>
    <x v="0"/>
    <x v="0"/>
    <x v="0"/>
    <x v="0"/>
    <x v="2"/>
    <x v="10"/>
    <n v="0"/>
    <n v="0"/>
    <n v="98.320999999999998"/>
    <n v="98.320999999999998"/>
    <n v="98.320999999999998"/>
    <n v="98.320999999999998"/>
    <n v="0"/>
    <x v="1"/>
    <n v="0"/>
    <n v="0"/>
    <n v="42"/>
    <n v="66"/>
    <n v="0"/>
    <n v="1330.19"/>
    <n v="397.62"/>
    <m/>
    <n v="1471.0742690262982"/>
    <n v="351.67159959099928"/>
    <n v="0"/>
    <n v="130785.61099"/>
    <n v="39094.39602"/>
    <n v="0"/>
    <n v="144637.49320493467"/>
    <n v="34576.703343386638"/>
  </r>
  <r>
    <s v="Sistema de Compensação"/>
    <x v="1"/>
    <x v="3"/>
    <x v="0"/>
    <x v="0"/>
    <x v="0"/>
    <x v="0"/>
    <x v="2"/>
    <x v="10"/>
    <n v="0"/>
    <n v="0"/>
    <n v="-0.50600000000000001"/>
    <n v="-0.50600000000000001"/>
    <n v="-0.50600000000000001"/>
    <n v="-0.50600000000000001"/>
    <n v="0"/>
    <x v="1"/>
    <n v="0"/>
    <n v="0"/>
    <n v="42"/>
    <n v="66"/>
    <n v="0"/>
    <n v="1330.19"/>
    <n v="397.62"/>
    <m/>
    <n v="1471.0742690262982"/>
    <n v="351.67159959099928"/>
    <n v="0"/>
    <n v="-673.07614000000001"/>
    <n v="-201.19571999999999"/>
    <n v="0"/>
    <n v="-744.36358012730693"/>
    <n v="-177.94582939304564"/>
  </r>
  <r>
    <s v="PROJETADO"/>
    <x v="1"/>
    <x v="3"/>
    <x v="0"/>
    <x v="0"/>
    <x v="0"/>
    <x v="0"/>
    <x v="2"/>
    <x v="11"/>
    <n v="0"/>
    <n v="0"/>
    <n v="838.82299999999998"/>
    <n v="838.82299999999998"/>
    <n v="838.82299999999998"/>
    <n v="838.82299999999998"/>
    <n v="0"/>
    <x v="1"/>
    <n v="0"/>
    <n v="0"/>
    <n v="42"/>
    <n v="66"/>
    <n v="0"/>
    <n v="1330.19"/>
    <n v="397.62"/>
    <m/>
    <n v="1471.0742690262982"/>
    <n v="351.67159959099928"/>
    <n v="0"/>
    <n v="1115793.96637"/>
    <n v="333532.80125999998"/>
    <n v="0"/>
    <n v="1233970.9315674466"/>
    <n v="294990.22618372081"/>
  </r>
  <r>
    <s v="PROJETADO"/>
    <x v="1"/>
    <x v="3"/>
    <x v="0"/>
    <x v="0"/>
    <x v="0"/>
    <x v="0"/>
    <x v="2"/>
    <x v="11"/>
    <n v="0"/>
    <n v="0"/>
    <n v="0.38600000000000001"/>
    <n v="0.38600000000000001"/>
    <n v="0.38600000000000001"/>
    <n v="0.38600000000000001"/>
    <n v="0"/>
    <x v="1"/>
    <n v="0"/>
    <n v="0"/>
    <n v="42"/>
    <n v="66"/>
    <n v="0"/>
    <n v="1330.19"/>
    <n v="397.62"/>
    <m/>
    <n v="1471.0742690262982"/>
    <n v="351.67159959099928"/>
    <n v="0"/>
    <n v="513.45334000000003"/>
    <n v="153.48132000000001"/>
    <n v="0"/>
    <n v="567.83466784415111"/>
    <n v="135.74523744212573"/>
  </r>
  <r>
    <s v="PROJETADO"/>
    <x v="1"/>
    <x v="3"/>
    <x v="0"/>
    <x v="0"/>
    <x v="0"/>
    <x v="0"/>
    <x v="2"/>
    <x v="11"/>
    <n v="0"/>
    <n v="0"/>
    <n v="98.320999999999998"/>
    <n v="98.320999999999998"/>
    <n v="98.320999999999998"/>
    <n v="98.320999999999998"/>
    <n v="0"/>
    <x v="1"/>
    <n v="0"/>
    <n v="0"/>
    <n v="42"/>
    <n v="66"/>
    <n v="0"/>
    <n v="1330.19"/>
    <n v="397.62"/>
    <m/>
    <n v="1471.0742690262982"/>
    <n v="351.67159959099928"/>
    <n v="0"/>
    <n v="130785.61099"/>
    <n v="39094.39602"/>
    <n v="0"/>
    <n v="144637.49320493467"/>
    <n v="34576.703343386638"/>
  </r>
  <r>
    <s v="PROJETADO"/>
    <x v="1"/>
    <x v="3"/>
    <x v="0"/>
    <x v="0"/>
    <x v="0"/>
    <x v="0"/>
    <x v="2"/>
    <x v="11"/>
    <n v="0"/>
    <n v="0"/>
    <n v="-0.50600000000000001"/>
    <n v="-0.50600000000000001"/>
    <n v="-0.50600000000000001"/>
    <n v="-0.50600000000000001"/>
    <n v="0"/>
    <x v="1"/>
    <n v="0"/>
    <n v="0"/>
    <n v="42"/>
    <n v="66"/>
    <n v="0"/>
    <n v="1330.19"/>
    <n v="397.62"/>
    <m/>
    <n v="1471.0742690262982"/>
    <n v="351.67159959099928"/>
    <n v="0"/>
    <n v="-673.07614000000001"/>
    <n v="-201.19571999999999"/>
    <n v="0"/>
    <n v="-744.36358012730693"/>
    <n v="-177.94582939304564"/>
  </r>
  <r>
    <s v="Regular"/>
    <x v="1"/>
    <x v="3"/>
    <x v="6"/>
    <x v="0"/>
    <x v="0"/>
    <x v="0"/>
    <x v="0"/>
    <x v="0"/>
    <n v="0"/>
    <n v="0"/>
    <n v="137.32499999999999"/>
    <n v="137.32499999999999"/>
    <n v="137.32499999999999"/>
    <n v="137.32499999999999"/>
    <n v="0"/>
    <x v="1"/>
    <n v="0"/>
    <n v="0"/>
    <n v="44"/>
    <n v="67"/>
    <n v="0"/>
    <n v="62.57"/>
    <n v="242.82"/>
    <m/>
    <n v="75.886085105957733"/>
    <n v="224.53785920244138"/>
    <n v="0"/>
    <n v="8592.4252500000002"/>
    <n v="33345.256499999996"/>
    <n v="0"/>
    <n v="10421.056637175645"/>
    <n v="30834.661514975262"/>
  </r>
  <r>
    <s v="Regular"/>
    <x v="1"/>
    <x v="3"/>
    <x v="6"/>
    <x v="0"/>
    <x v="0"/>
    <x v="0"/>
    <x v="0"/>
    <x v="1"/>
    <n v="0"/>
    <n v="0"/>
    <n v="144.19800000000001"/>
    <n v="144.19800000000001"/>
    <n v="144.19800000000001"/>
    <n v="144.19800000000001"/>
    <n v="0"/>
    <x v="1"/>
    <n v="0"/>
    <n v="0"/>
    <n v="44"/>
    <n v="67"/>
    <n v="0"/>
    <n v="62.57"/>
    <n v="242.82"/>
    <m/>
    <n v="75.886085105957733"/>
    <n v="224.53785920244138"/>
    <n v="0"/>
    <n v="9022.4688600000009"/>
    <n v="35014.158360000001"/>
    <n v="0"/>
    <n v="10942.621700108893"/>
    <n v="32377.910221273643"/>
  </r>
  <r>
    <s v="Regular"/>
    <x v="1"/>
    <x v="3"/>
    <x v="6"/>
    <x v="0"/>
    <x v="0"/>
    <x v="0"/>
    <x v="0"/>
    <x v="2"/>
    <n v="0"/>
    <n v="0"/>
    <n v="149.24"/>
    <n v="149.24"/>
    <n v="149.24"/>
    <n v="149.24"/>
    <n v="0"/>
    <x v="1"/>
    <n v="0"/>
    <n v="0"/>
    <n v="44"/>
    <n v="67"/>
    <n v="0"/>
    <n v="62.57"/>
    <n v="242.82"/>
    <m/>
    <n v="75.886085105957733"/>
    <n v="224.53785920244138"/>
    <n v="0"/>
    <n v="9337.9467999999997"/>
    <n v="36238.4568"/>
    <n v="0"/>
    <n v="11325.239341213133"/>
    <n v="33510.030107372353"/>
  </r>
  <r>
    <s v="Regular"/>
    <x v="1"/>
    <x v="3"/>
    <x v="6"/>
    <x v="0"/>
    <x v="0"/>
    <x v="0"/>
    <x v="0"/>
    <x v="3"/>
    <n v="0"/>
    <n v="0"/>
    <n v="155.38900000000001"/>
    <n v="155.38900000000001"/>
    <n v="155.38900000000001"/>
    <n v="155.38900000000001"/>
    <n v="0"/>
    <x v="1"/>
    <n v="0"/>
    <n v="0"/>
    <n v="44"/>
    <n v="67"/>
    <n v="0"/>
    <n v="62.57"/>
    <n v="242.82"/>
    <m/>
    <n v="75.886085105957733"/>
    <n v="224.53785920244138"/>
    <n v="0"/>
    <n v="9722.6897300000001"/>
    <n v="37731.556980000001"/>
    <n v="0"/>
    <n v="11791.862878529668"/>
    <n v="34890.71340360817"/>
  </r>
  <r>
    <s v="Regular"/>
    <x v="1"/>
    <x v="3"/>
    <x v="6"/>
    <x v="0"/>
    <x v="0"/>
    <x v="0"/>
    <x v="0"/>
    <x v="4"/>
    <n v="0"/>
    <n v="0"/>
    <n v="161.82300000000001"/>
    <n v="161.82300000000001"/>
    <n v="161.82300000000001"/>
    <n v="161.82300000000001"/>
    <n v="0"/>
    <x v="1"/>
    <n v="0"/>
    <n v="0"/>
    <n v="44"/>
    <n v="67"/>
    <n v="0"/>
    <n v="62.57"/>
    <n v="242.82"/>
    <m/>
    <n v="75.886085105957733"/>
    <n v="224.53785920244138"/>
    <n v="0"/>
    <n v="10125.26511"/>
    <n v="39293.860860000001"/>
    <n v="0"/>
    <n v="12280.113950101399"/>
    <n v="36335.38998971667"/>
  </r>
  <r>
    <s v="Regular"/>
    <x v="1"/>
    <x v="3"/>
    <x v="6"/>
    <x v="0"/>
    <x v="0"/>
    <x v="0"/>
    <x v="0"/>
    <x v="5"/>
    <n v="0"/>
    <n v="0"/>
    <n v="147.25700000000001"/>
    <n v="147.25700000000001"/>
    <n v="147.25700000000001"/>
    <n v="147.25700000000001"/>
    <n v="0"/>
    <x v="1"/>
    <n v="0"/>
    <n v="0"/>
    <n v="44"/>
    <n v="67"/>
    <n v="0"/>
    <n v="62.57"/>
    <n v="242.82"/>
    <m/>
    <n v="75.886085105957733"/>
    <n v="224.53785920244138"/>
    <n v="0"/>
    <n v="9213.8704900000012"/>
    <n v="35756.944739999999"/>
    <n v="0"/>
    <n v="11174.757234448018"/>
    <n v="33064.771532573912"/>
  </r>
  <r>
    <s v="Regular"/>
    <x v="1"/>
    <x v="3"/>
    <x v="6"/>
    <x v="0"/>
    <x v="0"/>
    <x v="0"/>
    <x v="0"/>
    <x v="6"/>
    <n v="0"/>
    <n v="0"/>
    <n v="144.08199999999999"/>
    <n v="144.08199999999999"/>
    <n v="144.08199999999999"/>
    <n v="144.08199999999999"/>
    <n v="0"/>
    <x v="1"/>
    <n v="0"/>
    <n v="0"/>
    <n v="44"/>
    <n v="67"/>
    <n v="0"/>
    <n v="62.57"/>
    <n v="242.82"/>
    <m/>
    <n v="75.886085105957733"/>
    <n v="224.53785920244138"/>
    <n v="0"/>
    <n v="9015.2107400000004"/>
    <n v="34985.991239999996"/>
    <n v="0"/>
    <n v="10933.818914236601"/>
    <n v="32351.863829606158"/>
  </r>
  <r>
    <s v="Regular"/>
    <x v="1"/>
    <x v="3"/>
    <x v="6"/>
    <x v="0"/>
    <x v="0"/>
    <x v="0"/>
    <x v="0"/>
    <x v="7"/>
    <n v="0"/>
    <n v="0"/>
    <n v="164.93899999999999"/>
    <n v="164.93899999999999"/>
    <n v="164.93899999999999"/>
    <n v="164.93899999999999"/>
    <n v="0"/>
    <x v="1"/>
    <n v="0"/>
    <n v="0"/>
    <n v="44"/>
    <n v="67"/>
    <n v="0"/>
    <n v="62.57"/>
    <n v="242.82"/>
    <m/>
    <n v="75.886085105957733"/>
    <n v="224.53785920244138"/>
    <n v="0"/>
    <n v="10320.23323"/>
    <n v="40050.487979999998"/>
    <n v="0"/>
    <n v="12516.574991291562"/>
    <n v="37035.049958991476"/>
  </r>
  <r>
    <s v="Regular"/>
    <x v="1"/>
    <x v="3"/>
    <x v="6"/>
    <x v="0"/>
    <x v="0"/>
    <x v="0"/>
    <x v="0"/>
    <x v="8"/>
    <n v="0"/>
    <n v="0"/>
    <n v="150.83099999999999"/>
    <n v="150.83099999999999"/>
    <n v="150.83099999999999"/>
    <n v="150.83099999999999"/>
    <n v="0"/>
    <x v="1"/>
    <n v="0"/>
    <n v="0"/>
    <n v="44"/>
    <n v="67"/>
    <n v="0"/>
    <n v="62.57"/>
    <n v="242.82"/>
    <m/>
    <n v="75.886085105957733"/>
    <n v="224.53785920244138"/>
    <n v="0"/>
    <n v="9437.4956700000002"/>
    <n v="36624.78342"/>
    <n v="0"/>
    <n v="11445.97410261671"/>
    <n v="33867.269841363435"/>
  </r>
  <r>
    <s v="Regular"/>
    <x v="1"/>
    <x v="3"/>
    <x v="6"/>
    <x v="0"/>
    <x v="0"/>
    <x v="0"/>
    <x v="0"/>
    <x v="9"/>
    <n v="0"/>
    <n v="0"/>
    <n v="157.08500000000001"/>
    <n v="157.08500000000001"/>
    <n v="157.08500000000001"/>
    <n v="157.08500000000001"/>
    <n v="0"/>
    <x v="1"/>
    <n v="0"/>
    <n v="0"/>
    <n v="44"/>
    <n v="67"/>
    <n v="0"/>
    <n v="62.57"/>
    <n v="242.82"/>
    <m/>
    <n v="75.886085105957733"/>
    <n v="224.53785920244138"/>
    <n v="0"/>
    <n v="9828.8084500000004"/>
    <n v="38143.379699999998"/>
    <n v="0"/>
    <n v="11920.56567886937"/>
    <n v="35271.52961281551"/>
  </r>
  <r>
    <s v="Regular"/>
    <x v="1"/>
    <x v="3"/>
    <x v="6"/>
    <x v="0"/>
    <x v="0"/>
    <x v="0"/>
    <x v="0"/>
    <x v="10"/>
    <n v="0"/>
    <n v="0"/>
    <n v="137.815"/>
    <n v="137.815"/>
    <n v="137.815"/>
    <n v="137.815"/>
    <n v="0"/>
    <x v="1"/>
    <n v="0"/>
    <n v="0"/>
    <n v="44"/>
    <n v="67"/>
    <n v="0"/>
    <n v="62.57"/>
    <n v="242.82"/>
    <m/>
    <n v="75.886085105957733"/>
    <n v="224.53785920244138"/>
    <n v="0"/>
    <n v="8623.0845499999996"/>
    <n v="33464.238299999997"/>
    <n v="0"/>
    <n v="10458.240818877564"/>
    <n v="30944.685065984457"/>
  </r>
  <r>
    <s v="PROJETADO"/>
    <x v="1"/>
    <x v="3"/>
    <x v="6"/>
    <x v="0"/>
    <x v="0"/>
    <x v="0"/>
    <x v="0"/>
    <x v="11"/>
    <n v="0"/>
    <n v="0"/>
    <n v="137.815"/>
    <n v="137.815"/>
    <n v="137.815"/>
    <n v="137.815"/>
    <n v="0"/>
    <x v="1"/>
    <n v="0"/>
    <n v="0"/>
    <n v="44"/>
    <n v="67"/>
    <n v="0"/>
    <n v="62.57"/>
    <n v="242.82"/>
    <m/>
    <n v="75.886085105957733"/>
    <n v="224.53785920244138"/>
    <n v="0"/>
    <n v="8623.0845499999996"/>
    <n v="33464.238299999997"/>
    <n v="0"/>
    <n v="10458.240818877564"/>
    <n v="30944.685065984457"/>
  </r>
  <r>
    <s v="Regular"/>
    <x v="1"/>
    <x v="3"/>
    <x v="6"/>
    <x v="0"/>
    <x v="0"/>
    <x v="0"/>
    <x v="1"/>
    <x v="0"/>
    <n v="696"/>
    <n v="696"/>
    <n v="0"/>
    <n v="0"/>
    <n v="0"/>
    <n v="0"/>
    <n v="4"/>
    <x v="1"/>
    <n v="0"/>
    <n v="40"/>
    <n v="0"/>
    <n v="0"/>
    <n v="26.22"/>
    <n v="0"/>
    <n v="0"/>
    <n v="28.891757284072764"/>
    <m/>
    <m/>
    <n v="18249.12"/>
    <n v="0"/>
    <n v="0"/>
    <n v="20108.663069714643"/>
    <n v="0"/>
    <n v="0"/>
  </r>
  <r>
    <s v="Regular"/>
    <x v="1"/>
    <x v="3"/>
    <x v="6"/>
    <x v="0"/>
    <x v="0"/>
    <x v="0"/>
    <x v="1"/>
    <x v="1"/>
    <n v="699"/>
    <n v="699"/>
    <n v="0"/>
    <n v="0"/>
    <n v="0"/>
    <n v="0"/>
    <n v="4"/>
    <x v="1"/>
    <n v="0"/>
    <n v="40"/>
    <n v="0"/>
    <n v="0"/>
    <n v="26.22"/>
    <n v="0"/>
    <n v="0"/>
    <n v="28.891757284072764"/>
    <m/>
    <m/>
    <n v="18327.78"/>
    <n v="0"/>
    <n v="0"/>
    <n v="20195.338341566861"/>
    <n v="0"/>
    <n v="0"/>
  </r>
  <r>
    <s v="Regular"/>
    <x v="1"/>
    <x v="3"/>
    <x v="6"/>
    <x v="0"/>
    <x v="0"/>
    <x v="0"/>
    <x v="1"/>
    <x v="2"/>
    <n v="699"/>
    <n v="699"/>
    <n v="0"/>
    <n v="0"/>
    <n v="0"/>
    <n v="0"/>
    <n v="4"/>
    <x v="1"/>
    <n v="0"/>
    <n v="40"/>
    <n v="0"/>
    <n v="0"/>
    <n v="26.22"/>
    <n v="0"/>
    <n v="0"/>
    <n v="28.891757284072764"/>
    <m/>
    <m/>
    <n v="18327.78"/>
    <n v="0"/>
    <n v="0"/>
    <n v="20195.338341566861"/>
    <n v="0"/>
    <n v="0"/>
  </r>
  <r>
    <s v="Regular"/>
    <x v="1"/>
    <x v="3"/>
    <x v="6"/>
    <x v="0"/>
    <x v="0"/>
    <x v="0"/>
    <x v="1"/>
    <x v="3"/>
    <n v="698"/>
    <n v="698"/>
    <n v="0"/>
    <n v="0"/>
    <n v="0"/>
    <n v="0"/>
    <n v="4"/>
    <x v="1"/>
    <n v="0"/>
    <n v="40"/>
    <n v="0"/>
    <n v="0"/>
    <n v="26.22"/>
    <n v="0"/>
    <n v="0"/>
    <n v="28.891757284072764"/>
    <m/>
    <m/>
    <n v="18301.559999999998"/>
    <n v="0"/>
    <n v="0"/>
    <n v="20166.446584282789"/>
    <n v="0"/>
    <n v="0"/>
  </r>
  <r>
    <s v="Regular"/>
    <x v="1"/>
    <x v="3"/>
    <x v="6"/>
    <x v="0"/>
    <x v="0"/>
    <x v="0"/>
    <x v="1"/>
    <x v="4"/>
    <n v="698"/>
    <n v="698"/>
    <n v="0"/>
    <n v="0"/>
    <n v="0"/>
    <n v="0"/>
    <n v="4"/>
    <x v="1"/>
    <n v="0"/>
    <n v="40"/>
    <n v="0"/>
    <n v="0"/>
    <n v="26.22"/>
    <n v="0"/>
    <n v="0"/>
    <n v="28.891757284072764"/>
    <m/>
    <m/>
    <n v="18301.559999999998"/>
    <n v="0"/>
    <n v="0"/>
    <n v="20166.446584282789"/>
    <n v="0"/>
    <n v="0"/>
  </r>
  <r>
    <s v="Regular"/>
    <x v="1"/>
    <x v="3"/>
    <x v="6"/>
    <x v="0"/>
    <x v="0"/>
    <x v="0"/>
    <x v="1"/>
    <x v="5"/>
    <n v="695"/>
    <n v="695"/>
    <n v="0"/>
    <n v="0"/>
    <n v="0"/>
    <n v="0"/>
    <n v="4"/>
    <x v="1"/>
    <n v="0"/>
    <n v="40"/>
    <n v="0"/>
    <n v="0"/>
    <n v="26.22"/>
    <n v="0"/>
    <n v="0"/>
    <n v="28.891757284072764"/>
    <m/>
    <m/>
    <n v="18222.899999999998"/>
    <n v="0"/>
    <n v="0"/>
    <n v="20079.77131243057"/>
    <n v="0"/>
    <n v="0"/>
  </r>
  <r>
    <s v="Regular"/>
    <x v="1"/>
    <x v="3"/>
    <x v="6"/>
    <x v="0"/>
    <x v="0"/>
    <x v="0"/>
    <x v="1"/>
    <x v="6"/>
    <n v="695"/>
    <n v="695"/>
    <n v="0"/>
    <n v="0"/>
    <n v="0"/>
    <n v="0"/>
    <n v="4"/>
    <x v="1"/>
    <n v="0"/>
    <n v="40"/>
    <n v="0"/>
    <n v="0"/>
    <n v="26.22"/>
    <n v="0"/>
    <n v="0"/>
    <n v="28.891757284072764"/>
    <m/>
    <m/>
    <n v="18222.899999999998"/>
    <n v="0"/>
    <n v="0"/>
    <n v="20079.77131243057"/>
    <n v="0"/>
    <n v="0"/>
  </r>
  <r>
    <s v="Regular"/>
    <x v="1"/>
    <x v="3"/>
    <x v="6"/>
    <x v="0"/>
    <x v="0"/>
    <x v="0"/>
    <x v="1"/>
    <x v="7"/>
    <n v="695"/>
    <n v="695"/>
    <n v="0"/>
    <n v="0"/>
    <n v="0"/>
    <n v="0"/>
    <n v="4"/>
    <x v="1"/>
    <n v="0"/>
    <n v="40"/>
    <n v="0"/>
    <n v="0"/>
    <n v="26.22"/>
    <n v="0"/>
    <n v="0"/>
    <n v="28.891757284072764"/>
    <m/>
    <m/>
    <n v="18222.899999999998"/>
    <n v="0"/>
    <n v="0"/>
    <n v="20079.77131243057"/>
    <n v="0"/>
    <n v="0"/>
  </r>
  <r>
    <s v="Regular"/>
    <x v="1"/>
    <x v="3"/>
    <x v="6"/>
    <x v="0"/>
    <x v="0"/>
    <x v="0"/>
    <x v="1"/>
    <x v="8"/>
    <n v="695"/>
    <n v="695"/>
    <n v="0"/>
    <n v="0"/>
    <n v="0"/>
    <n v="0"/>
    <n v="4"/>
    <x v="1"/>
    <n v="0"/>
    <n v="40"/>
    <n v="0"/>
    <n v="0"/>
    <n v="26.22"/>
    <n v="0"/>
    <n v="0"/>
    <n v="28.891757284072764"/>
    <m/>
    <m/>
    <n v="18222.899999999998"/>
    <n v="0"/>
    <n v="0"/>
    <n v="20079.77131243057"/>
    <n v="0"/>
    <n v="0"/>
  </r>
  <r>
    <s v="Regular"/>
    <x v="1"/>
    <x v="3"/>
    <x v="6"/>
    <x v="0"/>
    <x v="0"/>
    <x v="0"/>
    <x v="1"/>
    <x v="9"/>
    <n v="695"/>
    <n v="695"/>
    <n v="0"/>
    <n v="0"/>
    <n v="0"/>
    <n v="0"/>
    <n v="4"/>
    <x v="1"/>
    <n v="0"/>
    <n v="40"/>
    <n v="0"/>
    <n v="0"/>
    <n v="26.22"/>
    <n v="0"/>
    <n v="0"/>
    <n v="28.891757284072764"/>
    <m/>
    <m/>
    <n v="18222.899999999998"/>
    <n v="0"/>
    <n v="0"/>
    <n v="20079.77131243057"/>
    <n v="0"/>
    <n v="0"/>
  </r>
  <r>
    <s v="Regular"/>
    <x v="1"/>
    <x v="3"/>
    <x v="6"/>
    <x v="0"/>
    <x v="0"/>
    <x v="0"/>
    <x v="1"/>
    <x v="10"/>
    <n v="695"/>
    <n v="695"/>
    <n v="0"/>
    <n v="0"/>
    <n v="0"/>
    <n v="0"/>
    <n v="4"/>
    <x v="1"/>
    <n v="0"/>
    <n v="40"/>
    <n v="0"/>
    <n v="0"/>
    <n v="26.22"/>
    <n v="0"/>
    <n v="0"/>
    <n v="28.891757284072764"/>
    <m/>
    <m/>
    <n v="18222.899999999998"/>
    <n v="0"/>
    <n v="0"/>
    <n v="20079.77131243057"/>
    <n v="0"/>
    <n v="0"/>
  </r>
  <r>
    <s v="PROJETADO"/>
    <x v="1"/>
    <x v="3"/>
    <x v="6"/>
    <x v="0"/>
    <x v="0"/>
    <x v="0"/>
    <x v="1"/>
    <x v="11"/>
    <n v="695"/>
    <n v="695"/>
    <n v="0"/>
    <n v="0"/>
    <n v="0"/>
    <n v="0"/>
    <n v="4"/>
    <x v="1"/>
    <n v="0"/>
    <n v="40"/>
    <n v="0"/>
    <n v="0"/>
    <n v="26.22"/>
    <n v="0"/>
    <n v="0"/>
    <n v="28.891757284072764"/>
    <m/>
    <m/>
    <n v="18222.899999999998"/>
    <n v="0"/>
    <n v="0"/>
    <n v="20079.77131243057"/>
    <n v="0"/>
    <n v="0"/>
  </r>
  <r>
    <s v="Regular"/>
    <x v="1"/>
    <x v="3"/>
    <x v="6"/>
    <x v="0"/>
    <x v="0"/>
    <x v="0"/>
    <x v="2"/>
    <x v="0"/>
    <n v="0"/>
    <n v="0"/>
    <n v="13.287000000000001"/>
    <n v="13.287000000000001"/>
    <n v="13.287000000000001"/>
    <n v="13.287000000000001"/>
    <n v="0"/>
    <x v="1"/>
    <n v="0"/>
    <n v="0"/>
    <n v="42"/>
    <n v="66"/>
    <n v="0"/>
    <n v="1330.19"/>
    <n v="397.62"/>
    <m/>
    <n v="1471.0742690262982"/>
    <n v="351.67159959099928"/>
    <n v="0"/>
    <n v="17674.234530000002"/>
    <n v="5283.1769400000003"/>
    <n v="0"/>
    <n v="19546.163812552426"/>
    <n v="4672.6605437656081"/>
  </r>
  <r>
    <s v="Regular"/>
    <x v="1"/>
    <x v="3"/>
    <x v="6"/>
    <x v="0"/>
    <x v="0"/>
    <x v="0"/>
    <x v="2"/>
    <x v="1"/>
    <n v="0"/>
    <n v="0"/>
    <n v="12.973000000000001"/>
    <n v="12.973000000000001"/>
    <n v="12.973000000000001"/>
    <n v="12.973000000000001"/>
    <n v="0"/>
    <x v="1"/>
    <n v="0"/>
    <n v="0"/>
    <n v="42"/>
    <n v="66"/>
    <n v="0"/>
    <n v="1330.19"/>
    <n v="397.62"/>
    <m/>
    <n v="1471.0742690262982"/>
    <n v="351.67159959099928"/>
    <n v="0"/>
    <n v="17256.55487"/>
    <n v="5158.3242600000003"/>
    <n v="0"/>
    <n v="19084.246492078168"/>
    <n v="4562.2356614940336"/>
  </r>
  <r>
    <s v="Regular"/>
    <x v="1"/>
    <x v="3"/>
    <x v="6"/>
    <x v="0"/>
    <x v="0"/>
    <x v="0"/>
    <x v="2"/>
    <x v="2"/>
    <n v="0"/>
    <n v="0"/>
    <n v="12.781000000000001"/>
    <n v="12.781000000000001"/>
    <n v="12.781000000000001"/>
    <n v="12.781000000000001"/>
    <n v="0"/>
    <x v="1"/>
    <n v="0"/>
    <n v="0"/>
    <n v="42"/>
    <n v="66"/>
    <n v="0"/>
    <n v="1330.19"/>
    <n v="397.62"/>
    <m/>
    <n v="1471.0742690262982"/>
    <n v="351.67159959099928"/>
    <n v="0"/>
    <n v="17001.158390000001"/>
    <n v="5081.9812200000006"/>
    <n v="0"/>
    <n v="18801.800232425117"/>
    <n v="4494.7147143725624"/>
  </r>
  <r>
    <s v="Regular"/>
    <x v="1"/>
    <x v="3"/>
    <x v="6"/>
    <x v="0"/>
    <x v="0"/>
    <x v="0"/>
    <x v="2"/>
    <x v="3"/>
    <n v="0"/>
    <n v="0"/>
    <n v="12.78"/>
    <n v="12.78"/>
    <n v="12.78"/>
    <n v="12.78"/>
    <n v="0"/>
    <x v="1"/>
    <n v="0"/>
    <n v="0"/>
    <n v="42"/>
    <n v="66"/>
    <n v="0"/>
    <n v="1330.19"/>
    <n v="397.62"/>
    <m/>
    <n v="1471.0742690262982"/>
    <n v="351.67159959099928"/>
    <n v="0"/>
    <n v="16999.8282"/>
    <n v="5081.5835999999999"/>
    <n v="0"/>
    <n v="18800.329158156092"/>
    <n v="4494.3630427729704"/>
  </r>
  <r>
    <s v="Regular"/>
    <x v="1"/>
    <x v="3"/>
    <x v="6"/>
    <x v="0"/>
    <x v="0"/>
    <x v="0"/>
    <x v="2"/>
    <x v="4"/>
    <n v="0"/>
    <n v="0"/>
    <n v="14.375"/>
    <n v="14.375"/>
    <n v="14.375"/>
    <n v="14.375"/>
    <n v="0"/>
    <x v="1"/>
    <n v="0"/>
    <n v="0"/>
    <n v="42"/>
    <n v="66"/>
    <n v="0"/>
    <n v="1330.19"/>
    <n v="397.62"/>
    <m/>
    <n v="1471.0742690262982"/>
    <n v="351.67159959099928"/>
    <n v="0"/>
    <n v="19121.481250000001"/>
    <n v="5715.7875000000004"/>
    <n v="0"/>
    <n v="21146.692617253037"/>
    <n v="5055.2792441206147"/>
  </r>
  <r>
    <s v="Regular"/>
    <x v="1"/>
    <x v="3"/>
    <x v="6"/>
    <x v="0"/>
    <x v="0"/>
    <x v="0"/>
    <x v="2"/>
    <x v="5"/>
    <n v="0"/>
    <n v="0"/>
    <n v="12.573"/>
    <n v="12.573"/>
    <n v="12.573"/>
    <n v="12.573"/>
    <n v="0"/>
    <x v="1"/>
    <n v="0"/>
    <n v="0"/>
    <n v="42"/>
    <n v="66"/>
    <n v="0"/>
    <n v="1330.19"/>
    <n v="397.62"/>
    <m/>
    <n v="1471.0742690262982"/>
    <n v="351.67159959099928"/>
    <n v="0"/>
    <n v="16724.478870000003"/>
    <n v="4999.2762600000005"/>
    <n v="0"/>
    <n v="18495.816784467646"/>
    <n v="4421.5670216576336"/>
  </r>
  <r>
    <s v="Regular"/>
    <x v="1"/>
    <x v="3"/>
    <x v="6"/>
    <x v="0"/>
    <x v="0"/>
    <x v="0"/>
    <x v="2"/>
    <x v="6"/>
    <n v="0"/>
    <n v="0"/>
    <n v="13.137"/>
    <n v="13.137"/>
    <n v="13.137"/>
    <n v="13.137"/>
    <n v="0"/>
    <x v="1"/>
    <n v="0"/>
    <n v="0"/>
    <n v="42"/>
    <n v="66"/>
    <n v="0"/>
    <n v="1330.19"/>
    <n v="397.62"/>
    <m/>
    <n v="1471.0742690262982"/>
    <n v="351.67159959099928"/>
    <n v="0"/>
    <n v="17474.706030000001"/>
    <n v="5223.5339400000003"/>
    <n v="0"/>
    <n v="19325.50267219848"/>
    <n v="4619.9098038269576"/>
  </r>
  <r>
    <s v="Regular"/>
    <x v="1"/>
    <x v="3"/>
    <x v="6"/>
    <x v="0"/>
    <x v="0"/>
    <x v="0"/>
    <x v="2"/>
    <x v="7"/>
    <n v="0"/>
    <n v="0"/>
    <n v="15.026"/>
    <n v="15.026"/>
    <n v="15.026"/>
    <n v="15.026"/>
    <n v="0"/>
    <x v="1"/>
    <n v="0"/>
    <n v="0"/>
    <n v="42"/>
    <n v="66"/>
    <n v="0"/>
    <n v="1330.19"/>
    <n v="397.62"/>
    <m/>
    <n v="1471.0742690262982"/>
    <n v="351.67159959099928"/>
    <n v="0"/>
    <n v="19987.434939999999"/>
    <n v="5974.6381199999996"/>
    <n v="0"/>
    <n v="22104.361966389159"/>
    <n v="5284.2174554543553"/>
  </r>
  <r>
    <s v="Regular"/>
    <x v="1"/>
    <x v="3"/>
    <x v="6"/>
    <x v="0"/>
    <x v="0"/>
    <x v="0"/>
    <x v="2"/>
    <x v="8"/>
    <n v="0"/>
    <n v="0"/>
    <n v="12.442"/>
    <n v="12.442"/>
    <n v="12.442"/>
    <n v="12.442"/>
    <n v="0"/>
    <x v="1"/>
    <n v="0"/>
    <n v="0"/>
    <n v="42"/>
    <n v="66"/>
    <n v="0"/>
    <n v="1330.19"/>
    <n v="397.62"/>
    <m/>
    <n v="1471.0742690262982"/>
    <n v="351.67159959099928"/>
    <n v="0"/>
    <n v="16550.223980000002"/>
    <n v="4947.18804"/>
    <n v="0"/>
    <n v="18303.106055225202"/>
    <n v="4375.4980421112132"/>
  </r>
  <r>
    <s v="Regular"/>
    <x v="1"/>
    <x v="3"/>
    <x v="6"/>
    <x v="0"/>
    <x v="0"/>
    <x v="0"/>
    <x v="2"/>
    <x v="9"/>
    <n v="0"/>
    <n v="0"/>
    <n v="14.101000000000001"/>
    <n v="14.101000000000001"/>
    <n v="14.101000000000001"/>
    <n v="14.101000000000001"/>
    <n v="0"/>
    <x v="1"/>
    <n v="0"/>
    <n v="0"/>
    <n v="42"/>
    <n v="66"/>
    <n v="0"/>
    <n v="1330.19"/>
    <n v="397.62"/>
    <m/>
    <n v="1471.0742690262982"/>
    <n v="351.67159959099928"/>
    <n v="0"/>
    <n v="18757.009190000001"/>
    <n v="5606.8396200000007"/>
    <n v="0"/>
    <n v="20743.618267539834"/>
    <n v="4958.9212258326816"/>
  </r>
  <r>
    <s v="Regular"/>
    <x v="1"/>
    <x v="3"/>
    <x v="6"/>
    <x v="0"/>
    <x v="0"/>
    <x v="0"/>
    <x v="2"/>
    <x v="10"/>
    <n v="0"/>
    <n v="0"/>
    <n v="12.951000000000001"/>
    <n v="12.951000000000001"/>
    <n v="12.951000000000001"/>
    <n v="12.951000000000001"/>
    <n v="0"/>
    <x v="1"/>
    <n v="0"/>
    <n v="0"/>
    <n v="42"/>
    <n v="66"/>
    <n v="0"/>
    <n v="1330.19"/>
    <n v="397.62"/>
    <m/>
    <n v="1471.0742690262982"/>
    <n v="351.67159959099928"/>
    <n v="0"/>
    <n v="17227.290690000002"/>
    <n v="5149.5766199999998"/>
    <n v="0"/>
    <n v="19051.882858159588"/>
    <n v="4554.4988863030321"/>
  </r>
  <r>
    <s v="PROJETADO"/>
    <x v="1"/>
    <x v="3"/>
    <x v="6"/>
    <x v="0"/>
    <x v="0"/>
    <x v="0"/>
    <x v="2"/>
    <x v="11"/>
    <n v="0"/>
    <n v="0"/>
    <n v="12.951000000000001"/>
    <n v="12.951000000000001"/>
    <n v="12.951000000000001"/>
    <n v="12.951000000000001"/>
    <n v="0"/>
    <x v="1"/>
    <n v="0"/>
    <n v="0"/>
    <n v="42"/>
    <n v="66"/>
    <n v="0"/>
    <n v="1330.19"/>
    <n v="397.62"/>
    <m/>
    <n v="1471.0742690262982"/>
    <n v="351.67159959099928"/>
    <n v="0"/>
    <n v="17227.290690000002"/>
    <n v="5149.5766199999998"/>
    <n v="0"/>
    <n v="19051.882858159588"/>
    <n v="4554.4988863030321"/>
  </r>
  <r>
    <s v="Refaturamento - Regular"/>
    <x v="1"/>
    <x v="3"/>
    <x v="1"/>
    <x v="0"/>
    <x v="2"/>
    <x v="0"/>
    <x v="0"/>
    <x v="0"/>
    <n v="0"/>
    <n v="0"/>
    <n v="13.065"/>
    <n v="13.065"/>
    <n v="0"/>
    <n v="0"/>
    <n v="0"/>
    <x v="4"/>
    <n v="0"/>
    <n v="0"/>
    <n v="48"/>
    <n v="0"/>
    <n v="0"/>
    <n v="25.05"/>
    <n v="0"/>
    <m/>
    <n v="14.595305908499386"/>
    <m/>
    <n v="0"/>
    <n v="327.27825000000001"/>
    <n v="0"/>
    <n v="0"/>
    <n v="190.68767169454446"/>
    <n v="0"/>
  </r>
  <r>
    <s v="Refaturamento - Regular"/>
    <x v="1"/>
    <x v="3"/>
    <x v="1"/>
    <x v="0"/>
    <x v="2"/>
    <x v="0"/>
    <x v="0"/>
    <x v="1"/>
    <n v="0"/>
    <n v="0"/>
    <n v="6.5860000000000003"/>
    <n v="6.5860000000000003"/>
    <n v="0"/>
    <n v="0"/>
    <n v="0"/>
    <x v="4"/>
    <n v="0"/>
    <n v="0"/>
    <n v="48"/>
    <n v="0"/>
    <n v="0"/>
    <n v="25.05"/>
    <n v="0"/>
    <m/>
    <n v="14.595305908499386"/>
    <m/>
    <n v="0"/>
    <n v="164.97930000000002"/>
    <n v="0"/>
    <n v="0"/>
    <n v="96.124684713376965"/>
    <n v="0"/>
  </r>
  <r>
    <s v="Refaturamento - Regular"/>
    <x v="1"/>
    <x v="3"/>
    <x v="1"/>
    <x v="0"/>
    <x v="2"/>
    <x v="0"/>
    <x v="0"/>
    <x v="2"/>
    <n v="0"/>
    <n v="0"/>
    <n v="28.431000000000001"/>
    <n v="28.431000000000001"/>
    <n v="0"/>
    <n v="0"/>
    <n v="0"/>
    <x v="4"/>
    <n v="0"/>
    <n v="0"/>
    <n v="48"/>
    <n v="0"/>
    <n v="0"/>
    <n v="25.05"/>
    <n v="0"/>
    <m/>
    <n v="14.595305908499386"/>
    <m/>
    <n v="0"/>
    <n v="712.19655"/>
    <n v="0"/>
    <n v="0"/>
    <n v="414.95914228454603"/>
    <n v="0"/>
  </r>
  <r>
    <s v="Refaturamento - Regular"/>
    <x v="1"/>
    <x v="3"/>
    <x v="1"/>
    <x v="0"/>
    <x v="2"/>
    <x v="0"/>
    <x v="0"/>
    <x v="3"/>
    <n v="0"/>
    <n v="0"/>
    <n v="32.764000000000003"/>
    <n v="32.764000000000003"/>
    <n v="0"/>
    <n v="0"/>
    <n v="0"/>
    <x v="4"/>
    <n v="0"/>
    <n v="0"/>
    <n v="48"/>
    <n v="0"/>
    <n v="0"/>
    <n v="25.05"/>
    <n v="0"/>
    <m/>
    <n v="14.595305908499386"/>
    <m/>
    <n v="0"/>
    <n v="820.73820000000012"/>
    <n v="0"/>
    <n v="0"/>
    <n v="478.20060278607389"/>
    <n v="0"/>
  </r>
  <r>
    <s v="Refaturamento - Regular"/>
    <x v="1"/>
    <x v="3"/>
    <x v="1"/>
    <x v="0"/>
    <x v="2"/>
    <x v="0"/>
    <x v="0"/>
    <x v="4"/>
    <n v="0"/>
    <n v="0"/>
    <n v="124.36199999999999"/>
    <n v="124.36199999999999"/>
    <n v="0"/>
    <n v="0"/>
    <n v="0"/>
    <x v="4"/>
    <n v="0"/>
    <n v="0"/>
    <n v="48"/>
    <n v="0"/>
    <n v="0"/>
    <n v="25.05"/>
    <n v="0"/>
    <m/>
    <n v="14.595305908499386"/>
    <m/>
    <n v="0"/>
    <n v="3115.2680999999998"/>
    <n v="0"/>
    <n v="0"/>
    <n v="1815.1014333928006"/>
    <n v="0"/>
  </r>
  <r>
    <s v="Refaturamento - Regular"/>
    <x v="1"/>
    <x v="3"/>
    <x v="1"/>
    <x v="0"/>
    <x v="2"/>
    <x v="0"/>
    <x v="0"/>
    <x v="5"/>
    <n v="0"/>
    <n v="0"/>
    <n v="167.78200000000001"/>
    <n v="167.78200000000001"/>
    <n v="0"/>
    <n v="0"/>
    <n v="0"/>
    <x v="4"/>
    <n v="0"/>
    <n v="0"/>
    <n v="48"/>
    <n v="0"/>
    <n v="0"/>
    <n v="25.05"/>
    <n v="0"/>
    <m/>
    <n v="14.595305908499386"/>
    <m/>
    <n v="0"/>
    <n v="4202.9391000000005"/>
    <n v="0"/>
    <n v="0"/>
    <n v="2448.8296159398442"/>
    <n v="0"/>
  </r>
  <r>
    <s v="Refaturamento - Regular"/>
    <x v="1"/>
    <x v="3"/>
    <x v="1"/>
    <x v="0"/>
    <x v="2"/>
    <x v="0"/>
    <x v="0"/>
    <x v="6"/>
    <n v="0"/>
    <n v="0"/>
    <n v="150.23400000000001"/>
    <n v="150.23400000000001"/>
    <n v="0"/>
    <n v="0"/>
    <n v="0"/>
    <x v="4"/>
    <n v="0"/>
    <n v="0"/>
    <n v="48"/>
    <n v="0"/>
    <n v="0"/>
    <n v="25.05"/>
    <n v="0"/>
    <m/>
    <n v="14.595305908499386"/>
    <m/>
    <n v="0"/>
    <n v="3763.3617000000004"/>
    <n v="0"/>
    <n v="0"/>
    <n v="2192.711187857497"/>
    <n v="0"/>
  </r>
  <r>
    <s v="Refaturamento - Regular"/>
    <x v="1"/>
    <x v="3"/>
    <x v="1"/>
    <x v="0"/>
    <x v="2"/>
    <x v="0"/>
    <x v="0"/>
    <x v="7"/>
    <n v="0"/>
    <n v="0"/>
    <n v="152.11000000000001"/>
    <n v="152.11000000000001"/>
    <n v="0"/>
    <n v="0"/>
    <n v="0"/>
    <x v="4"/>
    <n v="0"/>
    <n v="0"/>
    <n v="48"/>
    <n v="0"/>
    <n v="0"/>
    <n v="25.05"/>
    <n v="0"/>
    <m/>
    <n v="14.595305908499386"/>
    <m/>
    <n v="0"/>
    <n v="3810.3555000000006"/>
    <n v="0"/>
    <n v="0"/>
    <n v="2220.0919817418417"/>
    <n v="0"/>
  </r>
  <r>
    <s v="Refaturamento - Regular"/>
    <x v="1"/>
    <x v="3"/>
    <x v="1"/>
    <x v="0"/>
    <x v="2"/>
    <x v="0"/>
    <x v="0"/>
    <x v="8"/>
    <n v="0"/>
    <n v="0"/>
    <n v="140.28399999999999"/>
    <n v="140.28399999999999"/>
    <n v="0"/>
    <n v="0"/>
    <n v="0"/>
    <x v="4"/>
    <n v="0"/>
    <n v="0"/>
    <n v="48"/>
    <n v="0"/>
    <n v="0"/>
    <n v="25.05"/>
    <n v="0"/>
    <m/>
    <n v="14.595305908499386"/>
    <m/>
    <n v="0"/>
    <n v="3514.1142"/>
    <n v="0"/>
    <n v="0"/>
    <n v="2047.4878940679278"/>
    <n v="0"/>
  </r>
  <r>
    <s v="Refaturamento - Regular"/>
    <x v="1"/>
    <x v="3"/>
    <x v="1"/>
    <x v="0"/>
    <x v="2"/>
    <x v="0"/>
    <x v="0"/>
    <x v="9"/>
    <n v="0"/>
    <n v="0"/>
    <n v="17.553000000000001"/>
    <n v="17.553000000000001"/>
    <n v="0"/>
    <n v="0"/>
    <n v="0"/>
    <x v="4"/>
    <n v="0"/>
    <n v="0"/>
    <n v="48"/>
    <n v="0"/>
    <n v="0"/>
    <n v="25.05"/>
    <n v="0"/>
    <m/>
    <n v="14.595305908499386"/>
    <m/>
    <n v="0"/>
    <n v="439.70265000000001"/>
    <n v="0"/>
    <n v="0"/>
    <n v="256.19140461188971"/>
    <n v="0"/>
  </r>
  <r>
    <s v="Refaturamento - Regular"/>
    <x v="1"/>
    <x v="3"/>
    <x v="1"/>
    <x v="0"/>
    <x v="2"/>
    <x v="0"/>
    <x v="0"/>
    <x v="10"/>
    <n v="0"/>
    <n v="0"/>
    <n v="91.113"/>
    <n v="91.113"/>
    <n v="0"/>
    <n v="0"/>
    <n v="0"/>
    <x v="4"/>
    <n v="0"/>
    <n v="0"/>
    <n v="48"/>
    <n v="0"/>
    <n v="0"/>
    <n v="25.05"/>
    <n v="0"/>
    <m/>
    <n v="14.595305908499386"/>
    <m/>
    <n v="0"/>
    <n v="2282.3806500000001"/>
    <n v="0"/>
    <n v="0"/>
    <n v="1329.8221072411045"/>
    <n v="0"/>
  </r>
  <r>
    <s v="PROJETADO"/>
    <x v="1"/>
    <x v="3"/>
    <x v="1"/>
    <x v="0"/>
    <x v="2"/>
    <x v="0"/>
    <x v="0"/>
    <x v="11"/>
    <n v="0"/>
    <n v="0"/>
    <n v="91.113"/>
    <n v="91.113"/>
    <n v="0"/>
    <n v="0"/>
    <n v="0"/>
    <x v="4"/>
    <n v="0"/>
    <n v="0"/>
    <n v="48"/>
    <n v="0"/>
    <n v="0"/>
    <n v="25.05"/>
    <n v="0"/>
    <m/>
    <n v="14.595305908499386"/>
    <m/>
    <n v="0"/>
    <n v="2282.3806500000001"/>
    <n v="0"/>
    <n v="0"/>
    <n v="1329.8221072411045"/>
    <n v="0"/>
  </r>
  <r>
    <s v="Regular"/>
    <x v="1"/>
    <x v="3"/>
    <x v="1"/>
    <x v="0"/>
    <x v="1"/>
    <x v="0"/>
    <x v="0"/>
    <x v="0"/>
    <n v="0"/>
    <n v="0"/>
    <n v="9065.5460000000003"/>
    <n v="9065.5460000000003"/>
    <n v="0"/>
    <n v="0"/>
    <n v="0"/>
    <x v="0"/>
    <n v="0"/>
    <n v="0"/>
    <n v="44"/>
    <n v="0"/>
    <n v="0"/>
    <n v="62.57"/>
    <n v="0"/>
    <m/>
    <n v="75.886085105957733"/>
    <m/>
    <n v="0"/>
    <n v="567231.21322000003"/>
    <n v="0"/>
    <n v="0"/>
    <n v="687948.79528797476"/>
    <n v="0"/>
  </r>
  <r>
    <s v="Refaturamento - Regular"/>
    <x v="1"/>
    <x v="3"/>
    <x v="1"/>
    <x v="0"/>
    <x v="1"/>
    <x v="0"/>
    <x v="0"/>
    <x v="0"/>
    <n v="0"/>
    <n v="0"/>
    <n v="-13.065"/>
    <n v="-13.065"/>
    <n v="0"/>
    <n v="0"/>
    <n v="0"/>
    <x v="0"/>
    <n v="0"/>
    <n v="0"/>
    <n v="44"/>
    <n v="0"/>
    <n v="0"/>
    <n v="62.57"/>
    <n v="0"/>
    <m/>
    <n v="75.886085105957733"/>
    <m/>
    <n v="0"/>
    <n v="-817.47704999999996"/>
    <n v="0"/>
    <n v="0"/>
    <n v="-991.45170190933777"/>
    <n v="0"/>
  </r>
  <r>
    <s v="Regular"/>
    <x v="1"/>
    <x v="3"/>
    <x v="1"/>
    <x v="0"/>
    <x v="1"/>
    <x v="0"/>
    <x v="0"/>
    <x v="1"/>
    <n v="0"/>
    <n v="0"/>
    <n v="9143.0030000000006"/>
    <n v="9143.0030000000006"/>
    <n v="0"/>
    <n v="0"/>
    <n v="0"/>
    <x v="0"/>
    <n v="0"/>
    <n v="0"/>
    <n v="44"/>
    <n v="0"/>
    <n v="0"/>
    <n v="62.57"/>
    <n v="0"/>
    <m/>
    <n v="75.886085105957733"/>
    <m/>
    <n v="0"/>
    <n v="572077.69771000009"/>
    <n v="0"/>
    <n v="0"/>
    <n v="693826.70378202689"/>
    <n v="0"/>
  </r>
  <r>
    <s v="Refaturamento - Regular"/>
    <x v="1"/>
    <x v="3"/>
    <x v="1"/>
    <x v="0"/>
    <x v="1"/>
    <x v="0"/>
    <x v="0"/>
    <x v="1"/>
    <n v="0"/>
    <n v="0"/>
    <n v="-6.5860000000000003"/>
    <n v="-6.5860000000000003"/>
    <n v="0"/>
    <n v="0"/>
    <n v="0"/>
    <x v="0"/>
    <n v="0"/>
    <n v="0"/>
    <n v="44"/>
    <n v="0"/>
    <n v="0"/>
    <n v="62.57"/>
    <n v="0"/>
    <m/>
    <n v="75.886085105957733"/>
    <m/>
    <n v="0"/>
    <n v="-412.08602000000002"/>
    <n v="0"/>
    <n v="0"/>
    <n v="-499.78575650783768"/>
    <n v="0"/>
  </r>
  <r>
    <s v="Regular"/>
    <x v="1"/>
    <x v="3"/>
    <x v="1"/>
    <x v="0"/>
    <x v="1"/>
    <x v="0"/>
    <x v="0"/>
    <x v="2"/>
    <n v="0"/>
    <n v="0"/>
    <n v="9559.9210000000003"/>
    <n v="9559.9210000000003"/>
    <n v="0"/>
    <n v="0"/>
    <n v="0"/>
    <x v="0"/>
    <n v="0"/>
    <n v="0"/>
    <n v="44"/>
    <n v="0"/>
    <n v="0"/>
    <n v="62.57"/>
    <n v="0"/>
    <m/>
    <n v="75.886085105957733"/>
    <m/>
    <n v="0"/>
    <n v="598164.25696999999"/>
    <n v="0"/>
    <n v="0"/>
    <n v="725464.9786122326"/>
    <n v="0"/>
  </r>
  <r>
    <s v="Refaturamento - Regular"/>
    <x v="1"/>
    <x v="3"/>
    <x v="1"/>
    <x v="0"/>
    <x v="1"/>
    <x v="0"/>
    <x v="0"/>
    <x v="2"/>
    <n v="0"/>
    <n v="0"/>
    <n v="-28.431000000000001"/>
    <n v="-28.431000000000001"/>
    <n v="0"/>
    <n v="0"/>
    <n v="0"/>
    <x v="0"/>
    <n v="0"/>
    <n v="0"/>
    <n v="44"/>
    <n v="0"/>
    <n v="0"/>
    <n v="62.57"/>
    <n v="0"/>
    <m/>
    <n v="75.886085105957733"/>
    <m/>
    <n v="0"/>
    <n v="-1778.92767"/>
    <n v="0"/>
    <n v="0"/>
    <n v="-2157.5172856474842"/>
    <n v="0"/>
  </r>
  <r>
    <s v="Regular"/>
    <x v="1"/>
    <x v="3"/>
    <x v="1"/>
    <x v="0"/>
    <x v="1"/>
    <x v="0"/>
    <x v="0"/>
    <x v="3"/>
    <n v="0"/>
    <n v="0"/>
    <n v="10666.103999999999"/>
    <n v="10666.103999999999"/>
    <n v="0"/>
    <n v="0"/>
    <n v="0"/>
    <x v="0"/>
    <n v="0"/>
    <n v="0"/>
    <n v="44"/>
    <n v="0"/>
    <n v="0"/>
    <n v="62.57"/>
    <n v="0"/>
    <m/>
    <n v="75.886085105957733"/>
    <m/>
    <n v="0"/>
    <n v="667378.12728000002"/>
    <n v="0"/>
    <n v="0"/>
    <n v="809408.87589299621"/>
    <n v="0"/>
  </r>
  <r>
    <s v="Refaturamento - Regular"/>
    <x v="1"/>
    <x v="3"/>
    <x v="1"/>
    <x v="0"/>
    <x v="1"/>
    <x v="0"/>
    <x v="0"/>
    <x v="3"/>
    <n v="0"/>
    <n v="0"/>
    <n v="-32.764000000000003"/>
    <n v="-32.764000000000003"/>
    <n v="0"/>
    <n v="0"/>
    <n v="0"/>
    <x v="0"/>
    <n v="0"/>
    <n v="0"/>
    <n v="44"/>
    <n v="0"/>
    <n v="0"/>
    <n v="62.57"/>
    <n v="0"/>
    <m/>
    <n v="75.886085105957733"/>
    <m/>
    <n v="0"/>
    <n v="-2050.0434800000003"/>
    <n v="0"/>
    <n v="0"/>
    <n v="-2486.3316924115993"/>
    <n v="0"/>
  </r>
  <r>
    <s v="Regular"/>
    <x v="1"/>
    <x v="3"/>
    <x v="1"/>
    <x v="0"/>
    <x v="1"/>
    <x v="0"/>
    <x v="0"/>
    <x v="4"/>
    <n v="0"/>
    <n v="0"/>
    <n v="10699.184999999999"/>
    <n v="10699.184999999999"/>
    <n v="0"/>
    <n v="0"/>
    <n v="0"/>
    <x v="0"/>
    <n v="0"/>
    <n v="0"/>
    <n v="44"/>
    <n v="0"/>
    <n v="0"/>
    <n v="62.57"/>
    <n v="0"/>
    <m/>
    <n v="75.886085105957733"/>
    <m/>
    <n v="0"/>
    <n v="669448.00544999994"/>
    <n v="0"/>
    <n v="0"/>
    <n v="811919.2634743863"/>
    <n v="0"/>
  </r>
  <r>
    <s v="Refaturamento - Regular"/>
    <x v="1"/>
    <x v="3"/>
    <x v="1"/>
    <x v="0"/>
    <x v="1"/>
    <x v="0"/>
    <x v="0"/>
    <x v="4"/>
    <n v="0"/>
    <n v="0"/>
    <n v="-124.36199999999999"/>
    <n v="-124.36199999999999"/>
    <n v="0"/>
    <n v="0"/>
    <n v="0"/>
    <x v="0"/>
    <n v="0"/>
    <n v="0"/>
    <n v="44"/>
    <n v="0"/>
    <n v="0"/>
    <n v="62.57"/>
    <n v="0"/>
    <m/>
    <n v="75.886085105957733"/>
    <m/>
    <n v="0"/>
    <n v="-7781.3303399999995"/>
    <n v="0"/>
    <n v="0"/>
    <n v="-9437.3453159471155"/>
    <n v="0"/>
  </r>
  <r>
    <s v="Regular"/>
    <x v="1"/>
    <x v="3"/>
    <x v="1"/>
    <x v="0"/>
    <x v="1"/>
    <x v="0"/>
    <x v="0"/>
    <x v="5"/>
    <n v="0"/>
    <n v="0"/>
    <n v="10449.323"/>
    <n v="10449.323"/>
    <n v="0"/>
    <n v="0"/>
    <n v="0"/>
    <x v="0"/>
    <n v="0"/>
    <n v="0"/>
    <n v="44"/>
    <n v="0"/>
    <n v="0"/>
    <n v="62.57"/>
    <n v="0"/>
    <m/>
    <n v="75.886085105957733"/>
    <m/>
    <n v="0"/>
    <n v="653814.14011000004"/>
    <n v="0"/>
    <n v="0"/>
    <n v="792958.21447764162"/>
    <n v="0"/>
  </r>
  <r>
    <s v="Refaturamento - Regular"/>
    <x v="1"/>
    <x v="3"/>
    <x v="1"/>
    <x v="0"/>
    <x v="1"/>
    <x v="0"/>
    <x v="0"/>
    <x v="5"/>
    <n v="0"/>
    <n v="0"/>
    <n v="-167.78399999999999"/>
    <n v="-167.78399999999999"/>
    <n v="0"/>
    <n v="0"/>
    <n v="0"/>
    <x v="0"/>
    <n v="0"/>
    <n v="0"/>
    <n v="44"/>
    <n v="0"/>
    <n v="0"/>
    <n v="62.57"/>
    <n v="0"/>
    <m/>
    <n v="75.886085105957733"/>
    <m/>
    <n v="0"/>
    <n v="-10498.24488"/>
    <n v="0"/>
    <n v="0"/>
    <n v="-12732.470903418012"/>
    <n v="0"/>
  </r>
  <r>
    <s v="Regular"/>
    <x v="1"/>
    <x v="3"/>
    <x v="1"/>
    <x v="0"/>
    <x v="1"/>
    <x v="0"/>
    <x v="0"/>
    <x v="6"/>
    <n v="0"/>
    <n v="0"/>
    <n v="10355.275"/>
    <n v="10355.275"/>
    <n v="0"/>
    <n v="0"/>
    <n v="0"/>
    <x v="0"/>
    <n v="0"/>
    <n v="0"/>
    <n v="44"/>
    <n v="0"/>
    <n v="0"/>
    <n v="62.57"/>
    <n v="0"/>
    <m/>
    <n v="75.886085105957733"/>
    <m/>
    <n v="0"/>
    <n v="647929.55674999999"/>
    <n v="0"/>
    <n v="0"/>
    <n v="785821.27994559647"/>
    <n v="0"/>
  </r>
  <r>
    <s v="Refaturamento - Regular"/>
    <x v="1"/>
    <x v="3"/>
    <x v="1"/>
    <x v="0"/>
    <x v="1"/>
    <x v="0"/>
    <x v="0"/>
    <x v="6"/>
    <n v="0"/>
    <n v="0"/>
    <n v="-150.23400000000001"/>
    <n v="-150.23400000000001"/>
    <n v="0"/>
    <n v="0"/>
    <n v="0"/>
    <x v="0"/>
    <n v="0"/>
    <n v="0"/>
    <n v="44"/>
    <n v="0"/>
    <n v="0"/>
    <n v="62.57"/>
    <n v="0"/>
    <m/>
    <n v="75.886085105957733"/>
    <m/>
    <n v="0"/>
    <n v="-9400.1413800000009"/>
    <n v="0"/>
    <n v="0"/>
    <n v="-11400.670109808454"/>
    <n v="0"/>
  </r>
  <r>
    <s v="Regular"/>
    <x v="1"/>
    <x v="3"/>
    <x v="1"/>
    <x v="0"/>
    <x v="1"/>
    <x v="0"/>
    <x v="0"/>
    <x v="7"/>
    <n v="0"/>
    <n v="0"/>
    <n v="10053.576999999999"/>
    <n v="10053.576999999999"/>
    <n v="0"/>
    <n v="0"/>
    <n v="0"/>
    <x v="0"/>
    <n v="0"/>
    <n v="0"/>
    <n v="44"/>
    <n v="0"/>
    <n v="0"/>
    <n v="62.57"/>
    <n v="0"/>
    <m/>
    <n v="75.886085105957733"/>
    <m/>
    <n v="0"/>
    <n v="629052.31288999994"/>
    <n v="0"/>
    <n v="0"/>
    <n v="762926.59984129912"/>
    <n v="0"/>
  </r>
  <r>
    <s v="Refaturamento - Regular"/>
    <x v="1"/>
    <x v="3"/>
    <x v="1"/>
    <x v="0"/>
    <x v="1"/>
    <x v="0"/>
    <x v="0"/>
    <x v="7"/>
    <n v="0"/>
    <n v="0"/>
    <n v="-152.11000000000001"/>
    <n v="-152.11000000000001"/>
    <n v="0"/>
    <n v="0"/>
    <n v="0"/>
    <x v="0"/>
    <n v="0"/>
    <n v="0"/>
    <n v="44"/>
    <n v="0"/>
    <n v="0"/>
    <n v="62.57"/>
    <n v="0"/>
    <m/>
    <n v="75.886085105957733"/>
    <m/>
    <n v="0"/>
    <n v="-9517.5227000000014"/>
    <n v="0"/>
    <n v="0"/>
    <n v="-11543.032405467231"/>
    <n v="0"/>
  </r>
  <r>
    <s v="Regular"/>
    <x v="1"/>
    <x v="3"/>
    <x v="1"/>
    <x v="0"/>
    <x v="1"/>
    <x v="0"/>
    <x v="0"/>
    <x v="8"/>
    <n v="0"/>
    <n v="0"/>
    <n v="11100.333000000001"/>
    <n v="11100.333000000001"/>
    <n v="0"/>
    <n v="0"/>
    <n v="0"/>
    <x v="0"/>
    <n v="0"/>
    <n v="0"/>
    <n v="44"/>
    <n v="0"/>
    <n v="0"/>
    <n v="62.57"/>
    <n v="0"/>
    <m/>
    <n v="75.886085105957733"/>
    <m/>
    <n v="0"/>
    <n v="694547.83581000008"/>
    <n v="0"/>
    <n v="0"/>
    <n v="842360.81474247121"/>
    <n v="0"/>
  </r>
  <r>
    <s v="Refaturamento - Regular"/>
    <x v="1"/>
    <x v="3"/>
    <x v="1"/>
    <x v="0"/>
    <x v="1"/>
    <x v="0"/>
    <x v="0"/>
    <x v="8"/>
    <n v="0"/>
    <n v="0"/>
    <n v="-140.28399999999999"/>
    <n v="-140.28399999999999"/>
    <n v="0"/>
    <n v="0"/>
    <n v="0"/>
    <x v="0"/>
    <n v="0"/>
    <n v="0"/>
    <n v="44"/>
    <n v="0"/>
    <n v="0"/>
    <n v="62.57"/>
    <n v="0"/>
    <m/>
    <n v="75.886085105957733"/>
    <m/>
    <n v="0"/>
    <n v="-8777.5698799999991"/>
    <n v="0"/>
    <n v="0"/>
    <n v="-10645.603563004173"/>
    <n v="0"/>
  </r>
  <r>
    <s v="Regular"/>
    <x v="1"/>
    <x v="3"/>
    <x v="1"/>
    <x v="0"/>
    <x v="1"/>
    <x v="0"/>
    <x v="0"/>
    <x v="9"/>
    <n v="0"/>
    <n v="0"/>
    <n v="10173.319"/>
    <n v="10173.319"/>
    <n v="0"/>
    <n v="0"/>
    <n v="0"/>
    <x v="0"/>
    <n v="0"/>
    <n v="0"/>
    <n v="44"/>
    <n v="0"/>
    <n v="0"/>
    <n v="62.57"/>
    <n v="0"/>
    <m/>
    <n v="75.886085105957733"/>
    <m/>
    <n v="0"/>
    <n v="636544.56982999993"/>
    <n v="0"/>
    <n v="0"/>
    <n v="772013.35144405672"/>
    <n v="0"/>
  </r>
  <r>
    <s v="Refaturamento - Regular"/>
    <x v="1"/>
    <x v="3"/>
    <x v="1"/>
    <x v="0"/>
    <x v="1"/>
    <x v="0"/>
    <x v="0"/>
    <x v="9"/>
    <n v="0"/>
    <n v="0"/>
    <n v="-17.553000000000001"/>
    <n v="-17.553000000000001"/>
    <n v="0"/>
    <n v="0"/>
    <n v="0"/>
    <x v="0"/>
    <n v="0"/>
    <n v="0"/>
    <n v="44"/>
    <n v="0"/>
    <n v="0"/>
    <n v="62.57"/>
    <n v="0"/>
    <m/>
    <n v="75.886085105957733"/>
    <m/>
    <n v="0"/>
    <n v="-1098.2912100000001"/>
    <n v="0"/>
    <n v="0"/>
    <n v="-1332.0284518648762"/>
    <n v="0"/>
  </r>
  <r>
    <s v="Regular"/>
    <x v="1"/>
    <x v="3"/>
    <x v="1"/>
    <x v="0"/>
    <x v="1"/>
    <x v="0"/>
    <x v="0"/>
    <x v="10"/>
    <n v="0"/>
    <n v="0"/>
    <n v="11253.813"/>
    <n v="11253.813"/>
    <n v="0"/>
    <n v="0"/>
    <n v="0"/>
    <x v="0"/>
    <n v="0"/>
    <n v="0"/>
    <n v="44"/>
    <n v="0"/>
    <n v="0"/>
    <n v="62.57"/>
    <n v="0"/>
    <m/>
    <n v="75.886085105957733"/>
    <m/>
    <n v="0"/>
    <n v="704151.07941000001"/>
    <n v="0"/>
    <n v="0"/>
    <n v="854007.81108453358"/>
    <n v="0"/>
  </r>
  <r>
    <s v="Refaturamento - Regular"/>
    <x v="1"/>
    <x v="3"/>
    <x v="1"/>
    <x v="0"/>
    <x v="1"/>
    <x v="0"/>
    <x v="0"/>
    <x v="10"/>
    <n v="0"/>
    <n v="0"/>
    <n v="-91.113"/>
    <n v="-91.113"/>
    <n v="0"/>
    <n v="0"/>
    <n v="0"/>
    <x v="0"/>
    <n v="0"/>
    <n v="0"/>
    <n v="44"/>
    <n v="0"/>
    <n v="0"/>
    <n v="62.57"/>
    <n v="0"/>
    <m/>
    <n v="75.886085105957733"/>
    <m/>
    <n v="0"/>
    <n v="-5700.9404100000002"/>
    <n v="0"/>
    <n v="0"/>
    <n v="-6914.208872259127"/>
    <n v="0"/>
  </r>
  <r>
    <s v="PROJETADO"/>
    <x v="1"/>
    <x v="3"/>
    <x v="1"/>
    <x v="0"/>
    <x v="1"/>
    <x v="0"/>
    <x v="0"/>
    <x v="11"/>
    <n v="0"/>
    <n v="0"/>
    <n v="11253.813"/>
    <n v="11253.813"/>
    <n v="0"/>
    <n v="0"/>
    <n v="0"/>
    <x v="0"/>
    <n v="0"/>
    <n v="0"/>
    <n v="44"/>
    <n v="0"/>
    <n v="0"/>
    <n v="62.57"/>
    <n v="0"/>
    <m/>
    <n v="75.886085105957733"/>
    <m/>
    <n v="0"/>
    <n v="704151.07941000001"/>
    <n v="0"/>
    <n v="0"/>
    <n v="854007.81108453358"/>
    <n v="0"/>
  </r>
  <r>
    <s v="PROJETADO"/>
    <x v="1"/>
    <x v="3"/>
    <x v="1"/>
    <x v="0"/>
    <x v="1"/>
    <x v="0"/>
    <x v="0"/>
    <x v="11"/>
    <n v="0"/>
    <n v="0"/>
    <n v="-91.113"/>
    <n v="-91.113"/>
    <n v="0"/>
    <n v="0"/>
    <n v="0"/>
    <x v="0"/>
    <n v="0"/>
    <n v="0"/>
    <n v="44"/>
    <n v="0"/>
    <n v="0"/>
    <n v="62.57"/>
    <n v="0"/>
    <m/>
    <n v="75.886085105957733"/>
    <m/>
    <n v="0"/>
    <n v="-5700.9404100000002"/>
    <n v="0"/>
    <n v="0"/>
    <n v="-6914.208872259127"/>
    <n v="0"/>
  </r>
  <r>
    <s v="Regular"/>
    <x v="1"/>
    <x v="3"/>
    <x v="1"/>
    <x v="0"/>
    <x v="1"/>
    <x v="0"/>
    <x v="1"/>
    <x v="0"/>
    <n v="33170"/>
    <n v="14594.8"/>
    <n v="0"/>
    <n v="0"/>
    <n v="0"/>
    <n v="0"/>
    <n v="63"/>
    <x v="0"/>
    <n v="0"/>
    <n v="40"/>
    <n v="0"/>
    <n v="0"/>
    <n v="26.22"/>
    <n v="0"/>
    <n v="0"/>
    <n v="28.891757284072764"/>
    <m/>
    <m/>
    <n v="382675.65599999996"/>
    <n v="0"/>
    <n v="0"/>
    <n v="421669.41920958518"/>
    <n v="0"/>
    <n v="0"/>
  </r>
  <r>
    <s v="Regular"/>
    <x v="1"/>
    <x v="3"/>
    <x v="1"/>
    <x v="0"/>
    <x v="1"/>
    <x v="0"/>
    <x v="1"/>
    <x v="1"/>
    <n v="34049"/>
    <n v="13960.09"/>
    <n v="0"/>
    <n v="0"/>
    <n v="0"/>
    <n v="0"/>
    <n v="64"/>
    <x v="0"/>
    <n v="0"/>
    <n v="40"/>
    <n v="0"/>
    <n v="0"/>
    <n v="26.22"/>
    <n v="0"/>
    <n v="0"/>
    <n v="28.891757284072764"/>
    <m/>
    <m/>
    <n v="366033.55979999999"/>
    <n v="0"/>
    <n v="0"/>
    <n v="403331.53194381134"/>
    <n v="0"/>
    <n v="0"/>
  </r>
  <r>
    <s v="Regular"/>
    <x v="1"/>
    <x v="3"/>
    <x v="1"/>
    <x v="0"/>
    <x v="1"/>
    <x v="0"/>
    <x v="1"/>
    <x v="2"/>
    <n v="35137"/>
    <n v="17568.5"/>
    <n v="0"/>
    <n v="0"/>
    <n v="0"/>
    <n v="0"/>
    <n v="67"/>
    <x v="0"/>
    <n v="0"/>
    <n v="40"/>
    <n v="0"/>
    <n v="0"/>
    <n v="26.22"/>
    <n v="0"/>
    <n v="0"/>
    <n v="28.891757284072764"/>
    <m/>
    <m/>
    <n v="460646.07"/>
    <n v="0"/>
    <n v="0"/>
    <n v="507584.83784523234"/>
    <n v="0"/>
    <n v="0"/>
  </r>
  <r>
    <s v="Regular"/>
    <x v="1"/>
    <x v="3"/>
    <x v="1"/>
    <x v="0"/>
    <x v="1"/>
    <x v="0"/>
    <x v="1"/>
    <x v="3"/>
    <n v="36269"/>
    <n v="16683.740000000002"/>
    <n v="0"/>
    <n v="0"/>
    <n v="0"/>
    <n v="0"/>
    <n v="70"/>
    <x v="0"/>
    <n v="0"/>
    <n v="40"/>
    <n v="0"/>
    <n v="0"/>
    <n v="26.22"/>
    <n v="0"/>
    <n v="0"/>
    <n v="28.891757284072764"/>
    <m/>
    <m/>
    <n v="437447.66280000005"/>
    <n v="0"/>
    <n v="0"/>
    <n v="482022.56667057617"/>
    <n v="0"/>
    <n v="0"/>
  </r>
  <r>
    <s v="Regular"/>
    <x v="1"/>
    <x v="3"/>
    <x v="1"/>
    <x v="0"/>
    <x v="1"/>
    <x v="0"/>
    <x v="1"/>
    <x v="4"/>
    <n v="37278"/>
    <n v="17520.66"/>
    <n v="0"/>
    <n v="0"/>
    <n v="0"/>
    <n v="0"/>
    <n v="71"/>
    <x v="0"/>
    <n v="0"/>
    <n v="40"/>
    <n v="0"/>
    <n v="0"/>
    <n v="26.22"/>
    <n v="0"/>
    <n v="0"/>
    <n v="28.891757284072764"/>
    <m/>
    <m/>
    <n v="459391.70519999997"/>
    <n v="0"/>
    <n v="0"/>
    <n v="506202.65617676231"/>
    <n v="0"/>
    <n v="0"/>
  </r>
  <r>
    <s v="Regular"/>
    <x v="1"/>
    <x v="3"/>
    <x v="1"/>
    <x v="0"/>
    <x v="1"/>
    <x v="0"/>
    <x v="1"/>
    <x v="5"/>
    <n v="37901"/>
    <n v="17813.47"/>
    <n v="0"/>
    <n v="0"/>
    <n v="0"/>
    <n v="0"/>
    <n v="72"/>
    <x v="0"/>
    <n v="0"/>
    <n v="40"/>
    <n v="0"/>
    <n v="0"/>
    <n v="26.22"/>
    <n v="0"/>
    <n v="0"/>
    <n v="28.891757284072764"/>
    <m/>
    <m/>
    <n v="467069.18340000004"/>
    <n v="0"/>
    <n v="0"/>
    <n v="514662.4516271117"/>
    <n v="0"/>
    <n v="0"/>
  </r>
  <r>
    <s v="Regular"/>
    <x v="1"/>
    <x v="3"/>
    <x v="1"/>
    <x v="0"/>
    <x v="1"/>
    <x v="0"/>
    <x v="1"/>
    <x v="6"/>
    <n v="37807"/>
    <n v="17391.22"/>
    <n v="0"/>
    <n v="0"/>
    <n v="0"/>
    <n v="0"/>
    <n v="72"/>
    <x v="0"/>
    <n v="0"/>
    <n v="40"/>
    <n v="0"/>
    <n v="0"/>
    <n v="26.22"/>
    <n v="0"/>
    <n v="0"/>
    <n v="28.891757284072764"/>
    <m/>
    <m/>
    <n v="455997.78840000002"/>
    <n v="0"/>
    <n v="0"/>
    <n v="502462.90711391199"/>
    <n v="0"/>
    <n v="0"/>
  </r>
  <r>
    <s v="Regular"/>
    <x v="1"/>
    <x v="3"/>
    <x v="1"/>
    <x v="0"/>
    <x v="1"/>
    <x v="0"/>
    <x v="1"/>
    <x v="7"/>
    <n v="37786"/>
    <n v="17381.560000000001"/>
    <n v="0"/>
    <n v="0"/>
    <n v="0"/>
    <n v="0"/>
    <n v="72"/>
    <x v="0"/>
    <n v="0"/>
    <n v="40"/>
    <n v="0"/>
    <n v="0"/>
    <n v="26.22"/>
    <n v="0"/>
    <n v="0"/>
    <n v="28.891757284072764"/>
    <m/>
    <m/>
    <n v="455744.50320000004"/>
    <n v="0"/>
    <n v="0"/>
    <n v="502183.8127385478"/>
    <n v="0"/>
    <n v="0"/>
  </r>
  <r>
    <s v="Regular"/>
    <x v="1"/>
    <x v="3"/>
    <x v="1"/>
    <x v="0"/>
    <x v="1"/>
    <x v="0"/>
    <x v="1"/>
    <x v="8"/>
    <n v="36476"/>
    <n v="16049.44"/>
    <n v="0"/>
    <n v="0"/>
    <n v="0"/>
    <n v="0"/>
    <n v="69"/>
    <x v="0"/>
    <n v="0"/>
    <n v="40"/>
    <n v="0"/>
    <n v="0"/>
    <n v="26.22"/>
    <n v="0"/>
    <n v="0"/>
    <n v="28.891757284072764"/>
    <m/>
    <m/>
    <n v="420816.31679999997"/>
    <n v="0"/>
    <n v="0"/>
    <n v="463696.52502528881"/>
    <n v="0"/>
    <n v="0"/>
  </r>
  <r>
    <s v="Regular"/>
    <x v="1"/>
    <x v="3"/>
    <x v="1"/>
    <x v="0"/>
    <x v="1"/>
    <x v="0"/>
    <x v="1"/>
    <x v="9"/>
    <n v="36341"/>
    <n v="15990.04"/>
    <n v="0"/>
    <n v="0"/>
    <n v="0"/>
    <n v="0"/>
    <n v="69"/>
    <x v="0"/>
    <n v="0"/>
    <n v="40"/>
    <n v="0"/>
    <n v="0"/>
    <n v="26.22"/>
    <n v="0"/>
    <n v="0"/>
    <n v="28.891757284072764"/>
    <m/>
    <m/>
    <n v="419258.84879999998"/>
    <n v="0"/>
    <n v="0"/>
    <n v="461980.3546426149"/>
    <n v="0"/>
    <n v="0"/>
  </r>
  <r>
    <s v="Regular"/>
    <x v="1"/>
    <x v="3"/>
    <x v="1"/>
    <x v="0"/>
    <x v="1"/>
    <x v="0"/>
    <x v="1"/>
    <x v="10"/>
    <n v="39911"/>
    <n v="16363.51"/>
    <n v="0"/>
    <n v="0"/>
    <n v="0"/>
    <n v="0"/>
    <n v="71"/>
    <x v="0"/>
    <n v="0"/>
    <n v="40"/>
    <n v="0"/>
    <n v="0"/>
    <n v="26.22"/>
    <n v="0"/>
    <n v="0"/>
    <n v="28.891757284072764"/>
    <m/>
    <m/>
    <n v="429051.23219999997"/>
    <n v="0"/>
    <n v="0"/>
    <n v="472770.55923549749"/>
    <n v="0"/>
    <n v="0"/>
  </r>
  <r>
    <s v="PROJETADO"/>
    <x v="1"/>
    <x v="3"/>
    <x v="1"/>
    <x v="0"/>
    <x v="1"/>
    <x v="0"/>
    <x v="1"/>
    <x v="11"/>
    <n v="39911"/>
    <n v="16363.51"/>
    <n v="0"/>
    <n v="0"/>
    <n v="0"/>
    <n v="0"/>
    <n v="71"/>
    <x v="0"/>
    <n v="0"/>
    <n v="40"/>
    <n v="0"/>
    <n v="0"/>
    <n v="26.22"/>
    <n v="0"/>
    <n v="0"/>
    <n v="28.891757284072764"/>
    <m/>
    <m/>
    <n v="429051.23219999997"/>
    <n v="0"/>
    <n v="0"/>
    <n v="472770.55923549749"/>
    <n v="0"/>
    <n v="0"/>
  </r>
  <r>
    <s v="Regular"/>
    <x v="1"/>
    <x v="3"/>
    <x v="1"/>
    <x v="0"/>
    <x v="1"/>
    <x v="0"/>
    <x v="2"/>
    <x v="0"/>
    <n v="0"/>
    <n v="0"/>
    <n v="632.36800000000005"/>
    <n v="316.18400000000003"/>
    <n v="0"/>
    <n v="0"/>
    <n v="0"/>
    <x v="0"/>
    <n v="0"/>
    <n v="0"/>
    <n v="42"/>
    <n v="0"/>
    <n v="0"/>
    <n v="1330.19"/>
    <n v="0"/>
    <m/>
    <n v="1471.0742690262982"/>
    <m/>
    <n v="0"/>
    <n v="420584.79496000003"/>
    <n v="0"/>
    <n v="0"/>
    <n v="465130.14667781111"/>
    <n v="0"/>
  </r>
  <r>
    <s v="Regular"/>
    <x v="1"/>
    <x v="3"/>
    <x v="1"/>
    <x v="0"/>
    <x v="1"/>
    <x v="0"/>
    <x v="2"/>
    <x v="1"/>
    <n v="0"/>
    <n v="0"/>
    <n v="645.44399999999996"/>
    <n v="367.90307999999999"/>
    <n v="0"/>
    <n v="0"/>
    <n v="0"/>
    <x v="0"/>
    <n v="0"/>
    <n v="0"/>
    <n v="42"/>
    <n v="0"/>
    <n v="0"/>
    <n v="1330.19"/>
    <n v="0"/>
    <m/>
    <n v="1471.0742690262982"/>
    <m/>
    <n v="0"/>
    <n v="489380.99798520003"/>
    <n v="0"/>
    <n v="0"/>
    <n v="541212.75448352366"/>
    <n v="0"/>
  </r>
  <r>
    <s v="Regular"/>
    <x v="1"/>
    <x v="3"/>
    <x v="1"/>
    <x v="0"/>
    <x v="1"/>
    <x v="0"/>
    <x v="2"/>
    <x v="2"/>
    <n v="0"/>
    <n v="0"/>
    <n v="701.73599999999999"/>
    <n v="336.83328"/>
    <n v="0"/>
    <n v="0"/>
    <n v="0"/>
    <x v="0"/>
    <n v="0"/>
    <n v="0"/>
    <n v="42"/>
    <n v="0"/>
    <n v="0"/>
    <n v="1330.19"/>
    <n v="0"/>
    <m/>
    <n v="1471.0742690262982"/>
    <m/>
    <n v="0"/>
    <n v="448052.26072320004"/>
    <n v="0"/>
    <n v="0"/>
    <n v="495506.77115973044"/>
    <n v="0"/>
  </r>
  <r>
    <s v="Regular"/>
    <x v="1"/>
    <x v="3"/>
    <x v="1"/>
    <x v="0"/>
    <x v="1"/>
    <x v="0"/>
    <x v="2"/>
    <x v="3"/>
    <n v="0"/>
    <n v="0"/>
    <n v="767.41800000000001"/>
    <n v="337.66392000000002"/>
    <n v="0"/>
    <n v="0"/>
    <n v="0"/>
    <x v="0"/>
    <n v="0"/>
    <n v="0"/>
    <n v="42"/>
    <n v="0"/>
    <n v="0"/>
    <n v="1330.19"/>
    <n v="0"/>
    <m/>
    <n v="1471.0742690262982"/>
    <m/>
    <n v="0"/>
    <n v="449157.16974480002"/>
    <n v="0"/>
    <n v="0"/>
    <n v="496728.70429055445"/>
    <n v="0"/>
  </r>
  <r>
    <s v="Regular"/>
    <x v="1"/>
    <x v="3"/>
    <x v="1"/>
    <x v="0"/>
    <x v="1"/>
    <x v="0"/>
    <x v="2"/>
    <x v="4"/>
    <n v="0"/>
    <n v="0"/>
    <n v="884.23099999999999"/>
    <n v="389.06164000000001"/>
    <n v="0"/>
    <n v="0"/>
    <n v="0"/>
    <x v="0"/>
    <n v="0"/>
    <n v="0"/>
    <n v="42"/>
    <n v="0"/>
    <n v="0"/>
    <n v="1330.19"/>
    <n v="0"/>
    <m/>
    <n v="1471.0742690262982"/>
    <m/>
    <n v="0"/>
    <n v="517525.90291160002"/>
    <n v="0"/>
    <n v="0"/>
    <n v="572338.56766917277"/>
    <n v="0"/>
  </r>
  <r>
    <s v="Regular"/>
    <x v="1"/>
    <x v="3"/>
    <x v="1"/>
    <x v="0"/>
    <x v="1"/>
    <x v="0"/>
    <x v="2"/>
    <x v="5"/>
    <n v="0"/>
    <n v="0"/>
    <n v="933.57500000000005"/>
    <n v="420.10874999999999"/>
    <n v="0"/>
    <n v="0"/>
    <n v="0"/>
    <x v="0"/>
    <n v="0"/>
    <n v="0"/>
    <n v="42"/>
    <n v="0"/>
    <n v="0"/>
    <n v="1330.19"/>
    <n v="0"/>
    <m/>
    <n v="1471.0742690262982"/>
    <m/>
    <n v="0"/>
    <n v="558824.45816250006"/>
    <n v="0"/>
    <n v="0"/>
    <n v="618011.17231780186"/>
    <n v="0"/>
  </r>
  <r>
    <s v="Regular"/>
    <x v="1"/>
    <x v="3"/>
    <x v="1"/>
    <x v="0"/>
    <x v="1"/>
    <x v="0"/>
    <x v="2"/>
    <x v="6"/>
    <n v="0"/>
    <n v="0"/>
    <n v="748.96299999999997"/>
    <n v="352.01261"/>
    <n v="0"/>
    <n v="0"/>
    <n v="0"/>
    <x v="0"/>
    <n v="0"/>
    <n v="0"/>
    <n v="42"/>
    <n v="0"/>
    <n v="0"/>
    <n v="1330.19"/>
    <n v="0"/>
    <m/>
    <n v="1471.0742690262982"/>
    <m/>
    <n v="0"/>
    <n v="468243.65369589999"/>
    <n v="0"/>
    <n v="0"/>
    <n v="517836.69294378941"/>
    <n v="0"/>
  </r>
  <r>
    <s v="Regular"/>
    <x v="1"/>
    <x v="3"/>
    <x v="1"/>
    <x v="0"/>
    <x v="1"/>
    <x v="0"/>
    <x v="2"/>
    <x v="7"/>
    <n v="0"/>
    <n v="0"/>
    <n v="827.06700000000001"/>
    <n v="380.45082000000002"/>
    <n v="0"/>
    <n v="0"/>
    <n v="0"/>
    <x v="0"/>
    <n v="0"/>
    <n v="0"/>
    <n v="42"/>
    <n v="0"/>
    <n v="0"/>
    <n v="1330.19"/>
    <n v="0"/>
    <m/>
    <n v="1471.0742690262982"/>
    <m/>
    <n v="0"/>
    <n v="506071.87625580007"/>
    <n v="0"/>
    <n v="0"/>
    <n v="559671.41193195584"/>
    <n v="0"/>
  </r>
  <r>
    <s v="Regular"/>
    <x v="1"/>
    <x v="3"/>
    <x v="1"/>
    <x v="0"/>
    <x v="1"/>
    <x v="0"/>
    <x v="2"/>
    <x v="8"/>
    <n v="0"/>
    <n v="0"/>
    <n v="998.30899999999997"/>
    <n v="429.27287000000001"/>
    <n v="0"/>
    <n v="0"/>
    <n v="0"/>
    <x v="0"/>
    <n v="0"/>
    <n v="0"/>
    <n v="42"/>
    <n v="0"/>
    <n v="0"/>
    <n v="1330.19"/>
    <n v="0"/>
    <m/>
    <n v="1471.0742690262982"/>
    <m/>
    <n v="0"/>
    <n v="571014.47894529998"/>
    <n v="0"/>
    <n v="0"/>
    <n v="631492.27344807121"/>
    <n v="0"/>
  </r>
  <r>
    <s v="Regular"/>
    <x v="1"/>
    <x v="3"/>
    <x v="1"/>
    <x v="0"/>
    <x v="1"/>
    <x v="0"/>
    <x v="2"/>
    <x v="9"/>
    <n v="0"/>
    <n v="0"/>
    <n v="815.83100000000002"/>
    <n v="350.80732999999998"/>
    <n v="0"/>
    <n v="0"/>
    <n v="0"/>
    <x v="0"/>
    <n v="0"/>
    <n v="0"/>
    <n v="42"/>
    <n v="0"/>
    <n v="0"/>
    <n v="1330.19"/>
    <n v="0"/>
    <m/>
    <n v="1471.0742690262982"/>
    <m/>
    <n v="0"/>
    <n v="466640.40229270002"/>
    <n v="0"/>
    <n v="0"/>
    <n v="516063.63654881733"/>
    <n v="0"/>
  </r>
  <r>
    <s v="Regular"/>
    <x v="1"/>
    <x v="3"/>
    <x v="1"/>
    <x v="0"/>
    <x v="1"/>
    <x v="0"/>
    <x v="2"/>
    <x v="10"/>
    <n v="0"/>
    <n v="0"/>
    <n v="986.846"/>
    <n v="424.34377999999998"/>
    <n v="0"/>
    <n v="0"/>
    <n v="0"/>
    <x v="0"/>
    <n v="0"/>
    <n v="0"/>
    <n v="42"/>
    <n v="0"/>
    <n v="0"/>
    <n v="1330.19"/>
    <n v="0"/>
    <m/>
    <n v="1471.0742690262982"/>
    <m/>
    <n v="0"/>
    <n v="564457.85271819995"/>
    <n v="0"/>
    <n v="0"/>
    <n v="624241.21597935632"/>
    <n v="0"/>
  </r>
  <r>
    <s v="PROJETADO"/>
    <x v="1"/>
    <x v="3"/>
    <x v="1"/>
    <x v="0"/>
    <x v="1"/>
    <x v="0"/>
    <x v="2"/>
    <x v="11"/>
    <n v="0"/>
    <n v="0"/>
    <n v="986.846"/>
    <n v="424.34377999999998"/>
    <n v="0"/>
    <n v="0"/>
    <n v="0"/>
    <x v="0"/>
    <n v="0"/>
    <n v="0"/>
    <n v="42"/>
    <n v="0"/>
    <n v="0"/>
    <n v="1330.19"/>
    <n v="0"/>
    <m/>
    <n v="1471.0742690262982"/>
    <m/>
    <n v="0"/>
    <n v="564457.85271819995"/>
    <n v="0"/>
    <n v="0"/>
    <n v="624241.21597935632"/>
    <n v="0"/>
  </r>
  <r>
    <s v="Regular"/>
    <x v="1"/>
    <x v="3"/>
    <x v="1"/>
    <x v="0"/>
    <x v="0"/>
    <x v="0"/>
    <x v="0"/>
    <x v="0"/>
    <n v="0"/>
    <n v="0"/>
    <n v="8562.3870000000006"/>
    <n v="8562.3870000000006"/>
    <n v="8562.3870000000006"/>
    <n v="8562.3870000000006"/>
    <n v="0"/>
    <x v="1"/>
    <n v="0"/>
    <n v="0"/>
    <n v="44"/>
    <n v="67"/>
    <n v="0"/>
    <n v="62.57"/>
    <n v="242.82"/>
    <m/>
    <n v="75.886085105957733"/>
    <n v="224.53785920244138"/>
    <n v="0"/>
    <n v="535748.55459000007"/>
    <n v="2079118.81134"/>
    <n v="0"/>
    <n v="649766.02859214612"/>
    <n v="1922580.0466428145"/>
  </r>
  <r>
    <s v="Refaturamento - Regular"/>
    <x v="1"/>
    <x v="3"/>
    <x v="1"/>
    <x v="0"/>
    <x v="0"/>
    <x v="0"/>
    <x v="0"/>
    <x v="0"/>
    <n v="0"/>
    <n v="0"/>
    <n v="-3.2759999999999998"/>
    <n v="-3.2759999999999998"/>
    <n v="-3.2759999999999998"/>
    <n v="-3.2759999999999998"/>
    <n v="0"/>
    <x v="1"/>
    <n v="0"/>
    <n v="0"/>
    <n v="44"/>
    <n v="67"/>
    <n v="0"/>
    <n v="62.57"/>
    <n v="242.82"/>
    <m/>
    <n v="75.886085105957733"/>
    <n v="224.53785920244138"/>
    <n v="0"/>
    <n v="-204.97932"/>
    <n v="-795.47831999999994"/>
    <n v="0"/>
    <n v="-248.60281480711751"/>
    <n v="-735.58602674719793"/>
  </r>
  <r>
    <s v="Sistema de Compensação"/>
    <x v="1"/>
    <x v="3"/>
    <x v="1"/>
    <x v="0"/>
    <x v="0"/>
    <x v="0"/>
    <x v="0"/>
    <x v="0"/>
    <n v="0"/>
    <n v="0"/>
    <n v="488.25599999999997"/>
    <n v="488.25599999999997"/>
    <n v="488.25599999999997"/>
    <n v="488.25599999999997"/>
    <n v="0"/>
    <x v="1"/>
    <n v="0"/>
    <n v="0"/>
    <n v="44"/>
    <n v="67"/>
    <n v="0"/>
    <n v="62.57"/>
    <n v="242.82"/>
    <m/>
    <n v="75.886085105957733"/>
    <n v="224.53785920244138"/>
    <n v="0"/>
    <n v="30550.177919999998"/>
    <n v="118558.32191999999"/>
    <n v="0"/>
    <n v="37051.8363694945"/>
    <n v="109631.95698274722"/>
  </r>
  <r>
    <s v="Regular"/>
    <x v="1"/>
    <x v="3"/>
    <x v="1"/>
    <x v="0"/>
    <x v="0"/>
    <x v="0"/>
    <x v="0"/>
    <x v="0"/>
    <n v="0"/>
    <n v="0"/>
    <n v="634.74599999999998"/>
    <n v="634.74599999999998"/>
    <n v="0"/>
    <n v="0"/>
    <n v="0"/>
    <x v="0"/>
    <n v="0"/>
    <n v="0"/>
    <n v="44"/>
    <n v="0"/>
    <n v="0"/>
    <n v="62.57"/>
    <n v="0"/>
    <m/>
    <n v="75.886085105957733"/>
    <m/>
    <n v="0"/>
    <n v="39716.057220000002"/>
    <n v="0"/>
    <n v="0"/>
    <n v="48168.388976666247"/>
    <n v="0"/>
  </r>
  <r>
    <s v="Regular"/>
    <x v="1"/>
    <x v="3"/>
    <x v="1"/>
    <x v="0"/>
    <x v="0"/>
    <x v="0"/>
    <x v="0"/>
    <x v="1"/>
    <n v="0"/>
    <n v="0"/>
    <n v="8507.3719999999994"/>
    <n v="8507.3719999999994"/>
    <n v="8507.3719999999994"/>
    <n v="8507.3719999999994"/>
    <n v="0"/>
    <x v="1"/>
    <n v="0"/>
    <n v="0"/>
    <n v="44"/>
    <n v="67"/>
    <n v="0"/>
    <n v="62.57"/>
    <n v="242.82"/>
    <m/>
    <n v="75.886085105957733"/>
    <n v="224.53785920244138"/>
    <n v="0"/>
    <n v="532306.26604000002"/>
    <n v="2065760.0690399997"/>
    <n v="0"/>
    <n v="645591.15562004177"/>
    <n v="1910227.0963187921"/>
  </r>
  <r>
    <s v="Sistema de Compensação"/>
    <x v="1"/>
    <x v="3"/>
    <x v="1"/>
    <x v="0"/>
    <x v="0"/>
    <x v="0"/>
    <x v="0"/>
    <x v="1"/>
    <n v="0"/>
    <n v="0"/>
    <n v="452.24900000000002"/>
    <n v="452.24900000000002"/>
    <n v="452.24900000000002"/>
    <n v="452.24900000000002"/>
    <n v="0"/>
    <x v="1"/>
    <n v="0"/>
    <n v="0"/>
    <n v="44"/>
    <n v="67"/>
    <n v="0"/>
    <n v="62.57"/>
    <n v="242.82"/>
    <m/>
    <n v="75.886085105957733"/>
    <n v="224.53785920244138"/>
    <n v="0"/>
    <n v="28297.219930000003"/>
    <n v="109815.10218"/>
    <n v="0"/>
    <n v="34319.406103084279"/>
    <n v="101547.02228644492"/>
  </r>
  <r>
    <s v="Regular"/>
    <x v="1"/>
    <x v="3"/>
    <x v="1"/>
    <x v="0"/>
    <x v="0"/>
    <x v="0"/>
    <x v="0"/>
    <x v="1"/>
    <n v="0"/>
    <n v="0"/>
    <n v="635.75400000000002"/>
    <n v="635.75400000000002"/>
    <n v="0"/>
    <n v="0"/>
    <n v="0"/>
    <x v="0"/>
    <n v="0"/>
    <n v="0"/>
    <n v="44"/>
    <n v="0"/>
    <n v="0"/>
    <n v="62.57"/>
    <n v="0"/>
    <m/>
    <n v="75.886085105957733"/>
    <m/>
    <n v="0"/>
    <n v="39779.127780000003"/>
    <n v="0"/>
    <n v="0"/>
    <n v="48244.882150453057"/>
    <n v="0"/>
  </r>
  <r>
    <s v="Regular"/>
    <x v="1"/>
    <x v="3"/>
    <x v="1"/>
    <x v="0"/>
    <x v="0"/>
    <x v="0"/>
    <x v="0"/>
    <x v="2"/>
    <n v="0"/>
    <n v="0"/>
    <n v="8686.9719999999998"/>
    <n v="8686.9719999999998"/>
    <n v="8686.9719999999998"/>
    <n v="8686.9719999999998"/>
    <n v="0"/>
    <x v="1"/>
    <n v="0"/>
    <n v="0"/>
    <n v="44"/>
    <n v="67"/>
    <n v="0"/>
    <n v="62.57"/>
    <n v="242.82"/>
    <m/>
    <n v="75.886085105957733"/>
    <n v="224.53785920244138"/>
    <n v="0"/>
    <n v="543543.83803999994"/>
    <n v="2109370.54104"/>
    <n v="0"/>
    <n v="659220.2965050718"/>
    <n v="1950554.0958315507"/>
  </r>
  <r>
    <s v="Sistema de Compensação"/>
    <x v="1"/>
    <x v="3"/>
    <x v="1"/>
    <x v="0"/>
    <x v="0"/>
    <x v="0"/>
    <x v="0"/>
    <x v="2"/>
    <n v="0"/>
    <n v="0"/>
    <n v="495.75900000000001"/>
    <n v="495.75900000000001"/>
    <n v="495.75900000000001"/>
    <n v="495.75900000000001"/>
    <n v="0"/>
    <x v="1"/>
    <n v="0"/>
    <n v="0"/>
    <n v="44"/>
    <n v="67"/>
    <n v="0"/>
    <n v="62.57"/>
    <n v="242.82"/>
    <m/>
    <n v="75.886085105957733"/>
    <n v="224.53785920244138"/>
    <n v="0"/>
    <n v="31019.640630000002"/>
    <n v="120380.20037999999"/>
    <n v="0"/>
    <n v="37621.209666044502"/>
    <n v="111316.66454034315"/>
  </r>
  <r>
    <s v="Sistema de Compensação"/>
    <x v="1"/>
    <x v="3"/>
    <x v="1"/>
    <x v="0"/>
    <x v="0"/>
    <x v="0"/>
    <x v="0"/>
    <x v="2"/>
    <n v="0"/>
    <n v="0"/>
    <n v="-3.7570000000000001"/>
    <n v="-3.7570000000000001"/>
    <n v="-3.7570000000000001"/>
    <n v="-3.7570000000000001"/>
    <n v="0"/>
    <x v="1"/>
    <n v="0"/>
    <n v="0"/>
    <n v="44"/>
    <n v="67"/>
    <n v="0"/>
    <n v="62.57"/>
    <n v="242.82"/>
    <m/>
    <n v="75.886085105957733"/>
    <n v="224.53785920244138"/>
    <n v="0"/>
    <n v="-235.07549"/>
    <n v="-912.27473999999995"/>
    <n v="0"/>
    <n v="-285.10402174308319"/>
    <n v="-843.58873702357232"/>
  </r>
  <r>
    <s v="Regular"/>
    <x v="1"/>
    <x v="3"/>
    <x v="1"/>
    <x v="0"/>
    <x v="0"/>
    <x v="0"/>
    <x v="0"/>
    <x v="2"/>
    <n v="0"/>
    <n v="0"/>
    <n v="749.30499999999995"/>
    <n v="749.30499999999995"/>
    <n v="0"/>
    <n v="0"/>
    <n v="0"/>
    <x v="0"/>
    <n v="0"/>
    <n v="0"/>
    <n v="44"/>
    <n v="0"/>
    <n v="0"/>
    <n v="62.57"/>
    <n v="0"/>
    <m/>
    <n v="75.886085105957733"/>
    <m/>
    <n v="0"/>
    <n v="46884.013849999996"/>
    <n v="0"/>
    <n v="0"/>
    <n v="56861.823000319659"/>
    <n v="0"/>
  </r>
  <r>
    <s v="Regular"/>
    <x v="1"/>
    <x v="3"/>
    <x v="1"/>
    <x v="0"/>
    <x v="0"/>
    <x v="0"/>
    <x v="0"/>
    <x v="3"/>
    <n v="0"/>
    <n v="0"/>
    <n v="8424.3109999999997"/>
    <n v="8424.3109999999997"/>
    <n v="8424.3109999999997"/>
    <n v="8424.3109999999997"/>
    <n v="0"/>
    <x v="1"/>
    <n v="0"/>
    <n v="0"/>
    <n v="44"/>
    <n v="67"/>
    <n v="0"/>
    <n v="62.57"/>
    <n v="242.82"/>
    <m/>
    <n v="75.886085105957733"/>
    <n v="224.53785920244138"/>
    <n v="0"/>
    <n v="527109.13926999993"/>
    <n v="2045591.1970199998"/>
    <n v="0"/>
    <n v="639287.98150505591"/>
    <n v="1891576.7571955782"/>
  </r>
  <r>
    <s v="Refaturamento - Regular"/>
    <x v="1"/>
    <x v="3"/>
    <x v="1"/>
    <x v="0"/>
    <x v="0"/>
    <x v="0"/>
    <x v="0"/>
    <x v="3"/>
    <n v="0"/>
    <n v="0"/>
    <n v="-4.5609999999999999"/>
    <n v="-4.5609999999999999"/>
    <n v="-4.5609999999999999"/>
    <n v="-4.5609999999999999"/>
    <n v="0"/>
    <x v="1"/>
    <n v="0"/>
    <n v="0"/>
    <n v="44"/>
    <n v="67"/>
    <n v="0"/>
    <n v="62.57"/>
    <n v="242.82"/>
    <m/>
    <n v="75.886085105957733"/>
    <n v="224.53785920244138"/>
    <n v="0"/>
    <n v="-285.38177000000002"/>
    <n v="-1107.5020199999999"/>
    <n v="0"/>
    <n v="-346.1164341682732"/>
    <n v="-1024.1171758223352"/>
  </r>
  <r>
    <s v="Sistema de Compensação"/>
    <x v="1"/>
    <x v="3"/>
    <x v="1"/>
    <x v="0"/>
    <x v="0"/>
    <x v="0"/>
    <x v="0"/>
    <x v="3"/>
    <n v="0"/>
    <n v="0"/>
    <n v="417.06799999999998"/>
    <n v="417.06799999999998"/>
    <n v="417.06799999999998"/>
    <n v="417.06799999999998"/>
    <n v="0"/>
    <x v="1"/>
    <n v="0"/>
    <n v="0"/>
    <n v="44"/>
    <n v="67"/>
    <n v="0"/>
    <n v="62.57"/>
    <n v="242.82"/>
    <m/>
    <n v="75.886085105957733"/>
    <n v="224.53785920244138"/>
    <n v="0"/>
    <n v="26095.944759999998"/>
    <n v="101272.45176"/>
    <n v="0"/>
    <n v="31649.65774297158"/>
    <n v="93647.555861843823"/>
  </r>
  <r>
    <s v="Regular"/>
    <x v="1"/>
    <x v="3"/>
    <x v="1"/>
    <x v="0"/>
    <x v="0"/>
    <x v="0"/>
    <x v="0"/>
    <x v="3"/>
    <n v="0"/>
    <n v="0"/>
    <n v="876.89200000000005"/>
    <n v="876.89200000000005"/>
    <n v="0"/>
    <n v="0"/>
    <n v="0"/>
    <x v="0"/>
    <n v="0"/>
    <n v="0"/>
    <n v="44"/>
    <n v="0"/>
    <n v="0"/>
    <n v="62.57"/>
    <n v="0"/>
    <m/>
    <n v="75.886085105957733"/>
    <m/>
    <n v="0"/>
    <n v="54867.132440000001"/>
    <n v="0"/>
    <n v="0"/>
    <n v="66543.900940733496"/>
    <n v="0"/>
  </r>
  <r>
    <s v="Regular"/>
    <x v="1"/>
    <x v="3"/>
    <x v="1"/>
    <x v="0"/>
    <x v="0"/>
    <x v="0"/>
    <x v="0"/>
    <x v="4"/>
    <n v="0"/>
    <n v="0"/>
    <n v="8072.3270000000002"/>
    <n v="8072.3270000000002"/>
    <n v="8072.3270000000002"/>
    <n v="8072.3270000000002"/>
    <n v="0"/>
    <x v="1"/>
    <n v="0"/>
    <n v="0"/>
    <n v="44"/>
    <n v="67"/>
    <n v="0"/>
    <n v="62.57"/>
    <n v="242.82"/>
    <m/>
    <n v="75.886085105957733"/>
    <n v="224.53785920244138"/>
    <n v="0"/>
    <n v="505085.50039"/>
    <n v="1960122.4421399999"/>
    <n v="0"/>
    <n v="612577.29372512049"/>
    <n v="1812543.0233620661"/>
  </r>
  <r>
    <s v="Refaturamento - Regular"/>
    <x v="1"/>
    <x v="3"/>
    <x v="1"/>
    <x v="0"/>
    <x v="0"/>
    <x v="0"/>
    <x v="0"/>
    <x v="4"/>
    <n v="0"/>
    <n v="0"/>
    <n v="-34.872"/>
    <n v="-34.872"/>
    <n v="-34.872"/>
    <n v="-34.872"/>
    <n v="0"/>
    <x v="1"/>
    <n v="0"/>
    <n v="0"/>
    <n v="44"/>
    <n v="67"/>
    <n v="0"/>
    <n v="62.57"/>
    <n v="242.82"/>
    <m/>
    <n v="75.886085105957733"/>
    <n v="224.53785920244138"/>
    <n v="0"/>
    <n v="-2181.9410400000002"/>
    <n v="-8467.6190399999996"/>
    <n v="0"/>
    <n v="-2646.2995598149582"/>
    <n v="-7830.0842261075359"/>
  </r>
  <r>
    <s v="Sistema de Compensação"/>
    <x v="1"/>
    <x v="3"/>
    <x v="1"/>
    <x v="0"/>
    <x v="0"/>
    <x v="0"/>
    <x v="0"/>
    <x v="4"/>
    <n v="0"/>
    <n v="0"/>
    <n v="541.48699999999997"/>
    <n v="541.48699999999997"/>
    <n v="541.48699999999997"/>
    <n v="541.48699999999997"/>
    <n v="0"/>
    <x v="1"/>
    <n v="0"/>
    <n v="0"/>
    <n v="44"/>
    <n v="67"/>
    <n v="0"/>
    <n v="62.57"/>
    <n v="242.82"/>
    <m/>
    <n v="75.886085105957733"/>
    <n v="224.53785920244138"/>
    <n v="0"/>
    <n v="33880.841589999996"/>
    <n v="131483.87333999999"/>
    <n v="0"/>
    <n v="41091.328565769734"/>
    <n v="121584.33176595237"/>
  </r>
  <r>
    <s v="Regular"/>
    <x v="1"/>
    <x v="3"/>
    <x v="1"/>
    <x v="0"/>
    <x v="0"/>
    <x v="0"/>
    <x v="0"/>
    <x v="4"/>
    <n v="0"/>
    <n v="0"/>
    <n v="864.14300000000003"/>
    <n v="864.14300000000003"/>
    <n v="0"/>
    <n v="0"/>
    <n v="0"/>
    <x v="0"/>
    <n v="0"/>
    <n v="0"/>
    <n v="44"/>
    <n v="0"/>
    <n v="0"/>
    <n v="62.57"/>
    <n v="0"/>
    <m/>
    <n v="75.886085105957733"/>
    <m/>
    <n v="0"/>
    <n v="54069.427510000001"/>
    <n v="0"/>
    <n v="0"/>
    <n v="65576.429241717633"/>
    <n v="0"/>
  </r>
  <r>
    <s v="Regular"/>
    <x v="1"/>
    <x v="3"/>
    <x v="1"/>
    <x v="0"/>
    <x v="0"/>
    <x v="0"/>
    <x v="0"/>
    <x v="5"/>
    <n v="0"/>
    <n v="0"/>
    <n v="8366.7129999999997"/>
    <n v="8366.7129999999997"/>
    <n v="8366.7129999999997"/>
    <n v="8366.7129999999997"/>
    <n v="0"/>
    <x v="1"/>
    <n v="0"/>
    <n v="0"/>
    <n v="44"/>
    <n v="67"/>
    <n v="0"/>
    <n v="62.57"/>
    <n v="242.82"/>
    <m/>
    <n v="75.886085105957733"/>
    <n v="224.53785920244138"/>
    <n v="0"/>
    <n v="523505.23241"/>
    <n v="2031605.2506599999"/>
    <n v="0"/>
    <n v="634917.09477512294"/>
    <n v="1878643.8255812358"/>
  </r>
  <r>
    <s v="Refaturamento - Regular"/>
    <x v="1"/>
    <x v="3"/>
    <x v="1"/>
    <x v="0"/>
    <x v="0"/>
    <x v="0"/>
    <x v="0"/>
    <x v="5"/>
    <n v="0"/>
    <n v="0"/>
    <n v="2.52"/>
    <n v="2.52"/>
    <n v="2.52"/>
    <n v="2.52"/>
    <n v="0"/>
    <x v="1"/>
    <n v="0"/>
    <n v="0"/>
    <n v="44"/>
    <n v="67"/>
    <n v="0"/>
    <n v="62.57"/>
    <n v="242.82"/>
    <m/>
    <n v="75.886085105957733"/>
    <n v="224.53785920244138"/>
    <n v="0"/>
    <n v="157.6764"/>
    <n v="611.90639999999996"/>
    <n v="0"/>
    <n v="191.23293446701348"/>
    <n v="565.8354051901523"/>
  </r>
  <r>
    <s v="Sistema de Compensação"/>
    <x v="1"/>
    <x v="3"/>
    <x v="1"/>
    <x v="0"/>
    <x v="0"/>
    <x v="0"/>
    <x v="0"/>
    <x v="5"/>
    <n v="0"/>
    <n v="0"/>
    <n v="439.35199999999998"/>
    <n v="439.35199999999998"/>
    <n v="439.35199999999998"/>
    <n v="439.35199999999998"/>
    <n v="0"/>
    <x v="1"/>
    <n v="0"/>
    <n v="0"/>
    <n v="44"/>
    <n v="67"/>
    <n v="0"/>
    <n v="62.57"/>
    <n v="242.82"/>
    <m/>
    <n v="75.886085105957733"/>
    <n v="224.53785920244138"/>
    <n v="0"/>
    <n v="27490.254639999999"/>
    <n v="106683.45263999999"/>
    <n v="0"/>
    <n v="33340.703263472737"/>
    <n v="98651.157516311025"/>
  </r>
  <r>
    <s v="Sistema de Compensação"/>
    <x v="1"/>
    <x v="3"/>
    <x v="1"/>
    <x v="0"/>
    <x v="0"/>
    <x v="0"/>
    <x v="0"/>
    <x v="5"/>
    <n v="0"/>
    <n v="0"/>
    <n v="6.3170000000000002"/>
    <n v="6.3170000000000002"/>
    <n v="6.3170000000000002"/>
    <n v="6.3170000000000002"/>
    <n v="0"/>
    <x v="1"/>
    <n v="0"/>
    <n v="0"/>
    <n v="44"/>
    <n v="67"/>
    <n v="0"/>
    <n v="62.57"/>
    <n v="242.82"/>
    <m/>
    <n v="75.886085105957733"/>
    <n v="224.53785920244138"/>
    <n v="0"/>
    <n v="395.25469000000004"/>
    <n v="1533.8939399999999"/>
    <n v="0"/>
    <n v="479.372399614335"/>
    <n v="1418.4056565818223"/>
  </r>
  <r>
    <s v="Regular"/>
    <x v="1"/>
    <x v="3"/>
    <x v="1"/>
    <x v="0"/>
    <x v="0"/>
    <x v="0"/>
    <x v="0"/>
    <x v="5"/>
    <n v="0"/>
    <n v="0"/>
    <n v="911.78499999999997"/>
    <n v="911.78499999999997"/>
    <n v="0"/>
    <n v="0"/>
    <n v="0"/>
    <x v="0"/>
    <n v="0"/>
    <n v="0"/>
    <n v="44"/>
    <n v="0"/>
    <n v="0"/>
    <n v="62.57"/>
    <n v="0"/>
    <m/>
    <n v="75.886085105957733"/>
    <m/>
    <n v="0"/>
    <n v="57050.387449999995"/>
    <n v="0"/>
    <n v="0"/>
    <n v="69191.794108335671"/>
    <n v="0"/>
  </r>
  <r>
    <s v="Regular"/>
    <x v="1"/>
    <x v="3"/>
    <x v="1"/>
    <x v="0"/>
    <x v="0"/>
    <x v="0"/>
    <x v="0"/>
    <x v="6"/>
    <n v="0"/>
    <n v="0"/>
    <n v="8080.3040000000001"/>
    <n v="8080.3040000000001"/>
    <n v="8080.3040000000001"/>
    <n v="8080.3040000000001"/>
    <n v="0"/>
    <x v="1"/>
    <n v="0"/>
    <n v="0"/>
    <n v="44"/>
    <n v="67"/>
    <n v="0"/>
    <n v="62.57"/>
    <n v="242.82"/>
    <m/>
    <n v="75.886085105957733"/>
    <n v="224.53785920244138"/>
    <n v="0"/>
    <n v="505584.62128000002"/>
    <n v="1962059.4172799999"/>
    <n v="0"/>
    <n v="613182.63702601066"/>
    <n v="1814334.161864924"/>
  </r>
  <r>
    <s v="Sistema de Compensação"/>
    <x v="1"/>
    <x v="3"/>
    <x v="1"/>
    <x v="0"/>
    <x v="0"/>
    <x v="0"/>
    <x v="0"/>
    <x v="6"/>
    <n v="0"/>
    <n v="0"/>
    <n v="494.40499999999997"/>
    <n v="494.40499999999997"/>
    <n v="494.40499999999997"/>
    <n v="494.40499999999997"/>
    <n v="0"/>
    <x v="1"/>
    <n v="0"/>
    <n v="0"/>
    <n v="44"/>
    <n v="67"/>
    <n v="0"/>
    <n v="62.57"/>
    <n v="242.82"/>
    <m/>
    <n v="75.886085105957733"/>
    <n v="224.53785920244138"/>
    <n v="0"/>
    <n v="30934.920849999999"/>
    <n v="120051.4221"/>
    <n v="0"/>
    <n v="37518.459906811033"/>
    <n v="111012.64027898303"/>
  </r>
  <r>
    <s v="Sistema de Compensação"/>
    <x v="1"/>
    <x v="3"/>
    <x v="1"/>
    <x v="0"/>
    <x v="0"/>
    <x v="0"/>
    <x v="0"/>
    <x v="6"/>
    <n v="0"/>
    <n v="0"/>
    <n v="-2.66"/>
    <n v="-2.66"/>
    <n v="-2.66"/>
    <n v="-2.66"/>
    <n v="0"/>
    <x v="1"/>
    <n v="0"/>
    <n v="0"/>
    <n v="44"/>
    <n v="67"/>
    <n v="0"/>
    <n v="62.57"/>
    <n v="242.82"/>
    <m/>
    <n v="75.886085105957733"/>
    <n v="224.53785920244138"/>
    <n v="0"/>
    <n v="-166.43620000000001"/>
    <n v="-645.90120000000002"/>
    <n v="0"/>
    <n v="-201.85698638184758"/>
    <n v="-597.27070547849416"/>
  </r>
  <r>
    <s v="Regular"/>
    <x v="1"/>
    <x v="3"/>
    <x v="1"/>
    <x v="0"/>
    <x v="0"/>
    <x v="0"/>
    <x v="0"/>
    <x v="6"/>
    <n v="0"/>
    <n v="0"/>
    <n v="971.80700000000002"/>
    <n v="971.80700000000002"/>
    <n v="0"/>
    <n v="0"/>
    <n v="0"/>
    <x v="0"/>
    <n v="0"/>
    <n v="0"/>
    <n v="44"/>
    <n v="0"/>
    <n v="0"/>
    <n v="62.57"/>
    <n v="0"/>
    <m/>
    <n v="75.886085105957733"/>
    <m/>
    <n v="0"/>
    <n v="60805.963990000004"/>
    <n v="0"/>
    <n v="0"/>
    <n v="73746.628708565462"/>
    <n v="0"/>
  </r>
  <r>
    <s v="Regular"/>
    <x v="1"/>
    <x v="3"/>
    <x v="1"/>
    <x v="0"/>
    <x v="0"/>
    <x v="0"/>
    <x v="0"/>
    <x v="7"/>
    <n v="0"/>
    <n v="0"/>
    <n v="8511.68"/>
    <n v="8511.68"/>
    <n v="8511.68"/>
    <n v="8511.68"/>
    <n v="0"/>
    <x v="1"/>
    <n v="0"/>
    <n v="0"/>
    <n v="44"/>
    <n v="67"/>
    <n v="0"/>
    <n v="62.57"/>
    <n v="242.82"/>
    <m/>
    <n v="75.886085105957733"/>
    <n v="224.53785920244138"/>
    <n v="0"/>
    <n v="532575.81760000007"/>
    <n v="2066806.1376"/>
    <n v="0"/>
    <n v="645918.0728746783"/>
    <n v="1911194.4054162363"/>
  </r>
  <r>
    <s v="Sistema de Compensação"/>
    <x v="1"/>
    <x v="3"/>
    <x v="1"/>
    <x v="0"/>
    <x v="0"/>
    <x v="0"/>
    <x v="0"/>
    <x v="7"/>
    <n v="0"/>
    <n v="0"/>
    <n v="611.16399999999999"/>
    <n v="611.16399999999999"/>
    <n v="611.16399999999999"/>
    <n v="611.16399999999999"/>
    <n v="0"/>
    <x v="1"/>
    <n v="0"/>
    <n v="0"/>
    <n v="44"/>
    <n v="67"/>
    <n v="0"/>
    <n v="62.57"/>
    <n v="242.82"/>
    <m/>
    <n v="75.886085105957733"/>
    <n v="224.53785920244138"/>
    <n v="0"/>
    <n v="38240.531479999998"/>
    <n v="148402.84247999999"/>
    <n v="0"/>
    <n v="46378.843317697552"/>
    <n v="137229.45618160089"/>
  </r>
  <r>
    <s v="Regular"/>
    <x v="1"/>
    <x v="3"/>
    <x v="1"/>
    <x v="0"/>
    <x v="0"/>
    <x v="0"/>
    <x v="0"/>
    <x v="7"/>
    <n v="0"/>
    <n v="0"/>
    <n v="718.24699999999996"/>
    <n v="718.24699999999996"/>
    <n v="0"/>
    <n v="0"/>
    <n v="0"/>
    <x v="0"/>
    <n v="0"/>
    <n v="0"/>
    <n v="44"/>
    <n v="0"/>
    <n v="0"/>
    <n v="62.57"/>
    <n v="0"/>
    <m/>
    <n v="75.886085105957733"/>
    <m/>
    <n v="0"/>
    <n v="44940.714789999998"/>
    <n v="0"/>
    <n v="0"/>
    <n v="54504.95296909882"/>
    <n v="0"/>
  </r>
  <r>
    <s v="Regular"/>
    <x v="1"/>
    <x v="3"/>
    <x v="1"/>
    <x v="0"/>
    <x v="0"/>
    <x v="0"/>
    <x v="0"/>
    <x v="8"/>
    <n v="0"/>
    <n v="0"/>
    <n v="8209.9879999999994"/>
    <n v="8209.9879999999994"/>
    <n v="8209.9879999999994"/>
    <n v="8209.9879999999994"/>
    <n v="0"/>
    <x v="1"/>
    <n v="0"/>
    <n v="0"/>
    <n v="44"/>
    <n v="67"/>
    <n v="0"/>
    <n v="62.57"/>
    <n v="242.82"/>
    <m/>
    <n v="75.886085105957733"/>
    <n v="224.53785920244138"/>
    <n v="0"/>
    <n v="513698.94915999996"/>
    <n v="1993549.2861599999"/>
    <n v="0"/>
    <n v="623023.8480868917"/>
    <n v="1843453.1295977333"/>
  </r>
  <r>
    <s v="Sistema de Compensação"/>
    <x v="1"/>
    <x v="3"/>
    <x v="1"/>
    <x v="0"/>
    <x v="0"/>
    <x v="0"/>
    <x v="0"/>
    <x v="8"/>
    <n v="0"/>
    <n v="0"/>
    <n v="578.93200000000002"/>
    <n v="578.93200000000002"/>
    <n v="578.93200000000002"/>
    <n v="578.93200000000002"/>
    <n v="0"/>
    <x v="1"/>
    <n v="0"/>
    <n v="0"/>
    <n v="44"/>
    <n v="67"/>
    <n v="0"/>
    <n v="62.57"/>
    <n v="242.82"/>
    <m/>
    <n v="75.886085105957733"/>
    <n v="224.53785920244138"/>
    <n v="0"/>
    <n v="36223.775240000003"/>
    <n v="140576.26824"/>
    <n v="0"/>
    <n v="43932.883022562324"/>
    <n v="129992.1519037878"/>
  </r>
  <r>
    <s v="Regular"/>
    <x v="1"/>
    <x v="3"/>
    <x v="1"/>
    <x v="0"/>
    <x v="0"/>
    <x v="0"/>
    <x v="0"/>
    <x v="8"/>
    <n v="0"/>
    <n v="0"/>
    <n v="303.14699999999999"/>
    <n v="303.14699999999999"/>
    <n v="0"/>
    <n v="0"/>
    <n v="0"/>
    <x v="0"/>
    <n v="0"/>
    <n v="0"/>
    <n v="44"/>
    <n v="0"/>
    <n v="0"/>
    <n v="62.57"/>
    <n v="0"/>
    <m/>
    <n v="75.886085105957733"/>
    <m/>
    <n v="0"/>
    <n v="18967.907790000001"/>
    <n v="0"/>
    <n v="0"/>
    <n v="23004.639041615766"/>
    <n v="0"/>
  </r>
  <r>
    <s v="Regular"/>
    <x v="1"/>
    <x v="3"/>
    <x v="1"/>
    <x v="0"/>
    <x v="0"/>
    <x v="0"/>
    <x v="0"/>
    <x v="9"/>
    <n v="0"/>
    <n v="0"/>
    <n v="8228.134"/>
    <n v="8228.134"/>
    <n v="8228.134"/>
    <n v="8228.134"/>
    <n v="0"/>
    <x v="1"/>
    <n v="0"/>
    <n v="0"/>
    <n v="44"/>
    <n v="67"/>
    <n v="0"/>
    <n v="62.57"/>
    <n v="242.82"/>
    <m/>
    <n v="75.886085105957733"/>
    <n v="224.53785920244138"/>
    <n v="0"/>
    <n v="514834.34438000002"/>
    <n v="1997955.4978799999"/>
    <n v="0"/>
    <n v="624400.87698722444"/>
    <n v="1847527.5935908209"/>
  </r>
  <r>
    <s v="Refaturamento - Regular"/>
    <x v="1"/>
    <x v="3"/>
    <x v="1"/>
    <x v="0"/>
    <x v="0"/>
    <x v="0"/>
    <x v="0"/>
    <x v="9"/>
    <n v="0"/>
    <n v="0"/>
    <n v="3.3479999999999999"/>
    <n v="3.3479999999999999"/>
    <n v="3.3479999999999999"/>
    <n v="3.3479999999999999"/>
    <n v="0"/>
    <x v="1"/>
    <n v="0"/>
    <n v="0"/>
    <n v="44"/>
    <n v="67"/>
    <n v="0"/>
    <n v="62.57"/>
    <n v="242.82"/>
    <m/>
    <n v="75.886085105957733"/>
    <n v="224.53785920244138"/>
    <n v="0"/>
    <n v="209.48435999999998"/>
    <n v="812.9613599999999"/>
    <n v="0"/>
    <n v="254.06661293474647"/>
    <n v="751.75275260977367"/>
  </r>
  <r>
    <s v="Sistema de Compensação"/>
    <x v="1"/>
    <x v="3"/>
    <x v="1"/>
    <x v="0"/>
    <x v="0"/>
    <x v="0"/>
    <x v="0"/>
    <x v="9"/>
    <n v="0"/>
    <n v="0"/>
    <n v="699.226"/>
    <n v="699.226"/>
    <n v="699.226"/>
    <n v="699.226"/>
    <n v="0"/>
    <x v="1"/>
    <n v="0"/>
    <n v="0"/>
    <n v="44"/>
    <n v="67"/>
    <n v="0"/>
    <n v="62.57"/>
    <n v="242.82"/>
    <m/>
    <n v="75.886085105957733"/>
    <n v="224.53785920244138"/>
    <n v="0"/>
    <n v="43750.570820000001"/>
    <n v="169786.05731999999"/>
    <n v="0"/>
    <n v="53061.5237442984"/>
    <n v="157002.70913868627"/>
  </r>
  <r>
    <s v="Regular"/>
    <x v="1"/>
    <x v="3"/>
    <x v="1"/>
    <x v="0"/>
    <x v="0"/>
    <x v="0"/>
    <x v="0"/>
    <x v="9"/>
    <n v="0"/>
    <n v="0"/>
    <n v="550.42499999999995"/>
    <n v="550.42499999999995"/>
    <n v="0"/>
    <n v="0"/>
    <n v="0"/>
    <x v="0"/>
    <n v="0"/>
    <n v="0"/>
    <n v="44"/>
    <n v="0"/>
    <n v="0"/>
    <n v="62.57"/>
    <n v="0"/>
    <m/>
    <n v="75.886085105957733"/>
    <m/>
    <n v="0"/>
    <n v="34440.092249999994"/>
    <n v="0"/>
    <n v="0"/>
    <n v="41769.598394446781"/>
    <n v="0"/>
  </r>
  <r>
    <s v="Regular"/>
    <x v="1"/>
    <x v="3"/>
    <x v="1"/>
    <x v="0"/>
    <x v="0"/>
    <x v="0"/>
    <x v="0"/>
    <x v="10"/>
    <n v="0"/>
    <n v="0"/>
    <n v="7850.5230000000001"/>
    <n v="7850.5230000000001"/>
    <n v="7850.5230000000001"/>
    <n v="7850.5230000000001"/>
    <n v="0"/>
    <x v="1"/>
    <n v="0"/>
    <n v="0"/>
    <n v="44"/>
    <n v="67"/>
    <n v="0"/>
    <n v="62.57"/>
    <n v="242.82"/>
    <m/>
    <n v="75.886085105957733"/>
    <n v="224.53785920244138"/>
    <n v="0"/>
    <n v="491207.22411000001"/>
    <n v="1906263.99486"/>
    <n v="0"/>
    <n v="595745.45650427858"/>
    <n v="1762739.6280395277"/>
  </r>
  <r>
    <s v="Refaturamento - Regular"/>
    <x v="1"/>
    <x v="3"/>
    <x v="1"/>
    <x v="0"/>
    <x v="0"/>
    <x v="0"/>
    <x v="0"/>
    <x v="10"/>
    <n v="0"/>
    <n v="0"/>
    <n v="-16.785"/>
    <n v="-16.785"/>
    <n v="-16.785"/>
    <n v="-16.785"/>
    <n v="0"/>
    <x v="1"/>
    <n v="0"/>
    <n v="0"/>
    <n v="44"/>
    <n v="67"/>
    <n v="0"/>
    <n v="62.57"/>
    <n v="242.82"/>
    <m/>
    <n v="75.886085105957733"/>
    <n v="224.53785920244138"/>
    <n v="0"/>
    <n v="-1050.2374500000001"/>
    <n v="-4075.7336999999998"/>
    <n v="0"/>
    <n v="-1273.7479385035006"/>
    <n v="-3768.8679667129786"/>
  </r>
  <r>
    <s v="Sistema de Compensação"/>
    <x v="1"/>
    <x v="3"/>
    <x v="1"/>
    <x v="0"/>
    <x v="0"/>
    <x v="0"/>
    <x v="0"/>
    <x v="10"/>
    <n v="0"/>
    <n v="0"/>
    <n v="751.44600000000003"/>
    <n v="751.44600000000003"/>
    <n v="751.44600000000003"/>
    <n v="751.44600000000003"/>
    <n v="0"/>
    <x v="1"/>
    <n v="0"/>
    <n v="0"/>
    <n v="44"/>
    <n v="67"/>
    <n v="0"/>
    <n v="62.57"/>
    <n v="242.82"/>
    <m/>
    <n v="75.886085105957733"/>
    <n v="224.53785920244138"/>
    <n v="0"/>
    <n v="47017.976220000004"/>
    <n v="182466.11772000001"/>
    <n v="0"/>
    <n v="57024.295108531514"/>
    <n v="168728.07614623778"/>
  </r>
  <r>
    <s v="PROJETADO"/>
    <x v="1"/>
    <x v="3"/>
    <x v="1"/>
    <x v="0"/>
    <x v="0"/>
    <x v="0"/>
    <x v="0"/>
    <x v="11"/>
    <n v="0"/>
    <n v="0"/>
    <n v="7850.5230000000001"/>
    <n v="7850.5230000000001"/>
    <n v="7850.5230000000001"/>
    <n v="7850.5230000000001"/>
    <n v="0"/>
    <x v="1"/>
    <n v="0"/>
    <n v="0"/>
    <n v="44"/>
    <n v="67"/>
    <n v="0"/>
    <n v="62.57"/>
    <n v="242.82"/>
    <m/>
    <n v="75.886085105957733"/>
    <n v="224.53785920244138"/>
    <n v="0"/>
    <n v="491207.22411000001"/>
    <n v="1906263.99486"/>
    <n v="0"/>
    <n v="595745.45650427858"/>
    <n v="1762739.6280395277"/>
  </r>
  <r>
    <s v="PROJETADO"/>
    <x v="1"/>
    <x v="3"/>
    <x v="1"/>
    <x v="0"/>
    <x v="0"/>
    <x v="0"/>
    <x v="0"/>
    <x v="11"/>
    <n v="0"/>
    <n v="0"/>
    <n v="-16.785"/>
    <n v="-16.785"/>
    <n v="-16.785"/>
    <n v="-16.785"/>
    <n v="0"/>
    <x v="1"/>
    <n v="0"/>
    <n v="0"/>
    <n v="44"/>
    <n v="67"/>
    <n v="0"/>
    <n v="62.57"/>
    <n v="242.82"/>
    <m/>
    <n v="75.886085105957733"/>
    <n v="224.53785920244138"/>
    <n v="0"/>
    <n v="-1050.2374500000001"/>
    <n v="-4075.7336999999998"/>
    <n v="0"/>
    <n v="-1273.7479385035006"/>
    <n v="-3768.8679667129786"/>
  </r>
  <r>
    <s v="PROJETADO"/>
    <x v="1"/>
    <x v="3"/>
    <x v="1"/>
    <x v="0"/>
    <x v="0"/>
    <x v="0"/>
    <x v="0"/>
    <x v="11"/>
    <n v="0"/>
    <n v="0"/>
    <n v="751.44600000000003"/>
    <n v="751.44600000000003"/>
    <n v="751.44600000000003"/>
    <n v="751.44600000000003"/>
    <n v="0"/>
    <x v="1"/>
    <n v="0"/>
    <n v="0"/>
    <n v="44"/>
    <n v="67"/>
    <n v="0"/>
    <n v="62.57"/>
    <n v="242.82"/>
    <m/>
    <n v="75.886085105957733"/>
    <n v="224.53785920244138"/>
    <n v="0"/>
    <n v="47017.976220000004"/>
    <n v="182466.11772000001"/>
    <n v="0"/>
    <n v="57024.295108531514"/>
    <n v="168728.07614623778"/>
  </r>
  <r>
    <s v="Regular"/>
    <x v="1"/>
    <x v="3"/>
    <x v="1"/>
    <x v="0"/>
    <x v="0"/>
    <x v="0"/>
    <x v="1"/>
    <x v="0"/>
    <n v="45717"/>
    <n v="45717"/>
    <n v="0"/>
    <n v="0"/>
    <n v="0"/>
    <n v="0"/>
    <n v="268"/>
    <x v="1"/>
    <n v="0"/>
    <n v="40"/>
    <n v="0"/>
    <n v="0"/>
    <n v="26.22"/>
    <n v="0"/>
    <n v="0"/>
    <n v="28.891757284072764"/>
    <m/>
    <m/>
    <n v="1198699.74"/>
    <n v="0"/>
    <n v="0"/>
    <n v="1320844.4677559545"/>
    <n v="0"/>
    <n v="0"/>
  </r>
  <r>
    <s v="Refaturamento - Regular"/>
    <x v="1"/>
    <x v="3"/>
    <x v="1"/>
    <x v="0"/>
    <x v="0"/>
    <x v="0"/>
    <x v="1"/>
    <x v="0"/>
    <n v="-68"/>
    <n v="-68"/>
    <n v="0"/>
    <n v="0"/>
    <n v="0"/>
    <n v="0"/>
    <n v="-1"/>
    <x v="1"/>
    <n v="0"/>
    <n v="40"/>
    <n v="0"/>
    <n v="0"/>
    <n v="26.22"/>
    <n v="0"/>
    <n v="0"/>
    <n v="28.891757284072764"/>
    <m/>
    <m/>
    <n v="-1782.96"/>
    <n v="0"/>
    <n v="0"/>
    <n v="-1964.6394953169479"/>
    <n v="0"/>
    <n v="0"/>
  </r>
  <r>
    <s v="Sistema de Compensação"/>
    <x v="1"/>
    <x v="3"/>
    <x v="1"/>
    <x v="0"/>
    <x v="0"/>
    <x v="0"/>
    <x v="1"/>
    <x v="0"/>
    <n v="8081"/>
    <n v="8081"/>
    <n v="0"/>
    <n v="0"/>
    <n v="0"/>
    <n v="0"/>
    <n v="41"/>
    <x v="1"/>
    <n v="0"/>
    <n v="40"/>
    <n v="0"/>
    <n v="0"/>
    <n v="26.22"/>
    <n v="0"/>
    <n v="0"/>
    <n v="28.891757284072764"/>
    <m/>
    <m/>
    <n v="211883.81999999998"/>
    <n v="0"/>
    <n v="0"/>
    <n v="233474.29061259201"/>
    <n v="0"/>
    <n v="0"/>
  </r>
  <r>
    <s v="Regular"/>
    <x v="1"/>
    <x v="3"/>
    <x v="1"/>
    <x v="0"/>
    <x v="0"/>
    <x v="0"/>
    <x v="1"/>
    <x v="0"/>
    <n v="3500"/>
    <n v="3500"/>
    <n v="0"/>
    <n v="0"/>
    <n v="0"/>
    <n v="0"/>
    <n v="1"/>
    <x v="0"/>
    <n v="0"/>
    <n v="40"/>
    <n v="0"/>
    <n v="0"/>
    <n v="26.22"/>
    <n v="0"/>
    <n v="0"/>
    <n v="28.891757284072764"/>
    <m/>
    <m/>
    <n v="91770"/>
    <n v="0"/>
    <n v="0"/>
    <n v="101121.15049425467"/>
    <n v="0"/>
    <n v="0"/>
  </r>
  <r>
    <s v="Regular"/>
    <x v="1"/>
    <x v="3"/>
    <x v="1"/>
    <x v="0"/>
    <x v="0"/>
    <x v="0"/>
    <x v="1"/>
    <x v="1"/>
    <n v="47100"/>
    <n v="47100"/>
    <n v="0"/>
    <n v="0"/>
    <n v="0"/>
    <n v="0"/>
    <n v="272"/>
    <x v="1"/>
    <n v="0"/>
    <n v="40"/>
    <n v="0"/>
    <n v="0"/>
    <n v="26.22"/>
    <n v="0"/>
    <n v="0"/>
    <n v="28.891757284072764"/>
    <m/>
    <m/>
    <n v="1234962"/>
    <n v="0"/>
    <n v="0"/>
    <n v="1360801.7680798271"/>
    <n v="0"/>
    <n v="0"/>
  </r>
  <r>
    <s v="Sistema de Compensação"/>
    <x v="1"/>
    <x v="3"/>
    <x v="1"/>
    <x v="0"/>
    <x v="0"/>
    <x v="0"/>
    <x v="1"/>
    <x v="1"/>
    <n v="8166"/>
    <n v="8166"/>
    <n v="0"/>
    <n v="0"/>
    <n v="0"/>
    <n v="0"/>
    <n v="39"/>
    <x v="1"/>
    <n v="0"/>
    <n v="40"/>
    <n v="0"/>
    <n v="0"/>
    <n v="26.22"/>
    <n v="0"/>
    <n v="0"/>
    <n v="28.891757284072764"/>
    <m/>
    <m/>
    <n v="214112.52"/>
    <n v="0"/>
    <n v="0"/>
    <n v="235930.08998173819"/>
    <n v="0"/>
    <n v="0"/>
  </r>
  <r>
    <s v="Regular"/>
    <x v="1"/>
    <x v="3"/>
    <x v="1"/>
    <x v="0"/>
    <x v="0"/>
    <x v="0"/>
    <x v="1"/>
    <x v="1"/>
    <n v="3500"/>
    <n v="3500"/>
    <n v="0"/>
    <n v="0"/>
    <n v="0"/>
    <n v="0"/>
    <n v="1"/>
    <x v="0"/>
    <n v="0"/>
    <n v="40"/>
    <n v="0"/>
    <n v="0"/>
    <n v="26.22"/>
    <n v="0"/>
    <n v="0"/>
    <n v="28.891757284072764"/>
    <m/>
    <m/>
    <n v="91770"/>
    <n v="0"/>
    <n v="0"/>
    <n v="101121.15049425467"/>
    <n v="0"/>
    <n v="0"/>
  </r>
  <r>
    <s v="Regular"/>
    <x v="1"/>
    <x v="3"/>
    <x v="1"/>
    <x v="0"/>
    <x v="0"/>
    <x v="0"/>
    <x v="1"/>
    <x v="2"/>
    <n v="48389"/>
    <n v="48389"/>
    <n v="0"/>
    <n v="0"/>
    <n v="0"/>
    <n v="0"/>
    <n v="269"/>
    <x v="1"/>
    <n v="0"/>
    <n v="40"/>
    <n v="0"/>
    <n v="0"/>
    <n v="26.22"/>
    <n v="0"/>
    <n v="0"/>
    <n v="28.891757284072764"/>
    <m/>
    <m/>
    <n v="1268759.5799999998"/>
    <n v="0"/>
    <n v="0"/>
    <n v="1398043.243218997"/>
    <n v="0"/>
    <n v="0"/>
  </r>
  <r>
    <s v="Sistema de Compensação"/>
    <x v="1"/>
    <x v="3"/>
    <x v="1"/>
    <x v="0"/>
    <x v="0"/>
    <x v="0"/>
    <x v="1"/>
    <x v="2"/>
    <n v="8261"/>
    <n v="8261"/>
    <n v="0"/>
    <n v="0"/>
    <n v="0"/>
    <n v="0"/>
    <n v="40"/>
    <x v="1"/>
    <n v="0"/>
    <n v="40"/>
    <n v="0"/>
    <n v="0"/>
    <n v="26.22"/>
    <n v="0"/>
    <n v="0"/>
    <n v="28.891757284072764"/>
    <m/>
    <m/>
    <n v="216603.41999999998"/>
    <n v="0"/>
    <n v="0"/>
    <n v="238674.80692372509"/>
    <n v="0"/>
    <n v="0"/>
  </r>
  <r>
    <s v="Sistema de Compensação"/>
    <x v="1"/>
    <x v="3"/>
    <x v="1"/>
    <x v="0"/>
    <x v="0"/>
    <x v="0"/>
    <x v="1"/>
    <x v="2"/>
    <n v="-100"/>
    <n v="-100"/>
    <n v="0"/>
    <n v="0"/>
    <n v="0"/>
    <n v="0"/>
    <n v="-1"/>
    <x v="1"/>
    <n v="0"/>
    <n v="40"/>
    <n v="0"/>
    <n v="0"/>
    <n v="26.22"/>
    <n v="0"/>
    <n v="0"/>
    <n v="28.891757284072764"/>
    <m/>
    <m/>
    <n v="-2622"/>
    <n v="0"/>
    <n v="0"/>
    <n v="-2889.1757284072764"/>
    <n v="0"/>
    <n v="0"/>
  </r>
  <r>
    <s v="Regular"/>
    <x v="1"/>
    <x v="3"/>
    <x v="1"/>
    <x v="0"/>
    <x v="0"/>
    <x v="0"/>
    <x v="1"/>
    <x v="2"/>
    <n v="3500"/>
    <n v="3500"/>
    <n v="0"/>
    <n v="0"/>
    <n v="0"/>
    <n v="0"/>
    <n v="1"/>
    <x v="0"/>
    <n v="0"/>
    <n v="40"/>
    <n v="0"/>
    <n v="0"/>
    <n v="26.22"/>
    <n v="0"/>
    <n v="0"/>
    <n v="28.891757284072764"/>
    <m/>
    <m/>
    <n v="91770"/>
    <n v="0"/>
    <n v="0"/>
    <n v="101121.15049425467"/>
    <n v="0"/>
    <n v="0"/>
  </r>
  <r>
    <s v="Regular"/>
    <x v="1"/>
    <x v="3"/>
    <x v="1"/>
    <x v="0"/>
    <x v="0"/>
    <x v="0"/>
    <x v="1"/>
    <x v="3"/>
    <n v="48076"/>
    <n v="48076"/>
    <n v="0"/>
    <n v="0"/>
    <n v="0"/>
    <n v="0"/>
    <n v="267"/>
    <x v="1"/>
    <n v="0"/>
    <n v="40"/>
    <n v="0"/>
    <n v="0"/>
    <n v="26.22"/>
    <n v="0"/>
    <n v="0"/>
    <n v="28.891757284072764"/>
    <m/>
    <m/>
    <n v="1260552.72"/>
    <n v="0"/>
    <n v="0"/>
    <n v="1389000.1231890821"/>
    <n v="0"/>
    <n v="0"/>
  </r>
  <r>
    <s v="Refaturamento - Regular"/>
    <x v="1"/>
    <x v="3"/>
    <x v="1"/>
    <x v="0"/>
    <x v="0"/>
    <x v="0"/>
    <x v="1"/>
    <x v="3"/>
    <n v="45"/>
    <n v="45"/>
    <n v="0"/>
    <n v="0"/>
    <n v="0"/>
    <n v="0"/>
    <n v="0"/>
    <x v="1"/>
    <n v="0"/>
    <n v="40"/>
    <n v="0"/>
    <n v="0"/>
    <n v="26.22"/>
    <n v="0"/>
    <n v="0"/>
    <n v="28.891757284072764"/>
    <m/>
    <m/>
    <n v="1179.8999999999999"/>
    <n v="0"/>
    <n v="0"/>
    <n v="1300.1290777832744"/>
    <n v="0"/>
    <n v="0"/>
  </r>
  <r>
    <s v="Sistema de Compensação"/>
    <x v="1"/>
    <x v="3"/>
    <x v="1"/>
    <x v="0"/>
    <x v="0"/>
    <x v="0"/>
    <x v="1"/>
    <x v="3"/>
    <n v="8387"/>
    <n v="8387"/>
    <n v="0"/>
    <n v="0"/>
    <n v="0"/>
    <n v="0"/>
    <n v="41"/>
    <x v="1"/>
    <n v="0"/>
    <n v="40"/>
    <n v="0"/>
    <n v="0"/>
    <n v="26.22"/>
    <n v="0"/>
    <n v="0"/>
    <n v="28.891757284072764"/>
    <m/>
    <m/>
    <n v="219907.13999999998"/>
    <n v="0"/>
    <n v="0"/>
    <n v="242315.16834151826"/>
    <n v="0"/>
    <n v="0"/>
  </r>
  <r>
    <s v="Regular"/>
    <x v="1"/>
    <x v="3"/>
    <x v="1"/>
    <x v="0"/>
    <x v="0"/>
    <x v="0"/>
    <x v="1"/>
    <x v="3"/>
    <n v="3500"/>
    <n v="3500"/>
    <n v="0"/>
    <n v="0"/>
    <n v="0"/>
    <n v="0"/>
    <n v="1"/>
    <x v="0"/>
    <n v="0"/>
    <n v="40"/>
    <n v="0"/>
    <n v="0"/>
    <n v="26.22"/>
    <n v="0"/>
    <n v="0"/>
    <n v="28.891757284072764"/>
    <m/>
    <m/>
    <n v="91770"/>
    <n v="0"/>
    <n v="0"/>
    <n v="101121.15049425467"/>
    <n v="0"/>
    <n v="0"/>
  </r>
  <r>
    <s v="Regular"/>
    <x v="1"/>
    <x v="3"/>
    <x v="1"/>
    <x v="0"/>
    <x v="0"/>
    <x v="0"/>
    <x v="1"/>
    <x v="4"/>
    <n v="47129"/>
    <n v="47129"/>
    <n v="0"/>
    <n v="0"/>
    <n v="0"/>
    <n v="0"/>
    <n v="268"/>
    <x v="1"/>
    <n v="0"/>
    <n v="40"/>
    <n v="0"/>
    <n v="0"/>
    <n v="26.22"/>
    <n v="0"/>
    <n v="0"/>
    <n v="28.891757284072764"/>
    <m/>
    <m/>
    <n v="1235722.3799999999"/>
    <n v="0"/>
    <n v="0"/>
    <n v="1361639.6290410652"/>
    <n v="0"/>
    <n v="0"/>
  </r>
  <r>
    <s v="Refaturamento - Regular"/>
    <x v="1"/>
    <x v="3"/>
    <x v="1"/>
    <x v="0"/>
    <x v="0"/>
    <x v="0"/>
    <x v="1"/>
    <x v="4"/>
    <n v="-226"/>
    <n v="-226"/>
    <n v="0"/>
    <n v="0"/>
    <n v="0"/>
    <n v="0"/>
    <n v="-1"/>
    <x v="1"/>
    <n v="0"/>
    <n v="40"/>
    <n v="0"/>
    <n v="0"/>
    <n v="26.22"/>
    <n v="0"/>
    <n v="0"/>
    <n v="28.891757284072764"/>
    <m/>
    <m/>
    <n v="-5925.7199999999993"/>
    <n v="0"/>
    <n v="0"/>
    <n v="-6529.537146200445"/>
    <n v="0"/>
    <n v="0"/>
  </r>
  <r>
    <s v="Sistema de Compensação"/>
    <x v="1"/>
    <x v="3"/>
    <x v="1"/>
    <x v="0"/>
    <x v="0"/>
    <x v="0"/>
    <x v="1"/>
    <x v="4"/>
    <n v="9053"/>
    <n v="9053"/>
    <n v="0"/>
    <n v="0"/>
    <n v="0"/>
    <n v="0"/>
    <n v="43"/>
    <x v="1"/>
    <n v="0"/>
    <n v="40"/>
    <n v="0"/>
    <n v="0"/>
    <n v="26.22"/>
    <n v="0"/>
    <n v="0"/>
    <n v="28.891757284072764"/>
    <m/>
    <m/>
    <n v="237369.66"/>
    <n v="0"/>
    <n v="0"/>
    <n v="261557.07869271073"/>
    <n v="0"/>
    <n v="0"/>
  </r>
  <r>
    <s v="Regular"/>
    <x v="1"/>
    <x v="3"/>
    <x v="1"/>
    <x v="0"/>
    <x v="0"/>
    <x v="0"/>
    <x v="1"/>
    <x v="4"/>
    <n v="3500"/>
    <n v="3500"/>
    <n v="0"/>
    <n v="0"/>
    <n v="0"/>
    <n v="0"/>
    <n v="1"/>
    <x v="0"/>
    <n v="0"/>
    <n v="40"/>
    <n v="0"/>
    <n v="0"/>
    <n v="26.22"/>
    <n v="0"/>
    <n v="0"/>
    <n v="28.891757284072764"/>
    <m/>
    <m/>
    <n v="91770"/>
    <n v="0"/>
    <n v="0"/>
    <n v="101121.15049425467"/>
    <n v="0"/>
    <n v="0"/>
  </r>
  <r>
    <s v="Regular"/>
    <x v="1"/>
    <x v="3"/>
    <x v="1"/>
    <x v="0"/>
    <x v="0"/>
    <x v="0"/>
    <x v="1"/>
    <x v="5"/>
    <n v="48277"/>
    <n v="48277"/>
    <n v="0"/>
    <n v="0"/>
    <n v="0"/>
    <n v="0"/>
    <n v="269"/>
    <x v="1"/>
    <n v="0"/>
    <n v="40"/>
    <n v="0"/>
    <n v="0"/>
    <n v="26.22"/>
    <n v="0"/>
    <n v="0"/>
    <n v="28.891757284072764"/>
    <m/>
    <m/>
    <n v="1265822.94"/>
    <n v="0"/>
    <n v="0"/>
    <n v="1394807.3664031809"/>
    <n v="0"/>
    <n v="0"/>
  </r>
  <r>
    <s v="Sistema de Compensação"/>
    <x v="1"/>
    <x v="3"/>
    <x v="1"/>
    <x v="0"/>
    <x v="0"/>
    <x v="0"/>
    <x v="1"/>
    <x v="5"/>
    <n v="8554"/>
    <n v="8554"/>
    <n v="0"/>
    <n v="0"/>
    <n v="0"/>
    <n v="0"/>
    <n v="44"/>
    <x v="1"/>
    <n v="0"/>
    <n v="40"/>
    <n v="0"/>
    <n v="0"/>
    <n v="26.22"/>
    <n v="0"/>
    <n v="0"/>
    <n v="28.891757284072764"/>
    <m/>
    <m/>
    <n v="224285.88"/>
    <n v="0"/>
    <n v="0"/>
    <n v="247140.09180795841"/>
    <n v="0"/>
    <n v="0"/>
  </r>
  <r>
    <s v="Regular"/>
    <x v="1"/>
    <x v="3"/>
    <x v="1"/>
    <x v="0"/>
    <x v="0"/>
    <x v="0"/>
    <x v="1"/>
    <x v="5"/>
    <n v="3500"/>
    <n v="3500"/>
    <n v="0"/>
    <n v="0"/>
    <n v="0"/>
    <n v="0"/>
    <n v="1"/>
    <x v="0"/>
    <n v="0"/>
    <n v="40"/>
    <n v="0"/>
    <n v="0"/>
    <n v="26.22"/>
    <n v="0"/>
    <n v="0"/>
    <n v="28.891757284072764"/>
    <m/>
    <m/>
    <n v="91770"/>
    <n v="0"/>
    <n v="0"/>
    <n v="101121.15049425467"/>
    <n v="0"/>
    <n v="0"/>
  </r>
  <r>
    <s v="Regular"/>
    <x v="1"/>
    <x v="3"/>
    <x v="1"/>
    <x v="0"/>
    <x v="0"/>
    <x v="0"/>
    <x v="1"/>
    <x v="6"/>
    <n v="47002"/>
    <n v="47002"/>
    <n v="0"/>
    <n v="0"/>
    <n v="0"/>
    <n v="0"/>
    <n v="269"/>
    <x v="1"/>
    <n v="0"/>
    <n v="40"/>
    <n v="0"/>
    <n v="0"/>
    <n v="26.22"/>
    <n v="0"/>
    <n v="0"/>
    <n v="28.891757284072764"/>
    <m/>
    <m/>
    <n v="1232392.44"/>
    <n v="0"/>
    <n v="0"/>
    <n v="1357970.375865988"/>
    <n v="0"/>
    <n v="0"/>
  </r>
  <r>
    <s v="Sistema de Compensação"/>
    <x v="1"/>
    <x v="3"/>
    <x v="1"/>
    <x v="0"/>
    <x v="0"/>
    <x v="0"/>
    <x v="1"/>
    <x v="6"/>
    <n v="8519"/>
    <n v="8519"/>
    <n v="0"/>
    <n v="0"/>
    <n v="0"/>
    <n v="0"/>
    <n v="44"/>
    <x v="1"/>
    <n v="0"/>
    <n v="40"/>
    <n v="0"/>
    <n v="0"/>
    <n v="26.22"/>
    <n v="0"/>
    <n v="0"/>
    <n v="28.891757284072764"/>
    <m/>
    <m/>
    <n v="223368.18"/>
    <n v="0"/>
    <n v="0"/>
    <n v="246128.88030301587"/>
    <n v="0"/>
    <n v="0"/>
  </r>
  <r>
    <s v="Regular"/>
    <x v="1"/>
    <x v="3"/>
    <x v="1"/>
    <x v="0"/>
    <x v="0"/>
    <x v="0"/>
    <x v="1"/>
    <x v="6"/>
    <n v="3500"/>
    <n v="3500"/>
    <n v="0"/>
    <n v="0"/>
    <n v="0"/>
    <n v="0"/>
    <n v="1"/>
    <x v="0"/>
    <n v="0"/>
    <n v="40"/>
    <n v="0"/>
    <n v="0"/>
    <n v="26.22"/>
    <n v="0"/>
    <n v="0"/>
    <n v="28.891757284072764"/>
    <m/>
    <m/>
    <n v="91770"/>
    <n v="0"/>
    <n v="0"/>
    <n v="101121.15049425467"/>
    <n v="0"/>
    <n v="0"/>
  </r>
  <r>
    <s v="Regular"/>
    <x v="1"/>
    <x v="3"/>
    <x v="1"/>
    <x v="0"/>
    <x v="0"/>
    <x v="0"/>
    <x v="1"/>
    <x v="7"/>
    <n v="46095"/>
    <n v="46095"/>
    <n v="0"/>
    <n v="0"/>
    <n v="0"/>
    <n v="0"/>
    <n v="266"/>
    <x v="1"/>
    <n v="0"/>
    <n v="40"/>
    <n v="0"/>
    <n v="0"/>
    <n v="26.22"/>
    <n v="0"/>
    <n v="0"/>
    <n v="28.891757284072764"/>
    <m/>
    <m/>
    <n v="1208610.8999999999"/>
    <n v="0"/>
    <n v="0"/>
    <n v="1331765.5520093341"/>
    <n v="0"/>
    <n v="0"/>
  </r>
  <r>
    <s v="Sistema de Compensação"/>
    <x v="1"/>
    <x v="3"/>
    <x v="1"/>
    <x v="0"/>
    <x v="0"/>
    <x v="0"/>
    <x v="1"/>
    <x v="7"/>
    <n v="9261"/>
    <n v="9261"/>
    <n v="0"/>
    <n v="0"/>
    <n v="0"/>
    <n v="0"/>
    <n v="47"/>
    <x v="1"/>
    <n v="0"/>
    <n v="40"/>
    <n v="0"/>
    <n v="0"/>
    <n v="26.22"/>
    <n v="0"/>
    <n v="0"/>
    <n v="28.891757284072764"/>
    <m/>
    <m/>
    <n v="242823.41999999998"/>
    <n v="0"/>
    <n v="0"/>
    <n v="267566.56420779787"/>
    <n v="0"/>
    <n v="0"/>
  </r>
  <r>
    <s v="Regular"/>
    <x v="1"/>
    <x v="3"/>
    <x v="1"/>
    <x v="0"/>
    <x v="0"/>
    <x v="0"/>
    <x v="1"/>
    <x v="7"/>
    <n v="3500"/>
    <n v="3500"/>
    <n v="0"/>
    <n v="0"/>
    <n v="0"/>
    <n v="0"/>
    <n v="1"/>
    <x v="0"/>
    <n v="0"/>
    <n v="40"/>
    <n v="0"/>
    <n v="0"/>
    <n v="26.22"/>
    <n v="0"/>
    <n v="0"/>
    <n v="28.891757284072764"/>
    <m/>
    <m/>
    <n v="91770"/>
    <n v="0"/>
    <n v="0"/>
    <n v="101121.15049425467"/>
    <n v="0"/>
    <n v="0"/>
  </r>
  <r>
    <s v="Regular"/>
    <x v="1"/>
    <x v="3"/>
    <x v="1"/>
    <x v="0"/>
    <x v="0"/>
    <x v="0"/>
    <x v="1"/>
    <x v="8"/>
    <n v="44811"/>
    <n v="44811"/>
    <n v="0"/>
    <n v="0"/>
    <n v="0"/>
    <n v="0"/>
    <n v="268"/>
    <x v="1"/>
    <n v="0"/>
    <n v="40"/>
    <n v="0"/>
    <n v="0"/>
    <n v="26.22"/>
    <n v="0"/>
    <n v="0"/>
    <n v="28.891757284072764"/>
    <m/>
    <m/>
    <n v="1174944.42"/>
    <n v="0"/>
    <n v="0"/>
    <n v="1294668.5356565847"/>
    <n v="0"/>
    <n v="0"/>
  </r>
  <r>
    <s v="Refaturamento - Regular"/>
    <x v="1"/>
    <x v="3"/>
    <x v="1"/>
    <x v="0"/>
    <x v="0"/>
    <x v="0"/>
    <x v="1"/>
    <x v="8"/>
    <n v="-259"/>
    <n v="-259"/>
    <n v="0"/>
    <n v="0"/>
    <n v="0"/>
    <n v="0"/>
    <n v="0"/>
    <x v="1"/>
    <n v="0"/>
    <n v="40"/>
    <n v="0"/>
    <n v="0"/>
    <n v="26.22"/>
    <n v="0"/>
    <n v="0"/>
    <n v="28.891757284072764"/>
    <m/>
    <m/>
    <n v="-6790.98"/>
    <n v="0"/>
    <n v="0"/>
    <n v="-7482.9651365748459"/>
    <n v="0"/>
    <n v="0"/>
  </r>
  <r>
    <s v="Sistema de Compensação"/>
    <x v="1"/>
    <x v="3"/>
    <x v="1"/>
    <x v="0"/>
    <x v="0"/>
    <x v="0"/>
    <x v="1"/>
    <x v="8"/>
    <n v="9130"/>
    <n v="9130"/>
    <n v="0"/>
    <n v="0"/>
    <n v="0"/>
    <n v="0"/>
    <n v="46"/>
    <x v="1"/>
    <n v="0"/>
    <n v="40"/>
    <n v="0"/>
    <n v="0"/>
    <n v="26.22"/>
    <n v="0"/>
    <n v="0"/>
    <n v="28.891757284072764"/>
    <m/>
    <m/>
    <n v="239388.59999999998"/>
    <n v="0"/>
    <n v="0"/>
    <n v="263781.74400358432"/>
    <n v="0"/>
    <n v="0"/>
  </r>
  <r>
    <s v="Regular"/>
    <x v="1"/>
    <x v="3"/>
    <x v="1"/>
    <x v="0"/>
    <x v="0"/>
    <x v="0"/>
    <x v="1"/>
    <x v="8"/>
    <n v="3500"/>
    <n v="3500"/>
    <n v="0"/>
    <n v="0"/>
    <n v="0"/>
    <n v="0"/>
    <n v="1"/>
    <x v="0"/>
    <n v="0"/>
    <n v="40"/>
    <n v="0"/>
    <n v="0"/>
    <n v="26.22"/>
    <n v="0"/>
    <n v="0"/>
    <n v="28.891757284072764"/>
    <m/>
    <m/>
    <n v="91770"/>
    <n v="0"/>
    <n v="0"/>
    <n v="101121.15049425467"/>
    <n v="0"/>
    <n v="0"/>
  </r>
  <r>
    <s v="Regular"/>
    <x v="1"/>
    <x v="3"/>
    <x v="1"/>
    <x v="0"/>
    <x v="0"/>
    <x v="0"/>
    <x v="1"/>
    <x v="9"/>
    <n v="44747"/>
    <n v="44747"/>
    <n v="0"/>
    <n v="0"/>
    <n v="0"/>
    <n v="0"/>
    <n v="261"/>
    <x v="1"/>
    <n v="0"/>
    <n v="40"/>
    <n v="0"/>
    <n v="0"/>
    <n v="26.22"/>
    <n v="0"/>
    <n v="0"/>
    <n v="28.891757284072764"/>
    <m/>
    <m/>
    <n v="1173266.3399999999"/>
    <n v="0"/>
    <n v="0"/>
    <n v="1292819.463190404"/>
    <n v="0"/>
    <n v="0"/>
  </r>
  <r>
    <s v="Sistema de Compensação"/>
    <x v="1"/>
    <x v="3"/>
    <x v="1"/>
    <x v="0"/>
    <x v="0"/>
    <x v="0"/>
    <x v="1"/>
    <x v="9"/>
    <n v="9683"/>
    <n v="9683"/>
    <n v="0"/>
    <n v="0"/>
    <n v="0"/>
    <n v="0"/>
    <n v="48"/>
    <x v="1"/>
    <n v="0"/>
    <n v="40"/>
    <n v="0"/>
    <n v="0"/>
    <n v="26.22"/>
    <n v="0"/>
    <n v="0"/>
    <n v="28.891757284072764"/>
    <m/>
    <m/>
    <n v="253888.25999999998"/>
    <n v="0"/>
    <n v="0"/>
    <n v="279758.88578167657"/>
    <n v="0"/>
    <n v="0"/>
  </r>
  <r>
    <s v="Regular"/>
    <x v="1"/>
    <x v="3"/>
    <x v="1"/>
    <x v="0"/>
    <x v="0"/>
    <x v="0"/>
    <x v="1"/>
    <x v="9"/>
    <n v="3500"/>
    <n v="3500"/>
    <n v="0"/>
    <n v="0"/>
    <n v="0"/>
    <n v="0"/>
    <n v="1"/>
    <x v="0"/>
    <n v="0"/>
    <n v="40"/>
    <n v="0"/>
    <n v="0"/>
    <n v="26.22"/>
    <n v="0"/>
    <n v="0"/>
    <n v="28.891757284072764"/>
    <m/>
    <m/>
    <n v="91770"/>
    <n v="0"/>
    <n v="0"/>
    <n v="101121.15049425467"/>
    <n v="0"/>
    <n v="0"/>
  </r>
  <r>
    <s v="Regular"/>
    <x v="1"/>
    <x v="3"/>
    <x v="1"/>
    <x v="0"/>
    <x v="0"/>
    <x v="0"/>
    <x v="1"/>
    <x v="10"/>
    <n v="44992"/>
    <n v="44992"/>
    <n v="0"/>
    <n v="0"/>
    <n v="0"/>
    <n v="0"/>
    <n v="261"/>
    <x v="1"/>
    <n v="0"/>
    <n v="40"/>
    <n v="0"/>
    <n v="0"/>
    <n v="26.22"/>
    <n v="0"/>
    <n v="0"/>
    <n v="28.891757284072764"/>
    <m/>
    <m/>
    <n v="1179690.24"/>
    <n v="0"/>
    <n v="0"/>
    <n v="1299897.9437250018"/>
    <n v="0"/>
    <n v="0"/>
  </r>
  <r>
    <s v="Sistema de Compensação"/>
    <x v="1"/>
    <x v="3"/>
    <x v="1"/>
    <x v="0"/>
    <x v="0"/>
    <x v="0"/>
    <x v="1"/>
    <x v="10"/>
    <n v="9757"/>
    <n v="9757"/>
    <n v="0"/>
    <n v="0"/>
    <n v="0"/>
    <n v="0"/>
    <n v="48"/>
    <x v="1"/>
    <n v="0"/>
    <n v="40"/>
    <n v="0"/>
    <n v="0"/>
    <n v="26.22"/>
    <n v="0"/>
    <n v="0"/>
    <n v="28.891757284072764"/>
    <m/>
    <m/>
    <n v="255828.53999999998"/>
    <n v="0"/>
    <n v="0"/>
    <n v="281896.87582069798"/>
    <n v="0"/>
    <n v="0"/>
  </r>
  <r>
    <s v="PROJETADO"/>
    <x v="1"/>
    <x v="3"/>
    <x v="1"/>
    <x v="0"/>
    <x v="0"/>
    <x v="0"/>
    <x v="1"/>
    <x v="11"/>
    <n v="44992"/>
    <n v="44992"/>
    <n v="0"/>
    <n v="0"/>
    <n v="0"/>
    <n v="0"/>
    <n v="261"/>
    <x v="1"/>
    <n v="0"/>
    <n v="40"/>
    <n v="0"/>
    <n v="0"/>
    <n v="26.22"/>
    <n v="0"/>
    <n v="0"/>
    <n v="28.891757284072764"/>
    <m/>
    <m/>
    <n v="1179690.24"/>
    <n v="0"/>
    <n v="0"/>
    <n v="1299897.9437250018"/>
    <n v="0"/>
    <n v="0"/>
  </r>
  <r>
    <s v="PROJETADO"/>
    <x v="1"/>
    <x v="3"/>
    <x v="1"/>
    <x v="0"/>
    <x v="0"/>
    <x v="0"/>
    <x v="1"/>
    <x v="11"/>
    <n v="9757"/>
    <n v="9757"/>
    <n v="0"/>
    <n v="0"/>
    <n v="0"/>
    <n v="0"/>
    <n v="48"/>
    <x v="1"/>
    <n v="0"/>
    <n v="40"/>
    <n v="0"/>
    <n v="0"/>
    <n v="26.22"/>
    <n v="0"/>
    <n v="0"/>
    <n v="28.891757284072764"/>
    <m/>
    <m/>
    <n v="255828.53999999998"/>
    <n v="0"/>
    <n v="0"/>
    <n v="281896.87582069798"/>
    <n v="0"/>
    <n v="0"/>
  </r>
  <r>
    <s v="Regular"/>
    <x v="1"/>
    <x v="3"/>
    <x v="1"/>
    <x v="0"/>
    <x v="0"/>
    <x v="0"/>
    <x v="2"/>
    <x v="0"/>
    <n v="0"/>
    <n v="0"/>
    <n v="263.971"/>
    <n v="263.971"/>
    <n v="263.971"/>
    <n v="263.971"/>
    <n v="0"/>
    <x v="1"/>
    <n v="0"/>
    <n v="0"/>
    <n v="42"/>
    <n v="66"/>
    <n v="0"/>
    <n v="1330.19"/>
    <n v="397.62"/>
    <m/>
    <n v="1471.0742690262982"/>
    <n v="351.67159959099928"/>
    <n v="0"/>
    <n v="351131.58449000004"/>
    <n v="104960.14902"/>
    <n v="0"/>
    <n v="388320.94586914097"/>
    <n v="92831.103815635666"/>
  </r>
  <r>
    <s v="Refaturamento - Regular"/>
    <x v="1"/>
    <x v="3"/>
    <x v="1"/>
    <x v="0"/>
    <x v="0"/>
    <x v="0"/>
    <x v="2"/>
    <x v="0"/>
    <n v="0"/>
    <n v="0"/>
    <n v="2.3780000000000001"/>
    <n v="2.3780000000000001"/>
    <n v="2.3780000000000001"/>
    <n v="2.3780000000000001"/>
    <n v="0"/>
    <x v="1"/>
    <n v="0"/>
    <n v="0"/>
    <n v="42"/>
    <n v="66"/>
    <n v="0"/>
    <n v="1330.19"/>
    <n v="397.62"/>
    <m/>
    <n v="1471.0742690262982"/>
    <n v="351.67159959099928"/>
    <n v="0"/>
    <n v="3163.1918200000005"/>
    <n v="945.54036000000008"/>
    <n v="0"/>
    <n v="3498.2146117445373"/>
    <n v="836.27506382739637"/>
  </r>
  <r>
    <s v="Sistema de Compensação"/>
    <x v="1"/>
    <x v="3"/>
    <x v="1"/>
    <x v="0"/>
    <x v="0"/>
    <x v="0"/>
    <x v="2"/>
    <x v="0"/>
    <n v="0"/>
    <n v="0"/>
    <n v="13.427"/>
    <n v="13.427"/>
    <n v="13.427"/>
    <n v="13.427"/>
    <n v="0"/>
    <x v="1"/>
    <n v="0"/>
    <n v="0"/>
    <n v="42"/>
    <n v="66"/>
    <n v="0"/>
    <n v="1330.19"/>
    <n v="397.62"/>
    <m/>
    <n v="1471.0742690262982"/>
    <n v="351.67159959099928"/>
    <n v="0"/>
    <n v="17860.46113"/>
    <n v="5338.8437400000003"/>
    <n v="0"/>
    <n v="19752.114210216107"/>
    <n v="4721.8945677083475"/>
  </r>
  <r>
    <s v="Regular"/>
    <x v="1"/>
    <x v="3"/>
    <x v="1"/>
    <x v="0"/>
    <x v="0"/>
    <x v="0"/>
    <x v="2"/>
    <x v="0"/>
    <n v="0"/>
    <n v="0"/>
    <n v="1.2110000000000001"/>
    <n v="1.2110000000000001"/>
    <n v="0"/>
    <n v="0"/>
    <n v="0"/>
    <x v="0"/>
    <n v="0"/>
    <n v="0"/>
    <n v="42"/>
    <n v="0"/>
    <n v="0"/>
    <n v="1330.19"/>
    <n v="0"/>
    <m/>
    <n v="1471.0742690262982"/>
    <m/>
    <n v="0"/>
    <n v="1610.8600900000001"/>
    <n v="0"/>
    <n v="0"/>
    <n v="1781.4709397908473"/>
    <n v="0"/>
  </r>
  <r>
    <s v="Regular"/>
    <x v="1"/>
    <x v="3"/>
    <x v="1"/>
    <x v="0"/>
    <x v="0"/>
    <x v="0"/>
    <x v="2"/>
    <x v="1"/>
    <n v="0"/>
    <n v="0"/>
    <n v="236.56899999999999"/>
    <n v="236.56899999999999"/>
    <n v="236.56899999999999"/>
    <n v="236.56899999999999"/>
    <n v="0"/>
    <x v="1"/>
    <n v="0"/>
    <n v="0"/>
    <n v="42"/>
    <n v="66"/>
    <n v="0"/>
    <n v="1330.19"/>
    <n v="397.62"/>
    <m/>
    <n v="1471.0742690262982"/>
    <n v="351.67159959099928"/>
    <n v="0"/>
    <n v="314681.71811000002"/>
    <n v="94064.56577999999"/>
    <n v="0"/>
    <n v="348010.56874928233"/>
    <n v="83194.598643643098"/>
  </r>
  <r>
    <s v="Sistema de Compensação"/>
    <x v="1"/>
    <x v="3"/>
    <x v="1"/>
    <x v="0"/>
    <x v="0"/>
    <x v="0"/>
    <x v="2"/>
    <x v="1"/>
    <n v="0"/>
    <n v="0"/>
    <n v="29.055"/>
    <n v="29.055"/>
    <n v="29.055"/>
    <n v="29.055"/>
    <n v="0"/>
    <x v="1"/>
    <n v="0"/>
    <n v="0"/>
    <n v="42"/>
    <n v="66"/>
    <n v="0"/>
    <n v="1330.19"/>
    <n v="397.62"/>
    <m/>
    <n v="1471.0742690262982"/>
    <n v="351.67159959099928"/>
    <n v="0"/>
    <n v="38648.670449999998"/>
    <n v="11552.849099999999"/>
    <n v="0"/>
    <n v="42742.062886559092"/>
    <n v="10217.818326116483"/>
  </r>
  <r>
    <s v="Regular"/>
    <x v="1"/>
    <x v="3"/>
    <x v="1"/>
    <x v="0"/>
    <x v="0"/>
    <x v="0"/>
    <x v="2"/>
    <x v="1"/>
    <n v="0"/>
    <n v="0"/>
    <n v="0.79300000000000004"/>
    <n v="0.79300000000000004"/>
    <n v="0"/>
    <n v="0"/>
    <n v="0"/>
    <x v="0"/>
    <n v="0"/>
    <n v="0"/>
    <n v="42"/>
    <n v="0"/>
    <n v="0"/>
    <n v="1330.19"/>
    <n v="0"/>
    <m/>
    <n v="1471.0742690262982"/>
    <m/>
    <n v="0"/>
    <n v="1054.84067"/>
    <n v="0"/>
    <n v="0"/>
    <n v="1166.5618953378546"/>
    <n v="0"/>
  </r>
  <r>
    <s v="Regular"/>
    <x v="1"/>
    <x v="3"/>
    <x v="1"/>
    <x v="0"/>
    <x v="0"/>
    <x v="0"/>
    <x v="2"/>
    <x v="2"/>
    <n v="0"/>
    <n v="0"/>
    <n v="231.71100000000001"/>
    <n v="231.71100000000001"/>
    <n v="231.71100000000001"/>
    <n v="231.71100000000001"/>
    <n v="0"/>
    <x v="1"/>
    <n v="0"/>
    <n v="0"/>
    <n v="42"/>
    <n v="66"/>
    <n v="0"/>
    <n v="1330.19"/>
    <n v="397.62"/>
    <m/>
    <n v="1471.0742690262982"/>
    <n v="351.67159959099928"/>
    <n v="0"/>
    <n v="308219.65509000001"/>
    <n v="92132.927820000012"/>
    <n v="0"/>
    <n v="340864.08995035262"/>
    <n v="81486.178012830045"/>
  </r>
  <r>
    <s v="Sistema de Compensação"/>
    <x v="1"/>
    <x v="3"/>
    <x v="1"/>
    <x v="0"/>
    <x v="0"/>
    <x v="0"/>
    <x v="2"/>
    <x v="2"/>
    <n v="0"/>
    <n v="0"/>
    <n v="27.687000000000001"/>
    <n v="27.687000000000001"/>
    <n v="27.687000000000001"/>
    <n v="27.687000000000001"/>
    <n v="0"/>
    <x v="1"/>
    <n v="0"/>
    <n v="0"/>
    <n v="42"/>
    <n v="66"/>
    <n v="0"/>
    <n v="1330.19"/>
    <n v="397.62"/>
    <m/>
    <n v="1471.0742690262982"/>
    <n v="351.67159959099928"/>
    <n v="0"/>
    <n v="36828.970530000006"/>
    <n v="11008.90494"/>
    <n v="0"/>
    <n v="40729.63328653112"/>
    <n v="9736.7315778759967"/>
  </r>
  <r>
    <s v="Sistema de Compensação"/>
    <x v="1"/>
    <x v="3"/>
    <x v="1"/>
    <x v="0"/>
    <x v="0"/>
    <x v="0"/>
    <x v="2"/>
    <x v="2"/>
    <n v="0"/>
    <n v="0"/>
    <n v="-1.62"/>
    <n v="-1.62"/>
    <n v="-1.62"/>
    <n v="-1.62"/>
    <n v="0"/>
    <x v="1"/>
    <n v="0"/>
    <n v="0"/>
    <n v="42"/>
    <n v="66"/>
    <n v="0"/>
    <n v="1330.19"/>
    <n v="397.62"/>
    <m/>
    <n v="1471.0742690262982"/>
    <n v="351.67159959099928"/>
    <n v="0"/>
    <n v="-2154.9078000000004"/>
    <n v="-644.14440000000002"/>
    <n v="0"/>
    <n v="-2383.1403158226035"/>
    <n v="-569.70799133741889"/>
  </r>
  <r>
    <s v="Regular"/>
    <x v="1"/>
    <x v="3"/>
    <x v="1"/>
    <x v="0"/>
    <x v="0"/>
    <x v="0"/>
    <x v="2"/>
    <x v="2"/>
    <n v="0"/>
    <n v="0"/>
    <n v="5.7480000000000002"/>
    <n v="5.7480000000000002"/>
    <n v="0"/>
    <n v="0"/>
    <n v="0"/>
    <x v="0"/>
    <n v="0"/>
    <n v="0"/>
    <n v="42"/>
    <n v="0"/>
    <n v="0"/>
    <n v="1330.19"/>
    <n v="0"/>
    <m/>
    <n v="1471.0742690262982"/>
    <m/>
    <n v="0"/>
    <n v="7645.9321200000004"/>
    <n v="0"/>
    <n v="0"/>
    <n v="8455.7348983631618"/>
    <n v="0"/>
  </r>
  <r>
    <s v="Regular"/>
    <x v="1"/>
    <x v="3"/>
    <x v="1"/>
    <x v="0"/>
    <x v="0"/>
    <x v="0"/>
    <x v="2"/>
    <x v="3"/>
    <n v="0"/>
    <n v="0"/>
    <n v="229.233"/>
    <n v="229.233"/>
    <n v="229.233"/>
    <n v="229.233"/>
    <n v="0"/>
    <x v="1"/>
    <n v="0"/>
    <n v="0"/>
    <n v="42"/>
    <n v="66"/>
    <n v="0"/>
    <n v="1330.19"/>
    <n v="397.62"/>
    <m/>
    <n v="1471.0742690262982"/>
    <n v="351.67159959099928"/>
    <n v="0"/>
    <n v="304923.44427000004"/>
    <n v="91147.625459999996"/>
    <n v="0"/>
    <n v="337218.76791170542"/>
    <n v="80614.735789043538"/>
  </r>
  <r>
    <s v="Refaturamento - Regular"/>
    <x v="1"/>
    <x v="3"/>
    <x v="1"/>
    <x v="0"/>
    <x v="0"/>
    <x v="0"/>
    <x v="2"/>
    <x v="3"/>
    <n v="0"/>
    <n v="0"/>
    <n v="-0.35799999999999998"/>
    <n v="-0.35799999999999998"/>
    <n v="-0.35799999999999998"/>
    <n v="-0.35799999999999998"/>
    <n v="0"/>
    <x v="1"/>
    <n v="0"/>
    <n v="0"/>
    <n v="42"/>
    <n v="66"/>
    <n v="0"/>
    <n v="1330.19"/>
    <n v="397.62"/>
    <m/>
    <n v="1471.0742690262982"/>
    <n v="351.67159959099928"/>
    <n v="0"/>
    <n v="-476.20801999999998"/>
    <n v="-142.34796"/>
    <n v="0"/>
    <n v="-526.64458831141474"/>
    <n v="-125.89843265357774"/>
  </r>
  <r>
    <s v="Sistema de Compensação"/>
    <x v="1"/>
    <x v="3"/>
    <x v="1"/>
    <x v="0"/>
    <x v="0"/>
    <x v="0"/>
    <x v="2"/>
    <x v="3"/>
    <n v="0"/>
    <n v="0"/>
    <n v="22.312999999999999"/>
    <n v="22.312999999999999"/>
    <n v="22.312999999999999"/>
    <n v="22.312999999999999"/>
    <n v="0"/>
    <x v="1"/>
    <n v="0"/>
    <n v="0"/>
    <n v="42"/>
    <n v="66"/>
    <n v="0"/>
    <n v="1330.19"/>
    <n v="397.62"/>
    <m/>
    <n v="1471.0742690262982"/>
    <n v="351.67159959099928"/>
    <n v="0"/>
    <n v="29680.529470000001"/>
    <n v="8872.0950599999996"/>
    <n v="0"/>
    <n v="32824.080164783787"/>
    <n v="7846.8484016739667"/>
  </r>
  <r>
    <s v="Regular"/>
    <x v="1"/>
    <x v="3"/>
    <x v="1"/>
    <x v="0"/>
    <x v="0"/>
    <x v="0"/>
    <x v="2"/>
    <x v="3"/>
    <n v="0"/>
    <n v="0"/>
    <n v="5.5090000000000003"/>
    <n v="5.5090000000000003"/>
    <n v="0"/>
    <n v="0"/>
    <n v="0"/>
    <x v="0"/>
    <n v="0"/>
    <n v="0"/>
    <n v="42"/>
    <n v="0"/>
    <n v="0"/>
    <n v="1330.19"/>
    <n v="0"/>
    <m/>
    <n v="1471.0742690262982"/>
    <m/>
    <n v="0"/>
    <n v="7328.0167100000008"/>
    <n v="0"/>
    <n v="0"/>
    <n v="8104.1481480658776"/>
    <n v="0"/>
  </r>
  <r>
    <s v="Regular"/>
    <x v="1"/>
    <x v="3"/>
    <x v="1"/>
    <x v="0"/>
    <x v="0"/>
    <x v="0"/>
    <x v="2"/>
    <x v="4"/>
    <n v="0"/>
    <n v="0"/>
    <n v="252.99600000000001"/>
    <n v="252.99600000000001"/>
    <n v="252.99600000000001"/>
    <n v="252.99600000000001"/>
    <n v="0"/>
    <x v="1"/>
    <n v="0"/>
    <n v="0"/>
    <n v="42"/>
    <n v="66"/>
    <n v="0"/>
    <n v="1330.19"/>
    <n v="397.62"/>
    <m/>
    <n v="1471.0742690262982"/>
    <n v="351.67159959099928"/>
    <n v="0"/>
    <n v="336532.74924000003"/>
    <n v="100596.26952"/>
    <n v="0"/>
    <n v="372175.90576657734"/>
    <n v="88971.508010124453"/>
  </r>
  <r>
    <s v="Refaturamento - Regular"/>
    <x v="1"/>
    <x v="3"/>
    <x v="1"/>
    <x v="0"/>
    <x v="0"/>
    <x v="0"/>
    <x v="2"/>
    <x v="4"/>
    <n v="0"/>
    <n v="0"/>
    <n v="-1.3420000000000001"/>
    <n v="-1.3420000000000001"/>
    <n v="-1.3420000000000001"/>
    <n v="-1.3420000000000001"/>
    <n v="0"/>
    <x v="1"/>
    <n v="0"/>
    <n v="0"/>
    <n v="42"/>
    <n v="66"/>
    <n v="0"/>
    <n v="1330.19"/>
    <n v="397.62"/>
    <m/>
    <n v="1471.0742690262982"/>
    <n v="351.67159959099928"/>
    <n v="0"/>
    <n v="-1785.1149800000003"/>
    <n v="-533.60604000000001"/>
    <n v="0"/>
    <n v="-1974.1816690332923"/>
    <n v="-471.94328665112107"/>
  </r>
  <r>
    <s v="Sistema de Compensação"/>
    <x v="1"/>
    <x v="3"/>
    <x v="1"/>
    <x v="0"/>
    <x v="0"/>
    <x v="0"/>
    <x v="2"/>
    <x v="4"/>
    <n v="0"/>
    <n v="0"/>
    <n v="35.844000000000001"/>
    <n v="35.844000000000001"/>
    <n v="35.844000000000001"/>
    <n v="35.844000000000001"/>
    <n v="0"/>
    <x v="1"/>
    <n v="0"/>
    <n v="0"/>
    <n v="42"/>
    <n v="66"/>
    <n v="0"/>
    <n v="1330.19"/>
    <n v="397.62"/>
    <m/>
    <n v="1471.0742690262982"/>
    <n v="351.67159959099928"/>
    <n v="0"/>
    <n v="47679.33036"/>
    <n v="14252.291280000001"/>
    <n v="0"/>
    <n v="52729.186098978636"/>
    <n v="12605.316815739778"/>
  </r>
  <r>
    <s v="Regular"/>
    <x v="1"/>
    <x v="3"/>
    <x v="1"/>
    <x v="0"/>
    <x v="0"/>
    <x v="0"/>
    <x v="2"/>
    <x v="4"/>
    <n v="0"/>
    <n v="0"/>
    <n v="0.61799999999999999"/>
    <n v="0.61799999999999999"/>
    <n v="0"/>
    <n v="0"/>
    <n v="0"/>
    <x v="0"/>
    <n v="0"/>
    <n v="0"/>
    <n v="42"/>
    <n v="0"/>
    <n v="0"/>
    <n v="1330.19"/>
    <n v="0"/>
    <m/>
    <n v="1471.0742690262982"/>
    <m/>
    <n v="0"/>
    <n v="822.05741999999998"/>
    <n v="0"/>
    <n v="0"/>
    <n v="909.12389825825232"/>
    <n v="0"/>
  </r>
  <r>
    <s v="Regular"/>
    <x v="1"/>
    <x v="3"/>
    <x v="1"/>
    <x v="0"/>
    <x v="0"/>
    <x v="0"/>
    <x v="2"/>
    <x v="5"/>
    <n v="0"/>
    <n v="0"/>
    <n v="252.74799999999999"/>
    <n v="252.74799999999999"/>
    <n v="252.74799999999999"/>
    <n v="252.74799999999999"/>
    <n v="0"/>
    <x v="1"/>
    <n v="0"/>
    <n v="0"/>
    <n v="42"/>
    <n v="66"/>
    <n v="0"/>
    <n v="1330.19"/>
    <n v="397.62"/>
    <m/>
    <n v="1471.0742690262982"/>
    <n v="351.67159959099928"/>
    <n v="0"/>
    <n v="336202.86212000001"/>
    <n v="100497.65976"/>
    <n v="0"/>
    <n v="371811.07934785879"/>
    <n v="88884.293453425882"/>
  </r>
  <r>
    <s v="Refaturamento - Regular"/>
    <x v="1"/>
    <x v="3"/>
    <x v="1"/>
    <x v="0"/>
    <x v="0"/>
    <x v="0"/>
    <x v="2"/>
    <x v="5"/>
    <n v="0"/>
    <n v="0"/>
    <n v="6.5000000000000002E-2"/>
    <n v="6.5000000000000002E-2"/>
    <n v="6.5000000000000002E-2"/>
    <n v="6.5000000000000002E-2"/>
    <n v="0"/>
    <x v="1"/>
    <n v="0"/>
    <n v="0"/>
    <n v="42"/>
    <n v="66"/>
    <n v="0"/>
    <n v="1330.19"/>
    <n v="397.62"/>
    <m/>
    <n v="1471.0742690262982"/>
    <n v="351.67159959099928"/>
    <n v="0"/>
    <n v="86.462350000000001"/>
    <n v="25.845300000000002"/>
    <n v="0"/>
    <n v="95.619827486709383"/>
    <n v="22.858653973414953"/>
  </r>
  <r>
    <s v="Sistema de Compensação"/>
    <x v="1"/>
    <x v="3"/>
    <x v="1"/>
    <x v="0"/>
    <x v="0"/>
    <x v="0"/>
    <x v="2"/>
    <x v="5"/>
    <n v="0"/>
    <n v="0"/>
    <n v="29.045999999999999"/>
    <n v="29.045999999999999"/>
    <n v="29.045999999999999"/>
    <n v="29.045999999999999"/>
    <n v="0"/>
    <x v="1"/>
    <n v="0"/>
    <n v="0"/>
    <n v="42"/>
    <n v="66"/>
    <n v="0"/>
    <n v="1330.19"/>
    <n v="397.62"/>
    <m/>
    <n v="1471.0742690262982"/>
    <n v="351.67159959099928"/>
    <n v="0"/>
    <n v="38636.69874"/>
    <n v="11549.27052"/>
    <n v="0"/>
    <n v="42728.823218137855"/>
    <n v="10214.653281720164"/>
  </r>
  <r>
    <s v="Regular"/>
    <x v="1"/>
    <x v="3"/>
    <x v="1"/>
    <x v="0"/>
    <x v="0"/>
    <x v="0"/>
    <x v="2"/>
    <x v="5"/>
    <n v="0"/>
    <n v="0"/>
    <n v="6.0830000000000002"/>
    <n v="6.0830000000000002"/>
    <n v="0"/>
    <n v="0"/>
    <n v="0"/>
    <x v="0"/>
    <n v="0"/>
    <n v="0"/>
    <n v="42"/>
    <n v="0"/>
    <n v="0"/>
    <n v="1330.19"/>
    <n v="0"/>
    <m/>
    <n v="1471.0742690262982"/>
    <m/>
    <n v="0"/>
    <n v="8091.5457700000006"/>
    <n v="0"/>
    <n v="0"/>
    <n v="8948.5447784869721"/>
    <n v="0"/>
  </r>
  <r>
    <s v="Regular"/>
    <x v="1"/>
    <x v="3"/>
    <x v="1"/>
    <x v="0"/>
    <x v="0"/>
    <x v="0"/>
    <x v="2"/>
    <x v="6"/>
    <n v="0"/>
    <n v="0"/>
    <n v="245.905"/>
    <n v="245.905"/>
    <n v="245.905"/>
    <n v="245.905"/>
    <n v="0"/>
    <x v="1"/>
    <n v="0"/>
    <n v="0"/>
    <n v="42"/>
    <n v="66"/>
    <n v="0"/>
    <n v="1330.19"/>
    <n v="397.62"/>
    <m/>
    <n v="1471.0742690262982"/>
    <n v="351.67159959099928"/>
    <n v="0"/>
    <n v="327100.37195"/>
    <n v="97776.746100000004"/>
    <n v="0"/>
    <n v="361744.51812491188"/>
    <n v="86477.804697424683"/>
  </r>
  <r>
    <s v="Sistema de Compensação"/>
    <x v="1"/>
    <x v="3"/>
    <x v="1"/>
    <x v="0"/>
    <x v="0"/>
    <x v="0"/>
    <x v="2"/>
    <x v="6"/>
    <n v="0"/>
    <n v="0"/>
    <n v="19.027999999999999"/>
    <n v="19.027999999999999"/>
    <n v="19.027999999999999"/>
    <n v="19.027999999999999"/>
    <n v="0"/>
    <x v="1"/>
    <n v="0"/>
    <n v="0"/>
    <n v="42"/>
    <n v="66"/>
    <n v="0"/>
    <n v="1330.19"/>
    <n v="397.62"/>
    <m/>
    <n v="1471.0742690262982"/>
    <n v="351.67159959099928"/>
    <n v="0"/>
    <n v="25310.855319999999"/>
    <n v="7565.9133599999996"/>
    <n v="0"/>
    <n v="27991.601191032401"/>
    <n v="6691.6071970175335"/>
  </r>
  <r>
    <s v="Sistema de Compensação"/>
    <x v="1"/>
    <x v="3"/>
    <x v="1"/>
    <x v="0"/>
    <x v="0"/>
    <x v="0"/>
    <x v="2"/>
    <x v="6"/>
    <n v="0"/>
    <n v="0"/>
    <n v="-0.185"/>
    <n v="-0.185"/>
    <n v="-0.185"/>
    <n v="-0.185"/>
    <n v="0"/>
    <x v="1"/>
    <n v="0"/>
    <n v="0"/>
    <n v="42"/>
    <n v="66"/>
    <n v="0"/>
    <n v="1330.19"/>
    <n v="397.62"/>
    <m/>
    <n v="1471.0742690262982"/>
    <n v="351.67159959099928"/>
    <n v="0"/>
    <n v="-246.08515"/>
    <n v="-73.559700000000007"/>
    <n v="0"/>
    <n v="-272.14873976986519"/>
    <n v="-65.05924592433486"/>
  </r>
  <r>
    <s v="Regular"/>
    <x v="1"/>
    <x v="3"/>
    <x v="1"/>
    <x v="0"/>
    <x v="0"/>
    <x v="0"/>
    <x v="2"/>
    <x v="6"/>
    <n v="0"/>
    <n v="0"/>
    <n v="15.33"/>
    <n v="15.33"/>
    <n v="0"/>
    <n v="0"/>
    <n v="0"/>
    <x v="0"/>
    <n v="0"/>
    <n v="0"/>
    <n v="42"/>
    <n v="0"/>
    <n v="0"/>
    <n v="1330.19"/>
    <n v="0"/>
    <m/>
    <n v="1471.0742690262982"/>
    <m/>
    <n v="0"/>
    <n v="20391.812700000002"/>
    <n v="0"/>
    <n v="0"/>
    <n v="22551.568544173151"/>
    <n v="0"/>
  </r>
  <r>
    <s v="Regular"/>
    <x v="1"/>
    <x v="3"/>
    <x v="1"/>
    <x v="0"/>
    <x v="0"/>
    <x v="0"/>
    <x v="2"/>
    <x v="7"/>
    <n v="0"/>
    <n v="0"/>
    <n v="269.95600000000002"/>
    <n v="269.95600000000002"/>
    <n v="269.95600000000002"/>
    <n v="269.95600000000002"/>
    <n v="0"/>
    <x v="1"/>
    <n v="0"/>
    <n v="0"/>
    <n v="42"/>
    <n v="66"/>
    <n v="0"/>
    <n v="1330.19"/>
    <n v="397.62"/>
    <m/>
    <n v="1471.0742690262982"/>
    <n v="351.67159959099928"/>
    <n v="0"/>
    <n v="359092.77164000005"/>
    <n v="107339.90472000001"/>
    <n v="0"/>
    <n v="397125.32536926342"/>
    <n v="94935.858339187806"/>
  </r>
  <r>
    <s v="Sistema de Compensação"/>
    <x v="1"/>
    <x v="3"/>
    <x v="1"/>
    <x v="0"/>
    <x v="0"/>
    <x v="0"/>
    <x v="2"/>
    <x v="7"/>
    <n v="0"/>
    <n v="0"/>
    <n v="15.276"/>
    <n v="15.276"/>
    <n v="15.276"/>
    <n v="15.276"/>
    <n v="0"/>
    <x v="1"/>
    <n v="0"/>
    <n v="0"/>
    <n v="42"/>
    <n v="66"/>
    <n v="0"/>
    <n v="1330.19"/>
    <n v="397.62"/>
    <m/>
    <n v="1471.0742690262982"/>
    <n v="351.67159959099928"/>
    <n v="0"/>
    <n v="20319.98244"/>
    <n v="6074.0431200000003"/>
    <n v="0"/>
    <n v="22472.13053364573"/>
    <n v="5372.1353553521049"/>
  </r>
  <r>
    <s v="Regular"/>
    <x v="1"/>
    <x v="3"/>
    <x v="1"/>
    <x v="0"/>
    <x v="0"/>
    <x v="0"/>
    <x v="2"/>
    <x v="7"/>
    <n v="0"/>
    <n v="0"/>
    <n v="14.558"/>
    <n v="14.558"/>
    <n v="0"/>
    <n v="0"/>
    <n v="0"/>
    <x v="0"/>
    <n v="0"/>
    <n v="0"/>
    <n v="42"/>
    <n v="0"/>
    <n v="0"/>
    <n v="1330.19"/>
    <n v="0"/>
    <m/>
    <n v="1471.0742690262982"/>
    <m/>
    <n v="0"/>
    <n v="19364.906020000002"/>
    <n v="0"/>
    <n v="0"/>
    <n v="21415.899208484851"/>
    <n v="0"/>
  </r>
  <r>
    <s v="Regular"/>
    <x v="1"/>
    <x v="3"/>
    <x v="1"/>
    <x v="0"/>
    <x v="0"/>
    <x v="0"/>
    <x v="2"/>
    <x v="8"/>
    <n v="0"/>
    <n v="0"/>
    <n v="258.42599999999999"/>
    <n v="258.42599999999999"/>
    <n v="258.42599999999999"/>
    <n v="258.42599999999999"/>
    <n v="0"/>
    <x v="1"/>
    <n v="0"/>
    <n v="0"/>
    <n v="42"/>
    <n v="66"/>
    <n v="0"/>
    <n v="1330.19"/>
    <n v="397.62"/>
    <m/>
    <n v="1471.0742690262982"/>
    <n v="351.67159959099928"/>
    <n v="0"/>
    <n v="343755.68093999999"/>
    <n v="102755.34612"/>
    <n v="0"/>
    <n v="380163.83904739015"/>
    <n v="90881.084795903575"/>
  </r>
  <r>
    <s v="Sistema de Compensação"/>
    <x v="1"/>
    <x v="3"/>
    <x v="1"/>
    <x v="0"/>
    <x v="0"/>
    <x v="0"/>
    <x v="2"/>
    <x v="8"/>
    <n v="0"/>
    <n v="0"/>
    <n v="24.678000000000001"/>
    <n v="24.678000000000001"/>
    <n v="24.678000000000001"/>
    <n v="24.678000000000001"/>
    <n v="0"/>
    <x v="1"/>
    <n v="0"/>
    <n v="0"/>
    <n v="42"/>
    <n v="66"/>
    <n v="0"/>
    <n v="1330.19"/>
    <n v="397.62"/>
    <m/>
    <n v="1471.0742690262982"/>
    <n v="351.67159959099928"/>
    <n v="0"/>
    <n v="32826.428820000001"/>
    <n v="9812.4663600000003"/>
    <n v="0"/>
    <n v="36303.170811030992"/>
    <n v="8678.5517347066798"/>
  </r>
  <r>
    <s v="Regular"/>
    <x v="1"/>
    <x v="3"/>
    <x v="1"/>
    <x v="0"/>
    <x v="0"/>
    <x v="0"/>
    <x v="2"/>
    <x v="8"/>
    <n v="0"/>
    <n v="0"/>
    <n v="16.007000000000001"/>
    <n v="16.007000000000001"/>
    <n v="0"/>
    <n v="0"/>
    <n v="0"/>
    <x v="0"/>
    <n v="0"/>
    <n v="0"/>
    <n v="42"/>
    <n v="0"/>
    <n v="0"/>
    <n v="1330.19"/>
    <n v="0"/>
    <m/>
    <n v="1471.0742690262982"/>
    <m/>
    <n v="0"/>
    <n v="21292.351330000001"/>
    <n v="0"/>
    <n v="0"/>
    <n v="23547.485824303956"/>
    <n v="0"/>
  </r>
  <r>
    <s v="Regular"/>
    <x v="1"/>
    <x v="3"/>
    <x v="1"/>
    <x v="0"/>
    <x v="0"/>
    <x v="0"/>
    <x v="2"/>
    <x v="9"/>
    <n v="0"/>
    <n v="0"/>
    <n v="272.28399999999999"/>
    <n v="272.28399999999999"/>
    <n v="272.28399999999999"/>
    <n v="272.28399999999999"/>
    <n v="0"/>
    <x v="1"/>
    <n v="0"/>
    <n v="0"/>
    <n v="42"/>
    <n v="66"/>
    <n v="0"/>
    <n v="1330.19"/>
    <n v="397.62"/>
    <m/>
    <n v="1471.0742690262982"/>
    <n v="351.67159959099928"/>
    <n v="0"/>
    <n v="362189.45396000001"/>
    <n v="108265.56408"/>
    <n v="0"/>
    <n v="400549.98626755655"/>
    <n v="95754.549823035646"/>
  </r>
  <r>
    <s v="Refaturamento - Regular"/>
    <x v="1"/>
    <x v="3"/>
    <x v="1"/>
    <x v="0"/>
    <x v="0"/>
    <x v="0"/>
    <x v="2"/>
    <x v="9"/>
    <n v="0"/>
    <n v="0"/>
    <n v="-1.98"/>
    <n v="-1.98"/>
    <n v="-1.98"/>
    <n v="-1.98"/>
    <n v="0"/>
    <x v="1"/>
    <n v="0"/>
    <n v="0"/>
    <n v="42"/>
    <n v="66"/>
    <n v="0"/>
    <n v="1330.19"/>
    <n v="397.62"/>
    <m/>
    <n v="1471.0742690262982"/>
    <n v="351.67159959099928"/>
    <n v="0"/>
    <n v="-2633.7762000000002"/>
    <n v="-787.2876"/>
    <n v="0"/>
    <n v="-2912.7270526720704"/>
    <n v="-696.3097671901786"/>
  </r>
  <r>
    <s v="Sistema de Compensação"/>
    <x v="1"/>
    <x v="3"/>
    <x v="1"/>
    <x v="0"/>
    <x v="0"/>
    <x v="0"/>
    <x v="2"/>
    <x v="9"/>
    <n v="0"/>
    <n v="0"/>
    <n v="35.722999999999999"/>
    <n v="35.722999999999999"/>
    <n v="35.722999999999999"/>
    <n v="35.722999999999999"/>
    <n v="0"/>
    <x v="1"/>
    <n v="0"/>
    <n v="0"/>
    <n v="42"/>
    <n v="66"/>
    <n v="0"/>
    <n v="1330.19"/>
    <n v="397.62"/>
    <m/>
    <n v="1471.0742690262982"/>
    <n v="351.67159959099928"/>
    <n v="0"/>
    <n v="47518.377370000002"/>
    <n v="14204.179259999999"/>
    <n v="0"/>
    <n v="52551.186112426447"/>
    <n v="12562.764552189266"/>
  </r>
  <r>
    <s v="Regular"/>
    <x v="1"/>
    <x v="3"/>
    <x v="1"/>
    <x v="0"/>
    <x v="0"/>
    <x v="0"/>
    <x v="2"/>
    <x v="9"/>
    <n v="0"/>
    <n v="0"/>
    <n v="9.1809999999999992"/>
    <n v="9.1809999999999992"/>
    <n v="0"/>
    <n v="0"/>
    <n v="0"/>
    <x v="0"/>
    <n v="0"/>
    <n v="0"/>
    <n v="42"/>
    <n v="0"/>
    <n v="0"/>
    <n v="1330.19"/>
    <n v="0"/>
    <m/>
    <n v="1471.0742690262982"/>
    <m/>
    <n v="0"/>
    <n v="12212.474389999999"/>
    <n v="0"/>
    <n v="0"/>
    <n v="13505.932863930442"/>
    <n v="0"/>
  </r>
  <r>
    <s v="Regular"/>
    <x v="1"/>
    <x v="3"/>
    <x v="1"/>
    <x v="0"/>
    <x v="0"/>
    <x v="0"/>
    <x v="2"/>
    <x v="10"/>
    <n v="0"/>
    <n v="0"/>
    <n v="288.91199999999998"/>
    <n v="288.91199999999998"/>
    <n v="288.91199999999998"/>
    <n v="288.91199999999998"/>
    <n v="0"/>
    <x v="1"/>
    <n v="0"/>
    <n v="0"/>
    <n v="42"/>
    <n v="66"/>
    <n v="0"/>
    <n v="1330.19"/>
    <n v="397.62"/>
    <m/>
    <n v="1471.0742690262982"/>
    <n v="351.67159959099928"/>
    <n v="0"/>
    <n v="384307.85327999998"/>
    <n v="114877.18943999999"/>
    <n v="0"/>
    <n v="425011.00921292586"/>
    <n v="101602.14518103478"/>
  </r>
  <r>
    <s v="Refaturamento - Regular"/>
    <x v="1"/>
    <x v="3"/>
    <x v="1"/>
    <x v="0"/>
    <x v="0"/>
    <x v="0"/>
    <x v="2"/>
    <x v="10"/>
    <n v="0"/>
    <n v="0"/>
    <n v="-0.16900000000000001"/>
    <n v="-0.16900000000000001"/>
    <n v="-0.16900000000000001"/>
    <n v="-0.16900000000000001"/>
    <n v="0"/>
    <x v="1"/>
    <n v="0"/>
    <n v="0"/>
    <n v="42"/>
    <n v="66"/>
    <n v="0"/>
    <n v="1330.19"/>
    <n v="397.62"/>
    <m/>
    <n v="1471.0742690262982"/>
    <n v="351.67159959099928"/>
    <n v="0"/>
    <n v="-224.80211000000003"/>
    <n v="-67.197780000000009"/>
    <n v="0"/>
    <n v="-248.61155146544442"/>
    <n v="-59.432500330878881"/>
  </r>
  <r>
    <s v="Sistema de Compensação"/>
    <x v="1"/>
    <x v="3"/>
    <x v="1"/>
    <x v="0"/>
    <x v="0"/>
    <x v="0"/>
    <x v="2"/>
    <x v="10"/>
    <n v="0"/>
    <n v="0"/>
    <n v="10.967000000000001"/>
    <n v="10.967000000000001"/>
    <n v="10.967000000000001"/>
    <n v="10.967000000000001"/>
    <n v="0"/>
    <x v="1"/>
    <n v="0"/>
    <n v="0"/>
    <n v="42"/>
    <n v="66"/>
    <n v="0"/>
    <n v="1330.19"/>
    <n v="397.62"/>
    <m/>
    <n v="1471.0742690262982"/>
    <n v="351.67159959099928"/>
    <n v="0"/>
    <n v="14588.193730000001"/>
    <n v="4360.6985400000003"/>
    <n v="0"/>
    <n v="16133.271508411413"/>
    <n v="3856.7824327144895"/>
  </r>
  <r>
    <s v="PROJETADO"/>
    <x v="1"/>
    <x v="3"/>
    <x v="1"/>
    <x v="0"/>
    <x v="0"/>
    <x v="0"/>
    <x v="2"/>
    <x v="11"/>
    <n v="0"/>
    <n v="0"/>
    <n v="288.91199999999998"/>
    <n v="288.91199999999998"/>
    <n v="288.91199999999998"/>
    <n v="288.91199999999998"/>
    <n v="0"/>
    <x v="1"/>
    <n v="0"/>
    <n v="0"/>
    <n v="42"/>
    <n v="66"/>
    <n v="0"/>
    <n v="1330.19"/>
    <n v="397.62"/>
    <m/>
    <n v="1471.0742690262982"/>
    <n v="351.67159959099928"/>
    <n v="0"/>
    <n v="384307.85327999998"/>
    <n v="114877.18943999999"/>
    <n v="0"/>
    <n v="425011.00921292586"/>
    <n v="101602.14518103478"/>
  </r>
  <r>
    <s v="PROJETADO"/>
    <x v="1"/>
    <x v="3"/>
    <x v="1"/>
    <x v="0"/>
    <x v="0"/>
    <x v="0"/>
    <x v="2"/>
    <x v="11"/>
    <n v="0"/>
    <n v="0"/>
    <n v="-0.16900000000000001"/>
    <n v="-0.16900000000000001"/>
    <n v="-0.16900000000000001"/>
    <n v="-0.16900000000000001"/>
    <n v="0"/>
    <x v="1"/>
    <n v="0"/>
    <n v="0"/>
    <n v="42"/>
    <n v="66"/>
    <n v="0"/>
    <n v="1330.19"/>
    <n v="397.62"/>
    <m/>
    <n v="1471.0742690262982"/>
    <n v="351.67159959099928"/>
    <n v="0"/>
    <n v="-224.80211000000003"/>
    <n v="-67.197780000000009"/>
    <n v="0"/>
    <n v="-248.61155146544442"/>
    <n v="-59.432500330878881"/>
  </r>
  <r>
    <s v="PROJETADO"/>
    <x v="1"/>
    <x v="3"/>
    <x v="1"/>
    <x v="0"/>
    <x v="0"/>
    <x v="0"/>
    <x v="2"/>
    <x v="11"/>
    <n v="0"/>
    <n v="0"/>
    <n v="10.967000000000001"/>
    <n v="10.967000000000001"/>
    <n v="10.967000000000001"/>
    <n v="10.967000000000001"/>
    <n v="0"/>
    <x v="1"/>
    <n v="0"/>
    <n v="0"/>
    <n v="42"/>
    <n v="66"/>
    <n v="0"/>
    <n v="1330.19"/>
    <n v="397.62"/>
    <m/>
    <n v="1471.0742690262982"/>
    <n v="351.67159959099928"/>
    <n v="0"/>
    <n v="14588.193730000001"/>
    <n v="4360.6985400000003"/>
    <n v="0"/>
    <n v="16133.271508411413"/>
    <n v="3856.7824327144895"/>
  </r>
  <r>
    <s v="Regular"/>
    <x v="1"/>
    <x v="3"/>
    <x v="5"/>
    <x v="0"/>
    <x v="0"/>
    <x v="0"/>
    <x v="0"/>
    <x v="0"/>
    <n v="0"/>
    <n v="0"/>
    <n v="6091.6229999999996"/>
    <n v="6091.6229999999996"/>
    <n v="6091.6229999999996"/>
    <n v="6091.6229999999996"/>
    <n v="0"/>
    <x v="1"/>
    <n v="0"/>
    <n v="0"/>
    <n v="44"/>
    <n v="67"/>
    <n v="0"/>
    <n v="62.57"/>
    <n v="242.82"/>
    <m/>
    <n v="75.886085105957733"/>
    <n v="224.53785920244138"/>
    <n v="0"/>
    <n v="381152.85110999999"/>
    <n v="1479167.8968599997"/>
    <n v="0"/>
    <n v="462269.42141140951"/>
    <n v="1367799.9874883534"/>
  </r>
  <r>
    <s v="Refaturamento - Regular"/>
    <x v="1"/>
    <x v="3"/>
    <x v="5"/>
    <x v="0"/>
    <x v="0"/>
    <x v="0"/>
    <x v="0"/>
    <x v="0"/>
    <n v="0"/>
    <n v="0"/>
    <n v="-0.60499999999999998"/>
    <n v="-0.60499999999999998"/>
    <n v="-0.60499999999999998"/>
    <n v="-0.60499999999999998"/>
    <n v="0"/>
    <x v="1"/>
    <n v="0"/>
    <n v="0"/>
    <n v="44"/>
    <n v="67"/>
    <n v="0"/>
    <n v="62.57"/>
    <n v="242.82"/>
    <m/>
    <n v="75.886085105957733"/>
    <n v="224.53785920244138"/>
    <n v="0"/>
    <n v="-37.854849999999999"/>
    <n v="-146.90609999999998"/>
    <n v="0"/>
    <n v="-45.911081489104426"/>
    <n v="-135.84540481747703"/>
  </r>
  <r>
    <s v="Sistema de Compensação"/>
    <x v="1"/>
    <x v="3"/>
    <x v="5"/>
    <x v="0"/>
    <x v="0"/>
    <x v="0"/>
    <x v="0"/>
    <x v="0"/>
    <n v="0"/>
    <n v="0"/>
    <n v="119.15900000000001"/>
    <n v="119.15900000000001"/>
    <n v="119.15900000000001"/>
    <n v="119.15900000000001"/>
    <n v="0"/>
    <x v="1"/>
    <n v="0"/>
    <n v="0"/>
    <n v="44"/>
    <n v="67"/>
    <n v="0"/>
    <n v="62.57"/>
    <n v="242.82"/>
    <m/>
    <n v="75.886085105957733"/>
    <n v="224.53785920244138"/>
    <n v="0"/>
    <n v="7455.7786300000007"/>
    <n v="28934.18838"/>
    <n v="0"/>
    <n v="9042.5100151408187"/>
    <n v="26755.706764703715"/>
  </r>
  <r>
    <s v="Regular"/>
    <x v="1"/>
    <x v="3"/>
    <x v="5"/>
    <x v="0"/>
    <x v="0"/>
    <x v="0"/>
    <x v="0"/>
    <x v="1"/>
    <n v="0"/>
    <n v="0"/>
    <n v="6536.3530000000001"/>
    <n v="6536.3530000000001"/>
    <n v="6536.3530000000001"/>
    <n v="6536.3530000000001"/>
    <n v="0"/>
    <x v="1"/>
    <n v="0"/>
    <n v="0"/>
    <n v="44"/>
    <n v="67"/>
    <n v="0"/>
    <n v="62.57"/>
    <n v="242.82"/>
    <m/>
    <n v="75.886085105957733"/>
    <n v="224.53785920244138"/>
    <n v="0"/>
    <n v="408979.60720999999"/>
    <n v="1587157.2354599999"/>
    <n v="0"/>
    <n v="496018.24004058214"/>
    <n v="1467658.7096114554"/>
  </r>
  <r>
    <s v="Refaturamento - Regular"/>
    <x v="1"/>
    <x v="3"/>
    <x v="5"/>
    <x v="0"/>
    <x v="0"/>
    <x v="0"/>
    <x v="0"/>
    <x v="1"/>
    <n v="0"/>
    <n v="0"/>
    <n v="-121.8"/>
    <n v="-121.8"/>
    <n v="-121.8"/>
    <n v="-121.8"/>
    <n v="0"/>
    <x v="1"/>
    <n v="0"/>
    <n v="0"/>
    <n v="44"/>
    <n v="67"/>
    <n v="0"/>
    <n v="62.57"/>
    <n v="242.82"/>
    <m/>
    <n v="75.886085105957733"/>
    <n v="224.53785920244138"/>
    <n v="0"/>
    <n v="-7621.0259999999998"/>
    <n v="-29575.475999999999"/>
    <n v="0"/>
    <n v="-9242.9251659056517"/>
    <n v="-27348.711250857359"/>
  </r>
  <r>
    <s v="Sistema de Compensação"/>
    <x v="1"/>
    <x v="3"/>
    <x v="5"/>
    <x v="0"/>
    <x v="0"/>
    <x v="0"/>
    <x v="0"/>
    <x v="1"/>
    <n v="0"/>
    <n v="0"/>
    <n v="141.476"/>
    <n v="141.476"/>
    <n v="141.476"/>
    <n v="141.476"/>
    <n v="0"/>
    <x v="1"/>
    <n v="0"/>
    <n v="0"/>
    <n v="44"/>
    <n v="67"/>
    <n v="0"/>
    <n v="62.57"/>
    <n v="242.82"/>
    <m/>
    <n v="75.886085105957733"/>
    <n v="224.53785920244138"/>
    <n v="0"/>
    <n v="8852.1533199999994"/>
    <n v="34353.202319999997"/>
    <n v="0"/>
    <n v="10736.059776450476"/>
    <n v="31766.718168524596"/>
  </r>
  <r>
    <s v="Regular"/>
    <x v="1"/>
    <x v="3"/>
    <x v="5"/>
    <x v="0"/>
    <x v="0"/>
    <x v="0"/>
    <x v="0"/>
    <x v="2"/>
    <n v="0"/>
    <n v="0"/>
    <n v="7273.1719999999996"/>
    <n v="7273.1719999999996"/>
    <n v="7273.1719999999996"/>
    <n v="7273.1719999999996"/>
    <n v="0"/>
    <x v="1"/>
    <n v="0"/>
    <n v="0"/>
    <n v="44"/>
    <n v="67"/>
    <n v="0"/>
    <n v="62.57"/>
    <n v="242.82"/>
    <m/>
    <n v="75.886085105957733"/>
    <n v="224.53785920244138"/>
    <n v="0"/>
    <n v="455082.37203999999"/>
    <n v="1766071.6250399998"/>
    <n v="0"/>
    <n v="551932.5493822688"/>
    <n v="1633102.470491139"/>
  </r>
  <r>
    <s v="Refaturamento - Regular"/>
    <x v="1"/>
    <x v="3"/>
    <x v="5"/>
    <x v="0"/>
    <x v="0"/>
    <x v="0"/>
    <x v="0"/>
    <x v="2"/>
    <n v="0"/>
    <n v="0"/>
    <n v="2.9209999999999998"/>
    <n v="2.9209999999999998"/>
    <n v="2.9209999999999998"/>
    <n v="2.9209999999999998"/>
    <n v="0"/>
    <x v="1"/>
    <n v="0"/>
    <n v="0"/>
    <n v="44"/>
    <n v="67"/>
    <n v="0"/>
    <n v="62.57"/>
    <n v="242.82"/>
    <m/>
    <n v="75.886085105957733"/>
    <n v="224.53785920244138"/>
    <n v="0"/>
    <n v="182.76696999999999"/>
    <n v="709.27721999999994"/>
    <n v="0"/>
    <n v="221.66325459450252"/>
    <n v="655.87508673033119"/>
  </r>
  <r>
    <s v="Sistema de Compensação"/>
    <x v="1"/>
    <x v="3"/>
    <x v="5"/>
    <x v="0"/>
    <x v="0"/>
    <x v="0"/>
    <x v="0"/>
    <x v="2"/>
    <n v="0"/>
    <n v="0"/>
    <n v="163.89"/>
    <n v="163.89"/>
    <n v="163.89"/>
    <n v="163.89"/>
    <n v="0"/>
    <x v="1"/>
    <n v="0"/>
    <n v="0"/>
    <n v="44"/>
    <n v="67"/>
    <n v="0"/>
    <n v="62.57"/>
    <n v="242.82"/>
    <m/>
    <n v="75.886085105957733"/>
    <n v="224.53785920244138"/>
    <n v="0"/>
    <n v="10254.597299999999"/>
    <n v="39795.769799999995"/>
    <n v="0"/>
    <n v="12436.970488015411"/>
    <n v="36799.509744688112"/>
  </r>
  <r>
    <s v="Regular"/>
    <x v="1"/>
    <x v="3"/>
    <x v="5"/>
    <x v="0"/>
    <x v="0"/>
    <x v="0"/>
    <x v="0"/>
    <x v="3"/>
    <n v="0"/>
    <n v="0"/>
    <n v="7854.3410000000003"/>
    <n v="7854.3410000000003"/>
    <n v="7854.3410000000003"/>
    <n v="7854.3410000000003"/>
    <n v="0"/>
    <x v="1"/>
    <n v="0"/>
    <n v="0"/>
    <n v="44"/>
    <n v="67"/>
    <n v="0"/>
    <n v="62.57"/>
    <n v="242.82"/>
    <m/>
    <n v="75.886085105957733"/>
    <n v="224.53785920244138"/>
    <n v="0"/>
    <n v="491446.11637"/>
    <n v="1907191.0816200001"/>
    <n v="0"/>
    <n v="596035.18957721314"/>
    <n v="1763596.9135859627"/>
  </r>
  <r>
    <s v="Sistema de Compensação"/>
    <x v="1"/>
    <x v="3"/>
    <x v="5"/>
    <x v="0"/>
    <x v="0"/>
    <x v="0"/>
    <x v="0"/>
    <x v="3"/>
    <n v="0"/>
    <n v="0"/>
    <n v="170.649"/>
    <n v="170.649"/>
    <n v="170.649"/>
    <n v="170.649"/>
    <n v="0"/>
    <x v="1"/>
    <n v="0"/>
    <n v="0"/>
    <n v="44"/>
    <n v="67"/>
    <n v="0"/>
    <n v="62.57"/>
    <n v="242.82"/>
    <m/>
    <n v="75.886085105957733"/>
    <n v="224.53785920244138"/>
    <n v="0"/>
    <n v="10677.50793"/>
    <n v="41436.990180000001"/>
    <n v="0"/>
    <n v="12949.884537246582"/>
    <n v="38317.161135037422"/>
  </r>
  <r>
    <s v="Regular"/>
    <x v="1"/>
    <x v="3"/>
    <x v="5"/>
    <x v="0"/>
    <x v="0"/>
    <x v="0"/>
    <x v="0"/>
    <x v="4"/>
    <n v="0"/>
    <n v="0"/>
    <n v="7959.6980000000003"/>
    <n v="7959.6980000000003"/>
    <n v="7959.6980000000003"/>
    <n v="7959.6980000000003"/>
    <n v="0"/>
    <x v="1"/>
    <n v="0"/>
    <n v="0"/>
    <n v="44"/>
    <n v="67"/>
    <n v="0"/>
    <n v="62.57"/>
    <n v="242.82"/>
    <m/>
    <n v="75.886085105957733"/>
    <n v="224.53785920244138"/>
    <n v="0"/>
    <n v="498038.30386000004"/>
    <n v="1932773.86836"/>
    <n v="0"/>
    <n v="604030.31984572159"/>
    <n v="1787253.5488179543"/>
  </r>
  <r>
    <s v="Sistema de Compensação"/>
    <x v="1"/>
    <x v="3"/>
    <x v="5"/>
    <x v="0"/>
    <x v="0"/>
    <x v="0"/>
    <x v="0"/>
    <x v="4"/>
    <n v="0"/>
    <n v="0"/>
    <n v="182.31100000000001"/>
    <n v="182.31100000000001"/>
    <n v="182.31100000000001"/>
    <n v="182.31100000000001"/>
    <n v="0"/>
    <x v="1"/>
    <n v="0"/>
    <n v="0"/>
    <n v="44"/>
    <n v="67"/>
    <n v="0"/>
    <n v="62.57"/>
    <n v="242.82"/>
    <m/>
    <n v="75.886085105957733"/>
    <n v="224.53785920244138"/>
    <n v="0"/>
    <n v="11407.199270000001"/>
    <n v="44268.757019999997"/>
    <n v="0"/>
    <n v="13834.86806175226"/>
    <n v="40935.721649056293"/>
  </r>
  <r>
    <s v="Regular"/>
    <x v="1"/>
    <x v="3"/>
    <x v="5"/>
    <x v="0"/>
    <x v="0"/>
    <x v="0"/>
    <x v="0"/>
    <x v="5"/>
    <n v="0"/>
    <n v="0"/>
    <n v="7523.2740000000003"/>
    <n v="7523.2740000000003"/>
    <n v="7523.2740000000003"/>
    <n v="7523.2740000000003"/>
    <n v="0"/>
    <x v="1"/>
    <n v="0"/>
    <n v="0"/>
    <n v="44"/>
    <n v="67"/>
    <n v="0"/>
    <n v="62.57"/>
    <n v="242.82"/>
    <m/>
    <n v="75.886085105957733"/>
    <n v="224.53785920244138"/>
    <n v="0"/>
    <n v="470731.25418000005"/>
    <n v="1826801.39268"/>
    <n v="0"/>
    <n v="570911.81103943905"/>
    <n v="1689259.8381533881"/>
  </r>
  <r>
    <s v="Sistema de Compensação"/>
    <x v="1"/>
    <x v="3"/>
    <x v="5"/>
    <x v="0"/>
    <x v="0"/>
    <x v="0"/>
    <x v="0"/>
    <x v="5"/>
    <n v="0"/>
    <n v="0"/>
    <n v="142.25700000000001"/>
    <n v="142.25700000000001"/>
    <n v="142.25700000000001"/>
    <n v="142.25700000000001"/>
    <n v="0"/>
    <x v="1"/>
    <n v="0"/>
    <n v="0"/>
    <n v="44"/>
    <n v="67"/>
    <n v="0"/>
    <n v="62.57"/>
    <n v="242.82"/>
    <m/>
    <n v="75.886085105957733"/>
    <n v="224.53785920244138"/>
    <n v="0"/>
    <n v="8901.0204900000008"/>
    <n v="34542.84474"/>
    <n v="0"/>
    <n v="10795.326808918229"/>
    <n v="31942.082236561706"/>
  </r>
  <r>
    <s v="Regular"/>
    <x v="1"/>
    <x v="3"/>
    <x v="5"/>
    <x v="0"/>
    <x v="0"/>
    <x v="0"/>
    <x v="0"/>
    <x v="6"/>
    <n v="0"/>
    <n v="0"/>
    <n v="7308.4430000000002"/>
    <n v="7308.4430000000002"/>
    <n v="7308.4430000000002"/>
    <n v="7308.4430000000002"/>
    <n v="0"/>
    <x v="1"/>
    <n v="0"/>
    <n v="0"/>
    <n v="44"/>
    <n v="67"/>
    <n v="0"/>
    <n v="62.57"/>
    <n v="242.82"/>
    <m/>
    <n v="75.886085105957733"/>
    <n v="224.53785920244138"/>
    <n v="0"/>
    <n v="457289.27851000003"/>
    <n v="1774636.1292600001"/>
    <n v="0"/>
    <n v="554609.12749004108"/>
    <n v="1641022.1453230684"/>
  </r>
  <r>
    <s v="Sistema de Compensação"/>
    <x v="1"/>
    <x v="3"/>
    <x v="5"/>
    <x v="0"/>
    <x v="0"/>
    <x v="0"/>
    <x v="0"/>
    <x v="6"/>
    <n v="0"/>
    <n v="0"/>
    <n v="135.14099999999999"/>
    <n v="135.14099999999999"/>
    <n v="135.14099999999999"/>
    <n v="135.14099999999999"/>
    <n v="0"/>
    <x v="1"/>
    <n v="0"/>
    <n v="0"/>
    <n v="44"/>
    <n v="67"/>
    <n v="0"/>
    <n v="62.57"/>
    <n v="242.82"/>
    <m/>
    <n v="75.886085105957733"/>
    <n v="224.53785920244138"/>
    <n v="0"/>
    <n v="8455.7723699999988"/>
    <n v="32814.937619999997"/>
    <n v="0"/>
    <n v="10255.321427304234"/>
    <n v="30344.270830477129"/>
  </r>
  <r>
    <s v="Regular"/>
    <x v="1"/>
    <x v="3"/>
    <x v="5"/>
    <x v="0"/>
    <x v="0"/>
    <x v="0"/>
    <x v="0"/>
    <x v="7"/>
    <n v="0"/>
    <n v="0"/>
    <n v="8097.817"/>
    <n v="8097.817"/>
    <n v="8097.817"/>
    <n v="8097.817"/>
    <n v="0"/>
    <x v="1"/>
    <n v="0"/>
    <n v="0"/>
    <n v="44"/>
    <n v="67"/>
    <n v="0"/>
    <n v="62.57"/>
    <n v="242.82"/>
    <m/>
    <n v="75.886085105957733"/>
    <n v="224.53785920244138"/>
    <n v="0"/>
    <n v="506680.40969"/>
    <n v="1966311.9239399999"/>
    <n v="0"/>
    <n v="614511.63003447128"/>
    <n v="1818266.4933931362"/>
  </r>
  <r>
    <s v="Sistema de Compensação"/>
    <x v="1"/>
    <x v="3"/>
    <x v="5"/>
    <x v="0"/>
    <x v="0"/>
    <x v="0"/>
    <x v="0"/>
    <x v="7"/>
    <n v="0"/>
    <n v="0"/>
    <n v="182.16800000000001"/>
    <n v="182.16800000000001"/>
    <n v="182.16800000000001"/>
    <n v="182.16800000000001"/>
    <n v="0"/>
    <x v="1"/>
    <n v="0"/>
    <n v="0"/>
    <n v="44"/>
    <n v="67"/>
    <n v="0"/>
    <n v="62.57"/>
    <n v="242.82"/>
    <m/>
    <n v="75.886085105957733"/>
    <n v="224.53785920244138"/>
    <n v="0"/>
    <n v="11398.251760000001"/>
    <n v="44234.033759999998"/>
    <n v="0"/>
    <n v="13824.01635158211"/>
    <n v="40903.612735190341"/>
  </r>
  <r>
    <s v="Regular"/>
    <x v="1"/>
    <x v="3"/>
    <x v="5"/>
    <x v="0"/>
    <x v="0"/>
    <x v="0"/>
    <x v="0"/>
    <x v="8"/>
    <n v="0"/>
    <n v="0"/>
    <n v="8065.8779999999997"/>
    <n v="8065.8779999999997"/>
    <n v="8065.8779999999997"/>
    <n v="8065.8779999999997"/>
    <n v="0"/>
    <x v="1"/>
    <n v="0"/>
    <n v="0"/>
    <n v="44"/>
    <n v="67"/>
    <n v="0"/>
    <n v="62.57"/>
    <n v="242.82"/>
    <m/>
    <n v="75.886085105957733"/>
    <n v="224.53785920244138"/>
    <n v="0"/>
    <n v="504681.98645999999"/>
    <n v="1958556.49596"/>
    <n v="0"/>
    <n v="612087.90436227212"/>
    <n v="1811094.9787080693"/>
  </r>
  <r>
    <s v="Sistema de Compensação"/>
    <x v="1"/>
    <x v="3"/>
    <x v="5"/>
    <x v="0"/>
    <x v="0"/>
    <x v="0"/>
    <x v="0"/>
    <x v="8"/>
    <n v="0"/>
    <n v="0"/>
    <n v="187.572"/>
    <n v="187.572"/>
    <n v="187.572"/>
    <n v="187.572"/>
    <n v="0"/>
    <x v="1"/>
    <n v="0"/>
    <n v="0"/>
    <n v="44"/>
    <n v="67"/>
    <n v="0"/>
    <n v="62.57"/>
    <n v="242.82"/>
    <m/>
    <n v="75.886085105957733"/>
    <n v="224.53785920244138"/>
    <n v="0"/>
    <n v="11736.38004"/>
    <n v="45546.233039999999"/>
    <n v="0"/>
    <n v="14234.104755494704"/>
    <n v="42117.015326320332"/>
  </r>
  <r>
    <s v="Regular"/>
    <x v="1"/>
    <x v="3"/>
    <x v="5"/>
    <x v="0"/>
    <x v="0"/>
    <x v="0"/>
    <x v="0"/>
    <x v="9"/>
    <n v="0"/>
    <n v="0"/>
    <n v="7581.9979999999996"/>
    <n v="7581.9979999999996"/>
    <n v="7581.9979999999996"/>
    <n v="7581.9979999999996"/>
    <n v="0"/>
    <x v="1"/>
    <n v="0"/>
    <n v="0"/>
    <n v="44"/>
    <n v="67"/>
    <n v="0"/>
    <n v="62.57"/>
    <n v="242.82"/>
    <m/>
    <n v="75.886085105957733"/>
    <n v="224.53785920244138"/>
    <n v="0"/>
    <n v="474405.61485999997"/>
    <n v="1841060.7543599999"/>
    <n v="0"/>
    <n v="575368.14550120127"/>
    <n v="1702445.599397192"/>
  </r>
  <r>
    <s v="Sistema de Compensação"/>
    <x v="1"/>
    <x v="3"/>
    <x v="5"/>
    <x v="0"/>
    <x v="0"/>
    <x v="0"/>
    <x v="0"/>
    <x v="9"/>
    <n v="0"/>
    <n v="0"/>
    <n v="205.87700000000001"/>
    <n v="205.87700000000001"/>
    <n v="205.87700000000001"/>
    <n v="205.87700000000001"/>
    <n v="0"/>
    <x v="1"/>
    <n v="0"/>
    <n v="0"/>
    <n v="44"/>
    <n v="67"/>
    <n v="0"/>
    <n v="62.57"/>
    <n v="242.82"/>
    <m/>
    <n v="75.886085105957733"/>
    <n v="224.53785920244138"/>
    <n v="0"/>
    <n v="12881.723890000001"/>
    <n v="49991.053140000004"/>
    <n v="0"/>
    <n v="15623.19954335926"/>
    <n v="46227.180839021028"/>
  </r>
  <r>
    <s v="Regular"/>
    <x v="1"/>
    <x v="3"/>
    <x v="5"/>
    <x v="0"/>
    <x v="0"/>
    <x v="0"/>
    <x v="0"/>
    <x v="10"/>
    <n v="0"/>
    <n v="0"/>
    <n v="6672.8950000000004"/>
    <n v="6672.8950000000004"/>
    <n v="6672.8950000000004"/>
    <n v="6672.8950000000004"/>
    <n v="0"/>
    <x v="1"/>
    <n v="0"/>
    <n v="0"/>
    <n v="44"/>
    <n v="67"/>
    <n v="0"/>
    <n v="62.57"/>
    <n v="242.82"/>
    <m/>
    <n v="75.886085105957733"/>
    <n v="224.53785920244138"/>
    <n v="0"/>
    <n v="417523.04015000002"/>
    <n v="1620312.3639"/>
    <n v="0"/>
    <n v="506379.87787311984"/>
    <n v="1498317.5579826753"/>
  </r>
  <r>
    <s v="Refaturamento - Regular"/>
    <x v="1"/>
    <x v="3"/>
    <x v="5"/>
    <x v="0"/>
    <x v="0"/>
    <x v="0"/>
    <x v="0"/>
    <x v="10"/>
    <n v="0"/>
    <n v="0"/>
    <n v="-5.7839999999999998"/>
    <n v="-5.7839999999999998"/>
    <n v="-5.7839999999999998"/>
    <n v="-5.7839999999999998"/>
    <n v="0"/>
    <x v="1"/>
    <n v="0"/>
    <n v="0"/>
    <n v="44"/>
    <n v="67"/>
    <n v="0"/>
    <n v="62.57"/>
    <n v="242.82"/>
    <m/>
    <n v="75.886085105957733"/>
    <n v="224.53785920244138"/>
    <n v="0"/>
    <n v="-361.90487999999999"/>
    <n v="-1404.4708799999999"/>
    <n v="0"/>
    <n v="-438.92511625285954"/>
    <n v="-1298.7269776269209"/>
  </r>
  <r>
    <s v="Sistema de Compensação"/>
    <x v="1"/>
    <x v="3"/>
    <x v="5"/>
    <x v="0"/>
    <x v="0"/>
    <x v="0"/>
    <x v="0"/>
    <x v="10"/>
    <n v="0"/>
    <n v="0"/>
    <n v="183.42"/>
    <n v="183.42"/>
    <n v="183.42"/>
    <n v="183.42"/>
    <n v="0"/>
    <x v="1"/>
    <n v="0"/>
    <n v="0"/>
    <n v="44"/>
    <n v="67"/>
    <n v="0"/>
    <n v="62.57"/>
    <n v="242.82"/>
    <m/>
    <n v="75.886085105957733"/>
    <n v="224.53785920244138"/>
    <n v="0"/>
    <n v="11476.589399999999"/>
    <n v="44538.044399999999"/>
    <n v="0"/>
    <n v="13919.025730134766"/>
    <n v="41184.734134911792"/>
  </r>
  <r>
    <s v="PROJETADO"/>
    <x v="1"/>
    <x v="3"/>
    <x v="5"/>
    <x v="0"/>
    <x v="0"/>
    <x v="0"/>
    <x v="0"/>
    <x v="11"/>
    <n v="0"/>
    <n v="0"/>
    <n v="6672.8950000000004"/>
    <n v="6672.8950000000004"/>
    <n v="6672.8950000000004"/>
    <n v="6672.8950000000004"/>
    <n v="0"/>
    <x v="1"/>
    <n v="0"/>
    <n v="0"/>
    <n v="44"/>
    <n v="67"/>
    <n v="0"/>
    <n v="62.57"/>
    <n v="242.82"/>
    <m/>
    <n v="75.886085105957733"/>
    <n v="224.53785920244138"/>
    <n v="0"/>
    <n v="417523.04015000002"/>
    <n v="1620312.3639"/>
    <n v="0"/>
    <n v="506379.87787311984"/>
    <n v="1498317.5579826753"/>
  </r>
  <r>
    <s v="PROJETADO"/>
    <x v="1"/>
    <x v="3"/>
    <x v="5"/>
    <x v="0"/>
    <x v="0"/>
    <x v="0"/>
    <x v="0"/>
    <x v="11"/>
    <n v="0"/>
    <n v="0"/>
    <n v="-5.7839999999999998"/>
    <n v="-5.7839999999999998"/>
    <n v="-5.7839999999999998"/>
    <n v="-5.7839999999999998"/>
    <n v="0"/>
    <x v="1"/>
    <n v="0"/>
    <n v="0"/>
    <n v="44"/>
    <n v="67"/>
    <n v="0"/>
    <n v="62.57"/>
    <n v="242.82"/>
    <m/>
    <n v="75.886085105957733"/>
    <n v="224.53785920244138"/>
    <n v="0"/>
    <n v="-361.90487999999999"/>
    <n v="-1404.4708799999999"/>
    <n v="0"/>
    <n v="-438.92511625285954"/>
    <n v="-1298.7269776269209"/>
  </r>
  <r>
    <s v="PROJETADO"/>
    <x v="1"/>
    <x v="3"/>
    <x v="5"/>
    <x v="0"/>
    <x v="0"/>
    <x v="0"/>
    <x v="0"/>
    <x v="11"/>
    <n v="0"/>
    <n v="0"/>
    <n v="183.42"/>
    <n v="183.42"/>
    <n v="183.42"/>
    <n v="183.42"/>
    <n v="0"/>
    <x v="1"/>
    <n v="0"/>
    <n v="0"/>
    <n v="44"/>
    <n v="67"/>
    <n v="0"/>
    <n v="62.57"/>
    <n v="242.82"/>
    <m/>
    <n v="75.886085105957733"/>
    <n v="224.53785920244138"/>
    <n v="0"/>
    <n v="11476.589399999999"/>
    <n v="44538.044399999999"/>
    <n v="0"/>
    <n v="13919.025730134766"/>
    <n v="41184.734134911792"/>
  </r>
  <r>
    <s v="Regular"/>
    <x v="1"/>
    <x v="3"/>
    <x v="5"/>
    <x v="0"/>
    <x v="0"/>
    <x v="0"/>
    <x v="1"/>
    <x v="0"/>
    <n v="47398"/>
    <n v="47398"/>
    <n v="0"/>
    <n v="0"/>
    <n v="0"/>
    <n v="0"/>
    <n v="367"/>
    <x v="1"/>
    <n v="0"/>
    <n v="40"/>
    <n v="0"/>
    <n v="0"/>
    <n v="26.22"/>
    <n v="0"/>
    <n v="0"/>
    <n v="28.891757284072764"/>
    <m/>
    <m/>
    <n v="1242775.56"/>
    <n v="0"/>
    <n v="0"/>
    <n v="1369411.5117504809"/>
    <n v="0"/>
    <n v="0"/>
  </r>
  <r>
    <s v="Sistema de Compensação"/>
    <x v="1"/>
    <x v="3"/>
    <x v="5"/>
    <x v="0"/>
    <x v="0"/>
    <x v="0"/>
    <x v="1"/>
    <x v="0"/>
    <n v="1475"/>
    <n v="1475"/>
    <n v="0"/>
    <n v="0"/>
    <n v="0"/>
    <n v="0"/>
    <n v="7"/>
    <x v="1"/>
    <n v="0"/>
    <n v="40"/>
    <n v="0"/>
    <n v="0"/>
    <n v="26.22"/>
    <n v="0"/>
    <n v="0"/>
    <n v="28.891757284072764"/>
    <m/>
    <m/>
    <n v="38674.5"/>
    <n v="0"/>
    <n v="0"/>
    <n v="42615.341994007329"/>
    <n v="0"/>
    <n v="0"/>
  </r>
  <r>
    <s v="Regular"/>
    <x v="1"/>
    <x v="3"/>
    <x v="5"/>
    <x v="0"/>
    <x v="0"/>
    <x v="0"/>
    <x v="1"/>
    <x v="1"/>
    <n v="47374"/>
    <n v="47374"/>
    <n v="0"/>
    <n v="0"/>
    <n v="0"/>
    <n v="0"/>
    <n v="368"/>
    <x v="1"/>
    <n v="0"/>
    <n v="40"/>
    <n v="0"/>
    <n v="0"/>
    <n v="26.22"/>
    <n v="0"/>
    <n v="0"/>
    <n v="28.891757284072764"/>
    <m/>
    <m/>
    <n v="1242146.28"/>
    <n v="0"/>
    <n v="0"/>
    <n v="1368718.109575663"/>
    <n v="0"/>
    <n v="0"/>
  </r>
  <r>
    <s v="Refaturamento - Regular"/>
    <x v="1"/>
    <x v="3"/>
    <x v="5"/>
    <x v="0"/>
    <x v="0"/>
    <x v="0"/>
    <x v="1"/>
    <x v="1"/>
    <n v="-638"/>
    <n v="-638"/>
    <n v="0"/>
    <n v="0"/>
    <n v="0"/>
    <n v="0"/>
    <n v="-6"/>
    <x v="1"/>
    <n v="0"/>
    <n v="40"/>
    <n v="0"/>
    <n v="0"/>
    <n v="26.22"/>
    <n v="0"/>
    <n v="0"/>
    <n v="28.891757284072764"/>
    <m/>
    <m/>
    <n v="-16728.36"/>
    <n v="0"/>
    <n v="0"/>
    <n v="-18432.941147238424"/>
    <n v="0"/>
    <n v="0"/>
  </r>
  <r>
    <s v="Sistema de Compensação"/>
    <x v="1"/>
    <x v="3"/>
    <x v="5"/>
    <x v="0"/>
    <x v="0"/>
    <x v="0"/>
    <x v="1"/>
    <x v="1"/>
    <n v="1475"/>
    <n v="1475"/>
    <n v="0"/>
    <n v="0"/>
    <n v="0"/>
    <n v="0"/>
    <n v="7"/>
    <x v="1"/>
    <n v="0"/>
    <n v="40"/>
    <n v="0"/>
    <n v="0"/>
    <n v="26.22"/>
    <n v="0"/>
    <n v="0"/>
    <n v="28.891757284072764"/>
    <m/>
    <m/>
    <n v="38674.5"/>
    <n v="0"/>
    <n v="0"/>
    <n v="42615.341994007329"/>
    <n v="0"/>
    <n v="0"/>
  </r>
  <r>
    <s v="Regular"/>
    <x v="1"/>
    <x v="3"/>
    <x v="5"/>
    <x v="0"/>
    <x v="0"/>
    <x v="0"/>
    <x v="1"/>
    <x v="2"/>
    <n v="47501"/>
    <n v="47501"/>
    <n v="0"/>
    <n v="0"/>
    <n v="0"/>
    <n v="0"/>
    <n v="368"/>
    <x v="1"/>
    <n v="0"/>
    <n v="40"/>
    <n v="0"/>
    <n v="0"/>
    <n v="26.22"/>
    <n v="0"/>
    <n v="0"/>
    <n v="28.891757284072764"/>
    <m/>
    <m/>
    <n v="1245476.22"/>
    <n v="0"/>
    <n v="0"/>
    <n v="1372387.3627507403"/>
    <n v="0"/>
    <n v="0"/>
  </r>
  <r>
    <s v="Refaturamento - Regular"/>
    <x v="1"/>
    <x v="3"/>
    <x v="5"/>
    <x v="0"/>
    <x v="0"/>
    <x v="0"/>
    <x v="1"/>
    <x v="2"/>
    <n v="30"/>
    <n v="30"/>
    <n v="0"/>
    <n v="0"/>
    <n v="0"/>
    <n v="0"/>
    <n v="1"/>
    <x v="1"/>
    <n v="0"/>
    <n v="40"/>
    <n v="0"/>
    <n v="0"/>
    <n v="26.22"/>
    <n v="0"/>
    <n v="0"/>
    <n v="28.891757284072764"/>
    <m/>
    <m/>
    <n v="786.59999999999991"/>
    <n v="0"/>
    <n v="0"/>
    <n v="866.75271852218293"/>
    <n v="0"/>
    <n v="0"/>
  </r>
  <r>
    <s v="Sistema de Compensação"/>
    <x v="1"/>
    <x v="3"/>
    <x v="5"/>
    <x v="0"/>
    <x v="0"/>
    <x v="0"/>
    <x v="1"/>
    <x v="2"/>
    <n v="1710"/>
    <n v="1710"/>
    <n v="0"/>
    <n v="0"/>
    <n v="0"/>
    <n v="0"/>
    <n v="8"/>
    <x v="1"/>
    <n v="0"/>
    <n v="40"/>
    <n v="0"/>
    <n v="0"/>
    <n v="26.22"/>
    <n v="0"/>
    <n v="0"/>
    <n v="28.891757284072764"/>
    <m/>
    <m/>
    <n v="44836.2"/>
    <n v="0"/>
    <n v="0"/>
    <n v="49404.904955764425"/>
    <n v="0"/>
    <n v="0"/>
  </r>
  <r>
    <s v="Regular"/>
    <x v="1"/>
    <x v="3"/>
    <x v="5"/>
    <x v="0"/>
    <x v="0"/>
    <x v="0"/>
    <x v="1"/>
    <x v="3"/>
    <n v="48231"/>
    <n v="48231"/>
    <n v="0"/>
    <n v="0"/>
    <n v="0"/>
    <n v="0"/>
    <n v="371"/>
    <x v="1"/>
    <n v="0"/>
    <n v="40"/>
    <n v="0"/>
    <n v="0"/>
    <n v="26.22"/>
    <n v="0"/>
    <n v="0"/>
    <n v="28.891757284072764"/>
    <m/>
    <m/>
    <n v="1264616.8199999998"/>
    <n v="0"/>
    <n v="0"/>
    <n v="1393478.3455681135"/>
    <n v="0"/>
    <n v="0"/>
  </r>
  <r>
    <s v="Sistema de Compensação"/>
    <x v="1"/>
    <x v="3"/>
    <x v="5"/>
    <x v="0"/>
    <x v="0"/>
    <x v="0"/>
    <x v="1"/>
    <x v="3"/>
    <n v="1710"/>
    <n v="1710"/>
    <n v="0"/>
    <n v="0"/>
    <n v="0"/>
    <n v="0"/>
    <n v="8"/>
    <x v="1"/>
    <n v="0"/>
    <n v="40"/>
    <n v="0"/>
    <n v="0"/>
    <n v="26.22"/>
    <n v="0"/>
    <n v="0"/>
    <n v="28.891757284072764"/>
    <m/>
    <m/>
    <n v="44836.2"/>
    <n v="0"/>
    <n v="0"/>
    <n v="49404.904955764425"/>
    <n v="0"/>
    <n v="0"/>
  </r>
  <r>
    <s v="Regular"/>
    <x v="1"/>
    <x v="3"/>
    <x v="5"/>
    <x v="0"/>
    <x v="0"/>
    <x v="0"/>
    <x v="1"/>
    <x v="4"/>
    <n v="48404"/>
    <n v="48404"/>
    <n v="0"/>
    <n v="0"/>
    <n v="0"/>
    <n v="0"/>
    <n v="373"/>
    <x v="1"/>
    <n v="0"/>
    <n v="40"/>
    <n v="0"/>
    <n v="0"/>
    <n v="26.22"/>
    <n v="0"/>
    <n v="0"/>
    <n v="28.891757284072764"/>
    <m/>
    <m/>
    <n v="1269152.8799999999"/>
    <n v="0"/>
    <n v="0"/>
    <n v="1398476.6195782581"/>
    <n v="0"/>
    <n v="0"/>
  </r>
  <r>
    <s v="Sistema de Compensação"/>
    <x v="1"/>
    <x v="3"/>
    <x v="5"/>
    <x v="0"/>
    <x v="0"/>
    <x v="0"/>
    <x v="1"/>
    <x v="4"/>
    <n v="1715"/>
    <n v="1715"/>
    <n v="0"/>
    <n v="0"/>
    <n v="0"/>
    <n v="0"/>
    <n v="8"/>
    <x v="1"/>
    <n v="0"/>
    <n v="40"/>
    <n v="0"/>
    <n v="0"/>
    <n v="26.22"/>
    <n v="0"/>
    <n v="0"/>
    <n v="28.891757284072764"/>
    <m/>
    <m/>
    <n v="44967.299999999996"/>
    <n v="0"/>
    <n v="0"/>
    <n v="49549.363742184789"/>
    <n v="0"/>
    <n v="0"/>
  </r>
  <r>
    <s v="Regular"/>
    <x v="1"/>
    <x v="3"/>
    <x v="5"/>
    <x v="0"/>
    <x v="0"/>
    <x v="0"/>
    <x v="1"/>
    <x v="5"/>
    <n v="47605"/>
    <n v="47605"/>
    <n v="0"/>
    <n v="0"/>
    <n v="0"/>
    <n v="0"/>
    <n v="373"/>
    <x v="1"/>
    <n v="0"/>
    <n v="40"/>
    <n v="0"/>
    <n v="0"/>
    <n v="26.22"/>
    <n v="0"/>
    <n v="0"/>
    <n v="28.891757284072764"/>
    <m/>
    <m/>
    <n v="1248203.0999999999"/>
    <n v="0"/>
    <n v="0"/>
    <n v="1375392.1055082839"/>
    <n v="0"/>
    <n v="0"/>
  </r>
  <r>
    <s v="Sistema de Compensação"/>
    <x v="1"/>
    <x v="3"/>
    <x v="5"/>
    <x v="0"/>
    <x v="0"/>
    <x v="0"/>
    <x v="1"/>
    <x v="5"/>
    <n v="1718"/>
    <n v="1718"/>
    <n v="0"/>
    <n v="0"/>
    <n v="0"/>
    <n v="0"/>
    <n v="8"/>
    <x v="1"/>
    <n v="0"/>
    <n v="40"/>
    <n v="0"/>
    <n v="0"/>
    <n v="26.22"/>
    <n v="0"/>
    <n v="0"/>
    <n v="28.891757284072764"/>
    <m/>
    <m/>
    <n v="45045.96"/>
    <n v="0"/>
    <n v="0"/>
    <n v="49636.039014037007"/>
    <n v="0"/>
    <n v="0"/>
  </r>
  <r>
    <s v="Regular"/>
    <x v="1"/>
    <x v="3"/>
    <x v="5"/>
    <x v="0"/>
    <x v="0"/>
    <x v="0"/>
    <x v="1"/>
    <x v="6"/>
    <n v="47252"/>
    <n v="47252"/>
    <n v="0"/>
    <n v="0"/>
    <n v="0"/>
    <n v="0"/>
    <n v="371"/>
    <x v="1"/>
    <n v="0"/>
    <n v="40"/>
    <n v="0"/>
    <n v="0"/>
    <n v="26.22"/>
    <n v="0"/>
    <n v="0"/>
    <n v="28.891757284072764"/>
    <m/>
    <m/>
    <n v="1238947.44"/>
    <n v="0"/>
    <n v="0"/>
    <n v="1365193.3151870063"/>
    <n v="0"/>
    <n v="0"/>
  </r>
  <r>
    <s v="Sistema de Compensação"/>
    <x v="1"/>
    <x v="3"/>
    <x v="5"/>
    <x v="0"/>
    <x v="0"/>
    <x v="0"/>
    <x v="1"/>
    <x v="6"/>
    <n v="1804"/>
    <n v="1804"/>
    <n v="0"/>
    <n v="0"/>
    <n v="0"/>
    <n v="0"/>
    <n v="9"/>
    <x v="1"/>
    <n v="0"/>
    <n v="40"/>
    <n v="0"/>
    <n v="0"/>
    <n v="26.22"/>
    <n v="0"/>
    <n v="0"/>
    <n v="28.891757284072764"/>
    <m/>
    <m/>
    <n v="47300.88"/>
    <n v="0"/>
    <n v="0"/>
    <n v="52120.730140467269"/>
    <n v="0"/>
    <n v="0"/>
  </r>
  <r>
    <s v="Regular"/>
    <x v="1"/>
    <x v="3"/>
    <x v="5"/>
    <x v="0"/>
    <x v="0"/>
    <x v="0"/>
    <x v="1"/>
    <x v="7"/>
    <n v="47575"/>
    <n v="47575"/>
    <n v="0"/>
    <n v="0"/>
    <n v="0"/>
    <n v="0"/>
    <n v="372"/>
    <x v="1"/>
    <n v="0"/>
    <n v="40"/>
    <n v="0"/>
    <n v="0"/>
    <n v="26.22"/>
    <n v="0"/>
    <n v="0"/>
    <n v="28.891757284072764"/>
    <m/>
    <m/>
    <n v="1247416.5"/>
    <n v="0"/>
    <n v="0"/>
    <n v="1374525.3527897617"/>
    <n v="0"/>
    <n v="0"/>
  </r>
  <r>
    <s v="Sistema de Compensação"/>
    <x v="1"/>
    <x v="3"/>
    <x v="5"/>
    <x v="0"/>
    <x v="0"/>
    <x v="0"/>
    <x v="1"/>
    <x v="7"/>
    <n v="1801"/>
    <n v="1801"/>
    <n v="0"/>
    <n v="0"/>
    <n v="0"/>
    <n v="0"/>
    <n v="9"/>
    <x v="1"/>
    <n v="0"/>
    <n v="40"/>
    <n v="0"/>
    <n v="0"/>
    <n v="26.22"/>
    <n v="0"/>
    <n v="0"/>
    <n v="28.891757284072764"/>
    <m/>
    <m/>
    <n v="47222.22"/>
    <n v="0"/>
    <n v="0"/>
    <n v="52034.054868615051"/>
    <n v="0"/>
    <n v="0"/>
  </r>
  <r>
    <s v="Regular"/>
    <x v="1"/>
    <x v="3"/>
    <x v="5"/>
    <x v="0"/>
    <x v="0"/>
    <x v="0"/>
    <x v="1"/>
    <x v="8"/>
    <n v="47753"/>
    <n v="47753"/>
    <n v="0"/>
    <n v="0"/>
    <n v="0"/>
    <n v="0"/>
    <n v="372"/>
    <x v="1"/>
    <n v="0"/>
    <n v="40"/>
    <n v="0"/>
    <n v="0"/>
    <n v="26.22"/>
    <n v="0"/>
    <n v="0"/>
    <n v="28.891757284072764"/>
    <m/>
    <m/>
    <n v="1252083.6599999999"/>
    <n v="0"/>
    <n v="0"/>
    <n v="1379668.0855863267"/>
    <n v="0"/>
    <n v="0"/>
  </r>
  <r>
    <s v="Sistema de Compensação"/>
    <x v="1"/>
    <x v="3"/>
    <x v="5"/>
    <x v="0"/>
    <x v="0"/>
    <x v="0"/>
    <x v="1"/>
    <x v="8"/>
    <n v="1802"/>
    <n v="1802"/>
    <n v="0"/>
    <n v="0"/>
    <n v="0"/>
    <n v="0"/>
    <n v="9"/>
    <x v="1"/>
    <n v="0"/>
    <n v="40"/>
    <n v="0"/>
    <n v="0"/>
    <n v="26.22"/>
    <n v="0"/>
    <n v="0"/>
    <n v="28.891757284072764"/>
    <m/>
    <m/>
    <n v="47248.439999999995"/>
    <n v="0"/>
    <n v="0"/>
    <n v="52062.946625899123"/>
    <n v="0"/>
    <n v="0"/>
  </r>
  <r>
    <s v="Regular"/>
    <x v="1"/>
    <x v="3"/>
    <x v="5"/>
    <x v="0"/>
    <x v="0"/>
    <x v="0"/>
    <x v="1"/>
    <x v="9"/>
    <n v="46491"/>
    <n v="46491"/>
    <n v="0"/>
    <n v="0"/>
    <n v="0"/>
    <n v="0"/>
    <n v="374"/>
    <x v="1"/>
    <n v="0"/>
    <n v="40"/>
    <n v="0"/>
    <n v="0"/>
    <n v="26.22"/>
    <n v="0"/>
    <n v="0"/>
    <n v="28.891757284072764"/>
    <m/>
    <m/>
    <n v="1218994.02"/>
    <n v="0"/>
    <n v="0"/>
    <n v="1343206.6878938267"/>
    <n v="0"/>
    <n v="0"/>
  </r>
  <r>
    <s v="Sistema de Compensação"/>
    <x v="1"/>
    <x v="3"/>
    <x v="5"/>
    <x v="0"/>
    <x v="0"/>
    <x v="0"/>
    <x v="1"/>
    <x v="9"/>
    <n v="1805"/>
    <n v="1805"/>
    <n v="0"/>
    <n v="0"/>
    <n v="0"/>
    <n v="0"/>
    <n v="9"/>
    <x v="1"/>
    <n v="0"/>
    <n v="40"/>
    <n v="0"/>
    <n v="0"/>
    <n v="26.22"/>
    <n v="0"/>
    <n v="0"/>
    <n v="28.891757284072764"/>
    <m/>
    <m/>
    <n v="47327.1"/>
    <n v="0"/>
    <n v="0"/>
    <n v="52149.621897751342"/>
    <n v="0"/>
    <n v="0"/>
  </r>
  <r>
    <s v="Regular"/>
    <x v="1"/>
    <x v="3"/>
    <x v="5"/>
    <x v="0"/>
    <x v="0"/>
    <x v="0"/>
    <x v="1"/>
    <x v="10"/>
    <n v="45894"/>
    <n v="45894"/>
    <n v="0"/>
    <n v="0"/>
    <n v="0"/>
    <n v="0"/>
    <n v="374"/>
    <x v="1"/>
    <n v="0"/>
    <n v="40"/>
    <n v="0"/>
    <n v="0"/>
    <n v="26.22"/>
    <n v="0"/>
    <n v="0"/>
    <n v="28.891757284072764"/>
    <m/>
    <m/>
    <n v="1203340.68"/>
    <n v="0"/>
    <n v="0"/>
    <n v="1325958.3087952354"/>
    <n v="0"/>
    <n v="0"/>
  </r>
  <r>
    <s v="Sistema de Compensação"/>
    <x v="1"/>
    <x v="3"/>
    <x v="5"/>
    <x v="0"/>
    <x v="0"/>
    <x v="0"/>
    <x v="1"/>
    <x v="10"/>
    <n v="1867"/>
    <n v="1867"/>
    <n v="0"/>
    <n v="0"/>
    <n v="0"/>
    <n v="0"/>
    <n v="10"/>
    <x v="1"/>
    <n v="0"/>
    <n v="40"/>
    <n v="0"/>
    <n v="0"/>
    <n v="26.22"/>
    <n v="0"/>
    <n v="0"/>
    <n v="28.891757284072764"/>
    <m/>
    <m/>
    <n v="48952.74"/>
    <n v="0"/>
    <n v="0"/>
    <n v="53940.910849363849"/>
    <n v="0"/>
    <n v="0"/>
  </r>
  <r>
    <s v="PROJETADO"/>
    <x v="1"/>
    <x v="3"/>
    <x v="5"/>
    <x v="0"/>
    <x v="0"/>
    <x v="0"/>
    <x v="1"/>
    <x v="11"/>
    <n v="45894"/>
    <n v="45894"/>
    <n v="0"/>
    <n v="0"/>
    <n v="0"/>
    <n v="0"/>
    <n v="374"/>
    <x v="1"/>
    <n v="0"/>
    <n v="40"/>
    <n v="0"/>
    <n v="0"/>
    <n v="26.22"/>
    <n v="0"/>
    <n v="0"/>
    <n v="28.891757284072764"/>
    <m/>
    <m/>
    <n v="1203340.68"/>
    <n v="0"/>
    <n v="0"/>
    <n v="1325958.3087952354"/>
    <n v="0"/>
    <n v="0"/>
  </r>
  <r>
    <s v="PROJETADO"/>
    <x v="1"/>
    <x v="3"/>
    <x v="5"/>
    <x v="0"/>
    <x v="0"/>
    <x v="0"/>
    <x v="1"/>
    <x v="11"/>
    <n v="1867"/>
    <n v="1867"/>
    <n v="0"/>
    <n v="0"/>
    <n v="0"/>
    <n v="0"/>
    <n v="10"/>
    <x v="1"/>
    <n v="0"/>
    <n v="40"/>
    <n v="0"/>
    <n v="0"/>
    <n v="26.22"/>
    <n v="0"/>
    <n v="0"/>
    <n v="28.891757284072764"/>
    <m/>
    <m/>
    <n v="48952.74"/>
    <n v="0"/>
    <n v="0"/>
    <n v="53940.910849363849"/>
    <n v="0"/>
    <n v="0"/>
  </r>
  <r>
    <s v="Regular"/>
    <x v="1"/>
    <x v="3"/>
    <x v="5"/>
    <x v="0"/>
    <x v="0"/>
    <x v="0"/>
    <x v="2"/>
    <x v="0"/>
    <n v="0"/>
    <n v="0"/>
    <n v="575.70899999999995"/>
    <n v="575.70899999999995"/>
    <n v="575.70899999999995"/>
    <n v="575.70899999999995"/>
    <n v="0"/>
    <x v="1"/>
    <n v="0"/>
    <n v="0"/>
    <n v="42"/>
    <n v="66"/>
    <n v="0"/>
    <n v="1330.19"/>
    <n v="397.62"/>
    <m/>
    <n v="1471.0742690262982"/>
    <n v="351.67159959099928"/>
    <n v="0"/>
    <n v="765802.35470999999"/>
    <n v="228913.41257999997"/>
    <n v="0"/>
    <n v="846910.69634686108"/>
    <n v="202460.50492893459"/>
  </r>
  <r>
    <s v="Sistema de Compensação"/>
    <x v="1"/>
    <x v="3"/>
    <x v="5"/>
    <x v="0"/>
    <x v="0"/>
    <x v="0"/>
    <x v="2"/>
    <x v="0"/>
    <n v="0"/>
    <n v="0"/>
    <n v="12.456"/>
    <n v="12.456"/>
    <n v="12.456"/>
    <n v="12.456"/>
    <n v="0"/>
    <x v="1"/>
    <n v="0"/>
    <n v="0"/>
    <n v="42"/>
    <n v="66"/>
    <n v="0"/>
    <n v="1330.19"/>
    <n v="397.62"/>
    <m/>
    <n v="1471.0742690262982"/>
    <n v="351.67159959099928"/>
    <n v="0"/>
    <n v="16568.84664"/>
    <n v="4952.7547199999999"/>
    <n v="0"/>
    <n v="18323.701094991571"/>
    <n v="4380.4214445054868"/>
  </r>
  <r>
    <s v="Regular"/>
    <x v="1"/>
    <x v="3"/>
    <x v="5"/>
    <x v="0"/>
    <x v="0"/>
    <x v="0"/>
    <x v="2"/>
    <x v="1"/>
    <n v="0"/>
    <n v="0"/>
    <n v="606.61300000000006"/>
    <n v="606.61300000000006"/>
    <n v="606.61300000000006"/>
    <n v="606.61300000000006"/>
    <n v="0"/>
    <x v="1"/>
    <n v="0"/>
    <n v="0"/>
    <n v="42"/>
    <n v="66"/>
    <n v="0"/>
    <n v="1330.19"/>
    <n v="397.62"/>
    <m/>
    <n v="1471.0742690262982"/>
    <n v="351.67159959099928"/>
    <n v="0"/>
    <n v="806910.54647000006"/>
    <n v="241201.46106000003"/>
    <n v="0"/>
    <n v="892372.7755568499"/>
    <n v="213328.56404269487"/>
  </r>
  <r>
    <s v="Refaturamento - Regular"/>
    <x v="1"/>
    <x v="3"/>
    <x v="5"/>
    <x v="0"/>
    <x v="0"/>
    <x v="0"/>
    <x v="2"/>
    <x v="1"/>
    <n v="0"/>
    <n v="0"/>
    <n v="-13.2"/>
    <n v="-13.2"/>
    <n v="-13.2"/>
    <n v="-13.2"/>
    <n v="0"/>
    <x v="1"/>
    <n v="0"/>
    <n v="0"/>
    <n v="42"/>
    <n v="66"/>
    <n v="0"/>
    <n v="1330.19"/>
    <n v="397.62"/>
    <m/>
    <n v="1471.0742690262982"/>
    <n v="351.67159959099928"/>
    <n v="0"/>
    <n v="-17558.507999999998"/>
    <n v="-5248.5839999999998"/>
    <n v="0"/>
    <n v="-19418.180351147137"/>
    <n v="-4642.0651146011905"/>
  </r>
  <r>
    <s v="Sistema de Compensação"/>
    <x v="1"/>
    <x v="3"/>
    <x v="5"/>
    <x v="0"/>
    <x v="0"/>
    <x v="0"/>
    <x v="2"/>
    <x v="1"/>
    <n v="0"/>
    <n v="0"/>
    <n v="13.782"/>
    <n v="13.782"/>
    <n v="13.782"/>
    <n v="13.782"/>
    <n v="0"/>
    <x v="1"/>
    <n v="0"/>
    <n v="0"/>
    <n v="42"/>
    <n v="66"/>
    <n v="0"/>
    <n v="1330.19"/>
    <n v="397.62"/>
    <m/>
    <n v="1471.0742690262982"/>
    <n v="351.67159959099928"/>
    <n v="0"/>
    <n v="18332.67858"/>
    <n v="5479.9988400000002"/>
    <n v="0"/>
    <n v="20274.345575720443"/>
    <n v="4846.7379855631525"/>
  </r>
  <r>
    <s v="Regular"/>
    <x v="1"/>
    <x v="3"/>
    <x v="5"/>
    <x v="0"/>
    <x v="0"/>
    <x v="0"/>
    <x v="2"/>
    <x v="2"/>
    <n v="0"/>
    <n v="0"/>
    <n v="615.47900000000004"/>
    <n v="615.47900000000004"/>
    <n v="615.47900000000004"/>
    <n v="615.47900000000004"/>
    <n v="0"/>
    <x v="1"/>
    <n v="0"/>
    <n v="0"/>
    <n v="42"/>
    <n v="66"/>
    <n v="0"/>
    <n v="1330.19"/>
    <n v="397.62"/>
    <m/>
    <n v="1471.0742690262982"/>
    <n v="351.67159959099928"/>
    <n v="0"/>
    <n v="818704.01101000013"/>
    <n v="244726.75998000003"/>
    <n v="0"/>
    <n v="905415.32002603705"/>
    <n v="216446.48444466866"/>
  </r>
  <r>
    <s v="Refaturamento - Regular"/>
    <x v="1"/>
    <x v="3"/>
    <x v="5"/>
    <x v="0"/>
    <x v="0"/>
    <x v="0"/>
    <x v="2"/>
    <x v="2"/>
    <n v="0"/>
    <n v="0"/>
    <n v="0.308"/>
    <n v="0.308"/>
    <n v="0.308"/>
    <n v="0.308"/>
    <n v="0"/>
    <x v="1"/>
    <n v="0"/>
    <n v="0"/>
    <n v="42"/>
    <n v="66"/>
    <n v="0"/>
    <n v="1330.19"/>
    <n v="397.62"/>
    <m/>
    <n v="1471.0742690262982"/>
    <n v="351.67159959099928"/>
    <n v="0"/>
    <n v="409.69852000000003"/>
    <n v="122.46696"/>
    <n v="0"/>
    <n v="453.09087486009986"/>
    <n v="108.31485267402778"/>
  </r>
  <r>
    <s v="Sistema de Compensação"/>
    <x v="1"/>
    <x v="3"/>
    <x v="5"/>
    <x v="0"/>
    <x v="0"/>
    <x v="0"/>
    <x v="2"/>
    <x v="2"/>
    <n v="0"/>
    <n v="0"/>
    <n v="13.97"/>
    <n v="13.97"/>
    <n v="13.97"/>
    <n v="13.97"/>
    <n v="0"/>
    <x v="1"/>
    <n v="0"/>
    <n v="0"/>
    <n v="42"/>
    <n v="66"/>
    <n v="0"/>
    <n v="1330.19"/>
    <n v="397.62"/>
    <m/>
    <n v="1471.0742690262982"/>
    <n v="351.67159959099928"/>
    <n v="0"/>
    <n v="18582.754300000001"/>
    <n v="5554.7514000000001"/>
    <n v="0"/>
    <n v="20550.907538297386"/>
    <n v="4912.8522462862602"/>
  </r>
  <r>
    <s v="Regular"/>
    <x v="1"/>
    <x v="3"/>
    <x v="5"/>
    <x v="0"/>
    <x v="0"/>
    <x v="0"/>
    <x v="2"/>
    <x v="3"/>
    <n v="0"/>
    <n v="0"/>
    <n v="671.66899999999998"/>
    <n v="671.66899999999998"/>
    <n v="671.66899999999998"/>
    <n v="671.66899999999998"/>
    <n v="0"/>
    <x v="1"/>
    <n v="0"/>
    <n v="0"/>
    <n v="42"/>
    <n v="66"/>
    <n v="0"/>
    <n v="1330.19"/>
    <n v="397.62"/>
    <m/>
    <n v="1471.0742690262982"/>
    <n v="351.67159959099928"/>
    <n v="0"/>
    <n v="893447.38711000001"/>
    <n v="267069.02778"/>
    <n v="0"/>
    <n v="988074.98320262472"/>
    <n v="236206.91162568689"/>
  </r>
  <r>
    <s v="Sistema de Compensação"/>
    <x v="1"/>
    <x v="3"/>
    <x v="5"/>
    <x v="0"/>
    <x v="0"/>
    <x v="0"/>
    <x v="2"/>
    <x v="3"/>
    <n v="0"/>
    <n v="0"/>
    <n v="14.625"/>
    <n v="14.625"/>
    <n v="14.625"/>
    <n v="14.625"/>
    <n v="0"/>
    <x v="1"/>
    <n v="0"/>
    <n v="0"/>
    <n v="42"/>
    <n v="66"/>
    <n v="0"/>
    <n v="1330.19"/>
    <n v="397.62"/>
    <m/>
    <n v="1471.0742690262982"/>
    <n v="351.67159959099928"/>
    <n v="0"/>
    <n v="19454.028750000001"/>
    <n v="5815.1925000000001"/>
    <n v="0"/>
    <n v="21514.461184509611"/>
    <n v="5143.1971440183643"/>
  </r>
  <r>
    <s v="Regular"/>
    <x v="1"/>
    <x v="3"/>
    <x v="5"/>
    <x v="0"/>
    <x v="0"/>
    <x v="0"/>
    <x v="2"/>
    <x v="4"/>
    <n v="0"/>
    <n v="0"/>
    <n v="743.4"/>
    <n v="743.4"/>
    <n v="743.4"/>
    <n v="743.4"/>
    <n v="0"/>
    <x v="1"/>
    <n v="0"/>
    <n v="0"/>
    <n v="42"/>
    <n v="66"/>
    <n v="0"/>
    <n v="1330.19"/>
    <n v="397.62"/>
    <m/>
    <n v="1471.0742690262982"/>
    <n v="351.67159959099928"/>
    <n v="0"/>
    <n v="988863.24600000004"/>
    <n v="295590.70799999998"/>
    <n v="0"/>
    <n v="1093596.6115941501"/>
    <n v="261432.66713594887"/>
  </r>
  <r>
    <s v="Sistema de Compensação"/>
    <x v="1"/>
    <x v="3"/>
    <x v="5"/>
    <x v="0"/>
    <x v="0"/>
    <x v="0"/>
    <x v="2"/>
    <x v="4"/>
    <n v="0"/>
    <n v="0"/>
    <n v="15.911"/>
    <n v="15.911"/>
    <n v="15.911"/>
    <n v="15.911"/>
    <n v="0"/>
    <x v="1"/>
    <n v="0"/>
    <n v="0"/>
    <n v="42"/>
    <n v="66"/>
    <n v="0"/>
    <n v="1330.19"/>
    <n v="397.62"/>
    <m/>
    <n v="1471.0742690262982"/>
    <n v="351.67159959099928"/>
    <n v="0"/>
    <n v="21164.65309"/>
    <n v="6326.5318200000002"/>
    <n v="0"/>
    <n v="23406.262694477431"/>
    <n v="5595.4468210923897"/>
  </r>
  <r>
    <s v="Regular"/>
    <x v="1"/>
    <x v="3"/>
    <x v="5"/>
    <x v="0"/>
    <x v="0"/>
    <x v="0"/>
    <x v="2"/>
    <x v="5"/>
    <n v="0"/>
    <n v="0"/>
    <n v="679.01700000000005"/>
    <n v="679.01700000000005"/>
    <n v="679.01700000000005"/>
    <n v="679.01700000000005"/>
    <n v="0"/>
    <x v="1"/>
    <n v="0"/>
    <n v="0"/>
    <n v="42"/>
    <n v="66"/>
    <n v="0"/>
    <n v="1330.19"/>
    <n v="397.62"/>
    <m/>
    <n v="1471.0742690262982"/>
    <n v="351.67159959099928"/>
    <n v="0"/>
    <n v="903221.62323000014"/>
    <n v="269990.73954000004"/>
    <n v="0"/>
    <n v="998884.43693143001"/>
    <n v="238790.99453948159"/>
  </r>
  <r>
    <s v="Sistema de Compensação"/>
    <x v="1"/>
    <x v="3"/>
    <x v="5"/>
    <x v="0"/>
    <x v="0"/>
    <x v="0"/>
    <x v="2"/>
    <x v="5"/>
    <n v="0"/>
    <n v="0"/>
    <n v="14.08"/>
    <n v="14.08"/>
    <n v="14.08"/>
    <n v="14.08"/>
    <n v="0"/>
    <x v="1"/>
    <n v="0"/>
    <n v="0"/>
    <n v="42"/>
    <n v="66"/>
    <n v="0"/>
    <n v="1330.19"/>
    <n v="397.62"/>
    <m/>
    <n v="1471.0742690262982"/>
    <n v="351.67159959099928"/>
    <n v="0"/>
    <n v="18729.075199999999"/>
    <n v="5598.4895999999999"/>
    <n v="0"/>
    <n v="20712.72570789028"/>
    <n v="4951.5361222412703"/>
  </r>
  <r>
    <s v="Regular"/>
    <x v="1"/>
    <x v="3"/>
    <x v="5"/>
    <x v="0"/>
    <x v="0"/>
    <x v="0"/>
    <x v="2"/>
    <x v="6"/>
    <n v="0"/>
    <n v="0"/>
    <n v="651.74800000000005"/>
    <n v="651.74800000000005"/>
    <n v="651.74800000000005"/>
    <n v="651.74800000000005"/>
    <n v="0"/>
    <x v="1"/>
    <n v="0"/>
    <n v="0"/>
    <n v="42"/>
    <n v="66"/>
    <n v="0"/>
    <n v="1330.19"/>
    <n v="397.62"/>
    <m/>
    <n v="1471.0742690262982"/>
    <n v="351.67159959099928"/>
    <n v="0"/>
    <n v="866948.67212000012"/>
    <n v="259148.03976000001"/>
    <n v="0"/>
    <n v="958769.71268935187"/>
    <n v="229201.26169023462"/>
  </r>
  <r>
    <s v="Sistema de Compensação"/>
    <x v="1"/>
    <x v="3"/>
    <x v="5"/>
    <x v="0"/>
    <x v="0"/>
    <x v="0"/>
    <x v="2"/>
    <x v="6"/>
    <n v="0"/>
    <n v="0"/>
    <n v="13.449"/>
    <n v="13.449"/>
    <n v="13.449"/>
    <n v="13.449"/>
    <n v="0"/>
    <x v="1"/>
    <n v="0"/>
    <n v="0"/>
    <n v="42"/>
    <n v="66"/>
    <n v="0"/>
    <n v="1330.19"/>
    <n v="397.62"/>
    <m/>
    <n v="1471.0742690262982"/>
    <n v="351.67159959099928"/>
    <n v="0"/>
    <n v="17889.725310000002"/>
    <n v="5347.5913799999998"/>
    <n v="0"/>
    <n v="19784.477844134686"/>
    <n v="4729.631342899349"/>
  </r>
  <r>
    <s v="Regular"/>
    <x v="1"/>
    <x v="3"/>
    <x v="5"/>
    <x v="0"/>
    <x v="0"/>
    <x v="0"/>
    <x v="2"/>
    <x v="7"/>
    <n v="0"/>
    <n v="0"/>
    <n v="728.37"/>
    <n v="728.37"/>
    <n v="728.37"/>
    <n v="728.37"/>
    <n v="0"/>
    <x v="1"/>
    <n v="0"/>
    <n v="0"/>
    <n v="42"/>
    <n v="66"/>
    <n v="0"/>
    <n v="1330.19"/>
    <n v="397.62"/>
    <m/>
    <n v="1471.0742690262982"/>
    <n v="351.67159959099928"/>
    <n v="0"/>
    <n v="968870.49030000006"/>
    <n v="289614.47940000001"/>
    <n v="0"/>
    <n v="1071486.3653306849"/>
    <n v="256147.04299409615"/>
  </r>
  <r>
    <s v="Sistema de Compensação"/>
    <x v="1"/>
    <x v="3"/>
    <x v="5"/>
    <x v="0"/>
    <x v="0"/>
    <x v="0"/>
    <x v="2"/>
    <x v="7"/>
    <n v="0"/>
    <n v="0"/>
    <n v="14.617000000000001"/>
    <n v="14.617000000000001"/>
    <n v="14.617000000000001"/>
    <n v="14.617000000000001"/>
    <n v="0"/>
    <x v="1"/>
    <n v="0"/>
    <n v="0"/>
    <n v="42"/>
    <n v="66"/>
    <n v="0"/>
    <n v="1330.19"/>
    <n v="397.62"/>
    <m/>
    <n v="1471.0742690262982"/>
    <n v="351.67159959099928"/>
    <n v="0"/>
    <n v="19443.38723"/>
    <n v="5812.0115400000004"/>
    <n v="0"/>
    <n v="21502.692590357401"/>
    <n v="5140.3837712216364"/>
  </r>
  <r>
    <s v="Regular"/>
    <x v="1"/>
    <x v="3"/>
    <x v="5"/>
    <x v="0"/>
    <x v="0"/>
    <x v="0"/>
    <x v="2"/>
    <x v="8"/>
    <n v="0"/>
    <n v="0"/>
    <n v="685.32100000000003"/>
    <n v="685.32100000000003"/>
    <n v="685.32100000000003"/>
    <n v="685.32100000000003"/>
    <n v="0"/>
    <x v="1"/>
    <n v="0"/>
    <n v="0"/>
    <n v="42"/>
    <n v="66"/>
    <n v="0"/>
    <n v="1330.19"/>
    <n v="397.62"/>
    <m/>
    <n v="1471.0742690262982"/>
    <n v="351.67159959099928"/>
    <n v="0"/>
    <n v="911607.1409900001"/>
    <n v="272497.33601999999"/>
    <n v="0"/>
    <n v="1008158.0891233718"/>
    <n v="241007.93230330321"/>
  </r>
  <r>
    <s v="Sistema de Compensação"/>
    <x v="1"/>
    <x v="3"/>
    <x v="5"/>
    <x v="0"/>
    <x v="0"/>
    <x v="0"/>
    <x v="2"/>
    <x v="8"/>
    <n v="0"/>
    <n v="0"/>
    <n v="14.603999999999999"/>
    <n v="14.603999999999999"/>
    <n v="14.603999999999999"/>
    <n v="14.603999999999999"/>
    <n v="0"/>
    <x v="1"/>
    <n v="0"/>
    <n v="0"/>
    <n v="42"/>
    <n v="66"/>
    <n v="0"/>
    <n v="1330.19"/>
    <n v="397.62"/>
    <m/>
    <n v="1471.0742690262982"/>
    <n v="351.67159959099928"/>
    <n v="0"/>
    <n v="19426.09476"/>
    <n v="5806.8424799999993"/>
    <n v="0"/>
    <n v="21483.568624860058"/>
    <n v="5135.812040426953"/>
  </r>
  <r>
    <s v="Regular"/>
    <x v="1"/>
    <x v="3"/>
    <x v="5"/>
    <x v="0"/>
    <x v="0"/>
    <x v="0"/>
    <x v="2"/>
    <x v="9"/>
    <n v="0"/>
    <n v="0"/>
    <n v="702.39099999999996"/>
    <n v="702.39099999999996"/>
    <n v="702.39099999999996"/>
    <n v="702.39099999999996"/>
    <n v="0"/>
    <x v="1"/>
    <n v="0"/>
    <n v="0"/>
    <n v="42"/>
    <n v="66"/>
    <n v="0"/>
    <n v="1330.19"/>
    <n v="397.62"/>
    <m/>
    <n v="1471.0742690262982"/>
    <n v="351.67159959099928"/>
    <n v="0"/>
    <n v="934313.48428999993"/>
    <n v="279284.70941999997"/>
    <n v="0"/>
    <n v="1033269.3268956506"/>
    <n v="247010.96650832155"/>
  </r>
  <r>
    <s v="Sistema de Compensação"/>
    <x v="1"/>
    <x v="3"/>
    <x v="5"/>
    <x v="0"/>
    <x v="0"/>
    <x v="0"/>
    <x v="2"/>
    <x v="9"/>
    <n v="0"/>
    <n v="0"/>
    <n v="15.439"/>
    <n v="15.439"/>
    <n v="15.439"/>
    <n v="15.439"/>
    <n v="0"/>
    <x v="1"/>
    <n v="0"/>
    <n v="0"/>
    <n v="42"/>
    <n v="66"/>
    <n v="0"/>
    <n v="1330.19"/>
    <n v="397.62"/>
    <m/>
    <n v="1471.0742690262982"/>
    <n v="351.67159959099928"/>
    <n v="0"/>
    <n v="20536.80341"/>
    <n v="6138.8551800000005"/>
    <n v="0"/>
    <n v="22711.91563949702"/>
    <n v="5429.4578260854378"/>
  </r>
  <r>
    <s v="Regular"/>
    <x v="1"/>
    <x v="3"/>
    <x v="5"/>
    <x v="0"/>
    <x v="0"/>
    <x v="0"/>
    <x v="2"/>
    <x v="10"/>
    <n v="0"/>
    <n v="0"/>
    <n v="635.02700000000004"/>
    <n v="635.02700000000004"/>
    <n v="635.02700000000004"/>
    <n v="635.02700000000004"/>
    <n v="0"/>
    <x v="1"/>
    <n v="0"/>
    <n v="0"/>
    <n v="42"/>
    <n v="66"/>
    <n v="0"/>
    <n v="1330.19"/>
    <n v="397.62"/>
    <m/>
    <n v="1471.0742690262982"/>
    <n v="351.67159959099928"/>
    <n v="0"/>
    <n v="844706.56513000012"/>
    <n v="252499.43574000002"/>
    <n v="0"/>
    <n v="934171.87983696314"/>
    <n v="223320.96087347352"/>
  </r>
  <r>
    <s v="Refaturamento - Regular"/>
    <x v="1"/>
    <x v="3"/>
    <x v="5"/>
    <x v="0"/>
    <x v="0"/>
    <x v="0"/>
    <x v="2"/>
    <x v="10"/>
    <n v="0"/>
    <n v="0"/>
    <n v="-0.76600000000000001"/>
    <n v="-0.76600000000000001"/>
    <n v="-0.76600000000000001"/>
    <n v="-0.76600000000000001"/>
    <n v="0"/>
    <x v="1"/>
    <n v="0"/>
    <n v="0"/>
    <n v="42"/>
    <n v="66"/>
    <n v="0"/>
    <n v="1330.19"/>
    <n v="397.62"/>
    <m/>
    <n v="1471.0742690262982"/>
    <n v="351.67159959099928"/>
    <n v="0"/>
    <n v="-1018.9255400000001"/>
    <n v="-304.57692000000003"/>
    <n v="0"/>
    <n v="-1126.8428900741444"/>
    <n v="-269.38044528670548"/>
  </r>
  <r>
    <s v="Sistema de Compensação"/>
    <x v="1"/>
    <x v="3"/>
    <x v="5"/>
    <x v="0"/>
    <x v="0"/>
    <x v="0"/>
    <x v="2"/>
    <x v="10"/>
    <n v="0"/>
    <n v="0"/>
    <n v="15.151999999999999"/>
    <n v="15.151999999999999"/>
    <n v="15.151999999999999"/>
    <n v="15.151999999999999"/>
    <n v="0"/>
    <x v="1"/>
    <n v="0"/>
    <n v="0"/>
    <n v="42"/>
    <n v="66"/>
    <n v="0"/>
    <n v="1330.19"/>
    <n v="397.62"/>
    <m/>
    <n v="1471.0742690262982"/>
    <n v="351.67159959099928"/>
    <n v="0"/>
    <n v="20155.03888"/>
    <n v="6024.7382399999997"/>
    <n v="0"/>
    <n v="22289.71732428647"/>
    <n v="5328.5280770028212"/>
  </r>
  <r>
    <s v="PROJETADO"/>
    <x v="1"/>
    <x v="3"/>
    <x v="5"/>
    <x v="0"/>
    <x v="0"/>
    <x v="0"/>
    <x v="2"/>
    <x v="11"/>
    <n v="0"/>
    <n v="0"/>
    <n v="635.02700000000004"/>
    <n v="635.02700000000004"/>
    <n v="635.02700000000004"/>
    <n v="635.02700000000004"/>
    <n v="0"/>
    <x v="1"/>
    <n v="0"/>
    <n v="0"/>
    <n v="42"/>
    <n v="66"/>
    <n v="0"/>
    <n v="1330.19"/>
    <n v="397.62"/>
    <m/>
    <n v="1471.0742690262982"/>
    <n v="351.67159959099928"/>
    <n v="0"/>
    <n v="844706.56513000012"/>
    <n v="252499.43574000002"/>
    <n v="0"/>
    <n v="934171.87983696314"/>
    <n v="223320.96087347352"/>
  </r>
  <r>
    <s v="PROJETADO"/>
    <x v="1"/>
    <x v="3"/>
    <x v="5"/>
    <x v="0"/>
    <x v="0"/>
    <x v="0"/>
    <x v="2"/>
    <x v="11"/>
    <n v="0"/>
    <n v="0"/>
    <n v="-0.76600000000000001"/>
    <n v="-0.76600000000000001"/>
    <n v="-0.76600000000000001"/>
    <n v="-0.76600000000000001"/>
    <n v="0"/>
    <x v="1"/>
    <n v="0"/>
    <n v="0"/>
    <n v="42"/>
    <n v="66"/>
    <n v="0"/>
    <n v="1330.19"/>
    <n v="397.62"/>
    <m/>
    <n v="1471.0742690262982"/>
    <n v="351.67159959099928"/>
    <n v="0"/>
    <n v="-1018.9255400000001"/>
    <n v="-304.57692000000003"/>
    <n v="0"/>
    <n v="-1126.8428900741444"/>
    <n v="-269.38044528670548"/>
  </r>
  <r>
    <s v="PROJETADO"/>
    <x v="1"/>
    <x v="3"/>
    <x v="5"/>
    <x v="0"/>
    <x v="0"/>
    <x v="0"/>
    <x v="2"/>
    <x v="11"/>
    <n v="0"/>
    <n v="0"/>
    <n v="15.151999999999999"/>
    <n v="15.151999999999999"/>
    <n v="15.151999999999999"/>
    <n v="15.151999999999999"/>
    <n v="0"/>
    <x v="1"/>
    <n v="0"/>
    <n v="0"/>
    <n v="42"/>
    <n v="66"/>
    <n v="0"/>
    <n v="1330.19"/>
    <n v="397.62"/>
    <m/>
    <n v="1471.0742690262982"/>
    <n v="351.67159959099928"/>
    <n v="0"/>
    <n v="20155.03888"/>
    <n v="6024.7382399999997"/>
    <n v="0"/>
    <n v="22289.71732428647"/>
    <n v="5328.5280770028212"/>
  </r>
  <r>
    <s v="Regular"/>
    <x v="1"/>
    <x v="3"/>
    <x v="2"/>
    <x v="2"/>
    <x v="3"/>
    <x v="0"/>
    <x v="0"/>
    <x v="0"/>
    <n v="0"/>
    <n v="0"/>
    <n v="1077.326"/>
    <n v="107.73260000000001"/>
    <n v="1077.326"/>
    <n v="107.73260000000001"/>
    <n v="0"/>
    <x v="1"/>
    <n v="0"/>
    <n v="0"/>
    <n v="44"/>
    <n v="67"/>
    <n v="0"/>
    <n v="62.57"/>
    <n v="242.82"/>
    <m/>
    <n v="75.886085105957733"/>
    <n v="224.53785920244138"/>
    <n v="0"/>
    <n v="6740.8287820000005"/>
    <n v="26159.629932"/>
    <n v="0"/>
    <n v="8175.405252286102"/>
    <n v="24190.047370312939"/>
  </r>
  <r>
    <s v="Refaturamento - Regular"/>
    <x v="1"/>
    <x v="3"/>
    <x v="2"/>
    <x v="2"/>
    <x v="3"/>
    <x v="0"/>
    <x v="0"/>
    <x v="0"/>
    <n v="0"/>
    <n v="0"/>
    <n v="-18.64"/>
    <n v="-1.8640000000000001"/>
    <n v="-18.64"/>
    <n v="-1.8640000000000001"/>
    <n v="0"/>
    <x v="1"/>
    <n v="0"/>
    <n v="0"/>
    <n v="44"/>
    <n v="67"/>
    <n v="0"/>
    <n v="62.57"/>
    <n v="242.82"/>
    <m/>
    <n v="75.886085105957733"/>
    <n v="224.53785920244138"/>
    <n v="0"/>
    <n v="-116.63048000000001"/>
    <n v="-452.61648000000002"/>
    <n v="0"/>
    <n v="-141.45166263750522"/>
    <n v="-418.53856955335078"/>
  </r>
  <r>
    <s v="Sistema de Compensação"/>
    <x v="1"/>
    <x v="3"/>
    <x v="2"/>
    <x v="2"/>
    <x v="3"/>
    <x v="0"/>
    <x v="0"/>
    <x v="0"/>
    <n v="0"/>
    <n v="0"/>
    <n v="29.556000000000001"/>
    <n v="2.9556"/>
    <n v="29.556000000000001"/>
    <n v="2.9556"/>
    <n v="0"/>
    <x v="1"/>
    <n v="0"/>
    <n v="0"/>
    <n v="44"/>
    <n v="67"/>
    <n v="0"/>
    <n v="62.57"/>
    <n v="242.82"/>
    <m/>
    <n v="75.886085105957733"/>
    <n v="224.53785920244138"/>
    <n v="0"/>
    <n v="184.931892"/>
    <n v="717.67879199999993"/>
    <n v="0"/>
    <n v="224.28891313916867"/>
    <n v="663.64409665873575"/>
  </r>
  <r>
    <s v="Sistema de Compensação"/>
    <x v="1"/>
    <x v="3"/>
    <x v="2"/>
    <x v="2"/>
    <x v="3"/>
    <x v="0"/>
    <x v="0"/>
    <x v="0"/>
    <n v="0"/>
    <n v="0"/>
    <n v="-26.67"/>
    <n v="-2.6669999999999998"/>
    <n v="-26.67"/>
    <n v="-2.6669999999999998"/>
    <n v="0"/>
    <x v="1"/>
    <n v="0"/>
    <n v="0"/>
    <n v="44"/>
    <n v="67"/>
    <n v="0"/>
    <n v="62.57"/>
    <n v="242.82"/>
    <m/>
    <n v="75.886085105957733"/>
    <n v="224.53785920244138"/>
    <n v="0"/>
    <n v="-166.87419"/>
    <n v="-647.60093999999992"/>
    <n v="0"/>
    <n v="-202.38818897758927"/>
    <n v="-598.84247049291116"/>
  </r>
  <r>
    <s v="Regular"/>
    <x v="1"/>
    <x v="3"/>
    <x v="2"/>
    <x v="2"/>
    <x v="3"/>
    <x v="0"/>
    <x v="0"/>
    <x v="1"/>
    <n v="0"/>
    <n v="0"/>
    <n v="1455.296"/>
    <n v="145.52959999999999"/>
    <n v="1455.296"/>
    <n v="145.52959999999999"/>
    <n v="0"/>
    <x v="1"/>
    <n v="0"/>
    <n v="0"/>
    <n v="44"/>
    <n v="67"/>
    <n v="0"/>
    <n v="62.57"/>
    <n v="242.82"/>
    <m/>
    <n v="75.886085105957733"/>
    <n v="224.53785920244138"/>
    <n v="0"/>
    <n v="9105.7870719999992"/>
    <n v="35337.497471999995"/>
    <n v="0"/>
    <n v="11043.671611035985"/>
    <n v="32676.904834587611"/>
  </r>
  <r>
    <s v="Sistema de Compensação"/>
    <x v="1"/>
    <x v="3"/>
    <x v="2"/>
    <x v="2"/>
    <x v="3"/>
    <x v="0"/>
    <x v="0"/>
    <x v="1"/>
    <n v="0"/>
    <n v="0"/>
    <n v="0.25600000000000001"/>
    <n v="2.5600000000000001E-2"/>
    <n v="0.25600000000000001"/>
    <n v="2.5600000000000001E-2"/>
    <n v="0"/>
    <x v="1"/>
    <n v="0"/>
    <n v="0"/>
    <n v="44"/>
    <n v="67"/>
    <n v="0"/>
    <n v="62.57"/>
    <n v="242.82"/>
    <m/>
    <n v="75.886085105957733"/>
    <n v="224.53785920244138"/>
    <n v="0"/>
    <n v="1.6017920000000001"/>
    <n v="6.2161920000000004"/>
    <n v="0"/>
    <n v="1.942683778712518"/>
    <n v="5.7481691955824994"/>
  </r>
  <r>
    <s v="Regular"/>
    <x v="1"/>
    <x v="3"/>
    <x v="2"/>
    <x v="2"/>
    <x v="3"/>
    <x v="0"/>
    <x v="0"/>
    <x v="2"/>
    <n v="0"/>
    <n v="0"/>
    <n v="1622.479"/>
    <n v="162.24789999999999"/>
    <n v="1622.479"/>
    <n v="162.24789999999999"/>
    <n v="0"/>
    <x v="1"/>
    <n v="0"/>
    <n v="0"/>
    <n v="44"/>
    <n v="67"/>
    <n v="0"/>
    <n v="62.57"/>
    <n v="242.82"/>
    <m/>
    <n v="75.886085105957733"/>
    <n v="224.53785920244138"/>
    <n v="0"/>
    <n v="10151.851102999999"/>
    <n v="39397.035077999994"/>
    <n v="0"/>
    <n v="12312.357947662918"/>
    <n v="36430.796126091787"/>
  </r>
  <r>
    <s v="Refaturamento - Regular"/>
    <x v="1"/>
    <x v="3"/>
    <x v="2"/>
    <x v="2"/>
    <x v="3"/>
    <x v="0"/>
    <x v="0"/>
    <x v="2"/>
    <n v="0"/>
    <n v="0"/>
    <n v="-58.344999999999999"/>
    <n v="-5.8345000000000002"/>
    <n v="-58.344999999999999"/>
    <n v="-5.8345000000000002"/>
    <n v="0"/>
    <x v="1"/>
    <n v="0"/>
    <n v="0"/>
    <n v="44"/>
    <n v="67"/>
    <n v="0"/>
    <n v="62.57"/>
    <n v="242.82"/>
    <m/>
    <n v="75.886085105957733"/>
    <n v="224.53785920244138"/>
    <n v="0"/>
    <n v="-365.06466499999999"/>
    <n v="-1416.7332900000001"/>
    <n v="0"/>
    <n v="-442.75736355071041"/>
    <n v="-1310.0661395166444"/>
  </r>
  <r>
    <s v="Sistema de Compensação"/>
    <x v="1"/>
    <x v="3"/>
    <x v="2"/>
    <x v="2"/>
    <x v="3"/>
    <x v="0"/>
    <x v="0"/>
    <x v="2"/>
    <n v="0"/>
    <n v="0"/>
    <n v="7.6360000000000001"/>
    <n v="0.76359999999999995"/>
    <n v="7.6360000000000001"/>
    <n v="0.76359999999999995"/>
    <n v="0"/>
    <x v="1"/>
    <n v="0"/>
    <n v="0"/>
    <n v="44"/>
    <n v="67"/>
    <n v="0"/>
    <n v="62.57"/>
    <n v="242.82"/>
    <m/>
    <n v="75.886085105957733"/>
    <n v="224.53785920244138"/>
    <n v="0"/>
    <n v="47.778451999999994"/>
    <n v="185.41735199999999"/>
    <n v="0"/>
    <n v="57.94661458690932"/>
    <n v="171.45710928698423"/>
  </r>
  <r>
    <s v="Regular"/>
    <x v="1"/>
    <x v="3"/>
    <x v="2"/>
    <x v="2"/>
    <x v="3"/>
    <x v="0"/>
    <x v="0"/>
    <x v="3"/>
    <n v="0"/>
    <n v="0"/>
    <n v="1939.4159999999999"/>
    <n v="193.94159999999999"/>
    <n v="1939.4159999999999"/>
    <n v="193.94159999999999"/>
    <n v="0"/>
    <x v="1"/>
    <n v="0"/>
    <n v="0"/>
    <n v="44"/>
    <n v="67"/>
    <n v="0"/>
    <n v="62.57"/>
    <n v="242.82"/>
    <m/>
    <n v="75.886085105957733"/>
    <n v="224.53785920244138"/>
    <n v="0"/>
    <n v="12134.925911999999"/>
    <n v="47092.899311999994"/>
    <n v="0"/>
    <n v="14717.468763185612"/>
    <n v="43547.231674296207"/>
  </r>
  <r>
    <s v="Refaturamento - Regular"/>
    <x v="1"/>
    <x v="3"/>
    <x v="2"/>
    <x v="2"/>
    <x v="3"/>
    <x v="0"/>
    <x v="0"/>
    <x v="3"/>
    <n v="0"/>
    <n v="0"/>
    <n v="-34.674999999999997"/>
    <n v="-3.4674999999999998"/>
    <n v="-34.674999999999997"/>
    <n v="-3.4674999999999998"/>
    <n v="0"/>
    <x v="1"/>
    <n v="0"/>
    <n v="0"/>
    <n v="44"/>
    <n v="67"/>
    <n v="0"/>
    <n v="62.57"/>
    <n v="242.82"/>
    <m/>
    <n v="75.886085105957733"/>
    <n v="224.53785920244138"/>
    <n v="0"/>
    <n v="-216.96147499999998"/>
    <n v="-841.97834999999998"/>
    <n v="0"/>
    <n v="-263.13500010490844"/>
    <n v="-778.58502678446541"/>
  </r>
  <r>
    <s v="Sistema de Compensação"/>
    <x v="1"/>
    <x v="3"/>
    <x v="2"/>
    <x v="2"/>
    <x v="3"/>
    <x v="0"/>
    <x v="0"/>
    <x v="3"/>
    <n v="0"/>
    <n v="0"/>
    <n v="16.544"/>
    <n v="1.6544000000000001"/>
    <n v="16.544"/>
    <n v="1.6544000000000001"/>
    <n v="0"/>
    <x v="1"/>
    <n v="0"/>
    <n v="0"/>
    <n v="44"/>
    <n v="67"/>
    <n v="0"/>
    <n v="62.57"/>
    <n v="242.82"/>
    <m/>
    <n v="75.886085105957733"/>
    <n v="224.53785920244138"/>
    <n v="0"/>
    <n v="103.51580800000001"/>
    <n v="401.721408"/>
    <n v="0"/>
    <n v="125.54593919929648"/>
    <n v="371.47543426451904"/>
  </r>
  <r>
    <s v="Sistema de Compensação"/>
    <x v="1"/>
    <x v="3"/>
    <x v="2"/>
    <x v="2"/>
    <x v="3"/>
    <x v="0"/>
    <x v="0"/>
    <x v="3"/>
    <n v="0"/>
    <n v="0"/>
    <n v="41.655999999999999"/>
    <n v="4.1656000000000004"/>
    <n v="41.655999999999999"/>
    <n v="4.1656000000000004"/>
    <n v="0"/>
    <x v="1"/>
    <n v="0"/>
    <n v="0"/>
    <n v="44"/>
    <n v="67"/>
    <n v="0"/>
    <n v="62.57"/>
    <n v="242.82"/>
    <m/>
    <n v="75.886085105957733"/>
    <n v="224.53785920244138"/>
    <n v="0"/>
    <n v="260.641592"/>
    <n v="1011.4909920000001"/>
    <n v="0"/>
    <n v="316.11107611737754"/>
    <n v="935.33490629368987"/>
  </r>
  <r>
    <s v="Regular"/>
    <x v="1"/>
    <x v="3"/>
    <x v="2"/>
    <x v="2"/>
    <x v="3"/>
    <x v="0"/>
    <x v="0"/>
    <x v="4"/>
    <n v="0"/>
    <n v="0"/>
    <n v="2144.2049999999999"/>
    <n v="214.4205"/>
    <n v="2144.2049999999999"/>
    <n v="214.4205"/>
    <n v="0"/>
    <x v="1"/>
    <n v="0"/>
    <n v="0"/>
    <n v="44"/>
    <n v="67"/>
    <n v="0"/>
    <n v="62.57"/>
    <n v="242.82"/>
    <m/>
    <n v="75.886085105957733"/>
    <n v="224.53785920244138"/>
    <n v="0"/>
    <n v="13416.290685"/>
    <n v="52065.585809999997"/>
    <n v="0"/>
    <n v="16271.53231146201"/>
    <n v="48145.52003911708"/>
  </r>
  <r>
    <s v="Refaturamento - Regular"/>
    <x v="1"/>
    <x v="3"/>
    <x v="2"/>
    <x v="2"/>
    <x v="3"/>
    <x v="0"/>
    <x v="0"/>
    <x v="4"/>
    <n v="0"/>
    <n v="0"/>
    <n v="22.911999999999999"/>
    <n v="2.2911999999999999"/>
    <n v="22.911999999999999"/>
    <n v="2.2911999999999999"/>
    <n v="0"/>
    <x v="1"/>
    <n v="0"/>
    <n v="0"/>
    <n v="44"/>
    <n v="67"/>
    <n v="0"/>
    <n v="62.57"/>
    <n v="242.82"/>
    <m/>
    <n v="75.886085105957733"/>
    <n v="224.53785920244138"/>
    <n v="0"/>
    <n v="143.36038399999998"/>
    <n v="556.34918399999992"/>
    <n v="0"/>
    <n v="173.87019819477035"/>
    <n v="514.46114300463364"/>
  </r>
  <r>
    <s v="Sistema de Compensação"/>
    <x v="1"/>
    <x v="3"/>
    <x v="2"/>
    <x v="2"/>
    <x v="3"/>
    <x v="0"/>
    <x v="0"/>
    <x v="4"/>
    <n v="0"/>
    <n v="0"/>
    <n v="20.131"/>
    <n v="2.0131000000000001"/>
    <n v="20.131"/>
    <n v="2.0131000000000001"/>
    <n v="0"/>
    <x v="1"/>
    <n v="0"/>
    <n v="0"/>
    <n v="44"/>
    <n v="67"/>
    <n v="0"/>
    <n v="62.57"/>
    <n v="242.82"/>
    <m/>
    <n v="75.886085105957733"/>
    <n v="224.53785920244138"/>
    <n v="0"/>
    <n v="125.95966700000001"/>
    <n v="488.820942"/>
    <n v="0"/>
    <n v="152.76627792680353"/>
    <n v="452.01716436043478"/>
  </r>
  <r>
    <s v="Regular"/>
    <x v="1"/>
    <x v="3"/>
    <x v="2"/>
    <x v="2"/>
    <x v="3"/>
    <x v="0"/>
    <x v="0"/>
    <x v="5"/>
    <n v="0"/>
    <n v="0"/>
    <n v="1625.114"/>
    <n v="162.51140000000001"/>
    <n v="1625.114"/>
    <n v="162.51140000000001"/>
    <n v="0"/>
    <x v="1"/>
    <n v="0"/>
    <n v="0"/>
    <n v="44"/>
    <n v="67"/>
    <n v="0"/>
    <n v="62.57"/>
    <n v="242.82"/>
    <m/>
    <n v="75.886085105957733"/>
    <n v="224.53785920244138"/>
    <n v="0"/>
    <n v="10168.338298000001"/>
    <n v="39461.018148000003"/>
    <n v="0"/>
    <n v="12332.353931088341"/>
    <n v="36489.961851991633"/>
  </r>
  <r>
    <s v="Refaturamento - Regular"/>
    <x v="1"/>
    <x v="3"/>
    <x v="2"/>
    <x v="2"/>
    <x v="3"/>
    <x v="0"/>
    <x v="0"/>
    <x v="5"/>
    <n v="0"/>
    <n v="0"/>
    <n v="-55.65"/>
    <n v="-5.5650000000000004"/>
    <n v="-55.65"/>
    <n v="-5.5650000000000004"/>
    <n v="0"/>
    <x v="1"/>
    <n v="0"/>
    <n v="0"/>
    <n v="44"/>
    <n v="67"/>
    <n v="0"/>
    <n v="62.57"/>
    <n v="242.82"/>
    <m/>
    <n v="75.886085105957733"/>
    <n v="224.53785920244138"/>
    <n v="0"/>
    <n v="-348.20205000000004"/>
    <n v="-1351.2933"/>
    <n v="0"/>
    <n v="-422.30606361465482"/>
    <n v="-1249.5531864615864"/>
  </r>
  <r>
    <s v="Sistema de Compensação"/>
    <x v="1"/>
    <x v="3"/>
    <x v="2"/>
    <x v="2"/>
    <x v="3"/>
    <x v="0"/>
    <x v="0"/>
    <x v="5"/>
    <n v="0"/>
    <n v="0"/>
    <n v="7.0730000000000004"/>
    <n v="0.70730000000000004"/>
    <n v="7.0730000000000004"/>
    <n v="0.70730000000000004"/>
    <n v="0"/>
    <x v="1"/>
    <n v="0"/>
    <n v="0"/>
    <n v="44"/>
    <n v="67"/>
    <n v="0"/>
    <n v="62.57"/>
    <n v="242.82"/>
    <m/>
    <n v="75.886085105957733"/>
    <n v="224.53785920244138"/>
    <n v="0"/>
    <n v="44.255761"/>
    <n v="171.74658600000001"/>
    <n v="0"/>
    <n v="53.674227995443907"/>
    <n v="158.81562781388681"/>
  </r>
  <r>
    <s v="Regular"/>
    <x v="1"/>
    <x v="3"/>
    <x v="2"/>
    <x v="2"/>
    <x v="3"/>
    <x v="0"/>
    <x v="0"/>
    <x v="6"/>
    <n v="0"/>
    <n v="0"/>
    <n v="1502.08"/>
    <n v="150.208"/>
    <n v="1502.08"/>
    <n v="150.208"/>
    <n v="0"/>
    <x v="1"/>
    <n v="0"/>
    <n v="0"/>
    <n v="44"/>
    <n v="67"/>
    <n v="0"/>
    <n v="62.57"/>
    <n v="242.82"/>
    <m/>
    <n v="75.886085105957733"/>
    <n v="224.53785920244138"/>
    <n v="0"/>
    <n v="9398.5145599999996"/>
    <n v="36473.506560000002"/>
    <n v="0"/>
    <n v="11398.6970715957"/>
    <n v="33727.382755080318"/>
  </r>
  <r>
    <s v="Refaturamento - Regular"/>
    <x v="1"/>
    <x v="3"/>
    <x v="2"/>
    <x v="2"/>
    <x v="3"/>
    <x v="0"/>
    <x v="0"/>
    <x v="6"/>
    <n v="0"/>
    <n v="0"/>
    <n v="-5.5590000000000002"/>
    <n v="-0.55589999999999995"/>
    <n v="-5.5590000000000002"/>
    <n v="-0.55589999999999995"/>
    <n v="0"/>
    <x v="1"/>
    <n v="0"/>
    <n v="0"/>
    <n v="44"/>
    <n v="67"/>
    <n v="0"/>
    <n v="62.57"/>
    <n v="242.82"/>
    <m/>
    <n v="75.886085105957733"/>
    <n v="224.53785920244138"/>
    <n v="0"/>
    <n v="-34.782662999999999"/>
    <n v="-134.98363799999998"/>
    <n v="0"/>
    <n v="-42.185074710401899"/>
    <n v="-124.82059593063715"/>
  </r>
  <r>
    <s v="Sistema de Compensação"/>
    <x v="1"/>
    <x v="3"/>
    <x v="2"/>
    <x v="2"/>
    <x v="3"/>
    <x v="0"/>
    <x v="0"/>
    <x v="6"/>
    <n v="0"/>
    <n v="0"/>
    <n v="0.193"/>
    <n v="1.9300000000000001E-2"/>
    <n v="0.193"/>
    <n v="1.9300000000000001E-2"/>
    <n v="0"/>
    <x v="1"/>
    <n v="0"/>
    <n v="0"/>
    <n v="44"/>
    <n v="67"/>
    <n v="0"/>
    <n v="62.57"/>
    <n v="242.82"/>
    <m/>
    <n v="75.886085105957733"/>
    <n v="224.53785920244138"/>
    <n v="0"/>
    <n v="1.2076010000000001"/>
    <n v="4.686426"/>
    <n v="0"/>
    <n v="1.4646014425449843"/>
    <n v="4.3335806826071188"/>
  </r>
  <r>
    <s v="Regular"/>
    <x v="1"/>
    <x v="3"/>
    <x v="2"/>
    <x v="2"/>
    <x v="3"/>
    <x v="0"/>
    <x v="0"/>
    <x v="7"/>
    <n v="0"/>
    <n v="0"/>
    <n v="1412.0119999999999"/>
    <n v="141.2012"/>
    <n v="1412.0119999999999"/>
    <n v="141.2012"/>
    <n v="0"/>
    <x v="1"/>
    <n v="0"/>
    <n v="0"/>
    <n v="44"/>
    <n v="67"/>
    <n v="0"/>
    <n v="62.57"/>
    <n v="242.82"/>
    <m/>
    <n v="75.886085105957733"/>
    <n v="224.53785920244138"/>
    <n v="0"/>
    <n v="8834.9590840000001"/>
    <n v="34286.475383999998"/>
    <n v="0"/>
    <n v="10715.206280263359"/>
    <n v="31705.015164815766"/>
  </r>
  <r>
    <s v="Sistema de Compensação"/>
    <x v="1"/>
    <x v="3"/>
    <x v="2"/>
    <x v="2"/>
    <x v="3"/>
    <x v="0"/>
    <x v="0"/>
    <x v="7"/>
    <n v="0"/>
    <n v="0"/>
    <n v="10.467000000000001"/>
    <n v="1.0467"/>
    <n v="10.467000000000001"/>
    <n v="1.0467"/>
    <n v="0"/>
    <x v="1"/>
    <n v="0"/>
    <n v="0"/>
    <n v="44"/>
    <n v="67"/>
    <n v="0"/>
    <n v="62.57"/>
    <n v="242.82"/>
    <m/>
    <n v="75.886085105957733"/>
    <n v="224.53785920244138"/>
    <n v="0"/>
    <n v="65.492018999999999"/>
    <n v="254.15969399999997"/>
    <n v="0"/>
    <n v="79.429965280405952"/>
    <n v="235.02377722719538"/>
  </r>
  <r>
    <s v="Regular"/>
    <x v="1"/>
    <x v="3"/>
    <x v="2"/>
    <x v="2"/>
    <x v="3"/>
    <x v="0"/>
    <x v="0"/>
    <x v="8"/>
    <n v="0"/>
    <n v="0"/>
    <n v="1244.174"/>
    <n v="124.4174"/>
    <n v="1244.174"/>
    <n v="124.4174"/>
    <n v="0"/>
    <x v="1"/>
    <n v="0"/>
    <n v="0"/>
    <n v="44"/>
    <n v="67"/>
    <n v="0"/>
    <n v="62.57"/>
    <n v="242.82"/>
    <m/>
    <n v="75.886085105957733"/>
    <n v="224.53785920244138"/>
    <n v="0"/>
    <n v="7784.7967180000005"/>
    <n v="30211.033068000001"/>
    <n v="0"/>
    <n v="9441.5494050619855"/>
    <n v="27936.41664353383"/>
  </r>
  <r>
    <s v="Refaturamento - Regular"/>
    <x v="1"/>
    <x v="3"/>
    <x v="2"/>
    <x v="2"/>
    <x v="3"/>
    <x v="0"/>
    <x v="0"/>
    <x v="8"/>
    <n v="0"/>
    <n v="0"/>
    <n v="-11.851000000000001"/>
    <n v="-1.1851"/>
    <n v="-11.851000000000001"/>
    <n v="-1.1851"/>
    <n v="0"/>
    <x v="1"/>
    <n v="0"/>
    <n v="0"/>
    <n v="44"/>
    <n v="67"/>
    <n v="0"/>
    <n v="62.57"/>
    <n v="242.82"/>
    <m/>
    <n v="75.886085105957733"/>
    <n v="224.53785920244138"/>
    <n v="0"/>
    <n v="-74.151707000000002"/>
    <n v="-287.76598200000001"/>
    <n v="0"/>
    <n v="-89.932599459070516"/>
    <n v="-266.0998169408133"/>
  </r>
  <r>
    <s v="Sistema de Compensação"/>
    <x v="1"/>
    <x v="3"/>
    <x v="2"/>
    <x v="2"/>
    <x v="3"/>
    <x v="0"/>
    <x v="0"/>
    <x v="8"/>
    <n v="0"/>
    <n v="0"/>
    <n v="4.0919999999999996"/>
    <n v="0.40920000000000001"/>
    <n v="4.0919999999999996"/>
    <n v="0.40920000000000001"/>
    <n v="0"/>
    <x v="1"/>
    <n v="0"/>
    <n v="0"/>
    <n v="44"/>
    <n v="67"/>
    <n v="0"/>
    <n v="62.57"/>
    <n v="242.82"/>
    <m/>
    <n v="75.886085105957733"/>
    <n v="224.53785920244138"/>
    <n v="0"/>
    <n v="25.603643999999999"/>
    <n v="99.361943999999994"/>
    <n v="0"/>
    <n v="31.052586025357904"/>
    <n v="91.88089198563901"/>
  </r>
  <r>
    <s v="Sistema de Compensação"/>
    <x v="1"/>
    <x v="3"/>
    <x v="2"/>
    <x v="2"/>
    <x v="3"/>
    <x v="0"/>
    <x v="0"/>
    <x v="8"/>
    <n v="0"/>
    <n v="0"/>
    <n v="52.59"/>
    <n v="5.2590000000000003"/>
    <n v="52.59"/>
    <n v="5.2590000000000003"/>
    <n v="0"/>
    <x v="1"/>
    <n v="0"/>
    <n v="0"/>
    <n v="44"/>
    <n v="67"/>
    <n v="0"/>
    <n v="62.57"/>
    <n v="242.82"/>
    <m/>
    <n v="75.886085105957733"/>
    <n v="224.53785920244138"/>
    <n v="0"/>
    <n v="329.05563000000001"/>
    <n v="1276.99038"/>
    <n v="0"/>
    <n v="399.08492157223174"/>
    <n v="1180.8446015456393"/>
  </r>
  <r>
    <s v="Regular"/>
    <x v="1"/>
    <x v="3"/>
    <x v="2"/>
    <x v="2"/>
    <x v="3"/>
    <x v="0"/>
    <x v="0"/>
    <x v="9"/>
    <n v="0"/>
    <n v="0"/>
    <n v="798.85400000000004"/>
    <n v="79.885400000000004"/>
    <n v="798.85400000000004"/>
    <n v="79.885400000000004"/>
    <n v="0"/>
    <x v="1"/>
    <n v="0"/>
    <n v="0"/>
    <n v="44"/>
    <n v="67"/>
    <n v="0"/>
    <n v="62.57"/>
    <n v="242.82"/>
    <m/>
    <n v="75.886085105957733"/>
    <n v="224.53785920244138"/>
    <n v="0"/>
    <n v="4998.429478"/>
    <n v="19397.772828000001"/>
    <n v="0"/>
    <n v="6062.1902631234761"/>
    <n v="17937.29669753071"/>
  </r>
  <r>
    <s v="Sistema de Compensação"/>
    <x v="1"/>
    <x v="3"/>
    <x v="2"/>
    <x v="2"/>
    <x v="3"/>
    <x v="0"/>
    <x v="0"/>
    <x v="9"/>
    <n v="0"/>
    <n v="0"/>
    <n v="4.6029999999999998"/>
    <n v="0.46029999999999999"/>
    <n v="4.6029999999999998"/>
    <n v="0.46029999999999999"/>
    <n v="0"/>
    <x v="1"/>
    <n v="0"/>
    <n v="0"/>
    <n v="44"/>
    <n v="67"/>
    <n v="0"/>
    <n v="62.57"/>
    <n v="242.82"/>
    <m/>
    <n v="75.886085105957733"/>
    <n v="224.53785920244138"/>
    <n v="0"/>
    <n v="28.800971000000001"/>
    <n v="111.77004599999999"/>
    <n v="0"/>
    <n v="34.930364974272344"/>
    <n v="103.35477659088376"/>
  </r>
  <r>
    <s v="Regular"/>
    <x v="1"/>
    <x v="3"/>
    <x v="2"/>
    <x v="2"/>
    <x v="3"/>
    <x v="0"/>
    <x v="0"/>
    <x v="10"/>
    <n v="0"/>
    <n v="0"/>
    <n v="533.52800000000002"/>
    <n v="53.352800000000002"/>
    <n v="533.52800000000002"/>
    <n v="53.352800000000002"/>
    <n v="0"/>
    <x v="1"/>
    <n v="0"/>
    <n v="0"/>
    <n v="44"/>
    <n v="67"/>
    <n v="0"/>
    <n v="62.57"/>
    <n v="242.82"/>
    <m/>
    <n v="75.886085105957733"/>
    <n v="224.53785920244138"/>
    <n v="0"/>
    <n v="3338.2846960000002"/>
    <n v="12955.126896"/>
    <n v="0"/>
    <n v="4048.7351214411419"/>
    <n v="11979.723494456015"/>
  </r>
  <r>
    <s v="Refaturamento - Regular"/>
    <x v="1"/>
    <x v="3"/>
    <x v="2"/>
    <x v="2"/>
    <x v="3"/>
    <x v="0"/>
    <x v="0"/>
    <x v="10"/>
    <n v="0"/>
    <n v="0"/>
    <n v="-26.832000000000001"/>
    <n v="-2.6831999999999998"/>
    <n v="-26.832000000000001"/>
    <n v="-2.6831999999999998"/>
    <n v="0"/>
    <x v="1"/>
    <n v="0"/>
    <n v="0"/>
    <n v="44"/>
    <n v="67"/>
    <n v="0"/>
    <n v="62.57"/>
    <n v="242.82"/>
    <m/>
    <n v="75.886085105957733"/>
    <n v="224.53785920244138"/>
    <n v="0"/>
    <n v="-167.88782399999999"/>
    <n v="-651.53462399999989"/>
    <n v="0"/>
    <n v="-203.61754355630578"/>
    <n v="-602.47998381199068"/>
  </r>
  <r>
    <s v="Sistema de Compensação"/>
    <x v="1"/>
    <x v="3"/>
    <x v="2"/>
    <x v="2"/>
    <x v="3"/>
    <x v="0"/>
    <x v="0"/>
    <x v="10"/>
    <n v="0"/>
    <n v="0"/>
    <n v="0.72499999999999998"/>
    <n v="7.2499999999999995E-2"/>
    <n v="0.72499999999999998"/>
    <n v="7.2499999999999995E-2"/>
    <n v="0"/>
    <x v="1"/>
    <n v="0"/>
    <n v="0"/>
    <n v="44"/>
    <n v="67"/>
    <n v="0"/>
    <n v="62.57"/>
    <n v="242.82"/>
    <m/>
    <n v="75.886085105957733"/>
    <n v="224.53785920244138"/>
    <n v="0"/>
    <n v="4.5363249999999997"/>
    <n v="17.60445"/>
    <n v="0"/>
    <n v="5.5017411701819352"/>
    <n v="16.278994792176999"/>
  </r>
  <r>
    <s v="PROJETADO"/>
    <x v="1"/>
    <x v="3"/>
    <x v="2"/>
    <x v="2"/>
    <x v="3"/>
    <x v="0"/>
    <x v="0"/>
    <x v="11"/>
    <n v="0"/>
    <n v="0"/>
    <n v="533.52800000000002"/>
    <n v="53.352800000000002"/>
    <n v="533.52800000000002"/>
    <n v="53.352800000000002"/>
    <n v="0"/>
    <x v="1"/>
    <n v="0"/>
    <n v="0"/>
    <n v="44"/>
    <n v="67"/>
    <n v="0"/>
    <n v="62.57"/>
    <n v="242.82"/>
    <m/>
    <n v="75.886085105957733"/>
    <n v="224.53785920244138"/>
    <n v="0"/>
    <n v="3338.2846960000002"/>
    <n v="12955.126896"/>
    <n v="0"/>
    <n v="4048.7351214411419"/>
    <n v="11979.723494456015"/>
  </r>
  <r>
    <s v="PROJETADO"/>
    <x v="1"/>
    <x v="3"/>
    <x v="2"/>
    <x v="2"/>
    <x v="3"/>
    <x v="0"/>
    <x v="0"/>
    <x v="11"/>
    <n v="0"/>
    <n v="0"/>
    <n v="-26.832000000000001"/>
    <n v="-2.6831999999999998"/>
    <n v="-26.832000000000001"/>
    <n v="-2.6831999999999998"/>
    <n v="0"/>
    <x v="1"/>
    <n v="0"/>
    <n v="0"/>
    <n v="44"/>
    <n v="67"/>
    <n v="0"/>
    <n v="62.57"/>
    <n v="242.82"/>
    <m/>
    <n v="75.886085105957733"/>
    <n v="224.53785920244138"/>
    <n v="0"/>
    <n v="-167.88782399999999"/>
    <n v="-651.53462399999989"/>
    <n v="0"/>
    <n v="-203.61754355630578"/>
    <n v="-602.47998381199068"/>
  </r>
  <r>
    <s v="PROJETADO"/>
    <x v="1"/>
    <x v="3"/>
    <x v="2"/>
    <x v="2"/>
    <x v="3"/>
    <x v="0"/>
    <x v="0"/>
    <x v="11"/>
    <n v="0"/>
    <n v="0"/>
    <n v="0.72499999999999998"/>
    <n v="7.2499999999999995E-2"/>
    <n v="0.72499999999999998"/>
    <n v="7.2499999999999995E-2"/>
    <n v="0"/>
    <x v="1"/>
    <n v="0"/>
    <n v="0"/>
    <n v="44"/>
    <n v="67"/>
    <n v="0"/>
    <n v="62.57"/>
    <n v="242.82"/>
    <m/>
    <n v="75.886085105957733"/>
    <n v="224.53785920244138"/>
    <n v="0"/>
    <n v="4.5363249999999997"/>
    <n v="17.60445"/>
    <n v="0"/>
    <n v="5.5017411701819352"/>
    <n v="16.278994792176999"/>
  </r>
  <r>
    <s v="Regular"/>
    <x v="1"/>
    <x v="3"/>
    <x v="2"/>
    <x v="2"/>
    <x v="0"/>
    <x v="0"/>
    <x v="0"/>
    <x v="0"/>
    <n v="0"/>
    <n v="0"/>
    <n v="1338.748"/>
    <n v="1285.1980799999999"/>
    <n v="1338.748"/>
    <n v="1285.1980799999999"/>
    <n v="0"/>
    <x v="1"/>
    <n v="0"/>
    <n v="0"/>
    <n v="44"/>
    <n v="67"/>
    <n v="0"/>
    <n v="62.57"/>
    <n v="242.82"/>
    <m/>
    <n v="75.886085105957733"/>
    <n v="224.53785920244138"/>
    <n v="0"/>
    <n v="80414.843865599993"/>
    <n v="312071.79778559995"/>
    <n v="0"/>
    <n v="97528.650876893473"/>
    <n v="288575.62553428794"/>
  </r>
  <r>
    <s v="Refaturamento - Regular"/>
    <x v="1"/>
    <x v="3"/>
    <x v="2"/>
    <x v="2"/>
    <x v="0"/>
    <x v="0"/>
    <x v="0"/>
    <x v="0"/>
    <n v="0"/>
    <n v="0"/>
    <n v="-31.73"/>
    <n v="-30.460799999999999"/>
    <n v="-31.73"/>
    <n v="-30.460799999999999"/>
    <n v="0"/>
    <x v="1"/>
    <n v="0"/>
    <n v="0"/>
    <n v="44"/>
    <n v="67"/>
    <n v="0"/>
    <n v="62.57"/>
    <n v="242.82"/>
    <m/>
    <n v="75.886085105957733"/>
    <n v="224.53785920244138"/>
    <n v="0"/>
    <n v="-1905.9322560000001"/>
    <n v="-7396.4914559999997"/>
    <n v="0"/>
    <n v="-2311.5508611955574"/>
    <n v="-6839.6028215937258"/>
  </r>
  <r>
    <s v="Sistema de Compensação"/>
    <x v="1"/>
    <x v="3"/>
    <x v="2"/>
    <x v="2"/>
    <x v="0"/>
    <x v="0"/>
    <x v="0"/>
    <x v="0"/>
    <n v="0"/>
    <n v="0"/>
    <n v="23.425000000000001"/>
    <n v="22.488"/>
    <n v="23.425000000000001"/>
    <n v="22.488"/>
    <n v="0"/>
    <x v="1"/>
    <n v="0"/>
    <n v="0"/>
    <n v="44"/>
    <n v="67"/>
    <n v="0"/>
    <n v="62.57"/>
    <n v="242.82"/>
    <m/>
    <n v="75.886085105957733"/>
    <n v="224.53785920244138"/>
    <n v="0"/>
    <n v="1407.0741599999999"/>
    <n v="5460.5361599999997"/>
    <n v="0"/>
    <n v="1706.5262818627775"/>
    <n v="5049.4073777445019"/>
  </r>
  <r>
    <s v="Sistema de Compensação"/>
    <x v="1"/>
    <x v="3"/>
    <x v="2"/>
    <x v="2"/>
    <x v="0"/>
    <x v="0"/>
    <x v="0"/>
    <x v="0"/>
    <n v="0"/>
    <n v="0"/>
    <n v="-49.35"/>
    <n v="-47.375999999999998"/>
    <n v="-49.35"/>
    <n v="-47.375999999999998"/>
    <n v="0"/>
    <x v="1"/>
    <n v="0"/>
    <n v="0"/>
    <n v="44"/>
    <n v="67"/>
    <n v="0"/>
    <n v="62.57"/>
    <n v="242.82"/>
    <m/>
    <n v="75.886085105957733"/>
    <n v="224.53785920244138"/>
    <n v="0"/>
    <n v="-2964.3163199999999"/>
    <n v="-11503.840319999999"/>
    <n v="0"/>
    <n v="-3595.1791679798534"/>
    <n v="-10637.705617574862"/>
  </r>
  <r>
    <s v="Regular"/>
    <x v="1"/>
    <x v="3"/>
    <x v="2"/>
    <x v="2"/>
    <x v="0"/>
    <x v="0"/>
    <x v="0"/>
    <x v="1"/>
    <n v="0"/>
    <n v="0"/>
    <n v="1734.5719999999999"/>
    <n v="1665.18912"/>
    <n v="1734.5719999999999"/>
    <n v="1665.18912"/>
    <n v="0"/>
    <x v="1"/>
    <n v="0"/>
    <n v="0"/>
    <n v="44"/>
    <n v="67"/>
    <n v="0"/>
    <n v="62.57"/>
    <n v="242.82"/>
    <m/>
    <n v="75.886085105957733"/>
    <n v="224.53785920244138"/>
    <n v="0"/>
    <n v="104190.8832384"/>
    <n v="404341.22211839998"/>
    <n v="0"/>
    <n v="126364.68327783486"/>
    <n v="373898.00017199729"/>
  </r>
  <r>
    <s v="Regular"/>
    <x v="1"/>
    <x v="3"/>
    <x v="2"/>
    <x v="2"/>
    <x v="0"/>
    <x v="0"/>
    <x v="0"/>
    <x v="2"/>
    <n v="0"/>
    <n v="0"/>
    <n v="2228.7159999999999"/>
    <n v="2139.56736"/>
    <n v="2228.7159999999999"/>
    <n v="2139.56736"/>
    <n v="0"/>
    <x v="1"/>
    <n v="0"/>
    <n v="0"/>
    <n v="44"/>
    <n v="67"/>
    <n v="0"/>
    <n v="62.57"/>
    <n v="242.82"/>
    <m/>
    <n v="75.886085105957733"/>
    <n v="224.53785920244138"/>
    <n v="0"/>
    <n v="133872.7297152"/>
    <n v="519529.74635520001"/>
    <n v="0"/>
    <n v="162363.39077088929"/>
    <n v="480413.87463381921"/>
  </r>
  <r>
    <s v="Refaturamento - Regular"/>
    <x v="1"/>
    <x v="3"/>
    <x v="2"/>
    <x v="2"/>
    <x v="0"/>
    <x v="0"/>
    <x v="0"/>
    <x v="2"/>
    <n v="0"/>
    <n v="0"/>
    <n v="-65.650000000000006"/>
    <n v="-63.024000000000001"/>
    <n v="-65.650000000000006"/>
    <n v="-63.024000000000001"/>
    <n v="0"/>
    <x v="1"/>
    <n v="0"/>
    <n v="0"/>
    <n v="44"/>
    <n v="67"/>
    <n v="0"/>
    <n v="62.57"/>
    <n v="242.82"/>
    <m/>
    <n v="75.886085105957733"/>
    <n v="224.53785920244138"/>
    <n v="0"/>
    <n v="-3943.4116800000002"/>
    <n v="-15303.48768"/>
    <n v="0"/>
    <n v="-4782.6446277178802"/>
    <n v="-14151.274038374666"/>
  </r>
  <r>
    <s v="Regular"/>
    <x v="1"/>
    <x v="3"/>
    <x v="2"/>
    <x v="2"/>
    <x v="0"/>
    <x v="0"/>
    <x v="0"/>
    <x v="3"/>
    <n v="0"/>
    <n v="0"/>
    <n v="2764.9520000000002"/>
    <n v="2654.35392"/>
    <n v="2764.9520000000002"/>
    <n v="2654.35392"/>
    <n v="0"/>
    <x v="1"/>
    <n v="0"/>
    <n v="0"/>
    <n v="44"/>
    <n v="67"/>
    <n v="0"/>
    <n v="62.57"/>
    <n v="242.82"/>
    <m/>
    <n v="75.886085105957733"/>
    <n v="224.53785920244138"/>
    <n v="0"/>
    <n v="166082.92477439999"/>
    <n v="644530.21885439998"/>
    <n v="0"/>
    <n v="201428.52747445254"/>
    <n v="596002.94676240836"/>
  </r>
  <r>
    <s v="Refaturamento - Regular"/>
    <x v="1"/>
    <x v="3"/>
    <x v="2"/>
    <x v="2"/>
    <x v="0"/>
    <x v="0"/>
    <x v="0"/>
    <x v="3"/>
    <n v="0"/>
    <n v="0"/>
    <n v="-65.512"/>
    <n v="-62.89152"/>
    <n v="-65.512"/>
    <n v="-62.89152"/>
    <n v="0"/>
    <x v="1"/>
    <n v="0"/>
    <n v="0"/>
    <n v="44"/>
    <n v="67"/>
    <n v="0"/>
    <n v="62.57"/>
    <n v="242.82"/>
    <m/>
    <n v="75.886085105957733"/>
    <n v="224.53785920244138"/>
    <n v="0"/>
    <n v="-3935.1224063999998"/>
    <n v="-15271.3188864"/>
    <n v="0"/>
    <n v="-4772.5912391630427"/>
    <n v="-14121.527262787526"/>
  </r>
  <r>
    <s v="Sistema de Compensação"/>
    <x v="1"/>
    <x v="3"/>
    <x v="2"/>
    <x v="2"/>
    <x v="0"/>
    <x v="0"/>
    <x v="0"/>
    <x v="3"/>
    <n v="0"/>
    <n v="0"/>
    <n v="39.298000000000002"/>
    <n v="37.726080000000003"/>
    <n v="39.298000000000002"/>
    <n v="37.726080000000003"/>
    <n v="0"/>
    <x v="1"/>
    <n v="0"/>
    <n v="0"/>
    <n v="44"/>
    <n v="67"/>
    <n v="0"/>
    <n v="62.57"/>
    <n v="242.82"/>
    <m/>
    <n v="75.886085105957733"/>
    <n v="224.53785920244138"/>
    <n v="0"/>
    <n v="2360.5208256000001"/>
    <n v="9160.6467456000009"/>
    <n v="0"/>
    <n v="2862.8845175941701"/>
    <n v="8470.9332393000404"/>
  </r>
  <r>
    <s v="Regular"/>
    <x v="1"/>
    <x v="3"/>
    <x v="2"/>
    <x v="2"/>
    <x v="0"/>
    <x v="0"/>
    <x v="0"/>
    <x v="4"/>
    <n v="0"/>
    <n v="0"/>
    <n v="3025.9940000000001"/>
    <n v="2904.95424"/>
    <n v="3025.9940000000001"/>
    <n v="2904.95424"/>
    <n v="0"/>
    <x v="1"/>
    <n v="0"/>
    <n v="0"/>
    <n v="44"/>
    <n v="67"/>
    <n v="0"/>
    <n v="62.57"/>
    <n v="242.82"/>
    <m/>
    <n v="75.886085105957733"/>
    <n v="224.53785920244138"/>
    <n v="0"/>
    <n v="181762.98679679999"/>
    <n v="705380.98855679994"/>
    <n v="0"/>
    <n v="220445.60468555277"/>
    <n v="652272.20613065513"/>
  </r>
  <r>
    <s v="Refaturamento - Regular"/>
    <x v="1"/>
    <x v="3"/>
    <x v="2"/>
    <x v="2"/>
    <x v="0"/>
    <x v="0"/>
    <x v="0"/>
    <x v="4"/>
    <n v="0"/>
    <n v="0"/>
    <n v="-27.626999999999999"/>
    <n v="-26.521920000000001"/>
    <n v="-27.626999999999999"/>
    <n v="-26.521920000000001"/>
    <n v="0"/>
    <x v="1"/>
    <n v="0"/>
    <n v="0"/>
    <n v="44"/>
    <n v="67"/>
    <n v="0"/>
    <n v="62.57"/>
    <n v="242.82"/>
    <m/>
    <n v="75.886085105957733"/>
    <n v="224.53785920244138"/>
    <n v="0"/>
    <n v="-1659.4765344"/>
    <n v="-6440.0526144000005"/>
    <n v="0"/>
    <n v="-2012.6446782934026"/>
    <n v="-5955.1751387384147"/>
  </r>
  <r>
    <s v="Sistema de Compensação"/>
    <x v="1"/>
    <x v="3"/>
    <x v="2"/>
    <x v="2"/>
    <x v="0"/>
    <x v="0"/>
    <x v="0"/>
    <x v="4"/>
    <n v="0"/>
    <n v="0"/>
    <n v="11.375"/>
    <n v="10.92"/>
    <n v="11.375"/>
    <n v="10.92"/>
    <n v="0"/>
    <x v="1"/>
    <n v="0"/>
    <n v="0"/>
    <n v="44"/>
    <n v="67"/>
    <n v="0"/>
    <n v="62.57"/>
    <n v="242.82"/>
    <m/>
    <n v="75.886085105957733"/>
    <n v="224.53785920244138"/>
    <n v="0"/>
    <n v="683.26440000000002"/>
    <n v="2651.5944"/>
    <n v="0"/>
    <n v="828.67604935705845"/>
    <n v="2451.9534224906597"/>
  </r>
  <r>
    <s v="Regular"/>
    <x v="1"/>
    <x v="3"/>
    <x v="2"/>
    <x v="2"/>
    <x v="0"/>
    <x v="0"/>
    <x v="0"/>
    <x v="5"/>
    <n v="0"/>
    <n v="0"/>
    <n v="2144.0500000000002"/>
    <n v="2058.288"/>
    <n v="2144.0500000000002"/>
    <n v="2058.288"/>
    <n v="0"/>
    <x v="1"/>
    <n v="0"/>
    <n v="0"/>
    <n v="44"/>
    <n v="67"/>
    <n v="0"/>
    <n v="62.57"/>
    <n v="242.82"/>
    <m/>
    <n v="75.886085105957733"/>
    <n v="224.53785920244138"/>
    <n v="0"/>
    <n v="128787.08016"/>
    <n v="499793.49215999997"/>
    <n v="0"/>
    <n v="156195.41834057154"/>
    <n v="462163.58114207466"/>
  </r>
  <r>
    <s v="Refaturamento - Regular"/>
    <x v="1"/>
    <x v="3"/>
    <x v="2"/>
    <x v="2"/>
    <x v="0"/>
    <x v="0"/>
    <x v="0"/>
    <x v="5"/>
    <n v="0"/>
    <n v="0"/>
    <n v="-149.74"/>
    <n v="-143.75040000000001"/>
    <n v="-149.74"/>
    <n v="-143.75040000000001"/>
    <n v="0"/>
    <x v="1"/>
    <n v="0"/>
    <n v="0"/>
    <n v="44"/>
    <n v="67"/>
    <n v="0"/>
    <n v="62.57"/>
    <n v="242.82"/>
    <m/>
    <n v="75.886085105957733"/>
    <n v="224.53785920244138"/>
    <n v="0"/>
    <n v="-8994.462528"/>
    <n v="-34905.472128000001"/>
    <n v="0"/>
    <n v="-10908.655088415468"/>
    <n v="-32277.407075494633"/>
  </r>
  <r>
    <s v="Regular"/>
    <x v="1"/>
    <x v="3"/>
    <x v="2"/>
    <x v="2"/>
    <x v="0"/>
    <x v="0"/>
    <x v="0"/>
    <x v="6"/>
    <n v="0"/>
    <n v="0"/>
    <n v="2003.865"/>
    <n v="1923.7103999999999"/>
    <n v="2003.865"/>
    <n v="1923.7103999999999"/>
    <n v="0"/>
    <x v="1"/>
    <n v="0"/>
    <n v="0"/>
    <n v="44"/>
    <n v="67"/>
    <n v="0"/>
    <n v="62.57"/>
    <n v="242.82"/>
    <m/>
    <n v="75.886085105957733"/>
    <n v="224.53785920244138"/>
    <n v="0"/>
    <n v="120366.55972799999"/>
    <n v="467115.35932799999"/>
    <n v="0"/>
    <n v="145982.851133616"/>
    <n v="431945.8149414722"/>
  </r>
  <r>
    <s v="Refaturamento - Regular"/>
    <x v="1"/>
    <x v="3"/>
    <x v="2"/>
    <x v="2"/>
    <x v="0"/>
    <x v="0"/>
    <x v="0"/>
    <x v="6"/>
    <n v="0"/>
    <n v="0"/>
    <n v="-65.468999999999994"/>
    <n v="-62.850239999999999"/>
    <n v="-65.468999999999994"/>
    <n v="-62.850239999999999"/>
    <n v="0"/>
    <x v="1"/>
    <n v="0"/>
    <n v="0"/>
    <n v="44"/>
    <n v="67"/>
    <n v="0"/>
    <n v="62.57"/>
    <n v="242.82"/>
    <m/>
    <n v="75.886085105957733"/>
    <n v="224.53785920244138"/>
    <n v="0"/>
    <n v="-3932.5395168"/>
    <n v="-15261.2952768"/>
    <n v="0"/>
    <n v="-4769.458661569869"/>
    <n v="-14112.25833995965"/>
  </r>
  <r>
    <s v="Regular"/>
    <x v="1"/>
    <x v="3"/>
    <x v="2"/>
    <x v="2"/>
    <x v="0"/>
    <x v="0"/>
    <x v="0"/>
    <x v="7"/>
    <n v="0"/>
    <n v="0"/>
    <n v="1956.866"/>
    <n v="1878.5913599999999"/>
    <n v="1956.866"/>
    <n v="1878.5913599999999"/>
    <n v="0"/>
    <x v="1"/>
    <n v="0"/>
    <n v="0"/>
    <n v="44"/>
    <n v="67"/>
    <n v="0"/>
    <n v="62.57"/>
    <n v="242.82"/>
    <m/>
    <n v="75.886085105957733"/>
    <n v="224.53785920244138"/>
    <n v="0"/>
    <n v="117543.46139519999"/>
    <n v="456159.55403519998"/>
    <n v="0"/>
    <n v="142558.94382427688"/>
    <n v="421814.88229060284"/>
  </r>
  <r>
    <s v="Refaturamento - Regular"/>
    <x v="1"/>
    <x v="3"/>
    <x v="2"/>
    <x v="2"/>
    <x v="0"/>
    <x v="0"/>
    <x v="0"/>
    <x v="7"/>
    <n v="0"/>
    <n v="0"/>
    <n v="7.1749999999999998"/>
    <n v="6.8879999999999999"/>
    <n v="7.1749999999999998"/>
    <n v="6.8879999999999999"/>
    <n v="0"/>
    <x v="1"/>
    <n v="0"/>
    <n v="0"/>
    <n v="44"/>
    <n v="67"/>
    <n v="0"/>
    <n v="62.57"/>
    <n v="242.82"/>
    <m/>
    <n v="75.886085105957733"/>
    <n v="224.53785920244138"/>
    <n v="0"/>
    <n v="430.98216000000002"/>
    <n v="1672.5441599999999"/>
    <n v="0"/>
    <n v="522.7033542098369"/>
    <n v="1546.6167741864163"/>
  </r>
  <r>
    <s v="Regular"/>
    <x v="1"/>
    <x v="3"/>
    <x v="2"/>
    <x v="2"/>
    <x v="0"/>
    <x v="0"/>
    <x v="0"/>
    <x v="8"/>
    <n v="0"/>
    <n v="0"/>
    <n v="1746.6479999999999"/>
    <n v="1676.78208"/>
    <n v="1746.6479999999999"/>
    <n v="1676.78208"/>
    <n v="0"/>
    <x v="1"/>
    <n v="0"/>
    <n v="0"/>
    <n v="44"/>
    <n v="67"/>
    <n v="0"/>
    <n v="62.57"/>
    <n v="242.82"/>
    <m/>
    <n v="75.886085105957733"/>
    <n v="224.53785920244138"/>
    <n v="0"/>
    <n v="104916.2547456"/>
    <n v="407156.22466559999"/>
    <n v="0"/>
    <n v="127244.42762702482"/>
    <n v="376501.05859221681"/>
  </r>
  <r>
    <s v="Refaturamento - Regular"/>
    <x v="1"/>
    <x v="3"/>
    <x v="2"/>
    <x v="2"/>
    <x v="0"/>
    <x v="0"/>
    <x v="0"/>
    <x v="8"/>
    <n v="0"/>
    <n v="0"/>
    <n v="-22.260999999999999"/>
    <n v="-21.370560000000001"/>
    <n v="-22.260999999999999"/>
    <n v="-21.370560000000001"/>
    <n v="0"/>
    <x v="1"/>
    <n v="0"/>
    <n v="0"/>
    <n v="44"/>
    <n v="67"/>
    <n v="0"/>
    <n v="62.57"/>
    <n v="242.82"/>
    <m/>
    <n v="75.886085105957733"/>
    <n v="224.53785920244138"/>
    <n v="0"/>
    <n v="-1337.1559392000001"/>
    <n v="-5189.1993792000003"/>
    <n v="0"/>
    <n v="-1621.7281349219761"/>
    <n v="-4798.4997923573255"/>
  </r>
  <r>
    <s v="Sistema de Compensação"/>
    <x v="1"/>
    <x v="3"/>
    <x v="2"/>
    <x v="2"/>
    <x v="0"/>
    <x v="0"/>
    <x v="0"/>
    <x v="8"/>
    <n v="0"/>
    <n v="0"/>
    <n v="0.41299999999999998"/>
    <n v="0.39647999999999994"/>
    <n v="0.41299999999999998"/>
    <n v="0.39647999999999994"/>
    <n v="0"/>
    <x v="1"/>
    <n v="0"/>
    <n v="0"/>
    <n v="44"/>
    <n v="67"/>
    <n v="0"/>
    <n v="62.57"/>
    <n v="242.82"/>
    <m/>
    <n v="75.886085105957733"/>
    <n v="224.53785920244138"/>
    <n v="0"/>
    <n v="24.807753599999998"/>
    <n v="96.273273599999982"/>
    <n v="0"/>
    <n v="30.087315022810117"/>
    <n v="89.024770416583948"/>
  </r>
  <r>
    <s v="Sistema de Compensação"/>
    <x v="1"/>
    <x v="3"/>
    <x v="2"/>
    <x v="2"/>
    <x v="0"/>
    <x v="0"/>
    <x v="0"/>
    <x v="8"/>
    <n v="0"/>
    <n v="0"/>
    <n v="-32.792000000000002"/>
    <n v="-31.480319999999999"/>
    <n v="-32.792000000000002"/>
    <n v="-31.480319999999999"/>
    <n v="0"/>
    <x v="1"/>
    <n v="0"/>
    <n v="0"/>
    <n v="44"/>
    <n v="67"/>
    <n v="0"/>
    <n v="62.57"/>
    <n v="242.82"/>
    <m/>
    <n v="75.886085105957733"/>
    <n v="224.53785920244138"/>
    <n v="0"/>
    <n v="-1969.7236223999998"/>
    <n v="-7644.0513023999993"/>
    <n v="0"/>
    <n v="-2388.9182426827833"/>
    <n v="-7068.523659807799"/>
  </r>
  <r>
    <s v="Regular"/>
    <x v="1"/>
    <x v="3"/>
    <x v="2"/>
    <x v="2"/>
    <x v="0"/>
    <x v="0"/>
    <x v="0"/>
    <x v="9"/>
    <n v="0"/>
    <n v="0"/>
    <n v="1020.328"/>
    <n v="979.51487999999995"/>
    <n v="1020.328"/>
    <n v="979.51487999999995"/>
    <n v="0"/>
    <x v="1"/>
    <n v="0"/>
    <n v="0"/>
    <n v="44"/>
    <n v="67"/>
    <n v="0"/>
    <n v="62.57"/>
    <n v="242.82"/>
    <m/>
    <n v="75.886085105957733"/>
    <n v="224.53785920244138"/>
    <n v="0"/>
    <n v="61288.246041599996"/>
    <n v="237845.80316159999"/>
    <n v="0"/>
    <n v="74331.549546231967"/>
    <n v="219938.17421213625"/>
  </r>
  <r>
    <s v="Sistema de Compensação"/>
    <x v="1"/>
    <x v="3"/>
    <x v="2"/>
    <x v="2"/>
    <x v="0"/>
    <x v="0"/>
    <x v="0"/>
    <x v="9"/>
    <n v="0"/>
    <n v="0"/>
    <n v="2.202"/>
    <n v="2.1139199999999998"/>
    <n v="2.202"/>
    <n v="2.1139199999999998"/>
    <n v="0"/>
    <x v="1"/>
    <n v="0"/>
    <n v="0"/>
    <n v="44"/>
    <n v="67"/>
    <n v="0"/>
    <n v="62.57"/>
    <n v="242.82"/>
    <m/>
    <n v="75.886085105957733"/>
    <n v="224.53785920244138"/>
    <n v="0"/>
    <n v="132.26797439999999"/>
    <n v="513.30205439999997"/>
    <n v="0"/>
    <n v="160.41711302718616"/>
    <n v="474.65507132522487"/>
  </r>
  <r>
    <s v="Regular"/>
    <x v="1"/>
    <x v="3"/>
    <x v="2"/>
    <x v="2"/>
    <x v="0"/>
    <x v="0"/>
    <x v="0"/>
    <x v="10"/>
    <n v="0"/>
    <n v="0"/>
    <n v="723.52"/>
    <n v="694.57920000000001"/>
    <n v="723.52"/>
    <n v="694.57920000000001"/>
    <n v="0"/>
    <x v="1"/>
    <n v="0"/>
    <n v="0"/>
    <n v="44"/>
    <n v="67"/>
    <n v="0"/>
    <n v="62.57"/>
    <n v="242.82"/>
    <m/>
    <n v="75.886085105957733"/>
    <n v="224.53785920244138"/>
    <n v="0"/>
    <n v="43459.820544000002"/>
    <n v="168657.72134399999"/>
    <n v="0"/>
    <n v="52708.896284028036"/>
    <n v="155959.32661454438"/>
  </r>
  <r>
    <s v="Refaturamento - Regular"/>
    <x v="1"/>
    <x v="3"/>
    <x v="2"/>
    <x v="2"/>
    <x v="0"/>
    <x v="0"/>
    <x v="0"/>
    <x v="10"/>
    <n v="0"/>
    <n v="0"/>
    <n v="-5.359"/>
    <n v="-5.1446399999999999"/>
    <n v="-5.359"/>
    <n v="-5.1446399999999999"/>
    <n v="0"/>
    <x v="1"/>
    <n v="0"/>
    <n v="0"/>
    <n v="44"/>
    <n v="67"/>
    <n v="0"/>
    <n v="62.57"/>
    <n v="242.82"/>
    <m/>
    <n v="75.886085105957733"/>
    <n v="224.53785920244138"/>
    <n v="0"/>
    <n v="-321.90012480000001"/>
    <n v="-1249.2214847999999"/>
    <n v="0"/>
    <n v="-390.4065888795144"/>
    <n v="-1155.1664519672479"/>
  </r>
  <r>
    <s v="PROJETADO"/>
    <x v="1"/>
    <x v="3"/>
    <x v="2"/>
    <x v="2"/>
    <x v="0"/>
    <x v="0"/>
    <x v="0"/>
    <x v="11"/>
    <n v="0"/>
    <n v="0"/>
    <n v="723.52"/>
    <n v="694.57920000000001"/>
    <n v="723.52"/>
    <n v="694.57920000000001"/>
    <n v="0"/>
    <x v="1"/>
    <n v="0"/>
    <n v="0"/>
    <n v="44"/>
    <n v="67"/>
    <n v="0"/>
    <n v="62.57"/>
    <n v="242.82"/>
    <m/>
    <n v="75.886085105957733"/>
    <n v="224.53785920244138"/>
    <n v="0"/>
    <n v="43459.820544000002"/>
    <n v="168657.72134399999"/>
    <n v="0"/>
    <n v="52708.896284028036"/>
    <n v="155959.32661454438"/>
  </r>
  <r>
    <s v="PROJETADO"/>
    <x v="1"/>
    <x v="3"/>
    <x v="2"/>
    <x v="2"/>
    <x v="0"/>
    <x v="0"/>
    <x v="0"/>
    <x v="11"/>
    <n v="0"/>
    <n v="0"/>
    <n v="-5.359"/>
    <n v="-5.1446399999999999"/>
    <n v="-5.359"/>
    <n v="-5.1446399999999999"/>
    <n v="0"/>
    <x v="1"/>
    <n v="0"/>
    <n v="0"/>
    <n v="44"/>
    <n v="67"/>
    <n v="0"/>
    <n v="62.57"/>
    <n v="242.82"/>
    <m/>
    <n v="75.886085105957733"/>
    <n v="224.53785920244138"/>
    <n v="0"/>
    <n v="-321.90012480000001"/>
    <n v="-1249.2214847999999"/>
    <n v="0"/>
    <n v="-390.4065888795144"/>
    <n v="-1155.1664519672479"/>
  </r>
  <r>
    <s v="Regular"/>
    <x v="1"/>
    <x v="3"/>
    <x v="2"/>
    <x v="2"/>
    <x v="0"/>
    <x v="0"/>
    <x v="1"/>
    <x v="0"/>
    <n v="13023"/>
    <n v="12502.08"/>
    <n v="0"/>
    <n v="0"/>
    <n v="0"/>
    <n v="0"/>
    <n v="84"/>
    <x v="1"/>
    <n v="0"/>
    <n v="40"/>
    <n v="0"/>
    <n v="0"/>
    <n v="26.22"/>
    <n v="0"/>
    <n v="0"/>
    <n v="28.891757284072764"/>
    <m/>
    <m/>
    <n v="327804.53759999998"/>
    <n v="0"/>
    <n v="0"/>
    <n v="361207.06090606039"/>
    <n v="0"/>
    <n v="0"/>
  </r>
  <r>
    <s v="Refaturamento - Regular"/>
    <x v="1"/>
    <x v="3"/>
    <x v="2"/>
    <x v="2"/>
    <x v="0"/>
    <x v="0"/>
    <x v="1"/>
    <x v="0"/>
    <n v="-44"/>
    <n v="-42.24"/>
    <n v="0"/>
    <n v="0"/>
    <n v="0"/>
    <n v="0"/>
    <n v="-2"/>
    <x v="1"/>
    <n v="0"/>
    <n v="40"/>
    <n v="0"/>
    <n v="0"/>
    <n v="26.22"/>
    <n v="0"/>
    <n v="0"/>
    <n v="28.891757284072764"/>
    <m/>
    <m/>
    <n v="-1107.5328"/>
    <n v="0"/>
    <n v="0"/>
    <n v="-1220.3878276792336"/>
    <n v="0"/>
    <n v="0"/>
  </r>
  <r>
    <s v="Sistema de Compensação"/>
    <x v="1"/>
    <x v="3"/>
    <x v="2"/>
    <x v="2"/>
    <x v="0"/>
    <x v="0"/>
    <x v="1"/>
    <x v="0"/>
    <n v="152"/>
    <n v="145.91999999999999"/>
    <n v="0"/>
    <n v="0"/>
    <n v="0"/>
    <n v="0"/>
    <n v="2"/>
    <x v="1"/>
    <n v="0"/>
    <n v="40"/>
    <n v="0"/>
    <n v="0"/>
    <n v="26.22"/>
    <n v="0"/>
    <n v="0"/>
    <n v="28.891757284072764"/>
    <m/>
    <m/>
    <n v="3826.0223999999994"/>
    <n v="0"/>
    <n v="0"/>
    <n v="4215.8852228918977"/>
    <n v="0"/>
    <n v="0"/>
  </r>
  <r>
    <s v="Sistema de Compensação"/>
    <x v="1"/>
    <x v="3"/>
    <x v="2"/>
    <x v="2"/>
    <x v="0"/>
    <x v="0"/>
    <x v="1"/>
    <x v="0"/>
    <n v="-22"/>
    <n v="-21.12"/>
    <n v="0"/>
    <n v="0"/>
    <n v="0"/>
    <n v="0"/>
    <n v="-4"/>
    <x v="1"/>
    <n v="0"/>
    <n v="40"/>
    <n v="0"/>
    <n v="0"/>
    <n v="26.22"/>
    <n v="0"/>
    <n v="0"/>
    <n v="28.891757284072764"/>
    <m/>
    <m/>
    <n v="-553.76639999999998"/>
    <n v="0"/>
    <n v="0"/>
    <n v="-610.19391383961681"/>
    <n v="0"/>
    <n v="0"/>
  </r>
  <r>
    <s v="Regular"/>
    <x v="1"/>
    <x v="3"/>
    <x v="2"/>
    <x v="2"/>
    <x v="0"/>
    <x v="0"/>
    <x v="1"/>
    <x v="1"/>
    <n v="12578"/>
    <n v="12074.88"/>
    <n v="0"/>
    <n v="0"/>
    <n v="0"/>
    <n v="0"/>
    <n v="104"/>
    <x v="1"/>
    <n v="0"/>
    <n v="40"/>
    <n v="0"/>
    <n v="0"/>
    <n v="26.22"/>
    <n v="0"/>
    <n v="0"/>
    <n v="28.891757284072764"/>
    <m/>
    <m/>
    <n v="316603.35359999997"/>
    <n v="0"/>
    <n v="0"/>
    <n v="348864.50219430448"/>
    <n v="0"/>
    <n v="0"/>
  </r>
  <r>
    <s v="Sistema de Compensação"/>
    <x v="1"/>
    <x v="3"/>
    <x v="2"/>
    <x v="2"/>
    <x v="0"/>
    <x v="0"/>
    <x v="1"/>
    <x v="1"/>
    <n v="62"/>
    <n v="59.519999999999996"/>
    <n v="0"/>
    <n v="0"/>
    <n v="0"/>
    <n v="0"/>
    <n v="1"/>
    <x v="1"/>
    <n v="0"/>
    <n v="40"/>
    <n v="0"/>
    <n v="0"/>
    <n v="26.22"/>
    <n v="0"/>
    <n v="0"/>
    <n v="28.891757284072764"/>
    <m/>
    <m/>
    <n v="1560.6143999999999"/>
    <n v="0"/>
    <n v="0"/>
    <n v="1719.6373935480108"/>
    <n v="0"/>
    <n v="0"/>
  </r>
  <r>
    <s v="Regular"/>
    <x v="1"/>
    <x v="3"/>
    <x v="2"/>
    <x v="2"/>
    <x v="0"/>
    <x v="0"/>
    <x v="1"/>
    <x v="2"/>
    <n v="16352"/>
    <n v="15697.92"/>
    <n v="0"/>
    <n v="0"/>
    <n v="0"/>
    <n v="0"/>
    <n v="102"/>
    <x v="1"/>
    <n v="0"/>
    <n v="40"/>
    <n v="0"/>
    <n v="0"/>
    <n v="26.22"/>
    <n v="0"/>
    <n v="0"/>
    <n v="28.891757284072764"/>
    <m/>
    <m/>
    <n v="411599.46239999996"/>
    <n v="0"/>
    <n v="0"/>
    <n v="453540.49450479151"/>
    <n v="0"/>
    <n v="0"/>
  </r>
  <r>
    <s v="Refaturamento - Regular"/>
    <x v="1"/>
    <x v="3"/>
    <x v="2"/>
    <x v="2"/>
    <x v="0"/>
    <x v="0"/>
    <x v="1"/>
    <x v="2"/>
    <n v="65"/>
    <n v="62.4"/>
    <n v="0"/>
    <n v="0"/>
    <n v="0"/>
    <n v="0"/>
    <n v="-4"/>
    <x v="1"/>
    <n v="0"/>
    <n v="40"/>
    <n v="0"/>
    <n v="0"/>
    <n v="26.22"/>
    <n v="0"/>
    <n v="0"/>
    <n v="28.891757284072764"/>
    <m/>
    <m/>
    <n v="1636.1279999999999"/>
    <n v="0"/>
    <n v="0"/>
    <n v="1802.8456545261404"/>
    <n v="0"/>
    <n v="0"/>
  </r>
  <r>
    <s v="Sistema de Compensação"/>
    <x v="1"/>
    <x v="3"/>
    <x v="2"/>
    <x v="2"/>
    <x v="0"/>
    <x v="0"/>
    <x v="1"/>
    <x v="2"/>
    <n v="126"/>
    <n v="120.96"/>
    <n v="0"/>
    <n v="0"/>
    <n v="0"/>
    <n v="0"/>
    <n v="1"/>
    <x v="1"/>
    <n v="0"/>
    <n v="40"/>
    <n v="0"/>
    <n v="0"/>
    <n v="26.22"/>
    <n v="0"/>
    <n v="0"/>
    <n v="28.891757284072764"/>
    <m/>
    <m/>
    <n v="3171.5711999999999"/>
    <n v="0"/>
    <n v="0"/>
    <n v="3494.7469610814414"/>
    <n v="0"/>
    <n v="0"/>
  </r>
  <r>
    <s v="Regular"/>
    <x v="1"/>
    <x v="3"/>
    <x v="2"/>
    <x v="2"/>
    <x v="0"/>
    <x v="0"/>
    <x v="1"/>
    <x v="3"/>
    <n v="16067"/>
    <n v="15424.32"/>
    <n v="0"/>
    <n v="0"/>
    <n v="0"/>
    <n v="0"/>
    <n v="109"/>
    <x v="1"/>
    <n v="0"/>
    <n v="40"/>
    <n v="0"/>
    <n v="0"/>
    <n v="26.22"/>
    <n v="0"/>
    <n v="0"/>
    <n v="28.891757284072764"/>
    <m/>
    <m/>
    <n v="404425.6704"/>
    <n v="0"/>
    <n v="0"/>
    <n v="445635.70971186919"/>
    <n v="0"/>
    <n v="0"/>
  </r>
  <r>
    <s v="Refaturamento - Regular"/>
    <x v="1"/>
    <x v="3"/>
    <x v="2"/>
    <x v="2"/>
    <x v="0"/>
    <x v="0"/>
    <x v="1"/>
    <x v="3"/>
    <n v="-46"/>
    <n v="-44.16"/>
    <n v="0"/>
    <n v="0"/>
    <n v="0"/>
    <n v="0"/>
    <n v="-1"/>
    <x v="1"/>
    <n v="0"/>
    <n v="40"/>
    <n v="0"/>
    <n v="0"/>
    <n v="26.22"/>
    <n v="0"/>
    <n v="0"/>
    <n v="28.891757284072764"/>
    <m/>
    <m/>
    <n v="-1157.8751999999999"/>
    <n v="0"/>
    <n v="0"/>
    <n v="-1275.8600016646531"/>
    <n v="0"/>
    <n v="0"/>
  </r>
  <r>
    <s v="Sistema de Compensação"/>
    <x v="1"/>
    <x v="3"/>
    <x v="2"/>
    <x v="2"/>
    <x v="0"/>
    <x v="0"/>
    <x v="1"/>
    <x v="3"/>
    <n v="216"/>
    <n v="207.35999999999999"/>
    <n v="0"/>
    <n v="0"/>
    <n v="0"/>
    <n v="0"/>
    <n v="2"/>
    <x v="1"/>
    <n v="0"/>
    <n v="40"/>
    <n v="0"/>
    <n v="0"/>
    <n v="26.22"/>
    <n v="0"/>
    <n v="0"/>
    <n v="28.891757284072764"/>
    <m/>
    <m/>
    <n v="5436.9791999999998"/>
    <n v="0"/>
    <n v="0"/>
    <n v="5990.9947904253277"/>
    <n v="0"/>
    <n v="0"/>
  </r>
  <r>
    <s v="Sistema de Compensação"/>
    <x v="1"/>
    <x v="3"/>
    <x v="2"/>
    <x v="2"/>
    <x v="0"/>
    <x v="0"/>
    <x v="1"/>
    <x v="3"/>
    <n v="241"/>
    <n v="231.36"/>
    <n v="0"/>
    <n v="0"/>
    <n v="0"/>
    <n v="0"/>
    <n v="1"/>
    <x v="1"/>
    <n v="0"/>
    <n v="40"/>
    <n v="0"/>
    <n v="0"/>
    <n v="26.22"/>
    <n v="0"/>
    <n v="0"/>
    <n v="28.891757284072764"/>
    <m/>
    <m/>
    <n v="6066.2592000000004"/>
    <n v="0"/>
    <n v="0"/>
    <n v="6684.3969652430751"/>
    <n v="0"/>
    <n v="0"/>
  </r>
  <r>
    <s v="Regular"/>
    <x v="1"/>
    <x v="3"/>
    <x v="2"/>
    <x v="2"/>
    <x v="0"/>
    <x v="0"/>
    <x v="1"/>
    <x v="4"/>
    <n v="18098"/>
    <n v="17374.080000000002"/>
    <n v="0"/>
    <n v="0"/>
    <n v="0"/>
    <n v="0"/>
    <n v="109"/>
    <x v="1"/>
    <n v="0"/>
    <n v="40"/>
    <n v="0"/>
    <n v="0"/>
    <n v="26.22"/>
    <n v="0"/>
    <n v="0"/>
    <n v="28.891757284072764"/>
    <m/>
    <m/>
    <n v="455548.37760000001"/>
    <n v="0"/>
    <n v="0"/>
    <n v="501967.70239406294"/>
    <n v="0"/>
    <n v="0"/>
  </r>
  <r>
    <s v="Refaturamento - Regular"/>
    <x v="1"/>
    <x v="3"/>
    <x v="2"/>
    <x v="2"/>
    <x v="0"/>
    <x v="0"/>
    <x v="1"/>
    <x v="4"/>
    <n v="-7"/>
    <n v="-6.72"/>
    <n v="0"/>
    <n v="0"/>
    <n v="0"/>
    <n v="0"/>
    <n v="1"/>
    <x v="1"/>
    <n v="0"/>
    <n v="40"/>
    <n v="0"/>
    <n v="0"/>
    <n v="26.22"/>
    <n v="0"/>
    <n v="0"/>
    <n v="28.891757284072764"/>
    <m/>
    <m/>
    <n v="-176.19839999999999"/>
    <n v="0"/>
    <n v="0"/>
    <n v="-194.15260894896898"/>
    <n v="0"/>
    <n v="0"/>
  </r>
  <r>
    <s v="Sistema de Compensação"/>
    <x v="1"/>
    <x v="3"/>
    <x v="2"/>
    <x v="2"/>
    <x v="0"/>
    <x v="0"/>
    <x v="1"/>
    <x v="4"/>
    <n v="153"/>
    <n v="146.88"/>
    <n v="0"/>
    <n v="0"/>
    <n v="0"/>
    <n v="0"/>
    <n v="2"/>
    <x v="1"/>
    <n v="0"/>
    <n v="40"/>
    <n v="0"/>
    <n v="0"/>
    <n v="26.22"/>
    <n v="0"/>
    <n v="0"/>
    <n v="28.891757284072764"/>
    <m/>
    <m/>
    <n v="3851.1935999999996"/>
    <n v="0"/>
    <n v="0"/>
    <n v="4243.6213098846074"/>
    <n v="0"/>
    <n v="0"/>
  </r>
  <r>
    <s v="Regular"/>
    <x v="1"/>
    <x v="3"/>
    <x v="2"/>
    <x v="2"/>
    <x v="0"/>
    <x v="0"/>
    <x v="1"/>
    <x v="5"/>
    <n v="18151"/>
    <n v="17424.96"/>
    <n v="0"/>
    <n v="0"/>
    <n v="0"/>
    <n v="0"/>
    <n v="109"/>
    <x v="1"/>
    <n v="0"/>
    <n v="40"/>
    <n v="0"/>
    <n v="0"/>
    <n v="26.22"/>
    <n v="0"/>
    <n v="0"/>
    <n v="28.891757284072764"/>
    <m/>
    <m/>
    <n v="456882.45119999995"/>
    <n v="0"/>
    <n v="0"/>
    <n v="503437.71500467655"/>
    <n v="0"/>
    <n v="0"/>
  </r>
  <r>
    <s v="Refaturamento - Regular"/>
    <x v="1"/>
    <x v="3"/>
    <x v="2"/>
    <x v="2"/>
    <x v="0"/>
    <x v="0"/>
    <x v="1"/>
    <x v="5"/>
    <n v="-172"/>
    <n v="-165.12"/>
    <n v="0"/>
    <n v="0"/>
    <n v="0"/>
    <n v="0"/>
    <n v="0"/>
    <x v="1"/>
    <n v="0"/>
    <n v="40"/>
    <n v="0"/>
    <n v="0"/>
    <n v="26.22"/>
    <n v="0"/>
    <n v="0"/>
    <n v="28.891757284072764"/>
    <m/>
    <m/>
    <n v="-4329.4463999999998"/>
    <n v="0"/>
    <n v="0"/>
    <n v="-4770.6069627460947"/>
    <n v="0"/>
    <n v="0"/>
  </r>
  <r>
    <s v="Sistema de Compensação"/>
    <x v="1"/>
    <x v="3"/>
    <x v="2"/>
    <x v="2"/>
    <x v="0"/>
    <x v="0"/>
    <x v="1"/>
    <x v="5"/>
    <n v="129"/>
    <n v="123.83999999999999"/>
    <n v="0"/>
    <n v="0"/>
    <n v="0"/>
    <n v="0"/>
    <n v="2"/>
    <x v="1"/>
    <n v="0"/>
    <n v="40"/>
    <n v="0"/>
    <n v="0"/>
    <n v="26.22"/>
    <n v="0"/>
    <n v="0"/>
    <n v="28.891757284072764"/>
    <m/>
    <m/>
    <n v="3247.0847999999996"/>
    <n v="0"/>
    <n v="0"/>
    <n v="3577.9552220595706"/>
    <n v="0"/>
    <n v="0"/>
  </r>
  <r>
    <s v="Regular"/>
    <x v="1"/>
    <x v="3"/>
    <x v="2"/>
    <x v="2"/>
    <x v="0"/>
    <x v="0"/>
    <x v="1"/>
    <x v="6"/>
    <n v="16868"/>
    <n v="16193.28"/>
    <n v="0"/>
    <n v="0"/>
    <n v="0"/>
    <n v="0"/>
    <n v="117"/>
    <x v="1"/>
    <n v="0"/>
    <n v="40"/>
    <n v="0"/>
    <n v="0"/>
    <n v="26.22"/>
    <n v="0"/>
    <n v="0"/>
    <n v="28.891757284072764"/>
    <m/>
    <m/>
    <n v="424587.80160000001"/>
    <n v="0"/>
    <n v="0"/>
    <n v="467852.31539302983"/>
    <n v="0"/>
    <n v="0"/>
  </r>
  <r>
    <s v="Refaturamento - Regular"/>
    <x v="1"/>
    <x v="3"/>
    <x v="2"/>
    <x v="2"/>
    <x v="0"/>
    <x v="0"/>
    <x v="1"/>
    <x v="6"/>
    <n v="-304"/>
    <n v="-291.83999999999997"/>
    <n v="0"/>
    <n v="0"/>
    <n v="0"/>
    <n v="0"/>
    <n v="-1"/>
    <x v="1"/>
    <n v="0"/>
    <n v="40"/>
    <n v="0"/>
    <n v="0"/>
    <n v="26.22"/>
    <n v="0"/>
    <n v="0"/>
    <n v="28.891757284072764"/>
    <m/>
    <m/>
    <n v="-7652.0447999999988"/>
    <n v="0"/>
    <n v="0"/>
    <n v="-8431.7704457837954"/>
    <n v="0"/>
    <n v="0"/>
  </r>
  <r>
    <s v="Sistema de Compensação"/>
    <x v="1"/>
    <x v="3"/>
    <x v="2"/>
    <x v="2"/>
    <x v="0"/>
    <x v="0"/>
    <x v="1"/>
    <x v="6"/>
    <n v="36"/>
    <n v="34.56"/>
    <n v="0"/>
    <n v="0"/>
    <n v="0"/>
    <n v="0"/>
    <n v="2"/>
    <x v="1"/>
    <n v="0"/>
    <n v="40"/>
    <n v="0"/>
    <n v="0"/>
    <n v="26.22"/>
    <n v="0"/>
    <n v="0"/>
    <n v="28.891757284072764"/>
    <m/>
    <m/>
    <n v="906.16320000000007"/>
    <n v="0"/>
    <n v="0"/>
    <n v="998.49913173755476"/>
    <n v="0"/>
    <n v="0"/>
  </r>
  <r>
    <s v="Regular"/>
    <x v="1"/>
    <x v="3"/>
    <x v="2"/>
    <x v="2"/>
    <x v="0"/>
    <x v="0"/>
    <x v="1"/>
    <x v="7"/>
    <n v="15596"/>
    <n v="14972.16"/>
    <n v="0"/>
    <n v="0"/>
    <n v="0"/>
    <n v="0"/>
    <n v="110"/>
    <x v="1"/>
    <n v="0"/>
    <n v="40"/>
    <n v="0"/>
    <n v="0"/>
    <n v="26.22"/>
    <n v="0"/>
    <n v="0"/>
    <n v="28.891757284072764"/>
    <m/>
    <m/>
    <n v="392570.03519999998"/>
    <n v="0"/>
    <n v="0"/>
    <n v="432572.01273830287"/>
    <n v="0"/>
    <n v="0"/>
  </r>
  <r>
    <s v="Sistema de Compensação"/>
    <x v="1"/>
    <x v="3"/>
    <x v="2"/>
    <x v="2"/>
    <x v="0"/>
    <x v="0"/>
    <x v="1"/>
    <x v="7"/>
    <n v="89"/>
    <n v="85.44"/>
    <n v="0"/>
    <n v="0"/>
    <n v="0"/>
    <n v="0"/>
    <n v="3"/>
    <x v="1"/>
    <n v="0"/>
    <n v="40"/>
    <n v="0"/>
    <n v="0"/>
    <n v="26.22"/>
    <n v="0"/>
    <n v="0"/>
    <n v="28.891757284072764"/>
    <m/>
    <m/>
    <n v="2240.2367999999997"/>
    <n v="0"/>
    <n v="0"/>
    <n v="2468.511742351177"/>
    <n v="0"/>
    <n v="0"/>
  </r>
  <r>
    <s v="Regular"/>
    <x v="1"/>
    <x v="3"/>
    <x v="2"/>
    <x v="2"/>
    <x v="0"/>
    <x v="0"/>
    <x v="1"/>
    <x v="8"/>
    <n v="13951"/>
    <n v="13392.96"/>
    <n v="0"/>
    <n v="0"/>
    <n v="0"/>
    <n v="0"/>
    <n v="112"/>
    <x v="1"/>
    <n v="0"/>
    <n v="40"/>
    <n v="0"/>
    <n v="0"/>
    <n v="26.22"/>
    <n v="0"/>
    <n v="0"/>
    <n v="28.891757284072764"/>
    <m/>
    <m/>
    <n v="351163.41119999997"/>
    <n v="0"/>
    <n v="0"/>
    <n v="386946.14963529515"/>
    <n v="0"/>
    <n v="0"/>
  </r>
  <r>
    <s v="Refaturamento - Regular"/>
    <x v="1"/>
    <x v="3"/>
    <x v="2"/>
    <x v="2"/>
    <x v="0"/>
    <x v="0"/>
    <x v="1"/>
    <x v="8"/>
    <n v="-17"/>
    <n v="-16.32"/>
    <n v="0"/>
    <n v="0"/>
    <n v="0"/>
    <n v="0"/>
    <n v="-1"/>
    <x v="1"/>
    <n v="0"/>
    <n v="40"/>
    <n v="0"/>
    <n v="0"/>
    <n v="26.22"/>
    <n v="0"/>
    <n v="0"/>
    <n v="28.891757284072764"/>
    <m/>
    <m/>
    <n v="-427.91039999999998"/>
    <n v="0"/>
    <n v="0"/>
    <n v="-471.5134788760675"/>
    <n v="0"/>
    <n v="0"/>
  </r>
  <r>
    <s v="Sistema de Compensação"/>
    <x v="1"/>
    <x v="3"/>
    <x v="2"/>
    <x v="2"/>
    <x v="0"/>
    <x v="0"/>
    <x v="1"/>
    <x v="8"/>
    <n v="232"/>
    <n v="222.72"/>
    <n v="0"/>
    <n v="0"/>
    <n v="0"/>
    <n v="0"/>
    <n v="3"/>
    <x v="1"/>
    <n v="0"/>
    <n v="40"/>
    <n v="0"/>
    <n v="0"/>
    <n v="26.22"/>
    <n v="0"/>
    <n v="0"/>
    <n v="28.891757284072764"/>
    <m/>
    <m/>
    <n v="5839.7183999999997"/>
    <n v="0"/>
    <n v="0"/>
    <n v="6434.7721823086858"/>
    <n v="0"/>
    <n v="0"/>
  </r>
  <r>
    <s v="Sistema de Compensação"/>
    <x v="1"/>
    <x v="3"/>
    <x v="2"/>
    <x v="2"/>
    <x v="0"/>
    <x v="0"/>
    <x v="1"/>
    <x v="8"/>
    <n v="575"/>
    <n v="552"/>
    <n v="0"/>
    <n v="0"/>
    <n v="0"/>
    <n v="0"/>
    <n v="6"/>
    <x v="1"/>
    <n v="0"/>
    <n v="40"/>
    <n v="0"/>
    <n v="0"/>
    <n v="26.22"/>
    <n v="0"/>
    <n v="0"/>
    <n v="28.891757284072764"/>
    <m/>
    <m/>
    <n v="14473.439999999999"/>
    <n v="0"/>
    <n v="0"/>
    <n v="15948.250020808166"/>
    <n v="0"/>
    <n v="0"/>
  </r>
  <r>
    <s v="Regular"/>
    <x v="1"/>
    <x v="3"/>
    <x v="2"/>
    <x v="2"/>
    <x v="0"/>
    <x v="0"/>
    <x v="1"/>
    <x v="9"/>
    <n v="10682"/>
    <n v="10254.719999999999"/>
    <n v="0"/>
    <n v="0"/>
    <n v="0"/>
    <n v="0"/>
    <n v="99"/>
    <x v="1"/>
    <n v="0"/>
    <n v="40"/>
    <n v="0"/>
    <n v="0"/>
    <n v="26.22"/>
    <n v="0"/>
    <n v="0"/>
    <n v="28.891757284072764"/>
    <m/>
    <m/>
    <n v="268878.75839999999"/>
    <n v="0"/>
    <n v="0"/>
    <n v="296276.88125612662"/>
    <n v="0"/>
    <n v="0"/>
  </r>
  <r>
    <s v="Sistema de Compensação"/>
    <x v="1"/>
    <x v="3"/>
    <x v="2"/>
    <x v="2"/>
    <x v="0"/>
    <x v="0"/>
    <x v="1"/>
    <x v="9"/>
    <n v="140"/>
    <n v="134.4"/>
    <n v="0"/>
    <n v="0"/>
    <n v="0"/>
    <n v="0"/>
    <n v="3"/>
    <x v="1"/>
    <n v="0"/>
    <n v="40"/>
    <n v="0"/>
    <n v="0"/>
    <n v="26.22"/>
    <n v="0"/>
    <n v="0"/>
    <n v="28.891757284072764"/>
    <m/>
    <m/>
    <n v="3523.9679999999998"/>
    <n v="0"/>
    <n v="0"/>
    <n v="3883.0521789793797"/>
    <n v="0"/>
    <n v="0"/>
  </r>
  <r>
    <s v="Regular"/>
    <x v="1"/>
    <x v="3"/>
    <x v="2"/>
    <x v="2"/>
    <x v="0"/>
    <x v="0"/>
    <x v="1"/>
    <x v="10"/>
    <n v="8574"/>
    <n v="8231.0400000000009"/>
    <n v="0"/>
    <n v="0"/>
    <n v="0"/>
    <n v="0"/>
    <n v="94"/>
    <x v="1"/>
    <n v="0"/>
    <n v="40"/>
    <n v="0"/>
    <n v="0"/>
    <n v="26.22"/>
    <n v="0"/>
    <n v="0"/>
    <n v="28.891757284072764"/>
    <m/>
    <m/>
    <n v="215817.86880000003"/>
    <n v="0"/>
    <n v="0"/>
    <n v="237809.2098754943"/>
    <n v="0"/>
    <n v="0"/>
  </r>
  <r>
    <s v="Refaturamento - Regular"/>
    <x v="1"/>
    <x v="3"/>
    <x v="2"/>
    <x v="2"/>
    <x v="0"/>
    <x v="0"/>
    <x v="1"/>
    <x v="10"/>
    <n v="272"/>
    <n v="261.12"/>
    <n v="0"/>
    <n v="0"/>
    <n v="0"/>
    <n v="0"/>
    <n v="0"/>
    <x v="1"/>
    <n v="0"/>
    <n v="40"/>
    <n v="0"/>
    <n v="0"/>
    <n v="26.22"/>
    <n v="0"/>
    <n v="0"/>
    <n v="28.891757284072764"/>
    <m/>
    <m/>
    <n v="6846.5663999999997"/>
    <n v="0"/>
    <n v="0"/>
    <n v="7544.2156620170799"/>
    <n v="0"/>
    <n v="0"/>
  </r>
  <r>
    <s v="Sistema de Compensação"/>
    <x v="1"/>
    <x v="3"/>
    <x v="2"/>
    <x v="2"/>
    <x v="0"/>
    <x v="0"/>
    <x v="1"/>
    <x v="10"/>
    <n v="47"/>
    <n v="45.12"/>
    <n v="0"/>
    <n v="0"/>
    <n v="0"/>
    <n v="0"/>
    <n v="3"/>
    <x v="1"/>
    <n v="0"/>
    <n v="40"/>
    <n v="0"/>
    <n v="0"/>
    <n v="26.22"/>
    <n v="0"/>
    <n v="0"/>
    <n v="28.891757284072764"/>
    <m/>
    <m/>
    <n v="1183.0463999999999"/>
    <n v="0"/>
    <n v="0"/>
    <n v="1303.596088657363"/>
    <n v="0"/>
    <n v="0"/>
  </r>
  <r>
    <s v="PROJETADO"/>
    <x v="1"/>
    <x v="3"/>
    <x v="2"/>
    <x v="2"/>
    <x v="0"/>
    <x v="0"/>
    <x v="1"/>
    <x v="11"/>
    <n v="8574"/>
    <n v="8231.0400000000009"/>
    <n v="0"/>
    <n v="0"/>
    <n v="0"/>
    <n v="0"/>
    <n v="94"/>
    <x v="1"/>
    <n v="0"/>
    <n v="40"/>
    <n v="0"/>
    <n v="0"/>
    <n v="26.22"/>
    <n v="0"/>
    <n v="0"/>
    <n v="28.891757284072764"/>
    <m/>
    <m/>
    <n v="215817.86880000003"/>
    <n v="0"/>
    <n v="0"/>
    <n v="237809.2098754943"/>
    <n v="0"/>
    <n v="0"/>
  </r>
  <r>
    <s v="PROJETADO"/>
    <x v="1"/>
    <x v="3"/>
    <x v="2"/>
    <x v="2"/>
    <x v="0"/>
    <x v="0"/>
    <x v="1"/>
    <x v="11"/>
    <n v="272"/>
    <n v="261.12"/>
    <n v="0"/>
    <n v="0"/>
    <n v="0"/>
    <n v="0"/>
    <n v="0"/>
    <x v="1"/>
    <n v="0"/>
    <n v="40"/>
    <n v="0"/>
    <n v="0"/>
    <n v="26.22"/>
    <n v="0"/>
    <n v="0"/>
    <n v="28.891757284072764"/>
    <m/>
    <m/>
    <n v="6846.5663999999997"/>
    <n v="0"/>
    <n v="0"/>
    <n v="7544.2156620170799"/>
    <n v="0"/>
    <n v="0"/>
  </r>
  <r>
    <s v="PROJETADO"/>
    <x v="1"/>
    <x v="3"/>
    <x v="2"/>
    <x v="2"/>
    <x v="0"/>
    <x v="0"/>
    <x v="1"/>
    <x v="11"/>
    <n v="47"/>
    <n v="45.12"/>
    <n v="0"/>
    <n v="0"/>
    <n v="0"/>
    <n v="0"/>
    <n v="3"/>
    <x v="1"/>
    <n v="0"/>
    <n v="40"/>
    <n v="0"/>
    <n v="0"/>
    <n v="26.22"/>
    <n v="0"/>
    <n v="0"/>
    <n v="28.891757284072764"/>
    <m/>
    <m/>
    <n v="1183.0463999999999"/>
    <n v="0"/>
    <n v="0"/>
    <n v="1303.596088657363"/>
    <n v="0"/>
    <n v="0"/>
  </r>
  <r>
    <s v="Regular"/>
    <x v="1"/>
    <x v="3"/>
    <x v="2"/>
    <x v="2"/>
    <x v="0"/>
    <x v="0"/>
    <x v="2"/>
    <x v="0"/>
    <n v="0"/>
    <n v="0"/>
    <n v="47.573999999999998"/>
    <n v="45.671039999999998"/>
    <n v="47.573999999999998"/>
    <n v="45.671039999999998"/>
    <n v="0"/>
    <x v="1"/>
    <n v="0"/>
    <n v="0"/>
    <n v="42"/>
    <n v="66"/>
    <n v="0"/>
    <n v="1330.19"/>
    <n v="397.62"/>
    <m/>
    <n v="1471.0742690262982"/>
    <n v="351.67159959099928"/>
    <n v="0"/>
    <n v="60751.160697599997"/>
    <n v="18159.7189248"/>
    <n v="0"/>
    <n v="67185.491783670819"/>
    <n v="16061.207691784512"/>
  </r>
  <r>
    <s v="Sistema de Compensação"/>
    <x v="1"/>
    <x v="3"/>
    <x v="2"/>
    <x v="2"/>
    <x v="0"/>
    <x v="0"/>
    <x v="2"/>
    <x v="0"/>
    <n v="0"/>
    <n v="0"/>
    <n v="5.0999999999999997E-2"/>
    <n v="4.8959999999999997E-2"/>
    <n v="5.0999999999999997E-2"/>
    <n v="4.8959999999999997E-2"/>
    <n v="0"/>
    <x v="1"/>
    <n v="0"/>
    <n v="0"/>
    <n v="42"/>
    <n v="66"/>
    <n v="0"/>
    <n v="1330.19"/>
    <n v="397.62"/>
    <m/>
    <n v="1471.0742690262982"/>
    <n v="351.67159959099928"/>
    <n v="0"/>
    <n v="65.126102399999994"/>
    <n v="19.467475199999999"/>
    <n v="0"/>
    <n v="72.023796211527554"/>
    <n v="17.217841515975323"/>
  </r>
  <r>
    <s v="Regular"/>
    <x v="1"/>
    <x v="3"/>
    <x v="2"/>
    <x v="2"/>
    <x v="0"/>
    <x v="0"/>
    <x v="2"/>
    <x v="1"/>
    <n v="0"/>
    <n v="0"/>
    <n v="53.497"/>
    <n v="51.357120000000002"/>
    <n v="53.497"/>
    <n v="51.357120000000002"/>
    <n v="0"/>
    <x v="1"/>
    <n v="0"/>
    <n v="0"/>
    <n v="42"/>
    <n v="66"/>
    <n v="0"/>
    <n v="1330.19"/>
    <n v="397.62"/>
    <m/>
    <n v="1471.0742690262982"/>
    <n v="351.67159959099928"/>
    <n v="0"/>
    <n v="68314.727452800013"/>
    <n v="20420.618054400002"/>
    <n v="0"/>
    <n v="75550.13776329589"/>
    <n v="18060.840540786903"/>
  </r>
  <r>
    <s v="Regular"/>
    <x v="1"/>
    <x v="3"/>
    <x v="2"/>
    <x v="2"/>
    <x v="0"/>
    <x v="0"/>
    <x v="2"/>
    <x v="2"/>
    <n v="0"/>
    <n v="0"/>
    <n v="83.451999999999998"/>
    <n v="80.113919999999993"/>
    <n v="83.451999999999998"/>
    <n v="80.113919999999993"/>
    <n v="0"/>
    <x v="1"/>
    <n v="0"/>
    <n v="0"/>
    <n v="42"/>
    <n v="66"/>
    <n v="0"/>
    <n v="1330.19"/>
    <n v="397.62"/>
    <m/>
    <n v="1471.0742690262982"/>
    <n v="351.67159959099928"/>
    <n v="0"/>
    <n v="106566.7352448"/>
    <n v="31854.896870399996"/>
    <n v="0"/>
    <n v="117853.52630283132"/>
    <n v="28173.790395905347"/>
  </r>
  <r>
    <s v="Refaturamento - Regular"/>
    <x v="1"/>
    <x v="3"/>
    <x v="2"/>
    <x v="2"/>
    <x v="0"/>
    <x v="0"/>
    <x v="2"/>
    <x v="2"/>
    <n v="0"/>
    <n v="0"/>
    <n v="-0.56699999999999995"/>
    <n v="-0.54432000000000003"/>
    <n v="-0.56699999999999995"/>
    <n v="-0.54432000000000003"/>
    <n v="0"/>
    <x v="1"/>
    <n v="0"/>
    <n v="0"/>
    <n v="42"/>
    <n v="66"/>
    <n v="0"/>
    <n v="1330.19"/>
    <n v="397.62"/>
    <m/>
    <n v="1471.0742690262982"/>
    <n v="351.67159959099928"/>
    <n v="0"/>
    <n v="-724.04902080000011"/>
    <n v="-216.43251840000002"/>
    <n v="0"/>
    <n v="-800.73514611639473"/>
    <n v="-191.42188508937275"/>
  </r>
  <r>
    <s v="Regular"/>
    <x v="1"/>
    <x v="3"/>
    <x v="2"/>
    <x v="2"/>
    <x v="0"/>
    <x v="0"/>
    <x v="2"/>
    <x v="3"/>
    <n v="0"/>
    <n v="0"/>
    <n v="125.313"/>
    <n v="120.30047999999999"/>
    <n v="125.313"/>
    <n v="120.30047999999999"/>
    <n v="0"/>
    <x v="1"/>
    <n v="0"/>
    <n v="0"/>
    <n v="42"/>
    <n v="66"/>
    <n v="0"/>
    <n v="1330.19"/>
    <n v="397.62"/>
    <m/>
    <n v="1471.0742690262982"/>
    <n v="351.67159959099928"/>
    <n v="0"/>
    <n v="160022.49549120001"/>
    <n v="47833.8768576"/>
    <n v="0"/>
    <n v="176970.9406795128"/>
    <n v="42306.262233165013"/>
  </r>
  <r>
    <s v="Refaturamento - Regular"/>
    <x v="1"/>
    <x v="3"/>
    <x v="2"/>
    <x v="2"/>
    <x v="0"/>
    <x v="0"/>
    <x v="2"/>
    <x v="3"/>
    <n v="0"/>
    <n v="0"/>
    <n v="-10.221"/>
    <n v="-9.8121600000000004"/>
    <n v="-10.221"/>
    <n v="-9.8121600000000004"/>
    <n v="0"/>
    <x v="1"/>
    <n v="0"/>
    <n v="0"/>
    <n v="42"/>
    <n v="66"/>
    <n v="0"/>
    <n v="1330.19"/>
    <n v="397.62"/>
    <m/>
    <n v="1471.0742690262982"/>
    <n v="351.67159959099928"/>
    <n v="0"/>
    <n v="-13052.037110400001"/>
    <n v="-3901.5110592000001"/>
    <n v="0"/>
    <n v="-14434.416099569084"/>
    <n v="-3450.6580026428196"/>
  </r>
  <r>
    <s v="Sistema de Compensação"/>
    <x v="1"/>
    <x v="3"/>
    <x v="2"/>
    <x v="2"/>
    <x v="0"/>
    <x v="0"/>
    <x v="2"/>
    <x v="3"/>
    <n v="0"/>
    <n v="0"/>
    <n v="0.41"/>
    <n v="0.39359999999999995"/>
    <n v="0.41"/>
    <n v="0.39359999999999995"/>
    <n v="0"/>
    <x v="1"/>
    <n v="0"/>
    <n v="0"/>
    <n v="42"/>
    <n v="66"/>
    <n v="0"/>
    <n v="1330.19"/>
    <n v="397.62"/>
    <m/>
    <n v="1471.0742690262982"/>
    <n v="351.67159959099928"/>
    <n v="0"/>
    <n v="523.56278399999997"/>
    <n v="156.50323199999997"/>
    <n v="0"/>
    <n v="579.01483228875088"/>
    <n v="138.4179415990173"/>
  </r>
  <r>
    <s v="Sistema de Compensação"/>
    <x v="1"/>
    <x v="3"/>
    <x v="2"/>
    <x v="2"/>
    <x v="0"/>
    <x v="0"/>
    <x v="2"/>
    <x v="3"/>
    <n v="0"/>
    <n v="0"/>
    <n v="0.32800000000000001"/>
    <n v="0.31487999999999999"/>
    <n v="0.32800000000000001"/>
    <n v="0.31487999999999999"/>
    <n v="0"/>
    <x v="1"/>
    <n v="0"/>
    <n v="0"/>
    <n v="42"/>
    <n v="66"/>
    <n v="0"/>
    <n v="1330.19"/>
    <n v="397.62"/>
    <m/>
    <n v="1471.0742690262982"/>
    <n v="351.67159959099928"/>
    <n v="0"/>
    <n v="418.85022720000001"/>
    <n v="125.20258559999999"/>
    <n v="0"/>
    <n v="463.21186583100075"/>
    <n v="110.73435327921385"/>
  </r>
  <r>
    <s v="Regular"/>
    <x v="1"/>
    <x v="3"/>
    <x v="2"/>
    <x v="2"/>
    <x v="0"/>
    <x v="0"/>
    <x v="2"/>
    <x v="4"/>
    <n v="0"/>
    <n v="0"/>
    <n v="150.51900000000001"/>
    <n v="144.49824000000001"/>
    <n v="150.51900000000001"/>
    <n v="144.49824000000001"/>
    <n v="0"/>
    <x v="1"/>
    <n v="0"/>
    <n v="0"/>
    <n v="42"/>
    <n v="66"/>
    <n v="0"/>
    <n v="1330.19"/>
    <n v="397.62"/>
    <m/>
    <n v="1471.0742690262982"/>
    <n v="351.67159959099928"/>
    <n v="0"/>
    <n v="192210.11386560003"/>
    <n v="57455.390188800004"/>
    <n v="0"/>
    <n v="212567.64278358663"/>
    <n v="50815.927198884121"/>
  </r>
  <r>
    <s v="Refaturamento - Regular"/>
    <x v="1"/>
    <x v="3"/>
    <x v="2"/>
    <x v="2"/>
    <x v="0"/>
    <x v="0"/>
    <x v="2"/>
    <x v="4"/>
    <n v="0"/>
    <n v="0"/>
    <n v="-5.5469999999999997"/>
    <n v="-5.3251200000000001"/>
    <n v="-5.5469999999999997"/>
    <n v="-5.3251200000000001"/>
    <n v="0"/>
    <x v="1"/>
    <n v="0"/>
    <n v="0"/>
    <n v="42"/>
    <n v="66"/>
    <n v="0"/>
    <n v="1330.19"/>
    <n v="397.62"/>
    <m/>
    <n v="1471.0742690262982"/>
    <n v="351.67159959099928"/>
    <n v="0"/>
    <n v="-7083.4213728000004"/>
    <n v="-2117.3742144000003"/>
    <n v="0"/>
    <n v="-7833.647011477321"/>
    <n v="-1872.6934684140222"/>
  </r>
  <r>
    <s v="Sistema de Compensação"/>
    <x v="1"/>
    <x v="3"/>
    <x v="2"/>
    <x v="2"/>
    <x v="0"/>
    <x v="0"/>
    <x v="2"/>
    <x v="4"/>
    <n v="0"/>
    <n v="0"/>
    <n v="8.2000000000000003E-2"/>
    <n v="7.8719999999999998E-2"/>
    <n v="8.2000000000000003E-2"/>
    <n v="7.8719999999999998E-2"/>
    <n v="0"/>
    <x v="1"/>
    <n v="0"/>
    <n v="0"/>
    <n v="42"/>
    <n v="66"/>
    <n v="0"/>
    <n v="1330.19"/>
    <n v="397.62"/>
    <m/>
    <n v="1471.0742690262982"/>
    <n v="351.67159959099928"/>
    <n v="0"/>
    <n v="104.7125568"/>
    <n v="31.300646399999998"/>
    <n v="0"/>
    <n v="115.80296645775019"/>
    <n v="27.683588319803462"/>
  </r>
  <r>
    <s v="Regular"/>
    <x v="1"/>
    <x v="3"/>
    <x v="2"/>
    <x v="2"/>
    <x v="0"/>
    <x v="0"/>
    <x v="2"/>
    <x v="5"/>
    <n v="0"/>
    <n v="0"/>
    <n v="120.78400000000001"/>
    <n v="115.95264"/>
    <n v="120.78400000000001"/>
    <n v="115.95264"/>
    <n v="0"/>
    <x v="1"/>
    <n v="0"/>
    <n v="0"/>
    <n v="42"/>
    <n v="66"/>
    <n v="0"/>
    <n v="1330.19"/>
    <n v="397.62"/>
    <m/>
    <n v="1471.0742690262982"/>
    <n v="351.67159959099928"/>
    <n v="0"/>
    <n v="154239.04220160001"/>
    <n v="46105.088716800004"/>
    <n v="0"/>
    <n v="170574.9451296695"/>
    <n v="40777.250385599291"/>
  </r>
  <r>
    <s v="Refaturamento - Regular"/>
    <x v="1"/>
    <x v="3"/>
    <x v="2"/>
    <x v="2"/>
    <x v="0"/>
    <x v="0"/>
    <x v="2"/>
    <x v="5"/>
    <n v="0"/>
    <n v="0"/>
    <n v="-1.861"/>
    <n v="-1.7865599999999999"/>
    <n v="-1.861"/>
    <n v="-1.7865599999999999"/>
    <n v="0"/>
    <x v="1"/>
    <n v="0"/>
    <n v="0"/>
    <n v="42"/>
    <n v="66"/>
    <n v="0"/>
    <n v="1330.19"/>
    <n v="397.62"/>
    <m/>
    <n v="1471.0742690262982"/>
    <n v="351.67159959099928"/>
    <n v="0"/>
    <n v="-2376.4642463999999"/>
    <n v="-710.37198720000004"/>
    <n v="0"/>
    <n v="-2628.1624460716234"/>
    <n v="-628.28241296529563"/>
  </r>
  <r>
    <s v="Regular"/>
    <x v="1"/>
    <x v="3"/>
    <x v="2"/>
    <x v="2"/>
    <x v="0"/>
    <x v="0"/>
    <x v="2"/>
    <x v="6"/>
    <n v="0"/>
    <n v="0"/>
    <n v="97.376999999999995"/>
    <n v="93.481920000000002"/>
    <n v="97.376999999999995"/>
    <n v="93.481920000000002"/>
    <n v="0"/>
    <x v="1"/>
    <n v="0"/>
    <n v="0"/>
    <n v="42"/>
    <n v="66"/>
    <n v="0"/>
    <n v="1330.19"/>
    <n v="397.62"/>
    <m/>
    <n v="1471.0742690262982"/>
    <n v="351.67159959099928"/>
    <n v="0"/>
    <n v="124348.71516480001"/>
    <n v="37170.281030400001"/>
    <n v="0"/>
    <n v="137518.8471311749"/>
    <n v="32874.936339237829"/>
  </r>
  <r>
    <s v="Refaturamento - Regular"/>
    <x v="1"/>
    <x v="3"/>
    <x v="2"/>
    <x v="2"/>
    <x v="0"/>
    <x v="0"/>
    <x v="2"/>
    <x v="6"/>
    <n v="0"/>
    <n v="0"/>
    <n v="-1.9E-2"/>
    <n v="-1.8239999999999999E-2"/>
    <n v="-1.9E-2"/>
    <n v="-1.8239999999999999E-2"/>
    <n v="0"/>
    <x v="1"/>
    <n v="0"/>
    <n v="0"/>
    <n v="42"/>
    <n v="66"/>
    <n v="0"/>
    <n v="1330.19"/>
    <n v="397.62"/>
    <m/>
    <n v="1471.0742690262982"/>
    <n v="351.67159959099928"/>
    <n v="0"/>
    <n v="-24.262665599999998"/>
    <n v="-7.2525887999999998"/>
    <n v="0"/>
    <n v="-26.832394667039679"/>
    <n v="-6.4144899765398264"/>
  </r>
  <r>
    <s v="Regular"/>
    <x v="1"/>
    <x v="3"/>
    <x v="2"/>
    <x v="2"/>
    <x v="0"/>
    <x v="0"/>
    <x v="2"/>
    <x v="7"/>
    <n v="0"/>
    <n v="0"/>
    <n v="91.048000000000002"/>
    <n v="87.406080000000003"/>
    <n v="91.048000000000002"/>
    <n v="87.406080000000003"/>
    <n v="0"/>
    <x v="1"/>
    <n v="0"/>
    <n v="0"/>
    <n v="42"/>
    <n v="66"/>
    <n v="0"/>
    <n v="1330.19"/>
    <n v="397.62"/>
    <m/>
    <n v="1471.0742690262982"/>
    <n v="351.67159959099928"/>
    <n v="0"/>
    <n v="116266.69355520001"/>
    <n v="34754.405529600001"/>
    <n v="0"/>
    <n v="128580.83524445415"/>
    <n v="30738.23596757885"/>
  </r>
  <r>
    <s v="Regular"/>
    <x v="1"/>
    <x v="3"/>
    <x v="2"/>
    <x v="2"/>
    <x v="0"/>
    <x v="0"/>
    <x v="2"/>
    <x v="8"/>
    <n v="0"/>
    <n v="0"/>
    <n v="87.200999999999993"/>
    <n v="83.712959999999995"/>
    <n v="87.200999999999993"/>
    <n v="83.712959999999995"/>
    <n v="0"/>
    <x v="1"/>
    <n v="0"/>
    <n v="0"/>
    <n v="42"/>
    <n v="66"/>
    <n v="0"/>
    <n v="1330.19"/>
    <n v="397.62"/>
    <m/>
    <n v="1471.0742690262982"/>
    <n v="351.67159959099928"/>
    <n v="0"/>
    <n v="111354.1422624"/>
    <n v="33285.947155199996"/>
    <n v="0"/>
    <n v="123147.98144002774"/>
    <n v="29439.470549697337"/>
  </r>
  <r>
    <s v="Refaturamento - Regular"/>
    <x v="1"/>
    <x v="3"/>
    <x v="2"/>
    <x v="2"/>
    <x v="0"/>
    <x v="0"/>
    <x v="2"/>
    <x v="8"/>
    <n v="0"/>
    <n v="0"/>
    <n v="-2.931"/>
    <n v="-2.8137599999999998"/>
    <n v="-2.931"/>
    <n v="-2.8137599999999998"/>
    <n v="0"/>
    <x v="1"/>
    <n v="0"/>
    <n v="0"/>
    <n v="42"/>
    <n v="66"/>
    <n v="0"/>
    <n v="1330.19"/>
    <n v="397.62"/>
    <m/>
    <n v="1471.0742690262982"/>
    <n v="351.67159959099928"/>
    <n v="0"/>
    <n v="-3742.8354144"/>
    <n v="-1118.8072511999999"/>
    <n v="0"/>
    <n v="-4139.2499352154364"/>
    <n v="-989.51948006517011"/>
  </r>
  <r>
    <s v="Sistema de Compensação"/>
    <x v="1"/>
    <x v="3"/>
    <x v="2"/>
    <x v="2"/>
    <x v="0"/>
    <x v="0"/>
    <x v="2"/>
    <x v="8"/>
    <n v="0"/>
    <n v="0"/>
    <n v="0.89"/>
    <n v="0.85439999999999994"/>
    <n v="0.89"/>
    <n v="0.85439999999999994"/>
    <n v="0"/>
    <x v="1"/>
    <n v="0"/>
    <n v="0"/>
    <n v="42"/>
    <n v="66"/>
    <n v="0"/>
    <n v="1330.19"/>
    <n v="397.62"/>
    <m/>
    <n v="1471.0742690262982"/>
    <n v="351.67159959099928"/>
    <n v="0"/>
    <n v="1136.514336"/>
    <n v="339.72652799999997"/>
    <n v="0"/>
    <n v="1256.8858554560691"/>
    <n v="300.46821469054976"/>
  </r>
  <r>
    <s v="Regular"/>
    <x v="1"/>
    <x v="3"/>
    <x v="2"/>
    <x v="2"/>
    <x v="0"/>
    <x v="0"/>
    <x v="2"/>
    <x v="9"/>
    <n v="0"/>
    <n v="0"/>
    <n v="43.365000000000002"/>
    <n v="41.630400000000002"/>
    <n v="43.365000000000002"/>
    <n v="41.630400000000002"/>
    <n v="0"/>
    <x v="1"/>
    <n v="0"/>
    <n v="0"/>
    <n v="42"/>
    <n v="66"/>
    <n v="0"/>
    <n v="1330.19"/>
    <n v="397.62"/>
    <m/>
    <n v="1471.0742690262982"/>
    <n v="351.67159959099928"/>
    <n v="0"/>
    <n v="55376.341776000001"/>
    <n v="16553.079648000003"/>
    <n v="0"/>
    <n v="61241.410249272405"/>
    <n v="14640.229359613137"/>
  </r>
  <r>
    <s v="Sistema de Compensação"/>
    <x v="1"/>
    <x v="3"/>
    <x v="2"/>
    <x v="2"/>
    <x v="0"/>
    <x v="0"/>
    <x v="2"/>
    <x v="9"/>
    <n v="0"/>
    <n v="0"/>
    <n v="1.7889999999999999"/>
    <n v="1.7174399999999999"/>
    <n v="1.7889999999999999"/>
    <n v="1.7174399999999999"/>
    <n v="0"/>
    <x v="1"/>
    <n v="0"/>
    <n v="0"/>
    <n v="42"/>
    <n v="66"/>
    <n v="0"/>
    <n v="1330.19"/>
    <n v="397.62"/>
    <m/>
    <n v="1471.0742690262982"/>
    <n v="351.67159959099928"/>
    <n v="0"/>
    <n v="2284.5215135999997"/>
    <n v="682.88849279999999"/>
    <n v="0"/>
    <n v="2526.4817925965253"/>
    <n v="603.9748720015657"/>
  </r>
  <r>
    <s v="Regular"/>
    <x v="1"/>
    <x v="3"/>
    <x v="2"/>
    <x v="2"/>
    <x v="0"/>
    <x v="0"/>
    <x v="2"/>
    <x v="10"/>
    <n v="0"/>
    <n v="0"/>
    <n v="42.155000000000001"/>
    <n v="40.468800000000002"/>
    <n v="42.155000000000001"/>
    <n v="40.468800000000002"/>
    <n v="0"/>
    <x v="1"/>
    <n v="0"/>
    <n v="0"/>
    <n v="42"/>
    <n v="66"/>
    <n v="0"/>
    <n v="1330.19"/>
    <n v="397.62"/>
    <m/>
    <n v="1471.0742690262982"/>
    <n v="351.67159959099928"/>
    <n v="0"/>
    <n v="53831.193072000002"/>
    <n v="16091.204256000001"/>
    <n v="0"/>
    <n v="59532.610378371457"/>
    <n v="14231.727629528232"/>
  </r>
  <r>
    <s v="Refaturamento - Regular"/>
    <x v="1"/>
    <x v="3"/>
    <x v="2"/>
    <x v="2"/>
    <x v="0"/>
    <x v="0"/>
    <x v="2"/>
    <x v="10"/>
    <n v="0"/>
    <n v="0"/>
    <n v="-5.8000000000000003E-2"/>
    <n v="-5.568E-2"/>
    <n v="-5.8000000000000003E-2"/>
    <n v="-5.568E-2"/>
    <n v="0"/>
    <x v="1"/>
    <n v="0"/>
    <n v="0"/>
    <n v="42"/>
    <n v="66"/>
    <n v="0"/>
    <n v="1330.19"/>
    <n v="397.62"/>
    <m/>
    <n v="1471.0742690262982"/>
    <n v="351.67159959099928"/>
    <n v="0"/>
    <n v="-74.06497920000001"/>
    <n v="-22.1394816"/>
    <n v="0"/>
    <n v="-81.909415299384293"/>
    <n v="-19.58107466522684"/>
  </r>
  <r>
    <s v="PROJETADO"/>
    <x v="1"/>
    <x v="3"/>
    <x v="2"/>
    <x v="2"/>
    <x v="0"/>
    <x v="0"/>
    <x v="2"/>
    <x v="11"/>
    <n v="0"/>
    <n v="0"/>
    <n v="42.155000000000001"/>
    <n v="40.468800000000002"/>
    <n v="42.155000000000001"/>
    <n v="40.468800000000002"/>
    <n v="0"/>
    <x v="1"/>
    <n v="0"/>
    <n v="0"/>
    <n v="42"/>
    <n v="66"/>
    <n v="0"/>
    <n v="1330.19"/>
    <n v="397.62"/>
    <m/>
    <n v="1471.0742690262982"/>
    <n v="351.67159959099928"/>
    <n v="0"/>
    <n v="53831.193072000002"/>
    <n v="16091.204256000001"/>
    <n v="0"/>
    <n v="59532.610378371457"/>
    <n v="14231.727629528232"/>
  </r>
  <r>
    <s v="PROJETADO"/>
    <x v="1"/>
    <x v="3"/>
    <x v="2"/>
    <x v="2"/>
    <x v="0"/>
    <x v="0"/>
    <x v="2"/>
    <x v="11"/>
    <n v="0"/>
    <n v="0"/>
    <n v="-5.8000000000000003E-2"/>
    <n v="-5.568E-2"/>
    <n v="-5.8000000000000003E-2"/>
    <n v="-5.568E-2"/>
    <n v="0"/>
    <x v="1"/>
    <n v="0"/>
    <n v="0"/>
    <n v="42"/>
    <n v="66"/>
    <n v="0"/>
    <n v="1330.19"/>
    <n v="397.62"/>
    <m/>
    <n v="1471.0742690262982"/>
    <n v="351.67159959099928"/>
    <n v="0"/>
    <n v="-74.06497920000001"/>
    <n v="-22.1394816"/>
    <n v="0"/>
    <n v="-81.909415299384293"/>
    <n v="-19.58107466522684"/>
  </r>
  <r>
    <s v="Regular"/>
    <x v="1"/>
    <x v="3"/>
    <x v="2"/>
    <x v="0"/>
    <x v="0"/>
    <x v="0"/>
    <x v="0"/>
    <x v="0"/>
    <n v="0"/>
    <n v="0"/>
    <n v="1229.2660000000001"/>
    <n v="1180.09536"/>
    <n v="1229.2660000000001"/>
    <n v="1180.09536"/>
    <n v="0"/>
    <x v="1"/>
    <n v="0"/>
    <n v="0"/>
    <n v="44"/>
    <n v="67"/>
    <n v="0"/>
    <n v="62.57"/>
    <n v="242.82"/>
    <m/>
    <n v="75.886085105957733"/>
    <n v="224.53785920244138"/>
    <n v="0"/>
    <n v="73838.566675199996"/>
    <n v="286550.75531520002"/>
    <n v="0"/>
    <n v="89552.816922105834"/>
    <n v="264976.08578913438"/>
  </r>
  <r>
    <s v="Sistema de Compensação"/>
    <x v="1"/>
    <x v="3"/>
    <x v="2"/>
    <x v="0"/>
    <x v="0"/>
    <x v="0"/>
    <x v="0"/>
    <x v="0"/>
    <n v="0"/>
    <n v="0"/>
    <n v="39.07"/>
    <n v="37.507199999999997"/>
    <n v="39.07"/>
    <n v="37.507199999999997"/>
    <n v="0"/>
    <x v="1"/>
    <n v="0"/>
    <n v="0"/>
    <n v="44"/>
    <n v="67"/>
    <n v="0"/>
    <n v="62.57"/>
    <n v="242.82"/>
    <m/>
    <n v="75.886085105957733"/>
    <n v="224.53785920244138"/>
    <n v="0"/>
    <n v="2346.8255039999999"/>
    <n v="9107.4983039999988"/>
    <n v="0"/>
    <n v="2846.2745712861779"/>
    <n v="8421.7863926778082"/>
  </r>
  <r>
    <s v="Regular"/>
    <x v="1"/>
    <x v="3"/>
    <x v="2"/>
    <x v="0"/>
    <x v="0"/>
    <x v="0"/>
    <x v="0"/>
    <x v="1"/>
    <n v="0"/>
    <n v="0"/>
    <n v="1262.5540000000001"/>
    <n v="1212.0518400000001"/>
    <n v="1262.5540000000001"/>
    <n v="1212.0518400000001"/>
    <n v="0"/>
    <x v="1"/>
    <n v="0"/>
    <n v="0"/>
    <n v="44"/>
    <n v="67"/>
    <n v="0"/>
    <n v="62.57"/>
    <n v="242.82"/>
    <m/>
    <n v="75.886085105957733"/>
    <n v="224.53785920244138"/>
    <n v="0"/>
    <n v="75838.083628799999"/>
    <n v="294310.42778880004"/>
    <n v="0"/>
    <n v="91977.86908307267"/>
    <n v="272151.52539598005"/>
  </r>
  <r>
    <s v="Sistema de Compensação"/>
    <x v="1"/>
    <x v="3"/>
    <x v="2"/>
    <x v="0"/>
    <x v="0"/>
    <x v="0"/>
    <x v="0"/>
    <x v="1"/>
    <n v="0"/>
    <n v="0"/>
    <n v="52.603000000000002"/>
    <n v="50.49888"/>
    <n v="52.603000000000002"/>
    <n v="50.49888"/>
    <n v="0"/>
    <x v="1"/>
    <n v="0"/>
    <n v="0"/>
    <n v="44"/>
    <n v="67"/>
    <n v="0"/>
    <n v="62.57"/>
    <n v="242.82"/>
    <m/>
    <n v="75.886085105957733"/>
    <n v="224.53785920244138"/>
    <n v="0"/>
    <n v="3159.7149215999998"/>
    <n v="12262.138041599999"/>
    <n v="0"/>
    <n v="3832.1623054355468"/>
    <n v="11338.910407320984"/>
  </r>
  <r>
    <s v="Regular"/>
    <x v="1"/>
    <x v="3"/>
    <x v="2"/>
    <x v="0"/>
    <x v="0"/>
    <x v="0"/>
    <x v="0"/>
    <x v="2"/>
    <n v="0"/>
    <n v="0"/>
    <n v="1138.732"/>
    <n v="1093.18272"/>
    <n v="1138.732"/>
    <n v="1093.18272"/>
    <n v="0"/>
    <x v="1"/>
    <n v="0"/>
    <n v="0"/>
    <n v="44"/>
    <n v="67"/>
    <n v="0"/>
    <n v="62.57"/>
    <n v="242.82"/>
    <m/>
    <n v="75.886085105957733"/>
    <n v="224.53785920244138"/>
    <n v="0"/>
    <n v="68400.442790400004"/>
    <n v="265446.62807039998"/>
    <n v="0"/>
    <n v="82957.356926282358"/>
    <n v="245460.9076659019"/>
  </r>
  <r>
    <s v="Sistema de Compensação"/>
    <x v="1"/>
    <x v="3"/>
    <x v="2"/>
    <x v="0"/>
    <x v="0"/>
    <x v="0"/>
    <x v="0"/>
    <x v="2"/>
    <n v="0"/>
    <n v="0"/>
    <n v="76.242999999999995"/>
    <n v="73.193280000000001"/>
    <n v="76.242999999999995"/>
    <n v="73.193280000000001"/>
    <n v="0"/>
    <x v="1"/>
    <n v="0"/>
    <n v="0"/>
    <n v="44"/>
    <n v="67"/>
    <n v="0"/>
    <n v="62.57"/>
    <n v="242.82"/>
    <m/>
    <n v="75.886085105957733"/>
    <n v="224.53785920244138"/>
    <n v="0"/>
    <n v="4579.7035296000004"/>
    <n v="17772.792249599999"/>
    <n v="0"/>
    <n v="5554.3514752641941"/>
    <n v="16434.66239920487"/>
  </r>
  <r>
    <s v="Regular"/>
    <x v="1"/>
    <x v="3"/>
    <x v="2"/>
    <x v="0"/>
    <x v="0"/>
    <x v="0"/>
    <x v="0"/>
    <x v="3"/>
    <n v="0"/>
    <n v="0"/>
    <n v="1077.4010000000001"/>
    <n v="1034.3049599999999"/>
    <n v="1077.4010000000001"/>
    <n v="1034.3049599999999"/>
    <n v="0"/>
    <x v="1"/>
    <n v="0"/>
    <n v="0"/>
    <n v="44"/>
    <n v="67"/>
    <n v="0"/>
    <n v="62.57"/>
    <n v="242.82"/>
    <m/>
    <n v="75.886085105957733"/>
    <n v="224.53785920244138"/>
    <n v="0"/>
    <n v="64716.461347199998"/>
    <n v="251149.93038719997"/>
    <n v="0"/>
    <n v="78489.354220074209"/>
    <n v="232240.62148086674"/>
  </r>
  <r>
    <s v="Sistema de Compensação"/>
    <x v="1"/>
    <x v="3"/>
    <x v="2"/>
    <x v="0"/>
    <x v="0"/>
    <x v="0"/>
    <x v="0"/>
    <x v="3"/>
    <n v="0"/>
    <n v="0"/>
    <n v="46.671999999999997"/>
    <n v="44.805120000000002"/>
    <n v="46.671999999999997"/>
    <n v="44.805120000000002"/>
    <n v="0"/>
    <x v="1"/>
    <n v="0"/>
    <n v="0"/>
    <n v="44"/>
    <n v="67"/>
    <n v="0"/>
    <n v="62.57"/>
    <n v="242.82"/>
    <m/>
    <n v="75.886085105957733"/>
    <n v="224.53785920244138"/>
    <n v="0"/>
    <n v="2803.4563584000002"/>
    <n v="10879.5792384"/>
    <n v="0"/>
    <n v="3400.0851495026491"/>
    <n v="10060.445726108492"/>
  </r>
  <r>
    <s v="Sistema de Compensação"/>
    <x v="1"/>
    <x v="3"/>
    <x v="2"/>
    <x v="0"/>
    <x v="0"/>
    <x v="0"/>
    <x v="0"/>
    <x v="3"/>
    <n v="0"/>
    <n v="0"/>
    <n v="-41.655999999999999"/>
    <n v="-39.989759999999997"/>
    <n v="-41.655999999999999"/>
    <n v="-39.989759999999997"/>
    <n v="0"/>
    <x v="1"/>
    <n v="0"/>
    <n v="0"/>
    <n v="44"/>
    <n v="67"/>
    <n v="0"/>
    <n v="62.57"/>
    <n v="242.82"/>
    <m/>
    <n v="75.886085105957733"/>
    <n v="224.53785920244138"/>
    <n v="0"/>
    <n v="-2502.1592831999997"/>
    <n v="-9710.3135231999986"/>
    <n v="0"/>
    <n v="-3034.6663307268241"/>
    <n v="-8979.215100419422"/>
  </r>
  <r>
    <s v="Regular"/>
    <x v="1"/>
    <x v="3"/>
    <x v="2"/>
    <x v="0"/>
    <x v="0"/>
    <x v="0"/>
    <x v="0"/>
    <x v="4"/>
    <n v="0"/>
    <n v="0"/>
    <n v="1180.106"/>
    <n v="1132.90176"/>
    <n v="1180.106"/>
    <n v="1132.90176"/>
    <n v="0"/>
    <x v="1"/>
    <n v="0"/>
    <n v="0"/>
    <n v="44"/>
    <n v="67"/>
    <n v="0"/>
    <n v="62.57"/>
    <n v="242.82"/>
    <m/>
    <n v="75.886085105957733"/>
    <n v="224.53785920244138"/>
    <n v="0"/>
    <n v="70885.663123199993"/>
    <n v="275091.20536319999"/>
    <n v="0"/>
    <n v="85971.479376049305"/>
    <n v="254379.33587707803"/>
  </r>
  <r>
    <s v="Refaturamento - Regular"/>
    <x v="1"/>
    <x v="3"/>
    <x v="2"/>
    <x v="0"/>
    <x v="0"/>
    <x v="0"/>
    <x v="0"/>
    <x v="4"/>
    <n v="0"/>
    <n v="0"/>
    <n v="-6.8970000000000002"/>
    <n v="-6.6211200000000003"/>
    <n v="-6.8970000000000002"/>
    <n v="-6.6211200000000003"/>
    <n v="0"/>
    <x v="1"/>
    <n v="0"/>
    <n v="0"/>
    <n v="44"/>
    <n v="67"/>
    <n v="0"/>
    <n v="62.57"/>
    <n v="242.82"/>
    <m/>
    <n v="75.886085105957733"/>
    <n v="224.53785920244138"/>
    <n v="0"/>
    <n v="-414.28347840000004"/>
    <n v="-1607.7403584000001"/>
    <n v="0"/>
    <n v="-502.45087581675887"/>
    <n v="-1486.6921103224688"/>
  </r>
  <r>
    <s v="Sistema de Compensação"/>
    <x v="1"/>
    <x v="3"/>
    <x v="2"/>
    <x v="0"/>
    <x v="0"/>
    <x v="0"/>
    <x v="0"/>
    <x v="4"/>
    <n v="0"/>
    <n v="0"/>
    <n v="32.405000000000001"/>
    <n v="31.108799999999999"/>
    <n v="32.405000000000001"/>
    <n v="31.108799999999999"/>
    <n v="0"/>
    <x v="1"/>
    <n v="0"/>
    <n v="0"/>
    <n v="44"/>
    <n v="67"/>
    <n v="0"/>
    <n v="62.57"/>
    <n v="242.82"/>
    <m/>
    <n v="75.886085105957733"/>
    <n v="224.53785920244138"/>
    <n v="0"/>
    <n v="1946.4776159999999"/>
    <n v="7553.8388159999995"/>
    <n v="0"/>
    <n v="2360.7250443442176"/>
    <n v="6985.1033543569083"/>
  </r>
  <r>
    <s v="Regular"/>
    <x v="1"/>
    <x v="3"/>
    <x v="2"/>
    <x v="0"/>
    <x v="0"/>
    <x v="0"/>
    <x v="0"/>
    <x v="5"/>
    <n v="0"/>
    <n v="0"/>
    <n v="1193.9010000000001"/>
    <n v="1146.1449600000001"/>
    <n v="1193.9010000000001"/>
    <n v="1146.1449600000001"/>
    <n v="0"/>
    <x v="1"/>
    <n v="0"/>
    <n v="0"/>
    <n v="44"/>
    <n v="67"/>
    <n v="0"/>
    <n v="62.57"/>
    <n v="242.82"/>
    <m/>
    <n v="75.886085105957733"/>
    <n v="224.53785920244138"/>
    <n v="0"/>
    <n v="71714.290147200009"/>
    <n v="278306.91918720002"/>
    <n v="0"/>
    <n v="86976.453978324527"/>
    <n v="257352.93565406784"/>
  </r>
  <r>
    <s v="Sistema de Compensação"/>
    <x v="1"/>
    <x v="3"/>
    <x v="2"/>
    <x v="0"/>
    <x v="0"/>
    <x v="0"/>
    <x v="0"/>
    <x v="5"/>
    <n v="0"/>
    <n v="0"/>
    <n v="90.117000000000004"/>
    <n v="86.512320000000003"/>
    <n v="90.117000000000004"/>
    <n v="86.512320000000003"/>
    <n v="0"/>
    <x v="1"/>
    <n v="0"/>
    <n v="0"/>
    <n v="44"/>
    <n v="67"/>
    <n v="0"/>
    <n v="62.57"/>
    <n v="242.82"/>
    <m/>
    <n v="75.886085105957733"/>
    <n v="224.53785920244138"/>
    <n v="0"/>
    <n v="5413.0758624"/>
    <n v="21006.921542399999"/>
    <n v="0"/>
    <n v="6565.0812782338498"/>
    <n v="19425.291127436554"/>
  </r>
  <r>
    <s v="Regular"/>
    <x v="1"/>
    <x v="3"/>
    <x v="2"/>
    <x v="0"/>
    <x v="0"/>
    <x v="0"/>
    <x v="0"/>
    <x v="6"/>
    <n v="0"/>
    <n v="0"/>
    <n v="999.81799999999998"/>
    <n v="959.82528000000002"/>
    <n v="999.81799999999998"/>
    <n v="959.82528000000002"/>
    <n v="0"/>
    <x v="1"/>
    <n v="0"/>
    <n v="0"/>
    <n v="44"/>
    <n v="67"/>
    <n v="0"/>
    <n v="62.57"/>
    <n v="242.82"/>
    <m/>
    <n v="75.886085105957733"/>
    <n v="224.53785920244138"/>
    <n v="0"/>
    <n v="60056.267769600003"/>
    <n v="233064.77448960001"/>
    <n v="0"/>
    <n v="72837.382884929713"/>
    <n v="215517.11357958388"/>
  </r>
  <r>
    <s v="Refaturamento - Regular"/>
    <x v="1"/>
    <x v="3"/>
    <x v="2"/>
    <x v="0"/>
    <x v="0"/>
    <x v="0"/>
    <x v="0"/>
    <x v="6"/>
    <n v="0"/>
    <n v="0"/>
    <n v="45.15"/>
    <n v="43.344000000000001"/>
    <n v="45.15"/>
    <n v="43.344000000000001"/>
    <n v="0"/>
    <x v="1"/>
    <n v="0"/>
    <n v="0"/>
    <n v="44"/>
    <n v="67"/>
    <n v="0"/>
    <n v="62.57"/>
    <n v="242.82"/>
    <m/>
    <n v="75.886085105957733"/>
    <n v="224.53785920244138"/>
    <n v="0"/>
    <n v="2712.0340799999999"/>
    <n v="10524.790080000001"/>
    <n v="0"/>
    <n v="3289.2064728326322"/>
    <n v="9732.3689692706193"/>
  </r>
  <r>
    <s v="Sistema de Compensação"/>
    <x v="1"/>
    <x v="3"/>
    <x v="2"/>
    <x v="0"/>
    <x v="0"/>
    <x v="0"/>
    <x v="0"/>
    <x v="6"/>
    <n v="0"/>
    <n v="0"/>
    <n v="42.384999999999998"/>
    <n v="40.689599999999999"/>
    <n v="42.384999999999998"/>
    <n v="40.689599999999999"/>
    <n v="0"/>
    <x v="1"/>
    <n v="0"/>
    <n v="0"/>
    <n v="44"/>
    <n v="67"/>
    <n v="0"/>
    <n v="62.57"/>
    <n v="242.82"/>
    <m/>
    <n v="75.886085105957733"/>
    <n v="224.53785920244138"/>
    <n v="0"/>
    <n v="2545.9482720000001"/>
    <n v="9880.2486719999997"/>
    <n v="0"/>
    <n v="3087.7744485273774"/>
    <n v="9136.3556758036593"/>
  </r>
  <r>
    <s v="Regular"/>
    <x v="1"/>
    <x v="3"/>
    <x v="2"/>
    <x v="0"/>
    <x v="0"/>
    <x v="0"/>
    <x v="0"/>
    <x v="7"/>
    <n v="0"/>
    <n v="0"/>
    <n v="1049.3699999999999"/>
    <n v="1007.3952"/>
    <n v="1049.3699999999999"/>
    <n v="1007.3952"/>
    <n v="0"/>
    <x v="1"/>
    <n v="0"/>
    <n v="0"/>
    <n v="44"/>
    <n v="67"/>
    <n v="0"/>
    <n v="62.57"/>
    <n v="242.82"/>
    <m/>
    <n v="75.886085105957733"/>
    <n v="224.53785920244138"/>
    <n v="0"/>
    <n v="63032.717664000003"/>
    <n v="244615.702464"/>
    <n v="0"/>
    <n v="76447.277882533308"/>
    <n v="226198.3615788153"/>
  </r>
  <r>
    <s v="Refaturamento - Regular"/>
    <x v="1"/>
    <x v="3"/>
    <x v="2"/>
    <x v="0"/>
    <x v="0"/>
    <x v="0"/>
    <x v="0"/>
    <x v="7"/>
    <n v="0"/>
    <n v="0"/>
    <n v="-28.718"/>
    <n v="-27.569279999999999"/>
    <n v="-28.718"/>
    <n v="-27.569279999999999"/>
    <n v="0"/>
    <x v="1"/>
    <n v="0"/>
    <n v="0"/>
    <n v="44"/>
    <n v="67"/>
    <n v="0"/>
    <n v="62.57"/>
    <n v="242.82"/>
    <m/>
    <n v="75.886085105957733"/>
    <n v="224.53785920244138"/>
    <n v="0"/>
    <n v="-1725.0098496000001"/>
    <n v="-6694.3725695999992"/>
    <n v="0"/>
    <n v="-2092.1247283899784"/>
    <n v="-6190.3471109526827"/>
  </r>
  <r>
    <s v="Sistema de Compensação"/>
    <x v="1"/>
    <x v="3"/>
    <x v="2"/>
    <x v="0"/>
    <x v="0"/>
    <x v="0"/>
    <x v="0"/>
    <x v="7"/>
    <n v="0"/>
    <n v="0"/>
    <n v="28.227"/>
    <n v="27.097919999999998"/>
    <n v="28.227"/>
    <n v="27.097919999999998"/>
    <n v="0"/>
    <x v="1"/>
    <n v="0"/>
    <n v="0"/>
    <n v="44"/>
    <n v="67"/>
    <n v="0"/>
    <n v="62.57"/>
    <n v="242.82"/>
    <m/>
    <n v="75.886085105957733"/>
    <n v="224.53785920244138"/>
    <n v="0"/>
    <n v="1695.5168543999998"/>
    <n v="6579.9169343999993"/>
    <n v="0"/>
    <n v="2056.3550633144341"/>
    <n v="6084.5089456390197"/>
  </r>
  <r>
    <s v="Regular"/>
    <x v="1"/>
    <x v="3"/>
    <x v="2"/>
    <x v="0"/>
    <x v="0"/>
    <x v="0"/>
    <x v="0"/>
    <x v="8"/>
    <n v="0"/>
    <n v="0"/>
    <n v="1056.098"/>
    <n v="1013.85408"/>
    <n v="1056.098"/>
    <n v="1013.85408"/>
    <n v="0"/>
    <x v="1"/>
    <n v="0"/>
    <n v="0"/>
    <n v="44"/>
    <n v="67"/>
    <n v="0"/>
    <n v="62.57"/>
    <n v="242.82"/>
    <m/>
    <n v="75.886085105957733"/>
    <n v="224.53785920244138"/>
    <n v="0"/>
    <n v="63436.849785599996"/>
    <n v="246184.04770559998"/>
    <n v="0"/>
    <n v="76937.416999902474"/>
    <n v="227648.62466686073"/>
  </r>
  <r>
    <s v="Refaturamento - Regular"/>
    <x v="1"/>
    <x v="3"/>
    <x v="2"/>
    <x v="0"/>
    <x v="0"/>
    <x v="0"/>
    <x v="0"/>
    <x v="8"/>
    <n v="0"/>
    <n v="0"/>
    <n v="1.07"/>
    <n v="1.0271999999999999"/>
    <n v="1.07"/>
    <n v="1.0271999999999999"/>
    <n v="0"/>
    <x v="1"/>
    <n v="0"/>
    <n v="0"/>
    <n v="44"/>
    <n v="67"/>
    <n v="0"/>
    <n v="62.57"/>
    <n v="242.82"/>
    <m/>
    <n v="75.886085105957733"/>
    <n v="224.53785920244138"/>
    <n v="0"/>
    <n v="64.271903999999992"/>
    <n v="249.42470399999996"/>
    <n v="0"/>
    <n v="77.950186620839773"/>
    <n v="230.64528897274775"/>
  </r>
  <r>
    <s v="Sistema de Compensação"/>
    <x v="1"/>
    <x v="3"/>
    <x v="2"/>
    <x v="0"/>
    <x v="0"/>
    <x v="0"/>
    <x v="0"/>
    <x v="8"/>
    <n v="0"/>
    <n v="0"/>
    <n v="40.970999999999997"/>
    <n v="39.332160000000002"/>
    <n v="40.970999999999997"/>
    <n v="39.332160000000002"/>
    <n v="0"/>
    <x v="1"/>
    <n v="0"/>
    <n v="0"/>
    <n v="44"/>
    <n v="67"/>
    <n v="0"/>
    <n v="62.57"/>
    <n v="242.82"/>
    <m/>
    <n v="75.886085105957733"/>
    <n v="224.53785920244138"/>
    <n v="0"/>
    <n v="2461.0132512"/>
    <n v="9550.6350911999998"/>
    <n v="0"/>
    <n v="2984.7636411611466"/>
    <n v="8831.5590042078966"/>
  </r>
  <r>
    <s v="Sistema de Compensação"/>
    <x v="1"/>
    <x v="3"/>
    <x v="2"/>
    <x v="0"/>
    <x v="0"/>
    <x v="0"/>
    <x v="0"/>
    <x v="8"/>
    <n v="0"/>
    <n v="0"/>
    <n v="-75.525000000000006"/>
    <n v="-72.504000000000005"/>
    <n v="-75.525000000000006"/>
    <n v="-72.504000000000005"/>
    <n v="0"/>
    <x v="1"/>
    <n v="0"/>
    <n v="0"/>
    <n v="44"/>
    <n v="67"/>
    <n v="0"/>
    <n v="62.57"/>
    <n v="242.82"/>
    <m/>
    <n v="75.886085105957733"/>
    <n v="224.53785920244138"/>
    <n v="0"/>
    <n v="-4536.57528"/>
    <n v="-17605.421280000002"/>
    <n v="0"/>
    <n v="-5502.0447145223598"/>
    <n v="-16279.892943613811"/>
  </r>
  <r>
    <s v="Regular"/>
    <x v="1"/>
    <x v="3"/>
    <x v="2"/>
    <x v="0"/>
    <x v="0"/>
    <x v="0"/>
    <x v="0"/>
    <x v="9"/>
    <n v="0"/>
    <n v="0"/>
    <n v="1185.383"/>
    <n v="1137.96768"/>
    <n v="1185.383"/>
    <n v="1137.96768"/>
    <n v="0"/>
    <x v="1"/>
    <n v="0"/>
    <n v="0"/>
    <n v="44"/>
    <n v="67"/>
    <n v="0"/>
    <n v="62.57"/>
    <n v="242.82"/>
    <m/>
    <n v="75.886085105957733"/>
    <n v="224.53785920244138"/>
    <n v="0"/>
    <n v="71202.637737600002"/>
    <n v="276321.31205760001"/>
    <n v="0"/>
    <n v="86355.912212309267"/>
    <n v="255516.82670876887"/>
  </r>
  <r>
    <s v="Sistema de Compensação"/>
    <x v="1"/>
    <x v="3"/>
    <x v="2"/>
    <x v="0"/>
    <x v="0"/>
    <x v="0"/>
    <x v="0"/>
    <x v="9"/>
    <n v="0"/>
    <n v="0"/>
    <n v="40.915999999999997"/>
    <n v="39.279359999999997"/>
    <n v="40.915999999999997"/>
    <n v="39.279359999999997"/>
    <n v="0"/>
    <x v="1"/>
    <n v="0"/>
    <n v="0"/>
    <n v="44"/>
    <n v="67"/>
    <n v="0"/>
    <n v="62.57"/>
    <n v="242.82"/>
    <m/>
    <n v="75.886085105957733"/>
    <n v="224.53785920244138"/>
    <n v="0"/>
    <n v="2457.7095551999996"/>
    <n v="9537.8141951999987"/>
    <n v="0"/>
    <n v="2980.7568558675516"/>
    <n v="8819.7034052420076"/>
  </r>
  <r>
    <s v="Regular"/>
    <x v="1"/>
    <x v="3"/>
    <x v="2"/>
    <x v="0"/>
    <x v="0"/>
    <x v="0"/>
    <x v="0"/>
    <x v="10"/>
    <n v="0"/>
    <n v="0"/>
    <n v="1157.3920000000001"/>
    <n v="1111.0963200000001"/>
    <n v="1157.3920000000001"/>
    <n v="1111.0963200000001"/>
    <n v="0"/>
    <x v="1"/>
    <n v="0"/>
    <n v="0"/>
    <n v="44"/>
    <n v="67"/>
    <n v="0"/>
    <n v="62.57"/>
    <n v="242.82"/>
    <m/>
    <n v="75.886085105957733"/>
    <n v="224.53785920244138"/>
    <n v="0"/>
    <n v="69521.296742400009"/>
    <n v="269796.40842240001"/>
    <n v="0"/>
    <n v="84316.749900436451"/>
    <n v="249483.18906051078"/>
  </r>
  <r>
    <s v="Sistema de Compensação"/>
    <x v="1"/>
    <x v="3"/>
    <x v="2"/>
    <x v="0"/>
    <x v="0"/>
    <x v="0"/>
    <x v="0"/>
    <x v="10"/>
    <n v="0"/>
    <n v="0"/>
    <n v="41.808999999999997"/>
    <n v="40.13664"/>
    <n v="41.808999999999997"/>
    <n v="40.13664"/>
    <n v="0"/>
    <x v="1"/>
    <n v="0"/>
    <n v="0"/>
    <n v="44"/>
    <n v="67"/>
    <n v="0"/>
    <n v="62.57"/>
    <n v="242.82"/>
    <m/>
    <n v="75.886085105957733"/>
    <n v="224.53785920244138"/>
    <n v="0"/>
    <n v="2511.3495647999998"/>
    <n v="9745.9789247999997"/>
    <n v="0"/>
    <n v="3045.8124789071871"/>
    <n v="9012.1952211790776"/>
  </r>
  <r>
    <s v="PROJETADO"/>
    <x v="1"/>
    <x v="3"/>
    <x v="2"/>
    <x v="0"/>
    <x v="0"/>
    <x v="0"/>
    <x v="0"/>
    <x v="11"/>
    <n v="0"/>
    <n v="0"/>
    <n v="1157.3920000000001"/>
    <n v="1111.0963200000001"/>
    <n v="1157.3920000000001"/>
    <n v="1111.0963200000001"/>
    <n v="0"/>
    <x v="1"/>
    <n v="0"/>
    <n v="0"/>
    <n v="44"/>
    <n v="67"/>
    <n v="0"/>
    <n v="62.57"/>
    <n v="242.82"/>
    <m/>
    <n v="75.886085105957733"/>
    <n v="224.53785920244138"/>
    <n v="0"/>
    <n v="69521.296742400009"/>
    <n v="269796.40842240001"/>
    <n v="0"/>
    <n v="84316.749900436451"/>
    <n v="249483.18906051078"/>
  </r>
  <r>
    <s v="PROJETADO"/>
    <x v="1"/>
    <x v="3"/>
    <x v="2"/>
    <x v="0"/>
    <x v="0"/>
    <x v="0"/>
    <x v="0"/>
    <x v="11"/>
    <n v="0"/>
    <n v="0"/>
    <n v="41.808999999999997"/>
    <n v="40.13664"/>
    <n v="41.808999999999997"/>
    <n v="40.13664"/>
    <n v="0"/>
    <x v="1"/>
    <n v="0"/>
    <n v="0"/>
    <n v="44"/>
    <n v="67"/>
    <n v="0"/>
    <n v="62.57"/>
    <n v="242.82"/>
    <m/>
    <n v="75.886085105957733"/>
    <n v="224.53785920244138"/>
    <n v="0"/>
    <n v="2511.3495647999998"/>
    <n v="9745.9789247999997"/>
    <n v="0"/>
    <n v="3045.8124789071871"/>
    <n v="9012.1952211790776"/>
  </r>
  <r>
    <s v="Regular"/>
    <x v="1"/>
    <x v="3"/>
    <x v="2"/>
    <x v="0"/>
    <x v="0"/>
    <x v="0"/>
    <x v="1"/>
    <x v="0"/>
    <n v="5580"/>
    <n v="5356.8"/>
    <n v="0"/>
    <n v="0"/>
    <n v="0"/>
    <n v="0"/>
    <n v="70"/>
    <x v="1"/>
    <n v="0"/>
    <n v="40"/>
    <n v="0"/>
    <n v="0"/>
    <n v="26.22"/>
    <n v="0"/>
    <n v="0"/>
    <n v="28.891757284072764"/>
    <m/>
    <m/>
    <n v="140455.296"/>
    <n v="0"/>
    <n v="0"/>
    <n v="154767.36541932099"/>
    <n v="0"/>
    <n v="0"/>
  </r>
  <r>
    <s v="Refaturamento - Regular"/>
    <x v="1"/>
    <x v="3"/>
    <x v="2"/>
    <x v="0"/>
    <x v="0"/>
    <x v="0"/>
    <x v="1"/>
    <x v="0"/>
    <n v="44"/>
    <n v="42.24"/>
    <n v="0"/>
    <n v="0"/>
    <n v="0"/>
    <n v="0"/>
    <n v="2"/>
    <x v="1"/>
    <n v="0"/>
    <n v="40"/>
    <n v="0"/>
    <n v="0"/>
    <n v="26.22"/>
    <n v="0"/>
    <n v="0"/>
    <n v="28.891757284072764"/>
    <m/>
    <m/>
    <n v="1107.5328"/>
    <n v="0"/>
    <n v="0"/>
    <n v="1220.3878276792336"/>
    <n v="0"/>
    <n v="0"/>
  </r>
  <r>
    <s v="Sistema de Compensação"/>
    <x v="1"/>
    <x v="3"/>
    <x v="2"/>
    <x v="0"/>
    <x v="0"/>
    <x v="0"/>
    <x v="1"/>
    <x v="0"/>
    <n v="308"/>
    <n v="295.68"/>
    <n v="0"/>
    <n v="0"/>
    <n v="0"/>
    <n v="0"/>
    <n v="4"/>
    <x v="1"/>
    <n v="0"/>
    <n v="40"/>
    <n v="0"/>
    <n v="0"/>
    <n v="26.22"/>
    <n v="0"/>
    <n v="0"/>
    <n v="28.891757284072764"/>
    <m/>
    <m/>
    <n v="7752.7295999999997"/>
    <n v="0"/>
    <n v="0"/>
    <n v="8542.7147937546342"/>
    <n v="0"/>
    <n v="0"/>
  </r>
  <r>
    <s v="Sistema de Compensação"/>
    <x v="1"/>
    <x v="3"/>
    <x v="2"/>
    <x v="0"/>
    <x v="0"/>
    <x v="0"/>
    <x v="1"/>
    <x v="0"/>
    <n v="44"/>
    <n v="42.24"/>
    <n v="0"/>
    <n v="0"/>
    <n v="0"/>
    <n v="0"/>
    <n v="4"/>
    <x v="1"/>
    <n v="0"/>
    <n v="40"/>
    <n v="0"/>
    <n v="0"/>
    <n v="26.22"/>
    <n v="0"/>
    <n v="0"/>
    <n v="28.891757284072764"/>
    <m/>
    <m/>
    <n v="1107.5328"/>
    <n v="0"/>
    <n v="0"/>
    <n v="1220.3878276792336"/>
    <n v="0"/>
    <n v="0"/>
  </r>
  <r>
    <s v="Regular"/>
    <x v="1"/>
    <x v="3"/>
    <x v="2"/>
    <x v="0"/>
    <x v="0"/>
    <x v="0"/>
    <x v="1"/>
    <x v="1"/>
    <n v="4891"/>
    <n v="4695.3599999999997"/>
    <n v="0"/>
    <n v="0"/>
    <n v="0"/>
    <n v="0"/>
    <n v="52"/>
    <x v="1"/>
    <n v="0"/>
    <n v="40"/>
    <n v="0"/>
    <n v="0"/>
    <n v="26.22"/>
    <n v="0"/>
    <n v="0"/>
    <n v="28.891757284072764"/>
    <m/>
    <m/>
    <n v="123112.33919999999"/>
    <n v="0"/>
    <n v="0"/>
    <n v="135657.20148134389"/>
    <n v="0"/>
    <n v="0"/>
  </r>
  <r>
    <s v="Refaturamento - Regular"/>
    <x v="1"/>
    <x v="3"/>
    <x v="2"/>
    <x v="0"/>
    <x v="0"/>
    <x v="0"/>
    <x v="1"/>
    <x v="1"/>
    <n v="-219"/>
    <n v="-210.24"/>
    <n v="0"/>
    <n v="0"/>
    <n v="0"/>
    <n v="0"/>
    <n v="0"/>
    <x v="1"/>
    <n v="0"/>
    <n v="40"/>
    <n v="0"/>
    <n v="0"/>
    <n v="26.22"/>
    <n v="0"/>
    <n v="0"/>
    <n v="28.891757284072764"/>
    <m/>
    <m/>
    <n v="-5512.4928"/>
    <n v="0"/>
    <n v="0"/>
    <n v="-6074.2030514034577"/>
    <n v="0"/>
    <n v="0"/>
  </r>
  <r>
    <s v="Sistema de Compensação"/>
    <x v="1"/>
    <x v="3"/>
    <x v="2"/>
    <x v="0"/>
    <x v="0"/>
    <x v="0"/>
    <x v="1"/>
    <x v="1"/>
    <n v="468"/>
    <n v="449.28"/>
    <n v="0"/>
    <n v="0"/>
    <n v="0"/>
    <n v="0"/>
    <n v="5"/>
    <x v="1"/>
    <n v="0"/>
    <n v="40"/>
    <n v="0"/>
    <n v="0"/>
    <n v="26.22"/>
    <n v="0"/>
    <n v="0"/>
    <n v="28.891757284072764"/>
    <m/>
    <m/>
    <n v="11780.121599999999"/>
    <n v="0"/>
    <n v="0"/>
    <n v="12980.488712588211"/>
    <n v="0"/>
    <n v="0"/>
  </r>
  <r>
    <s v="Regular"/>
    <x v="1"/>
    <x v="3"/>
    <x v="2"/>
    <x v="0"/>
    <x v="0"/>
    <x v="0"/>
    <x v="1"/>
    <x v="2"/>
    <n v="5809"/>
    <n v="5576.64"/>
    <n v="0"/>
    <n v="0"/>
    <n v="0"/>
    <n v="0"/>
    <n v="55"/>
    <x v="1"/>
    <n v="0"/>
    <n v="40"/>
    <n v="0"/>
    <n v="0"/>
    <n v="26.22"/>
    <n v="0"/>
    <n v="0"/>
    <n v="28.891757284072764"/>
    <m/>
    <m/>
    <n v="146219.50080000001"/>
    <n v="0"/>
    <n v="0"/>
    <n v="161118.92934065155"/>
    <n v="0"/>
    <n v="0"/>
  </r>
  <r>
    <s v="Refaturamento - Regular"/>
    <x v="1"/>
    <x v="3"/>
    <x v="2"/>
    <x v="0"/>
    <x v="0"/>
    <x v="0"/>
    <x v="1"/>
    <x v="2"/>
    <n v="70"/>
    <n v="67.2"/>
    <n v="0"/>
    <n v="0"/>
    <n v="0"/>
    <n v="0"/>
    <n v="4"/>
    <x v="1"/>
    <n v="0"/>
    <n v="40"/>
    <n v="0"/>
    <n v="0"/>
    <n v="26.22"/>
    <n v="0"/>
    <n v="0"/>
    <n v="28.891757284072764"/>
    <m/>
    <m/>
    <n v="1761.9839999999999"/>
    <n v="0"/>
    <n v="0"/>
    <n v="1941.5260894896899"/>
    <n v="0"/>
    <n v="0"/>
  </r>
  <r>
    <s v="Sistema de Compensação"/>
    <x v="1"/>
    <x v="3"/>
    <x v="2"/>
    <x v="0"/>
    <x v="0"/>
    <x v="0"/>
    <x v="1"/>
    <x v="2"/>
    <n v="564"/>
    <n v="541.44000000000005"/>
    <n v="0"/>
    <n v="0"/>
    <n v="0"/>
    <n v="0"/>
    <n v="5"/>
    <x v="1"/>
    <n v="0"/>
    <n v="40"/>
    <n v="0"/>
    <n v="0"/>
    <n v="26.22"/>
    <n v="0"/>
    <n v="0"/>
    <n v="28.891757284072764"/>
    <m/>
    <m/>
    <n v="14196.5568"/>
    <n v="0"/>
    <n v="0"/>
    <n v="15643.15306388836"/>
    <n v="0"/>
    <n v="0"/>
  </r>
  <r>
    <s v="Regular"/>
    <x v="1"/>
    <x v="3"/>
    <x v="2"/>
    <x v="0"/>
    <x v="0"/>
    <x v="0"/>
    <x v="1"/>
    <x v="3"/>
    <n v="7448"/>
    <n v="7150.08"/>
    <n v="0"/>
    <n v="0"/>
    <n v="0"/>
    <n v="0"/>
    <n v="44"/>
    <x v="1"/>
    <n v="0"/>
    <n v="40"/>
    <n v="0"/>
    <n v="0"/>
    <n v="26.22"/>
    <n v="0"/>
    <n v="0"/>
    <n v="28.891757284072764"/>
    <m/>
    <m/>
    <n v="187475.09759999998"/>
    <n v="0"/>
    <n v="0"/>
    <n v="206578.37592170297"/>
    <n v="0"/>
    <n v="0"/>
  </r>
  <r>
    <s v="Refaturamento - Regular"/>
    <x v="1"/>
    <x v="3"/>
    <x v="2"/>
    <x v="0"/>
    <x v="0"/>
    <x v="0"/>
    <x v="1"/>
    <x v="3"/>
    <n v="46"/>
    <n v="44.16"/>
    <n v="0"/>
    <n v="0"/>
    <n v="0"/>
    <n v="0"/>
    <n v="1"/>
    <x v="1"/>
    <n v="0"/>
    <n v="40"/>
    <n v="0"/>
    <n v="0"/>
    <n v="26.22"/>
    <n v="0"/>
    <n v="0"/>
    <n v="28.891757284072764"/>
    <m/>
    <m/>
    <n v="1157.8751999999999"/>
    <n v="0"/>
    <n v="0"/>
    <n v="1275.8600016646531"/>
    <n v="0"/>
    <n v="0"/>
  </r>
  <r>
    <s v="Sistema de Compensação"/>
    <x v="1"/>
    <x v="3"/>
    <x v="2"/>
    <x v="0"/>
    <x v="0"/>
    <x v="0"/>
    <x v="1"/>
    <x v="3"/>
    <n v="340"/>
    <n v="326.39999999999998"/>
    <n v="0"/>
    <n v="0"/>
    <n v="0"/>
    <n v="0"/>
    <n v="4"/>
    <x v="1"/>
    <n v="0"/>
    <n v="40"/>
    <n v="0"/>
    <n v="0"/>
    <n v="26.22"/>
    <n v="0"/>
    <n v="0"/>
    <n v="28.891757284072764"/>
    <m/>
    <m/>
    <n v="8558.2079999999987"/>
    <n v="0"/>
    <n v="0"/>
    <n v="9430.2695775213488"/>
    <n v="0"/>
    <n v="0"/>
  </r>
  <r>
    <s v="Sistema de Compensação"/>
    <x v="1"/>
    <x v="3"/>
    <x v="2"/>
    <x v="0"/>
    <x v="0"/>
    <x v="0"/>
    <x v="1"/>
    <x v="3"/>
    <n v="-241"/>
    <n v="-231.36"/>
    <n v="0"/>
    <n v="0"/>
    <n v="0"/>
    <n v="0"/>
    <n v="-1"/>
    <x v="1"/>
    <n v="0"/>
    <n v="40"/>
    <n v="0"/>
    <n v="0"/>
    <n v="26.22"/>
    <n v="0"/>
    <n v="0"/>
    <n v="28.891757284072764"/>
    <m/>
    <m/>
    <n v="-6066.2592000000004"/>
    <n v="0"/>
    <n v="0"/>
    <n v="-6684.3969652430751"/>
    <n v="0"/>
    <n v="0"/>
  </r>
  <r>
    <s v="Regular"/>
    <x v="1"/>
    <x v="3"/>
    <x v="2"/>
    <x v="0"/>
    <x v="0"/>
    <x v="0"/>
    <x v="1"/>
    <x v="4"/>
    <n v="5500"/>
    <n v="5280"/>
    <n v="0"/>
    <n v="0"/>
    <n v="0"/>
    <n v="0"/>
    <n v="47"/>
    <x v="1"/>
    <n v="0"/>
    <n v="40"/>
    <n v="0"/>
    <n v="0"/>
    <n v="26.22"/>
    <n v="0"/>
    <n v="0"/>
    <n v="28.891757284072764"/>
    <m/>
    <m/>
    <n v="138441.60000000001"/>
    <n v="0"/>
    <n v="0"/>
    <n v="152548.4784599042"/>
    <n v="0"/>
    <n v="0"/>
  </r>
  <r>
    <s v="Refaturamento - Regular"/>
    <x v="1"/>
    <x v="3"/>
    <x v="2"/>
    <x v="0"/>
    <x v="0"/>
    <x v="0"/>
    <x v="1"/>
    <x v="4"/>
    <n v="-49"/>
    <n v="-47.04"/>
    <n v="0"/>
    <n v="0"/>
    <n v="0"/>
    <n v="0"/>
    <n v="-1"/>
    <x v="1"/>
    <n v="0"/>
    <n v="40"/>
    <n v="0"/>
    <n v="0"/>
    <n v="26.22"/>
    <n v="0"/>
    <n v="0"/>
    <n v="28.891757284072764"/>
    <m/>
    <m/>
    <n v="-1233.3887999999999"/>
    <n v="0"/>
    <n v="0"/>
    <n v="-1359.0682626427829"/>
    <n v="0"/>
    <n v="0"/>
  </r>
  <r>
    <s v="Sistema de Compensação"/>
    <x v="1"/>
    <x v="3"/>
    <x v="2"/>
    <x v="0"/>
    <x v="0"/>
    <x v="0"/>
    <x v="1"/>
    <x v="4"/>
    <n v="329"/>
    <n v="315.83999999999997"/>
    <n v="0"/>
    <n v="0"/>
    <n v="0"/>
    <n v="0"/>
    <n v="4"/>
    <x v="1"/>
    <n v="0"/>
    <n v="40"/>
    <n v="0"/>
    <n v="0"/>
    <n v="26.22"/>
    <n v="0"/>
    <n v="0"/>
    <n v="28.891757284072764"/>
    <m/>
    <m/>
    <n v="8281.3247999999985"/>
    <n v="0"/>
    <n v="0"/>
    <n v="9125.172620601541"/>
    <n v="0"/>
    <n v="0"/>
  </r>
  <r>
    <s v="Regular"/>
    <x v="1"/>
    <x v="3"/>
    <x v="2"/>
    <x v="0"/>
    <x v="0"/>
    <x v="0"/>
    <x v="1"/>
    <x v="5"/>
    <n v="3939"/>
    <n v="3781.44"/>
    <n v="0"/>
    <n v="0"/>
    <n v="0"/>
    <n v="0"/>
    <n v="44"/>
    <x v="1"/>
    <n v="0"/>
    <n v="40"/>
    <n v="0"/>
    <n v="0"/>
    <n v="26.22"/>
    <n v="0"/>
    <n v="0"/>
    <n v="28.891757284072764"/>
    <m/>
    <m/>
    <n v="99149.356799999994"/>
    <n v="0"/>
    <n v="0"/>
    <n v="109252.44666428411"/>
    <n v="0"/>
    <n v="0"/>
  </r>
  <r>
    <s v="Sistema de Compensação"/>
    <x v="1"/>
    <x v="3"/>
    <x v="2"/>
    <x v="0"/>
    <x v="0"/>
    <x v="0"/>
    <x v="1"/>
    <x v="5"/>
    <n v="249"/>
    <n v="239.04"/>
    <n v="0"/>
    <n v="0"/>
    <n v="0"/>
    <n v="0"/>
    <n v="4"/>
    <x v="1"/>
    <n v="0"/>
    <n v="40"/>
    <n v="0"/>
    <n v="0"/>
    <n v="26.22"/>
    <n v="0"/>
    <n v="0"/>
    <n v="28.891757284072764"/>
    <m/>
    <m/>
    <n v="6267.6287999999995"/>
    <n v="0"/>
    <n v="0"/>
    <n v="6906.2856611847528"/>
    <n v="0"/>
    <n v="0"/>
  </r>
  <r>
    <s v="Regular"/>
    <x v="1"/>
    <x v="3"/>
    <x v="2"/>
    <x v="0"/>
    <x v="0"/>
    <x v="0"/>
    <x v="1"/>
    <x v="6"/>
    <n v="4123"/>
    <n v="3958.08"/>
    <n v="0"/>
    <n v="0"/>
    <n v="0"/>
    <n v="0"/>
    <n v="39"/>
    <x v="1"/>
    <n v="0"/>
    <n v="40"/>
    <n v="0"/>
    <n v="0"/>
    <n v="26.22"/>
    <n v="0"/>
    <n v="0"/>
    <n v="28.891757284072764"/>
    <m/>
    <m/>
    <n v="103780.85759999999"/>
    <n v="0"/>
    <n v="0"/>
    <n v="114355.88667094272"/>
    <n v="0"/>
    <n v="0"/>
  </r>
  <r>
    <s v="Refaturamento - Regular"/>
    <x v="1"/>
    <x v="3"/>
    <x v="2"/>
    <x v="0"/>
    <x v="0"/>
    <x v="0"/>
    <x v="1"/>
    <x v="6"/>
    <n v="304"/>
    <n v="291.83999999999997"/>
    <n v="0"/>
    <n v="0"/>
    <n v="0"/>
    <n v="0"/>
    <n v="1"/>
    <x v="1"/>
    <n v="0"/>
    <n v="40"/>
    <n v="0"/>
    <n v="0"/>
    <n v="26.22"/>
    <n v="0"/>
    <n v="0"/>
    <n v="28.891757284072764"/>
    <m/>
    <m/>
    <n v="7652.0447999999988"/>
    <n v="0"/>
    <n v="0"/>
    <n v="8431.7704457837954"/>
    <n v="0"/>
    <n v="0"/>
  </r>
  <r>
    <s v="Sistema de Compensação"/>
    <x v="1"/>
    <x v="3"/>
    <x v="2"/>
    <x v="0"/>
    <x v="0"/>
    <x v="0"/>
    <x v="1"/>
    <x v="6"/>
    <n v="225"/>
    <n v="216"/>
    <n v="0"/>
    <n v="0"/>
    <n v="0"/>
    <n v="0"/>
    <n v="4"/>
    <x v="1"/>
    <n v="0"/>
    <n v="40"/>
    <n v="0"/>
    <n v="0"/>
    <n v="26.22"/>
    <n v="0"/>
    <n v="0"/>
    <n v="28.891757284072764"/>
    <m/>
    <m/>
    <n v="5663.5199999999995"/>
    <n v="0"/>
    <n v="0"/>
    <n v="6240.6195733597169"/>
    <n v="0"/>
    <n v="0"/>
  </r>
  <r>
    <s v="Regular"/>
    <x v="1"/>
    <x v="3"/>
    <x v="2"/>
    <x v="0"/>
    <x v="0"/>
    <x v="0"/>
    <x v="1"/>
    <x v="7"/>
    <n v="4304"/>
    <n v="4131.84"/>
    <n v="0"/>
    <n v="0"/>
    <n v="0"/>
    <n v="0"/>
    <n v="47"/>
    <x v="1"/>
    <n v="0"/>
    <n v="40"/>
    <n v="0"/>
    <n v="0"/>
    <n v="26.22"/>
    <n v="0"/>
    <n v="0"/>
    <n v="28.891757284072764"/>
    <m/>
    <m/>
    <n v="108336.84480000001"/>
    <n v="0"/>
    <n v="0"/>
    <n v="119376.11841662321"/>
    <n v="0"/>
    <n v="0"/>
  </r>
  <r>
    <s v="Sistema de Compensação"/>
    <x v="1"/>
    <x v="3"/>
    <x v="2"/>
    <x v="0"/>
    <x v="0"/>
    <x v="0"/>
    <x v="1"/>
    <x v="7"/>
    <n v="208"/>
    <n v="199.68"/>
    <n v="0"/>
    <n v="0"/>
    <n v="0"/>
    <n v="0"/>
    <n v="3"/>
    <x v="1"/>
    <n v="0"/>
    <n v="40"/>
    <n v="0"/>
    <n v="0"/>
    <n v="26.22"/>
    <n v="0"/>
    <n v="0"/>
    <n v="28.891757284072764"/>
    <m/>
    <m/>
    <n v="5235.6095999999998"/>
    <n v="0"/>
    <n v="0"/>
    <n v="5769.1060944836499"/>
    <n v="0"/>
    <n v="0"/>
  </r>
  <r>
    <s v="Regular"/>
    <x v="1"/>
    <x v="3"/>
    <x v="2"/>
    <x v="0"/>
    <x v="0"/>
    <x v="0"/>
    <x v="1"/>
    <x v="8"/>
    <n v="4682"/>
    <n v="4494.72"/>
    <n v="0"/>
    <n v="0"/>
    <n v="0"/>
    <n v="0"/>
    <n v="47"/>
    <x v="1"/>
    <n v="0"/>
    <n v="40"/>
    <n v="0"/>
    <n v="0"/>
    <n v="26.22"/>
    <n v="0"/>
    <n v="0"/>
    <n v="28.891757284072764"/>
    <m/>
    <m/>
    <n v="117851.55839999999"/>
    <n v="0"/>
    <n v="0"/>
    <n v="129860.35929986754"/>
    <n v="0"/>
    <n v="0"/>
  </r>
  <r>
    <s v="Refaturamento - Regular"/>
    <x v="1"/>
    <x v="3"/>
    <x v="2"/>
    <x v="0"/>
    <x v="0"/>
    <x v="0"/>
    <x v="1"/>
    <x v="8"/>
    <n v="17"/>
    <n v="16.32"/>
    <n v="0"/>
    <n v="0"/>
    <n v="0"/>
    <n v="0"/>
    <n v="1"/>
    <x v="1"/>
    <n v="0"/>
    <n v="40"/>
    <n v="0"/>
    <n v="0"/>
    <n v="26.22"/>
    <n v="0"/>
    <n v="0"/>
    <n v="28.891757284072764"/>
    <m/>
    <m/>
    <n v="427.91039999999998"/>
    <n v="0"/>
    <n v="0"/>
    <n v="471.5134788760675"/>
    <n v="0"/>
    <n v="0"/>
  </r>
  <r>
    <s v="Sistema de Compensação"/>
    <x v="1"/>
    <x v="3"/>
    <x v="2"/>
    <x v="0"/>
    <x v="0"/>
    <x v="0"/>
    <x v="1"/>
    <x v="8"/>
    <n v="217"/>
    <n v="208.32"/>
    <n v="0"/>
    <n v="0"/>
    <n v="0"/>
    <n v="0"/>
    <n v="3"/>
    <x v="1"/>
    <n v="0"/>
    <n v="40"/>
    <n v="0"/>
    <n v="0"/>
    <n v="26.22"/>
    <n v="0"/>
    <n v="0"/>
    <n v="28.891757284072764"/>
    <m/>
    <m/>
    <n v="5462.1503999999995"/>
    <n v="0"/>
    <n v="0"/>
    <n v="6018.7308774180383"/>
    <n v="0"/>
    <n v="0"/>
  </r>
  <r>
    <s v="Sistema de Compensação"/>
    <x v="1"/>
    <x v="3"/>
    <x v="2"/>
    <x v="0"/>
    <x v="0"/>
    <x v="0"/>
    <x v="1"/>
    <x v="8"/>
    <n v="-520"/>
    <n v="-499.2"/>
    <n v="0"/>
    <n v="0"/>
    <n v="0"/>
    <n v="0"/>
    <n v="-6"/>
    <x v="1"/>
    <n v="0"/>
    <n v="40"/>
    <n v="0"/>
    <n v="0"/>
    <n v="26.22"/>
    <n v="0"/>
    <n v="0"/>
    <n v="28.891757284072764"/>
    <m/>
    <m/>
    <n v="-13089.023999999999"/>
    <n v="0"/>
    <n v="0"/>
    <n v="-14422.765236209123"/>
    <n v="0"/>
    <n v="0"/>
  </r>
  <r>
    <s v="Regular"/>
    <x v="1"/>
    <x v="3"/>
    <x v="2"/>
    <x v="0"/>
    <x v="0"/>
    <x v="0"/>
    <x v="1"/>
    <x v="9"/>
    <n v="4598"/>
    <n v="4414.08"/>
    <n v="0"/>
    <n v="0"/>
    <n v="0"/>
    <n v="0"/>
    <n v="53"/>
    <x v="1"/>
    <n v="0"/>
    <n v="40"/>
    <n v="0"/>
    <n v="0"/>
    <n v="26.22"/>
    <n v="0"/>
    <n v="0"/>
    <n v="28.891757284072764"/>
    <m/>
    <m/>
    <n v="115737.1776"/>
    <n v="0"/>
    <n v="0"/>
    <n v="127530.5279924799"/>
    <n v="0"/>
    <n v="0"/>
  </r>
  <r>
    <s v="Sistema de Compensação"/>
    <x v="1"/>
    <x v="3"/>
    <x v="2"/>
    <x v="0"/>
    <x v="0"/>
    <x v="0"/>
    <x v="1"/>
    <x v="9"/>
    <n v="214"/>
    <n v="205.44"/>
    <n v="0"/>
    <n v="0"/>
    <n v="0"/>
    <n v="0"/>
    <n v="3"/>
    <x v="1"/>
    <n v="0"/>
    <n v="40"/>
    <n v="0"/>
    <n v="0"/>
    <n v="26.22"/>
    <n v="0"/>
    <n v="0"/>
    <n v="28.891757284072764"/>
    <m/>
    <m/>
    <n v="5386.6367999999993"/>
    <n v="0"/>
    <n v="0"/>
    <n v="5935.5226164399082"/>
    <n v="0"/>
    <n v="0"/>
  </r>
  <r>
    <s v="Regular"/>
    <x v="1"/>
    <x v="3"/>
    <x v="2"/>
    <x v="0"/>
    <x v="0"/>
    <x v="0"/>
    <x v="1"/>
    <x v="10"/>
    <n v="4745"/>
    <n v="4555.2"/>
    <n v="0"/>
    <n v="0"/>
    <n v="0"/>
    <n v="0"/>
    <n v="60"/>
    <x v="1"/>
    <n v="0"/>
    <n v="40"/>
    <n v="0"/>
    <n v="0"/>
    <n v="26.22"/>
    <n v="0"/>
    <n v="0"/>
    <n v="28.891757284072764"/>
    <m/>
    <m/>
    <n v="119437.344"/>
    <n v="0"/>
    <n v="0"/>
    <n v="131607.73278040826"/>
    <n v="0"/>
    <n v="0"/>
  </r>
  <r>
    <s v="Sistema de Compensação"/>
    <x v="1"/>
    <x v="3"/>
    <x v="2"/>
    <x v="0"/>
    <x v="0"/>
    <x v="0"/>
    <x v="1"/>
    <x v="10"/>
    <n v="204"/>
    <n v="195.84"/>
    <n v="0"/>
    <n v="0"/>
    <n v="0"/>
    <n v="0"/>
    <n v="3"/>
    <x v="1"/>
    <n v="0"/>
    <n v="40"/>
    <n v="0"/>
    <n v="0"/>
    <n v="26.22"/>
    <n v="0"/>
    <n v="0"/>
    <n v="28.891757284072764"/>
    <m/>
    <m/>
    <n v="5134.9247999999998"/>
    <n v="0"/>
    <n v="0"/>
    <n v="5658.1617465128102"/>
    <n v="0"/>
    <n v="0"/>
  </r>
  <r>
    <s v="PROJETADO"/>
    <x v="1"/>
    <x v="3"/>
    <x v="2"/>
    <x v="0"/>
    <x v="0"/>
    <x v="0"/>
    <x v="1"/>
    <x v="11"/>
    <n v="4745"/>
    <n v="4555.2"/>
    <n v="0"/>
    <n v="0"/>
    <n v="0"/>
    <n v="0"/>
    <n v="60"/>
    <x v="1"/>
    <n v="0"/>
    <n v="40"/>
    <n v="0"/>
    <n v="0"/>
    <n v="26.22"/>
    <n v="0"/>
    <n v="0"/>
    <n v="28.891757284072764"/>
    <m/>
    <m/>
    <n v="119437.344"/>
    <n v="0"/>
    <n v="0"/>
    <n v="131607.73278040826"/>
    <n v="0"/>
    <n v="0"/>
  </r>
  <r>
    <s v="PROJETADO"/>
    <x v="1"/>
    <x v="3"/>
    <x v="2"/>
    <x v="0"/>
    <x v="0"/>
    <x v="0"/>
    <x v="1"/>
    <x v="11"/>
    <n v="204"/>
    <n v="195.84"/>
    <n v="0"/>
    <n v="0"/>
    <n v="0"/>
    <n v="0"/>
    <n v="3"/>
    <x v="1"/>
    <n v="0"/>
    <n v="40"/>
    <n v="0"/>
    <n v="0"/>
    <n v="26.22"/>
    <n v="0"/>
    <n v="0"/>
    <n v="28.891757284072764"/>
    <m/>
    <m/>
    <n v="5134.9247999999998"/>
    <n v="0"/>
    <n v="0"/>
    <n v="5658.1617465128102"/>
    <n v="0"/>
    <n v="0"/>
  </r>
  <r>
    <s v="Regular"/>
    <x v="1"/>
    <x v="3"/>
    <x v="2"/>
    <x v="0"/>
    <x v="0"/>
    <x v="0"/>
    <x v="2"/>
    <x v="0"/>
    <n v="0"/>
    <n v="0"/>
    <n v="62.174999999999997"/>
    <n v="59.688000000000002"/>
    <n v="62.174999999999997"/>
    <n v="59.688000000000002"/>
    <n v="0"/>
    <x v="1"/>
    <n v="0"/>
    <n v="0"/>
    <n v="42"/>
    <n v="66"/>
    <n v="0"/>
    <n v="1330.19"/>
    <n v="397.62"/>
    <m/>
    <n v="1471.0742690262982"/>
    <n v="351.67159959099928"/>
    <n v="0"/>
    <n v="79396.380720000001"/>
    <n v="23733.14256"/>
    <n v="0"/>
    <n v="87805.480969641692"/>
    <n v="20990.574436387567"/>
  </r>
  <r>
    <s v="Sistema de Compensação"/>
    <x v="1"/>
    <x v="3"/>
    <x v="2"/>
    <x v="0"/>
    <x v="0"/>
    <x v="0"/>
    <x v="2"/>
    <x v="0"/>
    <n v="0"/>
    <n v="0"/>
    <n v="5.22"/>
    <n v="5.0111999999999997"/>
    <n v="5.22"/>
    <n v="5.0111999999999997"/>
    <n v="0"/>
    <x v="1"/>
    <n v="0"/>
    <n v="0"/>
    <n v="42"/>
    <n v="66"/>
    <n v="0"/>
    <n v="1330.19"/>
    <n v="397.62"/>
    <m/>
    <n v="1471.0742690262982"/>
    <n v="351.67159959099928"/>
    <n v="0"/>
    <n v="6665.8481279999996"/>
    <n v="1992.5533439999999"/>
    <n v="0"/>
    <n v="7371.8473769445854"/>
    <n v="1762.2967198704155"/>
  </r>
  <r>
    <s v="Regular"/>
    <x v="1"/>
    <x v="3"/>
    <x v="2"/>
    <x v="0"/>
    <x v="0"/>
    <x v="0"/>
    <x v="2"/>
    <x v="1"/>
    <n v="0"/>
    <n v="0"/>
    <n v="72.335999999999999"/>
    <n v="69.44256"/>
    <n v="72.335999999999999"/>
    <n v="69.44256"/>
    <n v="0"/>
    <x v="1"/>
    <n v="0"/>
    <n v="0"/>
    <n v="42"/>
    <n v="66"/>
    <n v="0"/>
    <n v="1330.19"/>
    <n v="397.62"/>
    <m/>
    <n v="1471.0742690262982"/>
    <n v="351.67159959099928"/>
    <n v="0"/>
    <n v="92371.798886400007"/>
    <n v="27611.750707200001"/>
    <n v="0"/>
    <n v="102155.16319131486"/>
    <n v="24420.976154893942"/>
  </r>
  <r>
    <s v="Sistema de Compensação"/>
    <x v="1"/>
    <x v="3"/>
    <x v="2"/>
    <x v="0"/>
    <x v="0"/>
    <x v="0"/>
    <x v="2"/>
    <x v="1"/>
    <n v="0"/>
    <n v="0"/>
    <n v="5.0069999999999997"/>
    <n v="4.8067200000000003"/>
    <n v="5.0069999999999997"/>
    <n v="4.8067200000000003"/>
    <n v="0"/>
    <x v="1"/>
    <n v="0"/>
    <n v="0"/>
    <n v="42"/>
    <n v="66"/>
    <n v="0"/>
    <n v="1330.19"/>
    <n v="397.62"/>
    <m/>
    <n v="1471.0742690262982"/>
    <n v="351.67159959099928"/>
    <n v="0"/>
    <n v="6393.8508768000011"/>
    <n v="1911.2480064000001"/>
    <n v="0"/>
    <n v="7071.0421104140887"/>
    <n v="1690.3869111860481"/>
  </r>
  <r>
    <s v="Regular"/>
    <x v="1"/>
    <x v="3"/>
    <x v="2"/>
    <x v="0"/>
    <x v="0"/>
    <x v="0"/>
    <x v="2"/>
    <x v="2"/>
    <n v="0"/>
    <n v="0"/>
    <n v="36.887"/>
    <n v="35.411520000000003"/>
    <n v="36.887"/>
    <n v="35.411520000000003"/>
    <n v="0"/>
    <x v="1"/>
    <n v="0"/>
    <n v="0"/>
    <n v="42"/>
    <n v="66"/>
    <n v="0"/>
    <n v="1330.19"/>
    <n v="397.62"/>
    <m/>
    <n v="1471.0742690262982"/>
    <n v="351.67159959099928"/>
    <n v="0"/>
    <n v="47104.049788800003"/>
    <n v="14080.328582400001"/>
    <n v="0"/>
    <n v="52092.975899110148"/>
    <n v="12453.225882348665"/>
  </r>
  <r>
    <s v="Sistema de Compensação"/>
    <x v="1"/>
    <x v="3"/>
    <x v="2"/>
    <x v="0"/>
    <x v="0"/>
    <x v="0"/>
    <x v="2"/>
    <x v="2"/>
    <n v="0"/>
    <n v="0"/>
    <n v="5.41"/>
    <n v="5.1936"/>
    <n v="5.41"/>
    <n v="5.1936"/>
    <n v="0"/>
    <x v="1"/>
    <n v="0"/>
    <n v="0"/>
    <n v="42"/>
    <n v="66"/>
    <n v="0"/>
    <n v="1330.19"/>
    <n v="397.62"/>
    <m/>
    <n v="1471.0742690262982"/>
    <n v="351.67159959099928"/>
    <n v="0"/>
    <n v="6908.474784"/>
    <n v="2065.079232"/>
    <n v="0"/>
    <n v="7640.1713236149826"/>
    <n v="1826.4416196358138"/>
  </r>
  <r>
    <s v="Regular"/>
    <x v="1"/>
    <x v="3"/>
    <x v="2"/>
    <x v="0"/>
    <x v="0"/>
    <x v="0"/>
    <x v="2"/>
    <x v="3"/>
    <n v="0"/>
    <n v="0"/>
    <n v="29.646000000000001"/>
    <n v="28.460159999999998"/>
    <n v="29.646000000000001"/>
    <n v="28.460159999999998"/>
    <n v="0"/>
    <x v="1"/>
    <n v="0"/>
    <n v="0"/>
    <n v="42"/>
    <n v="66"/>
    <n v="0"/>
    <n v="1330.19"/>
    <n v="397.62"/>
    <m/>
    <n v="1471.0742690262982"/>
    <n v="351.67159959099928"/>
    <n v="0"/>
    <n v="37857.420230399999"/>
    <n v="11316.3288192"/>
    <n v="0"/>
    <n v="41867.009068371488"/>
    <n v="10008.629991815773"/>
  </r>
  <r>
    <s v="Sistema de Compensação"/>
    <x v="1"/>
    <x v="3"/>
    <x v="2"/>
    <x v="0"/>
    <x v="0"/>
    <x v="0"/>
    <x v="2"/>
    <x v="3"/>
    <n v="0"/>
    <n v="0"/>
    <n v="5.5730000000000004"/>
    <n v="5.3500800000000002"/>
    <n v="5.5730000000000004"/>
    <n v="5.3500800000000002"/>
    <n v="0"/>
    <x v="1"/>
    <n v="0"/>
    <n v="0"/>
    <n v="42"/>
    <n v="66"/>
    <n v="0"/>
    <n v="1330.19"/>
    <n v="397.62"/>
    <m/>
    <n v="1471.0742690262982"/>
    <n v="351.67159959099928"/>
    <n v="0"/>
    <n v="7116.6229152000005"/>
    <n v="2127.2988095999999"/>
    <n v="0"/>
    <n v="7870.3650252322177"/>
    <n v="1881.4711915398134"/>
  </r>
  <r>
    <s v="Sistema de Compensação"/>
    <x v="1"/>
    <x v="3"/>
    <x v="2"/>
    <x v="0"/>
    <x v="0"/>
    <x v="0"/>
    <x v="2"/>
    <x v="3"/>
    <n v="0"/>
    <n v="0"/>
    <n v="-0.32800000000000001"/>
    <n v="-0.31487999999999999"/>
    <n v="-0.32800000000000001"/>
    <n v="-0.31487999999999999"/>
    <n v="0"/>
    <x v="1"/>
    <n v="0"/>
    <n v="0"/>
    <n v="42"/>
    <n v="66"/>
    <n v="0"/>
    <n v="1330.19"/>
    <n v="397.62"/>
    <m/>
    <n v="1471.0742690262982"/>
    <n v="351.67159959099928"/>
    <n v="0"/>
    <n v="-418.85022720000001"/>
    <n v="-125.20258559999999"/>
    <n v="0"/>
    <n v="-463.21186583100075"/>
    <n v="-110.73435327921385"/>
  </r>
  <r>
    <s v="Regular"/>
    <x v="1"/>
    <x v="3"/>
    <x v="2"/>
    <x v="0"/>
    <x v="0"/>
    <x v="0"/>
    <x v="2"/>
    <x v="4"/>
    <n v="0"/>
    <n v="0"/>
    <n v="51.064999999999998"/>
    <n v="49.022399999999998"/>
    <n v="51.064999999999998"/>
    <n v="49.022399999999998"/>
    <n v="0"/>
    <x v="1"/>
    <n v="0"/>
    <n v="0"/>
    <n v="42"/>
    <n v="66"/>
    <n v="0"/>
    <n v="1330.19"/>
    <n v="397.62"/>
    <m/>
    <n v="1471.0742690262982"/>
    <n v="351.67159959099928"/>
    <n v="0"/>
    <n v="65209.106255999999"/>
    <n v="19492.286688"/>
    <n v="0"/>
    <n v="72115.591245914795"/>
    <n v="17239.785823789804"/>
  </r>
  <r>
    <s v="Sistema de Compensação"/>
    <x v="1"/>
    <x v="3"/>
    <x v="2"/>
    <x v="0"/>
    <x v="0"/>
    <x v="0"/>
    <x v="2"/>
    <x v="4"/>
    <n v="0"/>
    <n v="0"/>
    <n v="5.8719999999999999"/>
    <n v="5.6371200000000004"/>
    <n v="5.8719999999999999"/>
    <n v="5.6371200000000004"/>
    <n v="0"/>
    <x v="1"/>
    <n v="0"/>
    <n v="0"/>
    <n v="42"/>
    <n v="66"/>
    <n v="0"/>
    <n v="1330.19"/>
    <n v="397.62"/>
    <m/>
    <n v="1471.0742690262982"/>
    <n v="351.67159959099928"/>
    <n v="0"/>
    <n v="7498.4406528000009"/>
    <n v="2241.4316544000003"/>
    <n v="0"/>
    <n v="8292.6221834135267"/>
    <n v="1982.415007486414"/>
  </r>
  <r>
    <s v="Regular"/>
    <x v="1"/>
    <x v="3"/>
    <x v="2"/>
    <x v="0"/>
    <x v="0"/>
    <x v="0"/>
    <x v="2"/>
    <x v="5"/>
    <n v="0"/>
    <n v="0"/>
    <n v="43.834000000000003"/>
    <n v="42.080640000000002"/>
    <n v="43.834000000000003"/>
    <n v="42.080640000000002"/>
    <n v="0"/>
    <x v="1"/>
    <n v="0"/>
    <n v="0"/>
    <n v="42"/>
    <n v="66"/>
    <n v="0"/>
    <n v="1330.19"/>
    <n v="397.62"/>
    <m/>
    <n v="1471.0742690262982"/>
    <n v="351.67159959099928"/>
    <n v="0"/>
    <n v="55975.246521600006"/>
    <n v="16732.104076800002"/>
    <n v="0"/>
    <n v="61903.746728158811"/>
    <n v="14798.565980612988"/>
  </r>
  <r>
    <s v="Sistema de Compensação"/>
    <x v="1"/>
    <x v="3"/>
    <x v="2"/>
    <x v="0"/>
    <x v="0"/>
    <x v="0"/>
    <x v="2"/>
    <x v="5"/>
    <n v="0"/>
    <n v="0"/>
    <n v="5.3609999999999998"/>
    <n v="5.14656"/>
    <n v="5.3609999999999998"/>
    <n v="5.14656"/>
    <n v="0"/>
    <x v="1"/>
    <n v="0"/>
    <n v="0"/>
    <n v="42"/>
    <n v="66"/>
    <n v="0"/>
    <n v="1330.19"/>
    <n v="397.62"/>
    <m/>
    <n v="1471.0742690262982"/>
    <n v="351.67159959099928"/>
    <n v="0"/>
    <n v="6845.9026463999999"/>
    <n v="2046.3751872"/>
    <n v="0"/>
    <n v="7570.9719899999855"/>
    <n v="1809.8989875910534"/>
  </r>
  <r>
    <s v="Regular"/>
    <x v="1"/>
    <x v="3"/>
    <x v="2"/>
    <x v="0"/>
    <x v="0"/>
    <x v="0"/>
    <x v="2"/>
    <x v="6"/>
    <n v="0"/>
    <n v="0"/>
    <n v="32.957000000000001"/>
    <n v="31.638719999999999"/>
    <n v="32.957000000000001"/>
    <n v="31.638719999999999"/>
    <n v="0"/>
    <x v="1"/>
    <n v="0"/>
    <n v="0"/>
    <n v="42"/>
    <n v="66"/>
    <n v="0"/>
    <n v="1330.19"/>
    <n v="397.62"/>
    <m/>
    <n v="1471.0742690262982"/>
    <n v="351.67159959099928"/>
    <n v="0"/>
    <n v="42085.508956800004"/>
    <n v="12580.1878464"/>
    <n v="0"/>
    <n v="46542.906896927721"/>
    <n v="11126.43927141174"/>
  </r>
  <r>
    <s v="Sistema de Compensação"/>
    <x v="1"/>
    <x v="3"/>
    <x v="2"/>
    <x v="0"/>
    <x v="0"/>
    <x v="0"/>
    <x v="2"/>
    <x v="6"/>
    <n v="0"/>
    <n v="0"/>
    <n v="5.0780000000000003"/>
    <n v="4.8748800000000001"/>
    <n v="5.0780000000000003"/>
    <n v="4.8748800000000001"/>
    <n v="0"/>
    <x v="1"/>
    <n v="0"/>
    <n v="0"/>
    <n v="42"/>
    <n v="66"/>
    <n v="0"/>
    <n v="1330.19"/>
    <n v="397.62"/>
    <m/>
    <n v="1471.0742690262982"/>
    <n v="351.67159959099928"/>
    <n v="0"/>
    <n v="6484.5166272000006"/>
    <n v="1938.3497856000001"/>
    <n v="0"/>
    <n v="7171.310532590921"/>
    <n v="1714.3568474141705"/>
  </r>
  <r>
    <s v="Regular"/>
    <x v="1"/>
    <x v="3"/>
    <x v="2"/>
    <x v="0"/>
    <x v="0"/>
    <x v="0"/>
    <x v="2"/>
    <x v="7"/>
    <n v="0"/>
    <n v="0"/>
    <n v="28.315999999999999"/>
    <n v="27.18336"/>
    <n v="28.315999999999999"/>
    <n v="27.18336"/>
    <n v="0"/>
    <x v="1"/>
    <n v="0"/>
    <n v="0"/>
    <n v="42"/>
    <n v="66"/>
    <n v="0"/>
    <n v="1330.19"/>
    <n v="397.62"/>
    <m/>
    <n v="1471.0742690262982"/>
    <n v="351.67159959099928"/>
    <n v="0"/>
    <n v="36159.033638400004"/>
    <n v="10808.647603200001"/>
    <n v="0"/>
    <n v="39988.741441678714"/>
    <n v="9559.6156934579867"/>
  </r>
  <r>
    <s v="Refaturamento - Regular"/>
    <x v="1"/>
    <x v="3"/>
    <x v="2"/>
    <x v="0"/>
    <x v="0"/>
    <x v="0"/>
    <x v="2"/>
    <x v="7"/>
    <n v="0"/>
    <n v="0"/>
    <n v="-3.9660000000000002"/>
    <n v="-3.8073600000000001"/>
    <n v="-3.9660000000000002"/>
    <n v="-3.8073600000000001"/>
    <n v="0"/>
    <x v="1"/>
    <n v="0"/>
    <n v="0"/>
    <n v="42"/>
    <n v="66"/>
    <n v="0"/>
    <n v="1330.19"/>
    <n v="397.62"/>
    <m/>
    <n v="1471.0742690262982"/>
    <n v="351.67159959099928"/>
    <n v="0"/>
    <n v="-5064.5121984000007"/>
    <n v="-1513.8824832"/>
    <n v="0"/>
    <n v="-5600.9093289199673"/>
    <n v="-1338.940381418787"/>
  </r>
  <r>
    <s v="Sistema de Compensação"/>
    <x v="1"/>
    <x v="3"/>
    <x v="2"/>
    <x v="0"/>
    <x v="0"/>
    <x v="0"/>
    <x v="2"/>
    <x v="7"/>
    <n v="0"/>
    <n v="0"/>
    <n v="5.1529999999999996"/>
    <n v="4.9468800000000002"/>
    <n v="5.1529999999999996"/>
    <n v="4.9468800000000002"/>
    <n v="0"/>
    <x v="1"/>
    <n v="0"/>
    <n v="0"/>
    <n v="42"/>
    <n v="66"/>
    <n v="0"/>
    <n v="1330.19"/>
    <n v="397.62"/>
    <m/>
    <n v="1471.0742690262982"/>
    <n v="351.67159959099928"/>
    <n v="0"/>
    <n v="6580.2903072000008"/>
    <n v="1966.9784256"/>
    <n v="0"/>
    <n v="7277.2278799608148"/>
    <n v="1739.6772025847226"/>
  </r>
  <r>
    <s v="Regular"/>
    <x v="1"/>
    <x v="3"/>
    <x v="2"/>
    <x v="0"/>
    <x v="0"/>
    <x v="0"/>
    <x v="2"/>
    <x v="8"/>
    <n v="0"/>
    <n v="0"/>
    <n v="35.521999999999998"/>
    <n v="34.101120000000002"/>
    <n v="35.521999999999998"/>
    <n v="34.101120000000002"/>
    <n v="0"/>
    <x v="1"/>
    <n v="0"/>
    <n v="0"/>
    <n v="42"/>
    <n v="66"/>
    <n v="0"/>
    <n v="1330.19"/>
    <n v="397.62"/>
    <m/>
    <n v="1471.0742690262982"/>
    <n v="351.67159959099928"/>
    <n v="0"/>
    <n v="45360.968812800005"/>
    <n v="13559.2873344"/>
    <n v="0"/>
    <n v="50165.280176978078"/>
    <n v="11992.395418244618"/>
  </r>
  <r>
    <s v="Refaturamento - Regular"/>
    <x v="1"/>
    <x v="3"/>
    <x v="2"/>
    <x v="0"/>
    <x v="0"/>
    <x v="0"/>
    <x v="2"/>
    <x v="8"/>
    <n v="0"/>
    <n v="0"/>
    <n v="0.152"/>
    <n v="0.14591999999999999"/>
    <n v="0.152"/>
    <n v="0.14591999999999999"/>
    <n v="0"/>
    <x v="1"/>
    <n v="0"/>
    <n v="0"/>
    <n v="42"/>
    <n v="66"/>
    <n v="0"/>
    <n v="1330.19"/>
    <n v="397.62"/>
    <m/>
    <n v="1471.0742690262982"/>
    <n v="351.67159959099928"/>
    <n v="0"/>
    <n v="194.10132479999999"/>
    <n v="58.020710399999999"/>
    <n v="0"/>
    <n v="214.65915733631743"/>
    <n v="51.315919812318612"/>
  </r>
  <r>
    <s v="Sistema de Compensação"/>
    <x v="1"/>
    <x v="3"/>
    <x v="2"/>
    <x v="0"/>
    <x v="0"/>
    <x v="0"/>
    <x v="2"/>
    <x v="8"/>
    <n v="0"/>
    <n v="0"/>
    <n v="4.6909999999999998"/>
    <n v="4.5033599999999998"/>
    <n v="4.6909999999999998"/>
    <n v="4.5033599999999998"/>
    <n v="0"/>
    <x v="1"/>
    <n v="0"/>
    <n v="0"/>
    <n v="42"/>
    <n v="66"/>
    <n v="0"/>
    <n v="1330.19"/>
    <n v="397.62"/>
    <m/>
    <n v="1471.0742690262982"/>
    <n v="351.67159959099928"/>
    <n v="0"/>
    <n v="5990.3244384"/>
    <n v="1790.6260032"/>
    <n v="0"/>
    <n v="6624.7770201622698"/>
    <n v="1583.7038147341225"/>
  </r>
  <r>
    <s v="Sistema de Compensação"/>
    <x v="1"/>
    <x v="3"/>
    <x v="2"/>
    <x v="0"/>
    <x v="0"/>
    <x v="0"/>
    <x v="2"/>
    <x v="8"/>
    <n v="0"/>
    <n v="0"/>
    <n v="-5.0999999999999997E-2"/>
    <n v="-4.8959999999999997E-2"/>
    <n v="-5.0999999999999997E-2"/>
    <n v="-4.8959999999999997E-2"/>
    <n v="0"/>
    <x v="1"/>
    <n v="0"/>
    <n v="0"/>
    <n v="42"/>
    <n v="66"/>
    <n v="0"/>
    <n v="1330.19"/>
    <n v="397.62"/>
    <m/>
    <n v="1471.0742690262982"/>
    <n v="351.67159959099928"/>
    <n v="0"/>
    <n v="-65.126102399999994"/>
    <n v="-19.467475199999999"/>
    <n v="0"/>
    <n v="-72.023796211527554"/>
    <n v="-17.217841515975323"/>
  </r>
  <r>
    <s v="Regular"/>
    <x v="1"/>
    <x v="3"/>
    <x v="2"/>
    <x v="0"/>
    <x v="0"/>
    <x v="0"/>
    <x v="2"/>
    <x v="9"/>
    <n v="0"/>
    <n v="0"/>
    <n v="41.817999999999998"/>
    <n v="40.14528"/>
    <n v="41.817999999999998"/>
    <n v="40.14528"/>
    <n v="0"/>
    <x v="1"/>
    <n v="0"/>
    <n v="0"/>
    <n v="42"/>
    <n v="66"/>
    <n v="0"/>
    <n v="1330.19"/>
    <n v="397.62"/>
    <m/>
    <n v="1471.0742690262982"/>
    <n v="351.67159959099928"/>
    <n v="0"/>
    <n v="53400.850003200001"/>
    <n v="15962.5662336"/>
    <n v="0"/>
    <n v="59056.688430856069"/>
    <n v="14117.954833628552"/>
  </r>
  <r>
    <s v="Sistema de Compensação"/>
    <x v="1"/>
    <x v="3"/>
    <x v="2"/>
    <x v="0"/>
    <x v="0"/>
    <x v="0"/>
    <x v="2"/>
    <x v="9"/>
    <n v="0"/>
    <n v="0"/>
    <n v="5.0430000000000001"/>
    <n v="4.8412800000000002"/>
    <n v="5.0430000000000001"/>
    <n v="4.8412800000000002"/>
    <n v="0"/>
    <x v="1"/>
    <n v="0"/>
    <n v="0"/>
    <n v="42"/>
    <n v="66"/>
    <n v="0"/>
    <n v="1330.19"/>
    <n v="397.62"/>
    <m/>
    <n v="1471.0742690262982"/>
    <n v="351.67159959099928"/>
    <n v="0"/>
    <n v="6439.8222432000002"/>
    <n v="1924.9897536000001"/>
    <n v="0"/>
    <n v="7121.8824371516375"/>
    <n v="1702.5406816679131"/>
  </r>
  <r>
    <s v="Regular"/>
    <x v="1"/>
    <x v="3"/>
    <x v="2"/>
    <x v="0"/>
    <x v="0"/>
    <x v="0"/>
    <x v="2"/>
    <x v="10"/>
    <n v="0"/>
    <n v="0"/>
    <n v="34.619999999999997"/>
    <n v="33.235199999999999"/>
    <n v="34.619999999999997"/>
    <n v="33.235199999999999"/>
    <n v="0"/>
    <x v="1"/>
    <n v="0"/>
    <n v="0"/>
    <n v="42"/>
    <n v="66"/>
    <n v="0"/>
    <n v="1330.19"/>
    <n v="397.62"/>
    <m/>
    <n v="1471.0742690262982"/>
    <n v="351.67159959099928"/>
    <n v="0"/>
    <n v="44209.130687999997"/>
    <n v="13214.980223999999"/>
    <n v="0"/>
    <n v="48891.447545942829"/>
    <n v="11687.875946726779"/>
  </r>
  <r>
    <s v="Sistema de Compensação"/>
    <x v="1"/>
    <x v="3"/>
    <x v="2"/>
    <x v="0"/>
    <x v="0"/>
    <x v="0"/>
    <x v="2"/>
    <x v="10"/>
    <n v="0"/>
    <n v="0"/>
    <n v="4.3789999999999996"/>
    <n v="4.2038399999999996"/>
    <n v="4.3789999999999996"/>
    <n v="4.2038399999999996"/>
    <n v="0"/>
    <x v="1"/>
    <n v="0"/>
    <n v="0"/>
    <n v="42"/>
    <n v="66"/>
    <n v="0"/>
    <n v="1330.19"/>
    <n v="397.62"/>
    <m/>
    <n v="1471.0742690262982"/>
    <n v="351.67159959099928"/>
    <n v="0"/>
    <n v="5591.9059295999996"/>
    <n v="1671.5308607999998"/>
    <n v="0"/>
    <n v="6184.1608551035133"/>
    <n v="1478.3711372246262"/>
  </r>
  <r>
    <s v="PROJETADO"/>
    <x v="1"/>
    <x v="3"/>
    <x v="2"/>
    <x v="0"/>
    <x v="0"/>
    <x v="0"/>
    <x v="2"/>
    <x v="11"/>
    <n v="0"/>
    <n v="0"/>
    <n v="34.619999999999997"/>
    <n v="33.235199999999999"/>
    <n v="34.619999999999997"/>
    <n v="33.235199999999999"/>
    <n v="0"/>
    <x v="1"/>
    <n v="0"/>
    <n v="0"/>
    <n v="42"/>
    <n v="66"/>
    <n v="0"/>
    <n v="1330.19"/>
    <n v="397.62"/>
    <m/>
    <n v="1471.0742690262982"/>
    <n v="351.67159959099928"/>
    <n v="0"/>
    <n v="44209.130687999997"/>
    <n v="13214.980223999999"/>
    <n v="0"/>
    <n v="48891.447545942829"/>
    <n v="11687.875946726779"/>
  </r>
  <r>
    <s v="PROJETADO"/>
    <x v="1"/>
    <x v="3"/>
    <x v="2"/>
    <x v="0"/>
    <x v="0"/>
    <x v="0"/>
    <x v="2"/>
    <x v="11"/>
    <n v="0"/>
    <n v="0"/>
    <n v="4.3789999999999996"/>
    <n v="4.2038399999999996"/>
    <n v="4.3789999999999996"/>
    <n v="4.2038399999999996"/>
    <n v="0"/>
    <x v="1"/>
    <n v="0"/>
    <n v="0"/>
    <n v="42"/>
    <n v="66"/>
    <n v="0"/>
    <n v="1330.19"/>
    <n v="397.62"/>
    <m/>
    <n v="1471.0742690262982"/>
    <n v="351.67159959099928"/>
    <n v="0"/>
    <n v="5591.9059295999996"/>
    <n v="1671.5308607999998"/>
    <n v="0"/>
    <n v="6184.1608551035133"/>
    <n v="1478.3711372246262"/>
  </r>
  <r>
    <s v="Regular"/>
    <x v="1"/>
    <x v="3"/>
    <x v="3"/>
    <x v="1"/>
    <x v="0"/>
    <x v="0"/>
    <x v="0"/>
    <x v="0"/>
    <n v="0"/>
    <n v="0"/>
    <n v="2140.3910000000001"/>
    <n v="2011.9675400000001"/>
    <n v="2140.3910000000001"/>
    <n v="2011.9675400000001"/>
    <n v="0"/>
    <x v="1"/>
    <n v="0"/>
    <n v="0"/>
    <n v="44"/>
    <n v="67"/>
    <n v="0"/>
    <n v="62.57"/>
    <n v="242.82"/>
    <m/>
    <n v="75.886085105957733"/>
    <n v="224.53785920244138"/>
    <n v="0"/>
    <n v="125888.80897780001"/>
    <n v="488545.9580628"/>
    <n v="0"/>
    <n v="152680.33997086441"/>
    <n v="451762.88421640237"/>
  </r>
  <r>
    <s v="Regular"/>
    <x v="1"/>
    <x v="3"/>
    <x v="3"/>
    <x v="1"/>
    <x v="0"/>
    <x v="0"/>
    <x v="0"/>
    <x v="1"/>
    <n v="0"/>
    <n v="0"/>
    <n v="2002.85"/>
    <n v="1882.6790000000001"/>
    <n v="2002.85"/>
    <n v="1882.6790000000001"/>
    <n v="0"/>
    <x v="1"/>
    <n v="0"/>
    <n v="0"/>
    <n v="44"/>
    <n v="67"/>
    <n v="0"/>
    <n v="62.57"/>
    <n v="242.82"/>
    <m/>
    <n v="75.886085105957733"/>
    <n v="224.53785920244138"/>
    <n v="0"/>
    <n v="117799.22503"/>
    <n v="457152.11478"/>
    <n v="0"/>
    <n v="142869.13882119939"/>
    <n v="422732.71222539316"/>
  </r>
  <r>
    <s v="Regular"/>
    <x v="1"/>
    <x v="3"/>
    <x v="3"/>
    <x v="1"/>
    <x v="0"/>
    <x v="0"/>
    <x v="0"/>
    <x v="2"/>
    <n v="0"/>
    <n v="0"/>
    <n v="2107.96"/>
    <n v="1981.4824000000001"/>
    <n v="2107.96"/>
    <n v="1981.4824000000001"/>
    <n v="0"/>
    <x v="1"/>
    <n v="0"/>
    <n v="0"/>
    <n v="44"/>
    <n v="67"/>
    <n v="0"/>
    <n v="62.57"/>
    <n v="242.82"/>
    <m/>
    <n v="75.886085105957733"/>
    <n v="224.53785920244138"/>
    <n v="0"/>
    <n v="123981.353768"/>
    <n v="481143.55636799999"/>
    <n v="0"/>
    <n v="150366.94204235738"/>
    <n v="444917.81614331563"/>
  </r>
  <r>
    <s v="Regular"/>
    <x v="1"/>
    <x v="3"/>
    <x v="3"/>
    <x v="1"/>
    <x v="0"/>
    <x v="0"/>
    <x v="0"/>
    <x v="3"/>
    <n v="0"/>
    <n v="0"/>
    <n v="2219.277"/>
    <n v="2086.1203799999998"/>
    <n v="2219.277"/>
    <n v="2086.1203799999998"/>
    <n v="0"/>
    <x v="1"/>
    <n v="0"/>
    <n v="0"/>
    <n v="44"/>
    <n v="67"/>
    <n v="0"/>
    <n v="62.57"/>
    <n v="242.82"/>
    <m/>
    <n v="75.886085105957733"/>
    <n v="224.53785920244138"/>
    <n v="0"/>
    <n v="130528.55217659999"/>
    <n v="506551.75067159993"/>
    <n v="0"/>
    <n v="158307.50869795287"/>
    <n v="468413.00416378345"/>
  </r>
  <r>
    <s v="Regular"/>
    <x v="1"/>
    <x v="3"/>
    <x v="3"/>
    <x v="1"/>
    <x v="0"/>
    <x v="0"/>
    <x v="0"/>
    <x v="4"/>
    <n v="0"/>
    <n v="0"/>
    <n v="2049.038"/>
    <n v="1926.09572"/>
    <n v="2049.038"/>
    <n v="1926.09572"/>
    <n v="0"/>
    <x v="1"/>
    <n v="0"/>
    <n v="0"/>
    <n v="44"/>
    <n v="67"/>
    <n v="0"/>
    <n v="62.57"/>
    <n v="242.82"/>
    <m/>
    <n v="75.886085105957733"/>
    <n v="224.53785920244138"/>
    <n v="0"/>
    <n v="120515.80920040001"/>
    <n v="467694.56273040001"/>
    <n v="0"/>
    <n v="146163.86373014093"/>
    <n v="432481.40958778496"/>
  </r>
  <r>
    <s v="Regular"/>
    <x v="1"/>
    <x v="3"/>
    <x v="3"/>
    <x v="1"/>
    <x v="0"/>
    <x v="0"/>
    <x v="0"/>
    <x v="5"/>
    <n v="0"/>
    <n v="0"/>
    <n v="2257.6480000000001"/>
    <n v="2122.18912"/>
    <n v="2257.6480000000001"/>
    <n v="2122.18912"/>
    <n v="0"/>
    <x v="1"/>
    <n v="0"/>
    <n v="0"/>
    <n v="44"/>
    <n v="67"/>
    <n v="0"/>
    <n v="62.57"/>
    <n v="242.82"/>
    <m/>
    <n v="75.886085105957733"/>
    <n v="224.53785920244138"/>
    <n v="0"/>
    <n v="132785.3732384"/>
    <n v="515309.96211839997"/>
    <n v="0"/>
    <n v="161044.62417125754"/>
    <n v="476511.80182751297"/>
  </r>
  <r>
    <s v="Regular"/>
    <x v="1"/>
    <x v="3"/>
    <x v="3"/>
    <x v="1"/>
    <x v="0"/>
    <x v="0"/>
    <x v="0"/>
    <x v="6"/>
    <n v="0"/>
    <n v="0"/>
    <n v="2031.07"/>
    <n v="1909.2058"/>
    <n v="2031.07"/>
    <n v="1909.2058"/>
    <n v="0"/>
    <x v="1"/>
    <n v="0"/>
    <n v="0"/>
    <n v="44"/>
    <n v="67"/>
    <n v="0"/>
    <n v="62.57"/>
    <n v="242.82"/>
    <m/>
    <n v="75.886085105957733"/>
    <n v="224.53785920244138"/>
    <n v="0"/>
    <n v="119459.006906"/>
    <n v="463593.35235599999"/>
    <n v="0"/>
    <n v="144882.1538235881"/>
    <n v="428688.98310888442"/>
  </r>
  <r>
    <s v="Regular"/>
    <x v="1"/>
    <x v="3"/>
    <x v="3"/>
    <x v="1"/>
    <x v="0"/>
    <x v="0"/>
    <x v="0"/>
    <x v="7"/>
    <n v="0"/>
    <n v="0"/>
    <n v="1982.943"/>
    <n v="1863.96642"/>
    <n v="1982.943"/>
    <n v="1863.96642"/>
    <n v="0"/>
    <x v="1"/>
    <n v="0"/>
    <n v="0"/>
    <n v="44"/>
    <n v="67"/>
    <n v="0"/>
    <n v="62.57"/>
    <n v="242.82"/>
    <m/>
    <n v="75.886085105957733"/>
    <n v="224.53785920244138"/>
    <n v="0"/>
    <n v="116628.37889939999"/>
    <n v="452608.32610439998"/>
    <n v="0"/>
    <n v="141449.11438276735"/>
    <n v="418531.02957203874"/>
  </r>
  <r>
    <s v="Regular"/>
    <x v="1"/>
    <x v="3"/>
    <x v="3"/>
    <x v="1"/>
    <x v="0"/>
    <x v="0"/>
    <x v="0"/>
    <x v="8"/>
    <n v="0"/>
    <n v="0"/>
    <n v="2214.62"/>
    <n v="2081.7428"/>
    <n v="2214.62"/>
    <n v="2081.7428"/>
    <n v="0"/>
    <x v="1"/>
    <n v="0"/>
    <n v="0"/>
    <n v="44"/>
    <n v="67"/>
    <n v="0"/>
    <n v="62.57"/>
    <n v="242.82"/>
    <m/>
    <n v="75.886085105957733"/>
    <n v="224.53785920244138"/>
    <n v="0"/>
    <n v="130254.646996"/>
    <n v="505488.78669599997"/>
    <n v="0"/>
    <n v="157975.31128951474"/>
    <n v="467430.07172209607"/>
  </r>
  <r>
    <s v="Regular"/>
    <x v="1"/>
    <x v="3"/>
    <x v="3"/>
    <x v="1"/>
    <x v="0"/>
    <x v="0"/>
    <x v="0"/>
    <x v="9"/>
    <n v="0"/>
    <n v="0"/>
    <n v="2133.7860000000001"/>
    <n v="2005.75884"/>
    <n v="2133.7860000000001"/>
    <n v="2005.75884"/>
    <n v="0"/>
    <x v="1"/>
    <n v="0"/>
    <n v="0"/>
    <n v="44"/>
    <n v="67"/>
    <n v="0"/>
    <n v="62.57"/>
    <n v="242.82"/>
    <m/>
    <n v="75.886085105957733"/>
    <n v="224.53785920244138"/>
    <n v="0"/>
    <n v="125500.3306188"/>
    <n v="487038.36152879999"/>
    <n v="0"/>
    <n v="152209.18603426707"/>
    <n v="450368.79600997217"/>
  </r>
  <r>
    <s v="Regular"/>
    <x v="1"/>
    <x v="3"/>
    <x v="3"/>
    <x v="1"/>
    <x v="0"/>
    <x v="0"/>
    <x v="0"/>
    <x v="10"/>
    <n v="0"/>
    <n v="0"/>
    <n v="2217.5650000000001"/>
    <n v="2084.5111000000002"/>
    <n v="2217.5650000000001"/>
    <n v="2084.5111000000002"/>
    <n v="0"/>
    <x v="1"/>
    <n v="0"/>
    <n v="0"/>
    <n v="44"/>
    <n v="67"/>
    <n v="0"/>
    <n v="62.57"/>
    <n v="242.82"/>
    <m/>
    <n v="75.886085105957733"/>
    <n v="224.53785920244138"/>
    <n v="0"/>
    <n v="130427.85952700001"/>
    <n v="506160.98530200002"/>
    <n v="0"/>
    <n v="158185.38673891357"/>
    <n v="468051.65987772623"/>
  </r>
  <r>
    <s v="PROJETADO"/>
    <x v="1"/>
    <x v="3"/>
    <x v="3"/>
    <x v="1"/>
    <x v="0"/>
    <x v="0"/>
    <x v="0"/>
    <x v="11"/>
    <n v="0"/>
    <n v="0"/>
    <n v="2217.5650000000001"/>
    <n v="2084.5111000000002"/>
    <n v="2217.5650000000001"/>
    <n v="2084.5111000000002"/>
    <n v="0"/>
    <x v="1"/>
    <n v="0"/>
    <n v="0"/>
    <n v="44"/>
    <n v="67"/>
    <n v="0"/>
    <n v="62.57"/>
    <n v="242.82"/>
    <m/>
    <n v="75.886085105957733"/>
    <n v="224.53785920244138"/>
    <n v="0"/>
    <n v="130427.85952700001"/>
    <n v="506160.98530200002"/>
    <n v="0"/>
    <n v="158185.38673891357"/>
    <n v="468051.65987772623"/>
  </r>
  <r>
    <s v="Regular"/>
    <x v="1"/>
    <x v="3"/>
    <x v="3"/>
    <x v="1"/>
    <x v="0"/>
    <x v="0"/>
    <x v="1"/>
    <x v="0"/>
    <n v="9684"/>
    <n v="8231.4"/>
    <n v="0"/>
    <n v="0"/>
    <n v="0"/>
    <n v="0"/>
    <n v="91"/>
    <x v="1"/>
    <n v="0"/>
    <n v="40"/>
    <n v="0"/>
    <n v="0"/>
    <n v="26.22"/>
    <n v="0"/>
    <n v="0"/>
    <n v="28.891757284072764"/>
    <m/>
    <m/>
    <n v="215827.30799999999"/>
    <n v="0"/>
    <n v="0"/>
    <n v="237819.61090811653"/>
    <n v="0"/>
    <n v="0"/>
  </r>
  <r>
    <s v="Regular"/>
    <x v="1"/>
    <x v="3"/>
    <x v="3"/>
    <x v="1"/>
    <x v="0"/>
    <x v="0"/>
    <x v="1"/>
    <x v="1"/>
    <n v="9478"/>
    <n v="8056.3"/>
    <n v="0"/>
    <n v="0"/>
    <n v="0"/>
    <n v="0"/>
    <n v="91"/>
    <x v="1"/>
    <n v="0"/>
    <n v="40"/>
    <n v="0"/>
    <n v="0"/>
    <n v="26.22"/>
    <n v="0"/>
    <n v="0"/>
    <n v="28.891757284072764"/>
    <m/>
    <m/>
    <n v="211236.18599999999"/>
    <n v="0"/>
    <n v="0"/>
    <n v="232760.66420767541"/>
    <n v="0"/>
    <n v="0"/>
  </r>
  <r>
    <s v="Regular"/>
    <x v="1"/>
    <x v="3"/>
    <x v="3"/>
    <x v="1"/>
    <x v="0"/>
    <x v="0"/>
    <x v="1"/>
    <x v="2"/>
    <n v="9454"/>
    <n v="8035.9"/>
    <n v="0"/>
    <n v="0"/>
    <n v="0"/>
    <n v="0"/>
    <n v="90"/>
    <x v="1"/>
    <n v="0"/>
    <n v="40"/>
    <n v="0"/>
    <n v="0"/>
    <n v="26.22"/>
    <n v="0"/>
    <n v="0"/>
    <n v="28.891757284072764"/>
    <m/>
    <m/>
    <n v="210701.29799999998"/>
    <n v="0"/>
    <n v="0"/>
    <n v="232171.27235908032"/>
    <n v="0"/>
    <n v="0"/>
  </r>
  <r>
    <s v="Regular"/>
    <x v="1"/>
    <x v="3"/>
    <x v="3"/>
    <x v="1"/>
    <x v="0"/>
    <x v="0"/>
    <x v="1"/>
    <x v="3"/>
    <n v="9444"/>
    <n v="8027.4"/>
    <n v="0"/>
    <n v="0"/>
    <n v="0"/>
    <n v="0"/>
    <n v="90"/>
    <x v="1"/>
    <n v="0"/>
    <n v="40"/>
    <n v="0"/>
    <n v="0"/>
    <n v="26.22"/>
    <n v="0"/>
    <n v="0"/>
    <n v="28.891757284072764"/>
    <m/>
    <m/>
    <n v="210478.42799999999"/>
    <n v="0"/>
    <n v="0"/>
    <n v="231925.69242216568"/>
    <n v="0"/>
    <n v="0"/>
  </r>
  <r>
    <s v="Regular"/>
    <x v="1"/>
    <x v="3"/>
    <x v="3"/>
    <x v="1"/>
    <x v="0"/>
    <x v="0"/>
    <x v="1"/>
    <x v="4"/>
    <n v="9479"/>
    <n v="8057.15"/>
    <n v="0"/>
    <n v="0"/>
    <n v="0"/>
    <n v="0"/>
    <n v="90"/>
    <x v="1"/>
    <n v="0"/>
    <n v="40"/>
    <n v="0"/>
    <n v="0"/>
    <n v="26.22"/>
    <n v="0"/>
    <n v="0"/>
    <n v="28.891757284072764"/>
    <m/>
    <m/>
    <n v="211258.47299999997"/>
    <n v="0"/>
    <n v="0"/>
    <n v="232785.22220136685"/>
    <n v="0"/>
    <n v="0"/>
  </r>
  <r>
    <s v="Regular"/>
    <x v="1"/>
    <x v="3"/>
    <x v="3"/>
    <x v="1"/>
    <x v="0"/>
    <x v="0"/>
    <x v="1"/>
    <x v="5"/>
    <n v="9549"/>
    <n v="8116.65"/>
    <n v="0"/>
    <n v="0"/>
    <n v="0"/>
    <n v="0"/>
    <n v="90"/>
    <x v="1"/>
    <n v="0"/>
    <n v="40"/>
    <n v="0"/>
    <n v="0"/>
    <n v="26.22"/>
    <n v="0"/>
    <n v="0"/>
    <n v="28.891757284072764"/>
    <m/>
    <m/>
    <n v="212818.56299999999"/>
    <n v="0"/>
    <n v="0"/>
    <n v="234504.28175976919"/>
    <n v="0"/>
    <n v="0"/>
  </r>
  <r>
    <s v="Regular"/>
    <x v="1"/>
    <x v="3"/>
    <x v="3"/>
    <x v="1"/>
    <x v="0"/>
    <x v="0"/>
    <x v="1"/>
    <x v="6"/>
    <n v="9470"/>
    <n v="8049.5"/>
    <n v="0"/>
    <n v="0"/>
    <n v="0"/>
    <n v="0"/>
    <n v="92"/>
    <x v="1"/>
    <n v="0"/>
    <n v="40"/>
    <n v="0"/>
    <n v="0"/>
    <n v="26.22"/>
    <n v="0"/>
    <n v="0"/>
    <n v="28.891757284072764"/>
    <m/>
    <m/>
    <n v="211057.88999999998"/>
    <n v="0"/>
    <n v="0"/>
    <n v="232564.20025814371"/>
    <n v="0"/>
    <n v="0"/>
  </r>
  <r>
    <s v="Regular"/>
    <x v="1"/>
    <x v="3"/>
    <x v="3"/>
    <x v="1"/>
    <x v="0"/>
    <x v="0"/>
    <x v="1"/>
    <x v="7"/>
    <n v="9467"/>
    <n v="8046.95"/>
    <n v="0"/>
    <n v="0"/>
    <n v="0"/>
    <n v="0"/>
    <n v="90"/>
    <x v="1"/>
    <n v="0"/>
    <n v="40"/>
    <n v="0"/>
    <n v="0"/>
    <n v="26.22"/>
    <n v="0"/>
    <n v="0"/>
    <n v="28.891757284072764"/>
    <m/>
    <m/>
    <n v="210991.02899999998"/>
    <n v="0"/>
    <n v="0"/>
    <n v="232490.52627706932"/>
    <n v="0"/>
    <n v="0"/>
  </r>
  <r>
    <s v="Regular"/>
    <x v="1"/>
    <x v="3"/>
    <x v="3"/>
    <x v="1"/>
    <x v="0"/>
    <x v="0"/>
    <x v="1"/>
    <x v="8"/>
    <n v="9692"/>
    <n v="8238.1999999999989"/>
    <n v="0"/>
    <n v="0"/>
    <n v="0"/>
    <n v="0"/>
    <n v="91"/>
    <x v="1"/>
    <n v="0"/>
    <n v="40"/>
    <n v="0"/>
    <n v="0"/>
    <n v="26.22"/>
    <n v="0"/>
    <n v="0"/>
    <n v="28.891757284072764"/>
    <m/>
    <m/>
    <n v="216005.60399999996"/>
    <n v="0"/>
    <n v="0"/>
    <n v="238016.0748576482"/>
    <n v="0"/>
    <n v="0"/>
  </r>
  <r>
    <s v="Regular"/>
    <x v="1"/>
    <x v="3"/>
    <x v="3"/>
    <x v="1"/>
    <x v="0"/>
    <x v="0"/>
    <x v="1"/>
    <x v="9"/>
    <n v="9723"/>
    <n v="8264.5499999999993"/>
    <n v="0"/>
    <n v="0"/>
    <n v="0"/>
    <n v="0"/>
    <n v="91"/>
    <x v="1"/>
    <n v="0"/>
    <n v="40"/>
    <n v="0"/>
    <n v="0"/>
    <n v="26.22"/>
    <n v="0"/>
    <n v="0"/>
    <n v="28.891757284072764"/>
    <m/>
    <m/>
    <n v="216696.50099999996"/>
    <n v="0"/>
    <n v="0"/>
    <n v="238777.37266208354"/>
    <n v="0"/>
    <n v="0"/>
  </r>
  <r>
    <s v="Regular"/>
    <x v="1"/>
    <x v="3"/>
    <x v="3"/>
    <x v="1"/>
    <x v="0"/>
    <x v="0"/>
    <x v="1"/>
    <x v="10"/>
    <n v="9716"/>
    <n v="8258.6"/>
    <n v="0"/>
    <n v="0"/>
    <n v="0"/>
    <n v="0"/>
    <n v="91"/>
    <x v="1"/>
    <n v="0"/>
    <n v="40"/>
    <n v="0"/>
    <n v="0"/>
    <n v="26.22"/>
    <n v="0"/>
    <n v="0"/>
    <n v="28.891757284072764"/>
    <m/>
    <m/>
    <n v="216540.492"/>
    <n v="0"/>
    <n v="0"/>
    <n v="238605.46670624334"/>
    <n v="0"/>
    <n v="0"/>
  </r>
  <r>
    <s v="PROJETADO"/>
    <x v="1"/>
    <x v="3"/>
    <x v="3"/>
    <x v="1"/>
    <x v="0"/>
    <x v="0"/>
    <x v="1"/>
    <x v="11"/>
    <n v="9716"/>
    <n v="8258.6"/>
    <n v="0"/>
    <n v="0"/>
    <n v="0"/>
    <n v="0"/>
    <n v="91"/>
    <x v="1"/>
    <n v="0"/>
    <n v="40"/>
    <n v="0"/>
    <n v="0"/>
    <n v="26.22"/>
    <n v="0"/>
    <n v="0"/>
    <n v="28.891757284072764"/>
    <m/>
    <m/>
    <n v="216540.492"/>
    <n v="0"/>
    <n v="0"/>
    <n v="238605.46670624334"/>
    <n v="0"/>
    <n v="0"/>
  </r>
  <r>
    <s v="Regular"/>
    <x v="1"/>
    <x v="3"/>
    <x v="3"/>
    <x v="1"/>
    <x v="0"/>
    <x v="0"/>
    <x v="2"/>
    <x v="0"/>
    <n v="0"/>
    <n v="0"/>
    <n v="211.697"/>
    <n v="198.99518"/>
    <n v="211.697"/>
    <n v="198.99518"/>
    <n v="0"/>
    <x v="1"/>
    <n v="0"/>
    <n v="0"/>
    <n v="42"/>
    <n v="66"/>
    <n v="0"/>
    <n v="1330.19"/>
    <n v="397.62"/>
    <m/>
    <n v="1471.0742690262982"/>
    <n v="351.67159959099928"/>
    <n v="0"/>
    <n v="264701.39848420001"/>
    <n v="79124.4634716"/>
    <n v="0"/>
    <n v="292736.68895825662"/>
    <n v="69980.953261498827"/>
  </r>
  <r>
    <s v="Regular"/>
    <x v="1"/>
    <x v="3"/>
    <x v="3"/>
    <x v="1"/>
    <x v="0"/>
    <x v="0"/>
    <x v="2"/>
    <x v="1"/>
    <n v="0"/>
    <n v="0"/>
    <n v="195.94800000000001"/>
    <n v="184.19112000000001"/>
    <n v="195.94800000000001"/>
    <n v="184.19112000000001"/>
    <n v="0"/>
    <x v="1"/>
    <n v="0"/>
    <n v="0"/>
    <n v="42"/>
    <n v="66"/>
    <n v="0"/>
    <n v="1330.19"/>
    <n v="397.62"/>
    <m/>
    <n v="1471.0742690262982"/>
    <n v="351.67159959099928"/>
    <n v="0"/>
    <n v="245009.18591280002"/>
    <n v="73238.073134400009"/>
    <n v="0"/>
    <n v="270958.8172151352"/>
    <n v="64774.785800857702"/>
  </r>
  <r>
    <s v="Regular"/>
    <x v="1"/>
    <x v="3"/>
    <x v="3"/>
    <x v="1"/>
    <x v="0"/>
    <x v="0"/>
    <x v="2"/>
    <x v="2"/>
    <n v="0"/>
    <n v="0"/>
    <n v="194.745"/>
    <n v="183.06030000000001"/>
    <n v="194.745"/>
    <n v="183.06030000000001"/>
    <n v="0"/>
    <x v="1"/>
    <n v="0"/>
    <n v="0"/>
    <n v="42"/>
    <n v="66"/>
    <n v="0"/>
    <n v="1330.19"/>
    <n v="397.62"/>
    <m/>
    <n v="1471.0742690262982"/>
    <n v="351.67159959099928"/>
    <n v="0"/>
    <n v="243504.98045700003"/>
    <n v="72788.436486000006"/>
    <n v="0"/>
    <n v="269295.29701023491"/>
    <n v="64377.108522608207"/>
  </r>
  <r>
    <s v="Regular"/>
    <x v="1"/>
    <x v="3"/>
    <x v="3"/>
    <x v="1"/>
    <x v="0"/>
    <x v="0"/>
    <x v="2"/>
    <x v="3"/>
    <n v="0"/>
    <n v="0"/>
    <n v="201.191"/>
    <n v="189.11954"/>
    <n v="201.191"/>
    <n v="189.11954"/>
    <n v="0"/>
    <x v="1"/>
    <n v="0"/>
    <n v="0"/>
    <n v="42"/>
    <n v="66"/>
    <n v="0"/>
    <n v="1330.19"/>
    <n v="397.62"/>
    <m/>
    <n v="1471.0742690262982"/>
    <n v="351.67159959099928"/>
    <n v="0"/>
    <n v="251564.92091260001"/>
    <n v="75197.711494799994"/>
    <n v="0"/>
    <n v="278208.88906408974"/>
    <n v="66507.971145713978"/>
  </r>
  <r>
    <s v="Regular"/>
    <x v="1"/>
    <x v="3"/>
    <x v="3"/>
    <x v="1"/>
    <x v="0"/>
    <x v="0"/>
    <x v="2"/>
    <x v="4"/>
    <n v="0"/>
    <n v="0"/>
    <n v="204.17500000000001"/>
    <n v="191.92449999999999"/>
    <n v="204.17500000000001"/>
    <n v="191.92449999999999"/>
    <n v="0"/>
    <x v="1"/>
    <n v="0"/>
    <n v="0"/>
    <n v="42"/>
    <n v="66"/>
    <n v="0"/>
    <n v="1330.19"/>
    <n v="397.62"/>
    <m/>
    <n v="1471.0742690262982"/>
    <n v="351.67159959099928"/>
    <n v="0"/>
    <n v="255296.050655"/>
    <n v="76313.019690000001"/>
    <n v="0"/>
    <n v="282335.19354573777"/>
    <n v="67494.395915702742"/>
  </r>
  <r>
    <s v="Regular"/>
    <x v="1"/>
    <x v="3"/>
    <x v="3"/>
    <x v="1"/>
    <x v="0"/>
    <x v="0"/>
    <x v="2"/>
    <x v="5"/>
    <n v="0"/>
    <n v="0"/>
    <n v="219.00800000000001"/>
    <n v="205.86752000000001"/>
    <n v="219.00800000000001"/>
    <n v="205.86752000000001"/>
    <n v="0"/>
    <x v="1"/>
    <n v="0"/>
    <n v="0"/>
    <n v="42"/>
    <n v="66"/>
    <n v="0"/>
    <n v="1330.19"/>
    <n v="397.62"/>
    <m/>
    <n v="1471.0742690262982"/>
    <n v="351.67159959099928"/>
    <n v="0"/>
    <n v="273842.91642880003"/>
    <n v="81857.043302400009"/>
    <n v="0"/>
    <n v="302846.41150025686"/>
    <n v="72397.760062232046"/>
  </r>
  <r>
    <s v="Regular"/>
    <x v="1"/>
    <x v="3"/>
    <x v="3"/>
    <x v="1"/>
    <x v="0"/>
    <x v="0"/>
    <x v="2"/>
    <x v="6"/>
    <n v="0"/>
    <n v="0"/>
    <n v="195.251"/>
    <n v="183.53594000000001"/>
    <n v="195.251"/>
    <n v="183.53594000000001"/>
    <n v="0"/>
    <x v="1"/>
    <n v="0"/>
    <n v="0"/>
    <n v="42"/>
    <n v="66"/>
    <n v="0"/>
    <n v="1330.19"/>
    <n v="397.62"/>
    <m/>
    <n v="1471.0742690262982"/>
    <n v="351.67159959099928"/>
    <n v="0"/>
    <n v="244137.67202860003"/>
    <n v="72977.5604628"/>
    <n v="0"/>
    <n v="269994.99877555453"/>
    <n v="64544.37760223767"/>
  </r>
  <r>
    <s v="Regular"/>
    <x v="1"/>
    <x v="3"/>
    <x v="3"/>
    <x v="1"/>
    <x v="0"/>
    <x v="0"/>
    <x v="2"/>
    <x v="7"/>
    <n v="0"/>
    <n v="0"/>
    <n v="192.36600000000001"/>
    <n v="180.82404"/>
    <n v="192.36600000000001"/>
    <n v="180.82404"/>
    <n v="0"/>
    <x v="1"/>
    <n v="0"/>
    <n v="0"/>
    <n v="42"/>
    <n v="66"/>
    <n v="0"/>
    <n v="1330.19"/>
    <n v="397.62"/>
    <m/>
    <n v="1471.0742690262982"/>
    <n v="351.67159959099928"/>
    <n v="0"/>
    <n v="240530.32976759999"/>
    <n v="71899.254784799996"/>
    <n v="0"/>
    <n v="266005.59246538213"/>
    <n v="63590.67939130684"/>
  </r>
  <r>
    <s v="Regular"/>
    <x v="1"/>
    <x v="3"/>
    <x v="3"/>
    <x v="1"/>
    <x v="0"/>
    <x v="0"/>
    <x v="2"/>
    <x v="8"/>
    <n v="0"/>
    <n v="0"/>
    <n v="197.28800000000001"/>
    <n v="185.45071999999999"/>
    <n v="197.28800000000001"/>
    <n v="185.45071999999999"/>
    <n v="0"/>
    <x v="1"/>
    <n v="0"/>
    <n v="0"/>
    <n v="42"/>
    <n v="66"/>
    <n v="0"/>
    <n v="1330.19"/>
    <n v="397.62"/>
    <m/>
    <n v="1471.0742690262982"/>
    <n v="351.67159959099928"/>
    <n v="0"/>
    <n v="246684.6932368"/>
    <n v="73738.915286399992"/>
    <n v="0"/>
    <n v="272811.78236440069"/>
    <n v="65217.75134770252"/>
  </r>
  <r>
    <s v="Regular"/>
    <x v="1"/>
    <x v="3"/>
    <x v="3"/>
    <x v="1"/>
    <x v="0"/>
    <x v="0"/>
    <x v="2"/>
    <x v="9"/>
    <n v="0"/>
    <n v="0"/>
    <n v="209.20500000000001"/>
    <n v="196.65270000000001"/>
    <n v="209.20500000000001"/>
    <n v="196.65270000000001"/>
    <n v="0"/>
    <x v="1"/>
    <n v="0"/>
    <n v="0"/>
    <n v="42"/>
    <n v="66"/>
    <n v="0"/>
    <n v="1330.19"/>
    <n v="397.62"/>
    <m/>
    <n v="1471.0742690262982"/>
    <n v="351.67159959099928"/>
    <n v="0"/>
    <n v="261585.45501300003"/>
    <n v="78193.046574000007"/>
    <n v="0"/>
    <n v="289290.72690454795"/>
    <n v="69157.169572888903"/>
  </r>
  <r>
    <s v="Regular"/>
    <x v="1"/>
    <x v="3"/>
    <x v="3"/>
    <x v="1"/>
    <x v="0"/>
    <x v="0"/>
    <x v="2"/>
    <x v="10"/>
    <n v="0"/>
    <n v="0"/>
    <n v="214.83099999999999"/>
    <n v="201.94113999999999"/>
    <n v="214.83099999999999"/>
    <n v="201.94113999999999"/>
    <n v="0"/>
    <x v="1"/>
    <n v="0"/>
    <n v="0"/>
    <n v="42"/>
    <n v="66"/>
    <n v="0"/>
    <n v="1330.19"/>
    <n v="397.62"/>
    <m/>
    <n v="1471.0742690262982"/>
    <n v="351.67159959099928"/>
    <n v="0"/>
    <n v="268620.08501659997"/>
    <n v="80295.836086800002"/>
    <n v="0"/>
    <n v="297070.41491183732"/>
    <n v="71016.963727029928"/>
  </r>
  <r>
    <s v="PROJETADO"/>
    <x v="1"/>
    <x v="3"/>
    <x v="3"/>
    <x v="1"/>
    <x v="0"/>
    <x v="0"/>
    <x v="2"/>
    <x v="11"/>
    <n v="0"/>
    <n v="0"/>
    <n v="214.83099999999999"/>
    <n v="201.94113999999999"/>
    <n v="214.83099999999999"/>
    <n v="201.94113999999999"/>
    <n v="0"/>
    <x v="1"/>
    <n v="0"/>
    <n v="0"/>
    <n v="42"/>
    <n v="66"/>
    <n v="0"/>
    <n v="1330.19"/>
    <n v="397.62"/>
    <m/>
    <n v="1471.0742690262982"/>
    <n v="351.67159959099928"/>
    <n v="0"/>
    <n v="268620.08501659997"/>
    <n v="80295.836086800002"/>
    <n v="0"/>
    <n v="297070.41491183732"/>
    <n v="71016.963727029928"/>
  </r>
  <r>
    <s v="Regular"/>
    <x v="2"/>
    <x v="4"/>
    <x v="7"/>
    <x v="3"/>
    <x v="0"/>
    <x v="0"/>
    <x v="0"/>
    <x v="0"/>
    <n v="0"/>
    <n v="0"/>
    <n v="103.961"/>
    <n v="103.961"/>
    <n v="103.961"/>
    <n v="103.961"/>
    <n v="0"/>
    <x v="1"/>
    <n v="0"/>
    <n v="0"/>
    <n v="62"/>
    <n v="71"/>
    <n v="0"/>
    <n v="250.09"/>
    <n v="242.82"/>
    <m/>
    <n v="280.32663188472333"/>
    <n v="224.53785920244138"/>
    <n v="0"/>
    <n v="25999.606489999998"/>
    <n v="25243.810019999997"/>
    <n v="0"/>
    <n v="29143.036977367723"/>
    <n v="23343.180380545007"/>
  </r>
  <r>
    <s v="Sistema de Compensação"/>
    <x v="2"/>
    <x v="4"/>
    <x v="7"/>
    <x v="3"/>
    <x v="0"/>
    <x v="0"/>
    <x v="0"/>
    <x v="0"/>
    <n v="0"/>
    <n v="0"/>
    <n v="0.13800000000000001"/>
    <n v="0.13800000000000001"/>
    <n v="0.13800000000000001"/>
    <n v="0.13800000000000001"/>
    <n v="0"/>
    <x v="1"/>
    <n v="0"/>
    <n v="0"/>
    <n v="62"/>
    <n v="71"/>
    <n v="0"/>
    <n v="250.09"/>
    <n v="242.82"/>
    <m/>
    <n v="280.32663188472333"/>
    <n v="224.53785920244138"/>
    <n v="0"/>
    <n v="34.512420000000006"/>
    <n v="33.509160000000001"/>
    <n v="0"/>
    <n v="38.685075200091823"/>
    <n v="30.986224569936912"/>
  </r>
  <r>
    <s v="Regular"/>
    <x v="2"/>
    <x v="4"/>
    <x v="7"/>
    <x v="3"/>
    <x v="0"/>
    <x v="0"/>
    <x v="0"/>
    <x v="1"/>
    <n v="0"/>
    <n v="0"/>
    <n v="103.15300000000001"/>
    <n v="103.15300000000001"/>
    <n v="103.15300000000001"/>
    <n v="103.15300000000001"/>
    <n v="0"/>
    <x v="1"/>
    <n v="0"/>
    <n v="0"/>
    <n v="62"/>
    <n v="71"/>
    <n v="0"/>
    <n v="250.09"/>
    <n v="242.82"/>
    <m/>
    <n v="280.32663188472333"/>
    <n v="224.53785920244138"/>
    <n v="0"/>
    <n v="25797.533770000002"/>
    <n v="25047.61146"/>
    <n v="0"/>
    <n v="28916.533058804867"/>
    <n v="23161.753790309438"/>
  </r>
  <r>
    <s v="Sistema de Compensação"/>
    <x v="2"/>
    <x v="4"/>
    <x v="7"/>
    <x v="3"/>
    <x v="0"/>
    <x v="0"/>
    <x v="0"/>
    <x v="1"/>
    <n v="0"/>
    <n v="0"/>
    <n v="0.25700000000000001"/>
    <n v="0.25700000000000001"/>
    <n v="0.25700000000000001"/>
    <n v="0.25700000000000001"/>
    <n v="0"/>
    <x v="1"/>
    <n v="0"/>
    <n v="0"/>
    <n v="62"/>
    <n v="71"/>
    <n v="0"/>
    <n v="250.09"/>
    <n v="242.82"/>
    <m/>
    <n v="280.32663188472333"/>
    <n v="224.53785920244138"/>
    <n v="0"/>
    <n v="64.273130000000009"/>
    <n v="62.404739999999997"/>
    <n v="0"/>
    <n v="72.043944394373895"/>
    <n v="57.706229815027434"/>
  </r>
  <r>
    <s v="Regular"/>
    <x v="2"/>
    <x v="4"/>
    <x v="7"/>
    <x v="3"/>
    <x v="0"/>
    <x v="0"/>
    <x v="0"/>
    <x v="2"/>
    <n v="0"/>
    <n v="0"/>
    <n v="116.256"/>
    <n v="116.256"/>
    <n v="116.256"/>
    <n v="116.256"/>
    <n v="0"/>
    <x v="1"/>
    <n v="0"/>
    <n v="0"/>
    <n v="62"/>
    <n v="71"/>
    <n v="0"/>
    <n v="250.09"/>
    <n v="242.82"/>
    <m/>
    <n v="280.32663188472333"/>
    <n v="224.53785920244138"/>
    <n v="0"/>
    <n v="29074.463039999999"/>
    <n v="28229.281919999998"/>
    <n v="0"/>
    <n v="32589.652916390394"/>
    <n v="26103.873359439025"/>
  </r>
  <r>
    <s v="Sistema de Compensação"/>
    <x v="2"/>
    <x v="4"/>
    <x v="7"/>
    <x v="3"/>
    <x v="0"/>
    <x v="0"/>
    <x v="0"/>
    <x v="2"/>
    <n v="0"/>
    <n v="0"/>
    <n v="0.47899999999999998"/>
    <n v="0.47899999999999998"/>
    <n v="0.47899999999999998"/>
    <n v="0.47899999999999998"/>
    <n v="0"/>
    <x v="1"/>
    <n v="0"/>
    <n v="0"/>
    <n v="62"/>
    <n v="71"/>
    <n v="0"/>
    <n v="250.09"/>
    <n v="242.82"/>
    <m/>
    <n v="280.32663188472333"/>
    <n v="224.53785920244138"/>
    <n v="0"/>
    <n v="119.79311"/>
    <n v="116.31077999999999"/>
    <n v="0"/>
    <n v="134.27645667278247"/>
    <n v="107.55363455796942"/>
  </r>
  <r>
    <s v="Regular"/>
    <x v="2"/>
    <x v="4"/>
    <x v="7"/>
    <x v="3"/>
    <x v="0"/>
    <x v="0"/>
    <x v="0"/>
    <x v="3"/>
    <n v="0"/>
    <n v="0"/>
    <n v="116.01"/>
    <n v="116.01"/>
    <n v="116.01"/>
    <n v="116.01"/>
    <n v="0"/>
    <x v="1"/>
    <n v="0"/>
    <n v="0"/>
    <n v="62"/>
    <n v="71"/>
    <n v="0"/>
    <n v="250.09"/>
    <n v="242.82"/>
    <m/>
    <n v="280.32663188472333"/>
    <n v="224.53785920244138"/>
    <n v="0"/>
    <n v="29012.940900000001"/>
    <n v="28169.548200000001"/>
    <n v="0"/>
    <n v="32520.692564946756"/>
    <n v="26048.637046075226"/>
  </r>
  <r>
    <s v="Refaturamento - Regular"/>
    <x v="2"/>
    <x v="4"/>
    <x v="7"/>
    <x v="3"/>
    <x v="0"/>
    <x v="0"/>
    <x v="0"/>
    <x v="3"/>
    <n v="0"/>
    <n v="0"/>
    <n v="0.254"/>
    <n v="0.254"/>
    <n v="0.254"/>
    <n v="0.254"/>
    <n v="0"/>
    <x v="1"/>
    <n v="0"/>
    <n v="0"/>
    <n v="62"/>
    <n v="71"/>
    <n v="0"/>
    <n v="250.09"/>
    <n v="242.82"/>
    <m/>
    <n v="280.32663188472333"/>
    <n v="224.53785920244138"/>
    <n v="0"/>
    <n v="63.522860000000001"/>
    <n v="61.676279999999998"/>
    <n v="0"/>
    <n v="71.202964498719723"/>
    <n v="57.032616237420115"/>
  </r>
  <r>
    <s v="Sistema de Compensação"/>
    <x v="2"/>
    <x v="4"/>
    <x v="7"/>
    <x v="3"/>
    <x v="0"/>
    <x v="0"/>
    <x v="0"/>
    <x v="3"/>
    <n v="0"/>
    <n v="0"/>
    <n v="4.2770000000000001"/>
    <n v="4.2770000000000001"/>
    <n v="4.2770000000000001"/>
    <n v="4.2770000000000001"/>
    <n v="0"/>
    <x v="1"/>
    <n v="0"/>
    <n v="0"/>
    <n v="62"/>
    <n v="71"/>
    <n v="0"/>
    <n v="250.09"/>
    <n v="242.82"/>
    <m/>
    <n v="280.32663188472333"/>
    <n v="224.53785920244138"/>
    <n v="0"/>
    <n v="1069.6349299999999"/>
    <n v="1038.54114"/>
    <n v="0"/>
    <n v="1198.9570045709618"/>
    <n v="960.34842380884186"/>
  </r>
  <r>
    <s v="Regular"/>
    <x v="2"/>
    <x v="4"/>
    <x v="7"/>
    <x v="3"/>
    <x v="0"/>
    <x v="0"/>
    <x v="0"/>
    <x v="4"/>
    <n v="0"/>
    <n v="0"/>
    <n v="140.398"/>
    <n v="140.398"/>
    <n v="140.398"/>
    <n v="140.398"/>
    <n v="0"/>
    <x v="1"/>
    <n v="0"/>
    <n v="0"/>
    <n v="62"/>
    <n v="71"/>
    <n v="0"/>
    <n v="250.09"/>
    <n v="242.82"/>
    <m/>
    <n v="280.32663188472333"/>
    <n v="224.53785920244138"/>
    <n v="0"/>
    <n v="35112.135819999996"/>
    <n v="34091.442360000001"/>
    <n v="0"/>
    <n v="39357.298463351384"/>
    <n v="31524.666356304366"/>
  </r>
  <r>
    <s v="Refaturamento - Regular"/>
    <x v="2"/>
    <x v="4"/>
    <x v="7"/>
    <x v="3"/>
    <x v="0"/>
    <x v="0"/>
    <x v="0"/>
    <x v="4"/>
    <n v="0"/>
    <n v="0"/>
    <n v="9.9000000000000005E-2"/>
    <n v="9.9000000000000005E-2"/>
    <n v="9.9000000000000005E-2"/>
    <n v="9.9000000000000005E-2"/>
    <n v="0"/>
    <x v="1"/>
    <n v="0"/>
    <n v="0"/>
    <n v="62"/>
    <n v="71"/>
    <n v="0"/>
    <n v="250.09"/>
    <n v="242.82"/>
    <m/>
    <n v="280.32663188472333"/>
    <n v="224.53785920244138"/>
    <n v="0"/>
    <n v="24.75891"/>
    <n v="24.039180000000002"/>
    <n v="0"/>
    <n v="27.752336556587611"/>
    <n v="22.229248061041698"/>
  </r>
  <r>
    <s v="Sistema de Compensação"/>
    <x v="2"/>
    <x v="4"/>
    <x v="7"/>
    <x v="3"/>
    <x v="0"/>
    <x v="0"/>
    <x v="0"/>
    <x v="4"/>
    <n v="0"/>
    <n v="0"/>
    <n v="5.883"/>
    <n v="5.883"/>
    <n v="5.883"/>
    <n v="5.883"/>
    <n v="0"/>
    <x v="1"/>
    <n v="0"/>
    <n v="0"/>
    <n v="62"/>
    <n v="71"/>
    <n v="0"/>
    <n v="250.09"/>
    <n v="242.82"/>
    <m/>
    <n v="280.32663188472333"/>
    <n v="224.53785920244138"/>
    <n v="0"/>
    <n v="1471.2794699999999"/>
    <n v="1428.5100600000001"/>
    <n v="0"/>
    <n v="1649.1615753778274"/>
    <n v="1320.9562256879626"/>
  </r>
  <r>
    <s v="Regular"/>
    <x v="2"/>
    <x v="4"/>
    <x v="7"/>
    <x v="3"/>
    <x v="0"/>
    <x v="0"/>
    <x v="0"/>
    <x v="5"/>
    <n v="0"/>
    <n v="0"/>
    <n v="124.02"/>
    <n v="124.02"/>
    <n v="124.02"/>
    <n v="124.02"/>
    <n v="0"/>
    <x v="1"/>
    <n v="0"/>
    <n v="0"/>
    <n v="62"/>
    <n v="71"/>
    <n v="0"/>
    <n v="250.09"/>
    <n v="242.82"/>
    <m/>
    <n v="280.32663188472333"/>
    <n v="224.53785920244138"/>
    <n v="0"/>
    <n v="31016.161799999998"/>
    <n v="30114.536399999997"/>
    <n v="0"/>
    <n v="34766.108886343383"/>
    <n v="27847.185298286779"/>
  </r>
  <r>
    <s v="Refaturamento - Regular"/>
    <x v="2"/>
    <x v="4"/>
    <x v="7"/>
    <x v="3"/>
    <x v="0"/>
    <x v="0"/>
    <x v="0"/>
    <x v="5"/>
    <n v="0"/>
    <n v="0"/>
    <n v="-5.6459999999999999"/>
    <n v="-5.6459999999999999"/>
    <n v="-5.6459999999999999"/>
    <n v="-5.6459999999999999"/>
    <n v="0"/>
    <x v="1"/>
    <n v="0"/>
    <n v="0"/>
    <n v="62"/>
    <n v="71"/>
    <n v="0"/>
    <n v="250.09"/>
    <n v="242.82"/>
    <m/>
    <n v="280.32663188472333"/>
    <n v="224.53785920244138"/>
    <n v="0"/>
    <n v="-1412.0081399999999"/>
    <n v="-1370.96172"/>
    <n v="0"/>
    <n v="-1582.7241636211479"/>
    <n v="-1267.740753056984"/>
  </r>
  <r>
    <s v="Sistema de Compensação"/>
    <x v="2"/>
    <x v="4"/>
    <x v="7"/>
    <x v="3"/>
    <x v="0"/>
    <x v="0"/>
    <x v="0"/>
    <x v="5"/>
    <n v="0"/>
    <n v="0"/>
    <n v="2.4710000000000001"/>
    <n v="2.4710000000000001"/>
    <n v="2.4710000000000001"/>
    <n v="2.4710000000000001"/>
    <n v="0"/>
    <x v="1"/>
    <n v="0"/>
    <n v="0"/>
    <n v="62"/>
    <n v="71"/>
    <n v="0"/>
    <n v="250.09"/>
    <n v="242.82"/>
    <m/>
    <n v="280.32663188472333"/>
    <n v="224.53785920244138"/>
    <n v="0"/>
    <n v="617.97239000000002"/>
    <n v="600.00822000000005"/>
    <n v="0"/>
    <n v="692.6871073871514"/>
    <n v="554.83305008923264"/>
  </r>
  <r>
    <s v="Sistema de Compensação"/>
    <x v="2"/>
    <x v="4"/>
    <x v="7"/>
    <x v="3"/>
    <x v="0"/>
    <x v="0"/>
    <x v="0"/>
    <x v="5"/>
    <n v="0"/>
    <n v="0"/>
    <n v="-2.6749999999999998"/>
    <n v="-2.6749999999999998"/>
    <n v="-2.6749999999999998"/>
    <n v="-2.6749999999999998"/>
    <n v="0"/>
    <x v="1"/>
    <n v="0"/>
    <n v="0"/>
    <n v="62"/>
    <n v="71"/>
    <n v="0"/>
    <n v="250.09"/>
    <n v="242.82"/>
    <m/>
    <n v="280.32663188472333"/>
    <n v="224.53785920244138"/>
    <n v="0"/>
    <n v="-668.99074999999993"/>
    <n v="-649.54349999999999"/>
    <n v="0"/>
    <n v="-749.87374029163482"/>
    <n v="-600.6387733665307"/>
  </r>
  <r>
    <s v="Regular"/>
    <x v="2"/>
    <x v="4"/>
    <x v="7"/>
    <x v="3"/>
    <x v="0"/>
    <x v="0"/>
    <x v="0"/>
    <x v="6"/>
    <n v="0"/>
    <n v="0"/>
    <n v="113.831"/>
    <n v="113.831"/>
    <n v="113.831"/>
    <n v="113.831"/>
    <n v="0"/>
    <x v="1"/>
    <n v="0"/>
    <n v="0"/>
    <n v="62"/>
    <n v="71"/>
    <n v="0"/>
    <n v="250.09"/>
    <n v="242.82"/>
    <m/>
    <n v="280.32663188472333"/>
    <n v="224.53785920244138"/>
    <n v="0"/>
    <n v="28467.994790000001"/>
    <n v="27640.44342"/>
    <n v="0"/>
    <n v="31909.860834069943"/>
    <n v="25559.369050873105"/>
  </r>
  <r>
    <s v="Sistema de Compensação"/>
    <x v="2"/>
    <x v="4"/>
    <x v="7"/>
    <x v="3"/>
    <x v="0"/>
    <x v="0"/>
    <x v="0"/>
    <x v="6"/>
    <n v="0"/>
    <n v="0"/>
    <n v="2.464"/>
    <n v="2.464"/>
    <n v="2.464"/>
    <n v="2.464"/>
    <n v="0"/>
    <x v="1"/>
    <n v="0"/>
    <n v="0"/>
    <n v="62"/>
    <n v="71"/>
    <n v="0"/>
    <n v="250.09"/>
    <n v="242.82"/>
    <m/>
    <n v="280.32663188472333"/>
    <n v="224.53785920244138"/>
    <n v="0"/>
    <n v="616.22176000000002"/>
    <n v="598.30848000000003"/>
    <n v="0"/>
    <n v="690.72482096395822"/>
    <n v="553.26128507481553"/>
  </r>
  <r>
    <s v="Sistema de Compensação"/>
    <x v="2"/>
    <x v="4"/>
    <x v="7"/>
    <x v="3"/>
    <x v="0"/>
    <x v="0"/>
    <x v="0"/>
    <x v="6"/>
    <n v="0"/>
    <n v="0"/>
    <n v="-0.36599999999999999"/>
    <n v="-0.36599999999999999"/>
    <n v="-0.36599999999999999"/>
    <n v="-0.36599999999999999"/>
    <n v="0"/>
    <x v="1"/>
    <n v="0"/>
    <n v="0"/>
    <n v="62"/>
    <n v="71"/>
    <n v="0"/>
    <n v="250.09"/>
    <n v="242.82"/>
    <m/>
    <n v="280.32663188472333"/>
    <n v="224.53785920244138"/>
    <n v="0"/>
    <n v="-91.532939999999996"/>
    <n v="-88.872119999999995"/>
    <n v="0"/>
    <n v="-102.59954726980874"/>
    <n v="-82.180856468093538"/>
  </r>
  <r>
    <s v="Regular"/>
    <x v="2"/>
    <x v="4"/>
    <x v="7"/>
    <x v="3"/>
    <x v="0"/>
    <x v="0"/>
    <x v="0"/>
    <x v="7"/>
    <n v="0"/>
    <n v="0"/>
    <n v="120.83499999999999"/>
    <n v="120.83499999999999"/>
    <n v="120.83499999999999"/>
    <n v="120.83499999999999"/>
    <n v="0"/>
    <x v="1"/>
    <n v="0"/>
    <n v="0"/>
    <n v="62"/>
    <n v="71"/>
    <n v="0"/>
    <n v="250.09"/>
    <n v="242.82"/>
    <m/>
    <n v="280.32663188472333"/>
    <n v="224.53785920244138"/>
    <n v="0"/>
    <n v="30219.62515"/>
    <n v="29341.154699999999"/>
    <n v="0"/>
    <n v="33873.268563790538"/>
    <n v="27132.032216727002"/>
  </r>
  <r>
    <s v="Sistema de Compensação"/>
    <x v="2"/>
    <x v="4"/>
    <x v="7"/>
    <x v="3"/>
    <x v="0"/>
    <x v="0"/>
    <x v="0"/>
    <x v="7"/>
    <n v="0"/>
    <n v="0"/>
    <n v="5.2610000000000001"/>
    <n v="5.2610000000000001"/>
    <n v="5.2610000000000001"/>
    <n v="5.2610000000000001"/>
    <n v="0"/>
    <x v="1"/>
    <n v="0"/>
    <n v="0"/>
    <n v="62"/>
    <n v="71"/>
    <n v="0"/>
    <n v="250.09"/>
    <n v="242.82"/>
    <m/>
    <n v="280.32663188472333"/>
    <n v="224.53785920244138"/>
    <n v="0"/>
    <n v="1315.7234900000001"/>
    <n v="1277.4760200000001"/>
    <n v="0"/>
    <n v="1474.7984103455294"/>
    <n v="1181.2936772640442"/>
  </r>
  <r>
    <s v="Regular"/>
    <x v="2"/>
    <x v="4"/>
    <x v="7"/>
    <x v="3"/>
    <x v="0"/>
    <x v="0"/>
    <x v="0"/>
    <x v="8"/>
    <n v="0"/>
    <n v="0"/>
    <n v="110.782"/>
    <n v="110.782"/>
    <n v="110.782"/>
    <n v="110.782"/>
    <n v="0"/>
    <x v="1"/>
    <n v="0"/>
    <n v="0"/>
    <n v="62"/>
    <n v="71"/>
    <n v="0"/>
    <n v="250.09"/>
    <n v="242.82"/>
    <m/>
    <n v="280.32663188472333"/>
    <n v="224.53785920244138"/>
    <n v="0"/>
    <n v="27705.470379999999"/>
    <n v="26900.085239999997"/>
    <n v="0"/>
    <n v="31055.144933453419"/>
    <n v="24874.753118164859"/>
  </r>
  <r>
    <s v="Sistema de Compensação"/>
    <x v="2"/>
    <x v="4"/>
    <x v="7"/>
    <x v="3"/>
    <x v="0"/>
    <x v="0"/>
    <x v="0"/>
    <x v="8"/>
    <n v="0"/>
    <n v="0"/>
    <n v="1.329"/>
    <n v="1.329"/>
    <n v="1.329"/>
    <n v="1.329"/>
    <n v="0"/>
    <x v="1"/>
    <n v="0"/>
    <n v="0"/>
    <n v="62"/>
    <n v="71"/>
    <n v="0"/>
    <n v="250.09"/>
    <n v="242.82"/>
    <m/>
    <n v="280.32663188472333"/>
    <n v="224.53785920244138"/>
    <n v="0"/>
    <n v="332.36960999999997"/>
    <n v="322.70777999999996"/>
    <n v="0"/>
    <n v="372.55409377479731"/>
    <n v="298.4108148800446"/>
  </r>
  <r>
    <s v="Regular"/>
    <x v="2"/>
    <x v="4"/>
    <x v="7"/>
    <x v="3"/>
    <x v="0"/>
    <x v="0"/>
    <x v="0"/>
    <x v="9"/>
    <n v="0"/>
    <n v="0"/>
    <n v="109.82599999999999"/>
    <n v="109.82599999999999"/>
    <n v="109.82599999999999"/>
    <n v="109.82599999999999"/>
    <n v="0"/>
    <x v="1"/>
    <n v="0"/>
    <n v="0"/>
    <n v="62"/>
    <n v="71"/>
    <n v="0"/>
    <n v="250.09"/>
    <n v="242.82"/>
    <m/>
    <n v="280.32663188472333"/>
    <n v="224.53785920244138"/>
    <n v="0"/>
    <n v="27466.384340000001"/>
    <n v="26667.949319999996"/>
    <n v="0"/>
    <n v="30787.152673371624"/>
    <n v="24660.094924767327"/>
  </r>
  <r>
    <s v="Refaturamento - Regular"/>
    <x v="2"/>
    <x v="4"/>
    <x v="7"/>
    <x v="3"/>
    <x v="0"/>
    <x v="0"/>
    <x v="0"/>
    <x v="9"/>
    <n v="0"/>
    <n v="0"/>
    <n v="1.3740000000000001"/>
    <n v="1.3740000000000001"/>
    <n v="1.3740000000000001"/>
    <n v="1.3740000000000001"/>
    <n v="0"/>
    <x v="1"/>
    <n v="0"/>
    <n v="0"/>
    <n v="62"/>
    <n v="71"/>
    <n v="0"/>
    <n v="250.09"/>
    <n v="242.82"/>
    <m/>
    <n v="280.32663188472333"/>
    <n v="224.53785920244138"/>
    <n v="0"/>
    <n v="343.62366000000003"/>
    <n v="333.63468"/>
    <n v="0"/>
    <n v="385.16879220960988"/>
    <n v="308.51501854415449"/>
  </r>
  <r>
    <s v="Sistema de Compensação"/>
    <x v="2"/>
    <x v="4"/>
    <x v="7"/>
    <x v="3"/>
    <x v="0"/>
    <x v="0"/>
    <x v="0"/>
    <x v="9"/>
    <n v="0"/>
    <n v="0"/>
    <n v="0.88600000000000001"/>
    <n v="0.88600000000000001"/>
    <n v="0.88600000000000001"/>
    <n v="0.88600000000000001"/>
    <n v="0"/>
    <x v="1"/>
    <n v="0"/>
    <n v="0"/>
    <n v="62"/>
    <n v="71"/>
    <n v="0"/>
    <n v="250.09"/>
    <n v="242.82"/>
    <m/>
    <n v="280.32663188472333"/>
    <n v="224.53785920244138"/>
    <n v="0"/>
    <n v="221.57974000000002"/>
    <n v="215.13852"/>
    <n v="0"/>
    <n v="248.36939584986487"/>
    <n v="198.94054325336307"/>
  </r>
  <r>
    <s v="Regular"/>
    <x v="2"/>
    <x v="4"/>
    <x v="7"/>
    <x v="3"/>
    <x v="0"/>
    <x v="0"/>
    <x v="0"/>
    <x v="10"/>
    <n v="0"/>
    <n v="0"/>
    <n v="89.731999999999999"/>
    <n v="89.731999999999999"/>
    <n v="89.731999999999999"/>
    <n v="89.731999999999999"/>
    <n v="0"/>
    <x v="1"/>
    <n v="0"/>
    <n v="0"/>
    <n v="62"/>
    <n v="71"/>
    <n v="0"/>
    <n v="250.09"/>
    <n v="242.82"/>
    <m/>
    <n v="280.32663188472333"/>
    <n v="224.53785920244138"/>
    <n v="0"/>
    <n v="22441.07588"/>
    <n v="21788.72424"/>
    <n v="0"/>
    <n v="25154.269332279993"/>
    <n v="20148.23118195347"/>
  </r>
  <r>
    <s v="Sistema de Compensação"/>
    <x v="2"/>
    <x v="4"/>
    <x v="7"/>
    <x v="3"/>
    <x v="0"/>
    <x v="0"/>
    <x v="0"/>
    <x v="10"/>
    <n v="0"/>
    <n v="0"/>
    <n v="1.5329999999999999"/>
    <n v="1.5329999999999999"/>
    <n v="1.5329999999999999"/>
    <n v="1.5329999999999999"/>
    <n v="0"/>
    <x v="1"/>
    <n v="0"/>
    <n v="0"/>
    <n v="62"/>
    <n v="71"/>
    <n v="0"/>
    <n v="250.09"/>
    <n v="242.82"/>
    <m/>
    <n v="280.32663188472333"/>
    <n v="224.53785920244138"/>
    <n v="0"/>
    <n v="383.38797"/>
    <n v="372.24305999999996"/>
    <n v="0"/>
    <n v="429.74072667928084"/>
    <n v="344.2165381573426"/>
  </r>
  <r>
    <s v="PROJETADO"/>
    <x v="2"/>
    <x v="4"/>
    <x v="7"/>
    <x v="3"/>
    <x v="0"/>
    <x v="0"/>
    <x v="0"/>
    <x v="11"/>
    <n v="0"/>
    <n v="0"/>
    <n v="89.731999999999999"/>
    <n v="89.731999999999999"/>
    <n v="89.731999999999999"/>
    <n v="89.731999999999999"/>
    <n v="0"/>
    <x v="1"/>
    <n v="0"/>
    <n v="0"/>
    <n v="62"/>
    <n v="71"/>
    <n v="0"/>
    <n v="250.09"/>
    <n v="242.82"/>
    <m/>
    <n v="280.32663188472333"/>
    <n v="224.53785920244138"/>
    <n v="0"/>
    <n v="22441.07588"/>
    <n v="21788.72424"/>
    <n v="0"/>
    <n v="25154.269332279993"/>
    <n v="20148.23118195347"/>
  </r>
  <r>
    <s v="PROJETADO"/>
    <x v="2"/>
    <x v="4"/>
    <x v="7"/>
    <x v="3"/>
    <x v="0"/>
    <x v="0"/>
    <x v="0"/>
    <x v="11"/>
    <n v="0"/>
    <n v="0"/>
    <n v="1.5329999999999999"/>
    <n v="1.5329999999999999"/>
    <n v="1.5329999999999999"/>
    <n v="1.5329999999999999"/>
    <n v="0"/>
    <x v="1"/>
    <n v="0"/>
    <n v="0"/>
    <n v="62"/>
    <n v="71"/>
    <n v="0"/>
    <n v="250.09"/>
    <n v="242.82"/>
    <m/>
    <n v="280.32663188472333"/>
    <n v="224.53785920244138"/>
    <n v="0"/>
    <n v="383.38797"/>
    <n v="372.24305999999996"/>
    <n v="0"/>
    <n v="429.74072667928084"/>
    <n v="344.2165381573426"/>
  </r>
  <r>
    <s v="Regular"/>
    <x v="2"/>
    <x v="4"/>
    <x v="7"/>
    <x v="3"/>
    <x v="0"/>
    <x v="0"/>
    <x v="3"/>
    <x v="0"/>
    <n v="0"/>
    <n v="0"/>
    <n v="5.984"/>
    <n v="5.984"/>
    <n v="5.984"/>
    <n v="5.984"/>
    <n v="0"/>
    <x v="1"/>
    <n v="0"/>
    <n v="0"/>
    <n v="60"/>
    <n v="70"/>
    <n v="0"/>
    <n v="574.03"/>
    <n v="242.82"/>
    <m/>
    <n v="637.32279305212558"/>
    <n v="224.53785920244138"/>
    <n v="0"/>
    <n v="3434.9955199999999"/>
    <n v="1453.0348799999999"/>
    <n v="0"/>
    <n v="3813.7395936239195"/>
    <n v="1343.6345494674092"/>
  </r>
  <r>
    <s v="Sistema de Compensação"/>
    <x v="2"/>
    <x v="4"/>
    <x v="7"/>
    <x v="3"/>
    <x v="0"/>
    <x v="0"/>
    <x v="3"/>
    <x v="0"/>
    <n v="0"/>
    <n v="0"/>
    <n v="6.2E-2"/>
    <n v="6.2E-2"/>
    <n v="6.2E-2"/>
    <n v="6.2E-2"/>
    <n v="0"/>
    <x v="1"/>
    <n v="0"/>
    <n v="0"/>
    <n v="60"/>
    <n v="70"/>
    <n v="0"/>
    <n v="574.03"/>
    <n v="242.82"/>
    <m/>
    <n v="637.32279305212558"/>
    <n v="224.53785920244138"/>
    <n v="0"/>
    <n v="35.589860000000002"/>
    <n v="15.054839999999999"/>
    <n v="0"/>
    <n v="39.514013169231788"/>
    <n v="13.921347270551365"/>
  </r>
  <r>
    <s v="Regular"/>
    <x v="2"/>
    <x v="4"/>
    <x v="7"/>
    <x v="3"/>
    <x v="0"/>
    <x v="0"/>
    <x v="3"/>
    <x v="1"/>
    <n v="0"/>
    <n v="0"/>
    <n v="5.601"/>
    <n v="5.601"/>
    <n v="5.601"/>
    <n v="5.601"/>
    <n v="0"/>
    <x v="1"/>
    <n v="0"/>
    <n v="0"/>
    <n v="60"/>
    <n v="70"/>
    <n v="0"/>
    <n v="574.03"/>
    <n v="242.82"/>
    <m/>
    <n v="637.32279305212558"/>
    <n v="224.53785920244138"/>
    <n v="0"/>
    <n v="3215.14203"/>
    <n v="1360.0348199999999"/>
    <n v="0"/>
    <n v="3569.6449638849554"/>
    <n v="1257.6365493928743"/>
  </r>
  <r>
    <s v="Sistema de Compensação"/>
    <x v="2"/>
    <x v="4"/>
    <x v="7"/>
    <x v="3"/>
    <x v="0"/>
    <x v="0"/>
    <x v="3"/>
    <x v="1"/>
    <n v="0"/>
    <n v="0"/>
    <n v="6.0999999999999999E-2"/>
    <n v="6.0999999999999999E-2"/>
    <n v="6.0999999999999999E-2"/>
    <n v="6.0999999999999999E-2"/>
    <n v="0"/>
    <x v="1"/>
    <n v="0"/>
    <n v="0"/>
    <n v="60"/>
    <n v="70"/>
    <n v="0"/>
    <n v="574.03"/>
    <n v="242.82"/>
    <m/>
    <n v="637.32279305212558"/>
    <n v="224.53785920244138"/>
    <n v="0"/>
    <n v="35.015830000000001"/>
    <n v="14.812019999999999"/>
    <n v="0"/>
    <n v="38.87669037617966"/>
    <n v="13.696809411348925"/>
  </r>
  <r>
    <s v="Regular"/>
    <x v="2"/>
    <x v="4"/>
    <x v="7"/>
    <x v="3"/>
    <x v="0"/>
    <x v="0"/>
    <x v="3"/>
    <x v="2"/>
    <n v="0"/>
    <n v="0"/>
    <n v="5.7270000000000003"/>
    <n v="5.7270000000000003"/>
    <n v="5.7270000000000003"/>
    <n v="5.7270000000000003"/>
    <n v="0"/>
    <x v="1"/>
    <n v="0"/>
    <n v="0"/>
    <n v="60"/>
    <n v="70"/>
    <n v="0"/>
    <n v="574.03"/>
    <n v="242.82"/>
    <m/>
    <n v="637.32279305212558"/>
    <n v="224.53785920244138"/>
    <n v="0"/>
    <n v="3287.4698100000001"/>
    <n v="1390.63014"/>
    <n v="0"/>
    <n v="3649.9476358095235"/>
    <n v="1285.9283196523818"/>
  </r>
  <r>
    <s v="Sistema de Compensação"/>
    <x v="2"/>
    <x v="4"/>
    <x v="7"/>
    <x v="3"/>
    <x v="0"/>
    <x v="0"/>
    <x v="3"/>
    <x v="2"/>
    <n v="0"/>
    <n v="0"/>
    <n v="5.7000000000000002E-2"/>
    <n v="5.7000000000000002E-2"/>
    <n v="5.7000000000000002E-2"/>
    <n v="5.7000000000000002E-2"/>
    <n v="0"/>
    <x v="1"/>
    <n v="0"/>
    <n v="0"/>
    <n v="60"/>
    <n v="70"/>
    <n v="0"/>
    <n v="574.03"/>
    <n v="242.82"/>
    <m/>
    <n v="637.32279305212558"/>
    <n v="224.53785920244138"/>
    <n v="0"/>
    <n v="32.719709999999999"/>
    <n v="13.84074"/>
    <n v="0"/>
    <n v="36.327399203971162"/>
    <n v="12.798657974539159"/>
  </r>
  <r>
    <s v="Regular"/>
    <x v="2"/>
    <x v="4"/>
    <x v="7"/>
    <x v="3"/>
    <x v="0"/>
    <x v="0"/>
    <x v="3"/>
    <x v="3"/>
    <n v="0"/>
    <n v="0"/>
    <n v="5.4740000000000002"/>
    <n v="5.4740000000000002"/>
    <n v="5.4740000000000002"/>
    <n v="5.4740000000000002"/>
    <n v="0"/>
    <x v="1"/>
    <n v="0"/>
    <n v="0"/>
    <n v="60"/>
    <n v="70"/>
    <n v="0"/>
    <n v="574.03"/>
    <n v="242.82"/>
    <m/>
    <n v="637.32279305212558"/>
    <n v="224.53785920244138"/>
    <n v="0"/>
    <n v="3142.2402200000001"/>
    <n v="1329.19668"/>
    <n v="0"/>
    <n v="3488.7049691673355"/>
    <n v="1229.1202412741641"/>
  </r>
  <r>
    <s v="Refaturamento - Regular"/>
    <x v="2"/>
    <x v="4"/>
    <x v="7"/>
    <x v="3"/>
    <x v="0"/>
    <x v="0"/>
    <x v="3"/>
    <x v="3"/>
    <n v="0"/>
    <n v="0"/>
    <n v="1.9E-2"/>
    <n v="1.9E-2"/>
    <n v="1.9E-2"/>
    <n v="1.9E-2"/>
    <n v="0"/>
    <x v="1"/>
    <n v="0"/>
    <n v="0"/>
    <n v="60"/>
    <n v="70"/>
    <n v="0"/>
    <n v="574.03"/>
    <n v="242.82"/>
    <m/>
    <n v="637.32279305212558"/>
    <n v="224.53785920244138"/>
    <n v="0"/>
    <n v="10.906569999999999"/>
    <n v="4.6135799999999998"/>
    <n v="0"/>
    <n v="12.109133067990385"/>
    <n v="4.2662193248463858"/>
  </r>
  <r>
    <s v="Sistema de Compensação"/>
    <x v="2"/>
    <x v="4"/>
    <x v="7"/>
    <x v="3"/>
    <x v="0"/>
    <x v="0"/>
    <x v="3"/>
    <x v="3"/>
    <n v="0"/>
    <n v="0"/>
    <n v="0.18"/>
    <n v="0.18"/>
    <n v="0.18"/>
    <n v="0.18"/>
    <n v="0"/>
    <x v="1"/>
    <n v="0"/>
    <n v="0"/>
    <n v="60"/>
    <n v="70"/>
    <n v="0"/>
    <n v="574.03"/>
    <n v="242.82"/>
    <m/>
    <n v="637.32279305212558"/>
    <n v="224.53785920244138"/>
    <n v="0"/>
    <n v="103.32539999999999"/>
    <n v="43.707599999999999"/>
    <n v="0"/>
    <n v="114.7181027493826"/>
    <n v="40.416814656439449"/>
  </r>
  <r>
    <s v="Regular"/>
    <x v="2"/>
    <x v="4"/>
    <x v="7"/>
    <x v="3"/>
    <x v="0"/>
    <x v="0"/>
    <x v="3"/>
    <x v="4"/>
    <n v="0"/>
    <n v="0"/>
    <n v="7.3079999999999998"/>
    <n v="7.3079999999999998"/>
    <n v="7.3079999999999998"/>
    <n v="7.3079999999999998"/>
    <n v="0"/>
    <x v="1"/>
    <n v="0"/>
    <n v="0"/>
    <n v="60"/>
    <n v="70"/>
    <n v="0"/>
    <n v="574.03"/>
    <n v="242.82"/>
    <m/>
    <n v="637.32279305212558"/>
    <n v="224.53785920244138"/>
    <n v="0"/>
    <n v="4195.0112399999998"/>
    <n v="1774.52856"/>
    <n v="0"/>
    <n v="4657.5549716249334"/>
    <n v="1640.9226750514415"/>
  </r>
  <r>
    <s v="Refaturamento - Regular"/>
    <x v="2"/>
    <x v="4"/>
    <x v="7"/>
    <x v="3"/>
    <x v="0"/>
    <x v="0"/>
    <x v="3"/>
    <x v="4"/>
    <n v="0"/>
    <n v="0"/>
    <n v="4.0000000000000001E-3"/>
    <n v="4.0000000000000001E-3"/>
    <n v="4.0000000000000001E-3"/>
    <n v="4.0000000000000001E-3"/>
    <n v="0"/>
    <x v="1"/>
    <n v="0"/>
    <n v="0"/>
    <n v="60"/>
    <n v="70"/>
    <n v="0"/>
    <n v="574.03"/>
    <n v="242.82"/>
    <m/>
    <n v="637.32279305212558"/>
    <n v="224.53785920244138"/>
    <n v="0"/>
    <n v="2.2961199999999997"/>
    <n v="0.97128000000000003"/>
    <n v="0"/>
    <n v="2.5492911722085023"/>
    <n v="0.8981514368097655"/>
  </r>
  <r>
    <s v="Sistema de Compensação"/>
    <x v="2"/>
    <x v="4"/>
    <x v="7"/>
    <x v="3"/>
    <x v="0"/>
    <x v="0"/>
    <x v="3"/>
    <x v="4"/>
    <n v="0"/>
    <n v="0"/>
    <n v="0.72"/>
    <n v="0.72"/>
    <n v="0.72"/>
    <n v="0.72"/>
    <n v="0"/>
    <x v="1"/>
    <n v="0"/>
    <n v="0"/>
    <n v="60"/>
    <n v="70"/>
    <n v="0"/>
    <n v="574.03"/>
    <n v="242.82"/>
    <m/>
    <n v="637.32279305212558"/>
    <n v="224.53785920244138"/>
    <n v="0"/>
    <n v="413.30159999999995"/>
    <n v="174.8304"/>
    <n v="0"/>
    <n v="458.87241099753038"/>
    <n v="161.6672586257578"/>
  </r>
  <r>
    <s v="Regular"/>
    <x v="2"/>
    <x v="4"/>
    <x v="7"/>
    <x v="3"/>
    <x v="0"/>
    <x v="0"/>
    <x v="3"/>
    <x v="5"/>
    <n v="0"/>
    <n v="0"/>
    <n v="6.7380000000000004"/>
    <n v="6.7380000000000004"/>
    <n v="6.7380000000000004"/>
    <n v="6.7380000000000004"/>
    <n v="0"/>
    <x v="1"/>
    <n v="0"/>
    <n v="0"/>
    <n v="60"/>
    <n v="70"/>
    <n v="0"/>
    <n v="574.03"/>
    <n v="242.82"/>
    <m/>
    <n v="637.32279305212558"/>
    <n v="224.53785920244138"/>
    <n v="0"/>
    <n v="3867.81414"/>
    <n v="1636.1211600000001"/>
    <n v="0"/>
    <n v="4294.2809795852227"/>
    <n v="1512.9360953060502"/>
  </r>
  <r>
    <s v="Refaturamento - Regular"/>
    <x v="2"/>
    <x v="4"/>
    <x v="7"/>
    <x v="3"/>
    <x v="0"/>
    <x v="0"/>
    <x v="3"/>
    <x v="5"/>
    <n v="0"/>
    <n v="0"/>
    <n v="-0.51900000000000002"/>
    <n v="-0.51900000000000002"/>
    <n v="-0.51900000000000002"/>
    <n v="-0.51900000000000002"/>
    <n v="0"/>
    <x v="1"/>
    <n v="0"/>
    <n v="0"/>
    <n v="60"/>
    <n v="70"/>
    <n v="0"/>
    <n v="574.03"/>
    <n v="242.82"/>
    <m/>
    <n v="637.32279305212558"/>
    <n v="224.53785920244138"/>
    <n v="0"/>
    <n v="-297.92156999999997"/>
    <n v="-126.02358"/>
    <n v="0"/>
    <n v="-330.77052959405319"/>
    <n v="-116.53514892606708"/>
  </r>
  <r>
    <s v="Sistema de Compensação"/>
    <x v="2"/>
    <x v="4"/>
    <x v="7"/>
    <x v="3"/>
    <x v="0"/>
    <x v="0"/>
    <x v="3"/>
    <x v="5"/>
    <n v="0"/>
    <n v="0"/>
    <n v="0.161"/>
    <n v="0.161"/>
    <n v="0.161"/>
    <n v="0.161"/>
    <n v="0"/>
    <x v="1"/>
    <n v="0"/>
    <n v="0"/>
    <n v="60"/>
    <n v="70"/>
    <n v="0"/>
    <n v="574.03"/>
    <n v="242.82"/>
    <m/>
    <n v="637.32279305212558"/>
    <n v="224.53785920244138"/>
    <n v="0"/>
    <n v="92.41883"/>
    <n v="39.09402"/>
    <n v="0"/>
    <n v="102.60896968139222"/>
    <n v="36.150595331593067"/>
  </r>
  <r>
    <s v="Sistema de Compensação"/>
    <x v="2"/>
    <x v="4"/>
    <x v="7"/>
    <x v="3"/>
    <x v="0"/>
    <x v="0"/>
    <x v="3"/>
    <x v="5"/>
    <n v="0"/>
    <n v="0"/>
    <n v="-0.57099999999999995"/>
    <n v="-0.57099999999999995"/>
    <n v="-0.57099999999999995"/>
    <n v="-0.57099999999999995"/>
    <n v="0"/>
    <x v="1"/>
    <n v="0"/>
    <n v="0"/>
    <n v="60"/>
    <n v="70"/>
    <n v="0"/>
    <n v="574.03"/>
    <n v="242.82"/>
    <m/>
    <n v="637.32279305212558"/>
    <n v="224.53785920244138"/>
    <n v="0"/>
    <n v="-327.77112999999997"/>
    <n v="-138.65021999999999"/>
    <n v="0"/>
    <n v="-363.91131483276365"/>
    <n v="-128.21111760459402"/>
  </r>
  <r>
    <s v="Regular"/>
    <x v="2"/>
    <x v="4"/>
    <x v="7"/>
    <x v="3"/>
    <x v="0"/>
    <x v="0"/>
    <x v="3"/>
    <x v="6"/>
    <n v="0"/>
    <n v="0"/>
    <n v="6.173"/>
    <n v="6.173"/>
    <n v="6.173"/>
    <n v="6.173"/>
    <n v="0"/>
    <x v="1"/>
    <n v="0"/>
    <n v="0"/>
    <n v="60"/>
    <n v="70"/>
    <n v="0"/>
    <n v="574.03"/>
    <n v="242.82"/>
    <m/>
    <n v="637.32279305212558"/>
    <n v="224.53785920244138"/>
    <n v="0"/>
    <n v="3543.4871899999998"/>
    <n v="1498.92786"/>
    <n v="0"/>
    <n v="3934.1936015107713"/>
    <n v="1386.0722048566706"/>
  </r>
  <r>
    <s v="Sistema de Compensação"/>
    <x v="2"/>
    <x v="4"/>
    <x v="7"/>
    <x v="3"/>
    <x v="0"/>
    <x v="0"/>
    <x v="3"/>
    <x v="6"/>
    <n v="0"/>
    <n v="0"/>
    <n v="0.14099999999999999"/>
    <n v="0.14099999999999999"/>
    <n v="0.14099999999999999"/>
    <n v="0.14099999999999999"/>
    <n v="0"/>
    <x v="1"/>
    <n v="0"/>
    <n v="0"/>
    <n v="60"/>
    <n v="70"/>
    <n v="0"/>
    <n v="574.03"/>
    <n v="242.82"/>
    <m/>
    <n v="637.32279305212558"/>
    <n v="224.53785920244138"/>
    <n v="0"/>
    <n v="80.93822999999999"/>
    <n v="34.237619999999993"/>
    <n v="0"/>
    <n v="89.862513820349704"/>
    <n v="31.659838147544232"/>
  </r>
  <r>
    <s v="Regular"/>
    <x v="2"/>
    <x v="4"/>
    <x v="7"/>
    <x v="3"/>
    <x v="0"/>
    <x v="0"/>
    <x v="3"/>
    <x v="7"/>
    <n v="0"/>
    <n v="0"/>
    <n v="6.5839999999999996"/>
    <n v="6.5839999999999996"/>
    <n v="6.5839999999999996"/>
    <n v="6.5839999999999996"/>
    <n v="0"/>
    <x v="1"/>
    <n v="0"/>
    <n v="0"/>
    <n v="60"/>
    <n v="70"/>
    <n v="0"/>
    <n v="574.03"/>
    <n v="242.82"/>
    <m/>
    <n v="637.32279305212558"/>
    <n v="224.53785920244138"/>
    <n v="0"/>
    <n v="3779.4135199999996"/>
    <n v="1598.7268799999999"/>
    <n v="0"/>
    <n v="4196.1332694551947"/>
    <n v="1478.357264988874"/>
  </r>
  <r>
    <s v="Sistema de Compensação"/>
    <x v="2"/>
    <x v="4"/>
    <x v="7"/>
    <x v="3"/>
    <x v="0"/>
    <x v="0"/>
    <x v="3"/>
    <x v="7"/>
    <n v="0"/>
    <n v="0"/>
    <n v="0.27800000000000002"/>
    <n v="0.27800000000000002"/>
    <n v="0.27800000000000002"/>
    <n v="0.27800000000000002"/>
    <n v="0"/>
    <x v="1"/>
    <n v="0"/>
    <n v="0"/>
    <n v="60"/>
    <n v="70"/>
    <n v="0"/>
    <n v="574.03"/>
    <n v="242.82"/>
    <m/>
    <n v="637.32279305212558"/>
    <n v="224.53785920244138"/>
    <n v="0"/>
    <n v="159.58034000000001"/>
    <n v="67.503960000000006"/>
    <n v="0"/>
    <n v="177.17573646849092"/>
    <n v="62.421524858278708"/>
  </r>
  <r>
    <s v="Regular"/>
    <x v="2"/>
    <x v="4"/>
    <x v="7"/>
    <x v="3"/>
    <x v="0"/>
    <x v="0"/>
    <x v="3"/>
    <x v="8"/>
    <n v="0"/>
    <n v="0"/>
    <n v="5.9349999999999996"/>
    <n v="5.9349999999999996"/>
    <n v="5.9349999999999996"/>
    <n v="5.9349999999999996"/>
    <n v="0"/>
    <x v="1"/>
    <n v="0"/>
    <n v="0"/>
    <n v="60"/>
    <n v="70"/>
    <n v="0"/>
    <n v="574.03"/>
    <n v="242.82"/>
    <m/>
    <n v="637.32279305212558"/>
    <n v="224.53785920244138"/>
    <n v="0"/>
    <n v="3406.8680499999996"/>
    <n v="1441.1366999999998"/>
    <n v="0"/>
    <n v="3782.5107767643649"/>
    <n v="1332.6321943664896"/>
  </r>
  <r>
    <s v="Sistema de Compensação"/>
    <x v="2"/>
    <x v="4"/>
    <x v="7"/>
    <x v="3"/>
    <x v="0"/>
    <x v="0"/>
    <x v="3"/>
    <x v="8"/>
    <n v="0"/>
    <n v="0"/>
    <n v="0.13500000000000001"/>
    <n v="0.13500000000000001"/>
    <n v="0.13500000000000001"/>
    <n v="0.13500000000000001"/>
    <n v="0"/>
    <x v="1"/>
    <n v="0"/>
    <n v="0"/>
    <n v="60"/>
    <n v="70"/>
    <n v="0"/>
    <n v="574.03"/>
    <n v="242.82"/>
    <m/>
    <n v="637.32279305212558"/>
    <n v="224.53785920244138"/>
    <n v="0"/>
    <n v="77.494050000000001"/>
    <n v="32.780700000000003"/>
    <n v="0"/>
    <n v="86.038577062036964"/>
    <n v="30.312610992329589"/>
  </r>
  <r>
    <s v="Regular"/>
    <x v="2"/>
    <x v="4"/>
    <x v="7"/>
    <x v="3"/>
    <x v="0"/>
    <x v="0"/>
    <x v="3"/>
    <x v="9"/>
    <n v="0"/>
    <n v="0"/>
    <n v="5.9569999999999999"/>
    <n v="5.9569999999999999"/>
    <n v="5.9569999999999999"/>
    <n v="5.9569999999999999"/>
    <n v="0"/>
    <x v="1"/>
    <n v="0"/>
    <n v="0"/>
    <n v="60"/>
    <n v="70"/>
    <n v="0"/>
    <n v="574.03"/>
    <n v="242.82"/>
    <m/>
    <n v="637.32279305212558"/>
    <n v="224.53785920244138"/>
    <n v="0"/>
    <n v="3419.4967099999999"/>
    <n v="1446.47874"/>
    <n v="0"/>
    <n v="3796.5318782115119"/>
    <n v="1337.5720272689432"/>
  </r>
  <r>
    <s v="Refaturamento - Regular"/>
    <x v="2"/>
    <x v="4"/>
    <x v="7"/>
    <x v="3"/>
    <x v="0"/>
    <x v="0"/>
    <x v="3"/>
    <x v="9"/>
    <n v="0"/>
    <n v="0"/>
    <n v="5.6000000000000001E-2"/>
    <n v="5.6000000000000001E-2"/>
    <n v="5.6000000000000001E-2"/>
    <n v="5.6000000000000001E-2"/>
    <n v="0"/>
    <x v="1"/>
    <n v="0"/>
    <n v="0"/>
    <n v="60"/>
    <n v="70"/>
    <n v="0"/>
    <n v="574.03"/>
    <n v="242.82"/>
    <m/>
    <n v="637.32279305212558"/>
    <n v="224.53785920244138"/>
    <n v="0"/>
    <n v="32.145679999999999"/>
    <n v="13.59792"/>
    <n v="0"/>
    <n v="35.690076410919033"/>
    <n v="12.574120115336717"/>
  </r>
  <r>
    <s v="Sistema de Compensação"/>
    <x v="2"/>
    <x v="4"/>
    <x v="7"/>
    <x v="3"/>
    <x v="0"/>
    <x v="0"/>
    <x v="3"/>
    <x v="9"/>
    <n v="0"/>
    <n v="0"/>
    <n v="0.13600000000000001"/>
    <n v="0.13600000000000001"/>
    <n v="0.13600000000000001"/>
    <n v="0.13600000000000001"/>
    <n v="0"/>
    <x v="1"/>
    <n v="0"/>
    <n v="0"/>
    <n v="60"/>
    <n v="70"/>
    <n v="0"/>
    <n v="574.03"/>
    <n v="242.82"/>
    <m/>
    <n v="637.32279305212558"/>
    <n v="224.53785920244138"/>
    <n v="0"/>
    <n v="78.068079999999995"/>
    <n v="33.023520000000005"/>
    <n v="0"/>
    <n v="86.675899855089085"/>
    <n v="30.537148851532031"/>
  </r>
  <r>
    <s v="Regular"/>
    <x v="2"/>
    <x v="4"/>
    <x v="7"/>
    <x v="3"/>
    <x v="0"/>
    <x v="0"/>
    <x v="3"/>
    <x v="10"/>
    <n v="0"/>
    <n v="0"/>
    <n v="5.5069999999999997"/>
    <n v="5.5069999999999997"/>
    <n v="5.5069999999999997"/>
    <n v="5.5069999999999997"/>
    <n v="0"/>
    <x v="1"/>
    <n v="0"/>
    <n v="0"/>
    <n v="60"/>
    <n v="70"/>
    <n v="0"/>
    <n v="574.03"/>
    <n v="242.82"/>
    <m/>
    <n v="637.32279305212558"/>
    <n v="224.53785920244138"/>
    <n v="0"/>
    <n v="3161.1832099999997"/>
    <n v="1337.2097399999998"/>
    <n v="0"/>
    <n v="3509.7366213380556"/>
    <n v="1236.5299906278447"/>
  </r>
  <r>
    <s v="Sistema de Compensação"/>
    <x v="2"/>
    <x v="4"/>
    <x v="7"/>
    <x v="3"/>
    <x v="0"/>
    <x v="0"/>
    <x v="3"/>
    <x v="10"/>
    <n v="0"/>
    <n v="0"/>
    <n v="0.14000000000000001"/>
    <n v="0.14000000000000001"/>
    <n v="0.14000000000000001"/>
    <n v="0.14000000000000001"/>
    <n v="0"/>
    <x v="1"/>
    <n v="0"/>
    <n v="0"/>
    <n v="60"/>
    <n v="70"/>
    <n v="0"/>
    <n v="574.03"/>
    <n v="242.82"/>
    <m/>
    <n v="637.32279305212558"/>
    <n v="224.53785920244138"/>
    <n v="0"/>
    <n v="80.364199999999997"/>
    <n v="33.994800000000005"/>
    <n v="0"/>
    <n v="89.225191027297583"/>
    <n v="31.435300288341796"/>
  </r>
  <r>
    <s v="PROJETADO"/>
    <x v="2"/>
    <x v="4"/>
    <x v="7"/>
    <x v="3"/>
    <x v="0"/>
    <x v="0"/>
    <x v="3"/>
    <x v="11"/>
    <n v="0"/>
    <n v="0"/>
    <n v="5.5069999999999997"/>
    <n v="5.5069999999999997"/>
    <n v="5.5069999999999997"/>
    <n v="5.5069999999999997"/>
    <n v="0"/>
    <x v="1"/>
    <n v="0"/>
    <n v="0"/>
    <n v="60"/>
    <n v="70"/>
    <n v="0"/>
    <n v="574.03"/>
    <n v="242.82"/>
    <m/>
    <n v="637.32279305212558"/>
    <n v="224.53785920244138"/>
    <n v="0"/>
    <n v="3161.1832099999997"/>
    <n v="1337.2097399999998"/>
    <n v="0"/>
    <n v="3509.7366213380556"/>
    <n v="1236.5299906278447"/>
  </r>
  <r>
    <s v="PROJETADO"/>
    <x v="2"/>
    <x v="4"/>
    <x v="7"/>
    <x v="3"/>
    <x v="0"/>
    <x v="0"/>
    <x v="3"/>
    <x v="11"/>
    <n v="0"/>
    <n v="0"/>
    <n v="0.14000000000000001"/>
    <n v="0.14000000000000001"/>
    <n v="0.14000000000000001"/>
    <n v="0.14000000000000001"/>
    <n v="0"/>
    <x v="1"/>
    <n v="0"/>
    <n v="0"/>
    <n v="60"/>
    <n v="70"/>
    <n v="0"/>
    <n v="574.03"/>
    <n v="242.82"/>
    <m/>
    <n v="637.32279305212558"/>
    <n v="224.53785920244138"/>
    <n v="0"/>
    <n v="80.364199999999997"/>
    <n v="33.994800000000005"/>
    <n v="0"/>
    <n v="89.225191027297583"/>
    <n v="31.435300288341796"/>
  </r>
  <r>
    <s v="Regular"/>
    <x v="2"/>
    <x v="4"/>
    <x v="7"/>
    <x v="3"/>
    <x v="0"/>
    <x v="0"/>
    <x v="2"/>
    <x v="0"/>
    <n v="0"/>
    <n v="0"/>
    <n v="9.2590000000000003"/>
    <n v="9.2590000000000003"/>
    <n v="9.2590000000000003"/>
    <n v="9.2590000000000003"/>
    <n v="0"/>
    <x v="1"/>
    <n v="0"/>
    <n v="0"/>
    <n v="58"/>
    <n v="69"/>
    <n v="0"/>
    <n v="897.96"/>
    <n v="397.62"/>
    <m/>
    <n v="994.31913032847797"/>
    <n v="351.67159959099928"/>
    <n v="0"/>
    <n v="8314.2116400000014"/>
    <n v="3681.56358"/>
    <n v="0"/>
    <n v="9206.4008277113771"/>
    <n v="3256.1273406130626"/>
  </r>
  <r>
    <s v="Sistema de Compensação"/>
    <x v="2"/>
    <x v="4"/>
    <x v="7"/>
    <x v="3"/>
    <x v="0"/>
    <x v="0"/>
    <x v="2"/>
    <x v="0"/>
    <n v="0"/>
    <n v="0"/>
    <n v="4.2000000000000003E-2"/>
    <n v="4.2000000000000003E-2"/>
    <n v="4.2000000000000003E-2"/>
    <n v="4.2000000000000003E-2"/>
    <n v="0"/>
    <x v="1"/>
    <n v="0"/>
    <n v="0"/>
    <n v="58"/>
    <n v="69"/>
    <n v="0"/>
    <n v="897.96"/>
    <n v="397.62"/>
    <m/>
    <n v="994.31913032847797"/>
    <n v="351.67159959099928"/>
    <n v="0"/>
    <n v="37.714320000000001"/>
    <n v="16.700040000000001"/>
    <n v="0"/>
    <n v="41.761403473796079"/>
    <n v="14.77020718282197"/>
  </r>
  <r>
    <s v="Regular"/>
    <x v="2"/>
    <x v="4"/>
    <x v="7"/>
    <x v="3"/>
    <x v="0"/>
    <x v="0"/>
    <x v="2"/>
    <x v="1"/>
    <n v="0"/>
    <n v="0"/>
    <n v="16.771000000000001"/>
    <n v="16.771000000000001"/>
    <n v="16.771000000000001"/>
    <n v="16.771000000000001"/>
    <n v="0"/>
    <x v="1"/>
    <n v="0"/>
    <n v="0"/>
    <n v="58"/>
    <n v="69"/>
    <n v="0"/>
    <n v="897.96"/>
    <n v="397.62"/>
    <m/>
    <n v="994.31913032847797"/>
    <n v="351.67159959099928"/>
    <n v="0"/>
    <n v="15059.687160000001"/>
    <n v="6668.4850200000001"/>
    <n v="0"/>
    <n v="16675.726134738903"/>
    <n v="5897.8843967406492"/>
  </r>
  <r>
    <s v="Sistema de Compensação"/>
    <x v="2"/>
    <x v="4"/>
    <x v="7"/>
    <x v="3"/>
    <x v="0"/>
    <x v="0"/>
    <x v="2"/>
    <x v="1"/>
    <n v="0"/>
    <n v="0"/>
    <n v="0.11600000000000001"/>
    <n v="0.11600000000000001"/>
    <n v="0.11600000000000001"/>
    <n v="0.11600000000000001"/>
    <n v="0"/>
    <x v="1"/>
    <n v="0"/>
    <n v="0"/>
    <n v="58"/>
    <n v="69"/>
    <n v="0"/>
    <n v="897.96"/>
    <n v="397.62"/>
    <m/>
    <n v="994.31913032847797"/>
    <n v="351.67159959099928"/>
    <n v="0"/>
    <n v="104.16336000000001"/>
    <n v="46.123920000000005"/>
    <n v="0"/>
    <n v="115.34101911810345"/>
    <n v="40.79390555255592"/>
  </r>
  <r>
    <s v="Regular"/>
    <x v="2"/>
    <x v="4"/>
    <x v="7"/>
    <x v="3"/>
    <x v="0"/>
    <x v="0"/>
    <x v="2"/>
    <x v="2"/>
    <n v="0"/>
    <n v="0"/>
    <n v="13.401999999999999"/>
    <n v="13.401999999999999"/>
    <n v="13.401999999999999"/>
    <n v="13.401999999999999"/>
    <n v="0"/>
    <x v="1"/>
    <n v="0"/>
    <n v="0"/>
    <n v="58"/>
    <n v="69"/>
    <n v="0"/>
    <n v="897.96"/>
    <n v="397.62"/>
    <m/>
    <n v="994.31913032847797"/>
    <n v="351.67159959099928"/>
    <n v="0"/>
    <n v="12034.459919999999"/>
    <n v="5328.9032399999996"/>
    <n v="0"/>
    <n v="13325.864984662261"/>
    <n v="4713.1027777185718"/>
  </r>
  <r>
    <s v="Refaturamento - Regular"/>
    <x v="2"/>
    <x v="4"/>
    <x v="7"/>
    <x v="3"/>
    <x v="0"/>
    <x v="0"/>
    <x v="2"/>
    <x v="2"/>
    <n v="0"/>
    <n v="0"/>
    <n v="-8.0869999999999997"/>
    <n v="-8.0869999999999997"/>
    <n v="-8.0869999999999997"/>
    <n v="-8.0869999999999997"/>
    <n v="0"/>
    <x v="1"/>
    <n v="0"/>
    <n v="0"/>
    <n v="58"/>
    <n v="69"/>
    <n v="0"/>
    <n v="897.96"/>
    <n v="397.62"/>
    <m/>
    <n v="994.31913032847797"/>
    <n v="351.67159959099928"/>
    <n v="0"/>
    <n v="-7261.8025200000002"/>
    <n v="-3215.55294"/>
    <n v="0"/>
    <n v="-8041.0588069664009"/>
    <n v="-2843.9682258924113"/>
  </r>
  <r>
    <s v="Sistema de Compensação"/>
    <x v="2"/>
    <x v="4"/>
    <x v="7"/>
    <x v="3"/>
    <x v="0"/>
    <x v="0"/>
    <x v="2"/>
    <x v="2"/>
    <n v="0"/>
    <n v="0"/>
    <n v="7.9000000000000001E-2"/>
    <n v="7.9000000000000001E-2"/>
    <n v="7.9000000000000001E-2"/>
    <n v="7.9000000000000001E-2"/>
    <n v="0"/>
    <x v="1"/>
    <n v="0"/>
    <n v="0"/>
    <n v="58"/>
    <n v="69"/>
    <n v="0"/>
    <n v="897.96"/>
    <n v="397.62"/>
    <m/>
    <n v="994.31913032847797"/>
    <n v="351.67159959099928"/>
    <n v="0"/>
    <n v="70.938839999999999"/>
    <n v="31.41198"/>
    <n v="0"/>
    <n v="78.551211295949756"/>
    <n v="27.782056367688945"/>
  </r>
  <r>
    <s v="Regular"/>
    <x v="2"/>
    <x v="4"/>
    <x v="7"/>
    <x v="3"/>
    <x v="0"/>
    <x v="0"/>
    <x v="2"/>
    <x v="3"/>
    <n v="0"/>
    <n v="0"/>
    <n v="7.8339999999999996"/>
    <n v="7.8339999999999996"/>
    <n v="7.8339999999999996"/>
    <n v="7.8339999999999996"/>
    <n v="0"/>
    <x v="1"/>
    <n v="0"/>
    <n v="0"/>
    <n v="58"/>
    <n v="69"/>
    <n v="0"/>
    <n v="897.96"/>
    <n v="397.62"/>
    <m/>
    <n v="994.31913032847797"/>
    <n v="351.67159959099928"/>
    <n v="0"/>
    <n v="7034.6186399999997"/>
    <n v="3114.9550799999997"/>
    <n v="0"/>
    <n v="7789.4960669932962"/>
    <n v="2754.995311195888"/>
  </r>
  <r>
    <s v="Refaturamento - Regular"/>
    <x v="2"/>
    <x v="4"/>
    <x v="7"/>
    <x v="3"/>
    <x v="0"/>
    <x v="0"/>
    <x v="2"/>
    <x v="3"/>
    <n v="0"/>
    <n v="0"/>
    <n v="-4.3490000000000002"/>
    <n v="-4.3490000000000002"/>
    <n v="-4.3490000000000002"/>
    <n v="-4.3490000000000002"/>
    <n v="0"/>
    <x v="1"/>
    <n v="0"/>
    <n v="0"/>
    <n v="58"/>
    <n v="69"/>
    <n v="0"/>
    <n v="897.96"/>
    <n v="397.62"/>
    <m/>
    <n v="994.31913032847797"/>
    <n v="351.67159959099928"/>
    <n v="0"/>
    <n v="-3905.2280400000004"/>
    <n v="-1729.2493800000002"/>
    <n v="0"/>
    <n v="-4324.2938977985505"/>
    <n v="-1529.419786621256"/>
  </r>
  <r>
    <s v="Sistema de Compensação"/>
    <x v="2"/>
    <x v="4"/>
    <x v="7"/>
    <x v="3"/>
    <x v="0"/>
    <x v="0"/>
    <x v="2"/>
    <x v="3"/>
    <n v="0"/>
    <n v="0"/>
    <n v="0.36199999999999999"/>
    <n v="0.36199999999999999"/>
    <n v="0.36199999999999999"/>
    <n v="0.36199999999999999"/>
    <n v="0"/>
    <x v="1"/>
    <n v="0"/>
    <n v="0"/>
    <n v="58"/>
    <n v="69"/>
    <n v="0"/>
    <n v="897.96"/>
    <n v="397.62"/>
    <m/>
    <n v="994.31913032847797"/>
    <n v="351.67159959099928"/>
    <n v="0"/>
    <n v="325.06152000000003"/>
    <n v="143.93843999999999"/>
    <n v="0"/>
    <n v="359.943525178909"/>
    <n v="127.30511905194173"/>
  </r>
  <r>
    <s v="Regular"/>
    <x v="2"/>
    <x v="4"/>
    <x v="7"/>
    <x v="3"/>
    <x v="0"/>
    <x v="0"/>
    <x v="2"/>
    <x v="4"/>
    <n v="0"/>
    <n v="0"/>
    <n v="9.9960000000000004"/>
    <n v="9.9960000000000004"/>
    <n v="9.9960000000000004"/>
    <n v="9.9960000000000004"/>
    <n v="0"/>
    <x v="1"/>
    <n v="0"/>
    <n v="0"/>
    <n v="58"/>
    <n v="69"/>
    <n v="0"/>
    <n v="897.96"/>
    <n v="397.62"/>
    <m/>
    <n v="994.31913032847797"/>
    <n v="351.67159959099928"/>
    <n v="0"/>
    <n v="8976.0081600000012"/>
    <n v="3974.6095200000004"/>
    <n v="0"/>
    <n v="9939.2140267634659"/>
    <n v="3515.3093095116287"/>
  </r>
  <r>
    <s v="Refaturamento - Regular"/>
    <x v="2"/>
    <x v="4"/>
    <x v="7"/>
    <x v="3"/>
    <x v="0"/>
    <x v="0"/>
    <x v="2"/>
    <x v="4"/>
    <n v="0"/>
    <n v="0"/>
    <n v="-0.29199999999999998"/>
    <n v="-0.29199999999999998"/>
    <n v="-0.29199999999999998"/>
    <n v="-0.29199999999999998"/>
    <n v="0"/>
    <x v="1"/>
    <n v="0"/>
    <n v="0"/>
    <n v="58"/>
    <n v="69"/>
    <n v="0"/>
    <n v="897.96"/>
    <n v="397.62"/>
    <m/>
    <n v="994.31913032847797"/>
    <n v="351.67159959099928"/>
    <n v="0"/>
    <n v="-262.20432"/>
    <n v="-116.10503999999999"/>
    <n v="0"/>
    <n v="-290.34118605591556"/>
    <n v="-102.68810708057178"/>
  </r>
  <r>
    <s v="Sistema de Compensação"/>
    <x v="2"/>
    <x v="4"/>
    <x v="7"/>
    <x v="3"/>
    <x v="0"/>
    <x v="0"/>
    <x v="2"/>
    <x v="4"/>
    <n v="0"/>
    <n v="0"/>
    <n v="0.53100000000000003"/>
    <n v="0.53100000000000003"/>
    <n v="0.53100000000000003"/>
    <n v="0.53100000000000003"/>
    <n v="0"/>
    <x v="1"/>
    <n v="0"/>
    <n v="0"/>
    <n v="58"/>
    <n v="69"/>
    <n v="0"/>
    <n v="897.96"/>
    <n v="397.62"/>
    <m/>
    <n v="994.31913032847797"/>
    <n v="351.67159959099928"/>
    <n v="0"/>
    <n v="476.81676000000004"/>
    <n v="211.13622000000001"/>
    <n v="0"/>
    <n v="527.98345820442182"/>
    <n v="186.73761938282064"/>
  </r>
  <r>
    <s v="Regular"/>
    <x v="2"/>
    <x v="4"/>
    <x v="7"/>
    <x v="3"/>
    <x v="0"/>
    <x v="0"/>
    <x v="2"/>
    <x v="5"/>
    <n v="0"/>
    <n v="0"/>
    <n v="20.518999999999998"/>
    <n v="20.518999999999998"/>
    <n v="20.518999999999998"/>
    <n v="20.518999999999998"/>
    <n v="0"/>
    <x v="1"/>
    <n v="0"/>
    <n v="0"/>
    <n v="58"/>
    <n v="69"/>
    <n v="0"/>
    <n v="897.96"/>
    <n v="397.62"/>
    <m/>
    <n v="994.31913032847797"/>
    <n v="351.67159959099928"/>
    <n v="0"/>
    <n v="18425.241239999999"/>
    <n v="8158.7647799999995"/>
    <n v="0"/>
    <n v="20402.434235210039"/>
    <n v="7215.9495520077135"/>
  </r>
  <r>
    <s v="Refaturamento - Regular"/>
    <x v="2"/>
    <x v="4"/>
    <x v="7"/>
    <x v="3"/>
    <x v="0"/>
    <x v="0"/>
    <x v="2"/>
    <x v="5"/>
    <n v="0"/>
    <n v="0"/>
    <n v="-0.83299999999999996"/>
    <n v="-0.83299999999999996"/>
    <n v="-0.83299999999999996"/>
    <n v="-0.83299999999999996"/>
    <n v="0"/>
    <x v="1"/>
    <n v="0"/>
    <n v="0"/>
    <n v="58"/>
    <n v="69"/>
    <n v="0"/>
    <n v="897.96"/>
    <n v="397.62"/>
    <m/>
    <n v="994.31913032847797"/>
    <n v="351.67159959099928"/>
    <n v="0"/>
    <n v="-748.00067999999999"/>
    <n v="-331.21746000000002"/>
    <n v="0"/>
    <n v="-828.26783556362216"/>
    <n v="-292.94244245930241"/>
  </r>
  <r>
    <s v="Sistema de Compensação"/>
    <x v="2"/>
    <x v="4"/>
    <x v="7"/>
    <x v="3"/>
    <x v="0"/>
    <x v="0"/>
    <x v="2"/>
    <x v="5"/>
    <n v="0"/>
    <n v="0"/>
    <n v="0.19900000000000001"/>
    <n v="0.19900000000000001"/>
    <n v="0.19900000000000001"/>
    <n v="0.19900000000000001"/>
    <n v="0"/>
    <x v="1"/>
    <n v="0"/>
    <n v="0"/>
    <n v="58"/>
    <n v="69"/>
    <n v="0"/>
    <n v="897.96"/>
    <n v="397.62"/>
    <m/>
    <n v="994.31913032847797"/>
    <n v="351.67159959099928"/>
    <n v="0"/>
    <n v="178.69404000000003"/>
    <n v="79.126380000000012"/>
    <n v="0"/>
    <n v="197.86950693536713"/>
    <n v="69.982648318608867"/>
  </r>
  <r>
    <s v="Sistema de Compensação"/>
    <x v="2"/>
    <x v="4"/>
    <x v="7"/>
    <x v="3"/>
    <x v="0"/>
    <x v="0"/>
    <x v="2"/>
    <x v="5"/>
    <n v="0"/>
    <n v="0"/>
    <n v="-9.6000000000000002E-2"/>
    <n v="-9.6000000000000002E-2"/>
    <n v="-9.6000000000000002E-2"/>
    <n v="-9.6000000000000002E-2"/>
    <n v="0"/>
    <x v="1"/>
    <n v="0"/>
    <n v="0"/>
    <n v="58"/>
    <n v="69"/>
    <n v="0"/>
    <n v="897.96"/>
    <n v="397.62"/>
    <m/>
    <n v="994.31913032847797"/>
    <n v="351.67159959099928"/>
    <n v="0"/>
    <n v="-86.204160000000002"/>
    <n v="-38.171520000000001"/>
    <n v="0"/>
    <n v="-95.454636511533892"/>
    <n v="-33.760473560735932"/>
  </r>
  <r>
    <s v="Regular"/>
    <x v="2"/>
    <x v="4"/>
    <x v="7"/>
    <x v="3"/>
    <x v="0"/>
    <x v="0"/>
    <x v="2"/>
    <x v="6"/>
    <n v="0"/>
    <n v="0"/>
    <n v="8.9499999999999993"/>
    <n v="8.9499999999999993"/>
    <n v="8.9499999999999993"/>
    <n v="8.9499999999999993"/>
    <n v="0"/>
    <x v="1"/>
    <n v="0"/>
    <n v="0"/>
    <n v="58"/>
    <n v="69"/>
    <n v="0"/>
    <n v="897.96"/>
    <n v="397.62"/>
    <m/>
    <n v="994.31913032847797"/>
    <n v="351.67159959099928"/>
    <n v="0"/>
    <n v="8036.7419999999993"/>
    <n v="3558.6989999999996"/>
    <n v="0"/>
    <n v="8899.1562164398765"/>
    <n v="3147.4608163394432"/>
  </r>
  <r>
    <s v="Refaturamento - Regular"/>
    <x v="2"/>
    <x v="4"/>
    <x v="7"/>
    <x v="3"/>
    <x v="0"/>
    <x v="0"/>
    <x v="2"/>
    <x v="6"/>
    <n v="0"/>
    <n v="0"/>
    <n v="-5.7439999999999998"/>
    <n v="-5.7439999999999998"/>
    <n v="-5.7439999999999998"/>
    <n v="-5.7439999999999998"/>
    <n v="0"/>
    <x v="1"/>
    <n v="0"/>
    <n v="0"/>
    <n v="58"/>
    <n v="69"/>
    <n v="0"/>
    <n v="897.96"/>
    <n v="397.62"/>
    <m/>
    <n v="994.31913032847797"/>
    <n v="351.67159959099928"/>
    <n v="0"/>
    <n v="-5157.8822399999999"/>
    <n v="-2283.9292799999998"/>
    <n v="0"/>
    <n v="-5711.3690846067775"/>
    <n v="-2020.0016680506997"/>
  </r>
  <r>
    <s v="Sistema de Compensação"/>
    <x v="2"/>
    <x v="4"/>
    <x v="7"/>
    <x v="3"/>
    <x v="0"/>
    <x v="0"/>
    <x v="2"/>
    <x v="6"/>
    <n v="0"/>
    <n v="0"/>
    <n v="0.189"/>
    <n v="0.189"/>
    <n v="0.189"/>
    <n v="0.189"/>
    <n v="0"/>
    <x v="1"/>
    <n v="0"/>
    <n v="0"/>
    <n v="58"/>
    <n v="69"/>
    <n v="0"/>
    <n v="897.96"/>
    <n v="397.62"/>
    <m/>
    <n v="994.31913032847797"/>
    <n v="351.67159959099928"/>
    <n v="0"/>
    <n v="169.71444"/>
    <n v="75.150180000000006"/>
    <n v="0"/>
    <n v="187.92631563208235"/>
    <n v="66.465932322698862"/>
  </r>
  <r>
    <s v="Sistema de Compensação"/>
    <x v="2"/>
    <x v="4"/>
    <x v="7"/>
    <x v="3"/>
    <x v="0"/>
    <x v="0"/>
    <x v="2"/>
    <x v="6"/>
    <n v="0"/>
    <n v="0"/>
    <n v="-0.216"/>
    <n v="-0.216"/>
    <n v="-0.216"/>
    <n v="-0.216"/>
    <n v="0"/>
    <x v="1"/>
    <n v="0"/>
    <n v="0"/>
    <n v="58"/>
    <n v="69"/>
    <n v="0"/>
    <n v="897.96"/>
    <n v="397.62"/>
    <m/>
    <n v="994.31913032847797"/>
    <n v="351.67159959099928"/>
    <n v="0"/>
    <n v="-193.95936"/>
    <n v="-85.885919999999999"/>
    <n v="0"/>
    <n v="-214.77293215095125"/>
    <n v="-75.961065511655846"/>
  </r>
  <r>
    <s v="Regular"/>
    <x v="2"/>
    <x v="4"/>
    <x v="7"/>
    <x v="3"/>
    <x v="0"/>
    <x v="0"/>
    <x v="2"/>
    <x v="7"/>
    <n v="0"/>
    <n v="0"/>
    <n v="9.4960000000000004"/>
    <n v="9.4960000000000004"/>
    <n v="9.4960000000000004"/>
    <n v="9.4960000000000004"/>
    <n v="0"/>
    <x v="1"/>
    <n v="0"/>
    <n v="0"/>
    <n v="58"/>
    <n v="69"/>
    <n v="0"/>
    <n v="897.96"/>
    <n v="397.62"/>
    <m/>
    <n v="994.31913032847797"/>
    <n v="351.67159959099928"/>
    <n v="0"/>
    <n v="8527.0281599999998"/>
    <n v="3775.79952"/>
    <n v="0"/>
    <n v="9442.0544615992276"/>
    <n v="3339.4735097161292"/>
  </r>
  <r>
    <s v="Sistema de Compensação"/>
    <x v="2"/>
    <x v="4"/>
    <x v="7"/>
    <x v="3"/>
    <x v="0"/>
    <x v="0"/>
    <x v="2"/>
    <x v="7"/>
    <n v="0"/>
    <n v="0"/>
    <n v="0.42299999999999999"/>
    <n v="0.42299999999999999"/>
    <n v="0.42299999999999999"/>
    <n v="0.42299999999999999"/>
    <n v="0"/>
    <x v="1"/>
    <n v="0"/>
    <n v="0"/>
    <n v="58"/>
    <n v="69"/>
    <n v="0"/>
    <n v="897.96"/>
    <n v="397.62"/>
    <m/>
    <n v="994.31913032847797"/>
    <n v="351.67159959099928"/>
    <n v="0"/>
    <n v="379.83708000000001"/>
    <n v="168.19326000000001"/>
    <n v="0"/>
    <n v="420.59699212894617"/>
    <n v="148.7570866269927"/>
  </r>
  <r>
    <s v="Regular"/>
    <x v="2"/>
    <x v="4"/>
    <x v="7"/>
    <x v="3"/>
    <x v="0"/>
    <x v="0"/>
    <x v="2"/>
    <x v="8"/>
    <n v="0"/>
    <n v="0"/>
    <n v="7.9119999999999999"/>
    <n v="7.9119999999999999"/>
    <n v="7.9119999999999999"/>
    <n v="7.9119999999999999"/>
    <n v="0"/>
    <x v="1"/>
    <n v="0"/>
    <n v="0"/>
    <n v="58"/>
    <n v="69"/>
    <n v="0"/>
    <n v="897.96"/>
    <n v="397.62"/>
    <m/>
    <n v="994.31913032847797"/>
    <n v="351.67159959099928"/>
    <n v="0"/>
    <n v="7104.6595200000002"/>
    <n v="3145.9694399999998"/>
    <n v="0"/>
    <n v="7867.0529591589175"/>
    <n v="2782.4256959639861"/>
  </r>
  <r>
    <s v="Sistema de Compensação"/>
    <x v="2"/>
    <x v="4"/>
    <x v="7"/>
    <x v="3"/>
    <x v="0"/>
    <x v="0"/>
    <x v="2"/>
    <x v="8"/>
    <n v="0"/>
    <n v="0"/>
    <n v="0.16200000000000001"/>
    <n v="0.16200000000000001"/>
    <n v="0.16200000000000001"/>
    <n v="0.16200000000000001"/>
    <n v="0"/>
    <x v="1"/>
    <n v="0"/>
    <n v="0"/>
    <n v="58"/>
    <n v="69"/>
    <n v="0"/>
    <n v="897.96"/>
    <n v="397.62"/>
    <m/>
    <n v="994.31913032847797"/>
    <n v="351.67159959099928"/>
    <n v="0"/>
    <n v="145.46952000000002"/>
    <n v="64.414439999999999"/>
    <n v="0"/>
    <n v="161.07969911321342"/>
    <n v="56.970799133741885"/>
  </r>
  <r>
    <s v="Regular"/>
    <x v="2"/>
    <x v="4"/>
    <x v="7"/>
    <x v="3"/>
    <x v="0"/>
    <x v="0"/>
    <x v="2"/>
    <x v="9"/>
    <n v="0"/>
    <n v="0"/>
    <n v="8.0280000000000005"/>
    <n v="8.0280000000000005"/>
    <n v="8.0280000000000005"/>
    <n v="8.0280000000000005"/>
    <n v="0"/>
    <x v="1"/>
    <n v="0"/>
    <n v="0"/>
    <n v="58"/>
    <n v="69"/>
    <n v="0"/>
    <n v="897.96"/>
    <n v="397.62"/>
    <m/>
    <n v="994.31913032847797"/>
    <n v="351.67159959099928"/>
    <n v="0"/>
    <n v="7208.8228800000006"/>
    <n v="3192.0933600000003"/>
    <n v="0"/>
    <n v="7982.3939782770212"/>
    <n v="2823.2196015165423"/>
  </r>
  <r>
    <s v="Refaturamento - Regular"/>
    <x v="2"/>
    <x v="4"/>
    <x v="7"/>
    <x v="3"/>
    <x v="0"/>
    <x v="0"/>
    <x v="2"/>
    <x v="9"/>
    <n v="0"/>
    <n v="0"/>
    <n v="-3.7029999999999998"/>
    <n v="-3.7029999999999998"/>
    <n v="-3.7029999999999998"/>
    <n v="-3.7029999999999998"/>
    <n v="0"/>
    <x v="1"/>
    <n v="0"/>
    <n v="0"/>
    <n v="58"/>
    <n v="69"/>
    <n v="0"/>
    <n v="897.96"/>
    <n v="397.62"/>
    <m/>
    <n v="994.31913032847797"/>
    <n v="351.67159959099928"/>
    <n v="0"/>
    <n v="-3325.14588"/>
    <n v="-1472.3868600000001"/>
    <n v="0"/>
    <n v="-3681.9637396063536"/>
    <n v="-1302.2399332854702"/>
  </r>
  <r>
    <s v="Sistema de Compensação"/>
    <x v="2"/>
    <x v="4"/>
    <x v="7"/>
    <x v="3"/>
    <x v="0"/>
    <x v="0"/>
    <x v="2"/>
    <x v="9"/>
    <n v="0"/>
    <n v="0"/>
    <n v="0.16700000000000001"/>
    <n v="0.16700000000000001"/>
    <n v="0.16700000000000001"/>
    <n v="0.16700000000000001"/>
    <n v="0"/>
    <x v="1"/>
    <n v="0"/>
    <n v="0"/>
    <n v="58"/>
    <n v="69"/>
    <n v="0"/>
    <n v="897.96"/>
    <n v="397.62"/>
    <m/>
    <n v="994.31913032847797"/>
    <n v="351.67159959099928"/>
    <n v="0"/>
    <n v="149.95932000000002"/>
    <n v="66.402540000000002"/>
    <n v="0"/>
    <n v="166.05129476485584"/>
    <n v="58.72915713169688"/>
  </r>
  <r>
    <s v="Regular"/>
    <x v="2"/>
    <x v="4"/>
    <x v="7"/>
    <x v="3"/>
    <x v="0"/>
    <x v="0"/>
    <x v="2"/>
    <x v="10"/>
    <n v="0"/>
    <n v="0"/>
    <n v="7.9320000000000004"/>
    <n v="7.9320000000000004"/>
    <n v="7.9320000000000004"/>
    <n v="7.9320000000000004"/>
    <n v="0"/>
    <x v="1"/>
    <n v="0"/>
    <n v="0"/>
    <n v="58"/>
    <n v="69"/>
    <n v="0"/>
    <n v="897.96"/>
    <n v="397.62"/>
    <m/>
    <n v="994.31913032847797"/>
    <n v="351.67159959099928"/>
    <n v="0"/>
    <n v="7122.6187200000004"/>
    <n v="3153.92184"/>
    <n v="0"/>
    <n v="7886.9393417654874"/>
    <n v="2789.4591279558063"/>
  </r>
  <r>
    <s v="Sistema de Compensação"/>
    <x v="2"/>
    <x v="4"/>
    <x v="7"/>
    <x v="3"/>
    <x v="0"/>
    <x v="0"/>
    <x v="2"/>
    <x v="10"/>
    <n v="0"/>
    <n v="0"/>
    <n v="0.20100000000000001"/>
    <n v="0.20100000000000001"/>
    <n v="0.20100000000000001"/>
    <n v="0.20100000000000001"/>
    <n v="0"/>
    <x v="1"/>
    <n v="0"/>
    <n v="0"/>
    <n v="58"/>
    <n v="69"/>
    <n v="0"/>
    <n v="897.96"/>
    <n v="397.62"/>
    <m/>
    <n v="994.31913032847797"/>
    <n v="351.67159959099928"/>
    <n v="0"/>
    <n v="180.48996000000002"/>
    <n v="79.921620000000004"/>
    <n v="0"/>
    <n v="199.85814519602408"/>
    <n v="70.685991517790853"/>
  </r>
  <r>
    <s v="PROJETADO"/>
    <x v="2"/>
    <x v="4"/>
    <x v="7"/>
    <x v="3"/>
    <x v="0"/>
    <x v="0"/>
    <x v="2"/>
    <x v="11"/>
    <n v="0"/>
    <n v="0"/>
    <n v="7.9320000000000004"/>
    <n v="7.9320000000000004"/>
    <n v="7.9320000000000004"/>
    <n v="7.9320000000000004"/>
    <n v="0"/>
    <x v="1"/>
    <n v="0"/>
    <n v="0"/>
    <n v="58"/>
    <n v="69"/>
    <n v="0"/>
    <n v="897.96"/>
    <n v="397.62"/>
    <m/>
    <n v="994.31913032847797"/>
    <n v="351.67159959099928"/>
    <n v="0"/>
    <n v="7122.6187200000004"/>
    <n v="3153.92184"/>
    <n v="0"/>
    <n v="7886.9393417654874"/>
    <n v="2789.4591279558063"/>
  </r>
  <r>
    <s v="PROJETADO"/>
    <x v="2"/>
    <x v="4"/>
    <x v="7"/>
    <x v="3"/>
    <x v="0"/>
    <x v="0"/>
    <x v="2"/>
    <x v="11"/>
    <n v="0"/>
    <n v="0"/>
    <n v="0.20100000000000001"/>
    <n v="0.20100000000000001"/>
    <n v="0.20100000000000001"/>
    <n v="0.20100000000000001"/>
    <n v="0"/>
    <x v="1"/>
    <n v="0"/>
    <n v="0"/>
    <n v="58"/>
    <n v="69"/>
    <n v="0"/>
    <n v="897.96"/>
    <n v="397.62"/>
    <m/>
    <n v="994.31913032847797"/>
    <n v="351.67159959099928"/>
    <n v="0"/>
    <n v="180.48996000000002"/>
    <n v="79.921620000000004"/>
    <n v="0"/>
    <n v="199.85814519602408"/>
    <n v="70.685991517790853"/>
  </r>
  <r>
    <s v="Regular"/>
    <x v="2"/>
    <x v="5"/>
    <x v="7"/>
    <x v="3"/>
    <x v="0"/>
    <x v="0"/>
    <x v="1"/>
    <x v="0"/>
    <n v="0"/>
    <n v="0"/>
    <n v="107190.459"/>
    <n v="107190.459"/>
    <n v="107190.459"/>
    <n v="107190.459"/>
    <n v="796021"/>
    <x v="1"/>
    <n v="0"/>
    <n v="0"/>
    <n v="2"/>
    <n v="72"/>
    <n v="0"/>
    <n v="341.2"/>
    <n v="255.72"/>
    <m/>
    <n v="380.73191596325307"/>
    <n v="235.13233756815453"/>
    <n v="0"/>
    <n v="36573384.610799998"/>
    <n v="27410744.175480001"/>
    <n v="0"/>
    <n v="40810828.828050524"/>
    <n v="25203943.189673427"/>
  </r>
  <r>
    <s v="Refaturamento - Regular"/>
    <x v="2"/>
    <x v="5"/>
    <x v="7"/>
    <x v="3"/>
    <x v="0"/>
    <x v="0"/>
    <x v="1"/>
    <x v="0"/>
    <n v="0"/>
    <n v="0"/>
    <n v="-461.32799999999997"/>
    <n v="-461.32799999999997"/>
    <n v="-461.32799999999997"/>
    <n v="-461.32799999999997"/>
    <n v="-1179"/>
    <x v="1"/>
    <n v="0"/>
    <n v="0"/>
    <n v="2"/>
    <n v="72"/>
    <n v="0"/>
    <n v="341.2"/>
    <n v="255.72"/>
    <m/>
    <n v="380.73191596325307"/>
    <n v="235.13233756815453"/>
    <n v="0"/>
    <n v="-157405.11359999998"/>
    <n v="-117970.79616"/>
    <n v="0"/>
    <n v="-175642.2933274956"/>
    <n v="-108473.13102564159"/>
  </r>
  <r>
    <s v="Sistema de Compensação"/>
    <x v="2"/>
    <x v="5"/>
    <x v="7"/>
    <x v="3"/>
    <x v="0"/>
    <x v="0"/>
    <x v="1"/>
    <x v="0"/>
    <n v="0"/>
    <n v="0"/>
    <n v="1477.511"/>
    <n v="1477.511"/>
    <n v="1477.511"/>
    <n v="1477.511"/>
    <n v="12238"/>
    <x v="1"/>
    <n v="0"/>
    <n v="0"/>
    <n v="2"/>
    <n v="72"/>
    <n v="0"/>
    <n v="341.2"/>
    <n v="255.72"/>
    <m/>
    <n v="380.73191596325307"/>
    <n v="235.13233756815453"/>
    <n v="0"/>
    <n v="504126.75319999998"/>
    <n v="377829.11291999999"/>
    <n v="0"/>
    <n v="562535.59388678195"/>
    <n v="347410.61521266156"/>
  </r>
  <r>
    <s v="Sistema de Compensação"/>
    <x v="2"/>
    <x v="5"/>
    <x v="7"/>
    <x v="3"/>
    <x v="0"/>
    <x v="0"/>
    <x v="1"/>
    <x v="0"/>
    <n v="0"/>
    <n v="0"/>
    <n v="-2.9390000000000001"/>
    <n v="-2.9390000000000001"/>
    <n v="-2.9390000000000001"/>
    <n v="-2.9390000000000001"/>
    <n v="0"/>
    <x v="1"/>
    <n v="0"/>
    <n v="0"/>
    <n v="2"/>
    <n v="72"/>
    <n v="0"/>
    <n v="341.2"/>
    <n v="255.72"/>
    <m/>
    <n v="380.73191596325307"/>
    <n v="235.13233756815453"/>
    <n v="0"/>
    <n v="-1002.7868"/>
    <n v="-751.56108000000006"/>
    <n v="0"/>
    <n v="-1118.9711010160008"/>
    <n v="-691.05394011280612"/>
  </r>
  <r>
    <s v="Regular"/>
    <x v="2"/>
    <x v="5"/>
    <x v="7"/>
    <x v="3"/>
    <x v="0"/>
    <x v="0"/>
    <x v="1"/>
    <x v="1"/>
    <n v="0"/>
    <n v="0"/>
    <n v="107684.817"/>
    <n v="107684.817"/>
    <n v="107684.817"/>
    <n v="107684.817"/>
    <n v="800974"/>
    <x v="1"/>
    <n v="0"/>
    <n v="0"/>
    <n v="2"/>
    <n v="72"/>
    <n v="0"/>
    <n v="341.2"/>
    <n v="255.72"/>
    <m/>
    <n v="380.73191596325307"/>
    <n v="235.13233756815453"/>
    <n v="0"/>
    <n v="36742059.560399994"/>
    <n v="27537161.403239999"/>
    <n v="0"/>
    <n v="40999046.696562283"/>
    <n v="25320182.741808943"/>
  </r>
  <r>
    <s v="Refaturamento - Regular"/>
    <x v="2"/>
    <x v="5"/>
    <x v="7"/>
    <x v="3"/>
    <x v="0"/>
    <x v="0"/>
    <x v="1"/>
    <x v="1"/>
    <n v="0"/>
    <n v="0"/>
    <n v="-181.28899999999999"/>
    <n v="-181.28899999999999"/>
    <n v="-181.28899999999999"/>
    <n v="-181.28899999999999"/>
    <n v="-68"/>
    <x v="1"/>
    <n v="0"/>
    <n v="0"/>
    <n v="2"/>
    <n v="72"/>
    <n v="0"/>
    <n v="341.2"/>
    <n v="255.72"/>
    <m/>
    <n v="380.73191596325307"/>
    <n v="235.13233756815453"/>
    <n v="0"/>
    <n v="-61855.806799999991"/>
    <n v="-46359.223079999996"/>
    <n v="0"/>
    <n v="-69022.508313062179"/>
    <n v="-42626.906345393159"/>
  </r>
  <r>
    <s v="Sistema de Compensação"/>
    <x v="2"/>
    <x v="5"/>
    <x v="7"/>
    <x v="3"/>
    <x v="0"/>
    <x v="0"/>
    <x v="1"/>
    <x v="1"/>
    <n v="0"/>
    <n v="0"/>
    <n v="1454.088"/>
    <n v="1454.088"/>
    <n v="1454.088"/>
    <n v="1454.088"/>
    <n v="13132"/>
    <x v="1"/>
    <n v="0"/>
    <n v="0"/>
    <n v="2"/>
    <n v="72"/>
    <n v="0"/>
    <n v="341.2"/>
    <n v="255.72"/>
    <m/>
    <n v="380.73191596325307"/>
    <n v="235.13233756815453"/>
    <n v="0"/>
    <n v="496134.82559999998"/>
    <n v="371839.38335999998"/>
    <n v="0"/>
    <n v="553617.71021917474"/>
    <n v="341903.11046980269"/>
  </r>
  <r>
    <s v="Sistema de Compensação"/>
    <x v="2"/>
    <x v="5"/>
    <x v="7"/>
    <x v="3"/>
    <x v="0"/>
    <x v="0"/>
    <x v="1"/>
    <x v="1"/>
    <n v="0"/>
    <n v="0"/>
    <n v="-8.2390000000000008"/>
    <n v="-8.2390000000000008"/>
    <n v="-8.2390000000000008"/>
    <n v="-8.2390000000000008"/>
    <n v="0"/>
    <x v="1"/>
    <n v="0"/>
    <n v="0"/>
    <n v="2"/>
    <n v="72"/>
    <n v="0"/>
    <n v="341.2"/>
    <n v="255.72"/>
    <m/>
    <n v="380.73191596325307"/>
    <n v="235.13233756815453"/>
    <n v="0"/>
    <n v="-2811.1468"/>
    <n v="-2106.8770800000002"/>
    <n v="0"/>
    <n v="-3136.8502556212425"/>
    <n v="-1937.2553292240252"/>
  </r>
  <r>
    <s v="Regular"/>
    <x v="2"/>
    <x v="5"/>
    <x v="7"/>
    <x v="3"/>
    <x v="0"/>
    <x v="0"/>
    <x v="1"/>
    <x v="2"/>
    <n v="0"/>
    <n v="0"/>
    <n v="116357.45299999999"/>
    <n v="116357.45299999999"/>
    <n v="116357.45299999999"/>
    <n v="116357.45299999999"/>
    <n v="796938"/>
    <x v="1"/>
    <n v="0"/>
    <n v="0"/>
    <n v="2"/>
    <n v="72"/>
    <n v="0"/>
    <n v="341.2"/>
    <n v="255.72"/>
    <m/>
    <n v="380.73191596325307"/>
    <n v="235.13233756815453"/>
    <n v="0"/>
    <n v="39701162.963599995"/>
    <n v="29754927.881159998"/>
    <n v="0"/>
    <n v="44300996.017294168"/>
    <n v="27359399.917366672"/>
  </r>
  <r>
    <s v="Refaturamento - Regular"/>
    <x v="2"/>
    <x v="5"/>
    <x v="7"/>
    <x v="3"/>
    <x v="0"/>
    <x v="0"/>
    <x v="1"/>
    <x v="2"/>
    <n v="0"/>
    <n v="0"/>
    <n v="-134.37799999999999"/>
    <n v="-134.37799999999999"/>
    <n v="-134.37799999999999"/>
    <n v="-134.37799999999999"/>
    <n v="-65"/>
    <x v="1"/>
    <n v="0"/>
    <n v="0"/>
    <n v="2"/>
    <n v="72"/>
    <n v="0"/>
    <n v="341.2"/>
    <n v="255.72"/>
    <m/>
    <n v="380.73191596325307"/>
    <n v="235.13233756815453"/>
    <n v="0"/>
    <n v="-45849.773599999993"/>
    <n v="-34363.142159999996"/>
    <n v="0"/>
    <n v="-51161.993403310014"/>
    <n v="-31596.613257733465"/>
  </r>
  <r>
    <s v="Sistema de Compensação"/>
    <x v="2"/>
    <x v="5"/>
    <x v="7"/>
    <x v="3"/>
    <x v="0"/>
    <x v="0"/>
    <x v="1"/>
    <x v="2"/>
    <n v="0"/>
    <n v="0"/>
    <n v="1719.9639999999999"/>
    <n v="1719.9639999999999"/>
    <n v="1719.9639999999999"/>
    <n v="1719.9639999999999"/>
    <n v="13953"/>
    <x v="1"/>
    <n v="0"/>
    <n v="0"/>
    <n v="2"/>
    <n v="72"/>
    <n v="0"/>
    <n v="341.2"/>
    <n v="255.72"/>
    <m/>
    <n v="380.73191596325307"/>
    <n v="235.13233756815453"/>
    <n v="0"/>
    <n v="586851.71679999994"/>
    <n v="439829.19407999999"/>
    <n v="0"/>
    <n v="654845.18910782062"/>
    <n v="404419.15585307335"/>
  </r>
  <r>
    <s v="Sistema de Compensação"/>
    <x v="2"/>
    <x v="5"/>
    <x v="7"/>
    <x v="3"/>
    <x v="0"/>
    <x v="0"/>
    <x v="1"/>
    <x v="2"/>
    <n v="0"/>
    <n v="0"/>
    <n v="-5.2009999999999996"/>
    <n v="-5.2009999999999996"/>
    <n v="-5.2009999999999996"/>
    <n v="-5.2009999999999996"/>
    <n v="0"/>
    <x v="1"/>
    <n v="0"/>
    <n v="0"/>
    <n v="2"/>
    <n v="72"/>
    <n v="0"/>
    <n v="341.2"/>
    <n v="255.72"/>
    <m/>
    <n v="380.73191596325307"/>
    <n v="235.13233756815453"/>
    <n v="0"/>
    <n v="-1774.5811999999999"/>
    <n v="-1329.9997199999998"/>
    <n v="0"/>
    <n v="-1980.186694924879"/>
    <n v="-1222.9232876919716"/>
  </r>
  <r>
    <s v="Regular"/>
    <x v="2"/>
    <x v="5"/>
    <x v="7"/>
    <x v="3"/>
    <x v="0"/>
    <x v="0"/>
    <x v="1"/>
    <x v="3"/>
    <n v="0"/>
    <n v="0"/>
    <n v="116505.031"/>
    <n v="116505.031"/>
    <n v="116505.031"/>
    <n v="116505.031"/>
    <n v="794504"/>
    <x v="1"/>
    <n v="0"/>
    <n v="0"/>
    <n v="2"/>
    <n v="72"/>
    <n v="0"/>
    <n v="341.2"/>
    <n v="255.72"/>
    <m/>
    <n v="380.73191596325307"/>
    <n v="235.13233756815453"/>
    <n v="0"/>
    <n v="39751516.577200003"/>
    <n v="29792666.527320001"/>
    <n v="0"/>
    <n v="44357183.671988197"/>
    <n v="27394100.277480308"/>
  </r>
  <r>
    <s v="Refaturamento - Regular"/>
    <x v="2"/>
    <x v="5"/>
    <x v="7"/>
    <x v="3"/>
    <x v="0"/>
    <x v="0"/>
    <x v="1"/>
    <x v="3"/>
    <n v="0"/>
    <n v="0"/>
    <n v="-237.12899999999999"/>
    <n v="-237.12899999999999"/>
    <n v="-237.12899999999999"/>
    <n v="-237.12899999999999"/>
    <n v="-155"/>
    <x v="1"/>
    <n v="0"/>
    <n v="0"/>
    <n v="2"/>
    <n v="72"/>
    <n v="0"/>
    <n v="341.2"/>
    <n v="255.72"/>
    <m/>
    <n v="380.73191596325307"/>
    <n v="235.13233756815453"/>
    <n v="0"/>
    <n v="-80908.414799999999"/>
    <n v="-60638.62788"/>
    <n v="0"/>
    <n v="-90282.57850045024"/>
    <n v="-55756.69607519891"/>
  </r>
  <r>
    <s v="Sistema de Compensação"/>
    <x v="2"/>
    <x v="5"/>
    <x v="7"/>
    <x v="3"/>
    <x v="0"/>
    <x v="0"/>
    <x v="1"/>
    <x v="3"/>
    <n v="0"/>
    <n v="0"/>
    <n v="1893.8530000000001"/>
    <n v="1893.8530000000001"/>
    <n v="1893.8530000000001"/>
    <n v="1893.8530000000001"/>
    <n v="14760"/>
    <x v="1"/>
    <n v="0"/>
    <n v="0"/>
    <n v="2"/>
    <n v="72"/>
    <n v="0"/>
    <n v="341.2"/>
    <n v="255.72"/>
    <m/>
    <n v="380.73191596325307"/>
    <n v="235.13233756815453"/>
    <n v="0"/>
    <n v="646182.64359999995"/>
    <n v="484296.08916000003"/>
    <n v="0"/>
    <n v="721050.28124275478"/>
    <n v="445306.08290046215"/>
  </r>
  <r>
    <s v="Sistema de Compensação"/>
    <x v="2"/>
    <x v="5"/>
    <x v="7"/>
    <x v="3"/>
    <x v="0"/>
    <x v="0"/>
    <x v="1"/>
    <x v="3"/>
    <n v="0"/>
    <n v="0"/>
    <n v="-3.9929999999999999"/>
    <n v="-3.9929999999999999"/>
    <n v="-3.9929999999999999"/>
    <n v="-3.9929999999999999"/>
    <n v="1"/>
    <x v="1"/>
    <n v="0"/>
    <n v="0"/>
    <n v="2"/>
    <n v="72"/>
    <n v="0"/>
    <n v="341.2"/>
    <n v="255.72"/>
    <m/>
    <n v="380.73191596325307"/>
    <n v="235.13233756815453"/>
    <n v="0"/>
    <n v="-1362.4115999999999"/>
    <n v="-1021.08996"/>
    <n v="0"/>
    <n v="-1520.2625404412695"/>
    <n v="-938.88342390964101"/>
  </r>
  <r>
    <s v="Regular"/>
    <x v="2"/>
    <x v="5"/>
    <x v="7"/>
    <x v="3"/>
    <x v="0"/>
    <x v="0"/>
    <x v="1"/>
    <x v="4"/>
    <n v="0"/>
    <n v="0"/>
    <n v="129166.337"/>
    <n v="129166.337"/>
    <n v="129166.337"/>
    <n v="129166.337"/>
    <n v="794297"/>
    <x v="1"/>
    <n v="0"/>
    <n v="0"/>
    <n v="2"/>
    <n v="72"/>
    <n v="0"/>
    <n v="341.2"/>
    <n v="255.72"/>
    <m/>
    <n v="380.73191596325307"/>
    <n v="235.13233756815453"/>
    <n v="0"/>
    <n v="44071554.1844"/>
    <n v="33030415.697639998"/>
    <n v="0"/>
    <n v="49177746.963965222"/>
    <n v="30371182.753926009"/>
  </r>
  <r>
    <s v="Refaturamento - Regular"/>
    <x v="2"/>
    <x v="5"/>
    <x v="7"/>
    <x v="3"/>
    <x v="0"/>
    <x v="0"/>
    <x v="1"/>
    <x v="4"/>
    <n v="0"/>
    <n v="0"/>
    <n v="-546.97699999999998"/>
    <n v="-546.97699999999998"/>
    <n v="-546.97699999999998"/>
    <n v="-546.97699999999998"/>
    <n v="-120"/>
    <x v="1"/>
    <n v="0"/>
    <n v="0"/>
    <n v="2"/>
    <n v="72"/>
    <n v="0"/>
    <n v="341.2"/>
    <n v="255.72"/>
    <m/>
    <n v="380.73191596325307"/>
    <n v="235.13233756815453"/>
    <n v="0"/>
    <n v="-186628.55239999999"/>
    <n v="-139872.95843999999"/>
    <n v="0"/>
    <n v="-208251.60119783226"/>
    <n v="-128611.98060601646"/>
  </r>
  <r>
    <s v="Sistema de Compensação"/>
    <x v="2"/>
    <x v="5"/>
    <x v="7"/>
    <x v="3"/>
    <x v="0"/>
    <x v="0"/>
    <x v="1"/>
    <x v="4"/>
    <n v="0"/>
    <n v="0"/>
    <n v="2269.3209999999999"/>
    <n v="2269.3209999999999"/>
    <n v="2269.3209999999999"/>
    <n v="2269.3209999999999"/>
    <n v="15579"/>
    <x v="1"/>
    <n v="0"/>
    <n v="0"/>
    <n v="2"/>
    <n v="72"/>
    <n v="0"/>
    <n v="341.2"/>
    <n v="255.72"/>
    <m/>
    <n v="380.73191596325307"/>
    <n v="235.13233756815453"/>
    <n v="0"/>
    <n v="774292.32519999996"/>
    <n v="580310.76611999993"/>
    <n v="0"/>
    <n v="864002.93226564536"/>
    <n v="533590.75142250198"/>
  </r>
  <r>
    <s v="Sistema de Compensação"/>
    <x v="2"/>
    <x v="5"/>
    <x v="7"/>
    <x v="3"/>
    <x v="0"/>
    <x v="0"/>
    <x v="1"/>
    <x v="4"/>
    <n v="0"/>
    <n v="0"/>
    <n v="-5.375"/>
    <n v="-5.375"/>
    <n v="-5.375"/>
    <n v="-5.375"/>
    <n v="0"/>
    <x v="1"/>
    <n v="0"/>
    <n v="0"/>
    <n v="2"/>
    <n v="72"/>
    <n v="0"/>
    <n v="341.2"/>
    <n v="255.72"/>
    <m/>
    <n v="380.73191596325307"/>
    <n v="235.13233756815453"/>
    <n v="0"/>
    <n v="-1833.95"/>
    <n v="-1374.4949999999999"/>
    <n v="0"/>
    <n v="-2046.4340483024853"/>
    <n v="-1263.8363144288305"/>
  </r>
  <r>
    <s v="Regular"/>
    <x v="2"/>
    <x v="5"/>
    <x v="7"/>
    <x v="3"/>
    <x v="0"/>
    <x v="0"/>
    <x v="1"/>
    <x v="5"/>
    <n v="0"/>
    <n v="0"/>
    <n v="121336.83900000001"/>
    <n v="121336.83900000001"/>
    <n v="121336.83900000001"/>
    <n v="121336.83900000001"/>
    <n v="792015"/>
    <x v="1"/>
    <n v="0"/>
    <n v="0"/>
    <n v="2"/>
    <n v="72"/>
    <n v="0"/>
    <n v="341.2"/>
    <n v="255.72"/>
    <m/>
    <n v="380.73191596325307"/>
    <n v="235.13233756815453"/>
    <n v="0"/>
    <n v="41400129.466800004"/>
    <n v="31028256.469080001"/>
    <n v="0"/>
    <n v="46196807.189394772"/>
    <n v="28530214.58720082"/>
  </r>
  <r>
    <s v="Refaturamento - Regular"/>
    <x v="2"/>
    <x v="5"/>
    <x v="7"/>
    <x v="3"/>
    <x v="0"/>
    <x v="0"/>
    <x v="1"/>
    <x v="5"/>
    <n v="0"/>
    <n v="0"/>
    <n v="-128.55699999999999"/>
    <n v="-128.55699999999999"/>
    <n v="-128.55699999999999"/>
    <n v="-128.55699999999999"/>
    <n v="-44"/>
    <x v="1"/>
    <n v="0"/>
    <n v="0"/>
    <n v="2"/>
    <n v="72"/>
    <n v="0"/>
    <n v="341.2"/>
    <n v="255.72"/>
    <m/>
    <n v="380.73191596325307"/>
    <n v="235.13233756815453"/>
    <n v="0"/>
    <n v="-43863.648399999991"/>
    <n v="-32874.596039999997"/>
    <n v="0"/>
    <n v="-48945.752920487917"/>
    <n v="-30227.90792074924"/>
  </r>
  <r>
    <s v="Sistema de Compensação"/>
    <x v="2"/>
    <x v="5"/>
    <x v="7"/>
    <x v="3"/>
    <x v="0"/>
    <x v="0"/>
    <x v="1"/>
    <x v="5"/>
    <n v="0"/>
    <n v="0"/>
    <n v="2215.3380000000002"/>
    <n v="2215.3380000000002"/>
    <n v="2215.3380000000002"/>
    <n v="2215.3380000000002"/>
    <n v="16407"/>
    <x v="1"/>
    <n v="0"/>
    <n v="0"/>
    <n v="2"/>
    <n v="72"/>
    <n v="0"/>
    <n v="341.2"/>
    <n v="255.72"/>
    <m/>
    <n v="380.73191596325307"/>
    <n v="235.13233756815453"/>
    <n v="0"/>
    <n v="755873.3256000001"/>
    <n v="566506.23336000007"/>
    <n v="0"/>
    <n v="843449.88124620123"/>
    <n v="520897.60244356038"/>
  </r>
  <r>
    <s v="Sistema de Compensação"/>
    <x v="2"/>
    <x v="5"/>
    <x v="7"/>
    <x v="3"/>
    <x v="0"/>
    <x v="0"/>
    <x v="1"/>
    <x v="5"/>
    <n v="0"/>
    <n v="0"/>
    <n v="-4.0309999999999997"/>
    <n v="-4.0309999999999997"/>
    <n v="-4.0309999999999997"/>
    <n v="-4.0309999999999997"/>
    <n v="0"/>
    <x v="1"/>
    <n v="0"/>
    <n v="0"/>
    <n v="2"/>
    <n v="72"/>
    <n v="0"/>
    <n v="341.2"/>
    <n v="255.72"/>
    <m/>
    <n v="380.73191596325307"/>
    <n v="235.13233756815453"/>
    <n v="0"/>
    <n v="-1375.3771999999999"/>
    <n v="-1030.8073199999999"/>
    <n v="0"/>
    <n v="-1534.7303532478729"/>
    <n v="-947.81845273723081"/>
  </r>
  <r>
    <s v="Regular"/>
    <x v="2"/>
    <x v="5"/>
    <x v="7"/>
    <x v="3"/>
    <x v="0"/>
    <x v="0"/>
    <x v="1"/>
    <x v="6"/>
    <n v="0"/>
    <n v="0"/>
    <n v="112902.54300000001"/>
    <n v="112902.54300000001"/>
    <n v="112902.54300000001"/>
    <n v="112902.54300000001"/>
    <n v="801600"/>
    <x v="1"/>
    <n v="0"/>
    <n v="0"/>
    <n v="2"/>
    <n v="72"/>
    <n v="0"/>
    <n v="341.2"/>
    <n v="255.72"/>
    <m/>
    <n v="380.73191596325307"/>
    <n v="235.13233756815453"/>
    <n v="0"/>
    <n v="38522347.671599999"/>
    <n v="28871438.295960002"/>
    <n v="0"/>
    <n v="42985601.513513565"/>
    <n v="26547038.852979083"/>
  </r>
  <r>
    <s v="Refaturamento - Regular"/>
    <x v="2"/>
    <x v="5"/>
    <x v="7"/>
    <x v="3"/>
    <x v="0"/>
    <x v="0"/>
    <x v="1"/>
    <x v="6"/>
    <n v="0"/>
    <n v="0"/>
    <n v="-304.97699999999998"/>
    <n v="-304.97699999999998"/>
    <n v="-304.97699999999998"/>
    <n v="-304.97699999999998"/>
    <n v="-97"/>
    <x v="1"/>
    <n v="0"/>
    <n v="0"/>
    <n v="2"/>
    <n v="72"/>
    <n v="0"/>
    <n v="341.2"/>
    <n v="255.72"/>
    <m/>
    <n v="380.73191596325307"/>
    <n v="235.13233756815453"/>
    <n v="0"/>
    <n v="-104058.15239999999"/>
    <n v="-77988.718439999997"/>
    <n v="0"/>
    <n v="-116114.47753472503"/>
    <n v="-71709.954914523056"/>
  </r>
  <r>
    <s v="Sistema de Compensação"/>
    <x v="2"/>
    <x v="5"/>
    <x v="7"/>
    <x v="3"/>
    <x v="0"/>
    <x v="0"/>
    <x v="1"/>
    <x v="6"/>
    <n v="0"/>
    <n v="0"/>
    <n v="1951.181"/>
    <n v="1951.181"/>
    <n v="1951.181"/>
    <n v="1951.181"/>
    <n v="17311"/>
    <x v="1"/>
    <n v="0"/>
    <n v="0"/>
    <n v="2"/>
    <n v="72"/>
    <n v="0"/>
    <n v="341.2"/>
    <n v="255.72"/>
    <m/>
    <n v="380.73191596325307"/>
    <n v="235.13233756815453"/>
    <n v="0"/>
    <n v="665742.95719999995"/>
    <n v="498956.00532"/>
    <n v="0"/>
    <n v="742876.88052109606"/>
    <n v="458785.74954856932"/>
  </r>
  <r>
    <s v="Sistema de Compensação"/>
    <x v="2"/>
    <x v="5"/>
    <x v="7"/>
    <x v="3"/>
    <x v="0"/>
    <x v="0"/>
    <x v="1"/>
    <x v="6"/>
    <n v="0"/>
    <n v="0"/>
    <n v="1.869"/>
    <n v="1.869"/>
    <n v="1.869"/>
    <n v="1.869"/>
    <n v="0"/>
    <x v="1"/>
    <n v="0"/>
    <n v="0"/>
    <n v="2"/>
    <n v="72"/>
    <n v="0"/>
    <n v="341.2"/>
    <n v="255.72"/>
    <m/>
    <n v="380.73191596325307"/>
    <n v="235.13233756815453"/>
    <n v="0"/>
    <n v="637.70280000000002"/>
    <n v="477.94067999999999"/>
    <n v="0"/>
    <n v="711.58795093532001"/>
    <n v="439.46233891488083"/>
  </r>
  <r>
    <s v="Regular"/>
    <x v="2"/>
    <x v="5"/>
    <x v="7"/>
    <x v="3"/>
    <x v="0"/>
    <x v="0"/>
    <x v="1"/>
    <x v="7"/>
    <n v="0"/>
    <n v="0"/>
    <n v="126448.63"/>
    <n v="126448.63"/>
    <n v="126448.63"/>
    <n v="126448.63"/>
    <n v="797344"/>
    <x v="1"/>
    <n v="0"/>
    <n v="0"/>
    <n v="2"/>
    <n v="72"/>
    <n v="0"/>
    <n v="341.2"/>
    <n v="255.72"/>
    <m/>
    <n v="380.73191596325307"/>
    <n v="235.13233756815453"/>
    <n v="0"/>
    <n v="43144272.556000002"/>
    <n v="32335443.663600001"/>
    <n v="0"/>
    <n v="48143029.170828484"/>
    <n v="29732161.954190671"/>
  </r>
  <r>
    <s v="Refaturamento - Regular"/>
    <x v="2"/>
    <x v="5"/>
    <x v="7"/>
    <x v="3"/>
    <x v="0"/>
    <x v="0"/>
    <x v="1"/>
    <x v="7"/>
    <n v="0"/>
    <n v="0"/>
    <n v="-390.02300000000002"/>
    <n v="-390.02300000000002"/>
    <n v="-390.02300000000002"/>
    <n v="-390.02300000000002"/>
    <n v="-101"/>
    <x v="1"/>
    <n v="0"/>
    <n v="0"/>
    <n v="2"/>
    <n v="72"/>
    <n v="0"/>
    <n v="341.2"/>
    <n v="255.72"/>
    <m/>
    <n v="380.73191596325307"/>
    <n v="235.13233756815453"/>
    <n v="0"/>
    <n v="-133075.84760000001"/>
    <n v="-99736.681560000012"/>
    <n v="0"/>
    <n v="-148494.20405973587"/>
    <n v="-91707.019695344337"/>
  </r>
  <r>
    <s v="Sistema de Compensação"/>
    <x v="2"/>
    <x v="5"/>
    <x v="7"/>
    <x v="3"/>
    <x v="0"/>
    <x v="0"/>
    <x v="1"/>
    <x v="7"/>
    <n v="0"/>
    <n v="0"/>
    <n v="2250.663"/>
    <n v="2250.663"/>
    <n v="2250.663"/>
    <n v="2250.663"/>
    <n v="18160"/>
    <x v="1"/>
    <n v="0"/>
    <n v="0"/>
    <n v="2"/>
    <n v="72"/>
    <n v="0"/>
    <n v="341.2"/>
    <n v="255.72"/>
    <m/>
    <n v="380.73191596325307"/>
    <n v="235.13233756815453"/>
    <n v="0"/>
    <n v="767926.2156"/>
    <n v="575539.54235999996"/>
    <n v="0"/>
    <n v="856899.23617760302"/>
    <n v="529203.65226815536"/>
  </r>
  <r>
    <s v="Sistema de Compensação"/>
    <x v="2"/>
    <x v="5"/>
    <x v="7"/>
    <x v="3"/>
    <x v="0"/>
    <x v="0"/>
    <x v="1"/>
    <x v="7"/>
    <n v="0"/>
    <n v="0"/>
    <n v="-3.347"/>
    <n v="-3.347"/>
    <n v="-3.347"/>
    <n v="-3.347"/>
    <n v="0"/>
    <x v="1"/>
    <n v="0"/>
    <n v="0"/>
    <n v="2"/>
    <n v="72"/>
    <n v="0"/>
    <n v="341.2"/>
    <n v="255.72"/>
    <m/>
    <n v="380.73191596325307"/>
    <n v="235.13233756815453"/>
    <n v="0"/>
    <n v="-1141.9964"/>
    <n v="-855.89484000000004"/>
    <n v="0"/>
    <n v="-1274.3097227290079"/>
    <n v="-786.98793384061321"/>
  </r>
  <r>
    <s v="Regular"/>
    <x v="2"/>
    <x v="5"/>
    <x v="7"/>
    <x v="3"/>
    <x v="0"/>
    <x v="0"/>
    <x v="1"/>
    <x v="8"/>
    <n v="0"/>
    <n v="0"/>
    <n v="116882.645"/>
    <n v="116882.645"/>
    <n v="116882.645"/>
    <n v="116882.645"/>
    <n v="793077"/>
    <x v="1"/>
    <n v="0"/>
    <n v="0"/>
    <n v="2"/>
    <n v="72"/>
    <n v="0"/>
    <n v="341.2"/>
    <n v="255.72"/>
    <m/>
    <n v="380.73191596325307"/>
    <n v="235.13233756815453"/>
    <n v="0"/>
    <n v="39880358.473999999"/>
    <n v="29889229.979400001"/>
    <n v="0"/>
    <n v="44500953.373702742"/>
    <n v="27482889.53999877"/>
  </r>
  <r>
    <s v="Refaturamento - Regular"/>
    <x v="2"/>
    <x v="5"/>
    <x v="7"/>
    <x v="3"/>
    <x v="0"/>
    <x v="0"/>
    <x v="1"/>
    <x v="8"/>
    <n v="0"/>
    <n v="0"/>
    <n v="-282.37099999999998"/>
    <n v="-282.37099999999998"/>
    <n v="-282.37099999999998"/>
    <n v="-282.37099999999998"/>
    <n v="-89"/>
    <x v="1"/>
    <n v="0"/>
    <n v="0"/>
    <n v="2"/>
    <n v="72"/>
    <n v="0"/>
    <n v="341.2"/>
    <n v="255.72"/>
    <m/>
    <n v="380.73191596325307"/>
    <n v="235.13233756815453"/>
    <n v="0"/>
    <n v="-96344.985199999996"/>
    <n v="-72207.912119999994"/>
    <n v="0"/>
    <n v="-107507.65184245973"/>
    <n v="-66394.553291457356"/>
  </r>
  <r>
    <s v="Sistema de Compensação"/>
    <x v="2"/>
    <x v="5"/>
    <x v="7"/>
    <x v="3"/>
    <x v="0"/>
    <x v="0"/>
    <x v="1"/>
    <x v="8"/>
    <n v="0"/>
    <n v="0"/>
    <n v="2162.0259999999998"/>
    <n v="2162.0259999999998"/>
    <n v="2162.0259999999998"/>
    <n v="2162.0259999999998"/>
    <n v="18903"/>
    <x v="1"/>
    <n v="0"/>
    <n v="0"/>
    <n v="2"/>
    <n v="72"/>
    <n v="0"/>
    <n v="341.2"/>
    <n v="255.72"/>
    <m/>
    <n v="380.73191596325307"/>
    <n v="235.13233756815453"/>
    <n v="0"/>
    <n v="737683.27119999996"/>
    <n v="552873.28871999995"/>
    <n v="0"/>
    <n v="823152.30134236813"/>
    <n v="508362.22726312681"/>
  </r>
  <r>
    <s v="Sistema de Compensação"/>
    <x v="2"/>
    <x v="5"/>
    <x v="7"/>
    <x v="3"/>
    <x v="0"/>
    <x v="0"/>
    <x v="1"/>
    <x v="8"/>
    <n v="0"/>
    <n v="0"/>
    <n v="-7.0540000000000003"/>
    <n v="-7.0540000000000003"/>
    <n v="-7.0540000000000003"/>
    <n v="-7.0540000000000003"/>
    <n v="-1"/>
    <x v="1"/>
    <n v="0"/>
    <n v="0"/>
    <n v="2"/>
    <n v="72"/>
    <n v="0"/>
    <n v="341.2"/>
    <n v="255.72"/>
    <m/>
    <n v="380.73191596325307"/>
    <n v="235.13233756815453"/>
    <n v="0"/>
    <n v="-2406.8247999999999"/>
    <n v="-1803.84888"/>
    <n v="0"/>
    <n v="-2685.6829352047871"/>
    <n v="-1658.623509205762"/>
  </r>
  <r>
    <s v="Regular"/>
    <x v="2"/>
    <x v="5"/>
    <x v="7"/>
    <x v="3"/>
    <x v="0"/>
    <x v="0"/>
    <x v="1"/>
    <x v="9"/>
    <n v="0"/>
    <n v="0"/>
    <n v="118049.738"/>
    <n v="118049.738"/>
    <n v="118049.738"/>
    <n v="118049.738"/>
    <n v="802997"/>
    <x v="1"/>
    <n v="0"/>
    <n v="0"/>
    <n v="2"/>
    <n v="72"/>
    <n v="0"/>
    <n v="341.2"/>
    <n v="255.72"/>
    <m/>
    <n v="380.73191596325307"/>
    <n v="235.13233756815453"/>
    <n v="0"/>
    <n v="40278570.605599999"/>
    <n v="30187679.001359999"/>
    <n v="0"/>
    <n v="44945302.927700043"/>
    <n v="27757310.8452482"/>
  </r>
  <r>
    <s v="Refaturamento - Regular"/>
    <x v="2"/>
    <x v="5"/>
    <x v="7"/>
    <x v="3"/>
    <x v="0"/>
    <x v="0"/>
    <x v="1"/>
    <x v="9"/>
    <n v="0"/>
    <n v="0"/>
    <n v="-277.43599999999998"/>
    <n v="-277.43599999999998"/>
    <n v="-277.43599999999998"/>
    <n v="-277.43599999999998"/>
    <n v="-91"/>
    <x v="1"/>
    <n v="0"/>
    <n v="0"/>
    <n v="2"/>
    <n v="72"/>
    <n v="0"/>
    <n v="341.2"/>
    <n v="255.72"/>
    <m/>
    <n v="380.73191596325307"/>
    <n v="235.13233756815453"/>
    <n v="0"/>
    <n v="-94661.163199999995"/>
    <n v="-70945.933919999996"/>
    <n v="0"/>
    <n v="-105628.73983718107"/>
    <n v="-65234.175205558517"/>
  </r>
  <r>
    <s v="Sistema de Compensação"/>
    <x v="2"/>
    <x v="5"/>
    <x v="7"/>
    <x v="3"/>
    <x v="0"/>
    <x v="0"/>
    <x v="1"/>
    <x v="9"/>
    <n v="0"/>
    <n v="0"/>
    <n v="2388.252"/>
    <n v="2388.252"/>
    <n v="2388.252"/>
    <n v="2388.252"/>
    <n v="19812"/>
    <x v="1"/>
    <n v="0"/>
    <n v="0"/>
    <n v="2"/>
    <n v="72"/>
    <n v="0"/>
    <n v="341.2"/>
    <n v="255.72"/>
    <m/>
    <n v="380.73191596325307"/>
    <n v="235.13233756815453"/>
    <n v="0"/>
    <n v="814871.58239999996"/>
    <n v="610723.80143999995"/>
    <n v="0"/>
    <n v="909283.75976307108"/>
    <n v="561555.27546182019"/>
  </r>
  <r>
    <s v="Sistema de Compensação"/>
    <x v="2"/>
    <x v="5"/>
    <x v="7"/>
    <x v="3"/>
    <x v="0"/>
    <x v="0"/>
    <x v="1"/>
    <x v="9"/>
    <n v="0"/>
    <n v="0"/>
    <n v="-1.347"/>
    <n v="-1.347"/>
    <n v="-1.347"/>
    <n v="-1.347"/>
    <n v="0"/>
    <x v="1"/>
    <n v="0"/>
    <n v="0"/>
    <n v="2"/>
    <n v="72"/>
    <n v="0"/>
    <n v="341.2"/>
    <n v="255.72"/>
    <m/>
    <n v="380.73191596325307"/>
    <n v="235.13233756815453"/>
    <n v="0"/>
    <n v="-459.59639999999996"/>
    <n v="-344.45483999999999"/>
    <n v="0"/>
    <n v="-512.84589080250191"/>
    <n v="-316.72325870430416"/>
  </r>
  <r>
    <s v="Regular"/>
    <x v="2"/>
    <x v="5"/>
    <x v="7"/>
    <x v="3"/>
    <x v="0"/>
    <x v="0"/>
    <x v="1"/>
    <x v="10"/>
    <n v="0"/>
    <n v="0"/>
    <n v="102437.894"/>
    <n v="102437.894"/>
    <n v="102437.894"/>
    <n v="102437.894"/>
    <n v="799826"/>
    <x v="1"/>
    <n v="0"/>
    <n v="0"/>
    <n v="2"/>
    <n v="72"/>
    <n v="0"/>
    <n v="341.2"/>
    <n v="255.72"/>
    <m/>
    <n v="380.73191596325307"/>
    <n v="235.13233756815453"/>
    <n v="0"/>
    <n v="34951809.432800002"/>
    <n v="26195418.253679998"/>
    <n v="0"/>
    <n v="39001375.649860628"/>
    <n v="24086461.471778832"/>
  </r>
  <r>
    <s v="Refaturamento - Regular"/>
    <x v="2"/>
    <x v="5"/>
    <x v="7"/>
    <x v="3"/>
    <x v="0"/>
    <x v="0"/>
    <x v="1"/>
    <x v="10"/>
    <n v="0"/>
    <n v="0"/>
    <n v="-233.66"/>
    <n v="-233.66"/>
    <n v="-233.66"/>
    <n v="-233.66"/>
    <n v="-72"/>
    <x v="1"/>
    <n v="0"/>
    <n v="0"/>
    <n v="2"/>
    <n v="72"/>
    <n v="0"/>
    <n v="341.2"/>
    <n v="255.72"/>
    <m/>
    <n v="380.73191596325307"/>
    <n v="235.13233756815453"/>
    <n v="0"/>
    <n v="-79724.792000000001"/>
    <n v="-59751.535199999998"/>
    <n v="0"/>
    <n v="-88961.819483973712"/>
    <n v="-54941.021996174983"/>
  </r>
  <r>
    <s v="Sistema de Compensação"/>
    <x v="2"/>
    <x v="5"/>
    <x v="7"/>
    <x v="3"/>
    <x v="0"/>
    <x v="0"/>
    <x v="1"/>
    <x v="10"/>
    <n v="0"/>
    <n v="0"/>
    <n v="2322.538"/>
    <n v="2322.538"/>
    <n v="2322.538"/>
    <n v="2322.538"/>
    <n v="20507"/>
    <x v="1"/>
    <n v="0"/>
    <n v="0"/>
    <n v="2"/>
    <n v="72"/>
    <n v="0"/>
    <n v="341.2"/>
    <n v="255.72"/>
    <m/>
    <n v="380.73191596325307"/>
    <n v="235.13233756815453"/>
    <n v="0"/>
    <n v="792449.9656"/>
    <n v="593919.41735999996"/>
    <n v="0"/>
    <n v="884264.34263746184"/>
    <n v="546103.78903086646"/>
  </r>
  <r>
    <s v="Sistema de Compensação"/>
    <x v="2"/>
    <x v="5"/>
    <x v="7"/>
    <x v="3"/>
    <x v="0"/>
    <x v="0"/>
    <x v="1"/>
    <x v="10"/>
    <n v="0"/>
    <n v="0"/>
    <n v="-3.4620000000000002"/>
    <n v="-3.4620000000000002"/>
    <n v="-3.4620000000000002"/>
    <n v="-3.4620000000000002"/>
    <n v="0"/>
    <x v="1"/>
    <n v="0"/>
    <n v="0"/>
    <n v="2"/>
    <n v="72"/>
    <n v="0"/>
    <n v="341.2"/>
    <n v="255.72"/>
    <m/>
    <n v="380.73191596325307"/>
    <n v="235.13233756815453"/>
    <n v="0"/>
    <n v="-1181.2344000000001"/>
    <n v="-885.30264"/>
    <n v="0"/>
    <n v="-1318.0938930647822"/>
    <n v="-814.02815266095104"/>
  </r>
  <r>
    <s v="PROJETADO"/>
    <x v="2"/>
    <x v="5"/>
    <x v="7"/>
    <x v="3"/>
    <x v="0"/>
    <x v="0"/>
    <x v="1"/>
    <x v="11"/>
    <n v="0"/>
    <n v="0"/>
    <n v="102437.894"/>
    <n v="102437.894"/>
    <n v="102437.894"/>
    <n v="102437.894"/>
    <n v="799826"/>
    <x v="1"/>
    <n v="0"/>
    <n v="0"/>
    <n v="2"/>
    <n v="72"/>
    <n v="0"/>
    <n v="341.2"/>
    <n v="255.72"/>
    <m/>
    <n v="380.73191596325307"/>
    <n v="235.13233756815453"/>
    <n v="0"/>
    <n v="34951809.432800002"/>
    <n v="26195418.253679998"/>
    <n v="0"/>
    <n v="39001375.649860628"/>
    <n v="24086461.471778832"/>
  </r>
  <r>
    <s v="PROJETADO"/>
    <x v="2"/>
    <x v="5"/>
    <x v="7"/>
    <x v="3"/>
    <x v="0"/>
    <x v="0"/>
    <x v="1"/>
    <x v="11"/>
    <n v="0"/>
    <n v="0"/>
    <n v="-233.66"/>
    <n v="-233.66"/>
    <n v="-233.66"/>
    <n v="-233.66"/>
    <n v="-72"/>
    <x v="1"/>
    <n v="0"/>
    <n v="0"/>
    <n v="2"/>
    <n v="72"/>
    <n v="0"/>
    <n v="341.2"/>
    <n v="255.72"/>
    <m/>
    <n v="380.73191596325307"/>
    <n v="235.13233756815453"/>
    <n v="0"/>
    <n v="-79724.792000000001"/>
    <n v="-59751.535199999998"/>
    <n v="0"/>
    <n v="-88961.819483973712"/>
    <n v="-54941.021996174983"/>
  </r>
  <r>
    <s v="PROJETADO"/>
    <x v="2"/>
    <x v="5"/>
    <x v="7"/>
    <x v="3"/>
    <x v="0"/>
    <x v="0"/>
    <x v="1"/>
    <x v="11"/>
    <n v="0"/>
    <n v="0"/>
    <n v="2322.538"/>
    <n v="2322.538"/>
    <n v="2322.538"/>
    <n v="2322.538"/>
    <n v="20507"/>
    <x v="1"/>
    <n v="0"/>
    <n v="0"/>
    <n v="2"/>
    <n v="72"/>
    <n v="0"/>
    <n v="341.2"/>
    <n v="255.72"/>
    <m/>
    <n v="380.73191596325307"/>
    <n v="235.13233756815453"/>
    <n v="0"/>
    <n v="792449.9656"/>
    <n v="593919.41735999996"/>
    <n v="0"/>
    <n v="884264.34263746184"/>
    <n v="546103.78903086646"/>
  </r>
  <r>
    <s v="PROJETADO"/>
    <x v="2"/>
    <x v="5"/>
    <x v="7"/>
    <x v="3"/>
    <x v="0"/>
    <x v="0"/>
    <x v="1"/>
    <x v="11"/>
    <n v="0"/>
    <n v="0"/>
    <n v="-3.4620000000000002"/>
    <n v="-3.4620000000000002"/>
    <n v="-3.4620000000000002"/>
    <n v="-3.4620000000000002"/>
    <n v="0"/>
    <x v="1"/>
    <n v="0"/>
    <n v="0"/>
    <n v="2"/>
    <n v="72"/>
    <n v="0"/>
    <n v="341.2"/>
    <n v="255.72"/>
    <m/>
    <n v="380.73191596325307"/>
    <n v="235.13233756815453"/>
    <n v="0"/>
    <n v="-1181.2344000000001"/>
    <n v="-885.30264"/>
    <n v="0"/>
    <n v="-1318.0938930647822"/>
    <n v="-814.02815266095104"/>
  </r>
  <r>
    <s v="Regular"/>
    <x v="2"/>
    <x v="5"/>
    <x v="7"/>
    <x v="4"/>
    <x v="0"/>
    <x v="0"/>
    <x v="1"/>
    <x v="0"/>
    <n v="0"/>
    <n v="0"/>
    <n v="13046.805"/>
    <n v="13046.805"/>
    <n v="13046.805"/>
    <n v="13046.805"/>
    <n v="45745"/>
    <x v="1"/>
    <n v="0"/>
    <n v="0"/>
    <n v="4"/>
    <n v="73"/>
    <n v="0"/>
    <n v="104.85"/>
    <n v="89.5"/>
    <m/>
    <n v="108.92256456594303"/>
    <n v="82.296318148854084"/>
    <n v="0"/>
    <n v="1367957.50425"/>
    <n v="1167689.0475000001"/>
    <n v="0"/>
    <n v="1421091.4599917685"/>
    <n v="1073704.0151060603"/>
  </r>
  <r>
    <s v="Refaturamento - Regular"/>
    <x v="2"/>
    <x v="5"/>
    <x v="7"/>
    <x v="4"/>
    <x v="0"/>
    <x v="0"/>
    <x v="1"/>
    <x v="0"/>
    <n v="0"/>
    <n v="0"/>
    <n v="2.44"/>
    <n v="2.44"/>
    <n v="2.44"/>
    <n v="2.44"/>
    <n v="32"/>
    <x v="1"/>
    <n v="0"/>
    <n v="0"/>
    <n v="4"/>
    <n v="73"/>
    <n v="0"/>
    <n v="104.85"/>
    <n v="89.5"/>
    <m/>
    <n v="108.92256456594303"/>
    <n v="82.296318148854084"/>
    <n v="0"/>
    <n v="255.83399999999997"/>
    <n v="218.38"/>
    <n v="0"/>
    <n v="265.77105754090098"/>
    <n v="200.80301628320396"/>
  </r>
  <r>
    <s v="Sistema de Compensação"/>
    <x v="2"/>
    <x v="5"/>
    <x v="7"/>
    <x v="4"/>
    <x v="0"/>
    <x v="0"/>
    <x v="1"/>
    <x v="0"/>
    <n v="0"/>
    <n v="0"/>
    <n v="15.66"/>
    <n v="15.66"/>
    <n v="15.66"/>
    <n v="15.66"/>
    <n v="25"/>
    <x v="1"/>
    <n v="0"/>
    <n v="0"/>
    <n v="4"/>
    <n v="73"/>
    <n v="0"/>
    <n v="104.85"/>
    <n v="89.5"/>
    <m/>
    <n v="108.92256456594303"/>
    <n v="82.296318148854084"/>
    <n v="0"/>
    <n v="1641.951"/>
    <n v="1401.57"/>
    <n v="0"/>
    <n v="1705.7273611026678"/>
    <n v="1288.7603422110549"/>
  </r>
  <r>
    <s v="Regular"/>
    <x v="2"/>
    <x v="5"/>
    <x v="7"/>
    <x v="4"/>
    <x v="0"/>
    <x v="0"/>
    <x v="1"/>
    <x v="1"/>
    <n v="0"/>
    <n v="0"/>
    <n v="12870.684999999999"/>
    <n v="12870.684999999999"/>
    <n v="12870.684999999999"/>
    <n v="12870.684999999999"/>
    <n v="44002"/>
    <x v="1"/>
    <n v="0"/>
    <n v="0"/>
    <n v="4"/>
    <n v="73"/>
    <n v="0"/>
    <n v="104.85"/>
    <n v="89.5"/>
    <m/>
    <n v="108.92256456594303"/>
    <n v="82.296318148854084"/>
    <n v="0"/>
    <n v="1349491.32225"/>
    <n v="1151926.3074999999"/>
    <n v="0"/>
    <n v="1401908.0179204145"/>
    <n v="1059209.987553684"/>
  </r>
  <r>
    <s v="Refaturamento - Regular"/>
    <x v="2"/>
    <x v="5"/>
    <x v="7"/>
    <x v="4"/>
    <x v="0"/>
    <x v="0"/>
    <x v="1"/>
    <x v="1"/>
    <n v="0"/>
    <n v="0"/>
    <n v="4.0679999999999996"/>
    <n v="4.0679999999999996"/>
    <n v="4.0679999999999996"/>
    <n v="4.0679999999999996"/>
    <n v="55"/>
    <x v="1"/>
    <n v="0"/>
    <n v="0"/>
    <n v="4"/>
    <n v="73"/>
    <n v="0"/>
    <n v="104.85"/>
    <n v="89.5"/>
    <m/>
    <n v="108.92256456594303"/>
    <n v="82.296318148854084"/>
    <n v="0"/>
    <n v="426.52979999999991"/>
    <n v="364.08599999999996"/>
    <n v="0"/>
    <n v="443.09699265425621"/>
    <n v="334.78142222953841"/>
  </r>
  <r>
    <s v="Sistema de Compensação"/>
    <x v="2"/>
    <x v="5"/>
    <x v="7"/>
    <x v="4"/>
    <x v="0"/>
    <x v="0"/>
    <x v="1"/>
    <x v="1"/>
    <n v="0"/>
    <n v="0"/>
    <n v="16.829999999999998"/>
    <n v="16.829999999999998"/>
    <n v="16.829999999999998"/>
    <n v="16.829999999999998"/>
    <n v="36"/>
    <x v="1"/>
    <n v="0"/>
    <n v="0"/>
    <n v="4"/>
    <n v="73"/>
    <n v="0"/>
    <n v="104.85"/>
    <n v="89.5"/>
    <m/>
    <n v="108.92256456594303"/>
    <n v="82.296318148854084"/>
    <n v="0"/>
    <n v="1764.6254999999996"/>
    <n v="1506.2849999999999"/>
    <n v="0"/>
    <n v="1833.166761644821"/>
    <n v="1385.0470344452142"/>
  </r>
  <r>
    <s v="Regular"/>
    <x v="2"/>
    <x v="5"/>
    <x v="7"/>
    <x v="4"/>
    <x v="0"/>
    <x v="0"/>
    <x v="1"/>
    <x v="2"/>
    <n v="0"/>
    <n v="0"/>
    <n v="13028.805"/>
    <n v="13028.805"/>
    <n v="13028.805"/>
    <n v="13028.805"/>
    <n v="42538"/>
    <x v="1"/>
    <n v="0"/>
    <n v="0"/>
    <n v="4"/>
    <n v="73"/>
    <n v="0"/>
    <n v="104.85"/>
    <n v="89.5"/>
    <m/>
    <n v="108.92256456594303"/>
    <n v="82.296318148854084"/>
    <n v="0"/>
    <n v="1366070.20425"/>
    <n v="1166078.0475000001"/>
    <n v="0"/>
    <n v="1419130.8538295815"/>
    <n v="1072222.6813793809"/>
  </r>
  <r>
    <s v="Refaturamento - Regular"/>
    <x v="2"/>
    <x v="5"/>
    <x v="7"/>
    <x v="4"/>
    <x v="0"/>
    <x v="0"/>
    <x v="1"/>
    <x v="2"/>
    <n v="0"/>
    <n v="0"/>
    <n v="4.2389999999999999"/>
    <n v="4.2389999999999999"/>
    <n v="4.2389999999999999"/>
    <n v="4.2389999999999999"/>
    <n v="63"/>
    <x v="1"/>
    <n v="0"/>
    <n v="0"/>
    <n v="4"/>
    <n v="73"/>
    <n v="0"/>
    <n v="104.85"/>
    <n v="89.5"/>
    <m/>
    <n v="108.92256456594303"/>
    <n v="82.296318148854084"/>
    <n v="0"/>
    <n v="444.45914999999997"/>
    <n v="379.39049999999997"/>
    <n v="0"/>
    <n v="461.72275119503252"/>
    <n v="348.85409263299243"/>
  </r>
  <r>
    <s v="Sistema de Compensação"/>
    <x v="2"/>
    <x v="5"/>
    <x v="7"/>
    <x v="4"/>
    <x v="0"/>
    <x v="0"/>
    <x v="1"/>
    <x v="2"/>
    <n v="0"/>
    <n v="0"/>
    <n v="19.05"/>
    <n v="19.05"/>
    <n v="19.05"/>
    <n v="19.05"/>
    <n v="42"/>
    <x v="1"/>
    <n v="0"/>
    <n v="0"/>
    <n v="4"/>
    <n v="73"/>
    <n v="0"/>
    <n v="104.85"/>
    <n v="89.5"/>
    <m/>
    <n v="108.92256456594303"/>
    <n v="82.296318148854084"/>
    <n v="0"/>
    <n v="1997.3924999999999"/>
    <n v="1704.9750000000001"/>
    <n v="0"/>
    <n v="2074.9748549812148"/>
    <n v="1567.7448607356703"/>
  </r>
  <r>
    <s v="Regular"/>
    <x v="2"/>
    <x v="5"/>
    <x v="7"/>
    <x v="4"/>
    <x v="0"/>
    <x v="0"/>
    <x v="1"/>
    <x v="3"/>
    <n v="0"/>
    <n v="0"/>
    <n v="13189"/>
    <n v="13189"/>
    <n v="13189"/>
    <n v="13189"/>
    <n v="42924"/>
    <x v="1"/>
    <n v="0"/>
    <n v="0"/>
    <n v="4"/>
    <n v="73"/>
    <n v="0"/>
    <n v="104.85"/>
    <n v="89.5"/>
    <m/>
    <n v="108.92256456594303"/>
    <n v="82.296318148854084"/>
    <n v="0"/>
    <n v="1382866.65"/>
    <n v="1180415.5"/>
    <n v="0"/>
    <n v="1436579.7040602227"/>
    <n v="1085406.1400652365"/>
  </r>
  <r>
    <s v="Refaturamento - Regular"/>
    <x v="2"/>
    <x v="5"/>
    <x v="7"/>
    <x v="4"/>
    <x v="0"/>
    <x v="0"/>
    <x v="1"/>
    <x v="3"/>
    <n v="0"/>
    <n v="0"/>
    <n v="3.202"/>
    <n v="3.202"/>
    <n v="3.202"/>
    <n v="3.202"/>
    <n v="38"/>
    <x v="1"/>
    <n v="0"/>
    <n v="0"/>
    <n v="4"/>
    <n v="73"/>
    <n v="0"/>
    <n v="104.85"/>
    <n v="89.5"/>
    <m/>
    <n v="108.92256456594303"/>
    <n v="82.296318148854084"/>
    <n v="0"/>
    <n v="335.72969999999998"/>
    <n v="286.57900000000001"/>
    <n v="0"/>
    <n v="348.7700517401496"/>
    <n v="263.51281071263077"/>
  </r>
  <r>
    <s v="Sistema de Compensação"/>
    <x v="2"/>
    <x v="5"/>
    <x v="7"/>
    <x v="4"/>
    <x v="0"/>
    <x v="0"/>
    <x v="1"/>
    <x v="3"/>
    <n v="0"/>
    <n v="0"/>
    <n v="19.829999999999998"/>
    <n v="19.829999999999998"/>
    <n v="19.829999999999998"/>
    <n v="19.829999999999998"/>
    <n v="8"/>
    <x v="1"/>
    <n v="0"/>
    <n v="0"/>
    <n v="4"/>
    <n v="73"/>
    <n v="0"/>
    <n v="104.85"/>
    <n v="89.5"/>
    <m/>
    <n v="108.92256456594303"/>
    <n v="82.296318148854084"/>
    <n v="0"/>
    <n v="2079.1754999999998"/>
    <n v="1774.7849999999999"/>
    <n v="0"/>
    <n v="2159.9344553426504"/>
    <n v="1631.9359888917763"/>
  </r>
  <r>
    <s v="Regular"/>
    <x v="2"/>
    <x v="5"/>
    <x v="7"/>
    <x v="4"/>
    <x v="0"/>
    <x v="0"/>
    <x v="1"/>
    <x v="4"/>
    <n v="0"/>
    <n v="0"/>
    <n v="13127.332"/>
    <n v="13127.332"/>
    <n v="13127.332"/>
    <n v="13127.332"/>
    <n v="39320"/>
    <x v="1"/>
    <n v="0"/>
    <n v="0"/>
    <n v="4"/>
    <n v="73"/>
    <n v="0"/>
    <n v="104.85"/>
    <n v="89.5"/>
    <m/>
    <n v="108.92256456594303"/>
    <n v="82.296318148854084"/>
    <n v="0"/>
    <n v="1376400.7601999999"/>
    <n v="1174896.2139999999"/>
    <n v="0"/>
    <n v="1429862.6673485702"/>
    <n v="1080331.090717633"/>
  </r>
  <r>
    <s v="Refaturamento - Regular"/>
    <x v="2"/>
    <x v="5"/>
    <x v="7"/>
    <x v="4"/>
    <x v="0"/>
    <x v="0"/>
    <x v="1"/>
    <x v="4"/>
    <n v="0"/>
    <n v="0"/>
    <n v="4.2729999999999997"/>
    <n v="4.2729999999999997"/>
    <n v="4.2729999999999997"/>
    <n v="4.2729999999999997"/>
    <n v="42"/>
    <x v="1"/>
    <n v="0"/>
    <n v="0"/>
    <n v="4"/>
    <n v="73"/>
    <n v="0"/>
    <n v="104.85"/>
    <n v="89.5"/>
    <m/>
    <n v="108.92256456594303"/>
    <n v="82.296318148854084"/>
    <n v="0"/>
    <n v="448.02404999999993"/>
    <n v="382.43349999999998"/>
    <n v="0"/>
    <n v="465.42611839027455"/>
    <n v="351.65216745005347"/>
  </r>
  <r>
    <s v="Sistema de Compensação"/>
    <x v="2"/>
    <x v="5"/>
    <x v="7"/>
    <x v="4"/>
    <x v="0"/>
    <x v="0"/>
    <x v="1"/>
    <x v="4"/>
    <n v="0"/>
    <n v="0"/>
    <n v="21.3"/>
    <n v="21.3"/>
    <n v="21.3"/>
    <n v="21.3"/>
    <n v="37"/>
    <x v="1"/>
    <n v="0"/>
    <n v="0"/>
    <n v="4"/>
    <n v="73"/>
    <n v="0"/>
    <n v="104.85"/>
    <n v="89.5"/>
    <m/>
    <n v="108.92256456594303"/>
    <n v="82.296318148854084"/>
    <n v="0"/>
    <n v="2233.3049999999998"/>
    <n v="1906.3500000000001"/>
    <n v="0"/>
    <n v="2320.0506252545865"/>
    <n v="1752.9115765705922"/>
  </r>
  <r>
    <s v="Regular"/>
    <x v="2"/>
    <x v="5"/>
    <x v="7"/>
    <x v="4"/>
    <x v="0"/>
    <x v="0"/>
    <x v="1"/>
    <x v="5"/>
    <n v="0"/>
    <n v="0"/>
    <n v="13158.582"/>
    <n v="13158.582"/>
    <n v="13158.582"/>
    <n v="13158.582"/>
    <n v="40119"/>
    <x v="1"/>
    <n v="0"/>
    <n v="0"/>
    <n v="4"/>
    <n v="73"/>
    <n v="0"/>
    <n v="104.85"/>
    <n v="89.5"/>
    <m/>
    <n v="108.92256456594303"/>
    <n v="82.296318148854084"/>
    <n v="0"/>
    <n v="1379677.3226999999"/>
    <n v="1177693.0889999999"/>
    <n v="0"/>
    <n v="1433266.4974912559"/>
    <n v="1082902.8506597846"/>
  </r>
  <r>
    <s v="Refaturamento - Regular"/>
    <x v="2"/>
    <x v="5"/>
    <x v="7"/>
    <x v="4"/>
    <x v="0"/>
    <x v="0"/>
    <x v="1"/>
    <x v="5"/>
    <n v="0"/>
    <n v="0"/>
    <n v="6.6429999999999998"/>
    <n v="6.6429999999999998"/>
    <n v="6.6429999999999998"/>
    <n v="6.6429999999999998"/>
    <n v="54"/>
    <x v="1"/>
    <n v="0"/>
    <n v="0"/>
    <n v="4"/>
    <n v="73"/>
    <n v="0"/>
    <n v="104.85"/>
    <n v="89.5"/>
    <m/>
    <n v="108.92256456594303"/>
    <n v="82.296318148854084"/>
    <n v="0"/>
    <n v="696.51854999999989"/>
    <n v="594.54849999999999"/>
    <n v="0"/>
    <n v="723.57259641155952"/>
    <n v="546.69444146283763"/>
  </r>
  <r>
    <s v="Sistema de Compensação"/>
    <x v="2"/>
    <x v="5"/>
    <x v="7"/>
    <x v="4"/>
    <x v="0"/>
    <x v="0"/>
    <x v="1"/>
    <x v="5"/>
    <n v="0"/>
    <n v="0"/>
    <n v="22.62"/>
    <n v="22.62"/>
    <n v="22.62"/>
    <n v="22.62"/>
    <n v="37"/>
    <x v="1"/>
    <n v="0"/>
    <n v="0"/>
    <n v="4"/>
    <n v="73"/>
    <n v="0"/>
    <n v="104.85"/>
    <n v="89.5"/>
    <m/>
    <n v="108.92256456594303"/>
    <n v="82.296318148854084"/>
    <n v="0"/>
    <n v="2371.7069999999999"/>
    <n v="2024.49"/>
    <n v="0"/>
    <n v="2463.8284104816316"/>
    <n v="1861.5427165270794"/>
  </r>
  <r>
    <s v="Sistema de Compensação"/>
    <x v="2"/>
    <x v="5"/>
    <x v="7"/>
    <x v="4"/>
    <x v="0"/>
    <x v="0"/>
    <x v="1"/>
    <x v="5"/>
    <n v="0"/>
    <n v="0"/>
    <n v="0.377"/>
    <n v="0.377"/>
    <n v="0.377"/>
    <n v="0.377"/>
    <n v="1"/>
    <x v="1"/>
    <n v="0"/>
    <n v="0"/>
    <n v="4"/>
    <n v="73"/>
    <n v="0"/>
    <n v="104.85"/>
    <n v="89.5"/>
    <m/>
    <n v="108.92256456594303"/>
    <n v="82.296318148854084"/>
    <n v="0"/>
    <n v="39.528449999999999"/>
    <n v="33.741500000000002"/>
    <n v="0"/>
    <n v="41.063806841360524"/>
    <n v="31.02571194211799"/>
  </r>
  <r>
    <s v="Regular"/>
    <x v="2"/>
    <x v="5"/>
    <x v="7"/>
    <x v="4"/>
    <x v="0"/>
    <x v="0"/>
    <x v="1"/>
    <x v="6"/>
    <n v="0"/>
    <n v="0"/>
    <n v="13427.204"/>
    <n v="13427.204"/>
    <n v="13427.204"/>
    <n v="13427.204"/>
    <n v="43318"/>
    <x v="1"/>
    <n v="0"/>
    <n v="0"/>
    <n v="4"/>
    <n v="73"/>
    <n v="0"/>
    <n v="104.85"/>
    <n v="89.5"/>
    <m/>
    <n v="108.92256456594303"/>
    <n v="82.296318148854084"/>
    <n v="0"/>
    <n v="1407842.3393999999"/>
    <n v="1201734.7579999999"/>
    <n v="0"/>
    <n v="1462525.4946300886"/>
    <n v="1105009.4522335662"/>
  </r>
  <r>
    <s v="Refaturamento - Regular"/>
    <x v="2"/>
    <x v="5"/>
    <x v="7"/>
    <x v="4"/>
    <x v="0"/>
    <x v="0"/>
    <x v="1"/>
    <x v="6"/>
    <n v="0"/>
    <n v="0"/>
    <n v="9.8789999999999996"/>
    <n v="9.8789999999999996"/>
    <n v="9.8789999999999996"/>
    <n v="9.8789999999999996"/>
    <n v="80"/>
    <x v="1"/>
    <n v="0"/>
    <n v="0"/>
    <n v="4"/>
    <n v="73"/>
    <n v="0"/>
    <n v="104.85"/>
    <n v="89.5"/>
    <m/>
    <n v="108.92256456594303"/>
    <n v="82.296318148854084"/>
    <n v="0"/>
    <n v="1035.81315"/>
    <n v="884.17049999999995"/>
    <n v="0"/>
    <n v="1076.0460153469512"/>
    <n v="813.00532699252949"/>
  </r>
  <r>
    <s v="Sistema de Compensação"/>
    <x v="2"/>
    <x v="5"/>
    <x v="7"/>
    <x v="4"/>
    <x v="0"/>
    <x v="0"/>
    <x v="1"/>
    <x v="6"/>
    <n v="0"/>
    <n v="0"/>
    <n v="24.33"/>
    <n v="24.33"/>
    <n v="24.33"/>
    <n v="24.33"/>
    <n v="49"/>
    <x v="1"/>
    <n v="0"/>
    <n v="0"/>
    <n v="4"/>
    <n v="73"/>
    <n v="0"/>
    <n v="104.85"/>
    <n v="89.5"/>
    <m/>
    <n v="108.92256456594303"/>
    <n v="82.296318148854084"/>
    <n v="0"/>
    <n v="2551.0004999999996"/>
    <n v="2177.5349999999999"/>
    <n v="0"/>
    <n v="2650.0859958893939"/>
    <n v="2002.2694205616197"/>
  </r>
  <r>
    <s v="Regular"/>
    <x v="2"/>
    <x v="5"/>
    <x v="7"/>
    <x v="4"/>
    <x v="0"/>
    <x v="0"/>
    <x v="1"/>
    <x v="7"/>
    <n v="0"/>
    <n v="0"/>
    <n v="13673.727999999999"/>
    <n v="13673.727999999999"/>
    <n v="13673.727999999999"/>
    <n v="13673.727999999999"/>
    <n v="40150"/>
    <x v="1"/>
    <n v="0"/>
    <n v="0"/>
    <n v="4"/>
    <n v="73"/>
    <n v="0"/>
    <n v="104.85"/>
    <n v="89.5"/>
    <m/>
    <n v="108.92256456594303"/>
    <n v="82.296318148854084"/>
    <n v="0"/>
    <n v="1433690.3807999999"/>
    <n v="1223798.656"/>
    <n v="0"/>
    <n v="1489377.5209371431"/>
    <n v="1125297.4697688941"/>
  </r>
  <r>
    <s v="Refaturamento - Regular"/>
    <x v="2"/>
    <x v="5"/>
    <x v="7"/>
    <x v="4"/>
    <x v="0"/>
    <x v="0"/>
    <x v="1"/>
    <x v="7"/>
    <n v="0"/>
    <n v="0"/>
    <n v="3.9249999999999998"/>
    <n v="3.9249999999999998"/>
    <n v="3.9249999999999998"/>
    <n v="3.9249999999999998"/>
    <n v="43"/>
    <x v="1"/>
    <n v="0"/>
    <n v="0"/>
    <n v="4"/>
    <n v="73"/>
    <n v="0"/>
    <n v="104.85"/>
    <n v="89.5"/>
    <m/>
    <n v="108.92256456594303"/>
    <n v="82.296318148854084"/>
    <n v="0"/>
    <n v="411.53624999999994"/>
    <n v="351.28749999999997"/>
    <n v="0"/>
    <n v="427.5210659213264"/>
    <n v="323.01304873425227"/>
  </r>
  <r>
    <s v="Sistema de Compensação"/>
    <x v="2"/>
    <x v="5"/>
    <x v="7"/>
    <x v="4"/>
    <x v="0"/>
    <x v="0"/>
    <x v="1"/>
    <x v="7"/>
    <n v="0"/>
    <n v="0"/>
    <n v="25.65"/>
    <n v="25.65"/>
    <n v="25.65"/>
    <n v="25.65"/>
    <n v="40"/>
    <x v="1"/>
    <n v="0"/>
    <n v="0"/>
    <n v="4"/>
    <n v="73"/>
    <n v="0"/>
    <n v="104.85"/>
    <n v="89.5"/>
    <m/>
    <n v="108.92256456594303"/>
    <n v="82.296318148854084"/>
    <n v="0"/>
    <n v="2689.4024999999997"/>
    <n v="2295.6749999999997"/>
    <n v="0"/>
    <n v="2793.8637811164385"/>
    <n v="2110.9005605181073"/>
  </r>
  <r>
    <s v="Regular"/>
    <x v="2"/>
    <x v="5"/>
    <x v="7"/>
    <x v="4"/>
    <x v="0"/>
    <x v="0"/>
    <x v="1"/>
    <x v="8"/>
    <n v="0"/>
    <n v="0"/>
    <n v="13824.705"/>
    <n v="13824.705"/>
    <n v="13824.705"/>
    <n v="13824.705"/>
    <n v="42786"/>
    <x v="1"/>
    <n v="0"/>
    <n v="0"/>
    <n v="4"/>
    <n v="73"/>
    <n v="0"/>
    <n v="104.85"/>
    <n v="89.5"/>
    <m/>
    <n v="108.92256456594303"/>
    <n v="82.296318148854084"/>
    <n v="0"/>
    <n v="1449520.3192499999"/>
    <n v="1237311.0974999999"/>
    <n v="0"/>
    <n v="1505822.3229676154"/>
    <n v="1137722.3209940537"/>
  </r>
  <r>
    <s v="Refaturamento - Regular"/>
    <x v="2"/>
    <x v="5"/>
    <x v="7"/>
    <x v="4"/>
    <x v="0"/>
    <x v="0"/>
    <x v="1"/>
    <x v="8"/>
    <n v="0"/>
    <n v="0"/>
    <n v="5.8869999999999996"/>
    <n v="5.8869999999999996"/>
    <n v="5.8869999999999996"/>
    <n v="5.8869999999999996"/>
    <n v="47"/>
    <x v="1"/>
    <n v="0"/>
    <n v="0"/>
    <n v="4"/>
    <n v="73"/>
    <n v="0"/>
    <n v="104.85"/>
    <n v="89.5"/>
    <m/>
    <n v="108.92256456594303"/>
    <n v="82.296318148854084"/>
    <n v="0"/>
    <n v="617.25194999999997"/>
    <n v="526.88649999999996"/>
    <n v="0"/>
    <n v="641.22713759970657"/>
    <n v="484.47842494230395"/>
  </r>
  <r>
    <s v="Sistema de Compensação"/>
    <x v="2"/>
    <x v="5"/>
    <x v="7"/>
    <x v="4"/>
    <x v="0"/>
    <x v="0"/>
    <x v="1"/>
    <x v="8"/>
    <n v="0"/>
    <n v="0"/>
    <n v="26.66"/>
    <n v="26.66"/>
    <n v="26.66"/>
    <n v="26.66"/>
    <n v="44"/>
    <x v="1"/>
    <n v="0"/>
    <n v="0"/>
    <n v="4"/>
    <n v="73"/>
    <n v="0"/>
    <n v="104.85"/>
    <n v="89.5"/>
    <m/>
    <n v="108.92256456594303"/>
    <n v="82.296318148854084"/>
    <n v="0"/>
    <n v="2795.3009999999999"/>
    <n v="2386.0700000000002"/>
    <n v="0"/>
    <n v="2903.8755713280411"/>
    <n v="2194.0198418484497"/>
  </r>
  <r>
    <s v="Regular"/>
    <x v="2"/>
    <x v="5"/>
    <x v="7"/>
    <x v="4"/>
    <x v="0"/>
    <x v="0"/>
    <x v="1"/>
    <x v="9"/>
    <n v="0"/>
    <n v="0"/>
    <n v="13703.281999999999"/>
    <n v="13703.281999999999"/>
    <n v="13703.281999999999"/>
    <n v="13703.281999999999"/>
    <n v="42836"/>
    <x v="1"/>
    <n v="0"/>
    <n v="0"/>
    <n v="4"/>
    <n v="73"/>
    <n v="0"/>
    <n v="104.85"/>
    <n v="89.5"/>
    <m/>
    <n v="108.92256456594303"/>
    <n v="82.296318148854084"/>
    <n v="0"/>
    <n v="1436789.1176999998"/>
    <n v="1226443.7389999998"/>
    <n v="0"/>
    <n v="1492596.6184103249"/>
    <n v="1127729.6551554655"/>
  </r>
  <r>
    <s v="Refaturamento - Regular"/>
    <x v="2"/>
    <x v="5"/>
    <x v="7"/>
    <x v="4"/>
    <x v="0"/>
    <x v="0"/>
    <x v="1"/>
    <x v="9"/>
    <n v="0"/>
    <n v="0"/>
    <n v="5.532"/>
    <n v="5.532"/>
    <n v="5.532"/>
    <n v="5.532"/>
    <n v="54"/>
    <x v="1"/>
    <n v="0"/>
    <n v="0"/>
    <n v="4"/>
    <n v="73"/>
    <n v="0"/>
    <n v="104.85"/>
    <n v="89.5"/>
    <m/>
    <n v="108.92256456594303"/>
    <n v="82.296318148854084"/>
    <n v="0"/>
    <n v="580.03019999999992"/>
    <n v="495.11399999999998"/>
    <n v="0"/>
    <n v="602.55962717879686"/>
    <n v="455.2632319994608"/>
  </r>
  <r>
    <s v="Sistema de Compensação"/>
    <x v="2"/>
    <x v="5"/>
    <x v="7"/>
    <x v="4"/>
    <x v="0"/>
    <x v="0"/>
    <x v="1"/>
    <x v="9"/>
    <n v="0"/>
    <n v="0"/>
    <n v="26.37"/>
    <n v="26.37"/>
    <n v="26.37"/>
    <n v="26.37"/>
    <n v="28"/>
    <x v="1"/>
    <n v="0"/>
    <n v="0"/>
    <n v="4"/>
    <n v="73"/>
    <n v="0"/>
    <n v="104.85"/>
    <n v="89.5"/>
    <m/>
    <n v="108.92256456594303"/>
    <n v="82.296318148854084"/>
    <n v="0"/>
    <n v="2764.8944999999999"/>
    <n v="2360.1150000000002"/>
    <n v="0"/>
    <n v="2872.2880276039177"/>
    <n v="2170.1539095852822"/>
  </r>
  <r>
    <s v="Regular"/>
    <x v="2"/>
    <x v="5"/>
    <x v="7"/>
    <x v="4"/>
    <x v="0"/>
    <x v="0"/>
    <x v="1"/>
    <x v="10"/>
    <n v="0"/>
    <n v="0"/>
    <n v="13836.76"/>
    <n v="13836.76"/>
    <n v="13836.76"/>
    <n v="13836.76"/>
    <n v="48343"/>
    <x v="1"/>
    <n v="0"/>
    <n v="0"/>
    <n v="4"/>
    <n v="73"/>
    <n v="0"/>
    <n v="104.85"/>
    <n v="89.5"/>
    <m/>
    <n v="108.92256456594303"/>
    <n v="82.296318148854084"/>
    <n v="0"/>
    <n v="1450784.2859999998"/>
    <n v="1238390.02"/>
    <n v="0"/>
    <n v="1507135.384483458"/>
    <n v="1138714.4031093384"/>
  </r>
  <r>
    <s v="Refaturamento - Regular"/>
    <x v="2"/>
    <x v="5"/>
    <x v="7"/>
    <x v="4"/>
    <x v="0"/>
    <x v="0"/>
    <x v="1"/>
    <x v="10"/>
    <n v="0"/>
    <n v="0"/>
    <n v="6.5830000000000002"/>
    <n v="6.5830000000000002"/>
    <n v="6.5830000000000002"/>
    <n v="6.5830000000000002"/>
    <n v="24"/>
    <x v="1"/>
    <n v="0"/>
    <n v="0"/>
    <n v="4"/>
    <n v="73"/>
    <n v="0"/>
    <n v="104.85"/>
    <n v="89.5"/>
    <m/>
    <n v="108.92256456594303"/>
    <n v="82.296318148854084"/>
    <n v="0"/>
    <n v="690.22754999999995"/>
    <n v="589.17849999999999"/>
    <n v="0"/>
    <n v="717.03724253760299"/>
    <n v="541.75666237390647"/>
  </r>
  <r>
    <s v="Sistema de Compensação"/>
    <x v="2"/>
    <x v="5"/>
    <x v="7"/>
    <x v="4"/>
    <x v="0"/>
    <x v="0"/>
    <x v="1"/>
    <x v="10"/>
    <n v="0"/>
    <n v="0"/>
    <n v="27.57"/>
    <n v="27.57"/>
    <n v="27.57"/>
    <n v="27.57"/>
    <n v="12"/>
    <x v="1"/>
    <n v="0"/>
    <n v="0"/>
    <n v="4"/>
    <n v="73"/>
    <n v="0"/>
    <n v="104.85"/>
    <n v="89.5"/>
    <m/>
    <n v="108.92256456594303"/>
    <n v="82.296318148854084"/>
    <n v="0"/>
    <n v="2890.7145"/>
    <n v="2467.5149999999999"/>
    <n v="0"/>
    <n v="3002.9951050830496"/>
    <n v="2268.9094913639069"/>
  </r>
  <r>
    <s v="PROJETADO"/>
    <x v="2"/>
    <x v="5"/>
    <x v="7"/>
    <x v="4"/>
    <x v="0"/>
    <x v="0"/>
    <x v="1"/>
    <x v="11"/>
    <n v="0"/>
    <n v="0"/>
    <n v="13836.76"/>
    <n v="13836.76"/>
    <n v="13836.76"/>
    <n v="13836.76"/>
    <n v="48343"/>
    <x v="1"/>
    <n v="0"/>
    <n v="0"/>
    <n v="4"/>
    <n v="73"/>
    <n v="0"/>
    <n v="104.85"/>
    <n v="89.5"/>
    <m/>
    <n v="108.92256456594303"/>
    <n v="82.296318148854084"/>
    <n v="0"/>
    <n v="1450784.2859999998"/>
    <n v="1238390.02"/>
    <n v="0"/>
    <n v="1507135.384483458"/>
    <n v="1138714.4031093384"/>
  </r>
  <r>
    <s v="PROJETADO"/>
    <x v="2"/>
    <x v="5"/>
    <x v="7"/>
    <x v="4"/>
    <x v="0"/>
    <x v="0"/>
    <x v="1"/>
    <x v="11"/>
    <n v="0"/>
    <n v="0"/>
    <n v="6.5830000000000002"/>
    <n v="6.5830000000000002"/>
    <n v="6.5830000000000002"/>
    <n v="6.5830000000000002"/>
    <n v="24"/>
    <x v="1"/>
    <n v="0"/>
    <n v="0"/>
    <n v="4"/>
    <n v="73"/>
    <n v="0"/>
    <n v="104.85"/>
    <n v="89.5"/>
    <m/>
    <n v="108.92256456594303"/>
    <n v="82.296318148854084"/>
    <n v="0"/>
    <n v="690.22754999999995"/>
    <n v="589.17849999999999"/>
    <n v="0"/>
    <n v="717.03724253760299"/>
    <n v="541.75666237390647"/>
  </r>
  <r>
    <s v="PROJETADO"/>
    <x v="2"/>
    <x v="5"/>
    <x v="7"/>
    <x v="4"/>
    <x v="0"/>
    <x v="0"/>
    <x v="1"/>
    <x v="11"/>
    <n v="0"/>
    <n v="0"/>
    <n v="27.57"/>
    <n v="27.57"/>
    <n v="27.57"/>
    <n v="27.57"/>
    <n v="12"/>
    <x v="1"/>
    <n v="0"/>
    <n v="0"/>
    <n v="4"/>
    <n v="73"/>
    <n v="0"/>
    <n v="104.85"/>
    <n v="89.5"/>
    <m/>
    <n v="108.92256456594303"/>
    <n v="82.296318148854084"/>
    <n v="0"/>
    <n v="2890.7145"/>
    <n v="2467.5149999999999"/>
    <n v="0"/>
    <n v="3002.9951050830496"/>
    <n v="2268.9094913639069"/>
  </r>
  <r>
    <s v="Regular"/>
    <x v="2"/>
    <x v="5"/>
    <x v="7"/>
    <x v="5"/>
    <x v="0"/>
    <x v="0"/>
    <x v="1"/>
    <x v="0"/>
    <n v="0"/>
    <n v="0"/>
    <n v="21068.968000000001"/>
    <n v="21068.968000000001"/>
    <n v="21068.968000000001"/>
    <n v="21068.968000000001"/>
    <n v="200657"/>
    <x v="1"/>
    <n v="0"/>
    <n v="0"/>
    <n v="6"/>
    <n v="74"/>
    <n v="0"/>
    <n v="179.74"/>
    <n v="153.43"/>
    <m/>
    <n v="186.7243963987595"/>
    <n v="141.07940254089272"/>
    <n v="0"/>
    <n v="3786936.3083200003"/>
    <n v="3232611.7602400002"/>
    <n v="0"/>
    <n v="3934090.3325447794"/>
    <n v="2972397.4175931877"/>
  </r>
  <r>
    <s v="Refaturamento - Regular"/>
    <x v="2"/>
    <x v="5"/>
    <x v="7"/>
    <x v="5"/>
    <x v="0"/>
    <x v="0"/>
    <x v="1"/>
    <x v="0"/>
    <n v="0"/>
    <n v="0"/>
    <n v="-3.6280000000000001"/>
    <n v="-3.6280000000000001"/>
    <n v="-3.6280000000000001"/>
    <n v="-3.6280000000000001"/>
    <n v="-12"/>
    <x v="1"/>
    <n v="0"/>
    <n v="0"/>
    <n v="6"/>
    <n v="74"/>
    <n v="0"/>
    <n v="179.74"/>
    <n v="153.43"/>
    <m/>
    <n v="186.7243963987595"/>
    <n v="141.07940254089272"/>
    <n v="0"/>
    <n v="-652.09672"/>
    <n v="-556.64404000000002"/>
    <n v="0"/>
    <n v="-677.43611013469945"/>
    <n v="-511.83607241835881"/>
  </r>
  <r>
    <s v="Sistema de Compensação"/>
    <x v="2"/>
    <x v="5"/>
    <x v="7"/>
    <x v="5"/>
    <x v="0"/>
    <x v="0"/>
    <x v="1"/>
    <x v="0"/>
    <n v="0"/>
    <n v="0"/>
    <n v="13.291"/>
    <n v="13.291"/>
    <n v="13.291"/>
    <n v="13.291"/>
    <n v="58"/>
    <x v="1"/>
    <n v="0"/>
    <n v="0"/>
    <n v="6"/>
    <n v="74"/>
    <n v="0"/>
    <n v="179.74"/>
    <n v="153.43"/>
    <m/>
    <n v="186.7243963987595"/>
    <n v="141.07940254089272"/>
    <n v="0"/>
    <n v="2388.92434"/>
    <n v="2039.2381300000002"/>
    <n v="0"/>
    <n v="2481.7539525359125"/>
    <n v="1875.0863391710052"/>
  </r>
  <r>
    <s v="Regular"/>
    <x v="2"/>
    <x v="5"/>
    <x v="7"/>
    <x v="5"/>
    <x v="0"/>
    <x v="0"/>
    <x v="1"/>
    <x v="1"/>
    <n v="0"/>
    <n v="0"/>
    <n v="20728.253000000001"/>
    <n v="20728.253000000001"/>
    <n v="20728.253000000001"/>
    <n v="20728.253000000001"/>
    <n v="201132"/>
    <x v="1"/>
    <n v="0"/>
    <n v="0"/>
    <n v="6"/>
    <n v="74"/>
    <n v="0"/>
    <n v="179.74"/>
    <n v="153.43"/>
    <m/>
    <n v="186.7243963987595"/>
    <n v="141.07940254089272"/>
    <n v="0"/>
    <n v="3725696.1942200004"/>
    <n v="3180335.8577900003"/>
    <n v="0"/>
    <n v="3870470.5298257759"/>
    <n v="2924329.5489564673"/>
  </r>
  <r>
    <s v="Refaturamento - Regular"/>
    <x v="2"/>
    <x v="5"/>
    <x v="7"/>
    <x v="5"/>
    <x v="0"/>
    <x v="0"/>
    <x v="1"/>
    <x v="1"/>
    <n v="0"/>
    <n v="0"/>
    <n v="-3.8239999999999998"/>
    <n v="-3.8239999999999998"/>
    <n v="-3.8239999999999998"/>
    <n v="-3.8239999999999998"/>
    <n v="-8"/>
    <x v="1"/>
    <n v="0"/>
    <n v="0"/>
    <n v="6"/>
    <n v="74"/>
    <n v="0"/>
    <n v="179.74"/>
    <n v="153.43"/>
    <m/>
    <n v="186.7243963987595"/>
    <n v="141.07940254089272"/>
    <n v="0"/>
    <n v="-687.32576000000006"/>
    <n v="-586.71632"/>
    <n v="0"/>
    <n v="-714.03409182885628"/>
    <n v="-539.48763531637371"/>
  </r>
  <r>
    <s v="Sistema de Compensação"/>
    <x v="2"/>
    <x v="5"/>
    <x v="7"/>
    <x v="5"/>
    <x v="0"/>
    <x v="0"/>
    <x v="1"/>
    <x v="1"/>
    <n v="0"/>
    <n v="0"/>
    <n v="12.747999999999999"/>
    <n v="12.747999999999999"/>
    <n v="12.747999999999999"/>
    <n v="12.747999999999999"/>
    <n v="50"/>
    <x v="1"/>
    <n v="0"/>
    <n v="0"/>
    <n v="6"/>
    <n v="74"/>
    <n v="0"/>
    <n v="179.74"/>
    <n v="153.43"/>
    <m/>
    <n v="186.7243963987595"/>
    <n v="141.07940254089272"/>
    <n v="0"/>
    <n v="2291.3255199999999"/>
    <n v="1955.9256399999999"/>
    <n v="0"/>
    <n v="2380.362605291386"/>
    <n v="1798.4802235913003"/>
  </r>
  <r>
    <s v="Regular"/>
    <x v="2"/>
    <x v="5"/>
    <x v="7"/>
    <x v="5"/>
    <x v="0"/>
    <x v="0"/>
    <x v="1"/>
    <x v="2"/>
    <n v="0"/>
    <n v="0"/>
    <n v="21787.931"/>
    <n v="21787.931"/>
    <n v="21787.931"/>
    <n v="21787.931"/>
    <n v="188992"/>
    <x v="1"/>
    <n v="0"/>
    <n v="0"/>
    <n v="6"/>
    <n v="74"/>
    <n v="0"/>
    <n v="179.74"/>
    <n v="153.43"/>
    <m/>
    <n v="186.7243963987595"/>
    <n v="141.07940254089272"/>
    <n v="0"/>
    <n v="3916162.7179400004"/>
    <n v="3342922.2533300002"/>
    <n v="0"/>
    <n v="4068338.2647528206"/>
    <n v="3073828.2880821954"/>
  </r>
  <r>
    <s v="Refaturamento - Regular"/>
    <x v="2"/>
    <x v="5"/>
    <x v="7"/>
    <x v="5"/>
    <x v="0"/>
    <x v="0"/>
    <x v="1"/>
    <x v="2"/>
    <n v="0"/>
    <n v="0"/>
    <n v="-4.6779999999999999"/>
    <n v="-4.6779999999999999"/>
    <n v="-4.6779999999999999"/>
    <n v="-4.6779999999999999"/>
    <n v="-8"/>
    <x v="1"/>
    <n v="0"/>
    <n v="0"/>
    <n v="6"/>
    <n v="74"/>
    <n v="0"/>
    <n v="179.74"/>
    <n v="153.43"/>
    <m/>
    <n v="186.7243963987595"/>
    <n v="141.07940254089272"/>
    <n v="0"/>
    <n v="-840.82371999999998"/>
    <n v="-717.74554000000001"/>
    <n v="0"/>
    <n v="-873.49672635339687"/>
    <n v="-659.9694450862961"/>
  </r>
  <r>
    <s v="Sistema de Compensação"/>
    <x v="2"/>
    <x v="5"/>
    <x v="7"/>
    <x v="5"/>
    <x v="0"/>
    <x v="0"/>
    <x v="1"/>
    <x v="2"/>
    <n v="0"/>
    <n v="0"/>
    <n v="14.361000000000001"/>
    <n v="14.361000000000001"/>
    <n v="14.361000000000001"/>
    <n v="14.361000000000001"/>
    <n v="48"/>
    <x v="1"/>
    <n v="0"/>
    <n v="0"/>
    <n v="6"/>
    <n v="74"/>
    <n v="0"/>
    <n v="179.74"/>
    <n v="153.43"/>
    <m/>
    <n v="186.7243963987595"/>
    <n v="141.07940254089272"/>
    <n v="0"/>
    <n v="2581.2461400000002"/>
    <n v="2203.40823"/>
    <n v="0"/>
    <n v="2681.5490566825852"/>
    <n v="2026.0412998897605"/>
  </r>
  <r>
    <s v="Regular"/>
    <x v="2"/>
    <x v="5"/>
    <x v="7"/>
    <x v="5"/>
    <x v="0"/>
    <x v="0"/>
    <x v="1"/>
    <x v="3"/>
    <n v="0"/>
    <n v="0"/>
    <n v="22162.739000000001"/>
    <n v="22162.739000000001"/>
    <n v="22162.739000000001"/>
    <n v="22162.739000000001"/>
    <n v="189824"/>
    <x v="1"/>
    <n v="0"/>
    <n v="0"/>
    <n v="6"/>
    <n v="74"/>
    <n v="0"/>
    <n v="179.74"/>
    <n v="153.43"/>
    <m/>
    <n v="186.7243963987595"/>
    <n v="141.07940254089272"/>
    <n v="0"/>
    <n v="3983530.7078600004"/>
    <n v="3400429.0447700005"/>
    <n v="0"/>
    <n v="4138324.0623182468"/>
    <n v="3126705.9767897422"/>
  </r>
  <r>
    <s v="Refaturamento - Regular"/>
    <x v="2"/>
    <x v="5"/>
    <x v="7"/>
    <x v="5"/>
    <x v="0"/>
    <x v="0"/>
    <x v="1"/>
    <x v="3"/>
    <n v="0"/>
    <n v="0"/>
    <n v="-3.3090000000000002"/>
    <n v="-3.3090000000000002"/>
    <n v="-3.3090000000000002"/>
    <n v="-3.3090000000000002"/>
    <n v="-5"/>
    <x v="1"/>
    <n v="0"/>
    <n v="0"/>
    <n v="6"/>
    <n v="74"/>
    <n v="0"/>
    <n v="179.74"/>
    <n v="153.43"/>
    <m/>
    <n v="186.7243963987595"/>
    <n v="141.07940254089272"/>
    <n v="0"/>
    <n v="-594.75966000000005"/>
    <n v="-507.69987000000003"/>
    <n v="0"/>
    <n v="-617.87102768349519"/>
    <n v="-466.831743007814"/>
  </r>
  <r>
    <s v="Sistema de Compensação"/>
    <x v="2"/>
    <x v="5"/>
    <x v="7"/>
    <x v="5"/>
    <x v="0"/>
    <x v="0"/>
    <x v="1"/>
    <x v="3"/>
    <n v="0"/>
    <n v="0"/>
    <n v="15.215"/>
    <n v="15.215"/>
    <n v="15.215"/>
    <n v="15.215"/>
    <n v="51"/>
    <x v="1"/>
    <n v="0"/>
    <n v="0"/>
    <n v="6"/>
    <n v="74"/>
    <n v="0"/>
    <n v="179.74"/>
    <n v="153.43"/>
    <m/>
    <n v="186.7243963987595"/>
    <n v="141.07940254089272"/>
    <n v="0"/>
    <n v="2734.7440999999999"/>
    <n v="2334.4374499999999"/>
    <n v="0"/>
    <n v="2841.0116912071258"/>
    <n v="2146.5231096596826"/>
  </r>
  <r>
    <s v="Regular"/>
    <x v="2"/>
    <x v="5"/>
    <x v="7"/>
    <x v="5"/>
    <x v="0"/>
    <x v="0"/>
    <x v="1"/>
    <x v="4"/>
    <n v="0"/>
    <n v="0"/>
    <n v="23244.647000000001"/>
    <n v="23244.647000000001"/>
    <n v="23244.647000000001"/>
    <n v="23244.647000000001"/>
    <n v="163647"/>
    <x v="1"/>
    <n v="0"/>
    <n v="0"/>
    <n v="6"/>
    <n v="74"/>
    <n v="0"/>
    <n v="179.74"/>
    <n v="153.43"/>
    <m/>
    <n v="186.7243963987595"/>
    <n v="141.07940254089272"/>
    <n v="0"/>
    <n v="4177992.8517800001"/>
    <n v="3566426.1892100004"/>
    <n v="0"/>
    <n v="4340342.6805772362"/>
    <n v="3279340.9110339545"/>
  </r>
  <r>
    <s v="Refaturamento - Regular"/>
    <x v="2"/>
    <x v="5"/>
    <x v="7"/>
    <x v="5"/>
    <x v="0"/>
    <x v="0"/>
    <x v="1"/>
    <x v="4"/>
    <n v="0"/>
    <n v="0"/>
    <n v="-2.8319999999999999"/>
    <n v="-2.8319999999999999"/>
    <n v="-2.8319999999999999"/>
    <n v="-2.8319999999999999"/>
    <n v="-8"/>
    <x v="1"/>
    <n v="0"/>
    <n v="0"/>
    <n v="6"/>
    <n v="74"/>
    <n v="0"/>
    <n v="179.74"/>
    <n v="153.43"/>
    <m/>
    <n v="186.7243963987595"/>
    <n v="141.07940254089272"/>
    <n v="0"/>
    <n v="-509.02368000000001"/>
    <n v="-434.51375999999999"/>
    <n v="0"/>
    <n v="-528.80349060128685"/>
    <n v="-399.53686799580817"/>
  </r>
  <r>
    <s v="Sistema de Compensação"/>
    <x v="2"/>
    <x v="5"/>
    <x v="7"/>
    <x v="5"/>
    <x v="0"/>
    <x v="0"/>
    <x v="1"/>
    <x v="4"/>
    <n v="0"/>
    <n v="0"/>
    <n v="19.161000000000001"/>
    <n v="19.161000000000001"/>
    <n v="19.161000000000001"/>
    <n v="19.161000000000001"/>
    <n v="39"/>
    <x v="1"/>
    <n v="0"/>
    <n v="0"/>
    <n v="6"/>
    <n v="74"/>
    <n v="0"/>
    <n v="179.74"/>
    <n v="153.43"/>
    <m/>
    <n v="186.7243963987595"/>
    <n v="141.07940254089272"/>
    <n v="0"/>
    <n v="3443.9981400000006"/>
    <n v="2939.8722300000004"/>
    <n v="0"/>
    <n v="3577.8261593966308"/>
    <n v="2703.2224320860455"/>
  </r>
  <r>
    <s v="Regular"/>
    <x v="2"/>
    <x v="5"/>
    <x v="7"/>
    <x v="5"/>
    <x v="0"/>
    <x v="0"/>
    <x v="1"/>
    <x v="5"/>
    <n v="0"/>
    <n v="0"/>
    <n v="22506.417000000001"/>
    <n v="22506.417000000001"/>
    <n v="22506.417000000001"/>
    <n v="22506.417000000001"/>
    <n v="182803"/>
    <x v="1"/>
    <n v="0"/>
    <n v="0"/>
    <n v="6"/>
    <n v="74"/>
    <n v="0"/>
    <n v="179.74"/>
    <n v="153.43"/>
    <m/>
    <n v="186.7243963987595"/>
    <n v="141.07940254089272"/>
    <n v="0"/>
    <n v="4045303.3915800005"/>
    <n v="3453159.5603100006"/>
    <n v="0"/>
    <n v="4202497.1294237794"/>
    <n v="3175191.863696191"/>
  </r>
  <r>
    <s v="Refaturamento - Regular"/>
    <x v="2"/>
    <x v="5"/>
    <x v="7"/>
    <x v="5"/>
    <x v="0"/>
    <x v="0"/>
    <x v="1"/>
    <x v="5"/>
    <n v="0"/>
    <n v="0"/>
    <n v="-3.6040000000000001"/>
    <n v="-3.6040000000000001"/>
    <n v="-3.6040000000000001"/>
    <n v="-3.6040000000000001"/>
    <n v="-9"/>
    <x v="1"/>
    <n v="0"/>
    <n v="0"/>
    <n v="6"/>
    <n v="74"/>
    <n v="0"/>
    <n v="179.74"/>
    <n v="153.43"/>
    <m/>
    <n v="186.7243963987595"/>
    <n v="141.07940254089272"/>
    <n v="0"/>
    <n v="-647.78296"/>
    <n v="-552.96172000000001"/>
    <n v="0"/>
    <n v="-672.95472462112923"/>
    <n v="-508.45016675737736"/>
  </r>
  <r>
    <s v="Sistema de Compensação"/>
    <x v="2"/>
    <x v="5"/>
    <x v="7"/>
    <x v="5"/>
    <x v="0"/>
    <x v="0"/>
    <x v="1"/>
    <x v="5"/>
    <n v="0"/>
    <n v="0"/>
    <n v="19.314"/>
    <n v="19.314"/>
    <n v="19.314"/>
    <n v="19.314"/>
    <n v="58"/>
    <x v="1"/>
    <n v="0"/>
    <n v="0"/>
    <n v="6"/>
    <n v="74"/>
    <n v="0"/>
    <n v="179.74"/>
    <n v="153.43"/>
    <m/>
    <n v="186.7243963987595"/>
    <n v="141.07940254089272"/>
    <n v="0"/>
    <n v="3471.49836"/>
    <n v="2963.3470200000002"/>
    <n v="0"/>
    <n v="3606.3949920456407"/>
    <n v="2724.807580674802"/>
  </r>
  <r>
    <s v="Sistema de Compensação"/>
    <x v="2"/>
    <x v="5"/>
    <x v="7"/>
    <x v="5"/>
    <x v="0"/>
    <x v="0"/>
    <x v="1"/>
    <x v="5"/>
    <n v="0"/>
    <n v="0"/>
    <n v="-7.0000000000000007E-2"/>
    <n v="-7.0000000000000007E-2"/>
    <n v="-7.0000000000000007E-2"/>
    <n v="-7.0000000000000007E-2"/>
    <n v="0"/>
    <x v="1"/>
    <n v="0"/>
    <n v="0"/>
    <n v="6"/>
    <n v="74"/>
    <n v="0"/>
    <n v="179.74"/>
    <n v="153.43"/>
    <m/>
    <n v="186.7243963987595"/>
    <n v="141.07940254089272"/>
    <n v="0"/>
    <n v="-12.581800000000001"/>
    <n v="-10.740100000000002"/>
    <n v="0"/>
    <n v="-13.070707747913167"/>
    <n v="-9.8755581778624908"/>
  </r>
  <r>
    <s v="Regular"/>
    <x v="2"/>
    <x v="5"/>
    <x v="7"/>
    <x v="5"/>
    <x v="0"/>
    <x v="0"/>
    <x v="1"/>
    <x v="6"/>
    <n v="0"/>
    <n v="0"/>
    <n v="21989.413"/>
    <n v="21989.413"/>
    <n v="21989.413"/>
    <n v="21989.413"/>
    <n v="205753"/>
    <x v="1"/>
    <n v="0"/>
    <n v="0"/>
    <n v="6"/>
    <n v="74"/>
    <n v="0"/>
    <n v="179.74"/>
    <n v="153.43"/>
    <m/>
    <n v="186.7243963987595"/>
    <n v="141.07940254089272"/>
    <n v="0"/>
    <n v="3952377.0926200002"/>
    <n v="3373835.6365900002"/>
    <n v="0"/>
    <n v="4105959.8695880352"/>
    <n v="3102253.2482649395"/>
  </r>
  <r>
    <s v="Refaturamento - Regular"/>
    <x v="2"/>
    <x v="5"/>
    <x v="7"/>
    <x v="5"/>
    <x v="0"/>
    <x v="0"/>
    <x v="1"/>
    <x v="6"/>
    <n v="0"/>
    <n v="0"/>
    <n v="-5.3319999999999999"/>
    <n v="-5.3319999999999999"/>
    <n v="-5.3319999999999999"/>
    <n v="-5.3319999999999999"/>
    <n v="-10"/>
    <x v="1"/>
    <n v="0"/>
    <n v="0"/>
    <n v="6"/>
    <n v="74"/>
    <n v="0"/>
    <n v="179.74"/>
    <n v="153.43"/>
    <m/>
    <n v="186.7243963987595"/>
    <n v="141.07940254089272"/>
    <n v="0"/>
    <n v="-958.37368000000004"/>
    <n v="-818.08875999999998"/>
    <n v="0"/>
    <n v="-995.61448159818565"/>
    <n v="-752.23537434803995"/>
  </r>
  <r>
    <s v="Sistema de Compensação"/>
    <x v="2"/>
    <x v="5"/>
    <x v="7"/>
    <x v="5"/>
    <x v="0"/>
    <x v="0"/>
    <x v="1"/>
    <x v="6"/>
    <n v="0"/>
    <n v="0"/>
    <n v="18.664999999999999"/>
    <n v="18.664999999999999"/>
    <n v="18.664999999999999"/>
    <n v="18.664999999999999"/>
    <n v="70"/>
    <x v="1"/>
    <n v="0"/>
    <n v="0"/>
    <n v="6"/>
    <n v="74"/>
    <n v="0"/>
    <n v="179.74"/>
    <n v="153.43"/>
    <m/>
    <n v="186.7243963987595"/>
    <n v="141.07940254089272"/>
    <n v="0"/>
    <n v="3354.8471"/>
    <n v="2863.7709500000001"/>
    <n v="0"/>
    <n v="3485.2108587828457"/>
    <n v="2633.2470484257624"/>
  </r>
  <r>
    <s v="Regular"/>
    <x v="2"/>
    <x v="5"/>
    <x v="7"/>
    <x v="5"/>
    <x v="0"/>
    <x v="0"/>
    <x v="1"/>
    <x v="7"/>
    <n v="0"/>
    <n v="0"/>
    <n v="24009.078000000001"/>
    <n v="24009.078000000001"/>
    <n v="24009.078000000001"/>
    <n v="24009.078000000001"/>
    <n v="175797"/>
    <x v="1"/>
    <n v="0"/>
    <n v="0"/>
    <n v="6"/>
    <n v="74"/>
    <n v="0"/>
    <n v="179.74"/>
    <n v="153.43"/>
    <m/>
    <n v="186.7243963987595"/>
    <n v="141.07940254089272"/>
    <n v="0"/>
    <n v="4315391.6797200004"/>
    <n v="3683712.8375400002"/>
    <n v="0"/>
    <n v="4483080.597640736"/>
    <n v="3387186.3797976915"/>
  </r>
  <r>
    <s v="Refaturamento - Regular"/>
    <x v="2"/>
    <x v="5"/>
    <x v="7"/>
    <x v="5"/>
    <x v="0"/>
    <x v="0"/>
    <x v="1"/>
    <x v="7"/>
    <n v="0"/>
    <n v="0"/>
    <n v="-2.8959999999999999"/>
    <n v="-2.8959999999999999"/>
    <n v="-2.8959999999999999"/>
    <n v="-2.8959999999999999"/>
    <n v="-7"/>
    <x v="1"/>
    <n v="0"/>
    <n v="0"/>
    <n v="6"/>
    <n v="74"/>
    <n v="0"/>
    <n v="179.74"/>
    <n v="153.43"/>
    <m/>
    <n v="186.7243963987595"/>
    <n v="141.07940254089272"/>
    <n v="0"/>
    <n v="-520.52704000000006"/>
    <n v="-444.33328"/>
    <n v="0"/>
    <n v="-540.75385197080743"/>
    <n v="-408.56594975842529"/>
  </r>
  <r>
    <s v="Sistema de Compensação"/>
    <x v="2"/>
    <x v="5"/>
    <x v="7"/>
    <x v="5"/>
    <x v="0"/>
    <x v="0"/>
    <x v="1"/>
    <x v="7"/>
    <n v="0"/>
    <n v="0"/>
    <n v="18.558"/>
    <n v="18.558"/>
    <n v="18.558"/>
    <n v="18.558"/>
    <n v="51"/>
    <x v="1"/>
    <n v="0"/>
    <n v="0"/>
    <n v="6"/>
    <n v="74"/>
    <n v="0"/>
    <n v="179.74"/>
    <n v="153.43"/>
    <m/>
    <n v="186.7243963987595"/>
    <n v="141.07940254089272"/>
    <n v="0"/>
    <n v="3335.61492"/>
    <n v="2847.35394"/>
    <n v="0"/>
    <n v="3465.2313483681787"/>
    <n v="2618.1515523538869"/>
  </r>
  <r>
    <s v="Regular"/>
    <x v="2"/>
    <x v="5"/>
    <x v="7"/>
    <x v="5"/>
    <x v="0"/>
    <x v="0"/>
    <x v="1"/>
    <x v="8"/>
    <n v="0"/>
    <n v="0"/>
    <n v="23322.166000000001"/>
    <n v="23322.166000000001"/>
    <n v="23322.166000000001"/>
    <n v="23322.166000000001"/>
    <n v="198096"/>
    <x v="1"/>
    <n v="0"/>
    <n v="0"/>
    <n v="6"/>
    <n v="74"/>
    <n v="0"/>
    <n v="179.74"/>
    <n v="153.43"/>
    <m/>
    <n v="186.7243963987595"/>
    <n v="141.07940254089272"/>
    <n v="0"/>
    <n v="4191926.1168400003"/>
    <n v="3578319.9293800001"/>
    <n v="0"/>
    <n v="4354817.3690616712"/>
    <n v="3290277.2452395218"/>
  </r>
  <r>
    <s v="Refaturamento - Regular"/>
    <x v="2"/>
    <x v="5"/>
    <x v="7"/>
    <x v="5"/>
    <x v="0"/>
    <x v="0"/>
    <x v="1"/>
    <x v="8"/>
    <n v="0"/>
    <n v="0"/>
    <n v="-3.6139999999999999"/>
    <n v="-3.6139999999999999"/>
    <n v="-3.6139999999999999"/>
    <n v="-3.6139999999999999"/>
    <n v="-3"/>
    <x v="1"/>
    <n v="0"/>
    <n v="0"/>
    <n v="6"/>
    <n v="74"/>
    <n v="0"/>
    <n v="179.74"/>
    <n v="153.43"/>
    <m/>
    <n v="186.7243963987595"/>
    <n v="141.07940254089272"/>
    <n v="0"/>
    <n v="-649.58036000000004"/>
    <n v="-554.49602000000004"/>
    <n v="0"/>
    <n v="-674.82196858511679"/>
    <n v="-509.86096078278626"/>
  </r>
  <r>
    <s v="Sistema de Compensação"/>
    <x v="2"/>
    <x v="5"/>
    <x v="7"/>
    <x v="5"/>
    <x v="0"/>
    <x v="0"/>
    <x v="1"/>
    <x v="8"/>
    <n v="0"/>
    <n v="0"/>
    <n v="18.727"/>
    <n v="18.727"/>
    <n v="18.727"/>
    <n v="18.727"/>
    <n v="68"/>
    <x v="1"/>
    <n v="0"/>
    <n v="0"/>
    <n v="6"/>
    <n v="74"/>
    <n v="0"/>
    <n v="179.74"/>
    <n v="153.43"/>
    <m/>
    <n v="186.7243963987595"/>
    <n v="141.07940254089272"/>
    <n v="0"/>
    <n v="3365.99098"/>
    <n v="2873.28361"/>
    <n v="0"/>
    <n v="3496.787771359569"/>
    <n v="2641.9939713832978"/>
  </r>
  <r>
    <s v="Regular"/>
    <x v="2"/>
    <x v="5"/>
    <x v="7"/>
    <x v="5"/>
    <x v="0"/>
    <x v="0"/>
    <x v="1"/>
    <x v="9"/>
    <n v="0"/>
    <n v="0"/>
    <n v="23247.407999999999"/>
    <n v="23247.407999999999"/>
    <n v="23247.407999999999"/>
    <n v="23247.407999999999"/>
    <n v="192837"/>
    <x v="1"/>
    <n v="0"/>
    <n v="0"/>
    <n v="6"/>
    <n v="74"/>
    <n v="0"/>
    <n v="179.74"/>
    <n v="153.43"/>
    <m/>
    <n v="186.7243963987595"/>
    <n v="141.07940254089272"/>
    <n v="0"/>
    <n v="4178489.1139199999"/>
    <n v="3566849.80944"/>
    <n v="0"/>
    <n v="4340858.2266356926"/>
    <n v="3279730.4312643697"/>
  </r>
  <r>
    <s v="Refaturamento - Regular"/>
    <x v="2"/>
    <x v="5"/>
    <x v="7"/>
    <x v="5"/>
    <x v="0"/>
    <x v="0"/>
    <x v="1"/>
    <x v="9"/>
    <n v="0"/>
    <n v="0"/>
    <n v="-3.7120000000000002"/>
    <n v="-3.7120000000000002"/>
    <n v="-3.7120000000000002"/>
    <n v="-3.7120000000000002"/>
    <n v="-7"/>
    <x v="1"/>
    <n v="0"/>
    <n v="0"/>
    <n v="6"/>
    <n v="74"/>
    <n v="0"/>
    <n v="179.74"/>
    <n v="153.43"/>
    <m/>
    <n v="186.7243963987595"/>
    <n v="141.07940254089272"/>
    <n v="0"/>
    <n v="-667.19488000000001"/>
    <n v="-569.53216000000009"/>
    <n v="0"/>
    <n v="-693.12095943219526"/>
    <n v="-523.6867422317938"/>
  </r>
  <r>
    <s v="Sistema de Compensação"/>
    <x v="2"/>
    <x v="5"/>
    <x v="7"/>
    <x v="5"/>
    <x v="0"/>
    <x v="0"/>
    <x v="1"/>
    <x v="9"/>
    <n v="0"/>
    <n v="0"/>
    <n v="18.114999999999998"/>
    <n v="18.114999999999998"/>
    <n v="18.114999999999998"/>
    <n v="18.114999999999998"/>
    <n v="74"/>
    <x v="1"/>
    <n v="0"/>
    <n v="0"/>
    <n v="6"/>
    <n v="74"/>
    <n v="0"/>
    <n v="179.74"/>
    <n v="153.43"/>
    <m/>
    <n v="186.7243963987595"/>
    <n v="141.07940254089272"/>
    <n v="0"/>
    <n v="3255.9901"/>
    <n v="2779.38445"/>
    <n v="0"/>
    <n v="3382.512440763528"/>
    <n v="2555.6533770282713"/>
  </r>
  <r>
    <s v="Regular"/>
    <x v="2"/>
    <x v="5"/>
    <x v="7"/>
    <x v="5"/>
    <x v="0"/>
    <x v="0"/>
    <x v="1"/>
    <x v="10"/>
    <n v="0"/>
    <n v="0"/>
    <n v="21458.624"/>
    <n v="21458.624"/>
    <n v="21458.624"/>
    <n v="21458.624"/>
    <n v="231567"/>
    <x v="1"/>
    <n v="0"/>
    <n v="0"/>
    <n v="6"/>
    <n v="74"/>
    <n v="0"/>
    <n v="179.74"/>
    <n v="153.43"/>
    <m/>
    <n v="186.7243963987595"/>
    <n v="141.07940254089272"/>
    <n v="0"/>
    <n v="3856973.0777600002"/>
    <n v="3292396.6803200003"/>
    <n v="0"/>
    <n v="4006848.613947934"/>
    <n v="3027369.8532696613"/>
  </r>
  <r>
    <s v="Refaturamento - Regular"/>
    <x v="2"/>
    <x v="5"/>
    <x v="7"/>
    <x v="5"/>
    <x v="0"/>
    <x v="0"/>
    <x v="1"/>
    <x v="10"/>
    <n v="0"/>
    <n v="0"/>
    <n v="-3.2170000000000001"/>
    <n v="-3.2170000000000001"/>
    <n v="-3.2170000000000001"/>
    <n v="-3.2170000000000001"/>
    <n v="-8"/>
    <x v="1"/>
    <n v="0"/>
    <n v="0"/>
    <n v="6"/>
    <n v="74"/>
    <n v="0"/>
    <n v="179.74"/>
    <n v="153.43"/>
    <m/>
    <n v="186.7243963987595"/>
    <n v="141.07940254089272"/>
    <n v="0"/>
    <n v="-578.22358000000008"/>
    <n v="-493.58431000000002"/>
    <n v="0"/>
    <n v="-600.6923832148093"/>
    <n v="-453.8524379740519"/>
  </r>
  <r>
    <s v="Sistema de Compensação"/>
    <x v="2"/>
    <x v="5"/>
    <x v="7"/>
    <x v="5"/>
    <x v="0"/>
    <x v="0"/>
    <x v="1"/>
    <x v="10"/>
    <n v="0"/>
    <n v="0"/>
    <n v="19.669"/>
    <n v="19.669"/>
    <n v="19.669"/>
    <n v="19.669"/>
    <n v="97"/>
    <x v="1"/>
    <n v="0"/>
    <n v="0"/>
    <n v="6"/>
    <n v="74"/>
    <n v="0"/>
    <n v="179.74"/>
    <n v="153.43"/>
    <m/>
    <n v="186.7243963987595"/>
    <n v="141.07940254089272"/>
    <n v="0"/>
    <n v="3535.3060600000003"/>
    <n v="3017.8146700000002"/>
    <n v="0"/>
    <n v="3672.6821527672005"/>
    <n v="2774.890768576819"/>
  </r>
  <r>
    <s v="PROJETADO"/>
    <x v="2"/>
    <x v="5"/>
    <x v="7"/>
    <x v="5"/>
    <x v="0"/>
    <x v="0"/>
    <x v="1"/>
    <x v="11"/>
    <n v="0"/>
    <n v="0"/>
    <n v="21458.624"/>
    <n v="21458.624"/>
    <n v="21458.624"/>
    <n v="21458.624"/>
    <n v="231567"/>
    <x v="1"/>
    <n v="0"/>
    <n v="0"/>
    <n v="6"/>
    <n v="74"/>
    <n v="0"/>
    <n v="179.74"/>
    <n v="153.43"/>
    <m/>
    <n v="186.7243963987595"/>
    <n v="141.07940254089272"/>
    <n v="0"/>
    <n v="3856973.0777600002"/>
    <n v="3292396.6803200003"/>
    <n v="0"/>
    <n v="4006848.613947934"/>
    <n v="3027369.8532696613"/>
  </r>
  <r>
    <s v="PROJETADO"/>
    <x v="2"/>
    <x v="5"/>
    <x v="7"/>
    <x v="5"/>
    <x v="0"/>
    <x v="0"/>
    <x v="1"/>
    <x v="11"/>
    <n v="0"/>
    <n v="0"/>
    <n v="-3.2170000000000001"/>
    <n v="-3.2170000000000001"/>
    <n v="-3.2170000000000001"/>
    <n v="-3.2170000000000001"/>
    <n v="-8"/>
    <x v="1"/>
    <n v="0"/>
    <n v="0"/>
    <n v="6"/>
    <n v="74"/>
    <n v="0"/>
    <n v="179.74"/>
    <n v="153.43"/>
    <m/>
    <n v="186.7243963987595"/>
    <n v="141.07940254089272"/>
    <n v="0"/>
    <n v="-578.22358000000008"/>
    <n v="-493.58431000000002"/>
    <n v="0"/>
    <n v="-600.6923832148093"/>
    <n v="-453.8524379740519"/>
  </r>
  <r>
    <s v="PROJETADO"/>
    <x v="2"/>
    <x v="5"/>
    <x v="7"/>
    <x v="5"/>
    <x v="0"/>
    <x v="0"/>
    <x v="1"/>
    <x v="11"/>
    <n v="0"/>
    <n v="0"/>
    <n v="19.669"/>
    <n v="19.669"/>
    <n v="19.669"/>
    <n v="19.669"/>
    <n v="97"/>
    <x v="1"/>
    <n v="0"/>
    <n v="0"/>
    <n v="6"/>
    <n v="74"/>
    <n v="0"/>
    <n v="179.74"/>
    <n v="153.43"/>
    <m/>
    <n v="186.7243963987595"/>
    <n v="141.07940254089272"/>
    <n v="0"/>
    <n v="3535.3060600000003"/>
    <n v="3017.8146700000002"/>
    <n v="0"/>
    <n v="3672.6821527672005"/>
    <n v="2774.890768576819"/>
  </r>
  <r>
    <s v="Regular"/>
    <x v="2"/>
    <x v="5"/>
    <x v="7"/>
    <x v="6"/>
    <x v="0"/>
    <x v="0"/>
    <x v="1"/>
    <x v="0"/>
    <n v="0"/>
    <n v="0"/>
    <n v="10356.489"/>
    <n v="10356.489"/>
    <n v="10356.489"/>
    <n v="10356.489"/>
    <n v="163135"/>
    <x v="1"/>
    <n v="0"/>
    <n v="0"/>
    <n v="8"/>
    <n v="75"/>
    <n v="0"/>
    <n v="269.62"/>
    <n v="230.15"/>
    <m/>
    <n v="280.08659459813924"/>
    <n v="211.61910381133907"/>
    <n v="0"/>
    <n v="2792316.5641799998"/>
    <n v="2383545.9433499998"/>
    <n v="0"/>
    <n v="2900713.7360030883"/>
    <n v="2191630.9208119912"/>
  </r>
  <r>
    <s v="Refaturamento - Regular"/>
    <x v="2"/>
    <x v="5"/>
    <x v="7"/>
    <x v="6"/>
    <x v="0"/>
    <x v="0"/>
    <x v="1"/>
    <x v="0"/>
    <n v="0"/>
    <n v="0"/>
    <n v="-2.9860000000000002"/>
    <n v="-2.9860000000000002"/>
    <n v="-2.9860000000000002"/>
    <n v="-2.9860000000000002"/>
    <n v="-31"/>
    <x v="1"/>
    <n v="0"/>
    <n v="0"/>
    <n v="8"/>
    <n v="75"/>
    <n v="0"/>
    <n v="269.62"/>
    <n v="230.15"/>
    <m/>
    <n v="280.08659459813924"/>
    <n v="211.61910381133907"/>
    <n v="0"/>
    <n v="-805.08532000000002"/>
    <n v="-687.22790000000009"/>
    <n v="0"/>
    <n v="-836.3385714700438"/>
    <n v="-631.89464398065854"/>
  </r>
  <r>
    <s v="Sistema de Compensação"/>
    <x v="2"/>
    <x v="5"/>
    <x v="7"/>
    <x v="6"/>
    <x v="0"/>
    <x v="0"/>
    <x v="1"/>
    <x v="0"/>
    <n v="0"/>
    <n v="0"/>
    <n v="13.97"/>
    <n v="13.97"/>
    <n v="13.97"/>
    <n v="13.97"/>
    <n v="135"/>
    <x v="1"/>
    <n v="0"/>
    <n v="0"/>
    <n v="8"/>
    <n v="75"/>
    <n v="0"/>
    <n v="269.62"/>
    <n v="230.15"/>
    <m/>
    <n v="280.08659459813924"/>
    <n v="211.61910381133907"/>
    <n v="0"/>
    <n v="3766.5914000000002"/>
    <n v="3215.1955000000003"/>
    <n v="0"/>
    <n v="3912.8097265360052"/>
    <n v="2956.318880244407"/>
  </r>
  <r>
    <s v="Regular"/>
    <x v="2"/>
    <x v="5"/>
    <x v="7"/>
    <x v="6"/>
    <x v="0"/>
    <x v="0"/>
    <x v="1"/>
    <x v="1"/>
    <n v="0"/>
    <n v="0"/>
    <n v="10094.369000000001"/>
    <n v="10094.369000000001"/>
    <n v="10094.369000000001"/>
    <n v="10094.369000000001"/>
    <n v="159456"/>
    <x v="1"/>
    <n v="0"/>
    <n v="0"/>
    <n v="8"/>
    <n v="75"/>
    <n v="0"/>
    <n v="269.62"/>
    <n v="230.15"/>
    <m/>
    <n v="280.08659459813924"/>
    <n v="211.61910381133907"/>
    <n v="0"/>
    <n v="2721643.7697800002"/>
    <n v="2323219.0253500002"/>
    <n v="0"/>
    <n v="2827297.4378270246"/>
    <n v="2136161.3213209631"/>
  </r>
  <r>
    <s v="Refaturamento - Regular"/>
    <x v="2"/>
    <x v="5"/>
    <x v="7"/>
    <x v="6"/>
    <x v="0"/>
    <x v="0"/>
    <x v="1"/>
    <x v="1"/>
    <n v="0"/>
    <n v="0"/>
    <n v="-4.2089999999999996"/>
    <n v="-4.2089999999999996"/>
    <n v="-4.2089999999999996"/>
    <n v="-4.2089999999999996"/>
    <n v="-27"/>
    <x v="1"/>
    <n v="0"/>
    <n v="0"/>
    <n v="8"/>
    <n v="75"/>
    <n v="0"/>
    <n v="269.62"/>
    <n v="230.15"/>
    <m/>
    <n v="280.08659459813924"/>
    <n v="211.61910381133907"/>
    <n v="0"/>
    <n v="-1134.8305799999998"/>
    <n v="-968.70134999999993"/>
    <n v="0"/>
    <n v="-1178.884476663568"/>
    <n v="-890.70480794192611"/>
  </r>
  <r>
    <s v="Sistema de Compensação"/>
    <x v="2"/>
    <x v="5"/>
    <x v="7"/>
    <x v="6"/>
    <x v="0"/>
    <x v="0"/>
    <x v="1"/>
    <x v="1"/>
    <n v="0"/>
    <n v="0"/>
    <n v="14.861000000000001"/>
    <n v="14.861000000000001"/>
    <n v="14.861000000000001"/>
    <n v="14.861000000000001"/>
    <n v="140"/>
    <x v="1"/>
    <n v="0"/>
    <n v="0"/>
    <n v="8"/>
    <n v="75"/>
    <n v="0"/>
    <n v="269.62"/>
    <n v="230.15"/>
    <m/>
    <n v="280.08659459813924"/>
    <n v="211.61910381133907"/>
    <n v="0"/>
    <n v="4006.8228200000003"/>
    <n v="3420.2591500000003"/>
    <n v="0"/>
    <n v="4162.3668823229473"/>
    <n v="3144.8715017403101"/>
  </r>
  <r>
    <s v="Regular"/>
    <x v="2"/>
    <x v="5"/>
    <x v="7"/>
    <x v="6"/>
    <x v="0"/>
    <x v="0"/>
    <x v="1"/>
    <x v="2"/>
    <n v="0"/>
    <n v="0"/>
    <n v="11556.401"/>
    <n v="11556.401"/>
    <n v="11556.401"/>
    <n v="11556.401"/>
    <n v="171958"/>
    <x v="1"/>
    <n v="0"/>
    <n v="0"/>
    <n v="8"/>
    <n v="75"/>
    <n v="0"/>
    <n v="269.62"/>
    <n v="230.15"/>
    <m/>
    <n v="280.08659459813924"/>
    <n v="211.61910381133907"/>
    <n v="0"/>
    <n v="3115836.8376199999"/>
    <n v="2659705.6901500002"/>
    <n v="0"/>
    <n v="3236793.0019005309"/>
    <n v="2445555.2229044628"/>
  </r>
  <r>
    <s v="Refaturamento - Regular"/>
    <x v="2"/>
    <x v="5"/>
    <x v="7"/>
    <x v="6"/>
    <x v="0"/>
    <x v="0"/>
    <x v="1"/>
    <x v="2"/>
    <n v="0"/>
    <n v="0"/>
    <n v="-4.7309999999999999"/>
    <n v="-4.7309999999999999"/>
    <n v="-4.7309999999999999"/>
    <n v="-4.7309999999999999"/>
    <n v="-43"/>
    <x v="1"/>
    <n v="0"/>
    <n v="0"/>
    <n v="8"/>
    <n v="75"/>
    <n v="0"/>
    <n v="269.62"/>
    <n v="230.15"/>
    <m/>
    <n v="280.08659459813924"/>
    <n v="211.61910381133907"/>
    <n v="0"/>
    <n v="-1275.57222"/>
    <n v="-1088.8396499999999"/>
    <n v="0"/>
    <n v="-1325.0896790437967"/>
    <n v="-1001.1699801314451"/>
  </r>
  <r>
    <s v="Sistema de Compensação"/>
    <x v="2"/>
    <x v="5"/>
    <x v="7"/>
    <x v="6"/>
    <x v="0"/>
    <x v="0"/>
    <x v="1"/>
    <x v="2"/>
    <n v="0"/>
    <n v="0"/>
    <n v="17.568000000000001"/>
    <n v="17.568000000000001"/>
    <n v="17.568000000000001"/>
    <n v="17.568000000000001"/>
    <n v="145"/>
    <x v="1"/>
    <n v="0"/>
    <n v="0"/>
    <n v="8"/>
    <n v="75"/>
    <n v="0"/>
    <n v="269.62"/>
    <n v="230.15"/>
    <m/>
    <n v="280.08659459813924"/>
    <n v="211.61910381133907"/>
    <n v="0"/>
    <n v="4736.6841600000007"/>
    <n v="4043.2752000000005"/>
    <n v="0"/>
    <n v="4920.5612939001103"/>
    <n v="3717.7244157576051"/>
  </r>
  <r>
    <s v="Regular"/>
    <x v="2"/>
    <x v="5"/>
    <x v="7"/>
    <x v="6"/>
    <x v="0"/>
    <x v="0"/>
    <x v="1"/>
    <x v="3"/>
    <n v="0"/>
    <n v="0"/>
    <n v="11665.414000000001"/>
    <n v="11665.414000000001"/>
    <n v="11665.414000000001"/>
    <n v="11665.414000000001"/>
    <n v="172032"/>
    <x v="1"/>
    <n v="0"/>
    <n v="0"/>
    <n v="8"/>
    <n v="75"/>
    <n v="0"/>
    <n v="269.62"/>
    <n v="230.15"/>
    <m/>
    <n v="280.08659459813924"/>
    <n v="211.61910381133907"/>
    <n v="0"/>
    <n v="3145228.9226800003"/>
    <n v="2684795.0321000004"/>
    <n v="0"/>
    <n v="3267326.0818374581"/>
    <n v="2468624.4562682481"/>
  </r>
  <r>
    <s v="Refaturamento - Regular"/>
    <x v="2"/>
    <x v="5"/>
    <x v="7"/>
    <x v="6"/>
    <x v="0"/>
    <x v="0"/>
    <x v="1"/>
    <x v="3"/>
    <n v="0"/>
    <n v="0"/>
    <n v="-4.0759999999999996"/>
    <n v="-4.0759999999999996"/>
    <n v="-4.0759999999999996"/>
    <n v="-4.0759999999999996"/>
    <n v="-26"/>
    <x v="1"/>
    <n v="0"/>
    <n v="0"/>
    <n v="8"/>
    <n v="75"/>
    <n v="0"/>
    <n v="269.62"/>
    <n v="230.15"/>
    <m/>
    <n v="280.08659459813924"/>
    <n v="211.61910381133907"/>
    <n v="0"/>
    <n v="-1098.9711199999999"/>
    <n v="-938.09139999999991"/>
    <n v="0"/>
    <n v="-1141.6329595820155"/>
    <n v="-862.55946713501794"/>
  </r>
  <r>
    <s v="Sistema de Compensação"/>
    <x v="2"/>
    <x v="5"/>
    <x v="7"/>
    <x v="6"/>
    <x v="0"/>
    <x v="0"/>
    <x v="1"/>
    <x v="3"/>
    <n v="0"/>
    <n v="0"/>
    <n v="17.651"/>
    <n v="17.651"/>
    <n v="17.651"/>
    <n v="17.651"/>
    <n v="149"/>
    <x v="1"/>
    <n v="0"/>
    <n v="0"/>
    <n v="8"/>
    <n v="75"/>
    <n v="0"/>
    <n v="269.62"/>
    <n v="230.15"/>
    <m/>
    <n v="280.08659459813924"/>
    <n v="211.61910381133907"/>
    <n v="0"/>
    <n v="4759.0626199999997"/>
    <n v="4062.3776499999999"/>
    <n v="0"/>
    <n v="4943.8084812517554"/>
    <n v="3735.2888013739457"/>
  </r>
  <r>
    <s v="Regular"/>
    <x v="2"/>
    <x v="5"/>
    <x v="7"/>
    <x v="6"/>
    <x v="0"/>
    <x v="0"/>
    <x v="1"/>
    <x v="4"/>
    <n v="0"/>
    <n v="0"/>
    <n v="14346.074000000001"/>
    <n v="14346.074000000001"/>
    <n v="14346.074000000001"/>
    <n v="14346.074000000001"/>
    <n v="189972"/>
    <x v="1"/>
    <n v="0"/>
    <n v="0"/>
    <n v="8"/>
    <n v="75"/>
    <n v="0"/>
    <n v="269.62"/>
    <n v="230.15"/>
    <m/>
    <n v="280.08659459813924"/>
    <n v="211.61910381133907"/>
    <n v="0"/>
    <n v="3867988.4718800001"/>
    <n v="3301748.9311000002"/>
    <n v="0"/>
    <n v="4018143.012512906"/>
    <n v="3035903.3230911526"/>
  </r>
  <r>
    <s v="Refaturamento - Regular"/>
    <x v="2"/>
    <x v="5"/>
    <x v="7"/>
    <x v="6"/>
    <x v="0"/>
    <x v="0"/>
    <x v="1"/>
    <x v="4"/>
    <n v="0"/>
    <n v="0"/>
    <n v="-3.3580000000000001"/>
    <n v="-3.3580000000000001"/>
    <n v="-3.3580000000000001"/>
    <n v="-3.3580000000000001"/>
    <n v="-17"/>
    <x v="1"/>
    <n v="0"/>
    <n v="0"/>
    <n v="8"/>
    <n v="75"/>
    <n v="0"/>
    <n v="269.62"/>
    <n v="230.15"/>
    <m/>
    <n v="280.08659459813924"/>
    <n v="211.61910381133907"/>
    <n v="0"/>
    <n v="-905.38396"/>
    <n v="-772.84370000000001"/>
    <n v="0"/>
    <n v="-940.5307846605516"/>
    <n v="-710.61695059847659"/>
  </r>
  <r>
    <s v="Sistema de Compensação"/>
    <x v="2"/>
    <x v="5"/>
    <x v="7"/>
    <x v="6"/>
    <x v="0"/>
    <x v="0"/>
    <x v="1"/>
    <x v="4"/>
    <n v="0"/>
    <n v="0"/>
    <n v="24.507999999999999"/>
    <n v="24.507999999999999"/>
    <n v="24.507999999999999"/>
    <n v="24.507999999999999"/>
    <n v="132"/>
    <x v="1"/>
    <n v="0"/>
    <n v="0"/>
    <n v="8"/>
    <n v="75"/>
    <n v="0"/>
    <n v="269.62"/>
    <n v="230.15"/>
    <m/>
    <n v="280.08659459813924"/>
    <n v="211.61910381133907"/>
    <n v="0"/>
    <n v="6607.8469599999999"/>
    <n v="5640.5162"/>
    <n v="0"/>
    <n v="6864.3622604111961"/>
    <n v="5186.3609962082974"/>
  </r>
  <r>
    <s v="Regular"/>
    <x v="2"/>
    <x v="5"/>
    <x v="7"/>
    <x v="6"/>
    <x v="0"/>
    <x v="0"/>
    <x v="1"/>
    <x v="5"/>
    <n v="0"/>
    <n v="0"/>
    <n v="12718.638000000001"/>
    <n v="12718.638000000001"/>
    <n v="12718.638000000001"/>
    <n v="12718.638000000001"/>
    <n v="179781"/>
    <x v="1"/>
    <n v="0"/>
    <n v="0"/>
    <n v="8"/>
    <n v="75"/>
    <n v="0"/>
    <n v="269.62"/>
    <n v="230.15"/>
    <m/>
    <n v="280.08659459813924"/>
    <n v="211.61910381133907"/>
    <n v="0"/>
    <n v="3429199.1775600002"/>
    <n v="2927194.5357000004"/>
    <n v="0"/>
    <n v="3562320.0053464887"/>
    <n v="2691506.7752608419"/>
  </r>
  <r>
    <s v="Refaturamento - Regular"/>
    <x v="2"/>
    <x v="5"/>
    <x v="7"/>
    <x v="6"/>
    <x v="0"/>
    <x v="0"/>
    <x v="1"/>
    <x v="5"/>
    <n v="0"/>
    <n v="0"/>
    <n v="-3.8540000000000001"/>
    <n v="-3.8540000000000001"/>
    <n v="-3.8540000000000001"/>
    <n v="-3.8540000000000001"/>
    <n v="-25"/>
    <x v="1"/>
    <n v="0"/>
    <n v="0"/>
    <n v="8"/>
    <n v="75"/>
    <n v="0"/>
    <n v="269.62"/>
    <n v="230.15"/>
    <m/>
    <n v="280.08659459813924"/>
    <n v="211.61910381133907"/>
    <n v="0"/>
    <n v="-1039.1154799999999"/>
    <n v="-886.99810000000002"/>
    <n v="0"/>
    <n v="-1079.4537355812286"/>
    <n v="-815.58002608890081"/>
  </r>
  <r>
    <s v="Sistema de Compensação"/>
    <x v="2"/>
    <x v="5"/>
    <x v="7"/>
    <x v="6"/>
    <x v="0"/>
    <x v="0"/>
    <x v="1"/>
    <x v="5"/>
    <n v="0"/>
    <n v="0"/>
    <n v="22.459"/>
    <n v="22.459"/>
    <n v="22.459"/>
    <n v="22.459"/>
    <n v="177"/>
    <x v="1"/>
    <n v="0"/>
    <n v="0"/>
    <n v="8"/>
    <n v="75"/>
    <n v="0"/>
    <n v="269.62"/>
    <n v="230.15"/>
    <m/>
    <n v="280.08659459813924"/>
    <n v="211.61910381133907"/>
    <n v="0"/>
    <n v="6055.3955800000003"/>
    <n v="5168.9388500000005"/>
    <n v="0"/>
    <n v="6290.4648280796091"/>
    <n v="4752.7534524988641"/>
  </r>
  <r>
    <s v="Sistema de Compensação"/>
    <x v="2"/>
    <x v="5"/>
    <x v="7"/>
    <x v="6"/>
    <x v="0"/>
    <x v="0"/>
    <x v="1"/>
    <x v="5"/>
    <n v="0"/>
    <n v="0"/>
    <n v="-0.12"/>
    <n v="-0.12"/>
    <n v="-0.12"/>
    <n v="-0.12"/>
    <n v="0"/>
    <x v="1"/>
    <n v="0"/>
    <n v="0"/>
    <n v="8"/>
    <n v="75"/>
    <n v="0"/>
    <n v="269.62"/>
    <n v="230.15"/>
    <m/>
    <n v="280.08659459813924"/>
    <n v="211.61910381133907"/>
    <n v="0"/>
    <n v="-32.354399999999998"/>
    <n v="-27.617999999999999"/>
    <n v="0"/>
    <n v="-33.610391351776705"/>
    <n v="-25.394292457360688"/>
  </r>
  <r>
    <s v="Regular"/>
    <x v="2"/>
    <x v="5"/>
    <x v="7"/>
    <x v="6"/>
    <x v="0"/>
    <x v="0"/>
    <x v="1"/>
    <x v="6"/>
    <n v="0"/>
    <n v="0"/>
    <n v="11096.271000000001"/>
    <n v="11096.271000000001"/>
    <n v="11096.271000000001"/>
    <n v="11096.271000000001"/>
    <n v="170419"/>
    <x v="1"/>
    <n v="0"/>
    <n v="0"/>
    <n v="8"/>
    <n v="75"/>
    <n v="0"/>
    <n v="269.62"/>
    <n v="230.15"/>
    <m/>
    <n v="280.08659459813924"/>
    <n v="211.61910381133907"/>
    <n v="0"/>
    <n v="2991776.5870200004"/>
    <n v="2553806.7706500003"/>
    <n v="0"/>
    <n v="3107916.7571280892"/>
    <n v="2348182.9246677514"/>
  </r>
  <r>
    <s v="Refaturamento - Regular"/>
    <x v="2"/>
    <x v="5"/>
    <x v="7"/>
    <x v="6"/>
    <x v="0"/>
    <x v="0"/>
    <x v="1"/>
    <x v="6"/>
    <n v="0"/>
    <n v="0"/>
    <n v="-5.6360000000000001"/>
    <n v="-5.6360000000000001"/>
    <n v="-5.6360000000000001"/>
    <n v="-5.6360000000000001"/>
    <n v="-38"/>
    <x v="1"/>
    <n v="0"/>
    <n v="0"/>
    <n v="8"/>
    <n v="75"/>
    <n v="0"/>
    <n v="269.62"/>
    <n v="230.15"/>
    <m/>
    <n v="280.08659459813924"/>
    <n v="211.61910381133907"/>
    <n v="0"/>
    <n v="-1519.5783200000001"/>
    <n v="-1297.1254000000001"/>
    <n v="0"/>
    <n v="-1578.5680471551127"/>
    <n v="-1192.685269080707"/>
  </r>
  <r>
    <s v="Sistema de Compensação"/>
    <x v="2"/>
    <x v="5"/>
    <x v="7"/>
    <x v="6"/>
    <x v="0"/>
    <x v="0"/>
    <x v="1"/>
    <x v="6"/>
    <n v="0"/>
    <n v="0"/>
    <n v="22.652000000000001"/>
    <n v="22.652000000000001"/>
    <n v="22.652000000000001"/>
    <n v="22.652000000000001"/>
    <n v="212"/>
    <x v="1"/>
    <n v="0"/>
    <n v="0"/>
    <n v="8"/>
    <n v="75"/>
    <n v="0"/>
    <n v="269.62"/>
    <n v="230.15"/>
    <m/>
    <n v="280.08659459813924"/>
    <n v="211.61910381133907"/>
    <n v="0"/>
    <n v="6107.4322400000001"/>
    <n v="5213.3578000000007"/>
    <n v="0"/>
    <n v="6344.5215408370505"/>
    <n v="4793.5959395344526"/>
  </r>
  <r>
    <s v="Regular"/>
    <x v="2"/>
    <x v="5"/>
    <x v="7"/>
    <x v="6"/>
    <x v="0"/>
    <x v="0"/>
    <x v="1"/>
    <x v="7"/>
    <n v="0"/>
    <n v="0"/>
    <n v="14632.08"/>
    <n v="14632.08"/>
    <n v="14632.08"/>
    <n v="14632.08"/>
    <n v="195747"/>
    <x v="1"/>
    <n v="0"/>
    <n v="0"/>
    <n v="8"/>
    <n v="75"/>
    <n v="0"/>
    <n v="269.62"/>
    <n v="230.15"/>
    <m/>
    <n v="280.08659459813924"/>
    <n v="211.61910381133907"/>
    <n v="0"/>
    <n v="3945101.4095999999"/>
    <n v="3367573.2120000003"/>
    <n v="0"/>
    <n v="4098249.4590875413"/>
    <n v="3096427.6564958184"/>
  </r>
  <r>
    <s v="Refaturamento - Regular"/>
    <x v="2"/>
    <x v="5"/>
    <x v="7"/>
    <x v="6"/>
    <x v="0"/>
    <x v="0"/>
    <x v="1"/>
    <x v="7"/>
    <n v="0"/>
    <n v="0"/>
    <n v="-3.121"/>
    <n v="-3.121"/>
    <n v="-3.121"/>
    <n v="-3.121"/>
    <n v="-20"/>
    <x v="1"/>
    <n v="0"/>
    <n v="0"/>
    <n v="8"/>
    <n v="75"/>
    <n v="0"/>
    <n v="269.62"/>
    <n v="230.15"/>
    <m/>
    <n v="280.08659459813924"/>
    <n v="211.61910381133907"/>
    <n v="0"/>
    <n v="-841.48401999999999"/>
    <n v="-718.29814999999996"/>
    <n v="0"/>
    <n v="-874.15026174079253"/>
    <n v="-660.4632229951892"/>
  </r>
  <r>
    <s v="Sistema de Compensação"/>
    <x v="2"/>
    <x v="5"/>
    <x v="7"/>
    <x v="6"/>
    <x v="0"/>
    <x v="0"/>
    <x v="1"/>
    <x v="7"/>
    <n v="0"/>
    <n v="0"/>
    <n v="22.757999999999999"/>
    <n v="22.757999999999999"/>
    <n v="22.757999999999999"/>
    <n v="22.757999999999999"/>
    <n v="203"/>
    <x v="1"/>
    <n v="0"/>
    <n v="0"/>
    <n v="8"/>
    <n v="75"/>
    <n v="0"/>
    <n v="269.62"/>
    <n v="230.15"/>
    <m/>
    <n v="280.08659459813924"/>
    <n v="211.61910381133907"/>
    <n v="0"/>
    <n v="6136.0119599999998"/>
    <n v="5237.7537000000002"/>
    <n v="0"/>
    <n v="6374.2107198644526"/>
    <n v="4816.0275645384545"/>
  </r>
  <r>
    <s v="Regular"/>
    <x v="2"/>
    <x v="5"/>
    <x v="7"/>
    <x v="6"/>
    <x v="0"/>
    <x v="0"/>
    <x v="1"/>
    <x v="8"/>
    <n v="0"/>
    <n v="0"/>
    <n v="12747.907999999999"/>
    <n v="12747.907999999999"/>
    <n v="12747.907999999999"/>
    <n v="12747.907999999999"/>
    <n v="185685"/>
    <x v="1"/>
    <n v="0"/>
    <n v="0"/>
    <n v="8"/>
    <n v="75"/>
    <n v="0"/>
    <n v="269.62"/>
    <n v="230.15"/>
    <m/>
    <n v="280.08659459813924"/>
    <n v="211.61910381133907"/>
    <n v="0"/>
    <n v="3437090.9549599998"/>
    <n v="2933931.0261999997"/>
    <n v="0"/>
    <n v="3570518.1399703757"/>
    <n v="2697700.8664293997"/>
  </r>
  <r>
    <s v="Refaturamento - Regular"/>
    <x v="2"/>
    <x v="5"/>
    <x v="7"/>
    <x v="6"/>
    <x v="0"/>
    <x v="0"/>
    <x v="1"/>
    <x v="8"/>
    <n v="0"/>
    <n v="0"/>
    <n v="-3.931"/>
    <n v="-3.931"/>
    <n v="-3.931"/>
    <n v="-3.931"/>
    <n v="-32"/>
    <x v="1"/>
    <n v="0"/>
    <n v="0"/>
    <n v="8"/>
    <n v="75"/>
    <n v="0"/>
    <n v="269.62"/>
    <n v="230.15"/>
    <m/>
    <n v="280.08659459813924"/>
    <n v="211.61910381133907"/>
    <n v="0"/>
    <n v="-1059.8762200000001"/>
    <n v="-904.71965"/>
    <n v="0"/>
    <n v="-1101.0204033652853"/>
    <n v="-831.87469708237393"/>
  </r>
  <r>
    <s v="Sistema de Compensação"/>
    <x v="2"/>
    <x v="5"/>
    <x v="7"/>
    <x v="6"/>
    <x v="0"/>
    <x v="0"/>
    <x v="1"/>
    <x v="8"/>
    <n v="0"/>
    <n v="0"/>
    <n v="22.352"/>
    <n v="22.352"/>
    <n v="22.352"/>
    <n v="22.352"/>
    <n v="237"/>
    <x v="1"/>
    <n v="0"/>
    <n v="0"/>
    <n v="8"/>
    <n v="75"/>
    <n v="0"/>
    <n v="269.62"/>
    <n v="230.15"/>
    <m/>
    <n v="280.08659459813924"/>
    <n v="211.61910381133907"/>
    <n v="0"/>
    <n v="6026.5462400000006"/>
    <n v="5144.3128000000006"/>
    <n v="0"/>
    <n v="6260.4955624576087"/>
    <n v="4730.1102083910509"/>
  </r>
  <r>
    <s v="Regular"/>
    <x v="2"/>
    <x v="5"/>
    <x v="7"/>
    <x v="6"/>
    <x v="0"/>
    <x v="0"/>
    <x v="1"/>
    <x v="9"/>
    <n v="0"/>
    <n v="0"/>
    <n v="12753.152"/>
    <n v="12753.152"/>
    <n v="12753.152"/>
    <n v="12753.152"/>
    <n v="183851"/>
    <x v="1"/>
    <n v="0"/>
    <n v="0"/>
    <n v="8"/>
    <n v="75"/>
    <n v="0"/>
    <n v="269.62"/>
    <n v="230.15"/>
    <m/>
    <n v="280.08659459813924"/>
    <n v="211.61910381133907"/>
    <n v="0"/>
    <n v="3438504.8422400001"/>
    <n v="2935137.9328000001"/>
    <n v="0"/>
    <n v="3571986.9140724489"/>
    <n v="2698810.5970097864"/>
  </r>
  <r>
    <s v="Refaturamento - Regular"/>
    <x v="2"/>
    <x v="5"/>
    <x v="7"/>
    <x v="6"/>
    <x v="0"/>
    <x v="0"/>
    <x v="1"/>
    <x v="9"/>
    <n v="0"/>
    <n v="0"/>
    <n v="-4.3570000000000002"/>
    <n v="-4.3570000000000002"/>
    <n v="-4.3570000000000002"/>
    <n v="-4.3570000000000002"/>
    <n v="-22"/>
    <x v="1"/>
    <n v="0"/>
    <n v="0"/>
    <n v="8"/>
    <n v="75"/>
    <n v="0"/>
    <n v="269.62"/>
    <n v="230.15"/>
    <m/>
    <n v="280.08659459813924"/>
    <n v="211.61910381133907"/>
    <n v="0"/>
    <n v="-1174.73434"/>
    <n v="-1002.7635500000001"/>
    <n v="0"/>
    <n v="-1220.3372926640927"/>
    <n v="-922.02443530600442"/>
  </r>
  <r>
    <s v="Sistema de Compensação"/>
    <x v="2"/>
    <x v="5"/>
    <x v="7"/>
    <x v="6"/>
    <x v="0"/>
    <x v="0"/>
    <x v="1"/>
    <x v="9"/>
    <n v="0"/>
    <n v="0"/>
    <n v="21.106999999999999"/>
    <n v="21.106999999999999"/>
    <n v="21.106999999999999"/>
    <n v="21.106999999999999"/>
    <n v="214"/>
    <x v="1"/>
    <n v="0"/>
    <n v="0"/>
    <n v="8"/>
    <n v="75"/>
    <n v="0"/>
    <n v="269.62"/>
    <n v="230.15"/>
    <m/>
    <n v="280.08659459813924"/>
    <n v="211.61910381133907"/>
    <n v="0"/>
    <n v="5690.8693400000002"/>
    <n v="4857.7760500000004"/>
    <n v="0"/>
    <n v="5911.787752182925"/>
    <n v="4466.644424145934"/>
  </r>
  <r>
    <s v="Regular"/>
    <x v="2"/>
    <x v="5"/>
    <x v="7"/>
    <x v="6"/>
    <x v="0"/>
    <x v="0"/>
    <x v="1"/>
    <x v="10"/>
    <n v="0"/>
    <n v="0"/>
    <n v="9310.4619999999995"/>
    <n v="9310.4619999999995"/>
    <n v="9310.4619999999995"/>
    <n v="9310.4619999999995"/>
    <n v="158404"/>
    <x v="1"/>
    <n v="0"/>
    <n v="0"/>
    <n v="8"/>
    <n v="75"/>
    <n v="0"/>
    <n v="269.62"/>
    <n v="230.15"/>
    <m/>
    <n v="280.08659459813924"/>
    <n v="211.61910381133907"/>
    <n v="0"/>
    <n v="2510286.7644400001"/>
    <n v="2142802.8292999999"/>
    <n v="0"/>
    <n v="2607735.5957153807"/>
    <n v="1970271.6245095276"/>
  </r>
  <r>
    <s v="Refaturamento - Regular"/>
    <x v="2"/>
    <x v="5"/>
    <x v="7"/>
    <x v="6"/>
    <x v="0"/>
    <x v="0"/>
    <x v="1"/>
    <x v="10"/>
    <n v="0"/>
    <n v="0"/>
    <n v="-3.7389999999999999"/>
    <n v="-3.7389999999999999"/>
    <n v="-3.7389999999999999"/>
    <n v="-3.7389999999999999"/>
    <n v="-15"/>
    <x v="1"/>
    <n v="0"/>
    <n v="0"/>
    <n v="8"/>
    <n v="75"/>
    <n v="0"/>
    <n v="269.62"/>
    <n v="230.15"/>
    <m/>
    <n v="280.08659459813924"/>
    <n v="211.61910381133907"/>
    <n v="0"/>
    <n v="-1008.10918"/>
    <n v="-860.53084999999999"/>
    <n v="0"/>
    <n v="-1047.2437772024425"/>
    <n v="-791.24382915059675"/>
  </r>
  <r>
    <s v="Sistema de Compensação"/>
    <x v="2"/>
    <x v="5"/>
    <x v="7"/>
    <x v="6"/>
    <x v="0"/>
    <x v="0"/>
    <x v="1"/>
    <x v="10"/>
    <n v="0"/>
    <n v="0"/>
    <n v="23.605"/>
    <n v="23.605"/>
    <n v="23.605"/>
    <n v="23.605"/>
    <n v="338"/>
    <x v="1"/>
    <n v="0"/>
    <n v="0"/>
    <n v="8"/>
    <n v="75"/>
    <n v="0"/>
    <n v="269.62"/>
    <n v="230.15"/>
    <m/>
    <n v="280.08659459813924"/>
    <n v="211.61910381133907"/>
    <n v="0"/>
    <n v="6364.3801000000003"/>
    <n v="5432.6907500000007"/>
    <n v="0"/>
    <n v="6611.4440654890768"/>
    <n v="4995.2689454666588"/>
  </r>
  <r>
    <s v="PROJETADO"/>
    <x v="2"/>
    <x v="5"/>
    <x v="7"/>
    <x v="6"/>
    <x v="0"/>
    <x v="0"/>
    <x v="1"/>
    <x v="11"/>
    <n v="0"/>
    <n v="0"/>
    <n v="9310.4619999999995"/>
    <n v="9310.4619999999995"/>
    <n v="9310.4619999999995"/>
    <n v="9310.4619999999995"/>
    <n v="158404"/>
    <x v="1"/>
    <n v="0"/>
    <n v="0"/>
    <n v="8"/>
    <n v="75"/>
    <n v="0"/>
    <n v="269.62"/>
    <n v="230.15"/>
    <m/>
    <n v="280.08659459813924"/>
    <n v="211.61910381133907"/>
    <n v="0"/>
    <n v="2510286.7644400001"/>
    <n v="2142802.8292999999"/>
    <n v="0"/>
    <n v="2607735.5957153807"/>
    <n v="1970271.6245095276"/>
  </r>
  <r>
    <s v="PROJETADO"/>
    <x v="2"/>
    <x v="5"/>
    <x v="7"/>
    <x v="6"/>
    <x v="0"/>
    <x v="0"/>
    <x v="1"/>
    <x v="11"/>
    <n v="0"/>
    <n v="0"/>
    <n v="-3.7389999999999999"/>
    <n v="-3.7389999999999999"/>
    <n v="-3.7389999999999999"/>
    <n v="-3.7389999999999999"/>
    <n v="-15"/>
    <x v="1"/>
    <n v="0"/>
    <n v="0"/>
    <n v="8"/>
    <n v="75"/>
    <n v="0"/>
    <n v="269.62"/>
    <n v="230.15"/>
    <m/>
    <n v="280.08659459813924"/>
    <n v="211.61910381133907"/>
    <n v="0"/>
    <n v="-1008.10918"/>
    <n v="-860.53084999999999"/>
    <n v="0"/>
    <n v="-1047.2437772024425"/>
    <n v="-791.24382915059675"/>
  </r>
  <r>
    <s v="PROJETADO"/>
    <x v="2"/>
    <x v="5"/>
    <x v="7"/>
    <x v="6"/>
    <x v="0"/>
    <x v="0"/>
    <x v="1"/>
    <x v="11"/>
    <n v="0"/>
    <n v="0"/>
    <n v="23.605"/>
    <n v="23.605"/>
    <n v="23.605"/>
    <n v="23.605"/>
    <n v="338"/>
    <x v="1"/>
    <n v="0"/>
    <n v="0"/>
    <n v="8"/>
    <n v="75"/>
    <n v="0"/>
    <n v="269.62"/>
    <n v="230.15"/>
    <m/>
    <n v="280.08659459813924"/>
    <n v="211.61910381133907"/>
    <n v="0"/>
    <n v="6364.3801000000003"/>
    <n v="5432.6907500000007"/>
    <n v="0"/>
    <n v="6611.4440654890768"/>
    <n v="4995.2689454666588"/>
  </r>
  <r>
    <s v="Regular"/>
    <x v="2"/>
    <x v="5"/>
    <x v="7"/>
    <x v="7"/>
    <x v="0"/>
    <x v="0"/>
    <x v="1"/>
    <x v="0"/>
    <n v="0"/>
    <n v="0"/>
    <n v="2540.3440000000001"/>
    <n v="2540.3440000000001"/>
    <n v="2540.3440000000001"/>
    <n v="2540.3440000000001"/>
    <n v="28194"/>
    <x v="1"/>
    <n v="0"/>
    <n v="0"/>
    <n v="10"/>
    <n v="76"/>
    <n v="0"/>
    <n v="299.57"/>
    <n v="255.72"/>
    <m/>
    <n v="311.20732733126584"/>
    <n v="235.13233756815453"/>
    <n v="0"/>
    <n v="761010.85207999998"/>
    <n v="649616.76768000005"/>
    <n v="0"/>
    <n v="790573.66674201726"/>
    <n v="597317.02294723596"/>
  </r>
  <r>
    <s v="Refaturamento - Regular"/>
    <x v="2"/>
    <x v="5"/>
    <x v="7"/>
    <x v="7"/>
    <x v="0"/>
    <x v="0"/>
    <x v="1"/>
    <x v="0"/>
    <n v="0"/>
    <n v="0"/>
    <n v="-13.037000000000001"/>
    <n v="-13.037000000000001"/>
    <n v="-13.037000000000001"/>
    <n v="-13.037000000000001"/>
    <n v="-12"/>
    <x v="1"/>
    <n v="0"/>
    <n v="0"/>
    <n v="10"/>
    <n v="76"/>
    <n v="0"/>
    <n v="299.57"/>
    <n v="255.72"/>
    <m/>
    <n v="311.20732733126584"/>
    <n v="235.13233756815453"/>
    <n v="0"/>
    <n v="-3905.4940900000001"/>
    <n v="-3333.8216400000001"/>
    <n v="0"/>
    <n v="-4057.2099264177132"/>
    <n v="-3065.4202848760306"/>
  </r>
  <r>
    <s v="Sistema de Compensação"/>
    <x v="2"/>
    <x v="5"/>
    <x v="7"/>
    <x v="7"/>
    <x v="0"/>
    <x v="0"/>
    <x v="1"/>
    <x v="0"/>
    <n v="0"/>
    <n v="0"/>
    <n v="44.537999999999997"/>
    <n v="44.537999999999997"/>
    <n v="44.537999999999997"/>
    <n v="44.537999999999997"/>
    <n v="304"/>
    <x v="1"/>
    <n v="0"/>
    <n v="0"/>
    <n v="10"/>
    <n v="76"/>
    <n v="0"/>
    <n v="299.57"/>
    <n v="255.72"/>
    <m/>
    <n v="311.20732733126584"/>
    <n v="235.13233756815453"/>
    <n v="0"/>
    <n v="13342.248659999999"/>
    <n v="11389.25736"/>
    <n v="0"/>
    <n v="13860.551944679917"/>
    <n v="10472.324050610465"/>
  </r>
  <r>
    <s v="Regular"/>
    <x v="2"/>
    <x v="5"/>
    <x v="7"/>
    <x v="7"/>
    <x v="0"/>
    <x v="0"/>
    <x v="1"/>
    <x v="1"/>
    <n v="0"/>
    <n v="0"/>
    <n v="2572.3429999999998"/>
    <n v="2572.3429999999998"/>
    <n v="2572.3429999999998"/>
    <n v="2572.3429999999998"/>
    <n v="27882"/>
    <x v="1"/>
    <n v="0"/>
    <n v="0"/>
    <n v="10"/>
    <n v="76"/>
    <n v="0"/>
    <n v="299.57"/>
    <n v="255.72"/>
    <m/>
    <n v="311.20732733126584"/>
    <n v="235.13233756815453"/>
    <n v="0"/>
    <n v="770596.79250999994"/>
    <n v="657799.55195999995"/>
    <n v="0"/>
    <n v="800531.99000929028"/>
    <n v="604841.02261707932"/>
  </r>
  <r>
    <s v="Refaturamento - Regular"/>
    <x v="2"/>
    <x v="5"/>
    <x v="7"/>
    <x v="7"/>
    <x v="0"/>
    <x v="0"/>
    <x v="1"/>
    <x v="1"/>
    <n v="0"/>
    <n v="0"/>
    <n v="-14.095000000000001"/>
    <n v="-14.095000000000001"/>
    <n v="-14.095000000000001"/>
    <n v="-14.095000000000001"/>
    <n v="-22"/>
    <x v="1"/>
    <n v="0"/>
    <n v="0"/>
    <n v="10"/>
    <n v="76"/>
    <n v="0"/>
    <n v="299.57"/>
    <n v="255.72"/>
    <m/>
    <n v="311.20732733126584"/>
    <n v="235.13233756815453"/>
    <n v="0"/>
    <n v="-4222.4391500000002"/>
    <n v="-3604.3733999999999"/>
    <n v="0"/>
    <n v="-4386.4672787341924"/>
    <n v="-3314.190298023138"/>
  </r>
  <r>
    <s v="Sistema de Compensação"/>
    <x v="2"/>
    <x v="5"/>
    <x v="7"/>
    <x v="7"/>
    <x v="0"/>
    <x v="0"/>
    <x v="1"/>
    <x v="1"/>
    <n v="0"/>
    <n v="0"/>
    <n v="48.887999999999998"/>
    <n v="48.887999999999998"/>
    <n v="48.887999999999998"/>
    <n v="48.887999999999998"/>
    <n v="335"/>
    <x v="1"/>
    <n v="0"/>
    <n v="0"/>
    <n v="10"/>
    <n v="76"/>
    <n v="0"/>
    <n v="299.57"/>
    <n v="255.72"/>
    <m/>
    <n v="311.20732733126584"/>
    <n v="235.13233756815453"/>
    <n v="0"/>
    <n v="14645.378159999998"/>
    <n v="12501.639359999999"/>
    <n v="0"/>
    <n v="15214.303818570925"/>
    <n v="11495.149719031939"/>
  </r>
  <r>
    <s v="Regular"/>
    <x v="2"/>
    <x v="5"/>
    <x v="7"/>
    <x v="7"/>
    <x v="0"/>
    <x v="0"/>
    <x v="1"/>
    <x v="2"/>
    <n v="0"/>
    <n v="0"/>
    <n v="3295.3270000000002"/>
    <n v="3295.3270000000002"/>
    <n v="3295.3270000000002"/>
    <n v="3295.3270000000002"/>
    <n v="34370"/>
    <x v="1"/>
    <n v="0"/>
    <n v="0"/>
    <n v="10"/>
    <n v="76"/>
    <n v="0"/>
    <n v="299.57"/>
    <n v="255.72"/>
    <m/>
    <n v="311.20732733126584"/>
    <n v="235.13233756815453"/>
    <n v="0"/>
    <n v="987181.10939"/>
    <n v="842681.02044000011"/>
    <n v="0"/>
    <n v="1025529.9083525584"/>
    <n v="774837.94056145404"/>
  </r>
  <r>
    <s v="Refaturamento - Regular"/>
    <x v="2"/>
    <x v="5"/>
    <x v="7"/>
    <x v="7"/>
    <x v="0"/>
    <x v="0"/>
    <x v="1"/>
    <x v="2"/>
    <n v="0"/>
    <n v="0"/>
    <n v="-18.164999999999999"/>
    <n v="-18.164999999999999"/>
    <n v="-18.164999999999999"/>
    <n v="-18.164999999999999"/>
    <n v="-20"/>
    <x v="1"/>
    <n v="0"/>
    <n v="0"/>
    <n v="10"/>
    <n v="76"/>
    <n v="0"/>
    <n v="299.57"/>
    <n v="255.72"/>
    <m/>
    <n v="311.20732733126584"/>
    <n v="235.13233756815453"/>
    <n v="0"/>
    <n v="-5441.68905"/>
    <n v="-4645.1538"/>
    <n v="0"/>
    <n v="-5653.0811009724439"/>
    <n v="-4271.1789119255263"/>
  </r>
  <r>
    <s v="Sistema de Compensação"/>
    <x v="2"/>
    <x v="5"/>
    <x v="7"/>
    <x v="7"/>
    <x v="0"/>
    <x v="0"/>
    <x v="1"/>
    <x v="2"/>
    <n v="0"/>
    <n v="0"/>
    <n v="65.254000000000005"/>
    <n v="65.254000000000005"/>
    <n v="65.254000000000005"/>
    <n v="65.254000000000005"/>
    <n v="400"/>
    <x v="1"/>
    <n v="0"/>
    <n v="0"/>
    <n v="10"/>
    <n v="76"/>
    <n v="0"/>
    <n v="299.57"/>
    <n v="255.72"/>
    <m/>
    <n v="311.20732733126584"/>
    <n v="235.13233756815453"/>
    <n v="0"/>
    <n v="19548.140780000002"/>
    <n v="16686.75288"/>
    <n v="0"/>
    <n v="20307.522937674425"/>
    <n v="15343.325555672356"/>
  </r>
  <r>
    <s v="Regular"/>
    <x v="2"/>
    <x v="5"/>
    <x v="7"/>
    <x v="7"/>
    <x v="0"/>
    <x v="0"/>
    <x v="1"/>
    <x v="3"/>
    <n v="0"/>
    <n v="0"/>
    <n v="3196.73"/>
    <n v="3196.73"/>
    <n v="3196.73"/>
    <n v="3196.73"/>
    <n v="34987"/>
    <x v="1"/>
    <n v="0"/>
    <n v="0"/>
    <n v="10"/>
    <n v="76"/>
    <n v="0"/>
    <n v="299.57"/>
    <n v="255.72"/>
    <m/>
    <n v="311.20732733126584"/>
    <n v="235.13233756815453"/>
    <n v="0"/>
    <n v="957644.40610000002"/>
    <n v="817467.79559999995"/>
    <n v="0"/>
    <n v="994845.79949967749"/>
    <n v="751654.59747424664"/>
  </r>
  <r>
    <s v="Refaturamento - Regular"/>
    <x v="2"/>
    <x v="5"/>
    <x v="7"/>
    <x v="7"/>
    <x v="0"/>
    <x v="0"/>
    <x v="1"/>
    <x v="3"/>
    <n v="0"/>
    <n v="0"/>
    <n v="-12.724"/>
    <n v="-12.724"/>
    <n v="-12.724"/>
    <n v="-12.724"/>
    <n v="-18"/>
    <x v="1"/>
    <n v="0"/>
    <n v="0"/>
    <n v="10"/>
    <n v="76"/>
    <n v="0"/>
    <n v="299.57"/>
    <n v="255.72"/>
    <m/>
    <n v="311.20732733126584"/>
    <n v="235.13233756815453"/>
    <n v="0"/>
    <n v="-3811.7286800000002"/>
    <n v="-3253.7812800000002"/>
    <n v="0"/>
    <n v="-3959.8020329630267"/>
    <n v="-2991.8238632171983"/>
  </r>
  <r>
    <s v="Sistema de Compensação"/>
    <x v="2"/>
    <x v="5"/>
    <x v="7"/>
    <x v="7"/>
    <x v="0"/>
    <x v="0"/>
    <x v="1"/>
    <x v="3"/>
    <n v="0"/>
    <n v="0"/>
    <n v="69.477999999999994"/>
    <n v="69.477999999999994"/>
    <n v="69.477999999999994"/>
    <n v="69.477999999999994"/>
    <n v="453"/>
    <x v="1"/>
    <n v="0"/>
    <n v="0"/>
    <n v="10"/>
    <n v="76"/>
    <n v="0"/>
    <n v="299.57"/>
    <n v="255.72"/>
    <m/>
    <n v="311.20732733126584"/>
    <n v="235.13233756815453"/>
    <n v="0"/>
    <n v="20813.524459999997"/>
    <n v="17766.91416"/>
    <n v="0"/>
    <n v="21622.062688321686"/>
    <n v="16336.524549560239"/>
  </r>
  <r>
    <s v="Regular"/>
    <x v="2"/>
    <x v="5"/>
    <x v="7"/>
    <x v="7"/>
    <x v="0"/>
    <x v="0"/>
    <x v="1"/>
    <x v="4"/>
    <n v="0"/>
    <n v="0"/>
    <n v="4843.7380000000003"/>
    <n v="4843.7380000000003"/>
    <n v="4843.7380000000003"/>
    <n v="4843.7380000000003"/>
    <n v="47750"/>
    <x v="1"/>
    <n v="0"/>
    <n v="0"/>
    <n v="10"/>
    <n v="76"/>
    <n v="0"/>
    <n v="299.57"/>
    <n v="255.72"/>
    <m/>
    <n v="311.20732733126584"/>
    <n v="235.13233756815453"/>
    <n v="0"/>
    <n v="1451038.5926600001"/>
    <n v="1238640.68136"/>
    <n v="0"/>
    <n v="1507406.757272891"/>
    <n v="1138919.4385076978"/>
  </r>
  <r>
    <s v="Refaturamento - Regular"/>
    <x v="2"/>
    <x v="5"/>
    <x v="7"/>
    <x v="7"/>
    <x v="0"/>
    <x v="0"/>
    <x v="1"/>
    <x v="4"/>
    <n v="0"/>
    <n v="0"/>
    <n v="-28.105"/>
    <n v="-28.105"/>
    <n v="-28.105"/>
    <n v="-28.105"/>
    <n v="-21"/>
    <x v="1"/>
    <n v="0"/>
    <n v="0"/>
    <n v="10"/>
    <n v="76"/>
    <n v="0"/>
    <n v="299.57"/>
    <n v="255.72"/>
    <m/>
    <n v="311.20732733126584"/>
    <n v="235.13233756815453"/>
    <n v="0"/>
    <n v="-8419.4148499999992"/>
    <n v="-7187.0106000000005"/>
    <n v="0"/>
    <n v="-8746.4819346452259"/>
    <n v="-6608.3943473529835"/>
  </r>
  <r>
    <s v="Sistema de Compensação"/>
    <x v="2"/>
    <x v="5"/>
    <x v="7"/>
    <x v="7"/>
    <x v="0"/>
    <x v="0"/>
    <x v="1"/>
    <x v="4"/>
    <n v="0"/>
    <n v="0"/>
    <n v="95.070999999999998"/>
    <n v="95.070999999999998"/>
    <n v="95.070999999999998"/>
    <n v="95.070999999999998"/>
    <n v="502"/>
    <x v="1"/>
    <n v="0"/>
    <n v="0"/>
    <n v="10"/>
    <n v="76"/>
    <n v="0"/>
    <n v="299.57"/>
    <n v="255.72"/>
    <m/>
    <n v="311.20732733126584"/>
    <n v="235.13233756815453"/>
    <n v="0"/>
    <n v="28480.419469999997"/>
    <n v="24311.556120000001"/>
    <n v="0"/>
    <n v="29586.791816710775"/>
    <n v="22354.266464942019"/>
  </r>
  <r>
    <s v="Regular"/>
    <x v="2"/>
    <x v="5"/>
    <x v="7"/>
    <x v="7"/>
    <x v="0"/>
    <x v="0"/>
    <x v="1"/>
    <x v="5"/>
    <n v="0"/>
    <n v="0"/>
    <n v="3844.5459999999998"/>
    <n v="3844.5459999999998"/>
    <n v="3844.5459999999998"/>
    <n v="3844.5459999999998"/>
    <n v="39341"/>
    <x v="1"/>
    <n v="0"/>
    <n v="0"/>
    <n v="10"/>
    <n v="76"/>
    <n v="0"/>
    <n v="299.57"/>
    <n v="255.72"/>
    <m/>
    <n v="311.20732733126584"/>
    <n v="235.13233756815453"/>
    <n v="0"/>
    <n v="1151710.6452199998"/>
    <n v="983127.30311999994"/>
    <n v="0"/>
    <n v="1196450.8854621088"/>
    <n v="903977.08786829817"/>
  </r>
  <r>
    <s v="Refaturamento - Regular"/>
    <x v="2"/>
    <x v="5"/>
    <x v="7"/>
    <x v="7"/>
    <x v="0"/>
    <x v="0"/>
    <x v="1"/>
    <x v="5"/>
    <n v="0"/>
    <n v="0"/>
    <n v="-13.45"/>
    <n v="-13.45"/>
    <n v="-13.45"/>
    <n v="-13.45"/>
    <n v="-21"/>
    <x v="1"/>
    <n v="0"/>
    <n v="0"/>
    <n v="10"/>
    <n v="76"/>
    <n v="0"/>
    <n v="299.57"/>
    <n v="255.72"/>
    <m/>
    <n v="311.20732733126584"/>
    <n v="235.13233756815453"/>
    <n v="0"/>
    <n v="-4029.2164999999995"/>
    <n v="-3439.4339999999997"/>
    <n v="0"/>
    <n v="-4185.738552605525"/>
    <n v="-3162.529940291678"/>
  </r>
  <r>
    <s v="Sistema de Compensação"/>
    <x v="2"/>
    <x v="5"/>
    <x v="7"/>
    <x v="7"/>
    <x v="0"/>
    <x v="0"/>
    <x v="1"/>
    <x v="5"/>
    <n v="0"/>
    <n v="0"/>
    <n v="74.606999999999999"/>
    <n v="74.606999999999999"/>
    <n v="74.606999999999999"/>
    <n v="74.606999999999999"/>
    <n v="484"/>
    <x v="1"/>
    <n v="0"/>
    <n v="0"/>
    <n v="10"/>
    <n v="76"/>
    <n v="0"/>
    <n v="299.57"/>
    <n v="255.72"/>
    <m/>
    <n v="311.20732733126584"/>
    <n v="235.13233756815453"/>
    <n v="0"/>
    <n v="22350.01899"/>
    <n v="19078.502039999999"/>
    <n v="0"/>
    <n v="23218.245070203749"/>
    <n v="17542.518308947303"/>
  </r>
  <r>
    <s v="Sistema de Compensação"/>
    <x v="2"/>
    <x v="5"/>
    <x v="7"/>
    <x v="7"/>
    <x v="0"/>
    <x v="0"/>
    <x v="1"/>
    <x v="5"/>
    <n v="0"/>
    <n v="0"/>
    <n v="-1.1060000000000001"/>
    <n v="-1.1060000000000001"/>
    <n v="-1.1060000000000001"/>
    <n v="-1.1060000000000001"/>
    <n v="-1"/>
    <x v="1"/>
    <n v="0"/>
    <n v="0"/>
    <n v="10"/>
    <n v="76"/>
    <n v="0"/>
    <n v="299.57"/>
    <n v="255.72"/>
    <m/>
    <n v="311.20732733126584"/>
    <n v="235.13233756815453"/>
    <n v="0"/>
    <n v="-331.32442000000003"/>
    <n v="-282.82632000000001"/>
    <n v="0"/>
    <n v="-344.19530402838006"/>
    <n v="-260.05636535037894"/>
  </r>
  <r>
    <s v="Regular"/>
    <x v="2"/>
    <x v="5"/>
    <x v="7"/>
    <x v="7"/>
    <x v="0"/>
    <x v="0"/>
    <x v="1"/>
    <x v="6"/>
    <n v="0"/>
    <n v="0"/>
    <n v="2946.5129999999999"/>
    <n v="2946.5129999999999"/>
    <n v="2946.5129999999999"/>
    <n v="2946.5129999999999"/>
    <n v="31604"/>
    <x v="1"/>
    <n v="0"/>
    <n v="0"/>
    <n v="10"/>
    <n v="76"/>
    <n v="0"/>
    <n v="299.57"/>
    <n v="255.72"/>
    <m/>
    <n v="311.20732733126584"/>
    <n v="235.13233756815453"/>
    <n v="0"/>
    <n v="882686.89940999995"/>
    <n v="753482.30435999995"/>
    <n v="0"/>
    <n v="916976.43567683012"/>
    <n v="692820.48936495569"/>
  </r>
  <r>
    <s v="Refaturamento - Regular"/>
    <x v="2"/>
    <x v="5"/>
    <x v="7"/>
    <x v="7"/>
    <x v="0"/>
    <x v="0"/>
    <x v="1"/>
    <x v="6"/>
    <n v="0"/>
    <n v="0"/>
    <n v="-22.614999999999998"/>
    <n v="-22.614999999999998"/>
    <n v="-22.614999999999998"/>
    <n v="-22.614999999999998"/>
    <n v="-32"/>
    <x v="1"/>
    <n v="0"/>
    <n v="0"/>
    <n v="10"/>
    <n v="76"/>
    <n v="0"/>
    <n v="299.57"/>
    <n v="255.72"/>
    <m/>
    <n v="311.20732733126584"/>
    <n v="235.13233756815453"/>
    <n v="0"/>
    <n v="-6774.7755499999994"/>
    <n v="-5783.1077999999998"/>
    <n v="0"/>
    <n v="-7037.9537075965764"/>
    <n v="-5317.5178141038141"/>
  </r>
  <r>
    <s v="Sistema de Compensação"/>
    <x v="2"/>
    <x v="5"/>
    <x v="7"/>
    <x v="7"/>
    <x v="0"/>
    <x v="0"/>
    <x v="1"/>
    <x v="6"/>
    <n v="0"/>
    <n v="0"/>
    <n v="62.000999999999998"/>
    <n v="62.000999999999998"/>
    <n v="62.000999999999998"/>
    <n v="62.000999999999998"/>
    <n v="480"/>
    <x v="1"/>
    <n v="0"/>
    <n v="0"/>
    <n v="10"/>
    <n v="76"/>
    <n v="0"/>
    <n v="299.57"/>
    <n v="255.72"/>
    <m/>
    <n v="311.20732733126584"/>
    <n v="235.13233756815453"/>
    <n v="0"/>
    <n v="18573.639569999999"/>
    <n v="15854.895719999999"/>
    <n v="0"/>
    <n v="19295.165501865813"/>
    <n v="14578.440061563148"/>
  </r>
  <r>
    <s v="Regular"/>
    <x v="2"/>
    <x v="5"/>
    <x v="7"/>
    <x v="7"/>
    <x v="0"/>
    <x v="0"/>
    <x v="1"/>
    <x v="7"/>
    <n v="0"/>
    <n v="0"/>
    <n v="4651.0640000000003"/>
    <n v="4651.0640000000003"/>
    <n v="4651.0640000000003"/>
    <n v="4651.0640000000003"/>
    <n v="47641"/>
    <x v="1"/>
    <n v="0"/>
    <n v="0"/>
    <n v="10"/>
    <n v="76"/>
    <n v="0"/>
    <n v="299.57"/>
    <n v="255.72"/>
    <m/>
    <n v="311.20732733126584"/>
    <n v="235.13233756815453"/>
    <n v="0"/>
    <n v="1393319.24248"/>
    <n v="1189370.08608"/>
    <n v="0"/>
    <n v="1447445.1966866667"/>
    <n v="1093615.5504990912"/>
  </r>
  <r>
    <s v="Refaturamento - Regular"/>
    <x v="2"/>
    <x v="5"/>
    <x v="7"/>
    <x v="7"/>
    <x v="0"/>
    <x v="0"/>
    <x v="1"/>
    <x v="7"/>
    <n v="0"/>
    <n v="0"/>
    <n v="-11.782999999999999"/>
    <n v="-11.782999999999999"/>
    <n v="-11.782999999999999"/>
    <n v="-11.782999999999999"/>
    <n v="-19"/>
    <x v="1"/>
    <n v="0"/>
    <n v="0"/>
    <n v="10"/>
    <n v="76"/>
    <n v="0"/>
    <n v="299.57"/>
    <n v="255.72"/>
    <m/>
    <n v="311.20732733126584"/>
    <n v="235.13233756815453"/>
    <n v="0"/>
    <n v="-3529.83331"/>
    <n v="-3013.14876"/>
    <n v="0"/>
    <n v="-3666.9559379443053"/>
    <n v="-2770.5643335655645"/>
  </r>
  <r>
    <s v="Sistema de Compensação"/>
    <x v="2"/>
    <x v="5"/>
    <x v="7"/>
    <x v="7"/>
    <x v="0"/>
    <x v="0"/>
    <x v="1"/>
    <x v="7"/>
    <n v="0"/>
    <n v="0"/>
    <n v="75.334000000000003"/>
    <n v="75.334000000000003"/>
    <n v="75.334000000000003"/>
    <n v="75.334000000000003"/>
    <n v="561"/>
    <x v="1"/>
    <n v="0"/>
    <n v="0"/>
    <n v="10"/>
    <n v="76"/>
    <n v="0"/>
    <n v="299.57"/>
    <n v="255.72"/>
    <m/>
    <n v="311.20732733126584"/>
    <n v="235.13233756815453"/>
    <n v="0"/>
    <n v="22567.806380000002"/>
    <n v="19264.410480000002"/>
    <n v="0"/>
    <n v="23444.492797173581"/>
    <n v="17713.459518359356"/>
  </r>
  <r>
    <s v="Regular"/>
    <x v="2"/>
    <x v="5"/>
    <x v="7"/>
    <x v="7"/>
    <x v="0"/>
    <x v="0"/>
    <x v="1"/>
    <x v="8"/>
    <n v="0"/>
    <n v="0"/>
    <n v="3627.748"/>
    <n v="3627.748"/>
    <n v="3627.748"/>
    <n v="3627.748"/>
    <n v="37884"/>
    <x v="1"/>
    <n v="0"/>
    <n v="0"/>
    <n v="10"/>
    <n v="76"/>
    <n v="0"/>
    <n v="299.57"/>
    <n v="255.72"/>
    <m/>
    <n v="311.20732733126584"/>
    <n v="235.13233756815453"/>
    <n v="0"/>
    <n v="1086764.4683600001"/>
    <n v="927687.71855999995"/>
    <n v="0"/>
    <n v="1128981.7593113449"/>
    <n v="853000.8673481975"/>
  </r>
  <r>
    <s v="Refaturamento - Regular"/>
    <x v="2"/>
    <x v="5"/>
    <x v="7"/>
    <x v="7"/>
    <x v="0"/>
    <x v="0"/>
    <x v="1"/>
    <x v="8"/>
    <n v="0"/>
    <n v="0"/>
    <n v="-19.420999999999999"/>
    <n v="-19.420999999999999"/>
    <n v="-19.420999999999999"/>
    <n v="-19.420999999999999"/>
    <n v="-19"/>
    <x v="1"/>
    <n v="0"/>
    <n v="0"/>
    <n v="10"/>
    <n v="76"/>
    <n v="0"/>
    <n v="299.57"/>
    <n v="255.72"/>
    <m/>
    <n v="311.20732733126584"/>
    <n v="235.13233756815453"/>
    <n v="0"/>
    <n v="-5817.9489699999995"/>
    <n v="-4966.3381199999994"/>
    <n v="0"/>
    <n v="-6043.9575041005137"/>
    <n v="-4566.5051279111285"/>
  </r>
  <r>
    <s v="Sistema de Compensação"/>
    <x v="2"/>
    <x v="5"/>
    <x v="7"/>
    <x v="7"/>
    <x v="0"/>
    <x v="0"/>
    <x v="1"/>
    <x v="8"/>
    <n v="0"/>
    <n v="0"/>
    <n v="68.492000000000004"/>
    <n v="68.492000000000004"/>
    <n v="68.492000000000004"/>
    <n v="68.492000000000004"/>
    <n v="544"/>
    <x v="1"/>
    <n v="0"/>
    <n v="0"/>
    <n v="10"/>
    <n v="76"/>
    <n v="0"/>
    <n v="299.57"/>
    <n v="255.72"/>
    <m/>
    <n v="311.20732733126584"/>
    <n v="235.13233756815453"/>
    <n v="0"/>
    <n v="20518.148440000001"/>
    <n v="17514.774240000002"/>
    <n v="0"/>
    <n v="21315.212263573063"/>
    <n v="16104.684064718042"/>
  </r>
  <r>
    <s v="Regular"/>
    <x v="2"/>
    <x v="5"/>
    <x v="7"/>
    <x v="7"/>
    <x v="0"/>
    <x v="0"/>
    <x v="1"/>
    <x v="9"/>
    <n v="0"/>
    <n v="0"/>
    <n v="3403.78"/>
    <n v="3403.78"/>
    <n v="3403.78"/>
    <n v="3403.78"/>
    <n v="38015"/>
    <x v="1"/>
    <n v="0"/>
    <n v="0"/>
    <n v="10"/>
    <n v="76"/>
    <n v="0"/>
    <n v="299.57"/>
    <n v="255.72"/>
    <m/>
    <n v="311.20732733126584"/>
    <n v="235.13233756815453"/>
    <n v="0"/>
    <n v="1019670.3746"/>
    <n v="870414.62160000007"/>
    <n v="0"/>
    <n v="1059281.2766236162"/>
    <n v="800338.74796773307"/>
  </r>
  <r>
    <s v="Refaturamento - Regular"/>
    <x v="2"/>
    <x v="5"/>
    <x v="7"/>
    <x v="7"/>
    <x v="0"/>
    <x v="0"/>
    <x v="1"/>
    <x v="9"/>
    <n v="0"/>
    <n v="0"/>
    <n v="-19.036999999999999"/>
    <n v="-19.036999999999999"/>
    <n v="-19.036999999999999"/>
    <n v="-19.036999999999999"/>
    <n v="-26"/>
    <x v="1"/>
    <n v="0"/>
    <n v="0"/>
    <n v="10"/>
    <n v="76"/>
    <n v="0"/>
    <n v="299.57"/>
    <n v="255.72"/>
    <m/>
    <n v="311.20732733126584"/>
    <n v="235.13233756815453"/>
    <n v="0"/>
    <n v="-5702.9140899999993"/>
    <n v="-4868.1416399999998"/>
    <n v="0"/>
    <n v="-5924.4538904053079"/>
    <n v="-4476.2143102849577"/>
  </r>
  <r>
    <s v="Sistema de Compensação"/>
    <x v="2"/>
    <x v="5"/>
    <x v="7"/>
    <x v="7"/>
    <x v="0"/>
    <x v="0"/>
    <x v="1"/>
    <x v="9"/>
    <n v="0"/>
    <n v="0"/>
    <n v="73.257999999999996"/>
    <n v="73.257999999999996"/>
    <n v="73.257999999999996"/>
    <n v="73.257999999999996"/>
    <n v="563"/>
    <x v="1"/>
    <n v="0"/>
    <n v="0"/>
    <n v="10"/>
    <n v="76"/>
    <n v="0"/>
    <n v="299.57"/>
    <n v="255.72"/>
    <m/>
    <n v="311.20732733126584"/>
    <n v="235.13233756815453"/>
    <n v="0"/>
    <n v="21945.89906"/>
    <n v="18733.535759999999"/>
    <n v="0"/>
    <n v="22798.426385633873"/>
    <n v="17225.324785567864"/>
  </r>
  <r>
    <s v="Regular"/>
    <x v="2"/>
    <x v="5"/>
    <x v="7"/>
    <x v="7"/>
    <x v="0"/>
    <x v="0"/>
    <x v="1"/>
    <x v="10"/>
    <n v="0"/>
    <n v="0"/>
    <n v="1946.1020000000001"/>
    <n v="1946.1020000000001"/>
    <n v="1946.1020000000001"/>
    <n v="1946.1020000000001"/>
    <n v="23031"/>
    <x v="1"/>
    <n v="0"/>
    <n v="0"/>
    <n v="10"/>
    <n v="76"/>
    <n v="0"/>
    <n v="299.57"/>
    <n v="255.72"/>
    <m/>
    <n v="311.20732733126584"/>
    <n v="235.13233756815453"/>
    <n v="0"/>
    <n v="582993.77613999997"/>
    <n v="497657.20344000001"/>
    <n v="0"/>
    <n v="605641.2021340311"/>
    <n v="457591.5124060607"/>
  </r>
  <r>
    <s v="Refaturamento - Regular"/>
    <x v="2"/>
    <x v="5"/>
    <x v="7"/>
    <x v="7"/>
    <x v="0"/>
    <x v="0"/>
    <x v="1"/>
    <x v="10"/>
    <n v="0"/>
    <n v="0"/>
    <n v="-5.69"/>
    <n v="-5.69"/>
    <n v="-5.69"/>
    <n v="-5.69"/>
    <n v="-27"/>
    <x v="1"/>
    <n v="0"/>
    <n v="0"/>
    <n v="10"/>
    <n v="76"/>
    <n v="0"/>
    <n v="299.57"/>
    <n v="255.72"/>
    <m/>
    <n v="311.20732733126584"/>
    <n v="235.13233756815453"/>
    <n v="0"/>
    <n v="-1704.5533"/>
    <n v="-1455.0468000000001"/>
    <n v="0"/>
    <n v="-1770.7696925149028"/>
    <n v="-1337.9030007627994"/>
  </r>
  <r>
    <s v="Sistema de Compensação"/>
    <x v="2"/>
    <x v="5"/>
    <x v="7"/>
    <x v="7"/>
    <x v="0"/>
    <x v="0"/>
    <x v="1"/>
    <x v="10"/>
    <n v="0"/>
    <n v="0"/>
    <n v="62.06"/>
    <n v="62.06"/>
    <n v="62.06"/>
    <n v="62.06"/>
    <n v="472"/>
    <x v="1"/>
    <n v="0"/>
    <n v="0"/>
    <n v="10"/>
    <n v="76"/>
    <n v="0"/>
    <n v="299.57"/>
    <n v="255.72"/>
    <m/>
    <n v="311.20732733126584"/>
    <n v="235.13233756815453"/>
    <n v="0"/>
    <n v="18591.314200000001"/>
    <n v="15869.983200000001"/>
    <n v="0"/>
    <n v="19313.526734178358"/>
    <n v="14592.312869479671"/>
  </r>
  <r>
    <s v="PROJETADO"/>
    <x v="2"/>
    <x v="5"/>
    <x v="7"/>
    <x v="7"/>
    <x v="0"/>
    <x v="0"/>
    <x v="1"/>
    <x v="11"/>
    <n v="0"/>
    <n v="0"/>
    <n v="1946.1020000000001"/>
    <n v="1946.1020000000001"/>
    <n v="1946.1020000000001"/>
    <n v="1946.1020000000001"/>
    <n v="23031"/>
    <x v="1"/>
    <n v="0"/>
    <n v="0"/>
    <n v="10"/>
    <n v="76"/>
    <n v="0"/>
    <n v="299.57"/>
    <n v="255.72"/>
    <m/>
    <n v="311.20732733126584"/>
    <n v="235.13233756815453"/>
    <n v="0"/>
    <n v="582993.77613999997"/>
    <n v="497657.20344000001"/>
    <n v="0"/>
    <n v="605641.2021340311"/>
    <n v="457591.5124060607"/>
  </r>
  <r>
    <s v="PROJETADO"/>
    <x v="2"/>
    <x v="5"/>
    <x v="7"/>
    <x v="7"/>
    <x v="0"/>
    <x v="0"/>
    <x v="1"/>
    <x v="11"/>
    <n v="0"/>
    <n v="0"/>
    <n v="-5.69"/>
    <n v="-5.69"/>
    <n v="-5.69"/>
    <n v="-5.69"/>
    <n v="-27"/>
    <x v="1"/>
    <n v="0"/>
    <n v="0"/>
    <n v="10"/>
    <n v="76"/>
    <n v="0"/>
    <n v="299.57"/>
    <n v="255.72"/>
    <m/>
    <n v="311.20732733126584"/>
    <n v="235.13233756815453"/>
    <n v="0"/>
    <n v="-1704.5533"/>
    <n v="-1455.0468000000001"/>
    <n v="0"/>
    <n v="-1770.7696925149028"/>
    <n v="-1337.9030007627994"/>
  </r>
  <r>
    <s v="PROJETADO"/>
    <x v="2"/>
    <x v="5"/>
    <x v="7"/>
    <x v="7"/>
    <x v="0"/>
    <x v="0"/>
    <x v="1"/>
    <x v="11"/>
    <n v="0"/>
    <n v="0"/>
    <n v="62.06"/>
    <n v="62.06"/>
    <n v="62.06"/>
    <n v="62.06"/>
    <n v="472"/>
    <x v="1"/>
    <n v="0"/>
    <n v="0"/>
    <n v="10"/>
    <n v="76"/>
    <n v="0"/>
    <n v="299.57"/>
    <n v="255.72"/>
    <m/>
    <n v="311.20732733126584"/>
    <n v="235.13233756815453"/>
    <n v="0"/>
    <n v="18591.314200000001"/>
    <n v="15869.983200000001"/>
    <n v="0"/>
    <n v="19313.526734178358"/>
    <n v="14592.312869479671"/>
  </r>
  <r>
    <s v="Regular"/>
    <x v="3"/>
    <x v="4"/>
    <x v="2"/>
    <x v="2"/>
    <x v="4"/>
    <x v="0"/>
    <x v="0"/>
    <x v="1"/>
    <n v="0"/>
    <n v="0"/>
    <n v="7.29"/>
    <n v="7.29"/>
    <n v="7.29"/>
    <n v="7.29"/>
    <n v="0"/>
    <x v="1"/>
    <n v="0"/>
    <n v="0"/>
    <n v="25"/>
    <n v="84"/>
    <n v="0"/>
    <n v="226.76"/>
    <n v="213.69"/>
    <m/>
    <n v="271.37210120822908"/>
    <n v="211.06558765029487"/>
    <n v="0"/>
    <n v="1653.0804000000001"/>
    <n v="1557.8000999999999"/>
    <n v="0"/>
    <n v="1978.3026178079899"/>
    <n v="1538.6681339706497"/>
  </r>
  <r>
    <s v="Regular"/>
    <x v="3"/>
    <x v="4"/>
    <x v="2"/>
    <x v="2"/>
    <x v="4"/>
    <x v="0"/>
    <x v="0"/>
    <x v="3"/>
    <n v="0"/>
    <n v="0"/>
    <n v="6.5609999999999999"/>
    <n v="6.5609999999999999"/>
    <n v="6.5609999999999999"/>
    <n v="6.5609999999999999"/>
    <n v="0"/>
    <x v="1"/>
    <n v="0"/>
    <n v="0"/>
    <n v="25"/>
    <n v="84"/>
    <n v="0"/>
    <n v="226.76"/>
    <n v="213.69"/>
    <m/>
    <n v="271.37210120822908"/>
    <n v="211.06558765029487"/>
    <n v="0"/>
    <n v="1487.7723599999999"/>
    <n v="1402.02009"/>
    <n v="0"/>
    <n v="1780.4723560271909"/>
    <n v="1384.8013205735847"/>
  </r>
  <r>
    <s v="Regular"/>
    <x v="3"/>
    <x v="4"/>
    <x v="2"/>
    <x v="2"/>
    <x v="4"/>
    <x v="0"/>
    <x v="3"/>
    <x v="1"/>
    <n v="0"/>
    <n v="0"/>
    <n v="0.252"/>
    <n v="0.252"/>
    <n v="0.252"/>
    <n v="0.252"/>
    <n v="0"/>
    <x v="1"/>
    <n v="0"/>
    <n v="0"/>
    <n v="23"/>
    <n v="83"/>
    <n v="0"/>
    <n v="525.19000000000005"/>
    <n v="213.69"/>
    <m/>
    <n v="622.67879430695984"/>
    <n v="211.06558765029487"/>
    <n v="0"/>
    <n v="132.34788"/>
    <n v="53.849879999999999"/>
    <n v="0"/>
    <n v="156.91505616535389"/>
    <n v="53.18852808787431"/>
  </r>
  <r>
    <s v="Regular"/>
    <x v="3"/>
    <x v="4"/>
    <x v="2"/>
    <x v="2"/>
    <x v="4"/>
    <x v="0"/>
    <x v="3"/>
    <x v="3"/>
    <n v="0"/>
    <n v="0"/>
    <n v="0.22700000000000001"/>
    <n v="0.22700000000000001"/>
    <n v="0.22700000000000001"/>
    <n v="0.22700000000000001"/>
    <n v="0"/>
    <x v="1"/>
    <n v="0"/>
    <n v="0"/>
    <n v="23"/>
    <n v="83"/>
    <n v="0"/>
    <n v="525.19000000000005"/>
    <n v="213.69"/>
    <m/>
    <n v="622.67879430695984"/>
    <n v="211.06558765029487"/>
    <n v="0"/>
    <n v="119.21813000000002"/>
    <n v="48.507629999999999"/>
    <n v="0"/>
    <n v="141.34808630767989"/>
    <n v="47.911888396616938"/>
  </r>
  <r>
    <s v="Regular"/>
    <x v="3"/>
    <x v="4"/>
    <x v="2"/>
    <x v="2"/>
    <x v="4"/>
    <x v="0"/>
    <x v="2"/>
    <x v="1"/>
    <n v="0"/>
    <n v="0"/>
    <n v="0.1"/>
    <n v="0.1"/>
    <n v="0.1"/>
    <n v="0.1"/>
    <n v="0"/>
    <x v="1"/>
    <n v="0"/>
    <n v="0"/>
    <n v="21"/>
    <n v="82"/>
    <n v="0"/>
    <n v="823.61"/>
    <n v="349.91"/>
    <m/>
    <n v="973.98514137315783"/>
    <n v="330.57130361553931"/>
    <n v="0"/>
    <n v="82.361000000000004"/>
    <n v="34.991000000000007"/>
    <n v="0"/>
    <n v="97.398514137315786"/>
    <n v="33.057130361553931"/>
  </r>
  <r>
    <s v="Regular"/>
    <x v="3"/>
    <x v="4"/>
    <x v="2"/>
    <x v="2"/>
    <x v="4"/>
    <x v="0"/>
    <x v="2"/>
    <x v="3"/>
    <n v="0"/>
    <n v="0"/>
    <n v="0.09"/>
    <n v="0.09"/>
    <n v="0.09"/>
    <n v="0.09"/>
    <n v="0"/>
    <x v="1"/>
    <n v="0"/>
    <n v="0"/>
    <n v="21"/>
    <n v="82"/>
    <n v="0"/>
    <n v="823.61"/>
    <n v="349.91"/>
    <m/>
    <n v="973.98514137315783"/>
    <n v="330.57130361553931"/>
    <n v="0"/>
    <n v="74.124899999999997"/>
    <n v="31.491900000000001"/>
    <n v="0"/>
    <n v="87.6586627235842"/>
    <n v="29.751417325398535"/>
  </r>
  <r>
    <s v="Regular"/>
    <x v="3"/>
    <x v="4"/>
    <x v="2"/>
    <x v="0"/>
    <x v="0"/>
    <x v="0"/>
    <x v="0"/>
    <x v="0"/>
    <n v="0"/>
    <n v="0"/>
    <n v="12.946"/>
    <n v="12.946"/>
    <n v="12.946"/>
    <n v="12.946"/>
    <n v="0"/>
    <x v="1"/>
    <n v="0"/>
    <n v="0"/>
    <n v="25"/>
    <n v="84"/>
    <n v="0"/>
    <n v="226.76"/>
    <n v="213.69"/>
    <m/>
    <n v="271.37210120822908"/>
    <n v="211.06558765029487"/>
    <n v="0"/>
    <n v="2935.6349599999999"/>
    <n v="2766.4307399999998"/>
    <n v="0"/>
    <n v="3513.1832222417338"/>
    <n v="2732.4550977207173"/>
  </r>
  <r>
    <s v="Regular"/>
    <x v="3"/>
    <x v="4"/>
    <x v="2"/>
    <x v="0"/>
    <x v="0"/>
    <x v="0"/>
    <x v="0"/>
    <x v="1"/>
    <n v="0"/>
    <n v="0"/>
    <n v="10.468"/>
    <n v="10.468"/>
    <n v="10.468"/>
    <n v="10.468"/>
    <n v="0"/>
    <x v="1"/>
    <n v="0"/>
    <n v="0"/>
    <n v="25"/>
    <n v="84"/>
    <n v="0"/>
    <n v="226.76"/>
    <n v="213.69"/>
    <m/>
    <n v="271.37210120822908"/>
    <n v="211.06558765029487"/>
    <n v="0"/>
    <n v="2373.7236800000001"/>
    <n v="2236.9069199999999"/>
    <n v="0"/>
    <n v="2840.7231554477421"/>
    <n v="2209.4345715232866"/>
  </r>
  <r>
    <s v="Regular"/>
    <x v="3"/>
    <x v="4"/>
    <x v="2"/>
    <x v="0"/>
    <x v="0"/>
    <x v="0"/>
    <x v="0"/>
    <x v="2"/>
    <n v="0"/>
    <n v="0"/>
    <n v="14.688000000000001"/>
    <n v="14.688000000000001"/>
    <n v="14.688000000000001"/>
    <n v="14.688000000000001"/>
    <n v="0"/>
    <x v="1"/>
    <n v="0"/>
    <n v="0"/>
    <n v="25"/>
    <n v="84"/>
    <n v="0"/>
    <n v="226.76"/>
    <n v="213.69"/>
    <m/>
    <n v="271.37210120822908"/>
    <n v="211.06558765029487"/>
    <n v="0"/>
    <n v="3330.6508800000001"/>
    <n v="3138.6787199999999"/>
    <n v="0"/>
    <n v="3985.9134225464691"/>
    <n v="3100.1313514075314"/>
  </r>
  <r>
    <s v="Regular"/>
    <x v="3"/>
    <x v="4"/>
    <x v="2"/>
    <x v="0"/>
    <x v="0"/>
    <x v="0"/>
    <x v="0"/>
    <x v="3"/>
    <n v="0"/>
    <n v="0"/>
    <n v="9.9930000000000003"/>
    <n v="9.9930000000000003"/>
    <n v="9.9930000000000003"/>
    <n v="9.9930000000000003"/>
    <n v="0"/>
    <x v="1"/>
    <n v="0"/>
    <n v="0"/>
    <n v="25"/>
    <n v="84"/>
    <n v="0"/>
    <n v="226.76"/>
    <n v="213.69"/>
    <m/>
    <n v="271.37210120822908"/>
    <n v="211.06558765029487"/>
    <n v="0"/>
    <n v="2266.0126799999998"/>
    <n v="2135.4041700000002"/>
    <n v="0"/>
    <n v="2711.8214073738332"/>
    <n v="2109.1784173893966"/>
  </r>
  <r>
    <s v="Regular"/>
    <x v="3"/>
    <x v="4"/>
    <x v="2"/>
    <x v="0"/>
    <x v="0"/>
    <x v="0"/>
    <x v="0"/>
    <x v="4"/>
    <n v="0"/>
    <n v="0"/>
    <n v="12.581"/>
    <n v="12.581"/>
    <n v="12.581"/>
    <n v="12.581"/>
    <n v="0"/>
    <x v="1"/>
    <n v="0"/>
    <n v="0"/>
    <n v="25"/>
    <n v="84"/>
    <n v="0"/>
    <n v="226.76"/>
    <n v="213.69"/>
    <m/>
    <n v="271.37210120822908"/>
    <n v="211.06558765029487"/>
    <n v="0"/>
    <n v="2852.8675599999997"/>
    <n v="2688.4338899999998"/>
    <n v="0"/>
    <n v="3414.1324053007302"/>
    <n v="2655.4161582283596"/>
  </r>
  <r>
    <s v="Regular"/>
    <x v="3"/>
    <x v="4"/>
    <x v="2"/>
    <x v="0"/>
    <x v="0"/>
    <x v="0"/>
    <x v="0"/>
    <x v="5"/>
    <n v="0"/>
    <n v="0"/>
    <n v="10.922000000000001"/>
    <n v="10.922000000000001"/>
    <n v="10.922000000000001"/>
    <n v="10.922000000000001"/>
    <n v="0"/>
    <x v="1"/>
    <n v="0"/>
    <n v="0"/>
    <n v="25"/>
    <n v="84"/>
    <n v="0"/>
    <n v="226.76"/>
    <n v="213.69"/>
    <m/>
    <n v="271.37210120822908"/>
    <n v="211.06558765029487"/>
    <n v="0"/>
    <n v="2476.67272"/>
    <n v="2333.92218"/>
    <n v="0"/>
    <n v="2963.9260893962783"/>
    <n v="2305.2583483165208"/>
  </r>
  <r>
    <s v="Regular"/>
    <x v="3"/>
    <x v="4"/>
    <x v="2"/>
    <x v="0"/>
    <x v="0"/>
    <x v="0"/>
    <x v="0"/>
    <x v="6"/>
    <n v="0"/>
    <n v="0"/>
    <n v="6.39"/>
    <n v="6.39"/>
    <n v="6.39"/>
    <n v="6.39"/>
    <n v="0"/>
    <x v="1"/>
    <n v="0"/>
    <n v="0"/>
    <n v="25"/>
    <n v="84"/>
    <n v="0"/>
    <n v="226.76"/>
    <n v="213.69"/>
    <m/>
    <n v="271.37210120822908"/>
    <n v="211.06558765029487"/>
    <n v="0"/>
    <n v="1448.9963999999998"/>
    <n v="1365.4791"/>
    <n v="0"/>
    <n v="1734.0677267205838"/>
    <n v="1348.7091050853842"/>
  </r>
  <r>
    <s v="Regular"/>
    <x v="3"/>
    <x v="4"/>
    <x v="2"/>
    <x v="0"/>
    <x v="0"/>
    <x v="0"/>
    <x v="0"/>
    <x v="7"/>
    <n v="0"/>
    <n v="0"/>
    <n v="3.0859999999999999"/>
    <n v="3.0859999999999999"/>
    <n v="3.0859999999999999"/>
    <n v="3.0859999999999999"/>
    <n v="0"/>
    <x v="1"/>
    <n v="0"/>
    <n v="0"/>
    <n v="25"/>
    <n v="84"/>
    <n v="0"/>
    <n v="226.76"/>
    <n v="213.69"/>
    <m/>
    <n v="271.37210120822908"/>
    <n v="211.06558765029487"/>
    <n v="0"/>
    <n v="699.78135999999995"/>
    <n v="659.44733999999994"/>
    <n v="0"/>
    <n v="837.45430432859496"/>
    <n v="651.34840348880994"/>
  </r>
  <r>
    <s v="Regular"/>
    <x v="3"/>
    <x v="4"/>
    <x v="2"/>
    <x v="0"/>
    <x v="0"/>
    <x v="0"/>
    <x v="0"/>
    <x v="8"/>
    <n v="0"/>
    <n v="0"/>
    <n v="2.5569999999999999"/>
    <n v="2.5569999999999999"/>
    <n v="2.5569999999999999"/>
    <n v="2.5569999999999999"/>
    <n v="0"/>
    <x v="1"/>
    <n v="0"/>
    <n v="0"/>
    <n v="25"/>
    <n v="84"/>
    <n v="0"/>
    <n v="226.76"/>
    <n v="213.69"/>
    <m/>
    <n v="271.37210120822908"/>
    <n v="211.06558765029487"/>
    <n v="0"/>
    <n v="579.82531999999992"/>
    <n v="546.40532999999994"/>
    <n v="0"/>
    <n v="693.89846278944174"/>
    <n v="539.69470762180401"/>
  </r>
  <r>
    <s v="Regular"/>
    <x v="3"/>
    <x v="4"/>
    <x v="2"/>
    <x v="0"/>
    <x v="0"/>
    <x v="0"/>
    <x v="0"/>
    <x v="9"/>
    <n v="0"/>
    <n v="0"/>
    <n v="3.3130000000000002"/>
    <n v="3.3130000000000002"/>
    <n v="3.3130000000000002"/>
    <n v="3.3130000000000002"/>
    <n v="0"/>
    <x v="1"/>
    <n v="0"/>
    <n v="0"/>
    <n v="25"/>
    <n v="84"/>
    <n v="0"/>
    <n v="226.76"/>
    <n v="213.69"/>
    <m/>
    <n v="271.37210120822908"/>
    <n v="211.06558765029487"/>
    <n v="0"/>
    <n v="751.25588000000005"/>
    <n v="707.95497"/>
    <n v="0"/>
    <n v="899.05577130286304"/>
    <n v="699.26029188542691"/>
  </r>
  <r>
    <s v="Regular"/>
    <x v="3"/>
    <x v="4"/>
    <x v="2"/>
    <x v="0"/>
    <x v="0"/>
    <x v="0"/>
    <x v="0"/>
    <x v="10"/>
    <n v="0"/>
    <n v="0"/>
    <n v="2.52"/>
    <n v="2.52"/>
    <n v="2.52"/>
    <n v="2.52"/>
    <n v="0"/>
    <x v="1"/>
    <n v="0"/>
    <n v="0"/>
    <n v="25"/>
    <n v="84"/>
    <n v="0"/>
    <n v="226.76"/>
    <n v="213.69"/>
    <m/>
    <n v="271.37210120822908"/>
    <n v="211.06558765029487"/>
    <n v="0"/>
    <n v="571.43520000000001"/>
    <n v="538.49879999999996"/>
    <n v="0"/>
    <n v="683.85769504473728"/>
    <n v="531.88528087874306"/>
  </r>
  <r>
    <s v="PROJETADO"/>
    <x v="3"/>
    <x v="4"/>
    <x v="2"/>
    <x v="0"/>
    <x v="0"/>
    <x v="0"/>
    <x v="0"/>
    <x v="11"/>
    <n v="0"/>
    <n v="0"/>
    <n v="2.52"/>
    <n v="2.52"/>
    <n v="2.52"/>
    <n v="2.52"/>
    <n v="0"/>
    <x v="1"/>
    <n v="0"/>
    <n v="0"/>
    <n v="25"/>
    <n v="84"/>
    <n v="0"/>
    <n v="226.76"/>
    <n v="213.69"/>
    <m/>
    <n v="271.37210120822908"/>
    <n v="211.06558765029487"/>
    <n v="0"/>
    <n v="571.43520000000001"/>
    <n v="538.49879999999996"/>
    <n v="0"/>
    <n v="683.85769504473728"/>
    <n v="531.88528087874306"/>
  </r>
  <r>
    <s v="Regular"/>
    <x v="3"/>
    <x v="4"/>
    <x v="2"/>
    <x v="0"/>
    <x v="0"/>
    <x v="0"/>
    <x v="3"/>
    <x v="0"/>
    <n v="0"/>
    <n v="0"/>
    <n v="0.43"/>
    <n v="0.43"/>
    <n v="0.43"/>
    <n v="0.43"/>
    <n v="0"/>
    <x v="1"/>
    <n v="0"/>
    <n v="0"/>
    <n v="23"/>
    <n v="83"/>
    <n v="0"/>
    <n v="525.19000000000005"/>
    <n v="213.69"/>
    <m/>
    <n v="622.67879430695984"/>
    <n v="211.06558765029487"/>
    <n v="0"/>
    <n v="225.83170000000001"/>
    <n v="91.88669999999999"/>
    <n v="0"/>
    <n v="267.75188155199271"/>
    <n v="90.758202689626799"/>
  </r>
  <r>
    <s v="Regular"/>
    <x v="3"/>
    <x v="4"/>
    <x v="2"/>
    <x v="0"/>
    <x v="0"/>
    <x v="0"/>
    <x v="3"/>
    <x v="1"/>
    <n v="0"/>
    <n v="0"/>
    <n v="0.36899999999999999"/>
    <n v="0.36899999999999999"/>
    <n v="0.36899999999999999"/>
    <n v="0.36899999999999999"/>
    <n v="0"/>
    <x v="1"/>
    <n v="0"/>
    <n v="0"/>
    <n v="23"/>
    <n v="83"/>
    <n v="0"/>
    <n v="525.19000000000005"/>
    <n v="213.69"/>
    <m/>
    <n v="622.67879430695984"/>
    <n v="211.06558765029487"/>
    <n v="0"/>
    <n v="193.79511000000002"/>
    <n v="78.851609999999994"/>
    <n v="0"/>
    <n v="229.76847509926819"/>
    <n v="77.883201842958812"/>
  </r>
  <r>
    <s v="Regular"/>
    <x v="3"/>
    <x v="4"/>
    <x v="2"/>
    <x v="0"/>
    <x v="0"/>
    <x v="0"/>
    <x v="3"/>
    <x v="2"/>
    <n v="0"/>
    <n v="0"/>
    <n v="0.439"/>
    <n v="0.439"/>
    <n v="0.439"/>
    <n v="0.439"/>
    <n v="0"/>
    <x v="1"/>
    <n v="0"/>
    <n v="0"/>
    <n v="23"/>
    <n v="83"/>
    <n v="0"/>
    <n v="525.19000000000005"/>
    <n v="213.69"/>
    <m/>
    <n v="622.67879430695984"/>
    <n v="211.06558765029487"/>
    <n v="0"/>
    <n v="230.55841000000004"/>
    <n v="93.809910000000002"/>
    <n v="0"/>
    <n v="273.3559907007554"/>
    <n v="92.657792978479449"/>
  </r>
  <r>
    <s v="Regular"/>
    <x v="3"/>
    <x v="4"/>
    <x v="2"/>
    <x v="0"/>
    <x v="0"/>
    <x v="0"/>
    <x v="3"/>
    <x v="3"/>
    <n v="0"/>
    <n v="0"/>
    <n v="0.373"/>
    <n v="0.373"/>
    <n v="0.373"/>
    <n v="0.373"/>
    <n v="0"/>
    <x v="1"/>
    <n v="0"/>
    <n v="0"/>
    <n v="23"/>
    <n v="83"/>
    <n v="0"/>
    <n v="525.19000000000005"/>
    <n v="213.69"/>
    <m/>
    <n v="622.67879430695984"/>
    <n v="211.06558765029487"/>
    <n v="0"/>
    <n v="195.89587000000003"/>
    <n v="79.706369999999993"/>
    <n v="0"/>
    <n v="232.25919027649601"/>
    <n v="78.727464193559982"/>
  </r>
  <r>
    <s v="Regular"/>
    <x v="3"/>
    <x v="4"/>
    <x v="2"/>
    <x v="0"/>
    <x v="0"/>
    <x v="0"/>
    <x v="3"/>
    <x v="4"/>
    <n v="0"/>
    <n v="0"/>
    <n v="0.52800000000000002"/>
    <n v="0.52800000000000002"/>
    <n v="0.52800000000000002"/>
    <n v="0.52800000000000002"/>
    <n v="0"/>
    <x v="1"/>
    <n v="0"/>
    <n v="0"/>
    <n v="23"/>
    <n v="83"/>
    <n v="0"/>
    <n v="525.19000000000005"/>
    <n v="213.69"/>
    <m/>
    <n v="622.67879430695984"/>
    <n v="211.06558765029487"/>
    <n v="0"/>
    <n v="277.30032000000006"/>
    <n v="112.82832000000001"/>
    <n v="0"/>
    <n v="328.7744033940748"/>
    <n v="111.4426302793557"/>
  </r>
  <r>
    <s v="Regular"/>
    <x v="3"/>
    <x v="4"/>
    <x v="2"/>
    <x v="0"/>
    <x v="0"/>
    <x v="0"/>
    <x v="3"/>
    <x v="5"/>
    <n v="0"/>
    <n v="0"/>
    <n v="0.53100000000000003"/>
    <n v="0.53100000000000003"/>
    <n v="0.53100000000000003"/>
    <n v="0.53100000000000003"/>
    <n v="0"/>
    <x v="1"/>
    <n v="0"/>
    <n v="0"/>
    <n v="23"/>
    <n v="83"/>
    <n v="0"/>
    <n v="525.19000000000005"/>
    <n v="213.69"/>
    <m/>
    <n v="622.67879430695984"/>
    <n v="211.06558765029487"/>
    <n v="0"/>
    <n v="278.87589000000003"/>
    <n v="113.46939"/>
    <n v="0"/>
    <n v="330.64243977699567"/>
    <n v="112.07582704230659"/>
  </r>
  <r>
    <s v="Regular"/>
    <x v="3"/>
    <x v="4"/>
    <x v="2"/>
    <x v="0"/>
    <x v="0"/>
    <x v="0"/>
    <x v="3"/>
    <x v="6"/>
    <n v="0"/>
    <n v="0"/>
    <n v="0.34799999999999998"/>
    <n v="0.34799999999999998"/>
    <n v="0.34799999999999998"/>
    <n v="0.34799999999999998"/>
    <n v="0"/>
    <x v="1"/>
    <n v="0"/>
    <n v="0"/>
    <n v="23"/>
    <n v="83"/>
    <n v="0"/>
    <n v="525.19000000000005"/>
    <n v="213.69"/>
    <m/>
    <n v="622.67879430695984"/>
    <n v="211.06558765029487"/>
    <n v="0"/>
    <n v="182.76612"/>
    <n v="74.36412"/>
    <n v="0"/>
    <n v="216.69222041882202"/>
    <n v="73.450824502302609"/>
  </r>
  <r>
    <s v="Regular"/>
    <x v="3"/>
    <x v="4"/>
    <x v="2"/>
    <x v="0"/>
    <x v="0"/>
    <x v="0"/>
    <x v="3"/>
    <x v="7"/>
    <n v="0"/>
    <n v="0"/>
    <n v="0.16300000000000001"/>
    <n v="0.16300000000000001"/>
    <n v="0.16300000000000001"/>
    <n v="0.16300000000000001"/>
    <n v="0"/>
    <x v="1"/>
    <n v="0"/>
    <n v="0"/>
    <n v="23"/>
    <n v="83"/>
    <n v="0"/>
    <n v="525.19000000000005"/>
    <n v="213.69"/>
    <m/>
    <n v="622.67879430695984"/>
    <n v="211.06558765029487"/>
    <n v="0"/>
    <n v="85.605970000000013"/>
    <n v="34.831470000000003"/>
    <n v="0"/>
    <n v="101.49664347203446"/>
    <n v="34.403690786998062"/>
  </r>
  <r>
    <s v="Regular"/>
    <x v="3"/>
    <x v="4"/>
    <x v="2"/>
    <x v="0"/>
    <x v="0"/>
    <x v="0"/>
    <x v="3"/>
    <x v="8"/>
    <n v="0"/>
    <n v="0"/>
    <n v="0.14199999999999999"/>
    <n v="0.14199999999999999"/>
    <n v="0.14199999999999999"/>
    <n v="0.14199999999999999"/>
    <n v="0"/>
    <x v="1"/>
    <n v="0"/>
    <n v="0"/>
    <n v="23"/>
    <n v="83"/>
    <n v="0"/>
    <n v="525.19000000000005"/>
    <n v="213.69"/>
    <m/>
    <n v="622.67879430695984"/>
    <n v="211.06558765029487"/>
    <n v="0"/>
    <n v="74.576980000000006"/>
    <n v="30.343979999999998"/>
    <n v="0"/>
    <n v="88.420388791588294"/>
    <n v="29.97131344634187"/>
  </r>
  <r>
    <s v="Regular"/>
    <x v="3"/>
    <x v="4"/>
    <x v="2"/>
    <x v="0"/>
    <x v="0"/>
    <x v="0"/>
    <x v="3"/>
    <x v="9"/>
    <n v="0"/>
    <n v="0"/>
    <n v="0.154"/>
    <n v="0.154"/>
    <n v="0.154"/>
    <n v="0.154"/>
    <n v="0"/>
    <x v="1"/>
    <n v="0"/>
    <n v="0"/>
    <n v="23"/>
    <n v="83"/>
    <n v="0"/>
    <n v="525.19000000000005"/>
    <n v="213.69"/>
    <m/>
    <n v="622.67879430695984"/>
    <n v="211.06558765029487"/>
    <n v="0"/>
    <n v="80.879260000000002"/>
    <n v="32.908259999999999"/>
    <n v="0"/>
    <n v="95.892534323271818"/>
    <n v="32.504100498145412"/>
  </r>
  <r>
    <s v="Regular"/>
    <x v="3"/>
    <x v="4"/>
    <x v="2"/>
    <x v="0"/>
    <x v="0"/>
    <x v="0"/>
    <x v="3"/>
    <x v="10"/>
    <n v="0"/>
    <n v="0"/>
    <n v="0.14000000000000001"/>
    <n v="0.14000000000000001"/>
    <n v="0.14000000000000001"/>
    <n v="0.14000000000000001"/>
    <n v="0"/>
    <x v="1"/>
    <n v="0"/>
    <n v="0"/>
    <n v="23"/>
    <n v="83"/>
    <n v="0"/>
    <n v="525.19000000000005"/>
    <n v="213.69"/>
    <m/>
    <n v="622.67879430695984"/>
    <n v="211.06558765029487"/>
    <n v="0"/>
    <n v="73.526600000000016"/>
    <n v="29.916600000000003"/>
    <n v="0"/>
    <n v="87.175031202974381"/>
    <n v="29.549182271041285"/>
  </r>
  <r>
    <s v="PROJETADO"/>
    <x v="3"/>
    <x v="4"/>
    <x v="2"/>
    <x v="0"/>
    <x v="0"/>
    <x v="0"/>
    <x v="3"/>
    <x v="11"/>
    <n v="0"/>
    <n v="0"/>
    <n v="0.14000000000000001"/>
    <n v="0.14000000000000001"/>
    <n v="0.14000000000000001"/>
    <n v="0.14000000000000001"/>
    <n v="0"/>
    <x v="1"/>
    <n v="0"/>
    <n v="0"/>
    <n v="23"/>
    <n v="83"/>
    <n v="0"/>
    <n v="525.19000000000005"/>
    <n v="213.69"/>
    <m/>
    <n v="622.67879430695984"/>
    <n v="211.06558765029487"/>
    <n v="0"/>
    <n v="73.526600000000016"/>
    <n v="29.916600000000003"/>
    <n v="0"/>
    <n v="87.175031202974381"/>
    <n v="29.549182271041285"/>
  </r>
  <r>
    <s v="Regular"/>
    <x v="3"/>
    <x v="4"/>
    <x v="2"/>
    <x v="0"/>
    <x v="0"/>
    <x v="0"/>
    <x v="2"/>
    <x v="0"/>
    <n v="0"/>
    <n v="0"/>
    <n v="0.37"/>
    <n v="0.37"/>
    <n v="0.37"/>
    <n v="0.37"/>
    <n v="0"/>
    <x v="1"/>
    <n v="0"/>
    <n v="0"/>
    <n v="21"/>
    <n v="82"/>
    <n v="0"/>
    <n v="823.61"/>
    <n v="349.91"/>
    <m/>
    <n v="973.98514137315783"/>
    <n v="330.57130361553931"/>
    <n v="0"/>
    <n v="304.73570000000001"/>
    <n v="129.4667"/>
    <n v="0"/>
    <n v="360.37450230806837"/>
    <n v="122.31138233774954"/>
  </r>
  <r>
    <s v="Regular"/>
    <x v="3"/>
    <x v="4"/>
    <x v="2"/>
    <x v="0"/>
    <x v="0"/>
    <x v="0"/>
    <x v="2"/>
    <x v="1"/>
    <n v="0"/>
    <n v="0"/>
    <n v="0.30399999999999999"/>
    <n v="0.30399999999999999"/>
    <n v="0.30399999999999999"/>
    <n v="0.30399999999999999"/>
    <n v="0"/>
    <x v="1"/>
    <n v="0"/>
    <n v="0"/>
    <n v="21"/>
    <n v="82"/>
    <n v="0"/>
    <n v="823.61"/>
    <n v="349.91"/>
    <m/>
    <n v="973.98514137315783"/>
    <n v="330.57130361553931"/>
    <n v="0"/>
    <n v="250.37744000000001"/>
    <n v="106.37264"/>
    <n v="0"/>
    <n v="296.09148297743997"/>
    <n v="100.49367629912395"/>
  </r>
  <r>
    <s v="Regular"/>
    <x v="3"/>
    <x v="4"/>
    <x v="2"/>
    <x v="0"/>
    <x v="0"/>
    <x v="0"/>
    <x v="2"/>
    <x v="2"/>
    <n v="0"/>
    <n v="0"/>
    <n v="0.36799999999999999"/>
    <n v="0.36799999999999999"/>
    <n v="0.36799999999999999"/>
    <n v="0.36799999999999999"/>
    <n v="0"/>
    <x v="1"/>
    <n v="0"/>
    <n v="0"/>
    <n v="21"/>
    <n v="82"/>
    <n v="0"/>
    <n v="823.61"/>
    <n v="349.91"/>
    <m/>
    <n v="973.98514137315783"/>
    <n v="330.57130361553931"/>
    <n v="0"/>
    <n v="303.08848"/>
    <n v="128.76688000000001"/>
    <n v="0"/>
    <n v="358.4265320253221"/>
    <n v="121.65023973051846"/>
  </r>
  <r>
    <s v="Regular"/>
    <x v="3"/>
    <x v="4"/>
    <x v="2"/>
    <x v="0"/>
    <x v="0"/>
    <x v="0"/>
    <x v="2"/>
    <x v="3"/>
    <n v="0"/>
    <n v="0"/>
    <n v="0.36699999999999999"/>
    <n v="0.36699999999999999"/>
    <n v="0.36699999999999999"/>
    <n v="0.36699999999999999"/>
    <n v="0"/>
    <x v="1"/>
    <n v="0"/>
    <n v="0"/>
    <n v="21"/>
    <n v="82"/>
    <n v="0"/>
    <n v="823.61"/>
    <n v="349.91"/>
    <m/>
    <n v="973.98514137315783"/>
    <n v="330.57130361553931"/>
    <n v="0"/>
    <n v="302.26486999999997"/>
    <n v="128.41697000000002"/>
    <n v="0"/>
    <n v="357.45254688394891"/>
    <n v="121.31966842690292"/>
  </r>
  <r>
    <s v="Regular"/>
    <x v="3"/>
    <x v="4"/>
    <x v="2"/>
    <x v="0"/>
    <x v="0"/>
    <x v="0"/>
    <x v="2"/>
    <x v="4"/>
    <n v="0"/>
    <n v="0"/>
    <n v="0.379"/>
    <n v="0.379"/>
    <n v="0.379"/>
    <n v="0.379"/>
    <n v="0"/>
    <x v="1"/>
    <n v="0"/>
    <n v="0"/>
    <n v="21"/>
    <n v="82"/>
    <n v="0"/>
    <n v="823.61"/>
    <n v="349.91"/>
    <m/>
    <n v="973.98514137315783"/>
    <n v="330.57130361553931"/>
    <n v="0"/>
    <n v="312.14819"/>
    <n v="132.61589000000001"/>
    <n v="0"/>
    <n v="369.14036858042681"/>
    <n v="125.2865240702894"/>
  </r>
  <r>
    <s v="Regular"/>
    <x v="3"/>
    <x v="4"/>
    <x v="2"/>
    <x v="0"/>
    <x v="0"/>
    <x v="0"/>
    <x v="2"/>
    <x v="5"/>
    <n v="0"/>
    <n v="0"/>
    <n v="0.53300000000000003"/>
    <n v="0.53300000000000003"/>
    <n v="0.53300000000000003"/>
    <n v="0.53300000000000003"/>
    <n v="0"/>
    <x v="1"/>
    <n v="0"/>
    <n v="0"/>
    <n v="21"/>
    <n v="82"/>
    <n v="0"/>
    <n v="823.61"/>
    <n v="349.91"/>
    <m/>
    <n v="973.98514137315783"/>
    <n v="330.57130361553931"/>
    <n v="0"/>
    <n v="438.98413000000005"/>
    <n v="186.50203000000002"/>
    <n v="0"/>
    <n v="519.1340803518932"/>
    <n v="176.19450482708245"/>
  </r>
  <r>
    <s v="Regular"/>
    <x v="3"/>
    <x v="4"/>
    <x v="2"/>
    <x v="0"/>
    <x v="0"/>
    <x v="0"/>
    <x v="2"/>
    <x v="6"/>
    <n v="0"/>
    <n v="0"/>
    <n v="0.312"/>
    <n v="0.312"/>
    <n v="0.312"/>
    <n v="0.312"/>
    <n v="0"/>
    <x v="1"/>
    <n v="0"/>
    <n v="0"/>
    <n v="21"/>
    <n v="82"/>
    <n v="0"/>
    <n v="823.61"/>
    <n v="349.91"/>
    <m/>
    <n v="973.98514137315783"/>
    <n v="330.57130361553931"/>
    <n v="0"/>
    <n v="256.96632"/>
    <n v="109.17192000000001"/>
    <n v="0"/>
    <n v="303.88336410842527"/>
    <n v="103.13824672804826"/>
  </r>
  <r>
    <s v="Regular"/>
    <x v="3"/>
    <x v="4"/>
    <x v="2"/>
    <x v="0"/>
    <x v="0"/>
    <x v="0"/>
    <x v="2"/>
    <x v="7"/>
    <n v="0"/>
    <n v="0"/>
    <n v="0.23499999999999999"/>
    <n v="0.23499999999999999"/>
    <n v="0.23499999999999999"/>
    <n v="0.23499999999999999"/>
    <n v="0"/>
    <x v="1"/>
    <n v="0"/>
    <n v="0"/>
    <n v="21"/>
    <n v="82"/>
    <n v="0"/>
    <n v="823.61"/>
    <n v="349.91"/>
    <m/>
    <n v="973.98514137315783"/>
    <n v="330.57130361553931"/>
    <n v="0"/>
    <n v="193.54835"/>
    <n v="82.228849999999994"/>
    <n v="0"/>
    <n v="228.88650822269207"/>
    <n v="77.684256349651733"/>
  </r>
  <r>
    <s v="Regular"/>
    <x v="3"/>
    <x v="4"/>
    <x v="2"/>
    <x v="0"/>
    <x v="0"/>
    <x v="0"/>
    <x v="2"/>
    <x v="8"/>
    <n v="0"/>
    <n v="0"/>
    <n v="0.216"/>
    <n v="0.216"/>
    <n v="0.216"/>
    <n v="0.216"/>
    <n v="0"/>
    <x v="1"/>
    <n v="0"/>
    <n v="0"/>
    <n v="21"/>
    <n v="82"/>
    <n v="0"/>
    <n v="823.61"/>
    <n v="349.91"/>
    <m/>
    <n v="973.98514137315783"/>
    <n v="330.57130361553931"/>
    <n v="0"/>
    <n v="177.89976000000001"/>
    <n v="75.580560000000006"/>
    <n v="0"/>
    <n v="210.38079053660209"/>
    <n v="71.403401580956483"/>
  </r>
  <r>
    <s v="Regular"/>
    <x v="3"/>
    <x v="4"/>
    <x v="2"/>
    <x v="0"/>
    <x v="0"/>
    <x v="0"/>
    <x v="2"/>
    <x v="9"/>
    <n v="0"/>
    <n v="0"/>
    <n v="0.23499999999999999"/>
    <n v="0.23499999999999999"/>
    <n v="0.23499999999999999"/>
    <n v="0.23499999999999999"/>
    <n v="0"/>
    <x v="1"/>
    <n v="0"/>
    <n v="0"/>
    <n v="21"/>
    <n v="82"/>
    <n v="0"/>
    <n v="823.61"/>
    <n v="349.91"/>
    <m/>
    <n v="973.98514137315783"/>
    <n v="330.57130361553931"/>
    <n v="0"/>
    <n v="193.54835"/>
    <n v="82.228849999999994"/>
    <n v="0"/>
    <n v="228.88650822269207"/>
    <n v="77.684256349651733"/>
  </r>
  <r>
    <s v="Regular"/>
    <x v="3"/>
    <x v="4"/>
    <x v="2"/>
    <x v="0"/>
    <x v="0"/>
    <x v="0"/>
    <x v="2"/>
    <x v="10"/>
    <n v="0"/>
    <n v="0"/>
    <n v="0.218"/>
    <n v="0.218"/>
    <n v="0.218"/>
    <n v="0.218"/>
    <n v="0"/>
    <x v="1"/>
    <n v="0"/>
    <n v="0"/>
    <n v="21"/>
    <n v="82"/>
    <n v="0"/>
    <n v="823.61"/>
    <n v="349.91"/>
    <m/>
    <n v="973.98514137315783"/>
    <n v="330.57130361553931"/>
    <n v="0"/>
    <n v="179.54697999999999"/>
    <n v="76.280380000000008"/>
    <n v="0"/>
    <n v="212.32876081934842"/>
    <n v="72.064544188187568"/>
  </r>
  <r>
    <s v="PROJETADO"/>
    <x v="3"/>
    <x v="4"/>
    <x v="2"/>
    <x v="0"/>
    <x v="0"/>
    <x v="0"/>
    <x v="2"/>
    <x v="11"/>
    <n v="0"/>
    <n v="0"/>
    <n v="0.218"/>
    <n v="0.218"/>
    <n v="0.218"/>
    <n v="0.218"/>
    <n v="0"/>
    <x v="1"/>
    <n v="0"/>
    <n v="0"/>
    <n v="21"/>
    <n v="82"/>
    <n v="0"/>
    <n v="823.61"/>
    <n v="349.91"/>
    <m/>
    <n v="973.98514137315783"/>
    <n v="330.57130361553931"/>
    <n v="0"/>
    <n v="179.54697999999999"/>
    <n v="76.280380000000008"/>
    <n v="0"/>
    <n v="212.32876081934842"/>
    <n v="72.064544188187568"/>
  </r>
  <r>
    <s v="Regular"/>
    <x v="3"/>
    <x v="5"/>
    <x v="2"/>
    <x v="2"/>
    <x v="4"/>
    <x v="0"/>
    <x v="1"/>
    <x v="0"/>
    <n v="0"/>
    <n v="0"/>
    <n v="2523.9659999999999"/>
    <n v="2523.9659999999999"/>
    <n v="2523.9659999999999"/>
    <n v="2523.9659999999999"/>
    <n v="0"/>
    <x v="1"/>
    <n v="0"/>
    <n v="0"/>
    <n v="27"/>
    <n v="85"/>
    <n v="0"/>
    <n v="300.26"/>
    <n v="225.04"/>
    <m/>
    <n v="357.88800100545785"/>
    <n v="221.02439731406525"/>
    <n v="0"/>
    <n v="757846.0311599999"/>
    <n v="567993.30863999994"/>
    <n v="0"/>
    <n v="903297.14634574135"/>
    <n v="557858.06399119203"/>
  </r>
  <r>
    <s v="Refaturamento - Regular"/>
    <x v="3"/>
    <x v="5"/>
    <x v="2"/>
    <x v="2"/>
    <x v="4"/>
    <x v="0"/>
    <x v="1"/>
    <x v="0"/>
    <n v="0"/>
    <n v="0"/>
    <n v="-22.556999999999999"/>
    <n v="-22.556999999999999"/>
    <n v="-22.556999999999999"/>
    <n v="-22.556999999999999"/>
    <n v="0"/>
    <x v="1"/>
    <n v="0"/>
    <n v="0"/>
    <n v="27"/>
    <n v="85"/>
    <n v="0"/>
    <n v="300.26"/>
    <n v="225.04"/>
    <m/>
    <n v="357.88800100545785"/>
    <n v="221.02439731406525"/>
    <n v="0"/>
    <n v="-6772.9648199999992"/>
    <n v="-5076.2272799999992"/>
    <n v="0"/>
    <n v="-8072.8796386801123"/>
    <n v="-4985.64733021337"/>
  </r>
  <r>
    <s v="Sistema de Compensação"/>
    <x v="3"/>
    <x v="5"/>
    <x v="2"/>
    <x v="2"/>
    <x v="4"/>
    <x v="0"/>
    <x v="1"/>
    <x v="0"/>
    <n v="0"/>
    <n v="0"/>
    <n v="75.521000000000001"/>
    <n v="75.521000000000001"/>
    <n v="75.521000000000001"/>
    <n v="75.521000000000001"/>
    <n v="0"/>
    <x v="1"/>
    <n v="0"/>
    <n v="0"/>
    <n v="27"/>
    <n v="85"/>
    <n v="0"/>
    <n v="300.26"/>
    <n v="225.04"/>
    <m/>
    <n v="357.88800100545785"/>
    <n v="221.02439731406525"/>
    <n v="0"/>
    <n v="22675.935460000001"/>
    <n v="16995.24584"/>
    <n v="0"/>
    <n v="27028.059723933184"/>
    <n v="16691.983509555521"/>
  </r>
  <r>
    <s v="Regular"/>
    <x v="3"/>
    <x v="5"/>
    <x v="2"/>
    <x v="2"/>
    <x v="4"/>
    <x v="0"/>
    <x v="1"/>
    <x v="1"/>
    <n v="0"/>
    <n v="0"/>
    <n v="2721.3130000000001"/>
    <n v="2721.3130000000001"/>
    <n v="2721.3130000000001"/>
    <n v="2721.3130000000001"/>
    <n v="0"/>
    <x v="1"/>
    <n v="0"/>
    <n v="0"/>
    <n v="27"/>
    <n v="85"/>
    <n v="0"/>
    <n v="300.26"/>
    <n v="225.04"/>
    <m/>
    <n v="357.88800100545785"/>
    <n v="221.02439731406525"/>
    <n v="0"/>
    <n v="817101.44137999997"/>
    <n v="612404.27752"/>
    <n v="0"/>
    <n v="973925.26968016557"/>
    <n v="601476.56572793087"/>
  </r>
  <r>
    <s v="Refaturamento - Regular"/>
    <x v="3"/>
    <x v="5"/>
    <x v="2"/>
    <x v="2"/>
    <x v="4"/>
    <x v="0"/>
    <x v="1"/>
    <x v="1"/>
    <n v="0"/>
    <n v="0"/>
    <n v="-69.834999999999994"/>
    <n v="-69.834999999999994"/>
    <n v="-69.834999999999994"/>
    <n v="-69.834999999999994"/>
    <n v="0"/>
    <x v="1"/>
    <n v="0"/>
    <n v="0"/>
    <n v="27"/>
    <n v="85"/>
    <n v="0"/>
    <n v="300.26"/>
    <n v="225.04"/>
    <m/>
    <n v="357.88800100545785"/>
    <n v="221.02439731406525"/>
    <n v="0"/>
    <n v="-20968.657099999997"/>
    <n v="-15715.668399999999"/>
    <n v="0"/>
    <n v="-24993.108550216148"/>
    <n v="-15435.238786427746"/>
  </r>
  <r>
    <s v="Sistema de Compensação"/>
    <x v="3"/>
    <x v="5"/>
    <x v="2"/>
    <x v="2"/>
    <x v="4"/>
    <x v="0"/>
    <x v="1"/>
    <x v="1"/>
    <n v="0"/>
    <n v="0"/>
    <n v="57.8"/>
    <n v="57.8"/>
    <n v="57.8"/>
    <n v="57.8"/>
    <n v="0"/>
    <x v="1"/>
    <n v="0"/>
    <n v="0"/>
    <n v="27"/>
    <n v="85"/>
    <n v="0"/>
    <n v="300.26"/>
    <n v="225.04"/>
    <m/>
    <n v="357.88800100545785"/>
    <n v="221.02439731406525"/>
    <n v="0"/>
    <n v="17355.027999999998"/>
    <n v="13007.311999999998"/>
    <n v="0"/>
    <n v="20685.926458115464"/>
    <n v="12775.210164752971"/>
  </r>
  <r>
    <s v="Regular"/>
    <x v="3"/>
    <x v="5"/>
    <x v="2"/>
    <x v="2"/>
    <x v="4"/>
    <x v="0"/>
    <x v="1"/>
    <x v="2"/>
    <n v="0"/>
    <n v="0"/>
    <n v="3010.81"/>
    <n v="3010.81"/>
    <n v="3010.81"/>
    <n v="3010.81"/>
    <n v="0"/>
    <x v="1"/>
    <n v="0"/>
    <n v="0"/>
    <n v="27"/>
    <n v="85"/>
    <n v="0"/>
    <n v="300.26"/>
    <n v="225.04"/>
    <m/>
    <n v="357.88800100545785"/>
    <n v="221.02439731406525"/>
    <n v="0"/>
    <n v="904025.81059999997"/>
    <n v="677552.68239999993"/>
    <n v="0"/>
    <n v="1077532.7723072425"/>
    <n v="665462.46567716077"/>
  </r>
  <r>
    <s v="Refaturamento - Regular"/>
    <x v="3"/>
    <x v="5"/>
    <x v="2"/>
    <x v="2"/>
    <x v="4"/>
    <x v="0"/>
    <x v="1"/>
    <x v="2"/>
    <n v="0"/>
    <n v="0"/>
    <n v="-160.626"/>
    <n v="-160.626"/>
    <n v="-160.626"/>
    <n v="-160.626"/>
    <n v="0"/>
    <x v="1"/>
    <n v="0"/>
    <n v="0"/>
    <n v="27"/>
    <n v="85"/>
    <n v="0"/>
    <n v="300.26"/>
    <n v="225.04"/>
    <m/>
    <n v="357.88800100545785"/>
    <n v="221.02439731406525"/>
    <n v="0"/>
    <n v="-48229.562760000001"/>
    <n v="-36147.27504"/>
    <n v="0"/>
    <n v="-57486.118049502671"/>
    <n v="-35502.264842969045"/>
  </r>
  <r>
    <s v="Sistema de Compensação"/>
    <x v="3"/>
    <x v="5"/>
    <x v="2"/>
    <x v="2"/>
    <x v="4"/>
    <x v="0"/>
    <x v="1"/>
    <x v="2"/>
    <n v="0"/>
    <n v="0"/>
    <n v="80.421999999999997"/>
    <n v="80.421999999999997"/>
    <n v="80.421999999999997"/>
    <n v="80.421999999999997"/>
    <n v="0"/>
    <x v="1"/>
    <n v="0"/>
    <n v="0"/>
    <n v="27"/>
    <n v="85"/>
    <n v="0"/>
    <n v="300.26"/>
    <n v="225.04"/>
    <m/>
    <n v="357.88800100545785"/>
    <n v="221.02439731406525"/>
    <n v="0"/>
    <n v="24147.509719999998"/>
    <n v="18098.166879999997"/>
    <n v="0"/>
    <n v="28782.06881686093"/>
    <n v="17775.224080791755"/>
  </r>
  <r>
    <s v="Regular"/>
    <x v="3"/>
    <x v="5"/>
    <x v="2"/>
    <x v="2"/>
    <x v="4"/>
    <x v="0"/>
    <x v="1"/>
    <x v="3"/>
    <n v="0"/>
    <n v="0"/>
    <n v="3123.9059999999999"/>
    <n v="3123.9059999999999"/>
    <n v="3123.9059999999999"/>
    <n v="3123.9059999999999"/>
    <n v="0"/>
    <x v="1"/>
    <n v="0"/>
    <n v="0"/>
    <n v="27"/>
    <n v="85"/>
    <n v="0"/>
    <n v="300.26"/>
    <n v="225.04"/>
    <m/>
    <n v="357.88800100545785"/>
    <n v="221.02439731406525"/>
    <n v="0"/>
    <n v="937984.01555999997"/>
    <n v="703003.80623999995"/>
    <n v="0"/>
    <n v="1118008.4736689557"/>
    <n v="690459.44091579237"/>
  </r>
  <r>
    <s v="Refaturamento - Regular"/>
    <x v="3"/>
    <x v="5"/>
    <x v="2"/>
    <x v="2"/>
    <x v="4"/>
    <x v="0"/>
    <x v="1"/>
    <x v="3"/>
    <n v="0"/>
    <n v="0"/>
    <n v="-52.665999999999997"/>
    <n v="-52.665999999999997"/>
    <n v="-52.665999999999997"/>
    <n v="-52.665999999999997"/>
    <n v="0"/>
    <x v="1"/>
    <n v="0"/>
    <n v="0"/>
    <n v="27"/>
    <n v="85"/>
    <n v="0"/>
    <n v="300.26"/>
    <n v="225.04"/>
    <m/>
    <n v="357.88800100545785"/>
    <n v="221.02439731406525"/>
    <n v="0"/>
    <n v="-15813.493159999998"/>
    <n v="-11851.956639999999"/>
    <n v="0"/>
    <n v="-18848.529460953443"/>
    <n v="-11640.47090894256"/>
  </r>
  <r>
    <s v="Sistema de Compensação"/>
    <x v="3"/>
    <x v="5"/>
    <x v="2"/>
    <x v="2"/>
    <x v="4"/>
    <x v="0"/>
    <x v="1"/>
    <x v="3"/>
    <n v="0"/>
    <n v="0"/>
    <n v="112.06699999999999"/>
    <n v="112.06699999999999"/>
    <n v="112.06699999999999"/>
    <n v="112.06699999999999"/>
    <n v="0"/>
    <x v="1"/>
    <n v="0"/>
    <n v="0"/>
    <n v="27"/>
    <n v="85"/>
    <n v="0"/>
    <n v="300.26"/>
    <n v="225.04"/>
    <m/>
    <n v="357.88800100545785"/>
    <n v="221.02439731406525"/>
    <n v="0"/>
    <n v="33649.237419999998"/>
    <n v="25219.557679999998"/>
    <n v="0"/>
    <n v="40107.434608678639"/>
    <n v="24769.541133795348"/>
  </r>
  <r>
    <s v="Regular"/>
    <x v="3"/>
    <x v="5"/>
    <x v="2"/>
    <x v="2"/>
    <x v="4"/>
    <x v="0"/>
    <x v="1"/>
    <x v="4"/>
    <n v="0"/>
    <n v="0"/>
    <n v="3471.3240000000001"/>
    <n v="3471.3240000000001"/>
    <n v="3471.3240000000001"/>
    <n v="3471.3240000000001"/>
    <n v="0"/>
    <x v="1"/>
    <n v="0"/>
    <n v="0"/>
    <n v="27"/>
    <n v="85"/>
    <n v="0"/>
    <n v="300.26"/>
    <n v="225.04"/>
    <m/>
    <n v="357.88800100545785"/>
    <n v="221.02439731406525"/>
    <n v="0"/>
    <n v="1042299.74424"/>
    <n v="781186.75295999995"/>
    <n v="0"/>
    <n v="1242345.2072022699"/>
    <n v="767247.29498185031"/>
  </r>
  <r>
    <s v="Refaturamento - Regular"/>
    <x v="3"/>
    <x v="5"/>
    <x v="2"/>
    <x v="2"/>
    <x v="4"/>
    <x v="0"/>
    <x v="1"/>
    <x v="4"/>
    <n v="0"/>
    <n v="0"/>
    <n v="-107.721"/>
    <n v="-107.721"/>
    <n v="-107.721"/>
    <n v="-107.721"/>
    <n v="0"/>
    <x v="1"/>
    <n v="0"/>
    <n v="0"/>
    <n v="27"/>
    <n v="85"/>
    <n v="0"/>
    <n v="300.26"/>
    <n v="225.04"/>
    <m/>
    <n v="357.88800100545785"/>
    <n v="221.02439731406525"/>
    <n v="0"/>
    <n v="-32344.30746"/>
    <n v="-24241.53384"/>
    <n v="0"/>
    <n v="-38552.053356308927"/>
    <n v="-23808.969103068423"/>
  </r>
  <r>
    <s v="Sistema de Compensação"/>
    <x v="3"/>
    <x v="5"/>
    <x v="2"/>
    <x v="2"/>
    <x v="4"/>
    <x v="0"/>
    <x v="1"/>
    <x v="4"/>
    <n v="0"/>
    <n v="0"/>
    <n v="123.726"/>
    <n v="123.726"/>
    <n v="123.726"/>
    <n v="123.726"/>
    <n v="0"/>
    <x v="1"/>
    <n v="0"/>
    <n v="0"/>
    <n v="27"/>
    <n v="85"/>
    <n v="0"/>
    <n v="300.26"/>
    <n v="225.04"/>
    <m/>
    <n v="357.88800100545785"/>
    <n v="221.02439731406525"/>
    <n v="0"/>
    <n v="37149.968759999996"/>
    <n v="27843.299039999998"/>
    <n v="0"/>
    <n v="44280.050812401278"/>
    <n v="27346.464582080036"/>
  </r>
  <r>
    <s v="Regular"/>
    <x v="3"/>
    <x v="5"/>
    <x v="2"/>
    <x v="2"/>
    <x v="4"/>
    <x v="0"/>
    <x v="1"/>
    <x v="5"/>
    <n v="0"/>
    <n v="0"/>
    <n v="2284.2489999999998"/>
    <n v="2284.2489999999998"/>
    <n v="2284.2489999999998"/>
    <n v="2284.2489999999998"/>
    <n v="0"/>
    <x v="1"/>
    <n v="0"/>
    <n v="0"/>
    <n v="27"/>
    <n v="85"/>
    <n v="0"/>
    <n v="300.26"/>
    <n v="225.04"/>
    <m/>
    <n v="357.88800100545785"/>
    <n v="221.02439731406525"/>
    <n v="0"/>
    <n v="685868.60473999986"/>
    <n v="514047.39495999995"/>
    <n v="0"/>
    <n v="817505.308408716"/>
    <n v="504874.75854025618"/>
  </r>
  <r>
    <s v="Refaturamento - Regular"/>
    <x v="3"/>
    <x v="5"/>
    <x v="2"/>
    <x v="2"/>
    <x v="4"/>
    <x v="0"/>
    <x v="1"/>
    <x v="5"/>
    <n v="0"/>
    <n v="0"/>
    <n v="-27.282"/>
    <n v="-27.282"/>
    <n v="-27.282"/>
    <n v="-27.282"/>
    <n v="0"/>
    <x v="1"/>
    <n v="0"/>
    <n v="0"/>
    <n v="27"/>
    <n v="85"/>
    <n v="0"/>
    <n v="300.26"/>
    <n v="225.04"/>
    <m/>
    <n v="357.88800100545785"/>
    <n v="221.02439731406525"/>
    <n v="0"/>
    <n v="-8191.6933199999994"/>
    <n v="-6139.5412799999995"/>
    <n v="0"/>
    <n v="-9763.9004434309009"/>
    <n v="-6029.9876075223283"/>
  </r>
  <r>
    <s v="Sistema de Compensação"/>
    <x v="3"/>
    <x v="5"/>
    <x v="2"/>
    <x v="2"/>
    <x v="4"/>
    <x v="0"/>
    <x v="1"/>
    <x v="5"/>
    <n v="0"/>
    <n v="0"/>
    <n v="81.566000000000003"/>
    <n v="81.566000000000003"/>
    <n v="81.566000000000003"/>
    <n v="81.566000000000003"/>
    <n v="0"/>
    <x v="1"/>
    <n v="0"/>
    <n v="0"/>
    <n v="27"/>
    <n v="85"/>
    <n v="0"/>
    <n v="300.26"/>
    <n v="225.04"/>
    <m/>
    <n v="357.88800100545785"/>
    <n v="221.02439731406525"/>
    <n v="0"/>
    <n v="24491.007160000001"/>
    <n v="18355.612639999999"/>
    <n v="0"/>
    <n v="29191.492690011175"/>
    <n v="18028.075991319049"/>
  </r>
  <r>
    <s v="Regular"/>
    <x v="3"/>
    <x v="5"/>
    <x v="2"/>
    <x v="2"/>
    <x v="4"/>
    <x v="0"/>
    <x v="1"/>
    <x v="6"/>
    <n v="0"/>
    <n v="0"/>
    <n v="1871.96"/>
    <n v="1871.96"/>
    <n v="1871.96"/>
    <n v="1871.96"/>
    <n v="0"/>
    <x v="1"/>
    <n v="0"/>
    <n v="0"/>
    <n v="27"/>
    <n v="85"/>
    <n v="0"/>
    <n v="300.26"/>
    <n v="225.04"/>
    <m/>
    <n v="357.88800100545785"/>
    <n v="221.02439731406525"/>
    <n v="0"/>
    <n v="562074.70959999994"/>
    <n v="421265.87839999999"/>
    <n v="0"/>
    <n v="669952.02236217691"/>
    <n v="413748.83079603763"/>
  </r>
  <r>
    <s v="Refaturamento - Regular"/>
    <x v="3"/>
    <x v="5"/>
    <x v="2"/>
    <x v="2"/>
    <x v="4"/>
    <x v="0"/>
    <x v="1"/>
    <x v="6"/>
    <n v="0"/>
    <n v="0"/>
    <n v="-107.125"/>
    <n v="-107.125"/>
    <n v="-107.125"/>
    <n v="-107.125"/>
    <n v="0"/>
    <x v="1"/>
    <n v="0"/>
    <n v="0"/>
    <n v="27"/>
    <n v="85"/>
    <n v="0"/>
    <n v="300.26"/>
    <n v="225.04"/>
    <m/>
    <n v="357.88800100545785"/>
    <n v="221.02439731406525"/>
    <n v="0"/>
    <n v="-32165.352499999997"/>
    <n v="-24107.41"/>
    <n v="0"/>
    <n v="-38338.752107709675"/>
    <n v="-23677.238562269242"/>
  </r>
  <r>
    <s v="Sistema de Compensação"/>
    <x v="3"/>
    <x v="5"/>
    <x v="2"/>
    <x v="2"/>
    <x v="4"/>
    <x v="0"/>
    <x v="1"/>
    <x v="6"/>
    <n v="0"/>
    <n v="0"/>
    <n v="61.600999999999999"/>
    <n v="61.600999999999999"/>
    <n v="61.600999999999999"/>
    <n v="61.600999999999999"/>
    <n v="0"/>
    <x v="1"/>
    <n v="0"/>
    <n v="0"/>
    <n v="27"/>
    <n v="85"/>
    <n v="0"/>
    <n v="300.26"/>
    <n v="225.04"/>
    <m/>
    <n v="357.88800100545785"/>
    <n v="221.02439731406525"/>
    <n v="0"/>
    <n v="18496.31626"/>
    <n v="13862.689039999999"/>
    <n v="0"/>
    <n v="22046.258749937209"/>
    <n v="13615.323898943734"/>
  </r>
  <r>
    <s v="Sistema de Compensação"/>
    <x v="3"/>
    <x v="5"/>
    <x v="2"/>
    <x v="2"/>
    <x v="4"/>
    <x v="0"/>
    <x v="1"/>
    <x v="6"/>
    <n v="0"/>
    <n v="0"/>
    <n v="0.12"/>
    <n v="0.12"/>
    <n v="0.12"/>
    <n v="0.12"/>
    <n v="0"/>
    <x v="1"/>
    <n v="0"/>
    <n v="0"/>
    <n v="27"/>
    <n v="85"/>
    <n v="0"/>
    <n v="300.26"/>
    <n v="225.04"/>
    <m/>
    <n v="357.88800100545785"/>
    <n v="221.02439731406525"/>
    <n v="0"/>
    <n v="36.031199999999998"/>
    <n v="27.004799999999999"/>
    <n v="0"/>
    <n v="42.946560120654944"/>
    <n v="26.522927677687829"/>
  </r>
  <r>
    <s v="Regular"/>
    <x v="3"/>
    <x v="5"/>
    <x v="2"/>
    <x v="2"/>
    <x v="4"/>
    <x v="0"/>
    <x v="1"/>
    <x v="7"/>
    <n v="0"/>
    <n v="0"/>
    <n v="2023.2439999999999"/>
    <n v="2023.2439999999999"/>
    <n v="2023.2439999999999"/>
    <n v="2023.2439999999999"/>
    <n v="0"/>
    <x v="1"/>
    <n v="0"/>
    <n v="0"/>
    <n v="27"/>
    <n v="85"/>
    <n v="0"/>
    <n v="300.26"/>
    <n v="225.04"/>
    <m/>
    <n v="357.88800100545785"/>
    <n v="221.02439731406525"/>
    <n v="0"/>
    <n v="607499.24343999999"/>
    <n v="455310.82975999999"/>
    <n v="0"/>
    <n v="724094.75070628652"/>
    <n v="447186.28571929864"/>
  </r>
  <r>
    <s v="Refaturamento - Regular"/>
    <x v="3"/>
    <x v="5"/>
    <x v="2"/>
    <x v="2"/>
    <x v="4"/>
    <x v="0"/>
    <x v="1"/>
    <x v="7"/>
    <n v="0"/>
    <n v="0"/>
    <n v="-116.762"/>
    <n v="-116.762"/>
    <n v="-116.762"/>
    <n v="-116.762"/>
    <n v="0"/>
    <x v="1"/>
    <n v="0"/>
    <n v="0"/>
    <n v="27"/>
    <n v="85"/>
    <n v="0"/>
    <n v="300.26"/>
    <n v="225.04"/>
    <m/>
    <n v="357.88800100545785"/>
    <n v="221.02439731406525"/>
    <n v="0"/>
    <n v="-35058.958119999996"/>
    <n v="-26276.120479999998"/>
    <n v="0"/>
    <n v="-41787.718773399269"/>
    <n v="-25807.250679184886"/>
  </r>
  <r>
    <s v="Sistema de Compensação"/>
    <x v="3"/>
    <x v="5"/>
    <x v="2"/>
    <x v="2"/>
    <x v="4"/>
    <x v="0"/>
    <x v="1"/>
    <x v="7"/>
    <n v="0"/>
    <n v="0"/>
    <n v="100.78100000000001"/>
    <n v="100.78100000000001"/>
    <n v="100.78100000000001"/>
    <n v="100.78100000000001"/>
    <n v="0"/>
    <x v="1"/>
    <n v="0"/>
    <n v="0"/>
    <n v="27"/>
    <n v="85"/>
    <n v="0"/>
    <n v="300.26"/>
    <n v="225.04"/>
    <m/>
    <n v="357.88800100545785"/>
    <n v="221.02439731406525"/>
    <n v="0"/>
    <n v="30260.503059999999"/>
    <n v="22679.756239999999"/>
    <n v="0"/>
    <n v="36068.310629331048"/>
    <n v="22275.059785708811"/>
  </r>
  <r>
    <s v="Regular"/>
    <x v="3"/>
    <x v="5"/>
    <x v="2"/>
    <x v="2"/>
    <x v="4"/>
    <x v="0"/>
    <x v="1"/>
    <x v="8"/>
    <n v="0"/>
    <n v="0"/>
    <n v="2050.3809999999999"/>
    <n v="2050.3809999999999"/>
    <n v="2050.3809999999999"/>
    <n v="2050.3809999999999"/>
    <n v="0"/>
    <x v="1"/>
    <n v="0"/>
    <n v="0"/>
    <n v="27"/>
    <n v="85"/>
    <n v="0"/>
    <n v="300.26"/>
    <n v="225.04"/>
    <m/>
    <n v="357.88800100545785"/>
    <n v="221.02439731406525"/>
    <n v="0"/>
    <n v="615647.39905999997"/>
    <n v="461417.74023999996"/>
    <n v="0"/>
    <n v="733806.75738957163"/>
    <n v="453184.22478921042"/>
  </r>
  <r>
    <s v="Refaturamento - Regular"/>
    <x v="3"/>
    <x v="5"/>
    <x v="2"/>
    <x v="2"/>
    <x v="4"/>
    <x v="0"/>
    <x v="1"/>
    <x v="8"/>
    <n v="0"/>
    <n v="0"/>
    <n v="-55.38"/>
    <n v="-55.38"/>
    <n v="-55.38"/>
    <n v="-55.38"/>
    <n v="0"/>
    <x v="1"/>
    <n v="0"/>
    <n v="0"/>
    <n v="27"/>
    <n v="85"/>
    <n v="0"/>
    <n v="300.26"/>
    <n v="225.04"/>
    <m/>
    <n v="357.88800100545785"/>
    <n v="221.02439731406525"/>
    <n v="0"/>
    <n v="-16628.398799999999"/>
    <n v="-12462.715200000001"/>
    <n v="0"/>
    <n v="-19819.837495682255"/>
    <n v="-12240.331123252934"/>
  </r>
  <r>
    <s v="Sistema de Compensação"/>
    <x v="3"/>
    <x v="5"/>
    <x v="2"/>
    <x v="2"/>
    <x v="4"/>
    <x v="0"/>
    <x v="1"/>
    <x v="8"/>
    <n v="0"/>
    <n v="0"/>
    <n v="61.347000000000001"/>
    <n v="61.347000000000001"/>
    <n v="61.347000000000001"/>
    <n v="61.347000000000001"/>
    <n v="0"/>
    <x v="1"/>
    <n v="0"/>
    <n v="0"/>
    <n v="27"/>
    <n v="85"/>
    <n v="0"/>
    <n v="300.26"/>
    <n v="225.04"/>
    <m/>
    <n v="357.88800100545785"/>
    <n v="221.02439731406525"/>
    <n v="0"/>
    <n v="18420.050220000001"/>
    <n v="13805.52888"/>
    <n v="0"/>
    <n v="21955.355197681823"/>
    <n v="13559.183702025961"/>
  </r>
  <r>
    <s v="Regular"/>
    <x v="3"/>
    <x v="5"/>
    <x v="2"/>
    <x v="2"/>
    <x v="4"/>
    <x v="0"/>
    <x v="1"/>
    <x v="9"/>
    <n v="0"/>
    <n v="0"/>
    <n v="1859.2439999999999"/>
    <n v="1859.2439999999999"/>
    <n v="1859.2439999999999"/>
    <n v="1859.2439999999999"/>
    <n v="0"/>
    <x v="1"/>
    <n v="0"/>
    <n v="0"/>
    <n v="27"/>
    <n v="85"/>
    <n v="0"/>
    <n v="300.26"/>
    <n v="225.04"/>
    <m/>
    <n v="357.88800100545785"/>
    <n v="221.02439731406525"/>
    <n v="0"/>
    <n v="558256.60343999998"/>
    <n v="418404.26975999994"/>
    <n v="0"/>
    <n v="665401.11854139145"/>
    <n v="410938.28455979191"/>
  </r>
  <r>
    <s v="Refaturamento - Regular"/>
    <x v="3"/>
    <x v="5"/>
    <x v="2"/>
    <x v="2"/>
    <x v="4"/>
    <x v="0"/>
    <x v="1"/>
    <x v="9"/>
    <n v="0"/>
    <n v="0"/>
    <n v="-54.777999999999999"/>
    <n v="-54.777999999999999"/>
    <n v="-54.777999999999999"/>
    <n v="-54.777999999999999"/>
    <n v="0"/>
    <x v="1"/>
    <n v="0"/>
    <n v="0"/>
    <n v="27"/>
    <n v="85"/>
    <n v="0"/>
    <n v="300.26"/>
    <n v="225.04"/>
    <m/>
    <n v="357.88800100545785"/>
    <n v="221.02439731406525"/>
    <n v="0"/>
    <n v="-16447.64228"/>
    <n v="-12327.241119999999"/>
    <n v="0"/>
    <n v="-19604.38891907697"/>
    <n v="-12107.274436069867"/>
  </r>
  <r>
    <s v="Sistema de Compensação"/>
    <x v="3"/>
    <x v="5"/>
    <x v="2"/>
    <x v="2"/>
    <x v="4"/>
    <x v="0"/>
    <x v="1"/>
    <x v="9"/>
    <n v="0"/>
    <n v="0"/>
    <n v="45.665999999999997"/>
    <n v="45.665999999999997"/>
    <n v="45.665999999999997"/>
    <n v="45.665999999999997"/>
    <n v="0"/>
    <x v="1"/>
    <n v="0"/>
    <n v="0"/>
    <n v="27"/>
    <n v="85"/>
    <n v="0"/>
    <n v="300.26"/>
    <n v="225.04"/>
    <m/>
    <n v="357.88800100545785"/>
    <n v="221.02439731406525"/>
    <n v="0"/>
    <n v="13711.673159999998"/>
    <n v="10276.67664"/>
    <n v="0"/>
    <n v="16343.313453915238"/>
    <n v="10093.300127744104"/>
  </r>
  <r>
    <s v="Sistema de Compensação"/>
    <x v="3"/>
    <x v="5"/>
    <x v="2"/>
    <x v="2"/>
    <x v="4"/>
    <x v="0"/>
    <x v="1"/>
    <x v="9"/>
    <n v="0"/>
    <n v="0"/>
    <n v="0.1"/>
    <n v="0.1"/>
    <n v="0.1"/>
    <n v="0.1"/>
    <n v="0"/>
    <x v="1"/>
    <n v="0"/>
    <n v="0"/>
    <n v="27"/>
    <n v="85"/>
    <n v="0"/>
    <n v="300.26"/>
    <n v="225.04"/>
    <m/>
    <n v="357.88800100545785"/>
    <n v="221.02439731406525"/>
    <n v="0"/>
    <n v="30.026"/>
    <n v="22.504000000000001"/>
    <n v="0"/>
    <n v="35.788800100545785"/>
    <n v="22.102439731406527"/>
  </r>
  <r>
    <s v="Regular"/>
    <x v="3"/>
    <x v="5"/>
    <x v="2"/>
    <x v="2"/>
    <x v="4"/>
    <x v="0"/>
    <x v="1"/>
    <x v="10"/>
    <n v="0"/>
    <n v="0"/>
    <n v="1813.252"/>
    <n v="1813.252"/>
    <n v="1813.252"/>
    <n v="1813.252"/>
    <n v="0"/>
    <x v="1"/>
    <n v="0"/>
    <n v="0"/>
    <n v="27"/>
    <n v="85"/>
    <n v="0"/>
    <n v="300.26"/>
    <n v="225.04"/>
    <m/>
    <n v="357.88800100545785"/>
    <n v="221.02439731406525"/>
    <n v="0"/>
    <n v="544447.04551999993"/>
    <n v="408054.23007999995"/>
    <n v="0"/>
    <n v="648941.13359914848"/>
    <n v="400772.93047852343"/>
  </r>
  <r>
    <s v="Refaturamento - Regular"/>
    <x v="3"/>
    <x v="5"/>
    <x v="2"/>
    <x v="2"/>
    <x v="4"/>
    <x v="0"/>
    <x v="1"/>
    <x v="10"/>
    <n v="0"/>
    <n v="0"/>
    <n v="-47.026000000000003"/>
    <n v="-47.026000000000003"/>
    <n v="-47.026000000000003"/>
    <n v="-47.026000000000003"/>
    <n v="0"/>
    <x v="1"/>
    <n v="0"/>
    <n v="0"/>
    <n v="27"/>
    <n v="85"/>
    <n v="0"/>
    <n v="300.26"/>
    <n v="225.04"/>
    <m/>
    <n v="357.88800100545785"/>
    <n v="221.02439731406525"/>
    <n v="0"/>
    <n v="-14120.026760000001"/>
    <n v="-10582.731040000001"/>
    <n v="0"/>
    <n v="-16830.041135282663"/>
    <n v="-10393.893308091234"/>
  </r>
  <r>
    <s v="Sistema de Compensação"/>
    <x v="3"/>
    <x v="5"/>
    <x v="2"/>
    <x v="2"/>
    <x v="4"/>
    <x v="0"/>
    <x v="1"/>
    <x v="10"/>
    <n v="0"/>
    <n v="0"/>
    <n v="61.408000000000001"/>
    <n v="61.408000000000001"/>
    <n v="61.408000000000001"/>
    <n v="61.408000000000001"/>
    <n v="0"/>
    <x v="1"/>
    <n v="0"/>
    <n v="0"/>
    <n v="27"/>
    <n v="85"/>
    <n v="0"/>
    <n v="300.26"/>
    <n v="225.04"/>
    <m/>
    <n v="357.88800100545785"/>
    <n v="221.02439731406525"/>
    <n v="0"/>
    <n v="18438.36608"/>
    <n v="13819.25632"/>
    <n v="0"/>
    <n v="21977.186365743157"/>
    <n v="13572.66619026212"/>
  </r>
  <r>
    <s v="PROJETADO"/>
    <x v="3"/>
    <x v="5"/>
    <x v="2"/>
    <x v="2"/>
    <x v="4"/>
    <x v="0"/>
    <x v="1"/>
    <x v="11"/>
    <n v="0"/>
    <n v="0"/>
    <n v="1813.252"/>
    <n v="1813.252"/>
    <n v="1813.252"/>
    <n v="1813.252"/>
    <n v="0"/>
    <x v="1"/>
    <n v="0"/>
    <n v="0"/>
    <n v="27"/>
    <n v="85"/>
    <n v="0"/>
    <n v="300.26"/>
    <n v="225.04"/>
    <m/>
    <n v="357.88800100545785"/>
    <n v="221.02439731406525"/>
    <n v="0"/>
    <n v="544447.04551999993"/>
    <n v="408054.23007999995"/>
    <n v="0"/>
    <n v="648941.13359914848"/>
    <n v="400772.93047852343"/>
  </r>
  <r>
    <s v="PROJETADO"/>
    <x v="3"/>
    <x v="5"/>
    <x v="2"/>
    <x v="2"/>
    <x v="4"/>
    <x v="0"/>
    <x v="1"/>
    <x v="11"/>
    <n v="0"/>
    <n v="0"/>
    <n v="-47.026000000000003"/>
    <n v="-47.026000000000003"/>
    <n v="-47.026000000000003"/>
    <n v="-47.026000000000003"/>
    <n v="0"/>
    <x v="1"/>
    <n v="0"/>
    <n v="0"/>
    <n v="27"/>
    <n v="85"/>
    <n v="0"/>
    <n v="300.26"/>
    <n v="225.04"/>
    <m/>
    <n v="357.88800100545785"/>
    <n v="221.02439731406525"/>
    <n v="0"/>
    <n v="-14120.026760000001"/>
    <n v="-10582.731040000001"/>
    <n v="0"/>
    <n v="-16830.041135282663"/>
    <n v="-10393.893308091234"/>
  </r>
  <r>
    <s v="PROJETADO"/>
    <x v="3"/>
    <x v="5"/>
    <x v="2"/>
    <x v="2"/>
    <x v="4"/>
    <x v="0"/>
    <x v="1"/>
    <x v="11"/>
    <n v="0"/>
    <n v="0"/>
    <n v="61.408000000000001"/>
    <n v="61.408000000000001"/>
    <n v="61.408000000000001"/>
    <n v="61.408000000000001"/>
    <n v="0"/>
    <x v="1"/>
    <n v="0"/>
    <n v="0"/>
    <n v="27"/>
    <n v="85"/>
    <n v="0"/>
    <n v="300.26"/>
    <n v="225.04"/>
    <m/>
    <n v="357.88800100545785"/>
    <n v="221.02439731406525"/>
    <n v="0"/>
    <n v="18438.36608"/>
    <n v="13819.25632"/>
    <n v="0"/>
    <n v="21977.186365743157"/>
    <n v="13572.66619026212"/>
  </r>
  <r>
    <s v="Regular"/>
    <x v="3"/>
    <x v="5"/>
    <x v="2"/>
    <x v="2"/>
    <x v="3"/>
    <x v="0"/>
    <x v="1"/>
    <x v="0"/>
    <n v="0"/>
    <n v="0"/>
    <n v="4636.4390000000003"/>
    <n v="1251.83853"/>
    <n v="4636.4390000000003"/>
    <n v="1251.83853"/>
    <n v="0"/>
    <x v="1"/>
    <n v="0"/>
    <n v="0"/>
    <n v="27"/>
    <n v="85"/>
    <n v="0"/>
    <n v="300.26"/>
    <n v="225.04"/>
    <m/>
    <n v="357.88800100545785"/>
    <n v="221.02439731406525"/>
    <n v="0"/>
    <n v="375877.03701779997"/>
    <n v="281713.7427912"/>
    <n v="0"/>
    <n v="448017.98908331088"/>
    <n v="276686.85662777541"/>
  </r>
  <r>
    <s v="Refaturamento - Regular"/>
    <x v="3"/>
    <x v="5"/>
    <x v="2"/>
    <x v="2"/>
    <x v="3"/>
    <x v="0"/>
    <x v="1"/>
    <x v="0"/>
    <n v="0"/>
    <n v="0"/>
    <n v="-53.640999999999998"/>
    <n v="-14.48307"/>
    <n v="-53.640999999999998"/>
    <n v="-14.48307"/>
    <n v="0"/>
    <x v="1"/>
    <n v="0"/>
    <n v="0"/>
    <n v="27"/>
    <n v="85"/>
    <n v="0"/>
    <n v="300.26"/>
    <n v="225.04"/>
    <m/>
    <n v="357.88800100545785"/>
    <n v="221.02439731406525"/>
    <n v="0"/>
    <n v="-4348.6865981999999"/>
    <n v="-3259.2700728"/>
    <n v="0"/>
    <n v="-5183.3169707221159"/>
    <n v="-3201.1118180074191"/>
  </r>
  <r>
    <s v="Sistema de Compensação"/>
    <x v="3"/>
    <x v="5"/>
    <x v="2"/>
    <x v="2"/>
    <x v="3"/>
    <x v="0"/>
    <x v="1"/>
    <x v="0"/>
    <n v="0"/>
    <n v="0"/>
    <n v="115.738"/>
    <n v="31.24926"/>
    <n v="115.738"/>
    <n v="31.24926"/>
    <n v="0"/>
    <x v="1"/>
    <n v="0"/>
    <n v="0"/>
    <n v="27"/>
    <n v="85"/>
    <n v="0"/>
    <n v="300.26"/>
    <n v="225.04"/>
    <m/>
    <n v="357.88800100545785"/>
    <n v="221.02439731406525"/>
    <n v="0"/>
    <n v="9382.9028075999995"/>
    <n v="7032.3334703999999"/>
    <n v="0"/>
    <n v="11183.735194299814"/>
    <n v="6906.8488580105268"/>
  </r>
  <r>
    <s v="Regular"/>
    <x v="3"/>
    <x v="5"/>
    <x v="2"/>
    <x v="2"/>
    <x v="3"/>
    <x v="0"/>
    <x v="1"/>
    <x v="1"/>
    <n v="0"/>
    <n v="0"/>
    <n v="5422.4669999999996"/>
    <n v="1464.06609"/>
    <n v="5422.4669999999996"/>
    <n v="1464.06609"/>
    <n v="0"/>
    <x v="1"/>
    <n v="0"/>
    <n v="0"/>
    <n v="27"/>
    <n v="85"/>
    <n v="0"/>
    <n v="300.26"/>
    <n v="225.04"/>
    <m/>
    <n v="357.88800100545785"/>
    <n v="221.02439731406525"/>
    <n v="0"/>
    <n v="439600.4841834"/>
    <n v="329473.43289360002"/>
    <n v="0"/>
    <n v="523971.68628997676"/>
    <n v="323594.32517021004"/>
  </r>
  <r>
    <s v="Refaturamento - Regular"/>
    <x v="3"/>
    <x v="5"/>
    <x v="2"/>
    <x v="2"/>
    <x v="3"/>
    <x v="0"/>
    <x v="1"/>
    <x v="1"/>
    <n v="0"/>
    <n v="0"/>
    <n v="-48.792000000000002"/>
    <n v="-13.17384"/>
    <n v="-48.792000000000002"/>
    <n v="-13.17384"/>
    <n v="0"/>
    <x v="1"/>
    <n v="0"/>
    <n v="0"/>
    <n v="27"/>
    <n v="85"/>
    <n v="0"/>
    <n v="300.26"/>
    <n v="225.04"/>
    <m/>
    <n v="357.88800100545785"/>
    <n v="221.02439731406525"/>
    <n v="0"/>
    <n v="-3955.5771983999998"/>
    <n v="-2964.6409536000001"/>
    <n v="0"/>
    <n v="-4714.7592631657408"/>
    <n v="-2911.7400463119257"/>
  </r>
  <r>
    <s v="Sistema de Compensação"/>
    <x v="3"/>
    <x v="5"/>
    <x v="2"/>
    <x v="2"/>
    <x v="3"/>
    <x v="0"/>
    <x v="1"/>
    <x v="1"/>
    <n v="0"/>
    <n v="0"/>
    <n v="135.87799999999999"/>
    <n v="36.687060000000002"/>
    <n v="135.87799999999999"/>
    <n v="36.687060000000002"/>
    <n v="0"/>
    <x v="1"/>
    <n v="0"/>
    <n v="0"/>
    <n v="27"/>
    <n v="85"/>
    <n v="0"/>
    <n v="300.26"/>
    <n v="225.04"/>
    <m/>
    <n v="357.88800100545785"/>
    <n v="221.02439731406525"/>
    <n v="0"/>
    <n v="11015.6566356"/>
    <n v="8256.0559824000011"/>
    <n v="0"/>
    <n v="13129.858566167293"/>
    <n v="8108.7353257249515"/>
  </r>
  <r>
    <s v="Sistema de Compensação"/>
    <x v="3"/>
    <x v="5"/>
    <x v="2"/>
    <x v="2"/>
    <x v="3"/>
    <x v="0"/>
    <x v="1"/>
    <x v="1"/>
    <n v="0"/>
    <n v="0"/>
    <n v="-3.532"/>
    <n v="-0.95364000000000004"/>
    <n v="-3.532"/>
    <n v="-0.95364000000000004"/>
    <n v="0"/>
    <x v="1"/>
    <n v="0"/>
    <n v="0"/>
    <n v="27"/>
    <n v="85"/>
    <n v="0"/>
    <n v="300.26"/>
    <n v="225.04"/>
    <m/>
    <n v="357.88800100545785"/>
    <n v="221.02439731406525"/>
    <n v="0"/>
    <n v="-286.33994640000003"/>
    <n v="-214.6071456"/>
    <n v="0"/>
    <n v="-341.29631327884482"/>
    <n v="-210.77770625458521"/>
  </r>
  <r>
    <s v="Regular"/>
    <x v="3"/>
    <x v="5"/>
    <x v="2"/>
    <x v="2"/>
    <x v="3"/>
    <x v="0"/>
    <x v="1"/>
    <x v="2"/>
    <n v="0"/>
    <n v="0"/>
    <n v="6521.0780000000004"/>
    <n v="1760.6910600000001"/>
    <n v="6521.0780000000004"/>
    <n v="1760.6910600000001"/>
    <n v="0"/>
    <x v="1"/>
    <n v="0"/>
    <n v="0"/>
    <n v="27"/>
    <n v="85"/>
    <n v="0"/>
    <n v="300.26"/>
    <n v="225.04"/>
    <m/>
    <n v="357.88800100545785"/>
    <n v="221.02439731406525"/>
    <n v="0"/>
    <n v="528665.09767559997"/>
    <n v="396225.9161424"/>
    <n v="0"/>
    <n v="630130.20385158074"/>
    <n v="389155.6803927627"/>
  </r>
  <r>
    <s v="Refaturamento - Regular"/>
    <x v="3"/>
    <x v="5"/>
    <x v="2"/>
    <x v="2"/>
    <x v="3"/>
    <x v="0"/>
    <x v="1"/>
    <x v="2"/>
    <n v="0"/>
    <n v="0"/>
    <n v="31.164000000000001"/>
    <n v="8.4142799999999998"/>
    <n v="31.164000000000001"/>
    <n v="8.4142799999999998"/>
    <n v="0"/>
    <x v="1"/>
    <n v="0"/>
    <n v="0"/>
    <n v="27"/>
    <n v="85"/>
    <n v="0"/>
    <n v="300.26"/>
    <n v="225.04"/>
    <m/>
    <n v="357.88800100545785"/>
    <n v="221.02439731406525"/>
    <n v="0"/>
    <n v="2526.4717127999998"/>
    <n v="1893.5495711999999"/>
    <n v="0"/>
    <n v="3011.3698491002037"/>
    <n v="1859.7611658317928"/>
  </r>
  <r>
    <s v="Sistema de Compensação"/>
    <x v="3"/>
    <x v="5"/>
    <x v="2"/>
    <x v="2"/>
    <x v="3"/>
    <x v="0"/>
    <x v="1"/>
    <x v="2"/>
    <n v="0"/>
    <n v="0"/>
    <n v="156.62200000000001"/>
    <n v="42.287939999999999"/>
    <n v="156.62200000000001"/>
    <n v="42.287939999999999"/>
    <n v="0"/>
    <x v="1"/>
    <n v="0"/>
    <n v="0"/>
    <n v="27"/>
    <n v="85"/>
    <n v="0"/>
    <n v="300.26"/>
    <n v="225.04"/>
    <m/>
    <n v="357.88800100545785"/>
    <n v="221.02439731406525"/>
    <n v="0"/>
    <n v="12697.376864399999"/>
    <n v="9516.4780175999986"/>
    <n v="0"/>
    <n v="15134.346313238741"/>
    <n v="9346.666452153353"/>
  </r>
  <r>
    <s v="Regular"/>
    <x v="3"/>
    <x v="5"/>
    <x v="2"/>
    <x v="2"/>
    <x v="3"/>
    <x v="0"/>
    <x v="1"/>
    <x v="3"/>
    <n v="0"/>
    <n v="0"/>
    <n v="6503.8609999999999"/>
    <n v="1756.0424700000001"/>
    <n v="6503.8609999999999"/>
    <n v="1756.0424700000001"/>
    <n v="0"/>
    <x v="1"/>
    <n v="0"/>
    <n v="0"/>
    <n v="27"/>
    <n v="85"/>
    <n v="0"/>
    <n v="300.26"/>
    <n v="225.04"/>
    <m/>
    <n v="357.88800100545785"/>
    <n v="221.02439731406525"/>
    <n v="0"/>
    <n v="527269.31204220001"/>
    <n v="395179.7974488"/>
    <n v="0"/>
    <n v="628466.52926898678"/>
    <n v="388128.22858965251"/>
  </r>
  <r>
    <s v="Refaturamento - Regular"/>
    <x v="3"/>
    <x v="5"/>
    <x v="2"/>
    <x v="2"/>
    <x v="3"/>
    <x v="0"/>
    <x v="1"/>
    <x v="3"/>
    <n v="0"/>
    <n v="0"/>
    <n v="-31.870999999999999"/>
    <n v="-8.6051699999999993"/>
    <n v="-31.870999999999999"/>
    <n v="-8.6051699999999993"/>
    <n v="0"/>
    <x v="1"/>
    <n v="0"/>
    <n v="0"/>
    <n v="27"/>
    <n v="85"/>
    <n v="0"/>
    <n v="300.26"/>
    <n v="225.04"/>
    <m/>
    <n v="357.88800100545785"/>
    <n v="221.02439731406525"/>
    <n v="0"/>
    <n v="-2583.7883441999998"/>
    <n v="-1936.5074567999998"/>
    <n v="0"/>
    <n v="-3079.6870896121354"/>
    <n v="-1901.9525130350748"/>
  </r>
  <r>
    <s v="Sistema de Compensação"/>
    <x v="3"/>
    <x v="5"/>
    <x v="2"/>
    <x v="2"/>
    <x v="3"/>
    <x v="0"/>
    <x v="1"/>
    <x v="3"/>
    <n v="0"/>
    <n v="0"/>
    <n v="172.49700000000001"/>
    <n v="46.574190000000002"/>
    <n v="172.49700000000001"/>
    <n v="46.574190000000002"/>
    <n v="0"/>
    <x v="1"/>
    <n v="0"/>
    <n v="0"/>
    <n v="27"/>
    <n v="85"/>
    <n v="0"/>
    <n v="300.26"/>
    <n v="225.04"/>
    <m/>
    <n v="357.88800100545785"/>
    <n v="221.02439731406525"/>
    <n v="0"/>
    <n v="13984.366289400001"/>
    <n v="10481.0557176"/>
    <n v="0"/>
    <n v="16668.343757548384"/>
    <n v="10294.032275140766"/>
  </r>
  <r>
    <s v="Regular"/>
    <x v="3"/>
    <x v="5"/>
    <x v="2"/>
    <x v="2"/>
    <x v="3"/>
    <x v="0"/>
    <x v="1"/>
    <x v="4"/>
    <n v="0"/>
    <n v="0"/>
    <n v="6802.8249999999998"/>
    <n v="1836.7627500000001"/>
    <n v="6802.8249999999998"/>
    <n v="1836.7627500000001"/>
    <n v="0"/>
    <x v="1"/>
    <n v="0"/>
    <n v="0"/>
    <n v="27"/>
    <n v="85"/>
    <n v="0"/>
    <n v="300.26"/>
    <n v="225.04"/>
    <m/>
    <n v="357.88800100545785"/>
    <n v="221.02439731406525"/>
    <n v="0"/>
    <n v="551506.38331499998"/>
    <n v="413345.08925999998"/>
    <n v="0"/>
    <n v="657355.34891878755"/>
    <n v="405969.37982767512"/>
  </r>
  <r>
    <s v="Refaturamento - Regular"/>
    <x v="3"/>
    <x v="5"/>
    <x v="2"/>
    <x v="2"/>
    <x v="3"/>
    <x v="0"/>
    <x v="1"/>
    <x v="4"/>
    <n v="0"/>
    <n v="0"/>
    <n v="-60.622999999999998"/>
    <n v="-16.368210000000001"/>
    <n v="-60.622999999999998"/>
    <n v="-16.368210000000001"/>
    <n v="0"/>
    <x v="1"/>
    <n v="0"/>
    <n v="0"/>
    <n v="27"/>
    <n v="85"/>
    <n v="0"/>
    <n v="300.26"/>
    <n v="225.04"/>
    <m/>
    <n v="357.88800100545785"/>
    <n v="221.02439731406525"/>
    <n v="0"/>
    <n v="-4914.7187346000001"/>
    <n v="-3683.5019784000001"/>
    <n v="0"/>
    <n v="-5857.9859569375458"/>
    <n v="-3617.7737503600565"/>
  </r>
  <r>
    <s v="Sistema de Compensação"/>
    <x v="3"/>
    <x v="5"/>
    <x v="2"/>
    <x v="2"/>
    <x v="3"/>
    <x v="0"/>
    <x v="1"/>
    <x v="4"/>
    <n v="0"/>
    <n v="0"/>
    <n v="199.44300000000001"/>
    <n v="53.849609999999998"/>
    <n v="199.44300000000001"/>
    <n v="53.849609999999998"/>
    <n v="0"/>
    <x v="1"/>
    <n v="0"/>
    <n v="0"/>
    <n v="27"/>
    <n v="85"/>
    <n v="0"/>
    <n v="300.26"/>
    <n v="225.04"/>
    <m/>
    <n v="357.88800100545785"/>
    <n v="221.02439731406525"/>
    <n v="0"/>
    <n v="16168.883898599999"/>
    <n v="12118.316234399999"/>
    <n v="0"/>
    <n v="19272.129277823511"/>
    <n v="11902.077595847461"/>
  </r>
  <r>
    <s v="Regular"/>
    <x v="3"/>
    <x v="5"/>
    <x v="2"/>
    <x v="2"/>
    <x v="3"/>
    <x v="0"/>
    <x v="1"/>
    <x v="5"/>
    <n v="0"/>
    <n v="0"/>
    <n v="3661.6559999999999"/>
    <n v="988.64711999999997"/>
    <n v="3661.6559999999999"/>
    <n v="988.64711999999997"/>
    <n v="0"/>
    <x v="1"/>
    <n v="0"/>
    <n v="0"/>
    <n v="27"/>
    <n v="85"/>
    <n v="0"/>
    <n v="300.26"/>
    <n v="225.04"/>
    <m/>
    <n v="357.88800100545785"/>
    <n v="221.02439731406525"/>
    <n v="0"/>
    <n v="296851.1842512"/>
    <n v="222485.14788479998"/>
    <n v="0"/>
    <n v="353824.94147660298"/>
    <n v="218515.13385428634"/>
  </r>
  <r>
    <s v="Refaturamento - Regular"/>
    <x v="3"/>
    <x v="5"/>
    <x v="2"/>
    <x v="2"/>
    <x v="3"/>
    <x v="0"/>
    <x v="1"/>
    <x v="5"/>
    <n v="0"/>
    <n v="0"/>
    <n v="-46.845999999999997"/>
    <n v="-12.64842"/>
    <n v="-46.845999999999997"/>
    <n v="-12.64842"/>
    <n v="0"/>
    <x v="1"/>
    <n v="0"/>
    <n v="0"/>
    <n v="27"/>
    <n v="85"/>
    <n v="0"/>
    <n v="300.26"/>
    <n v="225.04"/>
    <m/>
    <n v="357.88800100545785"/>
    <n v="221.02439731406525"/>
    <n v="0"/>
    <n v="-3797.8145891999998"/>
    <n v="-2846.4004367999996"/>
    <n v="0"/>
    <n v="-4526.717749677453"/>
    <n v="-2795.6094074751691"/>
  </r>
  <r>
    <s v="Sistema de Compensação"/>
    <x v="3"/>
    <x v="5"/>
    <x v="2"/>
    <x v="2"/>
    <x v="3"/>
    <x v="0"/>
    <x v="1"/>
    <x v="5"/>
    <n v="0"/>
    <n v="0"/>
    <n v="131.33000000000001"/>
    <n v="35.459099999999999"/>
    <n v="131.33000000000001"/>
    <n v="35.459099999999999"/>
    <n v="0"/>
    <x v="1"/>
    <n v="0"/>
    <n v="0"/>
    <n v="27"/>
    <n v="85"/>
    <n v="0"/>
    <n v="300.26"/>
    <n v="225.04"/>
    <m/>
    <n v="357.88800100545785"/>
    <n v="221.02439731406525"/>
    <n v="0"/>
    <n v="10646.949365999999"/>
    <n v="7979.7158639999998"/>
    <n v="0"/>
    <n v="12690.386416452629"/>
    <n v="7837.3262067991709"/>
  </r>
  <r>
    <s v="Regular"/>
    <x v="3"/>
    <x v="5"/>
    <x v="2"/>
    <x v="2"/>
    <x v="3"/>
    <x v="0"/>
    <x v="1"/>
    <x v="6"/>
    <n v="0"/>
    <n v="0"/>
    <n v="2808.576"/>
    <n v="758.31551999999999"/>
    <n v="2808.576"/>
    <n v="758.31551999999999"/>
    <n v="0"/>
    <x v="1"/>
    <n v="0"/>
    <n v="0"/>
    <n v="27"/>
    <n v="85"/>
    <n v="0"/>
    <n v="300.26"/>
    <n v="225.04"/>
    <m/>
    <n v="357.88800100545785"/>
    <n v="221.02439731406525"/>
    <n v="0"/>
    <n v="227691.81803519998"/>
    <n v="170651.32462080001"/>
    <n v="0"/>
    <n v="271392.02558421431"/>
    <n v="167606.23078190201"/>
  </r>
  <r>
    <s v="Refaturamento - Regular"/>
    <x v="3"/>
    <x v="5"/>
    <x v="2"/>
    <x v="2"/>
    <x v="3"/>
    <x v="0"/>
    <x v="1"/>
    <x v="6"/>
    <n v="0"/>
    <n v="0"/>
    <n v="-61.741999999999997"/>
    <n v="-16.670339999999999"/>
    <n v="-61.741999999999997"/>
    <n v="-16.670339999999999"/>
    <n v="0"/>
    <x v="1"/>
    <n v="0"/>
    <n v="0"/>
    <n v="27"/>
    <n v="85"/>
    <n v="0"/>
    <n v="300.26"/>
    <n v="225.04"/>
    <m/>
    <n v="357.88800100545785"/>
    <n v="221.02439731406525"/>
    <n v="0"/>
    <n v="-5005.4362883999993"/>
    <n v="-3751.4933136"/>
    <n v="0"/>
    <n v="-5966.1146586813238"/>
    <n v="-3684.5518515205545"/>
  </r>
  <r>
    <s v="Sistema de Compensação"/>
    <x v="3"/>
    <x v="5"/>
    <x v="2"/>
    <x v="2"/>
    <x v="3"/>
    <x v="0"/>
    <x v="1"/>
    <x v="6"/>
    <n v="0"/>
    <n v="0"/>
    <n v="107.61799999999999"/>
    <n v="29.05686"/>
    <n v="107.61799999999999"/>
    <n v="29.05686"/>
    <n v="0"/>
    <x v="1"/>
    <n v="0"/>
    <n v="0"/>
    <n v="27"/>
    <n v="85"/>
    <n v="0"/>
    <n v="300.26"/>
    <n v="225.04"/>
    <m/>
    <n v="357.88800100545785"/>
    <n v="221.02439731406525"/>
    <n v="0"/>
    <n v="8724.6127835999996"/>
    <n v="6538.9557743999994"/>
    <n v="0"/>
    <n v="10399.101540895448"/>
    <n v="6422.2749693391706"/>
  </r>
  <r>
    <s v="Regular"/>
    <x v="3"/>
    <x v="5"/>
    <x v="2"/>
    <x v="2"/>
    <x v="3"/>
    <x v="0"/>
    <x v="1"/>
    <x v="7"/>
    <n v="0"/>
    <n v="0"/>
    <n v="3113.7739999999999"/>
    <n v="840.71897999999999"/>
    <n v="3113.7739999999999"/>
    <n v="840.71897999999999"/>
    <n v="0"/>
    <x v="1"/>
    <n v="0"/>
    <n v="0"/>
    <n v="27"/>
    <n v="85"/>
    <n v="0"/>
    <n v="300.26"/>
    <n v="225.04"/>
    <m/>
    <n v="357.88800100545785"/>
    <n v="221.02439731406525"/>
    <n v="0"/>
    <n v="252434.28093479999"/>
    <n v="189195.3992592"/>
    <n v="0"/>
    <n v="300883.23515954748"/>
    <n v="185819.40586499567"/>
  </r>
  <r>
    <s v="Refaturamento - Regular"/>
    <x v="3"/>
    <x v="5"/>
    <x v="2"/>
    <x v="2"/>
    <x v="3"/>
    <x v="0"/>
    <x v="1"/>
    <x v="7"/>
    <n v="0"/>
    <n v="0"/>
    <n v="-53.786000000000001"/>
    <n v="-14.522220000000001"/>
    <n v="-53.786000000000001"/>
    <n v="-14.522220000000001"/>
    <n v="0"/>
    <x v="1"/>
    <n v="0"/>
    <n v="0"/>
    <n v="27"/>
    <n v="85"/>
    <n v="0"/>
    <n v="300.26"/>
    <n v="225.04"/>
    <m/>
    <n v="357.88800100545785"/>
    <n v="221.02439731406525"/>
    <n v="0"/>
    <n v="-4360.4417771999997"/>
    <n v="-3268.0803888"/>
    <n v="0"/>
    <n v="-5197.3282859614801"/>
    <n v="-3209.7649231622649"/>
  </r>
  <r>
    <s v="Sistema de Compensação"/>
    <x v="3"/>
    <x v="5"/>
    <x v="2"/>
    <x v="2"/>
    <x v="3"/>
    <x v="0"/>
    <x v="1"/>
    <x v="7"/>
    <n v="0"/>
    <n v="0"/>
    <n v="136.94"/>
    <n v="36.973799999999997"/>
    <n v="136.94"/>
    <n v="36.973799999999997"/>
    <n v="0"/>
    <x v="1"/>
    <n v="0"/>
    <n v="0"/>
    <n v="27"/>
    <n v="85"/>
    <n v="0"/>
    <n v="300.26"/>
    <n v="225.04"/>
    <m/>
    <n v="357.88800100545785"/>
    <n v="221.02439731406525"/>
    <n v="0"/>
    <n v="11101.753187999999"/>
    <n v="8320.583951999999"/>
    <n v="0"/>
    <n v="13232.479371575597"/>
    <n v="8172.1118614107854"/>
  </r>
  <r>
    <s v="Regular"/>
    <x v="3"/>
    <x v="5"/>
    <x v="2"/>
    <x v="2"/>
    <x v="3"/>
    <x v="0"/>
    <x v="1"/>
    <x v="8"/>
    <n v="0"/>
    <n v="0"/>
    <n v="2269.3440000000001"/>
    <n v="612.72288000000003"/>
    <n v="2269.3440000000001"/>
    <n v="612.72288000000003"/>
    <n v="0"/>
    <x v="1"/>
    <n v="0"/>
    <n v="0"/>
    <n v="27"/>
    <n v="85"/>
    <n v="0"/>
    <n v="300.26"/>
    <n v="225.04"/>
    <m/>
    <n v="357.88800100545785"/>
    <n v="221.02439731406525"/>
    <n v="0"/>
    <n v="183976.17194880001"/>
    <n v="137887.1569152"/>
    <n v="0"/>
    <n v="219286.16669350705"/>
    <n v="135426.70527253833"/>
  </r>
  <r>
    <s v="Refaturamento - Regular"/>
    <x v="3"/>
    <x v="5"/>
    <x v="2"/>
    <x v="2"/>
    <x v="3"/>
    <x v="0"/>
    <x v="1"/>
    <x v="8"/>
    <n v="0"/>
    <n v="0"/>
    <n v="-48.996000000000002"/>
    <n v="-13.22892"/>
    <n v="-48.996000000000002"/>
    <n v="-13.22892"/>
    <n v="0"/>
    <x v="1"/>
    <n v="0"/>
    <n v="0"/>
    <n v="27"/>
    <n v="85"/>
    <n v="0"/>
    <n v="300.26"/>
    <n v="225.04"/>
    <m/>
    <n v="357.88800100545785"/>
    <n v="221.02439731406525"/>
    <n v="0"/>
    <n v="-3972.1155192000001"/>
    <n v="-2977.0361567999998"/>
    <n v="0"/>
    <n v="-4734.471734261122"/>
    <n v="-2923.914070115984"/>
  </r>
  <r>
    <s v="Sistema de Compensação"/>
    <x v="3"/>
    <x v="5"/>
    <x v="2"/>
    <x v="2"/>
    <x v="3"/>
    <x v="0"/>
    <x v="1"/>
    <x v="8"/>
    <n v="0"/>
    <n v="0"/>
    <n v="98.134"/>
    <n v="26.496179999999999"/>
    <n v="98.134"/>
    <n v="26.496179999999999"/>
    <n v="0"/>
    <x v="1"/>
    <n v="0"/>
    <n v="0"/>
    <n v="27"/>
    <n v="85"/>
    <n v="0"/>
    <n v="300.26"/>
    <n v="225.04"/>
    <m/>
    <n v="357.88800100545785"/>
    <n v="221.02439731406525"/>
    <n v="0"/>
    <n v="7955.7430067999994"/>
    <n v="5962.7003471999997"/>
    <n v="0"/>
    <n v="9482.6648944807912"/>
    <n v="5856.302215624989"/>
  </r>
  <r>
    <s v="Regular"/>
    <x v="3"/>
    <x v="5"/>
    <x v="2"/>
    <x v="2"/>
    <x v="3"/>
    <x v="0"/>
    <x v="1"/>
    <x v="9"/>
    <n v="0"/>
    <n v="0"/>
    <n v="2342.1759999999999"/>
    <n v="632.38751999999999"/>
    <n v="2342.1759999999999"/>
    <n v="632.38751999999999"/>
    <n v="0"/>
    <x v="1"/>
    <n v="0"/>
    <n v="0"/>
    <n v="27"/>
    <n v="85"/>
    <n v="0"/>
    <n v="300.26"/>
    <n v="225.04"/>
    <m/>
    <n v="357.88800100545785"/>
    <n v="221.02439731406525"/>
    <n v="0"/>
    <n v="189880.67675519999"/>
    <n v="142312.48750079999"/>
    <n v="0"/>
    <n v="226323.90539359901"/>
    <n v="139773.07047693638"/>
  </r>
  <r>
    <s v="Refaturamento - Regular"/>
    <x v="3"/>
    <x v="5"/>
    <x v="2"/>
    <x v="2"/>
    <x v="3"/>
    <x v="0"/>
    <x v="1"/>
    <x v="9"/>
    <n v="0"/>
    <n v="0"/>
    <n v="-34.822000000000003"/>
    <n v="-9.4019399999999997"/>
    <n v="-34.822000000000003"/>
    <n v="-9.4019399999999997"/>
    <n v="0"/>
    <x v="1"/>
    <n v="0"/>
    <n v="0"/>
    <n v="27"/>
    <n v="85"/>
    <n v="0"/>
    <n v="300.26"/>
    <n v="225.04"/>
    <m/>
    <n v="357.88800100545785"/>
    <n v="221.02439731406525"/>
    <n v="0"/>
    <n v="-2823.0265043999998"/>
    <n v="-2115.8125775999997"/>
    <n v="0"/>
    <n v="-3364.8415121732542"/>
    <n v="-2078.0581220830027"/>
  </r>
  <r>
    <s v="Sistema de Compensação"/>
    <x v="3"/>
    <x v="5"/>
    <x v="2"/>
    <x v="2"/>
    <x v="3"/>
    <x v="0"/>
    <x v="1"/>
    <x v="9"/>
    <n v="0"/>
    <n v="0"/>
    <n v="109.886"/>
    <n v="29.669219999999999"/>
    <n v="109.886"/>
    <n v="29.669219999999999"/>
    <n v="0"/>
    <x v="1"/>
    <n v="0"/>
    <n v="0"/>
    <n v="27"/>
    <n v="85"/>
    <n v="0"/>
    <n v="300.26"/>
    <n v="225.04"/>
    <m/>
    <n v="357.88800100545785"/>
    <n v="221.02439731406525"/>
    <n v="0"/>
    <n v="8908.4799972000001"/>
    <n v="6676.7612687999999"/>
    <n v="0"/>
    <n v="10618.25783719115"/>
    <n v="6557.6214692784106"/>
  </r>
  <r>
    <s v="Regular"/>
    <x v="3"/>
    <x v="5"/>
    <x v="2"/>
    <x v="2"/>
    <x v="3"/>
    <x v="0"/>
    <x v="1"/>
    <x v="10"/>
    <n v="0"/>
    <n v="0"/>
    <n v="1825.501"/>
    <n v="492.88526999999999"/>
    <n v="1825.501"/>
    <n v="492.88526999999999"/>
    <n v="0"/>
    <x v="1"/>
    <n v="0"/>
    <n v="0"/>
    <n v="27"/>
    <n v="85"/>
    <n v="0"/>
    <n v="300.26"/>
    <n v="225.04"/>
    <m/>
    <n v="357.88800100545785"/>
    <n v="221.02439731406525"/>
    <n v="0"/>
    <n v="147993.73117019999"/>
    <n v="110918.9011608"/>
    <n v="0"/>
    <n v="176397.72400533536"/>
    <n v="108939.66974673033"/>
  </r>
  <r>
    <s v="Refaturamento - Regular"/>
    <x v="3"/>
    <x v="5"/>
    <x v="2"/>
    <x v="2"/>
    <x v="3"/>
    <x v="0"/>
    <x v="1"/>
    <x v="10"/>
    <n v="0"/>
    <n v="0"/>
    <n v="-50.198999999999998"/>
    <n v="-13.55373"/>
    <n v="-50.198999999999998"/>
    <n v="-13.55373"/>
    <n v="0"/>
    <x v="1"/>
    <n v="0"/>
    <n v="0"/>
    <n v="27"/>
    <n v="85"/>
    <n v="0"/>
    <n v="300.26"/>
    <n v="225.04"/>
    <m/>
    <n v="357.88800100545785"/>
    <n v="221.02439731406525"/>
    <n v="0"/>
    <n v="-4069.6429697999997"/>
    <n v="-3050.1313992"/>
    <n v="0"/>
    <n v="-4850.7173358677046"/>
    <n v="-2995.7050046075656"/>
  </r>
  <r>
    <s v="Sistema de Compensação"/>
    <x v="3"/>
    <x v="5"/>
    <x v="2"/>
    <x v="2"/>
    <x v="3"/>
    <x v="0"/>
    <x v="1"/>
    <x v="10"/>
    <n v="0"/>
    <n v="0"/>
    <n v="66.944999999999993"/>
    <n v="18.075150000000001"/>
    <n v="66.944999999999993"/>
    <n v="18.075150000000001"/>
    <n v="0"/>
    <x v="1"/>
    <n v="0"/>
    <n v="0"/>
    <n v="27"/>
    <n v="85"/>
    <n v="0"/>
    <n v="300.26"/>
    <n v="225.04"/>
    <m/>
    <n v="357.88800100545785"/>
    <n v="221.02439731406525"/>
    <n v="0"/>
    <n v="5427.2445390000003"/>
    <n v="4067.6317560000002"/>
    <n v="0"/>
    <n v="6468.8793013738014"/>
    <n v="3995.0491351113269"/>
  </r>
  <r>
    <s v="PROJETADO"/>
    <x v="3"/>
    <x v="5"/>
    <x v="2"/>
    <x v="2"/>
    <x v="3"/>
    <x v="0"/>
    <x v="1"/>
    <x v="11"/>
    <n v="0"/>
    <n v="0"/>
    <n v="1825.501"/>
    <n v="492.88526999999999"/>
    <n v="1825.501"/>
    <n v="492.88526999999999"/>
    <n v="0"/>
    <x v="1"/>
    <n v="0"/>
    <n v="0"/>
    <n v="27"/>
    <n v="85"/>
    <n v="0"/>
    <n v="300.26"/>
    <n v="225.04"/>
    <m/>
    <n v="357.88800100545785"/>
    <n v="221.02439731406525"/>
    <n v="0"/>
    <n v="147993.73117019999"/>
    <n v="110918.9011608"/>
    <n v="0"/>
    <n v="176397.72400533536"/>
    <n v="108939.66974673033"/>
  </r>
  <r>
    <s v="PROJETADO"/>
    <x v="3"/>
    <x v="5"/>
    <x v="2"/>
    <x v="2"/>
    <x v="3"/>
    <x v="0"/>
    <x v="1"/>
    <x v="11"/>
    <n v="0"/>
    <n v="0"/>
    <n v="-50.198999999999998"/>
    <n v="-13.55373"/>
    <n v="-50.198999999999998"/>
    <n v="-13.55373"/>
    <n v="0"/>
    <x v="1"/>
    <n v="0"/>
    <n v="0"/>
    <n v="27"/>
    <n v="85"/>
    <n v="0"/>
    <n v="300.26"/>
    <n v="225.04"/>
    <m/>
    <n v="357.88800100545785"/>
    <n v="221.02439731406525"/>
    <n v="0"/>
    <n v="-4069.6429697999997"/>
    <n v="-3050.1313992"/>
    <n v="0"/>
    <n v="-4850.7173358677046"/>
    <n v="-2995.7050046075656"/>
  </r>
  <r>
    <s v="PROJETADO"/>
    <x v="3"/>
    <x v="5"/>
    <x v="2"/>
    <x v="2"/>
    <x v="3"/>
    <x v="0"/>
    <x v="1"/>
    <x v="11"/>
    <n v="0"/>
    <n v="0"/>
    <n v="66.944999999999993"/>
    <n v="18.075150000000001"/>
    <n v="66.944999999999993"/>
    <n v="18.075150000000001"/>
    <n v="0"/>
    <x v="1"/>
    <n v="0"/>
    <n v="0"/>
    <n v="27"/>
    <n v="85"/>
    <n v="0"/>
    <n v="300.26"/>
    <n v="225.04"/>
    <m/>
    <n v="357.88800100545785"/>
    <n v="221.02439731406525"/>
    <n v="0"/>
    <n v="5427.2445390000003"/>
    <n v="4067.6317560000002"/>
    <n v="0"/>
    <n v="6468.8793013738014"/>
    <n v="3995.0491351113269"/>
  </r>
  <r>
    <s v="Regular"/>
    <x v="3"/>
    <x v="5"/>
    <x v="2"/>
    <x v="8"/>
    <x v="4"/>
    <x v="0"/>
    <x v="1"/>
    <x v="0"/>
    <n v="0"/>
    <n v="0"/>
    <n v="9.3840000000000003"/>
    <n v="9.3840000000000003"/>
    <n v="9.3840000000000003"/>
    <n v="9.3840000000000003"/>
    <n v="0"/>
    <x v="1"/>
    <n v="0"/>
    <n v="0"/>
    <n v="27"/>
    <n v="85"/>
    <n v="0"/>
    <n v="300.26"/>
    <n v="225.04"/>
    <m/>
    <n v="357.88800100545785"/>
    <n v="221.02439731406525"/>
    <n v="0"/>
    <n v="2817.6398399999998"/>
    <n v="2111.7753600000001"/>
    <n v="0"/>
    <n v="3358.4210014352166"/>
    <n v="2074.0929443951886"/>
  </r>
  <r>
    <s v="Regular"/>
    <x v="3"/>
    <x v="5"/>
    <x v="2"/>
    <x v="8"/>
    <x v="4"/>
    <x v="0"/>
    <x v="1"/>
    <x v="1"/>
    <n v="0"/>
    <n v="0"/>
    <n v="6.282"/>
    <n v="6.282"/>
    <n v="6.282"/>
    <n v="6.282"/>
    <n v="0"/>
    <x v="1"/>
    <n v="0"/>
    <n v="0"/>
    <n v="27"/>
    <n v="85"/>
    <n v="0"/>
    <n v="300.26"/>
    <n v="225.04"/>
    <m/>
    <n v="357.88800100545785"/>
    <n v="221.02439731406525"/>
    <n v="0"/>
    <n v="1886.23332"/>
    <n v="1413.70128"/>
    <n v="0"/>
    <n v="2248.2524223162864"/>
    <n v="1388.475263926958"/>
  </r>
  <r>
    <s v="Regular"/>
    <x v="3"/>
    <x v="5"/>
    <x v="2"/>
    <x v="8"/>
    <x v="4"/>
    <x v="0"/>
    <x v="1"/>
    <x v="2"/>
    <n v="0"/>
    <n v="0"/>
    <n v="6.4340000000000002"/>
    <n v="6.4340000000000002"/>
    <n v="6.4340000000000002"/>
    <n v="6.4340000000000002"/>
    <n v="0"/>
    <x v="1"/>
    <n v="0"/>
    <n v="0"/>
    <n v="27"/>
    <n v="85"/>
    <n v="0"/>
    <n v="300.26"/>
    <n v="225.04"/>
    <m/>
    <n v="357.88800100545785"/>
    <n v="221.02439731406525"/>
    <n v="0"/>
    <n v="1931.87284"/>
    <n v="1447.9073599999999"/>
    <n v="0"/>
    <n v="2302.651398469116"/>
    <n v="1422.0709723186958"/>
  </r>
  <r>
    <s v="Regular"/>
    <x v="3"/>
    <x v="5"/>
    <x v="2"/>
    <x v="8"/>
    <x v="4"/>
    <x v="0"/>
    <x v="1"/>
    <x v="3"/>
    <n v="0"/>
    <n v="0"/>
    <n v="7.734"/>
    <n v="7.734"/>
    <n v="7.734"/>
    <n v="7.734"/>
    <n v="0"/>
    <x v="1"/>
    <n v="0"/>
    <n v="0"/>
    <n v="27"/>
    <n v="85"/>
    <n v="0"/>
    <n v="300.26"/>
    <n v="225.04"/>
    <m/>
    <n v="357.88800100545785"/>
    <n v="221.02439731406525"/>
    <n v="0"/>
    <n v="2322.2108399999997"/>
    <n v="1740.4593599999998"/>
    <n v="0"/>
    <n v="2767.9057997762111"/>
    <n v="1709.4026888269807"/>
  </r>
  <r>
    <s v="Regular"/>
    <x v="3"/>
    <x v="5"/>
    <x v="2"/>
    <x v="8"/>
    <x v="4"/>
    <x v="0"/>
    <x v="1"/>
    <x v="4"/>
    <n v="0"/>
    <n v="0"/>
    <n v="7.53"/>
    <n v="7.53"/>
    <n v="7.53"/>
    <n v="7.53"/>
    <n v="0"/>
    <x v="1"/>
    <n v="0"/>
    <n v="0"/>
    <n v="27"/>
    <n v="85"/>
    <n v="0"/>
    <n v="300.26"/>
    <n v="225.04"/>
    <m/>
    <n v="357.88800100545785"/>
    <n v="221.02439731406525"/>
    <n v="0"/>
    <n v="2260.9578000000001"/>
    <n v="1694.5512000000001"/>
    <n v="0"/>
    <n v="2694.8966475710977"/>
    <n v="1664.3137117749113"/>
  </r>
  <r>
    <s v="Regular"/>
    <x v="3"/>
    <x v="5"/>
    <x v="2"/>
    <x v="8"/>
    <x v="4"/>
    <x v="0"/>
    <x v="1"/>
    <x v="5"/>
    <n v="0"/>
    <n v="0"/>
    <n v="6.3029999999999999"/>
    <n v="6.3029999999999999"/>
    <n v="6.3029999999999999"/>
    <n v="6.3029999999999999"/>
    <n v="0"/>
    <x v="1"/>
    <n v="0"/>
    <n v="0"/>
    <n v="27"/>
    <n v="85"/>
    <n v="0"/>
    <n v="300.26"/>
    <n v="225.04"/>
    <m/>
    <n v="357.88800100545785"/>
    <n v="221.02439731406525"/>
    <n v="0"/>
    <n v="1892.5387799999999"/>
    <n v="1418.4271199999998"/>
    <n v="0"/>
    <n v="2255.7680703374008"/>
    <n v="1393.1167762705534"/>
  </r>
  <r>
    <s v="Regular"/>
    <x v="3"/>
    <x v="5"/>
    <x v="2"/>
    <x v="8"/>
    <x v="4"/>
    <x v="0"/>
    <x v="1"/>
    <x v="6"/>
    <n v="0"/>
    <n v="0"/>
    <n v="4.4089999999999998"/>
    <n v="4.4089999999999998"/>
    <n v="4.4089999999999998"/>
    <n v="4.4089999999999998"/>
    <n v="0"/>
    <x v="1"/>
    <n v="0"/>
    <n v="0"/>
    <n v="27"/>
    <n v="85"/>
    <n v="0"/>
    <n v="300.26"/>
    <n v="225.04"/>
    <m/>
    <n v="357.88800100545785"/>
    <n v="221.02439731406525"/>
    <n v="0"/>
    <n v="1323.8463399999998"/>
    <n v="992.20135999999991"/>
    <n v="0"/>
    <n v="1577.9281964330637"/>
    <n v="974.49656775771371"/>
  </r>
  <r>
    <s v="Regular"/>
    <x v="3"/>
    <x v="5"/>
    <x v="2"/>
    <x v="8"/>
    <x v="4"/>
    <x v="0"/>
    <x v="1"/>
    <x v="7"/>
    <n v="0"/>
    <n v="0"/>
    <n v="5.9340000000000002"/>
    <n v="5.9340000000000002"/>
    <n v="5.9340000000000002"/>
    <n v="5.9340000000000002"/>
    <n v="0"/>
    <x v="1"/>
    <n v="0"/>
    <n v="0"/>
    <n v="27"/>
    <n v="85"/>
    <n v="0"/>
    <n v="300.26"/>
    <n v="225.04"/>
    <m/>
    <n v="357.88800100545785"/>
    <n v="221.02439731406525"/>
    <n v="0"/>
    <n v="1781.7428399999999"/>
    <n v="1335.3873599999999"/>
    <n v="0"/>
    <n v="2123.7073979663869"/>
    <n v="1311.5587736616633"/>
  </r>
  <r>
    <s v="Regular"/>
    <x v="3"/>
    <x v="5"/>
    <x v="2"/>
    <x v="8"/>
    <x v="4"/>
    <x v="0"/>
    <x v="1"/>
    <x v="8"/>
    <n v="0"/>
    <n v="0"/>
    <n v="7.6669999999999998"/>
    <n v="7.6669999999999998"/>
    <n v="7.6669999999999998"/>
    <n v="7.6669999999999998"/>
    <n v="0"/>
    <x v="1"/>
    <n v="0"/>
    <n v="0"/>
    <n v="27"/>
    <n v="85"/>
    <n v="0"/>
    <n v="300.26"/>
    <n v="225.04"/>
    <m/>
    <n v="357.88800100545785"/>
    <n v="221.02439731406525"/>
    <n v="0"/>
    <n v="2302.0934199999997"/>
    <n v="1725.38168"/>
    <n v="0"/>
    <n v="2743.9273037088451"/>
    <n v="1694.5940542069382"/>
  </r>
  <r>
    <s v="Regular"/>
    <x v="3"/>
    <x v="5"/>
    <x v="2"/>
    <x v="8"/>
    <x v="4"/>
    <x v="0"/>
    <x v="1"/>
    <x v="9"/>
    <n v="0"/>
    <n v="0"/>
    <n v="7.8570000000000002"/>
    <n v="7.8570000000000002"/>
    <n v="7.8570000000000002"/>
    <n v="7.8570000000000002"/>
    <n v="0"/>
    <x v="1"/>
    <n v="0"/>
    <n v="0"/>
    <n v="27"/>
    <n v="85"/>
    <n v="0"/>
    <n v="300.26"/>
    <n v="225.04"/>
    <m/>
    <n v="357.88800100545785"/>
    <n v="221.02439731406525"/>
    <n v="0"/>
    <n v="2359.14282"/>
    <n v="1768.1392799999999"/>
    <n v="0"/>
    <n v="2811.9260238998822"/>
    <n v="1736.5886896966108"/>
  </r>
  <r>
    <s v="Regular"/>
    <x v="3"/>
    <x v="5"/>
    <x v="2"/>
    <x v="8"/>
    <x v="4"/>
    <x v="0"/>
    <x v="1"/>
    <x v="10"/>
    <n v="0"/>
    <n v="0"/>
    <n v="7.8369999999999997"/>
    <n v="7.8369999999999997"/>
    <n v="7.8369999999999997"/>
    <n v="7.8369999999999997"/>
    <n v="0"/>
    <x v="1"/>
    <n v="0"/>
    <n v="0"/>
    <n v="27"/>
    <n v="85"/>
    <n v="0"/>
    <n v="300.26"/>
    <n v="225.04"/>
    <m/>
    <n v="357.88800100545785"/>
    <n v="221.02439731406525"/>
    <n v="0"/>
    <n v="2353.13762"/>
    <n v="1763.6384799999998"/>
    <n v="0"/>
    <n v="2804.7682638797733"/>
    <n v="1732.1682017503294"/>
  </r>
  <r>
    <s v="PROJETADO"/>
    <x v="3"/>
    <x v="5"/>
    <x v="2"/>
    <x v="8"/>
    <x v="4"/>
    <x v="0"/>
    <x v="1"/>
    <x v="11"/>
    <n v="0"/>
    <n v="0"/>
    <n v="7.8369999999999997"/>
    <n v="7.8369999999999997"/>
    <n v="7.8369999999999997"/>
    <n v="7.8369999999999997"/>
    <n v="0"/>
    <x v="1"/>
    <n v="0"/>
    <n v="0"/>
    <n v="27"/>
    <n v="85"/>
    <n v="0"/>
    <n v="300.26"/>
    <n v="225.04"/>
    <m/>
    <n v="357.88800100545785"/>
    <n v="221.02439731406525"/>
    <n v="0"/>
    <n v="2353.13762"/>
    <n v="1763.6384799999998"/>
    <n v="0"/>
    <n v="2804.7682638797733"/>
    <n v="1732.1682017503294"/>
  </r>
  <r>
    <s v="Regular"/>
    <x v="3"/>
    <x v="5"/>
    <x v="2"/>
    <x v="8"/>
    <x v="3"/>
    <x v="0"/>
    <x v="1"/>
    <x v="0"/>
    <n v="0"/>
    <n v="0"/>
    <n v="24.286000000000001"/>
    <n v="6.55722"/>
    <n v="24.286000000000001"/>
    <n v="6.55722"/>
    <n v="0"/>
    <x v="1"/>
    <n v="0"/>
    <n v="0"/>
    <n v="27"/>
    <n v="85"/>
    <n v="0"/>
    <n v="300.26"/>
    <n v="225.04"/>
    <m/>
    <n v="357.88800100545785"/>
    <n v="221.02439731406525"/>
    <n v="0"/>
    <n v="1968.8708772"/>
    <n v="1475.6367888"/>
    <n v="0"/>
    <n v="2346.7503579530085"/>
    <n v="1449.3055985557351"/>
  </r>
  <r>
    <s v="Regular"/>
    <x v="3"/>
    <x v="5"/>
    <x v="2"/>
    <x v="8"/>
    <x v="3"/>
    <x v="0"/>
    <x v="1"/>
    <x v="1"/>
    <n v="0"/>
    <n v="0"/>
    <n v="18.283000000000001"/>
    <n v="4.9364100000000004"/>
    <n v="18.283000000000001"/>
    <n v="4.9364100000000004"/>
    <n v="0"/>
    <x v="1"/>
    <n v="0"/>
    <n v="0"/>
    <n v="27"/>
    <n v="85"/>
    <n v="0"/>
    <n v="300.26"/>
    <n v="225.04"/>
    <m/>
    <n v="357.88800100545785"/>
    <n v="221.02439731406525"/>
    <n v="0"/>
    <n v="1482.2064666000001"/>
    <n v="1110.8897064"/>
    <n v="0"/>
    <n v="1766.6819070433523"/>
    <n v="1091.0670451451249"/>
  </r>
  <r>
    <s v="Regular"/>
    <x v="3"/>
    <x v="5"/>
    <x v="2"/>
    <x v="8"/>
    <x v="3"/>
    <x v="0"/>
    <x v="1"/>
    <x v="2"/>
    <n v="0"/>
    <n v="0"/>
    <n v="23.462"/>
    <n v="6.33474"/>
    <n v="23.462"/>
    <n v="6.33474"/>
    <n v="0"/>
    <x v="1"/>
    <n v="0"/>
    <n v="0"/>
    <n v="27"/>
    <n v="85"/>
    <n v="0"/>
    <n v="300.26"/>
    <n v="225.04"/>
    <m/>
    <n v="357.88800100545785"/>
    <n v="221.02439731406525"/>
    <n v="0"/>
    <n v="1902.0690324"/>
    <n v="1425.5698895999999"/>
    <n v="0"/>
    <n v="2267.1274354893139"/>
    <n v="1400.1320906413018"/>
  </r>
  <r>
    <s v="Regular"/>
    <x v="3"/>
    <x v="5"/>
    <x v="2"/>
    <x v="8"/>
    <x v="3"/>
    <x v="0"/>
    <x v="1"/>
    <x v="3"/>
    <n v="0"/>
    <n v="0"/>
    <n v="23.196000000000002"/>
    <n v="6.2629200000000003"/>
    <n v="23.196000000000002"/>
    <n v="6.2629200000000003"/>
    <n v="0"/>
    <x v="1"/>
    <n v="0"/>
    <n v="0"/>
    <n v="27"/>
    <n v="85"/>
    <n v="0"/>
    <n v="300.26"/>
    <n v="225.04"/>
    <m/>
    <n v="357.88800100545785"/>
    <n v="221.02439731406525"/>
    <n v="0"/>
    <n v="1880.5043592"/>
    <n v="1409.4075167999999"/>
    <n v="0"/>
    <n v="2241.4239192571022"/>
    <n v="1384.2581184262056"/>
  </r>
  <r>
    <s v="Regular"/>
    <x v="3"/>
    <x v="5"/>
    <x v="2"/>
    <x v="8"/>
    <x v="3"/>
    <x v="0"/>
    <x v="1"/>
    <x v="4"/>
    <n v="0"/>
    <n v="0"/>
    <n v="20.673999999999999"/>
    <n v="5.5819799999999997"/>
    <n v="20.673999999999999"/>
    <n v="5.5819799999999997"/>
    <n v="0"/>
    <x v="1"/>
    <n v="0"/>
    <n v="0"/>
    <n v="27"/>
    <n v="85"/>
    <n v="0"/>
    <n v="300.26"/>
    <n v="225.04"/>
    <m/>
    <n v="357.88800100545785"/>
    <n v="221.02439731406525"/>
    <n v="0"/>
    <n v="1676.0453147999999"/>
    <n v="1256.1687791999998"/>
    <n v="0"/>
    <n v="1997.7236638524455"/>
    <n v="1233.753765319166"/>
  </r>
  <r>
    <s v="Regular"/>
    <x v="3"/>
    <x v="5"/>
    <x v="2"/>
    <x v="8"/>
    <x v="3"/>
    <x v="0"/>
    <x v="1"/>
    <x v="5"/>
    <n v="0"/>
    <n v="0"/>
    <n v="21.818999999999999"/>
    <n v="5.8911300000000004"/>
    <n v="21.818999999999999"/>
    <n v="5.8911300000000004"/>
    <n v="0"/>
    <x v="1"/>
    <n v="0"/>
    <n v="0"/>
    <n v="27"/>
    <n v="85"/>
    <n v="0"/>
    <n v="300.26"/>
    <n v="225.04"/>
    <m/>
    <n v="357.88800100545785"/>
    <n v="221.02439731406525"/>
    <n v="0"/>
    <n v="1768.8706938"/>
    <n v="1325.7398952000001"/>
    <n v="0"/>
    <n v="2108.3647393632832"/>
    <n v="1302.0834577488092"/>
  </r>
  <r>
    <s v="Regular"/>
    <x v="3"/>
    <x v="5"/>
    <x v="2"/>
    <x v="8"/>
    <x v="3"/>
    <x v="0"/>
    <x v="1"/>
    <x v="6"/>
    <n v="0"/>
    <n v="0"/>
    <n v="17.419"/>
    <n v="4.7031299999999998"/>
    <n v="17.419"/>
    <n v="4.7031299999999998"/>
    <n v="0"/>
    <x v="1"/>
    <n v="0"/>
    <n v="0"/>
    <n v="27"/>
    <n v="85"/>
    <n v="0"/>
    <n v="300.26"/>
    <n v="225.04"/>
    <m/>
    <n v="357.88800100545785"/>
    <n v="221.02439731406525"/>
    <n v="0"/>
    <n v="1412.1618137999999"/>
    <n v="1058.3923751999998"/>
    <n v="0"/>
    <n v="1683.1937941687988"/>
    <n v="1039.5064737396997"/>
  </r>
  <r>
    <s v="Regular"/>
    <x v="3"/>
    <x v="5"/>
    <x v="2"/>
    <x v="8"/>
    <x v="3"/>
    <x v="0"/>
    <x v="1"/>
    <x v="7"/>
    <n v="0"/>
    <n v="0"/>
    <n v="18.379000000000001"/>
    <n v="4.9623299999999997"/>
    <n v="18.379000000000001"/>
    <n v="4.9623299999999997"/>
    <n v="0"/>
    <x v="1"/>
    <n v="0"/>
    <n v="0"/>
    <n v="27"/>
    <n v="85"/>
    <n v="0"/>
    <n v="300.26"/>
    <n v="225.04"/>
    <m/>
    <n v="357.88800100545785"/>
    <n v="221.02439731406525"/>
    <n v="0"/>
    <n v="1489.9892057999998"/>
    <n v="1116.7227432"/>
    <n v="0"/>
    <n v="1775.9583640294136"/>
    <n v="1096.7959975235053"/>
  </r>
  <r>
    <s v="Regular"/>
    <x v="3"/>
    <x v="5"/>
    <x v="2"/>
    <x v="8"/>
    <x v="3"/>
    <x v="0"/>
    <x v="1"/>
    <x v="8"/>
    <n v="0"/>
    <n v="0"/>
    <n v="19.802"/>
    <n v="5.3465400000000001"/>
    <n v="19.802"/>
    <n v="5.3465400000000001"/>
    <n v="0"/>
    <x v="1"/>
    <n v="0"/>
    <n v="0"/>
    <n v="27"/>
    <n v="85"/>
    <n v="0"/>
    <n v="300.26"/>
    <n v="225.04"/>
    <m/>
    <n v="357.88800100545785"/>
    <n v="221.02439731406525"/>
    <n v="0"/>
    <n v="1605.3521003999999"/>
    <n v="1203.1853616000001"/>
    <n v="0"/>
    <n v="1913.4625128957207"/>
    <n v="1181.7157812155424"/>
  </r>
  <r>
    <s v="Regular"/>
    <x v="3"/>
    <x v="5"/>
    <x v="2"/>
    <x v="8"/>
    <x v="3"/>
    <x v="0"/>
    <x v="1"/>
    <x v="9"/>
    <n v="0"/>
    <n v="0"/>
    <n v="21.521999999999998"/>
    <n v="5.8109400000000004"/>
    <n v="21.521999999999998"/>
    <n v="5.8109400000000004"/>
    <n v="0"/>
    <x v="1"/>
    <n v="0"/>
    <n v="0"/>
    <n v="27"/>
    <n v="85"/>
    <n v="0"/>
    <n v="300.26"/>
    <n v="225.04"/>
    <m/>
    <n v="357.88800100545785"/>
    <n v="221.02439731406525"/>
    <n v="0"/>
    <n v="1744.7928444000001"/>
    <n v="1307.6939376"/>
    <n v="0"/>
    <n v="2079.6657005626553"/>
    <n v="1284.3595113281945"/>
  </r>
  <r>
    <s v="Regular"/>
    <x v="3"/>
    <x v="5"/>
    <x v="2"/>
    <x v="8"/>
    <x v="3"/>
    <x v="0"/>
    <x v="1"/>
    <x v="10"/>
    <n v="0"/>
    <n v="0"/>
    <n v="18.597000000000001"/>
    <n v="5.0211899999999998"/>
    <n v="18.597000000000001"/>
    <n v="5.0211899999999998"/>
    <n v="0"/>
    <x v="1"/>
    <n v="0"/>
    <n v="0"/>
    <n v="27"/>
    <n v="85"/>
    <n v="0"/>
    <n v="300.26"/>
    <n v="225.04"/>
    <m/>
    <n v="357.88800100545785"/>
    <n v="221.02439731406525"/>
    <n v="0"/>
    <n v="1507.6625093999999"/>
    <n v="1129.9685975999998"/>
    <n v="0"/>
    <n v="1797.0236517685948"/>
    <n v="1109.8054935494113"/>
  </r>
  <r>
    <s v="PROJETADO"/>
    <x v="3"/>
    <x v="5"/>
    <x v="2"/>
    <x v="8"/>
    <x v="3"/>
    <x v="0"/>
    <x v="1"/>
    <x v="11"/>
    <n v="0"/>
    <n v="0"/>
    <n v="18.597000000000001"/>
    <n v="5.0211899999999998"/>
    <n v="18.597000000000001"/>
    <n v="5.0211899999999998"/>
    <n v="0"/>
    <x v="1"/>
    <n v="0"/>
    <n v="0"/>
    <n v="27"/>
    <n v="85"/>
    <n v="0"/>
    <n v="300.26"/>
    <n v="225.04"/>
    <m/>
    <n v="357.88800100545785"/>
    <n v="221.02439731406525"/>
    <n v="0"/>
    <n v="1507.6625093999999"/>
    <n v="1129.9685975999998"/>
    <n v="0"/>
    <n v="1797.0236517685948"/>
    <n v="1109.8054935494113"/>
  </r>
  <r>
    <s v="Regular"/>
    <x v="3"/>
    <x v="5"/>
    <x v="2"/>
    <x v="0"/>
    <x v="0"/>
    <x v="0"/>
    <x v="1"/>
    <x v="0"/>
    <n v="0"/>
    <n v="0"/>
    <n v="15716.521000000001"/>
    <n v="15716.521000000001"/>
    <n v="15716.521000000001"/>
    <n v="15716.521000000001"/>
    <n v="125140"/>
    <x v="1"/>
    <n v="0"/>
    <n v="0"/>
    <n v="27"/>
    <n v="85"/>
    <n v="0"/>
    <n v="300.26"/>
    <n v="225.04"/>
    <m/>
    <n v="357.88800100545785"/>
    <n v="221.02439731406525"/>
    <n v="0"/>
    <n v="4719042.5954600004"/>
    <n v="3536845.8858400001"/>
    <n v="0"/>
    <n v="5624754.2834502999"/>
    <n v="3473734.5818988504"/>
  </r>
  <r>
    <s v="Refaturamento - Regular"/>
    <x v="3"/>
    <x v="5"/>
    <x v="2"/>
    <x v="0"/>
    <x v="0"/>
    <x v="0"/>
    <x v="1"/>
    <x v="0"/>
    <n v="0"/>
    <n v="0"/>
    <n v="-23.651"/>
    <n v="-23.651"/>
    <n v="-23.651"/>
    <n v="-23.651"/>
    <n v="-158"/>
    <x v="1"/>
    <n v="0"/>
    <n v="0"/>
    <n v="27"/>
    <n v="85"/>
    <n v="0"/>
    <n v="300.26"/>
    <n v="225.04"/>
    <m/>
    <n v="357.88800100545785"/>
    <n v="221.02439731406525"/>
    <n v="0"/>
    <n v="-7101.4492599999994"/>
    <n v="-5322.4210400000002"/>
    <n v="0"/>
    <n v="-8464.4091117800835"/>
    <n v="-5227.4480208749574"/>
  </r>
  <r>
    <s v="Sistema de Compensação"/>
    <x v="3"/>
    <x v="5"/>
    <x v="2"/>
    <x v="0"/>
    <x v="0"/>
    <x v="0"/>
    <x v="1"/>
    <x v="0"/>
    <n v="0"/>
    <n v="0"/>
    <n v="240.501"/>
    <n v="240.501"/>
    <n v="240.501"/>
    <n v="240.501"/>
    <n v="816"/>
    <x v="1"/>
    <n v="0"/>
    <n v="0"/>
    <n v="27"/>
    <n v="85"/>
    <n v="0"/>
    <n v="300.26"/>
    <n v="225.04"/>
    <m/>
    <n v="357.88800100545785"/>
    <n v="221.02439731406525"/>
    <n v="0"/>
    <n v="72212.830260000002"/>
    <n v="54122.34504"/>
    <n v="0"/>
    <n v="86072.422129813625"/>
    <n v="53156.588578430012"/>
  </r>
  <r>
    <s v="Regular"/>
    <x v="3"/>
    <x v="5"/>
    <x v="2"/>
    <x v="0"/>
    <x v="0"/>
    <x v="0"/>
    <x v="1"/>
    <x v="1"/>
    <n v="0"/>
    <n v="0"/>
    <n v="15689.016"/>
    <n v="15689.016"/>
    <n v="15689.016"/>
    <n v="15689.016"/>
    <n v="124857"/>
    <x v="1"/>
    <n v="0"/>
    <n v="0"/>
    <n v="27"/>
    <n v="85"/>
    <n v="0"/>
    <n v="300.26"/>
    <n v="225.04"/>
    <m/>
    <n v="357.88800100545785"/>
    <n v="221.02439731406525"/>
    <n v="0"/>
    <n v="4710783.9441599995"/>
    <n v="3530656.1606399999"/>
    <n v="0"/>
    <n v="5614910.5739826439"/>
    <n v="3467655.3058507266"/>
  </r>
  <r>
    <s v="Refaturamento - Regular"/>
    <x v="3"/>
    <x v="5"/>
    <x v="2"/>
    <x v="0"/>
    <x v="0"/>
    <x v="0"/>
    <x v="1"/>
    <x v="1"/>
    <n v="0"/>
    <n v="0"/>
    <n v="-2.9239999999999999"/>
    <n v="-2.9239999999999999"/>
    <n v="-2.9239999999999999"/>
    <n v="-2.9239999999999999"/>
    <n v="-6"/>
    <x v="1"/>
    <n v="0"/>
    <n v="0"/>
    <n v="27"/>
    <n v="85"/>
    <n v="0"/>
    <n v="300.26"/>
    <n v="225.04"/>
    <m/>
    <n v="357.88800100545785"/>
    <n v="221.02439731406525"/>
    <n v="0"/>
    <n v="-877.96024"/>
    <n v="-658.01695999999993"/>
    <n v="0"/>
    <n v="-1046.4645149399587"/>
    <n v="-646.27533774632684"/>
  </r>
  <r>
    <s v="Sistema de Compensação"/>
    <x v="3"/>
    <x v="5"/>
    <x v="2"/>
    <x v="0"/>
    <x v="0"/>
    <x v="0"/>
    <x v="1"/>
    <x v="1"/>
    <n v="0"/>
    <n v="0"/>
    <n v="307.24799999999999"/>
    <n v="307.24799999999999"/>
    <n v="307.24799999999999"/>
    <n v="307.24799999999999"/>
    <n v="861"/>
    <x v="1"/>
    <n v="0"/>
    <n v="0"/>
    <n v="27"/>
    <n v="85"/>
    <n v="0"/>
    <n v="300.26"/>
    <n v="225.04"/>
    <m/>
    <n v="357.88800100545785"/>
    <n v="221.02439731406525"/>
    <n v="0"/>
    <n v="92254.284479999988"/>
    <n v="69143.089919999999"/>
    <n v="0"/>
    <n v="109960.37253292491"/>
    <n v="67909.304025951918"/>
  </r>
  <r>
    <s v="Sistema de Compensação"/>
    <x v="3"/>
    <x v="5"/>
    <x v="2"/>
    <x v="0"/>
    <x v="0"/>
    <x v="0"/>
    <x v="1"/>
    <x v="1"/>
    <n v="0"/>
    <n v="0"/>
    <n v="-0.32400000000000001"/>
    <n v="-0.32400000000000001"/>
    <n v="-0.32400000000000001"/>
    <n v="-0.32400000000000001"/>
    <n v="0"/>
    <x v="1"/>
    <n v="0"/>
    <n v="0"/>
    <n v="27"/>
    <n v="85"/>
    <n v="0"/>
    <n v="300.26"/>
    <n v="225.04"/>
    <m/>
    <n v="357.88800100545785"/>
    <n v="221.02439731406525"/>
    <n v="0"/>
    <n v="-97.284239999999997"/>
    <n v="-72.912959999999998"/>
    <n v="0"/>
    <n v="-115.95571232576835"/>
    <n v="-71.611904729757143"/>
  </r>
  <r>
    <s v="Regular"/>
    <x v="3"/>
    <x v="5"/>
    <x v="2"/>
    <x v="0"/>
    <x v="0"/>
    <x v="0"/>
    <x v="1"/>
    <x v="2"/>
    <n v="0"/>
    <n v="0"/>
    <n v="16650.550999999999"/>
    <n v="16650.550999999999"/>
    <n v="16650.550999999999"/>
    <n v="16650.550999999999"/>
    <n v="124363"/>
    <x v="1"/>
    <n v="0"/>
    <n v="0"/>
    <n v="27"/>
    <n v="85"/>
    <n v="0"/>
    <n v="300.26"/>
    <n v="225.04"/>
    <m/>
    <n v="357.88800100545785"/>
    <n v="221.02439731406525"/>
    <n v="0"/>
    <n v="4999494.4432600001"/>
    <n v="3747039.9970399998"/>
    <n v="0"/>
    <n v="5959032.4130294267"/>
    <n v="3680177.9997221064"/>
  </r>
  <r>
    <s v="Refaturamento - Regular"/>
    <x v="3"/>
    <x v="5"/>
    <x v="2"/>
    <x v="0"/>
    <x v="0"/>
    <x v="0"/>
    <x v="1"/>
    <x v="2"/>
    <n v="0"/>
    <n v="0"/>
    <n v="-62.281999999999996"/>
    <n v="-62.281999999999996"/>
    <n v="-62.281999999999996"/>
    <n v="-62.281999999999996"/>
    <n v="-9"/>
    <x v="1"/>
    <n v="0"/>
    <n v="0"/>
    <n v="27"/>
    <n v="85"/>
    <n v="0"/>
    <n v="300.26"/>
    <n v="225.04"/>
    <m/>
    <n v="357.88800100545785"/>
    <n v="221.02439731406525"/>
    <n v="0"/>
    <n v="-18700.793319999997"/>
    <n v="-14015.941279999999"/>
    <n v="0"/>
    <n v="-22289.980478621925"/>
    <n v="-13765.841513514612"/>
  </r>
  <r>
    <s v="Sistema de Compensação"/>
    <x v="3"/>
    <x v="5"/>
    <x v="2"/>
    <x v="0"/>
    <x v="0"/>
    <x v="0"/>
    <x v="1"/>
    <x v="2"/>
    <n v="0"/>
    <n v="0"/>
    <n v="309.358"/>
    <n v="309.358"/>
    <n v="309.358"/>
    <n v="309.358"/>
    <n v="928"/>
    <x v="1"/>
    <n v="0"/>
    <n v="0"/>
    <n v="27"/>
    <n v="85"/>
    <n v="0"/>
    <n v="300.26"/>
    <n v="225.04"/>
    <m/>
    <n v="357.88800100545785"/>
    <n v="221.02439731406525"/>
    <n v="0"/>
    <n v="92887.833079999997"/>
    <n v="69617.924320000006"/>
    <n v="0"/>
    <n v="110715.51621504643"/>
    <n v="68375.665504284596"/>
  </r>
  <r>
    <s v="Sistema de Compensação"/>
    <x v="3"/>
    <x v="5"/>
    <x v="2"/>
    <x v="0"/>
    <x v="0"/>
    <x v="0"/>
    <x v="1"/>
    <x v="2"/>
    <n v="0"/>
    <n v="0"/>
    <n v="11.587999999999999"/>
    <n v="11.587999999999999"/>
    <n v="11.587999999999999"/>
    <n v="11.587999999999999"/>
    <n v="0"/>
    <x v="1"/>
    <n v="0"/>
    <n v="0"/>
    <n v="27"/>
    <n v="85"/>
    <n v="0"/>
    <n v="300.26"/>
    <n v="225.04"/>
    <m/>
    <n v="357.88800100545785"/>
    <n v="221.02439731406525"/>
    <n v="0"/>
    <n v="3479.4128799999999"/>
    <n v="2607.7635199999995"/>
    <n v="0"/>
    <n v="4147.2061556512454"/>
    <n v="2561.230716075388"/>
  </r>
  <r>
    <s v="Regular"/>
    <x v="3"/>
    <x v="5"/>
    <x v="2"/>
    <x v="0"/>
    <x v="0"/>
    <x v="0"/>
    <x v="1"/>
    <x v="3"/>
    <n v="0"/>
    <n v="0"/>
    <n v="16466.123"/>
    <n v="16466.123"/>
    <n v="16466.123"/>
    <n v="16466.123"/>
    <n v="123663"/>
    <x v="1"/>
    <n v="0"/>
    <n v="0"/>
    <n v="27"/>
    <n v="85"/>
    <n v="0"/>
    <n v="300.26"/>
    <n v="225.04"/>
    <m/>
    <n v="357.88800100545785"/>
    <n v="221.02439731406525"/>
    <n v="0"/>
    <n v="4944118.09198"/>
    <n v="3705536.3199199997"/>
    <n v="0"/>
    <n v="5893027.8447799925"/>
    <n v="3639414.9121742682"/>
  </r>
  <r>
    <s v="Refaturamento - Regular"/>
    <x v="3"/>
    <x v="5"/>
    <x v="2"/>
    <x v="0"/>
    <x v="0"/>
    <x v="0"/>
    <x v="1"/>
    <x v="3"/>
    <n v="0"/>
    <n v="0"/>
    <n v="-38.383000000000003"/>
    <n v="-38.383000000000003"/>
    <n v="-38.383000000000003"/>
    <n v="-38.383000000000003"/>
    <n v="-51"/>
    <x v="1"/>
    <n v="0"/>
    <n v="0"/>
    <n v="27"/>
    <n v="85"/>
    <n v="0"/>
    <n v="300.26"/>
    <n v="225.04"/>
    <m/>
    <n v="357.88800100545785"/>
    <n v="221.02439731406525"/>
    <n v="0"/>
    <n v="-11524.879580000001"/>
    <n v="-8637.7103200000001"/>
    <n v="0"/>
    <n v="-13736.81514259249"/>
    <n v="-8483.5794421057672"/>
  </r>
  <r>
    <s v="Sistema de Compensação"/>
    <x v="3"/>
    <x v="5"/>
    <x v="2"/>
    <x v="0"/>
    <x v="0"/>
    <x v="0"/>
    <x v="1"/>
    <x v="3"/>
    <n v="0"/>
    <n v="0"/>
    <n v="421.00200000000001"/>
    <n v="421.00200000000001"/>
    <n v="421.00200000000001"/>
    <n v="421.00200000000001"/>
    <n v="980"/>
    <x v="1"/>
    <n v="0"/>
    <n v="0"/>
    <n v="27"/>
    <n v="85"/>
    <n v="0"/>
    <n v="300.26"/>
    <n v="225.04"/>
    <m/>
    <n v="357.88800100545785"/>
    <n v="221.02439731406525"/>
    <n v="0"/>
    <n v="126410.06052"/>
    <n v="94742.290079999992"/>
    <n v="0"/>
    <n v="150671.56419929978"/>
    <n v="93051.713318016104"/>
  </r>
  <r>
    <s v="Sistema de Compensação"/>
    <x v="3"/>
    <x v="5"/>
    <x v="2"/>
    <x v="0"/>
    <x v="0"/>
    <x v="0"/>
    <x v="1"/>
    <x v="3"/>
    <n v="0"/>
    <n v="0"/>
    <n v="-2.2869999999999999"/>
    <n v="-2.2869999999999999"/>
    <n v="-2.2869999999999999"/>
    <n v="-2.2869999999999999"/>
    <n v="0"/>
    <x v="1"/>
    <n v="0"/>
    <n v="0"/>
    <n v="27"/>
    <n v="85"/>
    <n v="0"/>
    <n v="300.26"/>
    <n v="225.04"/>
    <m/>
    <n v="357.88800100545785"/>
    <n v="221.02439731406525"/>
    <n v="0"/>
    <n v="-686.69461999999999"/>
    <n v="-514.66647999999998"/>
    <n v="0"/>
    <n v="-818.48985829948208"/>
    <n v="-505.48279665726722"/>
  </r>
  <r>
    <s v="Regular"/>
    <x v="3"/>
    <x v="5"/>
    <x v="2"/>
    <x v="0"/>
    <x v="0"/>
    <x v="0"/>
    <x v="1"/>
    <x v="4"/>
    <n v="0"/>
    <n v="0"/>
    <n v="17848.134999999998"/>
    <n v="17848.134999999998"/>
    <n v="17848.134999999998"/>
    <n v="17848.134999999998"/>
    <n v="123329"/>
    <x v="1"/>
    <n v="0"/>
    <n v="0"/>
    <n v="27"/>
    <n v="85"/>
    <n v="0"/>
    <n v="300.26"/>
    <n v="225.04"/>
    <m/>
    <n v="357.88800100545785"/>
    <n v="221.02439731406525"/>
    <n v="0"/>
    <n v="5359081.0150999995"/>
    <n v="4016544.3003999996"/>
    <n v="0"/>
    <n v="6387633.3568255473"/>
    <n v="3944873.2815550738"/>
  </r>
  <r>
    <s v="Refaturamento - Regular"/>
    <x v="3"/>
    <x v="5"/>
    <x v="2"/>
    <x v="0"/>
    <x v="0"/>
    <x v="0"/>
    <x v="1"/>
    <x v="4"/>
    <n v="0"/>
    <n v="0"/>
    <n v="-129.00700000000001"/>
    <n v="-129.00700000000001"/>
    <n v="-129.00700000000001"/>
    <n v="-129.00700000000001"/>
    <n v="-8"/>
    <x v="1"/>
    <n v="0"/>
    <n v="0"/>
    <n v="27"/>
    <n v="85"/>
    <n v="0"/>
    <n v="300.26"/>
    <n v="225.04"/>
    <m/>
    <n v="357.88800100545785"/>
    <n v="221.02439731406525"/>
    <n v="0"/>
    <n v="-38735.641819999997"/>
    <n v="-29031.735280000001"/>
    <n v="0"/>
    <n v="-46170.057345711102"/>
    <n v="-28513.694424295616"/>
  </r>
  <r>
    <s v="Sistema de Compensação"/>
    <x v="3"/>
    <x v="5"/>
    <x v="2"/>
    <x v="0"/>
    <x v="0"/>
    <x v="0"/>
    <x v="1"/>
    <x v="4"/>
    <n v="0"/>
    <n v="0"/>
    <n v="300.54500000000002"/>
    <n v="300.54500000000002"/>
    <n v="300.54500000000002"/>
    <n v="300.54500000000002"/>
    <n v="1031"/>
    <x v="1"/>
    <n v="0"/>
    <n v="0"/>
    <n v="27"/>
    <n v="85"/>
    <n v="0"/>
    <n v="300.26"/>
    <n v="225.04"/>
    <m/>
    <n v="357.88800100545785"/>
    <n v="221.02439731406525"/>
    <n v="0"/>
    <n v="90241.641700000007"/>
    <n v="67634.646800000002"/>
    <n v="0"/>
    <n v="107561.44926218534"/>
    <n v="66427.777490755747"/>
  </r>
  <r>
    <s v="Sistema de Compensação"/>
    <x v="3"/>
    <x v="5"/>
    <x v="2"/>
    <x v="0"/>
    <x v="0"/>
    <x v="0"/>
    <x v="1"/>
    <x v="4"/>
    <n v="0"/>
    <n v="0"/>
    <n v="-1.2589999999999999"/>
    <n v="-1.2589999999999999"/>
    <n v="-1.2589999999999999"/>
    <n v="-1.2589999999999999"/>
    <n v="-1"/>
    <x v="1"/>
    <n v="0"/>
    <n v="0"/>
    <n v="27"/>
    <n v="85"/>
    <n v="0"/>
    <n v="300.26"/>
    <n v="225.04"/>
    <m/>
    <n v="357.88800100545785"/>
    <n v="221.02439731406525"/>
    <n v="0"/>
    <n v="-378.02733999999998"/>
    <n v="-283.32535999999999"/>
    <n v="0"/>
    <n v="-450.58099326587137"/>
    <n v="-278.26971621840812"/>
  </r>
  <r>
    <s v="Regular"/>
    <x v="3"/>
    <x v="5"/>
    <x v="2"/>
    <x v="0"/>
    <x v="0"/>
    <x v="0"/>
    <x v="1"/>
    <x v="5"/>
    <n v="0"/>
    <n v="0"/>
    <n v="15475.6"/>
    <n v="15475.6"/>
    <n v="15475.6"/>
    <n v="15475.6"/>
    <n v="122861"/>
    <x v="1"/>
    <n v="0"/>
    <n v="0"/>
    <n v="27"/>
    <n v="85"/>
    <n v="0"/>
    <n v="300.26"/>
    <n v="225.04"/>
    <m/>
    <n v="357.88800100545785"/>
    <n v="221.02439731406525"/>
    <n v="0"/>
    <n v="4646703.6560000004"/>
    <n v="3482629.0239999997"/>
    <n v="0"/>
    <n v="5538531.5483600637"/>
    <n v="3420485.1630735481"/>
  </r>
  <r>
    <s v="Refaturamento - Regular"/>
    <x v="3"/>
    <x v="5"/>
    <x v="2"/>
    <x v="0"/>
    <x v="0"/>
    <x v="0"/>
    <x v="1"/>
    <x v="5"/>
    <n v="0"/>
    <n v="0"/>
    <n v="-99.62"/>
    <n v="-99.62"/>
    <n v="-99.62"/>
    <n v="-99.62"/>
    <n v="-15"/>
    <x v="1"/>
    <n v="0"/>
    <n v="0"/>
    <n v="27"/>
    <n v="85"/>
    <n v="0"/>
    <n v="300.26"/>
    <n v="225.04"/>
    <m/>
    <n v="357.88800100545785"/>
    <n v="221.02439731406525"/>
    <n v="0"/>
    <n v="-29911.9012"/>
    <n v="-22418.484800000002"/>
    <n v="0"/>
    <n v="-35652.80266016371"/>
    <n v="-22018.450460427182"/>
  </r>
  <r>
    <s v="Sistema de Compensação"/>
    <x v="3"/>
    <x v="5"/>
    <x v="2"/>
    <x v="0"/>
    <x v="0"/>
    <x v="0"/>
    <x v="1"/>
    <x v="5"/>
    <n v="0"/>
    <n v="0"/>
    <n v="304.58600000000001"/>
    <n v="304.58600000000001"/>
    <n v="304.58600000000001"/>
    <n v="304.58600000000001"/>
    <n v="1102"/>
    <x v="1"/>
    <n v="0"/>
    <n v="0"/>
    <n v="27"/>
    <n v="85"/>
    <n v="0"/>
    <n v="300.26"/>
    <n v="225.04"/>
    <m/>
    <n v="357.88800100545785"/>
    <n v="221.02439731406525"/>
    <n v="0"/>
    <n v="91454.992360000004"/>
    <n v="68544.033439999999"/>
    <n v="0"/>
    <n v="109007.6746742484"/>
    <n v="67320.937080301883"/>
  </r>
  <r>
    <s v="Regular"/>
    <x v="3"/>
    <x v="5"/>
    <x v="2"/>
    <x v="0"/>
    <x v="0"/>
    <x v="0"/>
    <x v="1"/>
    <x v="6"/>
    <n v="0"/>
    <n v="0"/>
    <n v="12215.161"/>
    <n v="12215.161"/>
    <n v="12215.161"/>
    <n v="12215.161"/>
    <n v="103552"/>
    <x v="1"/>
    <n v="0"/>
    <n v="0"/>
    <n v="27"/>
    <n v="85"/>
    <n v="0"/>
    <n v="300.26"/>
    <n v="225.04"/>
    <m/>
    <n v="357.88800100545785"/>
    <n v="221.02439731406525"/>
    <n v="0"/>
    <n v="3667724.24186"/>
    <n v="2748899.8314399999"/>
    <n v="0"/>
    <n v="4371659.5522498293"/>
    <n v="2699848.5981192747"/>
  </r>
  <r>
    <s v="Refaturamento - Regular"/>
    <x v="3"/>
    <x v="5"/>
    <x v="2"/>
    <x v="0"/>
    <x v="0"/>
    <x v="0"/>
    <x v="1"/>
    <x v="6"/>
    <n v="0"/>
    <n v="0"/>
    <n v="-74.933999999999997"/>
    <n v="-74.933999999999997"/>
    <n v="-74.933999999999997"/>
    <n v="-74.933999999999997"/>
    <n v="-19"/>
    <x v="1"/>
    <n v="0"/>
    <n v="0"/>
    <n v="27"/>
    <n v="85"/>
    <n v="0"/>
    <n v="300.26"/>
    <n v="225.04"/>
    <m/>
    <n v="357.88800100545785"/>
    <n v="221.02439731406525"/>
    <n v="0"/>
    <n v="-22499.682839999998"/>
    <n v="-16863.147359999999"/>
    <n v="0"/>
    <n v="-26817.979467342979"/>
    <n v="-16562.242188332166"/>
  </r>
  <r>
    <s v="Sistema de Compensação"/>
    <x v="3"/>
    <x v="5"/>
    <x v="2"/>
    <x v="0"/>
    <x v="0"/>
    <x v="0"/>
    <x v="1"/>
    <x v="6"/>
    <n v="0"/>
    <n v="0"/>
    <n v="298.65600000000001"/>
    <n v="298.65600000000001"/>
    <n v="298.65600000000001"/>
    <n v="298.65600000000001"/>
    <n v="1042"/>
    <x v="1"/>
    <n v="0"/>
    <n v="0"/>
    <n v="27"/>
    <n v="85"/>
    <n v="0"/>
    <n v="300.26"/>
    <n v="225.04"/>
    <m/>
    <n v="357.88800100545785"/>
    <n v="221.02439731406525"/>
    <n v="0"/>
    <n v="89674.450559999997"/>
    <n v="67209.546239999996"/>
    <n v="0"/>
    <n v="106885.39882828602"/>
    <n v="66010.262404229477"/>
  </r>
  <r>
    <s v="Sistema de Compensação"/>
    <x v="3"/>
    <x v="5"/>
    <x v="2"/>
    <x v="0"/>
    <x v="0"/>
    <x v="0"/>
    <x v="1"/>
    <x v="6"/>
    <n v="0"/>
    <n v="0"/>
    <n v="-2.0299999999999998"/>
    <n v="-2.0299999999999998"/>
    <n v="-2.0299999999999998"/>
    <n v="-2.0299999999999998"/>
    <n v="0"/>
    <x v="1"/>
    <n v="0"/>
    <n v="0"/>
    <n v="27"/>
    <n v="85"/>
    <n v="0"/>
    <n v="300.26"/>
    <n v="225.04"/>
    <m/>
    <n v="357.88800100545785"/>
    <n v="221.02439731406525"/>
    <n v="0"/>
    <n v="-609.52779999999996"/>
    <n v="-456.83119999999997"/>
    <n v="0"/>
    <n v="-726.5126420410794"/>
    <n v="-448.67952654755243"/>
  </r>
  <r>
    <s v="Regular"/>
    <x v="3"/>
    <x v="5"/>
    <x v="2"/>
    <x v="0"/>
    <x v="0"/>
    <x v="0"/>
    <x v="1"/>
    <x v="7"/>
    <n v="0"/>
    <n v="0"/>
    <n v="13579.308000000001"/>
    <n v="13579.308000000001"/>
    <n v="13579.308000000001"/>
    <n v="13579.308000000001"/>
    <n v="103285"/>
    <x v="1"/>
    <n v="0"/>
    <n v="0"/>
    <n v="27"/>
    <n v="85"/>
    <n v="0"/>
    <n v="300.26"/>
    <n v="225.04"/>
    <m/>
    <n v="357.88800100545785"/>
    <n v="221.02439731406525"/>
    <n v="0"/>
    <n v="4077323.0200800002"/>
    <n v="3055887.4723200002"/>
    <n v="0"/>
    <n v="4859871.3951574219"/>
    <n v="3001358.3666420649"/>
  </r>
  <r>
    <s v="Refaturamento - Regular"/>
    <x v="3"/>
    <x v="5"/>
    <x v="2"/>
    <x v="0"/>
    <x v="0"/>
    <x v="0"/>
    <x v="1"/>
    <x v="7"/>
    <n v="0"/>
    <n v="0"/>
    <n v="-79.305999999999997"/>
    <n v="-79.305999999999997"/>
    <n v="-79.305999999999997"/>
    <n v="-79.305999999999997"/>
    <n v="-26"/>
    <x v="1"/>
    <n v="0"/>
    <n v="0"/>
    <n v="27"/>
    <n v="85"/>
    <n v="0"/>
    <n v="300.26"/>
    <n v="225.04"/>
    <m/>
    <n v="357.88800100545785"/>
    <n v="221.02439731406525"/>
    <n v="0"/>
    <n v="-23812.419559999998"/>
    <n v="-17847.022239999998"/>
    <n v="0"/>
    <n v="-28382.665807738838"/>
    <n v="-17528.560853389259"/>
  </r>
  <r>
    <s v="Sistema de Compensação"/>
    <x v="3"/>
    <x v="5"/>
    <x v="2"/>
    <x v="0"/>
    <x v="0"/>
    <x v="0"/>
    <x v="1"/>
    <x v="7"/>
    <n v="0"/>
    <n v="0"/>
    <n v="279.35199999999998"/>
    <n v="279.35199999999998"/>
    <n v="279.35199999999998"/>
    <n v="279.35199999999998"/>
    <n v="1095"/>
    <x v="1"/>
    <n v="0"/>
    <n v="0"/>
    <n v="27"/>
    <n v="85"/>
    <n v="0"/>
    <n v="300.26"/>
    <n v="225.04"/>
    <m/>
    <n v="357.88800100545785"/>
    <n v="221.02439731406525"/>
    <n v="0"/>
    <n v="83878.231519999987"/>
    <n v="62865.374079999994"/>
    <n v="0"/>
    <n v="99976.728856876653"/>
    <n v="61743.60743847875"/>
  </r>
  <r>
    <s v="Sistema de Compensação"/>
    <x v="3"/>
    <x v="5"/>
    <x v="2"/>
    <x v="0"/>
    <x v="0"/>
    <x v="0"/>
    <x v="1"/>
    <x v="7"/>
    <n v="0"/>
    <n v="0"/>
    <n v="-0.03"/>
    <n v="-0.03"/>
    <n v="-0.03"/>
    <n v="-0.03"/>
    <n v="-1"/>
    <x v="1"/>
    <n v="0"/>
    <n v="0"/>
    <n v="27"/>
    <n v="85"/>
    <n v="0"/>
    <n v="300.26"/>
    <n v="225.04"/>
    <m/>
    <n v="357.88800100545785"/>
    <n v="221.02439731406525"/>
    <n v="0"/>
    <n v="-9.0077999999999996"/>
    <n v="-6.7511999999999999"/>
    <n v="0"/>
    <n v="-10.736640030163736"/>
    <n v="-6.6307319194219572"/>
  </r>
  <r>
    <s v="Regular"/>
    <x v="3"/>
    <x v="5"/>
    <x v="2"/>
    <x v="0"/>
    <x v="0"/>
    <x v="0"/>
    <x v="1"/>
    <x v="8"/>
    <n v="0"/>
    <n v="0"/>
    <n v="12470.677"/>
    <n v="12470.677"/>
    <n v="12470.677"/>
    <n v="12470.677"/>
    <n v="102945"/>
    <x v="1"/>
    <n v="0"/>
    <n v="0"/>
    <n v="27"/>
    <n v="85"/>
    <n v="0"/>
    <n v="300.26"/>
    <n v="225.04"/>
    <m/>
    <n v="357.88800100545785"/>
    <n v="221.02439731406525"/>
    <n v="0"/>
    <n v="3744445.4760199999"/>
    <n v="2806401.1520799999"/>
    <n v="0"/>
    <n v="4463105.6627147403"/>
    <n v="2756323.868023375"/>
  </r>
  <r>
    <s v="Refaturamento - Regular"/>
    <x v="3"/>
    <x v="5"/>
    <x v="2"/>
    <x v="0"/>
    <x v="0"/>
    <x v="0"/>
    <x v="1"/>
    <x v="8"/>
    <n v="0"/>
    <n v="0"/>
    <n v="-48.29"/>
    <n v="-48.29"/>
    <n v="-48.29"/>
    <n v="-48.29"/>
    <n v="-13"/>
    <x v="1"/>
    <n v="0"/>
    <n v="0"/>
    <n v="27"/>
    <n v="85"/>
    <n v="0"/>
    <n v="300.26"/>
    <n v="225.04"/>
    <m/>
    <n v="357.88800100545785"/>
    <n v="221.02439731406525"/>
    <n v="0"/>
    <n v="-14499.555399999999"/>
    <n v="-10867.1816"/>
    <n v="0"/>
    <n v="-17282.411568553558"/>
    <n v="-10673.26814629621"/>
  </r>
  <r>
    <s v="Sistema de Compensação"/>
    <x v="3"/>
    <x v="5"/>
    <x v="2"/>
    <x v="0"/>
    <x v="0"/>
    <x v="0"/>
    <x v="1"/>
    <x v="8"/>
    <n v="0"/>
    <n v="0"/>
    <n v="384.02499999999998"/>
    <n v="384.02499999999998"/>
    <n v="384.02499999999998"/>
    <n v="384.02499999999998"/>
    <n v="1136"/>
    <x v="1"/>
    <n v="0"/>
    <n v="0"/>
    <n v="27"/>
    <n v="85"/>
    <n v="0"/>
    <n v="300.26"/>
    <n v="225.04"/>
    <m/>
    <n v="357.88800100545785"/>
    <n v="221.02439731406525"/>
    <n v="0"/>
    <n v="115307.34649999999"/>
    <n v="86420.98599999999"/>
    <n v="0"/>
    <n v="137437.93958612095"/>
    <n v="84878.894178533898"/>
  </r>
  <r>
    <s v="Sistema de Compensação"/>
    <x v="3"/>
    <x v="5"/>
    <x v="2"/>
    <x v="0"/>
    <x v="0"/>
    <x v="0"/>
    <x v="1"/>
    <x v="8"/>
    <n v="0"/>
    <n v="0"/>
    <n v="1.2589999999999999"/>
    <n v="1.2589999999999999"/>
    <n v="1.2589999999999999"/>
    <n v="1.2589999999999999"/>
    <n v="0"/>
    <x v="1"/>
    <n v="0"/>
    <n v="0"/>
    <n v="27"/>
    <n v="85"/>
    <n v="0"/>
    <n v="300.26"/>
    <n v="225.04"/>
    <m/>
    <n v="357.88800100545785"/>
    <n v="221.02439731406525"/>
    <n v="0"/>
    <n v="378.02733999999998"/>
    <n v="283.32535999999999"/>
    <n v="0"/>
    <n v="450.58099326587137"/>
    <n v="278.26971621840812"/>
  </r>
  <r>
    <s v="Regular"/>
    <x v="3"/>
    <x v="5"/>
    <x v="2"/>
    <x v="0"/>
    <x v="0"/>
    <x v="0"/>
    <x v="1"/>
    <x v="9"/>
    <n v="0"/>
    <n v="0"/>
    <n v="12586.26"/>
    <n v="12586.26"/>
    <n v="12586.26"/>
    <n v="12586.26"/>
    <n v="102712"/>
    <x v="1"/>
    <n v="0"/>
    <n v="0"/>
    <n v="27"/>
    <n v="85"/>
    <n v="0"/>
    <n v="300.26"/>
    <n v="225.04"/>
    <m/>
    <n v="357.88800100545785"/>
    <n v="221.02439731406525"/>
    <n v="0"/>
    <n v="3779150.4276000001"/>
    <n v="2832411.9504"/>
    <n v="0"/>
    <n v="4504471.4315349543"/>
    <n v="2781870.5309381271"/>
  </r>
  <r>
    <s v="Refaturamento - Regular"/>
    <x v="3"/>
    <x v="5"/>
    <x v="2"/>
    <x v="0"/>
    <x v="0"/>
    <x v="0"/>
    <x v="1"/>
    <x v="9"/>
    <n v="0"/>
    <n v="0"/>
    <n v="-86.680999999999997"/>
    <n v="-86.680999999999997"/>
    <n v="-86.680999999999997"/>
    <n v="-86.680999999999997"/>
    <n v="-16"/>
    <x v="1"/>
    <n v="0"/>
    <n v="0"/>
    <n v="27"/>
    <n v="85"/>
    <n v="0"/>
    <n v="300.26"/>
    <n v="225.04"/>
    <m/>
    <n v="357.88800100545785"/>
    <n v="221.02439731406525"/>
    <n v="0"/>
    <n v="-26026.837059999998"/>
    <n v="-19506.69224"/>
    <n v="0"/>
    <n v="-31022.08981515409"/>
    <n v="-19158.615783580488"/>
  </r>
  <r>
    <s v="Sistema de Compensação"/>
    <x v="3"/>
    <x v="5"/>
    <x v="2"/>
    <x v="0"/>
    <x v="0"/>
    <x v="0"/>
    <x v="1"/>
    <x v="9"/>
    <n v="0"/>
    <n v="0"/>
    <n v="276.334"/>
    <n v="276.334"/>
    <n v="276.334"/>
    <n v="276.334"/>
    <n v="1205"/>
    <x v="1"/>
    <n v="0"/>
    <n v="0"/>
    <n v="27"/>
    <n v="85"/>
    <n v="0"/>
    <n v="300.26"/>
    <n v="225.04"/>
    <m/>
    <n v="357.88800100545785"/>
    <n v="221.02439731406525"/>
    <n v="0"/>
    <n v="82972.046839999995"/>
    <n v="62186.20336"/>
    <n v="0"/>
    <n v="98896.622869842191"/>
    <n v="61076.55580738491"/>
  </r>
  <r>
    <s v="Regular"/>
    <x v="3"/>
    <x v="5"/>
    <x v="2"/>
    <x v="0"/>
    <x v="0"/>
    <x v="0"/>
    <x v="1"/>
    <x v="10"/>
    <n v="0"/>
    <n v="0"/>
    <n v="11106.716"/>
    <n v="11106.716"/>
    <n v="11106.716"/>
    <n v="11106.716"/>
    <n v="103012"/>
    <x v="1"/>
    <n v="0"/>
    <n v="0"/>
    <n v="27"/>
    <n v="85"/>
    <n v="0"/>
    <n v="300.26"/>
    <n v="225.04"/>
    <m/>
    <n v="357.88800100545785"/>
    <n v="221.02439731406525"/>
    <n v="0"/>
    <n v="3334902.5461599999"/>
    <n v="2499455.36864"/>
    <n v="0"/>
    <n v="3974960.386975335"/>
    <n v="2454855.2100384855"/>
  </r>
  <r>
    <s v="Refaturamento - Regular"/>
    <x v="3"/>
    <x v="5"/>
    <x v="2"/>
    <x v="0"/>
    <x v="0"/>
    <x v="0"/>
    <x v="1"/>
    <x v="10"/>
    <n v="0"/>
    <n v="0"/>
    <n v="-12.156000000000001"/>
    <n v="-12.156000000000001"/>
    <n v="-12.156000000000001"/>
    <n v="-12.156000000000001"/>
    <n v="-19"/>
    <x v="1"/>
    <n v="0"/>
    <n v="0"/>
    <n v="27"/>
    <n v="85"/>
    <n v="0"/>
    <n v="300.26"/>
    <n v="225.04"/>
    <m/>
    <n v="357.88800100545785"/>
    <n v="221.02439731406525"/>
    <n v="0"/>
    <n v="-3649.96056"/>
    <n v="-2735.5862400000001"/>
    <n v="0"/>
    <n v="-4350.4865402223459"/>
    <n v="-2686.7725737497772"/>
  </r>
  <r>
    <s v="Sistema de Compensação"/>
    <x v="3"/>
    <x v="5"/>
    <x v="2"/>
    <x v="0"/>
    <x v="0"/>
    <x v="0"/>
    <x v="1"/>
    <x v="10"/>
    <n v="0"/>
    <n v="0"/>
    <n v="346.21"/>
    <n v="346.21"/>
    <n v="346.21"/>
    <n v="346.21"/>
    <n v="1263"/>
    <x v="1"/>
    <n v="0"/>
    <n v="0"/>
    <n v="27"/>
    <n v="85"/>
    <n v="0"/>
    <n v="300.26"/>
    <n v="225.04"/>
    <m/>
    <n v="357.88800100545785"/>
    <n v="221.02439731406525"/>
    <n v="0"/>
    <n v="103953.01459999999"/>
    <n v="77911.098399999988"/>
    <n v="0"/>
    <n v="123904.40482809955"/>
    <n v="76520.85659410253"/>
  </r>
  <r>
    <s v="PROJETADO"/>
    <x v="3"/>
    <x v="5"/>
    <x v="2"/>
    <x v="0"/>
    <x v="0"/>
    <x v="0"/>
    <x v="1"/>
    <x v="11"/>
    <n v="0"/>
    <n v="0"/>
    <n v="11106.716"/>
    <n v="11106.716"/>
    <n v="11106.716"/>
    <n v="11106.716"/>
    <n v="103012"/>
    <x v="1"/>
    <n v="0"/>
    <n v="0"/>
    <n v="27"/>
    <n v="85"/>
    <n v="0"/>
    <n v="300.26"/>
    <n v="225.04"/>
    <m/>
    <n v="357.88800100545785"/>
    <n v="221.02439731406525"/>
    <n v="0"/>
    <n v="3334902.5461599999"/>
    <n v="2499455.36864"/>
    <n v="0"/>
    <n v="3974960.386975335"/>
    <n v="2454855.2100384855"/>
  </r>
  <r>
    <s v="PROJETADO"/>
    <x v="3"/>
    <x v="5"/>
    <x v="2"/>
    <x v="0"/>
    <x v="0"/>
    <x v="0"/>
    <x v="1"/>
    <x v="11"/>
    <n v="0"/>
    <n v="0"/>
    <n v="-12.156000000000001"/>
    <n v="-12.156000000000001"/>
    <n v="-12.156000000000001"/>
    <n v="-12.156000000000001"/>
    <n v="-19"/>
    <x v="1"/>
    <n v="0"/>
    <n v="0"/>
    <n v="27"/>
    <n v="85"/>
    <n v="0"/>
    <n v="300.26"/>
    <n v="225.04"/>
    <m/>
    <n v="357.88800100545785"/>
    <n v="221.02439731406525"/>
    <n v="0"/>
    <n v="-3649.96056"/>
    <n v="-2735.5862400000001"/>
    <n v="0"/>
    <n v="-4350.4865402223459"/>
    <n v="-2686.7725737497772"/>
  </r>
  <r>
    <s v="PROJETADO"/>
    <x v="3"/>
    <x v="5"/>
    <x v="2"/>
    <x v="0"/>
    <x v="0"/>
    <x v="0"/>
    <x v="1"/>
    <x v="11"/>
    <n v="0"/>
    <n v="0"/>
    <n v="346.21"/>
    <n v="346.21"/>
    <n v="346.21"/>
    <n v="346.21"/>
    <n v="1263"/>
    <x v="1"/>
    <n v="0"/>
    <n v="0"/>
    <n v="27"/>
    <n v="85"/>
    <n v="0"/>
    <n v="300.26"/>
    <n v="225.04"/>
    <m/>
    <n v="357.88800100545785"/>
    <n v="221.02439731406525"/>
    <n v="0"/>
    <n v="103953.01459999999"/>
    <n v="77911.098399999988"/>
    <n v="0"/>
    <n v="123904.40482809955"/>
    <n v="76520.85659410253"/>
  </r>
  <r>
    <s v="Regular"/>
    <x v="4"/>
    <x v="4"/>
    <x v="0"/>
    <x v="0"/>
    <x v="0"/>
    <x v="0"/>
    <x v="0"/>
    <x v="0"/>
    <n v="0"/>
    <n v="0"/>
    <n v="55.667000000000002"/>
    <n v="55.667000000000002"/>
    <n v="55.667000000000002"/>
    <n v="55.667000000000002"/>
    <n v="0"/>
    <x v="1"/>
    <n v="0"/>
    <n v="0"/>
    <n v="55"/>
    <n v="99"/>
    <n v="0"/>
    <n v="260.22000000000003"/>
    <n v="242.82"/>
    <m/>
    <n v="291.48270357443909"/>
    <n v="224.53785920244138"/>
    <n v="0"/>
    <n v="14485.666740000002"/>
    <n v="13517.060939999999"/>
    <n v="0"/>
    <n v="16225.967659878301"/>
    <n v="12499.349008222305"/>
  </r>
  <r>
    <s v="Sistema de Compensação"/>
    <x v="4"/>
    <x v="4"/>
    <x v="0"/>
    <x v="0"/>
    <x v="0"/>
    <x v="0"/>
    <x v="0"/>
    <x v="0"/>
    <n v="0"/>
    <n v="0"/>
    <n v="11.211"/>
    <n v="11.211"/>
    <n v="11.211"/>
    <n v="11.211"/>
    <n v="0"/>
    <x v="1"/>
    <n v="0"/>
    <n v="0"/>
    <n v="55"/>
    <n v="99"/>
    <n v="0"/>
    <n v="260.22000000000003"/>
    <n v="242.82"/>
    <m/>
    <n v="291.48270357443909"/>
    <n v="224.53785920244138"/>
    <n v="0"/>
    <n v="2917.3264200000003"/>
    <n v="2722.2550200000001"/>
    <n v="0"/>
    <n v="3267.8125897730365"/>
    <n v="2517.2939395185704"/>
  </r>
  <r>
    <s v="Regular"/>
    <x v="4"/>
    <x v="4"/>
    <x v="0"/>
    <x v="0"/>
    <x v="0"/>
    <x v="0"/>
    <x v="0"/>
    <x v="1"/>
    <n v="0"/>
    <n v="0"/>
    <n v="52.588999999999999"/>
    <n v="52.588999999999999"/>
    <n v="52.588999999999999"/>
    <n v="52.588999999999999"/>
    <n v="0"/>
    <x v="1"/>
    <n v="0"/>
    <n v="0"/>
    <n v="55"/>
    <n v="99"/>
    <n v="0"/>
    <n v="260.22000000000003"/>
    <n v="242.82"/>
    <m/>
    <n v="291.48270357443909"/>
    <n v="224.53785920244138"/>
    <n v="0"/>
    <n v="13684.709580000001"/>
    <n v="12769.660979999999"/>
    <n v="0"/>
    <n v="15328.783898276177"/>
    <n v="11808.22147759719"/>
  </r>
  <r>
    <s v="Sistema de Compensação"/>
    <x v="4"/>
    <x v="4"/>
    <x v="0"/>
    <x v="0"/>
    <x v="0"/>
    <x v="0"/>
    <x v="0"/>
    <x v="1"/>
    <n v="0"/>
    <n v="0"/>
    <n v="12.56"/>
    <n v="12.56"/>
    <n v="12.56"/>
    <n v="12.56"/>
    <n v="0"/>
    <x v="1"/>
    <n v="0"/>
    <n v="0"/>
    <n v="55"/>
    <n v="99"/>
    <n v="0"/>
    <n v="260.22000000000003"/>
    <n v="242.82"/>
    <m/>
    <n v="291.48270357443909"/>
    <n v="224.53785920244138"/>
    <n v="0"/>
    <n v="3268.3632000000007"/>
    <n v="3049.8191999999999"/>
    <n v="0"/>
    <n v="3661.0227568949549"/>
    <n v="2820.195511582664"/>
  </r>
  <r>
    <s v="Regular"/>
    <x v="4"/>
    <x v="4"/>
    <x v="0"/>
    <x v="0"/>
    <x v="0"/>
    <x v="0"/>
    <x v="0"/>
    <x v="2"/>
    <n v="0"/>
    <n v="0"/>
    <n v="63.683"/>
    <n v="63.683"/>
    <n v="63.683"/>
    <n v="63.683"/>
    <n v="0"/>
    <x v="1"/>
    <n v="0"/>
    <n v="0"/>
    <n v="55"/>
    <n v="99"/>
    <n v="0"/>
    <n v="260.22000000000003"/>
    <n v="242.82"/>
    <m/>
    <n v="291.48270357443909"/>
    <n v="224.53785920244138"/>
    <n v="0"/>
    <n v="16571.590260000001"/>
    <n v="15463.50606"/>
    <n v="0"/>
    <n v="18562.493011731003"/>
    <n v="14299.244487589074"/>
  </r>
  <r>
    <s v="Sistema de Compensação"/>
    <x v="4"/>
    <x v="4"/>
    <x v="0"/>
    <x v="0"/>
    <x v="0"/>
    <x v="0"/>
    <x v="0"/>
    <x v="2"/>
    <n v="0"/>
    <n v="0"/>
    <n v="14.234999999999999"/>
    <n v="14.234999999999999"/>
    <n v="14.234999999999999"/>
    <n v="14.234999999999999"/>
    <n v="0"/>
    <x v="1"/>
    <n v="0"/>
    <n v="0"/>
    <n v="55"/>
    <n v="99"/>
    <n v="0"/>
    <n v="260.22000000000003"/>
    <n v="242.82"/>
    <m/>
    <n v="291.48270357443909"/>
    <n v="224.53785920244138"/>
    <n v="0"/>
    <n v="3704.2317000000003"/>
    <n v="3456.5427"/>
    <n v="0"/>
    <n v="4149.25628538214"/>
    <n v="3196.2964257467529"/>
  </r>
  <r>
    <s v="Regular"/>
    <x v="4"/>
    <x v="4"/>
    <x v="0"/>
    <x v="0"/>
    <x v="0"/>
    <x v="0"/>
    <x v="0"/>
    <x v="3"/>
    <n v="0"/>
    <n v="0"/>
    <n v="65.144000000000005"/>
    <n v="65.144000000000005"/>
    <n v="65.144000000000005"/>
    <n v="65.144000000000005"/>
    <n v="0"/>
    <x v="1"/>
    <n v="0"/>
    <n v="0"/>
    <n v="55"/>
    <n v="99"/>
    <n v="0"/>
    <n v="260.22000000000003"/>
    <n v="242.82"/>
    <m/>
    <n v="291.48270357443909"/>
    <n v="224.53785920244138"/>
    <n v="0"/>
    <n v="16951.771680000002"/>
    <n v="15818.266080000001"/>
    <n v="0"/>
    <n v="18988.349241653261"/>
    <n v="14627.294299883843"/>
  </r>
  <r>
    <s v="Sistema de Compensação"/>
    <x v="4"/>
    <x v="4"/>
    <x v="0"/>
    <x v="0"/>
    <x v="0"/>
    <x v="0"/>
    <x v="0"/>
    <x v="3"/>
    <n v="0"/>
    <n v="0"/>
    <n v="15.669"/>
    <n v="15.669"/>
    <n v="15.669"/>
    <n v="15.669"/>
    <n v="0"/>
    <x v="1"/>
    <n v="0"/>
    <n v="0"/>
    <n v="55"/>
    <n v="99"/>
    <n v="0"/>
    <n v="260.22000000000003"/>
    <n v="242.82"/>
    <m/>
    <n v="291.48270357443909"/>
    <n v="224.53785920244138"/>
    <n v="0"/>
    <n v="4077.3871800000006"/>
    <n v="3804.74658"/>
    <n v="0"/>
    <n v="4567.2424823078863"/>
    <n v="3518.2837158430543"/>
  </r>
  <r>
    <s v="Regular"/>
    <x v="4"/>
    <x v="4"/>
    <x v="0"/>
    <x v="0"/>
    <x v="0"/>
    <x v="0"/>
    <x v="0"/>
    <x v="4"/>
    <n v="0"/>
    <n v="0"/>
    <n v="75.384"/>
    <n v="75.384"/>
    <n v="75.384"/>
    <n v="75.384"/>
    <n v="0"/>
    <x v="1"/>
    <n v="0"/>
    <n v="0"/>
    <n v="55"/>
    <n v="99"/>
    <n v="0"/>
    <n v="260.22000000000003"/>
    <n v="242.82"/>
    <m/>
    <n v="291.48270357443909"/>
    <n v="224.53785920244138"/>
    <n v="0"/>
    <n v="19616.424480000001"/>
    <n v="18304.742879999998"/>
    <n v="0"/>
    <n v="21973.132126255518"/>
    <n v="16926.561978116843"/>
  </r>
  <r>
    <s v="Refaturamento - Regular"/>
    <x v="4"/>
    <x v="4"/>
    <x v="0"/>
    <x v="0"/>
    <x v="0"/>
    <x v="0"/>
    <x v="0"/>
    <x v="4"/>
    <n v="0"/>
    <n v="0"/>
    <n v="3.1E-2"/>
    <n v="3.1E-2"/>
    <n v="3.1E-2"/>
    <n v="3.1E-2"/>
    <n v="0"/>
    <x v="1"/>
    <n v="0"/>
    <n v="0"/>
    <n v="55"/>
    <n v="99"/>
    <n v="0"/>
    <n v="260.22000000000003"/>
    <n v="242.82"/>
    <m/>
    <n v="291.48270357443909"/>
    <n v="224.53785920244138"/>
    <n v="0"/>
    <n v="8.0668200000000017"/>
    <n v="7.5274199999999993"/>
    <n v="0"/>
    <n v="9.0359638108076119"/>
    <n v="6.9606736352756826"/>
  </r>
  <r>
    <s v="Sistema de Compensação"/>
    <x v="4"/>
    <x v="4"/>
    <x v="0"/>
    <x v="0"/>
    <x v="0"/>
    <x v="0"/>
    <x v="0"/>
    <x v="4"/>
    <n v="0"/>
    <n v="0"/>
    <n v="22.283999999999999"/>
    <n v="22.283999999999999"/>
    <n v="22.283999999999999"/>
    <n v="22.283999999999999"/>
    <n v="0"/>
    <x v="1"/>
    <n v="0"/>
    <n v="0"/>
    <n v="55"/>
    <n v="99"/>
    <n v="0"/>
    <n v="260.22000000000003"/>
    <n v="242.82"/>
    <m/>
    <n v="291.48270357443909"/>
    <n v="224.53785920244138"/>
    <n v="0"/>
    <n v="5798.7424799999999"/>
    <n v="5411.0008799999996"/>
    <n v="0"/>
    <n v="6495.4005664528004"/>
    <n v="5003.6016544672038"/>
  </r>
  <r>
    <s v="Regular"/>
    <x v="4"/>
    <x v="4"/>
    <x v="0"/>
    <x v="0"/>
    <x v="0"/>
    <x v="0"/>
    <x v="0"/>
    <x v="5"/>
    <n v="0"/>
    <n v="0"/>
    <n v="73.602000000000004"/>
    <n v="73.602000000000004"/>
    <n v="73.602000000000004"/>
    <n v="73.602000000000004"/>
    <n v="0"/>
    <x v="1"/>
    <n v="0"/>
    <n v="0"/>
    <n v="55"/>
    <n v="99"/>
    <n v="0"/>
    <n v="260.22000000000003"/>
    <n v="242.82"/>
    <m/>
    <n v="291.48270357443909"/>
    <n v="224.53785920244138"/>
    <n v="0"/>
    <n v="19152.712440000003"/>
    <n v="17872.037639999999"/>
    <n v="0"/>
    <n v="21453.709948485866"/>
    <n v="16526.435513018092"/>
  </r>
  <r>
    <s v="Refaturamento - Regular"/>
    <x v="4"/>
    <x v="4"/>
    <x v="0"/>
    <x v="0"/>
    <x v="0"/>
    <x v="0"/>
    <x v="0"/>
    <x v="5"/>
    <n v="0"/>
    <n v="0"/>
    <n v="0.23300000000000001"/>
    <n v="0.23300000000000001"/>
    <n v="0.23300000000000001"/>
    <n v="0.23300000000000001"/>
    <n v="0"/>
    <x v="1"/>
    <n v="0"/>
    <n v="0"/>
    <n v="55"/>
    <n v="99"/>
    <n v="0"/>
    <n v="260.22000000000003"/>
    <n v="242.82"/>
    <m/>
    <n v="291.48270357443909"/>
    <n v="224.53785920244138"/>
    <n v="0"/>
    <n v="60.631260000000012"/>
    <n v="56.577060000000003"/>
    <n v="0"/>
    <n v="67.915469932844317"/>
    <n v="52.317321194168848"/>
  </r>
  <r>
    <s v="Sistema de Compensação"/>
    <x v="4"/>
    <x v="4"/>
    <x v="0"/>
    <x v="0"/>
    <x v="0"/>
    <x v="0"/>
    <x v="0"/>
    <x v="5"/>
    <n v="0"/>
    <n v="0"/>
    <n v="15.602"/>
    <n v="15.602"/>
    <n v="15.602"/>
    <n v="15.602"/>
    <n v="0"/>
    <x v="1"/>
    <n v="0"/>
    <n v="0"/>
    <n v="55"/>
    <n v="99"/>
    <n v="0"/>
    <n v="260.22000000000003"/>
    <n v="242.82"/>
    <m/>
    <n v="291.48270357443909"/>
    <n v="224.53785920244138"/>
    <n v="0"/>
    <n v="4059.9524400000005"/>
    <n v="3788.4776400000001"/>
    <n v="0"/>
    <n v="4547.7131411683986"/>
    <n v="3503.2396792764907"/>
  </r>
  <r>
    <s v="Sistema de Compensação"/>
    <x v="4"/>
    <x v="4"/>
    <x v="0"/>
    <x v="0"/>
    <x v="0"/>
    <x v="0"/>
    <x v="0"/>
    <x v="5"/>
    <n v="0"/>
    <n v="0"/>
    <n v="-6.673"/>
    <n v="-6.673"/>
    <n v="-6.673"/>
    <n v="-6.673"/>
    <n v="0"/>
    <x v="1"/>
    <n v="0"/>
    <n v="0"/>
    <n v="55"/>
    <n v="99"/>
    <n v="0"/>
    <n v="260.22000000000003"/>
    <n v="242.82"/>
    <m/>
    <n v="291.48270357443909"/>
    <n v="224.53785920244138"/>
    <n v="0"/>
    <n v="-1736.4480600000002"/>
    <n v="-1620.3378599999999"/>
    <n v="0"/>
    <n v="-1945.064080952232"/>
    <n v="-1498.3411344578913"/>
  </r>
  <r>
    <s v="Regular"/>
    <x v="4"/>
    <x v="4"/>
    <x v="0"/>
    <x v="0"/>
    <x v="0"/>
    <x v="0"/>
    <x v="0"/>
    <x v="6"/>
    <n v="0"/>
    <n v="0"/>
    <n v="74.090999999999994"/>
    <n v="74.090999999999994"/>
    <n v="74.090999999999994"/>
    <n v="74.090999999999994"/>
    <n v="0"/>
    <x v="1"/>
    <n v="0"/>
    <n v="0"/>
    <n v="55"/>
    <n v="99"/>
    <n v="0"/>
    <n v="260.22000000000003"/>
    <n v="242.82"/>
    <m/>
    <n v="291.48270357443909"/>
    <n v="224.53785920244138"/>
    <n v="0"/>
    <n v="19279.960020000002"/>
    <n v="17990.776619999997"/>
    <n v="0"/>
    <n v="21596.244990533763"/>
    <n v="16636.234526168082"/>
  </r>
  <r>
    <s v="Sistema de Compensação"/>
    <x v="4"/>
    <x v="4"/>
    <x v="0"/>
    <x v="0"/>
    <x v="0"/>
    <x v="0"/>
    <x v="0"/>
    <x v="6"/>
    <n v="0"/>
    <n v="0"/>
    <n v="8.1669999999999998"/>
    <n v="8.1669999999999998"/>
    <n v="8.1669999999999998"/>
    <n v="8.1669999999999998"/>
    <n v="0"/>
    <x v="1"/>
    <n v="0"/>
    <n v="0"/>
    <n v="55"/>
    <n v="99"/>
    <n v="0"/>
    <n v="260.22000000000003"/>
    <n v="242.82"/>
    <m/>
    <n v="291.48270357443909"/>
    <n v="224.53785920244138"/>
    <n v="0"/>
    <n v="2125.2167400000003"/>
    <n v="1983.1109399999998"/>
    <n v="0"/>
    <n v="2380.5392400924438"/>
    <n v="1833.8006961063388"/>
  </r>
  <r>
    <s v="Regular"/>
    <x v="4"/>
    <x v="4"/>
    <x v="0"/>
    <x v="0"/>
    <x v="0"/>
    <x v="0"/>
    <x v="0"/>
    <x v="7"/>
    <n v="0"/>
    <n v="0"/>
    <n v="83.069000000000003"/>
    <n v="83.069000000000003"/>
    <n v="83.069000000000003"/>
    <n v="83.069000000000003"/>
    <n v="0"/>
    <x v="1"/>
    <n v="0"/>
    <n v="0"/>
    <n v="55"/>
    <n v="99"/>
    <n v="0"/>
    <n v="260.22000000000003"/>
    <n v="242.82"/>
    <m/>
    <n v="291.48270357443909"/>
    <n v="224.53785920244138"/>
    <n v="0"/>
    <n v="21616.215180000003"/>
    <n v="20170.814579999998"/>
    <n v="0"/>
    <n v="24213.176703225083"/>
    <n v="18652.135426087603"/>
  </r>
  <r>
    <s v="Sistema de Compensação"/>
    <x v="4"/>
    <x v="4"/>
    <x v="0"/>
    <x v="0"/>
    <x v="0"/>
    <x v="0"/>
    <x v="0"/>
    <x v="7"/>
    <n v="0"/>
    <n v="0"/>
    <n v="11.651999999999999"/>
    <n v="11.651999999999999"/>
    <n v="11.651999999999999"/>
    <n v="11.651999999999999"/>
    <n v="0"/>
    <x v="1"/>
    <n v="0"/>
    <n v="0"/>
    <n v="55"/>
    <n v="99"/>
    <n v="0"/>
    <n v="260.22000000000003"/>
    <n v="242.82"/>
    <m/>
    <n v="291.48270357443909"/>
    <n v="224.53785920244138"/>
    <n v="0"/>
    <n v="3032.0834400000003"/>
    <n v="2829.3386399999999"/>
    <n v="0"/>
    <n v="3396.3564620493639"/>
    <n v="2616.3151354268466"/>
  </r>
  <r>
    <s v="Regular"/>
    <x v="4"/>
    <x v="4"/>
    <x v="0"/>
    <x v="0"/>
    <x v="0"/>
    <x v="0"/>
    <x v="0"/>
    <x v="8"/>
    <n v="0"/>
    <n v="0"/>
    <n v="77.8"/>
    <n v="77.8"/>
    <n v="77.8"/>
    <n v="77.8"/>
    <n v="0"/>
    <x v="1"/>
    <n v="0"/>
    <n v="0"/>
    <n v="55"/>
    <n v="99"/>
    <n v="0"/>
    <n v="260.22000000000003"/>
    <n v="242.82"/>
    <m/>
    <n v="291.48270357443909"/>
    <n v="224.53785920244138"/>
    <n v="0"/>
    <n v="20245.116000000002"/>
    <n v="18891.395999999997"/>
    <n v="0"/>
    <n v="22677.354338091362"/>
    <n v="17469.045445949938"/>
  </r>
  <r>
    <s v="Sistema de Compensação"/>
    <x v="4"/>
    <x v="4"/>
    <x v="0"/>
    <x v="0"/>
    <x v="0"/>
    <x v="0"/>
    <x v="0"/>
    <x v="8"/>
    <n v="0"/>
    <n v="0"/>
    <n v="4.1619999999999999"/>
    <n v="4.1619999999999999"/>
    <n v="4.1619999999999999"/>
    <n v="4.1619999999999999"/>
    <n v="0"/>
    <x v="1"/>
    <n v="0"/>
    <n v="0"/>
    <n v="55"/>
    <n v="99"/>
    <n v="0"/>
    <n v="260.22000000000003"/>
    <n v="242.82"/>
    <m/>
    <n v="291.48270357443909"/>
    <n v="224.53785920244138"/>
    <n v="0"/>
    <n v="1083.0356400000001"/>
    <n v="1010.6168399999999"/>
    <n v="0"/>
    <n v="1213.1510122768154"/>
    <n v="934.52657000056104"/>
  </r>
  <r>
    <s v="Regular"/>
    <x v="4"/>
    <x v="4"/>
    <x v="0"/>
    <x v="0"/>
    <x v="0"/>
    <x v="0"/>
    <x v="0"/>
    <x v="9"/>
    <n v="0"/>
    <n v="0"/>
    <n v="77.960999999999999"/>
    <n v="77.960999999999999"/>
    <n v="77.960999999999999"/>
    <n v="77.960999999999999"/>
    <n v="0"/>
    <x v="1"/>
    <n v="0"/>
    <n v="0"/>
    <n v="55"/>
    <n v="99"/>
    <n v="0"/>
    <n v="260.22000000000003"/>
    <n v="242.82"/>
    <m/>
    <n v="291.48270357443909"/>
    <n v="224.53785920244138"/>
    <n v="0"/>
    <n v="20287.011420000003"/>
    <n v="18930.490019999997"/>
    <n v="0"/>
    <n v="22724.283053366846"/>
    <n v="17505.196041281532"/>
  </r>
  <r>
    <s v="Sistema de Compensação"/>
    <x v="4"/>
    <x v="4"/>
    <x v="0"/>
    <x v="0"/>
    <x v="0"/>
    <x v="0"/>
    <x v="0"/>
    <x v="9"/>
    <n v="0"/>
    <n v="0"/>
    <n v="5.6619999999999999"/>
    <n v="5.6619999999999999"/>
    <n v="5.6619999999999999"/>
    <n v="5.6619999999999999"/>
    <n v="0"/>
    <x v="1"/>
    <n v="0"/>
    <n v="0"/>
    <n v="55"/>
    <n v="99"/>
    <n v="0"/>
    <n v="260.22000000000003"/>
    <n v="242.82"/>
    <m/>
    <n v="291.48270357443909"/>
    <n v="224.53785920244138"/>
    <n v="0"/>
    <n v="1473.3656400000002"/>
    <n v="1374.8468399999999"/>
    <n v="0"/>
    <n v="1650.3750676384741"/>
    <n v="1271.3333588042231"/>
  </r>
  <r>
    <s v="Regular"/>
    <x v="4"/>
    <x v="4"/>
    <x v="0"/>
    <x v="0"/>
    <x v="0"/>
    <x v="0"/>
    <x v="0"/>
    <x v="10"/>
    <n v="0"/>
    <n v="0"/>
    <n v="68.433999999999997"/>
    <n v="68.433999999999997"/>
    <n v="68.433999999999997"/>
    <n v="68.433999999999997"/>
    <n v="0"/>
    <x v="1"/>
    <n v="0"/>
    <n v="0"/>
    <n v="55"/>
    <n v="99"/>
    <n v="0"/>
    <n v="260.22000000000003"/>
    <n v="242.82"/>
    <m/>
    <n v="291.48270357443909"/>
    <n v="224.53785920244138"/>
    <n v="0"/>
    <n v="17807.895480000003"/>
    <n v="16617.14388"/>
    <n v="0"/>
    <n v="19947.327336413164"/>
    <n v="15366.023856659873"/>
  </r>
  <r>
    <s v="Refaturamento - Regular"/>
    <x v="4"/>
    <x v="4"/>
    <x v="0"/>
    <x v="0"/>
    <x v="0"/>
    <x v="0"/>
    <x v="0"/>
    <x v="10"/>
    <n v="0"/>
    <n v="0"/>
    <n v="1.292"/>
    <n v="1.292"/>
    <n v="1.292"/>
    <n v="1.292"/>
    <n v="0"/>
    <x v="1"/>
    <n v="0"/>
    <n v="0"/>
    <n v="55"/>
    <n v="99"/>
    <n v="0"/>
    <n v="260.22000000000003"/>
    <n v="242.82"/>
    <m/>
    <n v="291.48270357443909"/>
    <n v="224.53785920244138"/>
    <n v="0"/>
    <n v="336.20424000000003"/>
    <n v="313.72343999999998"/>
    <n v="0"/>
    <n v="376.59565301817531"/>
    <n v="290.10291408955425"/>
  </r>
  <r>
    <s v="Sistema de Compensação"/>
    <x v="4"/>
    <x v="4"/>
    <x v="0"/>
    <x v="0"/>
    <x v="0"/>
    <x v="0"/>
    <x v="0"/>
    <x v="10"/>
    <n v="0"/>
    <n v="0"/>
    <n v="5.43"/>
    <n v="5.43"/>
    <n v="5.43"/>
    <n v="5.43"/>
    <n v="0"/>
    <x v="1"/>
    <n v="0"/>
    <n v="0"/>
    <n v="55"/>
    <n v="99"/>
    <n v="0"/>
    <n v="260.22000000000003"/>
    <n v="242.82"/>
    <m/>
    <n v="291.48270357443909"/>
    <n v="224.53785920244138"/>
    <n v="0"/>
    <n v="1412.9946"/>
    <n v="1318.5125999999998"/>
    <n v="0"/>
    <n v="1582.7510804092042"/>
    <n v="1219.2405754692566"/>
  </r>
  <r>
    <s v="PROJETADO"/>
    <x v="4"/>
    <x v="4"/>
    <x v="0"/>
    <x v="0"/>
    <x v="0"/>
    <x v="0"/>
    <x v="0"/>
    <x v="11"/>
    <n v="0"/>
    <n v="0"/>
    <n v="68.433999999999997"/>
    <n v="68.433999999999997"/>
    <n v="68.433999999999997"/>
    <n v="68.433999999999997"/>
    <n v="0"/>
    <x v="1"/>
    <n v="0"/>
    <n v="0"/>
    <n v="55"/>
    <n v="99"/>
    <n v="0"/>
    <n v="260.22000000000003"/>
    <n v="242.82"/>
    <m/>
    <n v="291.48270357443909"/>
    <n v="224.53785920244138"/>
    <n v="0"/>
    <n v="17807.895480000003"/>
    <n v="16617.14388"/>
    <n v="0"/>
    <n v="19947.327336413164"/>
    <n v="15366.023856659873"/>
  </r>
  <r>
    <s v="PROJETADO"/>
    <x v="4"/>
    <x v="4"/>
    <x v="0"/>
    <x v="0"/>
    <x v="0"/>
    <x v="0"/>
    <x v="0"/>
    <x v="11"/>
    <n v="0"/>
    <n v="0"/>
    <n v="1.292"/>
    <n v="1.292"/>
    <n v="1.292"/>
    <n v="1.292"/>
    <n v="0"/>
    <x v="1"/>
    <n v="0"/>
    <n v="0"/>
    <n v="55"/>
    <n v="99"/>
    <n v="0"/>
    <n v="260.22000000000003"/>
    <n v="242.82"/>
    <m/>
    <n v="291.48270357443909"/>
    <n v="224.53785920244138"/>
    <n v="0"/>
    <n v="336.20424000000003"/>
    <n v="313.72343999999998"/>
    <n v="0"/>
    <n v="376.59565301817531"/>
    <n v="290.10291408955425"/>
  </r>
  <r>
    <s v="PROJETADO"/>
    <x v="4"/>
    <x v="4"/>
    <x v="0"/>
    <x v="0"/>
    <x v="0"/>
    <x v="0"/>
    <x v="0"/>
    <x v="11"/>
    <n v="0"/>
    <n v="0"/>
    <n v="5.43"/>
    <n v="5.43"/>
    <n v="5.43"/>
    <n v="5.43"/>
    <n v="0"/>
    <x v="1"/>
    <n v="0"/>
    <n v="0"/>
    <n v="55"/>
    <n v="99"/>
    <n v="0"/>
    <n v="260.22000000000003"/>
    <n v="242.82"/>
    <m/>
    <n v="291.48270357443909"/>
    <n v="224.53785920244138"/>
    <n v="0"/>
    <n v="1412.9946"/>
    <n v="1318.5125999999998"/>
    <n v="0"/>
    <n v="1582.7510804092042"/>
    <n v="1219.2405754692566"/>
  </r>
  <r>
    <s v="Regular"/>
    <x v="4"/>
    <x v="4"/>
    <x v="0"/>
    <x v="0"/>
    <x v="0"/>
    <x v="0"/>
    <x v="3"/>
    <x v="0"/>
    <n v="0"/>
    <n v="0"/>
    <n v="3.0609999999999999"/>
    <n v="3.0609999999999999"/>
    <n v="3.0609999999999999"/>
    <n v="3.0609999999999999"/>
    <n v="0"/>
    <x v="1"/>
    <n v="0"/>
    <n v="0"/>
    <n v="53"/>
    <n v="98"/>
    <n v="0"/>
    <n v="604.4"/>
    <n v="242.82"/>
    <m/>
    <n v="670.79135403950966"/>
    <n v="224.53785920244138"/>
    <n v="0"/>
    <n v="1850.0683999999999"/>
    <n v="743.27202"/>
    <n v="0"/>
    <n v="2053.292334714939"/>
    <n v="687.31038701867305"/>
  </r>
  <r>
    <s v="Sistema de Compensação"/>
    <x v="4"/>
    <x v="4"/>
    <x v="0"/>
    <x v="0"/>
    <x v="0"/>
    <x v="0"/>
    <x v="3"/>
    <x v="0"/>
    <n v="0"/>
    <n v="0"/>
    <n v="1.169"/>
    <n v="1.169"/>
    <n v="1.169"/>
    <n v="1.169"/>
    <n v="0"/>
    <x v="1"/>
    <n v="0"/>
    <n v="0"/>
    <n v="53"/>
    <n v="98"/>
    <n v="0"/>
    <n v="604.4"/>
    <n v="242.82"/>
    <m/>
    <n v="670.79135403950966"/>
    <n v="224.53785920244138"/>
    <n v="0"/>
    <n v="706.54359999999997"/>
    <n v="283.85658000000001"/>
    <n v="0"/>
    <n v="784.15509287218686"/>
    <n v="262.484757407654"/>
  </r>
  <r>
    <s v="Regular"/>
    <x v="4"/>
    <x v="4"/>
    <x v="0"/>
    <x v="0"/>
    <x v="0"/>
    <x v="0"/>
    <x v="3"/>
    <x v="1"/>
    <n v="0"/>
    <n v="0"/>
    <n v="3.222"/>
    <n v="3.222"/>
    <n v="3.222"/>
    <n v="3.222"/>
    <n v="0"/>
    <x v="1"/>
    <n v="0"/>
    <n v="0"/>
    <n v="53"/>
    <n v="98"/>
    <n v="0"/>
    <n v="604.4"/>
    <n v="242.82"/>
    <m/>
    <n v="670.79135403950966"/>
    <n v="224.53785920244138"/>
    <n v="0"/>
    <n v="1947.3768"/>
    <n v="782.36604"/>
    <n v="0"/>
    <n v="2161.2897427153002"/>
    <n v="723.46098235026614"/>
  </r>
  <r>
    <s v="Sistema de Compensação"/>
    <x v="4"/>
    <x v="4"/>
    <x v="0"/>
    <x v="0"/>
    <x v="0"/>
    <x v="0"/>
    <x v="3"/>
    <x v="1"/>
    <n v="0"/>
    <n v="0"/>
    <n v="1.151"/>
    <n v="1.151"/>
    <n v="1.151"/>
    <n v="1.151"/>
    <n v="0"/>
    <x v="1"/>
    <n v="0"/>
    <n v="0"/>
    <n v="53"/>
    <n v="98"/>
    <n v="0"/>
    <n v="604.4"/>
    <n v="242.82"/>
    <m/>
    <n v="670.79135403950966"/>
    <n v="224.53785920244138"/>
    <n v="0"/>
    <n v="695.6644"/>
    <n v="279.48581999999999"/>
    <n v="0"/>
    <n v="772.08084849947568"/>
    <n v="258.44307594201001"/>
  </r>
  <r>
    <s v="Regular"/>
    <x v="4"/>
    <x v="4"/>
    <x v="0"/>
    <x v="0"/>
    <x v="0"/>
    <x v="0"/>
    <x v="3"/>
    <x v="2"/>
    <n v="0"/>
    <n v="0"/>
    <n v="3.8809999999999998"/>
    <n v="3.8809999999999998"/>
    <n v="3.8809999999999998"/>
    <n v="3.8809999999999998"/>
    <n v="0"/>
    <x v="1"/>
    <n v="0"/>
    <n v="0"/>
    <n v="53"/>
    <n v="98"/>
    <n v="0"/>
    <n v="604.4"/>
    <n v="242.82"/>
    <m/>
    <n v="670.79135403950966"/>
    <n v="224.53785920244138"/>
    <n v="0"/>
    <n v="2345.6763999999998"/>
    <n v="942.38441999999998"/>
    <n v="0"/>
    <n v="2603.3412450273368"/>
    <n v="871.43143156467499"/>
  </r>
  <r>
    <s v="Sistema de Compensação"/>
    <x v="4"/>
    <x v="4"/>
    <x v="0"/>
    <x v="0"/>
    <x v="0"/>
    <x v="0"/>
    <x v="3"/>
    <x v="2"/>
    <n v="0"/>
    <n v="0"/>
    <n v="0.94699999999999995"/>
    <n v="0.94699999999999995"/>
    <n v="0.94699999999999995"/>
    <n v="0.94699999999999995"/>
    <n v="0"/>
    <x v="1"/>
    <n v="0"/>
    <n v="0"/>
    <n v="53"/>
    <n v="98"/>
    <n v="0"/>
    <n v="604.4"/>
    <n v="242.82"/>
    <m/>
    <n v="670.79135403950966"/>
    <n v="224.53785920244138"/>
    <n v="0"/>
    <n v="572.3667999999999"/>
    <n v="229.95053999999999"/>
    <n v="0"/>
    <n v="635.23941227541559"/>
    <n v="212.63735266471198"/>
  </r>
  <r>
    <s v="Regular"/>
    <x v="4"/>
    <x v="4"/>
    <x v="0"/>
    <x v="0"/>
    <x v="0"/>
    <x v="0"/>
    <x v="3"/>
    <x v="3"/>
    <n v="0"/>
    <n v="0"/>
    <n v="4.0880000000000001"/>
    <n v="4.0880000000000001"/>
    <n v="4.0880000000000001"/>
    <n v="4.0880000000000001"/>
    <n v="0"/>
    <x v="1"/>
    <n v="0"/>
    <n v="0"/>
    <n v="53"/>
    <n v="98"/>
    <n v="0"/>
    <n v="604.4"/>
    <n v="242.82"/>
    <m/>
    <n v="670.79135403950966"/>
    <n v="224.53785920244138"/>
    <n v="0"/>
    <n v="2470.7871999999998"/>
    <n v="992.64815999999996"/>
    <n v="0"/>
    <n v="2742.1950553135157"/>
    <n v="917.91076841958034"/>
  </r>
  <r>
    <s v="Sistema de Compensação"/>
    <x v="4"/>
    <x v="4"/>
    <x v="0"/>
    <x v="0"/>
    <x v="0"/>
    <x v="0"/>
    <x v="3"/>
    <x v="3"/>
    <n v="0"/>
    <n v="0"/>
    <n v="0.93700000000000006"/>
    <n v="0.93700000000000006"/>
    <n v="0.93700000000000006"/>
    <n v="0.93700000000000006"/>
    <n v="0"/>
    <x v="1"/>
    <n v="0"/>
    <n v="0"/>
    <n v="53"/>
    <n v="98"/>
    <n v="0"/>
    <n v="604.4"/>
    <n v="242.82"/>
    <m/>
    <n v="670.79135403950966"/>
    <n v="224.53785920244138"/>
    <n v="0"/>
    <n v="566.32280000000003"/>
    <n v="227.52234000000001"/>
    <n v="0"/>
    <n v="628.53149873502059"/>
    <n v="210.39197407268759"/>
  </r>
  <r>
    <s v="Regular"/>
    <x v="4"/>
    <x v="4"/>
    <x v="0"/>
    <x v="0"/>
    <x v="0"/>
    <x v="0"/>
    <x v="3"/>
    <x v="4"/>
    <n v="0"/>
    <n v="0"/>
    <n v="4.806"/>
    <n v="4.806"/>
    <n v="4.806"/>
    <n v="4.806"/>
    <n v="0"/>
    <x v="1"/>
    <n v="0"/>
    <n v="0"/>
    <n v="53"/>
    <n v="98"/>
    <n v="0"/>
    <n v="604.4"/>
    <n v="242.82"/>
    <m/>
    <n v="670.79135403950966"/>
    <n v="224.53785920244138"/>
    <n v="0"/>
    <n v="2904.7464"/>
    <n v="1166.9929199999999"/>
    <n v="0"/>
    <n v="3223.8232475138834"/>
    <n v="1079.1289513269332"/>
  </r>
  <r>
    <s v="Refaturamento - Regular"/>
    <x v="4"/>
    <x v="4"/>
    <x v="0"/>
    <x v="0"/>
    <x v="0"/>
    <x v="0"/>
    <x v="3"/>
    <x v="4"/>
    <n v="0"/>
    <n v="0"/>
    <n v="2E-3"/>
    <n v="2E-3"/>
    <n v="2E-3"/>
    <n v="2E-3"/>
    <n v="0"/>
    <x v="1"/>
    <n v="0"/>
    <n v="0"/>
    <n v="53"/>
    <n v="98"/>
    <n v="0"/>
    <n v="604.4"/>
    <n v="242.82"/>
    <m/>
    <n v="670.79135403950966"/>
    <n v="224.53785920244138"/>
    <n v="0"/>
    <n v="1.2087999999999999"/>
    <n v="0.48564000000000002"/>
    <n v="0"/>
    <n v="1.3415827080790192"/>
    <n v="0.44907571840488275"/>
  </r>
  <r>
    <s v="Sistema de Compensação"/>
    <x v="4"/>
    <x v="4"/>
    <x v="0"/>
    <x v="0"/>
    <x v="0"/>
    <x v="0"/>
    <x v="3"/>
    <x v="4"/>
    <n v="0"/>
    <n v="0"/>
    <n v="1.1950000000000001"/>
    <n v="1.1950000000000001"/>
    <n v="1.1950000000000001"/>
    <n v="1.1950000000000001"/>
    <n v="0"/>
    <x v="1"/>
    <n v="0"/>
    <n v="0"/>
    <n v="53"/>
    <n v="98"/>
    <n v="0"/>
    <n v="604.4"/>
    <n v="242.82"/>
    <m/>
    <n v="670.79135403950966"/>
    <n v="224.53785920244138"/>
    <n v="0"/>
    <n v="722.25800000000004"/>
    <n v="290.16989999999998"/>
    <n v="0"/>
    <n v="801.5956680772141"/>
    <n v="268.32274174691747"/>
  </r>
  <r>
    <s v="Regular"/>
    <x v="4"/>
    <x v="4"/>
    <x v="0"/>
    <x v="0"/>
    <x v="0"/>
    <x v="0"/>
    <x v="3"/>
    <x v="5"/>
    <n v="0"/>
    <n v="0"/>
    <n v="4.923"/>
    <n v="4.923"/>
    <n v="4.923"/>
    <n v="4.923"/>
    <n v="0"/>
    <x v="1"/>
    <n v="0"/>
    <n v="0"/>
    <n v="53"/>
    <n v="98"/>
    <n v="0"/>
    <n v="604.4"/>
    <n v="242.82"/>
    <m/>
    <n v="670.79135403950966"/>
    <n v="224.53785920244138"/>
    <n v="0"/>
    <n v="2975.4611999999997"/>
    <n v="1195.4028599999999"/>
    <n v="0"/>
    <n v="3302.3058359365059"/>
    <n v="1105.3998808536189"/>
  </r>
  <r>
    <s v="Refaturamento - Regular"/>
    <x v="4"/>
    <x v="4"/>
    <x v="0"/>
    <x v="0"/>
    <x v="0"/>
    <x v="0"/>
    <x v="3"/>
    <x v="5"/>
    <n v="0"/>
    <n v="0"/>
    <n v="1E-3"/>
    <n v="1E-3"/>
    <n v="1E-3"/>
    <n v="1E-3"/>
    <n v="0"/>
    <x v="1"/>
    <n v="0"/>
    <n v="0"/>
    <n v="53"/>
    <n v="98"/>
    <n v="0"/>
    <n v="604.4"/>
    <n v="242.82"/>
    <m/>
    <n v="670.79135403950966"/>
    <n v="224.53785920244138"/>
    <n v="0"/>
    <n v="0.60439999999999994"/>
    <n v="0.24282000000000001"/>
    <n v="0"/>
    <n v="0.67079135403950962"/>
    <n v="0.22453785920244138"/>
  </r>
  <r>
    <s v="Sistema de Compensação"/>
    <x v="4"/>
    <x v="4"/>
    <x v="0"/>
    <x v="0"/>
    <x v="0"/>
    <x v="0"/>
    <x v="3"/>
    <x v="5"/>
    <n v="0"/>
    <n v="0"/>
    <n v="1.365"/>
    <n v="1.365"/>
    <n v="1.365"/>
    <n v="1.365"/>
    <n v="0"/>
    <x v="1"/>
    <n v="0"/>
    <n v="0"/>
    <n v="53"/>
    <n v="98"/>
    <n v="0"/>
    <n v="604.4"/>
    <n v="242.82"/>
    <m/>
    <n v="670.79135403950966"/>
    <n v="224.53785920244138"/>
    <n v="0"/>
    <n v="825.00599999999997"/>
    <n v="331.44929999999999"/>
    <n v="0"/>
    <n v="915.63019826393065"/>
    <n v="306.49417781133246"/>
  </r>
  <r>
    <s v="Regular"/>
    <x v="4"/>
    <x v="4"/>
    <x v="0"/>
    <x v="0"/>
    <x v="0"/>
    <x v="0"/>
    <x v="3"/>
    <x v="6"/>
    <n v="0"/>
    <n v="0"/>
    <n v="5.01"/>
    <n v="5.01"/>
    <n v="5.01"/>
    <n v="5.01"/>
    <n v="0"/>
    <x v="1"/>
    <n v="0"/>
    <n v="0"/>
    <n v="53"/>
    <n v="98"/>
    <n v="0"/>
    <n v="604.4"/>
    <n v="242.82"/>
    <m/>
    <n v="670.79135403950966"/>
    <n v="224.53785920244138"/>
    <n v="0"/>
    <n v="3028.0439999999999"/>
    <n v="1216.5282"/>
    <n v="0"/>
    <n v="3360.6646837379431"/>
    <n v="1124.9346746042313"/>
  </r>
  <r>
    <s v="Sistema de Compensação"/>
    <x v="4"/>
    <x v="4"/>
    <x v="0"/>
    <x v="0"/>
    <x v="0"/>
    <x v="0"/>
    <x v="3"/>
    <x v="6"/>
    <n v="0"/>
    <n v="0"/>
    <n v="0.67300000000000004"/>
    <n v="0.67300000000000004"/>
    <n v="0.67300000000000004"/>
    <n v="0.67300000000000004"/>
    <n v="0"/>
    <x v="1"/>
    <n v="0"/>
    <n v="0"/>
    <n v="53"/>
    <n v="98"/>
    <n v="0"/>
    <n v="604.4"/>
    <n v="242.82"/>
    <m/>
    <n v="670.79135403950966"/>
    <n v="224.53785920244138"/>
    <n v="0"/>
    <n v="406.76120000000003"/>
    <n v="163.41786000000002"/>
    <n v="0"/>
    <n v="451.44258126859"/>
    <n v="151.11397924324305"/>
  </r>
  <r>
    <s v="Regular"/>
    <x v="4"/>
    <x v="4"/>
    <x v="0"/>
    <x v="0"/>
    <x v="0"/>
    <x v="0"/>
    <x v="3"/>
    <x v="7"/>
    <n v="0"/>
    <n v="0"/>
    <n v="5.24"/>
    <n v="5.24"/>
    <n v="5.24"/>
    <n v="5.24"/>
    <n v="0"/>
    <x v="1"/>
    <n v="0"/>
    <n v="0"/>
    <n v="53"/>
    <n v="98"/>
    <n v="0"/>
    <n v="604.4"/>
    <n v="242.82"/>
    <m/>
    <n v="670.79135403950966"/>
    <n v="224.53785920244138"/>
    <n v="0"/>
    <n v="3167.056"/>
    <n v="1272.3768"/>
    <n v="0"/>
    <n v="3514.9466951670306"/>
    <n v="1176.5783822207929"/>
  </r>
  <r>
    <s v="Sistema de Compensação"/>
    <x v="4"/>
    <x v="4"/>
    <x v="0"/>
    <x v="0"/>
    <x v="0"/>
    <x v="0"/>
    <x v="3"/>
    <x v="7"/>
    <n v="0"/>
    <n v="0"/>
    <n v="0.82399999999999995"/>
    <n v="0.82399999999999995"/>
    <n v="0.82399999999999995"/>
    <n v="0.82399999999999995"/>
    <n v="0"/>
    <x v="1"/>
    <n v="0"/>
    <n v="0"/>
    <n v="53"/>
    <n v="98"/>
    <n v="0"/>
    <n v="604.4"/>
    <n v="242.82"/>
    <m/>
    <n v="670.79135403950966"/>
    <n v="224.53785920244138"/>
    <n v="0"/>
    <n v="498.02559999999994"/>
    <n v="200.08367999999999"/>
    <n v="0"/>
    <n v="552.73207572855597"/>
    <n v="185.01919598281168"/>
  </r>
  <r>
    <s v="Regular"/>
    <x v="4"/>
    <x v="4"/>
    <x v="0"/>
    <x v="0"/>
    <x v="0"/>
    <x v="0"/>
    <x v="3"/>
    <x v="8"/>
    <n v="0"/>
    <n v="0"/>
    <n v="5.09"/>
    <n v="5.09"/>
    <n v="5.09"/>
    <n v="5.09"/>
    <n v="0"/>
    <x v="1"/>
    <n v="0"/>
    <n v="0"/>
    <n v="53"/>
    <n v="98"/>
    <n v="0"/>
    <n v="604.4"/>
    <n v="242.82"/>
    <m/>
    <n v="670.79135403950966"/>
    <n v="224.53785920244138"/>
    <n v="0"/>
    <n v="3076.3959999999997"/>
    <n v="1235.9538"/>
    <n v="0"/>
    <n v="3414.3279920611039"/>
    <n v="1142.8977033404267"/>
  </r>
  <r>
    <s v="Sistema de Compensação"/>
    <x v="4"/>
    <x v="4"/>
    <x v="0"/>
    <x v="0"/>
    <x v="0"/>
    <x v="0"/>
    <x v="3"/>
    <x v="8"/>
    <n v="0"/>
    <n v="0"/>
    <n v="0.71799999999999997"/>
    <n v="0.71799999999999997"/>
    <n v="0.71799999999999997"/>
    <n v="0.71799999999999997"/>
    <n v="0"/>
    <x v="1"/>
    <n v="0"/>
    <n v="0"/>
    <n v="53"/>
    <n v="98"/>
    <n v="0"/>
    <n v="604.4"/>
    <n v="242.82"/>
    <m/>
    <n v="670.79135403950966"/>
    <n v="224.53785920244138"/>
    <n v="0"/>
    <n v="433.95919999999995"/>
    <n v="174.34475999999998"/>
    <n v="0"/>
    <n v="481.62819220036789"/>
    <n v="161.21818290735291"/>
  </r>
  <r>
    <s v="Regular"/>
    <x v="4"/>
    <x v="4"/>
    <x v="0"/>
    <x v="0"/>
    <x v="0"/>
    <x v="0"/>
    <x v="3"/>
    <x v="9"/>
    <n v="0"/>
    <n v="0"/>
    <n v="4.9240000000000004"/>
    <n v="4.9240000000000004"/>
    <n v="4.9240000000000004"/>
    <n v="4.9240000000000004"/>
    <n v="0"/>
    <x v="1"/>
    <n v="0"/>
    <n v="0"/>
    <n v="53"/>
    <n v="98"/>
    <n v="0"/>
    <n v="604.4"/>
    <n v="242.82"/>
    <m/>
    <n v="670.79135403950966"/>
    <n v="224.53785920244138"/>
    <n v="0"/>
    <n v="2976.0655999999999"/>
    <n v="1195.6456800000001"/>
    <n v="0"/>
    <n v="3302.9766272905458"/>
    <n v="1105.6244187128214"/>
  </r>
  <r>
    <s v="Sistema de Compensação"/>
    <x v="4"/>
    <x v="4"/>
    <x v="0"/>
    <x v="0"/>
    <x v="0"/>
    <x v="0"/>
    <x v="3"/>
    <x v="9"/>
    <n v="0"/>
    <n v="0"/>
    <n v="0.70799999999999996"/>
    <n v="0.70799999999999996"/>
    <n v="0.70799999999999996"/>
    <n v="0.70799999999999996"/>
    <n v="0"/>
    <x v="1"/>
    <n v="0"/>
    <n v="0"/>
    <n v="53"/>
    <n v="98"/>
    <n v="0"/>
    <n v="604.4"/>
    <n v="242.82"/>
    <m/>
    <n v="670.79135403950966"/>
    <n v="224.53785920244138"/>
    <n v="0"/>
    <n v="427.91519999999997"/>
    <n v="171.91655999999998"/>
    <n v="0"/>
    <n v="474.92027865997284"/>
    <n v="158.97280431532849"/>
  </r>
  <r>
    <s v="Regular"/>
    <x v="4"/>
    <x v="4"/>
    <x v="0"/>
    <x v="0"/>
    <x v="0"/>
    <x v="0"/>
    <x v="3"/>
    <x v="10"/>
    <n v="0"/>
    <n v="0"/>
    <n v="4.343"/>
    <n v="4.343"/>
    <n v="4.343"/>
    <n v="4.343"/>
    <n v="0"/>
    <x v="1"/>
    <n v="0"/>
    <n v="0"/>
    <n v="53"/>
    <n v="98"/>
    <n v="0"/>
    <n v="604.4"/>
    <n v="242.82"/>
    <m/>
    <n v="670.79135403950966"/>
    <n v="224.53785920244138"/>
    <n v="0"/>
    <n v="2624.9092000000001"/>
    <n v="1054.56726"/>
    <n v="0"/>
    <n v="2913.2468505935904"/>
    <n v="975.16792251620291"/>
  </r>
  <r>
    <s v="Refaturamento - Regular"/>
    <x v="4"/>
    <x v="4"/>
    <x v="0"/>
    <x v="0"/>
    <x v="0"/>
    <x v="0"/>
    <x v="3"/>
    <x v="10"/>
    <n v="0"/>
    <n v="0"/>
    <n v="0.10100000000000001"/>
    <n v="0.10100000000000001"/>
    <n v="0.10100000000000001"/>
    <n v="0.10100000000000001"/>
    <n v="0"/>
    <x v="1"/>
    <n v="0"/>
    <n v="0"/>
    <n v="53"/>
    <n v="98"/>
    <n v="0"/>
    <n v="604.4"/>
    <n v="242.82"/>
    <m/>
    <n v="670.79135403950966"/>
    <n v="224.53785920244138"/>
    <n v="0"/>
    <n v="61.044400000000003"/>
    <n v="24.524820000000002"/>
    <n v="0"/>
    <n v="67.74992675799048"/>
    <n v="22.678323779446583"/>
  </r>
  <r>
    <s v="Sistema de Compensação"/>
    <x v="4"/>
    <x v="4"/>
    <x v="0"/>
    <x v="0"/>
    <x v="0"/>
    <x v="0"/>
    <x v="3"/>
    <x v="10"/>
    <n v="0"/>
    <n v="0"/>
    <n v="0.625"/>
    <n v="0.625"/>
    <n v="0.625"/>
    <n v="0.625"/>
    <n v="0"/>
    <x v="1"/>
    <n v="0"/>
    <n v="0"/>
    <n v="53"/>
    <n v="98"/>
    <n v="0"/>
    <n v="604.4"/>
    <n v="242.82"/>
    <m/>
    <n v="670.79135403950966"/>
    <n v="224.53785920244138"/>
    <n v="0"/>
    <n v="377.75"/>
    <n v="151.76249999999999"/>
    <n v="0"/>
    <n v="419.24459627469355"/>
    <n v="140.33616200152585"/>
  </r>
  <r>
    <s v="PROJETADO"/>
    <x v="4"/>
    <x v="4"/>
    <x v="0"/>
    <x v="0"/>
    <x v="0"/>
    <x v="0"/>
    <x v="3"/>
    <x v="11"/>
    <n v="0"/>
    <n v="0"/>
    <n v="4.343"/>
    <n v="4.343"/>
    <n v="4.343"/>
    <n v="4.343"/>
    <n v="0"/>
    <x v="1"/>
    <n v="0"/>
    <n v="0"/>
    <n v="53"/>
    <n v="98"/>
    <n v="0"/>
    <n v="604.4"/>
    <n v="242.82"/>
    <m/>
    <n v="670.79135403950966"/>
    <n v="224.53785920244138"/>
    <n v="0"/>
    <n v="2624.9092000000001"/>
    <n v="1054.56726"/>
    <n v="0"/>
    <n v="2913.2468505935904"/>
    <n v="975.16792251620291"/>
  </r>
  <r>
    <s v="PROJETADO"/>
    <x v="4"/>
    <x v="4"/>
    <x v="0"/>
    <x v="0"/>
    <x v="0"/>
    <x v="0"/>
    <x v="3"/>
    <x v="11"/>
    <n v="0"/>
    <n v="0"/>
    <n v="0.10100000000000001"/>
    <n v="0.10100000000000001"/>
    <n v="0.10100000000000001"/>
    <n v="0.10100000000000001"/>
    <n v="0"/>
    <x v="1"/>
    <n v="0"/>
    <n v="0"/>
    <n v="53"/>
    <n v="98"/>
    <n v="0"/>
    <n v="604.4"/>
    <n v="242.82"/>
    <m/>
    <n v="670.79135403950966"/>
    <n v="224.53785920244138"/>
    <n v="0"/>
    <n v="61.044400000000003"/>
    <n v="24.524820000000002"/>
    <n v="0"/>
    <n v="67.74992675799048"/>
    <n v="22.678323779446583"/>
  </r>
  <r>
    <s v="PROJETADO"/>
    <x v="4"/>
    <x v="4"/>
    <x v="0"/>
    <x v="0"/>
    <x v="0"/>
    <x v="0"/>
    <x v="3"/>
    <x v="11"/>
    <n v="0"/>
    <n v="0"/>
    <n v="0.625"/>
    <n v="0.625"/>
    <n v="0.625"/>
    <n v="0.625"/>
    <n v="0"/>
    <x v="1"/>
    <n v="0"/>
    <n v="0"/>
    <n v="53"/>
    <n v="98"/>
    <n v="0"/>
    <n v="604.4"/>
    <n v="242.82"/>
    <m/>
    <n v="670.79135403950966"/>
    <n v="224.53785920244138"/>
    <n v="0"/>
    <n v="377.75"/>
    <n v="151.76249999999999"/>
    <n v="0"/>
    <n v="419.24459627469355"/>
    <n v="140.33616200152585"/>
  </r>
  <r>
    <s v="Regular"/>
    <x v="4"/>
    <x v="4"/>
    <x v="0"/>
    <x v="0"/>
    <x v="0"/>
    <x v="0"/>
    <x v="2"/>
    <x v="0"/>
    <n v="0"/>
    <n v="0"/>
    <n v="2.855"/>
    <n v="2.855"/>
    <n v="2.855"/>
    <n v="2.855"/>
    <n v="0"/>
    <x v="1"/>
    <n v="0"/>
    <n v="0"/>
    <n v="51"/>
    <n v="97"/>
    <n v="0"/>
    <n v="948.58"/>
    <n v="397.62"/>
    <m/>
    <n v="1050.0996886265309"/>
    <n v="351.67159959099928"/>
    <n v="0"/>
    <n v="2708.1959000000002"/>
    <n v="1135.2050999999999"/>
    <n v="0"/>
    <n v="2998.0346110287455"/>
    <n v="1004.022416832303"/>
  </r>
  <r>
    <s v="Refaturamento - Regular"/>
    <x v="4"/>
    <x v="4"/>
    <x v="0"/>
    <x v="0"/>
    <x v="0"/>
    <x v="0"/>
    <x v="2"/>
    <x v="0"/>
    <n v="0"/>
    <n v="0"/>
    <n v="-2.6930000000000001"/>
    <n v="-2.6930000000000001"/>
    <n v="-2.6930000000000001"/>
    <n v="-2.6930000000000001"/>
    <n v="0"/>
    <x v="1"/>
    <n v="0"/>
    <n v="0"/>
    <n v="51"/>
    <n v="97"/>
    <n v="0"/>
    <n v="948.58"/>
    <n v="397.62"/>
    <m/>
    <n v="1050.0996886265309"/>
    <n v="351.67159959099928"/>
    <n v="0"/>
    <n v="-2554.52594"/>
    <n v="-1070.7906600000001"/>
    <n v="0"/>
    <n v="-2827.9184614712476"/>
    <n v="-947.05161769856113"/>
  </r>
  <r>
    <s v="Sistema de Compensação"/>
    <x v="4"/>
    <x v="4"/>
    <x v="0"/>
    <x v="0"/>
    <x v="0"/>
    <x v="0"/>
    <x v="2"/>
    <x v="0"/>
    <n v="0"/>
    <n v="0"/>
    <n v="1.2290000000000001"/>
    <n v="1.2290000000000001"/>
    <n v="1.2290000000000001"/>
    <n v="1.2290000000000001"/>
    <n v="0"/>
    <x v="1"/>
    <n v="0"/>
    <n v="0"/>
    <n v="51"/>
    <n v="97"/>
    <n v="0"/>
    <n v="948.58"/>
    <n v="397.62"/>
    <m/>
    <n v="1050.0996886265309"/>
    <n v="351.67159959099928"/>
    <n v="0"/>
    <n v="1165.8048200000001"/>
    <n v="488.67498000000006"/>
    <n v="0"/>
    <n v="1290.5725173220067"/>
    <n v="432.20439589733815"/>
  </r>
  <r>
    <s v="Regular"/>
    <x v="4"/>
    <x v="4"/>
    <x v="0"/>
    <x v="0"/>
    <x v="0"/>
    <x v="0"/>
    <x v="2"/>
    <x v="1"/>
    <n v="0"/>
    <n v="0"/>
    <n v="2.6779999999999999"/>
    <n v="2.6779999999999999"/>
    <n v="2.6779999999999999"/>
    <n v="2.6779999999999999"/>
    <n v="0"/>
    <x v="1"/>
    <n v="0"/>
    <n v="0"/>
    <n v="51"/>
    <n v="97"/>
    <n v="0"/>
    <n v="948.58"/>
    <n v="397.62"/>
    <m/>
    <n v="1050.0996886265309"/>
    <n v="351.67159959099928"/>
    <n v="0"/>
    <n v="2540.2972399999999"/>
    <n v="1064.82636"/>
    <n v="0"/>
    <n v="2812.1669661418496"/>
    <n v="941.776543704696"/>
  </r>
  <r>
    <s v="Sistema de Compensação"/>
    <x v="4"/>
    <x v="4"/>
    <x v="0"/>
    <x v="0"/>
    <x v="0"/>
    <x v="0"/>
    <x v="2"/>
    <x v="1"/>
    <n v="0"/>
    <n v="0"/>
    <n v="1.071"/>
    <n v="1.071"/>
    <n v="1.071"/>
    <n v="1.071"/>
    <n v="0"/>
    <x v="1"/>
    <n v="0"/>
    <n v="0"/>
    <n v="51"/>
    <n v="97"/>
    <n v="0"/>
    <n v="948.58"/>
    <n v="397.62"/>
    <m/>
    <n v="1050.0996886265309"/>
    <n v="351.67159959099928"/>
    <n v="0"/>
    <n v="1015.92918"/>
    <n v="425.85102000000001"/>
    <n v="0"/>
    <n v="1124.6567665190146"/>
    <n v="376.64028316196021"/>
  </r>
  <r>
    <s v="Regular"/>
    <x v="4"/>
    <x v="4"/>
    <x v="0"/>
    <x v="0"/>
    <x v="0"/>
    <x v="0"/>
    <x v="2"/>
    <x v="2"/>
    <n v="0"/>
    <n v="0"/>
    <n v="3.0089999999999999"/>
    <n v="3.0089999999999999"/>
    <n v="3.0089999999999999"/>
    <n v="3.0089999999999999"/>
    <n v="0"/>
    <x v="1"/>
    <n v="0"/>
    <n v="0"/>
    <n v="51"/>
    <n v="97"/>
    <n v="0"/>
    <n v="948.58"/>
    <n v="397.62"/>
    <m/>
    <n v="1050.0996886265309"/>
    <n v="351.67159959099928"/>
    <n v="0"/>
    <n v="2854.2772199999999"/>
    <n v="1196.43858"/>
    <n v="0"/>
    <n v="3159.7499630772313"/>
    <n v="1058.1798431693169"/>
  </r>
  <r>
    <s v="Sistema de Compensação"/>
    <x v="4"/>
    <x v="4"/>
    <x v="0"/>
    <x v="0"/>
    <x v="0"/>
    <x v="0"/>
    <x v="2"/>
    <x v="2"/>
    <n v="0"/>
    <n v="0"/>
    <n v="1.2110000000000001"/>
    <n v="1.2110000000000001"/>
    <n v="1.2110000000000001"/>
    <n v="1.2110000000000001"/>
    <n v="0"/>
    <x v="1"/>
    <n v="0"/>
    <n v="0"/>
    <n v="51"/>
    <n v="97"/>
    <n v="0"/>
    <n v="948.58"/>
    <n v="397.62"/>
    <m/>
    <n v="1050.0996886265309"/>
    <n v="351.67159959099928"/>
    <n v="0"/>
    <n v="1148.7303800000002"/>
    <n v="481.51782000000003"/>
    <n v="0"/>
    <n v="1271.670722926729"/>
    <n v="425.87430710470016"/>
  </r>
  <r>
    <s v="Regular"/>
    <x v="4"/>
    <x v="4"/>
    <x v="0"/>
    <x v="0"/>
    <x v="0"/>
    <x v="0"/>
    <x v="2"/>
    <x v="3"/>
    <n v="0"/>
    <n v="0"/>
    <n v="3.359"/>
    <n v="3.359"/>
    <n v="3.359"/>
    <n v="3.359"/>
    <n v="0"/>
    <x v="1"/>
    <n v="0"/>
    <n v="0"/>
    <n v="51"/>
    <n v="97"/>
    <n v="0"/>
    <n v="948.58"/>
    <n v="397.62"/>
    <m/>
    <n v="1050.0996886265309"/>
    <n v="351.67159959099928"/>
    <n v="0"/>
    <n v="3186.2802200000001"/>
    <n v="1335.6055799999999"/>
    <n v="0"/>
    <n v="3527.2848540965174"/>
    <n v="1181.2649030261666"/>
  </r>
  <r>
    <s v="Sistema de Compensação"/>
    <x v="4"/>
    <x v="4"/>
    <x v="0"/>
    <x v="0"/>
    <x v="0"/>
    <x v="0"/>
    <x v="2"/>
    <x v="3"/>
    <n v="0"/>
    <n v="0"/>
    <n v="1.345"/>
    <n v="1.345"/>
    <n v="1.345"/>
    <n v="1.345"/>
    <n v="0"/>
    <x v="1"/>
    <n v="0"/>
    <n v="0"/>
    <n v="51"/>
    <n v="97"/>
    <n v="0"/>
    <n v="948.58"/>
    <n v="397.62"/>
    <m/>
    <n v="1050.0996886265309"/>
    <n v="351.67159959099928"/>
    <n v="0"/>
    <n v="1275.8401000000001"/>
    <n v="534.7989"/>
    <n v="0"/>
    <n v="1412.384081202684"/>
    <n v="472.99830144989403"/>
  </r>
  <r>
    <s v="Regular"/>
    <x v="4"/>
    <x v="4"/>
    <x v="0"/>
    <x v="0"/>
    <x v="0"/>
    <x v="0"/>
    <x v="2"/>
    <x v="4"/>
    <n v="0"/>
    <n v="0"/>
    <n v="3.8149999999999999"/>
    <n v="3.8149999999999999"/>
    <n v="3.8149999999999999"/>
    <n v="3.8149999999999999"/>
    <n v="0"/>
    <x v="1"/>
    <n v="0"/>
    <n v="0"/>
    <n v="51"/>
    <n v="97"/>
    <n v="0"/>
    <n v="948.58"/>
    <n v="397.62"/>
    <m/>
    <n v="1050.0996886265309"/>
    <n v="351.67159959099928"/>
    <n v="0"/>
    <n v="3618.8326999999999"/>
    <n v="1516.9203"/>
    <n v="0"/>
    <n v="4006.1303121102155"/>
    <n v="1341.6271524396623"/>
  </r>
  <r>
    <s v="Refaturamento - Regular"/>
    <x v="4"/>
    <x v="4"/>
    <x v="0"/>
    <x v="0"/>
    <x v="0"/>
    <x v="0"/>
    <x v="2"/>
    <x v="4"/>
    <n v="0"/>
    <n v="0"/>
    <n v="-0.38100000000000001"/>
    <n v="-0.38100000000000001"/>
    <n v="-0.38100000000000001"/>
    <n v="-0.38100000000000001"/>
    <n v="0"/>
    <x v="1"/>
    <n v="0"/>
    <n v="0"/>
    <n v="51"/>
    <n v="97"/>
    <n v="0"/>
    <n v="948.58"/>
    <n v="397.62"/>
    <m/>
    <n v="1050.0996886265309"/>
    <n v="351.67159959099928"/>
    <n v="0"/>
    <n v="-361.40898000000004"/>
    <n v="-151.49322000000001"/>
    <n v="0"/>
    <n v="-400.08798136670828"/>
    <n v="-133.98687944417074"/>
  </r>
  <r>
    <s v="Sistema de Compensação"/>
    <x v="4"/>
    <x v="4"/>
    <x v="0"/>
    <x v="0"/>
    <x v="0"/>
    <x v="0"/>
    <x v="2"/>
    <x v="4"/>
    <n v="0"/>
    <n v="0"/>
    <n v="1.571"/>
    <n v="1.571"/>
    <n v="1.571"/>
    <n v="1.571"/>
    <n v="0"/>
    <x v="1"/>
    <n v="0"/>
    <n v="0"/>
    <n v="51"/>
    <n v="97"/>
    <n v="0"/>
    <n v="948.58"/>
    <n v="397.62"/>
    <m/>
    <n v="1050.0996886265309"/>
    <n v="351.67159959099928"/>
    <n v="0"/>
    <n v="1490.2191800000001"/>
    <n v="624.66102000000001"/>
    <n v="0"/>
    <n v="1649.7066108322799"/>
    <n v="552.47608295745988"/>
  </r>
  <r>
    <s v="Regular"/>
    <x v="4"/>
    <x v="4"/>
    <x v="0"/>
    <x v="0"/>
    <x v="0"/>
    <x v="0"/>
    <x v="2"/>
    <x v="5"/>
    <n v="0"/>
    <n v="0"/>
    <n v="4.3410000000000002"/>
    <n v="4.3410000000000002"/>
    <n v="4.3410000000000002"/>
    <n v="4.3410000000000002"/>
    <n v="0"/>
    <x v="1"/>
    <n v="0"/>
    <n v="0"/>
    <n v="51"/>
    <n v="97"/>
    <n v="0"/>
    <n v="948.58"/>
    <n v="397.62"/>
    <m/>
    <n v="1050.0996886265309"/>
    <n v="351.67159959099928"/>
    <n v="0"/>
    <n v="4117.7857800000002"/>
    <n v="1726.0684200000001"/>
    <n v="0"/>
    <n v="4558.4827483277704"/>
    <n v="1526.6064138245279"/>
  </r>
  <r>
    <s v="Refaturamento - Regular"/>
    <x v="4"/>
    <x v="4"/>
    <x v="0"/>
    <x v="0"/>
    <x v="0"/>
    <x v="0"/>
    <x v="2"/>
    <x v="5"/>
    <n v="0"/>
    <n v="0"/>
    <n v="1E-3"/>
    <n v="1E-3"/>
    <n v="1E-3"/>
    <n v="1E-3"/>
    <n v="0"/>
    <x v="1"/>
    <n v="0"/>
    <n v="0"/>
    <n v="51"/>
    <n v="97"/>
    <n v="0"/>
    <n v="948.58"/>
    <n v="397.62"/>
    <m/>
    <n v="1050.0996886265309"/>
    <n v="351.67159959099928"/>
    <n v="0"/>
    <n v="0.94858000000000009"/>
    <n v="0.39762000000000003"/>
    <n v="0"/>
    <n v="1.050099688626531"/>
    <n v="0.35167159959099931"/>
  </r>
  <r>
    <s v="Sistema de Compensação"/>
    <x v="4"/>
    <x v="4"/>
    <x v="0"/>
    <x v="0"/>
    <x v="0"/>
    <x v="0"/>
    <x v="2"/>
    <x v="5"/>
    <n v="0"/>
    <n v="0"/>
    <n v="1.171"/>
    <n v="1.171"/>
    <n v="1.171"/>
    <n v="1.171"/>
    <n v="0"/>
    <x v="1"/>
    <n v="0"/>
    <n v="0"/>
    <n v="51"/>
    <n v="97"/>
    <n v="0"/>
    <n v="948.58"/>
    <n v="397.62"/>
    <m/>
    <n v="1050.0996886265309"/>
    <n v="351.67159959099928"/>
    <n v="0"/>
    <n v="1110.78718"/>
    <n v="465.61302000000001"/>
    <n v="0"/>
    <n v="1229.6667353816676"/>
    <n v="411.80744312106015"/>
  </r>
  <r>
    <s v="Sistema de Compensação"/>
    <x v="4"/>
    <x v="4"/>
    <x v="0"/>
    <x v="0"/>
    <x v="0"/>
    <x v="0"/>
    <x v="2"/>
    <x v="5"/>
    <n v="0"/>
    <n v="0"/>
    <n v="-0.77800000000000002"/>
    <n v="-0.77800000000000002"/>
    <n v="-0.77800000000000002"/>
    <n v="-0.77800000000000002"/>
    <n v="0"/>
    <x v="1"/>
    <n v="0"/>
    <n v="0"/>
    <n v="51"/>
    <n v="97"/>
    <n v="0"/>
    <n v="948.58"/>
    <n v="397.62"/>
    <m/>
    <n v="1050.0996886265309"/>
    <n v="351.67159959099928"/>
    <n v="0"/>
    <n v="-737.99524000000008"/>
    <n v="-309.34836000000001"/>
    <n v="0"/>
    <n v="-816.97755775144105"/>
    <n v="-273.60050448179743"/>
  </r>
  <r>
    <s v="Regular"/>
    <x v="4"/>
    <x v="4"/>
    <x v="0"/>
    <x v="0"/>
    <x v="0"/>
    <x v="0"/>
    <x v="2"/>
    <x v="6"/>
    <n v="0"/>
    <n v="0"/>
    <n v="4.2789999999999999"/>
    <n v="4.2789999999999999"/>
    <n v="4.2789999999999999"/>
    <n v="4.2789999999999999"/>
    <n v="0"/>
    <x v="1"/>
    <n v="0"/>
    <n v="0"/>
    <n v="51"/>
    <n v="97"/>
    <n v="0"/>
    <n v="948.58"/>
    <n v="397.62"/>
    <m/>
    <n v="1050.0996886265309"/>
    <n v="351.67159959099928"/>
    <n v="0"/>
    <n v="4058.9738200000002"/>
    <n v="1701.41598"/>
    <n v="0"/>
    <n v="4493.3765676329258"/>
    <n v="1504.8027746498858"/>
  </r>
  <r>
    <s v="Sistema de Compensação"/>
    <x v="4"/>
    <x v="4"/>
    <x v="0"/>
    <x v="0"/>
    <x v="0"/>
    <x v="0"/>
    <x v="2"/>
    <x v="6"/>
    <n v="0"/>
    <n v="0"/>
    <n v="0.752"/>
    <n v="0.752"/>
    <n v="0.752"/>
    <n v="0.752"/>
    <n v="0"/>
    <x v="1"/>
    <n v="0"/>
    <n v="0"/>
    <n v="51"/>
    <n v="97"/>
    <n v="0"/>
    <n v="948.58"/>
    <n v="397.62"/>
    <m/>
    <n v="1050.0996886265309"/>
    <n v="351.67159959099928"/>
    <n v="0"/>
    <n v="713.33216000000004"/>
    <n v="299.01024000000001"/>
    <n v="0"/>
    <n v="789.67496584715127"/>
    <n v="264.45704289243145"/>
  </r>
  <r>
    <s v="Regular"/>
    <x v="4"/>
    <x v="4"/>
    <x v="0"/>
    <x v="0"/>
    <x v="0"/>
    <x v="0"/>
    <x v="2"/>
    <x v="7"/>
    <n v="0"/>
    <n v="0"/>
    <n v="5.1509999999999998"/>
    <n v="5.1509999999999998"/>
    <n v="5.1509999999999998"/>
    <n v="5.1509999999999998"/>
    <n v="0"/>
    <x v="1"/>
    <n v="0"/>
    <n v="0"/>
    <n v="51"/>
    <n v="97"/>
    <n v="0"/>
    <n v="948.58"/>
    <n v="397.62"/>
    <m/>
    <n v="1050.0996886265309"/>
    <n v="351.67159959099928"/>
    <n v="0"/>
    <n v="4886.1355800000001"/>
    <n v="2048.1406200000001"/>
    <n v="0"/>
    <n v="5409.0634961152609"/>
    <n v="1811.4604094932372"/>
  </r>
  <r>
    <s v="Sistema de Compensação"/>
    <x v="4"/>
    <x v="4"/>
    <x v="0"/>
    <x v="0"/>
    <x v="0"/>
    <x v="0"/>
    <x v="2"/>
    <x v="7"/>
    <n v="0"/>
    <n v="0"/>
    <n v="1.0980000000000001"/>
    <n v="1.0980000000000001"/>
    <n v="1.0980000000000001"/>
    <n v="1.0980000000000001"/>
    <n v="0"/>
    <x v="1"/>
    <n v="0"/>
    <n v="0"/>
    <n v="51"/>
    <n v="97"/>
    <n v="0"/>
    <n v="948.58"/>
    <n v="397.62"/>
    <m/>
    <n v="1050.0996886265309"/>
    <n v="351.67159959099928"/>
    <n v="0"/>
    <n v="1041.5408400000001"/>
    <n v="436.58676000000003"/>
    <n v="0"/>
    <n v="1153.0094581119311"/>
    <n v="386.13541635091724"/>
  </r>
  <r>
    <s v="Regular"/>
    <x v="4"/>
    <x v="4"/>
    <x v="0"/>
    <x v="0"/>
    <x v="0"/>
    <x v="0"/>
    <x v="2"/>
    <x v="8"/>
    <n v="0"/>
    <n v="0"/>
    <n v="3.992"/>
    <n v="3.992"/>
    <n v="3.992"/>
    <n v="3.992"/>
    <n v="0"/>
    <x v="1"/>
    <n v="0"/>
    <n v="0"/>
    <n v="51"/>
    <n v="97"/>
    <n v="0"/>
    <n v="948.58"/>
    <n v="397.62"/>
    <m/>
    <n v="1050.0996886265309"/>
    <n v="351.67159959099928"/>
    <n v="0"/>
    <n v="3786.7313600000002"/>
    <n v="1587.2990400000001"/>
    <n v="0"/>
    <n v="4191.997956997111"/>
    <n v="1403.8730255672692"/>
  </r>
  <r>
    <s v="Sistema de Compensação"/>
    <x v="4"/>
    <x v="4"/>
    <x v="0"/>
    <x v="0"/>
    <x v="0"/>
    <x v="0"/>
    <x v="2"/>
    <x v="8"/>
    <n v="0"/>
    <n v="0"/>
    <n v="0.89500000000000002"/>
    <n v="0.89500000000000002"/>
    <n v="0.89500000000000002"/>
    <n v="0.89500000000000002"/>
    <n v="0"/>
    <x v="1"/>
    <n v="0"/>
    <n v="0"/>
    <n v="51"/>
    <n v="97"/>
    <n v="0"/>
    <n v="948.58"/>
    <n v="397.62"/>
    <m/>
    <n v="1050.0996886265309"/>
    <n v="351.67159959099928"/>
    <n v="0"/>
    <n v="848.97910000000002"/>
    <n v="355.86990000000003"/>
    <n v="0"/>
    <n v="939.8392213207452"/>
    <n v="314.74608163394436"/>
  </r>
  <r>
    <s v="Regular"/>
    <x v="4"/>
    <x v="4"/>
    <x v="0"/>
    <x v="0"/>
    <x v="0"/>
    <x v="0"/>
    <x v="2"/>
    <x v="9"/>
    <n v="0"/>
    <n v="0"/>
    <n v="3.9159999999999999"/>
    <n v="3.9159999999999999"/>
    <n v="3.9159999999999999"/>
    <n v="3.9159999999999999"/>
    <n v="0"/>
    <x v="1"/>
    <n v="0"/>
    <n v="0"/>
    <n v="51"/>
    <n v="97"/>
    <n v="0"/>
    <n v="948.58"/>
    <n v="397.62"/>
    <m/>
    <n v="1050.0996886265309"/>
    <n v="351.67159959099928"/>
    <n v="0"/>
    <n v="3714.6392799999999"/>
    <n v="1557.0799199999999"/>
    <n v="0"/>
    <n v="4112.1903806614946"/>
    <n v="1377.1459839983531"/>
  </r>
  <r>
    <s v="Sistema de Compensação"/>
    <x v="4"/>
    <x v="4"/>
    <x v="0"/>
    <x v="0"/>
    <x v="0"/>
    <x v="0"/>
    <x v="2"/>
    <x v="9"/>
    <n v="0"/>
    <n v="0"/>
    <n v="0.54300000000000004"/>
    <n v="0.54300000000000004"/>
    <n v="0.54300000000000004"/>
    <n v="0.54300000000000004"/>
    <n v="0"/>
    <x v="1"/>
    <n v="0"/>
    <n v="0"/>
    <n v="51"/>
    <n v="97"/>
    <n v="0"/>
    <n v="948.58"/>
    <n v="397.62"/>
    <m/>
    <n v="1050.0996886265309"/>
    <n v="351.67159959099928"/>
    <n v="0"/>
    <n v="515.0789400000001"/>
    <n v="215.90766000000002"/>
    <n v="0"/>
    <n v="570.20413092420631"/>
    <n v="190.95767857791262"/>
  </r>
  <r>
    <s v="Regular"/>
    <x v="4"/>
    <x v="4"/>
    <x v="0"/>
    <x v="0"/>
    <x v="0"/>
    <x v="0"/>
    <x v="2"/>
    <x v="10"/>
    <n v="0"/>
    <n v="0"/>
    <n v="3.5819999999999999"/>
    <n v="3.5819999999999999"/>
    <n v="3.5819999999999999"/>
    <n v="3.5819999999999999"/>
    <n v="0"/>
    <x v="1"/>
    <n v="0"/>
    <n v="0"/>
    <n v="51"/>
    <n v="97"/>
    <n v="0"/>
    <n v="948.58"/>
    <n v="397.62"/>
    <m/>
    <n v="1050.0996886265309"/>
    <n v="351.67159959099928"/>
    <n v="0"/>
    <n v="3397.8135600000001"/>
    <n v="1424.27484"/>
    <n v="0"/>
    <n v="3761.4570846602337"/>
    <n v="1259.6876697349594"/>
  </r>
  <r>
    <s v="Refaturamento - Regular"/>
    <x v="4"/>
    <x v="4"/>
    <x v="0"/>
    <x v="0"/>
    <x v="0"/>
    <x v="0"/>
    <x v="2"/>
    <x v="10"/>
    <n v="0"/>
    <n v="0"/>
    <n v="0.126"/>
    <n v="0.126"/>
    <n v="0.126"/>
    <n v="0.126"/>
    <n v="0"/>
    <x v="1"/>
    <n v="0"/>
    <n v="0"/>
    <n v="51"/>
    <n v="97"/>
    <n v="0"/>
    <n v="948.58"/>
    <n v="397.62"/>
    <m/>
    <n v="1050.0996886265309"/>
    <n v="351.67159959099928"/>
    <n v="0"/>
    <n v="119.52108000000001"/>
    <n v="50.100120000000004"/>
    <n v="0"/>
    <n v="132.31256076694291"/>
    <n v="44.31062154846591"/>
  </r>
  <r>
    <s v="Sistema de Compensação"/>
    <x v="4"/>
    <x v="4"/>
    <x v="0"/>
    <x v="0"/>
    <x v="0"/>
    <x v="0"/>
    <x v="2"/>
    <x v="10"/>
    <n v="0"/>
    <n v="0"/>
    <n v="0.53"/>
    <n v="0.53"/>
    <n v="0.53"/>
    <n v="0.53"/>
    <n v="0"/>
    <x v="1"/>
    <n v="0"/>
    <n v="0"/>
    <n v="51"/>
    <n v="97"/>
    <n v="0"/>
    <n v="948.58"/>
    <n v="397.62"/>
    <m/>
    <n v="1050.0996886265309"/>
    <n v="351.67159959099928"/>
    <n v="0"/>
    <n v="502.74740000000003"/>
    <n v="210.73860000000002"/>
    <n v="0"/>
    <n v="556.55283497206142"/>
    <n v="186.38594778322962"/>
  </r>
  <r>
    <s v="PROJETADO"/>
    <x v="4"/>
    <x v="4"/>
    <x v="0"/>
    <x v="0"/>
    <x v="0"/>
    <x v="0"/>
    <x v="2"/>
    <x v="11"/>
    <n v="0"/>
    <n v="0"/>
    <n v="3.5819999999999999"/>
    <n v="3.5819999999999999"/>
    <n v="3.5819999999999999"/>
    <n v="3.5819999999999999"/>
    <n v="0"/>
    <x v="1"/>
    <n v="0"/>
    <n v="0"/>
    <n v="51"/>
    <n v="97"/>
    <n v="0"/>
    <n v="948.58"/>
    <n v="397.62"/>
    <m/>
    <n v="1050.0996886265309"/>
    <n v="351.67159959099928"/>
    <n v="0"/>
    <n v="3397.8135600000001"/>
    <n v="1424.27484"/>
    <n v="0"/>
    <n v="3761.4570846602337"/>
    <n v="1259.6876697349594"/>
  </r>
  <r>
    <s v="PROJETADO"/>
    <x v="4"/>
    <x v="4"/>
    <x v="0"/>
    <x v="0"/>
    <x v="0"/>
    <x v="0"/>
    <x v="2"/>
    <x v="11"/>
    <n v="0"/>
    <n v="0"/>
    <n v="0.126"/>
    <n v="0.126"/>
    <n v="0.126"/>
    <n v="0.126"/>
    <n v="0"/>
    <x v="1"/>
    <n v="0"/>
    <n v="0"/>
    <n v="51"/>
    <n v="97"/>
    <n v="0"/>
    <n v="948.58"/>
    <n v="397.62"/>
    <m/>
    <n v="1050.0996886265309"/>
    <n v="351.67159959099928"/>
    <n v="0"/>
    <n v="119.52108000000001"/>
    <n v="50.100120000000004"/>
    <n v="0"/>
    <n v="132.31256076694291"/>
    <n v="44.31062154846591"/>
  </r>
  <r>
    <s v="PROJETADO"/>
    <x v="4"/>
    <x v="4"/>
    <x v="0"/>
    <x v="0"/>
    <x v="0"/>
    <x v="0"/>
    <x v="2"/>
    <x v="11"/>
    <n v="0"/>
    <n v="0"/>
    <n v="0.53"/>
    <n v="0.53"/>
    <n v="0.53"/>
    <n v="0.53"/>
    <n v="0"/>
    <x v="1"/>
    <n v="0"/>
    <n v="0"/>
    <n v="51"/>
    <n v="97"/>
    <n v="0"/>
    <n v="948.58"/>
    <n v="397.62"/>
    <m/>
    <n v="1050.0996886265309"/>
    <n v="351.67159959099928"/>
    <n v="0"/>
    <n v="502.74740000000003"/>
    <n v="210.73860000000002"/>
    <n v="0"/>
    <n v="556.55283497206142"/>
    <n v="186.38594778322962"/>
  </r>
  <r>
    <s v="Regular"/>
    <x v="4"/>
    <x v="4"/>
    <x v="1"/>
    <x v="0"/>
    <x v="0"/>
    <x v="0"/>
    <x v="0"/>
    <x v="0"/>
    <n v="0"/>
    <n v="0"/>
    <n v="4.7729999999999997"/>
    <n v="4.7729999999999997"/>
    <n v="4.7729999999999997"/>
    <n v="4.7729999999999997"/>
    <n v="0"/>
    <x v="1"/>
    <n v="0"/>
    <n v="0"/>
    <n v="55"/>
    <n v="99"/>
    <n v="0"/>
    <n v="260.22000000000003"/>
    <n v="242.82"/>
    <m/>
    <n v="291.48270357443909"/>
    <n v="224.53785920244138"/>
    <n v="0"/>
    <n v="1242.03006"/>
    <n v="1158.9798599999999"/>
    <n v="0"/>
    <n v="1391.2469441607977"/>
    <n v="1071.7192019732527"/>
  </r>
  <r>
    <s v="Regular"/>
    <x v="4"/>
    <x v="4"/>
    <x v="1"/>
    <x v="0"/>
    <x v="0"/>
    <x v="0"/>
    <x v="0"/>
    <x v="1"/>
    <n v="0"/>
    <n v="0"/>
    <n v="4.6749999999999998"/>
    <n v="4.6749999999999998"/>
    <n v="4.6749999999999998"/>
    <n v="4.6749999999999998"/>
    <n v="0"/>
    <x v="1"/>
    <n v="0"/>
    <n v="0"/>
    <n v="55"/>
    <n v="99"/>
    <n v="0"/>
    <n v="260.22000000000003"/>
    <n v="242.82"/>
    <m/>
    <n v="291.48270357443909"/>
    <n v="224.53785920244138"/>
    <n v="0"/>
    <n v="1216.5285000000001"/>
    <n v="1135.1834999999999"/>
    <n v="0"/>
    <n v="1362.6816392105027"/>
    <n v="1049.7144917714133"/>
  </r>
  <r>
    <s v="Regular"/>
    <x v="4"/>
    <x v="4"/>
    <x v="1"/>
    <x v="0"/>
    <x v="0"/>
    <x v="0"/>
    <x v="0"/>
    <x v="2"/>
    <n v="0"/>
    <n v="0"/>
    <n v="4.8689999999999998"/>
    <n v="4.8689999999999998"/>
    <n v="4.8689999999999998"/>
    <n v="4.8689999999999998"/>
    <n v="0"/>
    <x v="1"/>
    <n v="0"/>
    <n v="0"/>
    <n v="55"/>
    <n v="99"/>
    <n v="0"/>
    <n v="260.22000000000003"/>
    <n v="242.82"/>
    <m/>
    <n v="291.48270357443909"/>
    <n v="224.53785920244138"/>
    <n v="0"/>
    <n v="1267.01118"/>
    <n v="1182.2905799999999"/>
    <n v="0"/>
    <n v="1419.2292837039438"/>
    <n v="1093.2748364566871"/>
  </r>
  <r>
    <s v="Regular"/>
    <x v="4"/>
    <x v="4"/>
    <x v="1"/>
    <x v="0"/>
    <x v="0"/>
    <x v="0"/>
    <x v="0"/>
    <x v="3"/>
    <n v="0"/>
    <n v="0"/>
    <n v="4.1900000000000004"/>
    <n v="4.1900000000000004"/>
    <n v="4.1900000000000004"/>
    <n v="4.1900000000000004"/>
    <n v="0"/>
    <x v="1"/>
    <n v="0"/>
    <n v="0"/>
    <n v="55"/>
    <n v="99"/>
    <n v="0"/>
    <n v="260.22000000000003"/>
    <n v="242.82"/>
    <m/>
    <n v="291.48270357443909"/>
    <n v="224.53785920244138"/>
    <n v="0"/>
    <n v="1090.3218000000002"/>
    <n v="1017.4158000000001"/>
    <n v="0"/>
    <n v="1221.3125279768999"/>
    <n v="940.81363005822948"/>
  </r>
  <r>
    <s v="Regular"/>
    <x v="4"/>
    <x v="4"/>
    <x v="1"/>
    <x v="0"/>
    <x v="0"/>
    <x v="0"/>
    <x v="0"/>
    <x v="4"/>
    <n v="0"/>
    <n v="0"/>
    <n v="4.7430000000000003"/>
    <n v="4.7430000000000003"/>
    <n v="4.7430000000000003"/>
    <n v="4.7430000000000003"/>
    <n v="0"/>
    <x v="1"/>
    <n v="0"/>
    <n v="0"/>
    <n v="55"/>
    <n v="99"/>
    <n v="0"/>
    <n v="260.22000000000003"/>
    <n v="242.82"/>
    <m/>
    <n v="291.48270357443909"/>
    <n v="224.53785920244138"/>
    <n v="0"/>
    <n v="1234.2234600000002"/>
    <n v="1151.69526"/>
    <n v="0"/>
    <n v="1382.5024630535647"/>
    <n v="1064.9830661971796"/>
  </r>
  <r>
    <s v="Regular"/>
    <x v="4"/>
    <x v="4"/>
    <x v="1"/>
    <x v="0"/>
    <x v="0"/>
    <x v="0"/>
    <x v="0"/>
    <x v="5"/>
    <n v="0"/>
    <n v="0"/>
    <n v="2.1890000000000001"/>
    <n v="2.1890000000000001"/>
    <n v="2.1890000000000001"/>
    <n v="2.1890000000000001"/>
    <n v="0"/>
    <x v="1"/>
    <n v="0"/>
    <n v="0"/>
    <n v="55"/>
    <n v="99"/>
    <n v="0"/>
    <n v="260.22000000000003"/>
    <n v="242.82"/>
    <m/>
    <n v="291.48270357443909"/>
    <n v="224.53785920244138"/>
    <n v="0"/>
    <n v="569.62158000000011"/>
    <n v="531.53297999999995"/>
    <n v="0"/>
    <n v="638.05563812444723"/>
    <n v="491.51337379414417"/>
  </r>
  <r>
    <s v="Sistema de Compensação"/>
    <x v="4"/>
    <x v="4"/>
    <x v="1"/>
    <x v="0"/>
    <x v="0"/>
    <x v="0"/>
    <x v="0"/>
    <x v="5"/>
    <n v="0"/>
    <n v="0"/>
    <n v="1.7030000000000001"/>
    <n v="1.7030000000000001"/>
    <n v="1.7030000000000001"/>
    <n v="1.7030000000000001"/>
    <n v="0"/>
    <x v="1"/>
    <n v="0"/>
    <n v="0"/>
    <n v="55"/>
    <n v="99"/>
    <n v="0"/>
    <n v="260.22000000000003"/>
    <n v="242.82"/>
    <m/>
    <n v="291.48270357443909"/>
    <n v="224.53785920244138"/>
    <n v="0"/>
    <n v="443.15466000000009"/>
    <n v="413.52246000000002"/>
    <n v="0"/>
    <n v="496.39504418726978"/>
    <n v="382.3879742217577"/>
  </r>
  <r>
    <s v="Regular"/>
    <x v="4"/>
    <x v="4"/>
    <x v="1"/>
    <x v="0"/>
    <x v="0"/>
    <x v="0"/>
    <x v="0"/>
    <x v="6"/>
    <n v="0"/>
    <n v="0"/>
    <n v="2.3260000000000001"/>
    <n v="2.3260000000000001"/>
    <n v="2.3260000000000001"/>
    <n v="2.3260000000000001"/>
    <n v="0"/>
    <x v="1"/>
    <n v="0"/>
    <n v="0"/>
    <n v="55"/>
    <n v="99"/>
    <n v="0"/>
    <n v="260.22000000000003"/>
    <n v="242.82"/>
    <m/>
    <n v="291.48270357443909"/>
    <n v="224.53785920244138"/>
    <n v="0"/>
    <n v="605.27172000000007"/>
    <n v="564.79931999999997"/>
    <n v="0"/>
    <n v="677.98876851414536"/>
    <n v="522.27506050487864"/>
  </r>
  <r>
    <s v="Regular"/>
    <x v="4"/>
    <x v="4"/>
    <x v="1"/>
    <x v="0"/>
    <x v="0"/>
    <x v="0"/>
    <x v="0"/>
    <x v="7"/>
    <n v="0"/>
    <n v="0"/>
    <n v="2.2890000000000001"/>
    <n v="2.2890000000000001"/>
    <n v="2.2890000000000001"/>
    <n v="2.2890000000000001"/>
    <n v="0"/>
    <x v="1"/>
    <n v="0"/>
    <n v="0"/>
    <n v="55"/>
    <n v="99"/>
    <n v="0"/>
    <n v="260.22000000000003"/>
    <n v="242.82"/>
    <m/>
    <n v="291.48270357443909"/>
    <n v="224.53785920244138"/>
    <n v="0"/>
    <n v="595.64358000000016"/>
    <n v="555.81497999999999"/>
    <n v="0"/>
    <n v="667.20390848189106"/>
    <n v="513.96715971438834"/>
  </r>
  <r>
    <s v="Regular"/>
    <x v="4"/>
    <x v="4"/>
    <x v="1"/>
    <x v="0"/>
    <x v="0"/>
    <x v="0"/>
    <x v="0"/>
    <x v="8"/>
    <n v="0"/>
    <n v="0"/>
    <n v="2.2280000000000002"/>
    <n v="2.2280000000000002"/>
    <n v="2.2280000000000002"/>
    <n v="2.2280000000000002"/>
    <n v="0"/>
    <x v="1"/>
    <n v="0"/>
    <n v="0"/>
    <n v="55"/>
    <n v="99"/>
    <n v="0"/>
    <n v="260.22000000000003"/>
    <n v="242.82"/>
    <m/>
    <n v="291.48270357443909"/>
    <n v="224.53785920244138"/>
    <n v="0"/>
    <n v="579.77016000000015"/>
    <n v="541.00296000000003"/>
    <n v="0"/>
    <n v="649.42346356385031"/>
    <n v="500.27035030303944"/>
  </r>
  <r>
    <s v="Regular"/>
    <x v="4"/>
    <x v="4"/>
    <x v="1"/>
    <x v="0"/>
    <x v="0"/>
    <x v="0"/>
    <x v="0"/>
    <x v="9"/>
    <n v="0"/>
    <n v="0"/>
    <n v="2.3620000000000001"/>
    <n v="2.3620000000000001"/>
    <n v="2.3620000000000001"/>
    <n v="2.3620000000000001"/>
    <n v="0"/>
    <x v="1"/>
    <n v="0"/>
    <n v="0"/>
    <n v="55"/>
    <n v="99"/>
    <n v="0"/>
    <n v="260.22000000000003"/>
    <n v="242.82"/>
    <m/>
    <n v="291.48270357443909"/>
    <n v="224.53785920244138"/>
    <n v="0"/>
    <n v="614.6396400000001"/>
    <n v="573.54084"/>
    <n v="0"/>
    <n v="688.48214584282516"/>
    <n v="530.35842343616662"/>
  </r>
  <r>
    <s v="Regular"/>
    <x v="4"/>
    <x v="4"/>
    <x v="1"/>
    <x v="0"/>
    <x v="0"/>
    <x v="0"/>
    <x v="0"/>
    <x v="10"/>
    <n v="0"/>
    <n v="0"/>
    <n v="2.0369999999999999"/>
    <n v="2.0369999999999999"/>
    <n v="2.0369999999999999"/>
    <n v="2.0369999999999999"/>
    <n v="0"/>
    <x v="1"/>
    <n v="0"/>
    <n v="0"/>
    <n v="55"/>
    <n v="99"/>
    <n v="0"/>
    <n v="260.22000000000003"/>
    <n v="242.82"/>
    <m/>
    <n v="291.48270357443909"/>
    <n v="224.53785920244138"/>
    <n v="0"/>
    <n v="530.06814000000008"/>
    <n v="494.62433999999996"/>
    <n v="0"/>
    <n v="593.75026718113236"/>
    <n v="457.38361919537306"/>
  </r>
  <r>
    <s v="PROJETADO"/>
    <x v="4"/>
    <x v="4"/>
    <x v="1"/>
    <x v="0"/>
    <x v="0"/>
    <x v="0"/>
    <x v="0"/>
    <x v="11"/>
    <n v="0"/>
    <n v="0"/>
    <n v="2.0369999999999999"/>
    <n v="2.0369999999999999"/>
    <n v="2.0369999999999999"/>
    <n v="2.0369999999999999"/>
    <n v="0"/>
    <x v="1"/>
    <n v="0"/>
    <n v="0"/>
    <n v="55"/>
    <n v="99"/>
    <n v="0"/>
    <n v="260.22000000000003"/>
    <n v="242.82"/>
    <m/>
    <n v="291.48270357443909"/>
    <n v="224.53785920244138"/>
    <n v="0"/>
    <n v="530.06814000000008"/>
    <n v="494.62433999999996"/>
    <n v="0"/>
    <n v="593.75026718113236"/>
    <n v="457.38361919537306"/>
  </r>
  <r>
    <s v="Regular"/>
    <x v="4"/>
    <x v="4"/>
    <x v="1"/>
    <x v="0"/>
    <x v="0"/>
    <x v="0"/>
    <x v="3"/>
    <x v="0"/>
    <n v="0"/>
    <n v="0"/>
    <n v="0.18099999999999999"/>
    <n v="0.18099999999999999"/>
    <n v="0.18099999999999999"/>
    <n v="0.18099999999999999"/>
    <n v="0"/>
    <x v="1"/>
    <n v="0"/>
    <n v="0"/>
    <n v="53"/>
    <n v="98"/>
    <n v="0"/>
    <n v="604.4"/>
    <n v="242.82"/>
    <m/>
    <n v="670.79135403950966"/>
    <n v="224.53785920244138"/>
    <n v="0"/>
    <n v="109.39639999999999"/>
    <n v="43.950419999999994"/>
    <n v="0"/>
    <n v="121.41323508115124"/>
    <n v="40.641352515641891"/>
  </r>
  <r>
    <s v="Regular"/>
    <x v="4"/>
    <x v="4"/>
    <x v="1"/>
    <x v="0"/>
    <x v="0"/>
    <x v="0"/>
    <x v="3"/>
    <x v="1"/>
    <n v="0"/>
    <n v="0"/>
    <n v="0.17499999999999999"/>
    <n v="0.17499999999999999"/>
    <n v="0.17499999999999999"/>
    <n v="0.17499999999999999"/>
    <n v="0"/>
    <x v="1"/>
    <n v="0"/>
    <n v="0"/>
    <n v="53"/>
    <n v="98"/>
    <n v="0"/>
    <n v="604.4"/>
    <n v="242.82"/>
    <m/>
    <n v="670.79135403950966"/>
    <n v="224.53785920244138"/>
    <n v="0"/>
    <n v="105.77"/>
    <n v="42.493499999999997"/>
    <n v="0"/>
    <n v="117.38848695691418"/>
    <n v="39.294125360427238"/>
  </r>
  <r>
    <s v="Regular"/>
    <x v="4"/>
    <x v="4"/>
    <x v="1"/>
    <x v="0"/>
    <x v="0"/>
    <x v="0"/>
    <x v="3"/>
    <x v="2"/>
    <n v="0"/>
    <n v="0"/>
    <n v="0.249"/>
    <n v="0.249"/>
    <n v="0.249"/>
    <n v="0.249"/>
    <n v="0"/>
    <x v="1"/>
    <n v="0"/>
    <n v="0"/>
    <n v="53"/>
    <n v="98"/>
    <n v="0"/>
    <n v="604.4"/>
    <n v="242.82"/>
    <m/>
    <n v="670.79135403950966"/>
    <n v="224.53785920244138"/>
    <n v="0"/>
    <n v="150.4956"/>
    <n v="60.462179999999996"/>
    <n v="0"/>
    <n v="167.02704715583789"/>
    <n v="55.909926941407903"/>
  </r>
  <r>
    <s v="Regular"/>
    <x v="4"/>
    <x v="4"/>
    <x v="1"/>
    <x v="0"/>
    <x v="0"/>
    <x v="0"/>
    <x v="3"/>
    <x v="3"/>
    <n v="0"/>
    <n v="0"/>
    <n v="0.18099999999999999"/>
    <n v="0.18099999999999999"/>
    <n v="0.18099999999999999"/>
    <n v="0.18099999999999999"/>
    <n v="0"/>
    <x v="1"/>
    <n v="0"/>
    <n v="0"/>
    <n v="53"/>
    <n v="98"/>
    <n v="0"/>
    <n v="604.4"/>
    <n v="242.82"/>
    <m/>
    <n v="670.79135403950966"/>
    <n v="224.53785920244138"/>
    <n v="0"/>
    <n v="109.39639999999999"/>
    <n v="43.950419999999994"/>
    <n v="0"/>
    <n v="121.41323508115124"/>
    <n v="40.641352515641891"/>
  </r>
  <r>
    <s v="Regular"/>
    <x v="4"/>
    <x v="4"/>
    <x v="1"/>
    <x v="0"/>
    <x v="0"/>
    <x v="0"/>
    <x v="3"/>
    <x v="4"/>
    <n v="0"/>
    <n v="0"/>
    <n v="0.26200000000000001"/>
    <n v="0.26200000000000001"/>
    <n v="0.26200000000000001"/>
    <n v="0.26200000000000001"/>
    <n v="0"/>
    <x v="1"/>
    <n v="0"/>
    <n v="0"/>
    <n v="53"/>
    <n v="98"/>
    <n v="0"/>
    <n v="604.4"/>
    <n v="242.82"/>
    <m/>
    <n v="670.79135403950966"/>
    <n v="224.53785920244138"/>
    <n v="0"/>
    <n v="158.3528"/>
    <n v="63.618839999999999"/>
    <n v="0"/>
    <n v="175.74733475835154"/>
    <n v="58.828919111039646"/>
  </r>
  <r>
    <s v="Regular"/>
    <x v="4"/>
    <x v="4"/>
    <x v="1"/>
    <x v="0"/>
    <x v="0"/>
    <x v="0"/>
    <x v="3"/>
    <x v="5"/>
    <n v="0"/>
    <n v="0"/>
    <n v="0.123"/>
    <n v="0.123"/>
    <n v="0.123"/>
    <n v="0.123"/>
    <n v="0"/>
    <x v="1"/>
    <n v="0"/>
    <n v="0"/>
    <n v="53"/>
    <n v="98"/>
    <n v="0"/>
    <n v="604.4"/>
    <n v="242.82"/>
    <m/>
    <n v="670.79135403950966"/>
    <n v="224.53785920244138"/>
    <n v="0"/>
    <n v="74.341200000000001"/>
    <n v="29.866859999999999"/>
    <n v="0"/>
    <n v="82.50733654685969"/>
    <n v="27.618156681900288"/>
  </r>
  <r>
    <s v="Sistema de Compensação"/>
    <x v="4"/>
    <x v="4"/>
    <x v="1"/>
    <x v="0"/>
    <x v="0"/>
    <x v="0"/>
    <x v="3"/>
    <x v="5"/>
    <n v="0"/>
    <n v="0"/>
    <n v="5.5E-2"/>
    <n v="5.5E-2"/>
    <n v="5.5E-2"/>
    <n v="5.5E-2"/>
    <n v="0"/>
    <x v="1"/>
    <n v="0"/>
    <n v="0"/>
    <n v="53"/>
    <n v="98"/>
    <n v="0"/>
    <n v="604.4"/>
    <n v="242.82"/>
    <m/>
    <n v="670.79135403950966"/>
    <n v="224.53785920244138"/>
    <n v="0"/>
    <n v="33.241999999999997"/>
    <n v="13.3551"/>
    <n v="0"/>
    <n v="36.893524472173034"/>
    <n v="12.349582256134276"/>
  </r>
  <r>
    <s v="Regular"/>
    <x v="4"/>
    <x v="4"/>
    <x v="1"/>
    <x v="0"/>
    <x v="0"/>
    <x v="0"/>
    <x v="3"/>
    <x v="6"/>
    <n v="0"/>
    <n v="0"/>
    <n v="0.13400000000000001"/>
    <n v="0.13400000000000001"/>
    <n v="0.13400000000000001"/>
    <n v="0.13400000000000001"/>
    <n v="0"/>
    <x v="1"/>
    <n v="0"/>
    <n v="0"/>
    <n v="53"/>
    <n v="98"/>
    <n v="0"/>
    <n v="604.4"/>
    <n v="242.82"/>
    <m/>
    <n v="670.79135403950966"/>
    <n v="224.53785920244138"/>
    <n v="0"/>
    <n v="80.989599999999996"/>
    <n v="32.537880000000001"/>
    <n v="0"/>
    <n v="89.886041441294296"/>
    <n v="30.088073133127146"/>
  </r>
  <r>
    <s v="Regular"/>
    <x v="4"/>
    <x v="4"/>
    <x v="1"/>
    <x v="0"/>
    <x v="0"/>
    <x v="0"/>
    <x v="3"/>
    <x v="7"/>
    <n v="0"/>
    <n v="0"/>
    <n v="0.13400000000000001"/>
    <n v="0.13400000000000001"/>
    <n v="0.13400000000000001"/>
    <n v="0.13400000000000001"/>
    <n v="0"/>
    <x v="1"/>
    <n v="0"/>
    <n v="0"/>
    <n v="53"/>
    <n v="98"/>
    <n v="0"/>
    <n v="604.4"/>
    <n v="242.82"/>
    <m/>
    <n v="670.79135403950966"/>
    <n v="224.53785920244138"/>
    <n v="0"/>
    <n v="80.989599999999996"/>
    <n v="32.537880000000001"/>
    <n v="0"/>
    <n v="89.886041441294296"/>
    <n v="30.088073133127146"/>
  </r>
  <r>
    <s v="Regular"/>
    <x v="4"/>
    <x v="4"/>
    <x v="1"/>
    <x v="0"/>
    <x v="0"/>
    <x v="0"/>
    <x v="3"/>
    <x v="8"/>
    <n v="0"/>
    <n v="0"/>
    <n v="0.128"/>
    <n v="0.128"/>
    <n v="0.128"/>
    <n v="0.128"/>
    <n v="0"/>
    <x v="1"/>
    <n v="0"/>
    <n v="0"/>
    <n v="53"/>
    <n v="98"/>
    <n v="0"/>
    <n v="604.4"/>
    <n v="242.82"/>
    <m/>
    <n v="670.79135403950966"/>
    <n v="224.53785920244138"/>
    <n v="0"/>
    <n v="77.363199999999992"/>
    <n v="31.080960000000001"/>
    <n v="0"/>
    <n v="85.861293317057232"/>
    <n v="28.740845977912496"/>
  </r>
  <r>
    <s v="Regular"/>
    <x v="4"/>
    <x v="4"/>
    <x v="1"/>
    <x v="0"/>
    <x v="0"/>
    <x v="0"/>
    <x v="3"/>
    <x v="9"/>
    <n v="0"/>
    <n v="0"/>
    <n v="0.128"/>
    <n v="0.128"/>
    <n v="0.128"/>
    <n v="0.128"/>
    <n v="0"/>
    <x v="1"/>
    <n v="0"/>
    <n v="0"/>
    <n v="53"/>
    <n v="98"/>
    <n v="0"/>
    <n v="604.4"/>
    <n v="242.82"/>
    <m/>
    <n v="670.79135403950966"/>
    <n v="224.53785920244138"/>
    <n v="0"/>
    <n v="77.363199999999992"/>
    <n v="31.080960000000001"/>
    <n v="0"/>
    <n v="85.861293317057232"/>
    <n v="28.740845977912496"/>
  </r>
  <r>
    <s v="Regular"/>
    <x v="4"/>
    <x v="4"/>
    <x v="1"/>
    <x v="0"/>
    <x v="0"/>
    <x v="0"/>
    <x v="3"/>
    <x v="10"/>
    <n v="0"/>
    <n v="0"/>
    <n v="0.108"/>
    <n v="0.108"/>
    <n v="0.108"/>
    <n v="0.108"/>
    <n v="0"/>
    <x v="1"/>
    <n v="0"/>
    <n v="0"/>
    <n v="53"/>
    <n v="98"/>
    <n v="0"/>
    <n v="604.4"/>
    <n v="242.82"/>
    <m/>
    <n v="670.79135403950966"/>
    <n v="224.53785920244138"/>
    <n v="0"/>
    <n v="65.275199999999998"/>
    <n v="26.22456"/>
    <n v="0"/>
    <n v="72.445466236267038"/>
    <n v="24.250088793863668"/>
  </r>
  <r>
    <s v="PROJETADO"/>
    <x v="4"/>
    <x v="4"/>
    <x v="1"/>
    <x v="0"/>
    <x v="0"/>
    <x v="0"/>
    <x v="3"/>
    <x v="11"/>
    <n v="0"/>
    <n v="0"/>
    <n v="0.108"/>
    <n v="0.108"/>
    <n v="0.108"/>
    <n v="0.108"/>
    <n v="0"/>
    <x v="1"/>
    <n v="0"/>
    <n v="0"/>
    <n v="53"/>
    <n v="98"/>
    <n v="0"/>
    <n v="604.4"/>
    <n v="242.82"/>
    <m/>
    <n v="670.79135403950966"/>
    <n v="224.53785920244138"/>
    <n v="0"/>
    <n v="65.275199999999998"/>
    <n v="26.22456"/>
    <n v="0"/>
    <n v="72.445466236267038"/>
    <n v="24.250088793863668"/>
  </r>
  <r>
    <s v="Regular"/>
    <x v="4"/>
    <x v="4"/>
    <x v="1"/>
    <x v="0"/>
    <x v="0"/>
    <x v="0"/>
    <x v="2"/>
    <x v="0"/>
    <n v="0"/>
    <n v="0"/>
    <n v="0.188"/>
    <n v="0.188"/>
    <n v="0.188"/>
    <n v="0.188"/>
    <n v="0"/>
    <x v="1"/>
    <n v="0"/>
    <n v="0"/>
    <n v="51"/>
    <n v="97"/>
    <n v="0"/>
    <n v="948.58"/>
    <n v="397.62"/>
    <m/>
    <n v="1050.0996886265309"/>
    <n v="351.67159959099928"/>
    <n v="0"/>
    <n v="178.33304000000001"/>
    <n v="74.752560000000003"/>
    <n v="0"/>
    <n v="197.41874146178782"/>
    <n v="66.114260723107861"/>
  </r>
  <r>
    <s v="Regular"/>
    <x v="4"/>
    <x v="4"/>
    <x v="1"/>
    <x v="0"/>
    <x v="0"/>
    <x v="0"/>
    <x v="2"/>
    <x v="1"/>
    <n v="0"/>
    <n v="0"/>
    <n v="0.17599999999999999"/>
    <n v="0.17599999999999999"/>
    <n v="0.17599999999999999"/>
    <n v="0.17599999999999999"/>
    <n v="0"/>
    <x v="1"/>
    <n v="0"/>
    <n v="0"/>
    <n v="51"/>
    <n v="97"/>
    <n v="0"/>
    <n v="948.58"/>
    <n v="397.62"/>
    <m/>
    <n v="1050.0996886265309"/>
    <n v="351.67159959099928"/>
    <n v="0"/>
    <n v="166.95007999999999"/>
    <n v="69.98111999999999"/>
    <n v="0"/>
    <n v="184.81754519826944"/>
    <n v="61.89420152801587"/>
  </r>
  <r>
    <s v="Regular"/>
    <x v="4"/>
    <x v="4"/>
    <x v="1"/>
    <x v="0"/>
    <x v="0"/>
    <x v="0"/>
    <x v="2"/>
    <x v="2"/>
    <n v="0"/>
    <n v="0"/>
    <n v="0.17499999999999999"/>
    <n v="0.17499999999999999"/>
    <n v="0.17499999999999999"/>
    <n v="0.17499999999999999"/>
    <n v="0"/>
    <x v="1"/>
    <n v="0"/>
    <n v="0"/>
    <n v="51"/>
    <n v="97"/>
    <n v="0"/>
    <n v="948.58"/>
    <n v="397.62"/>
    <m/>
    <n v="1050.0996886265309"/>
    <n v="351.67159959099928"/>
    <n v="0"/>
    <n v="166.00149999999999"/>
    <n v="69.583500000000001"/>
    <n v="0"/>
    <n v="183.7674455096429"/>
    <n v="61.542529928424869"/>
  </r>
  <r>
    <s v="Regular"/>
    <x v="4"/>
    <x v="4"/>
    <x v="1"/>
    <x v="0"/>
    <x v="0"/>
    <x v="0"/>
    <x v="2"/>
    <x v="3"/>
    <n v="0"/>
    <n v="0"/>
    <n v="0.14699999999999999"/>
    <n v="0.14699999999999999"/>
    <n v="0.14699999999999999"/>
    <n v="0.14699999999999999"/>
    <n v="0"/>
    <x v="1"/>
    <n v="0"/>
    <n v="0"/>
    <n v="51"/>
    <n v="97"/>
    <n v="0"/>
    <n v="948.58"/>
    <n v="397.62"/>
    <m/>
    <n v="1050.0996886265309"/>
    <n v="351.67159959099928"/>
    <n v="0"/>
    <n v="139.44126"/>
    <n v="58.450139999999998"/>
    <n v="0"/>
    <n v="154.36465422810002"/>
    <n v="51.695725139876892"/>
  </r>
  <r>
    <s v="Regular"/>
    <x v="4"/>
    <x v="4"/>
    <x v="1"/>
    <x v="0"/>
    <x v="0"/>
    <x v="0"/>
    <x v="2"/>
    <x v="4"/>
    <n v="0"/>
    <n v="0"/>
    <n v="0.17899999999999999"/>
    <n v="0.17899999999999999"/>
    <n v="0.17899999999999999"/>
    <n v="0.17899999999999999"/>
    <n v="0"/>
    <x v="1"/>
    <n v="0"/>
    <n v="0"/>
    <n v="51"/>
    <n v="97"/>
    <n v="0"/>
    <n v="948.58"/>
    <n v="397.62"/>
    <m/>
    <n v="1050.0996886265309"/>
    <n v="351.67159959099928"/>
    <n v="0"/>
    <n v="169.79581999999999"/>
    <n v="71.17398"/>
    <n v="0"/>
    <n v="187.96784426414902"/>
    <n v="62.949216326788871"/>
  </r>
  <r>
    <s v="Regular"/>
    <x v="4"/>
    <x v="4"/>
    <x v="1"/>
    <x v="0"/>
    <x v="0"/>
    <x v="0"/>
    <x v="2"/>
    <x v="5"/>
    <n v="0"/>
    <n v="0"/>
    <n v="0.107"/>
    <n v="0.107"/>
    <n v="0.107"/>
    <n v="0.107"/>
    <n v="0"/>
    <x v="1"/>
    <n v="0"/>
    <n v="0"/>
    <n v="51"/>
    <n v="97"/>
    <n v="0"/>
    <n v="948.58"/>
    <n v="397.62"/>
    <m/>
    <n v="1050.0996886265309"/>
    <n v="351.67159959099928"/>
    <n v="0"/>
    <n v="101.49806"/>
    <n v="42.545340000000003"/>
    <n v="0"/>
    <n v="112.3606666830388"/>
    <n v="37.628861156236923"/>
  </r>
  <r>
    <s v="Sistema de Compensação"/>
    <x v="4"/>
    <x v="4"/>
    <x v="1"/>
    <x v="0"/>
    <x v="0"/>
    <x v="0"/>
    <x v="2"/>
    <x v="5"/>
    <n v="0"/>
    <n v="0"/>
    <n v="4.4999999999999998E-2"/>
    <n v="4.4999999999999998E-2"/>
    <n v="4.4999999999999998E-2"/>
    <n v="4.4999999999999998E-2"/>
    <n v="0"/>
    <x v="1"/>
    <n v="0"/>
    <n v="0"/>
    <n v="51"/>
    <n v="97"/>
    <n v="0"/>
    <n v="948.58"/>
    <n v="397.62"/>
    <m/>
    <n v="1050.0996886265309"/>
    <n v="351.67159959099928"/>
    <n v="0"/>
    <n v="42.686100000000003"/>
    <n v="17.892900000000001"/>
    <n v="0"/>
    <n v="47.254485988193892"/>
    <n v="15.825221981594966"/>
  </r>
  <r>
    <s v="Regular"/>
    <x v="4"/>
    <x v="4"/>
    <x v="1"/>
    <x v="0"/>
    <x v="0"/>
    <x v="0"/>
    <x v="2"/>
    <x v="6"/>
    <n v="0"/>
    <n v="0"/>
    <n v="0.105"/>
    <n v="0.105"/>
    <n v="0.105"/>
    <n v="0.105"/>
    <n v="0"/>
    <x v="1"/>
    <n v="0"/>
    <n v="0"/>
    <n v="51"/>
    <n v="97"/>
    <n v="0"/>
    <n v="948.58"/>
    <n v="397.62"/>
    <m/>
    <n v="1050.0996886265309"/>
    <n v="351.67159959099928"/>
    <n v="0"/>
    <n v="99.600899999999996"/>
    <n v="41.750099999999996"/>
    <n v="0"/>
    <n v="110.26046730578574"/>
    <n v="36.925517957054922"/>
  </r>
  <r>
    <s v="Regular"/>
    <x v="4"/>
    <x v="4"/>
    <x v="1"/>
    <x v="0"/>
    <x v="0"/>
    <x v="0"/>
    <x v="2"/>
    <x v="7"/>
    <n v="0"/>
    <n v="0"/>
    <n v="0.13"/>
    <n v="0.13"/>
    <n v="0.13"/>
    <n v="0.13"/>
    <n v="0"/>
    <x v="1"/>
    <n v="0"/>
    <n v="0"/>
    <n v="51"/>
    <n v="97"/>
    <n v="0"/>
    <n v="948.58"/>
    <n v="397.62"/>
    <m/>
    <n v="1050.0996886265309"/>
    <n v="351.67159959099928"/>
    <n v="0"/>
    <n v="123.31540000000001"/>
    <n v="51.690600000000003"/>
    <n v="0"/>
    <n v="136.51295952144903"/>
    <n v="45.717307946829905"/>
  </r>
  <r>
    <s v="Regular"/>
    <x v="4"/>
    <x v="4"/>
    <x v="1"/>
    <x v="0"/>
    <x v="0"/>
    <x v="0"/>
    <x v="2"/>
    <x v="8"/>
    <n v="0"/>
    <n v="0"/>
    <n v="0.11899999999999999"/>
    <n v="0.11899999999999999"/>
    <n v="0.11899999999999999"/>
    <n v="0.11899999999999999"/>
    <n v="0"/>
    <x v="1"/>
    <n v="0"/>
    <n v="0"/>
    <n v="51"/>
    <n v="97"/>
    <n v="0"/>
    <n v="948.58"/>
    <n v="397.62"/>
    <m/>
    <n v="1050.0996886265309"/>
    <n v="351.67159959099928"/>
    <n v="0"/>
    <n v="112.88102000000001"/>
    <n v="47.316780000000001"/>
    <n v="0"/>
    <n v="124.96186294655718"/>
    <n v="41.848920351328914"/>
  </r>
  <r>
    <s v="Regular"/>
    <x v="4"/>
    <x v="4"/>
    <x v="1"/>
    <x v="0"/>
    <x v="0"/>
    <x v="0"/>
    <x v="2"/>
    <x v="9"/>
    <n v="0"/>
    <n v="0"/>
    <n v="0.11799999999999999"/>
    <n v="0.11799999999999999"/>
    <n v="0.11799999999999999"/>
    <n v="0.11799999999999999"/>
    <n v="0"/>
    <x v="1"/>
    <n v="0"/>
    <n v="0"/>
    <n v="51"/>
    <n v="97"/>
    <n v="0"/>
    <n v="948.58"/>
    <n v="397.62"/>
    <m/>
    <n v="1050.0996886265309"/>
    <n v="351.67159959099928"/>
    <n v="0"/>
    <n v="111.93244"/>
    <n v="46.919159999999998"/>
    <n v="0"/>
    <n v="123.91176325793064"/>
    <n v="41.497248751737914"/>
  </r>
  <r>
    <s v="Regular"/>
    <x v="4"/>
    <x v="4"/>
    <x v="1"/>
    <x v="0"/>
    <x v="0"/>
    <x v="0"/>
    <x v="2"/>
    <x v="10"/>
    <n v="0"/>
    <n v="0"/>
    <n v="9.7000000000000003E-2"/>
    <n v="9.7000000000000003E-2"/>
    <n v="9.7000000000000003E-2"/>
    <n v="9.7000000000000003E-2"/>
    <n v="0"/>
    <x v="1"/>
    <n v="0"/>
    <n v="0"/>
    <n v="51"/>
    <n v="97"/>
    <n v="0"/>
    <n v="948.58"/>
    <n v="397.62"/>
    <m/>
    <n v="1050.0996886265309"/>
    <n v="351.67159959099928"/>
    <n v="0"/>
    <n v="92.012260000000012"/>
    <n v="38.569140000000004"/>
    <n v="0"/>
    <n v="101.8596697967735"/>
    <n v="34.112145160326932"/>
  </r>
  <r>
    <s v="PROJETADO"/>
    <x v="4"/>
    <x v="4"/>
    <x v="1"/>
    <x v="0"/>
    <x v="0"/>
    <x v="0"/>
    <x v="2"/>
    <x v="11"/>
    <n v="0"/>
    <n v="0"/>
    <n v="9.7000000000000003E-2"/>
    <n v="9.7000000000000003E-2"/>
    <n v="9.7000000000000003E-2"/>
    <n v="9.7000000000000003E-2"/>
    <n v="0"/>
    <x v="1"/>
    <n v="0"/>
    <n v="0"/>
    <n v="51"/>
    <n v="97"/>
    <n v="0"/>
    <n v="948.58"/>
    <n v="397.62"/>
    <m/>
    <n v="1050.0996886265309"/>
    <n v="351.67159959099928"/>
    <n v="0"/>
    <n v="92.012260000000012"/>
    <n v="38.569140000000004"/>
    <n v="0"/>
    <n v="101.8596697967735"/>
    <n v="34.112145160326932"/>
  </r>
  <r>
    <s v="Regular"/>
    <x v="4"/>
    <x v="5"/>
    <x v="0"/>
    <x v="0"/>
    <x v="0"/>
    <x v="0"/>
    <x v="1"/>
    <x v="0"/>
    <n v="0"/>
    <n v="0"/>
    <n v="34189.052000000003"/>
    <n v="34189.052000000003"/>
    <n v="34189.052000000003"/>
    <n v="34189.052000000003"/>
    <n v="91261"/>
    <x v="1"/>
    <n v="0"/>
    <n v="0"/>
    <n v="57"/>
    <n v="100"/>
    <n v="0"/>
    <n v="341.2"/>
    <n v="255.72"/>
    <m/>
    <n v="380.73191596325307"/>
    <n v="235.13233756815453"/>
    <n v="0"/>
    <n v="11665304.542400001"/>
    <n v="8742824.37744"/>
    <n v="0"/>
    <n v="13016863.27292729"/>
    <n v="8038951.7159991898"/>
  </r>
  <r>
    <s v="Refaturamento - Regular"/>
    <x v="4"/>
    <x v="5"/>
    <x v="0"/>
    <x v="0"/>
    <x v="0"/>
    <x v="0"/>
    <x v="1"/>
    <x v="0"/>
    <n v="0"/>
    <n v="0"/>
    <n v="-259.55200000000002"/>
    <n v="-259.55200000000002"/>
    <n v="-259.55200000000002"/>
    <n v="-259.55200000000002"/>
    <n v="-176"/>
    <x v="1"/>
    <n v="0"/>
    <n v="0"/>
    <n v="57"/>
    <n v="100"/>
    <n v="0"/>
    <n v="341.2"/>
    <n v="255.72"/>
    <m/>
    <n v="380.73191596325307"/>
    <n v="235.13233756815453"/>
    <n v="0"/>
    <n v="-88559.142399999997"/>
    <n v="-66372.637440000006"/>
    <n v="0"/>
    <n v="-98819.730252094276"/>
    <n v="-61029.068480489652"/>
  </r>
  <r>
    <s v="Sistema de Compensação"/>
    <x v="4"/>
    <x v="5"/>
    <x v="0"/>
    <x v="0"/>
    <x v="0"/>
    <x v="0"/>
    <x v="1"/>
    <x v="0"/>
    <n v="0"/>
    <n v="0"/>
    <n v="2558.7779999999998"/>
    <n v="2558.7779999999998"/>
    <n v="2558.7779999999998"/>
    <n v="2558.7779999999998"/>
    <n v="4457"/>
    <x v="1"/>
    <n v="0"/>
    <n v="0"/>
    <n v="57"/>
    <n v="100"/>
    <n v="0"/>
    <n v="341.2"/>
    <n v="255.72"/>
    <m/>
    <n v="380.73191596325307"/>
    <n v="235.13233756815453"/>
    <n v="0"/>
    <n v="873055.05359999987"/>
    <n v="654330.7101599999"/>
    <n v="0"/>
    <n v="974208.45046462072"/>
    <n v="601651.45245796721"/>
  </r>
  <r>
    <s v="Sistema de Compensação"/>
    <x v="4"/>
    <x v="5"/>
    <x v="0"/>
    <x v="0"/>
    <x v="0"/>
    <x v="0"/>
    <x v="1"/>
    <x v="0"/>
    <n v="0"/>
    <n v="0"/>
    <n v="-3.19"/>
    <n v="-3.19"/>
    <n v="-3.19"/>
    <n v="-3.19"/>
    <n v="0"/>
    <x v="1"/>
    <n v="0"/>
    <n v="0"/>
    <n v="57"/>
    <n v="100"/>
    <n v="0"/>
    <n v="341.2"/>
    <n v="255.72"/>
    <m/>
    <n v="380.73191596325307"/>
    <n v="235.13233756815453"/>
    <n v="0"/>
    <n v="-1088.4279999999999"/>
    <n v="-815.74680000000001"/>
    <n v="0"/>
    <n v="-1214.5348119227772"/>
    <n v="-750.07215684241294"/>
  </r>
  <r>
    <s v="Regular"/>
    <x v="4"/>
    <x v="5"/>
    <x v="0"/>
    <x v="0"/>
    <x v="0"/>
    <x v="0"/>
    <x v="1"/>
    <x v="1"/>
    <n v="0"/>
    <n v="0"/>
    <n v="34240.18"/>
    <n v="34240.18"/>
    <n v="34240.18"/>
    <n v="34240.18"/>
    <n v="91044"/>
    <x v="1"/>
    <n v="0"/>
    <n v="0"/>
    <n v="57"/>
    <n v="100"/>
    <n v="0"/>
    <n v="341.2"/>
    <n v="255.72"/>
    <m/>
    <n v="380.73191596325307"/>
    <n v="235.13233756815453"/>
    <n v="0"/>
    <n v="11682749.415999999"/>
    <n v="8755898.8296000008"/>
    <n v="0"/>
    <n v="13036329.334326658"/>
    <n v="8050973.5621543732"/>
  </r>
  <r>
    <s v="Refaturamento - Regular"/>
    <x v="4"/>
    <x v="5"/>
    <x v="0"/>
    <x v="0"/>
    <x v="0"/>
    <x v="0"/>
    <x v="1"/>
    <x v="1"/>
    <n v="0"/>
    <n v="0"/>
    <n v="-59.813000000000002"/>
    <n v="-59.813000000000002"/>
    <n v="-59.813000000000002"/>
    <n v="-59.813000000000002"/>
    <n v="-8"/>
    <x v="1"/>
    <n v="0"/>
    <n v="0"/>
    <n v="57"/>
    <n v="100"/>
    <n v="0"/>
    <n v="341.2"/>
    <n v="255.72"/>
    <m/>
    <n v="380.73191596325307"/>
    <n v="235.13233756815453"/>
    <n v="0"/>
    <n v="-20408.195599999999"/>
    <n v="-15295.380360000001"/>
    <n v="0"/>
    <n v="-22772.718089510057"/>
    <n v="-14063.970506964028"/>
  </r>
  <r>
    <s v="Sistema de Compensação"/>
    <x v="4"/>
    <x v="5"/>
    <x v="0"/>
    <x v="0"/>
    <x v="0"/>
    <x v="0"/>
    <x v="1"/>
    <x v="1"/>
    <n v="0"/>
    <n v="0"/>
    <n v="2498.384"/>
    <n v="2498.384"/>
    <n v="2498.384"/>
    <n v="2498.384"/>
    <n v="4728"/>
    <x v="1"/>
    <n v="0"/>
    <n v="0"/>
    <n v="57"/>
    <n v="100"/>
    <n v="0"/>
    <n v="341.2"/>
    <n v="255.72"/>
    <m/>
    <n v="380.73191596325307"/>
    <n v="235.13233756815453"/>
    <n v="0"/>
    <n v="852448.62080000003"/>
    <n v="638886.75647999998"/>
    <n v="0"/>
    <n v="951214.52713193605"/>
    <n v="587450.87006287614"/>
  </r>
  <r>
    <s v="Sistema de Compensação"/>
    <x v="4"/>
    <x v="5"/>
    <x v="0"/>
    <x v="0"/>
    <x v="0"/>
    <x v="0"/>
    <x v="1"/>
    <x v="1"/>
    <n v="0"/>
    <n v="0"/>
    <n v="-1.3560000000000001"/>
    <n v="-1.3560000000000001"/>
    <n v="-1.3560000000000001"/>
    <n v="-1.3560000000000001"/>
    <n v="0"/>
    <x v="1"/>
    <n v="0"/>
    <n v="0"/>
    <n v="57"/>
    <n v="100"/>
    <n v="0"/>
    <n v="341.2"/>
    <n v="255.72"/>
    <m/>
    <n v="380.73191596325307"/>
    <n v="235.13233756815453"/>
    <n v="0"/>
    <n v="-462.66720000000004"/>
    <n v="-346.75632000000002"/>
    <n v="0"/>
    <n v="-516.27247804617116"/>
    <n v="-318.83944974241757"/>
  </r>
  <r>
    <s v="Regular"/>
    <x v="4"/>
    <x v="5"/>
    <x v="0"/>
    <x v="0"/>
    <x v="0"/>
    <x v="0"/>
    <x v="1"/>
    <x v="2"/>
    <n v="0"/>
    <n v="0"/>
    <n v="36126.531999999999"/>
    <n v="36126.531999999999"/>
    <n v="36126.531999999999"/>
    <n v="36126.531999999999"/>
    <n v="91021"/>
    <x v="1"/>
    <n v="0"/>
    <n v="0"/>
    <n v="57"/>
    <n v="100"/>
    <n v="0"/>
    <n v="341.2"/>
    <n v="255.72"/>
    <m/>
    <n v="380.73191596325307"/>
    <n v="235.13233756815453"/>
    <n v="0"/>
    <n v="12326372.7184"/>
    <n v="9238276.7630400006"/>
    <n v="0"/>
    <n v="13754523.745467773"/>
    <n v="8494515.9173907358"/>
  </r>
  <r>
    <s v="Refaturamento - Regular"/>
    <x v="4"/>
    <x v="5"/>
    <x v="0"/>
    <x v="0"/>
    <x v="0"/>
    <x v="0"/>
    <x v="1"/>
    <x v="2"/>
    <n v="0"/>
    <n v="0"/>
    <n v="-6.7889999999999997"/>
    <n v="-6.7889999999999997"/>
    <n v="-6.7889999999999997"/>
    <n v="-6.7889999999999997"/>
    <n v="-8"/>
    <x v="1"/>
    <n v="0"/>
    <n v="0"/>
    <n v="57"/>
    <n v="100"/>
    <n v="0"/>
    <n v="341.2"/>
    <n v="255.72"/>
    <m/>
    <n v="380.73191596325307"/>
    <n v="235.13233756815453"/>
    <n v="0"/>
    <n v="-2316.4067999999997"/>
    <n v="-1736.0830799999999"/>
    <n v="0"/>
    <n v="-2584.7889774745249"/>
    <n v="-1596.313439750201"/>
  </r>
  <r>
    <s v="Sistema de Compensação"/>
    <x v="4"/>
    <x v="5"/>
    <x v="0"/>
    <x v="0"/>
    <x v="0"/>
    <x v="0"/>
    <x v="1"/>
    <x v="2"/>
    <n v="0"/>
    <n v="0"/>
    <n v="2660.076"/>
    <n v="2660.076"/>
    <n v="2660.076"/>
    <n v="2660.076"/>
    <n v="4974"/>
    <x v="1"/>
    <n v="0"/>
    <n v="0"/>
    <n v="57"/>
    <n v="100"/>
    <n v="0"/>
    <n v="341.2"/>
    <n v="255.72"/>
    <m/>
    <n v="380.73191596325307"/>
    <n v="235.13233756815453"/>
    <n v="0"/>
    <n v="907617.93119999999"/>
    <n v="680234.63471999997"/>
    <n v="0"/>
    <n v="1012775.8320878664"/>
    <n v="625469.88798894617"/>
  </r>
  <r>
    <s v="Sistema de Compensação"/>
    <x v="4"/>
    <x v="5"/>
    <x v="0"/>
    <x v="0"/>
    <x v="0"/>
    <x v="0"/>
    <x v="1"/>
    <x v="2"/>
    <n v="0"/>
    <n v="0"/>
    <n v="-100.13"/>
    <n v="-100.13"/>
    <n v="-100.13"/>
    <n v="-100.13"/>
    <n v="-1"/>
    <x v="1"/>
    <n v="0"/>
    <n v="0"/>
    <n v="57"/>
    <n v="100"/>
    <n v="0"/>
    <n v="341.2"/>
    <n v="255.72"/>
    <m/>
    <n v="380.73191596325307"/>
    <n v="235.13233756815453"/>
    <n v="0"/>
    <n v="-34164.356"/>
    <n v="-25605.243599999998"/>
    <n v="0"/>
    <n v="-38122.686745400526"/>
    <n v="-23543.800960699311"/>
  </r>
  <r>
    <s v="Regular"/>
    <x v="4"/>
    <x v="5"/>
    <x v="0"/>
    <x v="0"/>
    <x v="0"/>
    <x v="0"/>
    <x v="1"/>
    <x v="3"/>
    <n v="0"/>
    <n v="0"/>
    <n v="36073.413"/>
    <n v="36073.413"/>
    <n v="36073.413"/>
    <n v="36073.413"/>
    <n v="90778"/>
    <x v="1"/>
    <n v="0"/>
    <n v="0"/>
    <n v="57"/>
    <n v="100"/>
    <n v="0"/>
    <n v="341.2"/>
    <n v="255.72"/>
    <m/>
    <n v="380.73191596325307"/>
    <n v="235.13233756815453"/>
    <n v="0"/>
    <n v="12308248.5156"/>
    <n v="9224693.1723599993"/>
    <n v="0"/>
    <n v="13734299.646823721"/>
    <n v="8482025.9227514546"/>
  </r>
  <r>
    <s v="Refaturamento - Regular"/>
    <x v="4"/>
    <x v="5"/>
    <x v="0"/>
    <x v="0"/>
    <x v="0"/>
    <x v="0"/>
    <x v="1"/>
    <x v="3"/>
    <n v="0"/>
    <n v="0"/>
    <n v="-76.182000000000002"/>
    <n v="-76.182000000000002"/>
    <n v="-76.182000000000002"/>
    <n v="-76.182000000000002"/>
    <n v="-6"/>
    <x v="1"/>
    <n v="0"/>
    <n v="0"/>
    <n v="57"/>
    <n v="100"/>
    <n v="0"/>
    <n v="341.2"/>
    <n v="255.72"/>
    <m/>
    <n v="380.73191596325307"/>
    <n v="235.13233756815453"/>
    <n v="0"/>
    <n v="-25993.2984"/>
    <n v="-19481.261040000001"/>
    <n v="0"/>
    <n v="-29004.918821912546"/>
    <n v="-17912.851740617149"/>
  </r>
  <r>
    <s v="Sistema de Compensação"/>
    <x v="4"/>
    <x v="5"/>
    <x v="0"/>
    <x v="0"/>
    <x v="0"/>
    <x v="0"/>
    <x v="1"/>
    <x v="3"/>
    <n v="0"/>
    <n v="0"/>
    <n v="2904.2550000000001"/>
    <n v="2904.2550000000001"/>
    <n v="2904.2550000000001"/>
    <n v="2904.2550000000001"/>
    <n v="5183"/>
    <x v="1"/>
    <n v="0"/>
    <n v="0"/>
    <n v="57"/>
    <n v="100"/>
    <n v="0"/>
    <n v="341.2"/>
    <n v="255.72"/>
    <m/>
    <n v="380.73191596325307"/>
    <n v="235.13233756815453"/>
    <n v="0"/>
    <n v="990931.80599999998"/>
    <n v="742676.08860000002"/>
    <n v="0"/>
    <n v="1105742.5705958577"/>
    <n v="682884.26704400068"/>
  </r>
  <r>
    <s v="Sistema de Compensação"/>
    <x v="4"/>
    <x v="5"/>
    <x v="0"/>
    <x v="0"/>
    <x v="0"/>
    <x v="0"/>
    <x v="1"/>
    <x v="3"/>
    <n v="0"/>
    <n v="0"/>
    <n v="-15.951000000000001"/>
    <n v="-15.951000000000001"/>
    <n v="-15.951000000000001"/>
    <n v="-15.951000000000001"/>
    <n v="0"/>
    <x v="1"/>
    <n v="0"/>
    <n v="0"/>
    <n v="57"/>
    <n v="100"/>
    <n v="0"/>
    <n v="341.2"/>
    <n v="255.72"/>
    <m/>
    <n v="380.73191596325307"/>
    <n v="235.13233756815453"/>
    <n v="0"/>
    <n v="-5442.4812000000002"/>
    <n v="-4078.98972"/>
    <n v="0"/>
    <n v="-6073.0547915298503"/>
    <n v="-3750.5959165496329"/>
  </r>
  <r>
    <s v="Regular"/>
    <x v="4"/>
    <x v="5"/>
    <x v="0"/>
    <x v="0"/>
    <x v="0"/>
    <x v="0"/>
    <x v="1"/>
    <x v="4"/>
    <n v="0"/>
    <n v="0"/>
    <n v="40202.006000000001"/>
    <n v="40202.006000000001"/>
    <n v="40202.006000000001"/>
    <n v="40202.006000000001"/>
    <n v="90715"/>
    <x v="1"/>
    <n v="0"/>
    <n v="0"/>
    <n v="57"/>
    <n v="100"/>
    <n v="0"/>
    <n v="341.2"/>
    <n v="255.72"/>
    <m/>
    <n v="380.73191596325307"/>
    <n v="235.13233756815453"/>
    <n v="0"/>
    <n v="13716924.4472"/>
    <n v="10280456.97432"/>
    <n v="0"/>
    <n v="15306186.769946197"/>
    <n v="9452791.6457089745"/>
  </r>
  <r>
    <s v="Refaturamento - Regular"/>
    <x v="4"/>
    <x v="5"/>
    <x v="0"/>
    <x v="0"/>
    <x v="0"/>
    <x v="0"/>
    <x v="1"/>
    <x v="4"/>
    <n v="0"/>
    <n v="0"/>
    <n v="-409.31400000000002"/>
    <n v="-409.31400000000002"/>
    <n v="-409.31400000000002"/>
    <n v="-409.31400000000002"/>
    <n v="-21"/>
    <x v="1"/>
    <n v="0"/>
    <n v="0"/>
    <n v="57"/>
    <n v="100"/>
    <n v="0"/>
    <n v="341.2"/>
    <n v="255.72"/>
    <m/>
    <n v="380.73191596325307"/>
    <n v="235.13233756815453"/>
    <n v="0"/>
    <n v="-139657.9368"/>
    <n v="-104669.77608000001"/>
    <n v="0"/>
    <n v="-155838.90345058296"/>
    <n v="-96242.957619371606"/>
  </r>
  <r>
    <s v="Sistema de Compensação"/>
    <x v="4"/>
    <x v="5"/>
    <x v="0"/>
    <x v="0"/>
    <x v="0"/>
    <x v="0"/>
    <x v="1"/>
    <x v="4"/>
    <n v="0"/>
    <n v="0"/>
    <n v="3538.9639999999999"/>
    <n v="3538.9639999999999"/>
    <n v="3538.9639999999999"/>
    <n v="3538.9639999999999"/>
    <n v="5410"/>
    <x v="1"/>
    <n v="0"/>
    <n v="0"/>
    <n v="57"/>
    <n v="100"/>
    <n v="0"/>
    <n v="341.2"/>
    <n v="255.72"/>
    <m/>
    <n v="380.73191596325307"/>
    <n v="235.13233756815453"/>
    <n v="0"/>
    <n v="1207494.5167999999"/>
    <n v="904983.87407999998"/>
    <n v="0"/>
    <n v="1347396.5442449779"/>
    <n v="832124.87788954645"/>
  </r>
  <r>
    <s v="Sistema de Compensação"/>
    <x v="4"/>
    <x v="5"/>
    <x v="0"/>
    <x v="0"/>
    <x v="0"/>
    <x v="0"/>
    <x v="1"/>
    <x v="4"/>
    <n v="0"/>
    <n v="0"/>
    <n v="-8.1750000000000007"/>
    <n v="-8.1750000000000007"/>
    <n v="-8.1750000000000007"/>
    <n v="-8.1750000000000007"/>
    <n v="0"/>
    <x v="1"/>
    <n v="0"/>
    <n v="0"/>
    <n v="57"/>
    <n v="100"/>
    <n v="0"/>
    <n v="341.2"/>
    <n v="255.72"/>
    <m/>
    <n v="380.73191596325307"/>
    <n v="235.13233756815453"/>
    <n v="0"/>
    <n v="-2789.31"/>
    <n v="-2090.511"/>
    <n v="0"/>
    <n v="-3112.4834129995943"/>
    <n v="-1922.2068596196634"/>
  </r>
  <r>
    <s v="Regular"/>
    <x v="4"/>
    <x v="5"/>
    <x v="0"/>
    <x v="0"/>
    <x v="0"/>
    <x v="0"/>
    <x v="1"/>
    <x v="5"/>
    <n v="0"/>
    <n v="0"/>
    <n v="36226.080999999998"/>
    <n v="36226.080999999998"/>
    <n v="36226.080999999998"/>
    <n v="36226.080999999998"/>
    <n v="90608"/>
    <x v="1"/>
    <n v="0"/>
    <n v="0"/>
    <n v="57"/>
    <n v="100"/>
    <n v="0"/>
    <n v="341.2"/>
    <n v="255.72"/>
    <m/>
    <n v="380.73191596325307"/>
    <n v="235.13233756815453"/>
    <n v="0"/>
    <n v="12360338.837199999"/>
    <n v="9263733.4333199989"/>
    <n v="0"/>
    <n v="13792425.226969998"/>
    <n v="8517923.1064633094"/>
  </r>
  <r>
    <s v="Refaturamento - Regular"/>
    <x v="4"/>
    <x v="5"/>
    <x v="0"/>
    <x v="0"/>
    <x v="0"/>
    <x v="0"/>
    <x v="1"/>
    <x v="5"/>
    <n v="0"/>
    <n v="0"/>
    <n v="-91.701999999999998"/>
    <n v="-91.701999999999998"/>
    <n v="-91.701999999999998"/>
    <n v="-91.701999999999998"/>
    <n v="-12"/>
    <x v="1"/>
    <n v="0"/>
    <n v="0"/>
    <n v="57"/>
    <n v="100"/>
    <n v="0"/>
    <n v="341.2"/>
    <n v="255.72"/>
    <m/>
    <n v="380.73191596325307"/>
    <n v="235.13233756815453"/>
    <n v="0"/>
    <n v="-31288.722399999999"/>
    <n v="-23450.03544"/>
    <n v="0"/>
    <n v="-34913.878157662235"/>
    <n v="-21562.105619674905"/>
  </r>
  <r>
    <s v="Sistema de Compensação"/>
    <x v="4"/>
    <x v="5"/>
    <x v="0"/>
    <x v="0"/>
    <x v="0"/>
    <x v="0"/>
    <x v="1"/>
    <x v="5"/>
    <n v="0"/>
    <n v="0"/>
    <n v="3428.2570000000001"/>
    <n v="3428.2570000000001"/>
    <n v="3428.2570000000001"/>
    <n v="3428.2570000000001"/>
    <n v="5633"/>
    <x v="1"/>
    <n v="0"/>
    <n v="0"/>
    <n v="57"/>
    <n v="100"/>
    <n v="0"/>
    <n v="341.2"/>
    <n v="255.72"/>
    <m/>
    <n v="380.73191596325307"/>
    <n v="235.13233756815453"/>
    <n v="0"/>
    <n v="1169721.2884"/>
    <n v="876673.88003999996"/>
    <n v="0"/>
    <n v="1305246.8560244341"/>
    <n v="806094.08219438873"/>
  </r>
  <r>
    <s v="Sistema de Compensação"/>
    <x v="4"/>
    <x v="5"/>
    <x v="0"/>
    <x v="0"/>
    <x v="0"/>
    <x v="0"/>
    <x v="1"/>
    <x v="5"/>
    <n v="0"/>
    <n v="0"/>
    <n v="-7.8280000000000003"/>
    <n v="-7.8280000000000003"/>
    <n v="-7.8280000000000003"/>
    <n v="-7.8280000000000003"/>
    <n v="4"/>
    <x v="1"/>
    <n v="0"/>
    <n v="0"/>
    <n v="57"/>
    <n v="100"/>
    <n v="0"/>
    <n v="341.2"/>
    <n v="255.72"/>
    <m/>
    <n v="380.73191596325307"/>
    <n v="235.13233756815453"/>
    <n v="0"/>
    <n v="-2670.9135999999999"/>
    <n v="-2001.7761600000001"/>
    <n v="0"/>
    <n v="-2980.369438160345"/>
    <n v="-1840.6159384835137"/>
  </r>
  <r>
    <s v="Regular"/>
    <x v="4"/>
    <x v="5"/>
    <x v="0"/>
    <x v="0"/>
    <x v="0"/>
    <x v="0"/>
    <x v="1"/>
    <x v="6"/>
    <n v="0"/>
    <n v="0"/>
    <n v="33556.271999999997"/>
    <n v="33556.271999999997"/>
    <n v="33556.271999999997"/>
    <n v="33556.271999999997"/>
    <n v="90388"/>
    <x v="1"/>
    <n v="0"/>
    <n v="0"/>
    <n v="57"/>
    <n v="100"/>
    <n v="0"/>
    <n v="341.2"/>
    <n v="255.72"/>
    <m/>
    <n v="380.73191596325307"/>
    <n v="235.13233756815453"/>
    <n v="0"/>
    <n v="11449400.006399998"/>
    <n v="8581009.8758399989"/>
    <n v="0"/>
    <n v="12775943.731144061"/>
    <n v="7890164.6754328115"/>
  </r>
  <r>
    <s v="Refaturamento - Regular"/>
    <x v="4"/>
    <x v="5"/>
    <x v="0"/>
    <x v="0"/>
    <x v="0"/>
    <x v="0"/>
    <x v="1"/>
    <x v="6"/>
    <n v="0"/>
    <n v="0"/>
    <n v="-61.463000000000001"/>
    <n v="-61.463000000000001"/>
    <n v="-61.463000000000001"/>
    <n v="-61.463000000000001"/>
    <n v="-19"/>
    <x v="1"/>
    <n v="0"/>
    <n v="0"/>
    <n v="57"/>
    <n v="100"/>
    <n v="0"/>
    <n v="341.2"/>
    <n v="255.72"/>
    <m/>
    <n v="380.73191596325307"/>
    <n v="235.13233756815453"/>
    <n v="0"/>
    <n v="-20971.175599999999"/>
    <n v="-15717.318359999999"/>
    <n v="0"/>
    <n v="-23400.925750849423"/>
    <n v="-14451.938863951482"/>
  </r>
  <r>
    <s v="Sistema de Compensação"/>
    <x v="4"/>
    <x v="5"/>
    <x v="0"/>
    <x v="0"/>
    <x v="0"/>
    <x v="0"/>
    <x v="1"/>
    <x v="6"/>
    <n v="0"/>
    <n v="0"/>
    <n v="2999.241"/>
    <n v="2999.241"/>
    <n v="2999.241"/>
    <n v="2999.241"/>
    <n v="5832"/>
    <x v="1"/>
    <n v="0"/>
    <n v="0"/>
    <n v="57"/>
    <n v="100"/>
    <n v="0"/>
    <n v="341.2"/>
    <n v="255.72"/>
    <m/>
    <n v="380.73191596325307"/>
    <n v="235.13233756815453"/>
    <n v="0"/>
    <n v="1023341.0292"/>
    <n v="766965.90851999994"/>
    <n v="0"/>
    <n v="1141906.7723655431"/>
    <n v="705218.54726024938"/>
  </r>
  <r>
    <s v="Sistema de Compensação"/>
    <x v="4"/>
    <x v="5"/>
    <x v="0"/>
    <x v="0"/>
    <x v="0"/>
    <x v="0"/>
    <x v="1"/>
    <x v="6"/>
    <n v="0"/>
    <n v="0"/>
    <n v="-50.493000000000002"/>
    <n v="-50.493000000000002"/>
    <n v="-50.493000000000002"/>
    <n v="-50.493000000000002"/>
    <n v="0"/>
    <x v="1"/>
    <n v="0"/>
    <n v="0"/>
    <n v="57"/>
    <n v="100"/>
    <n v="0"/>
    <n v="341.2"/>
    <n v="255.72"/>
    <m/>
    <n v="380.73191596325307"/>
    <n v="235.13233756815453"/>
    <n v="0"/>
    <n v="-17228.211599999999"/>
    <n v="-12912.069960000001"/>
    <n v="0"/>
    <n v="-19224.296632732538"/>
    <n v="-11872.537120828827"/>
  </r>
  <r>
    <s v="Regular"/>
    <x v="4"/>
    <x v="5"/>
    <x v="0"/>
    <x v="0"/>
    <x v="0"/>
    <x v="0"/>
    <x v="1"/>
    <x v="7"/>
    <n v="0"/>
    <n v="0"/>
    <n v="37328.614999999998"/>
    <n v="37328.614999999998"/>
    <n v="37328.614999999998"/>
    <n v="37328.614999999998"/>
    <n v="90242"/>
    <x v="1"/>
    <n v="0"/>
    <n v="0"/>
    <n v="57"/>
    <n v="100"/>
    <n v="0"/>
    <n v="341.2"/>
    <n v="255.72"/>
    <m/>
    <n v="380.73191596325307"/>
    <n v="235.13233756815453"/>
    <n v="0"/>
    <n v="12736523.437999999"/>
    <n v="9545673.4277999997"/>
    <n v="0"/>
    <n v="14212195.109204628"/>
    <n v="8777164.5031316765"/>
  </r>
  <r>
    <s v="Refaturamento - Regular"/>
    <x v="4"/>
    <x v="5"/>
    <x v="0"/>
    <x v="0"/>
    <x v="0"/>
    <x v="0"/>
    <x v="1"/>
    <x v="7"/>
    <n v="0"/>
    <n v="0"/>
    <n v="-89.510999999999996"/>
    <n v="-89.510999999999996"/>
    <n v="-89.510999999999996"/>
    <n v="-89.510999999999996"/>
    <n v="-26"/>
    <x v="1"/>
    <n v="0"/>
    <n v="0"/>
    <n v="57"/>
    <n v="100"/>
    <n v="0"/>
    <n v="341.2"/>
    <n v="255.72"/>
    <m/>
    <n v="380.73191596325307"/>
    <n v="235.13233756815453"/>
    <n v="0"/>
    <n v="-30541.153199999997"/>
    <n v="-22889.752919999999"/>
    <n v="0"/>
    <n v="-34079.694529786742"/>
    <n v="-21046.93066806308"/>
  </r>
  <r>
    <s v="Sistema de Compensação"/>
    <x v="4"/>
    <x v="5"/>
    <x v="0"/>
    <x v="0"/>
    <x v="0"/>
    <x v="0"/>
    <x v="1"/>
    <x v="7"/>
    <n v="0"/>
    <n v="0"/>
    <n v="3973.3649999999998"/>
    <n v="3973.3649999999998"/>
    <n v="3973.3649999999998"/>
    <n v="3973.3649999999998"/>
    <n v="6348"/>
    <x v="1"/>
    <n v="0"/>
    <n v="0"/>
    <n v="57"/>
    <n v="100"/>
    <n v="0"/>
    <n v="341.2"/>
    <n v="255.72"/>
    <m/>
    <n v="380.73191596325307"/>
    <n v="235.13233756815453"/>
    <n v="0"/>
    <n v="1355712.1379999998"/>
    <n v="1016068.8977999999"/>
    <n v="0"/>
    <n v="1512786.869271331"/>
    <n v="934266.60046149022"/>
  </r>
  <r>
    <s v="Sistema de Compensação"/>
    <x v="4"/>
    <x v="5"/>
    <x v="0"/>
    <x v="0"/>
    <x v="0"/>
    <x v="0"/>
    <x v="1"/>
    <x v="7"/>
    <n v="0"/>
    <n v="0"/>
    <n v="2.6909999999999998"/>
    <n v="2.6909999999999998"/>
    <n v="2.6909999999999998"/>
    <n v="2.6909999999999998"/>
    <n v="0"/>
    <x v="1"/>
    <n v="0"/>
    <n v="0"/>
    <n v="57"/>
    <n v="100"/>
    <n v="0"/>
    <n v="341.2"/>
    <n v="255.72"/>
    <m/>
    <n v="380.73191596325307"/>
    <n v="235.13233756815453"/>
    <n v="0"/>
    <n v="918.16919999999993"/>
    <n v="688.14251999999999"/>
    <n v="0"/>
    <n v="1024.5495858571139"/>
    <n v="632.74112039590375"/>
  </r>
  <r>
    <s v="Regular"/>
    <x v="4"/>
    <x v="5"/>
    <x v="0"/>
    <x v="0"/>
    <x v="0"/>
    <x v="0"/>
    <x v="1"/>
    <x v="8"/>
    <n v="0"/>
    <n v="0"/>
    <n v="35570.968000000001"/>
    <n v="35570.968000000001"/>
    <n v="35570.968000000001"/>
    <n v="35570.968000000001"/>
    <n v="90147"/>
    <x v="1"/>
    <n v="0"/>
    <n v="0"/>
    <n v="57"/>
    <n v="100"/>
    <n v="0"/>
    <n v="341.2"/>
    <n v="255.72"/>
    <m/>
    <n v="380.73191596325307"/>
    <n v="235.13233756815453"/>
    <n v="0"/>
    <n v="12136814.2816"/>
    <n v="9096207.9369600005"/>
    <n v="0"/>
    <n v="13543002.799307564"/>
    <n v="8363884.8554020226"/>
  </r>
  <r>
    <s v="Refaturamento - Regular"/>
    <x v="4"/>
    <x v="5"/>
    <x v="0"/>
    <x v="0"/>
    <x v="0"/>
    <x v="0"/>
    <x v="1"/>
    <x v="8"/>
    <n v="0"/>
    <n v="0"/>
    <n v="-108.45099999999999"/>
    <n v="-108.45099999999999"/>
    <n v="-108.45099999999999"/>
    <n v="-108.45099999999999"/>
    <n v="-18"/>
    <x v="1"/>
    <n v="0"/>
    <n v="0"/>
    <n v="57"/>
    <n v="100"/>
    <n v="0"/>
    <n v="341.2"/>
    <n v="255.72"/>
    <m/>
    <n v="380.73191596325307"/>
    <n v="235.13233756815453"/>
    <n v="0"/>
    <n v="-37003.481199999995"/>
    <n v="-27733.08972"/>
    <n v="0"/>
    <n v="-41290.75701813076"/>
    <n v="-25500.337141603926"/>
  </r>
  <r>
    <s v="Sistema de Compensação"/>
    <x v="4"/>
    <x v="5"/>
    <x v="0"/>
    <x v="0"/>
    <x v="0"/>
    <x v="0"/>
    <x v="1"/>
    <x v="8"/>
    <n v="0"/>
    <n v="0"/>
    <n v="3749.4340000000002"/>
    <n v="3749.4340000000002"/>
    <n v="3749.4340000000002"/>
    <n v="3749.4340000000002"/>
    <n v="6520"/>
    <x v="1"/>
    <n v="0"/>
    <n v="0"/>
    <n v="57"/>
    <n v="100"/>
    <n v="0"/>
    <n v="341.2"/>
    <n v="255.72"/>
    <m/>
    <n v="380.73191596325307"/>
    <n v="235.13233756815453"/>
    <n v="0"/>
    <n v="1279306.8807999999"/>
    <n v="958805.26248000003"/>
    <n v="0"/>
    <n v="1427529.190597764"/>
    <n v="881613.18097751599"/>
  </r>
  <r>
    <s v="Sistema de Compensação"/>
    <x v="4"/>
    <x v="5"/>
    <x v="0"/>
    <x v="0"/>
    <x v="0"/>
    <x v="0"/>
    <x v="1"/>
    <x v="8"/>
    <n v="0"/>
    <n v="0"/>
    <n v="7.6920000000000002"/>
    <n v="7.6920000000000002"/>
    <n v="7.6920000000000002"/>
    <n v="7.6920000000000002"/>
    <n v="0"/>
    <x v="1"/>
    <n v="0"/>
    <n v="0"/>
    <n v="57"/>
    <n v="100"/>
    <n v="0"/>
    <n v="341.2"/>
    <n v="255.72"/>
    <m/>
    <n v="380.73191596325307"/>
    <n v="235.13233756815453"/>
    <n v="0"/>
    <n v="2624.5104000000001"/>
    <n v="1966.9982400000001"/>
    <n v="0"/>
    <n v="2928.5898975893429"/>
    <n v="1808.6379405742446"/>
  </r>
  <r>
    <s v="Regular"/>
    <x v="4"/>
    <x v="5"/>
    <x v="0"/>
    <x v="0"/>
    <x v="0"/>
    <x v="0"/>
    <x v="1"/>
    <x v="9"/>
    <n v="0"/>
    <n v="0"/>
    <n v="35405.118000000002"/>
    <n v="35405.118000000002"/>
    <n v="35405.118000000002"/>
    <n v="35405.118000000002"/>
    <n v="89928"/>
    <x v="1"/>
    <n v="0"/>
    <n v="0"/>
    <n v="57"/>
    <n v="100"/>
    <n v="0"/>
    <n v="341.2"/>
    <n v="255.72"/>
    <m/>
    <n v="380.73191596325307"/>
    <n v="235.13233756815453"/>
    <n v="0"/>
    <n v="12080226.261600001"/>
    <n v="9053796.7749600001"/>
    <n v="0"/>
    <n v="13479858.41104506"/>
    <n v="8324888.157216345"/>
  </r>
  <r>
    <s v="Refaturamento - Regular"/>
    <x v="4"/>
    <x v="5"/>
    <x v="0"/>
    <x v="0"/>
    <x v="0"/>
    <x v="0"/>
    <x v="1"/>
    <x v="9"/>
    <n v="0"/>
    <n v="0"/>
    <n v="-86.664000000000001"/>
    <n v="-86.664000000000001"/>
    <n v="-86.664000000000001"/>
    <n v="-86.664000000000001"/>
    <n v="-11"/>
    <x v="1"/>
    <n v="0"/>
    <n v="0"/>
    <n v="57"/>
    <n v="100"/>
    <n v="0"/>
    <n v="341.2"/>
    <n v="255.72"/>
    <m/>
    <n v="380.73191596325307"/>
    <n v="235.13233756815453"/>
    <n v="0"/>
    <n v="-29569.756799999999"/>
    <n v="-22161.718079999999"/>
    <n v="0"/>
    <n v="-32995.750765039367"/>
    <n v="-20377.508903006543"/>
  </r>
  <r>
    <s v="Sistema de Compensação"/>
    <x v="4"/>
    <x v="5"/>
    <x v="0"/>
    <x v="0"/>
    <x v="0"/>
    <x v="0"/>
    <x v="1"/>
    <x v="9"/>
    <n v="0"/>
    <n v="0"/>
    <n v="3982.623"/>
    <n v="3982.623"/>
    <n v="3982.623"/>
    <n v="3982.623"/>
    <n v="6801"/>
    <x v="1"/>
    <n v="0"/>
    <n v="0"/>
    <n v="57"/>
    <n v="100"/>
    <n v="0"/>
    <n v="341.2"/>
    <n v="255.72"/>
    <m/>
    <n v="380.73191596325307"/>
    <n v="235.13233756815453"/>
    <n v="0"/>
    <n v="1358870.9675999999"/>
    <n v="1018436.35356"/>
    <n v="0"/>
    <n v="1516311.6853493189"/>
    <n v="936443.45564269624"/>
  </r>
  <r>
    <s v="Sistema de Compensação"/>
    <x v="4"/>
    <x v="5"/>
    <x v="0"/>
    <x v="0"/>
    <x v="0"/>
    <x v="0"/>
    <x v="1"/>
    <x v="9"/>
    <n v="0"/>
    <n v="0"/>
    <n v="-28.524999999999999"/>
    <n v="-28.524999999999999"/>
    <n v="-28.524999999999999"/>
    <n v="-28.524999999999999"/>
    <n v="0"/>
    <x v="1"/>
    <n v="0"/>
    <n v="0"/>
    <n v="57"/>
    <n v="100"/>
    <n v="0"/>
    <n v="341.2"/>
    <n v="255.72"/>
    <m/>
    <n v="380.73191596325307"/>
    <n v="235.13233756815453"/>
    <n v="0"/>
    <n v="-9732.73"/>
    <n v="-7294.4129999999996"/>
    <n v="0"/>
    <n v="-10860.377902851793"/>
    <n v="-6707.1499291316077"/>
  </r>
  <r>
    <s v="Regular"/>
    <x v="4"/>
    <x v="5"/>
    <x v="0"/>
    <x v="0"/>
    <x v="0"/>
    <x v="0"/>
    <x v="1"/>
    <x v="10"/>
    <n v="0"/>
    <n v="0"/>
    <n v="32180.397000000001"/>
    <n v="32180.397000000001"/>
    <n v="32180.397000000001"/>
    <n v="32180.397000000001"/>
    <n v="89819"/>
    <x v="1"/>
    <n v="0"/>
    <n v="0"/>
    <n v="57"/>
    <n v="100"/>
    <n v="0"/>
    <n v="341.2"/>
    <n v="255.72"/>
    <m/>
    <n v="380.73191596325307"/>
    <n v="235.13233756815453"/>
    <n v="0"/>
    <n v="10979951.4564"/>
    <n v="8229171.12084"/>
    <n v="0"/>
    <n v="12252104.206268122"/>
    <n v="7566651.9704812272"/>
  </r>
  <r>
    <s v="Refaturamento - Regular"/>
    <x v="4"/>
    <x v="5"/>
    <x v="0"/>
    <x v="0"/>
    <x v="0"/>
    <x v="0"/>
    <x v="1"/>
    <x v="10"/>
    <n v="0"/>
    <n v="0"/>
    <n v="-33.392000000000003"/>
    <n v="-33.392000000000003"/>
    <n v="-33.392000000000003"/>
    <n v="-33.392000000000003"/>
    <n v="-15"/>
    <x v="1"/>
    <n v="0"/>
    <n v="0"/>
    <n v="57"/>
    <n v="100"/>
    <n v="0"/>
    <n v="341.2"/>
    <n v="255.72"/>
    <m/>
    <n v="380.73191596325307"/>
    <n v="235.13233756815453"/>
    <n v="0"/>
    <n v="-11393.350400000001"/>
    <n v="-8539.0022400000016"/>
    <n v="0"/>
    <n v="-12713.400137844948"/>
    <n v="-7851.539016075817"/>
  </r>
  <r>
    <s v="Sistema de Compensação"/>
    <x v="4"/>
    <x v="5"/>
    <x v="0"/>
    <x v="0"/>
    <x v="0"/>
    <x v="0"/>
    <x v="1"/>
    <x v="10"/>
    <n v="0"/>
    <n v="0"/>
    <n v="4102.4210000000003"/>
    <n v="4102.4210000000003"/>
    <n v="4102.4210000000003"/>
    <n v="4102.4210000000003"/>
    <n v="7074"/>
    <x v="1"/>
    <n v="0"/>
    <n v="0"/>
    <n v="57"/>
    <n v="100"/>
    <n v="0"/>
    <n v="341.2"/>
    <n v="255.72"/>
    <m/>
    <n v="380.73191596325307"/>
    <n v="235.13233756815453"/>
    <n v="0"/>
    <n v="1399746.0452000001"/>
    <n v="1049071.09812"/>
    <n v="0"/>
    <n v="1561922.6074178847"/>
    <n v="964611.83941868611"/>
  </r>
  <r>
    <s v="Sistema de Compensação"/>
    <x v="4"/>
    <x v="5"/>
    <x v="0"/>
    <x v="0"/>
    <x v="0"/>
    <x v="0"/>
    <x v="1"/>
    <x v="10"/>
    <n v="0"/>
    <n v="0"/>
    <n v="-37.411000000000001"/>
    <n v="-37.411000000000001"/>
    <n v="-37.411000000000001"/>
    <n v="-37.411000000000001"/>
    <n v="0"/>
    <x v="1"/>
    <n v="0"/>
    <n v="0"/>
    <n v="57"/>
    <n v="100"/>
    <n v="0"/>
    <n v="341.2"/>
    <n v="255.72"/>
    <m/>
    <n v="380.73191596325307"/>
    <n v="235.13233756815453"/>
    <n v="0"/>
    <n v="-12764.6332"/>
    <n v="-9566.7409200000002"/>
    <n v="0"/>
    <n v="-14243.561708101261"/>
    <n v="-8796.5358807622288"/>
  </r>
  <r>
    <s v="PROJETADO"/>
    <x v="4"/>
    <x v="5"/>
    <x v="0"/>
    <x v="0"/>
    <x v="0"/>
    <x v="0"/>
    <x v="1"/>
    <x v="11"/>
    <n v="0"/>
    <n v="0"/>
    <n v="32180.397000000001"/>
    <n v="32180.397000000001"/>
    <n v="32180.397000000001"/>
    <n v="32180.397000000001"/>
    <n v="89819"/>
    <x v="1"/>
    <n v="0"/>
    <n v="0"/>
    <n v="57"/>
    <n v="100"/>
    <n v="0"/>
    <n v="341.2"/>
    <n v="255.72"/>
    <m/>
    <n v="380.73191596325307"/>
    <n v="235.13233756815453"/>
    <n v="0"/>
    <n v="10979951.4564"/>
    <n v="8229171.12084"/>
    <n v="0"/>
    <n v="12252104.206268122"/>
    <n v="7566651.9704812272"/>
  </r>
  <r>
    <s v="PROJETADO"/>
    <x v="4"/>
    <x v="5"/>
    <x v="0"/>
    <x v="0"/>
    <x v="0"/>
    <x v="0"/>
    <x v="1"/>
    <x v="11"/>
    <n v="0"/>
    <n v="0"/>
    <n v="-33.392000000000003"/>
    <n v="-33.392000000000003"/>
    <n v="-33.392000000000003"/>
    <n v="-33.392000000000003"/>
    <n v="-15"/>
    <x v="1"/>
    <n v="0"/>
    <n v="0"/>
    <n v="57"/>
    <n v="100"/>
    <n v="0"/>
    <n v="341.2"/>
    <n v="255.72"/>
    <m/>
    <n v="380.73191596325307"/>
    <n v="235.13233756815453"/>
    <n v="0"/>
    <n v="-11393.350400000001"/>
    <n v="-8539.0022400000016"/>
    <n v="0"/>
    <n v="-12713.400137844948"/>
    <n v="-7851.539016075817"/>
  </r>
  <r>
    <s v="PROJETADO"/>
    <x v="4"/>
    <x v="5"/>
    <x v="0"/>
    <x v="0"/>
    <x v="0"/>
    <x v="0"/>
    <x v="1"/>
    <x v="11"/>
    <n v="0"/>
    <n v="0"/>
    <n v="4102.4210000000003"/>
    <n v="4102.4210000000003"/>
    <n v="4102.4210000000003"/>
    <n v="4102.4210000000003"/>
    <n v="7074"/>
    <x v="1"/>
    <n v="0"/>
    <n v="0"/>
    <n v="57"/>
    <n v="100"/>
    <n v="0"/>
    <n v="341.2"/>
    <n v="255.72"/>
    <m/>
    <n v="380.73191596325307"/>
    <n v="235.13233756815453"/>
    <n v="0"/>
    <n v="1399746.0452000001"/>
    <n v="1049071.09812"/>
    <n v="0"/>
    <n v="1561922.6074178847"/>
    <n v="964611.83941868611"/>
  </r>
  <r>
    <s v="PROJETADO"/>
    <x v="4"/>
    <x v="5"/>
    <x v="0"/>
    <x v="0"/>
    <x v="0"/>
    <x v="0"/>
    <x v="1"/>
    <x v="11"/>
    <n v="0"/>
    <n v="0"/>
    <n v="-37.411000000000001"/>
    <n v="-37.411000000000001"/>
    <n v="-37.411000000000001"/>
    <n v="-37.411000000000001"/>
    <n v="0"/>
    <x v="1"/>
    <n v="0"/>
    <n v="0"/>
    <n v="57"/>
    <n v="100"/>
    <n v="0"/>
    <n v="341.2"/>
    <n v="255.72"/>
    <m/>
    <n v="380.73191596325307"/>
    <n v="235.13233756815453"/>
    <n v="0"/>
    <n v="-12764.6332"/>
    <n v="-9566.7409200000002"/>
    <n v="0"/>
    <n v="-14243.561708101261"/>
    <n v="-8796.5358807622288"/>
  </r>
  <r>
    <s v="Regular"/>
    <x v="4"/>
    <x v="5"/>
    <x v="6"/>
    <x v="0"/>
    <x v="0"/>
    <x v="0"/>
    <x v="1"/>
    <x v="0"/>
    <n v="0"/>
    <n v="0"/>
    <n v="198.739"/>
    <n v="198.739"/>
    <n v="198.739"/>
    <n v="198.739"/>
    <n v="304"/>
    <x v="1"/>
    <n v="0"/>
    <n v="0"/>
    <n v="57"/>
    <n v="100"/>
    <n v="0"/>
    <n v="341.2"/>
    <n v="255.72"/>
    <m/>
    <n v="380.73191596325307"/>
    <n v="235.13233756815453"/>
    <n v="0"/>
    <n v="67809.746799999994"/>
    <n v="50821.537080000002"/>
    <n v="0"/>
    <n v="75666.280246620954"/>
    <n v="46729.965635957466"/>
  </r>
  <r>
    <s v="Regular"/>
    <x v="4"/>
    <x v="5"/>
    <x v="6"/>
    <x v="0"/>
    <x v="0"/>
    <x v="0"/>
    <x v="1"/>
    <x v="1"/>
    <n v="0"/>
    <n v="0"/>
    <n v="187.98400000000001"/>
    <n v="187.98400000000001"/>
    <n v="187.98400000000001"/>
    <n v="187.98400000000001"/>
    <n v="321"/>
    <x v="1"/>
    <n v="0"/>
    <n v="0"/>
    <n v="57"/>
    <n v="100"/>
    <n v="0"/>
    <n v="341.2"/>
    <n v="255.72"/>
    <m/>
    <n v="380.73191596325307"/>
    <n v="235.13233756815453"/>
    <n v="0"/>
    <n v="64140.140800000001"/>
    <n v="48071.268479999999"/>
    <n v="0"/>
    <n v="71571.508490436172"/>
    <n v="44201.117345411963"/>
  </r>
  <r>
    <s v="Refaturamento - Regular"/>
    <x v="4"/>
    <x v="5"/>
    <x v="6"/>
    <x v="0"/>
    <x v="0"/>
    <x v="0"/>
    <x v="1"/>
    <x v="1"/>
    <n v="0"/>
    <n v="0"/>
    <n v="0.09"/>
    <n v="0.09"/>
    <n v="0.09"/>
    <n v="0.09"/>
    <n v="3"/>
    <x v="1"/>
    <n v="0"/>
    <n v="0"/>
    <n v="57"/>
    <n v="100"/>
    <n v="0"/>
    <n v="341.2"/>
    <n v="255.72"/>
    <m/>
    <n v="380.73191596325307"/>
    <n v="235.13233756815453"/>
    <n v="0"/>
    <n v="30.707999999999998"/>
    <n v="23.014799999999997"/>
    <n v="0"/>
    <n v="34.265872436692774"/>
    <n v="21.161910381133907"/>
  </r>
  <r>
    <s v="Regular"/>
    <x v="4"/>
    <x v="5"/>
    <x v="6"/>
    <x v="0"/>
    <x v="0"/>
    <x v="0"/>
    <x v="1"/>
    <x v="2"/>
    <n v="0"/>
    <n v="0"/>
    <n v="207.42599999999999"/>
    <n v="207.42599999999999"/>
    <n v="207.42599999999999"/>
    <n v="207.42599999999999"/>
    <n v="316"/>
    <x v="1"/>
    <n v="0"/>
    <n v="0"/>
    <n v="57"/>
    <n v="100"/>
    <n v="0"/>
    <n v="341.2"/>
    <n v="255.72"/>
    <m/>
    <n v="380.73191596325307"/>
    <n v="235.13233756815453"/>
    <n v="0"/>
    <n v="70773.751199999999"/>
    <n v="53042.976719999999"/>
    <n v="0"/>
    <n v="78973.698400593727"/>
    <n v="48772.560252412019"/>
  </r>
  <r>
    <s v="Regular"/>
    <x v="4"/>
    <x v="5"/>
    <x v="6"/>
    <x v="0"/>
    <x v="0"/>
    <x v="0"/>
    <x v="1"/>
    <x v="3"/>
    <n v="0"/>
    <n v="0"/>
    <n v="201.85599999999999"/>
    <n v="201.85599999999999"/>
    <n v="201.85599999999999"/>
    <n v="201.85599999999999"/>
    <n v="304"/>
    <x v="1"/>
    <n v="0"/>
    <n v="0"/>
    <n v="57"/>
    <n v="100"/>
    <n v="0"/>
    <n v="341.2"/>
    <n v="255.72"/>
    <m/>
    <n v="380.73191596325307"/>
    <n v="235.13233756815453"/>
    <n v="0"/>
    <n v="68873.267200000002"/>
    <n v="51618.616320000001"/>
    <n v="0"/>
    <n v="76853.021628678413"/>
    <n v="47462.873132157401"/>
  </r>
  <r>
    <s v="Regular"/>
    <x v="4"/>
    <x v="5"/>
    <x v="6"/>
    <x v="0"/>
    <x v="0"/>
    <x v="0"/>
    <x v="1"/>
    <x v="4"/>
    <n v="0"/>
    <n v="0"/>
    <n v="228.68899999999999"/>
    <n v="228.68899999999999"/>
    <n v="228.68899999999999"/>
    <n v="228.68899999999999"/>
    <n v="306"/>
    <x v="1"/>
    <n v="0"/>
    <n v="0"/>
    <n v="57"/>
    <n v="100"/>
    <n v="0"/>
    <n v="341.2"/>
    <n v="255.72"/>
    <m/>
    <n v="380.73191596325307"/>
    <n v="235.13233756815453"/>
    <n v="0"/>
    <n v="78028.686799999996"/>
    <n v="58480.35108"/>
    <n v="0"/>
    <n v="87069.201129720386"/>
    <n v="53772.179146123686"/>
  </r>
  <r>
    <s v="Regular"/>
    <x v="4"/>
    <x v="5"/>
    <x v="6"/>
    <x v="0"/>
    <x v="0"/>
    <x v="0"/>
    <x v="1"/>
    <x v="5"/>
    <n v="0"/>
    <n v="0"/>
    <n v="215.226"/>
    <n v="215.226"/>
    <n v="215.226"/>
    <n v="215.226"/>
    <n v="303"/>
    <x v="1"/>
    <n v="0"/>
    <n v="0"/>
    <n v="57"/>
    <n v="100"/>
    <n v="0"/>
    <n v="341.2"/>
    <n v="255.72"/>
    <m/>
    <n v="380.73191596325307"/>
    <n v="235.13233756815453"/>
    <n v="0"/>
    <n v="73435.111199999999"/>
    <n v="55037.592720000001"/>
    <n v="0"/>
    <n v="81943.407345107102"/>
    <n v="50606.592485443623"/>
  </r>
  <r>
    <s v="Refaturamento - Regular"/>
    <x v="4"/>
    <x v="5"/>
    <x v="6"/>
    <x v="0"/>
    <x v="0"/>
    <x v="0"/>
    <x v="1"/>
    <x v="5"/>
    <n v="0"/>
    <n v="0"/>
    <n v="0.19800000000000001"/>
    <n v="0.19800000000000001"/>
    <n v="0.19800000000000001"/>
    <n v="0.19800000000000001"/>
    <n v="5"/>
    <x v="1"/>
    <n v="0"/>
    <n v="0"/>
    <n v="57"/>
    <n v="100"/>
    <n v="0"/>
    <n v="341.2"/>
    <n v="255.72"/>
    <m/>
    <n v="380.73191596325307"/>
    <n v="235.13233756815453"/>
    <n v="0"/>
    <n v="67.557600000000008"/>
    <n v="50.632560000000005"/>
    <n v="0"/>
    <n v="75.384919360724112"/>
    <n v="46.556202838494599"/>
  </r>
  <r>
    <s v="Regular"/>
    <x v="4"/>
    <x v="5"/>
    <x v="6"/>
    <x v="0"/>
    <x v="0"/>
    <x v="0"/>
    <x v="1"/>
    <x v="6"/>
    <n v="0"/>
    <n v="0"/>
    <n v="185.27600000000001"/>
    <n v="185.27600000000001"/>
    <n v="185.27600000000001"/>
    <n v="185.27600000000001"/>
    <n v="305"/>
    <x v="1"/>
    <n v="0"/>
    <n v="0"/>
    <n v="57"/>
    <n v="100"/>
    <n v="0"/>
    <n v="341.2"/>
    <n v="255.72"/>
    <m/>
    <n v="380.73191596325307"/>
    <n v="235.13233756815453"/>
    <n v="0"/>
    <n v="63216.171200000004"/>
    <n v="47378.778720000002"/>
    <n v="0"/>
    <n v="70540.486462007684"/>
    <n v="43564.378975277403"/>
  </r>
  <r>
    <s v="Regular"/>
    <x v="4"/>
    <x v="5"/>
    <x v="6"/>
    <x v="0"/>
    <x v="0"/>
    <x v="0"/>
    <x v="1"/>
    <x v="7"/>
    <n v="0"/>
    <n v="0"/>
    <n v="207.08799999999999"/>
    <n v="207.08799999999999"/>
    <n v="207.08799999999999"/>
    <n v="207.08799999999999"/>
    <n v="303"/>
    <x v="1"/>
    <n v="0"/>
    <n v="0"/>
    <n v="57"/>
    <n v="100"/>
    <n v="0"/>
    <n v="341.2"/>
    <n v="255.72"/>
    <m/>
    <n v="380.73191596325307"/>
    <n v="235.13233756815453"/>
    <n v="0"/>
    <n v="70658.425600000002"/>
    <n v="52956.543359999996"/>
    <n v="0"/>
    <n v="78845.011012998148"/>
    <n v="48693.085522313981"/>
  </r>
  <r>
    <s v="Regular"/>
    <x v="4"/>
    <x v="5"/>
    <x v="6"/>
    <x v="0"/>
    <x v="0"/>
    <x v="0"/>
    <x v="1"/>
    <x v="8"/>
    <n v="0"/>
    <n v="0"/>
    <n v="231.66499999999999"/>
    <n v="231.66499999999999"/>
    <n v="231.66499999999999"/>
    <n v="231.66499999999999"/>
    <n v="301"/>
    <x v="1"/>
    <n v="0"/>
    <n v="0"/>
    <n v="57"/>
    <n v="100"/>
    <n v="0"/>
    <n v="341.2"/>
    <n v="255.72"/>
    <m/>
    <n v="380.73191596325307"/>
    <n v="235.13233756815453"/>
    <n v="0"/>
    <n v="79044.097999999998"/>
    <n v="59241.373800000001"/>
    <n v="0"/>
    <n v="88202.259311627015"/>
    <n v="54471.932982726517"/>
  </r>
  <r>
    <s v="Refaturamento - Regular"/>
    <x v="4"/>
    <x v="5"/>
    <x v="6"/>
    <x v="0"/>
    <x v="0"/>
    <x v="0"/>
    <x v="1"/>
    <x v="8"/>
    <n v="0"/>
    <n v="0"/>
    <n v="0.94199999999999995"/>
    <n v="0.94199999999999995"/>
    <n v="0.94199999999999995"/>
    <n v="0.94199999999999995"/>
    <n v="2"/>
    <x v="1"/>
    <n v="0"/>
    <n v="0"/>
    <n v="57"/>
    <n v="100"/>
    <n v="0"/>
    <n v="341.2"/>
    <n v="255.72"/>
    <m/>
    <n v="380.73191596325307"/>
    <n v="235.13233756815453"/>
    <n v="0"/>
    <n v="321.41039999999998"/>
    <n v="240.88824"/>
    <n v="0"/>
    <n v="358.64946483738436"/>
    <n v="221.49466198920155"/>
  </r>
  <r>
    <s v="Sistema de Compensação"/>
    <x v="4"/>
    <x v="5"/>
    <x v="6"/>
    <x v="0"/>
    <x v="0"/>
    <x v="0"/>
    <x v="1"/>
    <x v="8"/>
    <n v="0"/>
    <n v="0"/>
    <n v="1.4730000000000001"/>
    <n v="1.4730000000000001"/>
    <n v="1.4730000000000001"/>
    <n v="1.4730000000000001"/>
    <n v="1"/>
    <x v="1"/>
    <n v="0"/>
    <n v="0"/>
    <n v="57"/>
    <n v="100"/>
    <n v="0"/>
    <n v="341.2"/>
    <n v="255.72"/>
    <m/>
    <n v="380.73191596325307"/>
    <n v="235.13233756815453"/>
    <n v="0"/>
    <n v="502.58760000000001"/>
    <n v="376.67556000000002"/>
    <n v="0"/>
    <n v="560.81811221387181"/>
    <n v="346.34993323789166"/>
  </r>
  <r>
    <s v="Regular"/>
    <x v="4"/>
    <x v="5"/>
    <x v="6"/>
    <x v="0"/>
    <x v="0"/>
    <x v="0"/>
    <x v="1"/>
    <x v="9"/>
    <n v="0"/>
    <n v="0"/>
    <n v="202.07400000000001"/>
    <n v="202.07400000000001"/>
    <n v="202.07400000000001"/>
    <n v="202.07400000000001"/>
    <n v="301"/>
    <x v="1"/>
    <n v="0"/>
    <n v="0"/>
    <n v="57"/>
    <n v="100"/>
    <n v="0"/>
    <n v="341.2"/>
    <n v="255.72"/>
    <m/>
    <n v="380.73191596325307"/>
    <n v="235.13233756815453"/>
    <n v="0"/>
    <n v="68947.648799999995"/>
    <n v="51674.363280000005"/>
    <n v="0"/>
    <n v="76936.021186358412"/>
    <n v="47514.131981747261"/>
  </r>
  <r>
    <s v="Sistema de Compensação"/>
    <x v="4"/>
    <x v="5"/>
    <x v="6"/>
    <x v="0"/>
    <x v="0"/>
    <x v="0"/>
    <x v="1"/>
    <x v="9"/>
    <n v="0"/>
    <n v="0"/>
    <n v="1.6060000000000001"/>
    <n v="1.6060000000000001"/>
    <n v="1.6060000000000001"/>
    <n v="1.6060000000000001"/>
    <n v="1"/>
    <x v="1"/>
    <n v="0"/>
    <n v="0"/>
    <n v="57"/>
    <n v="100"/>
    <n v="0"/>
    <n v="341.2"/>
    <n v="255.72"/>
    <m/>
    <n v="380.73191596325307"/>
    <n v="235.13233756815453"/>
    <n v="0"/>
    <n v="547.96720000000005"/>
    <n v="410.68632000000002"/>
    <n v="0"/>
    <n v="611.45545703698451"/>
    <n v="377.6225341344562"/>
  </r>
  <r>
    <s v="Regular"/>
    <x v="4"/>
    <x v="5"/>
    <x v="6"/>
    <x v="0"/>
    <x v="0"/>
    <x v="0"/>
    <x v="1"/>
    <x v="10"/>
    <n v="0"/>
    <n v="0"/>
    <n v="187.702"/>
    <n v="187.702"/>
    <n v="187.702"/>
    <n v="187.702"/>
    <n v="301"/>
    <x v="1"/>
    <n v="0"/>
    <n v="0"/>
    <n v="57"/>
    <n v="100"/>
    <n v="0"/>
    <n v="341.2"/>
    <n v="255.72"/>
    <m/>
    <n v="380.73191596325307"/>
    <n v="235.13233756815453"/>
    <n v="0"/>
    <n v="64043.922399999996"/>
    <n v="47999.155440000002"/>
    <n v="0"/>
    <n v="71464.142090134526"/>
    <n v="44134.81002621774"/>
  </r>
  <r>
    <s v="Refaturamento - Regular"/>
    <x v="4"/>
    <x v="5"/>
    <x v="6"/>
    <x v="0"/>
    <x v="0"/>
    <x v="0"/>
    <x v="1"/>
    <x v="10"/>
    <n v="0"/>
    <n v="0"/>
    <n v="9.5470000000000006"/>
    <n v="9.5470000000000006"/>
    <n v="9.5470000000000006"/>
    <n v="9.5470000000000006"/>
    <n v="8"/>
    <x v="1"/>
    <n v="0"/>
    <n v="0"/>
    <n v="57"/>
    <n v="100"/>
    <n v="0"/>
    <n v="341.2"/>
    <n v="255.72"/>
    <m/>
    <n v="380.73191596325307"/>
    <n v="235.13233756815453"/>
    <n v="0"/>
    <n v="3257.4364"/>
    <n v="2441.3588400000003"/>
    <n v="0"/>
    <n v="3634.8476017011772"/>
    <n v="2244.8084267631716"/>
  </r>
  <r>
    <s v="Sistema de Compensação"/>
    <x v="4"/>
    <x v="5"/>
    <x v="6"/>
    <x v="0"/>
    <x v="0"/>
    <x v="0"/>
    <x v="1"/>
    <x v="10"/>
    <n v="0"/>
    <n v="0"/>
    <n v="1.234"/>
    <n v="1.234"/>
    <n v="1.234"/>
    <n v="1.234"/>
    <n v="1"/>
    <x v="1"/>
    <n v="0"/>
    <n v="0"/>
    <n v="57"/>
    <n v="100"/>
    <n v="0"/>
    <n v="341.2"/>
    <n v="255.72"/>
    <m/>
    <n v="380.73191596325307"/>
    <n v="235.13233756815453"/>
    <n v="0"/>
    <n v="421.04079999999999"/>
    <n v="315.55847999999997"/>
    <n v="0"/>
    <n v="469.82318429865427"/>
    <n v="290.15330455910271"/>
  </r>
  <r>
    <s v="PROJETADO"/>
    <x v="4"/>
    <x v="5"/>
    <x v="6"/>
    <x v="0"/>
    <x v="0"/>
    <x v="0"/>
    <x v="1"/>
    <x v="11"/>
    <n v="0"/>
    <n v="0"/>
    <n v="187.702"/>
    <n v="187.702"/>
    <n v="187.702"/>
    <n v="187.702"/>
    <n v="301"/>
    <x v="1"/>
    <n v="0"/>
    <n v="0"/>
    <n v="57"/>
    <n v="100"/>
    <n v="0"/>
    <n v="341.2"/>
    <n v="255.72"/>
    <m/>
    <n v="380.73191596325307"/>
    <n v="235.13233756815453"/>
    <n v="0"/>
    <n v="64043.922399999996"/>
    <n v="47999.155440000002"/>
    <n v="0"/>
    <n v="71464.142090134526"/>
    <n v="44134.81002621774"/>
  </r>
  <r>
    <s v="PROJETADO"/>
    <x v="4"/>
    <x v="5"/>
    <x v="6"/>
    <x v="0"/>
    <x v="0"/>
    <x v="0"/>
    <x v="1"/>
    <x v="11"/>
    <n v="0"/>
    <n v="0"/>
    <n v="9.5470000000000006"/>
    <n v="9.5470000000000006"/>
    <n v="9.5470000000000006"/>
    <n v="9.5470000000000006"/>
    <n v="8"/>
    <x v="1"/>
    <n v="0"/>
    <n v="0"/>
    <n v="57"/>
    <n v="100"/>
    <n v="0"/>
    <n v="341.2"/>
    <n v="255.72"/>
    <m/>
    <n v="380.73191596325307"/>
    <n v="235.13233756815453"/>
    <n v="0"/>
    <n v="3257.4364"/>
    <n v="2441.3588400000003"/>
    <n v="0"/>
    <n v="3634.8476017011772"/>
    <n v="2244.8084267631716"/>
  </r>
  <r>
    <s v="PROJETADO"/>
    <x v="4"/>
    <x v="5"/>
    <x v="6"/>
    <x v="0"/>
    <x v="0"/>
    <x v="0"/>
    <x v="1"/>
    <x v="11"/>
    <n v="0"/>
    <n v="0"/>
    <n v="1.234"/>
    <n v="1.234"/>
    <n v="1.234"/>
    <n v="1.234"/>
    <n v="1"/>
    <x v="1"/>
    <n v="0"/>
    <n v="0"/>
    <n v="57"/>
    <n v="100"/>
    <n v="0"/>
    <n v="341.2"/>
    <n v="255.72"/>
    <m/>
    <n v="380.73191596325307"/>
    <n v="235.13233756815453"/>
    <n v="0"/>
    <n v="421.04079999999999"/>
    <n v="315.55847999999997"/>
    <n v="0"/>
    <n v="469.82318429865427"/>
    <n v="290.15330455910271"/>
  </r>
  <r>
    <s v="Regular"/>
    <x v="4"/>
    <x v="5"/>
    <x v="1"/>
    <x v="0"/>
    <x v="0"/>
    <x v="0"/>
    <x v="1"/>
    <x v="0"/>
    <n v="0"/>
    <n v="0"/>
    <n v="2616.953"/>
    <n v="2616.953"/>
    <n v="2616.953"/>
    <n v="2616.953"/>
    <n v="3179"/>
    <x v="1"/>
    <n v="0"/>
    <n v="0"/>
    <n v="57"/>
    <n v="100"/>
    <n v="0"/>
    <n v="341.2"/>
    <n v="255.72"/>
    <m/>
    <n v="380.73191596325307"/>
    <n v="235.13233756815453"/>
    <n v="0"/>
    <n v="892904.36359999992"/>
    <n v="669207.22115999996"/>
    <n v="0"/>
    <n v="996357.52967578301"/>
    <n v="615330.27619599469"/>
  </r>
  <r>
    <s v="Refaturamento - Regular"/>
    <x v="4"/>
    <x v="5"/>
    <x v="1"/>
    <x v="0"/>
    <x v="0"/>
    <x v="0"/>
    <x v="1"/>
    <x v="0"/>
    <n v="0"/>
    <n v="0"/>
    <n v="-6.8319999999999999"/>
    <n v="-6.8319999999999999"/>
    <n v="-6.8319999999999999"/>
    <n v="-6.8319999999999999"/>
    <n v="-12"/>
    <x v="1"/>
    <n v="0"/>
    <n v="0"/>
    <n v="57"/>
    <n v="100"/>
    <n v="0"/>
    <n v="341.2"/>
    <n v="255.72"/>
    <m/>
    <n v="380.73191596325307"/>
    <n v="235.13233756815453"/>
    <n v="0"/>
    <n v="-2331.0783999999999"/>
    <n v="-1747.0790399999998"/>
    <n v="0"/>
    <n v="-2601.1604498609449"/>
    <n v="-1606.4241302656317"/>
  </r>
  <r>
    <s v="Sistema de Compensação"/>
    <x v="4"/>
    <x v="5"/>
    <x v="1"/>
    <x v="0"/>
    <x v="0"/>
    <x v="0"/>
    <x v="1"/>
    <x v="0"/>
    <n v="0"/>
    <n v="0"/>
    <n v="425.01100000000002"/>
    <n v="425.01100000000002"/>
    <n v="425.01100000000002"/>
    <n v="425.01100000000002"/>
    <n v="373"/>
    <x v="1"/>
    <n v="0"/>
    <n v="0"/>
    <n v="57"/>
    <n v="100"/>
    <n v="0"/>
    <n v="341.2"/>
    <n v="255.72"/>
    <m/>
    <n v="380.73191596325307"/>
    <n v="235.13233756815453"/>
    <n v="0"/>
    <n v="145013.75320000001"/>
    <n v="108683.81292000001"/>
    <n v="0"/>
    <n v="161815.25233545815"/>
    <n v="99933.829922178935"/>
  </r>
  <r>
    <s v="Regular"/>
    <x v="4"/>
    <x v="5"/>
    <x v="1"/>
    <x v="0"/>
    <x v="0"/>
    <x v="0"/>
    <x v="1"/>
    <x v="1"/>
    <n v="0"/>
    <n v="0"/>
    <n v="2584.3319999999999"/>
    <n v="2584.3319999999999"/>
    <n v="2584.3319999999999"/>
    <n v="2584.3319999999999"/>
    <n v="3169"/>
    <x v="1"/>
    <n v="0"/>
    <n v="0"/>
    <n v="57"/>
    <n v="100"/>
    <n v="0"/>
    <n v="341.2"/>
    <n v="255.72"/>
    <m/>
    <n v="380.73191596325307"/>
    <n v="235.13233756815453"/>
    <n v="0"/>
    <n v="881774.07839999988"/>
    <n v="660865.37903999991"/>
    <n v="0"/>
    <n v="983937.67384514573"/>
    <n v="607660.0242121839"/>
  </r>
  <r>
    <s v="Refaturamento - Regular"/>
    <x v="4"/>
    <x v="5"/>
    <x v="1"/>
    <x v="0"/>
    <x v="0"/>
    <x v="0"/>
    <x v="1"/>
    <x v="1"/>
    <n v="0"/>
    <n v="0"/>
    <n v="-5.7430000000000003"/>
    <n v="-5.7430000000000003"/>
    <n v="-5.7430000000000003"/>
    <n v="-5.7430000000000003"/>
    <n v="-1"/>
    <x v="1"/>
    <n v="0"/>
    <n v="0"/>
    <n v="57"/>
    <n v="100"/>
    <n v="0"/>
    <n v="341.2"/>
    <n v="255.72"/>
    <m/>
    <n v="380.73191596325307"/>
    <n v="235.13233756815453"/>
    <n v="0"/>
    <n v="-1959.5116"/>
    <n v="-1468.59996"/>
    <n v="0"/>
    <n v="-2186.5433933769627"/>
    <n v="-1350.3650146539114"/>
  </r>
  <r>
    <s v="Sistema de Compensação"/>
    <x v="4"/>
    <x v="5"/>
    <x v="1"/>
    <x v="0"/>
    <x v="0"/>
    <x v="0"/>
    <x v="1"/>
    <x v="1"/>
    <n v="0"/>
    <n v="0"/>
    <n v="419.82499999999999"/>
    <n v="419.82499999999999"/>
    <n v="419.82499999999999"/>
    <n v="419.82499999999999"/>
    <n v="390"/>
    <x v="1"/>
    <n v="0"/>
    <n v="0"/>
    <n v="57"/>
    <n v="100"/>
    <n v="0"/>
    <n v="341.2"/>
    <n v="255.72"/>
    <m/>
    <n v="380.73191596325307"/>
    <n v="235.13233756815453"/>
    <n v="0"/>
    <n v="143244.28999999998"/>
    <n v="107357.64899999999"/>
    <n v="0"/>
    <n v="159840.77661927271"/>
    <n v="98714.433619550473"/>
  </r>
  <r>
    <s v="Sistema de Compensação"/>
    <x v="4"/>
    <x v="5"/>
    <x v="1"/>
    <x v="0"/>
    <x v="0"/>
    <x v="0"/>
    <x v="1"/>
    <x v="1"/>
    <n v="0"/>
    <n v="0"/>
    <n v="-2.9350000000000001"/>
    <n v="-2.9350000000000001"/>
    <n v="-2.9350000000000001"/>
    <n v="-2.9350000000000001"/>
    <n v="0"/>
    <x v="1"/>
    <n v="0"/>
    <n v="0"/>
    <n v="57"/>
    <n v="100"/>
    <n v="0"/>
    <n v="341.2"/>
    <n v="255.72"/>
    <m/>
    <n v="380.73191596325307"/>
    <n v="235.13233756815453"/>
    <n v="0"/>
    <n v="-1001.422"/>
    <n v="-750.53819999999996"/>
    <n v="0"/>
    <n v="-1117.4481733521477"/>
    <n v="-690.11341076253359"/>
  </r>
  <r>
    <s v="Regular"/>
    <x v="4"/>
    <x v="5"/>
    <x v="1"/>
    <x v="0"/>
    <x v="0"/>
    <x v="0"/>
    <x v="1"/>
    <x v="2"/>
    <n v="0"/>
    <n v="0"/>
    <n v="2652.7820000000002"/>
    <n v="2652.7820000000002"/>
    <n v="2652.7820000000002"/>
    <n v="2652.7820000000002"/>
    <n v="3158"/>
    <x v="1"/>
    <n v="0"/>
    <n v="0"/>
    <n v="57"/>
    <n v="100"/>
    <n v="0"/>
    <n v="341.2"/>
    <n v="255.72"/>
    <m/>
    <n v="380.73191596325307"/>
    <n v="235.13233756815453"/>
    <n v="0"/>
    <n v="905129.21840000001"/>
    <n v="678369.41304000001"/>
    <n v="0"/>
    <n v="1009998.7734928305"/>
    <n v="623754.83271872415"/>
  </r>
  <r>
    <s v="Refaturamento - Regular"/>
    <x v="4"/>
    <x v="5"/>
    <x v="1"/>
    <x v="0"/>
    <x v="0"/>
    <x v="0"/>
    <x v="1"/>
    <x v="2"/>
    <n v="0"/>
    <n v="0"/>
    <n v="-8.1000000000000003E-2"/>
    <n v="-8.1000000000000003E-2"/>
    <n v="-8.1000000000000003E-2"/>
    <n v="-8.1000000000000003E-2"/>
    <n v="0"/>
    <x v="1"/>
    <n v="0"/>
    <n v="0"/>
    <n v="57"/>
    <n v="100"/>
    <n v="0"/>
    <n v="341.2"/>
    <n v="255.72"/>
    <m/>
    <n v="380.73191596325307"/>
    <n v="235.13233756815453"/>
    <n v="0"/>
    <n v="-27.6372"/>
    <n v="-20.71332"/>
    <n v="0"/>
    <n v="-30.8392851930235"/>
    <n v="-19.045719343020519"/>
  </r>
  <r>
    <s v="Sistema de Compensação"/>
    <x v="4"/>
    <x v="5"/>
    <x v="1"/>
    <x v="0"/>
    <x v="0"/>
    <x v="0"/>
    <x v="1"/>
    <x v="2"/>
    <n v="0"/>
    <n v="0"/>
    <n v="417.13099999999997"/>
    <n v="417.13099999999997"/>
    <n v="417.13099999999997"/>
    <n v="417.13099999999997"/>
    <n v="414"/>
    <x v="1"/>
    <n v="0"/>
    <n v="0"/>
    <n v="57"/>
    <n v="100"/>
    <n v="0"/>
    <n v="341.2"/>
    <n v="255.72"/>
    <m/>
    <n v="380.73191596325307"/>
    <n v="235.13233756815453"/>
    <n v="0"/>
    <n v="142325.09719999999"/>
    <n v="106668.73931999999"/>
    <n v="0"/>
    <n v="158815.0848376677"/>
    <n v="98080.987102141866"/>
  </r>
  <r>
    <s v="Sistema de Compensação"/>
    <x v="4"/>
    <x v="5"/>
    <x v="1"/>
    <x v="0"/>
    <x v="0"/>
    <x v="0"/>
    <x v="1"/>
    <x v="2"/>
    <n v="0"/>
    <n v="0"/>
    <n v="7.8979999999999997"/>
    <n v="7.8979999999999997"/>
    <n v="7.8979999999999997"/>
    <n v="7.8979999999999997"/>
    <n v="1"/>
    <x v="1"/>
    <n v="0"/>
    <n v="0"/>
    <n v="57"/>
    <n v="100"/>
    <n v="0"/>
    <n v="341.2"/>
    <n v="255.72"/>
    <m/>
    <n v="380.73191596325307"/>
    <n v="235.13233756815453"/>
    <n v="0"/>
    <n v="2694.7975999999999"/>
    <n v="2019.6765599999999"/>
    <n v="0"/>
    <n v="3007.0206722777725"/>
    <n v="1857.0752021132844"/>
  </r>
  <r>
    <s v="Regular"/>
    <x v="4"/>
    <x v="5"/>
    <x v="1"/>
    <x v="0"/>
    <x v="0"/>
    <x v="0"/>
    <x v="1"/>
    <x v="3"/>
    <n v="0"/>
    <n v="0"/>
    <n v="2483.2800000000002"/>
    <n v="2483.2800000000002"/>
    <n v="2483.2800000000002"/>
    <n v="2483.2800000000002"/>
    <n v="3145"/>
    <x v="1"/>
    <n v="0"/>
    <n v="0"/>
    <n v="57"/>
    <n v="100"/>
    <n v="0"/>
    <n v="341.2"/>
    <n v="255.72"/>
    <m/>
    <n v="380.73191596325307"/>
    <n v="235.13233756815453"/>
    <n v="0"/>
    <n v="847295.13600000006"/>
    <n v="635024.36160000006"/>
    <n v="0"/>
    <n v="945463.95227322716"/>
    <n v="583899.43123624683"/>
  </r>
  <r>
    <s v="Refaturamento - Regular"/>
    <x v="4"/>
    <x v="5"/>
    <x v="1"/>
    <x v="0"/>
    <x v="0"/>
    <x v="0"/>
    <x v="1"/>
    <x v="3"/>
    <n v="0"/>
    <n v="0"/>
    <n v="-0.1"/>
    <n v="-0.1"/>
    <n v="-0.1"/>
    <n v="-0.1"/>
    <n v="-1"/>
    <x v="1"/>
    <n v="0"/>
    <n v="0"/>
    <n v="57"/>
    <n v="100"/>
    <n v="0"/>
    <n v="341.2"/>
    <n v="255.72"/>
    <m/>
    <n v="380.73191596325307"/>
    <n v="235.13233756815453"/>
    <n v="0"/>
    <n v="-34.119999999999997"/>
    <n v="-25.572000000000003"/>
    <n v="0"/>
    <n v="-38.073191596325309"/>
    <n v="-23.513233756815453"/>
  </r>
  <r>
    <s v="Sistema de Compensação"/>
    <x v="4"/>
    <x v="5"/>
    <x v="1"/>
    <x v="0"/>
    <x v="0"/>
    <x v="0"/>
    <x v="1"/>
    <x v="3"/>
    <n v="0"/>
    <n v="0"/>
    <n v="423.94"/>
    <n v="423.94"/>
    <n v="423.94"/>
    <n v="423.94"/>
    <n v="425"/>
    <x v="1"/>
    <n v="0"/>
    <n v="0"/>
    <n v="57"/>
    <n v="100"/>
    <n v="0"/>
    <n v="341.2"/>
    <n v="255.72"/>
    <m/>
    <n v="380.73191596325307"/>
    <n v="235.13233756815453"/>
    <n v="0"/>
    <n v="144648.32800000001"/>
    <n v="108409.9368"/>
    <n v="0"/>
    <n v="161407.4884534615"/>
    <n v="99682.00318864343"/>
  </r>
  <r>
    <s v="Regular"/>
    <x v="4"/>
    <x v="5"/>
    <x v="1"/>
    <x v="0"/>
    <x v="0"/>
    <x v="0"/>
    <x v="1"/>
    <x v="4"/>
    <n v="0"/>
    <n v="0"/>
    <n v="2609.712"/>
    <n v="2609.712"/>
    <n v="2609.712"/>
    <n v="2609.712"/>
    <n v="3095"/>
    <x v="1"/>
    <n v="0"/>
    <n v="0"/>
    <n v="57"/>
    <n v="100"/>
    <n v="0"/>
    <n v="341.2"/>
    <n v="255.72"/>
    <m/>
    <n v="380.73191596325307"/>
    <n v="235.13233756815453"/>
    <n v="0"/>
    <n v="890433.73439999996"/>
    <n v="667355.55264000001"/>
    <n v="0"/>
    <n v="993600.64987229311"/>
    <n v="613627.68293966365"/>
  </r>
  <r>
    <s v="Refaturamento - Regular"/>
    <x v="4"/>
    <x v="5"/>
    <x v="1"/>
    <x v="0"/>
    <x v="0"/>
    <x v="0"/>
    <x v="1"/>
    <x v="4"/>
    <n v="0"/>
    <n v="0"/>
    <n v="-20.425000000000001"/>
    <n v="-20.425000000000001"/>
    <n v="-20.425000000000001"/>
    <n v="-20.425000000000001"/>
    <n v="-4"/>
    <x v="1"/>
    <n v="0"/>
    <n v="0"/>
    <n v="57"/>
    <n v="100"/>
    <n v="0"/>
    <n v="341.2"/>
    <n v="255.72"/>
    <m/>
    <n v="380.73191596325307"/>
    <n v="235.13233756815453"/>
    <n v="0"/>
    <n v="-6969.01"/>
    <n v="-5223.0810000000001"/>
    <n v="0"/>
    <n v="-7776.4493835494441"/>
    <n v="-4802.5779948295567"/>
  </r>
  <r>
    <s v="Sistema de Compensação"/>
    <x v="4"/>
    <x v="5"/>
    <x v="1"/>
    <x v="0"/>
    <x v="0"/>
    <x v="0"/>
    <x v="1"/>
    <x v="4"/>
    <n v="0"/>
    <n v="0"/>
    <n v="515.20399999999995"/>
    <n v="515.20399999999995"/>
    <n v="515.20399999999995"/>
    <n v="515.20399999999995"/>
    <n v="442"/>
    <x v="1"/>
    <n v="0"/>
    <n v="0"/>
    <n v="57"/>
    <n v="100"/>
    <n v="0"/>
    <n v="341.2"/>
    <n v="255.72"/>
    <m/>
    <n v="380.73191596325307"/>
    <n v="235.13233756815453"/>
    <n v="0"/>
    <n v="175787.60479999997"/>
    <n v="131747.96687999999"/>
    <n v="0"/>
    <n v="196154.60603193182"/>
    <n v="121141.12084446347"/>
  </r>
  <r>
    <s v="Sistema de Compensação"/>
    <x v="4"/>
    <x v="5"/>
    <x v="1"/>
    <x v="0"/>
    <x v="0"/>
    <x v="0"/>
    <x v="1"/>
    <x v="4"/>
    <n v="0"/>
    <n v="0"/>
    <n v="-0.36"/>
    <n v="-0.36"/>
    <n v="-0.36"/>
    <n v="-0.36"/>
    <n v="0"/>
    <x v="1"/>
    <n v="0"/>
    <n v="0"/>
    <n v="57"/>
    <n v="100"/>
    <n v="0"/>
    <n v="341.2"/>
    <n v="255.72"/>
    <m/>
    <n v="380.73191596325307"/>
    <n v="235.13233756815453"/>
    <n v="0"/>
    <n v="-122.83199999999999"/>
    <n v="-92.05919999999999"/>
    <n v="0"/>
    <n v="-137.0634897467711"/>
    <n v="-84.647641524535629"/>
  </r>
  <r>
    <s v="Regular"/>
    <x v="4"/>
    <x v="5"/>
    <x v="1"/>
    <x v="0"/>
    <x v="0"/>
    <x v="0"/>
    <x v="1"/>
    <x v="5"/>
    <n v="0"/>
    <n v="0"/>
    <n v="2320.2629999999999"/>
    <n v="2320.2629999999999"/>
    <n v="2320.2629999999999"/>
    <n v="2320.2629999999999"/>
    <n v="3083"/>
    <x v="1"/>
    <n v="0"/>
    <n v="0"/>
    <n v="57"/>
    <n v="100"/>
    <n v="0"/>
    <n v="341.2"/>
    <n v="255.72"/>
    <m/>
    <n v="380.73191596325307"/>
    <n v="235.13233756815453"/>
    <n v="0"/>
    <n v="791673.7355999999"/>
    <n v="593337.65435999993"/>
    <n v="0"/>
    <n v="883398.17752864538"/>
    <n v="545568.86296289891"/>
  </r>
  <r>
    <s v="Sistema de Compensação"/>
    <x v="4"/>
    <x v="5"/>
    <x v="1"/>
    <x v="0"/>
    <x v="0"/>
    <x v="0"/>
    <x v="1"/>
    <x v="5"/>
    <n v="0"/>
    <n v="0"/>
    <n v="413.72800000000001"/>
    <n v="413.72800000000001"/>
    <n v="413.72800000000001"/>
    <n v="413.72800000000001"/>
    <n v="453"/>
    <x v="1"/>
    <n v="0"/>
    <n v="0"/>
    <n v="57"/>
    <n v="100"/>
    <n v="0"/>
    <n v="341.2"/>
    <n v="255.72"/>
    <m/>
    <n v="380.73191596325307"/>
    <n v="235.13233756815453"/>
    <n v="0"/>
    <n v="141163.99359999999"/>
    <n v="105798.52416"/>
    <n v="0"/>
    <n v="157519.45412764477"/>
    <n v="97280.831757397435"/>
  </r>
  <r>
    <s v="Sistema de Compensação"/>
    <x v="4"/>
    <x v="5"/>
    <x v="1"/>
    <x v="0"/>
    <x v="0"/>
    <x v="0"/>
    <x v="1"/>
    <x v="5"/>
    <n v="0"/>
    <n v="0"/>
    <n v="-0.748"/>
    <n v="-0.748"/>
    <n v="-0.748"/>
    <n v="-0.748"/>
    <n v="0"/>
    <x v="1"/>
    <n v="0"/>
    <n v="0"/>
    <n v="57"/>
    <n v="100"/>
    <n v="0"/>
    <n v="341.2"/>
    <n v="255.72"/>
    <m/>
    <n v="380.73191596325307"/>
    <n v="235.13233756815453"/>
    <n v="0"/>
    <n v="-255.2176"/>
    <n v="-191.27856"/>
    <n v="0"/>
    <n v="-284.78747314051327"/>
    <n v="-175.87898850097957"/>
  </r>
  <r>
    <s v="Regular"/>
    <x v="4"/>
    <x v="5"/>
    <x v="1"/>
    <x v="0"/>
    <x v="0"/>
    <x v="0"/>
    <x v="1"/>
    <x v="6"/>
    <n v="0"/>
    <n v="0"/>
    <n v="2226.7370000000001"/>
    <n v="2226.7370000000001"/>
    <n v="2226.7370000000001"/>
    <n v="2226.7370000000001"/>
    <n v="3134"/>
    <x v="1"/>
    <n v="0"/>
    <n v="0"/>
    <n v="57"/>
    <n v="100"/>
    <n v="0"/>
    <n v="341.2"/>
    <n v="255.72"/>
    <m/>
    <n v="380.73191596325307"/>
    <n v="235.13233756815453"/>
    <n v="0"/>
    <n v="759762.66440000001"/>
    <n v="569421.18564000004"/>
    <n v="0"/>
    <n v="847789.84435626632"/>
    <n v="523577.87595949974"/>
  </r>
  <r>
    <s v="Refaturamento - Regular"/>
    <x v="4"/>
    <x v="5"/>
    <x v="1"/>
    <x v="0"/>
    <x v="0"/>
    <x v="0"/>
    <x v="1"/>
    <x v="6"/>
    <n v="0"/>
    <n v="0"/>
    <n v="-3.641"/>
    <n v="-3.641"/>
    <n v="-3.641"/>
    <n v="-3.641"/>
    <n v="0"/>
    <x v="1"/>
    <n v="0"/>
    <n v="0"/>
    <n v="57"/>
    <n v="100"/>
    <n v="0"/>
    <n v="341.2"/>
    <n v="255.72"/>
    <m/>
    <n v="380.73191596325307"/>
    <n v="235.13233756815453"/>
    <n v="0"/>
    <n v="-1242.3091999999999"/>
    <n v="-931.07651999999996"/>
    <n v="0"/>
    <n v="-1386.2449060222045"/>
    <n v="-856.11684108565066"/>
  </r>
  <r>
    <s v="Sistema de Compensação"/>
    <x v="4"/>
    <x v="5"/>
    <x v="1"/>
    <x v="0"/>
    <x v="0"/>
    <x v="0"/>
    <x v="1"/>
    <x v="6"/>
    <n v="0"/>
    <n v="0"/>
    <n v="393.83699999999999"/>
    <n v="393.83699999999999"/>
    <n v="393.83699999999999"/>
    <n v="393.83699999999999"/>
    <n v="468"/>
    <x v="1"/>
    <n v="0"/>
    <n v="0"/>
    <n v="57"/>
    <n v="100"/>
    <n v="0"/>
    <n v="341.2"/>
    <n v="255.72"/>
    <m/>
    <n v="380.73191596325307"/>
    <n v="235.13233756815453"/>
    <n v="0"/>
    <n v="134377.1844"/>
    <n v="100711.99764"/>
    <n v="0"/>
    <n v="149946.31558721969"/>
    <n v="92603.814430829269"/>
  </r>
  <r>
    <s v="Sistema de Compensação"/>
    <x v="4"/>
    <x v="5"/>
    <x v="1"/>
    <x v="0"/>
    <x v="0"/>
    <x v="0"/>
    <x v="1"/>
    <x v="6"/>
    <n v="0"/>
    <n v="0"/>
    <n v="-8.1829999999999998"/>
    <n v="-8.1829999999999998"/>
    <n v="-8.1829999999999998"/>
    <n v="-8.1829999999999998"/>
    <n v="0"/>
    <x v="1"/>
    <n v="0"/>
    <n v="0"/>
    <n v="57"/>
    <n v="100"/>
    <n v="0"/>
    <n v="341.2"/>
    <n v="255.72"/>
    <m/>
    <n v="380.73191596325307"/>
    <n v="235.13233756815453"/>
    <n v="0"/>
    <n v="-2792.0396000000001"/>
    <n v="-2092.5567599999999"/>
    <n v="0"/>
    <n v="-3115.5292683272996"/>
    <n v="-1924.0879183202085"/>
  </r>
  <r>
    <s v="Regular"/>
    <x v="4"/>
    <x v="5"/>
    <x v="1"/>
    <x v="0"/>
    <x v="0"/>
    <x v="0"/>
    <x v="1"/>
    <x v="7"/>
    <n v="0"/>
    <n v="0"/>
    <n v="2510.7179999999998"/>
    <n v="2510.7179999999998"/>
    <n v="2510.7179999999998"/>
    <n v="2510.7179999999998"/>
    <n v="3122"/>
    <x v="1"/>
    <n v="0"/>
    <n v="0"/>
    <n v="57"/>
    <n v="100"/>
    <n v="0"/>
    <n v="341.2"/>
    <n v="255.72"/>
    <m/>
    <n v="380.73191596325307"/>
    <n v="235.13233756815453"/>
    <n v="0"/>
    <n v="856656.98159999994"/>
    <n v="642040.80695999996"/>
    <n v="0"/>
    <n v="955910.47458342672"/>
    <n v="590350.99231444171"/>
  </r>
  <r>
    <s v="Refaturamento - Regular"/>
    <x v="4"/>
    <x v="5"/>
    <x v="1"/>
    <x v="0"/>
    <x v="0"/>
    <x v="0"/>
    <x v="1"/>
    <x v="7"/>
    <n v="0"/>
    <n v="0"/>
    <n v="-37.988"/>
    <n v="-37.988"/>
    <n v="-37.988"/>
    <n v="-37.988"/>
    <n v="-1"/>
    <x v="1"/>
    <n v="0"/>
    <n v="0"/>
    <n v="57"/>
    <n v="100"/>
    <n v="0"/>
    <n v="341.2"/>
    <n v="255.72"/>
    <m/>
    <n v="380.73191596325307"/>
    <n v="235.13233756815453"/>
    <n v="0"/>
    <n v="-12961.505599999999"/>
    <n v="-9714.2913599999993"/>
    <n v="0"/>
    <n v="-14463.244023612058"/>
    <n v="-8932.2072395390533"/>
  </r>
  <r>
    <s v="Sistema de Compensação"/>
    <x v="4"/>
    <x v="5"/>
    <x v="1"/>
    <x v="0"/>
    <x v="0"/>
    <x v="0"/>
    <x v="1"/>
    <x v="7"/>
    <n v="0"/>
    <n v="0"/>
    <n v="419.55500000000001"/>
    <n v="419.55500000000001"/>
    <n v="419.55500000000001"/>
    <n v="419.55500000000001"/>
    <n v="484"/>
    <x v="1"/>
    <n v="0"/>
    <n v="0"/>
    <n v="57"/>
    <n v="100"/>
    <n v="0"/>
    <n v="341.2"/>
    <n v="255.72"/>
    <m/>
    <n v="380.73191596325307"/>
    <n v="235.13233756815453"/>
    <n v="0"/>
    <n v="143152.166"/>
    <n v="107288.60460000001"/>
    <n v="0"/>
    <n v="159737.97900196264"/>
    <n v="98650.94788840707"/>
  </r>
  <r>
    <s v="Sistema de Compensação"/>
    <x v="4"/>
    <x v="5"/>
    <x v="1"/>
    <x v="0"/>
    <x v="0"/>
    <x v="0"/>
    <x v="1"/>
    <x v="7"/>
    <n v="0"/>
    <n v="0"/>
    <n v="-2.5539999999999998"/>
    <n v="-2.5539999999999998"/>
    <n v="-2.5539999999999998"/>
    <n v="-2.5539999999999998"/>
    <n v="0"/>
    <x v="1"/>
    <n v="0"/>
    <n v="0"/>
    <n v="57"/>
    <n v="100"/>
    <n v="0"/>
    <n v="341.2"/>
    <n v="255.72"/>
    <m/>
    <n v="380.73191596325307"/>
    <n v="235.13233756815453"/>
    <n v="0"/>
    <n v="-871.42479999999989"/>
    <n v="-653.10888"/>
    <n v="0"/>
    <n v="-972.38931337014833"/>
    <n v="-600.52799014906657"/>
  </r>
  <r>
    <s v="Regular"/>
    <x v="4"/>
    <x v="5"/>
    <x v="1"/>
    <x v="0"/>
    <x v="0"/>
    <x v="0"/>
    <x v="1"/>
    <x v="8"/>
    <n v="0"/>
    <n v="0"/>
    <n v="2466.7739999999999"/>
    <n v="2466.7739999999999"/>
    <n v="2466.7739999999999"/>
    <n v="2466.7739999999999"/>
    <n v="3116"/>
    <x v="1"/>
    <n v="0"/>
    <n v="0"/>
    <n v="57"/>
    <n v="100"/>
    <n v="0"/>
    <n v="341.2"/>
    <n v="255.72"/>
    <m/>
    <n v="380.73191596325307"/>
    <n v="235.13233756815453"/>
    <n v="0"/>
    <n v="841663.28879999998"/>
    <n v="630803.44727999996"/>
    <n v="0"/>
    <n v="939179.59126833756"/>
    <n v="580018.33687234682"/>
  </r>
  <r>
    <s v="Refaturamento - Regular"/>
    <x v="4"/>
    <x v="5"/>
    <x v="1"/>
    <x v="0"/>
    <x v="0"/>
    <x v="0"/>
    <x v="1"/>
    <x v="8"/>
    <n v="0"/>
    <n v="0"/>
    <n v="-21.507999999999999"/>
    <n v="-21.507999999999999"/>
    <n v="-21.507999999999999"/>
    <n v="-21.507999999999999"/>
    <n v="-2"/>
    <x v="1"/>
    <n v="0"/>
    <n v="0"/>
    <n v="57"/>
    <n v="100"/>
    <n v="0"/>
    <n v="341.2"/>
    <n v="255.72"/>
    <m/>
    <n v="380.73191596325307"/>
    <n v="235.13233756815453"/>
    <n v="0"/>
    <n v="-7338.5295999999998"/>
    <n v="-5500.0257599999995"/>
    <n v="0"/>
    <n v="-8188.7820485376469"/>
    <n v="-5057.2263164158676"/>
  </r>
  <r>
    <s v="Sistema de Compensação"/>
    <x v="4"/>
    <x v="5"/>
    <x v="1"/>
    <x v="0"/>
    <x v="0"/>
    <x v="0"/>
    <x v="1"/>
    <x v="8"/>
    <n v="0"/>
    <n v="0"/>
    <n v="468.37900000000002"/>
    <n v="468.37900000000002"/>
    <n v="468.37900000000002"/>
    <n v="468.37900000000002"/>
    <n v="493"/>
    <x v="1"/>
    <n v="0"/>
    <n v="0"/>
    <n v="57"/>
    <n v="100"/>
    <n v="0"/>
    <n v="341.2"/>
    <n v="255.72"/>
    <m/>
    <n v="380.73191596325307"/>
    <n v="235.13233756815453"/>
    <n v="0"/>
    <n v="159810.9148"/>
    <n v="119773.87788"/>
    <n v="0"/>
    <n v="178326.83406695252"/>
    <n v="110131.04913783465"/>
  </r>
  <r>
    <s v="Sistema de Compensação"/>
    <x v="4"/>
    <x v="5"/>
    <x v="1"/>
    <x v="0"/>
    <x v="0"/>
    <x v="0"/>
    <x v="1"/>
    <x v="8"/>
    <n v="0"/>
    <n v="0"/>
    <n v="-4.7839999999999998"/>
    <n v="-4.7839999999999998"/>
    <n v="-4.7839999999999998"/>
    <n v="-4.7839999999999998"/>
    <n v="0"/>
    <x v="1"/>
    <n v="0"/>
    <n v="0"/>
    <n v="57"/>
    <n v="100"/>
    <n v="0"/>
    <n v="341.2"/>
    <n v="255.72"/>
    <m/>
    <n v="380.73191596325307"/>
    <n v="235.13233756815453"/>
    <n v="0"/>
    <n v="-1632.3008"/>
    <n v="-1223.36448"/>
    <n v="0"/>
    <n v="-1821.4214859682027"/>
    <n v="-1124.8731029260512"/>
  </r>
  <r>
    <s v="Regular"/>
    <x v="4"/>
    <x v="5"/>
    <x v="1"/>
    <x v="0"/>
    <x v="0"/>
    <x v="0"/>
    <x v="1"/>
    <x v="9"/>
    <n v="0"/>
    <n v="0"/>
    <n v="2478.471"/>
    <n v="2478.471"/>
    <n v="2478.471"/>
    <n v="2478.471"/>
    <n v="3096"/>
    <x v="1"/>
    <n v="0"/>
    <n v="0"/>
    <n v="57"/>
    <n v="100"/>
    <n v="0"/>
    <n v="341.2"/>
    <n v="255.72"/>
    <m/>
    <n v="380.73191596325307"/>
    <n v="235.13233756815453"/>
    <n v="0"/>
    <n v="845654.30519999994"/>
    <n v="633794.60412000003"/>
    <n v="0"/>
    <n v="943633.01248935983"/>
    <n v="582768.67982488149"/>
  </r>
  <r>
    <s v="Refaturamento - Regular"/>
    <x v="4"/>
    <x v="5"/>
    <x v="1"/>
    <x v="0"/>
    <x v="0"/>
    <x v="0"/>
    <x v="1"/>
    <x v="9"/>
    <n v="0"/>
    <n v="0"/>
    <n v="-5.7759999999999998"/>
    <n v="-5.7759999999999998"/>
    <n v="-5.7759999999999998"/>
    <n v="-5.7759999999999998"/>
    <n v="0"/>
    <x v="1"/>
    <n v="0"/>
    <n v="0"/>
    <n v="57"/>
    <n v="100"/>
    <n v="0"/>
    <n v="341.2"/>
    <n v="255.72"/>
    <m/>
    <n v="380.73191596325307"/>
    <n v="235.13233756815453"/>
    <n v="0"/>
    <n v="-1970.7711999999999"/>
    <n v="-1477.03872"/>
    <n v="0"/>
    <n v="-2199.1075466037496"/>
    <n v="-1358.1243817936604"/>
  </r>
  <r>
    <s v="Sistema de Compensação"/>
    <x v="4"/>
    <x v="5"/>
    <x v="1"/>
    <x v="0"/>
    <x v="0"/>
    <x v="0"/>
    <x v="1"/>
    <x v="9"/>
    <n v="0"/>
    <n v="0"/>
    <n v="555.96500000000003"/>
    <n v="555.96500000000003"/>
    <n v="555.96500000000003"/>
    <n v="555.96500000000003"/>
    <n v="498"/>
    <x v="1"/>
    <n v="0"/>
    <n v="0"/>
    <n v="57"/>
    <n v="100"/>
    <n v="0"/>
    <n v="341.2"/>
    <n v="255.72"/>
    <m/>
    <n v="380.73191596325307"/>
    <n v="235.13233756815453"/>
    <n v="0"/>
    <n v="189695.258"/>
    <n v="142171.36980000001"/>
    <n v="0"/>
    <n v="211673.61965851"/>
    <n v="130725.35005607904"/>
  </r>
  <r>
    <s v="Regular"/>
    <x v="4"/>
    <x v="5"/>
    <x v="1"/>
    <x v="0"/>
    <x v="0"/>
    <x v="0"/>
    <x v="1"/>
    <x v="10"/>
    <n v="0"/>
    <n v="0"/>
    <n v="2225.4090000000001"/>
    <n v="2225.4090000000001"/>
    <n v="2225.4090000000001"/>
    <n v="2225.4090000000001"/>
    <n v="3093"/>
    <x v="1"/>
    <n v="0"/>
    <n v="0"/>
    <n v="57"/>
    <n v="100"/>
    <n v="0"/>
    <n v="341.2"/>
    <n v="255.72"/>
    <m/>
    <n v="380.73191596325307"/>
    <n v="235.13233756815453"/>
    <n v="0"/>
    <n v="759309.55079999997"/>
    <n v="569081.58948000008"/>
    <n v="0"/>
    <n v="847284.23237186705"/>
    <n v="523265.6202152092"/>
  </r>
  <r>
    <s v="Refaturamento - Regular"/>
    <x v="4"/>
    <x v="5"/>
    <x v="1"/>
    <x v="0"/>
    <x v="0"/>
    <x v="0"/>
    <x v="1"/>
    <x v="10"/>
    <n v="0"/>
    <n v="0"/>
    <n v="-6.25"/>
    <n v="-6.25"/>
    <n v="-6.25"/>
    <n v="-6.25"/>
    <n v="-1"/>
    <x v="1"/>
    <n v="0"/>
    <n v="0"/>
    <n v="57"/>
    <n v="100"/>
    <n v="0"/>
    <n v="341.2"/>
    <n v="255.72"/>
    <m/>
    <n v="380.73191596325307"/>
    <n v="235.13233756815453"/>
    <n v="0"/>
    <n v="-2132.5"/>
    <n v="-1598.25"/>
    <n v="0"/>
    <n v="-2379.5744747703316"/>
    <n v="-1469.5771098009659"/>
  </r>
  <r>
    <s v="Sistema de Compensação"/>
    <x v="4"/>
    <x v="5"/>
    <x v="1"/>
    <x v="0"/>
    <x v="0"/>
    <x v="0"/>
    <x v="1"/>
    <x v="10"/>
    <n v="0"/>
    <n v="0"/>
    <n v="638.27499999999998"/>
    <n v="638.27499999999998"/>
    <n v="638.27499999999998"/>
    <n v="638.27499999999998"/>
    <n v="515"/>
    <x v="1"/>
    <n v="0"/>
    <n v="0"/>
    <n v="57"/>
    <n v="100"/>
    <n v="0"/>
    <n v="341.2"/>
    <n v="255.72"/>
    <m/>
    <n v="380.73191596325307"/>
    <n v="235.13233756815453"/>
    <n v="0"/>
    <n v="217779.43"/>
    <n v="163219.68299999999"/>
    <n v="0"/>
    <n v="243011.66366144535"/>
    <n v="150079.09276131383"/>
  </r>
  <r>
    <s v="Sistema de Compensação"/>
    <x v="4"/>
    <x v="5"/>
    <x v="1"/>
    <x v="0"/>
    <x v="0"/>
    <x v="0"/>
    <x v="1"/>
    <x v="10"/>
    <n v="0"/>
    <n v="0"/>
    <n v="-0.33700000000000002"/>
    <n v="-0.33700000000000002"/>
    <n v="-0.33700000000000002"/>
    <n v="-0.33700000000000002"/>
    <n v="0"/>
    <x v="1"/>
    <n v="0"/>
    <n v="0"/>
    <n v="57"/>
    <n v="100"/>
    <n v="0"/>
    <n v="341.2"/>
    <n v="255.72"/>
    <m/>
    <n v="380.73191596325307"/>
    <n v="235.13233756815453"/>
    <n v="0"/>
    <n v="-114.98440000000001"/>
    <n v="-86.177640000000011"/>
    <n v="0"/>
    <n v="-128.30665567961628"/>
    <n v="-79.239597760468087"/>
  </r>
  <r>
    <s v="PROJETADO"/>
    <x v="4"/>
    <x v="5"/>
    <x v="1"/>
    <x v="0"/>
    <x v="0"/>
    <x v="0"/>
    <x v="1"/>
    <x v="11"/>
    <n v="0"/>
    <n v="0"/>
    <n v="2225.4090000000001"/>
    <n v="2225.4090000000001"/>
    <n v="2225.4090000000001"/>
    <n v="2225.4090000000001"/>
    <n v="3093"/>
    <x v="1"/>
    <n v="0"/>
    <n v="0"/>
    <n v="57"/>
    <n v="100"/>
    <n v="0"/>
    <n v="341.2"/>
    <n v="255.72"/>
    <m/>
    <n v="380.73191596325307"/>
    <n v="235.13233756815453"/>
    <n v="0"/>
    <n v="759309.55079999997"/>
    <n v="569081.58948000008"/>
    <n v="0"/>
    <n v="847284.23237186705"/>
    <n v="523265.6202152092"/>
  </r>
  <r>
    <s v="PROJETADO"/>
    <x v="4"/>
    <x v="5"/>
    <x v="1"/>
    <x v="0"/>
    <x v="0"/>
    <x v="0"/>
    <x v="1"/>
    <x v="11"/>
    <n v="0"/>
    <n v="0"/>
    <n v="-6.25"/>
    <n v="-6.25"/>
    <n v="-6.25"/>
    <n v="-6.25"/>
    <n v="-1"/>
    <x v="1"/>
    <n v="0"/>
    <n v="0"/>
    <n v="57"/>
    <n v="100"/>
    <n v="0"/>
    <n v="341.2"/>
    <n v="255.72"/>
    <m/>
    <n v="380.73191596325307"/>
    <n v="235.13233756815453"/>
    <n v="0"/>
    <n v="-2132.5"/>
    <n v="-1598.25"/>
    <n v="0"/>
    <n v="-2379.5744747703316"/>
    <n v="-1469.5771098009659"/>
  </r>
  <r>
    <s v="PROJETADO"/>
    <x v="4"/>
    <x v="5"/>
    <x v="1"/>
    <x v="0"/>
    <x v="0"/>
    <x v="0"/>
    <x v="1"/>
    <x v="11"/>
    <n v="0"/>
    <n v="0"/>
    <n v="638.27499999999998"/>
    <n v="638.27499999999998"/>
    <n v="638.27499999999998"/>
    <n v="638.27499999999998"/>
    <n v="515"/>
    <x v="1"/>
    <n v="0"/>
    <n v="0"/>
    <n v="57"/>
    <n v="100"/>
    <n v="0"/>
    <n v="341.2"/>
    <n v="255.72"/>
    <m/>
    <n v="380.73191596325307"/>
    <n v="235.13233756815453"/>
    <n v="0"/>
    <n v="217779.43"/>
    <n v="163219.68299999999"/>
    <n v="0"/>
    <n v="243011.66366144535"/>
    <n v="150079.09276131383"/>
  </r>
  <r>
    <s v="PROJETADO"/>
    <x v="4"/>
    <x v="5"/>
    <x v="1"/>
    <x v="0"/>
    <x v="0"/>
    <x v="0"/>
    <x v="1"/>
    <x v="11"/>
    <n v="0"/>
    <n v="0"/>
    <n v="-0.33700000000000002"/>
    <n v="-0.33700000000000002"/>
    <n v="-0.33700000000000002"/>
    <n v="-0.33700000000000002"/>
    <n v="0"/>
    <x v="1"/>
    <n v="0"/>
    <n v="0"/>
    <n v="57"/>
    <n v="100"/>
    <n v="0"/>
    <n v="341.2"/>
    <n v="255.72"/>
    <m/>
    <n v="380.73191596325307"/>
    <n v="235.13233756815453"/>
    <n v="0"/>
    <n v="-114.98440000000001"/>
    <n v="-86.177640000000011"/>
    <n v="0"/>
    <n v="-128.30665567961628"/>
    <n v="-79.239597760468087"/>
  </r>
  <r>
    <s v="Regular"/>
    <x v="4"/>
    <x v="5"/>
    <x v="5"/>
    <x v="0"/>
    <x v="0"/>
    <x v="0"/>
    <x v="1"/>
    <x v="0"/>
    <n v="0"/>
    <n v="0"/>
    <n v="8498.3240000000005"/>
    <n v="8498.3240000000005"/>
    <n v="8498.3240000000005"/>
    <n v="8498.3240000000005"/>
    <n v="16540"/>
    <x v="1"/>
    <n v="0"/>
    <n v="0"/>
    <n v="57"/>
    <n v="100"/>
    <n v="0"/>
    <n v="341.2"/>
    <n v="255.72"/>
    <m/>
    <n v="380.73191596325307"/>
    <n v="235.13233756815453"/>
    <n v="0"/>
    <n v="2899628.1488000001"/>
    <n v="2173191.41328"/>
    <n v="0"/>
    <n v="3235583.1789964968"/>
    <n v="1998230.7875315493"/>
  </r>
  <r>
    <s v="Refaturamento - Regular"/>
    <x v="4"/>
    <x v="5"/>
    <x v="5"/>
    <x v="0"/>
    <x v="0"/>
    <x v="0"/>
    <x v="1"/>
    <x v="0"/>
    <n v="0"/>
    <n v="0"/>
    <n v="-66.433000000000007"/>
    <n v="-66.433000000000007"/>
    <n v="-66.433000000000007"/>
    <n v="-66.433000000000007"/>
    <n v="-3"/>
    <x v="1"/>
    <n v="0"/>
    <n v="0"/>
    <n v="57"/>
    <n v="100"/>
    <n v="0"/>
    <n v="341.2"/>
    <n v="255.72"/>
    <m/>
    <n v="380.73191596325307"/>
    <n v="235.13233756815453"/>
    <n v="0"/>
    <n v="-22666.939600000002"/>
    <n v="-16988.246760000002"/>
    <n v="0"/>
    <n v="-25293.163373186795"/>
    <n v="-15620.54658166521"/>
  </r>
  <r>
    <s v="Sistema de Compensação"/>
    <x v="4"/>
    <x v="5"/>
    <x v="5"/>
    <x v="0"/>
    <x v="0"/>
    <x v="0"/>
    <x v="1"/>
    <x v="0"/>
    <n v="0"/>
    <n v="0"/>
    <n v="51.176000000000002"/>
    <n v="51.176000000000002"/>
    <n v="51.176000000000002"/>
    <n v="51.176000000000002"/>
    <n v="98"/>
    <x v="1"/>
    <n v="0"/>
    <n v="0"/>
    <n v="57"/>
    <n v="100"/>
    <n v="0"/>
    <n v="341.2"/>
    <n v="255.72"/>
    <m/>
    <n v="380.73191596325307"/>
    <n v="235.13233756815453"/>
    <n v="0"/>
    <n v="17461.251199999999"/>
    <n v="13086.726720000001"/>
    <n v="0"/>
    <n v="19484.336531335441"/>
    <n v="12033.132507387876"/>
  </r>
  <r>
    <s v="Regular"/>
    <x v="4"/>
    <x v="5"/>
    <x v="5"/>
    <x v="0"/>
    <x v="0"/>
    <x v="0"/>
    <x v="1"/>
    <x v="1"/>
    <n v="0"/>
    <n v="0"/>
    <n v="8745.8809999999994"/>
    <n v="8745.8809999999994"/>
    <n v="8745.8809999999994"/>
    <n v="8745.8809999999994"/>
    <n v="16546"/>
    <x v="1"/>
    <n v="0"/>
    <n v="0"/>
    <n v="57"/>
    <n v="100"/>
    <n v="0"/>
    <n v="341.2"/>
    <n v="255.72"/>
    <m/>
    <n v="380.73191596325307"/>
    <n v="235.13233756815453"/>
    <n v="0"/>
    <n v="2984094.5971999997"/>
    <n v="2236496.6893199999"/>
    <n v="0"/>
    <n v="3329836.0299166115"/>
    <n v="2056439.4436229088"/>
  </r>
  <r>
    <s v="Refaturamento - Regular"/>
    <x v="4"/>
    <x v="5"/>
    <x v="5"/>
    <x v="0"/>
    <x v="0"/>
    <x v="0"/>
    <x v="1"/>
    <x v="1"/>
    <n v="0"/>
    <n v="0"/>
    <n v="-40.125"/>
    <n v="-40.125"/>
    <n v="-40.125"/>
    <n v="-40.125"/>
    <n v="0"/>
    <x v="1"/>
    <n v="0"/>
    <n v="0"/>
    <n v="57"/>
    <n v="100"/>
    <n v="0"/>
    <n v="341.2"/>
    <n v="255.72"/>
    <m/>
    <n v="380.73191596325307"/>
    <n v="235.13233756815453"/>
    <n v="0"/>
    <n v="-13690.65"/>
    <n v="-10260.764999999999"/>
    <n v="0"/>
    <n v="-15276.86812802553"/>
    <n v="-9434.6850449222002"/>
  </r>
  <r>
    <s v="Sistema de Compensação"/>
    <x v="4"/>
    <x v="5"/>
    <x v="5"/>
    <x v="0"/>
    <x v="0"/>
    <x v="0"/>
    <x v="1"/>
    <x v="1"/>
    <n v="0"/>
    <n v="0"/>
    <n v="68.731999999999999"/>
    <n v="68.731999999999999"/>
    <n v="68.731999999999999"/>
    <n v="68.731999999999999"/>
    <n v="100"/>
    <x v="1"/>
    <n v="0"/>
    <n v="0"/>
    <n v="57"/>
    <n v="100"/>
    <n v="0"/>
    <n v="341.2"/>
    <n v="255.72"/>
    <m/>
    <n v="380.73191596325307"/>
    <n v="235.13233756815453"/>
    <n v="0"/>
    <n v="23451.358399999997"/>
    <n v="17576.14704"/>
    <n v="0"/>
    <n v="26168.466047986309"/>
    <n v="16161.115825734396"/>
  </r>
  <r>
    <s v="Regular"/>
    <x v="4"/>
    <x v="5"/>
    <x v="5"/>
    <x v="0"/>
    <x v="0"/>
    <x v="0"/>
    <x v="1"/>
    <x v="2"/>
    <n v="0"/>
    <n v="0"/>
    <n v="9958.1229999999996"/>
    <n v="9958.1229999999996"/>
    <n v="9958.1229999999996"/>
    <n v="9958.1229999999996"/>
    <n v="16538"/>
    <x v="1"/>
    <n v="0"/>
    <n v="0"/>
    <n v="57"/>
    <n v="100"/>
    <n v="0"/>
    <n v="341.2"/>
    <n v="255.72"/>
    <m/>
    <n v="380.73191596325307"/>
    <n v="235.13233756815453"/>
    <n v="0"/>
    <n v="3397711.5675999997"/>
    <n v="2546491.2135600001"/>
    <n v="0"/>
    <n v="3791375.2491877372"/>
    <n v="2341476.7387812035"/>
  </r>
  <r>
    <s v="Refaturamento - Regular"/>
    <x v="4"/>
    <x v="5"/>
    <x v="5"/>
    <x v="0"/>
    <x v="0"/>
    <x v="0"/>
    <x v="1"/>
    <x v="2"/>
    <n v="0"/>
    <n v="0"/>
    <n v="-10.863"/>
    <n v="-10.863"/>
    <n v="-10.863"/>
    <n v="-10.863"/>
    <n v="1"/>
    <x v="1"/>
    <n v="0"/>
    <n v="0"/>
    <n v="57"/>
    <n v="100"/>
    <n v="0"/>
    <n v="341.2"/>
    <n v="255.72"/>
    <m/>
    <n v="380.73191596325307"/>
    <n v="235.13233756815453"/>
    <n v="0"/>
    <n v="-3706.4555999999998"/>
    <n v="-2777.88636"/>
    <n v="0"/>
    <n v="-4135.8908031088176"/>
    <n v="-2554.2425830028624"/>
  </r>
  <r>
    <s v="Sistema de Compensação"/>
    <x v="4"/>
    <x v="5"/>
    <x v="5"/>
    <x v="0"/>
    <x v="0"/>
    <x v="0"/>
    <x v="1"/>
    <x v="2"/>
    <n v="0"/>
    <n v="0"/>
    <n v="86.811000000000007"/>
    <n v="86.811000000000007"/>
    <n v="86.811000000000007"/>
    <n v="86.811000000000007"/>
    <n v="103"/>
    <x v="1"/>
    <n v="0"/>
    <n v="0"/>
    <n v="57"/>
    <n v="100"/>
    <n v="0"/>
    <n v="341.2"/>
    <n v="255.72"/>
    <m/>
    <n v="380.73191596325307"/>
    <n v="235.13233756815453"/>
    <n v="0"/>
    <n v="29619.913200000003"/>
    <n v="22199.308920000003"/>
    <n v="0"/>
    <n v="33051.718356685968"/>
    <n v="20412.073356629066"/>
  </r>
  <r>
    <s v="Regular"/>
    <x v="4"/>
    <x v="5"/>
    <x v="5"/>
    <x v="0"/>
    <x v="0"/>
    <x v="0"/>
    <x v="1"/>
    <x v="3"/>
    <n v="0"/>
    <n v="0"/>
    <n v="10285.209000000001"/>
    <n v="10285.209000000001"/>
    <n v="10285.209000000001"/>
    <n v="10285.209000000001"/>
    <n v="16594"/>
    <x v="1"/>
    <n v="0"/>
    <n v="0"/>
    <n v="57"/>
    <n v="100"/>
    <n v="0"/>
    <n v="341.2"/>
    <n v="255.72"/>
    <m/>
    <n v="380.73191596325307"/>
    <n v="235.13233756815453"/>
    <n v="0"/>
    <n v="3509313.3108000001"/>
    <n v="2630133.6454799999"/>
    <n v="0"/>
    <n v="3915907.3286524946"/>
    <n v="2418385.2345470213"/>
  </r>
  <r>
    <s v="Refaturamento - Regular"/>
    <x v="4"/>
    <x v="5"/>
    <x v="5"/>
    <x v="0"/>
    <x v="0"/>
    <x v="0"/>
    <x v="1"/>
    <x v="3"/>
    <n v="0"/>
    <n v="0"/>
    <n v="-0.42099999999999999"/>
    <n v="-0.42099999999999999"/>
    <n v="-0.42099999999999999"/>
    <n v="-0.42099999999999999"/>
    <n v="-4"/>
    <x v="1"/>
    <n v="0"/>
    <n v="0"/>
    <n v="57"/>
    <n v="100"/>
    <n v="0"/>
    <n v="341.2"/>
    <n v="255.72"/>
    <m/>
    <n v="380.73191596325307"/>
    <n v="235.13233756815453"/>
    <n v="0"/>
    <n v="-143.64519999999999"/>
    <n v="-107.65812"/>
    <n v="0"/>
    <n v="-160.28813662052954"/>
    <n v="-98.990714116193047"/>
  </r>
  <r>
    <s v="Sistema de Compensação"/>
    <x v="4"/>
    <x v="5"/>
    <x v="5"/>
    <x v="0"/>
    <x v="0"/>
    <x v="0"/>
    <x v="1"/>
    <x v="3"/>
    <n v="0"/>
    <n v="0"/>
    <n v="85.778999999999996"/>
    <n v="85.778999999999996"/>
    <n v="85.778999999999996"/>
    <n v="85.778999999999996"/>
    <n v="104"/>
    <x v="1"/>
    <n v="0"/>
    <n v="0"/>
    <n v="57"/>
    <n v="100"/>
    <n v="0"/>
    <n v="341.2"/>
    <n v="255.72"/>
    <m/>
    <n v="380.73191596325307"/>
    <n v="235.13233756815453"/>
    <n v="0"/>
    <n v="29267.794799999996"/>
    <n v="21935.405879999998"/>
    <n v="0"/>
    <n v="32658.803019411884"/>
    <n v="20169.416784258727"/>
  </r>
  <r>
    <s v="Regular"/>
    <x v="4"/>
    <x v="5"/>
    <x v="5"/>
    <x v="0"/>
    <x v="0"/>
    <x v="0"/>
    <x v="1"/>
    <x v="4"/>
    <n v="0"/>
    <n v="0"/>
    <n v="11934.83"/>
    <n v="11934.83"/>
    <n v="11934.83"/>
    <n v="11934.83"/>
    <n v="16683"/>
    <x v="1"/>
    <n v="0"/>
    <n v="0"/>
    <n v="57"/>
    <n v="100"/>
    <n v="0"/>
    <n v="341.2"/>
    <n v="255.72"/>
    <m/>
    <n v="380.73191596325307"/>
    <n v="235.13233756815453"/>
    <n v="0"/>
    <n v="4072163.9959999998"/>
    <n v="3051974.7275999999"/>
    <n v="0"/>
    <n v="4543970.6925957119"/>
    <n v="2806264.4763785377"/>
  </r>
  <r>
    <s v="Refaturamento - Regular"/>
    <x v="4"/>
    <x v="5"/>
    <x v="5"/>
    <x v="0"/>
    <x v="0"/>
    <x v="0"/>
    <x v="1"/>
    <x v="4"/>
    <n v="0"/>
    <n v="0"/>
    <n v="-1.1839999999999999"/>
    <n v="-1.1839999999999999"/>
    <n v="-1.1839999999999999"/>
    <n v="-1.1839999999999999"/>
    <n v="-3"/>
    <x v="1"/>
    <n v="0"/>
    <n v="0"/>
    <n v="57"/>
    <n v="100"/>
    <n v="0"/>
    <n v="341.2"/>
    <n v="255.72"/>
    <m/>
    <n v="380.73191596325307"/>
    <n v="235.13233756815453"/>
    <n v="0"/>
    <n v="-403.98079999999999"/>
    <n v="-302.77247999999997"/>
    <n v="0"/>
    <n v="-450.78658850049163"/>
    <n v="-278.39668768069492"/>
  </r>
  <r>
    <s v="Sistema de Compensação"/>
    <x v="4"/>
    <x v="5"/>
    <x v="5"/>
    <x v="0"/>
    <x v="0"/>
    <x v="0"/>
    <x v="1"/>
    <x v="4"/>
    <n v="0"/>
    <n v="0"/>
    <n v="91.763999999999996"/>
    <n v="91.763999999999996"/>
    <n v="91.763999999999996"/>
    <n v="91.763999999999996"/>
    <n v="105"/>
    <x v="1"/>
    <n v="0"/>
    <n v="0"/>
    <n v="57"/>
    <n v="100"/>
    <n v="0"/>
    <n v="341.2"/>
    <n v="255.72"/>
    <m/>
    <n v="380.73191596325307"/>
    <n v="235.13233756815453"/>
    <n v="0"/>
    <n v="31309.876799999998"/>
    <n v="23465.890079999997"/>
    <n v="0"/>
    <n v="34937.483536451953"/>
    <n v="21576.68382460413"/>
  </r>
  <r>
    <s v="Regular"/>
    <x v="4"/>
    <x v="5"/>
    <x v="5"/>
    <x v="0"/>
    <x v="0"/>
    <x v="0"/>
    <x v="1"/>
    <x v="5"/>
    <n v="0"/>
    <n v="0"/>
    <n v="9524.6080000000002"/>
    <n v="9524.6080000000002"/>
    <n v="9524.6080000000002"/>
    <n v="9524.6080000000002"/>
    <n v="16710"/>
    <x v="1"/>
    <n v="0"/>
    <n v="0"/>
    <n v="57"/>
    <n v="100"/>
    <n v="0"/>
    <n v="341.2"/>
    <n v="255.72"/>
    <m/>
    <n v="380.73191596325307"/>
    <n v="235.13233756815453"/>
    <n v="0"/>
    <n v="3249796.2495999997"/>
    <n v="2435632.7577599999"/>
    <n v="0"/>
    <n v="3626322.2526389281"/>
    <n v="2239543.3434603452"/>
  </r>
  <r>
    <s v="Refaturamento - Regular"/>
    <x v="4"/>
    <x v="5"/>
    <x v="5"/>
    <x v="0"/>
    <x v="0"/>
    <x v="0"/>
    <x v="1"/>
    <x v="5"/>
    <n v="0"/>
    <n v="0"/>
    <n v="-108.285"/>
    <n v="-108.285"/>
    <n v="-108.285"/>
    <n v="-108.285"/>
    <n v="-8"/>
    <x v="1"/>
    <n v="0"/>
    <n v="0"/>
    <n v="57"/>
    <n v="100"/>
    <n v="0"/>
    <n v="341.2"/>
    <n v="255.72"/>
    <m/>
    <n v="380.73191596325307"/>
    <n v="235.13233756815453"/>
    <n v="0"/>
    <n v="-36946.841999999997"/>
    <n v="-27690.640199999998"/>
    <n v="0"/>
    <n v="-41227.555520080859"/>
    <n v="-25461.305173567613"/>
  </r>
  <r>
    <s v="Sistema de Compensação"/>
    <x v="4"/>
    <x v="5"/>
    <x v="5"/>
    <x v="0"/>
    <x v="0"/>
    <x v="0"/>
    <x v="1"/>
    <x v="5"/>
    <n v="0"/>
    <n v="0"/>
    <n v="69.765000000000001"/>
    <n v="69.765000000000001"/>
    <n v="69.765000000000001"/>
    <n v="69.765000000000001"/>
    <n v="109"/>
    <x v="1"/>
    <n v="0"/>
    <n v="0"/>
    <n v="57"/>
    <n v="100"/>
    <n v="0"/>
    <n v="341.2"/>
    <n v="255.72"/>
    <m/>
    <n v="380.73191596325307"/>
    <n v="235.13233756815453"/>
    <n v="0"/>
    <n v="23803.817999999999"/>
    <n v="17840.305799999998"/>
    <n v="0"/>
    <n v="26561.762117176349"/>
    <n v="16404.007530442301"/>
  </r>
  <r>
    <s v="Regular"/>
    <x v="4"/>
    <x v="5"/>
    <x v="5"/>
    <x v="0"/>
    <x v="0"/>
    <x v="0"/>
    <x v="1"/>
    <x v="6"/>
    <n v="0"/>
    <n v="0"/>
    <n v="9151.9009999999998"/>
    <n v="9151.9009999999998"/>
    <n v="9151.9009999999998"/>
    <n v="9151.9009999999998"/>
    <n v="16733"/>
    <x v="1"/>
    <n v="0"/>
    <n v="0"/>
    <n v="57"/>
    <n v="100"/>
    <n v="0"/>
    <n v="341.2"/>
    <n v="255.72"/>
    <m/>
    <n v="380.73191596325307"/>
    <n v="235.13233756815453"/>
    <n v="0"/>
    <n v="3122628.6211999999"/>
    <n v="2340324.12372"/>
    <n v="0"/>
    <n v="3484420.8024360118"/>
    <n v="2151907.8753223307"/>
  </r>
  <r>
    <s v="Refaturamento - Regular"/>
    <x v="4"/>
    <x v="5"/>
    <x v="5"/>
    <x v="0"/>
    <x v="0"/>
    <x v="0"/>
    <x v="1"/>
    <x v="6"/>
    <n v="0"/>
    <n v="0"/>
    <n v="-30.533000000000001"/>
    <n v="-30.533000000000001"/>
    <n v="-30.533000000000001"/>
    <n v="-30.533000000000001"/>
    <n v="3"/>
    <x v="1"/>
    <n v="0"/>
    <n v="0"/>
    <n v="57"/>
    <n v="100"/>
    <n v="0"/>
    <n v="341.2"/>
    <n v="255.72"/>
    <m/>
    <n v="380.73191596325307"/>
    <n v="235.13233756815453"/>
    <n v="0"/>
    <n v="-10417.8596"/>
    <n v="-7807.89876"/>
    <n v="0"/>
    <n v="-11624.887590106007"/>
    <n v="-7179.2956629684622"/>
  </r>
  <r>
    <s v="Sistema de Compensação"/>
    <x v="4"/>
    <x v="5"/>
    <x v="5"/>
    <x v="0"/>
    <x v="0"/>
    <x v="0"/>
    <x v="1"/>
    <x v="6"/>
    <n v="0"/>
    <n v="0"/>
    <n v="63.994"/>
    <n v="63.994"/>
    <n v="63.994"/>
    <n v="63.994"/>
    <n v="112"/>
    <x v="1"/>
    <n v="0"/>
    <n v="0"/>
    <n v="57"/>
    <n v="100"/>
    <n v="0"/>
    <n v="341.2"/>
    <n v="255.72"/>
    <m/>
    <n v="380.73191596325307"/>
    <n v="235.13233756815453"/>
    <n v="0"/>
    <n v="21834.752799999998"/>
    <n v="16364.545679999999"/>
    <n v="0"/>
    <n v="24364.558230152415"/>
    <n v="15047.058810336481"/>
  </r>
  <r>
    <s v="Regular"/>
    <x v="4"/>
    <x v="5"/>
    <x v="5"/>
    <x v="0"/>
    <x v="0"/>
    <x v="0"/>
    <x v="1"/>
    <x v="7"/>
    <n v="0"/>
    <n v="0"/>
    <n v="11237.617"/>
    <n v="11237.617"/>
    <n v="11237.617"/>
    <n v="11237.617"/>
    <n v="16766"/>
    <x v="1"/>
    <n v="0"/>
    <n v="0"/>
    <n v="57"/>
    <n v="100"/>
    <n v="0"/>
    <n v="341.2"/>
    <n v="255.72"/>
    <m/>
    <n v="380.73191596325307"/>
    <n v="235.13233756815453"/>
    <n v="0"/>
    <n v="3834274.9203999997"/>
    <n v="2873683.4192400002"/>
    <n v="0"/>
    <n v="4278519.4512712238"/>
    <n v="2642327.153905632"/>
  </r>
  <r>
    <s v="Refaturamento - Regular"/>
    <x v="4"/>
    <x v="5"/>
    <x v="5"/>
    <x v="0"/>
    <x v="0"/>
    <x v="0"/>
    <x v="1"/>
    <x v="7"/>
    <n v="0"/>
    <n v="0"/>
    <n v="-61.042999999999999"/>
    <n v="-61.042999999999999"/>
    <n v="-61.042999999999999"/>
    <n v="-61.042999999999999"/>
    <n v="-5"/>
    <x v="1"/>
    <n v="0"/>
    <n v="0"/>
    <n v="57"/>
    <n v="100"/>
    <n v="0"/>
    <n v="341.2"/>
    <n v="255.72"/>
    <m/>
    <n v="380.73191596325307"/>
    <n v="235.13233756815453"/>
    <n v="0"/>
    <n v="-20827.871599999999"/>
    <n v="-15609.91596"/>
    <n v="0"/>
    <n v="-23241.018346144858"/>
    <n v="-14353.183282172857"/>
  </r>
  <r>
    <s v="Sistema de Compensação"/>
    <x v="4"/>
    <x v="5"/>
    <x v="5"/>
    <x v="0"/>
    <x v="0"/>
    <x v="0"/>
    <x v="1"/>
    <x v="7"/>
    <n v="0"/>
    <n v="0"/>
    <n v="122.032"/>
    <n v="122.032"/>
    <n v="122.032"/>
    <n v="122.032"/>
    <n v="118"/>
    <x v="1"/>
    <n v="0"/>
    <n v="0"/>
    <n v="57"/>
    <n v="100"/>
    <n v="0"/>
    <n v="341.2"/>
    <n v="255.72"/>
    <m/>
    <n v="380.73191596325307"/>
    <n v="235.13233756815453"/>
    <n v="0"/>
    <n v="41637.318399999996"/>
    <n v="31206.02304"/>
    <n v="0"/>
    <n v="46461.477168827696"/>
    <n v="28693.669418117031"/>
  </r>
  <r>
    <s v="Regular"/>
    <x v="4"/>
    <x v="5"/>
    <x v="5"/>
    <x v="0"/>
    <x v="0"/>
    <x v="0"/>
    <x v="1"/>
    <x v="8"/>
    <n v="0"/>
    <n v="0"/>
    <n v="11198.26"/>
    <n v="11198.26"/>
    <n v="11198.26"/>
    <n v="11198.26"/>
    <n v="16836"/>
    <x v="1"/>
    <n v="0"/>
    <n v="0"/>
    <n v="57"/>
    <n v="100"/>
    <n v="0"/>
    <n v="341.2"/>
    <n v="255.72"/>
    <m/>
    <n v="380.73191596325307"/>
    <n v="235.13233756815453"/>
    <n v="0"/>
    <n v="3820846.3119999999"/>
    <n v="2863619.0471999999"/>
    <n v="0"/>
    <n v="4263534.9852546584"/>
    <n v="2633073.0504959621"/>
  </r>
  <r>
    <s v="Refaturamento - Regular"/>
    <x v="4"/>
    <x v="5"/>
    <x v="5"/>
    <x v="0"/>
    <x v="0"/>
    <x v="0"/>
    <x v="1"/>
    <x v="8"/>
    <n v="0"/>
    <n v="0"/>
    <n v="-37.835999999999999"/>
    <n v="-37.835999999999999"/>
    <n v="-37.835999999999999"/>
    <n v="-37.835999999999999"/>
    <n v="-1"/>
    <x v="1"/>
    <n v="0"/>
    <n v="0"/>
    <n v="57"/>
    <n v="100"/>
    <n v="0"/>
    <n v="341.2"/>
    <n v="255.72"/>
    <m/>
    <n v="380.73191596325307"/>
    <n v="235.13233756815453"/>
    <n v="0"/>
    <n v="-12909.643199999999"/>
    <n v="-9675.4219199999989"/>
    <n v="0"/>
    <n v="-14405.372772385643"/>
    <n v="-8896.467124228695"/>
  </r>
  <r>
    <s v="Sistema de Compensação"/>
    <x v="4"/>
    <x v="5"/>
    <x v="5"/>
    <x v="0"/>
    <x v="0"/>
    <x v="0"/>
    <x v="1"/>
    <x v="8"/>
    <n v="0"/>
    <n v="0"/>
    <n v="114.083"/>
    <n v="114.083"/>
    <n v="114.083"/>
    <n v="114.083"/>
    <n v="124"/>
    <x v="1"/>
    <n v="0"/>
    <n v="0"/>
    <n v="57"/>
    <n v="100"/>
    <n v="0"/>
    <n v="341.2"/>
    <n v="255.72"/>
    <m/>
    <n v="380.73191596325307"/>
    <n v="235.13233756815453"/>
    <n v="0"/>
    <n v="38925.119599999998"/>
    <n v="29173.304759999999"/>
    <n v="0"/>
    <n v="43435.0391688358"/>
    <n v="26824.602466787772"/>
  </r>
  <r>
    <s v="Regular"/>
    <x v="4"/>
    <x v="5"/>
    <x v="5"/>
    <x v="0"/>
    <x v="0"/>
    <x v="0"/>
    <x v="1"/>
    <x v="9"/>
    <n v="0"/>
    <n v="0"/>
    <n v="11624.236999999999"/>
    <n v="11624.236999999999"/>
    <n v="11624.236999999999"/>
    <n v="11624.236999999999"/>
    <n v="16900"/>
    <x v="1"/>
    <n v="0"/>
    <n v="0"/>
    <n v="57"/>
    <n v="100"/>
    <n v="0"/>
    <n v="341.2"/>
    <n v="255.72"/>
    <m/>
    <n v="380.73191596325307"/>
    <n v="235.13233756815453"/>
    <n v="0"/>
    <n v="3966189.6643999997"/>
    <n v="2972549.88564"/>
    <n v="0"/>
    <n v="4425718.0246209363"/>
    <n v="2733234.0182562317"/>
  </r>
  <r>
    <s v="Refaturamento - Regular"/>
    <x v="4"/>
    <x v="5"/>
    <x v="5"/>
    <x v="0"/>
    <x v="0"/>
    <x v="0"/>
    <x v="1"/>
    <x v="9"/>
    <n v="0"/>
    <n v="0"/>
    <n v="-0.03"/>
    <n v="-0.03"/>
    <n v="-0.03"/>
    <n v="-0.03"/>
    <n v="-1"/>
    <x v="1"/>
    <n v="0"/>
    <n v="0"/>
    <n v="57"/>
    <n v="100"/>
    <n v="0"/>
    <n v="341.2"/>
    <n v="255.72"/>
    <m/>
    <n v="380.73191596325307"/>
    <n v="235.13233756815453"/>
    <n v="0"/>
    <n v="-10.235999999999999"/>
    <n v="-7.6715999999999998"/>
    <n v="0"/>
    <n v="-11.421957478897593"/>
    <n v="-7.0539701270446358"/>
  </r>
  <r>
    <s v="Sistema de Compensação"/>
    <x v="4"/>
    <x v="5"/>
    <x v="5"/>
    <x v="0"/>
    <x v="0"/>
    <x v="0"/>
    <x v="1"/>
    <x v="9"/>
    <n v="0"/>
    <n v="0"/>
    <n v="133.18100000000001"/>
    <n v="133.18100000000001"/>
    <n v="133.18100000000001"/>
    <n v="133.18100000000001"/>
    <n v="127"/>
    <x v="1"/>
    <n v="0"/>
    <n v="0"/>
    <n v="57"/>
    <n v="100"/>
    <n v="0"/>
    <n v="341.2"/>
    <n v="255.72"/>
    <m/>
    <n v="380.73191596325307"/>
    <n v="235.13233756815453"/>
    <n v="0"/>
    <n v="45441.357200000006"/>
    <n v="34057.045320000005"/>
    <n v="0"/>
    <n v="50706.257299902012"/>
    <n v="31315.159849664389"/>
  </r>
  <r>
    <s v="Regular"/>
    <x v="4"/>
    <x v="5"/>
    <x v="5"/>
    <x v="0"/>
    <x v="0"/>
    <x v="0"/>
    <x v="1"/>
    <x v="10"/>
    <n v="0"/>
    <n v="0"/>
    <n v="9788.5419999999995"/>
    <n v="9788.5419999999995"/>
    <n v="9788.5419999999995"/>
    <n v="9788.5419999999995"/>
    <n v="16988"/>
    <x v="1"/>
    <n v="0"/>
    <n v="0"/>
    <n v="57"/>
    <n v="100"/>
    <n v="0"/>
    <n v="341.2"/>
    <n v="255.72"/>
    <m/>
    <n v="380.73191596325307"/>
    <n v="235.13233756815453"/>
    <n v="0"/>
    <n v="3339850.5303999996"/>
    <n v="2503125.9602399999"/>
    <n v="0"/>
    <n v="3726810.3501467728"/>
    <n v="2301602.7618440585"/>
  </r>
  <r>
    <s v="Refaturamento - Regular"/>
    <x v="4"/>
    <x v="5"/>
    <x v="5"/>
    <x v="0"/>
    <x v="0"/>
    <x v="0"/>
    <x v="1"/>
    <x v="10"/>
    <n v="0"/>
    <n v="0"/>
    <n v="-11.276999999999999"/>
    <n v="-11.276999999999999"/>
    <n v="-11.276999999999999"/>
    <n v="-11.276999999999999"/>
    <n v="-1"/>
    <x v="1"/>
    <n v="0"/>
    <n v="0"/>
    <n v="57"/>
    <n v="100"/>
    <n v="0"/>
    <n v="341.2"/>
    <n v="255.72"/>
    <m/>
    <n v="380.73191596325307"/>
    <n v="235.13233756815453"/>
    <n v="0"/>
    <n v="-3847.7123999999994"/>
    <n v="-2883.7544399999997"/>
    <n v="0"/>
    <n v="-4293.5138163176043"/>
    <n v="-2651.5873707560786"/>
  </r>
  <r>
    <s v="Sistema de Compensação"/>
    <x v="4"/>
    <x v="5"/>
    <x v="5"/>
    <x v="0"/>
    <x v="0"/>
    <x v="0"/>
    <x v="1"/>
    <x v="10"/>
    <n v="0"/>
    <n v="0"/>
    <n v="112.69799999999999"/>
    <n v="112.69799999999999"/>
    <n v="112.69799999999999"/>
    <n v="112.69799999999999"/>
    <n v="126"/>
    <x v="1"/>
    <n v="0"/>
    <n v="0"/>
    <n v="57"/>
    <n v="100"/>
    <n v="0"/>
    <n v="341.2"/>
    <n v="255.72"/>
    <m/>
    <n v="380.73191596325307"/>
    <n v="235.13233756815453"/>
    <n v="0"/>
    <n v="38452.557599999993"/>
    <n v="28819.132559999998"/>
    <n v="0"/>
    <n v="42907.725465226693"/>
    <n v="26498.944179255875"/>
  </r>
  <r>
    <s v="PROJETADO"/>
    <x v="4"/>
    <x v="5"/>
    <x v="5"/>
    <x v="0"/>
    <x v="0"/>
    <x v="0"/>
    <x v="1"/>
    <x v="11"/>
    <n v="0"/>
    <n v="0"/>
    <n v="9788.5419999999995"/>
    <n v="9788.5419999999995"/>
    <n v="9788.5419999999995"/>
    <n v="9788.5419999999995"/>
    <n v="16988"/>
    <x v="1"/>
    <n v="0"/>
    <n v="0"/>
    <n v="57"/>
    <n v="100"/>
    <n v="0"/>
    <n v="341.2"/>
    <n v="255.72"/>
    <m/>
    <n v="380.73191596325307"/>
    <n v="235.13233756815453"/>
    <n v="0"/>
    <n v="3339850.5303999996"/>
    <n v="2503125.9602399999"/>
    <n v="0"/>
    <n v="3726810.3501467728"/>
    <n v="2301602.7618440585"/>
  </r>
  <r>
    <s v="PROJETADO"/>
    <x v="4"/>
    <x v="5"/>
    <x v="5"/>
    <x v="0"/>
    <x v="0"/>
    <x v="0"/>
    <x v="1"/>
    <x v="11"/>
    <n v="0"/>
    <n v="0"/>
    <n v="-11.276999999999999"/>
    <n v="-11.276999999999999"/>
    <n v="-11.276999999999999"/>
    <n v="-11.276999999999999"/>
    <n v="-1"/>
    <x v="1"/>
    <n v="0"/>
    <n v="0"/>
    <n v="57"/>
    <n v="100"/>
    <n v="0"/>
    <n v="341.2"/>
    <n v="255.72"/>
    <m/>
    <n v="380.73191596325307"/>
    <n v="235.13233756815453"/>
    <n v="0"/>
    <n v="-3847.7123999999994"/>
    <n v="-2883.7544399999997"/>
    <n v="0"/>
    <n v="-4293.5138163176043"/>
    <n v="-2651.5873707560786"/>
  </r>
  <r>
    <s v="PROJETADO"/>
    <x v="4"/>
    <x v="5"/>
    <x v="5"/>
    <x v="0"/>
    <x v="0"/>
    <x v="0"/>
    <x v="1"/>
    <x v="11"/>
    <n v="0"/>
    <n v="0"/>
    <n v="112.69799999999999"/>
    <n v="112.69799999999999"/>
    <n v="112.69799999999999"/>
    <n v="112.69799999999999"/>
    <n v="126"/>
    <x v="1"/>
    <n v="0"/>
    <n v="0"/>
    <n v="57"/>
    <n v="100"/>
    <n v="0"/>
    <n v="341.2"/>
    <n v="255.72"/>
    <m/>
    <n v="380.73191596325307"/>
    <n v="235.13233756815453"/>
    <n v="0"/>
    <n v="38452.557599999993"/>
    <n v="28819.132559999998"/>
    <n v="0"/>
    <n v="42907.725465226693"/>
    <n v="26498.944179255875"/>
  </r>
  <r>
    <s v="Regular"/>
    <x v="4"/>
    <x v="5"/>
    <x v="3"/>
    <x v="1"/>
    <x v="0"/>
    <x v="0"/>
    <x v="1"/>
    <x v="0"/>
    <n v="0"/>
    <n v="0"/>
    <n v="2482.0250000000001"/>
    <n v="2333.1035000000002"/>
    <n v="2482.0250000000001"/>
    <n v="2333.1035000000002"/>
    <n v="828"/>
    <x v="1"/>
    <n v="0"/>
    <n v="0"/>
    <n v="57"/>
    <n v="100"/>
    <n v="0"/>
    <n v="341.2"/>
    <n v="255.72"/>
    <m/>
    <n v="380.73191596325307"/>
    <n v="235.13233756815453"/>
    <n v="0"/>
    <n v="796054.9142"/>
    <n v="596621.22701999999"/>
    <n v="0"/>
    <n v="888286.96569557174"/>
    <n v="548588.07974344282"/>
  </r>
  <r>
    <s v="Regular"/>
    <x v="4"/>
    <x v="5"/>
    <x v="3"/>
    <x v="1"/>
    <x v="0"/>
    <x v="0"/>
    <x v="1"/>
    <x v="1"/>
    <n v="0"/>
    <n v="0"/>
    <n v="2433.2939999999999"/>
    <n v="2287.2963599999998"/>
    <n v="2433.2939999999999"/>
    <n v="2287.2963599999998"/>
    <n v="834"/>
    <x v="1"/>
    <n v="0"/>
    <n v="0"/>
    <n v="57"/>
    <n v="100"/>
    <n v="0"/>
    <n v="341.2"/>
    <n v="255.72"/>
    <m/>
    <n v="380.73191596325307"/>
    <n v="235.13233756815453"/>
    <n v="0"/>
    <n v="780425.51803199993"/>
    <n v="584907.4251791999"/>
    <n v="0"/>
    <n v="870846.72551857459"/>
    <n v="537817.3398379311"/>
  </r>
  <r>
    <s v="Regular"/>
    <x v="4"/>
    <x v="5"/>
    <x v="3"/>
    <x v="1"/>
    <x v="0"/>
    <x v="0"/>
    <x v="1"/>
    <x v="2"/>
    <n v="0"/>
    <n v="0"/>
    <n v="2406.951"/>
    <n v="2262.5339399999998"/>
    <n v="2406.951"/>
    <n v="2262.5339399999998"/>
    <n v="827"/>
    <x v="1"/>
    <n v="0"/>
    <n v="0"/>
    <n v="57"/>
    <n v="100"/>
    <n v="0"/>
    <n v="341.2"/>
    <n v="255.72"/>
    <m/>
    <n v="380.73191596325307"/>
    <n v="235.13233756815453"/>
    <n v="0"/>
    <n v="771976.58032799989"/>
    <n v="578575.1791368"/>
    <n v="0"/>
    <n v="861418.88190808776"/>
    <n v="531994.8941394866"/>
  </r>
  <r>
    <s v="Regular"/>
    <x v="4"/>
    <x v="5"/>
    <x v="3"/>
    <x v="1"/>
    <x v="0"/>
    <x v="0"/>
    <x v="1"/>
    <x v="3"/>
    <n v="0"/>
    <n v="0"/>
    <n v="2420.7080000000001"/>
    <n v="2275.4655200000002"/>
    <n v="2420.7080000000001"/>
    <n v="2275.4655200000002"/>
    <n v="832"/>
    <x v="1"/>
    <n v="0"/>
    <n v="0"/>
    <n v="57"/>
    <n v="100"/>
    <n v="0"/>
    <n v="341.2"/>
    <n v="255.72"/>
    <m/>
    <n v="380.73191596325307"/>
    <n v="235.13233756815453"/>
    <n v="0"/>
    <n v="776388.83542400005"/>
    <n v="581882.04277440009"/>
    <n v="0"/>
    <n v="866342.34713791998"/>
    <n v="535035.52677333634"/>
  </r>
  <r>
    <s v="Regular"/>
    <x v="4"/>
    <x v="5"/>
    <x v="3"/>
    <x v="1"/>
    <x v="0"/>
    <x v="0"/>
    <x v="1"/>
    <x v="4"/>
    <n v="0"/>
    <n v="0"/>
    <n v="2657.1010000000001"/>
    <n v="2497.6749399999999"/>
    <n v="2657.1010000000001"/>
    <n v="2497.6749399999999"/>
    <n v="832"/>
    <x v="1"/>
    <n v="0"/>
    <n v="0"/>
    <n v="57"/>
    <n v="100"/>
    <n v="0"/>
    <n v="341.2"/>
    <n v="255.72"/>
    <m/>
    <n v="380.73191596325307"/>
    <n v="235.13233756815453"/>
    <n v="0"/>
    <n v="852206.68952799996"/>
    <n v="638705.43565679993"/>
    <n v="0"/>
    <n v="950944.56535960315"/>
    <n v="587284.14712760004"/>
  </r>
  <r>
    <s v="Regular"/>
    <x v="4"/>
    <x v="5"/>
    <x v="3"/>
    <x v="1"/>
    <x v="0"/>
    <x v="0"/>
    <x v="1"/>
    <x v="5"/>
    <n v="0"/>
    <n v="0"/>
    <n v="2379.2330000000002"/>
    <n v="2236.4790200000002"/>
    <n v="2379.2330000000002"/>
    <n v="2236.4790200000002"/>
    <n v="836"/>
    <x v="1"/>
    <n v="0"/>
    <n v="0"/>
    <n v="57"/>
    <n v="100"/>
    <n v="0"/>
    <n v="341.2"/>
    <n v="255.72"/>
    <m/>
    <n v="380.73191596325307"/>
    <n v="235.13233756815453"/>
    <n v="0"/>
    <n v="763086.64162400004"/>
    <n v="571912.41499440011"/>
    <n v="0"/>
    <n v="851498.94229621871"/>
    <n v="525868.53989473544"/>
  </r>
  <r>
    <s v="Refaturamento - Regular"/>
    <x v="4"/>
    <x v="5"/>
    <x v="3"/>
    <x v="1"/>
    <x v="0"/>
    <x v="0"/>
    <x v="1"/>
    <x v="5"/>
    <n v="0"/>
    <n v="0"/>
    <n v="-47.996000000000002"/>
    <n v="-45.116239999999998"/>
    <n v="-47.996000000000002"/>
    <n v="-45.116239999999998"/>
    <n v="-1"/>
    <x v="1"/>
    <n v="0"/>
    <n v="0"/>
    <n v="57"/>
    <n v="100"/>
    <n v="0"/>
    <n v="341.2"/>
    <n v="255.72"/>
    <m/>
    <n v="380.73191596325307"/>
    <n v="235.13233756815453"/>
    <n v="0"/>
    <n v="-15393.661087999999"/>
    <n v="-11537.124892799999"/>
    <n v="0"/>
    <n v="-17177.192496257954"/>
    <n v="-10608.286973485876"/>
  </r>
  <r>
    <s v="Regular"/>
    <x v="4"/>
    <x v="5"/>
    <x v="3"/>
    <x v="1"/>
    <x v="0"/>
    <x v="0"/>
    <x v="1"/>
    <x v="6"/>
    <n v="0"/>
    <n v="0"/>
    <n v="2256.3719999999998"/>
    <n v="2120.9896800000001"/>
    <n v="2256.3719999999998"/>
    <n v="2120.9896800000001"/>
    <n v="835"/>
    <x v="1"/>
    <n v="0"/>
    <n v="0"/>
    <n v="57"/>
    <n v="100"/>
    <n v="0"/>
    <n v="341.2"/>
    <n v="255.72"/>
    <m/>
    <n v="380.73191596325307"/>
    <n v="235.13233756815453"/>
    <n v="0"/>
    <n v="723681.678816"/>
    <n v="542379.48096960003"/>
    <n v="0"/>
    <n v="807528.46460468706"/>
    <n v="498713.2614163321"/>
  </r>
  <r>
    <s v="Regular"/>
    <x v="4"/>
    <x v="5"/>
    <x v="3"/>
    <x v="1"/>
    <x v="0"/>
    <x v="0"/>
    <x v="1"/>
    <x v="7"/>
    <n v="0"/>
    <n v="0"/>
    <n v="2416.3939999999998"/>
    <n v="2271.4103599999999"/>
    <n v="2416.3939999999998"/>
    <n v="2271.4103599999999"/>
    <n v="836"/>
    <x v="1"/>
    <n v="0"/>
    <n v="0"/>
    <n v="57"/>
    <n v="100"/>
    <n v="0"/>
    <n v="341.2"/>
    <n v="255.72"/>
    <m/>
    <n v="380.73191596325307"/>
    <n v="235.13233756815453"/>
    <n v="0"/>
    <n v="775005.21483199997"/>
    <n v="580845.05725919991"/>
    <n v="0"/>
    <n v="864798.41830158234"/>
    <n v="534082.02752332331"/>
  </r>
  <r>
    <s v="Regular"/>
    <x v="4"/>
    <x v="5"/>
    <x v="3"/>
    <x v="1"/>
    <x v="0"/>
    <x v="0"/>
    <x v="1"/>
    <x v="8"/>
    <n v="0"/>
    <n v="0"/>
    <n v="2339.1709999999998"/>
    <n v="2198.8207400000001"/>
    <n v="2339.1709999999998"/>
    <n v="2198.8207400000001"/>
    <n v="833"/>
    <x v="1"/>
    <n v="0"/>
    <n v="0"/>
    <n v="57"/>
    <n v="100"/>
    <n v="0"/>
    <n v="341.2"/>
    <n v="255.72"/>
    <m/>
    <n v="380.73191596325307"/>
    <n v="235.13233756815453"/>
    <n v="0"/>
    <n v="750237.63648800005"/>
    <n v="562282.43963280006"/>
    <n v="0"/>
    <n v="837161.23319993797"/>
    <n v="517013.86048953934"/>
  </r>
  <r>
    <s v="Regular"/>
    <x v="4"/>
    <x v="5"/>
    <x v="3"/>
    <x v="1"/>
    <x v="0"/>
    <x v="0"/>
    <x v="1"/>
    <x v="9"/>
    <n v="0"/>
    <n v="0"/>
    <n v="2386.5549999999998"/>
    <n v="2243.3616999999999"/>
    <n v="2386.5549999999998"/>
    <n v="2243.3616999999999"/>
    <n v="834"/>
    <x v="1"/>
    <n v="0"/>
    <n v="0"/>
    <n v="57"/>
    <n v="100"/>
    <n v="0"/>
    <n v="341.2"/>
    <n v="255.72"/>
    <m/>
    <n v="380.73191596325307"/>
    <n v="235.13233756815453"/>
    <n v="0"/>
    <n v="765435.01203999994"/>
    <n v="573672.45392400003"/>
    <n v="0"/>
    <n v="854119.39823958057"/>
    <n v="527486.88053186901"/>
  </r>
  <r>
    <s v="Regular"/>
    <x v="4"/>
    <x v="5"/>
    <x v="3"/>
    <x v="1"/>
    <x v="0"/>
    <x v="0"/>
    <x v="1"/>
    <x v="10"/>
    <n v="0"/>
    <n v="0"/>
    <n v="2229.7440000000001"/>
    <n v="2095.9593599999998"/>
    <n v="2229.7440000000001"/>
    <n v="2095.9593599999998"/>
    <n v="836"/>
    <x v="1"/>
    <n v="0"/>
    <n v="0"/>
    <n v="57"/>
    <n v="100"/>
    <n v="0"/>
    <n v="341.2"/>
    <n v="255.72"/>
    <m/>
    <n v="380.73191596325307"/>
    <n v="235.13233756815453"/>
    <n v="0"/>
    <n v="715141.33363199991"/>
    <n v="535978.72753919999"/>
    <n v="0"/>
    <n v="797998.62291391368"/>
    <n v="492827.82376465306"/>
  </r>
  <r>
    <s v="PROJETADO"/>
    <x v="4"/>
    <x v="5"/>
    <x v="3"/>
    <x v="1"/>
    <x v="0"/>
    <x v="0"/>
    <x v="1"/>
    <x v="11"/>
    <n v="0"/>
    <n v="0"/>
    <n v="2229.7440000000001"/>
    <n v="2095.9593599999998"/>
    <n v="2229.7440000000001"/>
    <n v="2095.9593599999998"/>
    <n v="836"/>
    <x v="1"/>
    <n v="0"/>
    <n v="0"/>
    <n v="57"/>
    <n v="100"/>
    <n v="0"/>
    <n v="341.2"/>
    <n v="255.72"/>
    <m/>
    <n v="380.73191596325307"/>
    <n v="235.13233756815453"/>
    <n v="0"/>
    <n v="715141.33363199991"/>
    <n v="535978.72753919999"/>
    <n v="0"/>
    <n v="797998.62291391368"/>
    <n v="492827.82376465306"/>
  </r>
  <r>
    <s v="Regular"/>
    <x v="5"/>
    <x v="5"/>
    <x v="8"/>
    <x v="9"/>
    <x v="0"/>
    <x v="0"/>
    <x v="1"/>
    <x v="0"/>
    <n v="0"/>
    <n v="0"/>
    <n v="22185.839"/>
    <n v="22185.839"/>
    <n v="22185.839"/>
    <n v="22185.839"/>
    <n v="756"/>
    <x v="1"/>
    <n v="0"/>
    <n v="0"/>
    <n v="61"/>
    <n v="102"/>
    <n v="0"/>
    <n v="187.66"/>
    <n v="140.65"/>
    <m/>
    <n v="209.40255377978923"/>
    <n v="129.32278566248499"/>
    <n v="0"/>
    <n v="4163394.5467400001"/>
    <n v="3120438.2553500002"/>
    <n v="0"/>
    <n v="4645771.3443472451"/>
    <n v="2869134.5017394004"/>
  </r>
  <r>
    <s v="Refaturamento - Regular"/>
    <x v="5"/>
    <x v="5"/>
    <x v="8"/>
    <x v="9"/>
    <x v="0"/>
    <x v="0"/>
    <x v="1"/>
    <x v="0"/>
    <n v="0"/>
    <n v="0"/>
    <n v="-1733.798"/>
    <n v="-1733.798"/>
    <n v="-1733.798"/>
    <n v="-1733.798"/>
    <n v="0"/>
    <x v="1"/>
    <n v="0"/>
    <n v="0"/>
    <n v="61"/>
    <n v="102"/>
    <n v="0"/>
    <n v="187.66"/>
    <n v="140.65"/>
    <m/>
    <n v="209.40255377978923"/>
    <n v="129.32278566248499"/>
    <n v="0"/>
    <n v="-325364.53268"/>
    <n v="-243858.6887"/>
    <n v="0"/>
    <n v="-363061.72893829102"/>
    <n v="-224219.58713604516"/>
  </r>
  <r>
    <s v="Regular"/>
    <x v="5"/>
    <x v="5"/>
    <x v="8"/>
    <x v="9"/>
    <x v="0"/>
    <x v="0"/>
    <x v="1"/>
    <x v="1"/>
    <n v="0"/>
    <n v="0"/>
    <n v="21940.2"/>
    <n v="21940.2"/>
    <n v="21940.2"/>
    <n v="21940.2"/>
    <n v="755"/>
    <x v="1"/>
    <n v="0"/>
    <n v="0"/>
    <n v="61"/>
    <n v="102"/>
    <n v="0"/>
    <n v="187.66"/>
    <n v="140.65"/>
    <m/>
    <n v="209.40255377978923"/>
    <n v="129.32278566248499"/>
    <n v="0"/>
    <n v="4117297.932"/>
    <n v="3085889.1300000004"/>
    <n v="0"/>
    <n v="4594333.910439332"/>
    <n v="2837367.7819920531"/>
  </r>
  <r>
    <s v="Refaturamento - Regular"/>
    <x v="5"/>
    <x v="5"/>
    <x v="8"/>
    <x v="9"/>
    <x v="0"/>
    <x v="0"/>
    <x v="1"/>
    <x v="1"/>
    <n v="0"/>
    <n v="0"/>
    <n v="-780.85599999999999"/>
    <n v="-780.85599999999999"/>
    <n v="-780.85599999999999"/>
    <n v="-780.85599999999999"/>
    <n v="0"/>
    <x v="1"/>
    <n v="0"/>
    <n v="0"/>
    <n v="61"/>
    <n v="102"/>
    <n v="0"/>
    <n v="187.66"/>
    <n v="140.65"/>
    <m/>
    <n v="209.40255377978923"/>
    <n v="129.32278566248499"/>
    <n v="0"/>
    <n v="-146535.43695999999"/>
    <n v="-109827.3964"/>
    <n v="0"/>
    <n v="-163513.24053427108"/>
    <n v="-100982.47312126537"/>
  </r>
  <r>
    <s v="Regular"/>
    <x v="5"/>
    <x v="5"/>
    <x v="8"/>
    <x v="9"/>
    <x v="0"/>
    <x v="0"/>
    <x v="1"/>
    <x v="2"/>
    <n v="0"/>
    <n v="0"/>
    <n v="22511.194"/>
    <n v="22511.194"/>
    <n v="22511.194"/>
    <n v="22511.194"/>
    <n v="755"/>
    <x v="1"/>
    <n v="0"/>
    <n v="0"/>
    <n v="61"/>
    <n v="102"/>
    <n v="0"/>
    <n v="187.66"/>
    <n v="140.65"/>
    <m/>
    <n v="209.40255377978923"/>
    <n v="129.32278566248499"/>
    <n v="0"/>
    <n v="4224450.6660399996"/>
    <n v="3166199.4361"/>
    <n v="0"/>
    <n v="4713901.5122322682"/>
    <n v="2911210.316668618"/>
  </r>
  <r>
    <s v="Refaturamento - Regular"/>
    <x v="5"/>
    <x v="5"/>
    <x v="8"/>
    <x v="9"/>
    <x v="0"/>
    <x v="0"/>
    <x v="1"/>
    <x v="2"/>
    <n v="0"/>
    <n v="0"/>
    <n v="-1228.8230000000001"/>
    <n v="-1228.8230000000001"/>
    <n v="-1228.8230000000001"/>
    <n v="-1228.8230000000001"/>
    <n v="-2"/>
    <x v="1"/>
    <n v="0"/>
    <n v="0"/>
    <n v="61"/>
    <n v="102"/>
    <n v="0"/>
    <n v="187.66"/>
    <n v="140.65"/>
    <m/>
    <n v="209.40255377978923"/>
    <n v="129.32278566248499"/>
    <n v="0"/>
    <n v="-230600.92418"/>
    <n v="-172833.95495000001"/>
    <n v="0"/>
    <n v="-257318.67434334196"/>
    <n v="-158914.8134461318"/>
  </r>
  <r>
    <s v="Regular"/>
    <x v="5"/>
    <x v="5"/>
    <x v="8"/>
    <x v="9"/>
    <x v="0"/>
    <x v="0"/>
    <x v="1"/>
    <x v="3"/>
    <n v="0"/>
    <n v="0"/>
    <n v="20606.761999999999"/>
    <n v="20606.761999999999"/>
    <n v="20606.761999999999"/>
    <n v="20606.761999999999"/>
    <n v="753"/>
    <x v="1"/>
    <n v="0"/>
    <n v="0"/>
    <n v="61"/>
    <n v="102"/>
    <n v="0"/>
    <n v="187.66"/>
    <n v="140.65"/>
    <m/>
    <n v="209.40255377978923"/>
    <n v="129.32278566248499"/>
    <n v="0"/>
    <n v="3867064.9569199998"/>
    <n v="2898341.0753000001"/>
    <n v="0"/>
    <n v="4315108.5879323166"/>
    <n v="2664923.8653238402"/>
  </r>
  <r>
    <s v="Refaturamento - Regular"/>
    <x v="5"/>
    <x v="5"/>
    <x v="8"/>
    <x v="9"/>
    <x v="0"/>
    <x v="0"/>
    <x v="1"/>
    <x v="3"/>
    <n v="0"/>
    <n v="0"/>
    <n v="5.87"/>
    <n v="5.87"/>
    <n v="5.87"/>
    <n v="5.87"/>
    <n v="0"/>
    <x v="1"/>
    <n v="0"/>
    <n v="0"/>
    <n v="61"/>
    <n v="102"/>
    <n v="0"/>
    <n v="187.66"/>
    <n v="140.65"/>
    <m/>
    <n v="209.40255377978923"/>
    <n v="129.32278566248499"/>
    <n v="0"/>
    <n v="1101.5642"/>
    <n v="825.6155"/>
    <n v="0"/>
    <n v="1229.1929906873629"/>
    <n v="759.12475183878689"/>
  </r>
  <r>
    <s v="Sistema de Compensação"/>
    <x v="5"/>
    <x v="5"/>
    <x v="8"/>
    <x v="9"/>
    <x v="0"/>
    <x v="0"/>
    <x v="1"/>
    <x v="3"/>
    <n v="0"/>
    <n v="0"/>
    <n v="22.681000000000001"/>
    <n v="22.681000000000001"/>
    <n v="22.681000000000001"/>
    <n v="22.681000000000001"/>
    <n v="1"/>
    <x v="1"/>
    <n v="0"/>
    <n v="0"/>
    <n v="61"/>
    <n v="102"/>
    <n v="0"/>
    <n v="187.66"/>
    <n v="140.65"/>
    <m/>
    <n v="209.40255377978923"/>
    <n v="129.32278566248499"/>
    <n v="0"/>
    <n v="4256.31646"/>
    <n v="3190.0826500000003"/>
    <n v="0"/>
    <n v="4749.4593222794001"/>
    <n v="2933.1701016108223"/>
  </r>
  <r>
    <s v="Regular"/>
    <x v="5"/>
    <x v="5"/>
    <x v="8"/>
    <x v="9"/>
    <x v="0"/>
    <x v="0"/>
    <x v="1"/>
    <x v="4"/>
    <n v="0"/>
    <n v="0"/>
    <n v="23322.804"/>
    <n v="23322.804"/>
    <n v="23322.804"/>
    <n v="23322.804"/>
    <n v="756"/>
    <x v="1"/>
    <n v="0"/>
    <n v="0"/>
    <n v="61"/>
    <n v="102"/>
    <n v="0"/>
    <n v="187.66"/>
    <n v="140.65"/>
    <m/>
    <n v="209.40255377978923"/>
    <n v="129.32278566248499"/>
    <n v="0"/>
    <n v="4376757.3986400003"/>
    <n v="3280352.3826000001"/>
    <n v="0"/>
    <n v="4883854.7189054834"/>
    <n v="3016169.9827401475"/>
  </r>
  <r>
    <s v="Refaturamento - Regular"/>
    <x v="5"/>
    <x v="5"/>
    <x v="8"/>
    <x v="9"/>
    <x v="0"/>
    <x v="0"/>
    <x v="1"/>
    <x v="4"/>
    <n v="0"/>
    <n v="0"/>
    <n v="-2.306"/>
    <n v="-2.306"/>
    <n v="-2.306"/>
    <n v="-2.306"/>
    <n v="0"/>
    <x v="1"/>
    <n v="0"/>
    <n v="0"/>
    <n v="61"/>
    <n v="102"/>
    <n v="0"/>
    <n v="187.66"/>
    <n v="140.65"/>
    <m/>
    <n v="209.40255377978923"/>
    <n v="129.32278566248499"/>
    <n v="0"/>
    <n v="-432.74396000000002"/>
    <n v="-324.33890000000002"/>
    <n v="0"/>
    <n v="-482.88228901619397"/>
    <n v="-298.21834373769042"/>
  </r>
  <r>
    <s v="Sistema de Compensação"/>
    <x v="5"/>
    <x v="5"/>
    <x v="8"/>
    <x v="9"/>
    <x v="0"/>
    <x v="0"/>
    <x v="1"/>
    <x v="4"/>
    <n v="0"/>
    <n v="0"/>
    <n v="23.437000000000001"/>
    <n v="23.437000000000001"/>
    <n v="23.437000000000001"/>
    <n v="23.437000000000001"/>
    <n v="1"/>
    <x v="1"/>
    <n v="0"/>
    <n v="0"/>
    <n v="61"/>
    <n v="102"/>
    <n v="0"/>
    <n v="187.66"/>
    <n v="140.65"/>
    <m/>
    <n v="209.40255377978923"/>
    <n v="129.32278566248499"/>
    <n v="0"/>
    <n v="4398.1874200000002"/>
    <n v="3296.4140500000003"/>
    <n v="0"/>
    <n v="4907.7676529369201"/>
    <n v="3030.938127571661"/>
  </r>
  <r>
    <s v="Regular"/>
    <x v="5"/>
    <x v="5"/>
    <x v="8"/>
    <x v="9"/>
    <x v="0"/>
    <x v="0"/>
    <x v="1"/>
    <x v="5"/>
    <n v="0"/>
    <n v="0"/>
    <n v="21149.004000000001"/>
    <n v="21149.004000000001"/>
    <n v="21149.004000000001"/>
    <n v="21149.004000000001"/>
    <n v="750"/>
    <x v="1"/>
    <n v="0"/>
    <n v="0"/>
    <n v="61"/>
    <n v="102"/>
    <n v="0"/>
    <n v="187.66"/>
    <n v="140.65"/>
    <m/>
    <n v="209.40255377978923"/>
    <n v="129.32278566248499"/>
    <n v="0"/>
    <n v="3968822.0906400001"/>
    <n v="2974607.4126000004"/>
    <n v="0"/>
    <n v="4428655.4474989781"/>
    <n v="2735048.1112670377"/>
  </r>
  <r>
    <s v="Sistema de Compensação"/>
    <x v="5"/>
    <x v="5"/>
    <x v="8"/>
    <x v="9"/>
    <x v="0"/>
    <x v="0"/>
    <x v="1"/>
    <x v="5"/>
    <n v="0"/>
    <n v="0"/>
    <n v="23.437000000000001"/>
    <n v="23.437000000000001"/>
    <n v="23.437000000000001"/>
    <n v="23.437000000000001"/>
    <n v="1"/>
    <x v="1"/>
    <n v="0"/>
    <n v="0"/>
    <n v="61"/>
    <n v="102"/>
    <n v="0"/>
    <n v="187.66"/>
    <n v="140.65"/>
    <m/>
    <n v="209.40255377978923"/>
    <n v="129.32278566248499"/>
    <n v="0"/>
    <n v="4398.1874200000002"/>
    <n v="3296.4140500000003"/>
    <n v="0"/>
    <n v="4907.7676529369201"/>
    <n v="3030.938127571661"/>
  </r>
  <r>
    <s v="Regular"/>
    <x v="5"/>
    <x v="5"/>
    <x v="8"/>
    <x v="9"/>
    <x v="0"/>
    <x v="0"/>
    <x v="1"/>
    <x v="6"/>
    <n v="0"/>
    <n v="0"/>
    <n v="19236.557000000001"/>
    <n v="19236.557000000001"/>
    <n v="19236.557000000001"/>
    <n v="19236.557000000001"/>
    <n v="752"/>
    <x v="1"/>
    <n v="0"/>
    <n v="0"/>
    <n v="61"/>
    <n v="102"/>
    <n v="0"/>
    <n v="187.66"/>
    <n v="140.65"/>
    <m/>
    <n v="209.40255377978923"/>
    <n v="129.32278566248499"/>
    <n v="0"/>
    <n v="3609932.2866199999"/>
    <n v="2705621.74205"/>
    <n v="0"/>
    <n v="4028184.1617304813"/>
    <n v="2487725.1377951754"/>
  </r>
  <r>
    <s v="Refaturamento - Regular"/>
    <x v="5"/>
    <x v="5"/>
    <x v="8"/>
    <x v="9"/>
    <x v="0"/>
    <x v="0"/>
    <x v="1"/>
    <x v="6"/>
    <n v="0"/>
    <n v="0"/>
    <n v="-5.548"/>
    <n v="-5.548"/>
    <n v="-5.548"/>
    <n v="-5.548"/>
    <n v="0"/>
    <x v="1"/>
    <n v="0"/>
    <n v="0"/>
    <n v="61"/>
    <n v="102"/>
    <n v="0"/>
    <n v="187.66"/>
    <n v="140.65"/>
    <m/>
    <n v="209.40255377978923"/>
    <n v="129.32278566248499"/>
    <n v="0"/>
    <n v="-1041.13768"/>
    <n v="-780.32620000000009"/>
    <n v="0"/>
    <n v="-1161.7653683702706"/>
    <n v="-717.4828148554667"/>
  </r>
  <r>
    <s v="Sistema de Compensação"/>
    <x v="5"/>
    <x v="5"/>
    <x v="8"/>
    <x v="9"/>
    <x v="0"/>
    <x v="0"/>
    <x v="1"/>
    <x v="6"/>
    <n v="0"/>
    <n v="0"/>
    <n v="21.673999999999999"/>
    <n v="21.673999999999999"/>
    <n v="21.673999999999999"/>
    <n v="21.673999999999999"/>
    <n v="1"/>
    <x v="1"/>
    <n v="0"/>
    <n v="0"/>
    <n v="61"/>
    <n v="102"/>
    <n v="0"/>
    <n v="187.66"/>
    <n v="140.65"/>
    <m/>
    <n v="209.40255377978923"/>
    <n v="129.32278566248499"/>
    <n v="0"/>
    <n v="4067.3428399999998"/>
    <n v="3048.4481000000001"/>
    <n v="0"/>
    <n v="4538.5909506231519"/>
    <n v="2802.9420564486995"/>
  </r>
  <r>
    <s v="Regular"/>
    <x v="5"/>
    <x v="5"/>
    <x v="8"/>
    <x v="9"/>
    <x v="0"/>
    <x v="0"/>
    <x v="1"/>
    <x v="7"/>
    <n v="0"/>
    <n v="0"/>
    <n v="21087.128000000001"/>
    <n v="21087.128000000001"/>
    <n v="21087.128000000001"/>
    <n v="21087.128000000001"/>
    <n v="755"/>
    <x v="1"/>
    <n v="0"/>
    <n v="0"/>
    <n v="61"/>
    <n v="102"/>
    <n v="0"/>
    <n v="187.66"/>
    <n v="140.65"/>
    <m/>
    <n v="209.40255377978923"/>
    <n v="129.32278566248499"/>
    <n v="0"/>
    <n v="3957210.4404799999"/>
    <n v="2965904.5532000004"/>
    <n v="0"/>
    <n v="4415698.4550812999"/>
    <n v="2727046.1345813856"/>
  </r>
  <r>
    <s v="Refaturamento - Regular"/>
    <x v="5"/>
    <x v="5"/>
    <x v="8"/>
    <x v="9"/>
    <x v="0"/>
    <x v="0"/>
    <x v="1"/>
    <x v="7"/>
    <n v="0"/>
    <n v="0"/>
    <n v="8.6150000000000002"/>
    <n v="8.6150000000000002"/>
    <n v="8.6150000000000002"/>
    <n v="8.6150000000000002"/>
    <n v="1"/>
    <x v="1"/>
    <n v="0"/>
    <n v="0"/>
    <n v="61"/>
    <n v="102"/>
    <n v="0"/>
    <n v="187.66"/>
    <n v="140.65"/>
    <m/>
    <n v="209.40255377978923"/>
    <n v="129.32278566248499"/>
    <n v="0"/>
    <n v="1616.6909000000001"/>
    <n v="1211.69975"/>
    <n v="0"/>
    <n v="1804.0030008128842"/>
    <n v="1114.1157984823083"/>
  </r>
  <r>
    <s v="Sistema de Compensação"/>
    <x v="5"/>
    <x v="5"/>
    <x v="8"/>
    <x v="9"/>
    <x v="0"/>
    <x v="0"/>
    <x v="1"/>
    <x v="7"/>
    <n v="0"/>
    <n v="0"/>
    <n v="23.437000000000001"/>
    <n v="23.437000000000001"/>
    <n v="23.437000000000001"/>
    <n v="23.437000000000001"/>
    <n v="1"/>
    <x v="1"/>
    <n v="0"/>
    <n v="0"/>
    <n v="61"/>
    <n v="102"/>
    <n v="0"/>
    <n v="187.66"/>
    <n v="140.65"/>
    <m/>
    <n v="209.40255377978923"/>
    <n v="129.32278566248499"/>
    <n v="0"/>
    <n v="4398.1874200000002"/>
    <n v="3296.4140500000003"/>
    <n v="0"/>
    <n v="4907.7676529369201"/>
    <n v="3030.938127571661"/>
  </r>
  <r>
    <s v="Regular"/>
    <x v="5"/>
    <x v="5"/>
    <x v="8"/>
    <x v="9"/>
    <x v="0"/>
    <x v="0"/>
    <x v="1"/>
    <x v="8"/>
    <n v="0"/>
    <n v="0"/>
    <n v="20662.107"/>
    <n v="20662.107"/>
    <n v="20662.107"/>
    <n v="20662.107"/>
    <n v="754"/>
    <x v="1"/>
    <n v="0"/>
    <n v="0"/>
    <n v="61"/>
    <n v="102"/>
    <n v="0"/>
    <n v="187.66"/>
    <n v="140.65"/>
    <m/>
    <n v="209.40255377978923"/>
    <n v="129.32278566248499"/>
    <n v="0"/>
    <n v="3877450.9996199999"/>
    <n v="2906125.3495499999"/>
    <n v="0"/>
    <n v="4326697.9722712599"/>
    <n v="2672081.2348963306"/>
  </r>
  <r>
    <s v="Sistema de Compensação"/>
    <x v="5"/>
    <x v="5"/>
    <x v="8"/>
    <x v="9"/>
    <x v="0"/>
    <x v="0"/>
    <x v="1"/>
    <x v="8"/>
    <n v="0"/>
    <n v="0"/>
    <n v="23.06"/>
    <n v="23.06"/>
    <n v="23.06"/>
    <n v="23.06"/>
    <n v="1"/>
    <x v="1"/>
    <n v="0"/>
    <n v="0"/>
    <n v="61"/>
    <n v="102"/>
    <n v="0"/>
    <n v="187.66"/>
    <n v="140.65"/>
    <m/>
    <n v="209.40255377978923"/>
    <n v="129.32278566248499"/>
    <n v="0"/>
    <n v="4327.4395999999997"/>
    <n v="3243.3890000000001"/>
    <n v="0"/>
    <n v="4828.8228901619395"/>
    <n v="2982.1834373769038"/>
  </r>
  <r>
    <s v="Regular"/>
    <x v="5"/>
    <x v="5"/>
    <x v="8"/>
    <x v="9"/>
    <x v="0"/>
    <x v="0"/>
    <x v="1"/>
    <x v="9"/>
    <n v="0"/>
    <n v="0"/>
    <n v="21433.826000000001"/>
    <n v="21433.826000000001"/>
    <n v="21433.826000000001"/>
    <n v="21433.826000000001"/>
    <n v="756"/>
    <x v="1"/>
    <n v="0"/>
    <n v="0"/>
    <n v="61"/>
    <n v="102"/>
    <n v="0"/>
    <n v="187.66"/>
    <n v="140.65"/>
    <m/>
    <n v="209.40255377978923"/>
    <n v="129.32278566248499"/>
    <n v="0"/>
    <n v="4022271.7871600003"/>
    <n v="3014667.6269"/>
    <n v="0"/>
    <n v="4488297.9016716452"/>
    <n v="2771882.0857249983"/>
  </r>
  <r>
    <s v="Sistema de Compensação"/>
    <x v="5"/>
    <x v="5"/>
    <x v="8"/>
    <x v="9"/>
    <x v="0"/>
    <x v="0"/>
    <x v="1"/>
    <x v="9"/>
    <n v="0"/>
    <n v="0"/>
    <n v="23.847000000000001"/>
    <n v="23.847000000000001"/>
    <n v="23.847000000000001"/>
    <n v="23.847000000000001"/>
    <n v="1"/>
    <x v="1"/>
    <n v="0"/>
    <n v="0"/>
    <n v="61"/>
    <n v="102"/>
    <n v="0"/>
    <n v="187.66"/>
    <n v="140.65"/>
    <m/>
    <n v="209.40255377978923"/>
    <n v="129.32278566248499"/>
    <n v="0"/>
    <n v="4475.1280200000001"/>
    <n v="3354.0805500000001"/>
    <n v="0"/>
    <n v="4993.622699986634"/>
    <n v="3083.9604696932797"/>
  </r>
  <r>
    <s v="Regular"/>
    <x v="5"/>
    <x v="5"/>
    <x v="8"/>
    <x v="9"/>
    <x v="0"/>
    <x v="0"/>
    <x v="1"/>
    <x v="10"/>
    <n v="0"/>
    <n v="0"/>
    <n v="20805.925999999999"/>
    <n v="20805.925999999999"/>
    <n v="20805.925999999999"/>
    <n v="20805.925999999999"/>
    <n v="757"/>
    <x v="1"/>
    <n v="0"/>
    <n v="0"/>
    <n v="61"/>
    <n v="102"/>
    <n v="0"/>
    <n v="187.66"/>
    <n v="140.65"/>
    <m/>
    <n v="209.40255377978923"/>
    <n v="129.32278566248499"/>
    <n v="0"/>
    <n v="3904440.0731599997"/>
    <n v="2926353.4919000003"/>
    <n v="0"/>
    <n v="4356814.038153315"/>
    <n v="2690680.3086075238"/>
  </r>
  <r>
    <s v="Sistema de Compensação"/>
    <x v="5"/>
    <x v="5"/>
    <x v="8"/>
    <x v="9"/>
    <x v="0"/>
    <x v="0"/>
    <x v="1"/>
    <x v="10"/>
    <n v="0"/>
    <n v="0"/>
    <n v="0.40899999999999997"/>
    <n v="0.40899999999999997"/>
    <n v="0.40899999999999997"/>
    <n v="0.40899999999999997"/>
    <n v="1"/>
    <x v="1"/>
    <n v="0"/>
    <n v="0"/>
    <n v="61"/>
    <n v="102"/>
    <n v="0"/>
    <n v="187.66"/>
    <n v="140.65"/>
    <m/>
    <n v="209.40255377978923"/>
    <n v="129.32278566248499"/>
    <n v="0"/>
    <n v="76.752939999999995"/>
    <n v="57.525849999999998"/>
    <n v="0"/>
    <n v="85.645644495933794"/>
    <n v="52.89301933595636"/>
  </r>
  <r>
    <s v="PROJETADO"/>
    <x v="5"/>
    <x v="5"/>
    <x v="8"/>
    <x v="9"/>
    <x v="0"/>
    <x v="0"/>
    <x v="1"/>
    <x v="11"/>
    <n v="0"/>
    <n v="0"/>
    <n v="20805.925999999999"/>
    <n v="20805.925999999999"/>
    <n v="20805.925999999999"/>
    <n v="20805.925999999999"/>
    <n v="757"/>
    <x v="1"/>
    <n v="0"/>
    <n v="0"/>
    <n v="61"/>
    <n v="102"/>
    <n v="0"/>
    <n v="187.66"/>
    <n v="140.65"/>
    <m/>
    <n v="209.40255377978923"/>
    <n v="129.32278566248499"/>
    <n v="0"/>
    <n v="3904440.0731599997"/>
    <n v="2926353.4919000003"/>
    <n v="0"/>
    <n v="4356814.038153315"/>
    <n v="2690680.3086075238"/>
  </r>
  <r>
    <s v="PROJETADO"/>
    <x v="5"/>
    <x v="5"/>
    <x v="8"/>
    <x v="9"/>
    <x v="0"/>
    <x v="0"/>
    <x v="1"/>
    <x v="11"/>
    <n v="0"/>
    <n v="0"/>
    <n v="0.40899999999999997"/>
    <n v="0.40899999999999997"/>
    <n v="0.40899999999999997"/>
    <n v="0.40899999999999997"/>
    <n v="1"/>
    <x v="1"/>
    <n v="0"/>
    <n v="0"/>
    <n v="61"/>
    <n v="102"/>
    <n v="0"/>
    <n v="187.66"/>
    <n v="140.65"/>
    <m/>
    <n v="209.40255377978923"/>
    <n v="129.32278566248499"/>
    <n v="0"/>
    <n v="76.752939999999995"/>
    <n v="57.525849999999998"/>
    <n v="0"/>
    <n v="85.645644495933794"/>
    <n v="52.893019335956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6">
  <r>
    <s v="Regular"/>
    <x v="0"/>
    <x v="0"/>
    <x v="0"/>
    <x v="0"/>
    <x v="0"/>
    <x v="0"/>
    <x v="0"/>
    <x v="0"/>
    <n v="5460"/>
    <n v="2948.4"/>
    <n v="0"/>
    <n v="0"/>
    <n v="0"/>
    <n v="0"/>
    <n v="0"/>
    <s v="LIVRE"/>
    <n v="0"/>
    <n v="3"/>
    <n v="0"/>
    <n v="0"/>
    <n v="11.17"/>
    <n v="0"/>
    <n v="0"/>
    <n v="12.124300073734677"/>
    <n v="56.586384886641618"/>
    <m/>
    <n v="28054.572"/>
    <n v="0"/>
    <n v="30451.392065192013"/>
    <n v="0"/>
    <x v="0"/>
  </r>
  <r>
    <s v="Regular"/>
    <x v="0"/>
    <x v="0"/>
    <x v="0"/>
    <x v="0"/>
    <x v="0"/>
    <x v="0"/>
    <x v="0"/>
    <x v="1"/>
    <n v="5460"/>
    <n v="2839.2"/>
    <n v="0"/>
    <n v="0"/>
    <n v="0"/>
    <n v="0"/>
    <n v="0"/>
    <s v="LIVRE"/>
    <n v="0"/>
    <n v="3"/>
    <n v="0"/>
    <n v="0"/>
    <n v="11.17"/>
    <n v="0"/>
    <n v="0"/>
    <n v="12.124300073734677"/>
    <n v="56.586384886641618"/>
    <m/>
    <n v="29274.336000000003"/>
    <n v="0"/>
    <n v="31775.365633243844"/>
    <n v="0"/>
    <x v="0"/>
  </r>
  <r>
    <s v="Regular"/>
    <x v="0"/>
    <x v="0"/>
    <x v="0"/>
    <x v="0"/>
    <x v="0"/>
    <x v="0"/>
    <x v="0"/>
    <x v="2"/>
    <n v="5460"/>
    <n v="4968.6000000000004"/>
    <n v="0"/>
    <n v="0"/>
    <n v="0"/>
    <n v="0"/>
    <n v="0"/>
    <s v="LIVRE"/>
    <n v="0"/>
    <n v="3"/>
    <n v="0"/>
    <n v="0"/>
    <n v="11.17"/>
    <n v="0"/>
    <n v="0"/>
    <n v="12.124300073734677"/>
    <n v="56.586384886641618"/>
    <m/>
    <n v="5488.9379999999956"/>
    <n v="0"/>
    <n v="5957.8810562332155"/>
    <n v="0"/>
    <x v="0"/>
  </r>
  <r>
    <s v="Regular"/>
    <x v="0"/>
    <x v="0"/>
    <x v="0"/>
    <x v="0"/>
    <x v="0"/>
    <x v="0"/>
    <x v="0"/>
    <x v="3"/>
    <n v="8690"/>
    <n v="5387.8"/>
    <n v="0"/>
    <n v="0"/>
    <n v="0"/>
    <n v="0"/>
    <n v="0"/>
    <s v="LIVRE"/>
    <n v="0"/>
    <n v="3"/>
    <n v="0"/>
    <n v="0"/>
    <n v="11.17"/>
    <n v="0"/>
    <n v="0"/>
    <n v="12.124300073734677"/>
    <n v="56.586384886641618"/>
    <m/>
    <n v="36885.574000000001"/>
    <n v="0"/>
    <n v="40036.863703486648"/>
    <n v="0"/>
    <x v="0"/>
  </r>
  <r>
    <s v="Regular"/>
    <x v="0"/>
    <x v="0"/>
    <x v="0"/>
    <x v="0"/>
    <x v="0"/>
    <x v="0"/>
    <x v="0"/>
    <x v="4"/>
    <n v="6570"/>
    <n v="2233.8000000000002"/>
    <n v="0"/>
    <n v="0"/>
    <n v="0"/>
    <n v="0"/>
    <n v="0"/>
    <s v="LIVRE"/>
    <n v="0"/>
    <n v="3"/>
    <n v="0"/>
    <n v="0"/>
    <n v="11.17"/>
    <n v="0"/>
    <n v="0"/>
    <n v="12.124300073734677"/>
    <n v="56.586384886641618"/>
    <m/>
    <n v="48435.353999999999"/>
    <n v="0"/>
    <n v="52573.389979728301"/>
    <n v="0"/>
    <x v="0"/>
  </r>
  <r>
    <s v="Regular"/>
    <x v="0"/>
    <x v="0"/>
    <x v="0"/>
    <x v="0"/>
    <x v="0"/>
    <x v="0"/>
    <x v="0"/>
    <x v="5"/>
    <n v="6570"/>
    <n v="2299.5"/>
    <n v="0"/>
    <n v="0"/>
    <n v="0"/>
    <n v="0"/>
    <n v="0"/>
    <s v="LIVRE"/>
    <n v="0"/>
    <n v="3"/>
    <n v="0"/>
    <n v="0"/>
    <n v="11.17"/>
    <n v="0"/>
    <n v="0"/>
    <n v="12.124300073734677"/>
    <n v="56.586384886641618"/>
    <m/>
    <n v="47701.485000000001"/>
    <n v="0"/>
    <n v="51776.823464883935"/>
    <n v="0"/>
    <x v="0"/>
  </r>
  <r>
    <s v="Regular"/>
    <x v="0"/>
    <x v="0"/>
    <x v="0"/>
    <x v="0"/>
    <x v="0"/>
    <x v="0"/>
    <x v="0"/>
    <x v="6"/>
    <n v="6570"/>
    <n v="2233.8000000000002"/>
    <n v="0"/>
    <n v="0"/>
    <n v="0"/>
    <n v="0"/>
    <n v="0"/>
    <s v="LIVRE"/>
    <n v="0"/>
    <n v="3"/>
    <n v="0"/>
    <n v="0"/>
    <n v="11.17"/>
    <n v="0"/>
    <n v="0"/>
    <n v="12.124300073734677"/>
    <n v="56.586384886641618"/>
    <m/>
    <n v="48435.353999999999"/>
    <n v="0"/>
    <n v="52573.389979728301"/>
    <n v="0"/>
    <x v="0"/>
  </r>
  <r>
    <s v="Regular"/>
    <x v="0"/>
    <x v="0"/>
    <x v="0"/>
    <x v="0"/>
    <x v="0"/>
    <x v="0"/>
    <x v="0"/>
    <x v="7"/>
    <n v="6570"/>
    <n v="2430.9"/>
    <n v="0"/>
    <n v="0"/>
    <n v="0"/>
    <n v="0"/>
    <n v="0"/>
    <s v="LIVRE"/>
    <n v="0"/>
    <n v="3"/>
    <n v="0"/>
    <n v="0"/>
    <n v="11.17"/>
    <n v="0"/>
    <n v="0"/>
    <n v="12.124300073734677"/>
    <n v="56.586384886641618"/>
    <m/>
    <n v="46233.747000000003"/>
    <n v="0"/>
    <n v="50183.690435195203"/>
    <n v="0"/>
    <x v="0"/>
  </r>
  <r>
    <s v="Regular"/>
    <x v="0"/>
    <x v="0"/>
    <x v="0"/>
    <x v="0"/>
    <x v="0"/>
    <x v="0"/>
    <x v="0"/>
    <x v="8"/>
    <n v="6570"/>
    <n v="2233.8000000000002"/>
    <n v="0"/>
    <n v="0"/>
    <n v="0"/>
    <n v="0"/>
    <n v="0"/>
    <s v="LIVRE"/>
    <n v="0"/>
    <n v="3"/>
    <n v="0"/>
    <n v="0"/>
    <n v="11.17"/>
    <n v="0"/>
    <n v="0"/>
    <n v="12.124300073734677"/>
    <n v="56.586384886641618"/>
    <m/>
    <n v="48435.353999999999"/>
    <n v="0"/>
    <n v="52573.389979728301"/>
    <n v="0"/>
    <x v="0"/>
  </r>
  <r>
    <s v="Regular"/>
    <x v="0"/>
    <x v="0"/>
    <x v="0"/>
    <x v="0"/>
    <x v="0"/>
    <x v="0"/>
    <x v="0"/>
    <x v="9"/>
    <n v="6570"/>
    <n v="2233.8000000000002"/>
    <n v="0"/>
    <n v="0"/>
    <n v="0"/>
    <n v="0"/>
    <n v="0"/>
    <s v="LIVRE"/>
    <n v="0"/>
    <n v="3"/>
    <n v="0"/>
    <n v="0"/>
    <n v="11.17"/>
    <n v="0"/>
    <n v="0"/>
    <n v="12.124300073734677"/>
    <n v="56.586384886641618"/>
    <m/>
    <n v="48435.353999999999"/>
    <n v="0"/>
    <n v="52573.389979728301"/>
    <n v="0"/>
    <x v="0"/>
  </r>
  <r>
    <s v="Regular"/>
    <x v="0"/>
    <x v="0"/>
    <x v="0"/>
    <x v="0"/>
    <x v="0"/>
    <x v="0"/>
    <x v="0"/>
    <x v="10"/>
    <n v="6570"/>
    <n v="2233.8000000000002"/>
    <n v="0"/>
    <n v="0"/>
    <n v="0"/>
    <n v="0"/>
    <n v="0"/>
    <s v="LIVRE"/>
    <n v="0"/>
    <n v="3"/>
    <n v="0"/>
    <n v="0"/>
    <n v="11.17"/>
    <n v="0"/>
    <n v="0"/>
    <n v="12.124300073734677"/>
    <n v="56.586384886641618"/>
    <m/>
    <n v="48435.353999999999"/>
    <n v="0"/>
    <n v="52573.389979728301"/>
    <n v="0"/>
    <x v="0"/>
  </r>
  <r>
    <s v="PROJETADO"/>
    <x v="0"/>
    <x v="0"/>
    <x v="0"/>
    <x v="0"/>
    <x v="0"/>
    <x v="0"/>
    <x v="0"/>
    <x v="11"/>
    <n v="6570"/>
    <n v="2233.8000000000002"/>
    <n v="0"/>
    <n v="0"/>
    <n v="0"/>
    <n v="0"/>
    <n v="0"/>
    <s v="LIVRE"/>
    <n v="0"/>
    <n v="3"/>
    <n v="0"/>
    <n v="0"/>
    <n v="11.17"/>
    <n v="0"/>
    <n v="0"/>
    <n v="12.124300073734677"/>
    <n v="56.586384886641618"/>
    <m/>
    <n v="48435.353999999999"/>
    <n v="0"/>
    <n v="52573.389979728301"/>
    <n v="0"/>
    <x v="0"/>
  </r>
  <r>
    <s v="Regular"/>
    <x v="0"/>
    <x v="0"/>
    <x v="0"/>
    <x v="0"/>
    <x v="0"/>
    <x v="0"/>
    <x v="1"/>
    <x v="0"/>
    <n v="0"/>
    <n v="0"/>
    <n v="1322.09"/>
    <n v="1322.09"/>
    <n v="0"/>
    <n v="0"/>
    <n v="4"/>
    <s v="LIVRE"/>
    <n v="0"/>
    <n v="0"/>
    <n v="5"/>
    <n v="0"/>
    <n v="0"/>
    <n v="41.95"/>
    <n v="0"/>
    <m/>
    <n v="56.586384886641618"/>
    <m/>
    <n v="0"/>
    <n v="0"/>
    <n v="0"/>
    <n v="0"/>
    <x v="0"/>
  </r>
  <r>
    <s v="Regular"/>
    <x v="0"/>
    <x v="0"/>
    <x v="0"/>
    <x v="0"/>
    <x v="0"/>
    <x v="0"/>
    <x v="1"/>
    <x v="1"/>
    <n v="0"/>
    <n v="0"/>
    <n v="1296.7840000000001"/>
    <n v="1296.7840000000001"/>
    <n v="0"/>
    <n v="0"/>
    <n v="4"/>
    <s v="LIVRE"/>
    <n v="0"/>
    <n v="0"/>
    <n v="5"/>
    <n v="0"/>
    <n v="0"/>
    <n v="41.95"/>
    <n v="0"/>
    <m/>
    <n v="56.586384886641618"/>
    <m/>
    <n v="0"/>
    <n v="0"/>
    <n v="0"/>
    <n v="0"/>
    <x v="0"/>
  </r>
  <r>
    <s v="Regular"/>
    <x v="0"/>
    <x v="0"/>
    <x v="0"/>
    <x v="0"/>
    <x v="0"/>
    <x v="0"/>
    <x v="1"/>
    <x v="2"/>
    <n v="0"/>
    <n v="0"/>
    <n v="1202.2439999999999"/>
    <n v="1202.2439999999999"/>
    <n v="0"/>
    <n v="0"/>
    <n v="4"/>
    <s v="LIVRE"/>
    <n v="0"/>
    <n v="0"/>
    <n v="5"/>
    <n v="0"/>
    <n v="0"/>
    <n v="41.95"/>
    <n v="0"/>
    <m/>
    <n v="56.586384886641618"/>
    <m/>
    <n v="0"/>
    <n v="0"/>
    <n v="0"/>
    <n v="0"/>
    <x v="0"/>
  </r>
  <r>
    <s v="Regular"/>
    <x v="0"/>
    <x v="0"/>
    <x v="0"/>
    <x v="0"/>
    <x v="0"/>
    <x v="0"/>
    <x v="1"/>
    <x v="3"/>
    <n v="0"/>
    <n v="0"/>
    <n v="3153.1880000000001"/>
    <n v="3153.1880000000001"/>
    <n v="0"/>
    <n v="0"/>
    <n v="5"/>
    <s v="LIVRE"/>
    <n v="0"/>
    <n v="0"/>
    <n v="5"/>
    <n v="0"/>
    <n v="0"/>
    <n v="41.95"/>
    <n v="0"/>
    <m/>
    <n v="56.586384886641618"/>
    <m/>
    <n v="0"/>
    <n v="0"/>
    <n v="0"/>
    <n v="0"/>
    <x v="0"/>
  </r>
  <r>
    <s v="Regular"/>
    <x v="0"/>
    <x v="0"/>
    <x v="0"/>
    <x v="0"/>
    <x v="0"/>
    <x v="0"/>
    <x v="1"/>
    <x v="4"/>
    <n v="0"/>
    <n v="0"/>
    <n v="2288.6550000000002"/>
    <n v="2288.6550000000002"/>
    <n v="0"/>
    <n v="0"/>
    <n v="4"/>
    <s v="LIVRE"/>
    <n v="0"/>
    <n v="0"/>
    <n v="5"/>
    <n v="0"/>
    <n v="0"/>
    <n v="41.95"/>
    <n v="0"/>
    <m/>
    <n v="56.586384886641618"/>
    <m/>
    <n v="0"/>
    <n v="0"/>
    <n v="0"/>
    <n v="0"/>
    <x v="0"/>
  </r>
  <r>
    <s v="Regular"/>
    <x v="0"/>
    <x v="0"/>
    <x v="0"/>
    <x v="0"/>
    <x v="0"/>
    <x v="0"/>
    <x v="1"/>
    <x v="5"/>
    <n v="0"/>
    <n v="0"/>
    <n v="2190.7370000000001"/>
    <n v="2190.7370000000001"/>
    <n v="0"/>
    <n v="0"/>
    <n v="4"/>
    <s v="LIVRE"/>
    <n v="0"/>
    <n v="0"/>
    <n v="5"/>
    <n v="0"/>
    <n v="0"/>
    <n v="41.95"/>
    <n v="0"/>
    <m/>
    <n v="56.586384886641618"/>
    <m/>
    <n v="0"/>
    <n v="0"/>
    <n v="0"/>
    <n v="0"/>
    <x v="0"/>
  </r>
  <r>
    <s v="Regular"/>
    <x v="0"/>
    <x v="0"/>
    <x v="0"/>
    <x v="0"/>
    <x v="0"/>
    <x v="0"/>
    <x v="1"/>
    <x v="6"/>
    <n v="0"/>
    <n v="0"/>
    <n v="1980.68"/>
    <n v="1980.68"/>
    <n v="0"/>
    <n v="0"/>
    <n v="4"/>
    <s v="LIVRE"/>
    <n v="0"/>
    <n v="0"/>
    <n v="5"/>
    <n v="0"/>
    <n v="0"/>
    <n v="41.95"/>
    <n v="0"/>
    <m/>
    <n v="56.586384886641618"/>
    <m/>
    <n v="0"/>
    <n v="0"/>
    <n v="0"/>
    <n v="0"/>
    <x v="0"/>
  </r>
  <r>
    <s v="Regular"/>
    <x v="0"/>
    <x v="0"/>
    <x v="0"/>
    <x v="0"/>
    <x v="0"/>
    <x v="0"/>
    <x v="1"/>
    <x v="7"/>
    <n v="0"/>
    <n v="0"/>
    <n v="1640.53"/>
    <n v="1640.53"/>
    <n v="0"/>
    <n v="0"/>
    <n v="4"/>
    <s v="LIVRE"/>
    <n v="0"/>
    <n v="0"/>
    <n v="5"/>
    <n v="0"/>
    <n v="0"/>
    <n v="41.95"/>
    <n v="0"/>
    <m/>
    <n v="56.586384886641618"/>
    <m/>
    <n v="0"/>
    <n v="0"/>
    <n v="0"/>
    <n v="0"/>
    <x v="0"/>
  </r>
  <r>
    <s v="Regular"/>
    <x v="0"/>
    <x v="0"/>
    <x v="0"/>
    <x v="0"/>
    <x v="0"/>
    <x v="0"/>
    <x v="1"/>
    <x v="8"/>
    <n v="0"/>
    <n v="0"/>
    <n v="2244.9459999999999"/>
    <n v="2244.9459999999999"/>
    <n v="0"/>
    <n v="0"/>
    <n v="4"/>
    <s v="LIVRE"/>
    <n v="0"/>
    <n v="0"/>
    <n v="5"/>
    <n v="0"/>
    <n v="0"/>
    <n v="41.95"/>
    <n v="0"/>
    <m/>
    <n v="56.586384886641618"/>
    <m/>
    <n v="0"/>
    <n v="0"/>
    <n v="0"/>
    <n v="0"/>
    <x v="0"/>
  </r>
  <r>
    <s v="Regular"/>
    <x v="0"/>
    <x v="0"/>
    <x v="0"/>
    <x v="0"/>
    <x v="0"/>
    <x v="0"/>
    <x v="1"/>
    <x v="9"/>
    <n v="0"/>
    <n v="0"/>
    <n v="2199.9859999999999"/>
    <n v="2199.9859999999999"/>
    <n v="0"/>
    <n v="0"/>
    <n v="4"/>
    <s v="LIVRE"/>
    <n v="0"/>
    <n v="0"/>
    <n v="5"/>
    <n v="0"/>
    <n v="0"/>
    <n v="41.95"/>
    <n v="0"/>
    <m/>
    <n v="56.586384886641618"/>
    <m/>
    <n v="0"/>
    <n v="0"/>
    <n v="0"/>
    <n v="0"/>
    <x v="0"/>
  </r>
  <r>
    <s v="Regular"/>
    <x v="0"/>
    <x v="0"/>
    <x v="0"/>
    <x v="0"/>
    <x v="0"/>
    <x v="0"/>
    <x v="1"/>
    <x v="10"/>
    <n v="0"/>
    <n v="0"/>
    <n v="2167.8310000000001"/>
    <n v="2167.8310000000001"/>
    <n v="0"/>
    <n v="0"/>
    <n v="4"/>
    <s v="LIVRE"/>
    <n v="0"/>
    <n v="0"/>
    <n v="5"/>
    <n v="0"/>
    <n v="0"/>
    <n v="41.95"/>
    <n v="0"/>
    <m/>
    <n v="56.586384886641618"/>
    <m/>
    <n v="0"/>
    <n v="0"/>
    <n v="0"/>
    <n v="0"/>
    <x v="0"/>
  </r>
  <r>
    <s v="PROJETADO"/>
    <x v="0"/>
    <x v="0"/>
    <x v="0"/>
    <x v="0"/>
    <x v="0"/>
    <x v="0"/>
    <x v="1"/>
    <x v="11"/>
    <n v="0"/>
    <n v="0"/>
    <n v="2167.8310000000001"/>
    <n v="2167.8310000000001"/>
    <n v="0"/>
    <n v="0"/>
    <n v="4"/>
    <s v="LIVRE"/>
    <n v="0"/>
    <n v="0"/>
    <n v="5"/>
    <n v="0"/>
    <n v="0"/>
    <n v="41.95"/>
    <n v="0"/>
    <m/>
    <n v="56.586384886641618"/>
    <m/>
    <n v="0"/>
    <n v="0"/>
    <n v="0"/>
    <n v="0"/>
    <x v="0"/>
  </r>
  <r>
    <s v="Regular"/>
    <x v="0"/>
    <x v="0"/>
    <x v="0"/>
    <x v="0"/>
    <x v="0"/>
    <x v="0"/>
    <x v="2"/>
    <x v="0"/>
    <n v="3940"/>
    <n v="2639.8"/>
    <n v="0"/>
    <n v="0"/>
    <n v="0"/>
    <n v="0"/>
    <n v="0"/>
    <s v="LIVRE"/>
    <n v="0"/>
    <n v="1"/>
    <n v="0"/>
    <n v="0"/>
    <n v="21.48"/>
    <n v="0"/>
    <n v="0"/>
    <n v="23.398858655955021"/>
    <n v="56.586384886641618"/>
    <m/>
    <n v="27928.295999999998"/>
    <n v="0"/>
    <n v="30423.196024472712"/>
    <n v="0"/>
    <x v="0"/>
  </r>
  <r>
    <s v="Regular"/>
    <x v="0"/>
    <x v="0"/>
    <x v="0"/>
    <x v="0"/>
    <x v="0"/>
    <x v="0"/>
    <x v="2"/>
    <x v="1"/>
    <n v="3940"/>
    <n v="2758"/>
    <n v="0"/>
    <n v="0"/>
    <n v="0"/>
    <n v="0"/>
    <n v="0"/>
    <s v="LIVRE"/>
    <n v="0"/>
    <n v="1"/>
    <n v="0"/>
    <n v="0"/>
    <n v="21.48"/>
    <n v="0"/>
    <n v="0"/>
    <n v="23.398858655955021"/>
    <n v="56.586384886641618"/>
    <m/>
    <n v="25389.360000000001"/>
    <n v="0"/>
    <n v="27657.450931338833"/>
    <n v="0"/>
    <x v="0"/>
  </r>
  <r>
    <s v="Regular"/>
    <x v="0"/>
    <x v="0"/>
    <x v="0"/>
    <x v="0"/>
    <x v="0"/>
    <x v="0"/>
    <x v="2"/>
    <x v="2"/>
    <n v="3940"/>
    <n v="4609.8"/>
    <n v="0"/>
    <n v="0"/>
    <n v="0"/>
    <n v="0"/>
    <n v="0"/>
    <s v="LIVRE"/>
    <n v="0"/>
    <n v="1"/>
    <n v="0"/>
    <n v="0"/>
    <n v="21.48"/>
    <n v="0"/>
    <n v="0"/>
    <n v="23.398858655955021"/>
    <n v="56.586384886641618"/>
    <m/>
    <n v="-14387.304000000004"/>
    <n v="0"/>
    <n v="-15672.555527758677"/>
    <n v="0"/>
    <x v="0"/>
  </r>
  <r>
    <s v="Regular"/>
    <x v="0"/>
    <x v="0"/>
    <x v="0"/>
    <x v="0"/>
    <x v="0"/>
    <x v="0"/>
    <x v="2"/>
    <x v="3"/>
    <n v="6627"/>
    <n v="4903.9799999999996"/>
    <n v="0"/>
    <n v="0"/>
    <n v="0"/>
    <n v="0"/>
    <n v="0"/>
    <s v="LIVRE"/>
    <n v="0"/>
    <n v="1"/>
    <n v="0"/>
    <n v="0"/>
    <n v="21.48"/>
    <n v="0"/>
    <n v="0"/>
    <n v="23.398858655955021"/>
    <n v="56.586384886641618"/>
    <m/>
    <n v="37010.469600000011"/>
    <n v="0"/>
    <n v="40316.70144138363"/>
    <n v="0"/>
    <x v="0"/>
  </r>
  <r>
    <s v="Regular"/>
    <x v="0"/>
    <x v="0"/>
    <x v="0"/>
    <x v="0"/>
    <x v="0"/>
    <x v="0"/>
    <x v="2"/>
    <x v="4"/>
    <n v="4818"/>
    <n v="1975.38"/>
    <n v="0"/>
    <n v="0"/>
    <n v="0"/>
    <n v="0"/>
    <n v="0"/>
    <s v="LIVRE"/>
    <n v="0"/>
    <n v="1"/>
    <n v="0"/>
    <n v="0"/>
    <n v="21.48"/>
    <n v="0"/>
    <n v="0"/>
    <n v="23.398858655955021"/>
    <n v="56.586384886641618"/>
    <m/>
    <n v="61059.477599999998"/>
    <n v="0"/>
    <n v="66514.063592590857"/>
    <n v="0"/>
    <x v="0"/>
  </r>
  <r>
    <s v="Regular"/>
    <x v="0"/>
    <x v="0"/>
    <x v="0"/>
    <x v="0"/>
    <x v="0"/>
    <x v="0"/>
    <x v="2"/>
    <x v="5"/>
    <n v="4737"/>
    <n v="1989.54"/>
    <n v="0"/>
    <n v="0"/>
    <n v="0"/>
    <n v="0"/>
    <n v="0"/>
    <s v="LIVRE"/>
    <n v="0"/>
    <n v="1"/>
    <n v="0"/>
    <n v="0"/>
    <n v="21.48"/>
    <n v="0"/>
    <n v="0"/>
    <n v="23.398858655955021"/>
    <n v="56.586384886641618"/>
    <m/>
    <n v="59015.440800000004"/>
    <n v="0"/>
    <n v="64287.42820289018"/>
    <n v="0"/>
    <x v="0"/>
  </r>
  <r>
    <s v="Regular"/>
    <x v="0"/>
    <x v="0"/>
    <x v="0"/>
    <x v="0"/>
    <x v="0"/>
    <x v="0"/>
    <x v="2"/>
    <x v="6"/>
    <n v="4766"/>
    <n v="2001.72"/>
    <n v="0"/>
    <n v="0"/>
    <n v="0"/>
    <n v="0"/>
    <n v="0"/>
    <s v="LIVRE"/>
    <n v="0"/>
    <n v="1"/>
    <n v="0"/>
    <n v="0"/>
    <n v="21.48"/>
    <n v="0"/>
    <n v="0"/>
    <n v="23.398858655955021"/>
    <n v="56.586384886641618"/>
    <m/>
    <n v="59376.734399999994"/>
    <n v="0"/>
    <n v="64680.997005483339"/>
    <n v="0"/>
    <x v="0"/>
  </r>
  <r>
    <s v="Regular"/>
    <x v="0"/>
    <x v="0"/>
    <x v="0"/>
    <x v="0"/>
    <x v="0"/>
    <x v="0"/>
    <x v="2"/>
    <x v="7"/>
    <n v="4922"/>
    <n v="2116.46"/>
    <n v="0"/>
    <n v="0"/>
    <n v="0"/>
    <n v="0"/>
    <n v="0"/>
    <s v="LIVRE"/>
    <n v="0"/>
    <n v="1"/>
    <n v="0"/>
    <n v="0"/>
    <n v="21.48"/>
    <n v="0"/>
    <n v="0"/>
    <n v="23.398858655955021"/>
    <n v="56.586384886641618"/>
    <m/>
    <n v="60262.999199999998"/>
    <n v="0"/>
    <n v="65646.433913628047"/>
    <n v="0"/>
    <x v="0"/>
  </r>
  <r>
    <s v="Regular"/>
    <x v="0"/>
    <x v="0"/>
    <x v="0"/>
    <x v="0"/>
    <x v="0"/>
    <x v="0"/>
    <x v="2"/>
    <x v="8"/>
    <n v="4890"/>
    <n v="2053.8000000000002"/>
    <n v="0"/>
    <n v="0"/>
    <n v="0"/>
    <n v="0"/>
    <n v="0"/>
    <s v="LIVRE"/>
    <n v="0"/>
    <n v="1"/>
    <n v="0"/>
    <n v="0"/>
    <n v="21.48"/>
    <n v="0"/>
    <n v="0"/>
    <n v="23.398858655955021"/>
    <n v="56.586384886641618"/>
    <m/>
    <n v="60921.576000000001"/>
    <n v="0"/>
    <n v="66363.842920019626"/>
    <n v="0"/>
    <x v="0"/>
  </r>
  <r>
    <s v="Regular"/>
    <x v="0"/>
    <x v="0"/>
    <x v="0"/>
    <x v="0"/>
    <x v="0"/>
    <x v="0"/>
    <x v="2"/>
    <x v="9"/>
    <n v="4640"/>
    <n v="1902.4"/>
    <n v="0"/>
    <n v="0"/>
    <n v="0"/>
    <n v="0"/>
    <n v="0"/>
    <s v="LIVRE"/>
    <n v="0"/>
    <n v="1"/>
    <n v="0"/>
    <n v="0"/>
    <n v="21.48"/>
    <n v="0"/>
    <n v="0"/>
    <n v="23.398858655955021"/>
    <n v="56.586384886641618"/>
    <m/>
    <n v="58803.648000000001"/>
    <n v="0"/>
    <n v="64056.715456542464"/>
    <n v="0"/>
    <x v="0"/>
  </r>
  <r>
    <s v="Regular"/>
    <x v="0"/>
    <x v="0"/>
    <x v="0"/>
    <x v="0"/>
    <x v="0"/>
    <x v="0"/>
    <x v="2"/>
    <x v="10"/>
    <n v="4917"/>
    <n v="2065.14"/>
    <n v="0"/>
    <n v="0"/>
    <n v="0"/>
    <n v="0"/>
    <n v="0"/>
    <s v="LIVRE"/>
    <n v="0"/>
    <n v="1"/>
    <n v="0"/>
    <n v="0"/>
    <n v="21.48"/>
    <n v="0"/>
    <n v="0"/>
    <n v="23.398858655955021"/>
    <n v="56.586384886641618"/>
    <m/>
    <n v="61257.952800000006"/>
    <n v="0"/>
    <n v="66730.269046571892"/>
    <n v="0"/>
    <x v="0"/>
  </r>
  <r>
    <s v="PROJETADO"/>
    <x v="0"/>
    <x v="0"/>
    <x v="0"/>
    <x v="0"/>
    <x v="0"/>
    <x v="0"/>
    <x v="2"/>
    <x v="11"/>
    <n v="4917"/>
    <n v="2065.14"/>
    <n v="0"/>
    <n v="0"/>
    <n v="0"/>
    <n v="0"/>
    <n v="0"/>
    <s v="LIVRE"/>
    <n v="0"/>
    <n v="1"/>
    <n v="0"/>
    <n v="0"/>
    <n v="21.48"/>
    <n v="0"/>
    <n v="0"/>
    <n v="23.398858655955021"/>
    <n v="56.586384886641618"/>
    <m/>
    <n v="61257.952800000006"/>
    <n v="0"/>
    <n v="66730.269046571892"/>
    <n v="0"/>
    <x v="0"/>
  </r>
  <r>
    <s v="Regular"/>
    <x v="0"/>
    <x v="0"/>
    <x v="1"/>
    <x v="0"/>
    <x v="1"/>
    <x v="0"/>
    <x v="0"/>
    <x v="0"/>
    <n v="1365"/>
    <n v="1310.4000000000001"/>
    <n v="472.5"/>
    <n v="453.6"/>
    <n v="472.5"/>
    <n v="453.6"/>
    <n v="0"/>
    <s v="CATIVO"/>
    <n v="0"/>
    <n v="3"/>
    <n v="5"/>
    <n v="65"/>
    <n v="11.17"/>
    <n v="41.95"/>
    <n v="242.82"/>
    <n v="12.124300073734677"/>
    <n v="56.586384886641618"/>
    <n v="224.53785920244138"/>
    <n v="609.88199999999892"/>
    <n v="5382.152999999993"/>
    <n v="661.98678402591224"/>
    <n v="5313.2482132836622"/>
    <x v="1"/>
  </r>
  <r>
    <s v="Regular"/>
    <x v="0"/>
    <x v="0"/>
    <x v="1"/>
    <x v="0"/>
    <x v="1"/>
    <x v="0"/>
    <x v="0"/>
    <x v="1"/>
    <n v="1400"/>
    <n v="1344"/>
    <n v="619.5"/>
    <n v="594.72"/>
    <n v="619.5"/>
    <n v="594.72"/>
    <n v="0"/>
    <s v="CATIVO"/>
    <n v="0"/>
    <n v="3"/>
    <n v="5"/>
    <n v="65"/>
    <n v="11.17"/>
    <n v="41.95"/>
    <n v="242.82"/>
    <n v="12.124300073734677"/>
    <n v="56.586384886641618"/>
    <n v="224.53785920244138"/>
    <n v="625.52"/>
    <n v="7056.6005999999916"/>
    <n v="678.96080412914193"/>
    <n v="6966.2587685274693"/>
    <x v="1"/>
  </r>
  <r>
    <s v="Regular"/>
    <x v="0"/>
    <x v="0"/>
    <x v="1"/>
    <x v="0"/>
    <x v="1"/>
    <x v="0"/>
    <x v="0"/>
    <x v="2"/>
    <n v="1365"/>
    <n v="1310.4000000000001"/>
    <n v="675.5"/>
    <n v="648.48"/>
    <n v="675.5"/>
    <n v="648.48"/>
    <n v="0"/>
    <s v="CATIVO"/>
    <n v="0"/>
    <n v="3"/>
    <n v="5"/>
    <n v="65"/>
    <n v="11.17"/>
    <n v="41.95"/>
    <n v="242.82"/>
    <n v="12.124300073734677"/>
    <n v="56.586384886641618"/>
    <n v="224.53785920244138"/>
    <n v="609.88199999999892"/>
    <n v="7694.485399999995"/>
    <n v="661.98678402591224"/>
    <n v="7595.9770752870181"/>
    <x v="1"/>
  </r>
  <r>
    <s v="Regular"/>
    <x v="0"/>
    <x v="0"/>
    <x v="1"/>
    <x v="0"/>
    <x v="1"/>
    <x v="0"/>
    <x v="0"/>
    <x v="3"/>
    <n v="1365"/>
    <n v="1310.4000000000001"/>
    <n v="668.5"/>
    <n v="641.76"/>
    <n v="668.5"/>
    <n v="641.76"/>
    <n v="0"/>
    <s v="CATIVO"/>
    <n v="0"/>
    <n v="3"/>
    <n v="5"/>
    <n v="65"/>
    <n v="11.17"/>
    <n v="41.95"/>
    <n v="242.82"/>
    <n v="12.124300073734677"/>
    <n v="56.586384886641618"/>
    <n v="224.53785920244138"/>
    <n v="609.88199999999892"/>
    <n v="7614.7498000000023"/>
    <n v="661.98678402591224"/>
    <n v="7517.2622869420811"/>
    <x v="1"/>
  </r>
  <r>
    <s v="Regular"/>
    <x v="0"/>
    <x v="0"/>
    <x v="1"/>
    <x v="0"/>
    <x v="1"/>
    <x v="0"/>
    <x v="0"/>
    <x v="4"/>
    <n v="1365"/>
    <n v="1310.4000000000001"/>
    <n v="574"/>
    <n v="551.04"/>
    <n v="574"/>
    <n v="551.04"/>
    <n v="0"/>
    <s v="CATIVO"/>
    <n v="0"/>
    <n v="3"/>
    <n v="5"/>
    <n v="65"/>
    <n v="11.17"/>
    <n v="41.95"/>
    <n v="242.82"/>
    <n v="12.124300073734677"/>
    <n v="56.586384886641618"/>
    <n v="224.53785920244138"/>
    <n v="609.88199999999892"/>
    <n v="6538.3192000000099"/>
    <n v="661.98678402591224"/>
    <n v="6454.6126442853565"/>
    <x v="1"/>
  </r>
  <r>
    <s v="Regular"/>
    <x v="0"/>
    <x v="0"/>
    <x v="1"/>
    <x v="0"/>
    <x v="1"/>
    <x v="0"/>
    <x v="0"/>
    <x v="5"/>
    <n v="1372"/>
    <n v="1317.12"/>
    <n v="153.733"/>
    <n v="147.58367999999999"/>
    <n v="153.733"/>
    <n v="147.58367999999999"/>
    <n v="0"/>
    <s v="CATIVO"/>
    <n v="0"/>
    <n v="3"/>
    <n v="5"/>
    <n v="65"/>
    <n v="11.17"/>
    <n v="41.95"/>
    <n v="242.82"/>
    <n v="12.124300073734677"/>
    <n v="56.586384886641618"/>
    <n v="224.53785920244138"/>
    <n v="613.00960000000123"/>
    <n v="1751.1418564000048"/>
    <n v="665.38158804656041"/>
    <n v="1728.7229366618847"/>
    <x v="1"/>
  </r>
  <r>
    <s v="Regular"/>
    <x v="0"/>
    <x v="0"/>
    <x v="1"/>
    <x v="0"/>
    <x v="1"/>
    <x v="0"/>
    <x v="0"/>
    <x v="6"/>
    <n v="1380"/>
    <n v="1324.8"/>
    <n v="304"/>
    <n v="291.83999999999997"/>
    <n v="304"/>
    <n v="291.83999999999997"/>
    <n v="0"/>
    <s v="CATIVO"/>
    <n v="0"/>
    <n v="3"/>
    <n v="5"/>
    <n v="65"/>
    <n v="11.17"/>
    <n v="41.95"/>
    <n v="242.82"/>
    <n v="12.124300073734677"/>
    <n v="56.586384886641618"/>
    <n v="224.53785920244138"/>
    <n v="616.58400000000051"/>
    <n v="3462.8032000000071"/>
    <n v="669.26136407015474"/>
    <n v="3418.4708081232566"/>
    <x v="1"/>
  </r>
  <r>
    <s v="Regular"/>
    <x v="0"/>
    <x v="0"/>
    <x v="1"/>
    <x v="0"/>
    <x v="1"/>
    <x v="0"/>
    <x v="0"/>
    <x v="7"/>
    <n v="1372"/>
    <n v="1317.12"/>
    <n v="218.36199999999999"/>
    <n v="209.62752"/>
    <n v="218.36199999999999"/>
    <n v="209.62752"/>
    <n v="0"/>
    <s v="CATIVO"/>
    <n v="0"/>
    <n v="3"/>
    <n v="5"/>
    <n v="65"/>
    <n v="11.17"/>
    <n v="41.95"/>
    <n v="242.82"/>
    <n v="12.124300073734677"/>
    <n v="56.586384886641618"/>
    <n v="224.53785920244138"/>
    <n v="613.00960000000123"/>
    <n v="2487.3178695999977"/>
    <n v="665.38158804656041"/>
    <n v="2455.4740875112111"/>
    <x v="1"/>
  </r>
  <r>
    <s v="Regular"/>
    <x v="0"/>
    <x v="0"/>
    <x v="1"/>
    <x v="0"/>
    <x v="1"/>
    <x v="0"/>
    <x v="0"/>
    <x v="8"/>
    <n v="1363"/>
    <n v="1308.48"/>
    <n v="180.59800000000001"/>
    <n v="173.37407999999999"/>
    <n v="180.59800000000001"/>
    <n v="173.37407999999999"/>
    <n v="0"/>
    <s v="CATIVO"/>
    <n v="0"/>
    <n v="3"/>
    <n v="5"/>
    <n v="65"/>
    <n v="11.17"/>
    <n v="41.95"/>
    <n v="242.82"/>
    <n v="12.124300073734677"/>
    <n v="56.586384886641618"/>
    <n v="224.53785920244138"/>
    <n v="608.98839999999984"/>
    <n v="2057.1556984000058"/>
    <n v="661.01684002001434"/>
    <n v="2030.8190493600143"/>
    <x v="1"/>
  </r>
  <r>
    <s v="Regular"/>
    <x v="0"/>
    <x v="0"/>
    <x v="1"/>
    <x v="0"/>
    <x v="1"/>
    <x v="0"/>
    <x v="0"/>
    <x v="9"/>
    <n v="1374"/>
    <n v="1319.04"/>
    <n v="253.95599999999999"/>
    <n v="243.79776000000001"/>
    <n v="253.95599999999999"/>
    <n v="243.79776000000001"/>
    <n v="0"/>
    <s v="CATIVO"/>
    <n v="0"/>
    <n v="3"/>
    <n v="5"/>
    <n v="65"/>
    <n v="11.17"/>
    <n v="41.95"/>
    <n v="242.82"/>
    <n v="12.124300073734677"/>
    <n v="56.586384886641618"/>
    <n v="224.53785920244138"/>
    <n v="613.90320000000042"/>
    <n v="2892.7620047999935"/>
    <n v="666.35153205245831"/>
    <n v="2855.7275412754802"/>
    <x v="1"/>
  </r>
  <r>
    <s v="Regular"/>
    <x v="0"/>
    <x v="0"/>
    <x v="1"/>
    <x v="0"/>
    <x v="1"/>
    <x v="0"/>
    <x v="0"/>
    <x v="10"/>
    <n v="1363"/>
    <n v="1308.48"/>
    <n v="198.58600000000001"/>
    <n v="190.64256"/>
    <n v="198.58600000000001"/>
    <n v="190.64256"/>
    <n v="0"/>
    <s v="CATIVO"/>
    <n v="0"/>
    <n v="3"/>
    <n v="5"/>
    <n v="65"/>
    <n v="11.17"/>
    <n v="41.95"/>
    <n v="242.82"/>
    <n v="12.124300073734677"/>
    <n v="56.586384886641618"/>
    <n v="224.53785920244138"/>
    <n v="608.98839999999984"/>
    <n v="2262.0534088000027"/>
    <n v="661.01684002001434"/>
    <n v="2233.0935654669884"/>
    <x v="1"/>
  </r>
  <r>
    <s v="PROJETADO"/>
    <x v="0"/>
    <x v="0"/>
    <x v="1"/>
    <x v="0"/>
    <x v="1"/>
    <x v="0"/>
    <x v="0"/>
    <x v="11"/>
    <n v="1363"/>
    <n v="1308.48"/>
    <n v="198.58600000000001"/>
    <n v="190.64256"/>
    <n v="198.58600000000001"/>
    <n v="190.64256"/>
    <n v="0"/>
    <s v="CATIVO"/>
    <n v="0"/>
    <n v="3"/>
    <n v="5"/>
    <n v="65"/>
    <n v="11.17"/>
    <n v="41.95"/>
    <n v="242.82"/>
    <n v="12.124300073734677"/>
    <n v="56.586384886641618"/>
    <n v="224.53785920244138"/>
    <n v="608.98839999999984"/>
    <n v="2262.0534088000027"/>
    <n v="661.01684002001434"/>
    <n v="2233.0935654669884"/>
    <x v="1"/>
  </r>
  <r>
    <s v="Regular"/>
    <x v="0"/>
    <x v="0"/>
    <x v="1"/>
    <x v="0"/>
    <x v="1"/>
    <x v="0"/>
    <x v="2"/>
    <x v="0"/>
    <n v="24"/>
    <n v="23.04"/>
    <n v="0"/>
    <n v="0"/>
    <n v="0"/>
    <n v="0"/>
    <n v="0"/>
    <s v="CATIVO"/>
    <n v="0"/>
    <n v="1"/>
    <n v="0"/>
    <n v="0"/>
    <n v="21.48"/>
    <n v="0"/>
    <n v="0"/>
    <n v="23.398858655955021"/>
    <n v="56.586384886641618"/>
    <n v="351.67159959099928"/>
    <n v="20.62080000000002"/>
    <n v="0"/>
    <n v="22.462904309716841"/>
    <n v="0"/>
    <x v="1"/>
  </r>
  <r>
    <s v="Regular"/>
    <x v="0"/>
    <x v="0"/>
    <x v="1"/>
    <x v="0"/>
    <x v="1"/>
    <x v="0"/>
    <x v="2"/>
    <x v="1"/>
    <n v="35"/>
    <n v="33.6"/>
    <n v="3.5"/>
    <n v="3.36"/>
    <n v="3.5"/>
    <n v="3.36"/>
    <n v="0"/>
    <s v="CATIVO"/>
    <n v="0"/>
    <n v="1"/>
    <n v="5"/>
    <n v="64"/>
    <n v="21.48"/>
    <n v="41.95"/>
    <n v="397.62"/>
    <n v="23.398858655955021"/>
    <n v="56.586384886641618"/>
    <n v="351.67159959099928"/>
    <n v="30.071999999999971"/>
    <n v="61.539800000000056"/>
    <n v="32.758402118336996"/>
    <n v="57.156117826869782"/>
    <x v="1"/>
  </r>
  <r>
    <s v="Regular"/>
    <x v="0"/>
    <x v="0"/>
    <x v="1"/>
    <x v="0"/>
    <x v="1"/>
    <x v="0"/>
    <x v="2"/>
    <x v="2"/>
    <n v="105"/>
    <n v="100.8"/>
    <n v="0"/>
    <n v="0"/>
    <n v="0"/>
    <n v="0"/>
    <n v="0"/>
    <s v="CATIVO"/>
    <n v="0"/>
    <n v="1"/>
    <n v="0"/>
    <n v="0"/>
    <n v="21.48"/>
    <n v="0"/>
    <n v="0"/>
    <n v="23.398858655955021"/>
    <n v="56.586384886641618"/>
    <n v="351.67159959099928"/>
    <n v="90.216000000000065"/>
    <n v="0"/>
    <n v="98.27520635501115"/>
    <n v="0"/>
    <x v="1"/>
  </r>
  <r>
    <s v="Regular"/>
    <x v="0"/>
    <x v="0"/>
    <x v="1"/>
    <x v="0"/>
    <x v="1"/>
    <x v="0"/>
    <x v="2"/>
    <x v="3"/>
    <n v="140"/>
    <n v="134.4"/>
    <n v="0"/>
    <n v="0"/>
    <n v="0"/>
    <n v="0"/>
    <n v="0"/>
    <s v="CATIVO"/>
    <n v="0"/>
    <n v="1"/>
    <n v="0"/>
    <n v="0"/>
    <n v="21.48"/>
    <n v="0"/>
    <n v="0"/>
    <n v="23.398858655955021"/>
    <n v="56.586384886641618"/>
    <n v="351.67159959099928"/>
    <n v="120.28799999999988"/>
    <n v="0"/>
    <n v="131.03360847334798"/>
    <n v="0"/>
    <x v="1"/>
  </r>
  <r>
    <s v="Regular"/>
    <x v="0"/>
    <x v="0"/>
    <x v="1"/>
    <x v="0"/>
    <x v="1"/>
    <x v="0"/>
    <x v="2"/>
    <x v="4"/>
    <n v="210"/>
    <n v="201.6"/>
    <n v="0"/>
    <n v="0"/>
    <n v="0"/>
    <n v="0"/>
    <n v="0"/>
    <s v="CATIVO"/>
    <n v="0"/>
    <n v="1"/>
    <n v="0"/>
    <n v="0"/>
    <n v="21.48"/>
    <n v="0"/>
    <n v="0"/>
    <n v="23.398858655955021"/>
    <n v="56.586384886641618"/>
    <n v="351.67159959099928"/>
    <n v="180.43200000000013"/>
    <n v="0"/>
    <n v="196.5504127100223"/>
    <n v="0"/>
    <x v="1"/>
  </r>
  <r>
    <s v="Regular"/>
    <x v="0"/>
    <x v="0"/>
    <x v="1"/>
    <x v="0"/>
    <x v="1"/>
    <x v="0"/>
    <x v="2"/>
    <x v="5"/>
    <n v="21"/>
    <n v="20.16"/>
    <n v="1.0149999999999999"/>
    <n v="0.97440000000000004"/>
    <n v="1.0149999999999999"/>
    <n v="0.97440000000000004"/>
    <n v="0"/>
    <s v="CATIVO"/>
    <n v="0"/>
    <n v="1"/>
    <n v="5"/>
    <n v="64"/>
    <n v="21.48"/>
    <n v="41.95"/>
    <n v="397.62"/>
    <n v="23.398858655955021"/>
    <n v="56.586384886641618"/>
    <n v="351.67159959099928"/>
    <n v="18.043199999999999"/>
    <n v="17.846541999999936"/>
    <n v="19.655041271002215"/>
    <n v="16.575274169792163"/>
    <x v="1"/>
  </r>
  <r>
    <s v="Regular"/>
    <x v="0"/>
    <x v="0"/>
    <x v="1"/>
    <x v="0"/>
    <x v="1"/>
    <x v="0"/>
    <x v="2"/>
    <x v="6"/>
    <n v="21"/>
    <n v="20.16"/>
    <n v="0.45600000000000002"/>
    <n v="0.43775999999999998"/>
    <n v="0.45600000000000002"/>
    <n v="0.43775999999999998"/>
    <n v="0"/>
    <s v="CATIVO"/>
    <n v="0"/>
    <n v="1"/>
    <n v="5"/>
    <n v="64"/>
    <n v="21.48"/>
    <n v="41.95"/>
    <n v="397.62"/>
    <n v="23.398858655955021"/>
    <n v="56.586384886641618"/>
    <n v="351.67159959099928"/>
    <n v="18.043199999999999"/>
    <n v="8.017756800000015"/>
    <n v="19.655041271002215"/>
    <n v="7.4466256368721844"/>
    <x v="1"/>
  </r>
  <r>
    <s v="Regular"/>
    <x v="0"/>
    <x v="0"/>
    <x v="1"/>
    <x v="0"/>
    <x v="1"/>
    <x v="0"/>
    <x v="2"/>
    <x v="7"/>
    <n v="193"/>
    <n v="185.28"/>
    <n v="0.56200000000000006"/>
    <n v="0.53952"/>
    <n v="0.56200000000000006"/>
    <n v="0.53952"/>
    <n v="0"/>
    <s v="CATIVO"/>
    <n v="0"/>
    <n v="1"/>
    <n v="5"/>
    <n v="64"/>
    <n v="21.48"/>
    <n v="41.95"/>
    <n v="397.62"/>
    <n v="23.398858655955021"/>
    <n v="56.586384886641618"/>
    <n v="351.67159959099928"/>
    <n v="165.82559999999998"/>
    <n v="9.8815336000000258"/>
    <n v="180.63918882397275"/>
    <n v="9.1776394910573895"/>
    <x v="1"/>
  </r>
  <r>
    <s v="Regular"/>
    <x v="0"/>
    <x v="0"/>
    <x v="1"/>
    <x v="0"/>
    <x v="1"/>
    <x v="0"/>
    <x v="2"/>
    <x v="8"/>
    <n v="190"/>
    <n v="182.4"/>
    <n v="0.47799999999999998"/>
    <n v="0.45888000000000001"/>
    <n v="0.47799999999999998"/>
    <n v="0.45888000000000001"/>
    <n v="0"/>
    <s v="CATIVO"/>
    <n v="0"/>
    <n v="1"/>
    <n v="5"/>
    <n v="64"/>
    <n v="21.48"/>
    <n v="41.95"/>
    <n v="397.62"/>
    <n v="23.398858655955021"/>
    <n v="56.586384886641618"/>
    <n v="351.67159959099928"/>
    <n v="163.24799999999988"/>
    <n v="8.4045783999999859"/>
    <n v="177.83132578525803"/>
    <n v="7.8058926632124823"/>
    <x v="1"/>
  </r>
  <r>
    <s v="Regular"/>
    <x v="0"/>
    <x v="0"/>
    <x v="1"/>
    <x v="0"/>
    <x v="1"/>
    <x v="0"/>
    <x v="2"/>
    <x v="9"/>
    <n v="378"/>
    <n v="362.88"/>
    <n v="0.81299999999999994"/>
    <n v="0.78047999999999995"/>
    <n v="0.81299999999999994"/>
    <n v="0.78047999999999995"/>
    <n v="0"/>
    <s v="CATIVO"/>
    <n v="0"/>
    <n v="1"/>
    <n v="5"/>
    <n v="64"/>
    <n v="21.48"/>
    <n v="41.95"/>
    <n v="397.62"/>
    <n v="23.398858655955021"/>
    <n v="56.586384886641618"/>
    <n v="351.67159959099928"/>
    <n v="324.77760000000012"/>
    <n v="14.294816399999998"/>
    <n v="353.79074287804002"/>
    <n v="13.276549655212879"/>
    <x v="1"/>
  </r>
  <r>
    <s v="Regular"/>
    <x v="0"/>
    <x v="0"/>
    <x v="1"/>
    <x v="0"/>
    <x v="1"/>
    <x v="0"/>
    <x v="2"/>
    <x v="10"/>
    <n v="201"/>
    <n v="192.96"/>
    <n v="0.56499999999999995"/>
    <n v="0.54239999999999999"/>
    <n v="0.56499999999999995"/>
    <n v="0.54239999999999999"/>
    <n v="0"/>
    <s v="CATIVO"/>
    <n v="0"/>
    <n v="1"/>
    <n v="5"/>
    <n v="64"/>
    <n v="21.48"/>
    <n v="41.95"/>
    <n v="397.62"/>
    <n v="23.398858655955021"/>
    <n v="56.586384886641618"/>
    <n v="351.67159959099928"/>
    <n v="172.69919999999982"/>
    <n v="9.9342819999999801"/>
    <n v="188.12682359387819"/>
    <n v="9.2266304491946656"/>
    <x v="1"/>
  </r>
  <r>
    <s v="PROJETADO"/>
    <x v="0"/>
    <x v="0"/>
    <x v="1"/>
    <x v="0"/>
    <x v="1"/>
    <x v="0"/>
    <x v="2"/>
    <x v="11"/>
    <n v="201"/>
    <n v="192.96"/>
    <n v="0.56499999999999995"/>
    <n v="0.54239999999999999"/>
    <n v="0.56499999999999995"/>
    <n v="0.54239999999999999"/>
    <n v="0"/>
    <s v="CATIVO"/>
    <n v="0"/>
    <n v="1"/>
    <n v="5"/>
    <n v="64"/>
    <n v="21.48"/>
    <n v="41.95"/>
    <n v="397.62"/>
    <n v="23.398858655955021"/>
    <n v="56.586384886641618"/>
    <n v="351.67159959099928"/>
    <n v="172.69919999999982"/>
    <n v="9.9342819999999801"/>
    <n v="188.12682359387819"/>
    <n v="9.2266304491946656"/>
    <x v="1"/>
  </r>
  <r>
    <s v="Regular"/>
    <x v="0"/>
    <x v="0"/>
    <x v="2"/>
    <x v="1"/>
    <x v="1"/>
    <x v="0"/>
    <x v="0"/>
    <x v="0"/>
    <n v="10100"/>
    <n v="8585"/>
    <n v="5331"/>
    <n v="5011.1400000000003"/>
    <n v="5331"/>
    <n v="5011.1400000000003"/>
    <n v="0"/>
    <s v="CATIVO"/>
    <n v="0"/>
    <n v="3"/>
    <n v="5"/>
    <n v="65"/>
    <n v="11.17"/>
    <n v="41.95"/>
    <n v="242.82"/>
    <n v="12.124300073734677"/>
    <n v="56.586384886641618"/>
    <n v="224.53785920244138"/>
    <n v="16922.55"/>
    <n v="91086.532199999914"/>
    <n v="18368.314611708036"/>
    <n v="89920.400714333999"/>
    <x v="2"/>
  </r>
  <r>
    <s v="Regular"/>
    <x v="0"/>
    <x v="0"/>
    <x v="2"/>
    <x v="1"/>
    <x v="1"/>
    <x v="0"/>
    <x v="0"/>
    <x v="1"/>
    <n v="10100"/>
    <n v="8585"/>
    <n v="5330"/>
    <n v="5010.2"/>
    <n v="5330"/>
    <n v="5010.2"/>
    <n v="0"/>
    <s v="CATIVO"/>
    <n v="0"/>
    <n v="3"/>
    <n v="5"/>
    <n v="65"/>
    <n v="11.17"/>
    <n v="41.95"/>
    <n v="242.82"/>
    <n v="12.124300073734677"/>
    <n v="56.586384886641618"/>
    <n v="224.53785920244138"/>
    <n v="16922.55"/>
    <n v="91069.446000000054"/>
    <n v="18368.314611708036"/>
    <n v="89903.533259688804"/>
    <x v="2"/>
  </r>
  <r>
    <s v="Regular"/>
    <x v="0"/>
    <x v="0"/>
    <x v="2"/>
    <x v="1"/>
    <x v="1"/>
    <x v="0"/>
    <x v="0"/>
    <x v="2"/>
    <n v="10180"/>
    <n v="8653"/>
    <n v="5567"/>
    <n v="5232.9799999999996"/>
    <n v="5567"/>
    <n v="5232.9799999999996"/>
    <n v="0"/>
    <s v="CATIVO"/>
    <n v="0"/>
    <n v="3"/>
    <n v="5"/>
    <n v="65"/>
    <n v="11.17"/>
    <n v="41.95"/>
    <n v="242.82"/>
    <n v="12.124300073734677"/>
    <n v="56.586384886641618"/>
    <n v="224.53785920244138"/>
    <n v="17056.59"/>
    <n v="95118.875400000135"/>
    <n v="18513.806212592852"/>
    <n v="93901.120010635626"/>
    <x v="2"/>
  </r>
  <r>
    <s v="Regular"/>
    <x v="0"/>
    <x v="0"/>
    <x v="2"/>
    <x v="1"/>
    <x v="1"/>
    <x v="0"/>
    <x v="0"/>
    <x v="3"/>
    <n v="10260"/>
    <n v="8721"/>
    <n v="5781"/>
    <n v="5434.14"/>
    <n v="5781"/>
    <n v="5434.14"/>
    <n v="0"/>
    <s v="CATIVO"/>
    <n v="0"/>
    <n v="3"/>
    <n v="5"/>
    <n v="65"/>
    <n v="11.17"/>
    <n v="41.95"/>
    <n v="242.82"/>
    <n v="12.124300073734677"/>
    <n v="56.586384886641618"/>
    <n v="224.53785920244138"/>
    <n v="17190.63"/>
    <n v="98775.322199999908"/>
    <n v="18659.297813477668"/>
    <n v="97510.755304739243"/>
    <x v="2"/>
  </r>
  <r>
    <s v="Regular"/>
    <x v="0"/>
    <x v="0"/>
    <x v="2"/>
    <x v="1"/>
    <x v="1"/>
    <x v="0"/>
    <x v="0"/>
    <x v="4"/>
    <n v="10190"/>
    <n v="8661.5"/>
    <n v="6006"/>
    <n v="5645.64"/>
    <n v="6006"/>
    <n v="5645.64"/>
    <n v="0"/>
    <s v="CATIVO"/>
    <n v="0"/>
    <n v="3"/>
    <n v="5"/>
    <n v="65"/>
    <n v="11.17"/>
    <n v="41.95"/>
    <n v="242.82"/>
    <n v="12.124300073734677"/>
    <n v="56.586384886641618"/>
    <n v="224.53785920244138"/>
    <n v="17073.345000000001"/>
    <n v="102619.7171999999"/>
    <n v="18531.992662703455"/>
    <n v="101305.93259994187"/>
    <x v="2"/>
  </r>
  <r>
    <s v="Regular"/>
    <x v="0"/>
    <x v="0"/>
    <x v="2"/>
    <x v="1"/>
    <x v="1"/>
    <x v="0"/>
    <x v="0"/>
    <x v="5"/>
    <n v="10253"/>
    <n v="8715.0499999999993"/>
    <n v="5725.0789999999997"/>
    <n v="5381.5742600000003"/>
    <n v="5725.0789999999997"/>
    <n v="5381.5742600000003"/>
    <n v="0"/>
    <s v="CATIVO"/>
    <n v="0"/>
    <n v="3"/>
    <n v="5"/>
    <n v="65"/>
    <n v="11.17"/>
    <n v="41.95"/>
    <n v="242.82"/>
    <n v="12.124300073734677"/>
    <n v="56.586384886641618"/>
    <n v="224.53785920244138"/>
    <n v="17178.901500000007"/>
    <n v="97819.844809799819"/>
    <n v="18646.567298400256"/>
    <n v="96567.510373516823"/>
    <x v="2"/>
  </r>
  <r>
    <s v="Regular"/>
    <x v="0"/>
    <x v="0"/>
    <x v="2"/>
    <x v="1"/>
    <x v="1"/>
    <x v="0"/>
    <x v="0"/>
    <x v="6"/>
    <n v="10262"/>
    <n v="8722.6999999999989"/>
    <n v="5526.3230000000003"/>
    <n v="5194.7436200000002"/>
    <n v="5526.3230000000003"/>
    <n v="5194.7436200000002"/>
    <n v="0"/>
    <s v="CATIVO"/>
    <n v="0"/>
    <n v="3"/>
    <n v="5"/>
    <n v="65"/>
    <n v="11.17"/>
    <n v="41.95"/>
    <n v="242.82"/>
    <n v="12.124300073734677"/>
    <n v="56.586384886641618"/>
    <n v="224.53785920244138"/>
    <n v="17193.981000000011"/>
    <n v="94423.860042600034"/>
    <n v="18662.9351034998"/>
    <n v="93215.002558026841"/>
    <x v="2"/>
  </r>
  <r>
    <s v="Regular"/>
    <x v="0"/>
    <x v="0"/>
    <x v="2"/>
    <x v="1"/>
    <x v="1"/>
    <x v="0"/>
    <x v="0"/>
    <x v="7"/>
    <n v="10263"/>
    <n v="8723.5499999999993"/>
    <n v="5847.049"/>
    <n v="5496.22606"/>
    <n v="5847.049"/>
    <n v="5496.22606"/>
    <n v="0"/>
    <s v="CATIVO"/>
    <n v="0"/>
    <n v="3"/>
    <n v="5"/>
    <n v="65"/>
    <n v="11.17"/>
    <n v="41.95"/>
    <n v="242.82"/>
    <n v="12.124300073734677"/>
    <n v="56.586384886641618"/>
    <n v="224.53785920244138"/>
    <n v="17195.656500000008"/>
    <n v="99903.848623800004"/>
    <n v="18664.753748510859"/>
    <n v="98624.833816609724"/>
    <x v="2"/>
  </r>
  <r>
    <s v="Regular"/>
    <x v="0"/>
    <x v="0"/>
    <x v="2"/>
    <x v="1"/>
    <x v="1"/>
    <x v="0"/>
    <x v="0"/>
    <x v="8"/>
    <n v="10698"/>
    <n v="9093.2999999999993"/>
    <n v="5625.5640000000003"/>
    <n v="5288.0301600000003"/>
    <n v="5625.5640000000003"/>
    <n v="5288.0301600000003"/>
    <n v="0"/>
    <s v="CATIVO"/>
    <n v="0"/>
    <n v="3"/>
    <n v="5"/>
    <n v="65"/>
    <n v="11.17"/>
    <n v="41.95"/>
    <n v="242.82"/>
    <n v="12.124300073734677"/>
    <n v="56.586384886641618"/>
    <n v="224.53785920244138"/>
    <n v="17924.499000000007"/>
    <n v="96119.51161680001"/>
    <n v="19455.864328322044"/>
    <n v="94888.945624485496"/>
    <x v="2"/>
  </r>
  <r>
    <s v="Regular"/>
    <x v="0"/>
    <x v="0"/>
    <x v="2"/>
    <x v="1"/>
    <x v="1"/>
    <x v="0"/>
    <x v="0"/>
    <x v="9"/>
    <n v="10196"/>
    <n v="8666.6"/>
    <n v="5745.7179999999998"/>
    <n v="5400.9749199999997"/>
    <n v="5745.7179999999998"/>
    <n v="5400.9749199999997"/>
    <n v="0"/>
    <s v="CATIVO"/>
    <n v="0"/>
    <n v="3"/>
    <n v="5"/>
    <n v="65"/>
    <n v="11.17"/>
    <n v="41.95"/>
    <n v="242.82"/>
    <n v="12.124300073734677"/>
    <n v="56.586384886641618"/>
    <n v="224.53785920244138"/>
    <n v="17083.397999999997"/>
    <n v="98172.486891600056"/>
    <n v="18542.904532769811"/>
    <n v="96915.637769942317"/>
    <x v="2"/>
  </r>
  <r>
    <s v="Regular"/>
    <x v="0"/>
    <x v="0"/>
    <x v="2"/>
    <x v="1"/>
    <x v="1"/>
    <x v="0"/>
    <x v="0"/>
    <x v="10"/>
    <n v="10110"/>
    <n v="8593.5"/>
    <n v="5405.5959999999995"/>
    <n v="5081.2602399999996"/>
    <n v="5405.5959999999995"/>
    <n v="5081.2602399999996"/>
    <n v="0"/>
    <s v="CATIVO"/>
    <n v="0"/>
    <n v="3"/>
    <n v="5"/>
    <n v="65"/>
    <n v="11.17"/>
    <n v="41.95"/>
    <n v="242.82"/>
    <n v="12.124300073734677"/>
    <n v="56.586384886641618"/>
    <n v="224.53785920244138"/>
    <n v="16939.305"/>
    <n v="92361.094375199973"/>
    <n v="18386.501061818639"/>
    <n v="91178.64536105821"/>
    <x v="2"/>
  </r>
  <r>
    <s v="PROJETADO"/>
    <x v="0"/>
    <x v="0"/>
    <x v="2"/>
    <x v="1"/>
    <x v="1"/>
    <x v="0"/>
    <x v="0"/>
    <x v="11"/>
    <n v="10110"/>
    <n v="8593.5"/>
    <n v="5405.5959999999995"/>
    <n v="5081.2602399999996"/>
    <n v="5405.5959999999995"/>
    <n v="5081.2602399999996"/>
    <n v="0"/>
    <s v="CATIVO"/>
    <n v="0"/>
    <n v="3"/>
    <n v="5"/>
    <n v="65"/>
    <n v="11.17"/>
    <n v="41.95"/>
    <n v="242.82"/>
    <n v="12.124300073734677"/>
    <n v="56.586384886641618"/>
    <n v="224.53785920244138"/>
    <n v="16939.305"/>
    <n v="92361.094375199973"/>
    <n v="18386.501061818639"/>
    <n v="91178.64536105821"/>
    <x v="2"/>
  </r>
  <r>
    <s v="Regular"/>
    <x v="0"/>
    <x v="0"/>
    <x v="2"/>
    <x v="1"/>
    <x v="1"/>
    <x v="0"/>
    <x v="2"/>
    <x v="0"/>
    <n v="9080"/>
    <n v="7718"/>
    <n v="513"/>
    <n v="482.22"/>
    <n v="513"/>
    <n v="482.22"/>
    <n v="0"/>
    <s v="CATIVO"/>
    <n v="0"/>
    <n v="1"/>
    <n v="5"/>
    <n v="64"/>
    <n v="21.48"/>
    <n v="41.95"/>
    <n v="397.62"/>
    <n v="23.398858655955021"/>
    <n v="56.586384886641618"/>
    <n v="351.67159959099928"/>
    <n v="29255.760000000002"/>
    <n v="13529.964599999988"/>
    <n v="31869.24548941074"/>
    <n v="12566.180762221775"/>
    <x v="2"/>
  </r>
  <r>
    <s v="Regular"/>
    <x v="0"/>
    <x v="0"/>
    <x v="2"/>
    <x v="1"/>
    <x v="1"/>
    <x v="0"/>
    <x v="2"/>
    <x v="1"/>
    <n v="9000"/>
    <n v="7650"/>
    <n v="493"/>
    <n v="463.42"/>
    <n v="493"/>
    <n v="463.42"/>
    <n v="0"/>
    <s v="CATIVO"/>
    <n v="0"/>
    <n v="1"/>
    <n v="5"/>
    <n v="64"/>
    <n v="21.48"/>
    <n v="41.95"/>
    <n v="397.62"/>
    <n v="23.398858655955021"/>
    <n v="56.586384886641618"/>
    <n v="351.67159959099928"/>
    <n v="28998"/>
    <n v="13002.480599999994"/>
    <n v="31588.459185539279"/>
    <n v="12076.271180848611"/>
    <x v="2"/>
  </r>
  <r>
    <s v="Regular"/>
    <x v="0"/>
    <x v="0"/>
    <x v="2"/>
    <x v="1"/>
    <x v="1"/>
    <x v="0"/>
    <x v="2"/>
    <x v="2"/>
    <n v="9540"/>
    <n v="8109"/>
    <n v="505"/>
    <n v="474.7"/>
    <n v="505"/>
    <n v="474.7"/>
    <n v="0"/>
    <s v="CATIVO"/>
    <n v="0"/>
    <n v="1"/>
    <n v="5"/>
    <n v="64"/>
    <n v="21.48"/>
    <n v="41.95"/>
    <n v="397.62"/>
    <n v="23.398858655955021"/>
    <n v="56.586384886641618"/>
    <n v="351.67159959099928"/>
    <n v="30737.88"/>
    <n v="13318.971000000005"/>
    <n v="33483.766736671634"/>
    <n v="12370.216929672522"/>
    <x v="2"/>
  </r>
  <r>
    <s v="Regular"/>
    <x v="0"/>
    <x v="0"/>
    <x v="2"/>
    <x v="1"/>
    <x v="1"/>
    <x v="0"/>
    <x v="2"/>
    <x v="3"/>
    <n v="9480"/>
    <n v="8058"/>
    <n v="529"/>
    <n v="497.26"/>
    <n v="529"/>
    <n v="497.26"/>
    <n v="0"/>
    <s v="CATIVO"/>
    <n v="0"/>
    <n v="1"/>
    <n v="5"/>
    <n v="64"/>
    <n v="21.48"/>
    <n v="41.95"/>
    <n v="397.62"/>
    <n v="23.398858655955021"/>
    <n v="56.586384886641618"/>
    <n v="351.67159959099928"/>
    <n v="30544.560000000001"/>
    <n v="13951.951800000004"/>
    <n v="33273.177008768042"/>
    <n v="12958.108427320325"/>
    <x v="2"/>
  </r>
  <r>
    <s v="Regular"/>
    <x v="0"/>
    <x v="0"/>
    <x v="2"/>
    <x v="1"/>
    <x v="1"/>
    <x v="0"/>
    <x v="2"/>
    <x v="4"/>
    <n v="10190"/>
    <n v="8661.5"/>
    <n v="600"/>
    <n v="564"/>
    <n v="600"/>
    <n v="564"/>
    <n v="0"/>
    <s v="CATIVO"/>
    <n v="0"/>
    <n v="1"/>
    <n v="5"/>
    <n v="64"/>
    <n v="21.48"/>
    <n v="41.95"/>
    <n v="397.62"/>
    <n v="23.398858655955021"/>
    <n v="56.586384886641618"/>
    <n v="351.67159959099928"/>
    <n v="32832.18"/>
    <n v="15824.52"/>
    <n v="35765.155455627246"/>
    <n v="14697.287441195072"/>
    <x v="2"/>
  </r>
  <r>
    <s v="Regular"/>
    <x v="0"/>
    <x v="0"/>
    <x v="2"/>
    <x v="1"/>
    <x v="1"/>
    <x v="0"/>
    <x v="2"/>
    <x v="5"/>
    <n v="9703"/>
    <n v="8247.5499999999993"/>
    <n v="532.51300000000003"/>
    <n v="500.56222000000002"/>
    <n v="532.51300000000003"/>
    <n v="500.56222000000002"/>
    <n v="0"/>
    <s v="CATIVO"/>
    <n v="0"/>
    <n v="1"/>
    <n v="5"/>
    <n v="64"/>
    <n v="21.48"/>
    <n v="41.95"/>
    <n v="397.62"/>
    <n v="23.398858655955021"/>
    <n v="56.586384886641618"/>
    <n v="351.67159959099928"/>
    <n v="31263.066000000017"/>
    <n v="14044.604364600005"/>
    <n v="34055.868830809755"/>
    <n v="13044.161045288523"/>
    <x v="2"/>
  </r>
  <r>
    <s v="Regular"/>
    <x v="0"/>
    <x v="0"/>
    <x v="2"/>
    <x v="1"/>
    <x v="1"/>
    <x v="0"/>
    <x v="2"/>
    <x v="6"/>
    <n v="9740"/>
    <n v="8279"/>
    <n v="517.00900000000001"/>
    <n v="485.98845999999998"/>
    <n v="517.00900000000001"/>
    <n v="485.98845999999998"/>
    <n v="0"/>
    <s v="CATIVO"/>
    <n v="0"/>
    <n v="1"/>
    <n v="5"/>
    <n v="64"/>
    <n v="21.48"/>
    <n v="41.95"/>
    <n v="397.62"/>
    <n v="23.398858655955021"/>
    <n v="56.586384886641618"/>
    <n v="351.67159959099928"/>
    <n v="31382.28"/>
    <n v="13635.698767800019"/>
    <n v="34185.732496350283"/>
    <n v="12664.383137808054"/>
    <x v="2"/>
  </r>
  <r>
    <s v="Regular"/>
    <x v="0"/>
    <x v="0"/>
    <x v="2"/>
    <x v="1"/>
    <x v="1"/>
    <x v="0"/>
    <x v="2"/>
    <x v="7"/>
    <n v="9021"/>
    <n v="7667.8499999999995"/>
    <n v="535.46400000000006"/>
    <n v="503.33616000000001"/>
    <n v="535.46400000000006"/>
    <n v="503.33616000000001"/>
    <n v="0"/>
    <s v="CATIVO"/>
    <n v="0"/>
    <n v="1"/>
    <n v="5"/>
    <n v="64"/>
    <n v="21.48"/>
    <n v="41.95"/>
    <n v="397.62"/>
    <n v="23.398858655955021"/>
    <n v="56.586384886641618"/>
    <n v="351.67159959099928"/>
    <n v="29065.662000000011"/>
    <n v="14122.434628800023"/>
    <n v="31662.165590305551"/>
    <n v="13116.447204020151"/>
    <x v="2"/>
  </r>
  <r>
    <s v="Regular"/>
    <x v="0"/>
    <x v="0"/>
    <x v="2"/>
    <x v="1"/>
    <x v="1"/>
    <x v="0"/>
    <x v="2"/>
    <x v="8"/>
    <n v="9149"/>
    <n v="7776.65"/>
    <n v="452.89499999999998"/>
    <n v="425.72129999999999"/>
    <n v="452.89499999999998"/>
    <n v="425.72129999999999"/>
    <n v="0"/>
    <s v="CATIVO"/>
    <n v="0"/>
    <n v="1"/>
    <n v="5"/>
    <n v="64"/>
    <n v="21.48"/>
    <n v="41.95"/>
    <n v="397.62"/>
    <n v="23.398858655955021"/>
    <n v="56.586384886641618"/>
    <n v="351.67159959099928"/>
    <n v="29478.078000000009"/>
    <n v="11944.743308999999"/>
    <n v="32111.423676499882"/>
    <n v="11093.879992800068"/>
    <x v="2"/>
  </r>
  <r>
    <s v="Regular"/>
    <x v="0"/>
    <x v="0"/>
    <x v="2"/>
    <x v="1"/>
    <x v="1"/>
    <x v="0"/>
    <x v="2"/>
    <x v="9"/>
    <n v="8978"/>
    <n v="7631.3"/>
    <n v="527.52700000000004"/>
    <n v="495.87538000000001"/>
    <n v="527.52700000000004"/>
    <n v="495.87538000000001"/>
    <n v="0"/>
    <s v="CATIVO"/>
    <n v="0"/>
    <n v="1"/>
    <n v="5"/>
    <n v="64"/>
    <n v="21.48"/>
    <n v="41.95"/>
    <n v="397.62"/>
    <n v="23.398858655955021"/>
    <n v="56.586384886641618"/>
    <n v="351.67159959099928"/>
    <n v="28927.115999999998"/>
    <n v="13913.102603400017"/>
    <n v="31511.242951974622"/>
    <n v="12922.026586652204"/>
    <x v="2"/>
  </r>
  <r>
    <s v="Regular"/>
    <x v="0"/>
    <x v="0"/>
    <x v="2"/>
    <x v="1"/>
    <x v="1"/>
    <x v="0"/>
    <x v="2"/>
    <x v="10"/>
    <n v="8944"/>
    <n v="7602.4"/>
    <n v="501.512"/>
    <n v="471.42128000000002"/>
    <n v="501.512"/>
    <n v="471.42128000000002"/>
    <n v="0"/>
    <s v="CATIVO"/>
    <n v="0"/>
    <n v="1"/>
    <n v="5"/>
    <n v="64"/>
    <n v="21.48"/>
    <n v="41.95"/>
    <n v="397.62"/>
    <n v="23.398858655955021"/>
    <n v="56.586384886641618"/>
    <n v="351.67159959099928"/>
    <n v="28817.568000000007"/>
    <n v="13226.977790399989"/>
    <n v="31391.908772829265"/>
    <n v="12284.776698681027"/>
    <x v="2"/>
  </r>
  <r>
    <s v="PROJETADO"/>
    <x v="0"/>
    <x v="0"/>
    <x v="2"/>
    <x v="1"/>
    <x v="1"/>
    <x v="0"/>
    <x v="2"/>
    <x v="11"/>
    <n v="8944"/>
    <n v="7602.4"/>
    <n v="501.512"/>
    <n v="471.42128000000002"/>
    <n v="501.512"/>
    <n v="471.42128000000002"/>
    <n v="0"/>
    <s v="CATIVO"/>
    <n v="0"/>
    <n v="1"/>
    <n v="5"/>
    <n v="64"/>
    <n v="21.48"/>
    <n v="41.95"/>
    <n v="397.62"/>
    <n v="23.398858655955021"/>
    <n v="56.586384886641618"/>
    <n v="351.67159959099928"/>
    <n v="28817.568000000007"/>
    <n v="13226.977790399989"/>
    <n v="31391.908772829265"/>
    <n v="12284.776698681027"/>
    <x v="2"/>
  </r>
  <r>
    <s v="Regular"/>
    <x v="0"/>
    <x v="1"/>
    <x v="3"/>
    <x v="0"/>
    <x v="1"/>
    <x v="1"/>
    <x v="1"/>
    <x v="0"/>
    <n v="3500"/>
    <n v="3500"/>
    <n v="0"/>
    <n v="0"/>
    <n v="0"/>
    <n v="0"/>
    <n v="0"/>
    <s v="GERAÇÃO"/>
    <n v="27402"/>
    <n v="16"/>
    <n v="0"/>
    <n v="0"/>
    <n v="12.9"/>
    <n v="0"/>
    <n v="0"/>
    <n v="14.085249121662242"/>
    <m/>
    <m/>
    <n v="0"/>
    <n v="0"/>
    <n v="0"/>
    <n v="0"/>
    <x v="3"/>
  </r>
  <r>
    <s v="Regular"/>
    <x v="0"/>
    <x v="1"/>
    <x v="3"/>
    <x v="0"/>
    <x v="1"/>
    <x v="2"/>
    <x v="1"/>
    <x v="0"/>
    <n v="3000"/>
    <n v="1500"/>
    <n v="0"/>
    <n v="0"/>
    <n v="0"/>
    <n v="0"/>
    <n v="0"/>
    <s v="GERAÇÃO"/>
    <n v="28515"/>
    <n v="16"/>
    <n v="0"/>
    <n v="0"/>
    <n v="12.9"/>
    <n v="0"/>
    <n v="0"/>
    <n v="14.085249121662242"/>
    <m/>
    <m/>
    <n v="19350"/>
    <n v="0"/>
    <n v="21127.873682493362"/>
    <n v="0"/>
    <x v="3"/>
  </r>
  <r>
    <s v="Regular"/>
    <x v="0"/>
    <x v="1"/>
    <x v="3"/>
    <x v="0"/>
    <x v="1"/>
    <x v="3"/>
    <x v="1"/>
    <x v="0"/>
    <n v="11000"/>
    <n v="5500"/>
    <n v="0"/>
    <n v="0"/>
    <n v="0"/>
    <n v="0"/>
    <n v="0"/>
    <s v="GERAÇÃO"/>
    <n v="28957"/>
    <n v="16"/>
    <n v="0"/>
    <n v="0"/>
    <n v="12.9"/>
    <n v="0"/>
    <n v="0"/>
    <n v="14.085249121662242"/>
    <m/>
    <m/>
    <n v="70950"/>
    <n v="0"/>
    <n v="77468.870169142334"/>
    <n v="0"/>
    <x v="3"/>
  </r>
  <r>
    <s v="Refaturamento - Regular"/>
    <x v="0"/>
    <x v="1"/>
    <x v="3"/>
    <x v="0"/>
    <x v="1"/>
    <x v="3"/>
    <x v="1"/>
    <x v="0"/>
    <n v="-536"/>
    <n v="-536"/>
    <n v="0"/>
    <n v="0"/>
    <n v="0"/>
    <n v="0"/>
    <n v="0"/>
    <s v="GERAÇÃO"/>
    <n v="28957"/>
    <n v="16"/>
    <n v="0"/>
    <n v="0"/>
    <n v="12.9"/>
    <n v="0"/>
    <n v="0"/>
    <n v="14.085249121662242"/>
    <m/>
    <m/>
    <n v="0"/>
    <n v="0"/>
    <n v="0"/>
    <n v="0"/>
    <x v="3"/>
  </r>
  <r>
    <s v="Regular"/>
    <x v="0"/>
    <x v="1"/>
    <x v="3"/>
    <x v="0"/>
    <x v="1"/>
    <x v="4"/>
    <x v="1"/>
    <x v="0"/>
    <n v="10050"/>
    <n v="5025"/>
    <n v="0"/>
    <n v="0"/>
    <n v="0"/>
    <n v="0"/>
    <n v="0"/>
    <s v="GERAÇÃO"/>
    <n v="29041"/>
    <n v="16"/>
    <n v="0"/>
    <n v="0"/>
    <n v="12.9"/>
    <n v="0"/>
    <n v="0"/>
    <n v="14.085249121662242"/>
    <m/>
    <m/>
    <n v="64822.5"/>
    <n v="0"/>
    <n v="70778.376836352763"/>
    <n v="0"/>
    <x v="3"/>
  </r>
  <r>
    <s v="Regular"/>
    <x v="0"/>
    <x v="1"/>
    <x v="3"/>
    <x v="0"/>
    <x v="1"/>
    <x v="5"/>
    <x v="1"/>
    <x v="0"/>
    <n v="44450"/>
    <n v="22225"/>
    <n v="0"/>
    <n v="0"/>
    <n v="0"/>
    <n v="0"/>
    <n v="0"/>
    <s v="GERAÇÃO"/>
    <n v="29092"/>
    <n v="16"/>
    <n v="0"/>
    <n v="0"/>
    <n v="12.9"/>
    <n v="0"/>
    <n v="0"/>
    <n v="14.085249121662242"/>
    <m/>
    <m/>
    <n v="286702.5"/>
    <n v="0"/>
    <n v="313044.66172894335"/>
    <n v="0"/>
    <x v="3"/>
  </r>
  <r>
    <s v="Regular"/>
    <x v="0"/>
    <x v="1"/>
    <x v="3"/>
    <x v="0"/>
    <x v="1"/>
    <x v="6"/>
    <x v="1"/>
    <x v="0"/>
    <n v="30000"/>
    <n v="15000"/>
    <n v="0"/>
    <n v="0"/>
    <n v="0"/>
    <n v="0"/>
    <n v="0"/>
    <s v="GERAÇÃO"/>
    <n v="33663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7"/>
    <x v="1"/>
    <x v="0"/>
    <n v="30000"/>
    <n v="15000"/>
    <n v="0"/>
    <n v="0"/>
    <n v="0"/>
    <n v="0"/>
    <n v="0"/>
    <s v="GERAÇÃO"/>
    <n v="33664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8"/>
    <x v="1"/>
    <x v="0"/>
    <n v="30000"/>
    <n v="15000"/>
    <n v="0"/>
    <n v="0"/>
    <n v="0"/>
    <n v="0"/>
    <n v="0"/>
    <s v="GERAÇÃO"/>
    <n v="33665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9"/>
    <x v="1"/>
    <x v="0"/>
    <n v="27000"/>
    <n v="13500"/>
    <n v="0"/>
    <n v="0"/>
    <n v="0"/>
    <n v="0"/>
    <n v="0"/>
    <s v="GERAÇÃO"/>
    <n v="34085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0"/>
    <x v="1"/>
    <x v="0"/>
    <n v="27000"/>
    <n v="13500"/>
    <n v="0"/>
    <n v="0"/>
    <n v="0"/>
    <n v="0"/>
    <n v="0"/>
    <s v="GERAÇÃO"/>
    <n v="34086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"/>
    <x v="1"/>
    <x v="1"/>
    <n v="3500"/>
    <n v="3500"/>
    <n v="0"/>
    <n v="0"/>
    <n v="0"/>
    <n v="0"/>
    <n v="0"/>
    <s v="GERAÇÃO"/>
    <n v="27402"/>
    <n v="16"/>
    <n v="0"/>
    <n v="0"/>
    <n v="12.9"/>
    <n v="0"/>
    <n v="0"/>
    <n v="14.085249121662242"/>
    <m/>
    <m/>
    <n v="0"/>
    <n v="0"/>
    <n v="0"/>
    <n v="0"/>
    <x v="3"/>
  </r>
  <r>
    <s v="Regular"/>
    <x v="0"/>
    <x v="1"/>
    <x v="3"/>
    <x v="0"/>
    <x v="1"/>
    <x v="2"/>
    <x v="1"/>
    <x v="1"/>
    <n v="3000"/>
    <n v="1500"/>
    <n v="0"/>
    <n v="0"/>
    <n v="0"/>
    <n v="0"/>
    <n v="0"/>
    <s v="GERAÇÃO"/>
    <n v="28515"/>
    <n v="16"/>
    <n v="0"/>
    <n v="0"/>
    <n v="12.9"/>
    <n v="0"/>
    <n v="0"/>
    <n v="14.085249121662242"/>
    <m/>
    <m/>
    <n v="19350"/>
    <n v="0"/>
    <n v="21127.873682493362"/>
    <n v="0"/>
    <x v="3"/>
  </r>
  <r>
    <s v="Regular"/>
    <x v="0"/>
    <x v="1"/>
    <x v="3"/>
    <x v="0"/>
    <x v="1"/>
    <x v="3"/>
    <x v="1"/>
    <x v="1"/>
    <n v="11000"/>
    <n v="5500"/>
    <n v="0"/>
    <n v="0"/>
    <n v="0"/>
    <n v="0"/>
    <n v="0"/>
    <s v="GERAÇÃO"/>
    <n v="28957"/>
    <n v="16"/>
    <n v="0"/>
    <n v="0"/>
    <n v="12.9"/>
    <n v="0"/>
    <n v="0"/>
    <n v="14.085249121662242"/>
    <m/>
    <m/>
    <n v="70950"/>
    <n v="0"/>
    <n v="77468.870169142334"/>
    <n v="0"/>
    <x v="3"/>
  </r>
  <r>
    <s v="Regular"/>
    <x v="0"/>
    <x v="1"/>
    <x v="3"/>
    <x v="0"/>
    <x v="1"/>
    <x v="4"/>
    <x v="1"/>
    <x v="1"/>
    <n v="10050"/>
    <n v="5025"/>
    <n v="0"/>
    <n v="0"/>
    <n v="0"/>
    <n v="0"/>
    <n v="0"/>
    <s v="GERAÇÃO"/>
    <n v="29041"/>
    <n v="16"/>
    <n v="0"/>
    <n v="0"/>
    <n v="12.9"/>
    <n v="0"/>
    <n v="0"/>
    <n v="14.085249121662242"/>
    <m/>
    <m/>
    <n v="64822.5"/>
    <n v="0"/>
    <n v="70778.376836352763"/>
    <n v="0"/>
    <x v="3"/>
  </r>
  <r>
    <s v="Regular"/>
    <x v="0"/>
    <x v="1"/>
    <x v="3"/>
    <x v="0"/>
    <x v="1"/>
    <x v="5"/>
    <x v="1"/>
    <x v="1"/>
    <n v="44450"/>
    <n v="22225"/>
    <n v="0"/>
    <n v="0"/>
    <n v="0"/>
    <n v="0"/>
    <n v="0"/>
    <s v="GERAÇÃO"/>
    <n v="29092"/>
    <n v="16"/>
    <n v="0"/>
    <n v="0"/>
    <n v="12.9"/>
    <n v="0"/>
    <n v="0"/>
    <n v="14.085249121662242"/>
    <m/>
    <m/>
    <n v="286702.5"/>
    <n v="0"/>
    <n v="313044.66172894335"/>
    <n v="0"/>
    <x v="3"/>
  </r>
  <r>
    <s v="Regular"/>
    <x v="0"/>
    <x v="1"/>
    <x v="3"/>
    <x v="0"/>
    <x v="1"/>
    <x v="6"/>
    <x v="1"/>
    <x v="1"/>
    <n v="30000"/>
    <n v="15000"/>
    <n v="0"/>
    <n v="0"/>
    <n v="0"/>
    <n v="0"/>
    <n v="0"/>
    <s v="GERAÇÃO"/>
    <n v="33663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7"/>
    <x v="1"/>
    <x v="1"/>
    <n v="30000"/>
    <n v="15000"/>
    <n v="0"/>
    <n v="0"/>
    <n v="0"/>
    <n v="0"/>
    <n v="0"/>
    <s v="GERAÇÃO"/>
    <n v="33664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8"/>
    <x v="1"/>
    <x v="1"/>
    <n v="30000"/>
    <n v="15000"/>
    <n v="0"/>
    <n v="0"/>
    <n v="0"/>
    <n v="0"/>
    <n v="0"/>
    <s v="GERAÇÃO"/>
    <n v="33665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9"/>
    <x v="1"/>
    <x v="1"/>
    <n v="27000"/>
    <n v="13500"/>
    <n v="0"/>
    <n v="0"/>
    <n v="0"/>
    <n v="0"/>
    <n v="0"/>
    <s v="GERAÇÃO"/>
    <n v="34085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0"/>
    <x v="1"/>
    <x v="1"/>
    <n v="27000"/>
    <n v="13500"/>
    <n v="0"/>
    <n v="0"/>
    <n v="0"/>
    <n v="0"/>
    <n v="0"/>
    <s v="GERAÇÃO"/>
    <n v="34086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"/>
    <x v="1"/>
    <x v="2"/>
    <n v="3500"/>
    <n v="3500"/>
    <n v="0"/>
    <n v="0"/>
    <n v="0"/>
    <n v="0"/>
    <n v="0"/>
    <s v="GERAÇÃO"/>
    <n v="27402"/>
    <n v="16"/>
    <n v="0"/>
    <n v="0"/>
    <n v="12.9"/>
    <n v="0"/>
    <n v="0"/>
    <n v="14.085249121662242"/>
    <m/>
    <m/>
    <n v="0"/>
    <n v="0"/>
    <n v="0"/>
    <n v="0"/>
    <x v="3"/>
  </r>
  <r>
    <s v="Regular"/>
    <x v="0"/>
    <x v="1"/>
    <x v="3"/>
    <x v="0"/>
    <x v="1"/>
    <x v="2"/>
    <x v="1"/>
    <x v="2"/>
    <n v="3000"/>
    <n v="1500"/>
    <n v="0"/>
    <n v="0"/>
    <n v="0"/>
    <n v="0"/>
    <n v="0"/>
    <s v="GERAÇÃO"/>
    <n v="28515"/>
    <n v="16"/>
    <n v="0"/>
    <n v="0"/>
    <n v="12.9"/>
    <n v="0"/>
    <n v="0"/>
    <n v="14.085249121662242"/>
    <m/>
    <m/>
    <n v="19350"/>
    <n v="0"/>
    <n v="21127.873682493362"/>
    <n v="0"/>
    <x v="3"/>
  </r>
  <r>
    <s v="Regular"/>
    <x v="0"/>
    <x v="1"/>
    <x v="3"/>
    <x v="0"/>
    <x v="1"/>
    <x v="3"/>
    <x v="1"/>
    <x v="2"/>
    <n v="11000"/>
    <n v="5500"/>
    <n v="0"/>
    <n v="0"/>
    <n v="0"/>
    <n v="0"/>
    <n v="0"/>
    <s v="GERAÇÃO"/>
    <n v="28957"/>
    <n v="16"/>
    <n v="0"/>
    <n v="0"/>
    <n v="12.9"/>
    <n v="0"/>
    <n v="0"/>
    <n v="14.085249121662242"/>
    <m/>
    <m/>
    <n v="70950"/>
    <n v="0"/>
    <n v="77468.870169142334"/>
    <n v="0"/>
    <x v="3"/>
  </r>
  <r>
    <s v="Regular"/>
    <x v="0"/>
    <x v="1"/>
    <x v="3"/>
    <x v="0"/>
    <x v="1"/>
    <x v="4"/>
    <x v="1"/>
    <x v="2"/>
    <n v="10050"/>
    <n v="5025"/>
    <n v="0"/>
    <n v="0"/>
    <n v="0"/>
    <n v="0"/>
    <n v="0"/>
    <s v="GERAÇÃO"/>
    <n v="29041"/>
    <n v="16"/>
    <n v="0"/>
    <n v="0"/>
    <n v="12.9"/>
    <n v="0"/>
    <n v="0"/>
    <n v="14.085249121662242"/>
    <m/>
    <m/>
    <n v="64822.5"/>
    <n v="0"/>
    <n v="70778.376836352763"/>
    <n v="0"/>
    <x v="3"/>
  </r>
  <r>
    <s v="Regular"/>
    <x v="0"/>
    <x v="1"/>
    <x v="3"/>
    <x v="0"/>
    <x v="1"/>
    <x v="5"/>
    <x v="1"/>
    <x v="2"/>
    <n v="44450"/>
    <n v="22225"/>
    <n v="0"/>
    <n v="0"/>
    <n v="0"/>
    <n v="0"/>
    <n v="0"/>
    <s v="GERAÇÃO"/>
    <n v="29092"/>
    <n v="16"/>
    <n v="0"/>
    <n v="0"/>
    <n v="12.9"/>
    <n v="0"/>
    <n v="0"/>
    <n v="14.085249121662242"/>
    <m/>
    <m/>
    <n v="286702.5"/>
    <n v="0"/>
    <n v="313044.66172894335"/>
    <n v="0"/>
    <x v="3"/>
  </r>
  <r>
    <s v="Regular"/>
    <x v="0"/>
    <x v="1"/>
    <x v="3"/>
    <x v="0"/>
    <x v="1"/>
    <x v="6"/>
    <x v="1"/>
    <x v="2"/>
    <n v="30000"/>
    <n v="15000"/>
    <n v="0"/>
    <n v="0"/>
    <n v="0"/>
    <n v="0"/>
    <n v="0"/>
    <s v="GERAÇÃO"/>
    <n v="33663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7"/>
    <x v="1"/>
    <x v="2"/>
    <n v="30000"/>
    <n v="15000"/>
    <n v="0"/>
    <n v="0"/>
    <n v="0"/>
    <n v="0"/>
    <n v="0"/>
    <s v="GERAÇÃO"/>
    <n v="33664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8"/>
    <x v="1"/>
    <x v="2"/>
    <n v="30000"/>
    <n v="15000"/>
    <n v="0"/>
    <n v="0"/>
    <n v="0"/>
    <n v="0"/>
    <n v="0"/>
    <s v="GERAÇÃO"/>
    <n v="33665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9"/>
    <x v="1"/>
    <x v="2"/>
    <n v="27000"/>
    <n v="13500"/>
    <n v="0"/>
    <n v="0"/>
    <n v="0"/>
    <n v="0"/>
    <n v="0"/>
    <s v="GERAÇÃO"/>
    <n v="34085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0"/>
    <x v="1"/>
    <x v="2"/>
    <n v="27000"/>
    <n v="13500"/>
    <n v="0"/>
    <n v="0"/>
    <n v="0"/>
    <n v="0"/>
    <n v="0"/>
    <s v="GERAÇÃO"/>
    <n v="34086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"/>
    <x v="1"/>
    <x v="3"/>
    <n v="3500"/>
    <n v="3500"/>
    <n v="0"/>
    <n v="0"/>
    <n v="0"/>
    <n v="0"/>
    <n v="0"/>
    <s v="GERAÇÃO"/>
    <n v="27402"/>
    <n v="16"/>
    <n v="0"/>
    <n v="0"/>
    <n v="12.9"/>
    <n v="0"/>
    <n v="0"/>
    <n v="14.085249121662242"/>
    <m/>
    <m/>
    <n v="0"/>
    <n v="0"/>
    <n v="0"/>
    <n v="0"/>
    <x v="3"/>
  </r>
  <r>
    <s v="Regular"/>
    <x v="0"/>
    <x v="1"/>
    <x v="3"/>
    <x v="0"/>
    <x v="1"/>
    <x v="2"/>
    <x v="1"/>
    <x v="3"/>
    <n v="3714"/>
    <n v="1857"/>
    <n v="0"/>
    <n v="0"/>
    <n v="0"/>
    <n v="0"/>
    <n v="0"/>
    <s v="GERAÇÃO"/>
    <n v="28515"/>
    <n v="16"/>
    <n v="0"/>
    <n v="0"/>
    <n v="12.9"/>
    <n v="0"/>
    <n v="0"/>
    <n v="14.085249121662242"/>
    <m/>
    <m/>
    <n v="23955.3"/>
    <n v="0"/>
    <n v="26156.307618926785"/>
    <n v="0"/>
    <x v="3"/>
  </r>
  <r>
    <s v="Regular"/>
    <x v="0"/>
    <x v="1"/>
    <x v="3"/>
    <x v="0"/>
    <x v="1"/>
    <x v="3"/>
    <x v="1"/>
    <x v="3"/>
    <n v="11812"/>
    <n v="5906"/>
    <n v="0"/>
    <n v="0"/>
    <n v="0"/>
    <n v="0"/>
    <n v="0"/>
    <s v="GERAÇÃO"/>
    <n v="28957"/>
    <n v="16"/>
    <n v="0"/>
    <n v="0"/>
    <n v="12.9"/>
    <n v="0"/>
    <n v="0"/>
    <n v="14.085249121662242"/>
    <m/>
    <m/>
    <n v="76187.400000000009"/>
    <n v="0"/>
    <n v="83187.481312537202"/>
    <n v="0"/>
    <x v="3"/>
  </r>
  <r>
    <s v="Regular"/>
    <x v="0"/>
    <x v="1"/>
    <x v="3"/>
    <x v="0"/>
    <x v="1"/>
    <x v="4"/>
    <x v="1"/>
    <x v="3"/>
    <n v="10050"/>
    <n v="5025"/>
    <n v="0"/>
    <n v="0"/>
    <n v="0"/>
    <n v="0"/>
    <n v="0"/>
    <s v="GERAÇÃO"/>
    <n v="29041"/>
    <n v="16"/>
    <n v="0"/>
    <n v="0"/>
    <n v="12.9"/>
    <n v="0"/>
    <n v="0"/>
    <n v="14.085249121662242"/>
    <m/>
    <m/>
    <n v="64822.5"/>
    <n v="0"/>
    <n v="70778.376836352763"/>
    <n v="0"/>
    <x v="3"/>
  </r>
  <r>
    <s v="Regular"/>
    <x v="0"/>
    <x v="1"/>
    <x v="3"/>
    <x v="0"/>
    <x v="1"/>
    <x v="5"/>
    <x v="1"/>
    <x v="3"/>
    <n v="44450"/>
    <n v="22225"/>
    <n v="0"/>
    <n v="0"/>
    <n v="0"/>
    <n v="0"/>
    <n v="0"/>
    <s v="GERAÇÃO"/>
    <n v="29092"/>
    <n v="16"/>
    <n v="0"/>
    <n v="0"/>
    <n v="12.9"/>
    <n v="0"/>
    <n v="0"/>
    <n v="14.085249121662242"/>
    <m/>
    <m/>
    <n v="286702.5"/>
    <n v="0"/>
    <n v="313044.66172894335"/>
    <n v="0"/>
    <x v="3"/>
  </r>
  <r>
    <s v="Regular"/>
    <x v="0"/>
    <x v="1"/>
    <x v="3"/>
    <x v="0"/>
    <x v="1"/>
    <x v="6"/>
    <x v="1"/>
    <x v="3"/>
    <n v="30000"/>
    <n v="15000"/>
    <n v="0"/>
    <n v="0"/>
    <n v="0"/>
    <n v="0"/>
    <n v="0"/>
    <s v="GERAÇÃO"/>
    <n v="33663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7"/>
    <x v="1"/>
    <x v="3"/>
    <n v="30000"/>
    <n v="15000"/>
    <n v="0"/>
    <n v="0"/>
    <n v="0"/>
    <n v="0"/>
    <n v="0"/>
    <s v="GERAÇÃO"/>
    <n v="33664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8"/>
    <x v="1"/>
    <x v="3"/>
    <n v="30000"/>
    <n v="15000"/>
    <n v="0"/>
    <n v="0"/>
    <n v="0"/>
    <n v="0"/>
    <n v="0"/>
    <s v="GERAÇÃO"/>
    <n v="33665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9"/>
    <x v="1"/>
    <x v="3"/>
    <n v="27000"/>
    <n v="13500"/>
    <n v="0"/>
    <n v="0"/>
    <n v="0"/>
    <n v="0"/>
    <n v="0"/>
    <s v="GERAÇÃO"/>
    <n v="34085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0"/>
    <x v="1"/>
    <x v="3"/>
    <n v="27000"/>
    <n v="13500"/>
    <n v="0"/>
    <n v="0"/>
    <n v="0"/>
    <n v="0"/>
    <n v="0"/>
    <s v="GERAÇÃO"/>
    <n v="34086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"/>
    <x v="1"/>
    <x v="4"/>
    <n v="3500"/>
    <n v="3500"/>
    <n v="0"/>
    <n v="0"/>
    <n v="0"/>
    <n v="0"/>
    <n v="0"/>
    <s v="GERAÇÃO"/>
    <n v="27402"/>
    <n v="16"/>
    <n v="0"/>
    <n v="0"/>
    <n v="12.9"/>
    <n v="0"/>
    <n v="0"/>
    <n v="14.085249121662242"/>
    <m/>
    <m/>
    <n v="0"/>
    <n v="0"/>
    <n v="0"/>
    <n v="0"/>
    <x v="3"/>
  </r>
  <r>
    <s v="Regular"/>
    <x v="0"/>
    <x v="1"/>
    <x v="3"/>
    <x v="0"/>
    <x v="1"/>
    <x v="2"/>
    <x v="1"/>
    <x v="4"/>
    <n v="3322"/>
    <n v="1661"/>
    <n v="0"/>
    <n v="0"/>
    <n v="0"/>
    <n v="0"/>
    <n v="0"/>
    <s v="GERAÇÃO"/>
    <n v="28515"/>
    <n v="16"/>
    <n v="0"/>
    <n v="0"/>
    <n v="12.9"/>
    <n v="0"/>
    <n v="0"/>
    <n v="14.085249121662242"/>
    <m/>
    <m/>
    <n v="21426.9"/>
    <n v="0"/>
    <n v="23395.598791080985"/>
    <n v="0"/>
    <x v="3"/>
  </r>
  <r>
    <s v="Regular"/>
    <x v="0"/>
    <x v="1"/>
    <x v="3"/>
    <x v="0"/>
    <x v="1"/>
    <x v="3"/>
    <x v="1"/>
    <x v="4"/>
    <n v="12140"/>
    <n v="6070"/>
    <n v="0"/>
    <n v="0"/>
    <n v="0"/>
    <n v="0"/>
    <n v="0"/>
    <s v="GERAÇÃO"/>
    <n v="28957"/>
    <n v="16"/>
    <n v="0"/>
    <n v="0"/>
    <n v="12.9"/>
    <n v="0"/>
    <n v="0"/>
    <n v="14.085249121662242"/>
    <m/>
    <m/>
    <n v="78303"/>
    <n v="0"/>
    <n v="85497.462168489816"/>
    <n v="0"/>
    <x v="3"/>
  </r>
  <r>
    <s v="Regular"/>
    <x v="0"/>
    <x v="1"/>
    <x v="3"/>
    <x v="0"/>
    <x v="1"/>
    <x v="4"/>
    <x v="1"/>
    <x v="4"/>
    <n v="10050"/>
    <n v="5025"/>
    <n v="0"/>
    <n v="0"/>
    <n v="0"/>
    <n v="0"/>
    <n v="0"/>
    <s v="GERAÇÃO"/>
    <n v="29041"/>
    <n v="16"/>
    <n v="0"/>
    <n v="0"/>
    <n v="12.9"/>
    <n v="0"/>
    <n v="0"/>
    <n v="14.085249121662242"/>
    <m/>
    <m/>
    <n v="64822.5"/>
    <n v="0"/>
    <n v="70778.376836352763"/>
    <n v="0"/>
    <x v="3"/>
  </r>
  <r>
    <s v="Regular"/>
    <x v="0"/>
    <x v="1"/>
    <x v="3"/>
    <x v="0"/>
    <x v="1"/>
    <x v="5"/>
    <x v="1"/>
    <x v="4"/>
    <n v="44450"/>
    <n v="22225"/>
    <n v="0"/>
    <n v="0"/>
    <n v="0"/>
    <n v="0"/>
    <n v="0"/>
    <s v="GERAÇÃO"/>
    <n v="29092"/>
    <n v="16"/>
    <n v="0"/>
    <n v="0"/>
    <n v="12.9"/>
    <n v="0"/>
    <n v="0"/>
    <n v="14.085249121662242"/>
    <m/>
    <m/>
    <n v="286702.5"/>
    <n v="0"/>
    <n v="313044.66172894335"/>
    <n v="0"/>
    <x v="3"/>
  </r>
  <r>
    <s v="Regular"/>
    <x v="0"/>
    <x v="1"/>
    <x v="3"/>
    <x v="0"/>
    <x v="1"/>
    <x v="6"/>
    <x v="1"/>
    <x v="4"/>
    <n v="30000"/>
    <n v="15000"/>
    <n v="0"/>
    <n v="0"/>
    <n v="0"/>
    <n v="0"/>
    <n v="0"/>
    <s v="GERAÇÃO"/>
    <n v="33663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7"/>
    <x v="1"/>
    <x v="4"/>
    <n v="30000"/>
    <n v="15000"/>
    <n v="0"/>
    <n v="0"/>
    <n v="0"/>
    <n v="0"/>
    <n v="0"/>
    <s v="GERAÇÃO"/>
    <n v="33664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8"/>
    <x v="1"/>
    <x v="4"/>
    <n v="30000"/>
    <n v="15000"/>
    <n v="0"/>
    <n v="0"/>
    <n v="0"/>
    <n v="0"/>
    <n v="0"/>
    <s v="GERAÇÃO"/>
    <n v="33665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9"/>
    <x v="1"/>
    <x v="4"/>
    <n v="27000"/>
    <n v="13500"/>
    <n v="0"/>
    <n v="0"/>
    <n v="0"/>
    <n v="0"/>
    <n v="0"/>
    <s v="GERAÇÃO"/>
    <n v="34085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0"/>
    <x v="1"/>
    <x v="4"/>
    <n v="27000"/>
    <n v="13500"/>
    <n v="0"/>
    <n v="0"/>
    <n v="0"/>
    <n v="0"/>
    <n v="0"/>
    <s v="GERAÇÃO"/>
    <n v="34086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"/>
    <x v="1"/>
    <x v="5"/>
    <n v="3500"/>
    <n v="3500"/>
    <n v="0"/>
    <n v="0"/>
    <n v="0"/>
    <n v="0"/>
    <n v="0"/>
    <s v="GERAÇÃO"/>
    <n v="27402"/>
    <n v="16"/>
    <n v="0"/>
    <n v="0"/>
    <n v="12.9"/>
    <n v="0"/>
    <n v="0"/>
    <n v="14.085249121662242"/>
    <m/>
    <m/>
    <n v="0"/>
    <n v="0"/>
    <n v="0"/>
    <n v="0"/>
    <x v="3"/>
  </r>
  <r>
    <s v="Regular"/>
    <x v="0"/>
    <x v="1"/>
    <x v="3"/>
    <x v="0"/>
    <x v="1"/>
    <x v="2"/>
    <x v="1"/>
    <x v="5"/>
    <n v="3434"/>
    <n v="1717"/>
    <n v="0"/>
    <n v="0"/>
    <n v="0"/>
    <n v="0"/>
    <n v="0"/>
    <s v="GERAÇÃO"/>
    <n v="28515"/>
    <n v="16"/>
    <n v="0"/>
    <n v="0"/>
    <n v="12.9"/>
    <n v="0"/>
    <n v="0"/>
    <n v="14.085249121662242"/>
    <m/>
    <m/>
    <n v="22149.3"/>
    <n v="0"/>
    <n v="24184.372741894069"/>
    <n v="0"/>
    <x v="3"/>
  </r>
  <r>
    <s v="Regular"/>
    <x v="0"/>
    <x v="1"/>
    <x v="3"/>
    <x v="0"/>
    <x v="1"/>
    <x v="3"/>
    <x v="1"/>
    <x v="5"/>
    <n v="11644"/>
    <n v="5822"/>
    <n v="0"/>
    <n v="0"/>
    <n v="0"/>
    <n v="0"/>
    <n v="0"/>
    <s v="GERAÇÃO"/>
    <n v="28957"/>
    <n v="16"/>
    <n v="0"/>
    <n v="0"/>
    <n v="12.9"/>
    <n v="0"/>
    <n v="0"/>
    <n v="14.085249121662242"/>
    <m/>
    <m/>
    <n v="75103.8"/>
    <n v="0"/>
    <n v="82004.320386317573"/>
    <n v="0"/>
    <x v="3"/>
  </r>
  <r>
    <s v="Regular"/>
    <x v="0"/>
    <x v="1"/>
    <x v="3"/>
    <x v="0"/>
    <x v="1"/>
    <x v="4"/>
    <x v="1"/>
    <x v="5"/>
    <n v="10050"/>
    <n v="5025"/>
    <n v="0"/>
    <n v="0"/>
    <n v="0"/>
    <n v="0"/>
    <n v="0"/>
    <s v="GERAÇÃO"/>
    <n v="29041"/>
    <n v="16"/>
    <n v="0"/>
    <n v="0"/>
    <n v="12.9"/>
    <n v="0"/>
    <n v="0"/>
    <n v="14.085249121662242"/>
    <m/>
    <m/>
    <n v="64822.5"/>
    <n v="0"/>
    <n v="70778.376836352763"/>
    <n v="0"/>
    <x v="3"/>
  </r>
  <r>
    <s v="Regular"/>
    <x v="0"/>
    <x v="1"/>
    <x v="3"/>
    <x v="0"/>
    <x v="1"/>
    <x v="5"/>
    <x v="1"/>
    <x v="5"/>
    <n v="44450"/>
    <n v="22225"/>
    <n v="0"/>
    <n v="0"/>
    <n v="0"/>
    <n v="0"/>
    <n v="0"/>
    <s v="GERAÇÃO"/>
    <n v="29092"/>
    <n v="16"/>
    <n v="0"/>
    <n v="0"/>
    <n v="12.9"/>
    <n v="0"/>
    <n v="0"/>
    <n v="14.085249121662242"/>
    <m/>
    <m/>
    <n v="286702.5"/>
    <n v="0"/>
    <n v="313044.66172894335"/>
    <n v="0"/>
    <x v="3"/>
  </r>
  <r>
    <s v="Regular"/>
    <x v="0"/>
    <x v="1"/>
    <x v="3"/>
    <x v="0"/>
    <x v="1"/>
    <x v="6"/>
    <x v="1"/>
    <x v="5"/>
    <n v="30000"/>
    <n v="15000"/>
    <n v="0"/>
    <n v="0"/>
    <n v="0"/>
    <n v="0"/>
    <n v="0"/>
    <s v="GERAÇÃO"/>
    <n v="33663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7"/>
    <x v="1"/>
    <x v="5"/>
    <n v="30000"/>
    <n v="15000"/>
    <n v="0"/>
    <n v="0"/>
    <n v="0"/>
    <n v="0"/>
    <n v="0"/>
    <s v="GERAÇÃO"/>
    <n v="33664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8"/>
    <x v="1"/>
    <x v="5"/>
    <n v="30000"/>
    <n v="15000"/>
    <n v="0"/>
    <n v="0"/>
    <n v="0"/>
    <n v="0"/>
    <n v="0"/>
    <s v="GERAÇÃO"/>
    <n v="33665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9"/>
    <x v="1"/>
    <x v="5"/>
    <n v="27000"/>
    <n v="13500"/>
    <n v="0"/>
    <n v="0"/>
    <n v="0"/>
    <n v="0"/>
    <n v="0"/>
    <s v="GERAÇÃO"/>
    <n v="34085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0"/>
    <x v="1"/>
    <x v="5"/>
    <n v="27000"/>
    <n v="13500"/>
    <n v="0"/>
    <n v="0"/>
    <n v="0"/>
    <n v="0"/>
    <n v="0"/>
    <s v="GERAÇÃO"/>
    <n v="34086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"/>
    <x v="1"/>
    <x v="6"/>
    <n v="3500"/>
    <n v="3500"/>
    <n v="0"/>
    <n v="0"/>
    <n v="0"/>
    <n v="0"/>
    <n v="0"/>
    <s v="GERAÇÃO"/>
    <n v="27402"/>
    <n v="16"/>
    <n v="0"/>
    <n v="0"/>
    <n v="12.9"/>
    <n v="0"/>
    <n v="0"/>
    <n v="14.085249121662242"/>
    <m/>
    <m/>
    <n v="0"/>
    <n v="0"/>
    <n v="0"/>
    <n v="0"/>
    <x v="3"/>
  </r>
  <r>
    <s v="Regular"/>
    <x v="0"/>
    <x v="1"/>
    <x v="3"/>
    <x v="0"/>
    <x v="1"/>
    <x v="2"/>
    <x v="1"/>
    <x v="6"/>
    <n v="3000"/>
    <n v="3000"/>
    <n v="0"/>
    <n v="0"/>
    <n v="0"/>
    <n v="0"/>
    <n v="0"/>
    <s v="GERAÇÃO"/>
    <n v="28515"/>
    <n v="16"/>
    <n v="0"/>
    <n v="0"/>
    <n v="12.9"/>
    <n v="0"/>
    <n v="0"/>
    <n v="14.085249121662242"/>
    <m/>
    <m/>
    <n v="0"/>
    <n v="0"/>
    <n v="0"/>
    <n v="0"/>
    <x v="3"/>
  </r>
  <r>
    <s v="Regular"/>
    <x v="0"/>
    <x v="1"/>
    <x v="3"/>
    <x v="0"/>
    <x v="1"/>
    <x v="3"/>
    <x v="1"/>
    <x v="6"/>
    <n v="11000"/>
    <n v="5500"/>
    <n v="0"/>
    <n v="0"/>
    <n v="0"/>
    <n v="0"/>
    <n v="0"/>
    <s v="GERAÇÃO"/>
    <n v="28957"/>
    <n v="16"/>
    <n v="0"/>
    <n v="0"/>
    <n v="12.9"/>
    <n v="0"/>
    <n v="0"/>
    <n v="14.085249121662242"/>
    <m/>
    <m/>
    <n v="70950"/>
    <n v="0"/>
    <n v="77468.870169142334"/>
    <n v="0"/>
    <x v="3"/>
  </r>
  <r>
    <s v="Regular"/>
    <x v="0"/>
    <x v="1"/>
    <x v="3"/>
    <x v="0"/>
    <x v="1"/>
    <x v="4"/>
    <x v="1"/>
    <x v="6"/>
    <n v="10050"/>
    <n v="5025"/>
    <n v="0"/>
    <n v="0"/>
    <n v="0"/>
    <n v="0"/>
    <n v="0"/>
    <s v="GERAÇÃO"/>
    <n v="29041"/>
    <n v="16"/>
    <n v="0"/>
    <n v="0"/>
    <n v="12.9"/>
    <n v="0"/>
    <n v="0"/>
    <n v="14.085249121662242"/>
    <m/>
    <m/>
    <n v="64822.5"/>
    <n v="0"/>
    <n v="70778.376836352763"/>
    <n v="0"/>
    <x v="3"/>
  </r>
  <r>
    <s v="Regular"/>
    <x v="0"/>
    <x v="1"/>
    <x v="3"/>
    <x v="0"/>
    <x v="1"/>
    <x v="5"/>
    <x v="1"/>
    <x v="6"/>
    <n v="44450"/>
    <n v="22225"/>
    <n v="0"/>
    <n v="0"/>
    <n v="0"/>
    <n v="0"/>
    <n v="0"/>
    <s v="GERAÇÃO"/>
    <n v="29092"/>
    <n v="16"/>
    <n v="0"/>
    <n v="0"/>
    <n v="12.9"/>
    <n v="0"/>
    <n v="0"/>
    <n v="14.085249121662242"/>
    <m/>
    <m/>
    <n v="286702.5"/>
    <n v="0"/>
    <n v="313044.66172894335"/>
    <n v="0"/>
    <x v="3"/>
  </r>
  <r>
    <s v="Regular"/>
    <x v="0"/>
    <x v="1"/>
    <x v="3"/>
    <x v="0"/>
    <x v="1"/>
    <x v="6"/>
    <x v="1"/>
    <x v="6"/>
    <n v="30000"/>
    <n v="15000"/>
    <n v="0"/>
    <n v="0"/>
    <n v="0"/>
    <n v="0"/>
    <n v="0"/>
    <s v="GERAÇÃO"/>
    <n v="33663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7"/>
    <x v="1"/>
    <x v="6"/>
    <n v="30000"/>
    <n v="15000"/>
    <n v="0"/>
    <n v="0"/>
    <n v="0"/>
    <n v="0"/>
    <n v="0"/>
    <s v="GERAÇÃO"/>
    <n v="33664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8"/>
    <x v="1"/>
    <x v="6"/>
    <n v="30000"/>
    <n v="15000"/>
    <n v="0"/>
    <n v="0"/>
    <n v="0"/>
    <n v="0"/>
    <n v="0"/>
    <s v="GERAÇÃO"/>
    <n v="33665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9"/>
    <x v="1"/>
    <x v="6"/>
    <n v="27000"/>
    <n v="13500"/>
    <n v="0"/>
    <n v="0"/>
    <n v="0"/>
    <n v="0"/>
    <n v="0"/>
    <s v="GERAÇÃO"/>
    <n v="34085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0"/>
    <x v="1"/>
    <x v="6"/>
    <n v="27000"/>
    <n v="13500"/>
    <n v="0"/>
    <n v="0"/>
    <n v="0"/>
    <n v="0"/>
    <n v="0"/>
    <s v="GERAÇÃO"/>
    <n v="34086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"/>
    <x v="1"/>
    <x v="7"/>
    <n v="3500"/>
    <n v="3500"/>
    <n v="0"/>
    <n v="0"/>
    <n v="0"/>
    <n v="0"/>
    <n v="0"/>
    <s v="GERAÇÃO"/>
    <n v="27402"/>
    <n v="16"/>
    <n v="0"/>
    <n v="0"/>
    <n v="12.9"/>
    <n v="0"/>
    <n v="0"/>
    <n v="14.085249121662242"/>
    <m/>
    <m/>
    <n v="0"/>
    <n v="0"/>
    <n v="0"/>
    <n v="0"/>
    <x v="3"/>
  </r>
  <r>
    <s v="Regular"/>
    <x v="0"/>
    <x v="1"/>
    <x v="3"/>
    <x v="0"/>
    <x v="1"/>
    <x v="2"/>
    <x v="1"/>
    <x v="7"/>
    <n v="3000"/>
    <n v="1500"/>
    <n v="0"/>
    <n v="0"/>
    <n v="0"/>
    <n v="0"/>
    <n v="0"/>
    <s v="GERAÇÃO"/>
    <n v="28515"/>
    <n v="16"/>
    <n v="0"/>
    <n v="0"/>
    <n v="12.9"/>
    <n v="0"/>
    <n v="0"/>
    <n v="14.085249121662242"/>
    <m/>
    <m/>
    <n v="19350"/>
    <n v="0"/>
    <n v="21127.873682493362"/>
    <n v="0"/>
    <x v="3"/>
  </r>
  <r>
    <s v="Regular"/>
    <x v="0"/>
    <x v="1"/>
    <x v="3"/>
    <x v="0"/>
    <x v="1"/>
    <x v="3"/>
    <x v="1"/>
    <x v="7"/>
    <n v="11000"/>
    <n v="5500"/>
    <n v="0"/>
    <n v="0"/>
    <n v="0"/>
    <n v="0"/>
    <n v="0"/>
    <s v="GERAÇÃO"/>
    <n v="28957"/>
    <n v="16"/>
    <n v="0"/>
    <n v="0"/>
    <n v="12.9"/>
    <n v="0"/>
    <n v="0"/>
    <n v="14.085249121662242"/>
    <m/>
    <m/>
    <n v="70950"/>
    <n v="0"/>
    <n v="77468.870169142334"/>
    <n v="0"/>
    <x v="3"/>
  </r>
  <r>
    <s v="Regular"/>
    <x v="0"/>
    <x v="1"/>
    <x v="3"/>
    <x v="0"/>
    <x v="1"/>
    <x v="4"/>
    <x v="1"/>
    <x v="7"/>
    <n v="10050"/>
    <n v="5025"/>
    <n v="0"/>
    <n v="0"/>
    <n v="0"/>
    <n v="0"/>
    <n v="0"/>
    <s v="GERAÇÃO"/>
    <n v="29041"/>
    <n v="16"/>
    <n v="0"/>
    <n v="0"/>
    <n v="12.9"/>
    <n v="0"/>
    <n v="0"/>
    <n v="14.085249121662242"/>
    <m/>
    <m/>
    <n v="64822.5"/>
    <n v="0"/>
    <n v="70778.376836352763"/>
    <n v="0"/>
    <x v="3"/>
  </r>
  <r>
    <s v="Regular"/>
    <x v="0"/>
    <x v="1"/>
    <x v="3"/>
    <x v="0"/>
    <x v="1"/>
    <x v="5"/>
    <x v="1"/>
    <x v="7"/>
    <n v="44450"/>
    <n v="22225"/>
    <n v="0"/>
    <n v="0"/>
    <n v="0"/>
    <n v="0"/>
    <n v="0"/>
    <s v="GERAÇÃO"/>
    <n v="29092"/>
    <n v="16"/>
    <n v="0"/>
    <n v="0"/>
    <n v="12.9"/>
    <n v="0"/>
    <n v="0"/>
    <n v="14.085249121662242"/>
    <m/>
    <m/>
    <n v="286702.5"/>
    <n v="0"/>
    <n v="313044.66172894335"/>
    <n v="0"/>
    <x v="3"/>
  </r>
  <r>
    <s v="Regular"/>
    <x v="0"/>
    <x v="1"/>
    <x v="3"/>
    <x v="0"/>
    <x v="1"/>
    <x v="6"/>
    <x v="1"/>
    <x v="7"/>
    <n v="30000"/>
    <n v="15000"/>
    <n v="0"/>
    <n v="0"/>
    <n v="0"/>
    <n v="0"/>
    <n v="0"/>
    <s v="GERAÇÃO"/>
    <n v="33663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7"/>
    <x v="1"/>
    <x v="7"/>
    <n v="30000"/>
    <n v="15000"/>
    <n v="0"/>
    <n v="0"/>
    <n v="0"/>
    <n v="0"/>
    <n v="0"/>
    <s v="GERAÇÃO"/>
    <n v="33664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8"/>
    <x v="1"/>
    <x v="7"/>
    <n v="30000"/>
    <n v="15000"/>
    <n v="0"/>
    <n v="0"/>
    <n v="0"/>
    <n v="0"/>
    <n v="0"/>
    <s v="GERAÇÃO"/>
    <n v="33665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9"/>
    <x v="1"/>
    <x v="7"/>
    <n v="27000"/>
    <n v="13500"/>
    <n v="0"/>
    <n v="0"/>
    <n v="0"/>
    <n v="0"/>
    <n v="0"/>
    <s v="GERAÇÃO"/>
    <n v="34085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0"/>
    <x v="1"/>
    <x v="7"/>
    <n v="27000"/>
    <n v="13500"/>
    <n v="0"/>
    <n v="0"/>
    <n v="0"/>
    <n v="0"/>
    <n v="0"/>
    <s v="GERAÇÃO"/>
    <n v="34086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"/>
    <x v="1"/>
    <x v="8"/>
    <n v="3500"/>
    <n v="3500"/>
    <n v="0"/>
    <n v="0"/>
    <n v="0"/>
    <n v="0"/>
    <n v="0"/>
    <s v="GERAÇÃO"/>
    <n v="27402"/>
    <n v="16"/>
    <n v="0"/>
    <n v="0"/>
    <n v="12.9"/>
    <n v="0"/>
    <n v="0"/>
    <n v="14.085249121662242"/>
    <m/>
    <m/>
    <n v="0"/>
    <n v="0"/>
    <n v="0"/>
    <n v="0"/>
    <x v="3"/>
  </r>
  <r>
    <s v="Regular"/>
    <x v="0"/>
    <x v="1"/>
    <x v="3"/>
    <x v="0"/>
    <x v="1"/>
    <x v="2"/>
    <x v="1"/>
    <x v="8"/>
    <n v="3000"/>
    <n v="1500"/>
    <n v="0"/>
    <n v="0"/>
    <n v="0"/>
    <n v="0"/>
    <n v="0"/>
    <s v="GERAÇÃO"/>
    <n v="28515"/>
    <n v="16"/>
    <n v="0"/>
    <n v="0"/>
    <n v="12.9"/>
    <n v="0"/>
    <n v="0"/>
    <n v="14.085249121662242"/>
    <m/>
    <m/>
    <n v="19350"/>
    <n v="0"/>
    <n v="21127.873682493362"/>
    <n v="0"/>
    <x v="3"/>
  </r>
  <r>
    <s v="Regular"/>
    <x v="0"/>
    <x v="1"/>
    <x v="3"/>
    <x v="0"/>
    <x v="1"/>
    <x v="3"/>
    <x v="1"/>
    <x v="8"/>
    <n v="11000"/>
    <n v="5500"/>
    <n v="0"/>
    <n v="0"/>
    <n v="0"/>
    <n v="0"/>
    <n v="0"/>
    <s v="GERAÇÃO"/>
    <n v="28957"/>
    <n v="16"/>
    <n v="0"/>
    <n v="0"/>
    <n v="12.9"/>
    <n v="0"/>
    <n v="0"/>
    <n v="14.085249121662242"/>
    <m/>
    <m/>
    <n v="70950"/>
    <n v="0"/>
    <n v="77468.870169142334"/>
    <n v="0"/>
    <x v="3"/>
  </r>
  <r>
    <s v="Regular"/>
    <x v="0"/>
    <x v="1"/>
    <x v="3"/>
    <x v="0"/>
    <x v="1"/>
    <x v="4"/>
    <x v="1"/>
    <x v="8"/>
    <n v="10050"/>
    <n v="5025"/>
    <n v="0"/>
    <n v="0"/>
    <n v="0"/>
    <n v="0"/>
    <n v="0"/>
    <s v="GERAÇÃO"/>
    <n v="29041"/>
    <n v="16"/>
    <n v="0"/>
    <n v="0"/>
    <n v="12.9"/>
    <n v="0"/>
    <n v="0"/>
    <n v="14.085249121662242"/>
    <m/>
    <m/>
    <n v="64822.5"/>
    <n v="0"/>
    <n v="70778.376836352763"/>
    <n v="0"/>
    <x v="3"/>
  </r>
  <r>
    <s v="Regular"/>
    <x v="0"/>
    <x v="1"/>
    <x v="3"/>
    <x v="0"/>
    <x v="1"/>
    <x v="5"/>
    <x v="1"/>
    <x v="8"/>
    <n v="44450"/>
    <n v="22225"/>
    <n v="0"/>
    <n v="0"/>
    <n v="0"/>
    <n v="0"/>
    <n v="0"/>
    <s v="GERAÇÃO"/>
    <n v="29092"/>
    <n v="16"/>
    <n v="0"/>
    <n v="0"/>
    <n v="12.9"/>
    <n v="0"/>
    <n v="0"/>
    <n v="14.085249121662242"/>
    <m/>
    <m/>
    <n v="286702.5"/>
    <n v="0"/>
    <n v="313044.66172894335"/>
    <n v="0"/>
    <x v="3"/>
  </r>
  <r>
    <s v="Regular"/>
    <x v="0"/>
    <x v="1"/>
    <x v="3"/>
    <x v="0"/>
    <x v="1"/>
    <x v="6"/>
    <x v="1"/>
    <x v="8"/>
    <n v="30000"/>
    <n v="15000"/>
    <n v="0"/>
    <n v="0"/>
    <n v="0"/>
    <n v="0"/>
    <n v="0"/>
    <s v="GERAÇÃO"/>
    <n v="33663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7"/>
    <x v="1"/>
    <x v="8"/>
    <n v="30000"/>
    <n v="15000"/>
    <n v="0"/>
    <n v="0"/>
    <n v="0"/>
    <n v="0"/>
    <n v="0"/>
    <s v="GERAÇÃO"/>
    <n v="33664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8"/>
    <x v="1"/>
    <x v="8"/>
    <n v="30000"/>
    <n v="15000"/>
    <n v="0"/>
    <n v="0"/>
    <n v="0"/>
    <n v="0"/>
    <n v="0"/>
    <s v="GERAÇÃO"/>
    <n v="33665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9"/>
    <x v="1"/>
    <x v="8"/>
    <n v="27000"/>
    <n v="13500"/>
    <n v="0"/>
    <n v="0"/>
    <n v="0"/>
    <n v="0"/>
    <n v="0"/>
    <s v="GERAÇÃO"/>
    <n v="34085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0"/>
    <x v="1"/>
    <x v="8"/>
    <n v="27000"/>
    <n v="13500"/>
    <n v="0"/>
    <n v="0"/>
    <n v="0"/>
    <n v="0"/>
    <n v="0"/>
    <s v="GERAÇÃO"/>
    <n v="34086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"/>
    <x v="1"/>
    <x v="9"/>
    <n v="3500"/>
    <n v="3500"/>
    <n v="0"/>
    <n v="0"/>
    <n v="0"/>
    <n v="0"/>
    <n v="0"/>
    <s v="GERAÇÃO"/>
    <n v="27402"/>
    <n v="16"/>
    <n v="0"/>
    <n v="0"/>
    <n v="12.9"/>
    <n v="0"/>
    <n v="0"/>
    <n v="14.085249121662242"/>
    <m/>
    <m/>
    <n v="0"/>
    <n v="0"/>
    <n v="0"/>
    <n v="0"/>
    <x v="3"/>
  </r>
  <r>
    <s v="Regular"/>
    <x v="0"/>
    <x v="1"/>
    <x v="3"/>
    <x v="0"/>
    <x v="1"/>
    <x v="2"/>
    <x v="1"/>
    <x v="9"/>
    <n v="3000"/>
    <n v="1500"/>
    <n v="0"/>
    <n v="0"/>
    <n v="0"/>
    <n v="0"/>
    <n v="0"/>
    <s v="GERAÇÃO"/>
    <n v="28515"/>
    <n v="16"/>
    <n v="0"/>
    <n v="0"/>
    <n v="12.9"/>
    <n v="0"/>
    <n v="0"/>
    <n v="14.085249121662242"/>
    <m/>
    <m/>
    <n v="19350"/>
    <n v="0"/>
    <n v="21127.873682493362"/>
    <n v="0"/>
    <x v="3"/>
  </r>
  <r>
    <s v="Regular"/>
    <x v="0"/>
    <x v="1"/>
    <x v="3"/>
    <x v="0"/>
    <x v="1"/>
    <x v="3"/>
    <x v="1"/>
    <x v="9"/>
    <n v="11000"/>
    <n v="5500"/>
    <n v="0"/>
    <n v="0"/>
    <n v="0"/>
    <n v="0"/>
    <n v="0"/>
    <s v="GERAÇÃO"/>
    <n v="28957"/>
    <n v="16"/>
    <n v="0"/>
    <n v="0"/>
    <n v="12.9"/>
    <n v="0"/>
    <n v="0"/>
    <n v="14.085249121662242"/>
    <m/>
    <m/>
    <n v="70950"/>
    <n v="0"/>
    <n v="77468.870169142334"/>
    <n v="0"/>
    <x v="3"/>
  </r>
  <r>
    <s v="Regular"/>
    <x v="0"/>
    <x v="1"/>
    <x v="3"/>
    <x v="0"/>
    <x v="1"/>
    <x v="4"/>
    <x v="1"/>
    <x v="9"/>
    <n v="10050"/>
    <n v="5025"/>
    <n v="0"/>
    <n v="0"/>
    <n v="0"/>
    <n v="0"/>
    <n v="0"/>
    <s v="GERAÇÃO"/>
    <n v="29041"/>
    <n v="16"/>
    <n v="0"/>
    <n v="0"/>
    <n v="12.9"/>
    <n v="0"/>
    <n v="0"/>
    <n v="14.085249121662242"/>
    <m/>
    <m/>
    <n v="64822.5"/>
    <n v="0"/>
    <n v="70778.376836352763"/>
    <n v="0"/>
    <x v="3"/>
  </r>
  <r>
    <s v="Regular"/>
    <x v="0"/>
    <x v="1"/>
    <x v="3"/>
    <x v="0"/>
    <x v="1"/>
    <x v="5"/>
    <x v="1"/>
    <x v="9"/>
    <n v="44450"/>
    <n v="22225"/>
    <n v="0"/>
    <n v="0"/>
    <n v="0"/>
    <n v="0"/>
    <n v="0"/>
    <s v="GERAÇÃO"/>
    <n v="29092"/>
    <n v="16"/>
    <n v="0"/>
    <n v="0"/>
    <n v="12.9"/>
    <n v="0"/>
    <n v="0"/>
    <n v="14.085249121662242"/>
    <m/>
    <m/>
    <n v="286702.5"/>
    <n v="0"/>
    <n v="313044.66172894335"/>
    <n v="0"/>
    <x v="3"/>
  </r>
  <r>
    <s v="Regular"/>
    <x v="0"/>
    <x v="1"/>
    <x v="3"/>
    <x v="0"/>
    <x v="1"/>
    <x v="6"/>
    <x v="1"/>
    <x v="9"/>
    <n v="30000"/>
    <n v="15000"/>
    <n v="0"/>
    <n v="0"/>
    <n v="0"/>
    <n v="0"/>
    <n v="0"/>
    <s v="GERAÇÃO"/>
    <n v="33663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7"/>
    <x v="1"/>
    <x v="9"/>
    <n v="30000"/>
    <n v="15000"/>
    <n v="0"/>
    <n v="0"/>
    <n v="0"/>
    <n v="0"/>
    <n v="0"/>
    <s v="GERAÇÃO"/>
    <n v="33664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8"/>
    <x v="1"/>
    <x v="9"/>
    <n v="30000"/>
    <n v="15000"/>
    <n v="0"/>
    <n v="0"/>
    <n v="0"/>
    <n v="0"/>
    <n v="0"/>
    <s v="GERAÇÃO"/>
    <n v="33665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9"/>
    <x v="1"/>
    <x v="9"/>
    <n v="27000"/>
    <n v="13500"/>
    <n v="0"/>
    <n v="0"/>
    <n v="0"/>
    <n v="0"/>
    <n v="0"/>
    <s v="GERAÇÃO"/>
    <n v="34085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0"/>
    <x v="1"/>
    <x v="9"/>
    <n v="27000"/>
    <n v="13500"/>
    <n v="0"/>
    <n v="0"/>
    <n v="0"/>
    <n v="0"/>
    <n v="0"/>
    <s v="GERAÇÃO"/>
    <n v="34086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"/>
    <x v="1"/>
    <x v="10"/>
    <n v="3500"/>
    <n v="3500"/>
    <n v="0"/>
    <n v="0"/>
    <n v="0"/>
    <n v="0"/>
    <n v="0"/>
    <s v="GERAÇÃO"/>
    <n v="27402"/>
    <n v="16"/>
    <n v="0"/>
    <n v="0"/>
    <n v="12.9"/>
    <n v="0"/>
    <n v="0"/>
    <n v="14.085249121662242"/>
    <m/>
    <m/>
    <n v="0"/>
    <n v="0"/>
    <n v="0"/>
    <n v="0"/>
    <x v="3"/>
  </r>
  <r>
    <s v="Regular"/>
    <x v="0"/>
    <x v="1"/>
    <x v="3"/>
    <x v="0"/>
    <x v="1"/>
    <x v="2"/>
    <x v="1"/>
    <x v="10"/>
    <n v="3000"/>
    <n v="1500"/>
    <n v="0"/>
    <n v="0"/>
    <n v="0"/>
    <n v="0"/>
    <n v="0"/>
    <s v="GERAÇÃO"/>
    <n v="28515"/>
    <n v="16"/>
    <n v="0"/>
    <n v="0"/>
    <n v="12.9"/>
    <n v="0"/>
    <n v="0"/>
    <n v="14.085249121662242"/>
    <m/>
    <m/>
    <n v="19350"/>
    <n v="0"/>
    <n v="21127.873682493362"/>
    <n v="0"/>
    <x v="3"/>
  </r>
  <r>
    <s v="Regular"/>
    <x v="0"/>
    <x v="1"/>
    <x v="3"/>
    <x v="0"/>
    <x v="1"/>
    <x v="3"/>
    <x v="1"/>
    <x v="10"/>
    <n v="11000"/>
    <n v="5500"/>
    <n v="0"/>
    <n v="0"/>
    <n v="0"/>
    <n v="0"/>
    <n v="0"/>
    <s v="GERAÇÃO"/>
    <n v="28957"/>
    <n v="16"/>
    <n v="0"/>
    <n v="0"/>
    <n v="12.9"/>
    <n v="0"/>
    <n v="0"/>
    <n v="14.085249121662242"/>
    <m/>
    <m/>
    <n v="70950"/>
    <n v="0"/>
    <n v="77468.870169142334"/>
    <n v="0"/>
    <x v="3"/>
  </r>
  <r>
    <s v="Regular"/>
    <x v="0"/>
    <x v="1"/>
    <x v="3"/>
    <x v="0"/>
    <x v="1"/>
    <x v="4"/>
    <x v="1"/>
    <x v="10"/>
    <n v="10050"/>
    <n v="5025"/>
    <n v="0"/>
    <n v="0"/>
    <n v="0"/>
    <n v="0"/>
    <n v="0"/>
    <s v="GERAÇÃO"/>
    <n v="29041"/>
    <n v="16"/>
    <n v="0"/>
    <n v="0"/>
    <n v="12.9"/>
    <n v="0"/>
    <n v="0"/>
    <n v="14.085249121662242"/>
    <m/>
    <m/>
    <n v="64822.5"/>
    <n v="0"/>
    <n v="70778.376836352763"/>
    <n v="0"/>
    <x v="3"/>
  </r>
  <r>
    <s v="Regular"/>
    <x v="0"/>
    <x v="1"/>
    <x v="3"/>
    <x v="0"/>
    <x v="1"/>
    <x v="5"/>
    <x v="1"/>
    <x v="10"/>
    <n v="44450"/>
    <n v="22225"/>
    <n v="0"/>
    <n v="0"/>
    <n v="0"/>
    <n v="0"/>
    <n v="0"/>
    <s v="GERAÇÃO"/>
    <n v="29092"/>
    <n v="16"/>
    <n v="0"/>
    <n v="0"/>
    <n v="12.9"/>
    <n v="0"/>
    <n v="0"/>
    <n v="14.085249121662242"/>
    <m/>
    <m/>
    <n v="286702.5"/>
    <n v="0"/>
    <n v="313044.66172894335"/>
    <n v="0"/>
    <x v="3"/>
  </r>
  <r>
    <s v="Regular"/>
    <x v="0"/>
    <x v="1"/>
    <x v="3"/>
    <x v="0"/>
    <x v="1"/>
    <x v="6"/>
    <x v="1"/>
    <x v="10"/>
    <n v="30000"/>
    <n v="15000"/>
    <n v="0"/>
    <n v="0"/>
    <n v="0"/>
    <n v="0"/>
    <n v="0"/>
    <s v="GERAÇÃO"/>
    <n v="33663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7"/>
    <x v="1"/>
    <x v="10"/>
    <n v="30000"/>
    <n v="15000"/>
    <n v="0"/>
    <n v="0"/>
    <n v="0"/>
    <n v="0"/>
    <n v="0"/>
    <s v="GERAÇÃO"/>
    <n v="33664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8"/>
    <x v="1"/>
    <x v="10"/>
    <n v="30000"/>
    <n v="15000"/>
    <n v="0"/>
    <n v="0"/>
    <n v="0"/>
    <n v="0"/>
    <n v="0"/>
    <s v="GERAÇÃO"/>
    <n v="33665"/>
    <n v="16"/>
    <n v="0"/>
    <n v="0"/>
    <n v="12.9"/>
    <n v="0"/>
    <n v="0"/>
    <n v="14.085249121662242"/>
    <m/>
    <m/>
    <n v="193500"/>
    <n v="0"/>
    <n v="211278.73682493364"/>
    <n v="0"/>
    <x v="3"/>
  </r>
  <r>
    <s v="Regular"/>
    <x v="0"/>
    <x v="1"/>
    <x v="3"/>
    <x v="0"/>
    <x v="1"/>
    <x v="9"/>
    <x v="1"/>
    <x v="10"/>
    <n v="27000"/>
    <n v="13500"/>
    <n v="0"/>
    <n v="0"/>
    <n v="0"/>
    <n v="0"/>
    <n v="0"/>
    <s v="GERAÇÃO"/>
    <n v="34085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0"/>
    <x v="1"/>
    <x v="3"/>
    <x v="0"/>
    <x v="1"/>
    <x v="10"/>
    <x v="1"/>
    <x v="10"/>
    <n v="27000"/>
    <n v="13500"/>
    <n v="0"/>
    <n v="0"/>
    <n v="0"/>
    <n v="0"/>
    <n v="0"/>
    <s v="GERAÇÃO"/>
    <n v="34086"/>
    <n v="16"/>
    <n v="0"/>
    <n v="0"/>
    <n v="12.9"/>
    <n v="0"/>
    <n v="0"/>
    <n v="14.085249121662242"/>
    <m/>
    <m/>
    <n v="174150"/>
    <n v="0"/>
    <n v="190150.86314244027"/>
    <n v="0"/>
    <x v="3"/>
  </r>
  <r>
    <s v="PROJETADO"/>
    <x v="0"/>
    <x v="1"/>
    <x v="3"/>
    <x v="0"/>
    <x v="1"/>
    <x v="1"/>
    <x v="1"/>
    <x v="11"/>
    <n v="3500"/>
    <n v="3500"/>
    <n v="0"/>
    <n v="0"/>
    <n v="0"/>
    <n v="0"/>
    <n v="0"/>
    <s v="GERAÇÃO"/>
    <n v="27402"/>
    <n v="16"/>
    <n v="0"/>
    <n v="0"/>
    <n v="12.9"/>
    <n v="0"/>
    <n v="0"/>
    <n v="14.085249121662242"/>
    <m/>
    <m/>
    <n v="0"/>
    <n v="0"/>
    <n v="0"/>
    <n v="0"/>
    <x v="3"/>
  </r>
  <r>
    <s v="PROJETADO"/>
    <x v="0"/>
    <x v="1"/>
    <x v="3"/>
    <x v="0"/>
    <x v="1"/>
    <x v="2"/>
    <x v="1"/>
    <x v="11"/>
    <n v="3000"/>
    <n v="1500"/>
    <n v="0"/>
    <n v="0"/>
    <n v="0"/>
    <n v="0"/>
    <n v="0"/>
    <s v="GERAÇÃO"/>
    <n v="28515"/>
    <n v="16"/>
    <n v="0"/>
    <n v="0"/>
    <n v="12.9"/>
    <n v="0"/>
    <n v="0"/>
    <n v="14.085249121662242"/>
    <m/>
    <m/>
    <n v="19350"/>
    <n v="0"/>
    <n v="21127.873682493362"/>
    <n v="0"/>
    <x v="3"/>
  </r>
  <r>
    <s v="PROJETADO"/>
    <x v="0"/>
    <x v="1"/>
    <x v="3"/>
    <x v="0"/>
    <x v="1"/>
    <x v="3"/>
    <x v="1"/>
    <x v="11"/>
    <n v="11000"/>
    <n v="5500"/>
    <n v="0"/>
    <n v="0"/>
    <n v="0"/>
    <n v="0"/>
    <n v="0"/>
    <s v="GERAÇÃO"/>
    <n v="28957"/>
    <n v="16"/>
    <n v="0"/>
    <n v="0"/>
    <n v="12.9"/>
    <n v="0"/>
    <n v="0"/>
    <n v="14.085249121662242"/>
    <m/>
    <m/>
    <n v="70950"/>
    <n v="0"/>
    <n v="77468.870169142334"/>
    <n v="0"/>
    <x v="3"/>
  </r>
  <r>
    <s v="PROJETADO"/>
    <x v="0"/>
    <x v="1"/>
    <x v="3"/>
    <x v="0"/>
    <x v="1"/>
    <x v="4"/>
    <x v="1"/>
    <x v="11"/>
    <n v="10050"/>
    <n v="5025"/>
    <n v="0"/>
    <n v="0"/>
    <n v="0"/>
    <n v="0"/>
    <n v="0"/>
    <s v="GERAÇÃO"/>
    <n v="29041"/>
    <n v="16"/>
    <n v="0"/>
    <n v="0"/>
    <n v="12.9"/>
    <n v="0"/>
    <n v="0"/>
    <n v="14.085249121662242"/>
    <m/>
    <m/>
    <n v="64822.5"/>
    <n v="0"/>
    <n v="70778.376836352763"/>
    <n v="0"/>
    <x v="3"/>
  </r>
  <r>
    <s v="PROJETADO"/>
    <x v="0"/>
    <x v="1"/>
    <x v="3"/>
    <x v="0"/>
    <x v="1"/>
    <x v="5"/>
    <x v="1"/>
    <x v="11"/>
    <n v="44450"/>
    <n v="22225"/>
    <n v="0"/>
    <n v="0"/>
    <n v="0"/>
    <n v="0"/>
    <n v="0"/>
    <s v="GERAÇÃO"/>
    <n v="29092"/>
    <n v="16"/>
    <n v="0"/>
    <n v="0"/>
    <n v="12.9"/>
    <n v="0"/>
    <n v="0"/>
    <n v="14.085249121662242"/>
    <m/>
    <m/>
    <n v="286702.5"/>
    <n v="0"/>
    <n v="313044.66172894335"/>
    <n v="0"/>
    <x v="3"/>
  </r>
  <r>
    <s v="PROJETADO"/>
    <x v="0"/>
    <x v="1"/>
    <x v="3"/>
    <x v="0"/>
    <x v="1"/>
    <x v="6"/>
    <x v="1"/>
    <x v="11"/>
    <n v="30000"/>
    <n v="15000"/>
    <n v="0"/>
    <n v="0"/>
    <n v="0"/>
    <n v="0"/>
    <n v="0"/>
    <s v="GERAÇÃO"/>
    <n v="33663"/>
    <n v="16"/>
    <n v="0"/>
    <n v="0"/>
    <n v="12.9"/>
    <n v="0"/>
    <n v="0"/>
    <n v="14.085249121662242"/>
    <m/>
    <m/>
    <n v="193500"/>
    <n v="0"/>
    <n v="211278.73682493364"/>
    <n v="0"/>
    <x v="3"/>
  </r>
  <r>
    <s v="PROJETADO"/>
    <x v="0"/>
    <x v="1"/>
    <x v="3"/>
    <x v="0"/>
    <x v="1"/>
    <x v="7"/>
    <x v="1"/>
    <x v="11"/>
    <n v="30000"/>
    <n v="15000"/>
    <n v="0"/>
    <n v="0"/>
    <n v="0"/>
    <n v="0"/>
    <n v="0"/>
    <s v="GERAÇÃO"/>
    <n v="33664"/>
    <n v="16"/>
    <n v="0"/>
    <n v="0"/>
    <n v="12.9"/>
    <n v="0"/>
    <n v="0"/>
    <n v="14.085249121662242"/>
    <m/>
    <m/>
    <n v="193500"/>
    <n v="0"/>
    <n v="211278.73682493364"/>
    <n v="0"/>
    <x v="3"/>
  </r>
  <r>
    <s v="PROJETADO"/>
    <x v="0"/>
    <x v="1"/>
    <x v="3"/>
    <x v="0"/>
    <x v="1"/>
    <x v="8"/>
    <x v="1"/>
    <x v="11"/>
    <n v="30000"/>
    <n v="15000"/>
    <n v="0"/>
    <n v="0"/>
    <n v="0"/>
    <n v="0"/>
    <n v="0"/>
    <s v="GERAÇÃO"/>
    <n v="33665"/>
    <n v="16"/>
    <n v="0"/>
    <n v="0"/>
    <n v="12.9"/>
    <n v="0"/>
    <n v="0"/>
    <n v="14.085249121662242"/>
    <m/>
    <m/>
    <n v="193500"/>
    <n v="0"/>
    <n v="211278.73682493364"/>
    <n v="0"/>
    <x v="3"/>
  </r>
  <r>
    <s v="PROJETADO"/>
    <x v="0"/>
    <x v="1"/>
    <x v="3"/>
    <x v="0"/>
    <x v="1"/>
    <x v="9"/>
    <x v="1"/>
    <x v="11"/>
    <n v="27000"/>
    <n v="13500"/>
    <n v="0"/>
    <n v="0"/>
    <n v="0"/>
    <n v="0"/>
    <n v="0"/>
    <s v="GERAÇÃO"/>
    <n v="34085"/>
    <n v="16"/>
    <n v="0"/>
    <n v="0"/>
    <n v="12.9"/>
    <n v="0"/>
    <n v="0"/>
    <n v="14.085249121662242"/>
    <m/>
    <m/>
    <n v="174150"/>
    <n v="0"/>
    <n v="190150.86314244027"/>
    <n v="0"/>
    <x v="3"/>
  </r>
  <r>
    <s v="PROJETADO"/>
    <x v="0"/>
    <x v="1"/>
    <x v="3"/>
    <x v="0"/>
    <x v="1"/>
    <x v="10"/>
    <x v="1"/>
    <x v="11"/>
    <n v="27000"/>
    <n v="13500"/>
    <n v="0"/>
    <n v="0"/>
    <n v="0"/>
    <n v="0"/>
    <n v="0"/>
    <s v="GERAÇÃO"/>
    <n v="34086"/>
    <n v="16"/>
    <n v="0"/>
    <n v="0"/>
    <n v="12.9"/>
    <n v="0"/>
    <n v="0"/>
    <n v="14.085249121662242"/>
    <m/>
    <m/>
    <n v="174150"/>
    <n v="0"/>
    <n v="190150.86314244027"/>
    <n v="0"/>
    <x v="3"/>
  </r>
  <r>
    <s v="Regular"/>
    <x v="1"/>
    <x v="0"/>
    <x v="0"/>
    <x v="0"/>
    <x v="0"/>
    <x v="0"/>
    <x v="0"/>
    <x v="0"/>
    <n v="14719"/>
    <n v="7359.5"/>
    <n v="0"/>
    <n v="0"/>
    <n v="0"/>
    <n v="0"/>
    <n v="0"/>
    <s v="LIVRE"/>
    <n v="0"/>
    <n v="20"/>
    <n v="0"/>
    <n v="0"/>
    <n v="26.22"/>
    <n v="0"/>
    <n v="0"/>
    <n v="28.891757284072764"/>
    <n v="75.886085105957733"/>
    <m/>
    <n v="192966.09"/>
    <n v="0"/>
    <n v="212628.8877321335"/>
    <n v="0"/>
    <x v="0"/>
  </r>
  <r>
    <s v="Regular"/>
    <x v="1"/>
    <x v="0"/>
    <x v="0"/>
    <x v="0"/>
    <x v="0"/>
    <x v="0"/>
    <x v="0"/>
    <x v="1"/>
    <n v="14708"/>
    <n v="7354"/>
    <n v="0"/>
    <n v="0"/>
    <n v="0"/>
    <n v="0"/>
    <n v="0"/>
    <s v="LIVRE"/>
    <n v="0"/>
    <n v="20"/>
    <n v="0"/>
    <n v="0"/>
    <n v="26.22"/>
    <n v="0"/>
    <n v="0"/>
    <n v="28.891757284072764"/>
    <n v="75.886085105957733"/>
    <m/>
    <n v="192821.88"/>
    <n v="0"/>
    <n v="212469.98306707109"/>
    <n v="0"/>
    <x v="0"/>
  </r>
  <r>
    <s v="Regular"/>
    <x v="1"/>
    <x v="0"/>
    <x v="0"/>
    <x v="0"/>
    <x v="0"/>
    <x v="0"/>
    <x v="0"/>
    <x v="2"/>
    <n v="14677"/>
    <n v="8806.2000000000007"/>
    <n v="0"/>
    <n v="0"/>
    <n v="0"/>
    <n v="0"/>
    <n v="0"/>
    <s v="LIVRE"/>
    <n v="0"/>
    <n v="20"/>
    <n v="0"/>
    <n v="0"/>
    <n v="26.22"/>
    <n v="0"/>
    <n v="0"/>
    <n v="28.891757284072764"/>
    <n v="75.886085105957733"/>
    <m/>
    <n v="153932.37599999996"/>
    <n v="0"/>
    <n v="169617.72866333436"/>
    <n v="0"/>
    <x v="0"/>
  </r>
  <r>
    <s v="Regular"/>
    <x v="1"/>
    <x v="0"/>
    <x v="0"/>
    <x v="0"/>
    <x v="0"/>
    <x v="0"/>
    <x v="0"/>
    <x v="3"/>
    <n v="18485"/>
    <n v="9242.5"/>
    <n v="0"/>
    <n v="0"/>
    <n v="0"/>
    <n v="0"/>
    <n v="0"/>
    <s v="LIVRE"/>
    <n v="0"/>
    <n v="20"/>
    <n v="0"/>
    <n v="0"/>
    <n v="26.22"/>
    <n v="0"/>
    <n v="0"/>
    <n v="28.891757284072764"/>
    <n v="75.886085105957733"/>
    <m/>
    <n v="242338.34999999998"/>
    <n v="0"/>
    <n v="267032.0666980425"/>
    <n v="0"/>
    <x v="0"/>
  </r>
  <r>
    <s v="Regular"/>
    <x v="1"/>
    <x v="0"/>
    <x v="0"/>
    <x v="0"/>
    <x v="0"/>
    <x v="0"/>
    <x v="0"/>
    <x v="4"/>
    <n v="18851"/>
    <n v="9236.99"/>
    <n v="0"/>
    <n v="0"/>
    <n v="0"/>
    <n v="0"/>
    <n v="0"/>
    <s v="LIVRE"/>
    <n v="0"/>
    <n v="20"/>
    <n v="0"/>
    <n v="0"/>
    <n v="26.22"/>
    <n v="0"/>
    <n v="0"/>
    <n v="28.891757284072764"/>
    <n v="75.886085105957733"/>
    <m/>
    <n v="252079.34219999998"/>
    <n v="0"/>
    <n v="277765.64344664838"/>
    <n v="0"/>
    <x v="0"/>
  </r>
  <r>
    <s v="Regular"/>
    <x v="1"/>
    <x v="0"/>
    <x v="0"/>
    <x v="0"/>
    <x v="0"/>
    <x v="0"/>
    <x v="0"/>
    <x v="5"/>
    <n v="18785"/>
    <n v="9204.65"/>
    <n v="0"/>
    <n v="0"/>
    <n v="0"/>
    <n v="0"/>
    <n v="0"/>
    <s v="LIVRE"/>
    <n v="0"/>
    <n v="20"/>
    <n v="0"/>
    <n v="0"/>
    <n v="26.22"/>
    <n v="0"/>
    <n v="0"/>
    <n v="28.891757284072764"/>
    <n v="75.886085105957733"/>
    <m/>
    <n v="251196.777"/>
    <n v="0"/>
    <n v="276793.1468964665"/>
    <n v="0"/>
    <x v="0"/>
  </r>
  <r>
    <s v="Regular"/>
    <x v="1"/>
    <x v="0"/>
    <x v="0"/>
    <x v="0"/>
    <x v="0"/>
    <x v="0"/>
    <x v="0"/>
    <x v="6"/>
    <n v="18838"/>
    <n v="9230.6200000000008"/>
    <n v="0"/>
    <n v="0"/>
    <n v="0"/>
    <n v="0"/>
    <n v="0"/>
    <s v="LIVRE"/>
    <n v="0"/>
    <n v="20"/>
    <n v="0"/>
    <n v="0"/>
    <n v="26.22"/>
    <n v="0"/>
    <n v="0"/>
    <n v="28.891757284072764"/>
    <n v="75.886085105957733"/>
    <m/>
    <n v="251905.50359999997"/>
    <n v="0"/>
    <n v="277574.09109585499"/>
    <n v="0"/>
    <x v="0"/>
  </r>
  <r>
    <s v="Regular"/>
    <x v="1"/>
    <x v="0"/>
    <x v="0"/>
    <x v="0"/>
    <x v="0"/>
    <x v="0"/>
    <x v="0"/>
    <x v="7"/>
    <n v="18847"/>
    <n v="9235.0300000000007"/>
    <n v="0"/>
    <n v="0"/>
    <n v="0"/>
    <n v="0"/>
    <n v="0"/>
    <s v="LIVRE"/>
    <n v="0"/>
    <n v="20"/>
    <n v="0"/>
    <n v="0"/>
    <n v="26.22"/>
    <n v="0"/>
    <n v="0"/>
    <n v="28.891757284072764"/>
    <n v="75.886085105957733"/>
    <m/>
    <n v="252025.85339999996"/>
    <n v="0"/>
    <n v="277706.70426178887"/>
    <n v="0"/>
    <x v="0"/>
  </r>
  <r>
    <s v="Regular"/>
    <x v="1"/>
    <x v="0"/>
    <x v="0"/>
    <x v="0"/>
    <x v="0"/>
    <x v="0"/>
    <x v="0"/>
    <x v="8"/>
    <n v="19668"/>
    <n v="10227.36"/>
    <n v="0"/>
    <n v="0"/>
    <n v="0"/>
    <n v="0"/>
    <n v="0"/>
    <s v="LIVRE"/>
    <n v="0"/>
    <n v="20"/>
    <n v="0"/>
    <n v="0"/>
    <n v="26.22"/>
    <n v="0"/>
    <n v="0"/>
    <n v="28.891757284072764"/>
    <n v="75.886085105957733"/>
    <m/>
    <n v="247533.58079999997"/>
    <n v="0"/>
    <n v="272756.67948630865"/>
    <n v="0"/>
    <x v="0"/>
  </r>
  <r>
    <s v="Refaturamento - Regular"/>
    <x v="1"/>
    <x v="0"/>
    <x v="0"/>
    <x v="0"/>
    <x v="0"/>
    <x v="0"/>
    <x v="0"/>
    <x v="8"/>
    <n v="-530"/>
    <n v="-530"/>
    <n v="0"/>
    <n v="0"/>
    <n v="0"/>
    <n v="0"/>
    <n v="0"/>
    <s v="LIVRE"/>
    <n v="0"/>
    <n v="20"/>
    <n v="0"/>
    <n v="0"/>
    <n v="26.22"/>
    <n v="0"/>
    <n v="0"/>
    <n v="28.891757284072764"/>
    <n v="75.886085105957733"/>
    <m/>
    <n v="0"/>
    <n v="0"/>
    <n v="0"/>
    <n v="0"/>
    <x v="0"/>
  </r>
  <r>
    <s v="Regular"/>
    <x v="1"/>
    <x v="0"/>
    <x v="0"/>
    <x v="0"/>
    <x v="0"/>
    <x v="0"/>
    <x v="0"/>
    <x v="9"/>
    <n v="19571"/>
    <n v="10176.92"/>
    <n v="0"/>
    <n v="0"/>
    <n v="0"/>
    <n v="0"/>
    <n v="0"/>
    <s v="LIVRE"/>
    <n v="0"/>
    <n v="20"/>
    <n v="0"/>
    <n v="0"/>
    <n v="26.22"/>
    <n v="0"/>
    <n v="0"/>
    <n v="28.891757284072764"/>
    <n v="75.886085105957733"/>
    <m/>
    <n v="246312.7776"/>
    <n v="0"/>
    <n v="271411.47926716227"/>
    <n v="0"/>
    <x v="0"/>
  </r>
  <r>
    <s v="Regular"/>
    <x v="1"/>
    <x v="0"/>
    <x v="0"/>
    <x v="0"/>
    <x v="0"/>
    <x v="0"/>
    <x v="0"/>
    <x v="10"/>
    <n v="19622"/>
    <n v="10203.44"/>
    <n v="0"/>
    <n v="0"/>
    <n v="0"/>
    <n v="0"/>
    <n v="0"/>
    <s v="LIVRE"/>
    <n v="0"/>
    <n v="20"/>
    <n v="0"/>
    <n v="0"/>
    <n v="26.22"/>
    <n v="0"/>
    <n v="0"/>
    <n v="28.891757284072764"/>
    <n v="75.886085105957733"/>
    <m/>
    <n v="246954.64319999996"/>
    <n v="0"/>
    <n v="272118.74948547635"/>
    <n v="0"/>
    <x v="0"/>
  </r>
  <r>
    <s v="PROJETADO"/>
    <x v="1"/>
    <x v="0"/>
    <x v="0"/>
    <x v="0"/>
    <x v="0"/>
    <x v="0"/>
    <x v="0"/>
    <x v="11"/>
    <n v="19622"/>
    <n v="10203.44"/>
    <n v="0"/>
    <n v="0"/>
    <n v="0"/>
    <n v="0"/>
    <n v="0"/>
    <s v="LIVRE"/>
    <n v="0"/>
    <n v="20"/>
    <n v="0"/>
    <n v="0"/>
    <n v="26.22"/>
    <n v="0"/>
    <n v="0"/>
    <n v="28.891757284072764"/>
    <n v="75.886085105957733"/>
    <m/>
    <n v="246954.64319999996"/>
    <n v="0"/>
    <n v="272118.74948547635"/>
    <n v="0"/>
    <x v="0"/>
  </r>
  <r>
    <s v="Regular"/>
    <x v="1"/>
    <x v="0"/>
    <x v="0"/>
    <x v="0"/>
    <x v="0"/>
    <x v="0"/>
    <x v="1"/>
    <x v="0"/>
    <n v="0"/>
    <n v="0"/>
    <n v="5800.2359999999999"/>
    <n v="5800.2359999999999"/>
    <n v="0"/>
    <n v="0"/>
    <n v="33"/>
    <s v="LIVRE"/>
    <n v="0"/>
    <n v="0"/>
    <n v="22"/>
    <n v="0"/>
    <n v="0"/>
    <n v="62.57"/>
    <n v="0"/>
    <m/>
    <n v="75.886085105957733"/>
    <m/>
    <n v="0"/>
    <n v="0"/>
    <n v="0"/>
    <n v="0"/>
    <x v="0"/>
  </r>
  <r>
    <s v="Regular"/>
    <x v="1"/>
    <x v="0"/>
    <x v="0"/>
    <x v="0"/>
    <x v="0"/>
    <x v="0"/>
    <x v="1"/>
    <x v="1"/>
    <n v="0"/>
    <n v="0"/>
    <n v="5742.8829999999998"/>
    <n v="5742.8829999999998"/>
    <n v="0"/>
    <n v="0"/>
    <n v="33"/>
    <s v="LIVRE"/>
    <n v="0"/>
    <n v="0"/>
    <n v="22"/>
    <n v="0"/>
    <n v="0"/>
    <n v="62.57"/>
    <n v="0"/>
    <m/>
    <n v="75.886085105957733"/>
    <m/>
    <n v="0"/>
    <n v="0"/>
    <n v="0"/>
    <n v="0"/>
    <x v="0"/>
  </r>
  <r>
    <s v="Regular"/>
    <x v="1"/>
    <x v="0"/>
    <x v="0"/>
    <x v="0"/>
    <x v="0"/>
    <x v="0"/>
    <x v="1"/>
    <x v="2"/>
    <n v="0"/>
    <n v="0"/>
    <n v="5807.5169999999998"/>
    <n v="5807.5169999999998"/>
    <n v="0"/>
    <n v="0"/>
    <n v="33"/>
    <s v="LIVRE"/>
    <n v="0"/>
    <n v="0"/>
    <n v="22"/>
    <n v="0"/>
    <n v="0"/>
    <n v="62.57"/>
    <n v="0"/>
    <m/>
    <n v="75.886085105957733"/>
    <m/>
    <n v="0"/>
    <n v="0"/>
    <n v="0"/>
    <n v="0"/>
    <x v="0"/>
  </r>
  <r>
    <s v="Regular"/>
    <x v="1"/>
    <x v="0"/>
    <x v="0"/>
    <x v="0"/>
    <x v="0"/>
    <x v="0"/>
    <x v="1"/>
    <x v="3"/>
    <n v="0"/>
    <n v="0"/>
    <n v="7795.9849999999997"/>
    <n v="7795.9849999999997"/>
    <n v="0"/>
    <n v="0"/>
    <n v="35"/>
    <s v="LIVRE"/>
    <n v="0"/>
    <n v="0"/>
    <n v="22"/>
    <n v="0"/>
    <n v="0"/>
    <n v="62.57"/>
    <n v="0"/>
    <m/>
    <n v="75.886085105957733"/>
    <m/>
    <n v="0"/>
    <n v="0"/>
    <n v="0"/>
    <n v="0"/>
    <x v="0"/>
  </r>
  <r>
    <s v="Regular"/>
    <x v="1"/>
    <x v="0"/>
    <x v="0"/>
    <x v="0"/>
    <x v="0"/>
    <x v="0"/>
    <x v="1"/>
    <x v="4"/>
    <n v="0"/>
    <n v="0"/>
    <n v="8006.0680000000002"/>
    <n v="8006.0680000000002"/>
    <n v="0"/>
    <n v="0"/>
    <n v="35"/>
    <s v="LIVRE"/>
    <n v="0"/>
    <n v="0"/>
    <n v="22"/>
    <n v="0"/>
    <n v="0"/>
    <n v="62.57"/>
    <n v="0"/>
    <m/>
    <n v="75.886085105957733"/>
    <m/>
    <n v="0"/>
    <n v="0"/>
    <n v="0"/>
    <n v="0"/>
    <x v="0"/>
  </r>
  <r>
    <s v="Regular"/>
    <x v="1"/>
    <x v="0"/>
    <x v="0"/>
    <x v="0"/>
    <x v="0"/>
    <x v="0"/>
    <x v="1"/>
    <x v="5"/>
    <n v="0"/>
    <n v="0"/>
    <n v="8472.1119999999992"/>
    <n v="8472.1119999999992"/>
    <n v="0"/>
    <n v="0"/>
    <n v="35"/>
    <s v="LIVRE"/>
    <n v="0"/>
    <n v="0"/>
    <n v="22"/>
    <n v="0"/>
    <n v="0"/>
    <n v="62.57"/>
    <n v="0"/>
    <m/>
    <n v="75.886085105957733"/>
    <m/>
    <n v="0"/>
    <n v="0"/>
    <n v="0"/>
    <n v="0"/>
    <x v="0"/>
  </r>
  <r>
    <s v="Regular"/>
    <x v="1"/>
    <x v="0"/>
    <x v="0"/>
    <x v="0"/>
    <x v="0"/>
    <x v="0"/>
    <x v="1"/>
    <x v="6"/>
    <n v="0"/>
    <n v="0"/>
    <n v="7630.09"/>
    <n v="7630.09"/>
    <n v="0"/>
    <n v="0"/>
    <n v="35"/>
    <s v="LIVRE"/>
    <n v="0"/>
    <n v="0"/>
    <n v="22"/>
    <n v="0"/>
    <n v="0"/>
    <n v="62.57"/>
    <n v="0"/>
    <m/>
    <n v="75.886085105957733"/>
    <m/>
    <n v="0"/>
    <n v="0"/>
    <n v="0"/>
    <n v="0"/>
    <x v="0"/>
  </r>
  <r>
    <s v="Regular"/>
    <x v="1"/>
    <x v="0"/>
    <x v="0"/>
    <x v="0"/>
    <x v="0"/>
    <x v="0"/>
    <x v="1"/>
    <x v="7"/>
    <n v="0"/>
    <n v="0"/>
    <n v="7194.3190000000004"/>
    <n v="7194.3190000000004"/>
    <n v="0"/>
    <n v="0"/>
    <n v="35"/>
    <s v="LIVRE"/>
    <n v="0"/>
    <n v="0"/>
    <n v="22"/>
    <n v="0"/>
    <n v="0"/>
    <n v="62.57"/>
    <n v="0"/>
    <m/>
    <n v="75.886085105957733"/>
    <m/>
    <n v="0"/>
    <n v="0"/>
    <n v="0"/>
    <n v="0"/>
    <x v="0"/>
  </r>
  <r>
    <s v="Regular"/>
    <x v="1"/>
    <x v="0"/>
    <x v="0"/>
    <x v="0"/>
    <x v="0"/>
    <x v="0"/>
    <x v="1"/>
    <x v="8"/>
    <n v="0"/>
    <n v="0"/>
    <n v="8225.7209999999995"/>
    <n v="8225.7209999999995"/>
    <n v="0"/>
    <n v="0"/>
    <n v="37"/>
    <s v="LIVRE"/>
    <n v="0"/>
    <n v="0"/>
    <n v="22"/>
    <n v="0"/>
    <n v="0"/>
    <n v="62.57"/>
    <n v="0"/>
    <m/>
    <n v="75.886085105957733"/>
    <m/>
    <n v="0"/>
    <n v="0"/>
    <n v="0"/>
    <n v="0"/>
    <x v="0"/>
  </r>
  <r>
    <s v="Regular"/>
    <x v="1"/>
    <x v="0"/>
    <x v="0"/>
    <x v="0"/>
    <x v="0"/>
    <x v="0"/>
    <x v="1"/>
    <x v="9"/>
    <n v="0"/>
    <n v="0"/>
    <n v="7602.5020000000004"/>
    <n v="7602.5020000000004"/>
    <n v="0"/>
    <n v="0"/>
    <n v="37"/>
    <s v="LIVRE"/>
    <n v="0"/>
    <n v="0"/>
    <n v="22"/>
    <n v="0"/>
    <n v="0"/>
    <n v="62.57"/>
    <n v="0"/>
    <m/>
    <n v="75.886085105957733"/>
    <m/>
    <n v="0"/>
    <n v="0"/>
    <n v="0"/>
    <n v="0"/>
    <x v="0"/>
  </r>
  <r>
    <s v="Regular"/>
    <x v="1"/>
    <x v="0"/>
    <x v="0"/>
    <x v="0"/>
    <x v="0"/>
    <x v="0"/>
    <x v="1"/>
    <x v="10"/>
    <n v="0"/>
    <n v="0"/>
    <n v="7974.6809999999996"/>
    <n v="7974.6809999999996"/>
    <n v="0"/>
    <n v="0"/>
    <n v="37"/>
    <s v="LIVRE"/>
    <n v="0"/>
    <n v="0"/>
    <n v="22"/>
    <n v="0"/>
    <n v="0"/>
    <n v="62.57"/>
    <n v="0"/>
    <m/>
    <n v="75.886085105957733"/>
    <m/>
    <n v="0"/>
    <n v="0"/>
    <n v="0"/>
    <n v="0"/>
    <x v="0"/>
  </r>
  <r>
    <s v="PROJETADO"/>
    <x v="1"/>
    <x v="0"/>
    <x v="0"/>
    <x v="0"/>
    <x v="0"/>
    <x v="0"/>
    <x v="1"/>
    <x v="11"/>
    <n v="0"/>
    <n v="0"/>
    <n v="7974.6809999999996"/>
    <n v="7974.6809999999996"/>
    <n v="0"/>
    <n v="0"/>
    <n v="37"/>
    <s v="LIVRE"/>
    <n v="0"/>
    <n v="0"/>
    <n v="22"/>
    <n v="0"/>
    <n v="0"/>
    <n v="62.57"/>
    <n v="0"/>
    <m/>
    <n v="75.886085105957733"/>
    <m/>
    <n v="0"/>
    <n v="0"/>
    <n v="0"/>
    <n v="0"/>
    <x v="0"/>
  </r>
  <r>
    <s v="Regular"/>
    <x v="1"/>
    <x v="0"/>
    <x v="0"/>
    <x v="0"/>
    <x v="0"/>
    <x v="0"/>
    <x v="2"/>
    <x v="0"/>
    <n v="12811"/>
    <n v="6533.61"/>
    <n v="0"/>
    <n v="0"/>
    <n v="0"/>
    <n v="0"/>
    <n v="0"/>
    <s v="LIVRE"/>
    <n v="0"/>
    <n v="18"/>
    <n v="0"/>
    <n v="0"/>
    <n v="52.15"/>
    <n v="0"/>
    <n v="0"/>
    <n v="57.437679027724307"/>
    <n v="75.886085105957733"/>
    <m/>
    <n v="327365.8885"/>
    <n v="0"/>
    <n v="360558.71195184632"/>
    <n v="0"/>
    <x v="0"/>
  </r>
  <r>
    <s v="Regular"/>
    <x v="1"/>
    <x v="0"/>
    <x v="0"/>
    <x v="0"/>
    <x v="0"/>
    <x v="0"/>
    <x v="2"/>
    <x v="1"/>
    <n v="12867"/>
    <n v="8878.23"/>
    <n v="0"/>
    <n v="0"/>
    <n v="0"/>
    <n v="0"/>
    <n v="0"/>
    <s v="LIVRE"/>
    <n v="0"/>
    <n v="18"/>
    <n v="0"/>
    <n v="0"/>
    <n v="52.15"/>
    <n v="0"/>
    <n v="0"/>
    <n v="57.437679027724307"/>
    <n v="75.886085105957733"/>
    <m/>
    <n v="208014.35550000001"/>
    <n v="0"/>
    <n v="229105.6909754159"/>
    <n v="0"/>
    <x v="0"/>
  </r>
  <r>
    <s v="Regular"/>
    <x v="1"/>
    <x v="0"/>
    <x v="0"/>
    <x v="0"/>
    <x v="0"/>
    <x v="0"/>
    <x v="2"/>
    <x v="2"/>
    <n v="12821"/>
    <n v="8333.65"/>
    <n v="0"/>
    <n v="0"/>
    <n v="0"/>
    <n v="0"/>
    <n v="0"/>
    <s v="LIVRE"/>
    <n v="0"/>
    <n v="18"/>
    <n v="0"/>
    <n v="0"/>
    <n v="52.15"/>
    <n v="0"/>
    <n v="0"/>
    <n v="57.437679027724307"/>
    <n v="75.886085105957733"/>
    <m/>
    <n v="234015.30250000002"/>
    <n v="0"/>
    <n v="257742.96898505869"/>
    <n v="0"/>
    <x v="0"/>
  </r>
  <r>
    <s v="Regular"/>
    <x v="1"/>
    <x v="0"/>
    <x v="0"/>
    <x v="0"/>
    <x v="0"/>
    <x v="0"/>
    <x v="2"/>
    <x v="3"/>
    <n v="16672"/>
    <n v="7502.4"/>
    <n v="0"/>
    <n v="0"/>
    <n v="0"/>
    <n v="0"/>
    <n v="0"/>
    <s v="LIVRE"/>
    <n v="0"/>
    <n v="18"/>
    <n v="0"/>
    <n v="0"/>
    <n v="52.15"/>
    <n v="0"/>
    <n v="0"/>
    <n v="57.437679027724307"/>
    <n v="75.886085105957733"/>
    <m/>
    <n v="478194.64"/>
    <n v="0"/>
    <n v="526680.54161262081"/>
    <n v="0"/>
    <x v="0"/>
  </r>
  <r>
    <s v="Regular"/>
    <x v="1"/>
    <x v="0"/>
    <x v="0"/>
    <x v="0"/>
    <x v="0"/>
    <x v="0"/>
    <x v="2"/>
    <x v="4"/>
    <n v="16924"/>
    <n v="8292.76"/>
    <n v="0"/>
    <n v="0"/>
    <n v="0"/>
    <n v="0"/>
    <n v="0"/>
    <s v="LIVRE"/>
    <n v="0"/>
    <n v="18"/>
    <n v="0"/>
    <n v="0"/>
    <n v="52.15"/>
    <n v="0"/>
    <n v="0"/>
    <n v="57.437679027724307"/>
    <n v="75.886085105957733"/>
    <m/>
    <n v="450119.16599999997"/>
    <n v="0"/>
    <n v="495758.39273125515"/>
    <n v="0"/>
    <x v="0"/>
  </r>
  <r>
    <s v="Regular"/>
    <x v="1"/>
    <x v="0"/>
    <x v="0"/>
    <x v="0"/>
    <x v="0"/>
    <x v="0"/>
    <x v="2"/>
    <x v="5"/>
    <n v="17070"/>
    <n v="8364.2999999999993"/>
    <n v="0"/>
    <n v="0"/>
    <n v="0"/>
    <n v="0"/>
    <n v="0"/>
    <s v="LIVRE"/>
    <n v="0"/>
    <n v="18"/>
    <n v="0"/>
    <n v="0"/>
    <n v="52.15"/>
    <n v="0"/>
    <n v="0"/>
    <n v="57.437679027724307"/>
    <n v="75.886085105957733"/>
    <m/>
    <n v="454002.255"/>
    <n v="0"/>
    <n v="500035.20231165952"/>
    <n v="0"/>
    <x v="0"/>
  </r>
  <r>
    <s v="Regular"/>
    <x v="1"/>
    <x v="0"/>
    <x v="0"/>
    <x v="0"/>
    <x v="0"/>
    <x v="0"/>
    <x v="2"/>
    <x v="6"/>
    <n v="17129"/>
    <n v="8393.2099999999991"/>
    <n v="0"/>
    <n v="0"/>
    <n v="0"/>
    <n v="0"/>
    <n v="0"/>
    <s v="LIVRE"/>
    <n v="0"/>
    <n v="18"/>
    <n v="0"/>
    <n v="0"/>
    <n v="52.15"/>
    <n v="0"/>
    <n v="0"/>
    <n v="57.437679027724307"/>
    <n v="75.886085105957733"/>
    <m/>
    <n v="455571.44850000006"/>
    <n v="0"/>
    <n v="501763.5020736038"/>
    <n v="0"/>
    <x v="0"/>
  </r>
  <r>
    <s v="Regular"/>
    <x v="1"/>
    <x v="0"/>
    <x v="0"/>
    <x v="0"/>
    <x v="0"/>
    <x v="0"/>
    <x v="2"/>
    <x v="7"/>
    <n v="17115"/>
    <n v="8386.35"/>
    <n v="0"/>
    <n v="0"/>
    <n v="0"/>
    <n v="0"/>
    <n v="0"/>
    <s v="LIVRE"/>
    <n v="0"/>
    <n v="18"/>
    <n v="0"/>
    <n v="0"/>
    <n v="52.15"/>
    <n v="0"/>
    <n v="0"/>
    <n v="57.437679027724307"/>
    <n v="75.886085105957733"/>
    <m/>
    <n v="455199.09749999997"/>
    <n v="0"/>
    <n v="501353.39704534574"/>
    <n v="0"/>
    <x v="0"/>
  </r>
  <r>
    <s v="Regular"/>
    <x v="1"/>
    <x v="0"/>
    <x v="0"/>
    <x v="0"/>
    <x v="0"/>
    <x v="0"/>
    <x v="2"/>
    <x v="8"/>
    <n v="17674"/>
    <n v="9190.48"/>
    <n v="0"/>
    <n v="0"/>
    <n v="0"/>
    <n v="0"/>
    <n v="0"/>
    <s v="LIVRE"/>
    <n v="0"/>
    <n v="18"/>
    <n v="0"/>
    <n v="0"/>
    <n v="52.15"/>
    <n v="0"/>
    <n v="0"/>
    <n v="57.437679027724307"/>
    <n v="75.886085105957733"/>
    <m/>
    <n v="442415.56800000003"/>
    <n v="0"/>
    <n v="487273.69878527976"/>
    <n v="0"/>
    <x v="0"/>
  </r>
  <r>
    <s v="Refaturamento - Regular"/>
    <x v="1"/>
    <x v="0"/>
    <x v="0"/>
    <x v="0"/>
    <x v="0"/>
    <x v="0"/>
    <x v="2"/>
    <x v="8"/>
    <n v="1218"/>
    <n v="1218"/>
    <n v="0"/>
    <n v="0"/>
    <n v="0"/>
    <n v="0"/>
    <n v="0"/>
    <s v="LIVRE"/>
    <n v="0"/>
    <n v="18"/>
    <n v="0"/>
    <n v="0"/>
    <n v="52.15"/>
    <n v="0"/>
    <n v="0"/>
    <n v="57.437679027724307"/>
    <n v="75.886085105957733"/>
    <m/>
    <n v="0"/>
    <n v="0"/>
    <n v="0"/>
    <n v="0"/>
    <x v="0"/>
  </r>
  <r>
    <s v="Regular"/>
    <x v="1"/>
    <x v="0"/>
    <x v="0"/>
    <x v="0"/>
    <x v="0"/>
    <x v="0"/>
    <x v="2"/>
    <x v="9"/>
    <n v="17739"/>
    <n v="9224.2800000000007"/>
    <n v="0"/>
    <n v="0"/>
    <n v="0"/>
    <n v="0"/>
    <n v="0"/>
    <s v="LIVRE"/>
    <n v="0"/>
    <n v="18"/>
    <n v="0"/>
    <n v="0"/>
    <n v="52.15"/>
    <n v="0"/>
    <n v="0"/>
    <n v="57.437679027724307"/>
    <n v="75.886085105957733"/>
    <m/>
    <n v="444042.64799999993"/>
    <n v="0"/>
    <n v="489065.75437094469"/>
    <n v="0"/>
    <x v="0"/>
  </r>
  <r>
    <s v="Regular"/>
    <x v="1"/>
    <x v="0"/>
    <x v="0"/>
    <x v="0"/>
    <x v="0"/>
    <x v="0"/>
    <x v="2"/>
    <x v="10"/>
    <n v="18007"/>
    <n v="9363.64"/>
    <n v="0"/>
    <n v="0"/>
    <n v="0"/>
    <n v="0"/>
    <n v="0"/>
    <s v="LIVRE"/>
    <n v="0"/>
    <n v="18"/>
    <n v="0"/>
    <n v="0"/>
    <n v="52.15"/>
    <n v="0"/>
    <n v="0"/>
    <n v="57.437679027724307"/>
    <n v="75.886085105957733"/>
    <m/>
    <n v="450751.22400000005"/>
    <n v="0"/>
    <n v="496454.53740107123"/>
    <n v="0"/>
    <x v="0"/>
  </r>
  <r>
    <s v="PROJETADO"/>
    <x v="1"/>
    <x v="0"/>
    <x v="0"/>
    <x v="0"/>
    <x v="0"/>
    <x v="0"/>
    <x v="2"/>
    <x v="11"/>
    <n v="18007"/>
    <n v="9363.64"/>
    <n v="0"/>
    <n v="0"/>
    <n v="0"/>
    <n v="0"/>
    <n v="0"/>
    <s v="LIVRE"/>
    <n v="0"/>
    <n v="18"/>
    <n v="0"/>
    <n v="0"/>
    <n v="52.15"/>
    <n v="0"/>
    <n v="0"/>
    <n v="57.437679027724307"/>
    <n v="75.886085105957733"/>
    <m/>
    <n v="450751.22400000005"/>
    <n v="0"/>
    <n v="496454.53740107123"/>
    <n v="0"/>
    <x v="0"/>
  </r>
  <r>
    <s v="Regular"/>
    <x v="1"/>
    <x v="0"/>
    <x v="2"/>
    <x v="1"/>
    <x v="1"/>
    <x v="0"/>
    <x v="0"/>
    <x v="0"/>
    <n v="15834"/>
    <n v="13458.9"/>
    <n v="6737.0190000000002"/>
    <n v="6332.7978599999997"/>
    <n v="6737.0190000000002"/>
    <n v="6332.7978599999997"/>
    <n v="0"/>
    <s v="CATIVO"/>
    <n v="0"/>
    <n v="20"/>
    <n v="22"/>
    <n v="67"/>
    <n v="26.22"/>
    <n v="62.57"/>
    <n v="242.82"/>
    <n v="28.891757284072764"/>
    <n v="75.886085105957733"/>
    <n v="224.53785920244138"/>
    <n v="62275.12200000001"/>
    <n v="123445.09394460017"/>
    <n v="68620.812725401236"/>
    <n v="121437.70925163777"/>
    <x v="2"/>
  </r>
  <r>
    <s v="Regular"/>
    <x v="1"/>
    <x v="0"/>
    <x v="2"/>
    <x v="1"/>
    <x v="1"/>
    <x v="0"/>
    <x v="0"/>
    <x v="1"/>
    <n v="16014"/>
    <n v="13611.9"/>
    <n v="6745.8490000000002"/>
    <n v="6341.0980600000003"/>
    <n v="6745.8490000000002"/>
    <n v="6341.0980600000003"/>
    <n v="0"/>
    <s v="CATIVO"/>
    <n v="0"/>
    <n v="20"/>
    <n v="22"/>
    <n v="67"/>
    <n v="26.22"/>
    <n v="62.57"/>
    <n v="242.82"/>
    <n v="28.891757284072764"/>
    <n v="75.886085105957733"/>
    <n v="224.53785920244138"/>
    <n v="62983.062000000005"/>
    <n v="123606.88956659996"/>
    <n v="69400.890172071202"/>
    <n v="121596.87385733216"/>
    <x v="2"/>
  </r>
  <r>
    <s v="Regular"/>
    <x v="1"/>
    <x v="0"/>
    <x v="2"/>
    <x v="1"/>
    <x v="1"/>
    <x v="0"/>
    <x v="0"/>
    <x v="2"/>
    <n v="16098"/>
    <n v="13683.3"/>
    <n v="7260.2830000000004"/>
    <n v="6824.6660199999997"/>
    <n v="7260.2830000000004"/>
    <n v="6824.6660199999997"/>
    <n v="0"/>
    <s v="CATIVO"/>
    <n v="0"/>
    <n v="20"/>
    <n v="22"/>
    <n v="67"/>
    <n v="26.22"/>
    <n v="62.57"/>
    <n v="242.82"/>
    <n v="28.891757284072764"/>
    <n v="75.886085105957733"/>
    <n v="224.53785920244138"/>
    <n v="63313.434000000016"/>
    <n v="133033.06952220021"/>
    <n v="69764.926313850519"/>
    <n v="130869.77133931321"/>
    <x v="2"/>
  </r>
  <r>
    <s v="Regular"/>
    <x v="1"/>
    <x v="0"/>
    <x v="2"/>
    <x v="1"/>
    <x v="1"/>
    <x v="0"/>
    <x v="0"/>
    <x v="3"/>
    <n v="16078"/>
    <n v="13666.3"/>
    <n v="7093.0640000000003"/>
    <n v="6667.4801600000001"/>
    <n v="7093.0640000000003"/>
    <n v="6667.4801600000001"/>
    <n v="0"/>
    <s v="CATIVO"/>
    <n v="0"/>
    <n v="20"/>
    <n v="22"/>
    <n v="67"/>
    <n v="26.22"/>
    <n v="62.57"/>
    <n v="242.82"/>
    <n v="28.891757284072764"/>
    <n v="75.886085105957733"/>
    <n v="224.53785920244138"/>
    <n v="63234.774000000019"/>
    <n v="129969.04889760006"/>
    <n v="69678.251041998301"/>
    <n v="127855.57584671471"/>
    <x v="2"/>
  </r>
  <r>
    <s v="Regular"/>
    <x v="1"/>
    <x v="0"/>
    <x v="2"/>
    <x v="1"/>
    <x v="1"/>
    <x v="0"/>
    <x v="0"/>
    <x v="4"/>
    <n v="16132"/>
    <n v="13712.199999999999"/>
    <n v="7178.634"/>
    <n v="6747.9159600000003"/>
    <n v="7178.634"/>
    <n v="6747.9159600000003"/>
    <n v="0"/>
    <s v="CATIVO"/>
    <n v="0"/>
    <n v="20"/>
    <n v="22"/>
    <n v="67"/>
    <n v="26.22"/>
    <n v="62.57"/>
    <n v="242.82"/>
    <n v="28.891757284072764"/>
    <n v="75.886085105957733"/>
    <n v="224.53785920244138"/>
    <n v="63447.156000000025"/>
    <n v="131536.98223559992"/>
    <n v="69912.274275999298"/>
    <n v="129398.01246158275"/>
    <x v="2"/>
  </r>
  <r>
    <s v="Regular"/>
    <x v="1"/>
    <x v="0"/>
    <x v="2"/>
    <x v="1"/>
    <x v="1"/>
    <x v="0"/>
    <x v="0"/>
    <x v="5"/>
    <n v="16093"/>
    <n v="13679.05"/>
    <n v="7217.5349999999999"/>
    <n v="6784.4829"/>
    <n v="7217.5349999999999"/>
    <n v="6784.4829"/>
    <n v="0"/>
    <s v="CATIVO"/>
    <n v="0"/>
    <n v="20"/>
    <n v="22"/>
    <n v="67"/>
    <n v="26.22"/>
    <n v="62.57"/>
    <n v="242.82"/>
    <n v="28.891757284072764"/>
    <n v="75.886085105957733"/>
    <n v="224.53785920244138"/>
    <n v="63293.769000000015"/>
    <n v="132249.78081899998"/>
    <n v="69743.257495887476"/>
    <n v="130099.21997303524"/>
    <x v="2"/>
  </r>
  <r>
    <s v="Regular"/>
    <x v="1"/>
    <x v="0"/>
    <x v="2"/>
    <x v="1"/>
    <x v="1"/>
    <x v="0"/>
    <x v="0"/>
    <x v="6"/>
    <n v="16070"/>
    <n v="13659.5"/>
    <n v="6627.8530000000001"/>
    <n v="6230.1818199999998"/>
    <n v="6627.8530000000001"/>
    <n v="6230.1818199999998"/>
    <n v="0"/>
    <s v="CATIVO"/>
    <n v="0"/>
    <n v="20"/>
    <n v="22"/>
    <n v="67"/>
    <n v="26.22"/>
    <n v="62.57"/>
    <n v="242.82"/>
    <n v="28.891757284072764"/>
    <n v="75.886085105957733"/>
    <n v="224.53785920244138"/>
    <n v="63203.31"/>
    <n v="121444.80166020009"/>
    <n v="69643.580933257399"/>
    <n v="119469.94443337544"/>
    <x v="2"/>
  </r>
  <r>
    <s v="Regular"/>
    <x v="1"/>
    <x v="0"/>
    <x v="2"/>
    <x v="1"/>
    <x v="1"/>
    <x v="0"/>
    <x v="0"/>
    <x v="7"/>
    <n v="16184"/>
    <n v="13756.4"/>
    <n v="7175.6440000000002"/>
    <n v="6745.1053599999996"/>
    <n v="7175.6440000000002"/>
    <n v="6745.1053599999996"/>
    <n v="0"/>
    <s v="CATIVO"/>
    <n v="0"/>
    <n v="20"/>
    <n v="22"/>
    <n v="67"/>
    <n v="26.22"/>
    <n v="62.57"/>
    <n v="242.82"/>
    <n v="28.891757284072764"/>
    <n v="75.886085105957733"/>
    <n v="224.53785920244138"/>
    <n v="63651.672000000006"/>
    <n v="131482.1952696002"/>
    <n v="70137.629982815051"/>
    <n v="129344.1164059741"/>
    <x v="2"/>
  </r>
  <r>
    <s v="Regular"/>
    <x v="1"/>
    <x v="0"/>
    <x v="2"/>
    <x v="1"/>
    <x v="1"/>
    <x v="0"/>
    <x v="0"/>
    <x v="8"/>
    <n v="16101"/>
    <n v="13685.85"/>
    <n v="6956.0370000000003"/>
    <n v="6538.6747800000003"/>
    <n v="6956.0370000000003"/>
    <n v="6538.6747800000003"/>
    <n v="0"/>
    <s v="CATIVO"/>
    <n v="0"/>
    <n v="20"/>
    <n v="22"/>
    <n v="67"/>
    <n v="26.22"/>
    <n v="62.57"/>
    <n v="242.82"/>
    <n v="28.891757284072764"/>
    <n v="75.886085105957733"/>
    <n v="224.53785920244138"/>
    <n v="63325.232999999986"/>
    <n v="127458.24836579998"/>
    <n v="69777.927604628319"/>
    <n v="125385.60433770981"/>
    <x v="2"/>
  </r>
  <r>
    <s v="Regular"/>
    <x v="1"/>
    <x v="0"/>
    <x v="2"/>
    <x v="1"/>
    <x v="1"/>
    <x v="0"/>
    <x v="0"/>
    <x v="9"/>
    <n v="16125"/>
    <n v="13706.25"/>
    <n v="6974.0360000000001"/>
    <n v="6555.5938399999995"/>
    <n v="6974.0360000000001"/>
    <n v="6555.5938399999995"/>
    <n v="0"/>
    <s v="CATIVO"/>
    <n v="0"/>
    <n v="20"/>
    <n v="22"/>
    <n v="67"/>
    <n v="26.22"/>
    <n v="62.57"/>
    <n v="242.82"/>
    <n v="28.891757284072764"/>
    <n v="75.886085105957733"/>
    <n v="224.53785920244138"/>
    <n v="63419.625"/>
    <n v="127788.05124240015"/>
    <n v="69881.937930850996"/>
    <n v="125710.04417212638"/>
    <x v="2"/>
  </r>
  <r>
    <s v="Regular"/>
    <x v="1"/>
    <x v="0"/>
    <x v="2"/>
    <x v="1"/>
    <x v="1"/>
    <x v="0"/>
    <x v="0"/>
    <x v="10"/>
    <n v="16086"/>
    <n v="13673.1"/>
    <n v="6602.4160000000002"/>
    <n v="6206.2710399999996"/>
    <n v="6602.4160000000002"/>
    <n v="6206.2710399999996"/>
    <n v="0"/>
    <s v="CATIVO"/>
    <n v="0"/>
    <n v="20"/>
    <n v="22"/>
    <n v="67"/>
    <n v="26.22"/>
    <n v="62.57"/>
    <n v="242.82"/>
    <n v="28.891757284072764"/>
    <n v="75.886085105957733"/>
    <n v="224.53785920244138"/>
    <n v="63266.23799999999"/>
    <n v="120978.70933440016"/>
    <n v="69712.921150739159"/>
    <n v="119011.43140109317"/>
    <x v="2"/>
  </r>
  <r>
    <s v="PROJETADO"/>
    <x v="1"/>
    <x v="0"/>
    <x v="2"/>
    <x v="1"/>
    <x v="1"/>
    <x v="0"/>
    <x v="0"/>
    <x v="11"/>
    <n v="16086"/>
    <n v="13673.1"/>
    <n v="6602.4160000000002"/>
    <n v="6206.2710399999996"/>
    <n v="6602.4160000000002"/>
    <n v="6206.2710399999996"/>
    <n v="0"/>
    <s v="CATIVO"/>
    <n v="0"/>
    <n v="20"/>
    <n v="22"/>
    <n v="67"/>
    <n v="26.22"/>
    <n v="62.57"/>
    <n v="242.82"/>
    <n v="28.891757284072764"/>
    <n v="75.886085105957733"/>
    <n v="224.53785920244138"/>
    <n v="63266.23799999999"/>
    <n v="120978.70933440016"/>
    <n v="69712.921150739159"/>
    <n v="119011.43140109317"/>
    <x v="2"/>
  </r>
  <r>
    <s v="Regular"/>
    <x v="1"/>
    <x v="0"/>
    <x v="2"/>
    <x v="1"/>
    <x v="1"/>
    <x v="0"/>
    <x v="2"/>
    <x v="0"/>
    <n v="15523"/>
    <n v="13194.55"/>
    <n v="691.70100000000002"/>
    <n v="650.19893999999999"/>
    <n v="691.70100000000002"/>
    <n v="650.19893999999999"/>
    <n v="0"/>
    <s v="CATIVO"/>
    <n v="0"/>
    <n v="18"/>
    <n v="22"/>
    <n v="66"/>
    <n v="52.15"/>
    <n v="62.57"/>
    <n v="397.62"/>
    <n v="57.437679027724307"/>
    <n v="75.886085105957733"/>
    <n v="351.67159959099928"/>
    <n v="121428.66750000004"/>
    <n v="19098.832991400013"/>
    <n v="133740.76373210471"/>
    <n v="17744.524683754204"/>
    <x v="2"/>
  </r>
  <r>
    <s v="Regular"/>
    <x v="1"/>
    <x v="0"/>
    <x v="2"/>
    <x v="1"/>
    <x v="1"/>
    <x v="0"/>
    <x v="2"/>
    <x v="1"/>
    <n v="15631"/>
    <n v="13286.35"/>
    <n v="674.91300000000001"/>
    <n v="634.41822000000002"/>
    <n v="674.91300000000001"/>
    <n v="634.41822000000002"/>
    <n v="0"/>
    <s v="CATIVO"/>
    <n v="0"/>
    <n v="18"/>
    <n v="22"/>
    <n v="66"/>
    <n v="52.15"/>
    <n v="62.57"/>
    <n v="397.62"/>
    <n v="57.437679027724307"/>
    <n v="75.886085105957733"/>
    <n v="351.67159959099928"/>
    <n v="122273.49749999998"/>
    <n v="18635.292808199996"/>
    <n v="134671.25413235379"/>
    <n v="17313.854379112636"/>
    <x v="2"/>
  </r>
  <r>
    <s v="Regular"/>
    <x v="1"/>
    <x v="0"/>
    <x v="2"/>
    <x v="1"/>
    <x v="1"/>
    <x v="0"/>
    <x v="2"/>
    <x v="2"/>
    <n v="15687"/>
    <n v="13333.949999999999"/>
    <n v="665.97199999999998"/>
    <n v="626.01368000000002"/>
    <n v="665.97199999999998"/>
    <n v="626.01368000000002"/>
    <n v="0"/>
    <s v="CATIVO"/>
    <n v="0"/>
    <n v="18"/>
    <n v="22"/>
    <n v="66"/>
    <n v="52.15"/>
    <n v="62.57"/>
    <n v="397.62"/>
    <n v="57.437679027724307"/>
    <n v="75.886085105957733"/>
    <n v="351.67159959099928"/>
    <n v="122711.55750000005"/>
    <n v="18388.419280799979"/>
    <n v="135153.73063618675"/>
    <n v="17084.486783580094"/>
    <x v="2"/>
  </r>
  <r>
    <s v="Regular"/>
    <x v="1"/>
    <x v="0"/>
    <x v="2"/>
    <x v="1"/>
    <x v="1"/>
    <x v="0"/>
    <x v="2"/>
    <x v="3"/>
    <n v="15717"/>
    <n v="13359.449999999999"/>
    <n v="660.49800000000005"/>
    <n v="620.86811999999998"/>
    <n v="660.49800000000005"/>
    <n v="620.86811999999998"/>
    <n v="0"/>
    <s v="CATIVO"/>
    <n v="0"/>
    <n v="18"/>
    <n v="22"/>
    <n v="66"/>
    <n v="52.15"/>
    <n v="62.57"/>
    <n v="397.62"/>
    <n v="57.437679027724307"/>
    <n v="75.886085105957733"/>
    <n v="351.67159959099928"/>
    <n v="122946.23250000006"/>
    <n v="18237.274477200033"/>
    <n v="135412.20019181151"/>
    <n v="16944.059737618274"/>
    <x v="2"/>
  </r>
  <r>
    <s v="Regular"/>
    <x v="1"/>
    <x v="0"/>
    <x v="2"/>
    <x v="1"/>
    <x v="1"/>
    <x v="0"/>
    <x v="2"/>
    <x v="4"/>
    <n v="15797"/>
    <n v="13427.449999999999"/>
    <n v="749.51499999999999"/>
    <n v="704.54409999999996"/>
    <n v="749.51499999999999"/>
    <n v="704.54409999999996"/>
    <n v="0"/>
    <s v="CATIVO"/>
    <n v="0"/>
    <n v="18"/>
    <n v="22"/>
    <n v="66"/>
    <n v="52.15"/>
    <n v="62.57"/>
    <n v="397.62"/>
    <n v="57.437679027724307"/>
    <n v="75.886085105957733"/>
    <n v="351.67159959099928"/>
    <n v="123572.03250000006"/>
    <n v="20695.158471000013"/>
    <n v="136101.4523401442"/>
    <n v="19227.653882738396"/>
    <x v="2"/>
  </r>
  <r>
    <s v="Regular"/>
    <x v="1"/>
    <x v="0"/>
    <x v="2"/>
    <x v="1"/>
    <x v="1"/>
    <x v="0"/>
    <x v="2"/>
    <x v="5"/>
    <n v="15827"/>
    <n v="13452.949999999999"/>
    <n v="705.90800000000002"/>
    <n v="663.55352000000005"/>
    <n v="705.90800000000002"/>
    <n v="663.55352000000005"/>
    <n v="0"/>
    <s v="CATIVO"/>
    <n v="0"/>
    <n v="18"/>
    <n v="22"/>
    <n v="66"/>
    <n v="52.15"/>
    <n v="62.57"/>
    <n v="397.62"/>
    <n v="57.437679027724307"/>
    <n v="75.886085105957733"/>
    <n v="351.67159959099928"/>
    <n v="123806.70750000005"/>
    <n v="19491.108151199984"/>
    <n v="136359.92189576896"/>
    <n v="18108.983405343559"/>
    <x v="2"/>
  </r>
  <r>
    <s v="Regular"/>
    <x v="1"/>
    <x v="0"/>
    <x v="2"/>
    <x v="1"/>
    <x v="1"/>
    <x v="0"/>
    <x v="2"/>
    <x v="6"/>
    <n v="15702"/>
    <n v="13346.699999999999"/>
    <n v="675.41099999999994"/>
    <n v="634.88634000000002"/>
    <n v="675.41099999999994"/>
    <n v="634.88634000000002"/>
    <n v="0"/>
    <s v="CATIVO"/>
    <n v="0"/>
    <n v="18"/>
    <n v="22"/>
    <n v="66"/>
    <n v="52.15"/>
    <n v="62.57"/>
    <n v="397.62"/>
    <n v="57.437679027724307"/>
    <n v="75.886085105957733"/>
    <n v="351.67159959099928"/>
    <n v="122828.89500000005"/>
    <n v="18649.043285399966"/>
    <n v="135282.96541399913"/>
    <n v="17326.629802731353"/>
    <x v="2"/>
  </r>
  <r>
    <s v="Regular"/>
    <x v="1"/>
    <x v="0"/>
    <x v="2"/>
    <x v="1"/>
    <x v="1"/>
    <x v="0"/>
    <x v="2"/>
    <x v="7"/>
    <n v="15785"/>
    <n v="13417.25"/>
    <n v="713.55700000000002"/>
    <n v="670.74357999999995"/>
    <n v="713.55700000000002"/>
    <n v="670.74357999999995"/>
    <n v="0"/>
    <s v="CATIVO"/>
    <n v="0"/>
    <n v="18"/>
    <n v="22"/>
    <n v="66"/>
    <n v="52.15"/>
    <n v="62.57"/>
    <n v="397.62"/>
    <n v="57.437679027724307"/>
    <n v="75.886085105957733"/>
    <n v="351.67159959099928"/>
    <n v="123478.16249999999"/>
    <n v="19702.307749800028"/>
    <n v="135998.06451789424"/>
    <n v="18305.206729158421"/>
    <x v="2"/>
  </r>
  <r>
    <s v="Regular"/>
    <x v="1"/>
    <x v="0"/>
    <x v="2"/>
    <x v="1"/>
    <x v="1"/>
    <x v="0"/>
    <x v="2"/>
    <x v="8"/>
    <n v="15736"/>
    <n v="13375.6"/>
    <n v="629.35400000000004"/>
    <n v="591.59276"/>
    <n v="629.35400000000004"/>
    <n v="591.59276"/>
    <n v="0"/>
    <s v="CATIVO"/>
    <n v="0"/>
    <n v="18"/>
    <n v="22"/>
    <n v="66"/>
    <n v="52.15"/>
    <n v="62.57"/>
    <n v="397.62"/>
    <n v="57.437679027724307"/>
    <n v="75.886085105957733"/>
    <n v="351.67159959099928"/>
    <n v="123094.85999999997"/>
    <n v="17377.345035600021"/>
    <n v="135575.89757704042"/>
    <n v="16145.10834568614"/>
    <x v="2"/>
  </r>
  <r>
    <s v="Regular"/>
    <x v="1"/>
    <x v="0"/>
    <x v="2"/>
    <x v="1"/>
    <x v="1"/>
    <x v="0"/>
    <x v="2"/>
    <x v="9"/>
    <n v="15726"/>
    <n v="13367.1"/>
    <n v="689.95899999999995"/>
    <n v="648.56146000000001"/>
    <n v="689.95899999999995"/>
    <n v="648.56146000000001"/>
    <n v="0"/>
    <s v="CATIVO"/>
    <n v="0"/>
    <n v="18"/>
    <n v="22"/>
    <n v="66"/>
    <n v="52.15"/>
    <n v="62.57"/>
    <n v="397.62"/>
    <n v="57.437679027724307"/>
    <n v="75.886085105957733"/>
    <n v="351.67159959099928"/>
    <n v="123016.63499999998"/>
    <n v="19050.733932599967"/>
    <n v="135489.74105849885"/>
    <n v="17699.83635454964"/>
    <x v="2"/>
  </r>
  <r>
    <s v="Regular"/>
    <x v="1"/>
    <x v="0"/>
    <x v="2"/>
    <x v="1"/>
    <x v="1"/>
    <x v="0"/>
    <x v="2"/>
    <x v="10"/>
    <n v="15772"/>
    <n v="13406.199999999999"/>
    <n v="676.96100000000001"/>
    <n v="636.34334000000001"/>
    <n v="676.96100000000001"/>
    <n v="636.34334000000001"/>
    <n v="0"/>
    <s v="CATIVO"/>
    <n v="0"/>
    <n v="18"/>
    <n v="22"/>
    <n v="66"/>
    <n v="52.15"/>
    <n v="62.57"/>
    <n v="397.62"/>
    <n v="57.437679027724307"/>
    <n v="75.886085105957733"/>
    <n v="351.67159959099928"/>
    <n v="123376.47000000006"/>
    <n v="18691.840955399999"/>
    <n v="135886.06104379022"/>
    <n v="17366.392667408203"/>
    <x v="2"/>
  </r>
  <r>
    <s v="PROJETADO"/>
    <x v="1"/>
    <x v="0"/>
    <x v="2"/>
    <x v="1"/>
    <x v="1"/>
    <x v="0"/>
    <x v="2"/>
    <x v="11"/>
    <n v="15772"/>
    <n v="13406.199999999999"/>
    <n v="676.96100000000001"/>
    <n v="636.34334000000001"/>
    <n v="676.96100000000001"/>
    <n v="636.34334000000001"/>
    <n v="0"/>
    <s v="CATIVO"/>
    <n v="0"/>
    <n v="18"/>
    <n v="22"/>
    <n v="66"/>
    <n v="52.15"/>
    <n v="62.57"/>
    <n v="397.62"/>
    <n v="57.437679027724307"/>
    <n v="75.886085105957733"/>
    <n v="351.67159959099928"/>
    <n v="123376.47000000006"/>
    <n v="18691.840955399999"/>
    <n v="135886.06104379022"/>
    <n v="17366.392667408203"/>
    <x v="2"/>
  </r>
  <r>
    <s v="Regular"/>
    <x v="1"/>
    <x v="1"/>
    <x v="3"/>
    <x v="0"/>
    <x v="1"/>
    <x v="11"/>
    <x v="1"/>
    <x v="0"/>
    <n v="4500"/>
    <n v="2250"/>
    <n v="0"/>
    <n v="0"/>
    <n v="0"/>
    <n v="0"/>
    <n v="0"/>
    <s v="GERAÇÃO"/>
    <n v="29075"/>
    <n v="38"/>
    <n v="0"/>
    <n v="0"/>
    <n v="14.41"/>
    <n v="0"/>
    <n v="0"/>
    <n v="15.961981786190728"/>
    <m/>
    <m/>
    <n v="32422.5"/>
    <n v="0"/>
    <n v="35914.459018929141"/>
    <n v="0"/>
    <x v="3"/>
  </r>
  <r>
    <s v="Regular"/>
    <x v="1"/>
    <x v="1"/>
    <x v="3"/>
    <x v="0"/>
    <x v="1"/>
    <x v="12"/>
    <x v="1"/>
    <x v="0"/>
    <n v="3000"/>
    <n v="1500"/>
    <n v="0"/>
    <n v="0"/>
    <n v="0"/>
    <n v="0"/>
    <n v="0"/>
    <s v="GERAÇÃO"/>
    <m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3"/>
    <x v="1"/>
    <x v="0"/>
    <n v="3000"/>
    <n v="1500"/>
    <n v="0"/>
    <n v="0"/>
    <n v="0"/>
    <n v="0"/>
    <n v="0"/>
    <s v="GERAÇÃO"/>
    <n v="34891"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4"/>
    <x v="1"/>
    <x v="0"/>
    <n v="600"/>
    <n v="300"/>
    <n v="0"/>
    <n v="0"/>
    <n v="0"/>
    <n v="0"/>
    <n v="0"/>
    <s v="GERAÇÃO"/>
    <n v="34893"/>
    <n v="38"/>
    <n v="0"/>
    <n v="0"/>
    <n v="14.41"/>
    <n v="0"/>
    <n v="0"/>
    <n v="15.961981786190728"/>
    <m/>
    <m/>
    <n v="4323"/>
    <n v="0"/>
    <n v="4788.594535857218"/>
    <n v="0"/>
    <x v="3"/>
  </r>
  <r>
    <s v="Regular"/>
    <x v="1"/>
    <x v="1"/>
    <x v="3"/>
    <x v="0"/>
    <x v="1"/>
    <x v="15"/>
    <x v="1"/>
    <x v="0"/>
    <n v="4800"/>
    <n v="0"/>
    <n v="0"/>
    <n v="0"/>
    <n v="0"/>
    <n v="0"/>
    <n v="0"/>
    <s v="GERAÇÃO"/>
    <n v="43199"/>
    <n v="38"/>
    <n v="0"/>
    <n v="0"/>
    <n v="14.41"/>
    <n v="0"/>
    <n v="0"/>
    <n v="15.961981786190728"/>
    <m/>
    <m/>
    <n v="69168"/>
    <n v="0"/>
    <n v="76617.512573715489"/>
    <n v="0"/>
    <x v="3"/>
  </r>
  <r>
    <s v="Regular"/>
    <x v="1"/>
    <x v="1"/>
    <x v="3"/>
    <x v="0"/>
    <x v="1"/>
    <x v="16"/>
    <x v="1"/>
    <x v="0"/>
    <n v="200"/>
    <n v="100"/>
    <n v="0"/>
    <n v="0"/>
    <n v="0"/>
    <n v="0"/>
    <n v="0"/>
    <s v="GERAÇÃO"/>
    <m/>
    <n v="38"/>
    <n v="0"/>
    <n v="0"/>
    <n v="14.41"/>
    <n v="0"/>
    <n v="0"/>
    <n v="15.961981786190728"/>
    <m/>
    <m/>
    <n v="1441"/>
    <n v="0"/>
    <n v="1596.1981786190729"/>
    <n v="0"/>
    <x v="3"/>
  </r>
  <r>
    <s v="Regular"/>
    <x v="1"/>
    <x v="1"/>
    <x v="3"/>
    <x v="0"/>
    <x v="1"/>
    <x v="11"/>
    <x v="1"/>
    <x v="1"/>
    <n v="4500"/>
    <n v="2250"/>
    <n v="0"/>
    <n v="0"/>
    <n v="0"/>
    <n v="0"/>
    <n v="0"/>
    <s v="GERAÇÃO"/>
    <n v="29075"/>
    <n v="38"/>
    <n v="0"/>
    <n v="0"/>
    <n v="14.41"/>
    <n v="0"/>
    <n v="0"/>
    <n v="15.961981786190728"/>
    <m/>
    <m/>
    <n v="32422.5"/>
    <n v="0"/>
    <n v="35914.459018929141"/>
    <n v="0"/>
    <x v="3"/>
  </r>
  <r>
    <s v="Regular"/>
    <x v="1"/>
    <x v="1"/>
    <x v="3"/>
    <x v="0"/>
    <x v="1"/>
    <x v="12"/>
    <x v="1"/>
    <x v="1"/>
    <n v="3000"/>
    <n v="1500"/>
    <n v="0"/>
    <n v="0"/>
    <n v="0"/>
    <n v="0"/>
    <n v="0"/>
    <s v="GERAÇÃO"/>
    <m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3"/>
    <x v="1"/>
    <x v="1"/>
    <n v="3000"/>
    <n v="1500"/>
    <n v="0"/>
    <n v="0"/>
    <n v="0"/>
    <n v="0"/>
    <n v="0"/>
    <s v="GERAÇÃO"/>
    <n v="34891"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4"/>
    <x v="1"/>
    <x v="1"/>
    <n v="600"/>
    <n v="300"/>
    <n v="0"/>
    <n v="0"/>
    <n v="0"/>
    <n v="0"/>
    <n v="0"/>
    <s v="GERAÇÃO"/>
    <n v="34893"/>
    <n v="38"/>
    <n v="0"/>
    <n v="0"/>
    <n v="14.41"/>
    <n v="0"/>
    <n v="0"/>
    <n v="15.961981786190728"/>
    <m/>
    <m/>
    <n v="4323"/>
    <n v="0"/>
    <n v="4788.594535857218"/>
    <n v="0"/>
    <x v="3"/>
  </r>
  <r>
    <s v="Regular"/>
    <x v="1"/>
    <x v="1"/>
    <x v="3"/>
    <x v="0"/>
    <x v="1"/>
    <x v="15"/>
    <x v="1"/>
    <x v="1"/>
    <n v="4800"/>
    <n v="0"/>
    <n v="0"/>
    <n v="0"/>
    <n v="0"/>
    <n v="0"/>
    <n v="0"/>
    <s v="GERAÇÃO"/>
    <n v="43199"/>
    <n v="38"/>
    <n v="0"/>
    <n v="0"/>
    <n v="14.41"/>
    <n v="0"/>
    <n v="0"/>
    <n v="15.961981786190728"/>
    <m/>
    <m/>
    <n v="69168"/>
    <n v="0"/>
    <n v="76617.512573715489"/>
    <n v="0"/>
    <x v="3"/>
  </r>
  <r>
    <s v="Regular"/>
    <x v="1"/>
    <x v="1"/>
    <x v="3"/>
    <x v="0"/>
    <x v="1"/>
    <x v="16"/>
    <x v="1"/>
    <x v="1"/>
    <n v="200"/>
    <n v="100"/>
    <n v="0"/>
    <n v="0"/>
    <n v="0"/>
    <n v="0"/>
    <n v="0"/>
    <s v="GERAÇÃO"/>
    <m/>
    <n v="38"/>
    <n v="0"/>
    <n v="0"/>
    <n v="14.41"/>
    <n v="0"/>
    <n v="0"/>
    <n v="15.961981786190728"/>
    <m/>
    <m/>
    <n v="1441"/>
    <n v="0"/>
    <n v="1596.1981786190729"/>
    <n v="0"/>
    <x v="3"/>
  </r>
  <r>
    <s v="Regular"/>
    <x v="1"/>
    <x v="1"/>
    <x v="3"/>
    <x v="0"/>
    <x v="1"/>
    <x v="17"/>
    <x v="1"/>
    <x v="1"/>
    <n v="250"/>
    <n v="125"/>
    <n v="0"/>
    <n v="0"/>
    <n v="0"/>
    <n v="0"/>
    <n v="0"/>
    <s v="GERAÇÃO"/>
    <m/>
    <n v="38"/>
    <n v="0"/>
    <n v="0"/>
    <n v="14.41"/>
    <n v="0"/>
    <n v="0"/>
    <n v="15.961981786190728"/>
    <m/>
    <m/>
    <n v="1801.25"/>
    <n v="0"/>
    <n v="1995.2477232738411"/>
    <n v="0"/>
    <x v="3"/>
  </r>
  <r>
    <s v="Refaturamento - Regular"/>
    <x v="1"/>
    <x v="1"/>
    <x v="3"/>
    <x v="0"/>
    <x v="1"/>
    <x v="17"/>
    <x v="1"/>
    <x v="1"/>
    <n v="122"/>
    <n v="122"/>
    <n v="0"/>
    <n v="0"/>
    <n v="0"/>
    <n v="0"/>
    <n v="0"/>
    <s v="GERAÇÃO"/>
    <m/>
    <n v="38"/>
    <n v="0"/>
    <n v="0"/>
    <n v="14.41"/>
    <n v="0"/>
    <n v="0"/>
    <n v="15.961981786190728"/>
    <m/>
    <m/>
    <n v="0"/>
    <n v="0"/>
    <n v="0"/>
    <n v="0"/>
    <x v="3"/>
  </r>
  <r>
    <s v="Regular"/>
    <x v="1"/>
    <x v="1"/>
    <x v="3"/>
    <x v="0"/>
    <x v="1"/>
    <x v="18"/>
    <x v="1"/>
    <x v="1"/>
    <n v="250"/>
    <n v="125"/>
    <n v="0"/>
    <n v="0"/>
    <n v="0"/>
    <n v="0"/>
    <n v="0"/>
    <s v="GERAÇÃO"/>
    <n v="52044"/>
    <n v="38"/>
    <n v="0"/>
    <n v="0"/>
    <n v="14.41"/>
    <n v="0"/>
    <n v="0"/>
    <n v="15.961981786190728"/>
    <m/>
    <m/>
    <n v="1801.25"/>
    <n v="0"/>
    <n v="1995.2477232738411"/>
    <n v="0"/>
    <x v="3"/>
  </r>
  <r>
    <s v="Refaturamento - Regular"/>
    <x v="1"/>
    <x v="1"/>
    <x v="3"/>
    <x v="0"/>
    <x v="1"/>
    <x v="18"/>
    <x v="1"/>
    <x v="1"/>
    <n v="223"/>
    <n v="223"/>
    <n v="0"/>
    <n v="0"/>
    <n v="0"/>
    <n v="0"/>
    <n v="0"/>
    <s v="GERAÇÃO"/>
    <n v="52044"/>
    <n v="38"/>
    <n v="0"/>
    <n v="0"/>
    <n v="14.41"/>
    <n v="0"/>
    <n v="0"/>
    <n v="15.961981786190728"/>
    <m/>
    <m/>
    <n v="0"/>
    <n v="0"/>
    <n v="0"/>
    <n v="0"/>
    <x v="3"/>
  </r>
  <r>
    <s v="Regular"/>
    <x v="1"/>
    <x v="1"/>
    <x v="3"/>
    <x v="0"/>
    <x v="1"/>
    <x v="11"/>
    <x v="1"/>
    <x v="2"/>
    <n v="4500"/>
    <n v="2250"/>
    <n v="0"/>
    <n v="0"/>
    <n v="0"/>
    <n v="0"/>
    <n v="0"/>
    <s v="GERAÇÃO"/>
    <n v="29075"/>
    <n v="38"/>
    <n v="0"/>
    <n v="0"/>
    <n v="14.41"/>
    <n v="0"/>
    <n v="0"/>
    <n v="15.961981786190728"/>
    <m/>
    <m/>
    <n v="32422.5"/>
    <n v="0"/>
    <n v="35914.459018929141"/>
    <n v="0"/>
    <x v="3"/>
  </r>
  <r>
    <s v="Regular"/>
    <x v="1"/>
    <x v="1"/>
    <x v="3"/>
    <x v="0"/>
    <x v="1"/>
    <x v="12"/>
    <x v="1"/>
    <x v="2"/>
    <n v="3000"/>
    <n v="1500"/>
    <n v="0"/>
    <n v="0"/>
    <n v="0"/>
    <n v="0"/>
    <n v="0"/>
    <s v="GERAÇÃO"/>
    <m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3"/>
    <x v="1"/>
    <x v="2"/>
    <n v="3884"/>
    <n v="1942"/>
    <n v="0"/>
    <n v="0"/>
    <n v="0"/>
    <n v="0"/>
    <n v="0"/>
    <s v="GERAÇÃO"/>
    <n v="34891"/>
    <n v="38"/>
    <n v="0"/>
    <n v="0"/>
    <n v="14.41"/>
    <n v="0"/>
    <n v="0"/>
    <n v="15.961981786190728"/>
    <m/>
    <m/>
    <n v="27984.22"/>
    <n v="0"/>
    <n v="30998.168628782394"/>
    <n v="0"/>
    <x v="3"/>
  </r>
  <r>
    <s v="Regular"/>
    <x v="1"/>
    <x v="1"/>
    <x v="3"/>
    <x v="0"/>
    <x v="1"/>
    <x v="14"/>
    <x v="1"/>
    <x v="2"/>
    <n v="600"/>
    <n v="300"/>
    <n v="0"/>
    <n v="0"/>
    <n v="0"/>
    <n v="0"/>
    <n v="0"/>
    <s v="GERAÇÃO"/>
    <n v="34893"/>
    <n v="38"/>
    <n v="0"/>
    <n v="0"/>
    <n v="14.41"/>
    <n v="0"/>
    <n v="0"/>
    <n v="15.961981786190728"/>
    <m/>
    <m/>
    <n v="4323"/>
    <n v="0"/>
    <n v="4788.594535857218"/>
    <n v="0"/>
    <x v="3"/>
  </r>
  <r>
    <s v="Regular"/>
    <x v="1"/>
    <x v="1"/>
    <x v="3"/>
    <x v="0"/>
    <x v="1"/>
    <x v="15"/>
    <x v="1"/>
    <x v="2"/>
    <n v="4800"/>
    <n v="0"/>
    <n v="0"/>
    <n v="0"/>
    <n v="0"/>
    <n v="0"/>
    <n v="0"/>
    <s v="GERAÇÃO"/>
    <n v="43199"/>
    <n v="38"/>
    <n v="0"/>
    <n v="0"/>
    <n v="14.41"/>
    <n v="0"/>
    <n v="0"/>
    <n v="15.961981786190728"/>
    <m/>
    <m/>
    <n v="69168"/>
    <n v="0"/>
    <n v="76617.512573715489"/>
    <n v="0"/>
    <x v="3"/>
  </r>
  <r>
    <s v="Regular"/>
    <x v="1"/>
    <x v="1"/>
    <x v="3"/>
    <x v="0"/>
    <x v="1"/>
    <x v="16"/>
    <x v="1"/>
    <x v="2"/>
    <n v="200"/>
    <n v="100"/>
    <n v="0"/>
    <n v="0"/>
    <n v="0"/>
    <n v="0"/>
    <n v="0"/>
    <s v="GERAÇÃO"/>
    <m/>
    <n v="38"/>
    <n v="0"/>
    <n v="0"/>
    <n v="14.41"/>
    <n v="0"/>
    <n v="0"/>
    <n v="15.961981786190728"/>
    <m/>
    <m/>
    <n v="1441"/>
    <n v="0"/>
    <n v="1596.1981786190729"/>
    <n v="0"/>
    <x v="3"/>
  </r>
  <r>
    <s v="Regular"/>
    <x v="1"/>
    <x v="1"/>
    <x v="3"/>
    <x v="0"/>
    <x v="1"/>
    <x v="17"/>
    <x v="1"/>
    <x v="2"/>
    <n v="250"/>
    <n v="125"/>
    <n v="0"/>
    <n v="0"/>
    <n v="0"/>
    <n v="0"/>
    <n v="0"/>
    <s v="GERAÇÃO"/>
    <m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8"/>
    <x v="1"/>
    <x v="2"/>
    <n v="250"/>
    <n v="125"/>
    <n v="0"/>
    <n v="0"/>
    <n v="0"/>
    <n v="0"/>
    <n v="0"/>
    <s v="GERAÇÃO"/>
    <n v="52044"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1"/>
    <x v="1"/>
    <x v="3"/>
    <n v="4500"/>
    <n v="2250"/>
    <n v="0"/>
    <n v="0"/>
    <n v="0"/>
    <n v="0"/>
    <n v="0"/>
    <s v="GERAÇÃO"/>
    <n v="29075"/>
    <n v="38"/>
    <n v="0"/>
    <n v="0"/>
    <n v="14.41"/>
    <n v="0"/>
    <n v="0"/>
    <n v="15.961981786190728"/>
    <m/>
    <m/>
    <n v="32422.5"/>
    <n v="0"/>
    <n v="35914.459018929141"/>
    <n v="0"/>
    <x v="3"/>
  </r>
  <r>
    <s v="Regular"/>
    <x v="1"/>
    <x v="1"/>
    <x v="3"/>
    <x v="0"/>
    <x v="1"/>
    <x v="12"/>
    <x v="1"/>
    <x v="3"/>
    <n v="3000"/>
    <n v="1500"/>
    <n v="0"/>
    <n v="0"/>
    <n v="0"/>
    <n v="0"/>
    <n v="0"/>
    <s v="GERAÇÃO"/>
    <m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3"/>
    <x v="1"/>
    <x v="3"/>
    <n v="4641"/>
    <n v="2320.5"/>
    <n v="0"/>
    <n v="0"/>
    <n v="0"/>
    <n v="0"/>
    <n v="0"/>
    <s v="GERAÇÃO"/>
    <n v="34891"/>
    <n v="38"/>
    <n v="0"/>
    <n v="0"/>
    <n v="14.41"/>
    <n v="0"/>
    <n v="0"/>
    <n v="15.961981786190728"/>
    <m/>
    <m/>
    <n v="33438.404999999999"/>
    <n v="0"/>
    <n v="37039.778734855587"/>
    <n v="0"/>
    <x v="3"/>
  </r>
  <r>
    <s v="Regular"/>
    <x v="1"/>
    <x v="1"/>
    <x v="3"/>
    <x v="0"/>
    <x v="1"/>
    <x v="14"/>
    <x v="1"/>
    <x v="3"/>
    <n v="1025"/>
    <n v="512.5"/>
    <n v="0"/>
    <n v="0"/>
    <n v="0"/>
    <n v="0"/>
    <n v="0"/>
    <s v="GERAÇÃO"/>
    <n v="34893"/>
    <n v="38"/>
    <n v="0"/>
    <n v="0"/>
    <n v="14.41"/>
    <n v="0"/>
    <n v="0"/>
    <n v="15.961981786190728"/>
    <m/>
    <m/>
    <n v="7385.125"/>
    <n v="0"/>
    <n v="8180.5156654227485"/>
    <n v="0"/>
    <x v="3"/>
  </r>
  <r>
    <s v="Refaturamento - Regular"/>
    <x v="1"/>
    <x v="1"/>
    <x v="3"/>
    <x v="0"/>
    <x v="1"/>
    <x v="14"/>
    <x v="1"/>
    <x v="3"/>
    <n v="297"/>
    <n v="297"/>
    <n v="0"/>
    <n v="0"/>
    <n v="0"/>
    <n v="0"/>
    <n v="0"/>
    <s v="GERAÇÃO"/>
    <n v="34893"/>
    <n v="38"/>
    <n v="0"/>
    <n v="0"/>
    <n v="14.41"/>
    <n v="0"/>
    <n v="0"/>
    <n v="15.961981786190728"/>
    <m/>
    <m/>
    <n v="0"/>
    <n v="0"/>
    <n v="0"/>
    <n v="0"/>
    <x v="3"/>
  </r>
  <r>
    <s v="Regular"/>
    <x v="1"/>
    <x v="1"/>
    <x v="3"/>
    <x v="0"/>
    <x v="1"/>
    <x v="15"/>
    <x v="1"/>
    <x v="3"/>
    <n v="4800"/>
    <n v="0"/>
    <n v="0"/>
    <n v="0"/>
    <n v="0"/>
    <n v="0"/>
    <n v="0"/>
    <s v="GERAÇÃO"/>
    <n v="43199"/>
    <n v="38"/>
    <n v="0"/>
    <n v="0"/>
    <n v="14.41"/>
    <n v="0"/>
    <n v="0"/>
    <n v="15.961981786190728"/>
    <m/>
    <m/>
    <n v="69168"/>
    <n v="0"/>
    <n v="76617.512573715489"/>
    <n v="0"/>
    <x v="3"/>
  </r>
  <r>
    <s v="Regular"/>
    <x v="1"/>
    <x v="1"/>
    <x v="3"/>
    <x v="0"/>
    <x v="1"/>
    <x v="16"/>
    <x v="1"/>
    <x v="3"/>
    <n v="1645"/>
    <n v="822.5"/>
    <n v="0"/>
    <n v="0"/>
    <n v="0"/>
    <n v="0"/>
    <n v="0"/>
    <s v="GERAÇÃO"/>
    <m/>
    <n v="38"/>
    <n v="0"/>
    <n v="0"/>
    <n v="14.41"/>
    <n v="0"/>
    <n v="0"/>
    <n v="15.961981786190728"/>
    <m/>
    <m/>
    <n v="11852.225"/>
    <n v="0"/>
    <n v="13128.730019141874"/>
    <n v="0"/>
    <x v="3"/>
  </r>
  <r>
    <s v="Refaturamento - Regular"/>
    <x v="1"/>
    <x v="1"/>
    <x v="3"/>
    <x v="0"/>
    <x v="1"/>
    <x v="16"/>
    <x v="1"/>
    <x v="3"/>
    <n v="270"/>
    <n v="270"/>
    <n v="0"/>
    <n v="0"/>
    <n v="0"/>
    <n v="0"/>
    <n v="0"/>
    <s v="GERAÇÃO"/>
    <m/>
    <n v="38"/>
    <n v="0"/>
    <n v="0"/>
    <n v="14.41"/>
    <n v="0"/>
    <n v="0"/>
    <n v="15.961981786190728"/>
    <m/>
    <m/>
    <n v="0"/>
    <n v="0"/>
    <n v="0"/>
    <n v="0"/>
    <x v="3"/>
  </r>
  <r>
    <s v="Regular"/>
    <x v="1"/>
    <x v="1"/>
    <x v="3"/>
    <x v="0"/>
    <x v="1"/>
    <x v="17"/>
    <x v="1"/>
    <x v="3"/>
    <n v="250"/>
    <n v="125"/>
    <n v="0"/>
    <n v="0"/>
    <n v="0"/>
    <n v="0"/>
    <n v="0"/>
    <s v="GERAÇÃO"/>
    <m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8"/>
    <x v="1"/>
    <x v="3"/>
    <n v="250"/>
    <n v="125"/>
    <n v="0"/>
    <n v="0"/>
    <n v="0"/>
    <n v="0"/>
    <n v="0"/>
    <s v="GERAÇÃO"/>
    <n v="52044"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1"/>
    <x v="1"/>
    <x v="4"/>
    <n v="4500"/>
    <n v="2250"/>
    <n v="0"/>
    <n v="0"/>
    <n v="0"/>
    <n v="0"/>
    <n v="0"/>
    <s v="GERAÇÃO"/>
    <n v="29075"/>
    <n v="38"/>
    <n v="0"/>
    <n v="0"/>
    <n v="14.41"/>
    <n v="0"/>
    <n v="0"/>
    <n v="15.961981786190728"/>
    <m/>
    <m/>
    <n v="32422.5"/>
    <n v="0"/>
    <n v="35914.459018929141"/>
    <n v="0"/>
    <x v="3"/>
  </r>
  <r>
    <s v="Regular"/>
    <x v="1"/>
    <x v="1"/>
    <x v="3"/>
    <x v="0"/>
    <x v="1"/>
    <x v="12"/>
    <x v="1"/>
    <x v="4"/>
    <n v="3000"/>
    <n v="1500"/>
    <n v="0"/>
    <n v="0"/>
    <n v="0"/>
    <n v="0"/>
    <n v="0"/>
    <s v="GERAÇÃO"/>
    <m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3"/>
    <x v="1"/>
    <x v="4"/>
    <n v="4702"/>
    <n v="2351"/>
    <n v="0"/>
    <n v="0"/>
    <n v="0"/>
    <n v="0"/>
    <n v="0"/>
    <s v="GERAÇÃO"/>
    <n v="34891"/>
    <n v="38"/>
    <n v="0"/>
    <n v="0"/>
    <n v="14.41"/>
    <n v="0"/>
    <n v="0"/>
    <n v="15.961981786190728"/>
    <m/>
    <m/>
    <n v="33877.910000000003"/>
    <n v="0"/>
    <n v="37526.619179334404"/>
    <n v="0"/>
    <x v="3"/>
  </r>
  <r>
    <s v="Regular"/>
    <x v="1"/>
    <x v="1"/>
    <x v="3"/>
    <x v="0"/>
    <x v="1"/>
    <x v="14"/>
    <x v="1"/>
    <x v="4"/>
    <n v="600"/>
    <n v="300"/>
    <n v="0"/>
    <n v="0"/>
    <n v="0"/>
    <n v="0"/>
    <n v="0"/>
    <s v="GERAÇÃO"/>
    <n v="34893"/>
    <n v="38"/>
    <n v="0"/>
    <n v="0"/>
    <n v="14.41"/>
    <n v="0"/>
    <n v="0"/>
    <n v="15.961981786190728"/>
    <m/>
    <m/>
    <n v="4323"/>
    <n v="0"/>
    <n v="4788.594535857218"/>
    <n v="0"/>
    <x v="3"/>
  </r>
  <r>
    <s v="Refaturamento - Regular"/>
    <x v="1"/>
    <x v="1"/>
    <x v="3"/>
    <x v="0"/>
    <x v="1"/>
    <x v="14"/>
    <x v="1"/>
    <x v="4"/>
    <n v="233"/>
    <n v="233"/>
    <n v="0"/>
    <n v="0"/>
    <n v="0"/>
    <n v="0"/>
    <n v="0"/>
    <s v="GERAÇÃO"/>
    <n v="34893"/>
    <n v="38"/>
    <n v="0"/>
    <n v="0"/>
    <n v="14.41"/>
    <n v="0"/>
    <n v="0"/>
    <n v="15.961981786190728"/>
    <m/>
    <m/>
    <n v="0"/>
    <n v="0"/>
    <n v="0"/>
    <n v="0"/>
    <x v="3"/>
  </r>
  <r>
    <s v="Regular"/>
    <x v="1"/>
    <x v="1"/>
    <x v="3"/>
    <x v="0"/>
    <x v="1"/>
    <x v="15"/>
    <x v="1"/>
    <x v="4"/>
    <n v="4800"/>
    <n v="0"/>
    <n v="0"/>
    <n v="0"/>
    <n v="0"/>
    <n v="0"/>
    <n v="0"/>
    <s v="GERAÇÃO"/>
    <n v="43199"/>
    <n v="38"/>
    <n v="0"/>
    <n v="0"/>
    <n v="14.41"/>
    <n v="0"/>
    <n v="0"/>
    <n v="15.961981786190728"/>
    <m/>
    <m/>
    <n v="69168"/>
    <n v="0"/>
    <n v="76617.512573715489"/>
    <n v="0"/>
    <x v="3"/>
  </r>
  <r>
    <s v="Regular"/>
    <x v="1"/>
    <x v="1"/>
    <x v="3"/>
    <x v="0"/>
    <x v="1"/>
    <x v="16"/>
    <x v="1"/>
    <x v="4"/>
    <n v="2400"/>
    <n v="1200"/>
    <n v="0"/>
    <n v="0"/>
    <n v="0"/>
    <n v="0"/>
    <n v="0"/>
    <s v="GERAÇÃO"/>
    <m/>
    <n v="38"/>
    <n v="0"/>
    <n v="0"/>
    <n v="14.41"/>
    <n v="0"/>
    <n v="0"/>
    <n v="15.961981786190728"/>
    <m/>
    <m/>
    <n v="17292"/>
    <n v="0"/>
    <n v="19154.378143428872"/>
    <n v="0"/>
    <x v="3"/>
  </r>
  <r>
    <s v="Regular"/>
    <x v="1"/>
    <x v="1"/>
    <x v="3"/>
    <x v="0"/>
    <x v="1"/>
    <x v="17"/>
    <x v="1"/>
    <x v="4"/>
    <n v="250"/>
    <n v="125"/>
    <n v="0"/>
    <n v="0"/>
    <n v="0"/>
    <n v="0"/>
    <n v="0"/>
    <s v="GERAÇÃO"/>
    <m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8"/>
    <x v="1"/>
    <x v="4"/>
    <n v="250"/>
    <n v="125"/>
    <n v="0"/>
    <n v="0"/>
    <n v="0"/>
    <n v="0"/>
    <n v="0"/>
    <s v="GERAÇÃO"/>
    <n v="52044"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1"/>
    <x v="1"/>
    <x v="5"/>
    <n v="4500"/>
    <n v="2250"/>
    <n v="0"/>
    <n v="0"/>
    <n v="0"/>
    <n v="0"/>
    <n v="0"/>
    <s v="GERAÇÃO"/>
    <n v="29075"/>
    <n v="38"/>
    <n v="0"/>
    <n v="0"/>
    <n v="14.41"/>
    <n v="0"/>
    <n v="0"/>
    <n v="15.961981786190728"/>
    <m/>
    <m/>
    <n v="32422.5"/>
    <n v="0"/>
    <n v="35914.459018929141"/>
    <n v="0"/>
    <x v="3"/>
  </r>
  <r>
    <s v="Regular"/>
    <x v="1"/>
    <x v="1"/>
    <x v="3"/>
    <x v="0"/>
    <x v="1"/>
    <x v="12"/>
    <x v="1"/>
    <x v="5"/>
    <n v="3000"/>
    <n v="1500"/>
    <n v="0"/>
    <n v="0"/>
    <n v="0"/>
    <n v="0"/>
    <n v="0"/>
    <s v="GERAÇÃO"/>
    <m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3"/>
    <x v="1"/>
    <x v="5"/>
    <n v="4689"/>
    <n v="2344.5"/>
    <n v="0"/>
    <n v="0"/>
    <n v="0"/>
    <n v="0"/>
    <n v="0"/>
    <s v="GERAÇÃO"/>
    <n v="34891"/>
    <n v="38"/>
    <n v="0"/>
    <n v="0"/>
    <n v="14.41"/>
    <n v="0"/>
    <n v="0"/>
    <n v="15.961981786190728"/>
    <m/>
    <m/>
    <n v="33784.245000000003"/>
    <n v="0"/>
    <n v="37422.866297724162"/>
    <n v="0"/>
    <x v="3"/>
  </r>
  <r>
    <s v="Regular"/>
    <x v="1"/>
    <x v="1"/>
    <x v="3"/>
    <x v="0"/>
    <x v="1"/>
    <x v="14"/>
    <x v="1"/>
    <x v="5"/>
    <n v="600"/>
    <n v="300"/>
    <n v="0"/>
    <n v="0"/>
    <n v="0"/>
    <n v="0"/>
    <n v="0"/>
    <s v="GERAÇÃO"/>
    <n v="34893"/>
    <n v="38"/>
    <n v="0"/>
    <n v="0"/>
    <n v="14.41"/>
    <n v="0"/>
    <n v="0"/>
    <n v="15.961981786190728"/>
    <m/>
    <m/>
    <n v="4323"/>
    <n v="0"/>
    <n v="4788.594535857218"/>
    <n v="0"/>
    <x v="3"/>
  </r>
  <r>
    <s v="Refaturamento - Regular"/>
    <x v="1"/>
    <x v="1"/>
    <x v="3"/>
    <x v="0"/>
    <x v="1"/>
    <x v="14"/>
    <x v="1"/>
    <x v="5"/>
    <n v="211"/>
    <n v="211"/>
    <n v="0"/>
    <n v="0"/>
    <n v="0"/>
    <n v="0"/>
    <n v="0"/>
    <s v="GERAÇÃO"/>
    <n v="34893"/>
    <n v="38"/>
    <n v="0"/>
    <n v="0"/>
    <n v="14.41"/>
    <n v="0"/>
    <n v="0"/>
    <n v="15.961981786190728"/>
    <m/>
    <m/>
    <n v="0"/>
    <n v="0"/>
    <n v="0"/>
    <n v="0"/>
    <x v="3"/>
  </r>
  <r>
    <s v="Regular"/>
    <x v="1"/>
    <x v="1"/>
    <x v="3"/>
    <x v="0"/>
    <x v="1"/>
    <x v="15"/>
    <x v="1"/>
    <x v="5"/>
    <n v="4800"/>
    <n v="0"/>
    <n v="0"/>
    <n v="0"/>
    <n v="0"/>
    <n v="0"/>
    <n v="0"/>
    <s v="GERAÇÃO"/>
    <n v="43199"/>
    <n v="38"/>
    <n v="0"/>
    <n v="0"/>
    <n v="14.41"/>
    <n v="0"/>
    <n v="0"/>
    <n v="15.961981786190728"/>
    <m/>
    <m/>
    <n v="69168"/>
    <n v="0"/>
    <n v="76617.512573715489"/>
    <n v="0"/>
    <x v="3"/>
  </r>
  <r>
    <s v="Regular"/>
    <x v="1"/>
    <x v="1"/>
    <x v="3"/>
    <x v="0"/>
    <x v="1"/>
    <x v="16"/>
    <x v="1"/>
    <x v="5"/>
    <n v="2400"/>
    <n v="1200"/>
    <n v="0"/>
    <n v="0"/>
    <n v="0"/>
    <n v="0"/>
    <n v="0"/>
    <s v="GERAÇÃO"/>
    <m/>
    <n v="38"/>
    <n v="0"/>
    <n v="0"/>
    <n v="14.41"/>
    <n v="0"/>
    <n v="0"/>
    <n v="15.961981786190728"/>
    <m/>
    <m/>
    <n v="17292"/>
    <n v="0"/>
    <n v="19154.378143428872"/>
    <n v="0"/>
    <x v="3"/>
  </r>
  <r>
    <s v="Regular"/>
    <x v="1"/>
    <x v="1"/>
    <x v="3"/>
    <x v="0"/>
    <x v="1"/>
    <x v="17"/>
    <x v="1"/>
    <x v="5"/>
    <n v="250"/>
    <n v="125"/>
    <n v="0"/>
    <n v="0"/>
    <n v="0"/>
    <n v="0"/>
    <n v="0"/>
    <s v="GERAÇÃO"/>
    <m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8"/>
    <x v="1"/>
    <x v="5"/>
    <n v="250"/>
    <n v="125"/>
    <n v="0"/>
    <n v="0"/>
    <n v="0"/>
    <n v="0"/>
    <n v="0"/>
    <s v="GERAÇÃO"/>
    <n v="52044"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1"/>
    <x v="1"/>
    <x v="6"/>
    <n v="4500"/>
    <n v="2250"/>
    <n v="0"/>
    <n v="0"/>
    <n v="0"/>
    <n v="0"/>
    <n v="0"/>
    <s v="GERAÇÃO"/>
    <n v="29075"/>
    <n v="38"/>
    <n v="0"/>
    <n v="0"/>
    <n v="14.41"/>
    <n v="0"/>
    <n v="0"/>
    <n v="15.961981786190728"/>
    <m/>
    <m/>
    <n v="32422.5"/>
    <n v="0"/>
    <n v="35914.459018929141"/>
    <n v="0"/>
    <x v="3"/>
  </r>
  <r>
    <s v="Regular"/>
    <x v="1"/>
    <x v="1"/>
    <x v="3"/>
    <x v="0"/>
    <x v="1"/>
    <x v="12"/>
    <x v="1"/>
    <x v="6"/>
    <n v="3000"/>
    <n v="1500"/>
    <n v="0"/>
    <n v="0"/>
    <n v="0"/>
    <n v="0"/>
    <n v="0"/>
    <s v="GERAÇÃO"/>
    <m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3"/>
    <x v="1"/>
    <x v="6"/>
    <n v="3000"/>
    <n v="1500"/>
    <n v="0"/>
    <n v="0"/>
    <n v="0"/>
    <n v="0"/>
    <n v="0"/>
    <s v="GERAÇÃO"/>
    <n v="34891"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4"/>
    <x v="1"/>
    <x v="6"/>
    <n v="600"/>
    <n v="300"/>
    <n v="0"/>
    <n v="0"/>
    <n v="0"/>
    <n v="0"/>
    <n v="0"/>
    <s v="GERAÇÃO"/>
    <n v="34893"/>
    <n v="38"/>
    <n v="0"/>
    <n v="0"/>
    <n v="14.41"/>
    <n v="0"/>
    <n v="0"/>
    <n v="15.961981786190728"/>
    <m/>
    <m/>
    <n v="4323"/>
    <n v="0"/>
    <n v="4788.594535857218"/>
    <n v="0"/>
    <x v="3"/>
  </r>
  <r>
    <s v="Regular"/>
    <x v="1"/>
    <x v="1"/>
    <x v="3"/>
    <x v="0"/>
    <x v="1"/>
    <x v="15"/>
    <x v="1"/>
    <x v="6"/>
    <n v="4800"/>
    <n v="0"/>
    <n v="0"/>
    <n v="0"/>
    <n v="0"/>
    <n v="0"/>
    <n v="0"/>
    <s v="GERAÇÃO"/>
    <n v="43199"/>
    <n v="38"/>
    <n v="0"/>
    <n v="0"/>
    <n v="14.41"/>
    <n v="0"/>
    <n v="0"/>
    <n v="15.961981786190728"/>
    <m/>
    <m/>
    <n v="69168"/>
    <n v="0"/>
    <n v="76617.512573715489"/>
    <n v="0"/>
    <x v="3"/>
  </r>
  <r>
    <s v="Regular"/>
    <x v="1"/>
    <x v="1"/>
    <x v="3"/>
    <x v="0"/>
    <x v="1"/>
    <x v="16"/>
    <x v="1"/>
    <x v="6"/>
    <n v="2400"/>
    <n v="1200"/>
    <n v="0"/>
    <n v="0"/>
    <n v="0"/>
    <n v="0"/>
    <n v="0"/>
    <s v="GERAÇÃO"/>
    <m/>
    <n v="38"/>
    <n v="0"/>
    <n v="0"/>
    <n v="14.41"/>
    <n v="0"/>
    <n v="0"/>
    <n v="15.961981786190728"/>
    <m/>
    <m/>
    <n v="17292"/>
    <n v="0"/>
    <n v="19154.378143428872"/>
    <n v="0"/>
    <x v="3"/>
  </r>
  <r>
    <s v="Regular"/>
    <x v="1"/>
    <x v="1"/>
    <x v="3"/>
    <x v="0"/>
    <x v="1"/>
    <x v="17"/>
    <x v="1"/>
    <x v="6"/>
    <n v="250"/>
    <n v="125"/>
    <n v="0"/>
    <n v="0"/>
    <n v="0"/>
    <n v="0"/>
    <n v="0"/>
    <s v="GERAÇÃO"/>
    <m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8"/>
    <x v="1"/>
    <x v="6"/>
    <n v="250"/>
    <n v="125"/>
    <n v="0"/>
    <n v="0"/>
    <n v="0"/>
    <n v="0"/>
    <n v="0"/>
    <s v="GERAÇÃO"/>
    <n v="52044"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1"/>
    <x v="1"/>
    <x v="7"/>
    <n v="4500"/>
    <n v="2250"/>
    <n v="0"/>
    <n v="0"/>
    <n v="0"/>
    <n v="0"/>
    <n v="0"/>
    <s v="GERAÇÃO"/>
    <n v="29075"/>
    <n v="38"/>
    <n v="0"/>
    <n v="0"/>
    <n v="14.41"/>
    <n v="0"/>
    <n v="0"/>
    <n v="15.961981786190728"/>
    <m/>
    <m/>
    <n v="32422.5"/>
    <n v="0"/>
    <n v="35914.459018929141"/>
    <n v="0"/>
    <x v="3"/>
  </r>
  <r>
    <s v="Regular"/>
    <x v="1"/>
    <x v="1"/>
    <x v="3"/>
    <x v="0"/>
    <x v="1"/>
    <x v="12"/>
    <x v="1"/>
    <x v="7"/>
    <n v="3000"/>
    <n v="1500"/>
    <n v="0"/>
    <n v="0"/>
    <n v="0"/>
    <n v="0"/>
    <n v="0"/>
    <s v="GERAÇÃO"/>
    <m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3"/>
    <x v="1"/>
    <x v="7"/>
    <n v="3000"/>
    <n v="1500"/>
    <n v="0"/>
    <n v="0"/>
    <n v="0"/>
    <n v="0"/>
    <n v="0"/>
    <s v="GERAÇÃO"/>
    <n v="34891"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4"/>
    <x v="1"/>
    <x v="7"/>
    <n v="600"/>
    <n v="300"/>
    <n v="0"/>
    <n v="0"/>
    <n v="0"/>
    <n v="0"/>
    <n v="0"/>
    <s v="GERAÇÃO"/>
    <n v="34893"/>
    <n v="38"/>
    <n v="0"/>
    <n v="0"/>
    <n v="14.41"/>
    <n v="0"/>
    <n v="0"/>
    <n v="15.961981786190728"/>
    <m/>
    <m/>
    <n v="4323"/>
    <n v="0"/>
    <n v="4788.594535857218"/>
    <n v="0"/>
    <x v="3"/>
  </r>
  <r>
    <s v="Regular"/>
    <x v="1"/>
    <x v="1"/>
    <x v="3"/>
    <x v="0"/>
    <x v="1"/>
    <x v="15"/>
    <x v="1"/>
    <x v="7"/>
    <n v="4800"/>
    <n v="0"/>
    <n v="0"/>
    <n v="0"/>
    <n v="0"/>
    <n v="0"/>
    <n v="0"/>
    <s v="GERAÇÃO"/>
    <n v="43199"/>
    <n v="38"/>
    <n v="0"/>
    <n v="0"/>
    <n v="14.41"/>
    <n v="0"/>
    <n v="0"/>
    <n v="15.961981786190728"/>
    <m/>
    <m/>
    <n v="69168"/>
    <n v="0"/>
    <n v="76617.512573715489"/>
    <n v="0"/>
    <x v="3"/>
  </r>
  <r>
    <s v="Regular"/>
    <x v="1"/>
    <x v="1"/>
    <x v="3"/>
    <x v="0"/>
    <x v="1"/>
    <x v="16"/>
    <x v="1"/>
    <x v="7"/>
    <n v="2400"/>
    <n v="1200"/>
    <n v="0"/>
    <n v="0"/>
    <n v="0"/>
    <n v="0"/>
    <n v="0"/>
    <s v="GERAÇÃO"/>
    <m/>
    <n v="38"/>
    <n v="0"/>
    <n v="0"/>
    <n v="14.41"/>
    <n v="0"/>
    <n v="0"/>
    <n v="15.961981786190728"/>
    <m/>
    <m/>
    <n v="17292"/>
    <n v="0"/>
    <n v="19154.378143428872"/>
    <n v="0"/>
    <x v="3"/>
  </r>
  <r>
    <s v="Regular"/>
    <x v="1"/>
    <x v="1"/>
    <x v="3"/>
    <x v="0"/>
    <x v="1"/>
    <x v="17"/>
    <x v="1"/>
    <x v="7"/>
    <n v="250"/>
    <n v="125"/>
    <n v="0"/>
    <n v="0"/>
    <n v="0"/>
    <n v="0"/>
    <n v="0"/>
    <s v="GERAÇÃO"/>
    <m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8"/>
    <x v="1"/>
    <x v="7"/>
    <n v="250"/>
    <n v="125"/>
    <n v="0"/>
    <n v="0"/>
    <n v="0"/>
    <n v="0"/>
    <n v="0"/>
    <s v="GERAÇÃO"/>
    <n v="52044"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1"/>
    <x v="1"/>
    <x v="8"/>
    <n v="4500"/>
    <n v="2250"/>
    <n v="0"/>
    <n v="0"/>
    <n v="0"/>
    <n v="0"/>
    <n v="0"/>
    <s v="GERAÇÃO"/>
    <n v="29075"/>
    <n v="38"/>
    <n v="0"/>
    <n v="0"/>
    <n v="14.41"/>
    <n v="0"/>
    <n v="0"/>
    <n v="15.961981786190728"/>
    <m/>
    <m/>
    <n v="32422.5"/>
    <n v="0"/>
    <n v="35914.459018929141"/>
    <n v="0"/>
    <x v="3"/>
  </r>
  <r>
    <s v="Regular"/>
    <x v="1"/>
    <x v="1"/>
    <x v="3"/>
    <x v="0"/>
    <x v="1"/>
    <x v="12"/>
    <x v="1"/>
    <x v="8"/>
    <n v="3000"/>
    <n v="1500"/>
    <n v="0"/>
    <n v="0"/>
    <n v="0"/>
    <n v="0"/>
    <n v="0"/>
    <s v="GERAÇÃO"/>
    <m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3"/>
    <x v="1"/>
    <x v="8"/>
    <n v="3000"/>
    <n v="1500"/>
    <n v="0"/>
    <n v="0"/>
    <n v="0"/>
    <n v="0"/>
    <n v="0"/>
    <s v="GERAÇÃO"/>
    <n v="34891"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4"/>
    <x v="1"/>
    <x v="8"/>
    <n v="600"/>
    <n v="300"/>
    <n v="0"/>
    <n v="0"/>
    <n v="0"/>
    <n v="0"/>
    <n v="0"/>
    <s v="GERAÇÃO"/>
    <n v="34893"/>
    <n v="38"/>
    <n v="0"/>
    <n v="0"/>
    <n v="14.41"/>
    <n v="0"/>
    <n v="0"/>
    <n v="15.961981786190728"/>
    <m/>
    <m/>
    <n v="4323"/>
    <n v="0"/>
    <n v="4788.594535857218"/>
    <n v="0"/>
    <x v="3"/>
  </r>
  <r>
    <s v="Regular"/>
    <x v="1"/>
    <x v="1"/>
    <x v="3"/>
    <x v="0"/>
    <x v="1"/>
    <x v="15"/>
    <x v="1"/>
    <x v="8"/>
    <n v="4800"/>
    <n v="0"/>
    <n v="0"/>
    <n v="0"/>
    <n v="0"/>
    <n v="0"/>
    <n v="0"/>
    <s v="GERAÇÃO"/>
    <n v="43199"/>
    <n v="38"/>
    <n v="0"/>
    <n v="0"/>
    <n v="14.41"/>
    <n v="0"/>
    <n v="0"/>
    <n v="15.961981786190728"/>
    <m/>
    <m/>
    <n v="69168"/>
    <n v="0"/>
    <n v="76617.512573715489"/>
    <n v="0"/>
    <x v="3"/>
  </r>
  <r>
    <s v="Regular"/>
    <x v="1"/>
    <x v="1"/>
    <x v="3"/>
    <x v="0"/>
    <x v="1"/>
    <x v="16"/>
    <x v="1"/>
    <x v="8"/>
    <n v="2400"/>
    <n v="1200"/>
    <n v="0"/>
    <n v="0"/>
    <n v="0"/>
    <n v="0"/>
    <n v="0"/>
    <s v="GERAÇÃO"/>
    <m/>
    <n v="38"/>
    <n v="0"/>
    <n v="0"/>
    <n v="14.41"/>
    <n v="0"/>
    <n v="0"/>
    <n v="15.961981786190728"/>
    <m/>
    <m/>
    <n v="17292"/>
    <n v="0"/>
    <n v="19154.378143428872"/>
    <n v="0"/>
    <x v="3"/>
  </r>
  <r>
    <s v="Regular"/>
    <x v="1"/>
    <x v="1"/>
    <x v="3"/>
    <x v="0"/>
    <x v="1"/>
    <x v="17"/>
    <x v="1"/>
    <x v="8"/>
    <n v="250"/>
    <n v="125"/>
    <n v="0"/>
    <n v="0"/>
    <n v="0"/>
    <n v="0"/>
    <n v="0"/>
    <s v="GERAÇÃO"/>
    <m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8"/>
    <x v="1"/>
    <x v="8"/>
    <n v="250"/>
    <n v="125"/>
    <n v="0"/>
    <n v="0"/>
    <n v="0"/>
    <n v="0"/>
    <n v="0"/>
    <s v="GERAÇÃO"/>
    <n v="52044"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1"/>
    <x v="1"/>
    <x v="9"/>
    <n v="4500"/>
    <n v="2250"/>
    <n v="0"/>
    <n v="0"/>
    <n v="0"/>
    <n v="0"/>
    <n v="0"/>
    <s v="GERAÇÃO"/>
    <n v="29075"/>
    <n v="38"/>
    <n v="0"/>
    <n v="0"/>
    <n v="14.41"/>
    <n v="0"/>
    <n v="0"/>
    <n v="15.961981786190728"/>
    <m/>
    <m/>
    <n v="32422.5"/>
    <n v="0"/>
    <n v="35914.459018929141"/>
    <n v="0"/>
    <x v="3"/>
  </r>
  <r>
    <s v="Regular"/>
    <x v="1"/>
    <x v="1"/>
    <x v="3"/>
    <x v="0"/>
    <x v="1"/>
    <x v="12"/>
    <x v="1"/>
    <x v="9"/>
    <n v="3000"/>
    <n v="1500"/>
    <n v="0"/>
    <n v="0"/>
    <n v="0"/>
    <n v="0"/>
    <n v="0"/>
    <s v="GERAÇÃO"/>
    <m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3"/>
    <x v="1"/>
    <x v="9"/>
    <n v="3000"/>
    <n v="1500"/>
    <n v="0"/>
    <n v="0"/>
    <n v="0"/>
    <n v="0"/>
    <n v="0"/>
    <s v="GERAÇÃO"/>
    <n v="34891"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4"/>
    <x v="1"/>
    <x v="9"/>
    <n v="600"/>
    <n v="300"/>
    <n v="0"/>
    <n v="0"/>
    <n v="0"/>
    <n v="0"/>
    <n v="0"/>
    <s v="GERAÇÃO"/>
    <n v="34893"/>
    <n v="38"/>
    <n v="0"/>
    <n v="0"/>
    <n v="14.41"/>
    <n v="0"/>
    <n v="0"/>
    <n v="15.961981786190728"/>
    <m/>
    <m/>
    <n v="4323"/>
    <n v="0"/>
    <n v="4788.594535857218"/>
    <n v="0"/>
    <x v="3"/>
  </r>
  <r>
    <s v="Regular"/>
    <x v="1"/>
    <x v="1"/>
    <x v="3"/>
    <x v="0"/>
    <x v="1"/>
    <x v="15"/>
    <x v="1"/>
    <x v="9"/>
    <n v="4800"/>
    <n v="0"/>
    <n v="0"/>
    <n v="0"/>
    <n v="0"/>
    <n v="0"/>
    <n v="0"/>
    <s v="GERAÇÃO"/>
    <n v="43199"/>
    <n v="38"/>
    <n v="0"/>
    <n v="0"/>
    <n v="14.41"/>
    <n v="0"/>
    <n v="0"/>
    <n v="15.961981786190728"/>
    <m/>
    <m/>
    <n v="69168"/>
    <n v="0"/>
    <n v="76617.512573715489"/>
    <n v="0"/>
    <x v="3"/>
  </r>
  <r>
    <s v="Regular"/>
    <x v="1"/>
    <x v="1"/>
    <x v="3"/>
    <x v="0"/>
    <x v="1"/>
    <x v="16"/>
    <x v="1"/>
    <x v="9"/>
    <n v="2400"/>
    <n v="1200"/>
    <n v="0"/>
    <n v="0"/>
    <n v="0"/>
    <n v="0"/>
    <n v="0"/>
    <s v="GERAÇÃO"/>
    <m/>
    <n v="38"/>
    <n v="0"/>
    <n v="0"/>
    <n v="14.41"/>
    <n v="0"/>
    <n v="0"/>
    <n v="15.961981786190728"/>
    <m/>
    <m/>
    <n v="17292"/>
    <n v="0"/>
    <n v="19154.378143428872"/>
    <n v="0"/>
    <x v="3"/>
  </r>
  <r>
    <s v="Regular"/>
    <x v="1"/>
    <x v="1"/>
    <x v="3"/>
    <x v="0"/>
    <x v="1"/>
    <x v="17"/>
    <x v="1"/>
    <x v="9"/>
    <n v="250"/>
    <n v="125"/>
    <n v="0"/>
    <n v="0"/>
    <n v="0"/>
    <n v="0"/>
    <n v="0"/>
    <s v="GERAÇÃO"/>
    <m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8"/>
    <x v="1"/>
    <x v="9"/>
    <n v="250"/>
    <n v="125"/>
    <n v="0"/>
    <n v="0"/>
    <n v="0"/>
    <n v="0"/>
    <n v="0"/>
    <s v="GERAÇÃO"/>
    <n v="52044"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1"/>
    <x v="1"/>
    <x v="10"/>
    <n v="4500"/>
    <n v="2250"/>
    <n v="0"/>
    <n v="0"/>
    <n v="0"/>
    <n v="0"/>
    <n v="0"/>
    <s v="GERAÇÃO"/>
    <n v="29075"/>
    <n v="38"/>
    <n v="0"/>
    <n v="0"/>
    <n v="14.41"/>
    <n v="0"/>
    <n v="0"/>
    <n v="15.961981786190728"/>
    <m/>
    <m/>
    <n v="32422.5"/>
    <n v="0"/>
    <n v="35914.459018929141"/>
    <n v="0"/>
    <x v="3"/>
  </r>
  <r>
    <s v="Regular"/>
    <x v="1"/>
    <x v="1"/>
    <x v="3"/>
    <x v="0"/>
    <x v="1"/>
    <x v="12"/>
    <x v="1"/>
    <x v="10"/>
    <n v="3000"/>
    <n v="1500"/>
    <n v="0"/>
    <n v="0"/>
    <n v="0"/>
    <n v="0"/>
    <n v="0"/>
    <s v="GERAÇÃO"/>
    <m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3"/>
    <x v="1"/>
    <x v="10"/>
    <n v="3000"/>
    <n v="1500"/>
    <n v="0"/>
    <n v="0"/>
    <n v="0"/>
    <n v="0"/>
    <n v="0"/>
    <s v="GERAÇÃO"/>
    <n v="34891"/>
    <n v="38"/>
    <n v="0"/>
    <n v="0"/>
    <n v="14.41"/>
    <n v="0"/>
    <n v="0"/>
    <n v="15.961981786190728"/>
    <m/>
    <m/>
    <n v="21615"/>
    <n v="0"/>
    <n v="23942.972679286093"/>
    <n v="0"/>
    <x v="3"/>
  </r>
  <r>
    <s v="Regular"/>
    <x v="1"/>
    <x v="1"/>
    <x v="3"/>
    <x v="0"/>
    <x v="1"/>
    <x v="14"/>
    <x v="1"/>
    <x v="10"/>
    <n v="600"/>
    <n v="300"/>
    <n v="0"/>
    <n v="0"/>
    <n v="0"/>
    <n v="0"/>
    <n v="0"/>
    <s v="GERAÇÃO"/>
    <n v="34893"/>
    <n v="38"/>
    <n v="0"/>
    <n v="0"/>
    <n v="14.41"/>
    <n v="0"/>
    <n v="0"/>
    <n v="15.961981786190728"/>
    <m/>
    <m/>
    <n v="4323"/>
    <n v="0"/>
    <n v="4788.594535857218"/>
    <n v="0"/>
    <x v="3"/>
  </r>
  <r>
    <s v="Regular"/>
    <x v="1"/>
    <x v="1"/>
    <x v="3"/>
    <x v="0"/>
    <x v="1"/>
    <x v="15"/>
    <x v="1"/>
    <x v="10"/>
    <n v="4800"/>
    <n v="0"/>
    <n v="0"/>
    <n v="0"/>
    <n v="0"/>
    <n v="0"/>
    <n v="0"/>
    <s v="GERAÇÃO"/>
    <n v="43199"/>
    <n v="38"/>
    <n v="0"/>
    <n v="0"/>
    <n v="14.41"/>
    <n v="0"/>
    <n v="0"/>
    <n v="15.961981786190728"/>
    <m/>
    <m/>
    <n v="69168"/>
    <n v="0"/>
    <n v="76617.512573715489"/>
    <n v="0"/>
    <x v="3"/>
  </r>
  <r>
    <s v="Regular"/>
    <x v="1"/>
    <x v="1"/>
    <x v="3"/>
    <x v="0"/>
    <x v="1"/>
    <x v="16"/>
    <x v="1"/>
    <x v="10"/>
    <n v="2400"/>
    <n v="1200"/>
    <n v="0"/>
    <n v="0"/>
    <n v="0"/>
    <n v="0"/>
    <n v="0"/>
    <s v="GERAÇÃO"/>
    <m/>
    <n v="38"/>
    <n v="0"/>
    <n v="0"/>
    <n v="14.41"/>
    <n v="0"/>
    <n v="0"/>
    <n v="15.961981786190728"/>
    <m/>
    <m/>
    <n v="17292"/>
    <n v="0"/>
    <n v="19154.378143428872"/>
    <n v="0"/>
    <x v="3"/>
  </r>
  <r>
    <s v="Regular"/>
    <x v="1"/>
    <x v="1"/>
    <x v="3"/>
    <x v="0"/>
    <x v="1"/>
    <x v="17"/>
    <x v="1"/>
    <x v="10"/>
    <n v="250"/>
    <n v="125"/>
    <n v="0"/>
    <n v="0"/>
    <n v="0"/>
    <n v="0"/>
    <n v="0"/>
    <s v="GERAÇÃO"/>
    <m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1"/>
    <x v="3"/>
    <x v="0"/>
    <x v="1"/>
    <x v="18"/>
    <x v="1"/>
    <x v="10"/>
    <n v="250"/>
    <n v="125"/>
    <n v="0"/>
    <n v="0"/>
    <n v="0"/>
    <n v="0"/>
    <n v="0"/>
    <s v="GERAÇÃO"/>
    <n v="52044"/>
    <n v="38"/>
    <n v="0"/>
    <n v="0"/>
    <n v="14.41"/>
    <n v="0"/>
    <n v="0"/>
    <n v="15.961981786190728"/>
    <m/>
    <m/>
    <n v="1801.25"/>
    <n v="0"/>
    <n v="1995.2477232738411"/>
    <n v="0"/>
    <x v="3"/>
  </r>
  <r>
    <s v="PROJETADO"/>
    <x v="1"/>
    <x v="1"/>
    <x v="3"/>
    <x v="0"/>
    <x v="1"/>
    <x v="11"/>
    <x v="1"/>
    <x v="11"/>
    <n v="4500"/>
    <n v="2250"/>
    <n v="0"/>
    <n v="0"/>
    <n v="0"/>
    <n v="0"/>
    <n v="0"/>
    <s v="GERAÇÃO"/>
    <n v="29075"/>
    <n v="38"/>
    <n v="0"/>
    <n v="0"/>
    <n v="14.41"/>
    <n v="0"/>
    <n v="0"/>
    <n v="15.961981786190728"/>
    <m/>
    <m/>
    <n v="32422.5"/>
    <n v="0"/>
    <n v="35914.459018929141"/>
    <n v="0"/>
    <x v="3"/>
  </r>
  <r>
    <s v="PROJETADO"/>
    <x v="1"/>
    <x v="1"/>
    <x v="3"/>
    <x v="0"/>
    <x v="1"/>
    <x v="12"/>
    <x v="1"/>
    <x v="11"/>
    <n v="3000"/>
    <n v="1500"/>
    <n v="0"/>
    <n v="0"/>
    <n v="0"/>
    <n v="0"/>
    <n v="0"/>
    <s v="GERAÇÃO"/>
    <m/>
    <n v="38"/>
    <n v="0"/>
    <n v="0"/>
    <n v="14.41"/>
    <n v="0"/>
    <n v="0"/>
    <n v="15.961981786190728"/>
    <m/>
    <m/>
    <n v="21615"/>
    <n v="0"/>
    <n v="23942.972679286093"/>
    <n v="0"/>
    <x v="3"/>
  </r>
  <r>
    <s v="PROJETADO"/>
    <x v="1"/>
    <x v="1"/>
    <x v="3"/>
    <x v="0"/>
    <x v="1"/>
    <x v="13"/>
    <x v="1"/>
    <x v="11"/>
    <n v="3000"/>
    <n v="1500"/>
    <n v="0"/>
    <n v="0"/>
    <n v="0"/>
    <n v="0"/>
    <n v="0"/>
    <s v="GERAÇÃO"/>
    <n v="34891"/>
    <n v="38"/>
    <n v="0"/>
    <n v="0"/>
    <n v="14.41"/>
    <n v="0"/>
    <n v="0"/>
    <n v="15.961981786190728"/>
    <m/>
    <m/>
    <n v="21615"/>
    <n v="0"/>
    <n v="23942.972679286093"/>
    <n v="0"/>
    <x v="3"/>
  </r>
  <r>
    <s v="PROJETADO"/>
    <x v="1"/>
    <x v="1"/>
    <x v="3"/>
    <x v="0"/>
    <x v="1"/>
    <x v="14"/>
    <x v="1"/>
    <x v="11"/>
    <n v="600"/>
    <n v="300"/>
    <n v="0"/>
    <n v="0"/>
    <n v="0"/>
    <n v="0"/>
    <n v="0"/>
    <s v="GERAÇÃO"/>
    <n v="34893"/>
    <n v="38"/>
    <n v="0"/>
    <n v="0"/>
    <n v="14.41"/>
    <n v="0"/>
    <n v="0"/>
    <n v="15.961981786190728"/>
    <m/>
    <m/>
    <n v="4323"/>
    <n v="0"/>
    <n v="4788.594535857218"/>
    <n v="0"/>
    <x v="3"/>
  </r>
  <r>
    <s v="PROJETADO"/>
    <x v="1"/>
    <x v="1"/>
    <x v="3"/>
    <x v="0"/>
    <x v="1"/>
    <x v="15"/>
    <x v="1"/>
    <x v="11"/>
    <n v="4800"/>
    <n v="0"/>
    <n v="0"/>
    <n v="0"/>
    <n v="0"/>
    <n v="0"/>
    <n v="0"/>
    <s v="GERAÇÃO"/>
    <n v="43199"/>
    <n v="38"/>
    <n v="0"/>
    <n v="0"/>
    <n v="14.41"/>
    <n v="0"/>
    <n v="0"/>
    <n v="15.961981786190728"/>
    <m/>
    <m/>
    <n v="69168"/>
    <n v="0"/>
    <n v="76617.512573715489"/>
    <n v="0"/>
    <x v="3"/>
  </r>
  <r>
    <s v="PROJETADO"/>
    <x v="1"/>
    <x v="1"/>
    <x v="3"/>
    <x v="0"/>
    <x v="1"/>
    <x v="16"/>
    <x v="1"/>
    <x v="11"/>
    <n v="2400"/>
    <n v="1200"/>
    <n v="0"/>
    <n v="0"/>
    <n v="0"/>
    <n v="0"/>
    <n v="0"/>
    <s v="GERAÇÃO"/>
    <m/>
    <n v="38"/>
    <n v="0"/>
    <n v="0"/>
    <n v="14.41"/>
    <n v="0"/>
    <n v="0"/>
    <n v="15.961981786190728"/>
    <m/>
    <m/>
    <n v="17292"/>
    <n v="0"/>
    <n v="19154.378143428872"/>
    <n v="0"/>
    <x v="3"/>
  </r>
  <r>
    <s v="PROJETADO"/>
    <x v="1"/>
    <x v="1"/>
    <x v="3"/>
    <x v="0"/>
    <x v="1"/>
    <x v="17"/>
    <x v="1"/>
    <x v="11"/>
    <n v="250"/>
    <n v="125"/>
    <n v="0"/>
    <n v="0"/>
    <n v="0"/>
    <n v="0"/>
    <n v="0"/>
    <s v="GERAÇÃO"/>
    <m/>
    <n v="38"/>
    <n v="0"/>
    <n v="0"/>
    <n v="14.41"/>
    <n v="0"/>
    <n v="0"/>
    <n v="15.961981786190728"/>
    <m/>
    <m/>
    <n v="1801.25"/>
    <n v="0"/>
    <n v="1995.2477232738411"/>
    <n v="0"/>
    <x v="3"/>
  </r>
  <r>
    <s v="PROJETADO"/>
    <x v="1"/>
    <x v="1"/>
    <x v="3"/>
    <x v="0"/>
    <x v="1"/>
    <x v="18"/>
    <x v="1"/>
    <x v="11"/>
    <n v="250"/>
    <n v="125"/>
    <n v="0"/>
    <n v="0"/>
    <n v="0"/>
    <n v="0"/>
    <n v="0"/>
    <s v="GERAÇÃO"/>
    <n v="52044"/>
    <n v="38"/>
    <n v="0"/>
    <n v="0"/>
    <n v="14.41"/>
    <n v="0"/>
    <n v="0"/>
    <n v="15.961981786190728"/>
    <m/>
    <m/>
    <n v="1801.25"/>
    <n v="0"/>
    <n v="1995.2477232738411"/>
    <n v="0"/>
    <x v="3"/>
  </r>
  <r>
    <s v="Regular"/>
    <x v="1"/>
    <x v="2"/>
    <x v="0"/>
    <x v="0"/>
    <x v="0"/>
    <x v="0"/>
    <x v="0"/>
    <x v="0"/>
    <n v="0"/>
    <n v="0"/>
    <n v="9065.5460000000003"/>
    <n v="9065.5460000000003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faturamento - Regular"/>
    <x v="1"/>
    <x v="2"/>
    <x v="0"/>
    <x v="0"/>
    <x v="0"/>
    <x v="0"/>
    <x v="0"/>
    <x v="0"/>
    <n v="0"/>
    <n v="0"/>
    <n v="-13.065"/>
    <n v="-13.065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gular"/>
    <x v="1"/>
    <x v="2"/>
    <x v="0"/>
    <x v="0"/>
    <x v="0"/>
    <x v="0"/>
    <x v="0"/>
    <x v="1"/>
    <n v="0"/>
    <n v="0"/>
    <n v="9143.0030000000006"/>
    <n v="9143.0030000000006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faturamento - Regular"/>
    <x v="1"/>
    <x v="2"/>
    <x v="0"/>
    <x v="0"/>
    <x v="0"/>
    <x v="0"/>
    <x v="0"/>
    <x v="1"/>
    <n v="0"/>
    <n v="0"/>
    <n v="-6.5860000000000003"/>
    <n v="-6.5860000000000003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gular"/>
    <x v="1"/>
    <x v="2"/>
    <x v="0"/>
    <x v="0"/>
    <x v="0"/>
    <x v="0"/>
    <x v="0"/>
    <x v="2"/>
    <n v="0"/>
    <n v="0"/>
    <n v="9559.9210000000003"/>
    <n v="9559.9210000000003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faturamento - Regular"/>
    <x v="1"/>
    <x v="2"/>
    <x v="0"/>
    <x v="0"/>
    <x v="0"/>
    <x v="0"/>
    <x v="0"/>
    <x v="2"/>
    <n v="0"/>
    <n v="0"/>
    <n v="-28.431000000000001"/>
    <n v="-28.431000000000001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gular"/>
    <x v="1"/>
    <x v="2"/>
    <x v="0"/>
    <x v="0"/>
    <x v="0"/>
    <x v="0"/>
    <x v="0"/>
    <x v="3"/>
    <n v="0"/>
    <n v="0"/>
    <n v="10666.103999999999"/>
    <n v="10666.103999999999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faturamento - Regular"/>
    <x v="1"/>
    <x v="2"/>
    <x v="0"/>
    <x v="0"/>
    <x v="0"/>
    <x v="0"/>
    <x v="0"/>
    <x v="3"/>
    <n v="0"/>
    <n v="0"/>
    <n v="-32.764000000000003"/>
    <n v="-32.764000000000003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gular"/>
    <x v="1"/>
    <x v="2"/>
    <x v="0"/>
    <x v="0"/>
    <x v="0"/>
    <x v="0"/>
    <x v="0"/>
    <x v="4"/>
    <n v="0"/>
    <n v="0"/>
    <n v="10699.184999999999"/>
    <n v="10699.184999999999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faturamento - Regular"/>
    <x v="1"/>
    <x v="2"/>
    <x v="0"/>
    <x v="0"/>
    <x v="0"/>
    <x v="0"/>
    <x v="0"/>
    <x v="4"/>
    <n v="0"/>
    <n v="0"/>
    <n v="-124.36199999999999"/>
    <n v="-124.36199999999999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gular"/>
    <x v="1"/>
    <x v="2"/>
    <x v="0"/>
    <x v="0"/>
    <x v="0"/>
    <x v="0"/>
    <x v="0"/>
    <x v="5"/>
    <n v="0"/>
    <n v="0"/>
    <n v="10449.323"/>
    <n v="10449.323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faturamento - Regular"/>
    <x v="1"/>
    <x v="2"/>
    <x v="0"/>
    <x v="0"/>
    <x v="0"/>
    <x v="0"/>
    <x v="0"/>
    <x v="5"/>
    <n v="0"/>
    <n v="0"/>
    <n v="-167.78399999999999"/>
    <n v="-167.78399999999999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gular"/>
    <x v="1"/>
    <x v="2"/>
    <x v="0"/>
    <x v="0"/>
    <x v="0"/>
    <x v="0"/>
    <x v="0"/>
    <x v="6"/>
    <n v="0"/>
    <n v="0"/>
    <n v="10355.275"/>
    <n v="10355.275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faturamento - Regular"/>
    <x v="1"/>
    <x v="2"/>
    <x v="0"/>
    <x v="0"/>
    <x v="0"/>
    <x v="0"/>
    <x v="0"/>
    <x v="6"/>
    <n v="0"/>
    <n v="0"/>
    <n v="-150.23400000000001"/>
    <n v="-150.23400000000001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gular"/>
    <x v="1"/>
    <x v="2"/>
    <x v="0"/>
    <x v="0"/>
    <x v="0"/>
    <x v="0"/>
    <x v="0"/>
    <x v="7"/>
    <n v="0"/>
    <n v="0"/>
    <n v="10053.576999999999"/>
    <n v="10053.576999999999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faturamento - Regular"/>
    <x v="1"/>
    <x v="2"/>
    <x v="0"/>
    <x v="0"/>
    <x v="0"/>
    <x v="0"/>
    <x v="0"/>
    <x v="7"/>
    <n v="0"/>
    <n v="0"/>
    <n v="-152.11000000000001"/>
    <n v="-152.11000000000001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gular"/>
    <x v="1"/>
    <x v="2"/>
    <x v="0"/>
    <x v="0"/>
    <x v="0"/>
    <x v="0"/>
    <x v="0"/>
    <x v="8"/>
    <n v="0"/>
    <n v="0"/>
    <n v="11100.333000000001"/>
    <n v="11100.333000000001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faturamento - Regular"/>
    <x v="1"/>
    <x v="2"/>
    <x v="0"/>
    <x v="0"/>
    <x v="0"/>
    <x v="0"/>
    <x v="0"/>
    <x v="8"/>
    <n v="0"/>
    <n v="0"/>
    <n v="-140.28399999999999"/>
    <n v="-140.28399999999999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gular"/>
    <x v="1"/>
    <x v="2"/>
    <x v="0"/>
    <x v="0"/>
    <x v="0"/>
    <x v="0"/>
    <x v="0"/>
    <x v="9"/>
    <n v="0"/>
    <n v="0"/>
    <n v="10173.319"/>
    <n v="10173.319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faturamento - Regular"/>
    <x v="1"/>
    <x v="2"/>
    <x v="0"/>
    <x v="0"/>
    <x v="0"/>
    <x v="0"/>
    <x v="0"/>
    <x v="9"/>
    <n v="0"/>
    <n v="0"/>
    <n v="-17.553000000000001"/>
    <n v="-17.553000000000001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gular"/>
    <x v="1"/>
    <x v="2"/>
    <x v="0"/>
    <x v="0"/>
    <x v="0"/>
    <x v="0"/>
    <x v="0"/>
    <x v="10"/>
    <n v="0"/>
    <n v="0"/>
    <n v="11253.813"/>
    <n v="11253.813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faturamento - Regular"/>
    <x v="1"/>
    <x v="2"/>
    <x v="0"/>
    <x v="0"/>
    <x v="0"/>
    <x v="0"/>
    <x v="0"/>
    <x v="10"/>
    <n v="0"/>
    <n v="0"/>
    <n v="-91.113"/>
    <n v="-91.113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PROJETADO"/>
    <x v="1"/>
    <x v="2"/>
    <x v="0"/>
    <x v="0"/>
    <x v="0"/>
    <x v="0"/>
    <x v="0"/>
    <x v="11"/>
    <n v="0"/>
    <n v="0"/>
    <n v="11253.813"/>
    <n v="11253.813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PROJETADO"/>
    <x v="1"/>
    <x v="2"/>
    <x v="0"/>
    <x v="0"/>
    <x v="0"/>
    <x v="0"/>
    <x v="0"/>
    <x v="11"/>
    <n v="0"/>
    <n v="0"/>
    <n v="-91.113"/>
    <n v="-91.113"/>
    <n v="0"/>
    <n v="0"/>
    <n v="0"/>
    <s v="LIVRE"/>
    <n v="0"/>
    <n v="0"/>
    <n v="44"/>
    <n v="0"/>
    <n v="0"/>
    <n v="62.57"/>
    <n v="0"/>
    <m/>
    <n v="75.886085105957733"/>
    <m/>
    <n v="0"/>
    <n v="0"/>
    <n v="0"/>
    <n v="0"/>
    <x v="0"/>
  </r>
  <r>
    <s v="Regular"/>
    <x v="1"/>
    <x v="2"/>
    <x v="0"/>
    <x v="0"/>
    <x v="0"/>
    <x v="0"/>
    <x v="1"/>
    <x v="0"/>
    <n v="33170"/>
    <n v="14594.8"/>
    <n v="0"/>
    <n v="0"/>
    <n v="0"/>
    <n v="0"/>
    <n v="63"/>
    <s v="LIVRE"/>
    <n v="0"/>
    <n v="40"/>
    <n v="0"/>
    <n v="0"/>
    <n v="26.22"/>
    <n v="0"/>
    <n v="0"/>
    <n v="28.891757284072764"/>
    <m/>
    <m/>
    <n v="487041.74400000001"/>
    <n v="0"/>
    <n v="536670.16990310838"/>
    <n v="0"/>
    <x v="0"/>
  </r>
  <r>
    <s v="Regular"/>
    <x v="1"/>
    <x v="2"/>
    <x v="0"/>
    <x v="0"/>
    <x v="0"/>
    <x v="0"/>
    <x v="1"/>
    <x v="1"/>
    <n v="34049"/>
    <n v="13960.09"/>
    <n v="0"/>
    <n v="0"/>
    <n v="0"/>
    <n v="0"/>
    <n v="64"/>
    <s v="LIVRE"/>
    <n v="0"/>
    <n v="40"/>
    <n v="0"/>
    <n v="0"/>
    <n v="26.22"/>
    <n v="0"/>
    <n v="0"/>
    <n v="28.891757284072764"/>
    <m/>
    <m/>
    <n v="526731.22019999998"/>
    <n v="0"/>
    <n v="580403.91182158212"/>
    <n v="0"/>
    <x v="0"/>
  </r>
  <r>
    <s v="Regular"/>
    <x v="1"/>
    <x v="2"/>
    <x v="0"/>
    <x v="0"/>
    <x v="0"/>
    <x v="0"/>
    <x v="1"/>
    <x v="2"/>
    <n v="35137"/>
    <n v="17568.5"/>
    <n v="0"/>
    <n v="0"/>
    <n v="0"/>
    <n v="0"/>
    <n v="67"/>
    <s v="LIVRE"/>
    <n v="0"/>
    <n v="40"/>
    <n v="0"/>
    <n v="0"/>
    <n v="26.22"/>
    <n v="0"/>
    <n v="0"/>
    <n v="28.891757284072764"/>
    <m/>
    <m/>
    <n v="460646.07"/>
    <n v="0"/>
    <n v="507584.83784523234"/>
    <n v="0"/>
    <x v="0"/>
  </r>
  <r>
    <s v="Regular"/>
    <x v="1"/>
    <x v="2"/>
    <x v="0"/>
    <x v="0"/>
    <x v="0"/>
    <x v="0"/>
    <x v="1"/>
    <x v="3"/>
    <n v="36269"/>
    <n v="16683.740000000002"/>
    <n v="0"/>
    <n v="0"/>
    <n v="0"/>
    <n v="0"/>
    <n v="70"/>
    <s v="LIVRE"/>
    <n v="0"/>
    <n v="40"/>
    <n v="0"/>
    <n v="0"/>
    <n v="26.22"/>
    <n v="0"/>
    <n v="0"/>
    <n v="28.891757284072764"/>
    <m/>
    <m/>
    <n v="513525.51719999994"/>
    <n v="0"/>
    <n v="565852.57826545893"/>
    <n v="0"/>
    <x v="0"/>
  </r>
  <r>
    <s v="Regular"/>
    <x v="1"/>
    <x v="2"/>
    <x v="0"/>
    <x v="0"/>
    <x v="0"/>
    <x v="0"/>
    <x v="1"/>
    <x v="4"/>
    <n v="37278"/>
    <n v="17520.66"/>
    <n v="0"/>
    <n v="0"/>
    <n v="0"/>
    <n v="0"/>
    <n v="71"/>
    <s v="LIVRE"/>
    <n v="0"/>
    <n v="40"/>
    <n v="0"/>
    <n v="0"/>
    <n v="26.22"/>
    <n v="0"/>
    <n v="0"/>
    <n v="28.891757284072764"/>
    <m/>
    <m/>
    <n v="518037.45480000001"/>
    <n v="0"/>
    <n v="570824.27185890218"/>
    <n v="0"/>
    <x v="0"/>
  </r>
  <r>
    <s v="Regular"/>
    <x v="1"/>
    <x v="2"/>
    <x v="0"/>
    <x v="0"/>
    <x v="0"/>
    <x v="0"/>
    <x v="1"/>
    <x v="5"/>
    <n v="37901"/>
    <n v="17813.47"/>
    <n v="0"/>
    <n v="0"/>
    <n v="0"/>
    <n v="0"/>
    <n v="72"/>
    <s v="LIVRE"/>
    <n v="0"/>
    <n v="40"/>
    <n v="0"/>
    <n v="0"/>
    <n v="26.22"/>
    <n v="0"/>
    <n v="0"/>
    <n v="28.891757284072764"/>
    <m/>
    <m/>
    <n v="526695.03659999999"/>
    <n v="0"/>
    <n v="580364.0411965301"/>
    <n v="0"/>
    <x v="0"/>
  </r>
  <r>
    <s v="Regular"/>
    <x v="1"/>
    <x v="2"/>
    <x v="0"/>
    <x v="0"/>
    <x v="0"/>
    <x v="0"/>
    <x v="1"/>
    <x v="6"/>
    <n v="37807"/>
    <n v="17391.22"/>
    <n v="0"/>
    <n v="0"/>
    <n v="0"/>
    <n v="0"/>
    <n v="72"/>
    <s v="LIVRE"/>
    <n v="0"/>
    <n v="40"/>
    <n v="0"/>
    <n v="0"/>
    <n v="26.22"/>
    <n v="0"/>
    <n v="0"/>
    <n v="28.891757284072764"/>
    <m/>
    <m/>
    <n v="535301.75159999996"/>
    <n v="0"/>
    <n v="589847.76052502706"/>
    <n v="0"/>
    <x v="0"/>
  </r>
  <r>
    <s v="Regular"/>
    <x v="1"/>
    <x v="2"/>
    <x v="0"/>
    <x v="0"/>
    <x v="0"/>
    <x v="0"/>
    <x v="1"/>
    <x v="7"/>
    <n v="37786"/>
    <n v="17381.560000000001"/>
    <n v="0"/>
    <n v="0"/>
    <n v="0"/>
    <n v="0"/>
    <n v="72"/>
    <s v="LIVRE"/>
    <n v="0"/>
    <n v="40"/>
    <n v="0"/>
    <n v="0"/>
    <n v="26.22"/>
    <n v="0"/>
    <n v="0"/>
    <n v="28.891757284072764"/>
    <m/>
    <m/>
    <n v="535004.41679999989"/>
    <n v="0"/>
    <n v="589520.12799742562"/>
    <n v="0"/>
    <x v="0"/>
  </r>
  <r>
    <s v="Regular"/>
    <x v="1"/>
    <x v="2"/>
    <x v="0"/>
    <x v="0"/>
    <x v="0"/>
    <x v="0"/>
    <x v="1"/>
    <x v="8"/>
    <n v="36476"/>
    <n v="16049.44"/>
    <n v="0"/>
    <n v="0"/>
    <n v="0"/>
    <n v="0"/>
    <n v="69"/>
    <s v="LIVRE"/>
    <n v="0"/>
    <n v="40"/>
    <n v="0"/>
    <n v="0"/>
    <n v="26.22"/>
    <n v="0"/>
    <n v="0"/>
    <n v="28.891757284072764"/>
    <m/>
    <m/>
    <n v="535584.40319999994"/>
    <n v="0"/>
    <n v="590159.21366854932"/>
    <n v="0"/>
    <x v="0"/>
  </r>
  <r>
    <s v="Regular"/>
    <x v="1"/>
    <x v="2"/>
    <x v="0"/>
    <x v="0"/>
    <x v="0"/>
    <x v="0"/>
    <x v="1"/>
    <x v="9"/>
    <n v="36341"/>
    <n v="15990.04"/>
    <n v="0"/>
    <n v="0"/>
    <n v="0"/>
    <n v="0"/>
    <n v="69"/>
    <s v="LIVRE"/>
    <n v="0"/>
    <n v="40"/>
    <n v="0"/>
    <n v="0"/>
    <n v="26.22"/>
    <n v="0"/>
    <n v="0"/>
    <n v="28.891757284072764"/>
    <m/>
    <m/>
    <n v="533602.17119999998"/>
    <n v="0"/>
    <n v="587974.99681787344"/>
    <n v="0"/>
    <x v="0"/>
  </r>
  <r>
    <s v="Regular"/>
    <x v="1"/>
    <x v="2"/>
    <x v="0"/>
    <x v="0"/>
    <x v="0"/>
    <x v="0"/>
    <x v="1"/>
    <x v="10"/>
    <n v="39911"/>
    <n v="16363.51"/>
    <n v="0"/>
    <n v="0"/>
    <n v="0"/>
    <n v="0"/>
    <n v="71"/>
    <s v="LIVRE"/>
    <n v="0"/>
    <n v="40"/>
    <n v="0"/>
    <n v="0"/>
    <n v="26.22"/>
    <n v="0"/>
    <n v="0"/>
    <n v="28.891757284072764"/>
    <m/>
    <m/>
    <n v="617415.18779999996"/>
    <n v="0"/>
    <n v="680328.36572913046"/>
    <n v="0"/>
    <x v="0"/>
  </r>
  <r>
    <s v="PROJETADO"/>
    <x v="1"/>
    <x v="2"/>
    <x v="0"/>
    <x v="0"/>
    <x v="0"/>
    <x v="0"/>
    <x v="1"/>
    <x v="11"/>
    <n v="39911"/>
    <n v="16363.51"/>
    <n v="0"/>
    <n v="0"/>
    <n v="0"/>
    <n v="0"/>
    <n v="71"/>
    <s v="LIVRE"/>
    <n v="0"/>
    <n v="40"/>
    <n v="0"/>
    <n v="0"/>
    <n v="26.22"/>
    <n v="0"/>
    <n v="0"/>
    <n v="28.891757284072764"/>
    <m/>
    <m/>
    <n v="617415.18779999996"/>
    <n v="0"/>
    <n v="680328.36572913046"/>
    <n v="0"/>
    <x v="0"/>
  </r>
  <r>
    <s v="Regular"/>
    <x v="1"/>
    <x v="2"/>
    <x v="0"/>
    <x v="0"/>
    <x v="0"/>
    <x v="0"/>
    <x v="2"/>
    <x v="0"/>
    <n v="0"/>
    <n v="0"/>
    <n v="632.36800000000005"/>
    <n v="316.18400000000003"/>
    <n v="0"/>
    <n v="0"/>
    <n v="0"/>
    <s v="LIVRE"/>
    <n v="0"/>
    <n v="0"/>
    <n v="42"/>
    <n v="0"/>
    <n v="0"/>
    <n v="1330.19"/>
    <n v="0"/>
    <m/>
    <n v="1471.0742690262982"/>
    <m/>
    <n v="0"/>
    <n v="420584.79496000003"/>
    <n v="0"/>
    <n v="465130.14667781111"/>
    <x v="0"/>
  </r>
  <r>
    <s v="Regular"/>
    <x v="1"/>
    <x v="2"/>
    <x v="0"/>
    <x v="0"/>
    <x v="0"/>
    <x v="0"/>
    <x v="2"/>
    <x v="1"/>
    <n v="0"/>
    <n v="0"/>
    <n v="645.44399999999996"/>
    <n v="367.90307999999999"/>
    <n v="0"/>
    <n v="0"/>
    <n v="0"/>
    <s v="LIVRE"/>
    <n v="0"/>
    <n v="0"/>
    <n v="42"/>
    <n v="0"/>
    <n v="0"/>
    <n v="1330.19"/>
    <n v="0"/>
    <m/>
    <n v="1471.0742690262982"/>
    <m/>
    <n v="0"/>
    <n v="369182.15637479996"/>
    <n v="0"/>
    <n v="408283.30601388629"/>
    <x v="0"/>
  </r>
  <r>
    <s v="Regular"/>
    <x v="1"/>
    <x v="2"/>
    <x v="0"/>
    <x v="0"/>
    <x v="0"/>
    <x v="0"/>
    <x v="2"/>
    <x v="2"/>
    <n v="0"/>
    <n v="0"/>
    <n v="701.73599999999999"/>
    <n v="336.83328"/>
    <n v="0"/>
    <n v="0"/>
    <n v="0"/>
    <s v="LIVRE"/>
    <n v="0"/>
    <n v="0"/>
    <n v="42"/>
    <n v="0"/>
    <n v="0"/>
    <n v="1330.19"/>
    <n v="0"/>
    <m/>
    <n v="1471.0742690262982"/>
    <m/>
    <n v="0"/>
    <n v="485389.94911679998"/>
    <n v="0"/>
    <n v="536799.002089708"/>
    <x v="0"/>
  </r>
  <r>
    <s v="Regular"/>
    <x v="1"/>
    <x v="2"/>
    <x v="0"/>
    <x v="0"/>
    <x v="0"/>
    <x v="0"/>
    <x v="2"/>
    <x v="3"/>
    <n v="0"/>
    <n v="0"/>
    <n v="767.41800000000001"/>
    <n v="337.66392000000002"/>
    <n v="0"/>
    <n v="0"/>
    <n v="0"/>
    <s v="LIVRE"/>
    <n v="0"/>
    <n v="0"/>
    <n v="42"/>
    <n v="0"/>
    <n v="0"/>
    <n v="1330.19"/>
    <n v="0"/>
    <m/>
    <n v="1471.0742690262982"/>
    <m/>
    <n v="0"/>
    <n v="571654.57967520005"/>
    <n v="0"/>
    <n v="632200.1690970693"/>
    <x v="0"/>
  </r>
  <r>
    <s v="Regular"/>
    <x v="1"/>
    <x v="2"/>
    <x v="0"/>
    <x v="0"/>
    <x v="0"/>
    <x v="0"/>
    <x v="2"/>
    <x v="4"/>
    <n v="0"/>
    <n v="0"/>
    <n v="884.23099999999999"/>
    <n v="389.06164000000001"/>
    <n v="0"/>
    <n v="0"/>
    <n v="0"/>
    <s v="LIVRE"/>
    <n v="0"/>
    <n v="0"/>
    <n v="42"/>
    <n v="0"/>
    <n v="0"/>
    <n v="1330.19"/>
    <n v="0"/>
    <m/>
    <n v="1471.0742690262982"/>
    <m/>
    <n v="0"/>
    <n v="658669.33097839996"/>
    <n v="0"/>
    <n v="728430.90430621989"/>
    <x v="0"/>
  </r>
  <r>
    <s v="Regular"/>
    <x v="1"/>
    <x v="2"/>
    <x v="0"/>
    <x v="0"/>
    <x v="0"/>
    <x v="0"/>
    <x v="2"/>
    <x v="5"/>
    <n v="0"/>
    <n v="0"/>
    <n v="933.57500000000005"/>
    <n v="420.10874999999999"/>
    <n v="0"/>
    <n v="0"/>
    <n v="0"/>
    <s v="LIVRE"/>
    <n v="0"/>
    <n v="0"/>
    <n v="42"/>
    <n v="0"/>
    <n v="0"/>
    <n v="1330.19"/>
    <n v="0"/>
    <m/>
    <n v="1471.0742690262982"/>
    <m/>
    <n v="0"/>
    <n v="683007.67108750006"/>
    <n v="0"/>
    <n v="755346.98838842462"/>
    <x v="0"/>
  </r>
  <r>
    <s v="Regular"/>
    <x v="1"/>
    <x v="2"/>
    <x v="0"/>
    <x v="0"/>
    <x v="0"/>
    <x v="0"/>
    <x v="2"/>
    <x v="6"/>
    <n v="0"/>
    <n v="0"/>
    <n v="748.96299999999997"/>
    <n v="352.01261"/>
    <n v="0"/>
    <n v="0"/>
    <n v="0"/>
    <s v="LIVRE"/>
    <n v="0"/>
    <n v="0"/>
    <n v="42"/>
    <n v="0"/>
    <n v="0"/>
    <n v="1330.19"/>
    <n v="0"/>
    <m/>
    <n v="1471.0742690262982"/>
    <m/>
    <n v="0"/>
    <n v="528019.4392741"/>
    <n v="0"/>
    <n v="583943.50480895396"/>
    <x v="0"/>
  </r>
  <r>
    <s v="Regular"/>
    <x v="1"/>
    <x v="2"/>
    <x v="0"/>
    <x v="0"/>
    <x v="0"/>
    <x v="0"/>
    <x v="2"/>
    <x v="7"/>
    <n v="0"/>
    <n v="0"/>
    <n v="827.06700000000001"/>
    <n v="380.45082000000002"/>
    <n v="0"/>
    <n v="0"/>
    <n v="0"/>
    <s v="LIVRE"/>
    <n v="0"/>
    <n v="0"/>
    <n v="42"/>
    <n v="0"/>
    <n v="0"/>
    <n v="1330.19"/>
    <n v="0"/>
    <m/>
    <n v="1471.0742690262982"/>
    <m/>
    <n v="0"/>
    <n v="594084.37647420005"/>
    <n v="0"/>
    <n v="657005.5705288176"/>
    <x v="0"/>
  </r>
  <r>
    <s v="Regular"/>
    <x v="1"/>
    <x v="2"/>
    <x v="0"/>
    <x v="0"/>
    <x v="0"/>
    <x v="0"/>
    <x v="2"/>
    <x v="8"/>
    <n v="0"/>
    <n v="0"/>
    <n v="998.30899999999997"/>
    <n v="429.27287000000001"/>
    <n v="0"/>
    <n v="0"/>
    <n v="0"/>
    <s v="LIVRE"/>
    <n v="0"/>
    <n v="0"/>
    <n v="42"/>
    <n v="0"/>
    <n v="0"/>
    <n v="1330.19"/>
    <n v="0"/>
    <m/>
    <n v="1471.0742690262982"/>
    <m/>
    <n v="0"/>
    <n v="756926.1697647"/>
    <n v="0"/>
    <n v="837094.40898930351"/>
    <x v="0"/>
  </r>
  <r>
    <s v="Regular"/>
    <x v="1"/>
    <x v="2"/>
    <x v="0"/>
    <x v="0"/>
    <x v="0"/>
    <x v="0"/>
    <x v="2"/>
    <x v="9"/>
    <n v="0"/>
    <n v="0"/>
    <n v="815.83100000000002"/>
    <n v="350.80732999999998"/>
    <n v="0"/>
    <n v="0"/>
    <n v="0"/>
    <s v="LIVRE"/>
    <n v="0"/>
    <n v="0"/>
    <n v="42"/>
    <n v="0"/>
    <n v="0"/>
    <n v="1330.19"/>
    <n v="0"/>
    <m/>
    <n v="1471.0742690262982"/>
    <m/>
    <n v="0"/>
    <n v="618569.83559730009"/>
    <n v="0"/>
    <n v="684084.35542517656"/>
    <x v="0"/>
  </r>
  <r>
    <s v="Regular"/>
    <x v="1"/>
    <x v="2"/>
    <x v="0"/>
    <x v="0"/>
    <x v="0"/>
    <x v="0"/>
    <x v="2"/>
    <x v="10"/>
    <n v="0"/>
    <n v="0"/>
    <n v="986.846"/>
    <n v="424.34377999999998"/>
    <n v="0"/>
    <n v="0"/>
    <n v="0"/>
    <s v="LIVRE"/>
    <n v="0"/>
    <n v="0"/>
    <n v="42"/>
    <n v="0"/>
    <n v="0"/>
    <n v="1330.19"/>
    <n v="0"/>
    <m/>
    <n v="1471.0742690262982"/>
    <m/>
    <n v="0"/>
    <n v="748234.82802180015"/>
    <n v="0"/>
    <n v="827482.54211217014"/>
    <x v="0"/>
  </r>
  <r>
    <s v="PROJETADO"/>
    <x v="1"/>
    <x v="2"/>
    <x v="0"/>
    <x v="0"/>
    <x v="0"/>
    <x v="0"/>
    <x v="2"/>
    <x v="11"/>
    <n v="0"/>
    <n v="0"/>
    <n v="986.846"/>
    <n v="424.34377999999998"/>
    <n v="0"/>
    <n v="0"/>
    <n v="0"/>
    <s v="LIVRE"/>
    <n v="0"/>
    <n v="0"/>
    <n v="42"/>
    <n v="0"/>
    <n v="0"/>
    <n v="1330.19"/>
    <n v="0"/>
    <m/>
    <n v="1471.0742690262982"/>
    <m/>
    <n v="0"/>
    <n v="748234.82802180015"/>
    <n v="0"/>
    <n v="827482.54211217014"/>
    <x v="0"/>
  </r>
  <r>
    <s v="Regular"/>
    <x v="1"/>
    <x v="2"/>
    <x v="1"/>
    <x v="2"/>
    <x v="2"/>
    <x v="0"/>
    <x v="0"/>
    <x v="0"/>
    <n v="0"/>
    <n v="0"/>
    <n v="1077.326"/>
    <n v="107.73260000000001"/>
    <n v="1077.326"/>
    <n v="107.73260000000001"/>
    <n v="0"/>
    <s v="CATIVO"/>
    <n v="0"/>
    <n v="0"/>
    <n v="44"/>
    <n v="67"/>
    <n v="0"/>
    <n v="62.57"/>
    <n v="242.82"/>
    <m/>
    <n v="75.886085105957733"/>
    <n v="224.53785920244138"/>
    <n v="0"/>
    <n v="296104.12842600001"/>
    <n v="0"/>
    <n v="291289.07360339136"/>
    <x v="4"/>
  </r>
  <r>
    <s v="Refaturamento - Regular"/>
    <x v="1"/>
    <x v="2"/>
    <x v="1"/>
    <x v="2"/>
    <x v="2"/>
    <x v="0"/>
    <x v="0"/>
    <x v="0"/>
    <n v="0"/>
    <n v="0"/>
    <n v="-18.64"/>
    <n v="-1.8640000000000001"/>
    <n v="-18.64"/>
    <n v="-1.8640000000000001"/>
    <n v="0"/>
    <s v="CATIVO"/>
    <n v="0"/>
    <n v="0"/>
    <n v="44"/>
    <n v="67"/>
    <n v="0"/>
    <n v="62.57"/>
    <n v="242.82"/>
    <m/>
    <n v="75.886085105957733"/>
    <n v="224.53785920244138"/>
    <n v="0"/>
    <n v="-5123.22264"/>
    <n v="0"/>
    <n v="-5039.9120897177036"/>
    <x v="4"/>
  </r>
  <r>
    <s v="Sistema de Compensação"/>
    <x v="1"/>
    <x v="2"/>
    <x v="1"/>
    <x v="2"/>
    <x v="2"/>
    <x v="0"/>
    <x v="0"/>
    <x v="0"/>
    <n v="0"/>
    <n v="0"/>
    <n v="29.556000000000001"/>
    <n v="2.9556"/>
    <n v="29.556000000000001"/>
    <n v="2.9556"/>
    <n v="0"/>
    <s v="CATIVO"/>
    <n v="0"/>
    <n v="0"/>
    <n v="44"/>
    <n v="67"/>
    <n v="0"/>
    <n v="62.57"/>
    <n v="242.82"/>
    <m/>
    <n v="75.886085105957733"/>
    <n v="224.53785920244138"/>
    <n v="0"/>
    <n v="8123.4961560000002"/>
    <n v="0"/>
    <n v="7991.3970881811401"/>
    <x v="4"/>
  </r>
  <r>
    <s v="Sistema de Compensação"/>
    <x v="1"/>
    <x v="2"/>
    <x v="1"/>
    <x v="2"/>
    <x v="2"/>
    <x v="0"/>
    <x v="0"/>
    <x v="0"/>
    <n v="0"/>
    <n v="0"/>
    <n v="-26.67"/>
    <n v="-2.6669999999999998"/>
    <n v="-26.67"/>
    <n v="-2.6669999999999998"/>
    <n v="0"/>
    <s v="CATIVO"/>
    <n v="0"/>
    <n v="0"/>
    <n v="44"/>
    <n v="67"/>
    <n v="0"/>
    <n v="62.57"/>
    <n v="242.82"/>
    <m/>
    <n v="75.886085105957733"/>
    <n v="224.53785920244138"/>
    <n v="0"/>
    <n v="-7330.2761699999992"/>
    <n v="0"/>
    <n v="-7211.075935234504"/>
    <x v="4"/>
  </r>
  <r>
    <s v="Regular"/>
    <x v="1"/>
    <x v="2"/>
    <x v="1"/>
    <x v="2"/>
    <x v="2"/>
    <x v="0"/>
    <x v="0"/>
    <x v="1"/>
    <n v="0"/>
    <n v="0"/>
    <n v="1455.296"/>
    <n v="145.52959999999999"/>
    <n v="1455.296"/>
    <n v="145.52959999999999"/>
    <n v="0"/>
    <s v="CATIVO"/>
    <n v="0"/>
    <n v="0"/>
    <n v="44"/>
    <n v="67"/>
    <n v="0"/>
    <n v="62.57"/>
    <n v="242.82"/>
    <m/>
    <n v="75.886085105957733"/>
    <n v="224.53785920244138"/>
    <n v="0"/>
    <n v="399989.56089600001"/>
    <n v="0"/>
    <n v="393485.18801061239"/>
    <x v="4"/>
  </r>
  <r>
    <s v="Sistema de Compensação"/>
    <x v="1"/>
    <x v="2"/>
    <x v="1"/>
    <x v="2"/>
    <x v="2"/>
    <x v="0"/>
    <x v="0"/>
    <x v="1"/>
    <n v="0"/>
    <n v="0"/>
    <n v="0.25600000000000001"/>
    <n v="2.5600000000000001E-2"/>
    <n v="0.25600000000000001"/>
    <n v="2.5600000000000001E-2"/>
    <n v="0"/>
    <s v="CATIVO"/>
    <n v="0"/>
    <n v="0"/>
    <n v="44"/>
    <n v="67"/>
    <n v="0"/>
    <n v="62.57"/>
    <n v="242.82"/>
    <m/>
    <n v="75.886085105957733"/>
    <n v="224.53785920244138"/>
    <n v="0"/>
    <n v="70.361855999999989"/>
    <n v="0"/>
    <n v="69.217676768655153"/>
    <x v="4"/>
  </r>
  <r>
    <s v="Regular"/>
    <x v="1"/>
    <x v="2"/>
    <x v="1"/>
    <x v="2"/>
    <x v="2"/>
    <x v="0"/>
    <x v="0"/>
    <x v="2"/>
    <n v="0"/>
    <n v="0"/>
    <n v="1622.479"/>
    <n v="162.24789999999999"/>
    <n v="1622.479"/>
    <n v="162.24789999999999"/>
    <n v="0"/>
    <s v="CATIVO"/>
    <n v="0"/>
    <n v="0"/>
    <n v="44"/>
    <n v="67"/>
    <n v="0"/>
    <n v="62.57"/>
    <n v="242.82"/>
    <m/>
    <n v="75.886085105957733"/>
    <n v="224.53785920244138"/>
    <n v="0"/>
    <n v="445939.97562899999"/>
    <n v="0"/>
    <n v="438688.38666379236"/>
    <x v="4"/>
  </r>
  <r>
    <s v="Refaturamento - Regular"/>
    <x v="1"/>
    <x v="2"/>
    <x v="1"/>
    <x v="2"/>
    <x v="2"/>
    <x v="0"/>
    <x v="0"/>
    <x v="2"/>
    <n v="0"/>
    <n v="0"/>
    <n v="-58.344999999999999"/>
    <n v="-5.8345000000000002"/>
    <n v="-58.344999999999999"/>
    <n v="-5.8345000000000002"/>
    <n v="0"/>
    <s v="CATIVO"/>
    <n v="0"/>
    <n v="0"/>
    <n v="44"/>
    <n v="67"/>
    <n v="0"/>
    <n v="62.57"/>
    <n v="242.82"/>
    <m/>
    <n v="75.886085105957733"/>
    <n v="224.53785920244138"/>
    <n v="0"/>
    <n v="-16036.181595"/>
    <n v="0"/>
    <n v="-15775.411527606191"/>
    <x v="4"/>
  </r>
  <r>
    <s v="Sistema de Compensação"/>
    <x v="1"/>
    <x v="2"/>
    <x v="1"/>
    <x v="2"/>
    <x v="2"/>
    <x v="0"/>
    <x v="0"/>
    <x v="2"/>
    <n v="0"/>
    <n v="0"/>
    <n v="7.6360000000000001"/>
    <n v="0.76359999999999995"/>
    <n v="7.6360000000000001"/>
    <n v="0.76359999999999995"/>
    <n v="0"/>
    <s v="CATIVO"/>
    <n v="0"/>
    <n v="0"/>
    <n v="44"/>
    <n v="67"/>
    <n v="0"/>
    <n v="62.57"/>
    <n v="242.82"/>
    <m/>
    <n v="75.886085105957733"/>
    <n v="224.53785920244138"/>
    <n v="0"/>
    <n v="2098.762236"/>
    <n v="0"/>
    <n v="2064.6335148650419"/>
    <x v="4"/>
  </r>
  <r>
    <s v="Regular"/>
    <x v="1"/>
    <x v="2"/>
    <x v="1"/>
    <x v="2"/>
    <x v="2"/>
    <x v="0"/>
    <x v="0"/>
    <x v="3"/>
    <n v="0"/>
    <n v="0"/>
    <n v="1939.4159999999999"/>
    <n v="193.94159999999999"/>
    <n v="1939.4159999999999"/>
    <n v="193.94159999999999"/>
    <n v="0"/>
    <s v="CATIVO"/>
    <n v="0"/>
    <n v="0"/>
    <n v="44"/>
    <n v="67"/>
    <n v="0"/>
    <n v="62.57"/>
    <n v="242.82"/>
    <m/>
    <n v="75.886085105957733"/>
    <n v="224.53785920244138"/>
    <n v="0"/>
    <n v="533050.42701600003"/>
    <n v="0"/>
    <n v="524382.30393733643"/>
    <x v="4"/>
  </r>
  <r>
    <s v="Refaturamento - Regular"/>
    <x v="1"/>
    <x v="2"/>
    <x v="1"/>
    <x v="2"/>
    <x v="2"/>
    <x v="0"/>
    <x v="0"/>
    <x v="3"/>
    <n v="0"/>
    <n v="0"/>
    <n v="-34.674999999999997"/>
    <n v="-3.4674999999999998"/>
    <n v="-34.674999999999997"/>
    <n v="-3.4674999999999998"/>
    <n v="0"/>
    <s v="CATIVO"/>
    <n v="0"/>
    <n v="0"/>
    <n v="44"/>
    <n v="67"/>
    <n v="0"/>
    <n v="62.57"/>
    <n v="242.82"/>
    <m/>
    <n v="75.886085105957733"/>
    <n v="224.53785920244138"/>
    <n v="0"/>
    <n v="-9530.4584249999989"/>
    <n v="0"/>
    <n v="-9375.4802420043634"/>
    <x v="4"/>
  </r>
  <r>
    <s v="Sistema de Compensação"/>
    <x v="1"/>
    <x v="2"/>
    <x v="1"/>
    <x v="2"/>
    <x v="2"/>
    <x v="0"/>
    <x v="0"/>
    <x v="3"/>
    <n v="0"/>
    <n v="0"/>
    <n v="16.544"/>
    <n v="1.6544000000000001"/>
    <n v="16.544"/>
    <n v="1.6544000000000001"/>
    <n v="0"/>
    <s v="CATIVO"/>
    <n v="0"/>
    <n v="0"/>
    <n v="44"/>
    <n v="67"/>
    <n v="0"/>
    <n v="62.57"/>
    <n v="242.82"/>
    <m/>
    <n v="75.886085105957733"/>
    <n v="224.53785920244138"/>
    <n v="0"/>
    <n v="4547.1349439999995"/>
    <n v="0"/>
    <n v="4473.1923611743396"/>
    <x v="4"/>
  </r>
  <r>
    <s v="Sistema de Compensação"/>
    <x v="1"/>
    <x v="2"/>
    <x v="1"/>
    <x v="2"/>
    <x v="2"/>
    <x v="0"/>
    <x v="0"/>
    <x v="3"/>
    <n v="0"/>
    <n v="0"/>
    <n v="41.655999999999999"/>
    <n v="4.1656000000000004"/>
    <n v="41.655999999999999"/>
    <n v="4.1656000000000004"/>
    <n v="0"/>
    <s v="CATIVO"/>
    <n v="0"/>
    <n v="0"/>
    <n v="44"/>
    <n v="67"/>
    <n v="0"/>
    <n v="62.57"/>
    <n v="242.82"/>
    <m/>
    <n v="75.886085105957733"/>
    <n v="224.53785920244138"/>
    <n v="0"/>
    <n v="11449.193255999999"/>
    <n v="0"/>
    <n v="11263.013841699607"/>
    <x v="4"/>
  </r>
  <r>
    <s v="Regular"/>
    <x v="1"/>
    <x v="2"/>
    <x v="1"/>
    <x v="2"/>
    <x v="2"/>
    <x v="0"/>
    <x v="0"/>
    <x v="4"/>
    <n v="0"/>
    <n v="0"/>
    <n v="2144.2049999999999"/>
    <n v="214.4205"/>
    <n v="2144.2049999999999"/>
    <n v="214.4205"/>
    <n v="0"/>
    <s v="CATIVO"/>
    <n v="0"/>
    <n v="0"/>
    <n v="44"/>
    <n v="67"/>
    <n v="0"/>
    <n v="62.57"/>
    <n v="242.82"/>
    <m/>
    <n v="75.886085105957733"/>
    <n v="224.53785920244138"/>
    <n v="0"/>
    <n v="589336.88845500001"/>
    <n v="0"/>
    <n v="579753.4711552118"/>
    <x v="4"/>
  </r>
  <r>
    <s v="Refaturamento - Regular"/>
    <x v="1"/>
    <x v="2"/>
    <x v="1"/>
    <x v="2"/>
    <x v="2"/>
    <x v="0"/>
    <x v="0"/>
    <x v="4"/>
    <n v="0"/>
    <n v="0"/>
    <n v="22.911999999999999"/>
    <n v="2.2911999999999999"/>
    <n v="22.911999999999999"/>
    <n v="2.2911999999999999"/>
    <n v="0"/>
    <s v="CATIVO"/>
    <n v="0"/>
    <n v="0"/>
    <n v="44"/>
    <n v="67"/>
    <n v="0"/>
    <n v="62.57"/>
    <n v="242.82"/>
    <m/>
    <n v="75.886085105957733"/>
    <n v="224.53785920244138"/>
    <n v="0"/>
    <n v="6297.3861120000001"/>
    <n v="0"/>
    <n v="6194.9820707946365"/>
    <x v="4"/>
  </r>
  <r>
    <s v="Sistema de Compensação"/>
    <x v="1"/>
    <x v="2"/>
    <x v="1"/>
    <x v="2"/>
    <x v="2"/>
    <x v="0"/>
    <x v="0"/>
    <x v="4"/>
    <n v="0"/>
    <n v="0"/>
    <n v="20.131"/>
    <n v="2.0131000000000001"/>
    <n v="20.131"/>
    <n v="2.0131000000000001"/>
    <n v="0"/>
    <s v="CATIVO"/>
    <n v="0"/>
    <n v="0"/>
    <n v="44"/>
    <n v="67"/>
    <n v="0"/>
    <n v="62.57"/>
    <n v="242.82"/>
    <m/>
    <n v="75.886085105957733"/>
    <n v="224.53785920244138"/>
    <n v="0"/>
    <n v="5533.0254809999997"/>
    <n v="0"/>
    <n v="5443.0509805851443"/>
    <x v="4"/>
  </r>
  <r>
    <s v="Regular"/>
    <x v="1"/>
    <x v="2"/>
    <x v="1"/>
    <x v="2"/>
    <x v="2"/>
    <x v="0"/>
    <x v="0"/>
    <x v="5"/>
    <n v="0"/>
    <n v="0"/>
    <n v="1625.114"/>
    <n v="162.51140000000001"/>
    <n v="1625.114"/>
    <n v="162.51140000000001"/>
    <n v="0"/>
    <s v="CATIVO"/>
    <n v="0"/>
    <n v="0"/>
    <n v="44"/>
    <n v="67"/>
    <n v="0"/>
    <n v="62.57"/>
    <n v="242.82"/>
    <m/>
    <n v="75.886085105957733"/>
    <n v="224.53785920244138"/>
    <n v="0"/>
    <n v="446664.20801399997"/>
    <n v="0"/>
    <n v="439400.84204771969"/>
    <x v="4"/>
  </r>
  <r>
    <s v="Refaturamento - Regular"/>
    <x v="1"/>
    <x v="2"/>
    <x v="1"/>
    <x v="2"/>
    <x v="2"/>
    <x v="0"/>
    <x v="0"/>
    <x v="5"/>
    <n v="0"/>
    <n v="0"/>
    <n v="-55.65"/>
    <n v="-5.5650000000000004"/>
    <n v="-55.65"/>
    <n v="-5.5650000000000004"/>
    <n v="0"/>
    <s v="CATIVO"/>
    <n v="0"/>
    <n v="0"/>
    <n v="44"/>
    <n v="67"/>
    <n v="0"/>
    <n v="62.57"/>
    <n v="242.82"/>
    <m/>
    <n v="75.886085105957733"/>
    <n v="224.53785920244138"/>
    <n v="0"/>
    <n v="-15295.45815"/>
    <n v="0"/>
    <n v="-15046.733250686171"/>
    <x v="4"/>
  </r>
  <r>
    <s v="Sistema de Compensação"/>
    <x v="1"/>
    <x v="2"/>
    <x v="1"/>
    <x v="2"/>
    <x v="2"/>
    <x v="0"/>
    <x v="0"/>
    <x v="5"/>
    <n v="0"/>
    <n v="0"/>
    <n v="7.0730000000000004"/>
    <n v="0.70730000000000004"/>
    <n v="7.0730000000000004"/>
    <n v="0.70730000000000004"/>
    <n v="0"/>
    <s v="CATIVO"/>
    <n v="0"/>
    <n v="0"/>
    <n v="44"/>
    <n v="67"/>
    <n v="0"/>
    <n v="62.57"/>
    <n v="242.82"/>
    <m/>
    <n v="75.886085105957733"/>
    <n v="224.53785920244138"/>
    <n v="0"/>
    <n v="1944.021123"/>
    <n v="0"/>
    <n v="1912.4087022839763"/>
    <x v="4"/>
  </r>
  <r>
    <s v="Regular"/>
    <x v="1"/>
    <x v="2"/>
    <x v="1"/>
    <x v="2"/>
    <x v="2"/>
    <x v="0"/>
    <x v="0"/>
    <x v="6"/>
    <n v="0"/>
    <n v="0"/>
    <n v="1502.08"/>
    <n v="150.208"/>
    <n v="1502.08"/>
    <n v="150.208"/>
    <n v="0"/>
    <s v="CATIVO"/>
    <n v="0"/>
    <n v="0"/>
    <n v="44"/>
    <n v="67"/>
    <n v="0"/>
    <n v="62.57"/>
    <n v="242.82"/>
    <m/>
    <n v="75.886085105957733"/>
    <n v="224.53785920244138"/>
    <n v="0"/>
    <n v="412848.19007999997"/>
    <n v="0"/>
    <n v="406134.71844008408"/>
    <x v="4"/>
  </r>
  <r>
    <s v="Refaturamento - Regular"/>
    <x v="1"/>
    <x v="2"/>
    <x v="1"/>
    <x v="2"/>
    <x v="2"/>
    <x v="0"/>
    <x v="0"/>
    <x v="6"/>
    <n v="0"/>
    <n v="0"/>
    <n v="-5.5590000000000002"/>
    <n v="-0.55589999999999995"/>
    <n v="-5.5590000000000002"/>
    <n v="-0.55589999999999995"/>
    <n v="0"/>
    <s v="CATIVO"/>
    <n v="0"/>
    <n v="0"/>
    <n v="44"/>
    <n v="67"/>
    <n v="0"/>
    <n v="62.57"/>
    <n v="242.82"/>
    <m/>
    <n v="75.886085105957733"/>
    <n v="224.53785920244138"/>
    <n v="0"/>
    <n v="-1527.8967090000001"/>
    <n v="0"/>
    <n v="-1503.0510357693515"/>
    <x v="4"/>
  </r>
  <r>
    <s v="Sistema de Compensação"/>
    <x v="1"/>
    <x v="2"/>
    <x v="1"/>
    <x v="2"/>
    <x v="2"/>
    <x v="0"/>
    <x v="0"/>
    <x v="6"/>
    <n v="0"/>
    <n v="0"/>
    <n v="0.193"/>
    <n v="1.9300000000000001E-2"/>
    <n v="0.193"/>
    <n v="1.9300000000000001E-2"/>
    <n v="0"/>
    <s v="CATIVO"/>
    <n v="0"/>
    <n v="0"/>
    <n v="44"/>
    <n v="67"/>
    <n v="0"/>
    <n v="62.57"/>
    <n v="242.82"/>
    <m/>
    <n v="75.886085105957733"/>
    <n v="224.53785920244138"/>
    <n v="0"/>
    <n v="53.046242999999997"/>
    <n v="0"/>
    <n v="52.183639126368924"/>
    <x v="4"/>
  </r>
  <r>
    <s v="Regular"/>
    <x v="1"/>
    <x v="2"/>
    <x v="1"/>
    <x v="2"/>
    <x v="2"/>
    <x v="0"/>
    <x v="0"/>
    <x v="7"/>
    <n v="0"/>
    <n v="0"/>
    <n v="1412.0119999999999"/>
    <n v="141.2012"/>
    <n v="1412.0119999999999"/>
    <n v="141.2012"/>
    <n v="0"/>
    <s v="CATIVO"/>
    <n v="0"/>
    <n v="0"/>
    <n v="44"/>
    <n v="67"/>
    <n v="0"/>
    <n v="62.57"/>
    <n v="242.82"/>
    <m/>
    <n v="75.886085105957733"/>
    <n v="224.53785920244138"/>
    <n v="0"/>
    <n v="388092.91021199996"/>
    <n v="0"/>
    <n v="381781.99300571211"/>
    <x v="4"/>
  </r>
  <r>
    <s v="Sistema de Compensação"/>
    <x v="1"/>
    <x v="2"/>
    <x v="1"/>
    <x v="2"/>
    <x v="2"/>
    <x v="0"/>
    <x v="0"/>
    <x v="7"/>
    <n v="0"/>
    <n v="0"/>
    <n v="10.467000000000001"/>
    <n v="1.0467"/>
    <n v="10.467000000000001"/>
    <n v="1.0467"/>
    <n v="0"/>
    <s v="CATIVO"/>
    <n v="0"/>
    <n v="0"/>
    <n v="44"/>
    <n v="67"/>
    <n v="0"/>
    <n v="62.57"/>
    <n v="242.82"/>
    <m/>
    <n v="75.886085105957733"/>
    <n v="224.53785920244138"/>
    <n v="0"/>
    <n v="2876.865417"/>
    <n v="0"/>
    <n v="2830.0836825684123"/>
    <x v="4"/>
  </r>
  <r>
    <s v="Regular"/>
    <x v="1"/>
    <x v="2"/>
    <x v="1"/>
    <x v="2"/>
    <x v="2"/>
    <x v="0"/>
    <x v="0"/>
    <x v="8"/>
    <n v="0"/>
    <n v="0"/>
    <n v="1244.174"/>
    <n v="124.4174"/>
    <n v="1244.174"/>
    <n v="124.4174"/>
    <n v="0"/>
    <s v="CATIVO"/>
    <n v="0"/>
    <n v="0"/>
    <n v="44"/>
    <n v="67"/>
    <n v="0"/>
    <n v="62.57"/>
    <n v="242.82"/>
    <m/>
    <n v="75.886085105957733"/>
    <n v="224.53785920244138"/>
    <n v="0"/>
    <n v="341962.46807399997"/>
    <n v="0"/>
    <n v="336401.69443736237"/>
    <x v="4"/>
  </r>
  <r>
    <s v="Refaturamento - Regular"/>
    <x v="1"/>
    <x v="2"/>
    <x v="1"/>
    <x v="2"/>
    <x v="2"/>
    <x v="0"/>
    <x v="0"/>
    <x v="8"/>
    <n v="0"/>
    <n v="0"/>
    <n v="-11.851000000000001"/>
    <n v="-1.1851"/>
    <n v="-11.851000000000001"/>
    <n v="-1.1851"/>
    <n v="0"/>
    <s v="CATIVO"/>
    <n v="0"/>
    <n v="0"/>
    <n v="44"/>
    <n v="67"/>
    <n v="0"/>
    <n v="62.57"/>
    <n v="242.82"/>
    <m/>
    <n v="75.886085105957733"/>
    <n v="224.53785920244138"/>
    <n v="0"/>
    <n v="-3257.2592009999998"/>
    <n v="0"/>
    <n v="-3204.2917475989543"/>
    <x v="4"/>
  </r>
  <r>
    <s v="Sistema de Compensação"/>
    <x v="1"/>
    <x v="2"/>
    <x v="1"/>
    <x v="2"/>
    <x v="2"/>
    <x v="0"/>
    <x v="0"/>
    <x v="8"/>
    <n v="0"/>
    <n v="0"/>
    <n v="4.0919999999999996"/>
    <n v="0.40920000000000001"/>
    <n v="4.0919999999999996"/>
    <n v="0.40920000000000001"/>
    <n v="0"/>
    <s v="CATIVO"/>
    <n v="0"/>
    <n v="0"/>
    <n v="44"/>
    <n v="67"/>
    <n v="0"/>
    <n v="62.57"/>
    <n v="242.82"/>
    <m/>
    <n v="75.886085105957733"/>
    <n v="224.53785920244138"/>
    <n v="0"/>
    <n v="1124.6902919999998"/>
    <n v="0"/>
    <n v="1106.4013020989721"/>
    <x v="4"/>
  </r>
  <r>
    <s v="Sistema de Compensação"/>
    <x v="1"/>
    <x v="2"/>
    <x v="1"/>
    <x v="2"/>
    <x v="2"/>
    <x v="0"/>
    <x v="0"/>
    <x v="8"/>
    <n v="0"/>
    <n v="0"/>
    <n v="52.59"/>
    <n v="5.2590000000000003"/>
    <n v="52.59"/>
    <n v="5.2590000000000003"/>
    <n v="0"/>
    <s v="CATIVO"/>
    <n v="0"/>
    <n v="0"/>
    <n v="44"/>
    <n v="67"/>
    <n v="0"/>
    <n v="62.57"/>
    <n v="242.82"/>
    <m/>
    <n v="75.886085105957733"/>
    <n v="224.53785920244138"/>
    <n v="0"/>
    <n v="14454.414090000002"/>
    <n v="0"/>
    <n v="14219.365708060839"/>
    <x v="4"/>
  </r>
  <r>
    <s v="Regular"/>
    <x v="1"/>
    <x v="2"/>
    <x v="1"/>
    <x v="2"/>
    <x v="2"/>
    <x v="0"/>
    <x v="0"/>
    <x v="9"/>
    <n v="0"/>
    <n v="0"/>
    <n v="798.85400000000004"/>
    <n v="79.885400000000004"/>
    <n v="798.85400000000004"/>
    <n v="79.885400000000004"/>
    <n v="0"/>
    <s v="CATIVO"/>
    <n v="0"/>
    <n v="0"/>
    <n v="44"/>
    <n v="67"/>
    <n v="0"/>
    <n v="62.57"/>
    <n v="242.82"/>
    <m/>
    <n v="75.886085105957733"/>
    <n v="224.53785920244138"/>
    <n v="0"/>
    <n v="219565.82075399999"/>
    <n v="0"/>
    <n v="215995.38264588767"/>
    <x v="4"/>
  </r>
  <r>
    <s v="Sistema de Compensação"/>
    <x v="1"/>
    <x v="2"/>
    <x v="1"/>
    <x v="2"/>
    <x v="2"/>
    <x v="0"/>
    <x v="0"/>
    <x v="9"/>
    <n v="0"/>
    <n v="0"/>
    <n v="4.6029999999999998"/>
    <n v="0.46029999999999999"/>
    <n v="4.6029999999999998"/>
    <n v="0.46029999999999999"/>
    <n v="0"/>
    <s v="CATIVO"/>
    <n v="0"/>
    <n v="0"/>
    <n v="44"/>
    <n v="67"/>
    <n v="0"/>
    <n v="62.57"/>
    <n v="242.82"/>
    <m/>
    <n v="75.886085105957733"/>
    <n v="224.53785920244138"/>
    <n v="0"/>
    <n v="1265.1391529999999"/>
    <n v="0"/>
    <n v="1244.566274086405"/>
    <x v="4"/>
  </r>
  <r>
    <s v="Regular"/>
    <x v="1"/>
    <x v="2"/>
    <x v="1"/>
    <x v="2"/>
    <x v="2"/>
    <x v="0"/>
    <x v="0"/>
    <x v="10"/>
    <n v="0"/>
    <n v="0"/>
    <n v="533.52800000000002"/>
    <n v="53.352800000000002"/>
    <n v="533.52800000000002"/>
    <n v="53.352800000000002"/>
    <n v="0"/>
    <s v="CATIVO"/>
    <n v="0"/>
    <n v="0"/>
    <n v="44"/>
    <n v="67"/>
    <n v="0"/>
    <n v="62.57"/>
    <n v="242.82"/>
    <m/>
    <n v="75.886085105957733"/>
    <n v="224.53785920244138"/>
    <n v="0"/>
    <n v="146640.70432799999"/>
    <n v="0"/>
    <n v="144256.12754307443"/>
    <x v="4"/>
  </r>
  <r>
    <s v="Refaturamento - Regular"/>
    <x v="1"/>
    <x v="2"/>
    <x v="1"/>
    <x v="2"/>
    <x v="2"/>
    <x v="0"/>
    <x v="0"/>
    <x v="10"/>
    <n v="0"/>
    <n v="0"/>
    <n v="-26.832000000000001"/>
    <n v="-2.6831999999999998"/>
    <n v="-26.832000000000001"/>
    <n v="-2.6831999999999998"/>
    <n v="0"/>
    <s v="CATIVO"/>
    <n v="0"/>
    <n v="0"/>
    <n v="44"/>
    <n v="67"/>
    <n v="0"/>
    <n v="62.57"/>
    <n v="242.82"/>
    <m/>
    <n v="75.886085105957733"/>
    <n v="224.53785920244138"/>
    <n v="0"/>
    <n v="-7374.8020319999996"/>
    <n v="0"/>
    <n v="-7254.8777463146689"/>
    <x v="4"/>
  </r>
  <r>
    <s v="Sistema de Compensação"/>
    <x v="1"/>
    <x v="2"/>
    <x v="1"/>
    <x v="2"/>
    <x v="2"/>
    <x v="0"/>
    <x v="0"/>
    <x v="10"/>
    <n v="0"/>
    <n v="0"/>
    <n v="0.72499999999999998"/>
    <n v="7.2499999999999995E-2"/>
    <n v="0.72499999999999998"/>
    <n v="7.2499999999999995E-2"/>
    <n v="0"/>
    <s v="CATIVO"/>
    <n v="0"/>
    <n v="0"/>
    <n v="44"/>
    <n v="67"/>
    <n v="0"/>
    <n v="62.57"/>
    <n v="242.82"/>
    <m/>
    <n v="75.886085105957733"/>
    <n v="224.53785920244138"/>
    <n v="0"/>
    <n v="199.26697499999997"/>
    <n v="0"/>
    <n v="196.02662366123042"/>
    <x v="4"/>
  </r>
  <r>
    <s v="PROJETADO"/>
    <x v="1"/>
    <x v="2"/>
    <x v="1"/>
    <x v="2"/>
    <x v="2"/>
    <x v="0"/>
    <x v="0"/>
    <x v="11"/>
    <n v="0"/>
    <n v="0"/>
    <n v="533.52800000000002"/>
    <n v="53.352800000000002"/>
    <n v="533.52800000000002"/>
    <n v="53.352800000000002"/>
    <n v="0"/>
    <s v="CATIVO"/>
    <n v="0"/>
    <n v="0"/>
    <n v="44"/>
    <n v="67"/>
    <n v="0"/>
    <n v="62.57"/>
    <n v="242.82"/>
    <m/>
    <n v="75.886085105957733"/>
    <n v="224.53785920244138"/>
    <n v="0"/>
    <n v="146640.70432799999"/>
    <n v="0"/>
    <n v="144256.12754307443"/>
    <x v="4"/>
  </r>
  <r>
    <s v="PROJETADO"/>
    <x v="1"/>
    <x v="2"/>
    <x v="1"/>
    <x v="2"/>
    <x v="2"/>
    <x v="0"/>
    <x v="0"/>
    <x v="11"/>
    <n v="0"/>
    <n v="0"/>
    <n v="-26.832000000000001"/>
    <n v="-2.6831999999999998"/>
    <n v="-26.832000000000001"/>
    <n v="-2.6831999999999998"/>
    <n v="0"/>
    <s v="CATIVO"/>
    <n v="0"/>
    <n v="0"/>
    <n v="44"/>
    <n v="67"/>
    <n v="0"/>
    <n v="62.57"/>
    <n v="242.82"/>
    <m/>
    <n v="75.886085105957733"/>
    <n v="224.53785920244138"/>
    <n v="0"/>
    <n v="-7374.8020319999996"/>
    <n v="0"/>
    <n v="-7254.8777463146689"/>
    <x v="4"/>
  </r>
  <r>
    <s v="PROJETADO"/>
    <x v="1"/>
    <x v="2"/>
    <x v="1"/>
    <x v="2"/>
    <x v="2"/>
    <x v="0"/>
    <x v="0"/>
    <x v="11"/>
    <n v="0"/>
    <n v="0"/>
    <n v="0.72499999999999998"/>
    <n v="7.2499999999999995E-2"/>
    <n v="0.72499999999999998"/>
    <n v="7.2499999999999995E-2"/>
    <n v="0"/>
    <s v="CATIVO"/>
    <n v="0"/>
    <n v="0"/>
    <n v="44"/>
    <n v="67"/>
    <n v="0"/>
    <n v="62.57"/>
    <n v="242.82"/>
    <m/>
    <n v="75.886085105957733"/>
    <n v="224.53785920244138"/>
    <n v="0"/>
    <n v="199.26697499999997"/>
    <n v="0"/>
    <n v="196.02662366123042"/>
    <x v="4"/>
  </r>
  <r>
    <s v="Regular"/>
    <x v="1"/>
    <x v="2"/>
    <x v="1"/>
    <x v="2"/>
    <x v="1"/>
    <x v="0"/>
    <x v="0"/>
    <x v="0"/>
    <n v="0"/>
    <n v="0"/>
    <n v="1338.748"/>
    <n v="1285.1980799999999"/>
    <n v="1338.748"/>
    <n v="1285.1980799999999"/>
    <n v="0"/>
    <s v="CATIVO"/>
    <n v="0"/>
    <n v="0"/>
    <n v="44"/>
    <n v="67"/>
    <n v="0"/>
    <n v="62.57"/>
    <n v="242.82"/>
    <m/>
    <n v="75.886085105957733"/>
    <n v="224.53785920244138"/>
    <n v="0"/>
    <n v="16353.610068800048"/>
    <n v="0"/>
    <n v="16087.678183799275"/>
    <x v="1"/>
  </r>
  <r>
    <s v="Refaturamento - Regular"/>
    <x v="1"/>
    <x v="2"/>
    <x v="1"/>
    <x v="2"/>
    <x v="1"/>
    <x v="0"/>
    <x v="0"/>
    <x v="0"/>
    <n v="0"/>
    <n v="0"/>
    <n v="-31.73"/>
    <n v="-30.460799999999999"/>
    <n v="-31.73"/>
    <n v="-30.460799999999999"/>
    <n v="0"/>
    <s v="CATIVO"/>
    <n v="0"/>
    <n v="0"/>
    <n v="44"/>
    <n v="67"/>
    <n v="0"/>
    <n v="62.57"/>
    <n v="242.82"/>
    <m/>
    <n v="75.886085105957733"/>
    <n v="224.53785920244138"/>
    <n v="0"/>
    <n v="-387.60098800000043"/>
    <n v="0"/>
    <n v="-381.29807011622057"/>
    <x v="1"/>
  </r>
  <r>
    <s v="Sistema de Compensação"/>
    <x v="1"/>
    <x v="2"/>
    <x v="1"/>
    <x v="2"/>
    <x v="1"/>
    <x v="0"/>
    <x v="0"/>
    <x v="0"/>
    <n v="0"/>
    <n v="0"/>
    <n v="23.425000000000001"/>
    <n v="22.488"/>
    <n v="23.425000000000001"/>
    <n v="22.488"/>
    <n v="0"/>
    <s v="CATIVO"/>
    <n v="0"/>
    <n v="0"/>
    <n v="44"/>
    <n v="67"/>
    <n v="0"/>
    <n v="62.57"/>
    <n v="242.82"/>
    <m/>
    <n v="75.886085105957733"/>
    <n v="224.53785920244138"/>
    <n v="0"/>
    <n v="286.15043000000037"/>
    <n v="0"/>
    <n v="281.49723581697032"/>
    <x v="1"/>
  </r>
  <r>
    <s v="Sistema de Compensação"/>
    <x v="1"/>
    <x v="2"/>
    <x v="1"/>
    <x v="2"/>
    <x v="1"/>
    <x v="0"/>
    <x v="0"/>
    <x v="0"/>
    <n v="0"/>
    <n v="0"/>
    <n v="-49.35"/>
    <n v="-47.375999999999998"/>
    <n v="-49.35"/>
    <n v="-47.375999999999998"/>
    <n v="0"/>
    <s v="CATIVO"/>
    <n v="0"/>
    <n v="0"/>
    <n v="44"/>
    <n v="67"/>
    <n v="0"/>
    <n v="62.57"/>
    <n v="242.82"/>
    <m/>
    <n v="75.886085105957733"/>
    <n v="224.53785920244138"/>
    <n v="0"/>
    <n v="-602.83986000000118"/>
    <n v="0"/>
    <n v="-593.03686606478095"/>
    <x v="1"/>
  </r>
  <r>
    <s v="Regular"/>
    <x v="1"/>
    <x v="2"/>
    <x v="1"/>
    <x v="2"/>
    <x v="1"/>
    <x v="0"/>
    <x v="0"/>
    <x v="1"/>
    <n v="0"/>
    <n v="0"/>
    <n v="1734.5719999999999"/>
    <n v="1665.18912"/>
    <n v="1734.5719999999999"/>
    <n v="1665.18912"/>
    <n v="0"/>
    <s v="CATIVO"/>
    <n v="0"/>
    <n v="0"/>
    <n v="44"/>
    <n v="67"/>
    <n v="0"/>
    <n v="62.57"/>
    <n v="242.82"/>
    <m/>
    <n v="75.886085105957733"/>
    <n v="224.53785920244138"/>
    <n v="0"/>
    <n v="21188.837723199966"/>
    <n v="0"/>
    <n v="20844.278477076306"/>
    <x v="1"/>
  </r>
  <r>
    <s v="Regular"/>
    <x v="1"/>
    <x v="2"/>
    <x v="1"/>
    <x v="2"/>
    <x v="1"/>
    <x v="0"/>
    <x v="0"/>
    <x v="2"/>
    <n v="0"/>
    <n v="0"/>
    <n v="2228.7159999999999"/>
    <n v="2139.56736"/>
    <n v="2228.7159999999999"/>
    <n v="2139.56736"/>
    <n v="0"/>
    <s v="CATIVO"/>
    <n v="0"/>
    <n v="0"/>
    <n v="44"/>
    <n v="67"/>
    <n v="0"/>
    <n v="62.57"/>
    <n v="242.82"/>
    <m/>
    <n v="75.886085105957733"/>
    <n v="224.53785920244138"/>
    <n v="0"/>
    <n v="27225.103169599963"/>
    <n v="0"/>
    <n v="26782.38605852949"/>
    <x v="1"/>
  </r>
  <r>
    <s v="Refaturamento - Regular"/>
    <x v="1"/>
    <x v="2"/>
    <x v="1"/>
    <x v="2"/>
    <x v="1"/>
    <x v="0"/>
    <x v="0"/>
    <x v="2"/>
    <n v="0"/>
    <n v="0"/>
    <n v="-65.650000000000006"/>
    <n v="-63.024000000000001"/>
    <n v="-65.650000000000006"/>
    <n v="-63.024000000000001"/>
    <n v="0"/>
    <s v="CATIVO"/>
    <n v="0"/>
    <n v="0"/>
    <n v="44"/>
    <n v="67"/>
    <n v="0"/>
    <n v="62.57"/>
    <n v="242.82"/>
    <m/>
    <n v="75.886085105957733"/>
    <n v="224.53785920244138"/>
    <n v="0"/>
    <n v="-801.95414000000142"/>
    <n v="0"/>
    <n v="-788.91327775385753"/>
    <x v="1"/>
  </r>
  <r>
    <s v="Regular"/>
    <x v="1"/>
    <x v="2"/>
    <x v="1"/>
    <x v="2"/>
    <x v="1"/>
    <x v="0"/>
    <x v="0"/>
    <x v="3"/>
    <n v="0"/>
    <n v="0"/>
    <n v="2764.9520000000002"/>
    <n v="2654.35392"/>
    <n v="2764.9520000000002"/>
    <n v="2654.35392"/>
    <n v="0"/>
    <s v="CATIVO"/>
    <n v="0"/>
    <n v="0"/>
    <n v="44"/>
    <n v="67"/>
    <n v="0"/>
    <n v="62.57"/>
    <n v="242.82"/>
    <m/>
    <n v="75.886085105957733"/>
    <n v="224.53785920244138"/>
    <n v="0"/>
    <n v="33775.54765120006"/>
    <n v="0"/>
    <n v="33226.311426535933"/>
    <x v="1"/>
  </r>
  <r>
    <s v="Refaturamento - Regular"/>
    <x v="1"/>
    <x v="2"/>
    <x v="1"/>
    <x v="2"/>
    <x v="1"/>
    <x v="0"/>
    <x v="0"/>
    <x v="3"/>
    <n v="0"/>
    <n v="0"/>
    <n v="-65.512"/>
    <n v="-62.89152"/>
    <n v="-65.512"/>
    <n v="-62.89152"/>
    <n v="0"/>
    <s v="CATIVO"/>
    <n v="0"/>
    <n v="0"/>
    <n v="44"/>
    <n v="67"/>
    <n v="0"/>
    <n v="62.57"/>
    <n v="242.82"/>
    <m/>
    <n v="75.886085105957733"/>
    <n v="224.53785920244138"/>
    <n v="0"/>
    <n v="-800.26838720000012"/>
    <n v="0"/>
    <n v="-787.25493758127391"/>
    <x v="1"/>
  </r>
  <r>
    <s v="Sistema de Compensação"/>
    <x v="1"/>
    <x v="2"/>
    <x v="1"/>
    <x v="2"/>
    <x v="1"/>
    <x v="0"/>
    <x v="0"/>
    <x v="3"/>
    <n v="0"/>
    <n v="0"/>
    <n v="39.298000000000002"/>
    <n v="37.726080000000003"/>
    <n v="39.298000000000002"/>
    <n v="37.726080000000003"/>
    <n v="0"/>
    <s v="CATIVO"/>
    <n v="0"/>
    <n v="0"/>
    <n v="44"/>
    <n v="67"/>
    <n v="0"/>
    <n v="62.57"/>
    <n v="242.82"/>
    <m/>
    <n v="75.886085105957733"/>
    <n v="224.53785920244138"/>
    <n v="0"/>
    <n v="480.04864879999957"/>
    <n v="0"/>
    <n v="472.24240653725832"/>
    <x v="1"/>
  </r>
  <r>
    <s v="Regular"/>
    <x v="1"/>
    <x v="2"/>
    <x v="1"/>
    <x v="2"/>
    <x v="1"/>
    <x v="0"/>
    <x v="0"/>
    <x v="4"/>
    <n v="0"/>
    <n v="0"/>
    <n v="3025.9940000000001"/>
    <n v="2904.95424"/>
    <n v="3025.9940000000001"/>
    <n v="2904.95424"/>
    <n v="0"/>
    <s v="CATIVO"/>
    <n v="0"/>
    <n v="0"/>
    <n v="44"/>
    <n v="67"/>
    <n v="0"/>
    <n v="62.57"/>
    <n v="242.82"/>
    <m/>
    <n v="75.886085105957733"/>
    <n v="224.53785920244138"/>
    <n v="0"/>
    <n v="36964.332306400029"/>
    <n v="0"/>
    <n v="36363.24211734203"/>
    <x v="1"/>
  </r>
  <r>
    <s v="Refaturamento - Regular"/>
    <x v="1"/>
    <x v="2"/>
    <x v="1"/>
    <x v="2"/>
    <x v="1"/>
    <x v="0"/>
    <x v="0"/>
    <x v="4"/>
    <n v="0"/>
    <n v="0"/>
    <n v="-27.626999999999999"/>
    <n v="-26.521920000000001"/>
    <n v="-27.626999999999999"/>
    <n v="-26.521920000000001"/>
    <n v="0"/>
    <s v="CATIVO"/>
    <n v="0"/>
    <n v="0"/>
    <n v="44"/>
    <n v="67"/>
    <n v="0"/>
    <n v="62.57"/>
    <n v="242.82"/>
    <m/>
    <n v="75.886085105957733"/>
    <n v="224.53785920244138"/>
    <n v="0"/>
    <n v="-337.48038119999921"/>
    <n v="0"/>
    <n v="-331.99249237632489"/>
    <x v="1"/>
  </r>
  <r>
    <s v="Sistema de Compensação"/>
    <x v="1"/>
    <x v="2"/>
    <x v="1"/>
    <x v="2"/>
    <x v="1"/>
    <x v="0"/>
    <x v="0"/>
    <x v="4"/>
    <n v="0"/>
    <n v="0"/>
    <n v="11.375"/>
    <n v="10.92"/>
    <n v="11.375"/>
    <n v="10.92"/>
    <n v="0"/>
    <s v="CATIVO"/>
    <n v="0"/>
    <n v="0"/>
    <n v="44"/>
    <n v="67"/>
    <n v="0"/>
    <n v="62.57"/>
    <n v="242.82"/>
    <m/>
    <n v="75.886085105957733"/>
    <n v="224.53785920244138"/>
    <n v="0"/>
    <n v="138.95245"/>
    <n v="0"/>
    <n v="136.69289466032163"/>
    <x v="1"/>
  </r>
  <r>
    <s v="Regular"/>
    <x v="1"/>
    <x v="2"/>
    <x v="1"/>
    <x v="2"/>
    <x v="1"/>
    <x v="0"/>
    <x v="0"/>
    <x v="5"/>
    <n v="0"/>
    <n v="0"/>
    <n v="2144.0500000000002"/>
    <n v="2058.288"/>
    <n v="2144.0500000000002"/>
    <n v="2058.288"/>
    <n v="0"/>
    <s v="CATIVO"/>
    <n v="0"/>
    <n v="0"/>
    <n v="44"/>
    <n v="67"/>
    <n v="0"/>
    <n v="62.57"/>
    <n v="242.82"/>
    <m/>
    <n v="75.886085105957733"/>
    <n v="224.53785920244138"/>
    <n v="0"/>
    <n v="26190.85718000005"/>
    <n v="0"/>
    <n v="25764.95831177698"/>
    <x v="1"/>
  </r>
  <r>
    <s v="Refaturamento - Regular"/>
    <x v="1"/>
    <x v="2"/>
    <x v="1"/>
    <x v="2"/>
    <x v="1"/>
    <x v="0"/>
    <x v="0"/>
    <x v="5"/>
    <n v="0"/>
    <n v="0"/>
    <n v="-149.74"/>
    <n v="-143.75040000000001"/>
    <n v="-149.74"/>
    <n v="-143.75040000000001"/>
    <n v="0"/>
    <s v="CATIVO"/>
    <n v="0"/>
    <n v="0"/>
    <n v="44"/>
    <n v="67"/>
    <n v="0"/>
    <n v="62.57"/>
    <n v="242.82"/>
    <m/>
    <n v="75.886085105957733"/>
    <n v="224.53785920244138"/>
    <n v="0"/>
    <n v="-1829.1639439999988"/>
    <n v="0"/>
    <n v="-1799.4192568295862"/>
    <x v="1"/>
  </r>
  <r>
    <s v="Regular"/>
    <x v="1"/>
    <x v="2"/>
    <x v="1"/>
    <x v="2"/>
    <x v="1"/>
    <x v="0"/>
    <x v="0"/>
    <x v="6"/>
    <n v="0"/>
    <n v="0"/>
    <n v="2003.865"/>
    <n v="1923.7103999999999"/>
    <n v="2003.865"/>
    <n v="1923.7103999999999"/>
    <n v="0"/>
    <s v="CATIVO"/>
    <n v="0"/>
    <n v="0"/>
    <n v="44"/>
    <n v="67"/>
    <n v="0"/>
    <n v="62.57"/>
    <n v="242.82"/>
    <m/>
    <n v="75.886085105957733"/>
    <n v="224.53785920244138"/>
    <n v="0"/>
    <n v="24478.41329400002"/>
    <n v="0"/>
    <n v="24080.361086462028"/>
    <x v="1"/>
  </r>
  <r>
    <s v="Refaturamento - Regular"/>
    <x v="1"/>
    <x v="2"/>
    <x v="1"/>
    <x v="2"/>
    <x v="1"/>
    <x v="0"/>
    <x v="0"/>
    <x v="6"/>
    <n v="0"/>
    <n v="0"/>
    <n v="-65.468999999999994"/>
    <n v="-62.850239999999999"/>
    <n v="-65.468999999999994"/>
    <n v="-62.850239999999999"/>
    <n v="0"/>
    <s v="CATIVO"/>
    <n v="0"/>
    <n v="0"/>
    <n v="44"/>
    <n v="67"/>
    <n v="0"/>
    <n v="62.57"/>
    <n v="242.82"/>
    <m/>
    <n v="75.886085105957733"/>
    <n v="224.53785920244138"/>
    <n v="0"/>
    <n v="-799.74311639999837"/>
    <n v="0"/>
    <n v="-786.73820839706161"/>
    <x v="1"/>
  </r>
  <r>
    <s v="Regular"/>
    <x v="1"/>
    <x v="2"/>
    <x v="1"/>
    <x v="2"/>
    <x v="1"/>
    <x v="0"/>
    <x v="0"/>
    <x v="7"/>
    <n v="0"/>
    <n v="0"/>
    <n v="1956.866"/>
    <n v="1878.5913599999999"/>
    <n v="1956.866"/>
    <n v="1878.5913599999999"/>
    <n v="0"/>
    <s v="CATIVO"/>
    <n v="0"/>
    <n v="0"/>
    <n v="44"/>
    <n v="67"/>
    <n v="0"/>
    <n v="62.57"/>
    <n v="242.82"/>
    <m/>
    <n v="75.886085105957733"/>
    <n v="224.53785920244138"/>
    <n v="0"/>
    <n v="23904.292309600027"/>
    <n v="0"/>
    <n v="23515.576088120015"/>
    <x v="1"/>
  </r>
  <r>
    <s v="Refaturamento - Regular"/>
    <x v="1"/>
    <x v="2"/>
    <x v="1"/>
    <x v="2"/>
    <x v="1"/>
    <x v="0"/>
    <x v="0"/>
    <x v="7"/>
    <n v="0"/>
    <n v="0"/>
    <n v="7.1749999999999998"/>
    <n v="6.8879999999999999"/>
    <n v="7.1749999999999998"/>
    <n v="6.8879999999999999"/>
    <n v="0"/>
    <s v="CATIVO"/>
    <n v="0"/>
    <n v="0"/>
    <n v="44"/>
    <n v="67"/>
    <n v="0"/>
    <n v="62.57"/>
    <n v="242.82"/>
    <m/>
    <n v="75.886085105957733"/>
    <n v="224.53785920244138"/>
    <n v="0"/>
    <n v="87.646929999999969"/>
    <n v="0"/>
    <n v="86.221672016510524"/>
    <x v="1"/>
  </r>
  <r>
    <s v="Regular"/>
    <x v="1"/>
    <x v="2"/>
    <x v="1"/>
    <x v="2"/>
    <x v="1"/>
    <x v="0"/>
    <x v="0"/>
    <x v="8"/>
    <n v="0"/>
    <n v="0"/>
    <n v="1746.6479999999999"/>
    <n v="1676.78208"/>
    <n v="1746.6479999999999"/>
    <n v="1676.78208"/>
    <n v="0"/>
    <s v="CATIVO"/>
    <n v="0"/>
    <n v="0"/>
    <n v="44"/>
    <n v="67"/>
    <n v="0"/>
    <n v="62.57"/>
    <n v="242.82"/>
    <m/>
    <n v="75.886085105957733"/>
    <n v="224.53785920244138"/>
    <n v="0"/>
    <n v="21336.353308799989"/>
    <n v="0"/>
    <n v="20989.395259135053"/>
    <x v="1"/>
  </r>
  <r>
    <s v="Refaturamento - Regular"/>
    <x v="1"/>
    <x v="2"/>
    <x v="1"/>
    <x v="2"/>
    <x v="1"/>
    <x v="0"/>
    <x v="0"/>
    <x v="8"/>
    <n v="0"/>
    <n v="0"/>
    <n v="-22.260999999999999"/>
    <n v="-21.370560000000001"/>
    <n v="-22.260999999999999"/>
    <n v="-21.370560000000001"/>
    <n v="0"/>
    <s v="CATIVO"/>
    <n v="0"/>
    <n v="0"/>
    <n v="44"/>
    <n v="67"/>
    <n v="0"/>
    <n v="62.57"/>
    <n v="242.82"/>
    <m/>
    <n v="75.886085105957733"/>
    <n v="224.53785920244138"/>
    <n v="0"/>
    <n v="-271.93147159999944"/>
    <n v="0"/>
    <n v="-267.50949696997031"/>
    <x v="1"/>
  </r>
  <r>
    <s v="Sistema de Compensação"/>
    <x v="1"/>
    <x v="2"/>
    <x v="1"/>
    <x v="2"/>
    <x v="1"/>
    <x v="0"/>
    <x v="0"/>
    <x v="8"/>
    <n v="0"/>
    <n v="0"/>
    <n v="0.41299999999999998"/>
    <n v="0.39647999999999994"/>
    <n v="0.41299999999999998"/>
    <n v="0.39647999999999994"/>
    <n v="0"/>
    <s v="CATIVO"/>
    <n v="0"/>
    <n v="0"/>
    <n v="44"/>
    <n v="67"/>
    <n v="0"/>
    <n v="62.57"/>
    <n v="242.82"/>
    <m/>
    <n v="75.886085105957733"/>
    <n v="224.53785920244138"/>
    <n v="0"/>
    <n v="5.0450428000000098"/>
    <n v="0"/>
    <n v="4.9630035599747639"/>
    <x v="1"/>
  </r>
  <r>
    <s v="Sistema de Compensação"/>
    <x v="1"/>
    <x v="2"/>
    <x v="1"/>
    <x v="2"/>
    <x v="1"/>
    <x v="0"/>
    <x v="0"/>
    <x v="8"/>
    <n v="0"/>
    <n v="0"/>
    <n v="-32.792000000000002"/>
    <n v="-31.480319999999999"/>
    <n v="-32.792000000000002"/>
    <n v="-31.480319999999999"/>
    <n v="0"/>
    <s v="CATIVO"/>
    <n v="0"/>
    <n v="0"/>
    <n v="44"/>
    <n v="67"/>
    <n v="0"/>
    <n v="62.57"/>
    <n v="242.82"/>
    <m/>
    <n v="75.886085105957733"/>
    <n v="224.53785920244138"/>
    <n v="0"/>
    <n v="-400.5739552000008"/>
    <n v="0"/>
    <n v="-394.06007927044175"/>
    <x v="1"/>
  </r>
  <r>
    <s v="Regular"/>
    <x v="1"/>
    <x v="2"/>
    <x v="1"/>
    <x v="2"/>
    <x v="1"/>
    <x v="0"/>
    <x v="0"/>
    <x v="9"/>
    <n v="0"/>
    <n v="0"/>
    <n v="1020.328"/>
    <n v="979.51487999999995"/>
    <n v="1020.328"/>
    <n v="979.51487999999995"/>
    <n v="0"/>
    <s v="CATIVO"/>
    <n v="0"/>
    <n v="0"/>
    <n v="44"/>
    <n v="67"/>
    <n v="0"/>
    <n v="62.57"/>
    <n v="242.82"/>
    <m/>
    <n v="75.886085105957733"/>
    <n v="224.53785920244138"/>
    <n v="0"/>
    <n v="12463.918716800008"/>
    <n v="0"/>
    <n v="12261.238489932017"/>
    <x v="1"/>
  </r>
  <r>
    <s v="Sistema de Compensação"/>
    <x v="1"/>
    <x v="2"/>
    <x v="1"/>
    <x v="2"/>
    <x v="1"/>
    <x v="0"/>
    <x v="0"/>
    <x v="9"/>
    <n v="0"/>
    <n v="0"/>
    <n v="2.202"/>
    <n v="2.1139199999999998"/>
    <n v="2.202"/>
    <n v="2.1139199999999998"/>
    <n v="0"/>
    <s v="CATIVO"/>
    <n v="0"/>
    <n v="0"/>
    <n v="44"/>
    <n v="67"/>
    <n v="0"/>
    <n v="62.57"/>
    <n v="242.82"/>
    <m/>
    <n v="75.886085105957733"/>
    <n v="224.53785920244138"/>
    <n v="0"/>
    <n v="26.898751200000046"/>
    <n v="0"/>
    <n v="26.461341014683843"/>
    <x v="1"/>
  </r>
  <r>
    <s v="Regular"/>
    <x v="1"/>
    <x v="2"/>
    <x v="1"/>
    <x v="2"/>
    <x v="1"/>
    <x v="0"/>
    <x v="0"/>
    <x v="10"/>
    <n v="0"/>
    <n v="0"/>
    <n v="723.52"/>
    <n v="694.57920000000001"/>
    <n v="723.52"/>
    <n v="694.57920000000001"/>
    <n v="0"/>
    <s v="CATIVO"/>
    <n v="0"/>
    <n v="0"/>
    <n v="44"/>
    <n v="67"/>
    <n v="0"/>
    <n v="62.57"/>
    <n v="242.82"/>
    <m/>
    <n v="75.886085105957733"/>
    <n v="224.53785920244138"/>
    <n v="0"/>
    <n v="8838.23091199999"/>
    <n v="0"/>
    <n v="8694.5092874405073"/>
    <x v="1"/>
  </r>
  <r>
    <s v="Refaturamento - Regular"/>
    <x v="1"/>
    <x v="2"/>
    <x v="1"/>
    <x v="2"/>
    <x v="1"/>
    <x v="0"/>
    <x v="0"/>
    <x v="10"/>
    <n v="0"/>
    <n v="0"/>
    <n v="-5.359"/>
    <n v="-5.1446399999999999"/>
    <n v="-5.359"/>
    <n v="-5.1446399999999999"/>
    <n v="0"/>
    <s v="CATIVO"/>
    <n v="0"/>
    <n v="0"/>
    <n v="44"/>
    <n v="67"/>
    <n v="0"/>
    <n v="62.57"/>
    <n v="242.82"/>
    <m/>
    <n v="75.886085105957733"/>
    <n v="224.53785920244138"/>
    <n v="0"/>
    <n v="-65.46340040000004"/>
    <n v="0"/>
    <n v="-64.398876701948467"/>
    <x v="1"/>
  </r>
  <r>
    <s v="PROJETADO"/>
    <x v="1"/>
    <x v="2"/>
    <x v="1"/>
    <x v="2"/>
    <x v="1"/>
    <x v="0"/>
    <x v="0"/>
    <x v="11"/>
    <n v="0"/>
    <n v="0"/>
    <n v="723.52"/>
    <n v="694.57920000000001"/>
    <n v="723.52"/>
    <n v="694.57920000000001"/>
    <n v="0"/>
    <s v="CATIVO"/>
    <n v="0"/>
    <n v="0"/>
    <n v="44"/>
    <n v="67"/>
    <n v="0"/>
    <n v="62.57"/>
    <n v="242.82"/>
    <m/>
    <n v="75.886085105957733"/>
    <n v="224.53785920244138"/>
    <n v="0"/>
    <n v="8838.23091199999"/>
    <n v="0"/>
    <n v="8694.5092874405073"/>
    <x v="1"/>
  </r>
  <r>
    <s v="PROJETADO"/>
    <x v="1"/>
    <x v="2"/>
    <x v="1"/>
    <x v="2"/>
    <x v="1"/>
    <x v="0"/>
    <x v="0"/>
    <x v="11"/>
    <n v="0"/>
    <n v="0"/>
    <n v="-5.359"/>
    <n v="-5.1446399999999999"/>
    <n v="-5.359"/>
    <n v="-5.1446399999999999"/>
    <n v="0"/>
    <s v="CATIVO"/>
    <n v="0"/>
    <n v="0"/>
    <n v="44"/>
    <n v="67"/>
    <n v="0"/>
    <n v="62.57"/>
    <n v="242.82"/>
    <m/>
    <n v="75.886085105957733"/>
    <n v="224.53785920244138"/>
    <n v="0"/>
    <n v="-65.46340040000004"/>
    <n v="0"/>
    <n v="-64.398876701948467"/>
    <x v="1"/>
  </r>
  <r>
    <s v="Regular"/>
    <x v="1"/>
    <x v="2"/>
    <x v="1"/>
    <x v="2"/>
    <x v="1"/>
    <x v="0"/>
    <x v="1"/>
    <x v="0"/>
    <n v="13023"/>
    <n v="12502.08"/>
    <n v="0"/>
    <n v="0"/>
    <n v="0"/>
    <n v="0"/>
    <n v="84"/>
    <s v="CATIVO"/>
    <n v="0"/>
    <n v="40"/>
    <n v="0"/>
    <n v="0"/>
    <n v="26.22"/>
    <n v="0"/>
    <n v="0"/>
    <n v="28.891757284072764"/>
    <m/>
    <m/>
    <n v="13658.522400000002"/>
    <n v="0"/>
    <n v="15050.294204419186"/>
    <n v="0"/>
    <x v="1"/>
  </r>
  <r>
    <s v="Refaturamento - Regular"/>
    <x v="1"/>
    <x v="2"/>
    <x v="1"/>
    <x v="2"/>
    <x v="1"/>
    <x v="0"/>
    <x v="1"/>
    <x v="0"/>
    <n v="-44"/>
    <n v="-42.24"/>
    <n v="0"/>
    <n v="0"/>
    <n v="0"/>
    <n v="0"/>
    <n v="-2"/>
    <s v="CATIVO"/>
    <n v="0"/>
    <n v="40"/>
    <n v="0"/>
    <n v="0"/>
    <n v="26.22"/>
    <n v="0"/>
    <n v="0"/>
    <n v="28.891757284072764"/>
    <m/>
    <m/>
    <n v="-46.147199999999948"/>
    <n v="0"/>
    <n v="-50.849492819968006"/>
    <n v="0"/>
    <x v="1"/>
  </r>
  <r>
    <s v="Sistema de Compensação"/>
    <x v="1"/>
    <x v="2"/>
    <x v="1"/>
    <x v="2"/>
    <x v="1"/>
    <x v="0"/>
    <x v="1"/>
    <x v="0"/>
    <n v="152"/>
    <n v="145.91999999999999"/>
    <n v="0"/>
    <n v="0"/>
    <n v="0"/>
    <n v="0"/>
    <n v="2"/>
    <s v="CATIVO"/>
    <n v="0"/>
    <n v="40"/>
    <n v="0"/>
    <n v="0"/>
    <n v="26.22"/>
    <n v="0"/>
    <n v="0"/>
    <n v="28.891757284072764"/>
    <m/>
    <m/>
    <n v="159.41760000000033"/>
    <n v="0"/>
    <n v="175.66188428716276"/>
    <n v="0"/>
    <x v="1"/>
  </r>
  <r>
    <s v="Sistema de Compensação"/>
    <x v="1"/>
    <x v="2"/>
    <x v="1"/>
    <x v="2"/>
    <x v="1"/>
    <x v="0"/>
    <x v="1"/>
    <x v="0"/>
    <n v="-22"/>
    <n v="-21.12"/>
    <n v="0"/>
    <n v="0"/>
    <n v="0"/>
    <n v="0"/>
    <n v="-4"/>
    <s v="CATIVO"/>
    <n v="0"/>
    <n v="40"/>
    <n v="0"/>
    <n v="0"/>
    <n v="26.22"/>
    <n v="0"/>
    <n v="0"/>
    <n v="28.891757284072764"/>
    <m/>
    <m/>
    <n v="-23.073599999999974"/>
    <n v="0"/>
    <n v="-25.424746409984003"/>
    <n v="0"/>
    <x v="1"/>
  </r>
  <r>
    <s v="Regular"/>
    <x v="1"/>
    <x v="2"/>
    <x v="1"/>
    <x v="2"/>
    <x v="1"/>
    <x v="0"/>
    <x v="1"/>
    <x v="1"/>
    <n v="12578"/>
    <n v="12074.88"/>
    <n v="0"/>
    <n v="0"/>
    <n v="0"/>
    <n v="0"/>
    <n v="104"/>
    <s v="CATIVO"/>
    <n v="0"/>
    <n v="40"/>
    <n v="0"/>
    <n v="0"/>
    <n v="26.22"/>
    <n v="0"/>
    <n v="0"/>
    <n v="28.891757284072764"/>
    <m/>
    <m/>
    <n v="13191.806400000021"/>
    <n v="0"/>
    <n v="14536.020924762712"/>
    <n v="0"/>
    <x v="1"/>
  </r>
  <r>
    <s v="Sistema de Compensação"/>
    <x v="1"/>
    <x v="2"/>
    <x v="1"/>
    <x v="2"/>
    <x v="1"/>
    <x v="0"/>
    <x v="1"/>
    <x v="1"/>
    <n v="62"/>
    <n v="59.519999999999996"/>
    <n v="0"/>
    <n v="0"/>
    <n v="0"/>
    <n v="0"/>
    <n v="1"/>
    <s v="CATIVO"/>
    <n v="0"/>
    <n v="40"/>
    <n v="0"/>
    <n v="0"/>
    <n v="26.22"/>
    <n v="0"/>
    <n v="0"/>
    <n v="28.891757284072764"/>
    <m/>
    <m/>
    <n v="65.025600000000097"/>
    <n v="0"/>
    <n v="71.651558064500563"/>
    <n v="0"/>
    <x v="1"/>
  </r>
  <r>
    <s v="Regular"/>
    <x v="1"/>
    <x v="2"/>
    <x v="1"/>
    <x v="2"/>
    <x v="1"/>
    <x v="0"/>
    <x v="1"/>
    <x v="2"/>
    <n v="16352"/>
    <n v="15697.92"/>
    <n v="0"/>
    <n v="0"/>
    <n v="0"/>
    <n v="0"/>
    <n v="102"/>
    <s v="CATIVO"/>
    <n v="0"/>
    <n v="40"/>
    <n v="0"/>
    <n v="0"/>
    <n v="26.22"/>
    <n v="0"/>
    <n v="0"/>
    <n v="28.891757284072764"/>
    <m/>
    <m/>
    <n v="17149.977599999998"/>
    <n v="0"/>
    <n v="18897.520604366313"/>
    <n v="0"/>
    <x v="1"/>
  </r>
  <r>
    <s v="Refaturamento - Regular"/>
    <x v="1"/>
    <x v="2"/>
    <x v="1"/>
    <x v="2"/>
    <x v="1"/>
    <x v="0"/>
    <x v="1"/>
    <x v="2"/>
    <n v="65"/>
    <n v="62.4"/>
    <n v="0"/>
    <n v="0"/>
    <n v="0"/>
    <n v="0"/>
    <n v="-4"/>
    <s v="CATIVO"/>
    <n v="0"/>
    <n v="40"/>
    <n v="0"/>
    <n v="0"/>
    <n v="26.22"/>
    <n v="0"/>
    <n v="0"/>
    <n v="28.891757284072764"/>
    <m/>
    <m/>
    <n v="68.17200000000004"/>
    <n v="0"/>
    <n v="75.11856893858922"/>
    <n v="0"/>
    <x v="1"/>
  </r>
  <r>
    <s v="Sistema de Compensação"/>
    <x v="1"/>
    <x v="2"/>
    <x v="1"/>
    <x v="2"/>
    <x v="1"/>
    <x v="0"/>
    <x v="1"/>
    <x v="2"/>
    <n v="126"/>
    <n v="120.96"/>
    <n v="0"/>
    <n v="0"/>
    <n v="0"/>
    <n v="0"/>
    <n v="1"/>
    <s v="CATIVO"/>
    <n v="0"/>
    <n v="40"/>
    <n v="0"/>
    <n v="0"/>
    <n v="26.22"/>
    <n v="0"/>
    <n v="0"/>
    <n v="28.891757284072764"/>
    <m/>
    <m/>
    <n v="132.14880000000016"/>
    <n v="0"/>
    <n v="145.61445671172692"/>
    <n v="0"/>
    <x v="1"/>
  </r>
  <r>
    <s v="Regular"/>
    <x v="1"/>
    <x v="2"/>
    <x v="1"/>
    <x v="2"/>
    <x v="1"/>
    <x v="0"/>
    <x v="1"/>
    <x v="3"/>
    <n v="16067"/>
    <n v="15424.32"/>
    <n v="0"/>
    <n v="0"/>
    <n v="0"/>
    <n v="0"/>
    <n v="109"/>
    <s v="CATIVO"/>
    <n v="0"/>
    <n v="40"/>
    <n v="0"/>
    <n v="0"/>
    <n v="26.22"/>
    <n v="0"/>
    <n v="0"/>
    <n v="28.891757284072764"/>
    <m/>
    <m/>
    <n v="16851.069600000006"/>
    <n v="0"/>
    <n v="18568.154571327894"/>
    <n v="0"/>
    <x v="1"/>
  </r>
  <r>
    <s v="Refaturamento - Regular"/>
    <x v="1"/>
    <x v="2"/>
    <x v="1"/>
    <x v="2"/>
    <x v="1"/>
    <x v="0"/>
    <x v="1"/>
    <x v="3"/>
    <n v="-46"/>
    <n v="-44.16"/>
    <n v="0"/>
    <n v="0"/>
    <n v="0"/>
    <n v="0"/>
    <n v="-1"/>
    <s v="CATIVO"/>
    <n v="0"/>
    <n v="40"/>
    <n v="0"/>
    <n v="0"/>
    <n v="26.22"/>
    <n v="0"/>
    <n v="0"/>
    <n v="28.891757284072764"/>
    <m/>
    <m/>
    <n v="-48.24480000000009"/>
    <n v="0"/>
    <n v="-53.160833402693981"/>
    <n v="0"/>
    <x v="1"/>
  </r>
  <r>
    <s v="Sistema de Compensação"/>
    <x v="1"/>
    <x v="2"/>
    <x v="1"/>
    <x v="2"/>
    <x v="1"/>
    <x v="0"/>
    <x v="1"/>
    <x v="3"/>
    <n v="216"/>
    <n v="207.35999999999999"/>
    <n v="0"/>
    <n v="0"/>
    <n v="0"/>
    <n v="0"/>
    <n v="2"/>
    <s v="CATIVO"/>
    <n v="0"/>
    <n v="40"/>
    <n v="0"/>
    <n v="0"/>
    <n v="26.22"/>
    <n v="0"/>
    <n v="0"/>
    <n v="28.891757284072764"/>
    <m/>
    <m/>
    <n v="226.54080000000039"/>
    <n v="0"/>
    <n v="249.62478293438912"/>
    <n v="0"/>
    <x v="1"/>
  </r>
  <r>
    <s v="Sistema de Compensação"/>
    <x v="1"/>
    <x v="2"/>
    <x v="1"/>
    <x v="2"/>
    <x v="1"/>
    <x v="0"/>
    <x v="1"/>
    <x v="3"/>
    <n v="241"/>
    <n v="231.36"/>
    <n v="0"/>
    <n v="0"/>
    <n v="0"/>
    <n v="0"/>
    <n v="1"/>
    <s v="CATIVO"/>
    <n v="0"/>
    <n v="40"/>
    <n v="0"/>
    <n v="0"/>
    <n v="26.22"/>
    <n v="0"/>
    <n v="0"/>
    <n v="28.891757284072764"/>
    <m/>
    <m/>
    <n v="252.76079999999962"/>
    <n v="0"/>
    <n v="278.51654021846105"/>
    <n v="0"/>
    <x v="1"/>
  </r>
  <r>
    <s v="Regular"/>
    <x v="1"/>
    <x v="2"/>
    <x v="1"/>
    <x v="2"/>
    <x v="1"/>
    <x v="0"/>
    <x v="1"/>
    <x v="4"/>
    <n v="18098"/>
    <n v="17374.080000000002"/>
    <n v="0"/>
    <n v="0"/>
    <n v="0"/>
    <n v="0"/>
    <n v="109"/>
    <s v="CATIVO"/>
    <n v="0"/>
    <n v="40"/>
    <n v="0"/>
    <n v="0"/>
    <n v="26.22"/>
    <n v="0"/>
    <n v="0"/>
    <n v="28.891757284072764"/>
    <m/>
    <m/>
    <n v="18981.182399999954"/>
    <n v="0"/>
    <n v="20915.320933085906"/>
    <n v="0"/>
    <x v="1"/>
  </r>
  <r>
    <s v="Refaturamento - Regular"/>
    <x v="1"/>
    <x v="2"/>
    <x v="1"/>
    <x v="2"/>
    <x v="1"/>
    <x v="0"/>
    <x v="1"/>
    <x v="4"/>
    <n v="-7"/>
    <n v="-6.72"/>
    <n v="0"/>
    <n v="0"/>
    <n v="0"/>
    <n v="0"/>
    <n v="1"/>
    <s v="CATIVO"/>
    <n v="0"/>
    <n v="40"/>
    <n v="0"/>
    <n v="0"/>
    <n v="26.22"/>
    <n v="0"/>
    <n v="0"/>
    <n v="28.891757284072764"/>
    <m/>
    <m/>
    <n v="-7.3416000000000059"/>
    <n v="0"/>
    <n v="-8.0896920395403811"/>
    <n v="0"/>
    <x v="1"/>
  </r>
  <r>
    <s v="Sistema de Compensação"/>
    <x v="1"/>
    <x v="2"/>
    <x v="1"/>
    <x v="2"/>
    <x v="1"/>
    <x v="0"/>
    <x v="1"/>
    <x v="4"/>
    <n v="153"/>
    <n v="146.88"/>
    <n v="0"/>
    <n v="0"/>
    <n v="0"/>
    <n v="0"/>
    <n v="2"/>
    <s v="CATIVO"/>
    <n v="0"/>
    <n v="40"/>
    <n v="0"/>
    <n v="0"/>
    <n v="26.22"/>
    <n v="0"/>
    <n v="0"/>
    <n v="28.891757284072764"/>
    <m/>
    <m/>
    <n v="160.46640000000011"/>
    <n v="0"/>
    <n v="176.81755457852543"/>
    <n v="0"/>
    <x v="1"/>
  </r>
  <r>
    <s v="Regular"/>
    <x v="1"/>
    <x v="2"/>
    <x v="1"/>
    <x v="2"/>
    <x v="1"/>
    <x v="0"/>
    <x v="1"/>
    <x v="5"/>
    <n v="18151"/>
    <n v="17424.96"/>
    <n v="0"/>
    <n v="0"/>
    <n v="0"/>
    <n v="0"/>
    <n v="109"/>
    <s v="CATIVO"/>
    <n v="0"/>
    <n v="40"/>
    <n v="0"/>
    <n v="0"/>
    <n v="26.22"/>
    <n v="0"/>
    <n v="0"/>
    <n v="28.891757284072764"/>
    <m/>
    <m/>
    <n v="19036.768800000023"/>
    <n v="0"/>
    <n v="20976.571458528215"/>
    <n v="0"/>
    <x v="1"/>
  </r>
  <r>
    <s v="Refaturamento - Regular"/>
    <x v="1"/>
    <x v="2"/>
    <x v="1"/>
    <x v="2"/>
    <x v="1"/>
    <x v="0"/>
    <x v="1"/>
    <x v="5"/>
    <n v="-172"/>
    <n v="-165.12"/>
    <n v="0"/>
    <n v="0"/>
    <n v="0"/>
    <n v="0"/>
    <n v="0"/>
    <s v="CATIVO"/>
    <n v="0"/>
    <n v="40"/>
    <n v="0"/>
    <n v="0"/>
    <n v="26.22"/>
    <n v="0"/>
    <n v="0"/>
    <n v="28.891757284072764"/>
    <m/>
    <m/>
    <n v="-180.39359999999988"/>
    <n v="0"/>
    <n v="-198.77529011442047"/>
    <n v="0"/>
    <x v="1"/>
  </r>
  <r>
    <s v="Sistema de Compensação"/>
    <x v="1"/>
    <x v="2"/>
    <x v="1"/>
    <x v="2"/>
    <x v="1"/>
    <x v="0"/>
    <x v="1"/>
    <x v="5"/>
    <n v="129"/>
    <n v="123.83999999999999"/>
    <n v="0"/>
    <n v="0"/>
    <n v="0"/>
    <n v="0"/>
    <n v="2"/>
    <s v="CATIVO"/>
    <n v="0"/>
    <n v="40"/>
    <n v="0"/>
    <n v="0"/>
    <n v="26.22"/>
    <n v="0"/>
    <n v="0"/>
    <n v="28.891757284072764"/>
    <m/>
    <m/>
    <n v="135.29520000000028"/>
    <n v="0"/>
    <n v="149.08146758581577"/>
    <n v="0"/>
    <x v="1"/>
  </r>
  <r>
    <s v="Regular"/>
    <x v="1"/>
    <x v="2"/>
    <x v="1"/>
    <x v="2"/>
    <x v="1"/>
    <x v="0"/>
    <x v="1"/>
    <x v="6"/>
    <n v="16868"/>
    <n v="16193.28"/>
    <n v="0"/>
    <n v="0"/>
    <n v="0"/>
    <n v="0"/>
    <n v="117"/>
    <s v="CATIVO"/>
    <n v="0"/>
    <n v="40"/>
    <n v="0"/>
    <n v="0"/>
    <n v="26.22"/>
    <n v="0"/>
    <n v="0"/>
    <n v="28.891757284072764"/>
    <m/>
    <m/>
    <n v="17691.158399999982"/>
    <n v="0"/>
    <n v="19493.846474709557"/>
    <n v="0"/>
    <x v="1"/>
  </r>
  <r>
    <s v="Refaturamento - Regular"/>
    <x v="1"/>
    <x v="2"/>
    <x v="1"/>
    <x v="2"/>
    <x v="1"/>
    <x v="0"/>
    <x v="1"/>
    <x v="6"/>
    <n v="-304"/>
    <n v="-291.83999999999997"/>
    <n v="0"/>
    <n v="0"/>
    <n v="0"/>
    <n v="0"/>
    <n v="-1"/>
    <s v="CATIVO"/>
    <n v="0"/>
    <n v="40"/>
    <n v="0"/>
    <n v="0"/>
    <n v="26.22"/>
    <n v="0"/>
    <n v="0"/>
    <n v="28.891757284072764"/>
    <m/>
    <m/>
    <n v="-318.83520000000067"/>
    <n v="0"/>
    <n v="-351.32376857432553"/>
    <n v="0"/>
    <x v="1"/>
  </r>
  <r>
    <s v="Sistema de Compensação"/>
    <x v="1"/>
    <x v="2"/>
    <x v="1"/>
    <x v="2"/>
    <x v="1"/>
    <x v="0"/>
    <x v="1"/>
    <x v="6"/>
    <n v="36"/>
    <n v="34.56"/>
    <n v="0"/>
    <n v="0"/>
    <n v="0"/>
    <n v="0"/>
    <n v="2"/>
    <s v="CATIVO"/>
    <n v="0"/>
    <n v="40"/>
    <n v="0"/>
    <n v="0"/>
    <n v="26.22"/>
    <n v="0"/>
    <n v="0"/>
    <n v="28.891757284072764"/>
    <m/>
    <m/>
    <n v="37.756799999999942"/>
    <n v="0"/>
    <n v="41.604130489064715"/>
    <n v="0"/>
    <x v="1"/>
  </r>
  <r>
    <s v="Regular"/>
    <x v="1"/>
    <x v="2"/>
    <x v="1"/>
    <x v="2"/>
    <x v="1"/>
    <x v="0"/>
    <x v="1"/>
    <x v="7"/>
    <n v="15596"/>
    <n v="14972.16"/>
    <n v="0"/>
    <n v="0"/>
    <n v="0"/>
    <n v="0"/>
    <n v="110"/>
    <s v="CATIVO"/>
    <n v="0"/>
    <n v="40"/>
    <n v="0"/>
    <n v="0"/>
    <n v="26.22"/>
    <n v="0"/>
    <n v="0"/>
    <n v="28.891757284072764"/>
    <m/>
    <m/>
    <n v="16357.084800000002"/>
    <n v="0"/>
    <n v="18023.833864095956"/>
    <n v="0"/>
    <x v="1"/>
  </r>
  <r>
    <s v="Sistema de Compensação"/>
    <x v="1"/>
    <x v="2"/>
    <x v="1"/>
    <x v="2"/>
    <x v="1"/>
    <x v="0"/>
    <x v="1"/>
    <x v="7"/>
    <n v="89"/>
    <n v="85.44"/>
    <n v="0"/>
    <n v="0"/>
    <n v="0"/>
    <n v="0"/>
    <n v="3"/>
    <s v="CATIVO"/>
    <n v="0"/>
    <n v="40"/>
    <n v="0"/>
    <n v="0"/>
    <n v="26.22"/>
    <n v="0"/>
    <n v="0"/>
    <n v="28.891757284072764"/>
    <m/>
    <m/>
    <n v="93.343200000000053"/>
    <n v="0"/>
    <n v="102.85465593129911"/>
    <n v="0"/>
    <x v="1"/>
  </r>
  <r>
    <s v="Regular"/>
    <x v="1"/>
    <x v="2"/>
    <x v="1"/>
    <x v="2"/>
    <x v="1"/>
    <x v="0"/>
    <x v="1"/>
    <x v="8"/>
    <n v="13951"/>
    <n v="13392.96"/>
    <n v="0"/>
    <n v="0"/>
    <n v="0"/>
    <n v="0"/>
    <n v="112"/>
    <s v="CATIVO"/>
    <n v="0"/>
    <n v="40"/>
    <n v="0"/>
    <n v="0"/>
    <n v="26.22"/>
    <n v="0"/>
    <n v="0"/>
    <n v="28.891757284072764"/>
    <m/>
    <m/>
    <n v="14631.808800000023"/>
    <n v="0"/>
    <n v="16122.75623480399"/>
    <n v="0"/>
    <x v="1"/>
  </r>
  <r>
    <s v="Refaturamento - Regular"/>
    <x v="1"/>
    <x v="2"/>
    <x v="1"/>
    <x v="2"/>
    <x v="1"/>
    <x v="0"/>
    <x v="1"/>
    <x v="8"/>
    <n v="-17"/>
    <n v="-16.32"/>
    <n v="0"/>
    <n v="0"/>
    <n v="0"/>
    <n v="0"/>
    <n v="-1"/>
    <s v="CATIVO"/>
    <n v="0"/>
    <n v="40"/>
    <n v="0"/>
    <n v="0"/>
    <n v="26.22"/>
    <n v="0"/>
    <n v="0"/>
    <n v="28.891757284072764"/>
    <m/>
    <m/>
    <n v="-17.829599999999992"/>
    <n v="0"/>
    <n v="-19.646394953169469"/>
    <n v="0"/>
    <x v="1"/>
  </r>
  <r>
    <s v="Sistema de Compensação"/>
    <x v="1"/>
    <x v="2"/>
    <x v="1"/>
    <x v="2"/>
    <x v="1"/>
    <x v="0"/>
    <x v="1"/>
    <x v="8"/>
    <n v="232"/>
    <n v="222.72"/>
    <n v="0"/>
    <n v="0"/>
    <n v="0"/>
    <n v="0"/>
    <n v="3"/>
    <s v="CATIVO"/>
    <n v="0"/>
    <n v="40"/>
    <n v="0"/>
    <n v="0"/>
    <n v="26.22"/>
    <n v="0"/>
    <n v="0"/>
    <n v="28.891757284072764"/>
    <m/>
    <m/>
    <n v="243.32160000000002"/>
    <n v="0"/>
    <n v="268.1155075961953"/>
    <n v="0"/>
    <x v="1"/>
  </r>
  <r>
    <s v="Sistema de Compensação"/>
    <x v="1"/>
    <x v="2"/>
    <x v="1"/>
    <x v="2"/>
    <x v="1"/>
    <x v="0"/>
    <x v="1"/>
    <x v="8"/>
    <n v="575"/>
    <n v="552"/>
    <n v="0"/>
    <n v="0"/>
    <n v="0"/>
    <n v="0"/>
    <n v="6"/>
    <s v="CATIVO"/>
    <n v="0"/>
    <n v="40"/>
    <n v="0"/>
    <n v="0"/>
    <n v="26.22"/>
    <n v="0"/>
    <n v="0"/>
    <n v="28.891757284072764"/>
    <m/>
    <m/>
    <n v="603.05999999999995"/>
    <n v="0"/>
    <n v="664.5104175336736"/>
    <n v="0"/>
    <x v="1"/>
  </r>
  <r>
    <s v="Regular"/>
    <x v="1"/>
    <x v="2"/>
    <x v="1"/>
    <x v="2"/>
    <x v="1"/>
    <x v="0"/>
    <x v="1"/>
    <x v="9"/>
    <n v="10682"/>
    <n v="10254.719999999999"/>
    <n v="0"/>
    <n v="0"/>
    <n v="0"/>
    <n v="0"/>
    <n v="99"/>
    <s v="CATIVO"/>
    <n v="0"/>
    <n v="40"/>
    <n v="0"/>
    <n v="0"/>
    <n v="26.22"/>
    <n v="0"/>
    <n v="0"/>
    <n v="28.891757284072764"/>
    <m/>
    <m/>
    <n v="11203.281600000017"/>
    <n v="0"/>
    <n v="12344.870052338629"/>
    <n v="0"/>
    <x v="1"/>
  </r>
  <r>
    <s v="Sistema de Compensação"/>
    <x v="1"/>
    <x v="2"/>
    <x v="1"/>
    <x v="2"/>
    <x v="1"/>
    <x v="0"/>
    <x v="1"/>
    <x v="9"/>
    <n v="140"/>
    <n v="134.4"/>
    <n v="0"/>
    <n v="0"/>
    <n v="0"/>
    <n v="0"/>
    <n v="3"/>
    <s v="CATIVO"/>
    <n v="0"/>
    <n v="40"/>
    <n v="0"/>
    <n v="0"/>
    <n v="26.22"/>
    <n v="0"/>
    <n v="0"/>
    <n v="28.891757284072764"/>
    <m/>
    <m/>
    <n v="146.83199999999985"/>
    <n v="0"/>
    <n v="161.79384079080731"/>
    <n v="0"/>
    <x v="1"/>
  </r>
  <r>
    <s v="Regular"/>
    <x v="1"/>
    <x v="2"/>
    <x v="1"/>
    <x v="2"/>
    <x v="1"/>
    <x v="0"/>
    <x v="1"/>
    <x v="10"/>
    <n v="8574"/>
    <n v="8231.0400000000009"/>
    <n v="0"/>
    <n v="0"/>
    <n v="0"/>
    <n v="0"/>
    <n v="94"/>
    <s v="CATIVO"/>
    <n v="0"/>
    <n v="40"/>
    <n v="0"/>
    <n v="0"/>
    <n v="26.22"/>
    <n v="0"/>
    <n v="0"/>
    <n v="28.891757284072764"/>
    <m/>
    <m/>
    <n v="8992.4111999999768"/>
    <n v="0"/>
    <n v="9908.7170781455698"/>
    <n v="0"/>
    <x v="1"/>
  </r>
  <r>
    <s v="Refaturamento - Regular"/>
    <x v="1"/>
    <x v="2"/>
    <x v="1"/>
    <x v="2"/>
    <x v="1"/>
    <x v="0"/>
    <x v="1"/>
    <x v="10"/>
    <n v="272"/>
    <n v="261.12"/>
    <n v="0"/>
    <n v="0"/>
    <n v="0"/>
    <n v="0"/>
    <n v="0"/>
    <s v="CATIVO"/>
    <n v="0"/>
    <n v="40"/>
    <n v="0"/>
    <n v="0"/>
    <n v="26.22"/>
    <n v="0"/>
    <n v="0"/>
    <n v="28.891757284072764"/>
    <m/>
    <m/>
    <n v="285.27359999999987"/>
    <n v="0"/>
    <n v="314.34231925071151"/>
    <n v="0"/>
    <x v="1"/>
  </r>
  <r>
    <s v="Sistema de Compensação"/>
    <x v="1"/>
    <x v="2"/>
    <x v="1"/>
    <x v="2"/>
    <x v="1"/>
    <x v="0"/>
    <x v="1"/>
    <x v="10"/>
    <n v="47"/>
    <n v="45.12"/>
    <n v="0"/>
    <n v="0"/>
    <n v="0"/>
    <n v="0"/>
    <n v="3"/>
    <s v="CATIVO"/>
    <n v="0"/>
    <n v="40"/>
    <n v="0"/>
    <n v="0"/>
    <n v="26.22"/>
    <n v="0"/>
    <n v="0"/>
    <n v="28.891757284072764"/>
    <m/>
    <m/>
    <n v="49.293600000000062"/>
    <n v="0"/>
    <n v="54.31650369405687"/>
    <n v="0"/>
    <x v="1"/>
  </r>
  <r>
    <s v="PROJETADO"/>
    <x v="1"/>
    <x v="2"/>
    <x v="1"/>
    <x v="2"/>
    <x v="1"/>
    <x v="0"/>
    <x v="1"/>
    <x v="11"/>
    <n v="8574"/>
    <n v="8231.0400000000009"/>
    <n v="0"/>
    <n v="0"/>
    <n v="0"/>
    <n v="0"/>
    <n v="94"/>
    <s v="CATIVO"/>
    <n v="0"/>
    <n v="40"/>
    <n v="0"/>
    <n v="0"/>
    <n v="26.22"/>
    <n v="0"/>
    <n v="0"/>
    <n v="28.891757284072764"/>
    <m/>
    <m/>
    <n v="8992.4111999999768"/>
    <n v="0"/>
    <n v="9908.7170781455698"/>
    <n v="0"/>
    <x v="1"/>
  </r>
  <r>
    <s v="PROJETADO"/>
    <x v="1"/>
    <x v="2"/>
    <x v="1"/>
    <x v="2"/>
    <x v="1"/>
    <x v="0"/>
    <x v="1"/>
    <x v="11"/>
    <n v="272"/>
    <n v="261.12"/>
    <n v="0"/>
    <n v="0"/>
    <n v="0"/>
    <n v="0"/>
    <n v="0"/>
    <s v="CATIVO"/>
    <n v="0"/>
    <n v="40"/>
    <n v="0"/>
    <n v="0"/>
    <n v="26.22"/>
    <n v="0"/>
    <n v="0"/>
    <n v="28.891757284072764"/>
    <m/>
    <m/>
    <n v="285.27359999999987"/>
    <n v="0"/>
    <n v="314.34231925071151"/>
    <n v="0"/>
    <x v="1"/>
  </r>
  <r>
    <s v="PROJETADO"/>
    <x v="1"/>
    <x v="2"/>
    <x v="1"/>
    <x v="2"/>
    <x v="1"/>
    <x v="0"/>
    <x v="1"/>
    <x v="11"/>
    <n v="47"/>
    <n v="45.12"/>
    <n v="0"/>
    <n v="0"/>
    <n v="0"/>
    <n v="0"/>
    <n v="3"/>
    <s v="CATIVO"/>
    <n v="0"/>
    <n v="40"/>
    <n v="0"/>
    <n v="0"/>
    <n v="26.22"/>
    <n v="0"/>
    <n v="0"/>
    <n v="28.891757284072764"/>
    <m/>
    <m/>
    <n v="49.293600000000062"/>
    <n v="0"/>
    <n v="54.31650369405687"/>
    <n v="0"/>
    <x v="1"/>
  </r>
  <r>
    <s v="Regular"/>
    <x v="1"/>
    <x v="2"/>
    <x v="1"/>
    <x v="2"/>
    <x v="1"/>
    <x v="0"/>
    <x v="2"/>
    <x v="0"/>
    <n v="0"/>
    <n v="0"/>
    <n v="47.573999999999998"/>
    <n v="45.671039999999998"/>
    <n v="47.573999999999998"/>
    <n v="45.671039999999998"/>
    <n v="0"/>
    <s v="CATIVO"/>
    <n v="0"/>
    <n v="0"/>
    <n v="42"/>
    <n v="66"/>
    <n v="0"/>
    <n v="1330.19"/>
    <n v="397.62"/>
    <m/>
    <n v="1471.0742690262982"/>
    <n v="351.67159959099928"/>
    <n v="0"/>
    <n v="3287.9533176000004"/>
    <n v="0"/>
    <n v="3468.6124781439726"/>
    <x v="1"/>
  </r>
  <r>
    <s v="Sistema de Compensação"/>
    <x v="1"/>
    <x v="2"/>
    <x v="1"/>
    <x v="2"/>
    <x v="1"/>
    <x v="0"/>
    <x v="2"/>
    <x v="0"/>
    <n v="0"/>
    <n v="0"/>
    <n v="5.0999999999999997E-2"/>
    <n v="4.8959999999999997E-2"/>
    <n v="5.0999999999999997E-2"/>
    <n v="4.8959999999999997E-2"/>
    <n v="0"/>
    <s v="CATIVO"/>
    <n v="0"/>
    <n v="0"/>
    <n v="42"/>
    <n v="66"/>
    <n v="0"/>
    <n v="1330.19"/>
    <n v="397.62"/>
    <m/>
    <n v="1471.0742690262982"/>
    <n v="351.67159959099928"/>
    <n v="0"/>
    <n v="3.5247324000000004"/>
    <n v="0"/>
    <n v="3.7184015719792871"/>
    <x v="1"/>
  </r>
  <r>
    <s v="Regular"/>
    <x v="1"/>
    <x v="2"/>
    <x v="1"/>
    <x v="2"/>
    <x v="1"/>
    <x v="0"/>
    <x v="2"/>
    <x v="1"/>
    <n v="0"/>
    <n v="0"/>
    <n v="53.497"/>
    <n v="51.357120000000002"/>
    <n v="53.497"/>
    <n v="51.357120000000002"/>
    <n v="0"/>
    <s v="CATIVO"/>
    <n v="0"/>
    <n v="0"/>
    <n v="42"/>
    <n v="66"/>
    <n v="0"/>
    <n v="1330.19"/>
    <n v="397.62"/>
    <m/>
    <n v="1471.0742690262982"/>
    <n v="351.67159959099928"/>
    <n v="0"/>
    <n v="3697.3060627999967"/>
    <n v="0"/>
    <n v="3900.4574293367787"/>
    <x v="1"/>
  </r>
  <r>
    <s v="Regular"/>
    <x v="1"/>
    <x v="2"/>
    <x v="1"/>
    <x v="2"/>
    <x v="1"/>
    <x v="0"/>
    <x v="2"/>
    <x v="2"/>
    <n v="0"/>
    <n v="0"/>
    <n v="83.451999999999998"/>
    <n v="80.113919999999993"/>
    <n v="83.451999999999998"/>
    <n v="80.113919999999993"/>
    <n v="0"/>
    <s v="CATIVO"/>
    <n v="0"/>
    <n v="0"/>
    <n v="42"/>
    <n v="66"/>
    <n v="0"/>
    <n v="1330.19"/>
    <n v="397.62"/>
    <m/>
    <n v="1471.0742690262982"/>
    <n v="351.67159959099928"/>
    <n v="0"/>
    <n v="5767.5680048000086"/>
    <n v="0"/>
    <n v="6084.4715291140374"/>
    <x v="1"/>
  </r>
  <r>
    <s v="Refaturamento - Regular"/>
    <x v="1"/>
    <x v="2"/>
    <x v="1"/>
    <x v="2"/>
    <x v="1"/>
    <x v="0"/>
    <x v="2"/>
    <x v="2"/>
    <n v="0"/>
    <n v="0"/>
    <n v="-0.56699999999999995"/>
    <n v="-0.54432000000000003"/>
    <n v="-0.56699999999999995"/>
    <n v="-0.54432000000000003"/>
    <n v="0"/>
    <s v="CATIVO"/>
    <n v="0"/>
    <n v="0"/>
    <n v="42"/>
    <n v="66"/>
    <n v="0"/>
    <n v="1330.19"/>
    <n v="397.62"/>
    <m/>
    <n v="1471.0742690262982"/>
    <n v="351.67159959099928"/>
    <n v="0"/>
    <n v="-39.186730799999864"/>
    <n v="0"/>
    <n v="-41.339876300240164"/>
    <x v="1"/>
  </r>
  <r>
    <s v="Regular"/>
    <x v="1"/>
    <x v="2"/>
    <x v="1"/>
    <x v="2"/>
    <x v="1"/>
    <x v="0"/>
    <x v="2"/>
    <x v="3"/>
    <n v="0"/>
    <n v="0"/>
    <n v="125.313"/>
    <n v="120.30047999999999"/>
    <n v="125.313"/>
    <n v="120.30047999999999"/>
    <n v="0"/>
    <s v="CATIVO"/>
    <n v="0"/>
    <n v="0"/>
    <n v="42"/>
    <n v="66"/>
    <n v="0"/>
    <n v="1330.19"/>
    <n v="397.62"/>
    <m/>
    <n v="1471.0742690262982"/>
    <n v="351.67159959099928"/>
    <n v="0"/>
    <n v="8660.6821812000162"/>
    <n v="0"/>
    <n v="9136.5501213615935"/>
    <x v="1"/>
  </r>
  <r>
    <s v="Refaturamento - Regular"/>
    <x v="1"/>
    <x v="2"/>
    <x v="1"/>
    <x v="2"/>
    <x v="1"/>
    <x v="0"/>
    <x v="2"/>
    <x v="3"/>
    <n v="0"/>
    <n v="0"/>
    <n v="-10.221"/>
    <n v="-9.8121600000000004"/>
    <n v="-10.221"/>
    <n v="-9.8121600000000004"/>
    <n v="0"/>
    <s v="CATIVO"/>
    <n v="0"/>
    <n v="0"/>
    <n v="42"/>
    <n v="66"/>
    <n v="0"/>
    <n v="1330.19"/>
    <n v="397.62"/>
    <m/>
    <n v="1471.0742690262982"/>
    <n v="351.67159959099928"/>
    <n v="0"/>
    <n v="-706.3978403999995"/>
    <n v="0"/>
    <n v="-745.21142092549519"/>
    <x v="1"/>
  </r>
  <r>
    <s v="Sistema de Compensação"/>
    <x v="1"/>
    <x v="2"/>
    <x v="1"/>
    <x v="2"/>
    <x v="1"/>
    <x v="0"/>
    <x v="2"/>
    <x v="3"/>
    <n v="0"/>
    <n v="0"/>
    <n v="0.41"/>
    <n v="0.39359999999999995"/>
    <n v="0.41"/>
    <n v="0.39359999999999995"/>
    <n v="0"/>
    <s v="CATIVO"/>
    <n v="0"/>
    <n v="0"/>
    <n v="42"/>
    <n v="66"/>
    <n v="0"/>
    <n v="1330.19"/>
    <n v="397.62"/>
    <m/>
    <n v="1471.0742690262982"/>
    <n v="351.67159959099928"/>
    <n v="0"/>
    <n v="28.336084000000046"/>
    <n v="0"/>
    <n v="29.893032245323724"/>
    <x v="1"/>
  </r>
  <r>
    <s v="Sistema de Compensação"/>
    <x v="1"/>
    <x v="2"/>
    <x v="1"/>
    <x v="2"/>
    <x v="1"/>
    <x v="0"/>
    <x v="2"/>
    <x v="3"/>
    <n v="0"/>
    <n v="0"/>
    <n v="0.32800000000000001"/>
    <n v="0.31487999999999999"/>
    <n v="0.32800000000000001"/>
    <n v="0.31487999999999999"/>
    <n v="0"/>
    <s v="CATIVO"/>
    <n v="0"/>
    <n v="0"/>
    <n v="42"/>
    <n v="66"/>
    <n v="0"/>
    <n v="1330.19"/>
    <n v="397.62"/>
    <m/>
    <n v="1471.0742690262982"/>
    <n v="351.67159959099928"/>
    <n v="0"/>
    <n v="22.668867200000037"/>
    <n v="0"/>
    <n v="23.914425796258982"/>
    <x v="1"/>
  </r>
  <r>
    <s v="Regular"/>
    <x v="1"/>
    <x v="2"/>
    <x v="1"/>
    <x v="2"/>
    <x v="1"/>
    <x v="0"/>
    <x v="2"/>
    <x v="4"/>
    <n v="0"/>
    <n v="0"/>
    <n v="150.51900000000001"/>
    <n v="144.49824000000001"/>
    <n v="150.51900000000001"/>
    <n v="144.49824000000001"/>
    <n v="0"/>
    <s v="CATIVO"/>
    <n v="0"/>
    <n v="0"/>
    <n v="42"/>
    <n v="66"/>
    <n v="0"/>
    <n v="1330.19"/>
    <n v="397.62"/>
    <m/>
    <n v="1471.0742690262982"/>
    <n v="351.67159959099928"/>
    <n v="0"/>
    <n v="10402.729335599994"/>
    <n v="0"/>
    <n v="10974.315415936271"/>
    <x v="1"/>
  </r>
  <r>
    <s v="Refaturamento - Regular"/>
    <x v="1"/>
    <x v="2"/>
    <x v="1"/>
    <x v="2"/>
    <x v="1"/>
    <x v="0"/>
    <x v="2"/>
    <x v="4"/>
    <n v="0"/>
    <n v="0"/>
    <n v="-5.5469999999999997"/>
    <n v="-5.3251200000000001"/>
    <n v="-5.5469999999999997"/>
    <n v="-5.3251200000000001"/>
    <n v="0"/>
    <s v="CATIVO"/>
    <n v="0"/>
    <n v="0"/>
    <n v="42"/>
    <n v="66"/>
    <n v="0"/>
    <n v="1330.19"/>
    <n v="397.62"/>
    <m/>
    <n v="1471.0742690262982"/>
    <n v="351.67159959099928"/>
    <n v="0"/>
    <n v="-383.3664827999994"/>
    <n v="0"/>
    <n v="-404.43085332880526"/>
    <x v="1"/>
  </r>
  <r>
    <s v="Sistema de Compensação"/>
    <x v="1"/>
    <x v="2"/>
    <x v="1"/>
    <x v="2"/>
    <x v="1"/>
    <x v="0"/>
    <x v="2"/>
    <x v="4"/>
    <n v="0"/>
    <n v="0"/>
    <n v="8.2000000000000003E-2"/>
    <n v="7.8719999999999998E-2"/>
    <n v="8.2000000000000003E-2"/>
    <n v="7.8719999999999998E-2"/>
    <n v="0"/>
    <s v="CATIVO"/>
    <n v="0"/>
    <n v="0"/>
    <n v="42"/>
    <n v="66"/>
    <n v="0"/>
    <n v="1330.19"/>
    <n v="397.62"/>
    <m/>
    <n v="1471.0742690262982"/>
    <n v="351.67159959099928"/>
    <n v="0"/>
    <n v="5.6672168000000092"/>
    <n v="0"/>
    <n v="5.9786064490647455"/>
    <x v="1"/>
  </r>
  <r>
    <s v="Regular"/>
    <x v="1"/>
    <x v="2"/>
    <x v="1"/>
    <x v="2"/>
    <x v="1"/>
    <x v="0"/>
    <x v="2"/>
    <x v="5"/>
    <n v="0"/>
    <n v="0"/>
    <n v="120.78400000000001"/>
    <n v="115.95264"/>
    <n v="120.78400000000001"/>
    <n v="115.95264"/>
    <n v="0"/>
    <s v="CATIVO"/>
    <n v="0"/>
    <n v="0"/>
    <n v="42"/>
    <n v="66"/>
    <n v="0"/>
    <n v="1330.19"/>
    <n v="397.62"/>
    <m/>
    <n v="1471.0742690262982"/>
    <n v="351.67159959099928"/>
    <n v="0"/>
    <n v="8347.672121600006"/>
    <n v="0"/>
    <n v="8806.3414798028734"/>
    <x v="1"/>
  </r>
  <r>
    <s v="Refaturamento - Regular"/>
    <x v="1"/>
    <x v="2"/>
    <x v="1"/>
    <x v="2"/>
    <x v="1"/>
    <x v="0"/>
    <x v="2"/>
    <x v="5"/>
    <n v="0"/>
    <n v="0"/>
    <n v="-1.861"/>
    <n v="-1.7865599999999999"/>
    <n v="-1.861"/>
    <n v="-1.7865599999999999"/>
    <n v="0"/>
    <s v="CATIVO"/>
    <n v="0"/>
    <n v="0"/>
    <n v="42"/>
    <n v="66"/>
    <n v="0"/>
    <n v="1330.19"/>
    <n v="397.62"/>
    <m/>
    <n v="1471.0742690262982"/>
    <n v="351.67159959099928"/>
    <n v="0"/>
    <n v="-128.6181764000001"/>
    <n v="0"/>
    <n v="-135.68520245987173"/>
    <x v="1"/>
  </r>
  <r>
    <s v="Regular"/>
    <x v="1"/>
    <x v="2"/>
    <x v="1"/>
    <x v="2"/>
    <x v="1"/>
    <x v="0"/>
    <x v="2"/>
    <x v="6"/>
    <n v="0"/>
    <n v="0"/>
    <n v="97.376999999999995"/>
    <n v="93.481920000000002"/>
    <n v="97.376999999999995"/>
    <n v="93.481920000000002"/>
    <n v="0"/>
    <s v="CATIVO"/>
    <n v="0"/>
    <n v="0"/>
    <n v="42"/>
    <n v="66"/>
    <n v="0"/>
    <n v="1330.19"/>
    <n v="397.62"/>
    <m/>
    <n v="1471.0742690262982"/>
    <n v="351.67159959099928"/>
    <n v="0"/>
    <n v="6729.9581747999873"/>
    <n v="0"/>
    <n v="7099.7409779338504"/>
    <x v="1"/>
  </r>
  <r>
    <s v="Refaturamento - Regular"/>
    <x v="1"/>
    <x v="2"/>
    <x v="1"/>
    <x v="2"/>
    <x v="1"/>
    <x v="0"/>
    <x v="2"/>
    <x v="6"/>
    <n v="0"/>
    <n v="0"/>
    <n v="-1.9E-2"/>
    <n v="-1.8239999999999999E-2"/>
    <n v="-1.9E-2"/>
    <n v="-1.8239999999999999E-2"/>
    <n v="0"/>
    <s v="CATIVO"/>
    <n v="0"/>
    <n v="0"/>
    <n v="42"/>
    <n v="66"/>
    <n v="0"/>
    <n v="1330.19"/>
    <n v="397.62"/>
    <m/>
    <n v="1471.0742690262982"/>
    <n v="351.67159959099928"/>
    <n v="0"/>
    <n v="-1.3131356000000003"/>
    <n v="0"/>
    <n v="-1.3852868601491464"/>
    <x v="1"/>
  </r>
  <r>
    <s v="Regular"/>
    <x v="1"/>
    <x v="2"/>
    <x v="1"/>
    <x v="2"/>
    <x v="1"/>
    <x v="0"/>
    <x v="2"/>
    <x v="7"/>
    <n v="0"/>
    <n v="0"/>
    <n v="91.048000000000002"/>
    <n v="87.406080000000003"/>
    <n v="91.048000000000002"/>
    <n v="87.406080000000003"/>
    <n v="0"/>
    <s v="CATIVO"/>
    <n v="0"/>
    <n v="0"/>
    <n v="42"/>
    <n v="66"/>
    <n v="0"/>
    <n v="1330.19"/>
    <n v="397.62"/>
    <m/>
    <n v="1471.0742690262982"/>
    <n v="351.67159959099928"/>
    <n v="0"/>
    <n v="6292.5457951999979"/>
    <n v="0"/>
    <n v="6638.2946338347065"/>
    <x v="1"/>
  </r>
  <r>
    <s v="Regular"/>
    <x v="1"/>
    <x v="2"/>
    <x v="1"/>
    <x v="2"/>
    <x v="1"/>
    <x v="0"/>
    <x v="2"/>
    <x v="8"/>
    <n v="0"/>
    <n v="0"/>
    <n v="87.200999999999993"/>
    <n v="83.712959999999995"/>
    <n v="87.200999999999993"/>
    <n v="83.712959999999995"/>
    <n v="0"/>
    <s v="CATIVO"/>
    <n v="0"/>
    <n v="0"/>
    <n v="42"/>
    <n v="66"/>
    <n v="0"/>
    <n v="1330.19"/>
    <n v="397.62"/>
    <m/>
    <n v="1471.0742690262982"/>
    <n v="351.67159959099928"/>
    <n v="0"/>
    <n v="6026.6703923999967"/>
    <n v="0"/>
    <n v="6357.810499571875"/>
    <x v="1"/>
  </r>
  <r>
    <s v="Refaturamento - Regular"/>
    <x v="1"/>
    <x v="2"/>
    <x v="1"/>
    <x v="2"/>
    <x v="1"/>
    <x v="0"/>
    <x v="2"/>
    <x v="8"/>
    <n v="0"/>
    <n v="0"/>
    <n v="-2.931"/>
    <n v="-2.8137599999999998"/>
    <n v="-2.931"/>
    <n v="-2.8137599999999998"/>
    <n v="0"/>
    <s v="CATIVO"/>
    <n v="0"/>
    <n v="0"/>
    <n v="42"/>
    <n v="66"/>
    <n v="0"/>
    <n v="1330.19"/>
    <n v="397.62"/>
    <m/>
    <n v="1471.0742690262982"/>
    <n v="351.67159959099928"/>
    <n v="0"/>
    <n v="-202.56844440000043"/>
    <n v="0"/>
    <n v="-213.69872563669239"/>
    <x v="1"/>
  </r>
  <r>
    <s v="Sistema de Compensação"/>
    <x v="1"/>
    <x v="2"/>
    <x v="1"/>
    <x v="2"/>
    <x v="1"/>
    <x v="0"/>
    <x v="2"/>
    <x v="8"/>
    <n v="0"/>
    <n v="0"/>
    <n v="0.89"/>
    <n v="0.85439999999999994"/>
    <n v="0.89"/>
    <n v="0.85439999999999994"/>
    <n v="0"/>
    <s v="CATIVO"/>
    <n v="0"/>
    <n v="0"/>
    <n v="42"/>
    <n v="66"/>
    <n v="0"/>
    <n v="1330.19"/>
    <n v="397.62"/>
    <m/>
    <n v="1471.0742690262982"/>
    <n v="351.67159959099928"/>
    <n v="0"/>
    <n v="61.510036000000134"/>
    <n v="0"/>
    <n v="64.889752922775926"/>
    <x v="1"/>
  </r>
  <r>
    <s v="Regular"/>
    <x v="1"/>
    <x v="2"/>
    <x v="1"/>
    <x v="2"/>
    <x v="1"/>
    <x v="0"/>
    <x v="2"/>
    <x v="9"/>
    <n v="0"/>
    <n v="0"/>
    <n v="43.365000000000002"/>
    <n v="41.630400000000002"/>
    <n v="43.365000000000002"/>
    <n v="41.630400000000002"/>
    <n v="0"/>
    <s v="CATIVO"/>
    <n v="0"/>
    <n v="0"/>
    <n v="42"/>
    <n v="66"/>
    <n v="0"/>
    <n v="1330.19"/>
    <n v="397.62"/>
    <m/>
    <n v="1471.0742690262982"/>
    <n v="351.67159959099928"/>
    <n v="0"/>
    <n v="2997.0592260000012"/>
    <n v="0"/>
    <n v="3161.7349837035649"/>
    <x v="1"/>
  </r>
  <r>
    <s v="Sistema de Compensação"/>
    <x v="1"/>
    <x v="2"/>
    <x v="1"/>
    <x v="2"/>
    <x v="1"/>
    <x v="0"/>
    <x v="2"/>
    <x v="9"/>
    <n v="0"/>
    <n v="0"/>
    <n v="1.7889999999999999"/>
    <n v="1.7174399999999999"/>
    <n v="1.7889999999999999"/>
    <n v="1.7174399999999999"/>
    <n v="0"/>
    <s v="CATIVO"/>
    <n v="0"/>
    <n v="0"/>
    <n v="42"/>
    <n v="66"/>
    <n v="0"/>
    <n v="1330.19"/>
    <n v="397.62"/>
    <m/>
    <n v="1471.0742690262982"/>
    <n v="351.67159959099928"/>
    <n v="0"/>
    <n v="123.64208360000012"/>
    <n v="0"/>
    <n v="130.43569435825393"/>
    <x v="1"/>
  </r>
  <r>
    <s v="Regular"/>
    <x v="1"/>
    <x v="2"/>
    <x v="1"/>
    <x v="2"/>
    <x v="1"/>
    <x v="0"/>
    <x v="2"/>
    <x v="10"/>
    <n v="0"/>
    <n v="0"/>
    <n v="42.155000000000001"/>
    <n v="40.468800000000002"/>
    <n v="42.155000000000001"/>
    <n v="40.468800000000002"/>
    <n v="0"/>
    <s v="CATIVO"/>
    <n v="0"/>
    <n v="0"/>
    <n v="42"/>
    <n v="66"/>
    <n v="0"/>
    <n v="1330.19"/>
    <n v="397.62"/>
    <m/>
    <n v="1471.0742690262982"/>
    <n v="351.67159959099928"/>
    <n v="0"/>
    <n v="2913.4332219999997"/>
    <n v="0"/>
    <n v="3073.514083662486"/>
    <x v="1"/>
  </r>
  <r>
    <s v="Refaturamento - Regular"/>
    <x v="1"/>
    <x v="2"/>
    <x v="1"/>
    <x v="2"/>
    <x v="1"/>
    <x v="0"/>
    <x v="2"/>
    <x v="10"/>
    <n v="0"/>
    <n v="0"/>
    <n v="-5.8000000000000003E-2"/>
    <n v="-5.568E-2"/>
    <n v="-5.8000000000000003E-2"/>
    <n v="-5.568E-2"/>
    <n v="0"/>
    <s v="CATIVO"/>
    <n v="0"/>
    <n v="0"/>
    <n v="42"/>
    <n v="66"/>
    <n v="0"/>
    <n v="1330.19"/>
    <n v="397.62"/>
    <m/>
    <n v="1471.0742690262982"/>
    <n v="351.67159959099928"/>
    <n v="0"/>
    <n v="-4.0085192000000047"/>
    <n v="0"/>
    <n v="-4.2287704151921348"/>
    <x v="1"/>
  </r>
  <r>
    <s v="PROJETADO"/>
    <x v="1"/>
    <x v="2"/>
    <x v="1"/>
    <x v="2"/>
    <x v="1"/>
    <x v="0"/>
    <x v="2"/>
    <x v="11"/>
    <n v="0"/>
    <n v="0"/>
    <n v="42.155000000000001"/>
    <n v="40.468800000000002"/>
    <n v="42.155000000000001"/>
    <n v="40.468800000000002"/>
    <n v="0"/>
    <s v="CATIVO"/>
    <n v="0"/>
    <n v="0"/>
    <n v="42"/>
    <n v="66"/>
    <n v="0"/>
    <n v="1330.19"/>
    <n v="397.62"/>
    <m/>
    <n v="1471.0742690262982"/>
    <n v="351.67159959099928"/>
    <n v="0"/>
    <n v="2913.4332219999997"/>
    <n v="0"/>
    <n v="3073.514083662486"/>
    <x v="1"/>
  </r>
  <r>
    <s v="PROJETADO"/>
    <x v="1"/>
    <x v="2"/>
    <x v="1"/>
    <x v="2"/>
    <x v="1"/>
    <x v="0"/>
    <x v="2"/>
    <x v="11"/>
    <n v="0"/>
    <n v="0"/>
    <n v="-5.8000000000000003E-2"/>
    <n v="-5.568E-2"/>
    <n v="-5.8000000000000003E-2"/>
    <n v="-5.568E-2"/>
    <n v="0"/>
    <s v="CATIVO"/>
    <n v="0"/>
    <n v="0"/>
    <n v="42"/>
    <n v="66"/>
    <n v="0"/>
    <n v="1330.19"/>
    <n v="397.62"/>
    <m/>
    <n v="1471.0742690262982"/>
    <n v="351.67159959099928"/>
    <n v="0"/>
    <n v="-4.0085192000000047"/>
    <n v="0"/>
    <n v="-4.2287704151921348"/>
    <x v="1"/>
  </r>
  <r>
    <s v="Regular"/>
    <x v="1"/>
    <x v="2"/>
    <x v="1"/>
    <x v="0"/>
    <x v="1"/>
    <x v="0"/>
    <x v="0"/>
    <x v="0"/>
    <n v="0"/>
    <n v="0"/>
    <n v="1229.2660000000001"/>
    <n v="1180.09536"/>
    <n v="1229.2660000000001"/>
    <n v="1180.09536"/>
    <n v="0"/>
    <s v="CATIVO"/>
    <n v="0"/>
    <n v="0"/>
    <n v="44"/>
    <n v="67"/>
    <n v="0"/>
    <n v="62.57"/>
    <n v="242.82"/>
    <m/>
    <n v="75.886085105957733"/>
    <n v="224.53785920244138"/>
    <n v="0"/>
    <n v="15016.221749600016"/>
    <n v="0"/>
    <n v="14772.037612968357"/>
    <x v="1"/>
  </r>
  <r>
    <s v="Sistema de Compensação"/>
    <x v="1"/>
    <x v="2"/>
    <x v="1"/>
    <x v="0"/>
    <x v="1"/>
    <x v="0"/>
    <x v="0"/>
    <x v="0"/>
    <n v="0"/>
    <n v="0"/>
    <n v="39.07"/>
    <n v="37.507199999999997"/>
    <n v="39.07"/>
    <n v="37.507199999999997"/>
    <n v="0"/>
    <s v="CATIVO"/>
    <n v="0"/>
    <n v="0"/>
    <n v="44"/>
    <n v="67"/>
    <n v="0"/>
    <n v="62.57"/>
    <n v="242.82"/>
    <m/>
    <n v="75.886085105957733"/>
    <n v="224.53785920244138"/>
    <n v="0"/>
    <n v="477.26349200000089"/>
    <n v="0"/>
    <n v="469.50254016516698"/>
    <x v="1"/>
  </r>
  <r>
    <s v="Regular"/>
    <x v="1"/>
    <x v="2"/>
    <x v="1"/>
    <x v="0"/>
    <x v="1"/>
    <x v="0"/>
    <x v="0"/>
    <x v="1"/>
    <n v="0"/>
    <n v="0"/>
    <n v="1262.5540000000001"/>
    <n v="1212.0518400000001"/>
    <n v="1262.5540000000001"/>
    <n v="1212.0518400000001"/>
    <n v="0"/>
    <s v="CATIVO"/>
    <n v="0"/>
    <n v="0"/>
    <n v="44"/>
    <n v="67"/>
    <n v="0"/>
    <n v="62.57"/>
    <n v="242.82"/>
    <m/>
    <n v="75.886085105957733"/>
    <n v="224.53785920244138"/>
    <n v="0"/>
    <n v="15422.8546424"/>
    <n v="0"/>
    <n v="15172.058103293863"/>
    <x v="1"/>
  </r>
  <r>
    <s v="Sistema de Compensação"/>
    <x v="1"/>
    <x v="2"/>
    <x v="1"/>
    <x v="0"/>
    <x v="1"/>
    <x v="0"/>
    <x v="0"/>
    <x v="1"/>
    <n v="0"/>
    <n v="0"/>
    <n v="52.603000000000002"/>
    <n v="50.49888"/>
    <n v="52.603000000000002"/>
    <n v="50.49888"/>
    <n v="0"/>
    <s v="CATIVO"/>
    <n v="0"/>
    <n v="0"/>
    <n v="44"/>
    <n v="67"/>
    <n v="0"/>
    <n v="62.57"/>
    <n v="242.82"/>
    <m/>
    <n v="75.886085105957733"/>
    <n v="224.53785920244138"/>
    <n v="0"/>
    <n v="642.57720680000057"/>
    <n v="0"/>
    <n v="632.12802969818927"/>
    <x v="1"/>
  </r>
  <r>
    <s v="Regular"/>
    <x v="1"/>
    <x v="2"/>
    <x v="1"/>
    <x v="0"/>
    <x v="1"/>
    <x v="0"/>
    <x v="0"/>
    <x v="2"/>
    <n v="0"/>
    <n v="0"/>
    <n v="1138.732"/>
    <n v="1093.18272"/>
    <n v="1138.732"/>
    <n v="1093.18272"/>
    <n v="0"/>
    <s v="CATIVO"/>
    <n v="0"/>
    <n v="0"/>
    <n v="44"/>
    <n v="67"/>
    <n v="0"/>
    <n v="62.57"/>
    <n v="242.82"/>
    <m/>
    <n v="75.886085105957733"/>
    <n v="224.53785920244138"/>
    <n v="0"/>
    <n v="13910.294619199985"/>
    <n v="0"/>
    <n v="13684.094358007664"/>
    <x v="1"/>
  </r>
  <r>
    <s v="Sistema de Compensação"/>
    <x v="1"/>
    <x v="2"/>
    <x v="1"/>
    <x v="0"/>
    <x v="1"/>
    <x v="0"/>
    <x v="0"/>
    <x v="2"/>
    <n v="0"/>
    <n v="0"/>
    <n v="76.242999999999995"/>
    <n v="73.193280000000001"/>
    <n v="76.242999999999995"/>
    <n v="73.193280000000001"/>
    <n v="0"/>
    <s v="CATIVO"/>
    <n v="0"/>
    <n v="0"/>
    <n v="44"/>
    <n v="67"/>
    <n v="0"/>
    <n v="62.57"/>
    <n v="242.82"/>
    <m/>
    <n v="75.886085105957733"/>
    <n v="224.53785920244138"/>
    <n v="0"/>
    <n v="931.35399079999797"/>
    <n v="0"/>
    <n v="916.20891143620906"/>
    <x v="1"/>
  </r>
  <r>
    <s v="Regular"/>
    <x v="1"/>
    <x v="2"/>
    <x v="1"/>
    <x v="0"/>
    <x v="1"/>
    <x v="0"/>
    <x v="0"/>
    <x v="3"/>
    <n v="0"/>
    <n v="0"/>
    <n v="1077.4010000000001"/>
    <n v="1034.3049599999999"/>
    <n v="1077.4010000000001"/>
    <n v="1034.3049599999999"/>
    <n v="0"/>
    <s v="CATIVO"/>
    <n v="0"/>
    <n v="0"/>
    <n v="44"/>
    <n v="67"/>
    <n v="0"/>
    <n v="62.57"/>
    <n v="242.82"/>
    <m/>
    <n v="75.886085105957733"/>
    <n v="224.53785920244138"/>
    <n v="0"/>
    <n v="13161.099655600039"/>
    <n v="0"/>
    <n v="12947.082320872581"/>
    <x v="1"/>
  </r>
  <r>
    <s v="Sistema de Compensação"/>
    <x v="1"/>
    <x v="2"/>
    <x v="1"/>
    <x v="0"/>
    <x v="1"/>
    <x v="0"/>
    <x v="0"/>
    <x v="3"/>
    <n v="0"/>
    <n v="0"/>
    <n v="46.671999999999997"/>
    <n v="44.805120000000002"/>
    <n v="46.671999999999997"/>
    <n v="44.805120000000002"/>
    <n v="0"/>
    <s v="CATIVO"/>
    <n v="0"/>
    <n v="0"/>
    <n v="44"/>
    <n v="67"/>
    <n v="0"/>
    <n v="62.57"/>
    <n v="242.82"/>
    <m/>
    <n v="75.886085105957733"/>
    <n v="224.53785920244138"/>
    <n v="0"/>
    <n v="570.12648319999835"/>
    <n v="0"/>
    <n v="560.85545315046261"/>
    <x v="1"/>
  </r>
  <r>
    <s v="Sistema de Compensação"/>
    <x v="1"/>
    <x v="2"/>
    <x v="1"/>
    <x v="0"/>
    <x v="1"/>
    <x v="0"/>
    <x v="0"/>
    <x v="3"/>
    <n v="0"/>
    <n v="0"/>
    <n v="-41.655999999999999"/>
    <n v="-39.989759999999997"/>
    <n v="-41.655999999999999"/>
    <n v="-39.989759999999997"/>
    <n v="0"/>
    <s v="CATIVO"/>
    <n v="0"/>
    <n v="0"/>
    <n v="44"/>
    <n v="67"/>
    <n v="0"/>
    <n v="62.57"/>
    <n v="242.82"/>
    <m/>
    <n v="75.886085105957733"/>
    <n v="224.53785920244138"/>
    <n v="0"/>
    <n v="-508.85303360000057"/>
    <n v="0"/>
    <n v="-500.57839296442756"/>
    <x v="1"/>
  </r>
  <r>
    <s v="Regular"/>
    <x v="1"/>
    <x v="2"/>
    <x v="1"/>
    <x v="0"/>
    <x v="1"/>
    <x v="0"/>
    <x v="0"/>
    <x v="4"/>
    <n v="0"/>
    <n v="0"/>
    <n v="1180.106"/>
    <n v="1132.90176"/>
    <n v="1180.106"/>
    <n v="1132.90176"/>
    <n v="0"/>
    <s v="CATIVO"/>
    <n v="0"/>
    <n v="0"/>
    <n v="44"/>
    <n v="67"/>
    <n v="0"/>
    <n v="62.57"/>
    <n v="242.82"/>
    <m/>
    <n v="75.886085105957733"/>
    <n v="224.53785920244138"/>
    <n v="0"/>
    <n v="14415.702853600009"/>
    <n v="0"/>
    <n v="14181.283968880314"/>
    <x v="1"/>
  </r>
  <r>
    <s v="Refaturamento - Regular"/>
    <x v="1"/>
    <x v="2"/>
    <x v="1"/>
    <x v="0"/>
    <x v="1"/>
    <x v="0"/>
    <x v="0"/>
    <x v="4"/>
    <n v="0"/>
    <n v="0"/>
    <n v="-6.8970000000000002"/>
    <n v="-6.6211200000000003"/>
    <n v="-6.8970000000000002"/>
    <n v="-6.6211200000000003"/>
    <n v="0"/>
    <s v="CATIVO"/>
    <n v="0"/>
    <n v="0"/>
    <n v="44"/>
    <n v="67"/>
    <n v="0"/>
    <n v="62.57"/>
    <n v="242.82"/>
    <m/>
    <n v="75.886085105957733"/>
    <n v="224.53785920244138"/>
    <n v="0"/>
    <n v="-84.250993199999982"/>
    <n v="0"/>
    <n v="-82.88095775580112"/>
    <x v="1"/>
  </r>
  <r>
    <s v="Sistema de Compensação"/>
    <x v="1"/>
    <x v="2"/>
    <x v="1"/>
    <x v="0"/>
    <x v="1"/>
    <x v="0"/>
    <x v="0"/>
    <x v="4"/>
    <n v="0"/>
    <n v="0"/>
    <n v="32.405000000000001"/>
    <n v="31.108799999999999"/>
    <n v="32.405000000000001"/>
    <n v="31.108799999999999"/>
    <n v="0"/>
    <s v="CATIVO"/>
    <n v="0"/>
    <n v="0"/>
    <n v="44"/>
    <n v="67"/>
    <n v="0"/>
    <n v="62.57"/>
    <n v="242.82"/>
    <m/>
    <n v="75.886085105957733"/>
    <n v="224.53785920244138"/>
    <n v="0"/>
    <n v="395.84651800000074"/>
    <n v="0"/>
    <n v="389.40951661254769"/>
    <x v="1"/>
  </r>
  <r>
    <s v="Regular"/>
    <x v="1"/>
    <x v="2"/>
    <x v="1"/>
    <x v="0"/>
    <x v="1"/>
    <x v="0"/>
    <x v="0"/>
    <x v="5"/>
    <n v="0"/>
    <n v="0"/>
    <n v="1193.9010000000001"/>
    <n v="1146.1449600000001"/>
    <n v="1193.9010000000001"/>
    <n v="1146.1449600000001"/>
    <n v="0"/>
    <s v="CATIVO"/>
    <n v="0"/>
    <n v="0"/>
    <n v="44"/>
    <n v="67"/>
    <n v="0"/>
    <n v="62.57"/>
    <n v="242.82"/>
    <m/>
    <n v="75.886085105957733"/>
    <n v="224.53785920244138"/>
    <n v="0"/>
    <n v="14584.217055599995"/>
    <n v="0"/>
    <n v="14347.057901349675"/>
    <x v="1"/>
  </r>
  <r>
    <s v="Sistema de Compensação"/>
    <x v="1"/>
    <x v="2"/>
    <x v="1"/>
    <x v="0"/>
    <x v="1"/>
    <x v="0"/>
    <x v="0"/>
    <x v="5"/>
    <n v="0"/>
    <n v="0"/>
    <n v="90.117000000000004"/>
    <n v="86.512320000000003"/>
    <n v="90.117000000000004"/>
    <n v="86.512320000000003"/>
    <n v="0"/>
    <s v="CATIVO"/>
    <n v="0"/>
    <n v="0"/>
    <n v="44"/>
    <n v="67"/>
    <n v="0"/>
    <n v="62.57"/>
    <n v="242.82"/>
    <m/>
    <n v="75.886085105957733"/>
    <n v="224.53785920244138"/>
    <n v="0"/>
    <n v="1100.8332252000005"/>
    <n v="0"/>
    <n v="1082.9321835696007"/>
    <x v="1"/>
  </r>
  <r>
    <s v="Regular"/>
    <x v="1"/>
    <x v="2"/>
    <x v="1"/>
    <x v="0"/>
    <x v="1"/>
    <x v="0"/>
    <x v="0"/>
    <x v="6"/>
    <n v="0"/>
    <n v="0"/>
    <n v="999.81799999999998"/>
    <n v="959.82528000000002"/>
    <n v="999.81799999999998"/>
    <n v="959.82528000000002"/>
    <n v="0"/>
    <s v="CATIVO"/>
    <n v="0"/>
    <n v="0"/>
    <n v="44"/>
    <n v="67"/>
    <n v="0"/>
    <n v="62.57"/>
    <n v="242.82"/>
    <m/>
    <n v="75.886085105957733"/>
    <n v="224.53785920244138"/>
    <n v="0"/>
    <n v="12213.376760799987"/>
    <n v="0"/>
    <n v="12014.770686021389"/>
    <x v="1"/>
  </r>
  <r>
    <s v="Refaturamento - Regular"/>
    <x v="1"/>
    <x v="2"/>
    <x v="1"/>
    <x v="0"/>
    <x v="1"/>
    <x v="0"/>
    <x v="0"/>
    <x v="6"/>
    <n v="0"/>
    <n v="0"/>
    <n v="45.15"/>
    <n v="43.344000000000001"/>
    <n v="45.15"/>
    <n v="43.344000000000001"/>
    <n v="0"/>
    <s v="CATIVO"/>
    <n v="0"/>
    <n v="0"/>
    <n v="44"/>
    <n v="67"/>
    <n v="0"/>
    <n v="62.57"/>
    <n v="242.82"/>
    <m/>
    <n v="75.886085105957733"/>
    <n v="224.53785920244138"/>
    <n v="0"/>
    <n v="551.53433999999925"/>
    <n v="0"/>
    <n v="542.56564342096794"/>
    <x v="1"/>
  </r>
  <r>
    <s v="Sistema de Compensação"/>
    <x v="1"/>
    <x v="2"/>
    <x v="1"/>
    <x v="0"/>
    <x v="1"/>
    <x v="0"/>
    <x v="0"/>
    <x v="6"/>
    <n v="0"/>
    <n v="0"/>
    <n v="42.384999999999998"/>
    <n v="40.689599999999999"/>
    <n v="42.384999999999998"/>
    <n v="40.689599999999999"/>
    <n v="0"/>
    <s v="CATIVO"/>
    <n v="0"/>
    <n v="0"/>
    <n v="44"/>
    <n v="67"/>
    <n v="0"/>
    <n v="62.57"/>
    <n v="242.82"/>
    <m/>
    <n v="75.886085105957733"/>
    <n v="224.53785920244138"/>
    <n v="0"/>
    <n v="517.75820599999975"/>
    <n v="0"/>
    <n v="509.33875518045966"/>
    <x v="1"/>
  </r>
  <r>
    <s v="Regular"/>
    <x v="1"/>
    <x v="2"/>
    <x v="1"/>
    <x v="0"/>
    <x v="1"/>
    <x v="0"/>
    <x v="0"/>
    <x v="7"/>
    <n v="0"/>
    <n v="0"/>
    <n v="1049.3699999999999"/>
    <n v="1007.3952"/>
    <n v="1049.3699999999999"/>
    <n v="1007.3952"/>
    <n v="0"/>
    <s v="CATIVO"/>
    <n v="0"/>
    <n v="0"/>
    <n v="44"/>
    <n v="67"/>
    <n v="0"/>
    <n v="62.57"/>
    <n v="242.82"/>
    <m/>
    <n v="75.886085105957733"/>
    <n v="224.53785920244138"/>
    <n v="0"/>
    <n v="12818.684171999952"/>
    <n v="0"/>
    <n v="12610.234977556143"/>
    <x v="1"/>
  </r>
  <r>
    <s v="Refaturamento - Regular"/>
    <x v="1"/>
    <x v="2"/>
    <x v="1"/>
    <x v="0"/>
    <x v="1"/>
    <x v="0"/>
    <x v="0"/>
    <x v="7"/>
    <n v="0"/>
    <n v="0"/>
    <n v="-28.718"/>
    <n v="-27.569279999999999"/>
    <n v="-28.718"/>
    <n v="-27.569279999999999"/>
    <n v="0"/>
    <s v="CATIVO"/>
    <n v="0"/>
    <n v="0"/>
    <n v="44"/>
    <n v="67"/>
    <n v="0"/>
    <n v="62.57"/>
    <n v="242.82"/>
    <m/>
    <n v="75.886085105957733"/>
    <n v="224.53785920244138"/>
    <n v="0"/>
    <n v="-350.80760080000027"/>
    <n v="0"/>
    <n v="-345.10299330594449"/>
    <x v="1"/>
  </r>
  <r>
    <s v="Sistema de Compensação"/>
    <x v="1"/>
    <x v="2"/>
    <x v="1"/>
    <x v="0"/>
    <x v="1"/>
    <x v="0"/>
    <x v="0"/>
    <x v="7"/>
    <n v="0"/>
    <n v="0"/>
    <n v="28.227"/>
    <n v="27.097919999999998"/>
    <n v="28.227"/>
    <n v="27.097919999999998"/>
    <n v="0"/>
    <s v="CATIVO"/>
    <n v="0"/>
    <n v="0"/>
    <n v="44"/>
    <n v="67"/>
    <n v="0"/>
    <n v="62.57"/>
    <n v="242.82"/>
    <m/>
    <n v="75.886085105957733"/>
    <n v="224.53785920244138"/>
    <n v="0"/>
    <n v="344.80974120000053"/>
    <n v="0"/>
    <n v="339.20266703972783"/>
    <x v="1"/>
  </r>
  <r>
    <s v="Regular"/>
    <x v="1"/>
    <x v="2"/>
    <x v="1"/>
    <x v="0"/>
    <x v="1"/>
    <x v="0"/>
    <x v="0"/>
    <x v="8"/>
    <n v="0"/>
    <n v="0"/>
    <n v="1056.098"/>
    <n v="1013.85408"/>
    <n v="1056.098"/>
    <n v="1013.85408"/>
    <n v="0"/>
    <s v="CATIVO"/>
    <n v="0"/>
    <n v="0"/>
    <n v="44"/>
    <n v="67"/>
    <n v="0"/>
    <n v="62.57"/>
    <n v="242.82"/>
    <m/>
    <n v="75.886085105957733"/>
    <n v="224.53785920244138"/>
    <n v="0"/>
    <n v="12900.870728800001"/>
    <n v="0"/>
    <n v="12691.085069448467"/>
    <x v="1"/>
  </r>
  <r>
    <s v="Refaturamento - Regular"/>
    <x v="1"/>
    <x v="2"/>
    <x v="1"/>
    <x v="0"/>
    <x v="1"/>
    <x v="0"/>
    <x v="0"/>
    <x v="8"/>
    <n v="0"/>
    <n v="0"/>
    <n v="1.07"/>
    <n v="1.0271999999999999"/>
    <n v="1.07"/>
    <n v="1.0271999999999999"/>
    <n v="0"/>
    <s v="CATIVO"/>
    <n v="0"/>
    <n v="0"/>
    <n v="44"/>
    <n v="67"/>
    <n v="0"/>
    <n v="62.57"/>
    <n v="242.82"/>
    <m/>
    <n v="75.886085105957733"/>
    <n v="224.53785920244138"/>
    <n v="0"/>
    <n v="13.070692000000053"/>
    <n v="0"/>
    <n v="12.858144816399534"/>
    <x v="1"/>
  </r>
  <r>
    <s v="Sistema de Compensação"/>
    <x v="1"/>
    <x v="2"/>
    <x v="1"/>
    <x v="0"/>
    <x v="1"/>
    <x v="0"/>
    <x v="0"/>
    <x v="8"/>
    <n v="0"/>
    <n v="0"/>
    <n v="40.970999999999997"/>
    <n v="39.332160000000002"/>
    <n v="40.970999999999997"/>
    <n v="39.332160000000002"/>
    <n v="0"/>
    <s v="CATIVO"/>
    <n v="0"/>
    <n v="0"/>
    <n v="44"/>
    <n v="67"/>
    <n v="0"/>
    <n v="62.57"/>
    <n v="242.82"/>
    <m/>
    <n v="75.886085105957733"/>
    <n v="224.53785920244138"/>
    <n v="0"/>
    <n v="500.48534759999836"/>
    <n v="0"/>
    <n v="492.34677689037522"/>
    <x v="1"/>
  </r>
  <r>
    <s v="Sistema de Compensação"/>
    <x v="1"/>
    <x v="2"/>
    <x v="1"/>
    <x v="0"/>
    <x v="1"/>
    <x v="0"/>
    <x v="0"/>
    <x v="8"/>
    <n v="0"/>
    <n v="0"/>
    <n v="-75.525000000000006"/>
    <n v="-72.504000000000005"/>
    <n v="-75.525000000000006"/>
    <n v="-72.504000000000005"/>
    <n v="0"/>
    <s v="CATIVO"/>
    <n v="0"/>
    <n v="0"/>
    <n v="44"/>
    <n v="67"/>
    <n v="0"/>
    <n v="62.57"/>
    <n v="242.82"/>
    <m/>
    <n v="75.886085105957733"/>
    <n v="224.53785920244138"/>
    <n v="0"/>
    <n v="-922.58319000000029"/>
    <n v="0"/>
    <n v="-907.58073575567391"/>
    <x v="1"/>
  </r>
  <r>
    <s v="Regular"/>
    <x v="1"/>
    <x v="2"/>
    <x v="1"/>
    <x v="0"/>
    <x v="1"/>
    <x v="0"/>
    <x v="0"/>
    <x v="9"/>
    <n v="0"/>
    <n v="0"/>
    <n v="1185.383"/>
    <n v="1137.96768"/>
    <n v="1185.383"/>
    <n v="1137.96768"/>
    <n v="0"/>
    <s v="CATIVO"/>
    <n v="0"/>
    <n v="0"/>
    <n v="44"/>
    <n v="67"/>
    <n v="0"/>
    <n v="62.57"/>
    <n v="242.82"/>
    <m/>
    <n v="75.886085105957733"/>
    <n v="224.53785920244138"/>
    <n v="0"/>
    <n v="14480.164574800019"/>
    <n v="0"/>
    <n v="14244.697455044941"/>
    <x v="1"/>
  </r>
  <r>
    <s v="Sistema de Compensação"/>
    <x v="1"/>
    <x v="2"/>
    <x v="1"/>
    <x v="0"/>
    <x v="1"/>
    <x v="0"/>
    <x v="0"/>
    <x v="9"/>
    <n v="0"/>
    <n v="0"/>
    <n v="40.915999999999997"/>
    <n v="39.279359999999997"/>
    <n v="40.915999999999997"/>
    <n v="39.279359999999997"/>
    <n v="0"/>
    <s v="CATIVO"/>
    <n v="0"/>
    <n v="0"/>
    <n v="44"/>
    <n v="67"/>
    <n v="0"/>
    <n v="62.57"/>
    <n v="242.82"/>
    <m/>
    <n v="75.886085105957733"/>
    <n v="224.53785920244138"/>
    <n v="0"/>
    <n v="499.81348959999997"/>
    <n v="0"/>
    <n v="491.6858442128983"/>
    <x v="1"/>
  </r>
  <r>
    <s v="Regular"/>
    <x v="1"/>
    <x v="2"/>
    <x v="1"/>
    <x v="0"/>
    <x v="1"/>
    <x v="0"/>
    <x v="0"/>
    <x v="10"/>
    <n v="0"/>
    <n v="0"/>
    <n v="1157.3920000000001"/>
    <n v="1111.0963200000001"/>
    <n v="1157.3920000000001"/>
    <n v="1111.0963200000001"/>
    <n v="0"/>
    <s v="CATIVO"/>
    <n v="0"/>
    <n v="0"/>
    <n v="44"/>
    <n v="67"/>
    <n v="0"/>
    <n v="62.57"/>
    <n v="242.82"/>
    <m/>
    <n v="75.886085105957733"/>
    <n v="224.53785920244138"/>
    <n v="0"/>
    <n v="14138.237715199983"/>
    <n v="0"/>
    <n v="13908.33079003945"/>
    <x v="1"/>
  </r>
  <r>
    <s v="Sistema de Compensação"/>
    <x v="1"/>
    <x v="2"/>
    <x v="1"/>
    <x v="0"/>
    <x v="1"/>
    <x v="0"/>
    <x v="0"/>
    <x v="10"/>
    <n v="0"/>
    <n v="0"/>
    <n v="41.808999999999997"/>
    <n v="40.13664"/>
    <n v="41.808999999999997"/>
    <n v="40.13664"/>
    <n v="0"/>
    <s v="CATIVO"/>
    <n v="0"/>
    <n v="0"/>
    <n v="44"/>
    <n v="67"/>
    <n v="0"/>
    <n v="62.57"/>
    <n v="242.82"/>
    <m/>
    <n v="75.886085105957733"/>
    <n v="224.53785920244138"/>
    <n v="0"/>
    <n v="510.72202039999922"/>
    <n v="0"/>
    <n v="502.41698750359359"/>
    <x v="1"/>
  </r>
  <r>
    <s v="PROJETADO"/>
    <x v="1"/>
    <x v="2"/>
    <x v="1"/>
    <x v="0"/>
    <x v="1"/>
    <x v="0"/>
    <x v="0"/>
    <x v="11"/>
    <n v="0"/>
    <n v="0"/>
    <n v="1157.3920000000001"/>
    <n v="1111.0963200000001"/>
    <n v="1157.3920000000001"/>
    <n v="1111.0963200000001"/>
    <n v="0"/>
    <s v="CATIVO"/>
    <n v="0"/>
    <n v="0"/>
    <n v="44"/>
    <n v="67"/>
    <n v="0"/>
    <n v="62.57"/>
    <n v="242.82"/>
    <m/>
    <n v="75.886085105957733"/>
    <n v="224.53785920244138"/>
    <n v="0"/>
    <n v="14138.237715199983"/>
    <n v="0"/>
    <n v="13908.33079003945"/>
    <x v="1"/>
  </r>
  <r>
    <s v="PROJETADO"/>
    <x v="1"/>
    <x v="2"/>
    <x v="1"/>
    <x v="0"/>
    <x v="1"/>
    <x v="0"/>
    <x v="0"/>
    <x v="11"/>
    <n v="0"/>
    <n v="0"/>
    <n v="41.808999999999997"/>
    <n v="40.13664"/>
    <n v="41.808999999999997"/>
    <n v="40.13664"/>
    <n v="0"/>
    <s v="CATIVO"/>
    <n v="0"/>
    <n v="0"/>
    <n v="44"/>
    <n v="67"/>
    <n v="0"/>
    <n v="62.57"/>
    <n v="242.82"/>
    <m/>
    <n v="75.886085105957733"/>
    <n v="224.53785920244138"/>
    <n v="0"/>
    <n v="510.72202039999922"/>
    <n v="0"/>
    <n v="502.41698750359359"/>
    <x v="1"/>
  </r>
  <r>
    <s v="Regular"/>
    <x v="1"/>
    <x v="2"/>
    <x v="1"/>
    <x v="0"/>
    <x v="1"/>
    <x v="0"/>
    <x v="1"/>
    <x v="0"/>
    <n v="5580"/>
    <n v="5356.8"/>
    <n v="0"/>
    <n v="0"/>
    <n v="0"/>
    <n v="0"/>
    <n v="70"/>
    <s v="CATIVO"/>
    <n v="0"/>
    <n v="40"/>
    <n v="0"/>
    <n v="0"/>
    <n v="26.22"/>
    <n v="0"/>
    <n v="0"/>
    <n v="28.891757284072764"/>
    <m/>
    <m/>
    <n v="5852.3039999999946"/>
    <n v="0"/>
    <n v="6448.6402258050357"/>
    <n v="0"/>
    <x v="1"/>
  </r>
  <r>
    <s v="Refaturamento - Regular"/>
    <x v="1"/>
    <x v="2"/>
    <x v="1"/>
    <x v="0"/>
    <x v="1"/>
    <x v="0"/>
    <x v="1"/>
    <x v="0"/>
    <n v="44"/>
    <n v="42.24"/>
    <n v="0"/>
    <n v="0"/>
    <n v="0"/>
    <n v="0"/>
    <n v="2"/>
    <s v="CATIVO"/>
    <n v="0"/>
    <n v="40"/>
    <n v="0"/>
    <n v="0"/>
    <n v="26.22"/>
    <n v="0"/>
    <n v="0"/>
    <n v="28.891757284072764"/>
    <m/>
    <m/>
    <n v="46.147199999999948"/>
    <n v="0"/>
    <n v="50.849492819968006"/>
    <n v="0"/>
    <x v="1"/>
  </r>
  <r>
    <s v="Sistema de Compensação"/>
    <x v="1"/>
    <x v="2"/>
    <x v="1"/>
    <x v="0"/>
    <x v="1"/>
    <x v="0"/>
    <x v="1"/>
    <x v="0"/>
    <n v="308"/>
    <n v="295.68"/>
    <n v="0"/>
    <n v="0"/>
    <n v="0"/>
    <n v="0"/>
    <n v="4"/>
    <s v="CATIVO"/>
    <n v="0"/>
    <n v="40"/>
    <n v="0"/>
    <n v="0"/>
    <n v="26.22"/>
    <n v="0"/>
    <n v="0"/>
    <n v="28.891757284072764"/>
    <m/>
    <m/>
    <n v="323.03039999999982"/>
    <n v="0"/>
    <n v="355.94644973977626"/>
    <n v="0"/>
    <x v="1"/>
  </r>
  <r>
    <s v="Sistema de Compensação"/>
    <x v="1"/>
    <x v="2"/>
    <x v="1"/>
    <x v="0"/>
    <x v="1"/>
    <x v="0"/>
    <x v="1"/>
    <x v="0"/>
    <n v="44"/>
    <n v="42.24"/>
    <n v="0"/>
    <n v="0"/>
    <n v="0"/>
    <n v="0"/>
    <n v="4"/>
    <s v="CATIVO"/>
    <n v="0"/>
    <n v="40"/>
    <n v="0"/>
    <n v="0"/>
    <n v="26.22"/>
    <n v="0"/>
    <n v="0"/>
    <n v="28.891757284072764"/>
    <m/>
    <m/>
    <n v="46.147199999999948"/>
    <n v="0"/>
    <n v="50.849492819968006"/>
    <n v="0"/>
    <x v="1"/>
  </r>
  <r>
    <s v="Regular"/>
    <x v="1"/>
    <x v="2"/>
    <x v="1"/>
    <x v="0"/>
    <x v="1"/>
    <x v="0"/>
    <x v="1"/>
    <x v="1"/>
    <n v="4891"/>
    <n v="4695.3599999999997"/>
    <n v="0"/>
    <n v="0"/>
    <n v="0"/>
    <n v="0"/>
    <n v="52"/>
    <s v="CATIVO"/>
    <n v="0"/>
    <n v="40"/>
    <n v="0"/>
    <n v="0"/>
    <n v="26.22"/>
    <n v="0"/>
    <n v="0"/>
    <n v="28.891757284072764"/>
    <m/>
    <m/>
    <n v="5129.6808000000083"/>
    <n v="0"/>
    <n v="5652.3833950560047"/>
    <n v="0"/>
    <x v="1"/>
  </r>
  <r>
    <s v="Refaturamento - Regular"/>
    <x v="1"/>
    <x v="2"/>
    <x v="1"/>
    <x v="0"/>
    <x v="1"/>
    <x v="0"/>
    <x v="1"/>
    <x v="1"/>
    <n v="-219"/>
    <n v="-210.24"/>
    <n v="0"/>
    <n v="0"/>
    <n v="0"/>
    <n v="0"/>
    <n v="0"/>
    <s v="CATIVO"/>
    <n v="0"/>
    <n v="40"/>
    <n v="0"/>
    <n v="0"/>
    <n v="26.22"/>
    <n v="0"/>
    <n v="0"/>
    <n v="28.891757284072764"/>
    <m/>
    <m/>
    <n v="-229.68719999999976"/>
    <n v="0"/>
    <n v="-253.09179380847715"/>
    <n v="0"/>
    <x v="1"/>
  </r>
  <r>
    <s v="Sistema de Compensação"/>
    <x v="1"/>
    <x v="2"/>
    <x v="1"/>
    <x v="0"/>
    <x v="1"/>
    <x v="0"/>
    <x v="1"/>
    <x v="1"/>
    <n v="468"/>
    <n v="449.28"/>
    <n v="0"/>
    <n v="0"/>
    <n v="0"/>
    <n v="0"/>
    <n v="5"/>
    <s v="CATIVO"/>
    <n v="0"/>
    <n v="40"/>
    <n v="0"/>
    <n v="0"/>
    <n v="26.22"/>
    <n v="0"/>
    <n v="0"/>
    <n v="28.891757284072764"/>
    <m/>
    <m/>
    <n v="490.83840000000072"/>
    <n v="0"/>
    <n v="540.85369635784298"/>
    <n v="0"/>
    <x v="1"/>
  </r>
  <r>
    <s v="Regular"/>
    <x v="1"/>
    <x v="2"/>
    <x v="1"/>
    <x v="0"/>
    <x v="1"/>
    <x v="0"/>
    <x v="1"/>
    <x v="2"/>
    <n v="5809"/>
    <n v="5576.64"/>
    <n v="0"/>
    <n v="0"/>
    <n v="0"/>
    <n v="0"/>
    <n v="55"/>
    <s v="CATIVO"/>
    <n v="0"/>
    <n v="40"/>
    <n v="0"/>
    <n v="0"/>
    <n v="26.22"/>
    <n v="0"/>
    <n v="0"/>
    <n v="28.891757284072764"/>
    <m/>
    <m/>
    <n v="6092.4791999999916"/>
    <n v="0"/>
    <n v="6713.2887225271379"/>
    <n v="0"/>
    <x v="1"/>
  </r>
  <r>
    <s v="Refaturamento - Regular"/>
    <x v="1"/>
    <x v="2"/>
    <x v="1"/>
    <x v="0"/>
    <x v="1"/>
    <x v="0"/>
    <x v="1"/>
    <x v="2"/>
    <n v="70"/>
    <n v="67.2"/>
    <n v="0"/>
    <n v="0"/>
    <n v="0"/>
    <n v="0"/>
    <n v="4"/>
    <s v="CATIVO"/>
    <n v="0"/>
    <n v="40"/>
    <n v="0"/>
    <n v="0"/>
    <n v="26.22"/>
    <n v="0"/>
    <n v="0"/>
    <n v="28.891757284072764"/>
    <m/>
    <m/>
    <n v="73.415999999999926"/>
    <n v="0"/>
    <n v="80.896920395403654"/>
    <n v="0"/>
    <x v="1"/>
  </r>
  <r>
    <s v="Sistema de Compensação"/>
    <x v="1"/>
    <x v="2"/>
    <x v="1"/>
    <x v="0"/>
    <x v="1"/>
    <x v="0"/>
    <x v="1"/>
    <x v="2"/>
    <n v="564"/>
    <n v="541.44000000000005"/>
    <n v="0"/>
    <n v="0"/>
    <n v="0"/>
    <n v="0"/>
    <n v="5"/>
    <s v="CATIVO"/>
    <n v="0"/>
    <n v="40"/>
    <n v="0"/>
    <n v="0"/>
    <n v="26.22"/>
    <n v="0"/>
    <n v="0"/>
    <n v="28.891757284072764"/>
    <m/>
    <m/>
    <n v="591.5231999999985"/>
    <n v="0"/>
    <n v="651.79804432868002"/>
    <n v="0"/>
    <x v="1"/>
  </r>
  <r>
    <s v="Regular"/>
    <x v="1"/>
    <x v="2"/>
    <x v="1"/>
    <x v="0"/>
    <x v="1"/>
    <x v="0"/>
    <x v="1"/>
    <x v="3"/>
    <n v="7448"/>
    <n v="7150.08"/>
    <n v="0"/>
    <n v="0"/>
    <n v="0"/>
    <n v="0"/>
    <n v="44"/>
    <s v="CATIVO"/>
    <n v="0"/>
    <n v="40"/>
    <n v="0"/>
    <n v="0"/>
    <n v="26.22"/>
    <n v="0"/>
    <n v="0"/>
    <n v="28.891757284072764"/>
    <m/>
    <m/>
    <n v="7811.4624000000013"/>
    <n v="0"/>
    <n v="8607.4323300709602"/>
    <n v="0"/>
    <x v="1"/>
  </r>
  <r>
    <s v="Refaturamento - Regular"/>
    <x v="1"/>
    <x v="2"/>
    <x v="1"/>
    <x v="0"/>
    <x v="1"/>
    <x v="0"/>
    <x v="1"/>
    <x v="3"/>
    <n v="46"/>
    <n v="44.16"/>
    <n v="0"/>
    <n v="0"/>
    <n v="0"/>
    <n v="0"/>
    <n v="1"/>
    <s v="CATIVO"/>
    <n v="0"/>
    <n v="40"/>
    <n v="0"/>
    <n v="0"/>
    <n v="26.22"/>
    <n v="0"/>
    <n v="0"/>
    <n v="28.891757284072764"/>
    <m/>
    <m/>
    <n v="48.24480000000009"/>
    <n v="0"/>
    <n v="53.160833402693981"/>
    <n v="0"/>
    <x v="1"/>
  </r>
  <r>
    <s v="Sistema de Compensação"/>
    <x v="1"/>
    <x v="2"/>
    <x v="1"/>
    <x v="0"/>
    <x v="1"/>
    <x v="0"/>
    <x v="1"/>
    <x v="3"/>
    <n v="340"/>
    <n v="326.39999999999998"/>
    <n v="0"/>
    <n v="0"/>
    <n v="0"/>
    <n v="0"/>
    <n v="4"/>
    <s v="CATIVO"/>
    <n v="0"/>
    <n v="40"/>
    <n v="0"/>
    <n v="0"/>
    <n v="26.22"/>
    <n v="0"/>
    <n v="0"/>
    <n v="28.891757284072764"/>
    <m/>
    <m/>
    <n v="356.59200000000055"/>
    <n v="0"/>
    <n v="392.92789906339027"/>
    <n v="0"/>
    <x v="1"/>
  </r>
  <r>
    <s v="Sistema de Compensação"/>
    <x v="1"/>
    <x v="2"/>
    <x v="1"/>
    <x v="0"/>
    <x v="1"/>
    <x v="0"/>
    <x v="1"/>
    <x v="3"/>
    <n v="-241"/>
    <n v="-231.36"/>
    <n v="0"/>
    <n v="0"/>
    <n v="0"/>
    <n v="0"/>
    <n v="-1"/>
    <s v="CATIVO"/>
    <n v="0"/>
    <n v="40"/>
    <n v="0"/>
    <n v="0"/>
    <n v="26.22"/>
    <n v="0"/>
    <n v="0"/>
    <n v="28.891757284072764"/>
    <m/>
    <m/>
    <n v="-252.76079999999962"/>
    <n v="0"/>
    <n v="-278.51654021846105"/>
    <n v="0"/>
    <x v="1"/>
  </r>
  <r>
    <s v="Regular"/>
    <x v="1"/>
    <x v="2"/>
    <x v="1"/>
    <x v="0"/>
    <x v="1"/>
    <x v="0"/>
    <x v="1"/>
    <x v="4"/>
    <n v="5500"/>
    <n v="5280"/>
    <n v="0"/>
    <n v="0"/>
    <n v="0"/>
    <n v="0"/>
    <n v="47"/>
    <s v="CATIVO"/>
    <n v="0"/>
    <n v="40"/>
    <n v="0"/>
    <n v="0"/>
    <n v="26.22"/>
    <n v="0"/>
    <n v="0"/>
    <n v="28.891757284072764"/>
    <m/>
    <m/>
    <n v="5768.4"/>
    <n v="0"/>
    <n v="6356.1866024960082"/>
    <n v="0"/>
    <x v="1"/>
  </r>
  <r>
    <s v="Refaturamento - Regular"/>
    <x v="1"/>
    <x v="2"/>
    <x v="1"/>
    <x v="0"/>
    <x v="1"/>
    <x v="0"/>
    <x v="1"/>
    <x v="4"/>
    <n v="-49"/>
    <n v="-47.04"/>
    <n v="0"/>
    <n v="0"/>
    <n v="0"/>
    <n v="0"/>
    <n v="-1"/>
    <s v="CATIVO"/>
    <n v="0"/>
    <n v="40"/>
    <n v="0"/>
    <n v="0"/>
    <n v="26.22"/>
    <n v="0"/>
    <n v="0"/>
    <n v="28.891757284072764"/>
    <m/>
    <m/>
    <n v="-51.391200000000019"/>
    <n v="0"/>
    <n v="-56.627844276782639"/>
    <n v="0"/>
    <x v="1"/>
  </r>
  <r>
    <s v="Sistema de Compensação"/>
    <x v="1"/>
    <x v="2"/>
    <x v="1"/>
    <x v="0"/>
    <x v="1"/>
    <x v="0"/>
    <x v="1"/>
    <x v="4"/>
    <n v="329"/>
    <n v="315.83999999999997"/>
    <n v="0"/>
    <n v="0"/>
    <n v="0"/>
    <n v="0"/>
    <n v="4"/>
    <s v="CATIVO"/>
    <n v="0"/>
    <n v="40"/>
    <n v="0"/>
    <n v="0"/>
    <n v="26.22"/>
    <n v="0"/>
    <n v="0"/>
    <n v="28.891757284072764"/>
    <m/>
    <m/>
    <n v="345.05520000000064"/>
    <n v="0"/>
    <n v="380.21552585839828"/>
    <n v="0"/>
    <x v="1"/>
  </r>
  <r>
    <s v="Regular"/>
    <x v="1"/>
    <x v="2"/>
    <x v="1"/>
    <x v="0"/>
    <x v="1"/>
    <x v="0"/>
    <x v="1"/>
    <x v="5"/>
    <n v="3939"/>
    <n v="3781.44"/>
    <n v="0"/>
    <n v="0"/>
    <n v="0"/>
    <n v="0"/>
    <n v="44"/>
    <s v="CATIVO"/>
    <n v="0"/>
    <n v="40"/>
    <n v="0"/>
    <n v="0"/>
    <n v="26.22"/>
    <n v="0"/>
    <n v="0"/>
    <n v="28.891757284072764"/>
    <m/>
    <m/>
    <n v="4131.2231999999985"/>
    <n v="0"/>
    <n v="4552.1852776785026"/>
    <n v="0"/>
    <x v="1"/>
  </r>
  <r>
    <s v="Sistema de Compensação"/>
    <x v="1"/>
    <x v="2"/>
    <x v="1"/>
    <x v="0"/>
    <x v="1"/>
    <x v="0"/>
    <x v="1"/>
    <x v="5"/>
    <n v="249"/>
    <n v="239.04"/>
    <n v="0"/>
    <n v="0"/>
    <n v="0"/>
    <n v="0"/>
    <n v="4"/>
    <s v="CATIVO"/>
    <n v="0"/>
    <n v="40"/>
    <n v="0"/>
    <n v="0"/>
    <n v="26.22"/>
    <n v="0"/>
    <n v="0"/>
    <n v="28.891757284072764"/>
    <m/>
    <m/>
    <n v="261.15120000000019"/>
    <n v="0"/>
    <n v="287.76190254936495"/>
    <n v="0"/>
    <x v="1"/>
  </r>
  <r>
    <s v="Regular"/>
    <x v="1"/>
    <x v="2"/>
    <x v="1"/>
    <x v="0"/>
    <x v="1"/>
    <x v="0"/>
    <x v="1"/>
    <x v="6"/>
    <n v="4123"/>
    <n v="3958.08"/>
    <n v="0"/>
    <n v="0"/>
    <n v="0"/>
    <n v="0"/>
    <n v="39"/>
    <s v="CATIVO"/>
    <n v="0"/>
    <n v="40"/>
    <n v="0"/>
    <n v="0"/>
    <n v="26.22"/>
    <n v="0"/>
    <n v="0"/>
    <n v="28.891757284072764"/>
    <m/>
    <m/>
    <n v="4324.2024000000019"/>
    <n v="0"/>
    <n v="4764.828611289282"/>
    <n v="0"/>
    <x v="1"/>
  </r>
  <r>
    <s v="Refaturamento - Regular"/>
    <x v="1"/>
    <x v="2"/>
    <x v="1"/>
    <x v="0"/>
    <x v="1"/>
    <x v="0"/>
    <x v="1"/>
    <x v="6"/>
    <n v="304"/>
    <n v="291.83999999999997"/>
    <n v="0"/>
    <n v="0"/>
    <n v="0"/>
    <n v="0"/>
    <n v="1"/>
    <s v="CATIVO"/>
    <n v="0"/>
    <n v="40"/>
    <n v="0"/>
    <n v="0"/>
    <n v="26.22"/>
    <n v="0"/>
    <n v="0"/>
    <n v="28.891757284072764"/>
    <m/>
    <m/>
    <n v="318.83520000000067"/>
    <n v="0"/>
    <n v="351.32376857432553"/>
    <n v="0"/>
    <x v="1"/>
  </r>
  <r>
    <s v="Sistema de Compensação"/>
    <x v="1"/>
    <x v="2"/>
    <x v="1"/>
    <x v="0"/>
    <x v="1"/>
    <x v="0"/>
    <x v="1"/>
    <x v="6"/>
    <n v="225"/>
    <n v="216"/>
    <n v="0"/>
    <n v="0"/>
    <n v="0"/>
    <n v="0"/>
    <n v="4"/>
    <s v="CATIVO"/>
    <n v="0"/>
    <n v="40"/>
    <n v="0"/>
    <n v="0"/>
    <n v="26.22"/>
    <n v="0"/>
    <n v="0"/>
    <n v="28.891757284072764"/>
    <m/>
    <m/>
    <n v="235.98"/>
    <n v="0"/>
    <n v="260.02581555665489"/>
    <n v="0"/>
    <x v="1"/>
  </r>
  <r>
    <s v="Regular"/>
    <x v="1"/>
    <x v="2"/>
    <x v="1"/>
    <x v="0"/>
    <x v="1"/>
    <x v="0"/>
    <x v="1"/>
    <x v="7"/>
    <n v="4304"/>
    <n v="4131.84"/>
    <n v="0"/>
    <n v="0"/>
    <n v="0"/>
    <n v="0"/>
    <n v="47"/>
    <s v="CATIVO"/>
    <n v="0"/>
    <n v="40"/>
    <n v="0"/>
    <n v="0"/>
    <n v="26.22"/>
    <n v="0"/>
    <n v="0"/>
    <n v="28.891757284072764"/>
    <m/>
    <m/>
    <n v="4514.0351999999957"/>
    <n v="0"/>
    <n v="4974.0049340259629"/>
    <n v="0"/>
    <x v="1"/>
  </r>
  <r>
    <s v="Sistema de Compensação"/>
    <x v="1"/>
    <x v="2"/>
    <x v="1"/>
    <x v="0"/>
    <x v="1"/>
    <x v="0"/>
    <x v="1"/>
    <x v="7"/>
    <n v="208"/>
    <n v="199.68"/>
    <n v="0"/>
    <n v="0"/>
    <n v="0"/>
    <n v="0"/>
    <n v="3"/>
    <s v="CATIVO"/>
    <n v="0"/>
    <n v="40"/>
    <n v="0"/>
    <n v="0"/>
    <n v="26.22"/>
    <n v="0"/>
    <n v="0"/>
    <n v="28.891757284072764"/>
    <m/>
    <m/>
    <n v="218.15039999999982"/>
    <n v="0"/>
    <n v="240.37942060348519"/>
    <n v="0"/>
    <x v="1"/>
  </r>
  <r>
    <s v="Regular"/>
    <x v="1"/>
    <x v="2"/>
    <x v="1"/>
    <x v="0"/>
    <x v="1"/>
    <x v="0"/>
    <x v="1"/>
    <x v="8"/>
    <n v="4682"/>
    <n v="4494.72"/>
    <n v="0"/>
    <n v="0"/>
    <n v="0"/>
    <n v="0"/>
    <n v="47"/>
    <s v="CATIVO"/>
    <n v="0"/>
    <n v="40"/>
    <n v="0"/>
    <n v="0"/>
    <n v="26.22"/>
    <n v="0"/>
    <n v="0"/>
    <n v="28.891757284072764"/>
    <m/>
    <m/>
    <n v="4910.4815999999928"/>
    <n v="0"/>
    <n v="5410.8483041611398"/>
    <n v="0"/>
    <x v="1"/>
  </r>
  <r>
    <s v="Refaturamento - Regular"/>
    <x v="1"/>
    <x v="2"/>
    <x v="1"/>
    <x v="0"/>
    <x v="1"/>
    <x v="0"/>
    <x v="1"/>
    <x v="8"/>
    <n v="17"/>
    <n v="16.32"/>
    <n v="0"/>
    <n v="0"/>
    <n v="0"/>
    <n v="0"/>
    <n v="1"/>
    <s v="CATIVO"/>
    <n v="0"/>
    <n v="40"/>
    <n v="0"/>
    <n v="0"/>
    <n v="26.22"/>
    <n v="0"/>
    <n v="0"/>
    <n v="28.891757284072764"/>
    <m/>
    <m/>
    <n v="17.829599999999992"/>
    <n v="0"/>
    <n v="19.646394953169469"/>
    <n v="0"/>
    <x v="1"/>
  </r>
  <r>
    <s v="Sistema de Compensação"/>
    <x v="1"/>
    <x v="2"/>
    <x v="1"/>
    <x v="0"/>
    <x v="1"/>
    <x v="0"/>
    <x v="1"/>
    <x v="8"/>
    <n v="217"/>
    <n v="208.32"/>
    <n v="0"/>
    <n v="0"/>
    <n v="0"/>
    <n v="0"/>
    <n v="3"/>
    <s v="CATIVO"/>
    <n v="0"/>
    <n v="40"/>
    <n v="0"/>
    <n v="0"/>
    <n v="26.22"/>
    <n v="0"/>
    <n v="0"/>
    <n v="28.891757284072764"/>
    <m/>
    <m/>
    <n v="227.58960000000016"/>
    <n v="0"/>
    <n v="250.78045322575178"/>
    <n v="0"/>
    <x v="1"/>
  </r>
  <r>
    <s v="Sistema de Compensação"/>
    <x v="1"/>
    <x v="2"/>
    <x v="1"/>
    <x v="0"/>
    <x v="1"/>
    <x v="0"/>
    <x v="1"/>
    <x v="8"/>
    <n v="-520"/>
    <n v="-499.2"/>
    <n v="0"/>
    <n v="0"/>
    <n v="0"/>
    <n v="0"/>
    <n v="-6"/>
    <s v="CATIVO"/>
    <n v="0"/>
    <n v="40"/>
    <n v="0"/>
    <n v="0"/>
    <n v="26.22"/>
    <n v="0"/>
    <n v="0"/>
    <n v="28.891757284072764"/>
    <m/>
    <m/>
    <n v="-545.37600000000032"/>
    <n v="0"/>
    <n v="-600.94855150871376"/>
    <n v="0"/>
    <x v="1"/>
  </r>
  <r>
    <s v="Regular"/>
    <x v="1"/>
    <x v="2"/>
    <x v="1"/>
    <x v="0"/>
    <x v="1"/>
    <x v="0"/>
    <x v="1"/>
    <x v="9"/>
    <n v="4598"/>
    <n v="4414.08"/>
    <n v="0"/>
    <n v="0"/>
    <n v="0"/>
    <n v="0"/>
    <n v="53"/>
    <s v="CATIVO"/>
    <n v="0"/>
    <n v="40"/>
    <n v="0"/>
    <n v="0"/>
    <n v="26.22"/>
    <n v="0"/>
    <n v="0"/>
    <n v="28.891757284072764"/>
    <m/>
    <m/>
    <n v="4822.3824000000013"/>
    <n v="0"/>
    <n v="5313.7719996866645"/>
    <n v="0"/>
    <x v="1"/>
  </r>
  <r>
    <s v="Sistema de Compensação"/>
    <x v="1"/>
    <x v="2"/>
    <x v="1"/>
    <x v="0"/>
    <x v="1"/>
    <x v="0"/>
    <x v="1"/>
    <x v="9"/>
    <n v="214"/>
    <n v="205.44"/>
    <n v="0"/>
    <n v="0"/>
    <n v="0"/>
    <n v="0"/>
    <n v="3"/>
    <s v="CATIVO"/>
    <n v="0"/>
    <n v="40"/>
    <n v="0"/>
    <n v="0"/>
    <n v="26.22"/>
    <n v="0"/>
    <n v="0"/>
    <n v="28.891757284072764"/>
    <m/>
    <m/>
    <n v="224.44320000000005"/>
    <n v="0"/>
    <n v="247.31344235166293"/>
    <n v="0"/>
    <x v="1"/>
  </r>
  <r>
    <s v="Regular"/>
    <x v="1"/>
    <x v="2"/>
    <x v="1"/>
    <x v="0"/>
    <x v="1"/>
    <x v="0"/>
    <x v="1"/>
    <x v="10"/>
    <n v="4745"/>
    <n v="4555.2"/>
    <n v="0"/>
    <n v="0"/>
    <n v="0"/>
    <n v="0"/>
    <n v="60"/>
    <s v="CATIVO"/>
    <n v="0"/>
    <n v="40"/>
    <n v="0"/>
    <n v="0"/>
    <n v="26.22"/>
    <n v="0"/>
    <n v="0"/>
    <n v="28.891757284072764"/>
    <m/>
    <m/>
    <n v="4976.5560000000041"/>
    <n v="0"/>
    <n v="5483.6555325170157"/>
    <n v="0"/>
    <x v="1"/>
  </r>
  <r>
    <s v="Sistema de Compensação"/>
    <x v="1"/>
    <x v="2"/>
    <x v="1"/>
    <x v="0"/>
    <x v="1"/>
    <x v="0"/>
    <x v="1"/>
    <x v="10"/>
    <n v="204"/>
    <n v="195.84"/>
    <n v="0"/>
    <n v="0"/>
    <n v="0"/>
    <n v="0"/>
    <n v="3"/>
    <s v="CATIVO"/>
    <n v="0"/>
    <n v="40"/>
    <n v="0"/>
    <n v="0"/>
    <n v="26.22"/>
    <n v="0"/>
    <n v="0"/>
    <n v="28.891757284072764"/>
    <m/>
    <m/>
    <n v="213.95519999999991"/>
    <n v="0"/>
    <n v="235.75673943803366"/>
    <n v="0"/>
    <x v="1"/>
  </r>
  <r>
    <s v="PROJETADO"/>
    <x v="1"/>
    <x v="2"/>
    <x v="1"/>
    <x v="0"/>
    <x v="1"/>
    <x v="0"/>
    <x v="1"/>
    <x v="11"/>
    <n v="4745"/>
    <n v="4555.2"/>
    <n v="0"/>
    <n v="0"/>
    <n v="0"/>
    <n v="0"/>
    <n v="60"/>
    <s v="CATIVO"/>
    <n v="0"/>
    <n v="40"/>
    <n v="0"/>
    <n v="0"/>
    <n v="26.22"/>
    <n v="0"/>
    <n v="0"/>
    <n v="28.891757284072764"/>
    <m/>
    <m/>
    <n v="4976.5560000000041"/>
    <n v="0"/>
    <n v="5483.6555325170157"/>
    <n v="0"/>
    <x v="1"/>
  </r>
  <r>
    <s v="PROJETADO"/>
    <x v="1"/>
    <x v="2"/>
    <x v="1"/>
    <x v="0"/>
    <x v="1"/>
    <x v="0"/>
    <x v="1"/>
    <x v="11"/>
    <n v="204"/>
    <n v="195.84"/>
    <n v="0"/>
    <n v="0"/>
    <n v="0"/>
    <n v="0"/>
    <n v="3"/>
    <s v="CATIVO"/>
    <n v="0"/>
    <n v="40"/>
    <n v="0"/>
    <n v="0"/>
    <n v="26.22"/>
    <n v="0"/>
    <n v="0"/>
    <n v="28.891757284072764"/>
    <m/>
    <m/>
    <n v="213.95519999999991"/>
    <n v="0"/>
    <n v="235.75673943803366"/>
    <n v="0"/>
    <x v="1"/>
  </r>
  <r>
    <s v="Regular"/>
    <x v="1"/>
    <x v="2"/>
    <x v="1"/>
    <x v="0"/>
    <x v="1"/>
    <x v="0"/>
    <x v="2"/>
    <x v="0"/>
    <n v="0"/>
    <n v="0"/>
    <n v="62.174999999999997"/>
    <n v="59.688000000000002"/>
    <n v="62.174999999999997"/>
    <n v="59.688000000000002"/>
    <n v="0"/>
    <s v="CATIVO"/>
    <n v="0"/>
    <n v="0"/>
    <n v="42"/>
    <n v="66"/>
    <n v="0"/>
    <n v="1330.19"/>
    <n v="397.62"/>
    <m/>
    <n v="1471.0742690262982"/>
    <n v="351.67159959099928"/>
    <n v="0"/>
    <n v="4297.063469999991"/>
    <n v="0"/>
    <n v="4533.1689752512093"/>
    <x v="1"/>
  </r>
  <r>
    <s v="Sistema de Compensação"/>
    <x v="1"/>
    <x v="2"/>
    <x v="1"/>
    <x v="0"/>
    <x v="1"/>
    <x v="0"/>
    <x v="2"/>
    <x v="0"/>
    <n v="0"/>
    <n v="0"/>
    <n v="5.22"/>
    <n v="5.0111999999999997"/>
    <n v="5.22"/>
    <n v="5.0111999999999997"/>
    <n v="0"/>
    <s v="CATIVO"/>
    <n v="0"/>
    <n v="0"/>
    <n v="42"/>
    <n v="66"/>
    <n v="0"/>
    <n v="1330.19"/>
    <n v="397.62"/>
    <m/>
    <n v="1471.0742690262982"/>
    <n v="351.67159959099928"/>
    <n v="0"/>
    <n v="360.76672800000017"/>
    <n v="0"/>
    <n v="380.58933736729188"/>
    <x v="1"/>
  </r>
  <r>
    <s v="Regular"/>
    <x v="1"/>
    <x v="2"/>
    <x v="1"/>
    <x v="0"/>
    <x v="1"/>
    <x v="0"/>
    <x v="2"/>
    <x v="1"/>
    <n v="0"/>
    <n v="0"/>
    <n v="72.335999999999999"/>
    <n v="69.44256"/>
    <n v="72.335999999999999"/>
    <n v="69.44256"/>
    <n v="0"/>
    <s v="CATIVO"/>
    <n v="0"/>
    <n v="0"/>
    <n v="42"/>
    <n v="66"/>
    <n v="0"/>
    <n v="1330.19"/>
    <n v="397.62"/>
    <m/>
    <n v="1471.0742690262982"/>
    <n v="351.67159959099928"/>
    <n v="0"/>
    <n v="4999.3145663999976"/>
    <n v="0"/>
    <n v="5274.0058060920301"/>
    <x v="1"/>
  </r>
  <r>
    <s v="Sistema de Compensação"/>
    <x v="1"/>
    <x v="2"/>
    <x v="1"/>
    <x v="0"/>
    <x v="1"/>
    <x v="0"/>
    <x v="2"/>
    <x v="1"/>
    <n v="0"/>
    <n v="0"/>
    <n v="5.0069999999999997"/>
    <n v="4.8067200000000003"/>
    <n v="5.0069999999999997"/>
    <n v="4.8067200000000003"/>
    <n v="0"/>
    <s v="CATIVO"/>
    <n v="0"/>
    <n v="0"/>
    <n v="42"/>
    <n v="66"/>
    <n v="0"/>
    <n v="1330.19"/>
    <n v="397.62"/>
    <m/>
    <n v="1471.0742690262982"/>
    <n v="351.67159959099928"/>
    <n v="0"/>
    <n v="346.04578679999889"/>
    <n v="0"/>
    <n v="365.0595425666711"/>
    <x v="1"/>
  </r>
  <r>
    <s v="Regular"/>
    <x v="1"/>
    <x v="2"/>
    <x v="1"/>
    <x v="0"/>
    <x v="1"/>
    <x v="0"/>
    <x v="2"/>
    <x v="2"/>
    <n v="0"/>
    <n v="0"/>
    <n v="36.887"/>
    <n v="35.411520000000003"/>
    <n v="36.887"/>
    <n v="35.411520000000003"/>
    <n v="0"/>
    <s v="CATIVO"/>
    <n v="0"/>
    <n v="0"/>
    <n v="42"/>
    <n v="66"/>
    <n v="0"/>
    <n v="1330.19"/>
    <n v="397.62"/>
    <m/>
    <n v="1471.0742690262982"/>
    <n v="351.67159959099928"/>
    <n v="0"/>
    <n v="2549.3490987999958"/>
    <n v="0"/>
    <n v="2689.4250742274453"/>
    <x v="1"/>
  </r>
  <r>
    <s v="Sistema de Compensação"/>
    <x v="1"/>
    <x v="2"/>
    <x v="1"/>
    <x v="0"/>
    <x v="1"/>
    <x v="0"/>
    <x v="2"/>
    <x v="2"/>
    <n v="0"/>
    <n v="0"/>
    <n v="5.41"/>
    <n v="5.1936"/>
    <n v="5.41"/>
    <n v="5.1936"/>
    <n v="0"/>
    <s v="CATIVO"/>
    <n v="0"/>
    <n v="0"/>
    <n v="42"/>
    <n v="66"/>
    <n v="0"/>
    <n v="1330.19"/>
    <n v="397.62"/>
    <m/>
    <n v="1471.0742690262982"/>
    <n v="351.67159959099928"/>
    <n v="0"/>
    <n v="373.89808400000027"/>
    <n v="0"/>
    <n v="394.44220596878341"/>
    <x v="1"/>
  </r>
  <r>
    <s v="Regular"/>
    <x v="1"/>
    <x v="2"/>
    <x v="1"/>
    <x v="0"/>
    <x v="1"/>
    <x v="0"/>
    <x v="2"/>
    <x v="3"/>
    <n v="0"/>
    <n v="0"/>
    <n v="29.646000000000001"/>
    <n v="28.460159999999998"/>
    <n v="29.646000000000001"/>
    <n v="28.460159999999998"/>
    <n v="0"/>
    <s v="CATIVO"/>
    <n v="0"/>
    <n v="0"/>
    <n v="42"/>
    <n v="66"/>
    <n v="0"/>
    <n v="1330.19"/>
    <n v="397.62"/>
    <m/>
    <n v="1471.0742690262982"/>
    <n v="351.67159959099928"/>
    <n v="0"/>
    <n v="2048.9062104000041"/>
    <n v="0"/>
    <n v="2161.4849608411405"/>
    <x v="1"/>
  </r>
  <r>
    <s v="Sistema de Compensação"/>
    <x v="1"/>
    <x v="2"/>
    <x v="1"/>
    <x v="0"/>
    <x v="1"/>
    <x v="0"/>
    <x v="2"/>
    <x v="3"/>
    <n v="0"/>
    <n v="0"/>
    <n v="5.5730000000000004"/>
    <n v="5.3500800000000002"/>
    <n v="5.5730000000000004"/>
    <n v="5.3500800000000002"/>
    <n v="0"/>
    <s v="CATIVO"/>
    <n v="0"/>
    <n v="0"/>
    <n v="42"/>
    <n v="66"/>
    <n v="0"/>
    <n v="1330.19"/>
    <n v="397.62"/>
    <m/>
    <n v="1471.0742690262982"/>
    <n v="351.67159959099928"/>
    <n v="0"/>
    <n v="385.1634052000004"/>
    <n v="0"/>
    <n v="406.32650903216836"/>
    <x v="1"/>
  </r>
  <r>
    <s v="Sistema de Compensação"/>
    <x v="1"/>
    <x v="2"/>
    <x v="1"/>
    <x v="0"/>
    <x v="1"/>
    <x v="0"/>
    <x v="2"/>
    <x v="3"/>
    <n v="0"/>
    <n v="0"/>
    <n v="-0.32800000000000001"/>
    <n v="-0.31487999999999999"/>
    <n v="-0.32800000000000001"/>
    <n v="-0.31487999999999999"/>
    <n v="0"/>
    <s v="CATIVO"/>
    <n v="0"/>
    <n v="0"/>
    <n v="42"/>
    <n v="66"/>
    <n v="0"/>
    <n v="1330.19"/>
    <n v="397.62"/>
    <m/>
    <n v="1471.0742690262982"/>
    <n v="351.67159959099928"/>
    <n v="0"/>
    <n v="-22.668867200000037"/>
    <n v="0"/>
    <n v="-23.914425796258982"/>
    <x v="1"/>
  </r>
  <r>
    <s v="Regular"/>
    <x v="1"/>
    <x v="2"/>
    <x v="1"/>
    <x v="0"/>
    <x v="1"/>
    <x v="0"/>
    <x v="2"/>
    <x v="4"/>
    <n v="0"/>
    <n v="0"/>
    <n v="51.064999999999998"/>
    <n v="49.022399999999998"/>
    <n v="51.064999999999998"/>
    <n v="49.022399999999998"/>
    <n v="0"/>
    <s v="CATIVO"/>
    <n v="0"/>
    <n v="0"/>
    <n v="42"/>
    <n v="66"/>
    <n v="0"/>
    <n v="1330.19"/>
    <n v="397.62"/>
    <m/>
    <n v="1471.0742690262982"/>
    <n v="351.67159959099928"/>
    <n v="0"/>
    <n v="3529.2247060000004"/>
    <n v="0"/>
    <n v="3723.1407112376924"/>
    <x v="1"/>
  </r>
  <r>
    <s v="Sistema de Compensação"/>
    <x v="1"/>
    <x v="2"/>
    <x v="1"/>
    <x v="0"/>
    <x v="1"/>
    <x v="0"/>
    <x v="2"/>
    <x v="4"/>
    <n v="0"/>
    <n v="0"/>
    <n v="5.8719999999999999"/>
    <n v="5.6371200000000004"/>
    <n v="5.8719999999999999"/>
    <n v="5.6371200000000004"/>
    <n v="0"/>
    <s v="CATIVO"/>
    <n v="0"/>
    <n v="0"/>
    <n v="42"/>
    <n v="66"/>
    <n v="0"/>
    <n v="1330.19"/>
    <n v="397.62"/>
    <m/>
    <n v="1471.0742690262982"/>
    <n v="351.67159959099928"/>
    <n v="0"/>
    <n v="405.82801279999921"/>
    <n v="0"/>
    <n v="428.12654962083002"/>
    <x v="1"/>
  </r>
  <r>
    <s v="Regular"/>
    <x v="1"/>
    <x v="2"/>
    <x v="1"/>
    <x v="0"/>
    <x v="1"/>
    <x v="0"/>
    <x v="2"/>
    <x v="5"/>
    <n v="0"/>
    <n v="0"/>
    <n v="43.834000000000003"/>
    <n v="42.080640000000002"/>
    <n v="43.834000000000003"/>
    <n v="42.080640000000002"/>
    <n v="0"/>
    <s v="CATIVO"/>
    <n v="0"/>
    <n v="0"/>
    <n v="42"/>
    <n v="66"/>
    <n v="0"/>
    <n v="1330.19"/>
    <n v="397.62"/>
    <m/>
    <n v="1471.0742690262982"/>
    <n v="351.67159959099928"/>
    <n v="0"/>
    <n v="3029.4729416000009"/>
    <n v="0"/>
    <n v="3195.9296961988262"/>
    <x v="1"/>
  </r>
  <r>
    <s v="Sistema de Compensação"/>
    <x v="1"/>
    <x v="2"/>
    <x v="1"/>
    <x v="0"/>
    <x v="1"/>
    <x v="0"/>
    <x v="2"/>
    <x v="5"/>
    <n v="0"/>
    <n v="0"/>
    <n v="5.3609999999999998"/>
    <n v="5.14656"/>
    <n v="5.3609999999999998"/>
    <n v="5.14656"/>
    <n v="0"/>
    <s v="CATIVO"/>
    <n v="0"/>
    <n v="0"/>
    <n v="42"/>
    <n v="66"/>
    <n v="0"/>
    <n v="1330.19"/>
    <n v="397.62"/>
    <m/>
    <n v="1471.0742690262982"/>
    <n v="351.67159959099928"/>
    <n v="0"/>
    <n v="370.51157639999957"/>
    <n v="0"/>
    <n v="390.86962406629283"/>
    <x v="1"/>
  </r>
  <r>
    <s v="Regular"/>
    <x v="1"/>
    <x v="2"/>
    <x v="1"/>
    <x v="0"/>
    <x v="1"/>
    <x v="0"/>
    <x v="2"/>
    <x v="6"/>
    <n v="0"/>
    <n v="0"/>
    <n v="32.957000000000001"/>
    <n v="31.638719999999999"/>
    <n v="32.957000000000001"/>
    <n v="31.638719999999999"/>
    <n v="0"/>
    <s v="CATIVO"/>
    <n v="0"/>
    <n v="0"/>
    <n v="42"/>
    <n v="66"/>
    <n v="0"/>
    <n v="1330.19"/>
    <n v="397.62"/>
    <m/>
    <n v="1471.0742690262982"/>
    <n v="351.67159959099928"/>
    <n v="0"/>
    <n v="2277.7373668000027"/>
    <n v="0"/>
    <n v="2402.8894236808137"/>
    <x v="1"/>
  </r>
  <r>
    <s v="Sistema de Compensação"/>
    <x v="1"/>
    <x v="2"/>
    <x v="1"/>
    <x v="0"/>
    <x v="1"/>
    <x v="0"/>
    <x v="2"/>
    <x v="6"/>
    <n v="0"/>
    <n v="0"/>
    <n v="5.0780000000000003"/>
    <n v="4.8748800000000001"/>
    <n v="5.0780000000000003"/>
    <n v="4.8748800000000001"/>
    <n v="0"/>
    <s v="CATIVO"/>
    <n v="0"/>
    <n v="0"/>
    <n v="42"/>
    <n v="66"/>
    <n v="0"/>
    <n v="1330.19"/>
    <n v="397.62"/>
    <m/>
    <n v="1471.0742690262982"/>
    <n v="351.67159959099928"/>
    <n v="0"/>
    <n v="350.95276720000032"/>
    <n v="0"/>
    <n v="370.23614083354585"/>
    <x v="1"/>
  </r>
  <r>
    <s v="Regular"/>
    <x v="1"/>
    <x v="2"/>
    <x v="1"/>
    <x v="0"/>
    <x v="1"/>
    <x v="0"/>
    <x v="2"/>
    <x v="7"/>
    <n v="0"/>
    <n v="0"/>
    <n v="28.315999999999999"/>
    <n v="27.18336"/>
    <n v="28.315999999999999"/>
    <n v="27.18336"/>
    <n v="0"/>
    <s v="CATIVO"/>
    <n v="0"/>
    <n v="0"/>
    <n v="42"/>
    <n v="66"/>
    <n v="0"/>
    <n v="1330.19"/>
    <n v="397.62"/>
    <m/>
    <n v="1471.0742690262982"/>
    <n v="351.67159959099928"/>
    <n v="0"/>
    <n v="1956.9867183999977"/>
    <n v="0"/>
    <n v="2064.5148806306934"/>
    <x v="1"/>
  </r>
  <r>
    <s v="Refaturamento - Regular"/>
    <x v="1"/>
    <x v="2"/>
    <x v="1"/>
    <x v="0"/>
    <x v="1"/>
    <x v="0"/>
    <x v="2"/>
    <x v="7"/>
    <n v="0"/>
    <n v="0"/>
    <n v="-3.9660000000000002"/>
    <n v="-3.8073600000000001"/>
    <n v="-3.9660000000000002"/>
    <n v="-3.8073600000000001"/>
    <n v="0"/>
    <s v="CATIVO"/>
    <n v="0"/>
    <n v="0"/>
    <n v="42"/>
    <n v="66"/>
    <n v="0"/>
    <n v="1330.19"/>
    <n v="397.62"/>
    <m/>
    <n v="1471.0742690262982"/>
    <n v="351.67159959099928"/>
    <n v="0"/>
    <n v="-274.09977840000022"/>
    <n v="0"/>
    <n v="-289.16040459744829"/>
    <x v="1"/>
  </r>
  <r>
    <s v="Sistema de Compensação"/>
    <x v="1"/>
    <x v="2"/>
    <x v="1"/>
    <x v="0"/>
    <x v="1"/>
    <x v="0"/>
    <x v="2"/>
    <x v="7"/>
    <n v="0"/>
    <n v="0"/>
    <n v="5.1529999999999996"/>
    <n v="4.9468800000000002"/>
    <n v="5.1529999999999996"/>
    <n v="4.9468800000000002"/>
    <n v="0"/>
    <s v="CATIVO"/>
    <n v="0"/>
    <n v="0"/>
    <n v="42"/>
    <n v="66"/>
    <n v="0"/>
    <n v="1330.19"/>
    <n v="397.62"/>
    <m/>
    <n v="1471.0742690262982"/>
    <n v="351.67159959099928"/>
    <n v="0"/>
    <n v="356.136197199999"/>
    <n v="0"/>
    <n v="375.70437843939624"/>
    <x v="1"/>
  </r>
  <r>
    <s v="Regular"/>
    <x v="1"/>
    <x v="2"/>
    <x v="1"/>
    <x v="0"/>
    <x v="1"/>
    <x v="0"/>
    <x v="2"/>
    <x v="8"/>
    <n v="0"/>
    <n v="0"/>
    <n v="35.521999999999998"/>
    <n v="34.101120000000002"/>
    <n v="35.521999999999998"/>
    <n v="34.101120000000002"/>
    <n v="0"/>
    <s v="CATIVO"/>
    <n v="0"/>
    <n v="0"/>
    <n v="42"/>
    <n v="66"/>
    <n v="0"/>
    <n v="1330.19"/>
    <n v="397.62"/>
    <m/>
    <n v="1471.0742690262982"/>
    <n v="351.67159959099928"/>
    <n v="0"/>
    <n v="2455.0106727999946"/>
    <n v="0"/>
    <n v="2589.9031498009399"/>
    <x v="1"/>
  </r>
  <r>
    <s v="Refaturamento - Regular"/>
    <x v="1"/>
    <x v="2"/>
    <x v="1"/>
    <x v="0"/>
    <x v="1"/>
    <x v="0"/>
    <x v="2"/>
    <x v="8"/>
    <n v="0"/>
    <n v="0"/>
    <n v="0.152"/>
    <n v="0.14591999999999999"/>
    <n v="0.152"/>
    <n v="0.14591999999999999"/>
    <n v="0"/>
    <s v="CATIVO"/>
    <n v="0"/>
    <n v="0"/>
    <n v="42"/>
    <n v="66"/>
    <n v="0"/>
    <n v="1330.19"/>
    <n v="397.62"/>
    <m/>
    <n v="1471.0742690262982"/>
    <n v="351.67159959099928"/>
    <n v="0"/>
    <n v="10.505084800000002"/>
    <n v="0"/>
    <n v="11.082294881193171"/>
    <x v="1"/>
  </r>
  <r>
    <s v="Sistema de Compensação"/>
    <x v="1"/>
    <x v="2"/>
    <x v="1"/>
    <x v="0"/>
    <x v="1"/>
    <x v="0"/>
    <x v="2"/>
    <x v="8"/>
    <n v="0"/>
    <n v="0"/>
    <n v="4.6909999999999998"/>
    <n v="4.5033599999999998"/>
    <n v="4.6909999999999998"/>
    <n v="4.5033599999999998"/>
    <n v="0"/>
    <s v="CATIVO"/>
    <n v="0"/>
    <n v="0"/>
    <n v="42"/>
    <n v="66"/>
    <n v="0"/>
    <n v="1330.19"/>
    <n v="397.62"/>
    <m/>
    <n v="1471.0742690262982"/>
    <n v="351.67159959099928"/>
    <n v="0"/>
    <n v="324.20626840000006"/>
    <n v="0"/>
    <n v="342.02003478734974"/>
    <x v="1"/>
  </r>
  <r>
    <s v="Sistema de Compensação"/>
    <x v="1"/>
    <x v="2"/>
    <x v="1"/>
    <x v="0"/>
    <x v="1"/>
    <x v="0"/>
    <x v="2"/>
    <x v="8"/>
    <n v="0"/>
    <n v="0"/>
    <n v="-5.0999999999999997E-2"/>
    <n v="-4.8959999999999997E-2"/>
    <n v="-5.0999999999999997E-2"/>
    <n v="-4.8959999999999997E-2"/>
    <n v="0"/>
    <s v="CATIVO"/>
    <n v="0"/>
    <n v="0"/>
    <n v="42"/>
    <n v="66"/>
    <n v="0"/>
    <n v="1330.19"/>
    <n v="397.62"/>
    <m/>
    <n v="1471.0742690262982"/>
    <n v="351.67159959099928"/>
    <n v="0"/>
    <n v="-3.5247324000000004"/>
    <n v="0"/>
    <n v="-3.7184015719792871"/>
    <x v="1"/>
  </r>
  <r>
    <s v="Regular"/>
    <x v="1"/>
    <x v="2"/>
    <x v="1"/>
    <x v="0"/>
    <x v="1"/>
    <x v="0"/>
    <x v="2"/>
    <x v="9"/>
    <n v="0"/>
    <n v="0"/>
    <n v="41.817999999999998"/>
    <n v="40.14528"/>
    <n v="41.817999999999998"/>
    <n v="40.14528"/>
    <n v="0"/>
    <s v="CATIVO"/>
    <n v="0"/>
    <n v="0"/>
    <n v="42"/>
    <n v="66"/>
    <n v="0"/>
    <n v="1330.19"/>
    <n v="397.62"/>
    <m/>
    <n v="1471.0742690262982"/>
    <n v="351.67159959099928"/>
    <n v="0"/>
    <n v="2890.142343199997"/>
    <n v="0"/>
    <n v="3048.9434693535227"/>
    <x v="1"/>
  </r>
  <r>
    <s v="Sistema de Compensação"/>
    <x v="1"/>
    <x v="2"/>
    <x v="1"/>
    <x v="0"/>
    <x v="1"/>
    <x v="0"/>
    <x v="2"/>
    <x v="9"/>
    <n v="0"/>
    <n v="0"/>
    <n v="5.0430000000000001"/>
    <n v="4.8412800000000002"/>
    <n v="5.0430000000000001"/>
    <n v="4.8412800000000002"/>
    <n v="0"/>
    <s v="CATIVO"/>
    <n v="0"/>
    <n v="0"/>
    <n v="42"/>
    <n v="66"/>
    <n v="0"/>
    <n v="1330.19"/>
    <n v="397.62"/>
    <m/>
    <n v="1471.0742690262982"/>
    <n v="351.67159959099928"/>
    <n v="0"/>
    <n v="348.53383319999983"/>
    <n v="0"/>
    <n v="367.6842966174811"/>
    <x v="1"/>
  </r>
  <r>
    <s v="Regular"/>
    <x v="1"/>
    <x v="2"/>
    <x v="1"/>
    <x v="0"/>
    <x v="1"/>
    <x v="0"/>
    <x v="2"/>
    <x v="10"/>
    <n v="0"/>
    <n v="0"/>
    <n v="34.619999999999997"/>
    <n v="33.235199999999999"/>
    <n v="34.619999999999997"/>
    <n v="33.235199999999999"/>
    <n v="0"/>
    <s v="CATIVO"/>
    <n v="0"/>
    <n v="0"/>
    <n v="42"/>
    <n v="66"/>
    <n v="0"/>
    <n v="1330.19"/>
    <n v="397.62"/>
    <m/>
    <n v="1471.0742690262982"/>
    <n v="351.67159959099928"/>
    <n v="0"/>
    <n v="2392.6712879999977"/>
    <n v="0"/>
    <n v="2524.1384788612309"/>
    <x v="1"/>
  </r>
  <r>
    <s v="Sistema de Compensação"/>
    <x v="1"/>
    <x v="2"/>
    <x v="1"/>
    <x v="0"/>
    <x v="1"/>
    <x v="0"/>
    <x v="2"/>
    <x v="10"/>
    <n v="0"/>
    <n v="0"/>
    <n v="4.3789999999999996"/>
    <n v="4.2038399999999996"/>
    <n v="4.3789999999999996"/>
    <n v="4.2038399999999996"/>
    <n v="0"/>
    <s v="CATIVO"/>
    <n v="0"/>
    <n v="0"/>
    <n v="42"/>
    <n v="66"/>
    <n v="0"/>
    <n v="1330.19"/>
    <n v="397.62"/>
    <m/>
    <n v="1471.0742690262982"/>
    <n v="351.67159959099928"/>
    <n v="0"/>
    <n v="302.6431996"/>
    <n v="0"/>
    <n v="319.27216634700579"/>
    <x v="1"/>
  </r>
  <r>
    <s v="PROJETADO"/>
    <x v="1"/>
    <x v="2"/>
    <x v="1"/>
    <x v="0"/>
    <x v="1"/>
    <x v="0"/>
    <x v="2"/>
    <x v="11"/>
    <n v="0"/>
    <n v="0"/>
    <n v="34.619999999999997"/>
    <n v="33.235199999999999"/>
    <n v="34.619999999999997"/>
    <n v="33.235199999999999"/>
    <n v="0"/>
    <s v="CATIVO"/>
    <n v="0"/>
    <n v="0"/>
    <n v="42"/>
    <n v="66"/>
    <n v="0"/>
    <n v="1330.19"/>
    <n v="397.62"/>
    <m/>
    <n v="1471.0742690262982"/>
    <n v="351.67159959099928"/>
    <n v="0"/>
    <n v="2392.6712879999977"/>
    <n v="0"/>
    <n v="2524.1384788612309"/>
    <x v="1"/>
  </r>
  <r>
    <s v="PROJETADO"/>
    <x v="1"/>
    <x v="2"/>
    <x v="1"/>
    <x v="0"/>
    <x v="1"/>
    <x v="0"/>
    <x v="2"/>
    <x v="11"/>
    <n v="0"/>
    <n v="0"/>
    <n v="4.3789999999999996"/>
    <n v="4.2038399999999996"/>
    <n v="4.3789999999999996"/>
    <n v="4.2038399999999996"/>
    <n v="0"/>
    <s v="CATIVO"/>
    <n v="0"/>
    <n v="0"/>
    <n v="42"/>
    <n v="66"/>
    <n v="0"/>
    <n v="1330.19"/>
    <n v="397.62"/>
    <m/>
    <n v="1471.0742690262982"/>
    <n v="351.67159959099928"/>
    <n v="0"/>
    <n v="302.6431996"/>
    <n v="0"/>
    <n v="319.27216634700579"/>
    <x v="1"/>
  </r>
  <r>
    <s v="Regular"/>
    <x v="1"/>
    <x v="2"/>
    <x v="2"/>
    <x v="1"/>
    <x v="1"/>
    <x v="0"/>
    <x v="0"/>
    <x v="0"/>
    <n v="0"/>
    <n v="0"/>
    <n v="2140.3910000000001"/>
    <n v="2011.9675400000001"/>
    <n v="2140.3910000000001"/>
    <n v="2011.9675400000001"/>
    <n v="0"/>
    <s v="CATIVO"/>
    <n v="0"/>
    <n v="0"/>
    <n v="44"/>
    <n v="67"/>
    <n v="0"/>
    <n v="62.57"/>
    <n v="242.82"/>
    <m/>
    <n v="75.886085105957733"/>
    <n v="224.53785920244138"/>
    <n v="0"/>
    <n v="39219.240449399993"/>
    <n v="0"/>
    <n v="38581.482394931911"/>
    <x v="2"/>
  </r>
  <r>
    <s v="Regular"/>
    <x v="1"/>
    <x v="2"/>
    <x v="2"/>
    <x v="1"/>
    <x v="1"/>
    <x v="0"/>
    <x v="0"/>
    <x v="1"/>
    <n v="0"/>
    <n v="0"/>
    <n v="2002.85"/>
    <n v="1882.6790000000001"/>
    <n v="2002.85"/>
    <n v="1882.6790000000001"/>
    <n v="0"/>
    <s v="CATIVO"/>
    <n v="0"/>
    <n v="0"/>
    <n v="44"/>
    <n v="67"/>
    <n v="0"/>
    <n v="62.57"/>
    <n v="242.82"/>
    <m/>
    <n v="75.886085105957733"/>
    <n v="224.53785920244138"/>
    <n v="0"/>
    <n v="36699.021689999943"/>
    <n v="0"/>
    <n v="36102.245811484579"/>
    <x v="2"/>
  </r>
  <r>
    <s v="Regular"/>
    <x v="1"/>
    <x v="2"/>
    <x v="2"/>
    <x v="1"/>
    <x v="1"/>
    <x v="0"/>
    <x v="0"/>
    <x v="2"/>
    <n v="0"/>
    <n v="0"/>
    <n v="2107.96"/>
    <n v="1981.4824000000001"/>
    <n v="2107.96"/>
    <n v="1981.4824000000001"/>
    <n v="0"/>
    <s v="CATIVO"/>
    <n v="0"/>
    <n v="0"/>
    <n v="44"/>
    <n v="67"/>
    <n v="0"/>
    <n v="62.57"/>
    <n v="242.82"/>
    <m/>
    <n v="75.886085105957733"/>
    <n v="224.53785920244138"/>
    <n v="0"/>
    <n v="38624.994263999979"/>
    <n v="0"/>
    <n v="37996.899458659958"/>
    <x v="2"/>
  </r>
  <r>
    <s v="Regular"/>
    <x v="1"/>
    <x v="2"/>
    <x v="2"/>
    <x v="1"/>
    <x v="1"/>
    <x v="0"/>
    <x v="0"/>
    <x v="3"/>
    <n v="0"/>
    <n v="0"/>
    <n v="2219.277"/>
    <n v="2086.1203799999998"/>
    <n v="2219.277"/>
    <n v="2086.1203799999998"/>
    <n v="0"/>
    <s v="CATIVO"/>
    <n v="0"/>
    <n v="0"/>
    <n v="44"/>
    <n v="67"/>
    <n v="0"/>
    <n v="62.57"/>
    <n v="242.82"/>
    <m/>
    <n v="75.886085105957733"/>
    <n v="224.53785920244138"/>
    <n v="0"/>
    <n v="40664.700181800057"/>
    <n v="0"/>
    <n v="40003.43699117472"/>
    <x v="2"/>
  </r>
  <r>
    <s v="Regular"/>
    <x v="1"/>
    <x v="2"/>
    <x v="2"/>
    <x v="1"/>
    <x v="1"/>
    <x v="0"/>
    <x v="0"/>
    <x v="4"/>
    <n v="0"/>
    <n v="0"/>
    <n v="2049.038"/>
    <n v="1926.09572"/>
    <n v="2049.038"/>
    <n v="1926.09572"/>
    <n v="0"/>
    <s v="CATIVO"/>
    <n v="0"/>
    <n v="0"/>
    <n v="44"/>
    <n v="67"/>
    <n v="0"/>
    <n v="62.57"/>
    <n v="242.82"/>
    <m/>
    <n v="75.886085105957733"/>
    <n v="224.53785920244138"/>
    <n v="0"/>
    <n v="37545.342889199994"/>
    <n v="0"/>
    <n v="36934.804679867608"/>
    <x v="2"/>
  </r>
  <r>
    <s v="Regular"/>
    <x v="1"/>
    <x v="2"/>
    <x v="2"/>
    <x v="1"/>
    <x v="1"/>
    <x v="0"/>
    <x v="0"/>
    <x v="5"/>
    <n v="0"/>
    <n v="0"/>
    <n v="2257.6480000000001"/>
    <n v="2122.18912"/>
    <n v="2257.6480000000001"/>
    <n v="2122.18912"/>
    <n v="0"/>
    <s v="CATIVO"/>
    <n v="0"/>
    <n v="0"/>
    <n v="44"/>
    <n v="67"/>
    <n v="0"/>
    <n v="62.57"/>
    <n v="242.82"/>
    <m/>
    <n v="75.886085105957733"/>
    <n v="224.53785920244138"/>
    <n v="0"/>
    <n v="41367.787363200041"/>
    <n v="0"/>
    <n v="40695.091021198161"/>
    <x v="2"/>
  </r>
  <r>
    <s v="Regular"/>
    <x v="1"/>
    <x v="2"/>
    <x v="2"/>
    <x v="1"/>
    <x v="1"/>
    <x v="0"/>
    <x v="0"/>
    <x v="6"/>
    <n v="0"/>
    <n v="0"/>
    <n v="2031.07"/>
    <n v="1909.2058"/>
    <n v="2031.07"/>
    <n v="1909.2058"/>
    <n v="0"/>
    <s v="CATIVO"/>
    <n v="0"/>
    <n v="0"/>
    <n v="44"/>
    <n v="67"/>
    <n v="0"/>
    <n v="62.57"/>
    <n v="242.82"/>
    <m/>
    <n v="75.886085105957733"/>
    <n v="224.53785920244138"/>
    <n v="0"/>
    <n v="37216.108037999991"/>
    <n v="0"/>
    <n v="36610.923633987608"/>
    <x v="2"/>
  </r>
  <r>
    <s v="Regular"/>
    <x v="1"/>
    <x v="2"/>
    <x v="2"/>
    <x v="1"/>
    <x v="1"/>
    <x v="0"/>
    <x v="0"/>
    <x v="7"/>
    <n v="0"/>
    <n v="0"/>
    <n v="1982.943"/>
    <n v="1863.96642"/>
    <n v="1982.943"/>
    <n v="1863.96642"/>
    <n v="0"/>
    <s v="CATIVO"/>
    <n v="0"/>
    <n v="0"/>
    <n v="44"/>
    <n v="67"/>
    <n v="0"/>
    <n v="62.57"/>
    <n v="242.82"/>
    <m/>
    <n v="75.886085105957733"/>
    <n v="224.53785920244138"/>
    <n v="0"/>
    <n v="36334.257766200004"/>
    <n v="0"/>
    <n v="35743.413443923797"/>
    <x v="2"/>
  </r>
  <r>
    <s v="Regular"/>
    <x v="1"/>
    <x v="2"/>
    <x v="2"/>
    <x v="1"/>
    <x v="1"/>
    <x v="0"/>
    <x v="0"/>
    <x v="8"/>
    <n v="0"/>
    <n v="0"/>
    <n v="2214.62"/>
    <n v="2081.7428"/>
    <n v="2214.62"/>
    <n v="2081.7428"/>
    <n v="0"/>
    <s v="CATIVO"/>
    <n v="0"/>
    <n v="0"/>
    <n v="44"/>
    <n v="67"/>
    <n v="0"/>
    <n v="62.57"/>
    <n v="242.82"/>
    <m/>
    <n v="75.886085105957733"/>
    <n v="224.53785920244138"/>
    <n v="0"/>
    <n v="40579.368107999966"/>
    <n v="0"/>
    <n v="39919.492532655982"/>
    <x v="2"/>
  </r>
  <r>
    <s v="Regular"/>
    <x v="1"/>
    <x v="2"/>
    <x v="2"/>
    <x v="1"/>
    <x v="1"/>
    <x v="0"/>
    <x v="0"/>
    <x v="9"/>
    <n v="0"/>
    <n v="0"/>
    <n v="2133.7860000000001"/>
    <n v="2005.75884"/>
    <n v="2133.7860000000001"/>
    <n v="2005.75884"/>
    <n v="0"/>
    <s v="CATIVO"/>
    <n v="0"/>
    <n v="0"/>
    <n v="44"/>
    <n v="67"/>
    <n v="0"/>
    <n v="62.57"/>
    <n v="242.82"/>
    <m/>
    <n v="75.886085105957733"/>
    <n v="224.53785920244138"/>
    <n v="0"/>
    <n v="39098.214392400027"/>
    <n v="0"/>
    <n v="38462.424385802529"/>
    <x v="2"/>
  </r>
  <r>
    <s v="Regular"/>
    <x v="1"/>
    <x v="2"/>
    <x v="2"/>
    <x v="1"/>
    <x v="1"/>
    <x v="0"/>
    <x v="0"/>
    <x v="10"/>
    <n v="0"/>
    <n v="0"/>
    <n v="2217.5650000000001"/>
    <n v="2084.5111000000002"/>
    <n v="2217.5650000000001"/>
    <n v="2084.5111000000002"/>
    <n v="0"/>
    <s v="CATIVO"/>
    <n v="0"/>
    <n v="0"/>
    <n v="44"/>
    <n v="67"/>
    <n v="0"/>
    <n v="62.57"/>
    <n v="242.82"/>
    <m/>
    <n v="75.886085105957733"/>
    <n v="224.53785920244138"/>
    <n v="0"/>
    <n v="40633.330520999967"/>
    <n v="0"/>
    <n v="39972.577443615271"/>
    <x v="2"/>
  </r>
  <r>
    <s v="PROJETADO"/>
    <x v="1"/>
    <x v="2"/>
    <x v="2"/>
    <x v="1"/>
    <x v="1"/>
    <x v="0"/>
    <x v="0"/>
    <x v="11"/>
    <n v="0"/>
    <n v="0"/>
    <n v="2217.5650000000001"/>
    <n v="2084.5111000000002"/>
    <n v="2217.5650000000001"/>
    <n v="2084.5111000000002"/>
    <n v="0"/>
    <s v="CATIVO"/>
    <n v="0"/>
    <n v="0"/>
    <n v="44"/>
    <n v="67"/>
    <n v="0"/>
    <n v="62.57"/>
    <n v="242.82"/>
    <m/>
    <n v="75.886085105957733"/>
    <n v="224.53785920244138"/>
    <n v="0"/>
    <n v="40633.330520999967"/>
    <n v="0"/>
    <n v="39972.577443615271"/>
    <x v="2"/>
  </r>
  <r>
    <s v="Regular"/>
    <x v="1"/>
    <x v="2"/>
    <x v="2"/>
    <x v="1"/>
    <x v="1"/>
    <x v="0"/>
    <x v="1"/>
    <x v="0"/>
    <n v="9684"/>
    <n v="8231.4"/>
    <n v="0"/>
    <n v="0"/>
    <n v="0"/>
    <n v="0"/>
    <n v="91"/>
    <s v="CATIVO"/>
    <n v="0"/>
    <n v="40"/>
    <n v="0"/>
    <n v="0"/>
    <n v="26.22"/>
    <n v="0"/>
    <n v="0"/>
    <n v="28.891757284072764"/>
    <m/>
    <m/>
    <n v="38087.172000000006"/>
    <n v="0"/>
    <n v="41968.166630844105"/>
    <n v="0"/>
    <x v="2"/>
  </r>
  <r>
    <s v="Regular"/>
    <x v="1"/>
    <x v="2"/>
    <x v="2"/>
    <x v="1"/>
    <x v="1"/>
    <x v="0"/>
    <x v="1"/>
    <x v="1"/>
    <n v="9478"/>
    <n v="8056.3"/>
    <n v="0"/>
    <n v="0"/>
    <n v="0"/>
    <n v="0"/>
    <n v="91"/>
    <s v="CATIVO"/>
    <n v="0"/>
    <n v="40"/>
    <n v="0"/>
    <n v="0"/>
    <n v="26.22"/>
    <n v="0"/>
    <n v="0"/>
    <n v="28.891757284072764"/>
    <m/>
    <m/>
    <n v="37276.973999999995"/>
    <n v="0"/>
    <n v="41075.411330766241"/>
    <n v="0"/>
    <x v="2"/>
  </r>
  <r>
    <s v="Regular"/>
    <x v="1"/>
    <x v="2"/>
    <x v="2"/>
    <x v="1"/>
    <x v="1"/>
    <x v="0"/>
    <x v="1"/>
    <x v="2"/>
    <n v="9454"/>
    <n v="8035.9"/>
    <n v="0"/>
    <n v="0"/>
    <n v="0"/>
    <n v="0"/>
    <n v="90"/>
    <s v="CATIVO"/>
    <n v="0"/>
    <n v="40"/>
    <n v="0"/>
    <n v="0"/>
    <n v="26.22"/>
    <n v="0"/>
    <n v="0"/>
    <n v="28.891757284072764"/>
    <m/>
    <m/>
    <n v="37182.582000000009"/>
    <n v="0"/>
    <n v="40971.401004543593"/>
    <n v="0"/>
    <x v="2"/>
  </r>
  <r>
    <s v="Regular"/>
    <x v="1"/>
    <x v="2"/>
    <x v="2"/>
    <x v="1"/>
    <x v="1"/>
    <x v="0"/>
    <x v="1"/>
    <x v="3"/>
    <n v="9444"/>
    <n v="8027.4"/>
    <n v="0"/>
    <n v="0"/>
    <n v="0"/>
    <n v="0"/>
    <n v="90"/>
    <s v="CATIVO"/>
    <n v="0"/>
    <n v="40"/>
    <n v="0"/>
    <n v="0"/>
    <n v="26.22"/>
    <n v="0"/>
    <n v="0"/>
    <n v="28.891757284072764"/>
    <m/>
    <m/>
    <n v="37143.252000000008"/>
    <n v="0"/>
    <n v="40928.063368617484"/>
    <n v="0"/>
    <x v="2"/>
  </r>
  <r>
    <s v="Regular"/>
    <x v="1"/>
    <x v="2"/>
    <x v="2"/>
    <x v="1"/>
    <x v="1"/>
    <x v="0"/>
    <x v="1"/>
    <x v="4"/>
    <n v="9479"/>
    <n v="8057.15"/>
    <n v="0"/>
    <n v="0"/>
    <n v="0"/>
    <n v="0"/>
    <n v="90"/>
    <s v="CATIVO"/>
    <n v="0"/>
    <n v="40"/>
    <n v="0"/>
    <n v="0"/>
    <n v="26.22"/>
    <n v="0"/>
    <n v="0"/>
    <n v="28.891757284072764"/>
    <m/>
    <m/>
    <n v="37280.907000000007"/>
    <n v="0"/>
    <n v="41079.74509435887"/>
    <n v="0"/>
    <x v="2"/>
  </r>
  <r>
    <s v="Regular"/>
    <x v="1"/>
    <x v="2"/>
    <x v="2"/>
    <x v="1"/>
    <x v="1"/>
    <x v="0"/>
    <x v="1"/>
    <x v="5"/>
    <n v="9549"/>
    <n v="8116.65"/>
    <n v="0"/>
    <n v="0"/>
    <n v="0"/>
    <n v="0"/>
    <n v="90"/>
    <s v="CATIVO"/>
    <n v="0"/>
    <n v="40"/>
    <n v="0"/>
    <n v="0"/>
    <n v="26.22"/>
    <n v="0"/>
    <n v="0"/>
    <n v="28.891757284072764"/>
    <m/>
    <m/>
    <n v="37556.217000000011"/>
    <n v="0"/>
    <n v="41383.108545841635"/>
    <n v="0"/>
    <x v="2"/>
  </r>
  <r>
    <s v="Regular"/>
    <x v="1"/>
    <x v="2"/>
    <x v="2"/>
    <x v="1"/>
    <x v="1"/>
    <x v="0"/>
    <x v="1"/>
    <x v="6"/>
    <n v="9470"/>
    <n v="8049.5"/>
    <n v="0"/>
    <n v="0"/>
    <n v="0"/>
    <n v="0"/>
    <n v="92"/>
    <s v="CATIVO"/>
    <n v="0"/>
    <n v="40"/>
    <n v="0"/>
    <n v="0"/>
    <n v="26.22"/>
    <n v="0"/>
    <n v="0"/>
    <n v="28.891757284072764"/>
    <m/>
    <m/>
    <n v="37245.509999999995"/>
    <n v="0"/>
    <n v="41040.741222025361"/>
    <n v="0"/>
    <x v="2"/>
  </r>
  <r>
    <s v="Regular"/>
    <x v="1"/>
    <x v="2"/>
    <x v="2"/>
    <x v="1"/>
    <x v="1"/>
    <x v="0"/>
    <x v="1"/>
    <x v="7"/>
    <n v="9467"/>
    <n v="8046.95"/>
    <n v="0"/>
    <n v="0"/>
    <n v="0"/>
    <n v="0"/>
    <n v="90"/>
    <s v="CATIVO"/>
    <n v="0"/>
    <n v="40"/>
    <n v="0"/>
    <n v="0"/>
    <n v="26.22"/>
    <n v="0"/>
    <n v="0"/>
    <n v="28.891757284072764"/>
    <m/>
    <m/>
    <n v="37233.711000000003"/>
    <n v="0"/>
    <n v="41027.739931247532"/>
    <n v="0"/>
    <x v="2"/>
  </r>
  <r>
    <s v="Regular"/>
    <x v="1"/>
    <x v="2"/>
    <x v="2"/>
    <x v="1"/>
    <x v="1"/>
    <x v="0"/>
    <x v="1"/>
    <x v="8"/>
    <n v="9692"/>
    <n v="8238.1999999999989"/>
    <n v="0"/>
    <n v="0"/>
    <n v="0"/>
    <n v="0"/>
    <n v="91"/>
    <s v="CATIVO"/>
    <n v="0"/>
    <n v="40"/>
    <n v="0"/>
    <n v="0"/>
    <n v="26.22"/>
    <n v="0"/>
    <n v="0"/>
    <n v="28.891757284072764"/>
    <m/>
    <m/>
    <n v="38118.636000000028"/>
    <n v="0"/>
    <n v="42002.836739585015"/>
    <n v="0"/>
    <x v="2"/>
  </r>
  <r>
    <s v="Regular"/>
    <x v="1"/>
    <x v="2"/>
    <x v="2"/>
    <x v="1"/>
    <x v="1"/>
    <x v="0"/>
    <x v="1"/>
    <x v="9"/>
    <n v="9723"/>
    <n v="8264.5499999999993"/>
    <n v="0"/>
    <n v="0"/>
    <n v="0"/>
    <n v="0"/>
    <n v="91"/>
    <s v="CATIVO"/>
    <n v="0"/>
    <n v="40"/>
    <n v="0"/>
    <n v="0"/>
    <n v="26.22"/>
    <n v="0"/>
    <n v="0"/>
    <n v="28.891757284072764"/>
    <m/>
    <m/>
    <n v="38240.559000000016"/>
    <n v="0"/>
    <n v="42137.183410955942"/>
    <n v="0"/>
    <x v="2"/>
  </r>
  <r>
    <s v="Regular"/>
    <x v="1"/>
    <x v="2"/>
    <x v="2"/>
    <x v="1"/>
    <x v="1"/>
    <x v="0"/>
    <x v="1"/>
    <x v="10"/>
    <n v="9716"/>
    <n v="8258.6"/>
    <n v="0"/>
    <n v="0"/>
    <n v="0"/>
    <n v="0"/>
    <n v="91"/>
    <s v="CATIVO"/>
    <n v="0"/>
    <n v="40"/>
    <n v="0"/>
    <n v="0"/>
    <n v="26.22"/>
    <n v="0"/>
    <n v="0"/>
    <n v="28.891757284072764"/>
    <m/>
    <m/>
    <n v="38213.027999999991"/>
    <n v="0"/>
    <n v="42106.847065807633"/>
    <n v="0"/>
    <x v="2"/>
  </r>
  <r>
    <s v="PROJETADO"/>
    <x v="1"/>
    <x v="2"/>
    <x v="2"/>
    <x v="1"/>
    <x v="1"/>
    <x v="0"/>
    <x v="1"/>
    <x v="11"/>
    <n v="9716"/>
    <n v="8258.6"/>
    <n v="0"/>
    <n v="0"/>
    <n v="0"/>
    <n v="0"/>
    <n v="91"/>
    <s v="CATIVO"/>
    <n v="0"/>
    <n v="40"/>
    <n v="0"/>
    <n v="0"/>
    <n v="26.22"/>
    <n v="0"/>
    <n v="0"/>
    <n v="28.891757284072764"/>
    <m/>
    <m/>
    <n v="38213.027999999991"/>
    <n v="0"/>
    <n v="42106.847065807633"/>
    <n v="0"/>
    <x v="2"/>
  </r>
  <r>
    <s v="Regular"/>
    <x v="1"/>
    <x v="2"/>
    <x v="2"/>
    <x v="1"/>
    <x v="1"/>
    <x v="0"/>
    <x v="2"/>
    <x v="0"/>
    <n v="0"/>
    <n v="0"/>
    <n v="211.697"/>
    <n v="198.99518"/>
    <n v="211.697"/>
    <n v="198.99518"/>
    <n v="0"/>
    <s v="CATIVO"/>
    <n v="0"/>
    <n v="0"/>
    <n v="42"/>
    <n v="66"/>
    <n v="0"/>
    <n v="1330.19"/>
    <n v="397.62"/>
    <m/>
    <n v="1471.0742690262982"/>
    <n v="351.67159959099928"/>
    <n v="0"/>
    <n v="21946.331614199997"/>
    <n v="0"/>
    <n v="23152.189928920558"/>
    <x v="2"/>
  </r>
  <r>
    <s v="Regular"/>
    <x v="1"/>
    <x v="2"/>
    <x v="2"/>
    <x v="1"/>
    <x v="1"/>
    <x v="0"/>
    <x v="2"/>
    <x v="1"/>
    <n v="0"/>
    <n v="0"/>
    <n v="195.94800000000001"/>
    <n v="184.19112000000001"/>
    <n v="195.94800000000001"/>
    <n v="184.19112000000001"/>
    <n v="0"/>
    <s v="CATIVO"/>
    <n v="0"/>
    <n v="0"/>
    <n v="42"/>
    <n v="66"/>
    <n v="0"/>
    <n v="1330.19"/>
    <n v="397.62"/>
    <m/>
    <n v="1471.0742690262982"/>
    <n v="351.67159959099928"/>
    <n v="0"/>
    <n v="20313.654832799992"/>
    <n v="0"/>
    <n v="21429.804447829323"/>
    <x v="2"/>
  </r>
  <r>
    <s v="Regular"/>
    <x v="1"/>
    <x v="2"/>
    <x v="2"/>
    <x v="1"/>
    <x v="1"/>
    <x v="0"/>
    <x v="2"/>
    <x v="2"/>
    <n v="0"/>
    <n v="0"/>
    <n v="194.745"/>
    <n v="183.06030000000001"/>
    <n v="194.745"/>
    <n v="183.06030000000001"/>
    <n v="0"/>
    <s v="CATIVO"/>
    <n v="0"/>
    <n v="0"/>
    <n v="42"/>
    <n v="66"/>
    <n v="0"/>
    <n v="1330.19"/>
    <n v="397.62"/>
    <m/>
    <n v="1471.0742690262982"/>
    <n v="351.67159959099928"/>
    <n v="0"/>
    <n v="20188.941506999989"/>
    <n v="0"/>
    <n v="21298.238651032523"/>
    <x v="2"/>
  </r>
  <r>
    <s v="Regular"/>
    <x v="1"/>
    <x v="2"/>
    <x v="2"/>
    <x v="1"/>
    <x v="1"/>
    <x v="0"/>
    <x v="2"/>
    <x v="3"/>
    <n v="0"/>
    <n v="0"/>
    <n v="201.191"/>
    <n v="189.11954"/>
    <n v="201.191"/>
    <n v="189.11954"/>
    <n v="0"/>
    <s v="CATIVO"/>
    <n v="0"/>
    <n v="0"/>
    <n v="42"/>
    <n v="66"/>
    <n v="0"/>
    <n v="1330.19"/>
    <n v="397.62"/>
    <m/>
    <n v="1471.0742690262982"/>
    <n v="351.67159959099928"/>
    <n v="0"/>
    <n v="20857.189302600003"/>
    <n v="0"/>
    <n v="22003.203843178962"/>
    <x v="2"/>
  </r>
  <r>
    <s v="Regular"/>
    <x v="1"/>
    <x v="2"/>
    <x v="2"/>
    <x v="1"/>
    <x v="1"/>
    <x v="0"/>
    <x v="2"/>
    <x v="4"/>
    <n v="0"/>
    <n v="0"/>
    <n v="204.17500000000001"/>
    <n v="191.92449999999999"/>
    <n v="204.17500000000001"/>
    <n v="191.92449999999999"/>
    <n v="0"/>
    <s v="CATIVO"/>
    <n v="0"/>
    <n v="0"/>
    <n v="42"/>
    <n v="66"/>
    <n v="0"/>
    <n v="1330.19"/>
    <n v="397.62"/>
    <m/>
    <n v="1471.0742690262982"/>
    <n v="351.67159959099928"/>
    <n v="0"/>
    <n v="21166.536405000028"/>
    <n v="0"/>
    <n v="22329.548263496235"/>
    <x v="2"/>
  </r>
  <r>
    <s v="Regular"/>
    <x v="1"/>
    <x v="2"/>
    <x v="2"/>
    <x v="1"/>
    <x v="1"/>
    <x v="0"/>
    <x v="2"/>
    <x v="5"/>
    <n v="0"/>
    <n v="0"/>
    <n v="219.00800000000001"/>
    <n v="205.86752000000001"/>
    <n v="219.00800000000001"/>
    <n v="205.86752000000001"/>
    <n v="0"/>
    <s v="CATIVO"/>
    <n v="0"/>
    <n v="0"/>
    <n v="42"/>
    <n v="66"/>
    <n v="0"/>
    <n v="1330.19"/>
    <n v="397.62"/>
    <m/>
    <n v="1471.0742690262982"/>
    <n v="351.67159959099928"/>
    <n v="0"/>
    <n v="22704.252748799994"/>
    <n v="0"/>
    <n v="23951.755631648219"/>
    <x v="2"/>
  </r>
  <r>
    <s v="Regular"/>
    <x v="1"/>
    <x v="2"/>
    <x v="2"/>
    <x v="1"/>
    <x v="1"/>
    <x v="0"/>
    <x v="2"/>
    <x v="6"/>
    <n v="0"/>
    <n v="0"/>
    <n v="195.251"/>
    <n v="183.53594000000001"/>
    <n v="195.251"/>
    <n v="183.53594000000001"/>
    <n v="0"/>
    <s v="CATIVO"/>
    <n v="0"/>
    <n v="0"/>
    <n v="42"/>
    <n v="66"/>
    <n v="0"/>
    <n v="1330.19"/>
    <n v="397.62"/>
    <m/>
    <n v="1471.0742690262982"/>
    <n v="351.67159959099928"/>
    <n v="0"/>
    <n v="20241.397818599991"/>
    <n v="0"/>
    <n v="21353.577215603749"/>
    <x v="2"/>
  </r>
  <r>
    <s v="Regular"/>
    <x v="1"/>
    <x v="2"/>
    <x v="2"/>
    <x v="1"/>
    <x v="1"/>
    <x v="0"/>
    <x v="2"/>
    <x v="7"/>
    <n v="0"/>
    <n v="0"/>
    <n v="192.36600000000001"/>
    <n v="180.82404"/>
    <n v="192.36600000000001"/>
    <n v="180.82404"/>
    <n v="0"/>
    <s v="CATIVO"/>
    <n v="0"/>
    <n v="0"/>
    <n v="42"/>
    <n v="66"/>
    <n v="0"/>
    <n v="1330.19"/>
    <n v="397.62"/>
    <m/>
    <n v="1471.0742690262982"/>
    <n v="351.67159959099928"/>
    <n v="0"/>
    <n v="19942.31390760003"/>
    <n v="0"/>
    <n v="21038.059905746137"/>
    <x v="2"/>
  </r>
  <r>
    <s v="Regular"/>
    <x v="1"/>
    <x v="2"/>
    <x v="2"/>
    <x v="1"/>
    <x v="1"/>
    <x v="0"/>
    <x v="2"/>
    <x v="8"/>
    <n v="0"/>
    <n v="0"/>
    <n v="197.28800000000001"/>
    <n v="185.45071999999999"/>
    <n v="197.28800000000001"/>
    <n v="185.45071999999999"/>
    <n v="0"/>
    <s v="CATIVO"/>
    <n v="0"/>
    <n v="0"/>
    <n v="42"/>
    <n v="66"/>
    <n v="0"/>
    <n v="1330.19"/>
    <n v="397.62"/>
    <m/>
    <n v="1471.0742690262982"/>
    <n v="351.67159959099928"/>
    <n v="0"/>
    <n v="20452.570756800036"/>
    <n v="0"/>
    <n v="21576.3532156662"/>
    <x v="2"/>
  </r>
  <r>
    <s v="Regular"/>
    <x v="1"/>
    <x v="2"/>
    <x v="2"/>
    <x v="1"/>
    <x v="1"/>
    <x v="0"/>
    <x v="2"/>
    <x v="9"/>
    <n v="0"/>
    <n v="0"/>
    <n v="209.20500000000001"/>
    <n v="196.65270000000001"/>
    <n v="209.20500000000001"/>
    <n v="196.65270000000001"/>
    <n v="0"/>
    <s v="CATIVO"/>
    <n v="0"/>
    <n v="0"/>
    <n v="42"/>
    <n v="66"/>
    <n v="0"/>
    <n v="1330.19"/>
    <n v="397.62"/>
    <m/>
    <n v="1471.0742690262982"/>
    <n v="351.67159959099928"/>
    <n v="0"/>
    <n v="21687.989463000005"/>
    <n v="0"/>
    <n v="22879.652966644906"/>
    <x v="2"/>
  </r>
  <r>
    <s v="Regular"/>
    <x v="1"/>
    <x v="2"/>
    <x v="2"/>
    <x v="1"/>
    <x v="1"/>
    <x v="0"/>
    <x v="2"/>
    <x v="10"/>
    <n v="0"/>
    <n v="0"/>
    <n v="214.83099999999999"/>
    <n v="201.94113999999999"/>
    <n v="214.83099999999999"/>
    <n v="201.94113999999999"/>
    <n v="0"/>
    <s v="CATIVO"/>
    <n v="0"/>
    <n v="0"/>
    <n v="42"/>
    <n v="66"/>
    <n v="0"/>
    <n v="1330.19"/>
    <n v="397.62"/>
    <m/>
    <n v="1471.0742690262982"/>
    <n v="351.67159959099928"/>
    <n v="0"/>
    <n v="22271.229006599999"/>
    <n v="0"/>
    <n v="23494.939062055357"/>
    <x v="2"/>
  </r>
  <r>
    <s v="PROJETADO"/>
    <x v="1"/>
    <x v="2"/>
    <x v="2"/>
    <x v="1"/>
    <x v="1"/>
    <x v="0"/>
    <x v="2"/>
    <x v="11"/>
    <n v="0"/>
    <n v="0"/>
    <n v="214.83099999999999"/>
    <n v="201.94113999999999"/>
    <n v="214.83099999999999"/>
    <n v="201.94113999999999"/>
    <n v="0"/>
    <s v="CATIVO"/>
    <n v="0"/>
    <n v="0"/>
    <n v="42"/>
    <n v="66"/>
    <n v="0"/>
    <n v="1330.19"/>
    <n v="397.62"/>
    <m/>
    <n v="1471.0742690262982"/>
    <n v="351.67159959099928"/>
    <n v="0"/>
    <n v="22271.229006599999"/>
    <n v="0"/>
    <n v="23494.939062055357"/>
    <x v="2"/>
  </r>
  <r>
    <s v="Regular"/>
    <x v="2"/>
    <x v="3"/>
    <x v="4"/>
    <x v="3"/>
    <x v="1"/>
    <x v="0"/>
    <x v="1"/>
    <x v="0"/>
    <n v="0"/>
    <n v="0"/>
    <n v="107190.459"/>
    <n v="107190.459"/>
    <n v="107190.459"/>
    <n v="107190.459"/>
    <n v="796021"/>
    <s v="CATIVO"/>
    <n v="0"/>
    <n v="0"/>
    <n v="2"/>
    <n v="72"/>
    <n v="0"/>
    <n v="341.2"/>
    <n v="255.72"/>
    <m/>
    <n v="380.73191596325307"/>
    <n v="235.13233756815453"/>
    <n v="0"/>
    <n v="0"/>
    <n v="0"/>
    <n v="0"/>
    <x v="5"/>
  </r>
  <r>
    <s v="Regular"/>
    <x v="2"/>
    <x v="3"/>
    <x v="4"/>
    <x v="4"/>
    <x v="1"/>
    <x v="0"/>
    <x v="1"/>
    <x v="0"/>
    <n v="0"/>
    <n v="0"/>
    <n v="13046.805"/>
    <n v="13046.805"/>
    <n v="13046.805"/>
    <n v="13046.805"/>
    <n v="45745"/>
    <s v="CATIVO"/>
    <n v="0"/>
    <n v="0"/>
    <n v="4"/>
    <n v="73"/>
    <n v="0"/>
    <n v="104.85"/>
    <n v="89.5"/>
    <m/>
    <n v="108.92256456594303"/>
    <n v="82.296318148854084"/>
    <n v="0"/>
    <n v="4709113.7966999989"/>
    <n v="0"/>
    <n v="4633191.5966102527"/>
    <x v="6"/>
  </r>
  <r>
    <s v="Refaturamento - Regular"/>
    <x v="2"/>
    <x v="3"/>
    <x v="4"/>
    <x v="4"/>
    <x v="1"/>
    <x v="0"/>
    <x v="1"/>
    <x v="0"/>
    <n v="0"/>
    <n v="0"/>
    <n v="2.44"/>
    <n v="2.44"/>
    <n v="2.44"/>
    <n v="2.44"/>
    <n v="32"/>
    <s v="CATIVO"/>
    <n v="0"/>
    <n v="0"/>
    <n v="4"/>
    <n v="73"/>
    <n v="0"/>
    <n v="104.85"/>
    <n v="89.5"/>
    <m/>
    <n v="108.92256456594303"/>
    <n v="82.296318148854084"/>
    <n v="0"/>
    <n v="880.69359999999983"/>
    <n v="0"/>
    <n v="866.49470853048058"/>
    <x v="6"/>
  </r>
  <r>
    <s v="Sistema de Compensação"/>
    <x v="2"/>
    <x v="3"/>
    <x v="4"/>
    <x v="4"/>
    <x v="1"/>
    <x v="0"/>
    <x v="1"/>
    <x v="0"/>
    <n v="0"/>
    <n v="0"/>
    <n v="15.66"/>
    <n v="15.66"/>
    <n v="15.66"/>
    <n v="15.66"/>
    <n v="25"/>
    <s v="CATIVO"/>
    <n v="0"/>
    <n v="0"/>
    <n v="4"/>
    <n v="73"/>
    <n v="0"/>
    <n v="104.85"/>
    <n v="89.5"/>
    <m/>
    <n v="108.92256456594303"/>
    <n v="82.296318148854084"/>
    <n v="0"/>
    <n v="5652.3203999999987"/>
    <n v="0"/>
    <n v="5561.1914490111994"/>
    <x v="6"/>
  </r>
  <r>
    <s v="Regular"/>
    <x v="2"/>
    <x v="3"/>
    <x v="4"/>
    <x v="4"/>
    <x v="1"/>
    <x v="0"/>
    <x v="1"/>
    <x v="1"/>
    <n v="0"/>
    <n v="0"/>
    <n v="12870.684999999999"/>
    <n v="12870.684999999999"/>
    <n v="12870.684999999999"/>
    <n v="12870.684999999999"/>
    <n v="44002"/>
    <s v="CATIVO"/>
    <n v="0"/>
    <n v="0"/>
    <n v="4"/>
    <n v="73"/>
    <n v="0"/>
    <n v="104.85"/>
    <n v="89.5"/>
    <m/>
    <n v="108.92256456594303"/>
    <n v="82.296318148854084"/>
    <n v="0"/>
    <n v="4645545.043899999"/>
    <n v="0"/>
    <n v="4570647.7244518967"/>
    <x v="6"/>
  </r>
  <r>
    <s v="Refaturamento - Regular"/>
    <x v="2"/>
    <x v="3"/>
    <x v="4"/>
    <x v="4"/>
    <x v="1"/>
    <x v="0"/>
    <x v="1"/>
    <x v="1"/>
    <n v="0"/>
    <n v="0"/>
    <n v="4.0679999999999996"/>
    <n v="4.0679999999999996"/>
    <n v="4.0679999999999996"/>
    <n v="4.0679999999999996"/>
    <n v="55"/>
    <s v="CATIVO"/>
    <n v="0"/>
    <n v="0"/>
    <n v="4"/>
    <n v="73"/>
    <n v="0"/>
    <n v="104.85"/>
    <n v="89.5"/>
    <m/>
    <n v="108.92256456594303"/>
    <n v="82.296318148854084"/>
    <n v="0"/>
    <n v="1468.3039199999996"/>
    <n v="0"/>
    <n v="1444.6313419270471"/>
    <x v="6"/>
  </r>
  <r>
    <s v="Sistema de Compensação"/>
    <x v="2"/>
    <x v="3"/>
    <x v="4"/>
    <x v="4"/>
    <x v="1"/>
    <x v="0"/>
    <x v="1"/>
    <x v="1"/>
    <n v="0"/>
    <n v="0"/>
    <n v="16.829999999999998"/>
    <n v="16.829999999999998"/>
    <n v="16.829999999999998"/>
    <n v="16.829999999999998"/>
    <n v="36"/>
    <s v="CATIVO"/>
    <n v="0"/>
    <n v="0"/>
    <n v="4"/>
    <n v="73"/>
    <n v="0"/>
    <n v="104.85"/>
    <n v="89.5"/>
    <m/>
    <n v="108.92256456594303"/>
    <n v="82.296318148854084"/>
    <n v="0"/>
    <n v="6074.6201999999985"/>
    <n v="0"/>
    <n v="5976.6827641672071"/>
    <x v="6"/>
  </r>
  <r>
    <s v="Regular"/>
    <x v="2"/>
    <x v="3"/>
    <x v="4"/>
    <x v="4"/>
    <x v="1"/>
    <x v="0"/>
    <x v="1"/>
    <x v="2"/>
    <n v="0"/>
    <n v="0"/>
    <n v="13028.805"/>
    <n v="13028.805"/>
    <n v="13028.805"/>
    <n v="13028.805"/>
    <n v="42538"/>
    <s v="CATIVO"/>
    <n v="0"/>
    <n v="0"/>
    <n v="4"/>
    <n v="73"/>
    <n v="0"/>
    <n v="104.85"/>
    <n v="89.5"/>
    <m/>
    <n v="108.92256456594303"/>
    <n v="82.296318148854084"/>
    <n v="0"/>
    <n v="4702616.876699999"/>
    <n v="0"/>
    <n v="4626799.4225309296"/>
    <x v="6"/>
  </r>
  <r>
    <s v="Refaturamento - Regular"/>
    <x v="2"/>
    <x v="3"/>
    <x v="4"/>
    <x v="4"/>
    <x v="1"/>
    <x v="0"/>
    <x v="1"/>
    <x v="2"/>
    <n v="0"/>
    <n v="0"/>
    <n v="4.2389999999999999"/>
    <n v="4.2389999999999999"/>
    <n v="4.2389999999999999"/>
    <n v="4.2389999999999999"/>
    <n v="63"/>
    <s v="CATIVO"/>
    <n v="0"/>
    <n v="0"/>
    <n v="4"/>
    <n v="73"/>
    <n v="0"/>
    <n v="104.85"/>
    <n v="89.5"/>
    <m/>
    <n v="108.92256456594303"/>
    <n v="82.296318148854084"/>
    <n v="0"/>
    <n v="1530.0246599999998"/>
    <n v="0"/>
    <n v="1505.3569956806177"/>
    <x v="6"/>
  </r>
  <r>
    <s v="Sistema de Compensação"/>
    <x v="2"/>
    <x v="3"/>
    <x v="4"/>
    <x v="4"/>
    <x v="1"/>
    <x v="0"/>
    <x v="1"/>
    <x v="2"/>
    <n v="0"/>
    <n v="0"/>
    <n v="19.05"/>
    <n v="19.05"/>
    <n v="19.05"/>
    <n v="19.05"/>
    <n v="42"/>
    <s v="CATIVO"/>
    <n v="0"/>
    <n v="0"/>
    <n v="4"/>
    <n v="73"/>
    <n v="0"/>
    <n v="104.85"/>
    <n v="89.5"/>
    <m/>
    <n v="108.92256456594303"/>
    <n v="82.296318148854084"/>
    <n v="0"/>
    <n v="6875.9069999999992"/>
    <n v="0"/>
    <n v="6765.0509006170714"/>
    <x v="6"/>
  </r>
  <r>
    <s v="Regular"/>
    <x v="2"/>
    <x v="3"/>
    <x v="4"/>
    <x v="4"/>
    <x v="1"/>
    <x v="0"/>
    <x v="1"/>
    <x v="3"/>
    <n v="0"/>
    <n v="0"/>
    <n v="13189"/>
    <n v="13189"/>
    <n v="13189"/>
    <n v="13189"/>
    <n v="42924"/>
    <s v="CATIVO"/>
    <n v="0"/>
    <n v="0"/>
    <n v="4"/>
    <n v="73"/>
    <n v="0"/>
    <n v="104.85"/>
    <n v="89.5"/>
    <m/>
    <n v="108.92256456594303"/>
    <n v="82.296318148854084"/>
    <n v="0"/>
    <n v="4760437.6599999992"/>
    <n v="0"/>
    <n v="4683687.9962329948"/>
    <x v="6"/>
  </r>
  <r>
    <s v="Refaturamento - Regular"/>
    <x v="2"/>
    <x v="3"/>
    <x v="4"/>
    <x v="4"/>
    <x v="1"/>
    <x v="0"/>
    <x v="1"/>
    <x v="3"/>
    <n v="0"/>
    <n v="0"/>
    <n v="3.202"/>
    <n v="3.202"/>
    <n v="3.202"/>
    <n v="3.202"/>
    <n v="38"/>
    <s v="CATIVO"/>
    <n v="0"/>
    <n v="0"/>
    <n v="4"/>
    <n v="73"/>
    <n v="0"/>
    <n v="104.85"/>
    <n v="89.5"/>
    <m/>
    <n v="108.92256456594303"/>
    <n v="82.296318148854084"/>
    <n v="0"/>
    <n v="1155.7298799999999"/>
    <n v="0"/>
    <n v="1137.0967445551635"/>
    <x v="6"/>
  </r>
  <r>
    <s v="Sistema de Compensação"/>
    <x v="2"/>
    <x v="3"/>
    <x v="4"/>
    <x v="4"/>
    <x v="1"/>
    <x v="0"/>
    <x v="1"/>
    <x v="3"/>
    <n v="0"/>
    <n v="0"/>
    <n v="19.829999999999998"/>
    <n v="19.829999999999998"/>
    <n v="19.829999999999998"/>
    <n v="19.829999999999998"/>
    <n v="8"/>
    <s v="CATIVO"/>
    <n v="0"/>
    <n v="0"/>
    <n v="4"/>
    <n v="73"/>
    <n v="0"/>
    <n v="104.85"/>
    <n v="89.5"/>
    <m/>
    <n v="108.92256456594303"/>
    <n v="82.296318148854084"/>
    <n v="0"/>
    <n v="7157.4401999999982"/>
    <n v="0"/>
    <n v="7042.0451107210774"/>
    <x v="6"/>
  </r>
  <r>
    <s v="Regular"/>
    <x v="2"/>
    <x v="3"/>
    <x v="4"/>
    <x v="4"/>
    <x v="1"/>
    <x v="0"/>
    <x v="1"/>
    <x v="4"/>
    <n v="0"/>
    <n v="0"/>
    <n v="13127.332"/>
    <n v="13127.332"/>
    <n v="13127.332"/>
    <n v="13127.332"/>
    <n v="39320"/>
    <s v="CATIVO"/>
    <n v="0"/>
    <n v="0"/>
    <n v="4"/>
    <n v="73"/>
    <n v="0"/>
    <n v="104.85"/>
    <n v="89.5"/>
    <m/>
    <n v="108.92256456594303"/>
    <n v="82.296318148854084"/>
    <n v="0"/>
    <n v="4738179.212079999"/>
    <n v="0"/>
    <n v="4661788.4078372335"/>
    <x v="6"/>
  </r>
  <r>
    <s v="Refaturamento - Regular"/>
    <x v="2"/>
    <x v="3"/>
    <x v="4"/>
    <x v="4"/>
    <x v="1"/>
    <x v="0"/>
    <x v="1"/>
    <x v="4"/>
    <n v="0"/>
    <n v="0"/>
    <n v="4.2729999999999997"/>
    <n v="4.2729999999999997"/>
    <n v="4.2729999999999997"/>
    <n v="4.2729999999999997"/>
    <n v="42"/>
    <s v="CATIVO"/>
    <n v="0"/>
    <n v="0"/>
    <n v="4"/>
    <n v="73"/>
    <n v="0"/>
    <n v="104.85"/>
    <n v="89.5"/>
    <m/>
    <n v="108.92256456594303"/>
    <n v="82.296318148854084"/>
    <n v="0"/>
    <n v="1542.2966199999996"/>
    <n v="0"/>
    <n v="1517.4311022748948"/>
    <x v="6"/>
  </r>
  <r>
    <s v="Sistema de Compensação"/>
    <x v="2"/>
    <x v="3"/>
    <x v="4"/>
    <x v="4"/>
    <x v="1"/>
    <x v="0"/>
    <x v="1"/>
    <x v="4"/>
    <n v="0"/>
    <n v="0"/>
    <n v="21.3"/>
    <n v="21.3"/>
    <n v="21.3"/>
    <n v="21.3"/>
    <n v="37"/>
    <s v="CATIVO"/>
    <n v="0"/>
    <n v="0"/>
    <n v="4"/>
    <n v="73"/>
    <n v="0"/>
    <n v="104.85"/>
    <n v="89.5"/>
    <m/>
    <n v="108.92256456594303"/>
    <n v="82.296318148854084"/>
    <n v="0"/>
    <n v="7688.021999999999"/>
    <n v="0"/>
    <n v="7564.0726605324744"/>
    <x v="6"/>
  </r>
  <r>
    <s v="Regular"/>
    <x v="2"/>
    <x v="3"/>
    <x v="4"/>
    <x v="4"/>
    <x v="1"/>
    <x v="0"/>
    <x v="1"/>
    <x v="5"/>
    <n v="0"/>
    <n v="0"/>
    <n v="13158.582"/>
    <n v="13158.582"/>
    <n v="13158.582"/>
    <n v="13158.582"/>
    <n v="40119"/>
    <s v="CATIVO"/>
    <n v="0"/>
    <n v="0"/>
    <n v="4"/>
    <n v="73"/>
    <n v="0"/>
    <n v="104.85"/>
    <n v="89.5"/>
    <m/>
    <n v="108.92256456594303"/>
    <n v="82.296318148854084"/>
    <n v="0"/>
    <n v="4749458.587079999"/>
    <n v="0"/>
    <n v="4672885.9322805032"/>
    <x v="6"/>
  </r>
  <r>
    <s v="Refaturamento - Regular"/>
    <x v="2"/>
    <x v="3"/>
    <x v="4"/>
    <x v="4"/>
    <x v="1"/>
    <x v="0"/>
    <x v="1"/>
    <x v="5"/>
    <n v="0"/>
    <n v="0"/>
    <n v="6.6429999999999998"/>
    <n v="6.6429999999999998"/>
    <n v="6.6429999999999998"/>
    <n v="6.6429999999999998"/>
    <n v="54"/>
    <s v="CATIVO"/>
    <n v="0"/>
    <n v="0"/>
    <n v="4"/>
    <n v="73"/>
    <n v="0"/>
    <n v="104.85"/>
    <n v="89.5"/>
    <m/>
    <n v="108.92256456594303"/>
    <n v="82.296318148854084"/>
    <n v="0"/>
    <n v="2397.7244199999996"/>
    <n v="0"/>
    <n v="2359.0673560524519"/>
    <x v="6"/>
  </r>
  <r>
    <s v="Sistema de Compensação"/>
    <x v="2"/>
    <x v="3"/>
    <x v="4"/>
    <x v="4"/>
    <x v="1"/>
    <x v="0"/>
    <x v="1"/>
    <x v="5"/>
    <n v="0"/>
    <n v="0"/>
    <n v="22.62"/>
    <n v="22.62"/>
    <n v="22.62"/>
    <n v="22.62"/>
    <n v="37"/>
    <s v="CATIVO"/>
    <n v="0"/>
    <n v="0"/>
    <n v="4"/>
    <n v="73"/>
    <n v="0"/>
    <n v="104.85"/>
    <n v="89.5"/>
    <m/>
    <n v="108.92256456594303"/>
    <n v="82.296318148854084"/>
    <n v="0"/>
    <n v="8164.4627999999993"/>
    <n v="0"/>
    <n v="8032.8320930161763"/>
    <x v="6"/>
  </r>
  <r>
    <s v="Sistema de Compensação"/>
    <x v="2"/>
    <x v="3"/>
    <x v="4"/>
    <x v="4"/>
    <x v="1"/>
    <x v="0"/>
    <x v="1"/>
    <x v="5"/>
    <n v="0"/>
    <n v="0"/>
    <n v="0.377"/>
    <n v="0.377"/>
    <n v="0.377"/>
    <n v="0.377"/>
    <n v="1"/>
    <s v="CATIVO"/>
    <n v="0"/>
    <n v="0"/>
    <n v="4"/>
    <n v="73"/>
    <n v="0"/>
    <n v="104.85"/>
    <n v="89.5"/>
    <m/>
    <n v="108.92256456594303"/>
    <n v="82.296318148854084"/>
    <n v="0"/>
    <n v="136.07437999999999"/>
    <n v="0"/>
    <n v="133.88053488360293"/>
    <x v="6"/>
  </r>
  <r>
    <s v="Regular"/>
    <x v="2"/>
    <x v="3"/>
    <x v="4"/>
    <x v="4"/>
    <x v="1"/>
    <x v="0"/>
    <x v="1"/>
    <x v="6"/>
    <n v="0"/>
    <n v="0"/>
    <n v="13427.204"/>
    <n v="13427.204"/>
    <n v="13427.204"/>
    <n v="13427.204"/>
    <n v="43318"/>
    <s v="CATIVO"/>
    <n v="0"/>
    <n v="0"/>
    <n v="4"/>
    <n v="73"/>
    <n v="0"/>
    <n v="104.85"/>
    <n v="89.5"/>
    <m/>
    <n v="108.92256456594303"/>
    <n v="82.296318148854084"/>
    <n v="0"/>
    <n v="4846415.0117599992"/>
    <n v="0"/>
    <n v="4768279.1870325012"/>
    <x v="6"/>
  </r>
  <r>
    <s v="Refaturamento - Regular"/>
    <x v="2"/>
    <x v="3"/>
    <x v="4"/>
    <x v="4"/>
    <x v="1"/>
    <x v="0"/>
    <x v="1"/>
    <x v="6"/>
    <n v="0"/>
    <n v="0"/>
    <n v="9.8789999999999996"/>
    <n v="9.8789999999999996"/>
    <n v="9.8789999999999996"/>
    <n v="9.8789999999999996"/>
    <n v="80"/>
    <s v="CATIVO"/>
    <n v="0"/>
    <n v="0"/>
    <n v="4"/>
    <n v="73"/>
    <n v="0"/>
    <n v="104.85"/>
    <n v="89.5"/>
    <m/>
    <n v="108.92256456594303"/>
    <n v="82.296318148854084"/>
    <n v="0"/>
    <n v="3565.7262599999995"/>
    <n v="0"/>
    <n v="3508.2382072018922"/>
    <x v="6"/>
  </r>
  <r>
    <s v="Sistema de Compensação"/>
    <x v="2"/>
    <x v="3"/>
    <x v="4"/>
    <x v="4"/>
    <x v="1"/>
    <x v="0"/>
    <x v="1"/>
    <x v="6"/>
    <n v="0"/>
    <n v="0"/>
    <n v="24.33"/>
    <n v="24.33"/>
    <n v="24.33"/>
    <n v="24.33"/>
    <n v="49"/>
    <s v="CATIVO"/>
    <n v="0"/>
    <n v="0"/>
    <n v="4"/>
    <n v="73"/>
    <n v="0"/>
    <n v="104.85"/>
    <n v="89.5"/>
    <m/>
    <n v="108.92256456594303"/>
    <n v="82.296318148854084"/>
    <n v="0"/>
    <n v="8781.6701999999987"/>
    <n v="0"/>
    <n v="8640.0886305518816"/>
    <x v="6"/>
  </r>
  <r>
    <s v="Regular"/>
    <x v="2"/>
    <x v="3"/>
    <x v="4"/>
    <x v="4"/>
    <x v="1"/>
    <x v="0"/>
    <x v="1"/>
    <x v="7"/>
    <n v="0"/>
    <n v="0"/>
    <n v="13673.727999999999"/>
    <n v="13673.727999999999"/>
    <n v="13673.727999999999"/>
    <n v="13673.727999999999"/>
    <n v="40150"/>
    <s v="CATIVO"/>
    <n v="0"/>
    <n v="0"/>
    <n v="4"/>
    <n v="73"/>
    <n v="0"/>
    <n v="104.85"/>
    <n v="89.5"/>
    <m/>
    <n v="108.92256456594303"/>
    <n v="82.296318148854084"/>
    <n v="0"/>
    <n v="4935395.3843199993"/>
    <n v="0"/>
    <n v="4855824.9827397829"/>
    <x v="6"/>
  </r>
  <r>
    <s v="Refaturamento - Regular"/>
    <x v="2"/>
    <x v="3"/>
    <x v="4"/>
    <x v="4"/>
    <x v="1"/>
    <x v="0"/>
    <x v="1"/>
    <x v="7"/>
    <n v="0"/>
    <n v="0"/>
    <n v="3.9249999999999998"/>
    <n v="3.9249999999999998"/>
    <n v="3.9249999999999998"/>
    <n v="3.9249999999999998"/>
    <n v="43"/>
    <s v="CATIVO"/>
    <n v="0"/>
    <n v="0"/>
    <n v="4"/>
    <n v="73"/>
    <n v="0"/>
    <n v="104.85"/>
    <n v="89.5"/>
    <m/>
    <n v="108.92256456594303"/>
    <n v="82.296318148854084"/>
    <n v="0"/>
    <n v="1416.6894999999997"/>
    <n v="0"/>
    <n v="1393.8490700746459"/>
    <x v="6"/>
  </r>
  <r>
    <s v="Sistema de Compensação"/>
    <x v="2"/>
    <x v="3"/>
    <x v="4"/>
    <x v="4"/>
    <x v="1"/>
    <x v="0"/>
    <x v="1"/>
    <x v="7"/>
    <n v="0"/>
    <n v="0"/>
    <n v="25.65"/>
    <n v="25.65"/>
    <n v="25.65"/>
    <n v="25.65"/>
    <n v="40"/>
    <s v="CATIVO"/>
    <n v="0"/>
    <n v="0"/>
    <n v="4"/>
    <n v="73"/>
    <n v="0"/>
    <n v="104.85"/>
    <n v="89.5"/>
    <m/>
    <n v="108.92256456594303"/>
    <n v="82.296318148854084"/>
    <n v="0"/>
    <n v="9258.1109999999971"/>
    <n v="0"/>
    <n v="9108.8480630355843"/>
    <x v="6"/>
  </r>
  <r>
    <s v="Regular"/>
    <x v="2"/>
    <x v="3"/>
    <x v="4"/>
    <x v="4"/>
    <x v="1"/>
    <x v="0"/>
    <x v="1"/>
    <x v="8"/>
    <n v="0"/>
    <n v="0"/>
    <n v="13824.705"/>
    <n v="13824.705"/>
    <n v="13824.705"/>
    <n v="13824.705"/>
    <n v="42786"/>
    <s v="CATIVO"/>
    <n v="0"/>
    <n v="0"/>
    <n v="4"/>
    <n v="73"/>
    <n v="0"/>
    <n v="104.85"/>
    <n v="89.5"/>
    <m/>
    <n v="108.92256456594303"/>
    <n v="82.296318148854084"/>
    <n v="0"/>
    <n v="4989889.0226999987"/>
    <n v="0"/>
    <n v="4909440.0530716712"/>
    <x v="6"/>
  </r>
  <r>
    <s v="Refaturamento - Regular"/>
    <x v="2"/>
    <x v="3"/>
    <x v="4"/>
    <x v="4"/>
    <x v="1"/>
    <x v="0"/>
    <x v="1"/>
    <x v="8"/>
    <n v="0"/>
    <n v="0"/>
    <n v="5.8869999999999996"/>
    <n v="5.8869999999999996"/>
    <n v="5.8869999999999996"/>
    <n v="5.8869999999999996"/>
    <n v="47"/>
    <s v="CATIVO"/>
    <n v="0"/>
    <n v="0"/>
    <n v="4"/>
    <n v="73"/>
    <n v="0"/>
    <n v="104.85"/>
    <n v="89.5"/>
    <m/>
    <n v="108.92256456594303"/>
    <n v="82.296318148854084"/>
    <n v="0"/>
    <n v="2124.8537799999995"/>
    <n v="0"/>
    <n v="2090.5960447208763"/>
    <x v="6"/>
  </r>
  <r>
    <s v="Sistema de Compensação"/>
    <x v="2"/>
    <x v="3"/>
    <x v="4"/>
    <x v="4"/>
    <x v="1"/>
    <x v="0"/>
    <x v="1"/>
    <x v="8"/>
    <n v="0"/>
    <n v="0"/>
    <n v="26.66"/>
    <n v="26.66"/>
    <n v="26.66"/>
    <n v="26.66"/>
    <n v="44"/>
    <s v="CATIVO"/>
    <n v="0"/>
    <n v="0"/>
    <n v="4"/>
    <n v="73"/>
    <n v="0"/>
    <n v="104.85"/>
    <n v="89.5"/>
    <m/>
    <n v="108.92256456594303"/>
    <n v="82.296318148854084"/>
    <n v="0"/>
    <n v="9622.6603999999988"/>
    <n v="0"/>
    <n v="9467.5200530420534"/>
    <x v="6"/>
  </r>
  <r>
    <s v="Regular"/>
    <x v="2"/>
    <x v="3"/>
    <x v="4"/>
    <x v="4"/>
    <x v="1"/>
    <x v="0"/>
    <x v="1"/>
    <x v="9"/>
    <n v="0"/>
    <n v="0"/>
    <n v="13703.281999999999"/>
    <n v="13703.281999999999"/>
    <n v="13703.281999999999"/>
    <n v="13703.281999999999"/>
    <n v="42836"/>
    <s v="CATIVO"/>
    <n v="0"/>
    <n v="0"/>
    <n v="4"/>
    <n v="73"/>
    <n v="0"/>
    <n v="104.85"/>
    <n v="89.5"/>
    <m/>
    <n v="108.92256456594303"/>
    <n v="82.296318148854084"/>
    <n v="0"/>
    <n v="4946062.6050799992"/>
    <n v="0"/>
    <n v="4866320.2223364674"/>
    <x v="6"/>
  </r>
  <r>
    <s v="Refaturamento - Regular"/>
    <x v="2"/>
    <x v="3"/>
    <x v="4"/>
    <x v="4"/>
    <x v="1"/>
    <x v="0"/>
    <x v="1"/>
    <x v="9"/>
    <n v="0"/>
    <n v="0"/>
    <n v="5.532"/>
    <n v="5.532"/>
    <n v="5.532"/>
    <n v="5.532"/>
    <n v="54"/>
    <s v="CATIVO"/>
    <n v="0"/>
    <n v="0"/>
    <n v="4"/>
    <n v="73"/>
    <n v="0"/>
    <n v="104.85"/>
    <n v="89.5"/>
    <m/>
    <n v="108.92256456594303"/>
    <n v="82.296318148854084"/>
    <n v="0"/>
    <n v="1996.7200799999996"/>
    <n v="0"/>
    <n v="1964.5281670453355"/>
    <x v="6"/>
  </r>
  <r>
    <s v="Sistema de Compensação"/>
    <x v="2"/>
    <x v="3"/>
    <x v="4"/>
    <x v="4"/>
    <x v="1"/>
    <x v="0"/>
    <x v="1"/>
    <x v="9"/>
    <n v="0"/>
    <n v="0"/>
    <n v="26.37"/>
    <n v="26.37"/>
    <n v="26.37"/>
    <n v="26.37"/>
    <n v="28"/>
    <s v="CATIVO"/>
    <n v="0"/>
    <n v="0"/>
    <n v="4"/>
    <n v="73"/>
    <n v="0"/>
    <n v="104.85"/>
    <n v="89.5"/>
    <m/>
    <n v="108.92256456594303"/>
    <n v="82.296318148854084"/>
    <n v="0"/>
    <n v="9517.987799999999"/>
    <n v="0"/>
    <n v="9364.535026208514"/>
    <x v="6"/>
  </r>
  <r>
    <s v="Regular"/>
    <x v="2"/>
    <x v="3"/>
    <x v="4"/>
    <x v="4"/>
    <x v="1"/>
    <x v="0"/>
    <x v="1"/>
    <x v="10"/>
    <n v="0"/>
    <n v="0"/>
    <n v="13836.76"/>
    <n v="13836.76"/>
    <n v="13836.76"/>
    <n v="13836.76"/>
    <n v="48343"/>
    <s v="CATIVO"/>
    <n v="0"/>
    <n v="0"/>
    <n v="4"/>
    <n v="73"/>
    <n v="0"/>
    <n v="104.85"/>
    <n v="89.5"/>
    <m/>
    <n v="108.92256456594303"/>
    <n v="82.296318148854084"/>
    <n v="0"/>
    <n v="4994240.1543999994"/>
    <n v="0"/>
    <n v="4913721.0341009069"/>
    <x v="6"/>
  </r>
  <r>
    <s v="Refaturamento - Regular"/>
    <x v="2"/>
    <x v="3"/>
    <x v="4"/>
    <x v="4"/>
    <x v="1"/>
    <x v="0"/>
    <x v="1"/>
    <x v="10"/>
    <n v="0"/>
    <n v="0"/>
    <n v="6.5830000000000002"/>
    <n v="6.5830000000000002"/>
    <n v="6.5830000000000002"/>
    <n v="6.5830000000000002"/>
    <n v="24"/>
    <s v="CATIVO"/>
    <n v="0"/>
    <n v="0"/>
    <n v="4"/>
    <n v="73"/>
    <n v="0"/>
    <n v="104.85"/>
    <n v="89.5"/>
    <m/>
    <n v="108.92256456594303"/>
    <n v="82.296318148854084"/>
    <n v="0"/>
    <n v="2376.0680199999997"/>
    <n v="0"/>
    <n v="2337.7601091213746"/>
    <x v="6"/>
  </r>
  <r>
    <s v="Sistema de Compensação"/>
    <x v="2"/>
    <x v="3"/>
    <x v="4"/>
    <x v="4"/>
    <x v="1"/>
    <x v="0"/>
    <x v="1"/>
    <x v="10"/>
    <n v="0"/>
    <n v="0"/>
    <n v="27.57"/>
    <n v="27.57"/>
    <n v="27.57"/>
    <n v="27.57"/>
    <n v="12"/>
    <s v="CATIVO"/>
    <n v="0"/>
    <n v="0"/>
    <n v="4"/>
    <n v="73"/>
    <n v="0"/>
    <n v="104.85"/>
    <n v="89.5"/>
    <m/>
    <n v="108.92256456594303"/>
    <n v="82.296318148854084"/>
    <n v="0"/>
    <n v="9951.1157999999978"/>
    <n v="0"/>
    <n v="9790.6799648300621"/>
    <x v="6"/>
  </r>
  <r>
    <s v="PROJETADO"/>
    <x v="2"/>
    <x v="3"/>
    <x v="4"/>
    <x v="4"/>
    <x v="1"/>
    <x v="0"/>
    <x v="1"/>
    <x v="11"/>
    <n v="0"/>
    <n v="0"/>
    <n v="13836.76"/>
    <n v="13836.76"/>
    <n v="13836.76"/>
    <n v="13836.76"/>
    <n v="48343"/>
    <s v="CATIVO"/>
    <n v="0"/>
    <n v="0"/>
    <n v="4"/>
    <n v="73"/>
    <n v="0"/>
    <n v="104.85"/>
    <n v="89.5"/>
    <m/>
    <n v="108.92256456594303"/>
    <n v="82.296318148854084"/>
    <n v="0"/>
    <n v="4994240.1543999994"/>
    <n v="0"/>
    <n v="4913721.0341009069"/>
    <x v="6"/>
  </r>
  <r>
    <s v="PROJETADO"/>
    <x v="2"/>
    <x v="3"/>
    <x v="4"/>
    <x v="4"/>
    <x v="1"/>
    <x v="0"/>
    <x v="1"/>
    <x v="11"/>
    <n v="0"/>
    <n v="0"/>
    <n v="6.5830000000000002"/>
    <n v="6.5830000000000002"/>
    <n v="6.5830000000000002"/>
    <n v="6.5830000000000002"/>
    <n v="24"/>
    <s v="CATIVO"/>
    <n v="0"/>
    <n v="0"/>
    <n v="4"/>
    <n v="73"/>
    <n v="0"/>
    <n v="104.85"/>
    <n v="89.5"/>
    <m/>
    <n v="108.92256456594303"/>
    <n v="82.296318148854084"/>
    <n v="0"/>
    <n v="2376.0680199999997"/>
    <n v="0"/>
    <n v="2337.7601091213746"/>
    <x v="6"/>
  </r>
  <r>
    <s v="PROJETADO"/>
    <x v="2"/>
    <x v="3"/>
    <x v="4"/>
    <x v="4"/>
    <x v="1"/>
    <x v="0"/>
    <x v="1"/>
    <x v="11"/>
    <n v="0"/>
    <n v="0"/>
    <n v="27.57"/>
    <n v="27.57"/>
    <n v="27.57"/>
    <n v="27.57"/>
    <n v="12"/>
    <s v="CATIVO"/>
    <n v="0"/>
    <n v="0"/>
    <n v="4"/>
    <n v="73"/>
    <n v="0"/>
    <n v="104.85"/>
    <n v="89.5"/>
    <m/>
    <n v="108.92256456594303"/>
    <n v="82.296318148854084"/>
    <n v="0"/>
    <n v="9951.1157999999978"/>
    <n v="0"/>
    <n v="9790.6799648300621"/>
    <x v="6"/>
  </r>
  <r>
    <s v="Regular"/>
    <x v="2"/>
    <x v="3"/>
    <x v="4"/>
    <x v="5"/>
    <x v="1"/>
    <x v="0"/>
    <x v="1"/>
    <x v="0"/>
    <n v="0"/>
    <n v="0"/>
    <n v="21068.968000000001"/>
    <n v="21068.968000000001"/>
    <n v="21068.968000000001"/>
    <n v="21068.968000000001"/>
    <n v="200657"/>
    <s v="CATIVO"/>
    <n v="0"/>
    <n v="0"/>
    <n v="6"/>
    <n v="74"/>
    <n v="0"/>
    <n v="179.74"/>
    <n v="153.43"/>
    <m/>
    <n v="186.7243963987595"/>
    <n v="141.07940254089272"/>
    <n v="0"/>
    <n v="4679839.1721599987"/>
    <n v="0"/>
    <n v="4604325.1667586435"/>
    <x v="6"/>
  </r>
  <r>
    <s v="Refaturamento - Regular"/>
    <x v="2"/>
    <x v="3"/>
    <x v="4"/>
    <x v="5"/>
    <x v="1"/>
    <x v="0"/>
    <x v="1"/>
    <x v="0"/>
    <n v="0"/>
    <n v="0"/>
    <n v="-3.6280000000000001"/>
    <n v="-3.6280000000000001"/>
    <n v="-3.6280000000000001"/>
    <n v="-3.6280000000000001"/>
    <n v="-12"/>
    <s v="CATIVO"/>
    <n v="0"/>
    <n v="0"/>
    <n v="6"/>
    <n v="74"/>
    <n v="0"/>
    <n v="179.74"/>
    <n v="153.43"/>
    <m/>
    <n v="186.7243963987595"/>
    <n v="141.07940254089272"/>
    <n v="0"/>
    <n v="-805.85135999999989"/>
    <n v="0"/>
    <n v="-792.84812170203872"/>
    <x v="6"/>
  </r>
  <r>
    <s v="Sistema de Compensação"/>
    <x v="2"/>
    <x v="3"/>
    <x v="4"/>
    <x v="5"/>
    <x v="1"/>
    <x v="0"/>
    <x v="1"/>
    <x v="0"/>
    <n v="0"/>
    <n v="0"/>
    <n v="13.291"/>
    <n v="13.291"/>
    <n v="13.291"/>
    <n v="13.291"/>
    <n v="58"/>
    <s v="CATIVO"/>
    <n v="0"/>
    <n v="0"/>
    <n v="6"/>
    <n v="74"/>
    <n v="0"/>
    <n v="179.74"/>
    <n v="153.43"/>
    <m/>
    <n v="186.7243963987595"/>
    <n v="141.07940254089272"/>
    <n v="0"/>
    <n v="2952.1969199999994"/>
    <n v="0"/>
    <n v="2904.560194471278"/>
    <x v="6"/>
  </r>
  <r>
    <s v="Regular"/>
    <x v="2"/>
    <x v="3"/>
    <x v="4"/>
    <x v="5"/>
    <x v="1"/>
    <x v="0"/>
    <x v="1"/>
    <x v="1"/>
    <n v="0"/>
    <n v="0"/>
    <n v="20728.253000000001"/>
    <n v="20728.253000000001"/>
    <n v="20728.253000000001"/>
    <n v="20728.253000000001"/>
    <n v="201132"/>
    <s v="CATIVO"/>
    <n v="0"/>
    <n v="0"/>
    <n v="6"/>
    <n v="74"/>
    <n v="0"/>
    <n v="179.74"/>
    <n v="153.43"/>
    <m/>
    <n v="186.7243963987595"/>
    <n v="141.07940254089272"/>
    <n v="0"/>
    <n v="4604159.5563599989"/>
    <n v="0"/>
    <n v="4529866.7191881612"/>
    <x v="6"/>
  </r>
  <r>
    <s v="Refaturamento - Regular"/>
    <x v="2"/>
    <x v="3"/>
    <x v="4"/>
    <x v="5"/>
    <x v="1"/>
    <x v="0"/>
    <x v="1"/>
    <x v="1"/>
    <n v="0"/>
    <n v="0"/>
    <n v="-3.8239999999999998"/>
    <n v="-3.8239999999999998"/>
    <n v="-3.8239999999999998"/>
    <n v="-3.8239999999999998"/>
    <n v="-8"/>
    <s v="CATIVO"/>
    <n v="0"/>
    <n v="0"/>
    <n v="6"/>
    <n v="74"/>
    <n v="0"/>
    <n v="179.74"/>
    <n v="153.43"/>
    <m/>
    <n v="186.7243963987595"/>
    <n v="141.07940254089272"/>
    <n v="0"/>
    <n v="-849.38687999999979"/>
    <n v="0"/>
    <n v="-835.68115143015314"/>
    <x v="6"/>
  </r>
  <r>
    <s v="Sistema de Compensação"/>
    <x v="2"/>
    <x v="3"/>
    <x v="4"/>
    <x v="5"/>
    <x v="1"/>
    <x v="0"/>
    <x v="1"/>
    <x v="1"/>
    <n v="0"/>
    <n v="0"/>
    <n v="12.747999999999999"/>
    <n v="12.747999999999999"/>
    <n v="12.747999999999999"/>
    <n v="12.747999999999999"/>
    <n v="50"/>
    <s v="CATIVO"/>
    <n v="0"/>
    <n v="0"/>
    <n v="6"/>
    <n v="74"/>
    <n v="0"/>
    <n v="179.74"/>
    <n v="153.43"/>
    <m/>
    <n v="186.7243963987595"/>
    <n v="141.07940254089272"/>
    <n v="0"/>
    <n v="2831.585759999999"/>
    <n v="0"/>
    <n v="2785.8952192551237"/>
    <x v="6"/>
  </r>
  <r>
    <s v="Regular"/>
    <x v="2"/>
    <x v="3"/>
    <x v="4"/>
    <x v="5"/>
    <x v="1"/>
    <x v="0"/>
    <x v="1"/>
    <x v="2"/>
    <n v="0"/>
    <n v="0"/>
    <n v="21787.931"/>
    <n v="21787.931"/>
    <n v="21787.931"/>
    <n v="21787.931"/>
    <n v="188992"/>
    <s v="CATIVO"/>
    <n v="0"/>
    <n v="0"/>
    <n v="6"/>
    <n v="74"/>
    <n v="0"/>
    <n v="179.74"/>
    <n v="153.43"/>
    <m/>
    <n v="186.7243963987595"/>
    <n v="141.07940254089272"/>
    <n v="0"/>
    <n v="4839535.233719999"/>
    <n v="0"/>
    <n v="4761444.3685566764"/>
    <x v="6"/>
  </r>
  <r>
    <s v="Refaturamento - Regular"/>
    <x v="2"/>
    <x v="3"/>
    <x v="4"/>
    <x v="5"/>
    <x v="1"/>
    <x v="0"/>
    <x v="1"/>
    <x v="2"/>
    <n v="0"/>
    <n v="0"/>
    <n v="-4.6779999999999999"/>
    <n v="-4.6779999999999999"/>
    <n v="-4.6779999999999999"/>
    <n v="-4.6779999999999999"/>
    <n v="-8"/>
    <s v="CATIVO"/>
    <n v="0"/>
    <n v="0"/>
    <n v="6"/>
    <n v="74"/>
    <n v="0"/>
    <n v="179.74"/>
    <n v="153.43"/>
    <m/>
    <n v="186.7243963987595"/>
    <n v="141.07940254089272"/>
    <n v="0"/>
    <n v="-1039.0773599999998"/>
    <n v="0"/>
    <n v="-1022.3107809597951"/>
    <x v="6"/>
  </r>
  <r>
    <s v="Sistema de Compensação"/>
    <x v="2"/>
    <x v="3"/>
    <x v="4"/>
    <x v="5"/>
    <x v="1"/>
    <x v="0"/>
    <x v="1"/>
    <x v="2"/>
    <n v="0"/>
    <n v="0"/>
    <n v="14.361000000000001"/>
    <n v="14.361000000000001"/>
    <n v="14.361000000000001"/>
    <n v="14.361000000000001"/>
    <n v="48"/>
    <s v="CATIVO"/>
    <n v="0"/>
    <n v="0"/>
    <n v="6"/>
    <n v="74"/>
    <n v="0"/>
    <n v="179.74"/>
    <n v="153.43"/>
    <m/>
    <n v="186.7243963987595"/>
    <n v="141.07940254089272"/>
    <n v="0"/>
    <n v="3189.8653199999994"/>
    <n v="0"/>
    <n v="3138.3935710482297"/>
    <x v="6"/>
  </r>
  <r>
    <s v="Regular"/>
    <x v="2"/>
    <x v="3"/>
    <x v="4"/>
    <x v="5"/>
    <x v="1"/>
    <x v="0"/>
    <x v="1"/>
    <x v="3"/>
    <n v="0"/>
    <n v="0"/>
    <n v="22162.739000000001"/>
    <n v="22162.739000000001"/>
    <n v="22162.739000000001"/>
    <n v="22162.739000000001"/>
    <n v="189824"/>
    <s v="CATIVO"/>
    <n v="0"/>
    <n v="0"/>
    <n v="6"/>
    <n v="74"/>
    <n v="0"/>
    <n v="179.74"/>
    <n v="153.43"/>
    <m/>
    <n v="186.7243963987595"/>
    <n v="141.07940254089272"/>
    <n v="0"/>
    <n v="4922787.5866799988"/>
    <n v="0"/>
    <n v="4843353.3594053257"/>
    <x v="6"/>
  </r>
  <r>
    <s v="Refaturamento - Regular"/>
    <x v="2"/>
    <x v="3"/>
    <x v="4"/>
    <x v="5"/>
    <x v="1"/>
    <x v="0"/>
    <x v="1"/>
    <x v="3"/>
    <n v="0"/>
    <n v="0"/>
    <n v="-3.3090000000000002"/>
    <n v="-3.3090000000000002"/>
    <n v="-3.3090000000000002"/>
    <n v="-3.3090000000000002"/>
    <n v="-5"/>
    <s v="CATIVO"/>
    <n v="0"/>
    <n v="0"/>
    <n v="6"/>
    <n v="74"/>
    <n v="0"/>
    <n v="179.74"/>
    <n v="153.43"/>
    <m/>
    <n v="186.7243963987595"/>
    <n v="141.07940254089272"/>
    <n v="0"/>
    <n v="-734.99507999999992"/>
    <n v="0"/>
    <n v="-723.13518046087268"/>
    <x v="6"/>
  </r>
  <r>
    <s v="Sistema de Compensação"/>
    <x v="2"/>
    <x v="3"/>
    <x v="4"/>
    <x v="5"/>
    <x v="1"/>
    <x v="0"/>
    <x v="1"/>
    <x v="3"/>
    <n v="0"/>
    <n v="0"/>
    <n v="15.215"/>
    <n v="15.215"/>
    <n v="15.215"/>
    <n v="15.215"/>
    <n v="51"/>
    <s v="CATIVO"/>
    <n v="0"/>
    <n v="0"/>
    <n v="6"/>
    <n v="74"/>
    <n v="0"/>
    <n v="179.74"/>
    <n v="153.43"/>
    <m/>
    <n v="186.7243963987595"/>
    <n v="141.07940254089272"/>
    <n v="0"/>
    <n v="3379.5557999999992"/>
    <n v="0"/>
    <n v="3325.0232005778716"/>
    <x v="6"/>
  </r>
  <r>
    <s v="Regular"/>
    <x v="2"/>
    <x v="3"/>
    <x v="4"/>
    <x v="5"/>
    <x v="1"/>
    <x v="0"/>
    <x v="1"/>
    <x v="4"/>
    <n v="0"/>
    <n v="0"/>
    <n v="23244.647000000001"/>
    <n v="23244.647000000001"/>
    <n v="23244.647000000001"/>
    <n v="23244.647000000001"/>
    <n v="163647"/>
    <s v="CATIVO"/>
    <n v="0"/>
    <n v="0"/>
    <n v="6"/>
    <n v="74"/>
    <n v="0"/>
    <n v="179.74"/>
    <n v="153.43"/>
    <m/>
    <n v="186.7243963987595"/>
    <n v="141.07940254089272"/>
    <n v="0"/>
    <n v="5163100.9916399987"/>
    <n v="0"/>
    <n v="5079789.0610741256"/>
    <x v="6"/>
  </r>
  <r>
    <s v="Refaturamento - Regular"/>
    <x v="2"/>
    <x v="3"/>
    <x v="4"/>
    <x v="5"/>
    <x v="1"/>
    <x v="0"/>
    <x v="1"/>
    <x v="4"/>
    <n v="0"/>
    <n v="0"/>
    <n v="-2.8319999999999999"/>
    <n v="-2.8319999999999999"/>
    <n v="-2.8319999999999999"/>
    <n v="-2.8319999999999999"/>
    <n v="-8"/>
    <s v="CATIVO"/>
    <n v="0"/>
    <n v="0"/>
    <n v="6"/>
    <n v="74"/>
    <n v="0"/>
    <n v="179.74"/>
    <n v="153.43"/>
    <m/>
    <n v="186.7243963987595"/>
    <n v="141.07940254089272"/>
    <n v="0"/>
    <n v="-629.04383999999982"/>
    <n v="0"/>
    <n v="-618.89357239806327"/>
    <x v="6"/>
  </r>
  <r>
    <s v="Sistema de Compensação"/>
    <x v="2"/>
    <x v="3"/>
    <x v="4"/>
    <x v="5"/>
    <x v="1"/>
    <x v="0"/>
    <x v="1"/>
    <x v="4"/>
    <n v="0"/>
    <n v="0"/>
    <n v="19.161000000000001"/>
    <n v="19.161000000000001"/>
    <n v="19.161000000000001"/>
    <n v="19.161000000000001"/>
    <n v="39"/>
    <s v="CATIVO"/>
    <n v="0"/>
    <n v="0"/>
    <n v="6"/>
    <n v="74"/>
    <n v="0"/>
    <n v="179.74"/>
    <n v="153.43"/>
    <m/>
    <n v="186.7243963987595"/>
    <n v="141.07940254089272"/>
    <n v="0"/>
    <n v="4256.0413199999994"/>
    <n v="0"/>
    <n v="4187.3657276551166"/>
    <x v="6"/>
  </r>
  <r>
    <s v="Regular"/>
    <x v="2"/>
    <x v="3"/>
    <x v="4"/>
    <x v="5"/>
    <x v="1"/>
    <x v="0"/>
    <x v="1"/>
    <x v="5"/>
    <n v="0"/>
    <n v="0"/>
    <n v="22506.417000000001"/>
    <n v="22506.417000000001"/>
    <n v="22506.417000000001"/>
    <n v="22506.417000000001"/>
    <n v="182803"/>
    <s v="CATIVO"/>
    <n v="0"/>
    <n v="0"/>
    <n v="6"/>
    <n v="74"/>
    <n v="0"/>
    <n v="179.74"/>
    <n v="153.43"/>
    <m/>
    <n v="186.7243963987595"/>
    <n v="141.07940254089272"/>
    <n v="0"/>
    <n v="4999125.3440399989"/>
    <n v="0"/>
    <n v="4918459.3287466466"/>
    <x v="6"/>
  </r>
  <r>
    <s v="Refaturamento - Regular"/>
    <x v="2"/>
    <x v="3"/>
    <x v="4"/>
    <x v="5"/>
    <x v="1"/>
    <x v="0"/>
    <x v="1"/>
    <x v="5"/>
    <n v="0"/>
    <n v="0"/>
    <n v="-3.6040000000000001"/>
    <n v="-3.6040000000000001"/>
    <n v="-3.6040000000000001"/>
    <n v="-3.6040000000000001"/>
    <n v="-9"/>
    <s v="CATIVO"/>
    <n v="0"/>
    <n v="0"/>
    <n v="6"/>
    <n v="74"/>
    <n v="0"/>
    <n v="179.74"/>
    <n v="153.43"/>
    <m/>
    <n v="186.7243963987595"/>
    <n v="141.07940254089272"/>
    <n v="0"/>
    <n v="-800.52047999999979"/>
    <n v="0"/>
    <n v="-787.60326091900424"/>
    <x v="6"/>
  </r>
  <r>
    <s v="Sistema de Compensação"/>
    <x v="2"/>
    <x v="3"/>
    <x v="4"/>
    <x v="5"/>
    <x v="1"/>
    <x v="0"/>
    <x v="1"/>
    <x v="5"/>
    <n v="0"/>
    <n v="0"/>
    <n v="19.314"/>
    <n v="19.314"/>
    <n v="19.314"/>
    <n v="19.314"/>
    <n v="58"/>
    <s v="CATIVO"/>
    <n v="0"/>
    <n v="0"/>
    <n v="6"/>
    <n v="74"/>
    <n v="0"/>
    <n v="179.74"/>
    <n v="153.43"/>
    <m/>
    <n v="186.7243963987595"/>
    <n v="141.07940254089272"/>
    <n v="0"/>
    <n v="4290.0256799999988"/>
    <n v="0"/>
    <n v="4220.8017151469612"/>
    <x v="6"/>
  </r>
  <r>
    <s v="Sistema de Compensação"/>
    <x v="2"/>
    <x v="3"/>
    <x v="4"/>
    <x v="5"/>
    <x v="1"/>
    <x v="0"/>
    <x v="1"/>
    <x v="5"/>
    <n v="0"/>
    <n v="0"/>
    <n v="-7.0000000000000007E-2"/>
    <n v="-7.0000000000000007E-2"/>
    <n v="-7.0000000000000007E-2"/>
    <n v="-7.0000000000000007E-2"/>
    <n v="0"/>
    <s v="CATIVO"/>
    <n v="0"/>
    <n v="0"/>
    <n v="6"/>
    <n v="74"/>
    <n v="0"/>
    <n v="179.74"/>
    <n v="153.43"/>
    <m/>
    <n v="186.7243963987595"/>
    <n v="141.07940254089272"/>
    <n v="0"/>
    <n v="-15.548399999999997"/>
    <n v="0"/>
    <n v="-15.297510617183768"/>
    <x v="6"/>
  </r>
  <r>
    <s v="Regular"/>
    <x v="2"/>
    <x v="3"/>
    <x v="4"/>
    <x v="5"/>
    <x v="1"/>
    <x v="0"/>
    <x v="1"/>
    <x v="6"/>
    <n v="0"/>
    <n v="0"/>
    <n v="21989.413"/>
    <n v="21989.413"/>
    <n v="21989.413"/>
    <n v="21989.413"/>
    <n v="205753"/>
    <s v="CATIVO"/>
    <n v="0"/>
    <n v="0"/>
    <n v="6"/>
    <n v="74"/>
    <n v="0"/>
    <n v="179.74"/>
    <n v="153.43"/>
    <m/>
    <n v="186.7243963987595"/>
    <n v="141.07940254089272"/>
    <n v="0"/>
    <n v="4884288.4155599987"/>
    <n v="0"/>
    <n v="4805475.4119019825"/>
    <x v="6"/>
  </r>
  <r>
    <s v="Refaturamento - Regular"/>
    <x v="2"/>
    <x v="3"/>
    <x v="4"/>
    <x v="5"/>
    <x v="1"/>
    <x v="0"/>
    <x v="1"/>
    <x v="6"/>
    <n v="0"/>
    <n v="0"/>
    <n v="-5.3319999999999999"/>
    <n v="-5.3319999999999999"/>
    <n v="-5.3319999999999999"/>
    <n v="-5.3319999999999999"/>
    <n v="-10"/>
    <s v="CATIVO"/>
    <n v="0"/>
    <n v="0"/>
    <n v="6"/>
    <n v="74"/>
    <n v="0"/>
    <n v="179.74"/>
    <n v="153.43"/>
    <m/>
    <n v="186.7243963987595"/>
    <n v="141.07940254089272"/>
    <n v="0"/>
    <n v="-1184.3438399999998"/>
    <n v="0"/>
    <n v="-1165.2332372974836"/>
    <x v="6"/>
  </r>
  <r>
    <s v="Sistema de Compensação"/>
    <x v="2"/>
    <x v="3"/>
    <x v="4"/>
    <x v="5"/>
    <x v="1"/>
    <x v="0"/>
    <x v="1"/>
    <x v="6"/>
    <n v="0"/>
    <n v="0"/>
    <n v="18.664999999999999"/>
    <n v="18.664999999999999"/>
    <n v="18.664999999999999"/>
    <n v="18.664999999999999"/>
    <n v="70"/>
    <s v="CATIVO"/>
    <n v="0"/>
    <n v="0"/>
    <n v="6"/>
    <n v="74"/>
    <n v="0"/>
    <n v="179.74"/>
    <n v="153.43"/>
    <m/>
    <n v="186.7243963987595"/>
    <n v="141.07940254089272"/>
    <n v="0"/>
    <n v="4145.8697999999986"/>
    <n v="0"/>
    <n v="4078.9719381390714"/>
    <x v="6"/>
  </r>
  <r>
    <s v="Regular"/>
    <x v="2"/>
    <x v="3"/>
    <x v="4"/>
    <x v="5"/>
    <x v="1"/>
    <x v="0"/>
    <x v="1"/>
    <x v="7"/>
    <n v="0"/>
    <n v="0"/>
    <n v="24009.078000000001"/>
    <n v="24009.078000000001"/>
    <n v="24009.078000000001"/>
    <n v="24009.078000000001"/>
    <n v="175797"/>
    <s v="CATIVO"/>
    <n v="0"/>
    <n v="0"/>
    <n v="6"/>
    <n v="74"/>
    <n v="0"/>
    <n v="179.74"/>
    <n v="153.43"/>
    <m/>
    <n v="186.7243963987595"/>
    <n v="141.07940254089272"/>
    <n v="0"/>
    <n v="5332896.4053599993"/>
    <n v="0"/>
    <n v="5246844.6516256174"/>
    <x v="6"/>
  </r>
  <r>
    <s v="Refaturamento - Regular"/>
    <x v="2"/>
    <x v="3"/>
    <x v="4"/>
    <x v="5"/>
    <x v="1"/>
    <x v="0"/>
    <x v="1"/>
    <x v="7"/>
    <n v="0"/>
    <n v="0"/>
    <n v="-2.8959999999999999"/>
    <n v="-2.8959999999999999"/>
    <n v="-2.8959999999999999"/>
    <n v="-2.8959999999999999"/>
    <n v="-7"/>
    <s v="CATIVO"/>
    <n v="0"/>
    <n v="0"/>
    <n v="6"/>
    <n v="74"/>
    <n v="0"/>
    <n v="179.74"/>
    <n v="153.43"/>
    <m/>
    <n v="186.7243963987595"/>
    <n v="141.07940254089272"/>
    <n v="0"/>
    <n v="-643.25951999999984"/>
    <n v="0"/>
    <n v="-632.87986781948837"/>
    <x v="6"/>
  </r>
  <r>
    <s v="Sistema de Compensação"/>
    <x v="2"/>
    <x v="3"/>
    <x v="4"/>
    <x v="5"/>
    <x v="1"/>
    <x v="0"/>
    <x v="1"/>
    <x v="7"/>
    <n v="0"/>
    <n v="0"/>
    <n v="18.558"/>
    <n v="18.558"/>
    <n v="18.558"/>
    <n v="18.558"/>
    <n v="51"/>
    <s v="CATIVO"/>
    <n v="0"/>
    <n v="0"/>
    <n v="6"/>
    <n v="74"/>
    <n v="0"/>
    <n v="179.74"/>
    <n v="153.43"/>
    <m/>
    <n v="186.7243963987595"/>
    <n v="141.07940254089272"/>
    <n v="0"/>
    <n v="4122.1029599999993"/>
    <n v="0"/>
    <n v="4055.5886004813765"/>
    <x v="6"/>
  </r>
  <r>
    <s v="Regular"/>
    <x v="2"/>
    <x v="3"/>
    <x v="4"/>
    <x v="5"/>
    <x v="1"/>
    <x v="0"/>
    <x v="1"/>
    <x v="8"/>
    <n v="0"/>
    <n v="0"/>
    <n v="23322.166000000001"/>
    <n v="23322.166000000001"/>
    <n v="23322.166000000001"/>
    <n v="23322.166000000001"/>
    <n v="198096"/>
    <s v="CATIVO"/>
    <n v="0"/>
    <n v="0"/>
    <n v="6"/>
    <n v="74"/>
    <n v="0"/>
    <n v="179.74"/>
    <n v="153.43"/>
    <m/>
    <n v="186.7243963987595"/>
    <n v="141.07940254089272"/>
    <n v="0"/>
    <n v="5180319.5119199986"/>
    <n v="0"/>
    <n v="5096729.7428674614"/>
    <x v="6"/>
  </r>
  <r>
    <s v="Refaturamento - Regular"/>
    <x v="2"/>
    <x v="3"/>
    <x v="4"/>
    <x v="5"/>
    <x v="1"/>
    <x v="0"/>
    <x v="1"/>
    <x v="8"/>
    <n v="0"/>
    <n v="0"/>
    <n v="-3.6139999999999999"/>
    <n v="-3.6139999999999999"/>
    <n v="-3.6139999999999999"/>
    <n v="-3.6139999999999999"/>
    <n v="-3"/>
    <s v="CATIVO"/>
    <n v="0"/>
    <n v="0"/>
    <n v="6"/>
    <n v="74"/>
    <n v="0"/>
    <n v="179.74"/>
    <n v="153.43"/>
    <m/>
    <n v="186.7243963987595"/>
    <n v="141.07940254089272"/>
    <n v="0"/>
    <n v="-802.74167999999975"/>
    <n v="0"/>
    <n v="-789.78861957860192"/>
    <x v="6"/>
  </r>
  <r>
    <s v="Sistema de Compensação"/>
    <x v="2"/>
    <x v="3"/>
    <x v="4"/>
    <x v="5"/>
    <x v="1"/>
    <x v="0"/>
    <x v="1"/>
    <x v="8"/>
    <n v="0"/>
    <n v="0"/>
    <n v="18.727"/>
    <n v="18.727"/>
    <n v="18.727"/>
    <n v="18.727"/>
    <n v="68"/>
    <s v="CATIVO"/>
    <n v="0"/>
    <n v="0"/>
    <n v="6"/>
    <n v="74"/>
    <n v="0"/>
    <n v="179.74"/>
    <n v="153.43"/>
    <m/>
    <n v="186.7243963987595"/>
    <n v="141.07940254089272"/>
    <n v="0"/>
    <n v="4159.641239999999"/>
    <n v="0"/>
    <n v="4092.5211618285775"/>
    <x v="6"/>
  </r>
  <r>
    <s v="Regular"/>
    <x v="2"/>
    <x v="3"/>
    <x v="4"/>
    <x v="5"/>
    <x v="1"/>
    <x v="0"/>
    <x v="1"/>
    <x v="9"/>
    <n v="0"/>
    <n v="0"/>
    <n v="23247.407999999999"/>
    <n v="23247.407999999999"/>
    <n v="23247.407999999999"/>
    <n v="23247.407999999999"/>
    <n v="192837"/>
    <s v="CATIVO"/>
    <n v="0"/>
    <n v="0"/>
    <n v="6"/>
    <n v="74"/>
    <n v="0"/>
    <n v="179.74"/>
    <n v="153.43"/>
    <m/>
    <n v="186.7243963987595"/>
    <n v="141.07940254089272"/>
    <n v="0"/>
    <n v="5163714.2649599984"/>
    <n v="0"/>
    <n v="5080392.438600041"/>
    <x v="6"/>
  </r>
  <r>
    <s v="Refaturamento - Regular"/>
    <x v="2"/>
    <x v="3"/>
    <x v="4"/>
    <x v="5"/>
    <x v="1"/>
    <x v="0"/>
    <x v="1"/>
    <x v="9"/>
    <n v="0"/>
    <n v="0"/>
    <n v="-3.7120000000000002"/>
    <n v="-3.7120000000000002"/>
    <n v="-3.7120000000000002"/>
    <n v="-3.7120000000000002"/>
    <n v="-7"/>
    <s v="CATIVO"/>
    <n v="0"/>
    <n v="0"/>
    <n v="6"/>
    <n v="74"/>
    <n v="0"/>
    <n v="179.74"/>
    <n v="153.43"/>
    <m/>
    <n v="186.7243963987595"/>
    <n v="141.07940254089272"/>
    <n v="0"/>
    <n v="-824.50943999999981"/>
    <n v="0"/>
    <n v="-811.20513444265919"/>
    <x v="6"/>
  </r>
  <r>
    <s v="Sistema de Compensação"/>
    <x v="2"/>
    <x v="3"/>
    <x v="4"/>
    <x v="5"/>
    <x v="1"/>
    <x v="0"/>
    <x v="1"/>
    <x v="9"/>
    <n v="0"/>
    <n v="0"/>
    <n v="18.114999999999998"/>
    <n v="18.114999999999998"/>
    <n v="18.114999999999998"/>
    <n v="18.114999999999998"/>
    <n v="74"/>
    <s v="CATIVO"/>
    <n v="0"/>
    <n v="0"/>
    <n v="6"/>
    <n v="74"/>
    <n v="0"/>
    <n v="179.74"/>
    <n v="153.43"/>
    <m/>
    <n v="186.7243963987595"/>
    <n v="141.07940254089272"/>
    <n v="0"/>
    <n v="4023.7037999999989"/>
    <n v="0"/>
    <n v="3958.7772118611988"/>
    <x v="6"/>
  </r>
  <r>
    <s v="Regular"/>
    <x v="2"/>
    <x v="3"/>
    <x v="4"/>
    <x v="5"/>
    <x v="1"/>
    <x v="0"/>
    <x v="1"/>
    <x v="10"/>
    <n v="0"/>
    <n v="0"/>
    <n v="21458.624"/>
    <n v="21458.624"/>
    <n v="21458.624"/>
    <n v="21458.624"/>
    <n v="231567"/>
    <s v="CATIVO"/>
    <n v="0"/>
    <n v="0"/>
    <n v="6"/>
    <n v="74"/>
    <n v="0"/>
    <n v="179.74"/>
    <n v="153.43"/>
    <m/>
    <n v="186.7243963987595"/>
    <n v="141.07940254089272"/>
    <n v="0"/>
    <n v="4766389.5628799992"/>
    <n v="0"/>
    <n v="4689478.9781450629"/>
    <x v="6"/>
  </r>
  <r>
    <s v="Refaturamento - Regular"/>
    <x v="2"/>
    <x v="3"/>
    <x v="4"/>
    <x v="5"/>
    <x v="1"/>
    <x v="0"/>
    <x v="1"/>
    <x v="10"/>
    <n v="0"/>
    <n v="0"/>
    <n v="-3.2170000000000001"/>
    <n v="-3.2170000000000001"/>
    <n v="-3.2170000000000001"/>
    <n v="-3.2170000000000001"/>
    <n v="-8"/>
    <s v="CATIVO"/>
    <n v="0"/>
    <n v="0"/>
    <n v="6"/>
    <n v="74"/>
    <n v="0"/>
    <n v="179.74"/>
    <n v="153.43"/>
    <m/>
    <n v="186.7243963987595"/>
    <n v="141.07940254089272"/>
    <n v="0"/>
    <n v="-714.56003999999984"/>
    <n v="0"/>
    <n v="-703.02988079257398"/>
    <x v="6"/>
  </r>
  <r>
    <s v="Sistema de Compensação"/>
    <x v="2"/>
    <x v="3"/>
    <x v="4"/>
    <x v="5"/>
    <x v="1"/>
    <x v="0"/>
    <x v="1"/>
    <x v="10"/>
    <n v="0"/>
    <n v="0"/>
    <n v="19.669"/>
    <n v="19.669"/>
    <n v="19.669"/>
    <n v="19.669"/>
    <n v="97"/>
    <s v="CATIVO"/>
    <n v="0"/>
    <n v="0"/>
    <n v="6"/>
    <n v="74"/>
    <n v="0"/>
    <n v="179.74"/>
    <n v="153.43"/>
    <m/>
    <n v="186.7243963987595"/>
    <n v="141.07940254089272"/>
    <n v="0"/>
    <n v="4368.878279999999"/>
    <n v="0"/>
    <n v="4298.3819475626788"/>
    <x v="6"/>
  </r>
  <r>
    <s v="PROJETADO"/>
    <x v="2"/>
    <x v="3"/>
    <x v="4"/>
    <x v="5"/>
    <x v="1"/>
    <x v="0"/>
    <x v="1"/>
    <x v="11"/>
    <n v="0"/>
    <n v="0"/>
    <n v="21458.624"/>
    <n v="21458.624"/>
    <n v="21458.624"/>
    <n v="21458.624"/>
    <n v="231567"/>
    <s v="CATIVO"/>
    <n v="0"/>
    <n v="0"/>
    <n v="6"/>
    <n v="74"/>
    <n v="0"/>
    <n v="179.74"/>
    <n v="153.43"/>
    <m/>
    <n v="186.7243963987595"/>
    <n v="141.07940254089272"/>
    <n v="0"/>
    <n v="4766389.5628799992"/>
    <n v="0"/>
    <n v="4689478.9781450629"/>
    <x v="6"/>
  </r>
  <r>
    <s v="PROJETADO"/>
    <x v="2"/>
    <x v="3"/>
    <x v="4"/>
    <x v="5"/>
    <x v="1"/>
    <x v="0"/>
    <x v="1"/>
    <x v="11"/>
    <n v="0"/>
    <n v="0"/>
    <n v="-3.2170000000000001"/>
    <n v="-3.2170000000000001"/>
    <n v="-3.2170000000000001"/>
    <n v="-3.2170000000000001"/>
    <n v="-8"/>
    <s v="CATIVO"/>
    <n v="0"/>
    <n v="0"/>
    <n v="6"/>
    <n v="74"/>
    <n v="0"/>
    <n v="179.74"/>
    <n v="153.43"/>
    <m/>
    <n v="186.7243963987595"/>
    <n v="141.07940254089272"/>
    <n v="0"/>
    <n v="-714.56003999999984"/>
    <n v="0"/>
    <n v="-703.02988079257398"/>
    <x v="6"/>
  </r>
  <r>
    <s v="PROJETADO"/>
    <x v="2"/>
    <x v="3"/>
    <x v="4"/>
    <x v="5"/>
    <x v="1"/>
    <x v="0"/>
    <x v="1"/>
    <x v="11"/>
    <n v="0"/>
    <n v="0"/>
    <n v="19.669"/>
    <n v="19.669"/>
    <n v="19.669"/>
    <n v="19.669"/>
    <n v="97"/>
    <s v="CATIVO"/>
    <n v="0"/>
    <n v="0"/>
    <n v="6"/>
    <n v="74"/>
    <n v="0"/>
    <n v="179.74"/>
    <n v="153.43"/>
    <m/>
    <n v="186.7243963987595"/>
    <n v="141.07940254089272"/>
    <n v="0"/>
    <n v="4368.878279999999"/>
    <n v="0"/>
    <n v="4298.3819475626788"/>
    <x v="6"/>
  </r>
  <r>
    <s v="Regular"/>
    <x v="2"/>
    <x v="3"/>
    <x v="4"/>
    <x v="6"/>
    <x v="1"/>
    <x v="0"/>
    <x v="1"/>
    <x v="0"/>
    <n v="0"/>
    <n v="0"/>
    <n v="10356.489"/>
    <n v="10356.489"/>
    <n v="10356.489"/>
    <n v="10356.489"/>
    <n v="163135"/>
    <s v="CATIVO"/>
    <n v="0"/>
    <n v="0"/>
    <n v="8"/>
    <n v="75"/>
    <n v="0"/>
    <n v="269.62"/>
    <n v="230.15"/>
    <m/>
    <n v="280.08659459813924"/>
    <n v="211.61910381133907"/>
    <n v="0"/>
    <n v="574992.26927999954"/>
    <n v="0"/>
    <n v="565816.0729794529"/>
    <x v="6"/>
  </r>
  <r>
    <s v="Refaturamento - Regular"/>
    <x v="2"/>
    <x v="3"/>
    <x v="4"/>
    <x v="6"/>
    <x v="1"/>
    <x v="0"/>
    <x v="1"/>
    <x v="0"/>
    <n v="0"/>
    <n v="0"/>
    <n v="-2.9860000000000002"/>
    <n v="-2.9860000000000002"/>
    <n v="-2.9860000000000002"/>
    <n v="-2.9860000000000002"/>
    <n v="-31"/>
    <s v="CATIVO"/>
    <n v="0"/>
    <n v="0"/>
    <n v="8"/>
    <n v="75"/>
    <n v="0"/>
    <n v="269.62"/>
    <n v="230.15"/>
    <m/>
    <n v="280.08659459813924"/>
    <n v="211.61910381133907"/>
    <n v="0"/>
    <n v="-165.78271999999987"/>
    <n v="0"/>
    <n v="-163.13702393896682"/>
    <x v="6"/>
  </r>
  <r>
    <s v="Sistema de Compensação"/>
    <x v="2"/>
    <x v="3"/>
    <x v="4"/>
    <x v="6"/>
    <x v="1"/>
    <x v="0"/>
    <x v="1"/>
    <x v="0"/>
    <n v="0"/>
    <n v="0"/>
    <n v="13.97"/>
    <n v="13.97"/>
    <n v="13.97"/>
    <n v="13.97"/>
    <n v="135"/>
    <s v="CATIVO"/>
    <n v="0"/>
    <n v="0"/>
    <n v="8"/>
    <n v="75"/>
    <n v="0"/>
    <n v="269.62"/>
    <n v="230.15"/>
    <m/>
    <n v="280.08659459813924"/>
    <n v="211.61910381133907"/>
    <n v="0"/>
    <n v="775.61439999999936"/>
    <n v="0"/>
    <n v="763.23651186448978"/>
    <x v="6"/>
  </r>
  <r>
    <s v="Regular"/>
    <x v="2"/>
    <x v="3"/>
    <x v="4"/>
    <x v="6"/>
    <x v="1"/>
    <x v="0"/>
    <x v="1"/>
    <x v="1"/>
    <n v="0"/>
    <n v="0"/>
    <n v="10094.369000000001"/>
    <n v="10094.369000000001"/>
    <n v="10094.369000000001"/>
    <n v="10094.369000000001"/>
    <n v="159456"/>
    <s v="CATIVO"/>
    <n v="0"/>
    <n v="0"/>
    <n v="8"/>
    <n v="75"/>
    <n v="0"/>
    <n v="269.62"/>
    <n v="230.15"/>
    <m/>
    <n v="280.08659459813924"/>
    <n v="211.61910381133907"/>
    <n v="0"/>
    <n v="560439.36687999952"/>
    <n v="0"/>
    <n v="551495.41768310929"/>
    <x v="6"/>
  </r>
  <r>
    <s v="Refaturamento - Regular"/>
    <x v="2"/>
    <x v="3"/>
    <x v="4"/>
    <x v="6"/>
    <x v="1"/>
    <x v="0"/>
    <x v="1"/>
    <x v="1"/>
    <n v="0"/>
    <n v="0"/>
    <n v="-4.2089999999999996"/>
    <n v="-4.2089999999999996"/>
    <n v="-4.2089999999999996"/>
    <n v="-4.2089999999999996"/>
    <n v="-27"/>
    <s v="CATIVO"/>
    <n v="0"/>
    <n v="0"/>
    <n v="8"/>
    <n v="75"/>
    <n v="0"/>
    <n v="269.62"/>
    <n v="230.15"/>
    <m/>
    <n v="280.08659459813924"/>
    <n v="211.61910381133907"/>
    <n v="0"/>
    <n v="-233.68367999999978"/>
    <n v="0"/>
    <n v="-229.95436495616585"/>
    <x v="6"/>
  </r>
  <r>
    <s v="Sistema de Compensação"/>
    <x v="2"/>
    <x v="3"/>
    <x v="4"/>
    <x v="6"/>
    <x v="1"/>
    <x v="0"/>
    <x v="1"/>
    <x v="1"/>
    <n v="0"/>
    <n v="0"/>
    <n v="14.861000000000001"/>
    <n v="14.861000000000001"/>
    <n v="14.861000000000001"/>
    <n v="14.861000000000001"/>
    <n v="140"/>
    <s v="CATIVO"/>
    <n v="0"/>
    <n v="0"/>
    <n v="8"/>
    <n v="75"/>
    <n v="0"/>
    <n v="269.62"/>
    <n v="230.15"/>
    <m/>
    <n v="280.08659459813924"/>
    <n v="211.61910381133907"/>
    <n v="0"/>
    <n v="825.08271999999931"/>
    <n v="0"/>
    <n v="811.91537600702804"/>
    <x v="6"/>
  </r>
  <r>
    <s v="Regular"/>
    <x v="2"/>
    <x v="3"/>
    <x v="4"/>
    <x v="6"/>
    <x v="1"/>
    <x v="0"/>
    <x v="1"/>
    <x v="2"/>
    <n v="0"/>
    <n v="0"/>
    <n v="11556.401"/>
    <n v="11556.401"/>
    <n v="11556.401"/>
    <n v="11556.401"/>
    <n v="171958"/>
    <s v="CATIVO"/>
    <n v="0"/>
    <n v="0"/>
    <n v="8"/>
    <n v="75"/>
    <n v="0"/>
    <n v="269.62"/>
    <n v="230.15"/>
    <m/>
    <n v="280.08659459813924"/>
    <n v="211.61910381133907"/>
    <n v="0"/>
    <n v="641611.38351999945"/>
    <n v="0"/>
    <n v="631372.02497833222"/>
    <x v="6"/>
  </r>
  <r>
    <s v="Refaturamento - Regular"/>
    <x v="2"/>
    <x v="3"/>
    <x v="4"/>
    <x v="6"/>
    <x v="1"/>
    <x v="0"/>
    <x v="1"/>
    <x v="2"/>
    <n v="0"/>
    <n v="0"/>
    <n v="-4.7309999999999999"/>
    <n v="-4.7309999999999999"/>
    <n v="-4.7309999999999999"/>
    <n v="-4.7309999999999999"/>
    <n v="-43"/>
    <s v="CATIVO"/>
    <n v="0"/>
    <n v="0"/>
    <n v="8"/>
    <n v="75"/>
    <n v="0"/>
    <n v="269.62"/>
    <n v="230.15"/>
    <m/>
    <n v="280.08659459813924"/>
    <n v="211.61910381133907"/>
    <n v="0"/>
    <n v="-262.66511999999977"/>
    <n v="0"/>
    <n v="-258.47329546391558"/>
    <x v="6"/>
  </r>
  <r>
    <s v="Sistema de Compensação"/>
    <x v="2"/>
    <x v="3"/>
    <x v="4"/>
    <x v="6"/>
    <x v="1"/>
    <x v="0"/>
    <x v="1"/>
    <x v="2"/>
    <n v="0"/>
    <n v="0"/>
    <n v="17.568000000000001"/>
    <n v="17.568000000000001"/>
    <n v="17.568000000000001"/>
    <n v="17.568000000000001"/>
    <n v="145"/>
    <s v="CATIVO"/>
    <n v="0"/>
    <n v="0"/>
    <n v="8"/>
    <n v="75"/>
    <n v="0"/>
    <n v="269.62"/>
    <n v="230.15"/>
    <m/>
    <n v="280.08659459813924"/>
    <n v="211.61910381133907"/>
    <n v="0"/>
    <n v="975.3753599999992"/>
    <n v="0"/>
    <n v="959.80952329530112"/>
    <x v="6"/>
  </r>
  <r>
    <s v="Regular"/>
    <x v="2"/>
    <x v="3"/>
    <x v="4"/>
    <x v="6"/>
    <x v="1"/>
    <x v="0"/>
    <x v="1"/>
    <x v="3"/>
    <n v="0"/>
    <n v="0"/>
    <n v="11665.414000000001"/>
    <n v="11665.414000000001"/>
    <n v="11665.414000000001"/>
    <n v="11665.414000000001"/>
    <n v="172032"/>
    <s v="CATIVO"/>
    <n v="0"/>
    <n v="0"/>
    <n v="8"/>
    <n v="75"/>
    <n v="0"/>
    <n v="269.62"/>
    <n v="230.15"/>
    <m/>
    <n v="280.08659459813924"/>
    <n v="211.61910381133907"/>
    <n v="0"/>
    <n v="647663.78527999949"/>
    <n v="0"/>
    <n v="637327.8375673003"/>
    <x v="6"/>
  </r>
  <r>
    <s v="Refaturamento - Regular"/>
    <x v="2"/>
    <x v="3"/>
    <x v="4"/>
    <x v="6"/>
    <x v="1"/>
    <x v="0"/>
    <x v="1"/>
    <x v="3"/>
    <n v="0"/>
    <n v="0"/>
    <n v="-4.0759999999999996"/>
    <n v="-4.0759999999999996"/>
    <n v="-4.0759999999999996"/>
    <n v="-4.0759999999999996"/>
    <n v="-26"/>
    <s v="CATIVO"/>
    <n v="0"/>
    <n v="0"/>
    <n v="8"/>
    <n v="75"/>
    <n v="0"/>
    <n v="269.62"/>
    <n v="230.15"/>
    <m/>
    <n v="280.08659459813924"/>
    <n v="211.61910381133907"/>
    <n v="0"/>
    <n v="-226.2995199999998"/>
    <n v="0"/>
    <n v="-222.68804741300357"/>
    <x v="6"/>
  </r>
  <r>
    <s v="Sistema de Compensação"/>
    <x v="2"/>
    <x v="3"/>
    <x v="4"/>
    <x v="6"/>
    <x v="1"/>
    <x v="0"/>
    <x v="1"/>
    <x v="3"/>
    <n v="0"/>
    <n v="0"/>
    <n v="17.651"/>
    <n v="17.651"/>
    <n v="17.651"/>
    <n v="17.651"/>
    <n v="149"/>
    <s v="CATIVO"/>
    <n v="0"/>
    <n v="0"/>
    <n v="8"/>
    <n v="75"/>
    <n v="0"/>
    <n v="269.62"/>
    <n v="230.15"/>
    <m/>
    <n v="280.08659459813924"/>
    <n v="211.61910381133907"/>
    <n v="0"/>
    <n v="979.9835199999992"/>
    <n v="0"/>
    <n v="964.34414251396618"/>
    <x v="6"/>
  </r>
  <r>
    <s v="Regular"/>
    <x v="2"/>
    <x v="3"/>
    <x v="4"/>
    <x v="6"/>
    <x v="1"/>
    <x v="0"/>
    <x v="1"/>
    <x v="4"/>
    <n v="0"/>
    <n v="0"/>
    <n v="14346.074000000001"/>
    <n v="14346.074000000001"/>
    <n v="14346.074000000001"/>
    <n v="14346.074000000001"/>
    <n v="189972"/>
    <s v="CATIVO"/>
    <n v="0"/>
    <n v="0"/>
    <n v="8"/>
    <n v="75"/>
    <n v="0"/>
    <n v="269.62"/>
    <n v="230.15"/>
    <m/>
    <n v="280.08659459813924"/>
    <n v="211.61910381133907"/>
    <n v="0"/>
    <n v="796494.0284799994"/>
    <n v="0"/>
    <n v="783782.92617822823"/>
    <x v="6"/>
  </r>
  <r>
    <s v="Refaturamento - Regular"/>
    <x v="2"/>
    <x v="3"/>
    <x v="4"/>
    <x v="6"/>
    <x v="1"/>
    <x v="0"/>
    <x v="1"/>
    <x v="4"/>
    <n v="0"/>
    <n v="0"/>
    <n v="-3.3580000000000001"/>
    <n v="-3.3580000000000001"/>
    <n v="-3.3580000000000001"/>
    <n v="-3.3580000000000001"/>
    <n v="-17"/>
    <s v="CATIVO"/>
    <n v="0"/>
    <n v="0"/>
    <n v="8"/>
    <n v="75"/>
    <n v="0"/>
    <n v="269.62"/>
    <n v="230.15"/>
    <m/>
    <n v="280.08659459813924"/>
    <n v="211.61910381133907"/>
    <n v="0"/>
    <n v="-186.43615999999986"/>
    <n v="0"/>
    <n v="-183.46085947322524"/>
    <x v="6"/>
  </r>
  <r>
    <s v="Sistema de Compensação"/>
    <x v="2"/>
    <x v="3"/>
    <x v="4"/>
    <x v="6"/>
    <x v="1"/>
    <x v="0"/>
    <x v="1"/>
    <x v="4"/>
    <n v="0"/>
    <n v="0"/>
    <n v="24.507999999999999"/>
    <n v="24.507999999999999"/>
    <n v="24.507999999999999"/>
    <n v="24.507999999999999"/>
    <n v="132"/>
    <s v="CATIVO"/>
    <n v="0"/>
    <n v="0"/>
    <n v="8"/>
    <n v="75"/>
    <n v="0"/>
    <n v="269.62"/>
    <n v="230.15"/>
    <m/>
    <n v="280.08659459813924"/>
    <n v="211.61910381133907"/>
    <n v="0"/>
    <n v="1360.6841599999989"/>
    <n v="0"/>
    <n v="1338.9692507354985"/>
    <x v="6"/>
  </r>
  <r>
    <s v="Regular"/>
    <x v="2"/>
    <x v="3"/>
    <x v="4"/>
    <x v="6"/>
    <x v="1"/>
    <x v="0"/>
    <x v="1"/>
    <x v="5"/>
    <n v="0"/>
    <n v="0"/>
    <n v="12718.638000000001"/>
    <n v="12718.638000000001"/>
    <n v="12718.638000000001"/>
    <n v="12718.638000000001"/>
    <n v="179781"/>
    <s v="CATIVO"/>
    <n v="0"/>
    <n v="0"/>
    <n v="8"/>
    <n v="75"/>
    <n v="0"/>
    <n v="269.62"/>
    <n v="230.15"/>
    <m/>
    <n v="280.08659459813924"/>
    <n v="211.61910381133907"/>
    <n v="0"/>
    <n v="706138.78175999946"/>
    <n v="0"/>
    <n v="694869.6422897029"/>
    <x v="6"/>
  </r>
  <r>
    <s v="Refaturamento - Regular"/>
    <x v="2"/>
    <x v="3"/>
    <x v="4"/>
    <x v="6"/>
    <x v="1"/>
    <x v="0"/>
    <x v="1"/>
    <x v="5"/>
    <n v="0"/>
    <n v="0"/>
    <n v="-3.8540000000000001"/>
    <n v="-3.8540000000000001"/>
    <n v="-3.8540000000000001"/>
    <n v="-3.8540000000000001"/>
    <n v="-25"/>
    <s v="CATIVO"/>
    <n v="0"/>
    <n v="0"/>
    <n v="8"/>
    <n v="75"/>
    <n v="0"/>
    <n v="269.62"/>
    <n v="230.15"/>
    <m/>
    <n v="280.08659459813924"/>
    <n v="211.61910381133907"/>
    <n v="0"/>
    <n v="-213.97407999999982"/>
    <n v="0"/>
    <n v="-210.55930685223646"/>
    <x v="6"/>
  </r>
  <r>
    <s v="Sistema de Compensação"/>
    <x v="2"/>
    <x v="3"/>
    <x v="4"/>
    <x v="6"/>
    <x v="1"/>
    <x v="0"/>
    <x v="1"/>
    <x v="5"/>
    <n v="0"/>
    <n v="0"/>
    <n v="22.459"/>
    <n v="22.459"/>
    <n v="22.459"/>
    <n v="22.459"/>
    <n v="177"/>
    <s v="CATIVO"/>
    <n v="0"/>
    <n v="0"/>
    <n v="8"/>
    <n v="75"/>
    <n v="0"/>
    <n v="269.62"/>
    <n v="230.15"/>
    <m/>
    <n v="280.08659459813924"/>
    <n v="211.61910381133907"/>
    <n v="0"/>
    <n v="1246.923679999999"/>
    <n v="0"/>
    <n v="1227.0242533976073"/>
    <x v="6"/>
  </r>
  <r>
    <s v="Sistema de Compensação"/>
    <x v="2"/>
    <x v="3"/>
    <x v="4"/>
    <x v="6"/>
    <x v="1"/>
    <x v="0"/>
    <x v="1"/>
    <x v="5"/>
    <n v="0"/>
    <n v="0"/>
    <n v="-0.12"/>
    <n v="-0.12"/>
    <n v="-0.12"/>
    <n v="-0.12"/>
    <n v="0"/>
    <s v="CATIVO"/>
    <n v="0"/>
    <n v="0"/>
    <n v="8"/>
    <n v="75"/>
    <n v="0"/>
    <n v="269.62"/>
    <n v="230.15"/>
    <m/>
    <n v="280.08659459813924"/>
    <n v="211.61910381133907"/>
    <n v="0"/>
    <n v="-6.6623999999999945"/>
    <n v="0"/>
    <n v="-6.5560759787930394"/>
    <x v="6"/>
  </r>
  <r>
    <s v="Regular"/>
    <x v="2"/>
    <x v="3"/>
    <x v="4"/>
    <x v="6"/>
    <x v="1"/>
    <x v="0"/>
    <x v="1"/>
    <x v="6"/>
    <n v="0"/>
    <n v="0"/>
    <n v="11096.271000000001"/>
    <n v="11096.271000000001"/>
    <n v="11096.271000000001"/>
    <n v="11096.271000000001"/>
    <n v="170419"/>
    <s v="CATIVO"/>
    <n v="0"/>
    <n v="0"/>
    <n v="8"/>
    <n v="75"/>
    <n v="0"/>
    <n v="269.62"/>
    <n v="230.15"/>
    <m/>
    <n v="280.08659459813924"/>
    <n v="211.61910381133907"/>
    <n v="0"/>
    <n v="616064.96591999952"/>
    <n v="0"/>
    <n v="606233.29797731526"/>
    <x v="6"/>
  </r>
  <r>
    <s v="Refaturamento - Regular"/>
    <x v="2"/>
    <x v="3"/>
    <x v="4"/>
    <x v="6"/>
    <x v="1"/>
    <x v="0"/>
    <x v="1"/>
    <x v="6"/>
    <n v="0"/>
    <n v="0"/>
    <n v="-5.6360000000000001"/>
    <n v="-5.6360000000000001"/>
    <n v="-5.6360000000000001"/>
    <n v="-5.6360000000000001"/>
    <n v="-38"/>
    <s v="CATIVO"/>
    <n v="0"/>
    <n v="0"/>
    <n v="8"/>
    <n v="75"/>
    <n v="0"/>
    <n v="269.62"/>
    <n v="230.15"/>
    <m/>
    <n v="280.08659459813924"/>
    <n v="211.61910381133907"/>
    <n v="0"/>
    <n v="-312.91071999999974"/>
    <n v="0"/>
    <n v="-307.91703513731312"/>
    <x v="6"/>
  </r>
  <r>
    <s v="Sistema de Compensação"/>
    <x v="2"/>
    <x v="3"/>
    <x v="4"/>
    <x v="6"/>
    <x v="1"/>
    <x v="0"/>
    <x v="1"/>
    <x v="6"/>
    <n v="0"/>
    <n v="0"/>
    <n v="22.652000000000001"/>
    <n v="22.652000000000001"/>
    <n v="22.652000000000001"/>
    <n v="22.652000000000001"/>
    <n v="212"/>
    <s v="CATIVO"/>
    <n v="0"/>
    <n v="0"/>
    <n v="8"/>
    <n v="75"/>
    <n v="0"/>
    <n v="269.62"/>
    <n v="230.15"/>
    <m/>
    <n v="280.08659459813924"/>
    <n v="211.61910381133907"/>
    <n v="0"/>
    <n v="1257.6390399999991"/>
    <n v="0"/>
    <n v="1237.5686089301662"/>
    <x v="6"/>
  </r>
  <r>
    <s v="Regular"/>
    <x v="2"/>
    <x v="3"/>
    <x v="4"/>
    <x v="6"/>
    <x v="1"/>
    <x v="0"/>
    <x v="1"/>
    <x v="7"/>
    <n v="0"/>
    <n v="0"/>
    <n v="14632.08"/>
    <n v="14632.08"/>
    <n v="14632.08"/>
    <n v="14632.08"/>
    <n v="195747"/>
    <s v="CATIVO"/>
    <n v="0"/>
    <n v="0"/>
    <n v="8"/>
    <n v="75"/>
    <n v="0"/>
    <n v="269.62"/>
    <n v="230.15"/>
    <m/>
    <n v="280.08659459813924"/>
    <n v="211.61910381133907"/>
    <n v="0"/>
    <n v="812373.08159999934"/>
    <n v="0"/>
    <n v="799408.5683981505"/>
    <x v="6"/>
  </r>
  <r>
    <s v="Refaturamento - Regular"/>
    <x v="2"/>
    <x v="3"/>
    <x v="4"/>
    <x v="6"/>
    <x v="1"/>
    <x v="0"/>
    <x v="1"/>
    <x v="7"/>
    <n v="0"/>
    <n v="0"/>
    <n v="-3.121"/>
    <n v="-3.121"/>
    <n v="-3.121"/>
    <n v="-3.121"/>
    <n v="-20"/>
    <s v="CATIVO"/>
    <n v="0"/>
    <n v="0"/>
    <n v="8"/>
    <n v="75"/>
    <n v="0"/>
    <n v="269.62"/>
    <n v="230.15"/>
    <m/>
    <n v="280.08659459813924"/>
    <n v="211.61910381133907"/>
    <n v="0"/>
    <n v="-173.27791999999985"/>
    <n v="0"/>
    <n v="-170.51260941510898"/>
    <x v="6"/>
  </r>
  <r>
    <s v="Sistema de Compensação"/>
    <x v="2"/>
    <x v="3"/>
    <x v="4"/>
    <x v="6"/>
    <x v="1"/>
    <x v="0"/>
    <x v="1"/>
    <x v="7"/>
    <n v="0"/>
    <n v="0"/>
    <n v="22.757999999999999"/>
    <n v="22.757999999999999"/>
    <n v="22.757999999999999"/>
    <n v="22.757999999999999"/>
    <n v="203"/>
    <s v="CATIVO"/>
    <n v="0"/>
    <n v="0"/>
    <n v="8"/>
    <n v="75"/>
    <n v="0"/>
    <n v="269.62"/>
    <n v="230.15"/>
    <m/>
    <n v="280.08659459813924"/>
    <n v="211.61910381133907"/>
    <n v="0"/>
    <n v="1263.5241599999988"/>
    <n v="0"/>
    <n v="1243.3598093781"/>
    <x v="6"/>
  </r>
  <r>
    <s v="Regular"/>
    <x v="2"/>
    <x v="3"/>
    <x v="4"/>
    <x v="6"/>
    <x v="1"/>
    <x v="0"/>
    <x v="1"/>
    <x v="8"/>
    <n v="0"/>
    <n v="0"/>
    <n v="12747.907999999999"/>
    <n v="12747.907999999999"/>
    <n v="12747.907999999999"/>
    <n v="12747.907999999999"/>
    <n v="185685"/>
    <s v="CATIVO"/>
    <n v="0"/>
    <n v="0"/>
    <n v="8"/>
    <n v="75"/>
    <n v="0"/>
    <n v="269.62"/>
    <n v="230.15"/>
    <m/>
    <n v="280.08659459813924"/>
    <n v="211.61910381133907"/>
    <n v="0"/>
    <n v="707763.85215999943"/>
    <n v="0"/>
    <n v="696468.77848886349"/>
    <x v="6"/>
  </r>
  <r>
    <s v="Refaturamento - Regular"/>
    <x v="2"/>
    <x v="3"/>
    <x v="4"/>
    <x v="6"/>
    <x v="1"/>
    <x v="0"/>
    <x v="1"/>
    <x v="8"/>
    <n v="0"/>
    <n v="0"/>
    <n v="-3.931"/>
    <n v="-3.931"/>
    <n v="-3.931"/>
    <n v="-3.931"/>
    <n v="-32"/>
    <s v="CATIVO"/>
    <n v="0"/>
    <n v="0"/>
    <n v="8"/>
    <n v="75"/>
    <n v="0"/>
    <n v="269.62"/>
    <n v="230.15"/>
    <m/>
    <n v="280.08659459813924"/>
    <n v="211.61910381133907"/>
    <n v="0"/>
    <n v="-218.24911999999981"/>
    <n v="0"/>
    <n v="-214.76612227196199"/>
    <x v="6"/>
  </r>
  <r>
    <s v="Sistema de Compensação"/>
    <x v="2"/>
    <x v="3"/>
    <x v="4"/>
    <x v="6"/>
    <x v="1"/>
    <x v="0"/>
    <x v="1"/>
    <x v="8"/>
    <n v="0"/>
    <n v="0"/>
    <n v="22.352"/>
    <n v="22.352"/>
    <n v="22.352"/>
    <n v="22.352"/>
    <n v="237"/>
    <s v="CATIVO"/>
    <n v="0"/>
    <n v="0"/>
    <n v="8"/>
    <n v="75"/>
    <n v="0"/>
    <n v="269.62"/>
    <n v="230.15"/>
    <m/>
    <n v="280.08659459813924"/>
    <n v="211.61910381133907"/>
    <n v="0"/>
    <n v="1240.9830399999989"/>
    <n v="0"/>
    <n v="1221.1784189831835"/>
    <x v="6"/>
  </r>
  <r>
    <s v="Regular"/>
    <x v="2"/>
    <x v="3"/>
    <x v="4"/>
    <x v="6"/>
    <x v="1"/>
    <x v="0"/>
    <x v="1"/>
    <x v="9"/>
    <n v="0"/>
    <n v="0"/>
    <n v="12753.152"/>
    <n v="12753.152"/>
    <n v="12753.152"/>
    <n v="12753.152"/>
    <n v="183851"/>
    <s v="CATIVO"/>
    <n v="0"/>
    <n v="0"/>
    <n v="8"/>
    <n v="75"/>
    <n v="0"/>
    <n v="269.62"/>
    <n v="230.15"/>
    <m/>
    <n v="280.08659459813924"/>
    <n v="211.61910381133907"/>
    <n v="0"/>
    <n v="708054.99903999944"/>
    <n v="0"/>
    <n v="696755.27900913672"/>
    <x v="6"/>
  </r>
  <r>
    <s v="Refaturamento - Regular"/>
    <x v="2"/>
    <x v="3"/>
    <x v="4"/>
    <x v="6"/>
    <x v="1"/>
    <x v="0"/>
    <x v="1"/>
    <x v="9"/>
    <n v="0"/>
    <n v="0"/>
    <n v="-4.3570000000000002"/>
    <n v="-4.3570000000000002"/>
    <n v="-4.3570000000000002"/>
    <n v="-4.3570000000000002"/>
    <n v="-22"/>
    <s v="CATIVO"/>
    <n v="0"/>
    <n v="0"/>
    <n v="8"/>
    <n v="75"/>
    <n v="0"/>
    <n v="269.62"/>
    <n v="230.15"/>
    <m/>
    <n v="280.08659459813924"/>
    <n v="211.61910381133907"/>
    <n v="0"/>
    <n v="-241.90063999999981"/>
    <n v="0"/>
    <n v="-238.04019199667729"/>
    <x v="6"/>
  </r>
  <r>
    <s v="Sistema de Compensação"/>
    <x v="2"/>
    <x v="3"/>
    <x v="4"/>
    <x v="6"/>
    <x v="1"/>
    <x v="0"/>
    <x v="1"/>
    <x v="9"/>
    <n v="0"/>
    <n v="0"/>
    <n v="21.106999999999999"/>
    <n v="21.106999999999999"/>
    <n v="21.106999999999999"/>
    <n v="21.106999999999999"/>
    <n v="214"/>
    <s v="CATIVO"/>
    <n v="0"/>
    <n v="0"/>
    <n v="8"/>
    <n v="75"/>
    <n v="0"/>
    <n v="269.62"/>
    <n v="230.15"/>
    <m/>
    <n v="280.08659459813924"/>
    <n v="211.61910381133907"/>
    <n v="0"/>
    <n v="1171.860639999999"/>
    <n v="0"/>
    <n v="1153.1591307032056"/>
    <x v="6"/>
  </r>
  <r>
    <s v="Regular"/>
    <x v="2"/>
    <x v="3"/>
    <x v="4"/>
    <x v="6"/>
    <x v="1"/>
    <x v="0"/>
    <x v="1"/>
    <x v="10"/>
    <n v="0"/>
    <n v="0"/>
    <n v="9310.4619999999995"/>
    <n v="9310.4619999999995"/>
    <n v="9310.4619999999995"/>
    <n v="9310.4619999999995"/>
    <n v="158404"/>
    <s v="CATIVO"/>
    <n v="0"/>
    <n v="0"/>
    <n v="8"/>
    <n v="75"/>
    <n v="0"/>
    <n v="269.62"/>
    <n v="230.15"/>
    <m/>
    <n v="280.08659459813924"/>
    <n v="211.61910381133907"/>
    <n v="0"/>
    <n v="516916.85023999953"/>
    <n v="0"/>
    <n v="508667.46891387831"/>
    <x v="6"/>
  </r>
  <r>
    <s v="Refaturamento - Regular"/>
    <x v="2"/>
    <x v="3"/>
    <x v="4"/>
    <x v="6"/>
    <x v="1"/>
    <x v="0"/>
    <x v="1"/>
    <x v="10"/>
    <n v="0"/>
    <n v="0"/>
    <n v="-3.7389999999999999"/>
    <n v="-3.7389999999999999"/>
    <n v="-3.7389999999999999"/>
    <n v="-3.7389999999999999"/>
    <n v="-15"/>
    <s v="CATIVO"/>
    <n v="0"/>
    <n v="0"/>
    <n v="8"/>
    <n v="75"/>
    <n v="0"/>
    <n v="269.62"/>
    <n v="230.15"/>
    <m/>
    <n v="280.08659459813924"/>
    <n v="211.61910381133907"/>
    <n v="0"/>
    <n v="-207.58927999999983"/>
    <n v="0"/>
    <n v="-204.27640070589311"/>
    <x v="6"/>
  </r>
  <r>
    <s v="Sistema de Compensação"/>
    <x v="2"/>
    <x v="3"/>
    <x v="4"/>
    <x v="6"/>
    <x v="1"/>
    <x v="0"/>
    <x v="1"/>
    <x v="10"/>
    <n v="0"/>
    <n v="0"/>
    <n v="23.605"/>
    <n v="23.605"/>
    <n v="23.605"/>
    <n v="23.605"/>
    <n v="338"/>
    <s v="CATIVO"/>
    <n v="0"/>
    <n v="0"/>
    <n v="8"/>
    <n v="75"/>
    <n v="0"/>
    <n v="269.62"/>
    <n v="230.15"/>
    <m/>
    <n v="280.08659459813924"/>
    <n v="211.61910381133907"/>
    <n v="0"/>
    <n v="1310.5495999999989"/>
    <n v="0"/>
    <n v="1289.634778995081"/>
    <x v="6"/>
  </r>
  <r>
    <s v="PROJETADO"/>
    <x v="2"/>
    <x v="3"/>
    <x v="4"/>
    <x v="6"/>
    <x v="1"/>
    <x v="0"/>
    <x v="1"/>
    <x v="11"/>
    <n v="0"/>
    <n v="0"/>
    <n v="9310.4619999999995"/>
    <n v="9310.4619999999995"/>
    <n v="9310.4619999999995"/>
    <n v="9310.4619999999995"/>
    <n v="158404"/>
    <s v="CATIVO"/>
    <n v="0"/>
    <n v="0"/>
    <n v="8"/>
    <n v="75"/>
    <n v="0"/>
    <n v="269.62"/>
    <n v="230.15"/>
    <m/>
    <n v="280.08659459813924"/>
    <n v="211.61910381133907"/>
    <n v="0"/>
    <n v="516916.85023999953"/>
    <n v="0"/>
    <n v="508667.46891387831"/>
    <x v="6"/>
  </r>
  <r>
    <s v="PROJETADO"/>
    <x v="2"/>
    <x v="3"/>
    <x v="4"/>
    <x v="6"/>
    <x v="1"/>
    <x v="0"/>
    <x v="1"/>
    <x v="11"/>
    <n v="0"/>
    <n v="0"/>
    <n v="-3.7389999999999999"/>
    <n v="-3.7389999999999999"/>
    <n v="-3.7389999999999999"/>
    <n v="-3.7389999999999999"/>
    <n v="-15"/>
    <s v="CATIVO"/>
    <n v="0"/>
    <n v="0"/>
    <n v="8"/>
    <n v="75"/>
    <n v="0"/>
    <n v="269.62"/>
    <n v="230.15"/>
    <m/>
    <n v="280.08659459813924"/>
    <n v="211.61910381133907"/>
    <n v="0"/>
    <n v="-207.58927999999983"/>
    <n v="0"/>
    <n v="-204.27640070589311"/>
    <x v="6"/>
  </r>
  <r>
    <s v="PROJETADO"/>
    <x v="2"/>
    <x v="3"/>
    <x v="4"/>
    <x v="6"/>
    <x v="1"/>
    <x v="0"/>
    <x v="1"/>
    <x v="11"/>
    <n v="0"/>
    <n v="0"/>
    <n v="23.605"/>
    <n v="23.605"/>
    <n v="23.605"/>
    <n v="23.605"/>
    <n v="338"/>
    <s v="CATIVO"/>
    <n v="0"/>
    <n v="0"/>
    <n v="8"/>
    <n v="75"/>
    <n v="0"/>
    <n v="269.62"/>
    <n v="230.15"/>
    <m/>
    <n v="280.08659459813924"/>
    <n v="211.61910381133907"/>
    <n v="0"/>
    <n v="1310.5495999999989"/>
    <n v="0"/>
    <n v="1289.634778995081"/>
    <x v="6"/>
  </r>
  <r>
    <s v="Regular"/>
    <x v="2"/>
    <x v="3"/>
    <x v="4"/>
    <x v="7"/>
    <x v="1"/>
    <x v="0"/>
    <x v="1"/>
    <x v="0"/>
    <n v="0"/>
    <n v="0"/>
    <n v="2540.3440000000001"/>
    <n v="2540.3440000000001"/>
    <n v="2540.3440000000001"/>
    <n v="2540.3440000000001"/>
    <n v="28194"/>
    <s v="CATIVO"/>
    <n v="0"/>
    <n v="0"/>
    <n v="10"/>
    <n v="76"/>
    <n v="0"/>
    <n v="299.57"/>
    <n v="255.72"/>
    <m/>
    <n v="311.20732733126584"/>
    <n v="235.13233756815453"/>
    <n v="0"/>
    <n v="-7.2200919021270239E-11"/>
    <n v="0"/>
    <n v="-1.4440183804254048E-10"/>
    <x v="6"/>
  </r>
  <r>
    <s v="Refaturamento - Regular"/>
    <x v="2"/>
    <x v="3"/>
    <x v="4"/>
    <x v="7"/>
    <x v="1"/>
    <x v="0"/>
    <x v="1"/>
    <x v="0"/>
    <n v="0"/>
    <n v="0"/>
    <n v="-13.037000000000001"/>
    <n v="-13.037000000000001"/>
    <n v="-13.037000000000001"/>
    <n v="-13.037000000000001"/>
    <n v="-12"/>
    <s v="CATIVO"/>
    <n v="0"/>
    <n v="0"/>
    <n v="10"/>
    <n v="76"/>
    <n v="0"/>
    <n v="299.57"/>
    <n v="255.72"/>
    <m/>
    <n v="311.20732733126584"/>
    <n v="235.13233756815453"/>
    <n v="0"/>
    <n v="3.7053382584417707E-13"/>
    <n v="0"/>
    <n v="7.4106765168835414E-13"/>
    <x v="6"/>
  </r>
  <r>
    <s v="Sistema de Compensação"/>
    <x v="2"/>
    <x v="3"/>
    <x v="4"/>
    <x v="7"/>
    <x v="1"/>
    <x v="0"/>
    <x v="1"/>
    <x v="0"/>
    <n v="0"/>
    <n v="0"/>
    <n v="44.537999999999997"/>
    <n v="44.537999999999997"/>
    <n v="44.537999999999997"/>
    <n v="44.537999999999997"/>
    <n v="304"/>
    <s v="CATIVO"/>
    <n v="0"/>
    <n v="0"/>
    <n v="10"/>
    <n v="76"/>
    <n v="0"/>
    <n v="299.57"/>
    <n v="255.72"/>
    <m/>
    <n v="311.20732733126584"/>
    <n v="235.13233756815453"/>
    <n v="0"/>
    <n v="-1.2658460946113336E-12"/>
    <n v="0"/>
    <n v="-2.5316921892226672E-12"/>
    <x v="6"/>
  </r>
  <r>
    <s v="Regular"/>
    <x v="2"/>
    <x v="3"/>
    <x v="4"/>
    <x v="7"/>
    <x v="1"/>
    <x v="0"/>
    <x v="1"/>
    <x v="1"/>
    <n v="0"/>
    <n v="0"/>
    <n v="2572.3429999999998"/>
    <n v="2572.3429999999998"/>
    <n v="2572.3429999999998"/>
    <n v="2572.3429999999998"/>
    <n v="27882"/>
    <s v="CATIVO"/>
    <n v="0"/>
    <n v="0"/>
    <n v="10"/>
    <n v="76"/>
    <n v="0"/>
    <n v="299.57"/>
    <n v="255.72"/>
    <m/>
    <n v="311.20732733126584"/>
    <n v="235.13233756815453"/>
    <n v="0"/>
    <n v="-7.3110385301333731E-11"/>
    <n v="0"/>
    <n v="-1.4622077060266746E-10"/>
    <x v="6"/>
  </r>
  <r>
    <s v="Refaturamento - Regular"/>
    <x v="2"/>
    <x v="3"/>
    <x v="4"/>
    <x v="7"/>
    <x v="1"/>
    <x v="0"/>
    <x v="1"/>
    <x v="1"/>
    <n v="0"/>
    <n v="0"/>
    <n v="-14.095000000000001"/>
    <n v="-14.095000000000001"/>
    <n v="-14.095000000000001"/>
    <n v="-14.095000000000001"/>
    <n v="-22"/>
    <s v="CATIVO"/>
    <n v="0"/>
    <n v="0"/>
    <n v="10"/>
    <n v="76"/>
    <n v="0"/>
    <n v="299.57"/>
    <n v="255.72"/>
    <m/>
    <n v="311.20732733126584"/>
    <n v="235.13233756815453"/>
    <n v="0"/>
    <n v="4.006039944215445E-13"/>
    <n v="0"/>
    <n v="8.0120798884308901E-13"/>
    <x v="6"/>
  </r>
  <r>
    <s v="Sistema de Compensação"/>
    <x v="2"/>
    <x v="3"/>
    <x v="4"/>
    <x v="7"/>
    <x v="1"/>
    <x v="0"/>
    <x v="1"/>
    <x v="1"/>
    <n v="0"/>
    <n v="0"/>
    <n v="48.887999999999998"/>
    <n v="48.887999999999998"/>
    <n v="48.887999999999998"/>
    <n v="48.887999999999998"/>
    <n v="335"/>
    <s v="CATIVO"/>
    <n v="0"/>
    <n v="0"/>
    <n v="10"/>
    <n v="76"/>
    <n v="0"/>
    <n v="299.57"/>
    <n v="255.72"/>
    <m/>
    <n v="311.20732733126584"/>
    <n v="235.13233756815453"/>
    <n v="0"/>
    <n v="-1.3894805306335911E-12"/>
    <n v="0"/>
    <n v="-2.7789610612671821E-12"/>
    <x v="6"/>
  </r>
  <r>
    <s v="Regular"/>
    <x v="2"/>
    <x v="3"/>
    <x v="4"/>
    <x v="7"/>
    <x v="1"/>
    <x v="0"/>
    <x v="1"/>
    <x v="2"/>
    <n v="0"/>
    <n v="0"/>
    <n v="3295.3270000000002"/>
    <n v="3295.3270000000002"/>
    <n v="3295.3270000000002"/>
    <n v="3295.3270000000002"/>
    <n v="34370"/>
    <s v="CATIVO"/>
    <n v="0"/>
    <n v="0"/>
    <n v="10"/>
    <n v="76"/>
    <n v="0"/>
    <n v="299.57"/>
    <n v="255.72"/>
    <m/>
    <n v="311.20732733126584"/>
    <n v="235.13233756815453"/>
    <n v="0"/>
    <n v="-9.3658826472164953E-11"/>
    <n v="0"/>
    <n v="-1.8731765294432991E-10"/>
    <x v="6"/>
  </r>
  <r>
    <s v="Refaturamento - Regular"/>
    <x v="2"/>
    <x v="3"/>
    <x v="4"/>
    <x v="7"/>
    <x v="1"/>
    <x v="0"/>
    <x v="1"/>
    <x v="2"/>
    <n v="0"/>
    <n v="0"/>
    <n v="-18.164999999999999"/>
    <n v="-18.164999999999999"/>
    <n v="-18.164999999999999"/>
    <n v="-18.164999999999999"/>
    <n v="-20"/>
    <s v="CATIVO"/>
    <n v="0"/>
    <n v="0"/>
    <n v="10"/>
    <n v="76"/>
    <n v="0"/>
    <n v="299.57"/>
    <n v="255.72"/>
    <m/>
    <n v="311.20732733126584"/>
    <n v="235.13233756815453"/>
    <n v="0"/>
    <n v="5.1628035180328877E-13"/>
    <n v="0"/>
    <n v="1.0325607036065775E-12"/>
    <x v="6"/>
  </r>
  <r>
    <s v="Sistema de Compensação"/>
    <x v="2"/>
    <x v="3"/>
    <x v="4"/>
    <x v="7"/>
    <x v="1"/>
    <x v="0"/>
    <x v="1"/>
    <x v="2"/>
    <n v="0"/>
    <n v="0"/>
    <n v="65.254000000000005"/>
    <n v="65.254000000000005"/>
    <n v="65.254000000000005"/>
    <n v="65.254000000000005"/>
    <n v="400"/>
    <s v="CATIVO"/>
    <n v="0"/>
    <n v="0"/>
    <n v="10"/>
    <n v="76"/>
    <n v="0"/>
    <n v="299.57"/>
    <n v="255.72"/>
    <m/>
    <n v="311.20732733126584"/>
    <n v="235.13233756815453"/>
    <n v="0"/>
    <n v="-1.8546302271715832E-12"/>
    <n v="0"/>
    <n v="-3.7092604543431665E-12"/>
    <x v="6"/>
  </r>
  <r>
    <s v="Regular"/>
    <x v="2"/>
    <x v="3"/>
    <x v="4"/>
    <x v="7"/>
    <x v="1"/>
    <x v="0"/>
    <x v="1"/>
    <x v="3"/>
    <n v="0"/>
    <n v="0"/>
    <n v="3196.73"/>
    <n v="3196.73"/>
    <n v="3196.73"/>
    <n v="3196.73"/>
    <n v="34987"/>
    <s v="CATIVO"/>
    <n v="0"/>
    <n v="0"/>
    <n v="10"/>
    <n v="76"/>
    <n v="0"/>
    <n v="299.57"/>
    <n v="255.72"/>
    <m/>
    <n v="311.20732733126584"/>
    <n v="235.13233756815453"/>
    <n v="0"/>
    <n v="-9.0856531187455403E-11"/>
    <n v="0"/>
    <n v="-1.8171306237491081E-10"/>
    <x v="6"/>
  </r>
  <r>
    <s v="Refaturamento - Regular"/>
    <x v="2"/>
    <x v="3"/>
    <x v="4"/>
    <x v="7"/>
    <x v="1"/>
    <x v="0"/>
    <x v="1"/>
    <x v="3"/>
    <n v="0"/>
    <n v="0"/>
    <n v="-12.724"/>
    <n v="-12.724"/>
    <n v="-12.724"/>
    <n v="-12.724"/>
    <n v="-18"/>
    <s v="CATIVO"/>
    <n v="0"/>
    <n v="0"/>
    <n v="10"/>
    <n v="76"/>
    <n v="0"/>
    <n v="299.57"/>
    <n v="255.72"/>
    <m/>
    <n v="311.20732733126584"/>
    <n v="235.13233756815453"/>
    <n v="0"/>
    <n v="3.616378307924606E-13"/>
    <n v="0"/>
    <n v="7.2327566158492119E-13"/>
    <x v="6"/>
  </r>
  <r>
    <s v="Sistema de Compensação"/>
    <x v="2"/>
    <x v="3"/>
    <x v="4"/>
    <x v="7"/>
    <x v="1"/>
    <x v="0"/>
    <x v="1"/>
    <x v="3"/>
    <n v="0"/>
    <n v="0"/>
    <n v="69.477999999999994"/>
    <n v="69.477999999999994"/>
    <n v="69.477999999999994"/>
    <n v="69.477999999999994"/>
    <n v="453"/>
    <s v="CATIVO"/>
    <n v="0"/>
    <n v="0"/>
    <n v="10"/>
    <n v="76"/>
    <n v="0"/>
    <n v="299.57"/>
    <n v="255.72"/>
    <m/>
    <n v="311.20732733126584"/>
    <n v="235.13233756815453"/>
    <n v="0"/>
    <n v="-1.9746835278056095E-12"/>
    <n v="0"/>
    <n v="-3.9493670556112189E-12"/>
    <x v="6"/>
  </r>
  <r>
    <s v="Regular"/>
    <x v="2"/>
    <x v="3"/>
    <x v="4"/>
    <x v="7"/>
    <x v="1"/>
    <x v="0"/>
    <x v="1"/>
    <x v="4"/>
    <n v="0"/>
    <n v="0"/>
    <n v="4843.7380000000003"/>
    <n v="4843.7380000000003"/>
    <n v="4843.7380000000003"/>
    <n v="4843.7380000000003"/>
    <n v="47750"/>
    <s v="CATIVO"/>
    <n v="0"/>
    <n v="0"/>
    <n v="10"/>
    <n v="76"/>
    <n v="0"/>
    <n v="299.57"/>
    <n v="255.72"/>
    <m/>
    <n v="311.20732733126584"/>
    <n v="235.13233756815453"/>
    <n v="0"/>
    <n v="-1.3766731399300625E-10"/>
    <n v="0"/>
    <n v="-2.7533462798601251E-10"/>
    <x v="6"/>
  </r>
  <r>
    <s v="Refaturamento - Regular"/>
    <x v="2"/>
    <x v="3"/>
    <x v="4"/>
    <x v="7"/>
    <x v="1"/>
    <x v="0"/>
    <x v="1"/>
    <x v="4"/>
    <n v="0"/>
    <n v="0"/>
    <n v="-28.105"/>
    <n v="-28.105"/>
    <n v="-28.105"/>
    <n v="-28.105"/>
    <n v="-21"/>
    <s v="CATIVO"/>
    <n v="0"/>
    <n v="0"/>
    <n v="10"/>
    <n v="76"/>
    <n v="0"/>
    <n v="299.57"/>
    <n v="255.72"/>
    <m/>
    <n v="311.20732733126584"/>
    <n v="235.13233756815453"/>
    <n v="0"/>
    <n v="7.9879214354150464E-13"/>
    <n v="0"/>
    <n v="1.5975842870830093E-12"/>
    <x v="6"/>
  </r>
  <r>
    <s v="Sistema de Compensação"/>
    <x v="2"/>
    <x v="3"/>
    <x v="4"/>
    <x v="7"/>
    <x v="1"/>
    <x v="0"/>
    <x v="1"/>
    <x v="4"/>
    <n v="0"/>
    <n v="0"/>
    <n v="95.070999999999998"/>
    <n v="95.070999999999998"/>
    <n v="95.070999999999998"/>
    <n v="95.070999999999998"/>
    <n v="502"/>
    <s v="CATIVO"/>
    <n v="0"/>
    <n v="0"/>
    <n v="10"/>
    <n v="76"/>
    <n v="0"/>
    <n v="299.57"/>
    <n v="255.72"/>
    <m/>
    <n v="311.20732733126584"/>
    <n v="235.13233756815453"/>
    <n v="0"/>
    <n v="-2.7020803372579393E-12"/>
    <n v="0"/>
    <n v="-5.4041606745158787E-12"/>
    <x v="6"/>
  </r>
  <r>
    <s v="Regular"/>
    <x v="2"/>
    <x v="3"/>
    <x v="4"/>
    <x v="7"/>
    <x v="1"/>
    <x v="0"/>
    <x v="1"/>
    <x v="5"/>
    <n v="0"/>
    <n v="0"/>
    <n v="3844.5459999999998"/>
    <n v="3844.5459999999998"/>
    <n v="3844.5459999999998"/>
    <n v="3844.5459999999998"/>
    <n v="39341"/>
    <s v="CATIVO"/>
    <n v="0"/>
    <n v="0"/>
    <n v="10"/>
    <n v="76"/>
    <n v="0"/>
    <n v="299.57"/>
    <n v="255.72"/>
    <m/>
    <n v="311.20732733126584"/>
    <n v="235.13233756815453"/>
    <n v="0"/>
    <n v="-1.09268569303822E-10"/>
    <n v="0"/>
    <n v="-2.18537138607644E-10"/>
    <x v="6"/>
  </r>
  <r>
    <s v="Refaturamento - Regular"/>
    <x v="2"/>
    <x v="3"/>
    <x v="4"/>
    <x v="7"/>
    <x v="1"/>
    <x v="0"/>
    <x v="1"/>
    <x v="5"/>
    <n v="0"/>
    <n v="0"/>
    <n v="-13.45"/>
    <n v="-13.45"/>
    <n v="-13.45"/>
    <n v="-13.45"/>
    <n v="-21"/>
    <s v="CATIVO"/>
    <n v="0"/>
    <n v="0"/>
    <n v="10"/>
    <n v="76"/>
    <n v="0"/>
    <n v="299.57"/>
    <n v="255.72"/>
    <m/>
    <n v="311.20732733126584"/>
    <n v="235.13233756815453"/>
    <n v="0"/>
    <n v="3.8227199183893388E-13"/>
    <n v="0"/>
    <n v="7.6454398367786776E-13"/>
    <x v="6"/>
  </r>
  <r>
    <s v="Sistema de Compensação"/>
    <x v="2"/>
    <x v="3"/>
    <x v="4"/>
    <x v="7"/>
    <x v="1"/>
    <x v="0"/>
    <x v="1"/>
    <x v="5"/>
    <n v="0"/>
    <n v="0"/>
    <n v="74.606999999999999"/>
    <n v="74.606999999999999"/>
    <n v="74.606999999999999"/>
    <n v="74.606999999999999"/>
    <n v="484"/>
    <s v="CATIVO"/>
    <n v="0"/>
    <n v="0"/>
    <n v="10"/>
    <n v="76"/>
    <n v="0"/>
    <n v="299.57"/>
    <n v="255.72"/>
    <m/>
    <n v="311.20732733126584"/>
    <n v="235.13233756815453"/>
    <n v="0"/>
    <n v="-2.1204584754741518E-12"/>
    <n v="0"/>
    <n v="-4.2409169509483035E-12"/>
    <x v="6"/>
  </r>
  <r>
    <s v="Sistema de Compensação"/>
    <x v="2"/>
    <x v="3"/>
    <x v="4"/>
    <x v="7"/>
    <x v="1"/>
    <x v="0"/>
    <x v="1"/>
    <x v="5"/>
    <n v="0"/>
    <n v="0"/>
    <n v="-1.1060000000000001"/>
    <n v="-1.1060000000000001"/>
    <n v="-1.1060000000000001"/>
    <n v="-1.1060000000000001"/>
    <n v="-1"/>
    <s v="CATIVO"/>
    <n v="0"/>
    <n v="0"/>
    <n v="10"/>
    <n v="76"/>
    <n v="0"/>
    <n v="299.57"/>
    <n v="255.72"/>
    <m/>
    <n v="311.20732733126584"/>
    <n v="235.13233756815453"/>
    <n v="0"/>
    <n v="3.1434410630026835E-14"/>
    <n v="0"/>
    <n v="6.286882126005367E-14"/>
    <x v="6"/>
  </r>
  <r>
    <s v="Regular"/>
    <x v="2"/>
    <x v="3"/>
    <x v="4"/>
    <x v="7"/>
    <x v="1"/>
    <x v="0"/>
    <x v="1"/>
    <x v="6"/>
    <n v="0"/>
    <n v="0"/>
    <n v="2946.5129999999999"/>
    <n v="2946.5129999999999"/>
    <n v="2946.5129999999999"/>
    <n v="2946.5129999999999"/>
    <n v="31604"/>
    <s v="CATIVO"/>
    <n v="0"/>
    <n v="0"/>
    <n v="10"/>
    <n v="76"/>
    <n v="0"/>
    <n v="299.57"/>
    <n v="255.72"/>
    <m/>
    <n v="311.20732733126584"/>
    <n v="235.13233756815453"/>
    <n v="0"/>
    <n v="-8.3744936318908001E-11"/>
    <n v="0"/>
    <n v="-1.67489872637816E-10"/>
    <x v="6"/>
  </r>
  <r>
    <s v="Refaturamento - Regular"/>
    <x v="2"/>
    <x v="3"/>
    <x v="4"/>
    <x v="7"/>
    <x v="1"/>
    <x v="0"/>
    <x v="1"/>
    <x v="6"/>
    <n v="0"/>
    <n v="0"/>
    <n v="-22.614999999999998"/>
    <n v="-22.614999999999998"/>
    <n v="-22.614999999999998"/>
    <n v="-22.614999999999998"/>
    <n v="-32"/>
    <s v="CATIVO"/>
    <n v="0"/>
    <n v="0"/>
    <n v="10"/>
    <n v="76"/>
    <n v="0"/>
    <n v="299.57"/>
    <n v="255.72"/>
    <m/>
    <n v="311.20732733126584"/>
    <n v="235.13233756815453"/>
    <n v="0"/>
    <n v="6.4275695876858658E-13"/>
    <n v="0"/>
    <n v="1.2855139175371732E-12"/>
    <x v="6"/>
  </r>
  <r>
    <s v="Sistema de Compensação"/>
    <x v="2"/>
    <x v="3"/>
    <x v="4"/>
    <x v="7"/>
    <x v="1"/>
    <x v="0"/>
    <x v="1"/>
    <x v="6"/>
    <n v="0"/>
    <n v="0"/>
    <n v="62.000999999999998"/>
    <n v="62.000999999999998"/>
    <n v="62.000999999999998"/>
    <n v="62.000999999999998"/>
    <n v="480"/>
    <s v="CATIVO"/>
    <n v="0"/>
    <n v="0"/>
    <n v="10"/>
    <n v="76"/>
    <n v="0"/>
    <n v="299.57"/>
    <n v="255.72"/>
    <m/>
    <n v="311.20732733126584"/>
    <n v="235.13233756815453"/>
    <n v="0"/>
    <n v="-1.7621744063944788E-12"/>
    <n v="0"/>
    <n v="-3.5243488127889576E-12"/>
    <x v="6"/>
  </r>
  <r>
    <s v="Regular"/>
    <x v="2"/>
    <x v="3"/>
    <x v="4"/>
    <x v="7"/>
    <x v="1"/>
    <x v="0"/>
    <x v="1"/>
    <x v="7"/>
    <n v="0"/>
    <n v="0"/>
    <n v="4651.0640000000003"/>
    <n v="4651.0640000000003"/>
    <n v="4651.0640000000003"/>
    <n v="4651.0640000000003"/>
    <n v="47641"/>
    <s v="CATIVO"/>
    <n v="0"/>
    <n v="0"/>
    <n v="10"/>
    <n v="76"/>
    <n v="0"/>
    <n v="299.57"/>
    <n v="255.72"/>
    <m/>
    <n v="311.20732733126584"/>
    <n v="235.13233756815453"/>
    <n v="0"/>
    <n v="-1.3219118955021259E-10"/>
    <n v="0"/>
    <n v="-2.6438237910042519E-10"/>
    <x v="6"/>
  </r>
  <r>
    <s v="Refaturamento - Regular"/>
    <x v="2"/>
    <x v="3"/>
    <x v="4"/>
    <x v="7"/>
    <x v="1"/>
    <x v="0"/>
    <x v="1"/>
    <x v="7"/>
    <n v="0"/>
    <n v="0"/>
    <n v="-11.782999999999999"/>
    <n v="-11.782999999999999"/>
    <n v="-11.782999999999999"/>
    <n v="-11.782999999999999"/>
    <n v="-19"/>
    <s v="CATIVO"/>
    <n v="0"/>
    <n v="0"/>
    <n v="10"/>
    <n v="76"/>
    <n v="0"/>
    <n v="299.57"/>
    <n v="255.72"/>
    <m/>
    <n v="311.20732733126584"/>
    <n v="235.13233756815453"/>
    <n v="0"/>
    <n v="3.348930022184504E-13"/>
    <n v="0"/>
    <n v="6.6978600443690081E-13"/>
    <x v="6"/>
  </r>
  <r>
    <s v="Sistema de Compensação"/>
    <x v="2"/>
    <x v="3"/>
    <x v="4"/>
    <x v="7"/>
    <x v="1"/>
    <x v="0"/>
    <x v="1"/>
    <x v="7"/>
    <n v="0"/>
    <n v="0"/>
    <n v="75.334000000000003"/>
    <n v="75.334000000000003"/>
    <n v="75.334000000000003"/>
    <n v="75.334000000000003"/>
    <n v="561"/>
    <s v="CATIVO"/>
    <n v="0"/>
    <n v="0"/>
    <n v="10"/>
    <n v="76"/>
    <n v="0"/>
    <n v="299.57"/>
    <n v="255.72"/>
    <m/>
    <n v="311.20732733126584"/>
    <n v="235.13233756815453"/>
    <n v="0"/>
    <n v="-2.1411210582300556E-12"/>
    <n v="0"/>
    <n v="-4.2822421164601112E-12"/>
    <x v="6"/>
  </r>
  <r>
    <s v="Regular"/>
    <x v="2"/>
    <x v="3"/>
    <x v="4"/>
    <x v="7"/>
    <x v="1"/>
    <x v="0"/>
    <x v="1"/>
    <x v="8"/>
    <n v="0"/>
    <n v="0"/>
    <n v="3627.748"/>
    <n v="3627.748"/>
    <n v="3627.748"/>
    <n v="3627.748"/>
    <n v="37884"/>
    <s v="CATIVO"/>
    <n v="0"/>
    <n v="0"/>
    <n v="10"/>
    <n v="76"/>
    <n v="0"/>
    <n v="299.57"/>
    <n v="255.72"/>
    <m/>
    <n v="311.20732733126584"/>
    <n v="235.13233756815453"/>
    <n v="0"/>
    <n v="-1.0310679954272928E-10"/>
    <n v="0"/>
    <n v="-2.0621359908545856E-10"/>
    <x v="6"/>
  </r>
  <r>
    <s v="Refaturamento - Regular"/>
    <x v="2"/>
    <x v="3"/>
    <x v="4"/>
    <x v="7"/>
    <x v="1"/>
    <x v="0"/>
    <x v="1"/>
    <x v="8"/>
    <n v="0"/>
    <n v="0"/>
    <n v="-19.420999999999999"/>
    <n v="-19.420999999999999"/>
    <n v="-19.420999999999999"/>
    <n v="-19.420999999999999"/>
    <n v="-19"/>
    <s v="CATIVO"/>
    <n v="0"/>
    <n v="0"/>
    <n v="10"/>
    <n v="76"/>
    <n v="0"/>
    <n v="299.57"/>
    <n v="255.72"/>
    <m/>
    <n v="311.20732733126584"/>
    <n v="235.13233756815453"/>
    <n v="0"/>
    <n v="5.5197801884787621E-13"/>
    <n v="0"/>
    <n v="1.1039560376957524E-12"/>
    <x v="6"/>
  </r>
  <r>
    <s v="Sistema de Compensação"/>
    <x v="2"/>
    <x v="3"/>
    <x v="4"/>
    <x v="7"/>
    <x v="1"/>
    <x v="0"/>
    <x v="1"/>
    <x v="8"/>
    <n v="0"/>
    <n v="0"/>
    <n v="68.492000000000004"/>
    <n v="68.492000000000004"/>
    <n v="68.492000000000004"/>
    <n v="68.492000000000004"/>
    <n v="544"/>
    <s v="CATIVO"/>
    <n v="0"/>
    <n v="0"/>
    <n v="10"/>
    <n v="76"/>
    <n v="0"/>
    <n v="299.57"/>
    <n v="255.72"/>
    <m/>
    <n v="311.20732733126584"/>
    <n v="235.13233756815453"/>
    <n v="0"/>
    <n v="-1.9466597223072314E-12"/>
    <n v="0"/>
    <n v="-3.8933194446144628E-12"/>
    <x v="6"/>
  </r>
  <r>
    <s v="Regular"/>
    <x v="2"/>
    <x v="3"/>
    <x v="4"/>
    <x v="7"/>
    <x v="1"/>
    <x v="0"/>
    <x v="1"/>
    <x v="9"/>
    <n v="0"/>
    <n v="0"/>
    <n v="3403.78"/>
    <n v="3403.78"/>
    <n v="3403.78"/>
    <n v="3403.78"/>
    <n v="38015"/>
    <s v="CATIVO"/>
    <n v="0"/>
    <n v="0"/>
    <n v="10"/>
    <n v="76"/>
    <n v="0"/>
    <n v="299.57"/>
    <n v="255.72"/>
    <m/>
    <n v="311.20732733126584"/>
    <n v="235.13233756815453"/>
    <n v="0"/>
    <n v="-9.6741246125020558E-11"/>
    <n v="0"/>
    <n v="-1.9348249225004112E-10"/>
    <x v="6"/>
  </r>
  <r>
    <s v="Refaturamento - Regular"/>
    <x v="2"/>
    <x v="3"/>
    <x v="4"/>
    <x v="7"/>
    <x v="1"/>
    <x v="0"/>
    <x v="1"/>
    <x v="9"/>
    <n v="0"/>
    <n v="0"/>
    <n v="-19.036999999999999"/>
    <n v="-19.036999999999999"/>
    <n v="-19.036999999999999"/>
    <n v="-19.036999999999999"/>
    <n v="-26"/>
    <s v="CATIVO"/>
    <n v="0"/>
    <n v="0"/>
    <n v="10"/>
    <n v="76"/>
    <n v="0"/>
    <n v="299.57"/>
    <n v="255.72"/>
    <m/>
    <n v="311.20732733126584"/>
    <n v="235.13233756815453"/>
    <n v="0"/>
    <n v="5.4106408242660106E-13"/>
    <n v="0"/>
    <n v="1.0821281648532021E-12"/>
    <x v="6"/>
  </r>
  <r>
    <s v="Sistema de Compensação"/>
    <x v="2"/>
    <x v="3"/>
    <x v="4"/>
    <x v="7"/>
    <x v="1"/>
    <x v="0"/>
    <x v="1"/>
    <x v="9"/>
    <n v="0"/>
    <n v="0"/>
    <n v="73.257999999999996"/>
    <n v="73.257999999999996"/>
    <n v="73.257999999999996"/>
    <n v="73.257999999999996"/>
    <n v="563"/>
    <s v="CATIVO"/>
    <n v="0"/>
    <n v="0"/>
    <n v="10"/>
    <n v="76"/>
    <n v="0"/>
    <n v="299.57"/>
    <n v="255.72"/>
    <m/>
    <n v="311.20732733126584"/>
    <n v="235.13233756815453"/>
    <n v="0"/>
    <n v="-2.0821175894525367E-12"/>
    <n v="0"/>
    <n v="-4.1642351789050733E-12"/>
    <x v="6"/>
  </r>
  <r>
    <s v="Regular"/>
    <x v="2"/>
    <x v="3"/>
    <x v="4"/>
    <x v="7"/>
    <x v="1"/>
    <x v="0"/>
    <x v="1"/>
    <x v="10"/>
    <n v="0"/>
    <n v="0"/>
    <n v="1946.1020000000001"/>
    <n v="1946.1020000000001"/>
    <n v="1946.1020000000001"/>
    <n v="1946.1020000000001"/>
    <n v="23031"/>
    <s v="CATIVO"/>
    <n v="0"/>
    <n v="0"/>
    <n v="10"/>
    <n v="76"/>
    <n v="0"/>
    <n v="299.57"/>
    <n v="255.72"/>
    <m/>
    <n v="311.20732733126584"/>
    <n v="235.13233756815453"/>
    <n v="0"/>
    <n v="-5.5311545565928102E-11"/>
    <n v="0"/>
    <n v="-1.106230911318562E-10"/>
    <x v="6"/>
  </r>
  <r>
    <s v="Refaturamento - Regular"/>
    <x v="2"/>
    <x v="3"/>
    <x v="4"/>
    <x v="7"/>
    <x v="1"/>
    <x v="0"/>
    <x v="1"/>
    <x v="10"/>
    <n v="0"/>
    <n v="0"/>
    <n v="-5.69"/>
    <n v="-5.69"/>
    <n v="-5.69"/>
    <n v="-5.69"/>
    <n v="-27"/>
    <s v="CATIVO"/>
    <n v="0"/>
    <n v="0"/>
    <n v="10"/>
    <n v="76"/>
    <n v="0"/>
    <n v="299.57"/>
    <n v="255.72"/>
    <m/>
    <n v="311.20732733126584"/>
    <n v="235.13233756815453"/>
    <n v="0"/>
    <n v="1.6171952665899881E-13"/>
    <n v="0"/>
    <n v="3.2343905331799763E-13"/>
    <x v="6"/>
  </r>
  <r>
    <s v="Sistema de Compensação"/>
    <x v="2"/>
    <x v="3"/>
    <x v="4"/>
    <x v="7"/>
    <x v="1"/>
    <x v="0"/>
    <x v="1"/>
    <x v="10"/>
    <n v="0"/>
    <n v="0"/>
    <n v="62.06"/>
    <n v="62.06"/>
    <n v="62.06"/>
    <n v="62.06"/>
    <n v="472"/>
    <s v="CATIVO"/>
    <n v="0"/>
    <n v="0"/>
    <n v="10"/>
    <n v="76"/>
    <n v="0"/>
    <n v="299.57"/>
    <n v="255.72"/>
    <m/>
    <n v="311.20732733126584"/>
    <n v="235.13233756815453"/>
    <n v="0"/>
    <n v="-1.7638512872508728E-12"/>
    <n v="0"/>
    <n v="-3.5277025745017455E-12"/>
    <x v="6"/>
  </r>
  <r>
    <s v="PROJETADO"/>
    <x v="2"/>
    <x v="3"/>
    <x v="4"/>
    <x v="7"/>
    <x v="1"/>
    <x v="0"/>
    <x v="1"/>
    <x v="11"/>
    <n v="0"/>
    <n v="0"/>
    <n v="1946.1020000000001"/>
    <n v="1946.1020000000001"/>
    <n v="1946.1020000000001"/>
    <n v="1946.1020000000001"/>
    <n v="23031"/>
    <s v="CATIVO"/>
    <n v="0"/>
    <n v="0"/>
    <n v="10"/>
    <n v="76"/>
    <n v="0"/>
    <n v="299.57"/>
    <n v="255.72"/>
    <m/>
    <n v="311.20732733126584"/>
    <n v="235.13233756815453"/>
    <n v="0"/>
    <n v="-5.5311545565928102E-11"/>
    <n v="0"/>
    <n v="-1.106230911318562E-10"/>
    <x v="6"/>
  </r>
  <r>
    <s v="PROJETADO"/>
    <x v="2"/>
    <x v="3"/>
    <x v="4"/>
    <x v="7"/>
    <x v="1"/>
    <x v="0"/>
    <x v="1"/>
    <x v="11"/>
    <n v="0"/>
    <n v="0"/>
    <n v="-5.69"/>
    <n v="-5.69"/>
    <n v="-5.69"/>
    <n v="-5.69"/>
    <n v="-27"/>
    <s v="CATIVO"/>
    <n v="0"/>
    <n v="0"/>
    <n v="10"/>
    <n v="76"/>
    <n v="0"/>
    <n v="299.57"/>
    <n v="255.72"/>
    <m/>
    <n v="311.20732733126584"/>
    <n v="235.13233756815453"/>
    <n v="0"/>
    <n v="1.6171952665899881E-13"/>
    <n v="0"/>
    <n v="3.2343905331799763E-13"/>
    <x v="6"/>
  </r>
  <r>
    <s v="PROJETADO"/>
    <x v="2"/>
    <x v="3"/>
    <x v="4"/>
    <x v="7"/>
    <x v="1"/>
    <x v="0"/>
    <x v="1"/>
    <x v="11"/>
    <n v="0"/>
    <n v="0"/>
    <n v="62.06"/>
    <n v="62.06"/>
    <n v="62.06"/>
    <n v="62.06"/>
    <n v="472"/>
    <s v="CATIVO"/>
    <n v="0"/>
    <n v="0"/>
    <n v="10"/>
    <n v="76"/>
    <n v="0"/>
    <n v="299.57"/>
    <n v="255.72"/>
    <m/>
    <n v="311.20732733126584"/>
    <n v="235.13233756815453"/>
    <n v="0"/>
    <n v="-1.7638512872508728E-12"/>
    <n v="0"/>
    <n v="-3.5277025745017455E-12"/>
    <x v="6"/>
  </r>
  <r>
    <s v="Regular"/>
    <x v="3"/>
    <x v="4"/>
    <x v="1"/>
    <x v="2"/>
    <x v="3"/>
    <x v="0"/>
    <x v="0"/>
    <x v="1"/>
    <n v="0"/>
    <n v="0"/>
    <n v="7.29"/>
    <n v="7.29"/>
    <n v="7.29"/>
    <n v="7.29"/>
    <n v="0"/>
    <s v="CATIVO"/>
    <n v="0"/>
    <n v="0"/>
    <n v="25"/>
    <n v="84"/>
    <n v="0"/>
    <n v="226.76"/>
    <n v="213.69"/>
    <m/>
    <n v="271.37210120822908"/>
    <n v="211.06558765029487"/>
    <n v="0"/>
    <n v="204.9498191489362"/>
    <n v="0"/>
    <n v="224.48749479438123"/>
    <x v="1"/>
  </r>
  <r>
    <s v="Regular"/>
    <x v="3"/>
    <x v="4"/>
    <x v="1"/>
    <x v="2"/>
    <x v="3"/>
    <x v="0"/>
    <x v="0"/>
    <x v="3"/>
    <n v="0"/>
    <n v="0"/>
    <n v="6.5609999999999999"/>
    <n v="6.5609999999999999"/>
    <n v="6.5609999999999999"/>
    <n v="6.5609999999999999"/>
    <n v="0"/>
    <s v="CATIVO"/>
    <n v="0"/>
    <n v="0"/>
    <n v="25"/>
    <n v="84"/>
    <n v="0"/>
    <n v="226.76"/>
    <n v="213.69"/>
    <m/>
    <n v="271.37210120822908"/>
    <n v="211.06558765029487"/>
    <n v="0"/>
    <n v="184.45483723404254"/>
    <n v="0"/>
    <n v="202.03874531494313"/>
    <x v="1"/>
  </r>
  <r>
    <s v="Regular"/>
    <x v="3"/>
    <x v="4"/>
    <x v="1"/>
    <x v="2"/>
    <x v="3"/>
    <x v="0"/>
    <x v="3"/>
    <x v="1"/>
    <n v="0"/>
    <n v="0"/>
    <n v="0.252"/>
    <n v="0.252"/>
    <n v="0.252"/>
    <n v="0.252"/>
    <n v="0"/>
    <s v="CATIVO"/>
    <n v="0"/>
    <n v="0"/>
    <n v="23"/>
    <n v="83"/>
    <n v="0"/>
    <n v="525.19000000000005"/>
    <n v="213.69"/>
    <m/>
    <n v="622.67879430695984"/>
    <n v="211.06558765029487"/>
    <n v="0"/>
    <n v="11.88496340425532"/>
    <n v="0"/>
    <n v="13.41086707999329"/>
    <x v="1"/>
  </r>
  <r>
    <s v="Regular"/>
    <x v="3"/>
    <x v="4"/>
    <x v="1"/>
    <x v="2"/>
    <x v="3"/>
    <x v="0"/>
    <x v="3"/>
    <x v="3"/>
    <n v="0"/>
    <n v="0"/>
    <n v="0.22700000000000001"/>
    <n v="0.22700000000000001"/>
    <n v="0.22700000000000001"/>
    <n v="0.22700000000000001"/>
    <n v="0"/>
    <s v="CATIVO"/>
    <n v="0"/>
    <n v="0"/>
    <n v="23"/>
    <n v="83"/>
    <n v="0"/>
    <n v="525.19000000000005"/>
    <n v="213.69"/>
    <m/>
    <n v="622.67879430695984"/>
    <n v="211.06558765029487"/>
    <n v="0"/>
    <n v="10.705899574468086"/>
    <n v="0"/>
    <n v="12.080423917295542"/>
    <x v="1"/>
  </r>
  <r>
    <s v="Regular"/>
    <x v="3"/>
    <x v="4"/>
    <x v="1"/>
    <x v="2"/>
    <x v="3"/>
    <x v="0"/>
    <x v="2"/>
    <x v="1"/>
    <n v="0"/>
    <n v="0"/>
    <n v="0.1"/>
    <n v="0.1"/>
    <n v="0.1"/>
    <n v="0.1"/>
    <n v="0"/>
    <s v="CATIVO"/>
    <n v="0"/>
    <n v="0"/>
    <n v="21"/>
    <n v="82"/>
    <n v="0"/>
    <n v="823.61"/>
    <n v="349.91"/>
    <m/>
    <n v="973.98514137315783"/>
    <n v="330.57130361553931"/>
    <n v="0"/>
    <n v="7.4905531914893624"/>
    <n v="0"/>
    <n v="8.3269560318427498"/>
    <x v="1"/>
  </r>
  <r>
    <s v="Regular"/>
    <x v="3"/>
    <x v="4"/>
    <x v="1"/>
    <x v="2"/>
    <x v="3"/>
    <x v="0"/>
    <x v="2"/>
    <x v="3"/>
    <n v="0"/>
    <n v="0"/>
    <n v="0.09"/>
    <n v="0.09"/>
    <n v="0.09"/>
    <n v="0.09"/>
    <n v="0"/>
    <s v="CATIVO"/>
    <n v="0"/>
    <n v="0"/>
    <n v="21"/>
    <n v="82"/>
    <n v="0"/>
    <n v="823.61"/>
    <n v="349.91"/>
    <m/>
    <n v="973.98514137315783"/>
    <n v="330.57130361553931"/>
    <n v="0"/>
    <n v="6.7414978723404255"/>
    <n v="0"/>
    <n v="7.4942604286584729"/>
    <x v="1"/>
  </r>
  <r>
    <s v="Regular"/>
    <x v="3"/>
    <x v="4"/>
    <x v="1"/>
    <x v="0"/>
    <x v="1"/>
    <x v="0"/>
    <x v="0"/>
    <x v="0"/>
    <n v="0"/>
    <n v="0"/>
    <n v="12.946"/>
    <n v="12.946"/>
    <n v="12.946"/>
    <n v="12.946"/>
    <n v="0"/>
    <s v="CATIVO"/>
    <n v="0"/>
    <n v="0"/>
    <n v="25"/>
    <n v="84"/>
    <n v="0"/>
    <n v="226.76"/>
    <n v="213.69"/>
    <m/>
    <n v="271.37210120822908"/>
    <n v="211.06558765029487"/>
    <n v="0"/>
    <n v="363.96164042553187"/>
    <n v="0"/>
    <n v="398.65776510398626"/>
    <x v="1"/>
  </r>
  <r>
    <s v="Regular"/>
    <x v="3"/>
    <x v="4"/>
    <x v="1"/>
    <x v="0"/>
    <x v="1"/>
    <x v="0"/>
    <x v="0"/>
    <x v="1"/>
    <n v="0"/>
    <n v="0"/>
    <n v="10.468"/>
    <n v="10.468"/>
    <n v="10.468"/>
    <n v="10.468"/>
    <n v="0"/>
    <s v="CATIVO"/>
    <n v="0"/>
    <n v="0"/>
    <n v="25"/>
    <n v="84"/>
    <n v="0"/>
    <n v="226.76"/>
    <n v="213.69"/>
    <m/>
    <n v="271.37210120822908"/>
    <n v="211.06558765029487"/>
    <n v="0"/>
    <n v="294.29557021276599"/>
    <n v="0"/>
    <n v="322.35049321091674"/>
    <x v="1"/>
  </r>
  <r>
    <s v="Regular"/>
    <x v="3"/>
    <x v="4"/>
    <x v="1"/>
    <x v="0"/>
    <x v="1"/>
    <x v="0"/>
    <x v="0"/>
    <x v="2"/>
    <n v="0"/>
    <n v="0"/>
    <n v="14.688000000000001"/>
    <n v="14.688000000000001"/>
    <n v="14.688000000000001"/>
    <n v="14.688000000000001"/>
    <n v="0"/>
    <s v="CATIVO"/>
    <n v="0"/>
    <n v="0"/>
    <n v="25"/>
    <n v="84"/>
    <n v="0"/>
    <n v="226.76"/>
    <n v="213.69"/>
    <m/>
    <n v="271.37210120822908"/>
    <n v="211.06558765029487"/>
    <n v="0"/>
    <n v="412.93593191489367"/>
    <n v="0"/>
    <n v="452.30073025238306"/>
    <x v="1"/>
  </r>
  <r>
    <s v="Regular"/>
    <x v="3"/>
    <x v="4"/>
    <x v="1"/>
    <x v="0"/>
    <x v="1"/>
    <x v="0"/>
    <x v="0"/>
    <x v="3"/>
    <n v="0"/>
    <n v="0"/>
    <n v="9.9930000000000003"/>
    <n v="9.9930000000000003"/>
    <n v="9.9930000000000003"/>
    <n v="9.9930000000000003"/>
    <n v="0"/>
    <s v="CATIVO"/>
    <n v="0"/>
    <n v="0"/>
    <n v="25"/>
    <n v="84"/>
    <n v="0"/>
    <n v="226.76"/>
    <n v="213.69"/>
    <m/>
    <n v="271.37210120822908"/>
    <n v="211.06558765029487"/>
    <n v="0"/>
    <n v="280.94150106382978"/>
    <n v="0"/>
    <n v="307.72339306999345"/>
    <x v="1"/>
  </r>
  <r>
    <s v="Regular"/>
    <x v="3"/>
    <x v="4"/>
    <x v="1"/>
    <x v="0"/>
    <x v="1"/>
    <x v="0"/>
    <x v="0"/>
    <x v="4"/>
    <n v="0"/>
    <n v="0"/>
    <n v="12.581"/>
    <n v="12.581"/>
    <n v="12.581"/>
    <n v="12.581"/>
    <n v="0"/>
    <s v="CATIVO"/>
    <n v="0"/>
    <n v="0"/>
    <n v="25"/>
    <n v="84"/>
    <n v="0"/>
    <n v="226.76"/>
    <n v="213.69"/>
    <m/>
    <n v="271.37210120822908"/>
    <n v="211.06558765029487"/>
    <n v="0"/>
    <n v="353.70009255319144"/>
    <n v="0"/>
    <n v="387.41799341675039"/>
    <x v="1"/>
  </r>
  <r>
    <s v="Regular"/>
    <x v="3"/>
    <x v="4"/>
    <x v="1"/>
    <x v="0"/>
    <x v="1"/>
    <x v="0"/>
    <x v="0"/>
    <x v="5"/>
    <n v="0"/>
    <n v="0"/>
    <n v="10.922000000000001"/>
    <n v="10.922000000000001"/>
    <n v="10.922000000000001"/>
    <n v="10.922000000000001"/>
    <n v="0"/>
    <s v="CATIVO"/>
    <n v="0"/>
    <n v="0"/>
    <n v="25"/>
    <n v="84"/>
    <n v="0"/>
    <n v="226.76"/>
    <n v="213.69"/>
    <m/>
    <n v="271.37210120822908"/>
    <n v="211.06558765029487"/>
    <n v="0"/>
    <n v="307.05924893617021"/>
    <n v="0"/>
    <n v="336.33092155613616"/>
    <x v="1"/>
  </r>
  <r>
    <s v="Regular"/>
    <x v="3"/>
    <x v="4"/>
    <x v="1"/>
    <x v="0"/>
    <x v="1"/>
    <x v="0"/>
    <x v="0"/>
    <x v="6"/>
    <n v="0"/>
    <n v="0"/>
    <n v="6.39"/>
    <n v="6.39"/>
    <n v="6.39"/>
    <n v="6.39"/>
    <n v="0"/>
    <s v="CATIVO"/>
    <n v="0"/>
    <n v="0"/>
    <n v="25"/>
    <n v="84"/>
    <n v="0"/>
    <n v="226.76"/>
    <n v="213.69"/>
    <m/>
    <n v="271.37210120822908"/>
    <n v="211.06558765029487"/>
    <n v="0"/>
    <n v="179.64737234042551"/>
    <n v="0"/>
    <n v="196.77298926421074"/>
    <x v="1"/>
  </r>
  <r>
    <s v="Regular"/>
    <x v="3"/>
    <x v="4"/>
    <x v="1"/>
    <x v="0"/>
    <x v="1"/>
    <x v="0"/>
    <x v="0"/>
    <x v="7"/>
    <n v="0"/>
    <n v="0"/>
    <n v="3.0859999999999999"/>
    <n v="3.0859999999999999"/>
    <n v="3.0859999999999999"/>
    <n v="3.0859999999999999"/>
    <n v="0"/>
    <s v="CATIVO"/>
    <n v="0"/>
    <n v="0"/>
    <n v="25"/>
    <n v="84"/>
    <n v="0"/>
    <n v="226.76"/>
    <n v="213.69"/>
    <m/>
    <n v="271.37210120822908"/>
    <n v="211.06558765029487"/>
    <n v="0"/>
    <n v="86.75927872340425"/>
    <n v="0"/>
    <n v="95.029960073451392"/>
    <x v="1"/>
  </r>
  <r>
    <s v="Regular"/>
    <x v="3"/>
    <x v="4"/>
    <x v="1"/>
    <x v="0"/>
    <x v="1"/>
    <x v="0"/>
    <x v="0"/>
    <x v="8"/>
    <n v="0"/>
    <n v="0"/>
    <n v="2.5569999999999999"/>
    <n v="2.5569999999999999"/>
    <n v="2.5569999999999999"/>
    <n v="2.5569999999999999"/>
    <n v="0"/>
    <s v="CATIVO"/>
    <n v="0"/>
    <n v="0"/>
    <n v="25"/>
    <n v="84"/>
    <n v="0"/>
    <n v="226.76"/>
    <n v="213.69"/>
    <m/>
    <n v="271.37210120822908"/>
    <n v="211.06558765029487"/>
    <n v="0"/>
    <n v="71.887062765957452"/>
    <n v="0"/>
    <n v="78.739989600717834"/>
    <x v="1"/>
  </r>
  <r>
    <s v="Regular"/>
    <x v="3"/>
    <x v="4"/>
    <x v="1"/>
    <x v="0"/>
    <x v="1"/>
    <x v="0"/>
    <x v="0"/>
    <x v="9"/>
    <n v="0"/>
    <n v="0"/>
    <n v="3.3130000000000002"/>
    <n v="3.3130000000000002"/>
    <n v="3.3130000000000002"/>
    <n v="3.3130000000000002"/>
    <n v="0"/>
    <s v="CATIVO"/>
    <n v="0"/>
    <n v="0"/>
    <n v="25"/>
    <n v="84"/>
    <n v="0"/>
    <n v="226.76"/>
    <n v="213.69"/>
    <m/>
    <n v="271.37210120822908"/>
    <n v="211.06558765029487"/>
    <n v="0"/>
    <n v="93.141118085106385"/>
    <n v="0"/>
    <n v="102.02017424606106"/>
    <x v="1"/>
  </r>
  <r>
    <s v="Regular"/>
    <x v="3"/>
    <x v="4"/>
    <x v="1"/>
    <x v="0"/>
    <x v="1"/>
    <x v="0"/>
    <x v="0"/>
    <x v="10"/>
    <n v="0"/>
    <n v="0"/>
    <n v="2.52"/>
    <n v="2.52"/>
    <n v="2.52"/>
    <n v="2.52"/>
    <n v="0"/>
    <s v="CATIVO"/>
    <n v="0"/>
    <n v="0"/>
    <n v="25"/>
    <n v="84"/>
    <n v="0"/>
    <n v="226.76"/>
    <n v="213.69"/>
    <m/>
    <n v="271.37210120822908"/>
    <n v="211.06558765029487"/>
    <n v="0"/>
    <n v="70.846851063829789"/>
    <n v="0"/>
    <n v="77.600615484477458"/>
    <x v="1"/>
  </r>
  <r>
    <s v="PROJETADO"/>
    <x v="3"/>
    <x v="4"/>
    <x v="1"/>
    <x v="0"/>
    <x v="1"/>
    <x v="0"/>
    <x v="0"/>
    <x v="11"/>
    <n v="0"/>
    <n v="0"/>
    <n v="2.52"/>
    <n v="2.52"/>
    <n v="2.52"/>
    <n v="2.52"/>
    <n v="0"/>
    <s v="CATIVO"/>
    <n v="0"/>
    <n v="0"/>
    <n v="25"/>
    <n v="84"/>
    <n v="0"/>
    <n v="226.76"/>
    <n v="213.69"/>
    <m/>
    <n v="271.37210120822908"/>
    <n v="211.06558765029487"/>
    <n v="0"/>
    <n v="70.846851063829789"/>
    <n v="0"/>
    <n v="77.600615484477458"/>
    <x v="1"/>
  </r>
  <r>
    <s v="Regular"/>
    <x v="3"/>
    <x v="4"/>
    <x v="1"/>
    <x v="0"/>
    <x v="1"/>
    <x v="0"/>
    <x v="3"/>
    <x v="0"/>
    <n v="0"/>
    <n v="0"/>
    <n v="0.43"/>
    <n v="0.43"/>
    <n v="0.43"/>
    <n v="0.43"/>
    <n v="0"/>
    <s v="CATIVO"/>
    <n v="0"/>
    <n v="0"/>
    <n v="23"/>
    <n v="83"/>
    <n v="0"/>
    <n v="525.19000000000005"/>
    <n v="213.69"/>
    <m/>
    <n v="622.67879430695984"/>
    <n v="211.06558765029487"/>
    <n v="0"/>
    <n v="20.279897872340424"/>
    <n v="0"/>
    <n v="22.883622398401243"/>
    <x v="1"/>
  </r>
  <r>
    <s v="Regular"/>
    <x v="3"/>
    <x v="4"/>
    <x v="1"/>
    <x v="0"/>
    <x v="1"/>
    <x v="0"/>
    <x v="3"/>
    <x v="1"/>
    <n v="0"/>
    <n v="0"/>
    <n v="0.36899999999999999"/>
    <n v="0.36899999999999999"/>
    <n v="0.36899999999999999"/>
    <n v="0.36899999999999999"/>
    <n v="0"/>
    <s v="CATIVO"/>
    <n v="0"/>
    <n v="0"/>
    <n v="23"/>
    <n v="83"/>
    <n v="0"/>
    <n v="525.19000000000005"/>
    <n v="213.69"/>
    <m/>
    <n v="622.67879430695984"/>
    <n v="211.06558765029487"/>
    <n v="0"/>
    <n v="17.402982127659577"/>
    <n v="0"/>
    <n v="19.637341081418747"/>
    <x v="1"/>
  </r>
  <r>
    <s v="Regular"/>
    <x v="3"/>
    <x v="4"/>
    <x v="1"/>
    <x v="0"/>
    <x v="1"/>
    <x v="0"/>
    <x v="3"/>
    <x v="2"/>
    <n v="0"/>
    <n v="0"/>
    <n v="0.439"/>
    <n v="0.439"/>
    <n v="0.439"/>
    <n v="0.439"/>
    <n v="0"/>
    <s v="CATIVO"/>
    <n v="0"/>
    <n v="0"/>
    <n v="23"/>
    <n v="83"/>
    <n v="0"/>
    <n v="525.19000000000005"/>
    <n v="213.69"/>
    <m/>
    <n v="622.67879430695984"/>
    <n v="211.06558765029487"/>
    <n v="0"/>
    <n v="20.704360851063832"/>
    <n v="0"/>
    <n v="23.362581936972436"/>
    <x v="1"/>
  </r>
  <r>
    <s v="Regular"/>
    <x v="3"/>
    <x v="4"/>
    <x v="1"/>
    <x v="0"/>
    <x v="1"/>
    <x v="0"/>
    <x v="3"/>
    <x v="3"/>
    <n v="0"/>
    <n v="0"/>
    <n v="0.373"/>
    <n v="0.373"/>
    <n v="0.373"/>
    <n v="0.373"/>
    <n v="0"/>
    <s v="CATIVO"/>
    <n v="0"/>
    <n v="0"/>
    <n v="23"/>
    <n v="83"/>
    <n v="0"/>
    <n v="525.19000000000005"/>
    <n v="213.69"/>
    <m/>
    <n v="622.67879430695984"/>
    <n v="211.06558765029487"/>
    <n v="0"/>
    <n v="17.591632340425537"/>
    <n v="0"/>
    <n v="19.850211987450383"/>
    <x v="1"/>
  </r>
  <r>
    <s v="Regular"/>
    <x v="3"/>
    <x v="4"/>
    <x v="1"/>
    <x v="0"/>
    <x v="1"/>
    <x v="0"/>
    <x v="3"/>
    <x v="4"/>
    <n v="0"/>
    <n v="0"/>
    <n v="0.52800000000000002"/>
    <n v="0.52800000000000002"/>
    <n v="0.52800000000000002"/>
    <n v="0.52800000000000002"/>
    <n v="0"/>
    <s v="CATIVO"/>
    <n v="0"/>
    <n v="0"/>
    <n v="23"/>
    <n v="83"/>
    <n v="0"/>
    <n v="525.19000000000005"/>
    <n v="213.69"/>
    <m/>
    <n v="622.67879430695984"/>
    <n v="211.06558765029487"/>
    <n v="0"/>
    <n v="24.901828085106388"/>
    <n v="0"/>
    <n v="28.098959596176414"/>
    <x v="1"/>
  </r>
  <r>
    <s v="Regular"/>
    <x v="3"/>
    <x v="4"/>
    <x v="1"/>
    <x v="0"/>
    <x v="1"/>
    <x v="0"/>
    <x v="3"/>
    <x v="5"/>
    <n v="0"/>
    <n v="0"/>
    <n v="0.53100000000000003"/>
    <n v="0.53100000000000003"/>
    <n v="0.53100000000000003"/>
    <n v="0.53100000000000003"/>
    <n v="0"/>
    <s v="CATIVO"/>
    <n v="0"/>
    <n v="0"/>
    <n v="23"/>
    <n v="83"/>
    <n v="0"/>
    <n v="525.19000000000005"/>
    <n v="213.69"/>
    <m/>
    <n v="622.67879430695984"/>
    <n v="211.06558765029487"/>
    <n v="0"/>
    <n v="25.04331574468085"/>
    <n v="0"/>
    <n v="28.258612775700144"/>
    <x v="1"/>
  </r>
  <r>
    <s v="Regular"/>
    <x v="3"/>
    <x v="4"/>
    <x v="1"/>
    <x v="0"/>
    <x v="1"/>
    <x v="0"/>
    <x v="3"/>
    <x v="6"/>
    <n v="0"/>
    <n v="0"/>
    <n v="0.34799999999999998"/>
    <n v="0.34799999999999998"/>
    <n v="0.34799999999999998"/>
    <n v="0.34799999999999998"/>
    <n v="0"/>
    <s v="CATIVO"/>
    <n v="0"/>
    <n v="0"/>
    <n v="23"/>
    <n v="83"/>
    <n v="0"/>
    <n v="525.19000000000005"/>
    <n v="213.69"/>
    <m/>
    <n v="622.67879430695984"/>
    <n v="211.06558765029487"/>
    <n v="0"/>
    <n v="16.412568510638298"/>
    <n v="0"/>
    <n v="18.519768824752635"/>
    <x v="1"/>
  </r>
  <r>
    <s v="Regular"/>
    <x v="3"/>
    <x v="4"/>
    <x v="1"/>
    <x v="0"/>
    <x v="1"/>
    <x v="0"/>
    <x v="3"/>
    <x v="7"/>
    <n v="0"/>
    <n v="0"/>
    <n v="0.16300000000000001"/>
    <n v="0.16300000000000001"/>
    <n v="0.16300000000000001"/>
    <n v="0.16300000000000001"/>
    <n v="0"/>
    <s v="CATIVO"/>
    <n v="0"/>
    <n v="0"/>
    <n v="23"/>
    <n v="83"/>
    <n v="0"/>
    <n v="525.19000000000005"/>
    <n v="213.69"/>
    <m/>
    <n v="622.67879430695984"/>
    <n v="211.06558765029487"/>
    <n v="0"/>
    <n v="7.687496170212766"/>
    <n v="0"/>
    <n v="8.6744894207893104"/>
    <x v="1"/>
  </r>
  <r>
    <s v="Regular"/>
    <x v="3"/>
    <x v="4"/>
    <x v="1"/>
    <x v="0"/>
    <x v="1"/>
    <x v="0"/>
    <x v="3"/>
    <x v="8"/>
    <n v="0"/>
    <n v="0"/>
    <n v="0.14199999999999999"/>
    <n v="0.14199999999999999"/>
    <n v="0.14199999999999999"/>
    <n v="0.14199999999999999"/>
    <n v="0"/>
    <s v="CATIVO"/>
    <n v="0"/>
    <n v="0"/>
    <n v="23"/>
    <n v="83"/>
    <n v="0"/>
    <n v="525.19000000000005"/>
    <n v="213.69"/>
    <m/>
    <n v="622.67879430695984"/>
    <n v="211.06558765029487"/>
    <n v="0"/>
    <n v="6.6970825531914899"/>
    <n v="0"/>
    <n v="7.5569171641232016"/>
    <x v="1"/>
  </r>
  <r>
    <s v="Regular"/>
    <x v="3"/>
    <x v="4"/>
    <x v="1"/>
    <x v="0"/>
    <x v="1"/>
    <x v="0"/>
    <x v="3"/>
    <x v="9"/>
    <n v="0"/>
    <n v="0"/>
    <n v="0.154"/>
    <n v="0.154"/>
    <n v="0.154"/>
    <n v="0.154"/>
    <n v="0"/>
    <s v="CATIVO"/>
    <n v="0"/>
    <n v="0"/>
    <n v="23"/>
    <n v="83"/>
    <n v="0"/>
    <n v="525.19000000000005"/>
    <n v="213.69"/>
    <m/>
    <n v="622.67879430695984"/>
    <n v="211.06558765029487"/>
    <n v="0"/>
    <n v="7.2630331914893622"/>
    <n v="0"/>
    <n v="8.1955298822181213"/>
    <x v="1"/>
  </r>
  <r>
    <s v="Regular"/>
    <x v="3"/>
    <x v="4"/>
    <x v="1"/>
    <x v="0"/>
    <x v="1"/>
    <x v="0"/>
    <x v="3"/>
    <x v="10"/>
    <n v="0"/>
    <n v="0"/>
    <n v="0.14000000000000001"/>
    <n v="0.14000000000000001"/>
    <n v="0.14000000000000001"/>
    <n v="0.14000000000000001"/>
    <n v="0"/>
    <s v="CATIVO"/>
    <n v="0"/>
    <n v="0"/>
    <n v="23"/>
    <n v="83"/>
    <n v="0"/>
    <n v="525.19000000000005"/>
    <n v="213.69"/>
    <m/>
    <n v="622.67879430695984"/>
    <n v="211.06558765029487"/>
    <n v="0"/>
    <n v="6.6027574468085124"/>
    <n v="0"/>
    <n v="7.4504817111073827"/>
    <x v="1"/>
  </r>
  <r>
    <s v="PROJETADO"/>
    <x v="3"/>
    <x v="4"/>
    <x v="1"/>
    <x v="0"/>
    <x v="1"/>
    <x v="0"/>
    <x v="3"/>
    <x v="11"/>
    <n v="0"/>
    <n v="0"/>
    <n v="0.14000000000000001"/>
    <n v="0.14000000000000001"/>
    <n v="0.14000000000000001"/>
    <n v="0.14000000000000001"/>
    <n v="0"/>
    <s v="CATIVO"/>
    <n v="0"/>
    <n v="0"/>
    <n v="23"/>
    <n v="83"/>
    <n v="0"/>
    <n v="525.19000000000005"/>
    <n v="213.69"/>
    <m/>
    <n v="622.67879430695984"/>
    <n v="211.06558765029487"/>
    <n v="0"/>
    <n v="6.6027574468085124"/>
    <n v="0"/>
    <n v="7.4504817111073827"/>
    <x v="1"/>
  </r>
  <r>
    <s v="Regular"/>
    <x v="3"/>
    <x v="4"/>
    <x v="1"/>
    <x v="0"/>
    <x v="1"/>
    <x v="0"/>
    <x v="2"/>
    <x v="0"/>
    <n v="0"/>
    <n v="0"/>
    <n v="0.37"/>
    <n v="0.37"/>
    <n v="0.37"/>
    <n v="0.37"/>
    <n v="0"/>
    <s v="CATIVO"/>
    <n v="0"/>
    <n v="0"/>
    <n v="21"/>
    <n v="82"/>
    <n v="0"/>
    <n v="823.61"/>
    <n v="349.91"/>
    <m/>
    <n v="973.98514137315783"/>
    <n v="330.57130361553931"/>
    <n v="0"/>
    <n v="27.715046808510643"/>
    <n v="0"/>
    <n v="30.809737317818168"/>
    <x v="1"/>
  </r>
  <r>
    <s v="Regular"/>
    <x v="3"/>
    <x v="4"/>
    <x v="1"/>
    <x v="0"/>
    <x v="1"/>
    <x v="0"/>
    <x v="2"/>
    <x v="1"/>
    <n v="0"/>
    <n v="0"/>
    <n v="0.30399999999999999"/>
    <n v="0.30399999999999999"/>
    <n v="0.30399999999999999"/>
    <n v="0.30399999999999999"/>
    <n v="0"/>
    <s v="CATIVO"/>
    <n v="0"/>
    <n v="0"/>
    <n v="21"/>
    <n v="82"/>
    <n v="0"/>
    <n v="823.61"/>
    <n v="349.91"/>
    <m/>
    <n v="973.98514137315783"/>
    <n v="330.57130361553931"/>
    <n v="0"/>
    <n v="22.771281702127663"/>
    <n v="0"/>
    <n v="25.313946336801951"/>
    <x v="1"/>
  </r>
  <r>
    <s v="Regular"/>
    <x v="3"/>
    <x v="4"/>
    <x v="1"/>
    <x v="0"/>
    <x v="1"/>
    <x v="0"/>
    <x v="2"/>
    <x v="2"/>
    <n v="0"/>
    <n v="0"/>
    <n v="0.36799999999999999"/>
    <n v="0.36799999999999999"/>
    <n v="0.36799999999999999"/>
    <n v="0.36799999999999999"/>
    <n v="0"/>
    <s v="CATIVO"/>
    <n v="0"/>
    <n v="0"/>
    <n v="21"/>
    <n v="82"/>
    <n v="0"/>
    <n v="823.61"/>
    <n v="349.91"/>
    <m/>
    <n v="973.98514137315783"/>
    <n v="330.57130361553931"/>
    <n v="0"/>
    <n v="27.565235744680852"/>
    <n v="0"/>
    <n v="30.643198197181313"/>
    <x v="1"/>
  </r>
  <r>
    <s v="Regular"/>
    <x v="3"/>
    <x v="4"/>
    <x v="1"/>
    <x v="0"/>
    <x v="1"/>
    <x v="0"/>
    <x v="2"/>
    <x v="3"/>
    <n v="0"/>
    <n v="0"/>
    <n v="0.36699999999999999"/>
    <n v="0.36699999999999999"/>
    <n v="0.36699999999999999"/>
    <n v="0.36699999999999999"/>
    <n v="0"/>
    <s v="CATIVO"/>
    <n v="0"/>
    <n v="0"/>
    <n v="21"/>
    <n v="82"/>
    <n v="0"/>
    <n v="823.61"/>
    <n v="349.91"/>
    <m/>
    <n v="973.98514137315783"/>
    <n v="330.57130361553931"/>
    <n v="0"/>
    <n v="27.490330212765954"/>
    <n v="0"/>
    <n v="30.559928636862885"/>
    <x v="1"/>
  </r>
  <r>
    <s v="Regular"/>
    <x v="3"/>
    <x v="4"/>
    <x v="1"/>
    <x v="0"/>
    <x v="1"/>
    <x v="0"/>
    <x v="2"/>
    <x v="4"/>
    <n v="0"/>
    <n v="0"/>
    <n v="0.379"/>
    <n v="0.379"/>
    <n v="0.379"/>
    <n v="0.379"/>
    <n v="0"/>
    <s v="CATIVO"/>
    <n v="0"/>
    <n v="0"/>
    <n v="21"/>
    <n v="82"/>
    <n v="0"/>
    <n v="823.61"/>
    <n v="349.91"/>
    <m/>
    <n v="973.98514137315783"/>
    <n v="330.57130361553931"/>
    <n v="0"/>
    <n v="28.389196595744682"/>
    <n v="0"/>
    <n v="31.559163360684014"/>
    <x v="1"/>
  </r>
  <r>
    <s v="Regular"/>
    <x v="3"/>
    <x v="4"/>
    <x v="1"/>
    <x v="0"/>
    <x v="1"/>
    <x v="0"/>
    <x v="2"/>
    <x v="5"/>
    <n v="0"/>
    <n v="0"/>
    <n v="0.53300000000000003"/>
    <n v="0.53300000000000003"/>
    <n v="0.53300000000000003"/>
    <n v="0.53300000000000003"/>
    <n v="0"/>
    <s v="CATIVO"/>
    <n v="0"/>
    <n v="0"/>
    <n v="21"/>
    <n v="82"/>
    <n v="0"/>
    <n v="823.61"/>
    <n v="349.91"/>
    <m/>
    <n v="973.98514137315783"/>
    <n v="330.57130361553931"/>
    <n v="0"/>
    <n v="39.924648510638299"/>
    <n v="0"/>
    <n v="44.382675649721854"/>
    <x v="1"/>
  </r>
  <r>
    <s v="Regular"/>
    <x v="3"/>
    <x v="4"/>
    <x v="1"/>
    <x v="0"/>
    <x v="1"/>
    <x v="0"/>
    <x v="2"/>
    <x v="6"/>
    <n v="0"/>
    <n v="0"/>
    <n v="0.312"/>
    <n v="0.312"/>
    <n v="0.312"/>
    <n v="0.312"/>
    <n v="0"/>
    <s v="CATIVO"/>
    <n v="0"/>
    <n v="0"/>
    <n v="21"/>
    <n v="82"/>
    <n v="0"/>
    <n v="823.61"/>
    <n v="349.91"/>
    <m/>
    <n v="973.98514137315783"/>
    <n v="330.57130361553931"/>
    <n v="0"/>
    <n v="23.370525957446809"/>
    <n v="0"/>
    <n v="25.980102819349373"/>
    <x v="1"/>
  </r>
  <r>
    <s v="Regular"/>
    <x v="3"/>
    <x v="4"/>
    <x v="1"/>
    <x v="0"/>
    <x v="1"/>
    <x v="0"/>
    <x v="2"/>
    <x v="7"/>
    <n v="0"/>
    <n v="0"/>
    <n v="0.23499999999999999"/>
    <n v="0.23499999999999999"/>
    <n v="0.23499999999999999"/>
    <n v="0.23499999999999999"/>
    <n v="0"/>
    <s v="CATIVO"/>
    <n v="0"/>
    <n v="0"/>
    <n v="21"/>
    <n v="82"/>
    <n v="0"/>
    <n v="823.61"/>
    <n v="349.91"/>
    <m/>
    <n v="973.98514137315783"/>
    <n v="330.57130361553931"/>
    <n v="0"/>
    <n v="17.602799999999998"/>
    <n v="0"/>
    <n v="19.568346674830458"/>
    <x v="1"/>
  </r>
  <r>
    <s v="Regular"/>
    <x v="3"/>
    <x v="4"/>
    <x v="1"/>
    <x v="0"/>
    <x v="1"/>
    <x v="0"/>
    <x v="2"/>
    <x v="8"/>
    <n v="0"/>
    <n v="0"/>
    <n v="0.216"/>
    <n v="0.216"/>
    <n v="0.216"/>
    <n v="0.216"/>
    <n v="0"/>
    <s v="CATIVO"/>
    <n v="0"/>
    <n v="0"/>
    <n v="21"/>
    <n v="82"/>
    <n v="0"/>
    <n v="823.61"/>
    <n v="349.91"/>
    <m/>
    <n v="973.98514137315783"/>
    <n v="330.57130361553931"/>
    <n v="0"/>
    <n v="16.179594893617022"/>
    <n v="0"/>
    <n v="17.986225028780332"/>
    <x v="1"/>
  </r>
  <r>
    <s v="Regular"/>
    <x v="3"/>
    <x v="4"/>
    <x v="1"/>
    <x v="0"/>
    <x v="1"/>
    <x v="0"/>
    <x v="2"/>
    <x v="9"/>
    <n v="0"/>
    <n v="0"/>
    <n v="0.23499999999999999"/>
    <n v="0.23499999999999999"/>
    <n v="0.23499999999999999"/>
    <n v="0.23499999999999999"/>
    <n v="0"/>
    <s v="CATIVO"/>
    <n v="0"/>
    <n v="0"/>
    <n v="21"/>
    <n v="82"/>
    <n v="0"/>
    <n v="823.61"/>
    <n v="349.91"/>
    <m/>
    <n v="973.98514137315783"/>
    <n v="330.57130361553931"/>
    <n v="0"/>
    <n v="17.602799999999998"/>
    <n v="0"/>
    <n v="19.568346674830458"/>
    <x v="1"/>
  </r>
  <r>
    <s v="Regular"/>
    <x v="3"/>
    <x v="4"/>
    <x v="1"/>
    <x v="0"/>
    <x v="1"/>
    <x v="0"/>
    <x v="2"/>
    <x v="10"/>
    <n v="0"/>
    <n v="0"/>
    <n v="0.218"/>
    <n v="0.218"/>
    <n v="0.218"/>
    <n v="0.218"/>
    <n v="0"/>
    <s v="CATIVO"/>
    <n v="0"/>
    <n v="0"/>
    <n v="21"/>
    <n v="82"/>
    <n v="0"/>
    <n v="823.61"/>
    <n v="349.91"/>
    <m/>
    <n v="973.98514137315783"/>
    <n v="330.57130361553931"/>
    <n v="0"/>
    <n v="16.329405957446809"/>
    <n v="0"/>
    <n v="18.152764149417195"/>
    <x v="1"/>
  </r>
  <r>
    <s v="PROJETADO"/>
    <x v="3"/>
    <x v="4"/>
    <x v="1"/>
    <x v="0"/>
    <x v="1"/>
    <x v="0"/>
    <x v="2"/>
    <x v="11"/>
    <n v="0"/>
    <n v="0"/>
    <n v="0.218"/>
    <n v="0.218"/>
    <n v="0.218"/>
    <n v="0.218"/>
    <n v="0"/>
    <s v="CATIVO"/>
    <n v="0"/>
    <n v="0"/>
    <n v="21"/>
    <n v="82"/>
    <n v="0"/>
    <n v="823.61"/>
    <n v="349.91"/>
    <m/>
    <n v="973.98514137315783"/>
    <n v="330.57130361553931"/>
    <n v="0"/>
    <n v="16.329405957446809"/>
    <n v="0"/>
    <n v="18.152764149417195"/>
    <x v="1"/>
  </r>
  <r>
    <s v="Regular"/>
    <x v="3"/>
    <x v="3"/>
    <x v="1"/>
    <x v="2"/>
    <x v="3"/>
    <x v="0"/>
    <x v="1"/>
    <x v="0"/>
    <n v="0"/>
    <n v="0"/>
    <n v="2523.9659999999999"/>
    <n v="2523.9659999999999"/>
    <n v="2523.9659999999999"/>
    <n v="2523.9659999999999"/>
    <n v="0"/>
    <s v="CATIVO"/>
    <n v="0"/>
    <n v="0"/>
    <n v="27"/>
    <n v="85"/>
    <n v="0"/>
    <n v="300.26"/>
    <n v="225.04"/>
    <m/>
    <n v="357.88800100545785"/>
    <n v="221.02439731406525"/>
    <n v="0"/>
    <n v="180766.44491999992"/>
    <n v="0"/>
    <n v="93265.226191719252"/>
    <x v="1"/>
  </r>
  <r>
    <s v="Refaturamento - Regular"/>
    <x v="3"/>
    <x v="3"/>
    <x v="1"/>
    <x v="2"/>
    <x v="3"/>
    <x v="0"/>
    <x v="1"/>
    <x v="0"/>
    <n v="0"/>
    <n v="0"/>
    <n v="-22.556999999999999"/>
    <n v="-22.556999999999999"/>
    <n v="-22.556999999999999"/>
    <n v="-22.556999999999999"/>
    <n v="0"/>
    <s v="CATIVO"/>
    <n v="0"/>
    <n v="0"/>
    <n v="27"/>
    <n v="85"/>
    <n v="0"/>
    <n v="300.26"/>
    <n v="225.04"/>
    <m/>
    <n v="357.88800100545785"/>
    <n v="221.02439731406525"/>
    <n v="0"/>
    <n v="-1615.5323399999993"/>
    <n v="0"/>
    <n v="-833.52299801447839"/>
    <x v="1"/>
  </r>
  <r>
    <s v="Sistema de Compensação"/>
    <x v="3"/>
    <x v="3"/>
    <x v="1"/>
    <x v="2"/>
    <x v="3"/>
    <x v="0"/>
    <x v="1"/>
    <x v="0"/>
    <n v="0"/>
    <n v="0"/>
    <n v="75.521000000000001"/>
    <n v="75.521000000000001"/>
    <n v="75.521000000000001"/>
    <n v="75.521000000000001"/>
    <n v="0"/>
    <s v="CATIVO"/>
    <n v="0"/>
    <n v="0"/>
    <n v="27"/>
    <n v="85"/>
    <n v="0"/>
    <n v="300.26"/>
    <n v="225.04"/>
    <m/>
    <n v="357.88800100545785"/>
    <n v="221.02439731406525"/>
    <n v="0"/>
    <n v="5408.814019999998"/>
    <n v="0"/>
    <n v="2790.641057456729"/>
    <x v="1"/>
  </r>
  <r>
    <s v="Regular"/>
    <x v="3"/>
    <x v="3"/>
    <x v="1"/>
    <x v="2"/>
    <x v="3"/>
    <x v="0"/>
    <x v="1"/>
    <x v="1"/>
    <n v="0"/>
    <n v="0"/>
    <n v="2721.3130000000001"/>
    <n v="2721.3130000000001"/>
    <n v="2721.3130000000001"/>
    <n v="2721.3130000000001"/>
    <n v="0"/>
    <s v="CATIVO"/>
    <n v="0"/>
    <n v="0"/>
    <n v="27"/>
    <n v="85"/>
    <n v="0"/>
    <n v="300.26"/>
    <n v="225.04"/>
    <m/>
    <n v="357.88800100545785"/>
    <n v="221.02439731406525"/>
    <n v="0"/>
    <n v="194900.43705999994"/>
    <n v="0"/>
    <n v="100557.56396221902"/>
    <x v="1"/>
  </r>
  <r>
    <s v="Refaturamento - Regular"/>
    <x v="3"/>
    <x v="3"/>
    <x v="1"/>
    <x v="2"/>
    <x v="3"/>
    <x v="0"/>
    <x v="1"/>
    <x v="1"/>
    <n v="0"/>
    <n v="0"/>
    <n v="-69.834999999999994"/>
    <n v="-69.834999999999994"/>
    <n v="-69.834999999999994"/>
    <n v="-69.834999999999994"/>
    <n v="0"/>
    <s v="CATIVO"/>
    <n v="0"/>
    <n v="0"/>
    <n v="27"/>
    <n v="85"/>
    <n v="0"/>
    <n v="300.26"/>
    <n v="225.04"/>
    <m/>
    <n v="357.88800100545785"/>
    <n v="221.02439731406525"/>
    <n v="0"/>
    <n v="-5001.5826999999981"/>
    <n v="0"/>
    <n v="-2580.5328087219532"/>
    <x v="1"/>
  </r>
  <r>
    <s v="Sistema de Compensação"/>
    <x v="3"/>
    <x v="3"/>
    <x v="1"/>
    <x v="2"/>
    <x v="3"/>
    <x v="0"/>
    <x v="1"/>
    <x v="1"/>
    <n v="0"/>
    <n v="0"/>
    <n v="57.8"/>
    <n v="57.8"/>
    <n v="57.8"/>
    <n v="57.8"/>
    <n v="0"/>
    <s v="CATIVO"/>
    <n v="0"/>
    <n v="0"/>
    <n v="27"/>
    <n v="85"/>
    <n v="0"/>
    <n v="300.26"/>
    <n v="225.04"/>
    <m/>
    <n v="357.88800100545785"/>
    <n v="221.02439731406525"/>
    <n v="0"/>
    <n v="4139.6359999999986"/>
    <n v="0"/>
    <n v="2135.8172312469237"/>
    <x v="1"/>
  </r>
  <r>
    <s v="Regular"/>
    <x v="3"/>
    <x v="3"/>
    <x v="1"/>
    <x v="2"/>
    <x v="3"/>
    <x v="0"/>
    <x v="1"/>
    <x v="2"/>
    <n v="0"/>
    <n v="0"/>
    <n v="3010.81"/>
    <n v="3010.81"/>
    <n v="3010.81"/>
    <n v="3010.81"/>
    <n v="0"/>
    <s v="CATIVO"/>
    <n v="0"/>
    <n v="0"/>
    <n v="27"/>
    <n v="85"/>
    <n v="0"/>
    <n v="300.26"/>
    <n v="225.04"/>
    <m/>
    <n v="357.88800100545785"/>
    <n v="221.02439731406525"/>
    <n v="0"/>
    <n v="215634.21219999992"/>
    <n v="0"/>
    <n v="111255.01519049394"/>
    <x v="1"/>
  </r>
  <r>
    <s v="Refaturamento - Regular"/>
    <x v="3"/>
    <x v="3"/>
    <x v="1"/>
    <x v="2"/>
    <x v="3"/>
    <x v="0"/>
    <x v="1"/>
    <x v="2"/>
    <n v="0"/>
    <n v="0"/>
    <n v="-160.626"/>
    <n v="-160.626"/>
    <n v="-160.626"/>
    <n v="-160.626"/>
    <n v="0"/>
    <s v="CATIVO"/>
    <n v="0"/>
    <n v="0"/>
    <n v="27"/>
    <n v="85"/>
    <n v="0"/>
    <n v="300.26"/>
    <n v="225.04"/>
    <m/>
    <n v="357.88800100545785"/>
    <n v="221.02439731406525"/>
    <n v="0"/>
    <n v="-11504.034119999997"/>
    <n v="0"/>
    <n v="-5935.4286952641587"/>
    <x v="1"/>
  </r>
  <r>
    <s v="Sistema de Compensação"/>
    <x v="3"/>
    <x v="3"/>
    <x v="1"/>
    <x v="2"/>
    <x v="3"/>
    <x v="0"/>
    <x v="1"/>
    <x v="2"/>
    <n v="0"/>
    <n v="0"/>
    <n v="80.421999999999997"/>
    <n v="80.421999999999997"/>
    <n v="80.421999999999997"/>
    <n v="80.421999999999997"/>
    <n v="0"/>
    <s v="CATIVO"/>
    <n v="0"/>
    <n v="0"/>
    <n v="27"/>
    <n v="85"/>
    <n v="0"/>
    <n v="300.26"/>
    <n v="225.04"/>
    <m/>
    <n v="357.88800100545785"/>
    <n v="221.02439731406525"/>
    <n v="0"/>
    <n v="5759.8236399999978"/>
    <n v="0"/>
    <n v="2971.7420998501743"/>
    <x v="1"/>
  </r>
  <r>
    <s v="Regular"/>
    <x v="3"/>
    <x v="3"/>
    <x v="1"/>
    <x v="2"/>
    <x v="3"/>
    <x v="0"/>
    <x v="1"/>
    <x v="3"/>
    <n v="0"/>
    <n v="0"/>
    <n v="3123.9059999999999"/>
    <n v="3123.9059999999999"/>
    <n v="3123.9059999999999"/>
    <n v="3123.9059999999999"/>
    <n v="0"/>
    <s v="CATIVO"/>
    <n v="0"/>
    <n v="0"/>
    <n v="27"/>
    <n v="85"/>
    <n v="0"/>
    <n v="300.26"/>
    <n v="225.04"/>
    <m/>
    <n v="357.88800100545785"/>
    <n v="221.02439731406525"/>
    <n v="0"/>
    <n v="223734.14771999992"/>
    <n v="0"/>
    <n v="115434.12220753724"/>
    <x v="1"/>
  </r>
  <r>
    <s v="Refaturamento - Regular"/>
    <x v="3"/>
    <x v="3"/>
    <x v="1"/>
    <x v="2"/>
    <x v="3"/>
    <x v="0"/>
    <x v="1"/>
    <x v="3"/>
    <n v="0"/>
    <n v="0"/>
    <n v="-52.665999999999997"/>
    <n v="-52.665999999999997"/>
    <n v="-52.665999999999997"/>
    <n v="-52.665999999999997"/>
    <n v="0"/>
    <s v="CATIVO"/>
    <n v="0"/>
    <n v="0"/>
    <n v="27"/>
    <n v="85"/>
    <n v="0"/>
    <n v="300.26"/>
    <n v="225.04"/>
    <m/>
    <n v="357.88800100545785"/>
    <n v="221.02439731406525"/>
    <n v="0"/>
    <n v="-3771.9389199999987"/>
    <n v="0"/>
    <n v="-1946.1064065891085"/>
    <x v="1"/>
  </r>
  <r>
    <s v="Sistema de Compensação"/>
    <x v="3"/>
    <x v="3"/>
    <x v="1"/>
    <x v="2"/>
    <x v="3"/>
    <x v="0"/>
    <x v="1"/>
    <x v="3"/>
    <n v="0"/>
    <n v="0"/>
    <n v="112.06699999999999"/>
    <n v="112.06699999999999"/>
    <n v="112.06699999999999"/>
    <n v="112.06699999999999"/>
    <n v="0"/>
    <s v="CATIVO"/>
    <n v="0"/>
    <n v="0"/>
    <n v="27"/>
    <n v="85"/>
    <n v="0"/>
    <n v="300.26"/>
    <n v="225.04"/>
    <m/>
    <n v="357.88800100545785"/>
    <n v="221.02439731406525"/>
    <n v="0"/>
    <n v="8026.2385399999966"/>
    <n v="0"/>
    <n v="4141.0835580302592"/>
    <x v="1"/>
  </r>
  <r>
    <s v="Regular"/>
    <x v="3"/>
    <x v="3"/>
    <x v="1"/>
    <x v="2"/>
    <x v="3"/>
    <x v="0"/>
    <x v="1"/>
    <x v="4"/>
    <n v="0"/>
    <n v="0"/>
    <n v="3471.3240000000001"/>
    <n v="3471.3240000000001"/>
    <n v="3471.3240000000001"/>
    <n v="3471.3240000000001"/>
    <n v="0"/>
    <s v="CATIVO"/>
    <n v="0"/>
    <n v="0"/>
    <n v="27"/>
    <n v="85"/>
    <n v="0"/>
    <n v="300.26"/>
    <n v="225.04"/>
    <m/>
    <n v="357.88800100545785"/>
    <n v="221.02439731406525"/>
    <n v="0"/>
    <n v="248616.22487999994"/>
    <n v="0"/>
    <n v="128271.86184153972"/>
    <x v="1"/>
  </r>
  <r>
    <s v="Refaturamento - Regular"/>
    <x v="3"/>
    <x v="3"/>
    <x v="1"/>
    <x v="2"/>
    <x v="3"/>
    <x v="0"/>
    <x v="1"/>
    <x v="4"/>
    <n v="0"/>
    <n v="0"/>
    <n v="-107.721"/>
    <n v="-107.721"/>
    <n v="-107.721"/>
    <n v="-107.721"/>
    <n v="0"/>
    <s v="CATIVO"/>
    <n v="0"/>
    <n v="0"/>
    <n v="27"/>
    <n v="85"/>
    <n v="0"/>
    <n v="300.26"/>
    <n v="225.04"/>
    <m/>
    <n v="357.88800100545785"/>
    <n v="221.02439731406525"/>
    <n v="0"/>
    <n v="-7714.9780199999977"/>
    <n v="0"/>
    <n v="-3980.4907952794097"/>
    <x v="1"/>
  </r>
  <r>
    <s v="Sistema de Compensação"/>
    <x v="3"/>
    <x v="3"/>
    <x v="1"/>
    <x v="2"/>
    <x v="3"/>
    <x v="0"/>
    <x v="1"/>
    <x v="4"/>
    <n v="0"/>
    <n v="0"/>
    <n v="123.726"/>
    <n v="123.726"/>
    <n v="123.726"/>
    <n v="123.726"/>
    <n v="0"/>
    <s v="CATIVO"/>
    <n v="0"/>
    <n v="0"/>
    <n v="27"/>
    <n v="85"/>
    <n v="0"/>
    <n v="300.26"/>
    <n v="225.04"/>
    <m/>
    <n v="357.88800100545785"/>
    <n v="221.02439731406525"/>
    <n v="0"/>
    <n v="8861.2561199999964"/>
    <n v="0"/>
    <n v="4571.9052379456207"/>
    <x v="1"/>
  </r>
  <r>
    <s v="Regular"/>
    <x v="3"/>
    <x v="3"/>
    <x v="1"/>
    <x v="2"/>
    <x v="3"/>
    <x v="0"/>
    <x v="1"/>
    <x v="5"/>
    <n v="0"/>
    <n v="0"/>
    <n v="2284.2489999999998"/>
    <n v="2284.2489999999998"/>
    <n v="2284.2489999999998"/>
    <n v="2284.2489999999998"/>
    <n v="0"/>
    <s v="CATIVO"/>
    <n v="0"/>
    <n v="0"/>
    <n v="27"/>
    <n v="85"/>
    <n v="0"/>
    <n v="300.26"/>
    <n v="225.04"/>
    <m/>
    <n v="357.88800100545785"/>
    <n v="221.02439731406525"/>
    <n v="0"/>
    <n v="163597.91337999993"/>
    <n v="0"/>
    <n v="84407.238315891926"/>
    <x v="1"/>
  </r>
  <r>
    <s v="Refaturamento - Regular"/>
    <x v="3"/>
    <x v="3"/>
    <x v="1"/>
    <x v="2"/>
    <x v="3"/>
    <x v="0"/>
    <x v="1"/>
    <x v="5"/>
    <n v="0"/>
    <n v="0"/>
    <n v="-27.282"/>
    <n v="-27.282"/>
    <n v="-27.282"/>
    <n v="-27.282"/>
    <n v="0"/>
    <s v="CATIVO"/>
    <n v="0"/>
    <n v="0"/>
    <n v="27"/>
    <n v="85"/>
    <n v="0"/>
    <n v="300.26"/>
    <n v="225.04"/>
    <m/>
    <n v="357.88800100545785"/>
    <n v="221.02439731406525"/>
    <n v="0"/>
    <n v="-1953.9368399999994"/>
    <n v="0"/>
    <n v="-1008.1205138906328"/>
    <x v="1"/>
  </r>
  <r>
    <s v="Sistema de Compensação"/>
    <x v="3"/>
    <x v="3"/>
    <x v="1"/>
    <x v="2"/>
    <x v="3"/>
    <x v="0"/>
    <x v="1"/>
    <x v="5"/>
    <n v="0"/>
    <n v="0"/>
    <n v="81.566000000000003"/>
    <n v="81.566000000000003"/>
    <n v="81.566000000000003"/>
    <n v="81.566000000000003"/>
    <n v="0"/>
    <s v="CATIVO"/>
    <n v="0"/>
    <n v="0"/>
    <n v="27"/>
    <n v="85"/>
    <n v="0"/>
    <n v="300.26"/>
    <n v="225.04"/>
    <m/>
    <n v="357.88800100545785"/>
    <n v="221.02439731406525"/>
    <n v="0"/>
    <n v="5841.756919999998"/>
    <n v="0"/>
    <n v="3014.0150222125708"/>
    <x v="1"/>
  </r>
  <r>
    <s v="Regular"/>
    <x v="3"/>
    <x v="3"/>
    <x v="1"/>
    <x v="2"/>
    <x v="3"/>
    <x v="0"/>
    <x v="1"/>
    <x v="6"/>
    <n v="0"/>
    <n v="0"/>
    <n v="1871.96"/>
    <n v="1871.96"/>
    <n v="1871.96"/>
    <n v="1871.96"/>
    <n v="0"/>
    <s v="CATIVO"/>
    <n v="0"/>
    <n v="0"/>
    <n v="27"/>
    <n v="85"/>
    <n v="0"/>
    <n v="300.26"/>
    <n v="225.04"/>
    <m/>
    <n v="357.88800100545785"/>
    <n v="221.02439731406525"/>
    <n v="0"/>
    <n v="134069.77519999995"/>
    <n v="0"/>
    <n v="69172.394882439301"/>
    <x v="1"/>
  </r>
  <r>
    <s v="Refaturamento - Regular"/>
    <x v="3"/>
    <x v="3"/>
    <x v="1"/>
    <x v="2"/>
    <x v="3"/>
    <x v="0"/>
    <x v="1"/>
    <x v="6"/>
    <n v="0"/>
    <n v="0"/>
    <n v="-107.125"/>
    <n v="-107.125"/>
    <n v="-107.125"/>
    <n v="-107.125"/>
    <n v="0"/>
    <s v="CATIVO"/>
    <n v="0"/>
    <n v="0"/>
    <n v="27"/>
    <n v="85"/>
    <n v="0"/>
    <n v="300.26"/>
    <n v="225.04"/>
    <m/>
    <n v="357.88800100545785"/>
    <n v="221.02439731406525"/>
    <n v="0"/>
    <n v="-7672.2924999999977"/>
    <n v="0"/>
    <n v="-3958.4674895731264"/>
    <x v="1"/>
  </r>
  <r>
    <s v="Sistema de Compensação"/>
    <x v="3"/>
    <x v="3"/>
    <x v="1"/>
    <x v="2"/>
    <x v="3"/>
    <x v="0"/>
    <x v="1"/>
    <x v="6"/>
    <n v="0"/>
    <n v="0"/>
    <n v="61.600999999999999"/>
    <n v="61.600999999999999"/>
    <n v="61.600999999999999"/>
    <n v="61.600999999999999"/>
    <n v="0"/>
    <s v="CATIVO"/>
    <n v="0"/>
    <n v="0"/>
    <n v="27"/>
    <n v="85"/>
    <n v="0"/>
    <n v="300.26"/>
    <n v="225.04"/>
    <m/>
    <n v="357.88800100545785"/>
    <n v="221.02439731406525"/>
    <n v="0"/>
    <n v="4411.8636199999983"/>
    <n v="0"/>
    <n v="2276.2712329072965"/>
    <x v="1"/>
  </r>
  <r>
    <s v="Sistema de Compensação"/>
    <x v="3"/>
    <x v="3"/>
    <x v="1"/>
    <x v="2"/>
    <x v="3"/>
    <x v="0"/>
    <x v="1"/>
    <x v="6"/>
    <n v="0"/>
    <n v="0"/>
    <n v="0.12"/>
    <n v="0.12"/>
    <n v="0.12"/>
    <n v="0.12"/>
    <n v="0"/>
    <s v="CATIVO"/>
    <n v="0"/>
    <n v="0"/>
    <n v="27"/>
    <n v="85"/>
    <n v="0"/>
    <n v="300.26"/>
    <n v="225.04"/>
    <m/>
    <n v="357.88800100545785"/>
    <n v="221.02439731406525"/>
    <n v="0"/>
    <n v="8.5943999999999967"/>
    <n v="0"/>
    <n v="4.4342226254261385"/>
    <x v="1"/>
  </r>
  <r>
    <s v="Regular"/>
    <x v="3"/>
    <x v="3"/>
    <x v="1"/>
    <x v="2"/>
    <x v="3"/>
    <x v="0"/>
    <x v="1"/>
    <x v="7"/>
    <n v="0"/>
    <n v="0"/>
    <n v="2023.2439999999999"/>
    <n v="2023.2439999999999"/>
    <n v="2023.2439999999999"/>
    <n v="2023.2439999999999"/>
    <n v="0"/>
    <s v="CATIVO"/>
    <n v="0"/>
    <n v="0"/>
    <n v="27"/>
    <n v="85"/>
    <n v="0"/>
    <n v="300.26"/>
    <n v="225.04"/>
    <m/>
    <n v="357.88800100545785"/>
    <n v="221.02439731406525"/>
    <n v="0"/>
    <n v="144904.73527999994"/>
    <n v="0"/>
    <n v="74762.619346314023"/>
    <x v="1"/>
  </r>
  <r>
    <s v="Refaturamento - Regular"/>
    <x v="3"/>
    <x v="3"/>
    <x v="1"/>
    <x v="2"/>
    <x v="3"/>
    <x v="0"/>
    <x v="1"/>
    <x v="7"/>
    <n v="0"/>
    <n v="0"/>
    <n v="-116.762"/>
    <n v="-116.762"/>
    <n v="-116.762"/>
    <n v="-116.762"/>
    <n v="0"/>
    <s v="CATIVO"/>
    <n v="0"/>
    <n v="0"/>
    <n v="27"/>
    <n v="85"/>
    <n v="0"/>
    <n v="300.26"/>
    <n v="225.04"/>
    <m/>
    <n v="357.88800100545785"/>
    <n v="221.02439731406525"/>
    <n v="0"/>
    <n v="-8362.4944399999968"/>
    <n v="0"/>
    <n v="-4314.5725182500573"/>
    <x v="1"/>
  </r>
  <r>
    <s v="Sistema de Compensação"/>
    <x v="3"/>
    <x v="3"/>
    <x v="1"/>
    <x v="2"/>
    <x v="3"/>
    <x v="0"/>
    <x v="1"/>
    <x v="7"/>
    <n v="0"/>
    <n v="0"/>
    <n v="100.78100000000001"/>
    <n v="100.78100000000001"/>
    <n v="100.78100000000001"/>
    <n v="100.78100000000001"/>
    <n v="0"/>
    <s v="CATIVO"/>
    <n v="0"/>
    <n v="0"/>
    <n v="27"/>
    <n v="85"/>
    <n v="0"/>
    <n v="300.26"/>
    <n v="225.04"/>
    <m/>
    <n v="357.88800100545785"/>
    <n v="221.02439731406525"/>
    <n v="0"/>
    <n v="7217.9352199999976"/>
    <n v="0"/>
    <n v="3724.0449201089314"/>
    <x v="1"/>
  </r>
  <r>
    <s v="Regular"/>
    <x v="3"/>
    <x v="3"/>
    <x v="1"/>
    <x v="2"/>
    <x v="3"/>
    <x v="0"/>
    <x v="1"/>
    <x v="8"/>
    <n v="0"/>
    <n v="0"/>
    <n v="2050.3809999999999"/>
    <n v="2050.3809999999999"/>
    <n v="2050.3809999999999"/>
    <n v="2050.3809999999999"/>
    <n v="0"/>
    <s v="CATIVO"/>
    <n v="0"/>
    <n v="0"/>
    <n v="27"/>
    <n v="85"/>
    <n v="0"/>
    <n v="300.26"/>
    <n v="225.04"/>
    <m/>
    <n v="357.88800100545785"/>
    <n v="221.02439731406525"/>
    <n v="0"/>
    <n v="146848.28721999994"/>
    <n v="0"/>
    <n v="75765.381841198934"/>
    <x v="1"/>
  </r>
  <r>
    <s v="Refaturamento - Regular"/>
    <x v="3"/>
    <x v="3"/>
    <x v="1"/>
    <x v="2"/>
    <x v="3"/>
    <x v="0"/>
    <x v="1"/>
    <x v="8"/>
    <n v="0"/>
    <n v="0"/>
    <n v="-55.38"/>
    <n v="-55.38"/>
    <n v="-55.38"/>
    <n v="-55.38"/>
    <n v="0"/>
    <s v="CATIVO"/>
    <n v="0"/>
    <n v="0"/>
    <n v="27"/>
    <n v="85"/>
    <n v="0"/>
    <n v="300.26"/>
    <n v="225.04"/>
    <m/>
    <n v="357.88800100545785"/>
    <n v="221.02439731406525"/>
    <n v="0"/>
    <n v="-3966.315599999999"/>
    <n v="0"/>
    <n v="-2046.3937416341632"/>
    <x v="1"/>
  </r>
  <r>
    <s v="Sistema de Compensação"/>
    <x v="3"/>
    <x v="3"/>
    <x v="1"/>
    <x v="2"/>
    <x v="3"/>
    <x v="0"/>
    <x v="1"/>
    <x v="8"/>
    <n v="0"/>
    <n v="0"/>
    <n v="61.347000000000001"/>
    <n v="61.347000000000001"/>
    <n v="61.347000000000001"/>
    <n v="61.347000000000001"/>
    <n v="0"/>
    <s v="CATIVO"/>
    <n v="0"/>
    <n v="0"/>
    <n v="27"/>
    <n v="85"/>
    <n v="0"/>
    <n v="300.26"/>
    <n v="225.04"/>
    <m/>
    <n v="357.88800100545785"/>
    <n v="221.02439731406525"/>
    <n v="0"/>
    <n v="4393.6721399999988"/>
    <n v="0"/>
    <n v="2266.8854616834778"/>
    <x v="1"/>
  </r>
  <r>
    <s v="Regular"/>
    <x v="3"/>
    <x v="3"/>
    <x v="1"/>
    <x v="2"/>
    <x v="3"/>
    <x v="0"/>
    <x v="1"/>
    <x v="9"/>
    <n v="0"/>
    <n v="0"/>
    <n v="1859.2439999999999"/>
    <n v="1859.2439999999999"/>
    <n v="1859.2439999999999"/>
    <n v="1859.2439999999999"/>
    <n v="0"/>
    <s v="CATIVO"/>
    <n v="0"/>
    <n v="0"/>
    <n v="27"/>
    <n v="85"/>
    <n v="0"/>
    <n v="300.26"/>
    <n v="225.04"/>
    <m/>
    <n v="357.88800100545785"/>
    <n v="221.02439731406525"/>
    <n v="0"/>
    <n v="133159.05527999994"/>
    <n v="0"/>
    <n v="68702.515091564972"/>
    <x v="1"/>
  </r>
  <r>
    <s v="Refaturamento - Regular"/>
    <x v="3"/>
    <x v="3"/>
    <x v="1"/>
    <x v="2"/>
    <x v="3"/>
    <x v="0"/>
    <x v="1"/>
    <x v="9"/>
    <n v="0"/>
    <n v="0"/>
    <n v="-54.777999999999999"/>
    <n v="-54.777999999999999"/>
    <n v="-54.777999999999999"/>
    <n v="-54.777999999999999"/>
    <n v="0"/>
    <s v="CATIVO"/>
    <n v="0"/>
    <n v="0"/>
    <n v="27"/>
    <n v="85"/>
    <n v="0"/>
    <n v="300.26"/>
    <n v="225.04"/>
    <m/>
    <n v="357.88800100545785"/>
    <n v="221.02439731406525"/>
    <n v="0"/>
    <n v="-3923.2003599999985"/>
    <n v="0"/>
    <n v="-2024.1487247966086"/>
    <x v="1"/>
  </r>
  <r>
    <s v="Sistema de Compensação"/>
    <x v="3"/>
    <x v="3"/>
    <x v="1"/>
    <x v="2"/>
    <x v="3"/>
    <x v="0"/>
    <x v="1"/>
    <x v="9"/>
    <n v="0"/>
    <n v="0"/>
    <n v="45.665999999999997"/>
    <n v="45.665999999999997"/>
    <n v="45.665999999999997"/>
    <n v="45.665999999999997"/>
    <n v="0"/>
    <s v="CATIVO"/>
    <n v="0"/>
    <n v="0"/>
    <n v="27"/>
    <n v="85"/>
    <n v="0"/>
    <n v="300.26"/>
    <n v="225.04"/>
    <m/>
    <n v="357.88800100545785"/>
    <n v="221.02439731406525"/>
    <n v="0"/>
    <n v="3270.5989199999985"/>
    <n v="0"/>
    <n v="1687.4434201059171"/>
    <x v="1"/>
  </r>
  <r>
    <s v="Sistema de Compensação"/>
    <x v="3"/>
    <x v="3"/>
    <x v="1"/>
    <x v="2"/>
    <x v="3"/>
    <x v="0"/>
    <x v="1"/>
    <x v="9"/>
    <n v="0"/>
    <n v="0"/>
    <n v="0.1"/>
    <n v="0.1"/>
    <n v="0.1"/>
    <n v="0.1"/>
    <n v="0"/>
    <s v="CATIVO"/>
    <n v="0"/>
    <n v="0"/>
    <n v="27"/>
    <n v="85"/>
    <n v="0"/>
    <n v="300.26"/>
    <n v="225.04"/>
    <m/>
    <n v="357.88800100545785"/>
    <n v="221.02439731406525"/>
    <n v="0"/>
    <n v="7.1619999999999981"/>
    <n v="0"/>
    <n v="3.6951855211884492"/>
    <x v="1"/>
  </r>
  <r>
    <s v="Regular"/>
    <x v="3"/>
    <x v="3"/>
    <x v="1"/>
    <x v="2"/>
    <x v="3"/>
    <x v="0"/>
    <x v="1"/>
    <x v="10"/>
    <n v="0"/>
    <n v="0"/>
    <n v="1813.252"/>
    <n v="1813.252"/>
    <n v="1813.252"/>
    <n v="1813.252"/>
    <n v="0"/>
    <s v="CATIVO"/>
    <n v="0"/>
    <n v="0"/>
    <n v="27"/>
    <n v="85"/>
    <n v="0"/>
    <n v="300.26"/>
    <n v="225.04"/>
    <m/>
    <n v="357.88800100545785"/>
    <n v="221.02439731406525"/>
    <n v="0"/>
    <n v="129865.10823999996"/>
    <n v="0"/>
    <n v="67003.025366659975"/>
    <x v="1"/>
  </r>
  <r>
    <s v="Refaturamento - Regular"/>
    <x v="3"/>
    <x v="3"/>
    <x v="1"/>
    <x v="2"/>
    <x v="3"/>
    <x v="0"/>
    <x v="1"/>
    <x v="10"/>
    <n v="0"/>
    <n v="0"/>
    <n v="-47.026000000000003"/>
    <n v="-47.026000000000003"/>
    <n v="-47.026000000000003"/>
    <n v="-47.026000000000003"/>
    <n v="0"/>
    <s v="CATIVO"/>
    <n v="0"/>
    <n v="0"/>
    <n v="27"/>
    <n v="85"/>
    <n v="0"/>
    <n v="300.26"/>
    <n v="225.04"/>
    <m/>
    <n v="357.88800100545785"/>
    <n v="221.02439731406525"/>
    <n v="0"/>
    <n v="-3368.0021199999992"/>
    <n v="0"/>
    <n v="-1737.6979431940802"/>
    <x v="1"/>
  </r>
  <r>
    <s v="Sistema de Compensação"/>
    <x v="3"/>
    <x v="3"/>
    <x v="1"/>
    <x v="2"/>
    <x v="3"/>
    <x v="0"/>
    <x v="1"/>
    <x v="10"/>
    <n v="0"/>
    <n v="0"/>
    <n v="61.408000000000001"/>
    <n v="61.408000000000001"/>
    <n v="61.408000000000001"/>
    <n v="61.408000000000001"/>
    <n v="0"/>
    <s v="CATIVO"/>
    <n v="0"/>
    <n v="0"/>
    <n v="27"/>
    <n v="85"/>
    <n v="0"/>
    <n v="300.26"/>
    <n v="225.04"/>
    <m/>
    <n v="357.88800100545785"/>
    <n v="221.02439731406525"/>
    <n v="0"/>
    <n v="4398.0409599999984"/>
    <n v="0"/>
    <n v="2269.1395248514032"/>
    <x v="1"/>
  </r>
  <r>
    <s v="PROJETADO"/>
    <x v="3"/>
    <x v="3"/>
    <x v="1"/>
    <x v="2"/>
    <x v="3"/>
    <x v="0"/>
    <x v="1"/>
    <x v="11"/>
    <n v="0"/>
    <n v="0"/>
    <n v="1813.252"/>
    <n v="1813.252"/>
    <n v="1813.252"/>
    <n v="1813.252"/>
    <n v="0"/>
    <s v="CATIVO"/>
    <n v="0"/>
    <n v="0"/>
    <n v="27"/>
    <n v="85"/>
    <n v="0"/>
    <n v="300.26"/>
    <n v="225.04"/>
    <m/>
    <n v="357.88800100545785"/>
    <n v="221.02439731406525"/>
    <n v="0"/>
    <n v="129865.10823999996"/>
    <n v="0"/>
    <n v="67003.025366659975"/>
    <x v="1"/>
  </r>
  <r>
    <s v="PROJETADO"/>
    <x v="3"/>
    <x v="3"/>
    <x v="1"/>
    <x v="2"/>
    <x v="3"/>
    <x v="0"/>
    <x v="1"/>
    <x v="11"/>
    <n v="0"/>
    <n v="0"/>
    <n v="-47.026000000000003"/>
    <n v="-47.026000000000003"/>
    <n v="-47.026000000000003"/>
    <n v="-47.026000000000003"/>
    <n v="0"/>
    <s v="CATIVO"/>
    <n v="0"/>
    <n v="0"/>
    <n v="27"/>
    <n v="85"/>
    <n v="0"/>
    <n v="300.26"/>
    <n v="225.04"/>
    <m/>
    <n v="357.88800100545785"/>
    <n v="221.02439731406525"/>
    <n v="0"/>
    <n v="-3368.0021199999992"/>
    <n v="0"/>
    <n v="-1737.6979431940802"/>
    <x v="1"/>
  </r>
  <r>
    <s v="PROJETADO"/>
    <x v="3"/>
    <x v="3"/>
    <x v="1"/>
    <x v="2"/>
    <x v="3"/>
    <x v="0"/>
    <x v="1"/>
    <x v="11"/>
    <n v="0"/>
    <n v="0"/>
    <n v="61.408000000000001"/>
    <n v="61.408000000000001"/>
    <n v="61.408000000000001"/>
    <n v="61.408000000000001"/>
    <n v="0"/>
    <s v="CATIVO"/>
    <n v="0"/>
    <n v="0"/>
    <n v="27"/>
    <n v="85"/>
    <n v="0"/>
    <n v="300.26"/>
    <n v="225.04"/>
    <m/>
    <n v="357.88800100545785"/>
    <n v="221.02439731406525"/>
    <n v="0"/>
    <n v="4398.0409599999984"/>
    <n v="0"/>
    <n v="2269.1395248514032"/>
    <x v="1"/>
  </r>
  <r>
    <s v="Regular"/>
    <x v="3"/>
    <x v="3"/>
    <x v="1"/>
    <x v="2"/>
    <x v="2"/>
    <x v="0"/>
    <x v="1"/>
    <x v="0"/>
    <n v="0"/>
    <n v="0"/>
    <n v="4636.4390000000003"/>
    <n v="1251.83853"/>
    <n v="4636.4390000000003"/>
    <n v="1251.83853"/>
    <n v="0"/>
    <s v="CATIVO"/>
    <n v="0"/>
    <n v="0"/>
    <n v="27"/>
    <n v="85"/>
    <n v="0"/>
    <n v="300.26"/>
    <n v="225.04"/>
    <m/>
    <n v="357.88800100545785"/>
    <n v="221.02439731406525"/>
    <n v="0"/>
    <n v="2109992.3880709996"/>
    <n v="0"/>
    <n v="2130712.1980678202"/>
    <x v="4"/>
  </r>
  <r>
    <s v="Refaturamento - Regular"/>
    <x v="3"/>
    <x v="3"/>
    <x v="1"/>
    <x v="2"/>
    <x v="2"/>
    <x v="0"/>
    <x v="1"/>
    <x v="0"/>
    <n v="0"/>
    <n v="0"/>
    <n v="-53.640999999999998"/>
    <n v="-14.48307"/>
    <n v="-53.640999999999998"/>
    <n v="-14.48307"/>
    <n v="0"/>
    <s v="CATIVO"/>
    <n v="0"/>
    <n v="0"/>
    <n v="27"/>
    <n v="85"/>
    <n v="0"/>
    <n v="300.26"/>
    <n v="225.04"/>
    <m/>
    <n v="357.88800100545785"/>
    <n v="221.02439731406525"/>
    <n v="0"/>
    <n v="-24411.429048999998"/>
    <n v="0"/>
    <n v="-24651.145634948702"/>
    <x v="4"/>
  </r>
  <r>
    <s v="Sistema de Compensação"/>
    <x v="3"/>
    <x v="3"/>
    <x v="1"/>
    <x v="2"/>
    <x v="2"/>
    <x v="0"/>
    <x v="1"/>
    <x v="0"/>
    <n v="0"/>
    <n v="0"/>
    <n v="115.738"/>
    <n v="31.24926"/>
    <n v="115.738"/>
    <n v="31.24926"/>
    <n v="0"/>
    <s v="CATIVO"/>
    <n v="0"/>
    <n v="0"/>
    <n v="27"/>
    <n v="85"/>
    <n v="0"/>
    <n v="300.26"/>
    <n v="225.04"/>
    <m/>
    <n v="357.88800100545785"/>
    <n v="221.02439731406525"/>
    <n v="0"/>
    <n v="52671.090682000002"/>
    <n v="0"/>
    <n v="53188.312922907717"/>
    <x v="4"/>
  </r>
  <r>
    <s v="Regular"/>
    <x v="3"/>
    <x v="3"/>
    <x v="1"/>
    <x v="2"/>
    <x v="2"/>
    <x v="0"/>
    <x v="1"/>
    <x v="1"/>
    <n v="0"/>
    <n v="0"/>
    <n v="5422.4669999999996"/>
    <n v="1464.06609"/>
    <n v="5422.4669999999996"/>
    <n v="1464.06609"/>
    <n v="0"/>
    <s v="CATIVO"/>
    <n v="0"/>
    <n v="0"/>
    <n v="27"/>
    <n v="85"/>
    <n v="0"/>
    <n v="300.26"/>
    <n v="225.04"/>
    <m/>
    <n v="357.88800100545785"/>
    <n v="221.02439731406525"/>
    <n v="0"/>
    <n v="2467705.0845629992"/>
    <n v="0"/>
    <n v="2491937.5797935044"/>
    <x v="4"/>
  </r>
  <r>
    <s v="Refaturamento - Regular"/>
    <x v="3"/>
    <x v="3"/>
    <x v="1"/>
    <x v="2"/>
    <x v="2"/>
    <x v="0"/>
    <x v="1"/>
    <x v="1"/>
    <n v="0"/>
    <n v="0"/>
    <n v="-48.792000000000002"/>
    <n v="-13.17384"/>
    <n v="-48.792000000000002"/>
    <n v="-13.17384"/>
    <n v="0"/>
    <s v="CATIVO"/>
    <n v="0"/>
    <n v="0"/>
    <n v="27"/>
    <n v="85"/>
    <n v="0"/>
    <n v="300.26"/>
    <n v="225.04"/>
    <m/>
    <n v="357.88800100545785"/>
    <n v="221.02439731406525"/>
    <n v="0"/>
    <n v="-22204.702487999999"/>
    <n v="0"/>
    <n v="-22422.749348826776"/>
    <x v="4"/>
  </r>
  <r>
    <s v="Sistema de Compensação"/>
    <x v="3"/>
    <x v="3"/>
    <x v="1"/>
    <x v="2"/>
    <x v="2"/>
    <x v="0"/>
    <x v="1"/>
    <x v="1"/>
    <n v="0"/>
    <n v="0"/>
    <n v="135.87799999999999"/>
    <n v="36.687060000000002"/>
    <n v="135.87799999999999"/>
    <n v="36.687060000000002"/>
    <n v="0"/>
    <s v="CATIVO"/>
    <n v="0"/>
    <n v="0"/>
    <n v="27"/>
    <n v="85"/>
    <n v="0"/>
    <n v="300.26"/>
    <n v="225.04"/>
    <m/>
    <n v="357.88800100545785"/>
    <n v="221.02439731406525"/>
    <n v="0"/>
    <n v="61836.583141999981"/>
    <n v="0"/>
    <n v="62443.809149448352"/>
    <x v="4"/>
  </r>
  <r>
    <s v="Sistema de Compensação"/>
    <x v="3"/>
    <x v="3"/>
    <x v="1"/>
    <x v="2"/>
    <x v="2"/>
    <x v="0"/>
    <x v="1"/>
    <x v="1"/>
    <n v="0"/>
    <n v="0"/>
    <n v="-3.532"/>
    <n v="-0.95364000000000004"/>
    <n v="-3.532"/>
    <n v="-0.95364000000000004"/>
    <n v="0"/>
    <s v="CATIVO"/>
    <n v="0"/>
    <n v="0"/>
    <n v="27"/>
    <n v="85"/>
    <n v="0"/>
    <n v="300.26"/>
    <n v="225.04"/>
    <m/>
    <n v="357.88800100545785"/>
    <n v="221.02439731406525"/>
    <n v="0"/>
    <n v="-1607.3743479999998"/>
    <n v="0"/>
    <n v="-1623.1585239395017"/>
    <x v="4"/>
  </r>
  <r>
    <s v="Regular"/>
    <x v="3"/>
    <x v="3"/>
    <x v="1"/>
    <x v="2"/>
    <x v="2"/>
    <x v="0"/>
    <x v="1"/>
    <x v="2"/>
    <n v="0"/>
    <n v="0"/>
    <n v="6521.0780000000004"/>
    <n v="1760.6910600000001"/>
    <n v="6521.0780000000004"/>
    <n v="1760.6910600000001"/>
    <n v="0"/>
    <s v="CATIVO"/>
    <n v="0"/>
    <n v="0"/>
    <n v="27"/>
    <n v="85"/>
    <n v="0"/>
    <n v="300.26"/>
    <n v="225.04"/>
    <m/>
    <n v="357.88800100545785"/>
    <n v="221.02439731406525"/>
    <n v="0"/>
    <n v="2967670.8659419995"/>
    <n v="0"/>
    <n v="2996812.9504457414"/>
    <x v="4"/>
  </r>
  <r>
    <s v="Refaturamento - Regular"/>
    <x v="3"/>
    <x v="3"/>
    <x v="1"/>
    <x v="2"/>
    <x v="2"/>
    <x v="0"/>
    <x v="1"/>
    <x v="2"/>
    <n v="0"/>
    <n v="0"/>
    <n v="31.164000000000001"/>
    <n v="8.4142799999999998"/>
    <n v="31.164000000000001"/>
    <n v="8.4142799999999998"/>
    <n v="0"/>
    <s v="CATIVO"/>
    <n v="0"/>
    <n v="0"/>
    <n v="27"/>
    <n v="85"/>
    <n v="0"/>
    <n v="300.26"/>
    <n v="225.04"/>
    <m/>
    <n v="357.88800100545785"/>
    <n v="221.02439731406525"/>
    <n v="0"/>
    <n v="14182.393596"/>
    <n v="0"/>
    <n v="14321.662582120793"/>
    <x v="4"/>
  </r>
  <r>
    <s v="Sistema de Compensação"/>
    <x v="3"/>
    <x v="3"/>
    <x v="1"/>
    <x v="2"/>
    <x v="2"/>
    <x v="0"/>
    <x v="1"/>
    <x v="2"/>
    <n v="0"/>
    <n v="0"/>
    <n v="156.62200000000001"/>
    <n v="42.287939999999999"/>
    <n v="156.62200000000001"/>
    <n v="42.287939999999999"/>
    <n v="0"/>
    <s v="CATIVO"/>
    <n v="0"/>
    <n v="0"/>
    <n v="27"/>
    <n v="85"/>
    <n v="0"/>
    <n v="300.26"/>
    <n v="225.04"/>
    <m/>
    <n v="357.88800100545785"/>
    <n v="221.02439731406525"/>
    <n v="0"/>
    <n v="71276.949357999998"/>
    <n v="0"/>
    <n v="71976.878351204039"/>
    <x v="4"/>
  </r>
  <r>
    <s v="Regular"/>
    <x v="3"/>
    <x v="3"/>
    <x v="1"/>
    <x v="2"/>
    <x v="2"/>
    <x v="0"/>
    <x v="1"/>
    <x v="3"/>
    <n v="0"/>
    <n v="0"/>
    <n v="6503.8609999999999"/>
    <n v="1756.0424700000001"/>
    <n v="6503.8609999999999"/>
    <n v="1756.0424700000001"/>
    <n v="0"/>
    <s v="CATIVO"/>
    <n v="0"/>
    <n v="0"/>
    <n v="27"/>
    <n v="85"/>
    <n v="0"/>
    <n v="300.26"/>
    <n v="225.04"/>
    <m/>
    <n v="357.88800100545785"/>
    <n v="221.02439731406525"/>
    <n v="0"/>
    <n v="2959835.5986289997"/>
    <n v="0"/>
    <n v="2988900.7419783953"/>
    <x v="4"/>
  </r>
  <r>
    <s v="Refaturamento - Regular"/>
    <x v="3"/>
    <x v="3"/>
    <x v="1"/>
    <x v="2"/>
    <x v="2"/>
    <x v="0"/>
    <x v="1"/>
    <x v="3"/>
    <n v="0"/>
    <n v="0"/>
    <n v="-31.870999999999999"/>
    <n v="-8.6051699999999993"/>
    <n v="-31.870999999999999"/>
    <n v="-8.6051699999999993"/>
    <n v="0"/>
    <s v="CATIVO"/>
    <n v="0"/>
    <n v="0"/>
    <n v="27"/>
    <n v="85"/>
    <n v="0"/>
    <n v="300.26"/>
    <n v="225.04"/>
    <m/>
    <n v="357.88800100545785"/>
    <n v="221.02439731406525"/>
    <n v="0"/>
    <n v="-14504.141518999997"/>
    <n v="0"/>
    <n v="-14646.570021652282"/>
    <x v="4"/>
  </r>
  <r>
    <s v="Sistema de Compensação"/>
    <x v="3"/>
    <x v="3"/>
    <x v="1"/>
    <x v="2"/>
    <x v="2"/>
    <x v="0"/>
    <x v="1"/>
    <x v="3"/>
    <n v="0"/>
    <n v="0"/>
    <n v="172.49700000000001"/>
    <n v="46.574190000000002"/>
    <n v="172.49700000000001"/>
    <n v="46.574190000000002"/>
    <n v="0"/>
    <s v="CATIVO"/>
    <n v="0"/>
    <n v="0"/>
    <n v="27"/>
    <n v="85"/>
    <n v="0"/>
    <n v="300.26"/>
    <n v="225.04"/>
    <m/>
    <n v="357.88800100545785"/>
    <n v="221.02439731406525"/>
    <n v="0"/>
    <n v="78501.487232999993"/>
    <n v="0"/>
    <n v="79272.360108718072"/>
    <x v="4"/>
  </r>
  <r>
    <s v="Regular"/>
    <x v="3"/>
    <x v="3"/>
    <x v="1"/>
    <x v="2"/>
    <x v="2"/>
    <x v="0"/>
    <x v="1"/>
    <x v="4"/>
    <n v="0"/>
    <n v="0"/>
    <n v="6802.8249999999998"/>
    <n v="1836.7627500000001"/>
    <n v="6802.8249999999998"/>
    <n v="1836.7627500000001"/>
    <n v="0"/>
    <s v="CATIVO"/>
    <n v="0"/>
    <n v="0"/>
    <n v="27"/>
    <n v="85"/>
    <n v="0"/>
    <n v="300.26"/>
    <n v="225.04"/>
    <m/>
    <n v="357.88800100545785"/>
    <n v="221.02439731406525"/>
    <n v="0"/>
    <n v="3095890.8264249996"/>
    <n v="0"/>
    <n v="3126292.0117833354"/>
    <x v="4"/>
  </r>
  <r>
    <s v="Refaturamento - Regular"/>
    <x v="3"/>
    <x v="3"/>
    <x v="1"/>
    <x v="2"/>
    <x v="2"/>
    <x v="0"/>
    <x v="1"/>
    <x v="4"/>
    <n v="0"/>
    <n v="0"/>
    <n v="-60.622999999999998"/>
    <n v="-16.368210000000001"/>
    <n v="-60.622999999999998"/>
    <n v="-16.368210000000001"/>
    <n v="0"/>
    <s v="CATIVO"/>
    <n v="0"/>
    <n v="0"/>
    <n v="27"/>
    <n v="85"/>
    <n v="0"/>
    <n v="300.26"/>
    <n v="225.04"/>
    <m/>
    <n v="357.88800100545785"/>
    <n v="221.02439731406525"/>
    <n v="0"/>
    <n v="-27588.860446999999"/>
    <n v="0"/>
    <n v="-27859.778934536924"/>
    <x v="4"/>
  </r>
  <r>
    <s v="Sistema de Compensação"/>
    <x v="3"/>
    <x v="3"/>
    <x v="1"/>
    <x v="2"/>
    <x v="2"/>
    <x v="0"/>
    <x v="1"/>
    <x v="4"/>
    <n v="0"/>
    <n v="0"/>
    <n v="199.44300000000001"/>
    <n v="53.849609999999998"/>
    <n v="199.44300000000001"/>
    <n v="53.849609999999998"/>
    <n v="0"/>
    <s v="CATIVO"/>
    <n v="0"/>
    <n v="0"/>
    <n v="27"/>
    <n v="85"/>
    <n v="0"/>
    <n v="300.26"/>
    <n v="225.04"/>
    <m/>
    <n v="357.88800100545785"/>
    <n v="221.02439731406525"/>
    <n v="0"/>
    <n v="90764.315426999994"/>
    <n v="0"/>
    <n v="91655.607443393557"/>
    <x v="4"/>
  </r>
  <r>
    <s v="Regular"/>
    <x v="3"/>
    <x v="3"/>
    <x v="1"/>
    <x v="2"/>
    <x v="2"/>
    <x v="0"/>
    <x v="1"/>
    <x v="5"/>
    <n v="0"/>
    <n v="0"/>
    <n v="3661.6559999999999"/>
    <n v="988.64711999999997"/>
    <n v="3661.6559999999999"/>
    <n v="988.64711999999997"/>
    <n v="0"/>
    <s v="CATIVO"/>
    <n v="0"/>
    <n v="0"/>
    <n v="27"/>
    <n v="85"/>
    <n v="0"/>
    <n v="300.26"/>
    <n v="225.04"/>
    <m/>
    <n v="357.88800100545785"/>
    <n v="221.02439731406525"/>
    <n v="0"/>
    <n v="1666379.3673839998"/>
    <n v="0"/>
    <n v="1682742.9637979106"/>
    <x v="4"/>
  </r>
  <r>
    <s v="Refaturamento - Regular"/>
    <x v="3"/>
    <x v="3"/>
    <x v="1"/>
    <x v="2"/>
    <x v="2"/>
    <x v="0"/>
    <x v="1"/>
    <x v="5"/>
    <n v="0"/>
    <n v="0"/>
    <n v="-46.845999999999997"/>
    <n v="-12.64842"/>
    <n v="-46.845999999999997"/>
    <n v="-12.64842"/>
    <n v="0"/>
    <s v="CATIVO"/>
    <n v="0"/>
    <n v="0"/>
    <n v="27"/>
    <n v="85"/>
    <n v="0"/>
    <n v="300.26"/>
    <n v="225.04"/>
    <m/>
    <n v="357.88800100545785"/>
    <n v="221.02439731406525"/>
    <n v="0"/>
    <n v="-21319.099293999992"/>
    <n v="0"/>
    <n v="-21528.449663779695"/>
    <x v="4"/>
  </r>
  <r>
    <s v="Sistema de Compensação"/>
    <x v="3"/>
    <x v="3"/>
    <x v="1"/>
    <x v="2"/>
    <x v="2"/>
    <x v="0"/>
    <x v="1"/>
    <x v="5"/>
    <n v="0"/>
    <n v="0"/>
    <n v="131.33000000000001"/>
    <n v="35.459099999999999"/>
    <n v="131.33000000000001"/>
    <n v="35.459099999999999"/>
    <n v="0"/>
    <s v="CATIVO"/>
    <n v="0"/>
    <n v="0"/>
    <n v="27"/>
    <n v="85"/>
    <n v="0"/>
    <n v="300.26"/>
    <n v="225.04"/>
    <m/>
    <n v="357.88800100545785"/>
    <n v="221.02439731406525"/>
    <n v="0"/>
    <n v="59766.838369999998"/>
    <n v="0"/>
    <n v="60353.739793027969"/>
    <x v="4"/>
  </r>
  <r>
    <s v="Regular"/>
    <x v="3"/>
    <x v="3"/>
    <x v="1"/>
    <x v="2"/>
    <x v="2"/>
    <x v="0"/>
    <x v="1"/>
    <x v="6"/>
    <n v="0"/>
    <n v="0"/>
    <n v="2808.576"/>
    <n v="758.31551999999999"/>
    <n v="2808.576"/>
    <n v="758.31551999999999"/>
    <n v="0"/>
    <s v="CATIVO"/>
    <n v="0"/>
    <n v="0"/>
    <n v="27"/>
    <n v="85"/>
    <n v="0"/>
    <n v="300.26"/>
    <n v="225.04"/>
    <m/>
    <n v="357.88800100545785"/>
    <n v="221.02439731406525"/>
    <n v="0"/>
    <n v="1278152.0432639997"/>
    <n v="0"/>
    <n v="1290703.3053601105"/>
    <x v="4"/>
  </r>
  <r>
    <s v="Refaturamento - Regular"/>
    <x v="3"/>
    <x v="3"/>
    <x v="1"/>
    <x v="2"/>
    <x v="2"/>
    <x v="0"/>
    <x v="1"/>
    <x v="6"/>
    <n v="0"/>
    <n v="0"/>
    <n v="-61.741999999999997"/>
    <n v="-16.670339999999999"/>
    <n v="-61.741999999999997"/>
    <n v="-16.670339999999999"/>
    <n v="0"/>
    <s v="CATIVO"/>
    <n v="0"/>
    <n v="0"/>
    <n v="27"/>
    <n v="85"/>
    <n v="0"/>
    <n v="300.26"/>
    <n v="225.04"/>
    <m/>
    <n v="357.88800100545785"/>
    <n v="221.02439731406525"/>
    <n v="0"/>
    <n v="-28098.105037999994"/>
    <n v="0"/>
    <n v="-28374.02423133429"/>
    <x v="4"/>
  </r>
  <r>
    <s v="Sistema de Compensação"/>
    <x v="3"/>
    <x v="3"/>
    <x v="1"/>
    <x v="2"/>
    <x v="2"/>
    <x v="0"/>
    <x v="1"/>
    <x v="6"/>
    <n v="0"/>
    <n v="0"/>
    <n v="107.61799999999999"/>
    <n v="29.05686"/>
    <n v="107.61799999999999"/>
    <n v="29.05686"/>
    <n v="0"/>
    <s v="CATIVO"/>
    <n v="0"/>
    <n v="0"/>
    <n v="27"/>
    <n v="85"/>
    <n v="0"/>
    <n v="300.26"/>
    <n v="225.04"/>
    <m/>
    <n v="357.88800100545785"/>
    <n v="221.02439731406525"/>
    <n v="0"/>
    <n v="48975.76800199999"/>
    <n v="0"/>
    <n v="49456.702726308402"/>
    <x v="4"/>
  </r>
  <r>
    <s v="Regular"/>
    <x v="3"/>
    <x v="3"/>
    <x v="1"/>
    <x v="2"/>
    <x v="2"/>
    <x v="0"/>
    <x v="1"/>
    <x v="7"/>
    <n v="0"/>
    <n v="0"/>
    <n v="3113.7739999999999"/>
    <n v="840.71897999999999"/>
    <n v="3113.7739999999999"/>
    <n v="840.71897999999999"/>
    <n v="0"/>
    <s v="CATIVO"/>
    <n v="0"/>
    <n v="0"/>
    <n v="27"/>
    <n v="85"/>
    <n v="0"/>
    <n v="300.26"/>
    <n v="225.04"/>
    <m/>
    <n v="357.88800100545785"/>
    <n v="221.02439731406525"/>
    <n v="0"/>
    <n v="1417044.2958859997"/>
    <n v="0"/>
    <n v="1430959.4591509621"/>
    <x v="4"/>
  </r>
  <r>
    <s v="Refaturamento - Regular"/>
    <x v="3"/>
    <x v="3"/>
    <x v="1"/>
    <x v="2"/>
    <x v="2"/>
    <x v="0"/>
    <x v="1"/>
    <x v="7"/>
    <n v="0"/>
    <n v="0"/>
    <n v="-53.786000000000001"/>
    <n v="-14.522220000000001"/>
    <n v="-53.786000000000001"/>
    <n v="-14.522220000000001"/>
    <n v="0"/>
    <s v="CATIVO"/>
    <n v="0"/>
    <n v="0"/>
    <n v="27"/>
    <n v="85"/>
    <n v="0"/>
    <n v="300.26"/>
    <n v="225.04"/>
    <m/>
    <n v="357.88800100545785"/>
    <n v="221.02439731406525"/>
    <n v="0"/>
    <n v="-24477.416953999993"/>
    <n v="0"/>
    <n v="-24717.781531316545"/>
    <x v="4"/>
  </r>
  <r>
    <s v="Sistema de Compensação"/>
    <x v="3"/>
    <x v="3"/>
    <x v="1"/>
    <x v="2"/>
    <x v="2"/>
    <x v="0"/>
    <x v="1"/>
    <x v="7"/>
    <n v="0"/>
    <n v="0"/>
    <n v="136.94"/>
    <n v="36.973799999999997"/>
    <n v="136.94"/>
    <n v="36.973799999999997"/>
    <n v="0"/>
    <s v="CATIVO"/>
    <n v="0"/>
    <n v="0"/>
    <n v="27"/>
    <n v="85"/>
    <n v="0"/>
    <n v="300.26"/>
    <n v="225.04"/>
    <m/>
    <n v="357.88800100545785"/>
    <n v="221.02439731406525"/>
    <n v="0"/>
    <n v="62319.887659999993"/>
    <n v="0"/>
    <n v="62931.859645604578"/>
    <x v="4"/>
  </r>
  <r>
    <s v="Regular"/>
    <x v="3"/>
    <x v="3"/>
    <x v="1"/>
    <x v="2"/>
    <x v="2"/>
    <x v="0"/>
    <x v="1"/>
    <x v="8"/>
    <n v="0"/>
    <n v="0"/>
    <n v="2269.3440000000001"/>
    <n v="612.72288000000003"/>
    <n v="2269.3440000000001"/>
    <n v="612.72288000000003"/>
    <n v="0"/>
    <s v="CATIVO"/>
    <n v="0"/>
    <n v="0"/>
    <n v="27"/>
    <n v="85"/>
    <n v="0"/>
    <n v="300.26"/>
    <n v="225.04"/>
    <m/>
    <n v="357.88800100545785"/>
    <n v="221.02439731406525"/>
    <n v="0"/>
    <n v="1032753.4916159998"/>
    <n v="0"/>
    <n v="1042894.9765999335"/>
    <x v="4"/>
  </r>
  <r>
    <s v="Refaturamento - Regular"/>
    <x v="3"/>
    <x v="3"/>
    <x v="1"/>
    <x v="2"/>
    <x v="2"/>
    <x v="0"/>
    <x v="1"/>
    <x v="8"/>
    <n v="0"/>
    <n v="0"/>
    <n v="-48.996000000000002"/>
    <n v="-13.22892"/>
    <n v="-48.996000000000002"/>
    <n v="-13.22892"/>
    <n v="0"/>
    <s v="CATIVO"/>
    <n v="0"/>
    <n v="0"/>
    <n v="27"/>
    <n v="85"/>
    <n v="0"/>
    <n v="300.26"/>
    <n v="225.04"/>
    <m/>
    <n v="357.88800100545785"/>
    <n v="221.02439731406525"/>
    <n v="0"/>
    <n v="-22297.540643999997"/>
    <n v="0"/>
    <n v="-22516.499161647742"/>
    <x v="4"/>
  </r>
  <r>
    <s v="Sistema de Compensação"/>
    <x v="3"/>
    <x v="3"/>
    <x v="1"/>
    <x v="2"/>
    <x v="2"/>
    <x v="0"/>
    <x v="1"/>
    <x v="8"/>
    <n v="0"/>
    <n v="0"/>
    <n v="98.134"/>
    <n v="26.496179999999999"/>
    <n v="98.134"/>
    <n v="26.496179999999999"/>
    <n v="0"/>
    <s v="CATIVO"/>
    <n v="0"/>
    <n v="0"/>
    <n v="27"/>
    <n v="85"/>
    <n v="0"/>
    <n v="300.26"/>
    <n v="225.04"/>
    <m/>
    <n v="357.88800100545785"/>
    <n v="221.02439731406525"/>
    <n v="0"/>
    <n v="44659.703926000002"/>
    <n v="0"/>
    <n v="45098.25554594538"/>
    <x v="4"/>
  </r>
  <r>
    <s v="Regular"/>
    <x v="3"/>
    <x v="3"/>
    <x v="1"/>
    <x v="2"/>
    <x v="2"/>
    <x v="0"/>
    <x v="1"/>
    <x v="9"/>
    <n v="0"/>
    <n v="0"/>
    <n v="2342.1759999999999"/>
    <n v="632.38751999999999"/>
    <n v="2342.1759999999999"/>
    <n v="632.38751999999999"/>
    <n v="0"/>
    <s v="CATIVO"/>
    <n v="0"/>
    <n v="0"/>
    <n v="27"/>
    <n v="85"/>
    <n v="0"/>
    <n v="300.26"/>
    <n v="225.04"/>
    <m/>
    <n v="357.88800100545785"/>
    <n v="221.02439731406525"/>
    <n v="0"/>
    <n v="1065898.5336639998"/>
    <n v="0"/>
    <n v="1076365.4980086428"/>
    <x v="4"/>
  </r>
  <r>
    <s v="Refaturamento - Regular"/>
    <x v="3"/>
    <x v="3"/>
    <x v="1"/>
    <x v="2"/>
    <x v="2"/>
    <x v="0"/>
    <x v="1"/>
    <x v="9"/>
    <n v="0"/>
    <n v="0"/>
    <n v="-34.822000000000003"/>
    <n v="-9.4019399999999997"/>
    <n v="-34.822000000000003"/>
    <n v="-9.4019399999999997"/>
    <n v="0"/>
    <s v="CATIVO"/>
    <n v="0"/>
    <n v="0"/>
    <n v="27"/>
    <n v="85"/>
    <n v="0"/>
    <n v="300.26"/>
    <n v="225.04"/>
    <m/>
    <n v="357.88800100545785"/>
    <n v="221.02439731406525"/>
    <n v="0"/>
    <n v="-15847.109157999999"/>
    <n v="0"/>
    <n v="-16002.725402214421"/>
    <x v="4"/>
  </r>
  <r>
    <s v="Sistema de Compensação"/>
    <x v="3"/>
    <x v="3"/>
    <x v="1"/>
    <x v="2"/>
    <x v="2"/>
    <x v="0"/>
    <x v="1"/>
    <x v="9"/>
    <n v="0"/>
    <n v="0"/>
    <n v="109.886"/>
    <n v="29.669219999999999"/>
    <n v="109.886"/>
    <n v="29.669219999999999"/>
    <n v="0"/>
    <s v="CATIVO"/>
    <n v="0"/>
    <n v="0"/>
    <n v="27"/>
    <n v="85"/>
    <n v="0"/>
    <n v="300.26"/>
    <n v="225.04"/>
    <m/>
    <n v="357.88800100545785"/>
    <n v="221.02439731406525"/>
    <n v="0"/>
    <n v="50007.90985399999"/>
    <n v="0"/>
    <n v="50498.980057082699"/>
    <x v="4"/>
  </r>
  <r>
    <s v="Regular"/>
    <x v="3"/>
    <x v="3"/>
    <x v="1"/>
    <x v="2"/>
    <x v="2"/>
    <x v="0"/>
    <x v="1"/>
    <x v="10"/>
    <n v="0"/>
    <n v="0"/>
    <n v="1825.501"/>
    <n v="492.88526999999999"/>
    <n v="1825.501"/>
    <n v="492.88526999999999"/>
    <n v="0"/>
    <s v="CATIVO"/>
    <n v="0"/>
    <n v="0"/>
    <n v="27"/>
    <n v="85"/>
    <n v="0"/>
    <n v="300.26"/>
    <n v="225.04"/>
    <m/>
    <n v="357.88800100545785"/>
    <n v="221.02439731406525"/>
    <n v="0"/>
    <n v="830765.42458899994"/>
    <n v="0"/>
    <n v="838923.4169337725"/>
    <x v="4"/>
  </r>
  <r>
    <s v="Refaturamento - Regular"/>
    <x v="3"/>
    <x v="3"/>
    <x v="1"/>
    <x v="2"/>
    <x v="2"/>
    <x v="0"/>
    <x v="1"/>
    <x v="10"/>
    <n v="0"/>
    <n v="0"/>
    <n v="-50.198999999999998"/>
    <n v="-13.55373"/>
    <n v="-50.198999999999998"/>
    <n v="-13.55373"/>
    <n v="0"/>
    <s v="CATIVO"/>
    <n v="0"/>
    <n v="0"/>
    <n v="27"/>
    <n v="85"/>
    <n v="0"/>
    <n v="300.26"/>
    <n v="225.04"/>
    <m/>
    <n v="357.88800100545785"/>
    <n v="221.02439731406525"/>
    <n v="0"/>
    <n v="-22845.012710999996"/>
    <n v="0"/>
    <n v="-23069.347322547859"/>
    <x v="4"/>
  </r>
  <r>
    <s v="Sistema de Compensação"/>
    <x v="3"/>
    <x v="3"/>
    <x v="1"/>
    <x v="2"/>
    <x v="2"/>
    <x v="0"/>
    <x v="1"/>
    <x v="10"/>
    <n v="0"/>
    <n v="0"/>
    <n v="66.944999999999993"/>
    <n v="18.075150000000001"/>
    <n v="66.944999999999993"/>
    <n v="18.075150000000001"/>
    <n v="0"/>
    <s v="CATIVO"/>
    <n v="0"/>
    <n v="0"/>
    <n v="27"/>
    <n v="85"/>
    <n v="0"/>
    <n v="300.26"/>
    <n v="225.04"/>
    <m/>
    <n v="357.88800100545785"/>
    <n v="221.02439731406525"/>
    <n v="0"/>
    <n v="30465.933104999993"/>
    <n v="0"/>
    <n v="30765.104016174952"/>
    <x v="4"/>
  </r>
  <r>
    <s v="PROJETADO"/>
    <x v="3"/>
    <x v="3"/>
    <x v="1"/>
    <x v="2"/>
    <x v="2"/>
    <x v="0"/>
    <x v="1"/>
    <x v="11"/>
    <n v="0"/>
    <n v="0"/>
    <n v="1825.501"/>
    <n v="492.88526999999999"/>
    <n v="1825.501"/>
    <n v="492.88526999999999"/>
    <n v="0"/>
    <s v="CATIVO"/>
    <n v="0"/>
    <n v="0"/>
    <n v="27"/>
    <n v="85"/>
    <n v="0"/>
    <n v="300.26"/>
    <n v="225.04"/>
    <m/>
    <n v="357.88800100545785"/>
    <n v="221.02439731406525"/>
    <n v="0"/>
    <n v="830765.42458899994"/>
    <n v="0"/>
    <n v="838923.4169337725"/>
    <x v="4"/>
  </r>
  <r>
    <s v="PROJETADO"/>
    <x v="3"/>
    <x v="3"/>
    <x v="1"/>
    <x v="2"/>
    <x v="2"/>
    <x v="0"/>
    <x v="1"/>
    <x v="11"/>
    <n v="0"/>
    <n v="0"/>
    <n v="-50.198999999999998"/>
    <n v="-13.55373"/>
    <n v="-50.198999999999998"/>
    <n v="-13.55373"/>
    <n v="0"/>
    <s v="CATIVO"/>
    <n v="0"/>
    <n v="0"/>
    <n v="27"/>
    <n v="85"/>
    <n v="0"/>
    <n v="300.26"/>
    <n v="225.04"/>
    <m/>
    <n v="357.88800100545785"/>
    <n v="221.02439731406525"/>
    <n v="0"/>
    <n v="-22845.012710999996"/>
    <n v="0"/>
    <n v="-23069.347322547859"/>
    <x v="4"/>
  </r>
  <r>
    <s v="PROJETADO"/>
    <x v="3"/>
    <x v="3"/>
    <x v="1"/>
    <x v="2"/>
    <x v="2"/>
    <x v="0"/>
    <x v="1"/>
    <x v="11"/>
    <n v="0"/>
    <n v="0"/>
    <n v="66.944999999999993"/>
    <n v="18.075150000000001"/>
    <n v="66.944999999999993"/>
    <n v="18.075150000000001"/>
    <n v="0"/>
    <s v="CATIVO"/>
    <n v="0"/>
    <n v="0"/>
    <n v="27"/>
    <n v="85"/>
    <n v="0"/>
    <n v="300.26"/>
    <n v="225.04"/>
    <m/>
    <n v="357.88800100545785"/>
    <n v="221.02439731406525"/>
    <n v="0"/>
    <n v="30465.933104999993"/>
    <n v="0"/>
    <n v="30765.104016174952"/>
    <x v="4"/>
  </r>
  <r>
    <s v="Regular"/>
    <x v="3"/>
    <x v="3"/>
    <x v="1"/>
    <x v="8"/>
    <x v="3"/>
    <x v="0"/>
    <x v="1"/>
    <x v="0"/>
    <n v="0"/>
    <n v="0"/>
    <n v="9.3840000000000003"/>
    <n v="9.3840000000000003"/>
    <n v="9.3840000000000003"/>
    <n v="9.3840000000000003"/>
    <n v="0"/>
    <s v="CATIVO"/>
    <n v="0"/>
    <n v="0"/>
    <n v="27"/>
    <n v="85"/>
    <n v="0"/>
    <n v="300.26"/>
    <n v="225.04"/>
    <m/>
    <n v="357.88800100545785"/>
    <n v="221.02439731406525"/>
    <n v="0"/>
    <n v="672.08207999999979"/>
    <n v="0"/>
    <n v="346.75620930832412"/>
    <x v="1"/>
  </r>
  <r>
    <s v="Regular"/>
    <x v="3"/>
    <x v="3"/>
    <x v="1"/>
    <x v="8"/>
    <x v="3"/>
    <x v="0"/>
    <x v="1"/>
    <x v="1"/>
    <n v="0"/>
    <n v="0"/>
    <n v="6.282"/>
    <n v="6.282"/>
    <n v="6.282"/>
    <n v="6.282"/>
    <n v="0"/>
    <s v="CATIVO"/>
    <n v="0"/>
    <n v="0"/>
    <n v="27"/>
    <n v="85"/>
    <n v="0"/>
    <n v="300.26"/>
    <n v="225.04"/>
    <m/>
    <n v="357.88800100545785"/>
    <n v="221.02439731406525"/>
    <n v="0"/>
    <n v="449.91683999999987"/>
    <n v="0"/>
    <n v="232.13155444105837"/>
    <x v="1"/>
  </r>
  <r>
    <s v="Regular"/>
    <x v="3"/>
    <x v="3"/>
    <x v="1"/>
    <x v="8"/>
    <x v="3"/>
    <x v="0"/>
    <x v="1"/>
    <x v="2"/>
    <n v="0"/>
    <n v="0"/>
    <n v="6.4340000000000002"/>
    <n v="6.4340000000000002"/>
    <n v="6.4340000000000002"/>
    <n v="6.4340000000000002"/>
    <n v="0"/>
    <s v="CATIVO"/>
    <n v="0"/>
    <n v="0"/>
    <n v="27"/>
    <n v="85"/>
    <n v="0"/>
    <n v="300.26"/>
    <n v="225.04"/>
    <m/>
    <n v="357.88800100545785"/>
    <n v="221.02439731406525"/>
    <n v="0"/>
    <n v="460.80307999999985"/>
    <n v="0"/>
    <n v="237.74823643326482"/>
    <x v="1"/>
  </r>
  <r>
    <s v="Regular"/>
    <x v="3"/>
    <x v="3"/>
    <x v="1"/>
    <x v="8"/>
    <x v="3"/>
    <x v="0"/>
    <x v="1"/>
    <x v="3"/>
    <n v="0"/>
    <n v="0"/>
    <n v="7.734"/>
    <n v="7.734"/>
    <n v="7.734"/>
    <n v="7.734"/>
    <n v="0"/>
    <s v="CATIVO"/>
    <n v="0"/>
    <n v="0"/>
    <n v="27"/>
    <n v="85"/>
    <n v="0"/>
    <n v="300.26"/>
    <n v="225.04"/>
    <m/>
    <n v="357.88800100545785"/>
    <n v="221.02439731406525"/>
    <n v="0"/>
    <n v="553.90907999999979"/>
    <n v="0"/>
    <n v="285.78564820871469"/>
    <x v="1"/>
  </r>
  <r>
    <s v="Regular"/>
    <x v="3"/>
    <x v="3"/>
    <x v="1"/>
    <x v="8"/>
    <x v="3"/>
    <x v="0"/>
    <x v="1"/>
    <x v="4"/>
    <n v="0"/>
    <n v="0"/>
    <n v="7.53"/>
    <n v="7.53"/>
    <n v="7.53"/>
    <n v="7.53"/>
    <n v="0"/>
    <s v="CATIVO"/>
    <n v="0"/>
    <n v="0"/>
    <n v="27"/>
    <n v="85"/>
    <n v="0"/>
    <n v="300.26"/>
    <n v="225.04"/>
    <m/>
    <n v="357.88800100545785"/>
    <n v="221.02439731406525"/>
    <n v="0"/>
    <n v="539.29859999999985"/>
    <n v="0"/>
    <n v="278.24746974549026"/>
    <x v="1"/>
  </r>
  <r>
    <s v="Regular"/>
    <x v="3"/>
    <x v="3"/>
    <x v="1"/>
    <x v="8"/>
    <x v="3"/>
    <x v="0"/>
    <x v="1"/>
    <x v="5"/>
    <n v="0"/>
    <n v="0"/>
    <n v="6.3029999999999999"/>
    <n v="6.3029999999999999"/>
    <n v="6.3029999999999999"/>
    <n v="6.3029999999999999"/>
    <n v="0"/>
    <s v="CATIVO"/>
    <n v="0"/>
    <n v="0"/>
    <n v="27"/>
    <n v="85"/>
    <n v="0"/>
    <n v="300.26"/>
    <n v="225.04"/>
    <m/>
    <n v="357.88800100545785"/>
    <n v="221.02439731406525"/>
    <n v="0"/>
    <n v="451.42085999999983"/>
    <n v="0"/>
    <n v="232.90754340050796"/>
    <x v="1"/>
  </r>
  <r>
    <s v="Regular"/>
    <x v="3"/>
    <x v="3"/>
    <x v="1"/>
    <x v="8"/>
    <x v="3"/>
    <x v="0"/>
    <x v="1"/>
    <x v="6"/>
    <n v="0"/>
    <n v="0"/>
    <n v="4.4089999999999998"/>
    <n v="4.4089999999999998"/>
    <n v="4.4089999999999998"/>
    <n v="4.4089999999999998"/>
    <n v="0"/>
    <s v="CATIVO"/>
    <n v="0"/>
    <n v="0"/>
    <n v="27"/>
    <n v="85"/>
    <n v="0"/>
    <n v="300.26"/>
    <n v="225.04"/>
    <m/>
    <n v="357.88800100545785"/>
    <n v="221.02439731406525"/>
    <n v="0"/>
    <n v="315.77257999999989"/>
    <n v="0"/>
    <n v="162.92072962919872"/>
    <x v="1"/>
  </r>
  <r>
    <s v="Regular"/>
    <x v="3"/>
    <x v="3"/>
    <x v="1"/>
    <x v="8"/>
    <x v="3"/>
    <x v="0"/>
    <x v="1"/>
    <x v="7"/>
    <n v="0"/>
    <n v="0"/>
    <n v="5.9340000000000002"/>
    <n v="5.9340000000000002"/>
    <n v="5.9340000000000002"/>
    <n v="5.9340000000000002"/>
    <n v="0"/>
    <s v="CATIVO"/>
    <n v="0"/>
    <n v="0"/>
    <n v="27"/>
    <n v="85"/>
    <n v="0"/>
    <n v="300.26"/>
    <n v="225.04"/>
    <m/>
    <n v="357.88800100545785"/>
    <n v="221.02439731406525"/>
    <n v="0"/>
    <n v="424.99307999999985"/>
    <n v="0"/>
    <n v="219.27230882732258"/>
    <x v="1"/>
  </r>
  <r>
    <s v="Regular"/>
    <x v="3"/>
    <x v="3"/>
    <x v="1"/>
    <x v="8"/>
    <x v="3"/>
    <x v="0"/>
    <x v="1"/>
    <x v="8"/>
    <n v="0"/>
    <n v="0"/>
    <n v="7.6669999999999998"/>
    <n v="7.6669999999999998"/>
    <n v="7.6669999999999998"/>
    <n v="7.6669999999999998"/>
    <n v="0"/>
    <s v="CATIVO"/>
    <n v="0"/>
    <n v="0"/>
    <n v="27"/>
    <n v="85"/>
    <n v="0"/>
    <n v="300.26"/>
    <n v="225.04"/>
    <m/>
    <n v="357.88800100545785"/>
    <n v="221.02439731406525"/>
    <n v="0"/>
    <n v="549.11053999999979"/>
    <n v="0"/>
    <n v="283.30987390951839"/>
    <x v="1"/>
  </r>
  <r>
    <s v="Regular"/>
    <x v="3"/>
    <x v="3"/>
    <x v="1"/>
    <x v="8"/>
    <x v="3"/>
    <x v="0"/>
    <x v="1"/>
    <x v="9"/>
    <n v="0"/>
    <n v="0"/>
    <n v="7.8570000000000002"/>
    <n v="7.8570000000000002"/>
    <n v="7.8570000000000002"/>
    <n v="7.8570000000000002"/>
    <n v="0"/>
    <s v="CATIVO"/>
    <n v="0"/>
    <n v="0"/>
    <n v="27"/>
    <n v="85"/>
    <n v="0"/>
    <n v="300.26"/>
    <n v="225.04"/>
    <m/>
    <n v="357.88800100545785"/>
    <n v="221.02439731406525"/>
    <n v="0"/>
    <n v="562.71833999999978"/>
    <n v="0"/>
    <n v="290.33072639977644"/>
    <x v="1"/>
  </r>
  <r>
    <s v="Regular"/>
    <x v="3"/>
    <x v="3"/>
    <x v="1"/>
    <x v="8"/>
    <x v="3"/>
    <x v="0"/>
    <x v="1"/>
    <x v="10"/>
    <n v="0"/>
    <n v="0"/>
    <n v="7.8369999999999997"/>
    <n v="7.8369999999999997"/>
    <n v="7.8369999999999997"/>
    <n v="7.8369999999999997"/>
    <n v="0"/>
    <s v="CATIVO"/>
    <n v="0"/>
    <n v="0"/>
    <n v="27"/>
    <n v="85"/>
    <n v="0"/>
    <n v="300.26"/>
    <n v="225.04"/>
    <m/>
    <n v="357.88800100545785"/>
    <n v="221.02439731406525"/>
    <n v="0"/>
    <n v="561.28593999999975"/>
    <n v="0"/>
    <n v="289.59168929553874"/>
    <x v="1"/>
  </r>
  <r>
    <s v="PROJETADO"/>
    <x v="3"/>
    <x v="3"/>
    <x v="1"/>
    <x v="8"/>
    <x v="3"/>
    <x v="0"/>
    <x v="1"/>
    <x v="11"/>
    <n v="0"/>
    <n v="0"/>
    <n v="7.8369999999999997"/>
    <n v="7.8369999999999997"/>
    <n v="7.8369999999999997"/>
    <n v="7.8369999999999997"/>
    <n v="0"/>
    <s v="CATIVO"/>
    <n v="0"/>
    <n v="0"/>
    <n v="27"/>
    <n v="85"/>
    <n v="0"/>
    <n v="300.26"/>
    <n v="225.04"/>
    <m/>
    <n v="357.88800100545785"/>
    <n v="221.02439731406525"/>
    <n v="0"/>
    <n v="561.28593999999975"/>
    <n v="0"/>
    <n v="289.59168929553874"/>
    <x v="1"/>
  </r>
  <r>
    <s v="Regular"/>
    <x v="3"/>
    <x v="3"/>
    <x v="1"/>
    <x v="8"/>
    <x v="2"/>
    <x v="0"/>
    <x v="1"/>
    <x v="0"/>
    <n v="0"/>
    <n v="0"/>
    <n v="24.286000000000001"/>
    <n v="6.55722"/>
    <n v="24.286000000000001"/>
    <n v="6.55722"/>
    <n v="0"/>
    <s v="CATIVO"/>
    <n v="0"/>
    <n v="0"/>
    <n v="27"/>
    <n v="85"/>
    <n v="0"/>
    <n v="300.26"/>
    <n v="225.04"/>
    <m/>
    <n v="357.88800100545785"/>
    <n v="221.02439731406525"/>
    <n v="0"/>
    <n v="11052.291453999998"/>
    <n v="0"/>
    <n v="11160.823304755022"/>
    <x v="4"/>
  </r>
  <r>
    <s v="Regular"/>
    <x v="3"/>
    <x v="3"/>
    <x v="1"/>
    <x v="8"/>
    <x v="2"/>
    <x v="0"/>
    <x v="1"/>
    <x v="1"/>
    <n v="0"/>
    <n v="0"/>
    <n v="18.283000000000001"/>
    <n v="4.9364100000000004"/>
    <n v="18.283000000000001"/>
    <n v="4.9364100000000004"/>
    <n v="0"/>
    <s v="CATIVO"/>
    <n v="0"/>
    <n v="0"/>
    <n v="27"/>
    <n v="85"/>
    <n v="0"/>
    <n v="300.26"/>
    <n v="225.04"/>
    <m/>
    <n v="357.88800100545785"/>
    <n v="221.02439731406525"/>
    <n v="0"/>
    <n v="8320.3921869999995"/>
    <n v="0"/>
    <n v="8402.0971951262491"/>
    <x v="4"/>
  </r>
  <r>
    <s v="Regular"/>
    <x v="3"/>
    <x v="3"/>
    <x v="1"/>
    <x v="8"/>
    <x v="2"/>
    <x v="0"/>
    <x v="1"/>
    <x v="2"/>
    <n v="0"/>
    <n v="0"/>
    <n v="23.462"/>
    <n v="6.33474"/>
    <n v="23.462"/>
    <n v="6.33474"/>
    <n v="0"/>
    <s v="CATIVO"/>
    <n v="0"/>
    <n v="0"/>
    <n v="27"/>
    <n v="85"/>
    <n v="0"/>
    <n v="300.26"/>
    <n v="225.04"/>
    <m/>
    <n v="357.88800100545785"/>
    <n v="221.02439731406525"/>
    <n v="0"/>
    <n v="10677.298117999999"/>
    <n v="0"/>
    <n v="10782.147590223271"/>
    <x v="4"/>
  </r>
  <r>
    <s v="Regular"/>
    <x v="3"/>
    <x v="3"/>
    <x v="1"/>
    <x v="8"/>
    <x v="2"/>
    <x v="0"/>
    <x v="1"/>
    <x v="3"/>
    <n v="0"/>
    <n v="0"/>
    <n v="23.196000000000002"/>
    <n v="6.2629200000000003"/>
    <n v="23.196000000000002"/>
    <n v="6.2629200000000003"/>
    <n v="0"/>
    <s v="CATIVO"/>
    <n v="0"/>
    <n v="0"/>
    <n v="27"/>
    <n v="85"/>
    <n v="0"/>
    <n v="300.26"/>
    <n v="225.04"/>
    <m/>
    <n v="357.88800100545785"/>
    <n v="221.02439731406525"/>
    <n v="0"/>
    <n v="10556.244444"/>
    <n v="0"/>
    <n v="10659.905187231225"/>
    <x v="4"/>
  </r>
  <r>
    <s v="Regular"/>
    <x v="3"/>
    <x v="3"/>
    <x v="1"/>
    <x v="8"/>
    <x v="2"/>
    <x v="0"/>
    <x v="1"/>
    <x v="4"/>
    <n v="0"/>
    <n v="0"/>
    <n v="20.673999999999999"/>
    <n v="5.5819799999999997"/>
    <n v="20.673999999999999"/>
    <n v="5.5819799999999997"/>
    <n v="0"/>
    <s v="CATIVO"/>
    <n v="0"/>
    <n v="0"/>
    <n v="27"/>
    <n v="85"/>
    <n v="0"/>
    <n v="300.26"/>
    <n v="225.04"/>
    <m/>
    <n v="357.88800100545785"/>
    <n v="221.02439731406525"/>
    <n v="0"/>
    <n v="9408.5099859999991"/>
    <n v="0"/>
    <n v="9500.9001483367101"/>
    <x v="4"/>
  </r>
  <r>
    <s v="Regular"/>
    <x v="3"/>
    <x v="3"/>
    <x v="1"/>
    <x v="8"/>
    <x v="2"/>
    <x v="0"/>
    <x v="1"/>
    <x v="5"/>
    <n v="0"/>
    <n v="0"/>
    <n v="21.818999999999999"/>
    <n v="5.8911300000000004"/>
    <n v="21.818999999999999"/>
    <n v="5.8911300000000004"/>
    <n v="0"/>
    <s v="CATIVO"/>
    <n v="0"/>
    <n v="0"/>
    <n v="27"/>
    <n v="85"/>
    <n v="0"/>
    <n v="300.26"/>
    <n v="225.04"/>
    <m/>
    <n v="357.88800100545785"/>
    <n v="221.02439731406525"/>
    <n v="0"/>
    <n v="9929.586890999999"/>
    <n v="0"/>
    <n v="10027.09395068969"/>
    <x v="4"/>
  </r>
  <r>
    <s v="Regular"/>
    <x v="3"/>
    <x v="3"/>
    <x v="1"/>
    <x v="8"/>
    <x v="2"/>
    <x v="0"/>
    <x v="1"/>
    <x v="6"/>
    <n v="0"/>
    <n v="0"/>
    <n v="17.419"/>
    <n v="4.7031299999999998"/>
    <n v="17.419"/>
    <n v="4.7031299999999998"/>
    <n v="0"/>
    <s v="CATIVO"/>
    <n v="0"/>
    <n v="0"/>
    <n v="27"/>
    <n v="85"/>
    <n v="0"/>
    <n v="300.26"/>
    <n v="225.04"/>
    <m/>
    <n v="357.88800100545785"/>
    <n v="221.02439731406525"/>
    <n v="0"/>
    <n v="7927.195291"/>
    <n v="0"/>
    <n v="8005.0391643550911"/>
    <x v="4"/>
  </r>
  <r>
    <s v="Regular"/>
    <x v="3"/>
    <x v="3"/>
    <x v="1"/>
    <x v="8"/>
    <x v="2"/>
    <x v="0"/>
    <x v="1"/>
    <x v="7"/>
    <n v="0"/>
    <n v="0"/>
    <n v="18.379000000000001"/>
    <n v="4.9623299999999997"/>
    <n v="18.379000000000001"/>
    <n v="4.9623299999999997"/>
    <n v="0"/>
    <s v="CATIVO"/>
    <n v="0"/>
    <n v="0"/>
    <n v="27"/>
    <n v="85"/>
    <n v="0"/>
    <n v="300.26"/>
    <n v="225.04"/>
    <m/>
    <n v="357.88800100545785"/>
    <n v="221.02439731406525"/>
    <n v="0"/>
    <n v="8364.080731"/>
    <n v="0"/>
    <n v="8446.2147541008235"/>
    <x v="4"/>
  </r>
  <r>
    <s v="Regular"/>
    <x v="3"/>
    <x v="3"/>
    <x v="1"/>
    <x v="8"/>
    <x v="2"/>
    <x v="0"/>
    <x v="1"/>
    <x v="8"/>
    <n v="0"/>
    <n v="0"/>
    <n v="19.802"/>
    <n v="5.3465400000000001"/>
    <n v="19.802"/>
    <n v="5.3465400000000001"/>
    <n v="0"/>
    <s v="CATIVO"/>
    <n v="0"/>
    <n v="0"/>
    <n v="27"/>
    <n v="85"/>
    <n v="0"/>
    <n v="300.26"/>
    <n v="225.04"/>
    <m/>
    <n v="357.88800100545785"/>
    <n v="221.02439731406525"/>
    <n v="0"/>
    <n v="9011.6723779999993"/>
    <n v="0"/>
    <n v="9100.1656543176705"/>
    <x v="4"/>
  </r>
  <r>
    <s v="Regular"/>
    <x v="3"/>
    <x v="3"/>
    <x v="1"/>
    <x v="8"/>
    <x v="2"/>
    <x v="0"/>
    <x v="1"/>
    <x v="9"/>
    <n v="0"/>
    <n v="0"/>
    <n v="21.521999999999998"/>
    <n v="5.8109400000000004"/>
    <n v="21.521999999999998"/>
    <n v="5.8109400000000004"/>
    <n v="0"/>
    <s v="CATIVO"/>
    <n v="0"/>
    <n v="0"/>
    <n v="27"/>
    <n v="85"/>
    <n v="0"/>
    <n v="300.26"/>
    <n v="225.04"/>
    <m/>
    <n v="357.88800100545785"/>
    <n v="221.02439731406525"/>
    <n v="0"/>
    <n v="9794.4254579999979"/>
    <n v="0"/>
    <n v="9890.6052526121039"/>
    <x v="4"/>
  </r>
  <r>
    <s v="Regular"/>
    <x v="3"/>
    <x v="3"/>
    <x v="1"/>
    <x v="8"/>
    <x v="2"/>
    <x v="0"/>
    <x v="1"/>
    <x v="10"/>
    <n v="0"/>
    <n v="0"/>
    <n v="18.597000000000001"/>
    <n v="5.0211899999999998"/>
    <n v="18.597000000000001"/>
    <n v="5.0211899999999998"/>
    <n v="0"/>
    <s v="CATIVO"/>
    <n v="0"/>
    <n v="0"/>
    <n v="27"/>
    <n v="85"/>
    <n v="0"/>
    <n v="300.26"/>
    <n v="225.04"/>
    <m/>
    <n v="357.88800100545785"/>
    <n v="221.02439731406525"/>
    <n v="0"/>
    <n v="8463.2901329999986"/>
    <n v="0"/>
    <n v="8546.3983776055811"/>
    <x v="4"/>
  </r>
  <r>
    <s v="PROJETADO"/>
    <x v="3"/>
    <x v="3"/>
    <x v="1"/>
    <x v="8"/>
    <x v="2"/>
    <x v="0"/>
    <x v="1"/>
    <x v="11"/>
    <n v="0"/>
    <n v="0"/>
    <n v="18.597000000000001"/>
    <n v="5.0211899999999998"/>
    <n v="18.597000000000001"/>
    <n v="5.0211899999999998"/>
    <n v="0"/>
    <s v="CATIVO"/>
    <n v="0"/>
    <n v="0"/>
    <n v="27"/>
    <n v="85"/>
    <n v="0"/>
    <n v="300.26"/>
    <n v="225.04"/>
    <m/>
    <n v="357.88800100545785"/>
    <n v="221.02439731406525"/>
    <n v="0"/>
    <n v="8463.2901329999986"/>
    <n v="0"/>
    <n v="8546.3983776055811"/>
    <x v="4"/>
  </r>
  <r>
    <s v="Regular"/>
    <x v="3"/>
    <x v="3"/>
    <x v="1"/>
    <x v="0"/>
    <x v="1"/>
    <x v="0"/>
    <x v="1"/>
    <x v="0"/>
    <n v="0"/>
    <n v="0"/>
    <n v="15716.521000000001"/>
    <n v="15716.521000000001"/>
    <n v="15716.521000000001"/>
    <n v="15716.521000000001"/>
    <n v="125140"/>
    <s v="CATIVO"/>
    <n v="0"/>
    <n v="0"/>
    <n v="27"/>
    <n v="85"/>
    <n v="0"/>
    <n v="300.26"/>
    <n v="225.04"/>
    <m/>
    <n v="357.88800100545785"/>
    <n v="221.02439731406525"/>
    <n v="0"/>
    <n v="1125617.2340199996"/>
    <n v="0"/>
    <n v="580754.60842654214"/>
    <x v="1"/>
  </r>
  <r>
    <s v="Refaturamento - Regular"/>
    <x v="3"/>
    <x v="3"/>
    <x v="1"/>
    <x v="0"/>
    <x v="1"/>
    <x v="0"/>
    <x v="1"/>
    <x v="0"/>
    <n v="0"/>
    <n v="0"/>
    <n v="-23.651"/>
    <n v="-23.651"/>
    <n v="-23.651"/>
    <n v="-23.651"/>
    <n v="-158"/>
    <s v="CATIVO"/>
    <n v="0"/>
    <n v="0"/>
    <n v="27"/>
    <n v="85"/>
    <n v="0"/>
    <n v="300.26"/>
    <n v="225.04"/>
    <m/>
    <n v="357.88800100545785"/>
    <n v="221.02439731406525"/>
    <n v="0"/>
    <n v="-1693.8846199999994"/>
    <n v="0"/>
    <n v="-873.94832761628015"/>
    <x v="1"/>
  </r>
  <r>
    <s v="Sistema de Compensação"/>
    <x v="3"/>
    <x v="3"/>
    <x v="1"/>
    <x v="0"/>
    <x v="1"/>
    <x v="0"/>
    <x v="1"/>
    <x v="0"/>
    <n v="0"/>
    <n v="0"/>
    <n v="240.501"/>
    <n v="240.501"/>
    <n v="240.501"/>
    <n v="240.501"/>
    <n v="816"/>
    <s v="CATIVO"/>
    <n v="0"/>
    <n v="0"/>
    <n v="27"/>
    <n v="85"/>
    <n v="0"/>
    <n v="300.26"/>
    <n v="225.04"/>
    <m/>
    <n v="357.88800100545785"/>
    <n v="221.02439731406525"/>
    <n v="0"/>
    <n v="17224.681619999996"/>
    <n v="0"/>
    <n v="8886.9581303134328"/>
    <x v="1"/>
  </r>
  <r>
    <s v="Regular"/>
    <x v="3"/>
    <x v="3"/>
    <x v="1"/>
    <x v="0"/>
    <x v="1"/>
    <x v="0"/>
    <x v="1"/>
    <x v="1"/>
    <n v="0"/>
    <n v="0"/>
    <n v="15689.016"/>
    <n v="15689.016"/>
    <n v="15689.016"/>
    <n v="15689.016"/>
    <n v="124857"/>
    <s v="CATIVO"/>
    <n v="0"/>
    <n v="0"/>
    <n v="27"/>
    <n v="85"/>
    <n v="0"/>
    <n v="300.26"/>
    <n v="225.04"/>
    <m/>
    <n v="357.88800100545785"/>
    <n v="221.02439731406525"/>
    <n v="0"/>
    <n v="1123647.3259199995"/>
    <n v="0"/>
    <n v="579738.24764893914"/>
    <x v="1"/>
  </r>
  <r>
    <s v="Refaturamento - Regular"/>
    <x v="3"/>
    <x v="3"/>
    <x v="1"/>
    <x v="0"/>
    <x v="1"/>
    <x v="0"/>
    <x v="1"/>
    <x v="1"/>
    <n v="0"/>
    <n v="0"/>
    <n v="-2.9239999999999999"/>
    <n v="-2.9239999999999999"/>
    <n v="-2.9239999999999999"/>
    <n v="-2.9239999999999999"/>
    <n v="-6"/>
    <s v="CATIVO"/>
    <n v="0"/>
    <n v="0"/>
    <n v="27"/>
    <n v="85"/>
    <n v="0"/>
    <n v="300.26"/>
    <n v="225.04"/>
    <m/>
    <n v="357.88800100545785"/>
    <n v="221.02439731406525"/>
    <n v="0"/>
    <n v="-209.41687999999994"/>
    <n v="0"/>
    <n v="-108.04722463955025"/>
    <x v="1"/>
  </r>
  <r>
    <s v="Sistema de Compensação"/>
    <x v="3"/>
    <x v="3"/>
    <x v="1"/>
    <x v="0"/>
    <x v="1"/>
    <x v="0"/>
    <x v="1"/>
    <x v="1"/>
    <n v="0"/>
    <n v="0"/>
    <n v="307.24799999999999"/>
    <n v="307.24799999999999"/>
    <n v="307.24799999999999"/>
    <n v="307.24799999999999"/>
    <n v="861"/>
    <s v="CATIVO"/>
    <n v="0"/>
    <n v="0"/>
    <n v="27"/>
    <n v="85"/>
    <n v="0"/>
    <n v="300.26"/>
    <n v="225.04"/>
    <m/>
    <n v="357.88800100545785"/>
    <n v="221.02439731406525"/>
    <n v="0"/>
    <n v="22005.10175999999"/>
    <n v="0"/>
    <n v="11353.383610141085"/>
    <x v="1"/>
  </r>
  <r>
    <s v="Sistema de Compensação"/>
    <x v="3"/>
    <x v="3"/>
    <x v="1"/>
    <x v="0"/>
    <x v="1"/>
    <x v="0"/>
    <x v="1"/>
    <x v="1"/>
    <n v="0"/>
    <n v="0"/>
    <n v="-0.32400000000000001"/>
    <n v="-0.32400000000000001"/>
    <n v="-0.32400000000000001"/>
    <n v="-0.32400000000000001"/>
    <n v="0"/>
    <s v="CATIVO"/>
    <n v="0"/>
    <n v="0"/>
    <n v="27"/>
    <n v="85"/>
    <n v="0"/>
    <n v="300.26"/>
    <n v="225.04"/>
    <m/>
    <n v="357.88800100545785"/>
    <n v="221.02439731406525"/>
    <n v="0"/>
    <n v="-23.204879999999992"/>
    <n v="0"/>
    <n v="-11.972401088650576"/>
    <x v="1"/>
  </r>
  <r>
    <s v="Regular"/>
    <x v="3"/>
    <x v="3"/>
    <x v="1"/>
    <x v="0"/>
    <x v="1"/>
    <x v="0"/>
    <x v="1"/>
    <x v="2"/>
    <n v="0"/>
    <n v="0"/>
    <n v="16650.550999999999"/>
    <n v="16650.550999999999"/>
    <n v="16650.550999999999"/>
    <n v="16650.550999999999"/>
    <n v="124363"/>
    <s v="CATIVO"/>
    <n v="0"/>
    <n v="0"/>
    <n v="27"/>
    <n v="85"/>
    <n v="0"/>
    <n v="300.26"/>
    <n v="225.04"/>
    <m/>
    <n v="357.88800100545785"/>
    <n v="221.02439731406525"/>
    <n v="0"/>
    <n v="1192512.4626199997"/>
    <n v="0"/>
    <n v="615268.74975009856"/>
    <x v="1"/>
  </r>
  <r>
    <s v="Refaturamento - Regular"/>
    <x v="3"/>
    <x v="3"/>
    <x v="1"/>
    <x v="0"/>
    <x v="1"/>
    <x v="0"/>
    <x v="1"/>
    <x v="2"/>
    <n v="0"/>
    <n v="0"/>
    <n v="-62.281999999999996"/>
    <n v="-62.281999999999996"/>
    <n v="-62.281999999999996"/>
    <n v="-62.281999999999996"/>
    <n v="-9"/>
    <s v="CATIVO"/>
    <n v="0"/>
    <n v="0"/>
    <n v="27"/>
    <n v="85"/>
    <n v="0"/>
    <n v="300.26"/>
    <n v="225.04"/>
    <m/>
    <n v="357.88800100545785"/>
    <n v="221.02439731406525"/>
    <n v="0"/>
    <n v="-4460.6368399999983"/>
    <n v="0"/>
    <n v="-2301.4354463065897"/>
    <x v="1"/>
  </r>
  <r>
    <s v="Sistema de Compensação"/>
    <x v="3"/>
    <x v="3"/>
    <x v="1"/>
    <x v="0"/>
    <x v="1"/>
    <x v="0"/>
    <x v="1"/>
    <x v="2"/>
    <n v="0"/>
    <n v="0"/>
    <n v="309.358"/>
    <n v="309.358"/>
    <n v="309.358"/>
    <n v="309.358"/>
    <n v="928"/>
    <s v="CATIVO"/>
    <n v="0"/>
    <n v="0"/>
    <n v="27"/>
    <n v="85"/>
    <n v="0"/>
    <n v="300.26"/>
    <n v="225.04"/>
    <m/>
    <n v="357.88800100545785"/>
    <n v="221.02439731406525"/>
    <n v="0"/>
    <n v="22156.219959999991"/>
    <n v="0"/>
    <n v="11431.352024638163"/>
    <x v="1"/>
  </r>
  <r>
    <s v="Sistema de Compensação"/>
    <x v="3"/>
    <x v="3"/>
    <x v="1"/>
    <x v="0"/>
    <x v="1"/>
    <x v="0"/>
    <x v="1"/>
    <x v="2"/>
    <n v="0"/>
    <n v="0"/>
    <n v="11.587999999999999"/>
    <n v="11.587999999999999"/>
    <n v="11.587999999999999"/>
    <n v="11.587999999999999"/>
    <n v="0"/>
    <s v="CATIVO"/>
    <n v="0"/>
    <n v="0"/>
    <n v="27"/>
    <n v="85"/>
    <n v="0"/>
    <n v="300.26"/>
    <n v="225.04"/>
    <m/>
    <n v="357.88800100545785"/>
    <n v="221.02439731406525"/>
    <n v="0"/>
    <n v="829.93255999999963"/>
    <n v="0"/>
    <n v="428.19809819531747"/>
    <x v="1"/>
  </r>
  <r>
    <s v="Regular"/>
    <x v="3"/>
    <x v="3"/>
    <x v="1"/>
    <x v="0"/>
    <x v="1"/>
    <x v="0"/>
    <x v="1"/>
    <x v="3"/>
    <n v="0"/>
    <n v="0"/>
    <n v="16466.123"/>
    <n v="16466.123"/>
    <n v="16466.123"/>
    <n v="16466.123"/>
    <n v="123663"/>
    <s v="CATIVO"/>
    <n v="0"/>
    <n v="0"/>
    <n v="27"/>
    <n v="85"/>
    <n v="0"/>
    <n v="300.26"/>
    <n v="225.04"/>
    <m/>
    <n v="357.88800100545785"/>
    <n v="221.02439731406525"/>
    <n v="0"/>
    <n v="1179303.7292599995"/>
    <n v="0"/>
    <n v="608453.79299708107"/>
    <x v="1"/>
  </r>
  <r>
    <s v="Refaturamento - Regular"/>
    <x v="3"/>
    <x v="3"/>
    <x v="1"/>
    <x v="0"/>
    <x v="1"/>
    <x v="0"/>
    <x v="1"/>
    <x v="3"/>
    <n v="0"/>
    <n v="0"/>
    <n v="-38.383000000000003"/>
    <n v="-38.383000000000003"/>
    <n v="-38.383000000000003"/>
    <n v="-38.383000000000003"/>
    <n v="-51"/>
    <s v="CATIVO"/>
    <n v="0"/>
    <n v="0"/>
    <n v="27"/>
    <n v="85"/>
    <n v="0"/>
    <n v="300.26"/>
    <n v="225.04"/>
    <m/>
    <n v="357.88800100545785"/>
    <n v="221.02439731406525"/>
    <n v="0"/>
    <n v="-2748.9904599999991"/>
    <n v="0"/>
    <n v="-1418.3230585977626"/>
    <x v="1"/>
  </r>
  <r>
    <s v="Sistema de Compensação"/>
    <x v="3"/>
    <x v="3"/>
    <x v="1"/>
    <x v="0"/>
    <x v="1"/>
    <x v="0"/>
    <x v="1"/>
    <x v="3"/>
    <n v="0"/>
    <n v="0"/>
    <n v="421.00200000000001"/>
    <n v="421.00200000000001"/>
    <n v="421.00200000000001"/>
    <n v="421.00200000000001"/>
    <n v="980"/>
    <s v="CATIVO"/>
    <n v="0"/>
    <n v="0"/>
    <n v="27"/>
    <n v="85"/>
    <n v="0"/>
    <n v="300.26"/>
    <n v="225.04"/>
    <m/>
    <n v="357.88800100545785"/>
    <n v="221.02439731406525"/>
    <n v="0"/>
    <n v="30152.163239999991"/>
    <n v="0"/>
    <n v="15556.804947913795"/>
    <x v="1"/>
  </r>
  <r>
    <s v="Sistema de Compensação"/>
    <x v="3"/>
    <x v="3"/>
    <x v="1"/>
    <x v="0"/>
    <x v="1"/>
    <x v="0"/>
    <x v="1"/>
    <x v="3"/>
    <n v="0"/>
    <n v="0"/>
    <n v="-2.2869999999999999"/>
    <n v="-2.2869999999999999"/>
    <n v="-2.2869999999999999"/>
    <n v="-2.2869999999999999"/>
    <n v="0"/>
    <s v="CATIVO"/>
    <n v="0"/>
    <n v="0"/>
    <n v="27"/>
    <n v="85"/>
    <n v="0"/>
    <n v="300.26"/>
    <n v="225.04"/>
    <m/>
    <n v="357.88800100545785"/>
    <n v="221.02439731406525"/>
    <n v="0"/>
    <n v="-163.79493999999994"/>
    <n v="0"/>
    <n v="-84.508892869579824"/>
    <x v="1"/>
  </r>
  <r>
    <s v="Regular"/>
    <x v="3"/>
    <x v="3"/>
    <x v="1"/>
    <x v="0"/>
    <x v="1"/>
    <x v="0"/>
    <x v="1"/>
    <x v="4"/>
    <n v="0"/>
    <n v="0"/>
    <n v="17848.134999999998"/>
    <n v="17848.134999999998"/>
    <n v="17848.134999999998"/>
    <n v="17848.134999999998"/>
    <n v="123329"/>
    <s v="CATIVO"/>
    <n v="0"/>
    <n v="0"/>
    <n v="27"/>
    <n v="85"/>
    <n v="0"/>
    <n v="300.26"/>
    <n v="225.04"/>
    <m/>
    <n v="357.88800100545785"/>
    <n v="221.02439731406525"/>
    <n v="0"/>
    <n v="1278283.4286999993"/>
    <n v="0"/>
    <n v="659521.70032216795"/>
    <x v="1"/>
  </r>
  <r>
    <s v="Refaturamento - Regular"/>
    <x v="3"/>
    <x v="3"/>
    <x v="1"/>
    <x v="0"/>
    <x v="1"/>
    <x v="0"/>
    <x v="1"/>
    <x v="4"/>
    <n v="0"/>
    <n v="0"/>
    <n v="-129.00700000000001"/>
    <n v="-129.00700000000001"/>
    <n v="-129.00700000000001"/>
    <n v="-129.00700000000001"/>
    <n v="-8"/>
    <s v="CATIVO"/>
    <n v="0"/>
    <n v="0"/>
    <n v="27"/>
    <n v="85"/>
    <n v="0"/>
    <n v="300.26"/>
    <n v="225.04"/>
    <m/>
    <n v="357.88800100545785"/>
    <n v="221.02439731406525"/>
    <n v="0"/>
    <n v="-9239.4813399999966"/>
    <n v="0"/>
    <n v="-4767.0479853195829"/>
    <x v="1"/>
  </r>
  <r>
    <s v="Sistema de Compensação"/>
    <x v="3"/>
    <x v="3"/>
    <x v="1"/>
    <x v="0"/>
    <x v="1"/>
    <x v="0"/>
    <x v="1"/>
    <x v="4"/>
    <n v="0"/>
    <n v="0"/>
    <n v="300.54500000000002"/>
    <n v="300.54500000000002"/>
    <n v="300.54500000000002"/>
    <n v="300.54500000000002"/>
    <n v="1031"/>
    <s v="CATIVO"/>
    <n v="0"/>
    <n v="0"/>
    <n v="27"/>
    <n v="85"/>
    <n v="0"/>
    <n v="300.26"/>
    <n v="225.04"/>
    <m/>
    <n v="357.88800100545785"/>
    <n v="221.02439731406525"/>
    <n v="0"/>
    <n v="21525.032899999995"/>
    <n v="0"/>
    <n v="11105.695324655826"/>
    <x v="1"/>
  </r>
  <r>
    <s v="Sistema de Compensação"/>
    <x v="3"/>
    <x v="3"/>
    <x v="1"/>
    <x v="0"/>
    <x v="1"/>
    <x v="0"/>
    <x v="1"/>
    <x v="4"/>
    <n v="0"/>
    <n v="0"/>
    <n v="-1.2589999999999999"/>
    <n v="-1.2589999999999999"/>
    <n v="-1.2589999999999999"/>
    <n v="-1.2589999999999999"/>
    <n v="-1"/>
    <s v="CATIVO"/>
    <n v="0"/>
    <n v="0"/>
    <n v="27"/>
    <n v="85"/>
    <n v="0"/>
    <n v="300.26"/>
    <n v="225.04"/>
    <m/>
    <n v="357.88800100545785"/>
    <n v="221.02439731406525"/>
    <n v="0"/>
    <n v="-90.169579999999968"/>
    <n v="0"/>
    <n v="-46.522385711762574"/>
    <x v="1"/>
  </r>
  <r>
    <s v="Regular"/>
    <x v="3"/>
    <x v="3"/>
    <x v="1"/>
    <x v="0"/>
    <x v="1"/>
    <x v="0"/>
    <x v="1"/>
    <x v="5"/>
    <n v="0"/>
    <n v="0"/>
    <n v="15475.6"/>
    <n v="15475.6"/>
    <n v="15475.6"/>
    <n v="15475.6"/>
    <n v="122861"/>
    <s v="CATIVO"/>
    <n v="0"/>
    <n v="0"/>
    <n v="27"/>
    <n v="85"/>
    <n v="0"/>
    <n v="300.26"/>
    <n v="225.04"/>
    <m/>
    <n v="357.88800100545785"/>
    <n v="221.02439731406525"/>
    <n v="0"/>
    <n v="1108362.4719999996"/>
    <n v="0"/>
    <n v="571852.13051703968"/>
    <x v="1"/>
  </r>
  <r>
    <s v="Refaturamento - Regular"/>
    <x v="3"/>
    <x v="3"/>
    <x v="1"/>
    <x v="0"/>
    <x v="1"/>
    <x v="0"/>
    <x v="1"/>
    <x v="5"/>
    <n v="0"/>
    <n v="0"/>
    <n v="-99.62"/>
    <n v="-99.62"/>
    <n v="-99.62"/>
    <n v="-99.62"/>
    <n v="-15"/>
    <s v="CATIVO"/>
    <n v="0"/>
    <n v="0"/>
    <n v="27"/>
    <n v="85"/>
    <n v="0"/>
    <n v="300.26"/>
    <n v="225.04"/>
    <m/>
    <n v="357.88800100545785"/>
    <n v="221.02439731406525"/>
    <n v="0"/>
    <n v="-7134.7843999999977"/>
    <n v="0"/>
    <n v="-3681.1438162079335"/>
    <x v="1"/>
  </r>
  <r>
    <s v="Sistema de Compensação"/>
    <x v="3"/>
    <x v="3"/>
    <x v="1"/>
    <x v="0"/>
    <x v="1"/>
    <x v="0"/>
    <x v="1"/>
    <x v="5"/>
    <n v="0"/>
    <n v="0"/>
    <n v="304.58600000000001"/>
    <n v="304.58600000000001"/>
    <n v="304.58600000000001"/>
    <n v="304.58600000000001"/>
    <n v="1102"/>
    <s v="CATIVO"/>
    <n v="0"/>
    <n v="0"/>
    <n v="27"/>
    <n v="85"/>
    <n v="0"/>
    <n v="300.26"/>
    <n v="225.04"/>
    <m/>
    <n v="357.88800100545785"/>
    <n v="221.02439731406525"/>
    <n v="0"/>
    <n v="21814.449319999992"/>
    <n v="0"/>
    <n v="11255.017771567051"/>
    <x v="1"/>
  </r>
  <r>
    <s v="Regular"/>
    <x v="3"/>
    <x v="3"/>
    <x v="1"/>
    <x v="0"/>
    <x v="1"/>
    <x v="0"/>
    <x v="1"/>
    <x v="6"/>
    <n v="0"/>
    <n v="0"/>
    <n v="12215.161"/>
    <n v="12215.161"/>
    <n v="12215.161"/>
    <n v="12215.161"/>
    <n v="103552"/>
    <s v="CATIVO"/>
    <n v="0"/>
    <n v="0"/>
    <n v="27"/>
    <n v="85"/>
    <n v="0"/>
    <n v="300.26"/>
    <n v="225.04"/>
    <m/>
    <n v="357.88800100545785"/>
    <n v="221.02439731406525"/>
    <n v="0"/>
    <n v="874849.83081999968"/>
    <n v="0"/>
    <n v="451372.86066185817"/>
    <x v="1"/>
  </r>
  <r>
    <s v="Refaturamento - Regular"/>
    <x v="3"/>
    <x v="3"/>
    <x v="1"/>
    <x v="0"/>
    <x v="1"/>
    <x v="0"/>
    <x v="1"/>
    <x v="6"/>
    <n v="0"/>
    <n v="0"/>
    <n v="-74.933999999999997"/>
    <n v="-74.933999999999997"/>
    <n v="-74.933999999999997"/>
    <n v="-74.933999999999997"/>
    <n v="-19"/>
    <s v="CATIVO"/>
    <n v="0"/>
    <n v="0"/>
    <n v="27"/>
    <n v="85"/>
    <n v="0"/>
    <n v="300.26"/>
    <n v="225.04"/>
    <m/>
    <n v="357.88800100545785"/>
    <n v="221.02439731406525"/>
    <n v="0"/>
    <n v="-5366.7730799999981"/>
    <n v="0"/>
    <n v="-2768.9503184473524"/>
    <x v="1"/>
  </r>
  <r>
    <s v="Sistema de Compensação"/>
    <x v="3"/>
    <x v="3"/>
    <x v="1"/>
    <x v="0"/>
    <x v="1"/>
    <x v="0"/>
    <x v="1"/>
    <x v="6"/>
    <n v="0"/>
    <n v="0"/>
    <n v="298.65600000000001"/>
    <n v="298.65600000000001"/>
    <n v="298.65600000000001"/>
    <n v="298.65600000000001"/>
    <n v="1042"/>
    <s v="CATIVO"/>
    <n v="0"/>
    <n v="0"/>
    <n v="27"/>
    <n v="85"/>
    <n v="0"/>
    <n v="300.26"/>
    <n v="225.04"/>
    <m/>
    <n v="357.88800100545785"/>
    <n v="221.02439731406525"/>
    <n v="0"/>
    <n v="21389.742719999995"/>
    <n v="0"/>
    <n v="11035.893270160575"/>
    <x v="1"/>
  </r>
  <r>
    <s v="Sistema de Compensação"/>
    <x v="3"/>
    <x v="3"/>
    <x v="1"/>
    <x v="0"/>
    <x v="1"/>
    <x v="0"/>
    <x v="1"/>
    <x v="6"/>
    <n v="0"/>
    <n v="0"/>
    <n v="-2.0299999999999998"/>
    <n v="-2.0299999999999998"/>
    <n v="-2.0299999999999998"/>
    <n v="-2.0299999999999998"/>
    <n v="0"/>
    <s v="CATIVO"/>
    <n v="0"/>
    <n v="0"/>
    <n v="27"/>
    <n v="85"/>
    <n v="0"/>
    <n v="300.26"/>
    <n v="225.04"/>
    <m/>
    <n v="357.88800100545785"/>
    <n v="221.02439731406525"/>
    <n v="0"/>
    <n v="-145.38859999999994"/>
    <n v="0"/>
    <n v="-75.012266080125514"/>
    <x v="1"/>
  </r>
  <r>
    <s v="Regular"/>
    <x v="3"/>
    <x v="3"/>
    <x v="1"/>
    <x v="0"/>
    <x v="1"/>
    <x v="0"/>
    <x v="1"/>
    <x v="7"/>
    <n v="0"/>
    <n v="0"/>
    <n v="13579.308000000001"/>
    <n v="13579.308000000001"/>
    <n v="13579.308000000001"/>
    <n v="13579.308000000001"/>
    <n v="103285"/>
    <s v="CATIVO"/>
    <n v="0"/>
    <n v="0"/>
    <n v="27"/>
    <n v="85"/>
    <n v="0"/>
    <n v="300.26"/>
    <n v="225.04"/>
    <m/>
    <n v="357.88800100545785"/>
    <n v="221.02439731406525"/>
    <n v="0"/>
    <n v="972550.03895999969"/>
    <n v="0"/>
    <n v="501780.62309358484"/>
    <x v="1"/>
  </r>
  <r>
    <s v="Refaturamento - Regular"/>
    <x v="3"/>
    <x v="3"/>
    <x v="1"/>
    <x v="0"/>
    <x v="1"/>
    <x v="0"/>
    <x v="1"/>
    <x v="7"/>
    <n v="0"/>
    <n v="0"/>
    <n v="-79.305999999999997"/>
    <n v="-79.305999999999997"/>
    <n v="-79.305999999999997"/>
    <n v="-79.305999999999997"/>
    <n v="-26"/>
    <s v="CATIVO"/>
    <n v="0"/>
    <n v="0"/>
    <n v="27"/>
    <n v="85"/>
    <n v="0"/>
    <n v="300.26"/>
    <n v="225.04"/>
    <m/>
    <n v="357.88800100545785"/>
    <n v="221.02439731406525"/>
    <n v="0"/>
    <n v="-5679.8957199999977"/>
    <n v="0"/>
    <n v="-2930.5038294337114"/>
    <x v="1"/>
  </r>
  <r>
    <s v="Sistema de Compensação"/>
    <x v="3"/>
    <x v="3"/>
    <x v="1"/>
    <x v="0"/>
    <x v="1"/>
    <x v="0"/>
    <x v="1"/>
    <x v="7"/>
    <n v="0"/>
    <n v="0"/>
    <n v="279.35199999999998"/>
    <n v="279.35199999999998"/>
    <n v="279.35199999999998"/>
    <n v="279.35199999999998"/>
    <n v="1095"/>
    <s v="CATIVO"/>
    <n v="0"/>
    <n v="0"/>
    <n v="27"/>
    <n v="85"/>
    <n v="0"/>
    <n v="300.26"/>
    <n v="225.04"/>
    <m/>
    <n v="357.88800100545785"/>
    <n v="221.02439731406525"/>
    <n v="0"/>
    <n v="20007.190239999993"/>
    <n v="0"/>
    <n v="10322.574657150355"/>
    <x v="1"/>
  </r>
  <r>
    <s v="Sistema de Compensação"/>
    <x v="3"/>
    <x v="3"/>
    <x v="1"/>
    <x v="0"/>
    <x v="1"/>
    <x v="0"/>
    <x v="1"/>
    <x v="7"/>
    <n v="0"/>
    <n v="0"/>
    <n v="-0.03"/>
    <n v="-0.03"/>
    <n v="-0.03"/>
    <n v="-0.03"/>
    <n v="-1"/>
    <s v="CATIVO"/>
    <n v="0"/>
    <n v="0"/>
    <n v="27"/>
    <n v="85"/>
    <n v="0"/>
    <n v="300.26"/>
    <n v="225.04"/>
    <m/>
    <n v="357.88800100545785"/>
    <n v="221.02439731406525"/>
    <n v="0"/>
    <n v="-2.1485999999999992"/>
    <n v="0"/>
    <n v="-1.1085556563565346"/>
    <x v="1"/>
  </r>
  <r>
    <s v="Regular"/>
    <x v="3"/>
    <x v="3"/>
    <x v="1"/>
    <x v="0"/>
    <x v="1"/>
    <x v="0"/>
    <x v="1"/>
    <x v="8"/>
    <n v="0"/>
    <n v="0"/>
    <n v="12470.677"/>
    <n v="12470.677"/>
    <n v="12470.677"/>
    <n v="12470.677"/>
    <n v="102945"/>
    <s v="CATIVO"/>
    <n v="0"/>
    <n v="0"/>
    <n v="27"/>
    <n v="85"/>
    <n v="0"/>
    <n v="300.26"/>
    <n v="225.04"/>
    <m/>
    <n v="357.88800100545785"/>
    <n v="221.02439731406525"/>
    <n v="0"/>
    <n v="893149.88673999964"/>
    <n v="0"/>
    <n v="460814.65089817805"/>
    <x v="1"/>
  </r>
  <r>
    <s v="Refaturamento - Regular"/>
    <x v="3"/>
    <x v="3"/>
    <x v="1"/>
    <x v="0"/>
    <x v="1"/>
    <x v="0"/>
    <x v="1"/>
    <x v="8"/>
    <n v="0"/>
    <n v="0"/>
    <n v="-48.29"/>
    <n v="-48.29"/>
    <n v="-48.29"/>
    <n v="-48.29"/>
    <n v="-13"/>
    <s v="CATIVO"/>
    <n v="0"/>
    <n v="0"/>
    <n v="27"/>
    <n v="85"/>
    <n v="0"/>
    <n v="300.26"/>
    <n v="225.04"/>
    <m/>
    <n v="357.88800100545785"/>
    <n v="221.02439731406525"/>
    <n v="0"/>
    <n v="-3458.5297999999989"/>
    <n v="0"/>
    <n v="-1784.4050881819021"/>
    <x v="1"/>
  </r>
  <r>
    <s v="Sistema de Compensação"/>
    <x v="3"/>
    <x v="3"/>
    <x v="1"/>
    <x v="0"/>
    <x v="1"/>
    <x v="0"/>
    <x v="1"/>
    <x v="8"/>
    <n v="0"/>
    <n v="0"/>
    <n v="384.02499999999998"/>
    <n v="384.02499999999998"/>
    <n v="384.02499999999998"/>
    <n v="384.02499999999998"/>
    <n v="1136"/>
    <s v="CATIVO"/>
    <n v="0"/>
    <n v="0"/>
    <n v="27"/>
    <n v="85"/>
    <n v="0"/>
    <n v="300.26"/>
    <n v="225.04"/>
    <m/>
    <n v="357.88800100545785"/>
    <n v="221.02439731406525"/>
    <n v="0"/>
    <n v="27503.87049999999"/>
    <n v="0"/>
    <n v="14190.436197743942"/>
    <x v="1"/>
  </r>
  <r>
    <s v="Sistema de Compensação"/>
    <x v="3"/>
    <x v="3"/>
    <x v="1"/>
    <x v="0"/>
    <x v="1"/>
    <x v="0"/>
    <x v="1"/>
    <x v="8"/>
    <n v="0"/>
    <n v="0"/>
    <n v="1.2589999999999999"/>
    <n v="1.2589999999999999"/>
    <n v="1.2589999999999999"/>
    <n v="1.2589999999999999"/>
    <n v="0"/>
    <s v="CATIVO"/>
    <n v="0"/>
    <n v="0"/>
    <n v="27"/>
    <n v="85"/>
    <n v="0"/>
    <n v="300.26"/>
    <n v="225.04"/>
    <m/>
    <n v="357.88800100545785"/>
    <n v="221.02439731406525"/>
    <n v="0"/>
    <n v="90.169579999999968"/>
    <n v="0"/>
    <n v="46.522385711762574"/>
    <x v="1"/>
  </r>
  <r>
    <s v="Regular"/>
    <x v="3"/>
    <x v="3"/>
    <x v="1"/>
    <x v="0"/>
    <x v="1"/>
    <x v="0"/>
    <x v="1"/>
    <x v="9"/>
    <n v="0"/>
    <n v="0"/>
    <n v="12586.26"/>
    <n v="12586.26"/>
    <n v="12586.26"/>
    <n v="12586.26"/>
    <n v="102712"/>
    <s v="CATIVO"/>
    <n v="0"/>
    <n v="0"/>
    <n v="27"/>
    <n v="85"/>
    <n v="0"/>
    <n v="300.26"/>
    <n v="225.04"/>
    <m/>
    <n v="357.88800100545785"/>
    <n v="221.02439731406525"/>
    <n v="0"/>
    <n v="901427.94119999977"/>
    <n v="0"/>
    <n v="465085.65717913333"/>
    <x v="1"/>
  </r>
  <r>
    <s v="Refaturamento - Regular"/>
    <x v="3"/>
    <x v="3"/>
    <x v="1"/>
    <x v="0"/>
    <x v="1"/>
    <x v="0"/>
    <x v="1"/>
    <x v="9"/>
    <n v="0"/>
    <n v="0"/>
    <n v="-86.680999999999997"/>
    <n v="-86.680999999999997"/>
    <n v="-86.680999999999997"/>
    <n v="-86.680999999999997"/>
    <n v="-16"/>
    <s v="CATIVO"/>
    <n v="0"/>
    <n v="0"/>
    <n v="27"/>
    <n v="85"/>
    <n v="0"/>
    <n v="300.26"/>
    <n v="225.04"/>
    <m/>
    <n v="357.88800100545785"/>
    <n v="221.02439731406525"/>
    <n v="0"/>
    <n v="-6208.0932199999979"/>
    <n v="0"/>
    <n v="-3203.0237616213594"/>
    <x v="1"/>
  </r>
  <r>
    <s v="Sistema de Compensação"/>
    <x v="3"/>
    <x v="3"/>
    <x v="1"/>
    <x v="0"/>
    <x v="1"/>
    <x v="0"/>
    <x v="1"/>
    <x v="9"/>
    <n v="0"/>
    <n v="0"/>
    <n v="276.334"/>
    <n v="276.334"/>
    <n v="276.334"/>
    <n v="276.334"/>
    <n v="1205"/>
    <s v="CATIVO"/>
    <n v="0"/>
    <n v="0"/>
    <n v="27"/>
    <n v="85"/>
    <n v="0"/>
    <n v="300.26"/>
    <n v="225.04"/>
    <m/>
    <n v="357.88800100545785"/>
    <n v="221.02439731406525"/>
    <n v="0"/>
    <n v="19791.041079999995"/>
    <n v="0"/>
    <n v="10211.053958120889"/>
    <x v="1"/>
  </r>
  <r>
    <s v="Regular"/>
    <x v="3"/>
    <x v="3"/>
    <x v="1"/>
    <x v="0"/>
    <x v="1"/>
    <x v="0"/>
    <x v="1"/>
    <x v="10"/>
    <n v="0"/>
    <n v="0"/>
    <n v="11106.716"/>
    <n v="11106.716"/>
    <n v="11106.716"/>
    <n v="11106.716"/>
    <n v="103012"/>
    <s v="CATIVO"/>
    <n v="0"/>
    <n v="0"/>
    <n v="27"/>
    <n v="85"/>
    <n v="0"/>
    <n v="300.26"/>
    <n v="225.04"/>
    <m/>
    <n v="357.88800100545785"/>
    <n v="221.02439731406525"/>
    <n v="0"/>
    <n v="795462.99991999974"/>
    <n v="0"/>
    <n v="410413.76151152089"/>
    <x v="1"/>
  </r>
  <r>
    <s v="Refaturamento - Regular"/>
    <x v="3"/>
    <x v="3"/>
    <x v="1"/>
    <x v="0"/>
    <x v="1"/>
    <x v="0"/>
    <x v="1"/>
    <x v="10"/>
    <n v="0"/>
    <n v="0"/>
    <n v="-12.156000000000001"/>
    <n v="-12.156000000000001"/>
    <n v="-12.156000000000001"/>
    <n v="-12.156000000000001"/>
    <n v="-19"/>
    <s v="CATIVO"/>
    <n v="0"/>
    <n v="0"/>
    <n v="27"/>
    <n v="85"/>
    <n v="0"/>
    <n v="300.26"/>
    <n v="225.04"/>
    <m/>
    <n v="357.88800100545785"/>
    <n v="221.02439731406525"/>
    <n v="0"/>
    <n v="-870.61271999999974"/>
    <n v="0"/>
    <n v="-449.18675195566789"/>
    <x v="1"/>
  </r>
  <r>
    <s v="Sistema de Compensação"/>
    <x v="3"/>
    <x v="3"/>
    <x v="1"/>
    <x v="0"/>
    <x v="1"/>
    <x v="0"/>
    <x v="1"/>
    <x v="10"/>
    <n v="0"/>
    <n v="0"/>
    <n v="346.21"/>
    <n v="346.21"/>
    <n v="346.21"/>
    <n v="346.21"/>
    <n v="1263"/>
    <s v="CATIVO"/>
    <n v="0"/>
    <n v="0"/>
    <n v="27"/>
    <n v="85"/>
    <n v="0"/>
    <n v="300.26"/>
    <n v="225.04"/>
    <m/>
    <n v="357.88800100545785"/>
    <n v="221.02439731406525"/>
    <n v="0"/>
    <n v="24795.560199999989"/>
    <n v="0"/>
    <n v="12793.101792906529"/>
    <x v="1"/>
  </r>
  <r>
    <s v="PROJETADO"/>
    <x v="3"/>
    <x v="3"/>
    <x v="1"/>
    <x v="0"/>
    <x v="1"/>
    <x v="0"/>
    <x v="1"/>
    <x v="11"/>
    <n v="0"/>
    <n v="0"/>
    <n v="11106.716"/>
    <n v="11106.716"/>
    <n v="11106.716"/>
    <n v="11106.716"/>
    <n v="103012"/>
    <s v="CATIVO"/>
    <n v="0"/>
    <n v="0"/>
    <n v="27"/>
    <n v="85"/>
    <n v="0"/>
    <n v="300.26"/>
    <n v="225.04"/>
    <m/>
    <n v="357.88800100545785"/>
    <n v="221.02439731406525"/>
    <n v="0"/>
    <n v="795462.99991999974"/>
    <n v="0"/>
    <n v="410413.76151152089"/>
    <x v="1"/>
  </r>
  <r>
    <s v="PROJETADO"/>
    <x v="3"/>
    <x v="3"/>
    <x v="1"/>
    <x v="0"/>
    <x v="1"/>
    <x v="0"/>
    <x v="1"/>
    <x v="11"/>
    <n v="0"/>
    <n v="0"/>
    <n v="-12.156000000000001"/>
    <n v="-12.156000000000001"/>
    <n v="-12.156000000000001"/>
    <n v="-12.156000000000001"/>
    <n v="-19"/>
    <s v="CATIVO"/>
    <n v="0"/>
    <n v="0"/>
    <n v="27"/>
    <n v="85"/>
    <n v="0"/>
    <n v="300.26"/>
    <n v="225.04"/>
    <m/>
    <n v="357.88800100545785"/>
    <n v="221.02439731406525"/>
    <n v="0"/>
    <n v="-870.61271999999974"/>
    <n v="0"/>
    <n v="-449.18675195566789"/>
    <x v="1"/>
  </r>
  <r>
    <s v="PROJETADO"/>
    <x v="3"/>
    <x v="3"/>
    <x v="1"/>
    <x v="0"/>
    <x v="1"/>
    <x v="0"/>
    <x v="1"/>
    <x v="11"/>
    <n v="0"/>
    <n v="0"/>
    <n v="346.21"/>
    <n v="346.21"/>
    <n v="346.21"/>
    <n v="346.21"/>
    <n v="1263"/>
    <s v="CATIVO"/>
    <n v="0"/>
    <n v="0"/>
    <n v="27"/>
    <n v="85"/>
    <n v="0"/>
    <n v="300.26"/>
    <n v="225.04"/>
    <m/>
    <n v="357.88800100545785"/>
    <n v="221.02439731406525"/>
    <n v="0"/>
    <n v="24795.560199999989"/>
    <n v="0"/>
    <n v="12793.101792906529"/>
    <x v="1"/>
  </r>
  <r>
    <s v="Regular"/>
    <x v="4"/>
    <x v="3"/>
    <x v="2"/>
    <x v="1"/>
    <x v="1"/>
    <x v="0"/>
    <x v="1"/>
    <x v="0"/>
    <n v="0"/>
    <n v="0"/>
    <n v="2482.0250000000001"/>
    <n v="2333.1035000000002"/>
    <n v="2482.0250000000001"/>
    <n v="2333.1035000000002"/>
    <n v="828"/>
    <s v="CATIVO"/>
    <n v="0"/>
    <n v="0"/>
    <n v="57"/>
    <n v="100"/>
    <n v="0"/>
    <n v="341.2"/>
    <n v="255.72"/>
    <m/>
    <n v="380.73191596325307"/>
    <n v="235.13233756815453"/>
    <n v="0"/>
    <n v="88894.221779999949"/>
    <n v="0"/>
    <n v="91715.428432277462"/>
    <x v="2"/>
  </r>
  <r>
    <s v="Regular"/>
    <x v="4"/>
    <x v="3"/>
    <x v="2"/>
    <x v="1"/>
    <x v="1"/>
    <x v="0"/>
    <x v="1"/>
    <x v="1"/>
    <n v="0"/>
    <n v="0"/>
    <n v="2433.2939999999999"/>
    <n v="2287.2963599999998"/>
    <n v="2433.2939999999999"/>
    <n v="2287.2963599999998"/>
    <n v="834"/>
    <s v="CATIVO"/>
    <n v="0"/>
    <n v="0"/>
    <n v="57"/>
    <n v="100"/>
    <n v="0"/>
    <n v="341.2"/>
    <n v="255.72"/>
    <m/>
    <n v="380.73191596325307"/>
    <n v="235.13233756815453"/>
    <n v="0"/>
    <n v="87148.911268800031"/>
    <n v="0"/>
    <n v="89914.72757594721"/>
    <x v="2"/>
  </r>
  <r>
    <s v="Regular"/>
    <x v="4"/>
    <x v="3"/>
    <x v="2"/>
    <x v="1"/>
    <x v="1"/>
    <x v="0"/>
    <x v="1"/>
    <x v="2"/>
    <n v="0"/>
    <n v="0"/>
    <n v="2406.951"/>
    <n v="2262.5339399999998"/>
    <n v="2406.951"/>
    <n v="2262.5339399999998"/>
    <n v="827"/>
    <s v="CATIVO"/>
    <n v="0"/>
    <n v="0"/>
    <n v="57"/>
    <n v="100"/>
    <n v="0"/>
    <n v="341.2"/>
    <n v="255.72"/>
    <m/>
    <n v="380.73191596325307"/>
    <n v="235.13233756815453"/>
    <n v="0"/>
    <n v="86205.431455200131"/>
    <n v="0"/>
    <n v="88941.304854100643"/>
    <x v="2"/>
  </r>
  <r>
    <s v="Regular"/>
    <x v="4"/>
    <x v="3"/>
    <x v="2"/>
    <x v="1"/>
    <x v="1"/>
    <x v="0"/>
    <x v="1"/>
    <x v="3"/>
    <n v="0"/>
    <n v="0"/>
    <n v="2420.7080000000001"/>
    <n v="2275.4655200000002"/>
    <n v="2420.7080000000001"/>
    <n v="2275.4655200000002"/>
    <n v="832"/>
    <s v="CATIVO"/>
    <n v="0"/>
    <n v="0"/>
    <n v="57"/>
    <n v="100"/>
    <n v="0"/>
    <n v="341.2"/>
    <n v="255.72"/>
    <m/>
    <n v="380.73191596325307"/>
    <n v="235.13233756815453"/>
    <n v="0"/>
    <n v="86698.141161599924"/>
    <n v="0"/>
    <n v="89449.651526250324"/>
    <x v="2"/>
  </r>
  <r>
    <s v="Regular"/>
    <x v="4"/>
    <x v="3"/>
    <x v="2"/>
    <x v="1"/>
    <x v="1"/>
    <x v="0"/>
    <x v="1"/>
    <x v="4"/>
    <n v="0"/>
    <n v="0"/>
    <n v="2657.1010000000001"/>
    <n v="2497.6749399999999"/>
    <n v="2657.1010000000001"/>
    <n v="2497.6749399999999"/>
    <n v="832"/>
    <s v="CATIVO"/>
    <n v="0"/>
    <n v="0"/>
    <n v="57"/>
    <n v="100"/>
    <n v="0"/>
    <n v="341.2"/>
    <n v="255.72"/>
    <m/>
    <n v="380.73191596325307"/>
    <n v="235.13233756815453"/>
    <n v="0"/>
    <n v="95164.603735200129"/>
    <n v="0"/>
    <n v="98184.811435353535"/>
    <x v="2"/>
  </r>
  <r>
    <s v="Regular"/>
    <x v="4"/>
    <x v="3"/>
    <x v="2"/>
    <x v="1"/>
    <x v="1"/>
    <x v="0"/>
    <x v="1"/>
    <x v="5"/>
    <n v="0"/>
    <n v="0"/>
    <n v="2379.2330000000002"/>
    <n v="2236.4790200000002"/>
    <n v="2379.2330000000002"/>
    <n v="2236.4790200000002"/>
    <n v="836"/>
    <s v="CATIVO"/>
    <n v="0"/>
    <n v="0"/>
    <n v="57"/>
    <n v="100"/>
    <n v="0"/>
    <n v="341.2"/>
    <n v="255.72"/>
    <m/>
    <n v="380.73191596325307"/>
    <n v="235.13233756815453"/>
    <n v="0"/>
    <n v="85212.705741599959"/>
    <n v="0"/>
    <n v="87917.073331337451"/>
    <x v="2"/>
  </r>
  <r>
    <s v="Refaturamento - Regular"/>
    <x v="4"/>
    <x v="3"/>
    <x v="2"/>
    <x v="1"/>
    <x v="1"/>
    <x v="0"/>
    <x v="1"/>
    <x v="5"/>
    <n v="0"/>
    <n v="0"/>
    <n v="-47.996000000000002"/>
    <n v="-45.116239999999998"/>
    <n v="-47.996000000000002"/>
    <n v="-45.116239999999998"/>
    <n v="-1"/>
    <s v="CATIVO"/>
    <n v="0"/>
    <n v="0"/>
    <n v="57"/>
    <n v="100"/>
    <n v="0"/>
    <n v="341.2"/>
    <n v="255.72"/>
    <m/>
    <n v="380.73191596325307"/>
    <n v="235.13233756815453"/>
    <n v="0"/>
    <n v="-1718.9863392000027"/>
    <n v="0"/>
    <n v="-1773.5412427496092"/>
    <x v="2"/>
  </r>
  <r>
    <s v="Regular"/>
    <x v="4"/>
    <x v="3"/>
    <x v="2"/>
    <x v="1"/>
    <x v="1"/>
    <x v="0"/>
    <x v="1"/>
    <x v="6"/>
    <n v="0"/>
    <n v="0"/>
    <n v="2256.3719999999998"/>
    <n v="2120.9896800000001"/>
    <n v="2256.3719999999998"/>
    <n v="2120.9896800000001"/>
    <n v="835"/>
    <s v="CATIVO"/>
    <n v="0"/>
    <n v="0"/>
    <n v="57"/>
    <n v="100"/>
    <n v="0"/>
    <n v="341.2"/>
    <n v="255.72"/>
    <m/>
    <n v="380.73191596325307"/>
    <n v="235.13233756815453"/>
    <n v="0"/>
    <n v="80812.414454399826"/>
    <n v="0"/>
    <n v="83377.131448149972"/>
    <x v="2"/>
  </r>
  <r>
    <s v="Regular"/>
    <x v="4"/>
    <x v="3"/>
    <x v="2"/>
    <x v="1"/>
    <x v="1"/>
    <x v="0"/>
    <x v="1"/>
    <x v="7"/>
    <n v="0"/>
    <n v="0"/>
    <n v="2416.3939999999998"/>
    <n v="2271.4103599999999"/>
    <n v="2416.3939999999998"/>
    <n v="2271.4103599999999"/>
    <n v="836"/>
    <s v="CATIVO"/>
    <n v="0"/>
    <n v="0"/>
    <n v="57"/>
    <n v="100"/>
    <n v="0"/>
    <n v="341.2"/>
    <n v="255.72"/>
    <m/>
    <n v="380.73191596325307"/>
    <n v="235.13233756815453"/>
    <n v="0"/>
    <n v="86543.634388799954"/>
    <n v="0"/>
    <n v="89290.241222866287"/>
    <x v="2"/>
  </r>
  <r>
    <s v="Regular"/>
    <x v="4"/>
    <x v="3"/>
    <x v="2"/>
    <x v="1"/>
    <x v="1"/>
    <x v="0"/>
    <x v="1"/>
    <x v="8"/>
    <n v="0"/>
    <n v="0"/>
    <n v="2339.1709999999998"/>
    <n v="2198.8207400000001"/>
    <n v="2339.1709999999998"/>
    <n v="2198.8207400000001"/>
    <n v="833"/>
    <s v="CATIVO"/>
    <n v="0"/>
    <n v="0"/>
    <n v="57"/>
    <n v="100"/>
    <n v="0"/>
    <n v="341.2"/>
    <n v="255.72"/>
    <m/>
    <n v="380.73191596325307"/>
    <n v="235.13233756815453"/>
    <n v="0"/>
    <n v="83777.877199199836"/>
    <n v="0"/>
    <n v="86436.708107838786"/>
    <x v="2"/>
  </r>
  <r>
    <s v="Regular"/>
    <x v="4"/>
    <x v="3"/>
    <x v="2"/>
    <x v="1"/>
    <x v="1"/>
    <x v="0"/>
    <x v="1"/>
    <x v="9"/>
    <n v="0"/>
    <n v="0"/>
    <n v="2386.5549999999998"/>
    <n v="2243.3616999999999"/>
    <n v="2386.5549999999998"/>
    <n v="2243.3616999999999"/>
    <n v="834"/>
    <s v="CATIVO"/>
    <n v="0"/>
    <n v="0"/>
    <n v="57"/>
    <n v="100"/>
    <n v="0"/>
    <n v="341.2"/>
    <n v="255.72"/>
    <m/>
    <n v="380.73191596325307"/>
    <n v="235.13233756815453"/>
    <n v="0"/>
    <n v="85474.944635999942"/>
    <n v="0"/>
    <n v="88187.634815198864"/>
    <x v="2"/>
  </r>
  <r>
    <s v="Regular"/>
    <x v="4"/>
    <x v="3"/>
    <x v="2"/>
    <x v="1"/>
    <x v="1"/>
    <x v="0"/>
    <x v="1"/>
    <x v="10"/>
    <n v="0"/>
    <n v="0"/>
    <n v="2229.7440000000001"/>
    <n v="2095.9593599999998"/>
    <n v="2229.7440000000001"/>
    <n v="2095.9593599999998"/>
    <n v="836"/>
    <s v="CATIVO"/>
    <n v="0"/>
    <n v="0"/>
    <n v="57"/>
    <n v="100"/>
    <n v="0"/>
    <n v="341.2"/>
    <n v="255.72"/>
    <m/>
    <n v="380.73191596325307"/>
    <n v="235.13233756815453"/>
    <n v="0"/>
    <n v="79858.727308800182"/>
    <n v="0"/>
    <n v="82393.177447568276"/>
    <x v="2"/>
  </r>
  <r>
    <s v="PROJETADO"/>
    <x v="4"/>
    <x v="3"/>
    <x v="2"/>
    <x v="1"/>
    <x v="1"/>
    <x v="0"/>
    <x v="1"/>
    <x v="11"/>
    <n v="0"/>
    <n v="0"/>
    <n v="2229.7440000000001"/>
    <n v="2095.9593599999998"/>
    <n v="2229.7440000000001"/>
    <n v="2095.9593599999998"/>
    <n v="836"/>
    <s v="CATIVO"/>
    <n v="0"/>
    <n v="0"/>
    <n v="57"/>
    <n v="100"/>
    <n v="0"/>
    <n v="341.2"/>
    <n v="255.72"/>
    <m/>
    <n v="380.73191596325307"/>
    <n v="235.13233756815453"/>
    <n v="0"/>
    <n v="79858.727308800182"/>
    <n v="0"/>
    <n v="82393.177447568276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0789A-3254-4B2D-922D-3161AA0DCE1B}" name="Efeito Resumo" cacheId="4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1701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4"/>
        <item x="5"/>
        <item x="1"/>
        <item x="2"/>
        <item x="3"/>
        <item t="default"/>
      </items>
    </pivotField>
    <pivotField axis="axisRow" showAll="0">
      <items count="10">
        <item x="0"/>
        <item x="6"/>
        <item x="8"/>
        <item x="1"/>
        <item x="4"/>
        <item x="5"/>
        <item x="7"/>
        <item x="2"/>
        <item x="3"/>
        <item t="default"/>
      </items>
    </pivotField>
    <pivotField axis="axisRow" showAll="0">
      <items count="11">
        <item x="2"/>
        <item x="1"/>
        <item x="8"/>
        <item x="9"/>
        <item x="0"/>
        <item x="3"/>
        <item x="4"/>
        <item x="5"/>
        <item x="6"/>
        <item x="7"/>
        <item t="default"/>
      </items>
    </pivotField>
    <pivotField axis="axisRow" showAll="0">
      <items count="6">
        <item x="2"/>
        <item x="1"/>
        <item x="4"/>
        <item x="3"/>
        <item x="0"/>
        <item t="default"/>
      </items>
    </pivotField>
    <pivotField axis="axisRow" showAll="0">
      <items count="22">
        <item x="10"/>
        <item x="17"/>
        <item x="7"/>
        <item x="12"/>
        <item x="2"/>
        <item x="1"/>
        <item x="18"/>
        <item x="4"/>
        <item x="3"/>
        <item x="8"/>
        <item x="9"/>
        <item x="11"/>
        <item x="6"/>
        <item x="5"/>
        <item x="16"/>
        <item x="15"/>
        <item x="0"/>
        <item x="20"/>
        <item x="19"/>
        <item x="14"/>
        <item x="13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1700">
    <i>
      <x/>
    </i>
    <i r="1">
      <x/>
    </i>
    <i r="2">
      <x/>
    </i>
    <i r="3">
      <x v="3"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/>
    </i>
    <i r="5">
      <x v="3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6"/>
    </i>
    <i r="4">
      <x v="5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 v="5"/>
    </i>
    <i r="5">
      <x v="4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4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4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4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4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7"/>
    </i>
    <i r="4">
      <x/>
    </i>
    <i r="5">
      <x v="2"/>
    </i>
    <i r="6">
      <x v="16"/>
    </i>
    <i r="7">
      <x/>
    </i>
    <i r="8">
      <x v="1"/>
    </i>
    <i r="8">
      <x v="3"/>
    </i>
    <i r="7">
      <x v="1"/>
    </i>
    <i r="8">
      <x v="1"/>
    </i>
    <i r="8">
      <x v="3"/>
    </i>
    <i r="7">
      <x v="3"/>
    </i>
    <i r="8">
      <x v="1"/>
    </i>
    <i r="8">
      <x v="3"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7"/>
    </i>
    <i r="4">
      <x/>
    </i>
    <i r="5">
      <x v="2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4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4"/>
    </i>
    <i r="5">
      <x v="4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4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4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4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2"/>
    </i>
    <i r="3">
      <x v="2"/>
    </i>
    <i r="4">
      <x v="3"/>
    </i>
    <i r="5">
      <x v="4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3"/>
    </i>
    <i r="3">
      <x v="4"/>
    </i>
    <i r="4">
      <x v="4"/>
    </i>
    <i r="5">
      <x v="4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3"/>
    </i>
    <i r="3">
      <x v="4"/>
    </i>
    <i r="4">
      <x v="4"/>
    </i>
    <i r="5">
      <x v="4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4"/>
    </i>
    <i r="3">
      <x v="4"/>
    </i>
    <i r="4">
      <x v="4"/>
    </i>
    <i r="5">
      <x v="4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7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8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9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0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4"/>
    </i>
    <i r="3">
      <x v="4"/>
    </i>
    <i r="4">
      <x v="4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7"/>
    </i>
    <i r="7">
      <x v="2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8"/>
    </i>
    <i r="7">
      <x v="2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9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0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/>
    </i>
    <i r="3">
      <x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1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/>
    </i>
    <i r="4">
      <x v="4"/>
    </i>
    <i r="5">
      <x v="4"/>
    </i>
    <i r="6">
      <x v="16"/>
    </i>
    <i r="7">
      <x/>
    </i>
    <i r="8">
      <x/>
    </i>
    <i r="7">
      <x v="2"/>
    </i>
    <i r="8">
      <x/>
    </i>
    <i r="7">
      <x v="3"/>
    </i>
    <i r="8">
      <x/>
    </i>
    <i r="3">
      <x v="3"/>
    </i>
    <i r="4">
      <x v="4"/>
    </i>
    <i r="5">
      <x v="1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4"/>
    </i>
    <i r="6">
      <x v="16"/>
    </i>
    <i r="7">
      <x/>
    </i>
    <i r="8">
      <x/>
    </i>
    <i r="8">
      <x v="1"/>
    </i>
    <i r="8">
      <x v="2"/>
    </i>
    <i r="7">
      <x v="2"/>
    </i>
    <i r="8">
      <x/>
    </i>
    <i r="8">
      <x v="1"/>
    </i>
    <i r="8">
      <x v="2"/>
    </i>
    <i r="7">
      <x v="3"/>
    </i>
    <i r="8">
      <x/>
    </i>
    <i r="8">
      <x v="1"/>
    </i>
    <i r="8">
      <x v="2"/>
    </i>
    <i r="2">
      <x v="5"/>
    </i>
    <i r="3">
      <x/>
    </i>
    <i r="4">
      <x v="4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7">
      <x v="2"/>
    </i>
    <i r="8">
      <x/>
    </i>
    <i r="8">
      <x v="1"/>
    </i>
    <i r="8">
      <x v="2"/>
    </i>
    <i r="8">
      <x v="3"/>
    </i>
    <i r="8">
      <x v="4"/>
    </i>
    <i r="7">
      <x v="3"/>
    </i>
    <i r="8">
      <x/>
    </i>
    <i r="8">
      <x v="1"/>
    </i>
    <i r="8">
      <x v="2"/>
    </i>
    <i r="8">
      <x v="3"/>
    </i>
    <i r="8">
      <x v="4"/>
    </i>
    <i r="3">
      <x v="3"/>
    </i>
    <i r="4">
      <x v="4"/>
    </i>
    <i r="5">
      <x v="1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4"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>
      <x v="4"/>
    </i>
    <i r="1">
      <x v="1"/>
    </i>
    <i r="2">
      <x v="5"/>
    </i>
    <i r="3">
      <x v="3"/>
    </i>
    <i r="4">
      <x v="4"/>
    </i>
    <i r="5">
      <x/>
    </i>
    <i r="6">
      <x v="1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724">
    <format dxfId="1297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129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295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1294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1293">
      <pivotArea type="all" dataOnly="0" outline="0" fieldPosition="0"/>
    </format>
    <format dxfId="1292">
      <pivotArea outline="0" collapsedLevelsAreSubtotals="1" fieldPosition="0"/>
    </format>
    <format dxfId="1291">
      <pivotArea field="16" type="button" dataOnly="0" labelOnly="1" outline="0" axis="axisRow" fieldPosition="0"/>
    </format>
    <format dxfId="1290">
      <pivotArea dataOnly="0" labelOnly="1" fieldPosition="0">
        <references count="1">
          <reference field="16" count="0"/>
        </references>
      </pivotArea>
    </format>
    <format dxfId="1289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1288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1"/>
          </reference>
        </references>
      </pivotArea>
    </format>
    <format dxfId="1287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1286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3"/>
          </reference>
        </references>
      </pivotArea>
    </format>
    <format dxfId="1285">
      <pivotArea dataOnly="0" labelOnly="1" fieldPosition="0">
        <references count="2">
          <reference field="1" count="1">
            <x v="1"/>
          </reference>
          <reference field="16" count="1" selected="0">
            <x v="4"/>
          </reference>
        </references>
      </pivotArea>
    </format>
    <format dxfId="1284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128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1282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281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280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279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1278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1277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1276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1275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1274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3"/>
          </reference>
        </references>
      </pivotArea>
    </format>
    <format dxfId="127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1272">
      <pivotArea dataOnly="0" labelOnly="1" fieldPosition="0">
        <references count="3">
          <reference field="1" count="1" selected="0">
            <x v="1"/>
          </reference>
          <reference field="2" count="1">
            <x v="5"/>
          </reference>
          <reference field="16" count="1" selected="0">
            <x v="4"/>
          </reference>
        </references>
      </pivotArea>
    </format>
    <format dxfId="1271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3">
            <x v="3"/>
            <x v="7"/>
            <x v="8"/>
          </reference>
          <reference field="16" count="1" selected="0">
            <x v="0"/>
          </reference>
        </references>
      </pivotArea>
    </format>
    <format dxfId="1270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1269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126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1267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1266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1265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1264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1263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1262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1261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1260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1259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125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125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3"/>
          </reference>
        </references>
      </pivotArea>
    </format>
    <format dxfId="125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3"/>
          </reference>
        </references>
      </pivotArea>
    </format>
    <format dxfId="1255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2">
            <x v="0"/>
            <x v="3"/>
          </reference>
          <reference field="16" count="1" selected="0">
            <x v="3"/>
          </reference>
        </references>
      </pivotArea>
    </format>
    <format dxfId="1254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4"/>
          </reference>
        </references>
      </pivotArea>
    </format>
    <format dxfId="125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5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5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5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4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4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4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46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45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44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43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42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1241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4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39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123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123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1236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35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3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33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3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31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3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29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2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122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1226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1225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122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122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122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122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1220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1219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1218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4"/>
          </reference>
        </references>
      </pivotArea>
    </format>
    <format dxfId="121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1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1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1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1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1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1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10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9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8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7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6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3"/>
            <x v="4"/>
          </reference>
          <reference field="16" count="1" selected="0">
            <x v="0"/>
          </reference>
        </references>
      </pivotArea>
    </format>
    <format dxfId="1205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4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119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119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119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2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5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1"/>
          </reference>
        </references>
      </pivotArea>
    </format>
    <format dxfId="118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1"/>
          </reference>
        </references>
      </pivotArea>
    </format>
    <format dxfId="1182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118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118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3"/>
          </reference>
        </references>
      </pivotArea>
    </format>
    <format dxfId="117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2">
            <x v="1"/>
            <x v="4"/>
          </reference>
          <reference field="16" count="1" selected="0">
            <x v="3"/>
          </reference>
        </references>
      </pivotArea>
    </format>
    <format dxfId="117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3"/>
          </reference>
        </references>
      </pivotArea>
    </format>
    <format dxfId="117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2">
            <x v="1"/>
            <x v="4"/>
          </reference>
          <reference field="16" count="1" selected="0">
            <x v="3"/>
          </reference>
        </references>
      </pivotArea>
    </format>
    <format dxfId="1176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3"/>
          </reference>
        </references>
      </pivotArea>
    </format>
    <format dxfId="1175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2">
            <x v="1"/>
            <x v="4"/>
          </reference>
          <reference field="16" count="1" selected="0">
            <x v="3"/>
          </reference>
        </references>
      </pivotArea>
    </format>
    <format dxfId="1174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4"/>
          </reference>
        </references>
      </pivotArea>
    </format>
    <format dxfId="117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7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7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7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6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6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6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66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65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64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63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62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61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60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59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5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5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5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5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5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5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5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5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5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4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4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4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4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45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44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4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4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4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4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3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38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113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5"/>
          </reference>
          <reference field="16" count="1" selected="0">
            <x v="1"/>
          </reference>
        </references>
      </pivotArea>
    </format>
    <format dxfId="1136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2">
            <x v="3"/>
            <x v="5"/>
          </reference>
          <reference field="16" count="1" selected="0">
            <x v="1"/>
          </reference>
        </references>
      </pivotArea>
    </format>
    <format dxfId="1135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0">
            <x v="0"/>
            <x v="2"/>
            <x v="4"/>
            <x v="7"/>
            <x v="8"/>
            <x v="9"/>
            <x v="10"/>
            <x v="11"/>
            <x v="12"/>
            <x v="13"/>
          </reference>
          <reference field="16" count="1" selected="0">
            <x v="2"/>
          </reference>
        </references>
      </pivotArea>
    </format>
    <format dxfId="113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8">
            <x v="1"/>
            <x v="6"/>
            <x v="14"/>
            <x v="15"/>
            <x v="17"/>
            <x v="18"/>
            <x v="19"/>
            <x v="20"/>
          </reference>
          <reference field="16" count="1" selected="0">
            <x v="2"/>
          </reference>
        </references>
      </pivotArea>
    </format>
    <format dxfId="113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113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113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113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112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112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1127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1126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1125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1124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16"/>
          </reference>
          <reference field="16" count="1" selected="0">
            <x v="4"/>
          </reference>
        </references>
      </pivotArea>
    </format>
    <format dxfId="112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2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2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2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1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1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1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16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15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14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13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12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1111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10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09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0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10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10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10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10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10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10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10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10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94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9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9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8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88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8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108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108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1084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8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82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81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8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8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79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9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7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7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1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7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7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7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7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7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7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5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7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6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8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6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9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6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2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6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6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6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6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6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6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60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59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58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57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6"/>
          </reference>
          <reference field="7" count="1">
            <x v="0"/>
          </reference>
          <reference field="16" count="1" selected="0">
            <x v="4"/>
          </reference>
        </references>
      </pivotArea>
    </format>
    <format dxfId="105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5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5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5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5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5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5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4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4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4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4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4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4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4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4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4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4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3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3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3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3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3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3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3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3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3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3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2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2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2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2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2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2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2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2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2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2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1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101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1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1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1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1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1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1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  <reference field="7" count="1" selected="0">
            <x v="0"/>
          </reference>
          <reference field="8" count="2">
            <x v="1"/>
            <x v="3"/>
          </reference>
          <reference field="16" count="1" selected="0">
            <x v="0"/>
          </reference>
        </references>
      </pivotArea>
    </format>
    <format dxfId="101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  <reference field="7" count="1" selected="0">
            <x v="1"/>
          </reference>
          <reference field="8" count="2">
            <x v="1"/>
            <x v="3"/>
          </reference>
          <reference field="16" count="1" selected="0">
            <x v="0"/>
          </reference>
        </references>
      </pivotArea>
    </format>
    <format dxfId="101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  <reference field="7" count="1" selected="0">
            <x v="3"/>
          </reference>
          <reference field="8" count="2">
            <x v="1"/>
            <x v="3"/>
          </reference>
          <reference field="16" count="1" selected="0">
            <x v="0"/>
          </reference>
        </references>
      </pivotArea>
    </format>
    <format dxfId="100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0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100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0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0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9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9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9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9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9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9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9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9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9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90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8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98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98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98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98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98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98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98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98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98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7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7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7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7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7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9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7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7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7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7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7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6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6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6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5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6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7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96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8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96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9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6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2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6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6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6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5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5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5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5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5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5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5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1">
            <x v="0"/>
          </reference>
          <reference field="16" count="1" selected="0">
            <x v="3"/>
          </reference>
        </references>
      </pivotArea>
    </format>
    <format dxfId="95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1">
            <x v="0"/>
          </reference>
          <reference field="16" count="1" selected="0">
            <x v="3"/>
          </reference>
        </references>
      </pivotArea>
    </format>
    <format dxfId="95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1">
            <x v="0"/>
          </reference>
          <reference field="16" count="1" selected="0">
            <x v="3"/>
          </reference>
        </references>
      </pivotArea>
    </format>
    <format dxfId="95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4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4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4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3">
            <x v="0"/>
            <x v="1"/>
            <x v="2"/>
          </reference>
          <reference field="16" count="1" selected="0">
            <x v="3"/>
          </reference>
        </references>
      </pivotArea>
    </format>
    <format dxfId="94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3">
            <x v="0"/>
            <x v="1"/>
            <x v="2"/>
          </reference>
          <reference field="16" count="1" selected="0">
            <x v="3"/>
          </reference>
        </references>
      </pivotArea>
    </format>
    <format dxfId="94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3">
            <x v="0"/>
            <x v="1"/>
            <x v="2"/>
          </reference>
          <reference field="16" count="1" selected="0">
            <x v="3"/>
          </reference>
        </references>
      </pivotArea>
    </format>
    <format dxfId="94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3"/>
          </reference>
        </references>
      </pivotArea>
    </format>
    <format dxfId="94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3"/>
          </reference>
        </references>
      </pivotArea>
    </format>
    <format dxfId="94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3"/>
          </reference>
        </references>
      </pivotArea>
    </format>
    <format dxfId="94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4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3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3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16" count="1" selected="0">
            <x v="3"/>
          </reference>
        </references>
      </pivotArea>
    </format>
    <format dxfId="93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16" count="1" selected="0">
            <x v="3"/>
          </reference>
        </references>
      </pivotArea>
    </format>
    <format dxfId="93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16" count="1" selected="0">
            <x v="3"/>
          </reference>
        </references>
      </pivotArea>
    </format>
    <format dxfId="93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4"/>
          </reference>
        </references>
      </pivotArea>
    </format>
    <format dxfId="934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33">
      <pivotArea type="all" dataOnly="0" outline="0" fieldPosition="0"/>
    </format>
    <format dxfId="932">
      <pivotArea outline="0" collapsedLevelsAreSubtotals="1" fieldPosition="0"/>
    </format>
    <format dxfId="931">
      <pivotArea field="16" type="button" dataOnly="0" labelOnly="1" outline="0" axis="axisRow" fieldPosition="0"/>
    </format>
    <format dxfId="930">
      <pivotArea dataOnly="0" labelOnly="1" fieldPosition="0">
        <references count="1">
          <reference field="16" count="0"/>
        </references>
      </pivotArea>
    </format>
    <format dxfId="929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928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1"/>
          </reference>
        </references>
      </pivotArea>
    </format>
    <format dxfId="927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926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3"/>
          </reference>
        </references>
      </pivotArea>
    </format>
    <format dxfId="925">
      <pivotArea dataOnly="0" labelOnly="1" fieldPosition="0">
        <references count="2">
          <reference field="1" count="1">
            <x v="1"/>
          </reference>
          <reference field="16" count="1" selected="0">
            <x v="4"/>
          </reference>
        </references>
      </pivotArea>
    </format>
    <format dxfId="924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92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922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21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20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19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918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917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916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915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914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3"/>
          </reference>
        </references>
      </pivotArea>
    </format>
    <format dxfId="91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912">
      <pivotArea dataOnly="0" labelOnly="1" fieldPosition="0">
        <references count="3">
          <reference field="1" count="1" selected="0">
            <x v="1"/>
          </reference>
          <reference field="2" count="1">
            <x v="5"/>
          </reference>
          <reference field="16" count="1" selected="0">
            <x v="4"/>
          </reference>
        </references>
      </pivotArea>
    </format>
    <format dxfId="911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3">
            <x v="3"/>
            <x v="7"/>
            <x v="8"/>
          </reference>
          <reference field="16" count="1" selected="0">
            <x v="0"/>
          </reference>
        </references>
      </pivotArea>
    </format>
    <format dxfId="910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909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90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07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06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905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904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903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902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901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900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899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89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89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3"/>
          </reference>
        </references>
      </pivotArea>
    </format>
    <format dxfId="89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3"/>
          </reference>
        </references>
      </pivotArea>
    </format>
    <format dxfId="895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2">
            <x v="0"/>
            <x v="3"/>
          </reference>
          <reference field="16" count="1" selected="0">
            <x v="3"/>
          </reference>
        </references>
      </pivotArea>
    </format>
    <format dxfId="894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4"/>
          </reference>
        </references>
      </pivotArea>
    </format>
    <format dxfId="89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9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9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9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8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8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8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86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85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84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83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82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881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8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79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87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87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876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75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7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73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7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71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7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69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6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86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866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865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86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86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86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86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860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859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858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4"/>
          </reference>
        </references>
      </pivotArea>
    </format>
    <format dxfId="85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5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5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5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5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5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5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50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49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48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47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46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3"/>
            <x v="4"/>
          </reference>
          <reference field="16" count="1" selected="0">
            <x v="0"/>
          </reference>
        </references>
      </pivotArea>
    </format>
    <format dxfId="845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44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4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4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4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4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>
            <x v="2"/>
          </reference>
          <reference field="16" count="1" selected="0">
            <x v="0"/>
          </reference>
        </references>
      </pivotArea>
    </format>
    <format dxfId="83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83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83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2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5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1"/>
          </reference>
        </references>
      </pivotArea>
    </format>
    <format dxfId="82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1"/>
          </reference>
        </references>
      </pivotArea>
    </format>
    <format dxfId="822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82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82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3"/>
          </reference>
        </references>
      </pivotArea>
    </format>
    <format dxfId="81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2">
            <x v="1"/>
            <x v="4"/>
          </reference>
          <reference field="16" count="1" selected="0">
            <x v="3"/>
          </reference>
        </references>
      </pivotArea>
    </format>
    <format dxfId="81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3"/>
          </reference>
        </references>
      </pivotArea>
    </format>
    <format dxfId="81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2">
            <x v="1"/>
            <x v="4"/>
          </reference>
          <reference field="16" count="1" selected="0">
            <x v="3"/>
          </reference>
        </references>
      </pivotArea>
    </format>
    <format dxfId="816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3"/>
          </reference>
        </references>
      </pivotArea>
    </format>
    <format dxfId="815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2">
            <x v="1"/>
            <x v="4"/>
          </reference>
          <reference field="16" count="1" selected="0">
            <x v="3"/>
          </reference>
        </references>
      </pivotArea>
    </format>
    <format dxfId="814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4"/>
          </reference>
        </references>
      </pivotArea>
    </format>
    <format dxfId="81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81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81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81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80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80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80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806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805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804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803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802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801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800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99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9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9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9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9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9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9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9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9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9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8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8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8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8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85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84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8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8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8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8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7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78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0"/>
          </reference>
        </references>
      </pivotArea>
    </format>
    <format dxfId="77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5"/>
          </reference>
          <reference field="16" count="1" selected="0">
            <x v="1"/>
          </reference>
        </references>
      </pivotArea>
    </format>
    <format dxfId="776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2">
            <x v="3"/>
            <x v="5"/>
          </reference>
          <reference field="16" count="1" selected="0">
            <x v="1"/>
          </reference>
        </references>
      </pivotArea>
    </format>
    <format dxfId="775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0">
            <x v="0"/>
            <x v="2"/>
            <x v="4"/>
            <x v="7"/>
            <x v="8"/>
            <x v="9"/>
            <x v="10"/>
            <x v="11"/>
            <x v="12"/>
            <x v="13"/>
          </reference>
          <reference field="16" count="1" selected="0">
            <x v="2"/>
          </reference>
        </references>
      </pivotArea>
    </format>
    <format dxfId="77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8">
            <x v="1"/>
            <x v="6"/>
            <x v="14"/>
            <x v="15"/>
            <x v="17"/>
            <x v="18"/>
            <x v="19"/>
            <x v="20"/>
          </reference>
          <reference field="16" count="1" selected="0">
            <x v="2"/>
          </reference>
        </references>
      </pivotArea>
    </format>
    <format dxfId="77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77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77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77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76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76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767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766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765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6"/>
          </reference>
          <reference field="16" count="1" selected="0">
            <x v="3"/>
          </reference>
        </references>
      </pivotArea>
    </format>
    <format dxfId="764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16"/>
          </reference>
          <reference field="16" count="1" selected="0">
            <x v="4"/>
          </reference>
        </references>
      </pivotArea>
    </format>
    <format dxfId="76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6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6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6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5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5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5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56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55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54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53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52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751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50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49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4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4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4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4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4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4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4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4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34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72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72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724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2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22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21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2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8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9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9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1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5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8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9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2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70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70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70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70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70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700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99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98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97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6"/>
          </reference>
          <reference field="7" count="1">
            <x v="0"/>
          </reference>
          <reference field="16" count="1" selected="0">
            <x v="4"/>
          </reference>
        </references>
      </pivotArea>
    </format>
    <format dxfId="69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9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9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9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9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9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9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8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8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8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8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8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5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  <reference field="7" count="1" selected="0">
            <x v="0"/>
          </reference>
          <reference field="8" count="2">
            <x v="1"/>
            <x v="3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  <reference field="7" count="1" selected="0">
            <x v="1"/>
          </reference>
          <reference field="8" count="2">
            <x v="1"/>
            <x v="3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  <reference field="7" count="1" selected="0">
            <x v="3"/>
          </reference>
          <reference field="8" count="2">
            <x v="1"/>
            <x v="3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4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3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3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3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3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0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62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2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62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62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2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62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62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2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62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9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5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7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60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8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60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9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2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60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60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9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9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9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9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9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9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9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1">
            <x v="0"/>
          </reference>
          <reference field="16" count="1" selected="0">
            <x v="3"/>
          </reference>
        </references>
      </pivotArea>
    </format>
    <format dxfId="59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1">
            <x v="0"/>
          </reference>
          <reference field="16" count="1" selected="0">
            <x v="3"/>
          </reference>
        </references>
      </pivotArea>
    </format>
    <format dxfId="59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1">
            <x v="0"/>
          </reference>
          <reference field="16" count="1" selected="0">
            <x v="3"/>
          </reference>
        </references>
      </pivotArea>
    </format>
    <format dxfId="59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8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8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8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3">
            <x v="0"/>
            <x v="1"/>
            <x v="2"/>
          </reference>
          <reference field="16" count="1" selected="0">
            <x v="3"/>
          </reference>
        </references>
      </pivotArea>
    </format>
    <format dxfId="58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3">
            <x v="0"/>
            <x v="1"/>
            <x v="2"/>
          </reference>
          <reference field="16" count="1" selected="0">
            <x v="3"/>
          </reference>
        </references>
      </pivotArea>
    </format>
    <format dxfId="58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3">
            <x v="0"/>
            <x v="1"/>
            <x v="2"/>
          </reference>
          <reference field="16" count="1" selected="0">
            <x v="3"/>
          </reference>
        </references>
      </pivotArea>
    </format>
    <format dxfId="58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3"/>
          </reference>
        </references>
      </pivotArea>
    </format>
    <format dxfId="58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3"/>
          </reference>
        </references>
      </pivotArea>
    </format>
    <format dxfId="58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3"/>
          </reference>
        </references>
      </pivotArea>
    </format>
    <format dxfId="58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8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7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7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0"/>
          </reference>
          <reference field="8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16" count="1" selected="0">
            <x v="3"/>
          </reference>
        </references>
      </pivotArea>
    </format>
    <format dxfId="57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16" count="1" selected="0">
            <x v="3"/>
          </reference>
        </references>
      </pivotArea>
    </format>
    <format dxfId="57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3"/>
          </reference>
          <reference field="8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16" count="1" selected="0">
            <x v="3"/>
          </reference>
        </references>
      </pivotArea>
    </format>
    <format dxfId="57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6"/>
          </reference>
          <reference field="7" count="1" selected="0">
            <x v="0"/>
          </reference>
          <reference field="8" count="0"/>
          <reference field="16" count="1" selected="0">
            <x v="4"/>
          </reference>
        </references>
      </pivotArea>
    </format>
    <format dxfId="574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4015F-B166-434C-B3C2-45DEE3F5A7FD}" name="Subsidio Resumo" cacheId="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884" firstHeaderRow="0" firstDataRow="1" firstDataCol="1"/>
  <pivotFields count="3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6">
        <item x="0"/>
        <item x="4"/>
        <item x="3"/>
        <item x="1"/>
        <item x="2"/>
        <item t="default"/>
      </items>
    </pivotField>
    <pivotField axis="axisRow" showAll="0">
      <items count="6">
        <item x="0"/>
        <item x="3"/>
        <item x="4"/>
        <item x="1"/>
        <item x="2"/>
        <item t="default"/>
      </items>
    </pivotField>
    <pivotField axis="axisRow" showAll="0">
      <items count="10">
        <item x="2"/>
        <item x="1"/>
        <item x="8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showAll="0">
      <items count="20">
        <item x="9"/>
        <item x="15"/>
        <item x="6"/>
        <item x="1"/>
        <item x="16"/>
        <item x="3"/>
        <item x="2"/>
        <item x="7"/>
        <item x="8"/>
        <item x="10"/>
        <item x="5"/>
        <item x="4"/>
        <item x="14"/>
        <item x="13"/>
        <item x="0"/>
        <item x="18"/>
        <item x="17"/>
        <item x="12"/>
        <item x="1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2"/>
        <item x="6"/>
        <item x="0"/>
        <item x="3"/>
        <item x="4"/>
        <item x="1"/>
        <item x="5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883">
    <i>
      <x/>
    </i>
    <i r="1">
      <x/>
    </i>
    <i r="2">
      <x/>
    </i>
    <i r="3">
      <x v="4"/>
    </i>
    <i r="4">
      <x v="1"/>
    </i>
    <i r="5">
      <x v="3"/>
    </i>
    <i r="6">
      <x v="1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4"/>
    </i>
    <i r="4">
      <x v="1"/>
    </i>
    <i r="5">
      <x v="3"/>
    </i>
    <i r="6">
      <x v="1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4"/>
    </i>
    <i r="4">
      <x v="1"/>
    </i>
    <i r="5">
      <x v="3"/>
    </i>
    <i r="6">
      <x v="1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2"/>
    </i>
    <i r="3">
      <x v="4"/>
    </i>
    <i r="4">
      <x v="1"/>
    </i>
    <i r="5">
      <x v="3"/>
    </i>
    <i r="6">
      <x v="1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 v="2"/>
    </i>
    <i r="3">
      <x v="2"/>
    </i>
    <i r="4">
      <x v="5"/>
    </i>
    <i r="5">
      <x v="3"/>
    </i>
    <i r="6">
      <x v="1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1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1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1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3"/>
    </i>
    <i r="5">
      <x/>
    </i>
    <i r="6">
      <x v="1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/>
    </i>
    <i r="4">
      <x v="3"/>
    </i>
    <i r="5">
      <x/>
    </i>
    <i r="6">
      <x v="1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3"/>
    </i>
    <i r="5">
      <x/>
    </i>
    <i r="6">
      <x v="1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3"/>
    </i>
    <i r="3">
      <x v="1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7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8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9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0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3"/>
    </i>
    <i r="3">
      <x v="1"/>
    </i>
    <i r="4">
      <x v="3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5"/>
    </i>
    <i r="7">
      <x v="2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6"/>
    </i>
    <i r="7">
      <x v="2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7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8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1"/>
    </i>
    <i r="2">
      <x v="4"/>
    </i>
    <i r="3">
      <x v="3"/>
    </i>
    <i r="4">
      <x/>
    </i>
    <i r="5">
      <x v="2"/>
    </i>
    <i r="6">
      <x v="1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2"/>
    </i>
    <i r="3">
      <x v="3"/>
    </i>
    <i r="4">
      <x/>
    </i>
    <i r="5">
      <x v="2"/>
    </i>
    <i r="6">
      <x v="1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 v="1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/>
    </i>
    <i r="2">
      <x/>
    </i>
    <i r="3">
      <x v="3"/>
    </i>
    <i r="4">
      <x v="3"/>
    </i>
    <i r="5">
      <x v="3"/>
    </i>
    <i r="6">
      <x v="1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4"/>
    </i>
    <i r="3">
      <x v="3"/>
    </i>
    <i r="4">
      <x/>
    </i>
    <i r="5">
      <x v="3"/>
    </i>
    <i r="6">
      <x v="1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1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/>
    </i>
    <i r="5">
      <x v="1"/>
    </i>
    <i r="6">
      <x v="14"/>
    </i>
    <i r="7">
      <x/>
    </i>
    <i r="8">
      <x v="1"/>
    </i>
    <i r="8">
      <x v="3"/>
    </i>
    <i r="7">
      <x v="1"/>
    </i>
    <i r="8">
      <x v="1"/>
    </i>
    <i r="8">
      <x v="3"/>
    </i>
    <i r="7">
      <x v="3"/>
    </i>
    <i r="8">
      <x v="1"/>
    </i>
    <i r="8">
      <x v="3"/>
    </i>
    <i r="4">
      <x v="3"/>
    </i>
    <i r="5">
      <x v="3"/>
    </i>
    <i r="6">
      <x v="1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3"/>
    </i>
    <i r="4">
      <x/>
    </i>
    <i r="5">
      <x v="1"/>
    </i>
    <i r="6">
      <x v="1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 v="1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1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2"/>
    </i>
    <i r="2">
      <x v="2"/>
    </i>
    <i r="3">
      <x v="2"/>
    </i>
    <i r="4">
      <x v="4"/>
    </i>
    <i r="5">
      <x v="3"/>
    </i>
    <i r="6">
      <x v="14"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424">
    <format dxfId="573">
      <pivotArea outline="0" collapsedLevelsAreSubtotals="1" fieldPosition="0"/>
    </format>
    <format dxfId="57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71">
      <pivotArea type="all" dataOnly="0" outline="0" fieldPosition="0"/>
    </format>
    <format dxfId="570">
      <pivotArea outline="0" collapsedLevelsAreSubtotals="1" fieldPosition="0"/>
    </format>
    <format dxfId="569">
      <pivotArea field="31" type="button" dataOnly="0" labelOnly="1" outline="0" axis="axisRow" fieldPosition="0"/>
    </format>
    <format dxfId="568">
      <pivotArea dataOnly="0" labelOnly="1" fieldPosition="0">
        <references count="1">
          <reference field="31" count="0"/>
        </references>
      </pivotArea>
    </format>
    <format dxfId="567">
      <pivotArea dataOnly="0" labelOnly="1" fieldPosition="0">
        <references count="2">
          <reference field="1" count="3">
            <x v="0"/>
            <x v="1"/>
            <x v="4"/>
          </reference>
          <reference field="31" count="1" selected="0">
            <x v="0"/>
          </reference>
        </references>
      </pivotArea>
    </format>
    <format dxfId="566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565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2"/>
          </reference>
        </references>
      </pivotArea>
    </format>
    <format dxfId="564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563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4"/>
          </reference>
        </references>
      </pivotArea>
    </format>
    <format dxfId="562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561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560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559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558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557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556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2"/>
          </reference>
        </references>
      </pivotArea>
    </format>
    <format dxfId="55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554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553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552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551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550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549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31" count="1" selected="0">
            <x v="5"/>
          </reference>
        </references>
      </pivotArea>
    </format>
    <format dxfId="548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547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546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4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44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43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42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541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40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39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3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53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53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535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534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33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32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31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30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52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2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27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2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25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52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52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52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52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520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51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51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51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516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51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51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513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51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1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10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0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0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0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0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0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0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50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50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50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50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49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9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9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9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9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9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9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49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9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49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48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8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48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0"/>
          </reference>
        </references>
      </pivotArea>
    </format>
    <format dxfId="48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0"/>
          </reference>
        </references>
      </pivotArea>
    </format>
    <format dxfId="48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0"/>
          </reference>
        </references>
      </pivotArea>
    </format>
    <format dxfId="48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0"/>
          </reference>
        </references>
      </pivotArea>
    </format>
    <format dxfId="48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1"/>
          </reference>
        </references>
      </pivotArea>
    </format>
    <format dxfId="48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1"/>
          </reference>
        </references>
      </pivotArea>
    </format>
    <format dxfId="48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1"/>
          </reference>
        </references>
      </pivotArea>
    </format>
    <format dxfId="48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1"/>
          </reference>
        </references>
      </pivotArea>
    </format>
    <format dxfId="47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4"/>
          </reference>
          <reference field="31" count="1" selected="0">
            <x v="2"/>
          </reference>
        </references>
      </pivotArea>
    </format>
    <format dxfId="47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4"/>
          </reference>
          <reference field="31" count="1" selected="0">
            <x v="2"/>
          </reference>
        </references>
      </pivotArea>
    </format>
    <format dxfId="47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4"/>
          </reference>
          <reference field="31" count="1" selected="0">
            <x v="2"/>
          </reference>
        </references>
      </pivotArea>
    </format>
    <format dxfId="47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0">
            <x v="0"/>
            <x v="2"/>
            <x v="3"/>
            <x v="5"/>
            <x v="6"/>
            <x v="7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475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8">
            <x v="1"/>
            <x v="4"/>
            <x v="12"/>
            <x v="13"/>
            <x v="15"/>
            <x v="16"/>
            <x v="17"/>
            <x v="18"/>
          </reference>
          <reference field="31" count="1" selected="0">
            <x v="3"/>
          </reference>
        </references>
      </pivotArea>
    </format>
    <format dxfId="47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4"/>
          </reference>
          <reference field="31" count="1" selected="0">
            <x v="4"/>
          </reference>
        </references>
      </pivotArea>
    </format>
    <format dxfId="47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4"/>
          </reference>
          <reference field="31" count="1" selected="0">
            <x v="4"/>
          </reference>
        </references>
      </pivotArea>
    </format>
    <format dxfId="47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4"/>
          </reference>
          <reference field="31" count="1" selected="0">
            <x v="4"/>
          </reference>
        </references>
      </pivotArea>
    </format>
    <format dxfId="47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47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46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46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46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46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46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46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46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6"/>
          </reference>
        </references>
      </pivotArea>
    </format>
    <format dxfId="46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46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46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45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45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5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5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5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5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5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5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5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5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1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5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7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4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8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43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43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43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42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42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42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42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42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42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42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42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42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2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41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1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41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1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1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41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1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1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1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1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0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0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0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40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0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0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40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0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0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40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5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38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6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38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7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8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38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38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37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7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7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7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7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7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7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7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7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  <reference field="7" count="1" selected="0">
            <x v="0"/>
          </reference>
          <reference field="8" count="2">
            <x v="1"/>
            <x v="3"/>
          </reference>
          <reference field="31" count="1" selected="0">
            <x v="5"/>
          </reference>
        </references>
      </pivotArea>
    </format>
    <format dxfId="37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  <reference field="7" count="1" selected="0">
            <x v="1"/>
          </reference>
          <reference field="8" count="2">
            <x v="1"/>
            <x v="3"/>
          </reference>
          <reference field="31" count="1" selected="0">
            <x v="5"/>
          </reference>
        </references>
      </pivotArea>
    </format>
    <format dxfId="36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  <reference field="7" count="1" selected="0">
            <x v="3"/>
          </reference>
          <reference field="8" count="2">
            <x v="1"/>
            <x v="3"/>
          </reference>
          <reference field="31" count="1" selected="0">
            <x v="5"/>
          </reference>
        </references>
      </pivotArea>
    </format>
    <format dxfId="36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6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6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6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6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6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6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36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60">
      <pivotArea type="all" dataOnly="0" outline="0" fieldPosition="0"/>
    </format>
    <format dxfId="359">
      <pivotArea outline="0" collapsedLevelsAreSubtotals="1" fieldPosition="0"/>
    </format>
    <format dxfId="358">
      <pivotArea field="31" type="button" dataOnly="0" labelOnly="1" outline="0" axis="axisRow" fieldPosition="0"/>
    </format>
    <format dxfId="357">
      <pivotArea dataOnly="0" labelOnly="1" fieldPosition="0">
        <references count="1">
          <reference field="31" count="0"/>
        </references>
      </pivotArea>
    </format>
    <format dxfId="356">
      <pivotArea dataOnly="0" labelOnly="1" fieldPosition="0">
        <references count="2">
          <reference field="1" count="3">
            <x v="0"/>
            <x v="1"/>
            <x v="4"/>
          </reference>
          <reference field="31" count="1" selected="0">
            <x v="0"/>
          </reference>
        </references>
      </pivotArea>
    </format>
    <format dxfId="355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354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2"/>
          </reference>
        </references>
      </pivotArea>
    </format>
    <format dxfId="353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352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4"/>
          </reference>
        </references>
      </pivotArea>
    </format>
    <format dxfId="351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350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349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348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347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46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345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2"/>
          </reference>
        </references>
      </pivotArea>
    </format>
    <format dxfId="344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343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42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41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340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339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338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31" count="1" selected="0">
            <x v="5"/>
          </reference>
        </references>
      </pivotArea>
    </format>
    <format dxfId="337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336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335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3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33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3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31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30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2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2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27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26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25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2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2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22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21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20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19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1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1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16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1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1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31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1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1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1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309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30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0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30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305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30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30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02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30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0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9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9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9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9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9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9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9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9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9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9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89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88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8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8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8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8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8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8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8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8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7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7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7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27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0"/>
          </reference>
        </references>
      </pivotArea>
    </format>
    <format dxfId="27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0"/>
          </reference>
        </references>
      </pivotArea>
    </format>
    <format dxfId="27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0"/>
          </reference>
        </references>
      </pivotArea>
    </format>
    <format dxfId="27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0"/>
          </reference>
        </references>
      </pivotArea>
    </format>
    <format dxfId="27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1"/>
          </reference>
        </references>
      </pivotArea>
    </format>
    <format dxfId="27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1"/>
          </reference>
        </references>
      </pivotArea>
    </format>
    <format dxfId="27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1"/>
          </reference>
        </references>
      </pivotArea>
    </format>
    <format dxfId="26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1"/>
          </reference>
        </references>
      </pivotArea>
    </format>
    <format dxfId="26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4"/>
          </reference>
          <reference field="31" count="1" selected="0">
            <x v="2"/>
          </reference>
        </references>
      </pivotArea>
    </format>
    <format dxfId="26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4"/>
          </reference>
          <reference field="31" count="1" selected="0">
            <x v="2"/>
          </reference>
        </references>
      </pivotArea>
    </format>
    <format dxfId="26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4"/>
          </reference>
          <reference field="31" count="1" selected="0">
            <x v="2"/>
          </reference>
        </references>
      </pivotArea>
    </format>
    <format dxfId="26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0">
            <x v="0"/>
            <x v="2"/>
            <x v="3"/>
            <x v="5"/>
            <x v="6"/>
            <x v="7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264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8">
            <x v="1"/>
            <x v="4"/>
            <x v="12"/>
            <x v="13"/>
            <x v="15"/>
            <x v="16"/>
            <x v="17"/>
            <x v="18"/>
          </reference>
          <reference field="31" count="1" selected="0">
            <x v="3"/>
          </reference>
        </references>
      </pivotArea>
    </format>
    <format dxfId="26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4"/>
          </reference>
          <reference field="31" count="1" selected="0">
            <x v="4"/>
          </reference>
        </references>
      </pivotArea>
    </format>
    <format dxfId="26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4"/>
          </reference>
          <reference field="31" count="1" selected="0">
            <x v="4"/>
          </reference>
        </references>
      </pivotArea>
    </format>
    <format dxfId="26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4"/>
          </reference>
          <reference field="31" count="1" selected="0">
            <x v="4"/>
          </reference>
        </references>
      </pivotArea>
    </format>
    <format dxfId="26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25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25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25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25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25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25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25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5"/>
          </reference>
        </references>
      </pivotArea>
    </format>
    <format dxfId="25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4"/>
          </reference>
          <reference field="31" count="1" selected="0">
            <x v="6"/>
          </reference>
        </references>
      </pivotArea>
    </format>
    <format dxfId="25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25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24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248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24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4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4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4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4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4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4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4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5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4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7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3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8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22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22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21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21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21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21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21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21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21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21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21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21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0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0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0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0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0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0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0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0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0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0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9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9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9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9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9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9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9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9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9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9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8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5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17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6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17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7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8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7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6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6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6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6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6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6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6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6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6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6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  <reference field="7" count="1" selected="0">
            <x v="0"/>
          </reference>
          <reference field="8" count="2">
            <x v="1"/>
            <x v="3"/>
          </reference>
          <reference field="31" count="1" selected="0">
            <x v="5"/>
          </reference>
        </references>
      </pivotArea>
    </format>
    <format dxfId="15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  <reference field="7" count="1" selected="0">
            <x v="1"/>
          </reference>
          <reference field="8" count="2">
            <x v="1"/>
            <x v="3"/>
          </reference>
          <reference field="31" count="1" selected="0">
            <x v="5"/>
          </reference>
        </references>
      </pivotArea>
    </format>
    <format dxfId="15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  <reference field="7" count="1" selected="0">
            <x v="3"/>
          </reference>
          <reference field="8" count="2">
            <x v="1"/>
            <x v="3"/>
          </reference>
          <reference field="31" count="1" selected="0">
            <x v="5"/>
          </reference>
        </references>
      </pivotArea>
    </format>
    <format dxfId="15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5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5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15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D880D64-7248-40B8-BD26-7E509E027AFF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DACA0725-2BB8-4ED4-A278-9956F145DCCF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0ECE6F2C-A842-4500-9018-F2FB87935366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B07E79-B713-42F0-A9F6-74E72F744A90}" name="Efeito" displayName="Efeito" ref="A1:AG2216" totalsRowShown="0" headerRowDxfId="1366" dataDxfId="1365">
  <autoFilter ref="A1:AG2216" xr:uid="{76B07E79-B713-42F0-A9F6-74E72F744A90}"/>
  <tableColumns count="33">
    <tableColumn id="1" xr3:uid="{3B7135D4-C91D-47EE-B9A4-E75D8157AC6D}" name="TipoMercado" dataDxfId="1364"/>
    <tableColumn id="2" xr3:uid="{78457964-D39A-4705-AF5F-4E3A345458B8}" name="Subgrupo" dataDxfId="1363"/>
    <tableColumn id="3" xr3:uid="{4FA1AE50-850F-4D48-B470-AE284FB76542}" name="Modalidade" dataDxfId="1362"/>
    <tableColumn id="4" xr3:uid="{F5E24741-6C69-4908-AAA3-341ADDC37C14}" name="Classe" dataDxfId="1361"/>
    <tableColumn id="5" xr3:uid="{978FC77A-87EA-4AE4-8D69-775F81363B86}" name="Subclasse" dataDxfId="1360"/>
    <tableColumn id="6" xr3:uid="{64B2D0DC-7398-4814-8B7B-62DD7D7AB2CB}" name="Detalhe" dataDxfId="1359"/>
    <tableColumn id="7" xr3:uid="{7AE7619F-CA05-413B-875C-09202D020CC0}" name="Agente" dataDxfId="1358"/>
    <tableColumn id="8" xr3:uid="{B0973479-1302-42EA-B786-8EA6FC9DFC28}" name="Posto" dataDxfId="1357"/>
    <tableColumn id="9" xr3:uid="{BF5AEF63-75FC-4049-8B6A-F5DAD2ECFEE1}" name="AnoMes" dataDxfId="1356"/>
    <tableColumn id="10" xr3:uid="{8EF46308-87F4-446E-9833-9161C93A2CF2}" name="D" dataDxfId="1355"/>
    <tableColumn id="11" xr3:uid="{0D9D0741-7578-4E57-A586-D4A621EB62A2}" name="Daj" dataDxfId="1354"/>
    <tableColumn id="12" xr3:uid="{A7F7F4B2-BB58-44CE-A9E8-2F5D578AD6CE}" name="TUSD_E" dataDxfId="1353"/>
    <tableColumn id="13" xr3:uid="{C6A9E85B-C3D0-4AC1-A7AB-E34797C0E734}" name="TUSD_Eaj" dataDxfId="1352"/>
    <tableColumn id="14" xr3:uid="{24355D92-ECF3-4580-925A-CDC8A0093302}" name="TE_E" dataDxfId="1351"/>
    <tableColumn id="15" xr3:uid="{37CC14FE-C1C1-4652-9ECA-1F49443F8972}" name="TE_Eaj" dataDxfId="1350"/>
    <tableColumn id="16" xr3:uid="{44F412DE-8835-4FF2-92D7-2A5110D8A437}" name="UC" dataDxfId="1349"/>
    <tableColumn id="17" xr3:uid="{925944B2-B6F8-4137-BF87-5A9818B4FC50}" name="OPÇÃO" dataDxfId="1348"/>
    <tableColumn id="18" xr3:uid="{0E3689E8-F60D-4B84-AD29-B46A5C8E1DBE}" name="CóD. AUX." dataDxfId="1347"/>
    <tableColumn id="19" xr3:uid="{A9061B63-924E-4FD5-A621-EE45D538F623}" name="CóD. AUX. TUSD R$/kW" dataDxfId="1346"/>
    <tableColumn id="20" xr3:uid="{94EE36B9-EC49-4513-8224-F246B5E30146}" name="CóD. AUX. TUSD R$/MWh" dataDxfId="1345"/>
    <tableColumn id="21" xr3:uid="{BB11D50F-3822-4985-B17F-A2CB7C156901}" name="CóD. AUX. TE R$/MWh" dataDxfId="1344"/>
    <tableColumn id="22" xr3:uid="{67CFD41F-4362-4DBD-AA7E-7AC997A1D626}" name="TUSD (R$/kW)" dataDxfId="1343"/>
    <tableColumn id="23" xr3:uid="{9D16572B-3A95-4B27-A347-11FE78756256}" name="TUSD (R$/MWh)" dataDxfId="1342"/>
    <tableColumn id="24" xr3:uid="{859AED31-81CD-43F2-9E85-ED8579405111}" name="TE (R$/MWh)" dataDxfId="1341"/>
    <tableColumn id="25" xr3:uid="{B0A092F2-8422-42C7-A4ED-FFAD23716FFB}" name="TUSD (R$/kW) NOVA" dataDxfId="1340"/>
    <tableColumn id="26" xr3:uid="{07757C98-2F3A-405C-8E5C-9D060C418A6F}" name="TUSD (R$/MWh) NOVA" dataDxfId="1339">
      <calculatedColumnFormula>('TUSD BE'!$AM$64+'TUSD BF'!$AM$64+'TUSD CVA'!$AM$64)*1</calculatedColumnFormula>
    </tableColumn>
    <tableColumn id="27" xr3:uid="{520872F4-1EDE-46C2-B2C1-21CF6BC58849}" name="TE (R$/MWh) NOVA" dataDxfId="1338">
      <calculatedColumnFormula>('TE BE'!$AB$43+'TE BF'!$AB$43+'TE CVA'!$AB$43)*1</calculatedColumnFormula>
    </tableColumn>
    <tableColumn id="28" xr3:uid="{B2C0097D-AFF7-4873-BF6D-A2150F108FB0}" name="RA0 ou RV - TUSD (kW)" dataDxfId="1337"/>
    <tableColumn id="29" xr3:uid="{EAB59638-938E-4417-B8B4-7C382E37BFD8}" name="RA0 ou RV - TUSD (MWh)" dataDxfId="1336"/>
    <tableColumn id="30" xr3:uid="{ED53E06D-F73C-4FFB-BCDB-C96C1ACD92BC}" name="RA0 ou RV - TE (MWh)" dataDxfId="1335"/>
    <tableColumn id="31" xr3:uid="{C207C5CB-D811-46FC-B40D-C00839F155F4}" name="RA1 ou RRD - TUSD (kW)" dataDxfId="1334"/>
    <tableColumn id="32" xr3:uid="{93A4FB12-86FB-4D95-9608-9A8F023093E3}" name="RA1 ou RRD - TUSD (MWh)" dataDxfId="1333"/>
    <tableColumn id="33" xr3:uid="{D2FC58A6-58AA-42AE-920C-9DC6C3E9378F}" name="RA1 ou RRD - TE (MWh)" dataDxfId="13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1F1720-2A66-4C3A-9EE9-57EF1E6A5453}" name="Subsidio" displayName="Subsidio" ref="A1:AF1017" totalsRowShown="0" headerRowDxfId="1331" dataDxfId="1330">
  <autoFilter ref="A1:AF1017" xr:uid="{521F1720-2A66-4C3A-9EE9-57EF1E6A5453}"/>
  <tableColumns count="32">
    <tableColumn id="1" xr3:uid="{8DBA5BD9-28DB-46F8-83F2-04E4B3170010}" name="TipoMercado" dataDxfId="1329"/>
    <tableColumn id="2" xr3:uid="{D37417AA-996C-4CD6-A7D0-95911484E672}" name="Subgrupo" dataDxfId="1328"/>
    <tableColumn id="3" xr3:uid="{13BB15BF-DC71-46B1-80C3-ACF3AC06D348}" name="Modalidade" dataDxfId="1327"/>
    <tableColumn id="4" xr3:uid="{50F17C19-CD67-40EE-9039-4AC334F24BE3}" name="Classe" dataDxfId="1326"/>
    <tableColumn id="5" xr3:uid="{5846FFBD-427E-4BED-ADCB-72FCAA8F0E27}" name="Subclasse" dataDxfId="1325"/>
    <tableColumn id="6" xr3:uid="{58302DE2-5381-419A-8142-513028CCFA77}" name="Detalhe" dataDxfId="1324"/>
    <tableColumn id="7" xr3:uid="{C07ABB09-D669-4F0C-B815-C2D9E40C2DC8}" name="Agente" dataDxfId="1323"/>
    <tableColumn id="8" xr3:uid="{D9A2F414-0702-4E44-88D6-922F54154E32}" name="Posto" dataDxfId="1322"/>
    <tableColumn id="9" xr3:uid="{AE241666-852D-4D6F-8212-24E57E519A45}" name="AnoMes" dataDxfId="1321"/>
    <tableColumn id="10" xr3:uid="{7DB17F45-9890-4E64-8B3B-4EB9634BB3C5}" name="D" dataDxfId="1320"/>
    <tableColumn id="11" xr3:uid="{F95F3E79-0485-4243-B572-C8C9FD1EF06D}" name="Daj" dataDxfId="1319"/>
    <tableColumn id="12" xr3:uid="{77E389E3-822B-4DEA-849D-D50B7E86F750}" name="TUSD_E" dataDxfId="1318"/>
    <tableColumn id="13" xr3:uid="{AF853F6E-85B1-459E-AA32-959D2ED02A71}" name="TUSD_Eaj" dataDxfId="1317"/>
    <tableColumn id="14" xr3:uid="{3E667A7F-7E28-43D8-BE04-A6A9E6AC1B7B}" name="TE_E" dataDxfId="1316"/>
    <tableColumn id="15" xr3:uid="{E597765A-86C3-4EEF-AF72-1BB87E89DD05}" name="TE_Eaj" dataDxfId="1315"/>
    <tableColumn id="16" xr3:uid="{85E23F2F-278D-4229-9265-D90DE973107E}" name="UC" dataDxfId="1314"/>
    <tableColumn id="17" xr3:uid="{EEB63048-3A12-46C9-B5EF-50BB0E6E08DF}" name="OPÇÃO" dataDxfId="1313"/>
    <tableColumn id="18" xr3:uid="{6B90D7C8-5983-4029-8D1B-4C5049F207F9}" name="CóD. AUX." dataDxfId="1312"/>
    <tableColumn id="19" xr3:uid="{38E5372B-C78C-456F-B599-E96251166E67}" name="CóD. AUX. TUSD R$/kW" dataDxfId="1311"/>
    <tableColumn id="20" xr3:uid="{3D042DAE-F7BC-4110-8927-E3982036D1DD}" name="CóD. AUX. TUSD R$/MWh" dataDxfId="1310"/>
    <tableColumn id="21" xr3:uid="{B4E2C537-3F88-4BCC-B2B6-E965CFD4F61F}" name="CóD. AUX. TE R$/MWh" dataDxfId="1309"/>
    <tableColumn id="22" xr3:uid="{B2F60FE7-8AD2-4474-BD59-FE1F18EFC58A}" name="TUSD (R$/kW)" dataDxfId="1308"/>
    <tableColumn id="23" xr3:uid="{615290F8-94C6-4FA8-93D2-F0344456AF92}" name="TUSD (R$/MWh)" dataDxfId="1307"/>
    <tableColumn id="24" xr3:uid="{6DF4923F-8F8C-4BE1-AC3A-F1EF6CF608C3}" name="TE (R$/MWh)" dataDxfId="1306"/>
    <tableColumn id="25" xr3:uid="{DBC5C745-8232-4C2E-A0BD-7C5FD8E7D0AA}" name="TUSD (R$/kW) NOVA" dataDxfId="1305"/>
    <tableColumn id="26" xr3:uid="{253706C1-DF51-43B2-821A-726633DF9F59}" name="TUSD (R$/MWh) NOVA" dataDxfId="1304">
      <calculatedColumnFormula>('TUSD BE'!$AM$62+'TUSD BF'!$AM$62+'TUSD CVA'!$AM$62)*1</calculatedColumnFormula>
    </tableColumn>
    <tableColumn id="27" xr3:uid="{773600E5-0987-4900-BFBE-AC76DD083F91}" name="TE (R$/MWh) NOVA" dataDxfId="1303">
      <calculatedColumnFormula>('TE BE'!$AB$41+'TE BF'!$AB$41+'TE CVA'!$AB$41)*1</calculatedColumnFormula>
    </tableColumn>
    <tableColumn id="28" xr3:uid="{FA58FD19-C02C-4183-8720-96D82DD172A8}" name="SUBSIDIO kW - TV" dataDxfId="1302">
      <calculatedColumnFormula>(J2-K2)*V2</calculatedColumnFormula>
    </tableColumn>
    <tableColumn id="29" xr3:uid="{036B1A17-A703-4543-B2A8-BB26F0AE5910}" name="SUBSIDIO MWh - TV" dataDxfId="1301">
      <calculatedColumnFormula>(L2-M2)*W2+(N2-O2)*X2</calculatedColumnFormula>
    </tableColumn>
    <tableColumn id="30" xr3:uid="{88532328-0F8C-4954-9614-B2E062D99AE9}" name="SUBSIDIO kW - TN" dataDxfId="1300">
      <calculatedColumnFormula>(J2-K2)*Y2</calculatedColumnFormula>
    </tableColumn>
    <tableColumn id="31" xr3:uid="{481B7B91-61EE-431A-9F37-4CEBFE45B191}" name="SUBSIDIO MWh - TN" dataDxfId="1299">
      <calculatedColumnFormula>(L2-M2)*Z2+(N2-O2)*AA2</calculatedColumnFormula>
    </tableColumn>
    <tableColumn id="32" xr3:uid="{809E060E-909D-4906-9134-DC54382A5F06}" name="TIPO" dataDxfId="129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DAC2FC8-E364-4F60-995F-454E7080358C}" name="TabelaFin" displayName="TabelaFin" ref="B3:AT68" tableType="queryTable" totalsRowShown="0" headerRowDxfId="101" dataDxfId="100" headerRowBorderDxfId="148" tableBorderDxfId="149" totalsRowBorderDxfId="147">
  <autoFilter ref="B3:AT68" xr:uid="{3DAC2FC8-E364-4F60-995F-454E7080358C}"/>
  <sortState xmlns:xlrd2="http://schemas.microsoft.com/office/spreadsheetml/2017/richdata2" ref="B4:AT68">
    <sortCondition ref="B4:B68"/>
    <sortCondition ref="C4:C68"/>
    <sortCondition ref="D4:D68"/>
    <sortCondition ref="E4:E68"/>
    <sortCondition ref="F4:F68"/>
    <sortCondition descending="1" ref="G4:G68"/>
    <sortCondition descending="1" ref="H4:H68"/>
    <sortCondition ref="I4:I68"/>
  </sortState>
  <tableColumns count="45">
    <tableColumn id="46" xr3:uid="{437B4AF8-B015-41B7-8415-7177F8C66006}" uniqueName="46" name="SUBGRUPO" queryTableFieldId="1" dataDxfId="146"/>
    <tableColumn id="47" xr3:uid="{97F52D97-A66F-48CD-915A-C476007523D9}" uniqueName="47" name="MODALIDADE" queryTableFieldId="2" dataDxfId="145"/>
    <tableColumn id="48" xr3:uid="{8EF4F1C8-236C-45C4-B070-EA10F3411AD3}" uniqueName="48" name="CLASSE" queryTableFieldId="3" dataDxfId="144"/>
    <tableColumn id="49" xr3:uid="{AA5328B9-7B2C-4626-AE98-DC442D050861}" uniqueName="49" name="SUBCLASSE" queryTableFieldId="4" dataDxfId="143"/>
    <tableColumn id="50" xr3:uid="{9CAAFEB7-681A-4D56-B690-0C1E6A864A6F}" uniqueName="50" name="DETALHE" queryTableFieldId="5" dataDxfId="142"/>
    <tableColumn id="51" xr3:uid="{AB1B508D-10B1-4791-A16D-166D9E695E4F}" uniqueName="51" name="POSTO" queryTableFieldId="6" dataDxfId="141"/>
    <tableColumn id="52" xr3:uid="{8A6ED3C7-38E0-4A29-908A-79C3C336824E}" uniqueName="52" name="UNIDADE" queryTableFieldId="7" dataDxfId="140"/>
    <tableColumn id="53" xr3:uid="{15D5969B-214E-46A1-A6D7-4C9C00A4F074}" uniqueName="53" name="ACESSANTE" queryTableFieldId="8" dataDxfId="139"/>
    <tableColumn id="54" xr3:uid="{4888AEB5-A9C4-4F53-9CCD-92837121946F}" uniqueName="54" name="Total TUSD" queryTableFieldId="9" dataDxfId="138"/>
    <tableColumn id="55" xr3:uid="{DC3E19A2-91EA-414C-9C1E-02D1613A0F1E}" uniqueName="55" name="Total TE" queryTableFieldId="10" dataDxfId="137"/>
    <tableColumn id="56" xr3:uid="{25938821-1E46-414D-B05C-D64FCF54A550}" uniqueName="56" name="TUSD_CDE_COVID" queryTableFieldId="11" dataDxfId="136"/>
    <tableColumn id="57" xr3:uid="{958FB289-5BE8-40BB-9ACE-5A52E222696A}" uniqueName="57" name="TUSD_TFSEE" queryTableFieldId="12" dataDxfId="135"/>
    <tableColumn id="58" xr3:uid="{D82CE316-C531-4030-84F3-EF59159FA78F}" uniqueName="58" name="TUSD_PeD" queryTableFieldId="13" dataDxfId="134"/>
    <tableColumn id="59" xr3:uid="{F9D61514-9690-489E-AFB9-AA79C2F76060}" uniqueName="59" name="TUSD_ONS" queryTableFieldId="14" dataDxfId="133"/>
    <tableColumn id="60" xr3:uid="{0CBD47E8-3CD7-4F10-B4B1-3B3D482B8D92}" uniqueName="60" name="TUSD_CCC" queryTableFieldId="15" dataDxfId="132"/>
    <tableColumn id="61" xr3:uid="{D9A07C0A-FBD6-4334-BDA0-835DAF8800DF}" uniqueName="61" name="TUSD_CDE" queryTableFieldId="16" dataDxfId="131"/>
    <tableColumn id="62" xr3:uid="{D1D4724E-1B50-41C7-BD39-59F0EA2294A7}" uniqueName="62" name="TUSD_PROINFA" queryTableFieldId="17" dataDxfId="130"/>
    <tableColumn id="63" xr3:uid="{9A264C3A-0FFA-4206-B93E-7B8EEF7B299F}" uniqueName="63" name="Liminar1" queryTableFieldId="18" dataDxfId="129"/>
    <tableColumn id="64" xr3:uid="{E8A8CAB4-93D2-48C2-829B-0A367668CFE7}" uniqueName="64" name="TUSD_RB" queryTableFieldId="19" dataDxfId="128"/>
    <tableColumn id="65" xr3:uid="{7D08B379-C2F4-4C6B-9C76-756208083F93}" uniqueName="65" name="TUSD_FR" queryTableFieldId="20" dataDxfId="127"/>
    <tableColumn id="66" xr3:uid="{7B10C4B8-D847-4FB5-B4F8-017DABD9EB0B}" uniqueName="66" name="TUSD_CCT" queryTableFieldId="21" dataDxfId="126"/>
    <tableColumn id="67" xr3:uid="{D55018D3-72DA-4A02-8326-8AACEB413296}" uniqueName="67" name="TUSD_CCD" queryTableFieldId="22" dataDxfId="125"/>
    <tableColumn id="68" xr3:uid="{9A330AC9-111B-4961-A456-7AF906ACB081}" uniqueName="68" name="TUSD_CUSD" queryTableFieldId="23" dataDxfId="124"/>
    <tableColumn id="69" xr3:uid="{A8D54A36-403B-4D52-8B9C-232AF0E41ECC}" uniqueName="69" name="TUSDG_T" queryTableFieldId="24" dataDxfId="123"/>
    <tableColumn id="70" xr3:uid="{F13FCB02-6DE9-4123-88BE-EC3D255012B9}" uniqueName="70" name="TUSDG_ONS" queryTableFieldId="25" dataDxfId="122"/>
    <tableColumn id="71" xr3:uid="{756177C2-5873-4737-B4CB-CA2A9DADEEE1}" uniqueName="71" name="TUSD_FioB" queryTableFieldId="26" dataDxfId="121"/>
    <tableColumn id="72" xr3:uid="{C0AC72E3-0DD2-4DB3-97F7-AE765FB7715E}" uniqueName="72" name="TUSD Subsidio" queryTableFieldId="27" dataDxfId="120"/>
    <tableColumn id="73" xr3:uid="{6688593B-C009-4FE7-8445-6E649485C4D6}" uniqueName="73" name="TUSD BENEFICIO_L14299" queryTableFieldId="28" dataDxfId="119"/>
    <tableColumn id="74" xr3:uid="{CDA05CEA-17D7-4C09-A68E-3FB144CF6916}" uniqueName="74" name="TUSD Outros" queryTableFieldId="29" dataDxfId="118"/>
    <tableColumn id="75" xr3:uid="{768521C9-F7AD-4D56-B37C-59AF9926BA97}" uniqueName="75" name="TUSD_PT" queryTableFieldId="30" dataDxfId="117"/>
    <tableColumn id="76" xr3:uid="{579A538A-E270-471F-BA00-CCDB1ECDE6E6}" uniqueName="76" name="TUSD_Per_RB_D" queryTableFieldId="31" dataDxfId="116"/>
    <tableColumn id="77" xr3:uid="{734F1CF1-5CBB-470D-94C9-B20D68B252F7}" uniqueName="77" name="TUSD_PNT" queryTableFieldId="32" dataDxfId="115"/>
    <tableColumn id="78" xr3:uid="{611776C2-54DA-4992-BE8D-D82505E1FBB9}" uniqueName="78" name="TUSD_RI" queryTableFieldId="33" dataDxfId="114"/>
    <tableColumn id="79" xr3:uid="{67FDEE90-A364-4EE9-ABE5-005B3F47925E}" uniqueName="79" name="TE_CDE_COVID" queryTableFieldId="34" dataDxfId="113"/>
    <tableColumn id="80" xr3:uid="{D8E4F064-5F5F-40C0-8921-4FD83616DB59}" uniqueName="80" name="TE_CDE_ELET" queryTableFieldId="35" dataDxfId="112"/>
    <tableColumn id="81" xr3:uid="{EA1AD819-F089-4A1D-8194-65976C357B1D}" uniqueName="81" name="TE_PeD" queryTableFieldId="36" dataDxfId="111"/>
    <tableColumn id="82" xr3:uid="{41B98789-2A8A-48D6-9C16-87C29685358D}" uniqueName="82" name="TE_ESSERR" queryTableFieldId="37" dataDxfId="110"/>
    <tableColumn id="83" xr3:uid="{6D526836-1804-4D9C-9D99-6758153DA1F2}" uniqueName="83" name="TE_CFURH" queryTableFieldId="38" dataDxfId="109"/>
    <tableColumn id="84" xr3:uid="{01D0A5B7-3458-490C-BB56-6B73D523FAA5}" uniqueName="84" name="TE_ENERGIA" queryTableFieldId="39" dataDxfId="108"/>
    <tableColumn id="85" xr3:uid="{07A1D4E8-6008-4D24-8AE0-25122DD1E982}" uniqueName="85" name="TE_TRANSPORTE_ITAIPU" queryTableFieldId="40" dataDxfId="107"/>
    <tableColumn id="86" xr3:uid="{6D00E077-D412-4E83-BB86-F1A69BA74F72}" uniqueName="86" name="TE_TUST_ITAIPU" queryTableFieldId="41" dataDxfId="106"/>
    <tableColumn id="87" xr3:uid="{91B15BEB-FEDE-4565-B21D-63DC62268325}" uniqueName="87" name="TE_TUST_CI" queryTableFieldId="42" dataDxfId="105"/>
    <tableColumn id="88" xr3:uid="{6C6EC3D7-9E13-4E3C-9357-4C594B311BFE}" uniqueName="88" name="TE Subsidio" queryTableFieldId="43" dataDxfId="104"/>
    <tableColumn id="89" xr3:uid="{1B906394-7BFA-4B71-A98A-9CA1EB94DE0E}" uniqueName="89" name="TE BENEFICIO_L14299" queryTableFieldId="44" dataDxfId="103"/>
    <tableColumn id="90" xr3:uid="{7CBF7AC0-6B9D-41A9-89E1-643E9870A79D}" uniqueName="90" name="TE_Per_RB" queryTableFieldId="45" dataDxfId="10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59850FA-50FE-40D5-BC0D-E761B58D4E16}" name="TabelaEc" displayName="TabelaEc" ref="B3:AT68" tableType="queryTable" totalsRowShown="0" headerRowDxfId="51" dataDxfId="50" headerRowBorderDxfId="98" tableBorderDxfId="99" totalsRowBorderDxfId="97">
  <autoFilter ref="B3:AT68" xr:uid="{E59850FA-50FE-40D5-BC0D-E761B58D4E16}"/>
  <sortState xmlns:xlrd2="http://schemas.microsoft.com/office/spreadsheetml/2017/richdata2" ref="B4:AT68">
    <sortCondition ref="B4:B68"/>
    <sortCondition ref="C4:C68"/>
    <sortCondition ref="D4:D68"/>
    <sortCondition ref="E4:E68"/>
    <sortCondition ref="F4:F68"/>
    <sortCondition descending="1" ref="G4:G68"/>
    <sortCondition descending="1" ref="H4:H68"/>
    <sortCondition ref="I4:I68"/>
  </sortState>
  <tableColumns count="45">
    <tableColumn id="46" xr3:uid="{A8447EA2-A6C5-48A2-BDF6-9947BA37133C}" uniqueName="46" name="SUBGRUPO" queryTableFieldId="1" dataDxfId="96"/>
    <tableColumn id="47" xr3:uid="{1F8150AA-86C9-4F16-B310-F067C5BC09AC}" uniqueName="47" name="MODALIDADE" queryTableFieldId="2" dataDxfId="95"/>
    <tableColumn id="48" xr3:uid="{F13FE7B6-772F-40AE-958F-3CD3BB18A69C}" uniqueName="48" name="CLASSE" queryTableFieldId="3" dataDxfId="94"/>
    <tableColumn id="49" xr3:uid="{413D5487-51F7-498A-B5D8-C9E53DE8D93F}" uniqueName="49" name="SUBCLASSE" queryTableFieldId="4" dataDxfId="93"/>
    <tableColumn id="50" xr3:uid="{5D724D24-16AB-4D12-BAAC-5AF4E8322510}" uniqueName="50" name="DETALHE" queryTableFieldId="5" dataDxfId="92"/>
    <tableColumn id="51" xr3:uid="{FE96CEFE-FD65-4CCF-BDF0-135D5FBF674D}" uniqueName="51" name="POSTO" queryTableFieldId="6" dataDxfId="91"/>
    <tableColumn id="52" xr3:uid="{3DC01C5A-BD3A-4119-A6AF-AC67F6C11E74}" uniqueName="52" name="UNIDADE" queryTableFieldId="7" dataDxfId="90"/>
    <tableColumn id="53" xr3:uid="{BAD01567-DC83-4A94-838C-ADBDDFC3A155}" uniqueName="53" name="ACESSANTE" queryTableFieldId="8" dataDxfId="89"/>
    <tableColumn id="54" xr3:uid="{8F1FD56A-087E-4BFA-A8BB-A72C2B2E5BAD}" uniqueName="54" name="Total TUSD" queryTableFieldId="9" dataDxfId="88"/>
    <tableColumn id="55" xr3:uid="{AD5DA97B-C759-4516-861E-5F0117EEFF1D}" uniqueName="55" name="Total TE" queryTableFieldId="10" dataDxfId="87"/>
    <tableColumn id="56" xr3:uid="{C0AB6543-B687-4FB7-BB2F-63AC7790FBF5}" uniqueName="56" name="TUSD_CDE_COVID" queryTableFieldId="11" dataDxfId="86"/>
    <tableColumn id="57" xr3:uid="{0E119F2F-CC00-46E9-B2D6-8564D8A46C54}" uniqueName="57" name="TUSD_TFSEE" queryTableFieldId="12" dataDxfId="85"/>
    <tableColumn id="58" xr3:uid="{39D3D17A-6A3E-4AC8-AED3-5C7D82255EA8}" uniqueName="58" name="TUSD_PeD" queryTableFieldId="13" dataDxfId="84"/>
    <tableColumn id="59" xr3:uid="{C34D6471-2E9F-4C4A-A0E6-19171B4D8F46}" uniqueName="59" name="TUSD_ONS" queryTableFieldId="14" dataDxfId="83"/>
    <tableColumn id="60" xr3:uid="{5C8F1A01-BEF1-4205-BED5-996380CD5498}" uniqueName="60" name="TUSD_CCC" queryTableFieldId="15" dataDxfId="82"/>
    <tableColumn id="61" xr3:uid="{C9027926-B0F5-4180-BC55-33AE0F52F3D5}" uniqueName="61" name="TUSD_CDE" queryTableFieldId="16" dataDxfId="81"/>
    <tableColumn id="62" xr3:uid="{32A768FF-21F6-4A3E-80EF-DB37B773E1BA}" uniqueName="62" name="TUSD_PROINFA" queryTableFieldId="17" dataDxfId="80"/>
    <tableColumn id="63" xr3:uid="{65AE7E26-9817-42A6-9822-D7BBFCB50FB3}" uniqueName="63" name="Liminar1" queryTableFieldId="18" dataDxfId="79"/>
    <tableColumn id="64" xr3:uid="{1817B398-5F19-41EA-9E32-F0608422BE2B}" uniqueName="64" name="TUSD_RB" queryTableFieldId="19" dataDxfId="78"/>
    <tableColumn id="65" xr3:uid="{5380A814-40A0-43CA-AECA-2BC5A07A53C3}" uniqueName="65" name="TUSD_FR" queryTableFieldId="20" dataDxfId="77"/>
    <tableColumn id="66" xr3:uid="{EAA4B98F-AC11-4597-8766-23DE64131D76}" uniqueName="66" name="TUSD_CCT" queryTableFieldId="21" dataDxfId="76"/>
    <tableColumn id="67" xr3:uid="{9B0C7002-0F90-464E-8919-8E13B9138DB1}" uniqueName="67" name="TUSD_CCD" queryTableFieldId="22" dataDxfId="75"/>
    <tableColumn id="68" xr3:uid="{20320AE3-C34D-472C-B215-4D0C101844E7}" uniqueName="68" name="TUSD_CUSD" queryTableFieldId="23" dataDxfId="74"/>
    <tableColumn id="69" xr3:uid="{0240CEC9-8C71-4CBF-A515-BA5F37E21AB4}" uniqueName="69" name="TUSDG_T" queryTableFieldId="24" dataDxfId="73"/>
    <tableColumn id="70" xr3:uid="{8095B4AE-3ABD-4792-B011-8FD6D66D5DF8}" uniqueName="70" name="TUSDG_ONS" queryTableFieldId="25" dataDxfId="72"/>
    <tableColumn id="71" xr3:uid="{146B8A3D-867C-471D-B3B8-4CF4F47517EB}" uniqueName="71" name="TUSD_FioB" queryTableFieldId="26" dataDxfId="71"/>
    <tableColumn id="72" xr3:uid="{602EC160-830E-4404-BC92-B0CC5EC883DC}" uniqueName="72" name="TUSD Subsidio" queryTableFieldId="27" dataDxfId="70"/>
    <tableColumn id="73" xr3:uid="{2831A6C2-9B18-477E-9698-AC3B590E84C8}" uniqueName="73" name="TUSD BENEFICIO_L14299" queryTableFieldId="28" dataDxfId="69"/>
    <tableColumn id="74" xr3:uid="{93BC0463-AC8D-450B-A893-29CF84D6B586}" uniqueName="74" name="TUSD Outros" queryTableFieldId="29" dataDxfId="68"/>
    <tableColumn id="75" xr3:uid="{5EB20CBB-A7BD-4AC6-B1DE-C42415B1FA9F}" uniqueName="75" name="TUSD_PT" queryTableFieldId="30" dataDxfId="67"/>
    <tableColumn id="76" xr3:uid="{278045AE-B867-44F3-ACE6-6ECF13099D0D}" uniqueName="76" name="TUSD_Per_RB_D" queryTableFieldId="31" dataDxfId="66"/>
    <tableColumn id="77" xr3:uid="{6AA4501F-A37B-4C90-A98A-B41D019387D9}" uniqueName="77" name="TUSD_PNT" queryTableFieldId="32" dataDxfId="65"/>
    <tableColumn id="78" xr3:uid="{9684BFE4-9AA7-450D-A672-B169DDCA858D}" uniqueName="78" name="TUSD_RI" queryTableFieldId="33" dataDxfId="64"/>
    <tableColumn id="79" xr3:uid="{01B32664-F98B-4DDB-89C0-F96E96513346}" uniqueName="79" name="TE_CDE_COVID" queryTableFieldId="34" dataDxfId="63"/>
    <tableColumn id="80" xr3:uid="{7A7D740C-24CC-47E4-83F5-C708CC35BB1F}" uniqueName="80" name="TE_CDE_ELET" queryTableFieldId="35" dataDxfId="62"/>
    <tableColumn id="81" xr3:uid="{E16967CC-B052-4DB2-B5AA-BEEA54437AF4}" uniqueName="81" name="TE_PeD" queryTableFieldId="36" dataDxfId="61"/>
    <tableColumn id="82" xr3:uid="{05EBEEE5-E79B-4A0A-897C-1E47B2419FF1}" uniqueName="82" name="TE_ESSERR" queryTableFieldId="37" dataDxfId="60"/>
    <tableColumn id="83" xr3:uid="{B7EE83F4-0A38-449C-B9FA-54B40DBE25A4}" uniqueName="83" name="TE_CFURH" queryTableFieldId="38" dataDxfId="59"/>
    <tableColumn id="84" xr3:uid="{C44490FD-5065-4A78-82EA-2D05C99C4375}" uniqueName="84" name="TE_ENERGIA" queryTableFieldId="39" dataDxfId="58"/>
    <tableColumn id="85" xr3:uid="{475A054A-0126-4261-BECC-A4C22EF80470}" uniqueName="85" name="TE_TRANSPORTE_ITAIPU" queryTableFieldId="40" dataDxfId="57"/>
    <tableColumn id="86" xr3:uid="{03276C4D-18E3-4901-8730-19F16CF2ACA7}" uniqueName="86" name="TE_TUST_ITAIPU" queryTableFieldId="41" dataDxfId="56"/>
    <tableColumn id="87" xr3:uid="{A203B584-8137-4E74-95C6-4290DA6C483D}" uniqueName="87" name="TE_TUST_CI" queryTableFieldId="42" dataDxfId="55"/>
    <tableColumn id="88" xr3:uid="{C5C0CB8A-BD0B-4CD4-A2A1-BABFF547275B}" uniqueName="88" name="TE Subsidio" queryTableFieldId="43" dataDxfId="54"/>
    <tableColumn id="89" xr3:uid="{4E2CB079-E506-42F2-9217-9C9F2B75270B}" uniqueName="89" name="TE BENEFICIO_L14299" queryTableFieldId="44" dataDxfId="53"/>
    <tableColumn id="90" xr3:uid="{DF0F45B0-07FD-4D8A-BE38-9EE515725C90}" uniqueName="90" name="TE_Per_RB" queryTableFieldId="45" dataDxfId="5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78F17F4-428D-43B3-8EA9-F377D8E48E21}" name="TabelaCVA" displayName="TabelaCVA" ref="B3:AT68" tableType="queryTable" totalsRowShown="0" headerRowDxfId="1" dataDxfId="0" headerRowBorderDxfId="48" tableBorderDxfId="49" totalsRowBorderDxfId="47">
  <autoFilter ref="B3:AT68" xr:uid="{878F17F4-428D-43B3-8EA9-F377D8E48E21}"/>
  <sortState xmlns:xlrd2="http://schemas.microsoft.com/office/spreadsheetml/2017/richdata2" ref="B4:AT68">
    <sortCondition ref="B4:B68"/>
    <sortCondition ref="C4:C68"/>
    <sortCondition ref="D4:D68"/>
    <sortCondition ref="E4:E68"/>
    <sortCondition ref="F4:F68"/>
    <sortCondition descending="1" ref="G4:G68"/>
    <sortCondition descending="1" ref="H4:H68"/>
    <sortCondition ref="I4:I68"/>
  </sortState>
  <tableColumns count="45">
    <tableColumn id="46" xr3:uid="{A7B2A4E7-2B5E-42FA-9D64-AE335C688BB7}" uniqueName="46" name="SUBGRUPO" queryTableFieldId="1" dataDxfId="46"/>
    <tableColumn id="47" xr3:uid="{D1D201A7-43FA-4088-A83B-87D40E293457}" uniqueName="47" name="MODALIDADE" queryTableFieldId="2" dataDxfId="45"/>
    <tableColumn id="48" xr3:uid="{A48C0826-A684-47AC-B047-ED509BAC6C06}" uniqueName="48" name="CLASSE" queryTableFieldId="3" dataDxfId="44"/>
    <tableColumn id="49" xr3:uid="{FEC5D536-AF39-4259-BAAA-887B8F4B8DEC}" uniqueName="49" name="SUBCLASSE" queryTableFieldId="4" dataDxfId="43"/>
    <tableColumn id="50" xr3:uid="{83314D0F-9CB6-4787-ACEF-D757675CCCEC}" uniqueName="50" name="DETALHE" queryTableFieldId="5" dataDxfId="42"/>
    <tableColumn id="51" xr3:uid="{A2441C53-A2B5-4F2D-A1EF-34A227B1581E}" uniqueName="51" name="POSTO" queryTableFieldId="6" dataDxfId="41"/>
    <tableColumn id="52" xr3:uid="{1013D793-6A7A-4714-A166-09D99CECB1C8}" uniqueName="52" name="UNIDADE" queryTableFieldId="7" dataDxfId="40"/>
    <tableColumn id="53" xr3:uid="{EBA4D8BF-2D7E-4854-B069-A27339DF49A9}" uniqueName="53" name="ACESSANTE" queryTableFieldId="8" dataDxfId="39"/>
    <tableColumn id="54" xr3:uid="{3BA11E76-25F8-44C1-B74E-BD837ACB10AA}" uniqueName="54" name="Total TUSD" queryTableFieldId="9" dataDxfId="38"/>
    <tableColumn id="55" xr3:uid="{4B739CB9-268B-4F77-B3A2-00F0633CAD1B}" uniqueName="55" name="Total TE" queryTableFieldId="10" dataDxfId="37"/>
    <tableColumn id="56" xr3:uid="{D1B815EF-80EB-473C-AC72-90C99ED1A2BE}" uniqueName="56" name="TUSD_CDE_COVID" queryTableFieldId="11" dataDxfId="36"/>
    <tableColumn id="57" xr3:uid="{9B4623F9-70C8-4028-8810-DCF9578B5869}" uniqueName="57" name="TUSD_TFSEE" queryTableFieldId="12" dataDxfId="35"/>
    <tableColumn id="58" xr3:uid="{BE9397A2-8FC5-4D48-9F95-A8EA9DB72E1D}" uniqueName="58" name="TUSD_PeD" queryTableFieldId="13" dataDxfId="34"/>
    <tableColumn id="59" xr3:uid="{94A575DE-60D0-414B-8700-916CD9D9B580}" uniqueName="59" name="TUSD_ONS" queryTableFieldId="14" dataDxfId="33"/>
    <tableColumn id="60" xr3:uid="{A7181DB6-490B-43A9-9743-038557D672D2}" uniqueName="60" name="TUSD_CCC" queryTableFieldId="15" dataDxfId="32"/>
    <tableColumn id="61" xr3:uid="{980AF365-13D0-400B-A14F-79A76A008784}" uniqueName="61" name="TUSD_CDE" queryTableFieldId="16" dataDxfId="31"/>
    <tableColumn id="62" xr3:uid="{B9218E4F-8715-40E2-9A31-DD03B159B64B}" uniqueName="62" name="TUSD_PROINFA" queryTableFieldId="17" dataDxfId="30"/>
    <tableColumn id="63" xr3:uid="{AEA4A6DF-A91A-478C-B424-45157EEC57A4}" uniqueName="63" name="Liminar1" queryTableFieldId="18" dataDxfId="29"/>
    <tableColumn id="64" xr3:uid="{14547208-3C5C-4E04-B28A-F1A0B0F00969}" uniqueName="64" name="TUSD_RB" queryTableFieldId="19" dataDxfId="28"/>
    <tableColumn id="65" xr3:uid="{1A894833-A673-413E-BDC6-8C8B182A097E}" uniqueName="65" name="TUSD_FR" queryTableFieldId="20" dataDxfId="27"/>
    <tableColumn id="66" xr3:uid="{CE244D36-BC81-4230-AF13-C335E59222A9}" uniqueName="66" name="TUSD_CCT" queryTableFieldId="21" dataDxfId="26"/>
    <tableColumn id="67" xr3:uid="{30E908AB-83F4-4A8C-BD53-E589A5301165}" uniqueName="67" name="TUSD_CCD" queryTableFieldId="22" dataDxfId="25"/>
    <tableColumn id="68" xr3:uid="{4B4045C8-A915-4065-8773-9552494B8128}" uniqueName="68" name="TUSD_CUSD" queryTableFieldId="23" dataDxfId="24"/>
    <tableColumn id="69" xr3:uid="{89EE9E60-1C8D-47EF-86E1-6507E1AE2DDB}" uniqueName="69" name="TUSDG_T" queryTableFieldId="24" dataDxfId="23"/>
    <tableColumn id="70" xr3:uid="{1CDD65E3-42FD-4A8D-B799-929B0644F902}" uniqueName="70" name="TUSDG_ONS" queryTableFieldId="25" dataDxfId="22"/>
    <tableColumn id="71" xr3:uid="{6174788B-F8CD-46DD-9FED-F838C6800F41}" uniqueName="71" name="TUSD_FioB" queryTableFieldId="26" dataDxfId="21"/>
    <tableColumn id="72" xr3:uid="{77260470-F1EF-4413-9F3E-CE5002E0CB72}" uniqueName="72" name="TUSD Subsidio" queryTableFieldId="27" dataDxfId="20"/>
    <tableColumn id="73" xr3:uid="{13C5D299-5E2B-468A-8589-2B69C750EF0D}" uniqueName="73" name="TUSD BENEFICIO_L14299" queryTableFieldId="28" dataDxfId="19"/>
    <tableColumn id="74" xr3:uid="{72680B54-3BE2-4F53-8225-2F915BF2B03F}" uniqueName="74" name="TUSD Outros" queryTableFieldId="29" dataDxfId="18"/>
    <tableColumn id="75" xr3:uid="{193152CB-B844-400A-905F-0A43BF1CD17E}" uniqueName="75" name="TUSD_PT" queryTableFieldId="30" dataDxfId="17"/>
    <tableColumn id="76" xr3:uid="{9341EFBE-C9F5-4F11-8CB2-D06FF022786F}" uniqueName="76" name="TUSD_Per_RB_D" queryTableFieldId="31" dataDxfId="16"/>
    <tableColumn id="77" xr3:uid="{43497B6D-DFED-4739-8179-B002A0800A08}" uniqueName="77" name="TUSD_PNT" queryTableFieldId="32" dataDxfId="15"/>
    <tableColumn id="78" xr3:uid="{AFE215BC-352C-4386-9A64-D714828910EB}" uniqueName="78" name="TUSD_RI" queryTableFieldId="33" dataDxfId="14"/>
    <tableColumn id="79" xr3:uid="{5D997B7E-961B-49DD-93A0-85E3E3686BC2}" uniqueName="79" name="TE_CDE_COVID" queryTableFieldId="34" dataDxfId="13"/>
    <tableColumn id="80" xr3:uid="{CDB72A5E-ECD0-462E-BAC9-F5707F3624CC}" uniqueName="80" name="TE_CDE_ELET" queryTableFieldId="35" dataDxfId="12"/>
    <tableColumn id="81" xr3:uid="{01139DBC-83D2-47C3-BD78-4A461F51E6E8}" uniqueName="81" name="TE_PeD" queryTableFieldId="36" dataDxfId="11"/>
    <tableColumn id="82" xr3:uid="{33F675DA-387D-43F9-8A93-64A2ACCAEE92}" uniqueName="82" name="TE_ESSERR" queryTableFieldId="37" dataDxfId="10"/>
    <tableColumn id="83" xr3:uid="{F319273C-7397-47FA-A725-FAC3A366414C}" uniqueName="83" name="TE_CFURH" queryTableFieldId="38" dataDxfId="9"/>
    <tableColumn id="84" xr3:uid="{3D7E2E98-7CFA-451E-A887-CB202A7DC7C3}" uniqueName="84" name="TE_ENERGIA" queryTableFieldId="39" dataDxfId="8"/>
    <tableColumn id="85" xr3:uid="{D93E91E6-9984-4B10-851D-36E5FCF42874}" uniqueName="85" name="TE_TRANSPORTE_ITAIPU" queryTableFieldId="40" dataDxfId="7"/>
    <tableColumn id="86" xr3:uid="{FB69BC5B-07E9-4851-8744-55CCA228A53F}" uniqueName="86" name="TE_TUST_ITAIPU" queryTableFieldId="41" dataDxfId="6"/>
    <tableColumn id="87" xr3:uid="{4F11FD27-5527-49ED-814F-17007746789B}" uniqueName="87" name="TE_TUST_CI" queryTableFieldId="42" dataDxfId="5"/>
    <tableColumn id="88" xr3:uid="{4FA92E39-8624-479C-A05D-432192C7B942}" uniqueName="88" name="TE Subsidio" queryTableFieldId="43" dataDxfId="4"/>
    <tableColumn id="89" xr3:uid="{210E7A9F-1357-4C15-9501-632AC6DCA827}" uniqueName="89" name="TE BENEFICIO_L14299" queryTableFieldId="44" dataDxfId="3"/>
    <tableColumn id="90" xr3:uid="{A579E80E-6D62-40CD-80DF-45FAC2FB1307}" uniqueName="90" name="TE_Per_RB" queryTableFieldId="45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14D52-2FB3-405A-8329-339B167E54B0}">
  <dimension ref="A1:W2216"/>
  <sheetViews>
    <sheetView showGridLines="0" topLeftCell="H2176" workbookViewId="0">
      <selection activeCell="T2217" sqref="T2217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25" style="4" bestFit="1" customWidth="1"/>
    <col min="8" max="8" width="10.28515625" style="4" bestFit="1" customWidth="1"/>
    <col min="9" max="9" width="8.7109375" style="5" bestFit="1" customWidth="1"/>
    <col min="10" max="11" width="7.85546875" style="6" bestFit="1" customWidth="1"/>
    <col min="12" max="16" width="8.7109375" style="6" bestFit="1" customWidth="1"/>
    <col min="17" max="17" width="11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119</v>
      </c>
      <c r="T1" s="1" t="s">
        <v>576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39</v>
      </c>
      <c r="C2" s="4" t="s">
        <v>40</v>
      </c>
      <c r="D2" s="4" t="s">
        <v>43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44409</v>
      </c>
      <c r="J2" s="6">
        <v>7800</v>
      </c>
      <c r="K2" s="6">
        <v>7800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58</v>
      </c>
      <c r="R2" s="4">
        <v>0</v>
      </c>
      <c r="S2" s="4" t="s">
        <v>120</v>
      </c>
      <c r="U2" s="4">
        <v>3</v>
      </c>
      <c r="V2" s="4">
        <v>0</v>
      </c>
      <c r="W2" s="4">
        <v>0</v>
      </c>
    </row>
    <row r="3" spans="1:23" ht="11.25" customHeight="1" x14ac:dyDescent="0.25">
      <c r="A3" s="4" t="s">
        <v>21</v>
      </c>
      <c r="B3" s="4" t="s">
        <v>39</v>
      </c>
      <c r="C3" s="4" t="s">
        <v>40</v>
      </c>
      <c r="D3" s="4" t="s">
        <v>43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44440</v>
      </c>
      <c r="J3" s="6">
        <v>7300</v>
      </c>
      <c r="K3" s="6">
        <v>7300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58</v>
      </c>
      <c r="R3" s="4">
        <v>0</v>
      </c>
      <c r="S3" s="4" t="s">
        <v>121</v>
      </c>
      <c r="U3" s="4">
        <v>3</v>
      </c>
      <c r="V3" s="4">
        <v>0</v>
      </c>
      <c r="W3" s="4">
        <v>0</v>
      </c>
    </row>
    <row r="4" spans="1:23" ht="11.25" customHeight="1" x14ac:dyDescent="0.25">
      <c r="A4" s="4" t="s">
        <v>21</v>
      </c>
      <c r="B4" s="4" t="s">
        <v>39</v>
      </c>
      <c r="C4" s="4" t="s">
        <v>40</v>
      </c>
      <c r="D4" s="4" t="s">
        <v>43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44470</v>
      </c>
      <c r="J4" s="6">
        <v>7300</v>
      </c>
      <c r="K4" s="6">
        <v>7300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58</v>
      </c>
      <c r="R4" s="4">
        <v>0</v>
      </c>
      <c r="S4" s="4" t="s">
        <v>122</v>
      </c>
      <c r="U4" s="4">
        <v>3</v>
      </c>
      <c r="V4" s="4">
        <v>0</v>
      </c>
      <c r="W4" s="4">
        <v>0</v>
      </c>
    </row>
    <row r="5" spans="1:23" ht="11.25" customHeight="1" x14ac:dyDescent="0.25">
      <c r="A5" s="4" t="s">
        <v>21</v>
      </c>
      <c r="B5" s="4" t="s">
        <v>39</v>
      </c>
      <c r="C5" s="4" t="s">
        <v>40</v>
      </c>
      <c r="D5" s="4" t="s">
        <v>43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44501</v>
      </c>
      <c r="J5" s="6">
        <v>7300</v>
      </c>
      <c r="K5" s="6">
        <v>7300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58</v>
      </c>
      <c r="R5" s="4">
        <v>0</v>
      </c>
      <c r="S5" s="4" t="s">
        <v>123</v>
      </c>
      <c r="U5" s="4">
        <v>3</v>
      </c>
      <c r="V5" s="4">
        <v>0</v>
      </c>
      <c r="W5" s="4">
        <v>0</v>
      </c>
    </row>
    <row r="6" spans="1:23" ht="11.25" customHeight="1" x14ac:dyDescent="0.25">
      <c r="A6" s="4" t="s">
        <v>21</v>
      </c>
      <c r="B6" s="4" t="s">
        <v>39</v>
      </c>
      <c r="C6" s="4" t="s">
        <v>40</v>
      </c>
      <c r="D6" s="4" t="s">
        <v>43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44531</v>
      </c>
      <c r="J6" s="6">
        <v>7543</v>
      </c>
      <c r="K6" s="6">
        <v>7543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58</v>
      </c>
      <c r="R6" s="4">
        <v>0</v>
      </c>
      <c r="S6" s="4" t="s">
        <v>124</v>
      </c>
      <c r="U6" s="4">
        <v>3</v>
      </c>
      <c r="V6" s="4">
        <v>0</v>
      </c>
      <c r="W6" s="4">
        <v>0</v>
      </c>
    </row>
    <row r="7" spans="1:23" ht="11.25" customHeight="1" x14ac:dyDescent="0.25">
      <c r="A7" s="4" t="s">
        <v>21</v>
      </c>
      <c r="B7" s="4" t="s">
        <v>39</v>
      </c>
      <c r="C7" s="4" t="s">
        <v>40</v>
      </c>
      <c r="D7" s="4" t="s">
        <v>43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44562</v>
      </c>
      <c r="J7" s="6">
        <v>7417</v>
      </c>
      <c r="K7" s="6">
        <v>7417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58</v>
      </c>
      <c r="R7" s="4">
        <v>0</v>
      </c>
      <c r="S7" s="4" t="s">
        <v>125</v>
      </c>
      <c r="U7" s="4">
        <v>3</v>
      </c>
      <c r="V7" s="4">
        <v>0</v>
      </c>
      <c r="W7" s="4">
        <v>0</v>
      </c>
    </row>
    <row r="8" spans="1:23" ht="11.25" customHeight="1" x14ac:dyDescent="0.25">
      <c r="A8" s="4" t="s">
        <v>21</v>
      </c>
      <c r="B8" s="4" t="s">
        <v>39</v>
      </c>
      <c r="C8" s="4" t="s">
        <v>40</v>
      </c>
      <c r="D8" s="4" t="s">
        <v>43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44593</v>
      </c>
      <c r="J8" s="6">
        <v>7308</v>
      </c>
      <c r="K8" s="6">
        <v>7308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58</v>
      </c>
      <c r="R8" s="4">
        <v>0</v>
      </c>
      <c r="S8" s="4" t="s">
        <v>126</v>
      </c>
      <c r="U8" s="4">
        <v>3</v>
      </c>
      <c r="V8" s="4">
        <v>0</v>
      </c>
      <c r="W8" s="4">
        <v>0</v>
      </c>
    </row>
    <row r="9" spans="1:23" ht="11.25" customHeight="1" x14ac:dyDescent="0.25">
      <c r="A9" s="4" t="s">
        <v>21</v>
      </c>
      <c r="B9" s="4" t="s">
        <v>39</v>
      </c>
      <c r="C9" s="4" t="s">
        <v>40</v>
      </c>
      <c r="D9" s="4" t="s">
        <v>43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44621</v>
      </c>
      <c r="J9" s="6">
        <v>7300</v>
      </c>
      <c r="K9" s="6">
        <v>7300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58</v>
      </c>
      <c r="R9" s="4">
        <v>0</v>
      </c>
      <c r="S9" s="4" t="s">
        <v>127</v>
      </c>
      <c r="U9" s="4">
        <v>3</v>
      </c>
      <c r="V9" s="4">
        <v>0</v>
      </c>
      <c r="W9" s="4">
        <v>0</v>
      </c>
    </row>
    <row r="10" spans="1:23" ht="11.25" customHeight="1" x14ac:dyDescent="0.25">
      <c r="A10" s="4" t="s">
        <v>21</v>
      </c>
      <c r="B10" s="4" t="s">
        <v>39</v>
      </c>
      <c r="C10" s="4" t="s">
        <v>40</v>
      </c>
      <c r="D10" s="4" t="s">
        <v>43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44652</v>
      </c>
      <c r="J10" s="6">
        <v>7300</v>
      </c>
      <c r="K10" s="6">
        <v>7300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58</v>
      </c>
      <c r="R10" s="4">
        <v>0</v>
      </c>
      <c r="S10" s="4" t="s">
        <v>128</v>
      </c>
      <c r="U10" s="4">
        <v>3</v>
      </c>
      <c r="V10" s="4">
        <v>0</v>
      </c>
      <c r="W10" s="4">
        <v>0</v>
      </c>
    </row>
    <row r="11" spans="1:23" ht="11.25" customHeight="1" x14ac:dyDescent="0.25">
      <c r="A11" s="4" t="s">
        <v>21</v>
      </c>
      <c r="B11" s="4" t="s">
        <v>39</v>
      </c>
      <c r="C11" s="4" t="s">
        <v>40</v>
      </c>
      <c r="D11" s="4" t="s">
        <v>43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44682</v>
      </c>
      <c r="J11" s="6">
        <v>7480</v>
      </c>
      <c r="K11" s="6">
        <v>7480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58</v>
      </c>
      <c r="R11" s="4">
        <v>0</v>
      </c>
      <c r="S11" s="4" t="s">
        <v>129</v>
      </c>
      <c r="U11" s="4">
        <v>3</v>
      </c>
      <c r="V11" s="4">
        <v>0</v>
      </c>
      <c r="W11" s="4">
        <v>0</v>
      </c>
    </row>
    <row r="12" spans="1:23" ht="11.25" customHeight="1" x14ac:dyDescent="0.25">
      <c r="A12" s="4" t="s">
        <v>21</v>
      </c>
      <c r="B12" s="4" t="s">
        <v>39</v>
      </c>
      <c r="C12" s="4" t="s">
        <v>40</v>
      </c>
      <c r="D12" s="4" t="s">
        <v>43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44713</v>
      </c>
      <c r="J12" s="6">
        <v>7300</v>
      </c>
      <c r="K12" s="6">
        <v>7300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58</v>
      </c>
      <c r="R12" s="4">
        <v>0</v>
      </c>
      <c r="S12" s="4" t="s">
        <v>130</v>
      </c>
      <c r="U12" s="4">
        <v>3</v>
      </c>
      <c r="V12" s="4">
        <v>0</v>
      </c>
      <c r="W12" s="4">
        <v>0</v>
      </c>
    </row>
    <row r="13" spans="1:23" ht="11.25" customHeight="1" x14ac:dyDescent="0.25">
      <c r="A13" s="4" t="s">
        <v>57</v>
      </c>
      <c r="B13" s="4" t="s">
        <v>39</v>
      </c>
      <c r="C13" s="4" t="s">
        <v>40</v>
      </c>
      <c r="D13" s="4" t="s">
        <v>43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44743</v>
      </c>
      <c r="J13" s="6">
        <v>7300</v>
      </c>
      <c r="K13" s="6">
        <v>7300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58</v>
      </c>
      <c r="R13" s="4">
        <v>0</v>
      </c>
      <c r="S13" s="4" t="s">
        <v>131</v>
      </c>
      <c r="U13" s="4">
        <v>3</v>
      </c>
      <c r="V13" s="4">
        <v>0</v>
      </c>
      <c r="W13" s="4">
        <v>0</v>
      </c>
    </row>
    <row r="14" spans="1:23" ht="11.25" customHeight="1" x14ac:dyDescent="0.25">
      <c r="A14" s="4" t="s">
        <v>21</v>
      </c>
      <c r="B14" s="4" t="s">
        <v>39</v>
      </c>
      <c r="C14" s="4" t="s">
        <v>40</v>
      </c>
      <c r="D14" s="4" t="s">
        <v>43</v>
      </c>
      <c r="E14" s="4" t="s">
        <v>25</v>
      </c>
      <c r="F14" s="4" t="s">
        <v>25</v>
      </c>
      <c r="G14" s="4" t="s">
        <v>25</v>
      </c>
      <c r="H14" s="4" t="s">
        <v>25</v>
      </c>
      <c r="I14" s="5">
        <v>44409</v>
      </c>
      <c r="J14" s="6">
        <v>0</v>
      </c>
      <c r="K14" s="6">
        <v>0</v>
      </c>
      <c r="L14" s="6">
        <v>2752.7629999999999</v>
      </c>
      <c r="M14" s="6">
        <v>2752.7629999999999</v>
      </c>
      <c r="N14" s="6">
        <v>0</v>
      </c>
      <c r="O14" s="6">
        <v>0</v>
      </c>
      <c r="P14" s="6">
        <v>2</v>
      </c>
      <c r="Q14" s="4" t="s">
        <v>58</v>
      </c>
      <c r="R14" s="4">
        <v>0</v>
      </c>
      <c r="S14" s="4" t="s">
        <v>132</v>
      </c>
      <c r="U14" s="4">
        <v>0</v>
      </c>
      <c r="V14" s="4">
        <v>5</v>
      </c>
      <c r="W14" s="4">
        <v>0</v>
      </c>
    </row>
    <row r="15" spans="1:23" ht="11.25" customHeight="1" x14ac:dyDescent="0.25">
      <c r="A15" s="4" t="s">
        <v>21</v>
      </c>
      <c r="B15" s="4" t="s">
        <v>39</v>
      </c>
      <c r="C15" s="4" t="s">
        <v>40</v>
      </c>
      <c r="D15" s="4" t="s">
        <v>43</v>
      </c>
      <c r="E15" s="4" t="s">
        <v>25</v>
      </c>
      <c r="F15" s="4" t="s">
        <v>25</v>
      </c>
      <c r="G15" s="4" t="s">
        <v>25</v>
      </c>
      <c r="H15" s="4" t="s">
        <v>25</v>
      </c>
      <c r="I15" s="5">
        <v>44440</v>
      </c>
      <c r="J15" s="6">
        <v>0</v>
      </c>
      <c r="K15" s="6">
        <v>0</v>
      </c>
      <c r="L15" s="6">
        <v>2726.3040000000001</v>
      </c>
      <c r="M15" s="6">
        <v>2726.3040000000001</v>
      </c>
      <c r="N15" s="6">
        <v>0</v>
      </c>
      <c r="O15" s="6">
        <v>0</v>
      </c>
      <c r="P15" s="6">
        <v>2</v>
      </c>
      <c r="Q15" s="4" t="s">
        <v>58</v>
      </c>
      <c r="R15" s="4">
        <v>0</v>
      </c>
      <c r="S15" s="4" t="s">
        <v>133</v>
      </c>
      <c r="U15" s="4">
        <v>0</v>
      </c>
      <c r="V15" s="4">
        <v>5</v>
      </c>
      <c r="W15" s="4">
        <v>0</v>
      </c>
    </row>
    <row r="16" spans="1:23" ht="11.25" customHeight="1" x14ac:dyDescent="0.25">
      <c r="A16" s="4" t="s">
        <v>21</v>
      </c>
      <c r="B16" s="4" t="s">
        <v>39</v>
      </c>
      <c r="C16" s="4" t="s">
        <v>40</v>
      </c>
      <c r="D16" s="4" t="s">
        <v>43</v>
      </c>
      <c r="E16" s="4" t="s">
        <v>25</v>
      </c>
      <c r="F16" s="4" t="s">
        <v>25</v>
      </c>
      <c r="G16" s="4" t="s">
        <v>25</v>
      </c>
      <c r="H16" s="4" t="s">
        <v>25</v>
      </c>
      <c r="I16" s="5">
        <v>44470</v>
      </c>
      <c r="J16" s="6">
        <v>0</v>
      </c>
      <c r="K16" s="6">
        <v>0</v>
      </c>
      <c r="L16" s="6">
        <v>2692.7339999999999</v>
      </c>
      <c r="M16" s="6">
        <v>2692.7339999999999</v>
      </c>
      <c r="N16" s="6">
        <v>0</v>
      </c>
      <c r="O16" s="6">
        <v>0</v>
      </c>
      <c r="P16" s="6">
        <v>2</v>
      </c>
      <c r="Q16" s="4" t="s">
        <v>58</v>
      </c>
      <c r="R16" s="4">
        <v>0</v>
      </c>
      <c r="S16" s="4" t="s">
        <v>134</v>
      </c>
      <c r="U16" s="4">
        <v>0</v>
      </c>
      <c r="V16" s="4">
        <v>5</v>
      </c>
      <c r="W16" s="4">
        <v>0</v>
      </c>
    </row>
    <row r="17" spans="1:23" ht="11.25" customHeight="1" x14ac:dyDescent="0.25">
      <c r="A17" s="4" t="s">
        <v>21</v>
      </c>
      <c r="B17" s="4" t="s">
        <v>39</v>
      </c>
      <c r="C17" s="4" t="s">
        <v>40</v>
      </c>
      <c r="D17" s="4" t="s">
        <v>43</v>
      </c>
      <c r="E17" s="4" t="s">
        <v>25</v>
      </c>
      <c r="F17" s="4" t="s">
        <v>25</v>
      </c>
      <c r="G17" s="4" t="s">
        <v>25</v>
      </c>
      <c r="H17" s="4" t="s">
        <v>25</v>
      </c>
      <c r="I17" s="5">
        <v>44501</v>
      </c>
      <c r="J17" s="6">
        <v>0</v>
      </c>
      <c r="K17" s="6">
        <v>0</v>
      </c>
      <c r="L17" s="6">
        <v>2948.279</v>
      </c>
      <c r="M17" s="6">
        <v>2948.279</v>
      </c>
      <c r="N17" s="6">
        <v>0</v>
      </c>
      <c r="O17" s="6">
        <v>0</v>
      </c>
      <c r="P17" s="6">
        <v>2</v>
      </c>
      <c r="Q17" s="4" t="s">
        <v>58</v>
      </c>
      <c r="R17" s="4">
        <v>0</v>
      </c>
      <c r="S17" s="4" t="s">
        <v>135</v>
      </c>
      <c r="U17" s="4">
        <v>0</v>
      </c>
      <c r="V17" s="4">
        <v>5</v>
      </c>
      <c r="W17" s="4">
        <v>0</v>
      </c>
    </row>
    <row r="18" spans="1:23" ht="11.25" customHeight="1" x14ac:dyDescent="0.25">
      <c r="A18" s="4" t="s">
        <v>21</v>
      </c>
      <c r="B18" s="4" t="s">
        <v>39</v>
      </c>
      <c r="C18" s="4" t="s">
        <v>40</v>
      </c>
      <c r="D18" s="4" t="s">
        <v>43</v>
      </c>
      <c r="E18" s="4" t="s">
        <v>25</v>
      </c>
      <c r="F18" s="4" t="s">
        <v>25</v>
      </c>
      <c r="G18" s="4" t="s">
        <v>25</v>
      </c>
      <c r="H18" s="4" t="s">
        <v>25</v>
      </c>
      <c r="I18" s="5">
        <v>44531</v>
      </c>
      <c r="J18" s="6">
        <v>0</v>
      </c>
      <c r="K18" s="6">
        <v>0</v>
      </c>
      <c r="L18" s="6">
        <v>3035.6489999999999</v>
      </c>
      <c r="M18" s="6">
        <v>3035.6489999999999</v>
      </c>
      <c r="N18" s="6">
        <v>0</v>
      </c>
      <c r="O18" s="6">
        <v>0</v>
      </c>
      <c r="P18" s="6">
        <v>2</v>
      </c>
      <c r="Q18" s="4" t="s">
        <v>58</v>
      </c>
      <c r="R18" s="4">
        <v>0</v>
      </c>
      <c r="S18" s="4" t="s">
        <v>136</v>
      </c>
      <c r="U18" s="4">
        <v>0</v>
      </c>
      <c r="V18" s="4">
        <v>5</v>
      </c>
      <c r="W18" s="4">
        <v>0</v>
      </c>
    </row>
    <row r="19" spans="1:23" ht="11.25" customHeight="1" x14ac:dyDescent="0.25">
      <c r="A19" s="4" t="s">
        <v>21</v>
      </c>
      <c r="B19" s="4" t="s">
        <v>39</v>
      </c>
      <c r="C19" s="4" t="s">
        <v>40</v>
      </c>
      <c r="D19" s="4" t="s">
        <v>43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44562</v>
      </c>
      <c r="J19" s="6">
        <v>0</v>
      </c>
      <c r="K19" s="6">
        <v>0</v>
      </c>
      <c r="L19" s="6">
        <v>3267.9490000000001</v>
      </c>
      <c r="M19" s="6">
        <v>3267.9490000000001</v>
      </c>
      <c r="N19" s="6">
        <v>0</v>
      </c>
      <c r="O19" s="6">
        <v>0</v>
      </c>
      <c r="P19" s="6">
        <v>2</v>
      </c>
      <c r="Q19" s="4" t="s">
        <v>58</v>
      </c>
      <c r="R19" s="4">
        <v>0</v>
      </c>
      <c r="S19" s="4" t="s">
        <v>137</v>
      </c>
      <c r="U19" s="4">
        <v>0</v>
      </c>
      <c r="V19" s="4">
        <v>5</v>
      </c>
      <c r="W19" s="4">
        <v>0</v>
      </c>
    </row>
    <row r="20" spans="1:23" ht="11.25" customHeight="1" x14ac:dyDescent="0.25">
      <c r="A20" s="4" t="s">
        <v>21</v>
      </c>
      <c r="B20" s="4" t="s">
        <v>39</v>
      </c>
      <c r="C20" s="4" t="s">
        <v>40</v>
      </c>
      <c r="D20" s="4" t="s">
        <v>43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44593</v>
      </c>
      <c r="J20" s="6">
        <v>0</v>
      </c>
      <c r="K20" s="6">
        <v>0</v>
      </c>
      <c r="L20" s="6">
        <v>3085.8290000000002</v>
      </c>
      <c r="M20" s="6">
        <v>3085.8290000000002</v>
      </c>
      <c r="N20" s="6">
        <v>0</v>
      </c>
      <c r="O20" s="6">
        <v>0</v>
      </c>
      <c r="P20" s="6">
        <v>2</v>
      </c>
      <c r="Q20" s="4" t="s">
        <v>58</v>
      </c>
      <c r="R20" s="4">
        <v>0</v>
      </c>
      <c r="S20" s="4" t="s">
        <v>138</v>
      </c>
      <c r="U20" s="4">
        <v>0</v>
      </c>
      <c r="V20" s="4">
        <v>5</v>
      </c>
      <c r="W20" s="4">
        <v>0</v>
      </c>
    </row>
    <row r="21" spans="1:23" ht="11.25" customHeight="1" x14ac:dyDescent="0.25">
      <c r="A21" s="4" t="s">
        <v>21</v>
      </c>
      <c r="B21" s="4" t="s">
        <v>39</v>
      </c>
      <c r="C21" s="4" t="s">
        <v>40</v>
      </c>
      <c r="D21" s="4" t="s">
        <v>43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44621</v>
      </c>
      <c r="J21" s="6">
        <v>0</v>
      </c>
      <c r="K21" s="6">
        <v>0</v>
      </c>
      <c r="L21" s="6">
        <v>2812.7179999999998</v>
      </c>
      <c r="M21" s="6">
        <v>2812.7179999999998</v>
      </c>
      <c r="N21" s="6">
        <v>0</v>
      </c>
      <c r="O21" s="6">
        <v>0</v>
      </c>
      <c r="P21" s="6">
        <v>2</v>
      </c>
      <c r="Q21" s="4" t="s">
        <v>58</v>
      </c>
      <c r="R21" s="4">
        <v>0</v>
      </c>
      <c r="S21" s="4" t="s">
        <v>139</v>
      </c>
      <c r="U21" s="4">
        <v>0</v>
      </c>
      <c r="V21" s="4">
        <v>5</v>
      </c>
      <c r="W21" s="4">
        <v>0</v>
      </c>
    </row>
    <row r="22" spans="1:23" ht="11.25" customHeight="1" x14ac:dyDescent="0.25">
      <c r="A22" s="4" t="s">
        <v>21</v>
      </c>
      <c r="B22" s="4" t="s">
        <v>39</v>
      </c>
      <c r="C22" s="4" t="s">
        <v>40</v>
      </c>
      <c r="D22" s="4" t="s">
        <v>43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44652</v>
      </c>
      <c r="J22" s="6">
        <v>0</v>
      </c>
      <c r="K22" s="6">
        <v>0</v>
      </c>
      <c r="L22" s="6">
        <v>3131.2710000000002</v>
      </c>
      <c r="M22" s="6">
        <v>3131.2710000000002</v>
      </c>
      <c r="N22" s="6">
        <v>0</v>
      </c>
      <c r="O22" s="6">
        <v>0</v>
      </c>
      <c r="P22" s="6">
        <v>2</v>
      </c>
      <c r="Q22" s="4" t="s">
        <v>58</v>
      </c>
      <c r="R22" s="4">
        <v>0</v>
      </c>
      <c r="S22" s="4" t="s">
        <v>140</v>
      </c>
      <c r="U22" s="4">
        <v>0</v>
      </c>
      <c r="V22" s="4">
        <v>5</v>
      </c>
      <c r="W22" s="4">
        <v>0</v>
      </c>
    </row>
    <row r="23" spans="1:23" ht="11.25" customHeight="1" x14ac:dyDescent="0.25">
      <c r="A23" s="4" t="s">
        <v>21</v>
      </c>
      <c r="B23" s="4" t="s">
        <v>39</v>
      </c>
      <c r="C23" s="4" t="s">
        <v>40</v>
      </c>
      <c r="D23" s="4" t="s">
        <v>43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44682</v>
      </c>
      <c r="J23" s="6">
        <v>0</v>
      </c>
      <c r="K23" s="6">
        <v>0</v>
      </c>
      <c r="L23" s="6">
        <v>2944.0569999999998</v>
      </c>
      <c r="M23" s="6">
        <v>2944.0569999999998</v>
      </c>
      <c r="N23" s="6">
        <v>0</v>
      </c>
      <c r="O23" s="6">
        <v>0</v>
      </c>
      <c r="P23" s="6">
        <v>2</v>
      </c>
      <c r="Q23" s="4" t="s">
        <v>58</v>
      </c>
      <c r="R23" s="4">
        <v>0</v>
      </c>
      <c r="S23" s="4" t="s">
        <v>141</v>
      </c>
      <c r="U23" s="4">
        <v>0</v>
      </c>
      <c r="V23" s="4">
        <v>5</v>
      </c>
      <c r="W23" s="4">
        <v>0</v>
      </c>
    </row>
    <row r="24" spans="1:23" ht="11.25" customHeight="1" x14ac:dyDescent="0.25">
      <c r="A24" s="4" t="s">
        <v>21</v>
      </c>
      <c r="B24" s="4" t="s">
        <v>39</v>
      </c>
      <c r="C24" s="4" t="s">
        <v>40</v>
      </c>
      <c r="D24" s="4" t="s">
        <v>43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44713</v>
      </c>
      <c r="J24" s="6">
        <v>0</v>
      </c>
      <c r="K24" s="6">
        <v>0</v>
      </c>
      <c r="L24" s="6">
        <v>3004.7359999999999</v>
      </c>
      <c r="M24" s="6">
        <v>3004.7359999999999</v>
      </c>
      <c r="N24" s="6">
        <v>0</v>
      </c>
      <c r="O24" s="6">
        <v>0</v>
      </c>
      <c r="P24" s="6">
        <v>2</v>
      </c>
      <c r="Q24" s="4" t="s">
        <v>58</v>
      </c>
      <c r="R24" s="4">
        <v>0</v>
      </c>
      <c r="S24" s="4" t="s">
        <v>142</v>
      </c>
      <c r="U24" s="4">
        <v>0</v>
      </c>
      <c r="V24" s="4">
        <v>5</v>
      </c>
      <c r="W24" s="4">
        <v>0</v>
      </c>
    </row>
    <row r="25" spans="1:23" ht="11.25" customHeight="1" x14ac:dyDescent="0.25">
      <c r="A25" s="4" t="s">
        <v>57</v>
      </c>
      <c r="B25" s="4" t="s">
        <v>39</v>
      </c>
      <c r="C25" s="4" t="s">
        <v>40</v>
      </c>
      <c r="D25" s="4" t="s">
        <v>43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44743</v>
      </c>
      <c r="J25" s="6">
        <v>0</v>
      </c>
      <c r="K25" s="6">
        <v>0</v>
      </c>
      <c r="L25" s="6">
        <v>3004.7359999999999</v>
      </c>
      <c r="M25" s="6">
        <v>3004.7359999999999</v>
      </c>
      <c r="N25" s="6">
        <v>0</v>
      </c>
      <c r="O25" s="6">
        <v>0</v>
      </c>
      <c r="P25" s="6">
        <v>2</v>
      </c>
      <c r="Q25" s="4" t="s">
        <v>58</v>
      </c>
      <c r="R25" s="4">
        <v>0</v>
      </c>
      <c r="S25" s="4" t="s">
        <v>143</v>
      </c>
      <c r="U25" s="4">
        <v>0</v>
      </c>
      <c r="V25" s="4">
        <v>5</v>
      </c>
      <c r="W25" s="4">
        <v>0</v>
      </c>
    </row>
    <row r="26" spans="1:23" ht="11.25" customHeight="1" x14ac:dyDescent="0.25">
      <c r="A26" s="4" t="s">
        <v>21</v>
      </c>
      <c r="B26" s="4" t="s">
        <v>39</v>
      </c>
      <c r="C26" s="4" t="s">
        <v>40</v>
      </c>
      <c r="D26" s="4" t="s">
        <v>43</v>
      </c>
      <c r="E26" s="4" t="s">
        <v>25</v>
      </c>
      <c r="F26" s="4" t="s">
        <v>25</v>
      </c>
      <c r="G26" s="4" t="s">
        <v>25</v>
      </c>
      <c r="H26" s="4" t="s">
        <v>34</v>
      </c>
      <c r="I26" s="5">
        <v>44409</v>
      </c>
      <c r="J26" s="6">
        <v>6500</v>
      </c>
      <c r="K26" s="6">
        <v>6500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58</v>
      </c>
      <c r="R26" s="4">
        <v>0</v>
      </c>
      <c r="S26" s="4" t="s">
        <v>144</v>
      </c>
      <c r="U26" s="4">
        <v>1</v>
      </c>
      <c r="V26" s="4">
        <v>0</v>
      </c>
      <c r="W26" s="4">
        <v>0</v>
      </c>
    </row>
    <row r="27" spans="1:23" ht="11.25" customHeight="1" x14ac:dyDescent="0.25">
      <c r="A27" s="4" t="s">
        <v>21</v>
      </c>
      <c r="B27" s="4" t="s">
        <v>39</v>
      </c>
      <c r="C27" s="4" t="s">
        <v>40</v>
      </c>
      <c r="D27" s="4" t="s">
        <v>43</v>
      </c>
      <c r="E27" s="4" t="s">
        <v>25</v>
      </c>
      <c r="F27" s="4" t="s">
        <v>25</v>
      </c>
      <c r="G27" s="4" t="s">
        <v>25</v>
      </c>
      <c r="H27" s="4" t="s">
        <v>34</v>
      </c>
      <c r="I27" s="5">
        <v>44440</v>
      </c>
      <c r="J27" s="6">
        <v>6500</v>
      </c>
      <c r="K27" s="6">
        <v>6500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58</v>
      </c>
      <c r="R27" s="4">
        <v>0</v>
      </c>
      <c r="S27" s="4" t="s">
        <v>145</v>
      </c>
      <c r="U27" s="4">
        <v>1</v>
      </c>
      <c r="V27" s="4">
        <v>0</v>
      </c>
      <c r="W27" s="4">
        <v>0</v>
      </c>
    </row>
    <row r="28" spans="1:23" ht="11.25" customHeight="1" x14ac:dyDescent="0.25">
      <c r="A28" s="4" t="s">
        <v>21</v>
      </c>
      <c r="B28" s="4" t="s">
        <v>39</v>
      </c>
      <c r="C28" s="4" t="s">
        <v>40</v>
      </c>
      <c r="D28" s="4" t="s">
        <v>43</v>
      </c>
      <c r="E28" s="4" t="s">
        <v>25</v>
      </c>
      <c r="F28" s="4" t="s">
        <v>25</v>
      </c>
      <c r="G28" s="4" t="s">
        <v>25</v>
      </c>
      <c r="H28" s="4" t="s">
        <v>34</v>
      </c>
      <c r="I28" s="5">
        <v>44470</v>
      </c>
      <c r="J28" s="6">
        <v>6500</v>
      </c>
      <c r="K28" s="6">
        <v>6500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58</v>
      </c>
      <c r="R28" s="4">
        <v>0</v>
      </c>
      <c r="S28" s="4" t="s">
        <v>146</v>
      </c>
      <c r="U28" s="4">
        <v>1</v>
      </c>
      <c r="V28" s="4">
        <v>0</v>
      </c>
      <c r="W28" s="4">
        <v>0</v>
      </c>
    </row>
    <row r="29" spans="1:23" ht="11.25" customHeight="1" x14ac:dyDescent="0.25">
      <c r="A29" s="4" t="s">
        <v>21</v>
      </c>
      <c r="B29" s="4" t="s">
        <v>39</v>
      </c>
      <c r="C29" s="4" t="s">
        <v>40</v>
      </c>
      <c r="D29" s="4" t="s">
        <v>43</v>
      </c>
      <c r="E29" s="4" t="s">
        <v>25</v>
      </c>
      <c r="F29" s="4" t="s">
        <v>25</v>
      </c>
      <c r="G29" s="4" t="s">
        <v>25</v>
      </c>
      <c r="H29" s="4" t="s">
        <v>34</v>
      </c>
      <c r="I29" s="5">
        <v>44501</v>
      </c>
      <c r="J29" s="6">
        <v>6500</v>
      </c>
      <c r="K29" s="6">
        <v>6500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58</v>
      </c>
      <c r="R29" s="4">
        <v>0</v>
      </c>
      <c r="S29" s="4" t="s">
        <v>147</v>
      </c>
      <c r="U29" s="4">
        <v>1</v>
      </c>
      <c r="V29" s="4">
        <v>0</v>
      </c>
      <c r="W29" s="4">
        <v>0</v>
      </c>
    </row>
    <row r="30" spans="1:23" ht="11.25" customHeight="1" x14ac:dyDescent="0.25">
      <c r="A30" s="4" t="s">
        <v>21</v>
      </c>
      <c r="B30" s="4" t="s">
        <v>39</v>
      </c>
      <c r="C30" s="4" t="s">
        <v>40</v>
      </c>
      <c r="D30" s="4" t="s">
        <v>43</v>
      </c>
      <c r="E30" s="4" t="s">
        <v>25</v>
      </c>
      <c r="F30" s="4" t="s">
        <v>25</v>
      </c>
      <c r="G30" s="4" t="s">
        <v>25</v>
      </c>
      <c r="H30" s="4" t="s">
        <v>34</v>
      </c>
      <c r="I30" s="5">
        <v>44531</v>
      </c>
      <c r="J30" s="6">
        <v>6500</v>
      </c>
      <c r="K30" s="6">
        <v>6500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58</v>
      </c>
      <c r="R30" s="4">
        <v>0</v>
      </c>
      <c r="S30" s="4" t="s">
        <v>148</v>
      </c>
      <c r="U30" s="4">
        <v>1</v>
      </c>
      <c r="V30" s="4">
        <v>0</v>
      </c>
      <c r="W30" s="4">
        <v>0</v>
      </c>
    </row>
    <row r="31" spans="1:23" ht="11.25" customHeight="1" x14ac:dyDescent="0.25">
      <c r="A31" s="4" t="s">
        <v>21</v>
      </c>
      <c r="B31" s="4" t="s">
        <v>39</v>
      </c>
      <c r="C31" s="4" t="s">
        <v>40</v>
      </c>
      <c r="D31" s="4" t="s">
        <v>43</v>
      </c>
      <c r="E31" s="4" t="s">
        <v>25</v>
      </c>
      <c r="F31" s="4" t="s">
        <v>25</v>
      </c>
      <c r="G31" s="4" t="s">
        <v>25</v>
      </c>
      <c r="H31" s="4" t="s">
        <v>34</v>
      </c>
      <c r="I31" s="5">
        <v>44562</v>
      </c>
      <c r="J31" s="6">
        <v>6696</v>
      </c>
      <c r="K31" s="6">
        <v>6696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58</v>
      </c>
      <c r="R31" s="4">
        <v>0</v>
      </c>
      <c r="S31" s="4" t="s">
        <v>149</v>
      </c>
      <c r="U31" s="4">
        <v>1</v>
      </c>
      <c r="V31" s="4">
        <v>0</v>
      </c>
      <c r="W31" s="4">
        <v>0</v>
      </c>
    </row>
    <row r="32" spans="1:23" ht="11.25" customHeight="1" x14ac:dyDescent="0.25">
      <c r="A32" s="4" t="s">
        <v>21</v>
      </c>
      <c r="B32" s="4" t="s">
        <v>39</v>
      </c>
      <c r="C32" s="4" t="s">
        <v>40</v>
      </c>
      <c r="D32" s="4" t="s">
        <v>43</v>
      </c>
      <c r="E32" s="4" t="s">
        <v>25</v>
      </c>
      <c r="F32" s="4" t="s">
        <v>25</v>
      </c>
      <c r="G32" s="4" t="s">
        <v>25</v>
      </c>
      <c r="H32" s="4" t="s">
        <v>34</v>
      </c>
      <c r="I32" s="5">
        <v>44593</v>
      </c>
      <c r="J32" s="6">
        <v>6512</v>
      </c>
      <c r="K32" s="6">
        <v>6512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58</v>
      </c>
      <c r="R32" s="4">
        <v>0</v>
      </c>
      <c r="S32" s="4" t="s">
        <v>150</v>
      </c>
      <c r="U32" s="4">
        <v>1</v>
      </c>
      <c r="V32" s="4">
        <v>0</v>
      </c>
      <c r="W32" s="4">
        <v>0</v>
      </c>
    </row>
    <row r="33" spans="1:23" ht="11.25" customHeight="1" x14ac:dyDescent="0.25">
      <c r="A33" s="4" t="s">
        <v>21</v>
      </c>
      <c r="B33" s="4" t="s">
        <v>39</v>
      </c>
      <c r="C33" s="4" t="s">
        <v>40</v>
      </c>
      <c r="D33" s="4" t="s">
        <v>43</v>
      </c>
      <c r="E33" s="4" t="s">
        <v>25</v>
      </c>
      <c r="F33" s="4" t="s">
        <v>25</v>
      </c>
      <c r="G33" s="4" t="s">
        <v>25</v>
      </c>
      <c r="H33" s="4" t="s">
        <v>34</v>
      </c>
      <c r="I33" s="5">
        <v>44621</v>
      </c>
      <c r="J33" s="6">
        <v>6500</v>
      </c>
      <c r="K33" s="6">
        <v>6500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58</v>
      </c>
      <c r="R33" s="4">
        <v>0</v>
      </c>
      <c r="S33" s="4" t="s">
        <v>151</v>
      </c>
      <c r="U33" s="4">
        <v>1</v>
      </c>
      <c r="V33" s="4">
        <v>0</v>
      </c>
      <c r="W33" s="4">
        <v>0</v>
      </c>
    </row>
    <row r="34" spans="1:23" ht="11.25" customHeight="1" x14ac:dyDescent="0.25">
      <c r="A34" s="4" t="s">
        <v>21</v>
      </c>
      <c r="B34" s="4" t="s">
        <v>39</v>
      </c>
      <c r="C34" s="4" t="s">
        <v>40</v>
      </c>
      <c r="D34" s="4" t="s">
        <v>43</v>
      </c>
      <c r="E34" s="4" t="s">
        <v>25</v>
      </c>
      <c r="F34" s="4" t="s">
        <v>25</v>
      </c>
      <c r="G34" s="4" t="s">
        <v>25</v>
      </c>
      <c r="H34" s="4" t="s">
        <v>34</v>
      </c>
      <c r="I34" s="5">
        <v>44652</v>
      </c>
      <c r="J34" s="6">
        <v>6500</v>
      </c>
      <c r="K34" s="6">
        <v>6500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58</v>
      </c>
      <c r="R34" s="4">
        <v>0</v>
      </c>
      <c r="S34" s="4" t="s">
        <v>152</v>
      </c>
      <c r="U34" s="4">
        <v>1</v>
      </c>
      <c r="V34" s="4">
        <v>0</v>
      </c>
      <c r="W34" s="4">
        <v>0</v>
      </c>
    </row>
    <row r="35" spans="1:23" ht="11.25" customHeight="1" x14ac:dyDescent="0.25">
      <c r="A35" s="4" t="s">
        <v>21</v>
      </c>
      <c r="B35" s="4" t="s">
        <v>39</v>
      </c>
      <c r="C35" s="4" t="s">
        <v>40</v>
      </c>
      <c r="D35" s="4" t="s">
        <v>43</v>
      </c>
      <c r="E35" s="4" t="s">
        <v>25</v>
      </c>
      <c r="F35" s="4" t="s">
        <v>25</v>
      </c>
      <c r="G35" s="4" t="s">
        <v>25</v>
      </c>
      <c r="H35" s="4" t="s">
        <v>34</v>
      </c>
      <c r="I35" s="5">
        <v>44682</v>
      </c>
      <c r="J35" s="6">
        <v>6596</v>
      </c>
      <c r="K35" s="6">
        <v>6596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58</v>
      </c>
      <c r="R35" s="4">
        <v>0</v>
      </c>
      <c r="S35" s="4" t="s">
        <v>153</v>
      </c>
      <c r="U35" s="4">
        <v>1</v>
      </c>
      <c r="V35" s="4">
        <v>0</v>
      </c>
      <c r="W35" s="4">
        <v>0</v>
      </c>
    </row>
    <row r="36" spans="1:23" ht="11.25" customHeight="1" x14ac:dyDescent="0.25">
      <c r="A36" s="4" t="s">
        <v>21</v>
      </c>
      <c r="B36" s="4" t="s">
        <v>39</v>
      </c>
      <c r="C36" s="4" t="s">
        <v>40</v>
      </c>
      <c r="D36" s="4" t="s">
        <v>43</v>
      </c>
      <c r="E36" s="4" t="s">
        <v>25</v>
      </c>
      <c r="F36" s="4" t="s">
        <v>25</v>
      </c>
      <c r="G36" s="4" t="s">
        <v>25</v>
      </c>
      <c r="H36" s="4" t="s">
        <v>34</v>
      </c>
      <c r="I36" s="5">
        <v>44713</v>
      </c>
      <c r="J36" s="6">
        <v>6656</v>
      </c>
      <c r="K36" s="6">
        <v>6656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58</v>
      </c>
      <c r="R36" s="4">
        <v>0</v>
      </c>
      <c r="S36" s="4" t="s">
        <v>154</v>
      </c>
      <c r="U36" s="4">
        <v>1</v>
      </c>
      <c r="V36" s="4">
        <v>0</v>
      </c>
      <c r="W36" s="4">
        <v>0</v>
      </c>
    </row>
    <row r="37" spans="1:23" ht="11.25" customHeight="1" x14ac:dyDescent="0.25">
      <c r="A37" s="4" t="s">
        <v>57</v>
      </c>
      <c r="B37" s="4" t="s">
        <v>39</v>
      </c>
      <c r="C37" s="4" t="s">
        <v>40</v>
      </c>
      <c r="D37" s="4" t="s">
        <v>43</v>
      </c>
      <c r="E37" s="4" t="s">
        <v>25</v>
      </c>
      <c r="F37" s="4" t="s">
        <v>25</v>
      </c>
      <c r="G37" s="4" t="s">
        <v>25</v>
      </c>
      <c r="H37" s="4" t="s">
        <v>34</v>
      </c>
      <c r="I37" s="5">
        <v>44743</v>
      </c>
      <c r="J37" s="6">
        <v>6656</v>
      </c>
      <c r="K37" s="6">
        <v>6656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58</v>
      </c>
      <c r="R37" s="4">
        <v>0</v>
      </c>
      <c r="S37" s="4" t="s">
        <v>155</v>
      </c>
      <c r="U37" s="4">
        <v>1</v>
      </c>
      <c r="V37" s="4">
        <v>0</v>
      </c>
      <c r="W37" s="4">
        <v>0</v>
      </c>
    </row>
    <row r="38" spans="1:23" ht="11.25" customHeight="1" x14ac:dyDescent="0.25">
      <c r="A38" s="4" t="s">
        <v>21</v>
      </c>
      <c r="B38" s="4" t="s">
        <v>39</v>
      </c>
      <c r="C38" s="4" t="s">
        <v>40</v>
      </c>
      <c r="D38" s="4" t="s">
        <v>38</v>
      </c>
      <c r="E38" s="4" t="s">
        <v>25</v>
      </c>
      <c r="F38" s="4" t="s">
        <v>61</v>
      </c>
      <c r="G38" s="4" t="s">
        <v>25</v>
      </c>
      <c r="H38" s="4" t="s">
        <v>35</v>
      </c>
      <c r="I38" s="5">
        <v>44409</v>
      </c>
      <c r="J38" s="6">
        <v>5460</v>
      </c>
      <c r="K38" s="6">
        <v>2948.4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58</v>
      </c>
      <c r="R38" s="4">
        <v>0</v>
      </c>
      <c r="S38" s="4" t="s">
        <v>120</v>
      </c>
      <c r="U38" s="4">
        <v>3</v>
      </c>
      <c r="V38" s="4">
        <v>0</v>
      </c>
      <c r="W38" s="4">
        <v>0</v>
      </c>
    </row>
    <row r="39" spans="1:23" ht="11.25" customHeight="1" x14ac:dyDescent="0.25">
      <c r="A39" s="4" t="s">
        <v>21</v>
      </c>
      <c r="B39" s="4" t="s">
        <v>39</v>
      </c>
      <c r="C39" s="4" t="s">
        <v>40</v>
      </c>
      <c r="D39" s="4" t="s">
        <v>38</v>
      </c>
      <c r="E39" s="4" t="s">
        <v>25</v>
      </c>
      <c r="F39" s="4" t="s">
        <v>61</v>
      </c>
      <c r="G39" s="4" t="s">
        <v>25</v>
      </c>
      <c r="H39" s="4" t="s">
        <v>35</v>
      </c>
      <c r="I39" s="5">
        <v>44440</v>
      </c>
      <c r="J39" s="6">
        <v>5460</v>
      </c>
      <c r="K39" s="6">
        <v>2839.2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58</v>
      </c>
      <c r="R39" s="4">
        <v>0</v>
      </c>
      <c r="S39" s="4" t="s">
        <v>121</v>
      </c>
      <c r="U39" s="4">
        <v>3</v>
      </c>
      <c r="V39" s="4">
        <v>0</v>
      </c>
      <c r="W39" s="4">
        <v>0</v>
      </c>
    </row>
    <row r="40" spans="1:23" ht="11.25" customHeight="1" x14ac:dyDescent="0.25">
      <c r="A40" s="4" t="s">
        <v>21</v>
      </c>
      <c r="B40" s="4" t="s">
        <v>39</v>
      </c>
      <c r="C40" s="4" t="s">
        <v>40</v>
      </c>
      <c r="D40" s="4" t="s">
        <v>38</v>
      </c>
      <c r="E40" s="4" t="s">
        <v>25</v>
      </c>
      <c r="F40" s="4" t="s">
        <v>61</v>
      </c>
      <c r="G40" s="4" t="s">
        <v>25</v>
      </c>
      <c r="H40" s="4" t="s">
        <v>35</v>
      </c>
      <c r="I40" s="5">
        <v>44470</v>
      </c>
      <c r="J40" s="6">
        <v>5460</v>
      </c>
      <c r="K40" s="6">
        <v>4968.6000000000004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58</v>
      </c>
      <c r="R40" s="4">
        <v>0</v>
      </c>
      <c r="S40" s="4" t="s">
        <v>122</v>
      </c>
      <c r="U40" s="4">
        <v>3</v>
      </c>
      <c r="V40" s="4">
        <v>0</v>
      </c>
      <c r="W40" s="4">
        <v>0</v>
      </c>
    </row>
    <row r="41" spans="1:23" ht="11.25" customHeight="1" x14ac:dyDescent="0.25">
      <c r="A41" s="4" t="s">
        <v>21</v>
      </c>
      <c r="B41" s="4" t="s">
        <v>39</v>
      </c>
      <c r="C41" s="4" t="s">
        <v>40</v>
      </c>
      <c r="D41" s="4" t="s">
        <v>38</v>
      </c>
      <c r="E41" s="4" t="s">
        <v>25</v>
      </c>
      <c r="F41" s="4" t="s">
        <v>61</v>
      </c>
      <c r="G41" s="4" t="s">
        <v>25</v>
      </c>
      <c r="H41" s="4" t="s">
        <v>35</v>
      </c>
      <c r="I41" s="5">
        <v>44501</v>
      </c>
      <c r="J41" s="6">
        <v>8690</v>
      </c>
      <c r="K41" s="6">
        <v>5387.8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58</v>
      </c>
      <c r="R41" s="4">
        <v>0</v>
      </c>
      <c r="S41" s="4" t="s">
        <v>123</v>
      </c>
      <c r="U41" s="4">
        <v>3</v>
      </c>
      <c r="V41" s="4">
        <v>0</v>
      </c>
      <c r="W41" s="4">
        <v>0</v>
      </c>
    </row>
    <row r="42" spans="1:23" ht="11.25" customHeight="1" x14ac:dyDescent="0.25">
      <c r="A42" s="4" t="s">
        <v>21</v>
      </c>
      <c r="B42" s="4" t="s">
        <v>39</v>
      </c>
      <c r="C42" s="4" t="s">
        <v>40</v>
      </c>
      <c r="D42" s="4" t="s">
        <v>38</v>
      </c>
      <c r="E42" s="4" t="s">
        <v>25</v>
      </c>
      <c r="F42" s="4" t="s">
        <v>61</v>
      </c>
      <c r="G42" s="4" t="s">
        <v>25</v>
      </c>
      <c r="H42" s="4" t="s">
        <v>35</v>
      </c>
      <c r="I42" s="5">
        <v>44531</v>
      </c>
      <c r="J42" s="6">
        <v>6570</v>
      </c>
      <c r="K42" s="6">
        <v>2233.8000000000002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58</v>
      </c>
      <c r="R42" s="4">
        <v>0</v>
      </c>
      <c r="S42" s="4" t="s">
        <v>124</v>
      </c>
      <c r="U42" s="4">
        <v>3</v>
      </c>
      <c r="V42" s="4">
        <v>0</v>
      </c>
      <c r="W42" s="4">
        <v>0</v>
      </c>
    </row>
    <row r="43" spans="1:23" ht="11.25" customHeight="1" x14ac:dyDescent="0.25">
      <c r="A43" s="4" t="s">
        <v>21</v>
      </c>
      <c r="B43" s="4" t="s">
        <v>39</v>
      </c>
      <c r="C43" s="4" t="s">
        <v>40</v>
      </c>
      <c r="D43" s="4" t="s">
        <v>38</v>
      </c>
      <c r="E43" s="4" t="s">
        <v>25</v>
      </c>
      <c r="F43" s="4" t="s">
        <v>61</v>
      </c>
      <c r="G43" s="4" t="s">
        <v>25</v>
      </c>
      <c r="H43" s="4" t="s">
        <v>35</v>
      </c>
      <c r="I43" s="5">
        <v>44562</v>
      </c>
      <c r="J43" s="6">
        <v>6570</v>
      </c>
      <c r="K43" s="6">
        <v>2299.5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58</v>
      </c>
      <c r="R43" s="4">
        <v>0</v>
      </c>
      <c r="S43" s="4" t="s">
        <v>125</v>
      </c>
      <c r="U43" s="4">
        <v>3</v>
      </c>
      <c r="V43" s="4">
        <v>0</v>
      </c>
      <c r="W43" s="4">
        <v>0</v>
      </c>
    </row>
    <row r="44" spans="1:23" ht="11.25" customHeight="1" x14ac:dyDescent="0.25">
      <c r="A44" s="4" t="s">
        <v>21</v>
      </c>
      <c r="B44" s="4" t="s">
        <v>39</v>
      </c>
      <c r="C44" s="4" t="s">
        <v>40</v>
      </c>
      <c r="D44" s="4" t="s">
        <v>38</v>
      </c>
      <c r="E44" s="4" t="s">
        <v>25</v>
      </c>
      <c r="F44" s="4" t="s">
        <v>61</v>
      </c>
      <c r="G44" s="4" t="s">
        <v>25</v>
      </c>
      <c r="H44" s="4" t="s">
        <v>35</v>
      </c>
      <c r="I44" s="5">
        <v>44593</v>
      </c>
      <c r="J44" s="6">
        <v>6570</v>
      </c>
      <c r="K44" s="6">
        <v>2233.8000000000002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58</v>
      </c>
      <c r="R44" s="4">
        <v>0</v>
      </c>
      <c r="S44" s="4" t="s">
        <v>126</v>
      </c>
      <c r="U44" s="4">
        <v>3</v>
      </c>
      <c r="V44" s="4">
        <v>0</v>
      </c>
      <c r="W44" s="4">
        <v>0</v>
      </c>
    </row>
    <row r="45" spans="1:23" ht="11.25" customHeight="1" x14ac:dyDescent="0.25">
      <c r="A45" s="4" t="s">
        <v>21</v>
      </c>
      <c r="B45" s="4" t="s">
        <v>39</v>
      </c>
      <c r="C45" s="4" t="s">
        <v>40</v>
      </c>
      <c r="D45" s="4" t="s">
        <v>38</v>
      </c>
      <c r="E45" s="4" t="s">
        <v>25</v>
      </c>
      <c r="F45" s="4" t="s">
        <v>61</v>
      </c>
      <c r="G45" s="4" t="s">
        <v>25</v>
      </c>
      <c r="H45" s="4" t="s">
        <v>35</v>
      </c>
      <c r="I45" s="5">
        <v>44621</v>
      </c>
      <c r="J45" s="6">
        <v>6570</v>
      </c>
      <c r="K45" s="6">
        <v>2430.9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58</v>
      </c>
      <c r="R45" s="4">
        <v>0</v>
      </c>
      <c r="S45" s="4" t="s">
        <v>127</v>
      </c>
      <c r="U45" s="4">
        <v>3</v>
      </c>
      <c r="V45" s="4">
        <v>0</v>
      </c>
      <c r="W45" s="4">
        <v>0</v>
      </c>
    </row>
    <row r="46" spans="1:23" ht="11.25" customHeight="1" x14ac:dyDescent="0.25">
      <c r="A46" s="4" t="s">
        <v>21</v>
      </c>
      <c r="B46" s="4" t="s">
        <v>39</v>
      </c>
      <c r="C46" s="4" t="s">
        <v>40</v>
      </c>
      <c r="D46" s="4" t="s">
        <v>38</v>
      </c>
      <c r="E46" s="4" t="s">
        <v>25</v>
      </c>
      <c r="F46" s="4" t="s">
        <v>61</v>
      </c>
      <c r="G46" s="4" t="s">
        <v>25</v>
      </c>
      <c r="H46" s="4" t="s">
        <v>35</v>
      </c>
      <c r="I46" s="5">
        <v>44652</v>
      </c>
      <c r="J46" s="6">
        <v>6570</v>
      </c>
      <c r="K46" s="6">
        <v>2233.8000000000002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58</v>
      </c>
      <c r="R46" s="4">
        <v>0</v>
      </c>
      <c r="S46" s="4" t="s">
        <v>128</v>
      </c>
      <c r="U46" s="4">
        <v>3</v>
      </c>
      <c r="V46" s="4">
        <v>0</v>
      </c>
      <c r="W46" s="4">
        <v>0</v>
      </c>
    </row>
    <row r="47" spans="1:23" ht="11.25" customHeight="1" x14ac:dyDescent="0.25">
      <c r="A47" s="4" t="s">
        <v>21</v>
      </c>
      <c r="B47" s="4" t="s">
        <v>39</v>
      </c>
      <c r="C47" s="4" t="s">
        <v>40</v>
      </c>
      <c r="D47" s="4" t="s">
        <v>38</v>
      </c>
      <c r="E47" s="4" t="s">
        <v>25</v>
      </c>
      <c r="F47" s="4" t="s">
        <v>61</v>
      </c>
      <c r="G47" s="4" t="s">
        <v>25</v>
      </c>
      <c r="H47" s="4" t="s">
        <v>35</v>
      </c>
      <c r="I47" s="5">
        <v>44682</v>
      </c>
      <c r="J47" s="6">
        <v>6570</v>
      </c>
      <c r="K47" s="6">
        <v>2233.8000000000002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58</v>
      </c>
      <c r="R47" s="4">
        <v>0</v>
      </c>
      <c r="S47" s="4" t="s">
        <v>129</v>
      </c>
      <c r="U47" s="4">
        <v>3</v>
      </c>
      <c r="V47" s="4">
        <v>0</v>
      </c>
      <c r="W47" s="4">
        <v>0</v>
      </c>
    </row>
    <row r="48" spans="1:23" ht="11.25" customHeight="1" x14ac:dyDescent="0.25">
      <c r="A48" s="4" t="s">
        <v>21</v>
      </c>
      <c r="B48" s="4" t="s">
        <v>39</v>
      </c>
      <c r="C48" s="4" t="s">
        <v>40</v>
      </c>
      <c r="D48" s="4" t="s">
        <v>38</v>
      </c>
      <c r="E48" s="4" t="s">
        <v>25</v>
      </c>
      <c r="F48" s="4" t="s">
        <v>61</v>
      </c>
      <c r="G48" s="4" t="s">
        <v>25</v>
      </c>
      <c r="H48" s="4" t="s">
        <v>35</v>
      </c>
      <c r="I48" s="5">
        <v>44713</v>
      </c>
      <c r="J48" s="6">
        <v>6570</v>
      </c>
      <c r="K48" s="6">
        <v>2233.8000000000002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58</v>
      </c>
      <c r="R48" s="4">
        <v>0</v>
      </c>
      <c r="S48" s="4" t="s">
        <v>130</v>
      </c>
      <c r="U48" s="4">
        <v>3</v>
      </c>
      <c r="V48" s="4">
        <v>0</v>
      </c>
      <c r="W48" s="4">
        <v>0</v>
      </c>
    </row>
    <row r="49" spans="1:23" ht="11.25" customHeight="1" x14ac:dyDescent="0.25">
      <c r="A49" s="4" t="s">
        <v>57</v>
      </c>
      <c r="B49" s="4" t="s">
        <v>39</v>
      </c>
      <c r="C49" s="4" t="s">
        <v>40</v>
      </c>
      <c r="D49" s="4" t="s">
        <v>38</v>
      </c>
      <c r="E49" s="4" t="s">
        <v>25</v>
      </c>
      <c r="F49" s="4" t="s">
        <v>61</v>
      </c>
      <c r="G49" s="4" t="s">
        <v>25</v>
      </c>
      <c r="H49" s="4" t="s">
        <v>35</v>
      </c>
      <c r="I49" s="5">
        <v>44743</v>
      </c>
      <c r="J49" s="6">
        <v>6570</v>
      </c>
      <c r="K49" s="6">
        <v>2233.8000000000002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58</v>
      </c>
      <c r="R49" s="4">
        <v>0</v>
      </c>
      <c r="S49" s="4" t="s">
        <v>131</v>
      </c>
      <c r="U49" s="4">
        <v>3</v>
      </c>
      <c r="V49" s="4">
        <v>0</v>
      </c>
      <c r="W49" s="4">
        <v>0</v>
      </c>
    </row>
    <row r="50" spans="1:23" ht="11.25" customHeight="1" x14ac:dyDescent="0.25">
      <c r="A50" s="4" t="s">
        <v>21</v>
      </c>
      <c r="B50" s="4" t="s">
        <v>39</v>
      </c>
      <c r="C50" s="4" t="s">
        <v>40</v>
      </c>
      <c r="D50" s="4" t="s">
        <v>38</v>
      </c>
      <c r="E50" s="4" t="s">
        <v>25</v>
      </c>
      <c r="F50" s="4" t="s">
        <v>61</v>
      </c>
      <c r="G50" s="4" t="s">
        <v>25</v>
      </c>
      <c r="H50" s="4" t="s">
        <v>25</v>
      </c>
      <c r="I50" s="5">
        <v>44409</v>
      </c>
      <c r="J50" s="6">
        <v>0</v>
      </c>
      <c r="K50" s="6">
        <v>0</v>
      </c>
      <c r="L50" s="6">
        <v>1322.09</v>
      </c>
      <c r="M50" s="6">
        <v>1322.09</v>
      </c>
      <c r="N50" s="6">
        <v>0</v>
      </c>
      <c r="O50" s="6">
        <v>0</v>
      </c>
      <c r="P50" s="6">
        <v>4</v>
      </c>
      <c r="Q50" s="4" t="s">
        <v>58</v>
      </c>
      <c r="R50" s="4">
        <v>0</v>
      </c>
      <c r="S50" s="4" t="s">
        <v>132</v>
      </c>
      <c r="U50" s="4">
        <v>0</v>
      </c>
      <c r="V50" s="4">
        <v>5</v>
      </c>
      <c r="W50" s="4">
        <v>0</v>
      </c>
    </row>
    <row r="51" spans="1:23" ht="11.25" customHeight="1" x14ac:dyDescent="0.25">
      <c r="A51" s="4" t="s">
        <v>21</v>
      </c>
      <c r="B51" s="4" t="s">
        <v>39</v>
      </c>
      <c r="C51" s="4" t="s">
        <v>40</v>
      </c>
      <c r="D51" s="4" t="s">
        <v>38</v>
      </c>
      <c r="E51" s="4" t="s">
        <v>25</v>
      </c>
      <c r="F51" s="4" t="s">
        <v>61</v>
      </c>
      <c r="G51" s="4" t="s">
        <v>25</v>
      </c>
      <c r="H51" s="4" t="s">
        <v>25</v>
      </c>
      <c r="I51" s="5">
        <v>44440</v>
      </c>
      <c r="J51" s="6">
        <v>0</v>
      </c>
      <c r="K51" s="6">
        <v>0</v>
      </c>
      <c r="L51" s="6">
        <v>1296.7840000000001</v>
      </c>
      <c r="M51" s="6">
        <v>1296.7840000000001</v>
      </c>
      <c r="N51" s="6">
        <v>0</v>
      </c>
      <c r="O51" s="6">
        <v>0</v>
      </c>
      <c r="P51" s="6">
        <v>4</v>
      </c>
      <c r="Q51" s="4" t="s">
        <v>58</v>
      </c>
      <c r="R51" s="4">
        <v>0</v>
      </c>
      <c r="S51" s="4" t="s">
        <v>133</v>
      </c>
      <c r="U51" s="4">
        <v>0</v>
      </c>
      <c r="V51" s="4">
        <v>5</v>
      </c>
      <c r="W51" s="4">
        <v>0</v>
      </c>
    </row>
    <row r="52" spans="1:23" ht="11.25" customHeight="1" x14ac:dyDescent="0.25">
      <c r="A52" s="4" t="s">
        <v>21</v>
      </c>
      <c r="B52" s="4" t="s">
        <v>39</v>
      </c>
      <c r="C52" s="4" t="s">
        <v>40</v>
      </c>
      <c r="D52" s="4" t="s">
        <v>38</v>
      </c>
      <c r="E52" s="4" t="s">
        <v>25</v>
      </c>
      <c r="F52" s="4" t="s">
        <v>61</v>
      </c>
      <c r="G52" s="4" t="s">
        <v>25</v>
      </c>
      <c r="H52" s="4" t="s">
        <v>25</v>
      </c>
      <c r="I52" s="5">
        <v>44470</v>
      </c>
      <c r="J52" s="6">
        <v>0</v>
      </c>
      <c r="K52" s="6">
        <v>0</v>
      </c>
      <c r="L52" s="6">
        <v>1202.2439999999999</v>
      </c>
      <c r="M52" s="6">
        <v>1202.2439999999999</v>
      </c>
      <c r="N52" s="6">
        <v>0</v>
      </c>
      <c r="O52" s="6">
        <v>0</v>
      </c>
      <c r="P52" s="6">
        <v>4</v>
      </c>
      <c r="Q52" s="4" t="s">
        <v>58</v>
      </c>
      <c r="R52" s="4">
        <v>0</v>
      </c>
      <c r="S52" s="4" t="s">
        <v>134</v>
      </c>
      <c r="U52" s="4">
        <v>0</v>
      </c>
      <c r="V52" s="4">
        <v>5</v>
      </c>
      <c r="W52" s="4">
        <v>0</v>
      </c>
    </row>
    <row r="53" spans="1:23" ht="11.25" customHeight="1" x14ac:dyDescent="0.25">
      <c r="A53" s="4" t="s">
        <v>21</v>
      </c>
      <c r="B53" s="4" t="s">
        <v>39</v>
      </c>
      <c r="C53" s="4" t="s">
        <v>40</v>
      </c>
      <c r="D53" s="4" t="s">
        <v>38</v>
      </c>
      <c r="E53" s="4" t="s">
        <v>25</v>
      </c>
      <c r="F53" s="4" t="s">
        <v>61</v>
      </c>
      <c r="G53" s="4" t="s">
        <v>25</v>
      </c>
      <c r="H53" s="4" t="s">
        <v>25</v>
      </c>
      <c r="I53" s="5">
        <v>44501</v>
      </c>
      <c r="J53" s="6">
        <v>0</v>
      </c>
      <c r="K53" s="6">
        <v>0</v>
      </c>
      <c r="L53" s="6">
        <v>3153.1880000000001</v>
      </c>
      <c r="M53" s="6">
        <v>3153.1880000000001</v>
      </c>
      <c r="N53" s="6">
        <v>0</v>
      </c>
      <c r="O53" s="6">
        <v>0</v>
      </c>
      <c r="P53" s="6">
        <v>5</v>
      </c>
      <c r="Q53" s="4" t="s">
        <v>58</v>
      </c>
      <c r="R53" s="4">
        <v>0</v>
      </c>
      <c r="S53" s="4" t="s">
        <v>135</v>
      </c>
      <c r="U53" s="4">
        <v>0</v>
      </c>
      <c r="V53" s="4">
        <v>5</v>
      </c>
      <c r="W53" s="4">
        <v>0</v>
      </c>
    </row>
    <row r="54" spans="1:23" ht="11.25" customHeight="1" x14ac:dyDescent="0.25">
      <c r="A54" s="4" t="s">
        <v>21</v>
      </c>
      <c r="B54" s="4" t="s">
        <v>39</v>
      </c>
      <c r="C54" s="4" t="s">
        <v>40</v>
      </c>
      <c r="D54" s="4" t="s">
        <v>38</v>
      </c>
      <c r="E54" s="4" t="s">
        <v>25</v>
      </c>
      <c r="F54" s="4" t="s">
        <v>61</v>
      </c>
      <c r="G54" s="4" t="s">
        <v>25</v>
      </c>
      <c r="H54" s="4" t="s">
        <v>25</v>
      </c>
      <c r="I54" s="5">
        <v>44531</v>
      </c>
      <c r="J54" s="6">
        <v>0</v>
      </c>
      <c r="K54" s="6">
        <v>0</v>
      </c>
      <c r="L54" s="6">
        <v>2288.6550000000002</v>
      </c>
      <c r="M54" s="6">
        <v>2288.6550000000002</v>
      </c>
      <c r="N54" s="6">
        <v>0</v>
      </c>
      <c r="O54" s="6">
        <v>0</v>
      </c>
      <c r="P54" s="6">
        <v>4</v>
      </c>
      <c r="Q54" s="4" t="s">
        <v>58</v>
      </c>
      <c r="R54" s="4">
        <v>0</v>
      </c>
      <c r="S54" s="4" t="s">
        <v>136</v>
      </c>
      <c r="U54" s="4">
        <v>0</v>
      </c>
      <c r="V54" s="4">
        <v>5</v>
      </c>
      <c r="W54" s="4">
        <v>0</v>
      </c>
    </row>
    <row r="55" spans="1:23" ht="11.25" customHeight="1" x14ac:dyDescent="0.25">
      <c r="A55" s="4" t="s">
        <v>21</v>
      </c>
      <c r="B55" s="4" t="s">
        <v>39</v>
      </c>
      <c r="C55" s="4" t="s">
        <v>40</v>
      </c>
      <c r="D55" s="4" t="s">
        <v>38</v>
      </c>
      <c r="E55" s="4" t="s">
        <v>25</v>
      </c>
      <c r="F55" s="4" t="s">
        <v>61</v>
      </c>
      <c r="G55" s="4" t="s">
        <v>25</v>
      </c>
      <c r="H55" s="4" t="s">
        <v>25</v>
      </c>
      <c r="I55" s="5">
        <v>44562</v>
      </c>
      <c r="J55" s="6">
        <v>0</v>
      </c>
      <c r="K55" s="6">
        <v>0</v>
      </c>
      <c r="L55" s="6">
        <v>2190.7370000000001</v>
      </c>
      <c r="M55" s="6">
        <v>2190.7370000000001</v>
      </c>
      <c r="N55" s="6">
        <v>0</v>
      </c>
      <c r="O55" s="6">
        <v>0</v>
      </c>
      <c r="P55" s="6">
        <v>4</v>
      </c>
      <c r="Q55" s="4" t="s">
        <v>58</v>
      </c>
      <c r="R55" s="4">
        <v>0</v>
      </c>
      <c r="S55" s="4" t="s">
        <v>137</v>
      </c>
      <c r="U55" s="4">
        <v>0</v>
      </c>
      <c r="V55" s="4">
        <v>5</v>
      </c>
      <c r="W55" s="4">
        <v>0</v>
      </c>
    </row>
    <row r="56" spans="1:23" ht="11.25" customHeight="1" x14ac:dyDescent="0.25">
      <c r="A56" s="4" t="s">
        <v>21</v>
      </c>
      <c r="B56" s="4" t="s">
        <v>39</v>
      </c>
      <c r="C56" s="4" t="s">
        <v>40</v>
      </c>
      <c r="D56" s="4" t="s">
        <v>38</v>
      </c>
      <c r="E56" s="4" t="s">
        <v>25</v>
      </c>
      <c r="F56" s="4" t="s">
        <v>61</v>
      </c>
      <c r="G56" s="4" t="s">
        <v>25</v>
      </c>
      <c r="H56" s="4" t="s">
        <v>25</v>
      </c>
      <c r="I56" s="5">
        <v>44593</v>
      </c>
      <c r="J56" s="6">
        <v>0</v>
      </c>
      <c r="K56" s="6">
        <v>0</v>
      </c>
      <c r="L56" s="6">
        <v>1980.68</v>
      </c>
      <c r="M56" s="6">
        <v>1980.68</v>
      </c>
      <c r="N56" s="6">
        <v>0</v>
      </c>
      <c r="O56" s="6">
        <v>0</v>
      </c>
      <c r="P56" s="6">
        <v>4</v>
      </c>
      <c r="Q56" s="4" t="s">
        <v>58</v>
      </c>
      <c r="R56" s="4">
        <v>0</v>
      </c>
      <c r="S56" s="4" t="s">
        <v>138</v>
      </c>
      <c r="U56" s="4">
        <v>0</v>
      </c>
      <c r="V56" s="4">
        <v>5</v>
      </c>
      <c r="W56" s="4">
        <v>0</v>
      </c>
    </row>
    <row r="57" spans="1:23" ht="11.25" customHeight="1" x14ac:dyDescent="0.25">
      <c r="A57" s="4" t="s">
        <v>21</v>
      </c>
      <c r="B57" s="4" t="s">
        <v>39</v>
      </c>
      <c r="C57" s="4" t="s">
        <v>40</v>
      </c>
      <c r="D57" s="4" t="s">
        <v>38</v>
      </c>
      <c r="E57" s="4" t="s">
        <v>25</v>
      </c>
      <c r="F57" s="4" t="s">
        <v>61</v>
      </c>
      <c r="G57" s="4" t="s">
        <v>25</v>
      </c>
      <c r="H57" s="4" t="s">
        <v>25</v>
      </c>
      <c r="I57" s="5">
        <v>44621</v>
      </c>
      <c r="J57" s="6">
        <v>0</v>
      </c>
      <c r="K57" s="6">
        <v>0</v>
      </c>
      <c r="L57" s="6">
        <v>1640.53</v>
      </c>
      <c r="M57" s="6">
        <v>1640.53</v>
      </c>
      <c r="N57" s="6">
        <v>0</v>
      </c>
      <c r="O57" s="6">
        <v>0</v>
      </c>
      <c r="P57" s="6">
        <v>4</v>
      </c>
      <c r="Q57" s="4" t="s">
        <v>58</v>
      </c>
      <c r="R57" s="4">
        <v>0</v>
      </c>
      <c r="S57" s="4" t="s">
        <v>139</v>
      </c>
      <c r="U57" s="4">
        <v>0</v>
      </c>
      <c r="V57" s="4">
        <v>5</v>
      </c>
      <c r="W57" s="4">
        <v>0</v>
      </c>
    </row>
    <row r="58" spans="1:23" ht="11.25" customHeight="1" x14ac:dyDescent="0.25">
      <c r="A58" s="4" t="s">
        <v>21</v>
      </c>
      <c r="B58" s="4" t="s">
        <v>39</v>
      </c>
      <c r="C58" s="4" t="s">
        <v>40</v>
      </c>
      <c r="D58" s="4" t="s">
        <v>38</v>
      </c>
      <c r="E58" s="4" t="s">
        <v>25</v>
      </c>
      <c r="F58" s="4" t="s">
        <v>61</v>
      </c>
      <c r="G58" s="4" t="s">
        <v>25</v>
      </c>
      <c r="H58" s="4" t="s">
        <v>25</v>
      </c>
      <c r="I58" s="5">
        <v>44652</v>
      </c>
      <c r="J58" s="6">
        <v>0</v>
      </c>
      <c r="K58" s="6">
        <v>0</v>
      </c>
      <c r="L58" s="6">
        <v>2244.9459999999999</v>
      </c>
      <c r="M58" s="6">
        <v>2244.9459999999999</v>
      </c>
      <c r="N58" s="6">
        <v>0</v>
      </c>
      <c r="O58" s="6">
        <v>0</v>
      </c>
      <c r="P58" s="6">
        <v>4</v>
      </c>
      <c r="Q58" s="4" t="s">
        <v>58</v>
      </c>
      <c r="R58" s="4">
        <v>0</v>
      </c>
      <c r="S58" s="4" t="s">
        <v>140</v>
      </c>
      <c r="U58" s="4">
        <v>0</v>
      </c>
      <c r="V58" s="4">
        <v>5</v>
      </c>
      <c r="W58" s="4">
        <v>0</v>
      </c>
    </row>
    <row r="59" spans="1:23" ht="11.25" customHeight="1" x14ac:dyDescent="0.25">
      <c r="A59" s="4" t="s">
        <v>21</v>
      </c>
      <c r="B59" s="4" t="s">
        <v>39</v>
      </c>
      <c r="C59" s="4" t="s">
        <v>40</v>
      </c>
      <c r="D59" s="4" t="s">
        <v>38</v>
      </c>
      <c r="E59" s="4" t="s">
        <v>25</v>
      </c>
      <c r="F59" s="4" t="s">
        <v>61</v>
      </c>
      <c r="G59" s="4" t="s">
        <v>25</v>
      </c>
      <c r="H59" s="4" t="s">
        <v>25</v>
      </c>
      <c r="I59" s="5">
        <v>44682</v>
      </c>
      <c r="J59" s="6">
        <v>0</v>
      </c>
      <c r="K59" s="6">
        <v>0</v>
      </c>
      <c r="L59" s="6">
        <v>2199.9859999999999</v>
      </c>
      <c r="M59" s="6">
        <v>2199.9859999999999</v>
      </c>
      <c r="N59" s="6">
        <v>0</v>
      </c>
      <c r="O59" s="6">
        <v>0</v>
      </c>
      <c r="P59" s="6">
        <v>4</v>
      </c>
      <c r="Q59" s="4" t="s">
        <v>58</v>
      </c>
      <c r="R59" s="4">
        <v>0</v>
      </c>
      <c r="S59" s="4" t="s">
        <v>141</v>
      </c>
      <c r="U59" s="4">
        <v>0</v>
      </c>
      <c r="V59" s="4">
        <v>5</v>
      </c>
      <c r="W59" s="4">
        <v>0</v>
      </c>
    </row>
    <row r="60" spans="1:23" ht="11.25" customHeight="1" x14ac:dyDescent="0.25">
      <c r="A60" s="4" t="s">
        <v>21</v>
      </c>
      <c r="B60" s="4" t="s">
        <v>39</v>
      </c>
      <c r="C60" s="4" t="s">
        <v>40</v>
      </c>
      <c r="D60" s="4" t="s">
        <v>38</v>
      </c>
      <c r="E60" s="4" t="s">
        <v>25</v>
      </c>
      <c r="F60" s="4" t="s">
        <v>61</v>
      </c>
      <c r="G60" s="4" t="s">
        <v>25</v>
      </c>
      <c r="H60" s="4" t="s">
        <v>25</v>
      </c>
      <c r="I60" s="5">
        <v>44713</v>
      </c>
      <c r="J60" s="6">
        <v>0</v>
      </c>
      <c r="K60" s="6">
        <v>0</v>
      </c>
      <c r="L60" s="6">
        <v>2167.8310000000001</v>
      </c>
      <c r="M60" s="6">
        <v>2167.8310000000001</v>
      </c>
      <c r="N60" s="6">
        <v>0</v>
      </c>
      <c r="O60" s="6">
        <v>0</v>
      </c>
      <c r="P60" s="6">
        <v>4</v>
      </c>
      <c r="Q60" s="4" t="s">
        <v>58</v>
      </c>
      <c r="R60" s="4">
        <v>0</v>
      </c>
      <c r="S60" s="4" t="s">
        <v>142</v>
      </c>
      <c r="U60" s="4">
        <v>0</v>
      </c>
      <c r="V60" s="4">
        <v>5</v>
      </c>
      <c r="W60" s="4">
        <v>0</v>
      </c>
    </row>
    <row r="61" spans="1:23" ht="11.25" customHeight="1" x14ac:dyDescent="0.25">
      <c r="A61" s="4" t="s">
        <v>57</v>
      </c>
      <c r="B61" s="4" t="s">
        <v>39</v>
      </c>
      <c r="C61" s="4" t="s">
        <v>40</v>
      </c>
      <c r="D61" s="4" t="s">
        <v>38</v>
      </c>
      <c r="E61" s="4" t="s">
        <v>25</v>
      </c>
      <c r="F61" s="4" t="s">
        <v>61</v>
      </c>
      <c r="G61" s="4" t="s">
        <v>25</v>
      </c>
      <c r="H61" s="4" t="s">
        <v>25</v>
      </c>
      <c r="I61" s="5">
        <v>44743</v>
      </c>
      <c r="J61" s="6">
        <v>0</v>
      </c>
      <c r="K61" s="6">
        <v>0</v>
      </c>
      <c r="L61" s="6">
        <v>2167.8310000000001</v>
      </c>
      <c r="M61" s="6">
        <v>2167.8310000000001</v>
      </c>
      <c r="N61" s="6">
        <v>0</v>
      </c>
      <c r="O61" s="6">
        <v>0</v>
      </c>
      <c r="P61" s="6">
        <v>4</v>
      </c>
      <c r="Q61" s="4" t="s">
        <v>58</v>
      </c>
      <c r="R61" s="4">
        <v>0</v>
      </c>
      <c r="S61" s="4" t="s">
        <v>143</v>
      </c>
      <c r="U61" s="4">
        <v>0</v>
      </c>
      <c r="V61" s="4">
        <v>5</v>
      </c>
      <c r="W61" s="4">
        <v>0</v>
      </c>
    </row>
    <row r="62" spans="1:23" ht="11.25" customHeight="1" x14ac:dyDescent="0.25">
      <c r="A62" s="4" t="s">
        <v>21</v>
      </c>
      <c r="B62" s="4" t="s">
        <v>39</v>
      </c>
      <c r="C62" s="4" t="s">
        <v>40</v>
      </c>
      <c r="D62" s="4" t="s">
        <v>38</v>
      </c>
      <c r="E62" s="4" t="s">
        <v>25</v>
      </c>
      <c r="F62" s="4" t="s">
        <v>61</v>
      </c>
      <c r="G62" s="4" t="s">
        <v>25</v>
      </c>
      <c r="H62" s="4" t="s">
        <v>34</v>
      </c>
      <c r="I62" s="5">
        <v>44409</v>
      </c>
      <c r="J62" s="6">
        <v>3940</v>
      </c>
      <c r="K62" s="6">
        <v>2639.8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58</v>
      </c>
      <c r="R62" s="4">
        <v>0</v>
      </c>
      <c r="S62" s="4" t="s">
        <v>144</v>
      </c>
      <c r="U62" s="4">
        <v>1</v>
      </c>
      <c r="V62" s="4">
        <v>0</v>
      </c>
      <c r="W62" s="4">
        <v>0</v>
      </c>
    </row>
    <row r="63" spans="1:23" ht="11.25" customHeight="1" x14ac:dyDescent="0.25">
      <c r="A63" s="4" t="s">
        <v>21</v>
      </c>
      <c r="B63" s="4" t="s">
        <v>39</v>
      </c>
      <c r="C63" s="4" t="s">
        <v>40</v>
      </c>
      <c r="D63" s="4" t="s">
        <v>38</v>
      </c>
      <c r="E63" s="4" t="s">
        <v>25</v>
      </c>
      <c r="F63" s="4" t="s">
        <v>61</v>
      </c>
      <c r="G63" s="4" t="s">
        <v>25</v>
      </c>
      <c r="H63" s="4" t="s">
        <v>34</v>
      </c>
      <c r="I63" s="5">
        <v>44440</v>
      </c>
      <c r="J63" s="6">
        <v>3940</v>
      </c>
      <c r="K63" s="6">
        <v>2758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58</v>
      </c>
      <c r="R63" s="4">
        <v>0</v>
      </c>
      <c r="S63" s="4" t="s">
        <v>145</v>
      </c>
      <c r="U63" s="4">
        <v>1</v>
      </c>
      <c r="V63" s="4">
        <v>0</v>
      </c>
      <c r="W63" s="4">
        <v>0</v>
      </c>
    </row>
    <row r="64" spans="1:23" ht="11.25" customHeight="1" x14ac:dyDescent="0.25">
      <c r="A64" s="4" t="s">
        <v>21</v>
      </c>
      <c r="B64" s="4" t="s">
        <v>39</v>
      </c>
      <c r="C64" s="4" t="s">
        <v>40</v>
      </c>
      <c r="D64" s="4" t="s">
        <v>38</v>
      </c>
      <c r="E64" s="4" t="s">
        <v>25</v>
      </c>
      <c r="F64" s="4" t="s">
        <v>61</v>
      </c>
      <c r="G64" s="4" t="s">
        <v>25</v>
      </c>
      <c r="H64" s="4" t="s">
        <v>34</v>
      </c>
      <c r="I64" s="5">
        <v>44470</v>
      </c>
      <c r="J64" s="6">
        <v>3940</v>
      </c>
      <c r="K64" s="6">
        <v>4609.8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58</v>
      </c>
      <c r="R64" s="4">
        <v>0</v>
      </c>
      <c r="S64" s="4" t="s">
        <v>146</v>
      </c>
      <c r="U64" s="4">
        <v>1</v>
      </c>
      <c r="V64" s="4">
        <v>0</v>
      </c>
      <c r="W64" s="4">
        <v>0</v>
      </c>
    </row>
    <row r="65" spans="1:23" ht="11.25" customHeight="1" x14ac:dyDescent="0.25">
      <c r="A65" s="4" t="s">
        <v>21</v>
      </c>
      <c r="B65" s="4" t="s">
        <v>39</v>
      </c>
      <c r="C65" s="4" t="s">
        <v>40</v>
      </c>
      <c r="D65" s="4" t="s">
        <v>38</v>
      </c>
      <c r="E65" s="4" t="s">
        <v>25</v>
      </c>
      <c r="F65" s="4" t="s">
        <v>61</v>
      </c>
      <c r="G65" s="4" t="s">
        <v>25</v>
      </c>
      <c r="H65" s="4" t="s">
        <v>34</v>
      </c>
      <c r="I65" s="5">
        <v>44501</v>
      </c>
      <c r="J65" s="6">
        <v>6627</v>
      </c>
      <c r="K65" s="6">
        <v>4903.9799999999996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58</v>
      </c>
      <c r="R65" s="4">
        <v>0</v>
      </c>
      <c r="S65" s="4" t="s">
        <v>147</v>
      </c>
      <c r="U65" s="4">
        <v>1</v>
      </c>
      <c r="V65" s="4">
        <v>0</v>
      </c>
      <c r="W65" s="4">
        <v>0</v>
      </c>
    </row>
    <row r="66" spans="1:23" ht="11.25" customHeight="1" x14ac:dyDescent="0.25">
      <c r="A66" s="4" t="s">
        <v>21</v>
      </c>
      <c r="B66" s="4" t="s">
        <v>39</v>
      </c>
      <c r="C66" s="4" t="s">
        <v>40</v>
      </c>
      <c r="D66" s="4" t="s">
        <v>38</v>
      </c>
      <c r="E66" s="4" t="s">
        <v>25</v>
      </c>
      <c r="F66" s="4" t="s">
        <v>61</v>
      </c>
      <c r="G66" s="4" t="s">
        <v>25</v>
      </c>
      <c r="H66" s="4" t="s">
        <v>34</v>
      </c>
      <c r="I66" s="5">
        <v>44531</v>
      </c>
      <c r="J66" s="6">
        <v>4818</v>
      </c>
      <c r="K66" s="6">
        <v>1975.38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58</v>
      </c>
      <c r="R66" s="4">
        <v>0</v>
      </c>
      <c r="S66" s="4" t="s">
        <v>148</v>
      </c>
      <c r="U66" s="4">
        <v>1</v>
      </c>
      <c r="V66" s="4">
        <v>0</v>
      </c>
      <c r="W66" s="4">
        <v>0</v>
      </c>
    </row>
    <row r="67" spans="1:23" ht="11.25" customHeight="1" x14ac:dyDescent="0.25">
      <c r="A67" s="4" t="s">
        <v>21</v>
      </c>
      <c r="B67" s="4" t="s">
        <v>39</v>
      </c>
      <c r="C67" s="4" t="s">
        <v>40</v>
      </c>
      <c r="D67" s="4" t="s">
        <v>38</v>
      </c>
      <c r="E67" s="4" t="s">
        <v>25</v>
      </c>
      <c r="F67" s="4" t="s">
        <v>61</v>
      </c>
      <c r="G67" s="4" t="s">
        <v>25</v>
      </c>
      <c r="H67" s="4" t="s">
        <v>34</v>
      </c>
      <c r="I67" s="5">
        <v>44562</v>
      </c>
      <c r="J67" s="6">
        <v>4737</v>
      </c>
      <c r="K67" s="6">
        <v>1989.54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58</v>
      </c>
      <c r="R67" s="4">
        <v>0</v>
      </c>
      <c r="S67" s="4" t="s">
        <v>149</v>
      </c>
      <c r="U67" s="4">
        <v>1</v>
      </c>
      <c r="V67" s="4">
        <v>0</v>
      </c>
      <c r="W67" s="4">
        <v>0</v>
      </c>
    </row>
    <row r="68" spans="1:23" ht="11.25" customHeight="1" x14ac:dyDescent="0.25">
      <c r="A68" s="4" t="s">
        <v>21</v>
      </c>
      <c r="B68" s="4" t="s">
        <v>39</v>
      </c>
      <c r="C68" s="4" t="s">
        <v>40</v>
      </c>
      <c r="D68" s="4" t="s">
        <v>38</v>
      </c>
      <c r="E68" s="4" t="s">
        <v>25</v>
      </c>
      <c r="F68" s="4" t="s">
        <v>61</v>
      </c>
      <c r="G68" s="4" t="s">
        <v>25</v>
      </c>
      <c r="H68" s="4" t="s">
        <v>34</v>
      </c>
      <c r="I68" s="5">
        <v>44593</v>
      </c>
      <c r="J68" s="6">
        <v>4766</v>
      </c>
      <c r="K68" s="6">
        <v>2001.72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58</v>
      </c>
      <c r="R68" s="4">
        <v>0</v>
      </c>
      <c r="S68" s="4" t="s">
        <v>150</v>
      </c>
      <c r="U68" s="4">
        <v>1</v>
      </c>
      <c r="V68" s="4">
        <v>0</v>
      </c>
      <c r="W68" s="4">
        <v>0</v>
      </c>
    </row>
    <row r="69" spans="1:23" ht="11.25" customHeight="1" x14ac:dyDescent="0.25">
      <c r="A69" s="4" t="s">
        <v>21</v>
      </c>
      <c r="B69" s="4" t="s">
        <v>39</v>
      </c>
      <c r="C69" s="4" t="s">
        <v>40</v>
      </c>
      <c r="D69" s="4" t="s">
        <v>38</v>
      </c>
      <c r="E69" s="4" t="s">
        <v>25</v>
      </c>
      <c r="F69" s="4" t="s">
        <v>61</v>
      </c>
      <c r="G69" s="4" t="s">
        <v>25</v>
      </c>
      <c r="H69" s="4" t="s">
        <v>34</v>
      </c>
      <c r="I69" s="5">
        <v>44621</v>
      </c>
      <c r="J69" s="6">
        <v>4922</v>
      </c>
      <c r="K69" s="6">
        <v>2116.46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58</v>
      </c>
      <c r="R69" s="4">
        <v>0</v>
      </c>
      <c r="S69" s="4" t="s">
        <v>151</v>
      </c>
      <c r="U69" s="4">
        <v>1</v>
      </c>
      <c r="V69" s="4">
        <v>0</v>
      </c>
      <c r="W69" s="4">
        <v>0</v>
      </c>
    </row>
    <row r="70" spans="1:23" ht="11.25" customHeight="1" x14ac:dyDescent="0.25">
      <c r="A70" s="4" t="s">
        <v>21</v>
      </c>
      <c r="B70" s="4" t="s">
        <v>39</v>
      </c>
      <c r="C70" s="4" t="s">
        <v>40</v>
      </c>
      <c r="D70" s="4" t="s">
        <v>38</v>
      </c>
      <c r="E70" s="4" t="s">
        <v>25</v>
      </c>
      <c r="F70" s="4" t="s">
        <v>61</v>
      </c>
      <c r="G70" s="4" t="s">
        <v>25</v>
      </c>
      <c r="H70" s="4" t="s">
        <v>34</v>
      </c>
      <c r="I70" s="5">
        <v>44652</v>
      </c>
      <c r="J70" s="6">
        <v>4890</v>
      </c>
      <c r="K70" s="6">
        <v>2053.8000000000002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58</v>
      </c>
      <c r="R70" s="4">
        <v>0</v>
      </c>
      <c r="S70" s="4" t="s">
        <v>152</v>
      </c>
      <c r="U70" s="4">
        <v>1</v>
      </c>
      <c r="V70" s="4">
        <v>0</v>
      </c>
      <c r="W70" s="4">
        <v>0</v>
      </c>
    </row>
    <row r="71" spans="1:23" ht="11.25" customHeight="1" x14ac:dyDescent="0.25">
      <c r="A71" s="4" t="s">
        <v>21</v>
      </c>
      <c r="B71" s="4" t="s">
        <v>39</v>
      </c>
      <c r="C71" s="4" t="s">
        <v>40</v>
      </c>
      <c r="D71" s="4" t="s">
        <v>38</v>
      </c>
      <c r="E71" s="4" t="s">
        <v>25</v>
      </c>
      <c r="F71" s="4" t="s">
        <v>61</v>
      </c>
      <c r="G71" s="4" t="s">
        <v>25</v>
      </c>
      <c r="H71" s="4" t="s">
        <v>34</v>
      </c>
      <c r="I71" s="5">
        <v>44682</v>
      </c>
      <c r="J71" s="6">
        <v>4640</v>
      </c>
      <c r="K71" s="6">
        <v>1902.4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58</v>
      </c>
      <c r="R71" s="4">
        <v>0</v>
      </c>
      <c r="S71" s="4" t="s">
        <v>153</v>
      </c>
      <c r="U71" s="4">
        <v>1</v>
      </c>
      <c r="V71" s="4">
        <v>0</v>
      </c>
      <c r="W71" s="4">
        <v>0</v>
      </c>
    </row>
    <row r="72" spans="1:23" ht="11.25" customHeight="1" x14ac:dyDescent="0.25">
      <c r="A72" s="4" t="s">
        <v>21</v>
      </c>
      <c r="B72" s="4" t="s">
        <v>39</v>
      </c>
      <c r="C72" s="4" t="s">
        <v>40</v>
      </c>
      <c r="D72" s="4" t="s">
        <v>38</v>
      </c>
      <c r="E72" s="4" t="s">
        <v>25</v>
      </c>
      <c r="F72" s="4" t="s">
        <v>61</v>
      </c>
      <c r="G72" s="4" t="s">
        <v>25</v>
      </c>
      <c r="H72" s="4" t="s">
        <v>34</v>
      </c>
      <c r="I72" s="5">
        <v>44713</v>
      </c>
      <c r="J72" s="6">
        <v>4917</v>
      </c>
      <c r="K72" s="6">
        <v>2065.14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58</v>
      </c>
      <c r="R72" s="4">
        <v>0</v>
      </c>
      <c r="S72" s="4" t="s">
        <v>154</v>
      </c>
      <c r="U72" s="4">
        <v>1</v>
      </c>
      <c r="V72" s="4">
        <v>0</v>
      </c>
      <c r="W72" s="4">
        <v>0</v>
      </c>
    </row>
    <row r="73" spans="1:23" ht="11.25" customHeight="1" x14ac:dyDescent="0.25">
      <c r="A73" s="4" t="s">
        <v>57</v>
      </c>
      <c r="B73" s="4" t="s">
        <v>39</v>
      </c>
      <c r="C73" s="4" t="s">
        <v>40</v>
      </c>
      <c r="D73" s="4" t="s">
        <v>38</v>
      </c>
      <c r="E73" s="4" t="s">
        <v>25</v>
      </c>
      <c r="F73" s="4" t="s">
        <v>61</v>
      </c>
      <c r="G73" s="4" t="s">
        <v>25</v>
      </c>
      <c r="H73" s="4" t="s">
        <v>34</v>
      </c>
      <c r="I73" s="5">
        <v>44743</v>
      </c>
      <c r="J73" s="6">
        <v>4917</v>
      </c>
      <c r="K73" s="6">
        <v>2065.14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58</v>
      </c>
      <c r="R73" s="4">
        <v>0</v>
      </c>
      <c r="S73" s="4" t="s">
        <v>155</v>
      </c>
      <c r="U73" s="4">
        <v>1</v>
      </c>
      <c r="V73" s="4">
        <v>0</v>
      </c>
      <c r="W73" s="4">
        <v>0</v>
      </c>
    </row>
    <row r="74" spans="1:23" ht="11.25" customHeight="1" x14ac:dyDescent="0.25">
      <c r="A74" s="4" t="s">
        <v>21</v>
      </c>
      <c r="B74" s="4" t="s">
        <v>39</v>
      </c>
      <c r="C74" s="4" t="s">
        <v>40</v>
      </c>
      <c r="D74" s="4" t="s">
        <v>38</v>
      </c>
      <c r="E74" s="4" t="s">
        <v>25</v>
      </c>
      <c r="F74" s="4" t="s">
        <v>25</v>
      </c>
      <c r="G74" s="4" t="s">
        <v>25</v>
      </c>
      <c r="H74" s="4" t="s">
        <v>35</v>
      </c>
      <c r="I74" s="5">
        <v>44409</v>
      </c>
      <c r="J74" s="6">
        <v>9995</v>
      </c>
      <c r="K74" s="6">
        <v>9995</v>
      </c>
      <c r="L74" s="6">
        <v>2217.962</v>
      </c>
      <c r="M74" s="6">
        <v>2217.962</v>
      </c>
      <c r="N74" s="6">
        <v>2217.962</v>
      </c>
      <c r="O74" s="6">
        <v>2217.962</v>
      </c>
      <c r="P74" s="6">
        <v>0</v>
      </c>
      <c r="Q74" s="4" t="s">
        <v>26</v>
      </c>
      <c r="R74" s="4">
        <v>0</v>
      </c>
      <c r="S74" s="4" t="s">
        <v>120</v>
      </c>
      <c r="T74" s="4" t="s">
        <v>577</v>
      </c>
      <c r="U74" s="4">
        <v>3</v>
      </c>
      <c r="V74" s="4">
        <v>5</v>
      </c>
      <c r="W74" s="4">
        <v>65</v>
      </c>
    </row>
    <row r="75" spans="1:23" ht="11.25" customHeight="1" x14ac:dyDescent="0.25">
      <c r="A75" s="4" t="s">
        <v>21</v>
      </c>
      <c r="B75" s="4" t="s">
        <v>39</v>
      </c>
      <c r="C75" s="4" t="s">
        <v>40</v>
      </c>
      <c r="D75" s="4" t="s">
        <v>38</v>
      </c>
      <c r="E75" s="4" t="s">
        <v>25</v>
      </c>
      <c r="F75" s="4" t="s">
        <v>25</v>
      </c>
      <c r="G75" s="4" t="s">
        <v>25</v>
      </c>
      <c r="H75" s="4" t="s">
        <v>35</v>
      </c>
      <c r="I75" s="5">
        <v>44409</v>
      </c>
      <c r="J75" s="6">
        <v>79678</v>
      </c>
      <c r="K75" s="6">
        <v>79678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58</v>
      </c>
      <c r="R75" s="4">
        <v>0</v>
      </c>
      <c r="S75" s="4" t="s">
        <v>120</v>
      </c>
      <c r="U75" s="4">
        <v>3</v>
      </c>
      <c r="V75" s="4">
        <v>0</v>
      </c>
      <c r="W75" s="4">
        <v>0</v>
      </c>
    </row>
    <row r="76" spans="1:23" ht="11.25" customHeight="1" x14ac:dyDescent="0.25">
      <c r="A76" s="4" t="s">
        <v>21</v>
      </c>
      <c r="B76" s="4" t="s">
        <v>39</v>
      </c>
      <c r="C76" s="4" t="s">
        <v>40</v>
      </c>
      <c r="D76" s="4" t="s">
        <v>38</v>
      </c>
      <c r="E76" s="4" t="s">
        <v>25</v>
      </c>
      <c r="F76" s="4" t="s">
        <v>25</v>
      </c>
      <c r="G76" s="4" t="s">
        <v>25</v>
      </c>
      <c r="H76" s="4" t="s">
        <v>35</v>
      </c>
      <c r="I76" s="5">
        <v>44440</v>
      </c>
      <c r="J76" s="6">
        <v>9631</v>
      </c>
      <c r="K76" s="6">
        <v>9631</v>
      </c>
      <c r="L76" s="6">
        <v>1836.9829999999999</v>
      </c>
      <c r="M76" s="6">
        <v>1836.9829999999999</v>
      </c>
      <c r="N76" s="6">
        <v>1836.9829999999999</v>
      </c>
      <c r="O76" s="6">
        <v>1836.9829999999999</v>
      </c>
      <c r="P76" s="6">
        <v>0</v>
      </c>
      <c r="Q76" s="4" t="s">
        <v>26</v>
      </c>
      <c r="R76" s="4">
        <v>0</v>
      </c>
      <c r="S76" s="4" t="s">
        <v>121</v>
      </c>
      <c r="T76" s="4" t="s">
        <v>578</v>
      </c>
      <c r="U76" s="4">
        <v>3</v>
      </c>
      <c r="V76" s="4">
        <v>5</v>
      </c>
      <c r="W76" s="4">
        <v>65</v>
      </c>
    </row>
    <row r="77" spans="1:23" ht="11.25" customHeight="1" x14ac:dyDescent="0.25">
      <c r="A77" s="4" t="s">
        <v>21</v>
      </c>
      <c r="B77" s="4" t="s">
        <v>39</v>
      </c>
      <c r="C77" s="4" t="s">
        <v>40</v>
      </c>
      <c r="D77" s="4" t="s">
        <v>38</v>
      </c>
      <c r="E77" s="4" t="s">
        <v>25</v>
      </c>
      <c r="F77" s="4" t="s">
        <v>25</v>
      </c>
      <c r="G77" s="4" t="s">
        <v>25</v>
      </c>
      <c r="H77" s="4" t="s">
        <v>35</v>
      </c>
      <c r="I77" s="5">
        <v>44440</v>
      </c>
      <c r="J77" s="6">
        <v>79757</v>
      </c>
      <c r="K77" s="6">
        <v>79757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58</v>
      </c>
      <c r="R77" s="4">
        <v>0</v>
      </c>
      <c r="S77" s="4" t="s">
        <v>121</v>
      </c>
      <c r="U77" s="4">
        <v>3</v>
      </c>
      <c r="V77" s="4">
        <v>0</v>
      </c>
      <c r="W77" s="4">
        <v>0</v>
      </c>
    </row>
    <row r="78" spans="1:23" ht="11.25" customHeight="1" x14ac:dyDescent="0.25">
      <c r="A78" s="4" t="s">
        <v>21</v>
      </c>
      <c r="B78" s="4" t="s">
        <v>39</v>
      </c>
      <c r="C78" s="4" t="s">
        <v>40</v>
      </c>
      <c r="D78" s="4" t="s">
        <v>38</v>
      </c>
      <c r="E78" s="4" t="s">
        <v>25</v>
      </c>
      <c r="F78" s="4" t="s">
        <v>25</v>
      </c>
      <c r="G78" s="4" t="s">
        <v>25</v>
      </c>
      <c r="H78" s="4" t="s">
        <v>35</v>
      </c>
      <c r="I78" s="5">
        <v>44470</v>
      </c>
      <c r="J78" s="6">
        <v>4584</v>
      </c>
      <c r="K78" s="6">
        <v>4584</v>
      </c>
      <c r="L78" s="6">
        <v>443.43099999999998</v>
      </c>
      <c r="M78" s="6">
        <v>443.43099999999998</v>
      </c>
      <c r="N78" s="6">
        <v>443.43099999999998</v>
      </c>
      <c r="O78" s="6">
        <v>443.43099999999998</v>
      </c>
      <c r="P78" s="6">
        <v>0</v>
      </c>
      <c r="Q78" s="4" t="s">
        <v>26</v>
      </c>
      <c r="R78" s="4">
        <v>0</v>
      </c>
      <c r="S78" s="4" t="s">
        <v>122</v>
      </c>
      <c r="T78" s="4" t="s">
        <v>579</v>
      </c>
      <c r="U78" s="4">
        <v>3</v>
      </c>
      <c r="V78" s="4">
        <v>5</v>
      </c>
      <c r="W78" s="4">
        <v>65</v>
      </c>
    </row>
    <row r="79" spans="1:23" ht="11.25" customHeight="1" x14ac:dyDescent="0.25">
      <c r="A79" s="4" t="s">
        <v>21</v>
      </c>
      <c r="B79" s="4" t="s">
        <v>39</v>
      </c>
      <c r="C79" s="4" t="s">
        <v>40</v>
      </c>
      <c r="D79" s="4" t="s">
        <v>38</v>
      </c>
      <c r="E79" s="4" t="s">
        <v>25</v>
      </c>
      <c r="F79" s="4" t="s">
        <v>25</v>
      </c>
      <c r="G79" s="4" t="s">
        <v>25</v>
      </c>
      <c r="H79" s="4" t="s">
        <v>35</v>
      </c>
      <c r="I79" s="5">
        <v>44470</v>
      </c>
      <c r="J79" s="6">
        <v>80288</v>
      </c>
      <c r="K79" s="6">
        <v>80288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58</v>
      </c>
      <c r="R79" s="4">
        <v>0</v>
      </c>
      <c r="S79" s="4" t="s">
        <v>122</v>
      </c>
      <c r="U79" s="4">
        <v>3</v>
      </c>
      <c r="V79" s="4">
        <v>0</v>
      </c>
      <c r="W79" s="4">
        <v>0</v>
      </c>
    </row>
    <row r="80" spans="1:23" ht="11.25" customHeight="1" x14ac:dyDescent="0.25">
      <c r="A80" s="4" t="s">
        <v>21</v>
      </c>
      <c r="B80" s="4" t="s">
        <v>39</v>
      </c>
      <c r="C80" s="4" t="s">
        <v>40</v>
      </c>
      <c r="D80" s="4" t="s">
        <v>38</v>
      </c>
      <c r="E80" s="4" t="s">
        <v>25</v>
      </c>
      <c r="F80" s="4" t="s">
        <v>25</v>
      </c>
      <c r="G80" s="4" t="s">
        <v>25</v>
      </c>
      <c r="H80" s="4" t="s">
        <v>35</v>
      </c>
      <c r="I80" s="5">
        <v>44501</v>
      </c>
      <c r="J80" s="6">
        <v>6174</v>
      </c>
      <c r="K80" s="6">
        <v>6174</v>
      </c>
      <c r="L80" s="6">
        <v>1770.8889999999999</v>
      </c>
      <c r="M80" s="6">
        <v>1770.8889999999999</v>
      </c>
      <c r="N80" s="6">
        <v>1770.8889999999999</v>
      </c>
      <c r="O80" s="6">
        <v>1770.8889999999999</v>
      </c>
      <c r="P80" s="6">
        <v>0</v>
      </c>
      <c r="Q80" s="4" t="s">
        <v>26</v>
      </c>
      <c r="R80" s="4">
        <v>0</v>
      </c>
      <c r="S80" s="4" t="s">
        <v>123</v>
      </c>
      <c r="T80" s="4" t="s">
        <v>580</v>
      </c>
      <c r="U80" s="4">
        <v>3</v>
      </c>
      <c r="V80" s="4">
        <v>5</v>
      </c>
      <c r="W80" s="4">
        <v>65</v>
      </c>
    </row>
    <row r="81" spans="1:23" ht="11.25" customHeight="1" x14ac:dyDescent="0.25">
      <c r="A81" s="4" t="s">
        <v>21</v>
      </c>
      <c r="B81" s="4" t="s">
        <v>39</v>
      </c>
      <c r="C81" s="4" t="s">
        <v>40</v>
      </c>
      <c r="D81" s="4" t="s">
        <v>38</v>
      </c>
      <c r="E81" s="4" t="s">
        <v>25</v>
      </c>
      <c r="F81" s="4" t="s">
        <v>25</v>
      </c>
      <c r="G81" s="4" t="s">
        <v>25</v>
      </c>
      <c r="H81" s="4" t="s">
        <v>35</v>
      </c>
      <c r="I81" s="5">
        <v>44501</v>
      </c>
      <c r="J81" s="6">
        <v>80195</v>
      </c>
      <c r="K81" s="6">
        <v>80195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58</v>
      </c>
      <c r="R81" s="4">
        <v>0</v>
      </c>
      <c r="S81" s="4" t="s">
        <v>123</v>
      </c>
      <c r="U81" s="4">
        <v>3</v>
      </c>
      <c r="V81" s="4">
        <v>0</v>
      </c>
      <c r="W81" s="4">
        <v>0</v>
      </c>
    </row>
    <row r="82" spans="1:23" ht="11.25" customHeight="1" x14ac:dyDescent="0.25">
      <c r="A82" s="4" t="s">
        <v>21</v>
      </c>
      <c r="B82" s="4" t="s">
        <v>39</v>
      </c>
      <c r="C82" s="4" t="s">
        <v>40</v>
      </c>
      <c r="D82" s="4" t="s">
        <v>38</v>
      </c>
      <c r="E82" s="4" t="s">
        <v>25</v>
      </c>
      <c r="F82" s="4" t="s">
        <v>25</v>
      </c>
      <c r="G82" s="4" t="s">
        <v>25</v>
      </c>
      <c r="H82" s="4" t="s">
        <v>35</v>
      </c>
      <c r="I82" s="5">
        <v>44531</v>
      </c>
      <c r="J82" s="6">
        <v>7656</v>
      </c>
      <c r="K82" s="6">
        <v>7656</v>
      </c>
      <c r="L82" s="6">
        <v>758.78800000000001</v>
      </c>
      <c r="M82" s="6">
        <v>758.78800000000001</v>
      </c>
      <c r="N82" s="6">
        <v>758.78800000000001</v>
      </c>
      <c r="O82" s="6">
        <v>758.78800000000001</v>
      </c>
      <c r="P82" s="6">
        <v>0</v>
      </c>
      <c r="Q82" s="4" t="s">
        <v>26</v>
      </c>
      <c r="R82" s="4">
        <v>0</v>
      </c>
      <c r="S82" s="4" t="s">
        <v>124</v>
      </c>
      <c r="T82" s="4" t="s">
        <v>581</v>
      </c>
      <c r="U82" s="4">
        <v>3</v>
      </c>
      <c r="V82" s="4">
        <v>5</v>
      </c>
      <c r="W82" s="4">
        <v>65</v>
      </c>
    </row>
    <row r="83" spans="1:23" ht="11.25" customHeight="1" x14ac:dyDescent="0.25">
      <c r="A83" s="4" t="s">
        <v>21</v>
      </c>
      <c r="B83" s="4" t="s">
        <v>39</v>
      </c>
      <c r="C83" s="4" t="s">
        <v>40</v>
      </c>
      <c r="D83" s="4" t="s">
        <v>38</v>
      </c>
      <c r="E83" s="4" t="s">
        <v>25</v>
      </c>
      <c r="F83" s="4" t="s">
        <v>25</v>
      </c>
      <c r="G83" s="4" t="s">
        <v>25</v>
      </c>
      <c r="H83" s="4" t="s">
        <v>35</v>
      </c>
      <c r="I83" s="5">
        <v>44531</v>
      </c>
      <c r="J83" s="6">
        <v>82242</v>
      </c>
      <c r="K83" s="6">
        <v>82242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58</v>
      </c>
      <c r="R83" s="4">
        <v>0</v>
      </c>
      <c r="S83" s="4" t="s">
        <v>124</v>
      </c>
      <c r="U83" s="4">
        <v>3</v>
      </c>
      <c r="V83" s="4">
        <v>0</v>
      </c>
      <c r="W83" s="4">
        <v>0</v>
      </c>
    </row>
    <row r="84" spans="1:23" ht="11.25" customHeight="1" x14ac:dyDescent="0.25">
      <c r="A84" s="4" t="s">
        <v>21</v>
      </c>
      <c r="B84" s="4" t="s">
        <v>39</v>
      </c>
      <c r="C84" s="4" t="s">
        <v>40</v>
      </c>
      <c r="D84" s="4" t="s">
        <v>38</v>
      </c>
      <c r="E84" s="4" t="s">
        <v>25</v>
      </c>
      <c r="F84" s="4" t="s">
        <v>25</v>
      </c>
      <c r="G84" s="4" t="s">
        <v>25</v>
      </c>
      <c r="H84" s="4" t="s">
        <v>35</v>
      </c>
      <c r="I84" s="5">
        <v>44562</v>
      </c>
      <c r="J84" s="6">
        <v>5137</v>
      </c>
      <c r="K84" s="6">
        <v>5137</v>
      </c>
      <c r="L84" s="6">
        <v>910.68399999999997</v>
      </c>
      <c r="M84" s="6">
        <v>910.68399999999997</v>
      </c>
      <c r="N84" s="6">
        <v>910.68399999999997</v>
      </c>
      <c r="O84" s="6">
        <v>910.68399999999997</v>
      </c>
      <c r="P84" s="6">
        <v>0</v>
      </c>
      <c r="Q84" s="4" t="s">
        <v>26</v>
      </c>
      <c r="R84" s="4">
        <v>0</v>
      </c>
      <c r="S84" s="4" t="s">
        <v>125</v>
      </c>
      <c r="T84" s="4" t="s">
        <v>582</v>
      </c>
      <c r="U84" s="4">
        <v>3</v>
      </c>
      <c r="V84" s="4">
        <v>5</v>
      </c>
      <c r="W84" s="4">
        <v>65</v>
      </c>
    </row>
    <row r="85" spans="1:23" ht="11.25" customHeight="1" x14ac:dyDescent="0.25">
      <c r="A85" s="4" t="s">
        <v>27</v>
      </c>
      <c r="B85" s="4" t="s">
        <v>39</v>
      </c>
      <c r="C85" s="4" t="s">
        <v>40</v>
      </c>
      <c r="D85" s="4" t="s">
        <v>38</v>
      </c>
      <c r="E85" s="4" t="s">
        <v>25</v>
      </c>
      <c r="F85" s="4" t="s">
        <v>25</v>
      </c>
      <c r="G85" s="4" t="s">
        <v>25</v>
      </c>
      <c r="H85" s="4" t="s">
        <v>35</v>
      </c>
      <c r="I85" s="5">
        <v>44562</v>
      </c>
      <c r="J85" s="6">
        <v>0</v>
      </c>
      <c r="K85" s="6">
        <v>0</v>
      </c>
      <c r="L85" s="6">
        <v>9.6110000000000007</v>
      </c>
      <c r="M85" s="6">
        <v>9.6110000000000007</v>
      </c>
      <c r="N85" s="6">
        <v>9.6110000000000007</v>
      </c>
      <c r="O85" s="6">
        <v>9.6110000000000007</v>
      </c>
      <c r="P85" s="6">
        <v>0</v>
      </c>
      <c r="Q85" s="4" t="s">
        <v>26</v>
      </c>
      <c r="R85" s="4">
        <v>0</v>
      </c>
      <c r="S85" s="4" t="s">
        <v>125</v>
      </c>
      <c r="T85" s="4" t="s">
        <v>582</v>
      </c>
      <c r="U85" s="4">
        <v>0</v>
      </c>
      <c r="V85" s="4">
        <v>5</v>
      </c>
      <c r="W85" s="4">
        <v>65</v>
      </c>
    </row>
    <row r="86" spans="1:23" ht="11.25" customHeight="1" x14ac:dyDescent="0.25">
      <c r="A86" s="4" t="s">
        <v>21</v>
      </c>
      <c r="B86" s="4" t="s">
        <v>39</v>
      </c>
      <c r="C86" s="4" t="s">
        <v>40</v>
      </c>
      <c r="D86" s="4" t="s">
        <v>38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44562</v>
      </c>
      <c r="J86" s="6">
        <v>79659</v>
      </c>
      <c r="K86" s="6">
        <v>79659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58</v>
      </c>
      <c r="R86" s="4">
        <v>0</v>
      </c>
      <c r="S86" s="4" t="s">
        <v>125</v>
      </c>
      <c r="U86" s="4">
        <v>3</v>
      </c>
      <c r="V86" s="4">
        <v>0</v>
      </c>
      <c r="W86" s="4">
        <v>0</v>
      </c>
    </row>
    <row r="87" spans="1:23" ht="11.25" customHeight="1" x14ac:dyDescent="0.25">
      <c r="A87" s="4" t="s">
        <v>21</v>
      </c>
      <c r="B87" s="4" t="s">
        <v>39</v>
      </c>
      <c r="C87" s="4" t="s">
        <v>40</v>
      </c>
      <c r="D87" s="4" t="s">
        <v>38</v>
      </c>
      <c r="E87" s="4" t="s">
        <v>25</v>
      </c>
      <c r="F87" s="4" t="s">
        <v>25</v>
      </c>
      <c r="G87" s="4" t="s">
        <v>25</v>
      </c>
      <c r="H87" s="4" t="s">
        <v>35</v>
      </c>
      <c r="I87" s="5">
        <v>44593</v>
      </c>
      <c r="J87" s="6">
        <v>3015</v>
      </c>
      <c r="K87" s="6">
        <v>3015</v>
      </c>
      <c r="L87" s="6">
        <v>958.54499999999996</v>
      </c>
      <c r="M87" s="6">
        <v>958.54499999999996</v>
      </c>
      <c r="N87" s="6">
        <v>958.54499999999996</v>
      </c>
      <c r="O87" s="6">
        <v>958.54499999999996</v>
      </c>
      <c r="P87" s="6">
        <v>0</v>
      </c>
      <c r="Q87" s="4" t="s">
        <v>26</v>
      </c>
      <c r="R87" s="4">
        <v>0</v>
      </c>
      <c r="S87" s="4" t="s">
        <v>126</v>
      </c>
      <c r="T87" s="4" t="s">
        <v>583</v>
      </c>
      <c r="U87" s="4">
        <v>3</v>
      </c>
      <c r="V87" s="4">
        <v>5</v>
      </c>
      <c r="W87" s="4">
        <v>65</v>
      </c>
    </row>
    <row r="88" spans="1:23" ht="11.25" customHeight="1" x14ac:dyDescent="0.25">
      <c r="A88" s="4" t="s">
        <v>21</v>
      </c>
      <c r="B88" s="4" t="s">
        <v>39</v>
      </c>
      <c r="C88" s="4" t="s">
        <v>40</v>
      </c>
      <c r="D88" s="4" t="s">
        <v>38</v>
      </c>
      <c r="E88" s="4" t="s">
        <v>25</v>
      </c>
      <c r="F88" s="4" t="s">
        <v>25</v>
      </c>
      <c r="G88" s="4" t="s">
        <v>25</v>
      </c>
      <c r="H88" s="4" t="s">
        <v>35</v>
      </c>
      <c r="I88" s="5">
        <v>44593</v>
      </c>
      <c r="J88" s="6">
        <v>79658</v>
      </c>
      <c r="K88" s="6">
        <v>79658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58</v>
      </c>
      <c r="R88" s="4">
        <v>0</v>
      </c>
      <c r="S88" s="4" t="s">
        <v>126</v>
      </c>
      <c r="U88" s="4">
        <v>3</v>
      </c>
      <c r="V88" s="4">
        <v>0</v>
      </c>
      <c r="W88" s="4">
        <v>0</v>
      </c>
    </row>
    <row r="89" spans="1:23" ht="11.25" customHeight="1" x14ac:dyDescent="0.25">
      <c r="A89" s="4" t="s">
        <v>21</v>
      </c>
      <c r="B89" s="4" t="s">
        <v>39</v>
      </c>
      <c r="C89" s="4" t="s">
        <v>40</v>
      </c>
      <c r="D89" s="4" t="s">
        <v>38</v>
      </c>
      <c r="E89" s="4" t="s">
        <v>25</v>
      </c>
      <c r="F89" s="4" t="s">
        <v>25</v>
      </c>
      <c r="G89" s="4" t="s">
        <v>25</v>
      </c>
      <c r="H89" s="4" t="s">
        <v>35</v>
      </c>
      <c r="I89" s="5">
        <v>44621</v>
      </c>
      <c r="J89" s="6">
        <v>3101</v>
      </c>
      <c r="K89" s="6">
        <v>3101</v>
      </c>
      <c r="L89" s="6">
        <v>802.63</v>
      </c>
      <c r="M89" s="6">
        <v>802.63</v>
      </c>
      <c r="N89" s="6">
        <v>802.63</v>
      </c>
      <c r="O89" s="6">
        <v>802.63</v>
      </c>
      <c r="P89" s="6">
        <v>0</v>
      </c>
      <c r="Q89" s="4" t="s">
        <v>26</v>
      </c>
      <c r="R89" s="4">
        <v>0</v>
      </c>
      <c r="S89" s="4" t="s">
        <v>127</v>
      </c>
      <c r="T89" s="4" t="s">
        <v>584</v>
      </c>
      <c r="U89" s="4">
        <v>3</v>
      </c>
      <c r="V89" s="4">
        <v>5</v>
      </c>
      <c r="W89" s="4">
        <v>65</v>
      </c>
    </row>
    <row r="90" spans="1:23" ht="11.25" customHeight="1" x14ac:dyDescent="0.25">
      <c r="A90" s="4" t="s">
        <v>21</v>
      </c>
      <c r="B90" s="4" t="s">
        <v>39</v>
      </c>
      <c r="C90" s="4" t="s">
        <v>40</v>
      </c>
      <c r="D90" s="4" t="s">
        <v>38</v>
      </c>
      <c r="E90" s="4" t="s">
        <v>25</v>
      </c>
      <c r="F90" s="4" t="s">
        <v>25</v>
      </c>
      <c r="G90" s="4" t="s">
        <v>25</v>
      </c>
      <c r="H90" s="4" t="s">
        <v>35</v>
      </c>
      <c r="I90" s="5">
        <v>44621</v>
      </c>
      <c r="J90" s="6">
        <v>79872</v>
      </c>
      <c r="K90" s="6">
        <v>79872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58</v>
      </c>
      <c r="R90" s="4">
        <v>0</v>
      </c>
      <c r="S90" s="4" t="s">
        <v>127</v>
      </c>
      <c r="U90" s="4">
        <v>3</v>
      </c>
      <c r="V90" s="4">
        <v>0</v>
      </c>
      <c r="W90" s="4">
        <v>0</v>
      </c>
    </row>
    <row r="91" spans="1:23" ht="11.25" customHeight="1" x14ac:dyDescent="0.25">
      <c r="A91" s="4" t="s">
        <v>21</v>
      </c>
      <c r="B91" s="4" t="s">
        <v>39</v>
      </c>
      <c r="C91" s="4" t="s">
        <v>40</v>
      </c>
      <c r="D91" s="4" t="s">
        <v>38</v>
      </c>
      <c r="E91" s="4" t="s">
        <v>25</v>
      </c>
      <c r="F91" s="4" t="s">
        <v>25</v>
      </c>
      <c r="G91" s="4" t="s">
        <v>25</v>
      </c>
      <c r="H91" s="4" t="s">
        <v>35</v>
      </c>
      <c r="I91" s="5">
        <v>44652</v>
      </c>
      <c r="J91" s="6">
        <v>3072</v>
      </c>
      <c r="K91" s="6">
        <v>3072</v>
      </c>
      <c r="L91" s="6">
        <v>1021.4349999999999</v>
      </c>
      <c r="M91" s="6">
        <v>1021.4349999999999</v>
      </c>
      <c r="N91" s="6">
        <v>1021.4349999999999</v>
      </c>
      <c r="O91" s="6">
        <v>1021.4349999999999</v>
      </c>
      <c r="P91" s="6">
        <v>0</v>
      </c>
      <c r="Q91" s="4" t="s">
        <v>26</v>
      </c>
      <c r="R91" s="4">
        <v>0</v>
      </c>
      <c r="S91" s="4" t="s">
        <v>128</v>
      </c>
      <c r="T91" s="4" t="s">
        <v>585</v>
      </c>
      <c r="U91" s="4">
        <v>3</v>
      </c>
      <c r="V91" s="4">
        <v>5</v>
      </c>
      <c r="W91" s="4">
        <v>65</v>
      </c>
    </row>
    <row r="92" spans="1:23" ht="11.25" customHeight="1" x14ac:dyDescent="0.25">
      <c r="A92" s="4" t="s">
        <v>21</v>
      </c>
      <c r="B92" s="4" t="s">
        <v>39</v>
      </c>
      <c r="C92" s="4" t="s">
        <v>40</v>
      </c>
      <c r="D92" s="4" t="s">
        <v>38</v>
      </c>
      <c r="E92" s="4" t="s">
        <v>25</v>
      </c>
      <c r="F92" s="4" t="s">
        <v>25</v>
      </c>
      <c r="G92" s="4" t="s">
        <v>25</v>
      </c>
      <c r="H92" s="4" t="s">
        <v>35</v>
      </c>
      <c r="I92" s="5">
        <v>44652</v>
      </c>
      <c r="J92" s="6">
        <v>80028</v>
      </c>
      <c r="K92" s="6">
        <v>80028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58</v>
      </c>
      <c r="R92" s="4">
        <v>0</v>
      </c>
      <c r="S92" s="4" t="s">
        <v>128</v>
      </c>
      <c r="U92" s="4">
        <v>3</v>
      </c>
      <c r="V92" s="4">
        <v>0</v>
      </c>
      <c r="W92" s="4">
        <v>0</v>
      </c>
    </row>
    <row r="93" spans="1:23" ht="11.25" customHeight="1" x14ac:dyDescent="0.25">
      <c r="A93" s="4" t="s">
        <v>21</v>
      </c>
      <c r="B93" s="4" t="s">
        <v>39</v>
      </c>
      <c r="C93" s="4" t="s">
        <v>40</v>
      </c>
      <c r="D93" s="4" t="s">
        <v>38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44682</v>
      </c>
      <c r="J93" s="6">
        <v>3120</v>
      </c>
      <c r="K93" s="6">
        <v>3120</v>
      </c>
      <c r="L93" s="6">
        <v>1153.4100000000001</v>
      </c>
      <c r="M93" s="6">
        <v>1153.4100000000001</v>
      </c>
      <c r="N93" s="6">
        <v>1153.4100000000001</v>
      </c>
      <c r="O93" s="6">
        <v>1153.4100000000001</v>
      </c>
      <c r="P93" s="6">
        <v>0</v>
      </c>
      <c r="Q93" s="4" t="s">
        <v>26</v>
      </c>
      <c r="R93" s="4">
        <v>0</v>
      </c>
      <c r="S93" s="4" t="s">
        <v>129</v>
      </c>
      <c r="T93" s="4" t="s">
        <v>586</v>
      </c>
      <c r="U93" s="4">
        <v>3</v>
      </c>
      <c r="V93" s="4">
        <v>5</v>
      </c>
      <c r="W93" s="4">
        <v>65</v>
      </c>
    </row>
    <row r="94" spans="1:23" ht="11.25" customHeight="1" x14ac:dyDescent="0.25">
      <c r="A94" s="4" t="s">
        <v>21</v>
      </c>
      <c r="B94" s="4" t="s">
        <v>39</v>
      </c>
      <c r="C94" s="4" t="s">
        <v>40</v>
      </c>
      <c r="D94" s="4" t="s">
        <v>38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44682</v>
      </c>
      <c r="J94" s="6">
        <v>80060</v>
      </c>
      <c r="K94" s="6">
        <v>80060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58</v>
      </c>
      <c r="R94" s="4">
        <v>0</v>
      </c>
      <c r="S94" s="4" t="s">
        <v>129</v>
      </c>
      <c r="U94" s="4">
        <v>3</v>
      </c>
      <c r="V94" s="4">
        <v>0</v>
      </c>
      <c r="W94" s="4">
        <v>0</v>
      </c>
    </row>
    <row r="95" spans="1:23" ht="11.25" customHeight="1" x14ac:dyDescent="0.25">
      <c r="A95" s="4" t="s">
        <v>21</v>
      </c>
      <c r="B95" s="4" t="s">
        <v>39</v>
      </c>
      <c r="C95" s="4" t="s">
        <v>40</v>
      </c>
      <c r="D95" s="4" t="s">
        <v>38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44713</v>
      </c>
      <c r="J95" s="6">
        <v>3081</v>
      </c>
      <c r="K95" s="6">
        <v>3081</v>
      </c>
      <c r="L95" s="6">
        <v>1294.31</v>
      </c>
      <c r="M95" s="6">
        <v>1294.31</v>
      </c>
      <c r="N95" s="6">
        <v>1294.31</v>
      </c>
      <c r="O95" s="6">
        <v>1294.31</v>
      </c>
      <c r="P95" s="6">
        <v>0</v>
      </c>
      <c r="Q95" s="4" t="s">
        <v>26</v>
      </c>
      <c r="R95" s="4">
        <v>0</v>
      </c>
      <c r="S95" s="4" t="s">
        <v>130</v>
      </c>
      <c r="T95" s="4" t="s">
        <v>587</v>
      </c>
      <c r="U95" s="4">
        <v>3</v>
      </c>
      <c r="V95" s="4">
        <v>5</v>
      </c>
      <c r="W95" s="4">
        <v>65</v>
      </c>
    </row>
    <row r="96" spans="1:23" ht="11.25" customHeight="1" x14ac:dyDescent="0.25">
      <c r="A96" s="4" t="s">
        <v>21</v>
      </c>
      <c r="B96" s="4" t="s">
        <v>39</v>
      </c>
      <c r="C96" s="4" t="s">
        <v>40</v>
      </c>
      <c r="D96" s="4" t="s">
        <v>38</v>
      </c>
      <c r="E96" s="4" t="s">
        <v>25</v>
      </c>
      <c r="F96" s="4" t="s">
        <v>25</v>
      </c>
      <c r="G96" s="4" t="s">
        <v>25</v>
      </c>
      <c r="H96" s="4" t="s">
        <v>35</v>
      </c>
      <c r="I96" s="5">
        <v>44713</v>
      </c>
      <c r="J96" s="6">
        <v>79821</v>
      </c>
      <c r="K96" s="6">
        <v>79821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58</v>
      </c>
      <c r="R96" s="4">
        <v>0</v>
      </c>
      <c r="S96" s="4" t="s">
        <v>130</v>
      </c>
      <c r="U96" s="4">
        <v>3</v>
      </c>
      <c r="V96" s="4">
        <v>0</v>
      </c>
      <c r="W96" s="4">
        <v>0</v>
      </c>
    </row>
    <row r="97" spans="1:23" ht="11.25" customHeight="1" x14ac:dyDescent="0.25">
      <c r="A97" s="4" t="s">
        <v>57</v>
      </c>
      <c r="B97" s="4" t="s">
        <v>39</v>
      </c>
      <c r="C97" s="4" t="s">
        <v>40</v>
      </c>
      <c r="D97" s="4" t="s">
        <v>38</v>
      </c>
      <c r="E97" s="4" t="s">
        <v>25</v>
      </c>
      <c r="F97" s="4" t="s">
        <v>25</v>
      </c>
      <c r="G97" s="4" t="s">
        <v>25</v>
      </c>
      <c r="H97" s="4" t="s">
        <v>35</v>
      </c>
      <c r="I97" s="5">
        <v>44743</v>
      </c>
      <c r="J97" s="6">
        <v>3081</v>
      </c>
      <c r="K97" s="6">
        <v>3081</v>
      </c>
      <c r="L97" s="6">
        <v>1294.31</v>
      </c>
      <c r="M97" s="6">
        <v>1294.31</v>
      </c>
      <c r="N97" s="6">
        <v>1294.31</v>
      </c>
      <c r="O97" s="6">
        <v>1294.31</v>
      </c>
      <c r="P97" s="6">
        <v>0</v>
      </c>
      <c r="Q97" s="4" t="s">
        <v>26</v>
      </c>
      <c r="R97" s="4">
        <v>0</v>
      </c>
      <c r="S97" s="4" t="s">
        <v>131</v>
      </c>
      <c r="T97" s="4" t="s">
        <v>588</v>
      </c>
      <c r="U97" s="4">
        <v>3</v>
      </c>
      <c r="V97" s="4">
        <v>5</v>
      </c>
      <c r="W97" s="4">
        <v>65</v>
      </c>
    </row>
    <row r="98" spans="1:23" ht="11.25" customHeight="1" x14ac:dyDescent="0.25">
      <c r="A98" s="4" t="s">
        <v>57</v>
      </c>
      <c r="B98" s="4" t="s">
        <v>39</v>
      </c>
      <c r="C98" s="4" t="s">
        <v>40</v>
      </c>
      <c r="D98" s="4" t="s">
        <v>38</v>
      </c>
      <c r="E98" s="4" t="s">
        <v>25</v>
      </c>
      <c r="F98" s="4" t="s">
        <v>25</v>
      </c>
      <c r="G98" s="4" t="s">
        <v>25</v>
      </c>
      <c r="H98" s="4" t="s">
        <v>35</v>
      </c>
      <c r="I98" s="5">
        <v>44743</v>
      </c>
      <c r="J98" s="6">
        <v>79821</v>
      </c>
      <c r="K98" s="6">
        <v>79821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58</v>
      </c>
      <c r="R98" s="4">
        <v>0</v>
      </c>
      <c r="S98" s="4" t="s">
        <v>131</v>
      </c>
      <c r="U98" s="4">
        <v>3</v>
      </c>
      <c r="V98" s="4">
        <v>0</v>
      </c>
      <c r="W98" s="4">
        <v>0</v>
      </c>
    </row>
    <row r="99" spans="1:23" ht="11.25" customHeight="1" x14ac:dyDescent="0.25">
      <c r="A99" s="4" t="s">
        <v>21</v>
      </c>
      <c r="B99" s="4" t="s">
        <v>39</v>
      </c>
      <c r="C99" s="4" t="s">
        <v>40</v>
      </c>
      <c r="D99" s="4" t="s">
        <v>38</v>
      </c>
      <c r="E99" s="4" t="s">
        <v>25</v>
      </c>
      <c r="F99" s="4" t="s">
        <v>25</v>
      </c>
      <c r="G99" s="4" t="s">
        <v>25</v>
      </c>
      <c r="H99" s="4" t="s">
        <v>25</v>
      </c>
      <c r="I99" s="5">
        <v>44409</v>
      </c>
      <c r="J99" s="6">
        <v>0</v>
      </c>
      <c r="K99" s="6">
        <v>0</v>
      </c>
      <c r="L99" s="6">
        <v>41102.165999999997</v>
      </c>
      <c r="M99" s="6">
        <v>41102.165999999997</v>
      </c>
      <c r="N99" s="6">
        <v>0</v>
      </c>
      <c r="O99" s="6">
        <v>0</v>
      </c>
      <c r="P99" s="6">
        <v>12</v>
      </c>
      <c r="Q99" s="4" t="s">
        <v>58</v>
      </c>
      <c r="R99" s="4">
        <v>0</v>
      </c>
      <c r="S99" s="4" t="s">
        <v>132</v>
      </c>
      <c r="U99" s="4">
        <v>0</v>
      </c>
      <c r="V99" s="4">
        <v>5</v>
      </c>
      <c r="W99" s="4">
        <v>0</v>
      </c>
    </row>
    <row r="100" spans="1:23" ht="11.25" customHeight="1" x14ac:dyDescent="0.25">
      <c r="A100" s="4" t="s">
        <v>21</v>
      </c>
      <c r="B100" s="4" t="s">
        <v>39</v>
      </c>
      <c r="C100" s="4" t="s">
        <v>40</v>
      </c>
      <c r="D100" s="4" t="s">
        <v>38</v>
      </c>
      <c r="E100" s="4" t="s">
        <v>25</v>
      </c>
      <c r="F100" s="4" t="s">
        <v>25</v>
      </c>
      <c r="G100" s="4" t="s">
        <v>25</v>
      </c>
      <c r="H100" s="4" t="s">
        <v>25</v>
      </c>
      <c r="I100" s="5">
        <v>44440</v>
      </c>
      <c r="J100" s="6">
        <v>0</v>
      </c>
      <c r="K100" s="6">
        <v>0</v>
      </c>
      <c r="L100" s="6">
        <v>41848.686000000002</v>
      </c>
      <c r="M100" s="6">
        <v>41848.686000000002</v>
      </c>
      <c r="N100" s="6">
        <v>0</v>
      </c>
      <c r="O100" s="6">
        <v>0</v>
      </c>
      <c r="P100" s="6">
        <v>12</v>
      </c>
      <c r="Q100" s="4" t="s">
        <v>58</v>
      </c>
      <c r="R100" s="4">
        <v>0</v>
      </c>
      <c r="S100" s="4" t="s">
        <v>133</v>
      </c>
      <c r="U100" s="4">
        <v>0</v>
      </c>
      <c r="V100" s="4">
        <v>5</v>
      </c>
      <c r="W100" s="4">
        <v>0</v>
      </c>
    </row>
    <row r="101" spans="1:23" ht="11.25" customHeight="1" x14ac:dyDescent="0.25">
      <c r="A101" s="4" t="s">
        <v>21</v>
      </c>
      <c r="B101" s="4" t="s">
        <v>39</v>
      </c>
      <c r="C101" s="4" t="s">
        <v>40</v>
      </c>
      <c r="D101" s="4" t="s">
        <v>38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44470</v>
      </c>
      <c r="J101" s="6">
        <v>0</v>
      </c>
      <c r="K101" s="6">
        <v>0</v>
      </c>
      <c r="L101" s="6">
        <v>43769.120000000003</v>
      </c>
      <c r="M101" s="6">
        <v>43769.120000000003</v>
      </c>
      <c r="N101" s="6">
        <v>0</v>
      </c>
      <c r="O101" s="6">
        <v>0</v>
      </c>
      <c r="P101" s="6">
        <v>12</v>
      </c>
      <c r="Q101" s="4" t="s">
        <v>58</v>
      </c>
      <c r="R101" s="4">
        <v>0</v>
      </c>
      <c r="S101" s="4" t="s">
        <v>134</v>
      </c>
      <c r="U101" s="4">
        <v>0</v>
      </c>
      <c r="V101" s="4">
        <v>5</v>
      </c>
      <c r="W101" s="4">
        <v>0</v>
      </c>
    </row>
    <row r="102" spans="1:23" ht="11.25" customHeight="1" x14ac:dyDescent="0.25">
      <c r="A102" s="4" t="s">
        <v>21</v>
      </c>
      <c r="B102" s="4" t="s">
        <v>39</v>
      </c>
      <c r="C102" s="4" t="s">
        <v>40</v>
      </c>
      <c r="D102" s="4" t="s">
        <v>38</v>
      </c>
      <c r="E102" s="4" t="s">
        <v>25</v>
      </c>
      <c r="F102" s="4" t="s">
        <v>25</v>
      </c>
      <c r="G102" s="4" t="s">
        <v>25</v>
      </c>
      <c r="H102" s="4" t="s">
        <v>25</v>
      </c>
      <c r="I102" s="5">
        <v>44501</v>
      </c>
      <c r="J102" s="6">
        <v>0</v>
      </c>
      <c r="K102" s="6">
        <v>0</v>
      </c>
      <c r="L102" s="6">
        <v>41115.533000000003</v>
      </c>
      <c r="M102" s="6">
        <v>41115.533000000003</v>
      </c>
      <c r="N102" s="6">
        <v>0</v>
      </c>
      <c r="O102" s="6">
        <v>0</v>
      </c>
      <c r="P102" s="6">
        <v>12</v>
      </c>
      <c r="Q102" s="4" t="s">
        <v>58</v>
      </c>
      <c r="R102" s="4">
        <v>0</v>
      </c>
      <c r="S102" s="4" t="s">
        <v>135</v>
      </c>
      <c r="U102" s="4">
        <v>0</v>
      </c>
      <c r="V102" s="4">
        <v>5</v>
      </c>
      <c r="W102" s="4">
        <v>0</v>
      </c>
    </row>
    <row r="103" spans="1:23" ht="11.25" customHeight="1" x14ac:dyDescent="0.25">
      <c r="A103" s="4" t="s">
        <v>21</v>
      </c>
      <c r="B103" s="4" t="s">
        <v>39</v>
      </c>
      <c r="C103" s="4" t="s">
        <v>40</v>
      </c>
      <c r="D103" s="4" t="s">
        <v>38</v>
      </c>
      <c r="E103" s="4" t="s">
        <v>25</v>
      </c>
      <c r="F103" s="4" t="s">
        <v>25</v>
      </c>
      <c r="G103" s="4" t="s">
        <v>25</v>
      </c>
      <c r="H103" s="4" t="s">
        <v>25</v>
      </c>
      <c r="I103" s="5">
        <v>44531</v>
      </c>
      <c r="J103" s="6">
        <v>0</v>
      </c>
      <c r="K103" s="6">
        <v>0</v>
      </c>
      <c r="L103" s="6">
        <v>41824.671000000002</v>
      </c>
      <c r="M103" s="6">
        <v>41824.671000000002</v>
      </c>
      <c r="N103" s="6">
        <v>0</v>
      </c>
      <c r="O103" s="6">
        <v>0</v>
      </c>
      <c r="P103" s="6">
        <v>13</v>
      </c>
      <c r="Q103" s="4" t="s">
        <v>58</v>
      </c>
      <c r="R103" s="4">
        <v>0</v>
      </c>
      <c r="S103" s="4" t="s">
        <v>136</v>
      </c>
      <c r="U103" s="4">
        <v>0</v>
      </c>
      <c r="V103" s="4">
        <v>5</v>
      </c>
      <c r="W103" s="4">
        <v>0</v>
      </c>
    </row>
    <row r="104" spans="1:23" ht="11.25" customHeight="1" x14ac:dyDescent="0.25">
      <c r="A104" s="4" t="s">
        <v>21</v>
      </c>
      <c r="B104" s="4" t="s">
        <v>39</v>
      </c>
      <c r="C104" s="4" t="s">
        <v>40</v>
      </c>
      <c r="D104" s="4" t="s">
        <v>38</v>
      </c>
      <c r="E104" s="4" t="s">
        <v>25</v>
      </c>
      <c r="F104" s="4" t="s">
        <v>25</v>
      </c>
      <c r="G104" s="4" t="s">
        <v>25</v>
      </c>
      <c r="H104" s="4" t="s">
        <v>25</v>
      </c>
      <c r="I104" s="5">
        <v>44562</v>
      </c>
      <c r="J104" s="6">
        <v>0</v>
      </c>
      <c r="K104" s="6">
        <v>0</v>
      </c>
      <c r="L104" s="6">
        <v>36495.809000000001</v>
      </c>
      <c r="M104" s="6">
        <v>36495.809000000001</v>
      </c>
      <c r="N104" s="6">
        <v>0</v>
      </c>
      <c r="O104" s="6">
        <v>0</v>
      </c>
      <c r="P104" s="6">
        <v>13</v>
      </c>
      <c r="Q104" s="4" t="s">
        <v>58</v>
      </c>
      <c r="R104" s="4">
        <v>0</v>
      </c>
      <c r="S104" s="4" t="s">
        <v>137</v>
      </c>
      <c r="U104" s="4">
        <v>0</v>
      </c>
      <c r="V104" s="4">
        <v>5</v>
      </c>
      <c r="W104" s="4">
        <v>0</v>
      </c>
    </row>
    <row r="105" spans="1:23" ht="11.25" customHeight="1" x14ac:dyDescent="0.25">
      <c r="A105" s="4" t="s">
        <v>21</v>
      </c>
      <c r="B105" s="4" t="s">
        <v>39</v>
      </c>
      <c r="C105" s="4" t="s">
        <v>40</v>
      </c>
      <c r="D105" s="4" t="s">
        <v>38</v>
      </c>
      <c r="E105" s="4" t="s">
        <v>25</v>
      </c>
      <c r="F105" s="4" t="s">
        <v>25</v>
      </c>
      <c r="G105" s="4" t="s">
        <v>25</v>
      </c>
      <c r="H105" s="4" t="s">
        <v>25</v>
      </c>
      <c r="I105" s="5">
        <v>44593</v>
      </c>
      <c r="J105" s="6">
        <v>0</v>
      </c>
      <c r="K105" s="6">
        <v>0</v>
      </c>
      <c r="L105" s="6">
        <v>41843.396999999997</v>
      </c>
      <c r="M105" s="6">
        <v>41843.396999999997</v>
      </c>
      <c r="N105" s="6">
        <v>0</v>
      </c>
      <c r="O105" s="6">
        <v>0</v>
      </c>
      <c r="P105" s="6">
        <v>13</v>
      </c>
      <c r="Q105" s="4" t="s">
        <v>58</v>
      </c>
      <c r="R105" s="4">
        <v>0</v>
      </c>
      <c r="S105" s="4" t="s">
        <v>138</v>
      </c>
      <c r="U105" s="4">
        <v>0</v>
      </c>
      <c r="V105" s="4">
        <v>5</v>
      </c>
      <c r="W105" s="4">
        <v>0</v>
      </c>
    </row>
    <row r="106" spans="1:23" ht="11.25" customHeight="1" x14ac:dyDescent="0.25">
      <c r="A106" s="4" t="s">
        <v>21</v>
      </c>
      <c r="B106" s="4" t="s">
        <v>39</v>
      </c>
      <c r="C106" s="4" t="s">
        <v>40</v>
      </c>
      <c r="D106" s="4" t="s">
        <v>38</v>
      </c>
      <c r="E106" s="4" t="s">
        <v>25</v>
      </c>
      <c r="F106" s="4" t="s">
        <v>25</v>
      </c>
      <c r="G106" s="4" t="s">
        <v>25</v>
      </c>
      <c r="H106" s="4" t="s">
        <v>25</v>
      </c>
      <c r="I106" s="5">
        <v>44621</v>
      </c>
      <c r="J106" s="6">
        <v>0</v>
      </c>
      <c r="K106" s="6">
        <v>0</v>
      </c>
      <c r="L106" s="6">
        <v>37626.337</v>
      </c>
      <c r="M106" s="6">
        <v>37626.337</v>
      </c>
      <c r="N106" s="6">
        <v>0</v>
      </c>
      <c r="O106" s="6">
        <v>0</v>
      </c>
      <c r="P106" s="6">
        <v>13</v>
      </c>
      <c r="Q106" s="4" t="s">
        <v>58</v>
      </c>
      <c r="R106" s="4">
        <v>0</v>
      </c>
      <c r="S106" s="4" t="s">
        <v>139</v>
      </c>
      <c r="U106" s="4">
        <v>0</v>
      </c>
      <c r="V106" s="4">
        <v>5</v>
      </c>
      <c r="W106" s="4">
        <v>0</v>
      </c>
    </row>
    <row r="107" spans="1:23" ht="11.25" customHeight="1" x14ac:dyDescent="0.25">
      <c r="A107" s="4" t="s">
        <v>21</v>
      </c>
      <c r="B107" s="4" t="s">
        <v>39</v>
      </c>
      <c r="C107" s="4" t="s">
        <v>40</v>
      </c>
      <c r="D107" s="4" t="s">
        <v>38</v>
      </c>
      <c r="E107" s="4" t="s">
        <v>25</v>
      </c>
      <c r="F107" s="4" t="s">
        <v>25</v>
      </c>
      <c r="G107" s="4" t="s">
        <v>25</v>
      </c>
      <c r="H107" s="4" t="s">
        <v>25</v>
      </c>
      <c r="I107" s="5">
        <v>44652</v>
      </c>
      <c r="J107" s="6">
        <v>0</v>
      </c>
      <c r="K107" s="6">
        <v>0</v>
      </c>
      <c r="L107" s="6">
        <v>41955.839999999997</v>
      </c>
      <c r="M107" s="6">
        <v>41955.839999999997</v>
      </c>
      <c r="N107" s="6">
        <v>0</v>
      </c>
      <c r="O107" s="6">
        <v>0</v>
      </c>
      <c r="P107" s="6">
        <v>13</v>
      </c>
      <c r="Q107" s="4" t="s">
        <v>58</v>
      </c>
      <c r="R107" s="4">
        <v>0</v>
      </c>
      <c r="S107" s="4" t="s">
        <v>140</v>
      </c>
      <c r="U107" s="4">
        <v>0</v>
      </c>
      <c r="V107" s="4">
        <v>5</v>
      </c>
      <c r="W107" s="4">
        <v>0</v>
      </c>
    </row>
    <row r="108" spans="1:23" ht="11.25" customHeight="1" x14ac:dyDescent="0.25">
      <c r="A108" s="4" t="s">
        <v>21</v>
      </c>
      <c r="B108" s="4" t="s">
        <v>39</v>
      </c>
      <c r="C108" s="4" t="s">
        <v>40</v>
      </c>
      <c r="D108" s="4" t="s">
        <v>38</v>
      </c>
      <c r="E108" s="4" t="s">
        <v>25</v>
      </c>
      <c r="F108" s="4" t="s">
        <v>25</v>
      </c>
      <c r="G108" s="4" t="s">
        <v>25</v>
      </c>
      <c r="H108" s="4" t="s">
        <v>25</v>
      </c>
      <c r="I108" s="5">
        <v>44682</v>
      </c>
      <c r="J108" s="6">
        <v>0</v>
      </c>
      <c r="K108" s="6">
        <v>0</v>
      </c>
      <c r="L108" s="6">
        <v>40929.413999999997</v>
      </c>
      <c r="M108" s="6">
        <v>40929.413999999997</v>
      </c>
      <c r="N108" s="6">
        <v>0</v>
      </c>
      <c r="O108" s="6">
        <v>0</v>
      </c>
      <c r="P108" s="6">
        <v>13</v>
      </c>
      <c r="Q108" s="4" t="s">
        <v>58</v>
      </c>
      <c r="R108" s="4">
        <v>0</v>
      </c>
      <c r="S108" s="4" t="s">
        <v>141</v>
      </c>
      <c r="U108" s="4">
        <v>0</v>
      </c>
      <c r="V108" s="4">
        <v>5</v>
      </c>
      <c r="W108" s="4">
        <v>0</v>
      </c>
    </row>
    <row r="109" spans="1:23" ht="11.25" customHeight="1" x14ac:dyDescent="0.25">
      <c r="A109" s="4" t="s">
        <v>21</v>
      </c>
      <c r="B109" s="4" t="s">
        <v>39</v>
      </c>
      <c r="C109" s="4" t="s">
        <v>40</v>
      </c>
      <c r="D109" s="4" t="s">
        <v>38</v>
      </c>
      <c r="E109" s="4" t="s">
        <v>25</v>
      </c>
      <c r="F109" s="4" t="s">
        <v>25</v>
      </c>
      <c r="G109" s="4" t="s">
        <v>25</v>
      </c>
      <c r="H109" s="4" t="s">
        <v>25</v>
      </c>
      <c r="I109" s="5">
        <v>44713</v>
      </c>
      <c r="J109" s="6">
        <v>0</v>
      </c>
      <c r="K109" s="6">
        <v>0</v>
      </c>
      <c r="L109" s="6">
        <v>41451.843999999997</v>
      </c>
      <c r="M109" s="6">
        <v>41451.843999999997</v>
      </c>
      <c r="N109" s="6">
        <v>0</v>
      </c>
      <c r="O109" s="6">
        <v>0</v>
      </c>
      <c r="P109" s="6">
        <v>13</v>
      </c>
      <c r="Q109" s="4" t="s">
        <v>58</v>
      </c>
      <c r="R109" s="4">
        <v>0</v>
      </c>
      <c r="S109" s="4" t="s">
        <v>142</v>
      </c>
      <c r="U109" s="4">
        <v>0</v>
      </c>
      <c r="V109" s="4">
        <v>5</v>
      </c>
      <c r="W109" s="4">
        <v>0</v>
      </c>
    </row>
    <row r="110" spans="1:23" ht="11.25" customHeight="1" x14ac:dyDescent="0.25">
      <c r="A110" s="4" t="s">
        <v>57</v>
      </c>
      <c r="B110" s="4" t="s">
        <v>39</v>
      </c>
      <c r="C110" s="4" t="s">
        <v>40</v>
      </c>
      <c r="D110" s="4" t="s">
        <v>38</v>
      </c>
      <c r="E110" s="4" t="s">
        <v>25</v>
      </c>
      <c r="F110" s="4" t="s">
        <v>25</v>
      </c>
      <c r="G110" s="4" t="s">
        <v>25</v>
      </c>
      <c r="H110" s="4" t="s">
        <v>25</v>
      </c>
      <c r="I110" s="5">
        <v>44743</v>
      </c>
      <c r="J110" s="6">
        <v>0</v>
      </c>
      <c r="K110" s="6">
        <v>0</v>
      </c>
      <c r="L110" s="6">
        <v>41451.843999999997</v>
      </c>
      <c r="M110" s="6">
        <v>41451.843999999997</v>
      </c>
      <c r="N110" s="6">
        <v>0</v>
      </c>
      <c r="O110" s="6">
        <v>0</v>
      </c>
      <c r="P110" s="6">
        <v>13</v>
      </c>
      <c r="Q110" s="4" t="s">
        <v>58</v>
      </c>
      <c r="R110" s="4">
        <v>0</v>
      </c>
      <c r="S110" s="4" t="s">
        <v>143</v>
      </c>
      <c r="U110" s="4">
        <v>0</v>
      </c>
      <c r="V110" s="4">
        <v>5</v>
      </c>
      <c r="W110" s="4">
        <v>0</v>
      </c>
    </row>
    <row r="111" spans="1:23" ht="11.25" customHeight="1" x14ac:dyDescent="0.25">
      <c r="A111" s="4" t="s">
        <v>21</v>
      </c>
      <c r="B111" s="4" t="s">
        <v>39</v>
      </c>
      <c r="C111" s="4" t="s">
        <v>40</v>
      </c>
      <c r="D111" s="4" t="s">
        <v>38</v>
      </c>
      <c r="E111" s="4" t="s">
        <v>25</v>
      </c>
      <c r="F111" s="4" t="s">
        <v>25</v>
      </c>
      <c r="G111" s="4" t="s">
        <v>25</v>
      </c>
      <c r="H111" s="4" t="s">
        <v>34</v>
      </c>
      <c r="I111" s="5">
        <v>44409</v>
      </c>
      <c r="J111" s="6">
        <v>7314</v>
      </c>
      <c r="K111" s="6">
        <v>7314</v>
      </c>
      <c r="L111" s="6">
        <v>182.25700000000001</v>
      </c>
      <c r="M111" s="6">
        <v>182.25700000000001</v>
      </c>
      <c r="N111" s="6">
        <v>182.25700000000001</v>
      </c>
      <c r="O111" s="6">
        <v>182.25700000000001</v>
      </c>
      <c r="P111" s="6">
        <v>0</v>
      </c>
      <c r="Q111" s="4" t="s">
        <v>26</v>
      </c>
      <c r="R111" s="4">
        <v>0</v>
      </c>
      <c r="S111" s="4" t="s">
        <v>144</v>
      </c>
      <c r="T111" s="4" t="s">
        <v>589</v>
      </c>
      <c r="U111" s="4">
        <v>1</v>
      </c>
      <c r="V111" s="4">
        <v>5</v>
      </c>
      <c r="W111" s="4">
        <v>64</v>
      </c>
    </row>
    <row r="112" spans="1:23" ht="11.25" customHeight="1" x14ac:dyDescent="0.25">
      <c r="A112" s="4" t="s">
        <v>21</v>
      </c>
      <c r="B112" s="4" t="s">
        <v>39</v>
      </c>
      <c r="C112" s="4" t="s">
        <v>40</v>
      </c>
      <c r="D112" s="4" t="s">
        <v>38</v>
      </c>
      <c r="E112" s="4" t="s">
        <v>25</v>
      </c>
      <c r="F112" s="4" t="s">
        <v>25</v>
      </c>
      <c r="G112" s="4" t="s">
        <v>25</v>
      </c>
      <c r="H112" s="4" t="s">
        <v>34</v>
      </c>
      <c r="I112" s="5">
        <v>44409</v>
      </c>
      <c r="J112" s="6">
        <v>67502</v>
      </c>
      <c r="K112" s="6">
        <v>67502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58</v>
      </c>
      <c r="R112" s="4">
        <v>0</v>
      </c>
      <c r="S112" s="4" t="s">
        <v>144</v>
      </c>
      <c r="U112" s="4">
        <v>1</v>
      </c>
      <c r="V112" s="4">
        <v>0</v>
      </c>
      <c r="W112" s="4">
        <v>0</v>
      </c>
    </row>
    <row r="113" spans="1:23" ht="11.25" customHeight="1" x14ac:dyDescent="0.25">
      <c r="A113" s="4" t="s">
        <v>21</v>
      </c>
      <c r="B113" s="4" t="s">
        <v>39</v>
      </c>
      <c r="C113" s="4" t="s">
        <v>40</v>
      </c>
      <c r="D113" s="4" t="s">
        <v>38</v>
      </c>
      <c r="E113" s="4" t="s">
        <v>25</v>
      </c>
      <c r="F113" s="4" t="s">
        <v>25</v>
      </c>
      <c r="G113" s="4" t="s">
        <v>25</v>
      </c>
      <c r="H113" s="4" t="s">
        <v>34</v>
      </c>
      <c r="I113" s="5">
        <v>44440</v>
      </c>
      <c r="J113" s="6">
        <v>6416</v>
      </c>
      <c r="K113" s="6">
        <v>6416</v>
      </c>
      <c r="L113" s="6">
        <v>143.01599999999999</v>
      </c>
      <c r="M113" s="6">
        <v>143.01599999999999</v>
      </c>
      <c r="N113" s="6">
        <v>143.01599999999999</v>
      </c>
      <c r="O113" s="6">
        <v>143.01599999999999</v>
      </c>
      <c r="P113" s="6">
        <v>0</v>
      </c>
      <c r="Q113" s="4" t="s">
        <v>26</v>
      </c>
      <c r="R113" s="4">
        <v>0</v>
      </c>
      <c r="S113" s="4" t="s">
        <v>145</v>
      </c>
      <c r="T113" s="4" t="s">
        <v>590</v>
      </c>
      <c r="U113" s="4">
        <v>1</v>
      </c>
      <c r="V113" s="4">
        <v>5</v>
      </c>
      <c r="W113" s="4">
        <v>64</v>
      </c>
    </row>
    <row r="114" spans="1:23" ht="11.25" customHeight="1" x14ac:dyDescent="0.25">
      <c r="A114" s="4" t="s">
        <v>21</v>
      </c>
      <c r="B114" s="4" t="s">
        <v>39</v>
      </c>
      <c r="C114" s="4" t="s">
        <v>40</v>
      </c>
      <c r="D114" s="4" t="s">
        <v>38</v>
      </c>
      <c r="E114" s="4" t="s">
        <v>25</v>
      </c>
      <c r="F114" s="4" t="s">
        <v>25</v>
      </c>
      <c r="G114" s="4" t="s">
        <v>25</v>
      </c>
      <c r="H114" s="4" t="s">
        <v>34</v>
      </c>
      <c r="I114" s="5">
        <v>44440</v>
      </c>
      <c r="J114" s="6">
        <v>67579</v>
      </c>
      <c r="K114" s="6">
        <v>67579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58</v>
      </c>
      <c r="R114" s="4">
        <v>0</v>
      </c>
      <c r="S114" s="4" t="s">
        <v>145</v>
      </c>
      <c r="U114" s="4">
        <v>1</v>
      </c>
      <c r="V114" s="4">
        <v>0</v>
      </c>
      <c r="W114" s="4">
        <v>0</v>
      </c>
    </row>
    <row r="115" spans="1:23" ht="11.25" customHeight="1" x14ac:dyDescent="0.25">
      <c r="A115" s="4" t="s">
        <v>21</v>
      </c>
      <c r="B115" s="4" t="s">
        <v>39</v>
      </c>
      <c r="C115" s="4" t="s">
        <v>40</v>
      </c>
      <c r="D115" s="4" t="s">
        <v>38</v>
      </c>
      <c r="E115" s="4" t="s">
        <v>25</v>
      </c>
      <c r="F115" s="4" t="s">
        <v>25</v>
      </c>
      <c r="G115" s="4" t="s">
        <v>25</v>
      </c>
      <c r="H115" s="4" t="s">
        <v>34</v>
      </c>
      <c r="I115" s="5">
        <v>44470</v>
      </c>
      <c r="J115" s="6">
        <v>1748</v>
      </c>
      <c r="K115" s="6">
        <v>1748</v>
      </c>
      <c r="L115" s="6">
        <v>29.946999999999999</v>
      </c>
      <c r="M115" s="6">
        <v>29.946999999999999</v>
      </c>
      <c r="N115" s="6">
        <v>29.946999999999999</v>
      </c>
      <c r="O115" s="6">
        <v>29.946999999999999</v>
      </c>
      <c r="P115" s="6">
        <v>0</v>
      </c>
      <c r="Q115" s="4" t="s">
        <v>26</v>
      </c>
      <c r="R115" s="4">
        <v>0</v>
      </c>
      <c r="S115" s="4" t="s">
        <v>146</v>
      </c>
      <c r="T115" s="4" t="s">
        <v>591</v>
      </c>
      <c r="U115" s="4">
        <v>1</v>
      </c>
      <c r="V115" s="4">
        <v>5</v>
      </c>
      <c r="W115" s="4">
        <v>64</v>
      </c>
    </row>
    <row r="116" spans="1:23" ht="11.25" customHeight="1" x14ac:dyDescent="0.25">
      <c r="A116" s="4" t="s">
        <v>21</v>
      </c>
      <c r="B116" s="4" t="s">
        <v>39</v>
      </c>
      <c r="C116" s="4" t="s">
        <v>40</v>
      </c>
      <c r="D116" s="4" t="s">
        <v>38</v>
      </c>
      <c r="E116" s="4" t="s">
        <v>25</v>
      </c>
      <c r="F116" s="4" t="s">
        <v>25</v>
      </c>
      <c r="G116" s="4" t="s">
        <v>25</v>
      </c>
      <c r="H116" s="4" t="s">
        <v>34</v>
      </c>
      <c r="I116" s="5">
        <v>44470</v>
      </c>
      <c r="J116" s="6">
        <v>67969</v>
      </c>
      <c r="K116" s="6">
        <v>67969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58</v>
      </c>
      <c r="R116" s="4">
        <v>0</v>
      </c>
      <c r="S116" s="4" t="s">
        <v>146</v>
      </c>
      <c r="U116" s="4">
        <v>1</v>
      </c>
      <c r="V116" s="4">
        <v>0</v>
      </c>
      <c r="W116" s="4">
        <v>0</v>
      </c>
    </row>
    <row r="117" spans="1:23" ht="11.25" customHeight="1" x14ac:dyDescent="0.25">
      <c r="A117" s="4" t="s">
        <v>21</v>
      </c>
      <c r="B117" s="4" t="s">
        <v>39</v>
      </c>
      <c r="C117" s="4" t="s">
        <v>40</v>
      </c>
      <c r="D117" s="4" t="s">
        <v>38</v>
      </c>
      <c r="E117" s="4" t="s">
        <v>25</v>
      </c>
      <c r="F117" s="4" t="s">
        <v>25</v>
      </c>
      <c r="G117" s="4" t="s">
        <v>25</v>
      </c>
      <c r="H117" s="4" t="s">
        <v>34</v>
      </c>
      <c r="I117" s="5">
        <v>44501</v>
      </c>
      <c r="J117" s="6">
        <v>1748</v>
      </c>
      <c r="K117" s="6">
        <v>1748</v>
      </c>
      <c r="L117" s="6">
        <v>160.47</v>
      </c>
      <c r="M117" s="6">
        <v>160.47</v>
      </c>
      <c r="N117" s="6">
        <v>160.47</v>
      </c>
      <c r="O117" s="6">
        <v>160.47</v>
      </c>
      <c r="P117" s="6">
        <v>0</v>
      </c>
      <c r="Q117" s="4" t="s">
        <v>26</v>
      </c>
      <c r="R117" s="4">
        <v>0</v>
      </c>
      <c r="S117" s="4" t="s">
        <v>147</v>
      </c>
      <c r="T117" s="4" t="s">
        <v>592</v>
      </c>
      <c r="U117" s="4">
        <v>1</v>
      </c>
      <c r="V117" s="4">
        <v>5</v>
      </c>
      <c r="W117" s="4">
        <v>64</v>
      </c>
    </row>
    <row r="118" spans="1:23" ht="11.25" customHeight="1" x14ac:dyDescent="0.25">
      <c r="A118" s="4" t="s">
        <v>21</v>
      </c>
      <c r="B118" s="4" t="s">
        <v>39</v>
      </c>
      <c r="C118" s="4" t="s">
        <v>40</v>
      </c>
      <c r="D118" s="4" t="s">
        <v>38</v>
      </c>
      <c r="E118" s="4" t="s">
        <v>25</v>
      </c>
      <c r="F118" s="4" t="s">
        <v>25</v>
      </c>
      <c r="G118" s="4" t="s">
        <v>25</v>
      </c>
      <c r="H118" s="4" t="s">
        <v>34</v>
      </c>
      <c r="I118" s="5">
        <v>44501</v>
      </c>
      <c r="J118" s="6">
        <v>68142</v>
      </c>
      <c r="K118" s="6">
        <v>68142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58</v>
      </c>
      <c r="R118" s="4">
        <v>0</v>
      </c>
      <c r="S118" s="4" t="s">
        <v>147</v>
      </c>
      <c r="U118" s="4">
        <v>1</v>
      </c>
      <c r="V118" s="4">
        <v>0</v>
      </c>
      <c r="W118" s="4">
        <v>0</v>
      </c>
    </row>
    <row r="119" spans="1:23" ht="11.25" customHeight="1" x14ac:dyDescent="0.25">
      <c r="A119" s="4" t="s">
        <v>21</v>
      </c>
      <c r="B119" s="4" t="s">
        <v>39</v>
      </c>
      <c r="C119" s="4" t="s">
        <v>40</v>
      </c>
      <c r="D119" s="4" t="s">
        <v>38</v>
      </c>
      <c r="E119" s="4" t="s">
        <v>25</v>
      </c>
      <c r="F119" s="4" t="s">
        <v>25</v>
      </c>
      <c r="G119" s="4" t="s">
        <v>25</v>
      </c>
      <c r="H119" s="4" t="s">
        <v>34</v>
      </c>
      <c r="I119" s="5">
        <v>44531</v>
      </c>
      <c r="J119" s="6">
        <v>1731</v>
      </c>
      <c r="K119" s="6">
        <v>1731</v>
      </c>
      <c r="L119" s="6">
        <v>53.613999999999997</v>
      </c>
      <c r="M119" s="6">
        <v>53.613999999999997</v>
      </c>
      <c r="N119" s="6">
        <v>53.613999999999997</v>
      </c>
      <c r="O119" s="6">
        <v>53.613999999999997</v>
      </c>
      <c r="P119" s="6">
        <v>0</v>
      </c>
      <c r="Q119" s="4" t="s">
        <v>26</v>
      </c>
      <c r="R119" s="4">
        <v>0</v>
      </c>
      <c r="S119" s="4" t="s">
        <v>148</v>
      </c>
      <c r="T119" s="4" t="s">
        <v>593</v>
      </c>
      <c r="U119" s="4">
        <v>1</v>
      </c>
      <c r="V119" s="4">
        <v>5</v>
      </c>
      <c r="W119" s="4">
        <v>64</v>
      </c>
    </row>
    <row r="120" spans="1:23" ht="11.25" customHeight="1" x14ac:dyDescent="0.25">
      <c r="A120" s="4" t="s">
        <v>21</v>
      </c>
      <c r="B120" s="4" t="s">
        <v>39</v>
      </c>
      <c r="C120" s="4" t="s">
        <v>40</v>
      </c>
      <c r="D120" s="4" t="s">
        <v>38</v>
      </c>
      <c r="E120" s="4" t="s">
        <v>25</v>
      </c>
      <c r="F120" s="4" t="s">
        <v>25</v>
      </c>
      <c r="G120" s="4" t="s">
        <v>25</v>
      </c>
      <c r="H120" s="4" t="s">
        <v>34</v>
      </c>
      <c r="I120" s="5">
        <v>44531</v>
      </c>
      <c r="J120" s="6">
        <v>69631</v>
      </c>
      <c r="K120" s="6">
        <v>69631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58</v>
      </c>
      <c r="R120" s="4">
        <v>0</v>
      </c>
      <c r="S120" s="4" t="s">
        <v>148</v>
      </c>
      <c r="U120" s="4">
        <v>1</v>
      </c>
      <c r="V120" s="4">
        <v>0</v>
      </c>
      <c r="W120" s="4">
        <v>0</v>
      </c>
    </row>
    <row r="121" spans="1:23" ht="11.25" customHeight="1" x14ac:dyDescent="0.25">
      <c r="A121" s="4" t="s">
        <v>21</v>
      </c>
      <c r="B121" s="4" t="s">
        <v>39</v>
      </c>
      <c r="C121" s="4" t="s">
        <v>40</v>
      </c>
      <c r="D121" s="4" t="s">
        <v>38</v>
      </c>
      <c r="E121" s="4" t="s">
        <v>25</v>
      </c>
      <c r="F121" s="4" t="s">
        <v>25</v>
      </c>
      <c r="G121" s="4" t="s">
        <v>25</v>
      </c>
      <c r="H121" s="4" t="s">
        <v>34</v>
      </c>
      <c r="I121" s="5">
        <v>44562</v>
      </c>
      <c r="J121" s="6">
        <v>2514</v>
      </c>
      <c r="K121" s="6">
        <v>2514</v>
      </c>
      <c r="L121" s="6">
        <v>78.617999999999995</v>
      </c>
      <c r="M121" s="6">
        <v>78.617999999999995</v>
      </c>
      <c r="N121" s="6">
        <v>78.617999999999995</v>
      </c>
      <c r="O121" s="6">
        <v>78.617999999999995</v>
      </c>
      <c r="P121" s="6">
        <v>0</v>
      </c>
      <c r="Q121" s="4" t="s">
        <v>26</v>
      </c>
      <c r="R121" s="4">
        <v>0</v>
      </c>
      <c r="S121" s="4" t="s">
        <v>149</v>
      </c>
      <c r="T121" s="4" t="s">
        <v>594</v>
      </c>
      <c r="U121" s="4">
        <v>1</v>
      </c>
      <c r="V121" s="4">
        <v>5</v>
      </c>
      <c r="W121" s="4">
        <v>64</v>
      </c>
    </row>
    <row r="122" spans="1:23" ht="11.25" customHeight="1" x14ac:dyDescent="0.25">
      <c r="A122" s="4" t="s">
        <v>27</v>
      </c>
      <c r="B122" s="4" t="s">
        <v>39</v>
      </c>
      <c r="C122" s="4" t="s">
        <v>40</v>
      </c>
      <c r="D122" s="4" t="s">
        <v>38</v>
      </c>
      <c r="E122" s="4" t="s">
        <v>25</v>
      </c>
      <c r="F122" s="4" t="s">
        <v>25</v>
      </c>
      <c r="G122" s="4" t="s">
        <v>25</v>
      </c>
      <c r="H122" s="4" t="s">
        <v>34</v>
      </c>
      <c r="I122" s="5">
        <v>44562</v>
      </c>
      <c r="J122" s="6">
        <v>0</v>
      </c>
      <c r="K122" s="6">
        <v>0</v>
      </c>
      <c r="L122" s="6">
        <v>0.97399999999999998</v>
      </c>
      <c r="M122" s="6">
        <v>0.97399999999999998</v>
      </c>
      <c r="N122" s="6">
        <v>0.97399999999999998</v>
      </c>
      <c r="O122" s="6">
        <v>0.97399999999999998</v>
      </c>
      <c r="P122" s="6">
        <v>0</v>
      </c>
      <c r="Q122" s="4" t="s">
        <v>26</v>
      </c>
      <c r="R122" s="4">
        <v>0</v>
      </c>
      <c r="S122" s="4" t="s">
        <v>149</v>
      </c>
      <c r="T122" s="4" t="s">
        <v>594</v>
      </c>
      <c r="U122" s="4">
        <v>0</v>
      </c>
      <c r="V122" s="4">
        <v>5</v>
      </c>
      <c r="W122" s="4">
        <v>64</v>
      </c>
    </row>
    <row r="123" spans="1:23" ht="11.25" customHeight="1" x14ac:dyDescent="0.25">
      <c r="A123" s="4" t="s">
        <v>21</v>
      </c>
      <c r="B123" s="4" t="s">
        <v>39</v>
      </c>
      <c r="C123" s="4" t="s">
        <v>40</v>
      </c>
      <c r="D123" s="4" t="s">
        <v>38</v>
      </c>
      <c r="E123" s="4" t="s">
        <v>25</v>
      </c>
      <c r="F123" s="4" t="s">
        <v>25</v>
      </c>
      <c r="G123" s="4" t="s">
        <v>25</v>
      </c>
      <c r="H123" s="4" t="s">
        <v>34</v>
      </c>
      <c r="I123" s="5">
        <v>44562</v>
      </c>
      <c r="J123" s="6">
        <v>67548</v>
      </c>
      <c r="K123" s="6">
        <v>67548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58</v>
      </c>
      <c r="R123" s="4">
        <v>0</v>
      </c>
      <c r="S123" s="4" t="s">
        <v>149</v>
      </c>
      <c r="U123" s="4">
        <v>1</v>
      </c>
      <c r="V123" s="4">
        <v>0</v>
      </c>
      <c r="W123" s="4">
        <v>0</v>
      </c>
    </row>
    <row r="124" spans="1:23" ht="11.25" customHeight="1" x14ac:dyDescent="0.25">
      <c r="A124" s="4" t="s">
        <v>21</v>
      </c>
      <c r="B124" s="4" t="s">
        <v>39</v>
      </c>
      <c r="C124" s="4" t="s">
        <v>40</v>
      </c>
      <c r="D124" s="4" t="s">
        <v>38</v>
      </c>
      <c r="E124" s="4" t="s">
        <v>25</v>
      </c>
      <c r="F124" s="4" t="s">
        <v>25</v>
      </c>
      <c r="G124" s="4" t="s">
        <v>25</v>
      </c>
      <c r="H124" s="4" t="s">
        <v>34</v>
      </c>
      <c r="I124" s="5">
        <v>44593</v>
      </c>
      <c r="J124" s="6">
        <v>2225</v>
      </c>
      <c r="K124" s="6">
        <v>2225</v>
      </c>
      <c r="L124" s="6">
        <v>74.215999999999994</v>
      </c>
      <c r="M124" s="6">
        <v>74.215999999999994</v>
      </c>
      <c r="N124" s="6">
        <v>74.215999999999994</v>
      </c>
      <c r="O124" s="6">
        <v>74.215999999999994</v>
      </c>
      <c r="P124" s="6">
        <v>0</v>
      </c>
      <c r="Q124" s="4" t="s">
        <v>26</v>
      </c>
      <c r="R124" s="4">
        <v>0</v>
      </c>
      <c r="S124" s="4" t="s">
        <v>150</v>
      </c>
      <c r="T124" s="4" t="s">
        <v>595</v>
      </c>
      <c r="U124" s="4">
        <v>1</v>
      </c>
      <c r="V124" s="4">
        <v>5</v>
      </c>
      <c r="W124" s="4">
        <v>64</v>
      </c>
    </row>
    <row r="125" spans="1:23" ht="11.25" customHeight="1" x14ac:dyDescent="0.25">
      <c r="A125" s="4" t="s">
        <v>21</v>
      </c>
      <c r="B125" s="4" t="s">
        <v>39</v>
      </c>
      <c r="C125" s="4" t="s">
        <v>40</v>
      </c>
      <c r="D125" s="4" t="s">
        <v>38</v>
      </c>
      <c r="E125" s="4" t="s">
        <v>25</v>
      </c>
      <c r="F125" s="4" t="s">
        <v>25</v>
      </c>
      <c r="G125" s="4" t="s">
        <v>25</v>
      </c>
      <c r="H125" s="4" t="s">
        <v>34</v>
      </c>
      <c r="I125" s="5">
        <v>44593</v>
      </c>
      <c r="J125" s="6">
        <v>67343</v>
      </c>
      <c r="K125" s="6">
        <v>67343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58</v>
      </c>
      <c r="R125" s="4">
        <v>0</v>
      </c>
      <c r="S125" s="4" t="s">
        <v>150</v>
      </c>
      <c r="U125" s="4">
        <v>1</v>
      </c>
      <c r="V125" s="4">
        <v>0</v>
      </c>
      <c r="W125" s="4">
        <v>0</v>
      </c>
    </row>
    <row r="126" spans="1:23" ht="11.25" customHeight="1" x14ac:dyDescent="0.25">
      <c r="A126" s="4" t="s">
        <v>21</v>
      </c>
      <c r="B126" s="4" t="s">
        <v>39</v>
      </c>
      <c r="C126" s="4" t="s">
        <v>40</v>
      </c>
      <c r="D126" s="4" t="s">
        <v>38</v>
      </c>
      <c r="E126" s="4" t="s">
        <v>25</v>
      </c>
      <c r="F126" s="4" t="s">
        <v>25</v>
      </c>
      <c r="G126" s="4" t="s">
        <v>25</v>
      </c>
      <c r="H126" s="4" t="s">
        <v>34</v>
      </c>
      <c r="I126" s="5">
        <v>44621</v>
      </c>
      <c r="J126" s="6">
        <v>1834</v>
      </c>
      <c r="K126" s="6">
        <v>1834</v>
      </c>
      <c r="L126" s="6">
        <v>62.34</v>
      </c>
      <c r="M126" s="6">
        <v>62.34</v>
      </c>
      <c r="N126" s="6">
        <v>62.34</v>
      </c>
      <c r="O126" s="6">
        <v>62.34</v>
      </c>
      <c r="P126" s="6">
        <v>0</v>
      </c>
      <c r="Q126" s="4" t="s">
        <v>26</v>
      </c>
      <c r="R126" s="4">
        <v>0</v>
      </c>
      <c r="S126" s="4" t="s">
        <v>151</v>
      </c>
      <c r="T126" s="4" t="s">
        <v>596</v>
      </c>
      <c r="U126" s="4">
        <v>1</v>
      </c>
      <c r="V126" s="4">
        <v>5</v>
      </c>
      <c r="W126" s="4">
        <v>64</v>
      </c>
    </row>
    <row r="127" spans="1:23" ht="11.25" customHeight="1" x14ac:dyDescent="0.25">
      <c r="A127" s="4" t="s">
        <v>21</v>
      </c>
      <c r="B127" s="4" t="s">
        <v>39</v>
      </c>
      <c r="C127" s="4" t="s">
        <v>40</v>
      </c>
      <c r="D127" s="4" t="s">
        <v>38</v>
      </c>
      <c r="E127" s="4" t="s">
        <v>25</v>
      </c>
      <c r="F127" s="4" t="s">
        <v>25</v>
      </c>
      <c r="G127" s="4" t="s">
        <v>25</v>
      </c>
      <c r="H127" s="4" t="s">
        <v>34</v>
      </c>
      <c r="I127" s="5">
        <v>44621</v>
      </c>
      <c r="J127" s="6">
        <v>67126</v>
      </c>
      <c r="K127" s="6">
        <v>67126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58</v>
      </c>
      <c r="R127" s="4">
        <v>0</v>
      </c>
      <c r="S127" s="4" t="s">
        <v>151</v>
      </c>
      <c r="U127" s="4">
        <v>1</v>
      </c>
      <c r="V127" s="4">
        <v>0</v>
      </c>
      <c r="W127" s="4">
        <v>0</v>
      </c>
    </row>
    <row r="128" spans="1:23" ht="11.25" customHeight="1" x14ac:dyDescent="0.25">
      <c r="A128" s="4" t="s">
        <v>21</v>
      </c>
      <c r="B128" s="4" t="s">
        <v>39</v>
      </c>
      <c r="C128" s="4" t="s">
        <v>40</v>
      </c>
      <c r="D128" s="4" t="s">
        <v>38</v>
      </c>
      <c r="E128" s="4" t="s">
        <v>25</v>
      </c>
      <c r="F128" s="4" t="s">
        <v>25</v>
      </c>
      <c r="G128" s="4" t="s">
        <v>25</v>
      </c>
      <c r="H128" s="4" t="s">
        <v>34</v>
      </c>
      <c r="I128" s="5">
        <v>44652</v>
      </c>
      <c r="J128" s="6">
        <v>1798</v>
      </c>
      <c r="K128" s="6">
        <v>1798</v>
      </c>
      <c r="L128" s="6">
        <v>83.822999999999993</v>
      </c>
      <c r="M128" s="6">
        <v>83.822999999999993</v>
      </c>
      <c r="N128" s="6">
        <v>83.822999999999993</v>
      </c>
      <c r="O128" s="6">
        <v>83.822999999999993</v>
      </c>
      <c r="P128" s="6">
        <v>0</v>
      </c>
      <c r="Q128" s="4" t="s">
        <v>26</v>
      </c>
      <c r="R128" s="4">
        <v>0</v>
      </c>
      <c r="S128" s="4" t="s">
        <v>152</v>
      </c>
      <c r="T128" s="4" t="s">
        <v>597</v>
      </c>
      <c r="U128" s="4">
        <v>1</v>
      </c>
      <c r="V128" s="4">
        <v>5</v>
      </c>
      <c r="W128" s="4">
        <v>64</v>
      </c>
    </row>
    <row r="129" spans="1:23" ht="11.25" customHeight="1" x14ac:dyDescent="0.25">
      <c r="A129" s="4" t="s">
        <v>21</v>
      </c>
      <c r="B129" s="4" t="s">
        <v>39</v>
      </c>
      <c r="C129" s="4" t="s">
        <v>40</v>
      </c>
      <c r="D129" s="4" t="s">
        <v>38</v>
      </c>
      <c r="E129" s="4" t="s">
        <v>25</v>
      </c>
      <c r="F129" s="4" t="s">
        <v>25</v>
      </c>
      <c r="G129" s="4" t="s">
        <v>25</v>
      </c>
      <c r="H129" s="4" t="s">
        <v>34</v>
      </c>
      <c r="I129" s="5">
        <v>44652</v>
      </c>
      <c r="J129" s="6">
        <v>67761</v>
      </c>
      <c r="K129" s="6">
        <v>67761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58</v>
      </c>
      <c r="R129" s="4">
        <v>0</v>
      </c>
      <c r="S129" s="4" t="s">
        <v>152</v>
      </c>
      <c r="U129" s="4">
        <v>1</v>
      </c>
      <c r="V129" s="4">
        <v>0</v>
      </c>
      <c r="W129" s="4">
        <v>0</v>
      </c>
    </row>
    <row r="130" spans="1:23" ht="11.25" customHeight="1" x14ac:dyDescent="0.25">
      <c r="A130" s="4" t="s">
        <v>21</v>
      </c>
      <c r="B130" s="4" t="s">
        <v>39</v>
      </c>
      <c r="C130" s="4" t="s">
        <v>40</v>
      </c>
      <c r="D130" s="4" t="s">
        <v>38</v>
      </c>
      <c r="E130" s="4" t="s">
        <v>25</v>
      </c>
      <c r="F130" s="4" t="s">
        <v>25</v>
      </c>
      <c r="G130" s="4" t="s">
        <v>25</v>
      </c>
      <c r="H130" s="4" t="s">
        <v>34</v>
      </c>
      <c r="I130" s="5">
        <v>44682</v>
      </c>
      <c r="J130" s="6">
        <v>2625</v>
      </c>
      <c r="K130" s="6">
        <v>2625</v>
      </c>
      <c r="L130" s="6">
        <v>84.878</v>
      </c>
      <c r="M130" s="6">
        <v>84.878</v>
      </c>
      <c r="N130" s="6">
        <v>84.878</v>
      </c>
      <c r="O130" s="6">
        <v>84.878</v>
      </c>
      <c r="P130" s="6">
        <v>0</v>
      </c>
      <c r="Q130" s="4" t="s">
        <v>26</v>
      </c>
      <c r="R130" s="4">
        <v>0</v>
      </c>
      <c r="S130" s="4" t="s">
        <v>153</v>
      </c>
      <c r="T130" s="4" t="s">
        <v>598</v>
      </c>
      <c r="U130" s="4">
        <v>1</v>
      </c>
      <c r="V130" s="4">
        <v>5</v>
      </c>
      <c r="W130" s="4">
        <v>64</v>
      </c>
    </row>
    <row r="131" spans="1:23" ht="11.25" customHeight="1" x14ac:dyDescent="0.25">
      <c r="A131" s="4" t="s">
        <v>21</v>
      </c>
      <c r="B131" s="4" t="s">
        <v>39</v>
      </c>
      <c r="C131" s="4" t="s">
        <v>40</v>
      </c>
      <c r="D131" s="4" t="s">
        <v>38</v>
      </c>
      <c r="E131" s="4" t="s">
        <v>25</v>
      </c>
      <c r="F131" s="4" t="s">
        <v>25</v>
      </c>
      <c r="G131" s="4" t="s">
        <v>25</v>
      </c>
      <c r="H131" s="4" t="s">
        <v>34</v>
      </c>
      <c r="I131" s="5">
        <v>44682</v>
      </c>
      <c r="J131" s="6">
        <v>67717</v>
      </c>
      <c r="K131" s="6">
        <v>67717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58</v>
      </c>
      <c r="R131" s="4">
        <v>0</v>
      </c>
      <c r="S131" s="4" t="s">
        <v>153</v>
      </c>
      <c r="U131" s="4">
        <v>1</v>
      </c>
      <c r="V131" s="4">
        <v>0</v>
      </c>
      <c r="W131" s="4">
        <v>0</v>
      </c>
    </row>
    <row r="132" spans="1:23" ht="11.25" customHeight="1" x14ac:dyDescent="0.25">
      <c r="A132" s="4" t="s">
        <v>21</v>
      </c>
      <c r="B132" s="4" t="s">
        <v>39</v>
      </c>
      <c r="C132" s="4" t="s">
        <v>40</v>
      </c>
      <c r="D132" s="4" t="s">
        <v>38</v>
      </c>
      <c r="E132" s="4" t="s">
        <v>25</v>
      </c>
      <c r="F132" s="4" t="s">
        <v>25</v>
      </c>
      <c r="G132" s="4" t="s">
        <v>25</v>
      </c>
      <c r="H132" s="4" t="s">
        <v>34</v>
      </c>
      <c r="I132" s="5">
        <v>44713</v>
      </c>
      <c r="J132" s="6">
        <v>2294</v>
      </c>
      <c r="K132" s="6">
        <v>2294</v>
      </c>
      <c r="L132" s="6">
        <v>112.01900000000001</v>
      </c>
      <c r="M132" s="6">
        <v>112.01900000000001</v>
      </c>
      <c r="N132" s="6">
        <v>112.01900000000001</v>
      </c>
      <c r="O132" s="6">
        <v>112.01900000000001</v>
      </c>
      <c r="P132" s="6">
        <v>0</v>
      </c>
      <c r="Q132" s="4" t="s">
        <v>26</v>
      </c>
      <c r="R132" s="4">
        <v>0</v>
      </c>
      <c r="S132" s="4" t="s">
        <v>154</v>
      </c>
      <c r="T132" s="4" t="s">
        <v>599</v>
      </c>
      <c r="U132" s="4">
        <v>1</v>
      </c>
      <c r="V132" s="4">
        <v>5</v>
      </c>
      <c r="W132" s="4">
        <v>64</v>
      </c>
    </row>
    <row r="133" spans="1:23" ht="11.25" customHeight="1" x14ac:dyDescent="0.25">
      <c r="A133" s="4" t="s">
        <v>21</v>
      </c>
      <c r="B133" s="4" t="s">
        <v>39</v>
      </c>
      <c r="C133" s="4" t="s">
        <v>40</v>
      </c>
      <c r="D133" s="4" t="s">
        <v>38</v>
      </c>
      <c r="E133" s="4" t="s">
        <v>25</v>
      </c>
      <c r="F133" s="4" t="s">
        <v>25</v>
      </c>
      <c r="G133" s="4" t="s">
        <v>25</v>
      </c>
      <c r="H133" s="4" t="s">
        <v>34</v>
      </c>
      <c r="I133" s="5">
        <v>44713</v>
      </c>
      <c r="J133" s="6">
        <v>67801</v>
      </c>
      <c r="K133" s="6">
        <v>67801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58</v>
      </c>
      <c r="R133" s="4">
        <v>0</v>
      </c>
      <c r="S133" s="4" t="s">
        <v>154</v>
      </c>
      <c r="U133" s="4">
        <v>1</v>
      </c>
      <c r="V133" s="4">
        <v>0</v>
      </c>
      <c r="W133" s="4">
        <v>0</v>
      </c>
    </row>
    <row r="134" spans="1:23" ht="11.25" customHeight="1" x14ac:dyDescent="0.25">
      <c r="A134" s="4" t="s">
        <v>57</v>
      </c>
      <c r="B134" s="4" t="s">
        <v>39</v>
      </c>
      <c r="C134" s="4" t="s">
        <v>40</v>
      </c>
      <c r="D134" s="4" t="s">
        <v>38</v>
      </c>
      <c r="E134" s="4" t="s">
        <v>25</v>
      </c>
      <c r="F134" s="4" t="s">
        <v>25</v>
      </c>
      <c r="G134" s="4" t="s">
        <v>25</v>
      </c>
      <c r="H134" s="4" t="s">
        <v>34</v>
      </c>
      <c r="I134" s="5">
        <v>44743</v>
      </c>
      <c r="J134" s="6">
        <v>2294</v>
      </c>
      <c r="K134" s="6">
        <v>2294</v>
      </c>
      <c r="L134" s="6">
        <v>112.01900000000001</v>
      </c>
      <c r="M134" s="6">
        <v>112.01900000000001</v>
      </c>
      <c r="N134" s="6">
        <v>112.01900000000001</v>
      </c>
      <c r="O134" s="6">
        <v>112.01900000000001</v>
      </c>
      <c r="P134" s="6">
        <v>0</v>
      </c>
      <c r="Q134" s="4" t="s">
        <v>26</v>
      </c>
      <c r="R134" s="4">
        <v>0</v>
      </c>
      <c r="S134" s="4" t="s">
        <v>155</v>
      </c>
      <c r="T134" s="4" t="s">
        <v>600</v>
      </c>
      <c r="U134" s="4">
        <v>1</v>
      </c>
      <c r="V134" s="4">
        <v>5</v>
      </c>
      <c r="W134" s="4">
        <v>64</v>
      </c>
    </row>
    <row r="135" spans="1:23" ht="11.25" customHeight="1" x14ac:dyDescent="0.25">
      <c r="A135" s="4" t="s">
        <v>57</v>
      </c>
      <c r="B135" s="4" t="s">
        <v>39</v>
      </c>
      <c r="C135" s="4" t="s">
        <v>40</v>
      </c>
      <c r="D135" s="4" t="s">
        <v>38</v>
      </c>
      <c r="E135" s="4" t="s">
        <v>25</v>
      </c>
      <c r="F135" s="4" t="s">
        <v>25</v>
      </c>
      <c r="G135" s="4" t="s">
        <v>25</v>
      </c>
      <c r="H135" s="4" t="s">
        <v>34</v>
      </c>
      <c r="I135" s="5">
        <v>44743</v>
      </c>
      <c r="J135" s="6">
        <v>67801</v>
      </c>
      <c r="K135" s="6">
        <v>67801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58</v>
      </c>
      <c r="R135" s="4">
        <v>0</v>
      </c>
      <c r="S135" s="4" t="s">
        <v>155</v>
      </c>
      <c r="U135" s="4">
        <v>1</v>
      </c>
      <c r="V135" s="4">
        <v>0</v>
      </c>
      <c r="W135" s="4">
        <v>0</v>
      </c>
    </row>
    <row r="136" spans="1:23" ht="11.25" customHeight="1" x14ac:dyDescent="0.25">
      <c r="A136" s="4" t="s">
        <v>21</v>
      </c>
      <c r="B136" s="4" t="s">
        <v>39</v>
      </c>
      <c r="C136" s="4" t="s">
        <v>40</v>
      </c>
      <c r="D136" s="4" t="s">
        <v>45</v>
      </c>
      <c r="E136" s="4" t="s">
        <v>25</v>
      </c>
      <c r="F136" s="4" t="s">
        <v>25</v>
      </c>
      <c r="G136" s="4" t="s">
        <v>25</v>
      </c>
      <c r="H136" s="4" t="s">
        <v>35</v>
      </c>
      <c r="I136" s="5">
        <v>44409</v>
      </c>
      <c r="J136" s="6">
        <v>1365</v>
      </c>
      <c r="K136" s="6">
        <v>1310.4000000000001</v>
      </c>
      <c r="L136" s="6">
        <v>472.5</v>
      </c>
      <c r="M136" s="6">
        <v>453.6</v>
      </c>
      <c r="N136" s="6">
        <v>472.5</v>
      </c>
      <c r="O136" s="6">
        <v>453.6</v>
      </c>
      <c r="P136" s="6">
        <v>0</v>
      </c>
      <c r="Q136" s="4" t="s">
        <v>26</v>
      </c>
      <c r="R136" s="4">
        <v>0</v>
      </c>
      <c r="S136" s="4" t="s">
        <v>120</v>
      </c>
      <c r="T136" s="4" t="s">
        <v>577</v>
      </c>
      <c r="U136" s="4">
        <v>3</v>
      </c>
      <c r="V136" s="4">
        <v>5</v>
      </c>
      <c r="W136" s="4">
        <v>65</v>
      </c>
    </row>
    <row r="137" spans="1:23" ht="11.25" customHeight="1" x14ac:dyDescent="0.25">
      <c r="A137" s="4" t="s">
        <v>21</v>
      </c>
      <c r="B137" s="4" t="s">
        <v>39</v>
      </c>
      <c r="C137" s="4" t="s">
        <v>40</v>
      </c>
      <c r="D137" s="4" t="s">
        <v>45</v>
      </c>
      <c r="E137" s="4" t="s">
        <v>25</v>
      </c>
      <c r="F137" s="4" t="s">
        <v>25</v>
      </c>
      <c r="G137" s="4" t="s">
        <v>25</v>
      </c>
      <c r="H137" s="4" t="s">
        <v>35</v>
      </c>
      <c r="I137" s="5">
        <v>44440</v>
      </c>
      <c r="J137" s="6">
        <v>1400</v>
      </c>
      <c r="K137" s="6">
        <v>1344</v>
      </c>
      <c r="L137" s="6">
        <v>619.5</v>
      </c>
      <c r="M137" s="6">
        <v>594.72</v>
      </c>
      <c r="N137" s="6">
        <v>619.5</v>
      </c>
      <c r="O137" s="6">
        <v>594.72</v>
      </c>
      <c r="P137" s="6">
        <v>0</v>
      </c>
      <c r="Q137" s="4" t="s">
        <v>26</v>
      </c>
      <c r="R137" s="4">
        <v>0</v>
      </c>
      <c r="S137" s="4" t="s">
        <v>121</v>
      </c>
      <c r="T137" s="4" t="s">
        <v>578</v>
      </c>
      <c r="U137" s="4">
        <v>3</v>
      </c>
      <c r="V137" s="4">
        <v>5</v>
      </c>
      <c r="W137" s="4">
        <v>65</v>
      </c>
    </row>
    <row r="138" spans="1:23" ht="11.25" customHeight="1" x14ac:dyDescent="0.25">
      <c r="A138" s="4" t="s">
        <v>21</v>
      </c>
      <c r="B138" s="4" t="s">
        <v>39</v>
      </c>
      <c r="C138" s="4" t="s">
        <v>40</v>
      </c>
      <c r="D138" s="4" t="s">
        <v>45</v>
      </c>
      <c r="E138" s="4" t="s">
        <v>25</v>
      </c>
      <c r="F138" s="4" t="s">
        <v>25</v>
      </c>
      <c r="G138" s="4" t="s">
        <v>25</v>
      </c>
      <c r="H138" s="4" t="s">
        <v>35</v>
      </c>
      <c r="I138" s="5">
        <v>44470</v>
      </c>
      <c r="J138" s="6">
        <v>1365</v>
      </c>
      <c r="K138" s="6">
        <v>1310.4000000000001</v>
      </c>
      <c r="L138" s="6">
        <v>675.5</v>
      </c>
      <c r="M138" s="6">
        <v>648.48</v>
      </c>
      <c r="N138" s="6">
        <v>675.5</v>
      </c>
      <c r="O138" s="6">
        <v>648.48</v>
      </c>
      <c r="P138" s="6">
        <v>0</v>
      </c>
      <c r="Q138" s="4" t="s">
        <v>26</v>
      </c>
      <c r="R138" s="4">
        <v>0</v>
      </c>
      <c r="S138" s="4" t="s">
        <v>122</v>
      </c>
      <c r="T138" s="4" t="s">
        <v>579</v>
      </c>
      <c r="U138" s="4">
        <v>3</v>
      </c>
      <c r="V138" s="4">
        <v>5</v>
      </c>
      <c r="W138" s="4">
        <v>65</v>
      </c>
    </row>
    <row r="139" spans="1:23" ht="11.25" customHeight="1" x14ac:dyDescent="0.25">
      <c r="A139" s="4" t="s">
        <v>21</v>
      </c>
      <c r="B139" s="4" t="s">
        <v>39</v>
      </c>
      <c r="C139" s="4" t="s">
        <v>40</v>
      </c>
      <c r="D139" s="4" t="s">
        <v>45</v>
      </c>
      <c r="E139" s="4" t="s">
        <v>25</v>
      </c>
      <c r="F139" s="4" t="s">
        <v>25</v>
      </c>
      <c r="G139" s="4" t="s">
        <v>25</v>
      </c>
      <c r="H139" s="4" t="s">
        <v>35</v>
      </c>
      <c r="I139" s="5">
        <v>44501</v>
      </c>
      <c r="J139" s="6">
        <v>1365</v>
      </c>
      <c r="K139" s="6">
        <v>1310.4000000000001</v>
      </c>
      <c r="L139" s="6">
        <v>668.5</v>
      </c>
      <c r="M139" s="6">
        <v>641.76</v>
      </c>
      <c r="N139" s="6">
        <v>668.5</v>
      </c>
      <c r="O139" s="6">
        <v>641.76</v>
      </c>
      <c r="P139" s="6">
        <v>0</v>
      </c>
      <c r="Q139" s="4" t="s">
        <v>26</v>
      </c>
      <c r="R139" s="4">
        <v>0</v>
      </c>
      <c r="S139" s="4" t="s">
        <v>123</v>
      </c>
      <c r="T139" s="4" t="s">
        <v>580</v>
      </c>
      <c r="U139" s="4">
        <v>3</v>
      </c>
      <c r="V139" s="4">
        <v>5</v>
      </c>
      <c r="W139" s="4">
        <v>65</v>
      </c>
    </row>
    <row r="140" spans="1:23" ht="11.25" customHeight="1" x14ac:dyDescent="0.25">
      <c r="A140" s="4" t="s">
        <v>21</v>
      </c>
      <c r="B140" s="4" t="s">
        <v>39</v>
      </c>
      <c r="C140" s="4" t="s">
        <v>40</v>
      </c>
      <c r="D140" s="4" t="s">
        <v>45</v>
      </c>
      <c r="E140" s="4" t="s">
        <v>25</v>
      </c>
      <c r="F140" s="4" t="s">
        <v>25</v>
      </c>
      <c r="G140" s="4" t="s">
        <v>25</v>
      </c>
      <c r="H140" s="4" t="s">
        <v>35</v>
      </c>
      <c r="I140" s="5">
        <v>44531</v>
      </c>
      <c r="J140" s="6">
        <v>1365</v>
      </c>
      <c r="K140" s="6">
        <v>1310.4000000000001</v>
      </c>
      <c r="L140" s="6">
        <v>574</v>
      </c>
      <c r="M140" s="6">
        <v>551.04</v>
      </c>
      <c r="N140" s="6">
        <v>574</v>
      </c>
      <c r="O140" s="6">
        <v>551.04</v>
      </c>
      <c r="P140" s="6">
        <v>0</v>
      </c>
      <c r="Q140" s="4" t="s">
        <v>26</v>
      </c>
      <c r="R140" s="4">
        <v>0</v>
      </c>
      <c r="S140" s="4" t="s">
        <v>124</v>
      </c>
      <c r="T140" s="4" t="s">
        <v>581</v>
      </c>
      <c r="U140" s="4">
        <v>3</v>
      </c>
      <c r="V140" s="4">
        <v>5</v>
      </c>
      <c r="W140" s="4">
        <v>65</v>
      </c>
    </row>
    <row r="141" spans="1:23" ht="11.25" customHeight="1" x14ac:dyDescent="0.25">
      <c r="A141" s="4" t="s">
        <v>21</v>
      </c>
      <c r="B141" s="4" t="s">
        <v>39</v>
      </c>
      <c r="C141" s="4" t="s">
        <v>40</v>
      </c>
      <c r="D141" s="4" t="s">
        <v>45</v>
      </c>
      <c r="E141" s="4" t="s">
        <v>25</v>
      </c>
      <c r="F141" s="4" t="s">
        <v>25</v>
      </c>
      <c r="G141" s="4" t="s">
        <v>25</v>
      </c>
      <c r="H141" s="4" t="s">
        <v>35</v>
      </c>
      <c r="I141" s="5">
        <v>44562</v>
      </c>
      <c r="J141" s="6">
        <v>1372</v>
      </c>
      <c r="K141" s="6">
        <v>1317.12</v>
      </c>
      <c r="L141" s="6">
        <v>153.733</v>
      </c>
      <c r="M141" s="6">
        <v>147.58367999999999</v>
      </c>
      <c r="N141" s="6">
        <v>153.733</v>
      </c>
      <c r="O141" s="6">
        <v>147.58367999999999</v>
      </c>
      <c r="P141" s="6">
        <v>0</v>
      </c>
      <c r="Q141" s="4" t="s">
        <v>26</v>
      </c>
      <c r="R141" s="4">
        <v>0</v>
      </c>
      <c r="S141" s="4" t="s">
        <v>125</v>
      </c>
      <c r="T141" s="4" t="s">
        <v>582</v>
      </c>
      <c r="U141" s="4">
        <v>3</v>
      </c>
      <c r="V141" s="4">
        <v>5</v>
      </c>
      <c r="W141" s="4">
        <v>65</v>
      </c>
    </row>
    <row r="142" spans="1:23" ht="11.25" customHeight="1" x14ac:dyDescent="0.25">
      <c r="A142" s="4" t="s">
        <v>21</v>
      </c>
      <c r="B142" s="4" t="s">
        <v>39</v>
      </c>
      <c r="C142" s="4" t="s">
        <v>40</v>
      </c>
      <c r="D142" s="4" t="s">
        <v>45</v>
      </c>
      <c r="E142" s="4" t="s">
        <v>25</v>
      </c>
      <c r="F142" s="4" t="s">
        <v>25</v>
      </c>
      <c r="G142" s="4" t="s">
        <v>25</v>
      </c>
      <c r="H142" s="4" t="s">
        <v>35</v>
      </c>
      <c r="I142" s="5">
        <v>44593</v>
      </c>
      <c r="J142" s="6">
        <v>1380</v>
      </c>
      <c r="K142" s="6">
        <v>1324.8</v>
      </c>
      <c r="L142" s="6">
        <v>304</v>
      </c>
      <c r="M142" s="6">
        <v>291.83999999999997</v>
      </c>
      <c r="N142" s="6">
        <v>304</v>
      </c>
      <c r="O142" s="6">
        <v>291.83999999999997</v>
      </c>
      <c r="P142" s="6">
        <v>0</v>
      </c>
      <c r="Q142" s="4" t="s">
        <v>26</v>
      </c>
      <c r="R142" s="4">
        <v>0</v>
      </c>
      <c r="S142" s="4" t="s">
        <v>126</v>
      </c>
      <c r="T142" s="4" t="s">
        <v>583</v>
      </c>
      <c r="U142" s="4">
        <v>3</v>
      </c>
      <c r="V142" s="4">
        <v>5</v>
      </c>
      <c r="W142" s="4">
        <v>65</v>
      </c>
    </row>
    <row r="143" spans="1:23" ht="11.25" customHeight="1" x14ac:dyDescent="0.25">
      <c r="A143" s="4" t="s">
        <v>21</v>
      </c>
      <c r="B143" s="4" t="s">
        <v>39</v>
      </c>
      <c r="C143" s="4" t="s">
        <v>40</v>
      </c>
      <c r="D143" s="4" t="s">
        <v>45</v>
      </c>
      <c r="E143" s="4" t="s">
        <v>25</v>
      </c>
      <c r="F143" s="4" t="s">
        <v>25</v>
      </c>
      <c r="G143" s="4" t="s">
        <v>25</v>
      </c>
      <c r="H143" s="4" t="s">
        <v>35</v>
      </c>
      <c r="I143" s="5">
        <v>44621</v>
      </c>
      <c r="J143" s="6">
        <v>1372</v>
      </c>
      <c r="K143" s="6">
        <v>1317.12</v>
      </c>
      <c r="L143" s="6">
        <v>218.36199999999999</v>
      </c>
      <c r="M143" s="6">
        <v>209.62752</v>
      </c>
      <c r="N143" s="6">
        <v>218.36199999999999</v>
      </c>
      <c r="O143" s="6">
        <v>209.62752</v>
      </c>
      <c r="P143" s="6">
        <v>0</v>
      </c>
      <c r="Q143" s="4" t="s">
        <v>26</v>
      </c>
      <c r="R143" s="4">
        <v>0</v>
      </c>
      <c r="S143" s="4" t="s">
        <v>127</v>
      </c>
      <c r="T143" s="4" t="s">
        <v>584</v>
      </c>
      <c r="U143" s="4">
        <v>3</v>
      </c>
      <c r="V143" s="4">
        <v>5</v>
      </c>
      <c r="W143" s="4">
        <v>65</v>
      </c>
    </row>
    <row r="144" spans="1:23" ht="11.25" customHeight="1" x14ac:dyDescent="0.25">
      <c r="A144" s="4" t="s">
        <v>21</v>
      </c>
      <c r="B144" s="4" t="s">
        <v>39</v>
      </c>
      <c r="C144" s="4" t="s">
        <v>40</v>
      </c>
      <c r="D144" s="4" t="s">
        <v>45</v>
      </c>
      <c r="E144" s="4" t="s">
        <v>25</v>
      </c>
      <c r="F144" s="4" t="s">
        <v>25</v>
      </c>
      <c r="G144" s="4" t="s">
        <v>25</v>
      </c>
      <c r="H144" s="4" t="s">
        <v>35</v>
      </c>
      <c r="I144" s="5">
        <v>44652</v>
      </c>
      <c r="J144" s="6">
        <v>1363</v>
      </c>
      <c r="K144" s="6">
        <v>1308.48</v>
      </c>
      <c r="L144" s="6">
        <v>180.59800000000001</v>
      </c>
      <c r="M144" s="6">
        <v>173.37407999999999</v>
      </c>
      <c r="N144" s="6">
        <v>180.59800000000001</v>
      </c>
      <c r="O144" s="6">
        <v>173.37407999999999</v>
      </c>
      <c r="P144" s="6">
        <v>0</v>
      </c>
      <c r="Q144" s="4" t="s">
        <v>26</v>
      </c>
      <c r="R144" s="4">
        <v>0</v>
      </c>
      <c r="S144" s="4" t="s">
        <v>128</v>
      </c>
      <c r="T144" s="4" t="s">
        <v>585</v>
      </c>
      <c r="U144" s="4">
        <v>3</v>
      </c>
      <c r="V144" s="4">
        <v>5</v>
      </c>
      <c r="W144" s="4">
        <v>65</v>
      </c>
    </row>
    <row r="145" spans="1:23" ht="11.25" customHeight="1" x14ac:dyDescent="0.25">
      <c r="A145" s="4" t="s">
        <v>21</v>
      </c>
      <c r="B145" s="4" t="s">
        <v>39</v>
      </c>
      <c r="C145" s="4" t="s">
        <v>40</v>
      </c>
      <c r="D145" s="4" t="s">
        <v>45</v>
      </c>
      <c r="E145" s="4" t="s">
        <v>25</v>
      </c>
      <c r="F145" s="4" t="s">
        <v>25</v>
      </c>
      <c r="G145" s="4" t="s">
        <v>25</v>
      </c>
      <c r="H145" s="4" t="s">
        <v>35</v>
      </c>
      <c r="I145" s="5">
        <v>44682</v>
      </c>
      <c r="J145" s="6">
        <v>1374</v>
      </c>
      <c r="K145" s="6">
        <v>1319.04</v>
      </c>
      <c r="L145" s="6">
        <v>253.95599999999999</v>
      </c>
      <c r="M145" s="6">
        <v>243.79776000000001</v>
      </c>
      <c r="N145" s="6">
        <v>253.95599999999999</v>
      </c>
      <c r="O145" s="6">
        <v>243.79776000000001</v>
      </c>
      <c r="P145" s="6">
        <v>0</v>
      </c>
      <c r="Q145" s="4" t="s">
        <v>26</v>
      </c>
      <c r="R145" s="4">
        <v>0</v>
      </c>
      <c r="S145" s="4" t="s">
        <v>129</v>
      </c>
      <c r="T145" s="4" t="s">
        <v>586</v>
      </c>
      <c r="U145" s="4">
        <v>3</v>
      </c>
      <c r="V145" s="4">
        <v>5</v>
      </c>
      <c r="W145" s="4">
        <v>65</v>
      </c>
    </row>
    <row r="146" spans="1:23" ht="11.25" customHeight="1" x14ac:dyDescent="0.25">
      <c r="A146" s="4" t="s">
        <v>21</v>
      </c>
      <c r="B146" s="4" t="s">
        <v>39</v>
      </c>
      <c r="C146" s="4" t="s">
        <v>40</v>
      </c>
      <c r="D146" s="4" t="s">
        <v>45</v>
      </c>
      <c r="E146" s="4" t="s">
        <v>25</v>
      </c>
      <c r="F146" s="4" t="s">
        <v>25</v>
      </c>
      <c r="G146" s="4" t="s">
        <v>25</v>
      </c>
      <c r="H146" s="4" t="s">
        <v>35</v>
      </c>
      <c r="I146" s="5">
        <v>44713</v>
      </c>
      <c r="J146" s="6">
        <v>1363</v>
      </c>
      <c r="K146" s="6">
        <v>1308.48</v>
      </c>
      <c r="L146" s="6">
        <v>198.58600000000001</v>
      </c>
      <c r="M146" s="6">
        <v>190.64256</v>
      </c>
      <c r="N146" s="6">
        <v>198.58600000000001</v>
      </c>
      <c r="O146" s="6">
        <v>190.64256</v>
      </c>
      <c r="P146" s="6">
        <v>0</v>
      </c>
      <c r="Q146" s="4" t="s">
        <v>26</v>
      </c>
      <c r="R146" s="4">
        <v>0</v>
      </c>
      <c r="S146" s="4" t="s">
        <v>130</v>
      </c>
      <c r="T146" s="4" t="s">
        <v>587</v>
      </c>
      <c r="U146" s="4">
        <v>3</v>
      </c>
      <c r="V146" s="4">
        <v>5</v>
      </c>
      <c r="W146" s="4">
        <v>65</v>
      </c>
    </row>
    <row r="147" spans="1:23" ht="11.25" customHeight="1" x14ac:dyDescent="0.25">
      <c r="A147" s="4" t="s">
        <v>57</v>
      </c>
      <c r="B147" s="4" t="s">
        <v>39</v>
      </c>
      <c r="C147" s="4" t="s">
        <v>40</v>
      </c>
      <c r="D147" s="4" t="s">
        <v>45</v>
      </c>
      <c r="E147" s="4" t="s">
        <v>25</v>
      </c>
      <c r="F147" s="4" t="s">
        <v>25</v>
      </c>
      <c r="G147" s="4" t="s">
        <v>25</v>
      </c>
      <c r="H147" s="4" t="s">
        <v>35</v>
      </c>
      <c r="I147" s="5">
        <v>44743</v>
      </c>
      <c r="J147" s="6">
        <v>1363</v>
      </c>
      <c r="K147" s="6">
        <v>1308.48</v>
      </c>
      <c r="L147" s="6">
        <v>198.58600000000001</v>
      </c>
      <c r="M147" s="6">
        <v>190.64256</v>
      </c>
      <c r="N147" s="6">
        <v>198.58600000000001</v>
      </c>
      <c r="O147" s="6">
        <v>190.64256</v>
      </c>
      <c r="P147" s="6">
        <v>0</v>
      </c>
      <c r="Q147" s="4" t="s">
        <v>26</v>
      </c>
      <c r="R147" s="4">
        <v>0</v>
      </c>
      <c r="S147" s="4" t="s">
        <v>131</v>
      </c>
      <c r="T147" s="4" t="s">
        <v>588</v>
      </c>
      <c r="U147" s="4">
        <v>3</v>
      </c>
      <c r="V147" s="4">
        <v>5</v>
      </c>
      <c r="W147" s="4">
        <v>65</v>
      </c>
    </row>
    <row r="148" spans="1:23" ht="11.25" customHeight="1" x14ac:dyDescent="0.25">
      <c r="A148" s="4" t="s">
        <v>21</v>
      </c>
      <c r="B148" s="4" t="s">
        <v>39</v>
      </c>
      <c r="C148" s="4" t="s">
        <v>40</v>
      </c>
      <c r="D148" s="4" t="s">
        <v>45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44409</v>
      </c>
      <c r="J148" s="6">
        <v>24</v>
      </c>
      <c r="K148" s="6">
        <v>23.04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26</v>
      </c>
      <c r="R148" s="4">
        <v>0</v>
      </c>
      <c r="S148" s="4" t="s">
        <v>144</v>
      </c>
      <c r="T148" s="4" t="s">
        <v>589</v>
      </c>
      <c r="U148" s="4">
        <v>1</v>
      </c>
      <c r="V148" s="4">
        <v>0</v>
      </c>
      <c r="W148" s="4">
        <v>0</v>
      </c>
    </row>
    <row r="149" spans="1:23" ht="11.25" customHeight="1" x14ac:dyDescent="0.25">
      <c r="A149" s="4" t="s">
        <v>21</v>
      </c>
      <c r="B149" s="4" t="s">
        <v>39</v>
      </c>
      <c r="C149" s="4" t="s">
        <v>40</v>
      </c>
      <c r="D149" s="4" t="s">
        <v>45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44440</v>
      </c>
      <c r="J149" s="6">
        <v>35</v>
      </c>
      <c r="K149" s="6">
        <v>33.6</v>
      </c>
      <c r="L149" s="6">
        <v>3.5</v>
      </c>
      <c r="M149" s="6">
        <v>3.36</v>
      </c>
      <c r="N149" s="6">
        <v>3.5</v>
      </c>
      <c r="O149" s="6">
        <v>3.36</v>
      </c>
      <c r="P149" s="6">
        <v>0</v>
      </c>
      <c r="Q149" s="4" t="s">
        <v>26</v>
      </c>
      <c r="R149" s="4">
        <v>0</v>
      </c>
      <c r="S149" s="4" t="s">
        <v>145</v>
      </c>
      <c r="T149" s="4" t="s">
        <v>590</v>
      </c>
      <c r="U149" s="4">
        <v>1</v>
      </c>
      <c r="V149" s="4">
        <v>5</v>
      </c>
      <c r="W149" s="4">
        <v>64</v>
      </c>
    </row>
    <row r="150" spans="1:23" ht="11.25" customHeight="1" x14ac:dyDescent="0.25">
      <c r="A150" s="4" t="s">
        <v>21</v>
      </c>
      <c r="B150" s="4" t="s">
        <v>39</v>
      </c>
      <c r="C150" s="4" t="s">
        <v>40</v>
      </c>
      <c r="D150" s="4" t="s">
        <v>45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44470</v>
      </c>
      <c r="J150" s="6">
        <v>105</v>
      </c>
      <c r="K150" s="6">
        <v>100.8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26</v>
      </c>
      <c r="R150" s="4">
        <v>0</v>
      </c>
      <c r="S150" s="4" t="s">
        <v>146</v>
      </c>
      <c r="T150" s="4" t="s">
        <v>591</v>
      </c>
      <c r="U150" s="4">
        <v>1</v>
      </c>
      <c r="V150" s="4">
        <v>0</v>
      </c>
      <c r="W150" s="4">
        <v>0</v>
      </c>
    </row>
    <row r="151" spans="1:23" ht="11.25" customHeight="1" x14ac:dyDescent="0.25">
      <c r="A151" s="4" t="s">
        <v>21</v>
      </c>
      <c r="B151" s="4" t="s">
        <v>39</v>
      </c>
      <c r="C151" s="4" t="s">
        <v>40</v>
      </c>
      <c r="D151" s="4" t="s">
        <v>45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44501</v>
      </c>
      <c r="J151" s="6">
        <v>140</v>
      </c>
      <c r="K151" s="6">
        <v>134.4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26</v>
      </c>
      <c r="R151" s="4">
        <v>0</v>
      </c>
      <c r="S151" s="4" t="s">
        <v>147</v>
      </c>
      <c r="T151" s="4" t="s">
        <v>592</v>
      </c>
      <c r="U151" s="4">
        <v>1</v>
      </c>
      <c r="V151" s="4">
        <v>0</v>
      </c>
      <c r="W151" s="4">
        <v>0</v>
      </c>
    </row>
    <row r="152" spans="1:23" ht="11.25" customHeight="1" x14ac:dyDescent="0.25">
      <c r="A152" s="4" t="s">
        <v>21</v>
      </c>
      <c r="B152" s="4" t="s">
        <v>39</v>
      </c>
      <c r="C152" s="4" t="s">
        <v>40</v>
      </c>
      <c r="D152" s="4" t="s">
        <v>45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44531</v>
      </c>
      <c r="J152" s="6">
        <v>210</v>
      </c>
      <c r="K152" s="6">
        <v>201.6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26</v>
      </c>
      <c r="R152" s="4">
        <v>0</v>
      </c>
      <c r="S152" s="4" t="s">
        <v>148</v>
      </c>
      <c r="T152" s="4" t="s">
        <v>593</v>
      </c>
      <c r="U152" s="4">
        <v>1</v>
      </c>
      <c r="V152" s="4">
        <v>0</v>
      </c>
      <c r="W152" s="4">
        <v>0</v>
      </c>
    </row>
    <row r="153" spans="1:23" ht="11.25" customHeight="1" x14ac:dyDescent="0.25">
      <c r="A153" s="4" t="s">
        <v>21</v>
      </c>
      <c r="B153" s="4" t="s">
        <v>39</v>
      </c>
      <c r="C153" s="4" t="s">
        <v>40</v>
      </c>
      <c r="D153" s="4" t="s">
        <v>45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44562</v>
      </c>
      <c r="J153" s="6">
        <v>21</v>
      </c>
      <c r="K153" s="6">
        <v>20.16</v>
      </c>
      <c r="L153" s="6">
        <v>1.0149999999999999</v>
      </c>
      <c r="M153" s="6">
        <v>0.97440000000000004</v>
      </c>
      <c r="N153" s="6">
        <v>1.0149999999999999</v>
      </c>
      <c r="O153" s="6">
        <v>0.97440000000000004</v>
      </c>
      <c r="P153" s="6">
        <v>0</v>
      </c>
      <c r="Q153" s="4" t="s">
        <v>26</v>
      </c>
      <c r="R153" s="4">
        <v>0</v>
      </c>
      <c r="S153" s="4" t="s">
        <v>149</v>
      </c>
      <c r="T153" s="4" t="s">
        <v>594</v>
      </c>
      <c r="U153" s="4">
        <v>1</v>
      </c>
      <c r="V153" s="4">
        <v>5</v>
      </c>
      <c r="W153" s="4">
        <v>64</v>
      </c>
    </row>
    <row r="154" spans="1:23" ht="11.25" customHeight="1" x14ac:dyDescent="0.25">
      <c r="A154" s="4" t="s">
        <v>21</v>
      </c>
      <c r="B154" s="4" t="s">
        <v>39</v>
      </c>
      <c r="C154" s="4" t="s">
        <v>40</v>
      </c>
      <c r="D154" s="4" t="s">
        <v>45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44593</v>
      </c>
      <c r="J154" s="6">
        <v>21</v>
      </c>
      <c r="K154" s="6">
        <v>20.16</v>
      </c>
      <c r="L154" s="6">
        <v>0.45600000000000002</v>
      </c>
      <c r="M154" s="6">
        <v>0.43775999999999998</v>
      </c>
      <c r="N154" s="6">
        <v>0.45600000000000002</v>
      </c>
      <c r="O154" s="6">
        <v>0.43775999999999998</v>
      </c>
      <c r="P154" s="6">
        <v>0</v>
      </c>
      <c r="Q154" s="4" t="s">
        <v>26</v>
      </c>
      <c r="R154" s="4">
        <v>0</v>
      </c>
      <c r="S154" s="4" t="s">
        <v>150</v>
      </c>
      <c r="T154" s="4" t="s">
        <v>595</v>
      </c>
      <c r="U154" s="4">
        <v>1</v>
      </c>
      <c r="V154" s="4">
        <v>5</v>
      </c>
      <c r="W154" s="4">
        <v>64</v>
      </c>
    </row>
    <row r="155" spans="1:23" ht="11.25" customHeight="1" x14ac:dyDescent="0.25">
      <c r="A155" s="4" t="s">
        <v>21</v>
      </c>
      <c r="B155" s="4" t="s">
        <v>39</v>
      </c>
      <c r="C155" s="4" t="s">
        <v>40</v>
      </c>
      <c r="D155" s="4" t="s">
        <v>45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44621</v>
      </c>
      <c r="J155" s="6">
        <v>193</v>
      </c>
      <c r="K155" s="6">
        <v>185.28</v>
      </c>
      <c r="L155" s="6">
        <v>0.56200000000000006</v>
      </c>
      <c r="M155" s="6">
        <v>0.53952</v>
      </c>
      <c r="N155" s="6">
        <v>0.56200000000000006</v>
      </c>
      <c r="O155" s="6">
        <v>0.53952</v>
      </c>
      <c r="P155" s="6">
        <v>0</v>
      </c>
      <c r="Q155" s="4" t="s">
        <v>26</v>
      </c>
      <c r="R155" s="4">
        <v>0</v>
      </c>
      <c r="S155" s="4" t="s">
        <v>151</v>
      </c>
      <c r="T155" s="4" t="s">
        <v>596</v>
      </c>
      <c r="U155" s="4">
        <v>1</v>
      </c>
      <c r="V155" s="4">
        <v>5</v>
      </c>
      <c r="W155" s="4">
        <v>64</v>
      </c>
    </row>
    <row r="156" spans="1:23" ht="11.25" customHeight="1" x14ac:dyDescent="0.25">
      <c r="A156" s="4" t="s">
        <v>21</v>
      </c>
      <c r="B156" s="4" t="s">
        <v>39</v>
      </c>
      <c r="C156" s="4" t="s">
        <v>40</v>
      </c>
      <c r="D156" s="4" t="s">
        <v>45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44652</v>
      </c>
      <c r="J156" s="6">
        <v>190</v>
      </c>
      <c r="K156" s="6">
        <v>182.4</v>
      </c>
      <c r="L156" s="6">
        <v>0.47799999999999998</v>
      </c>
      <c r="M156" s="6">
        <v>0.45888000000000001</v>
      </c>
      <c r="N156" s="6">
        <v>0.47799999999999998</v>
      </c>
      <c r="O156" s="6">
        <v>0.45888000000000001</v>
      </c>
      <c r="P156" s="6">
        <v>0</v>
      </c>
      <c r="Q156" s="4" t="s">
        <v>26</v>
      </c>
      <c r="R156" s="4">
        <v>0</v>
      </c>
      <c r="S156" s="4" t="s">
        <v>152</v>
      </c>
      <c r="T156" s="4" t="s">
        <v>597</v>
      </c>
      <c r="U156" s="4">
        <v>1</v>
      </c>
      <c r="V156" s="4">
        <v>5</v>
      </c>
      <c r="W156" s="4">
        <v>64</v>
      </c>
    </row>
    <row r="157" spans="1:23" ht="11.25" customHeight="1" x14ac:dyDescent="0.25">
      <c r="A157" s="4" t="s">
        <v>21</v>
      </c>
      <c r="B157" s="4" t="s">
        <v>39</v>
      </c>
      <c r="C157" s="4" t="s">
        <v>40</v>
      </c>
      <c r="D157" s="4" t="s">
        <v>45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44682</v>
      </c>
      <c r="J157" s="6">
        <v>378</v>
      </c>
      <c r="K157" s="6">
        <v>362.88</v>
      </c>
      <c r="L157" s="6">
        <v>0.81299999999999994</v>
      </c>
      <c r="M157" s="6">
        <v>0.78047999999999995</v>
      </c>
      <c r="N157" s="6">
        <v>0.81299999999999994</v>
      </c>
      <c r="O157" s="6">
        <v>0.78047999999999995</v>
      </c>
      <c r="P157" s="6">
        <v>0</v>
      </c>
      <c r="Q157" s="4" t="s">
        <v>26</v>
      </c>
      <c r="R157" s="4">
        <v>0</v>
      </c>
      <c r="S157" s="4" t="s">
        <v>153</v>
      </c>
      <c r="T157" s="4" t="s">
        <v>598</v>
      </c>
      <c r="U157" s="4">
        <v>1</v>
      </c>
      <c r="V157" s="4">
        <v>5</v>
      </c>
      <c r="W157" s="4">
        <v>64</v>
      </c>
    </row>
    <row r="158" spans="1:23" ht="11.25" customHeight="1" x14ac:dyDescent="0.25">
      <c r="A158" s="4" t="s">
        <v>21</v>
      </c>
      <c r="B158" s="4" t="s">
        <v>39</v>
      </c>
      <c r="C158" s="4" t="s">
        <v>40</v>
      </c>
      <c r="D158" s="4" t="s">
        <v>45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44713</v>
      </c>
      <c r="J158" s="6">
        <v>201</v>
      </c>
      <c r="K158" s="6">
        <v>192.96</v>
      </c>
      <c r="L158" s="6">
        <v>0.56499999999999995</v>
      </c>
      <c r="M158" s="6">
        <v>0.54239999999999999</v>
      </c>
      <c r="N158" s="6">
        <v>0.56499999999999995</v>
      </c>
      <c r="O158" s="6">
        <v>0.54239999999999999</v>
      </c>
      <c r="P158" s="6">
        <v>0</v>
      </c>
      <c r="Q158" s="4" t="s">
        <v>26</v>
      </c>
      <c r="R158" s="4">
        <v>0</v>
      </c>
      <c r="S158" s="4" t="s">
        <v>154</v>
      </c>
      <c r="T158" s="4" t="s">
        <v>599</v>
      </c>
      <c r="U158" s="4">
        <v>1</v>
      </c>
      <c r="V158" s="4">
        <v>5</v>
      </c>
      <c r="W158" s="4">
        <v>64</v>
      </c>
    </row>
    <row r="159" spans="1:23" ht="11.25" customHeight="1" x14ac:dyDescent="0.25">
      <c r="A159" s="4" t="s">
        <v>57</v>
      </c>
      <c r="B159" s="4" t="s">
        <v>39</v>
      </c>
      <c r="C159" s="4" t="s">
        <v>40</v>
      </c>
      <c r="D159" s="4" t="s">
        <v>45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44743</v>
      </c>
      <c r="J159" s="6">
        <v>201</v>
      </c>
      <c r="K159" s="6">
        <v>192.96</v>
      </c>
      <c r="L159" s="6">
        <v>0.56499999999999995</v>
      </c>
      <c r="M159" s="6">
        <v>0.54239999999999999</v>
      </c>
      <c r="N159" s="6">
        <v>0.56499999999999995</v>
      </c>
      <c r="O159" s="6">
        <v>0.54239999999999999</v>
      </c>
      <c r="P159" s="6">
        <v>0</v>
      </c>
      <c r="Q159" s="4" t="s">
        <v>26</v>
      </c>
      <c r="R159" s="4">
        <v>0</v>
      </c>
      <c r="S159" s="4" t="s">
        <v>155</v>
      </c>
      <c r="T159" s="4" t="s">
        <v>600</v>
      </c>
      <c r="U159" s="4">
        <v>1</v>
      </c>
      <c r="V159" s="4">
        <v>5</v>
      </c>
      <c r="W159" s="4">
        <v>64</v>
      </c>
    </row>
    <row r="160" spans="1:23" ht="11.25" customHeight="1" x14ac:dyDescent="0.25">
      <c r="A160" s="4" t="s">
        <v>21</v>
      </c>
      <c r="B160" s="4" t="s">
        <v>39</v>
      </c>
      <c r="C160" s="4" t="s">
        <v>40</v>
      </c>
      <c r="D160" s="4" t="s">
        <v>50</v>
      </c>
      <c r="E160" s="4" t="s">
        <v>51</v>
      </c>
      <c r="F160" s="4" t="s">
        <v>25</v>
      </c>
      <c r="G160" s="4" t="s">
        <v>25</v>
      </c>
      <c r="H160" s="4" t="s">
        <v>35</v>
      </c>
      <c r="I160" s="5">
        <v>44409</v>
      </c>
      <c r="J160" s="6">
        <v>10100</v>
      </c>
      <c r="K160" s="6">
        <v>9494</v>
      </c>
      <c r="L160" s="6">
        <v>5331</v>
      </c>
      <c r="M160" s="6">
        <v>5011.1400000000003</v>
      </c>
      <c r="N160" s="6">
        <v>5331</v>
      </c>
      <c r="O160" s="6">
        <v>5011.1400000000003</v>
      </c>
      <c r="P160" s="6">
        <v>0</v>
      </c>
      <c r="Q160" s="4" t="s">
        <v>26</v>
      </c>
      <c r="R160" s="4">
        <v>0</v>
      </c>
      <c r="S160" s="4" t="s">
        <v>120</v>
      </c>
      <c r="T160" s="4" t="s">
        <v>577</v>
      </c>
      <c r="U160" s="4">
        <v>3</v>
      </c>
      <c r="V160" s="4">
        <v>5</v>
      </c>
      <c r="W160" s="4">
        <v>65</v>
      </c>
    </row>
    <row r="161" spans="1:23" ht="11.25" customHeight="1" x14ac:dyDescent="0.25">
      <c r="A161" s="4" t="s">
        <v>21</v>
      </c>
      <c r="B161" s="4" t="s">
        <v>39</v>
      </c>
      <c r="C161" s="4" t="s">
        <v>40</v>
      </c>
      <c r="D161" s="4" t="s">
        <v>50</v>
      </c>
      <c r="E161" s="4" t="s">
        <v>51</v>
      </c>
      <c r="F161" s="4" t="s">
        <v>25</v>
      </c>
      <c r="G161" s="4" t="s">
        <v>25</v>
      </c>
      <c r="H161" s="4" t="s">
        <v>35</v>
      </c>
      <c r="I161" s="5">
        <v>44440</v>
      </c>
      <c r="J161" s="6">
        <v>10100</v>
      </c>
      <c r="K161" s="6">
        <v>9494</v>
      </c>
      <c r="L161" s="6">
        <v>5330</v>
      </c>
      <c r="M161" s="6">
        <v>5010.2</v>
      </c>
      <c r="N161" s="6">
        <v>5330</v>
      </c>
      <c r="O161" s="6">
        <v>5010.2</v>
      </c>
      <c r="P161" s="6">
        <v>0</v>
      </c>
      <c r="Q161" s="4" t="s">
        <v>26</v>
      </c>
      <c r="R161" s="4">
        <v>0</v>
      </c>
      <c r="S161" s="4" t="s">
        <v>121</v>
      </c>
      <c r="T161" s="4" t="s">
        <v>578</v>
      </c>
      <c r="U161" s="4">
        <v>3</v>
      </c>
      <c r="V161" s="4">
        <v>5</v>
      </c>
      <c r="W161" s="4">
        <v>65</v>
      </c>
    </row>
    <row r="162" spans="1:23" ht="11.25" customHeight="1" x14ac:dyDescent="0.25">
      <c r="A162" s="4" t="s">
        <v>21</v>
      </c>
      <c r="B162" s="4" t="s">
        <v>39</v>
      </c>
      <c r="C162" s="4" t="s">
        <v>40</v>
      </c>
      <c r="D162" s="4" t="s">
        <v>50</v>
      </c>
      <c r="E162" s="4" t="s">
        <v>51</v>
      </c>
      <c r="F162" s="4" t="s">
        <v>25</v>
      </c>
      <c r="G162" s="4" t="s">
        <v>25</v>
      </c>
      <c r="H162" s="4" t="s">
        <v>35</v>
      </c>
      <c r="I162" s="5">
        <v>44470</v>
      </c>
      <c r="J162" s="6">
        <v>10180</v>
      </c>
      <c r="K162" s="6">
        <v>9569.2000000000007</v>
      </c>
      <c r="L162" s="6">
        <v>5567</v>
      </c>
      <c r="M162" s="6">
        <v>5232.9799999999996</v>
      </c>
      <c r="N162" s="6">
        <v>5567</v>
      </c>
      <c r="O162" s="6">
        <v>5232.9799999999996</v>
      </c>
      <c r="P162" s="6">
        <v>0</v>
      </c>
      <c r="Q162" s="4" t="s">
        <v>26</v>
      </c>
      <c r="R162" s="4">
        <v>0</v>
      </c>
      <c r="S162" s="4" t="s">
        <v>122</v>
      </c>
      <c r="T162" s="4" t="s">
        <v>579</v>
      </c>
      <c r="U162" s="4">
        <v>3</v>
      </c>
      <c r="V162" s="4">
        <v>5</v>
      </c>
      <c r="W162" s="4">
        <v>65</v>
      </c>
    </row>
    <row r="163" spans="1:23" ht="11.25" customHeight="1" x14ac:dyDescent="0.25">
      <c r="A163" s="4" t="s">
        <v>21</v>
      </c>
      <c r="B163" s="4" t="s">
        <v>39</v>
      </c>
      <c r="C163" s="4" t="s">
        <v>40</v>
      </c>
      <c r="D163" s="4" t="s">
        <v>50</v>
      </c>
      <c r="E163" s="4" t="s">
        <v>51</v>
      </c>
      <c r="F163" s="4" t="s">
        <v>25</v>
      </c>
      <c r="G163" s="4" t="s">
        <v>25</v>
      </c>
      <c r="H163" s="4" t="s">
        <v>35</v>
      </c>
      <c r="I163" s="5">
        <v>44501</v>
      </c>
      <c r="J163" s="6">
        <v>10260</v>
      </c>
      <c r="K163" s="6">
        <v>9644.4</v>
      </c>
      <c r="L163" s="6">
        <v>5781</v>
      </c>
      <c r="M163" s="6">
        <v>5434.14</v>
      </c>
      <c r="N163" s="6">
        <v>5781</v>
      </c>
      <c r="O163" s="6">
        <v>5434.14</v>
      </c>
      <c r="P163" s="6">
        <v>0</v>
      </c>
      <c r="Q163" s="4" t="s">
        <v>26</v>
      </c>
      <c r="R163" s="4">
        <v>0</v>
      </c>
      <c r="S163" s="4" t="s">
        <v>123</v>
      </c>
      <c r="T163" s="4" t="s">
        <v>580</v>
      </c>
      <c r="U163" s="4">
        <v>3</v>
      </c>
      <c r="V163" s="4">
        <v>5</v>
      </c>
      <c r="W163" s="4">
        <v>65</v>
      </c>
    </row>
    <row r="164" spans="1:23" ht="11.25" customHeight="1" x14ac:dyDescent="0.25">
      <c r="A164" s="4" t="s">
        <v>21</v>
      </c>
      <c r="B164" s="4" t="s">
        <v>39</v>
      </c>
      <c r="C164" s="4" t="s">
        <v>40</v>
      </c>
      <c r="D164" s="4" t="s">
        <v>50</v>
      </c>
      <c r="E164" s="4" t="s">
        <v>51</v>
      </c>
      <c r="F164" s="4" t="s">
        <v>25</v>
      </c>
      <c r="G164" s="4" t="s">
        <v>25</v>
      </c>
      <c r="H164" s="4" t="s">
        <v>35</v>
      </c>
      <c r="I164" s="5">
        <v>44531</v>
      </c>
      <c r="J164" s="6">
        <v>10190</v>
      </c>
      <c r="K164" s="6">
        <v>9578.6</v>
      </c>
      <c r="L164" s="6">
        <v>6006</v>
      </c>
      <c r="M164" s="6">
        <v>5645.64</v>
      </c>
      <c r="N164" s="6">
        <v>6006</v>
      </c>
      <c r="O164" s="6">
        <v>5645.64</v>
      </c>
      <c r="P164" s="6">
        <v>0</v>
      </c>
      <c r="Q164" s="4" t="s">
        <v>26</v>
      </c>
      <c r="R164" s="4">
        <v>0</v>
      </c>
      <c r="S164" s="4" t="s">
        <v>124</v>
      </c>
      <c r="T164" s="4" t="s">
        <v>581</v>
      </c>
      <c r="U164" s="4">
        <v>3</v>
      </c>
      <c r="V164" s="4">
        <v>5</v>
      </c>
      <c r="W164" s="4">
        <v>65</v>
      </c>
    </row>
    <row r="165" spans="1:23" ht="11.25" customHeight="1" x14ac:dyDescent="0.25">
      <c r="A165" s="4" t="s">
        <v>21</v>
      </c>
      <c r="B165" s="4" t="s">
        <v>39</v>
      </c>
      <c r="C165" s="4" t="s">
        <v>40</v>
      </c>
      <c r="D165" s="4" t="s">
        <v>50</v>
      </c>
      <c r="E165" s="4" t="s">
        <v>51</v>
      </c>
      <c r="F165" s="4" t="s">
        <v>25</v>
      </c>
      <c r="G165" s="4" t="s">
        <v>25</v>
      </c>
      <c r="H165" s="4" t="s">
        <v>35</v>
      </c>
      <c r="I165" s="5">
        <v>44562</v>
      </c>
      <c r="J165" s="6">
        <v>10253</v>
      </c>
      <c r="K165" s="6">
        <v>9637.82</v>
      </c>
      <c r="L165" s="6">
        <v>5725.0789999999997</v>
      </c>
      <c r="M165" s="6">
        <v>5381.5742600000003</v>
      </c>
      <c r="N165" s="6">
        <v>5725.0789999999997</v>
      </c>
      <c r="O165" s="6">
        <v>5381.5742600000003</v>
      </c>
      <c r="P165" s="6">
        <v>0</v>
      </c>
      <c r="Q165" s="4" t="s">
        <v>26</v>
      </c>
      <c r="R165" s="4">
        <v>0</v>
      </c>
      <c r="S165" s="4" t="s">
        <v>125</v>
      </c>
      <c r="T165" s="4" t="s">
        <v>582</v>
      </c>
      <c r="U165" s="4">
        <v>3</v>
      </c>
      <c r="V165" s="4">
        <v>5</v>
      </c>
      <c r="W165" s="4">
        <v>65</v>
      </c>
    </row>
    <row r="166" spans="1:23" ht="11.25" customHeight="1" x14ac:dyDescent="0.25">
      <c r="A166" s="4" t="s">
        <v>21</v>
      </c>
      <c r="B166" s="4" t="s">
        <v>39</v>
      </c>
      <c r="C166" s="4" t="s">
        <v>40</v>
      </c>
      <c r="D166" s="4" t="s">
        <v>50</v>
      </c>
      <c r="E166" s="4" t="s">
        <v>51</v>
      </c>
      <c r="F166" s="4" t="s">
        <v>25</v>
      </c>
      <c r="G166" s="4" t="s">
        <v>25</v>
      </c>
      <c r="H166" s="4" t="s">
        <v>35</v>
      </c>
      <c r="I166" s="5">
        <v>44593</v>
      </c>
      <c r="J166" s="6">
        <v>10262</v>
      </c>
      <c r="K166" s="6">
        <v>9646.2800000000007</v>
      </c>
      <c r="L166" s="6">
        <v>5526.3230000000003</v>
      </c>
      <c r="M166" s="6">
        <v>5194.7436200000002</v>
      </c>
      <c r="N166" s="6">
        <v>5526.3230000000003</v>
      </c>
      <c r="O166" s="6">
        <v>5194.7436200000002</v>
      </c>
      <c r="P166" s="6">
        <v>0</v>
      </c>
      <c r="Q166" s="4" t="s">
        <v>26</v>
      </c>
      <c r="R166" s="4">
        <v>0</v>
      </c>
      <c r="S166" s="4" t="s">
        <v>126</v>
      </c>
      <c r="T166" s="4" t="s">
        <v>583</v>
      </c>
      <c r="U166" s="4">
        <v>3</v>
      </c>
      <c r="V166" s="4">
        <v>5</v>
      </c>
      <c r="W166" s="4">
        <v>65</v>
      </c>
    </row>
    <row r="167" spans="1:23" ht="11.25" customHeight="1" x14ac:dyDescent="0.25">
      <c r="A167" s="4" t="s">
        <v>21</v>
      </c>
      <c r="B167" s="4" t="s">
        <v>39</v>
      </c>
      <c r="C167" s="4" t="s">
        <v>40</v>
      </c>
      <c r="D167" s="4" t="s">
        <v>50</v>
      </c>
      <c r="E167" s="4" t="s">
        <v>51</v>
      </c>
      <c r="F167" s="4" t="s">
        <v>25</v>
      </c>
      <c r="G167" s="4" t="s">
        <v>25</v>
      </c>
      <c r="H167" s="4" t="s">
        <v>35</v>
      </c>
      <c r="I167" s="5">
        <v>44621</v>
      </c>
      <c r="J167" s="6">
        <v>10263</v>
      </c>
      <c r="K167" s="6">
        <v>9647.2199999999993</v>
      </c>
      <c r="L167" s="6">
        <v>5847.049</v>
      </c>
      <c r="M167" s="6">
        <v>5496.22606</v>
      </c>
      <c r="N167" s="6">
        <v>5847.049</v>
      </c>
      <c r="O167" s="6">
        <v>5496.22606</v>
      </c>
      <c r="P167" s="6">
        <v>0</v>
      </c>
      <c r="Q167" s="4" t="s">
        <v>26</v>
      </c>
      <c r="R167" s="4">
        <v>0</v>
      </c>
      <c r="S167" s="4" t="s">
        <v>127</v>
      </c>
      <c r="T167" s="4" t="s">
        <v>584</v>
      </c>
      <c r="U167" s="4">
        <v>3</v>
      </c>
      <c r="V167" s="4">
        <v>5</v>
      </c>
      <c r="W167" s="4">
        <v>65</v>
      </c>
    </row>
    <row r="168" spans="1:23" ht="11.25" customHeight="1" x14ac:dyDescent="0.25">
      <c r="A168" s="4" t="s">
        <v>21</v>
      </c>
      <c r="B168" s="4" t="s">
        <v>39</v>
      </c>
      <c r="C168" s="4" t="s">
        <v>40</v>
      </c>
      <c r="D168" s="4" t="s">
        <v>50</v>
      </c>
      <c r="E168" s="4" t="s">
        <v>51</v>
      </c>
      <c r="F168" s="4" t="s">
        <v>25</v>
      </c>
      <c r="G168" s="4" t="s">
        <v>25</v>
      </c>
      <c r="H168" s="4" t="s">
        <v>35</v>
      </c>
      <c r="I168" s="5">
        <v>44652</v>
      </c>
      <c r="J168" s="6">
        <v>10698</v>
      </c>
      <c r="K168" s="6">
        <v>10056.120000000001</v>
      </c>
      <c r="L168" s="6">
        <v>5625.5640000000003</v>
      </c>
      <c r="M168" s="6">
        <v>5288.0301600000003</v>
      </c>
      <c r="N168" s="6">
        <v>5625.5640000000003</v>
      </c>
      <c r="O168" s="6">
        <v>5288.0301600000003</v>
      </c>
      <c r="P168" s="6">
        <v>0</v>
      </c>
      <c r="Q168" s="4" t="s">
        <v>26</v>
      </c>
      <c r="R168" s="4">
        <v>0</v>
      </c>
      <c r="S168" s="4" t="s">
        <v>128</v>
      </c>
      <c r="T168" s="4" t="s">
        <v>585</v>
      </c>
      <c r="U168" s="4">
        <v>3</v>
      </c>
      <c r="V168" s="4">
        <v>5</v>
      </c>
      <c r="W168" s="4">
        <v>65</v>
      </c>
    </row>
    <row r="169" spans="1:23" ht="11.25" customHeight="1" x14ac:dyDescent="0.25">
      <c r="A169" s="4" t="s">
        <v>21</v>
      </c>
      <c r="B169" s="4" t="s">
        <v>39</v>
      </c>
      <c r="C169" s="4" t="s">
        <v>40</v>
      </c>
      <c r="D169" s="4" t="s">
        <v>50</v>
      </c>
      <c r="E169" s="4" t="s">
        <v>51</v>
      </c>
      <c r="F169" s="4" t="s">
        <v>25</v>
      </c>
      <c r="G169" s="4" t="s">
        <v>25</v>
      </c>
      <c r="H169" s="4" t="s">
        <v>35</v>
      </c>
      <c r="I169" s="5">
        <v>44682</v>
      </c>
      <c r="J169" s="6">
        <v>10196</v>
      </c>
      <c r="K169" s="6">
        <v>9584.24</v>
      </c>
      <c r="L169" s="6">
        <v>5745.7179999999998</v>
      </c>
      <c r="M169" s="6">
        <v>5400.9749199999997</v>
      </c>
      <c r="N169" s="6">
        <v>5745.7179999999998</v>
      </c>
      <c r="O169" s="6">
        <v>5400.9749199999997</v>
      </c>
      <c r="P169" s="6">
        <v>0</v>
      </c>
      <c r="Q169" s="4" t="s">
        <v>26</v>
      </c>
      <c r="R169" s="4">
        <v>0</v>
      </c>
      <c r="S169" s="4" t="s">
        <v>129</v>
      </c>
      <c r="T169" s="4" t="s">
        <v>586</v>
      </c>
      <c r="U169" s="4">
        <v>3</v>
      </c>
      <c r="V169" s="4">
        <v>5</v>
      </c>
      <c r="W169" s="4">
        <v>65</v>
      </c>
    </row>
    <row r="170" spans="1:23" ht="11.25" customHeight="1" x14ac:dyDescent="0.25">
      <c r="A170" s="4" t="s">
        <v>21</v>
      </c>
      <c r="B170" s="4" t="s">
        <v>39</v>
      </c>
      <c r="C170" s="4" t="s">
        <v>40</v>
      </c>
      <c r="D170" s="4" t="s">
        <v>50</v>
      </c>
      <c r="E170" s="4" t="s">
        <v>51</v>
      </c>
      <c r="F170" s="4" t="s">
        <v>25</v>
      </c>
      <c r="G170" s="4" t="s">
        <v>25</v>
      </c>
      <c r="H170" s="4" t="s">
        <v>35</v>
      </c>
      <c r="I170" s="5">
        <v>44713</v>
      </c>
      <c r="J170" s="6">
        <v>10110</v>
      </c>
      <c r="K170" s="6">
        <v>9503.4</v>
      </c>
      <c r="L170" s="6">
        <v>5405.5959999999995</v>
      </c>
      <c r="M170" s="6">
        <v>5081.2602399999996</v>
      </c>
      <c r="N170" s="6">
        <v>5405.5959999999995</v>
      </c>
      <c r="O170" s="6">
        <v>5081.2602399999996</v>
      </c>
      <c r="P170" s="6">
        <v>0</v>
      </c>
      <c r="Q170" s="4" t="s">
        <v>26</v>
      </c>
      <c r="R170" s="4">
        <v>0</v>
      </c>
      <c r="S170" s="4" t="s">
        <v>130</v>
      </c>
      <c r="T170" s="4" t="s">
        <v>587</v>
      </c>
      <c r="U170" s="4">
        <v>3</v>
      </c>
      <c r="V170" s="4">
        <v>5</v>
      </c>
      <c r="W170" s="4">
        <v>65</v>
      </c>
    </row>
    <row r="171" spans="1:23" ht="11.25" customHeight="1" x14ac:dyDescent="0.25">
      <c r="A171" s="4" t="s">
        <v>57</v>
      </c>
      <c r="B171" s="4" t="s">
        <v>39</v>
      </c>
      <c r="C171" s="4" t="s">
        <v>40</v>
      </c>
      <c r="D171" s="4" t="s">
        <v>50</v>
      </c>
      <c r="E171" s="4" t="s">
        <v>51</v>
      </c>
      <c r="F171" s="4" t="s">
        <v>25</v>
      </c>
      <c r="G171" s="4" t="s">
        <v>25</v>
      </c>
      <c r="H171" s="4" t="s">
        <v>35</v>
      </c>
      <c r="I171" s="5">
        <v>44743</v>
      </c>
      <c r="J171" s="6">
        <v>10110</v>
      </c>
      <c r="K171" s="6">
        <v>9503.4</v>
      </c>
      <c r="L171" s="6">
        <v>5405.5959999999995</v>
      </c>
      <c r="M171" s="6">
        <v>5081.2602399999996</v>
      </c>
      <c r="N171" s="6">
        <v>5405.5959999999995</v>
      </c>
      <c r="O171" s="6">
        <v>5081.2602399999996</v>
      </c>
      <c r="P171" s="6">
        <v>0</v>
      </c>
      <c r="Q171" s="4" t="s">
        <v>26</v>
      </c>
      <c r="R171" s="4">
        <v>0</v>
      </c>
      <c r="S171" s="4" t="s">
        <v>131</v>
      </c>
      <c r="T171" s="4" t="s">
        <v>588</v>
      </c>
      <c r="U171" s="4">
        <v>3</v>
      </c>
      <c r="V171" s="4">
        <v>5</v>
      </c>
      <c r="W171" s="4">
        <v>65</v>
      </c>
    </row>
    <row r="172" spans="1:23" ht="11.25" customHeight="1" x14ac:dyDescent="0.25">
      <c r="A172" s="4" t="s">
        <v>21</v>
      </c>
      <c r="B172" s="4" t="s">
        <v>39</v>
      </c>
      <c r="C172" s="4" t="s">
        <v>40</v>
      </c>
      <c r="D172" s="4" t="s">
        <v>50</v>
      </c>
      <c r="E172" s="4" t="s">
        <v>51</v>
      </c>
      <c r="F172" s="4" t="s">
        <v>25</v>
      </c>
      <c r="G172" s="4" t="s">
        <v>25</v>
      </c>
      <c r="H172" s="4" t="s">
        <v>34</v>
      </c>
      <c r="I172" s="5">
        <v>44409</v>
      </c>
      <c r="J172" s="6">
        <v>9080</v>
      </c>
      <c r="K172" s="6">
        <v>8535.2000000000007</v>
      </c>
      <c r="L172" s="6">
        <v>513</v>
      </c>
      <c r="M172" s="6">
        <v>482.22</v>
      </c>
      <c r="N172" s="6">
        <v>513</v>
      </c>
      <c r="O172" s="6">
        <v>482.22</v>
      </c>
      <c r="P172" s="6">
        <v>0</v>
      </c>
      <c r="Q172" s="4" t="s">
        <v>26</v>
      </c>
      <c r="R172" s="4">
        <v>0</v>
      </c>
      <c r="S172" s="4" t="s">
        <v>144</v>
      </c>
      <c r="T172" s="4" t="s">
        <v>589</v>
      </c>
      <c r="U172" s="4">
        <v>1</v>
      </c>
      <c r="V172" s="4">
        <v>5</v>
      </c>
      <c r="W172" s="4">
        <v>64</v>
      </c>
    </row>
    <row r="173" spans="1:23" ht="11.25" customHeight="1" x14ac:dyDescent="0.25">
      <c r="A173" s="4" t="s">
        <v>21</v>
      </c>
      <c r="B173" s="4" t="s">
        <v>39</v>
      </c>
      <c r="C173" s="4" t="s">
        <v>40</v>
      </c>
      <c r="D173" s="4" t="s">
        <v>50</v>
      </c>
      <c r="E173" s="4" t="s">
        <v>51</v>
      </c>
      <c r="F173" s="4" t="s">
        <v>25</v>
      </c>
      <c r="G173" s="4" t="s">
        <v>25</v>
      </c>
      <c r="H173" s="4" t="s">
        <v>34</v>
      </c>
      <c r="I173" s="5">
        <v>44440</v>
      </c>
      <c r="J173" s="6">
        <v>9000</v>
      </c>
      <c r="K173" s="6">
        <v>8460</v>
      </c>
      <c r="L173" s="6">
        <v>493</v>
      </c>
      <c r="M173" s="6">
        <v>463.42</v>
      </c>
      <c r="N173" s="6">
        <v>493</v>
      </c>
      <c r="O173" s="6">
        <v>463.42</v>
      </c>
      <c r="P173" s="6">
        <v>0</v>
      </c>
      <c r="Q173" s="4" t="s">
        <v>26</v>
      </c>
      <c r="R173" s="4">
        <v>0</v>
      </c>
      <c r="S173" s="4" t="s">
        <v>145</v>
      </c>
      <c r="T173" s="4" t="s">
        <v>590</v>
      </c>
      <c r="U173" s="4">
        <v>1</v>
      </c>
      <c r="V173" s="4">
        <v>5</v>
      </c>
      <c r="W173" s="4">
        <v>64</v>
      </c>
    </row>
    <row r="174" spans="1:23" ht="11.25" customHeight="1" x14ac:dyDescent="0.25">
      <c r="A174" s="4" t="s">
        <v>21</v>
      </c>
      <c r="B174" s="4" t="s">
        <v>39</v>
      </c>
      <c r="C174" s="4" t="s">
        <v>40</v>
      </c>
      <c r="D174" s="4" t="s">
        <v>50</v>
      </c>
      <c r="E174" s="4" t="s">
        <v>51</v>
      </c>
      <c r="F174" s="4" t="s">
        <v>25</v>
      </c>
      <c r="G174" s="4" t="s">
        <v>25</v>
      </c>
      <c r="H174" s="4" t="s">
        <v>34</v>
      </c>
      <c r="I174" s="5">
        <v>44470</v>
      </c>
      <c r="J174" s="6">
        <v>9540</v>
      </c>
      <c r="K174" s="6">
        <v>8967.6</v>
      </c>
      <c r="L174" s="6">
        <v>505</v>
      </c>
      <c r="M174" s="6">
        <v>474.7</v>
      </c>
      <c r="N174" s="6">
        <v>505</v>
      </c>
      <c r="O174" s="6">
        <v>474.7</v>
      </c>
      <c r="P174" s="6">
        <v>0</v>
      </c>
      <c r="Q174" s="4" t="s">
        <v>26</v>
      </c>
      <c r="R174" s="4">
        <v>0</v>
      </c>
      <c r="S174" s="4" t="s">
        <v>146</v>
      </c>
      <c r="T174" s="4" t="s">
        <v>591</v>
      </c>
      <c r="U174" s="4">
        <v>1</v>
      </c>
      <c r="V174" s="4">
        <v>5</v>
      </c>
      <c r="W174" s="4">
        <v>64</v>
      </c>
    </row>
    <row r="175" spans="1:23" ht="11.25" customHeight="1" x14ac:dyDescent="0.25">
      <c r="A175" s="4" t="s">
        <v>21</v>
      </c>
      <c r="B175" s="4" t="s">
        <v>39</v>
      </c>
      <c r="C175" s="4" t="s">
        <v>40</v>
      </c>
      <c r="D175" s="4" t="s">
        <v>50</v>
      </c>
      <c r="E175" s="4" t="s">
        <v>51</v>
      </c>
      <c r="F175" s="4" t="s">
        <v>25</v>
      </c>
      <c r="G175" s="4" t="s">
        <v>25</v>
      </c>
      <c r="H175" s="4" t="s">
        <v>34</v>
      </c>
      <c r="I175" s="5">
        <v>44501</v>
      </c>
      <c r="J175" s="6">
        <v>9480</v>
      </c>
      <c r="K175" s="6">
        <v>8911.2000000000007</v>
      </c>
      <c r="L175" s="6">
        <v>529</v>
      </c>
      <c r="M175" s="6">
        <v>497.26</v>
      </c>
      <c r="N175" s="6">
        <v>529</v>
      </c>
      <c r="O175" s="6">
        <v>497.26</v>
      </c>
      <c r="P175" s="6">
        <v>0</v>
      </c>
      <c r="Q175" s="4" t="s">
        <v>26</v>
      </c>
      <c r="R175" s="4">
        <v>0</v>
      </c>
      <c r="S175" s="4" t="s">
        <v>147</v>
      </c>
      <c r="T175" s="4" t="s">
        <v>592</v>
      </c>
      <c r="U175" s="4">
        <v>1</v>
      </c>
      <c r="V175" s="4">
        <v>5</v>
      </c>
      <c r="W175" s="4">
        <v>64</v>
      </c>
    </row>
    <row r="176" spans="1:23" ht="11.25" customHeight="1" x14ac:dyDescent="0.25">
      <c r="A176" s="4" t="s">
        <v>21</v>
      </c>
      <c r="B176" s="4" t="s">
        <v>39</v>
      </c>
      <c r="C176" s="4" t="s">
        <v>40</v>
      </c>
      <c r="D176" s="4" t="s">
        <v>50</v>
      </c>
      <c r="E176" s="4" t="s">
        <v>51</v>
      </c>
      <c r="F176" s="4" t="s">
        <v>25</v>
      </c>
      <c r="G176" s="4" t="s">
        <v>25</v>
      </c>
      <c r="H176" s="4" t="s">
        <v>34</v>
      </c>
      <c r="I176" s="5">
        <v>44531</v>
      </c>
      <c r="J176" s="6">
        <v>10190</v>
      </c>
      <c r="K176" s="6">
        <v>9578.6</v>
      </c>
      <c r="L176" s="6">
        <v>600</v>
      </c>
      <c r="M176" s="6">
        <v>564</v>
      </c>
      <c r="N176" s="6">
        <v>600</v>
      </c>
      <c r="O176" s="6">
        <v>564</v>
      </c>
      <c r="P176" s="6">
        <v>0</v>
      </c>
      <c r="Q176" s="4" t="s">
        <v>26</v>
      </c>
      <c r="R176" s="4">
        <v>0</v>
      </c>
      <c r="S176" s="4" t="s">
        <v>148</v>
      </c>
      <c r="T176" s="4" t="s">
        <v>593</v>
      </c>
      <c r="U176" s="4">
        <v>1</v>
      </c>
      <c r="V176" s="4">
        <v>5</v>
      </c>
      <c r="W176" s="4">
        <v>64</v>
      </c>
    </row>
    <row r="177" spans="1:23" ht="11.25" customHeight="1" x14ac:dyDescent="0.25">
      <c r="A177" s="4" t="s">
        <v>21</v>
      </c>
      <c r="B177" s="4" t="s">
        <v>39</v>
      </c>
      <c r="C177" s="4" t="s">
        <v>40</v>
      </c>
      <c r="D177" s="4" t="s">
        <v>50</v>
      </c>
      <c r="E177" s="4" t="s">
        <v>51</v>
      </c>
      <c r="F177" s="4" t="s">
        <v>25</v>
      </c>
      <c r="G177" s="4" t="s">
        <v>25</v>
      </c>
      <c r="H177" s="4" t="s">
        <v>34</v>
      </c>
      <c r="I177" s="5">
        <v>44562</v>
      </c>
      <c r="J177" s="6">
        <v>9703</v>
      </c>
      <c r="K177" s="6">
        <v>9120.82</v>
      </c>
      <c r="L177" s="6">
        <v>532.51300000000003</v>
      </c>
      <c r="M177" s="6">
        <v>500.56222000000002</v>
      </c>
      <c r="N177" s="6">
        <v>532.51300000000003</v>
      </c>
      <c r="O177" s="6">
        <v>500.56222000000002</v>
      </c>
      <c r="P177" s="6">
        <v>0</v>
      </c>
      <c r="Q177" s="4" t="s">
        <v>26</v>
      </c>
      <c r="R177" s="4">
        <v>0</v>
      </c>
      <c r="S177" s="4" t="s">
        <v>149</v>
      </c>
      <c r="T177" s="4" t="s">
        <v>594</v>
      </c>
      <c r="U177" s="4">
        <v>1</v>
      </c>
      <c r="V177" s="4">
        <v>5</v>
      </c>
      <c r="W177" s="4">
        <v>64</v>
      </c>
    </row>
    <row r="178" spans="1:23" ht="11.25" customHeight="1" x14ac:dyDescent="0.25">
      <c r="A178" s="4" t="s">
        <v>21</v>
      </c>
      <c r="B178" s="4" t="s">
        <v>39</v>
      </c>
      <c r="C178" s="4" t="s">
        <v>40</v>
      </c>
      <c r="D178" s="4" t="s">
        <v>50</v>
      </c>
      <c r="E178" s="4" t="s">
        <v>51</v>
      </c>
      <c r="F178" s="4" t="s">
        <v>25</v>
      </c>
      <c r="G178" s="4" t="s">
        <v>25</v>
      </c>
      <c r="H178" s="4" t="s">
        <v>34</v>
      </c>
      <c r="I178" s="5">
        <v>44593</v>
      </c>
      <c r="J178" s="6">
        <v>9740</v>
      </c>
      <c r="K178" s="6">
        <v>9155.6</v>
      </c>
      <c r="L178" s="6">
        <v>517.00900000000001</v>
      </c>
      <c r="M178" s="6">
        <v>485.98845999999998</v>
      </c>
      <c r="N178" s="6">
        <v>517.00900000000001</v>
      </c>
      <c r="O178" s="6">
        <v>485.98845999999998</v>
      </c>
      <c r="P178" s="6">
        <v>0</v>
      </c>
      <c r="Q178" s="4" t="s">
        <v>26</v>
      </c>
      <c r="R178" s="4">
        <v>0</v>
      </c>
      <c r="S178" s="4" t="s">
        <v>150</v>
      </c>
      <c r="T178" s="4" t="s">
        <v>595</v>
      </c>
      <c r="U178" s="4">
        <v>1</v>
      </c>
      <c r="V178" s="4">
        <v>5</v>
      </c>
      <c r="W178" s="4">
        <v>64</v>
      </c>
    </row>
    <row r="179" spans="1:23" ht="11.25" customHeight="1" x14ac:dyDescent="0.25">
      <c r="A179" s="4" t="s">
        <v>21</v>
      </c>
      <c r="B179" s="4" t="s">
        <v>39</v>
      </c>
      <c r="C179" s="4" t="s">
        <v>40</v>
      </c>
      <c r="D179" s="4" t="s">
        <v>50</v>
      </c>
      <c r="E179" s="4" t="s">
        <v>51</v>
      </c>
      <c r="F179" s="4" t="s">
        <v>25</v>
      </c>
      <c r="G179" s="4" t="s">
        <v>25</v>
      </c>
      <c r="H179" s="4" t="s">
        <v>34</v>
      </c>
      <c r="I179" s="5">
        <v>44621</v>
      </c>
      <c r="J179" s="6">
        <v>9021</v>
      </c>
      <c r="K179" s="6">
        <v>8479.74</v>
      </c>
      <c r="L179" s="6">
        <v>535.46400000000006</v>
      </c>
      <c r="M179" s="6">
        <v>503.33616000000001</v>
      </c>
      <c r="N179" s="6">
        <v>535.46400000000006</v>
      </c>
      <c r="O179" s="6">
        <v>503.33616000000001</v>
      </c>
      <c r="P179" s="6">
        <v>0</v>
      </c>
      <c r="Q179" s="4" t="s">
        <v>26</v>
      </c>
      <c r="R179" s="4">
        <v>0</v>
      </c>
      <c r="S179" s="4" t="s">
        <v>151</v>
      </c>
      <c r="T179" s="4" t="s">
        <v>596</v>
      </c>
      <c r="U179" s="4">
        <v>1</v>
      </c>
      <c r="V179" s="4">
        <v>5</v>
      </c>
      <c r="W179" s="4">
        <v>64</v>
      </c>
    </row>
    <row r="180" spans="1:23" ht="11.25" customHeight="1" x14ac:dyDescent="0.25">
      <c r="A180" s="4" t="s">
        <v>21</v>
      </c>
      <c r="B180" s="4" t="s">
        <v>39</v>
      </c>
      <c r="C180" s="4" t="s">
        <v>40</v>
      </c>
      <c r="D180" s="4" t="s">
        <v>50</v>
      </c>
      <c r="E180" s="4" t="s">
        <v>51</v>
      </c>
      <c r="F180" s="4" t="s">
        <v>25</v>
      </c>
      <c r="G180" s="4" t="s">
        <v>25</v>
      </c>
      <c r="H180" s="4" t="s">
        <v>34</v>
      </c>
      <c r="I180" s="5">
        <v>44652</v>
      </c>
      <c r="J180" s="6">
        <v>9149</v>
      </c>
      <c r="K180" s="6">
        <v>8600.06</v>
      </c>
      <c r="L180" s="6">
        <v>452.89499999999998</v>
      </c>
      <c r="M180" s="6">
        <v>425.72129999999999</v>
      </c>
      <c r="N180" s="6">
        <v>452.89499999999998</v>
      </c>
      <c r="O180" s="6">
        <v>425.72129999999999</v>
      </c>
      <c r="P180" s="6">
        <v>0</v>
      </c>
      <c r="Q180" s="4" t="s">
        <v>26</v>
      </c>
      <c r="R180" s="4">
        <v>0</v>
      </c>
      <c r="S180" s="4" t="s">
        <v>152</v>
      </c>
      <c r="T180" s="4" t="s">
        <v>597</v>
      </c>
      <c r="U180" s="4">
        <v>1</v>
      </c>
      <c r="V180" s="4">
        <v>5</v>
      </c>
      <c r="W180" s="4">
        <v>64</v>
      </c>
    </row>
    <row r="181" spans="1:23" ht="11.25" customHeight="1" x14ac:dyDescent="0.25">
      <c r="A181" s="4" t="s">
        <v>21</v>
      </c>
      <c r="B181" s="4" t="s">
        <v>39</v>
      </c>
      <c r="C181" s="4" t="s">
        <v>40</v>
      </c>
      <c r="D181" s="4" t="s">
        <v>50</v>
      </c>
      <c r="E181" s="4" t="s">
        <v>51</v>
      </c>
      <c r="F181" s="4" t="s">
        <v>25</v>
      </c>
      <c r="G181" s="4" t="s">
        <v>25</v>
      </c>
      <c r="H181" s="4" t="s">
        <v>34</v>
      </c>
      <c r="I181" s="5">
        <v>44682</v>
      </c>
      <c r="J181" s="6">
        <v>8978</v>
      </c>
      <c r="K181" s="6">
        <v>8439.32</v>
      </c>
      <c r="L181" s="6">
        <v>527.52700000000004</v>
      </c>
      <c r="M181" s="6">
        <v>495.87538000000001</v>
      </c>
      <c r="N181" s="6">
        <v>527.52700000000004</v>
      </c>
      <c r="O181" s="6">
        <v>495.87538000000001</v>
      </c>
      <c r="P181" s="6">
        <v>0</v>
      </c>
      <c r="Q181" s="4" t="s">
        <v>26</v>
      </c>
      <c r="R181" s="4">
        <v>0</v>
      </c>
      <c r="S181" s="4" t="s">
        <v>153</v>
      </c>
      <c r="T181" s="4" t="s">
        <v>598</v>
      </c>
      <c r="U181" s="4">
        <v>1</v>
      </c>
      <c r="V181" s="4">
        <v>5</v>
      </c>
      <c r="W181" s="4">
        <v>64</v>
      </c>
    </row>
    <row r="182" spans="1:23" ht="11.25" customHeight="1" x14ac:dyDescent="0.25">
      <c r="A182" s="4" t="s">
        <v>21</v>
      </c>
      <c r="B182" s="4" t="s">
        <v>39</v>
      </c>
      <c r="C182" s="4" t="s">
        <v>40</v>
      </c>
      <c r="D182" s="4" t="s">
        <v>50</v>
      </c>
      <c r="E182" s="4" t="s">
        <v>51</v>
      </c>
      <c r="F182" s="4" t="s">
        <v>25</v>
      </c>
      <c r="G182" s="4" t="s">
        <v>25</v>
      </c>
      <c r="H182" s="4" t="s">
        <v>34</v>
      </c>
      <c r="I182" s="5">
        <v>44713</v>
      </c>
      <c r="J182" s="6">
        <v>8944</v>
      </c>
      <c r="K182" s="6">
        <v>8407.36</v>
      </c>
      <c r="L182" s="6">
        <v>501.512</v>
      </c>
      <c r="M182" s="6">
        <v>471.42128000000002</v>
      </c>
      <c r="N182" s="6">
        <v>501.512</v>
      </c>
      <c r="O182" s="6">
        <v>471.42128000000002</v>
      </c>
      <c r="P182" s="6">
        <v>0</v>
      </c>
      <c r="Q182" s="4" t="s">
        <v>26</v>
      </c>
      <c r="R182" s="4">
        <v>0</v>
      </c>
      <c r="S182" s="4" t="s">
        <v>154</v>
      </c>
      <c r="T182" s="4" t="s">
        <v>599</v>
      </c>
      <c r="U182" s="4">
        <v>1</v>
      </c>
      <c r="V182" s="4">
        <v>5</v>
      </c>
      <c r="W182" s="4">
        <v>64</v>
      </c>
    </row>
    <row r="183" spans="1:23" ht="11.25" customHeight="1" x14ac:dyDescent="0.25">
      <c r="A183" s="4" t="s">
        <v>57</v>
      </c>
      <c r="B183" s="4" t="s">
        <v>39</v>
      </c>
      <c r="C183" s="4" t="s">
        <v>40</v>
      </c>
      <c r="D183" s="4" t="s">
        <v>50</v>
      </c>
      <c r="E183" s="4" t="s">
        <v>51</v>
      </c>
      <c r="F183" s="4" t="s">
        <v>25</v>
      </c>
      <c r="G183" s="4" t="s">
        <v>25</v>
      </c>
      <c r="H183" s="4" t="s">
        <v>34</v>
      </c>
      <c r="I183" s="5">
        <v>44743</v>
      </c>
      <c r="J183" s="6">
        <v>8944</v>
      </c>
      <c r="K183" s="6">
        <v>8407.36</v>
      </c>
      <c r="L183" s="6">
        <v>501.512</v>
      </c>
      <c r="M183" s="6">
        <v>471.42128000000002</v>
      </c>
      <c r="N183" s="6">
        <v>501.512</v>
      </c>
      <c r="O183" s="6">
        <v>471.42128000000002</v>
      </c>
      <c r="P183" s="6">
        <v>0</v>
      </c>
      <c r="Q183" s="4" t="s">
        <v>26</v>
      </c>
      <c r="R183" s="4">
        <v>0</v>
      </c>
      <c r="S183" s="4" t="s">
        <v>155</v>
      </c>
      <c r="T183" s="4" t="s">
        <v>600</v>
      </c>
      <c r="U183" s="4">
        <v>1</v>
      </c>
      <c r="V183" s="4">
        <v>5</v>
      </c>
      <c r="W183" s="4">
        <v>64</v>
      </c>
    </row>
    <row r="184" spans="1:23" ht="11.25" customHeight="1" x14ac:dyDescent="0.25">
      <c r="A184" s="4" t="s">
        <v>21</v>
      </c>
      <c r="B184" s="4" t="s">
        <v>39</v>
      </c>
      <c r="C184" s="4" t="s">
        <v>62</v>
      </c>
      <c r="D184" s="4" t="s">
        <v>25</v>
      </c>
      <c r="E184" s="4" t="s">
        <v>25</v>
      </c>
      <c r="F184" s="4" t="s">
        <v>25</v>
      </c>
      <c r="G184" s="4" t="s">
        <v>65</v>
      </c>
      <c r="H184" s="4" t="s">
        <v>35</v>
      </c>
      <c r="I184" s="5">
        <v>44409</v>
      </c>
      <c r="J184" s="6">
        <v>29300</v>
      </c>
      <c r="K184" s="6">
        <v>29300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64</v>
      </c>
      <c r="R184" s="4">
        <v>6611</v>
      </c>
      <c r="S184" s="4" t="s">
        <v>156</v>
      </c>
      <c r="U184" s="4">
        <v>12</v>
      </c>
      <c r="V184" s="4">
        <v>0</v>
      </c>
      <c r="W184" s="4">
        <v>0</v>
      </c>
    </row>
    <row r="185" spans="1:23" ht="11.25" customHeight="1" x14ac:dyDescent="0.25">
      <c r="A185" s="4" t="s">
        <v>21</v>
      </c>
      <c r="B185" s="4" t="s">
        <v>39</v>
      </c>
      <c r="C185" s="4" t="s">
        <v>62</v>
      </c>
      <c r="D185" s="4" t="s">
        <v>25</v>
      </c>
      <c r="E185" s="4" t="s">
        <v>25</v>
      </c>
      <c r="F185" s="4" t="s">
        <v>25</v>
      </c>
      <c r="G185" s="4" t="s">
        <v>65</v>
      </c>
      <c r="H185" s="4" t="s">
        <v>35</v>
      </c>
      <c r="I185" s="5">
        <v>44440</v>
      </c>
      <c r="J185" s="6">
        <v>29300</v>
      </c>
      <c r="K185" s="6">
        <v>29300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64</v>
      </c>
      <c r="R185" s="4">
        <v>6611</v>
      </c>
      <c r="S185" s="4" t="s">
        <v>157</v>
      </c>
      <c r="U185" s="4">
        <v>12</v>
      </c>
      <c r="V185" s="4">
        <v>0</v>
      </c>
      <c r="W185" s="4">
        <v>0</v>
      </c>
    </row>
    <row r="186" spans="1:23" ht="11.25" customHeight="1" x14ac:dyDescent="0.25">
      <c r="A186" s="4" t="s">
        <v>21</v>
      </c>
      <c r="B186" s="4" t="s">
        <v>39</v>
      </c>
      <c r="C186" s="4" t="s">
        <v>62</v>
      </c>
      <c r="D186" s="4" t="s">
        <v>25</v>
      </c>
      <c r="E186" s="4" t="s">
        <v>25</v>
      </c>
      <c r="F186" s="4" t="s">
        <v>25</v>
      </c>
      <c r="G186" s="4" t="s">
        <v>65</v>
      </c>
      <c r="H186" s="4" t="s">
        <v>35</v>
      </c>
      <c r="I186" s="5">
        <v>44470</v>
      </c>
      <c r="J186" s="6">
        <v>29300</v>
      </c>
      <c r="K186" s="6">
        <v>29300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64</v>
      </c>
      <c r="R186" s="4">
        <v>6611</v>
      </c>
      <c r="S186" s="4" t="s">
        <v>158</v>
      </c>
      <c r="U186" s="4">
        <v>12</v>
      </c>
      <c r="V186" s="4">
        <v>0</v>
      </c>
      <c r="W186" s="4">
        <v>0</v>
      </c>
    </row>
    <row r="187" spans="1:23" ht="11.25" customHeight="1" x14ac:dyDescent="0.25">
      <c r="A187" s="4" t="s">
        <v>21</v>
      </c>
      <c r="B187" s="4" t="s">
        <v>39</v>
      </c>
      <c r="C187" s="4" t="s">
        <v>62</v>
      </c>
      <c r="D187" s="4" t="s">
        <v>25</v>
      </c>
      <c r="E187" s="4" t="s">
        <v>25</v>
      </c>
      <c r="F187" s="4" t="s">
        <v>25</v>
      </c>
      <c r="G187" s="4" t="s">
        <v>65</v>
      </c>
      <c r="H187" s="4" t="s">
        <v>35</v>
      </c>
      <c r="I187" s="5">
        <v>44501</v>
      </c>
      <c r="J187" s="6">
        <v>29300</v>
      </c>
      <c r="K187" s="6">
        <v>29300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64</v>
      </c>
      <c r="R187" s="4">
        <v>6611</v>
      </c>
      <c r="S187" s="4" t="s">
        <v>159</v>
      </c>
      <c r="U187" s="4">
        <v>12</v>
      </c>
      <c r="V187" s="4">
        <v>0</v>
      </c>
      <c r="W187" s="4">
        <v>0</v>
      </c>
    </row>
    <row r="188" spans="1:23" ht="11.25" customHeight="1" x14ac:dyDescent="0.25">
      <c r="A188" s="4" t="s">
        <v>21</v>
      </c>
      <c r="B188" s="4" t="s">
        <v>39</v>
      </c>
      <c r="C188" s="4" t="s">
        <v>62</v>
      </c>
      <c r="D188" s="4" t="s">
        <v>25</v>
      </c>
      <c r="E188" s="4" t="s">
        <v>25</v>
      </c>
      <c r="F188" s="4" t="s">
        <v>25</v>
      </c>
      <c r="G188" s="4" t="s">
        <v>65</v>
      </c>
      <c r="H188" s="4" t="s">
        <v>35</v>
      </c>
      <c r="I188" s="5">
        <v>44531</v>
      </c>
      <c r="J188" s="6">
        <v>29300</v>
      </c>
      <c r="K188" s="6">
        <v>29300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64</v>
      </c>
      <c r="R188" s="4">
        <v>6611</v>
      </c>
      <c r="S188" s="4" t="s">
        <v>160</v>
      </c>
      <c r="U188" s="4">
        <v>12</v>
      </c>
      <c r="V188" s="4">
        <v>0</v>
      </c>
      <c r="W188" s="4">
        <v>0</v>
      </c>
    </row>
    <row r="189" spans="1:23" ht="11.25" customHeight="1" x14ac:dyDescent="0.25">
      <c r="A189" s="4" t="s">
        <v>21</v>
      </c>
      <c r="B189" s="4" t="s">
        <v>39</v>
      </c>
      <c r="C189" s="4" t="s">
        <v>62</v>
      </c>
      <c r="D189" s="4" t="s">
        <v>25</v>
      </c>
      <c r="E189" s="4" t="s">
        <v>25</v>
      </c>
      <c r="F189" s="4" t="s">
        <v>25</v>
      </c>
      <c r="G189" s="4" t="s">
        <v>65</v>
      </c>
      <c r="H189" s="4" t="s">
        <v>35</v>
      </c>
      <c r="I189" s="5">
        <v>44562</v>
      </c>
      <c r="J189" s="6">
        <v>29300</v>
      </c>
      <c r="K189" s="6">
        <v>29300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64</v>
      </c>
      <c r="R189" s="4">
        <v>6611</v>
      </c>
      <c r="S189" s="4" t="s">
        <v>161</v>
      </c>
      <c r="U189" s="4">
        <v>12</v>
      </c>
      <c r="V189" s="4">
        <v>0</v>
      </c>
      <c r="W189" s="4">
        <v>0</v>
      </c>
    </row>
    <row r="190" spans="1:23" ht="11.25" customHeight="1" x14ac:dyDescent="0.25">
      <c r="A190" s="4" t="s">
        <v>21</v>
      </c>
      <c r="B190" s="4" t="s">
        <v>39</v>
      </c>
      <c r="C190" s="4" t="s">
        <v>62</v>
      </c>
      <c r="D190" s="4" t="s">
        <v>25</v>
      </c>
      <c r="E190" s="4" t="s">
        <v>25</v>
      </c>
      <c r="F190" s="4" t="s">
        <v>25</v>
      </c>
      <c r="G190" s="4" t="s">
        <v>65</v>
      </c>
      <c r="H190" s="4" t="s">
        <v>35</v>
      </c>
      <c r="I190" s="5">
        <v>44593</v>
      </c>
      <c r="J190" s="6">
        <v>29300</v>
      </c>
      <c r="K190" s="6">
        <v>29300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64</v>
      </c>
      <c r="R190" s="4">
        <v>6611</v>
      </c>
      <c r="S190" s="4" t="s">
        <v>162</v>
      </c>
      <c r="U190" s="4">
        <v>12</v>
      </c>
      <c r="V190" s="4">
        <v>0</v>
      </c>
      <c r="W190" s="4">
        <v>0</v>
      </c>
    </row>
    <row r="191" spans="1:23" ht="11.25" customHeight="1" x14ac:dyDescent="0.25">
      <c r="A191" s="4" t="s">
        <v>21</v>
      </c>
      <c r="B191" s="4" t="s">
        <v>39</v>
      </c>
      <c r="C191" s="4" t="s">
        <v>62</v>
      </c>
      <c r="D191" s="4" t="s">
        <v>25</v>
      </c>
      <c r="E191" s="4" t="s">
        <v>25</v>
      </c>
      <c r="F191" s="4" t="s">
        <v>25</v>
      </c>
      <c r="G191" s="4" t="s">
        <v>65</v>
      </c>
      <c r="H191" s="4" t="s">
        <v>35</v>
      </c>
      <c r="I191" s="5">
        <v>44621</v>
      </c>
      <c r="J191" s="6">
        <v>29300</v>
      </c>
      <c r="K191" s="6">
        <v>29300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64</v>
      </c>
      <c r="R191" s="4">
        <v>6611</v>
      </c>
      <c r="S191" s="4" t="s">
        <v>163</v>
      </c>
      <c r="U191" s="4">
        <v>12</v>
      </c>
      <c r="V191" s="4">
        <v>0</v>
      </c>
      <c r="W191" s="4">
        <v>0</v>
      </c>
    </row>
    <row r="192" spans="1:23" ht="11.25" customHeight="1" x14ac:dyDescent="0.25">
      <c r="A192" s="4" t="s">
        <v>21</v>
      </c>
      <c r="B192" s="4" t="s">
        <v>39</v>
      </c>
      <c r="C192" s="4" t="s">
        <v>62</v>
      </c>
      <c r="D192" s="4" t="s">
        <v>25</v>
      </c>
      <c r="E192" s="4" t="s">
        <v>25</v>
      </c>
      <c r="F192" s="4" t="s">
        <v>25</v>
      </c>
      <c r="G192" s="4" t="s">
        <v>65</v>
      </c>
      <c r="H192" s="4" t="s">
        <v>35</v>
      </c>
      <c r="I192" s="5">
        <v>44652</v>
      </c>
      <c r="J192" s="6">
        <v>29300</v>
      </c>
      <c r="K192" s="6">
        <v>29300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64</v>
      </c>
      <c r="R192" s="4">
        <v>6611</v>
      </c>
      <c r="S192" s="4" t="s">
        <v>164</v>
      </c>
      <c r="U192" s="4">
        <v>12</v>
      </c>
      <c r="V192" s="4">
        <v>0</v>
      </c>
      <c r="W192" s="4">
        <v>0</v>
      </c>
    </row>
    <row r="193" spans="1:23" ht="11.25" customHeight="1" x14ac:dyDescent="0.25">
      <c r="A193" s="4" t="s">
        <v>21</v>
      </c>
      <c r="B193" s="4" t="s">
        <v>39</v>
      </c>
      <c r="C193" s="4" t="s">
        <v>62</v>
      </c>
      <c r="D193" s="4" t="s">
        <v>25</v>
      </c>
      <c r="E193" s="4" t="s">
        <v>25</v>
      </c>
      <c r="F193" s="4" t="s">
        <v>25</v>
      </c>
      <c r="G193" s="4" t="s">
        <v>65</v>
      </c>
      <c r="H193" s="4" t="s">
        <v>35</v>
      </c>
      <c r="I193" s="5">
        <v>44682</v>
      </c>
      <c r="J193" s="6">
        <v>29300</v>
      </c>
      <c r="K193" s="6">
        <v>29300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64</v>
      </c>
      <c r="R193" s="4">
        <v>6611</v>
      </c>
      <c r="S193" s="4" t="s">
        <v>165</v>
      </c>
      <c r="U193" s="4">
        <v>12</v>
      </c>
      <c r="V193" s="4">
        <v>0</v>
      </c>
      <c r="W193" s="4">
        <v>0</v>
      </c>
    </row>
    <row r="194" spans="1:23" ht="11.25" customHeight="1" x14ac:dyDescent="0.25">
      <c r="A194" s="4" t="s">
        <v>21</v>
      </c>
      <c r="B194" s="4" t="s">
        <v>39</v>
      </c>
      <c r="C194" s="4" t="s">
        <v>62</v>
      </c>
      <c r="D194" s="4" t="s">
        <v>25</v>
      </c>
      <c r="E194" s="4" t="s">
        <v>25</v>
      </c>
      <c r="F194" s="4" t="s">
        <v>25</v>
      </c>
      <c r="G194" s="4" t="s">
        <v>65</v>
      </c>
      <c r="H194" s="4" t="s">
        <v>35</v>
      </c>
      <c r="I194" s="5">
        <v>44713</v>
      </c>
      <c r="J194" s="6">
        <v>29300</v>
      </c>
      <c r="K194" s="6">
        <v>29300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4" t="s">
        <v>64</v>
      </c>
      <c r="R194" s="4">
        <v>6611</v>
      </c>
      <c r="S194" s="4" t="s">
        <v>166</v>
      </c>
      <c r="U194" s="4">
        <v>12</v>
      </c>
      <c r="V194" s="4">
        <v>0</v>
      </c>
      <c r="W194" s="4">
        <v>0</v>
      </c>
    </row>
    <row r="195" spans="1:23" ht="11.25" customHeight="1" x14ac:dyDescent="0.25">
      <c r="A195" s="4" t="s">
        <v>57</v>
      </c>
      <c r="B195" s="4" t="s">
        <v>39</v>
      </c>
      <c r="C195" s="4" t="s">
        <v>62</v>
      </c>
      <c r="D195" s="4" t="s">
        <v>25</v>
      </c>
      <c r="E195" s="4" t="s">
        <v>25</v>
      </c>
      <c r="F195" s="4" t="s">
        <v>25</v>
      </c>
      <c r="G195" s="4" t="s">
        <v>65</v>
      </c>
      <c r="H195" s="4" t="s">
        <v>35</v>
      </c>
      <c r="I195" s="5">
        <v>44743</v>
      </c>
      <c r="J195" s="6">
        <v>29300</v>
      </c>
      <c r="K195" s="6">
        <v>29300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64</v>
      </c>
      <c r="R195" s="4">
        <v>6611</v>
      </c>
      <c r="S195" s="4" t="s">
        <v>167</v>
      </c>
      <c r="U195" s="4">
        <v>12</v>
      </c>
      <c r="V195" s="4">
        <v>0</v>
      </c>
      <c r="W195" s="4">
        <v>0</v>
      </c>
    </row>
    <row r="196" spans="1:23" ht="11.25" customHeight="1" x14ac:dyDescent="0.25">
      <c r="A196" s="4" t="s">
        <v>21</v>
      </c>
      <c r="B196" s="4" t="s">
        <v>39</v>
      </c>
      <c r="C196" s="4" t="s">
        <v>62</v>
      </c>
      <c r="D196" s="4" t="s">
        <v>25</v>
      </c>
      <c r="E196" s="4" t="s">
        <v>25</v>
      </c>
      <c r="F196" s="4" t="s">
        <v>25</v>
      </c>
      <c r="G196" s="4" t="s">
        <v>65</v>
      </c>
      <c r="H196" s="4" t="s">
        <v>25</v>
      </c>
      <c r="I196" s="5">
        <v>44409</v>
      </c>
      <c r="J196" s="6">
        <v>0</v>
      </c>
      <c r="K196" s="6">
        <v>0</v>
      </c>
      <c r="L196" s="6">
        <v>11443.019</v>
      </c>
      <c r="M196" s="6">
        <v>11443.019</v>
      </c>
      <c r="N196" s="6">
        <v>0</v>
      </c>
      <c r="O196" s="6">
        <v>0</v>
      </c>
      <c r="P196" s="6">
        <v>0</v>
      </c>
      <c r="Q196" s="4" t="s">
        <v>64</v>
      </c>
      <c r="R196" s="4">
        <v>6611</v>
      </c>
      <c r="S196" s="4" t="s">
        <v>168</v>
      </c>
      <c r="U196" s="4">
        <v>0</v>
      </c>
      <c r="V196" s="4">
        <v>14</v>
      </c>
      <c r="W196" s="4">
        <v>0</v>
      </c>
    </row>
    <row r="197" spans="1:23" ht="11.25" customHeight="1" x14ac:dyDescent="0.25">
      <c r="A197" s="4" t="s">
        <v>21</v>
      </c>
      <c r="B197" s="4" t="s">
        <v>39</v>
      </c>
      <c r="C197" s="4" t="s">
        <v>62</v>
      </c>
      <c r="D197" s="4" t="s">
        <v>25</v>
      </c>
      <c r="E197" s="4" t="s">
        <v>25</v>
      </c>
      <c r="F197" s="4" t="s">
        <v>25</v>
      </c>
      <c r="G197" s="4" t="s">
        <v>65</v>
      </c>
      <c r="H197" s="4" t="s">
        <v>25</v>
      </c>
      <c r="I197" s="5">
        <v>44440</v>
      </c>
      <c r="J197" s="6">
        <v>0</v>
      </c>
      <c r="K197" s="6">
        <v>0</v>
      </c>
      <c r="L197" s="6">
        <v>11136.861999999999</v>
      </c>
      <c r="M197" s="6">
        <v>11136.861999999999</v>
      </c>
      <c r="N197" s="6">
        <v>0</v>
      </c>
      <c r="O197" s="6">
        <v>0</v>
      </c>
      <c r="P197" s="6">
        <v>0</v>
      </c>
      <c r="Q197" s="4" t="s">
        <v>64</v>
      </c>
      <c r="R197" s="4">
        <v>6611</v>
      </c>
      <c r="S197" s="4" t="s">
        <v>169</v>
      </c>
      <c r="U197" s="4">
        <v>0</v>
      </c>
      <c r="V197" s="4">
        <v>14</v>
      </c>
      <c r="W197" s="4">
        <v>0</v>
      </c>
    </row>
    <row r="198" spans="1:23" ht="11.25" customHeight="1" x14ac:dyDescent="0.25">
      <c r="A198" s="4" t="s">
        <v>21</v>
      </c>
      <c r="B198" s="4" t="s">
        <v>39</v>
      </c>
      <c r="C198" s="4" t="s">
        <v>62</v>
      </c>
      <c r="D198" s="4" t="s">
        <v>25</v>
      </c>
      <c r="E198" s="4" t="s">
        <v>25</v>
      </c>
      <c r="F198" s="4" t="s">
        <v>25</v>
      </c>
      <c r="G198" s="4" t="s">
        <v>65</v>
      </c>
      <c r="H198" s="4" t="s">
        <v>25</v>
      </c>
      <c r="I198" s="5">
        <v>44470</v>
      </c>
      <c r="J198" s="6">
        <v>0</v>
      </c>
      <c r="K198" s="6">
        <v>0</v>
      </c>
      <c r="L198" s="6">
        <v>11604.642</v>
      </c>
      <c r="M198" s="6">
        <v>11604.642</v>
      </c>
      <c r="N198" s="6">
        <v>0</v>
      </c>
      <c r="O198" s="6">
        <v>0</v>
      </c>
      <c r="P198" s="6">
        <v>0</v>
      </c>
      <c r="Q198" s="4" t="s">
        <v>64</v>
      </c>
      <c r="R198" s="4">
        <v>6611</v>
      </c>
      <c r="S198" s="4" t="s">
        <v>170</v>
      </c>
      <c r="U198" s="4">
        <v>0</v>
      </c>
      <c r="V198" s="4">
        <v>14</v>
      </c>
      <c r="W198" s="4">
        <v>0</v>
      </c>
    </row>
    <row r="199" spans="1:23" ht="11.25" customHeight="1" x14ac:dyDescent="0.25">
      <c r="A199" s="4" t="s">
        <v>21</v>
      </c>
      <c r="B199" s="4" t="s">
        <v>39</v>
      </c>
      <c r="C199" s="4" t="s">
        <v>62</v>
      </c>
      <c r="D199" s="4" t="s">
        <v>25</v>
      </c>
      <c r="E199" s="4" t="s">
        <v>25</v>
      </c>
      <c r="F199" s="4" t="s">
        <v>25</v>
      </c>
      <c r="G199" s="4" t="s">
        <v>65</v>
      </c>
      <c r="H199" s="4" t="s">
        <v>25</v>
      </c>
      <c r="I199" s="5">
        <v>44501</v>
      </c>
      <c r="J199" s="6">
        <v>0</v>
      </c>
      <c r="K199" s="6">
        <v>0</v>
      </c>
      <c r="L199" s="6">
        <v>12398.616</v>
      </c>
      <c r="M199" s="6">
        <v>12398.616</v>
      </c>
      <c r="N199" s="6">
        <v>0</v>
      </c>
      <c r="O199" s="6">
        <v>0</v>
      </c>
      <c r="P199" s="6">
        <v>0</v>
      </c>
      <c r="Q199" s="4" t="s">
        <v>64</v>
      </c>
      <c r="R199" s="4">
        <v>6611</v>
      </c>
      <c r="S199" s="4" t="s">
        <v>171</v>
      </c>
      <c r="U199" s="4">
        <v>0</v>
      </c>
      <c r="V199" s="4">
        <v>14</v>
      </c>
      <c r="W199" s="4">
        <v>0</v>
      </c>
    </row>
    <row r="200" spans="1:23" ht="11.25" customHeight="1" x14ac:dyDescent="0.25">
      <c r="A200" s="4" t="s">
        <v>21</v>
      </c>
      <c r="B200" s="4" t="s">
        <v>39</v>
      </c>
      <c r="C200" s="4" t="s">
        <v>62</v>
      </c>
      <c r="D200" s="4" t="s">
        <v>25</v>
      </c>
      <c r="E200" s="4" t="s">
        <v>25</v>
      </c>
      <c r="F200" s="4" t="s">
        <v>25</v>
      </c>
      <c r="G200" s="4" t="s">
        <v>65</v>
      </c>
      <c r="H200" s="4" t="s">
        <v>25</v>
      </c>
      <c r="I200" s="5">
        <v>44531</v>
      </c>
      <c r="J200" s="6">
        <v>0</v>
      </c>
      <c r="K200" s="6">
        <v>0</v>
      </c>
      <c r="L200" s="6">
        <v>12355.644</v>
      </c>
      <c r="M200" s="6">
        <v>12355.644</v>
      </c>
      <c r="N200" s="6">
        <v>0</v>
      </c>
      <c r="O200" s="6">
        <v>0</v>
      </c>
      <c r="P200" s="6">
        <v>0</v>
      </c>
      <c r="Q200" s="4" t="s">
        <v>64</v>
      </c>
      <c r="R200" s="4">
        <v>6611</v>
      </c>
      <c r="S200" s="4" t="s">
        <v>172</v>
      </c>
      <c r="U200" s="4">
        <v>0</v>
      </c>
      <c r="V200" s="4">
        <v>14</v>
      </c>
      <c r="W200" s="4">
        <v>0</v>
      </c>
    </row>
    <row r="201" spans="1:23" ht="11.25" customHeight="1" x14ac:dyDescent="0.25">
      <c r="A201" s="4" t="s">
        <v>21</v>
      </c>
      <c r="B201" s="4" t="s">
        <v>39</v>
      </c>
      <c r="C201" s="4" t="s">
        <v>62</v>
      </c>
      <c r="D201" s="4" t="s">
        <v>25</v>
      </c>
      <c r="E201" s="4" t="s">
        <v>25</v>
      </c>
      <c r="F201" s="4" t="s">
        <v>25</v>
      </c>
      <c r="G201" s="4" t="s">
        <v>65</v>
      </c>
      <c r="H201" s="4" t="s">
        <v>25</v>
      </c>
      <c r="I201" s="5">
        <v>44562</v>
      </c>
      <c r="J201" s="6">
        <v>0</v>
      </c>
      <c r="K201" s="6">
        <v>0</v>
      </c>
      <c r="L201" s="6">
        <v>12554.525</v>
      </c>
      <c r="M201" s="6">
        <v>12554.525</v>
      </c>
      <c r="N201" s="6">
        <v>0</v>
      </c>
      <c r="O201" s="6">
        <v>0</v>
      </c>
      <c r="P201" s="6">
        <v>0</v>
      </c>
      <c r="Q201" s="4" t="s">
        <v>64</v>
      </c>
      <c r="R201" s="4">
        <v>6611</v>
      </c>
      <c r="S201" s="4" t="s">
        <v>173</v>
      </c>
      <c r="U201" s="4">
        <v>0</v>
      </c>
      <c r="V201" s="4">
        <v>14</v>
      </c>
      <c r="W201" s="4">
        <v>0</v>
      </c>
    </row>
    <row r="202" spans="1:23" ht="11.25" customHeight="1" x14ac:dyDescent="0.25">
      <c r="A202" s="4" t="s">
        <v>21</v>
      </c>
      <c r="B202" s="4" t="s">
        <v>39</v>
      </c>
      <c r="C202" s="4" t="s">
        <v>62</v>
      </c>
      <c r="D202" s="4" t="s">
        <v>25</v>
      </c>
      <c r="E202" s="4" t="s">
        <v>25</v>
      </c>
      <c r="F202" s="4" t="s">
        <v>25</v>
      </c>
      <c r="G202" s="4" t="s">
        <v>65</v>
      </c>
      <c r="H202" s="4" t="s">
        <v>25</v>
      </c>
      <c r="I202" s="5">
        <v>44593</v>
      </c>
      <c r="J202" s="6">
        <v>0</v>
      </c>
      <c r="K202" s="6">
        <v>0</v>
      </c>
      <c r="L202" s="6">
        <v>12240.692999999999</v>
      </c>
      <c r="M202" s="6">
        <v>12240.692999999999</v>
      </c>
      <c r="N202" s="6">
        <v>0</v>
      </c>
      <c r="O202" s="6">
        <v>0</v>
      </c>
      <c r="P202" s="6">
        <v>0</v>
      </c>
      <c r="Q202" s="4" t="s">
        <v>64</v>
      </c>
      <c r="R202" s="4">
        <v>6611</v>
      </c>
      <c r="S202" s="4" t="s">
        <v>174</v>
      </c>
      <c r="U202" s="4">
        <v>0</v>
      </c>
      <c r="V202" s="4">
        <v>14</v>
      </c>
      <c r="W202" s="4">
        <v>0</v>
      </c>
    </row>
    <row r="203" spans="1:23" ht="11.25" customHeight="1" x14ac:dyDescent="0.25">
      <c r="A203" s="4" t="s">
        <v>21</v>
      </c>
      <c r="B203" s="4" t="s">
        <v>39</v>
      </c>
      <c r="C203" s="4" t="s">
        <v>62</v>
      </c>
      <c r="D203" s="4" t="s">
        <v>25</v>
      </c>
      <c r="E203" s="4" t="s">
        <v>25</v>
      </c>
      <c r="F203" s="4" t="s">
        <v>25</v>
      </c>
      <c r="G203" s="4" t="s">
        <v>65</v>
      </c>
      <c r="H203" s="4" t="s">
        <v>25</v>
      </c>
      <c r="I203" s="5">
        <v>44621</v>
      </c>
      <c r="J203" s="6">
        <v>0</v>
      </c>
      <c r="K203" s="6">
        <v>0</v>
      </c>
      <c r="L203" s="6">
        <v>11557.92</v>
      </c>
      <c r="M203" s="6">
        <v>11557.92</v>
      </c>
      <c r="N203" s="6">
        <v>0</v>
      </c>
      <c r="O203" s="6">
        <v>0</v>
      </c>
      <c r="P203" s="6">
        <v>0</v>
      </c>
      <c r="Q203" s="4" t="s">
        <v>64</v>
      </c>
      <c r="R203" s="4">
        <v>6611</v>
      </c>
      <c r="S203" s="4" t="s">
        <v>175</v>
      </c>
      <c r="U203" s="4">
        <v>0</v>
      </c>
      <c r="V203" s="4">
        <v>14</v>
      </c>
      <c r="W203" s="4">
        <v>0</v>
      </c>
    </row>
    <row r="204" spans="1:23" ht="11.25" customHeight="1" x14ac:dyDescent="0.25">
      <c r="A204" s="4" t="s">
        <v>21</v>
      </c>
      <c r="B204" s="4" t="s">
        <v>39</v>
      </c>
      <c r="C204" s="4" t="s">
        <v>62</v>
      </c>
      <c r="D204" s="4" t="s">
        <v>25</v>
      </c>
      <c r="E204" s="4" t="s">
        <v>25</v>
      </c>
      <c r="F204" s="4" t="s">
        <v>25</v>
      </c>
      <c r="G204" s="4" t="s">
        <v>65</v>
      </c>
      <c r="H204" s="4" t="s">
        <v>25</v>
      </c>
      <c r="I204" s="5">
        <v>44652</v>
      </c>
      <c r="J204" s="6">
        <v>0</v>
      </c>
      <c r="K204" s="6">
        <v>0</v>
      </c>
      <c r="L204" s="6">
        <v>12544.321</v>
      </c>
      <c r="M204" s="6">
        <v>12544.321</v>
      </c>
      <c r="N204" s="6">
        <v>0</v>
      </c>
      <c r="O204" s="6">
        <v>0</v>
      </c>
      <c r="P204" s="6">
        <v>0</v>
      </c>
      <c r="Q204" s="4" t="s">
        <v>64</v>
      </c>
      <c r="R204" s="4">
        <v>6611</v>
      </c>
      <c r="S204" s="4" t="s">
        <v>176</v>
      </c>
      <c r="U204" s="4">
        <v>0</v>
      </c>
      <c r="V204" s="4">
        <v>14</v>
      </c>
      <c r="W204" s="4">
        <v>0</v>
      </c>
    </row>
    <row r="205" spans="1:23" ht="11.25" customHeight="1" x14ac:dyDescent="0.25">
      <c r="A205" s="4" t="s">
        <v>21</v>
      </c>
      <c r="B205" s="4" t="s">
        <v>39</v>
      </c>
      <c r="C205" s="4" t="s">
        <v>62</v>
      </c>
      <c r="D205" s="4" t="s">
        <v>25</v>
      </c>
      <c r="E205" s="4" t="s">
        <v>25</v>
      </c>
      <c r="F205" s="4" t="s">
        <v>25</v>
      </c>
      <c r="G205" s="4" t="s">
        <v>65</v>
      </c>
      <c r="H205" s="4" t="s">
        <v>25</v>
      </c>
      <c r="I205" s="5">
        <v>44682</v>
      </c>
      <c r="J205" s="6">
        <v>0</v>
      </c>
      <c r="K205" s="6">
        <v>0</v>
      </c>
      <c r="L205" s="6">
        <v>11977.334999999999</v>
      </c>
      <c r="M205" s="6">
        <v>11977.334999999999</v>
      </c>
      <c r="N205" s="6">
        <v>0</v>
      </c>
      <c r="O205" s="6">
        <v>0</v>
      </c>
      <c r="P205" s="6">
        <v>0</v>
      </c>
      <c r="Q205" s="4" t="s">
        <v>64</v>
      </c>
      <c r="R205" s="4">
        <v>6611</v>
      </c>
      <c r="S205" s="4" t="s">
        <v>177</v>
      </c>
      <c r="U205" s="4">
        <v>0</v>
      </c>
      <c r="V205" s="4">
        <v>14</v>
      </c>
      <c r="W205" s="4">
        <v>0</v>
      </c>
    </row>
    <row r="206" spans="1:23" ht="11.25" customHeight="1" x14ac:dyDescent="0.25">
      <c r="A206" s="4" t="s">
        <v>21</v>
      </c>
      <c r="B206" s="4" t="s">
        <v>39</v>
      </c>
      <c r="C206" s="4" t="s">
        <v>62</v>
      </c>
      <c r="D206" s="4" t="s">
        <v>25</v>
      </c>
      <c r="E206" s="4" t="s">
        <v>25</v>
      </c>
      <c r="F206" s="4" t="s">
        <v>25</v>
      </c>
      <c r="G206" s="4" t="s">
        <v>65</v>
      </c>
      <c r="H206" s="4" t="s">
        <v>25</v>
      </c>
      <c r="I206" s="5">
        <v>44713</v>
      </c>
      <c r="J206" s="6">
        <v>0</v>
      </c>
      <c r="K206" s="6">
        <v>0</v>
      </c>
      <c r="L206" s="6">
        <v>11880.42</v>
      </c>
      <c r="M206" s="6">
        <v>11880.42</v>
      </c>
      <c r="N206" s="6">
        <v>0</v>
      </c>
      <c r="O206" s="6">
        <v>0</v>
      </c>
      <c r="P206" s="6">
        <v>0</v>
      </c>
      <c r="Q206" s="4" t="s">
        <v>64</v>
      </c>
      <c r="R206" s="4">
        <v>6611</v>
      </c>
      <c r="S206" s="4" t="s">
        <v>178</v>
      </c>
      <c r="U206" s="4">
        <v>0</v>
      </c>
      <c r="V206" s="4">
        <v>14</v>
      </c>
      <c r="W206" s="4">
        <v>0</v>
      </c>
    </row>
    <row r="207" spans="1:23" ht="11.25" customHeight="1" x14ac:dyDescent="0.25">
      <c r="A207" s="4" t="s">
        <v>57</v>
      </c>
      <c r="B207" s="4" t="s">
        <v>39</v>
      </c>
      <c r="C207" s="4" t="s">
        <v>62</v>
      </c>
      <c r="D207" s="4" t="s">
        <v>25</v>
      </c>
      <c r="E207" s="4" t="s">
        <v>25</v>
      </c>
      <c r="F207" s="4" t="s">
        <v>25</v>
      </c>
      <c r="G207" s="4" t="s">
        <v>65</v>
      </c>
      <c r="H207" s="4" t="s">
        <v>25</v>
      </c>
      <c r="I207" s="5">
        <v>44743</v>
      </c>
      <c r="J207" s="6">
        <v>0</v>
      </c>
      <c r="K207" s="6">
        <v>0</v>
      </c>
      <c r="L207" s="6">
        <v>11880.42</v>
      </c>
      <c r="M207" s="6">
        <v>11880.42</v>
      </c>
      <c r="N207" s="6">
        <v>0</v>
      </c>
      <c r="O207" s="6">
        <v>0</v>
      </c>
      <c r="P207" s="6">
        <v>0</v>
      </c>
      <c r="Q207" s="4" t="s">
        <v>64</v>
      </c>
      <c r="R207" s="4">
        <v>6611</v>
      </c>
      <c r="S207" s="4" t="s">
        <v>179</v>
      </c>
      <c r="U207" s="4">
        <v>0</v>
      </c>
      <c r="V207" s="4">
        <v>14</v>
      </c>
      <c r="W207" s="4">
        <v>0</v>
      </c>
    </row>
    <row r="208" spans="1:23" ht="11.25" customHeight="1" x14ac:dyDescent="0.25">
      <c r="A208" s="4" t="s">
        <v>21</v>
      </c>
      <c r="B208" s="4" t="s">
        <v>39</v>
      </c>
      <c r="C208" s="4" t="s">
        <v>62</v>
      </c>
      <c r="D208" s="4" t="s">
        <v>25</v>
      </c>
      <c r="E208" s="4" t="s">
        <v>25</v>
      </c>
      <c r="F208" s="4" t="s">
        <v>25</v>
      </c>
      <c r="G208" s="4" t="s">
        <v>65</v>
      </c>
      <c r="H208" s="4" t="s">
        <v>34</v>
      </c>
      <c r="I208" s="5">
        <v>44409</v>
      </c>
      <c r="J208" s="6">
        <v>28600</v>
      </c>
      <c r="K208" s="6">
        <v>28600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64</v>
      </c>
      <c r="R208" s="4">
        <v>6611</v>
      </c>
      <c r="S208" s="4" t="s">
        <v>180</v>
      </c>
      <c r="U208" s="4">
        <v>9</v>
      </c>
      <c r="V208" s="4">
        <v>0</v>
      </c>
      <c r="W208" s="4">
        <v>0</v>
      </c>
    </row>
    <row r="209" spans="1:23" ht="11.25" customHeight="1" x14ac:dyDescent="0.25">
      <c r="A209" s="4" t="s">
        <v>21</v>
      </c>
      <c r="B209" s="4" t="s">
        <v>39</v>
      </c>
      <c r="C209" s="4" t="s">
        <v>62</v>
      </c>
      <c r="D209" s="4" t="s">
        <v>25</v>
      </c>
      <c r="E209" s="4" t="s">
        <v>25</v>
      </c>
      <c r="F209" s="4" t="s">
        <v>25</v>
      </c>
      <c r="G209" s="4" t="s">
        <v>65</v>
      </c>
      <c r="H209" s="4" t="s">
        <v>34</v>
      </c>
      <c r="I209" s="5">
        <v>44440</v>
      </c>
      <c r="J209" s="6">
        <v>28600</v>
      </c>
      <c r="K209" s="6">
        <v>28600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64</v>
      </c>
      <c r="R209" s="4">
        <v>6611</v>
      </c>
      <c r="S209" s="4" t="s">
        <v>181</v>
      </c>
      <c r="U209" s="4">
        <v>9</v>
      </c>
      <c r="V209" s="4">
        <v>0</v>
      </c>
      <c r="W209" s="4">
        <v>0</v>
      </c>
    </row>
    <row r="210" spans="1:23" ht="11.25" customHeight="1" x14ac:dyDescent="0.25">
      <c r="A210" s="4" t="s">
        <v>21</v>
      </c>
      <c r="B210" s="4" t="s">
        <v>39</v>
      </c>
      <c r="C210" s="4" t="s">
        <v>62</v>
      </c>
      <c r="D210" s="4" t="s">
        <v>25</v>
      </c>
      <c r="E210" s="4" t="s">
        <v>25</v>
      </c>
      <c r="F210" s="4" t="s">
        <v>25</v>
      </c>
      <c r="G210" s="4" t="s">
        <v>65</v>
      </c>
      <c r="H210" s="4" t="s">
        <v>34</v>
      </c>
      <c r="I210" s="5">
        <v>44470</v>
      </c>
      <c r="J210" s="6">
        <v>28600</v>
      </c>
      <c r="K210" s="6">
        <v>28600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4" t="s">
        <v>64</v>
      </c>
      <c r="R210" s="4">
        <v>6611</v>
      </c>
      <c r="S210" s="4" t="s">
        <v>182</v>
      </c>
      <c r="U210" s="4">
        <v>9</v>
      </c>
      <c r="V210" s="4">
        <v>0</v>
      </c>
      <c r="W210" s="4">
        <v>0</v>
      </c>
    </row>
    <row r="211" spans="1:23" ht="11.25" customHeight="1" x14ac:dyDescent="0.25">
      <c r="A211" s="4" t="s">
        <v>21</v>
      </c>
      <c r="B211" s="4" t="s">
        <v>39</v>
      </c>
      <c r="C211" s="4" t="s">
        <v>62</v>
      </c>
      <c r="D211" s="4" t="s">
        <v>25</v>
      </c>
      <c r="E211" s="4" t="s">
        <v>25</v>
      </c>
      <c r="F211" s="4" t="s">
        <v>25</v>
      </c>
      <c r="G211" s="4" t="s">
        <v>65</v>
      </c>
      <c r="H211" s="4" t="s">
        <v>34</v>
      </c>
      <c r="I211" s="5">
        <v>44501</v>
      </c>
      <c r="J211" s="6">
        <v>28600</v>
      </c>
      <c r="K211" s="6">
        <v>28600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4" t="s">
        <v>64</v>
      </c>
      <c r="R211" s="4">
        <v>6611</v>
      </c>
      <c r="S211" s="4" t="s">
        <v>183</v>
      </c>
      <c r="U211" s="4">
        <v>9</v>
      </c>
      <c r="V211" s="4">
        <v>0</v>
      </c>
      <c r="W211" s="4">
        <v>0</v>
      </c>
    </row>
    <row r="212" spans="1:23" ht="11.25" customHeight="1" x14ac:dyDescent="0.25">
      <c r="A212" s="4" t="s">
        <v>21</v>
      </c>
      <c r="B212" s="4" t="s">
        <v>39</v>
      </c>
      <c r="C212" s="4" t="s">
        <v>62</v>
      </c>
      <c r="D212" s="4" t="s">
        <v>25</v>
      </c>
      <c r="E212" s="4" t="s">
        <v>25</v>
      </c>
      <c r="F212" s="4" t="s">
        <v>25</v>
      </c>
      <c r="G212" s="4" t="s">
        <v>65</v>
      </c>
      <c r="H212" s="4" t="s">
        <v>34</v>
      </c>
      <c r="I212" s="5">
        <v>44531</v>
      </c>
      <c r="J212" s="6">
        <v>28600</v>
      </c>
      <c r="K212" s="6">
        <v>28600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4" t="s">
        <v>64</v>
      </c>
      <c r="R212" s="4">
        <v>6611</v>
      </c>
      <c r="S212" s="4" t="s">
        <v>184</v>
      </c>
      <c r="U212" s="4">
        <v>9</v>
      </c>
      <c r="V212" s="4">
        <v>0</v>
      </c>
      <c r="W212" s="4">
        <v>0</v>
      </c>
    </row>
    <row r="213" spans="1:23" ht="11.25" customHeight="1" x14ac:dyDescent="0.25">
      <c r="A213" s="4" t="s">
        <v>21</v>
      </c>
      <c r="B213" s="4" t="s">
        <v>39</v>
      </c>
      <c r="C213" s="4" t="s">
        <v>62</v>
      </c>
      <c r="D213" s="4" t="s">
        <v>25</v>
      </c>
      <c r="E213" s="4" t="s">
        <v>25</v>
      </c>
      <c r="F213" s="4" t="s">
        <v>25</v>
      </c>
      <c r="G213" s="4" t="s">
        <v>65</v>
      </c>
      <c r="H213" s="4" t="s">
        <v>34</v>
      </c>
      <c r="I213" s="5">
        <v>44562</v>
      </c>
      <c r="J213" s="6">
        <v>29792</v>
      </c>
      <c r="K213" s="6">
        <v>29792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4" t="s">
        <v>64</v>
      </c>
      <c r="R213" s="4">
        <v>6611</v>
      </c>
      <c r="S213" s="4" t="s">
        <v>185</v>
      </c>
      <c r="U213" s="4">
        <v>9</v>
      </c>
      <c r="V213" s="4">
        <v>0</v>
      </c>
      <c r="W213" s="4">
        <v>0</v>
      </c>
    </row>
    <row r="214" spans="1:23" ht="11.25" customHeight="1" x14ac:dyDescent="0.25">
      <c r="A214" s="4" t="s">
        <v>21</v>
      </c>
      <c r="B214" s="4" t="s">
        <v>39</v>
      </c>
      <c r="C214" s="4" t="s">
        <v>62</v>
      </c>
      <c r="D214" s="4" t="s">
        <v>25</v>
      </c>
      <c r="E214" s="4" t="s">
        <v>25</v>
      </c>
      <c r="F214" s="4" t="s">
        <v>25</v>
      </c>
      <c r="G214" s="4" t="s">
        <v>65</v>
      </c>
      <c r="H214" s="4" t="s">
        <v>34</v>
      </c>
      <c r="I214" s="5">
        <v>44593</v>
      </c>
      <c r="J214" s="6">
        <v>28600</v>
      </c>
      <c r="K214" s="6">
        <v>28600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4" t="s">
        <v>64</v>
      </c>
      <c r="R214" s="4">
        <v>6611</v>
      </c>
      <c r="S214" s="4" t="s">
        <v>186</v>
      </c>
      <c r="U214" s="4">
        <v>9</v>
      </c>
      <c r="V214" s="4">
        <v>0</v>
      </c>
      <c r="W214" s="4">
        <v>0</v>
      </c>
    </row>
    <row r="215" spans="1:23" ht="11.25" customHeight="1" x14ac:dyDescent="0.25">
      <c r="A215" s="4" t="s">
        <v>21</v>
      </c>
      <c r="B215" s="4" t="s">
        <v>39</v>
      </c>
      <c r="C215" s="4" t="s">
        <v>62</v>
      </c>
      <c r="D215" s="4" t="s">
        <v>25</v>
      </c>
      <c r="E215" s="4" t="s">
        <v>25</v>
      </c>
      <c r="F215" s="4" t="s">
        <v>25</v>
      </c>
      <c r="G215" s="4" t="s">
        <v>65</v>
      </c>
      <c r="H215" s="4" t="s">
        <v>34</v>
      </c>
      <c r="I215" s="5">
        <v>44621</v>
      </c>
      <c r="J215" s="6">
        <v>28600</v>
      </c>
      <c r="K215" s="6">
        <v>28600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4" t="s">
        <v>64</v>
      </c>
      <c r="R215" s="4">
        <v>6611</v>
      </c>
      <c r="S215" s="4" t="s">
        <v>187</v>
      </c>
      <c r="U215" s="4">
        <v>9</v>
      </c>
      <c r="V215" s="4">
        <v>0</v>
      </c>
      <c r="W215" s="4">
        <v>0</v>
      </c>
    </row>
    <row r="216" spans="1:23" ht="11.25" customHeight="1" x14ac:dyDescent="0.25">
      <c r="A216" s="4" t="s">
        <v>21</v>
      </c>
      <c r="B216" s="4" t="s">
        <v>39</v>
      </c>
      <c r="C216" s="4" t="s">
        <v>62</v>
      </c>
      <c r="D216" s="4" t="s">
        <v>25</v>
      </c>
      <c r="E216" s="4" t="s">
        <v>25</v>
      </c>
      <c r="F216" s="4" t="s">
        <v>25</v>
      </c>
      <c r="G216" s="4" t="s">
        <v>65</v>
      </c>
      <c r="H216" s="4" t="s">
        <v>34</v>
      </c>
      <c r="I216" s="5">
        <v>44652</v>
      </c>
      <c r="J216" s="6">
        <v>28600</v>
      </c>
      <c r="K216" s="6">
        <v>28600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4" t="s">
        <v>64</v>
      </c>
      <c r="R216" s="4">
        <v>6611</v>
      </c>
      <c r="S216" s="4" t="s">
        <v>188</v>
      </c>
      <c r="U216" s="4">
        <v>9</v>
      </c>
      <c r="V216" s="4">
        <v>0</v>
      </c>
      <c r="W216" s="4">
        <v>0</v>
      </c>
    </row>
    <row r="217" spans="1:23" ht="11.25" customHeight="1" x14ac:dyDescent="0.25">
      <c r="A217" s="4" t="s">
        <v>21</v>
      </c>
      <c r="B217" s="4" t="s">
        <v>39</v>
      </c>
      <c r="C217" s="4" t="s">
        <v>62</v>
      </c>
      <c r="D217" s="4" t="s">
        <v>25</v>
      </c>
      <c r="E217" s="4" t="s">
        <v>25</v>
      </c>
      <c r="F217" s="4" t="s">
        <v>25</v>
      </c>
      <c r="G217" s="4" t="s">
        <v>65</v>
      </c>
      <c r="H217" s="4" t="s">
        <v>34</v>
      </c>
      <c r="I217" s="5">
        <v>44682</v>
      </c>
      <c r="J217" s="6">
        <v>28600</v>
      </c>
      <c r="K217" s="6">
        <v>28600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64</v>
      </c>
      <c r="R217" s="4">
        <v>6611</v>
      </c>
      <c r="S217" s="4" t="s">
        <v>189</v>
      </c>
      <c r="U217" s="4">
        <v>9</v>
      </c>
      <c r="V217" s="4">
        <v>0</v>
      </c>
      <c r="W217" s="4">
        <v>0</v>
      </c>
    </row>
    <row r="218" spans="1:23" ht="11.25" customHeight="1" x14ac:dyDescent="0.25">
      <c r="A218" s="4" t="s">
        <v>21</v>
      </c>
      <c r="B218" s="4" t="s">
        <v>39</v>
      </c>
      <c r="C218" s="4" t="s">
        <v>62</v>
      </c>
      <c r="D218" s="4" t="s">
        <v>25</v>
      </c>
      <c r="E218" s="4" t="s">
        <v>25</v>
      </c>
      <c r="F218" s="4" t="s">
        <v>25</v>
      </c>
      <c r="G218" s="4" t="s">
        <v>65</v>
      </c>
      <c r="H218" s="4" t="s">
        <v>34</v>
      </c>
      <c r="I218" s="5">
        <v>44713</v>
      </c>
      <c r="J218" s="6">
        <v>28600</v>
      </c>
      <c r="K218" s="6">
        <v>28600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4" t="s">
        <v>64</v>
      </c>
      <c r="R218" s="4">
        <v>6611</v>
      </c>
      <c r="S218" s="4" t="s">
        <v>190</v>
      </c>
      <c r="U218" s="4">
        <v>9</v>
      </c>
      <c r="V218" s="4">
        <v>0</v>
      </c>
      <c r="W218" s="4">
        <v>0</v>
      </c>
    </row>
    <row r="219" spans="1:23" ht="11.25" customHeight="1" x14ac:dyDescent="0.25">
      <c r="A219" s="4" t="s">
        <v>57</v>
      </c>
      <c r="B219" s="4" t="s">
        <v>39</v>
      </c>
      <c r="C219" s="4" t="s">
        <v>62</v>
      </c>
      <c r="D219" s="4" t="s">
        <v>25</v>
      </c>
      <c r="E219" s="4" t="s">
        <v>25</v>
      </c>
      <c r="F219" s="4" t="s">
        <v>25</v>
      </c>
      <c r="G219" s="4" t="s">
        <v>65</v>
      </c>
      <c r="H219" s="4" t="s">
        <v>34</v>
      </c>
      <c r="I219" s="5">
        <v>44743</v>
      </c>
      <c r="J219" s="6">
        <v>28600</v>
      </c>
      <c r="K219" s="6">
        <v>28600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4" t="s">
        <v>64</v>
      </c>
      <c r="R219" s="4">
        <v>6611</v>
      </c>
      <c r="S219" s="4" t="s">
        <v>191</v>
      </c>
      <c r="U219" s="4">
        <v>9</v>
      </c>
      <c r="V219" s="4">
        <v>0</v>
      </c>
      <c r="W219" s="4">
        <v>0</v>
      </c>
    </row>
    <row r="220" spans="1:23" ht="11.25" customHeight="1" x14ac:dyDescent="0.25">
      <c r="A220" s="4" t="s">
        <v>21</v>
      </c>
      <c r="B220" s="4" t="s">
        <v>39</v>
      </c>
      <c r="C220" s="4" t="s">
        <v>66</v>
      </c>
      <c r="D220" s="4" t="s">
        <v>25</v>
      </c>
      <c r="E220" s="4" t="s">
        <v>25</v>
      </c>
      <c r="F220" s="4" t="s">
        <v>25</v>
      </c>
      <c r="G220" s="4" t="s">
        <v>67</v>
      </c>
      <c r="H220" s="4" t="s">
        <v>25</v>
      </c>
      <c r="I220" s="5">
        <v>44409</v>
      </c>
      <c r="J220" s="6">
        <v>3500</v>
      </c>
      <c r="K220" s="6">
        <v>3500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4" t="s">
        <v>68</v>
      </c>
      <c r="R220" s="4">
        <v>27402</v>
      </c>
      <c r="S220" s="4" t="s">
        <v>192</v>
      </c>
      <c r="U220" s="4">
        <v>16</v>
      </c>
      <c r="V220" s="4">
        <v>0</v>
      </c>
      <c r="W220" s="4">
        <v>0</v>
      </c>
    </row>
    <row r="221" spans="1:23" ht="11.25" customHeight="1" x14ac:dyDescent="0.25">
      <c r="A221" s="4" t="s">
        <v>21</v>
      </c>
      <c r="B221" s="4" t="s">
        <v>39</v>
      </c>
      <c r="C221" s="4" t="s">
        <v>66</v>
      </c>
      <c r="D221" s="4" t="s">
        <v>25</v>
      </c>
      <c r="E221" s="4" t="s">
        <v>25</v>
      </c>
      <c r="F221" s="4" t="s">
        <v>25</v>
      </c>
      <c r="G221" s="4" t="s">
        <v>69</v>
      </c>
      <c r="H221" s="4" t="s">
        <v>25</v>
      </c>
      <c r="I221" s="5">
        <v>44409</v>
      </c>
      <c r="J221" s="6">
        <v>3000</v>
      </c>
      <c r="K221" s="6">
        <v>1500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4" t="s">
        <v>68</v>
      </c>
      <c r="R221" s="4">
        <v>28515</v>
      </c>
      <c r="S221" s="4" t="s">
        <v>192</v>
      </c>
      <c r="U221" s="4">
        <v>16</v>
      </c>
      <c r="V221" s="4">
        <v>0</v>
      </c>
      <c r="W221" s="4">
        <v>0</v>
      </c>
    </row>
    <row r="222" spans="1:23" ht="11.25" customHeight="1" x14ac:dyDescent="0.25">
      <c r="A222" s="4" t="s">
        <v>21</v>
      </c>
      <c r="B222" s="4" t="s">
        <v>39</v>
      </c>
      <c r="C222" s="4" t="s">
        <v>66</v>
      </c>
      <c r="D222" s="4" t="s">
        <v>25</v>
      </c>
      <c r="E222" s="4" t="s">
        <v>25</v>
      </c>
      <c r="F222" s="4" t="s">
        <v>25</v>
      </c>
      <c r="G222" s="4" t="s">
        <v>70</v>
      </c>
      <c r="H222" s="4" t="s">
        <v>25</v>
      </c>
      <c r="I222" s="5">
        <v>44409</v>
      </c>
      <c r="J222" s="6">
        <v>11000</v>
      </c>
      <c r="K222" s="6">
        <v>5500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4" t="s">
        <v>68</v>
      </c>
      <c r="R222" s="4">
        <v>28957</v>
      </c>
      <c r="S222" s="4" t="s">
        <v>192</v>
      </c>
      <c r="U222" s="4">
        <v>16</v>
      </c>
      <c r="V222" s="4">
        <v>0</v>
      </c>
      <c r="W222" s="4">
        <v>0</v>
      </c>
    </row>
    <row r="223" spans="1:23" ht="11.25" customHeight="1" x14ac:dyDescent="0.25">
      <c r="A223" s="4" t="s">
        <v>27</v>
      </c>
      <c r="B223" s="4" t="s">
        <v>39</v>
      </c>
      <c r="C223" s="4" t="s">
        <v>66</v>
      </c>
      <c r="D223" s="4" t="s">
        <v>25</v>
      </c>
      <c r="E223" s="4" t="s">
        <v>25</v>
      </c>
      <c r="F223" s="4" t="s">
        <v>25</v>
      </c>
      <c r="G223" s="4" t="s">
        <v>70</v>
      </c>
      <c r="H223" s="4" t="s">
        <v>25</v>
      </c>
      <c r="I223" s="5">
        <v>44409</v>
      </c>
      <c r="J223" s="6">
        <v>-536</v>
      </c>
      <c r="K223" s="6">
        <v>-536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4" t="s">
        <v>68</v>
      </c>
      <c r="R223" s="4">
        <v>28957</v>
      </c>
      <c r="S223" s="4" t="s">
        <v>192</v>
      </c>
      <c r="U223" s="4">
        <v>16</v>
      </c>
      <c r="V223" s="4">
        <v>0</v>
      </c>
      <c r="W223" s="4">
        <v>0</v>
      </c>
    </row>
    <row r="224" spans="1:23" ht="11.25" customHeight="1" x14ac:dyDescent="0.25">
      <c r="A224" s="4" t="s">
        <v>21</v>
      </c>
      <c r="B224" s="4" t="s">
        <v>39</v>
      </c>
      <c r="C224" s="4" t="s">
        <v>66</v>
      </c>
      <c r="D224" s="4" t="s">
        <v>25</v>
      </c>
      <c r="E224" s="4" t="s">
        <v>25</v>
      </c>
      <c r="F224" s="4" t="s">
        <v>25</v>
      </c>
      <c r="G224" s="4" t="s">
        <v>71</v>
      </c>
      <c r="H224" s="4" t="s">
        <v>25</v>
      </c>
      <c r="I224" s="5">
        <v>44409</v>
      </c>
      <c r="J224" s="6">
        <v>10050</v>
      </c>
      <c r="K224" s="6">
        <v>5025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4" t="s">
        <v>68</v>
      </c>
      <c r="R224" s="4">
        <v>29041</v>
      </c>
      <c r="S224" s="4" t="s">
        <v>192</v>
      </c>
      <c r="U224" s="4">
        <v>16</v>
      </c>
      <c r="V224" s="4">
        <v>0</v>
      </c>
      <c r="W224" s="4">
        <v>0</v>
      </c>
    </row>
    <row r="225" spans="1:23" ht="11.25" customHeight="1" x14ac:dyDescent="0.25">
      <c r="A225" s="4" t="s">
        <v>21</v>
      </c>
      <c r="B225" s="4" t="s">
        <v>39</v>
      </c>
      <c r="C225" s="4" t="s">
        <v>66</v>
      </c>
      <c r="D225" s="4" t="s">
        <v>25</v>
      </c>
      <c r="E225" s="4" t="s">
        <v>25</v>
      </c>
      <c r="F225" s="4" t="s">
        <v>25</v>
      </c>
      <c r="G225" s="4" t="s">
        <v>73</v>
      </c>
      <c r="H225" s="4" t="s">
        <v>25</v>
      </c>
      <c r="I225" s="5">
        <v>44409</v>
      </c>
      <c r="J225" s="6">
        <v>44450</v>
      </c>
      <c r="K225" s="6">
        <v>22225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4" t="s">
        <v>68</v>
      </c>
      <c r="R225" s="4">
        <v>29092</v>
      </c>
      <c r="S225" s="4" t="s">
        <v>192</v>
      </c>
      <c r="U225" s="4">
        <v>16</v>
      </c>
      <c r="V225" s="4">
        <v>0</v>
      </c>
      <c r="W225" s="4">
        <v>0</v>
      </c>
    </row>
    <row r="226" spans="1:23" ht="11.25" customHeight="1" x14ac:dyDescent="0.25">
      <c r="A226" s="4" t="s">
        <v>21</v>
      </c>
      <c r="B226" s="4" t="s">
        <v>39</v>
      </c>
      <c r="C226" s="4" t="s">
        <v>66</v>
      </c>
      <c r="D226" s="4" t="s">
        <v>25</v>
      </c>
      <c r="E226" s="4" t="s">
        <v>25</v>
      </c>
      <c r="F226" s="4" t="s">
        <v>25</v>
      </c>
      <c r="G226" s="4" t="s">
        <v>75</v>
      </c>
      <c r="H226" s="4" t="s">
        <v>25</v>
      </c>
      <c r="I226" s="5">
        <v>44409</v>
      </c>
      <c r="J226" s="6">
        <v>30000</v>
      </c>
      <c r="K226" s="6">
        <v>15000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4" t="s">
        <v>68</v>
      </c>
      <c r="R226" s="4">
        <v>33663</v>
      </c>
      <c r="S226" s="4" t="s">
        <v>192</v>
      </c>
      <c r="U226" s="4">
        <v>16</v>
      </c>
      <c r="V226" s="4">
        <v>0</v>
      </c>
      <c r="W226" s="4">
        <v>0</v>
      </c>
    </row>
    <row r="227" spans="1:23" ht="11.25" customHeight="1" x14ac:dyDescent="0.25">
      <c r="A227" s="4" t="s">
        <v>21</v>
      </c>
      <c r="B227" s="4" t="s">
        <v>39</v>
      </c>
      <c r="C227" s="4" t="s">
        <v>66</v>
      </c>
      <c r="D227" s="4" t="s">
        <v>25</v>
      </c>
      <c r="E227" s="4" t="s">
        <v>25</v>
      </c>
      <c r="F227" s="4" t="s">
        <v>25</v>
      </c>
      <c r="G227" s="4" t="s">
        <v>76</v>
      </c>
      <c r="H227" s="4" t="s">
        <v>25</v>
      </c>
      <c r="I227" s="5">
        <v>44409</v>
      </c>
      <c r="J227" s="6">
        <v>30000</v>
      </c>
      <c r="K227" s="6">
        <v>15000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4" t="s">
        <v>68</v>
      </c>
      <c r="R227" s="4">
        <v>33664</v>
      </c>
      <c r="S227" s="4" t="s">
        <v>192</v>
      </c>
      <c r="U227" s="4">
        <v>16</v>
      </c>
      <c r="V227" s="4">
        <v>0</v>
      </c>
      <c r="W227" s="4">
        <v>0</v>
      </c>
    </row>
    <row r="228" spans="1:23" ht="11.25" customHeight="1" x14ac:dyDescent="0.25">
      <c r="A228" s="4" t="s">
        <v>21</v>
      </c>
      <c r="B228" s="4" t="s">
        <v>39</v>
      </c>
      <c r="C228" s="4" t="s">
        <v>66</v>
      </c>
      <c r="D228" s="4" t="s">
        <v>25</v>
      </c>
      <c r="E228" s="4" t="s">
        <v>25</v>
      </c>
      <c r="F228" s="4" t="s">
        <v>25</v>
      </c>
      <c r="G228" s="4" t="s">
        <v>77</v>
      </c>
      <c r="H228" s="4" t="s">
        <v>25</v>
      </c>
      <c r="I228" s="5">
        <v>44409</v>
      </c>
      <c r="J228" s="6">
        <v>30000</v>
      </c>
      <c r="K228" s="6">
        <v>15000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4" t="s">
        <v>68</v>
      </c>
      <c r="R228" s="4">
        <v>33665</v>
      </c>
      <c r="S228" s="4" t="s">
        <v>192</v>
      </c>
      <c r="U228" s="4">
        <v>16</v>
      </c>
      <c r="V228" s="4">
        <v>0</v>
      </c>
      <c r="W228" s="4">
        <v>0</v>
      </c>
    </row>
    <row r="229" spans="1:23" ht="11.25" customHeight="1" x14ac:dyDescent="0.25">
      <c r="A229" s="4" t="s">
        <v>21</v>
      </c>
      <c r="B229" s="4" t="s">
        <v>39</v>
      </c>
      <c r="C229" s="4" t="s">
        <v>66</v>
      </c>
      <c r="D229" s="4" t="s">
        <v>25</v>
      </c>
      <c r="E229" s="4" t="s">
        <v>25</v>
      </c>
      <c r="F229" s="4" t="s">
        <v>25</v>
      </c>
      <c r="G229" s="4" t="s">
        <v>78</v>
      </c>
      <c r="H229" s="4" t="s">
        <v>25</v>
      </c>
      <c r="I229" s="5">
        <v>44409</v>
      </c>
      <c r="J229" s="6">
        <v>27000</v>
      </c>
      <c r="K229" s="6">
        <v>13500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4" t="s">
        <v>68</v>
      </c>
      <c r="R229" s="4">
        <v>34085</v>
      </c>
      <c r="S229" s="4" t="s">
        <v>192</v>
      </c>
      <c r="U229" s="4">
        <v>16</v>
      </c>
      <c r="V229" s="4">
        <v>0</v>
      </c>
      <c r="W229" s="4">
        <v>0</v>
      </c>
    </row>
    <row r="230" spans="1:23" ht="11.25" customHeight="1" x14ac:dyDescent="0.25">
      <c r="A230" s="4" t="s">
        <v>21</v>
      </c>
      <c r="B230" s="4" t="s">
        <v>39</v>
      </c>
      <c r="C230" s="4" t="s">
        <v>66</v>
      </c>
      <c r="D230" s="4" t="s">
        <v>25</v>
      </c>
      <c r="E230" s="4" t="s">
        <v>25</v>
      </c>
      <c r="F230" s="4" t="s">
        <v>25</v>
      </c>
      <c r="G230" s="4" t="s">
        <v>79</v>
      </c>
      <c r="H230" s="4" t="s">
        <v>25</v>
      </c>
      <c r="I230" s="5">
        <v>44409</v>
      </c>
      <c r="J230" s="6">
        <v>27000</v>
      </c>
      <c r="K230" s="6">
        <v>13500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4" t="s">
        <v>68</v>
      </c>
      <c r="R230" s="4">
        <v>34086</v>
      </c>
      <c r="S230" s="4" t="s">
        <v>192</v>
      </c>
      <c r="U230" s="4">
        <v>16</v>
      </c>
      <c r="V230" s="4">
        <v>0</v>
      </c>
      <c r="W230" s="4">
        <v>0</v>
      </c>
    </row>
    <row r="231" spans="1:23" ht="11.25" customHeight="1" x14ac:dyDescent="0.25">
      <c r="A231" s="4" t="s">
        <v>21</v>
      </c>
      <c r="B231" s="4" t="s">
        <v>39</v>
      </c>
      <c r="C231" s="4" t="s">
        <v>66</v>
      </c>
      <c r="D231" s="4" t="s">
        <v>25</v>
      </c>
      <c r="E231" s="4" t="s">
        <v>25</v>
      </c>
      <c r="F231" s="4" t="s">
        <v>25</v>
      </c>
      <c r="G231" s="4" t="s">
        <v>67</v>
      </c>
      <c r="H231" s="4" t="s">
        <v>25</v>
      </c>
      <c r="I231" s="5">
        <v>44440</v>
      </c>
      <c r="J231" s="6">
        <v>3500</v>
      </c>
      <c r="K231" s="6">
        <v>3500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4" t="s">
        <v>68</v>
      </c>
      <c r="R231" s="4">
        <v>27402</v>
      </c>
      <c r="S231" s="4" t="s">
        <v>193</v>
      </c>
      <c r="U231" s="4">
        <v>16</v>
      </c>
      <c r="V231" s="4">
        <v>0</v>
      </c>
      <c r="W231" s="4">
        <v>0</v>
      </c>
    </row>
    <row r="232" spans="1:23" ht="11.25" customHeight="1" x14ac:dyDescent="0.25">
      <c r="A232" s="4" t="s">
        <v>21</v>
      </c>
      <c r="B232" s="4" t="s">
        <v>39</v>
      </c>
      <c r="C232" s="4" t="s">
        <v>66</v>
      </c>
      <c r="D232" s="4" t="s">
        <v>25</v>
      </c>
      <c r="E232" s="4" t="s">
        <v>25</v>
      </c>
      <c r="F232" s="4" t="s">
        <v>25</v>
      </c>
      <c r="G232" s="4" t="s">
        <v>69</v>
      </c>
      <c r="H232" s="4" t="s">
        <v>25</v>
      </c>
      <c r="I232" s="5">
        <v>44440</v>
      </c>
      <c r="J232" s="6">
        <v>3000</v>
      </c>
      <c r="K232" s="6">
        <v>1500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4" t="s">
        <v>68</v>
      </c>
      <c r="R232" s="4">
        <v>28515</v>
      </c>
      <c r="S232" s="4" t="s">
        <v>193</v>
      </c>
      <c r="U232" s="4">
        <v>16</v>
      </c>
      <c r="V232" s="4">
        <v>0</v>
      </c>
      <c r="W232" s="4">
        <v>0</v>
      </c>
    </row>
    <row r="233" spans="1:23" ht="11.25" customHeight="1" x14ac:dyDescent="0.25">
      <c r="A233" s="4" t="s">
        <v>21</v>
      </c>
      <c r="B233" s="4" t="s">
        <v>39</v>
      </c>
      <c r="C233" s="4" t="s">
        <v>66</v>
      </c>
      <c r="D233" s="4" t="s">
        <v>25</v>
      </c>
      <c r="E233" s="4" t="s">
        <v>25</v>
      </c>
      <c r="F233" s="4" t="s">
        <v>25</v>
      </c>
      <c r="G233" s="4" t="s">
        <v>70</v>
      </c>
      <c r="H233" s="4" t="s">
        <v>25</v>
      </c>
      <c r="I233" s="5">
        <v>44440</v>
      </c>
      <c r="J233" s="6">
        <v>11000</v>
      </c>
      <c r="K233" s="6">
        <v>5500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4" t="s">
        <v>68</v>
      </c>
      <c r="R233" s="4">
        <v>28957</v>
      </c>
      <c r="S233" s="4" t="s">
        <v>193</v>
      </c>
      <c r="U233" s="4">
        <v>16</v>
      </c>
      <c r="V233" s="4">
        <v>0</v>
      </c>
      <c r="W233" s="4">
        <v>0</v>
      </c>
    </row>
    <row r="234" spans="1:23" ht="11.25" customHeight="1" x14ac:dyDescent="0.25">
      <c r="A234" s="4" t="s">
        <v>21</v>
      </c>
      <c r="B234" s="4" t="s">
        <v>39</v>
      </c>
      <c r="C234" s="4" t="s">
        <v>66</v>
      </c>
      <c r="D234" s="4" t="s">
        <v>25</v>
      </c>
      <c r="E234" s="4" t="s">
        <v>25</v>
      </c>
      <c r="F234" s="4" t="s">
        <v>25</v>
      </c>
      <c r="G234" s="4" t="s">
        <v>71</v>
      </c>
      <c r="H234" s="4" t="s">
        <v>25</v>
      </c>
      <c r="I234" s="5">
        <v>44440</v>
      </c>
      <c r="J234" s="6">
        <v>10050</v>
      </c>
      <c r="K234" s="6">
        <v>5025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4" t="s">
        <v>68</v>
      </c>
      <c r="R234" s="4">
        <v>29041</v>
      </c>
      <c r="S234" s="4" t="s">
        <v>193</v>
      </c>
      <c r="U234" s="4">
        <v>16</v>
      </c>
      <c r="V234" s="4">
        <v>0</v>
      </c>
      <c r="W234" s="4">
        <v>0</v>
      </c>
    </row>
    <row r="235" spans="1:23" ht="11.25" customHeight="1" x14ac:dyDescent="0.25">
      <c r="A235" s="4" t="s">
        <v>21</v>
      </c>
      <c r="B235" s="4" t="s">
        <v>39</v>
      </c>
      <c r="C235" s="4" t="s">
        <v>66</v>
      </c>
      <c r="D235" s="4" t="s">
        <v>25</v>
      </c>
      <c r="E235" s="4" t="s">
        <v>25</v>
      </c>
      <c r="F235" s="4" t="s">
        <v>25</v>
      </c>
      <c r="G235" s="4" t="s">
        <v>73</v>
      </c>
      <c r="H235" s="4" t="s">
        <v>25</v>
      </c>
      <c r="I235" s="5">
        <v>44440</v>
      </c>
      <c r="J235" s="6">
        <v>44450</v>
      </c>
      <c r="K235" s="6">
        <v>22225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4" t="s">
        <v>68</v>
      </c>
      <c r="R235" s="4">
        <v>29092</v>
      </c>
      <c r="S235" s="4" t="s">
        <v>193</v>
      </c>
      <c r="U235" s="4">
        <v>16</v>
      </c>
      <c r="V235" s="4">
        <v>0</v>
      </c>
      <c r="W235" s="4">
        <v>0</v>
      </c>
    </row>
    <row r="236" spans="1:23" ht="11.25" customHeight="1" x14ac:dyDescent="0.25">
      <c r="A236" s="4" t="s">
        <v>21</v>
      </c>
      <c r="B236" s="4" t="s">
        <v>39</v>
      </c>
      <c r="C236" s="4" t="s">
        <v>66</v>
      </c>
      <c r="D236" s="4" t="s">
        <v>25</v>
      </c>
      <c r="E236" s="4" t="s">
        <v>25</v>
      </c>
      <c r="F236" s="4" t="s">
        <v>25</v>
      </c>
      <c r="G236" s="4" t="s">
        <v>75</v>
      </c>
      <c r="H236" s="4" t="s">
        <v>25</v>
      </c>
      <c r="I236" s="5">
        <v>44440</v>
      </c>
      <c r="J236" s="6">
        <v>30000</v>
      </c>
      <c r="K236" s="6">
        <v>15000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4" t="s">
        <v>68</v>
      </c>
      <c r="R236" s="4">
        <v>33663</v>
      </c>
      <c r="S236" s="4" t="s">
        <v>193</v>
      </c>
      <c r="U236" s="4">
        <v>16</v>
      </c>
      <c r="V236" s="4">
        <v>0</v>
      </c>
      <c r="W236" s="4">
        <v>0</v>
      </c>
    </row>
    <row r="237" spans="1:23" ht="11.25" customHeight="1" x14ac:dyDescent="0.25">
      <c r="A237" s="4" t="s">
        <v>21</v>
      </c>
      <c r="B237" s="4" t="s">
        <v>39</v>
      </c>
      <c r="C237" s="4" t="s">
        <v>66</v>
      </c>
      <c r="D237" s="4" t="s">
        <v>25</v>
      </c>
      <c r="E237" s="4" t="s">
        <v>25</v>
      </c>
      <c r="F237" s="4" t="s">
        <v>25</v>
      </c>
      <c r="G237" s="4" t="s">
        <v>76</v>
      </c>
      <c r="H237" s="4" t="s">
        <v>25</v>
      </c>
      <c r="I237" s="5">
        <v>44440</v>
      </c>
      <c r="J237" s="6">
        <v>30000</v>
      </c>
      <c r="K237" s="6">
        <v>15000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4" t="s">
        <v>68</v>
      </c>
      <c r="R237" s="4">
        <v>33664</v>
      </c>
      <c r="S237" s="4" t="s">
        <v>193</v>
      </c>
      <c r="U237" s="4">
        <v>16</v>
      </c>
      <c r="V237" s="4">
        <v>0</v>
      </c>
      <c r="W237" s="4">
        <v>0</v>
      </c>
    </row>
    <row r="238" spans="1:23" ht="11.25" customHeight="1" x14ac:dyDescent="0.25">
      <c r="A238" s="4" t="s">
        <v>21</v>
      </c>
      <c r="B238" s="4" t="s">
        <v>39</v>
      </c>
      <c r="C238" s="4" t="s">
        <v>66</v>
      </c>
      <c r="D238" s="4" t="s">
        <v>25</v>
      </c>
      <c r="E238" s="4" t="s">
        <v>25</v>
      </c>
      <c r="F238" s="4" t="s">
        <v>25</v>
      </c>
      <c r="G238" s="4" t="s">
        <v>77</v>
      </c>
      <c r="H238" s="4" t="s">
        <v>25</v>
      </c>
      <c r="I238" s="5">
        <v>44440</v>
      </c>
      <c r="J238" s="6">
        <v>30000</v>
      </c>
      <c r="K238" s="6">
        <v>15000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4" t="s">
        <v>68</v>
      </c>
      <c r="R238" s="4">
        <v>33665</v>
      </c>
      <c r="S238" s="4" t="s">
        <v>193</v>
      </c>
      <c r="U238" s="4">
        <v>16</v>
      </c>
      <c r="V238" s="4">
        <v>0</v>
      </c>
      <c r="W238" s="4">
        <v>0</v>
      </c>
    </row>
    <row r="239" spans="1:23" ht="11.25" customHeight="1" x14ac:dyDescent="0.25">
      <c r="A239" s="4" t="s">
        <v>21</v>
      </c>
      <c r="B239" s="4" t="s">
        <v>39</v>
      </c>
      <c r="C239" s="4" t="s">
        <v>66</v>
      </c>
      <c r="D239" s="4" t="s">
        <v>25</v>
      </c>
      <c r="E239" s="4" t="s">
        <v>25</v>
      </c>
      <c r="F239" s="4" t="s">
        <v>25</v>
      </c>
      <c r="G239" s="4" t="s">
        <v>78</v>
      </c>
      <c r="H239" s="4" t="s">
        <v>25</v>
      </c>
      <c r="I239" s="5">
        <v>44440</v>
      </c>
      <c r="J239" s="6">
        <v>27000</v>
      </c>
      <c r="K239" s="6">
        <v>13500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4" t="s">
        <v>68</v>
      </c>
      <c r="R239" s="4">
        <v>34085</v>
      </c>
      <c r="S239" s="4" t="s">
        <v>193</v>
      </c>
      <c r="U239" s="4">
        <v>16</v>
      </c>
      <c r="V239" s="4">
        <v>0</v>
      </c>
      <c r="W239" s="4">
        <v>0</v>
      </c>
    </row>
    <row r="240" spans="1:23" ht="11.25" customHeight="1" x14ac:dyDescent="0.25">
      <c r="A240" s="4" t="s">
        <v>21</v>
      </c>
      <c r="B240" s="4" t="s">
        <v>39</v>
      </c>
      <c r="C240" s="4" t="s">
        <v>66</v>
      </c>
      <c r="D240" s="4" t="s">
        <v>25</v>
      </c>
      <c r="E240" s="4" t="s">
        <v>25</v>
      </c>
      <c r="F240" s="4" t="s">
        <v>25</v>
      </c>
      <c r="G240" s="4" t="s">
        <v>79</v>
      </c>
      <c r="H240" s="4" t="s">
        <v>25</v>
      </c>
      <c r="I240" s="5">
        <v>44440</v>
      </c>
      <c r="J240" s="6">
        <v>27000</v>
      </c>
      <c r="K240" s="6">
        <v>13500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4" t="s">
        <v>68</v>
      </c>
      <c r="R240" s="4">
        <v>34086</v>
      </c>
      <c r="S240" s="4" t="s">
        <v>193</v>
      </c>
      <c r="U240" s="4">
        <v>16</v>
      </c>
      <c r="V240" s="4">
        <v>0</v>
      </c>
      <c r="W240" s="4">
        <v>0</v>
      </c>
    </row>
    <row r="241" spans="1:23" ht="11.25" customHeight="1" x14ac:dyDescent="0.25">
      <c r="A241" s="4" t="s">
        <v>21</v>
      </c>
      <c r="B241" s="4" t="s">
        <v>39</v>
      </c>
      <c r="C241" s="4" t="s">
        <v>66</v>
      </c>
      <c r="D241" s="4" t="s">
        <v>25</v>
      </c>
      <c r="E241" s="4" t="s">
        <v>25</v>
      </c>
      <c r="F241" s="4" t="s">
        <v>25</v>
      </c>
      <c r="G241" s="4" t="s">
        <v>67</v>
      </c>
      <c r="H241" s="4" t="s">
        <v>25</v>
      </c>
      <c r="I241" s="5">
        <v>44470</v>
      </c>
      <c r="J241" s="6">
        <v>3500</v>
      </c>
      <c r="K241" s="6">
        <v>3500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4" t="s">
        <v>68</v>
      </c>
      <c r="R241" s="4">
        <v>27402</v>
      </c>
      <c r="S241" s="4" t="s">
        <v>194</v>
      </c>
      <c r="U241" s="4">
        <v>16</v>
      </c>
      <c r="V241" s="4">
        <v>0</v>
      </c>
      <c r="W241" s="4">
        <v>0</v>
      </c>
    </row>
    <row r="242" spans="1:23" ht="11.25" customHeight="1" x14ac:dyDescent="0.25">
      <c r="A242" s="4" t="s">
        <v>21</v>
      </c>
      <c r="B242" s="4" t="s">
        <v>39</v>
      </c>
      <c r="C242" s="4" t="s">
        <v>66</v>
      </c>
      <c r="D242" s="4" t="s">
        <v>25</v>
      </c>
      <c r="E242" s="4" t="s">
        <v>25</v>
      </c>
      <c r="F242" s="4" t="s">
        <v>25</v>
      </c>
      <c r="G242" s="4" t="s">
        <v>69</v>
      </c>
      <c r="H242" s="4" t="s">
        <v>25</v>
      </c>
      <c r="I242" s="5">
        <v>44470</v>
      </c>
      <c r="J242" s="6">
        <v>3000</v>
      </c>
      <c r="K242" s="6">
        <v>1500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4" t="s">
        <v>68</v>
      </c>
      <c r="R242" s="4">
        <v>28515</v>
      </c>
      <c r="S242" s="4" t="s">
        <v>194</v>
      </c>
      <c r="U242" s="4">
        <v>16</v>
      </c>
      <c r="V242" s="4">
        <v>0</v>
      </c>
      <c r="W242" s="4">
        <v>0</v>
      </c>
    </row>
    <row r="243" spans="1:23" ht="11.25" customHeight="1" x14ac:dyDescent="0.25">
      <c r="A243" s="4" t="s">
        <v>21</v>
      </c>
      <c r="B243" s="4" t="s">
        <v>39</v>
      </c>
      <c r="C243" s="4" t="s">
        <v>66</v>
      </c>
      <c r="D243" s="4" t="s">
        <v>25</v>
      </c>
      <c r="E243" s="4" t="s">
        <v>25</v>
      </c>
      <c r="F243" s="4" t="s">
        <v>25</v>
      </c>
      <c r="G243" s="4" t="s">
        <v>70</v>
      </c>
      <c r="H243" s="4" t="s">
        <v>25</v>
      </c>
      <c r="I243" s="5">
        <v>44470</v>
      </c>
      <c r="J243" s="6">
        <v>11000</v>
      </c>
      <c r="K243" s="6">
        <v>5500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4" t="s">
        <v>68</v>
      </c>
      <c r="R243" s="4">
        <v>28957</v>
      </c>
      <c r="S243" s="4" t="s">
        <v>194</v>
      </c>
      <c r="U243" s="4">
        <v>16</v>
      </c>
      <c r="V243" s="4">
        <v>0</v>
      </c>
      <c r="W243" s="4">
        <v>0</v>
      </c>
    </row>
    <row r="244" spans="1:23" ht="11.25" customHeight="1" x14ac:dyDescent="0.25">
      <c r="A244" s="4" t="s">
        <v>21</v>
      </c>
      <c r="B244" s="4" t="s">
        <v>39</v>
      </c>
      <c r="C244" s="4" t="s">
        <v>66</v>
      </c>
      <c r="D244" s="4" t="s">
        <v>25</v>
      </c>
      <c r="E244" s="4" t="s">
        <v>25</v>
      </c>
      <c r="F244" s="4" t="s">
        <v>25</v>
      </c>
      <c r="G244" s="4" t="s">
        <v>71</v>
      </c>
      <c r="H244" s="4" t="s">
        <v>25</v>
      </c>
      <c r="I244" s="5">
        <v>44470</v>
      </c>
      <c r="J244" s="6">
        <v>10050</v>
      </c>
      <c r="K244" s="6">
        <v>5025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4" t="s">
        <v>68</v>
      </c>
      <c r="R244" s="4">
        <v>29041</v>
      </c>
      <c r="S244" s="4" t="s">
        <v>194</v>
      </c>
      <c r="U244" s="4">
        <v>16</v>
      </c>
      <c r="V244" s="4">
        <v>0</v>
      </c>
      <c r="W244" s="4">
        <v>0</v>
      </c>
    </row>
    <row r="245" spans="1:23" ht="11.25" customHeight="1" x14ac:dyDescent="0.25">
      <c r="A245" s="4" t="s">
        <v>21</v>
      </c>
      <c r="B245" s="4" t="s">
        <v>39</v>
      </c>
      <c r="C245" s="4" t="s">
        <v>66</v>
      </c>
      <c r="D245" s="4" t="s">
        <v>25</v>
      </c>
      <c r="E245" s="4" t="s">
        <v>25</v>
      </c>
      <c r="F245" s="4" t="s">
        <v>25</v>
      </c>
      <c r="G245" s="4" t="s">
        <v>73</v>
      </c>
      <c r="H245" s="4" t="s">
        <v>25</v>
      </c>
      <c r="I245" s="5">
        <v>44470</v>
      </c>
      <c r="J245" s="6">
        <v>44450</v>
      </c>
      <c r="K245" s="6">
        <v>22225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4" t="s">
        <v>68</v>
      </c>
      <c r="R245" s="4">
        <v>29092</v>
      </c>
      <c r="S245" s="4" t="s">
        <v>194</v>
      </c>
      <c r="U245" s="4">
        <v>16</v>
      </c>
      <c r="V245" s="4">
        <v>0</v>
      </c>
      <c r="W245" s="4">
        <v>0</v>
      </c>
    </row>
    <row r="246" spans="1:23" ht="11.25" customHeight="1" x14ac:dyDescent="0.25">
      <c r="A246" s="4" t="s">
        <v>21</v>
      </c>
      <c r="B246" s="4" t="s">
        <v>39</v>
      </c>
      <c r="C246" s="4" t="s">
        <v>66</v>
      </c>
      <c r="D246" s="4" t="s">
        <v>25</v>
      </c>
      <c r="E246" s="4" t="s">
        <v>25</v>
      </c>
      <c r="F246" s="4" t="s">
        <v>25</v>
      </c>
      <c r="G246" s="4" t="s">
        <v>75</v>
      </c>
      <c r="H246" s="4" t="s">
        <v>25</v>
      </c>
      <c r="I246" s="5">
        <v>44470</v>
      </c>
      <c r="J246" s="6">
        <v>30000</v>
      </c>
      <c r="K246" s="6">
        <v>15000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68</v>
      </c>
      <c r="R246" s="4">
        <v>33663</v>
      </c>
      <c r="S246" s="4" t="s">
        <v>194</v>
      </c>
      <c r="U246" s="4">
        <v>16</v>
      </c>
      <c r="V246" s="4">
        <v>0</v>
      </c>
      <c r="W246" s="4">
        <v>0</v>
      </c>
    </row>
    <row r="247" spans="1:23" ht="11.25" customHeight="1" x14ac:dyDescent="0.25">
      <c r="A247" s="4" t="s">
        <v>21</v>
      </c>
      <c r="B247" s="4" t="s">
        <v>39</v>
      </c>
      <c r="C247" s="4" t="s">
        <v>66</v>
      </c>
      <c r="D247" s="4" t="s">
        <v>25</v>
      </c>
      <c r="E247" s="4" t="s">
        <v>25</v>
      </c>
      <c r="F247" s="4" t="s">
        <v>25</v>
      </c>
      <c r="G247" s="4" t="s">
        <v>76</v>
      </c>
      <c r="H247" s="4" t="s">
        <v>25</v>
      </c>
      <c r="I247" s="5">
        <v>44470</v>
      </c>
      <c r="J247" s="6">
        <v>30000</v>
      </c>
      <c r="K247" s="6">
        <v>15000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68</v>
      </c>
      <c r="R247" s="4">
        <v>33664</v>
      </c>
      <c r="S247" s="4" t="s">
        <v>194</v>
      </c>
      <c r="U247" s="4">
        <v>16</v>
      </c>
      <c r="V247" s="4">
        <v>0</v>
      </c>
      <c r="W247" s="4">
        <v>0</v>
      </c>
    </row>
    <row r="248" spans="1:23" ht="11.25" customHeight="1" x14ac:dyDescent="0.25">
      <c r="A248" s="4" t="s">
        <v>21</v>
      </c>
      <c r="B248" s="4" t="s">
        <v>39</v>
      </c>
      <c r="C248" s="4" t="s">
        <v>66</v>
      </c>
      <c r="D248" s="4" t="s">
        <v>25</v>
      </c>
      <c r="E248" s="4" t="s">
        <v>25</v>
      </c>
      <c r="F248" s="4" t="s">
        <v>25</v>
      </c>
      <c r="G248" s="4" t="s">
        <v>77</v>
      </c>
      <c r="H248" s="4" t="s">
        <v>25</v>
      </c>
      <c r="I248" s="5">
        <v>44470</v>
      </c>
      <c r="J248" s="6">
        <v>30000</v>
      </c>
      <c r="K248" s="6">
        <v>15000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68</v>
      </c>
      <c r="R248" s="4">
        <v>33665</v>
      </c>
      <c r="S248" s="4" t="s">
        <v>194</v>
      </c>
      <c r="U248" s="4">
        <v>16</v>
      </c>
      <c r="V248" s="4">
        <v>0</v>
      </c>
      <c r="W248" s="4">
        <v>0</v>
      </c>
    </row>
    <row r="249" spans="1:23" ht="11.25" customHeight="1" x14ac:dyDescent="0.25">
      <c r="A249" s="4" t="s">
        <v>21</v>
      </c>
      <c r="B249" s="4" t="s">
        <v>39</v>
      </c>
      <c r="C249" s="4" t="s">
        <v>66</v>
      </c>
      <c r="D249" s="4" t="s">
        <v>25</v>
      </c>
      <c r="E249" s="4" t="s">
        <v>25</v>
      </c>
      <c r="F249" s="4" t="s">
        <v>25</v>
      </c>
      <c r="G249" s="4" t="s">
        <v>78</v>
      </c>
      <c r="H249" s="4" t="s">
        <v>25</v>
      </c>
      <c r="I249" s="5">
        <v>44470</v>
      </c>
      <c r="J249" s="6">
        <v>27000</v>
      </c>
      <c r="K249" s="6">
        <v>13500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4" t="s">
        <v>68</v>
      </c>
      <c r="R249" s="4">
        <v>34085</v>
      </c>
      <c r="S249" s="4" t="s">
        <v>194</v>
      </c>
      <c r="U249" s="4">
        <v>16</v>
      </c>
      <c r="V249" s="4">
        <v>0</v>
      </c>
      <c r="W249" s="4">
        <v>0</v>
      </c>
    </row>
    <row r="250" spans="1:23" ht="11.25" customHeight="1" x14ac:dyDescent="0.25">
      <c r="A250" s="4" t="s">
        <v>21</v>
      </c>
      <c r="B250" s="4" t="s">
        <v>39</v>
      </c>
      <c r="C250" s="4" t="s">
        <v>66</v>
      </c>
      <c r="D250" s="4" t="s">
        <v>25</v>
      </c>
      <c r="E250" s="4" t="s">
        <v>25</v>
      </c>
      <c r="F250" s="4" t="s">
        <v>25</v>
      </c>
      <c r="G250" s="4" t="s">
        <v>79</v>
      </c>
      <c r="H250" s="4" t="s">
        <v>25</v>
      </c>
      <c r="I250" s="5">
        <v>44470</v>
      </c>
      <c r="J250" s="6">
        <v>27000</v>
      </c>
      <c r="K250" s="6">
        <v>13500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68</v>
      </c>
      <c r="R250" s="4">
        <v>34086</v>
      </c>
      <c r="S250" s="4" t="s">
        <v>194</v>
      </c>
      <c r="U250" s="4">
        <v>16</v>
      </c>
      <c r="V250" s="4">
        <v>0</v>
      </c>
      <c r="W250" s="4">
        <v>0</v>
      </c>
    </row>
    <row r="251" spans="1:23" ht="11.25" customHeight="1" x14ac:dyDescent="0.25">
      <c r="A251" s="4" t="s">
        <v>21</v>
      </c>
      <c r="B251" s="4" t="s">
        <v>39</v>
      </c>
      <c r="C251" s="4" t="s">
        <v>66</v>
      </c>
      <c r="D251" s="4" t="s">
        <v>25</v>
      </c>
      <c r="E251" s="4" t="s">
        <v>25</v>
      </c>
      <c r="F251" s="4" t="s">
        <v>25</v>
      </c>
      <c r="G251" s="4" t="s">
        <v>67</v>
      </c>
      <c r="H251" s="4" t="s">
        <v>25</v>
      </c>
      <c r="I251" s="5">
        <v>44501</v>
      </c>
      <c r="J251" s="6">
        <v>3500</v>
      </c>
      <c r="K251" s="6">
        <v>3500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4" t="s">
        <v>68</v>
      </c>
      <c r="R251" s="4">
        <v>27402</v>
      </c>
      <c r="S251" s="4" t="s">
        <v>195</v>
      </c>
      <c r="U251" s="4">
        <v>16</v>
      </c>
      <c r="V251" s="4">
        <v>0</v>
      </c>
      <c r="W251" s="4">
        <v>0</v>
      </c>
    </row>
    <row r="252" spans="1:23" ht="11.25" customHeight="1" x14ac:dyDescent="0.25">
      <c r="A252" s="4" t="s">
        <v>21</v>
      </c>
      <c r="B252" s="4" t="s">
        <v>39</v>
      </c>
      <c r="C252" s="4" t="s">
        <v>66</v>
      </c>
      <c r="D252" s="4" t="s">
        <v>25</v>
      </c>
      <c r="E252" s="4" t="s">
        <v>25</v>
      </c>
      <c r="F252" s="4" t="s">
        <v>25</v>
      </c>
      <c r="G252" s="4" t="s">
        <v>69</v>
      </c>
      <c r="H252" s="4" t="s">
        <v>25</v>
      </c>
      <c r="I252" s="5">
        <v>44501</v>
      </c>
      <c r="J252" s="6">
        <v>3714</v>
      </c>
      <c r="K252" s="6">
        <v>1857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4" t="s">
        <v>68</v>
      </c>
      <c r="R252" s="4">
        <v>28515</v>
      </c>
      <c r="S252" s="4" t="s">
        <v>195</v>
      </c>
      <c r="U252" s="4">
        <v>16</v>
      </c>
      <c r="V252" s="4">
        <v>0</v>
      </c>
      <c r="W252" s="4">
        <v>0</v>
      </c>
    </row>
    <row r="253" spans="1:23" ht="11.25" customHeight="1" x14ac:dyDescent="0.25">
      <c r="A253" s="4" t="s">
        <v>21</v>
      </c>
      <c r="B253" s="4" t="s">
        <v>39</v>
      </c>
      <c r="C253" s="4" t="s">
        <v>66</v>
      </c>
      <c r="D253" s="4" t="s">
        <v>25</v>
      </c>
      <c r="E253" s="4" t="s">
        <v>25</v>
      </c>
      <c r="F253" s="4" t="s">
        <v>25</v>
      </c>
      <c r="G253" s="4" t="s">
        <v>70</v>
      </c>
      <c r="H253" s="4" t="s">
        <v>25</v>
      </c>
      <c r="I253" s="5">
        <v>44501</v>
      </c>
      <c r="J253" s="6">
        <v>11812</v>
      </c>
      <c r="K253" s="6">
        <v>5906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4" t="s">
        <v>68</v>
      </c>
      <c r="R253" s="4">
        <v>28957</v>
      </c>
      <c r="S253" s="4" t="s">
        <v>195</v>
      </c>
      <c r="U253" s="4">
        <v>16</v>
      </c>
      <c r="V253" s="4">
        <v>0</v>
      </c>
      <c r="W253" s="4">
        <v>0</v>
      </c>
    </row>
    <row r="254" spans="1:23" ht="11.25" customHeight="1" x14ac:dyDescent="0.25">
      <c r="A254" s="4" t="s">
        <v>21</v>
      </c>
      <c r="B254" s="4" t="s">
        <v>39</v>
      </c>
      <c r="C254" s="4" t="s">
        <v>66</v>
      </c>
      <c r="D254" s="4" t="s">
        <v>25</v>
      </c>
      <c r="E254" s="4" t="s">
        <v>25</v>
      </c>
      <c r="F254" s="4" t="s">
        <v>25</v>
      </c>
      <c r="G254" s="4" t="s">
        <v>71</v>
      </c>
      <c r="H254" s="4" t="s">
        <v>25</v>
      </c>
      <c r="I254" s="5">
        <v>44501</v>
      </c>
      <c r="J254" s="6">
        <v>10050</v>
      </c>
      <c r="K254" s="6">
        <v>5025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4" t="s">
        <v>68</v>
      </c>
      <c r="R254" s="4">
        <v>29041</v>
      </c>
      <c r="S254" s="4" t="s">
        <v>195</v>
      </c>
      <c r="U254" s="4">
        <v>16</v>
      </c>
      <c r="V254" s="4">
        <v>0</v>
      </c>
      <c r="W254" s="4">
        <v>0</v>
      </c>
    </row>
    <row r="255" spans="1:23" ht="11.25" customHeight="1" x14ac:dyDescent="0.25">
      <c r="A255" s="4" t="s">
        <v>21</v>
      </c>
      <c r="B255" s="4" t="s">
        <v>39</v>
      </c>
      <c r="C255" s="4" t="s">
        <v>66</v>
      </c>
      <c r="D255" s="4" t="s">
        <v>25</v>
      </c>
      <c r="E255" s="4" t="s">
        <v>25</v>
      </c>
      <c r="F255" s="4" t="s">
        <v>25</v>
      </c>
      <c r="G255" s="4" t="s">
        <v>73</v>
      </c>
      <c r="H255" s="4" t="s">
        <v>25</v>
      </c>
      <c r="I255" s="5">
        <v>44501</v>
      </c>
      <c r="J255" s="6">
        <v>44450</v>
      </c>
      <c r="K255" s="6">
        <v>22225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4" t="s">
        <v>68</v>
      </c>
      <c r="R255" s="4">
        <v>29092</v>
      </c>
      <c r="S255" s="4" t="s">
        <v>195</v>
      </c>
      <c r="U255" s="4">
        <v>16</v>
      </c>
      <c r="V255" s="4">
        <v>0</v>
      </c>
      <c r="W255" s="4">
        <v>0</v>
      </c>
    </row>
    <row r="256" spans="1:23" ht="11.25" customHeight="1" x14ac:dyDescent="0.25">
      <c r="A256" s="4" t="s">
        <v>21</v>
      </c>
      <c r="B256" s="4" t="s">
        <v>39</v>
      </c>
      <c r="C256" s="4" t="s">
        <v>66</v>
      </c>
      <c r="D256" s="4" t="s">
        <v>25</v>
      </c>
      <c r="E256" s="4" t="s">
        <v>25</v>
      </c>
      <c r="F256" s="4" t="s">
        <v>25</v>
      </c>
      <c r="G256" s="4" t="s">
        <v>75</v>
      </c>
      <c r="H256" s="4" t="s">
        <v>25</v>
      </c>
      <c r="I256" s="5">
        <v>44501</v>
      </c>
      <c r="J256" s="6">
        <v>30000</v>
      </c>
      <c r="K256" s="6">
        <v>15000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4" t="s">
        <v>68</v>
      </c>
      <c r="R256" s="4">
        <v>33663</v>
      </c>
      <c r="S256" s="4" t="s">
        <v>195</v>
      </c>
      <c r="U256" s="4">
        <v>16</v>
      </c>
      <c r="V256" s="4">
        <v>0</v>
      </c>
      <c r="W256" s="4">
        <v>0</v>
      </c>
    </row>
    <row r="257" spans="1:23" ht="11.25" customHeight="1" x14ac:dyDescent="0.25">
      <c r="A257" s="4" t="s">
        <v>21</v>
      </c>
      <c r="B257" s="4" t="s">
        <v>39</v>
      </c>
      <c r="C257" s="4" t="s">
        <v>66</v>
      </c>
      <c r="D257" s="4" t="s">
        <v>25</v>
      </c>
      <c r="E257" s="4" t="s">
        <v>25</v>
      </c>
      <c r="F257" s="4" t="s">
        <v>25</v>
      </c>
      <c r="G257" s="4" t="s">
        <v>76</v>
      </c>
      <c r="H257" s="4" t="s">
        <v>25</v>
      </c>
      <c r="I257" s="5">
        <v>44501</v>
      </c>
      <c r="J257" s="6">
        <v>30000</v>
      </c>
      <c r="K257" s="6">
        <v>15000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4" t="s">
        <v>68</v>
      </c>
      <c r="R257" s="4">
        <v>33664</v>
      </c>
      <c r="S257" s="4" t="s">
        <v>195</v>
      </c>
      <c r="U257" s="4">
        <v>16</v>
      </c>
      <c r="V257" s="4">
        <v>0</v>
      </c>
      <c r="W257" s="4">
        <v>0</v>
      </c>
    </row>
    <row r="258" spans="1:23" ht="11.25" customHeight="1" x14ac:dyDescent="0.25">
      <c r="A258" s="4" t="s">
        <v>21</v>
      </c>
      <c r="B258" s="4" t="s">
        <v>39</v>
      </c>
      <c r="C258" s="4" t="s">
        <v>66</v>
      </c>
      <c r="D258" s="4" t="s">
        <v>25</v>
      </c>
      <c r="E258" s="4" t="s">
        <v>25</v>
      </c>
      <c r="F258" s="4" t="s">
        <v>25</v>
      </c>
      <c r="G258" s="4" t="s">
        <v>77</v>
      </c>
      <c r="H258" s="4" t="s">
        <v>25</v>
      </c>
      <c r="I258" s="5">
        <v>44501</v>
      </c>
      <c r="J258" s="6">
        <v>30000</v>
      </c>
      <c r="K258" s="6">
        <v>15000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4" t="s">
        <v>68</v>
      </c>
      <c r="R258" s="4">
        <v>33665</v>
      </c>
      <c r="S258" s="4" t="s">
        <v>195</v>
      </c>
      <c r="U258" s="4">
        <v>16</v>
      </c>
      <c r="V258" s="4">
        <v>0</v>
      </c>
      <c r="W258" s="4">
        <v>0</v>
      </c>
    </row>
    <row r="259" spans="1:23" ht="11.25" customHeight="1" x14ac:dyDescent="0.25">
      <c r="A259" s="4" t="s">
        <v>21</v>
      </c>
      <c r="B259" s="4" t="s">
        <v>39</v>
      </c>
      <c r="C259" s="4" t="s">
        <v>66</v>
      </c>
      <c r="D259" s="4" t="s">
        <v>25</v>
      </c>
      <c r="E259" s="4" t="s">
        <v>25</v>
      </c>
      <c r="F259" s="4" t="s">
        <v>25</v>
      </c>
      <c r="G259" s="4" t="s">
        <v>78</v>
      </c>
      <c r="H259" s="4" t="s">
        <v>25</v>
      </c>
      <c r="I259" s="5">
        <v>44501</v>
      </c>
      <c r="J259" s="6">
        <v>27000</v>
      </c>
      <c r="K259" s="6">
        <v>13500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4" t="s">
        <v>68</v>
      </c>
      <c r="R259" s="4">
        <v>34085</v>
      </c>
      <c r="S259" s="4" t="s">
        <v>195</v>
      </c>
      <c r="U259" s="4">
        <v>16</v>
      </c>
      <c r="V259" s="4">
        <v>0</v>
      </c>
      <c r="W259" s="4">
        <v>0</v>
      </c>
    </row>
    <row r="260" spans="1:23" ht="11.25" customHeight="1" x14ac:dyDescent="0.25">
      <c r="A260" s="4" t="s">
        <v>21</v>
      </c>
      <c r="B260" s="4" t="s">
        <v>39</v>
      </c>
      <c r="C260" s="4" t="s">
        <v>66</v>
      </c>
      <c r="D260" s="4" t="s">
        <v>25</v>
      </c>
      <c r="E260" s="4" t="s">
        <v>25</v>
      </c>
      <c r="F260" s="4" t="s">
        <v>25</v>
      </c>
      <c r="G260" s="4" t="s">
        <v>79</v>
      </c>
      <c r="H260" s="4" t="s">
        <v>25</v>
      </c>
      <c r="I260" s="5">
        <v>44501</v>
      </c>
      <c r="J260" s="6">
        <v>27000</v>
      </c>
      <c r="K260" s="6">
        <v>13500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4" t="s">
        <v>68</v>
      </c>
      <c r="R260" s="4">
        <v>34086</v>
      </c>
      <c r="S260" s="4" t="s">
        <v>195</v>
      </c>
      <c r="U260" s="4">
        <v>16</v>
      </c>
      <c r="V260" s="4">
        <v>0</v>
      </c>
      <c r="W260" s="4">
        <v>0</v>
      </c>
    </row>
    <row r="261" spans="1:23" ht="11.25" customHeight="1" x14ac:dyDescent="0.25">
      <c r="A261" s="4" t="s">
        <v>21</v>
      </c>
      <c r="B261" s="4" t="s">
        <v>39</v>
      </c>
      <c r="C261" s="4" t="s">
        <v>66</v>
      </c>
      <c r="D261" s="4" t="s">
        <v>25</v>
      </c>
      <c r="E261" s="4" t="s">
        <v>25</v>
      </c>
      <c r="F261" s="4" t="s">
        <v>25</v>
      </c>
      <c r="G261" s="4" t="s">
        <v>67</v>
      </c>
      <c r="H261" s="4" t="s">
        <v>25</v>
      </c>
      <c r="I261" s="5">
        <v>44531</v>
      </c>
      <c r="J261" s="6">
        <v>3500</v>
      </c>
      <c r="K261" s="6">
        <v>3500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4" t="s">
        <v>68</v>
      </c>
      <c r="R261" s="4">
        <v>27402</v>
      </c>
      <c r="S261" s="4" t="s">
        <v>196</v>
      </c>
      <c r="U261" s="4">
        <v>16</v>
      </c>
      <c r="V261" s="4">
        <v>0</v>
      </c>
      <c r="W261" s="4">
        <v>0</v>
      </c>
    </row>
    <row r="262" spans="1:23" ht="11.25" customHeight="1" x14ac:dyDescent="0.25">
      <c r="A262" s="4" t="s">
        <v>21</v>
      </c>
      <c r="B262" s="4" t="s">
        <v>39</v>
      </c>
      <c r="C262" s="4" t="s">
        <v>66</v>
      </c>
      <c r="D262" s="4" t="s">
        <v>25</v>
      </c>
      <c r="E262" s="4" t="s">
        <v>25</v>
      </c>
      <c r="F262" s="4" t="s">
        <v>25</v>
      </c>
      <c r="G262" s="4" t="s">
        <v>69</v>
      </c>
      <c r="H262" s="4" t="s">
        <v>25</v>
      </c>
      <c r="I262" s="5">
        <v>44531</v>
      </c>
      <c r="J262" s="6">
        <v>3322</v>
      </c>
      <c r="K262" s="6">
        <v>1661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4" t="s">
        <v>68</v>
      </c>
      <c r="R262" s="4">
        <v>28515</v>
      </c>
      <c r="S262" s="4" t="s">
        <v>196</v>
      </c>
      <c r="U262" s="4">
        <v>16</v>
      </c>
      <c r="V262" s="4">
        <v>0</v>
      </c>
      <c r="W262" s="4">
        <v>0</v>
      </c>
    </row>
    <row r="263" spans="1:23" ht="11.25" customHeight="1" x14ac:dyDescent="0.25">
      <c r="A263" s="4" t="s">
        <v>21</v>
      </c>
      <c r="B263" s="4" t="s">
        <v>39</v>
      </c>
      <c r="C263" s="4" t="s">
        <v>66</v>
      </c>
      <c r="D263" s="4" t="s">
        <v>25</v>
      </c>
      <c r="E263" s="4" t="s">
        <v>25</v>
      </c>
      <c r="F263" s="4" t="s">
        <v>25</v>
      </c>
      <c r="G263" s="4" t="s">
        <v>70</v>
      </c>
      <c r="H263" s="4" t="s">
        <v>25</v>
      </c>
      <c r="I263" s="5">
        <v>44531</v>
      </c>
      <c r="J263" s="6">
        <v>12140</v>
      </c>
      <c r="K263" s="6">
        <v>6070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4" t="s">
        <v>68</v>
      </c>
      <c r="R263" s="4">
        <v>28957</v>
      </c>
      <c r="S263" s="4" t="s">
        <v>196</v>
      </c>
      <c r="U263" s="4">
        <v>16</v>
      </c>
      <c r="V263" s="4">
        <v>0</v>
      </c>
      <c r="W263" s="4">
        <v>0</v>
      </c>
    </row>
    <row r="264" spans="1:23" ht="11.25" customHeight="1" x14ac:dyDescent="0.25">
      <c r="A264" s="4" t="s">
        <v>21</v>
      </c>
      <c r="B264" s="4" t="s">
        <v>39</v>
      </c>
      <c r="C264" s="4" t="s">
        <v>66</v>
      </c>
      <c r="D264" s="4" t="s">
        <v>25</v>
      </c>
      <c r="E264" s="4" t="s">
        <v>25</v>
      </c>
      <c r="F264" s="4" t="s">
        <v>25</v>
      </c>
      <c r="G264" s="4" t="s">
        <v>71</v>
      </c>
      <c r="H264" s="4" t="s">
        <v>25</v>
      </c>
      <c r="I264" s="5">
        <v>44531</v>
      </c>
      <c r="J264" s="6">
        <v>10050</v>
      </c>
      <c r="K264" s="6">
        <v>5025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4" t="s">
        <v>68</v>
      </c>
      <c r="R264" s="4">
        <v>29041</v>
      </c>
      <c r="S264" s="4" t="s">
        <v>196</v>
      </c>
      <c r="U264" s="4">
        <v>16</v>
      </c>
      <c r="V264" s="4">
        <v>0</v>
      </c>
      <c r="W264" s="4">
        <v>0</v>
      </c>
    </row>
    <row r="265" spans="1:23" ht="11.25" customHeight="1" x14ac:dyDescent="0.25">
      <c r="A265" s="4" t="s">
        <v>21</v>
      </c>
      <c r="B265" s="4" t="s">
        <v>39</v>
      </c>
      <c r="C265" s="4" t="s">
        <v>66</v>
      </c>
      <c r="D265" s="4" t="s">
        <v>25</v>
      </c>
      <c r="E265" s="4" t="s">
        <v>25</v>
      </c>
      <c r="F265" s="4" t="s">
        <v>25</v>
      </c>
      <c r="G265" s="4" t="s">
        <v>73</v>
      </c>
      <c r="H265" s="4" t="s">
        <v>25</v>
      </c>
      <c r="I265" s="5">
        <v>44531</v>
      </c>
      <c r="J265" s="6">
        <v>44450</v>
      </c>
      <c r="K265" s="6">
        <v>22225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4" t="s">
        <v>68</v>
      </c>
      <c r="R265" s="4">
        <v>29092</v>
      </c>
      <c r="S265" s="4" t="s">
        <v>196</v>
      </c>
      <c r="U265" s="4">
        <v>16</v>
      </c>
      <c r="V265" s="4">
        <v>0</v>
      </c>
      <c r="W265" s="4">
        <v>0</v>
      </c>
    </row>
    <row r="266" spans="1:23" ht="11.25" customHeight="1" x14ac:dyDescent="0.25">
      <c r="A266" s="4" t="s">
        <v>21</v>
      </c>
      <c r="B266" s="4" t="s">
        <v>39</v>
      </c>
      <c r="C266" s="4" t="s">
        <v>66</v>
      </c>
      <c r="D266" s="4" t="s">
        <v>25</v>
      </c>
      <c r="E266" s="4" t="s">
        <v>25</v>
      </c>
      <c r="F266" s="4" t="s">
        <v>25</v>
      </c>
      <c r="G266" s="4" t="s">
        <v>75</v>
      </c>
      <c r="H266" s="4" t="s">
        <v>25</v>
      </c>
      <c r="I266" s="5">
        <v>44531</v>
      </c>
      <c r="J266" s="6">
        <v>30000</v>
      </c>
      <c r="K266" s="6">
        <v>15000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4" t="s">
        <v>68</v>
      </c>
      <c r="R266" s="4">
        <v>33663</v>
      </c>
      <c r="S266" s="4" t="s">
        <v>196</v>
      </c>
      <c r="U266" s="4">
        <v>16</v>
      </c>
      <c r="V266" s="4">
        <v>0</v>
      </c>
      <c r="W266" s="4">
        <v>0</v>
      </c>
    </row>
    <row r="267" spans="1:23" ht="11.25" customHeight="1" x14ac:dyDescent="0.25">
      <c r="A267" s="4" t="s">
        <v>21</v>
      </c>
      <c r="B267" s="4" t="s">
        <v>39</v>
      </c>
      <c r="C267" s="4" t="s">
        <v>66</v>
      </c>
      <c r="D267" s="4" t="s">
        <v>25</v>
      </c>
      <c r="E267" s="4" t="s">
        <v>25</v>
      </c>
      <c r="F267" s="4" t="s">
        <v>25</v>
      </c>
      <c r="G267" s="4" t="s">
        <v>76</v>
      </c>
      <c r="H267" s="4" t="s">
        <v>25</v>
      </c>
      <c r="I267" s="5">
        <v>44531</v>
      </c>
      <c r="J267" s="6">
        <v>30000</v>
      </c>
      <c r="K267" s="6">
        <v>15000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4" t="s">
        <v>68</v>
      </c>
      <c r="R267" s="4">
        <v>33664</v>
      </c>
      <c r="S267" s="4" t="s">
        <v>196</v>
      </c>
      <c r="U267" s="4">
        <v>16</v>
      </c>
      <c r="V267" s="4">
        <v>0</v>
      </c>
      <c r="W267" s="4">
        <v>0</v>
      </c>
    </row>
    <row r="268" spans="1:23" ht="11.25" customHeight="1" x14ac:dyDescent="0.25">
      <c r="A268" s="4" t="s">
        <v>21</v>
      </c>
      <c r="B268" s="4" t="s">
        <v>39</v>
      </c>
      <c r="C268" s="4" t="s">
        <v>66</v>
      </c>
      <c r="D268" s="4" t="s">
        <v>25</v>
      </c>
      <c r="E268" s="4" t="s">
        <v>25</v>
      </c>
      <c r="F268" s="4" t="s">
        <v>25</v>
      </c>
      <c r="G268" s="4" t="s">
        <v>77</v>
      </c>
      <c r="H268" s="4" t="s">
        <v>25</v>
      </c>
      <c r="I268" s="5">
        <v>44531</v>
      </c>
      <c r="J268" s="6">
        <v>30000</v>
      </c>
      <c r="K268" s="6">
        <v>15000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4" t="s">
        <v>68</v>
      </c>
      <c r="R268" s="4">
        <v>33665</v>
      </c>
      <c r="S268" s="4" t="s">
        <v>196</v>
      </c>
      <c r="U268" s="4">
        <v>16</v>
      </c>
      <c r="V268" s="4">
        <v>0</v>
      </c>
      <c r="W268" s="4">
        <v>0</v>
      </c>
    </row>
    <row r="269" spans="1:23" ht="11.25" customHeight="1" x14ac:dyDescent="0.25">
      <c r="A269" s="4" t="s">
        <v>21</v>
      </c>
      <c r="B269" s="4" t="s">
        <v>39</v>
      </c>
      <c r="C269" s="4" t="s">
        <v>66</v>
      </c>
      <c r="D269" s="4" t="s">
        <v>25</v>
      </c>
      <c r="E269" s="4" t="s">
        <v>25</v>
      </c>
      <c r="F269" s="4" t="s">
        <v>25</v>
      </c>
      <c r="G269" s="4" t="s">
        <v>78</v>
      </c>
      <c r="H269" s="4" t="s">
        <v>25</v>
      </c>
      <c r="I269" s="5">
        <v>44531</v>
      </c>
      <c r="J269" s="6">
        <v>27000</v>
      </c>
      <c r="K269" s="6">
        <v>13500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4" t="s">
        <v>68</v>
      </c>
      <c r="R269" s="4">
        <v>34085</v>
      </c>
      <c r="S269" s="4" t="s">
        <v>196</v>
      </c>
      <c r="U269" s="4">
        <v>16</v>
      </c>
      <c r="V269" s="4">
        <v>0</v>
      </c>
      <c r="W269" s="4">
        <v>0</v>
      </c>
    </row>
    <row r="270" spans="1:23" ht="11.25" customHeight="1" x14ac:dyDescent="0.25">
      <c r="A270" s="4" t="s">
        <v>21</v>
      </c>
      <c r="B270" s="4" t="s">
        <v>39</v>
      </c>
      <c r="C270" s="4" t="s">
        <v>66</v>
      </c>
      <c r="D270" s="4" t="s">
        <v>25</v>
      </c>
      <c r="E270" s="4" t="s">
        <v>25</v>
      </c>
      <c r="F270" s="4" t="s">
        <v>25</v>
      </c>
      <c r="G270" s="4" t="s">
        <v>79</v>
      </c>
      <c r="H270" s="4" t="s">
        <v>25</v>
      </c>
      <c r="I270" s="5">
        <v>44531</v>
      </c>
      <c r="J270" s="6">
        <v>27000</v>
      </c>
      <c r="K270" s="6">
        <v>13500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4" t="s">
        <v>68</v>
      </c>
      <c r="R270" s="4">
        <v>34086</v>
      </c>
      <c r="S270" s="4" t="s">
        <v>196</v>
      </c>
      <c r="U270" s="4">
        <v>16</v>
      </c>
      <c r="V270" s="4">
        <v>0</v>
      </c>
      <c r="W270" s="4">
        <v>0</v>
      </c>
    </row>
    <row r="271" spans="1:23" ht="11.25" customHeight="1" x14ac:dyDescent="0.25">
      <c r="A271" s="4" t="s">
        <v>21</v>
      </c>
      <c r="B271" s="4" t="s">
        <v>39</v>
      </c>
      <c r="C271" s="4" t="s">
        <v>66</v>
      </c>
      <c r="D271" s="4" t="s">
        <v>25</v>
      </c>
      <c r="E271" s="4" t="s">
        <v>25</v>
      </c>
      <c r="F271" s="4" t="s">
        <v>25</v>
      </c>
      <c r="G271" s="4" t="s">
        <v>67</v>
      </c>
      <c r="H271" s="4" t="s">
        <v>25</v>
      </c>
      <c r="I271" s="5">
        <v>44562</v>
      </c>
      <c r="J271" s="6">
        <v>3500</v>
      </c>
      <c r="K271" s="6">
        <v>3500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4" t="s">
        <v>68</v>
      </c>
      <c r="R271" s="4">
        <v>27402</v>
      </c>
      <c r="S271" s="4" t="s">
        <v>197</v>
      </c>
      <c r="U271" s="4">
        <v>16</v>
      </c>
      <c r="V271" s="4">
        <v>0</v>
      </c>
      <c r="W271" s="4">
        <v>0</v>
      </c>
    </row>
    <row r="272" spans="1:23" ht="11.25" customHeight="1" x14ac:dyDescent="0.25">
      <c r="A272" s="4" t="s">
        <v>21</v>
      </c>
      <c r="B272" s="4" t="s">
        <v>39</v>
      </c>
      <c r="C272" s="4" t="s">
        <v>66</v>
      </c>
      <c r="D272" s="4" t="s">
        <v>25</v>
      </c>
      <c r="E272" s="4" t="s">
        <v>25</v>
      </c>
      <c r="F272" s="4" t="s">
        <v>25</v>
      </c>
      <c r="G272" s="4" t="s">
        <v>69</v>
      </c>
      <c r="H272" s="4" t="s">
        <v>25</v>
      </c>
      <c r="I272" s="5">
        <v>44562</v>
      </c>
      <c r="J272" s="6">
        <v>3434</v>
      </c>
      <c r="K272" s="6">
        <v>1717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4" t="s">
        <v>68</v>
      </c>
      <c r="R272" s="4">
        <v>28515</v>
      </c>
      <c r="S272" s="4" t="s">
        <v>197</v>
      </c>
      <c r="U272" s="4">
        <v>16</v>
      </c>
      <c r="V272" s="4">
        <v>0</v>
      </c>
      <c r="W272" s="4">
        <v>0</v>
      </c>
    </row>
    <row r="273" spans="1:23" ht="11.25" customHeight="1" x14ac:dyDescent="0.25">
      <c r="A273" s="4" t="s">
        <v>21</v>
      </c>
      <c r="B273" s="4" t="s">
        <v>39</v>
      </c>
      <c r="C273" s="4" t="s">
        <v>66</v>
      </c>
      <c r="D273" s="4" t="s">
        <v>25</v>
      </c>
      <c r="E273" s="4" t="s">
        <v>25</v>
      </c>
      <c r="F273" s="4" t="s">
        <v>25</v>
      </c>
      <c r="G273" s="4" t="s">
        <v>70</v>
      </c>
      <c r="H273" s="4" t="s">
        <v>25</v>
      </c>
      <c r="I273" s="5">
        <v>44562</v>
      </c>
      <c r="J273" s="6">
        <v>11644</v>
      </c>
      <c r="K273" s="6">
        <v>5822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4" t="s">
        <v>68</v>
      </c>
      <c r="R273" s="4">
        <v>28957</v>
      </c>
      <c r="S273" s="4" t="s">
        <v>197</v>
      </c>
      <c r="U273" s="4">
        <v>16</v>
      </c>
      <c r="V273" s="4">
        <v>0</v>
      </c>
      <c r="W273" s="4">
        <v>0</v>
      </c>
    </row>
    <row r="274" spans="1:23" ht="11.25" customHeight="1" x14ac:dyDescent="0.25">
      <c r="A274" s="4" t="s">
        <v>21</v>
      </c>
      <c r="B274" s="4" t="s">
        <v>39</v>
      </c>
      <c r="C274" s="4" t="s">
        <v>66</v>
      </c>
      <c r="D274" s="4" t="s">
        <v>25</v>
      </c>
      <c r="E274" s="4" t="s">
        <v>25</v>
      </c>
      <c r="F274" s="4" t="s">
        <v>25</v>
      </c>
      <c r="G274" s="4" t="s">
        <v>71</v>
      </c>
      <c r="H274" s="4" t="s">
        <v>25</v>
      </c>
      <c r="I274" s="5">
        <v>44562</v>
      </c>
      <c r="J274" s="6">
        <v>10050</v>
      </c>
      <c r="K274" s="6">
        <v>5025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4" t="s">
        <v>68</v>
      </c>
      <c r="R274" s="4">
        <v>29041</v>
      </c>
      <c r="S274" s="4" t="s">
        <v>197</v>
      </c>
      <c r="U274" s="4">
        <v>16</v>
      </c>
      <c r="V274" s="4">
        <v>0</v>
      </c>
      <c r="W274" s="4">
        <v>0</v>
      </c>
    </row>
    <row r="275" spans="1:23" ht="11.25" customHeight="1" x14ac:dyDescent="0.25">
      <c r="A275" s="4" t="s">
        <v>21</v>
      </c>
      <c r="B275" s="4" t="s">
        <v>39</v>
      </c>
      <c r="C275" s="4" t="s">
        <v>66</v>
      </c>
      <c r="D275" s="4" t="s">
        <v>25</v>
      </c>
      <c r="E275" s="4" t="s">
        <v>25</v>
      </c>
      <c r="F275" s="4" t="s">
        <v>25</v>
      </c>
      <c r="G275" s="4" t="s">
        <v>73</v>
      </c>
      <c r="H275" s="4" t="s">
        <v>25</v>
      </c>
      <c r="I275" s="5">
        <v>44562</v>
      </c>
      <c r="J275" s="6">
        <v>44450</v>
      </c>
      <c r="K275" s="6">
        <v>22225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4" t="s">
        <v>68</v>
      </c>
      <c r="R275" s="4">
        <v>29092</v>
      </c>
      <c r="S275" s="4" t="s">
        <v>197</v>
      </c>
      <c r="U275" s="4">
        <v>16</v>
      </c>
      <c r="V275" s="4">
        <v>0</v>
      </c>
      <c r="W275" s="4">
        <v>0</v>
      </c>
    </row>
    <row r="276" spans="1:23" ht="11.25" customHeight="1" x14ac:dyDescent="0.25">
      <c r="A276" s="4" t="s">
        <v>21</v>
      </c>
      <c r="B276" s="4" t="s">
        <v>39</v>
      </c>
      <c r="C276" s="4" t="s">
        <v>66</v>
      </c>
      <c r="D276" s="4" t="s">
        <v>25</v>
      </c>
      <c r="E276" s="4" t="s">
        <v>25</v>
      </c>
      <c r="F276" s="4" t="s">
        <v>25</v>
      </c>
      <c r="G276" s="4" t="s">
        <v>75</v>
      </c>
      <c r="H276" s="4" t="s">
        <v>25</v>
      </c>
      <c r="I276" s="5">
        <v>44562</v>
      </c>
      <c r="J276" s="6">
        <v>30000</v>
      </c>
      <c r="K276" s="6">
        <v>15000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4" t="s">
        <v>68</v>
      </c>
      <c r="R276" s="4">
        <v>33663</v>
      </c>
      <c r="S276" s="4" t="s">
        <v>197</v>
      </c>
      <c r="U276" s="4">
        <v>16</v>
      </c>
      <c r="V276" s="4">
        <v>0</v>
      </c>
      <c r="W276" s="4">
        <v>0</v>
      </c>
    </row>
    <row r="277" spans="1:23" ht="11.25" customHeight="1" x14ac:dyDescent="0.25">
      <c r="A277" s="4" t="s">
        <v>21</v>
      </c>
      <c r="B277" s="4" t="s">
        <v>39</v>
      </c>
      <c r="C277" s="4" t="s">
        <v>66</v>
      </c>
      <c r="D277" s="4" t="s">
        <v>25</v>
      </c>
      <c r="E277" s="4" t="s">
        <v>25</v>
      </c>
      <c r="F277" s="4" t="s">
        <v>25</v>
      </c>
      <c r="G277" s="4" t="s">
        <v>76</v>
      </c>
      <c r="H277" s="4" t="s">
        <v>25</v>
      </c>
      <c r="I277" s="5">
        <v>44562</v>
      </c>
      <c r="J277" s="6">
        <v>30000</v>
      </c>
      <c r="K277" s="6">
        <v>15000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4" t="s">
        <v>68</v>
      </c>
      <c r="R277" s="4">
        <v>33664</v>
      </c>
      <c r="S277" s="4" t="s">
        <v>197</v>
      </c>
      <c r="U277" s="4">
        <v>16</v>
      </c>
      <c r="V277" s="4">
        <v>0</v>
      </c>
      <c r="W277" s="4">
        <v>0</v>
      </c>
    </row>
    <row r="278" spans="1:23" ht="11.25" customHeight="1" x14ac:dyDescent="0.25">
      <c r="A278" s="4" t="s">
        <v>21</v>
      </c>
      <c r="B278" s="4" t="s">
        <v>39</v>
      </c>
      <c r="C278" s="4" t="s">
        <v>66</v>
      </c>
      <c r="D278" s="4" t="s">
        <v>25</v>
      </c>
      <c r="E278" s="4" t="s">
        <v>25</v>
      </c>
      <c r="F278" s="4" t="s">
        <v>25</v>
      </c>
      <c r="G278" s="4" t="s">
        <v>77</v>
      </c>
      <c r="H278" s="4" t="s">
        <v>25</v>
      </c>
      <c r="I278" s="5">
        <v>44562</v>
      </c>
      <c r="J278" s="6">
        <v>30000</v>
      </c>
      <c r="K278" s="6">
        <v>15000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4" t="s">
        <v>68</v>
      </c>
      <c r="R278" s="4">
        <v>33665</v>
      </c>
      <c r="S278" s="4" t="s">
        <v>197</v>
      </c>
      <c r="U278" s="4">
        <v>16</v>
      </c>
      <c r="V278" s="4">
        <v>0</v>
      </c>
      <c r="W278" s="4">
        <v>0</v>
      </c>
    </row>
    <row r="279" spans="1:23" ht="11.25" customHeight="1" x14ac:dyDescent="0.25">
      <c r="A279" s="4" t="s">
        <v>21</v>
      </c>
      <c r="B279" s="4" t="s">
        <v>39</v>
      </c>
      <c r="C279" s="4" t="s">
        <v>66</v>
      </c>
      <c r="D279" s="4" t="s">
        <v>25</v>
      </c>
      <c r="E279" s="4" t="s">
        <v>25</v>
      </c>
      <c r="F279" s="4" t="s">
        <v>25</v>
      </c>
      <c r="G279" s="4" t="s">
        <v>78</v>
      </c>
      <c r="H279" s="4" t="s">
        <v>25</v>
      </c>
      <c r="I279" s="5">
        <v>44562</v>
      </c>
      <c r="J279" s="6">
        <v>27000</v>
      </c>
      <c r="K279" s="6">
        <v>13500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4" t="s">
        <v>68</v>
      </c>
      <c r="R279" s="4">
        <v>34085</v>
      </c>
      <c r="S279" s="4" t="s">
        <v>197</v>
      </c>
      <c r="U279" s="4">
        <v>16</v>
      </c>
      <c r="V279" s="4">
        <v>0</v>
      </c>
      <c r="W279" s="4">
        <v>0</v>
      </c>
    </row>
    <row r="280" spans="1:23" ht="11.25" customHeight="1" x14ac:dyDescent="0.25">
      <c r="A280" s="4" t="s">
        <v>21</v>
      </c>
      <c r="B280" s="4" t="s">
        <v>39</v>
      </c>
      <c r="C280" s="4" t="s">
        <v>66</v>
      </c>
      <c r="D280" s="4" t="s">
        <v>25</v>
      </c>
      <c r="E280" s="4" t="s">
        <v>25</v>
      </c>
      <c r="F280" s="4" t="s">
        <v>25</v>
      </c>
      <c r="G280" s="4" t="s">
        <v>79</v>
      </c>
      <c r="H280" s="4" t="s">
        <v>25</v>
      </c>
      <c r="I280" s="5">
        <v>44562</v>
      </c>
      <c r="J280" s="6">
        <v>27000</v>
      </c>
      <c r="K280" s="6">
        <v>13500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4" t="s">
        <v>68</v>
      </c>
      <c r="R280" s="4">
        <v>34086</v>
      </c>
      <c r="S280" s="4" t="s">
        <v>197</v>
      </c>
      <c r="U280" s="4">
        <v>16</v>
      </c>
      <c r="V280" s="4">
        <v>0</v>
      </c>
      <c r="W280" s="4">
        <v>0</v>
      </c>
    </row>
    <row r="281" spans="1:23" ht="11.25" customHeight="1" x14ac:dyDescent="0.25">
      <c r="A281" s="4" t="s">
        <v>21</v>
      </c>
      <c r="B281" s="4" t="s">
        <v>39</v>
      </c>
      <c r="C281" s="4" t="s">
        <v>66</v>
      </c>
      <c r="D281" s="4" t="s">
        <v>25</v>
      </c>
      <c r="E281" s="4" t="s">
        <v>25</v>
      </c>
      <c r="F281" s="4" t="s">
        <v>25</v>
      </c>
      <c r="G281" s="4" t="s">
        <v>67</v>
      </c>
      <c r="H281" s="4" t="s">
        <v>25</v>
      </c>
      <c r="I281" s="5">
        <v>44593</v>
      </c>
      <c r="J281" s="6">
        <v>3500</v>
      </c>
      <c r="K281" s="6">
        <v>3500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4" t="s">
        <v>68</v>
      </c>
      <c r="R281" s="4">
        <v>27402</v>
      </c>
      <c r="S281" s="4" t="s">
        <v>198</v>
      </c>
      <c r="U281" s="4">
        <v>16</v>
      </c>
      <c r="V281" s="4">
        <v>0</v>
      </c>
      <c r="W281" s="4">
        <v>0</v>
      </c>
    </row>
    <row r="282" spans="1:23" ht="11.25" customHeight="1" x14ac:dyDescent="0.25">
      <c r="A282" s="4" t="s">
        <v>21</v>
      </c>
      <c r="B282" s="4" t="s">
        <v>39</v>
      </c>
      <c r="C282" s="4" t="s">
        <v>66</v>
      </c>
      <c r="D282" s="4" t="s">
        <v>25</v>
      </c>
      <c r="E282" s="4" t="s">
        <v>25</v>
      </c>
      <c r="F282" s="4" t="s">
        <v>25</v>
      </c>
      <c r="G282" s="4" t="s">
        <v>69</v>
      </c>
      <c r="H282" s="4" t="s">
        <v>25</v>
      </c>
      <c r="I282" s="5">
        <v>44593</v>
      </c>
      <c r="J282" s="6">
        <v>3000</v>
      </c>
      <c r="K282" s="6">
        <v>3000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4" t="s">
        <v>68</v>
      </c>
      <c r="R282" s="4">
        <v>28515</v>
      </c>
      <c r="S282" s="4" t="s">
        <v>198</v>
      </c>
      <c r="U282" s="4">
        <v>16</v>
      </c>
      <c r="V282" s="4">
        <v>0</v>
      </c>
      <c r="W282" s="4">
        <v>0</v>
      </c>
    </row>
    <row r="283" spans="1:23" ht="11.25" customHeight="1" x14ac:dyDescent="0.25">
      <c r="A283" s="4" t="s">
        <v>21</v>
      </c>
      <c r="B283" s="4" t="s">
        <v>39</v>
      </c>
      <c r="C283" s="4" t="s">
        <v>66</v>
      </c>
      <c r="D283" s="4" t="s">
        <v>25</v>
      </c>
      <c r="E283" s="4" t="s">
        <v>25</v>
      </c>
      <c r="F283" s="4" t="s">
        <v>25</v>
      </c>
      <c r="G283" s="4" t="s">
        <v>70</v>
      </c>
      <c r="H283" s="4" t="s">
        <v>25</v>
      </c>
      <c r="I283" s="5">
        <v>44593</v>
      </c>
      <c r="J283" s="6">
        <v>11000</v>
      </c>
      <c r="K283" s="6">
        <v>5500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4" t="s">
        <v>68</v>
      </c>
      <c r="R283" s="4">
        <v>28957</v>
      </c>
      <c r="S283" s="4" t="s">
        <v>198</v>
      </c>
      <c r="U283" s="4">
        <v>16</v>
      </c>
      <c r="V283" s="4">
        <v>0</v>
      </c>
      <c r="W283" s="4">
        <v>0</v>
      </c>
    </row>
    <row r="284" spans="1:23" ht="11.25" customHeight="1" x14ac:dyDescent="0.25">
      <c r="A284" s="4" t="s">
        <v>21</v>
      </c>
      <c r="B284" s="4" t="s">
        <v>39</v>
      </c>
      <c r="C284" s="4" t="s">
        <v>66</v>
      </c>
      <c r="D284" s="4" t="s">
        <v>25</v>
      </c>
      <c r="E284" s="4" t="s">
        <v>25</v>
      </c>
      <c r="F284" s="4" t="s">
        <v>25</v>
      </c>
      <c r="G284" s="4" t="s">
        <v>71</v>
      </c>
      <c r="H284" s="4" t="s">
        <v>25</v>
      </c>
      <c r="I284" s="5">
        <v>44593</v>
      </c>
      <c r="J284" s="6">
        <v>10050</v>
      </c>
      <c r="K284" s="6">
        <v>5025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4" t="s">
        <v>68</v>
      </c>
      <c r="R284" s="4">
        <v>29041</v>
      </c>
      <c r="S284" s="4" t="s">
        <v>198</v>
      </c>
      <c r="U284" s="4">
        <v>16</v>
      </c>
      <c r="V284" s="4">
        <v>0</v>
      </c>
      <c r="W284" s="4">
        <v>0</v>
      </c>
    </row>
    <row r="285" spans="1:23" ht="11.25" customHeight="1" x14ac:dyDescent="0.25">
      <c r="A285" s="4" t="s">
        <v>21</v>
      </c>
      <c r="B285" s="4" t="s">
        <v>39</v>
      </c>
      <c r="C285" s="4" t="s">
        <v>66</v>
      </c>
      <c r="D285" s="4" t="s">
        <v>25</v>
      </c>
      <c r="E285" s="4" t="s">
        <v>25</v>
      </c>
      <c r="F285" s="4" t="s">
        <v>25</v>
      </c>
      <c r="G285" s="4" t="s">
        <v>73</v>
      </c>
      <c r="H285" s="4" t="s">
        <v>25</v>
      </c>
      <c r="I285" s="5">
        <v>44593</v>
      </c>
      <c r="J285" s="6">
        <v>44450</v>
      </c>
      <c r="K285" s="6">
        <v>22225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4" t="s">
        <v>68</v>
      </c>
      <c r="R285" s="4">
        <v>29092</v>
      </c>
      <c r="S285" s="4" t="s">
        <v>198</v>
      </c>
      <c r="U285" s="4">
        <v>16</v>
      </c>
      <c r="V285" s="4">
        <v>0</v>
      </c>
      <c r="W285" s="4">
        <v>0</v>
      </c>
    </row>
    <row r="286" spans="1:23" ht="11.25" customHeight="1" x14ac:dyDescent="0.25">
      <c r="A286" s="4" t="s">
        <v>21</v>
      </c>
      <c r="B286" s="4" t="s">
        <v>39</v>
      </c>
      <c r="C286" s="4" t="s">
        <v>66</v>
      </c>
      <c r="D286" s="4" t="s">
        <v>25</v>
      </c>
      <c r="E286" s="4" t="s">
        <v>25</v>
      </c>
      <c r="F286" s="4" t="s">
        <v>25</v>
      </c>
      <c r="G286" s="4" t="s">
        <v>75</v>
      </c>
      <c r="H286" s="4" t="s">
        <v>25</v>
      </c>
      <c r="I286" s="5">
        <v>44593</v>
      </c>
      <c r="J286" s="6">
        <v>30000</v>
      </c>
      <c r="K286" s="6">
        <v>15000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4" t="s">
        <v>68</v>
      </c>
      <c r="R286" s="4">
        <v>33663</v>
      </c>
      <c r="S286" s="4" t="s">
        <v>198</v>
      </c>
      <c r="U286" s="4">
        <v>16</v>
      </c>
      <c r="V286" s="4">
        <v>0</v>
      </c>
      <c r="W286" s="4">
        <v>0</v>
      </c>
    </row>
    <row r="287" spans="1:23" ht="11.25" customHeight="1" x14ac:dyDescent="0.25">
      <c r="A287" s="4" t="s">
        <v>21</v>
      </c>
      <c r="B287" s="4" t="s">
        <v>39</v>
      </c>
      <c r="C287" s="4" t="s">
        <v>66</v>
      </c>
      <c r="D287" s="4" t="s">
        <v>25</v>
      </c>
      <c r="E287" s="4" t="s">
        <v>25</v>
      </c>
      <c r="F287" s="4" t="s">
        <v>25</v>
      </c>
      <c r="G287" s="4" t="s">
        <v>76</v>
      </c>
      <c r="H287" s="4" t="s">
        <v>25</v>
      </c>
      <c r="I287" s="5">
        <v>44593</v>
      </c>
      <c r="J287" s="6">
        <v>30000</v>
      </c>
      <c r="K287" s="6">
        <v>15000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4" t="s">
        <v>68</v>
      </c>
      <c r="R287" s="4">
        <v>33664</v>
      </c>
      <c r="S287" s="4" t="s">
        <v>198</v>
      </c>
      <c r="U287" s="4">
        <v>16</v>
      </c>
      <c r="V287" s="4">
        <v>0</v>
      </c>
      <c r="W287" s="4">
        <v>0</v>
      </c>
    </row>
    <row r="288" spans="1:23" ht="11.25" customHeight="1" x14ac:dyDescent="0.25">
      <c r="A288" s="4" t="s">
        <v>21</v>
      </c>
      <c r="B288" s="4" t="s">
        <v>39</v>
      </c>
      <c r="C288" s="4" t="s">
        <v>66</v>
      </c>
      <c r="D288" s="4" t="s">
        <v>25</v>
      </c>
      <c r="E288" s="4" t="s">
        <v>25</v>
      </c>
      <c r="F288" s="4" t="s">
        <v>25</v>
      </c>
      <c r="G288" s="4" t="s">
        <v>77</v>
      </c>
      <c r="H288" s="4" t="s">
        <v>25</v>
      </c>
      <c r="I288" s="5">
        <v>44593</v>
      </c>
      <c r="J288" s="6">
        <v>30000</v>
      </c>
      <c r="K288" s="6">
        <v>15000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4" t="s">
        <v>68</v>
      </c>
      <c r="R288" s="4">
        <v>33665</v>
      </c>
      <c r="S288" s="4" t="s">
        <v>198</v>
      </c>
      <c r="U288" s="4">
        <v>16</v>
      </c>
      <c r="V288" s="4">
        <v>0</v>
      </c>
      <c r="W288" s="4">
        <v>0</v>
      </c>
    </row>
    <row r="289" spans="1:23" ht="11.25" customHeight="1" x14ac:dyDescent="0.25">
      <c r="A289" s="4" t="s">
        <v>21</v>
      </c>
      <c r="B289" s="4" t="s">
        <v>39</v>
      </c>
      <c r="C289" s="4" t="s">
        <v>66</v>
      </c>
      <c r="D289" s="4" t="s">
        <v>25</v>
      </c>
      <c r="E289" s="4" t="s">
        <v>25</v>
      </c>
      <c r="F289" s="4" t="s">
        <v>25</v>
      </c>
      <c r="G289" s="4" t="s">
        <v>78</v>
      </c>
      <c r="H289" s="4" t="s">
        <v>25</v>
      </c>
      <c r="I289" s="5">
        <v>44593</v>
      </c>
      <c r="J289" s="6">
        <v>27000</v>
      </c>
      <c r="K289" s="6">
        <v>13500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4" t="s">
        <v>68</v>
      </c>
      <c r="R289" s="4">
        <v>34085</v>
      </c>
      <c r="S289" s="4" t="s">
        <v>198</v>
      </c>
      <c r="U289" s="4">
        <v>16</v>
      </c>
      <c r="V289" s="4">
        <v>0</v>
      </c>
      <c r="W289" s="4">
        <v>0</v>
      </c>
    </row>
    <row r="290" spans="1:23" ht="11.25" customHeight="1" x14ac:dyDescent="0.25">
      <c r="A290" s="4" t="s">
        <v>21</v>
      </c>
      <c r="B290" s="4" t="s">
        <v>39</v>
      </c>
      <c r="C290" s="4" t="s">
        <v>66</v>
      </c>
      <c r="D290" s="4" t="s">
        <v>25</v>
      </c>
      <c r="E290" s="4" t="s">
        <v>25</v>
      </c>
      <c r="F290" s="4" t="s">
        <v>25</v>
      </c>
      <c r="G290" s="4" t="s">
        <v>79</v>
      </c>
      <c r="H290" s="4" t="s">
        <v>25</v>
      </c>
      <c r="I290" s="5">
        <v>44593</v>
      </c>
      <c r="J290" s="6">
        <v>27000</v>
      </c>
      <c r="K290" s="6">
        <v>13500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4" t="s">
        <v>68</v>
      </c>
      <c r="R290" s="4">
        <v>34086</v>
      </c>
      <c r="S290" s="4" t="s">
        <v>198</v>
      </c>
      <c r="U290" s="4">
        <v>16</v>
      </c>
      <c r="V290" s="4">
        <v>0</v>
      </c>
      <c r="W290" s="4">
        <v>0</v>
      </c>
    </row>
    <row r="291" spans="1:23" ht="11.25" customHeight="1" x14ac:dyDescent="0.25">
      <c r="A291" s="4" t="s">
        <v>21</v>
      </c>
      <c r="B291" s="4" t="s">
        <v>39</v>
      </c>
      <c r="C291" s="4" t="s">
        <v>66</v>
      </c>
      <c r="D291" s="4" t="s">
        <v>25</v>
      </c>
      <c r="E291" s="4" t="s">
        <v>25</v>
      </c>
      <c r="F291" s="4" t="s">
        <v>25</v>
      </c>
      <c r="G291" s="4" t="s">
        <v>67</v>
      </c>
      <c r="H291" s="4" t="s">
        <v>25</v>
      </c>
      <c r="I291" s="5">
        <v>44621</v>
      </c>
      <c r="J291" s="6">
        <v>3500</v>
      </c>
      <c r="K291" s="6">
        <v>3500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4" t="s">
        <v>68</v>
      </c>
      <c r="R291" s="4">
        <v>27402</v>
      </c>
      <c r="S291" s="4" t="s">
        <v>199</v>
      </c>
      <c r="U291" s="4">
        <v>16</v>
      </c>
      <c r="V291" s="4">
        <v>0</v>
      </c>
      <c r="W291" s="4">
        <v>0</v>
      </c>
    </row>
    <row r="292" spans="1:23" ht="11.25" customHeight="1" x14ac:dyDescent="0.25">
      <c r="A292" s="4" t="s">
        <v>21</v>
      </c>
      <c r="B292" s="4" t="s">
        <v>39</v>
      </c>
      <c r="C292" s="4" t="s">
        <v>66</v>
      </c>
      <c r="D292" s="4" t="s">
        <v>25</v>
      </c>
      <c r="E292" s="4" t="s">
        <v>25</v>
      </c>
      <c r="F292" s="4" t="s">
        <v>25</v>
      </c>
      <c r="G292" s="4" t="s">
        <v>69</v>
      </c>
      <c r="H292" s="4" t="s">
        <v>25</v>
      </c>
      <c r="I292" s="5">
        <v>44621</v>
      </c>
      <c r="J292" s="6">
        <v>3000</v>
      </c>
      <c r="K292" s="6">
        <v>1500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4" t="s">
        <v>68</v>
      </c>
      <c r="R292" s="4">
        <v>28515</v>
      </c>
      <c r="S292" s="4" t="s">
        <v>199</v>
      </c>
      <c r="U292" s="4">
        <v>16</v>
      </c>
      <c r="V292" s="4">
        <v>0</v>
      </c>
      <c r="W292" s="4">
        <v>0</v>
      </c>
    </row>
    <row r="293" spans="1:23" ht="11.25" customHeight="1" x14ac:dyDescent="0.25">
      <c r="A293" s="4" t="s">
        <v>21</v>
      </c>
      <c r="B293" s="4" t="s">
        <v>39</v>
      </c>
      <c r="C293" s="4" t="s">
        <v>66</v>
      </c>
      <c r="D293" s="4" t="s">
        <v>25</v>
      </c>
      <c r="E293" s="4" t="s">
        <v>25</v>
      </c>
      <c r="F293" s="4" t="s">
        <v>25</v>
      </c>
      <c r="G293" s="4" t="s">
        <v>70</v>
      </c>
      <c r="H293" s="4" t="s">
        <v>25</v>
      </c>
      <c r="I293" s="5">
        <v>44621</v>
      </c>
      <c r="J293" s="6">
        <v>11000</v>
      </c>
      <c r="K293" s="6">
        <v>5500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4" t="s">
        <v>68</v>
      </c>
      <c r="R293" s="4">
        <v>28957</v>
      </c>
      <c r="S293" s="4" t="s">
        <v>199</v>
      </c>
      <c r="U293" s="4">
        <v>16</v>
      </c>
      <c r="V293" s="4">
        <v>0</v>
      </c>
      <c r="W293" s="4">
        <v>0</v>
      </c>
    </row>
    <row r="294" spans="1:23" ht="11.25" customHeight="1" x14ac:dyDescent="0.25">
      <c r="A294" s="4" t="s">
        <v>21</v>
      </c>
      <c r="B294" s="4" t="s">
        <v>39</v>
      </c>
      <c r="C294" s="4" t="s">
        <v>66</v>
      </c>
      <c r="D294" s="4" t="s">
        <v>25</v>
      </c>
      <c r="E294" s="4" t="s">
        <v>25</v>
      </c>
      <c r="F294" s="4" t="s">
        <v>25</v>
      </c>
      <c r="G294" s="4" t="s">
        <v>71</v>
      </c>
      <c r="H294" s="4" t="s">
        <v>25</v>
      </c>
      <c r="I294" s="5">
        <v>44621</v>
      </c>
      <c r="J294" s="6">
        <v>10050</v>
      </c>
      <c r="K294" s="6">
        <v>5025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4" t="s">
        <v>68</v>
      </c>
      <c r="R294" s="4">
        <v>29041</v>
      </c>
      <c r="S294" s="4" t="s">
        <v>199</v>
      </c>
      <c r="U294" s="4">
        <v>16</v>
      </c>
      <c r="V294" s="4">
        <v>0</v>
      </c>
      <c r="W294" s="4">
        <v>0</v>
      </c>
    </row>
    <row r="295" spans="1:23" ht="11.25" customHeight="1" x14ac:dyDescent="0.25">
      <c r="A295" s="4" t="s">
        <v>21</v>
      </c>
      <c r="B295" s="4" t="s">
        <v>39</v>
      </c>
      <c r="C295" s="4" t="s">
        <v>66</v>
      </c>
      <c r="D295" s="4" t="s">
        <v>25</v>
      </c>
      <c r="E295" s="4" t="s">
        <v>25</v>
      </c>
      <c r="F295" s="4" t="s">
        <v>25</v>
      </c>
      <c r="G295" s="4" t="s">
        <v>73</v>
      </c>
      <c r="H295" s="4" t="s">
        <v>25</v>
      </c>
      <c r="I295" s="5">
        <v>44621</v>
      </c>
      <c r="J295" s="6">
        <v>44450</v>
      </c>
      <c r="K295" s="6">
        <v>22225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4" t="s">
        <v>68</v>
      </c>
      <c r="R295" s="4">
        <v>29092</v>
      </c>
      <c r="S295" s="4" t="s">
        <v>199</v>
      </c>
      <c r="U295" s="4">
        <v>16</v>
      </c>
      <c r="V295" s="4">
        <v>0</v>
      </c>
      <c r="W295" s="4">
        <v>0</v>
      </c>
    </row>
    <row r="296" spans="1:23" ht="11.25" customHeight="1" x14ac:dyDescent="0.25">
      <c r="A296" s="4" t="s">
        <v>21</v>
      </c>
      <c r="B296" s="4" t="s">
        <v>39</v>
      </c>
      <c r="C296" s="4" t="s">
        <v>66</v>
      </c>
      <c r="D296" s="4" t="s">
        <v>25</v>
      </c>
      <c r="E296" s="4" t="s">
        <v>25</v>
      </c>
      <c r="F296" s="4" t="s">
        <v>25</v>
      </c>
      <c r="G296" s="4" t="s">
        <v>75</v>
      </c>
      <c r="H296" s="4" t="s">
        <v>25</v>
      </c>
      <c r="I296" s="5">
        <v>44621</v>
      </c>
      <c r="J296" s="6">
        <v>30000</v>
      </c>
      <c r="K296" s="6">
        <v>15000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4" t="s">
        <v>68</v>
      </c>
      <c r="R296" s="4">
        <v>33663</v>
      </c>
      <c r="S296" s="4" t="s">
        <v>199</v>
      </c>
      <c r="U296" s="4">
        <v>16</v>
      </c>
      <c r="V296" s="4">
        <v>0</v>
      </c>
      <c r="W296" s="4">
        <v>0</v>
      </c>
    </row>
    <row r="297" spans="1:23" ht="11.25" customHeight="1" x14ac:dyDescent="0.25">
      <c r="A297" s="4" t="s">
        <v>21</v>
      </c>
      <c r="B297" s="4" t="s">
        <v>39</v>
      </c>
      <c r="C297" s="4" t="s">
        <v>66</v>
      </c>
      <c r="D297" s="4" t="s">
        <v>25</v>
      </c>
      <c r="E297" s="4" t="s">
        <v>25</v>
      </c>
      <c r="F297" s="4" t="s">
        <v>25</v>
      </c>
      <c r="G297" s="4" t="s">
        <v>76</v>
      </c>
      <c r="H297" s="4" t="s">
        <v>25</v>
      </c>
      <c r="I297" s="5">
        <v>44621</v>
      </c>
      <c r="J297" s="6">
        <v>30000</v>
      </c>
      <c r="K297" s="6">
        <v>15000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4" t="s">
        <v>68</v>
      </c>
      <c r="R297" s="4">
        <v>33664</v>
      </c>
      <c r="S297" s="4" t="s">
        <v>199</v>
      </c>
      <c r="U297" s="4">
        <v>16</v>
      </c>
      <c r="V297" s="4">
        <v>0</v>
      </c>
      <c r="W297" s="4">
        <v>0</v>
      </c>
    </row>
    <row r="298" spans="1:23" ht="11.25" customHeight="1" x14ac:dyDescent="0.25">
      <c r="A298" s="4" t="s">
        <v>21</v>
      </c>
      <c r="B298" s="4" t="s">
        <v>39</v>
      </c>
      <c r="C298" s="4" t="s">
        <v>66</v>
      </c>
      <c r="D298" s="4" t="s">
        <v>25</v>
      </c>
      <c r="E298" s="4" t="s">
        <v>25</v>
      </c>
      <c r="F298" s="4" t="s">
        <v>25</v>
      </c>
      <c r="G298" s="4" t="s">
        <v>77</v>
      </c>
      <c r="H298" s="4" t="s">
        <v>25</v>
      </c>
      <c r="I298" s="5">
        <v>44621</v>
      </c>
      <c r="J298" s="6">
        <v>30000</v>
      </c>
      <c r="K298" s="6">
        <v>15000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4" t="s">
        <v>68</v>
      </c>
      <c r="R298" s="4">
        <v>33665</v>
      </c>
      <c r="S298" s="4" t="s">
        <v>199</v>
      </c>
      <c r="U298" s="4">
        <v>16</v>
      </c>
      <c r="V298" s="4">
        <v>0</v>
      </c>
      <c r="W298" s="4">
        <v>0</v>
      </c>
    </row>
    <row r="299" spans="1:23" ht="11.25" customHeight="1" x14ac:dyDescent="0.25">
      <c r="A299" s="4" t="s">
        <v>21</v>
      </c>
      <c r="B299" s="4" t="s">
        <v>39</v>
      </c>
      <c r="C299" s="4" t="s">
        <v>66</v>
      </c>
      <c r="D299" s="4" t="s">
        <v>25</v>
      </c>
      <c r="E299" s="4" t="s">
        <v>25</v>
      </c>
      <c r="F299" s="4" t="s">
        <v>25</v>
      </c>
      <c r="G299" s="4" t="s">
        <v>78</v>
      </c>
      <c r="H299" s="4" t="s">
        <v>25</v>
      </c>
      <c r="I299" s="5">
        <v>44621</v>
      </c>
      <c r="J299" s="6">
        <v>27000</v>
      </c>
      <c r="K299" s="6">
        <v>13500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4" t="s">
        <v>68</v>
      </c>
      <c r="R299" s="4">
        <v>34085</v>
      </c>
      <c r="S299" s="4" t="s">
        <v>199</v>
      </c>
      <c r="U299" s="4">
        <v>16</v>
      </c>
      <c r="V299" s="4">
        <v>0</v>
      </c>
      <c r="W299" s="4">
        <v>0</v>
      </c>
    </row>
    <row r="300" spans="1:23" ht="11.25" customHeight="1" x14ac:dyDescent="0.25">
      <c r="A300" s="4" t="s">
        <v>21</v>
      </c>
      <c r="B300" s="4" t="s">
        <v>39</v>
      </c>
      <c r="C300" s="4" t="s">
        <v>66</v>
      </c>
      <c r="D300" s="4" t="s">
        <v>25</v>
      </c>
      <c r="E300" s="4" t="s">
        <v>25</v>
      </c>
      <c r="F300" s="4" t="s">
        <v>25</v>
      </c>
      <c r="G300" s="4" t="s">
        <v>79</v>
      </c>
      <c r="H300" s="4" t="s">
        <v>25</v>
      </c>
      <c r="I300" s="5">
        <v>44621</v>
      </c>
      <c r="J300" s="6">
        <v>27000</v>
      </c>
      <c r="K300" s="6">
        <v>13500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4" t="s">
        <v>68</v>
      </c>
      <c r="R300" s="4">
        <v>34086</v>
      </c>
      <c r="S300" s="4" t="s">
        <v>199</v>
      </c>
      <c r="U300" s="4">
        <v>16</v>
      </c>
      <c r="V300" s="4">
        <v>0</v>
      </c>
      <c r="W300" s="4">
        <v>0</v>
      </c>
    </row>
    <row r="301" spans="1:23" ht="11.25" customHeight="1" x14ac:dyDescent="0.25">
      <c r="A301" s="4" t="s">
        <v>21</v>
      </c>
      <c r="B301" s="4" t="s">
        <v>39</v>
      </c>
      <c r="C301" s="4" t="s">
        <v>66</v>
      </c>
      <c r="D301" s="4" t="s">
        <v>25</v>
      </c>
      <c r="E301" s="4" t="s">
        <v>25</v>
      </c>
      <c r="F301" s="4" t="s">
        <v>25</v>
      </c>
      <c r="G301" s="4" t="s">
        <v>67</v>
      </c>
      <c r="H301" s="4" t="s">
        <v>25</v>
      </c>
      <c r="I301" s="5">
        <v>44652</v>
      </c>
      <c r="J301" s="6">
        <v>3500</v>
      </c>
      <c r="K301" s="6">
        <v>3500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4" t="s">
        <v>68</v>
      </c>
      <c r="R301" s="4">
        <v>27402</v>
      </c>
      <c r="S301" s="4" t="s">
        <v>200</v>
      </c>
      <c r="U301" s="4">
        <v>16</v>
      </c>
      <c r="V301" s="4">
        <v>0</v>
      </c>
      <c r="W301" s="4">
        <v>0</v>
      </c>
    </row>
    <row r="302" spans="1:23" ht="11.25" customHeight="1" x14ac:dyDescent="0.25">
      <c r="A302" s="4" t="s">
        <v>21</v>
      </c>
      <c r="B302" s="4" t="s">
        <v>39</v>
      </c>
      <c r="C302" s="4" t="s">
        <v>66</v>
      </c>
      <c r="D302" s="4" t="s">
        <v>25</v>
      </c>
      <c r="E302" s="4" t="s">
        <v>25</v>
      </c>
      <c r="F302" s="4" t="s">
        <v>25</v>
      </c>
      <c r="G302" s="4" t="s">
        <v>69</v>
      </c>
      <c r="H302" s="4" t="s">
        <v>25</v>
      </c>
      <c r="I302" s="5">
        <v>44652</v>
      </c>
      <c r="J302" s="6">
        <v>3000</v>
      </c>
      <c r="K302" s="6">
        <v>1500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4" t="s">
        <v>68</v>
      </c>
      <c r="R302" s="4">
        <v>28515</v>
      </c>
      <c r="S302" s="4" t="s">
        <v>200</v>
      </c>
      <c r="U302" s="4">
        <v>16</v>
      </c>
      <c r="V302" s="4">
        <v>0</v>
      </c>
      <c r="W302" s="4">
        <v>0</v>
      </c>
    </row>
    <row r="303" spans="1:23" ht="11.25" customHeight="1" x14ac:dyDescent="0.25">
      <c r="A303" s="4" t="s">
        <v>21</v>
      </c>
      <c r="B303" s="4" t="s">
        <v>39</v>
      </c>
      <c r="C303" s="4" t="s">
        <v>66</v>
      </c>
      <c r="D303" s="4" t="s">
        <v>25</v>
      </c>
      <c r="E303" s="4" t="s">
        <v>25</v>
      </c>
      <c r="F303" s="4" t="s">
        <v>25</v>
      </c>
      <c r="G303" s="4" t="s">
        <v>70</v>
      </c>
      <c r="H303" s="4" t="s">
        <v>25</v>
      </c>
      <c r="I303" s="5">
        <v>44652</v>
      </c>
      <c r="J303" s="6">
        <v>11000</v>
      </c>
      <c r="K303" s="6">
        <v>5500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4" t="s">
        <v>68</v>
      </c>
      <c r="R303" s="4">
        <v>28957</v>
      </c>
      <c r="S303" s="4" t="s">
        <v>200</v>
      </c>
      <c r="U303" s="4">
        <v>16</v>
      </c>
      <c r="V303" s="4">
        <v>0</v>
      </c>
      <c r="W303" s="4">
        <v>0</v>
      </c>
    </row>
    <row r="304" spans="1:23" ht="11.25" customHeight="1" x14ac:dyDescent="0.25">
      <c r="A304" s="4" t="s">
        <v>21</v>
      </c>
      <c r="B304" s="4" t="s">
        <v>39</v>
      </c>
      <c r="C304" s="4" t="s">
        <v>66</v>
      </c>
      <c r="D304" s="4" t="s">
        <v>25</v>
      </c>
      <c r="E304" s="4" t="s">
        <v>25</v>
      </c>
      <c r="F304" s="4" t="s">
        <v>25</v>
      </c>
      <c r="G304" s="4" t="s">
        <v>71</v>
      </c>
      <c r="H304" s="4" t="s">
        <v>25</v>
      </c>
      <c r="I304" s="5">
        <v>44652</v>
      </c>
      <c r="J304" s="6">
        <v>10050</v>
      </c>
      <c r="K304" s="6">
        <v>5025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4" t="s">
        <v>68</v>
      </c>
      <c r="R304" s="4">
        <v>29041</v>
      </c>
      <c r="S304" s="4" t="s">
        <v>200</v>
      </c>
      <c r="U304" s="4">
        <v>16</v>
      </c>
      <c r="V304" s="4">
        <v>0</v>
      </c>
      <c r="W304" s="4">
        <v>0</v>
      </c>
    </row>
    <row r="305" spans="1:23" ht="11.25" customHeight="1" x14ac:dyDescent="0.25">
      <c r="A305" s="4" t="s">
        <v>21</v>
      </c>
      <c r="B305" s="4" t="s">
        <v>39</v>
      </c>
      <c r="C305" s="4" t="s">
        <v>66</v>
      </c>
      <c r="D305" s="4" t="s">
        <v>25</v>
      </c>
      <c r="E305" s="4" t="s">
        <v>25</v>
      </c>
      <c r="F305" s="4" t="s">
        <v>25</v>
      </c>
      <c r="G305" s="4" t="s">
        <v>73</v>
      </c>
      <c r="H305" s="4" t="s">
        <v>25</v>
      </c>
      <c r="I305" s="5">
        <v>44652</v>
      </c>
      <c r="J305" s="6">
        <v>44450</v>
      </c>
      <c r="K305" s="6">
        <v>22225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4" t="s">
        <v>68</v>
      </c>
      <c r="R305" s="4">
        <v>29092</v>
      </c>
      <c r="S305" s="4" t="s">
        <v>200</v>
      </c>
      <c r="U305" s="4">
        <v>16</v>
      </c>
      <c r="V305" s="4">
        <v>0</v>
      </c>
      <c r="W305" s="4">
        <v>0</v>
      </c>
    </row>
    <row r="306" spans="1:23" ht="11.25" customHeight="1" x14ac:dyDescent="0.25">
      <c r="A306" s="4" t="s">
        <v>21</v>
      </c>
      <c r="B306" s="4" t="s">
        <v>39</v>
      </c>
      <c r="C306" s="4" t="s">
        <v>66</v>
      </c>
      <c r="D306" s="4" t="s">
        <v>25</v>
      </c>
      <c r="E306" s="4" t="s">
        <v>25</v>
      </c>
      <c r="F306" s="4" t="s">
        <v>25</v>
      </c>
      <c r="G306" s="4" t="s">
        <v>75</v>
      </c>
      <c r="H306" s="4" t="s">
        <v>25</v>
      </c>
      <c r="I306" s="5">
        <v>44652</v>
      </c>
      <c r="J306" s="6">
        <v>30000</v>
      </c>
      <c r="K306" s="6">
        <v>15000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4" t="s">
        <v>68</v>
      </c>
      <c r="R306" s="4">
        <v>33663</v>
      </c>
      <c r="S306" s="4" t="s">
        <v>200</v>
      </c>
      <c r="U306" s="4">
        <v>16</v>
      </c>
      <c r="V306" s="4">
        <v>0</v>
      </c>
      <c r="W306" s="4">
        <v>0</v>
      </c>
    </row>
    <row r="307" spans="1:23" ht="11.25" customHeight="1" x14ac:dyDescent="0.25">
      <c r="A307" s="4" t="s">
        <v>21</v>
      </c>
      <c r="B307" s="4" t="s">
        <v>39</v>
      </c>
      <c r="C307" s="4" t="s">
        <v>66</v>
      </c>
      <c r="D307" s="4" t="s">
        <v>25</v>
      </c>
      <c r="E307" s="4" t="s">
        <v>25</v>
      </c>
      <c r="F307" s="4" t="s">
        <v>25</v>
      </c>
      <c r="G307" s="4" t="s">
        <v>76</v>
      </c>
      <c r="H307" s="4" t="s">
        <v>25</v>
      </c>
      <c r="I307" s="5">
        <v>44652</v>
      </c>
      <c r="J307" s="6">
        <v>30000</v>
      </c>
      <c r="K307" s="6">
        <v>15000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4" t="s">
        <v>68</v>
      </c>
      <c r="R307" s="4">
        <v>33664</v>
      </c>
      <c r="S307" s="4" t="s">
        <v>200</v>
      </c>
      <c r="U307" s="4">
        <v>16</v>
      </c>
      <c r="V307" s="4">
        <v>0</v>
      </c>
      <c r="W307" s="4">
        <v>0</v>
      </c>
    </row>
    <row r="308" spans="1:23" ht="11.25" customHeight="1" x14ac:dyDescent="0.25">
      <c r="A308" s="4" t="s">
        <v>21</v>
      </c>
      <c r="B308" s="4" t="s">
        <v>39</v>
      </c>
      <c r="C308" s="4" t="s">
        <v>66</v>
      </c>
      <c r="D308" s="4" t="s">
        <v>25</v>
      </c>
      <c r="E308" s="4" t="s">
        <v>25</v>
      </c>
      <c r="F308" s="4" t="s">
        <v>25</v>
      </c>
      <c r="G308" s="4" t="s">
        <v>77</v>
      </c>
      <c r="H308" s="4" t="s">
        <v>25</v>
      </c>
      <c r="I308" s="5">
        <v>44652</v>
      </c>
      <c r="J308" s="6">
        <v>30000</v>
      </c>
      <c r="K308" s="6">
        <v>15000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4" t="s">
        <v>68</v>
      </c>
      <c r="R308" s="4">
        <v>33665</v>
      </c>
      <c r="S308" s="4" t="s">
        <v>200</v>
      </c>
      <c r="U308" s="4">
        <v>16</v>
      </c>
      <c r="V308" s="4">
        <v>0</v>
      </c>
      <c r="W308" s="4">
        <v>0</v>
      </c>
    </row>
    <row r="309" spans="1:23" ht="11.25" customHeight="1" x14ac:dyDescent="0.25">
      <c r="A309" s="4" t="s">
        <v>21</v>
      </c>
      <c r="B309" s="4" t="s">
        <v>39</v>
      </c>
      <c r="C309" s="4" t="s">
        <v>66</v>
      </c>
      <c r="D309" s="4" t="s">
        <v>25</v>
      </c>
      <c r="E309" s="4" t="s">
        <v>25</v>
      </c>
      <c r="F309" s="4" t="s">
        <v>25</v>
      </c>
      <c r="G309" s="4" t="s">
        <v>78</v>
      </c>
      <c r="H309" s="4" t="s">
        <v>25</v>
      </c>
      <c r="I309" s="5">
        <v>44652</v>
      </c>
      <c r="J309" s="6">
        <v>27000</v>
      </c>
      <c r="K309" s="6">
        <v>13500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4" t="s">
        <v>68</v>
      </c>
      <c r="R309" s="4">
        <v>34085</v>
      </c>
      <c r="S309" s="4" t="s">
        <v>200</v>
      </c>
      <c r="U309" s="4">
        <v>16</v>
      </c>
      <c r="V309" s="4">
        <v>0</v>
      </c>
      <c r="W309" s="4">
        <v>0</v>
      </c>
    </row>
    <row r="310" spans="1:23" ht="11.25" customHeight="1" x14ac:dyDescent="0.25">
      <c r="A310" s="4" t="s">
        <v>21</v>
      </c>
      <c r="B310" s="4" t="s">
        <v>39</v>
      </c>
      <c r="C310" s="4" t="s">
        <v>66</v>
      </c>
      <c r="D310" s="4" t="s">
        <v>25</v>
      </c>
      <c r="E310" s="4" t="s">
        <v>25</v>
      </c>
      <c r="F310" s="4" t="s">
        <v>25</v>
      </c>
      <c r="G310" s="4" t="s">
        <v>79</v>
      </c>
      <c r="H310" s="4" t="s">
        <v>25</v>
      </c>
      <c r="I310" s="5">
        <v>44652</v>
      </c>
      <c r="J310" s="6">
        <v>27000</v>
      </c>
      <c r="K310" s="6">
        <v>13500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4" t="s">
        <v>68</v>
      </c>
      <c r="R310" s="4">
        <v>34086</v>
      </c>
      <c r="S310" s="4" t="s">
        <v>200</v>
      </c>
      <c r="U310" s="4">
        <v>16</v>
      </c>
      <c r="V310" s="4">
        <v>0</v>
      </c>
      <c r="W310" s="4">
        <v>0</v>
      </c>
    </row>
    <row r="311" spans="1:23" ht="11.25" customHeight="1" x14ac:dyDescent="0.25">
      <c r="A311" s="4" t="s">
        <v>21</v>
      </c>
      <c r="B311" s="4" t="s">
        <v>39</v>
      </c>
      <c r="C311" s="4" t="s">
        <v>66</v>
      </c>
      <c r="D311" s="4" t="s">
        <v>25</v>
      </c>
      <c r="E311" s="4" t="s">
        <v>25</v>
      </c>
      <c r="F311" s="4" t="s">
        <v>25</v>
      </c>
      <c r="G311" s="4" t="s">
        <v>67</v>
      </c>
      <c r="H311" s="4" t="s">
        <v>25</v>
      </c>
      <c r="I311" s="5">
        <v>44682</v>
      </c>
      <c r="J311" s="6">
        <v>3500</v>
      </c>
      <c r="K311" s="6">
        <v>3500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4" t="s">
        <v>68</v>
      </c>
      <c r="R311" s="4">
        <v>27402</v>
      </c>
      <c r="S311" s="4" t="s">
        <v>201</v>
      </c>
      <c r="U311" s="4">
        <v>16</v>
      </c>
      <c r="V311" s="4">
        <v>0</v>
      </c>
      <c r="W311" s="4">
        <v>0</v>
      </c>
    </row>
    <row r="312" spans="1:23" ht="11.25" customHeight="1" x14ac:dyDescent="0.25">
      <c r="A312" s="4" t="s">
        <v>21</v>
      </c>
      <c r="B312" s="4" t="s">
        <v>39</v>
      </c>
      <c r="C312" s="4" t="s">
        <v>66</v>
      </c>
      <c r="D312" s="4" t="s">
        <v>25</v>
      </c>
      <c r="E312" s="4" t="s">
        <v>25</v>
      </c>
      <c r="F312" s="4" t="s">
        <v>25</v>
      </c>
      <c r="G312" s="4" t="s">
        <v>69</v>
      </c>
      <c r="H312" s="4" t="s">
        <v>25</v>
      </c>
      <c r="I312" s="5">
        <v>44682</v>
      </c>
      <c r="J312" s="6">
        <v>3000</v>
      </c>
      <c r="K312" s="6">
        <v>1500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4" t="s">
        <v>68</v>
      </c>
      <c r="R312" s="4">
        <v>28515</v>
      </c>
      <c r="S312" s="4" t="s">
        <v>201</v>
      </c>
      <c r="U312" s="4">
        <v>16</v>
      </c>
      <c r="V312" s="4">
        <v>0</v>
      </c>
      <c r="W312" s="4">
        <v>0</v>
      </c>
    </row>
    <row r="313" spans="1:23" ht="11.25" customHeight="1" x14ac:dyDescent="0.25">
      <c r="A313" s="4" t="s">
        <v>21</v>
      </c>
      <c r="B313" s="4" t="s">
        <v>39</v>
      </c>
      <c r="C313" s="4" t="s">
        <v>66</v>
      </c>
      <c r="D313" s="4" t="s">
        <v>25</v>
      </c>
      <c r="E313" s="4" t="s">
        <v>25</v>
      </c>
      <c r="F313" s="4" t="s">
        <v>25</v>
      </c>
      <c r="G313" s="4" t="s">
        <v>70</v>
      </c>
      <c r="H313" s="4" t="s">
        <v>25</v>
      </c>
      <c r="I313" s="5">
        <v>44682</v>
      </c>
      <c r="J313" s="6">
        <v>11000</v>
      </c>
      <c r="K313" s="6">
        <v>5500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4" t="s">
        <v>68</v>
      </c>
      <c r="R313" s="4">
        <v>28957</v>
      </c>
      <c r="S313" s="4" t="s">
        <v>201</v>
      </c>
      <c r="U313" s="4">
        <v>16</v>
      </c>
      <c r="V313" s="4">
        <v>0</v>
      </c>
      <c r="W313" s="4">
        <v>0</v>
      </c>
    </row>
    <row r="314" spans="1:23" ht="11.25" customHeight="1" x14ac:dyDescent="0.25">
      <c r="A314" s="4" t="s">
        <v>21</v>
      </c>
      <c r="B314" s="4" t="s">
        <v>39</v>
      </c>
      <c r="C314" s="4" t="s">
        <v>66</v>
      </c>
      <c r="D314" s="4" t="s">
        <v>25</v>
      </c>
      <c r="E314" s="4" t="s">
        <v>25</v>
      </c>
      <c r="F314" s="4" t="s">
        <v>25</v>
      </c>
      <c r="G314" s="4" t="s">
        <v>71</v>
      </c>
      <c r="H314" s="4" t="s">
        <v>25</v>
      </c>
      <c r="I314" s="5">
        <v>44682</v>
      </c>
      <c r="J314" s="6">
        <v>10050</v>
      </c>
      <c r="K314" s="6">
        <v>5025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4" t="s">
        <v>68</v>
      </c>
      <c r="R314" s="4">
        <v>29041</v>
      </c>
      <c r="S314" s="4" t="s">
        <v>201</v>
      </c>
      <c r="U314" s="4">
        <v>16</v>
      </c>
      <c r="V314" s="4">
        <v>0</v>
      </c>
      <c r="W314" s="4">
        <v>0</v>
      </c>
    </row>
    <row r="315" spans="1:23" ht="11.25" customHeight="1" x14ac:dyDescent="0.25">
      <c r="A315" s="4" t="s">
        <v>21</v>
      </c>
      <c r="B315" s="4" t="s">
        <v>39</v>
      </c>
      <c r="C315" s="4" t="s">
        <v>66</v>
      </c>
      <c r="D315" s="4" t="s">
        <v>25</v>
      </c>
      <c r="E315" s="4" t="s">
        <v>25</v>
      </c>
      <c r="F315" s="4" t="s">
        <v>25</v>
      </c>
      <c r="G315" s="4" t="s">
        <v>73</v>
      </c>
      <c r="H315" s="4" t="s">
        <v>25</v>
      </c>
      <c r="I315" s="5">
        <v>44682</v>
      </c>
      <c r="J315" s="6">
        <v>44450</v>
      </c>
      <c r="K315" s="6">
        <v>22225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4" t="s">
        <v>68</v>
      </c>
      <c r="R315" s="4">
        <v>29092</v>
      </c>
      <c r="S315" s="4" t="s">
        <v>201</v>
      </c>
      <c r="U315" s="4">
        <v>16</v>
      </c>
      <c r="V315" s="4">
        <v>0</v>
      </c>
      <c r="W315" s="4">
        <v>0</v>
      </c>
    </row>
    <row r="316" spans="1:23" ht="11.25" customHeight="1" x14ac:dyDescent="0.25">
      <c r="A316" s="4" t="s">
        <v>21</v>
      </c>
      <c r="B316" s="4" t="s">
        <v>39</v>
      </c>
      <c r="C316" s="4" t="s">
        <v>66</v>
      </c>
      <c r="D316" s="4" t="s">
        <v>25</v>
      </c>
      <c r="E316" s="4" t="s">
        <v>25</v>
      </c>
      <c r="F316" s="4" t="s">
        <v>25</v>
      </c>
      <c r="G316" s="4" t="s">
        <v>75</v>
      </c>
      <c r="H316" s="4" t="s">
        <v>25</v>
      </c>
      <c r="I316" s="5">
        <v>44682</v>
      </c>
      <c r="J316" s="6">
        <v>30000</v>
      </c>
      <c r="K316" s="6">
        <v>15000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4" t="s">
        <v>68</v>
      </c>
      <c r="R316" s="4">
        <v>33663</v>
      </c>
      <c r="S316" s="4" t="s">
        <v>201</v>
      </c>
      <c r="U316" s="4">
        <v>16</v>
      </c>
      <c r="V316" s="4">
        <v>0</v>
      </c>
      <c r="W316" s="4">
        <v>0</v>
      </c>
    </row>
    <row r="317" spans="1:23" ht="11.25" customHeight="1" x14ac:dyDescent="0.25">
      <c r="A317" s="4" t="s">
        <v>21</v>
      </c>
      <c r="B317" s="4" t="s">
        <v>39</v>
      </c>
      <c r="C317" s="4" t="s">
        <v>66</v>
      </c>
      <c r="D317" s="4" t="s">
        <v>25</v>
      </c>
      <c r="E317" s="4" t="s">
        <v>25</v>
      </c>
      <c r="F317" s="4" t="s">
        <v>25</v>
      </c>
      <c r="G317" s="4" t="s">
        <v>76</v>
      </c>
      <c r="H317" s="4" t="s">
        <v>25</v>
      </c>
      <c r="I317" s="5">
        <v>44682</v>
      </c>
      <c r="J317" s="6">
        <v>30000</v>
      </c>
      <c r="K317" s="6">
        <v>15000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4" t="s">
        <v>68</v>
      </c>
      <c r="R317" s="4">
        <v>33664</v>
      </c>
      <c r="S317" s="4" t="s">
        <v>201</v>
      </c>
      <c r="U317" s="4">
        <v>16</v>
      </c>
      <c r="V317" s="4">
        <v>0</v>
      </c>
      <c r="W317" s="4">
        <v>0</v>
      </c>
    </row>
    <row r="318" spans="1:23" ht="11.25" customHeight="1" x14ac:dyDescent="0.25">
      <c r="A318" s="4" t="s">
        <v>21</v>
      </c>
      <c r="B318" s="4" t="s">
        <v>39</v>
      </c>
      <c r="C318" s="4" t="s">
        <v>66</v>
      </c>
      <c r="D318" s="4" t="s">
        <v>25</v>
      </c>
      <c r="E318" s="4" t="s">
        <v>25</v>
      </c>
      <c r="F318" s="4" t="s">
        <v>25</v>
      </c>
      <c r="G318" s="4" t="s">
        <v>77</v>
      </c>
      <c r="H318" s="4" t="s">
        <v>25</v>
      </c>
      <c r="I318" s="5">
        <v>44682</v>
      </c>
      <c r="J318" s="6">
        <v>30000</v>
      </c>
      <c r="K318" s="6">
        <v>15000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4" t="s">
        <v>68</v>
      </c>
      <c r="R318" s="4">
        <v>33665</v>
      </c>
      <c r="S318" s="4" t="s">
        <v>201</v>
      </c>
      <c r="U318" s="4">
        <v>16</v>
      </c>
      <c r="V318" s="4">
        <v>0</v>
      </c>
      <c r="W318" s="4">
        <v>0</v>
      </c>
    </row>
    <row r="319" spans="1:23" ht="11.25" customHeight="1" x14ac:dyDescent="0.25">
      <c r="A319" s="4" t="s">
        <v>21</v>
      </c>
      <c r="B319" s="4" t="s">
        <v>39</v>
      </c>
      <c r="C319" s="4" t="s">
        <v>66</v>
      </c>
      <c r="D319" s="4" t="s">
        <v>25</v>
      </c>
      <c r="E319" s="4" t="s">
        <v>25</v>
      </c>
      <c r="F319" s="4" t="s">
        <v>25</v>
      </c>
      <c r="G319" s="4" t="s">
        <v>78</v>
      </c>
      <c r="H319" s="4" t="s">
        <v>25</v>
      </c>
      <c r="I319" s="5">
        <v>44682</v>
      </c>
      <c r="J319" s="6">
        <v>27000</v>
      </c>
      <c r="K319" s="6">
        <v>13500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4" t="s">
        <v>68</v>
      </c>
      <c r="R319" s="4">
        <v>34085</v>
      </c>
      <c r="S319" s="4" t="s">
        <v>201</v>
      </c>
      <c r="U319" s="4">
        <v>16</v>
      </c>
      <c r="V319" s="4">
        <v>0</v>
      </c>
      <c r="W319" s="4">
        <v>0</v>
      </c>
    </row>
    <row r="320" spans="1:23" ht="11.25" customHeight="1" x14ac:dyDescent="0.25">
      <c r="A320" s="4" t="s">
        <v>21</v>
      </c>
      <c r="B320" s="4" t="s">
        <v>39</v>
      </c>
      <c r="C320" s="4" t="s">
        <v>66</v>
      </c>
      <c r="D320" s="4" t="s">
        <v>25</v>
      </c>
      <c r="E320" s="4" t="s">
        <v>25</v>
      </c>
      <c r="F320" s="4" t="s">
        <v>25</v>
      </c>
      <c r="G320" s="4" t="s">
        <v>79</v>
      </c>
      <c r="H320" s="4" t="s">
        <v>25</v>
      </c>
      <c r="I320" s="5">
        <v>44682</v>
      </c>
      <c r="J320" s="6">
        <v>27000</v>
      </c>
      <c r="K320" s="6">
        <v>13500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4" t="s">
        <v>68</v>
      </c>
      <c r="R320" s="4">
        <v>34086</v>
      </c>
      <c r="S320" s="4" t="s">
        <v>201</v>
      </c>
      <c r="U320" s="4">
        <v>16</v>
      </c>
      <c r="V320" s="4">
        <v>0</v>
      </c>
      <c r="W320" s="4">
        <v>0</v>
      </c>
    </row>
    <row r="321" spans="1:23" ht="11.25" customHeight="1" x14ac:dyDescent="0.25">
      <c r="A321" s="4" t="s">
        <v>21</v>
      </c>
      <c r="B321" s="4" t="s">
        <v>39</v>
      </c>
      <c r="C321" s="4" t="s">
        <v>66</v>
      </c>
      <c r="D321" s="4" t="s">
        <v>25</v>
      </c>
      <c r="E321" s="4" t="s">
        <v>25</v>
      </c>
      <c r="F321" s="4" t="s">
        <v>25</v>
      </c>
      <c r="G321" s="4" t="s">
        <v>67</v>
      </c>
      <c r="H321" s="4" t="s">
        <v>25</v>
      </c>
      <c r="I321" s="5">
        <v>44713</v>
      </c>
      <c r="J321" s="6">
        <v>3500</v>
      </c>
      <c r="K321" s="6">
        <v>3500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4" t="s">
        <v>68</v>
      </c>
      <c r="R321" s="4">
        <v>27402</v>
      </c>
      <c r="S321" s="4" t="s">
        <v>202</v>
      </c>
      <c r="U321" s="4">
        <v>16</v>
      </c>
      <c r="V321" s="4">
        <v>0</v>
      </c>
      <c r="W321" s="4">
        <v>0</v>
      </c>
    </row>
    <row r="322" spans="1:23" ht="11.25" customHeight="1" x14ac:dyDescent="0.25">
      <c r="A322" s="4" t="s">
        <v>21</v>
      </c>
      <c r="B322" s="4" t="s">
        <v>39</v>
      </c>
      <c r="C322" s="4" t="s">
        <v>66</v>
      </c>
      <c r="D322" s="4" t="s">
        <v>25</v>
      </c>
      <c r="E322" s="4" t="s">
        <v>25</v>
      </c>
      <c r="F322" s="4" t="s">
        <v>25</v>
      </c>
      <c r="G322" s="4" t="s">
        <v>69</v>
      </c>
      <c r="H322" s="4" t="s">
        <v>25</v>
      </c>
      <c r="I322" s="5">
        <v>44713</v>
      </c>
      <c r="J322" s="6">
        <v>3000</v>
      </c>
      <c r="K322" s="6">
        <v>1500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4" t="s">
        <v>68</v>
      </c>
      <c r="R322" s="4">
        <v>28515</v>
      </c>
      <c r="S322" s="4" t="s">
        <v>202</v>
      </c>
      <c r="U322" s="4">
        <v>16</v>
      </c>
      <c r="V322" s="4">
        <v>0</v>
      </c>
      <c r="W322" s="4">
        <v>0</v>
      </c>
    </row>
    <row r="323" spans="1:23" ht="11.25" customHeight="1" x14ac:dyDescent="0.25">
      <c r="A323" s="4" t="s">
        <v>21</v>
      </c>
      <c r="B323" s="4" t="s">
        <v>39</v>
      </c>
      <c r="C323" s="4" t="s">
        <v>66</v>
      </c>
      <c r="D323" s="4" t="s">
        <v>25</v>
      </c>
      <c r="E323" s="4" t="s">
        <v>25</v>
      </c>
      <c r="F323" s="4" t="s">
        <v>25</v>
      </c>
      <c r="G323" s="4" t="s">
        <v>70</v>
      </c>
      <c r="H323" s="4" t="s">
        <v>25</v>
      </c>
      <c r="I323" s="5">
        <v>44713</v>
      </c>
      <c r="J323" s="6">
        <v>11000</v>
      </c>
      <c r="K323" s="6">
        <v>5500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4" t="s">
        <v>68</v>
      </c>
      <c r="R323" s="4">
        <v>28957</v>
      </c>
      <c r="S323" s="4" t="s">
        <v>202</v>
      </c>
      <c r="U323" s="4">
        <v>16</v>
      </c>
      <c r="V323" s="4">
        <v>0</v>
      </c>
      <c r="W323" s="4">
        <v>0</v>
      </c>
    </row>
    <row r="324" spans="1:23" ht="11.25" customHeight="1" x14ac:dyDescent="0.25">
      <c r="A324" s="4" t="s">
        <v>21</v>
      </c>
      <c r="B324" s="4" t="s">
        <v>39</v>
      </c>
      <c r="C324" s="4" t="s">
        <v>66</v>
      </c>
      <c r="D324" s="4" t="s">
        <v>25</v>
      </c>
      <c r="E324" s="4" t="s">
        <v>25</v>
      </c>
      <c r="F324" s="4" t="s">
        <v>25</v>
      </c>
      <c r="G324" s="4" t="s">
        <v>71</v>
      </c>
      <c r="H324" s="4" t="s">
        <v>25</v>
      </c>
      <c r="I324" s="5">
        <v>44713</v>
      </c>
      <c r="J324" s="6">
        <v>10050</v>
      </c>
      <c r="K324" s="6">
        <v>5025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4" t="s">
        <v>68</v>
      </c>
      <c r="R324" s="4">
        <v>29041</v>
      </c>
      <c r="S324" s="4" t="s">
        <v>202</v>
      </c>
      <c r="U324" s="4">
        <v>16</v>
      </c>
      <c r="V324" s="4">
        <v>0</v>
      </c>
      <c r="W324" s="4">
        <v>0</v>
      </c>
    </row>
    <row r="325" spans="1:23" ht="11.25" customHeight="1" x14ac:dyDescent="0.25">
      <c r="A325" s="4" t="s">
        <v>21</v>
      </c>
      <c r="B325" s="4" t="s">
        <v>39</v>
      </c>
      <c r="C325" s="4" t="s">
        <v>66</v>
      </c>
      <c r="D325" s="4" t="s">
        <v>25</v>
      </c>
      <c r="E325" s="4" t="s">
        <v>25</v>
      </c>
      <c r="F325" s="4" t="s">
        <v>25</v>
      </c>
      <c r="G325" s="4" t="s">
        <v>73</v>
      </c>
      <c r="H325" s="4" t="s">
        <v>25</v>
      </c>
      <c r="I325" s="5">
        <v>44713</v>
      </c>
      <c r="J325" s="6">
        <v>44450</v>
      </c>
      <c r="K325" s="6">
        <v>22225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4" t="s">
        <v>68</v>
      </c>
      <c r="R325" s="4">
        <v>29092</v>
      </c>
      <c r="S325" s="4" t="s">
        <v>202</v>
      </c>
      <c r="U325" s="4">
        <v>16</v>
      </c>
      <c r="V325" s="4">
        <v>0</v>
      </c>
      <c r="W325" s="4">
        <v>0</v>
      </c>
    </row>
    <row r="326" spans="1:23" ht="11.25" customHeight="1" x14ac:dyDescent="0.25">
      <c r="A326" s="4" t="s">
        <v>21</v>
      </c>
      <c r="B326" s="4" t="s">
        <v>39</v>
      </c>
      <c r="C326" s="4" t="s">
        <v>66</v>
      </c>
      <c r="D326" s="4" t="s">
        <v>25</v>
      </c>
      <c r="E326" s="4" t="s">
        <v>25</v>
      </c>
      <c r="F326" s="4" t="s">
        <v>25</v>
      </c>
      <c r="G326" s="4" t="s">
        <v>75</v>
      </c>
      <c r="H326" s="4" t="s">
        <v>25</v>
      </c>
      <c r="I326" s="5">
        <v>44713</v>
      </c>
      <c r="J326" s="6">
        <v>30000</v>
      </c>
      <c r="K326" s="6">
        <v>15000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4" t="s">
        <v>68</v>
      </c>
      <c r="R326" s="4">
        <v>33663</v>
      </c>
      <c r="S326" s="4" t="s">
        <v>202</v>
      </c>
      <c r="U326" s="4">
        <v>16</v>
      </c>
      <c r="V326" s="4">
        <v>0</v>
      </c>
      <c r="W326" s="4">
        <v>0</v>
      </c>
    </row>
    <row r="327" spans="1:23" ht="11.25" customHeight="1" x14ac:dyDescent="0.25">
      <c r="A327" s="4" t="s">
        <v>21</v>
      </c>
      <c r="B327" s="4" t="s">
        <v>39</v>
      </c>
      <c r="C327" s="4" t="s">
        <v>66</v>
      </c>
      <c r="D327" s="4" t="s">
        <v>25</v>
      </c>
      <c r="E327" s="4" t="s">
        <v>25</v>
      </c>
      <c r="F327" s="4" t="s">
        <v>25</v>
      </c>
      <c r="G327" s="4" t="s">
        <v>76</v>
      </c>
      <c r="H327" s="4" t="s">
        <v>25</v>
      </c>
      <c r="I327" s="5">
        <v>44713</v>
      </c>
      <c r="J327" s="6">
        <v>30000</v>
      </c>
      <c r="K327" s="6">
        <v>15000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4" t="s">
        <v>68</v>
      </c>
      <c r="R327" s="4">
        <v>33664</v>
      </c>
      <c r="S327" s="4" t="s">
        <v>202</v>
      </c>
      <c r="U327" s="4">
        <v>16</v>
      </c>
      <c r="V327" s="4">
        <v>0</v>
      </c>
      <c r="W327" s="4">
        <v>0</v>
      </c>
    </row>
    <row r="328" spans="1:23" ht="11.25" customHeight="1" x14ac:dyDescent="0.25">
      <c r="A328" s="4" t="s">
        <v>21</v>
      </c>
      <c r="B328" s="4" t="s">
        <v>39</v>
      </c>
      <c r="C328" s="4" t="s">
        <v>66</v>
      </c>
      <c r="D328" s="4" t="s">
        <v>25</v>
      </c>
      <c r="E328" s="4" t="s">
        <v>25</v>
      </c>
      <c r="F328" s="4" t="s">
        <v>25</v>
      </c>
      <c r="G328" s="4" t="s">
        <v>77</v>
      </c>
      <c r="H328" s="4" t="s">
        <v>25</v>
      </c>
      <c r="I328" s="5">
        <v>44713</v>
      </c>
      <c r="J328" s="6">
        <v>30000</v>
      </c>
      <c r="K328" s="6">
        <v>15000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4" t="s">
        <v>68</v>
      </c>
      <c r="R328" s="4">
        <v>33665</v>
      </c>
      <c r="S328" s="4" t="s">
        <v>202</v>
      </c>
      <c r="U328" s="4">
        <v>16</v>
      </c>
      <c r="V328" s="4">
        <v>0</v>
      </c>
      <c r="W328" s="4">
        <v>0</v>
      </c>
    </row>
    <row r="329" spans="1:23" ht="11.25" customHeight="1" x14ac:dyDescent="0.25">
      <c r="A329" s="4" t="s">
        <v>21</v>
      </c>
      <c r="B329" s="4" t="s">
        <v>39</v>
      </c>
      <c r="C329" s="4" t="s">
        <v>66</v>
      </c>
      <c r="D329" s="4" t="s">
        <v>25</v>
      </c>
      <c r="E329" s="4" t="s">
        <v>25</v>
      </c>
      <c r="F329" s="4" t="s">
        <v>25</v>
      </c>
      <c r="G329" s="4" t="s">
        <v>78</v>
      </c>
      <c r="H329" s="4" t="s">
        <v>25</v>
      </c>
      <c r="I329" s="5">
        <v>44713</v>
      </c>
      <c r="J329" s="6">
        <v>27000</v>
      </c>
      <c r="K329" s="6">
        <v>13500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4" t="s">
        <v>68</v>
      </c>
      <c r="R329" s="4">
        <v>34085</v>
      </c>
      <c r="S329" s="4" t="s">
        <v>202</v>
      </c>
      <c r="U329" s="4">
        <v>16</v>
      </c>
      <c r="V329" s="4">
        <v>0</v>
      </c>
      <c r="W329" s="4">
        <v>0</v>
      </c>
    </row>
    <row r="330" spans="1:23" ht="11.25" customHeight="1" x14ac:dyDescent="0.25">
      <c r="A330" s="4" t="s">
        <v>21</v>
      </c>
      <c r="B330" s="4" t="s">
        <v>39</v>
      </c>
      <c r="C330" s="4" t="s">
        <v>66</v>
      </c>
      <c r="D330" s="4" t="s">
        <v>25</v>
      </c>
      <c r="E330" s="4" t="s">
        <v>25</v>
      </c>
      <c r="F330" s="4" t="s">
        <v>25</v>
      </c>
      <c r="G330" s="4" t="s">
        <v>79</v>
      </c>
      <c r="H330" s="4" t="s">
        <v>25</v>
      </c>
      <c r="I330" s="5">
        <v>44713</v>
      </c>
      <c r="J330" s="6">
        <v>27000</v>
      </c>
      <c r="K330" s="6">
        <v>13500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4" t="s">
        <v>68</v>
      </c>
      <c r="R330" s="4">
        <v>34086</v>
      </c>
      <c r="S330" s="4" t="s">
        <v>202</v>
      </c>
      <c r="U330" s="4">
        <v>16</v>
      </c>
      <c r="V330" s="4">
        <v>0</v>
      </c>
      <c r="W330" s="4">
        <v>0</v>
      </c>
    </row>
    <row r="331" spans="1:23" ht="11.25" customHeight="1" x14ac:dyDescent="0.25">
      <c r="A331" s="4" t="s">
        <v>57</v>
      </c>
      <c r="B331" s="4" t="s">
        <v>39</v>
      </c>
      <c r="C331" s="4" t="s">
        <v>66</v>
      </c>
      <c r="D331" s="4" t="s">
        <v>25</v>
      </c>
      <c r="E331" s="4" t="s">
        <v>25</v>
      </c>
      <c r="F331" s="4" t="s">
        <v>25</v>
      </c>
      <c r="G331" s="4" t="s">
        <v>67</v>
      </c>
      <c r="H331" s="4" t="s">
        <v>25</v>
      </c>
      <c r="I331" s="5">
        <v>44743</v>
      </c>
      <c r="J331" s="6">
        <v>3500</v>
      </c>
      <c r="K331" s="6">
        <v>3500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4" t="s">
        <v>68</v>
      </c>
      <c r="R331" s="4">
        <v>27402</v>
      </c>
      <c r="S331" s="4" t="s">
        <v>203</v>
      </c>
      <c r="U331" s="4">
        <v>16</v>
      </c>
      <c r="V331" s="4">
        <v>0</v>
      </c>
      <c r="W331" s="4">
        <v>0</v>
      </c>
    </row>
    <row r="332" spans="1:23" ht="11.25" customHeight="1" x14ac:dyDescent="0.25">
      <c r="A332" s="4" t="s">
        <v>57</v>
      </c>
      <c r="B332" s="4" t="s">
        <v>39</v>
      </c>
      <c r="C332" s="4" t="s">
        <v>66</v>
      </c>
      <c r="D332" s="4" t="s">
        <v>25</v>
      </c>
      <c r="E332" s="4" t="s">
        <v>25</v>
      </c>
      <c r="F332" s="4" t="s">
        <v>25</v>
      </c>
      <c r="G332" s="4" t="s">
        <v>69</v>
      </c>
      <c r="H332" s="4" t="s">
        <v>25</v>
      </c>
      <c r="I332" s="5">
        <v>44743</v>
      </c>
      <c r="J332" s="6">
        <v>3000</v>
      </c>
      <c r="K332" s="6">
        <v>1500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4" t="s">
        <v>68</v>
      </c>
      <c r="R332" s="4">
        <v>28515</v>
      </c>
      <c r="S332" s="4" t="s">
        <v>203</v>
      </c>
      <c r="U332" s="4">
        <v>16</v>
      </c>
      <c r="V332" s="4">
        <v>0</v>
      </c>
      <c r="W332" s="4">
        <v>0</v>
      </c>
    </row>
    <row r="333" spans="1:23" ht="11.25" customHeight="1" x14ac:dyDescent="0.25">
      <c r="A333" s="4" t="s">
        <v>57</v>
      </c>
      <c r="B333" s="4" t="s">
        <v>39</v>
      </c>
      <c r="C333" s="4" t="s">
        <v>66</v>
      </c>
      <c r="D333" s="4" t="s">
        <v>25</v>
      </c>
      <c r="E333" s="4" t="s">
        <v>25</v>
      </c>
      <c r="F333" s="4" t="s">
        <v>25</v>
      </c>
      <c r="G333" s="4" t="s">
        <v>70</v>
      </c>
      <c r="H333" s="4" t="s">
        <v>25</v>
      </c>
      <c r="I333" s="5">
        <v>44743</v>
      </c>
      <c r="J333" s="6">
        <v>11000</v>
      </c>
      <c r="K333" s="6">
        <v>5500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4" t="s">
        <v>68</v>
      </c>
      <c r="R333" s="4">
        <v>28957</v>
      </c>
      <c r="S333" s="4" t="s">
        <v>203</v>
      </c>
      <c r="U333" s="4">
        <v>16</v>
      </c>
      <c r="V333" s="4">
        <v>0</v>
      </c>
      <c r="W333" s="4">
        <v>0</v>
      </c>
    </row>
    <row r="334" spans="1:23" ht="11.25" customHeight="1" x14ac:dyDescent="0.25">
      <c r="A334" s="4" t="s">
        <v>57</v>
      </c>
      <c r="B334" s="4" t="s">
        <v>39</v>
      </c>
      <c r="C334" s="4" t="s">
        <v>66</v>
      </c>
      <c r="D334" s="4" t="s">
        <v>25</v>
      </c>
      <c r="E334" s="4" t="s">
        <v>25</v>
      </c>
      <c r="F334" s="4" t="s">
        <v>25</v>
      </c>
      <c r="G334" s="4" t="s">
        <v>71</v>
      </c>
      <c r="H334" s="4" t="s">
        <v>25</v>
      </c>
      <c r="I334" s="5">
        <v>44743</v>
      </c>
      <c r="J334" s="6">
        <v>10050</v>
      </c>
      <c r="K334" s="6">
        <v>5025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4" t="s">
        <v>68</v>
      </c>
      <c r="R334" s="4">
        <v>29041</v>
      </c>
      <c r="S334" s="4" t="s">
        <v>203</v>
      </c>
      <c r="U334" s="4">
        <v>16</v>
      </c>
      <c r="V334" s="4">
        <v>0</v>
      </c>
      <c r="W334" s="4">
        <v>0</v>
      </c>
    </row>
    <row r="335" spans="1:23" ht="11.25" customHeight="1" x14ac:dyDescent="0.25">
      <c r="A335" s="4" t="s">
        <v>57</v>
      </c>
      <c r="B335" s="4" t="s">
        <v>39</v>
      </c>
      <c r="C335" s="4" t="s">
        <v>66</v>
      </c>
      <c r="D335" s="4" t="s">
        <v>25</v>
      </c>
      <c r="E335" s="4" t="s">
        <v>25</v>
      </c>
      <c r="F335" s="4" t="s">
        <v>25</v>
      </c>
      <c r="G335" s="4" t="s">
        <v>73</v>
      </c>
      <c r="H335" s="4" t="s">
        <v>25</v>
      </c>
      <c r="I335" s="5">
        <v>44743</v>
      </c>
      <c r="J335" s="6">
        <v>44450</v>
      </c>
      <c r="K335" s="6">
        <v>22225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4" t="s">
        <v>68</v>
      </c>
      <c r="R335" s="4">
        <v>29092</v>
      </c>
      <c r="S335" s="4" t="s">
        <v>203</v>
      </c>
      <c r="U335" s="4">
        <v>16</v>
      </c>
      <c r="V335" s="4">
        <v>0</v>
      </c>
      <c r="W335" s="4">
        <v>0</v>
      </c>
    </row>
    <row r="336" spans="1:23" ht="11.25" customHeight="1" x14ac:dyDescent="0.25">
      <c r="A336" s="4" t="s">
        <v>57</v>
      </c>
      <c r="B336" s="4" t="s">
        <v>39</v>
      </c>
      <c r="C336" s="4" t="s">
        <v>66</v>
      </c>
      <c r="D336" s="4" t="s">
        <v>25</v>
      </c>
      <c r="E336" s="4" t="s">
        <v>25</v>
      </c>
      <c r="F336" s="4" t="s">
        <v>25</v>
      </c>
      <c r="G336" s="4" t="s">
        <v>75</v>
      </c>
      <c r="H336" s="4" t="s">
        <v>25</v>
      </c>
      <c r="I336" s="5">
        <v>44743</v>
      </c>
      <c r="J336" s="6">
        <v>30000</v>
      </c>
      <c r="K336" s="6">
        <v>15000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4" t="s">
        <v>68</v>
      </c>
      <c r="R336" s="4">
        <v>33663</v>
      </c>
      <c r="S336" s="4" t="s">
        <v>203</v>
      </c>
      <c r="U336" s="4">
        <v>16</v>
      </c>
      <c r="V336" s="4">
        <v>0</v>
      </c>
      <c r="W336" s="4">
        <v>0</v>
      </c>
    </row>
    <row r="337" spans="1:23" ht="11.25" customHeight="1" x14ac:dyDescent="0.25">
      <c r="A337" s="4" t="s">
        <v>57</v>
      </c>
      <c r="B337" s="4" t="s">
        <v>39</v>
      </c>
      <c r="C337" s="4" t="s">
        <v>66</v>
      </c>
      <c r="D337" s="4" t="s">
        <v>25</v>
      </c>
      <c r="E337" s="4" t="s">
        <v>25</v>
      </c>
      <c r="F337" s="4" t="s">
        <v>25</v>
      </c>
      <c r="G337" s="4" t="s">
        <v>76</v>
      </c>
      <c r="H337" s="4" t="s">
        <v>25</v>
      </c>
      <c r="I337" s="5">
        <v>44743</v>
      </c>
      <c r="J337" s="6">
        <v>30000</v>
      </c>
      <c r="K337" s="6">
        <v>15000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4" t="s">
        <v>68</v>
      </c>
      <c r="R337" s="4">
        <v>33664</v>
      </c>
      <c r="S337" s="4" t="s">
        <v>203</v>
      </c>
      <c r="U337" s="4">
        <v>16</v>
      </c>
      <c r="V337" s="4">
        <v>0</v>
      </c>
      <c r="W337" s="4">
        <v>0</v>
      </c>
    </row>
    <row r="338" spans="1:23" ht="11.25" customHeight="1" x14ac:dyDescent="0.25">
      <c r="A338" s="4" t="s">
        <v>57</v>
      </c>
      <c r="B338" s="4" t="s">
        <v>39</v>
      </c>
      <c r="C338" s="4" t="s">
        <v>66</v>
      </c>
      <c r="D338" s="4" t="s">
        <v>25</v>
      </c>
      <c r="E338" s="4" t="s">
        <v>25</v>
      </c>
      <c r="F338" s="4" t="s">
        <v>25</v>
      </c>
      <c r="G338" s="4" t="s">
        <v>77</v>
      </c>
      <c r="H338" s="4" t="s">
        <v>25</v>
      </c>
      <c r="I338" s="5">
        <v>44743</v>
      </c>
      <c r="J338" s="6">
        <v>30000</v>
      </c>
      <c r="K338" s="6">
        <v>15000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4" t="s">
        <v>68</v>
      </c>
      <c r="R338" s="4">
        <v>33665</v>
      </c>
      <c r="S338" s="4" t="s">
        <v>203</v>
      </c>
      <c r="U338" s="4">
        <v>16</v>
      </c>
      <c r="V338" s="4">
        <v>0</v>
      </c>
      <c r="W338" s="4">
        <v>0</v>
      </c>
    </row>
    <row r="339" spans="1:23" ht="11.25" customHeight="1" x14ac:dyDescent="0.25">
      <c r="A339" s="4" t="s">
        <v>57</v>
      </c>
      <c r="B339" s="4" t="s">
        <v>39</v>
      </c>
      <c r="C339" s="4" t="s">
        <v>66</v>
      </c>
      <c r="D339" s="4" t="s">
        <v>25</v>
      </c>
      <c r="E339" s="4" t="s">
        <v>25</v>
      </c>
      <c r="F339" s="4" t="s">
        <v>25</v>
      </c>
      <c r="G339" s="4" t="s">
        <v>78</v>
      </c>
      <c r="H339" s="4" t="s">
        <v>25</v>
      </c>
      <c r="I339" s="5">
        <v>44743</v>
      </c>
      <c r="J339" s="6">
        <v>27000</v>
      </c>
      <c r="K339" s="6">
        <v>13500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4" t="s">
        <v>68</v>
      </c>
      <c r="R339" s="4">
        <v>34085</v>
      </c>
      <c r="S339" s="4" t="s">
        <v>203</v>
      </c>
      <c r="U339" s="4">
        <v>16</v>
      </c>
      <c r="V339" s="4">
        <v>0</v>
      </c>
      <c r="W339" s="4">
        <v>0</v>
      </c>
    </row>
    <row r="340" spans="1:23" ht="11.25" customHeight="1" x14ac:dyDescent="0.25">
      <c r="A340" s="4" t="s">
        <v>57</v>
      </c>
      <c r="B340" s="4" t="s">
        <v>39</v>
      </c>
      <c r="C340" s="4" t="s">
        <v>66</v>
      </c>
      <c r="D340" s="4" t="s">
        <v>25</v>
      </c>
      <c r="E340" s="4" t="s">
        <v>25</v>
      </c>
      <c r="F340" s="4" t="s">
        <v>25</v>
      </c>
      <c r="G340" s="4" t="s">
        <v>79</v>
      </c>
      <c r="H340" s="4" t="s">
        <v>25</v>
      </c>
      <c r="I340" s="5">
        <v>44743</v>
      </c>
      <c r="J340" s="6">
        <v>27000</v>
      </c>
      <c r="K340" s="6">
        <v>13500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4" t="s">
        <v>68</v>
      </c>
      <c r="R340" s="4">
        <v>34086</v>
      </c>
      <c r="S340" s="4" t="s">
        <v>203</v>
      </c>
      <c r="U340" s="4">
        <v>16</v>
      </c>
      <c r="V340" s="4">
        <v>0</v>
      </c>
      <c r="W340" s="4">
        <v>0</v>
      </c>
    </row>
    <row r="341" spans="1:23" ht="11.25" customHeight="1" x14ac:dyDescent="0.25">
      <c r="A341" s="4" t="s">
        <v>21</v>
      </c>
      <c r="B341" s="4" t="s">
        <v>41</v>
      </c>
      <c r="C341" s="4" t="s">
        <v>40</v>
      </c>
      <c r="D341" s="4" t="s">
        <v>43</v>
      </c>
      <c r="E341" s="4" t="s">
        <v>25</v>
      </c>
      <c r="F341" s="4" t="s">
        <v>25</v>
      </c>
      <c r="G341" s="4" t="s">
        <v>25</v>
      </c>
      <c r="H341" s="4" t="s">
        <v>35</v>
      </c>
      <c r="I341" s="5">
        <v>44409</v>
      </c>
      <c r="J341" s="6">
        <v>6610</v>
      </c>
      <c r="K341" s="6">
        <v>6610</v>
      </c>
      <c r="L341" s="6">
        <v>2260.0410000000002</v>
      </c>
      <c r="M341" s="6">
        <v>2260.0410000000002</v>
      </c>
      <c r="N341" s="6">
        <v>2260.0410000000002</v>
      </c>
      <c r="O341" s="6">
        <v>2260.0410000000002</v>
      </c>
      <c r="P341" s="6">
        <v>0</v>
      </c>
      <c r="Q341" s="4" t="s">
        <v>26</v>
      </c>
      <c r="R341" s="4">
        <v>0</v>
      </c>
      <c r="S341" s="4" t="s">
        <v>204</v>
      </c>
      <c r="T341" s="4" t="s">
        <v>601</v>
      </c>
      <c r="U341" s="4">
        <v>20</v>
      </c>
      <c r="V341" s="4">
        <v>22</v>
      </c>
      <c r="W341" s="4">
        <v>67</v>
      </c>
    </row>
    <row r="342" spans="1:23" ht="11.25" customHeight="1" x14ac:dyDescent="0.25">
      <c r="A342" s="4" t="s">
        <v>28</v>
      </c>
      <c r="B342" s="4" t="s">
        <v>41</v>
      </c>
      <c r="C342" s="4" t="s">
        <v>40</v>
      </c>
      <c r="D342" s="4" t="s">
        <v>43</v>
      </c>
      <c r="E342" s="4" t="s">
        <v>25</v>
      </c>
      <c r="F342" s="4" t="s">
        <v>25</v>
      </c>
      <c r="G342" s="4" t="s">
        <v>25</v>
      </c>
      <c r="H342" s="4" t="s">
        <v>35</v>
      </c>
      <c r="I342" s="5">
        <v>44409</v>
      </c>
      <c r="J342" s="6">
        <v>125</v>
      </c>
      <c r="K342" s="6">
        <v>125</v>
      </c>
      <c r="L342" s="6">
        <v>15.191000000000001</v>
      </c>
      <c r="M342" s="6">
        <v>15.191000000000001</v>
      </c>
      <c r="N342" s="6">
        <v>15.191000000000001</v>
      </c>
      <c r="O342" s="6">
        <v>15.191000000000001</v>
      </c>
      <c r="P342" s="6">
        <v>0</v>
      </c>
      <c r="Q342" s="4" t="s">
        <v>26</v>
      </c>
      <c r="R342" s="4">
        <v>0</v>
      </c>
      <c r="S342" s="4" t="s">
        <v>204</v>
      </c>
      <c r="T342" s="4" t="s">
        <v>601</v>
      </c>
      <c r="U342" s="4">
        <v>20</v>
      </c>
      <c r="V342" s="4">
        <v>22</v>
      </c>
      <c r="W342" s="4">
        <v>67</v>
      </c>
    </row>
    <row r="343" spans="1:23" ht="11.25" customHeight="1" x14ac:dyDescent="0.25">
      <c r="A343" s="4" t="s">
        <v>28</v>
      </c>
      <c r="B343" s="4" t="s">
        <v>41</v>
      </c>
      <c r="C343" s="4" t="s">
        <v>40</v>
      </c>
      <c r="D343" s="4" t="s">
        <v>43</v>
      </c>
      <c r="E343" s="4" t="s">
        <v>25</v>
      </c>
      <c r="F343" s="4" t="s">
        <v>25</v>
      </c>
      <c r="G343" s="4" t="s">
        <v>25</v>
      </c>
      <c r="H343" s="4" t="s">
        <v>35</v>
      </c>
      <c r="I343" s="5">
        <v>44409</v>
      </c>
      <c r="J343" s="6">
        <v>-160</v>
      </c>
      <c r="K343" s="6">
        <v>-160</v>
      </c>
      <c r="L343" s="6">
        <v>2.1419999999999999</v>
      </c>
      <c r="M343" s="6">
        <v>2.1419999999999999</v>
      </c>
      <c r="N343" s="6">
        <v>2.1419999999999999</v>
      </c>
      <c r="O343" s="6">
        <v>2.1419999999999999</v>
      </c>
      <c r="P343" s="6">
        <v>0</v>
      </c>
      <c r="Q343" s="4" t="s">
        <v>26</v>
      </c>
      <c r="R343" s="4">
        <v>0</v>
      </c>
      <c r="S343" s="4" t="s">
        <v>204</v>
      </c>
      <c r="T343" s="4" t="s">
        <v>601</v>
      </c>
      <c r="U343" s="4">
        <v>20</v>
      </c>
      <c r="V343" s="4">
        <v>22</v>
      </c>
      <c r="W343" s="4">
        <v>67</v>
      </c>
    </row>
    <row r="344" spans="1:23" ht="11.25" customHeight="1" x14ac:dyDescent="0.25">
      <c r="A344" s="4" t="s">
        <v>21</v>
      </c>
      <c r="B344" s="4" t="s">
        <v>41</v>
      </c>
      <c r="C344" s="4" t="s">
        <v>40</v>
      </c>
      <c r="D344" s="4" t="s">
        <v>43</v>
      </c>
      <c r="E344" s="4" t="s">
        <v>25</v>
      </c>
      <c r="F344" s="4" t="s">
        <v>25</v>
      </c>
      <c r="G344" s="4" t="s">
        <v>25</v>
      </c>
      <c r="H344" s="4" t="s">
        <v>35</v>
      </c>
      <c r="I344" s="5">
        <v>44409</v>
      </c>
      <c r="J344" s="6">
        <v>70</v>
      </c>
      <c r="K344" s="6">
        <v>70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4" t="s">
        <v>58</v>
      </c>
      <c r="R344" s="4">
        <v>0</v>
      </c>
      <c r="S344" s="4" t="s">
        <v>204</v>
      </c>
      <c r="U344" s="4">
        <v>20</v>
      </c>
      <c r="V344" s="4">
        <v>0</v>
      </c>
      <c r="W344" s="4">
        <v>0</v>
      </c>
    </row>
    <row r="345" spans="1:23" ht="11.25" customHeight="1" x14ac:dyDescent="0.25">
      <c r="A345" s="4" t="s">
        <v>21</v>
      </c>
      <c r="B345" s="4" t="s">
        <v>41</v>
      </c>
      <c r="C345" s="4" t="s">
        <v>40</v>
      </c>
      <c r="D345" s="4" t="s">
        <v>43</v>
      </c>
      <c r="E345" s="4" t="s">
        <v>25</v>
      </c>
      <c r="F345" s="4" t="s">
        <v>25</v>
      </c>
      <c r="G345" s="4" t="s">
        <v>25</v>
      </c>
      <c r="H345" s="4" t="s">
        <v>35</v>
      </c>
      <c r="I345" s="5">
        <v>44440</v>
      </c>
      <c r="J345" s="6">
        <v>6809</v>
      </c>
      <c r="K345" s="6">
        <v>6809</v>
      </c>
      <c r="L345" s="6">
        <v>2341.3330000000001</v>
      </c>
      <c r="M345" s="6">
        <v>2341.3330000000001</v>
      </c>
      <c r="N345" s="6">
        <v>2341.3330000000001</v>
      </c>
      <c r="O345" s="6">
        <v>2341.3330000000001</v>
      </c>
      <c r="P345" s="6">
        <v>0</v>
      </c>
      <c r="Q345" s="4" t="s">
        <v>26</v>
      </c>
      <c r="R345" s="4">
        <v>0</v>
      </c>
      <c r="S345" s="4" t="s">
        <v>205</v>
      </c>
      <c r="T345" s="4" t="s">
        <v>602</v>
      </c>
      <c r="U345" s="4">
        <v>20</v>
      </c>
      <c r="V345" s="4">
        <v>22</v>
      </c>
      <c r="W345" s="4">
        <v>67</v>
      </c>
    </row>
    <row r="346" spans="1:23" ht="11.25" customHeight="1" x14ac:dyDescent="0.25">
      <c r="A346" s="4" t="s">
        <v>28</v>
      </c>
      <c r="B346" s="4" t="s">
        <v>41</v>
      </c>
      <c r="C346" s="4" t="s">
        <v>40</v>
      </c>
      <c r="D346" s="4" t="s">
        <v>43</v>
      </c>
      <c r="E346" s="4" t="s">
        <v>25</v>
      </c>
      <c r="F346" s="4" t="s">
        <v>25</v>
      </c>
      <c r="G346" s="4" t="s">
        <v>25</v>
      </c>
      <c r="H346" s="4" t="s">
        <v>35</v>
      </c>
      <c r="I346" s="5">
        <v>44440</v>
      </c>
      <c r="J346" s="6">
        <v>125</v>
      </c>
      <c r="K346" s="6">
        <v>125</v>
      </c>
      <c r="L346" s="6">
        <v>14.555</v>
      </c>
      <c r="M346" s="6">
        <v>14.555</v>
      </c>
      <c r="N346" s="6">
        <v>14.555</v>
      </c>
      <c r="O346" s="6">
        <v>14.555</v>
      </c>
      <c r="P346" s="6">
        <v>0</v>
      </c>
      <c r="Q346" s="4" t="s">
        <v>26</v>
      </c>
      <c r="R346" s="4">
        <v>0</v>
      </c>
      <c r="S346" s="4" t="s">
        <v>205</v>
      </c>
      <c r="T346" s="4" t="s">
        <v>602</v>
      </c>
      <c r="U346" s="4">
        <v>20</v>
      </c>
      <c r="V346" s="4">
        <v>22</v>
      </c>
      <c r="W346" s="4">
        <v>67</v>
      </c>
    </row>
    <row r="347" spans="1:23" ht="11.25" customHeight="1" x14ac:dyDescent="0.25">
      <c r="A347" s="4" t="s">
        <v>21</v>
      </c>
      <c r="B347" s="4" t="s">
        <v>41</v>
      </c>
      <c r="C347" s="4" t="s">
        <v>40</v>
      </c>
      <c r="D347" s="4" t="s">
        <v>43</v>
      </c>
      <c r="E347" s="4" t="s">
        <v>25</v>
      </c>
      <c r="F347" s="4" t="s">
        <v>25</v>
      </c>
      <c r="G347" s="4" t="s">
        <v>25</v>
      </c>
      <c r="H347" s="4" t="s">
        <v>35</v>
      </c>
      <c r="I347" s="5">
        <v>44470</v>
      </c>
      <c r="J347" s="6">
        <v>6593</v>
      </c>
      <c r="K347" s="6">
        <v>6593</v>
      </c>
      <c r="L347" s="6">
        <v>2396.6849999999999</v>
      </c>
      <c r="M347" s="6">
        <v>2396.6849999999999</v>
      </c>
      <c r="N347" s="6">
        <v>2396.6849999999999</v>
      </c>
      <c r="O347" s="6">
        <v>2396.6849999999999</v>
      </c>
      <c r="P347" s="6">
        <v>0</v>
      </c>
      <c r="Q347" s="4" t="s">
        <v>26</v>
      </c>
      <c r="R347" s="4">
        <v>0</v>
      </c>
      <c r="S347" s="4" t="s">
        <v>206</v>
      </c>
      <c r="T347" s="4" t="s">
        <v>603</v>
      </c>
      <c r="U347" s="4">
        <v>20</v>
      </c>
      <c r="V347" s="4">
        <v>22</v>
      </c>
      <c r="W347" s="4">
        <v>67</v>
      </c>
    </row>
    <row r="348" spans="1:23" ht="11.25" customHeight="1" x14ac:dyDescent="0.25">
      <c r="A348" s="4" t="s">
        <v>28</v>
      </c>
      <c r="B348" s="4" t="s">
        <v>41</v>
      </c>
      <c r="C348" s="4" t="s">
        <v>40</v>
      </c>
      <c r="D348" s="4" t="s">
        <v>43</v>
      </c>
      <c r="E348" s="4" t="s">
        <v>25</v>
      </c>
      <c r="F348" s="4" t="s">
        <v>25</v>
      </c>
      <c r="G348" s="4" t="s">
        <v>25</v>
      </c>
      <c r="H348" s="4" t="s">
        <v>35</v>
      </c>
      <c r="I348" s="5">
        <v>44470</v>
      </c>
      <c r="J348" s="6">
        <v>155</v>
      </c>
      <c r="K348" s="6">
        <v>155</v>
      </c>
      <c r="L348" s="6">
        <v>23.007000000000001</v>
      </c>
      <c r="M348" s="6">
        <v>23.007000000000001</v>
      </c>
      <c r="N348" s="6">
        <v>23.007000000000001</v>
      </c>
      <c r="O348" s="6">
        <v>23.007000000000001</v>
      </c>
      <c r="P348" s="6">
        <v>0</v>
      </c>
      <c r="Q348" s="4" t="s">
        <v>26</v>
      </c>
      <c r="R348" s="4">
        <v>0</v>
      </c>
      <c r="S348" s="4" t="s">
        <v>206</v>
      </c>
      <c r="T348" s="4" t="s">
        <v>603</v>
      </c>
      <c r="U348" s="4">
        <v>20</v>
      </c>
      <c r="V348" s="4">
        <v>22</v>
      </c>
      <c r="W348" s="4">
        <v>67</v>
      </c>
    </row>
    <row r="349" spans="1:23" ht="11.25" customHeight="1" x14ac:dyDescent="0.25">
      <c r="A349" s="4" t="s">
        <v>21</v>
      </c>
      <c r="B349" s="4" t="s">
        <v>41</v>
      </c>
      <c r="C349" s="4" t="s">
        <v>40</v>
      </c>
      <c r="D349" s="4" t="s">
        <v>43</v>
      </c>
      <c r="E349" s="4" t="s">
        <v>25</v>
      </c>
      <c r="F349" s="4" t="s">
        <v>25</v>
      </c>
      <c r="G349" s="4" t="s">
        <v>25</v>
      </c>
      <c r="H349" s="4" t="s">
        <v>35</v>
      </c>
      <c r="I349" s="5">
        <v>44501</v>
      </c>
      <c r="J349" s="6">
        <v>7123</v>
      </c>
      <c r="K349" s="6">
        <v>7123</v>
      </c>
      <c r="L349" s="6">
        <v>2465.6750000000002</v>
      </c>
      <c r="M349" s="6">
        <v>2465.6750000000002</v>
      </c>
      <c r="N349" s="6">
        <v>2465.6750000000002</v>
      </c>
      <c r="O349" s="6">
        <v>2465.6750000000002</v>
      </c>
      <c r="P349" s="6">
        <v>0</v>
      </c>
      <c r="Q349" s="4" t="s">
        <v>26</v>
      </c>
      <c r="R349" s="4">
        <v>0</v>
      </c>
      <c r="S349" s="4" t="s">
        <v>207</v>
      </c>
      <c r="T349" s="4" t="s">
        <v>604</v>
      </c>
      <c r="U349" s="4">
        <v>20</v>
      </c>
      <c r="V349" s="4">
        <v>22</v>
      </c>
      <c r="W349" s="4">
        <v>67</v>
      </c>
    </row>
    <row r="350" spans="1:23" ht="11.25" customHeight="1" x14ac:dyDescent="0.25">
      <c r="A350" s="4" t="s">
        <v>27</v>
      </c>
      <c r="B350" s="4" t="s">
        <v>41</v>
      </c>
      <c r="C350" s="4" t="s">
        <v>40</v>
      </c>
      <c r="D350" s="4" t="s">
        <v>43</v>
      </c>
      <c r="E350" s="4" t="s">
        <v>25</v>
      </c>
      <c r="F350" s="4" t="s">
        <v>25</v>
      </c>
      <c r="G350" s="4" t="s">
        <v>25</v>
      </c>
      <c r="H350" s="4" t="s">
        <v>35</v>
      </c>
      <c r="I350" s="5">
        <v>44501</v>
      </c>
      <c r="J350" s="6">
        <v>30</v>
      </c>
      <c r="K350" s="6">
        <v>30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4" t="s">
        <v>26</v>
      </c>
      <c r="R350" s="4">
        <v>0</v>
      </c>
      <c r="S350" s="4" t="s">
        <v>207</v>
      </c>
      <c r="T350" s="4" t="s">
        <v>604</v>
      </c>
      <c r="U350" s="4">
        <v>20</v>
      </c>
      <c r="V350" s="4">
        <v>0</v>
      </c>
      <c r="W350" s="4">
        <v>0</v>
      </c>
    </row>
    <row r="351" spans="1:23" ht="11.25" customHeight="1" x14ac:dyDescent="0.25">
      <c r="A351" s="4" t="s">
        <v>28</v>
      </c>
      <c r="B351" s="4" t="s">
        <v>41</v>
      </c>
      <c r="C351" s="4" t="s">
        <v>40</v>
      </c>
      <c r="D351" s="4" t="s">
        <v>43</v>
      </c>
      <c r="E351" s="4" t="s">
        <v>25</v>
      </c>
      <c r="F351" s="4" t="s">
        <v>25</v>
      </c>
      <c r="G351" s="4" t="s">
        <v>25</v>
      </c>
      <c r="H351" s="4" t="s">
        <v>35</v>
      </c>
      <c r="I351" s="5">
        <v>44501</v>
      </c>
      <c r="J351" s="6">
        <v>155</v>
      </c>
      <c r="K351" s="6">
        <v>155</v>
      </c>
      <c r="L351" s="6">
        <v>36.808</v>
      </c>
      <c r="M351" s="6">
        <v>36.808</v>
      </c>
      <c r="N351" s="6">
        <v>36.808</v>
      </c>
      <c r="O351" s="6">
        <v>36.808</v>
      </c>
      <c r="P351" s="6">
        <v>0</v>
      </c>
      <c r="Q351" s="4" t="s">
        <v>26</v>
      </c>
      <c r="R351" s="4">
        <v>0</v>
      </c>
      <c r="S351" s="4" t="s">
        <v>207</v>
      </c>
      <c r="T351" s="4" t="s">
        <v>604</v>
      </c>
      <c r="U351" s="4">
        <v>20</v>
      </c>
      <c r="V351" s="4">
        <v>22</v>
      </c>
      <c r="W351" s="4">
        <v>67</v>
      </c>
    </row>
    <row r="352" spans="1:23" ht="11.25" customHeight="1" x14ac:dyDescent="0.25">
      <c r="A352" s="4" t="s">
        <v>21</v>
      </c>
      <c r="B352" s="4" t="s">
        <v>41</v>
      </c>
      <c r="C352" s="4" t="s">
        <v>40</v>
      </c>
      <c r="D352" s="4" t="s">
        <v>43</v>
      </c>
      <c r="E352" s="4" t="s">
        <v>25</v>
      </c>
      <c r="F352" s="4" t="s">
        <v>25</v>
      </c>
      <c r="G352" s="4" t="s">
        <v>25</v>
      </c>
      <c r="H352" s="4" t="s">
        <v>35</v>
      </c>
      <c r="I352" s="5">
        <v>44531</v>
      </c>
      <c r="J352" s="6">
        <v>7380</v>
      </c>
      <c r="K352" s="6">
        <v>7380</v>
      </c>
      <c r="L352" s="6">
        <v>2648.634</v>
      </c>
      <c r="M352" s="6">
        <v>2648.634</v>
      </c>
      <c r="N352" s="6">
        <v>2648.634</v>
      </c>
      <c r="O352" s="6">
        <v>2648.634</v>
      </c>
      <c r="P352" s="6">
        <v>0</v>
      </c>
      <c r="Q352" s="4" t="s">
        <v>26</v>
      </c>
      <c r="R352" s="4">
        <v>0</v>
      </c>
      <c r="S352" s="4" t="s">
        <v>208</v>
      </c>
      <c r="T352" s="4" t="s">
        <v>605</v>
      </c>
      <c r="U352" s="4">
        <v>20</v>
      </c>
      <c r="V352" s="4">
        <v>22</v>
      </c>
      <c r="W352" s="4">
        <v>67</v>
      </c>
    </row>
    <row r="353" spans="1:23" ht="11.25" customHeight="1" x14ac:dyDescent="0.25">
      <c r="A353" s="4" t="s">
        <v>28</v>
      </c>
      <c r="B353" s="4" t="s">
        <v>41</v>
      </c>
      <c r="C353" s="4" t="s">
        <v>40</v>
      </c>
      <c r="D353" s="4" t="s">
        <v>43</v>
      </c>
      <c r="E353" s="4" t="s">
        <v>25</v>
      </c>
      <c r="F353" s="4" t="s">
        <v>25</v>
      </c>
      <c r="G353" s="4" t="s">
        <v>25</v>
      </c>
      <c r="H353" s="4" t="s">
        <v>35</v>
      </c>
      <c r="I353" s="5">
        <v>44531</v>
      </c>
      <c r="J353" s="6">
        <v>155</v>
      </c>
      <c r="K353" s="6">
        <v>155</v>
      </c>
      <c r="L353" s="6">
        <v>33.165999999999997</v>
      </c>
      <c r="M353" s="6">
        <v>33.165999999999997</v>
      </c>
      <c r="N353" s="6">
        <v>33.165999999999997</v>
      </c>
      <c r="O353" s="6">
        <v>33.165999999999997</v>
      </c>
      <c r="P353" s="6">
        <v>0</v>
      </c>
      <c r="Q353" s="4" t="s">
        <v>26</v>
      </c>
      <c r="R353" s="4">
        <v>0</v>
      </c>
      <c r="S353" s="4" t="s">
        <v>208</v>
      </c>
      <c r="T353" s="4" t="s">
        <v>605</v>
      </c>
      <c r="U353" s="4">
        <v>20</v>
      </c>
      <c r="V353" s="4">
        <v>22</v>
      </c>
      <c r="W353" s="4">
        <v>67</v>
      </c>
    </row>
    <row r="354" spans="1:23" ht="11.25" customHeight="1" x14ac:dyDescent="0.25">
      <c r="A354" s="4" t="s">
        <v>21</v>
      </c>
      <c r="B354" s="4" t="s">
        <v>41</v>
      </c>
      <c r="C354" s="4" t="s">
        <v>40</v>
      </c>
      <c r="D354" s="4" t="s">
        <v>43</v>
      </c>
      <c r="E354" s="4" t="s">
        <v>25</v>
      </c>
      <c r="F354" s="4" t="s">
        <v>25</v>
      </c>
      <c r="G354" s="4" t="s">
        <v>25</v>
      </c>
      <c r="H354" s="4" t="s">
        <v>35</v>
      </c>
      <c r="I354" s="5">
        <v>44562</v>
      </c>
      <c r="J354" s="6">
        <v>8083</v>
      </c>
      <c r="K354" s="6">
        <v>8083</v>
      </c>
      <c r="L354" s="6">
        <v>2691.9969999999998</v>
      </c>
      <c r="M354" s="6">
        <v>2691.9969999999998</v>
      </c>
      <c r="N354" s="6">
        <v>2691.9969999999998</v>
      </c>
      <c r="O354" s="6">
        <v>2691.9969999999998</v>
      </c>
      <c r="P354" s="6">
        <v>0</v>
      </c>
      <c r="Q354" s="4" t="s">
        <v>26</v>
      </c>
      <c r="R354" s="4">
        <v>0</v>
      </c>
      <c r="S354" s="4" t="s">
        <v>209</v>
      </c>
      <c r="T354" s="4" t="s">
        <v>606</v>
      </c>
      <c r="U354" s="4">
        <v>20</v>
      </c>
      <c r="V354" s="4">
        <v>22</v>
      </c>
      <c r="W354" s="4">
        <v>67</v>
      </c>
    </row>
    <row r="355" spans="1:23" ht="11.25" customHeight="1" x14ac:dyDescent="0.25">
      <c r="A355" s="4" t="s">
        <v>27</v>
      </c>
      <c r="B355" s="4" t="s">
        <v>41</v>
      </c>
      <c r="C355" s="4" t="s">
        <v>40</v>
      </c>
      <c r="D355" s="4" t="s">
        <v>43</v>
      </c>
      <c r="E355" s="4" t="s">
        <v>25</v>
      </c>
      <c r="F355" s="4" t="s">
        <v>25</v>
      </c>
      <c r="G355" s="4" t="s">
        <v>25</v>
      </c>
      <c r="H355" s="4" t="s">
        <v>35</v>
      </c>
      <c r="I355" s="5">
        <v>44562</v>
      </c>
      <c r="J355" s="6">
        <v>30</v>
      </c>
      <c r="K355" s="6">
        <v>30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4" t="s">
        <v>26</v>
      </c>
      <c r="R355" s="4">
        <v>0</v>
      </c>
      <c r="S355" s="4" t="s">
        <v>209</v>
      </c>
      <c r="T355" s="4" t="s">
        <v>606</v>
      </c>
      <c r="U355" s="4">
        <v>20</v>
      </c>
      <c r="V355" s="4">
        <v>0</v>
      </c>
      <c r="W355" s="4">
        <v>0</v>
      </c>
    </row>
    <row r="356" spans="1:23" ht="11.25" customHeight="1" x14ac:dyDescent="0.25">
      <c r="A356" s="4" t="s">
        <v>28</v>
      </c>
      <c r="B356" s="4" t="s">
        <v>41</v>
      </c>
      <c r="C356" s="4" t="s">
        <v>40</v>
      </c>
      <c r="D356" s="4" t="s">
        <v>43</v>
      </c>
      <c r="E356" s="4" t="s">
        <v>25</v>
      </c>
      <c r="F356" s="4" t="s">
        <v>25</v>
      </c>
      <c r="G356" s="4" t="s">
        <v>25</v>
      </c>
      <c r="H356" s="4" t="s">
        <v>35</v>
      </c>
      <c r="I356" s="5">
        <v>44562</v>
      </c>
      <c r="J356" s="6">
        <v>1228</v>
      </c>
      <c r="K356" s="6">
        <v>1228</v>
      </c>
      <c r="L356" s="6">
        <v>81.542000000000002</v>
      </c>
      <c r="M356" s="6">
        <v>81.542000000000002</v>
      </c>
      <c r="N356" s="6">
        <v>81.542000000000002</v>
      </c>
      <c r="O356" s="6">
        <v>81.542000000000002</v>
      </c>
      <c r="P356" s="6">
        <v>0</v>
      </c>
      <c r="Q356" s="4" t="s">
        <v>26</v>
      </c>
      <c r="R356" s="4">
        <v>0</v>
      </c>
      <c r="S356" s="4" t="s">
        <v>209</v>
      </c>
      <c r="T356" s="4" t="s">
        <v>606</v>
      </c>
      <c r="U356" s="4">
        <v>20</v>
      </c>
      <c r="V356" s="4">
        <v>22</v>
      </c>
      <c r="W356" s="4">
        <v>67</v>
      </c>
    </row>
    <row r="357" spans="1:23" ht="11.25" customHeight="1" x14ac:dyDescent="0.25">
      <c r="A357" s="4" t="s">
        <v>28</v>
      </c>
      <c r="B357" s="4" t="s">
        <v>41</v>
      </c>
      <c r="C357" s="4" t="s">
        <v>40</v>
      </c>
      <c r="D357" s="4" t="s">
        <v>43</v>
      </c>
      <c r="E357" s="4" t="s">
        <v>25</v>
      </c>
      <c r="F357" s="4" t="s">
        <v>25</v>
      </c>
      <c r="G357" s="4" t="s">
        <v>25</v>
      </c>
      <c r="H357" s="4" t="s">
        <v>35</v>
      </c>
      <c r="I357" s="5">
        <v>44562</v>
      </c>
      <c r="J357" s="6">
        <v>0</v>
      </c>
      <c r="K357" s="6">
        <v>0</v>
      </c>
      <c r="L357" s="6">
        <v>1.9159999999999999</v>
      </c>
      <c r="M357" s="6">
        <v>1.9159999999999999</v>
      </c>
      <c r="N357" s="6">
        <v>1.9159999999999999</v>
      </c>
      <c r="O357" s="6">
        <v>1.9159999999999999</v>
      </c>
      <c r="P357" s="6">
        <v>0</v>
      </c>
      <c r="Q357" s="4" t="s">
        <v>26</v>
      </c>
      <c r="R357" s="4">
        <v>0</v>
      </c>
      <c r="S357" s="4" t="s">
        <v>209</v>
      </c>
      <c r="T357" s="4" t="s">
        <v>606</v>
      </c>
      <c r="U357" s="4">
        <v>0</v>
      </c>
      <c r="V357" s="4">
        <v>22</v>
      </c>
      <c r="W357" s="4">
        <v>67</v>
      </c>
    </row>
    <row r="358" spans="1:23" ht="11.25" customHeight="1" x14ac:dyDescent="0.25">
      <c r="A358" s="4" t="s">
        <v>21</v>
      </c>
      <c r="B358" s="4" t="s">
        <v>41</v>
      </c>
      <c r="C358" s="4" t="s">
        <v>40</v>
      </c>
      <c r="D358" s="4" t="s">
        <v>43</v>
      </c>
      <c r="E358" s="4" t="s">
        <v>25</v>
      </c>
      <c r="F358" s="4" t="s">
        <v>25</v>
      </c>
      <c r="G358" s="4" t="s">
        <v>25</v>
      </c>
      <c r="H358" s="4" t="s">
        <v>35</v>
      </c>
      <c r="I358" s="5">
        <v>44593</v>
      </c>
      <c r="J358" s="6">
        <v>7873</v>
      </c>
      <c r="K358" s="6">
        <v>7873</v>
      </c>
      <c r="L358" s="6">
        <v>2519.1909999999998</v>
      </c>
      <c r="M358" s="6">
        <v>2519.1909999999998</v>
      </c>
      <c r="N358" s="6">
        <v>2519.1909999999998</v>
      </c>
      <c r="O358" s="6">
        <v>2519.1909999999998</v>
      </c>
      <c r="P358" s="6">
        <v>0</v>
      </c>
      <c r="Q358" s="4" t="s">
        <v>26</v>
      </c>
      <c r="R358" s="4">
        <v>0</v>
      </c>
      <c r="S358" s="4" t="s">
        <v>210</v>
      </c>
      <c r="T358" s="4" t="s">
        <v>607</v>
      </c>
      <c r="U358" s="4">
        <v>20</v>
      </c>
      <c r="V358" s="4">
        <v>22</v>
      </c>
      <c r="W358" s="4">
        <v>67</v>
      </c>
    </row>
    <row r="359" spans="1:23" ht="11.25" customHeight="1" x14ac:dyDescent="0.25">
      <c r="A359" s="4" t="s">
        <v>27</v>
      </c>
      <c r="B359" s="4" t="s">
        <v>41</v>
      </c>
      <c r="C359" s="4" t="s">
        <v>40</v>
      </c>
      <c r="D359" s="4" t="s">
        <v>43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44593</v>
      </c>
      <c r="J359" s="6">
        <v>-335</v>
      </c>
      <c r="K359" s="6">
        <v>-335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4" t="s">
        <v>26</v>
      </c>
      <c r="R359" s="4">
        <v>0</v>
      </c>
      <c r="S359" s="4" t="s">
        <v>210</v>
      </c>
      <c r="T359" s="4" t="s">
        <v>607</v>
      </c>
      <c r="U359" s="4">
        <v>20</v>
      </c>
      <c r="V359" s="4">
        <v>0</v>
      </c>
      <c r="W359" s="4">
        <v>0</v>
      </c>
    </row>
    <row r="360" spans="1:23" ht="11.25" customHeight="1" x14ac:dyDescent="0.25">
      <c r="A360" s="4" t="s">
        <v>28</v>
      </c>
      <c r="B360" s="4" t="s">
        <v>41</v>
      </c>
      <c r="C360" s="4" t="s">
        <v>40</v>
      </c>
      <c r="D360" s="4" t="s">
        <v>43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44593</v>
      </c>
      <c r="J360" s="6">
        <v>1214</v>
      </c>
      <c r="K360" s="6">
        <v>1214</v>
      </c>
      <c r="L360" s="6">
        <v>76.356999999999999</v>
      </c>
      <c r="M360" s="6">
        <v>76.356999999999999</v>
      </c>
      <c r="N360" s="6">
        <v>76.356999999999999</v>
      </c>
      <c r="O360" s="6">
        <v>76.356999999999999</v>
      </c>
      <c r="P360" s="6">
        <v>0</v>
      </c>
      <c r="Q360" s="4" t="s">
        <v>26</v>
      </c>
      <c r="R360" s="4">
        <v>0</v>
      </c>
      <c r="S360" s="4" t="s">
        <v>210</v>
      </c>
      <c r="T360" s="4" t="s">
        <v>607</v>
      </c>
      <c r="U360" s="4">
        <v>20</v>
      </c>
      <c r="V360" s="4">
        <v>22</v>
      </c>
      <c r="W360" s="4">
        <v>67</v>
      </c>
    </row>
    <row r="361" spans="1:23" ht="11.25" customHeight="1" x14ac:dyDescent="0.25">
      <c r="A361" s="4" t="s">
        <v>21</v>
      </c>
      <c r="B361" s="4" t="s">
        <v>41</v>
      </c>
      <c r="C361" s="4" t="s">
        <v>40</v>
      </c>
      <c r="D361" s="4" t="s">
        <v>43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44621</v>
      </c>
      <c r="J361" s="6">
        <v>7756</v>
      </c>
      <c r="K361" s="6">
        <v>7756</v>
      </c>
      <c r="L361" s="6">
        <v>2647.4229999999998</v>
      </c>
      <c r="M361" s="6">
        <v>2647.4229999999998</v>
      </c>
      <c r="N361" s="6">
        <v>2647.4229999999998</v>
      </c>
      <c r="O361" s="6">
        <v>2647.4229999999998</v>
      </c>
      <c r="P361" s="6">
        <v>0</v>
      </c>
      <c r="Q361" s="4" t="s">
        <v>26</v>
      </c>
      <c r="R361" s="4">
        <v>0</v>
      </c>
      <c r="S361" s="4" t="s">
        <v>211</v>
      </c>
      <c r="T361" s="4" t="s">
        <v>608</v>
      </c>
      <c r="U361" s="4">
        <v>20</v>
      </c>
      <c r="V361" s="4">
        <v>22</v>
      </c>
      <c r="W361" s="4">
        <v>67</v>
      </c>
    </row>
    <row r="362" spans="1:23" ht="11.25" customHeight="1" x14ac:dyDescent="0.25">
      <c r="A362" s="4" t="s">
        <v>28</v>
      </c>
      <c r="B362" s="4" t="s">
        <v>41</v>
      </c>
      <c r="C362" s="4" t="s">
        <v>40</v>
      </c>
      <c r="D362" s="4" t="s">
        <v>43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44621</v>
      </c>
      <c r="J362" s="6">
        <v>1156</v>
      </c>
      <c r="K362" s="6">
        <v>1156</v>
      </c>
      <c r="L362" s="6">
        <v>64.281999999999996</v>
      </c>
      <c r="M362" s="6">
        <v>64.281999999999996</v>
      </c>
      <c r="N362" s="6">
        <v>64.281999999999996</v>
      </c>
      <c r="O362" s="6">
        <v>64.281999999999996</v>
      </c>
      <c r="P362" s="6">
        <v>0</v>
      </c>
      <c r="Q362" s="4" t="s">
        <v>26</v>
      </c>
      <c r="R362" s="4">
        <v>0</v>
      </c>
      <c r="S362" s="4" t="s">
        <v>211</v>
      </c>
      <c r="T362" s="4" t="s">
        <v>608</v>
      </c>
      <c r="U362" s="4">
        <v>20</v>
      </c>
      <c r="V362" s="4">
        <v>22</v>
      </c>
      <c r="W362" s="4">
        <v>67</v>
      </c>
    </row>
    <row r="363" spans="1:23" ht="11.25" customHeight="1" x14ac:dyDescent="0.25">
      <c r="A363" s="4" t="s">
        <v>21</v>
      </c>
      <c r="B363" s="4" t="s">
        <v>41</v>
      </c>
      <c r="C363" s="4" t="s">
        <v>40</v>
      </c>
      <c r="D363" s="4" t="s">
        <v>43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44652</v>
      </c>
      <c r="J363" s="6">
        <v>7907</v>
      </c>
      <c r="K363" s="6">
        <v>7907</v>
      </c>
      <c r="L363" s="6">
        <v>2633.529</v>
      </c>
      <c r="M363" s="6">
        <v>2633.529</v>
      </c>
      <c r="N363" s="6">
        <v>2633.529</v>
      </c>
      <c r="O363" s="6">
        <v>2633.529</v>
      </c>
      <c r="P363" s="6">
        <v>0</v>
      </c>
      <c r="Q363" s="4" t="s">
        <v>26</v>
      </c>
      <c r="R363" s="4">
        <v>0</v>
      </c>
      <c r="S363" s="4" t="s">
        <v>212</v>
      </c>
      <c r="T363" s="4" t="s">
        <v>609</v>
      </c>
      <c r="U363" s="4">
        <v>20</v>
      </c>
      <c r="V363" s="4">
        <v>22</v>
      </c>
      <c r="W363" s="4">
        <v>67</v>
      </c>
    </row>
    <row r="364" spans="1:23" ht="11.25" customHeight="1" x14ac:dyDescent="0.25">
      <c r="A364" s="4" t="s">
        <v>27</v>
      </c>
      <c r="B364" s="4" t="s">
        <v>41</v>
      </c>
      <c r="C364" s="4" t="s">
        <v>40</v>
      </c>
      <c r="D364" s="4" t="s">
        <v>43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44652</v>
      </c>
      <c r="J364" s="6">
        <v>0</v>
      </c>
      <c r="K364" s="6">
        <v>0</v>
      </c>
      <c r="L364" s="6">
        <v>-5.0229999999999997</v>
      </c>
      <c r="M364" s="6">
        <v>-5.0229999999999997</v>
      </c>
      <c r="N364" s="6">
        <v>-5.0229999999999997</v>
      </c>
      <c r="O364" s="6">
        <v>-5.0229999999999997</v>
      </c>
      <c r="P364" s="6">
        <v>0</v>
      </c>
      <c r="Q364" s="4" t="s">
        <v>26</v>
      </c>
      <c r="R364" s="4">
        <v>0</v>
      </c>
      <c r="S364" s="4" t="s">
        <v>212</v>
      </c>
      <c r="T364" s="4" t="s">
        <v>609</v>
      </c>
      <c r="U364" s="4">
        <v>0</v>
      </c>
      <c r="V364" s="4">
        <v>22</v>
      </c>
      <c r="W364" s="4">
        <v>67</v>
      </c>
    </row>
    <row r="365" spans="1:23" ht="11.25" customHeight="1" x14ac:dyDescent="0.25">
      <c r="A365" s="4" t="s">
        <v>28</v>
      </c>
      <c r="B365" s="4" t="s">
        <v>41</v>
      </c>
      <c r="C365" s="4" t="s">
        <v>40</v>
      </c>
      <c r="D365" s="4" t="s">
        <v>43</v>
      </c>
      <c r="E365" s="4" t="s">
        <v>25</v>
      </c>
      <c r="F365" s="4" t="s">
        <v>25</v>
      </c>
      <c r="G365" s="4" t="s">
        <v>25</v>
      </c>
      <c r="H365" s="4" t="s">
        <v>35</v>
      </c>
      <c r="I365" s="5">
        <v>44652</v>
      </c>
      <c r="J365" s="6">
        <v>1145</v>
      </c>
      <c r="K365" s="6">
        <v>1145</v>
      </c>
      <c r="L365" s="6">
        <v>73.512</v>
      </c>
      <c r="M365" s="6">
        <v>73.512</v>
      </c>
      <c r="N365" s="6">
        <v>73.512</v>
      </c>
      <c r="O365" s="6">
        <v>73.512</v>
      </c>
      <c r="P365" s="6">
        <v>0</v>
      </c>
      <c r="Q365" s="4" t="s">
        <v>26</v>
      </c>
      <c r="R365" s="4">
        <v>0</v>
      </c>
      <c r="S365" s="4" t="s">
        <v>212</v>
      </c>
      <c r="T365" s="4" t="s">
        <v>609</v>
      </c>
      <c r="U365" s="4">
        <v>20</v>
      </c>
      <c r="V365" s="4">
        <v>22</v>
      </c>
      <c r="W365" s="4">
        <v>67</v>
      </c>
    </row>
    <row r="366" spans="1:23" ht="11.25" customHeight="1" x14ac:dyDescent="0.25">
      <c r="A366" s="4" t="s">
        <v>21</v>
      </c>
      <c r="B366" s="4" t="s">
        <v>41</v>
      </c>
      <c r="C366" s="4" t="s">
        <v>40</v>
      </c>
      <c r="D366" s="4" t="s">
        <v>43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44682</v>
      </c>
      <c r="J366" s="6">
        <v>7598</v>
      </c>
      <c r="K366" s="6">
        <v>7598</v>
      </c>
      <c r="L366" s="6">
        <v>2534.7089999999998</v>
      </c>
      <c r="M366" s="6">
        <v>2534.7089999999998</v>
      </c>
      <c r="N366" s="6">
        <v>2534.7089999999998</v>
      </c>
      <c r="O366" s="6">
        <v>2534.7089999999998</v>
      </c>
      <c r="P366" s="6">
        <v>0</v>
      </c>
      <c r="Q366" s="4" t="s">
        <v>26</v>
      </c>
      <c r="R366" s="4">
        <v>0</v>
      </c>
      <c r="S366" s="4" t="s">
        <v>213</v>
      </c>
      <c r="T366" s="4" t="s">
        <v>610</v>
      </c>
      <c r="U366" s="4">
        <v>20</v>
      </c>
      <c r="V366" s="4">
        <v>22</v>
      </c>
      <c r="W366" s="4">
        <v>67</v>
      </c>
    </row>
    <row r="367" spans="1:23" ht="11.25" customHeight="1" x14ac:dyDescent="0.25">
      <c r="A367" s="4" t="s">
        <v>27</v>
      </c>
      <c r="B367" s="4" t="s">
        <v>41</v>
      </c>
      <c r="C367" s="4" t="s">
        <v>40</v>
      </c>
      <c r="D367" s="4" t="s">
        <v>43</v>
      </c>
      <c r="E367" s="4" t="s">
        <v>25</v>
      </c>
      <c r="F367" s="4" t="s">
        <v>25</v>
      </c>
      <c r="G367" s="4" t="s">
        <v>25</v>
      </c>
      <c r="H367" s="4" t="s">
        <v>35</v>
      </c>
      <c r="I367" s="5">
        <v>44682</v>
      </c>
      <c r="J367" s="6">
        <v>-60</v>
      </c>
      <c r="K367" s="6">
        <v>-60</v>
      </c>
      <c r="L367" s="6">
        <v>-7.3719999999999999</v>
      </c>
      <c r="M367" s="6">
        <v>-7.3719999999999999</v>
      </c>
      <c r="N367" s="6">
        <v>-7.3719999999999999</v>
      </c>
      <c r="O367" s="6">
        <v>-7.3719999999999999</v>
      </c>
      <c r="P367" s="6">
        <v>0</v>
      </c>
      <c r="Q367" s="4" t="s">
        <v>26</v>
      </c>
      <c r="R367" s="4">
        <v>0</v>
      </c>
      <c r="S367" s="4" t="s">
        <v>213</v>
      </c>
      <c r="T367" s="4" t="s">
        <v>610</v>
      </c>
      <c r="U367" s="4">
        <v>20</v>
      </c>
      <c r="V367" s="4">
        <v>22</v>
      </c>
      <c r="W367" s="4">
        <v>67</v>
      </c>
    </row>
    <row r="368" spans="1:23" ht="11.25" customHeight="1" x14ac:dyDescent="0.25">
      <c r="A368" s="4" t="s">
        <v>28</v>
      </c>
      <c r="B368" s="4" t="s">
        <v>41</v>
      </c>
      <c r="C368" s="4" t="s">
        <v>40</v>
      </c>
      <c r="D368" s="4" t="s">
        <v>43</v>
      </c>
      <c r="E368" s="4" t="s">
        <v>25</v>
      </c>
      <c r="F368" s="4" t="s">
        <v>25</v>
      </c>
      <c r="G368" s="4" t="s">
        <v>25</v>
      </c>
      <c r="H368" s="4" t="s">
        <v>35</v>
      </c>
      <c r="I368" s="5">
        <v>44682</v>
      </c>
      <c r="J368" s="6">
        <v>1400</v>
      </c>
      <c r="K368" s="6">
        <v>1400</v>
      </c>
      <c r="L368" s="6">
        <v>86.244</v>
      </c>
      <c r="M368" s="6">
        <v>86.244</v>
      </c>
      <c r="N368" s="6">
        <v>86.244</v>
      </c>
      <c r="O368" s="6">
        <v>86.244</v>
      </c>
      <c r="P368" s="6">
        <v>0</v>
      </c>
      <c r="Q368" s="4" t="s">
        <v>26</v>
      </c>
      <c r="R368" s="4">
        <v>0</v>
      </c>
      <c r="S368" s="4" t="s">
        <v>213</v>
      </c>
      <c r="T368" s="4" t="s">
        <v>610</v>
      </c>
      <c r="U368" s="4">
        <v>20</v>
      </c>
      <c r="V368" s="4">
        <v>22</v>
      </c>
      <c r="W368" s="4">
        <v>67</v>
      </c>
    </row>
    <row r="369" spans="1:23" ht="11.25" customHeight="1" x14ac:dyDescent="0.25">
      <c r="A369" s="4" t="s">
        <v>21</v>
      </c>
      <c r="B369" s="4" t="s">
        <v>41</v>
      </c>
      <c r="C369" s="4" t="s">
        <v>40</v>
      </c>
      <c r="D369" s="4" t="s">
        <v>43</v>
      </c>
      <c r="E369" s="4" t="s">
        <v>25</v>
      </c>
      <c r="F369" s="4" t="s">
        <v>25</v>
      </c>
      <c r="G369" s="4" t="s">
        <v>25</v>
      </c>
      <c r="H369" s="4" t="s">
        <v>35</v>
      </c>
      <c r="I369" s="5">
        <v>44713</v>
      </c>
      <c r="J369" s="6">
        <v>7295</v>
      </c>
      <c r="K369" s="6">
        <v>7295</v>
      </c>
      <c r="L369" s="6">
        <v>2270.2240000000002</v>
      </c>
      <c r="M369" s="6">
        <v>2270.2240000000002</v>
      </c>
      <c r="N369" s="6">
        <v>2270.2240000000002</v>
      </c>
      <c r="O369" s="6">
        <v>2270.2240000000002</v>
      </c>
      <c r="P369" s="6">
        <v>0</v>
      </c>
      <c r="Q369" s="4" t="s">
        <v>26</v>
      </c>
      <c r="R369" s="4">
        <v>0</v>
      </c>
      <c r="S369" s="4" t="s">
        <v>214</v>
      </c>
      <c r="T369" s="4" t="s">
        <v>611</v>
      </c>
      <c r="U369" s="4">
        <v>20</v>
      </c>
      <c r="V369" s="4">
        <v>22</v>
      </c>
      <c r="W369" s="4">
        <v>67</v>
      </c>
    </row>
    <row r="370" spans="1:23" ht="11.25" customHeight="1" x14ac:dyDescent="0.25">
      <c r="A370" s="4" t="s">
        <v>28</v>
      </c>
      <c r="B370" s="4" t="s">
        <v>41</v>
      </c>
      <c r="C370" s="4" t="s">
        <v>40</v>
      </c>
      <c r="D370" s="4" t="s">
        <v>43</v>
      </c>
      <c r="E370" s="4" t="s">
        <v>25</v>
      </c>
      <c r="F370" s="4" t="s">
        <v>25</v>
      </c>
      <c r="G370" s="4" t="s">
        <v>25</v>
      </c>
      <c r="H370" s="4" t="s">
        <v>35</v>
      </c>
      <c r="I370" s="5">
        <v>44713</v>
      </c>
      <c r="J370" s="6">
        <v>1432</v>
      </c>
      <c r="K370" s="6">
        <v>1432</v>
      </c>
      <c r="L370" s="6">
        <v>60.866</v>
      </c>
      <c r="M370" s="6">
        <v>60.866</v>
      </c>
      <c r="N370" s="6">
        <v>60.866</v>
      </c>
      <c r="O370" s="6">
        <v>60.866</v>
      </c>
      <c r="P370" s="6">
        <v>0</v>
      </c>
      <c r="Q370" s="4" t="s">
        <v>26</v>
      </c>
      <c r="R370" s="4">
        <v>0</v>
      </c>
      <c r="S370" s="4" t="s">
        <v>214</v>
      </c>
      <c r="T370" s="4" t="s">
        <v>611</v>
      </c>
      <c r="U370" s="4">
        <v>20</v>
      </c>
      <c r="V370" s="4">
        <v>22</v>
      </c>
      <c r="W370" s="4">
        <v>67</v>
      </c>
    </row>
    <row r="371" spans="1:23" ht="11.25" customHeight="1" x14ac:dyDescent="0.25">
      <c r="A371" s="4" t="s">
        <v>57</v>
      </c>
      <c r="B371" s="4" t="s">
        <v>41</v>
      </c>
      <c r="C371" s="4" t="s">
        <v>40</v>
      </c>
      <c r="D371" s="4" t="s">
        <v>43</v>
      </c>
      <c r="E371" s="4" t="s">
        <v>25</v>
      </c>
      <c r="F371" s="4" t="s">
        <v>25</v>
      </c>
      <c r="G371" s="4" t="s">
        <v>25</v>
      </c>
      <c r="H371" s="4" t="s">
        <v>35</v>
      </c>
      <c r="I371" s="5">
        <v>44743</v>
      </c>
      <c r="J371" s="6">
        <v>7295</v>
      </c>
      <c r="K371" s="6">
        <v>7295</v>
      </c>
      <c r="L371" s="6">
        <v>2270.2240000000002</v>
      </c>
      <c r="M371" s="6">
        <v>2270.2240000000002</v>
      </c>
      <c r="N371" s="6">
        <v>2270.2240000000002</v>
      </c>
      <c r="O371" s="6">
        <v>2270.2240000000002</v>
      </c>
      <c r="P371" s="6">
        <v>0</v>
      </c>
      <c r="Q371" s="4" t="s">
        <v>26</v>
      </c>
      <c r="R371" s="4">
        <v>0</v>
      </c>
      <c r="S371" s="4" t="s">
        <v>215</v>
      </c>
      <c r="T371" s="4" t="s">
        <v>612</v>
      </c>
      <c r="U371" s="4">
        <v>20</v>
      </c>
      <c r="V371" s="4">
        <v>22</v>
      </c>
      <c r="W371" s="4">
        <v>67</v>
      </c>
    </row>
    <row r="372" spans="1:23" ht="11.25" customHeight="1" x14ac:dyDescent="0.25">
      <c r="A372" s="4" t="s">
        <v>57</v>
      </c>
      <c r="B372" s="4" t="s">
        <v>41</v>
      </c>
      <c r="C372" s="4" t="s">
        <v>40</v>
      </c>
      <c r="D372" s="4" t="s">
        <v>43</v>
      </c>
      <c r="E372" s="4" t="s">
        <v>25</v>
      </c>
      <c r="F372" s="4" t="s">
        <v>25</v>
      </c>
      <c r="G372" s="4" t="s">
        <v>25</v>
      </c>
      <c r="H372" s="4" t="s">
        <v>35</v>
      </c>
      <c r="I372" s="5">
        <v>44743</v>
      </c>
      <c r="J372" s="6">
        <v>1432</v>
      </c>
      <c r="K372" s="6">
        <v>1432</v>
      </c>
      <c r="L372" s="6">
        <v>60.866</v>
      </c>
      <c r="M372" s="6">
        <v>60.866</v>
      </c>
      <c r="N372" s="6">
        <v>60.866</v>
      </c>
      <c r="O372" s="6">
        <v>60.866</v>
      </c>
      <c r="P372" s="6">
        <v>0</v>
      </c>
      <c r="Q372" s="4" t="s">
        <v>26</v>
      </c>
      <c r="R372" s="4">
        <v>0</v>
      </c>
      <c r="S372" s="4" t="s">
        <v>215</v>
      </c>
      <c r="T372" s="4" t="s">
        <v>612</v>
      </c>
      <c r="U372" s="4">
        <v>20</v>
      </c>
      <c r="V372" s="4">
        <v>22</v>
      </c>
      <c r="W372" s="4">
        <v>67</v>
      </c>
    </row>
    <row r="373" spans="1:23" ht="11.25" customHeight="1" x14ac:dyDescent="0.25">
      <c r="A373" s="4" t="s">
        <v>21</v>
      </c>
      <c r="B373" s="4" t="s">
        <v>41</v>
      </c>
      <c r="C373" s="4" t="s">
        <v>40</v>
      </c>
      <c r="D373" s="4" t="s">
        <v>43</v>
      </c>
      <c r="E373" s="4" t="s">
        <v>25</v>
      </c>
      <c r="F373" s="4" t="s">
        <v>25</v>
      </c>
      <c r="G373" s="4" t="s">
        <v>25</v>
      </c>
      <c r="H373" s="4" t="s">
        <v>25</v>
      </c>
      <c r="I373" s="5">
        <v>44409</v>
      </c>
      <c r="J373" s="6">
        <v>0</v>
      </c>
      <c r="K373" s="6">
        <v>0</v>
      </c>
      <c r="L373" s="6">
        <v>15.478</v>
      </c>
      <c r="M373" s="6">
        <v>15.478</v>
      </c>
      <c r="N373" s="6">
        <v>0</v>
      </c>
      <c r="O373" s="6">
        <v>0</v>
      </c>
      <c r="P373" s="6">
        <v>1</v>
      </c>
      <c r="Q373" s="4" t="s">
        <v>58</v>
      </c>
      <c r="R373" s="4">
        <v>0</v>
      </c>
      <c r="S373" s="4" t="s">
        <v>216</v>
      </c>
      <c r="U373" s="4">
        <v>0</v>
      </c>
      <c r="V373" s="4">
        <v>22</v>
      </c>
      <c r="W373" s="4">
        <v>0</v>
      </c>
    </row>
    <row r="374" spans="1:23" ht="11.25" customHeight="1" x14ac:dyDescent="0.25">
      <c r="A374" s="4" t="s">
        <v>21</v>
      </c>
      <c r="B374" s="4" t="s">
        <v>41</v>
      </c>
      <c r="C374" s="4" t="s">
        <v>40</v>
      </c>
      <c r="D374" s="4" t="s">
        <v>43</v>
      </c>
      <c r="E374" s="4" t="s">
        <v>25</v>
      </c>
      <c r="F374" s="4" t="s">
        <v>25</v>
      </c>
      <c r="G374" s="4" t="s">
        <v>25</v>
      </c>
      <c r="H374" s="4" t="s">
        <v>34</v>
      </c>
      <c r="I374" s="5">
        <v>44409</v>
      </c>
      <c r="J374" s="6">
        <v>5882</v>
      </c>
      <c r="K374" s="6">
        <v>5882</v>
      </c>
      <c r="L374" s="6">
        <v>248.38499999999999</v>
      </c>
      <c r="M374" s="6">
        <v>248.38499999999999</v>
      </c>
      <c r="N374" s="6">
        <v>248.38499999999999</v>
      </c>
      <c r="O374" s="6">
        <v>248.38499999999999</v>
      </c>
      <c r="P374" s="6">
        <v>0</v>
      </c>
      <c r="Q374" s="4" t="s">
        <v>26</v>
      </c>
      <c r="R374" s="4">
        <v>0</v>
      </c>
      <c r="S374" s="4" t="s">
        <v>217</v>
      </c>
      <c r="T374" s="4" t="s">
        <v>613</v>
      </c>
      <c r="U374" s="4">
        <v>18</v>
      </c>
      <c r="V374" s="4">
        <v>22</v>
      </c>
      <c r="W374" s="4">
        <v>66</v>
      </c>
    </row>
    <row r="375" spans="1:23" ht="11.25" customHeight="1" x14ac:dyDescent="0.25">
      <c r="A375" s="4" t="s">
        <v>28</v>
      </c>
      <c r="B375" s="4" t="s">
        <v>41</v>
      </c>
      <c r="C375" s="4" t="s">
        <v>40</v>
      </c>
      <c r="D375" s="4" t="s">
        <v>43</v>
      </c>
      <c r="E375" s="4" t="s">
        <v>25</v>
      </c>
      <c r="F375" s="4" t="s">
        <v>25</v>
      </c>
      <c r="G375" s="4" t="s">
        <v>25</v>
      </c>
      <c r="H375" s="4" t="s">
        <v>34</v>
      </c>
      <c r="I375" s="5">
        <v>44409</v>
      </c>
      <c r="J375" s="6">
        <v>115</v>
      </c>
      <c r="K375" s="6">
        <v>115</v>
      </c>
      <c r="L375" s="6">
        <v>2.52</v>
      </c>
      <c r="M375" s="6">
        <v>2.52</v>
      </c>
      <c r="N375" s="6">
        <v>2.52</v>
      </c>
      <c r="O375" s="6">
        <v>2.52</v>
      </c>
      <c r="P375" s="6">
        <v>0</v>
      </c>
      <c r="Q375" s="4" t="s">
        <v>26</v>
      </c>
      <c r="R375" s="4">
        <v>0</v>
      </c>
      <c r="S375" s="4" t="s">
        <v>217</v>
      </c>
      <c r="T375" s="4" t="s">
        <v>613</v>
      </c>
      <c r="U375" s="4">
        <v>18</v>
      </c>
      <c r="V375" s="4">
        <v>22</v>
      </c>
      <c r="W375" s="4">
        <v>66</v>
      </c>
    </row>
    <row r="376" spans="1:23" ht="11.25" customHeight="1" x14ac:dyDescent="0.25">
      <c r="A376" s="4" t="s">
        <v>28</v>
      </c>
      <c r="B376" s="4" t="s">
        <v>41</v>
      </c>
      <c r="C376" s="4" t="s">
        <v>40</v>
      </c>
      <c r="D376" s="4" t="s">
        <v>43</v>
      </c>
      <c r="E376" s="4" t="s">
        <v>25</v>
      </c>
      <c r="F376" s="4" t="s">
        <v>25</v>
      </c>
      <c r="G376" s="4" t="s">
        <v>25</v>
      </c>
      <c r="H376" s="4" t="s">
        <v>34</v>
      </c>
      <c r="I376" s="5">
        <v>44409</v>
      </c>
      <c r="J376" s="6">
        <v>-160</v>
      </c>
      <c r="K376" s="6">
        <v>-160</v>
      </c>
      <c r="L376" s="6">
        <v>-4.7560000000000002</v>
      </c>
      <c r="M376" s="6">
        <v>-4.7560000000000002</v>
      </c>
      <c r="N376" s="6">
        <v>-4.7560000000000002</v>
      </c>
      <c r="O376" s="6">
        <v>-4.7560000000000002</v>
      </c>
      <c r="P376" s="6">
        <v>0</v>
      </c>
      <c r="Q376" s="4" t="s">
        <v>26</v>
      </c>
      <c r="R376" s="4">
        <v>0</v>
      </c>
      <c r="S376" s="4" t="s">
        <v>217</v>
      </c>
      <c r="T376" s="4" t="s">
        <v>613</v>
      </c>
      <c r="U376" s="4">
        <v>18</v>
      </c>
      <c r="V376" s="4">
        <v>22</v>
      </c>
      <c r="W376" s="4">
        <v>66</v>
      </c>
    </row>
    <row r="377" spans="1:23" ht="11.25" customHeight="1" x14ac:dyDescent="0.25">
      <c r="A377" s="4" t="s">
        <v>21</v>
      </c>
      <c r="B377" s="4" t="s">
        <v>41</v>
      </c>
      <c r="C377" s="4" t="s">
        <v>40</v>
      </c>
      <c r="D377" s="4" t="s">
        <v>43</v>
      </c>
      <c r="E377" s="4" t="s">
        <v>25</v>
      </c>
      <c r="F377" s="4" t="s">
        <v>25</v>
      </c>
      <c r="G377" s="4" t="s">
        <v>25</v>
      </c>
      <c r="H377" s="4" t="s">
        <v>34</v>
      </c>
      <c r="I377" s="5">
        <v>44409</v>
      </c>
      <c r="J377" s="6">
        <v>60</v>
      </c>
      <c r="K377" s="6">
        <v>60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4" t="s">
        <v>58</v>
      </c>
      <c r="R377" s="4">
        <v>0</v>
      </c>
      <c r="S377" s="4" t="s">
        <v>217</v>
      </c>
      <c r="U377" s="4">
        <v>18</v>
      </c>
      <c r="V377" s="4">
        <v>0</v>
      </c>
      <c r="W377" s="4">
        <v>0</v>
      </c>
    </row>
    <row r="378" spans="1:23" ht="11.25" customHeight="1" x14ac:dyDescent="0.25">
      <c r="A378" s="4" t="s">
        <v>21</v>
      </c>
      <c r="B378" s="4" t="s">
        <v>41</v>
      </c>
      <c r="C378" s="4" t="s">
        <v>40</v>
      </c>
      <c r="D378" s="4" t="s">
        <v>43</v>
      </c>
      <c r="E378" s="4" t="s">
        <v>25</v>
      </c>
      <c r="F378" s="4" t="s">
        <v>25</v>
      </c>
      <c r="G378" s="4" t="s">
        <v>25</v>
      </c>
      <c r="H378" s="4" t="s">
        <v>34</v>
      </c>
      <c r="I378" s="5">
        <v>44440</v>
      </c>
      <c r="J378" s="6">
        <v>6084</v>
      </c>
      <c r="K378" s="6">
        <v>6084</v>
      </c>
      <c r="L378" s="6">
        <v>254.88300000000001</v>
      </c>
      <c r="M378" s="6">
        <v>254.88300000000001</v>
      </c>
      <c r="N378" s="6">
        <v>254.88300000000001</v>
      </c>
      <c r="O378" s="6">
        <v>254.88300000000001</v>
      </c>
      <c r="P378" s="6">
        <v>0</v>
      </c>
      <c r="Q378" s="4" t="s">
        <v>26</v>
      </c>
      <c r="R378" s="4">
        <v>0</v>
      </c>
      <c r="S378" s="4" t="s">
        <v>218</v>
      </c>
      <c r="T378" s="4" t="s">
        <v>614</v>
      </c>
      <c r="U378" s="4">
        <v>18</v>
      </c>
      <c r="V378" s="4">
        <v>22</v>
      </c>
      <c r="W378" s="4">
        <v>66</v>
      </c>
    </row>
    <row r="379" spans="1:23" ht="11.25" customHeight="1" x14ac:dyDescent="0.25">
      <c r="A379" s="4" t="s">
        <v>28</v>
      </c>
      <c r="B379" s="4" t="s">
        <v>41</v>
      </c>
      <c r="C379" s="4" t="s">
        <v>40</v>
      </c>
      <c r="D379" s="4" t="s">
        <v>43</v>
      </c>
      <c r="E379" s="4" t="s">
        <v>25</v>
      </c>
      <c r="F379" s="4" t="s">
        <v>25</v>
      </c>
      <c r="G379" s="4" t="s">
        <v>25</v>
      </c>
      <c r="H379" s="4" t="s">
        <v>34</v>
      </c>
      <c r="I379" s="5">
        <v>44440</v>
      </c>
      <c r="J379" s="6">
        <v>115</v>
      </c>
      <c r="K379" s="6">
        <v>115</v>
      </c>
      <c r="L379" s="6">
        <v>2.552</v>
      </c>
      <c r="M379" s="6">
        <v>2.552</v>
      </c>
      <c r="N379" s="6">
        <v>2.552</v>
      </c>
      <c r="O379" s="6">
        <v>2.552</v>
      </c>
      <c r="P379" s="6">
        <v>0</v>
      </c>
      <c r="Q379" s="4" t="s">
        <v>26</v>
      </c>
      <c r="R379" s="4">
        <v>0</v>
      </c>
      <c r="S379" s="4" t="s">
        <v>218</v>
      </c>
      <c r="T379" s="4" t="s">
        <v>614</v>
      </c>
      <c r="U379" s="4">
        <v>18</v>
      </c>
      <c r="V379" s="4">
        <v>22</v>
      </c>
      <c r="W379" s="4">
        <v>66</v>
      </c>
    </row>
    <row r="380" spans="1:23" ht="11.25" customHeight="1" x14ac:dyDescent="0.25">
      <c r="A380" s="4" t="s">
        <v>21</v>
      </c>
      <c r="B380" s="4" t="s">
        <v>41</v>
      </c>
      <c r="C380" s="4" t="s">
        <v>40</v>
      </c>
      <c r="D380" s="4" t="s">
        <v>43</v>
      </c>
      <c r="E380" s="4" t="s">
        <v>25</v>
      </c>
      <c r="F380" s="4" t="s">
        <v>25</v>
      </c>
      <c r="G380" s="4" t="s">
        <v>25</v>
      </c>
      <c r="H380" s="4" t="s">
        <v>34</v>
      </c>
      <c r="I380" s="5">
        <v>44470</v>
      </c>
      <c r="J380" s="6">
        <v>5786</v>
      </c>
      <c r="K380" s="6">
        <v>5786</v>
      </c>
      <c r="L380" s="6">
        <v>246.70400000000001</v>
      </c>
      <c r="M380" s="6">
        <v>246.70400000000001</v>
      </c>
      <c r="N380" s="6">
        <v>246.70400000000001</v>
      </c>
      <c r="O380" s="6">
        <v>246.70400000000001</v>
      </c>
      <c r="P380" s="6">
        <v>0</v>
      </c>
      <c r="Q380" s="4" t="s">
        <v>26</v>
      </c>
      <c r="R380" s="4">
        <v>0</v>
      </c>
      <c r="S380" s="4" t="s">
        <v>219</v>
      </c>
      <c r="T380" s="4" t="s">
        <v>615</v>
      </c>
      <c r="U380" s="4">
        <v>18</v>
      </c>
      <c r="V380" s="4">
        <v>22</v>
      </c>
      <c r="W380" s="4">
        <v>66</v>
      </c>
    </row>
    <row r="381" spans="1:23" ht="11.25" customHeight="1" x14ac:dyDescent="0.25">
      <c r="A381" s="4" t="s">
        <v>28</v>
      </c>
      <c r="B381" s="4" t="s">
        <v>41</v>
      </c>
      <c r="C381" s="4" t="s">
        <v>40</v>
      </c>
      <c r="D381" s="4" t="s">
        <v>43</v>
      </c>
      <c r="E381" s="4" t="s">
        <v>25</v>
      </c>
      <c r="F381" s="4" t="s">
        <v>25</v>
      </c>
      <c r="G381" s="4" t="s">
        <v>25</v>
      </c>
      <c r="H381" s="4" t="s">
        <v>34</v>
      </c>
      <c r="I381" s="5">
        <v>44470</v>
      </c>
      <c r="J381" s="6">
        <v>122</v>
      </c>
      <c r="K381" s="6">
        <v>122</v>
      </c>
      <c r="L381" s="6">
        <v>3.6480000000000001</v>
      </c>
      <c r="M381" s="6">
        <v>3.6480000000000001</v>
      </c>
      <c r="N381" s="6">
        <v>3.6480000000000001</v>
      </c>
      <c r="O381" s="6">
        <v>3.6480000000000001</v>
      </c>
      <c r="P381" s="6">
        <v>0</v>
      </c>
      <c r="Q381" s="4" t="s">
        <v>26</v>
      </c>
      <c r="R381" s="4">
        <v>0</v>
      </c>
      <c r="S381" s="4" t="s">
        <v>219</v>
      </c>
      <c r="T381" s="4" t="s">
        <v>615</v>
      </c>
      <c r="U381" s="4">
        <v>18</v>
      </c>
      <c r="V381" s="4">
        <v>22</v>
      </c>
      <c r="W381" s="4">
        <v>66</v>
      </c>
    </row>
    <row r="382" spans="1:23" ht="11.25" customHeight="1" x14ac:dyDescent="0.25">
      <c r="A382" s="4" t="s">
        <v>21</v>
      </c>
      <c r="B382" s="4" t="s">
        <v>41</v>
      </c>
      <c r="C382" s="4" t="s">
        <v>40</v>
      </c>
      <c r="D382" s="4" t="s">
        <v>43</v>
      </c>
      <c r="E382" s="4" t="s">
        <v>25</v>
      </c>
      <c r="F382" s="4" t="s">
        <v>25</v>
      </c>
      <c r="G382" s="4" t="s">
        <v>25</v>
      </c>
      <c r="H382" s="4" t="s">
        <v>34</v>
      </c>
      <c r="I382" s="5">
        <v>44501</v>
      </c>
      <c r="J382" s="6">
        <v>6109</v>
      </c>
      <c r="K382" s="6">
        <v>6109</v>
      </c>
      <c r="L382" s="6">
        <v>256.95400000000001</v>
      </c>
      <c r="M382" s="6">
        <v>256.95400000000001</v>
      </c>
      <c r="N382" s="6">
        <v>256.95400000000001</v>
      </c>
      <c r="O382" s="6">
        <v>256.95400000000001</v>
      </c>
      <c r="P382" s="6">
        <v>0</v>
      </c>
      <c r="Q382" s="4" t="s">
        <v>26</v>
      </c>
      <c r="R382" s="4">
        <v>0</v>
      </c>
      <c r="S382" s="4" t="s">
        <v>220</v>
      </c>
      <c r="T382" s="4" t="s">
        <v>616</v>
      </c>
      <c r="U382" s="4">
        <v>18</v>
      </c>
      <c r="V382" s="4">
        <v>22</v>
      </c>
      <c r="W382" s="4">
        <v>66</v>
      </c>
    </row>
    <row r="383" spans="1:23" ht="11.25" customHeight="1" x14ac:dyDescent="0.25">
      <c r="A383" s="4" t="s">
        <v>28</v>
      </c>
      <c r="B383" s="4" t="s">
        <v>41</v>
      </c>
      <c r="C383" s="4" t="s">
        <v>40</v>
      </c>
      <c r="D383" s="4" t="s">
        <v>43</v>
      </c>
      <c r="E383" s="4" t="s">
        <v>25</v>
      </c>
      <c r="F383" s="4" t="s">
        <v>25</v>
      </c>
      <c r="G383" s="4" t="s">
        <v>25</v>
      </c>
      <c r="H383" s="4" t="s">
        <v>34</v>
      </c>
      <c r="I383" s="5">
        <v>44501</v>
      </c>
      <c r="J383" s="6">
        <v>129</v>
      </c>
      <c r="K383" s="6">
        <v>129</v>
      </c>
      <c r="L383" s="6">
        <v>4.766</v>
      </c>
      <c r="M383" s="6">
        <v>4.766</v>
      </c>
      <c r="N383" s="6">
        <v>4.766</v>
      </c>
      <c r="O383" s="6">
        <v>4.766</v>
      </c>
      <c r="P383" s="6">
        <v>0</v>
      </c>
      <c r="Q383" s="4" t="s">
        <v>26</v>
      </c>
      <c r="R383" s="4">
        <v>0</v>
      </c>
      <c r="S383" s="4" t="s">
        <v>220</v>
      </c>
      <c r="T383" s="4" t="s">
        <v>616</v>
      </c>
      <c r="U383" s="4">
        <v>18</v>
      </c>
      <c r="V383" s="4">
        <v>22</v>
      </c>
      <c r="W383" s="4">
        <v>66</v>
      </c>
    </row>
    <row r="384" spans="1:23" ht="11.25" customHeight="1" x14ac:dyDescent="0.25">
      <c r="A384" s="4" t="s">
        <v>21</v>
      </c>
      <c r="B384" s="4" t="s">
        <v>41</v>
      </c>
      <c r="C384" s="4" t="s">
        <v>40</v>
      </c>
      <c r="D384" s="4" t="s">
        <v>43</v>
      </c>
      <c r="E384" s="4" t="s">
        <v>25</v>
      </c>
      <c r="F384" s="4" t="s">
        <v>25</v>
      </c>
      <c r="G384" s="4" t="s">
        <v>25</v>
      </c>
      <c r="H384" s="4" t="s">
        <v>34</v>
      </c>
      <c r="I384" s="5">
        <v>44531</v>
      </c>
      <c r="J384" s="6">
        <v>6571</v>
      </c>
      <c r="K384" s="6">
        <v>6571</v>
      </c>
      <c r="L384" s="6">
        <v>298.80500000000001</v>
      </c>
      <c r="M384" s="6">
        <v>298.80500000000001</v>
      </c>
      <c r="N384" s="6">
        <v>298.80500000000001</v>
      </c>
      <c r="O384" s="6">
        <v>298.80500000000001</v>
      </c>
      <c r="P384" s="6">
        <v>0</v>
      </c>
      <c r="Q384" s="4" t="s">
        <v>26</v>
      </c>
      <c r="R384" s="4">
        <v>0</v>
      </c>
      <c r="S384" s="4" t="s">
        <v>221</v>
      </c>
      <c r="T384" s="4" t="s">
        <v>617</v>
      </c>
      <c r="U384" s="4">
        <v>18</v>
      </c>
      <c r="V384" s="4">
        <v>22</v>
      </c>
      <c r="W384" s="4">
        <v>66</v>
      </c>
    </row>
    <row r="385" spans="1:23" ht="11.25" customHeight="1" x14ac:dyDescent="0.25">
      <c r="A385" s="4" t="s">
        <v>28</v>
      </c>
      <c r="B385" s="4" t="s">
        <v>41</v>
      </c>
      <c r="C385" s="4" t="s">
        <v>40</v>
      </c>
      <c r="D385" s="4" t="s">
        <v>43</v>
      </c>
      <c r="E385" s="4" t="s">
        <v>25</v>
      </c>
      <c r="F385" s="4" t="s">
        <v>25</v>
      </c>
      <c r="G385" s="4" t="s">
        <v>25</v>
      </c>
      <c r="H385" s="4" t="s">
        <v>34</v>
      </c>
      <c r="I385" s="5">
        <v>44531</v>
      </c>
      <c r="J385" s="6">
        <v>135</v>
      </c>
      <c r="K385" s="6">
        <v>135</v>
      </c>
      <c r="L385" s="6">
        <v>4.1790000000000003</v>
      </c>
      <c r="M385" s="6">
        <v>4.1790000000000003</v>
      </c>
      <c r="N385" s="6">
        <v>4.1790000000000003</v>
      </c>
      <c r="O385" s="6">
        <v>4.1790000000000003</v>
      </c>
      <c r="P385" s="6">
        <v>0</v>
      </c>
      <c r="Q385" s="4" t="s">
        <v>26</v>
      </c>
      <c r="R385" s="4">
        <v>0</v>
      </c>
      <c r="S385" s="4" t="s">
        <v>221</v>
      </c>
      <c r="T385" s="4" t="s">
        <v>617</v>
      </c>
      <c r="U385" s="4">
        <v>18</v>
      </c>
      <c r="V385" s="4">
        <v>22</v>
      </c>
      <c r="W385" s="4">
        <v>66</v>
      </c>
    </row>
    <row r="386" spans="1:23" ht="11.25" customHeight="1" x14ac:dyDescent="0.25">
      <c r="A386" s="4" t="s">
        <v>21</v>
      </c>
      <c r="B386" s="4" t="s">
        <v>41</v>
      </c>
      <c r="C386" s="4" t="s">
        <v>40</v>
      </c>
      <c r="D386" s="4" t="s">
        <v>43</v>
      </c>
      <c r="E386" s="4" t="s">
        <v>25</v>
      </c>
      <c r="F386" s="4" t="s">
        <v>25</v>
      </c>
      <c r="G386" s="4" t="s">
        <v>25</v>
      </c>
      <c r="H386" s="4" t="s">
        <v>34</v>
      </c>
      <c r="I386" s="5">
        <v>44562</v>
      </c>
      <c r="J386" s="6">
        <v>6545</v>
      </c>
      <c r="K386" s="6">
        <v>6545</v>
      </c>
      <c r="L386" s="6">
        <v>274.87299999999999</v>
      </c>
      <c r="M386" s="6">
        <v>274.87299999999999</v>
      </c>
      <c r="N386" s="6">
        <v>274.87299999999999</v>
      </c>
      <c r="O386" s="6">
        <v>274.87299999999999</v>
      </c>
      <c r="P386" s="6">
        <v>0</v>
      </c>
      <c r="Q386" s="4" t="s">
        <v>26</v>
      </c>
      <c r="R386" s="4">
        <v>0</v>
      </c>
      <c r="S386" s="4" t="s">
        <v>222</v>
      </c>
      <c r="T386" s="4" t="s">
        <v>618</v>
      </c>
      <c r="U386" s="4">
        <v>18</v>
      </c>
      <c r="V386" s="4">
        <v>22</v>
      </c>
      <c r="W386" s="4">
        <v>66</v>
      </c>
    </row>
    <row r="387" spans="1:23" ht="11.25" customHeight="1" x14ac:dyDescent="0.25">
      <c r="A387" s="4" t="s">
        <v>27</v>
      </c>
      <c r="B387" s="4" t="s">
        <v>41</v>
      </c>
      <c r="C387" s="4" t="s">
        <v>40</v>
      </c>
      <c r="D387" s="4" t="s">
        <v>43</v>
      </c>
      <c r="E387" s="4" t="s">
        <v>25</v>
      </c>
      <c r="F387" s="4" t="s">
        <v>25</v>
      </c>
      <c r="G387" s="4" t="s">
        <v>25</v>
      </c>
      <c r="H387" s="4" t="s">
        <v>34</v>
      </c>
      <c r="I387" s="5">
        <v>44562</v>
      </c>
      <c r="J387" s="6">
        <v>7</v>
      </c>
      <c r="K387" s="6">
        <v>7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4" t="s">
        <v>26</v>
      </c>
      <c r="R387" s="4">
        <v>0</v>
      </c>
      <c r="S387" s="4" t="s">
        <v>222</v>
      </c>
      <c r="T387" s="4" t="s">
        <v>618</v>
      </c>
      <c r="U387" s="4">
        <v>18</v>
      </c>
      <c r="V387" s="4">
        <v>0</v>
      </c>
      <c r="W387" s="4">
        <v>0</v>
      </c>
    </row>
    <row r="388" spans="1:23" ht="11.25" customHeight="1" x14ac:dyDescent="0.25">
      <c r="A388" s="4" t="s">
        <v>28</v>
      </c>
      <c r="B388" s="4" t="s">
        <v>41</v>
      </c>
      <c r="C388" s="4" t="s">
        <v>40</v>
      </c>
      <c r="D388" s="4" t="s">
        <v>43</v>
      </c>
      <c r="E388" s="4" t="s">
        <v>25</v>
      </c>
      <c r="F388" s="4" t="s">
        <v>25</v>
      </c>
      <c r="G388" s="4" t="s">
        <v>25</v>
      </c>
      <c r="H388" s="4" t="s">
        <v>34</v>
      </c>
      <c r="I388" s="5">
        <v>44562</v>
      </c>
      <c r="J388" s="6">
        <v>338</v>
      </c>
      <c r="K388" s="6">
        <v>338</v>
      </c>
      <c r="L388" s="6">
        <v>14.587999999999999</v>
      </c>
      <c r="M388" s="6">
        <v>14.587999999999999</v>
      </c>
      <c r="N388" s="6">
        <v>14.587999999999999</v>
      </c>
      <c r="O388" s="6">
        <v>14.587999999999999</v>
      </c>
      <c r="P388" s="6">
        <v>0</v>
      </c>
      <c r="Q388" s="4" t="s">
        <v>26</v>
      </c>
      <c r="R388" s="4">
        <v>0</v>
      </c>
      <c r="S388" s="4" t="s">
        <v>222</v>
      </c>
      <c r="T388" s="4" t="s">
        <v>618</v>
      </c>
      <c r="U388" s="4">
        <v>18</v>
      </c>
      <c r="V388" s="4">
        <v>22</v>
      </c>
      <c r="W388" s="4">
        <v>66</v>
      </c>
    </row>
    <row r="389" spans="1:23" ht="11.25" customHeight="1" x14ac:dyDescent="0.25">
      <c r="A389" s="4" t="s">
        <v>21</v>
      </c>
      <c r="B389" s="4" t="s">
        <v>41</v>
      </c>
      <c r="C389" s="4" t="s">
        <v>40</v>
      </c>
      <c r="D389" s="4" t="s">
        <v>43</v>
      </c>
      <c r="E389" s="4" t="s">
        <v>25</v>
      </c>
      <c r="F389" s="4" t="s">
        <v>25</v>
      </c>
      <c r="G389" s="4" t="s">
        <v>25</v>
      </c>
      <c r="H389" s="4" t="s">
        <v>34</v>
      </c>
      <c r="I389" s="5">
        <v>44593</v>
      </c>
      <c r="J389" s="6">
        <v>6769</v>
      </c>
      <c r="K389" s="6">
        <v>6769</v>
      </c>
      <c r="L389" s="6">
        <v>270.89</v>
      </c>
      <c r="M389" s="6">
        <v>270.89</v>
      </c>
      <c r="N389" s="6">
        <v>270.89</v>
      </c>
      <c r="O389" s="6">
        <v>270.89</v>
      </c>
      <c r="P389" s="6">
        <v>0</v>
      </c>
      <c r="Q389" s="4" t="s">
        <v>26</v>
      </c>
      <c r="R389" s="4">
        <v>0</v>
      </c>
      <c r="S389" s="4" t="s">
        <v>223</v>
      </c>
      <c r="T389" s="4" t="s">
        <v>619</v>
      </c>
      <c r="U389" s="4">
        <v>18</v>
      </c>
      <c r="V389" s="4">
        <v>22</v>
      </c>
      <c r="W389" s="4">
        <v>66</v>
      </c>
    </row>
    <row r="390" spans="1:23" ht="11.25" customHeight="1" x14ac:dyDescent="0.25">
      <c r="A390" s="4" t="s">
        <v>28</v>
      </c>
      <c r="B390" s="4" t="s">
        <v>41</v>
      </c>
      <c r="C390" s="4" t="s">
        <v>40</v>
      </c>
      <c r="D390" s="4" t="s">
        <v>43</v>
      </c>
      <c r="E390" s="4" t="s">
        <v>25</v>
      </c>
      <c r="F390" s="4" t="s">
        <v>25</v>
      </c>
      <c r="G390" s="4" t="s">
        <v>25</v>
      </c>
      <c r="H390" s="4" t="s">
        <v>34</v>
      </c>
      <c r="I390" s="5">
        <v>44593</v>
      </c>
      <c r="J390" s="6">
        <v>332</v>
      </c>
      <c r="K390" s="6">
        <v>332</v>
      </c>
      <c r="L390" s="6">
        <v>13.218999999999999</v>
      </c>
      <c r="M390" s="6">
        <v>13.218999999999999</v>
      </c>
      <c r="N390" s="6">
        <v>13.218999999999999</v>
      </c>
      <c r="O390" s="6">
        <v>13.218999999999999</v>
      </c>
      <c r="P390" s="6">
        <v>0</v>
      </c>
      <c r="Q390" s="4" t="s">
        <v>26</v>
      </c>
      <c r="R390" s="4">
        <v>0</v>
      </c>
      <c r="S390" s="4" t="s">
        <v>223</v>
      </c>
      <c r="T390" s="4" t="s">
        <v>619</v>
      </c>
      <c r="U390" s="4">
        <v>18</v>
      </c>
      <c r="V390" s="4">
        <v>22</v>
      </c>
      <c r="W390" s="4">
        <v>66</v>
      </c>
    </row>
    <row r="391" spans="1:23" ht="11.25" customHeight="1" x14ac:dyDescent="0.25">
      <c r="A391" s="4" t="s">
        <v>21</v>
      </c>
      <c r="B391" s="4" t="s">
        <v>41</v>
      </c>
      <c r="C391" s="4" t="s">
        <v>40</v>
      </c>
      <c r="D391" s="4" t="s">
        <v>43</v>
      </c>
      <c r="E391" s="4" t="s">
        <v>25</v>
      </c>
      <c r="F391" s="4" t="s">
        <v>25</v>
      </c>
      <c r="G391" s="4" t="s">
        <v>25</v>
      </c>
      <c r="H391" s="4" t="s">
        <v>34</v>
      </c>
      <c r="I391" s="5">
        <v>44621</v>
      </c>
      <c r="J391" s="6">
        <v>6831</v>
      </c>
      <c r="K391" s="6">
        <v>6831</v>
      </c>
      <c r="L391" s="6">
        <v>295.435</v>
      </c>
      <c r="M391" s="6">
        <v>295.435</v>
      </c>
      <c r="N391" s="6">
        <v>295.435</v>
      </c>
      <c r="O391" s="6">
        <v>295.435</v>
      </c>
      <c r="P391" s="6">
        <v>0</v>
      </c>
      <c r="Q391" s="4" t="s">
        <v>26</v>
      </c>
      <c r="R391" s="4">
        <v>0</v>
      </c>
      <c r="S391" s="4" t="s">
        <v>224</v>
      </c>
      <c r="T391" s="4" t="s">
        <v>620</v>
      </c>
      <c r="U391" s="4">
        <v>18</v>
      </c>
      <c r="V391" s="4">
        <v>22</v>
      </c>
      <c r="W391" s="4">
        <v>66</v>
      </c>
    </row>
    <row r="392" spans="1:23" ht="11.25" customHeight="1" x14ac:dyDescent="0.25">
      <c r="A392" s="4" t="s">
        <v>28</v>
      </c>
      <c r="B392" s="4" t="s">
        <v>41</v>
      </c>
      <c r="C392" s="4" t="s">
        <v>40</v>
      </c>
      <c r="D392" s="4" t="s">
        <v>43</v>
      </c>
      <c r="E392" s="4" t="s">
        <v>25</v>
      </c>
      <c r="F392" s="4" t="s">
        <v>25</v>
      </c>
      <c r="G392" s="4" t="s">
        <v>25</v>
      </c>
      <c r="H392" s="4" t="s">
        <v>34</v>
      </c>
      <c r="I392" s="5">
        <v>44621</v>
      </c>
      <c r="J392" s="6">
        <v>260</v>
      </c>
      <c r="K392" s="6">
        <v>260</v>
      </c>
      <c r="L392" s="6">
        <v>11.763</v>
      </c>
      <c r="M392" s="6">
        <v>11.763</v>
      </c>
      <c r="N392" s="6">
        <v>11.763</v>
      </c>
      <c r="O392" s="6">
        <v>11.763</v>
      </c>
      <c r="P392" s="6">
        <v>0</v>
      </c>
      <c r="Q392" s="4" t="s">
        <v>26</v>
      </c>
      <c r="R392" s="4">
        <v>0</v>
      </c>
      <c r="S392" s="4" t="s">
        <v>224</v>
      </c>
      <c r="T392" s="4" t="s">
        <v>620</v>
      </c>
      <c r="U392" s="4">
        <v>18</v>
      </c>
      <c r="V392" s="4">
        <v>22</v>
      </c>
      <c r="W392" s="4">
        <v>66</v>
      </c>
    </row>
    <row r="393" spans="1:23" ht="11.25" customHeight="1" x14ac:dyDescent="0.25">
      <c r="A393" s="4" t="s">
        <v>21</v>
      </c>
      <c r="B393" s="4" t="s">
        <v>41</v>
      </c>
      <c r="C393" s="4" t="s">
        <v>40</v>
      </c>
      <c r="D393" s="4" t="s">
        <v>43</v>
      </c>
      <c r="E393" s="4" t="s">
        <v>25</v>
      </c>
      <c r="F393" s="4" t="s">
        <v>25</v>
      </c>
      <c r="G393" s="4" t="s">
        <v>25</v>
      </c>
      <c r="H393" s="4" t="s">
        <v>34</v>
      </c>
      <c r="I393" s="5">
        <v>44652</v>
      </c>
      <c r="J393" s="6">
        <v>6993</v>
      </c>
      <c r="K393" s="6">
        <v>6993</v>
      </c>
      <c r="L393" s="6">
        <v>264.53500000000003</v>
      </c>
      <c r="M393" s="6">
        <v>264.53500000000003</v>
      </c>
      <c r="N393" s="6">
        <v>264.53500000000003</v>
      </c>
      <c r="O393" s="6">
        <v>264.53500000000003</v>
      </c>
      <c r="P393" s="6">
        <v>0</v>
      </c>
      <c r="Q393" s="4" t="s">
        <v>26</v>
      </c>
      <c r="R393" s="4">
        <v>0</v>
      </c>
      <c r="S393" s="4" t="s">
        <v>225</v>
      </c>
      <c r="T393" s="4" t="s">
        <v>621</v>
      </c>
      <c r="U393" s="4">
        <v>18</v>
      </c>
      <c r="V393" s="4">
        <v>22</v>
      </c>
      <c r="W393" s="4">
        <v>66</v>
      </c>
    </row>
    <row r="394" spans="1:23" ht="11.25" customHeight="1" x14ac:dyDescent="0.25">
      <c r="A394" s="4" t="s">
        <v>27</v>
      </c>
      <c r="B394" s="4" t="s">
        <v>41</v>
      </c>
      <c r="C394" s="4" t="s">
        <v>40</v>
      </c>
      <c r="D394" s="4" t="s">
        <v>43</v>
      </c>
      <c r="E394" s="4" t="s">
        <v>25</v>
      </c>
      <c r="F394" s="4" t="s">
        <v>25</v>
      </c>
      <c r="G394" s="4" t="s">
        <v>25</v>
      </c>
      <c r="H394" s="4" t="s">
        <v>34</v>
      </c>
      <c r="I394" s="5">
        <v>44652</v>
      </c>
      <c r="J394" s="6">
        <v>0</v>
      </c>
      <c r="K394" s="6">
        <v>0</v>
      </c>
      <c r="L394" s="6">
        <v>-0.50900000000000001</v>
      </c>
      <c r="M394" s="6">
        <v>-0.50900000000000001</v>
      </c>
      <c r="N394" s="6">
        <v>-0.50900000000000001</v>
      </c>
      <c r="O394" s="6">
        <v>-0.50900000000000001</v>
      </c>
      <c r="P394" s="6">
        <v>0</v>
      </c>
      <c r="Q394" s="4" t="s">
        <v>26</v>
      </c>
      <c r="R394" s="4">
        <v>0</v>
      </c>
      <c r="S394" s="4" t="s">
        <v>225</v>
      </c>
      <c r="T394" s="4" t="s">
        <v>621</v>
      </c>
      <c r="U394" s="4">
        <v>0</v>
      </c>
      <c r="V394" s="4">
        <v>22</v>
      </c>
      <c r="W394" s="4">
        <v>66</v>
      </c>
    </row>
    <row r="395" spans="1:23" ht="11.25" customHeight="1" x14ac:dyDescent="0.25">
      <c r="A395" s="4" t="s">
        <v>28</v>
      </c>
      <c r="B395" s="4" t="s">
        <v>41</v>
      </c>
      <c r="C395" s="4" t="s">
        <v>40</v>
      </c>
      <c r="D395" s="4" t="s">
        <v>43</v>
      </c>
      <c r="E395" s="4" t="s">
        <v>25</v>
      </c>
      <c r="F395" s="4" t="s">
        <v>25</v>
      </c>
      <c r="G395" s="4" t="s">
        <v>25</v>
      </c>
      <c r="H395" s="4" t="s">
        <v>34</v>
      </c>
      <c r="I395" s="5">
        <v>44652</v>
      </c>
      <c r="J395" s="6">
        <v>255</v>
      </c>
      <c r="K395" s="6">
        <v>255</v>
      </c>
      <c r="L395" s="6">
        <v>10.176</v>
      </c>
      <c r="M395" s="6">
        <v>10.176</v>
      </c>
      <c r="N395" s="6">
        <v>10.176</v>
      </c>
      <c r="O395" s="6">
        <v>10.176</v>
      </c>
      <c r="P395" s="6">
        <v>0</v>
      </c>
      <c r="Q395" s="4" t="s">
        <v>26</v>
      </c>
      <c r="R395" s="4">
        <v>0</v>
      </c>
      <c r="S395" s="4" t="s">
        <v>225</v>
      </c>
      <c r="T395" s="4" t="s">
        <v>621</v>
      </c>
      <c r="U395" s="4">
        <v>18</v>
      </c>
      <c r="V395" s="4">
        <v>22</v>
      </c>
      <c r="W395" s="4">
        <v>66</v>
      </c>
    </row>
    <row r="396" spans="1:23" ht="11.25" customHeight="1" x14ac:dyDescent="0.25">
      <c r="A396" s="4" t="s">
        <v>21</v>
      </c>
      <c r="B396" s="4" t="s">
        <v>41</v>
      </c>
      <c r="C396" s="4" t="s">
        <v>40</v>
      </c>
      <c r="D396" s="4" t="s">
        <v>43</v>
      </c>
      <c r="E396" s="4" t="s">
        <v>25</v>
      </c>
      <c r="F396" s="4" t="s">
        <v>25</v>
      </c>
      <c r="G396" s="4" t="s">
        <v>25</v>
      </c>
      <c r="H396" s="4" t="s">
        <v>34</v>
      </c>
      <c r="I396" s="5">
        <v>44682</v>
      </c>
      <c r="J396" s="6">
        <v>6752</v>
      </c>
      <c r="K396" s="6">
        <v>6752</v>
      </c>
      <c r="L396" s="6">
        <v>278.20499999999998</v>
      </c>
      <c r="M396" s="6">
        <v>278.20499999999998</v>
      </c>
      <c r="N396" s="6">
        <v>278.20499999999998</v>
      </c>
      <c r="O396" s="6">
        <v>278.20499999999998</v>
      </c>
      <c r="P396" s="6">
        <v>0</v>
      </c>
      <c r="Q396" s="4" t="s">
        <v>26</v>
      </c>
      <c r="R396" s="4">
        <v>0</v>
      </c>
      <c r="S396" s="4" t="s">
        <v>226</v>
      </c>
      <c r="T396" s="4" t="s">
        <v>622</v>
      </c>
      <c r="U396" s="4">
        <v>18</v>
      </c>
      <c r="V396" s="4">
        <v>22</v>
      </c>
      <c r="W396" s="4">
        <v>66</v>
      </c>
    </row>
    <row r="397" spans="1:23" ht="11.25" customHeight="1" x14ac:dyDescent="0.25">
      <c r="A397" s="4" t="s">
        <v>27</v>
      </c>
      <c r="B397" s="4" t="s">
        <v>41</v>
      </c>
      <c r="C397" s="4" t="s">
        <v>40</v>
      </c>
      <c r="D397" s="4" t="s">
        <v>43</v>
      </c>
      <c r="E397" s="4" t="s">
        <v>25</v>
      </c>
      <c r="F397" s="4" t="s">
        <v>25</v>
      </c>
      <c r="G397" s="4" t="s">
        <v>25</v>
      </c>
      <c r="H397" s="4" t="s">
        <v>34</v>
      </c>
      <c r="I397" s="5">
        <v>44682</v>
      </c>
      <c r="J397" s="6">
        <v>-48</v>
      </c>
      <c r="K397" s="6">
        <v>-48</v>
      </c>
      <c r="L397" s="6">
        <v>-1.282</v>
      </c>
      <c r="M397" s="6">
        <v>-1.282</v>
      </c>
      <c r="N397" s="6">
        <v>-1.282</v>
      </c>
      <c r="O397" s="6">
        <v>-1.282</v>
      </c>
      <c r="P397" s="6">
        <v>0</v>
      </c>
      <c r="Q397" s="4" t="s">
        <v>26</v>
      </c>
      <c r="R397" s="4">
        <v>0</v>
      </c>
      <c r="S397" s="4" t="s">
        <v>226</v>
      </c>
      <c r="T397" s="4" t="s">
        <v>622</v>
      </c>
      <c r="U397" s="4">
        <v>18</v>
      </c>
      <c r="V397" s="4">
        <v>22</v>
      </c>
      <c r="W397" s="4">
        <v>66</v>
      </c>
    </row>
    <row r="398" spans="1:23" ht="11.25" customHeight="1" x14ac:dyDescent="0.25">
      <c r="A398" s="4" t="s">
        <v>28</v>
      </c>
      <c r="B398" s="4" t="s">
        <v>41</v>
      </c>
      <c r="C398" s="4" t="s">
        <v>40</v>
      </c>
      <c r="D398" s="4" t="s">
        <v>43</v>
      </c>
      <c r="E398" s="4" t="s">
        <v>25</v>
      </c>
      <c r="F398" s="4" t="s">
        <v>25</v>
      </c>
      <c r="G398" s="4" t="s">
        <v>25</v>
      </c>
      <c r="H398" s="4" t="s">
        <v>34</v>
      </c>
      <c r="I398" s="5">
        <v>44682</v>
      </c>
      <c r="J398" s="6">
        <v>514</v>
      </c>
      <c r="K398" s="6">
        <v>514</v>
      </c>
      <c r="L398" s="6">
        <v>16.263999999999999</v>
      </c>
      <c r="M398" s="6">
        <v>16.263999999999999</v>
      </c>
      <c r="N398" s="6">
        <v>16.263999999999999</v>
      </c>
      <c r="O398" s="6">
        <v>16.263999999999999</v>
      </c>
      <c r="P398" s="6">
        <v>0</v>
      </c>
      <c r="Q398" s="4" t="s">
        <v>26</v>
      </c>
      <c r="R398" s="4">
        <v>0</v>
      </c>
      <c r="S398" s="4" t="s">
        <v>226</v>
      </c>
      <c r="T398" s="4" t="s">
        <v>622</v>
      </c>
      <c r="U398" s="4">
        <v>18</v>
      </c>
      <c r="V398" s="4">
        <v>22</v>
      </c>
      <c r="W398" s="4">
        <v>66</v>
      </c>
    </row>
    <row r="399" spans="1:23" ht="11.25" customHeight="1" x14ac:dyDescent="0.25">
      <c r="A399" s="4" t="s">
        <v>21</v>
      </c>
      <c r="B399" s="4" t="s">
        <v>41</v>
      </c>
      <c r="C399" s="4" t="s">
        <v>40</v>
      </c>
      <c r="D399" s="4" t="s">
        <v>43</v>
      </c>
      <c r="E399" s="4" t="s">
        <v>25</v>
      </c>
      <c r="F399" s="4" t="s">
        <v>25</v>
      </c>
      <c r="G399" s="4" t="s">
        <v>25</v>
      </c>
      <c r="H399" s="4" t="s">
        <v>34</v>
      </c>
      <c r="I399" s="5">
        <v>44713</v>
      </c>
      <c r="J399" s="6">
        <v>6464</v>
      </c>
      <c r="K399" s="6">
        <v>6464</v>
      </c>
      <c r="L399" s="6">
        <v>248.37100000000001</v>
      </c>
      <c r="M399" s="6">
        <v>248.37100000000001</v>
      </c>
      <c r="N399" s="6">
        <v>248.37100000000001</v>
      </c>
      <c r="O399" s="6">
        <v>248.37100000000001</v>
      </c>
      <c r="P399" s="6">
        <v>0</v>
      </c>
      <c r="Q399" s="4" t="s">
        <v>26</v>
      </c>
      <c r="R399" s="4">
        <v>0</v>
      </c>
      <c r="S399" s="4" t="s">
        <v>227</v>
      </c>
      <c r="T399" s="4" t="s">
        <v>623</v>
      </c>
      <c r="U399" s="4">
        <v>18</v>
      </c>
      <c r="V399" s="4">
        <v>22</v>
      </c>
      <c r="W399" s="4">
        <v>66</v>
      </c>
    </row>
    <row r="400" spans="1:23" ht="11.25" customHeight="1" x14ac:dyDescent="0.25">
      <c r="A400" s="4" t="s">
        <v>28</v>
      </c>
      <c r="B400" s="4" t="s">
        <v>41</v>
      </c>
      <c r="C400" s="4" t="s">
        <v>40</v>
      </c>
      <c r="D400" s="4" t="s">
        <v>43</v>
      </c>
      <c r="E400" s="4" t="s">
        <v>25</v>
      </c>
      <c r="F400" s="4" t="s">
        <v>25</v>
      </c>
      <c r="G400" s="4" t="s">
        <v>25</v>
      </c>
      <c r="H400" s="4" t="s">
        <v>34</v>
      </c>
      <c r="I400" s="5">
        <v>44713</v>
      </c>
      <c r="J400" s="6">
        <v>557</v>
      </c>
      <c r="K400" s="6">
        <v>557</v>
      </c>
      <c r="L400" s="6">
        <v>13.986000000000001</v>
      </c>
      <c r="M400" s="6">
        <v>13.986000000000001</v>
      </c>
      <c r="N400" s="6">
        <v>13.986000000000001</v>
      </c>
      <c r="O400" s="6">
        <v>13.986000000000001</v>
      </c>
      <c r="P400" s="6">
        <v>0</v>
      </c>
      <c r="Q400" s="4" t="s">
        <v>26</v>
      </c>
      <c r="R400" s="4">
        <v>0</v>
      </c>
      <c r="S400" s="4" t="s">
        <v>227</v>
      </c>
      <c r="T400" s="4" t="s">
        <v>623</v>
      </c>
      <c r="U400" s="4">
        <v>18</v>
      </c>
      <c r="V400" s="4">
        <v>22</v>
      </c>
      <c r="W400" s="4">
        <v>66</v>
      </c>
    </row>
    <row r="401" spans="1:23" ht="11.25" customHeight="1" x14ac:dyDescent="0.25">
      <c r="A401" s="4" t="s">
        <v>57</v>
      </c>
      <c r="B401" s="4" t="s">
        <v>41</v>
      </c>
      <c r="C401" s="4" t="s">
        <v>40</v>
      </c>
      <c r="D401" s="4" t="s">
        <v>43</v>
      </c>
      <c r="E401" s="4" t="s">
        <v>25</v>
      </c>
      <c r="F401" s="4" t="s">
        <v>25</v>
      </c>
      <c r="G401" s="4" t="s">
        <v>25</v>
      </c>
      <c r="H401" s="4" t="s">
        <v>34</v>
      </c>
      <c r="I401" s="5">
        <v>44743</v>
      </c>
      <c r="J401" s="6">
        <v>6464</v>
      </c>
      <c r="K401" s="6">
        <v>6464</v>
      </c>
      <c r="L401" s="6">
        <v>248.37100000000001</v>
      </c>
      <c r="M401" s="6">
        <v>248.37100000000001</v>
      </c>
      <c r="N401" s="6">
        <v>248.37100000000001</v>
      </c>
      <c r="O401" s="6">
        <v>248.37100000000001</v>
      </c>
      <c r="P401" s="6">
        <v>0</v>
      </c>
      <c r="Q401" s="4" t="s">
        <v>26</v>
      </c>
      <c r="R401" s="4">
        <v>0</v>
      </c>
      <c r="S401" s="4" t="s">
        <v>228</v>
      </c>
      <c r="T401" s="4" t="s">
        <v>624</v>
      </c>
      <c r="U401" s="4">
        <v>18</v>
      </c>
      <c r="V401" s="4">
        <v>22</v>
      </c>
      <c r="W401" s="4">
        <v>66</v>
      </c>
    </row>
    <row r="402" spans="1:23" ht="11.25" customHeight="1" x14ac:dyDescent="0.25">
      <c r="A402" s="4" t="s">
        <v>57</v>
      </c>
      <c r="B402" s="4" t="s">
        <v>41</v>
      </c>
      <c r="C402" s="4" t="s">
        <v>40</v>
      </c>
      <c r="D402" s="4" t="s">
        <v>43</v>
      </c>
      <c r="E402" s="4" t="s">
        <v>25</v>
      </c>
      <c r="F402" s="4" t="s">
        <v>25</v>
      </c>
      <c r="G402" s="4" t="s">
        <v>25</v>
      </c>
      <c r="H402" s="4" t="s">
        <v>34</v>
      </c>
      <c r="I402" s="5">
        <v>44743</v>
      </c>
      <c r="J402" s="6">
        <v>557</v>
      </c>
      <c r="K402" s="6">
        <v>557</v>
      </c>
      <c r="L402" s="6">
        <v>13.986000000000001</v>
      </c>
      <c r="M402" s="6">
        <v>13.986000000000001</v>
      </c>
      <c r="N402" s="6">
        <v>13.986000000000001</v>
      </c>
      <c r="O402" s="6">
        <v>13.986000000000001</v>
      </c>
      <c r="P402" s="6">
        <v>0</v>
      </c>
      <c r="Q402" s="4" t="s">
        <v>26</v>
      </c>
      <c r="R402" s="4">
        <v>0</v>
      </c>
      <c r="S402" s="4" t="s">
        <v>228</v>
      </c>
      <c r="T402" s="4" t="s">
        <v>624</v>
      </c>
      <c r="U402" s="4">
        <v>18</v>
      </c>
      <c r="V402" s="4">
        <v>22</v>
      </c>
      <c r="W402" s="4">
        <v>66</v>
      </c>
    </row>
    <row r="403" spans="1:23" ht="11.25" customHeight="1" x14ac:dyDescent="0.25">
      <c r="A403" s="4" t="s">
        <v>21</v>
      </c>
      <c r="B403" s="4" t="s">
        <v>41</v>
      </c>
      <c r="C403" s="4" t="s">
        <v>40</v>
      </c>
      <c r="D403" s="4" t="s">
        <v>38</v>
      </c>
      <c r="E403" s="4" t="s">
        <v>25</v>
      </c>
      <c r="F403" s="4" t="s">
        <v>61</v>
      </c>
      <c r="G403" s="4" t="s">
        <v>25</v>
      </c>
      <c r="H403" s="4" t="s">
        <v>35</v>
      </c>
      <c r="I403" s="5">
        <v>44409</v>
      </c>
      <c r="J403" s="6">
        <v>14719</v>
      </c>
      <c r="K403" s="6">
        <v>7359.5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4" t="s">
        <v>58</v>
      </c>
      <c r="R403" s="4">
        <v>0</v>
      </c>
      <c r="S403" s="4" t="s">
        <v>204</v>
      </c>
      <c r="U403" s="4">
        <v>20</v>
      </c>
      <c r="V403" s="4">
        <v>0</v>
      </c>
      <c r="W403" s="4">
        <v>0</v>
      </c>
    </row>
    <row r="404" spans="1:23" ht="11.25" customHeight="1" x14ac:dyDescent="0.25">
      <c r="A404" s="4" t="s">
        <v>21</v>
      </c>
      <c r="B404" s="4" t="s">
        <v>41</v>
      </c>
      <c r="C404" s="4" t="s">
        <v>40</v>
      </c>
      <c r="D404" s="4" t="s">
        <v>38</v>
      </c>
      <c r="E404" s="4" t="s">
        <v>25</v>
      </c>
      <c r="F404" s="4" t="s">
        <v>61</v>
      </c>
      <c r="G404" s="4" t="s">
        <v>25</v>
      </c>
      <c r="H404" s="4" t="s">
        <v>35</v>
      </c>
      <c r="I404" s="5">
        <v>44440</v>
      </c>
      <c r="J404" s="6">
        <v>14708</v>
      </c>
      <c r="K404" s="6">
        <v>7354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4" t="s">
        <v>58</v>
      </c>
      <c r="R404" s="4">
        <v>0</v>
      </c>
      <c r="S404" s="4" t="s">
        <v>205</v>
      </c>
      <c r="U404" s="4">
        <v>20</v>
      </c>
      <c r="V404" s="4">
        <v>0</v>
      </c>
      <c r="W404" s="4">
        <v>0</v>
      </c>
    </row>
    <row r="405" spans="1:23" ht="11.25" customHeight="1" x14ac:dyDescent="0.25">
      <c r="A405" s="4" t="s">
        <v>21</v>
      </c>
      <c r="B405" s="4" t="s">
        <v>41</v>
      </c>
      <c r="C405" s="4" t="s">
        <v>40</v>
      </c>
      <c r="D405" s="4" t="s">
        <v>38</v>
      </c>
      <c r="E405" s="4" t="s">
        <v>25</v>
      </c>
      <c r="F405" s="4" t="s">
        <v>61</v>
      </c>
      <c r="G405" s="4" t="s">
        <v>25</v>
      </c>
      <c r="H405" s="4" t="s">
        <v>35</v>
      </c>
      <c r="I405" s="5">
        <v>44470</v>
      </c>
      <c r="J405" s="6">
        <v>14677</v>
      </c>
      <c r="K405" s="6">
        <v>8806.2000000000007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4" t="s">
        <v>58</v>
      </c>
      <c r="R405" s="4">
        <v>0</v>
      </c>
      <c r="S405" s="4" t="s">
        <v>206</v>
      </c>
      <c r="U405" s="4">
        <v>20</v>
      </c>
      <c r="V405" s="4">
        <v>0</v>
      </c>
      <c r="W405" s="4">
        <v>0</v>
      </c>
    </row>
    <row r="406" spans="1:23" ht="11.25" customHeight="1" x14ac:dyDescent="0.25">
      <c r="A406" s="4" t="s">
        <v>21</v>
      </c>
      <c r="B406" s="4" t="s">
        <v>41</v>
      </c>
      <c r="C406" s="4" t="s">
        <v>40</v>
      </c>
      <c r="D406" s="4" t="s">
        <v>38</v>
      </c>
      <c r="E406" s="4" t="s">
        <v>25</v>
      </c>
      <c r="F406" s="4" t="s">
        <v>61</v>
      </c>
      <c r="G406" s="4" t="s">
        <v>25</v>
      </c>
      <c r="H406" s="4" t="s">
        <v>35</v>
      </c>
      <c r="I406" s="5">
        <v>44501</v>
      </c>
      <c r="J406" s="6">
        <v>18485</v>
      </c>
      <c r="K406" s="6">
        <v>9242.5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4" t="s">
        <v>58</v>
      </c>
      <c r="R406" s="4">
        <v>0</v>
      </c>
      <c r="S406" s="4" t="s">
        <v>207</v>
      </c>
      <c r="U406" s="4">
        <v>20</v>
      </c>
      <c r="V406" s="4">
        <v>0</v>
      </c>
      <c r="W406" s="4">
        <v>0</v>
      </c>
    </row>
    <row r="407" spans="1:23" ht="11.25" customHeight="1" x14ac:dyDescent="0.25">
      <c r="A407" s="4" t="s">
        <v>21</v>
      </c>
      <c r="B407" s="4" t="s">
        <v>41</v>
      </c>
      <c r="C407" s="4" t="s">
        <v>40</v>
      </c>
      <c r="D407" s="4" t="s">
        <v>38</v>
      </c>
      <c r="E407" s="4" t="s">
        <v>25</v>
      </c>
      <c r="F407" s="4" t="s">
        <v>61</v>
      </c>
      <c r="G407" s="4" t="s">
        <v>25</v>
      </c>
      <c r="H407" s="4" t="s">
        <v>35</v>
      </c>
      <c r="I407" s="5">
        <v>44531</v>
      </c>
      <c r="J407" s="6">
        <v>18851</v>
      </c>
      <c r="K407" s="6">
        <v>9236.99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4" t="s">
        <v>58</v>
      </c>
      <c r="R407" s="4">
        <v>0</v>
      </c>
      <c r="S407" s="4" t="s">
        <v>208</v>
      </c>
      <c r="U407" s="4">
        <v>20</v>
      </c>
      <c r="V407" s="4">
        <v>0</v>
      </c>
      <c r="W407" s="4">
        <v>0</v>
      </c>
    </row>
    <row r="408" spans="1:23" ht="11.25" customHeight="1" x14ac:dyDescent="0.25">
      <c r="A408" s="4" t="s">
        <v>21</v>
      </c>
      <c r="B408" s="4" t="s">
        <v>41</v>
      </c>
      <c r="C408" s="4" t="s">
        <v>40</v>
      </c>
      <c r="D408" s="4" t="s">
        <v>38</v>
      </c>
      <c r="E408" s="4" t="s">
        <v>25</v>
      </c>
      <c r="F408" s="4" t="s">
        <v>61</v>
      </c>
      <c r="G408" s="4" t="s">
        <v>25</v>
      </c>
      <c r="H408" s="4" t="s">
        <v>35</v>
      </c>
      <c r="I408" s="5">
        <v>44562</v>
      </c>
      <c r="J408" s="6">
        <v>18785</v>
      </c>
      <c r="K408" s="6">
        <v>9204.65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4" t="s">
        <v>58</v>
      </c>
      <c r="R408" s="4">
        <v>0</v>
      </c>
      <c r="S408" s="4" t="s">
        <v>209</v>
      </c>
      <c r="U408" s="4">
        <v>20</v>
      </c>
      <c r="V408" s="4">
        <v>0</v>
      </c>
      <c r="W408" s="4">
        <v>0</v>
      </c>
    </row>
    <row r="409" spans="1:23" ht="11.25" customHeight="1" x14ac:dyDescent="0.25">
      <c r="A409" s="4" t="s">
        <v>21</v>
      </c>
      <c r="B409" s="4" t="s">
        <v>41</v>
      </c>
      <c r="C409" s="4" t="s">
        <v>40</v>
      </c>
      <c r="D409" s="4" t="s">
        <v>38</v>
      </c>
      <c r="E409" s="4" t="s">
        <v>25</v>
      </c>
      <c r="F409" s="4" t="s">
        <v>61</v>
      </c>
      <c r="G409" s="4" t="s">
        <v>25</v>
      </c>
      <c r="H409" s="4" t="s">
        <v>35</v>
      </c>
      <c r="I409" s="5">
        <v>44593</v>
      </c>
      <c r="J409" s="6">
        <v>18838</v>
      </c>
      <c r="K409" s="6">
        <v>9230.6200000000008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4" t="s">
        <v>58</v>
      </c>
      <c r="R409" s="4">
        <v>0</v>
      </c>
      <c r="S409" s="4" t="s">
        <v>210</v>
      </c>
      <c r="U409" s="4">
        <v>20</v>
      </c>
      <c r="V409" s="4">
        <v>0</v>
      </c>
      <c r="W409" s="4">
        <v>0</v>
      </c>
    </row>
    <row r="410" spans="1:23" ht="11.25" customHeight="1" x14ac:dyDescent="0.25">
      <c r="A410" s="4" t="s">
        <v>21</v>
      </c>
      <c r="B410" s="4" t="s">
        <v>41</v>
      </c>
      <c r="C410" s="4" t="s">
        <v>40</v>
      </c>
      <c r="D410" s="4" t="s">
        <v>38</v>
      </c>
      <c r="E410" s="4" t="s">
        <v>25</v>
      </c>
      <c r="F410" s="4" t="s">
        <v>61</v>
      </c>
      <c r="G410" s="4" t="s">
        <v>25</v>
      </c>
      <c r="H410" s="4" t="s">
        <v>35</v>
      </c>
      <c r="I410" s="5">
        <v>44621</v>
      </c>
      <c r="J410" s="6">
        <v>18847</v>
      </c>
      <c r="K410" s="6">
        <v>9235.0300000000007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4" t="s">
        <v>58</v>
      </c>
      <c r="R410" s="4">
        <v>0</v>
      </c>
      <c r="S410" s="4" t="s">
        <v>211</v>
      </c>
      <c r="U410" s="4">
        <v>20</v>
      </c>
      <c r="V410" s="4">
        <v>0</v>
      </c>
      <c r="W410" s="4">
        <v>0</v>
      </c>
    </row>
    <row r="411" spans="1:23" ht="11.25" customHeight="1" x14ac:dyDescent="0.25">
      <c r="A411" s="4" t="s">
        <v>21</v>
      </c>
      <c r="B411" s="4" t="s">
        <v>41</v>
      </c>
      <c r="C411" s="4" t="s">
        <v>40</v>
      </c>
      <c r="D411" s="4" t="s">
        <v>38</v>
      </c>
      <c r="E411" s="4" t="s">
        <v>25</v>
      </c>
      <c r="F411" s="4" t="s">
        <v>61</v>
      </c>
      <c r="G411" s="4" t="s">
        <v>25</v>
      </c>
      <c r="H411" s="4" t="s">
        <v>35</v>
      </c>
      <c r="I411" s="5">
        <v>44652</v>
      </c>
      <c r="J411" s="6">
        <v>19668</v>
      </c>
      <c r="K411" s="6">
        <v>10227.36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4" t="s">
        <v>58</v>
      </c>
      <c r="R411" s="4">
        <v>0</v>
      </c>
      <c r="S411" s="4" t="s">
        <v>212</v>
      </c>
      <c r="U411" s="4">
        <v>20</v>
      </c>
      <c r="V411" s="4">
        <v>0</v>
      </c>
      <c r="W411" s="4">
        <v>0</v>
      </c>
    </row>
    <row r="412" spans="1:23" ht="11.25" customHeight="1" x14ac:dyDescent="0.25">
      <c r="A412" s="4" t="s">
        <v>27</v>
      </c>
      <c r="B412" s="4" t="s">
        <v>41</v>
      </c>
      <c r="C412" s="4" t="s">
        <v>40</v>
      </c>
      <c r="D412" s="4" t="s">
        <v>38</v>
      </c>
      <c r="E412" s="4" t="s">
        <v>25</v>
      </c>
      <c r="F412" s="4" t="s">
        <v>61</v>
      </c>
      <c r="G412" s="4" t="s">
        <v>25</v>
      </c>
      <c r="H412" s="4" t="s">
        <v>35</v>
      </c>
      <c r="I412" s="5">
        <v>44652</v>
      </c>
      <c r="J412" s="6">
        <v>-530</v>
      </c>
      <c r="K412" s="6">
        <v>-530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4" t="s">
        <v>58</v>
      </c>
      <c r="R412" s="4">
        <v>0</v>
      </c>
      <c r="S412" s="4" t="s">
        <v>212</v>
      </c>
      <c r="U412" s="4">
        <v>20</v>
      </c>
      <c r="V412" s="4">
        <v>0</v>
      </c>
      <c r="W412" s="4">
        <v>0</v>
      </c>
    </row>
    <row r="413" spans="1:23" ht="11.25" customHeight="1" x14ac:dyDescent="0.25">
      <c r="A413" s="4" t="s">
        <v>21</v>
      </c>
      <c r="B413" s="4" t="s">
        <v>41</v>
      </c>
      <c r="C413" s="4" t="s">
        <v>40</v>
      </c>
      <c r="D413" s="4" t="s">
        <v>38</v>
      </c>
      <c r="E413" s="4" t="s">
        <v>25</v>
      </c>
      <c r="F413" s="4" t="s">
        <v>61</v>
      </c>
      <c r="G413" s="4" t="s">
        <v>25</v>
      </c>
      <c r="H413" s="4" t="s">
        <v>35</v>
      </c>
      <c r="I413" s="5">
        <v>44682</v>
      </c>
      <c r="J413" s="6">
        <v>19571</v>
      </c>
      <c r="K413" s="6">
        <v>10176.92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4" t="s">
        <v>58</v>
      </c>
      <c r="R413" s="4">
        <v>0</v>
      </c>
      <c r="S413" s="4" t="s">
        <v>213</v>
      </c>
      <c r="U413" s="4">
        <v>20</v>
      </c>
      <c r="V413" s="4">
        <v>0</v>
      </c>
      <c r="W413" s="4">
        <v>0</v>
      </c>
    </row>
    <row r="414" spans="1:23" ht="11.25" customHeight="1" x14ac:dyDescent="0.25">
      <c r="A414" s="4" t="s">
        <v>21</v>
      </c>
      <c r="B414" s="4" t="s">
        <v>41</v>
      </c>
      <c r="C414" s="4" t="s">
        <v>40</v>
      </c>
      <c r="D414" s="4" t="s">
        <v>38</v>
      </c>
      <c r="E414" s="4" t="s">
        <v>25</v>
      </c>
      <c r="F414" s="4" t="s">
        <v>61</v>
      </c>
      <c r="G414" s="4" t="s">
        <v>25</v>
      </c>
      <c r="H414" s="4" t="s">
        <v>35</v>
      </c>
      <c r="I414" s="5">
        <v>44713</v>
      </c>
      <c r="J414" s="6">
        <v>19622</v>
      </c>
      <c r="K414" s="6">
        <v>10203.44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4" t="s">
        <v>58</v>
      </c>
      <c r="R414" s="4">
        <v>0</v>
      </c>
      <c r="S414" s="4" t="s">
        <v>214</v>
      </c>
      <c r="U414" s="4">
        <v>20</v>
      </c>
      <c r="V414" s="4">
        <v>0</v>
      </c>
      <c r="W414" s="4">
        <v>0</v>
      </c>
    </row>
    <row r="415" spans="1:23" ht="11.25" customHeight="1" x14ac:dyDescent="0.25">
      <c r="A415" s="4" t="s">
        <v>57</v>
      </c>
      <c r="B415" s="4" t="s">
        <v>41</v>
      </c>
      <c r="C415" s="4" t="s">
        <v>40</v>
      </c>
      <c r="D415" s="4" t="s">
        <v>38</v>
      </c>
      <c r="E415" s="4" t="s">
        <v>25</v>
      </c>
      <c r="F415" s="4" t="s">
        <v>61</v>
      </c>
      <c r="G415" s="4" t="s">
        <v>25</v>
      </c>
      <c r="H415" s="4" t="s">
        <v>35</v>
      </c>
      <c r="I415" s="5">
        <v>44743</v>
      </c>
      <c r="J415" s="6">
        <v>19622</v>
      </c>
      <c r="K415" s="6">
        <v>10203.44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4" t="s">
        <v>58</v>
      </c>
      <c r="R415" s="4">
        <v>0</v>
      </c>
      <c r="S415" s="4" t="s">
        <v>215</v>
      </c>
      <c r="U415" s="4">
        <v>20</v>
      </c>
      <c r="V415" s="4">
        <v>0</v>
      </c>
      <c r="W415" s="4">
        <v>0</v>
      </c>
    </row>
    <row r="416" spans="1:23" ht="11.25" customHeight="1" x14ac:dyDescent="0.25">
      <c r="A416" s="4" t="s">
        <v>21</v>
      </c>
      <c r="B416" s="4" t="s">
        <v>41</v>
      </c>
      <c r="C416" s="4" t="s">
        <v>40</v>
      </c>
      <c r="D416" s="4" t="s">
        <v>38</v>
      </c>
      <c r="E416" s="4" t="s">
        <v>25</v>
      </c>
      <c r="F416" s="4" t="s">
        <v>61</v>
      </c>
      <c r="G416" s="4" t="s">
        <v>25</v>
      </c>
      <c r="H416" s="4" t="s">
        <v>25</v>
      </c>
      <c r="I416" s="5">
        <v>44409</v>
      </c>
      <c r="J416" s="6">
        <v>0</v>
      </c>
      <c r="K416" s="6">
        <v>0</v>
      </c>
      <c r="L416" s="6">
        <v>5800.2359999999999</v>
      </c>
      <c r="M416" s="6">
        <v>5800.2359999999999</v>
      </c>
      <c r="N416" s="6">
        <v>0</v>
      </c>
      <c r="O416" s="6">
        <v>0</v>
      </c>
      <c r="P416" s="6">
        <v>33</v>
      </c>
      <c r="Q416" s="4" t="s">
        <v>58</v>
      </c>
      <c r="R416" s="4">
        <v>0</v>
      </c>
      <c r="S416" s="4" t="s">
        <v>216</v>
      </c>
      <c r="U416" s="4">
        <v>0</v>
      </c>
      <c r="V416" s="4">
        <v>22</v>
      </c>
      <c r="W416" s="4">
        <v>0</v>
      </c>
    </row>
    <row r="417" spans="1:23" ht="11.25" customHeight="1" x14ac:dyDescent="0.25">
      <c r="A417" s="4" t="s">
        <v>21</v>
      </c>
      <c r="B417" s="4" t="s">
        <v>41</v>
      </c>
      <c r="C417" s="4" t="s">
        <v>40</v>
      </c>
      <c r="D417" s="4" t="s">
        <v>38</v>
      </c>
      <c r="E417" s="4" t="s">
        <v>25</v>
      </c>
      <c r="F417" s="4" t="s">
        <v>61</v>
      </c>
      <c r="G417" s="4" t="s">
        <v>25</v>
      </c>
      <c r="H417" s="4" t="s">
        <v>25</v>
      </c>
      <c r="I417" s="5">
        <v>44440</v>
      </c>
      <c r="J417" s="6">
        <v>0</v>
      </c>
      <c r="K417" s="6">
        <v>0</v>
      </c>
      <c r="L417" s="6">
        <v>5742.8829999999998</v>
      </c>
      <c r="M417" s="6">
        <v>5742.8829999999998</v>
      </c>
      <c r="N417" s="6">
        <v>0</v>
      </c>
      <c r="O417" s="6">
        <v>0</v>
      </c>
      <c r="P417" s="6">
        <v>33</v>
      </c>
      <c r="Q417" s="4" t="s">
        <v>58</v>
      </c>
      <c r="R417" s="4">
        <v>0</v>
      </c>
      <c r="S417" s="4" t="s">
        <v>229</v>
      </c>
      <c r="U417" s="4">
        <v>0</v>
      </c>
      <c r="V417" s="4">
        <v>22</v>
      </c>
      <c r="W417" s="4">
        <v>0</v>
      </c>
    </row>
    <row r="418" spans="1:23" ht="11.25" customHeight="1" x14ac:dyDescent="0.25">
      <c r="A418" s="4" t="s">
        <v>21</v>
      </c>
      <c r="B418" s="4" t="s">
        <v>41</v>
      </c>
      <c r="C418" s="4" t="s">
        <v>40</v>
      </c>
      <c r="D418" s="4" t="s">
        <v>38</v>
      </c>
      <c r="E418" s="4" t="s">
        <v>25</v>
      </c>
      <c r="F418" s="4" t="s">
        <v>61</v>
      </c>
      <c r="G418" s="4" t="s">
        <v>25</v>
      </c>
      <c r="H418" s="4" t="s">
        <v>25</v>
      </c>
      <c r="I418" s="5">
        <v>44470</v>
      </c>
      <c r="J418" s="6">
        <v>0</v>
      </c>
      <c r="K418" s="6">
        <v>0</v>
      </c>
      <c r="L418" s="6">
        <v>5807.5169999999998</v>
      </c>
      <c r="M418" s="6">
        <v>5807.5169999999998</v>
      </c>
      <c r="N418" s="6">
        <v>0</v>
      </c>
      <c r="O418" s="6">
        <v>0</v>
      </c>
      <c r="P418" s="6">
        <v>33</v>
      </c>
      <c r="Q418" s="4" t="s">
        <v>58</v>
      </c>
      <c r="R418" s="4">
        <v>0</v>
      </c>
      <c r="S418" s="4" t="s">
        <v>230</v>
      </c>
      <c r="U418" s="4">
        <v>0</v>
      </c>
      <c r="V418" s="4">
        <v>22</v>
      </c>
      <c r="W418" s="4">
        <v>0</v>
      </c>
    </row>
    <row r="419" spans="1:23" ht="11.25" customHeight="1" x14ac:dyDescent="0.25">
      <c r="A419" s="4" t="s">
        <v>21</v>
      </c>
      <c r="B419" s="4" t="s">
        <v>41</v>
      </c>
      <c r="C419" s="4" t="s">
        <v>40</v>
      </c>
      <c r="D419" s="4" t="s">
        <v>38</v>
      </c>
      <c r="E419" s="4" t="s">
        <v>25</v>
      </c>
      <c r="F419" s="4" t="s">
        <v>61</v>
      </c>
      <c r="G419" s="4" t="s">
        <v>25</v>
      </c>
      <c r="H419" s="4" t="s">
        <v>25</v>
      </c>
      <c r="I419" s="5">
        <v>44501</v>
      </c>
      <c r="J419" s="6">
        <v>0</v>
      </c>
      <c r="K419" s="6">
        <v>0</v>
      </c>
      <c r="L419" s="6">
        <v>7795.9849999999997</v>
      </c>
      <c r="M419" s="6">
        <v>7795.9849999999997</v>
      </c>
      <c r="N419" s="6">
        <v>0</v>
      </c>
      <c r="O419" s="6">
        <v>0</v>
      </c>
      <c r="P419" s="6">
        <v>35</v>
      </c>
      <c r="Q419" s="4" t="s">
        <v>58</v>
      </c>
      <c r="R419" s="4">
        <v>0</v>
      </c>
      <c r="S419" s="4" t="s">
        <v>231</v>
      </c>
      <c r="U419" s="4">
        <v>0</v>
      </c>
      <c r="V419" s="4">
        <v>22</v>
      </c>
      <c r="W419" s="4">
        <v>0</v>
      </c>
    </row>
    <row r="420" spans="1:23" ht="11.25" customHeight="1" x14ac:dyDescent="0.25">
      <c r="A420" s="4" t="s">
        <v>21</v>
      </c>
      <c r="B420" s="4" t="s">
        <v>41</v>
      </c>
      <c r="C420" s="4" t="s">
        <v>40</v>
      </c>
      <c r="D420" s="4" t="s">
        <v>38</v>
      </c>
      <c r="E420" s="4" t="s">
        <v>25</v>
      </c>
      <c r="F420" s="4" t="s">
        <v>61</v>
      </c>
      <c r="G420" s="4" t="s">
        <v>25</v>
      </c>
      <c r="H420" s="4" t="s">
        <v>25</v>
      </c>
      <c r="I420" s="5">
        <v>44531</v>
      </c>
      <c r="J420" s="6">
        <v>0</v>
      </c>
      <c r="K420" s="6">
        <v>0</v>
      </c>
      <c r="L420" s="6">
        <v>8006.0680000000002</v>
      </c>
      <c r="M420" s="6">
        <v>8006.0680000000002</v>
      </c>
      <c r="N420" s="6">
        <v>0</v>
      </c>
      <c r="O420" s="6">
        <v>0</v>
      </c>
      <c r="P420" s="6">
        <v>35</v>
      </c>
      <c r="Q420" s="4" t="s">
        <v>58</v>
      </c>
      <c r="R420" s="4">
        <v>0</v>
      </c>
      <c r="S420" s="4" t="s">
        <v>232</v>
      </c>
      <c r="U420" s="4">
        <v>0</v>
      </c>
      <c r="V420" s="4">
        <v>22</v>
      </c>
      <c r="W420" s="4">
        <v>0</v>
      </c>
    </row>
    <row r="421" spans="1:23" ht="11.25" customHeight="1" x14ac:dyDescent="0.25">
      <c r="A421" s="4" t="s">
        <v>21</v>
      </c>
      <c r="B421" s="4" t="s">
        <v>41</v>
      </c>
      <c r="C421" s="4" t="s">
        <v>40</v>
      </c>
      <c r="D421" s="4" t="s">
        <v>38</v>
      </c>
      <c r="E421" s="4" t="s">
        <v>25</v>
      </c>
      <c r="F421" s="4" t="s">
        <v>61</v>
      </c>
      <c r="G421" s="4" t="s">
        <v>25</v>
      </c>
      <c r="H421" s="4" t="s">
        <v>25</v>
      </c>
      <c r="I421" s="5">
        <v>44562</v>
      </c>
      <c r="J421" s="6">
        <v>0</v>
      </c>
      <c r="K421" s="6">
        <v>0</v>
      </c>
      <c r="L421" s="6">
        <v>8472.1119999999992</v>
      </c>
      <c r="M421" s="6">
        <v>8472.1119999999992</v>
      </c>
      <c r="N421" s="6">
        <v>0</v>
      </c>
      <c r="O421" s="6">
        <v>0</v>
      </c>
      <c r="P421" s="6">
        <v>35</v>
      </c>
      <c r="Q421" s="4" t="s">
        <v>58</v>
      </c>
      <c r="R421" s="4">
        <v>0</v>
      </c>
      <c r="S421" s="4" t="s">
        <v>233</v>
      </c>
      <c r="U421" s="4">
        <v>0</v>
      </c>
      <c r="V421" s="4">
        <v>22</v>
      </c>
      <c r="W421" s="4">
        <v>0</v>
      </c>
    </row>
    <row r="422" spans="1:23" ht="11.25" customHeight="1" x14ac:dyDescent="0.25">
      <c r="A422" s="4" t="s">
        <v>21</v>
      </c>
      <c r="B422" s="4" t="s">
        <v>41</v>
      </c>
      <c r="C422" s="4" t="s">
        <v>40</v>
      </c>
      <c r="D422" s="4" t="s">
        <v>38</v>
      </c>
      <c r="E422" s="4" t="s">
        <v>25</v>
      </c>
      <c r="F422" s="4" t="s">
        <v>61</v>
      </c>
      <c r="G422" s="4" t="s">
        <v>25</v>
      </c>
      <c r="H422" s="4" t="s">
        <v>25</v>
      </c>
      <c r="I422" s="5">
        <v>44593</v>
      </c>
      <c r="J422" s="6">
        <v>0</v>
      </c>
      <c r="K422" s="6">
        <v>0</v>
      </c>
      <c r="L422" s="6">
        <v>7630.09</v>
      </c>
      <c r="M422" s="6">
        <v>7630.09</v>
      </c>
      <c r="N422" s="6">
        <v>0</v>
      </c>
      <c r="O422" s="6">
        <v>0</v>
      </c>
      <c r="P422" s="6">
        <v>35</v>
      </c>
      <c r="Q422" s="4" t="s">
        <v>58</v>
      </c>
      <c r="R422" s="4">
        <v>0</v>
      </c>
      <c r="S422" s="4" t="s">
        <v>234</v>
      </c>
      <c r="U422" s="4">
        <v>0</v>
      </c>
      <c r="V422" s="4">
        <v>22</v>
      </c>
      <c r="W422" s="4">
        <v>0</v>
      </c>
    </row>
    <row r="423" spans="1:23" ht="11.25" customHeight="1" x14ac:dyDescent="0.25">
      <c r="A423" s="4" t="s">
        <v>21</v>
      </c>
      <c r="B423" s="4" t="s">
        <v>41</v>
      </c>
      <c r="C423" s="4" t="s">
        <v>40</v>
      </c>
      <c r="D423" s="4" t="s">
        <v>38</v>
      </c>
      <c r="E423" s="4" t="s">
        <v>25</v>
      </c>
      <c r="F423" s="4" t="s">
        <v>61</v>
      </c>
      <c r="G423" s="4" t="s">
        <v>25</v>
      </c>
      <c r="H423" s="4" t="s">
        <v>25</v>
      </c>
      <c r="I423" s="5">
        <v>44621</v>
      </c>
      <c r="J423" s="6">
        <v>0</v>
      </c>
      <c r="K423" s="6">
        <v>0</v>
      </c>
      <c r="L423" s="6">
        <v>7194.3190000000004</v>
      </c>
      <c r="M423" s="6">
        <v>7194.3190000000004</v>
      </c>
      <c r="N423" s="6">
        <v>0</v>
      </c>
      <c r="O423" s="6">
        <v>0</v>
      </c>
      <c r="P423" s="6">
        <v>35</v>
      </c>
      <c r="Q423" s="4" t="s">
        <v>58</v>
      </c>
      <c r="R423" s="4">
        <v>0</v>
      </c>
      <c r="S423" s="4" t="s">
        <v>235</v>
      </c>
      <c r="U423" s="4">
        <v>0</v>
      </c>
      <c r="V423" s="4">
        <v>22</v>
      </c>
      <c r="W423" s="4">
        <v>0</v>
      </c>
    </row>
    <row r="424" spans="1:23" ht="11.25" customHeight="1" x14ac:dyDescent="0.25">
      <c r="A424" s="4" t="s">
        <v>21</v>
      </c>
      <c r="B424" s="4" t="s">
        <v>41</v>
      </c>
      <c r="C424" s="4" t="s">
        <v>40</v>
      </c>
      <c r="D424" s="4" t="s">
        <v>38</v>
      </c>
      <c r="E424" s="4" t="s">
        <v>25</v>
      </c>
      <c r="F424" s="4" t="s">
        <v>61</v>
      </c>
      <c r="G424" s="4" t="s">
        <v>25</v>
      </c>
      <c r="H424" s="4" t="s">
        <v>25</v>
      </c>
      <c r="I424" s="5">
        <v>44652</v>
      </c>
      <c r="J424" s="6">
        <v>0</v>
      </c>
      <c r="K424" s="6">
        <v>0</v>
      </c>
      <c r="L424" s="6">
        <v>8225.7209999999995</v>
      </c>
      <c r="M424" s="6">
        <v>8225.7209999999995</v>
      </c>
      <c r="N424" s="6">
        <v>0</v>
      </c>
      <c r="O424" s="6">
        <v>0</v>
      </c>
      <c r="P424" s="6">
        <v>37</v>
      </c>
      <c r="Q424" s="4" t="s">
        <v>58</v>
      </c>
      <c r="R424" s="4">
        <v>0</v>
      </c>
      <c r="S424" s="4" t="s">
        <v>236</v>
      </c>
      <c r="U424" s="4">
        <v>0</v>
      </c>
      <c r="V424" s="4">
        <v>22</v>
      </c>
      <c r="W424" s="4">
        <v>0</v>
      </c>
    </row>
    <row r="425" spans="1:23" ht="11.25" customHeight="1" x14ac:dyDescent="0.25">
      <c r="A425" s="4" t="s">
        <v>21</v>
      </c>
      <c r="B425" s="4" t="s">
        <v>41</v>
      </c>
      <c r="C425" s="4" t="s">
        <v>40</v>
      </c>
      <c r="D425" s="4" t="s">
        <v>38</v>
      </c>
      <c r="E425" s="4" t="s">
        <v>25</v>
      </c>
      <c r="F425" s="4" t="s">
        <v>61</v>
      </c>
      <c r="G425" s="4" t="s">
        <v>25</v>
      </c>
      <c r="H425" s="4" t="s">
        <v>25</v>
      </c>
      <c r="I425" s="5">
        <v>44682</v>
      </c>
      <c r="J425" s="6">
        <v>0</v>
      </c>
      <c r="K425" s="6">
        <v>0</v>
      </c>
      <c r="L425" s="6">
        <v>7602.5020000000004</v>
      </c>
      <c r="M425" s="6">
        <v>7602.5020000000004</v>
      </c>
      <c r="N425" s="6">
        <v>0</v>
      </c>
      <c r="O425" s="6">
        <v>0</v>
      </c>
      <c r="P425" s="6">
        <v>37</v>
      </c>
      <c r="Q425" s="4" t="s">
        <v>58</v>
      </c>
      <c r="R425" s="4">
        <v>0</v>
      </c>
      <c r="S425" s="4" t="s">
        <v>237</v>
      </c>
      <c r="U425" s="4">
        <v>0</v>
      </c>
      <c r="V425" s="4">
        <v>22</v>
      </c>
      <c r="W425" s="4">
        <v>0</v>
      </c>
    </row>
    <row r="426" spans="1:23" ht="11.25" customHeight="1" x14ac:dyDescent="0.25">
      <c r="A426" s="4" t="s">
        <v>21</v>
      </c>
      <c r="B426" s="4" t="s">
        <v>41</v>
      </c>
      <c r="C426" s="4" t="s">
        <v>40</v>
      </c>
      <c r="D426" s="4" t="s">
        <v>38</v>
      </c>
      <c r="E426" s="4" t="s">
        <v>25</v>
      </c>
      <c r="F426" s="4" t="s">
        <v>61</v>
      </c>
      <c r="G426" s="4" t="s">
        <v>25</v>
      </c>
      <c r="H426" s="4" t="s">
        <v>25</v>
      </c>
      <c r="I426" s="5">
        <v>44713</v>
      </c>
      <c r="J426" s="6">
        <v>0</v>
      </c>
      <c r="K426" s="6">
        <v>0</v>
      </c>
      <c r="L426" s="6">
        <v>7974.6809999999996</v>
      </c>
      <c r="M426" s="6">
        <v>7974.6809999999996</v>
      </c>
      <c r="N426" s="6">
        <v>0</v>
      </c>
      <c r="O426" s="6">
        <v>0</v>
      </c>
      <c r="P426" s="6">
        <v>37</v>
      </c>
      <c r="Q426" s="4" t="s">
        <v>58</v>
      </c>
      <c r="R426" s="4">
        <v>0</v>
      </c>
      <c r="S426" s="4" t="s">
        <v>238</v>
      </c>
      <c r="U426" s="4">
        <v>0</v>
      </c>
      <c r="V426" s="4">
        <v>22</v>
      </c>
      <c r="W426" s="4">
        <v>0</v>
      </c>
    </row>
    <row r="427" spans="1:23" ht="11.25" customHeight="1" x14ac:dyDescent="0.25">
      <c r="A427" s="4" t="s">
        <v>57</v>
      </c>
      <c r="B427" s="4" t="s">
        <v>41</v>
      </c>
      <c r="C427" s="4" t="s">
        <v>40</v>
      </c>
      <c r="D427" s="4" t="s">
        <v>38</v>
      </c>
      <c r="E427" s="4" t="s">
        <v>25</v>
      </c>
      <c r="F427" s="4" t="s">
        <v>61</v>
      </c>
      <c r="G427" s="4" t="s">
        <v>25</v>
      </c>
      <c r="H427" s="4" t="s">
        <v>25</v>
      </c>
      <c r="I427" s="5">
        <v>44743</v>
      </c>
      <c r="J427" s="6">
        <v>0</v>
      </c>
      <c r="K427" s="6">
        <v>0</v>
      </c>
      <c r="L427" s="6">
        <v>7974.6809999999996</v>
      </c>
      <c r="M427" s="6">
        <v>7974.6809999999996</v>
      </c>
      <c r="N427" s="6">
        <v>0</v>
      </c>
      <c r="O427" s="6">
        <v>0</v>
      </c>
      <c r="P427" s="6">
        <v>37</v>
      </c>
      <c r="Q427" s="4" t="s">
        <v>58</v>
      </c>
      <c r="R427" s="4">
        <v>0</v>
      </c>
      <c r="S427" s="4" t="s">
        <v>239</v>
      </c>
      <c r="U427" s="4">
        <v>0</v>
      </c>
      <c r="V427" s="4">
        <v>22</v>
      </c>
      <c r="W427" s="4">
        <v>0</v>
      </c>
    </row>
    <row r="428" spans="1:23" ht="11.25" customHeight="1" x14ac:dyDescent="0.25">
      <c r="A428" s="4" t="s">
        <v>21</v>
      </c>
      <c r="B428" s="4" t="s">
        <v>41</v>
      </c>
      <c r="C428" s="4" t="s">
        <v>40</v>
      </c>
      <c r="D428" s="4" t="s">
        <v>38</v>
      </c>
      <c r="E428" s="4" t="s">
        <v>25</v>
      </c>
      <c r="F428" s="4" t="s">
        <v>61</v>
      </c>
      <c r="G428" s="4" t="s">
        <v>25</v>
      </c>
      <c r="H428" s="4" t="s">
        <v>34</v>
      </c>
      <c r="I428" s="5">
        <v>44409</v>
      </c>
      <c r="J428" s="6">
        <v>12811</v>
      </c>
      <c r="K428" s="6">
        <v>6533.61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4" t="s">
        <v>58</v>
      </c>
      <c r="R428" s="4">
        <v>0</v>
      </c>
      <c r="S428" s="4" t="s">
        <v>217</v>
      </c>
      <c r="U428" s="4">
        <v>18</v>
      </c>
      <c r="V428" s="4">
        <v>0</v>
      </c>
      <c r="W428" s="4">
        <v>0</v>
      </c>
    </row>
    <row r="429" spans="1:23" ht="11.25" customHeight="1" x14ac:dyDescent="0.25">
      <c r="A429" s="4" t="s">
        <v>21</v>
      </c>
      <c r="B429" s="4" t="s">
        <v>41</v>
      </c>
      <c r="C429" s="4" t="s">
        <v>40</v>
      </c>
      <c r="D429" s="4" t="s">
        <v>38</v>
      </c>
      <c r="E429" s="4" t="s">
        <v>25</v>
      </c>
      <c r="F429" s="4" t="s">
        <v>61</v>
      </c>
      <c r="G429" s="4" t="s">
        <v>25</v>
      </c>
      <c r="H429" s="4" t="s">
        <v>34</v>
      </c>
      <c r="I429" s="5">
        <v>44440</v>
      </c>
      <c r="J429" s="6">
        <v>12867</v>
      </c>
      <c r="K429" s="6">
        <v>8878.23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4" t="s">
        <v>58</v>
      </c>
      <c r="R429" s="4">
        <v>0</v>
      </c>
      <c r="S429" s="4" t="s">
        <v>218</v>
      </c>
      <c r="U429" s="4">
        <v>18</v>
      </c>
      <c r="V429" s="4">
        <v>0</v>
      </c>
      <c r="W429" s="4">
        <v>0</v>
      </c>
    </row>
    <row r="430" spans="1:23" ht="11.25" customHeight="1" x14ac:dyDescent="0.25">
      <c r="A430" s="4" t="s">
        <v>21</v>
      </c>
      <c r="B430" s="4" t="s">
        <v>41</v>
      </c>
      <c r="C430" s="4" t="s">
        <v>40</v>
      </c>
      <c r="D430" s="4" t="s">
        <v>38</v>
      </c>
      <c r="E430" s="4" t="s">
        <v>25</v>
      </c>
      <c r="F430" s="4" t="s">
        <v>61</v>
      </c>
      <c r="G430" s="4" t="s">
        <v>25</v>
      </c>
      <c r="H430" s="4" t="s">
        <v>34</v>
      </c>
      <c r="I430" s="5">
        <v>44470</v>
      </c>
      <c r="J430" s="6">
        <v>12821</v>
      </c>
      <c r="K430" s="6">
        <v>8333.65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4" t="s">
        <v>58</v>
      </c>
      <c r="R430" s="4">
        <v>0</v>
      </c>
      <c r="S430" s="4" t="s">
        <v>219</v>
      </c>
      <c r="U430" s="4">
        <v>18</v>
      </c>
      <c r="V430" s="4">
        <v>0</v>
      </c>
      <c r="W430" s="4">
        <v>0</v>
      </c>
    </row>
    <row r="431" spans="1:23" ht="11.25" customHeight="1" x14ac:dyDescent="0.25">
      <c r="A431" s="4" t="s">
        <v>21</v>
      </c>
      <c r="B431" s="4" t="s">
        <v>41</v>
      </c>
      <c r="C431" s="4" t="s">
        <v>40</v>
      </c>
      <c r="D431" s="4" t="s">
        <v>38</v>
      </c>
      <c r="E431" s="4" t="s">
        <v>25</v>
      </c>
      <c r="F431" s="4" t="s">
        <v>61</v>
      </c>
      <c r="G431" s="4" t="s">
        <v>25</v>
      </c>
      <c r="H431" s="4" t="s">
        <v>34</v>
      </c>
      <c r="I431" s="5">
        <v>44501</v>
      </c>
      <c r="J431" s="6">
        <v>16672</v>
      </c>
      <c r="K431" s="6">
        <v>7502.4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4" t="s">
        <v>58</v>
      </c>
      <c r="R431" s="4">
        <v>0</v>
      </c>
      <c r="S431" s="4" t="s">
        <v>220</v>
      </c>
      <c r="U431" s="4">
        <v>18</v>
      </c>
      <c r="V431" s="4">
        <v>0</v>
      </c>
      <c r="W431" s="4">
        <v>0</v>
      </c>
    </row>
    <row r="432" spans="1:23" ht="11.25" customHeight="1" x14ac:dyDescent="0.25">
      <c r="A432" s="4" t="s">
        <v>21</v>
      </c>
      <c r="B432" s="4" t="s">
        <v>41</v>
      </c>
      <c r="C432" s="4" t="s">
        <v>40</v>
      </c>
      <c r="D432" s="4" t="s">
        <v>38</v>
      </c>
      <c r="E432" s="4" t="s">
        <v>25</v>
      </c>
      <c r="F432" s="4" t="s">
        <v>61</v>
      </c>
      <c r="G432" s="4" t="s">
        <v>25</v>
      </c>
      <c r="H432" s="4" t="s">
        <v>34</v>
      </c>
      <c r="I432" s="5">
        <v>44531</v>
      </c>
      <c r="J432" s="6">
        <v>16924</v>
      </c>
      <c r="K432" s="6">
        <v>8292.76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4" t="s">
        <v>58</v>
      </c>
      <c r="R432" s="4">
        <v>0</v>
      </c>
      <c r="S432" s="4" t="s">
        <v>221</v>
      </c>
      <c r="U432" s="4">
        <v>18</v>
      </c>
      <c r="V432" s="4">
        <v>0</v>
      </c>
      <c r="W432" s="4">
        <v>0</v>
      </c>
    </row>
    <row r="433" spans="1:23" ht="11.25" customHeight="1" x14ac:dyDescent="0.25">
      <c r="A433" s="4" t="s">
        <v>21</v>
      </c>
      <c r="B433" s="4" t="s">
        <v>41</v>
      </c>
      <c r="C433" s="4" t="s">
        <v>40</v>
      </c>
      <c r="D433" s="4" t="s">
        <v>38</v>
      </c>
      <c r="E433" s="4" t="s">
        <v>25</v>
      </c>
      <c r="F433" s="4" t="s">
        <v>61</v>
      </c>
      <c r="G433" s="4" t="s">
        <v>25</v>
      </c>
      <c r="H433" s="4" t="s">
        <v>34</v>
      </c>
      <c r="I433" s="5">
        <v>44562</v>
      </c>
      <c r="J433" s="6">
        <v>17070</v>
      </c>
      <c r="K433" s="6">
        <v>8364.2999999999993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4" t="s">
        <v>58</v>
      </c>
      <c r="R433" s="4">
        <v>0</v>
      </c>
      <c r="S433" s="4" t="s">
        <v>222</v>
      </c>
      <c r="U433" s="4">
        <v>18</v>
      </c>
      <c r="V433" s="4">
        <v>0</v>
      </c>
      <c r="W433" s="4">
        <v>0</v>
      </c>
    </row>
    <row r="434" spans="1:23" ht="11.25" customHeight="1" x14ac:dyDescent="0.25">
      <c r="A434" s="4" t="s">
        <v>21</v>
      </c>
      <c r="B434" s="4" t="s">
        <v>41</v>
      </c>
      <c r="C434" s="4" t="s">
        <v>40</v>
      </c>
      <c r="D434" s="4" t="s">
        <v>38</v>
      </c>
      <c r="E434" s="4" t="s">
        <v>25</v>
      </c>
      <c r="F434" s="4" t="s">
        <v>61</v>
      </c>
      <c r="G434" s="4" t="s">
        <v>25</v>
      </c>
      <c r="H434" s="4" t="s">
        <v>34</v>
      </c>
      <c r="I434" s="5">
        <v>44593</v>
      </c>
      <c r="J434" s="6">
        <v>17129</v>
      </c>
      <c r="K434" s="6">
        <v>8393.2099999999991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4" t="s">
        <v>58</v>
      </c>
      <c r="R434" s="4">
        <v>0</v>
      </c>
      <c r="S434" s="4" t="s">
        <v>223</v>
      </c>
      <c r="U434" s="4">
        <v>18</v>
      </c>
      <c r="V434" s="4">
        <v>0</v>
      </c>
      <c r="W434" s="4">
        <v>0</v>
      </c>
    </row>
    <row r="435" spans="1:23" ht="11.25" customHeight="1" x14ac:dyDescent="0.25">
      <c r="A435" s="4" t="s">
        <v>21</v>
      </c>
      <c r="B435" s="4" t="s">
        <v>41</v>
      </c>
      <c r="C435" s="4" t="s">
        <v>40</v>
      </c>
      <c r="D435" s="4" t="s">
        <v>38</v>
      </c>
      <c r="E435" s="4" t="s">
        <v>25</v>
      </c>
      <c r="F435" s="4" t="s">
        <v>61</v>
      </c>
      <c r="G435" s="4" t="s">
        <v>25</v>
      </c>
      <c r="H435" s="4" t="s">
        <v>34</v>
      </c>
      <c r="I435" s="5">
        <v>44621</v>
      </c>
      <c r="J435" s="6">
        <v>17115</v>
      </c>
      <c r="K435" s="6">
        <v>8386.35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4" t="s">
        <v>58</v>
      </c>
      <c r="R435" s="4">
        <v>0</v>
      </c>
      <c r="S435" s="4" t="s">
        <v>224</v>
      </c>
      <c r="U435" s="4">
        <v>18</v>
      </c>
      <c r="V435" s="4">
        <v>0</v>
      </c>
      <c r="W435" s="4">
        <v>0</v>
      </c>
    </row>
    <row r="436" spans="1:23" ht="11.25" customHeight="1" x14ac:dyDescent="0.25">
      <c r="A436" s="4" t="s">
        <v>21</v>
      </c>
      <c r="B436" s="4" t="s">
        <v>41</v>
      </c>
      <c r="C436" s="4" t="s">
        <v>40</v>
      </c>
      <c r="D436" s="4" t="s">
        <v>38</v>
      </c>
      <c r="E436" s="4" t="s">
        <v>25</v>
      </c>
      <c r="F436" s="4" t="s">
        <v>61</v>
      </c>
      <c r="G436" s="4" t="s">
        <v>25</v>
      </c>
      <c r="H436" s="4" t="s">
        <v>34</v>
      </c>
      <c r="I436" s="5">
        <v>44652</v>
      </c>
      <c r="J436" s="6">
        <v>17674</v>
      </c>
      <c r="K436" s="6">
        <v>9190.48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4" t="s">
        <v>58</v>
      </c>
      <c r="R436" s="4">
        <v>0</v>
      </c>
      <c r="S436" s="4" t="s">
        <v>225</v>
      </c>
      <c r="U436" s="4">
        <v>18</v>
      </c>
      <c r="V436" s="4">
        <v>0</v>
      </c>
      <c r="W436" s="4">
        <v>0</v>
      </c>
    </row>
    <row r="437" spans="1:23" ht="11.25" customHeight="1" x14ac:dyDescent="0.25">
      <c r="A437" s="4" t="s">
        <v>27</v>
      </c>
      <c r="B437" s="4" t="s">
        <v>41</v>
      </c>
      <c r="C437" s="4" t="s">
        <v>40</v>
      </c>
      <c r="D437" s="4" t="s">
        <v>38</v>
      </c>
      <c r="E437" s="4" t="s">
        <v>25</v>
      </c>
      <c r="F437" s="4" t="s">
        <v>61</v>
      </c>
      <c r="G437" s="4" t="s">
        <v>25</v>
      </c>
      <c r="H437" s="4" t="s">
        <v>34</v>
      </c>
      <c r="I437" s="5">
        <v>44652</v>
      </c>
      <c r="J437" s="6">
        <v>1218</v>
      </c>
      <c r="K437" s="6">
        <v>1218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4" t="s">
        <v>58</v>
      </c>
      <c r="R437" s="4">
        <v>0</v>
      </c>
      <c r="S437" s="4" t="s">
        <v>225</v>
      </c>
      <c r="U437" s="4">
        <v>18</v>
      </c>
      <c r="V437" s="4">
        <v>0</v>
      </c>
      <c r="W437" s="4">
        <v>0</v>
      </c>
    </row>
    <row r="438" spans="1:23" ht="11.25" customHeight="1" x14ac:dyDescent="0.25">
      <c r="A438" s="4" t="s">
        <v>21</v>
      </c>
      <c r="B438" s="4" t="s">
        <v>41</v>
      </c>
      <c r="C438" s="4" t="s">
        <v>40</v>
      </c>
      <c r="D438" s="4" t="s">
        <v>38</v>
      </c>
      <c r="E438" s="4" t="s">
        <v>25</v>
      </c>
      <c r="F438" s="4" t="s">
        <v>61</v>
      </c>
      <c r="G438" s="4" t="s">
        <v>25</v>
      </c>
      <c r="H438" s="4" t="s">
        <v>34</v>
      </c>
      <c r="I438" s="5">
        <v>44682</v>
      </c>
      <c r="J438" s="6">
        <v>17739</v>
      </c>
      <c r="K438" s="6">
        <v>9224.2800000000007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4" t="s">
        <v>58</v>
      </c>
      <c r="R438" s="4">
        <v>0</v>
      </c>
      <c r="S438" s="4" t="s">
        <v>226</v>
      </c>
      <c r="U438" s="4">
        <v>18</v>
      </c>
      <c r="V438" s="4">
        <v>0</v>
      </c>
      <c r="W438" s="4">
        <v>0</v>
      </c>
    </row>
    <row r="439" spans="1:23" ht="11.25" customHeight="1" x14ac:dyDescent="0.25">
      <c r="A439" s="4" t="s">
        <v>21</v>
      </c>
      <c r="B439" s="4" t="s">
        <v>41</v>
      </c>
      <c r="C439" s="4" t="s">
        <v>40</v>
      </c>
      <c r="D439" s="4" t="s">
        <v>38</v>
      </c>
      <c r="E439" s="4" t="s">
        <v>25</v>
      </c>
      <c r="F439" s="4" t="s">
        <v>61</v>
      </c>
      <c r="G439" s="4" t="s">
        <v>25</v>
      </c>
      <c r="H439" s="4" t="s">
        <v>34</v>
      </c>
      <c r="I439" s="5">
        <v>44713</v>
      </c>
      <c r="J439" s="6">
        <v>18007</v>
      </c>
      <c r="K439" s="6">
        <v>9363.64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4" t="s">
        <v>58</v>
      </c>
      <c r="R439" s="4">
        <v>0</v>
      </c>
      <c r="S439" s="4" t="s">
        <v>227</v>
      </c>
      <c r="U439" s="4">
        <v>18</v>
      </c>
      <c r="V439" s="4">
        <v>0</v>
      </c>
      <c r="W439" s="4">
        <v>0</v>
      </c>
    </row>
    <row r="440" spans="1:23" ht="11.25" customHeight="1" x14ac:dyDescent="0.25">
      <c r="A440" s="4" t="s">
        <v>57</v>
      </c>
      <c r="B440" s="4" t="s">
        <v>41</v>
      </c>
      <c r="C440" s="4" t="s">
        <v>40</v>
      </c>
      <c r="D440" s="4" t="s">
        <v>38</v>
      </c>
      <c r="E440" s="4" t="s">
        <v>25</v>
      </c>
      <c r="F440" s="4" t="s">
        <v>61</v>
      </c>
      <c r="G440" s="4" t="s">
        <v>25</v>
      </c>
      <c r="H440" s="4" t="s">
        <v>34</v>
      </c>
      <c r="I440" s="5">
        <v>44743</v>
      </c>
      <c r="J440" s="6">
        <v>18007</v>
      </c>
      <c r="K440" s="6">
        <v>9363.64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4" t="s">
        <v>58</v>
      </c>
      <c r="R440" s="4">
        <v>0</v>
      </c>
      <c r="S440" s="4" t="s">
        <v>228</v>
      </c>
      <c r="U440" s="4">
        <v>18</v>
      </c>
      <c r="V440" s="4">
        <v>0</v>
      </c>
      <c r="W440" s="4">
        <v>0</v>
      </c>
    </row>
    <row r="441" spans="1:23" ht="11.25" customHeight="1" x14ac:dyDescent="0.25">
      <c r="A441" s="4" t="s">
        <v>21</v>
      </c>
      <c r="B441" s="4" t="s">
        <v>41</v>
      </c>
      <c r="C441" s="4" t="s">
        <v>40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35</v>
      </c>
      <c r="I441" s="5">
        <v>44409</v>
      </c>
      <c r="J441" s="6">
        <v>1215</v>
      </c>
      <c r="K441" s="6">
        <v>1215</v>
      </c>
      <c r="L441" s="6">
        <v>164.822</v>
      </c>
      <c r="M441" s="6">
        <v>164.822</v>
      </c>
      <c r="N441" s="6">
        <v>164.822</v>
      </c>
      <c r="O441" s="6">
        <v>164.822</v>
      </c>
      <c r="P441" s="6">
        <v>0</v>
      </c>
      <c r="Q441" s="4" t="s">
        <v>26</v>
      </c>
      <c r="R441" s="4">
        <v>0</v>
      </c>
      <c r="S441" s="4" t="s">
        <v>204</v>
      </c>
      <c r="T441" s="4" t="s">
        <v>601</v>
      </c>
      <c r="U441" s="4">
        <v>20</v>
      </c>
      <c r="V441" s="4">
        <v>22</v>
      </c>
      <c r="W441" s="4">
        <v>67</v>
      </c>
    </row>
    <row r="442" spans="1:23" ht="11.25" customHeight="1" x14ac:dyDescent="0.25">
      <c r="A442" s="4" t="s">
        <v>28</v>
      </c>
      <c r="B442" s="4" t="s">
        <v>41</v>
      </c>
      <c r="C442" s="4" t="s">
        <v>40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35</v>
      </c>
      <c r="I442" s="5">
        <v>44409</v>
      </c>
      <c r="J442" s="6">
        <v>230</v>
      </c>
      <c r="K442" s="6">
        <v>230</v>
      </c>
      <c r="L442" s="6">
        <v>1.44</v>
      </c>
      <c r="M442" s="6">
        <v>1.44</v>
      </c>
      <c r="N442" s="6">
        <v>1.44</v>
      </c>
      <c r="O442" s="6">
        <v>1.44</v>
      </c>
      <c r="P442" s="6">
        <v>0</v>
      </c>
      <c r="Q442" s="4" t="s">
        <v>26</v>
      </c>
      <c r="R442" s="4">
        <v>0</v>
      </c>
      <c r="S442" s="4" t="s">
        <v>204</v>
      </c>
      <c r="T442" s="4" t="s">
        <v>601</v>
      </c>
      <c r="U442" s="4">
        <v>20</v>
      </c>
      <c r="V442" s="4">
        <v>22</v>
      </c>
      <c r="W442" s="4">
        <v>67</v>
      </c>
    </row>
    <row r="443" spans="1:23" ht="11.25" customHeight="1" x14ac:dyDescent="0.25">
      <c r="A443" s="4" t="s">
        <v>21</v>
      </c>
      <c r="B443" s="4" t="s">
        <v>41</v>
      </c>
      <c r="C443" s="4" t="s">
        <v>40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35</v>
      </c>
      <c r="I443" s="5">
        <v>44409</v>
      </c>
      <c r="J443" s="6">
        <v>3413</v>
      </c>
      <c r="K443" s="6">
        <v>3413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4" t="s">
        <v>58</v>
      </c>
      <c r="R443" s="4">
        <v>0</v>
      </c>
      <c r="S443" s="4" t="s">
        <v>204</v>
      </c>
      <c r="U443" s="4">
        <v>20</v>
      </c>
      <c r="V443" s="4">
        <v>0</v>
      </c>
      <c r="W443" s="4">
        <v>0</v>
      </c>
    </row>
    <row r="444" spans="1:23" ht="11.25" customHeight="1" x14ac:dyDescent="0.25">
      <c r="A444" s="4" t="s">
        <v>21</v>
      </c>
      <c r="B444" s="4" t="s">
        <v>41</v>
      </c>
      <c r="C444" s="4" t="s">
        <v>40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35</v>
      </c>
      <c r="I444" s="5">
        <v>44440</v>
      </c>
      <c r="J444" s="6">
        <v>1265</v>
      </c>
      <c r="K444" s="6">
        <v>1265</v>
      </c>
      <c r="L444" s="6">
        <v>207.13399999999999</v>
      </c>
      <c r="M444" s="6">
        <v>207.13399999999999</v>
      </c>
      <c r="N444" s="6">
        <v>207.13399999999999</v>
      </c>
      <c r="O444" s="6">
        <v>207.13399999999999</v>
      </c>
      <c r="P444" s="6">
        <v>0</v>
      </c>
      <c r="Q444" s="4" t="s">
        <v>26</v>
      </c>
      <c r="R444" s="4">
        <v>0</v>
      </c>
      <c r="S444" s="4" t="s">
        <v>205</v>
      </c>
      <c r="T444" s="4" t="s">
        <v>602</v>
      </c>
      <c r="U444" s="4">
        <v>20</v>
      </c>
      <c r="V444" s="4">
        <v>22</v>
      </c>
      <c r="W444" s="4">
        <v>67</v>
      </c>
    </row>
    <row r="445" spans="1:23" ht="11.25" customHeight="1" x14ac:dyDescent="0.25">
      <c r="A445" s="4" t="s">
        <v>28</v>
      </c>
      <c r="B445" s="4" t="s">
        <v>41</v>
      </c>
      <c r="C445" s="4" t="s">
        <v>40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35</v>
      </c>
      <c r="I445" s="5">
        <v>44440</v>
      </c>
      <c r="J445" s="6">
        <v>230</v>
      </c>
      <c r="K445" s="6">
        <v>230</v>
      </c>
      <c r="L445" s="6">
        <v>12.96</v>
      </c>
      <c r="M445" s="6">
        <v>12.96</v>
      </c>
      <c r="N445" s="6">
        <v>12.96</v>
      </c>
      <c r="O445" s="6">
        <v>12.96</v>
      </c>
      <c r="P445" s="6">
        <v>0</v>
      </c>
      <c r="Q445" s="4" t="s">
        <v>26</v>
      </c>
      <c r="R445" s="4">
        <v>0</v>
      </c>
      <c r="S445" s="4" t="s">
        <v>205</v>
      </c>
      <c r="T445" s="4" t="s">
        <v>602</v>
      </c>
      <c r="U445" s="4">
        <v>20</v>
      </c>
      <c r="V445" s="4">
        <v>22</v>
      </c>
      <c r="W445" s="4">
        <v>67</v>
      </c>
    </row>
    <row r="446" spans="1:23" ht="11.25" customHeight="1" x14ac:dyDescent="0.25">
      <c r="A446" s="4" t="s">
        <v>21</v>
      </c>
      <c r="B446" s="4" t="s">
        <v>41</v>
      </c>
      <c r="C446" s="4" t="s">
        <v>40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35</v>
      </c>
      <c r="I446" s="5">
        <v>44440</v>
      </c>
      <c r="J446" s="6">
        <v>3400</v>
      </c>
      <c r="K446" s="6">
        <v>3400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4" t="s">
        <v>58</v>
      </c>
      <c r="R446" s="4">
        <v>0</v>
      </c>
      <c r="S446" s="4" t="s">
        <v>205</v>
      </c>
      <c r="U446" s="4">
        <v>20</v>
      </c>
      <c r="V446" s="4">
        <v>0</v>
      </c>
      <c r="W446" s="4">
        <v>0</v>
      </c>
    </row>
    <row r="447" spans="1:23" ht="11.25" customHeight="1" x14ac:dyDescent="0.25">
      <c r="A447" s="4" t="s">
        <v>21</v>
      </c>
      <c r="B447" s="4" t="s">
        <v>41</v>
      </c>
      <c r="C447" s="4" t="s">
        <v>40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35</v>
      </c>
      <c r="I447" s="5">
        <v>44470</v>
      </c>
      <c r="J447" s="6">
        <v>1265</v>
      </c>
      <c r="K447" s="6">
        <v>1265</v>
      </c>
      <c r="L447" s="6">
        <v>200.53899999999999</v>
      </c>
      <c r="M447" s="6">
        <v>200.53899999999999</v>
      </c>
      <c r="N447" s="6">
        <v>200.53899999999999</v>
      </c>
      <c r="O447" s="6">
        <v>200.53899999999999</v>
      </c>
      <c r="P447" s="6">
        <v>0</v>
      </c>
      <c r="Q447" s="4" t="s">
        <v>26</v>
      </c>
      <c r="R447" s="4">
        <v>0</v>
      </c>
      <c r="S447" s="4" t="s">
        <v>206</v>
      </c>
      <c r="T447" s="4" t="s">
        <v>603</v>
      </c>
      <c r="U447" s="4">
        <v>20</v>
      </c>
      <c r="V447" s="4">
        <v>22</v>
      </c>
      <c r="W447" s="4">
        <v>67</v>
      </c>
    </row>
    <row r="448" spans="1:23" ht="11.25" customHeight="1" x14ac:dyDescent="0.25">
      <c r="A448" s="4" t="s">
        <v>28</v>
      </c>
      <c r="B448" s="4" t="s">
        <v>41</v>
      </c>
      <c r="C448" s="4" t="s">
        <v>40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35</v>
      </c>
      <c r="I448" s="5">
        <v>44470</v>
      </c>
      <c r="J448" s="6">
        <v>230</v>
      </c>
      <c r="K448" s="6">
        <v>230</v>
      </c>
      <c r="L448" s="6">
        <v>12.96</v>
      </c>
      <c r="M448" s="6">
        <v>12.96</v>
      </c>
      <c r="N448" s="6">
        <v>12.96</v>
      </c>
      <c r="O448" s="6">
        <v>12.96</v>
      </c>
      <c r="P448" s="6">
        <v>0</v>
      </c>
      <c r="Q448" s="4" t="s">
        <v>26</v>
      </c>
      <c r="R448" s="4">
        <v>0</v>
      </c>
      <c r="S448" s="4" t="s">
        <v>206</v>
      </c>
      <c r="T448" s="4" t="s">
        <v>603</v>
      </c>
      <c r="U448" s="4">
        <v>20</v>
      </c>
      <c r="V448" s="4">
        <v>22</v>
      </c>
      <c r="W448" s="4">
        <v>67</v>
      </c>
    </row>
    <row r="449" spans="1:23" ht="11.25" customHeight="1" x14ac:dyDescent="0.25">
      <c r="A449" s="4" t="s">
        <v>21</v>
      </c>
      <c r="B449" s="4" t="s">
        <v>41</v>
      </c>
      <c r="C449" s="4" t="s">
        <v>40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35</v>
      </c>
      <c r="I449" s="5">
        <v>44470</v>
      </c>
      <c r="J449" s="6">
        <v>3423</v>
      </c>
      <c r="K449" s="6">
        <v>3423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4" t="s">
        <v>58</v>
      </c>
      <c r="R449" s="4">
        <v>0</v>
      </c>
      <c r="S449" s="4" t="s">
        <v>206</v>
      </c>
      <c r="U449" s="4">
        <v>20</v>
      </c>
      <c r="V449" s="4">
        <v>0</v>
      </c>
      <c r="W449" s="4">
        <v>0</v>
      </c>
    </row>
    <row r="450" spans="1:23" ht="11.25" customHeight="1" x14ac:dyDescent="0.25">
      <c r="A450" s="4" t="s">
        <v>21</v>
      </c>
      <c r="B450" s="4" t="s">
        <v>41</v>
      </c>
      <c r="C450" s="4" t="s">
        <v>40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35</v>
      </c>
      <c r="I450" s="5">
        <v>44501</v>
      </c>
      <c r="J450" s="6">
        <v>1265</v>
      </c>
      <c r="K450" s="6">
        <v>1265</v>
      </c>
      <c r="L450" s="6">
        <v>198.40700000000001</v>
      </c>
      <c r="M450" s="6">
        <v>198.40700000000001</v>
      </c>
      <c r="N450" s="6">
        <v>198.40700000000001</v>
      </c>
      <c r="O450" s="6">
        <v>198.40700000000001</v>
      </c>
      <c r="P450" s="6">
        <v>0</v>
      </c>
      <c r="Q450" s="4" t="s">
        <v>26</v>
      </c>
      <c r="R450" s="4">
        <v>0</v>
      </c>
      <c r="S450" s="4" t="s">
        <v>207</v>
      </c>
      <c r="T450" s="4" t="s">
        <v>604</v>
      </c>
      <c r="U450" s="4">
        <v>20</v>
      </c>
      <c r="V450" s="4">
        <v>22</v>
      </c>
      <c r="W450" s="4">
        <v>67</v>
      </c>
    </row>
    <row r="451" spans="1:23" ht="11.25" customHeight="1" x14ac:dyDescent="0.25">
      <c r="A451" s="4" t="s">
        <v>28</v>
      </c>
      <c r="B451" s="4" t="s">
        <v>41</v>
      </c>
      <c r="C451" s="4" t="s">
        <v>40</v>
      </c>
      <c r="D451" s="4" t="s">
        <v>38</v>
      </c>
      <c r="E451" s="4" t="s">
        <v>25</v>
      </c>
      <c r="F451" s="4" t="s">
        <v>25</v>
      </c>
      <c r="G451" s="4" t="s">
        <v>25</v>
      </c>
      <c r="H451" s="4" t="s">
        <v>35</v>
      </c>
      <c r="I451" s="5">
        <v>44501</v>
      </c>
      <c r="J451" s="6">
        <v>230</v>
      </c>
      <c r="K451" s="6">
        <v>230</v>
      </c>
      <c r="L451" s="6">
        <v>22.08</v>
      </c>
      <c r="M451" s="6">
        <v>22.08</v>
      </c>
      <c r="N451" s="6">
        <v>22.08</v>
      </c>
      <c r="O451" s="6">
        <v>22.08</v>
      </c>
      <c r="P451" s="6">
        <v>0</v>
      </c>
      <c r="Q451" s="4" t="s">
        <v>26</v>
      </c>
      <c r="R451" s="4">
        <v>0</v>
      </c>
      <c r="S451" s="4" t="s">
        <v>207</v>
      </c>
      <c r="T451" s="4" t="s">
        <v>604</v>
      </c>
      <c r="U451" s="4">
        <v>20</v>
      </c>
      <c r="V451" s="4">
        <v>22</v>
      </c>
      <c r="W451" s="4">
        <v>67</v>
      </c>
    </row>
    <row r="452" spans="1:23" ht="11.25" customHeight="1" x14ac:dyDescent="0.25">
      <c r="A452" s="4" t="s">
        <v>21</v>
      </c>
      <c r="B452" s="4" t="s">
        <v>41</v>
      </c>
      <c r="C452" s="4" t="s">
        <v>40</v>
      </c>
      <c r="D452" s="4" t="s">
        <v>38</v>
      </c>
      <c r="E452" s="4" t="s">
        <v>25</v>
      </c>
      <c r="F452" s="4" t="s">
        <v>25</v>
      </c>
      <c r="G452" s="4" t="s">
        <v>25</v>
      </c>
      <c r="H452" s="4" t="s">
        <v>35</v>
      </c>
      <c r="I452" s="5">
        <v>44531</v>
      </c>
      <c r="J452" s="6">
        <v>1265</v>
      </c>
      <c r="K452" s="6">
        <v>1265</v>
      </c>
      <c r="L452" s="6">
        <v>204.10499999999999</v>
      </c>
      <c r="M452" s="6">
        <v>204.10499999999999</v>
      </c>
      <c r="N452" s="6">
        <v>204.10499999999999</v>
      </c>
      <c r="O452" s="6">
        <v>204.10499999999999</v>
      </c>
      <c r="P452" s="6">
        <v>0</v>
      </c>
      <c r="Q452" s="4" t="s">
        <v>26</v>
      </c>
      <c r="R452" s="4">
        <v>0</v>
      </c>
      <c r="S452" s="4" t="s">
        <v>208</v>
      </c>
      <c r="T452" s="4" t="s">
        <v>605</v>
      </c>
      <c r="U452" s="4">
        <v>20</v>
      </c>
      <c r="V452" s="4">
        <v>22</v>
      </c>
      <c r="W452" s="4">
        <v>67</v>
      </c>
    </row>
    <row r="453" spans="1:23" ht="11.25" customHeight="1" x14ac:dyDescent="0.25">
      <c r="A453" s="4" t="s">
        <v>28</v>
      </c>
      <c r="B453" s="4" t="s">
        <v>41</v>
      </c>
      <c r="C453" s="4" t="s">
        <v>40</v>
      </c>
      <c r="D453" s="4" t="s">
        <v>38</v>
      </c>
      <c r="E453" s="4" t="s">
        <v>25</v>
      </c>
      <c r="F453" s="4" t="s">
        <v>25</v>
      </c>
      <c r="G453" s="4" t="s">
        <v>25</v>
      </c>
      <c r="H453" s="4" t="s">
        <v>35</v>
      </c>
      <c r="I453" s="5">
        <v>44531</v>
      </c>
      <c r="J453" s="6">
        <v>230</v>
      </c>
      <c r="K453" s="6">
        <v>230</v>
      </c>
      <c r="L453" s="6">
        <v>8.64</v>
      </c>
      <c r="M453" s="6">
        <v>8.64</v>
      </c>
      <c r="N453" s="6">
        <v>8.64</v>
      </c>
      <c r="O453" s="6">
        <v>8.64</v>
      </c>
      <c r="P453" s="6">
        <v>0</v>
      </c>
      <c r="Q453" s="4" t="s">
        <v>26</v>
      </c>
      <c r="R453" s="4">
        <v>0</v>
      </c>
      <c r="S453" s="4" t="s">
        <v>208</v>
      </c>
      <c r="T453" s="4" t="s">
        <v>605</v>
      </c>
      <c r="U453" s="4">
        <v>20</v>
      </c>
      <c r="V453" s="4">
        <v>22</v>
      </c>
      <c r="W453" s="4">
        <v>67</v>
      </c>
    </row>
    <row r="454" spans="1:23" ht="11.25" customHeight="1" x14ac:dyDescent="0.25">
      <c r="A454" s="4" t="s">
        <v>21</v>
      </c>
      <c r="B454" s="4" t="s">
        <v>41</v>
      </c>
      <c r="C454" s="4" t="s">
        <v>40</v>
      </c>
      <c r="D454" s="4" t="s">
        <v>38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44562</v>
      </c>
      <c r="J454" s="6">
        <v>783</v>
      </c>
      <c r="K454" s="6">
        <v>783</v>
      </c>
      <c r="L454" s="6">
        <v>85.57</v>
      </c>
      <c r="M454" s="6">
        <v>85.57</v>
      </c>
      <c r="N454" s="6">
        <v>85.57</v>
      </c>
      <c r="O454" s="6">
        <v>85.57</v>
      </c>
      <c r="P454" s="6">
        <v>0</v>
      </c>
      <c r="Q454" s="4" t="s">
        <v>26</v>
      </c>
      <c r="R454" s="4">
        <v>0</v>
      </c>
      <c r="S454" s="4" t="s">
        <v>209</v>
      </c>
      <c r="T454" s="4" t="s">
        <v>606</v>
      </c>
      <c r="U454" s="4">
        <v>20</v>
      </c>
      <c r="V454" s="4">
        <v>22</v>
      </c>
      <c r="W454" s="4">
        <v>67</v>
      </c>
    </row>
    <row r="455" spans="1:23" ht="11.25" customHeight="1" x14ac:dyDescent="0.25">
      <c r="A455" s="4" t="s">
        <v>28</v>
      </c>
      <c r="B455" s="4" t="s">
        <v>41</v>
      </c>
      <c r="C455" s="4" t="s">
        <v>40</v>
      </c>
      <c r="D455" s="4" t="s">
        <v>38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44562</v>
      </c>
      <c r="J455" s="6">
        <v>230</v>
      </c>
      <c r="K455" s="6">
        <v>230</v>
      </c>
      <c r="L455" s="6">
        <v>3.6429999999999998</v>
      </c>
      <c r="M455" s="6">
        <v>3.6429999999999998</v>
      </c>
      <c r="N455" s="6">
        <v>3.6429999999999998</v>
      </c>
      <c r="O455" s="6">
        <v>3.6429999999999998</v>
      </c>
      <c r="P455" s="6">
        <v>0</v>
      </c>
      <c r="Q455" s="4" t="s">
        <v>26</v>
      </c>
      <c r="R455" s="4">
        <v>0</v>
      </c>
      <c r="S455" s="4" t="s">
        <v>209</v>
      </c>
      <c r="T455" s="4" t="s">
        <v>606</v>
      </c>
      <c r="U455" s="4">
        <v>20</v>
      </c>
      <c r="V455" s="4">
        <v>22</v>
      </c>
      <c r="W455" s="4">
        <v>67</v>
      </c>
    </row>
    <row r="456" spans="1:23" ht="11.25" customHeight="1" x14ac:dyDescent="0.25">
      <c r="A456" s="4" t="s">
        <v>21</v>
      </c>
      <c r="B456" s="4" t="s">
        <v>41</v>
      </c>
      <c r="C456" s="4" t="s">
        <v>40</v>
      </c>
      <c r="D456" s="4" t="s">
        <v>38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44593</v>
      </c>
      <c r="J456" s="6">
        <v>799</v>
      </c>
      <c r="K456" s="6">
        <v>799</v>
      </c>
      <c r="L456" s="6">
        <v>122.378</v>
      </c>
      <c r="M456" s="6">
        <v>122.378</v>
      </c>
      <c r="N456" s="6">
        <v>122.378</v>
      </c>
      <c r="O456" s="6">
        <v>122.378</v>
      </c>
      <c r="P456" s="6">
        <v>0</v>
      </c>
      <c r="Q456" s="4" t="s">
        <v>26</v>
      </c>
      <c r="R456" s="4">
        <v>0</v>
      </c>
      <c r="S456" s="4" t="s">
        <v>210</v>
      </c>
      <c r="T456" s="4" t="s">
        <v>607</v>
      </c>
      <c r="U456" s="4">
        <v>20</v>
      </c>
      <c r="V456" s="4">
        <v>22</v>
      </c>
      <c r="W456" s="4">
        <v>67</v>
      </c>
    </row>
    <row r="457" spans="1:23" ht="11.25" customHeight="1" x14ac:dyDescent="0.25">
      <c r="A457" s="4" t="s">
        <v>28</v>
      </c>
      <c r="B457" s="4" t="s">
        <v>41</v>
      </c>
      <c r="C457" s="4" t="s">
        <v>40</v>
      </c>
      <c r="D457" s="4" t="s">
        <v>38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44593</v>
      </c>
      <c r="J457" s="6">
        <v>230</v>
      </c>
      <c r="K457" s="6">
        <v>230</v>
      </c>
      <c r="L457" s="6">
        <v>7.6269999999999998</v>
      </c>
      <c r="M457" s="6">
        <v>7.6269999999999998</v>
      </c>
      <c r="N457" s="6">
        <v>7.6269999999999998</v>
      </c>
      <c r="O457" s="6">
        <v>7.6269999999999998</v>
      </c>
      <c r="P457" s="6">
        <v>0</v>
      </c>
      <c r="Q457" s="4" t="s">
        <v>26</v>
      </c>
      <c r="R457" s="4">
        <v>0</v>
      </c>
      <c r="S457" s="4" t="s">
        <v>210</v>
      </c>
      <c r="T457" s="4" t="s">
        <v>607</v>
      </c>
      <c r="U457" s="4">
        <v>20</v>
      </c>
      <c r="V457" s="4">
        <v>22</v>
      </c>
      <c r="W457" s="4">
        <v>67</v>
      </c>
    </row>
    <row r="458" spans="1:23" ht="11.25" customHeight="1" x14ac:dyDescent="0.25">
      <c r="A458" s="4" t="s">
        <v>21</v>
      </c>
      <c r="B458" s="4" t="s">
        <v>41</v>
      </c>
      <c r="C458" s="4" t="s">
        <v>40</v>
      </c>
      <c r="D458" s="4" t="s">
        <v>38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44621</v>
      </c>
      <c r="J458" s="6">
        <v>767</v>
      </c>
      <c r="K458" s="6">
        <v>767</v>
      </c>
      <c r="L458" s="6">
        <v>97.004999999999995</v>
      </c>
      <c r="M458" s="6">
        <v>97.004999999999995</v>
      </c>
      <c r="N458" s="6">
        <v>97.004999999999995</v>
      </c>
      <c r="O458" s="6">
        <v>97.004999999999995</v>
      </c>
      <c r="P458" s="6">
        <v>0</v>
      </c>
      <c r="Q458" s="4" t="s">
        <v>26</v>
      </c>
      <c r="R458" s="4">
        <v>0</v>
      </c>
      <c r="S458" s="4" t="s">
        <v>211</v>
      </c>
      <c r="T458" s="4" t="s">
        <v>608</v>
      </c>
      <c r="U458" s="4">
        <v>20</v>
      </c>
      <c r="V458" s="4">
        <v>22</v>
      </c>
      <c r="W458" s="4">
        <v>67</v>
      </c>
    </row>
    <row r="459" spans="1:23" ht="11.25" customHeight="1" x14ac:dyDescent="0.25">
      <c r="A459" s="4" t="s">
        <v>28</v>
      </c>
      <c r="B459" s="4" t="s">
        <v>41</v>
      </c>
      <c r="C459" s="4" t="s">
        <v>40</v>
      </c>
      <c r="D459" s="4" t="s">
        <v>38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44621</v>
      </c>
      <c r="J459" s="6">
        <v>230</v>
      </c>
      <c r="K459" s="6">
        <v>230</v>
      </c>
      <c r="L459" s="6">
        <v>13.53</v>
      </c>
      <c r="M459" s="6">
        <v>13.53</v>
      </c>
      <c r="N459" s="6">
        <v>13.53</v>
      </c>
      <c r="O459" s="6">
        <v>13.53</v>
      </c>
      <c r="P459" s="6">
        <v>0</v>
      </c>
      <c r="Q459" s="4" t="s">
        <v>26</v>
      </c>
      <c r="R459" s="4">
        <v>0</v>
      </c>
      <c r="S459" s="4" t="s">
        <v>211</v>
      </c>
      <c r="T459" s="4" t="s">
        <v>608</v>
      </c>
      <c r="U459" s="4">
        <v>20</v>
      </c>
      <c r="V459" s="4">
        <v>22</v>
      </c>
      <c r="W459" s="4">
        <v>67</v>
      </c>
    </row>
    <row r="460" spans="1:23" ht="11.25" customHeight="1" x14ac:dyDescent="0.25">
      <c r="A460" s="4" t="s">
        <v>21</v>
      </c>
      <c r="B460" s="4" t="s">
        <v>41</v>
      </c>
      <c r="C460" s="4" t="s">
        <v>40</v>
      </c>
      <c r="D460" s="4" t="s">
        <v>38</v>
      </c>
      <c r="E460" s="4" t="s">
        <v>25</v>
      </c>
      <c r="F460" s="4" t="s">
        <v>25</v>
      </c>
      <c r="G460" s="4" t="s">
        <v>25</v>
      </c>
      <c r="H460" s="4" t="s">
        <v>35</v>
      </c>
      <c r="I460" s="5">
        <v>44652</v>
      </c>
      <c r="J460" s="6">
        <v>765</v>
      </c>
      <c r="K460" s="6">
        <v>765</v>
      </c>
      <c r="L460" s="6">
        <v>101.637</v>
      </c>
      <c r="M460" s="6">
        <v>101.637</v>
      </c>
      <c r="N460" s="6">
        <v>101.637</v>
      </c>
      <c r="O460" s="6">
        <v>101.637</v>
      </c>
      <c r="P460" s="6">
        <v>0</v>
      </c>
      <c r="Q460" s="4" t="s">
        <v>26</v>
      </c>
      <c r="R460" s="4">
        <v>0</v>
      </c>
      <c r="S460" s="4" t="s">
        <v>212</v>
      </c>
      <c r="T460" s="4" t="s">
        <v>609</v>
      </c>
      <c r="U460" s="4">
        <v>20</v>
      </c>
      <c r="V460" s="4">
        <v>22</v>
      </c>
      <c r="W460" s="4">
        <v>67</v>
      </c>
    </row>
    <row r="461" spans="1:23" ht="11.25" customHeight="1" x14ac:dyDescent="0.25">
      <c r="A461" s="4" t="s">
        <v>28</v>
      </c>
      <c r="B461" s="4" t="s">
        <v>41</v>
      </c>
      <c r="C461" s="4" t="s">
        <v>40</v>
      </c>
      <c r="D461" s="4" t="s">
        <v>38</v>
      </c>
      <c r="E461" s="4" t="s">
        <v>25</v>
      </c>
      <c r="F461" s="4" t="s">
        <v>25</v>
      </c>
      <c r="G461" s="4" t="s">
        <v>25</v>
      </c>
      <c r="H461" s="4" t="s">
        <v>35</v>
      </c>
      <c r="I461" s="5">
        <v>44652</v>
      </c>
      <c r="J461" s="6">
        <v>230</v>
      </c>
      <c r="K461" s="6">
        <v>230</v>
      </c>
      <c r="L461" s="6">
        <v>16.568999999999999</v>
      </c>
      <c r="M461" s="6">
        <v>16.568999999999999</v>
      </c>
      <c r="N461" s="6">
        <v>16.568999999999999</v>
      </c>
      <c r="O461" s="6">
        <v>16.568999999999999</v>
      </c>
      <c r="P461" s="6">
        <v>0</v>
      </c>
      <c r="Q461" s="4" t="s">
        <v>26</v>
      </c>
      <c r="R461" s="4">
        <v>0</v>
      </c>
      <c r="S461" s="4" t="s">
        <v>212</v>
      </c>
      <c r="T461" s="4" t="s">
        <v>609</v>
      </c>
      <c r="U461" s="4">
        <v>20</v>
      </c>
      <c r="V461" s="4">
        <v>22</v>
      </c>
      <c r="W461" s="4">
        <v>67</v>
      </c>
    </row>
    <row r="462" spans="1:23" ht="11.25" customHeight="1" x14ac:dyDescent="0.25">
      <c r="A462" s="4" t="s">
        <v>21</v>
      </c>
      <c r="B462" s="4" t="s">
        <v>41</v>
      </c>
      <c r="C462" s="4" t="s">
        <v>40</v>
      </c>
      <c r="D462" s="4" t="s">
        <v>38</v>
      </c>
      <c r="E462" s="4" t="s">
        <v>25</v>
      </c>
      <c r="F462" s="4" t="s">
        <v>25</v>
      </c>
      <c r="G462" s="4" t="s">
        <v>25</v>
      </c>
      <c r="H462" s="4" t="s">
        <v>35</v>
      </c>
      <c r="I462" s="5">
        <v>44682</v>
      </c>
      <c r="J462" s="6">
        <v>767</v>
      </c>
      <c r="K462" s="6">
        <v>767</v>
      </c>
      <c r="L462" s="6">
        <v>108.212</v>
      </c>
      <c r="M462" s="6">
        <v>108.212</v>
      </c>
      <c r="N462" s="6">
        <v>108.212</v>
      </c>
      <c r="O462" s="6">
        <v>108.212</v>
      </c>
      <c r="P462" s="6">
        <v>0</v>
      </c>
      <c r="Q462" s="4" t="s">
        <v>26</v>
      </c>
      <c r="R462" s="4">
        <v>0</v>
      </c>
      <c r="S462" s="4" t="s">
        <v>213</v>
      </c>
      <c r="T462" s="4" t="s">
        <v>610</v>
      </c>
      <c r="U462" s="4">
        <v>20</v>
      </c>
      <c r="V462" s="4">
        <v>22</v>
      </c>
      <c r="W462" s="4">
        <v>67</v>
      </c>
    </row>
    <row r="463" spans="1:23" ht="11.25" customHeight="1" x14ac:dyDescent="0.25">
      <c r="A463" s="4" t="s">
        <v>28</v>
      </c>
      <c r="B463" s="4" t="s">
        <v>41</v>
      </c>
      <c r="C463" s="4" t="s">
        <v>40</v>
      </c>
      <c r="D463" s="4" t="s">
        <v>38</v>
      </c>
      <c r="E463" s="4" t="s">
        <v>25</v>
      </c>
      <c r="F463" s="4" t="s">
        <v>25</v>
      </c>
      <c r="G463" s="4" t="s">
        <v>25</v>
      </c>
      <c r="H463" s="4" t="s">
        <v>35</v>
      </c>
      <c r="I463" s="5">
        <v>44682</v>
      </c>
      <c r="J463" s="6">
        <v>230</v>
      </c>
      <c r="K463" s="6">
        <v>230</v>
      </c>
      <c r="L463" s="6">
        <v>27.782</v>
      </c>
      <c r="M463" s="6">
        <v>27.782</v>
      </c>
      <c r="N463" s="6">
        <v>27.782</v>
      </c>
      <c r="O463" s="6">
        <v>27.782</v>
      </c>
      <c r="P463" s="6">
        <v>0</v>
      </c>
      <c r="Q463" s="4" t="s">
        <v>26</v>
      </c>
      <c r="R463" s="4">
        <v>0</v>
      </c>
      <c r="S463" s="4" t="s">
        <v>213</v>
      </c>
      <c r="T463" s="4" t="s">
        <v>610</v>
      </c>
      <c r="U463" s="4">
        <v>20</v>
      </c>
      <c r="V463" s="4">
        <v>22</v>
      </c>
      <c r="W463" s="4">
        <v>67</v>
      </c>
    </row>
    <row r="464" spans="1:23" ht="11.25" customHeight="1" x14ac:dyDescent="0.25">
      <c r="A464" s="4" t="s">
        <v>21</v>
      </c>
      <c r="B464" s="4" t="s">
        <v>41</v>
      </c>
      <c r="C464" s="4" t="s">
        <v>40</v>
      </c>
      <c r="D464" s="4" t="s">
        <v>38</v>
      </c>
      <c r="E464" s="4" t="s">
        <v>25</v>
      </c>
      <c r="F464" s="4" t="s">
        <v>25</v>
      </c>
      <c r="G464" s="4" t="s">
        <v>25</v>
      </c>
      <c r="H464" s="4" t="s">
        <v>35</v>
      </c>
      <c r="I464" s="5">
        <v>44713</v>
      </c>
      <c r="J464" s="6">
        <v>765</v>
      </c>
      <c r="K464" s="6">
        <v>765</v>
      </c>
      <c r="L464" s="6">
        <v>102.377</v>
      </c>
      <c r="M464" s="6">
        <v>102.377</v>
      </c>
      <c r="N464" s="6">
        <v>102.377</v>
      </c>
      <c r="O464" s="6">
        <v>102.377</v>
      </c>
      <c r="P464" s="6">
        <v>0</v>
      </c>
      <c r="Q464" s="4" t="s">
        <v>26</v>
      </c>
      <c r="R464" s="4">
        <v>0</v>
      </c>
      <c r="S464" s="4" t="s">
        <v>214</v>
      </c>
      <c r="T464" s="4" t="s">
        <v>611</v>
      </c>
      <c r="U464" s="4">
        <v>20</v>
      </c>
      <c r="V464" s="4">
        <v>22</v>
      </c>
      <c r="W464" s="4">
        <v>67</v>
      </c>
    </row>
    <row r="465" spans="1:23" ht="11.25" customHeight="1" x14ac:dyDescent="0.25">
      <c r="A465" s="4" t="s">
        <v>28</v>
      </c>
      <c r="B465" s="4" t="s">
        <v>41</v>
      </c>
      <c r="C465" s="4" t="s">
        <v>40</v>
      </c>
      <c r="D465" s="4" t="s">
        <v>38</v>
      </c>
      <c r="E465" s="4" t="s">
        <v>25</v>
      </c>
      <c r="F465" s="4" t="s">
        <v>25</v>
      </c>
      <c r="G465" s="4" t="s">
        <v>25</v>
      </c>
      <c r="H465" s="4" t="s">
        <v>35</v>
      </c>
      <c r="I465" s="5">
        <v>44713</v>
      </c>
      <c r="J465" s="6">
        <v>230</v>
      </c>
      <c r="K465" s="6">
        <v>230</v>
      </c>
      <c r="L465" s="6">
        <v>24.739000000000001</v>
      </c>
      <c r="M465" s="6">
        <v>24.739000000000001</v>
      </c>
      <c r="N465" s="6">
        <v>24.739000000000001</v>
      </c>
      <c r="O465" s="6">
        <v>24.739000000000001</v>
      </c>
      <c r="P465" s="6">
        <v>0</v>
      </c>
      <c r="Q465" s="4" t="s">
        <v>26</v>
      </c>
      <c r="R465" s="4">
        <v>0</v>
      </c>
      <c r="S465" s="4" t="s">
        <v>214</v>
      </c>
      <c r="T465" s="4" t="s">
        <v>611</v>
      </c>
      <c r="U465" s="4">
        <v>20</v>
      </c>
      <c r="V465" s="4">
        <v>22</v>
      </c>
      <c r="W465" s="4">
        <v>67</v>
      </c>
    </row>
    <row r="466" spans="1:23" ht="11.25" customHeight="1" x14ac:dyDescent="0.25">
      <c r="A466" s="4" t="s">
        <v>57</v>
      </c>
      <c r="B466" s="4" t="s">
        <v>41</v>
      </c>
      <c r="C466" s="4" t="s">
        <v>40</v>
      </c>
      <c r="D466" s="4" t="s">
        <v>38</v>
      </c>
      <c r="E466" s="4" t="s">
        <v>25</v>
      </c>
      <c r="F466" s="4" t="s">
        <v>25</v>
      </c>
      <c r="G466" s="4" t="s">
        <v>25</v>
      </c>
      <c r="H466" s="4" t="s">
        <v>35</v>
      </c>
      <c r="I466" s="5">
        <v>44743</v>
      </c>
      <c r="J466" s="6">
        <v>765</v>
      </c>
      <c r="K466" s="6">
        <v>765</v>
      </c>
      <c r="L466" s="6">
        <v>102.377</v>
      </c>
      <c r="M466" s="6">
        <v>102.377</v>
      </c>
      <c r="N466" s="6">
        <v>102.377</v>
      </c>
      <c r="O466" s="6">
        <v>102.377</v>
      </c>
      <c r="P466" s="6">
        <v>0</v>
      </c>
      <c r="Q466" s="4" t="s">
        <v>26</v>
      </c>
      <c r="R466" s="4">
        <v>0</v>
      </c>
      <c r="S466" s="4" t="s">
        <v>215</v>
      </c>
      <c r="T466" s="4" t="s">
        <v>612</v>
      </c>
      <c r="U466" s="4">
        <v>20</v>
      </c>
      <c r="V466" s="4">
        <v>22</v>
      </c>
      <c r="W466" s="4">
        <v>67</v>
      </c>
    </row>
    <row r="467" spans="1:23" ht="11.25" customHeight="1" x14ac:dyDescent="0.25">
      <c r="A467" s="4" t="s">
        <v>57</v>
      </c>
      <c r="B467" s="4" t="s">
        <v>41</v>
      </c>
      <c r="C467" s="4" t="s">
        <v>40</v>
      </c>
      <c r="D467" s="4" t="s">
        <v>38</v>
      </c>
      <c r="E467" s="4" t="s">
        <v>25</v>
      </c>
      <c r="F467" s="4" t="s">
        <v>25</v>
      </c>
      <c r="G467" s="4" t="s">
        <v>25</v>
      </c>
      <c r="H467" s="4" t="s">
        <v>35</v>
      </c>
      <c r="I467" s="5">
        <v>44743</v>
      </c>
      <c r="J467" s="6">
        <v>230</v>
      </c>
      <c r="K467" s="6">
        <v>230</v>
      </c>
      <c r="L467" s="6">
        <v>24.739000000000001</v>
      </c>
      <c r="M467" s="6">
        <v>24.739000000000001</v>
      </c>
      <c r="N467" s="6">
        <v>24.739000000000001</v>
      </c>
      <c r="O467" s="6">
        <v>24.739000000000001</v>
      </c>
      <c r="P467" s="6">
        <v>0</v>
      </c>
      <c r="Q467" s="4" t="s">
        <v>26</v>
      </c>
      <c r="R467" s="4">
        <v>0</v>
      </c>
      <c r="S467" s="4" t="s">
        <v>215</v>
      </c>
      <c r="T467" s="4" t="s">
        <v>612</v>
      </c>
      <c r="U467" s="4">
        <v>20</v>
      </c>
      <c r="V467" s="4">
        <v>22</v>
      </c>
      <c r="W467" s="4">
        <v>67</v>
      </c>
    </row>
    <row r="468" spans="1:23" ht="11.25" customHeight="1" x14ac:dyDescent="0.25">
      <c r="A468" s="4" t="s">
        <v>21</v>
      </c>
      <c r="B468" s="4" t="s">
        <v>41</v>
      </c>
      <c r="C468" s="4" t="s">
        <v>40</v>
      </c>
      <c r="D468" s="4" t="s">
        <v>38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44409</v>
      </c>
      <c r="J468" s="6">
        <v>0</v>
      </c>
      <c r="K468" s="6">
        <v>0</v>
      </c>
      <c r="L468" s="6">
        <v>1794.596</v>
      </c>
      <c r="M468" s="6">
        <v>1794.596</v>
      </c>
      <c r="N468" s="6">
        <v>0</v>
      </c>
      <c r="O468" s="6">
        <v>0</v>
      </c>
      <c r="P468" s="6">
        <v>1</v>
      </c>
      <c r="Q468" s="4" t="s">
        <v>58</v>
      </c>
      <c r="R468" s="4">
        <v>0</v>
      </c>
      <c r="S468" s="4" t="s">
        <v>216</v>
      </c>
      <c r="U468" s="4">
        <v>0</v>
      </c>
      <c r="V468" s="4">
        <v>22</v>
      </c>
      <c r="W468" s="4">
        <v>0</v>
      </c>
    </row>
    <row r="469" spans="1:23" ht="11.25" customHeight="1" x14ac:dyDescent="0.25">
      <c r="A469" s="4" t="s">
        <v>21</v>
      </c>
      <c r="B469" s="4" t="s">
        <v>41</v>
      </c>
      <c r="C469" s="4" t="s">
        <v>40</v>
      </c>
      <c r="D469" s="4" t="s">
        <v>38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44440</v>
      </c>
      <c r="J469" s="6">
        <v>0</v>
      </c>
      <c r="K469" s="6">
        <v>0</v>
      </c>
      <c r="L469" s="6">
        <v>1644.855</v>
      </c>
      <c r="M469" s="6">
        <v>1644.855</v>
      </c>
      <c r="N469" s="6">
        <v>0</v>
      </c>
      <c r="O469" s="6">
        <v>0</v>
      </c>
      <c r="P469" s="6">
        <v>1</v>
      </c>
      <c r="Q469" s="4" t="s">
        <v>58</v>
      </c>
      <c r="R469" s="4">
        <v>0</v>
      </c>
      <c r="S469" s="4" t="s">
        <v>229</v>
      </c>
      <c r="U469" s="4">
        <v>0</v>
      </c>
      <c r="V469" s="4">
        <v>22</v>
      </c>
      <c r="W469" s="4">
        <v>0</v>
      </c>
    </row>
    <row r="470" spans="1:23" ht="11.25" customHeight="1" x14ac:dyDescent="0.25">
      <c r="A470" s="4" t="s">
        <v>21</v>
      </c>
      <c r="B470" s="4" t="s">
        <v>41</v>
      </c>
      <c r="C470" s="4" t="s">
        <v>40</v>
      </c>
      <c r="D470" s="4" t="s">
        <v>38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44470</v>
      </c>
      <c r="J470" s="6">
        <v>0</v>
      </c>
      <c r="K470" s="6">
        <v>0</v>
      </c>
      <c r="L470" s="6">
        <v>1789.5329999999999</v>
      </c>
      <c r="M470" s="6">
        <v>1789.5329999999999</v>
      </c>
      <c r="N470" s="6">
        <v>0</v>
      </c>
      <c r="O470" s="6">
        <v>0</v>
      </c>
      <c r="P470" s="6">
        <v>1</v>
      </c>
      <c r="Q470" s="4" t="s">
        <v>58</v>
      </c>
      <c r="R470" s="4">
        <v>0</v>
      </c>
      <c r="S470" s="4" t="s">
        <v>230</v>
      </c>
      <c r="U470" s="4">
        <v>0</v>
      </c>
      <c r="V470" s="4">
        <v>22</v>
      </c>
      <c r="W470" s="4">
        <v>0</v>
      </c>
    </row>
    <row r="471" spans="1:23" ht="11.25" customHeight="1" x14ac:dyDescent="0.25">
      <c r="A471" s="4" t="s">
        <v>21</v>
      </c>
      <c r="B471" s="4" t="s">
        <v>41</v>
      </c>
      <c r="C471" s="4" t="s">
        <v>40</v>
      </c>
      <c r="D471" s="4" t="s">
        <v>38</v>
      </c>
      <c r="E471" s="4" t="s">
        <v>25</v>
      </c>
      <c r="F471" s="4" t="s">
        <v>25</v>
      </c>
      <c r="G471" s="4" t="s">
        <v>25</v>
      </c>
      <c r="H471" s="4" t="s">
        <v>34</v>
      </c>
      <c r="I471" s="5">
        <v>44409</v>
      </c>
      <c r="J471" s="6">
        <v>678</v>
      </c>
      <c r="K471" s="6">
        <v>678</v>
      </c>
      <c r="L471" s="6">
        <v>15.446</v>
      </c>
      <c r="M471" s="6">
        <v>15.446</v>
      </c>
      <c r="N471" s="6">
        <v>15.446</v>
      </c>
      <c r="O471" s="6">
        <v>15.446</v>
      </c>
      <c r="P471" s="6">
        <v>0</v>
      </c>
      <c r="Q471" s="4" t="s">
        <v>26</v>
      </c>
      <c r="R471" s="4">
        <v>0</v>
      </c>
      <c r="S471" s="4" t="s">
        <v>217</v>
      </c>
      <c r="T471" s="4" t="s">
        <v>613</v>
      </c>
      <c r="U471" s="4">
        <v>18</v>
      </c>
      <c r="V471" s="4">
        <v>22</v>
      </c>
      <c r="W471" s="4">
        <v>66</v>
      </c>
    </row>
    <row r="472" spans="1:23" ht="11.25" customHeight="1" x14ac:dyDescent="0.25">
      <c r="A472" s="4" t="s">
        <v>28</v>
      </c>
      <c r="B472" s="4" t="s">
        <v>41</v>
      </c>
      <c r="C472" s="4" t="s">
        <v>40</v>
      </c>
      <c r="D472" s="4" t="s">
        <v>38</v>
      </c>
      <c r="E472" s="4" t="s">
        <v>25</v>
      </c>
      <c r="F472" s="4" t="s">
        <v>25</v>
      </c>
      <c r="G472" s="4" t="s">
        <v>25</v>
      </c>
      <c r="H472" s="4" t="s">
        <v>34</v>
      </c>
      <c r="I472" s="5">
        <v>44409</v>
      </c>
      <c r="J472" s="6">
        <v>8</v>
      </c>
      <c r="K472" s="6">
        <v>8</v>
      </c>
      <c r="L472" s="6">
        <v>0.48</v>
      </c>
      <c r="M472" s="6">
        <v>0.48</v>
      </c>
      <c r="N472" s="6">
        <v>0.48</v>
      </c>
      <c r="O472" s="6">
        <v>0.48</v>
      </c>
      <c r="P472" s="6">
        <v>0</v>
      </c>
      <c r="Q472" s="4" t="s">
        <v>26</v>
      </c>
      <c r="R472" s="4">
        <v>0</v>
      </c>
      <c r="S472" s="4" t="s">
        <v>217</v>
      </c>
      <c r="T472" s="4" t="s">
        <v>613</v>
      </c>
      <c r="U472" s="4">
        <v>18</v>
      </c>
      <c r="V472" s="4">
        <v>22</v>
      </c>
      <c r="W472" s="4">
        <v>66</v>
      </c>
    </row>
    <row r="473" spans="1:23" ht="11.25" customHeight="1" x14ac:dyDescent="0.25">
      <c r="A473" s="4" t="s">
        <v>21</v>
      </c>
      <c r="B473" s="4" t="s">
        <v>41</v>
      </c>
      <c r="C473" s="4" t="s">
        <v>40</v>
      </c>
      <c r="D473" s="4" t="s">
        <v>38</v>
      </c>
      <c r="E473" s="4" t="s">
        <v>25</v>
      </c>
      <c r="F473" s="4" t="s">
        <v>25</v>
      </c>
      <c r="G473" s="4" t="s">
        <v>25</v>
      </c>
      <c r="H473" s="4" t="s">
        <v>34</v>
      </c>
      <c r="I473" s="5">
        <v>44409</v>
      </c>
      <c r="J473" s="6">
        <v>3410</v>
      </c>
      <c r="K473" s="6">
        <v>3410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4" t="s">
        <v>58</v>
      </c>
      <c r="R473" s="4">
        <v>0</v>
      </c>
      <c r="S473" s="4" t="s">
        <v>217</v>
      </c>
      <c r="U473" s="4">
        <v>18</v>
      </c>
      <c r="V473" s="4">
        <v>0</v>
      </c>
      <c r="W473" s="4">
        <v>0</v>
      </c>
    </row>
    <row r="474" spans="1:23" ht="11.25" customHeight="1" x14ac:dyDescent="0.25">
      <c r="A474" s="4" t="s">
        <v>21</v>
      </c>
      <c r="B474" s="4" t="s">
        <v>41</v>
      </c>
      <c r="C474" s="4" t="s">
        <v>40</v>
      </c>
      <c r="D474" s="4" t="s">
        <v>38</v>
      </c>
      <c r="E474" s="4" t="s">
        <v>25</v>
      </c>
      <c r="F474" s="4" t="s">
        <v>25</v>
      </c>
      <c r="G474" s="4" t="s">
        <v>25</v>
      </c>
      <c r="H474" s="4" t="s">
        <v>34</v>
      </c>
      <c r="I474" s="5">
        <v>44440</v>
      </c>
      <c r="J474" s="6">
        <v>728</v>
      </c>
      <c r="K474" s="6">
        <v>728</v>
      </c>
      <c r="L474" s="6">
        <v>16.795000000000002</v>
      </c>
      <c r="M474" s="6">
        <v>16.795000000000002</v>
      </c>
      <c r="N474" s="6">
        <v>16.795000000000002</v>
      </c>
      <c r="O474" s="6">
        <v>16.795000000000002</v>
      </c>
      <c r="P474" s="6">
        <v>0</v>
      </c>
      <c r="Q474" s="4" t="s">
        <v>26</v>
      </c>
      <c r="R474" s="4">
        <v>0</v>
      </c>
      <c r="S474" s="4" t="s">
        <v>218</v>
      </c>
      <c r="T474" s="4" t="s">
        <v>614</v>
      </c>
      <c r="U474" s="4">
        <v>18</v>
      </c>
      <c r="V474" s="4">
        <v>22</v>
      </c>
      <c r="W474" s="4">
        <v>66</v>
      </c>
    </row>
    <row r="475" spans="1:23" ht="11.25" customHeight="1" x14ac:dyDescent="0.25">
      <c r="A475" s="4" t="s">
        <v>28</v>
      </c>
      <c r="B475" s="4" t="s">
        <v>41</v>
      </c>
      <c r="C475" s="4" t="s">
        <v>40</v>
      </c>
      <c r="D475" s="4" t="s">
        <v>38</v>
      </c>
      <c r="E475" s="4" t="s">
        <v>25</v>
      </c>
      <c r="F475" s="4" t="s">
        <v>25</v>
      </c>
      <c r="G475" s="4" t="s">
        <v>25</v>
      </c>
      <c r="H475" s="4" t="s">
        <v>34</v>
      </c>
      <c r="I475" s="5">
        <v>44440</v>
      </c>
      <c r="J475" s="6">
        <v>8</v>
      </c>
      <c r="K475" s="6">
        <v>8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4" t="s">
        <v>26</v>
      </c>
      <c r="R475" s="4">
        <v>0</v>
      </c>
      <c r="S475" s="4" t="s">
        <v>218</v>
      </c>
      <c r="T475" s="4" t="s">
        <v>614</v>
      </c>
      <c r="U475" s="4">
        <v>18</v>
      </c>
      <c r="V475" s="4">
        <v>0</v>
      </c>
      <c r="W475" s="4">
        <v>0</v>
      </c>
    </row>
    <row r="476" spans="1:23" ht="11.25" customHeight="1" x14ac:dyDescent="0.25">
      <c r="A476" s="4" t="s">
        <v>21</v>
      </c>
      <c r="B476" s="4" t="s">
        <v>41</v>
      </c>
      <c r="C476" s="4" t="s">
        <v>40</v>
      </c>
      <c r="D476" s="4" t="s">
        <v>38</v>
      </c>
      <c r="E476" s="4" t="s">
        <v>25</v>
      </c>
      <c r="F476" s="4" t="s">
        <v>25</v>
      </c>
      <c r="G476" s="4" t="s">
        <v>25</v>
      </c>
      <c r="H476" s="4" t="s">
        <v>34</v>
      </c>
      <c r="I476" s="5">
        <v>44440</v>
      </c>
      <c r="J476" s="6">
        <v>3400</v>
      </c>
      <c r="K476" s="6">
        <v>3400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4" t="s">
        <v>58</v>
      </c>
      <c r="R476" s="4">
        <v>0</v>
      </c>
      <c r="S476" s="4" t="s">
        <v>218</v>
      </c>
      <c r="U476" s="4">
        <v>18</v>
      </c>
      <c r="V476" s="4">
        <v>0</v>
      </c>
      <c r="W476" s="4">
        <v>0</v>
      </c>
    </row>
    <row r="477" spans="1:23" ht="11.25" customHeight="1" x14ac:dyDescent="0.25">
      <c r="A477" s="4" t="s">
        <v>21</v>
      </c>
      <c r="B477" s="4" t="s">
        <v>41</v>
      </c>
      <c r="C477" s="4" t="s">
        <v>40</v>
      </c>
      <c r="D477" s="4" t="s">
        <v>38</v>
      </c>
      <c r="E477" s="4" t="s">
        <v>25</v>
      </c>
      <c r="F477" s="4" t="s">
        <v>25</v>
      </c>
      <c r="G477" s="4" t="s">
        <v>25</v>
      </c>
      <c r="H477" s="4" t="s">
        <v>34</v>
      </c>
      <c r="I477" s="5">
        <v>44470</v>
      </c>
      <c r="J477" s="6">
        <v>728</v>
      </c>
      <c r="K477" s="6">
        <v>728</v>
      </c>
      <c r="L477" s="6">
        <v>16.013000000000002</v>
      </c>
      <c r="M477" s="6">
        <v>16.013000000000002</v>
      </c>
      <c r="N477" s="6">
        <v>16.013000000000002</v>
      </c>
      <c r="O477" s="6">
        <v>16.013000000000002</v>
      </c>
      <c r="P477" s="6">
        <v>0</v>
      </c>
      <c r="Q477" s="4" t="s">
        <v>26</v>
      </c>
      <c r="R477" s="4">
        <v>0</v>
      </c>
      <c r="S477" s="4" t="s">
        <v>219</v>
      </c>
      <c r="T477" s="4" t="s">
        <v>615</v>
      </c>
      <c r="U477" s="4">
        <v>18</v>
      </c>
      <c r="V477" s="4">
        <v>22</v>
      </c>
      <c r="W477" s="4">
        <v>66</v>
      </c>
    </row>
    <row r="478" spans="1:23" ht="11.25" customHeight="1" x14ac:dyDescent="0.25">
      <c r="A478" s="4" t="s">
        <v>28</v>
      </c>
      <c r="B478" s="4" t="s">
        <v>41</v>
      </c>
      <c r="C478" s="4" t="s">
        <v>40</v>
      </c>
      <c r="D478" s="4" t="s">
        <v>38</v>
      </c>
      <c r="E478" s="4" t="s">
        <v>25</v>
      </c>
      <c r="F478" s="4" t="s">
        <v>25</v>
      </c>
      <c r="G478" s="4" t="s">
        <v>25</v>
      </c>
      <c r="H478" s="4" t="s">
        <v>34</v>
      </c>
      <c r="I478" s="5">
        <v>44470</v>
      </c>
      <c r="J478" s="6">
        <v>8</v>
      </c>
      <c r="K478" s="6">
        <v>8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4" t="s">
        <v>26</v>
      </c>
      <c r="R478" s="4">
        <v>0</v>
      </c>
      <c r="S478" s="4" t="s">
        <v>219</v>
      </c>
      <c r="T478" s="4" t="s">
        <v>615</v>
      </c>
      <c r="U478" s="4">
        <v>18</v>
      </c>
      <c r="V478" s="4">
        <v>0</v>
      </c>
      <c r="W478" s="4">
        <v>0</v>
      </c>
    </row>
    <row r="479" spans="1:23" ht="11.25" customHeight="1" x14ac:dyDescent="0.25">
      <c r="A479" s="4" t="s">
        <v>21</v>
      </c>
      <c r="B479" s="4" t="s">
        <v>41</v>
      </c>
      <c r="C479" s="4" t="s">
        <v>40</v>
      </c>
      <c r="D479" s="4" t="s">
        <v>38</v>
      </c>
      <c r="E479" s="4" t="s">
        <v>25</v>
      </c>
      <c r="F479" s="4" t="s">
        <v>25</v>
      </c>
      <c r="G479" s="4" t="s">
        <v>25</v>
      </c>
      <c r="H479" s="4" t="s">
        <v>34</v>
      </c>
      <c r="I479" s="5">
        <v>44470</v>
      </c>
      <c r="J479" s="6">
        <v>3413</v>
      </c>
      <c r="K479" s="6">
        <v>3413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4" t="s">
        <v>58</v>
      </c>
      <c r="R479" s="4">
        <v>0</v>
      </c>
      <c r="S479" s="4" t="s">
        <v>219</v>
      </c>
      <c r="U479" s="4">
        <v>18</v>
      </c>
      <c r="V479" s="4">
        <v>0</v>
      </c>
      <c r="W479" s="4">
        <v>0</v>
      </c>
    </row>
    <row r="480" spans="1:23" ht="11.25" customHeight="1" x14ac:dyDescent="0.25">
      <c r="A480" s="4" t="s">
        <v>21</v>
      </c>
      <c r="B480" s="4" t="s">
        <v>41</v>
      </c>
      <c r="C480" s="4" t="s">
        <v>40</v>
      </c>
      <c r="D480" s="4" t="s">
        <v>38</v>
      </c>
      <c r="E480" s="4" t="s">
        <v>25</v>
      </c>
      <c r="F480" s="4" t="s">
        <v>25</v>
      </c>
      <c r="G480" s="4" t="s">
        <v>25</v>
      </c>
      <c r="H480" s="4" t="s">
        <v>34</v>
      </c>
      <c r="I480" s="5">
        <v>44501</v>
      </c>
      <c r="J480" s="6">
        <v>728</v>
      </c>
      <c r="K480" s="6">
        <v>728</v>
      </c>
      <c r="L480" s="6">
        <v>17.356000000000002</v>
      </c>
      <c r="M480" s="6">
        <v>17.356000000000002</v>
      </c>
      <c r="N480" s="6">
        <v>17.356000000000002</v>
      </c>
      <c r="O480" s="6">
        <v>17.356000000000002</v>
      </c>
      <c r="P480" s="6">
        <v>0</v>
      </c>
      <c r="Q480" s="4" t="s">
        <v>26</v>
      </c>
      <c r="R480" s="4">
        <v>0</v>
      </c>
      <c r="S480" s="4" t="s">
        <v>220</v>
      </c>
      <c r="T480" s="4" t="s">
        <v>616</v>
      </c>
      <c r="U480" s="4">
        <v>18</v>
      </c>
      <c r="V480" s="4">
        <v>22</v>
      </c>
      <c r="W480" s="4">
        <v>66</v>
      </c>
    </row>
    <row r="481" spans="1:23" ht="11.25" customHeight="1" x14ac:dyDescent="0.25">
      <c r="A481" s="4" t="s">
        <v>28</v>
      </c>
      <c r="B481" s="4" t="s">
        <v>41</v>
      </c>
      <c r="C481" s="4" t="s">
        <v>40</v>
      </c>
      <c r="D481" s="4" t="s">
        <v>38</v>
      </c>
      <c r="E481" s="4" t="s">
        <v>25</v>
      </c>
      <c r="F481" s="4" t="s">
        <v>25</v>
      </c>
      <c r="G481" s="4" t="s">
        <v>25</v>
      </c>
      <c r="H481" s="4" t="s">
        <v>34</v>
      </c>
      <c r="I481" s="5">
        <v>44501</v>
      </c>
      <c r="J481" s="6">
        <v>8</v>
      </c>
      <c r="K481" s="6">
        <v>8</v>
      </c>
      <c r="L481" s="6">
        <v>0.48</v>
      </c>
      <c r="M481" s="6">
        <v>0.48</v>
      </c>
      <c r="N481" s="6">
        <v>0.48</v>
      </c>
      <c r="O481" s="6">
        <v>0.48</v>
      </c>
      <c r="P481" s="6">
        <v>0</v>
      </c>
      <c r="Q481" s="4" t="s">
        <v>26</v>
      </c>
      <c r="R481" s="4">
        <v>0</v>
      </c>
      <c r="S481" s="4" t="s">
        <v>220</v>
      </c>
      <c r="T481" s="4" t="s">
        <v>616</v>
      </c>
      <c r="U481" s="4">
        <v>18</v>
      </c>
      <c r="V481" s="4">
        <v>22</v>
      </c>
      <c r="W481" s="4">
        <v>66</v>
      </c>
    </row>
    <row r="482" spans="1:23" ht="11.25" customHeight="1" x14ac:dyDescent="0.25">
      <c r="A482" s="4" t="s">
        <v>21</v>
      </c>
      <c r="B482" s="4" t="s">
        <v>41</v>
      </c>
      <c r="C482" s="4" t="s">
        <v>40</v>
      </c>
      <c r="D482" s="4" t="s">
        <v>38</v>
      </c>
      <c r="E482" s="4" t="s">
        <v>25</v>
      </c>
      <c r="F482" s="4" t="s">
        <v>25</v>
      </c>
      <c r="G482" s="4" t="s">
        <v>25</v>
      </c>
      <c r="H482" s="4" t="s">
        <v>34</v>
      </c>
      <c r="I482" s="5">
        <v>44531</v>
      </c>
      <c r="J482" s="6">
        <v>875</v>
      </c>
      <c r="K482" s="6">
        <v>875</v>
      </c>
      <c r="L482" s="6">
        <v>18.228000000000002</v>
      </c>
      <c r="M482" s="6">
        <v>18.228000000000002</v>
      </c>
      <c r="N482" s="6">
        <v>18.228000000000002</v>
      </c>
      <c r="O482" s="6">
        <v>18.228000000000002</v>
      </c>
      <c r="P482" s="6">
        <v>0</v>
      </c>
      <c r="Q482" s="4" t="s">
        <v>26</v>
      </c>
      <c r="R482" s="4">
        <v>0</v>
      </c>
      <c r="S482" s="4" t="s">
        <v>221</v>
      </c>
      <c r="T482" s="4" t="s">
        <v>617</v>
      </c>
      <c r="U482" s="4">
        <v>18</v>
      </c>
      <c r="V482" s="4">
        <v>22</v>
      </c>
      <c r="W482" s="4">
        <v>66</v>
      </c>
    </row>
    <row r="483" spans="1:23" ht="11.25" customHeight="1" x14ac:dyDescent="0.25">
      <c r="A483" s="4" t="s">
        <v>28</v>
      </c>
      <c r="B483" s="4" t="s">
        <v>41</v>
      </c>
      <c r="C483" s="4" t="s">
        <v>40</v>
      </c>
      <c r="D483" s="4" t="s">
        <v>38</v>
      </c>
      <c r="E483" s="4" t="s">
        <v>25</v>
      </c>
      <c r="F483" s="4" t="s">
        <v>25</v>
      </c>
      <c r="G483" s="4" t="s">
        <v>25</v>
      </c>
      <c r="H483" s="4" t="s">
        <v>34</v>
      </c>
      <c r="I483" s="5">
        <v>44531</v>
      </c>
      <c r="J483" s="6">
        <v>9</v>
      </c>
      <c r="K483" s="6">
        <v>9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4" t="s">
        <v>26</v>
      </c>
      <c r="R483" s="4">
        <v>0</v>
      </c>
      <c r="S483" s="4" t="s">
        <v>221</v>
      </c>
      <c r="T483" s="4" t="s">
        <v>617</v>
      </c>
      <c r="U483" s="4">
        <v>18</v>
      </c>
      <c r="V483" s="4">
        <v>0</v>
      </c>
      <c r="W483" s="4">
        <v>0</v>
      </c>
    </row>
    <row r="484" spans="1:23" ht="11.25" customHeight="1" x14ac:dyDescent="0.25">
      <c r="A484" s="4" t="s">
        <v>21</v>
      </c>
      <c r="B484" s="4" t="s">
        <v>41</v>
      </c>
      <c r="C484" s="4" t="s">
        <v>40</v>
      </c>
      <c r="D484" s="4" t="s">
        <v>38</v>
      </c>
      <c r="E484" s="4" t="s">
        <v>25</v>
      </c>
      <c r="F484" s="4" t="s">
        <v>25</v>
      </c>
      <c r="G484" s="4" t="s">
        <v>25</v>
      </c>
      <c r="H484" s="4" t="s">
        <v>34</v>
      </c>
      <c r="I484" s="5">
        <v>44562</v>
      </c>
      <c r="J484" s="6">
        <v>342</v>
      </c>
      <c r="K484" s="6">
        <v>342</v>
      </c>
      <c r="L484" s="6">
        <v>11.324999999999999</v>
      </c>
      <c r="M484" s="6">
        <v>11.324999999999999</v>
      </c>
      <c r="N484" s="6">
        <v>11.324999999999999</v>
      </c>
      <c r="O484" s="6">
        <v>11.324999999999999</v>
      </c>
      <c r="P484" s="6">
        <v>0</v>
      </c>
      <c r="Q484" s="4" t="s">
        <v>26</v>
      </c>
      <c r="R484" s="4">
        <v>0</v>
      </c>
      <c r="S484" s="4" t="s">
        <v>222</v>
      </c>
      <c r="T484" s="4" t="s">
        <v>618</v>
      </c>
      <c r="U484" s="4">
        <v>18</v>
      </c>
      <c r="V484" s="4">
        <v>22</v>
      </c>
      <c r="W484" s="4">
        <v>66</v>
      </c>
    </row>
    <row r="485" spans="1:23" ht="11.25" customHeight="1" x14ac:dyDescent="0.25">
      <c r="A485" s="4" t="s">
        <v>28</v>
      </c>
      <c r="B485" s="4" t="s">
        <v>41</v>
      </c>
      <c r="C485" s="4" t="s">
        <v>40</v>
      </c>
      <c r="D485" s="4" t="s">
        <v>38</v>
      </c>
      <c r="E485" s="4" t="s">
        <v>25</v>
      </c>
      <c r="F485" s="4" t="s">
        <v>25</v>
      </c>
      <c r="G485" s="4" t="s">
        <v>25</v>
      </c>
      <c r="H485" s="4" t="s">
        <v>34</v>
      </c>
      <c r="I485" s="5">
        <v>44562</v>
      </c>
      <c r="J485" s="6">
        <v>8</v>
      </c>
      <c r="K485" s="6">
        <v>8</v>
      </c>
      <c r="L485" s="6">
        <v>7.2999999999999995E-2</v>
      </c>
      <c r="M485" s="6">
        <v>7.2999999999999995E-2</v>
      </c>
      <c r="N485" s="6">
        <v>7.2999999999999995E-2</v>
      </c>
      <c r="O485" s="6">
        <v>7.2999999999999995E-2</v>
      </c>
      <c r="P485" s="6">
        <v>0</v>
      </c>
      <c r="Q485" s="4" t="s">
        <v>26</v>
      </c>
      <c r="R485" s="4">
        <v>0</v>
      </c>
      <c r="S485" s="4" t="s">
        <v>222</v>
      </c>
      <c r="T485" s="4" t="s">
        <v>618</v>
      </c>
      <c r="U485" s="4">
        <v>18</v>
      </c>
      <c r="V485" s="4">
        <v>22</v>
      </c>
      <c r="W485" s="4">
        <v>66</v>
      </c>
    </row>
    <row r="486" spans="1:23" ht="11.25" customHeight="1" x14ac:dyDescent="0.25">
      <c r="A486" s="4" t="s">
        <v>21</v>
      </c>
      <c r="B486" s="4" t="s">
        <v>41</v>
      </c>
      <c r="C486" s="4" t="s">
        <v>40</v>
      </c>
      <c r="D486" s="4" t="s">
        <v>38</v>
      </c>
      <c r="E486" s="4" t="s">
        <v>25</v>
      </c>
      <c r="F486" s="4" t="s">
        <v>25</v>
      </c>
      <c r="G486" s="4" t="s">
        <v>25</v>
      </c>
      <c r="H486" s="4" t="s">
        <v>34</v>
      </c>
      <c r="I486" s="5">
        <v>44593</v>
      </c>
      <c r="J486" s="6">
        <v>404</v>
      </c>
      <c r="K486" s="6">
        <v>404</v>
      </c>
      <c r="L486" s="6">
        <v>12.776999999999999</v>
      </c>
      <c r="M486" s="6">
        <v>12.776999999999999</v>
      </c>
      <c r="N486" s="6">
        <v>12.776999999999999</v>
      </c>
      <c r="O486" s="6">
        <v>12.776999999999999</v>
      </c>
      <c r="P486" s="6">
        <v>0</v>
      </c>
      <c r="Q486" s="4" t="s">
        <v>26</v>
      </c>
      <c r="R486" s="4">
        <v>0</v>
      </c>
      <c r="S486" s="4" t="s">
        <v>223</v>
      </c>
      <c r="T486" s="4" t="s">
        <v>619</v>
      </c>
      <c r="U486" s="4">
        <v>18</v>
      </c>
      <c r="V486" s="4">
        <v>22</v>
      </c>
      <c r="W486" s="4">
        <v>66</v>
      </c>
    </row>
    <row r="487" spans="1:23" ht="11.25" customHeight="1" x14ac:dyDescent="0.25">
      <c r="A487" s="4" t="s">
        <v>28</v>
      </c>
      <c r="B487" s="4" t="s">
        <v>41</v>
      </c>
      <c r="C487" s="4" t="s">
        <v>40</v>
      </c>
      <c r="D487" s="4" t="s">
        <v>38</v>
      </c>
      <c r="E487" s="4" t="s">
        <v>25</v>
      </c>
      <c r="F487" s="4" t="s">
        <v>25</v>
      </c>
      <c r="G487" s="4" t="s">
        <v>25</v>
      </c>
      <c r="H487" s="4" t="s">
        <v>34</v>
      </c>
      <c r="I487" s="5">
        <v>44593</v>
      </c>
      <c r="J487" s="6">
        <v>20</v>
      </c>
      <c r="K487" s="6">
        <v>20</v>
      </c>
      <c r="L487" s="6">
        <v>0.14299999999999999</v>
      </c>
      <c r="M487" s="6">
        <v>0.14299999999999999</v>
      </c>
      <c r="N487" s="6">
        <v>0.14299999999999999</v>
      </c>
      <c r="O487" s="6">
        <v>0.14299999999999999</v>
      </c>
      <c r="P487" s="6">
        <v>0</v>
      </c>
      <c r="Q487" s="4" t="s">
        <v>26</v>
      </c>
      <c r="R487" s="4">
        <v>0</v>
      </c>
      <c r="S487" s="4" t="s">
        <v>223</v>
      </c>
      <c r="T487" s="4" t="s">
        <v>619</v>
      </c>
      <c r="U487" s="4">
        <v>18</v>
      </c>
      <c r="V487" s="4">
        <v>22</v>
      </c>
      <c r="W487" s="4">
        <v>66</v>
      </c>
    </row>
    <row r="488" spans="1:23" ht="11.25" customHeight="1" x14ac:dyDescent="0.25">
      <c r="A488" s="4" t="s">
        <v>21</v>
      </c>
      <c r="B488" s="4" t="s">
        <v>41</v>
      </c>
      <c r="C488" s="4" t="s">
        <v>40</v>
      </c>
      <c r="D488" s="4" t="s">
        <v>38</v>
      </c>
      <c r="E488" s="4" t="s">
        <v>25</v>
      </c>
      <c r="F488" s="4" t="s">
        <v>25</v>
      </c>
      <c r="G488" s="4" t="s">
        <v>25</v>
      </c>
      <c r="H488" s="4" t="s">
        <v>34</v>
      </c>
      <c r="I488" s="5">
        <v>44621</v>
      </c>
      <c r="J488" s="6">
        <v>328</v>
      </c>
      <c r="K488" s="6">
        <v>328</v>
      </c>
      <c r="L488" s="6">
        <v>11.138999999999999</v>
      </c>
      <c r="M488" s="6">
        <v>11.138999999999999</v>
      </c>
      <c r="N488" s="6">
        <v>11.138999999999999</v>
      </c>
      <c r="O488" s="6">
        <v>11.138999999999999</v>
      </c>
      <c r="P488" s="6">
        <v>0</v>
      </c>
      <c r="Q488" s="4" t="s">
        <v>26</v>
      </c>
      <c r="R488" s="4">
        <v>0</v>
      </c>
      <c r="S488" s="4" t="s">
        <v>224</v>
      </c>
      <c r="T488" s="4" t="s">
        <v>620</v>
      </c>
      <c r="U488" s="4">
        <v>18</v>
      </c>
      <c r="V488" s="4">
        <v>22</v>
      </c>
      <c r="W488" s="4">
        <v>66</v>
      </c>
    </row>
    <row r="489" spans="1:23" ht="11.25" customHeight="1" x14ac:dyDescent="0.25">
      <c r="A489" s="4" t="s">
        <v>28</v>
      </c>
      <c r="B489" s="4" t="s">
        <v>41</v>
      </c>
      <c r="C489" s="4" t="s">
        <v>40</v>
      </c>
      <c r="D489" s="4" t="s">
        <v>38</v>
      </c>
      <c r="E489" s="4" t="s">
        <v>25</v>
      </c>
      <c r="F489" s="4" t="s">
        <v>25</v>
      </c>
      <c r="G489" s="4" t="s">
        <v>25</v>
      </c>
      <c r="H489" s="4" t="s">
        <v>34</v>
      </c>
      <c r="I489" s="5">
        <v>44621</v>
      </c>
      <c r="J489" s="6">
        <v>8</v>
      </c>
      <c r="K489" s="6">
        <v>8</v>
      </c>
      <c r="L489" s="6">
        <v>0.16</v>
      </c>
      <c r="M489" s="6">
        <v>0.16</v>
      </c>
      <c r="N489" s="6">
        <v>0.16</v>
      </c>
      <c r="O489" s="6">
        <v>0.16</v>
      </c>
      <c r="P489" s="6">
        <v>0</v>
      </c>
      <c r="Q489" s="4" t="s">
        <v>26</v>
      </c>
      <c r="R489" s="4">
        <v>0</v>
      </c>
      <c r="S489" s="4" t="s">
        <v>224</v>
      </c>
      <c r="T489" s="4" t="s">
        <v>620</v>
      </c>
      <c r="U489" s="4">
        <v>18</v>
      </c>
      <c r="V489" s="4">
        <v>22</v>
      </c>
      <c r="W489" s="4">
        <v>66</v>
      </c>
    </row>
    <row r="490" spans="1:23" ht="11.25" customHeight="1" x14ac:dyDescent="0.25">
      <c r="A490" s="4" t="s">
        <v>21</v>
      </c>
      <c r="B490" s="4" t="s">
        <v>41</v>
      </c>
      <c r="C490" s="4" t="s">
        <v>40</v>
      </c>
      <c r="D490" s="4" t="s">
        <v>38</v>
      </c>
      <c r="E490" s="4" t="s">
        <v>25</v>
      </c>
      <c r="F490" s="4" t="s">
        <v>25</v>
      </c>
      <c r="G490" s="4" t="s">
        <v>25</v>
      </c>
      <c r="H490" s="4" t="s">
        <v>34</v>
      </c>
      <c r="I490" s="5">
        <v>44652</v>
      </c>
      <c r="J490" s="6">
        <v>328</v>
      </c>
      <c r="K490" s="6">
        <v>328</v>
      </c>
      <c r="L490" s="6">
        <v>9.9670000000000005</v>
      </c>
      <c r="M490" s="6">
        <v>9.9670000000000005</v>
      </c>
      <c r="N490" s="6">
        <v>9.9670000000000005</v>
      </c>
      <c r="O490" s="6">
        <v>9.9670000000000005</v>
      </c>
      <c r="P490" s="6">
        <v>0</v>
      </c>
      <c r="Q490" s="4" t="s">
        <v>26</v>
      </c>
      <c r="R490" s="4">
        <v>0</v>
      </c>
      <c r="S490" s="4" t="s">
        <v>225</v>
      </c>
      <c r="T490" s="4" t="s">
        <v>621</v>
      </c>
      <c r="U490" s="4">
        <v>18</v>
      </c>
      <c r="V490" s="4">
        <v>22</v>
      </c>
      <c r="W490" s="4">
        <v>66</v>
      </c>
    </row>
    <row r="491" spans="1:23" ht="11.25" customHeight="1" x14ac:dyDescent="0.25">
      <c r="A491" s="4" t="s">
        <v>28</v>
      </c>
      <c r="B491" s="4" t="s">
        <v>41</v>
      </c>
      <c r="C491" s="4" t="s">
        <v>40</v>
      </c>
      <c r="D491" s="4" t="s">
        <v>38</v>
      </c>
      <c r="E491" s="4" t="s">
        <v>25</v>
      </c>
      <c r="F491" s="4" t="s">
        <v>25</v>
      </c>
      <c r="G491" s="4" t="s">
        <v>25</v>
      </c>
      <c r="H491" s="4" t="s">
        <v>34</v>
      </c>
      <c r="I491" s="5">
        <v>44652</v>
      </c>
      <c r="J491" s="6">
        <v>8</v>
      </c>
      <c r="K491" s="6">
        <v>8</v>
      </c>
      <c r="L491" s="6">
        <v>0.14000000000000001</v>
      </c>
      <c r="M491" s="6">
        <v>0.14000000000000001</v>
      </c>
      <c r="N491" s="6">
        <v>0.14000000000000001</v>
      </c>
      <c r="O491" s="6">
        <v>0.14000000000000001</v>
      </c>
      <c r="P491" s="6">
        <v>0</v>
      </c>
      <c r="Q491" s="4" t="s">
        <v>26</v>
      </c>
      <c r="R491" s="4">
        <v>0</v>
      </c>
      <c r="S491" s="4" t="s">
        <v>225</v>
      </c>
      <c r="T491" s="4" t="s">
        <v>621</v>
      </c>
      <c r="U491" s="4">
        <v>18</v>
      </c>
      <c r="V491" s="4">
        <v>22</v>
      </c>
      <c r="W491" s="4">
        <v>66</v>
      </c>
    </row>
    <row r="492" spans="1:23" ht="11.25" customHeight="1" x14ac:dyDescent="0.25">
      <c r="A492" s="4" t="s">
        <v>21</v>
      </c>
      <c r="B492" s="4" t="s">
        <v>41</v>
      </c>
      <c r="C492" s="4" t="s">
        <v>40</v>
      </c>
      <c r="D492" s="4" t="s">
        <v>38</v>
      </c>
      <c r="E492" s="4" t="s">
        <v>25</v>
      </c>
      <c r="F492" s="4" t="s">
        <v>25</v>
      </c>
      <c r="G492" s="4" t="s">
        <v>25</v>
      </c>
      <c r="H492" s="4" t="s">
        <v>34</v>
      </c>
      <c r="I492" s="5">
        <v>44682</v>
      </c>
      <c r="J492" s="6">
        <v>328</v>
      </c>
      <c r="K492" s="6">
        <v>328</v>
      </c>
      <c r="L492" s="6">
        <v>10.414</v>
      </c>
      <c r="M492" s="6">
        <v>10.414</v>
      </c>
      <c r="N492" s="6">
        <v>10.414</v>
      </c>
      <c r="O492" s="6">
        <v>10.414</v>
      </c>
      <c r="P492" s="6">
        <v>0</v>
      </c>
      <c r="Q492" s="4" t="s">
        <v>26</v>
      </c>
      <c r="R492" s="4">
        <v>0</v>
      </c>
      <c r="S492" s="4" t="s">
        <v>226</v>
      </c>
      <c r="T492" s="4" t="s">
        <v>622</v>
      </c>
      <c r="U492" s="4">
        <v>18</v>
      </c>
      <c r="V492" s="4">
        <v>22</v>
      </c>
      <c r="W492" s="4">
        <v>66</v>
      </c>
    </row>
    <row r="493" spans="1:23" ht="11.25" customHeight="1" x14ac:dyDescent="0.25">
      <c r="A493" s="4" t="s">
        <v>28</v>
      </c>
      <c r="B493" s="4" t="s">
        <v>41</v>
      </c>
      <c r="C493" s="4" t="s">
        <v>40</v>
      </c>
      <c r="D493" s="4" t="s">
        <v>38</v>
      </c>
      <c r="E493" s="4" t="s">
        <v>25</v>
      </c>
      <c r="F493" s="4" t="s">
        <v>25</v>
      </c>
      <c r="G493" s="4" t="s">
        <v>25</v>
      </c>
      <c r="H493" s="4" t="s">
        <v>34</v>
      </c>
      <c r="I493" s="5">
        <v>44682</v>
      </c>
      <c r="J493" s="6">
        <v>16</v>
      </c>
      <c r="K493" s="6">
        <v>16</v>
      </c>
      <c r="L493" s="6">
        <v>0.18</v>
      </c>
      <c r="M493" s="6">
        <v>0.18</v>
      </c>
      <c r="N493" s="6">
        <v>0.18</v>
      </c>
      <c r="O493" s="6">
        <v>0.18</v>
      </c>
      <c r="P493" s="6">
        <v>0</v>
      </c>
      <c r="Q493" s="4" t="s">
        <v>26</v>
      </c>
      <c r="R493" s="4">
        <v>0</v>
      </c>
      <c r="S493" s="4" t="s">
        <v>226</v>
      </c>
      <c r="T493" s="4" t="s">
        <v>622</v>
      </c>
      <c r="U493" s="4">
        <v>18</v>
      </c>
      <c r="V493" s="4">
        <v>22</v>
      </c>
      <c r="W493" s="4">
        <v>66</v>
      </c>
    </row>
    <row r="494" spans="1:23" ht="11.25" customHeight="1" x14ac:dyDescent="0.25">
      <c r="A494" s="4" t="s">
        <v>21</v>
      </c>
      <c r="B494" s="4" t="s">
        <v>41</v>
      </c>
      <c r="C494" s="4" t="s">
        <v>40</v>
      </c>
      <c r="D494" s="4" t="s">
        <v>38</v>
      </c>
      <c r="E494" s="4" t="s">
        <v>25</v>
      </c>
      <c r="F494" s="4" t="s">
        <v>25</v>
      </c>
      <c r="G494" s="4" t="s">
        <v>25</v>
      </c>
      <c r="H494" s="4" t="s">
        <v>34</v>
      </c>
      <c r="I494" s="5">
        <v>44713</v>
      </c>
      <c r="J494" s="6">
        <v>344</v>
      </c>
      <c r="K494" s="6">
        <v>344</v>
      </c>
      <c r="L494" s="6">
        <v>9.8290000000000006</v>
      </c>
      <c r="M494" s="6">
        <v>9.8290000000000006</v>
      </c>
      <c r="N494" s="6">
        <v>9.8290000000000006</v>
      </c>
      <c r="O494" s="6">
        <v>9.8290000000000006</v>
      </c>
      <c r="P494" s="6">
        <v>0</v>
      </c>
      <c r="Q494" s="4" t="s">
        <v>26</v>
      </c>
      <c r="R494" s="4">
        <v>0</v>
      </c>
      <c r="S494" s="4" t="s">
        <v>227</v>
      </c>
      <c r="T494" s="4" t="s">
        <v>623</v>
      </c>
      <c r="U494" s="4">
        <v>18</v>
      </c>
      <c r="V494" s="4">
        <v>22</v>
      </c>
      <c r="W494" s="4">
        <v>66</v>
      </c>
    </row>
    <row r="495" spans="1:23" ht="11.25" customHeight="1" x14ac:dyDescent="0.25">
      <c r="A495" s="4" t="s">
        <v>28</v>
      </c>
      <c r="B495" s="4" t="s">
        <v>41</v>
      </c>
      <c r="C495" s="4" t="s">
        <v>40</v>
      </c>
      <c r="D495" s="4" t="s">
        <v>38</v>
      </c>
      <c r="E495" s="4" t="s">
        <v>25</v>
      </c>
      <c r="F495" s="4" t="s">
        <v>25</v>
      </c>
      <c r="G495" s="4" t="s">
        <v>25</v>
      </c>
      <c r="H495" s="4" t="s">
        <v>34</v>
      </c>
      <c r="I495" s="5">
        <v>44713</v>
      </c>
      <c r="J495" s="6">
        <v>9</v>
      </c>
      <c r="K495" s="6">
        <v>9</v>
      </c>
      <c r="L495" s="6">
        <v>0.17399999999999999</v>
      </c>
      <c r="M495" s="6">
        <v>0.17399999999999999</v>
      </c>
      <c r="N495" s="6">
        <v>0.17399999999999999</v>
      </c>
      <c r="O495" s="6">
        <v>0.17399999999999999</v>
      </c>
      <c r="P495" s="6">
        <v>0</v>
      </c>
      <c r="Q495" s="4" t="s">
        <v>26</v>
      </c>
      <c r="R495" s="4">
        <v>0</v>
      </c>
      <c r="S495" s="4" t="s">
        <v>227</v>
      </c>
      <c r="T495" s="4" t="s">
        <v>623</v>
      </c>
      <c r="U495" s="4">
        <v>18</v>
      </c>
      <c r="V495" s="4">
        <v>22</v>
      </c>
      <c r="W495" s="4">
        <v>66</v>
      </c>
    </row>
    <row r="496" spans="1:23" ht="11.25" customHeight="1" x14ac:dyDescent="0.25">
      <c r="A496" s="4" t="s">
        <v>57</v>
      </c>
      <c r="B496" s="4" t="s">
        <v>41</v>
      </c>
      <c r="C496" s="4" t="s">
        <v>40</v>
      </c>
      <c r="D496" s="4" t="s">
        <v>38</v>
      </c>
      <c r="E496" s="4" t="s">
        <v>25</v>
      </c>
      <c r="F496" s="4" t="s">
        <v>25</v>
      </c>
      <c r="G496" s="4" t="s">
        <v>25</v>
      </c>
      <c r="H496" s="4" t="s">
        <v>34</v>
      </c>
      <c r="I496" s="5">
        <v>44743</v>
      </c>
      <c r="J496" s="6">
        <v>344</v>
      </c>
      <c r="K496" s="6">
        <v>344</v>
      </c>
      <c r="L496" s="6">
        <v>9.8290000000000006</v>
      </c>
      <c r="M496" s="6">
        <v>9.8290000000000006</v>
      </c>
      <c r="N496" s="6">
        <v>9.8290000000000006</v>
      </c>
      <c r="O496" s="6">
        <v>9.8290000000000006</v>
      </c>
      <c r="P496" s="6">
        <v>0</v>
      </c>
      <c r="Q496" s="4" t="s">
        <v>26</v>
      </c>
      <c r="R496" s="4">
        <v>0</v>
      </c>
      <c r="S496" s="4" t="s">
        <v>228</v>
      </c>
      <c r="T496" s="4" t="s">
        <v>624</v>
      </c>
      <c r="U496" s="4">
        <v>18</v>
      </c>
      <c r="V496" s="4">
        <v>22</v>
      </c>
      <c r="W496" s="4">
        <v>66</v>
      </c>
    </row>
    <row r="497" spans="1:23" ht="11.25" customHeight="1" x14ac:dyDescent="0.25">
      <c r="A497" s="4" t="s">
        <v>57</v>
      </c>
      <c r="B497" s="4" t="s">
        <v>41</v>
      </c>
      <c r="C497" s="4" t="s">
        <v>40</v>
      </c>
      <c r="D497" s="4" t="s">
        <v>38</v>
      </c>
      <c r="E497" s="4" t="s">
        <v>25</v>
      </c>
      <c r="F497" s="4" t="s">
        <v>25</v>
      </c>
      <c r="G497" s="4" t="s">
        <v>25</v>
      </c>
      <c r="H497" s="4" t="s">
        <v>34</v>
      </c>
      <c r="I497" s="5">
        <v>44743</v>
      </c>
      <c r="J497" s="6">
        <v>9</v>
      </c>
      <c r="K497" s="6">
        <v>9</v>
      </c>
      <c r="L497" s="6">
        <v>0.17399999999999999</v>
      </c>
      <c r="M497" s="6">
        <v>0.17399999999999999</v>
      </c>
      <c r="N497" s="6">
        <v>0.17399999999999999</v>
      </c>
      <c r="O497" s="6">
        <v>0.17399999999999999</v>
      </c>
      <c r="P497" s="6">
        <v>0</v>
      </c>
      <c r="Q497" s="4" t="s">
        <v>26</v>
      </c>
      <c r="R497" s="4">
        <v>0</v>
      </c>
      <c r="S497" s="4" t="s">
        <v>228</v>
      </c>
      <c r="T497" s="4" t="s">
        <v>624</v>
      </c>
      <c r="U497" s="4">
        <v>18</v>
      </c>
      <c r="V497" s="4">
        <v>22</v>
      </c>
      <c r="W497" s="4">
        <v>66</v>
      </c>
    </row>
    <row r="498" spans="1:23" ht="11.25" customHeight="1" x14ac:dyDescent="0.25">
      <c r="A498" s="4" t="s">
        <v>21</v>
      </c>
      <c r="B498" s="4" t="s">
        <v>41</v>
      </c>
      <c r="C498" s="4" t="s">
        <v>40</v>
      </c>
      <c r="D498" s="4" t="s">
        <v>46</v>
      </c>
      <c r="E498" s="4" t="s">
        <v>25</v>
      </c>
      <c r="F498" s="4" t="s">
        <v>25</v>
      </c>
      <c r="G498" s="4" t="s">
        <v>25</v>
      </c>
      <c r="H498" s="4" t="s">
        <v>35</v>
      </c>
      <c r="I498" s="5">
        <v>44409</v>
      </c>
      <c r="J498" s="6">
        <v>8262</v>
      </c>
      <c r="K498" s="6">
        <v>8262</v>
      </c>
      <c r="L498" s="6">
        <v>1449.3030000000001</v>
      </c>
      <c r="M498" s="6">
        <v>1449.3030000000001</v>
      </c>
      <c r="N498" s="6">
        <v>1449.3030000000001</v>
      </c>
      <c r="O498" s="6">
        <v>1449.3030000000001</v>
      </c>
      <c r="P498" s="6">
        <v>0</v>
      </c>
      <c r="Q498" s="4" t="s">
        <v>26</v>
      </c>
      <c r="R498" s="4">
        <v>0</v>
      </c>
      <c r="S498" s="4" t="s">
        <v>204</v>
      </c>
      <c r="T498" s="4" t="s">
        <v>601</v>
      </c>
      <c r="U498" s="4">
        <v>20</v>
      </c>
      <c r="V498" s="4">
        <v>22</v>
      </c>
      <c r="W498" s="4">
        <v>67</v>
      </c>
    </row>
    <row r="499" spans="1:23" ht="11.25" customHeight="1" x14ac:dyDescent="0.25">
      <c r="A499" s="4" t="s">
        <v>28</v>
      </c>
      <c r="B499" s="4" t="s">
        <v>41</v>
      </c>
      <c r="C499" s="4" t="s">
        <v>40</v>
      </c>
      <c r="D499" s="4" t="s">
        <v>46</v>
      </c>
      <c r="E499" s="4" t="s">
        <v>25</v>
      </c>
      <c r="F499" s="4" t="s">
        <v>25</v>
      </c>
      <c r="G499" s="4" t="s">
        <v>25</v>
      </c>
      <c r="H499" s="4" t="s">
        <v>35</v>
      </c>
      <c r="I499" s="5">
        <v>44409</v>
      </c>
      <c r="J499" s="6">
        <v>746</v>
      </c>
      <c r="K499" s="6">
        <v>746</v>
      </c>
      <c r="L499" s="6">
        <v>40.033999999999999</v>
      </c>
      <c r="M499" s="6">
        <v>40.033999999999999</v>
      </c>
      <c r="N499" s="6">
        <v>40.033999999999999</v>
      </c>
      <c r="O499" s="6">
        <v>40.033999999999999</v>
      </c>
      <c r="P499" s="6">
        <v>0</v>
      </c>
      <c r="Q499" s="4" t="s">
        <v>26</v>
      </c>
      <c r="R499" s="4">
        <v>0</v>
      </c>
      <c r="S499" s="4" t="s">
        <v>204</v>
      </c>
      <c r="T499" s="4" t="s">
        <v>601</v>
      </c>
      <c r="U499" s="4">
        <v>20</v>
      </c>
      <c r="V499" s="4">
        <v>22</v>
      </c>
      <c r="W499" s="4">
        <v>67</v>
      </c>
    </row>
    <row r="500" spans="1:23" ht="11.25" customHeight="1" x14ac:dyDescent="0.25">
      <c r="A500" s="4" t="s">
        <v>21</v>
      </c>
      <c r="B500" s="4" t="s">
        <v>41</v>
      </c>
      <c r="C500" s="4" t="s">
        <v>40</v>
      </c>
      <c r="D500" s="4" t="s">
        <v>46</v>
      </c>
      <c r="E500" s="4" t="s">
        <v>25</v>
      </c>
      <c r="F500" s="4" t="s">
        <v>25</v>
      </c>
      <c r="G500" s="4" t="s">
        <v>25</v>
      </c>
      <c r="H500" s="4" t="s">
        <v>35</v>
      </c>
      <c r="I500" s="5">
        <v>44440</v>
      </c>
      <c r="J500" s="6">
        <v>3997</v>
      </c>
      <c r="K500" s="6">
        <v>3997</v>
      </c>
      <c r="L500" s="6">
        <v>1011.646</v>
      </c>
      <c r="M500" s="6">
        <v>1011.646</v>
      </c>
      <c r="N500" s="6">
        <v>1011.646</v>
      </c>
      <c r="O500" s="6">
        <v>1011.646</v>
      </c>
      <c r="P500" s="6">
        <v>0</v>
      </c>
      <c r="Q500" s="4" t="s">
        <v>26</v>
      </c>
      <c r="R500" s="4">
        <v>0</v>
      </c>
      <c r="S500" s="4" t="s">
        <v>205</v>
      </c>
      <c r="T500" s="4" t="s">
        <v>602</v>
      </c>
      <c r="U500" s="4">
        <v>20</v>
      </c>
      <c r="V500" s="4">
        <v>22</v>
      </c>
      <c r="W500" s="4">
        <v>67</v>
      </c>
    </row>
    <row r="501" spans="1:23" ht="11.25" customHeight="1" x14ac:dyDescent="0.25">
      <c r="A501" s="4" t="s">
        <v>27</v>
      </c>
      <c r="B501" s="4" t="s">
        <v>41</v>
      </c>
      <c r="C501" s="4" t="s">
        <v>40</v>
      </c>
      <c r="D501" s="4" t="s">
        <v>46</v>
      </c>
      <c r="E501" s="4" t="s">
        <v>25</v>
      </c>
      <c r="F501" s="4" t="s">
        <v>25</v>
      </c>
      <c r="G501" s="4" t="s">
        <v>25</v>
      </c>
      <c r="H501" s="4" t="s">
        <v>35</v>
      </c>
      <c r="I501" s="5">
        <v>44440</v>
      </c>
      <c r="J501" s="6">
        <v>348</v>
      </c>
      <c r="K501" s="6">
        <v>348</v>
      </c>
      <c r="L501" s="6">
        <v>121.8</v>
      </c>
      <c r="M501" s="6">
        <v>121.8</v>
      </c>
      <c r="N501" s="6">
        <v>121.8</v>
      </c>
      <c r="O501" s="6">
        <v>121.8</v>
      </c>
      <c r="P501" s="6">
        <v>0</v>
      </c>
      <c r="Q501" s="4" t="s">
        <v>26</v>
      </c>
      <c r="R501" s="4">
        <v>0</v>
      </c>
      <c r="S501" s="4" t="s">
        <v>205</v>
      </c>
      <c r="T501" s="4" t="s">
        <v>602</v>
      </c>
      <c r="U501" s="4">
        <v>20</v>
      </c>
      <c r="V501" s="4">
        <v>22</v>
      </c>
      <c r="W501" s="4">
        <v>67</v>
      </c>
    </row>
    <row r="502" spans="1:23" ht="11.25" customHeight="1" x14ac:dyDescent="0.25">
      <c r="A502" s="4" t="s">
        <v>28</v>
      </c>
      <c r="B502" s="4" t="s">
        <v>41</v>
      </c>
      <c r="C502" s="4" t="s">
        <v>40</v>
      </c>
      <c r="D502" s="4" t="s">
        <v>46</v>
      </c>
      <c r="E502" s="4" t="s">
        <v>25</v>
      </c>
      <c r="F502" s="4" t="s">
        <v>25</v>
      </c>
      <c r="G502" s="4" t="s">
        <v>25</v>
      </c>
      <c r="H502" s="4" t="s">
        <v>35</v>
      </c>
      <c r="I502" s="5">
        <v>44440</v>
      </c>
      <c r="J502" s="6">
        <v>5036</v>
      </c>
      <c r="K502" s="6">
        <v>5036</v>
      </c>
      <c r="L502" s="6">
        <v>638.50400000000002</v>
      </c>
      <c r="M502" s="6">
        <v>638.50400000000002</v>
      </c>
      <c r="N502" s="6">
        <v>638.50400000000002</v>
      </c>
      <c r="O502" s="6">
        <v>638.50400000000002</v>
      </c>
      <c r="P502" s="6">
        <v>0</v>
      </c>
      <c r="Q502" s="4" t="s">
        <v>26</v>
      </c>
      <c r="R502" s="4">
        <v>0</v>
      </c>
      <c r="S502" s="4" t="s">
        <v>205</v>
      </c>
      <c r="T502" s="4" t="s">
        <v>602</v>
      </c>
      <c r="U502" s="4">
        <v>20</v>
      </c>
      <c r="V502" s="4">
        <v>22</v>
      </c>
      <c r="W502" s="4">
        <v>67</v>
      </c>
    </row>
    <row r="503" spans="1:23" ht="11.25" customHeight="1" x14ac:dyDescent="0.25">
      <c r="A503" s="4" t="s">
        <v>21</v>
      </c>
      <c r="B503" s="4" t="s">
        <v>41</v>
      </c>
      <c r="C503" s="4" t="s">
        <v>40</v>
      </c>
      <c r="D503" s="4" t="s">
        <v>46</v>
      </c>
      <c r="E503" s="4" t="s">
        <v>25</v>
      </c>
      <c r="F503" s="4" t="s">
        <v>25</v>
      </c>
      <c r="G503" s="4" t="s">
        <v>25</v>
      </c>
      <c r="H503" s="4" t="s">
        <v>35</v>
      </c>
      <c r="I503" s="5">
        <v>44470</v>
      </c>
      <c r="J503" s="6">
        <v>4194</v>
      </c>
      <c r="K503" s="6">
        <v>4194</v>
      </c>
      <c r="L503" s="6">
        <v>1163.0360000000001</v>
      </c>
      <c r="M503" s="6">
        <v>1163.0360000000001</v>
      </c>
      <c r="N503" s="6">
        <v>1163.0360000000001</v>
      </c>
      <c r="O503" s="6">
        <v>1163.0360000000001</v>
      </c>
      <c r="P503" s="6">
        <v>0</v>
      </c>
      <c r="Q503" s="4" t="s">
        <v>26</v>
      </c>
      <c r="R503" s="4">
        <v>0</v>
      </c>
      <c r="S503" s="4" t="s">
        <v>206</v>
      </c>
      <c r="T503" s="4" t="s">
        <v>603</v>
      </c>
      <c r="U503" s="4">
        <v>20</v>
      </c>
      <c r="V503" s="4">
        <v>22</v>
      </c>
      <c r="W503" s="4">
        <v>67</v>
      </c>
    </row>
    <row r="504" spans="1:23" ht="11.25" customHeight="1" x14ac:dyDescent="0.25">
      <c r="A504" s="4" t="s">
        <v>28</v>
      </c>
      <c r="B504" s="4" t="s">
        <v>41</v>
      </c>
      <c r="C504" s="4" t="s">
        <v>40</v>
      </c>
      <c r="D504" s="4" t="s">
        <v>46</v>
      </c>
      <c r="E504" s="4" t="s">
        <v>25</v>
      </c>
      <c r="F504" s="4" t="s">
        <v>25</v>
      </c>
      <c r="G504" s="4" t="s">
        <v>25</v>
      </c>
      <c r="H504" s="4" t="s">
        <v>35</v>
      </c>
      <c r="I504" s="5">
        <v>44470</v>
      </c>
      <c r="J504" s="6">
        <v>5036</v>
      </c>
      <c r="K504" s="6">
        <v>5036</v>
      </c>
      <c r="L504" s="6">
        <v>572.60799999999995</v>
      </c>
      <c r="M504" s="6">
        <v>572.60799999999995</v>
      </c>
      <c r="N504" s="6">
        <v>572.60799999999995</v>
      </c>
      <c r="O504" s="6">
        <v>572.60799999999995</v>
      </c>
      <c r="P504" s="6">
        <v>0</v>
      </c>
      <c r="Q504" s="4" t="s">
        <v>26</v>
      </c>
      <c r="R504" s="4">
        <v>0</v>
      </c>
      <c r="S504" s="4" t="s">
        <v>206</v>
      </c>
      <c r="T504" s="4" t="s">
        <v>603</v>
      </c>
      <c r="U504" s="4">
        <v>20</v>
      </c>
      <c r="V504" s="4">
        <v>22</v>
      </c>
      <c r="W504" s="4">
        <v>67</v>
      </c>
    </row>
    <row r="505" spans="1:23" ht="11.25" customHeight="1" x14ac:dyDescent="0.25">
      <c r="A505" s="4" t="s">
        <v>21</v>
      </c>
      <c r="B505" s="4" t="s">
        <v>41</v>
      </c>
      <c r="C505" s="4" t="s">
        <v>40</v>
      </c>
      <c r="D505" s="4" t="s">
        <v>46</v>
      </c>
      <c r="E505" s="4" t="s">
        <v>25</v>
      </c>
      <c r="F505" s="4" t="s">
        <v>25</v>
      </c>
      <c r="G505" s="4" t="s">
        <v>25</v>
      </c>
      <c r="H505" s="4" t="s">
        <v>35</v>
      </c>
      <c r="I505" s="5">
        <v>44501</v>
      </c>
      <c r="J505" s="6">
        <v>3940</v>
      </c>
      <c r="K505" s="6">
        <v>3940</v>
      </c>
      <c r="L505" s="6">
        <v>1044.9079999999999</v>
      </c>
      <c r="M505" s="6">
        <v>1044.9079999999999</v>
      </c>
      <c r="N505" s="6">
        <v>1044.9079999999999</v>
      </c>
      <c r="O505" s="6">
        <v>1044.9079999999999</v>
      </c>
      <c r="P505" s="6">
        <v>0</v>
      </c>
      <c r="Q505" s="4" t="s">
        <v>26</v>
      </c>
      <c r="R505" s="4">
        <v>0</v>
      </c>
      <c r="S505" s="4" t="s">
        <v>207</v>
      </c>
      <c r="T505" s="4" t="s">
        <v>604</v>
      </c>
      <c r="U505" s="4">
        <v>20</v>
      </c>
      <c r="V505" s="4">
        <v>22</v>
      </c>
      <c r="W505" s="4">
        <v>67</v>
      </c>
    </row>
    <row r="506" spans="1:23" ht="11.25" customHeight="1" x14ac:dyDescent="0.25">
      <c r="A506" s="4" t="s">
        <v>28</v>
      </c>
      <c r="B506" s="4" t="s">
        <v>41</v>
      </c>
      <c r="C506" s="4" t="s">
        <v>40</v>
      </c>
      <c r="D506" s="4" t="s">
        <v>46</v>
      </c>
      <c r="E506" s="4" t="s">
        <v>25</v>
      </c>
      <c r="F506" s="4" t="s">
        <v>25</v>
      </c>
      <c r="G506" s="4" t="s">
        <v>25</v>
      </c>
      <c r="H506" s="4" t="s">
        <v>35</v>
      </c>
      <c r="I506" s="5">
        <v>44501</v>
      </c>
      <c r="J506" s="6">
        <v>5036</v>
      </c>
      <c r="K506" s="6">
        <v>5036</v>
      </c>
      <c r="L506" s="6">
        <v>675.63800000000003</v>
      </c>
      <c r="M506" s="6">
        <v>675.63800000000003</v>
      </c>
      <c r="N506" s="6">
        <v>675.63800000000003</v>
      </c>
      <c r="O506" s="6">
        <v>675.63800000000003</v>
      </c>
      <c r="P506" s="6">
        <v>0</v>
      </c>
      <c r="Q506" s="4" t="s">
        <v>26</v>
      </c>
      <c r="R506" s="4">
        <v>0</v>
      </c>
      <c r="S506" s="4" t="s">
        <v>207</v>
      </c>
      <c r="T506" s="4" t="s">
        <v>604</v>
      </c>
      <c r="U506" s="4">
        <v>20</v>
      </c>
      <c r="V506" s="4">
        <v>22</v>
      </c>
      <c r="W506" s="4">
        <v>67</v>
      </c>
    </row>
    <row r="507" spans="1:23" ht="11.25" customHeight="1" x14ac:dyDescent="0.25">
      <c r="A507" s="4" t="s">
        <v>21</v>
      </c>
      <c r="B507" s="4" t="s">
        <v>41</v>
      </c>
      <c r="C507" s="4" t="s">
        <v>40</v>
      </c>
      <c r="D507" s="4" t="s">
        <v>46</v>
      </c>
      <c r="E507" s="4" t="s">
        <v>25</v>
      </c>
      <c r="F507" s="4" t="s">
        <v>25</v>
      </c>
      <c r="G507" s="4" t="s">
        <v>25</v>
      </c>
      <c r="H507" s="4" t="s">
        <v>35</v>
      </c>
      <c r="I507" s="5">
        <v>44531</v>
      </c>
      <c r="J507" s="6">
        <v>3983</v>
      </c>
      <c r="K507" s="6">
        <v>3983</v>
      </c>
      <c r="L507" s="6">
        <v>1084.0260000000001</v>
      </c>
      <c r="M507" s="6">
        <v>1084.0260000000001</v>
      </c>
      <c r="N507" s="6">
        <v>1084.0260000000001</v>
      </c>
      <c r="O507" s="6">
        <v>1084.0260000000001</v>
      </c>
      <c r="P507" s="6">
        <v>0</v>
      </c>
      <c r="Q507" s="4" t="s">
        <v>26</v>
      </c>
      <c r="R507" s="4">
        <v>0</v>
      </c>
      <c r="S507" s="4" t="s">
        <v>208</v>
      </c>
      <c r="T507" s="4" t="s">
        <v>605</v>
      </c>
      <c r="U507" s="4">
        <v>20</v>
      </c>
      <c r="V507" s="4">
        <v>22</v>
      </c>
      <c r="W507" s="4">
        <v>67</v>
      </c>
    </row>
    <row r="508" spans="1:23" ht="11.25" customHeight="1" x14ac:dyDescent="0.25">
      <c r="A508" s="4" t="s">
        <v>28</v>
      </c>
      <c r="B508" s="4" t="s">
        <v>41</v>
      </c>
      <c r="C508" s="4" t="s">
        <v>40</v>
      </c>
      <c r="D508" s="4" t="s">
        <v>46</v>
      </c>
      <c r="E508" s="4" t="s">
        <v>25</v>
      </c>
      <c r="F508" s="4" t="s">
        <v>25</v>
      </c>
      <c r="G508" s="4" t="s">
        <v>25</v>
      </c>
      <c r="H508" s="4" t="s">
        <v>35</v>
      </c>
      <c r="I508" s="5">
        <v>44531</v>
      </c>
      <c r="J508" s="6">
        <v>5036</v>
      </c>
      <c r="K508" s="6">
        <v>5036</v>
      </c>
      <c r="L508" s="6">
        <v>668.29399999999998</v>
      </c>
      <c r="M508" s="6">
        <v>668.29399999999998</v>
      </c>
      <c r="N508" s="6">
        <v>668.29399999999998</v>
      </c>
      <c r="O508" s="6">
        <v>668.29399999999998</v>
      </c>
      <c r="P508" s="6">
        <v>0</v>
      </c>
      <c r="Q508" s="4" t="s">
        <v>26</v>
      </c>
      <c r="R508" s="4">
        <v>0</v>
      </c>
      <c r="S508" s="4" t="s">
        <v>208</v>
      </c>
      <c r="T508" s="4" t="s">
        <v>605</v>
      </c>
      <c r="U508" s="4">
        <v>20</v>
      </c>
      <c r="V508" s="4">
        <v>22</v>
      </c>
      <c r="W508" s="4">
        <v>67</v>
      </c>
    </row>
    <row r="509" spans="1:23" ht="11.25" customHeight="1" x14ac:dyDescent="0.25">
      <c r="A509" s="4" t="s">
        <v>21</v>
      </c>
      <c r="B509" s="4" t="s">
        <v>41</v>
      </c>
      <c r="C509" s="4" t="s">
        <v>40</v>
      </c>
      <c r="D509" s="4" t="s">
        <v>46</v>
      </c>
      <c r="E509" s="4" t="s">
        <v>25</v>
      </c>
      <c r="F509" s="4" t="s">
        <v>25</v>
      </c>
      <c r="G509" s="4" t="s">
        <v>25</v>
      </c>
      <c r="H509" s="4" t="s">
        <v>35</v>
      </c>
      <c r="I509" s="5">
        <v>44562</v>
      </c>
      <c r="J509" s="6">
        <v>3907</v>
      </c>
      <c r="K509" s="6">
        <v>3907</v>
      </c>
      <c r="L509" s="6">
        <v>1014.723</v>
      </c>
      <c r="M509" s="6">
        <v>1014.723</v>
      </c>
      <c r="N509" s="6">
        <v>1014.723</v>
      </c>
      <c r="O509" s="6">
        <v>1014.723</v>
      </c>
      <c r="P509" s="6">
        <v>0</v>
      </c>
      <c r="Q509" s="4" t="s">
        <v>26</v>
      </c>
      <c r="R509" s="4">
        <v>0</v>
      </c>
      <c r="S509" s="4" t="s">
        <v>209</v>
      </c>
      <c r="T509" s="4" t="s">
        <v>606</v>
      </c>
      <c r="U509" s="4">
        <v>20</v>
      </c>
      <c r="V509" s="4">
        <v>22</v>
      </c>
      <c r="W509" s="4">
        <v>67</v>
      </c>
    </row>
    <row r="510" spans="1:23" ht="11.25" customHeight="1" x14ac:dyDescent="0.25">
      <c r="A510" s="4" t="s">
        <v>28</v>
      </c>
      <c r="B510" s="4" t="s">
        <v>41</v>
      </c>
      <c r="C510" s="4" t="s">
        <v>40</v>
      </c>
      <c r="D510" s="4" t="s">
        <v>46</v>
      </c>
      <c r="E510" s="4" t="s">
        <v>25</v>
      </c>
      <c r="F510" s="4" t="s">
        <v>25</v>
      </c>
      <c r="G510" s="4" t="s">
        <v>25</v>
      </c>
      <c r="H510" s="4" t="s">
        <v>35</v>
      </c>
      <c r="I510" s="5">
        <v>44562</v>
      </c>
      <c r="J510" s="6">
        <v>5036</v>
      </c>
      <c r="K510" s="6">
        <v>5036</v>
      </c>
      <c r="L510" s="6">
        <v>564.1</v>
      </c>
      <c r="M510" s="6">
        <v>564.1</v>
      </c>
      <c r="N510" s="6">
        <v>564.1</v>
      </c>
      <c r="O510" s="6">
        <v>564.1</v>
      </c>
      <c r="P510" s="6">
        <v>0</v>
      </c>
      <c r="Q510" s="4" t="s">
        <v>26</v>
      </c>
      <c r="R510" s="4">
        <v>0</v>
      </c>
      <c r="S510" s="4" t="s">
        <v>209</v>
      </c>
      <c r="T510" s="4" t="s">
        <v>606</v>
      </c>
      <c r="U510" s="4">
        <v>20</v>
      </c>
      <c r="V510" s="4">
        <v>22</v>
      </c>
      <c r="W510" s="4">
        <v>67</v>
      </c>
    </row>
    <row r="511" spans="1:23" ht="11.25" customHeight="1" x14ac:dyDescent="0.25">
      <c r="A511" s="4" t="s">
        <v>21</v>
      </c>
      <c r="B511" s="4" t="s">
        <v>41</v>
      </c>
      <c r="C511" s="4" t="s">
        <v>40</v>
      </c>
      <c r="D511" s="4" t="s">
        <v>46</v>
      </c>
      <c r="E511" s="4" t="s">
        <v>25</v>
      </c>
      <c r="F511" s="4" t="s">
        <v>25</v>
      </c>
      <c r="G511" s="4" t="s">
        <v>25</v>
      </c>
      <c r="H511" s="4" t="s">
        <v>35</v>
      </c>
      <c r="I511" s="5">
        <v>44593</v>
      </c>
      <c r="J511" s="6">
        <v>4360</v>
      </c>
      <c r="K511" s="6">
        <v>4360</v>
      </c>
      <c r="L511" s="6">
        <v>1054.931</v>
      </c>
      <c r="M511" s="6">
        <v>1054.931</v>
      </c>
      <c r="N511" s="6">
        <v>1054.931</v>
      </c>
      <c r="O511" s="6">
        <v>1054.931</v>
      </c>
      <c r="P511" s="6">
        <v>0</v>
      </c>
      <c r="Q511" s="4" t="s">
        <v>26</v>
      </c>
      <c r="R511" s="4">
        <v>0</v>
      </c>
      <c r="S511" s="4" t="s">
        <v>210</v>
      </c>
      <c r="T511" s="4" t="s">
        <v>607</v>
      </c>
      <c r="U511" s="4">
        <v>20</v>
      </c>
      <c r="V511" s="4">
        <v>22</v>
      </c>
      <c r="W511" s="4">
        <v>67</v>
      </c>
    </row>
    <row r="512" spans="1:23" ht="11.25" customHeight="1" x14ac:dyDescent="0.25">
      <c r="A512" s="4" t="s">
        <v>28</v>
      </c>
      <c r="B512" s="4" t="s">
        <v>41</v>
      </c>
      <c r="C512" s="4" t="s">
        <v>40</v>
      </c>
      <c r="D512" s="4" t="s">
        <v>46</v>
      </c>
      <c r="E512" s="4" t="s">
        <v>25</v>
      </c>
      <c r="F512" s="4" t="s">
        <v>25</v>
      </c>
      <c r="G512" s="4" t="s">
        <v>25</v>
      </c>
      <c r="H512" s="4" t="s">
        <v>35</v>
      </c>
      <c r="I512" s="5">
        <v>44593</v>
      </c>
      <c r="J512" s="6">
        <v>5036</v>
      </c>
      <c r="K512" s="6">
        <v>5036</v>
      </c>
      <c r="L512" s="6">
        <v>641.90800000000002</v>
      </c>
      <c r="M512" s="6">
        <v>641.90800000000002</v>
      </c>
      <c r="N512" s="6">
        <v>641.90800000000002</v>
      </c>
      <c r="O512" s="6">
        <v>641.90800000000002</v>
      </c>
      <c r="P512" s="6">
        <v>0</v>
      </c>
      <c r="Q512" s="4" t="s">
        <v>26</v>
      </c>
      <c r="R512" s="4">
        <v>0</v>
      </c>
      <c r="S512" s="4" t="s">
        <v>210</v>
      </c>
      <c r="T512" s="4" t="s">
        <v>607</v>
      </c>
      <c r="U512" s="4">
        <v>20</v>
      </c>
      <c r="V512" s="4">
        <v>22</v>
      </c>
      <c r="W512" s="4">
        <v>67</v>
      </c>
    </row>
    <row r="513" spans="1:23" ht="11.25" customHeight="1" x14ac:dyDescent="0.25">
      <c r="A513" s="4" t="s">
        <v>21</v>
      </c>
      <c r="B513" s="4" t="s">
        <v>41</v>
      </c>
      <c r="C513" s="4" t="s">
        <v>40</v>
      </c>
      <c r="D513" s="4" t="s">
        <v>46</v>
      </c>
      <c r="E513" s="4" t="s">
        <v>25</v>
      </c>
      <c r="F513" s="4" t="s">
        <v>25</v>
      </c>
      <c r="G513" s="4" t="s">
        <v>25</v>
      </c>
      <c r="H513" s="4" t="s">
        <v>35</v>
      </c>
      <c r="I513" s="5">
        <v>44621</v>
      </c>
      <c r="J513" s="6">
        <v>3954</v>
      </c>
      <c r="K513" s="6">
        <v>3954</v>
      </c>
      <c r="L513" s="6">
        <v>1054.376</v>
      </c>
      <c r="M513" s="6">
        <v>1054.376</v>
      </c>
      <c r="N513" s="6">
        <v>1054.376</v>
      </c>
      <c r="O513" s="6">
        <v>1054.376</v>
      </c>
      <c r="P513" s="6">
        <v>0</v>
      </c>
      <c r="Q513" s="4" t="s">
        <v>26</v>
      </c>
      <c r="R513" s="4">
        <v>0</v>
      </c>
      <c r="S513" s="4" t="s">
        <v>211</v>
      </c>
      <c r="T513" s="4" t="s">
        <v>608</v>
      </c>
      <c r="U513" s="4">
        <v>20</v>
      </c>
      <c r="V513" s="4">
        <v>22</v>
      </c>
      <c r="W513" s="4">
        <v>67</v>
      </c>
    </row>
    <row r="514" spans="1:23" ht="11.25" customHeight="1" x14ac:dyDescent="0.25">
      <c r="A514" s="4" t="s">
        <v>28</v>
      </c>
      <c r="B514" s="4" t="s">
        <v>41</v>
      </c>
      <c r="C514" s="4" t="s">
        <v>40</v>
      </c>
      <c r="D514" s="4" t="s">
        <v>46</v>
      </c>
      <c r="E514" s="4" t="s">
        <v>25</v>
      </c>
      <c r="F514" s="4" t="s">
        <v>25</v>
      </c>
      <c r="G514" s="4" t="s">
        <v>25</v>
      </c>
      <c r="H514" s="4" t="s">
        <v>35</v>
      </c>
      <c r="I514" s="5">
        <v>44621</v>
      </c>
      <c r="J514" s="6">
        <v>5036</v>
      </c>
      <c r="K514" s="6">
        <v>5036</v>
      </c>
      <c r="L514" s="6">
        <v>850.57500000000005</v>
      </c>
      <c r="M514" s="6">
        <v>850.57500000000005</v>
      </c>
      <c r="N514" s="6">
        <v>850.57500000000005</v>
      </c>
      <c r="O514" s="6">
        <v>850.57500000000005</v>
      </c>
      <c r="P514" s="6">
        <v>0</v>
      </c>
      <c r="Q514" s="4" t="s">
        <v>26</v>
      </c>
      <c r="R514" s="4">
        <v>0</v>
      </c>
      <c r="S514" s="4" t="s">
        <v>211</v>
      </c>
      <c r="T514" s="4" t="s">
        <v>608</v>
      </c>
      <c r="U514" s="4">
        <v>20</v>
      </c>
      <c r="V514" s="4">
        <v>22</v>
      </c>
      <c r="W514" s="4">
        <v>67</v>
      </c>
    </row>
    <row r="515" spans="1:23" ht="11.25" customHeight="1" x14ac:dyDescent="0.25">
      <c r="A515" s="4" t="s">
        <v>21</v>
      </c>
      <c r="B515" s="4" t="s">
        <v>41</v>
      </c>
      <c r="C515" s="4" t="s">
        <v>40</v>
      </c>
      <c r="D515" s="4" t="s">
        <v>46</v>
      </c>
      <c r="E515" s="4" t="s">
        <v>25</v>
      </c>
      <c r="F515" s="4" t="s">
        <v>25</v>
      </c>
      <c r="G515" s="4" t="s">
        <v>25</v>
      </c>
      <c r="H515" s="4" t="s">
        <v>35</v>
      </c>
      <c r="I515" s="5">
        <v>44652</v>
      </c>
      <c r="J515" s="6">
        <v>3959</v>
      </c>
      <c r="K515" s="6">
        <v>3959</v>
      </c>
      <c r="L515" s="6">
        <v>1012.4589999999999</v>
      </c>
      <c r="M515" s="6">
        <v>1012.4589999999999</v>
      </c>
      <c r="N515" s="6">
        <v>1012.4589999999999</v>
      </c>
      <c r="O515" s="6">
        <v>1012.4589999999999</v>
      </c>
      <c r="P515" s="6">
        <v>0</v>
      </c>
      <c r="Q515" s="4" t="s">
        <v>26</v>
      </c>
      <c r="R515" s="4">
        <v>0</v>
      </c>
      <c r="S515" s="4" t="s">
        <v>212</v>
      </c>
      <c r="T515" s="4" t="s">
        <v>609</v>
      </c>
      <c r="U515" s="4">
        <v>20</v>
      </c>
      <c r="V515" s="4">
        <v>22</v>
      </c>
      <c r="W515" s="4">
        <v>67</v>
      </c>
    </row>
    <row r="516" spans="1:23" ht="11.25" customHeight="1" x14ac:dyDescent="0.25">
      <c r="A516" s="4" t="s">
        <v>28</v>
      </c>
      <c r="B516" s="4" t="s">
        <v>41</v>
      </c>
      <c r="C516" s="4" t="s">
        <v>40</v>
      </c>
      <c r="D516" s="4" t="s">
        <v>46</v>
      </c>
      <c r="E516" s="4" t="s">
        <v>25</v>
      </c>
      <c r="F516" s="4" t="s">
        <v>25</v>
      </c>
      <c r="G516" s="4" t="s">
        <v>25</v>
      </c>
      <c r="H516" s="4" t="s">
        <v>35</v>
      </c>
      <c r="I516" s="5">
        <v>44652</v>
      </c>
      <c r="J516" s="6">
        <v>5036</v>
      </c>
      <c r="K516" s="6">
        <v>5036</v>
      </c>
      <c r="L516" s="6">
        <v>841.072</v>
      </c>
      <c r="M516" s="6">
        <v>841.072</v>
      </c>
      <c r="N516" s="6">
        <v>841.072</v>
      </c>
      <c r="O516" s="6">
        <v>841.072</v>
      </c>
      <c r="P516" s="6">
        <v>0</v>
      </c>
      <c r="Q516" s="4" t="s">
        <v>26</v>
      </c>
      <c r="R516" s="4">
        <v>0</v>
      </c>
      <c r="S516" s="4" t="s">
        <v>212</v>
      </c>
      <c r="T516" s="4" t="s">
        <v>609</v>
      </c>
      <c r="U516" s="4">
        <v>20</v>
      </c>
      <c r="V516" s="4">
        <v>22</v>
      </c>
      <c r="W516" s="4">
        <v>67</v>
      </c>
    </row>
    <row r="517" spans="1:23" ht="11.25" customHeight="1" x14ac:dyDescent="0.25">
      <c r="A517" s="4" t="s">
        <v>21</v>
      </c>
      <c r="B517" s="4" t="s">
        <v>41</v>
      </c>
      <c r="C517" s="4" t="s">
        <v>40</v>
      </c>
      <c r="D517" s="4" t="s">
        <v>46</v>
      </c>
      <c r="E517" s="4" t="s">
        <v>25</v>
      </c>
      <c r="F517" s="4" t="s">
        <v>25</v>
      </c>
      <c r="G517" s="4" t="s">
        <v>25</v>
      </c>
      <c r="H517" s="4" t="s">
        <v>35</v>
      </c>
      <c r="I517" s="5">
        <v>44682</v>
      </c>
      <c r="J517" s="6">
        <v>3952</v>
      </c>
      <c r="K517" s="6">
        <v>3952</v>
      </c>
      <c r="L517" s="6">
        <v>1017.345</v>
      </c>
      <c r="M517" s="6">
        <v>1017.345</v>
      </c>
      <c r="N517" s="6">
        <v>1017.345</v>
      </c>
      <c r="O517" s="6">
        <v>1017.345</v>
      </c>
      <c r="P517" s="6">
        <v>0</v>
      </c>
      <c r="Q517" s="4" t="s">
        <v>26</v>
      </c>
      <c r="R517" s="4">
        <v>0</v>
      </c>
      <c r="S517" s="4" t="s">
        <v>213</v>
      </c>
      <c r="T517" s="4" t="s">
        <v>610</v>
      </c>
      <c r="U517" s="4">
        <v>20</v>
      </c>
      <c r="V517" s="4">
        <v>22</v>
      </c>
      <c r="W517" s="4">
        <v>67</v>
      </c>
    </row>
    <row r="518" spans="1:23" ht="11.25" customHeight="1" x14ac:dyDescent="0.25">
      <c r="A518" s="4" t="s">
        <v>28</v>
      </c>
      <c r="B518" s="4" t="s">
        <v>41</v>
      </c>
      <c r="C518" s="4" t="s">
        <v>40</v>
      </c>
      <c r="D518" s="4" t="s">
        <v>46</v>
      </c>
      <c r="E518" s="4" t="s">
        <v>25</v>
      </c>
      <c r="F518" s="4" t="s">
        <v>25</v>
      </c>
      <c r="G518" s="4" t="s">
        <v>25</v>
      </c>
      <c r="H518" s="4" t="s">
        <v>35</v>
      </c>
      <c r="I518" s="5">
        <v>44682</v>
      </c>
      <c r="J518" s="6">
        <v>5036</v>
      </c>
      <c r="K518" s="6">
        <v>5036</v>
      </c>
      <c r="L518" s="6">
        <v>914.46600000000001</v>
      </c>
      <c r="M518" s="6">
        <v>914.46600000000001</v>
      </c>
      <c r="N518" s="6">
        <v>914.46600000000001</v>
      </c>
      <c r="O518" s="6">
        <v>914.46600000000001</v>
      </c>
      <c r="P518" s="6">
        <v>0</v>
      </c>
      <c r="Q518" s="4" t="s">
        <v>26</v>
      </c>
      <c r="R518" s="4">
        <v>0</v>
      </c>
      <c r="S518" s="4" t="s">
        <v>213</v>
      </c>
      <c r="T518" s="4" t="s">
        <v>610</v>
      </c>
      <c r="U518" s="4">
        <v>20</v>
      </c>
      <c r="V518" s="4">
        <v>22</v>
      </c>
      <c r="W518" s="4">
        <v>67</v>
      </c>
    </row>
    <row r="519" spans="1:23" ht="11.25" customHeight="1" x14ac:dyDescent="0.25">
      <c r="A519" s="4" t="s">
        <v>21</v>
      </c>
      <c r="B519" s="4" t="s">
        <v>41</v>
      </c>
      <c r="C519" s="4" t="s">
        <v>40</v>
      </c>
      <c r="D519" s="4" t="s">
        <v>46</v>
      </c>
      <c r="E519" s="4" t="s">
        <v>25</v>
      </c>
      <c r="F519" s="4" t="s">
        <v>25</v>
      </c>
      <c r="G519" s="4" t="s">
        <v>25</v>
      </c>
      <c r="H519" s="4" t="s">
        <v>35</v>
      </c>
      <c r="I519" s="5">
        <v>44713</v>
      </c>
      <c r="J519" s="6">
        <v>3881</v>
      </c>
      <c r="K519" s="6">
        <v>3881</v>
      </c>
      <c r="L519" s="6">
        <v>896.73500000000001</v>
      </c>
      <c r="M519" s="6">
        <v>896.73500000000001</v>
      </c>
      <c r="N519" s="6">
        <v>896.73500000000001</v>
      </c>
      <c r="O519" s="6">
        <v>896.73500000000001</v>
      </c>
      <c r="P519" s="6">
        <v>0</v>
      </c>
      <c r="Q519" s="4" t="s">
        <v>26</v>
      </c>
      <c r="R519" s="4">
        <v>0</v>
      </c>
      <c r="S519" s="4" t="s">
        <v>214</v>
      </c>
      <c r="T519" s="4" t="s">
        <v>611</v>
      </c>
      <c r="U519" s="4">
        <v>20</v>
      </c>
      <c r="V519" s="4">
        <v>22</v>
      </c>
      <c r="W519" s="4">
        <v>67</v>
      </c>
    </row>
    <row r="520" spans="1:23" ht="11.25" customHeight="1" x14ac:dyDescent="0.25">
      <c r="A520" s="4" t="s">
        <v>28</v>
      </c>
      <c r="B520" s="4" t="s">
        <v>41</v>
      </c>
      <c r="C520" s="4" t="s">
        <v>40</v>
      </c>
      <c r="D520" s="4" t="s">
        <v>46</v>
      </c>
      <c r="E520" s="4" t="s">
        <v>25</v>
      </c>
      <c r="F520" s="4" t="s">
        <v>25</v>
      </c>
      <c r="G520" s="4" t="s">
        <v>25</v>
      </c>
      <c r="H520" s="4" t="s">
        <v>35</v>
      </c>
      <c r="I520" s="5">
        <v>44713</v>
      </c>
      <c r="J520" s="6">
        <v>5036</v>
      </c>
      <c r="K520" s="6">
        <v>5036</v>
      </c>
      <c r="L520" s="6">
        <v>709.71100000000001</v>
      </c>
      <c r="M520" s="6">
        <v>709.71100000000001</v>
      </c>
      <c r="N520" s="6">
        <v>709.71100000000001</v>
      </c>
      <c r="O520" s="6">
        <v>709.71100000000001</v>
      </c>
      <c r="P520" s="6">
        <v>0</v>
      </c>
      <c r="Q520" s="4" t="s">
        <v>26</v>
      </c>
      <c r="R520" s="4">
        <v>0</v>
      </c>
      <c r="S520" s="4" t="s">
        <v>214</v>
      </c>
      <c r="T520" s="4" t="s">
        <v>611</v>
      </c>
      <c r="U520" s="4">
        <v>20</v>
      </c>
      <c r="V520" s="4">
        <v>22</v>
      </c>
      <c r="W520" s="4">
        <v>67</v>
      </c>
    </row>
    <row r="521" spans="1:23" ht="11.25" customHeight="1" x14ac:dyDescent="0.25">
      <c r="A521" s="4" t="s">
        <v>57</v>
      </c>
      <c r="B521" s="4" t="s">
        <v>41</v>
      </c>
      <c r="C521" s="4" t="s">
        <v>40</v>
      </c>
      <c r="D521" s="4" t="s">
        <v>46</v>
      </c>
      <c r="E521" s="4" t="s">
        <v>25</v>
      </c>
      <c r="F521" s="4" t="s">
        <v>25</v>
      </c>
      <c r="G521" s="4" t="s">
        <v>25</v>
      </c>
      <c r="H521" s="4" t="s">
        <v>35</v>
      </c>
      <c r="I521" s="5">
        <v>44743</v>
      </c>
      <c r="J521" s="6">
        <v>3881</v>
      </c>
      <c r="K521" s="6">
        <v>3881</v>
      </c>
      <c r="L521" s="6">
        <v>896.73500000000001</v>
      </c>
      <c r="M521" s="6">
        <v>896.73500000000001</v>
      </c>
      <c r="N521" s="6">
        <v>896.73500000000001</v>
      </c>
      <c r="O521" s="6">
        <v>896.73500000000001</v>
      </c>
      <c r="P521" s="6">
        <v>0</v>
      </c>
      <c r="Q521" s="4" t="s">
        <v>26</v>
      </c>
      <c r="R521" s="4">
        <v>0</v>
      </c>
      <c r="S521" s="4" t="s">
        <v>215</v>
      </c>
      <c r="T521" s="4" t="s">
        <v>612</v>
      </c>
      <c r="U521" s="4">
        <v>20</v>
      </c>
      <c r="V521" s="4">
        <v>22</v>
      </c>
      <c r="W521" s="4">
        <v>67</v>
      </c>
    </row>
    <row r="522" spans="1:23" ht="11.25" customHeight="1" x14ac:dyDescent="0.25">
      <c r="A522" s="4" t="s">
        <v>57</v>
      </c>
      <c r="B522" s="4" t="s">
        <v>41</v>
      </c>
      <c r="C522" s="4" t="s">
        <v>40</v>
      </c>
      <c r="D522" s="4" t="s">
        <v>46</v>
      </c>
      <c r="E522" s="4" t="s">
        <v>25</v>
      </c>
      <c r="F522" s="4" t="s">
        <v>25</v>
      </c>
      <c r="G522" s="4" t="s">
        <v>25</v>
      </c>
      <c r="H522" s="4" t="s">
        <v>35</v>
      </c>
      <c r="I522" s="5">
        <v>44743</v>
      </c>
      <c r="J522" s="6">
        <v>5036</v>
      </c>
      <c r="K522" s="6">
        <v>5036</v>
      </c>
      <c r="L522" s="6">
        <v>709.71100000000001</v>
      </c>
      <c r="M522" s="6">
        <v>709.71100000000001</v>
      </c>
      <c r="N522" s="6">
        <v>709.71100000000001</v>
      </c>
      <c r="O522" s="6">
        <v>709.71100000000001</v>
      </c>
      <c r="P522" s="6">
        <v>0</v>
      </c>
      <c r="Q522" s="4" t="s">
        <v>26</v>
      </c>
      <c r="R522" s="4">
        <v>0</v>
      </c>
      <c r="S522" s="4" t="s">
        <v>215</v>
      </c>
      <c r="T522" s="4" t="s">
        <v>612</v>
      </c>
      <c r="U522" s="4">
        <v>20</v>
      </c>
      <c r="V522" s="4">
        <v>22</v>
      </c>
      <c r="W522" s="4">
        <v>67</v>
      </c>
    </row>
    <row r="523" spans="1:23" ht="11.25" customHeight="1" x14ac:dyDescent="0.25">
      <c r="A523" s="4" t="s">
        <v>21</v>
      </c>
      <c r="B523" s="4" t="s">
        <v>41</v>
      </c>
      <c r="C523" s="4" t="s">
        <v>40</v>
      </c>
      <c r="D523" s="4" t="s">
        <v>46</v>
      </c>
      <c r="E523" s="4" t="s">
        <v>25</v>
      </c>
      <c r="F523" s="4" t="s">
        <v>25</v>
      </c>
      <c r="G523" s="4" t="s">
        <v>25</v>
      </c>
      <c r="H523" s="4" t="s">
        <v>34</v>
      </c>
      <c r="I523" s="5">
        <v>44409</v>
      </c>
      <c r="J523" s="6">
        <v>5813</v>
      </c>
      <c r="K523" s="6">
        <v>5813</v>
      </c>
      <c r="L523" s="6">
        <v>146.81899999999999</v>
      </c>
      <c r="M523" s="6">
        <v>146.81899999999999</v>
      </c>
      <c r="N523" s="6">
        <v>146.81899999999999</v>
      </c>
      <c r="O523" s="6">
        <v>146.81899999999999</v>
      </c>
      <c r="P523" s="6">
        <v>0</v>
      </c>
      <c r="Q523" s="4" t="s">
        <v>26</v>
      </c>
      <c r="R523" s="4">
        <v>0</v>
      </c>
      <c r="S523" s="4" t="s">
        <v>217</v>
      </c>
      <c r="T523" s="4" t="s">
        <v>613</v>
      </c>
      <c r="U523" s="4">
        <v>18</v>
      </c>
      <c r="V523" s="4">
        <v>22</v>
      </c>
      <c r="W523" s="4">
        <v>66</v>
      </c>
    </row>
    <row r="524" spans="1:23" ht="11.25" customHeight="1" x14ac:dyDescent="0.25">
      <c r="A524" s="4" t="s">
        <v>28</v>
      </c>
      <c r="B524" s="4" t="s">
        <v>41</v>
      </c>
      <c r="C524" s="4" t="s">
        <v>40</v>
      </c>
      <c r="D524" s="4" t="s">
        <v>46</v>
      </c>
      <c r="E524" s="4" t="s">
        <v>25</v>
      </c>
      <c r="F524" s="4" t="s">
        <v>25</v>
      </c>
      <c r="G524" s="4" t="s">
        <v>25</v>
      </c>
      <c r="H524" s="4" t="s">
        <v>34</v>
      </c>
      <c r="I524" s="5">
        <v>44409</v>
      </c>
      <c r="J524" s="6">
        <v>543</v>
      </c>
      <c r="K524" s="6">
        <v>543</v>
      </c>
      <c r="L524" s="6">
        <v>7.1459999999999999</v>
      </c>
      <c r="M524" s="6">
        <v>7.1459999999999999</v>
      </c>
      <c r="N524" s="6">
        <v>7.1459999999999999</v>
      </c>
      <c r="O524" s="6">
        <v>7.1459999999999999</v>
      </c>
      <c r="P524" s="6">
        <v>0</v>
      </c>
      <c r="Q524" s="4" t="s">
        <v>26</v>
      </c>
      <c r="R524" s="4">
        <v>0</v>
      </c>
      <c r="S524" s="4" t="s">
        <v>217</v>
      </c>
      <c r="T524" s="4" t="s">
        <v>613</v>
      </c>
      <c r="U524" s="4">
        <v>18</v>
      </c>
      <c r="V524" s="4">
        <v>22</v>
      </c>
      <c r="W524" s="4">
        <v>66</v>
      </c>
    </row>
    <row r="525" spans="1:23" ht="11.25" customHeight="1" x14ac:dyDescent="0.25">
      <c r="A525" s="4" t="s">
        <v>21</v>
      </c>
      <c r="B525" s="4" t="s">
        <v>41</v>
      </c>
      <c r="C525" s="4" t="s">
        <v>40</v>
      </c>
      <c r="D525" s="4" t="s">
        <v>46</v>
      </c>
      <c r="E525" s="4" t="s">
        <v>25</v>
      </c>
      <c r="F525" s="4" t="s">
        <v>25</v>
      </c>
      <c r="G525" s="4" t="s">
        <v>25</v>
      </c>
      <c r="H525" s="4" t="s">
        <v>34</v>
      </c>
      <c r="I525" s="5">
        <v>44440</v>
      </c>
      <c r="J525" s="6">
        <v>3042</v>
      </c>
      <c r="K525" s="6">
        <v>3042</v>
      </c>
      <c r="L525" s="6">
        <v>103.00700000000001</v>
      </c>
      <c r="M525" s="6">
        <v>103.00700000000001</v>
      </c>
      <c r="N525" s="6">
        <v>103.00700000000001</v>
      </c>
      <c r="O525" s="6">
        <v>103.00700000000001</v>
      </c>
      <c r="P525" s="6">
        <v>0</v>
      </c>
      <c r="Q525" s="4" t="s">
        <v>26</v>
      </c>
      <c r="R525" s="4">
        <v>0</v>
      </c>
      <c r="S525" s="4" t="s">
        <v>218</v>
      </c>
      <c r="T525" s="4" t="s">
        <v>614</v>
      </c>
      <c r="U525" s="4">
        <v>18</v>
      </c>
      <c r="V525" s="4">
        <v>22</v>
      </c>
      <c r="W525" s="4">
        <v>66</v>
      </c>
    </row>
    <row r="526" spans="1:23" ht="11.25" customHeight="1" x14ac:dyDescent="0.25">
      <c r="A526" s="4" t="s">
        <v>27</v>
      </c>
      <c r="B526" s="4" t="s">
        <v>41</v>
      </c>
      <c r="C526" s="4" t="s">
        <v>40</v>
      </c>
      <c r="D526" s="4" t="s">
        <v>46</v>
      </c>
      <c r="E526" s="4" t="s">
        <v>25</v>
      </c>
      <c r="F526" s="4" t="s">
        <v>25</v>
      </c>
      <c r="G526" s="4" t="s">
        <v>25</v>
      </c>
      <c r="H526" s="4" t="s">
        <v>34</v>
      </c>
      <c r="I526" s="5">
        <v>44440</v>
      </c>
      <c r="J526" s="6">
        <v>318</v>
      </c>
      <c r="K526" s="6">
        <v>318</v>
      </c>
      <c r="L526" s="6">
        <v>13.2</v>
      </c>
      <c r="M526" s="6">
        <v>13.2</v>
      </c>
      <c r="N526" s="6">
        <v>13.2</v>
      </c>
      <c r="O526" s="6">
        <v>13.2</v>
      </c>
      <c r="P526" s="6">
        <v>0</v>
      </c>
      <c r="Q526" s="4" t="s">
        <v>26</v>
      </c>
      <c r="R526" s="4">
        <v>0</v>
      </c>
      <c r="S526" s="4" t="s">
        <v>218</v>
      </c>
      <c r="T526" s="4" t="s">
        <v>614</v>
      </c>
      <c r="U526" s="4">
        <v>18</v>
      </c>
      <c r="V526" s="4">
        <v>22</v>
      </c>
      <c r="W526" s="4">
        <v>66</v>
      </c>
    </row>
    <row r="527" spans="1:23" ht="11.25" customHeight="1" x14ac:dyDescent="0.25">
      <c r="A527" s="4" t="s">
        <v>28</v>
      </c>
      <c r="B527" s="4" t="s">
        <v>41</v>
      </c>
      <c r="C527" s="4" t="s">
        <v>40</v>
      </c>
      <c r="D527" s="4" t="s">
        <v>46</v>
      </c>
      <c r="E527" s="4" t="s">
        <v>25</v>
      </c>
      <c r="F527" s="4" t="s">
        <v>25</v>
      </c>
      <c r="G527" s="4" t="s">
        <v>25</v>
      </c>
      <c r="H527" s="4" t="s">
        <v>34</v>
      </c>
      <c r="I527" s="5">
        <v>44440</v>
      </c>
      <c r="J527" s="6">
        <v>3396</v>
      </c>
      <c r="K527" s="6">
        <v>3396</v>
      </c>
      <c r="L527" s="6">
        <v>67.055999999999997</v>
      </c>
      <c r="M527" s="6">
        <v>67.055999999999997</v>
      </c>
      <c r="N527" s="6">
        <v>67.055999999999997</v>
      </c>
      <c r="O527" s="6">
        <v>67.055999999999997</v>
      </c>
      <c r="P527" s="6">
        <v>0</v>
      </c>
      <c r="Q527" s="4" t="s">
        <v>26</v>
      </c>
      <c r="R527" s="4">
        <v>0</v>
      </c>
      <c r="S527" s="4" t="s">
        <v>218</v>
      </c>
      <c r="T527" s="4" t="s">
        <v>614</v>
      </c>
      <c r="U527" s="4">
        <v>18</v>
      </c>
      <c r="V527" s="4">
        <v>22</v>
      </c>
      <c r="W527" s="4">
        <v>66</v>
      </c>
    </row>
    <row r="528" spans="1:23" ht="11.25" customHeight="1" x14ac:dyDescent="0.25">
      <c r="A528" s="4" t="s">
        <v>21</v>
      </c>
      <c r="B528" s="4" t="s">
        <v>41</v>
      </c>
      <c r="C528" s="4" t="s">
        <v>40</v>
      </c>
      <c r="D528" s="4" t="s">
        <v>46</v>
      </c>
      <c r="E528" s="4" t="s">
        <v>25</v>
      </c>
      <c r="F528" s="4" t="s">
        <v>25</v>
      </c>
      <c r="G528" s="4" t="s">
        <v>25</v>
      </c>
      <c r="H528" s="4" t="s">
        <v>34</v>
      </c>
      <c r="I528" s="5">
        <v>44470</v>
      </c>
      <c r="J528" s="6">
        <v>3169</v>
      </c>
      <c r="K528" s="6">
        <v>3169</v>
      </c>
      <c r="L528" s="6">
        <v>109.072</v>
      </c>
      <c r="M528" s="6">
        <v>109.072</v>
      </c>
      <c r="N528" s="6">
        <v>109.072</v>
      </c>
      <c r="O528" s="6">
        <v>109.072</v>
      </c>
      <c r="P528" s="6">
        <v>0</v>
      </c>
      <c r="Q528" s="4" t="s">
        <v>26</v>
      </c>
      <c r="R528" s="4">
        <v>0</v>
      </c>
      <c r="S528" s="4" t="s">
        <v>219</v>
      </c>
      <c r="T528" s="4" t="s">
        <v>615</v>
      </c>
      <c r="U528" s="4">
        <v>18</v>
      </c>
      <c r="V528" s="4">
        <v>22</v>
      </c>
      <c r="W528" s="4">
        <v>66</v>
      </c>
    </row>
    <row r="529" spans="1:23" ht="11.25" customHeight="1" x14ac:dyDescent="0.25">
      <c r="A529" s="4" t="s">
        <v>28</v>
      </c>
      <c r="B529" s="4" t="s">
        <v>41</v>
      </c>
      <c r="C529" s="4" t="s">
        <v>40</v>
      </c>
      <c r="D529" s="4" t="s">
        <v>46</v>
      </c>
      <c r="E529" s="4" t="s">
        <v>25</v>
      </c>
      <c r="F529" s="4" t="s">
        <v>25</v>
      </c>
      <c r="G529" s="4" t="s">
        <v>25</v>
      </c>
      <c r="H529" s="4" t="s">
        <v>34</v>
      </c>
      <c r="I529" s="5">
        <v>44470</v>
      </c>
      <c r="J529" s="6">
        <v>3396</v>
      </c>
      <c r="K529" s="6">
        <v>3396</v>
      </c>
      <c r="L529" s="6">
        <v>56.101999999999997</v>
      </c>
      <c r="M529" s="6">
        <v>56.101999999999997</v>
      </c>
      <c r="N529" s="6">
        <v>56.101999999999997</v>
      </c>
      <c r="O529" s="6">
        <v>56.101999999999997</v>
      </c>
      <c r="P529" s="6">
        <v>0</v>
      </c>
      <c r="Q529" s="4" t="s">
        <v>26</v>
      </c>
      <c r="R529" s="4">
        <v>0</v>
      </c>
      <c r="S529" s="4" t="s">
        <v>219</v>
      </c>
      <c r="T529" s="4" t="s">
        <v>615</v>
      </c>
      <c r="U529" s="4">
        <v>18</v>
      </c>
      <c r="V529" s="4">
        <v>22</v>
      </c>
      <c r="W529" s="4">
        <v>66</v>
      </c>
    </row>
    <row r="530" spans="1:23" ht="11.25" customHeight="1" x14ac:dyDescent="0.25">
      <c r="A530" s="4" t="s">
        <v>21</v>
      </c>
      <c r="B530" s="4" t="s">
        <v>41</v>
      </c>
      <c r="C530" s="4" t="s">
        <v>40</v>
      </c>
      <c r="D530" s="4" t="s">
        <v>46</v>
      </c>
      <c r="E530" s="4" t="s">
        <v>25</v>
      </c>
      <c r="F530" s="4" t="s">
        <v>25</v>
      </c>
      <c r="G530" s="4" t="s">
        <v>25</v>
      </c>
      <c r="H530" s="4" t="s">
        <v>34</v>
      </c>
      <c r="I530" s="5">
        <v>44501</v>
      </c>
      <c r="J530" s="6">
        <v>3038</v>
      </c>
      <c r="K530" s="6">
        <v>3038</v>
      </c>
      <c r="L530" s="6">
        <v>96.266000000000005</v>
      </c>
      <c r="M530" s="6">
        <v>96.266000000000005</v>
      </c>
      <c r="N530" s="6">
        <v>96.266000000000005</v>
      </c>
      <c r="O530" s="6">
        <v>96.266000000000005</v>
      </c>
      <c r="P530" s="6">
        <v>0</v>
      </c>
      <c r="Q530" s="4" t="s">
        <v>26</v>
      </c>
      <c r="R530" s="4">
        <v>0</v>
      </c>
      <c r="S530" s="4" t="s">
        <v>220</v>
      </c>
      <c r="T530" s="4" t="s">
        <v>616</v>
      </c>
      <c r="U530" s="4">
        <v>18</v>
      </c>
      <c r="V530" s="4">
        <v>22</v>
      </c>
      <c r="W530" s="4">
        <v>66</v>
      </c>
    </row>
    <row r="531" spans="1:23" ht="11.25" customHeight="1" x14ac:dyDescent="0.25">
      <c r="A531" s="4" t="s">
        <v>28</v>
      </c>
      <c r="B531" s="4" t="s">
        <v>41</v>
      </c>
      <c r="C531" s="4" t="s">
        <v>40</v>
      </c>
      <c r="D531" s="4" t="s">
        <v>46</v>
      </c>
      <c r="E531" s="4" t="s">
        <v>25</v>
      </c>
      <c r="F531" s="4" t="s">
        <v>25</v>
      </c>
      <c r="G531" s="4" t="s">
        <v>25</v>
      </c>
      <c r="H531" s="4" t="s">
        <v>34</v>
      </c>
      <c r="I531" s="5">
        <v>44501</v>
      </c>
      <c r="J531" s="6">
        <v>3396</v>
      </c>
      <c r="K531" s="6">
        <v>3396</v>
      </c>
      <c r="L531" s="6">
        <v>60.844000000000001</v>
      </c>
      <c r="M531" s="6">
        <v>60.844000000000001</v>
      </c>
      <c r="N531" s="6">
        <v>60.844000000000001</v>
      </c>
      <c r="O531" s="6">
        <v>60.844000000000001</v>
      </c>
      <c r="P531" s="6">
        <v>0</v>
      </c>
      <c r="Q531" s="4" t="s">
        <v>26</v>
      </c>
      <c r="R531" s="4">
        <v>0</v>
      </c>
      <c r="S531" s="4" t="s">
        <v>220</v>
      </c>
      <c r="T531" s="4" t="s">
        <v>616</v>
      </c>
      <c r="U531" s="4">
        <v>18</v>
      </c>
      <c r="V531" s="4">
        <v>22</v>
      </c>
      <c r="W531" s="4">
        <v>66</v>
      </c>
    </row>
    <row r="532" spans="1:23" ht="11.25" customHeight="1" x14ac:dyDescent="0.25">
      <c r="A532" s="4" t="s">
        <v>21</v>
      </c>
      <c r="B532" s="4" t="s">
        <v>41</v>
      </c>
      <c r="C532" s="4" t="s">
        <v>40</v>
      </c>
      <c r="D532" s="4" t="s">
        <v>46</v>
      </c>
      <c r="E532" s="4" t="s">
        <v>25</v>
      </c>
      <c r="F532" s="4" t="s">
        <v>25</v>
      </c>
      <c r="G532" s="4" t="s">
        <v>25</v>
      </c>
      <c r="H532" s="4" t="s">
        <v>34</v>
      </c>
      <c r="I532" s="5">
        <v>44531</v>
      </c>
      <c r="J532" s="6">
        <v>2986</v>
      </c>
      <c r="K532" s="6">
        <v>2986</v>
      </c>
      <c r="L532" s="6">
        <v>109.33499999999999</v>
      </c>
      <c r="M532" s="6">
        <v>109.33499999999999</v>
      </c>
      <c r="N532" s="6">
        <v>109.33499999999999</v>
      </c>
      <c r="O532" s="6">
        <v>109.33499999999999</v>
      </c>
      <c r="P532" s="6">
        <v>0</v>
      </c>
      <c r="Q532" s="4" t="s">
        <v>26</v>
      </c>
      <c r="R532" s="4">
        <v>0</v>
      </c>
      <c r="S532" s="4" t="s">
        <v>221</v>
      </c>
      <c r="T532" s="4" t="s">
        <v>617</v>
      </c>
      <c r="U532" s="4">
        <v>18</v>
      </c>
      <c r="V532" s="4">
        <v>22</v>
      </c>
      <c r="W532" s="4">
        <v>66</v>
      </c>
    </row>
    <row r="533" spans="1:23" ht="11.25" customHeight="1" x14ac:dyDescent="0.25">
      <c r="A533" s="4" t="s">
        <v>28</v>
      </c>
      <c r="B533" s="4" t="s">
        <v>41</v>
      </c>
      <c r="C533" s="4" t="s">
        <v>40</v>
      </c>
      <c r="D533" s="4" t="s">
        <v>46</v>
      </c>
      <c r="E533" s="4" t="s">
        <v>25</v>
      </c>
      <c r="F533" s="4" t="s">
        <v>25</v>
      </c>
      <c r="G533" s="4" t="s">
        <v>25</v>
      </c>
      <c r="H533" s="4" t="s">
        <v>34</v>
      </c>
      <c r="I533" s="5">
        <v>44531</v>
      </c>
      <c r="J533" s="6">
        <v>3396</v>
      </c>
      <c r="K533" s="6">
        <v>3396</v>
      </c>
      <c r="L533" s="6">
        <v>68.367999999999995</v>
      </c>
      <c r="M533" s="6">
        <v>68.367999999999995</v>
      </c>
      <c r="N533" s="6">
        <v>68.367999999999995</v>
      </c>
      <c r="O533" s="6">
        <v>68.367999999999995</v>
      </c>
      <c r="P533" s="6">
        <v>0</v>
      </c>
      <c r="Q533" s="4" t="s">
        <v>26</v>
      </c>
      <c r="R533" s="4">
        <v>0</v>
      </c>
      <c r="S533" s="4" t="s">
        <v>221</v>
      </c>
      <c r="T533" s="4" t="s">
        <v>617</v>
      </c>
      <c r="U533" s="4">
        <v>18</v>
      </c>
      <c r="V533" s="4">
        <v>22</v>
      </c>
      <c r="W533" s="4">
        <v>66</v>
      </c>
    </row>
    <row r="534" spans="1:23" ht="11.25" customHeight="1" x14ac:dyDescent="0.25">
      <c r="A534" s="4" t="s">
        <v>21</v>
      </c>
      <c r="B534" s="4" t="s">
        <v>41</v>
      </c>
      <c r="C534" s="4" t="s">
        <v>40</v>
      </c>
      <c r="D534" s="4" t="s">
        <v>46</v>
      </c>
      <c r="E534" s="4" t="s">
        <v>25</v>
      </c>
      <c r="F534" s="4" t="s">
        <v>25</v>
      </c>
      <c r="G534" s="4" t="s">
        <v>25</v>
      </c>
      <c r="H534" s="4" t="s">
        <v>34</v>
      </c>
      <c r="I534" s="5">
        <v>44562</v>
      </c>
      <c r="J534" s="6">
        <v>2928</v>
      </c>
      <c r="K534" s="6">
        <v>2928</v>
      </c>
      <c r="L534" s="6">
        <v>98.435000000000002</v>
      </c>
      <c r="M534" s="6">
        <v>98.435000000000002</v>
      </c>
      <c r="N534" s="6">
        <v>98.435000000000002</v>
      </c>
      <c r="O534" s="6">
        <v>98.435000000000002</v>
      </c>
      <c r="P534" s="6">
        <v>0</v>
      </c>
      <c r="Q534" s="4" t="s">
        <v>26</v>
      </c>
      <c r="R534" s="4">
        <v>0</v>
      </c>
      <c r="S534" s="4" t="s">
        <v>222</v>
      </c>
      <c r="T534" s="4" t="s">
        <v>618</v>
      </c>
      <c r="U534" s="4">
        <v>18</v>
      </c>
      <c r="V534" s="4">
        <v>22</v>
      </c>
      <c r="W534" s="4">
        <v>66</v>
      </c>
    </row>
    <row r="535" spans="1:23" ht="11.25" customHeight="1" x14ac:dyDescent="0.25">
      <c r="A535" s="4" t="s">
        <v>28</v>
      </c>
      <c r="B535" s="4" t="s">
        <v>41</v>
      </c>
      <c r="C535" s="4" t="s">
        <v>40</v>
      </c>
      <c r="D535" s="4" t="s">
        <v>46</v>
      </c>
      <c r="E535" s="4" t="s">
        <v>25</v>
      </c>
      <c r="F535" s="4" t="s">
        <v>25</v>
      </c>
      <c r="G535" s="4" t="s">
        <v>25</v>
      </c>
      <c r="H535" s="4" t="s">
        <v>34</v>
      </c>
      <c r="I535" s="5">
        <v>44562</v>
      </c>
      <c r="J535" s="6">
        <v>3396</v>
      </c>
      <c r="K535" s="6">
        <v>3396</v>
      </c>
      <c r="L535" s="6">
        <v>55.548000000000002</v>
      </c>
      <c r="M535" s="6">
        <v>55.548000000000002</v>
      </c>
      <c r="N535" s="6">
        <v>55.548000000000002</v>
      </c>
      <c r="O535" s="6">
        <v>55.548000000000002</v>
      </c>
      <c r="P535" s="6">
        <v>0</v>
      </c>
      <c r="Q535" s="4" t="s">
        <v>26</v>
      </c>
      <c r="R535" s="4">
        <v>0</v>
      </c>
      <c r="S535" s="4" t="s">
        <v>222</v>
      </c>
      <c r="T535" s="4" t="s">
        <v>618</v>
      </c>
      <c r="U535" s="4">
        <v>18</v>
      </c>
      <c r="V535" s="4">
        <v>22</v>
      </c>
      <c r="W535" s="4">
        <v>66</v>
      </c>
    </row>
    <row r="536" spans="1:23" ht="11.25" customHeight="1" x14ac:dyDescent="0.25">
      <c r="A536" s="4" t="s">
        <v>21</v>
      </c>
      <c r="B536" s="4" t="s">
        <v>41</v>
      </c>
      <c r="C536" s="4" t="s">
        <v>40</v>
      </c>
      <c r="D536" s="4" t="s">
        <v>46</v>
      </c>
      <c r="E536" s="4" t="s">
        <v>25</v>
      </c>
      <c r="F536" s="4" t="s">
        <v>25</v>
      </c>
      <c r="G536" s="4" t="s">
        <v>25</v>
      </c>
      <c r="H536" s="4" t="s">
        <v>34</v>
      </c>
      <c r="I536" s="5">
        <v>44593</v>
      </c>
      <c r="J536" s="6">
        <v>3389</v>
      </c>
      <c r="K536" s="6">
        <v>3389</v>
      </c>
      <c r="L536" s="6">
        <v>119.373</v>
      </c>
      <c r="M536" s="6">
        <v>119.373</v>
      </c>
      <c r="N536" s="6">
        <v>119.373</v>
      </c>
      <c r="O536" s="6">
        <v>119.373</v>
      </c>
      <c r="P536" s="6">
        <v>0</v>
      </c>
      <c r="Q536" s="4" t="s">
        <v>26</v>
      </c>
      <c r="R536" s="4">
        <v>0</v>
      </c>
      <c r="S536" s="4" t="s">
        <v>223</v>
      </c>
      <c r="T536" s="4" t="s">
        <v>619</v>
      </c>
      <c r="U536" s="4">
        <v>18</v>
      </c>
      <c r="V536" s="4">
        <v>22</v>
      </c>
      <c r="W536" s="4">
        <v>66</v>
      </c>
    </row>
    <row r="537" spans="1:23" ht="11.25" customHeight="1" x14ac:dyDescent="0.25">
      <c r="A537" s="4" t="s">
        <v>28</v>
      </c>
      <c r="B537" s="4" t="s">
        <v>41</v>
      </c>
      <c r="C537" s="4" t="s">
        <v>40</v>
      </c>
      <c r="D537" s="4" t="s">
        <v>46</v>
      </c>
      <c r="E537" s="4" t="s">
        <v>25</v>
      </c>
      <c r="F537" s="4" t="s">
        <v>25</v>
      </c>
      <c r="G537" s="4" t="s">
        <v>25</v>
      </c>
      <c r="H537" s="4" t="s">
        <v>34</v>
      </c>
      <c r="I537" s="5">
        <v>44593</v>
      </c>
      <c r="J537" s="6">
        <v>3396</v>
      </c>
      <c r="K537" s="6">
        <v>3396</v>
      </c>
      <c r="L537" s="6">
        <v>60.972000000000001</v>
      </c>
      <c r="M537" s="6">
        <v>60.972000000000001</v>
      </c>
      <c r="N537" s="6">
        <v>60.972000000000001</v>
      </c>
      <c r="O537" s="6">
        <v>60.972000000000001</v>
      </c>
      <c r="P537" s="6">
        <v>0</v>
      </c>
      <c r="Q537" s="4" t="s">
        <v>26</v>
      </c>
      <c r="R537" s="4">
        <v>0</v>
      </c>
      <c r="S537" s="4" t="s">
        <v>223</v>
      </c>
      <c r="T537" s="4" t="s">
        <v>619</v>
      </c>
      <c r="U537" s="4">
        <v>18</v>
      </c>
      <c r="V537" s="4">
        <v>22</v>
      </c>
      <c r="W537" s="4">
        <v>66</v>
      </c>
    </row>
    <row r="538" spans="1:23" ht="11.25" customHeight="1" x14ac:dyDescent="0.25">
      <c r="A538" s="4" t="s">
        <v>21</v>
      </c>
      <c r="B538" s="4" t="s">
        <v>41</v>
      </c>
      <c r="C538" s="4" t="s">
        <v>40</v>
      </c>
      <c r="D538" s="4" t="s">
        <v>46</v>
      </c>
      <c r="E538" s="4" t="s">
        <v>25</v>
      </c>
      <c r="F538" s="4" t="s">
        <v>25</v>
      </c>
      <c r="G538" s="4" t="s">
        <v>25</v>
      </c>
      <c r="H538" s="4" t="s">
        <v>34</v>
      </c>
      <c r="I538" s="5">
        <v>44621</v>
      </c>
      <c r="J538" s="6">
        <v>2967</v>
      </c>
      <c r="K538" s="6">
        <v>2967</v>
      </c>
      <c r="L538" s="6">
        <v>104.895</v>
      </c>
      <c r="M538" s="6">
        <v>104.895</v>
      </c>
      <c r="N538" s="6">
        <v>104.895</v>
      </c>
      <c r="O538" s="6">
        <v>104.895</v>
      </c>
      <c r="P538" s="6">
        <v>0</v>
      </c>
      <c r="Q538" s="4" t="s">
        <v>26</v>
      </c>
      <c r="R538" s="4">
        <v>0</v>
      </c>
      <c r="S538" s="4" t="s">
        <v>224</v>
      </c>
      <c r="T538" s="4" t="s">
        <v>620</v>
      </c>
      <c r="U538" s="4">
        <v>18</v>
      </c>
      <c r="V538" s="4">
        <v>22</v>
      </c>
      <c r="W538" s="4">
        <v>66</v>
      </c>
    </row>
    <row r="539" spans="1:23" ht="11.25" customHeight="1" x14ac:dyDescent="0.25">
      <c r="A539" s="4" t="s">
        <v>28</v>
      </c>
      <c r="B539" s="4" t="s">
        <v>41</v>
      </c>
      <c r="C539" s="4" t="s">
        <v>40</v>
      </c>
      <c r="D539" s="4" t="s">
        <v>46</v>
      </c>
      <c r="E539" s="4" t="s">
        <v>25</v>
      </c>
      <c r="F539" s="4" t="s">
        <v>25</v>
      </c>
      <c r="G539" s="4" t="s">
        <v>25</v>
      </c>
      <c r="H539" s="4" t="s">
        <v>34</v>
      </c>
      <c r="I539" s="5">
        <v>44621</v>
      </c>
      <c r="J539" s="6">
        <v>3396</v>
      </c>
      <c r="K539" s="6">
        <v>3396</v>
      </c>
      <c r="L539" s="6">
        <v>86.563999999999993</v>
      </c>
      <c r="M539" s="6">
        <v>86.563999999999993</v>
      </c>
      <c r="N539" s="6">
        <v>86.563999999999993</v>
      </c>
      <c r="O539" s="6">
        <v>86.563999999999993</v>
      </c>
      <c r="P539" s="6">
        <v>0</v>
      </c>
      <c r="Q539" s="4" t="s">
        <v>26</v>
      </c>
      <c r="R539" s="4">
        <v>0</v>
      </c>
      <c r="S539" s="4" t="s">
        <v>224</v>
      </c>
      <c r="T539" s="4" t="s">
        <v>620</v>
      </c>
      <c r="U539" s="4">
        <v>18</v>
      </c>
      <c r="V539" s="4">
        <v>22</v>
      </c>
      <c r="W539" s="4">
        <v>66</v>
      </c>
    </row>
    <row r="540" spans="1:23" ht="11.25" customHeight="1" x14ac:dyDescent="0.25">
      <c r="A540" s="4" t="s">
        <v>21</v>
      </c>
      <c r="B540" s="4" t="s">
        <v>41</v>
      </c>
      <c r="C540" s="4" t="s">
        <v>40</v>
      </c>
      <c r="D540" s="4" t="s">
        <v>46</v>
      </c>
      <c r="E540" s="4" t="s">
        <v>25</v>
      </c>
      <c r="F540" s="4" t="s">
        <v>25</v>
      </c>
      <c r="G540" s="4" t="s">
        <v>25</v>
      </c>
      <c r="H540" s="4" t="s">
        <v>34</v>
      </c>
      <c r="I540" s="5">
        <v>44652</v>
      </c>
      <c r="J540" s="6">
        <v>2971</v>
      </c>
      <c r="K540" s="6">
        <v>2971</v>
      </c>
      <c r="L540" s="6">
        <v>91.233999999999995</v>
      </c>
      <c r="M540" s="6">
        <v>91.233999999999995</v>
      </c>
      <c r="N540" s="6">
        <v>91.233999999999995</v>
      </c>
      <c r="O540" s="6">
        <v>91.233999999999995</v>
      </c>
      <c r="P540" s="6">
        <v>0</v>
      </c>
      <c r="Q540" s="4" t="s">
        <v>26</v>
      </c>
      <c r="R540" s="4">
        <v>0</v>
      </c>
      <c r="S540" s="4" t="s">
        <v>225</v>
      </c>
      <c r="T540" s="4" t="s">
        <v>621</v>
      </c>
      <c r="U540" s="4">
        <v>18</v>
      </c>
      <c r="V540" s="4">
        <v>22</v>
      </c>
      <c r="W540" s="4">
        <v>66</v>
      </c>
    </row>
    <row r="541" spans="1:23" ht="11.25" customHeight="1" x14ac:dyDescent="0.25">
      <c r="A541" s="4" t="s">
        <v>28</v>
      </c>
      <c r="B541" s="4" t="s">
        <v>41</v>
      </c>
      <c r="C541" s="4" t="s">
        <v>40</v>
      </c>
      <c r="D541" s="4" t="s">
        <v>46</v>
      </c>
      <c r="E541" s="4" t="s">
        <v>25</v>
      </c>
      <c r="F541" s="4" t="s">
        <v>25</v>
      </c>
      <c r="G541" s="4" t="s">
        <v>25</v>
      </c>
      <c r="H541" s="4" t="s">
        <v>34</v>
      </c>
      <c r="I541" s="5">
        <v>44652</v>
      </c>
      <c r="J541" s="6">
        <v>3399</v>
      </c>
      <c r="K541" s="6">
        <v>3399</v>
      </c>
      <c r="L541" s="6">
        <v>87.722999999999999</v>
      </c>
      <c r="M541" s="6">
        <v>87.722999999999999</v>
      </c>
      <c r="N541" s="6">
        <v>87.722999999999999</v>
      </c>
      <c r="O541" s="6">
        <v>87.722999999999999</v>
      </c>
      <c r="P541" s="6">
        <v>0</v>
      </c>
      <c r="Q541" s="4" t="s">
        <v>26</v>
      </c>
      <c r="R541" s="4">
        <v>0</v>
      </c>
      <c r="S541" s="4" t="s">
        <v>225</v>
      </c>
      <c r="T541" s="4" t="s">
        <v>621</v>
      </c>
      <c r="U541" s="4">
        <v>18</v>
      </c>
      <c r="V541" s="4">
        <v>22</v>
      </c>
      <c r="W541" s="4">
        <v>66</v>
      </c>
    </row>
    <row r="542" spans="1:23" ht="11.25" customHeight="1" x14ac:dyDescent="0.25">
      <c r="A542" s="4" t="s">
        <v>21</v>
      </c>
      <c r="B542" s="4" t="s">
        <v>41</v>
      </c>
      <c r="C542" s="4" t="s">
        <v>40</v>
      </c>
      <c r="D542" s="4" t="s">
        <v>46</v>
      </c>
      <c r="E542" s="4" t="s">
        <v>25</v>
      </c>
      <c r="F542" s="4" t="s">
        <v>25</v>
      </c>
      <c r="G542" s="4" t="s">
        <v>25</v>
      </c>
      <c r="H542" s="4" t="s">
        <v>34</v>
      </c>
      <c r="I542" s="5">
        <v>44682</v>
      </c>
      <c r="J542" s="6">
        <v>2950</v>
      </c>
      <c r="K542" s="6">
        <v>2950</v>
      </c>
      <c r="L542" s="6">
        <v>104.66500000000001</v>
      </c>
      <c r="M542" s="6">
        <v>104.66500000000001</v>
      </c>
      <c r="N542" s="6">
        <v>104.66500000000001</v>
      </c>
      <c r="O542" s="6">
        <v>104.66500000000001</v>
      </c>
      <c r="P542" s="6">
        <v>0</v>
      </c>
      <c r="Q542" s="4" t="s">
        <v>26</v>
      </c>
      <c r="R542" s="4">
        <v>0</v>
      </c>
      <c r="S542" s="4" t="s">
        <v>226</v>
      </c>
      <c r="T542" s="4" t="s">
        <v>622</v>
      </c>
      <c r="U542" s="4">
        <v>18</v>
      </c>
      <c r="V542" s="4">
        <v>22</v>
      </c>
      <c r="W542" s="4">
        <v>66</v>
      </c>
    </row>
    <row r="543" spans="1:23" ht="11.25" customHeight="1" x14ac:dyDescent="0.25">
      <c r="A543" s="4" t="s">
        <v>28</v>
      </c>
      <c r="B543" s="4" t="s">
        <v>41</v>
      </c>
      <c r="C543" s="4" t="s">
        <v>40</v>
      </c>
      <c r="D543" s="4" t="s">
        <v>46</v>
      </c>
      <c r="E543" s="4" t="s">
        <v>25</v>
      </c>
      <c r="F543" s="4" t="s">
        <v>25</v>
      </c>
      <c r="G543" s="4" t="s">
        <v>25</v>
      </c>
      <c r="H543" s="4" t="s">
        <v>34</v>
      </c>
      <c r="I543" s="5">
        <v>44682</v>
      </c>
      <c r="J543" s="6">
        <v>3399</v>
      </c>
      <c r="K543" s="6">
        <v>3399</v>
      </c>
      <c r="L543" s="6">
        <v>101.20699999999999</v>
      </c>
      <c r="M543" s="6">
        <v>101.20699999999999</v>
      </c>
      <c r="N543" s="6">
        <v>101.20699999999999</v>
      </c>
      <c r="O543" s="6">
        <v>101.20699999999999</v>
      </c>
      <c r="P543" s="6">
        <v>0</v>
      </c>
      <c r="Q543" s="4" t="s">
        <v>26</v>
      </c>
      <c r="R543" s="4">
        <v>0</v>
      </c>
      <c r="S543" s="4" t="s">
        <v>226</v>
      </c>
      <c r="T543" s="4" t="s">
        <v>622</v>
      </c>
      <c r="U543" s="4">
        <v>18</v>
      </c>
      <c r="V543" s="4">
        <v>22</v>
      </c>
      <c r="W543" s="4">
        <v>66</v>
      </c>
    </row>
    <row r="544" spans="1:23" ht="11.25" customHeight="1" x14ac:dyDescent="0.25">
      <c r="A544" s="4" t="s">
        <v>21</v>
      </c>
      <c r="B544" s="4" t="s">
        <v>41</v>
      </c>
      <c r="C544" s="4" t="s">
        <v>40</v>
      </c>
      <c r="D544" s="4" t="s">
        <v>46</v>
      </c>
      <c r="E544" s="4" t="s">
        <v>25</v>
      </c>
      <c r="F544" s="4" t="s">
        <v>25</v>
      </c>
      <c r="G544" s="4" t="s">
        <v>25</v>
      </c>
      <c r="H544" s="4" t="s">
        <v>34</v>
      </c>
      <c r="I544" s="5">
        <v>44713</v>
      </c>
      <c r="J544" s="6">
        <v>2879</v>
      </c>
      <c r="K544" s="6">
        <v>2879</v>
      </c>
      <c r="L544" s="6">
        <v>88.801000000000002</v>
      </c>
      <c r="M544" s="6">
        <v>88.801000000000002</v>
      </c>
      <c r="N544" s="6">
        <v>88.801000000000002</v>
      </c>
      <c r="O544" s="6">
        <v>88.801000000000002</v>
      </c>
      <c r="P544" s="6">
        <v>0</v>
      </c>
      <c r="Q544" s="4" t="s">
        <v>26</v>
      </c>
      <c r="R544" s="4">
        <v>0</v>
      </c>
      <c r="S544" s="4" t="s">
        <v>227</v>
      </c>
      <c r="T544" s="4" t="s">
        <v>623</v>
      </c>
      <c r="U544" s="4">
        <v>18</v>
      </c>
      <c r="V544" s="4">
        <v>22</v>
      </c>
      <c r="W544" s="4">
        <v>66</v>
      </c>
    </row>
    <row r="545" spans="1:23" ht="11.25" customHeight="1" x14ac:dyDescent="0.25">
      <c r="A545" s="4" t="s">
        <v>28</v>
      </c>
      <c r="B545" s="4" t="s">
        <v>41</v>
      </c>
      <c r="C545" s="4" t="s">
        <v>40</v>
      </c>
      <c r="D545" s="4" t="s">
        <v>46</v>
      </c>
      <c r="E545" s="4" t="s">
        <v>25</v>
      </c>
      <c r="F545" s="4" t="s">
        <v>25</v>
      </c>
      <c r="G545" s="4" t="s">
        <v>25</v>
      </c>
      <c r="H545" s="4" t="s">
        <v>34</v>
      </c>
      <c r="I545" s="5">
        <v>44713</v>
      </c>
      <c r="J545" s="6">
        <v>3396</v>
      </c>
      <c r="K545" s="6">
        <v>3396</v>
      </c>
      <c r="L545" s="6">
        <v>80.043999999999997</v>
      </c>
      <c r="M545" s="6">
        <v>80.043999999999997</v>
      </c>
      <c r="N545" s="6">
        <v>80.043999999999997</v>
      </c>
      <c r="O545" s="6">
        <v>80.043999999999997</v>
      </c>
      <c r="P545" s="6">
        <v>0</v>
      </c>
      <c r="Q545" s="4" t="s">
        <v>26</v>
      </c>
      <c r="R545" s="4">
        <v>0</v>
      </c>
      <c r="S545" s="4" t="s">
        <v>227</v>
      </c>
      <c r="T545" s="4" t="s">
        <v>623</v>
      </c>
      <c r="U545" s="4">
        <v>18</v>
      </c>
      <c r="V545" s="4">
        <v>22</v>
      </c>
      <c r="W545" s="4">
        <v>66</v>
      </c>
    </row>
    <row r="546" spans="1:23" ht="11.25" customHeight="1" x14ac:dyDescent="0.25">
      <c r="A546" s="4" t="s">
        <v>57</v>
      </c>
      <c r="B546" s="4" t="s">
        <v>41</v>
      </c>
      <c r="C546" s="4" t="s">
        <v>40</v>
      </c>
      <c r="D546" s="4" t="s">
        <v>46</v>
      </c>
      <c r="E546" s="4" t="s">
        <v>25</v>
      </c>
      <c r="F546" s="4" t="s">
        <v>25</v>
      </c>
      <c r="G546" s="4" t="s">
        <v>25</v>
      </c>
      <c r="H546" s="4" t="s">
        <v>34</v>
      </c>
      <c r="I546" s="5">
        <v>44743</v>
      </c>
      <c r="J546" s="6">
        <v>2879</v>
      </c>
      <c r="K546" s="6">
        <v>2879</v>
      </c>
      <c r="L546" s="6">
        <v>88.801000000000002</v>
      </c>
      <c r="M546" s="6">
        <v>88.801000000000002</v>
      </c>
      <c r="N546" s="6">
        <v>88.801000000000002</v>
      </c>
      <c r="O546" s="6">
        <v>88.801000000000002</v>
      </c>
      <c r="P546" s="6">
        <v>0</v>
      </c>
      <c r="Q546" s="4" t="s">
        <v>26</v>
      </c>
      <c r="R546" s="4">
        <v>0</v>
      </c>
      <c r="S546" s="4" t="s">
        <v>228</v>
      </c>
      <c r="T546" s="4" t="s">
        <v>624</v>
      </c>
      <c r="U546" s="4">
        <v>18</v>
      </c>
      <c r="V546" s="4">
        <v>22</v>
      </c>
      <c r="W546" s="4">
        <v>66</v>
      </c>
    </row>
    <row r="547" spans="1:23" ht="11.25" customHeight="1" x14ac:dyDescent="0.25">
      <c r="A547" s="4" t="s">
        <v>57</v>
      </c>
      <c r="B547" s="4" t="s">
        <v>41</v>
      </c>
      <c r="C547" s="4" t="s">
        <v>40</v>
      </c>
      <c r="D547" s="4" t="s">
        <v>46</v>
      </c>
      <c r="E547" s="4" t="s">
        <v>25</v>
      </c>
      <c r="F547" s="4" t="s">
        <v>25</v>
      </c>
      <c r="G547" s="4" t="s">
        <v>25</v>
      </c>
      <c r="H547" s="4" t="s">
        <v>34</v>
      </c>
      <c r="I547" s="5">
        <v>44743</v>
      </c>
      <c r="J547" s="6">
        <v>3396</v>
      </c>
      <c r="K547" s="6">
        <v>3396</v>
      </c>
      <c r="L547" s="6">
        <v>80.043999999999997</v>
      </c>
      <c r="M547" s="6">
        <v>80.043999999999997</v>
      </c>
      <c r="N547" s="6">
        <v>80.043999999999997</v>
      </c>
      <c r="O547" s="6">
        <v>80.043999999999997</v>
      </c>
      <c r="P547" s="6">
        <v>0</v>
      </c>
      <c r="Q547" s="4" t="s">
        <v>26</v>
      </c>
      <c r="R547" s="4">
        <v>0</v>
      </c>
      <c r="S547" s="4" t="s">
        <v>228</v>
      </c>
      <c r="T547" s="4" t="s">
        <v>624</v>
      </c>
      <c r="U547" s="4">
        <v>18</v>
      </c>
      <c r="V547" s="4">
        <v>22</v>
      </c>
      <c r="W547" s="4">
        <v>66</v>
      </c>
    </row>
    <row r="548" spans="1:23" ht="11.25" customHeight="1" x14ac:dyDescent="0.25">
      <c r="A548" s="4" t="s">
        <v>21</v>
      </c>
      <c r="B548" s="4" t="s">
        <v>41</v>
      </c>
      <c r="C548" s="4" t="s">
        <v>40</v>
      </c>
      <c r="D548" s="4" t="s">
        <v>50</v>
      </c>
      <c r="E548" s="4" t="s">
        <v>51</v>
      </c>
      <c r="F548" s="4" t="s">
        <v>25</v>
      </c>
      <c r="G548" s="4" t="s">
        <v>25</v>
      </c>
      <c r="H548" s="4" t="s">
        <v>35</v>
      </c>
      <c r="I548" s="5">
        <v>44409</v>
      </c>
      <c r="J548" s="6">
        <v>15834</v>
      </c>
      <c r="K548" s="6">
        <v>14883.96</v>
      </c>
      <c r="L548" s="6">
        <v>6737.0190000000002</v>
      </c>
      <c r="M548" s="6">
        <v>6332.7978599999997</v>
      </c>
      <c r="N548" s="6">
        <v>6737.0190000000002</v>
      </c>
      <c r="O548" s="6">
        <v>6332.7978599999997</v>
      </c>
      <c r="P548" s="6">
        <v>0</v>
      </c>
      <c r="Q548" s="4" t="s">
        <v>26</v>
      </c>
      <c r="R548" s="4">
        <v>0</v>
      </c>
      <c r="S548" s="4" t="s">
        <v>204</v>
      </c>
      <c r="T548" s="4" t="s">
        <v>601</v>
      </c>
      <c r="U548" s="4">
        <v>20</v>
      </c>
      <c r="V548" s="4">
        <v>22</v>
      </c>
      <c r="W548" s="4">
        <v>67</v>
      </c>
    </row>
    <row r="549" spans="1:23" ht="11.25" customHeight="1" x14ac:dyDescent="0.25">
      <c r="A549" s="4" t="s">
        <v>21</v>
      </c>
      <c r="B549" s="4" t="s">
        <v>41</v>
      </c>
      <c r="C549" s="4" t="s">
        <v>40</v>
      </c>
      <c r="D549" s="4" t="s">
        <v>50</v>
      </c>
      <c r="E549" s="4" t="s">
        <v>51</v>
      </c>
      <c r="F549" s="4" t="s">
        <v>25</v>
      </c>
      <c r="G549" s="4" t="s">
        <v>25</v>
      </c>
      <c r="H549" s="4" t="s">
        <v>35</v>
      </c>
      <c r="I549" s="5">
        <v>44440</v>
      </c>
      <c r="J549" s="6">
        <v>16014</v>
      </c>
      <c r="K549" s="6">
        <v>15053.16</v>
      </c>
      <c r="L549" s="6">
        <v>6745.8490000000002</v>
      </c>
      <c r="M549" s="6">
        <v>6341.0980600000003</v>
      </c>
      <c r="N549" s="6">
        <v>6745.8490000000002</v>
      </c>
      <c r="O549" s="6">
        <v>6341.0980600000003</v>
      </c>
      <c r="P549" s="6">
        <v>0</v>
      </c>
      <c r="Q549" s="4" t="s">
        <v>26</v>
      </c>
      <c r="R549" s="4">
        <v>0</v>
      </c>
      <c r="S549" s="4" t="s">
        <v>205</v>
      </c>
      <c r="T549" s="4" t="s">
        <v>602</v>
      </c>
      <c r="U549" s="4">
        <v>20</v>
      </c>
      <c r="V549" s="4">
        <v>22</v>
      </c>
      <c r="W549" s="4">
        <v>67</v>
      </c>
    </row>
    <row r="550" spans="1:23" ht="11.25" customHeight="1" x14ac:dyDescent="0.25">
      <c r="A550" s="4" t="s">
        <v>21</v>
      </c>
      <c r="B550" s="4" t="s">
        <v>41</v>
      </c>
      <c r="C550" s="4" t="s">
        <v>40</v>
      </c>
      <c r="D550" s="4" t="s">
        <v>50</v>
      </c>
      <c r="E550" s="4" t="s">
        <v>51</v>
      </c>
      <c r="F550" s="4" t="s">
        <v>25</v>
      </c>
      <c r="G550" s="4" t="s">
        <v>25</v>
      </c>
      <c r="H550" s="4" t="s">
        <v>35</v>
      </c>
      <c r="I550" s="5">
        <v>44470</v>
      </c>
      <c r="J550" s="6">
        <v>16098</v>
      </c>
      <c r="K550" s="6">
        <v>15132.12</v>
      </c>
      <c r="L550" s="6">
        <v>7260.2830000000004</v>
      </c>
      <c r="M550" s="6">
        <v>6824.6660199999997</v>
      </c>
      <c r="N550" s="6">
        <v>7260.2830000000004</v>
      </c>
      <c r="O550" s="6">
        <v>6824.6660199999997</v>
      </c>
      <c r="P550" s="6">
        <v>0</v>
      </c>
      <c r="Q550" s="4" t="s">
        <v>26</v>
      </c>
      <c r="R550" s="4">
        <v>0</v>
      </c>
      <c r="S550" s="4" t="s">
        <v>206</v>
      </c>
      <c r="T550" s="4" t="s">
        <v>603</v>
      </c>
      <c r="U550" s="4">
        <v>20</v>
      </c>
      <c r="V550" s="4">
        <v>22</v>
      </c>
      <c r="W550" s="4">
        <v>67</v>
      </c>
    </row>
    <row r="551" spans="1:23" ht="11.25" customHeight="1" x14ac:dyDescent="0.25">
      <c r="A551" s="4" t="s">
        <v>21</v>
      </c>
      <c r="B551" s="4" t="s">
        <v>41</v>
      </c>
      <c r="C551" s="4" t="s">
        <v>40</v>
      </c>
      <c r="D551" s="4" t="s">
        <v>50</v>
      </c>
      <c r="E551" s="4" t="s">
        <v>51</v>
      </c>
      <c r="F551" s="4" t="s">
        <v>25</v>
      </c>
      <c r="G551" s="4" t="s">
        <v>25</v>
      </c>
      <c r="H551" s="4" t="s">
        <v>35</v>
      </c>
      <c r="I551" s="5">
        <v>44501</v>
      </c>
      <c r="J551" s="6">
        <v>16078</v>
      </c>
      <c r="K551" s="6">
        <v>15113.32</v>
      </c>
      <c r="L551" s="6">
        <v>7093.0640000000003</v>
      </c>
      <c r="M551" s="6">
        <v>6667.4801600000001</v>
      </c>
      <c r="N551" s="6">
        <v>7093.0640000000003</v>
      </c>
      <c r="O551" s="6">
        <v>6667.4801600000001</v>
      </c>
      <c r="P551" s="6">
        <v>0</v>
      </c>
      <c r="Q551" s="4" t="s">
        <v>26</v>
      </c>
      <c r="R551" s="4">
        <v>0</v>
      </c>
      <c r="S551" s="4" t="s">
        <v>207</v>
      </c>
      <c r="T551" s="4" t="s">
        <v>604</v>
      </c>
      <c r="U551" s="4">
        <v>20</v>
      </c>
      <c r="V551" s="4">
        <v>22</v>
      </c>
      <c r="W551" s="4">
        <v>67</v>
      </c>
    </row>
    <row r="552" spans="1:23" ht="11.25" customHeight="1" x14ac:dyDescent="0.25">
      <c r="A552" s="4" t="s">
        <v>21</v>
      </c>
      <c r="B552" s="4" t="s">
        <v>41</v>
      </c>
      <c r="C552" s="4" t="s">
        <v>40</v>
      </c>
      <c r="D552" s="4" t="s">
        <v>50</v>
      </c>
      <c r="E552" s="4" t="s">
        <v>51</v>
      </c>
      <c r="F552" s="4" t="s">
        <v>25</v>
      </c>
      <c r="G552" s="4" t="s">
        <v>25</v>
      </c>
      <c r="H552" s="4" t="s">
        <v>35</v>
      </c>
      <c r="I552" s="5">
        <v>44531</v>
      </c>
      <c r="J552" s="6">
        <v>16132</v>
      </c>
      <c r="K552" s="6">
        <v>15164.08</v>
      </c>
      <c r="L552" s="6">
        <v>7178.634</v>
      </c>
      <c r="M552" s="6">
        <v>6747.9159600000003</v>
      </c>
      <c r="N552" s="6">
        <v>7178.634</v>
      </c>
      <c r="O552" s="6">
        <v>6747.9159600000003</v>
      </c>
      <c r="P552" s="6">
        <v>0</v>
      </c>
      <c r="Q552" s="4" t="s">
        <v>26</v>
      </c>
      <c r="R552" s="4">
        <v>0</v>
      </c>
      <c r="S552" s="4" t="s">
        <v>208</v>
      </c>
      <c r="T552" s="4" t="s">
        <v>605</v>
      </c>
      <c r="U552" s="4">
        <v>20</v>
      </c>
      <c r="V552" s="4">
        <v>22</v>
      </c>
      <c r="W552" s="4">
        <v>67</v>
      </c>
    </row>
    <row r="553" spans="1:23" ht="11.25" customHeight="1" x14ac:dyDescent="0.25">
      <c r="A553" s="4" t="s">
        <v>21</v>
      </c>
      <c r="B553" s="4" t="s">
        <v>41</v>
      </c>
      <c r="C553" s="4" t="s">
        <v>40</v>
      </c>
      <c r="D553" s="4" t="s">
        <v>50</v>
      </c>
      <c r="E553" s="4" t="s">
        <v>51</v>
      </c>
      <c r="F553" s="4" t="s">
        <v>25</v>
      </c>
      <c r="G553" s="4" t="s">
        <v>25</v>
      </c>
      <c r="H553" s="4" t="s">
        <v>35</v>
      </c>
      <c r="I553" s="5">
        <v>44562</v>
      </c>
      <c r="J553" s="6">
        <v>16093</v>
      </c>
      <c r="K553" s="6">
        <v>15127.42</v>
      </c>
      <c r="L553" s="6">
        <v>7217.5349999999999</v>
      </c>
      <c r="M553" s="6">
        <v>6784.4829</v>
      </c>
      <c r="N553" s="6">
        <v>7217.5349999999999</v>
      </c>
      <c r="O553" s="6">
        <v>6784.4829</v>
      </c>
      <c r="P553" s="6">
        <v>0</v>
      </c>
      <c r="Q553" s="4" t="s">
        <v>26</v>
      </c>
      <c r="R553" s="4">
        <v>0</v>
      </c>
      <c r="S553" s="4" t="s">
        <v>209</v>
      </c>
      <c r="T553" s="4" t="s">
        <v>606</v>
      </c>
      <c r="U553" s="4">
        <v>20</v>
      </c>
      <c r="V553" s="4">
        <v>22</v>
      </c>
      <c r="W553" s="4">
        <v>67</v>
      </c>
    </row>
    <row r="554" spans="1:23" ht="11.25" customHeight="1" x14ac:dyDescent="0.25">
      <c r="A554" s="4" t="s">
        <v>21</v>
      </c>
      <c r="B554" s="4" t="s">
        <v>41</v>
      </c>
      <c r="C554" s="4" t="s">
        <v>40</v>
      </c>
      <c r="D554" s="4" t="s">
        <v>50</v>
      </c>
      <c r="E554" s="4" t="s">
        <v>51</v>
      </c>
      <c r="F554" s="4" t="s">
        <v>25</v>
      </c>
      <c r="G554" s="4" t="s">
        <v>25</v>
      </c>
      <c r="H554" s="4" t="s">
        <v>35</v>
      </c>
      <c r="I554" s="5">
        <v>44593</v>
      </c>
      <c r="J554" s="6">
        <v>16070</v>
      </c>
      <c r="K554" s="6">
        <v>15105.8</v>
      </c>
      <c r="L554" s="6">
        <v>6627.8530000000001</v>
      </c>
      <c r="M554" s="6">
        <v>6230.1818199999998</v>
      </c>
      <c r="N554" s="6">
        <v>6627.8530000000001</v>
      </c>
      <c r="O554" s="6">
        <v>6230.1818199999998</v>
      </c>
      <c r="P554" s="6">
        <v>0</v>
      </c>
      <c r="Q554" s="4" t="s">
        <v>26</v>
      </c>
      <c r="R554" s="4">
        <v>0</v>
      </c>
      <c r="S554" s="4" t="s">
        <v>210</v>
      </c>
      <c r="T554" s="4" t="s">
        <v>607</v>
      </c>
      <c r="U554" s="4">
        <v>20</v>
      </c>
      <c r="V554" s="4">
        <v>22</v>
      </c>
      <c r="W554" s="4">
        <v>67</v>
      </c>
    </row>
    <row r="555" spans="1:23" ht="11.25" customHeight="1" x14ac:dyDescent="0.25">
      <c r="A555" s="4" t="s">
        <v>21</v>
      </c>
      <c r="B555" s="4" t="s">
        <v>41</v>
      </c>
      <c r="C555" s="4" t="s">
        <v>40</v>
      </c>
      <c r="D555" s="4" t="s">
        <v>50</v>
      </c>
      <c r="E555" s="4" t="s">
        <v>51</v>
      </c>
      <c r="F555" s="4" t="s">
        <v>25</v>
      </c>
      <c r="G555" s="4" t="s">
        <v>25</v>
      </c>
      <c r="H555" s="4" t="s">
        <v>35</v>
      </c>
      <c r="I555" s="5">
        <v>44621</v>
      </c>
      <c r="J555" s="6">
        <v>16184</v>
      </c>
      <c r="K555" s="6">
        <v>15212.96</v>
      </c>
      <c r="L555" s="6">
        <v>7175.6440000000002</v>
      </c>
      <c r="M555" s="6">
        <v>6745.1053599999996</v>
      </c>
      <c r="N555" s="6">
        <v>7175.6440000000002</v>
      </c>
      <c r="O555" s="6">
        <v>6745.1053599999996</v>
      </c>
      <c r="P555" s="6">
        <v>0</v>
      </c>
      <c r="Q555" s="4" t="s">
        <v>26</v>
      </c>
      <c r="R555" s="4">
        <v>0</v>
      </c>
      <c r="S555" s="4" t="s">
        <v>211</v>
      </c>
      <c r="T555" s="4" t="s">
        <v>608</v>
      </c>
      <c r="U555" s="4">
        <v>20</v>
      </c>
      <c r="V555" s="4">
        <v>22</v>
      </c>
      <c r="W555" s="4">
        <v>67</v>
      </c>
    </row>
    <row r="556" spans="1:23" ht="11.25" customHeight="1" x14ac:dyDescent="0.25">
      <c r="A556" s="4" t="s">
        <v>21</v>
      </c>
      <c r="B556" s="4" t="s">
        <v>41</v>
      </c>
      <c r="C556" s="4" t="s">
        <v>40</v>
      </c>
      <c r="D556" s="4" t="s">
        <v>50</v>
      </c>
      <c r="E556" s="4" t="s">
        <v>51</v>
      </c>
      <c r="F556" s="4" t="s">
        <v>25</v>
      </c>
      <c r="G556" s="4" t="s">
        <v>25</v>
      </c>
      <c r="H556" s="4" t="s">
        <v>35</v>
      </c>
      <c r="I556" s="5">
        <v>44652</v>
      </c>
      <c r="J556" s="6">
        <v>16101</v>
      </c>
      <c r="K556" s="6">
        <v>15134.94</v>
      </c>
      <c r="L556" s="6">
        <v>6956.0370000000003</v>
      </c>
      <c r="M556" s="6">
        <v>6538.6747800000003</v>
      </c>
      <c r="N556" s="6">
        <v>6956.0370000000003</v>
      </c>
      <c r="O556" s="6">
        <v>6538.6747800000003</v>
      </c>
      <c r="P556" s="6">
        <v>0</v>
      </c>
      <c r="Q556" s="4" t="s">
        <v>26</v>
      </c>
      <c r="R556" s="4">
        <v>0</v>
      </c>
      <c r="S556" s="4" t="s">
        <v>212</v>
      </c>
      <c r="T556" s="4" t="s">
        <v>609</v>
      </c>
      <c r="U556" s="4">
        <v>20</v>
      </c>
      <c r="V556" s="4">
        <v>22</v>
      </c>
      <c r="W556" s="4">
        <v>67</v>
      </c>
    </row>
    <row r="557" spans="1:23" ht="11.25" customHeight="1" x14ac:dyDescent="0.25">
      <c r="A557" s="4" t="s">
        <v>21</v>
      </c>
      <c r="B557" s="4" t="s">
        <v>41</v>
      </c>
      <c r="C557" s="4" t="s">
        <v>40</v>
      </c>
      <c r="D557" s="4" t="s">
        <v>50</v>
      </c>
      <c r="E557" s="4" t="s">
        <v>51</v>
      </c>
      <c r="F557" s="4" t="s">
        <v>25</v>
      </c>
      <c r="G557" s="4" t="s">
        <v>25</v>
      </c>
      <c r="H557" s="4" t="s">
        <v>35</v>
      </c>
      <c r="I557" s="5">
        <v>44682</v>
      </c>
      <c r="J557" s="6">
        <v>16125</v>
      </c>
      <c r="K557" s="6">
        <v>15157.5</v>
      </c>
      <c r="L557" s="6">
        <v>6974.0360000000001</v>
      </c>
      <c r="M557" s="6">
        <v>6555.5938399999995</v>
      </c>
      <c r="N557" s="6">
        <v>6974.0360000000001</v>
      </c>
      <c r="O557" s="6">
        <v>6555.5938399999995</v>
      </c>
      <c r="P557" s="6">
        <v>0</v>
      </c>
      <c r="Q557" s="4" t="s">
        <v>26</v>
      </c>
      <c r="R557" s="4">
        <v>0</v>
      </c>
      <c r="S557" s="4" t="s">
        <v>213</v>
      </c>
      <c r="T557" s="4" t="s">
        <v>610</v>
      </c>
      <c r="U557" s="4">
        <v>20</v>
      </c>
      <c r="V557" s="4">
        <v>22</v>
      </c>
      <c r="W557" s="4">
        <v>67</v>
      </c>
    </row>
    <row r="558" spans="1:23" ht="11.25" customHeight="1" x14ac:dyDescent="0.25">
      <c r="A558" s="4" t="s">
        <v>21</v>
      </c>
      <c r="B558" s="4" t="s">
        <v>41</v>
      </c>
      <c r="C558" s="4" t="s">
        <v>40</v>
      </c>
      <c r="D558" s="4" t="s">
        <v>50</v>
      </c>
      <c r="E558" s="4" t="s">
        <v>51</v>
      </c>
      <c r="F558" s="4" t="s">
        <v>25</v>
      </c>
      <c r="G558" s="4" t="s">
        <v>25</v>
      </c>
      <c r="H558" s="4" t="s">
        <v>35</v>
      </c>
      <c r="I558" s="5">
        <v>44713</v>
      </c>
      <c r="J558" s="6">
        <v>16086</v>
      </c>
      <c r="K558" s="6">
        <v>15120.84</v>
      </c>
      <c r="L558" s="6">
        <v>6602.4160000000002</v>
      </c>
      <c r="M558" s="6">
        <v>6206.2710399999996</v>
      </c>
      <c r="N558" s="6">
        <v>6602.4160000000002</v>
      </c>
      <c r="O558" s="6">
        <v>6206.2710399999996</v>
      </c>
      <c r="P558" s="6">
        <v>0</v>
      </c>
      <c r="Q558" s="4" t="s">
        <v>26</v>
      </c>
      <c r="R558" s="4">
        <v>0</v>
      </c>
      <c r="S558" s="4" t="s">
        <v>214</v>
      </c>
      <c r="T558" s="4" t="s">
        <v>611</v>
      </c>
      <c r="U558" s="4">
        <v>20</v>
      </c>
      <c r="V558" s="4">
        <v>22</v>
      </c>
      <c r="W558" s="4">
        <v>67</v>
      </c>
    </row>
    <row r="559" spans="1:23" ht="11.25" customHeight="1" x14ac:dyDescent="0.25">
      <c r="A559" s="4" t="s">
        <v>57</v>
      </c>
      <c r="B559" s="4" t="s">
        <v>41</v>
      </c>
      <c r="C559" s="4" t="s">
        <v>40</v>
      </c>
      <c r="D559" s="4" t="s">
        <v>50</v>
      </c>
      <c r="E559" s="4" t="s">
        <v>51</v>
      </c>
      <c r="F559" s="4" t="s">
        <v>25</v>
      </c>
      <c r="G559" s="4" t="s">
        <v>25</v>
      </c>
      <c r="H559" s="4" t="s">
        <v>35</v>
      </c>
      <c r="I559" s="5">
        <v>44743</v>
      </c>
      <c r="J559" s="6">
        <v>16086</v>
      </c>
      <c r="K559" s="6">
        <v>15120.84</v>
      </c>
      <c r="L559" s="6">
        <v>6602.4160000000002</v>
      </c>
      <c r="M559" s="6">
        <v>6206.2710399999996</v>
      </c>
      <c r="N559" s="6">
        <v>6602.4160000000002</v>
      </c>
      <c r="O559" s="6">
        <v>6206.2710399999996</v>
      </c>
      <c r="P559" s="6">
        <v>0</v>
      </c>
      <c r="Q559" s="4" t="s">
        <v>26</v>
      </c>
      <c r="R559" s="4">
        <v>0</v>
      </c>
      <c r="S559" s="4" t="s">
        <v>215</v>
      </c>
      <c r="T559" s="4" t="s">
        <v>612</v>
      </c>
      <c r="U559" s="4">
        <v>20</v>
      </c>
      <c r="V559" s="4">
        <v>22</v>
      </c>
      <c r="W559" s="4">
        <v>67</v>
      </c>
    </row>
    <row r="560" spans="1:23" ht="11.25" customHeight="1" x14ac:dyDescent="0.25">
      <c r="A560" s="4" t="s">
        <v>21</v>
      </c>
      <c r="B560" s="4" t="s">
        <v>41</v>
      </c>
      <c r="C560" s="4" t="s">
        <v>40</v>
      </c>
      <c r="D560" s="4" t="s">
        <v>50</v>
      </c>
      <c r="E560" s="4" t="s">
        <v>51</v>
      </c>
      <c r="F560" s="4" t="s">
        <v>25</v>
      </c>
      <c r="G560" s="4" t="s">
        <v>25</v>
      </c>
      <c r="H560" s="4" t="s">
        <v>34</v>
      </c>
      <c r="I560" s="5">
        <v>44409</v>
      </c>
      <c r="J560" s="6">
        <v>15523</v>
      </c>
      <c r="K560" s="6">
        <v>14591.62</v>
      </c>
      <c r="L560" s="6">
        <v>691.70100000000002</v>
      </c>
      <c r="M560" s="6">
        <v>650.19893999999999</v>
      </c>
      <c r="N560" s="6">
        <v>691.70100000000002</v>
      </c>
      <c r="O560" s="6">
        <v>650.19893999999999</v>
      </c>
      <c r="P560" s="6">
        <v>0</v>
      </c>
      <c r="Q560" s="4" t="s">
        <v>26</v>
      </c>
      <c r="R560" s="4">
        <v>0</v>
      </c>
      <c r="S560" s="4" t="s">
        <v>217</v>
      </c>
      <c r="T560" s="4" t="s">
        <v>613</v>
      </c>
      <c r="U560" s="4">
        <v>18</v>
      </c>
      <c r="V560" s="4">
        <v>22</v>
      </c>
      <c r="W560" s="4">
        <v>66</v>
      </c>
    </row>
    <row r="561" spans="1:23" ht="11.25" customHeight="1" x14ac:dyDescent="0.25">
      <c r="A561" s="4" t="s">
        <v>21</v>
      </c>
      <c r="B561" s="4" t="s">
        <v>41</v>
      </c>
      <c r="C561" s="4" t="s">
        <v>40</v>
      </c>
      <c r="D561" s="4" t="s">
        <v>50</v>
      </c>
      <c r="E561" s="4" t="s">
        <v>51</v>
      </c>
      <c r="F561" s="4" t="s">
        <v>25</v>
      </c>
      <c r="G561" s="4" t="s">
        <v>25</v>
      </c>
      <c r="H561" s="4" t="s">
        <v>34</v>
      </c>
      <c r="I561" s="5">
        <v>44440</v>
      </c>
      <c r="J561" s="6">
        <v>15631</v>
      </c>
      <c r="K561" s="6">
        <v>14693.14</v>
      </c>
      <c r="L561" s="6">
        <v>674.91300000000001</v>
      </c>
      <c r="M561" s="6">
        <v>634.41822000000002</v>
      </c>
      <c r="N561" s="6">
        <v>674.91300000000001</v>
      </c>
      <c r="O561" s="6">
        <v>634.41822000000002</v>
      </c>
      <c r="P561" s="6">
        <v>0</v>
      </c>
      <c r="Q561" s="4" t="s">
        <v>26</v>
      </c>
      <c r="R561" s="4">
        <v>0</v>
      </c>
      <c r="S561" s="4" t="s">
        <v>218</v>
      </c>
      <c r="T561" s="4" t="s">
        <v>614</v>
      </c>
      <c r="U561" s="4">
        <v>18</v>
      </c>
      <c r="V561" s="4">
        <v>22</v>
      </c>
      <c r="W561" s="4">
        <v>66</v>
      </c>
    </row>
    <row r="562" spans="1:23" ht="11.25" customHeight="1" x14ac:dyDescent="0.25">
      <c r="A562" s="4" t="s">
        <v>21</v>
      </c>
      <c r="B562" s="4" t="s">
        <v>41</v>
      </c>
      <c r="C562" s="4" t="s">
        <v>40</v>
      </c>
      <c r="D562" s="4" t="s">
        <v>50</v>
      </c>
      <c r="E562" s="4" t="s">
        <v>51</v>
      </c>
      <c r="F562" s="4" t="s">
        <v>25</v>
      </c>
      <c r="G562" s="4" t="s">
        <v>25</v>
      </c>
      <c r="H562" s="4" t="s">
        <v>34</v>
      </c>
      <c r="I562" s="5">
        <v>44470</v>
      </c>
      <c r="J562" s="6">
        <v>15687</v>
      </c>
      <c r="K562" s="6">
        <v>14745.78</v>
      </c>
      <c r="L562" s="6">
        <v>665.97199999999998</v>
      </c>
      <c r="M562" s="6">
        <v>626.01368000000002</v>
      </c>
      <c r="N562" s="6">
        <v>665.97199999999998</v>
      </c>
      <c r="O562" s="6">
        <v>626.01368000000002</v>
      </c>
      <c r="P562" s="6">
        <v>0</v>
      </c>
      <c r="Q562" s="4" t="s">
        <v>26</v>
      </c>
      <c r="R562" s="4">
        <v>0</v>
      </c>
      <c r="S562" s="4" t="s">
        <v>219</v>
      </c>
      <c r="T562" s="4" t="s">
        <v>615</v>
      </c>
      <c r="U562" s="4">
        <v>18</v>
      </c>
      <c r="V562" s="4">
        <v>22</v>
      </c>
      <c r="W562" s="4">
        <v>66</v>
      </c>
    </row>
    <row r="563" spans="1:23" ht="11.25" customHeight="1" x14ac:dyDescent="0.25">
      <c r="A563" s="4" t="s">
        <v>21</v>
      </c>
      <c r="B563" s="4" t="s">
        <v>41</v>
      </c>
      <c r="C563" s="4" t="s">
        <v>40</v>
      </c>
      <c r="D563" s="4" t="s">
        <v>50</v>
      </c>
      <c r="E563" s="4" t="s">
        <v>51</v>
      </c>
      <c r="F563" s="4" t="s">
        <v>25</v>
      </c>
      <c r="G563" s="4" t="s">
        <v>25</v>
      </c>
      <c r="H563" s="4" t="s">
        <v>34</v>
      </c>
      <c r="I563" s="5">
        <v>44501</v>
      </c>
      <c r="J563" s="6">
        <v>15717</v>
      </c>
      <c r="K563" s="6">
        <v>14773.98</v>
      </c>
      <c r="L563" s="6">
        <v>660.49800000000005</v>
      </c>
      <c r="M563" s="6">
        <v>620.86811999999998</v>
      </c>
      <c r="N563" s="6">
        <v>660.49800000000005</v>
      </c>
      <c r="O563" s="6">
        <v>620.86811999999998</v>
      </c>
      <c r="P563" s="6">
        <v>0</v>
      </c>
      <c r="Q563" s="4" t="s">
        <v>26</v>
      </c>
      <c r="R563" s="4">
        <v>0</v>
      </c>
      <c r="S563" s="4" t="s">
        <v>220</v>
      </c>
      <c r="T563" s="4" t="s">
        <v>616</v>
      </c>
      <c r="U563" s="4">
        <v>18</v>
      </c>
      <c r="V563" s="4">
        <v>22</v>
      </c>
      <c r="W563" s="4">
        <v>66</v>
      </c>
    </row>
    <row r="564" spans="1:23" ht="11.25" customHeight="1" x14ac:dyDescent="0.25">
      <c r="A564" s="4" t="s">
        <v>21</v>
      </c>
      <c r="B564" s="4" t="s">
        <v>41</v>
      </c>
      <c r="C564" s="4" t="s">
        <v>40</v>
      </c>
      <c r="D564" s="4" t="s">
        <v>50</v>
      </c>
      <c r="E564" s="4" t="s">
        <v>51</v>
      </c>
      <c r="F564" s="4" t="s">
        <v>25</v>
      </c>
      <c r="G564" s="4" t="s">
        <v>25</v>
      </c>
      <c r="H564" s="4" t="s">
        <v>34</v>
      </c>
      <c r="I564" s="5">
        <v>44531</v>
      </c>
      <c r="J564" s="6">
        <v>15797</v>
      </c>
      <c r="K564" s="6">
        <v>14849.18</v>
      </c>
      <c r="L564" s="6">
        <v>749.51499999999999</v>
      </c>
      <c r="M564" s="6">
        <v>704.54409999999996</v>
      </c>
      <c r="N564" s="6">
        <v>749.51499999999999</v>
      </c>
      <c r="O564" s="6">
        <v>704.54409999999996</v>
      </c>
      <c r="P564" s="6">
        <v>0</v>
      </c>
      <c r="Q564" s="4" t="s">
        <v>26</v>
      </c>
      <c r="R564" s="4">
        <v>0</v>
      </c>
      <c r="S564" s="4" t="s">
        <v>221</v>
      </c>
      <c r="T564" s="4" t="s">
        <v>617</v>
      </c>
      <c r="U564" s="4">
        <v>18</v>
      </c>
      <c r="V564" s="4">
        <v>22</v>
      </c>
      <c r="W564" s="4">
        <v>66</v>
      </c>
    </row>
    <row r="565" spans="1:23" ht="11.25" customHeight="1" x14ac:dyDescent="0.25">
      <c r="A565" s="4" t="s">
        <v>21</v>
      </c>
      <c r="B565" s="4" t="s">
        <v>41</v>
      </c>
      <c r="C565" s="4" t="s">
        <v>40</v>
      </c>
      <c r="D565" s="4" t="s">
        <v>50</v>
      </c>
      <c r="E565" s="4" t="s">
        <v>51</v>
      </c>
      <c r="F565" s="4" t="s">
        <v>25</v>
      </c>
      <c r="G565" s="4" t="s">
        <v>25</v>
      </c>
      <c r="H565" s="4" t="s">
        <v>34</v>
      </c>
      <c r="I565" s="5">
        <v>44562</v>
      </c>
      <c r="J565" s="6">
        <v>15827</v>
      </c>
      <c r="K565" s="6">
        <v>14877.38</v>
      </c>
      <c r="L565" s="6">
        <v>705.90800000000002</v>
      </c>
      <c r="M565" s="6">
        <v>663.55352000000005</v>
      </c>
      <c r="N565" s="6">
        <v>705.90800000000002</v>
      </c>
      <c r="O565" s="6">
        <v>663.55352000000005</v>
      </c>
      <c r="P565" s="6">
        <v>0</v>
      </c>
      <c r="Q565" s="4" t="s">
        <v>26</v>
      </c>
      <c r="R565" s="4">
        <v>0</v>
      </c>
      <c r="S565" s="4" t="s">
        <v>222</v>
      </c>
      <c r="T565" s="4" t="s">
        <v>618</v>
      </c>
      <c r="U565" s="4">
        <v>18</v>
      </c>
      <c r="V565" s="4">
        <v>22</v>
      </c>
      <c r="W565" s="4">
        <v>66</v>
      </c>
    </row>
    <row r="566" spans="1:23" ht="11.25" customHeight="1" x14ac:dyDescent="0.25">
      <c r="A566" s="4" t="s">
        <v>21</v>
      </c>
      <c r="B566" s="4" t="s">
        <v>41</v>
      </c>
      <c r="C566" s="4" t="s">
        <v>40</v>
      </c>
      <c r="D566" s="4" t="s">
        <v>50</v>
      </c>
      <c r="E566" s="4" t="s">
        <v>51</v>
      </c>
      <c r="F566" s="4" t="s">
        <v>25</v>
      </c>
      <c r="G566" s="4" t="s">
        <v>25</v>
      </c>
      <c r="H566" s="4" t="s">
        <v>34</v>
      </c>
      <c r="I566" s="5">
        <v>44593</v>
      </c>
      <c r="J566" s="6">
        <v>15702</v>
      </c>
      <c r="K566" s="6">
        <v>14759.88</v>
      </c>
      <c r="L566" s="6">
        <v>675.41099999999994</v>
      </c>
      <c r="M566" s="6">
        <v>634.88634000000002</v>
      </c>
      <c r="N566" s="6">
        <v>675.41099999999994</v>
      </c>
      <c r="O566" s="6">
        <v>634.88634000000002</v>
      </c>
      <c r="P566" s="6">
        <v>0</v>
      </c>
      <c r="Q566" s="4" t="s">
        <v>26</v>
      </c>
      <c r="R566" s="4">
        <v>0</v>
      </c>
      <c r="S566" s="4" t="s">
        <v>223</v>
      </c>
      <c r="T566" s="4" t="s">
        <v>619</v>
      </c>
      <c r="U566" s="4">
        <v>18</v>
      </c>
      <c r="V566" s="4">
        <v>22</v>
      </c>
      <c r="W566" s="4">
        <v>66</v>
      </c>
    </row>
    <row r="567" spans="1:23" ht="11.25" customHeight="1" x14ac:dyDescent="0.25">
      <c r="A567" s="4" t="s">
        <v>21</v>
      </c>
      <c r="B567" s="4" t="s">
        <v>41</v>
      </c>
      <c r="C567" s="4" t="s">
        <v>40</v>
      </c>
      <c r="D567" s="4" t="s">
        <v>50</v>
      </c>
      <c r="E567" s="4" t="s">
        <v>51</v>
      </c>
      <c r="F567" s="4" t="s">
        <v>25</v>
      </c>
      <c r="G567" s="4" t="s">
        <v>25</v>
      </c>
      <c r="H567" s="4" t="s">
        <v>34</v>
      </c>
      <c r="I567" s="5">
        <v>44621</v>
      </c>
      <c r="J567" s="6">
        <v>15785</v>
      </c>
      <c r="K567" s="6">
        <v>14837.9</v>
      </c>
      <c r="L567" s="6">
        <v>713.55700000000002</v>
      </c>
      <c r="M567" s="6">
        <v>670.74357999999995</v>
      </c>
      <c r="N567" s="6">
        <v>713.55700000000002</v>
      </c>
      <c r="O567" s="6">
        <v>670.74357999999995</v>
      </c>
      <c r="P567" s="6">
        <v>0</v>
      </c>
      <c r="Q567" s="4" t="s">
        <v>26</v>
      </c>
      <c r="R567" s="4">
        <v>0</v>
      </c>
      <c r="S567" s="4" t="s">
        <v>224</v>
      </c>
      <c r="T567" s="4" t="s">
        <v>620</v>
      </c>
      <c r="U567" s="4">
        <v>18</v>
      </c>
      <c r="V567" s="4">
        <v>22</v>
      </c>
      <c r="W567" s="4">
        <v>66</v>
      </c>
    </row>
    <row r="568" spans="1:23" ht="11.25" customHeight="1" x14ac:dyDescent="0.25">
      <c r="A568" s="4" t="s">
        <v>21</v>
      </c>
      <c r="B568" s="4" t="s">
        <v>41</v>
      </c>
      <c r="C568" s="4" t="s">
        <v>40</v>
      </c>
      <c r="D568" s="4" t="s">
        <v>50</v>
      </c>
      <c r="E568" s="4" t="s">
        <v>51</v>
      </c>
      <c r="F568" s="4" t="s">
        <v>25</v>
      </c>
      <c r="G568" s="4" t="s">
        <v>25</v>
      </c>
      <c r="H568" s="4" t="s">
        <v>34</v>
      </c>
      <c r="I568" s="5">
        <v>44652</v>
      </c>
      <c r="J568" s="6">
        <v>15736</v>
      </c>
      <c r="K568" s="6">
        <v>14791.84</v>
      </c>
      <c r="L568" s="6">
        <v>629.35400000000004</v>
      </c>
      <c r="M568" s="6">
        <v>591.59276</v>
      </c>
      <c r="N568" s="6">
        <v>629.35400000000004</v>
      </c>
      <c r="O568" s="6">
        <v>591.59276</v>
      </c>
      <c r="P568" s="6">
        <v>0</v>
      </c>
      <c r="Q568" s="4" t="s">
        <v>26</v>
      </c>
      <c r="R568" s="4">
        <v>0</v>
      </c>
      <c r="S568" s="4" t="s">
        <v>225</v>
      </c>
      <c r="T568" s="4" t="s">
        <v>621</v>
      </c>
      <c r="U568" s="4">
        <v>18</v>
      </c>
      <c r="V568" s="4">
        <v>22</v>
      </c>
      <c r="W568" s="4">
        <v>66</v>
      </c>
    </row>
    <row r="569" spans="1:23" ht="11.25" customHeight="1" x14ac:dyDescent="0.25">
      <c r="A569" s="4" t="s">
        <v>21</v>
      </c>
      <c r="B569" s="4" t="s">
        <v>41</v>
      </c>
      <c r="C569" s="4" t="s">
        <v>40</v>
      </c>
      <c r="D569" s="4" t="s">
        <v>50</v>
      </c>
      <c r="E569" s="4" t="s">
        <v>51</v>
      </c>
      <c r="F569" s="4" t="s">
        <v>25</v>
      </c>
      <c r="G569" s="4" t="s">
        <v>25</v>
      </c>
      <c r="H569" s="4" t="s">
        <v>34</v>
      </c>
      <c r="I569" s="5">
        <v>44682</v>
      </c>
      <c r="J569" s="6">
        <v>15726</v>
      </c>
      <c r="K569" s="6">
        <v>14782.44</v>
      </c>
      <c r="L569" s="6">
        <v>689.95899999999995</v>
      </c>
      <c r="M569" s="6">
        <v>648.56146000000001</v>
      </c>
      <c r="N569" s="6">
        <v>689.95899999999995</v>
      </c>
      <c r="O569" s="6">
        <v>648.56146000000001</v>
      </c>
      <c r="P569" s="6">
        <v>0</v>
      </c>
      <c r="Q569" s="4" t="s">
        <v>26</v>
      </c>
      <c r="R569" s="4">
        <v>0</v>
      </c>
      <c r="S569" s="4" t="s">
        <v>226</v>
      </c>
      <c r="T569" s="4" t="s">
        <v>622</v>
      </c>
      <c r="U569" s="4">
        <v>18</v>
      </c>
      <c r="V569" s="4">
        <v>22</v>
      </c>
      <c r="W569" s="4">
        <v>66</v>
      </c>
    </row>
    <row r="570" spans="1:23" ht="11.25" customHeight="1" x14ac:dyDescent="0.25">
      <c r="A570" s="4" t="s">
        <v>21</v>
      </c>
      <c r="B570" s="4" t="s">
        <v>41</v>
      </c>
      <c r="C570" s="4" t="s">
        <v>40</v>
      </c>
      <c r="D570" s="4" t="s">
        <v>50</v>
      </c>
      <c r="E570" s="4" t="s">
        <v>51</v>
      </c>
      <c r="F570" s="4" t="s">
        <v>25</v>
      </c>
      <c r="G570" s="4" t="s">
        <v>25</v>
      </c>
      <c r="H570" s="4" t="s">
        <v>34</v>
      </c>
      <c r="I570" s="5">
        <v>44713</v>
      </c>
      <c r="J570" s="6">
        <v>15772</v>
      </c>
      <c r="K570" s="6">
        <v>14825.68</v>
      </c>
      <c r="L570" s="6">
        <v>676.96100000000001</v>
      </c>
      <c r="M570" s="6">
        <v>636.34334000000001</v>
      </c>
      <c r="N570" s="6">
        <v>676.96100000000001</v>
      </c>
      <c r="O570" s="6">
        <v>636.34334000000001</v>
      </c>
      <c r="P570" s="6">
        <v>0</v>
      </c>
      <c r="Q570" s="4" t="s">
        <v>26</v>
      </c>
      <c r="R570" s="4">
        <v>0</v>
      </c>
      <c r="S570" s="4" t="s">
        <v>227</v>
      </c>
      <c r="T570" s="4" t="s">
        <v>623</v>
      </c>
      <c r="U570" s="4">
        <v>18</v>
      </c>
      <c r="V570" s="4">
        <v>22</v>
      </c>
      <c r="W570" s="4">
        <v>66</v>
      </c>
    </row>
    <row r="571" spans="1:23" ht="11.25" customHeight="1" x14ac:dyDescent="0.25">
      <c r="A571" s="4" t="s">
        <v>57</v>
      </c>
      <c r="B571" s="4" t="s">
        <v>41</v>
      </c>
      <c r="C571" s="4" t="s">
        <v>40</v>
      </c>
      <c r="D571" s="4" t="s">
        <v>50</v>
      </c>
      <c r="E571" s="4" t="s">
        <v>51</v>
      </c>
      <c r="F571" s="4" t="s">
        <v>25</v>
      </c>
      <c r="G571" s="4" t="s">
        <v>25</v>
      </c>
      <c r="H571" s="4" t="s">
        <v>34</v>
      </c>
      <c r="I571" s="5">
        <v>44743</v>
      </c>
      <c r="J571" s="6">
        <v>15772</v>
      </c>
      <c r="K571" s="6">
        <v>14825.68</v>
      </c>
      <c r="L571" s="6">
        <v>676.96100000000001</v>
      </c>
      <c r="M571" s="6">
        <v>636.34334000000001</v>
      </c>
      <c r="N571" s="6">
        <v>676.96100000000001</v>
      </c>
      <c r="O571" s="6">
        <v>636.34334000000001</v>
      </c>
      <c r="P571" s="6">
        <v>0</v>
      </c>
      <c r="Q571" s="4" t="s">
        <v>26</v>
      </c>
      <c r="R571" s="4">
        <v>0</v>
      </c>
      <c r="S571" s="4" t="s">
        <v>228</v>
      </c>
      <c r="T571" s="4" t="s">
        <v>624</v>
      </c>
      <c r="U571" s="4">
        <v>18</v>
      </c>
      <c r="V571" s="4">
        <v>22</v>
      </c>
      <c r="W571" s="4">
        <v>66</v>
      </c>
    </row>
    <row r="572" spans="1:23" ht="11.25" customHeight="1" x14ac:dyDescent="0.25">
      <c r="A572" s="4" t="s">
        <v>21</v>
      </c>
      <c r="B572" s="4" t="s">
        <v>41</v>
      </c>
      <c r="C572" s="4" t="s">
        <v>62</v>
      </c>
      <c r="D572" s="4" t="s">
        <v>25</v>
      </c>
      <c r="E572" s="4" t="s">
        <v>25</v>
      </c>
      <c r="F572" s="4" t="s">
        <v>25</v>
      </c>
      <c r="G572" s="4" t="s">
        <v>63</v>
      </c>
      <c r="H572" s="4" t="s">
        <v>35</v>
      </c>
      <c r="I572" s="5">
        <v>44409</v>
      </c>
      <c r="J572" s="6">
        <v>7168</v>
      </c>
      <c r="K572" s="6">
        <v>7168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4" t="s">
        <v>64</v>
      </c>
      <c r="R572" s="4">
        <v>43</v>
      </c>
      <c r="S572" s="4" t="s">
        <v>240</v>
      </c>
      <c r="U572" s="4">
        <v>28</v>
      </c>
      <c r="V572" s="4">
        <v>0</v>
      </c>
      <c r="W572" s="4">
        <v>0</v>
      </c>
    </row>
    <row r="573" spans="1:23" ht="11.25" customHeight="1" x14ac:dyDescent="0.25">
      <c r="A573" s="4" t="s">
        <v>21</v>
      </c>
      <c r="B573" s="4" t="s">
        <v>41</v>
      </c>
      <c r="C573" s="4" t="s">
        <v>62</v>
      </c>
      <c r="D573" s="4" t="s">
        <v>25</v>
      </c>
      <c r="E573" s="4" t="s">
        <v>25</v>
      </c>
      <c r="F573" s="4" t="s">
        <v>25</v>
      </c>
      <c r="G573" s="4" t="s">
        <v>65</v>
      </c>
      <c r="H573" s="4" t="s">
        <v>35</v>
      </c>
      <c r="I573" s="5">
        <v>44409</v>
      </c>
      <c r="J573" s="6">
        <v>4019</v>
      </c>
      <c r="K573" s="6">
        <v>4019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4" t="s">
        <v>64</v>
      </c>
      <c r="R573" s="4">
        <v>6611</v>
      </c>
      <c r="S573" s="4" t="s">
        <v>241</v>
      </c>
      <c r="U573" s="4">
        <v>34</v>
      </c>
      <c r="V573" s="4">
        <v>0</v>
      </c>
      <c r="W573" s="4">
        <v>0</v>
      </c>
    </row>
    <row r="574" spans="1:23" ht="11.25" customHeight="1" x14ac:dyDescent="0.25">
      <c r="A574" s="4" t="s">
        <v>21</v>
      </c>
      <c r="B574" s="4" t="s">
        <v>41</v>
      </c>
      <c r="C574" s="4" t="s">
        <v>62</v>
      </c>
      <c r="D574" s="4" t="s">
        <v>25</v>
      </c>
      <c r="E574" s="4" t="s">
        <v>25</v>
      </c>
      <c r="F574" s="4" t="s">
        <v>25</v>
      </c>
      <c r="G574" s="4" t="s">
        <v>63</v>
      </c>
      <c r="H574" s="4" t="s">
        <v>35</v>
      </c>
      <c r="I574" s="5">
        <v>44440</v>
      </c>
      <c r="J574" s="6">
        <v>7168</v>
      </c>
      <c r="K574" s="6">
        <v>7168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4" t="s">
        <v>64</v>
      </c>
      <c r="R574" s="4">
        <v>43</v>
      </c>
      <c r="S574" s="4" t="s">
        <v>242</v>
      </c>
      <c r="U574" s="4">
        <v>28</v>
      </c>
      <c r="V574" s="4">
        <v>0</v>
      </c>
      <c r="W574" s="4">
        <v>0</v>
      </c>
    </row>
    <row r="575" spans="1:23" ht="11.25" customHeight="1" x14ac:dyDescent="0.25">
      <c r="A575" s="4" t="s">
        <v>21</v>
      </c>
      <c r="B575" s="4" t="s">
        <v>41</v>
      </c>
      <c r="C575" s="4" t="s">
        <v>62</v>
      </c>
      <c r="D575" s="4" t="s">
        <v>25</v>
      </c>
      <c r="E575" s="4" t="s">
        <v>25</v>
      </c>
      <c r="F575" s="4" t="s">
        <v>25</v>
      </c>
      <c r="G575" s="4" t="s">
        <v>65</v>
      </c>
      <c r="H575" s="4" t="s">
        <v>35</v>
      </c>
      <c r="I575" s="5">
        <v>44440</v>
      </c>
      <c r="J575" s="6">
        <v>4019</v>
      </c>
      <c r="K575" s="6">
        <v>4019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4" t="s">
        <v>64</v>
      </c>
      <c r="R575" s="4">
        <v>6611</v>
      </c>
      <c r="S575" s="4" t="s">
        <v>243</v>
      </c>
      <c r="U575" s="4">
        <v>34</v>
      </c>
      <c r="V575" s="4">
        <v>0</v>
      </c>
      <c r="W575" s="4">
        <v>0</v>
      </c>
    </row>
    <row r="576" spans="1:23" ht="11.25" customHeight="1" x14ac:dyDescent="0.25">
      <c r="A576" s="4" t="s">
        <v>21</v>
      </c>
      <c r="B576" s="4" t="s">
        <v>41</v>
      </c>
      <c r="C576" s="4" t="s">
        <v>62</v>
      </c>
      <c r="D576" s="4" t="s">
        <v>25</v>
      </c>
      <c r="E576" s="4" t="s">
        <v>25</v>
      </c>
      <c r="F576" s="4" t="s">
        <v>25</v>
      </c>
      <c r="G576" s="4" t="s">
        <v>63</v>
      </c>
      <c r="H576" s="4" t="s">
        <v>35</v>
      </c>
      <c r="I576" s="5">
        <v>44470</v>
      </c>
      <c r="J576" s="6">
        <v>7168</v>
      </c>
      <c r="K576" s="6">
        <v>7168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4" t="s">
        <v>64</v>
      </c>
      <c r="R576" s="4">
        <v>43</v>
      </c>
      <c r="S576" s="4" t="s">
        <v>244</v>
      </c>
      <c r="U576" s="4">
        <v>28</v>
      </c>
      <c r="V576" s="4">
        <v>0</v>
      </c>
      <c r="W576" s="4">
        <v>0</v>
      </c>
    </row>
    <row r="577" spans="1:23" ht="11.25" customHeight="1" x14ac:dyDescent="0.25">
      <c r="A577" s="4" t="s">
        <v>21</v>
      </c>
      <c r="B577" s="4" t="s">
        <v>41</v>
      </c>
      <c r="C577" s="4" t="s">
        <v>62</v>
      </c>
      <c r="D577" s="4" t="s">
        <v>25</v>
      </c>
      <c r="E577" s="4" t="s">
        <v>25</v>
      </c>
      <c r="F577" s="4" t="s">
        <v>25</v>
      </c>
      <c r="G577" s="4" t="s">
        <v>65</v>
      </c>
      <c r="H577" s="4" t="s">
        <v>35</v>
      </c>
      <c r="I577" s="5">
        <v>44470</v>
      </c>
      <c r="J577" s="6">
        <v>4019</v>
      </c>
      <c r="K577" s="6">
        <v>4019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4" t="s">
        <v>64</v>
      </c>
      <c r="R577" s="4">
        <v>6611</v>
      </c>
      <c r="S577" s="4" t="s">
        <v>245</v>
      </c>
      <c r="U577" s="4">
        <v>34</v>
      </c>
      <c r="V577" s="4">
        <v>0</v>
      </c>
      <c r="W577" s="4">
        <v>0</v>
      </c>
    </row>
    <row r="578" spans="1:23" ht="11.25" customHeight="1" x14ac:dyDescent="0.25">
      <c r="A578" s="4" t="s">
        <v>21</v>
      </c>
      <c r="B578" s="4" t="s">
        <v>41</v>
      </c>
      <c r="C578" s="4" t="s">
        <v>62</v>
      </c>
      <c r="D578" s="4" t="s">
        <v>25</v>
      </c>
      <c r="E578" s="4" t="s">
        <v>25</v>
      </c>
      <c r="F578" s="4" t="s">
        <v>25</v>
      </c>
      <c r="G578" s="4" t="s">
        <v>63</v>
      </c>
      <c r="H578" s="4" t="s">
        <v>35</v>
      </c>
      <c r="I578" s="5">
        <v>44501</v>
      </c>
      <c r="J578" s="6">
        <v>7168</v>
      </c>
      <c r="K578" s="6">
        <v>7168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4" t="s">
        <v>64</v>
      </c>
      <c r="R578" s="4">
        <v>43</v>
      </c>
      <c r="S578" s="4" t="s">
        <v>246</v>
      </c>
      <c r="U578" s="4">
        <v>28</v>
      </c>
      <c r="V578" s="4">
        <v>0</v>
      </c>
      <c r="W578" s="4">
        <v>0</v>
      </c>
    </row>
    <row r="579" spans="1:23" ht="11.25" customHeight="1" x14ac:dyDescent="0.25">
      <c r="A579" s="4" t="s">
        <v>21</v>
      </c>
      <c r="B579" s="4" t="s">
        <v>41</v>
      </c>
      <c r="C579" s="4" t="s">
        <v>62</v>
      </c>
      <c r="D579" s="4" t="s">
        <v>25</v>
      </c>
      <c r="E579" s="4" t="s">
        <v>25</v>
      </c>
      <c r="F579" s="4" t="s">
        <v>25</v>
      </c>
      <c r="G579" s="4" t="s">
        <v>65</v>
      </c>
      <c r="H579" s="4" t="s">
        <v>35</v>
      </c>
      <c r="I579" s="5">
        <v>44501</v>
      </c>
      <c r="J579" s="6">
        <v>4019</v>
      </c>
      <c r="K579" s="6">
        <v>4019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4" t="s">
        <v>64</v>
      </c>
      <c r="R579" s="4">
        <v>6611</v>
      </c>
      <c r="S579" s="4" t="s">
        <v>247</v>
      </c>
      <c r="U579" s="4">
        <v>34</v>
      </c>
      <c r="V579" s="4">
        <v>0</v>
      </c>
      <c r="W579" s="4">
        <v>0</v>
      </c>
    </row>
    <row r="580" spans="1:23" ht="11.25" customHeight="1" x14ac:dyDescent="0.25">
      <c r="A580" s="4" t="s">
        <v>21</v>
      </c>
      <c r="B580" s="4" t="s">
        <v>41</v>
      </c>
      <c r="C580" s="4" t="s">
        <v>62</v>
      </c>
      <c r="D580" s="4" t="s">
        <v>25</v>
      </c>
      <c r="E580" s="4" t="s">
        <v>25</v>
      </c>
      <c r="F580" s="4" t="s">
        <v>25</v>
      </c>
      <c r="G580" s="4" t="s">
        <v>63</v>
      </c>
      <c r="H580" s="4" t="s">
        <v>35</v>
      </c>
      <c r="I580" s="5">
        <v>44531</v>
      </c>
      <c r="J580" s="6">
        <v>7168</v>
      </c>
      <c r="K580" s="6">
        <v>7168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4" t="s">
        <v>64</v>
      </c>
      <c r="R580" s="4">
        <v>43</v>
      </c>
      <c r="S580" s="4" t="s">
        <v>248</v>
      </c>
      <c r="U580" s="4">
        <v>28</v>
      </c>
      <c r="V580" s="4">
        <v>0</v>
      </c>
      <c r="W580" s="4">
        <v>0</v>
      </c>
    </row>
    <row r="581" spans="1:23" ht="11.25" customHeight="1" x14ac:dyDescent="0.25">
      <c r="A581" s="4" t="s">
        <v>21</v>
      </c>
      <c r="B581" s="4" t="s">
        <v>41</v>
      </c>
      <c r="C581" s="4" t="s">
        <v>62</v>
      </c>
      <c r="D581" s="4" t="s">
        <v>25</v>
      </c>
      <c r="E581" s="4" t="s">
        <v>25</v>
      </c>
      <c r="F581" s="4" t="s">
        <v>25</v>
      </c>
      <c r="G581" s="4" t="s">
        <v>65</v>
      </c>
      <c r="H581" s="4" t="s">
        <v>35</v>
      </c>
      <c r="I581" s="5">
        <v>44531</v>
      </c>
      <c r="J581" s="6">
        <v>4019</v>
      </c>
      <c r="K581" s="6">
        <v>4019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4" t="s">
        <v>64</v>
      </c>
      <c r="R581" s="4">
        <v>6611</v>
      </c>
      <c r="S581" s="4" t="s">
        <v>249</v>
      </c>
      <c r="U581" s="4">
        <v>34</v>
      </c>
      <c r="V581" s="4">
        <v>0</v>
      </c>
      <c r="W581" s="4">
        <v>0</v>
      </c>
    </row>
    <row r="582" spans="1:23" ht="11.25" customHeight="1" x14ac:dyDescent="0.25">
      <c r="A582" s="4" t="s">
        <v>21</v>
      </c>
      <c r="B582" s="4" t="s">
        <v>41</v>
      </c>
      <c r="C582" s="4" t="s">
        <v>62</v>
      </c>
      <c r="D582" s="4" t="s">
        <v>25</v>
      </c>
      <c r="E582" s="4" t="s">
        <v>25</v>
      </c>
      <c r="F582" s="4" t="s">
        <v>25</v>
      </c>
      <c r="G582" s="4" t="s">
        <v>63</v>
      </c>
      <c r="H582" s="4" t="s">
        <v>35</v>
      </c>
      <c r="I582" s="5">
        <v>44562</v>
      </c>
      <c r="J582" s="6">
        <v>7168</v>
      </c>
      <c r="K582" s="6">
        <v>7168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4" t="s">
        <v>64</v>
      </c>
      <c r="R582" s="4">
        <v>43</v>
      </c>
      <c r="S582" s="4" t="s">
        <v>250</v>
      </c>
      <c r="U582" s="4">
        <v>28</v>
      </c>
      <c r="V582" s="4">
        <v>0</v>
      </c>
      <c r="W582" s="4">
        <v>0</v>
      </c>
    </row>
    <row r="583" spans="1:23" ht="11.25" customHeight="1" x14ac:dyDescent="0.25">
      <c r="A583" s="4" t="s">
        <v>21</v>
      </c>
      <c r="B583" s="4" t="s">
        <v>41</v>
      </c>
      <c r="C583" s="4" t="s">
        <v>62</v>
      </c>
      <c r="D583" s="4" t="s">
        <v>25</v>
      </c>
      <c r="E583" s="4" t="s">
        <v>25</v>
      </c>
      <c r="F583" s="4" t="s">
        <v>25</v>
      </c>
      <c r="G583" s="4" t="s">
        <v>65</v>
      </c>
      <c r="H583" s="4" t="s">
        <v>35</v>
      </c>
      <c r="I583" s="5">
        <v>44562</v>
      </c>
      <c r="J583" s="6">
        <v>4019</v>
      </c>
      <c r="K583" s="6">
        <v>4019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4" t="s">
        <v>64</v>
      </c>
      <c r="R583" s="4">
        <v>6611</v>
      </c>
      <c r="S583" s="4" t="s">
        <v>251</v>
      </c>
      <c r="U583" s="4">
        <v>34</v>
      </c>
      <c r="V583" s="4">
        <v>0</v>
      </c>
      <c r="W583" s="4">
        <v>0</v>
      </c>
    </row>
    <row r="584" spans="1:23" ht="11.25" customHeight="1" x14ac:dyDescent="0.25">
      <c r="A584" s="4" t="s">
        <v>21</v>
      </c>
      <c r="B584" s="4" t="s">
        <v>41</v>
      </c>
      <c r="C584" s="4" t="s">
        <v>62</v>
      </c>
      <c r="D584" s="4" t="s">
        <v>25</v>
      </c>
      <c r="E584" s="4" t="s">
        <v>25</v>
      </c>
      <c r="F584" s="4" t="s">
        <v>25</v>
      </c>
      <c r="G584" s="4" t="s">
        <v>63</v>
      </c>
      <c r="H584" s="4" t="s">
        <v>35</v>
      </c>
      <c r="I584" s="5">
        <v>44593</v>
      </c>
      <c r="J584" s="6">
        <v>7168</v>
      </c>
      <c r="K584" s="6">
        <v>7168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4" t="s">
        <v>64</v>
      </c>
      <c r="R584" s="4">
        <v>43</v>
      </c>
      <c r="S584" s="4" t="s">
        <v>252</v>
      </c>
      <c r="U584" s="4">
        <v>28</v>
      </c>
      <c r="V584" s="4">
        <v>0</v>
      </c>
      <c r="W584" s="4">
        <v>0</v>
      </c>
    </row>
    <row r="585" spans="1:23" ht="11.25" customHeight="1" x14ac:dyDescent="0.25">
      <c r="A585" s="4" t="s">
        <v>21</v>
      </c>
      <c r="B585" s="4" t="s">
        <v>41</v>
      </c>
      <c r="C585" s="4" t="s">
        <v>62</v>
      </c>
      <c r="D585" s="4" t="s">
        <v>25</v>
      </c>
      <c r="E585" s="4" t="s">
        <v>25</v>
      </c>
      <c r="F585" s="4" t="s">
        <v>25</v>
      </c>
      <c r="G585" s="4" t="s">
        <v>65</v>
      </c>
      <c r="H585" s="4" t="s">
        <v>35</v>
      </c>
      <c r="I585" s="5">
        <v>44593</v>
      </c>
      <c r="J585" s="6">
        <v>4019</v>
      </c>
      <c r="K585" s="6">
        <v>4019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4" t="s">
        <v>64</v>
      </c>
      <c r="R585" s="4">
        <v>6611</v>
      </c>
      <c r="S585" s="4" t="s">
        <v>253</v>
      </c>
      <c r="U585" s="4">
        <v>34</v>
      </c>
      <c r="V585" s="4">
        <v>0</v>
      </c>
      <c r="W585" s="4">
        <v>0</v>
      </c>
    </row>
    <row r="586" spans="1:23" ht="11.25" customHeight="1" x14ac:dyDescent="0.25">
      <c r="A586" s="4" t="s">
        <v>21</v>
      </c>
      <c r="B586" s="4" t="s">
        <v>41</v>
      </c>
      <c r="C586" s="4" t="s">
        <v>62</v>
      </c>
      <c r="D586" s="4" t="s">
        <v>25</v>
      </c>
      <c r="E586" s="4" t="s">
        <v>25</v>
      </c>
      <c r="F586" s="4" t="s">
        <v>25</v>
      </c>
      <c r="G586" s="4" t="s">
        <v>63</v>
      </c>
      <c r="H586" s="4" t="s">
        <v>35</v>
      </c>
      <c r="I586" s="5">
        <v>44621</v>
      </c>
      <c r="J586" s="6">
        <v>7168</v>
      </c>
      <c r="K586" s="6">
        <v>7168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4" t="s">
        <v>64</v>
      </c>
      <c r="R586" s="4">
        <v>43</v>
      </c>
      <c r="S586" s="4" t="s">
        <v>254</v>
      </c>
      <c r="U586" s="4">
        <v>28</v>
      </c>
      <c r="V586" s="4">
        <v>0</v>
      </c>
      <c r="W586" s="4">
        <v>0</v>
      </c>
    </row>
    <row r="587" spans="1:23" ht="11.25" customHeight="1" x14ac:dyDescent="0.25">
      <c r="A587" s="4" t="s">
        <v>21</v>
      </c>
      <c r="B587" s="4" t="s">
        <v>41</v>
      </c>
      <c r="C587" s="4" t="s">
        <v>62</v>
      </c>
      <c r="D587" s="4" t="s">
        <v>25</v>
      </c>
      <c r="E587" s="4" t="s">
        <v>25</v>
      </c>
      <c r="F587" s="4" t="s">
        <v>25</v>
      </c>
      <c r="G587" s="4" t="s">
        <v>65</v>
      </c>
      <c r="H587" s="4" t="s">
        <v>35</v>
      </c>
      <c r="I587" s="5">
        <v>44621</v>
      </c>
      <c r="J587" s="6">
        <v>4019</v>
      </c>
      <c r="K587" s="6">
        <v>4019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4" t="s">
        <v>64</v>
      </c>
      <c r="R587" s="4">
        <v>6611</v>
      </c>
      <c r="S587" s="4" t="s">
        <v>255</v>
      </c>
      <c r="U587" s="4">
        <v>34</v>
      </c>
      <c r="V587" s="4">
        <v>0</v>
      </c>
      <c r="W587" s="4">
        <v>0</v>
      </c>
    </row>
    <row r="588" spans="1:23" ht="11.25" customHeight="1" x14ac:dyDescent="0.25">
      <c r="A588" s="4" t="s">
        <v>21</v>
      </c>
      <c r="B588" s="4" t="s">
        <v>41</v>
      </c>
      <c r="C588" s="4" t="s">
        <v>62</v>
      </c>
      <c r="D588" s="4" t="s">
        <v>25</v>
      </c>
      <c r="E588" s="4" t="s">
        <v>25</v>
      </c>
      <c r="F588" s="4" t="s">
        <v>25</v>
      </c>
      <c r="G588" s="4" t="s">
        <v>63</v>
      </c>
      <c r="H588" s="4" t="s">
        <v>35</v>
      </c>
      <c r="I588" s="5">
        <v>44652</v>
      </c>
      <c r="J588" s="6">
        <v>7168</v>
      </c>
      <c r="K588" s="6">
        <v>7168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4" t="s">
        <v>64</v>
      </c>
      <c r="R588" s="4">
        <v>43</v>
      </c>
      <c r="S588" s="4" t="s">
        <v>256</v>
      </c>
      <c r="U588" s="4">
        <v>28</v>
      </c>
      <c r="V588" s="4">
        <v>0</v>
      </c>
      <c r="W588" s="4">
        <v>0</v>
      </c>
    </row>
    <row r="589" spans="1:23" ht="11.25" customHeight="1" x14ac:dyDescent="0.25">
      <c r="A589" s="4" t="s">
        <v>21</v>
      </c>
      <c r="B589" s="4" t="s">
        <v>41</v>
      </c>
      <c r="C589" s="4" t="s">
        <v>62</v>
      </c>
      <c r="D589" s="4" t="s">
        <v>25</v>
      </c>
      <c r="E589" s="4" t="s">
        <v>25</v>
      </c>
      <c r="F589" s="4" t="s">
        <v>25</v>
      </c>
      <c r="G589" s="4" t="s">
        <v>65</v>
      </c>
      <c r="H589" s="4" t="s">
        <v>35</v>
      </c>
      <c r="I589" s="5">
        <v>44652</v>
      </c>
      <c r="J589" s="6">
        <v>4019</v>
      </c>
      <c r="K589" s="6">
        <v>4019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4" t="s">
        <v>64</v>
      </c>
      <c r="R589" s="4">
        <v>6611</v>
      </c>
      <c r="S589" s="4" t="s">
        <v>257</v>
      </c>
      <c r="U589" s="4">
        <v>34</v>
      </c>
      <c r="V589" s="4">
        <v>0</v>
      </c>
      <c r="W589" s="4">
        <v>0</v>
      </c>
    </row>
    <row r="590" spans="1:23" ht="11.25" customHeight="1" x14ac:dyDescent="0.25">
      <c r="A590" s="4" t="s">
        <v>21</v>
      </c>
      <c r="B590" s="4" t="s">
        <v>41</v>
      </c>
      <c r="C590" s="4" t="s">
        <v>62</v>
      </c>
      <c r="D590" s="4" t="s">
        <v>25</v>
      </c>
      <c r="E590" s="4" t="s">
        <v>25</v>
      </c>
      <c r="F590" s="4" t="s">
        <v>25</v>
      </c>
      <c r="G590" s="4" t="s">
        <v>63</v>
      </c>
      <c r="H590" s="4" t="s">
        <v>35</v>
      </c>
      <c r="I590" s="5">
        <v>44682</v>
      </c>
      <c r="J590" s="6">
        <v>7168</v>
      </c>
      <c r="K590" s="6">
        <v>7168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4" t="s">
        <v>64</v>
      </c>
      <c r="R590" s="4">
        <v>43</v>
      </c>
      <c r="S590" s="4" t="s">
        <v>258</v>
      </c>
      <c r="U590" s="4">
        <v>28</v>
      </c>
      <c r="V590" s="4">
        <v>0</v>
      </c>
      <c r="W590" s="4">
        <v>0</v>
      </c>
    </row>
    <row r="591" spans="1:23" ht="11.25" customHeight="1" x14ac:dyDescent="0.25">
      <c r="A591" s="4" t="s">
        <v>21</v>
      </c>
      <c r="B591" s="4" t="s">
        <v>41</v>
      </c>
      <c r="C591" s="4" t="s">
        <v>62</v>
      </c>
      <c r="D591" s="4" t="s">
        <v>25</v>
      </c>
      <c r="E591" s="4" t="s">
        <v>25</v>
      </c>
      <c r="F591" s="4" t="s">
        <v>25</v>
      </c>
      <c r="G591" s="4" t="s">
        <v>65</v>
      </c>
      <c r="H591" s="4" t="s">
        <v>35</v>
      </c>
      <c r="I591" s="5">
        <v>44682</v>
      </c>
      <c r="J591" s="6">
        <v>4019</v>
      </c>
      <c r="K591" s="6">
        <v>4019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4" t="s">
        <v>64</v>
      </c>
      <c r="R591" s="4">
        <v>6611</v>
      </c>
      <c r="S591" s="4" t="s">
        <v>259</v>
      </c>
      <c r="U591" s="4">
        <v>34</v>
      </c>
      <c r="V591" s="4">
        <v>0</v>
      </c>
      <c r="W591" s="4">
        <v>0</v>
      </c>
    </row>
    <row r="592" spans="1:23" ht="11.25" customHeight="1" x14ac:dyDescent="0.25">
      <c r="A592" s="4" t="s">
        <v>21</v>
      </c>
      <c r="B592" s="4" t="s">
        <v>41</v>
      </c>
      <c r="C592" s="4" t="s">
        <v>62</v>
      </c>
      <c r="D592" s="4" t="s">
        <v>25</v>
      </c>
      <c r="E592" s="4" t="s">
        <v>25</v>
      </c>
      <c r="F592" s="4" t="s">
        <v>25</v>
      </c>
      <c r="G592" s="4" t="s">
        <v>63</v>
      </c>
      <c r="H592" s="4" t="s">
        <v>35</v>
      </c>
      <c r="I592" s="5">
        <v>44713</v>
      </c>
      <c r="J592" s="6">
        <v>7168</v>
      </c>
      <c r="K592" s="6">
        <v>7168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4" t="s">
        <v>64</v>
      </c>
      <c r="R592" s="4">
        <v>43</v>
      </c>
      <c r="S592" s="4" t="s">
        <v>260</v>
      </c>
      <c r="U592" s="4">
        <v>28</v>
      </c>
      <c r="V592" s="4">
        <v>0</v>
      </c>
      <c r="W592" s="4">
        <v>0</v>
      </c>
    </row>
    <row r="593" spans="1:23" ht="11.25" customHeight="1" x14ac:dyDescent="0.25">
      <c r="A593" s="4" t="s">
        <v>21</v>
      </c>
      <c r="B593" s="4" t="s">
        <v>41</v>
      </c>
      <c r="C593" s="4" t="s">
        <v>62</v>
      </c>
      <c r="D593" s="4" t="s">
        <v>25</v>
      </c>
      <c r="E593" s="4" t="s">
        <v>25</v>
      </c>
      <c r="F593" s="4" t="s">
        <v>25</v>
      </c>
      <c r="G593" s="4" t="s">
        <v>65</v>
      </c>
      <c r="H593" s="4" t="s">
        <v>35</v>
      </c>
      <c r="I593" s="5">
        <v>44713</v>
      </c>
      <c r="J593" s="6">
        <v>4019</v>
      </c>
      <c r="K593" s="6">
        <v>4019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4" t="s">
        <v>64</v>
      </c>
      <c r="R593" s="4">
        <v>6611</v>
      </c>
      <c r="S593" s="4" t="s">
        <v>261</v>
      </c>
      <c r="U593" s="4">
        <v>34</v>
      </c>
      <c r="V593" s="4">
        <v>0</v>
      </c>
      <c r="W593" s="4">
        <v>0</v>
      </c>
    </row>
    <row r="594" spans="1:23" ht="11.25" customHeight="1" x14ac:dyDescent="0.25">
      <c r="A594" s="4" t="s">
        <v>57</v>
      </c>
      <c r="B594" s="4" t="s">
        <v>41</v>
      </c>
      <c r="C594" s="4" t="s">
        <v>62</v>
      </c>
      <c r="D594" s="4" t="s">
        <v>25</v>
      </c>
      <c r="E594" s="4" t="s">
        <v>25</v>
      </c>
      <c r="F594" s="4" t="s">
        <v>25</v>
      </c>
      <c r="G594" s="4" t="s">
        <v>63</v>
      </c>
      <c r="H594" s="4" t="s">
        <v>35</v>
      </c>
      <c r="I594" s="5">
        <v>44743</v>
      </c>
      <c r="J594" s="6">
        <v>7168</v>
      </c>
      <c r="K594" s="6">
        <v>7168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4" t="s">
        <v>64</v>
      </c>
      <c r="R594" s="4">
        <v>43</v>
      </c>
      <c r="S594" s="4" t="s">
        <v>262</v>
      </c>
      <c r="U594" s="4">
        <v>28</v>
      </c>
      <c r="V594" s="4">
        <v>0</v>
      </c>
      <c r="W594" s="4">
        <v>0</v>
      </c>
    </row>
    <row r="595" spans="1:23" ht="11.25" customHeight="1" x14ac:dyDescent="0.25">
      <c r="A595" s="4" t="s">
        <v>57</v>
      </c>
      <c r="B595" s="4" t="s">
        <v>41</v>
      </c>
      <c r="C595" s="4" t="s">
        <v>62</v>
      </c>
      <c r="D595" s="4" t="s">
        <v>25</v>
      </c>
      <c r="E595" s="4" t="s">
        <v>25</v>
      </c>
      <c r="F595" s="4" t="s">
        <v>25</v>
      </c>
      <c r="G595" s="4" t="s">
        <v>65</v>
      </c>
      <c r="H595" s="4" t="s">
        <v>35</v>
      </c>
      <c r="I595" s="5">
        <v>44743</v>
      </c>
      <c r="J595" s="6">
        <v>4019</v>
      </c>
      <c r="K595" s="6">
        <v>4019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4" t="s">
        <v>64</v>
      </c>
      <c r="R595" s="4">
        <v>6611</v>
      </c>
      <c r="S595" s="4" t="s">
        <v>263</v>
      </c>
      <c r="U595" s="4">
        <v>34</v>
      </c>
      <c r="V595" s="4">
        <v>0</v>
      </c>
      <c r="W595" s="4">
        <v>0</v>
      </c>
    </row>
    <row r="596" spans="1:23" ht="11.25" customHeight="1" x14ac:dyDescent="0.25">
      <c r="A596" s="4" t="s">
        <v>21</v>
      </c>
      <c r="B596" s="4" t="s">
        <v>41</v>
      </c>
      <c r="C596" s="4" t="s">
        <v>62</v>
      </c>
      <c r="D596" s="4" t="s">
        <v>25</v>
      </c>
      <c r="E596" s="4" t="s">
        <v>25</v>
      </c>
      <c r="F596" s="4" t="s">
        <v>25</v>
      </c>
      <c r="G596" s="4" t="s">
        <v>63</v>
      </c>
      <c r="H596" s="4" t="s">
        <v>25</v>
      </c>
      <c r="I596" s="5">
        <v>44409</v>
      </c>
      <c r="J596" s="6">
        <v>0</v>
      </c>
      <c r="K596" s="6">
        <v>0</v>
      </c>
      <c r="L596" s="6">
        <v>3276.0230000000001</v>
      </c>
      <c r="M596" s="6">
        <v>3276.0230000000001</v>
      </c>
      <c r="N596" s="6">
        <v>0</v>
      </c>
      <c r="O596" s="6">
        <v>0</v>
      </c>
      <c r="P596" s="6">
        <v>0</v>
      </c>
      <c r="Q596" s="4" t="s">
        <v>64</v>
      </c>
      <c r="R596" s="4">
        <v>43</v>
      </c>
      <c r="S596" s="4" t="s">
        <v>264</v>
      </c>
      <c r="U596" s="4">
        <v>0</v>
      </c>
      <c r="V596" s="4">
        <v>30</v>
      </c>
      <c r="W596" s="4">
        <v>0</v>
      </c>
    </row>
    <row r="597" spans="1:23" ht="11.25" customHeight="1" x14ac:dyDescent="0.25">
      <c r="A597" s="4" t="s">
        <v>21</v>
      </c>
      <c r="B597" s="4" t="s">
        <v>41</v>
      </c>
      <c r="C597" s="4" t="s">
        <v>62</v>
      </c>
      <c r="D597" s="4" t="s">
        <v>25</v>
      </c>
      <c r="E597" s="4" t="s">
        <v>25</v>
      </c>
      <c r="F597" s="4" t="s">
        <v>25</v>
      </c>
      <c r="G597" s="4" t="s">
        <v>65</v>
      </c>
      <c r="H597" s="4" t="s">
        <v>25</v>
      </c>
      <c r="I597" s="5">
        <v>44409</v>
      </c>
      <c r="J597" s="6">
        <v>0</v>
      </c>
      <c r="K597" s="6">
        <v>0</v>
      </c>
      <c r="L597" s="6">
        <v>1919.4010000000001</v>
      </c>
      <c r="M597" s="6">
        <v>1919.4010000000001</v>
      </c>
      <c r="N597" s="6">
        <v>0</v>
      </c>
      <c r="O597" s="6">
        <v>0</v>
      </c>
      <c r="P597" s="6">
        <v>0</v>
      </c>
      <c r="Q597" s="4" t="s">
        <v>64</v>
      </c>
      <c r="R597" s="4">
        <v>6611</v>
      </c>
      <c r="S597" s="4" t="s">
        <v>265</v>
      </c>
      <c r="U597" s="4">
        <v>0</v>
      </c>
      <c r="V597" s="4">
        <v>36</v>
      </c>
      <c r="W597" s="4">
        <v>0</v>
      </c>
    </row>
    <row r="598" spans="1:23" ht="11.25" customHeight="1" x14ac:dyDescent="0.25">
      <c r="A598" s="4" t="s">
        <v>21</v>
      </c>
      <c r="B598" s="4" t="s">
        <v>41</v>
      </c>
      <c r="C598" s="4" t="s">
        <v>62</v>
      </c>
      <c r="D598" s="4" t="s">
        <v>25</v>
      </c>
      <c r="E598" s="4" t="s">
        <v>25</v>
      </c>
      <c r="F598" s="4" t="s">
        <v>25</v>
      </c>
      <c r="G598" s="4" t="s">
        <v>63</v>
      </c>
      <c r="H598" s="4" t="s">
        <v>25</v>
      </c>
      <c r="I598" s="5">
        <v>44440</v>
      </c>
      <c r="J598" s="6">
        <v>0</v>
      </c>
      <c r="K598" s="6">
        <v>0</v>
      </c>
      <c r="L598" s="6">
        <v>3213.8580000000002</v>
      </c>
      <c r="M598" s="6">
        <v>3213.8580000000002</v>
      </c>
      <c r="N598" s="6">
        <v>0</v>
      </c>
      <c r="O598" s="6">
        <v>0</v>
      </c>
      <c r="P598" s="6">
        <v>0</v>
      </c>
      <c r="Q598" s="4" t="s">
        <v>64</v>
      </c>
      <c r="R598" s="4">
        <v>43</v>
      </c>
      <c r="S598" s="4" t="s">
        <v>266</v>
      </c>
      <c r="U598" s="4">
        <v>0</v>
      </c>
      <c r="V598" s="4">
        <v>30</v>
      </c>
      <c r="W598" s="4">
        <v>0</v>
      </c>
    </row>
    <row r="599" spans="1:23" ht="11.25" customHeight="1" x14ac:dyDescent="0.25">
      <c r="A599" s="4" t="s">
        <v>21</v>
      </c>
      <c r="B599" s="4" t="s">
        <v>41</v>
      </c>
      <c r="C599" s="4" t="s">
        <v>62</v>
      </c>
      <c r="D599" s="4" t="s">
        <v>25</v>
      </c>
      <c r="E599" s="4" t="s">
        <v>25</v>
      </c>
      <c r="F599" s="4" t="s">
        <v>25</v>
      </c>
      <c r="G599" s="4" t="s">
        <v>65</v>
      </c>
      <c r="H599" s="4" t="s">
        <v>25</v>
      </c>
      <c r="I599" s="5">
        <v>44440</v>
      </c>
      <c r="J599" s="6">
        <v>0</v>
      </c>
      <c r="K599" s="6">
        <v>0</v>
      </c>
      <c r="L599" s="6">
        <v>1997.009</v>
      </c>
      <c r="M599" s="6">
        <v>1997.009</v>
      </c>
      <c r="N599" s="6">
        <v>0</v>
      </c>
      <c r="O599" s="6">
        <v>0</v>
      </c>
      <c r="P599" s="6">
        <v>0</v>
      </c>
      <c r="Q599" s="4" t="s">
        <v>64</v>
      </c>
      <c r="R599" s="4">
        <v>6611</v>
      </c>
      <c r="S599" s="4" t="s">
        <v>267</v>
      </c>
      <c r="U599" s="4">
        <v>0</v>
      </c>
      <c r="V599" s="4">
        <v>36</v>
      </c>
      <c r="W599" s="4">
        <v>0</v>
      </c>
    </row>
    <row r="600" spans="1:23" ht="11.25" customHeight="1" x14ac:dyDescent="0.25">
      <c r="A600" s="4" t="s">
        <v>21</v>
      </c>
      <c r="B600" s="4" t="s">
        <v>41</v>
      </c>
      <c r="C600" s="4" t="s">
        <v>62</v>
      </c>
      <c r="D600" s="4" t="s">
        <v>25</v>
      </c>
      <c r="E600" s="4" t="s">
        <v>25</v>
      </c>
      <c r="F600" s="4" t="s">
        <v>25</v>
      </c>
      <c r="G600" s="4" t="s">
        <v>63</v>
      </c>
      <c r="H600" s="4" t="s">
        <v>25</v>
      </c>
      <c r="I600" s="5">
        <v>44470</v>
      </c>
      <c r="J600" s="6">
        <v>0</v>
      </c>
      <c r="K600" s="6">
        <v>0</v>
      </c>
      <c r="L600" s="6">
        <v>3431.54</v>
      </c>
      <c r="M600" s="6">
        <v>3431.54</v>
      </c>
      <c r="N600" s="6">
        <v>0</v>
      </c>
      <c r="O600" s="6">
        <v>0</v>
      </c>
      <c r="P600" s="6">
        <v>0</v>
      </c>
      <c r="Q600" s="4" t="s">
        <v>64</v>
      </c>
      <c r="R600" s="4">
        <v>43</v>
      </c>
      <c r="S600" s="4" t="s">
        <v>268</v>
      </c>
      <c r="U600" s="4">
        <v>0</v>
      </c>
      <c r="V600" s="4">
        <v>30</v>
      </c>
      <c r="W600" s="4">
        <v>0</v>
      </c>
    </row>
    <row r="601" spans="1:23" ht="11.25" customHeight="1" x14ac:dyDescent="0.25">
      <c r="A601" s="4" t="s">
        <v>21</v>
      </c>
      <c r="B601" s="4" t="s">
        <v>41</v>
      </c>
      <c r="C601" s="4" t="s">
        <v>62</v>
      </c>
      <c r="D601" s="4" t="s">
        <v>25</v>
      </c>
      <c r="E601" s="4" t="s">
        <v>25</v>
      </c>
      <c r="F601" s="4" t="s">
        <v>25</v>
      </c>
      <c r="G601" s="4" t="s">
        <v>65</v>
      </c>
      <c r="H601" s="4" t="s">
        <v>25</v>
      </c>
      <c r="I601" s="5">
        <v>44470</v>
      </c>
      <c r="J601" s="6">
        <v>0</v>
      </c>
      <c r="K601" s="6">
        <v>0</v>
      </c>
      <c r="L601" s="6">
        <v>1907.954</v>
      </c>
      <c r="M601" s="6">
        <v>1907.954</v>
      </c>
      <c r="N601" s="6">
        <v>0</v>
      </c>
      <c r="O601" s="6">
        <v>0</v>
      </c>
      <c r="P601" s="6">
        <v>0</v>
      </c>
      <c r="Q601" s="4" t="s">
        <v>64</v>
      </c>
      <c r="R601" s="4">
        <v>6611</v>
      </c>
      <c r="S601" s="4" t="s">
        <v>269</v>
      </c>
      <c r="U601" s="4">
        <v>0</v>
      </c>
      <c r="V601" s="4">
        <v>36</v>
      </c>
      <c r="W601" s="4">
        <v>0</v>
      </c>
    </row>
    <row r="602" spans="1:23" ht="11.25" customHeight="1" x14ac:dyDescent="0.25">
      <c r="A602" s="4" t="s">
        <v>21</v>
      </c>
      <c r="B602" s="4" t="s">
        <v>41</v>
      </c>
      <c r="C602" s="4" t="s">
        <v>62</v>
      </c>
      <c r="D602" s="4" t="s">
        <v>25</v>
      </c>
      <c r="E602" s="4" t="s">
        <v>25</v>
      </c>
      <c r="F602" s="4" t="s">
        <v>25</v>
      </c>
      <c r="G602" s="4" t="s">
        <v>63</v>
      </c>
      <c r="H602" s="4" t="s">
        <v>25</v>
      </c>
      <c r="I602" s="5">
        <v>44501</v>
      </c>
      <c r="J602" s="6">
        <v>0</v>
      </c>
      <c r="K602" s="6">
        <v>0</v>
      </c>
      <c r="L602" s="6">
        <v>3815.3670000000002</v>
      </c>
      <c r="M602" s="6">
        <v>3815.3670000000002</v>
      </c>
      <c r="N602" s="6">
        <v>0</v>
      </c>
      <c r="O602" s="6">
        <v>0</v>
      </c>
      <c r="P602" s="6">
        <v>0</v>
      </c>
      <c r="Q602" s="4" t="s">
        <v>64</v>
      </c>
      <c r="R602" s="4">
        <v>43</v>
      </c>
      <c r="S602" s="4" t="s">
        <v>270</v>
      </c>
      <c r="U602" s="4">
        <v>0</v>
      </c>
      <c r="V602" s="4">
        <v>30</v>
      </c>
      <c r="W602" s="4">
        <v>0</v>
      </c>
    </row>
    <row r="603" spans="1:23" ht="11.25" customHeight="1" x14ac:dyDescent="0.25">
      <c r="A603" s="4" t="s">
        <v>21</v>
      </c>
      <c r="B603" s="4" t="s">
        <v>41</v>
      </c>
      <c r="C603" s="4" t="s">
        <v>62</v>
      </c>
      <c r="D603" s="4" t="s">
        <v>25</v>
      </c>
      <c r="E603" s="4" t="s">
        <v>25</v>
      </c>
      <c r="F603" s="4" t="s">
        <v>25</v>
      </c>
      <c r="G603" s="4" t="s">
        <v>65</v>
      </c>
      <c r="H603" s="4" t="s">
        <v>25</v>
      </c>
      <c r="I603" s="5">
        <v>44501</v>
      </c>
      <c r="J603" s="6">
        <v>0</v>
      </c>
      <c r="K603" s="6">
        <v>0</v>
      </c>
      <c r="L603" s="6">
        <v>2034.29</v>
      </c>
      <c r="M603" s="6">
        <v>2034.29</v>
      </c>
      <c r="N603" s="6">
        <v>0</v>
      </c>
      <c r="O603" s="6">
        <v>0</v>
      </c>
      <c r="P603" s="6">
        <v>0</v>
      </c>
      <c r="Q603" s="4" t="s">
        <v>64</v>
      </c>
      <c r="R603" s="4">
        <v>6611</v>
      </c>
      <c r="S603" s="4" t="s">
        <v>271</v>
      </c>
      <c r="U603" s="4">
        <v>0</v>
      </c>
      <c r="V603" s="4">
        <v>36</v>
      </c>
      <c r="W603" s="4">
        <v>0</v>
      </c>
    </row>
    <row r="604" spans="1:23" ht="11.25" customHeight="1" x14ac:dyDescent="0.25">
      <c r="A604" s="4" t="s">
        <v>21</v>
      </c>
      <c r="B604" s="4" t="s">
        <v>41</v>
      </c>
      <c r="C604" s="4" t="s">
        <v>62</v>
      </c>
      <c r="D604" s="4" t="s">
        <v>25</v>
      </c>
      <c r="E604" s="4" t="s">
        <v>25</v>
      </c>
      <c r="F604" s="4" t="s">
        <v>25</v>
      </c>
      <c r="G604" s="4" t="s">
        <v>63</v>
      </c>
      <c r="H604" s="4" t="s">
        <v>25</v>
      </c>
      <c r="I604" s="5">
        <v>44531</v>
      </c>
      <c r="J604" s="6">
        <v>0</v>
      </c>
      <c r="K604" s="6">
        <v>0</v>
      </c>
      <c r="L604" s="6">
        <v>3913.3580000000002</v>
      </c>
      <c r="M604" s="6">
        <v>3913.3580000000002</v>
      </c>
      <c r="N604" s="6">
        <v>0</v>
      </c>
      <c r="O604" s="6">
        <v>0</v>
      </c>
      <c r="P604" s="6">
        <v>0</v>
      </c>
      <c r="Q604" s="4" t="s">
        <v>64</v>
      </c>
      <c r="R604" s="4">
        <v>43</v>
      </c>
      <c r="S604" s="4" t="s">
        <v>272</v>
      </c>
      <c r="U604" s="4">
        <v>0</v>
      </c>
      <c r="V604" s="4">
        <v>30</v>
      </c>
      <c r="W604" s="4">
        <v>0</v>
      </c>
    </row>
    <row r="605" spans="1:23" ht="11.25" customHeight="1" x14ac:dyDescent="0.25">
      <c r="A605" s="4" t="s">
        <v>21</v>
      </c>
      <c r="B605" s="4" t="s">
        <v>41</v>
      </c>
      <c r="C605" s="4" t="s">
        <v>62</v>
      </c>
      <c r="D605" s="4" t="s">
        <v>25</v>
      </c>
      <c r="E605" s="4" t="s">
        <v>25</v>
      </c>
      <c r="F605" s="4" t="s">
        <v>25</v>
      </c>
      <c r="G605" s="4" t="s">
        <v>65</v>
      </c>
      <c r="H605" s="4" t="s">
        <v>25</v>
      </c>
      <c r="I605" s="5">
        <v>44531</v>
      </c>
      <c r="J605" s="6">
        <v>0</v>
      </c>
      <c r="K605" s="6">
        <v>0</v>
      </c>
      <c r="L605" s="6">
        <v>1957.3050000000001</v>
      </c>
      <c r="M605" s="6">
        <v>1957.3050000000001</v>
      </c>
      <c r="N605" s="6">
        <v>0</v>
      </c>
      <c r="O605" s="6">
        <v>0</v>
      </c>
      <c r="P605" s="6">
        <v>0</v>
      </c>
      <c r="Q605" s="4" t="s">
        <v>64</v>
      </c>
      <c r="R605" s="4">
        <v>6611</v>
      </c>
      <c r="S605" s="4" t="s">
        <v>273</v>
      </c>
      <c r="U605" s="4">
        <v>0</v>
      </c>
      <c r="V605" s="4">
        <v>36</v>
      </c>
      <c r="W605" s="4">
        <v>0</v>
      </c>
    </row>
    <row r="606" spans="1:23" ht="11.25" customHeight="1" x14ac:dyDescent="0.25">
      <c r="A606" s="4" t="s">
        <v>21</v>
      </c>
      <c r="B606" s="4" t="s">
        <v>41</v>
      </c>
      <c r="C606" s="4" t="s">
        <v>62</v>
      </c>
      <c r="D606" s="4" t="s">
        <v>25</v>
      </c>
      <c r="E606" s="4" t="s">
        <v>25</v>
      </c>
      <c r="F606" s="4" t="s">
        <v>25</v>
      </c>
      <c r="G606" s="4" t="s">
        <v>63</v>
      </c>
      <c r="H606" s="4" t="s">
        <v>25</v>
      </c>
      <c r="I606" s="5">
        <v>44562</v>
      </c>
      <c r="J606" s="6">
        <v>0</v>
      </c>
      <c r="K606" s="6">
        <v>0</v>
      </c>
      <c r="L606" s="6">
        <v>4013.9430000000002</v>
      </c>
      <c r="M606" s="6">
        <v>4013.9430000000002</v>
      </c>
      <c r="N606" s="6">
        <v>0</v>
      </c>
      <c r="O606" s="6">
        <v>0</v>
      </c>
      <c r="P606" s="6">
        <v>0</v>
      </c>
      <c r="Q606" s="4" t="s">
        <v>64</v>
      </c>
      <c r="R606" s="4">
        <v>43</v>
      </c>
      <c r="S606" s="4" t="s">
        <v>274</v>
      </c>
      <c r="U606" s="4">
        <v>0</v>
      </c>
      <c r="V606" s="4">
        <v>30</v>
      </c>
      <c r="W606" s="4">
        <v>0</v>
      </c>
    </row>
    <row r="607" spans="1:23" ht="11.25" customHeight="1" x14ac:dyDescent="0.25">
      <c r="A607" s="4" t="s">
        <v>21</v>
      </c>
      <c r="B607" s="4" t="s">
        <v>41</v>
      </c>
      <c r="C607" s="4" t="s">
        <v>62</v>
      </c>
      <c r="D607" s="4" t="s">
        <v>25</v>
      </c>
      <c r="E607" s="4" t="s">
        <v>25</v>
      </c>
      <c r="F607" s="4" t="s">
        <v>25</v>
      </c>
      <c r="G607" s="4" t="s">
        <v>65</v>
      </c>
      <c r="H607" s="4" t="s">
        <v>25</v>
      </c>
      <c r="I607" s="5">
        <v>44562</v>
      </c>
      <c r="J607" s="6">
        <v>0</v>
      </c>
      <c r="K607" s="6">
        <v>0</v>
      </c>
      <c r="L607" s="6">
        <v>1860.662</v>
      </c>
      <c r="M607" s="6">
        <v>1860.662</v>
      </c>
      <c r="N607" s="6">
        <v>0</v>
      </c>
      <c r="O607" s="6">
        <v>0</v>
      </c>
      <c r="P607" s="6">
        <v>0</v>
      </c>
      <c r="Q607" s="4" t="s">
        <v>64</v>
      </c>
      <c r="R607" s="4">
        <v>6611</v>
      </c>
      <c r="S607" s="4" t="s">
        <v>275</v>
      </c>
      <c r="U607" s="4">
        <v>0</v>
      </c>
      <c r="V607" s="4">
        <v>36</v>
      </c>
      <c r="W607" s="4">
        <v>0</v>
      </c>
    </row>
    <row r="608" spans="1:23" ht="11.25" customHeight="1" x14ac:dyDescent="0.25">
      <c r="A608" s="4" t="s">
        <v>21</v>
      </c>
      <c r="B608" s="4" t="s">
        <v>41</v>
      </c>
      <c r="C608" s="4" t="s">
        <v>62</v>
      </c>
      <c r="D608" s="4" t="s">
        <v>25</v>
      </c>
      <c r="E608" s="4" t="s">
        <v>25</v>
      </c>
      <c r="F608" s="4" t="s">
        <v>25</v>
      </c>
      <c r="G608" s="4" t="s">
        <v>63</v>
      </c>
      <c r="H608" s="4" t="s">
        <v>25</v>
      </c>
      <c r="I608" s="5">
        <v>44593</v>
      </c>
      <c r="J608" s="6">
        <v>0</v>
      </c>
      <c r="K608" s="6">
        <v>0</v>
      </c>
      <c r="L608" s="6">
        <v>3716.3220000000001</v>
      </c>
      <c r="M608" s="6">
        <v>3716.3220000000001</v>
      </c>
      <c r="N608" s="6">
        <v>0</v>
      </c>
      <c r="O608" s="6">
        <v>0</v>
      </c>
      <c r="P608" s="6">
        <v>0</v>
      </c>
      <c r="Q608" s="4" t="s">
        <v>64</v>
      </c>
      <c r="R608" s="4">
        <v>43</v>
      </c>
      <c r="S608" s="4" t="s">
        <v>276</v>
      </c>
      <c r="U608" s="4">
        <v>0</v>
      </c>
      <c r="V608" s="4">
        <v>30</v>
      </c>
      <c r="W608" s="4">
        <v>0</v>
      </c>
    </row>
    <row r="609" spans="1:23" ht="11.25" customHeight="1" x14ac:dyDescent="0.25">
      <c r="A609" s="4" t="s">
        <v>21</v>
      </c>
      <c r="B609" s="4" t="s">
        <v>41</v>
      </c>
      <c r="C609" s="4" t="s">
        <v>62</v>
      </c>
      <c r="D609" s="4" t="s">
        <v>25</v>
      </c>
      <c r="E609" s="4" t="s">
        <v>25</v>
      </c>
      <c r="F609" s="4" t="s">
        <v>25</v>
      </c>
      <c r="G609" s="4" t="s">
        <v>65</v>
      </c>
      <c r="H609" s="4" t="s">
        <v>25</v>
      </c>
      <c r="I609" s="5">
        <v>44593</v>
      </c>
      <c r="J609" s="6">
        <v>0</v>
      </c>
      <c r="K609" s="6">
        <v>0</v>
      </c>
      <c r="L609" s="6">
        <v>1897.0550000000001</v>
      </c>
      <c r="M609" s="6">
        <v>1897.0550000000001</v>
      </c>
      <c r="N609" s="6">
        <v>0</v>
      </c>
      <c r="O609" s="6">
        <v>0</v>
      </c>
      <c r="P609" s="6">
        <v>0</v>
      </c>
      <c r="Q609" s="4" t="s">
        <v>64</v>
      </c>
      <c r="R609" s="4">
        <v>6611</v>
      </c>
      <c r="S609" s="4" t="s">
        <v>277</v>
      </c>
      <c r="U609" s="4">
        <v>0</v>
      </c>
      <c r="V609" s="4">
        <v>36</v>
      </c>
      <c r="W609" s="4">
        <v>0</v>
      </c>
    </row>
    <row r="610" spans="1:23" ht="11.25" customHeight="1" x14ac:dyDescent="0.25">
      <c r="A610" s="4" t="s">
        <v>21</v>
      </c>
      <c r="B610" s="4" t="s">
        <v>41</v>
      </c>
      <c r="C610" s="4" t="s">
        <v>62</v>
      </c>
      <c r="D610" s="4" t="s">
        <v>25</v>
      </c>
      <c r="E610" s="4" t="s">
        <v>25</v>
      </c>
      <c r="F610" s="4" t="s">
        <v>25</v>
      </c>
      <c r="G610" s="4" t="s">
        <v>63</v>
      </c>
      <c r="H610" s="4" t="s">
        <v>25</v>
      </c>
      <c r="I610" s="5">
        <v>44621</v>
      </c>
      <c r="J610" s="6">
        <v>0</v>
      </c>
      <c r="K610" s="6">
        <v>0</v>
      </c>
      <c r="L610" s="6">
        <v>3512.3440000000001</v>
      </c>
      <c r="M610" s="6">
        <v>3512.3440000000001</v>
      </c>
      <c r="N610" s="6">
        <v>0</v>
      </c>
      <c r="O610" s="6">
        <v>0</v>
      </c>
      <c r="P610" s="6">
        <v>0</v>
      </c>
      <c r="Q610" s="4" t="s">
        <v>64</v>
      </c>
      <c r="R610" s="4">
        <v>43</v>
      </c>
      <c r="S610" s="4" t="s">
        <v>278</v>
      </c>
      <c r="U610" s="4">
        <v>0</v>
      </c>
      <c r="V610" s="4">
        <v>30</v>
      </c>
      <c r="W610" s="4">
        <v>0</v>
      </c>
    </row>
    <row r="611" spans="1:23" ht="11.25" customHeight="1" x14ac:dyDescent="0.25">
      <c r="A611" s="4" t="s">
        <v>21</v>
      </c>
      <c r="B611" s="4" t="s">
        <v>41</v>
      </c>
      <c r="C611" s="4" t="s">
        <v>62</v>
      </c>
      <c r="D611" s="4" t="s">
        <v>25</v>
      </c>
      <c r="E611" s="4" t="s">
        <v>25</v>
      </c>
      <c r="F611" s="4" t="s">
        <v>25</v>
      </c>
      <c r="G611" s="4" t="s">
        <v>65</v>
      </c>
      <c r="H611" s="4" t="s">
        <v>25</v>
      </c>
      <c r="I611" s="5">
        <v>44621</v>
      </c>
      <c r="J611" s="6">
        <v>0</v>
      </c>
      <c r="K611" s="6">
        <v>0</v>
      </c>
      <c r="L611" s="6">
        <v>1873.6849999999999</v>
      </c>
      <c r="M611" s="6">
        <v>1873.6849999999999</v>
      </c>
      <c r="N611" s="6">
        <v>0</v>
      </c>
      <c r="O611" s="6">
        <v>0</v>
      </c>
      <c r="P611" s="6">
        <v>0</v>
      </c>
      <c r="Q611" s="4" t="s">
        <v>64</v>
      </c>
      <c r="R611" s="4">
        <v>6611</v>
      </c>
      <c r="S611" s="4" t="s">
        <v>279</v>
      </c>
      <c r="U611" s="4">
        <v>0</v>
      </c>
      <c r="V611" s="4">
        <v>36</v>
      </c>
      <c r="W611" s="4">
        <v>0</v>
      </c>
    </row>
    <row r="612" spans="1:23" ht="11.25" customHeight="1" x14ac:dyDescent="0.25">
      <c r="A612" s="4" t="s">
        <v>21</v>
      </c>
      <c r="B612" s="4" t="s">
        <v>41</v>
      </c>
      <c r="C612" s="4" t="s">
        <v>62</v>
      </c>
      <c r="D612" s="4" t="s">
        <v>25</v>
      </c>
      <c r="E612" s="4" t="s">
        <v>25</v>
      </c>
      <c r="F612" s="4" t="s">
        <v>25</v>
      </c>
      <c r="G612" s="4" t="s">
        <v>63</v>
      </c>
      <c r="H612" s="4" t="s">
        <v>25</v>
      </c>
      <c r="I612" s="5">
        <v>44652</v>
      </c>
      <c r="J612" s="6">
        <v>0</v>
      </c>
      <c r="K612" s="6">
        <v>0</v>
      </c>
      <c r="L612" s="6">
        <v>3894.2080000000001</v>
      </c>
      <c r="M612" s="6">
        <v>3894.2080000000001</v>
      </c>
      <c r="N612" s="6">
        <v>0</v>
      </c>
      <c r="O612" s="6">
        <v>0</v>
      </c>
      <c r="P612" s="6">
        <v>0</v>
      </c>
      <c r="Q612" s="4" t="s">
        <v>64</v>
      </c>
      <c r="R612" s="4">
        <v>43</v>
      </c>
      <c r="S612" s="4" t="s">
        <v>280</v>
      </c>
      <c r="U612" s="4">
        <v>0</v>
      </c>
      <c r="V612" s="4">
        <v>30</v>
      </c>
      <c r="W612" s="4">
        <v>0</v>
      </c>
    </row>
    <row r="613" spans="1:23" ht="11.25" customHeight="1" x14ac:dyDescent="0.25">
      <c r="A613" s="4" t="s">
        <v>21</v>
      </c>
      <c r="B613" s="4" t="s">
        <v>41</v>
      </c>
      <c r="C613" s="4" t="s">
        <v>62</v>
      </c>
      <c r="D613" s="4" t="s">
        <v>25</v>
      </c>
      <c r="E613" s="4" t="s">
        <v>25</v>
      </c>
      <c r="F613" s="4" t="s">
        <v>25</v>
      </c>
      <c r="G613" s="4" t="s">
        <v>65</v>
      </c>
      <c r="H613" s="4" t="s">
        <v>25</v>
      </c>
      <c r="I613" s="5">
        <v>44652</v>
      </c>
      <c r="J613" s="6">
        <v>0</v>
      </c>
      <c r="K613" s="6">
        <v>0</v>
      </c>
      <c r="L613" s="6">
        <v>2043.826</v>
      </c>
      <c r="M613" s="6">
        <v>2043.826</v>
      </c>
      <c r="N613" s="6">
        <v>0</v>
      </c>
      <c r="O613" s="6">
        <v>0</v>
      </c>
      <c r="P613" s="6">
        <v>0</v>
      </c>
      <c r="Q613" s="4" t="s">
        <v>64</v>
      </c>
      <c r="R613" s="4">
        <v>6611</v>
      </c>
      <c r="S613" s="4" t="s">
        <v>281</v>
      </c>
      <c r="U613" s="4">
        <v>0</v>
      </c>
      <c r="V613" s="4">
        <v>36</v>
      </c>
      <c r="W613" s="4">
        <v>0</v>
      </c>
    </row>
    <row r="614" spans="1:23" ht="11.25" customHeight="1" x14ac:dyDescent="0.25">
      <c r="A614" s="4" t="s">
        <v>21</v>
      </c>
      <c r="B614" s="4" t="s">
        <v>41</v>
      </c>
      <c r="C614" s="4" t="s">
        <v>62</v>
      </c>
      <c r="D614" s="4" t="s">
        <v>25</v>
      </c>
      <c r="E614" s="4" t="s">
        <v>25</v>
      </c>
      <c r="F614" s="4" t="s">
        <v>25</v>
      </c>
      <c r="G614" s="4" t="s">
        <v>63</v>
      </c>
      <c r="H614" s="4" t="s">
        <v>25</v>
      </c>
      <c r="I614" s="5">
        <v>44682</v>
      </c>
      <c r="J614" s="6">
        <v>0</v>
      </c>
      <c r="K614" s="6">
        <v>0</v>
      </c>
      <c r="L614" s="6">
        <v>3705.6680000000001</v>
      </c>
      <c r="M614" s="6">
        <v>3705.6680000000001</v>
      </c>
      <c r="N614" s="6">
        <v>0</v>
      </c>
      <c r="O614" s="6">
        <v>0</v>
      </c>
      <c r="P614" s="6">
        <v>0</v>
      </c>
      <c r="Q614" s="4" t="s">
        <v>64</v>
      </c>
      <c r="R614" s="4">
        <v>43</v>
      </c>
      <c r="S614" s="4" t="s">
        <v>282</v>
      </c>
      <c r="U614" s="4">
        <v>0</v>
      </c>
      <c r="V614" s="4">
        <v>30</v>
      </c>
      <c r="W614" s="4">
        <v>0</v>
      </c>
    </row>
    <row r="615" spans="1:23" ht="11.25" customHeight="1" x14ac:dyDescent="0.25">
      <c r="A615" s="4" t="s">
        <v>21</v>
      </c>
      <c r="B615" s="4" t="s">
        <v>41</v>
      </c>
      <c r="C615" s="4" t="s">
        <v>62</v>
      </c>
      <c r="D615" s="4" t="s">
        <v>25</v>
      </c>
      <c r="E615" s="4" t="s">
        <v>25</v>
      </c>
      <c r="F615" s="4" t="s">
        <v>25</v>
      </c>
      <c r="G615" s="4" t="s">
        <v>65</v>
      </c>
      <c r="H615" s="4" t="s">
        <v>25</v>
      </c>
      <c r="I615" s="5">
        <v>44682</v>
      </c>
      <c r="J615" s="6">
        <v>0</v>
      </c>
      <c r="K615" s="6">
        <v>0</v>
      </c>
      <c r="L615" s="6">
        <v>2131.5149999999999</v>
      </c>
      <c r="M615" s="6">
        <v>2131.5149999999999</v>
      </c>
      <c r="N615" s="6">
        <v>0</v>
      </c>
      <c r="O615" s="6">
        <v>0</v>
      </c>
      <c r="P615" s="6">
        <v>0</v>
      </c>
      <c r="Q615" s="4" t="s">
        <v>64</v>
      </c>
      <c r="R615" s="4">
        <v>6611</v>
      </c>
      <c r="S615" s="4" t="s">
        <v>283</v>
      </c>
      <c r="U615" s="4">
        <v>0</v>
      </c>
      <c r="V615" s="4">
        <v>36</v>
      </c>
      <c r="W615" s="4">
        <v>0</v>
      </c>
    </row>
    <row r="616" spans="1:23" ht="11.25" customHeight="1" x14ac:dyDescent="0.25">
      <c r="A616" s="4" t="s">
        <v>21</v>
      </c>
      <c r="B616" s="4" t="s">
        <v>41</v>
      </c>
      <c r="C616" s="4" t="s">
        <v>62</v>
      </c>
      <c r="D616" s="4" t="s">
        <v>25</v>
      </c>
      <c r="E616" s="4" t="s">
        <v>25</v>
      </c>
      <c r="F616" s="4" t="s">
        <v>25</v>
      </c>
      <c r="G616" s="4" t="s">
        <v>63</v>
      </c>
      <c r="H616" s="4" t="s">
        <v>25</v>
      </c>
      <c r="I616" s="5">
        <v>44713</v>
      </c>
      <c r="J616" s="6">
        <v>0</v>
      </c>
      <c r="K616" s="6">
        <v>0</v>
      </c>
      <c r="L616" s="6">
        <v>3698.556</v>
      </c>
      <c r="M616" s="6">
        <v>3698.556</v>
      </c>
      <c r="N616" s="6">
        <v>0</v>
      </c>
      <c r="O616" s="6">
        <v>0</v>
      </c>
      <c r="P616" s="6">
        <v>0</v>
      </c>
      <c r="Q616" s="4" t="s">
        <v>64</v>
      </c>
      <c r="R616" s="4">
        <v>43</v>
      </c>
      <c r="S616" s="4" t="s">
        <v>284</v>
      </c>
      <c r="U616" s="4">
        <v>0</v>
      </c>
      <c r="V616" s="4">
        <v>30</v>
      </c>
      <c r="W616" s="4">
        <v>0</v>
      </c>
    </row>
    <row r="617" spans="1:23" ht="11.25" customHeight="1" x14ac:dyDescent="0.25">
      <c r="A617" s="4" t="s">
        <v>21</v>
      </c>
      <c r="B617" s="4" t="s">
        <v>41</v>
      </c>
      <c r="C617" s="4" t="s">
        <v>62</v>
      </c>
      <c r="D617" s="4" t="s">
        <v>25</v>
      </c>
      <c r="E617" s="4" t="s">
        <v>25</v>
      </c>
      <c r="F617" s="4" t="s">
        <v>25</v>
      </c>
      <c r="G617" s="4" t="s">
        <v>65</v>
      </c>
      <c r="H617" s="4" t="s">
        <v>25</v>
      </c>
      <c r="I617" s="5">
        <v>44713</v>
      </c>
      <c r="J617" s="6">
        <v>0</v>
      </c>
      <c r="K617" s="6">
        <v>0</v>
      </c>
      <c r="L617" s="6">
        <v>1987.5840000000001</v>
      </c>
      <c r="M617" s="6">
        <v>1987.5840000000001</v>
      </c>
      <c r="N617" s="6">
        <v>0</v>
      </c>
      <c r="O617" s="6">
        <v>0</v>
      </c>
      <c r="P617" s="6">
        <v>0</v>
      </c>
      <c r="Q617" s="4" t="s">
        <v>64</v>
      </c>
      <c r="R617" s="4">
        <v>6611</v>
      </c>
      <c r="S617" s="4" t="s">
        <v>285</v>
      </c>
      <c r="U617" s="4">
        <v>0</v>
      </c>
      <c r="V617" s="4">
        <v>36</v>
      </c>
      <c r="W617" s="4">
        <v>0</v>
      </c>
    </row>
    <row r="618" spans="1:23" ht="11.25" customHeight="1" x14ac:dyDescent="0.25">
      <c r="A618" s="4" t="s">
        <v>57</v>
      </c>
      <c r="B618" s="4" t="s">
        <v>41</v>
      </c>
      <c r="C618" s="4" t="s">
        <v>62</v>
      </c>
      <c r="D618" s="4" t="s">
        <v>25</v>
      </c>
      <c r="E618" s="4" t="s">
        <v>25</v>
      </c>
      <c r="F618" s="4" t="s">
        <v>25</v>
      </c>
      <c r="G618" s="4" t="s">
        <v>63</v>
      </c>
      <c r="H618" s="4" t="s">
        <v>25</v>
      </c>
      <c r="I618" s="5">
        <v>44743</v>
      </c>
      <c r="J618" s="6">
        <v>0</v>
      </c>
      <c r="K618" s="6">
        <v>0</v>
      </c>
      <c r="L618" s="6">
        <v>3698.556</v>
      </c>
      <c r="M618" s="6">
        <v>3698.556</v>
      </c>
      <c r="N618" s="6">
        <v>0</v>
      </c>
      <c r="O618" s="6">
        <v>0</v>
      </c>
      <c r="P618" s="6">
        <v>0</v>
      </c>
      <c r="Q618" s="4" t="s">
        <v>64</v>
      </c>
      <c r="R618" s="4">
        <v>43</v>
      </c>
      <c r="S618" s="4" t="s">
        <v>286</v>
      </c>
      <c r="U618" s="4">
        <v>0</v>
      </c>
      <c r="V618" s="4">
        <v>30</v>
      </c>
      <c r="W618" s="4">
        <v>0</v>
      </c>
    </row>
    <row r="619" spans="1:23" ht="11.25" customHeight="1" x14ac:dyDescent="0.25">
      <c r="A619" s="4" t="s">
        <v>57</v>
      </c>
      <c r="B619" s="4" t="s">
        <v>41</v>
      </c>
      <c r="C619" s="4" t="s">
        <v>62</v>
      </c>
      <c r="D619" s="4" t="s">
        <v>25</v>
      </c>
      <c r="E619" s="4" t="s">
        <v>25</v>
      </c>
      <c r="F619" s="4" t="s">
        <v>25</v>
      </c>
      <c r="G619" s="4" t="s">
        <v>65</v>
      </c>
      <c r="H619" s="4" t="s">
        <v>25</v>
      </c>
      <c r="I619" s="5">
        <v>44743</v>
      </c>
      <c r="J619" s="6">
        <v>0</v>
      </c>
      <c r="K619" s="6">
        <v>0</v>
      </c>
      <c r="L619" s="6">
        <v>1987.5840000000001</v>
      </c>
      <c r="M619" s="6">
        <v>1987.5840000000001</v>
      </c>
      <c r="N619" s="6">
        <v>0</v>
      </c>
      <c r="O619" s="6">
        <v>0</v>
      </c>
      <c r="P619" s="6">
        <v>0</v>
      </c>
      <c r="Q619" s="4" t="s">
        <v>64</v>
      </c>
      <c r="R619" s="4">
        <v>6611</v>
      </c>
      <c r="S619" s="4" t="s">
        <v>287</v>
      </c>
      <c r="U619" s="4">
        <v>0</v>
      </c>
      <c r="V619" s="4">
        <v>36</v>
      </c>
      <c r="W619" s="4">
        <v>0</v>
      </c>
    </row>
    <row r="620" spans="1:23" ht="11.25" customHeight="1" x14ac:dyDescent="0.25">
      <c r="A620" s="4" t="s">
        <v>21</v>
      </c>
      <c r="B620" s="4" t="s">
        <v>41</v>
      </c>
      <c r="C620" s="4" t="s">
        <v>62</v>
      </c>
      <c r="D620" s="4" t="s">
        <v>25</v>
      </c>
      <c r="E620" s="4" t="s">
        <v>25</v>
      </c>
      <c r="F620" s="4" t="s">
        <v>25</v>
      </c>
      <c r="G620" s="4" t="s">
        <v>63</v>
      </c>
      <c r="H620" s="4" t="s">
        <v>34</v>
      </c>
      <c r="I620" s="5">
        <v>44409</v>
      </c>
      <c r="J620" s="6">
        <v>6951</v>
      </c>
      <c r="K620" s="6">
        <v>6951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4" t="s">
        <v>64</v>
      </c>
      <c r="R620" s="4">
        <v>43</v>
      </c>
      <c r="S620" s="4" t="s">
        <v>288</v>
      </c>
      <c r="U620" s="4">
        <v>26</v>
      </c>
      <c r="V620" s="4">
        <v>0</v>
      </c>
      <c r="W620" s="4">
        <v>0</v>
      </c>
    </row>
    <row r="621" spans="1:23" ht="11.25" customHeight="1" x14ac:dyDescent="0.25">
      <c r="A621" s="4" t="s">
        <v>21</v>
      </c>
      <c r="B621" s="4" t="s">
        <v>41</v>
      </c>
      <c r="C621" s="4" t="s">
        <v>62</v>
      </c>
      <c r="D621" s="4" t="s">
        <v>25</v>
      </c>
      <c r="E621" s="4" t="s">
        <v>25</v>
      </c>
      <c r="F621" s="4" t="s">
        <v>25</v>
      </c>
      <c r="G621" s="4" t="s">
        <v>65</v>
      </c>
      <c r="H621" s="4" t="s">
        <v>34</v>
      </c>
      <c r="I621" s="5">
        <v>44409</v>
      </c>
      <c r="J621" s="6">
        <v>1984</v>
      </c>
      <c r="K621" s="6">
        <v>1984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4" t="s">
        <v>64</v>
      </c>
      <c r="R621" s="4">
        <v>6611</v>
      </c>
      <c r="S621" s="4" t="s">
        <v>289</v>
      </c>
      <c r="U621" s="4">
        <v>32</v>
      </c>
      <c r="V621" s="4">
        <v>0</v>
      </c>
      <c r="W621" s="4">
        <v>0</v>
      </c>
    </row>
    <row r="622" spans="1:23" ht="11.25" customHeight="1" x14ac:dyDescent="0.25">
      <c r="A622" s="4" t="s">
        <v>21</v>
      </c>
      <c r="B622" s="4" t="s">
        <v>41</v>
      </c>
      <c r="C622" s="4" t="s">
        <v>62</v>
      </c>
      <c r="D622" s="4" t="s">
        <v>25</v>
      </c>
      <c r="E622" s="4" t="s">
        <v>25</v>
      </c>
      <c r="F622" s="4" t="s">
        <v>25</v>
      </c>
      <c r="G622" s="4" t="s">
        <v>63</v>
      </c>
      <c r="H622" s="4" t="s">
        <v>34</v>
      </c>
      <c r="I622" s="5">
        <v>44440</v>
      </c>
      <c r="J622" s="6">
        <v>6951</v>
      </c>
      <c r="K622" s="6">
        <v>6951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4" t="s">
        <v>64</v>
      </c>
      <c r="R622" s="4">
        <v>43</v>
      </c>
      <c r="S622" s="4" t="s">
        <v>290</v>
      </c>
      <c r="U622" s="4">
        <v>26</v>
      </c>
      <c r="V622" s="4">
        <v>0</v>
      </c>
      <c r="W622" s="4">
        <v>0</v>
      </c>
    </row>
    <row r="623" spans="1:23" ht="11.25" customHeight="1" x14ac:dyDescent="0.25">
      <c r="A623" s="4" t="s">
        <v>21</v>
      </c>
      <c r="B623" s="4" t="s">
        <v>41</v>
      </c>
      <c r="C623" s="4" t="s">
        <v>62</v>
      </c>
      <c r="D623" s="4" t="s">
        <v>25</v>
      </c>
      <c r="E623" s="4" t="s">
        <v>25</v>
      </c>
      <c r="F623" s="4" t="s">
        <v>25</v>
      </c>
      <c r="G623" s="4" t="s">
        <v>65</v>
      </c>
      <c r="H623" s="4" t="s">
        <v>34</v>
      </c>
      <c r="I623" s="5">
        <v>44440</v>
      </c>
      <c r="J623" s="6">
        <v>1980</v>
      </c>
      <c r="K623" s="6">
        <v>1980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4" t="s">
        <v>64</v>
      </c>
      <c r="R623" s="4">
        <v>6611</v>
      </c>
      <c r="S623" s="4" t="s">
        <v>291</v>
      </c>
      <c r="U623" s="4">
        <v>32</v>
      </c>
      <c r="V623" s="4">
        <v>0</v>
      </c>
      <c r="W623" s="4">
        <v>0</v>
      </c>
    </row>
    <row r="624" spans="1:23" ht="11.25" customHeight="1" x14ac:dyDescent="0.25">
      <c r="A624" s="4" t="s">
        <v>21</v>
      </c>
      <c r="B624" s="4" t="s">
        <v>41</v>
      </c>
      <c r="C624" s="4" t="s">
        <v>62</v>
      </c>
      <c r="D624" s="4" t="s">
        <v>25</v>
      </c>
      <c r="E624" s="4" t="s">
        <v>25</v>
      </c>
      <c r="F624" s="4" t="s">
        <v>25</v>
      </c>
      <c r="G624" s="4" t="s">
        <v>63</v>
      </c>
      <c r="H624" s="4" t="s">
        <v>34</v>
      </c>
      <c r="I624" s="5">
        <v>44470</v>
      </c>
      <c r="J624" s="6">
        <v>6951</v>
      </c>
      <c r="K624" s="6">
        <v>6951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4" t="s">
        <v>64</v>
      </c>
      <c r="R624" s="4">
        <v>43</v>
      </c>
      <c r="S624" s="4" t="s">
        <v>292</v>
      </c>
      <c r="U624" s="4">
        <v>26</v>
      </c>
      <c r="V624" s="4">
        <v>0</v>
      </c>
      <c r="W624" s="4">
        <v>0</v>
      </c>
    </row>
    <row r="625" spans="1:23" ht="11.25" customHeight="1" x14ac:dyDescent="0.25">
      <c r="A625" s="4" t="s">
        <v>21</v>
      </c>
      <c r="B625" s="4" t="s">
        <v>41</v>
      </c>
      <c r="C625" s="4" t="s">
        <v>62</v>
      </c>
      <c r="D625" s="4" t="s">
        <v>25</v>
      </c>
      <c r="E625" s="4" t="s">
        <v>25</v>
      </c>
      <c r="F625" s="4" t="s">
        <v>25</v>
      </c>
      <c r="G625" s="4" t="s">
        <v>65</v>
      </c>
      <c r="H625" s="4" t="s">
        <v>34</v>
      </c>
      <c r="I625" s="5">
        <v>44470</v>
      </c>
      <c r="J625" s="6">
        <v>2036</v>
      </c>
      <c r="K625" s="6">
        <v>2036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4" t="s">
        <v>64</v>
      </c>
      <c r="R625" s="4">
        <v>6611</v>
      </c>
      <c r="S625" s="4" t="s">
        <v>293</v>
      </c>
      <c r="U625" s="4">
        <v>32</v>
      </c>
      <c r="V625" s="4">
        <v>0</v>
      </c>
      <c r="W625" s="4">
        <v>0</v>
      </c>
    </row>
    <row r="626" spans="1:23" ht="11.25" customHeight="1" x14ac:dyDescent="0.25">
      <c r="A626" s="4" t="s">
        <v>21</v>
      </c>
      <c r="B626" s="4" t="s">
        <v>41</v>
      </c>
      <c r="C626" s="4" t="s">
        <v>62</v>
      </c>
      <c r="D626" s="4" t="s">
        <v>25</v>
      </c>
      <c r="E626" s="4" t="s">
        <v>25</v>
      </c>
      <c r="F626" s="4" t="s">
        <v>25</v>
      </c>
      <c r="G626" s="4" t="s">
        <v>63</v>
      </c>
      <c r="H626" s="4" t="s">
        <v>34</v>
      </c>
      <c r="I626" s="5">
        <v>44501</v>
      </c>
      <c r="J626" s="6">
        <v>6951</v>
      </c>
      <c r="K626" s="6">
        <v>6951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4" t="s">
        <v>64</v>
      </c>
      <c r="R626" s="4">
        <v>43</v>
      </c>
      <c r="S626" s="4" t="s">
        <v>294</v>
      </c>
      <c r="U626" s="4">
        <v>26</v>
      </c>
      <c r="V626" s="4">
        <v>0</v>
      </c>
      <c r="W626" s="4">
        <v>0</v>
      </c>
    </row>
    <row r="627" spans="1:23" ht="11.25" customHeight="1" x14ac:dyDescent="0.25">
      <c r="A627" s="4" t="s">
        <v>21</v>
      </c>
      <c r="B627" s="4" t="s">
        <v>41</v>
      </c>
      <c r="C627" s="4" t="s">
        <v>62</v>
      </c>
      <c r="D627" s="4" t="s">
        <v>25</v>
      </c>
      <c r="E627" s="4" t="s">
        <v>25</v>
      </c>
      <c r="F627" s="4" t="s">
        <v>25</v>
      </c>
      <c r="G627" s="4" t="s">
        <v>65</v>
      </c>
      <c r="H627" s="4" t="s">
        <v>34</v>
      </c>
      <c r="I627" s="5">
        <v>44501</v>
      </c>
      <c r="J627" s="6">
        <v>1944</v>
      </c>
      <c r="K627" s="6">
        <v>1944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4" t="s">
        <v>64</v>
      </c>
      <c r="R627" s="4">
        <v>6611</v>
      </c>
      <c r="S627" s="4" t="s">
        <v>295</v>
      </c>
      <c r="U627" s="4">
        <v>32</v>
      </c>
      <c r="V627" s="4">
        <v>0</v>
      </c>
      <c r="W627" s="4">
        <v>0</v>
      </c>
    </row>
    <row r="628" spans="1:23" ht="11.25" customHeight="1" x14ac:dyDescent="0.25">
      <c r="A628" s="4" t="s">
        <v>21</v>
      </c>
      <c r="B628" s="4" t="s">
        <v>41</v>
      </c>
      <c r="C628" s="4" t="s">
        <v>62</v>
      </c>
      <c r="D628" s="4" t="s">
        <v>25</v>
      </c>
      <c r="E628" s="4" t="s">
        <v>25</v>
      </c>
      <c r="F628" s="4" t="s">
        <v>25</v>
      </c>
      <c r="G628" s="4" t="s">
        <v>63</v>
      </c>
      <c r="H628" s="4" t="s">
        <v>34</v>
      </c>
      <c r="I628" s="5">
        <v>44531</v>
      </c>
      <c r="J628" s="6">
        <v>6951</v>
      </c>
      <c r="K628" s="6">
        <v>6951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4" t="s">
        <v>64</v>
      </c>
      <c r="R628" s="4">
        <v>43</v>
      </c>
      <c r="S628" s="4" t="s">
        <v>296</v>
      </c>
      <c r="U628" s="4">
        <v>26</v>
      </c>
      <c r="V628" s="4">
        <v>0</v>
      </c>
      <c r="W628" s="4">
        <v>0</v>
      </c>
    </row>
    <row r="629" spans="1:23" ht="11.25" customHeight="1" x14ac:dyDescent="0.25">
      <c r="A629" s="4" t="s">
        <v>21</v>
      </c>
      <c r="B629" s="4" t="s">
        <v>41</v>
      </c>
      <c r="C629" s="4" t="s">
        <v>62</v>
      </c>
      <c r="D629" s="4" t="s">
        <v>25</v>
      </c>
      <c r="E629" s="4" t="s">
        <v>25</v>
      </c>
      <c r="F629" s="4" t="s">
        <v>25</v>
      </c>
      <c r="G629" s="4" t="s">
        <v>65</v>
      </c>
      <c r="H629" s="4" t="s">
        <v>34</v>
      </c>
      <c r="I629" s="5">
        <v>44531</v>
      </c>
      <c r="J629" s="6">
        <v>2272</v>
      </c>
      <c r="K629" s="6">
        <v>2272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4" t="s">
        <v>64</v>
      </c>
      <c r="R629" s="4">
        <v>6611</v>
      </c>
      <c r="S629" s="4" t="s">
        <v>297</v>
      </c>
      <c r="U629" s="4">
        <v>32</v>
      </c>
      <c r="V629" s="4">
        <v>0</v>
      </c>
      <c r="W629" s="4">
        <v>0</v>
      </c>
    </row>
    <row r="630" spans="1:23" ht="11.25" customHeight="1" x14ac:dyDescent="0.25">
      <c r="A630" s="4" t="s">
        <v>21</v>
      </c>
      <c r="B630" s="4" t="s">
        <v>41</v>
      </c>
      <c r="C630" s="4" t="s">
        <v>62</v>
      </c>
      <c r="D630" s="4" t="s">
        <v>25</v>
      </c>
      <c r="E630" s="4" t="s">
        <v>25</v>
      </c>
      <c r="F630" s="4" t="s">
        <v>25</v>
      </c>
      <c r="G630" s="4" t="s">
        <v>63</v>
      </c>
      <c r="H630" s="4" t="s">
        <v>34</v>
      </c>
      <c r="I630" s="5">
        <v>44562</v>
      </c>
      <c r="J630" s="6">
        <v>6951</v>
      </c>
      <c r="K630" s="6">
        <v>6951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4" t="s">
        <v>64</v>
      </c>
      <c r="R630" s="4">
        <v>43</v>
      </c>
      <c r="S630" s="4" t="s">
        <v>298</v>
      </c>
      <c r="U630" s="4">
        <v>26</v>
      </c>
      <c r="V630" s="4">
        <v>0</v>
      </c>
      <c r="W630" s="4">
        <v>0</v>
      </c>
    </row>
    <row r="631" spans="1:23" ht="11.25" customHeight="1" x14ac:dyDescent="0.25">
      <c r="A631" s="4" t="s">
        <v>21</v>
      </c>
      <c r="B631" s="4" t="s">
        <v>41</v>
      </c>
      <c r="C631" s="4" t="s">
        <v>62</v>
      </c>
      <c r="D631" s="4" t="s">
        <v>25</v>
      </c>
      <c r="E631" s="4" t="s">
        <v>25</v>
      </c>
      <c r="F631" s="4" t="s">
        <v>25</v>
      </c>
      <c r="G631" s="4" t="s">
        <v>65</v>
      </c>
      <c r="H631" s="4" t="s">
        <v>34</v>
      </c>
      <c r="I631" s="5">
        <v>44562</v>
      </c>
      <c r="J631" s="6">
        <v>2728</v>
      </c>
      <c r="K631" s="6">
        <v>2728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4" t="s">
        <v>64</v>
      </c>
      <c r="R631" s="4">
        <v>6611</v>
      </c>
      <c r="S631" s="4" t="s">
        <v>299</v>
      </c>
      <c r="U631" s="4">
        <v>32</v>
      </c>
      <c r="V631" s="4">
        <v>0</v>
      </c>
      <c r="W631" s="4">
        <v>0</v>
      </c>
    </row>
    <row r="632" spans="1:23" ht="11.25" customHeight="1" x14ac:dyDescent="0.25">
      <c r="A632" s="4" t="s">
        <v>21</v>
      </c>
      <c r="B632" s="4" t="s">
        <v>41</v>
      </c>
      <c r="C632" s="4" t="s">
        <v>62</v>
      </c>
      <c r="D632" s="4" t="s">
        <v>25</v>
      </c>
      <c r="E632" s="4" t="s">
        <v>25</v>
      </c>
      <c r="F632" s="4" t="s">
        <v>25</v>
      </c>
      <c r="G632" s="4" t="s">
        <v>63</v>
      </c>
      <c r="H632" s="4" t="s">
        <v>34</v>
      </c>
      <c r="I632" s="5">
        <v>44593</v>
      </c>
      <c r="J632" s="6">
        <v>6951</v>
      </c>
      <c r="K632" s="6">
        <v>6951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4" t="s">
        <v>64</v>
      </c>
      <c r="R632" s="4">
        <v>43</v>
      </c>
      <c r="S632" s="4" t="s">
        <v>300</v>
      </c>
      <c r="U632" s="4">
        <v>26</v>
      </c>
      <c r="V632" s="4">
        <v>0</v>
      </c>
      <c r="W632" s="4">
        <v>0</v>
      </c>
    </row>
    <row r="633" spans="1:23" ht="11.25" customHeight="1" x14ac:dyDescent="0.25">
      <c r="A633" s="4" t="s">
        <v>21</v>
      </c>
      <c r="B633" s="4" t="s">
        <v>41</v>
      </c>
      <c r="C633" s="4" t="s">
        <v>62</v>
      </c>
      <c r="D633" s="4" t="s">
        <v>25</v>
      </c>
      <c r="E633" s="4" t="s">
        <v>25</v>
      </c>
      <c r="F633" s="4" t="s">
        <v>25</v>
      </c>
      <c r="G633" s="4" t="s">
        <v>65</v>
      </c>
      <c r="H633" s="4" t="s">
        <v>34</v>
      </c>
      <c r="I633" s="5">
        <v>44593</v>
      </c>
      <c r="J633" s="6">
        <v>2420</v>
      </c>
      <c r="K633" s="6">
        <v>2420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4" t="s">
        <v>64</v>
      </c>
      <c r="R633" s="4">
        <v>6611</v>
      </c>
      <c r="S633" s="4" t="s">
        <v>301</v>
      </c>
      <c r="U633" s="4">
        <v>32</v>
      </c>
      <c r="V633" s="4">
        <v>0</v>
      </c>
      <c r="W633" s="4">
        <v>0</v>
      </c>
    </row>
    <row r="634" spans="1:23" ht="11.25" customHeight="1" x14ac:dyDescent="0.25">
      <c r="A634" s="4" t="s">
        <v>21</v>
      </c>
      <c r="B634" s="4" t="s">
        <v>41</v>
      </c>
      <c r="C634" s="4" t="s">
        <v>62</v>
      </c>
      <c r="D634" s="4" t="s">
        <v>25</v>
      </c>
      <c r="E634" s="4" t="s">
        <v>25</v>
      </c>
      <c r="F634" s="4" t="s">
        <v>25</v>
      </c>
      <c r="G634" s="4" t="s">
        <v>63</v>
      </c>
      <c r="H634" s="4" t="s">
        <v>34</v>
      </c>
      <c r="I634" s="5">
        <v>44621</v>
      </c>
      <c r="J634" s="6">
        <v>6951</v>
      </c>
      <c r="K634" s="6">
        <v>6951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4" t="s">
        <v>64</v>
      </c>
      <c r="R634" s="4">
        <v>43</v>
      </c>
      <c r="S634" s="4" t="s">
        <v>302</v>
      </c>
      <c r="U634" s="4">
        <v>26</v>
      </c>
      <c r="V634" s="4">
        <v>0</v>
      </c>
      <c r="W634" s="4">
        <v>0</v>
      </c>
    </row>
    <row r="635" spans="1:23" ht="11.25" customHeight="1" x14ac:dyDescent="0.25">
      <c r="A635" s="4" t="s">
        <v>21</v>
      </c>
      <c r="B635" s="4" t="s">
        <v>41</v>
      </c>
      <c r="C635" s="4" t="s">
        <v>62</v>
      </c>
      <c r="D635" s="4" t="s">
        <v>25</v>
      </c>
      <c r="E635" s="4" t="s">
        <v>25</v>
      </c>
      <c r="F635" s="4" t="s">
        <v>25</v>
      </c>
      <c r="G635" s="4" t="s">
        <v>65</v>
      </c>
      <c r="H635" s="4" t="s">
        <v>34</v>
      </c>
      <c r="I635" s="5">
        <v>44621</v>
      </c>
      <c r="J635" s="6">
        <v>2452</v>
      </c>
      <c r="K635" s="6">
        <v>2452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4" t="s">
        <v>64</v>
      </c>
      <c r="R635" s="4">
        <v>6611</v>
      </c>
      <c r="S635" s="4" t="s">
        <v>303</v>
      </c>
      <c r="U635" s="4">
        <v>32</v>
      </c>
      <c r="V635" s="4">
        <v>0</v>
      </c>
      <c r="W635" s="4">
        <v>0</v>
      </c>
    </row>
    <row r="636" spans="1:23" ht="11.25" customHeight="1" x14ac:dyDescent="0.25">
      <c r="A636" s="4" t="s">
        <v>21</v>
      </c>
      <c r="B636" s="4" t="s">
        <v>41</v>
      </c>
      <c r="C636" s="4" t="s">
        <v>62</v>
      </c>
      <c r="D636" s="4" t="s">
        <v>25</v>
      </c>
      <c r="E636" s="4" t="s">
        <v>25</v>
      </c>
      <c r="F636" s="4" t="s">
        <v>25</v>
      </c>
      <c r="G636" s="4" t="s">
        <v>63</v>
      </c>
      <c r="H636" s="4" t="s">
        <v>34</v>
      </c>
      <c r="I636" s="5">
        <v>44652</v>
      </c>
      <c r="J636" s="6">
        <v>6951</v>
      </c>
      <c r="K636" s="6">
        <v>6951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4" t="s">
        <v>64</v>
      </c>
      <c r="R636" s="4">
        <v>43</v>
      </c>
      <c r="S636" s="4" t="s">
        <v>304</v>
      </c>
      <c r="U636" s="4">
        <v>26</v>
      </c>
      <c r="V636" s="4">
        <v>0</v>
      </c>
      <c r="W636" s="4">
        <v>0</v>
      </c>
    </row>
    <row r="637" spans="1:23" ht="11.25" customHeight="1" x14ac:dyDescent="0.25">
      <c r="A637" s="4" t="s">
        <v>21</v>
      </c>
      <c r="B637" s="4" t="s">
        <v>41</v>
      </c>
      <c r="C637" s="4" t="s">
        <v>62</v>
      </c>
      <c r="D637" s="4" t="s">
        <v>25</v>
      </c>
      <c r="E637" s="4" t="s">
        <v>25</v>
      </c>
      <c r="F637" s="4" t="s">
        <v>25</v>
      </c>
      <c r="G637" s="4" t="s">
        <v>65</v>
      </c>
      <c r="H637" s="4" t="s">
        <v>34</v>
      </c>
      <c r="I637" s="5">
        <v>44652</v>
      </c>
      <c r="J637" s="6">
        <v>2460</v>
      </c>
      <c r="K637" s="6">
        <v>2460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4" t="s">
        <v>64</v>
      </c>
      <c r="R637" s="4">
        <v>6611</v>
      </c>
      <c r="S637" s="4" t="s">
        <v>305</v>
      </c>
      <c r="U637" s="4">
        <v>32</v>
      </c>
      <c r="V637" s="4">
        <v>0</v>
      </c>
      <c r="W637" s="4">
        <v>0</v>
      </c>
    </row>
    <row r="638" spans="1:23" ht="11.25" customHeight="1" x14ac:dyDescent="0.25">
      <c r="A638" s="4" t="s">
        <v>21</v>
      </c>
      <c r="B638" s="4" t="s">
        <v>41</v>
      </c>
      <c r="C638" s="4" t="s">
        <v>62</v>
      </c>
      <c r="D638" s="4" t="s">
        <v>25</v>
      </c>
      <c r="E638" s="4" t="s">
        <v>25</v>
      </c>
      <c r="F638" s="4" t="s">
        <v>25</v>
      </c>
      <c r="G638" s="4" t="s">
        <v>63</v>
      </c>
      <c r="H638" s="4" t="s">
        <v>34</v>
      </c>
      <c r="I638" s="5">
        <v>44682</v>
      </c>
      <c r="J638" s="6">
        <v>6951</v>
      </c>
      <c r="K638" s="6">
        <v>6951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4" t="s">
        <v>64</v>
      </c>
      <c r="R638" s="4">
        <v>43</v>
      </c>
      <c r="S638" s="4" t="s">
        <v>306</v>
      </c>
      <c r="U638" s="4">
        <v>26</v>
      </c>
      <c r="V638" s="4">
        <v>0</v>
      </c>
      <c r="W638" s="4">
        <v>0</v>
      </c>
    </row>
    <row r="639" spans="1:23" ht="11.25" customHeight="1" x14ac:dyDescent="0.25">
      <c r="A639" s="4" t="s">
        <v>21</v>
      </c>
      <c r="B639" s="4" t="s">
        <v>41</v>
      </c>
      <c r="C639" s="4" t="s">
        <v>62</v>
      </c>
      <c r="D639" s="4" t="s">
        <v>25</v>
      </c>
      <c r="E639" s="4" t="s">
        <v>25</v>
      </c>
      <c r="F639" s="4" t="s">
        <v>25</v>
      </c>
      <c r="G639" s="4" t="s">
        <v>65</v>
      </c>
      <c r="H639" s="4" t="s">
        <v>34</v>
      </c>
      <c r="I639" s="5">
        <v>44682</v>
      </c>
      <c r="J639" s="6">
        <v>2780</v>
      </c>
      <c r="K639" s="6">
        <v>2780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4" t="s">
        <v>64</v>
      </c>
      <c r="R639" s="4">
        <v>6611</v>
      </c>
      <c r="S639" s="4" t="s">
        <v>307</v>
      </c>
      <c r="U639" s="4">
        <v>32</v>
      </c>
      <c r="V639" s="4">
        <v>0</v>
      </c>
      <c r="W639" s="4">
        <v>0</v>
      </c>
    </row>
    <row r="640" spans="1:23" ht="11.25" customHeight="1" x14ac:dyDescent="0.25">
      <c r="A640" s="4" t="s">
        <v>21</v>
      </c>
      <c r="B640" s="4" t="s">
        <v>41</v>
      </c>
      <c r="C640" s="4" t="s">
        <v>62</v>
      </c>
      <c r="D640" s="4" t="s">
        <v>25</v>
      </c>
      <c r="E640" s="4" t="s">
        <v>25</v>
      </c>
      <c r="F640" s="4" t="s">
        <v>25</v>
      </c>
      <c r="G640" s="4" t="s">
        <v>63</v>
      </c>
      <c r="H640" s="4" t="s">
        <v>34</v>
      </c>
      <c r="I640" s="5">
        <v>44713</v>
      </c>
      <c r="J640" s="6">
        <v>7031</v>
      </c>
      <c r="K640" s="6">
        <v>7031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4" t="s">
        <v>64</v>
      </c>
      <c r="R640" s="4">
        <v>43</v>
      </c>
      <c r="S640" s="4" t="s">
        <v>308</v>
      </c>
      <c r="U640" s="4">
        <v>26</v>
      </c>
      <c r="V640" s="4">
        <v>0</v>
      </c>
      <c r="W640" s="4">
        <v>0</v>
      </c>
    </row>
    <row r="641" spans="1:23" ht="11.25" customHeight="1" x14ac:dyDescent="0.25">
      <c r="A641" s="4" t="s">
        <v>21</v>
      </c>
      <c r="B641" s="4" t="s">
        <v>41</v>
      </c>
      <c r="C641" s="4" t="s">
        <v>62</v>
      </c>
      <c r="D641" s="4" t="s">
        <v>25</v>
      </c>
      <c r="E641" s="4" t="s">
        <v>25</v>
      </c>
      <c r="F641" s="4" t="s">
        <v>25</v>
      </c>
      <c r="G641" s="4" t="s">
        <v>65</v>
      </c>
      <c r="H641" s="4" t="s">
        <v>34</v>
      </c>
      <c r="I641" s="5">
        <v>44713</v>
      </c>
      <c r="J641" s="6">
        <v>2544</v>
      </c>
      <c r="K641" s="6">
        <v>2544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4" t="s">
        <v>64</v>
      </c>
      <c r="R641" s="4">
        <v>6611</v>
      </c>
      <c r="S641" s="4" t="s">
        <v>309</v>
      </c>
      <c r="U641" s="4">
        <v>32</v>
      </c>
      <c r="V641" s="4">
        <v>0</v>
      </c>
      <c r="W641" s="4">
        <v>0</v>
      </c>
    </row>
    <row r="642" spans="1:23" ht="11.25" customHeight="1" x14ac:dyDescent="0.25">
      <c r="A642" s="4" t="s">
        <v>57</v>
      </c>
      <c r="B642" s="4" t="s">
        <v>41</v>
      </c>
      <c r="C642" s="4" t="s">
        <v>62</v>
      </c>
      <c r="D642" s="4" t="s">
        <v>25</v>
      </c>
      <c r="E642" s="4" t="s">
        <v>25</v>
      </c>
      <c r="F642" s="4" t="s">
        <v>25</v>
      </c>
      <c r="G642" s="4" t="s">
        <v>63</v>
      </c>
      <c r="H642" s="4" t="s">
        <v>34</v>
      </c>
      <c r="I642" s="5">
        <v>44743</v>
      </c>
      <c r="J642" s="6">
        <v>7031</v>
      </c>
      <c r="K642" s="6">
        <v>7031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4" t="s">
        <v>64</v>
      </c>
      <c r="R642" s="4">
        <v>43</v>
      </c>
      <c r="S642" s="4" t="s">
        <v>310</v>
      </c>
      <c r="U642" s="4">
        <v>26</v>
      </c>
      <c r="V642" s="4">
        <v>0</v>
      </c>
      <c r="W642" s="4">
        <v>0</v>
      </c>
    </row>
    <row r="643" spans="1:23" ht="11.25" customHeight="1" x14ac:dyDescent="0.25">
      <c r="A643" s="4" t="s">
        <v>57</v>
      </c>
      <c r="B643" s="4" t="s">
        <v>41</v>
      </c>
      <c r="C643" s="4" t="s">
        <v>62</v>
      </c>
      <c r="D643" s="4" t="s">
        <v>25</v>
      </c>
      <c r="E643" s="4" t="s">
        <v>25</v>
      </c>
      <c r="F643" s="4" t="s">
        <v>25</v>
      </c>
      <c r="G643" s="4" t="s">
        <v>65</v>
      </c>
      <c r="H643" s="4" t="s">
        <v>34</v>
      </c>
      <c r="I643" s="5">
        <v>44743</v>
      </c>
      <c r="J643" s="6">
        <v>2544</v>
      </c>
      <c r="K643" s="6">
        <v>2544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4" t="s">
        <v>64</v>
      </c>
      <c r="R643" s="4">
        <v>6611</v>
      </c>
      <c r="S643" s="4" t="s">
        <v>311</v>
      </c>
      <c r="U643" s="4">
        <v>32</v>
      </c>
      <c r="V643" s="4">
        <v>0</v>
      </c>
      <c r="W643" s="4">
        <v>0</v>
      </c>
    </row>
    <row r="644" spans="1:23" ht="11.25" customHeight="1" x14ac:dyDescent="0.25">
      <c r="A644" s="4" t="s">
        <v>21</v>
      </c>
      <c r="B644" s="4" t="s">
        <v>41</v>
      </c>
      <c r="C644" s="4" t="s">
        <v>66</v>
      </c>
      <c r="D644" s="4" t="s">
        <v>25</v>
      </c>
      <c r="E644" s="4" t="s">
        <v>25</v>
      </c>
      <c r="F644" s="4" t="s">
        <v>25</v>
      </c>
      <c r="G644" s="4" t="s">
        <v>72</v>
      </c>
      <c r="H644" s="4" t="s">
        <v>25</v>
      </c>
      <c r="I644" s="5">
        <v>44409</v>
      </c>
      <c r="J644" s="6">
        <v>4500</v>
      </c>
      <c r="K644" s="6">
        <v>2250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4" t="s">
        <v>68</v>
      </c>
      <c r="R644" s="4">
        <v>29075</v>
      </c>
      <c r="S644" s="4" t="s">
        <v>312</v>
      </c>
      <c r="U644" s="4">
        <v>38</v>
      </c>
      <c r="V644" s="4">
        <v>0</v>
      </c>
      <c r="W644" s="4">
        <v>0</v>
      </c>
    </row>
    <row r="645" spans="1:23" ht="11.25" customHeight="1" x14ac:dyDescent="0.25">
      <c r="A645" s="4" t="s">
        <v>21</v>
      </c>
      <c r="B645" s="4" t="s">
        <v>41</v>
      </c>
      <c r="C645" s="4" t="s">
        <v>66</v>
      </c>
      <c r="D645" s="4" t="s">
        <v>25</v>
      </c>
      <c r="E645" s="4" t="s">
        <v>25</v>
      </c>
      <c r="F645" s="4" t="s">
        <v>25</v>
      </c>
      <c r="G645" s="4" t="s">
        <v>74</v>
      </c>
      <c r="H645" s="4" t="s">
        <v>25</v>
      </c>
      <c r="I645" s="5">
        <v>44409</v>
      </c>
      <c r="J645" s="6">
        <v>3000</v>
      </c>
      <c r="K645" s="6">
        <v>1500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4" t="s">
        <v>68</v>
      </c>
      <c r="S645" s="4" t="s">
        <v>312</v>
      </c>
      <c r="U645" s="4">
        <v>38</v>
      </c>
      <c r="V645" s="4">
        <v>0</v>
      </c>
      <c r="W645" s="4">
        <v>0</v>
      </c>
    </row>
    <row r="646" spans="1:23" ht="11.25" customHeight="1" x14ac:dyDescent="0.25">
      <c r="A646" s="4" t="s">
        <v>21</v>
      </c>
      <c r="B646" s="4" t="s">
        <v>41</v>
      </c>
      <c r="C646" s="4" t="s">
        <v>66</v>
      </c>
      <c r="D646" s="4" t="s">
        <v>25</v>
      </c>
      <c r="E646" s="4" t="s">
        <v>25</v>
      </c>
      <c r="F646" s="4" t="s">
        <v>25</v>
      </c>
      <c r="G646" s="4" t="s">
        <v>80</v>
      </c>
      <c r="H646" s="4" t="s">
        <v>25</v>
      </c>
      <c r="I646" s="5">
        <v>44409</v>
      </c>
      <c r="J646" s="6">
        <v>3000</v>
      </c>
      <c r="K646" s="6">
        <v>1500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4" t="s">
        <v>68</v>
      </c>
      <c r="R646" s="4">
        <v>34891</v>
      </c>
      <c r="S646" s="4" t="s">
        <v>312</v>
      </c>
      <c r="U646" s="4">
        <v>38</v>
      </c>
      <c r="V646" s="4">
        <v>0</v>
      </c>
      <c r="W646" s="4">
        <v>0</v>
      </c>
    </row>
    <row r="647" spans="1:23" ht="11.25" customHeight="1" x14ac:dyDescent="0.25">
      <c r="A647" s="4" t="s">
        <v>21</v>
      </c>
      <c r="B647" s="4" t="s">
        <v>41</v>
      </c>
      <c r="C647" s="4" t="s">
        <v>66</v>
      </c>
      <c r="D647" s="4" t="s">
        <v>25</v>
      </c>
      <c r="E647" s="4" t="s">
        <v>25</v>
      </c>
      <c r="F647" s="4" t="s">
        <v>25</v>
      </c>
      <c r="G647" s="4" t="s">
        <v>81</v>
      </c>
      <c r="H647" s="4" t="s">
        <v>25</v>
      </c>
      <c r="I647" s="5">
        <v>44409</v>
      </c>
      <c r="J647" s="6">
        <v>600</v>
      </c>
      <c r="K647" s="6">
        <v>300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4" t="s">
        <v>68</v>
      </c>
      <c r="R647" s="4">
        <v>34893</v>
      </c>
      <c r="S647" s="4" t="s">
        <v>312</v>
      </c>
      <c r="U647" s="4">
        <v>38</v>
      </c>
      <c r="V647" s="4">
        <v>0</v>
      </c>
      <c r="W647" s="4">
        <v>0</v>
      </c>
    </row>
    <row r="648" spans="1:23" ht="11.25" customHeight="1" x14ac:dyDescent="0.25">
      <c r="A648" s="4" t="s">
        <v>21</v>
      </c>
      <c r="B648" s="4" t="s">
        <v>41</v>
      </c>
      <c r="C648" s="4" t="s">
        <v>66</v>
      </c>
      <c r="D648" s="4" t="s">
        <v>25</v>
      </c>
      <c r="E648" s="4" t="s">
        <v>25</v>
      </c>
      <c r="F648" s="4" t="s">
        <v>25</v>
      </c>
      <c r="G648" s="4" t="s">
        <v>82</v>
      </c>
      <c r="H648" s="4" t="s">
        <v>25</v>
      </c>
      <c r="I648" s="5">
        <v>44409</v>
      </c>
      <c r="J648" s="6">
        <v>4800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4" t="s">
        <v>68</v>
      </c>
      <c r="R648" s="4">
        <v>43199</v>
      </c>
      <c r="S648" s="4" t="s">
        <v>312</v>
      </c>
      <c r="U648" s="4">
        <v>38</v>
      </c>
      <c r="V648" s="4">
        <v>0</v>
      </c>
      <c r="W648" s="4">
        <v>0</v>
      </c>
    </row>
    <row r="649" spans="1:23" ht="11.25" customHeight="1" x14ac:dyDescent="0.25">
      <c r="A649" s="4" t="s">
        <v>21</v>
      </c>
      <c r="B649" s="4" t="s">
        <v>41</v>
      </c>
      <c r="C649" s="4" t="s">
        <v>66</v>
      </c>
      <c r="D649" s="4" t="s">
        <v>25</v>
      </c>
      <c r="E649" s="4" t="s">
        <v>25</v>
      </c>
      <c r="F649" s="4" t="s">
        <v>25</v>
      </c>
      <c r="G649" s="4" t="s">
        <v>83</v>
      </c>
      <c r="H649" s="4" t="s">
        <v>25</v>
      </c>
      <c r="I649" s="5">
        <v>44409</v>
      </c>
      <c r="J649" s="6">
        <v>200</v>
      </c>
      <c r="K649" s="6">
        <v>100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4" t="s">
        <v>68</v>
      </c>
      <c r="S649" s="4" t="s">
        <v>312</v>
      </c>
      <c r="U649" s="4">
        <v>38</v>
      </c>
      <c r="V649" s="4">
        <v>0</v>
      </c>
      <c r="W649" s="4">
        <v>0</v>
      </c>
    </row>
    <row r="650" spans="1:23" ht="11.25" customHeight="1" x14ac:dyDescent="0.25">
      <c r="A650" s="4" t="s">
        <v>21</v>
      </c>
      <c r="B650" s="4" t="s">
        <v>41</v>
      </c>
      <c r="C650" s="4" t="s">
        <v>66</v>
      </c>
      <c r="D650" s="4" t="s">
        <v>25</v>
      </c>
      <c r="E650" s="4" t="s">
        <v>25</v>
      </c>
      <c r="F650" s="4" t="s">
        <v>25</v>
      </c>
      <c r="G650" s="4" t="s">
        <v>72</v>
      </c>
      <c r="H650" s="4" t="s">
        <v>25</v>
      </c>
      <c r="I650" s="5">
        <v>44440</v>
      </c>
      <c r="J650" s="6">
        <v>4500</v>
      </c>
      <c r="K650" s="6">
        <v>2250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4" t="s">
        <v>68</v>
      </c>
      <c r="R650" s="4">
        <v>29075</v>
      </c>
      <c r="S650" s="4" t="s">
        <v>313</v>
      </c>
      <c r="U650" s="4">
        <v>38</v>
      </c>
      <c r="V650" s="4">
        <v>0</v>
      </c>
      <c r="W650" s="4">
        <v>0</v>
      </c>
    </row>
    <row r="651" spans="1:23" ht="11.25" customHeight="1" x14ac:dyDescent="0.25">
      <c r="A651" s="4" t="s">
        <v>21</v>
      </c>
      <c r="B651" s="4" t="s">
        <v>41</v>
      </c>
      <c r="C651" s="4" t="s">
        <v>66</v>
      </c>
      <c r="D651" s="4" t="s">
        <v>25</v>
      </c>
      <c r="E651" s="4" t="s">
        <v>25</v>
      </c>
      <c r="F651" s="4" t="s">
        <v>25</v>
      </c>
      <c r="G651" s="4" t="s">
        <v>74</v>
      </c>
      <c r="H651" s="4" t="s">
        <v>25</v>
      </c>
      <c r="I651" s="5">
        <v>44440</v>
      </c>
      <c r="J651" s="6">
        <v>3000</v>
      </c>
      <c r="K651" s="6">
        <v>1500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4" t="s">
        <v>68</v>
      </c>
      <c r="S651" s="4" t="s">
        <v>313</v>
      </c>
      <c r="U651" s="4">
        <v>38</v>
      </c>
      <c r="V651" s="4">
        <v>0</v>
      </c>
      <c r="W651" s="4">
        <v>0</v>
      </c>
    </row>
    <row r="652" spans="1:23" ht="11.25" customHeight="1" x14ac:dyDescent="0.25">
      <c r="A652" s="4" t="s">
        <v>21</v>
      </c>
      <c r="B652" s="4" t="s">
        <v>41</v>
      </c>
      <c r="C652" s="4" t="s">
        <v>66</v>
      </c>
      <c r="D652" s="4" t="s">
        <v>25</v>
      </c>
      <c r="E652" s="4" t="s">
        <v>25</v>
      </c>
      <c r="F652" s="4" t="s">
        <v>25</v>
      </c>
      <c r="G652" s="4" t="s">
        <v>80</v>
      </c>
      <c r="H652" s="4" t="s">
        <v>25</v>
      </c>
      <c r="I652" s="5">
        <v>44440</v>
      </c>
      <c r="J652" s="6">
        <v>3000</v>
      </c>
      <c r="K652" s="6">
        <v>1500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4" t="s">
        <v>68</v>
      </c>
      <c r="R652" s="4">
        <v>34891</v>
      </c>
      <c r="S652" s="4" t="s">
        <v>313</v>
      </c>
      <c r="U652" s="4">
        <v>38</v>
      </c>
      <c r="V652" s="4">
        <v>0</v>
      </c>
      <c r="W652" s="4">
        <v>0</v>
      </c>
    </row>
    <row r="653" spans="1:23" ht="11.25" customHeight="1" x14ac:dyDescent="0.25">
      <c r="A653" s="4" t="s">
        <v>21</v>
      </c>
      <c r="B653" s="4" t="s">
        <v>41</v>
      </c>
      <c r="C653" s="4" t="s">
        <v>66</v>
      </c>
      <c r="D653" s="4" t="s">
        <v>25</v>
      </c>
      <c r="E653" s="4" t="s">
        <v>25</v>
      </c>
      <c r="F653" s="4" t="s">
        <v>25</v>
      </c>
      <c r="G653" s="4" t="s">
        <v>81</v>
      </c>
      <c r="H653" s="4" t="s">
        <v>25</v>
      </c>
      <c r="I653" s="5">
        <v>44440</v>
      </c>
      <c r="J653" s="6">
        <v>600</v>
      </c>
      <c r="K653" s="6">
        <v>300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4" t="s">
        <v>68</v>
      </c>
      <c r="R653" s="4">
        <v>34893</v>
      </c>
      <c r="S653" s="4" t="s">
        <v>313</v>
      </c>
      <c r="U653" s="4">
        <v>38</v>
      </c>
      <c r="V653" s="4">
        <v>0</v>
      </c>
      <c r="W653" s="4">
        <v>0</v>
      </c>
    </row>
    <row r="654" spans="1:23" ht="11.25" customHeight="1" x14ac:dyDescent="0.25">
      <c r="A654" s="4" t="s">
        <v>21</v>
      </c>
      <c r="B654" s="4" t="s">
        <v>41</v>
      </c>
      <c r="C654" s="4" t="s">
        <v>66</v>
      </c>
      <c r="D654" s="4" t="s">
        <v>25</v>
      </c>
      <c r="E654" s="4" t="s">
        <v>25</v>
      </c>
      <c r="F654" s="4" t="s">
        <v>25</v>
      </c>
      <c r="G654" s="4" t="s">
        <v>82</v>
      </c>
      <c r="H654" s="4" t="s">
        <v>25</v>
      </c>
      <c r="I654" s="5">
        <v>44440</v>
      </c>
      <c r="J654" s="6">
        <v>4800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4" t="s">
        <v>68</v>
      </c>
      <c r="R654" s="4">
        <v>43199</v>
      </c>
      <c r="S654" s="4" t="s">
        <v>313</v>
      </c>
      <c r="U654" s="4">
        <v>38</v>
      </c>
      <c r="V654" s="4">
        <v>0</v>
      </c>
      <c r="W654" s="4">
        <v>0</v>
      </c>
    </row>
    <row r="655" spans="1:23" ht="11.25" customHeight="1" x14ac:dyDescent="0.25">
      <c r="A655" s="4" t="s">
        <v>21</v>
      </c>
      <c r="B655" s="4" t="s">
        <v>41</v>
      </c>
      <c r="C655" s="4" t="s">
        <v>66</v>
      </c>
      <c r="D655" s="4" t="s">
        <v>25</v>
      </c>
      <c r="E655" s="4" t="s">
        <v>25</v>
      </c>
      <c r="F655" s="4" t="s">
        <v>25</v>
      </c>
      <c r="G655" s="4" t="s">
        <v>83</v>
      </c>
      <c r="H655" s="4" t="s">
        <v>25</v>
      </c>
      <c r="I655" s="5">
        <v>44440</v>
      </c>
      <c r="J655" s="6">
        <v>200</v>
      </c>
      <c r="K655" s="6">
        <v>100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4" t="s">
        <v>68</v>
      </c>
      <c r="S655" s="4" t="s">
        <v>313</v>
      </c>
      <c r="U655" s="4">
        <v>38</v>
      </c>
      <c r="V655" s="4">
        <v>0</v>
      </c>
      <c r="W655" s="4">
        <v>0</v>
      </c>
    </row>
    <row r="656" spans="1:23" ht="11.25" customHeight="1" x14ac:dyDescent="0.25">
      <c r="A656" s="4" t="s">
        <v>21</v>
      </c>
      <c r="B656" s="4" t="s">
        <v>41</v>
      </c>
      <c r="C656" s="4" t="s">
        <v>66</v>
      </c>
      <c r="D656" s="4" t="s">
        <v>25</v>
      </c>
      <c r="E656" s="4" t="s">
        <v>25</v>
      </c>
      <c r="F656" s="4" t="s">
        <v>25</v>
      </c>
      <c r="G656" s="4" t="s">
        <v>84</v>
      </c>
      <c r="H656" s="4" t="s">
        <v>25</v>
      </c>
      <c r="I656" s="5">
        <v>44440</v>
      </c>
      <c r="J656" s="6">
        <v>250</v>
      </c>
      <c r="K656" s="6">
        <v>125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4" t="s">
        <v>68</v>
      </c>
      <c r="S656" s="4" t="s">
        <v>313</v>
      </c>
      <c r="U656" s="4">
        <v>38</v>
      </c>
      <c r="V656" s="4">
        <v>0</v>
      </c>
      <c r="W656" s="4">
        <v>0</v>
      </c>
    </row>
    <row r="657" spans="1:23" ht="11.25" customHeight="1" x14ac:dyDescent="0.25">
      <c r="A657" s="4" t="s">
        <v>27</v>
      </c>
      <c r="B657" s="4" t="s">
        <v>41</v>
      </c>
      <c r="C657" s="4" t="s">
        <v>66</v>
      </c>
      <c r="D657" s="4" t="s">
        <v>25</v>
      </c>
      <c r="E657" s="4" t="s">
        <v>25</v>
      </c>
      <c r="F657" s="4" t="s">
        <v>25</v>
      </c>
      <c r="G657" s="4" t="s">
        <v>84</v>
      </c>
      <c r="H657" s="4" t="s">
        <v>25</v>
      </c>
      <c r="I657" s="5">
        <v>44440</v>
      </c>
      <c r="J657" s="6">
        <v>122</v>
      </c>
      <c r="K657" s="6">
        <v>122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4" t="s">
        <v>68</v>
      </c>
      <c r="S657" s="4" t="s">
        <v>313</v>
      </c>
      <c r="U657" s="4">
        <v>38</v>
      </c>
      <c r="V657" s="4">
        <v>0</v>
      </c>
      <c r="W657" s="4">
        <v>0</v>
      </c>
    </row>
    <row r="658" spans="1:23" ht="11.25" customHeight="1" x14ac:dyDescent="0.25">
      <c r="A658" s="4" t="s">
        <v>21</v>
      </c>
      <c r="B658" s="4" t="s">
        <v>41</v>
      </c>
      <c r="C658" s="4" t="s">
        <v>66</v>
      </c>
      <c r="D658" s="4" t="s">
        <v>25</v>
      </c>
      <c r="E658" s="4" t="s">
        <v>25</v>
      </c>
      <c r="F658" s="4" t="s">
        <v>25</v>
      </c>
      <c r="G658" s="4" t="s">
        <v>85</v>
      </c>
      <c r="H658" s="4" t="s">
        <v>25</v>
      </c>
      <c r="I658" s="5">
        <v>44440</v>
      </c>
      <c r="J658" s="6">
        <v>250</v>
      </c>
      <c r="K658" s="6">
        <v>125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4" t="s">
        <v>68</v>
      </c>
      <c r="R658" s="4">
        <v>52044</v>
      </c>
      <c r="S658" s="4" t="s">
        <v>313</v>
      </c>
      <c r="U658" s="4">
        <v>38</v>
      </c>
      <c r="V658" s="4">
        <v>0</v>
      </c>
      <c r="W658" s="4">
        <v>0</v>
      </c>
    </row>
    <row r="659" spans="1:23" ht="11.25" customHeight="1" x14ac:dyDescent="0.25">
      <c r="A659" s="4" t="s">
        <v>27</v>
      </c>
      <c r="B659" s="4" t="s">
        <v>41</v>
      </c>
      <c r="C659" s="4" t="s">
        <v>66</v>
      </c>
      <c r="D659" s="4" t="s">
        <v>25</v>
      </c>
      <c r="E659" s="4" t="s">
        <v>25</v>
      </c>
      <c r="F659" s="4" t="s">
        <v>25</v>
      </c>
      <c r="G659" s="4" t="s">
        <v>85</v>
      </c>
      <c r="H659" s="4" t="s">
        <v>25</v>
      </c>
      <c r="I659" s="5">
        <v>44440</v>
      </c>
      <c r="J659" s="6">
        <v>223</v>
      </c>
      <c r="K659" s="6">
        <v>223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4" t="s">
        <v>68</v>
      </c>
      <c r="R659" s="4">
        <v>52044</v>
      </c>
      <c r="S659" s="4" t="s">
        <v>313</v>
      </c>
      <c r="U659" s="4">
        <v>38</v>
      </c>
      <c r="V659" s="4">
        <v>0</v>
      </c>
      <c r="W659" s="4">
        <v>0</v>
      </c>
    </row>
    <row r="660" spans="1:23" ht="11.25" customHeight="1" x14ac:dyDescent="0.25">
      <c r="A660" s="4" t="s">
        <v>21</v>
      </c>
      <c r="B660" s="4" t="s">
        <v>41</v>
      </c>
      <c r="C660" s="4" t="s">
        <v>66</v>
      </c>
      <c r="D660" s="4" t="s">
        <v>25</v>
      </c>
      <c r="E660" s="4" t="s">
        <v>25</v>
      </c>
      <c r="F660" s="4" t="s">
        <v>25</v>
      </c>
      <c r="G660" s="4" t="s">
        <v>72</v>
      </c>
      <c r="H660" s="4" t="s">
        <v>25</v>
      </c>
      <c r="I660" s="5">
        <v>44470</v>
      </c>
      <c r="J660" s="6">
        <v>4500</v>
      </c>
      <c r="K660" s="6">
        <v>2250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4" t="s">
        <v>68</v>
      </c>
      <c r="R660" s="4">
        <v>29075</v>
      </c>
      <c r="S660" s="4" t="s">
        <v>314</v>
      </c>
      <c r="U660" s="4">
        <v>38</v>
      </c>
      <c r="V660" s="4">
        <v>0</v>
      </c>
      <c r="W660" s="4">
        <v>0</v>
      </c>
    </row>
    <row r="661" spans="1:23" ht="11.25" customHeight="1" x14ac:dyDescent="0.25">
      <c r="A661" s="4" t="s">
        <v>21</v>
      </c>
      <c r="B661" s="4" t="s">
        <v>41</v>
      </c>
      <c r="C661" s="4" t="s">
        <v>66</v>
      </c>
      <c r="D661" s="4" t="s">
        <v>25</v>
      </c>
      <c r="E661" s="4" t="s">
        <v>25</v>
      </c>
      <c r="F661" s="4" t="s">
        <v>25</v>
      </c>
      <c r="G661" s="4" t="s">
        <v>74</v>
      </c>
      <c r="H661" s="4" t="s">
        <v>25</v>
      </c>
      <c r="I661" s="5">
        <v>44470</v>
      </c>
      <c r="J661" s="6">
        <v>3000</v>
      </c>
      <c r="K661" s="6">
        <v>1500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4" t="s">
        <v>68</v>
      </c>
      <c r="S661" s="4" t="s">
        <v>314</v>
      </c>
      <c r="U661" s="4">
        <v>38</v>
      </c>
      <c r="V661" s="4">
        <v>0</v>
      </c>
      <c r="W661" s="4">
        <v>0</v>
      </c>
    </row>
    <row r="662" spans="1:23" ht="11.25" customHeight="1" x14ac:dyDescent="0.25">
      <c r="A662" s="4" t="s">
        <v>21</v>
      </c>
      <c r="B662" s="4" t="s">
        <v>41</v>
      </c>
      <c r="C662" s="4" t="s">
        <v>66</v>
      </c>
      <c r="D662" s="4" t="s">
        <v>25</v>
      </c>
      <c r="E662" s="4" t="s">
        <v>25</v>
      </c>
      <c r="F662" s="4" t="s">
        <v>25</v>
      </c>
      <c r="G662" s="4" t="s">
        <v>80</v>
      </c>
      <c r="H662" s="4" t="s">
        <v>25</v>
      </c>
      <c r="I662" s="5">
        <v>44470</v>
      </c>
      <c r="J662" s="6">
        <v>3884</v>
      </c>
      <c r="K662" s="6">
        <v>1942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4" t="s">
        <v>68</v>
      </c>
      <c r="R662" s="4">
        <v>34891</v>
      </c>
      <c r="S662" s="4" t="s">
        <v>314</v>
      </c>
      <c r="U662" s="4">
        <v>38</v>
      </c>
      <c r="V662" s="4">
        <v>0</v>
      </c>
      <c r="W662" s="4">
        <v>0</v>
      </c>
    </row>
    <row r="663" spans="1:23" ht="11.25" customHeight="1" x14ac:dyDescent="0.25">
      <c r="A663" s="4" t="s">
        <v>21</v>
      </c>
      <c r="B663" s="4" t="s">
        <v>41</v>
      </c>
      <c r="C663" s="4" t="s">
        <v>66</v>
      </c>
      <c r="D663" s="4" t="s">
        <v>25</v>
      </c>
      <c r="E663" s="4" t="s">
        <v>25</v>
      </c>
      <c r="F663" s="4" t="s">
        <v>25</v>
      </c>
      <c r="G663" s="4" t="s">
        <v>81</v>
      </c>
      <c r="H663" s="4" t="s">
        <v>25</v>
      </c>
      <c r="I663" s="5">
        <v>44470</v>
      </c>
      <c r="J663" s="6">
        <v>600</v>
      </c>
      <c r="K663" s="6">
        <v>300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4" t="s">
        <v>68</v>
      </c>
      <c r="R663" s="4">
        <v>34893</v>
      </c>
      <c r="S663" s="4" t="s">
        <v>314</v>
      </c>
      <c r="U663" s="4">
        <v>38</v>
      </c>
      <c r="V663" s="4">
        <v>0</v>
      </c>
      <c r="W663" s="4">
        <v>0</v>
      </c>
    </row>
    <row r="664" spans="1:23" ht="11.25" customHeight="1" x14ac:dyDescent="0.25">
      <c r="A664" s="4" t="s">
        <v>21</v>
      </c>
      <c r="B664" s="4" t="s">
        <v>41</v>
      </c>
      <c r="C664" s="4" t="s">
        <v>66</v>
      </c>
      <c r="D664" s="4" t="s">
        <v>25</v>
      </c>
      <c r="E664" s="4" t="s">
        <v>25</v>
      </c>
      <c r="F664" s="4" t="s">
        <v>25</v>
      </c>
      <c r="G664" s="4" t="s">
        <v>82</v>
      </c>
      <c r="H664" s="4" t="s">
        <v>25</v>
      </c>
      <c r="I664" s="5">
        <v>44470</v>
      </c>
      <c r="J664" s="6">
        <v>4800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4" t="s">
        <v>68</v>
      </c>
      <c r="R664" s="4">
        <v>43199</v>
      </c>
      <c r="S664" s="4" t="s">
        <v>314</v>
      </c>
      <c r="U664" s="4">
        <v>38</v>
      </c>
      <c r="V664" s="4">
        <v>0</v>
      </c>
      <c r="W664" s="4">
        <v>0</v>
      </c>
    </row>
    <row r="665" spans="1:23" ht="11.25" customHeight="1" x14ac:dyDescent="0.25">
      <c r="A665" s="4" t="s">
        <v>21</v>
      </c>
      <c r="B665" s="4" t="s">
        <v>41</v>
      </c>
      <c r="C665" s="4" t="s">
        <v>66</v>
      </c>
      <c r="D665" s="4" t="s">
        <v>25</v>
      </c>
      <c r="E665" s="4" t="s">
        <v>25</v>
      </c>
      <c r="F665" s="4" t="s">
        <v>25</v>
      </c>
      <c r="G665" s="4" t="s">
        <v>83</v>
      </c>
      <c r="H665" s="4" t="s">
        <v>25</v>
      </c>
      <c r="I665" s="5">
        <v>44470</v>
      </c>
      <c r="J665" s="6">
        <v>200</v>
      </c>
      <c r="K665" s="6">
        <v>100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4" t="s">
        <v>68</v>
      </c>
      <c r="S665" s="4" t="s">
        <v>314</v>
      </c>
      <c r="U665" s="4">
        <v>38</v>
      </c>
      <c r="V665" s="4">
        <v>0</v>
      </c>
      <c r="W665" s="4">
        <v>0</v>
      </c>
    </row>
    <row r="666" spans="1:23" ht="11.25" customHeight="1" x14ac:dyDescent="0.25">
      <c r="A666" s="4" t="s">
        <v>21</v>
      </c>
      <c r="B666" s="4" t="s">
        <v>41</v>
      </c>
      <c r="C666" s="4" t="s">
        <v>66</v>
      </c>
      <c r="D666" s="4" t="s">
        <v>25</v>
      </c>
      <c r="E666" s="4" t="s">
        <v>25</v>
      </c>
      <c r="F666" s="4" t="s">
        <v>25</v>
      </c>
      <c r="G666" s="4" t="s">
        <v>84</v>
      </c>
      <c r="H666" s="4" t="s">
        <v>25</v>
      </c>
      <c r="I666" s="5">
        <v>44470</v>
      </c>
      <c r="J666" s="6">
        <v>250</v>
      </c>
      <c r="K666" s="6">
        <v>125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4" t="s">
        <v>68</v>
      </c>
      <c r="S666" s="4" t="s">
        <v>314</v>
      </c>
      <c r="U666" s="4">
        <v>38</v>
      </c>
      <c r="V666" s="4">
        <v>0</v>
      </c>
      <c r="W666" s="4">
        <v>0</v>
      </c>
    </row>
    <row r="667" spans="1:23" ht="11.25" customHeight="1" x14ac:dyDescent="0.25">
      <c r="A667" s="4" t="s">
        <v>21</v>
      </c>
      <c r="B667" s="4" t="s">
        <v>41</v>
      </c>
      <c r="C667" s="4" t="s">
        <v>66</v>
      </c>
      <c r="D667" s="4" t="s">
        <v>25</v>
      </c>
      <c r="E667" s="4" t="s">
        <v>25</v>
      </c>
      <c r="F667" s="4" t="s">
        <v>25</v>
      </c>
      <c r="G667" s="4" t="s">
        <v>85</v>
      </c>
      <c r="H667" s="4" t="s">
        <v>25</v>
      </c>
      <c r="I667" s="5">
        <v>44470</v>
      </c>
      <c r="J667" s="6">
        <v>250</v>
      </c>
      <c r="K667" s="6">
        <v>125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4" t="s">
        <v>68</v>
      </c>
      <c r="R667" s="4">
        <v>52044</v>
      </c>
      <c r="S667" s="4" t="s">
        <v>314</v>
      </c>
      <c r="U667" s="4">
        <v>38</v>
      </c>
      <c r="V667" s="4">
        <v>0</v>
      </c>
      <c r="W667" s="4">
        <v>0</v>
      </c>
    </row>
    <row r="668" spans="1:23" ht="11.25" customHeight="1" x14ac:dyDescent="0.25">
      <c r="A668" s="4" t="s">
        <v>21</v>
      </c>
      <c r="B668" s="4" t="s">
        <v>41</v>
      </c>
      <c r="C668" s="4" t="s">
        <v>66</v>
      </c>
      <c r="D668" s="4" t="s">
        <v>25</v>
      </c>
      <c r="E668" s="4" t="s">
        <v>25</v>
      </c>
      <c r="F668" s="4" t="s">
        <v>25</v>
      </c>
      <c r="G668" s="4" t="s">
        <v>72</v>
      </c>
      <c r="H668" s="4" t="s">
        <v>25</v>
      </c>
      <c r="I668" s="5">
        <v>44501</v>
      </c>
      <c r="J668" s="6">
        <v>4500</v>
      </c>
      <c r="K668" s="6">
        <v>2250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4" t="s">
        <v>68</v>
      </c>
      <c r="R668" s="4">
        <v>29075</v>
      </c>
      <c r="S668" s="4" t="s">
        <v>315</v>
      </c>
      <c r="U668" s="4">
        <v>38</v>
      </c>
      <c r="V668" s="4">
        <v>0</v>
      </c>
      <c r="W668" s="4">
        <v>0</v>
      </c>
    </row>
    <row r="669" spans="1:23" ht="11.25" customHeight="1" x14ac:dyDescent="0.25">
      <c r="A669" s="4" t="s">
        <v>21</v>
      </c>
      <c r="B669" s="4" t="s">
        <v>41</v>
      </c>
      <c r="C669" s="4" t="s">
        <v>66</v>
      </c>
      <c r="D669" s="4" t="s">
        <v>25</v>
      </c>
      <c r="E669" s="4" t="s">
        <v>25</v>
      </c>
      <c r="F669" s="4" t="s">
        <v>25</v>
      </c>
      <c r="G669" s="4" t="s">
        <v>74</v>
      </c>
      <c r="H669" s="4" t="s">
        <v>25</v>
      </c>
      <c r="I669" s="5">
        <v>44501</v>
      </c>
      <c r="J669" s="6">
        <v>3000</v>
      </c>
      <c r="K669" s="6">
        <v>1500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4" t="s">
        <v>68</v>
      </c>
      <c r="S669" s="4" t="s">
        <v>315</v>
      </c>
      <c r="U669" s="4">
        <v>38</v>
      </c>
      <c r="V669" s="4">
        <v>0</v>
      </c>
      <c r="W669" s="4">
        <v>0</v>
      </c>
    </row>
    <row r="670" spans="1:23" ht="11.25" customHeight="1" x14ac:dyDescent="0.25">
      <c r="A670" s="4" t="s">
        <v>21</v>
      </c>
      <c r="B670" s="4" t="s">
        <v>41</v>
      </c>
      <c r="C670" s="4" t="s">
        <v>66</v>
      </c>
      <c r="D670" s="4" t="s">
        <v>25</v>
      </c>
      <c r="E670" s="4" t="s">
        <v>25</v>
      </c>
      <c r="F670" s="4" t="s">
        <v>25</v>
      </c>
      <c r="G670" s="4" t="s">
        <v>80</v>
      </c>
      <c r="H670" s="4" t="s">
        <v>25</v>
      </c>
      <c r="I670" s="5">
        <v>44501</v>
      </c>
      <c r="J670" s="6">
        <v>4641</v>
      </c>
      <c r="K670" s="6">
        <v>2320.5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4" t="s">
        <v>68</v>
      </c>
      <c r="R670" s="4">
        <v>34891</v>
      </c>
      <c r="S670" s="4" t="s">
        <v>315</v>
      </c>
      <c r="U670" s="4">
        <v>38</v>
      </c>
      <c r="V670" s="4">
        <v>0</v>
      </c>
      <c r="W670" s="4">
        <v>0</v>
      </c>
    </row>
    <row r="671" spans="1:23" ht="11.25" customHeight="1" x14ac:dyDescent="0.25">
      <c r="A671" s="4" t="s">
        <v>21</v>
      </c>
      <c r="B671" s="4" t="s">
        <v>41</v>
      </c>
      <c r="C671" s="4" t="s">
        <v>66</v>
      </c>
      <c r="D671" s="4" t="s">
        <v>25</v>
      </c>
      <c r="E671" s="4" t="s">
        <v>25</v>
      </c>
      <c r="F671" s="4" t="s">
        <v>25</v>
      </c>
      <c r="G671" s="4" t="s">
        <v>81</v>
      </c>
      <c r="H671" s="4" t="s">
        <v>25</v>
      </c>
      <c r="I671" s="5">
        <v>44501</v>
      </c>
      <c r="J671" s="6">
        <v>1025</v>
      </c>
      <c r="K671" s="6">
        <v>512.5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4" t="s">
        <v>68</v>
      </c>
      <c r="R671" s="4">
        <v>34893</v>
      </c>
      <c r="S671" s="4" t="s">
        <v>315</v>
      </c>
      <c r="U671" s="4">
        <v>38</v>
      </c>
      <c r="V671" s="4">
        <v>0</v>
      </c>
      <c r="W671" s="4">
        <v>0</v>
      </c>
    </row>
    <row r="672" spans="1:23" ht="11.25" customHeight="1" x14ac:dyDescent="0.25">
      <c r="A672" s="4" t="s">
        <v>27</v>
      </c>
      <c r="B672" s="4" t="s">
        <v>41</v>
      </c>
      <c r="C672" s="4" t="s">
        <v>66</v>
      </c>
      <c r="D672" s="4" t="s">
        <v>25</v>
      </c>
      <c r="E672" s="4" t="s">
        <v>25</v>
      </c>
      <c r="F672" s="4" t="s">
        <v>25</v>
      </c>
      <c r="G672" s="4" t="s">
        <v>81</v>
      </c>
      <c r="H672" s="4" t="s">
        <v>25</v>
      </c>
      <c r="I672" s="5">
        <v>44501</v>
      </c>
      <c r="J672" s="6">
        <v>297</v>
      </c>
      <c r="K672" s="6">
        <v>297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4" t="s">
        <v>68</v>
      </c>
      <c r="R672" s="4">
        <v>34893</v>
      </c>
      <c r="S672" s="4" t="s">
        <v>315</v>
      </c>
      <c r="U672" s="4">
        <v>38</v>
      </c>
      <c r="V672" s="4">
        <v>0</v>
      </c>
      <c r="W672" s="4">
        <v>0</v>
      </c>
    </row>
    <row r="673" spans="1:23" ht="11.25" customHeight="1" x14ac:dyDescent="0.25">
      <c r="A673" s="4" t="s">
        <v>21</v>
      </c>
      <c r="B673" s="4" t="s">
        <v>41</v>
      </c>
      <c r="C673" s="4" t="s">
        <v>66</v>
      </c>
      <c r="D673" s="4" t="s">
        <v>25</v>
      </c>
      <c r="E673" s="4" t="s">
        <v>25</v>
      </c>
      <c r="F673" s="4" t="s">
        <v>25</v>
      </c>
      <c r="G673" s="4" t="s">
        <v>82</v>
      </c>
      <c r="H673" s="4" t="s">
        <v>25</v>
      </c>
      <c r="I673" s="5">
        <v>44501</v>
      </c>
      <c r="J673" s="6">
        <v>4800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4" t="s">
        <v>68</v>
      </c>
      <c r="R673" s="4">
        <v>43199</v>
      </c>
      <c r="S673" s="4" t="s">
        <v>315</v>
      </c>
      <c r="U673" s="4">
        <v>38</v>
      </c>
      <c r="V673" s="4">
        <v>0</v>
      </c>
      <c r="W673" s="4">
        <v>0</v>
      </c>
    </row>
    <row r="674" spans="1:23" ht="11.25" customHeight="1" x14ac:dyDescent="0.25">
      <c r="A674" s="4" t="s">
        <v>21</v>
      </c>
      <c r="B674" s="4" t="s">
        <v>41</v>
      </c>
      <c r="C674" s="4" t="s">
        <v>66</v>
      </c>
      <c r="D674" s="4" t="s">
        <v>25</v>
      </c>
      <c r="E674" s="4" t="s">
        <v>25</v>
      </c>
      <c r="F674" s="4" t="s">
        <v>25</v>
      </c>
      <c r="G674" s="4" t="s">
        <v>83</v>
      </c>
      <c r="H674" s="4" t="s">
        <v>25</v>
      </c>
      <c r="I674" s="5">
        <v>44501</v>
      </c>
      <c r="J674" s="6">
        <v>1645</v>
      </c>
      <c r="K674" s="6">
        <v>822.5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4" t="s">
        <v>68</v>
      </c>
      <c r="S674" s="4" t="s">
        <v>315</v>
      </c>
      <c r="U674" s="4">
        <v>38</v>
      </c>
      <c r="V674" s="4">
        <v>0</v>
      </c>
      <c r="W674" s="4">
        <v>0</v>
      </c>
    </row>
    <row r="675" spans="1:23" ht="11.25" customHeight="1" x14ac:dyDescent="0.25">
      <c r="A675" s="4" t="s">
        <v>27</v>
      </c>
      <c r="B675" s="4" t="s">
        <v>41</v>
      </c>
      <c r="C675" s="4" t="s">
        <v>66</v>
      </c>
      <c r="D675" s="4" t="s">
        <v>25</v>
      </c>
      <c r="E675" s="4" t="s">
        <v>25</v>
      </c>
      <c r="F675" s="4" t="s">
        <v>25</v>
      </c>
      <c r="G675" s="4" t="s">
        <v>83</v>
      </c>
      <c r="H675" s="4" t="s">
        <v>25</v>
      </c>
      <c r="I675" s="5">
        <v>44501</v>
      </c>
      <c r="J675" s="6">
        <v>270</v>
      </c>
      <c r="K675" s="6">
        <v>270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4" t="s">
        <v>68</v>
      </c>
      <c r="S675" s="4" t="s">
        <v>315</v>
      </c>
      <c r="U675" s="4">
        <v>38</v>
      </c>
      <c r="V675" s="4">
        <v>0</v>
      </c>
      <c r="W675" s="4">
        <v>0</v>
      </c>
    </row>
    <row r="676" spans="1:23" ht="11.25" customHeight="1" x14ac:dyDescent="0.25">
      <c r="A676" s="4" t="s">
        <v>21</v>
      </c>
      <c r="B676" s="4" t="s">
        <v>41</v>
      </c>
      <c r="C676" s="4" t="s">
        <v>66</v>
      </c>
      <c r="D676" s="4" t="s">
        <v>25</v>
      </c>
      <c r="E676" s="4" t="s">
        <v>25</v>
      </c>
      <c r="F676" s="4" t="s">
        <v>25</v>
      </c>
      <c r="G676" s="4" t="s">
        <v>84</v>
      </c>
      <c r="H676" s="4" t="s">
        <v>25</v>
      </c>
      <c r="I676" s="5">
        <v>44501</v>
      </c>
      <c r="J676" s="6">
        <v>250</v>
      </c>
      <c r="K676" s="6">
        <v>125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4" t="s">
        <v>68</v>
      </c>
      <c r="S676" s="4" t="s">
        <v>315</v>
      </c>
      <c r="U676" s="4">
        <v>38</v>
      </c>
      <c r="V676" s="4">
        <v>0</v>
      </c>
      <c r="W676" s="4">
        <v>0</v>
      </c>
    </row>
    <row r="677" spans="1:23" ht="11.25" customHeight="1" x14ac:dyDescent="0.25">
      <c r="A677" s="4" t="s">
        <v>21</v>
      </c>
      <c r="B677" s="4" t="s">
        <v>41</v>
      </c>
      <c r="C677" s="4" t="s">
        <v>66</v>
      </c>
      <c r="D677" s="4" t="s">
        <v>25</v>
      </c>
      <c r="E677" s="4" t="s">
        <v>25</v>
      </c>
      <c r="F677" s="4" t="s">
        <v>25</v>
      </c>
      <c r="G677" s="4" t="s">
        <v>85</v>
      </c>
      <c r="H677" s="4" t="s">
        <v>25</v>
      </c>
      <c r="I677" s="5">
        <v>44501</v>
      </c>
      <c r="J677" s="6">
        <v>250</v>
      </c>
      <c r="K677" s="6">
        <v>125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4" t="s">
        <v>68</v>
      </c>
      <c r="R677" s="4">
        <v>52044</v>
      </c>
      <c r="S677" s="4" t="s">
        <v>315</v>
      </c>
      <c r="U677" s="4">
        <v>38</v>
      </c>
      <c r="V677" s="4">
        <v>0</v>
      </c>
      <c r="W677" s="4">
        <v>0</v>
      </c>
    </row>
    <row r="678" spans="1:23" ht="11.25" customHeight="1" x14ac:dyDescent="0.25">
      <c r="A678" s="4" t="s">
        <v>21</v>
      </c>
      <c r="B678" s="4" t="s">
        <v>41</v>
      </c>
      <c r="C678" s="4" t="s">
        <v>66</v>
      </c>
      <c r="D678" s="4" t="s">
        <v>25</v>
      </c>
      <c r="E678" s="4" t="s">
        <v>25</v>
      </c>
      <c r="F678" s="4" t="s">
        <v>25</v>
      </c>
      <c r="G678" s="4" t="s">
        <v>72</v>
      </c>
      <c r="H678" s="4" t="s">
        <v>25</v>
      </c>
      <c r="I678" s="5">
        <v>44531</v>
      </c>
      <c r="J678" s="6">
        <v>4500</v>
      </c>
      <c r="K678" s="6">
        <v>2250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4" t="s">
        <v>68</v>
      </c>
      <c r="R678" s="4">
        <v>29075</v>
      </c>
      <c r="S678" s="4" t="s">
        <v>316</v>
      </c>
      <c r="U678" s="4">
        <v>38</v>
      </c>
      <c r="V678" s="4">
        <v>0</v>
      </c>
      <c r="W678" s="4">
        <v>0</v>
      </c>
    </row>
    <row r="679" spans="1:23" ht="11.25" customHeight="1" x14ac:dyDescent="0.25">
      <c r="A679" s="4" t="s">
        <v>21</v>
      </c>
      <c r="B679" s="4" t="s">
        <v>41</v>
      </c>
      <c r="C679" s="4" t="s">
        <v>66</v>
      </c>
      <c r="D679" s="4" t="s">
        <v>25</v>
      </c>
      <c r="E679" s="4" t="s">
        <v>25</v>
      </c>
      <c r="F679" s="4" t="s">
        <v>25</v>
      </c>
      <c r="G679" s="4" t="s">
        <v>74</v>
      </c>
      <c r="H679" s="4" t="s">
        <v>25</v>
      </c>
      <c r="I679" s="5">
        <v>44531</v>
      </c>
      <c r="J679" s="6">
        <v>3000</v>
      </c>
      <c r="K679" s="6">
        <v>1500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4" t="s">
        <v>68</v>
      </c>
      <c r="S679" s="4" t="s">
        <v>316</v>
      </c>
      <c r="U679" s="4">
        <v>38</v>
      </c>
      <c r="V679" s="4">
        <v>0</v>
      </c>
      <c r="W679" s="4">
        <v>0</v>
      </c>
    </row>
    <row r="680" spans="1:23" ht="11.25" customHeight="1" x14ac:dyDescent="0.25">
      <c r="A680" s="4" t="s">
        <v>21</v>
      </c>
      <c r="B680" s="4" t="s">
        <v>41</v>
      </c>
      <c r="C680" s="4" t="s">
        <v>66</v>
      </c>
      <c r="D680" s="4" t="s">
        <v>25</v>
      </c>
      <c r="E680" s="4" t="s">
        <v>25</v>
      </c>
      <c r="F680" s="4" t="s">
        <v>25</v>
      </c>
      <c r="G680" s="4" t="s">
        <v>80</v>
      </c>
      <c r="H680" s="4" t="s">
        <v>25</v>
      </c>
      <c r="I680" s="5">
        <v>44531</v>
      </c>
      <c r="J680" s="6">
        <v>4702</v>
      </c>
      <c r="K680" s="6">
        <v>2351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4" t="s">
        <v>68</v>
      </c>
      <c r="R680" s="4">
        <v>34891</v>
      </c>
      <c r="S680" s="4" t="s">
        <v>316</v>
      </c>
      <c r="U680" s="4">
        <v>38</v>
      </c>
      <c r="V680" s="4">
        <v>0</v>
      </c>
      <c r="W680" s="4">
        <v>0</v>
      </c>
    </row>
    <row r="681" spans="1:23" ht="11.25" customHeight="1" x14ac:dyDescent="0.25">
      <c r="A681" s="4" t="s">
        <v>21</v>
      </c>
      <c r="B681" s="4" t="s">
        <v>41</v>
      </c>
      <c r="C681" s="4" t="s">
        <v>66</v>
      </c>
      <c r="D681" s="4" t="s">
        <v>25</v>
      </c>
      <c r="E681" s="4" t="s">
        <v>25</v>
      </c>
      <c r="F681" s="4" t="s">
        <v>25</v>
      </c>
      <c r="G681" s="4" t="s">
        <v>81</v>
      </c>
      <c r="H681" s="4" t="s">
        <v>25</v>
      </c>
      <c r="I681" s="5">
        <v>44531</v>
      </c>
      <c r="J681" s="6">
        <v>600</v>
      </c>
      <c r="K681" s="6">
        <v>300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4" t="s">
        <v>68</v>
      </c>
      <c r="R681" s="4">
        <v>34893</v>
      </c>
      <c r="S681" s="4" t="s">
        <v>316</v>
      </c>
      <c r="U681" s="4">
        <v>38</v>
      </c>
      <c r="V681" s="4">
        <v>0</v>
      </c>
      <c r="W681" s="4">
        <v>0</v>
      </c>
    </row>
    <row r="682" spans="1:23" ht="11.25" customHeight="1" x14ac:dyDescent="0.25">
      <c r="A682" s="4" t="s">
        <v>27</v>
      </c>
      <c r="B682" s="4" t="s">
        <v>41</v>
      </c>
      <c r="C682" s="4" t="s">
        <v>66</v>
      </c>
      <c r="D682" s="4" t="s">
        <v>25</v>
      </c>
      <c r="E682" s="4" t="s">
        <v>25</v>
      </c>
      <c r="F682" s="4" t="s">
        <v>25</v>
      </c>
      <c r="G682" s="4" t="s">
        <v>81</v>
      </c>
      <c r="H682" s="4" t="s">
        <v>25</v>
      </c>
      <c r="I682" s="5">
        <v>44531</v>
      </c>
      <c r="J682" s="6">
        <v>233</v>
      </c>
      <c r="K682" s="6">
        <v>233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4" t="s">
        <v>68</v>
      </c>
      <c r="R682" s="4">
        <v>34893</v>
      </c>
      <c r="S682" s="4" t="s">
        <v>316</v>
      </c>
      <c r="U682" s="4">
        <v>38</v>
      </c>
      <c r="V682" s="4">
        <v>0</v>
      </c>
      <c r="W682" s="4">
        <v>0</v>
      </c>
    </row>
    <row r="683" spans="1:23" ht="11.25" customHeight="1" x14ac:dyDescent="0.25">
      <c r="A683" s="4" t="s">
        <v>21</v>
      </c>
      <c r="B683" s="4" t="s">
        <v>41</v>
      </c>
      <c r="C683" s="4" t="s">
        <v>66</v>
      </c>
      <c r="D683" s="4" t="s">
        <v>25</v>
      </c>
      <c r="E683" s="4" t="s">
        <v>25</v>
      </c>
      <c r="F683" s="4" t="s">
        <v>25</v>
      </c>
      <c r="G683" s="4" t="s">
        <v>82</v>
      </c>
      <c r="H683" s="4" t="s">
        <v>25</v>
      </c>
      <c r="I683" s="5">
        <v>44531</v>
      </c>
      <c r="J683" s="6">
        <v>4800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4" t="s">
        <v>68</v>
      </c>
      <c r="R683" s="4">
        <v>43199</v>
      </c>
      <c r="S683" s="4" t="s">
        <v>316</v>
      </c>
      <c r="U683" s="4">
        <v>38</v>
      </c>
      <c r="V683" s="4">
        <v>0</v>
      </c>
      <c r="W683" s="4">
        <v>0</v>
      </c>
    </row>
    <row r="684" spans="1:23" ht="11.25" customHeight="1" x14ac:dyDescent="0.25">
      <c r="A684" s="4" t="s">
        <v>21</v>
      </c>
      <c r="B684" s="4" t="s">
        <v>41</v>
      </c>
      <c r="C684" s="4" t="s">
        <v>66</v>
      </c>
      <c r="D684" s="4" t="s">
        <v>25</v>
      </c>
      <c r="E684" s="4" t="s">
        <v>25</v>
      </c>
      <c r="F684" s="4" t="s">
        <v>25</v>
      </c>
      <c r="G684" s="4" t="s">
        <v>83</v>
      </c>
      <c r="H684" s="4" t="s">
        <v>25</v>
      </c>
      <c r="I684" s="5">
        <v>44531</v>
      </c>
      <c r="J684" s="6">
        <v>2400</v>
      </c>
      <c r="K684" s="6">
        <v>1200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4" t="s">
        <v>68</v>
      </c>
      <c r="S684" s="4" t="s">
        <v>316</v>
      </c>
      <c r="U684" s="4">
        <v>38</v>
      </c>
      <c r="V684" s="4">
        <v>0</v>
      </c>
      <c r="W684" s="4">
        <v>0</v>
      </c>
    </row>
    <row r="685" spans="1:23" ht="11.25" customHeight="1" x14ac:dyDescent="0.25">
      <c r="A685" s="4" t="s">
        <v>21</v>
      </c>
      <c r="B685" s="4" t="s">
        <v>41</v>
      </c>
      <c r="C685" s="4" t="s">
        <v>66</v>
      </c>
      <c r="D685" s="4" t="s">
        <v>25</v>
      </c>
      <c r="E685" s="4" t="s">
        <v>25</v>
      </c>
      <c r="F685" s="4" t="s">
        <v>25</v>
      </c>
      <c r="G685" s="4" t="s">
        <v>84</v>
      </c>
      <c r="H685" s="4" t="s">
        <v>25</v>
      </c>
      <c r="I685" s="5">
        <v>44531</v>
      </c>
      <c r="J685" s="6">
        <v>250</v>
      </c>
      <c r="K685" s="6">
        <v>125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4" t="s">
        <v>68</v>
      </c>
      <c r="S685" s="4" t="s">
        <v>316</v>
      </c>
      <c r="U685" s="4">
        <v>38</v>
      </c>
      <c r="V685" s="4">
        <v>0</v>
      </c>
      <c r="W685" s="4">
        <v>0</v>
      </c>
    </row>
    <row r="686" spans="1:23" ht="11.25" customHeight="1" x14ac:dyDescent="0.25">
      <c r="A686" s="4" t="s">
        <v>21</v>
      </c>
      <c r="B686" s="4" t="s">
        <v>41</v>
      </c>
      <c r="C686" s="4" t="s">
        <v>66</v>
      </c>
      <c r="D686" s="4" t="s">
        <v>25</v>
      </c>
      <c r="E686" s="4" t="s">
        <v>25</v>
      </c>
      <c r="F686" s="4" t="s">
        <v>25</v>
      </c>
      <c r="G686" s="4" t="s">
        <v>85</v>
      </c>
      <c r="H686" s="4" t="s">
        <v>25</v>
      </c>
      <c r="I686" s="5">
        <v>44531</v>
      </c>
      <c r="J686" s="6">
        <v>250</v>
      </c>
      <c r="K686" s="6">
        <v>125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4" t="s">
        <v>68</v>
      </c>
      <c r="R686" s="4">
        <v>52044</v>
      </c>
      <c r="S686" s="4" t="s">
        <v>316</v>
      </c>
      <c r="U686" s="4">
        <v>38</v>
      </c>
      <c r="V686" s="4">
        <v>0</v>
      </c>
      <c r="W686" s="4">
        <v>0</v>
      </c>
    </row>
    <row r="687" spans="1:23" ht="11.25" customHeight="1" x14ac:dyDescent="0.25">
      <c r="A687" s="4" t="s">
        <v>21</v>
      </c>
      <c r="B687" s="4" t="s">
        <v>41</v>
      </c>
      <c r="C687" s="4" t="s">
        <v>66</v>
      </c>
      <c r="D687" s="4" t="s">
        <v>25</v>
      </c>
      <c r="E687" s="4" t="s">
        <v>25</v>
      </c>
      <c r="F687" s="4" t="s">
        <v>25</v>
      </c>
      <c r="G687" s="4" t="s">
        <v>72</v>
      </c>
      <c r="H687" s="4" t="s">
        <v>25</v>
      </c>
      <c r="I687" s="5">
        <v>44562</v>
      </c>
      <c r="J687" s="6">
        <v>4500</v>
      </c>
      <c r="K687" s="6">
        <v>2250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4" t="s">
        <v>68</v>
      </c>
      <c r="R687" s="4">
        <v>29075</v>
      </c>
      <c r="S687" s="4" t="s">
        <v>317</v>
      </c>
      <c r="U687" s="4">
        <v>38</v>
      </c>
      <c r="V687" s="4">
        <v>0</v>
      </c>
      <c r="W687" s="4">
        <v>0</v>
      </c>
    </row>
    <row r="688" spans="1:23" ht="11.25" customHeight="1" x14ac:dyDescent="0.25">
      <c r="A688" s="4" t="s">
        <v>21</v>
      </c>
      <c r="B688" s="4" t="s">
        <v>41</v>
      </c>
      <c r="C688" s="4" t="s">
        <v>66</v>
      </c>
      <c r="D688" s="4" t="s">
        <v>25</v>
      </c>
      <c r="E688" s="4" t="s">
        <v>25</v>
      </c>
      <c r="F688" s="4" t="s">
        <v>25</v>
      </c>
      <c r="G688" s="4" t="s">
        <v>74</v>
      </c>
      <c r="H688" s="4" t="s">
        <v>25</v>
      </c>
      <c r="I688" s="5">
        <v>44562</v>
      </c>
      <c r="J688" s="6">
        <v>3000</v>
      </c>
      <c r="K688" s="6">
        <v>1500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4" t="s">
        <v>68</v>
      </c>
      <c r="S688" s="4" t="s">
        <v>317</v>
      </c>
      <c r="U688" s="4">
        <v>38</v>
      </c>
      <c r="V688" s="4">
        <v>0</v>
      </c>
      <c r="W688" s="4">
        <v>0</v>
      </c>
    </row>
    <row r="689" spans="1:23" ht="11.25" customHeight="1" x14ac:dyDescent="0.25">
      <c r="A689" s="4" t="s">
        <v>21</v>
      </c>
      <c r="B689" s="4" t="s">
        <v>41</v>
      </c>
      <c r="C689" s="4" t="s">
        <v>66</v>
      </c>
      <c r="D689" s="4" t="s">
        <v>25</v>
      </c>
      <c r="E689" s="4" t="s">
        <v>25</v>
      </c>
      <c r="F689" s="4" t="s">
        <v>25</v>
      </c>
      <c r="G689" s="4" t="s">
        <v>80</v>
      </c>
      <c r="H689" s="4" t="s">
        <v>25</v>
      </c>
      <c r="I689" s="5">
        <v>44562</v>
      </c>
      <c r="J689" s="6">
        <v>4689</v>
      </c>
      <c r="K689" s="6">
        <v>2344.5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4" t="s">
        <v>68</v>
      </c>
      <c r="R689" s="4">
        <v>34891</v>
      </c>
      <c r="S689" s="4" t="s">
        <v>317</v>
      </c>
      <c r="U689" s="4">
        <v>38</v>
      </c>
      <c r="V689" s="4">
        <v>0</v>
      </c>
      <c r="W689" s="4">
        <v>0</v>
      </c>
    </row>
    <row r="690" spans="1:23" ht="11.25" customHeight="1" x14ac:dyDescent="0.25">
      <c r="A690" s="4" t="s">
        <v>21</v>
      </c>
      <c r="B690" s="4" t="s">
        <v>41</v>
      </c>
      <c r="C690" s="4" t="s">
        <v>66</v>
      </c>
      <c r="D690" s="4" t="s">
        <v>25</v>
      </c>
      <c r="E690" s="4" t="s">
        <v>25</v>
      </c>
      <c r="F690" s="4" t="s">
        <v>25</v>
      </c>
      <c r="G690" s="4" t="s">
        <v>81</v>
      </c>
      <c r="H690" s="4" t="s">
        <v>25</v>
      </c>
      <c r="I690" s="5">
        <v>44562</v>
      </c>
      <c r="J690" s="6">
        <v>600</v>
      </c>
      <c r="K690" s="6">
        <v>300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4" t="s">
        <v>68</v>
      </c>
      <c r="R690" s="4">
        <v>34893</v>
      </c>
      <c r="S690" s="4" t="s">
        <v>317</v>
      </c>
      <c r="U690" s="4">
        <v>38</v>
      </c>
      <c r="V690" s="4">
        <v>0</v>
      </c>
      <c r="W690" s="4">
        <v>0</v>
      </c>
    </row>
    <row r="691" spans="1:23" ht="11.25" customHeight="1" x14ac:dyDescent="0.25">
      <c r="A691" s="4" t="s">
        <v>27</v>
      </c>
      <c r="B691" s="4" t="s">
        <v>41</v>
      </c>
      <c r="C691" s="4" t="s">
        <v>66</v>
      </c>
      <c r="D691" s="4" t="s">
        <v>25</v>
      </c>
      <c r="E691" s="4" t="s">
        <v>25</v>
      </c>
      <c r="F691" s="4" t="s">
        <v>25</v>
      </c>
      <c r="G691" s="4" t="s">
        <v>81</v>
      </c>
      <c r="H691" s="4" t="s">
        <v>25</v>
      </c>
      <c r="I691" s="5">
        <v>44562</v>
      </c>
      <c r="J691" s="6">
        <v>211</v>
      </c>
      <c r="K691" s="6">
        <v>211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4" t="s">
        <v>68</v>
      </c>
      <c r="R691" s="4">
        <v>34893</v>
      </c>
      <c r="S691" s="4" t="s">
        <v>317</v>
      </c>
      <c r="U691" s="4">
        <v>38</v>
      </c>
      <c r="V691" s="4">
        <v>0</v>
      </c>
      <c r="W691" s="4">
        <v>0</v>
      </c>
    </row>
    <row r="692" spans="1:23" ht="11.25" customHeight="1" x14ac:dyDescent="0.25">
      <c r="A692" s="4" t="s">
        <v>21</v>
      </c>
      <c r="B692" s="4" t="s">
        <v>41</v>
      </c>
      <c r="C692" s="4" t="s">
        <v>66</v>
      </c>
      <c r="D692" s="4" t="s">
        <v>25</v>
      </c>
      <c r="E692" s="4" t="s">
        <v>25</v>
      </c>
      <c r="F692" s="4" t="s">
        <v>25</v>
      </c>
      <c r="G692" s="4" t="s">
        <v>82</v>
      </c>
      <c r="H692" s="4" t="s">
        <v>25</v>
      </c>
      <c r="I692" s="5">
        <v>44562</v>
      </c>
      <c r="J692" s="6">
        <v>4800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4" t="s">
        <v>68</v>
      </c>
      <c r="R692" s="4">
        <v>43199</v>
      </c>
      <c r="S692" s="4" t="s">
        <v>317</v>
      </c>
      <c r="U692" s="4">
        <v>38</v>
      </c>
      <c r="V692" s="4">
        <v>0</v>
      </c>
      <c r="W692" s="4">
        <v>0</v>
      </c>
    </row>
    <row r="693" spans="1:23" ht="11.25" customHeight="1" x14ac:dyDescent="0.25">
      <c r="A693" s="4" t="s">
        <v>21</v>
      </c>
      <c r="B693" s="4" t="s">
        <v>41</v>
      </c>
      <c r="C693" s="4" t="s">
        <v>66</v>
      </c>
      <c r="D693" s="4" t="s">
        <v>25</v>
      </c>
      <c r="E693" s="4" t="s">
        <v>25</v>
      </c>
      <c r="F693" s="4" t="s">
        <v>25</v>
      </c>
      <c r="G693" s="4" t="s">
        <v>83</v>
      </c>
      <c r="H693" s="4" t="s">
        <v>25</v>
      </c>
      <c r="I693" s="5">
        <v>44562</v>
      </c>
      <c r="J693" s="6">
        <v>2400</v>
      </c>
      <c r="K693" s="6">
        <v>1200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4" t="s">
        <v>68</v>
      </c>
      <c r="S693" s="4" t="s">
        <v>317</v>
      </c>
      <c r="U693" s="4">
        <v>38</v>
      </c>
      <c r="V693" s="4">
        <v>0</v>
      </c>
      <c r="W693" s="4">
        <v>0</v>
      </c>
    </row>
    <row r="694" spans="1:23" ht="11.25" customHeight="1" x14ac:dyDescent="0.25">
      <c r="A694" s="4" t="s">
        <v>21</v>
      </c>
      <c r="B694" s="4" t="s">
        <v>41</v>
      </c>
      <c r="C694" s="4" t="s">
        <v>66</v>
      </c>
      <c r="D694" s="4" t="s">
        <v>25</v>
      </c>
      <c r="E694" s="4" t="s">
        <v>25</v>
      </c>
      <c r="F694" s="4" t="s">
        <v>25</v>
      </c>
      <c r="G694" s="4" t="s">
        <v>84</v>
      </c>
      <c r="H694" s="4" t="s">
        <v>25</v>
      </c>
      <c r="I694" s="5">
        <v>44562</v>
      </c>
      <c r="J694" s="6">
        <v>250</v>
      </c>
      <c r="K694" s="6">
        <v>125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4" t="s">
        <v>68</v>
      </c>
      <c r="S694" s="4" t="s">
        <v>317</v>
      </c>
      <c r="U694" s="4">
        <v>38</v>
      </c>
      <c r="V694" s="4">
        <v>0</v>
      </c>
      <c r="W694" s="4">
        <v>0</v>
      </c>
    </row>
    <row r="695" spans="1:23" ht="11.25" customHeight="1" x14ac:dyDescent="0.25">
      <c r="A695" s="4" t="s">
        <v>21</v>
      </c>
      <c r="B695" s="4" t="s">
        <v>41</v>
      </c>
      <c r="C695" s="4" t="s">
        <v>66</v>
      </c>
      <c r="D695" s="4" t="s">
        <v>25</v>
      </c>
      <c r="E695" s="4" t="s">
        <v>25</v>
      </c>
      <c r="F695" s="4" t="s">
        <v>25</v>
      </c>
      <c r="G695" s="4" t="s">
        <v>85</v>
      </c>
      <c r="H695" s="4" t="s">
        <v>25</v>
      </c>
      <c r="I695" s="5">
        <v>44562</v>
      </c>
      <c r="J695" s="6">
        <v>250</v>
      </c>
      <c r="K695" s="6">
        <v>125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4" t="s">
        <v>68</v>
      </c>
      <c r="R695" s="4">
        <v>52044</v>
      </c>
      <c r="S695" s="4" t="s">
        <v>317</v>
      </c>
      <c r="U695" s="4">
        <v>38</v>
      </c>
      <c r="V695" s="4">
        <v>0</v>
      </c>
      <c r="W695" s="4">
        <v>0</v>
      </c>
    </row>
    <row r="696" spans="1:23" ht="11.25" customHeight="1" x14ac:dyDescent="0.25">
      <c r="A696" s="4" t="s">
        <v>21</v>
      </c>
      <c r="B696" s="4" t="s">
        <v>41</v>
      </c>
      <c r="C696" s="4" t="s">
        <v>66</v>
      </c>
      <c r="D696" s="4" t="s">
        <v>25</v>
      </c>
      <c r="E696" s="4" t="s">
        <v>25</v>
      </c>
      <c r="F696" s="4" t="s">
        <v>25</v>
      </c>
      <c r="G696" s="4" t="s">
        <v>72</v>
      </c>
      <c r="H696" s="4" t="s">
        <v>25</v>
      </c>
      <c r="I696" s="5">
        <v>44593</v>
      </c>
      <c r="J696" s="6">
        <v>4500</v>
      </c>
      <c r="K696" s="6">
        <v>2250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4" t="s">
        <v>68</v>
      </c>
      <c r="R696" s="4">
        <v>29075</v>
      </c>
      <c r="S696" s="4" t="s">
        <v>318</v>
      </c>
      <c r="U696" s="4">
        <v>38</v>
      </c>
      <c r="V696" s="4">
        <v>0</v>
      </c>
      <c r="W696" s="4">
        <v>0</v>
      </c>
    </row>
    <row r="697" spans="1:23" ht="11.25" customHeight="1" x14ac:dyDescent="0.25">
      <c r="A697" s="4" t="s">
        <v>21</v>
      </c>
      <c r="B697" s="4" t="s">
        <v>41</v>
      </c>
      <c r="C697" s="4" t="s">
        <v>66</v>
      </c>
      <c r="D697" s="4" t="s">
        <v>25</v>
      </c>
      <c r="E697" s="4" t="s">
        <v>25</v>
      </c>
      <c r="F697" s="4" t="s">
        <v>25</v>
      </c>
      <c r="G697" s="4" t="s">
        <v>74</v>
      </c>
      <c r="H697" s="4" t="s">
        <v>25</v>
      </c>
      <c r="I697" s="5">
        <v>44593</v>
      </c>
      <c r="J697" s="6">
        <v>3000</v>
      </c>
      <c r="K697" s="6">
        <v>1500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4" t="s">
        <v>68</v>
      </c>
      <c r="S697" s="4" t="s">
        <v>318</v>
      </c>
      <c r="U697" s="4">
        <v>38</v>
      </c>
      <c r="V697" s="4">
        <v>0</v>
      </c>
      <c r="W697" s="4">
        <v>0</v>
      </c>
    </row>
    <row r="698" spans="1:23" ht="11.25" customHeight="1" x14ac:dyDescent="0.25">
      <c r="A698" s="4" t="s">
        <v>21</v>
      </c>
      <c r="B698" s="4" t="s">
        <v>41</v>
      </c>
      <c r="C698" s="4" t="s">
        <v>66</v>
      </c>
      <c r="D698" s="4" t="s">
        <v>25</v>
      </c>
      <c r="E698" s="4" t="s">
        <v>25</v>
      </c>
      <c r="F698" s="4" t="s">
        <v>25</v>
      </c>
      <c r="G698" s="4" t="s">
        <v>80</v>
      </c>
      <c r="H698" s="4" t="s">
        <v>25</v>
      </c>
      <c r="I698" s="5">
        <v>44593</v>
      </c>
      <c r="J698" s="6">
        <v>3000</v>
      </c>
      <c r="K698" s="6">
        <v>1500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4" t="s">
        <v>68</v>
      </c>
      <c r="R698" s="4">
        <v>34891</v>
      </c>
      <c r="S698" s="4" t="s">
        <v>318</v>
      </c>
      <c r="U698" s="4">
        <v>38</v>
      </c>
      <c r="V698" s="4">
        <v>0</v>
      </c>
      <c r="W698" s="4">
        <v>0</v>
      </c>
    </row>
    <row r="699" spans="1:23" ht="11.25" customHeight="1" x14ac:dyDescent="0.25">
      <c r="A699" s="4" t="s">
        <v>21</v>
      </c>
      <c r="B699" s="4" t="s">
        <v>41</v>
      </c>
      <c r="C699" s="4" t="s">
        <v>66</v>
      </c>
      <c r="D699" s="4" t="s">
        <v>25</v>
      </c>
      <c r="E699" s="4" t="s">
        <v>25</v>
      </c>
      <c r="F699" s="4" t="s">
        <v>25</v>
      </c>
      <c r="G699" s="4" t="s">
        <v>81</v>
      </c>
      <c r="H699" s="4" t="s">
        <v>25</v>
      </c>
      <c r="I699" s="5">
        <v>44593</v>
      </c>
      <c r="J699" s="6">
        <v>600</v>
      </c>
      <c r="K699" s="6">
        <v>300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4" t="s">
        <v>68</v>
      </c>
      <c r="R699" s="4">
        <v>34893</v>
      </c>
      <c r="S699" s="4" t="s">
        <v>318</v>
      </c>
      <c r="U699" s="4">
        <v>38</v>
      </c>
      <c r="V699" s="4">
        <v>0</v>
      </c>
      <c r="W699" s="4">
        <v>0</v>
      </c>
    </row>
    <row r="700" spans="1:23" ht="11.25" customHeight="1" x14ac:dyDescent="0.25">
      <c r="A700" s="4" t="s">
        <v>21</v>
      </c>
      <c r="B700" s="4" t="s">
        <v>41</v>
      </c>
      <c r="C700" s="4" t="s">
        <v>66</v>
      </c>
      <c r="D700" s="4" t="s">
        <v>25</v>
      </c>
      <c r="E700" s="4" t="s">
        <v>25</v>
      </c>
      <c r="F700" s="4" t="s">
        <v>25</v>
      </c>
      <c r="G700" s="4" t="s">
        <v>82</v>
      </c>
      <c r="H700" s="4" t="s">
        <v>25</v>
      </c>
      <c r="I700" s="5">
        <v>44593</v>
      </c>
      <c r="J700" s="6">
        <v>4800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4" t="s">
        <v>68</v>
      </c>
      <c r="R700" s="4">
        <v>43199</v>
      </c>
      <c r="S700" s="4" t="s">
        <v>318</v>
      </c>
      <c r="U700" s="4">
        <v>38</v>
      </c>
      <c r="V700" s="4">
        <v>0</v>
      </c>
      <c r="W700" s="4">
        <v>0</v>
      </c>
    </row>
    <row r="701" spans="1:23" ht="11.25" customHeight="1" x14ac:dyDescent="0.25">
      <c r="A701" s="4" t="s">
        <v>21</v>
      </c>
      <c r="B701" s="4" t="s">
        <v>41</v>
      </c>
      <c r="C701" s="4" t="s">
        <v>66</v>
      </c>
      <c r="D701" s="4" t="s">
        <v>25</v>
      </c>
      <c r="E701" s="4" t="s">
        <v>25</v>
      </c>
      <c r="F701" s="4" t="s">
        <v>25</v>
      </c>
      <c r="G701" s="4" t="s">
        <v>83</v>
      </c>
      <c r="H701" s="4" t="s">
        <v>25</v>
      </c>
      <c r="I701" s="5">
        <v>44593</v>
      </c>
      <c r="J701" s="6">
        <v>2400</v>
      </c>
      <c r="K701" s="6">
        <v>1200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4" t="s">
        <v>68</v>
      </c>
      <c r="S701" s="4" t="s">
        <v>318</v>
      </c>
      <c r="U701" s="4">
        <v>38</v>
      </c>
      <c r="V701" s="4">
        <v>0</v>
      </c>
      <c r="W701" s="4">
        <v>0</v>
      </c>
    </row>
    <row r="702" spans="1:23" ht="11.25" customHeight="1" x14ac:dyDescent="0.25">
      <c r="A702" s="4" t="s">
        <v>21</v>
      </c>
      <c r="B702" s="4" t="s">
        <v>41</v>
      </c>
      <c r="C702" s="4" t="s">
        <v>66</v>
      </c>
      <c r="D702" s="4" t="s">
        <v>25</v>
      </c>
      <c r="E702" s="4" t="s">
        <v>25</v>
      </c>
      <c r="F702" s="4" t="s">
        <v>25</v>
      </c>
      <c r="G702" s="4" t="s">
        <v>84</v>
      </c>
      <c r="H702" s="4" t="s">
        <v>25</v>
      </c>
      <c r="I702" s="5">
        <v>44593</v>
      </c>
      <c r="J702" s="6">
        <v>250</v>
      </c>
      <c r="K702" s="6">
        <v>125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4" t="s">
        <v>68</v>
      </c>
      <c r="S702" s="4" t="s">
        <v>318</v>
      </c>
      <c r="U702" s="4">
        <v>38</v>
      </c>
      <c r="V702" s="4">
        <v>0</v>
      </c>
      <c r="W702" s="4">
        <v>0</v>
      </c>
    </row>
    <row r="703" spans="1:23" ht="11.25" customHeight="1" x14ac:dyDescent="0.25">
      <c r="A703" s="4" t="s">
        <v>21</v>
      </c>
      <c r="B703" s="4" t="s">
        <v>41</v>
      </c>
      <c r="C703" s="4" t="s">
        <v>66</v>
      </c>
      <c r="D703" s="4" t="s">
        <v>25</v>
      </c>
      <c r="E703" s="4" t="s">
        <v>25</v>
      </c>
      <c r="F703" s="4" t="s">
        <v>25</v>
      </c>
      <c r="G703" s="4" t="s">
        <v>85</v>
      </c>
      <c r="H703" s="4" t="s">
        <v>25</v>
      </c>
      <c r="I703" s="5">
        <v>44593</v>
      </c>
      <c r="J703" s="6">
        <v>250</v>
      </c>
      <c r="K703" s="6">
        <v>125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4" t="s">
        <v>68</v>
      </c>
      <c r="R703" s="4">
        <v>52044</v>
      </c>
      <c r="S703" s="4" t="s">
        <v>318</v>
      </c>
      <c r="U703" s="4">
        <v>38</v>
      </c>
      <c r="V703" s="4">
        <v>0</v>
      </c>
      <c r="W703" s="4">
        <v>0</v>
      </c>
    </row>
    <row r="704" spans="1:23" ht="11.25" customHeight="1" x14ac:dyDescent="0.25">
      <c r="A704" s="4" t="s">
        <v>21</v>
      </c>
      <c r="B704" s="4" t="s">
        <v>41</v>
      </c>
      <c r="C704" s="4" t="s">
        <v>66</v>
      </c>
      <c r="D704" s="4" t="s">
        <v>25</v>
      </c>
      <c r="E704" s="4" t="s">
        <v>25</v>
      </c>
      <c r="F704" s="4" t="s">
        <v>25</v>
      </c>
      <c r="G704" s="4" t="s">
        <v>72</v>
      </c>
      <c r="H704" s="4" t="s">
        <v>25</v>
      </c>
      <c r="I704" s="5">
        <v>44621</v>
      </c>
      <c r="J704" s="6">
        <v>4500</v>
      </c>
      <c r="K704" s="6">
        <v>2250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4" t="s">
        <v>68</v>
      </c>
      <c r="R704" s="4">
        <v>29075</v>
      </c>
      <c r="S704" s="4" t="s">
        <v>319</v>
      </c>
      <c r="U704" s="4">
        <v>38</v>
      </c>
      <c r="V704" s="4">
        <v>0</v>
      </c>
      <c r="W704" s="4">
        <v>0</v>
      </c>
    </row>
    <row r="705" spans="1:23" ht="11.25" customHeight="1" x14ac:dyDescent="0.25">
      <c r="A705" s="4" t="s">
        <v>21</v>
      </c>
      <c r="B705" s="4" t="s">
        <v>41</v>
      </c>
      <c r="C705" s="4" t="s">
        <v>66</v>
      </c>
      <c r="D705" s="4" t="s">
        <v>25</v>
      </c>
      <c r="E705" s="4" t="s">
        <v>25</v>
      </c>
      <c r="F705" s="4" t="s">
        <v>25</v>
      </c>
      <c r="G705" s="4" t="s">
        <v>74</v>
      </c>
      <c r="H705" s="4" t="s">
        <v>25</v>
      </c>
      <c r="I705" s="5">
        <v>44621</v>
      </c>
      <c r="J705" s="6">
        <v>3000</v>
      </c>
      <c r="K705" s="6">
        <v>1500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4" t="s">
        <v>68</v>
      </c>
      <c r="S705" s="4" t="s">
        <v>319</v>
      </c>
      <c r="U705" s="4">
        <v>38</v>
      </c>
      <c r="V705" s="4">
        <v>0</v>
      </c>
      <c r="W705" s="4">
        <v>0</v>
      </c>
    </row>
    <row r="706" spans="1:23" ht="11.25" customHeight="1" x14ac:dyDescent="0.25">
      <c r="A706" s="4" t="s">
        <v>21</v>
      </c>
      <c r="B706" s="4" t="s">
        <v>41</v>
      </c>
      <c r="C706" s="4" t="s">
        <v>66</v>
      </c>
      <c r="D706" s="4" t="s">
        <v>25</v>
      </c>
      <c r="E706" s="4" t="s">
        <v>25</v>
      </c>
      <c r="F706" s="4" t="s">
        <v>25</v>
      </c>
      <c r="G706" s="4" t="s">
        <v>80</v>
      </c>
      <c r="H706" s="4" t="s">
        <v>25</v>
      </c>
      <c r="I706" s="5">
        <v>44621</v>
      </c>
      <c r="J706" s="6">
        <v>3000</v>
      </c>
      <c r="K706" s="6">
        <v>1500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4" t="s">
        <v>68</v>
      </c>
      <c r="R706" s="4">
        <v>34891</v>
      </c>
      <c r="S706" s="4" t="s">
        <v>319</v>
      </c>
      <c r="U706" s="4">
        <v>38</v>
      </c>
      <c r="V706" s="4">
        <v>0</v>
      </c>
      <c r="W706" s="4">
        <v>0</v>
      </c>
    </row>
    <row r="707" spans="1:23" ht="11.25" customHeight="1" x14ac:dyDescent="0.25">
      <c r="A707" s="4" t="s">
        <v>21</v>
      </c>
      <c r="B707" s="4" t="s">
        <v>41</v>
      </c>
      <c r="C707" s="4" t="s">
        <v>66</v>
      </c>
      <c r="D707" s="4" t="s">
        <v>25</v>
      </c>
      <c r="E707" s="4" t="s">
        <v>25</v>
      </c>
      <c r="F707" s="4" t="s">
        <v>25</v>
      </c>
      <c r="G707" s="4" t="s">
        <v>81</v>
      </c>
      <c r="H707" s="4" t="s">
        <v>25</v>
      </c>
      <c r="I707" s="5">
        <v>44621</v>
      </c>
      <c r="J707" s="6">
        <v>600</v>
      </c>
      <c r="K707" s="6">
        <v>300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4" t="s">
        <v>68</v>
      </c>
      <c r="R707" s="4">
        <v>34893</v>
      </c>
      <c r="S707" s="4" t="s">
        <v>319</v>
      </c>
      <c r="U707" s="4">
        <v>38</v>
      </c>
      <c r="V707" s="4">
        <v>0</v>
      </c>
      <c r="W707" s="4">
        <v>0</v>
      </c>
    </row>
    <row r="708" spans="1:23" ht="11.25" customHeight="1" x14ac:dyDescent="0.25">
      <c r="A708" s="4" t="s">
        <v>21</v>
      </c>
      <c r="B708" s="4" t="s">
        <v>41</v>
      </c>
      <c r="C708" s="4" t="s">
        <v>66</v>
      </c>
      <c r="D708" s="4" t="s">
        <v>25</v>
      </c>
      <c r="E708" s="4" t="s">
        <v>25</v>
      </c>
      <c r="F708" s="4" t="s">
        <v>25</v>
      </c>
      <c r="G708" s="4" t="s">
        <v>82</v>
      </c>
      <c r="H708" s="4" t="s">
        <v>25</v>
      </c>
      <c r="I708" s="5">
        <v>44621</v>
      </c>
      <c r="J708" s="6">
        <v>4800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4" t="s">
        <v>68</v>
      </c>
      <c r="R708" s="4">
        <v>43199</v>
      </c>
      <c r="S708" s="4" t="s">
        <v>319</v>
      </c>
      <c r="U708" s="4">
        <v>38</v>
      </c>
      <c r="V708" s="4">
        <v>0</v>
      </c>
      <c r="W708" s="4">
        <v>0</v>
      </c>
    </row>
    <row r="709" spans="1:23" ht="11.25" customHeight="1" x14ac:dyDescent="0.25">
      <c r="A709" s="4" t="s">
        <v>21</v>
      </c>
      <c r="B709" s="4" t="s">
        <v>41</v>
      </c>
      <c r="C709" s="4" t="s">
        <v>66</v>
      </c>
      <c r="D709" s="4" t="s">
        <v>25</v>
      </c>
      <c r="E709" s="4" t="s">
        <v>25</v>
      </c>
      <c r="F709" s="4" t="s">
        <v>25</v>
      </c>
      <c r="G709" s="4" t="s">
        <v>83</v>
      </c>
      <c r="H709" s="4" t="s">
        <v>25</v>
      </c>
      <c r="I709" s="5">
        <v>44621</v>
      </c>
      <c r="J709" s="6">
        <v>2400</v>
      </c>
      <c r="K709" s="6">
        <v>1200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4" t="s">
        <v>68</v>
      </c>
      <c r="S709" s="4" t="s">
        <v>319</v>
      </c>
      <c r="U709" s="4">
        <v>38</v>
      </c>
      <c r="V709" s="4">
        <v>0</v>
      </c>
      <c r="W709" s="4">
        <v>0</v>
      </c>
    </row>
    <row r="710" spans="1:23" ht="11.25" customHeight="1" x14ac:dyDescent="0.25">
      <c r="A710" s="4" t="s">
        <v>21</v>
      </c>
      <c r="B710" s="4" t="s">
        <v>41</v>
      </c>
      <c r="C710" s="4" t="s">
        <v>66</v>
      </c>
      <c r="D710" s="4" t="s">
        <v>25</v>
      </c>
      <c r="E710" s="4" t="s">
        <v>25</v>
      </c>
      <c r="F710" s="4" t="s">
        <v>25</v>
      </c>
      <c r="G710" s="4" t="s">
        <v>84</v>
      </c>
      <c r="H710" s="4" t="s">
        <v>25</v>
      </c>
      <c r="I710" s="5">
        <v>44621</v>
      </c>
      <c r="J710" s="6">
        <v>250</v>
      </c>
      <c r="K710" s="6">
        <v>125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4" t="s">
        <v>68</v>
      </c>
      <c r="S710" s="4" t="s">
        <v>319</v>
      </c>
      <c r="U710" s="4">
        <v>38</v>
      </c>
      <c r="V710" s="4">
        <v>0</v>
      </c>
      <c r="W710" s="4">
        <v>0</v>
      </c>
    </row>
    <row r="711" spans="1:23" ht="11.25" customHeight="1" x14ac:dyDescent="0.25">
      <c r="A711" s="4" t="s">
        <v>21</v>
      </c>
      <c r="B711" s="4" t="s">
        <v>41</v>
      </c>
      <c r="C711" s="4" t="s">
        <v>66</v>
      </c>
      <c r="D711" s="4" t="s">
        <v>25</v>
      </c>
      <c r="E711" s="4" t="s">
        <v>25</v>
      </c>
      <c r="F711" s="4" t="s">
        <v>25</v>
      </c>
      <c r="G711" s="4" t="s">
        <v>85</v>
      </c>
      <c r="H711" s="4" t="s">
        <v>25</v>
      </c>
      <c r="I711" s="5">
        <v>44621</v>
      </c>
      <c r="J711" s="6">
        <v>250</v>
      </c>
      <c r="K711" s="6">
        <v>125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4" t="s">
        <v>68</v>
      </c>
      <c r="R711" s="4">
        <v>52044</v>
      </c>
      <c r="S711" s="4" t="s">
        <v>319</v>
      </c>
      <c r="U711" s="4">
        <v>38</v>
      </c>
      <c r="V711" s="4">
        <v>0</v>
      </c>
      <c r="W711" s="4">
        <v>0</v>
      </c>
    </row>
    <row r="712" spans="1:23" ht="11.25" customHeight="1" x14ac:dyDescent="0.25">
      <c r="A712" s="4" t="s">
        <v>21</v>
      </c>
      <c r="B712" s="4" t="s">
        <v>41</v>
      </c>
      <c r="C712" s="4" t="s">
        <v>66</v>
      </c>
      <c r="D712" s="4" t="s">
        <v>25</v>
      </c>
      <c r="E712" s="4" t="s">
        <v>25</v>
      </c>
      <c r="F712" s="4" t="s">
        <v>25</v>
      </c>
      <c r="G712" s="4" t="s">
        <v>72</v>
      </c>
      <c r="H712" s="4" t="s">
        <v>25</v>
      </c>
      <c r="I712" s="5">
        <v>44652</v>
      </c>
      <c r="J712" s="6">
        <v>4500</v>
      </c>
      <c r="K712" s="6">
        <v>2250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4" t="s">
        <v>68</v>
      </c>
      <c r="R712" s="4">
        <v>29075</v>
      </c>
      <c r="S712" s="4" t="s">
        <v>320</v>
      </c>
      <c r="U712" s="4">
        <v>38</v>
      </c>
      <c r="V712" s="4">
        <v>0</v>
      </c>
      <c r="W712" s="4">
        <v>0</v>
      </c>
    </row>
    <row r="713" spans="1:23" ht="11.25" customHeight="1" x14ac:dyDescent="0.25">
      <c r="A713" s="4" t="s">
        <v>21</v>
      </c>
      <c r="B713" s="4" t="s">
        <v>41</v>
      </c>
      <c r="C713" s="4" t="s">
        <v>66</v>
      </c>
      <c r="D713" s="4" t="s">
        <v>25</v>
      </c>
      <c r="E713" s="4" t="s">
        <v>25</v>
      </c>
      <c r="F713" s="4" t="s">
        <v>25</v>
      </c>
      <c r="G713" s="4" t="s">
        <v>74</v>
      </c>
      <c r="H713" s="4" t="s">
        <v>25</v>
      </c>
      <c r="I713" s="5">
        <v>44652</v>
      </c>
      <c r="J713" s="6">
        <v>3000</v>
      </c>
      <c r="K713" s="6">
        <v>1500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4" t="s">
        <v>68</v>
      </c>
      <c r="S713" s="4" t="s">
        <v>320</v>
      </c>
      <c r="U713" s="4">
        <v>38</v>
      </c>
      <c r="V713" s="4">
        <v>0</v>
      </c>
      <c r="W713" s="4">
        <v>0</v>
      </c>
    </row>
    <row r="714" spans="1:23" ht="11.25" customHeight="1" x14ac:dyDescent="0.25">
      <c r="A714" s="4" t="s">
        <v>21</v>
      </c>
      <c r="B714" s="4" t="s">
        <v>41</v>
      </c>
      <c r="C714" s="4" t="s">
        <v>66</v>
      </c>
      <c r="D714" s="4" t="s">
        <v>25</v>
      </c>
      <c r="E714" s="4" t="s">
        <v>25</v>
      </c>
      <c r="F714" s="4" t="s">
        <v>25</v>
      </c>
      <c r="G714" s="4" t="s">
        <v>80</v>
      </c>
      <c r="H714" s="4" t="s">
        <v>25</v>
      </c>
      <c r="I714" s="5">
        <v>44652</v>
      </c>
      <c r="J714" s="6">
        <v>3000</v>
      </c>
      <c r="K714" s="6">
        <v>1500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4" t="s">
        <v>68</v>
      </c>
      <c r="R714" s="4">
        <v>34891</v>
      </c>
      <c r="S714" s="4" t="s">
        <v>320</v>
      </c>
      <c r="U714" s="4">
        <v>38</v>
      </c>
      <c r="V714" s="4">
        <v>0</v>
      </c>
      <c r="W714" s="4">
        <v>0</v>
      </c>
    </row>
    <row r="715" spans="1:23" ht="11.25" customHeight="1" x14ac:dyDescent="0.25">
      <c r="A715" s="4" t="s">
        <v>21</v>
      </c>
      <c r="B715" s="4" t="s">
        <v>41</v>
      </c>
      <c r="C715" s="4" t="s">
        <v>66</v>
      </c>
      <c r="D715" s="4" t="s">
        <v>25</v>
      </c>
      <c r="E715" s="4" t="s">
        <v>25</v>
      </c>
      <c r="F715" s="4" t="s">
        <v>25</v>
      </c>
      <c r="G715" s="4" t="s">
        <v>81</v>
      </c>
      <c r="H715" s="4" t="s">
        <v>25</v>
      </c>
      <c r="I715" s="5">
        <v>44652</v>
      </c>
      <c r="J715" s="6">
        <v>600</v>
      </c>
      <c r="K715" s="6">
        <v>300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4" t="s">
        <v>68</v>
      </c>
      <c r="R715" s="4">
        <v>34893</v>
      </c>
      <c r="S715" s="4" t="s">
        <v>320</v>
      </c>
      <c r="U715" s="4">
        <v>38</v>
      </c>
      <c r="V715" s="4">
        <v>0</v>
      </c>
      <c r="W715" s="4">
        <v>0</v>
      </c>
    </row>
    <row r="716" spans="1:23" ht="11.25" customHeight="1" x14ac:dyDescent="0.25">
      <c r="A716" s="4" t="s">
        <v>21</v>
      </c>
      <c r="B716" s="4" t="s">
        <v>41</v>
      </c>
      <c r="C716" s="4" t="s">
        <v>66</v>
      </c>
      <c r="D716" s="4" t="s">
        <v>25</v>
      </c>
      <c r="E716" s="4" t="s">
        <v>25</v>
      </c>
      <c r="F716" s="4" t="s">
        <v>25</v>
      </c>
      <c r="G716" s="4" t="s">
        <v>82</v>
      </c>
      <c r="H716" s="4" t="s">
        <v>25</v>
      </c>
      <c r="I716" s="5">
        <v>44652</v>
      </c>
      <c r="J716" s="6">
        <v>4800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4" t="s">
        <v>68</v>
      </c>
      <c r="R716" s="4">
        <v>43199</v>
      </c>
      <c r="S716" s="4" t="s">
        <v>320</v>
      </c>
      <c r="U716" s="4">
        <v>38</v>
      </c>
      <c r="V716" s="4">
        <v>0</v>
      </c>
      <c r="W716" s="4">
        <v>0</v>
      </c>
    </row>
    <row r="717" spans="1:23" ht="11.25" customHeight="1" x14ac:dyDescent="0.25">
      <c r="A717" s="4" t="s">
        <v>21</v>
      </c>
      <c r="B717" s="4" t="s">
        <v>41</v>
      </c>
      <c r="C717" s="4" t="s">
        <v>66</v>
      </c>
      <c r="D717" s="4" t="s">
        <v>25</v>
      </c>
      <c r="E717" s="4" t="s">
        <v>25</v>
      </c>
      <c r="F717" s="4" t="s">
        <v>25</v>
      </c>
      <c r="G717" s="4" t="s">
        <v>83</v>
      </c>
      <c r="H717" s="4" t="s">
        <v>25</v>
      </c>
      <c r="I717" s="5">
        <v>44652</v>
      </c>
      <c r="J717" s="6">
        <v>2400</v>
      </c>
      <c r="K717" s="6">
        <v>1200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4" t="s">
        <v>68</v>
      </c>
      <c r="S717" s="4" t="s">
        <v>320</v>
      </c>
      <c r="U717" s="4">
        <v>38</v>
      </c>
      <c r="V717" s="4">
        <v>0</v>
      </c>
      <c r="W717" s="4">
        <v>0</v>
      </c>
    </row>
    <row r="718" spans="1:23" ht="11.25" customHeight="1" x14ac:dyDescent="0.25">
      <c r="A718" s="4" t="s">
        <v>21</v>
      </c>
      <c r="B718" s="4" t="s">
        <v>41</v>
      </c>
      <c r="C718" s="4" t="s">
        <v>66</v>
      </c>
      <c r="D718" s="4" t="s">
        <v>25</v>
      </c>
      <c r="E718" s="4" t="s">
        <v>25</v>
      </c>
      <c r="F718" s="4" t="s">
        <v>25</v>
      </c>
      <c r="G718" s="4" t="s">
        <v>84</v>
      </c>
      <c r="H718" s="4" t="s">
        <v>25</v>
      </c>
      <c r="I718" s="5">
        <v>44652</v>
      </c>
      <c r="J718" s="6">
        <v>250</v>
      </c>
      <c r="K718" s="6">
        <v>125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4" t="s">
        <v>68</v>
      </c>
      <c r="S718" s="4" t="s">
        <v>320</v>
      </c>
      <c r="U718" s="4">
        <v>38</v>
      </c>
      <c r="V718" s="4">
        <v>0</v>
      </c>
      <c r="W718" s="4">
        <v>0</v>
      </c>
    </row>
    <row r="719" spans="1:23" ht="11.25" customHeight="1" x14ac:dyDescent="0.25">
      <c r="A719" s="4" t="s">
        <v>21</v>
      </c>
      <c r="B719" s="4" t="s">
        <v>41</v>
      </c>
      <c r="C719" s="4" t="s">
        <v>66</v>
      </c>
      <c r="D719" s="4" t="s">
        <v>25</v>
      </c>
      <c r="E719" s="4" t="s">
        <v>25</v>
      </c>
      <c r="F719" s="4" t="s">
        <v>25</v>
      </c>
      <c r="G719" s="4" t="s">
        <v>85</v>
      </c>
      <c r="H719" s="4" t="s">
        <v>25</v>
      </c>
      <c r="I719" s="5">
        <v>44652</v>
      </c>
      <c r="J719" s="6">
        <v>250</v>
      </c>
      <c r="K719" s="6">
        <v>125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4" t="s">
        <v>68</v>
      </c>
      <c r="R719" s="4">
        <v>52044</v>
      </c>
      <c r="S719" s="4" t="s">
        <v>320</v>
      </c>
      <c r="U719" s="4">
        <v>38</v>
      </c>
      <c r="V719" s="4">
        <v>0</v>
      </c>
      <c r="W719" s="4">
        <v>0</v>
      </c>
    </row>
    <row r="720" spans="1:23" ht="11.25" customHeight="1" x14ac:dyDescent="0.25">
      <c r="A720" s="4" t="s">
        <v>21</v>
      </c>
      <c r="B720" s="4" t="s">
        <v>41</v>
      </c>
      <c r="C720" s="4" t="s">
        <v>66</v>
      </c>
      <c r="D720" s="4" t="s">
        <v>25</v>
      </c>
      <c r="E720" s="4" t="s">
        <v>25</v>
      </c>
      <c r="F720" s="4" t="s">
        <v>25</v>
      </c>
      <c r="G720" s="4" t="s">
        <v>72</v>
      </c>
      <c r="H720" s="4" t="s">
        <v>25</v>
      </c>
      <c r="I720" s="5">
        <v>44682</v>
      </c>
      <c r="J720" s="6">
        <v>4500</v>
      </c>
      <c r="K720" s="6">
        <v>2250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4" t="s">
        <v>68</v>
      </c>
      <c r="R720" s="4">
        <v>29075</v>
      </c>
      <c r="S720" s="4" t="s">
        <v>321</v>
      </c>
      <c r="U720" s="4">
        <v>38</v>
      </c>
      <c r="V720" s="4">
        <v>0</v>
      </c>
      <c r="W720" s="4">
        <v>0</v>
      </c>
    </row>
    <row r="721" spans="1:23" ht="11.25" customHeight="1" x14ac:dyDescent="0.25">
      <c r="A721" s="4" t="s">
        <v>21</v>
      </c>
      <c r="B721" s="4" t="s">
        <v>41</v>
      </c>
      <c r="C721" s="4" t="s">
        <v>66</v>
      </c>
      <c r="D721" s="4" t="s">
        <v>25</v>
      </c>
      <c r="E721" s="4" t="s">
        <v>25</v>
      </c>
      <c r="F721" s="4" t="s">
        <v>25</v>
      </c>
      <c r="G721" s="4" t="s">
        <v>74</v>
      </c>
      <c r="H721" s="4" t="s">
        <v>25</v>
      </c>
      <c r="I721" s="5">
        <v>44682</v>
      </c>
      <c r="J721" s="6">
        <v>3000</v>
      </c>
      <c r="K721" s="6">
        <v>1500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4" t="s">
        <v>68</v>
      </c>
      <c r="S721" s="4" t="s">
        <v>321</v>
      </c>
      <c r="U721" s="4">
        <v>38</v>
      </c>
      <c r="V721" s="4">
        <v>0</v>
      </c>
      <c r="W721" s="4">
        <v>0</v>
      </c>
    </row>
    <row r="722" spans="1:23" ht="11.25" customHeight="1" x14ac:dyDescent="0.25">
      <c r="A722" s="4" t="s">
        <v>21</v>
      </c>
      <c r="B722" s="4" t="s">
        <v>41</v>
      </c>
      <c r="C722" s="4" t="s">
        <v>66</v>
      </c>
      <c r="D722" s="4" t="s">
        <v>25</v>
      </c>
      <c r="E722" s="4" t="s">
        <v>25</v>
      </c>
      <c r="F722" s="4" t="s">
        <v>25</v>
      </c>
      <c r="G722" s="4" t="s">
        <v>80</v>
      </c>
      <c r="H722" s="4" t="s">
        <v>25</v>
      </c>
      <c r="I722" s="5">
        <v>44682</v>
      </c>
      <c r="J722" s="6">
        <v>3000</v>
      </c>
      <c r="K722" s="6">
        <v>1500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4" t="s">
        <v>68</v>
      </c>
      <c r="R722" s="4">
        <v>34891</v>
      </c>
      <c r="S722" s="4" t="s">
        <v>321</v>
      </c>
      <c r="U722" s="4">
        <v>38</v>
      </c>
      <c r="V722" s="4">
        <v>0</v>
      </c>
      <c r="W722" s="4">
        <v>0</v>
      </c>
    </row>
    <row r="723" spans="1:23" ht="11.25" customHeight="1" x14ac:dyDescent="0.25">
      <c r="A723" s="4" t="s">
        <v>21</v>
      </c>
      <c r="B723" s="4" t="s">
        <v>41</v>
      </c>
      <c r="C723" s="4" t="s">
        <v>66</v>
      </c>
      <c r="D723" s="4" t="s">
        <v>25</v>
      </c>
      <c r="E723" s="4" t="s">
        <v>25</v>
      </c>
      <c r="F723" s="4" t="s">
        <v>25</v>
      </c>
      <c r="G723" s="4" t="s">
        <v>81</v>
      </c>
      <c r="H723" s="4" t="s">
        <v>25</v>
      </c>
      <c r="I723" s="5">
        <v>44682</v>
      </c>
      <c r="J723" s="6">
        <v>600</v>
      </c>
      <c r="K723" s="6">
        <v>300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4" t="s">
        <v>68</v>
      </c>
      <c r="R723" s="4">
        <v>34893</v>
      </c>
      <c r="S723" s="4" t="s">
        <v>321</v>
      </c>
      <c r="U723" s="4">
        <v>38</v>
      </c>
      <c r="V723" s="4">
        <v>0</v>
      </c>
      <c r="W723" s="4">
        <v>0</v>
      </c>
    </row>
    <row r="724" spans="1:23" ht="11.25" customHeight="1" x14ac:dyDescent="0.25">
      <c r="A724" s="4" t="s">
        <v>21</v>
      </c>
      <c r="B724" s="4" t="s">
        <v>41</v>
      </c>
      <c r="C724" s="4" t="s">
        <v>66</v>
      </c>
      <c r="D724" s="4" t="s">
        <v>25</v>
      </c>
      <c r="E724" s="4" t="s">
        <v>25</v>
      </c>
      <c r="F724" s="4" t="s">
        <v>25</v>
      </c>
      <c r="G724" s="4" t="s">
        <v>82</v>
      </c>
      <c r="H724" s="4" t="s">
        <v>25</v>
      </c>
      <c r="I724" s="5">
        <v>44682</v>
      </c>
      <c r="J724" s="6">
        <v>4800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4" t="s">
        <v>68</v>
      </c>
      <c r="R724" s="4">
        <v>43199</v>
      </c>
      <c r="S724" s="4" t="s">
        <v>321</v>
      </c>
      <c r="U724" s="4">
        <v>38</v>
      </c>
      <c r="V724" s="4">
        <v>0</v>
      </c>
      <c r="W724" s="4">
        <v>0</v>
      </c>
    </row>
    <row r="725" spans="1:23" ht="11.25" customHeight="1" x14ac:dyDescent="0.25">
      <c r="A725" s="4" t="s">
        <v>21</v>
      </c>
      <c r="B725" s="4" t="s">
        <v>41</v>
      </c>
      <c r="C725" s="4" t="s">
        <v>66</v>
      </c>
      <c r="D725" s="4" t="s">
        <v>25</v>
      </c>
      <c r="E725" s="4" t="s">
        <v>25</v>
      </c>
      <c r="F725" s="4" t="s">
        <v>25</v>
      </c>
      <c r="G725" s="4" t="s">
        <v>83</v>
      </c>
      <c r="H725" s="4" t="s">
        <v>25</v>
      </c>
      <c r="I725" s="5">
        <v>44682</v>
      </c>
      <c r="J725" s="6">
        <v>2400</v>
      </c>
      <c r="K725" s="6">
        <v>1200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4" t="s">
        <v>68</v>
      </c>
      <c r="S725" s="4" t="s">
        <v>321</v>
      </c>
      <c r="U725" s="4">
        <v>38</v>
      </c>
      <c r="V725" s="4">
        <v>0</v>
      </c>
      <c r="W725" s="4">
        <v>0</v>
      </c>
    </row>
    <row r="726" spans="1:23" ht="11.25" customHeight="1" x14ac:dyDescent="0.25">
      <c r="A726" s="4" t="s">
        <v>21</v>
      </c>
      <c r="B726" s="4" t="s">
        <v>41</v>
      </c>
      <c r="C726" s="4" t="s">
        <v>66</v>
      </c>
      <c r="D726" s="4" t="s">
        <v>25</v>
      </c>
      <c r="E726" s="4" t="s">
        <v>25</v>
      </c>
      <c r="F726" s="4" t="s">
        <v>25</v>
      </c>
      <c r="G726" s="4" t="s">
        <v>84</v>
      </c>
      <c r="H726" s="4" t="s">
        <v>25</v>
      </c>
      <c r="I726" s="5">
        <v>44682</v>
      </c>
      <c r="J726" s="6">
        <v>250</v>
      </c>
      <c r="K726" s="6">
        <v>125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4" t="s">
        <v>68</v>
      </c>
      <c r="S726" s="4" t="s">
        <v>321</v>
      </c>
      <c r="U726" s="4">
        <v>38</v>
      </c>
      <c r="V726" s="4">
        <v>0</v>
      </c>
      <c r="W726" s="4">
        <v>0</v>
      </c>
    </row>
    <row r="727" spans="1:23" ht="11.25" customHeight="1" x14ac:dyDescent="0.25">
      <c r="A727" s="4" t="s">
        <v>21</v>
      </c>
      <c r="B727" s="4" t="s">
        <v>41</v>
      </c>
      <c r="C727" s="4" t="s">
        <v>66</v>
      </c>
      <c r="D727" s="4" t="s">
        <v>25</v>
      </c>
      <c r="E727" s="4" t="s">
        <v>25</v>
      </c>
      <c r="F727" s="4" t="s">
        <v>25</v>
      </c>
      <c r="G727" s="4" t="s">
        <v>85</v>
      </c>
      <c r="H727" s="4" t="s">
        <v>25</v>
      </c>
      <c r="I727" s="5">
        <v>44682</v>
      </c>
      <c r="J727" s="6">
        <v>250</v>
      </c>
      <c r="K727" s="6">
        <v>125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4" t="s">
        <v>68</v>
      </c>
      <c r="R727" s="4">
        <v>52044</v>
      </c>
      <c r="S727" s="4" t="s">
        <v>321</v>
      </c>
      <c r="U727" s="4">
        <v>38</v>
      </c>
      <c r="V727" s="4">
        <v>0</v>
      </c>
      <c r="W727" s="4">
        <v>0</v>
      </c>
    </row>
    <row r="728" spans="1:23" ht="11.25" customHeight="1" x14ac:dyDescent="0.25">
      <c r="A728" s="4" t="s">
        <v>21</v>
      </c>
      <c r="B728" s="4" t="s">
        <v>41</v>
      </c>
      <c r="C728" s="4" t="s">
        <v>66</v>
      </c>
      <c r="D728" s="4" t="s">
        <v>25</v>
      </c>
      <c r="E728" s="4" t="s">
        <v>25</v>
      </c>
      <c r="F728" s="4" t="s">
        <v>25</v>
      </c>
      <c r="G728" s="4" t="s">
        <v>72</v>
      </c>
      <c r="H728" s="4" t="s">
        <v>25</v>
      </c>
      <c r="I728" s="5">
        <v>44713</v>
      </c>
      <c r="J728" s="6">
        <v>4500</v>
      </c>
      <c r="K728" s="6">
        <v>2250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4" t="s">
        <v>68</v>
      </c>
      <c r="R728" s="4">
        <v>29075</v>
      </c>
      <c r="S728" s="4" t="s">
        <v>322</v>
      </c>
      <c r="U728" s="4">
        <v>38</v>
      </c>
      <c r="V728" s="4">
        <v>0</v>
      </c>
      <c r="W728" s="4">
        <v>0</v>
      </c>
    </row>
    <row r="729" spans="1:23" ht="11.25" customHeight="1" x14ac:dyDescent="0.25">
      <c r="A729" s="4" t="s">
        <v>21</v>
      </c>
      <c r="B729" s="4" t="s">
        <v>41</v>
      </c>
      <c r="C729" s="4" t="s">
        <v>66</v>
      </c>
      <c r="D729" s="4" t="s">
        <v>25</v>
      </c>
      <c r="E729" s="4" t="s">
        <v>25</v>
      </c>
      <c r="F729" s="4" t="s">
        <v>25</v>
      </c>
      <c r="G729" s="4" t="s">
        <v>74</v>
      </c>
      <c r="H729" s="4" t="s">
        <v>25</v>
      </c>
      <c r="I729" s="5">
        <v>44713</v>
      </c>
      <c r="J729" s="6">
        <v>3000</v>
      </c>
      <c r="K729" s="6">
        <v>1500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4" t="s">
        <v>68</v>
      </c>
      <c r="S729" s="4" t="s">
        <v>322</v>
      </c>
      <c r="U729" s="4">
        <v>38</v>
      </c>
      <c r="V729" s="4">
        <v>0</v>
      </c>
      <c r="W729" s="4">
        <v>0</v>
      </c>
    </row>
    <row r="730" spans="1:23" ht="11.25" customHeight="1" x14ac:dyDescent="0.25">
      <c r="A730" s="4" t="s">
        <v>21</v>
      </c>
      <c r="B730" s="4" t="s">
        <v>41</v>
      </c>
      <c r="C730" s="4" t="s">
        <v>66</v>
      </c>
      <c r="D730" s="4" t="s">
        <v>25</v>
      </c>
      <c r="E730" s="4" t="s">
        <v>25</v>
      </c>
      <c r="F730" s="4" t="s">
        <v>25</v>
      </c>
      <c r="G730" s="4" t="s">
        <v>80</v>
      </c>
      <c r="H730" s="4" t="s">
        <v>25</v>
      </c>
      <c r="I730" s="5">
        <v>44713</v>
      </c>
      <c r="J730" s="6">
        <v>3000</v>
      </c>
      <c r="K730" s="6">
        <v>1500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4" t="s">
        <v>68</v>
      </c>
      <c r="R730" s="4">
        <v>34891</v>
      </c>
      <c r="S730" s="4" t="s">
        <v>322</v>
      </c>
      <c r="U730" s="4">
        <v>38</v>
      </c>
      <c r="V730" s="4">
        <v>0</v>
      </c>
      <c r="W730" s="4">
        <v>0</v>
      </c>
    </row>
    <row r="731" spans="1:23" ht="11.25" customHeight="1" x14ac:dyDescent="0.25">
      <c r="A731" s="4" t="s">
        <v>21</v>
      </c>
      <c r="B731" s="4" t="s">
        <v>41</v>
      </c>
      <c r="C731" s="4" t="s">
        <v>66</v>
      </c>
      <c r="D731" s="4" t="s">
        <v>25</v>
      </c>
      <c r="E731" s="4" t="s">
        <v>25</v>
      </c>
      <c r="F731" s="4" t="s">
        <v>25</v>
      </c>
      <c r="G731" s="4" t="s">
        <v>81</v>
      </c>
      <c r="H731" s="4" t="s">
        <v>25</v>
      </c>
      <c r="I731" s="5">
        <v>44713</v>
      </c>
      <c r="J731" s="6">
        <v>600</v>
      </c>
      <c r="K731" s="6">
        <v>300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4" t="s">
        <v>68</v>
      </c>
      <c r="R731" s="4">
        <v>34893</v>
      </c>
      <c r="S731" s="4" t="s">
        <v>322</v>
      </c>
      <c r="U731" s="4">
        <v>38</v>
      </c>
      <c r="V731" s="4">
        <v>0</v>
      </c>
      <c r="W731" s="4">
        <v>0</v>
      </c>
    </row>
    <row r="732" spans="1:23" ht="11.25" customHeight="1" x14ac:dyDescent="0.25">
      <c r="A732" s="4" t="s">
        <v>21</v>
      </c>
      <c r="B732" s="4" t="s">
        <v>41</v>
      </c>
      <c r="C732" s="4" t="s">
        <v>66</v>
      </c>
      <c r="D732" s="4" t="s">
        <v>25</v>
      </c>
      <c r="E732" s="4" t="s">
        <v>25</v>
      </c>
      <c r="F732" s="4" t="s">
        <v>25</v>
      </c>
      <c r="G732" s="4" t="s">
        <v>82</v>
      </c>
      <c r="H732" s="4" t="s">
        <v>25</v>
      </c>
      <c r="I732" s="5">
        <v>44713</v>
      </c>
      <c r="J732" s="6">
        <v>4800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4" t="s">
        <v>68</v>
      </c>
      <c r="R732" s="4">
        <v>43199</v>
      </c>
      <c r="S732" s="4" t="s">
        <v>322</v>
      </c>
      <c r="U732" s="4">
        <v>38</v>
      </c>
      <c r="V732" s="4">
        <v>0</v>
      </c>
      <c r="W732" s="4">
        <v>0</v>
      </c>
    </row>
    <row r="733" spans="1:23" ht="11.25" customHeight="1" x14ac:dyDescent="0.25">
      <c r="A733" s="4" t="s">
        <v>21</v>
      </c>
      <c r="B733" s="4" t="s">
        <v>41</v>
      </c>
      <c r="C733" s="4" t="s">
        <v>66</v>
      </c>
      <c r="D733" s="4" t="s">
        <v>25</v>
      </c>
      <c r="E733" s="4" t="s">
        <v>25</v>
      </c>
      <c r="F733" s="4" t="s">
        <v>25</v>
      </c>
      <c r="G733" s="4" t="s">
        <v>83</v>
      </c>
      <c r="H733" s="4" t="s">
        <v>25</v>
      </c>
      <c r="I733" s="5">
        <v>44713</v>
      </c>
      <c r="J733" s="6">
        <v>2400</v>
      </c>
      <c r="K733" s="6">
        <v>1200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4" t="s">
        <v>68</v>
      </c>
      <c r="S733" s="4" t="s">
        <v>322</v>
      </c>
      <c r="U733" s="4">
        <v>38</v>
      </c>
      <c r="V733" s="4">
        <v>0</v>
      </c>
      <c r="W733" s="4">
        <v>0</v>
      </c>
    </row>
    <row r="734" spans="1:23" ht="11.25" customHeight="1" x14ac:dyDescent="0.25">
      <c r="A734" s="4" t="s">
        <v>21</v>
      </c>
      <c r="B734" s="4" t="s">
        <v>41</v>
      </c>
      <c r="C734" s="4" t="s">
        <v>66</v>
      </c>
      <c r="D734" s="4" t="s">
        <v>25</v>
      </c>
      <c r="E734" s="4" t="s">
        <v>25</v>
      </c>
      <c r="F734" s="4" t="s">
        <v>25</v>
      </c>
      <c r="G734" s="4" t="s">
        <v>84</v>
      </c>
      <c r="H734" s="4" t="s">
        <v>25</v>
      </c>
      <c r="I734" s="5">
        <v>44713</v>
      </c>
      <c r="J734" s="6">
        <v>250</v>
      </c>
      <c r="K734" s="6">
        <v>125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4" t="s">
        <v>68</v>
      </c>
      <c r="S734" s="4" t="s">
        <v>322</v>
      </c>
      <c r="U734" s="4">
        <v>38</v>
      </c>
      <c r="V734" s="4">
        <v>0</v>
      </c>
      <c r="W734" s="4">
        <v>0</v>
      </c>
    </row>
    <row r="735" spans="1:23" ht="11.25" customHeight="1" x14ac:dyDescent="0.25">
      <c r="A735" s="4" t="s">
        <v>21</v>
      </c>
      <c r="B735" s="4" t="s">
        <v>41</v>
      </c>
      <c r="C735" s="4" t="s">
        <v>66</v>
      </c>
      <c r="D735" s="4" t="s">
        <v>25</v>
      </c>
      <c r="E735" s="4" t="s">
        <v>25</v>
      </c>
      <c r="F735" s="4" t="s">
        <v>25</v>
      </c>
      <c r="G735" s="4" t="s">
        <v>85</v>
      </c>
      <c r="H735" s="4" t="s">
        <v>25</v>
      </c>
      <c r="I735" s="5">
        <v>44713</v>
      </c>
      <c r="J735" s="6">
        <v>250</v>
      </c>
      <c r="K735" s="6">
        <v>125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4" t="s">
        <v>68</v>
      </c>
      <c r="R735" s="4">
        <v>52044</v>
      </c>
      <c r="S735" s="4" t="s">
        <v>322</v>
      </c>
      <c r="U735" s="4">
        <v>38</v>
      </c>
      <c r="V735" s="4">
        <v>0</v>
      </c>
      <c r="W735" s="4">
        <v>0</v>
      </c>
    </row>
    <row r="736" spans="1:23" ht="11.25" customHeight="1" x14ac:dyDescent="0.25">
      <c r="A736" s="4" t="s">
        <v>57</v>
      </c>
      <c r="B736" s="4" t="s">
        <v>41</v>
      </c>
      <c r="C736" s="4" t="s">
        <v>66</v>
      </c>
      <c r="D736" s="4" t="s">
        <v>25</v>
      </c>
      <c r="E736" s="4" t="s">
        <v>25</v>
      </c>
      <c r="F736" s="4" t="s">
        <v>25</v>
      </c>
      <c r="G736" s="4" t="s">
        <v>72</v>
      </c>
      <c r="H736" s="4" t="s">
        <v>25</v>
      </c>
      <c r="I736" s="5">
        <v>44743</v>
      </c>
      <c r="J736" s="6">
        <v>4500</v>
      </c>
      <c r="K736" s="6">
        <v>2250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4" t="s">
        <v>68</v>
      </c>
      <c r="R736" s="4">
        <v>29075</v>
      </c>
      <c r="S736" s="4" t="s">
        <v>323</v>
      </c>
      <c r="U736" s="4">
        <v>38</v>
      </c>
      <c r="V736" s="4">
        <v>0</v>
      </c>
      <c r="W736" s="4">
        <v>0</v>
      </c>
    </row>
    <row r="737" spans="1:23" ht="11.25" customHeight="1" x14ac:dyDescent="0.25">
      <c r="A737" s="4" t="s">
        <v>57</v>
      </c>
      <c r="B737" s="4" t="s">
        <v>41</v>
      </c>
      <c r="C737" s="4" t="s">
        <v>66</v>
      </c>
      <c r="D737" s="4" t="s">
        <v>25</v>
      </c>
      <c r="E737" s="4" t="s">
        <v>25</v>
      </c>
      <c r="F737" s="4" t="s">
        <v>25</v>
      </c>
      <c r="G737" s="4" t="s">
        <v>74</v>
      </c>
      <c r="H737" s="4" t="s">
        <v>25</v>
      </c>
      <c r="I737" s="5">
        <v>44743</v>
      </c>
      <c r="J737" s="6">
        <v>3000</v>
      </c>
      <c r="K737" s="6">
        <v>1500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4" t="s">
        <v>68</v>
      </c>
      <c r="S737" s="4" t="s">
        <v>323</v>
      </c>
      <c r="U737" s="4">
        <v>38</v>
      </c>
      <c r="V737" s="4">
        <v>0</v>
      </c>
      <c r="W737" s="4">
        <v>0</v>
      </c>
    </row>
    <row r="738" spans="1:23" ht="11.25" customHeight="1" x14ac:dyDescent="0.25">
      <c r="A738" s="4" t="s">
        <v>57</v>
      </c>
      <c r="B738" s="4" t="s">
        <v>41</v>
      </c>
      <c r="C738" s="4" t="s">
        <v>66</v>
      </c>
      <c r="D738" s="4" t="s">
        <v>25</v>
      </c>
      <c r="E738" s="4" t="s">
        <v>25</v>
      </c>
      <c r="F738" s="4" t="s">
        <v>25</v>
      </c>
      <c r="G738" s="4" t="s">
        <v>80</v>
      </c>
      <c r="H738" s="4" t="s">
        <v>25</v>
      </c>
      <c r="I738" s="5">
        <v>44743</v>
      </c>
      <c r="J738" s="6">
        <v>3000</v>
      </c>
      <c r="K738" s="6">
        <v>1500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4" t="s">
        <v>68</v>
      </c>
      <c r="R738" s="4">
        <v>34891</v>
      </c>
      <c r="S738" s="4" t="s">
        <v>323</v>
      </c>
      <c r="U738" s="4">
        <v>38</v>
      </c>
      <c r="V738" s="4">
        <v>0</v>
      </c>
      <c r="W738" s="4">
        <v>0</v>
      </c>
    </row>
    <row r="739" spans="1:23" ht="11.25" customHeight="1" x14ac:dyDescent="0.25">
      <c r="A739" s="4" t="s">
        <v>57</v>
      </c>
      <c r="B739" s="4" t="s">
        <v>41</v>
      </c>
      <c r="C739" s="4" t="s">
        <v>66</v>
      </c>
      <c r="D739" s="4" t="s">
        <v>25</v>
      </c>
      <c r="E739" s="4" t="s">
        <v>25</v>
      </c>
      <c r="F739" s="4" t="s">
        <v>25</v>
      </c>
      <c r="G739" s="4" t="s">
        <v>81</v>
      </c>
      <c r="H739" s="4" t="s">
        <v>25</v>
      </c>
      <c r="I739" s="5">
        <v>44743</v>
      </c>
      <c r="J739" s="6">
        <v>600</v>
      </c>
      <c r="K739" s="6">
        <v>300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4" t="s">
        <v>68</v>
      </c>
      <c r="R739" s="4">
        <v>34893</v>
      </c>
      <c r="S739" s="4" t="s">
        <v>323</v>
      </c>
      <c r="U739" s="4">
        <v>38</v>
      </c>
      <c r="V739" s="4">
        <v>0</v>
      </c>
      <c r="W739" s="4">
        <v>0</v>
      </c>
    </row>
    <row r="740" spans="1:23" ht="11.25" customHeight="1" x14ac:dyDescent="0.25">
      <c r="A740" s="4" t="s">
        <v>57</v>
      </c>
      <c r="B740" s="4" t="s">
        <v>41</v>
      </c>
      <c r="C740" s="4" t="s">
        <v>66</v>
      </c>
      <c r="D740" s="4" t="s">
        <v>25</v>
      </c>
      <c r="E740" s="4" t="s">
        <v>25</v>
      </c>
      <c r="F740" s="4" t="s">
        <v>25</v>
      </c>
      <c r="G740" s="4" t="s">
        <v>82</v>
      </c>
      <c r="H740" s="4" t="s">
        <v>25</v>
      </c>
      <c r="I740" s="5">
        <v>44743</v>
      </c>
      <c r="J740" s="6">
        <v>4800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4" t="s">
        <v>68</v>
      </c>
      <c r="R740" s="4">
        <v>43199</v>
      </c>
      <c r="S740" s="4" t="s">
        <v>323</v>
      </c>
      <c r="U740" s="4">
        <v>38</v>
      </c>
      <c r="V740" s="4">
        <v>0</v>
      </c>
      <c r="W740" s="4">
        <v>0</v>
      </c>
    </row>
    <row r="741" spans="1:23" ht="11.25" customHeight="1" x14ac:dyDescent="0.25">
      <c r="A741" s="4" t="s">
        <v>57</v>
      </c>
      <c r="B741" s="4" t="s">
        <v>41</v>
      </c>
      <c r="C741" s="4" t="s">
        <v>66</v>
      </c>
      <c r="D741" s="4" t="s">
        <v>25</v>
      </c>
      <c r="E741" s="4" t="s">
        <v>25</v>
      </c>
      <c r="F741" s="4" t="s">
        <v>25</v>
      </c>
      <c r="G741" s="4" t="s">
        <v>83</v>
      </c>
      <c r="H741" s="4" t="s">
        <v>25</v>
      </c>
      <c r="I741" s="5">
        <v>44743</v>
      </c>
      <c r="J741" s="6">
        <v>2400</v>
      </c>
      <c r="K741" s="6">
        <v>1200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4" t="s">
        <v>68</v>
      </c>
      <c r="S741" s="4" t="s">
        <v>323</v>
      </c>
      <c r="U741" s="4">
        <v>38</v>
      </c>
      <c r="V741" s="4">
        <v>0</v>
      </c>
      <c r="W741" s="4">
        <v>0</v>
      </c>
    </row>
    <row r="742" spans="1:23" ht="11.25" customHeight="1" x14ac:dyDescent="0.25">
      <c r="A742" s="4" t="s">
        <v>57</v>
      </c>
      <c r="B742" s="4" t="s">
        <v>41</v>
      </c>
      <c r="C742" s="4" t="s">
        <v>66</v>
      </c>
      <c r="D742" s="4" t="s">
        <v>25</v>
      </c>
      <c r="E742" s="4" t="s">
        <v>25</v>
      </c>
      <c r="F742" s="4" t="s">
        <v>25</v>
      </c>
      <c r="G742" s="4" t="s">
        <v>84</v>
      </c>
      <c r="H742" s="4" t="s">
        <v>25</v>
      </c>
      <c r="I742" s="5">
        <v>44743</v>
      </c>
      <c r="J742" s="6">
        <v>250</v>
      </c>
      <c r="K742" s="6">
        <v>125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4" t="s">
        <v>68</v>
      </c>
      <c r="S742" s="4" t="s">
        <v>323</v>
      </c>
      <c r="U742" s="4">
        <v>38</v>
      </c>
      <c r="V742" s="4">
        <v>0</v>
      </c>
      <c r="W742" s="4">
        <v>0</v>
      </c>
    </row>
    <row r="743" spans="1:23" ht="11.25" customHeight="1" x14ac:dyDescent="0.25">
      <c r="A743" s="4" t="s">
        <v>57</v>
      </c>
      <c r="B743" s="4" t="s">
        <v>41</v>
      </c>
      <c r="C743" s="4" t="s">
        <v>66</v>
      </c>
      <c r="D743" s="4" t="s">
        <v>25</v>
      </c>
      <c r="E743" s="4" t="s">
        <v>25</v>
      </c>
      <c r="F743" s="4" t="s">
        <v>25</v>
      </c>
      <c r="G743" s="4" t="s">
        <v>85</v>
      </c>
      <c r="H743" s="4" t="s">
        <v>25</v>
      </c>
      <c r="I743" s="5">
        <v>44743</v>
      </c>
      <c r="J743" s="6">
        <v>250</v>
      </c>
      <c r="K743" s="6">
        <v>125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4" t="s">
        <v>68</v>
      </c>
      <c r="R743" s="4">
        <v>52044</v>
      </c>
      <c r="S743" s="4" t="s">
        <v>323</v>
      </c>
      <c r="U743" s="4">
        <v>38</v>
      </c>
      <c r="V743" s="4">
        <v>0</v>
      </c>
      <c r="W743" s="4">
        <v>0</v>
      </c>
    </row>
    <row r="744" spans="1:23" ht="11.25" customHeight="1" x14ac:dyDescent="0.25">
      <c r="A744" s="4" t="s">
        <v>21</v>
      </c>
      <c r="B744" s="4" t="s">
        <v>41</v>
      </c>
      <c r="C744" s="4" t="s">
        <v>42</v>
      </c>
      <c r="D744" s="4" t="s">
        <v>43</v>
      </c>
      <c r="E744" s="4" t="s">
        <v>25</v>
      </c>
      <c r="F744" s="4" t="s">
        <v>25</v>
      </c>
      <c r="G744" s="4" t="s">
        <v>25</v>
      </c>
      <c r="H744" s="4" t="s">
        <v>35</v>
      </c>
      <c r="I744" s="5">
        <v>44409</v>
      </c>
      <c r="J744" s="6">
        <v>0</v>
      </c>
      <c r="K744" s="6">
        <v>0</v>
      </c>
      <c r="L744" s="6">
        <v>10179.378000000001</v>
      </c>
      <c r="M744" s="6">
        <v>10179.378000000001</v>
      </c>
      <c r="N744" s="6">
        <v>10179.378000000001</v>
      </c>
      <c r="O744" s="6">
        <v>10179.378000000001</v>
      </c>
      <c r="P744" s="6">
        <v>0</v>
      </c>
      <c r="Q744" s="4" t="s">
        <v>26</v>
      </c>
      <c r="R744" s="4">
        <v>0</v>
      </c>
      <c r="S744" s="4" t="s">
        <v>324</v>
      </c>
      <c r="T744" s="4" t="s">
        <v>601</v>
      </c>
      <c r="U744" s="4">
        <v>0</v>
      </c>
      <c r="V744" s="4">
        <v>44</v>
      </c>
      <c r="W744" s="4">
        <v>67</v>
      </c>
    </row>
    <row r="745" spans="1:23" ht="11.25" customHeight="1" x14ac:dyDescent="0.25">
      <c r="A745" s="4" t="s">
        <v>28</v>
      </c>
      <c r="B745" s="4" t="s">
        <v>41</v>
      </c>
      <c r="C745" s="4" t="s">
        <v>42</v>
      </c>
      <c r="D745" s="4" t="s">
        <v>43</v>
      </c>
      <c r="E745" s="4" t="s">
        <v>25</v>
      </c>
      <c r="F745" s="4" t="s">
        <v>25</v>
      </c>
      <c r="G745" s="4" t="s">
        <v>25</v>
      </c>
      <c r="H745" s="4" t="s">
        <v>35</v>
      </c>
      <c r="I745" s="5">
        <v>44409</v>
      </c>
      <c r="J745" s="6">
        <v>0</v>
      </c>
      <c r="K745" s="6">
        <v>0</v>
      </c>
      <c r="L745" s="6">
        <v>354.34699999999998</v>
      </c>
      <c r="M745" s="6">
        <v>354.34699999999998</v>
      </c>
      <c r="N745" s="6">
        <v>354.34699999999998</v>
      </c>
      <c r="O745" s="6">
        <v>354.34699999999998</v>
      </c>
      <c r="P745" s="6">
        <v>0</v>
      </c>
      <c r="Q745" s="4" t="s">
        <v>26</v>
      </c>
      <c r="R745" s="4">
        <v>0</v>
      </c>
      <c r="S745" s="4" t="s">
        <v>324</v>
      </c>
      <c r="T745" s="4" t="s">
        <v>601</v>
      </c>
      <c r="U745" s="4">
        <v>0</v>
      </c>
      <c r="V745" s="4">
        <v>44</v>
      </c>
      <c r="W745" s="4">
        <v>67</v>
      </c>
    </row>
    <row r="746" spans="1:23" ht="11.25" customHeight="1" x14ac:dyDescent="0.25">
      <c r="A746" s="4" t="s">
        <v>28</v>
      </c>
      <c r="B746" s="4" t="s">
        <v>41</v>
      </c>
      <c r="C746" s="4" t="s">
        <v>42</v>
      </c>
      <c r="D746" s="4" t="s">
        <v>43</v>
      </c>
      <c r="E746" s="4" t="s">
        <v>25</v>
      </c>
      <c r="F746" s="4" t="s">
        <v>25</v>
      </c>
      <c r="G746" s="4" t="s">
        <v>25</v>
      </c>
      <c r="H746" s="4" t="s">
        <v>35</v>
      </c>
      <c r="I746" s="5">
        <v>44409</v>
      </c>
      <c r="J746" s="6">
        <v>0</v>
      </c>
      <c r="K746" s="6">
        <v>0</v>
      </c>
      <c r="L746" s="6">
        <v>-2.347</v>
      </c>
      <c r="M746" s="6">
        <v>-2.347</v>
      </c>
      <c r="N746" s="6">
        <v>-2.347</v>
      </c>
      <c r="O746" s="6">
        <v>-2.347</v>
      </c>
      <c r="P746" s="6">
        <v>0</v>
      </c>
      <c r="Q746" s="4" t="s">
        <v>26</v>
      </c>
      <c r="R746" s="4">
        <v>0</v>
      </c>
      <c r="S746" s="4" t="s">
        <v>324</v>
      </c>
      <c r="T746" s="4" t="s">
        <v>601</v>
      </c>
      <c r="U746" s="4">
        <v>0</v>
      </c>
      <c r="V746" s="4">
        <v>44</v>
      </c>
      <c r="W746" s="4">
        <v>67</v>
      </c>
    </row>
    <row r="747" spans="1:23" ht="11.25" customHeight="1" x14ac:dyDescent="0.25">
      <c r="A747" s="4" t="s">
        <v>21</v>
      </c>
      <c r="B747" s="4" t="s">
        <v>41</v>
      </c>
      <c r="C747" s="4" t="s">
        <v>42</v>
      </c>
      <c r="D747" s="4" t="s">
        <v>43</v>
      </c>
      <c r="E747" s="4" t="s">
        <v>25</v>
      </c>
      <c r="F747" s="4" t="s">
        <v>25</v>
      </c>
      <c r="G747" s="4" t="s">
        <v>25</v>
      </c>
      <c r="H747" s="4" t="s">
        <v>35</v>
      </c>
      <c r="I747" s="5">
        <v>44409</v>
      </c>
      <c r="J747" s="6">
        <v>0</v>
      </c>
      <c r="K747" s="6">
        <v>0</v>
      </c>
      <c r="L747" s="6">
        <v>13.048999999999999</v>
      </c>
      <c r="M747" s="6">
        <v>13.048999999999999</v>
      </c>
      <c r="N747" s="6">
        <v>0</v>
      </c>
      <c r="O747" s="6">
        <v>0</v>
      </c>
      <c r="P747" s="6">
        <v>0</v>
      </c>
      <c r="Q747" s="4" t="s">
        <v>58</v>
      </c>
      <c r="R747" s="4">
        <v>0</v>
      </c>
      <c r="S747" s="4" t="s">
        <v>324</v>
      </c>
      <c r="U747" s="4">
        <v>0</v>
      </c>
      <c r="V747" s="4">
        <v>44</v>
      </c>
      <c r="W747" s="4">
        <v>0</v>
      </c>
    </row>
    <row r="748" spans="1:23" ht="11.25" customHeight="1" x14ac:dyDescent="0.25">
      <c r="A748" s="4" t="s">
        <v>21</v>
      </c>
      <c r="B748" s="4" t="s">
        <v>41</v>
      </c>
      <c r="C748" s="4" t="s">
        <v>42</v>
      </c>
      <c r="D748" s="4" t="s">
        <v>43</v>
      </c>
      <c r="E748" s="4" t="s">
        <v>25</v>
      </c>
      <c r="F748" s="4" t="s">
        <v>25</v>
      </c>
      <c r="G748" s="4" t="s">
        <v>25</v>
      </c>
      <c r="H748" s="4" t="s">
        <v>35</v>
      </c>
      <c r="I748" s="5">
        <v>44440</v>
      </c>
      <c r="J748" s="6">
        <v>0</v>
      </c>
      <c r="K748" s="6">
        <v>0</v>
      </c>
      <c r="L748" s="6">
        <v>10558.073</v>
      </c>
      <c r="M748" s="6">
        <v>10558.073</v>
      </c>
      <c r="N748" s="6">
        <v>10558.073</v>
      </c>
      <c r="O748" s="6">
        <v>10558.073</v>
      </c>
      <c r="P748" s="6">
        <v>0</v>
      </c>
      <c r="Q748" s="4" t="s">
        <v>26</v>
      </c>
      <c r="R748" s="4">
        <v>0</v>
      </c>
      <c r="S748" s="4" t="s">
        <v>325</v>
      </c>
      <c r="T748" s="4" t="s">
        <v>602</v>
      </c>
      <c r="U748" s="4">
        <v>0</v>
      </c>
      <c r="V748" s="4">
        <v>44</v>
      </c>
      <c r="W748" s="4">
        <v>67</v>
      </c>
    </row>
    <row r="749" spans="1:23" ht="11.25" customHeight="1" x14ac:dyDescent="0.25">
      <c r="A749" s="4" t="s">
        <v>28</v>
      </c>
      <c r="B749" s="4" t="s">
        <v>41</v>
      </c>
      <c r="C749" s="4" t="s">
        <v>42</v>
      </c>
      <c r="D749" s="4" t="s">
        <v>43</v>
      </c>
      <c r="E749" s="4" t="s">
        <v>25</v>
      </c>
      <c r="F749" s="4" t="s">
        <v>25</v>
      </c>
      <c r="G749" s="4" t="s">
        <v>25</v>
      </c>
      <c r="H749" s="4" t="s">
        <v>35</v>
      </c>
      <c r="I749" s="5">
        <v>44440</v>
      </c>
      <c r="J749" s="6">
        <v>0</v>
      </c>
      <c r="K749" s="6">
        <v>0</v>
      </c>
      <c r="L749" s="6">
        <v>444.69600000000003</v>
      </c>
      <c r="M749" s="6">
        <v>444.69600000000003</v>
      </c>
      <c r="N749" s="6">
        <v>444.69600000000003</v>
      </c>
      <c r="O749" s="6">
        <v>444.69600000000003</v>
      </c>
      <c r="P749" s="6">
        <v>0</v>
      </c>
      <c r="Q749" s="4" t="s">
        <v>26</v>
      </c>
      <c r="R749" s="4">
        <v>0</v>
      </c>
      <c r="S749" s="4" t="s">
        <v>325</v>
      </c>
      <c r="T749" s="4" t="s">
        <v>602</v>
      </c>
      <c r="U749" s="4">
        <v>0</v>
      </c>
      <c r="V749" s="4">
        <v>44</v>
      </c>
      <c r="W749" s="4">
        <v>67</v>
      </c>
    </row>
    <row r="750" spans="1:23" ht="11.25" customHeight="1" x14ac:dyDescent="0.25">
      <c r="A750" s="4" t="s">
        <v>28</v>
      </c>
      <c r="B750" s="4" t="s">
        <v>41</v>
      </c>
      <c r="C750" s="4" t="s">
        <v>42</v>
      </c>
      <c r="D750" s="4" t="s">
        <v>43</v>
      </c>
      <c r="E750" s="4" t="s">
        <v>25</v>
      </c>
      <c r="F750" s="4" t="s">
        <v>25</v>
      </c>
      <c r="G750" s="4" t="s">
        <v>25</v>
      </c>
      <c r="H750" s="4" t="s">
        <v>35</v>
      </c>
      <c r="I750" s="5">
        <v>44440</v>
      </c>
      <c r="J750" s="6">
        <v>0</v>
      </c>
      <c r="K750" s="6">
        <v>0</v>
      </c>
      <c r="L750" s="6">
        <v>0.54200000000000004</v>
      </c>
      <c r="M750" s="6">
        <v>0.54200000000000004</v>
      </c>
      <c r="N750" s="6">
        <v>0.54200000000000004</v>
      </c>
      <c r="O750" s="6">
        <v>0.54200000000000004</v>
      </c>
      <c r="P750" s="6">
        <v>0</v>
      </c>
      <c r="Q750" s="4" t="s">
        <v>26</v>
      </c>
      <c r="R750" s="4">
        <v>0</v>
      </c>
      <c r="S750" s="4" t="s">
        <v>325</v>
      </c>
      <c r="T750" s="4" t="s">
        <v>602</v>
      </c>
      <c r="U750" s="4">
        <v>0</v>
      </c>
      <c r="V750" s="4">
        <v>44</v>
      </c>
      <c r="W750" s="4">
        <v>67</v>
      </c>
    </row>
    <row r="751" spans="1:23" ht="11.25" customHeight="1" x14ac:dyDescent="0.25">
      <c r="A751" s="4" t="s">
        <v>21</v>
      </c>
      <c r="B751" s="4" t="s">
        <v>41</v>
      </c>
      <c r="C751" s="4" t="s">
        <v>42</v>
      </c>
      <c r="D751" s="4" t="s">
        <v>43</v>
      </c>
      <c r="E751" s="4" t="s">
        <v>25</v>
      </c>
      <c r="F751" s="4" t="s">
        <v>25</v>
      </c>
      <c r="G751" s="4" t="s">
        <v>25</v>
      </c>
      <c r="H751" s="4" t="s">
        <v>35</v>
      </c>
      <c r="I751" s="5">
        <v>44440</v>
      </c>
      <c r="J751" s="6">
        <v>0</v>
      </c>
      <c r="K751" s="6">
        <v>0</v>
      </c>
      <c r="L751" s="6">
        <v>36.709000000000003</v>
      </c>
      <c r="M751" s="6">
        <v>36.709000000000003</v>
      </c>
      <c r="N751" s="6">
        <v>0</v>
      </c>
      <c r="O751" s="6">
        <v>0</v>
      </c>
      <c r="P751" s="6">
        <v>0</v>
      </c>
      <c r="Q751" s="4" t="s">
        <v>58</v>
      </c>
      <c r="R751" s="4">
        <v>0</v>
      </c>
      <c r="S751" s="4" t="s">
        <v>325</v>
      </c>
      <c r="U751" s="4">
        <v>0</v>
      </c>
      <c r="V751" s="4">
        <v>44</v>
      </c>
      <c r="W751" s="4">
        <v>0</v>
      </c>
    </row>
    <row r="752" spans="1:23" ht="11.25" customHeight="1" x14ac:dyDescent="0.25">
      <c r="A752" s="4" t="s">
        <v>21</v>
      </c>
      <c r="B752" s="4" t="s">
        <v>41</v>
      </c>
      <c r="C752" s="4" t="s">
        <v>42</v>
      </c>
      <c r="D752" s="4" t="s">
        <v>43</v>
      </c>
      <c r="E752" s="4" t="s">
        <v>25</v>
      </c>
      <c r="F752" s="4" t="s">
        <v>25</v>
      </c>
      <c r="G752" s="4" t="s">
        <v>25</v>
      </c>
      <c r="H752" s="4" t="s">
        <v>35</v>
      </c>
      <c r="I752" s="5">
        <v>44470</v>
      </c>
      <c r="J752" s="6">
        <v>0</v>
      </c>
      <c r="K752" s="6">
        <v>0</v>
      </c>
      <c r="L752" s="6">
        <v>11646.715</v>
      </c>
      <c r="M752" s="6">
        <v>11646.715</v>
      </c>
      <c r="N752" s="6">
        <v>11646.715</v>
      </c>
      <c r="O752" s="6">
        <v>11646.715</v>
      </c>
      <c r="P752" s="6">
        <v>0</v>
      </c>
      <c r="Q752" s="4" t="s">
        <v>26</v>
      </c>
      <c r="R752" s="4">
        <v>0</v>
      </c>
      <c r="S752" s="4" t="s">
        <v>326</v>
      </c>
      <c r="T752" s="4" t="s">
        <v>603</v>
      </c>
      <c r="U752" s="4">
        <v>0</v>
      </c>
      <c r="V752" s="4">
        <v>44</v>
      </c>
      <c r="W752" s="4">
        <v>67</v>
      </c>
    </row>
    <row r="753" spans="1:23" ht="11.25" customHeight="1" x14ac:dyDescent="0.25">
      <c r="A753" s="4" t="s">
        <v>27</v>
      </c>
      <c r="B753" s="4" t="s">
        <v>41</v>
      </c>
      <c r="C753" s="4" t="s">
        <v>42</v>
      </c>
      <c r="D753" s="4" t="s">
        <v>43</v>
      </c>
      <c r="E753" s="4" t="s">
        <v>25</v>
      </c>
      <c r="F753" s="4" t="s">
        <v>25</v>
      </c>
      <c r="G753" s="4" t="s">
        <v>25</v>
      </c>
      <c r="H753" s="4" t="s">
        <v>35</v>
      </c>
      <c r="I753" s="5">
        <v>44470</v>
      </c>
      <c r="J753" s="6">
        <v>0</v>
      </c>
      <c r="K753" s="6">
        <v>0</v>
      </c>
      <c r="L753" s="6">
        <v>-25.53</v>
      </c>
      <c r="M753" s="6">
        <v>-25.53</v>
      </c>
      <c r="N753" s="6">
        <v>-25.53</v>
      </c>
      <c r="O753" s="6">
        <v>-25.53</v>
      </c>
      <c r="P753" s="6">
        <v>0</v>
      </c>
      <c r="Q753" s="4" t="s">
        <v>26</v>
      </c>
      <c r="R753" s="4">
        <v>0</v>
      </c>
      <c r="S753" s="4" t="s">
        <v>326</v>
      </c>
      <c r="T753" s="4" t="s">
        <v>603</v>
      </c>
      <c r="U753" s="4">
        <v>0</v>
      </c>
      <c r="V753" s="4">
        <v>44</v>
      </c>
      <c r="W753" s="4">
        <v>67</v>
      </c>
    </row>
    <row r="754" spans="1:23" ht="11.25" customHeight="1" x14ac:dyDescent="0.25">
      <c r="A754" s="4" t="s">
        <v>28</v>
      </c>
      <c r="B754" s="4" t="s">
        <v>41</v>
      </c>
      <c r="C754" s="4" t="s">
        <v>42</v>
      </c>
      <c r="D754" s="4" t="s">
        <v>43</v>
      </c>
      <c r="E754" s="4" t="s">
        <v>25</v>
      </c>
      <c r="F754" s="4" t="s">
        <v>25</v>
      </c>
      <c r="G754" s="4" t="s">
        <v>25</v>
      </c>
      <c r="H754" s="4" t="s">
        <v>35</v>
      </c>
      <c r="I754" s="5">
        <v>44470</v>
      </c>
      <c r="J754" s="6">
        <v>0</v>
      </c>
      <c r="K754" s="6">
        <v>0</v>
      </c>
      <c r="L754" s="6">
        <v>632.53599999999994</v>
      </c>
      <c r="M754" s="6">
        <v>632.53599999999994</v>
      </c>
      <c r="N754" s="6">
        <v>632.53599999999994</v>
      </c>
      <c r="O754" s="6">
        <v>632.53599999999994</v>
      </c>
      <c r="P754" s="6">
        <v>0</v>
      </c>
      <c r="Q754" s="4" t="s">
        <v>26</v>
      </c>
      <c r="R754" s="4">
        <v>0</v>
      </c>
      <c r="S754" s="4" t="s">
        <v>326</v>
      </c>
      <c r="T754" s="4" t="s">
        <v>603</v>
      </c>
      <c r="U754" s="4">
        <v>0</v>
      </c>
      <c r="V754" s="4">
        <v>44</v>
      </c>
      <c r="W754" s="4">
        <v>67</v>
      </c>
    </row>
    <row r="755" spans="1:23" ht="11.25" customHeight="1" x14ac:dyDescent="0.25">
      <c r="A755" s="4" t="s">
        <v>21</v>
      </c>
      <c r="B755" s="4" t="s">
        <v>41</v>
      </c>
      <c r="C755" s="4" t="s">
        <v>42</v>
      </c>
      <c r="D755" s="4" t="s">
        <v>43</v>
      </c>
      <c r="E755" s="4" t="s">
        <v>25</v>
      </c>
      <c r="F755" s="4" t="s">
        <v>25</v>
      </c>
      <c r="G755" s="4" t="s">
        <v>25</v>
      </c>
      <c r="H755" s="4" t="s">
        <v>35</v>
      </c>
      <c r="I755" s="5">
        <v>44470</v>
      </c>
      <c r="J755" s="6">
        <v>0</v>
      </c>
      <c r="K755" s="6">
        <v>0</v>
      </c>
      <c r="L755" s="6">
        <v>26.274000000000001</v>
      </c>
      <c r="M755" s="6">
        <v>26.274000000000001</v>
      </c>
      <c r="N755" s="6">
        <v>0</v>
      </c>
      <c r="O755" s="6">
        <v>0</v>
      </c>
      <c r="P755" s="6">
        <v>0</v>
      </c>
      <c r="Q755" s="4" t="s">
        <v>58</v>
      </c>
      <c r="R755" s="4">
        <v>0</v>
      </c>
      <c r="S755" s="4" t="s">
        <v>326</v>
      </c>
      <c r="U755" s="4">
        <v>0</v>
      </c>
      <c r="V755" s="4">
        <v>44</v>
      </c>
      <c r="W755" s="4">
        <v>0</v>
      </c>
    </row>
    <row r="756" spans="1:23" ht="11.25" customHeight="1" x14ac:dyDescent="0.25">
      <c r="A756" s="4" t="s">
        <v>21</v>
      </c>
      <c r="B756" s="4" t="s">
        <v>41</v>
      </c>
      <c r="C756" s="4" t="s">
        <v>42</v>
      </c>
      <c r="D756" s="4" t="s">
        <v>43</v>
      </c>
      <c r="E756" s="4" t="s">
        <v>25</v>
      </c>
      <c r="F756" s="4" t="s">
        <v>25</v>
      </c>
      <c r="G756" s="4" t="s">
        <v>25</v>
      </c>
      <c r="H756" s="4" t="s">
        <v>35</v>
      </c>
      <c r="I756" s="5">
        <v>44501</v>
      </c>
      <c r="J756" s="6">
        <v>0</v>
      </c>
      <c r="K756" s="6">
        <v>0</v>
      </c>
      <c r="L756" s="6">
        <v>11792.344999999999</v>
      </c>
      <c r="M756" s="6">
        <v>11792.344999999999</v>
      </c>
      <c r="N756" s="6">
        <v>11792.344999999999</v>
      </c>
      <c r="O756" s="6">
        <v>11792.344999999999</v>
      </c>
      <c r="P756" s="6">
        <v>0</v>
      </c>
      <c r="Q756" s="4" t="s">
        <v>26</v>
      </c>
      <c r="R756" s="4">
        <v>0</v>
      </c>
      <c r="S756" s="4" t="s">
        <v>327</v>
      </c>
      <c r="T756" s="4" t="s">
        <v>604</v>
      </c>
      <c r="U756" s="4">
        <v>0</v>
      </c>
      <c r="V756" s="4">
        <v>44</v>
      </c>
      <c r="W756" s="4">
        <v>67</v>
      </c>
    </row>
    <row r="757" spans="1:23" ht="11.25" customHeight="1" x14ac:dyDescent="0.25">
      <c r="A757" s="4" t="s">
        <v>27</v>
      </c>
      <c r="B757" s="4" t="s">
        <v>41</v>
      </c>
      <c r="C757" s="4" t="s">
        <v>42</v>
      </c>
      <c r="D757" s="4" t="s">
        <v>43</v>
      </c>
      <c r="E757" s="4" t="s">
        <v>25</v>
      </c>
      <c r="F757" s="4" t="s">
        <v>25</v>
      </c>
      <c r="G757" s="4" t="s">
        <v>25</v>
      </c>
      <c r="H757" s="4" t="s">
        <v>35</v>
      </c>
      <c r="I757" s="5">
        <v>44501</v>
      </c>
      <c r="J757" s="6">
        <v>0</v>
      </c>
      <c r="K757" s="6">
        <v>0</v>
      </c>
      <c r="L757" s="6">
        <v>-127.76600000000001</v>
      </c>
      <c r="M757" s="6">
        <v>-127.76600000000001</v>
      </c>
      <c r="N757" s="6">
        <v>-127.76600000000001</v>
      </c>
      <c r="O757" s="6">
        <v>-127.76600000000001</v>
      </c>
      <c r="P757" s="6">
        <v>0</v>
      </c>
      <c r="Q757" s="4" t="s">
        <v>26</v>
      </c>
      <c r="R757" s="4">
        <v>0</v>
      </c>
      <c r="S757" s="4" t="s">
        <v>327</v>
      </c>
      <c r="T757" s="4" t="s">
        <v>604</v>
      </c>
      <c r="U757" s="4">
        <v>0</v>
      </c>
      <c r="V757" s="4">
        <v>44</v>
      </c>
      <c r="W757" s="4">
        <v>67</v>
      </c>
    </row>
    <row r="758" spans="1:23" ht="11.25" customHeight="1" x14ac:dyDescent="0.25">
      <c r="A758" s="4" t="s">
        <v>28</v>
      </c>
      <c r="B758" s="4" t="s">
        <v>41</v>
      </c>
      <c r="C758" s="4" t="s">
        <v>42</v>
      </c>
      <c r="D758" s="4" t="s">
        <v>43</v>
      </c>
      <c r="E758" s="4" t="s">
        <v>25</v>
      </c>
      <c r="F758" s="4" t="s">
        <v>25</v>
      </c>
      <c r="G758" s="4" t="s">
        <v>25</v>
      </c>
      <c r="H758" s="4" t="s">
        <v>35</v>
      </c>
      <c r="I758" s="5">
        <v>44501</v>
      </c>
      <c r="J758" s="6">
        <v>0</v>
      </c>
      <c r="K758" s="6">
        <v>0</v>
      </c>
      <c r="L758" s="6">
        <v>562.83000000000004</v>
      </c>
      <c r="M758" s="6">
        <v>562.83000000000004</v>
      </c>
      <c r="N758" s="6">
        <v>562.83000000000004</v>
      </c>
      <c r="O758" s="6">
        <v>562.83000000000004</v>
      </c>
      <c r="P758" s="6">
        <v>0</v>
      </c>
      <c r="Q758" s="4" t="s">
        <v>26</v>
      </c>
      <c r="R758" s="4">
        <v>0</v>
      </c>
      <c r="S758" s="4" t="s">
        <v>327</v>
      </c>
      <c r="T758" s="4" t="s">
        <v>604</v>
      </c>
      <c r="U758" s="4">
        <v>0</v>
      </c>
      <c r="V758" s="4">
        <v>44</v>
      </c>
      <c r="W758" s="4">
        <v>67</v>
      </c>
    </row>
    <row r="759" spans="1:23" ht="11.25" customHeight="1" x14ac:dyDescent="0.25">
      <c r="A759" s="4" t="s">
        <v>21</v>
      </c>
      <c r="B759" s="4" t="s">
        <v>41</v>
      </c>
      <c r="C759" s="4" t="s">
        <v>42</v>
      </c>
      <c r="D759" s="4" t="s">
        <v>43</v>
      </c>
      <c r="E759" s="4" t="s">
        <v>25</v>
      </c>
      <c r="F759" s="4" t="s">
        <v>25</v>
      </c>
      <c r="G759" s="4" t="s">
        <v>25</v>
      </c>
      <c r="H759" s="4" t="s">
        <v>35</v>
      </c>
      <c r="I759" s="5">
        <v>44501</v>
      </c>
      <c r="J759" s="6">
        <v>0</v>
      </c>
      <c r="K759" s="6">
        <v>0</v>
      </c>
      <c r="L759" s="6">
        <v>16.843</v>
      </c>
      <c r="M759" s="6">
        <v>16.843</v>
      </c>
      <c r="N759" s="6">
        <v>0</v>
      </c>
      <c r="O759" s="6">
        <v>0</v>
      </c>
      <c r="P759" s="6">
        <v>0</v>
      </c>
      <c r="Q759" s="4" t="s">
        <v>58</v>
      </c>
      <c r="R759" s="4">
        <v>0</v>
      </c>
      <c r="S759" s="4" t="s">
        <v>327</v>
      </c>
      <c r="U759" s="4">
        <v>0</v>
      </c>
      <c r="V759" s="4">
        <v>44</v>
      </c>
      <c r="W759" s="4">
        <v>0</v>
      </c>
    </row>
    <row r="760" spans="1:23" ht="11.25" customHeight="1" x14ac:dyDescent="0.25">
      <c r="A760" s="4" t="s">
        <v>21</v>
      </c>
      <c r="B760" s="4" t="s">
        <v>41</v>
      </c>
      <c r="C760" s="4" t="s">
        <v>42</v>
      </c>
      <c r="D760" s="4" t="s">
        <v>43</v>
      </c>
      <c r="E760" s="4" t="s">
        <v>25</v>
      </c>
      <c r="F760" s="4" t="s">
        <v>25</v>
      </c>
      <c r="G760" s="4" t="s">
        <v>25</v>
      </c>
      <c r="H760" s="4" t="s">
        <v>35</v>
      </c>
      <c r="I760" s="5">
        <v>44531</v>
      </c>
      <c r="J760" s="6">
        <v>0</v>
      </c>
      <c r="K760" s="6">
        <v>0</v>
      </c>
      <c r="L760" s="6">
        <v>12065.823</v>
      </c>
      <c r="M760" s="6">
        <v>12065.823</v>
      </c>
      <c r="N760" s="6">
        <v>12065.823</v>
      </c>
      <c r="O760" s="6">
        <v>12065.823</v>
      </c>
      <c r="P760" s="6">
        <v>0</v>
      </c>
      <c r="Q760" s="4" t="s">
        <v>26</v>
      </c>
      <c r="R760" s="4">
        <v>0</v>
      </c>
      <c r="S760" s="4" t="s">
        <v>328</v>
      </c>
      <c r="T760" s="4" t="s">
        <v>605</v>
      </c>
      <c r="U760" s="4">
        <v>0</v>
      </c>
      <c r="V760" s="4">
        <v>44</v>
      </c>
      <c r="W760" s="4">
        <v>67</v>
      </c>
    </row>
    <row r="761" spans="1:23" ht="11.25" customHeight="1" x14ac:dyDescent="0.25">
      <c r="A761" s="4" t="s">
        <v>27</v>
      </c>
      <c r="B761" s="4" t="s">
        <v>41</v>
      </c>
      <c r="C761" s="4" t="s">
        <v>42</v>
      </c>
      <c r="D761" s="4" t="s">
        <v>43</v>
      </c>
      <c r="E761" s="4" t="s">
        <v>25</v>
      </c>
      <c r="F761" s="4" t="s">
        <v>25</v>
      </c>
      <c r="G761" s="4" t="s">
        <v>25</v>
      </c>
      <c r="H761" s="4" t="s">
        <v>35</v>
      </c>
      <c r="I761" s="5">
        <v>44531</v>
      </c>
      <c r="J761" s="6">
        <v>0</v>
      </c>
      <c r="K761" s="6">
        <v>0</v>
      </c>
      <c r="L761" s="6">
        <v>-37.938000000000002</v>
      </c>
      <c r="M761" s="6">
        <v>-37.938000000000002</v>
      </c>
      <c r="N761" s="6">
        <v>-37.938000000000002</v>
      </c>
      <c r="O761" s="6">
        <v>-37.938000000000002</v>
      </c>
      <c r="P761" s="6">
        <v>0</v>
      </c>
      <c r="Q761" s="4" t="s">
        <v>26</v>
      </c>
      <c r="R761" s="4">
        <v>0</v>
      </c>
      <c r="S761" s="4" t="s">
        <v>328</v>
      </c>
      <c r="T761" s="4" t="s">
        <v>605</v>
      </c>
      <c r="U761" s="4">
        <v>0</v>
      </c>
      <c r="V761" s="4">
        <v>44</v>
      </c>
      <c r="W761" s="4">
        <v>67</v>
      </c>
    </row>
    <row r="762" spans="1:23" ht="11.25" customHeight="1" x14ac:dyDescent="0.25">
      <c r="A762" s="4" t="s">
        <v>28</v>
      </c>
      <c r="B762" s="4" t="s">
        <v>41</v>
      </c>
      <c r="C762" s="4" t="s">
        <v>42</v>
      </c>
      <c r="D762" s="4" t="s">
        <v>43</v>
      </c>
      <c r="E762" s="4" t="s">
        <v>25</v>
      </c>
      <c r="F762" s="4" t="s">
        <v>25</v>
      </c>
      <c r="G762" s="4" t="s">
        <v>25</v>
      </c>
      <c r="H762" s="4" t="s">
        <v>35</v>
      </c>
      <c r="I762" s="5">
        <v>44531</v>
      </c>
      <c r="J762" s="6">
        <v>0</v>
      </c>
      <c r="K762" s="6">
        <v>0</v>
      </c>
      <c r="L762" s="6">
        <v>679.02800000000002</v>
      </c>
      <c r="M762" s="6">
        <v>679.02800000000002</v>
      </c>
      <c r="N762" s="6">
        <v>679.02800000000002</v>
      </c>
      <c r="O762" s="6">
        <v>679.02800000000002</v>
      </c>
      <c r="P762" s="6">
        <v>0</v>
      </c>
      <c r="Q762" s="4" t="s">
        <v>26</v>
      </c>
      <c r="R762" s="4">
        <v>0</v>
      </c>
      <c r="S762" s="4" t="s">
        <v>328</v>
      </c>
      <c r="T762" s="4" t="s">
        <v>605</v>
      </c>
      <c r="U762" s="4">
        <v>0</v>
      </c>
      <c r="V762" s="4">
        <v>44</v>
      </c>
      <c r="W762" s="4">
        <v>67</v>
      </c>
    </row>
    <row r="763" spans="1:23" ht="11.25" customHeight="1" x14ac:dyDescent="0.25">
      <c r="A763" s="4" t="s">
        <v>21</v>
      </c>
      <c r="B763" s="4" t="s">
        <v>41</v>
      </c>
      <c r="C763" s="4" t="s">
        <v>42</v>
      </c>
      <c r="D763" s="4" t="s">
        <v>43</v>
      </c>
      <c r="E763" s="4" t="s">
        <v>25</v>
      </c>
      <c r="F763" s="4" t="s">
        <v>25</v>
      </c>
      <c r="G763" s="4" t="s">
        <v>25</v>
      </c>
      <c r="H763" s="4" t="s">
        <v>35</v>
      </c>
      <c r="I763" s="5">
        <v>44531</v>
      </c>
      <c r="J763" s="6">
        <v>0</v>
      </c>
      <c r="K763" s="6">
        <v>0</v>
      </c>
      <c r="L763" s="6">
        <v>16.596</v>
      </c>
      <c r="M763" s="6">
        <v>16.596</v>
      </c>
      <c r="N763" s="6">
        <v>0</v>
      </c>
      <c r="O763" s="6">
        <v>0</v>
      </c>
      <c r="P763" s="6">
        <v>0</v>
      </c>
      <c r="Q763" s="4" t="s">
        <v>58</v>
      </c>
      <c r="R763" s="4">
        <v>0</v>
      </c>
      <c r="S763" s="4" t="s">
        <v>328</v>
      </c>
      <c r="U763" s="4">
        <v>0</v>
      </c>
      <c r="V763" s="4">
        <v>44</v>
      </c>
      <c r="W763" s="4">
        <v>0</v>
      </c>
    </row>
    <row r="764" spans="1:23" ht="11.25" customHeight="1" x14ac:dyDescent="0.25">
      <c r="A764" s="4" t="s">
        <v>21</v>
      </c>
      <c r="B764" s="4" t="s">
        <v>41</v>
      </c>
      <c r="C764" s="4" t="s">
        <v>42</v>
      </c>
      <c r="D764" s="4" t="s">
        <v>43</v>
      </c>
      <c r="E764" s="4" t="s">
        <v>25</v>
      </c>
      <c r="F764" s="4" t="s">
        <v>25</v>
      </c>
      <c r="G764" s="4" t="s">
        <v>25</v>
      </c>
      <c r="H764" s="4" t="s">
        <v>35</v>
      </c>
      <c r="I764" s="5">
        <v>44562</v>
      </c>
      <c r="J764" s="6">
        <v>0</v>
      </c>
      <c r="K764" s="6">
        <v>0</v>
      </c>
      <c r="L764" s="6">
        <v>11556.489</v>
      </c>
      <c r="M764" s="6">
        <v>11556.489</v>
      </c>
      <c r="N764" s="6">
        <v>11556.489</v>
      </c>
      <c r="O764" s="6">
        <v>11556.489</v>
      </c>
      <c r="P764" s="6">
        <v>0</v>
      </c>
      <c r="Q764" s="4" t="s">
        <v>26</v>
      </c>
      <c r="R764" s="4">
        <v>0</v>
      </c>
      <c r="S764" s="4" t="s">
        <v>329</v>
      </c>
      <c r="T764" s="4" t="s">
        <v>606</v>
      </c>
      <c r="U764" s="4">
        <v>0</v>
      </c>
      <c r="V764" s="4">
        <v>44</v>
      </c>
      <c r="W764" s="4">
        <v>67</v>
      </c>
    </row>
    <row r="765" spans="1:23" ht="11.25" customHeight="1" x14ac:dyDescent="0.25">
      <c r="A765" s="4" t="s">
        <v>28</v>
      </c>
      <c r="B765" s="4" t="s">
        <v>41</v>
      </c>
      <c r="C765" s="4" t="s">
        <v>42</v>
      </c>
      <c r="D765" s="4" t="s">
        <v>43</v>
      </c>
      <c r="E765" s="4" t="s">
        <v>25</v>
      </c>
      <c r="F765" s="4" t="s">
        <v>25</v>
      </c>
      <c r="G765" s="4" t="s">
        <v>25</v>
      </c>
      <c r="H765" s="4" t="s">
        <v>35</v>
      </c>
      <c r="I765" s="5">
        <v>44562</v>
      </c>
      <c r="J765" s="6">
        <v>0</v>
      </c>
      <c r="K765" s="6">
        <v>0</v>
      </c>
      <c r="L765" s="6">
        <v>529.077</v>
      </c>
      <c r="M765" s="6">
        <v>529.077</v>
      </c>
      <c r="N765" s="6">
        <v>529.077</v>
      </c>
      <c r="O765" s="6">
        <v>529.077</v>
      </c>
      <c r="P765" s="6">
        <v>0</v>
      </c>
      <c r="Q765" s="4" t="s">
        <v>26</v>
      </c>
      <c r="R765" s="4">
        <v>0</v>
      </c>
      <c r="S765" s="4" t="s">
        <v>329</v>
      </c>
      <c r="T765" s="4" t="s">
        <v>606</v>
      </c>
      <c r="U765" s="4">
        <v>0</v>
      </c>
      <c r="V765" s="4">
        <v>44</v>
      </c>
      <c r="W765" s="4">
        <v>67</v>
      </c>
    </row>
    <row r="766" spans="1:23" ht="11.25" customHeight="1" x14ac:dyDescent="0.25">
      <c r="A766" s="4" t="s">
        <v>28</v>
      </c>
      <c r="B766" s="4" t="s">
        <v>41</v>
      </c>
      <c r="C766" s="4" t="s">
        <v>42</v>
      </c>
      <c r="D766" s="4" t="s">
        <v>43</v>
      </c>
      <c r="E766" s="4" t="s">
        <v>25</v>
      </c>
      <c r="F766" s="4" t="s">
        <v>25</v>
      </c>
      <c r="G766" s="4" t="s">
        <v>25</v>
      </c>
      <c r="H766" s="4" t="s">
        <v>35</v>
      </c>
      <c r="I766" s="5">
        <v>44562</v>
      </c>
      <c r="J766" s="6">
        <v>0</v>
      </c>
      <c r="K766" s="6">
        <v>0</v>
      </c>
      <c r="L766" s="6">
        <v>-39.090000000000003</v>
      </c>
      <c r="M766" s="6">
        <v>-39.090000000000003</v>
      </c>
      <c r="N766" s="6">
        <v>-39.090000000000003</v>
      </c>
      <c r="O766" s="6">
        <v>-39.090000000000003</v>
      </c>
      <c r="P766" s="6">
        <v>0</v>
      </c>
      <c r="Q766" s="4" t="s">
        <v>26</v>
      </c>
      <c r="R766" s="4">
        <v>0</v>
      </c>
      <c r="S766" s="4" t="s">
        <v>329</v>
      </c>
      <c r="T766" s="4" t="s">
        <v>606</v>
      </c>
      <c r="U766" s="4">
        <v>0</v>
      </c>
      <c r="V766" s="4">
        <v>44</v>
      </c>
      <c r="W766" s="4">
        <v>67</v>
      </c>
    </row>
    <row r="767" spans="1:23" ht="11.25" customHeight="1" x14ac:dyDescent="0.25">
      <c r="A767" s="4" t="s">
        <v>21</v>
      </c>
      <c r="B767" s="4" t="s">
        <v>41</v>
      </c>
      <c r="C767" s="4" t="s">
        <v>42</v>
      </c>
      <c r="D767" s="4" t="s">
        <v>43</v>
      </c>
      <c r="E767" s="4" t="s">
        <v>25</v>
      </c>
      <c r="F767" s="4" t="s">
        <v>25</v>
      </c>
      <c r="G767" s="4" t="s">
        <v>25</v>
      </c>
      <c r="H767" s="4" t="s">
        <v>35</v>
      </c>
      <c r="I767" s="5">
        <v>44593</v>
      </c>
      <c r="J767" s="6">
        <v>0</v>
      </c>
      <c r="K767" s="6">
        <v>0</v>
      </c>
      <c r="L767" s="6">
        <v>11001.540999999999</v>
      </c>
      <c r="M767" s="6">
        <v>11001.540999999999</v>
      </c>
      <c r="N767" s="6">
        <v>11001.540999999999</v>
      </c>
      <c r="O767" s="6">
        <v>11001.540999999999</v>
      </c>
      <c r="P767" s="6">
        <v>0</v>
      </c>
      <c r="Q767" s="4" t="s">
        <v>26</v>
      </c>
      <c r="R767" s="4">
        <v>0</v>
      </c>
      <c r="S767" s="4" t="s">
        <v>330</v>
      </c>
      <c r="T767" s="4" t="s">
        <v>607</v>
      </c>
      <c r="U767" s="4">
        <v>0</v>
      </c>
      <c r="V767" s="4">
        <v>44</v>
      </c>
      <c r="W767" s="4">
        <v>67</v>
      </c>
    </row>
    <row r="768" spans="1:23" ht="11.25" customHeight="1" x14ac:dyDescent="0.25">
      <c r="A768" s="4" t="s">
        <v>27</v>
      </c>
      <c r="B768" s="4" t="s">
        <v>41</v>
      </c>
      <c r="C768" s="4" t="s">
        <v>42</v>
      </c>
      <c r="D768" s="4" t="s">
        <v>43</v>
      </c>
      <c r="E768" s="4" t="s">
        <v>25</v>
      </c>
      <c r="F768" s="4" t="s">
        <v>25</v>
      </c>
      <c r="G768" s="4" t="s">
        <v>25</v>
      </c>
      <c r="H768" s="4" t="s">
        <v>35</v>
      </c>
      <c r="I768" s="5">
        <v>44593</v>
      </c>
      <c r="J768" s="6">
        <v>0</v>
      </c>
      <c r="K768" s="6">
        <v>0</v>
      </c>
      <c r="L768" s="6">
        <v>-48.62</v>
      </c>
      <c r="M768" s="6">
        <v>-48.62</v>
      </c>
      <c r="N768" s="6">
        <v>-48.62</v>
      </c>
      <c r="O768" s="6">
        <v>-48.62</v>
      </c>
      <c r="P768" s="6">
        <v>0</v>
      </c>
      <c r="Q768" s="4" t="s">
        <v>26</v>
      </c>
      <c r="R768" s="4">
        <v>0</v>
      </c>
      <c r="S768" s="4" t="s">
        <v>330</v>
      </c>
      <c r="T768" s="4" t="s">
        <v>607</v>
      </c>
      <c r="U768" s="4">
        <v>0</v>
      </c>
      <c r="V768" s="4">
        <v>44</v>
      </c>
      <c r="W768" s="4">
        <v>67</v>
      </c>
    </row>
    <row r="769" spans="1:23" ht="11.25" customHeight="1" x14ac:dyDescent="0.25">
      <c r="A769" s="4" t="s">
        <v>28</v>
      </c>
      <c r="B769" s="4" t="s">
        <v>41</v>
      </c>
      <c r="C769" s="4" t="s">
        <v>42</v>
      </c>
      <c r="D769" s="4" t="s">
        <v>43</v>
      </c>
      <c r="E769" s="4" t="s">
        <v>25</v>
      </c>
      <c r="F769" s="4" t="s">
        <v>25</v>
      </c>
      <c r="G769" s="4" t="s">
        <v>25</v>
      </c>
      <c r="H769" s="4" t="s">
        <v>35</v>
      </c>
      <c r="I769" s="5">
        <v>44593</v>
      </c>
      <c r="J769" s="6">
        <v>0</v>
      </c>
      <c r="K769" s="6">
        <v>0</v>
      </c>
      <c r="L769" s="6">
        <v>586.09900000000005</v>
      </c>
      <c r="M769" s="6">
        <v>586.09900000000005</v>
      </c>
      <c r="N769" s="6">
        <v>586.09900000000005</v>
      </c>
      <c r="O769" s="6">
        <v>586.09900000000005</v>
      </c>
      <c r="P769" s="6">
        <v>0</v>
      </c>
      <c r="Q769" s="4" t="s">
        <v>26</v>
      </c>
      <c r="R769" s="4">
        <v>0</v>
      </c>
      <c r="S769" s="4" t="s">
        <v>330</v>
      </c>
      <c r="T769" s="4" t="s">
        <v>607</v>
      </c>
      <c r="U769" s="4">
        <v>0</v>
      </c>
      <c r="V769" s="4">
        <v>44</v>
      </c>
      <c r="W769" s="4">
        <v>67</v>
      </c>
    </row>
    <row r="770" spans="1:23" ht="11.25" customHeight="1" x14ac:dyDescent="0.25">
      <c r="A770" s="4" t="s">
        <v>28</v>
      </c>
      <c r="B770" s="4" t="s">
        <v>41</v>
      </c>
      <c r="C770" s="4" t="s">
        <v>42</v>
      </c>
      <c r="D770" s="4" t="s">
        <v>43</v>
      </c>
      <c r="E770" s="4" t="s">
        <v>25</v>
      </c>
      <c r="F770" s="4" t="s">
        <v>25</v>
      </c>
      <c r="G770" s="4" t="s">
        <v>25</v>
      </c>
      <c r="H770" s="4" t="s">
        <v>35</v>
      </c>
      <c r="I770" s="5">
        <v>44593</v>
      </c>
      <c r="J770" s="6">
        <v>0</v>
      </c>
      <c r="K770" s="6">
        <v>0</v>
      </c>
      <c r="L770" s="6">
        <v>-13.651999999999999</v>
      </c>
      <c r="M770" s="6">
        <v>-13.651999999999999</v>
      </c>
      <c r="N770" s="6">
        <v>-13.651999999999999</v>
      </c>
      <c r="O770" s="6">
        <v>-13.651999999999999</v>
      </c>
      <c r="P770" s="6">
        <v>0</v>
      </c>
      <c r="Q770" s="4" t="s">
        <v>26</v>
      </c>
      <c r="R770" s="4">
        <v>0</v>
      </c>
      <c r="S770" s="4" t="s">
        <v>330</v>
      </c>
      <c r="T770" s="4" t="s">
        <v>607</v>
      </c>
      <c r="U770" s="4">
        <v>0</v>
      </c>
      <c r="V770" s="4">
        <v>44</v>
      </c>
      <c r="W770" s="4">
        <v>67</v>
      </c>
    </row>
    <row r="771" spans="1:23" ht="11.25" customHeight="1" x14ac:dyDescent="0.25">
      <c r="A771" s="4" t="s">
        <v>21</v>
      </c>
      <c r="B771" s="4" t="s">
        <v>41</v>
      </c>
      <c r="C771" s="4" t="s">
        <v>42</v>
      </c>
      <c r="D771" s="4" t="s">
        <v>43</v>
      </c>
      <c r="E771" s="4" t="s">
        <v>25</v>
      </c>
      <c r="F771" s="4" t="s">
        <v>25</v>
      </c>
      <c r="G771" s="4" t="s">
        <v>25</v>
      </c>
      <c r="H771" s="4" t="s">
        <v>35</v>
      </c>
      <c r="I771" s="5">
        <v>44621</v>
      </c>
      <c r="J771" s="6">
        <v>0</v>
      </c>
      <c r="K771" s="6">
        <v>0</v>
      </c>
      <c r="L771" s="6">
        <v>11596.415999999999</v>
      </c>
      <c r="M771" s="6">
        <v>11596.415999999999</v>
      </c>
      <c r="N771" s="6">
        <v>11596.415999999999</v>
      </c>
      <c r="O771" s="6">
        <v>11596.415999999999</v>
      </c>
      <c r="P771" s="6">
        <v>0</v>
      </c>
      <c r="Q771" s="4" t="s">
        <v>26</v>
      </c>
      <c r="R771" s="4">
        <v>0</v>
      </c>
      <c r="S771" s="4" t="s">
        <v>331</v>
      </c>
      <c r="T771" s="4" t="s">
        <v>608</v>
      </c>
      <c r="U771" s="4">
        <v>0</v>
      </c>
      <c r="V771" s="4">
        <v>44</v>
      </c>
      <c r="W771" s="4">
        <v>67</v>
      </c>
    </row>
    <row r="772" spans="1:23" ht="11.25" customHeight="1" x14ac:dyDescent="0.25">
      <c r="A772" s="4" t="s">
        <v>28</v>
      </c>
      <c r="B772" s="4" t="s">
        <v>41</v>
      </c>
      <c r="C772" s="4" t="s">
        <v>42</v>
      </c>
      <c r="D772" s="4" t="s">
        <v>43</v>
      </c>
      <c r="E772" s="4" t="s">
        <v>25</v>
      </c>
      <c r="F772" s="4" t="s">
        <v>25</v>
      </c>
      <c r="G772" s="4" t="s">
        <v>25</v>
      </c>
      <c r="H772" s="4" t="s">
        <v>35</v>
      </c>
      <c r="I772" s="5">
        <v>44621</v>
      </c>
      <c r="J772" s="6">
        <v>0</v>
      </c>
      <c r="K772" s="6">
        <v>0</v>
      </c>
      <c r="L772" s="6">
        <v>797.14599999999996</v>
      </c>
      <c r="M772" s="6">
        <v>797.14599999999996</v>
      </c>
      <c r="N772" s="6">
        <v>797.14599999999996</v>
      </c>
      <c r="O772" s="6">
        <v>797.14599999999996</v>
      </c>
      <c r="P772" s="6">
        <v>0</v>
      </c>
      <c r="Q772" s="4" t="s">
        <v>26</v>
      </c>
      <c r="R772" s="4">
        <v>0</v>
      </c>
      <c r="S772" s="4" t="s">
        <v>331</v>
      </c>
      <c r="T772" s="4" t="s">
        <v>608</v>
      </c>
      <c r="U772" s="4">
        <v>0</v>
      </c>
      <c r="V772" s="4">
        <v>44</v>
      </c>
      <c r="W772" s="4">
        <v>67</v>
      </c>
    </row>
    <row r="773" spans="1:23" ht="11.25" customHeight="1" x14ac:dyDescent="0.25">
      <c r="A773" s="4" t="s">
        <v>21</v>
      </c>
      <c r="B773" s="4" t="s">
        <v>41</v>
      </c>
      <c r="C773" s="4" t="s">
        <v>42</v>
      </c>
      <c r="D773" s="4" t="s">
        <v>43</v>
      </c>
      <c r="E773" s="4" t="s">
        <v>25</v>
      </c>
      <c r="F773" s="4" t="s">
        <v>25</v>
      </c>
      <c r="G773" s="4" t="s">
        <v>25</v>
      </c>
      <c r="H773" s="4" t="s">
        <v>35</v>
      </c>
      <c r="I773" s="5">
        <v>44652</v>
      </c>
      <c r="J773" s="6">
        <v>0</v>
      </c>
      <c r="K773" s="6">
        <v>0</v>
      </c>
      <c r="L773" s="6">
        <v>11429.665999999999</v>
      </c>
      <c r="M773" s="6">
        <v>11429.665999999999</v>
      </c>
      <c r="N773" s="6">
        <v>11429.665999999999</v>
      </c>
      <c r="O773" s="6">
        <v>11429.665999999999</v>
      </c>
      <c r="P773" s="6">
        <v>0</v>
      </c>
      <c r="Q773" s="4" t="s">
        <v>26</v>
      </c>
      <c r="R773" s="4">
        <v>0</v>
      </c>
      <c r="S773" s="4" t="s">
        <v>332</v>
      </c>
      <c r="T773" s="4" t="s">
        <v>609</v>
      </c>
      <c r="U773" s="4">
        <v>0</v>
      </c>
      <c r="V773" s="4">
        <v>44</v>
      </c>
      <c r="W773" s="4">
        <v>67</v>
      </c>
    </row>
    <row r="774" spans="1:23" ht="11.25" customHeight="1" x14ac:dyDescent="0.25">
      <c r="A774" s="4" t="s">
        <v>27</v>
      </c>
      <c r="B774" s="4" t="s">
        <v>41</v>
      </c>
      <c r="C774" s="4" t="s">
        <v>42</v>
      </c>
      <c r="D774" s="4" t="s">
        <v>43</v>
      </c>
      <c r="E774" s="4" t="s">
        <v>25</v>
      </c>
      <c r="F774" s="4" t="s">
        <v>25</v>
      </c>
      <c r="G774" s="4" t="s">
        <v>25</v>
      </c>
      <c r="H774" s="4" t="s">
        <v>35</v>
      </c>
      <c r="I774" s="5">
        <v>44652</v>
      </c>
      <c r="J774" s="6">
        <v>0</v>
      </c>
      <c r="K774" s="6">
        <v>0</v>
      </c>
      <c r="L774" s="6">
        <v>31.545000000000002</v>
      </c>
      <c r="M774" s="6">
        <v>31.545000000000002</v>
      </c>
      <c r="N774" s="6">
        <v>31.545000000000002</v>
      </c>
      <c r="O774" s="6">
        <v>31.545000000000002</v>
      </c>
      <c r="P774" s="6">
        <v>0</v>
      </c>
      <c r="Q774" s="4" t="s">
        <v>26</v>
      </c>
      <c r="R774" s="4">
        <v>0</v>
      </c>
      <c r="S774" s="4" t="s">
        <v>332</v>
      </c>
      <c r="T774" s="4" t="s">
        <v>609</v>
      </c>
      <c r="U774" s="4">
        <v>0</v>
      </c>
      <c r="V774" s="4">
        <v>44</v>
      </c>
      <c r="W774" s="4">
        <v>67</v>
      </c>
    </row>
    <row r="775" spans="1:23" ht="11.25" customHeight="1" x14ac:dyDescent="0.25">
      <c r="A775" s="4" t="s">
        <v>28</v>
      </c>
      <c r="B775" s="4" t="s">
        <v>41</v>
      </c>
      <c r="C775" s="4" t="s">
        <v>42</v>
      </c>
      <c r="D775" s="4" t="s">
        <v>43</v>
      </c>
      <c r="E775" s="4" t="s">
        <v>25</v>
      </c>
      <c r="F775" s="4" t="s">
        <v>25</v>
      </c>
      <c r="G775" s="4" t="s">
        <v>25</v>
      </c>
      <c r="H775" s="4" t="s">
        <v>35</v>
      </c>
      <c r="I775" s="5">
        <v>44652</v>
      </c>
      <c r="J775" s="6">
        <v>0</v>
      </c>
      <c r="K775" s="6">
        <v>0</v>
      </c>
      <c r="L775" s="6">
        <v>704.81799999999998</v>
      </c>
      <c r="M775" s="6">
        <v>704.81799999999998</v>
      </c>
      <c r="N775" s="6">
        <v>704.81799999999998</v>
      </c>
      <c r="O775" s="6">
        <v>704.81799999999998</v>
      </c>
      <c r="P775" s="6">
        <v>0</v>
      </c>
      <c r="Q775" s="4" t="s">
        <v>26</v>
      </c>
      <c r="R775" s="4">
        <v>0</v>
      </c>
      <c r="S775" s="4" t="s">
        <v>332</v>
      </c>
      <c r="T775" s="4" t="s">
        <v>609</v>
      </c>
      <c r="U775" s="4">
        <v>0</v>
      </c>
      <c r="V775" s="4">
        <v>44</v>
      </c>
      <c r="W775" s="4">
        <v>67</v>
      </c>
    </row>
    <row r="776" spans="1:23" ht="11.25" customHeight="1" x14ac:dyDescent="0.25">
      <c r="A776" s="4" t="s">
        <v>28</v>
      </c>
      <c r="B776" s="4" t="s">
        <v>41</v>
      </c>
      <c r="C776" s="4" t="s">
        <v>42</v>
      </c>
      <c r="D776" s="4" t="s">
        <v>43</v>
      </c>
      <c r="E776" s="4" t="s">
        <v>25</v>
      </c>
      <c r="F776" s="4" t="s">
        <v>25</v>
      </c>
      <c r="G776" s="4" t="s">
        <v>25</v>
      </c>
      <c r="H776" s="4" t="s">
        <v>35</v>
      </c>
      <c r="I776" s="5">
        <v>44652</v>
      </c>
      <c r="J776" s="6">
        <v>0</v>
      </c>
      <c r="K776" s="6">
        <v>0</v>
      </c>
      <c r="L776" s="6">
        <v>1.284</v>
      </c>
      <c r="M776" s="6">
        <v>1.284</v>
      </c>
      <c r="N776" s="6">
        <v>1.284</v>
      </c>
      <c r="O776" s="6">
        <v>1.284</v>
      </c>
      <c r="P776" s="6">
        <v>0</v>
      </c>
      <c r="Q776" s="4" t="s">
        <v>26</v>
      </c>
      <c r="R776" s="4">
        <v>0</v>
      </c>
      <c r="S776" s="4" t="s">
        <v>332</v>
      </c>
      <c r="T776" s="4" t="s">
        <v>609</v>
      </c>
      <c r="U776" s="4">
        <v>0</v>
      </c>
      <c r="V776" s="4">
        <v>44</v>
      </c>
      <c r="W776" s="4">
        <v>67</v>
      </c>
    </row>
    <row r="777" spans="1:23" ht="11.25" customHeight="1" x14ac:dyDescent="0.25">
      <c r="A777" s="4" t="s">
        <v>21</v>
      </c>
      <c r="B777" s="4" t="s">
        <v>41</v>
      </c>
      <c r="C777" s="4" t="s">
        <v>42</v>
      </c>
      <c r="D777" s="4" t="s">
        <v>43</v>
      </c>
      <c r="E777" s="4" t="s">
        <v>25</v>
      </c>
      <c r="F777" s="4" t="s">
        <v>25</v>
      </c>
      <c r="G777" s="4" t="s">
        <v>25</v>
      </c>
      <c r="H777" s="4" t="s">
        <v>35</v>
      </c>
      <c r="I777" s="5">
        <v>44682</v>
      </c>
      <c r="J777" s="6">
        <v>0</v>
      </c>
      <c r="K777" s="6">
        <v>0</v>
      </c>
      <c r="L777" s="6">
        <v>11324.556</v>
      </c>
      <c r="M777" s="6">
        <v>11324.556</v>
      </c>
      <c r="N777" s="6">
        <v>11324.556</v>
      </c>
      <c r="O777" s="6">
        <v>11324.556</v>
      </c>
      <c r="P777" s="6">
        <v>0</v>
      </c>
      <c r="Q777" s="4" t="s">
        <v>26</v>
      </c>
      <c r="R777" s="4">
        <v>0</v>
      </c>
      <c r="S777" s="4" t="s">
        <v>333</v>
      </c>
      <c r="T777" s="4" t="s">
        <v>610</v>
      </c>
      <c r="U777" s="4">
        <v>0</v>
      </c>
      <c r="V777" s="4">
        <v>44</v>
      </c>
      <c r="W777" s="4">
        <v>67</v>
      </c>
    </row>
    <row r="778" spans="1:23" ht="11.25" customHeight="1" x14ac:dyDescent="0.25">
      <c r="A778" s="4" t="s">
        <v>27</v>
      </c>
      <c r="B778" s="4" t="s">
        <v>41</v>
      </c>
      <c r="C778" s="4" t="s">
        <v>42</v>
      </c>
      <c r="D778" s="4" t="s">
        <v>43</v>
      </c>
      <c r="E778" s="4" t="s">
        <v>25</v>
      </c>
      <c r="F778" s="4" t="s">
        <v>25</v>
      </c>
      <c r="G778" s="4" t="s">
        <v>25</v>
      </c>
      <c r="H778" s="4" t="s">
        <v>35</v>
      </c>
      <c r="I778" s="5">
        <v>44682</v>
      </c>
      <c r="J778" s="6">
        <v>0</v>
      </c>
      <c r="K778" s="6">
        <v>0</v>
      </c>
      <c r="L778" s="6">
        <v>3.4609999999999999</v>
      </c>
      <c r="M778" s="6">
        <v>3.4609999999999999</v>
      </c>
      <c r="N778" s="6">
        <v>3.4609999999999999</v>
      </c>
      <c r="O778" s="6">
        <v>3.4609999999999999</v>
      </c>
      <c r="P778" s="6">
        <v>0</v>
      </c>
      <c r="Q778" s="4" t="s">
        <v>26</v>
      </c>
      <c r="R778" s="4">
        <v>0</v>
      </c>
      <c r="S778" s="4" t="s">
        <v>333</v>
      </c>
      <c r="T778" s="4" t="s">
        <v>610</v>
      </c>
      <c r="U778" s="4">
        <v>0</v>
      </c>
      <c r="V778" s="4">
        <v>44</v>
      </c>
      <c r="W778" s="4">
        <v>67</v>
      </c>
    </row>
    <row r="779" spans="1:23" ht="11.25" customHeight="1" x14ac:dyDescent="0.25">
      <c r="A779" s="4" t="s">
        <v>28</v>
      </c>
      <c r="B779" s="4" t="s">
        <v>41</v>
      </c>
      <c r="C779" s="4" t="s">
        <v>42</v>
      </c>
      <c r="D779" s="4" t="s">
        <v>43</v>
      </c>
      <c r="E779" s="4" t="s">
        <v>25</v>
      </c>
      <c r="F779" s="4" t="s">
        <v>25</v>
      </c>
      <c r="G779" s="4" t="s">
        <v>25</v>
      </c>
      <c r="H779" s="4" t="s">
        <v>35</v>
      </c>
      <c r="I779" s="5">
        <v>44682</v>
      </c>
      <c r="J779" s="6">
        <v>0</v>
      </c>
      <c r="K779" s="6">
        <v>0</v>
      </c>
      <c r="L779" s="6">
        <v>822.24900000000002</v>
      </c>
      <c r="M779" s="6">
        <v>822.24900000000002</v>
      </c>
      <c r="N779" s="6">
        <v>822.24900000000002</v>
      </c>
      <c r="O779" s="6">
        <v>822.24900000000002</v>
      </c>
      <c r="P779" s="6">
        <v>0</v>
      </c>
      <c r="Q779" s="4" t="s">
        <v>26</v>
      </c>
      <c r="R779" s="4">
        <v>0</v>
      </c>
      <c r="S779" s="4" t="s">
        <v>333</v>
      </c>
      <c r="T779" s="4" t="s">
        <v>610</v>
      </c>
      <c r="U779" s="4">
        <v>0</v>
      </c>
      <c r="V779" s="4">
        <v>44</v>
      </c>
      <c r="W779" s="4">
        <v>67</v>
      </c>
    </row>
    <row r="780" spans="1:23" ht="11.25" customHeight="1" x14ac:dyDescent="0.25">
      <c r="A780" s="4" t="s">
        <v>21</v>
      </c>
      <c r="B780" s="4" t="s">
        <v>41</v>
      </c>
      <c r="C780" s="4" t="s">
        <v>42</v>
      </c>
      <c r="D780" s="4" t="s">
        <v>43</v>
      </c>
      <c r="E780" s="4" t="s">
        <v>25</v>
      </c>
      <c r="F780" s="4" t="s">
        <v>25</v>
      </c>
      <c r="G780" s="4" t="s">
        <v>25</v>
      </c>
      <c r="H780" s="4" t="s">
        <v>35</v>
      </c>
      <c r="I780" s="5">
        <v>44713</v>
      </c>
      <c r="J780" s="6">
        <v>0</v>
      </c>
      <c r="K780" s="6">
        <v>0</v>
      </c>
      <c r="L780" s="6">
        <v>10196.415000000001</v>
      </c>
      <c r="M780" s="6">
        <v>10196.415000000001</v>
      </c>
      <c r="N780" s="6">
        <v>10196.415000000001</v>
      </c>
      <c r="O780" s="6">
        <v>10196.415000000001</v>
      </c>
      <c r="P780" s="6">
        <v>0</v>
      </c>
      <c r="Q780" s="4" t="s">
        <v>26</v>
      </c>
      <c r="R780" s="4">
        <v>0</v>
      </c>
      <c r="S780" s="4" t="s">
        <v>334</v>
      </c>
      <c r="T780" s="4" t="s">
        <v>611</v>
      </c>
      <c r="U780" s="4">
        <v>0</v>
      </c>
      <c r="V780" s="4">
        <v>44</v>
      </c>
      <c r="W780" s="4">
        <v>67</v>
      </c>
    </row>
    <row r="781" spans="1:23" ht="11.25" customHeight="1" x14ac:dyDescent="0.25">
      <c r="A781" s="4" t="s">
        <v>27</v>
      </c>
      <c r="B781" s="4" t="s">
        <v>41</v>
      </c>
      <c r="C781" s="4" t="s">
        <v>42</v>
      </c>
      <c r="D781" s="4" t="s">
        <v>43</v>
      </c>
      <c r="E781" s="4" t="s">
        <v>25</v>
      </c>
      <c r="F781" s="4" t="s">
        <v>25</v>
      </c>
      <c r="G781" s="4" t="s">
        <v>25</v>
      </c>
      <c r="H781" s="4" t="s">
        <v>35</v>
      </c>
      <c r="I781" s="5">
        <v>44713</v>
      </c>
      <c r="J781" s="6">
        <v>0</v>
      </c>
      <c r="K781" s="6">
        <v>0</v>
      </c>
      <c r="L781" s="6">
        <v>2.4380000000000002</v>
      </c>
      <c r="M781" s="6">
        <v>2.4380000000000002</v>
      </c>
      <c r="N781" s="6">
        <v>2.4380000000000002</v>
      </c>
      <c r="O781" s="6">
        <v>2.4380000000000002</v>
      </c>
      <c r="P781" s="6">
        <v>0</v>
      </c>
      <c r="Q781" s="4" t="s">
        <v>26</v>
      </c>
      <c r="R781" s="4">
        <v>0</v>
      </c>
      <c r="S781" s="4" t="s">
        <v>334</v>
      </c>
      <c r="T781" s="4" t="s">
        <v>611</v>
      </c>
      <c r="U781" s="4">
        <v>0</v>
      </c>
      <c r="V781" s="4">
        <v>44</v>
      </c>
      <c r="W781" s="4">
        <v>67</v>
      </c>
    </row>
    <row r="782" spans="1:23" ht="11.25" customHeight="1" x14ac:dyDescent="0.25">
      <c r="A782" s="4" t="s">
        <v>28</v>
      </c>
      <c r="B782" s="4" t="s">
        <v>41</v>
      </c>
      <c r="C782" s="4" t="s">
        <v>42</v>
      </c>
      <c r="D782" s="4" t="s">
        <v>43</v>
      </c>
      <c r="E782" s="4" t="s">
        <v>25</v>
      </c>
      <c r="F782" s="4" t="s">
        <v>25</v>
      </c>
      <c r="G782" s="4" t="s">
        <v>25</v>
      </c>
      <c r="H782" s="4" t="s">
        <v>35</v>
      </c>
      <c r="I782" s="5">
        <v>44713</v>
      </c>
      <c r="J782" s="6">
        <v>0</v>
      </c>
      <c r="K782" s="6">
        <v>0</v>
      </c>
      <c r="L782" s="6">
        <v>693.97900000000004</v>
      </c>
      <c r="M782" s="6">
        <v>693.97900000000004</v>
      </c>
      <c r="N782" s="6">
        <v>693.97900000000004</v>
      </c>
      <c r="O782" s="6">
        <v>693.97900000000004</v>
      </c>
      <c r="P782" s="6">
        <v>0</v>
      </c>
      <c r="Q782" s="4" t="s">
        <v>26</v>
      </c>
      <c r="R782" s="4">
        <v>0</v>
      </c>
      <c r="S782" s="4" t="s">
        <v>334</v>
      </c>
      <c r="T782" s="4" t="s">
        <v>611</v>
      </c>
      <c r="U782" s="4">
        <v>0</v>
      </c>
      <c r="V782" s="4">
        <v>44</v>
      </c>
      <c r="W782" s="4">
        <v>67</v>
      </c>
    </row>
    <row r="783" spans="1:23" ht="11.25" customHeight="1" x14ac:dyDescent="0.25">
      <c r="A783" s="4" t="s">
        <v>28</v>
      </c>
      <c r="B783" s="4" t="s">
        <v>41</v>
      </c>
      <c r="C783" s="4" t="s">
        <v>42</v>
      </c>
      <c r="D783" s="4" t="s">
        <v>43</v>
      </c>
      <c r="E783" s="4" t="s">
        <v>25</v>
      </c>
      <c r="F783" s="4" t="s">
        <v>25</v>
      </c>
      <c r="G783" s="4" t="s">
        <v>25</v>
      </c>
      <c r="H783" s="4" t="s">
        <v>35</v>
      </c>
      <c r="I783" s="5">
        <v>44713</v>
      </c>
      <c r="J783" s="6">
        <v>0</v>
      </c>
      <c r="K783" s="6">
        <v>0</v>
      </c>
      <c r="L783" s="6">
        <v>-10.134</v>
      </c>
      <c r="M783" s="6">
        <v>-10.134</v>
      </c>
      <c r="N783" s="6">
        <v>-10.134</v>
      </c>
      <c r="O783" s="6">
        <v>-10.134</v>
      </c>
      <c r="P783" s="6">
        <v>0</v>
      </c>
      <c r="Q783" s="4" t="s">
        <v>26</v>
      </c>
      <c r="R783" s="4">
        <v>0</v>
      </c>
      <c r="S783" s="4" t="s">
        <v>334</v>
      </c>
      <c r="T783" s="4" t="s">
        <v>611</v>
      </c>
      <c r="U783" s="4">
        <v>0</v>
      </c>
      <c r="V783" s="4">
        <v>44</v>
      </c>
      <c r="W783" s="4">
        <v>67</v>
      </c>
    </row>
    <row r="784" spans="1:23" ht="11.25" customHeight="1" x14ac:dyDescent="0.25">
      <c r="A784" s="4" t="s">
        <v>57</v>
      </c>
      <c r="B784" s="4" t="s">
        <v>41</v>
      </c>
      <c r="C784" s="4" t="s">
        <v>42</v>
      </c>
      <c r="D784" s="4" t="s">
        <v>43</v>
      </c>
      <c r="E784" s="4" t="s">
        <v>25</v>
      </c>
      <c r="F784" s="4" t="s">
        <v>25</v>
      </c>
      <c r="G784" s="4" t="s">
        <v>25</v>
      </c>
      <c r="H784" s="4" t="s">
        <v>35</v>
      </c>
      <c r="I784" s="5">
        <v>44743</v>
      </c>
      <c r="J784" s="6">
        <v>0</v>
      </c>
      <c r="K784" s="6">
        <v>0</v>
      </c>
      <c r="L784" s="6">
        <v>10196.415000000001</v>
      </c>
      <c r="M784" s="6">
        <v>10196.415000000001</v>
      </c>
      <c r="N784" s="6">
        <v>10196.415000000001</v>
      </c>
      <c r="O784" s="6">
        <v>10196.415000000001</v>
      </c>
      <c r="P784" s="6">
        <v>0</v>
      </c>
      <c r="Q784" s="4" t="s">
        <v>26</v>
      </c>
      <c r="R784" s="4">
        <v>0</v>
      </c>
      <c r="S784" s="4" t="s">
        <v>335</v>
      </c>
      <c r="T784" s="4" t="s">
        <v>612</v>
      </c>
      <c r="U784" s="4">
        <v>0</v>
      </c>
      <c r="V784" s="4">
        <v>44</v>
      </c>
      <c r="W784" s="4">
        <v>67</v>
      </c>
    </row>
    <row r="785" spans="1:23" ht="11.25" customHeight="1" x14ac:dyDescent="0.25">
      <c r="A785" s="4" t="s">
        <v>57</v>
      </c>
      <c r="B785" s="4" t="s">
        <v>41</v>
      </c>
      <c r="C785" s="4" t="s">
        <v>42</v>
      </c>
      <c r="D785" s="4" t="s">
        <v>43</v>
      </c>
      <c r="E785" s="4" t="s">
        <v>25</v>
      </c>
      <c r="F785" s="4" t="s">
        <v>25</v>
      </c>
      <c r="G785" s="4" t="s">
        <v>25</v>
      </c>
      <c r="H785" s="4" t="s">
        <v>35</v>
      </c>
      <c r="I785" s="5">
        <v>44743</v>
      </c>
      <c r="J785" s="6">
        <v>0</v>
      </c>
      <c r="K785" s="6">
        <v>0</v>
      </c>
      <c r="L785" s="6">
        <v>2.4380000000000002</v>
      </c>
      <c r="M785" s="6">
        <v>2.4380000000000002</v>
      </c>
      <c r="N785" s="6">
        <v>2.4380000000000002</v>
      </c>
      <c r="O785" s="6">
        <v>2.4380000000000002</v>
      </c>
      <c r="P785" s="6">
        <v>0</v>
      </c>
      <c r="Q785" s="4" t="s">
        <v>26</v>
      </c>
      <c r="R785" s="4">
        <v>0</v>
      </c>
      <c r="S785" s="4" t="s">
        <v>335</v>
      </c>
      <c r="T785" s="4" t="s">
        <v>612</v>
      </c>
      <c r="U785" s="4">
        <v>0</v>
      </c>
      <c r="V785" s="4">
        <v>44</v>
      </c>
      <c r="W785" s="4">
        <v>67</v>
      </c>
    </row>
    <row r="786" spans="1:23" ht="11.25" customHeight="1" x14ac:dyDescent="0.25">
      <c r="A786" s="4" t="s">
        <v>57</v>
      </c>
      <c r="B786" s="4" t="s">
        <v>41</v>
      </c>
      <c r="C786" s="4" t="s">
        <v>42</v>
      </c>
      <c r="D786" s="4" t="s">
        <v>43</v>
      </c>
      <c r="E786" s="4" t="s">
        <v>25</v>
      </c>
      <c r="F786" s="4" t="s">
        <v>25</v>
      </c>
      <c r="G786" s="4" t="s">
        <v>25</v>
      </c>
      <c r="H786" s="4" t="s">
        <v>35</v>
      </c>
      <c r="I786" s="5">
        <v>44743</v>
      </c>
      <c r="J786" s="6">
        <v>0</v>
      </c>
      <c r="K786" s="6">
        <v>0</v>
      </c>
      <c r="L786" s="6">
        <v>693.97900000000004</v>
      </c>
      <c r="M786" s="6">
        <v>693.97900000000004</v>
      </c>
      <c r="N786" s="6">
        <v>693.97900000000004</v>
      </c>
      <c r="O786" s="6">
        <v>693.97900000000004</v>
      </c>
      <c r="P786" s="6">
        <v>0</v>
      </c>
      <c r="Q786" s="4" t="s">
        <v>26</v>
      </c>
      <c r="R786" s="4">
        <v>0</v>
      </c>
      <c r="S786" s="4" t="s">
        <v>335</v>
      </c>
      <c r="T786" s="4" t="s">
        <v>612</v>
      </c>
      <c r="U786" s="4">
        <v>0</v>
      </c>
      <c r="V786" s="4">
        <v>44</v>
      </c>
      <c r="W786" s="4">
        <v>67</v>
      </c>
    </row>
    <row r="787" spans="1:23" ht="11.25" customHeight="1" x14ac:dyDescent="0.25">
      <c r="A787" s="4" t="s">
        <v>57</v>
      </c>
      <c r="B787" s="4" t="s">
        <v>41</v>
      </c>
      <c r="C787" s="4" t="s">
        <v>42</v>
      </c>
      <c r="D787" s="4" t="s">
        <v>43</v>
      </c>
      <c r="E787" s="4" t="s">
        <v>25</v>
      </c>
      <c r="F787" s="4" t="s">
        <v>25</v>
      </c>
      <c r="G787" s="4" t="s">
        <v>25</v>
      </c>
      <c r="H787" s="4" t="s">
        <v>35</v>
      </c>
      <c r="I787" s="5">
        <v>44743</v>
      </c>
      <c r="J787" s="6">
        <v>0</v>
      </c>
      <c r="K787" s="6">
        <v>0</v>
      </c>
      <c r="L787" s="6">
        <v>-10.134</v>
      </c>
      <c r="M787" s="6">
        <v>-10.134</v>
      </c>
      <c r="N787" s="6">
        <v>-10.134</v>
      </c>
      <c r="O787" s="6">
        <v>-10.134</v>
      </c>
      <c r="P787" s="6">
        <v>0</v>
      </c>
      <c r="Q787" s="4" t="s">
        <v>26</v>
      </c>
      <c r="R787" s="4">
        <v>0</v>
      </c>
      <c r="S787" s="4" t="s">
        <v>335</v>
      </c>
      <c r="T787" s="4" t="s">
        <v>612</v>
      </c>
      <c r="U787" s="4">
        <v>0</v>
      </c>
      <c r="V787" s="4">
        <v>44</v>
      </c>
      <c r="W787" s="4">
        <v>67</v>
      </c>
    </row>
    <row r="788" spans="1:23" ht="11.25" customHeight="1" x14ac:dyDescent="0.25">
      <c r="A788" s="4" t="s">
        <v>21</v>
      </c>
      <c r="B788" s="4" t="s">
        <v>41</v>
      </c>
      <c r="C788" s="4" t="s">
        <v>42</v>
      </c>
      <c r="D788" s="4" t="s">
        <v>43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44409</v>
      </c>
      <c r="J788" s="6">
        <v>52957</v>
      </c>
      <c r="K788" s="6">
        <v>52957</v>
      </c>
      <c r="L788" s="6">
        <v>0</v>
      </c>
      <c r="M788" s="6">
        <v>0</v>
      </c>
      <c r="N788" s="6">
        <v>0</v>
      </c>
      <c r="O788" s="6">
        <v>0</v>
      </c>
      <c r="P788" s="6">
        <v>559</v>
      </c>
      <c r="Q788" s="4" t="s">
        <v>26</v>
      </c>
      <c r="R788" s="4">
        <v>0</v>
      </c>
      <c r="S788" s="4" t="s">
        <v>336</v>
      </c>
      <c r="U788" s="4">
        <v>40</v>
      </c>
      <c r="V788" s="4">
        <v>0</v>
      </c>
      <c r="W788" s="4">
        <v>0</v>
      </c>
    </row>
    <row r="789" spans="1:23" ht="11.25" customHeight="1" x14ac:dyDescent="0.25">
      <c r="A789" s="4" t="s">
        <v>28</v>
      </c>
      <c r="B789" s="4" t="s">
        <v>41</v>
      </c>
      <c r="C789" s="4" t="s">
        <v>42</v>
      </c>
      <c r="D789" s="4" t="s">
        <v>43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44409</v>
      </c>
      <c r="J789" s="6">
        <v>11870</v>
      </c>
      <c r="K789" s="6">
        <v>11870</v>
      </c>
      <c r="L789" s="6">
        <v>0</v>
      </c>
      <c r="M789" s="6">
        <v>0</v>
      </c>
      <c r="N789" s="6">
        <v>0</v>
      </c>
      <c r="O789" s="6">
        <v>0</v>
      </c>
      <c r="P789" s="6">
        <v>44</v>
      </c>
      <c r="Q789" s="4" t="s">
        <v>26</v>
      </c>
      <c r="R789" s="4">
        <v>0</v>
      </c>
      <c r="S789" s="4" t="s">
        <v>336</v>
      </c>
      <c r="U789" s="4">
        <v>40</v>
      </c>
      <c r="V789" s="4">
        <v>0</v>
      </c>
      <c r="W789" s="4">
        <v>0</v>
      </c>
    </row>
    <row r="790" spans="1:23" ht="11.25" customHeight="1" x14ac:dyDescent="0.25">
      <c r="A790" s="4" t="s">
        <v>28</v>
      </c>
      <c r="B790" s="4" t="s">
        <v>41</v>
      </c>
      <c r="C790" s="4" t="s">
        <v>42</v>
      </c>
      <c r="D790" s="4" t="s">
        <v>43</v>
      </c>
      <c r="E790" s="4" t="s">
        <v>25</v>
      </c>
      <c r="F790" s="4" t="s">
        <v>25</v>
      </c>
      <c r="G790" s="4" t="s">
        <v>25</v>
      </c>
      <c r="H790" s="4" t="s">
        <v>25</v>
      </c>
      <c r="I790" s="5">
        <v>44409</v>
      </c>
      <c r="J790" s="6">
        <v>160</v>
      </c>
      <c r="K790" s="6">
        <v>160</v>
      </c>
      <c r="L790" s="6">
        <v>0</v>
      </c>
      <c r="M790" s="6">
        <v>0</v>
      </c>
      <c r="N790" s="6">
        <v>0</v>
      </c>
      <c r="O790" s="6">
        <v>0</v>
      </c>
      <c r="P790" s="6">
        <v>1</v>
      </c>
      <c r="Q790" s="4" t="s">
        <v>26</v>
      </c>
      <c r="R790" s="4">
        <v>0</v>
      </c>
      <c r="S790" s="4" t="s">
        <v>336</v>
      </c>
      <c r="U790" s="4">
        <v>40</v>
      </c>
      <c r="V790" s="4">
        <v>0</v>
      </c>
      <c r="W790" s="4">
        <v>0</v>
      </c>
    </row>
    <row r="791" spans="1:23" ht="11.25" customHeight="1" x14ac:dyDescent="0.25">
      <c r="A791" s="4" t="s">
        <v>21</v>
      </c>
      <c r="B791" s="4" t="s">
        <v>41</v>
      </c>
      <c r="C791" s="4" t="s">
        <v>42</v>
      </c>
      <c r="D791" s="4" t="s">
        <v>43</v>
      </c>
      <c r="E791" s="4" t="s">
        <v>25</v>
      </c>
      <c r="F791" s="4" t="s">
        <v>25</v>
      </c>
      <c r="G791" s="4" t="s">
        <v>25</v>
      </c>
      <c r="H791" s="4" t="s">
        <v>25</v>
      </c>
      <c r="I791" s="5">
        <v>44409</v>
      </c>
      <c r="J791" s="6">
        <v>115</v>
      </c>
      <c r="K791" s="6">
        <v>115</v>
      </c>
      <c r="L791" s="6">
        <v>0</v>
      </c>
      <c r="M791" s="6">
        <v>0</v>
      </c>
      <c r="N791" s="6">
        <v>0</v>
      </c>
      <c r="O791" s="6">
        <v>0</v>
      </c>
      <c r="P791" s="6">
        <v>1</v>
      </c>
      <c r="Q791" s="4" t="s">
        <v>58</v>
      </c>
      <c r="R791" s="4">
        <v>0</v>
      </c>
      <c r="S791" s="4" t="s">
        <v>336</v>
      </c>
      <c r="U791" s="4">
        <v>40</v>
      </c>
      <c r="V791" s="4">
        <v>0</v>
      </c>
      <c r="W791" s="4">
        <v>0</v>
      </c>
    </row>
    <row r="792" spans="1:23" ht="11.25" customHeight="1" x14ac:dyDescent="0.25">
      <c r="A792" s="4" t="s">
        <v>21</v>
      </c>
      <c r="B792" s="4" t="s">
        <v>41</v>
      </c>
      <c r="C792" s="4" t="s">
        <v>42</v>
      </c>
      <c r="D792" s="4" t="s">
        <v>43</v>
      </c>
      <c r="E792" s="4" t="s">
        <v>25</v>
      </c>
      <c r="F792" s="4" t="s">
        <v>25</v>
      </c>
      <c r="G792" s="4" t="s">
        <v>25</v>
      </c>
      <c r="H792" s="4" t="s">
        <v>25</v>
      </c>
      <c r="I792" s="5">
        <v>44440</v>
      </c>
      <c r="J792" s="6">
        <v>53185</v>
      </c>
      <c r="K792" s="6">
        <v>53185</v>
      </c>
      <c r="L792" s="6">
        <v>0</v>
      </c>
      <c r="M792" s="6">
        <v>0</v>
      </c>
      <c r="N792" s="6">
        <v>0</v>
      </c>
      <c r="O792" s="6">
        <v>0</v>
      </c>
      <c r="P792" s="6">
        <v>561</v>
      </c>
      <c r="Q792" s="4" t="s">
        <v>26</v>
      </c>
      <c r="R792" s="4">
        <v>0</v>
      </c>
      <c r="S792" s="4" t="s">
        <v>337</v>
      </c>
      <c r="U792" s="4">
        <v>40</v>
      </c>
      <c r="V792" s="4">
        <v>0</v>
      </c>
      <c r="W792" s="4">
        <v>0</v>
      </c>
    </row>
    <row r="793" spans="1:23" ht="11.25" customHeight="1" x14ac:dyDescent="0.25">
      <c r="A793" s="4" t="s">
        <v>28</v>
      </c>
      <c r="B793" s="4" t="s">
        <v>41</v>
      </c>
      <c r="C793" s="4" t="s">
        <v>42</v>
      </c>
      <c r="D793" s="4" t="s">
        <v>43</v>
      </c>
      <c r="E793" s="4" t="s">
        <v>25</v>
      </c>
      <c r="F793" s="4" t="s">
        <v>25</v>
      </c>
      <c r="G793" s="4" t="s">
        <v>25</v>
      </c>
      <c r="H793" s="4" t="s">
        <v>25</v>
      </c>
      <c r="I793" s="5">
        <v>44440</v>
      </c>
      <c r="J793" s="6">
        <v>12553</v>
      </c>
      <c r="K793" s="6">
        <v>12553</v>
      </c>
      <c r="L793" s="6">
        <v>0</v>
      </c>
      <c r="M793" s="6">
        <v>0</v>
      </c>
      <c r="N793" s="6">
        <v>0</v>
      </c>
      <c r="O793" s="6">
        <v>0</v>
      </c>
      <c r="P793" s="6">
        <v>45</v>
      </c>
      <c r="Q793" s="4" t="s">
        <v>26</v>
      </c>
      <c r="R793" s="4">
        <v>0</v>
      </c>
      <c r="S793" s="4" t="s">
        <v>337</v>
      </c>
      <c r="U793" s="4">
        <v>40</v>
      </c>
      <c r="V793" s="4">
        <v>0</v>
      </c>
      <c r="W793" s="4">
        <v>0</v>
      </c>
    </row>
    <row r="794" spans="1:23" ht="11.25" customHeight="1" x14ac:dyDescent="0.25">
      <c r="A794" s="4" t="s">
        <v>21</v>
      </c>
      <c r="B794" s="4" t="s">
        <v>41</v>
      </c>
      <c r="C794" s="4" t="s">
        <v>42</v>
      </c>
      <c r="D794" s="4" t="s">
        <v>43</v>
      </c>
      <c r="E794" s="4" t="s">
        <v>25</v>
      </c>
      <c r="F794" s="4" t="s">
        <v>25</v>
      </c>
      <c r="G794" s="4" t="s">
        <v>25</v>
      </c>
      <c r="H794" s="4" t="s">
        <v>25</v>
      </c>
      <c r="I794" s="5">
        <v>44440</v>
      </c>
      <c r="J794" s="6">
        <v>305</v>
      </c>
      <c r="K794" s="6">
        <v>305</v>
      </c>
      <c r="L794" s="6">
        <v>0</v>
      </c>
      <c r="M794" s="6">
        <v>0</v>
      </c>
      <c r="N794" s="6">
        <v>0</v>
      </c>
      <c r="O794" s="6">
        <v>0</v>
      </c>
      <c r="P794" s="6">
        <v>3</v>
      </c>
      <c r="Q794" s="4" t="s">
        <v>58</v>
      </c>
      <c r="R794" s="4">
        <v>0</v>
      </c>
      <c r="S794" s="4" t="s">
        <v>337</v>
      </c>
      <c r="U794" s="4">
        <v>40</v>
      </c>
      <c r="V794" s="4">
        <v>0</v>
      </c>
      <c r="W794" s="4">
        <v>0</v>
      </c>
    </row>
    <row r="795" spans="1:23" ht="11.25" customHeight="1" x14ac:dyDescent="0.25">
      <c r="A795" s="4" t="s">
        <v>21</v>
      </c>
      <c r="B795" s="4" t="s">
        <v>41</v>
      </c>
      <c r="C795" s="4" t="s">
        <v>42</v>
      </c>
      <c r="D795" s="4" t="s">
        <v>43</v>
      </c>
      <c r="E795" s="4" t="s">
        <v>25</v>
      </c>
      <c r="F795" s="4" t="s">
        <v>25</v>
      </c>
      <c r="G795" s="4" t="s">
        <v>25</v>
      </c>
      <c r="H795" s="4" t="s">
        <v>25</v>
      </c>
      <c r="I795" s="5">
        <v>44470</v>
      </c>
      <c r="J795" s="6">
        <v>53789</v>
      </c>
      <c r="K795" s="6">
        <v>53789</v>
      </c>
      <c r="L795" s="6">
        <v>0</v>
      </c>
      <c r="M795" s="6">
        <v>0</v>
      </c>
      <c r="N795" s="6">
        <v>0</v>
      </c>
      <c r="O795" s="6">
        <v>0</v>
      </c>
      <c r="P795" s="6">
        <v>559</v>
      </c>
      <c r="Q795" s="4" t="s">
        <v>26</v>
      </c>
      <c r="R795" s="4">
        <v>0</v>
      </c>
      <c r="S795" s="4" t="s">
        <v>338</v>
      </c>
      <c r="U795" s="4">
        <v>40</v>
      </c>
      <c r="V795" s="4">
        <v>0</v>
      </c>
      <c r="W795" s="4">
        <v>0</v>
      </c>
    </row>
    <row r="796" spans="1:23" ht="11.25" customHeight="1" x14ac:dyDescent="0.25">
      <c r="A796" s="4" t="s">
        <v>27</v>
      </c>
      <c r="B796" s="4" t="s">
        <v>41</v>
      </c>
      <c r="C796" s="4" t="s">
        <v>42</v>
      </c>
      <c r="D796" s="4" t="s">
        <v>43</v>
      </c>
      <c r="E796" s="4" t="s">
        <v>25</v>
      </c>
      <c r="F796" s="4" t="s">
        <v>25</v>
      </c>
      <c r="G796" s="4" t="s">
        <v>25</v>
      </c>
      <c r="H796" s="4" t="s">
        <v>25</v>
      </c>
      <c r="I796" s="5">
        <v>44470</v>
      </c>
      <c r="J796" s="6">
        <v>-598</v>
      </c>
      <c r="K796" s="6">
        <v>-598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4" t="s">
        <v>26</v>
      </c>
      <c r="R796" s="4">
        <v>0</v>
      </c>
      <c r="S796" s="4" t="s">
        <v>338</v>
      </c>
      <c r="U796" s="4">
        <v>40</v>
      </c>
      <c r="V796" s="4">
        <v>0</v>
      </c>
      <c r="W796" s="4">
        <v>0</v>
      </c>
    </row>
    <row r="797" spans="1:23" ht="11.25" customHeight="1" x14ac:dyDescent="0.25">
      <c r="A797" s="4" t="s">
        <v>28</v>
      </c>
      <c r="B797" s="4" t="s">
        <v>41</v>
      </c>
      <c r="C797" s="4" t="s">
        <v>42</v>
      </c>
      <c r="D797" s="4" t="s">
        <v>43</v>
      </c>
      <c r="E797" s="4" t="s">
        <v>25</v>
      </c>
      <c r="F797" s="4" t="s">
        <v>25</v>
      </c>
      <c r="G797" s="4" t="s">
        <v>25</v>
      </c>
      <c r="H797" s="4" t="s">
        <v>25</v>
      </c>
      <c r="I797" s="5">
        <v>44470</v>
      </c>
      <c r="J797" s="6">
        <v>12501</v>
      </c>
      <c r="K797" s="6">
        <v>12501</v>
      </c>
      <c r="L797" s="6">
        <v>0</v>
      </c>
      <c r="M797" s="6">
        <v>0</v>
      </c>
      <c r="N797" s="6">
        <v>0</v>
      </c>
      <c r="O797" s="6">
        <v>0</v>
      </c>
      <c r="P797" s="6">
        <v>50</v>
      </c>
      <c r="Q797" s="4" t="s">
        <v>26</v>
      </c>
      <c r="R797" s="4">
        <v>0</v>
      </c>
      <c r="S797" s="4" t="s">
        <v>338</v>
      </c>
      <c r="U797" s="4">
        <v>40</v>
      </c>
      <c r="V797" s="4">
        <v>0</v>
      </c>
      <c r="W797" s="4">
        <v>0</v>
      </c>
    </row>
    <row r="798" spans="1:23" ht="11.25" customHeight="1" x14ac:dyDescent="0.25">
      <c r="A798" s="4" t="s">
        <v>21</v>
      </c>
      <c r="B798" s="4" t="s">
        <v>41</v>
      </c>
      <c r="C798" s="4" t="s">
        <v>42</v>
      </c>
      <c r="D798" s="4" t="s">
        <v>43</v>
      </c>
      <c r="E798" s="4" t="s">
        <v>25</v>
      </c>
      <c r="F798" s="4" t="s">
        <v>25</v>
      </c>
      <c r="G798" s="4" t="s">
        <v>25</v>
      </c>
      <c r="H798" s="4" t="s">
        <v>25</v>
      </c>
      <c r="I798" s="5">
        <v>44470</v>
      </c>
      <c r="J798" s="6">
        <v>215</v>
      </c>
      <c r="K798" s="6">
        <v>215</v>
      </c>
      <c r="L798" s="6">
        <v>0</v>
      </c>
      <c r="M798" s="6">
        <v>0</v>
      </c>
      <c r="N798" s="6">
        <v>0</v>
      </c>
      <c r="O798" s="6">
        <v>0</v>
      </c>
      <c r="P798" s="6">
        <v>2</v>
      </c>
      <c r="Q798" s="4" t="s">
        <v>58</v>
      </c>
      <c r="R798" s="4">
        <v>0</v>
      </c>
      <c r="S798" s="4" t="s">
        <v>338</v>
      </c>
      <c r="U798" s="4">
        <v>40</v>
      </c>
      <c r="V798" s="4">
        <v>0</v>
      </c>
      <c r="W798" s="4">
        <v>0</v>
      </c>
    </row>
    <row r="799" spans="1:23" ht="11.25" customHeight="1" x14ac:dyDescent="0.25">
      <c r="A799" s="4" t="s">
        <v>21</v>
      </c>
      <c r="B799" s="4" t="s">
        <v>41</v>
      </c>
      <c r="C799" s="4" t="s">
        <v>42</v>
      </c>
      <c r="D799" s="4" t="s">
        <v>43</v>
      </c>
      <c r="E799" s="4" t="s">
        <v>25</v>
      </c>
      <c r="F799" s="4" t="s">
        <v>25</v>
      </c>
      <c r="G799" s="4" t="s">
        <v>25</v>
      </c>
      <c r="H799" s="4" t="s">
        <v>25</v>
      </c>
      <c r="I799" s="5">
        <v>44501</v>
      </c>
      <c r="J799" s="6">
        <v>53606</v>
      </c>
      <c r="K799" s="6">
        <v>53606</v>
      </c>
      <c r="L799" s="6">
        <v>0</v>
      </c>
      <c r="M799" s="6">
        <v>0</v>
      </c>
      <c r="N799" s="6">
        <v>0</v>
      </c>
      <c r="O799" s="6">
        <v>0</v>
      </c>
      <c r="P799" s="6">
        <v>549</v>
      </c>
      <c r="Q799" s="4" t="s">
        <v>26</v>
      </c>
      <c r="R799" s="4">
        <v>0</v>
      </c>
      <c r="S799" s="4" t="s">
        <v>339</v>
      </c>
      <c r="U799" s="4">
        <v>40</v>
      </c>
      <c r="V799" s="4">
        <v>0</v>
      </c>
      <c r="W799" s="4">
        <v>0</v>
      </c>
    </row>
    <row r="800" spans="1:23" ht="11.25" customHeight="1" x14ac:dyDescent="0.25">
      <c r="A800" s="4" t="s">
        <v>27</v>
      </c>
      <c r="B800" s="4" t="s">
        <v>41</v>
      </c>
      <c r="C800" s="4" t="s">
        <v>42</v>
      </c>
      <c r="D800" s="4" t="s">
        <v>43</v>
      </c>
      <c r="E800" s="4" t="s">
        <v>25</v>
      </c>
      <c r="F800" s="4" t="s">
        <v>25</v>
      </c>
      <c r="G800" s="4" t="s">
        <v>25</v>
      </c>
      <c r="H800" s="4" t="s">
        <v>25</v>
      </c>
      <c r="I800" s="5">
        <v>44501</v>
      </c>
      <c r="J800" s="6">
        <v>-622</v>
      </c>
      <c r="K800" s="6">
        <v>-622</v>
      </c>
      <c r="L800" s="6">
        <v>0</v>
      </c>
      <c r="M800" s="6">
        <v>0</v>
      </c>
      <c r="N800" s="6">
        <v>0</v>
      </c>
      <c r="O800" s="6">
        <v>0</v>
      </c>
      <c r="P800" s="6">
        <v>-2</v>
      </c>
      <c r="Q800" s="4" t="s">
        <v>26</v>
      </c>
      <c r="R800" s="4">
        <v>0</v>
      </c>
      <c r="S800" s="4" t="s">
        <v>339</v>
      </c>
      <c r="U800" s="4">
        <v>40</v>
      </c>
      <c r="V800" s="4">
        <v>0</v>
      </c>
      <c r="W800" s="4">
        <v>0</v>
      </c>
    </row>
    <row r="801" spans="1:23" ht="11.25" customHeight="1" x14ac:dyDescent="0.25">
      <c r="A801" s="4" t="s">
        <v>28</v>
      </c>
      <c r="B801" s="4" t="s">
        <v>41</v>
      </c>
      <c r="C801" s="4" t="s">
        <v>42</v>
      </c>
      <c r="D801" s="4" t="s">
        <v>43</v>
      </c>
      <c r="E801" s="4" t="s">
        <v>25</v>
      </c>
      <c r="F801" s="4" t="s">
        <v>25</v>
      </c>
      <c r="G801" s="4" t="s">
        <v>25</v>
      </c>
      <c r="H801" s="4" t="s">
        <v>25</v>
      </c>
      <c r="I801" s="5">
        <v>44501</v>
      </c>
      <c r="J801" s="6">
        <v>12772</v>
      </c>
      <c r="K801" s="6">
        <v>12772</v>
      </c>
      <c r="L801" s="6">
        <v>0</v>
      </c>
      <c r="M801" s="6">
        <v>0</v>
      </c>
      <c r="N801" s="6">
        <v>0</v>
      </c>
      <c r="O801" s="6">
        <v>0</v>
      </c>
      <c r="P801" s="6">
        <v>52</v>
      </c>
      <c r="Q801" s="4" t="s">
        <v>26</v>
      </c>
      <c r="R801" s="4">
        <v>0</v>
      </c>
      <c r="S801" s="4" t="s">
        <v>339</v>
      </c>
      <c r="U801" s="4">
        <v>40</v>
      </c>
      <c r="V801" s="4">
        <v>0</v>
      </c>
      <c r="W801" s="4">
        <v>0</v>
      </c>
    </row>
    <row r="802" spans="1:23" ht="11.25" customHeight="1" x14ac:dyDescent="0.25">
      <c r="A802" s="4" t="s">
        <v>21</v>
      </c>
      <c r="B802" s="4" t="s">
        <v>41</v>
      </c>
      <c r="C802" s="4" t="s">
        <v>42</v>
      </c>
      <c r="D802" s="4" t="s">
        <v>43</v>
      </c>
      <c r="E802" s="4" t="s">
        <v>25</v>
      </c>
      <c r="F802" s="4" t="s">
        <v>25</v>
      </c>
      <c r="G802" s="4" t="s">
        <v>25</v>
      </c>
      <c r="H802" s="4" t="s">
        <v>25</v>
      </c>
      <c r="I802" s="5">
        <v>44501</v>
      </c>
      <c r="J802" s="6">
        <v>115</v>
      </c>
      <c r="K802" s="6">
        <v>115</v>
      </c>
      <c r="L802" s="6">
        <v>0</v>
      </c>
      <c r="M802" s="6">
        <v>0</v>
      </c>
      <c r="N802" s="6">
        <v>0</v>
      </c>
      <c r="O802" s="6">
        <v>0</v>
      </c>
      <c r="P802" s="6">
        <v>1</v>
      </c>
      <c r="Q802" s="4" t="s">
        <v>58</v>
      </c>
      <c r="R802" s="4">
        <v>0</v>
      </c>
      <c r="S802" s="4" t="s">
        <v>339</v>
      </c>
      <c r="U802" s="4">
        <v>40</v>
      </c>
      <c r="V802" s="4">
        <v>0</v>
      </c>
      <c r="W802" s="4">
        <v>0</v>
      </c>
    </row>
    <row r="803" spans="1:23" ht="11.25" customHeight="1" x14ac:dyDescent="0.25">
      <c r="A803" s="4" t="s">
        <v>21</v>
      </c>
      <c r="B803" s="4" t="s">
        <v>41</v>
      </c>
      <c r="C803" s="4" t="s">
        <v>42</v>
      </c>
      <c r="D803" s="4" t="s">
        <v>43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44531</v>
      </c>
      <c r="J803" s="6">
        <v>54848</v>
      </c>
      <c r="K803" s="6">
        <v>54848</v>
      </c>
      <c r="L803" s="6">
        <v>0</v>
      </c>
      <c r="M803" s="6">
        <v>0</v>
      </c>
      <c r="N803" s="6">
        <v>0</v>
      </c>
      <c r="O803" s="6">
        <v>0</v>
      </c>
      <c r="P803" s="6">
        <v>549</v>
      </c>
      <c r="Q803" s="4" t="s">
        <v>26</v>
      </c>
      <c r="R803" s="4">
        <v>0</v>
      </c>
      <c r="S803" s="4" t="s">
        <v>340</v>
      </c>
      <c r="U803" s="4">
        <v>40</v>
      </c>
      <c r="V803" s="4">
        <v>0</v>
      </c>
      <c r="W803" s="4">
        <v>0</v>
      </c>
    </row>
    <row r="804" spans="1:23" ht="11.25" customHeight="1" x14ac:dyDescent="0.25">
      <c r="A804" s="4" t="s">
        <v>27</v>
      </c>
      <c r="B804" s="4" t="s">
        <v>41</v>
      </c>
      <c r="C804" s="4" t="s">
        <v>42</v>
      </c>
      <c r="D804" s="4" t="s">
        <v>43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44531</v>
      </c>
      <c r="J804" s="6">
        <v>-34</v>
      </c>
      <c r="K804" s="6">
        <v>-34</v>
      </c>
      <c r="L804" s="6">
        <v>0</v>
      </c>
      <c r="M804" s="6">
        <v>0</v>
      </c>
      <c r="N804" s="6">
        <v>0</v>
      </c>
      <c r="O804" s="6">
        <v>0</v>
      </c>
      <c r="P804" s="6">
        <v>-1</v>
      </c>
      <c r="Q804" s="4" t="s">
        <v>26</v>
      </c>
      <c r="R804" s="4">
        <v>0</v>
      </c>
      <c r="S804" s="4" t="s">
        <v>340</v>
      </c>
      <c r="U804" s="4">
        <v>40</v>
      </c>
      <c r="V804" s="4">
        <v>0</v>
      </c>
      <c r="W804" s="4">
        <v>0</v>
      </c>
    </row>
    <row r="805" spans="1:23" ht="11.25" customHeight="1" x14ac:dyDescent="0.25">
      <c r="A805" s="4" t="s">
        <v>28</v>
      </c>
      <c r="B805" s="4" t="s">
        <v>41</v>
      </c>
      <c r="C805" s="4" t="s">
        <v>42</v>
      </c>
      <c r="D805" s="4" t="s">
        <v>43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44531</v>
      </c>
      <c r="J805" s="6">
        <v>13084</v>
      </c>
      <c r="K805" s="6">
        <v>13084</v>
      </c>
      <c r="L805" s="6">
        <v>0</v>
      </c>
      <c r="M805" s="6">
        <v>0</v>
      </c>
      <c r="N805" s="6">
        <v>0</v>
      </c>
      <c r="O805" s="6">
        <v>0</v>
      </c>
      <c r="P805" s="6">
        <v>56</v>
      </c>
      <c r="Q805" s="4" t="s">
        <v>26</v>
      </c>
      <c r="R805" s="4">
        <v>0</v>
      </c>
      <c r="S805" s="4" t="s">
        <v>340</v>
      </c>
      <c r="U805" s="4">
        <v>40</v>
      </c>
      <c r="V805" s="4">
        <v>0</v>
      </c>
      <c r="W805" s="4">
        <v>0</v>
      </c>
    </row>
    <row r="806" spans="1:23" ht="11.25" customHeight="1" x14ac:dyDescent="0.25">
      <c r="A806" s="4" t="s">
        <v>21</v>
      </c>
      <c r="B806" s="4" t="s">
        <v>41</v>
      </c>
      <c r="C806" s="4" t="s">
        <v>42</v>
      </c>
      <c r="D806" s="4" t="s">
        <v>43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44531</v>
      </c>
      <c r="J806" s="6">
        <v>115</v>
      </c>
      <c r="K806" s="6">
        <v>115</v>
      </c>
      <c r="L806" s="6">
        <v>0</v>
      </c>
      <c r="M806" s="6">
        <v>0</v>
      </c>
      <c r="N806" s="6">
        <v>0</v>
      </c>
      <c r="O806" s="6">
        <v>0</v>
      </c>
      <c r="P806" s="6">
        <v>1</v>
      </c>
      <c r="Q806" s="4" t="s">
        <v>58</v>
      </c>
      <c r="R806" s="4">
        <v>0</v>
      </c>
      <c r="S806" s="4" t="s">
        <v>340</v>
      </c>
      <c r="U806" s="4">
        <v>40</v>
      </c>
      <c r="V806" s="4">
        <v>0</v>
      </c>
      <c r="W806" s="4">
        <v>0</v>
      </c>
    </row>
    <row r="807" spans="1:23" ht="11.25" customHeight="1" x14ac:dyDescent="0.25">
      <c r="A807" s="4" t="s">
        <v>21</v>
      </c>
      <c r="B807" s="4" t="s">
        <v>41</v>
      </c>
      <c r="C807" s="4" t="s">
        <v>42</v>
      </c>
      <c r="D807" s="4" t="s">
        <v>43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44562</v>
      </c>
      <c r="J807" s="6">
        <v>53534</v>
      </c>
      <c r="K807" s="6">
        <v>53534</v>
      </c>
      <c r="L807" s="6">
        <v>0</v>
      </c>
      <c r="M807" s="6">
        <v>0</v>
      </c>
      <c r="N807" s="6">
        <v>0</v>
      </c>
      <c r="O807" s="6">
        <v>0</v>
      </c>
      <c r="P807" s="6">
        <v>540</v>
      </c>
      <c r="Q807" s="4" t="s">
        <v>26</v>
      </c>
      <c r="R807" s="4">
        <v>0</v>
      </c>
      <c r="S807" s="4" t="s">
        <v>341</v>
      </c>
      <c r="U807" s="4">
        <v>40</v>
      </c>
      <c r="V807" s="4">
        <v>0</v>
      </c>
      <c r="W807" s="4">
        <v>0</v>
      </c>
    </row>
    <row r="808" spans="1:23" ht="11.25" customHeight="1" x14ac:dyDescent="0.25">
      <c r="A808" s="4" t="s">
        <v>27</v>
      </c>
      <c r="B808" s="4" t="s">
        <v>41</v>
      </c>
      <c r="C808" s="4" t="s">
        <v>42</v>
      </c>
      <c r="D808" s="4" t="s">
        <v>43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44562</v>
      </c>
      <c r="J808" s="6">
        <v>-707</v>
      </c>
      <c r="K808" s="6">
        <v>-707</v>
      </c>
      <c r="L808" s="6">
        <v>0</v>
      </c>
      <c r="M808" s="6">
        <v>0</v>
      </c>
      <c r="N808" s="6">
        <v>0</v>
      </c>
      <c r="O808" s="6">
        <v>0</v>
      </c>
      <c r="P808" s="6">
        <v>1</v>
      </c>
      <c r="Q808" s="4" t="s">
        <v>26</v>
      </c>
      <c r="R808" s="4">
        <v>0</v>
      </c>
      <c r="S808" s="4" t="s">
        <v>341</v>
      </c>
      <c r="U808" s="4">
        <v>40</v>
      </c>
      <c r="V808" s="4">
        <v>0</v>
      </c>
      <c r="W808" s="4">
        <v>0</v>
      </c>
    </row>
    <row r="809" spans="1:23" ht="11.25" customHeight="1" x14ac:dyDescent="0.25">
      <c r="A809" s="4" t="s">
        <v>28</v>
      </c>
      <c r="B809" s="4" t="s">
        <v>41</v>
      </c>
      <c r="C809" s="4" t="s">
        <v>42</v>
      </c>
      <c r="D809" s="4" t="s">
        <v>43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44562</v>
      </c>
      <c r="J809" s="6">
        <v>13223</v>
      </c>
      <c r="K809" s="6">
        <v>13223</v>
      </c>
      <c r="L809" s="6">
        <v>0</v>
      </c>
      <c r="M809" s="6">
        <v>0</v>
      </c>
      <c r="N809" s="6">
        <v>0</v>
      </c>
      <c r="O809" s="6">
        <v>0</v>
      </c>
      <c r="P809" s="6">
        <v>58</v>
      </c>
      <c r="Q809" s="4" t="s">
        <v>26</v>
      </c>
      <c r="R809" s="4">
        <v>0</v>
      </c>
      <c r="S809" s="4" t="s">
        <v>341</v>
      </c>
      <c r="U809" s="4">
        <v>40</v>
      </c>
      <c r="V809" s="4">
        <v>0</v>
      </c>
      <c r="W809" s="4">
        <v>0</v>
      </c>
    </row>
    <row r="810" spans="1:23" ht="11.25" customHeight="1" x14ac:dyDescent="0.25">
      <c r="A810" s="4" t="s">
        <v>21</v>
      </c>
      <c r="B810" s="4" t="s">
        <v>41</v>
      </c>
      <c r="C810" s="4" t="s">
        <v>42</v>
      </c>
      <c r="D810" s="4" t="s">
        <v>43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44593</v>
      </c>
      <c r="J810" s="6">
        <v>54109</v>
      </c>
      <c r="K810" s="6">
        <v>54109</v>
      </c>
      <c r="L810" s="6">
        <v>0</v>
      </c>
      <c r="M810" s="6">
        <v>0</v>
      </c>
      <c r="N810" s="6">
        <v>0</v>
      </c>
      <c r="O810" s="6">
        <v>0</v>
      </c>
      <c r="P810" s="6">
        <v>539</v>
      </c>
      <c r="Q810" s="4" t="s">
        <v>26</v>
      </c>
      <c r="R810" s="4">
        <v>0</v>
      </c>
      <c r="S810" s="4" t="s">
        <v>342</v>
      </c>
      <c r="U810" s="4">
        <v>40</v>
      </c>
      <c r="V810" s="4">
        <v>0</v>
      </c>
      <c r="W810" s="4">
        <v>0</v>
      </c>
    </row>
    <row r="811" spans="1:23" ht="11.25" customHeight="1" x14ac:dyDescent="0.25">
      <c r="A811" s="4" t="s">
        <v>27</v>
      </c>
      <c r="B811" s="4" t="s">
        <v>41</v>
      </c>
      <c r="C811" s="4" t="s">
        <v>42</v>
      </c>
      <c r="D811" s="4" t="s">
        <v>43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44593</v>
      </c>
      <c r="J811" s="6">
        <v>-474</v>
      </c>
      <c r="K811" s="6">
        <v>-474</v>
      </c>
      <c r="L811" s="6">
        <v>0</v>
      </c>
      <c r="M811" s="6">
        <v>0</v>
      </c>
      <c r="N811" s="6">
        <v>0</v>
      </c>
      <c r="O811" s="6">
        <v>0</v>
      </c>
      <c r="P811" s="6">
        <v>1</v>
      </c>
      <c r="Q811" s="4" t="s">
        <v>26</v>
      </c>
      <c r="R811" s="4">
        <v>0</v>
      </c>
      <c r="S811" s="4" t="s">
        <v>342</v>
      </c>
      <c r="U811" s="4">
        <v>40</v>
      </c>
      <c r="V811" s="4">
        <v>0</v>
      </c>
      <c r="W811" s="4">
        <v>0</v>
      </c>
    </row>
    <row r="812" spans="1:23" ht="11.25" customHeight="1" x14ac:dyDescent="0.25">
      <c r="A812" s="4" t="s">
        <v>28</v>
      </c>
      <c r="B812" s="4" t="s">
        <v>41</v>
      </c>
      <c r="C812" s="4" t="s">
        <v>42</v>
      </c>
      <c r="D812" s="4" t="s">
        <v>43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44593</v>
      </c>
      <c r="J812" s="6">
        <v>14099</v>
      </c>
      <c r="K812" s="6">
        <v>14099</v>
      </c>
      <c r="L812" s="6">
        <v>0</v>
      </c>
      <c r="M812" s="6">
        <v>0</v>
      </c>
      <c r="N812" s="6">
        <v>0</v>
      </c>
      <c r="O812" s="6">
        <v>0</v>
      </c>
      <c r="P812" s="6">
        <v>63</v>
      </c>
      <c r="Q812" s="4" t="s">
        <v>26</v>
      </c>
      <c r="R812" s="4">
        <v>0</v>
      </c>
      <c r="S812" s="4" t="s">
        <v>342</v>
      </c>
      <c r="U812" s="4">
        <v>40</v>
      </c>
      <c r="V812" s="4">
        <v>0</v>
      </c>
      <c r="W812" s="4">
        <v>0</v>
      </c>
    </row>
    <row r="813" spans="1:23" ht="11.25" customHeight="1" x14ac:dyDescent="0.25">
      <c r="A813" s="4" t="s">
        <v>21</v>
      </c>
      <c r="B813" s="4" t="s">
        <v>41</v>
      </c>
      <c r="C813" s="4" t="s">
        <v>42</v>
      </c>
      <c r="D813" s="4" t="s">
        <v>43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44621</v>
      </c>
      <c r="J813" s="6">
        <v>54354</v>
      </c>
      <c r="K813" s="6">
        <v>54354</v>
      </c>
      <c r="L813" s="6">
        <v>0</v>
      </c>
      <c r="M813" s="6">
        <v>0</v>
      </c>
      <c r="N813" s="6">
        <v>0</v>
      </c>
      <c r="O813" s="6">
        <v>0</v>
      </c>
      <c r="P813" s="6">
        <v>536</v>
      </c>
      <c r="Q813" s="4" t="s">
        <v>26</v>
      </c>
      <c r="R813" s="4">
        <v>0</v>
      </c>
      <c r="S813" s="4" t="s">
        <v>343</v>
      </c>
      <c r="U813" s="4">
        <v>40</v>
      </c>
      <c r="V813" s="4">
        <v>0</v>
      </c>
      <c r="W813" s="4">
        <v>0</v>
      </c>
    </row>
    <row r="814" spans="1:23" ht="11.25" customHeight="1" x14ac:dyDescent="0.25">
      <c r="A814" s="4" t="s">
        <v>28</v>
      </c>
      <c r="B814" s="4" t="s">
        <v>41</v>
      </c>
      <c r="C814" s="4" t="s">
        <v>42</v>
      </c>
      <c r="D814" s="4" t="s">
        <v>43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44621</v>
      </c>
      <c r="J814" s="6">
        <v>15678</v>
      </c>
      <c r="K814" s="6">
        <v>15678</v>
      </c>
      <c r="L814" s="6">
        <v>0</v>
      </c>
      <c r="M814" s="6">
        <v>0</v>
      </c>
      <c r="N814" s="6">
        <v>0</v>
      </c>
      <c r="O814" s="6">
        <v>0</v>
      </c>
      <c r="P814" s="6">
        <v>68</v>
      </c>
      <c r="Q814" s="4" t="s">
        <v>26</v>
      </c>
      <c r="R814" s="4">
        <v>0</v>
      </c>
      <c r="S814" s="4" t="s">
        <v>343</v>
      </c>
      <c r="U814" s="4">
        <v>40</v>
      </c>
      <c r="V814" s="4">
        <v>0</v>
      </c>
      <c r="W814" s="4">
        <v>0</v>
      </c>
    </row>
    <row r="815" spans="1:23" ht="11.25" customHeight="1" x14ac:dyDescent="0.25">
      <c r="A815" s="4" t="s">
        <v>21</v>
      </c>
      <c r="B815" s="4" t="s">
        <v>41</v>
      </c>
      <c r="C815" s="4" t="s">
        <v>42</v>
      </c>
      <c r="D815" s="4" t="s">
        <v>43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44652</v>
      </c>
      <c r="J815" s="6">
        <v>54353</v>
      </c>
      <c r="K815" s="6">
        <v>54353</v>
      </c>
      <c r="L815" s="6">
        <v>0</v>
      </c>
      <c r="M815" s="6">
        <v>0</v>
      </c>
      <c r="N815" s="6">
        <v>0</v>
      </c>
      <c r="O815" s="6">
        <v>0</v>
      </c>
      <c r="P815" s="6">
        <v>534</v>
      </c>
      <c r="Q815" s="4" t="s">
        <v>26</v>
      </c>
      <c r="R815" s="4">
        <v>0</v>
      </c>
      <c r="S815" s="4" t="s">
        <v>344</v>
      </c>
      <c r="U815" s="4">
        <v>40</v>
      </c>
      <c r="V815" s="4">
        <v>0</v>
      </c>
      <c r="W815" s="4">
        <v>0</v>
      </c>
    </row>
    <row r="816" spans="1:23" ht="11.25" customHeight="1" x14ac:dyDescent="0.25">
      <c r="A816" s="4" t="s">
        <v>27</v>
      </c>
      <c r="B816" s="4" t="s">
        <v>41</v>
      </c>
      <c r="C816" s="4" t="s">
        <v>42</v>
      </c>
      <c r="D816" s="4" t="s">
        <v>43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44652</v>
      </c>
      <c r="J816" s="6">
        <v>-38</v>
      </c>
      <c r="K816" s="6">
        <v>-38</v>
      </c>
      <c r="L816" s="6">
        <v>0</v>
      </c>
      <c r="M816" s="6">
        <v>0</v>
      </c>
      <c r="N816" s="6">
        <v>0</v>
      </c>
      <c r="O816" s="6">
        <v>0</v>
      </c>
      <c r="P816" s="6">
        <v>1</v>
      </c>
      <c r="Q816" s="4" t="s">
        <v>26</v>
      </c>
      <c r="R816" s="4">
        <v>0</v>
      </c>
      <c r="S816" s="4" t="s">
        <v>344</v>
      </c>
      <c r="U816" s="4">
        <v>40</v>
      </c>
      <c r="V816" s="4">
        <v>0</v>
      </c>
      <c r="W816" s="4">
        <v>0</v>
      </c>
    </row>
    <row r="817" spans="1:23" ht="11.25" customHeight="1" x14ac:dyDescent="0.25">
      <c r="A817" s="4" t="s">
        <v>28</v>
      </c>
      <c r="B817" s="4" t="s">
        <v>41</v>
      </c>
      <c r="C817" s="4" t="s">
        <v>42</v>
      </c>
      <c r="D817" s="4" t="s">
        <v>43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44652</v>
      </c>
      <c r="J817" s="6">
        <v>17214</v>
      </c>
      <c r="K817" s="6">
        <v>17214</v>
      </c>
      <c r="L817" s="6">
        <v>0</v>
      </c>
      <c r="M817" s="6">
        <v>0</v>
      </c>
      <c r="N817" s="6">
        <v>0</v>
      </c>
      <c r="O817" s="6">
        <v>0</v>
      </c>
      <c r="P817" s="6">
        <v>70</v>
      </c>
      <c r="Q817" s="4" t="s">
        <v>26</v>
      </c>
      <c r="R817" s="4">
        <v>0</v>
      </c>
      <c r="S817" s="4" t="s">
        <v>344</v>
      </c>
      <c r="U817" s="4">
        <v>40</v>
      </c>
      <c r="V817" s="4">
        <v>0</v>
      </c>
      <c r="W817" s="4">
        <v>0</v>
      </c>
    </row>
    <row r="818" spans="1:23" ht="11.25" customHeight="1" x14ac:dyDescent="0.25">
      <c r="A818" s="4" t="s">
        <v>28</v>
      </c>
      <c r="B818" s="4" t="s">
        <v>41</v>
      </c>
      <c r="C818" s="4" t="s">
        <v>42</v>
      </c>
      <c r="D818" s="4" t="s">
        <v>43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44652</v>
      </c>
      <c r="J818" s="6">
        <v>-29</v>
      </c>
      <c r="K818" s="6">
        <v>-29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4" t="s">
        <v>26</v>
      </c>
      <c r="R818" s="4">
        <v>0</v>
      </c>
      <c r="S818" s="4" t="s">
        <v>344</v>
      </c>
      <c r="U818" s="4">
        <v>40</v>
      </c>
      <c r="V818" s="4">
        <v>0</v>
      </c>
      <c r="W818" s="4">
        <v>0</v>
      </c>
    </row>
    <row r="819" spans="1:23" ht="11.25" customHeight="1" x14ac:dyDescent="0.25">
      <c r="A819" s="4" t="s">
        <v>21</v>
      </c>
      <c r="B819" s="4" t="s">
        <v>41</v>
      </c>
      <c r="C819" s="4" t="s">
        <v>42</v>
      </c>
      <c r="D819" s="4" t="s">
        <v>43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44682</v>
      </c>
      <c r="J819" s="6">
        <v>54836</v>
      </c>
      <c r="K819" s="6">
        <v>54836</v>
      </c>
      <c r="L819" s="6">
        <v>0</v>
      </c>
      <c r="M819" s="6">
        <v>0</v>
      </c>
      <c r="N819" s="6">
        <v>0</v>
      </c>
      <c r="O819" s="6">
        <v>0</v>
      </c>
      <c r="P819" s="6">
        <v>531</v>
      </c>
      <c r="Q819" s="4" t="s">
        <v>26</v>
      </c>
      <c r="R819" s="4">
        <v>0</v>
      </c>
      <c r="S819" s="4" t="s">
        <v>345</v>
      </c>
      <c r="U819" s="4">
        <v>40</v>
      </c>
      <c r="V819" s="4">
        <v>0</v>
      </c>
      <c r="W819" s="4">
        <v>0</v>
      </c>
    </row>
    <row r="820" spans="1:23" ht="11.25" customHeight="1" x14ac:dyDescent="0.25">
      <c r="A820" s="4" t="s">
        <v>27</v>
      </c>
      <c r="B820" s="4" t="s">
        <v>41</v>
      </c>
      <c r="C820" s="4" t="s">
        <v>42</v>
      </c>
      <c r="D820" s="4" t="s">
        <v>43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44682</v>
      </c>
      <c r="J820" s="6">
        <v>-30</v>
      </c>
      <c r="K820" s="6">
        <v>-30</v>
      </c>
      <c r="L820" s="6">
        <v>0</v>
      </c>
      <c r="M820" s="6">
        <v>0</v>
      </c>
      <c r="N820" s="6">
        <v>0</v>
      </c>
      <c r="O820" s="6">
        <v>0</v>
      </c>
      <c r="P820" s="6">
        <v>-1</v>
      </c>
      <c r="Q820" s="4" t="s">
        <v>26</v>
      </c>
      <c r="R820" s="4">
        <v>0</v>
      </c>
      <c r="S820" s="4" t="s">
        <v>345</v>
      </c>
      <c r="U820" s="4">
        <v>40</v>
      </c>
      <c r="V820" s="4">
        <v>0</v>
      </c>
      <c r="W820" s="4">
        <v>0</v>
      </c>
    </row>
    <row r="821" spans="1:23" ht="11.25" customHeight="1" x14ac:dyDescent="0.25">
      <c r="A821" s="4" t="s">
        <v>28</v>
      </c>
      <c r="B821" s="4" t="s">
        <v>41</v>
      </c>
      <c r="C821" s="4" t="s">
        <v>42</v>
      </c>
      <c r="D821" s="4" t="s">
        <v>43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44682</v>
      </c>
      <c r="J821" s="6">
        <v>17688</v>
      </c>
      <c r="K821" s="6">
        <v>17688</v>
      </c>
      <c r="L821" s="6">
        <v>0</v>
      </c>
      <c r="M821" s="6">
        <v>0</v>
      </c>
      <c r="N821" s="6">
        <v>0</v>
      </c>
      <c r="O821" s="6">
        <v>0</v>
      </c>
      <c r="P821" s="6">
        <v>72</v>
      </c>
      <c r="Q821" s="4" t="s">
        <v>26</v>
      </c>
      <c r="R821" s="4">
        <v>0</v>
      </c>
      <c r="S821" s="4" t="s">
        <v>345</v>
      </c>
      <c r="U821" s="4">
        <v>40</v>
      </c>
      <c r="V821" s="4">
        <v>0</v>
      </c>
      <c r="W821" s="4">
        <v>0</v>
      </c>
    </row>
    <row r="822" spans="1:23" ht="11.25" customHeight="1" x14ac:dyDescent="0.25">
      <c r="A822" s="4" t="s">
        <v>21</v>
      </c>
      <c r="B822" s="4" t="s">
        <v>41</v>
      </c>
      <c r="C822" s="4" t="s">
        <v>42</v>
      </c>
      <c r="D822" s="4" t="s">
        <v>43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44713</v>
      </c>
      <c r="J822" s="6">
        <v>53630</v>
      </c>
      <c r="K822" s="6">
        <v>53630</v>
      </c>
      <c r="L822" s="6">
        <v>0</v>
      </c>
      <c r="M822" s="6">
        <v>0</v>
      </c>
      <c r="N822" s="6">
        <v>0</v>
      </c>
      <c r="O822" s="6">
        <v>0</v>
      </c>
      <c r="P822" s="6">
        <v>524</v>
      </c>
      <c r="Q822" s="4" t="s">
        <v>26</v>
      </c>
      <c r="R822" s="4">
        <v>0</v>
      </c>
      <c r="S822" s="4" t="s">
        <v>346</v>
      </c>
      <c r="U822" s="4">
        <v>40</v>
      </c>
      <c r="V822" s="4">
        <v>0</v>
      </c>
      <c r="W822" s="4">
        <v>0</v>
      </c>
    </row>
    <row r="823" spans="1:23" ht="11.25" customHeight="1" x14ac:dyDescent="0.25">
      <c r="A823" s="4" t="s">
        <v>28</v>
      </c>
      <c r="B823" s="4" t="s">
        <v>41</v>
      </c>
      <c r="C823" s="4" t="s">
        <v>42</v>
      </c>
      <c r="D823" s="4" t="s">
        <v>43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44713</v>
      </c>
      <c r="J823" s="6">
        <v>18022</v>
      </c>
      <c r="K823" s="6">
        <v>18022</v>
      </c>
      <c r="L823" s="6">
        <v>0</v>
      </c>
      <c r="M823" s="6">
        <v>0</v>
      </c>
      <c r="N823" s="6">
        <v>0</v>
      </c>
      <c r="O823" s="6">
        <v>0</v>
      </c>
      <c r="P823" s="6">
        <v>75</v>
      </c>
      <c r="Q823" s="4" t="s">
        <v>26</v>
      </c>
      <c r="R823" s="4">
        <v>0</v>
      </c>
      <c r="S823" s="4" t="s">
        <v>346</v>
      </c>
      <c r="U823" s="4">
        <v>40</v>
      </c>
      <c r="V823" s="4">
        <v>0</v>
      </c>
      <c r="W823" s="4">
        <v>0</v>
      </c>
    </row>
    <row r="824" spans="1:23" ht="11.25" customHeight="1" x14ac:dyDescent="0.25">
      <c r="A824" s="4" t="s">
        <v>28</v>
      </c>
      <c r="B824" s="4" t="s">
        <v>41</v>
      </c>
      <c r="C824" s="4" t="s">
        <v>42</v>
      </c>
      <c r="D824" s="4" t="s">
        <v>43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44713</v>
      </c>
      <c r="J824" s="6">
        <v>-38</v>
      </c>
      <c r="K824" s="6">
        <v>-38</v>
      </c>
      <c r="L824" s="6">
        <v>0</v>
      </c>
      <c r="M824" s="6">
        <v>0</v>
      </c>
      <c r="N824" s="6">
        <v>0</v>
      </c>
      <c r="O824" s="6">
        <v>0</v>
      </c>
      <c r="P824" s="6">
        <v>-1</v>
      </c>
      <c r="Q824" s="4" t="s">
        <v>26</v>
      </c>
      <c r="R824" s="4">
        <v>0</v>
      </c>
      <c r="S824" s="4" t="s">
        <v>346</v>
      </c>
      <c r="U824" s="4">
        <v>40</v>
      </c>
      <c r="V824" s="4">
        <v>0</v>
      </c>
      <c r="W824" s="4">
        <v>0</v>
      </c>
    </row>
    <row r="825" spans="1:23" ht="11.25" customHeight="1" x14ac:dyDescent="0.25">
      <c r="A825" s="4" t="s">
        <v>57</v>
      </c>
      <c r="B825" s="4" t="s">
        <v>41</v>
      </c>
      <c r="C825" s="4" t="s">
        <v>42</v>
      </c>
      <c r="D825" s="4" t="s">
        <v>43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44743</v>
      </c>
      <c r="J825" s="6">
        <v>53630</v>
      </c>
      <c r="K825" s="6">
        <v>53630</v>
      </c>
      <c r="L825" s="6">
        <v>0</v>
      </c>
      <c r="M825" s="6">
        <v>0</v>
      </c>
      <c r="N825" s="6">
        <v>0</v>
      </c>
      <c r="O825" s="6">
        <v>0</v>
      </c>
      <c r="P825" s="6">
        <v>524</v>
      </c>
      <c r="Q825" s="4" t="s">
        <v>26</v>
      </c>
      <c r="R825" s="4">
        <v>0</v>
      </c>
      <c r="S825" s="4" t="s">
        <v>347</v>
      </c>
      <c r="U825" s="4">
        <v>40</v>
      </c>
      <c r="V825" s="4">
        <v>0</v>
      </c>
      <c r="W825" s="4">
        <v>0</v>
      </c>
    </row>
    <row r="826" spans="1:23" ht="11.25" customHeight="1" x14ac:dyDescent="0.25">
      <c r="A826" s="4" t="s">
        <v>57</v>
      </c>
      <c r="B826" s="4" t="s">
        <v>41</v>
      </c>
      <c r="C826" s="4" t="s">
        <v>42</v>
      </c>
      <c r="D826" s="4" t="s">
        <v>43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44743</v>
      </c>
      <c r="J826" s="6">
        <v>18022</v>
      </c>
      <c r="K826" s="6">
        <v>18022</v>
      </c>
      <c r="L826" s="6">
        <v>0</v>
      </c>
      <c r="M826" s="6">
        <v>0</v>
      </c>
      <c r="N826" s="6">
        <v>0</v>
      </c>
      <c r="O826" s="6">
        <v>0</v>
      </c>
      <c r="P826" s="6">
        <v>75</v>
      </c>
      <c r="Q826" s="4" t="s">
        <v>26</v>
      </c>
      <c r="R826" s="4">
        <v>0</v>
      </c>
      <c r="S826" s="4" t="s">
        <v>347</v>
      </c>
      <c r="U826" s="4">
        <v>40</v>
      </c>
      <c r="V826" s="4">
        <v>0</v>
      </c>
      <c r="W826" s="4">
        <v>0</v>
      </c>
    </row>
    <row r="827" spans="1:23" ht="11.25" customHeight="1" x14ac:dyDescent="0.25">
      <c r="A827" s="4" t="s">
        <v>57</v>
      </c>
      <c r="B827" s="4" t="s">
        <v>41</v>
      </c>
      <c r="C827" s="4" t="s">
        <v>42</v>
      </c>
      <c r="D827" s="4" t="s">
        <v>43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44743</v>
      </c>
      <c r="J827" s="6">
        <v>-38</v>
      </c>
      <c r="K827" s="6">
        <v>-38</v>
      </c>
      <c r="L827" s="6">
        <v>0</v>
      </c>
      <c r="M827" s="6">
        <v>0</v>
      </c>
      <c r="N827" s="6">
        <v>0</v>
      </c>
      <c r="O827" s="6">
        <v>0</v>
      </c>
      <c r="P827" s="6">
        <v>-1</v>
      </c>
      <c r="Q827" s="4" t="s">
        <v>26</v>
      </c>
      <c r="R827" s="4">
        <v>0</v>
      </c>
      <c r="S827" s="4" t="s">
        <v>347</v>
      </c>
      <c r="U827" s="4">
        <v>40</v>
      </c>
      <c r="V827" s="4">
        <v>0</v>
      </c>
      <c r="W827" s="4">
        <v>0</v>
      </c>
    </row>
    <row r="828" spans="1:23" ht="11.25" customHeight="1" x14ac:dyDescent="0.25">
      <c r="A828" s="4" t="s">
        <v>21</v>
      </c>
      <c r="B828" s="4" t="s">
        <v>41</v>
      </c>
      <c r="C828" s="4" t="s">
        <v>42</v>
      </c>
      <c r="D828" s="4" t="s">
        <v>43</v>
      </c>
      <c r="E828" s="4" t="s">
        <v>25</v>
      </c>
      <c r="F828" s="4" t="s">
        <v>25</v>
      </c>
      <c r="G828" s="4" t="s">
        <v>25</v>
      </c>
      <c r="H828" s="4" t="s">
        <v>34</v>
      </c>
      <c r="I828" s="5">
        <v>44409</v>
      </c>
      <c r="J828" s="6">
        <v>0</v>
      </c>
      <c r="K828" s="6">
        <v>0</v>
      </c>
      <c r="L828" s="6">
        <v>650.86800000000005</v>
      </c>
      <c r="M828" s="6">
        <v>650.86800000000005</v>
      </c>
      <c r="N828" s="6">
        <v>650.86800000000005</v>
      </c>
      <c r="O828" s="6">
        <v>650.86800000000005</v>
      </c>
      <c r="P828" s="6">
        <v>0</v>
      </c>
      <c r="Q828" s="4" t="s">
        <v>26</v>
      </c>
      <c r="R828" s="4">
        <v>0</v>
      </c>
      <c r="S828" s="4" t="s">
        <v>348</v>
      </c>
      <c r="T828" s="4" t="s">
        <v>613</v>
      </c>
      <c r="U828" s="4">
        <v>0</v>
      </c>
      <c r="V828" s="4">
        <v>42</v>
      </c>
      <c r="W828" s="4">
        <v>66</v>
      </c>
    </row>
    <row r="829" spans="1:23" ht="11.25" customHeight="1" x14ac:dyDescent="0.25">
      <c r="A829" s="4" t="s">
        <v>28</v>
      </c>
      <c r="B829" s="4" t="s">
        <v>41</v>
      </c>
      <c r="C829" s="4" t="s">
        <v>42</v>
      </c>
      <c r="D829" s="4" t="s">
        <v>43</v>
      </c>
      <c r="E829" s="4" t="s">
        <v>25</v>
      </c>
      <c r="F829" s="4" t="s">
        <v>25</v>
      </c>
      <c r="G829" s="4" t="s">
        <v>25</v>
      </c>
      <c r="H829" s="4" t="s">
        <v>34</v>
      </c>
      <c r="I829" s="5">
        <v>44409</v>
      </c>
      <c r="J829" s="6">
        <v>0</v>
      </c>
      <c r="K829" s="6">
        <v>0</v>
      </c>
      <c r="L829" s="6">
        <v>48.954999999999998</v>
      </c>
      <c r="M829" s="6">
        <v>48.954999999999998</v>
      </c>
      <c r="N829" s="6">
        <v>48.954999999999998</v>
      </c>
      <c r="O829" s="6">
        <v>48.954999999999998</v>
      </c>
      <c r="P829" s="6">
        <v>0</v>
      </c>
      <c r="Q829" s="4" t="s">
        <v>26</v>
      </c>
      <c r="R829" s="4">
        <v>0</v>
      </c>
      <c r="S829" s="4" t="s">
        <v>348</v>
      </c>
      <c r="T829" s="4" t="s">
        <v>613</v>
      </c>
      <c r="U829" s="4">
        <v>0</v>
      </c>
      <c r="V829" s="4">
        <v>42</v>
      </c>
      <c r="W829" s="4">
        <v>66</v>
      </c>
    </row>
    <row r="830" spans="1:23" ht="11.25" customHeight="1" x14ac:dyDescent="0.25">
      <c r="A830" s="4" t="s">
        <v>28</v>
      </c>
      <c r="B830" s="4" t="s">
        <v>41</v>
      </c>
      <c r="C830" s="4" t="s">
        <v>42</v>
      </c>
      <c r="D830" s="4" t="s">
        <v>43</v>
      </c>
      <c r="E830" s="4" t="s">
        <v>25</v>
      </c>
      <c r="F830" s="4" t="s">
        <v>25</v>
      </c>
      <c r="G830" s="4" t="s">
        <v>25</v>
      </c>
      <c r="H830" s="4" t="s">
        <v>34</v>
      </c>
      <c r="I830" s="5">
        <v>44409</v>
      </c>
      <c r="J830" s="6">
        <v>0</v>
      </c>
      <c r="K830" s="6">
        <v>0</v>
      </c>
      <c r="L830" s="6">
        <v>4.7560000000000002</v>
      </c>
      <c r="M830" s="6">
        <v>4.7560000000000002</v>
      </c>
      <c r="N830" s="6">
        <v>4.7560000000000002</v>
      </c>
      <c r="O830" s="6">
        <v>4.7560000000000002</v>
      </c>
      <c r="P830" s="6">
        <v>0</v>
      </c>
      <c r="Q830" s="4" t="s">
        <v>26</v>
      </c>
      <c r="R830" s="4">
        <v>0</v>
      </c>
      <c r="S830" s="4" t="s">
        <v>348</v>
      </c>
      <c r="T830" s="4" t="s">
        <v>613</v>
      </c>
      <c r="U830" s="4">
        <v>0</v>
      </c>
      <c r="V830" s="4">
        <v>42</v>
      </c>
      <c r="W830" s="4">
        <v>66</v>
      </c>
    </row>
    <row r="831" spans="1:23" ht="11.25" customHeight="1" x14ac:dyDescent="0.25">
      <c r="A831" s="4" t="s">
        <v>21</v>
      </c>
      <c r="B831" s="4" t="s">
        <v>41</v>
      </c>
      <c r="C831" s="4" t="s">
        <v>42</v>
      </c>
      <c r="D831" s="4" t="s">
        <v>43</v>
      </c>
      <c r="E831" s="4" t="s">
        <v>25</v>
      </c>
      <c r="F831" s="4" t="s">
        <v>25</v>
      </c>
      <c r="G831" s="4" t="s">
        <v>25</v>
      </c>
      <c r="H831" s="4" t="s">
        <v>34</v>
      </c>
      <c r="I831" s="5">
        <v>44409</v>
      </c>
      <c r="J831" s="6">
        <v>0</v>
      </c>
      <c r="K831" s="6">
        <v>0</v>
      </c>
      <c r="L831" s="6">
        <v>1.02</v>
      </c>
      <c r="M831" s="6">
        <v>1.02</v>
      </c>
      <c r="N831" s="6">
        <v>0</v>
      </c>
      <c r="O831" s="6">
        <v>0</v>
      </c>
      <c r="P831" s="6">
        <v>0</v>
      </c>
      <c r="Q831" s="4" t="s">
        <v>58</v>
      </c>
      <c r="R831" s="4">
        <v>0</v>
      </c>
      <c r="S831" s="4" t="s">
        <v>348</v>
      </c>
      <c r="U831" s="4">
        <v>0</v>
      </c>
      <c r="V831" s="4">
        <v>42</v>
      </c>
      <c r="W831" s="4">
        <v>0</v>
      </c>
    </row>
    <row r="832" spans="1:23" ht="11.25" customHeight="1" x14ac:dyDescent="0.25">
      <c r="A832" s="4" t="s">
        <v>21</v>
      </c>
      <c r="B832" s="4" t="s">
        <v>41</v>
      </c>
      <c r="C832" s="4" t="s">
        <v>42</v>
      </c>
      <c r="D832" s="4" t="s">
        <v>43</v>
      </c>
      <c r="E832" s="4" t="s">
        <v>25</v>
      </c>
      <c r="F832" s="4" t="s">
        <v>25</v>
      </c>
      <c r="G832" s="4" t="s">
        <v>25</v>
      </c>
      <c r="H832" s="4" t="s">
        <v>34</v>
      </c>
      <c r="I832" s="5">
        <v>44440</v>
      </c>
      <c r="J832" s="6">
        <v>0</v>
      </c>
      <c r="K832" s="6">
        <v>0</v>
      </c>
      <c r="L832" s="6">
        <v>655.86599999999999</v>
      </c>
      <c r="M832" s="6">
        <v>655.86599999999999</v>
      </c>
      <c r="N832" s="6">
        <v>655.86599999999999</v>
      </c>
      <c r="O832" s="6">
        <v>655.86599999999999</v>
      </c>
      <c r="P832" s="6">
        <v>0</v>
      </c>
      <c r="Q832" s="4" t="s">
        <v>26</v>
      </c>
      <c r="R832" s="4">
        <v>0</v>
      </c>
      <c r="S832" s="4" t="s">
        <v>349</v>
      </c>
      <c r="T832" s="4" t="s">
        <v>614</v>
      </c>
      <c r="U832" s="4">
        <v>0</v>
      </c>
      <c r="V832" s="4">
        <v>42</v>
      </c>
      <c r="W832" s="4">
        <v>66</v>
      </c>
    </row>
    <row r="833" spans="1:23" ht="11.25" customHeight="1" x14ac:dyDescent="0.25">
      <c r="A833" s="4" t="s">
        <v>28</v>
      </c>
      <c r="B833" s="4" t="s">
        <v>41</v>
      </c>
      <c r="C833" s="4" t="s">
        <v>42</v>
      </c>
      <c r="D833" s="4" t="s">
        <v>43</v>
      </c>
      <c r="E833" s="4" t="s">
        <v>25</v>
      </c>
      <c r="F833" s="4" t="s">
        <v>25</v>
      </c>
      <c r="G833" s="4" t="s">
        <v>25</v>
      </c>
      <c r="H833" s="4" t="s">
        <v>34</v>
      </c>
      <c r="I833" s="5">
        <v>44440</v>
      </c>
      <c r="J833" s="6">
        <v>0</v>
      </c>
      <c r="K833" s="6">
        <v>0</v>
      </c>
      <c r="L833" s="6">
        <v>62.988999999999997</v>
      </c>
      <c r="M833" s="6">
        <v>62.988999999999997</v>
      </c>
      <c r="N833" s="6">
        <v>62.988999999999997</v>
      </c>
      <c r="O833" s="6">
        <v>62.988999999999997</v>
      </c>
      <c r="P833" s="6">
        <v>0</v>
      </c>
      <c r="Q833" s="4" t="s">
        <v>26</v>
      </c>
      <c r="R833" s="4">
        <v>0</v>
      </c>
      <c r="S833" s="4" t="s">
        <v>349</v>
      </c>
      <c r="T833" s="4" t="s">
        <v>614</v>
      </c>
      <c r="U833" s="4">
        <v>0</v>
      </c>
      <c r="V833" s="4">
        <v>42</v>
      </c>
      <c r="W833" s="4">
        <v>66</v>
      </c>
    </row>
    <row r="834" spans="1:23" ht="11.25" customHeight="1" x14ac:dyDescent="0.25">
      <c r="A834" s="4" t="s">
        <v>21</v>
      </c>
      <c r="B834" s="4" t="s">
        <v>41</v>
      </c>
      <c r="C834" s="4" t="s">
        <v>42</v>
      </c>
      <c r="D834" s="4" t="s">
        <v>43</v>
      </c>
      <c r="E834" s="4" t="s">
        <v>25</v>
      </c>
      <c r="F834" s="4" t="s">
        <v>25</v>
      </c>
      <c r="G834" s="4" t="s">
        <v>25</v>
      </c>
      <c r="H834" s="4" t="s">
        <v>34</v>
      </c>
      <c r="I834" s="5">
        <v>44440</v>
      </c>
      <c r="J834" s="6">
        <v>0</v>
      </c>
      <c r="K834" s="6">
        <v>0</v>
      </c>
      <c r="L834" s="6">
        <v>2.637</v>
      </c>
      <c r="M834" s="6">
        <v>2.637</v>
      </c>
      <c r="N834" s="6">
        <v>0</v>
      </c>
      <c r="O834" s="6">
        <v>0</v>
      </c>
      <c r="P834" s="6">
        <v>0</v>
      </c>
      <c r="Q834" s="4" t="s">
        <v>58</v>
      </c>
      <c r="R834" s="4">
        <v>0</v>
      </c>
      <c r="S834" s="4" t="s">
        <v>349</v>
      </c>
      <c r="U834" s="4">
        <v>0</v>
      </c>
      <c r="V834" s="4">
        <v>42</v>
      </c>
      <c r="W834" s="4">
        <v>0</v>
      </c>
    </row>
    <row r="835" spans="1:23" ht="11.25" customHeight="1" x14ac:dyDescent="0.25">
      <c r="A835" s="4" t="s">
        <v>21</v>
      </c>
      <c r="B835" s="4" t="s">
        <v>41</v>
      </c>
      <c r="C835" s="4" t="s">
        <v>42</v>
      </c>
      <c r="D835" s="4" t="s">
        <v>43</v>
      </c>
      <c r="E835" s="4" t="s">
        <v>25</v>
      </c>
      <c r="F835" s="4" t="s">
        <v>25</v>
      </c>
      <c r="G835" s="4" t="s">
        <v>25</v>
      </c>
      <c r="H835" s="4" t="s">
        <v>34</v>
      </c>
      <c r="I835" s="5">
        <v>44470</v>
      </c>
      <c r="J835" s="6">
        <v>0</v>
      </c>
      <c r="K835" s="6">
        <v>0</v>
      </c>
      <c r="L835" s="6">
        <v>744.03800000000001</v>
      </c>
      <c r="M835" s="6">
        <v>744.03800000000001</v>
      </c>
      <c r="N835" s="6">
        <v>744.03800000000001</v>
      </c>
      <c r="O835" s="6">
        <v>744.03800000000001</v>
      </c>
      <c r="P835" s="6">
        <v>0</v>
      </c>
      <c r="Q835" s="4" t="s">
        <v>26</v>
      </c>
      <c r="R835" s="4">
        <v>0</v>
      </c>
      <c r="S835" s="4" t="s">
        <v>350</v>
      </c>
      <c r="T835" s="4" t="s">
        <v>615</v>
      </c>
      <c r="U835" s="4">
        <v>0</v>
      </c>
      <c r="V835" s="4">
        <v>42</v>
      </c>
      <c r="W835" s="4">
        <v>66</v>
      </c>
    </row>
    <row r="836" spans="1:23" ht="11.25" customHeight="1" x14ac:dyDescent="0.25">
      <c r="A836" s="4" t="s">
        <v>27</v>
      </c>
      <c r="B836" s="4" t="s">
        <v>41</v>
      </c>
      <c r="C836" s="4" t="s">
        <v>42</v>
      </c>
      <c r="D836" s="4" t="s">
        <v>43</v>
      </c>
      <c r="E836" s="4" t="s">
        <v>25</v>
      </c>
      <c r="F836" s="4" t="s">
        <v>25</v>
      </c>
      <c r="G836" s="4" t="s">
        <v>25</v>
      </c>
      <c r="H836" s="4" t="s">
        <v>34</v>
      </c>
      <c r="I836" s="5">
        <v>44470</v>
      </c>
      <c r="J836" s="6">
        <v>0</v>
      </c>
      <c r="K836" s="6">
        <v>0</v>
      </c>
      <c r="L836" s="6">
        <v>-0.73899999999999999</v>
      </c>
      <c r="M836" s="6">
        <v>-0.73899999999999999</v>
      </c>
      <c r="N836" s="6">
        <v>-0.73899999999999999</v>
      </c>
      <c r="O836" s="6">
        <v>-0.73899999999999999</v>
      </c>
      <c r="P836" s="6">
        <v>0</v>
      </c>
      <c r="Q836" s="4" t="s">
        <v>26</v>
      </c>
      <c r="R836" s="4">
        <v>0</v>
      </c>
      <c r="S836" s="4" t="s">
        <v>350</v>
      </c>
      <c r="T836" s="4" t="s">
        <v>615</v>
      </c>
      <c r="U836" s="4">
        <v>0</v>
      </c>
      <c r="V836" s="4">
        <v>42</v>
      </c>
      <c r="W836" s="4">
        <v>66</v>
      </c>
    </row>
    <row r="837" spans="1:23" ht="11.25" customHeight="1" x14ac:dyDescent="0.25">
      <c r="A837" s="4" t="s">
        <v>28</v>
      </c>
      <c r="B837" s="4" t="s">
        <v>41</v>
      </c>
      <c r="C837" s="4" t="s">
        <v>42</v>
      </c>
      <c r="D837" s="4" t="s">
        <v>43</v>
      </c>
      <c r="E837" s="4" t="s">
        <v>25</v>
      </c>
      <c r="F837" s="4" t="s">
        <v>25</v>
      </c>
      <c r="G837" s="4" t="s">
        <v>25</v>
      </c>
      <c r="H837" s="4" t="s">
        <v>34</v>
      </c>
      <c r="I837" s="5">
        <v>44470</v>
      </c>
      <c r="J837" s="6">
        <v>0</v>
      </c>
      <c r="K837" s="6">
        <v>0</v>
      </c>
      <c r="L837" s="6">
        <v>73.391999999999996</v>
      </c>
      <c r="M837" s="6">
        <v>73.391999999999996</v>
      </c>
      <c r="N837" s="6">
        <v>73.391999999999996</v>
      </c>
      <c r="O837" s="6">
        <v>73.391999999999996</v>
      </c>
      <c r="P837" s="6">
        <v>0</v>
      </c>
      <c r="Q837" s="4" t="s">
        <v>26</v>
      </c>
      <c r="R837" s="4">
        <v>0</v>
      </c>
      <c r="S837" s="4" t="s">
        <v>350</v>
      </c>
      <c r="T837" s="4" t="s">
        <v>615</v>
      </c>
      <c r="U837" s="4">
        <v>0</v>
      </c>
      <c r="V837" s="4">
        <v>42</v>
      </c>
      <c r="W837" s="4">
        <v>66</v>
      </c>
    </row>
    <row r="838" spans="1:23" ht="11.25" customHeight="1" x14ac:dyDescent="0.25">
      <c r="A838" s="4" t="s">
        <v>21</v>
      </c>
      <c r="B838" s="4" t="s">
        <v>41</v>
      </c>
      <c r="C838" s="4" t="s">
        <v>42</v>
      </c>
      <c r="D838" s="4" t="s">
        <v>43</v>
      </c>
      <c r="E838" s="4" t="s">
        <v>25</v>
      </c>
      <c r="F838" s="4" t="s">
        <v>25</v>
      </c>
      <c r="G838" s="4" t="s">
        <v>25</v>
      </c>
      <c r="H838" s="4" t="s">
        <v>34</v>
      </c>
      <c r="I838" s="5">
        <v>44470</v>
      </c>
      <c r="J838" s="6">
        <v>0</v>
      </c>
      <c r="K838" s="6">
        <v>0</v>
      </c>
      <c r="L838" s="6">
        <v>1.835</v>
      </c>
      <c r="M838" s="6">
        <v>1.835</v>
      </c>
      <c r="N838" s="6">
        <v>0</v>
      </c>
      <c r="O838" s="6">
        <v>0</v>
      </c>
      <c r="P838" s="6">
        <v>0</v>
      </c>
      <c r="Q838" s="4" t="s">
        <v>58</v>
      </c>
      <c r="R838" s="4">
        <v>0</v>
      </c>
      <c r="S838" s="4" t="s">
        <v>350</v>
      </c>
      <c r="U838" s="4">
        <v>0</v>
      </c>
      <c r="V838" s="4">
        <v>42</v>
      </c>
      <c r="W838" s="4">
        <v>0</v>
      </c>
    </row>
    <row r="839" spans="1:23" ht="11.25" customHeight="1" x14ac:dyDescent="0.25">
      <c r="A839" s="4" t="s">
        <v>21</v>
      </c>
      <c r="B839" s="4" t="s">
        <v>41</v>
      </c>
      <c r="C839" s="4" t="s">
        <v>42</v>
      </c>
      <c r="D839" s="4" t="s">
        <v>43</v>
      </c>
      <c r="E839" s="4" t="s">
        <v>25</v>
      </c>
      <c r="F839" s="4" t="s">
        <v>25</v>
      </c>
      <c r="G839" s="4" t="s">
        <v>25</v>
      </c>
      <c r="H839" s="4" t="s">
        <v>34</v>
      </c>
      <c r="I839" s="5">
        <v>44501</v>
      </c>
      <c r="J839" s="6">
        <v>0</v>
      </c>
      <c r="K839" s="6">
        <v>0</v>
      </c>
      <c r="L839" s="6">
        <v>723.38599999999997</v>
      </c>
      <c r="M839" s="6">
        <v>723.38599999999997</v>
      </c>
      <c r="N839" s="6">
        <v>723.38599999999997</v>
      </c>
      <c r="O839" s="6">
        <v>723.38599999999997</v>
      </c>
      <c r="P839" s="6">
        <v>0</v>
      </c>
      <c r="Q839" s="4" t="s">
        <v>26</v>
      </c>
      <c r="R839" s="4">
        <v>0</v>
      </c>
      <c r="S839" s="4" t="s">
        <v>351</v>
      </c>
      <c r="T839" s="4" t="s">
        <v>616</v>
      </c>
      <c r="U839" s="4">
        <v>0</v>
      </c>
      <c r="V839" s="4">
        <v>42</v>
      </c>
      <c r="W839" s="4">
        <v>66</v>
      </c>
    </row>
    <row r="840" spans="1:23" ht="11.25" customHeight="1" x14ac:dyDescent="0.25">
      <c r="A840" s="4" t="s">
        <v>27</v>
      </c>
      <c r="B840" s="4" t="s">
        <v>41</v>
      </c>
      <c r="C840" s="4" t="s">
        <v>42</v>
      </c>
      <c r="D840" s="4" t="s">
        <v>43</v>
      </c>
      <c r="E840" s="4" t="s">
        <v>25</v>
      </c>
      <c r="F840" s="4" t="s">
        <v>25</v>
      </c>
      <c r="G840" s="4" t="s">
        <v>25</v>
      </c>
      <c r="H840" s="4" t="s">
        <v>34</v>
      </c>
      <c r="I840" s="5">
        <v>44501</v>
      </c>
      <c r="J840" s="6">
        <v>0</v>
      </c>
      <c r="K840" s="6">
        <v>0</v>
      </c>
      <c r="L840" s="6">
        <v>-25.914000000000001</v>
      </c>
      <c r="M840" s="6">
        <v>-25.914000000000001</v>
      </c>
      <c r="N840" s="6">
        <v>-25.914000000000001</v>
      </c>
      <c r="O840" s="6">
        <v>-25.914000000000001</v>
      </c>
      <c r="P840" s="6">
        <v>0</v>
      </c>
      <c r="Q840" s="4" t="s">
        <v>26</v>
      </c>
      <c r="R840" s="4">
        <v>0</v>
      </c>
      <c r="S840" s="4" t="s">
        <v>351</v>
      </c>
      <c r="T840" s="4" t="s">
        <v>616</v>
      </c>
      <c r="U840" s="4">
        <v>0</v>
      </c>
      <c r="V840" s="4">
        <v>42</v>
      </c>
      <c r="W840" s="4">
        <v>66</v>
      </c>
    </row>
    <row r="841" spans="1:23" ht="11.25" customHeight="1" x14ac:dyDescent="0.25">
      <c r="A841" s="4" t="s">
        <v>28</v>
      </c>
      <c r="B841" s="4" t="s">
        <v>41</v>
      </c>
      <c r="C841" s="4" t="s">
        <v>42</v>
      </c>
      <c r="D841" s="4" t="s">
        <v>43</v>
      </c>
      <c r="E841" s="4" t="s">
        <v>25</v>
      </c>
      <c r="F841" s="4" t="s">
        <v>25</v>
      </c>
      <c r="G841" s="4" t="s">
        <v>25</v>
      </c>
      <c r="H841" s="4" t="s">
        <v>34</v>
      </c>
      <c r="I841" s="5">
        <v>44501</v>
      </c>
      <c r="J841" s="6">
        <v>0</v>
      </c>
      <c r="K841" s="6">
        <v>0</v>
      </c>
      <c r="L841" s="6">
        <v>70.212000000000003</v>
      </c>
      <c r="M841" s="6">
        <v>70.212000000000003</v>
      </c>
      <c r="N841" s="6">
        <v>70.212000000000003</v>
      </c>
      <c r="O841" s="6">
        <v>70.212000000000003</v>
      </c>
      <c r="P841" s="6">
        <v>0</v>
      </c>
      <c r="Q841" s="4" t="s">
        <v>26</v>
      </c>
      <c r="R841" s="4">
        <v>0</v>
      </c>
      <c r="S841" s="4" t="s">
        <v>351</v>
      </c>
      <c r="T841" s="4" t="s">
        <v>616</v>
      </c>
      <c r="U841" s="4">
        <v>0</v>
      </c>
      <c r="V841" s="4">
        <v>42</v>
      </c>
      <c r="W841" s="4">
        <v>66</v>
      </c>
    </row>
    <row r="842" spans="1:23" ht="11.25" customHeight="1" x14ac:dyDescent="0.25">
      <c r="A842" s="4" t="s">
        <v>21</v>
      </c>
      <c r="B842" s="4" t="s">
        <v>41</v>
      </c>
      <c r="C842" s="4" t="s">
        <v>42</v>
      </c>
      <c r="D842" s="4" t="s">
        <v>43</v>
      </c>
      <c r="E842" s="4" t="s">
        <v>25</v>
      </c>
      <c r="F842" s="4" t="s">
        <v>25</v>
      </c>
      <c r="G842" s="4" t="s">
        <v>25</v>
      </c>
      <c r="H842" s="4" t="s">
        <v>34</v>
      </c>
      <c r="I842" s="5">
        <v>44501</v>
      </c>
      <c r="J842" s="6">
        <v>0</v>
      </c>
      <c r="K842" s="6">
        <v>0</v>
      </c>
      <c r="L842" s="6">
        <v>0.96499999999999997</v>
      </c>
      <c r="M842" s="6">
        <v>0.96499999999999997</v>
      </c>
      <c r="N842" s="6">
        <v>0</v>
      </c>
      <c r="O842" s="6">
        <v>0</v>
      </c>
      <c r="P842" s="6">
        <v>0</v>
      </c>
      <c r="Q842" s="4" t="s">
        <v>58</v>
      </c>
      <c r="R842" s="4">
        <v>0</v>
      </c>
      <c r="S842" s="4" t="s">
        <v>351</v>
      </c>
      <c r="U842" s="4">
        <v>0</v>
      </c>
      <c r="V842" s="4">
        <v>42</v>
      </c>
      <c r="W842" s="4">
        <v>0</v>
      </c>
    </row>
    <row r="843" spans="1:23" ht="11.25" customHeight="1" x14ac:dyDescent="0.25">
      <c r="A843" s="4" t="s">
        <v>21</v>
      </c>
      <c r="B843" s="4" t="s">
        <v>41</v>
      </c>
      <c r="C843" s="4" t="s">
        <v>42</v>
      </c>
      <c r="D843" s="4" t="s">
        <v>43</v>
      </c>
      <c r="E843" s="4" t="s">
        <v>25</v>
      </c>
      <c r="F843" s="4" t="s">
        <v>25</v>
      </c>
      <c r="G843" s="4" t="s">
        <v>25</v>
      </c>
      <c r="H843" s="4" t="s">
        <v>34</v>
      </c>
      <c r="I843" s="5">
        <v>44531</v>
      </c>
      <c r="J843" s="6">
        <v>0</v>
      </c>
      <c r="K843" s="6">
        <v>0</v>
      </c>
      <c r="L843" s="6">
        <v>845.05799999999999</v>
      </c>
      <c r="M843" s="6">
        <v>845.05799999999999</v>
      </c>
      <c r="N843" s="6">
        <v>845.05799999999999</v>
      </c>
      <c r="O843" s="6">
        <v>845.05799999999999</v>
      </c>
      <c r="P843" s="6">
        <v>0</v>
      </c>
      <c r="Q843" s="4" t="s">
        <v>26</v>
      </c>
      <c r="R843" s="4">
        <v>0</v>
      </c>
      <c r="S843" s="4" t="s">
        <v>352</v>
      </c>
      <c r="T843" s="4" t="s">
        <v>617</v>
      </c>
      <c r="U843" s="4">
        <v>0</v>
      </c>
      <c r="V843" s="4">
        <v>42</v>
      </c>
      <c r="W843" s="4">
        <v>66</v>
      </c>
    </row>
    <row r="844" spans="1:23" ht="11.25" customHeight="1" x14ac:dyDescent="0.25">
      <c r="A844" s="4" t="s">
        <v>27</v>
      </c>
      <c r="B844" s="4" t="s">
        <v>41</v>
      </c>
      <c r="C844" s="4" t="s">
        <v>42</v>
      </c>
      <c r="D844" s="4" t="s">
        <v>43</v>
      </c>
      <c r="E844" s="4" t="s">
        <v>25</v>
      </c>
      <c r="F844" s="4" t="s">
        <v>25</v>
      </c>
      <c r="G844" s="4" t="s">
        <v>25</v>
      </c>
      <c r="H844" s="4" t="s">
        <v>34</v>
      </c>
      <c r="I844" s="5">
        <v>44531</v>
      </c>
      <c r="J844" s="6">
        <v>0</v>
      </c>
      <c r="K844" s="6">
        <v>0</v>
      </c>
      <c r="L844" s="6">
        <v>-8.718</v>
      </c>
      <c r="M844" s="6">
        <v>-8.718</v>
      </c>
      <c r="N844" s="6">
        <v>-8.718</v>
      </c>
      <c r="O844" s="6">
        <v>-8.718</v>
      </c>
      <c r="P844" s="6">
        <v>0</v>
      </c>
      <c r="Q844" s="4" t="s">
        <v>26</v>
      </c>
      <c r="R844" s="4">
        <v>0</v>
      </c>
      <c r="S844" s="4" t="s">
        <v>352</v>
      </c>
      <c r="T844" s="4" t="s">
        <v>617</v>
      </c>
      <c r="U844" s="4">
        <v>0</v>
      </c>
      <c r="V844" s="4">
        <v>42</v>
      </c>
      <c r="W844" s="4">
        <v>66</v>
      </c>
    </row>
    <row r="845" spans="1:23" ht="11.25" customHeight="1" x14ac:dyDescent="0.25">
      <c r="A845" s="4" t="s">
        <v>28</v>
      </c>
      <c r="B845" s="4" t="s">
        <v>41</v>
      </c>
      <c r="C845" s="4" t="s">
        <v>42</v>
      </c>
      <c r="D845" s="4" t="s">
        <v>43</v>
      </c>
      <c r="E845" s="4" t="s">
        <v>25</v>
      </c>
      <c r="F845" s="4" t="s">
        <v>25</v>
      </c>
      <c r="G845" s="4" t="s">
        <v>25</v>
      </c>
      <c r="H845" s="4" t="s">
        <v>34</v>
      </c>
      <c r="I845" s="5">
        <v>44531</v>
      </c>
      <c r="J845" s="6">
        <v>0</v>
      </c>
      <c r="K845" s="6">
        <v>0</v>
      </c>
      <c r="L845" s="6">
        <v>89.019000000000005</v>
      </c>
      <c r="M845" s="6">
        <v>89.019000000000005</v>
      </c>
      <c r="N845" s="6">
        <v>89.019000000000005</v>
      </c>
      <c r="O845" s="6">
        <v>89.019000000000005</v>
      </c>
      <c r="P845" s="6">
        <v>0</v>
      </c>
      <c r="Q845" s="4" t="s">
        <v>26</v>
      </c>
      <c r="R845" s="4">
        <v>0</v>
      </c>
      <c r="S845" s="4" t="s">
        <v>352</v>
      </c>
      <c r="T845" s="4" t="s">
        <v>617</v>
      </c>
      <c r="U845" s="4">
        <v>0</v>
      </c>
      <c r="V845" s="4">
        <v>42</v>
      </c>
      <c r="W845" s="4">
        <v>66</v>
      </c>
    </row>
    <row r="846" spans="1:23" ht="11.25" customHeight="1" x14ac:dyDescent="0.25">
      <c r="A846" s="4" t="s">
        <v>21</v>
      </c>
      <c r="B846" s="4" t="s">
        <v>41</v>
      </c>
      <c r="C846" s="4" t="s">
        <v>42</v>
      </c>
      <c r="D846" s="4" t="s">
        <v>43</v>
      </c>
      <c r="E846" s="4" t="s">
        <v>25</v>
      </c>
      <c r="F846" s="4" t="s">
        <v>25</v>
      </c>
      <c r="G846" s="4" t="s">
        <v>25</v>
      </c>
      <c r="H846" s="4" t="s">
        <v>34</v>
      </c>
      <c r="I846" s="5">
        <v>44531</v>
      </c>
      <c r="J846" s="6">
        <v>0</v>
      </c>
      <c r="K846" s="6">
        <v>0</v>
      </c>
      <c r="L846" s="6">
        <v>1.284</v>
      </c>
      <c r="M846" s="6">
        <v>1.284</v>
      </c>
      <c r="N846" s="6">
        <v>0</v>
      </c>
      <c r="O846" s="6">
        <v>0</v>
      </c>
      <c r="P846" s="6">
        <v>0</v>
      </c>
      <c r="Q846" s="4" t="s">
        <v>58</v>
      </c>
      <c r="R846" s="4">
        <v>0</v>
      </c>
      <c r="S846" s="4" t="s">
        <v>352</v>
      </c>
      <c r="U846" s="4">
        <v>0</v>
      </c>
      <c r="V846" s="4">
        <v>42</v>
      </c>
      <c r="W846" s="4">
        <v>0</v>
      </c>
    </row>
    <row r="847" spans="1:23" ht="11.25" customHeight="1" x14ac:dyDescent="0.25">
      <c r="A847" s="4" t="s">
        <v>21</v>
      </c>
      <c r="B847" s="4" t="s">
        <v>41</v>
      </c>
      <c r="C847" s="4" t="s">
        <v>42</v>
      </c>
      <c r="D847" s="4" t="s">
        <v>43</v>
      </c>
      <c r="E847" s="4" t="s">
        <v>25</v>
      </c>
      <c r="F847" s="4" t="s">
        <v>25</v>
      </c>
      <c r="G847" s="4" t="s">
        <v>25</v>
      </c>
      <c r="H847" s="4" t="s">
        <v>34</v>
      </c>
      <c r="I847" s="5">
        <v>44562</v>
      </c>
      <c r="J847" s="6">
        <v>0</v>
      </c>
      <c r="K847" s="6">
        <v>0</v>
      </c>
      <c r="L847" s="6">
        <v>853.14400000000001</v>
      </c>
      <c r="M847" s="6">
        <v>853.14400000000001</v>
      </c>
      <c r="N847" s="6">
        <v>853.14400000000001</v>
      </c>
      <c r="O847" s="6">
        <v>853.14400000000001</v>
      </c>
      <c r="P847" s="6">
        <v>0</v>
      </c>
      <c r="Q847" s="4" t="s">
        <v>26</v>
      </c>
      <c r="R847" s="4">
        <v>0</v>
      </c>
      <c r="S847" s="4" t="s">
        <v>353</v>
      </c>
      <c r="T847" s="4" t="s">
        <v>618</v>
      </c>
      <c r="U847" s="4">
        <v>0</v>
      </c>
      <c r="V847" s="4">
        <v>42</v>
      </c>
      <c r="W847" s="4">
        <v>66</v>
      </c>
    </row>
    <row r="848" spans="1:23" ht="11.25" customHeight="1" x14ac:dyDescent="0.25">
      <c r="A848" s="4" t="s">
        <v>28</v>
      </c>
      <c r="B848" s="4" t="s">
        <v>41</v>
      </c>
      <c r="C848" s="4" t="s">
        <v>42</v>
      </c>
      <c r="D848" s="4" t="s">
        <v>43</v>
      </c>
      <c r="E848" s="4" t="s">
        <v>25</v>
      </c>
      <c r="F848" s="4" t="s">
        <v>25</v>
      </c>
      <c r="G848" s="4" t="s">
        <v>25</v>
      </c>
      <c r="H848" s="4" t="s">
        <v>34</v>
      </c>
      <c r="I848" s="5">
        <v>44562</v>
      </c>
      <c r="J848" s="6">
        <v>0</v>
      </c>
      <c r="K848" s="6">
        <v>0</v>
      </c>
      <c r="L848" s="6">
        <v>71.245999999999995</v>
      </c>
      <c r="M848" s="6">
        <v>71.245999999999995</v>
      </c>
      <c r="N848" s="6">
        <v>71.245999999999995</v>
      </c>
      <c r="O848" s="6">
        <v>71.245999999999995</v>
      </c>
      <c r="P848" s="6">
        <v>0</v>
      </c>
      <c r="Q848" s="4" t="s">
        <v>26</v>
      </c>
      <c r="R848" s="4">
        <v>0</v>
      </c>
      <c r="S848" s="4" t="s">
        <v>353</v>
      </c>
      <c r="T848" s="4" t="s">
        <v>618</v>
      </c>
      <c r="U848" s="4">
        <v>0</v>
      </c>
      <c r="V848" s="4">
        <v>42</v>
      </c>
      <c r="W848" s="4">
        <v>66</v>
      </c>
    </row>
    <row r="849" spans="1:23" ht="11.25" customHeight="1" x14ac:dyDescent="0.25">
      <c r="A849" s="4" t="s">
        <v>21</v>
      </c>
      <c r="B849" s="4" t="s">
        <v>41</v>
      </c>
      <c r="C849" s="4" t="s">
        <v>42</v>
      </c>
      <c r="D849" s="4" t="s">
        <v>43</v>
      </c>
      <c r="E849" s="4" t="s">
        <v>25</v>
      </c>
      <c r="F849" s="4" t="s">
        <v>25</v>
      </c>
      <c r="G849" s="4" t="s">
        <v>25</v>
      </c>
      <c r="H849" s="4" t="s">
        <v>34</v>
      </c>
      <c r="I849" s="5">
        <v>44593</v>
      </c>
      <c r="J849" s="6">
        <v>0</v>
      </c>
      <c r="K849" s="6">
        <v>0</v>
      </c>
      <c r="L849" s="6">
        <v>786.74699999999996</v>
      </c>
      <c r="M849" s="6">
        <v>786.74699999999996</v>
      </c>
      <c r="N849" s="6">
        <v>786.74699999999996</v>
      </c>
      <c r="O849" s="6">
        <v>786.74699999999996</v>
      </c>
      <c r="P849" s="6">
        <v>0</v>
      </c>
      <c r="Q849" s="4" t="s">
        <v>26</v>
      </c>
      <c r="R849" s="4">
        <v>0</v>
      </c>
      <c r="S849" s="4" t="s">
        <v>354</v>
      </c>
      <c r="T849" s="4" t="s">
        <v>619</v>
      </c>
      <c r="U849" s="4">
        <v>0</v>
      </c>
      <c r="V849" s="4">
        <v>42</v>
      </c>
      <c r="W849" s="4">
        <v>66</v>
      </c>
    </row>
    <row r="850" spans="1:23" ht="11.25" customHeight="1" x14ac:dyDescent="0.25">
      <c r="A850" s="4" t="s">
        <v>27</v>
      </c>
      <c r="B850" s="4" t="s">
        <v>41</v>
      </c>
      <c r="C850" s="4" t="s">
        <v>42</v>
      </c>
      <c r="D850" s="4" t="s">
        <v>43</v>
      </c>
      <c r="E850" s="4" t="s">
        <v>25</v>
      </c>
      <c r="F850" s="4" t="s">
        <v>25</v>
      </c>
      <c r="G850" s="4" t="s">
        <v>25</v>
      </c>
      <c r="H850" s="4" t="s">
        <v>34</v>
      </c>
      <c r="I850" s="5">
        <v>44593</v>
      </c>
      <c r="J850" s="6">
        <v>0</v>
      </c>
      <c r="K850" s="6">
        <v>0</v>
      </c>
      <c r="L850" s="6">
        <v>-5.1340000000000003</v>
      </c>
      <c r="M850" s="6">
        <v>-5.1340000000000003</v>
      </c>
      <c r="N850" s="6">
        <v>-5.1340000000000003</v>
      </c>
      <c r="O850" s="6">
        <v>-5.1340000000000003</v>
      </c>
      <c r="P850" s="6">
        <v>0</v>
      </c>
      <c r="Q850" s="4" t="s">
        <v>26</v>
      </c>
      <c r="R850" s="4">
        <v>0</v>
      </c>
      <c r="S850" s="4" t="s">
        <v>354</v>
      </c>
      <c r="T850" s="4" t="s">
        <v>619</v>
      </c>
      <c r="U850" s="4">
        <v>0</v>
      </c>
      <c r="V850" s="4">
        <v>42</v>
      </c>
      <c r="W850" s="4">
        <v>66</v>
      </c>
    </row>
    <row r="851" spans="1:23" ht="11.25" customHeight="1" x14ac:dyDescent="0.25">
      <c r="A851" s="4" t="s">
        <v>28</v>
      </c>
      <c r="B851" s="4" t="s">
        <v>41</v>
      </c>
      <c r="C851" s="4" t="s">
        <v>42</v>
      </c>
      <c r="D851" s="4" t="s">
        <v>43</v>
      </c>
      <c r="E851" s="4" t="s">
        <v>25</v>
      </c>
      <c r="F851" s="4" t="s">
        <v>25</v>
      </c>
      <c r="G851" s="4" t="s">
        <v>25</v>
      </c>
      <c r="H851" s="4" t="s">
        <v>34</v>
      </c>
      <c r="I851" s="5">
        <v>44593</v>
      </c>
      <c r="J851" s="6">
        <v>0</v>
      </c>
      <c r="K851" s="6">
        <v>0</v>
      </c>
      <c r="L851" s="6">
        <v>69.754000000000005</v>
      </c>
      <c r="M851" s="6">
        <v>69.754000000000005</v>
      </c>
      <c r="N851" s="6">
        <v>69.754000000000005</v>
      </c>
      <c r="O851" s="6">
        <v>69.754000000000005</v>
      </c>
      <c r="P851" s="6">
        <v>0</v>
      </c>
      <c r="Q851" s="4" t="s">
        <v>26</v>
      </c>
      <c r="R851" s="4">
        <v>0</v>
      </c>
      <c r="S851" s="4" t="s">
        <v>354</v>
      </c>
      <c r="T851" s="4" t="s">
        <v>619</v>
      </c>
      <c r="U851" s="4">
        <v>0</v>
      </c>
      <c r="V851" s="4">
        <v>42</v>
      </c>
      <c r="W851" s="4">
        <v>66</v>
      </c>
    </row>
    <row r="852" spans="1:23" ht="11.25" customHeight="1" x14ac:dyDescent="0.25">
      <c r="A852" s="4" t="s">
        <v>28</v>
      </c>
      <c r="B852" s="4" t="s">
        <v>41</v>
      </c>
      <c r="C852" s="4" t="s">
        <v>42</v>
      </c>
      <c r="D852" s="4" t="s">
        <v>43</v>
      </c>
      <c r="E852" s="4" t="s">
        <v>25</v>
      </c>
      <c r="F852" s="4" t="s">
        <v>25</v>
      </c>
      <c r="G852" s="4" t="s">
        <v>25</v>
      </c>
      <c r="H852" s="4" t="s">
        <v>34</v>
      </c>
      <c r="I852" s="5">
        <v>44593</v>
      </c>
      <c r="J852" s="6">
        <v>0</v>
      </c>
      <c r="K852" s="6">
        <v>0</v>
      </c>
      <c r="L852" s="6">
        <v>-21.218</v>
      </c>
      <c r="M852" s="6">
        <v>-21.218</v>
      </c>
      <c r="N852" s="6">
        <v>-21.218</v>
      </c>
      <c r="O852" s="6">
        <v>-21.218</v>
      </c>
      <c r="P852" s="6">
        <v>0</v>
      </c>
      <c r="Q852" s="4" t="s">
        <v>26</v>
      </c>
      <c r="R852" s="4">
        <v>0</v>
      </c>
      <c r="S852" s="4" t="s">
        <v>354</v>
      </c>
      <c r="T852" s="4" t="s">
        <v>619</v>
      </c>
      <c r="U852" s="4">
        <v>0</v>
      </c>
      <c r="V852" s="4">
        <v>42</v>
      </c>
      <c r="W852" s="4">
        <v>66</v>
      </c>
    </row>
    <row r="853" spans="1:23" ht="11.25" customHeight="1" x14ac:dyDescent="0.25">
      <c r="A853" s="4" t="s">
        <v>21</v>
      </c>
      <c r="B853" s="4" t="s">
        <v>41</v>
      </c>
      <c r="C853" s="4" t="s">
        <v>42</v>
      </c>
      <c r="D853" s="4" t="s">
        <v>43</v>
      </c>
      <c r="E853" s="4" t="s">
        <v>25</v>
      </c>
      <c r="F853" s="4" t="s">
        <v>25</v>
      </c>
      <c r="G853" s="4" t="s">
        <v>25</v>
      </c>
      <c r="H853" s="4" t="s">
        <v>34</v>
      </c>
      <c r="I853" s="5">
        <v>44621</v>
      </c>
      <c r="J853" s="6">
        <v>0</v>
      </c>
      <c r="K853" s="6">
        <v>0</v>
      </c>
      <c r="L853" s="6">
        <v>845.57299999999998</v>
      </c>
      <c r="M853" s="6">
        <v>845.57299999999998</v>
      </c>
      <c r="N853" s="6">
        <v>845.57299999999998</v>
      </c>
      <c r="O853" s="6">
        <v>845.57299999999998</v>
      </c>
      <c r="P853" s="6">
        <v>0</v>
      </c>
      <c r="Q853" s="4" t="s">
        <v>26</v>
      </c>
      <c r="R853" s="4">
        <v>0</v>
      </c>
      <c r="S853" s="4" t="s">
        <v>355</v>
      </c>
      <c r="T853" s="4" t="s">
        <v>620</v>
      </c>
      <c r="U853" s="4">
        <v>0</v>
      </c>
      <c r="V853" s="4">
        <v>42</v>
      </c>
      <c r="W853" s="4">
        <v>66</v>
      </c>
    </row>
    <row r="854" spans="1:23" ht="11.25" customHeight="1" x14ac:dyDescent="0.25">
      <c r="A854" s="4" t="s">
        <v>28</v>
      </c>
      <c r="B854" s="4" t="s">
        <v>41</v>
      </c>
      <c r="C854" s="4" t="s">
        <v>42</v>
      </c>
      <c r="D854" s="4" t="s">
        <v>43</v>
      </c>
      <c r="E854" s="4" t="s">
        <v>25</v>
      </c>
      <c r="F854" s="4" t="s">
        <v>25</v>
      </c>
      <c r="G854" s="4" t="s">
        <v>25</v>
      </c>
      <c r="H854" s="4" t="s">
        <v>34</v>
      </c>
      <c r="I854" s="5">
        <v>44621</v>
      </c>
      <c r="J854" s="6">
        <v>0</v>
      </c>
      <c r="K854" s="6">
        <v>0</v>
      </c>
      <c r="L854" s="6">
        <v>118.858</v>
      </c>
      <c r="M854" s="6">
        <v>118.858</v>
      </c>
      <c r="N854" s="6">
        <v>118.858</v>
      </c>
      <c r="O854" s="6">
        <v>118.858</v>
      </c>
      <c r="P854" s="6">
        <v>0</v>
      </c>
      <c r="Q854" s="4" t="s">
        <v>26</v>
      </c>
      <c r="R854" s="4">
        <v>0</v>
      </c>
      <c r="S854" s="4" t="s">
        <v>355</v>
      </c>
      <c r="T854" s="4" t="s">
        <v>620</v>
      </c>
      <c r="U854" s="4">
        <v>0</v>
      </c>
      <c r="V854" s="4">
        <v>42</v>
      </c>
      <c r="W854" s="4">
        <v>66</v>
      </c>
    </row>
    <row r="855" spans="1:23" ht="11.25" customHeight="1" x14ac:dyDescent="0.25">
      <c r="A855" s="4" t="s">
        <v>21</v>
      </c>
      <c r="B855" s="4" t="s">
        <v>41</v>
      </c>
      <c r="C855" s="4" t="s">
        <v>42</v>
      </c>
      <c r="D855" s="4" t="s">
        <v>43</v>
      </c>
      <c r="E855" s="4" t="s">
        <v>25</v>
      </c>
      <c r="F855" s="4" t="s">
        <v>25</v>
      </c>
      <c r="G855" s="4" t="s">
        <v>25</v>
      </c>
      <c r="H855" s="4" t="s">
        <v>34</v>
      </c>
      <c r="I855" s="5">
        <v>44652</v>
      </c>
      <c r="J855" s="6">
        <v>0</v>
      </c>
      <c r="K855" s="6">
        <v>0</v>
      </c>
      <c r="L855" s="6">
        <v>808.17399999999998</v>
      </c>
      <c r="M855" s="6">
        <v>808.17399999999998</v>
      </c>
      <c r="N855" s="6">
        <v>808.17399999999998</v>
      </c>
      <c r="O855" s="6">
        <v>808.17399999999998</v>
      </c>
      <c r="P855" s="6">
        <v>0</v>
      </c>
      <c r="Q855" s="4" t="s">
        <v>26</v>
      </c>
      <c r="R855" s="4">
        <v>0</v>
      </c>
      <c r="S855" s="4" t="s">
        <v>356</v>
      </c>
      <c r="T855" s="4" t="s">
        <v>621</v>
      </c>
      <c r="U855" s="4">
        <v>0</v>
      </c>
      <c r="V855" s="4">
        <v>42</v>
      </c>
      <c r="W855" s="4">
        <v>66</v>
      </c>
    </row>
    <row r="856" spans="1:23" ht="11.25" customHeight="1" x14ac:dyDescent="0.25">
      <c r="A856" s="4" t="s">
        <v>27</v>
      </c>
      <c r="B856" s="4" t="s">
        <v>41</v>
      </c>
      <c r="C856" s="4" t="s">
        <v>42</v>
      </c>
      <c r="D856" s="4" t="s">
        <v>43</v>
      </c>
      <c r="E856" s="4" t="s">
        <v>25</v>
      </c>
      <c r="F856" s="4" t="s">
        <v>25</v>
      </c>
      <c r="G856" s="4" t="s">
        <v>25</v>
      </c>
      <c r="H856" s="4" t="s">
        <v>34</v>
      </c>
      <c r="I856" s="5">
        <v>44652</v>
      </c>
      <c r="J856" s="6">
        <v>0</v>
      </c>
      <c r="K856" s="6">
        <v>0</v>
      </c>
      <c r="L856" s="6">
        <v>5.7229999999999999</v>
      </c>
      <c r="M856" s="6">
        <v>5.7229999999999999</v>
      </c>
      <c r="N856" s="6">
        <v>5.7229999999999999</v>
      </c>
      <c r="O856" s="6">
        <v>5.7229999999999999</v>
      </c>
      <c r="P856" s="6">
        <v>0</v>
      </c>
      <c r="Q856" s="4" t="s">
        <v>26</v>
      </c>
      <c r="R856" s="4">
        <v>0</v>
      </c>
      <c r="S856" s="4" t="s">
        <v>356</v>
      </c>
      <c r="T856" s="4" t="s">
        <v>621</v>
      </c>
      <c r="U856" s="4">
        <v>0</v>
      </c>
      <c r="V856" s="4">
        <v>42</v>
      </c>
      <c r="W856" s="4">
        <v>66</v>
      </c>
    </row>
    <row r="857" spans="1:23" ht="11.25" customHeight="1" x14ac:dyDescent="0.25">
      <c r="A857" s="4" t="s">
        <v>28</v>
      </c>
      <c r="B857" s="4" t="s">
        <v>41</v>
      </c>
      <c r="C857" s="4" t="s">
        <v>42</v>
      </c>
      <c r="D857" s="4" t="s">
        <v>43</v>
      </c>
      <c r="E857" s="4" t="s">
        <v>25</v>
      </c>
      <c r="F857" s="4" t="s">
        <v>25</v>
      </c>
      <c r="G857" s="4" t="s">
        <v>25</v>
      </c>
      <c r="H857" s="4" t="s">
        <v>34</v>
      </c>
      <c r="I857" s="5">
        <v>44652</v>
      </c>
      <c r="J857" s="6">
        <v>0</v>
      </c>
      <c r="K857" s="6">
        <v>0</v>
      </c>
      <c r="L857" s="6">
        <v>94.355999999999995</v>
      </c>
      <c r="M857" s="6">
        <v>94.355999999999995</v>
      </c>
      <c r="N857" s="6">
        <v>94.355999999999995</v>
      </c>
      <c r="O857" s="6">
        <v>94.355999999999995</v>
      </c>
      <c r="P857" s="6">
        <v>0</v>
      </c>
      <c r="Q857" s="4" t="s">
        <v>26</v>
      </c>
      <c r="R857" s="4">
        <v>0</v>
      </c>
      <c r="S857" s="4" t="s">
        <v>356</v>
      </c>
      <c r="T857" s="4" t="s">
        <v>621</v>
      </c>
      <c r="U857" s="4">
        <v>0</v>
      </c>
      <c r="V857" s="4">
        <v>42</v>
      </c>
      <c r="W857" s="4">
        <v>66</v>
      </c>
    </row>
    <row r="858" spans="1:23" ht="11.25" customHeight="1" x14ac:dyDescent="0.25">
      <c r="A858" s="4" t="s">
        <v>28</v>
      </c>
      <c r="B858" s="4" t="s">
        <v>41</v>
      </c>
      <c r="C858" s="4" t="s">
        <v>42</v>
      </c>
      <c r="D858" s="4" t="s">
        <v>43</v>
      </c>
      <c r="E858" s="4" t="s">
        <v>25</v>
      </c>
      <c r="F858" s="4" t="s">
        <v>25</v>
      </c>
      <c r="G858" s="4" t="s">
        <v>25</v>
      </c>
      <c r="H858" s="4" t="s">
        <v>34</v>
      </c>
      <c r="I858" s="5">
        <v>44652</v>
      </c>
      <c r="J858" s="6">
        <v>0</v>
      </c>
      <c r="K858" s="6">
        <v>0</v>
      </c>
      <c r="L858" s="6">
        <v>-2E-3</v>
      </c>
      <c r="M858" s="6">
        <v>-2E-3</v>
      </c>
      <c r="N858" s="6">
        <v>-2E-3</v>
      </c>
      <c r="O858" s="6">
        <v>-2E-3</v>
      </c>
      <c r="P858" s="6">
        <v>0</v>
      </c>
      <c r="Q858" s="4" t="s">
        <v>26</v>
      </c>
      <c r="R858" s="4">
        <v>0</v>
      </c>
      <c r="S858" s="4" t="s">
        <v>356</v>
      </c>
      <c r="T858" s="4" t="s">
        <v>621</v>
      </c>
      <c r="U858" s="4">
        <v>0</v>
      </c>
      <c r="V858" s="4">
        <v>42</v>
      </c>
      <c r="W858" s="4">
        <v>66</v>
      </c>
    </row>
    <row r="859" spans="1:23" ht="11.25" customHeight="1" x14ac:dyDescent="0.25">
      <c r="A859" s="4" t="s">
        <v>21</v>
      </c>
      <c r="B859" s="4" t="s">
        <v>41</v>
      </c>
      <c r="C859" s="4" t="s">
        <v>42</v>
      </c>
      <c r="D859" s="4" t="s">
        <v>43</v>
      </c>
      <c r="E859" s="4" t="s">
        <v>25</v>
      </c>
      <c r="F859" s="4" t="s">
        <v>25</v>
      </c>
      <c r="G859" s="4" t="s">
        <v>25</v>
      </c>
      <c r="H859" s="4" t="s">
        <v>34</v>
      </c>
      <c r="I859" s="5">
        <v>44682</v>
      </c>
      <c r="J859" s="6">
        <v>0</v>
      </c>
      <c r="K859" s="6">
        <v>0</v>
      </c>
      <c r="L859" s="6">
        <v>842.45500000000004</v>
      </c>
      <c r="M859" s="6">
        <v>842.45500000000004</v>
      </c>
      <c r="N859" s="6">
        <v>842.45500000000004</v>
      </c>
      <c r="O859" s="6">
        <v>842.45500000000004</v>
      </c>
      <c r="P859" s="6">
        <v>0</v>
      </c>
      <c r="Q859" s="4" t="s">
        <v>26</v>
      </c>
      <c r="R859" s="4">
        <v>0</v>
      </c>
      <c r="S859" s="4" t="s">
        <v>357</v>
      </c>
      <c r="T859" s="4" t="s">
        <v>622</v>
      </c>
      <c r="U859" s="4">
        <v>0</v>
      </c>
      <c r="V859" s="4">
        <v>42</v>
      </c>
      <c r="W859" s="4">
        <v>66</v>
      </c>
    </row>
    <row r="860" spans="1:23" ht="11.25" customHeight="1" x14ac:dyDescent="0.25">
      <c r="A860" s="4" t="s">
        <v>27</v>
      </c>
      <c r="B860" s="4" t="s">
        <v>41</v>
      </c>
      <c r="C860" s="4" t="s">
        <v>42</v>
      </c>
      <c r="D860" s="4" t="s">
        <v>43</v>
      </c>
      <c r="E860" s="4" t="s">
        <v>25</v>
      </c>
      <c r="F860" s="4" t="s">
        <v>25</v>
      </c>
      <c r="G860" s="4" t="s">
        <v>25</v>
      </c>
      <c r="H860" s="4" t="s">
        <v>34</v>
      </c>
      <c r="I860" s="5">
        <v>44682</v>
      </c>
      <c r="J860" s="6">
        <v>0</v>
      </c>
      <c r="K860" s="6">
        <v>0</v>
      </c>
      <c r="L860" s="6">
        <v>-0.13200000000000001</v>
      </c>
      <c r="M860" s="6">
        <v>-0.13200000000000001</v>
      </c>
      <c r="N860" s="6">
        <v>-0.13200000000000001</v>
      </c>
      <c r="O860" s="6">
        <v>-0.13200000000000001</v>
      </c>
      <c r="P860" s="6">
        <v>0</v>
      </c>
      <c r="Q860" s="4" t="s">
        <v>26</v>
      </c>
      <c r="R860" s="4">
        <v>0</v>
      </c>
      <c r="S860" s="4" t="s">
        <v>357</v>
      </c>
      <c r="T860" s="4" t="s">
        <v>622</v>
      </c>
      <c r="U860" s="4">
        <v>0</v>
      </c>
      <c r="V860" s="4">
        <v>42</v>
      </c>
      <c r="W860" s="4">
        <v>66</v>
      </c>
    </row>
    <row r="861" spans="1:23" ht="11.25" customHeight="1" x14ac:dyDescent="0.25">
      <c r="A861" s="4" t="s">
        <v>28</v>
      </c>
      <c r="B861" s="4" t="s">
        <v>41</v>
      </c>
      <c r="C861" s="4" t="s">
        <v>42</v>
      </c>
      <c r="D861" s="4" t="s">
        <v>43</v>
      </c>
      <c r="E861" s="4" t="s">
        <v>25</v>
      </c>
      <c r="F861" s="4" t="s">
        <v>25</v>
      </c>
      <c r="G861" s="4" t="s">
        <v>25</v>
      </c>
      <c r="H861" s="4" t="s">
        <v>34</v>
      </c>
      <c r="I861" s="5">
        <v>44682</v>
      </c>
      <c r="J861" s="6">
        <v>0</v>
      </c>
      <c r="K861" s="6">
        <v>0</v>
      </c>
      <c r="L861" s="6">
        <v>112.30200000000001</v>
      </c>
      <c r="M861" s="6">
        <v>112.30200000000001</v>
      </c>
      <c r="N861" s="6">
        <v>112.30200000000001</v>
      </c>
      <c r="O861" s="6">
        <v>112.30200000000001</v>
      </c>
      <c r="P861" s="6">
        <v>0</v>
      </c>
      <c r="Q861" s="4" t="s">
        <v>26</v>
      </c>
      <c r="R861" s="4">
        <v>0</v>
      </c>
      <c r="S861" s="4" t="s">
        <v>357</v>
      </c>
      <c r="T861" s="4" t="s">
        <v>622</v>
      </c>
      <c r="U861" s="4">
        <v>0</v>
      </c>
      <c r="V861" s="4">
        <v>42</v>
      </c>
      <c r="W861" s="4">
        <v>66</v>
      </c>
    </row>
    <row r="862" spans="1:23" ht="11.25" customHeight="1" x14ac:dyDescent="0.25">
      <c r="A862" s="4" t="s">
        <v>21</v>
      </c>
      <c r="B862" s="4" t="s">
        <v>41</v>
      </c>
      <c r="C862" s="4" t="s">
        <v>42</v>
      </c>
      <c r="D862" s="4" t="s">
        <v>43</v>
      </c>
      <c r="E862" s="4" t="s">
        <v>25</v>
      </c>
      <c r="F862" s="4" t="s">
        <v>25</v>
      </c>
      <c r="G862" s="4" t="s">
        <v>25</v>
      </c>
      <c r="H862" s="4" t="s">
        <v>34</v>
      </c>
      <c r="I862" s="5">
        <v>44713</v>
      </c>
      <c r="J862" s="6">
        <v>0</v>
      </c>
      <c r="K862" s="6">
        <v>0</v>
      </c>
      <c r="L862" s="6">
        <v>838.82299999999998</v>
      </c>
      <c r="M862" s="6">
        <v>838.82299999999998</v>
      </c>
      <c r="N862" s="6">
        <v>838.82299999999998</v>
      </c>
      <c r="O862" s="6">
        <v>838.82299999999998</v>
      </c>
      <c r="P862" s="6">
        <v>0</v>
      </c>
      <c r="Q862" s="4" t="s">
        <v>26</v>
      </c>
      <c r="R862" s="4">
        <v>0</v>
      </c>
      <c r="S862" s="4" t="s">
        <v>358</v>
      </c>
      <c r="T862" s="4" t="s">
        <v>623</v>
      </c>
      <c r="U862" s="4">
        <v>0</v>
      </c>
      <c r="V862" s="4">
        <v>42</v>
      </c>
      <c r="W862" s="4">
        <v>66</v>
      </c>
    </row>
    <row r="863" spans="1:23" ht="11.25" customHeight="1" x14ac:dyDescent="0.25">
      <c r="A863" s="4" t="s">
        <v>27</v>
      </c>
      <c r="B863" s="4" t="s">
        <v>41</v>
      </c>
      <c r="C863" s="4" t="s">
        <v>42</v>
      </c>
      <c r="D863" s="4" t="s">
        <v>43</v>
      </c>
      <c r="E863" s="4" t="s">
        <v>25</v>
      </c>
      <c r="F863" s="4" t="s">
        <v>25</v>
      </c>
      <c r="G863" s="4" t="s">
        <v>25</v>
      </c>
      <c r="H863" s="4" t="s">
        <v>34</v>
      </c>
      <c r="I863" s="5">
        <v>44713</v>
      </c>
      <c r="J863" s="6">
        <v>0</v>
      </c>
      <c r="K863" s="6">
        <v>0</v>
      </c>
      <c r="L863" s="6">
        <v>0.38600000000000001</v>
      </c>
      <c r="M863" s="6">
        <v>0.38600000000000001</v>
      </c>
      <c r="N863" s="6">
        <v>0.38600000000000001</v>
      </c>
      <c r="O863" s="6">
        <v>0.38600000000000001</v>
      </c>
      <c r="P863" s="6">
        <v>0</v>
      </c>
      <c r="Q863" s="4" t="s">
        <v>26</v>
      </c>
      <c r="R863" s="4">
        <v>0</v>
      </c>
      <c r="S863" s="4" t="s">
        <v>358</v>
      </c>
      <c r="T863" s="4" t="s">
        <v>623</v>
      </c>
      <c r="U863" s="4">
        <v>0</v>
      </c>
      <c r="V863" s="4">
        <v>42</v>
      </c>
      <c r="W863" s="4">
        <v>66</v>
      </c>
    </row>
    <row r="864" spans="1:23" ht="11.25" customHeight="1" x14ac:dyDescent="0.25">
      <c r="A864" s="4" t="s">
        <v>28</v>
      </c>
      <c r="B864" s="4" t="s">
        <v>41</v>
      </c>
      <c r="C864" s="4" t="s">
        <v>42</v>
      </c>
      <c r="D864" s="4" t="s">
        <v>43</v>
      </c>
      <c r="E864" s="4" t="s">
        <v>25</v>
      </c>
      <c r="F864" s="4" t="s">
        <v>25</v>
      </c>
      <c r="G864" s="4" t="s">
        <v>25</v>
      </c>
      <c r="H864" s="4" t="s">
        <v>34</v>
      </c>
      <c r="I864" s="5">
        <v>44713</v>
      </c>
      <c r="J864" s="6">
        <v>0</v>
      </c>
      <c r="K864" s="6">
        <v>0</v>
      </c>
      <c r="L864" s="6">
        <v>98.320999999999998</v>
      </c>
      <c r="M864" s="6">
        <v>98.320999999999998</v>
      </c>
      <c r="N864" s="6">
        <v>98.320999999999998</v>
      </c>
      <c r="O864" s="6">
        <v>98.320999999999998</v>
      </c>
      <c r="P864" s="6">
        <v>0</v>
      </c>
      <c r="Q864" s="4" t="s">
        <v>26</v>
      </c>
      <c r="R864" s="4">
        <v>0</v>
      </c>
      <c r="S864" s="4" t="s">
        <v>358</v>
      </c>
      <c r="T864" s="4" t="s">
        <v>623</v>
      </c>
      <c r="U864" s="4">
        <v>0</v>
      </c>
      <c r="V864" s="4">
        <v>42</v>
      </c>
      <c r="W864" s="4">
        <v>66</v>
      </c>
    </row>
    <row r="865" spans="1:23" ht="11.25" customHeight="1" x14ac:dyDescent="0.25">
      <c r="A865" s="4" t="s">
        <v>28</v>
      </c>
      <c r="B865" s="4" t="s">
        <v>41</v>
      </c>
      <c r="C865" s="4" t="s">
        <v>42</v>
      </c>
      <c r="D865" s="4" t="s">
        <v>43</v>
      </c>
      <c r="E865" s="4" t="s">
        <v>25</v>
      </c>
      <c r="F865" s="4" t="s">
        <v>25</v>
      </c>
      <c r="G865" s="4" t="s">
        <v>25</v>
      </c>
      <c r="H865" s="4" t="s">
        <v>34</v>
      </c>
      <c r="I865" s="5">
        <v>44713</v>
      </c>
      <c r="J865" s="6">
        <v>0</v>
      </c>
      <c r="K865" s="6">
        <v>0</v>
      </c>
      <c r="L865" s="6">
        <v>-0.50600000000000001</v>
      </c>
      <c r="M865" s="6">
        <v>-0.50600000000000001</v>
      </c>
      <c r="N865" s="6">
        <v>-0.50600000000000001</v>
      </c>
      <c r="O865" s="6">
        <v>-0.50600000000000001</v>
      </c>
      <c r="P865" s="6">
        <v>0</v>
      </c>
      <c r="Q865" s="4" t="s">
        <v>26</v>
      </c>
      <c r="R865" s="4">
        <v>0</v>
      </c>
      <c r="S865" s="4" t="s">
        <v>358</v>
      </c>
      <c r="T865" s="4" t="s">
        <v>623</v>
      </c>
      <c r="U865" s="4">
        <v>0</v>
      </c>
      <c r="V865" s="4">
        <v>42</v>
      </c>
      <c r="W865" s="4">
        <v>66</v>
      </c>
    </row>
    <row r="866" spans="1:23" ht="11.25" customHeight="1" x14ac:dyDescent="0.25">
      <c r="A866" s="4" t="s">
        <v>57</v>
      </c>
      <c r="B866" s="4" t="s">
        <v>41</v>
      </c>
      <c r="C866" s="4" t="s">
        <v>42</v>
      </c>
      <c r="D866" s="4" t="s">
        <v>43</v>
      </c>
      <c r="E866" s="4" t="s">
        <v>25</v>
      </c>
      <c r="F866" s="4" t="s">
        <v>25</v>
      </c>
      <c r="G866" s="4" t="s">
        <v>25</v>
      </c>
      <c r="H866" s="4" t="s">
        <v>34</v>
      </c>
      <c r="I866" s="5">
        <v>44743</v>
      </c>
      <c r="J866" s="6">
        <v>0</v>
      </c>
      <c r="K866" s="6">
        <v>0</v>
      </c>
      <c r="L866" s="6">
        <v>838.82299999999998</v>
      </c>
      <c r="M866" s="6">
        <v>838.82299999999998</v>
      </c>
      <c r="N866" s="6">
        <v>838.82299999999998</v>
      </c>
      <c r="O866" s="6">
        <v>838.82299999999998</v>
      </c>
      <c r="P866" s="6">
        <v>0</v>
      </c>
      <c r="Q866" s="4" t="s">
        <v>26</v>
      </c>
      <c r="R866" s="4">
        <v>0</v>
      </c>
      <c r="S866" s="4" t="s">
        <v>359</v>
      </c>
      <c r="T866" s="4" t="s">
        <v>624</v>
      </c>
      <c r="U866" s="4">
        <v>0</v>
      </c>
      <c r="V866" s="4">
        <v>42</v>
      </c>
      <c r="W866" s="4">
        <v>66</v>
      </c>
    </row>
    <row r="867" spans="1:23" ht="11.25" customHeight="1" x14ac:dyDescent="0.25">
      <c r="A867" s="4" t="s">
        <v>57</v>
      </c>
      <c r="B867" s="4" t="s">
        <v>41</v>
      </c>
      <c r="C867" s="4" t="s">
        <v>42</v>
      </c>
      <c r="D867" s="4" t="s">
        <v>43</v>
      </c>
      <c r="E867" s="4" t="s">
        <v>25</v>
      </c>
      <c r="F867" s="4" t="s">
        <v>25</v>
      </c>
      <c r="G867" s="4" t="s">
        <v>25</v>
      </c>
      <c r="H867" s="4" t="s">
        <v>34</v>
      </c>
      <c r="I867" s="5">
        <v>44743</v>
      </c>
      <c r="J867" s="6">
        <v>0</v>
      </c>
      <c r="K867" s="6">
        <v>0</v>
      </c>
      <c r="L867" s="6">
        <v>0.38600000000000001</v>
      </c>
      <c r="M867" s="6">
        <v>0.38600000000000001</v>
      </c>
      <c r="N867" s="6">
        <v>0.38600000000000001</v>
      </c>
      <c r="O867" s="6">
        <v>0.38600000000000001</v>
      </c>
      <c r="P867" s="6">
        <v>0</v>
      </c>
      <c r="Q867" s="4" t="s">
        <v>26</v>
      </c>
      <c r="R867" s="4">
        <v>0</v>
      </c>
      <c r="S867" s="4" t="s">
        <v>359</v>
      </c>
      <c r="T867" s="4" t="s">
        <v>624</v>
      </c>
      <c r="U867" s="4">
        <v>0</v>
      </c>
      <c r="V867" s="4">
        <v>42</v>
      </c>
      <c r="W867" s="4">
        <v>66</v>
      </c>
    </row>
    <row r="868" spans="1:23" ht="11.25" customHeight="1" x14ac:dyDescent="0.25">
      <c r="A868" s="4" t="s">
        <v>57</v>
      </c>
      <c r="B868" s="4" t="s">
        <v>41</v>
      </c>
      <c r="C868" s="4" t="s">
        <v>42</v>
      </c>
      <c r="D868" s="4" t="s">
        <v>43</v>
      </c>
      <c r="E868" s="4" t="s">
        <v>25</v>
      </c>
      <c r="F868" s="4" t="s">
        <v>25</v>
      </c>
      <c r="G868" s="4" t="s">
        <v>25</v>
      </c>
      <c r="H868" s="4" t="s">
        <v>34</v>
      </c>
      <c r="I868" s="5">
        <v>44743</v>
      </c>
      <c r="J868" s="6">
        <v>0</v>
      </c>
      <c r="K868" s="6">
        <v>0</v>
      </c>
      <c r="L868" s="6">
        <v>98.320999999999998</v>
      </c>
      <c r="M868" s="6">
        <v>98.320999999999998</v>
      </c>
      <c r="N868" s="6">
        <v>98.320999999999998</v>
      </c>
      <c r="O868" s="6">
        <v>98.320999999999998</v>
      </c>
      <c r="P868" s="6">
        <v>0</v>
      </c>
      <c r="Q868" s="4" t="s">
        <v>26</v>
      </c>
      <c r="R868" s="4">
        <v>0</v>
      </c>
      <c r="S868" s="4" t="s">
        <v>359</v>
      </c>
      <c r="T868" s="4" t="s">
        <v>624</v>
      </c>
      <c r="U868" s="4">
        <v>0</v>
      </c>
      <c r="V868" s="4">
        <v>42</v>
      </c>
      <c r="W868" s="4">
        <v>66</v>
      </c>
    </row>
    <row r="869" spans="1:23" ht="11.25" customHeight="1" x14ac:dyDescent="0.25">
      <c r="A869" s="4" t="s">
        <v>57</v>
      </c>
      <c r="B869" s="4" t="s">
        <v>41</v>
      </c>
      <c r="C869" s="4" t="s">
        <v>42</v>
      </c>
      <c r="D869" s="4" t="s">
        <v>43</v>
      </c>
      <c r="E869" s="4" t="s">
        <v>25</v>
      </c>
      <c r="F869" s="4" t="s">
        <v>25</v>
      </c>
      <c r="G869" s="4" t="s">
        <v>25</v>
      </c>
      <c r="H869" s="4" t="s">
        <v>34</v>
      </c>
      <c r="I869" s="5">
        <v>44743</v>
      </c>
      <c r="J869" s="6">
        <v>0</v>
      </c>
      <c r="K869" s="6">
        <v>0</v>
      </c>
      <c r="L869" s="6">
        <v>-0.50600000000000001</v>
      </c>
      <c r="M869" s="6">
        <v>-0.50600000000000001</v>
      </c>
      <c r="N869" s="6">
        <v>-0.50600000000000001</v>
      </c>
      <c r="O869" s="6">
        <v>-0.50600000000000001</v>
      </c>
      <c r="P869" s="6">
        <v>0</v>
      </c>
      <c r="Q869" s="4" t="s">
        <v>26</v>
      </c>
      <c r="R869" s="4">
        <v>0</v>
      </c>
      <c r="S869" s="4" t="s">
        <v>359</v>
      </c>
      <c r="T869" s="4" t="s">
        <v>624</v>
      </c>
      <c r="U869" s="4">
        <v>0</v>
      </c>
      <c r="V869" s="4">
        <v>42</v>
      </c>
      <c r="W869" s="4">
        <v>66</v>
      </c>
    </row>
    <row r="870" spans="1:23" ht="11.25" customHeight="1" x14ac:dyDescent="0.25">
      <c r="A870" s="4" t="s">
        <v>21</v>
      </c>
      <c r="B870" s="4" t="s">
        <v>41</v>
      </c>
      <c r="C870" s="4" t="s">
        <v>42</v>
      </c>
      <c r="D870" s="4" t="s">
        <v>52</v>
      </c>
      <c r="E870" s="4" t="s">
        <v>25</v>
      </c>
      <c r="F870" s="4" t="s">
        <v>25</v>
      </c>
      <c r="G870" s="4" t="s">
        <v>25</v>
      </c>
      <c r="H870" s="4" t="s">
        <v>35</v>
      </c>
      <c r="I870" s="5">
        <v>44409</v>
      </c>
      <c r="J870" s="6">
        <v>0</v>
      </c>
      <c r="K870" s="6">
        <v>0</v>
      </c>
      <c r="L870" s="6">
        <v>137.32499999999999</v>
      </c>
      <c r="M870" s="6">
        <v>137.32499999999999</v>
      </c>
      <c r="N870" s="6">
        <v>137.32499999999999</v>
      </c>
      <c r="O870" s="6">
        <v>137.32499999999999</v>
      </c>
      <c r="P870" s="6">
        <v>0</v>
      </c>
      <c r="Q870" s="4" t="s">
        <v>26</v>
      </c>
      <c r="R870" s="4">
        <v>0</v>
      </c>
      <c r="S870" s="4" t="s">
        <v>324</v>
      </c>
      <c r="T870" s="4" t="s">
        <v>601</v>
      </c>
      <c r="U870" s="4">
        <v>0</v>
      </c>
      <c r="V870" s="4">
        <v>44</v>
      </c>
      <c r="W870" s="4">
        <v>67</v>
      </c>
    </row>
    <row r="871" spans="1:23" ht="11.25" customHeight="1" x14ac:dyDescent="0.25">
      <c r="A871" s="4" t="s">
        <v>21</v>
      </c>
      <c r="B871" s="4" t="s">
        <v>41</v>
      </c>
      <c r="C871" s="4" t="s">
        <v>42</v>
      </c>
      <c r="D871" s="4" t="s">
        <v>52</v>
      </c>
      <c r="E871" s="4" t="s">
        <v>25</v>
      </c>
      <c r="F871" s="4" t="s">
        <v>25</v>
      </c>
      <c r="G871" s="4" t="s">
        <v>25</v>
      </c>
      <c r="H871" s="4" t="s">
        <v>35</v>
      </c>
      <c r="I871" s="5">
        <v>44440</v>
      </c>
      <c r="J871" s="6">
        <v>0</v>
      </c>
      <c r="K871" s="6">
        <v>0</v>
      </c>
      <c r="L871" s="6">
        <v>144.19800000000001</v>
      </c>
      <c r="M871" s="6">
        <v>144.19800000000001</v>
      </c>
      <c r="N871" s="6">
        <v>144.19800000000001</v>
      </c>
      <c r="O871" s="6">
        <v>144.19800000000001</v>
      </c>
      <c r="P871" s="6">
        <v>0</v>
      </c>
      <c r="Q871" s="4" t="s">
        <v>26</v>
      </c>
      <c r="R871" s="4">
        <v>0</v>
      </c>
      <c r="S871" s="4" t="s">
        <v>325</v>
      </c>
      <c r="T871" s="4" t="s">
        <v>602</v>
      </c>
      <c r="U871" s="4">
        <v>0</v>
      </c>
      <c r="V871" s="4">
        <v>44</v>
      </c>
      <c r="W871" s="4">
        <v>67</v>
      </c>
    </row>
    <row r="872" spans="1:23" ht="11.25" customHeight="1" x14ac:dyDescent="0.25">
      <c r="A872" s="4" t="s">
        <v>21</v>
      </c>
      <c r="B872" s="4" t="s">
        <v>41</v>
      </c>
      <c r="C872" s="4" t="s">
        <v>42</v>
      </c>
      <c r="D872" s="4" t="s">
        <v>52</v>
      </c>
      <c r="E872" s="4" t="s">
        <v>25</v>
      </c>
      <c r="F872" s="4" t="s">
        <v>25</v>
      </c>
      <c r="G872" s="4" t="s">
        <v>25</v>
      </c>
      <c r="H872" s="4" t="s">
        <v>35</v>
      </c>
      <c r="I872" s="5">
        <v>44470</v>
      </c>
      <c r="J872" s="6">
        <v>0</v>
      </c>
      <c r="K872" s="6">
        <v>0</v>
      </c>
      <c r="L872" s="6">
        <v>149.24</v>
      </c>
      <c r="M872" s="6">
        <v>149.24</v>
      </c>
      <c r="N872" s="6">
        <v>149.24</v>
      </c>
      <c r="O872" s="6">
        <v>149.24</v>
      </c>
      <c r="P872" s="6">
        <v>0</v>
      </c>
      <c r="Q872" s="4" t="s">
        <v>26</v>
      </c>
      <c r="R872" s="4">
        <v>0</v>
      </c>
      <c r="S872" s="4" t="s">
        <v>326</v>
      </c>
      <c r="T872" s="4" t="s">
        <v>603</v>
      </c>
      <c r="U872" s="4">
        <v>0</v>
      </c>
      <c r="V872" s="4">
        <v>44</v>
      </c>
      <c r="W872" s="4">
        <v>67</v>
      </c>
    </row>
    <row r="873" spans="1:23" ht="11.25" customHeight="1" x14ac:dyDescent="0.25">
      <c r="A873" s="4" t="s">
        <v>21</v>
      </c>
      <c r="B873" s="4" t="s">
        <v>41</v>
      </c>
      <c r="C873" s="4" t="s">
        <v>42</v>
      </c>
      <c r="D873" s="4" t="s">
        <v>52</v>
      </c>
      <c r="E873" s="4" t="s">
        <v>25</v>
      </c>
      <c r="F873" s="4" t="s">
        <v>25</v>
      </c>
      <c r="G873" s="4" t="s">
        <v>25</v>
      </c>
      <c r="H873" s="4" t="s">
        <v>35</v>
      </c>
      <c r="I873" s="5">
        <v>44501</v>
      </c>
      <c r="J873" s="6">
        <v>0</v>
      </c>
      <c r="K873" s="6">
        <v>0</v>
      </c>
      <c r="L873" s="6">
        <v>155.38900000000001</v>
      </c>
      <c r="M873" s="6">
        <v>155.38900000000001</v>
      </c>
      <c r="N873" s="6">
        <v>155.38900000000001</v>
      </c>
      <c r="O873" s="6">
        <v>155.38900000000001</v>
      </c>
      <c r="P873" s="6">
        <v>0</v>
      </c>
      <c r="Q873" s="4" t="s">
        <v>26</v>
      </c>
      <c r="R873" s="4">
        <v>0</v>
      </c>
      <c r="S873" s="4" t="s">
        <v>327</v>
      </c>
      <c r="T873" s="4" t="s">
        <v>604</v>
      </c>
      <c r="U873" s="4">
        <v>0</v>
      </c>
      <c r="V873" s="4">
        <v>44</v>
      </c>
      <c r="W873" s="4">
        <v>67</v>
      </c>
    </row>
    <row r="874" spans="1:23" ht="11.25" customHeight="1" x14ac:dyDescent="0.25">
      <c r="A874" s="4" t="s">
        <v>21</v>
      </c>
      <c r="B874" s="4" t="s">
        <v>41</v>
      </c>
      <c r="C874" s="4" t="s">
        <v>42</v>
      </c>
      <c r="D874" s="4" t="s">
        <v>52</v>
      </c>
      <c r="E874" s="4" t="s">
        <v>25</v>
      </c>
      <c r="F874" s="4" t="s">
        <v>25</v>
      </c>
      <c r="G874" s="4" t="s">
        <v>25</v>
      </c>
      <c r="H874" s="4" t="s">
        <v>35</v>
      </c>
      <c r="I874" s="5">
        <v>44531</v>
      </c>
      <c r="J874" s="6">
        <v>0</v>
      </c>
      <c r="K874" s="6">
        <v>0</v>
      </c>
      <c r="L874" s="6">
        <v>161.82300000000001</v>
      </c>
      <c r="M874" s="6">
        <v>161.82300000000001</v>
      </c>
      <c r="N874" s="6">
        <v>161.82300000000001</v>
      </c>
      <c r="O874" s="6">
        <v>161.82300000000001</v>
      </c>
      <c r="P874" s="6">
        <v>0</v>
      </c>
      <c r="Q874" s="4" t="s">
        <v>26</v>
      </c>
      <c r="R874" s="4">
        <v>0</v>
      </c>
      <c r="S874" s="4" t="s">
        <v>328</v>
      </c>
      <c r="T874" s="4" t="s">
        <v>605</v>
      </c>
      <c r="U874" s="4">
        <v>0</v>
      </c>
      <c r="V874" s="4">
        <v>44</v>
      </c>
      <c r="W874" s="4">
        <v>67</v>
      </c>
    </row>
    <row r="875" spans="1:23" ht="11.25" customHeight="1" x14ac:dyDescent="0.25">
      <c r="A875" s="4" t="s">
        <v>21</v>
      </c>
      <c r="B875" s="4" t="s">
        <v>41</v>
      </c>
      <c r="C875" s="4" t="s">
        <v>42</v>
      </c>
      <c r="D875" s="4" t="s">
        <v>52</v>
      </c>
      <c r="E875" s="4" t="s">
        <v>25</v>
      </c>
      <c r="F875" s="4" t="s">
        <v>25</v>
      </c>
      <c r="G875" s="4" t="s">
        <v>25</v>
      </c>
      <c r="H875" s="4" t="s">
        <v>35</v>
      </c>
      <c r="I875" s="5">
        <v>44562</v>
      </c>
      <c r="J875" s="6">
        <v>0</v>
      </c>
      <c r="K875" s="6">
        <v>0</v>
      </c>
      <c r="L875" s="6">
        <v>147.25700000000001</v>
      </c>
      <c r="M875" s="6">
        <v>147.25700000000001</v>
      </c>
      <c r="N875" s="6">
        <v>147.25700000000001</v>
      </c>
      <c r="O875" s="6">
        <v>147.25700000000001</v>
      </c>
      <c r="P875" s="6">
        <v>0</v>
      </c>
      <c r="Q875" s="4" t="s">
        <v>26</v>
      </c>
      <c r="R875" s="4">
        <v>0</v>
      </c>
      <c r="S875" s="4" t="s">
        <v>329</v>
      </c>
      <c r="T875" s="4" t="s">
        <v>606</v>
      </c>
      <c r="U875" s="4">
        <v>0</v>
      </c>
      <c r="V875" s="4">
        <v>44</v>
      </c>
      <c r="W875" s="4">
        <v>67</v>
      </c>
    </row>
    <row r="876" spans="1:23" ht="11.25" customHeight="1" x14ac:dyDescent="0.25">
      <c r="A876" s="4" t="s">
        <v>21</v>
      </c>
      <c r="B876" s="4" t="s">
        <v>41</v>
      </c>
      <c r="C876" s="4" t="s">
        <v>42</v>
      </c>
      <c r="D876" s="4" t="s">
        <v>52</v>
      </c>
      <c r="E876" s="4" t="s">
        <v>25</v>
      </c>
      <c r="F876" s="4" t="s">
        <v>25</v>
      </c>
      <c r="G876" s="4" t="s">
        <v>25</v>
      </c>
      <c r="H876" s="4" t="s">
        <v>35</v>
      </c>
      <c r="I876" s="5">
        <v>44593</v>
      </c>
      <c r="J876" s="6">
        <v>0</v>
      </c>
      <c r="K876" s="6">
        <v>0</v>
      </c>
      <c r="L876" s="6">
        <v>144.08199999999999</v>
      </c>
      <c r="M876" s="6">
        <v>144.08199999999999</v>
      </c>
      <c r="N876" s="6">
        <v>144.08199999999999</v>
      </c>
      <c r="O876" s="6">
        <v>144.08199999999999</v>
      </c>
      <c r="P876" s="6">
        <v>0</v>
      </c>
      <c r="Q876" s="4" t="s">
        <v>26</v>
      </c>
      <c r="R876" s="4">
        <v>0</v>
      </c>
      <c r="S876" s="4" t="s">
        <v>330</v>
      </c>
      <c r="T876" s="4" t="s">
        <v>607</v>
      </c>
      <c r="U876" s="4">
        <v>0</v>
      </c>
      <c r="V876" s="4">
        <v>44</v>
      </c>
      <c r="W876" s="4">
        <v>67</v>
      </c>
    </row>
    <row r="877" spans="1:23" ht="11.25" customHeight="1" x14ac:dyDescent="0.25">
      <c r="A877" s="4" t="s">
        <v>21</v>
      </c>
      <c r="B877" s="4" t="s">
        <v>41</v>
      </c>
      <c r="C877" s="4" t="s">
        <v>42</v>
      </c>
      <c r="D877" s="4" t="s">
        <v>52</v>
      </c>
      <c r="E877" s="4" t="s">
        <v>25</v>
      </c>
      <c r="F877" s="4" t="s">
        <v>25</v>
      </c>
      <c r="G877" s="4" t="s">
        <v>25</v>
      </c>
      <c r="H877" s="4" t="s">
        <v>35</v>
      </c>
      <c r="I877" s="5">
        <v>44621</v>
      </c>
      <c r="J877" s="6">
        <v>0</v>
      </c>
      <c r="K877" s="6">
        <v>0</v>
      </c>
      <c r="L877" s="6">
        <v>164.93899999999999</v>
      </c>
      <c r="M877" s="6">
        <v>164.93899999999999</v>
      </c>
      <c r="N877" s="6">
        <v>164.93899999999999</v>
      </c>
      <c r="O877" s="6">
        <v>164.93899999999999</v>
      </c>
      <c r="P877" s="6">
        <v>0</v>
      </c>
      <c r="Q877" s="4" t="s">
        <v>26</v>
      </c>
      <c r="R877" s="4">
        <v>0</v>
      </c>
      <c r="S877" s="4" t="s">
        <v>331</v>
      </c>
      <c r="T877" s="4" t="s">
        <v>608</v>
      </c>
      <c r="U877" s="4">
        <v>0</v>
      </c>
      <c r="V877" s="4">
        <v>44</v>
      </c>
      <c r="W877" s="4">
        <v>67</v>
      </c>
    </row>
    <row r="878" spans="1:23" ht="11.25" customHeight="1" x14ac:dyDescent="0.25">
      <c r="A878" s="4" t="s">
        <v>21</v>
      </c>
      <c r="B878" s="4" t="s">
        <v>41</v>
      </c>
      <c r="C878" s="4" t="s">
        <v>42</v>
      </c>
      <c r="D878" s="4" t="s">
        <v>52</v>
      </c>
      <c r="E878" s="4" t="s">
        <v>25</v>
      </c>
      <c r="F878" s="4" t="s">
        <v>25</v>
      </c>
      <c r="G878" s="4" t="s">
        <v>25</v>
      </c>
      <c r="H878" s="4" t="s">
        <v>35</v>
      </c>
      <c r="I878" s="5">
        <v>44652</v>
      </c>
      <c r="J878" s="6">
        <v>0</v>
      </c>
      <c r="K878" s="6">
        <v>0</v>
      </c>
      <c r="L878" s="6">
        <v>150.83099999999999</v>
      </c>
      <c r="M878" s="6">
        <v>150.83099999999999</v>
      </c>
      <c r="N878" s="6">
        <v>150.83099999999999</v>
      </c>
      <c r="O878" s="6">
        <v>150.83099999999999</v>
      </c>
      <c r="P878" s="6">
        <v>0</v>
      </c>
      <c r="Q878" s="4" t="s">
        <v>26</v>
      </c>
      <c r="R878" s="4">
        <v>0</v>
      </c>
      <c r="S878" s="4" t="s">
        <v>332</v>
      </c>
      <c r="T878" s="4" t="s">
        <v>609</v>
      </c>
      <c r="U878" s="4">
        <v>0</v>
      </c>
      <c r="V878" s="4">
        <v>44</v>
      </c>
      <c r="W878" s="4">
        <v>67</v>
      </c>
    </row>
    <row r="879" spans="1:23" ht="11.25" customHeight="1" x14ac:dyDescent="0.25">
      <c r="A879" s="4" t="s">
        <v>21</v>
      </c>
      <c r="B879" s="4" t="s">
        <v>41</v>
      </c>
      <c r="C879" s="4" t="s">
        <v>42</v>
      </c>
      <c r="D879" s="4" t="s">
        <v>52</v>
      </c>
      <c r="E879" s="4" t="s">
        <v>25</v>
      </c>
      <c r="F879" s="4" t="s">
        <v>25</v>
      </c>
      <c r="G879" s="4" t="s">
        <v>25</v>
      </c>
      <c r="H879" s="4" t="s">
        <v>35</v>
      </c>
      <c r="I879" s="5">
        <v>44682</v>
      </c>
      <c r="J879" s="6">
        <v>0</v>
      </c>
      <c r="K879" s="6">
        <v>0</v>
      </c>
      <c r="L879" s="6">
        <v>157.08500000000001</v>
      </c>
      <c r="M879" s="6">
        <v>157.08500000000001</v>
      </c>
      <c r="N879" s="6">
        <v>157.08500000000001</v>
      </c>
      <c r="O879" s="6">
        <v>157.08500000000001</v>
      </c>
      <c r="P879" s="6">
        <v>0</v>
      </c>
      <c r="Q879" s="4" t="s">
        <v>26</v>
      </c>
      <c r="R879" s="4">
        <v>0</v>
      </c>
      <c r="S879" s="4" t="s">
        <v>333</v>
      </c>
      <c r="T879" s="4" t="s">
        <v>610</v>
      </c>
      <c r="U879" s="4">
        <v>0</v>
      </c>
      <c r="V879" s="4">
        <v>44</v>
      </c>
      <c r="W879" s="4">
        <v>67</v>
      </c>
    </row>
    <row r="880" spans="1:23" ht="11.25" customHeight="1" x14ac:dyDescent="0.25">
      <c r="A880" s="4" t="s">
        <v>21</v>
      </c>
      <c r="B880" s="4" t="s">
        <v>41</v>
      </c>
      <c r="C880" s="4" t="s">
        <v>42</v>
      </c>
      <c r="D880" s="4" t="s">
        <v>52</v>
      </c>
      <c r="E880" s="4" t="s">
        <v>25</v>
      </c>
      <c r="F880" s="4" t="s">
        <v>25</v>
      </c>
      <c r="G880" s="4" t="s">
        <v>25</v>
      </c>
      <c r="H880" s="4" t="s">
        <v>35</v>
      </c>
      <c r="I880" s="5">
        <v>44713</v>
      </c>
      <c r="J880" s="6">
        <v>0</v>
      </c>
      <c r="K880" s="6">
        <v>0</v>
      </c>
      <c r="L880" s="6">
        <v>137.815</v>
      </c>
      <c r="M880" s="6">
        <v>137.815</v>
      </c>
      <c r="N880" s="6">
        <v>137.815</v>
      </c>
      <c r="O880" s="6">
        <v>137.815</v>
      </c>
      <c r="P880" s="6">
        <v>0</v>
      </c>
      <c r="Q880" s="4" t="s">
        <v>26</v>
      </c>
      <c r="R880" s="4">
        <v>0</v>
      </c>
      <c r="S880" s="4" t="s">
        <v>334</v>
      </c>
      <c r="T880" s="4" t="s">
        <v>611</v>
      </c>
      <c r="U880" s="4">
        <v>0</v>
      </c>
      <c r="V880" s="4">
        <v>44</v>
      </c>
      <c r="W880" s="4">
        <v>67</v>
      </c>
    </row>
    <row r="881" spans="1:23" ht="11.25" customHeight="1" x14ac:dyDescent="0.25">
      <c r="A881" s="4" t="s">
        <v>57</v>
      </c>
      <c r="B881" s="4" t="s">
        <v>41</v>
      </c>
      <c r="C881" s="4" t="s">
        <v>42</v>
      </c>
      <c r="D881" s="4" t="s">
        <v>52</v>
      </c>
      <c r="E881" s="4" t="s">
        <v>25</v>
      </c>
      <c r="F881" s="4" t="s">
        <v>25</v>
      </c>
      <c r="G881" s="4" t="s">
        <v>25</v>
      </c>
      <c r="H881" s="4" t="s">
        <v>35</v>
      </c>
      <c r="I881" s="5">
        <v>44743</v>
      </c>
      <c r="J881" s="6">
        <v>0</v>
      </c>
      <c r="K881" s="6">
        <v>0</v>
      </c>
      <c r="L881" s="6">
        <v>137.815</v>
      </c>
      <c r="M881" s="6">
        <v>137.815</v>
      </c>
      <c r="N881" s="6">
        <v>137.815</v>
      </c>
      <c r="O881" s="6">
        <v>137.815</v>
      </c>
      <c r="P881" s="6">
        <v>0</v>
      </c>
      <c r="Q881" s="4" t="s">
        <v>26</v>
      </c>
      <c r="R881" s="4">
        <v>0</v>
      </c>
      <c r="S881" s="4" t="s">
        <v>335</v>
      </c>
      <c r="T881" s="4" t="s">
        <v>612</v>
      </c>
      <c r="U881" s="4">
        <v>0</v>
      </c>
      <c r="V881" s="4">
        <v>44</v>
      </c>
      <c r="W881" s="4">
        <v>67</v>
      </c>
    </row>
    <row r="882" spans="1:23" ht="11.25" customHeight="1" x14ac:dyDescent="0.25">
      <c r="A882" s="4" t="s">
        <v>21</v>
      </c>
      <c r="B882" s="4" t="s">
        <v>41</v>
      </c>
      <c r="C882" s="4" t="s">
        <v>42</v>
      </c>
      <c r="D882" s="4" t="s">
        <v>52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44409</v>
      </c>
      <c r="J882" s="6">
        <v>696</v>
      </c>
      <c r="K882" s="6">
        <v>696</v>
      </c>
      <c r="L882" s="6">
        <v>0</v>
      </c>
      <c r="M882" s="6">
        <v>0</v>
      </c>
      <c r="N882" s="6">
        <v>0</v>
      </c>
      <c r="O882" s="6">
        <v>0</v>
      </c>
      <c r="P882" s="6">
        <v>4</v>
      </c>
      <c r="Q882" s="4" t="s">
        <v>26</v>
      </c>
      <c r="R882" s="4">
        <v>0</v>
      </c>
      <c r="S882" s="4" t="s">
        <v>336</v>
      </c>
      <c r="U882" s="4">
        <v>40</v>
      </c>
      <c r="V882" s="4">
        <v>0</v>
      </c>
      <c r="W882" s="4">
        <v>0</v>
      </c>
    </row>
    <row r="883" spans="1:23" ht="11.25" customHeight="1" x14ac:dyDescent="0.25">
      <c r="A883" s="4" t="s">
        <v>21</v>
      </c>
      <c r="B883" s="4" t="s">
        <v>41</v>
      </c>
      <c r="C883" s="4" t="s">
        <v>42</v>
      </c>
      <c r="D883" s="4" t="s">
        <v>52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44440</v>
      </c>
      <c r="J883" s="6">
        <v>699</v>
      </c>
      <c r="K883" s="6">
        <v>699</v>
      </c>
      <c r="L883" s="6">
        <v>0</v>
      </c>
      <c r="M883" s="6">
        <v>0</v>
      </c>
      <c r="N883" s="6">
        <v>0</v>
      </c>
      <c r="O883" s="6">
        <v>0</v>
      </c>
      <c r="P883" s="6">
        <v>4</v>
      </c>
      <c r="Q883" s="4" t="s">
        <v>26</v>
      </c>
      <c r="R883" s="4">
        <v>0</v>
      </c>
      <c r="S883" s="4" t="s">
        <v>337</v>
      </c>
      <c r="U883" s="4">
        <v>40</v>
      </c>
      <c r="V883" s="4">
        <v>0</v>
      </c>
      <c r="W883" s="4">
        <v>0</v>
      </c>
    </row>
    <row r="884" spans="1:23" ht="11.25" customHeight="1" x14ac:dyDescent="0.25">
      <c r="A884" s="4" t="s">
        <v>21</v>
      </c>
      <c r="B884" s="4" t="s">
        <v>41</v>
      </c>
      <c r="C884" s="4" t="s">
        <v>42</v>
      </c>
      <c r="D884" s="4" t="s">
        <v>52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44470</v>
      </c>
      <c r="J884" s="6">
        <v>699</v>
      </c>
      <c r="K884" s="6">
        <v>699</v>
      </c>
      <c r="L884" s="6">
        <v>0</v>
      </c>
      <c r="M884" s="6">
        <v>0</v>
      </c>
      <c r="N884" s="6">
        <v>0</v>
      </c>
      <c r="O884" s="6">
        <v>0</v>
      </c>
      <c r="P884" s="6">
        <v>4</v>
      </c>
      <c r="Q884" s="4" t="s">
        <v>26</v>
      </c>
      <c r="R884" s="4">
        <v>0</v>
      </c>
      <c r="S884" s="4" t="s">
        <v>338</v>
      </c>
      <c r="U884" s="4">
        <v>40</v>
      </c>
      <c r="V884" s="4">
        <v>0</v>
      </c>
      <c r="W884" s="4">
        <v>0</v>
      </c>
    </row>
    <row r="885" spans="1:23" ht="11.25" customHeight="1" x14ac:dyDescent="0.25">
      <c r="A885" s="4" t="s">
        <v>21</v>
      </c>
      <c r="B885" s="4" t="s">
        <v>41</v>
      </c>
      <c r="C885" s="4" t="s">
        <v>42</v>
      </c>
      <c r="D885" s="4" t="s">
        <v>52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44501</v>
      </c>
      <c r="J885" s="6">
        <v>698</v>
      </c>
      <c r="K885" s="6">
        <v>698</v>
      </c>
      <c r="L885" s="6">
        <v>0</v>
      </c>
      <c r="M885" s="6">
        <v>0</v>
      </c>
      <c r="N885" s="6">
        <v>0</v>
      </c>
      <c r="O885" s="6">
        <v>0</v>
      </c>
      <c r="P885" s="6">
        <v>4</v>
      </c>
      <c r="Q885" s="4" t="s">
        <v>26</v>
      </c>
      <c r="R885" s="4">
        <v>0</v>
      </c>
      <c r="S885" s="4" t="s">
        <v>339</v>
      </c>
      <c r="U885" s="4">
        <v>40</v>
      </c>
      <c r="V885" s="4">
        <v>0</v>
      </c>
      <c r="W885" s="4">
        <v>0</v>
      </c>
    </row>
    <row r="886" spans="1:23" ht="11.25" customHeight="1" x14ac:dyDescent="0.25">
      <c r="A886" s="4" t="s">
        <v>21</v>
      </c>
      <c r="B886" s="4" t="s">
        <v>41</v>
      </c>
      <c r="C886" s="4" t="s">
        <v>42</v>
      </c>
      <c r="D886" s="4" t="s">
        <v>52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44531</v>
      </c>
      <c r="J886" s="6">
        <v>698</v>
      </c>
      <c r="K886" s="6">
        <v>698</v>
      </c>
      <c r="L886" s="6">
        <v>0</v>
      </c>
      <c r="M886" s="6">
        <v>0</v>
      </c>
      <c r="N886" s="6">
        <v>0</v>
      </c>
      <c r="O886" s="6">
        <v>0</v>
      </c>
      <c r="P886" s="6">
        <v>4</v>
      </c>
      <c r="Q886" s="4" t="s">
        <v>26</v>
      </c>
      <c r="R886" s="4">
        <v>0</v>
      </c>
      <c r="S886" s="4" t="s">
        <v>340</v>
      </c>
      <c r="U886" s="4">
        <v>40</v>
      </c>
      <c r="V886" s="4">
        <v>0</v>
      </c>
      <c r="W886" s="4">
        <v>0</v>
      </c>
    </row>
    <row r="887" spans="1:23" ht="11.25" customHeight="1" x14ac:dyDescent="0.25">
      <c r="A887" s="4" t="s">
        <v>21</v>
      </c>
      <c r="B887" s="4" t="s">
        <v>41</v>
      </c>
      <c r="C887" s="4" t="s">
        <v>42</v>
      </c>
      <c r="D887" s="4" t="s">
        <v>52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44562</v>
      </c>
      <c r="J887" s="6">
        <v>695</v>
      </c>
      <c r="K887" s="6">
        <v>695</v>
      </c>
      <c r="L887" s="6">
        <v>0</v>
      </c>
      <c r="M887" s="6">
        <v>0</v>
      </c>
      <c r="N887" s="6">
        <v>0</v>
      </c>
      <c r="O887" s="6">
        <v>0</v>
      </c>
      <c r="P887" s="6">
        <v>4</v>
      </c>
      <c r="Q887" s="4" t="s">
        <v>26</v>
      </c>
      <c r="R887" s="4">
        <v>0</v>
      </c>
      <c r="S887" s="4" t="s">
        <v>341</v>
      </c>
      <c r="U887" s="4">
        <v>40</v>
      </c>
      <c r="V887" s="4">
        <v>0</v>
      </c>
      <c r="W887" s="4">
        <v>0</v>
      </c>
    </row>
    <row r="888" spans="1:23" ht="11.25" customHeight="1" x14ac:dyDescent="0.25">
      <c r="A888" s="4" t="s">
        <v>21</v>
      </c>
      <c r="B888" s="4" t="s">
        <v>41</v>
      </c>
      <c r="C888" s="4" t="s">
        <v>42</v>
      </c>
      <c r="D888" s="4" t="s">
        <v>52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44593</v>
      </c>
      <c r="J888" s="6">
        <v>695</v>
      </c>
      <c r="K888" s="6">
        <v>695</v>
      </c>
      <c r="L888" s="6">
        <v>0</v>
      </c>
      <c r="M888" s="6">
        <v>0</v>
      </c>
      <c r="N888" s="6">
        <v>0</v>
      </c>
      <c r="O888" s="6">
        <v>0</v>
      </c>
      <c r="P888" s="6">
        <v>4</v>
      </c>
      <c r="Q888" s="4" t="s">
        <v>26</v>
      </c>
      <c r="R888" s="4">
        <v>0</v>
      </c>
      <c r="S888" s="4" t="s">
        <v>342</v>
      </c>
      <c r="U888" s="4">
        <v>40</v>
      </c>
      <c r="V888" s="4">
        <v>0</v>
      </c>
      <c r="W888" s="4">
        <v>0</v>
      </c>
    </row>
    <row r="889" spans="1:23" ht="11.25" customHeight="1" x14ac:dyDescent="0.25">
      <c r="A889" s="4" t="s">
        <v>21</v>
      </c>
      <c r="B889" s="4" t="s">
        <v>41</v>
      </c>
      <c r="C889" s="4" t="s">
        <v>42</v>
      </c>
      <c r="D889" s="4" t="s">
        <v>52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44621</v>
      </c>
      <c r="J889" s="6">
        <v>695</v>
      </c>
      <c r="K889" s="6">
        <v>695</v>
      </c>
      <c r="L889" s="6">
        <v>0</v>
      </c>
      <c r="M889" s="6">
        <v>0</v>
      </c>
      <c r="N889" s="6">
        <v>0</v>
      </c>
      <c r="O889" s="6">
        <v>0</v>
      </c>
      <c r="P889" s="6">
        <v>4</v>
      </c>
      <c r="Q889" s="4" t="s">
        <v>26</v>
      </c>
      <c r="R889" s="4">
        <v>0</v>
      </c>
      <c r="S889" s="4" t="s">
        <v>343</v>
      </c>
      <c r="U889" s="4">
        <v>40</v>
      </c>
      <c r="V889" s="4">
        <v>0</v>
      </c>
      <c r="W889" s="4">
        <v>0</v>
      </c>
    </row>
    <row r="890" spans="1:23" ht="11.25" customHeight="1" x14ac:dyDescent="0.25">
      <c r="A890" s="4" t="s">
        <v>21</v>
      </c>
      <c r="B890" s="4" t="s">
        <v>41</v>
      </c>
      <c r="C890" s="4" t="s">
        <v>42</v>
      </c>
      <c r="D890" s="4" t="s">
        <v>52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44652</v>
      </c>
      <c r="J890" s="6">
        <v>695</v>
      </c>
      <c r="K890" s="6">
        <v>695</v>
      </c>
      <c r="L890" s="6">
        <v>0</v>
      </c>
      <c r="M890" s="6">
        <v>0</v>
      </c>
      <c r="N890" s="6">
        <v>0</v>
      </c>
      <c r="O890" s="6">
        <v>0</v>
      </c>
      <c r="P890" s="6">
        <v>4</v>
      </c>
      <c r="Q890" s="4" t="s">
        <v>26</v>
      </c>
      <c r="R890" s="4">
        <v>0</v>
      </c>
      <c r="S890" s="4" t="s">
        <v>344</v>
      </c>
      <c r="U890" s="4">
        <v>40</v>
      </c>
      <c r="V890" s="4">
        <v>0</v>
      </c>
      <c r="W890" s="4">
        <v>0</v>
      </c>
    </row>
    <row r="891" spans="1:23" ht="11.25" customHeight="1" x14ac:dyDescent="0.25">
      <c r="A891" s="4" t="s">
        <v>21</v>
      </c>
      <c r="B891" s="4" t="s">
        <v>41</v>
      </c>
      <c r="C891" s="4" t="s">
        <v>42</v>
      </c>
      <c r="D891" s="4" t="s">
        <v>52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44682</v>
      </c>
      <c r="J891" s="6">
        <v>695</v>
      </c>
      <c r="K891" s="6">
        <v>695</v>
      </c>
      <c r="L891" s="6">
        <v>0</v>
      </c>
      <c r="M891" s="6">
        <v>0</v>
      </c>
      <c r="N891" s="6">
        <v>0</v>
      </c>
      <c r="O891" s="6">
        <v>0</v>
      </c>
      <c r="P891" s="6">
        <v>4</v>
      </c>
      <c r="Q891" s="4" t="s">
        <v>26</v>
      </c>
      <c r="R891" s="4">
        <v>0</v>
      </c>
      <c r="S891" s="4" t="s">
        <v>345</v>
      </c>
      <c r="U891" s="4">
        <v>40</v>
      </c>
      <c r="V891" s="4">
        <v>0</v>
      </c>
      <c r="W891" s="4">
        <v>0</v>
      </c>
    </row>
    <row r="892" spans="1:23" ht="11.25" customHeight="1" x14ac:dyDescent="0.25">
      <c r="A892" s="4" t="s">
        <v>21</v>
      </c>
      <c r="B892" s="4" t="s">
        <v>41</v>
      </c>
      <c r="C892" s="4" t="s">
        <v>42</v>
      </c>
      <c r="D892" s="4" t="s">
        <v>52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44713</v>
      </c>
      <c r="J892" s="6">
        <v>695</v>
      </c>
      <c r="K892" s="6">
        <v>695</v>
      </c>
      <c r="L892" s="6">
        <v>0</v>
      </c>
      <c r="M892" s="6">
        <v>0</v>
      </c>
      <c r="N892" s="6">
        <v>0</v>
      </c>
      <c r="O892" s="6">
        <v>0</v>
      </c>
      <c r="P892" s="6">
        <v>4</v>
      </c>
      <c r="Q892" s="4" t="s">
        <v>26</v>
      </c>
      <c r="R892" s="4">
        <v>0</v>
      </c>
      <c r="S892" s="4" t="s">
        <v>346</v>
      </c>
      <c r="U892" s="4">
        <v>40</v>
      </c>
      <c r="V892" s="4">
        <v>0</v>
      </c>
      <c r="W892" s="4">
        <v>0</v>
      </c>
    </row>
    <row r="893" spans="1:23" ht="11.25" customHeight="1" x14ac:dyDescent="0.25">
      <c r="A893" s="4" t="s">
        <v>57</v>
      </c>
      <c r="B893" s="4" t="s">
        <v>41</v>
      </c>
      <c r="C893" s="4" t="s">
        <v>42</v>
      </c>
      <c r="D893" s="4" t="s">
        <v>52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44743</v>
      </c>
      <c r="J893" s="6">
        <v>695</v>
      </c>
      <c r="K893" s="6">
        <v>695</v>
      </c>
      <c r="L893" s="6">
        <v>0</v>
      </c>
      <c r="M893" s="6">
        <v>0</v>
      </c>
      <c r="N893" s="6">
        <v>0</v>
      </c>
      <c r="O893" s="6">
        <v>0</v>
      </c>
      <c r="P893" s="6">
        <v>4</v>
      </c>
      <c r="Q893" s="4" t="s">
        <v>26</v>
      </c>
      <c r="R893" s="4">
        <v>0</v>
      </c>
      <c r="S893" s="4" t="s">
        <v>347</v>
      </c>
      <c r="U893" s="4">
        <v>40</v>
      </c>
      <c r="V893" s="4">
        <v>0</v>
      </c>
      <c r="W893" s="4">
        <v>0</v>
      </c>
    </row>
    <row r="894" spans="1:23" ht="11.25" customHeight="1" x14ac:dyDescent="0.25">
      <c r="A894" s="4" t="s">
        <v>21</v>
      </c>
      <c r="B894" s="4" t="s">
        <v>41</v>
      </c>
      <c r="C894" s="4" t="s">
        <v>42</v>
      </c>
      <c r="D894" s="4" t="s">
        <v>52</v>
      </c>
      <c r="E894" s="4" t="s">
        <v>25</v>
      </c>
      <c r="F894" s="4" t="s">
        <v>25</v>
      </c>
      <c r="G894" s="4" t="s">
        <v>25</v>
      </c>
      <c r="H894" s="4" t="s">
        <v>34</v>
      </c>
      <c r="I894" s="5">
        <v>44409</v>
      </c>
      <c r="J894" s="6">
        <v>0</v>
      </c>
      <c r="K894" s="6">
        <v>0</v>
      </c>
      <c r="L894" s="6">
        <v>13.287000000000001</v>
      </c>
      <c r="M894" s="6">
        <v>13.287000000000001</v>
      </c>
      <c r="N894" s="6">
        <v>13.287000000000001</v>
      </c>
      <c r="O894" s="6">
        <v>13.287000000000001</v>
      </c>
      <c r="P894" s="6">
        <v>0</v>
      </c>
      <c r="Q894" s="4" t="s">
        <v>26</v>
      </c>
      <c r="R894" s="4">
        <v>0</v>
      </c>
      <c r="S894" s="4" t="s">
        <v>348</v>
      </c>
      <c r="T894" s="4" t="s">
        <v>613</v>
      </c>
      <c r="U894" s="4">
        <v>0</v>
      </c>
      <c r="V894" s="4">
        <v>42</v>
      </c>
      <c r="W894" s="4">
        <v>66</v>
      </c>
    </row>
    <row r="895" spans="1:23" ht="11.25" customHeight="1" x14ac:dyDescent="0.25">
      <c r="A895" s="4" t="s">
        <v>21</v>
      </c>
      <c r="B895" s="4" t="s">
        <v>41</v>
      </c>
      <c r="C895" s="4" t="s">
        <v>42</v>
      </c>
      <c r="D895" s="4" t="s">
        <v>52</v>
      </c>
      <c r="E895" s="4" t="s">
        <v>25</v>
      </c>
      <c r="F895" s="4" t="s">
        <v>25</v>
      </c>
      <c r="G895" s="4" t="s">
        <v>25</v>
      </c>
      <c r="H895" s="4" t="s">
        <v>34</v>
      </c>
      <c r="I895" s="5">
        <v>44440</v>
      </c>
      <c r="J895" s="6">
        <v>0</v>
      </c>
      <c r="K895" s="6">
        <v>0</v>
      </c>
      <c r="L895" s="6">
        <v>12.973000000000001</v>
      </c>
      <c r="M895" s="6">
        <v>12.973000000000001</v>
      </c>
      <c r="N895" s="6">
        <v>12.973000000000001</v>
      </c>
      <c r="O895" s="6">
        <v>12.973000000000001</v>
      </c>
      <c r="P895" s="6">
        <v>0</v>
      </c>
      <c r="Q895" s="4" t="s">
        <v>26</v>
      </c>
      <c r="R895" s="4">
        <v>0</v>
      </c>
      <c r="S895" s="4" t="s">
        <v>349</v>
      </c>
      <c r="T895" s="4" t="s">
        <v>614</v>
      </c>
      <c r="U895" s="4">
        <v>0</v>
      </c>
      <c r="V895" s="4">
        <v>42</v>
      </c>
      <c r="W895" s="4">
        <v>66</v>
      </c>
    </row>
    <row r="896" spans="1:23" ht="11.25" customHeight="1" x14ac:dyDescent="0.25">
      <c r="A896" s="4" t="s">
        <v>21</v>
      </c>
      <c r="B896" s="4" t="s">
        <v>41</v>
      </c>
      <c r="C896" s="4" t="s">
        <v>42</v>
      </c>
      <c r="D896" s="4" t="s">
        <v>52</v>
      </c>
      <c r="E896" s="4" t="s">
        <v>25</v>
      </c>
      <c r="F896" s="4" t="s">
        <v>25</v>
      </c>
      <c r="G896" s="4" t="s">
        <v>25</v>
      </c>
      <c r="H896" s="4" t="s">
        <v>34</v>
      </c>
      <c r="I896" s="5">
        <v>44470</v>
      </c>
      <c r="J896" s="6">
        <v>0</v>
      </c>
      <c r="K896" s="6">
        <v>0</v>
      </c>
      <c r="L896" s="6">
        <v>12.781000000000001</v>
      </c>
      <c r="M896" s="6">
        <v>12.781000000000001</v>
      </c>
      <c r="N896" s="6">
        <v>12.781000000000001</v>
      </c>
      <c r="O896" s="6">
        <v>12.781000000000001</v>
      </c>
      <c r="P896" s="6">
        <v>0</v>
      </c>
      <c r="Q896" s="4" t="s">
        <v>26</v>
      </c>
      <c r="R896" s="4">
        <v>0</v>
      </c>
      <c r="S896" s="4" t="s">
        <v>350</v>
      </c>
      <c r="T896" s="4" t="s">
        <v>615</v>
      </c>
      <c r="U896" s="4">
        <v>0</v>
      </c>
      <c r="V896" s="4">
        <v>42</v>
      </c>
      <c r="W896" s="4">
        <v>66</v>
      </c>
    </row>
    <row r="897" spans="1:23" ht="11.25" customHeight="1" x14ac:dyDescent="0.25">
      <c r="A897" s="4" t="s">
        <v>21</v>
      </c>
      <c r="B897" s="4" t="s">
        <v>41</v>
      </c>
      <c r="C897" s="4" t="s">
        <v>42</v>
      </c>
      <c r="D897" s="4" t="s">
        <v>52</v>
      </c>
      <c r="E897" s="4" t="s">
        <v>25</v>
      </c>
      <c r="F897" s="4" t="s">
        <v>25</v>
      </c>
      <c r="G897" s="4" t="s">
        <v>25</v>
      </c>
      <c r="H897" s="4" t="s">
        <v>34</v>
      </c>
      <c r="I897" s="5">
        <v>44501</v>
      </c>
      <c r="J897" s="6">
        <v>0</v>
      </c>
      <c r="K897" s="6">
        <v>0</v>
      </c>
      <c r="L897" s="6">
        <v>12.78</v>
      </c>
      <c r="M897" s="6">
        <v>12.78</v>
      </c>
      <c r="N897" s="6">
        <v>12.78</v>
      </c>
      <c r="O897" s="6">
        <v>12.78</v>
      </c>
      <c r="P897" s="6">
        <v>0</v>
      </c>
      <c r="Q897" s="4" t="s">
        <v>26</v>
      </c>
      <c r="R897" s="4">
        <v>0</v>
      </c>
      <c r="S897" s="4" t="s">
        <v>351</v>
      </c>
      <c r="T897" s="4" t="s">
        <v>616</v>
      </c>
      <c r="U897" s="4">
        <v>0</v>
      </c>
      <c r="V897" s="4">
        <v>42</v>
      </c>
      <c r="W897" s="4">
        <v>66</v>
      </c>
    </row>
    <row r="898" spans="1:23" ht="11.25" customHeight="1" x14ac:dyDescent="0.25">
      <c r="A898" s="4" t="s">
        <v>21</v>
      </c>
      <c r="B898" s="4" t="s">
        <v>41</v>
      </c>
      <c r="C898" s="4" t="s">
        <v>42</v>
      </c>
      <c r="D898" s="4" t="s">
        <v>52</v>
      </c>
      <c r="E898" s="4" t="s">
        <v>25</v>
      </c>
      <c r="F898" s="4" t="s">
        <v>25</v>
      </c>
      <c r="G898" s="4" t="s">
        <v>25</v>
      </c>
      <c r="H898" s="4" t="s">
        <v>34</v>
      </c>
      <c r="I898" s="5">
        <v>44531</v>
      </c>
      <c r="J898" s="6">
        <v>0</v>
      </c>
      <c r="K898" s="6">
        <v>0</v>
      </c>
      <c r="L898" s="6">
        <v>14.375</v>
      </c>
      <c r="M898" s="6">
        <v>14.375</v>
      </c>
      <c r="N898" s="6">
        <v>14.375</v>
      </c>
      <c r="O898" s="6">
        <v>14.375</v>
      </c>
      <c r="P898" s="6">
        <v>0</v>
      </c>
      <c r="Q898" s="4" t="s">
        <v>26</v>
      </c>
      <c r="R898" s="4">
        <v>0</v>
      </c>
      <c r="S898" s="4" t="s">
        <v>352</v>
      </c>
      <c r="T898" s="4" t="s">
        <v>617</v>
      </c>
      <c r="U898" s="4">
        <v>0</v>
      </c>
      <c r="V898" s="4">
        <v>42</v>
      </c>
      <c r="W898" s="4">
        <v>66</v>
      </c>
    </row>
    <row r="899" spans="1:23" ht="11.25" customHeight="1" x14ac:dyDescent="0.25">
      <c r="A899" s="4" t="s">
        <v>21</v>
      </c>
      <c r="B899" s="4" t="s">
        <v>41</v>
      </c>
      <c r="C899" s="4" t="s">
        <v>42</v>
      </c>
      <c r="D899" s="4" t="s">
        <v>52</v>
      </c>
      <c r="E899" s="4" t="s">
        <v>25</v>
      </c>
      <c r="F899" s="4" t="s">
        <v>25</v>
      </c>
      <c r="G899" s="4" t="s">
        <v>25</v>
      </c>
      <c r="H899" s="4" t="s">
        <v>34</v>
      </c>
      <c r="I899" s="5">
        <v>44562</v>
      </c>
      <c r="J899" s="6">
        <v>0</v>
      </c>
      <c r="K899" s="6">
        <v>0</v>
      </c>
      <c r="L899" s="6">
        <v>12.573</v>
      </c>
      <c r="M899" s="6">
        <v>12.573</v>
      </c>
      <c r="N899" s="6">
        <v>12.573</v>
      </c>
      <c r="O899" s="6">
        <v>12.573</v>
      </c>
      <c r="P899" s="6">
        <v>0</v>
      </c>
      <c r="Q899" s="4" t="s">
        <v>26</v>
      </c>
      <c r="R899" s="4">
        <v>0</v>
      </c>
      <c r="S899" s="4" t="s">
        <v>353</v>
      </c>
      <c r="T899" s="4" t="s">
        <v>618</v>
      </c>
      <c r="U899" s="4">
        <v>0</v>
      </c>
      <c r="V899" s="4">
        <v>42</v>
      </c>
      <c r="W899" s="4">
        <v>66</v>
      </c>
    </row>
    <row r="900" spans="1:23" ht="11.25" customHeight="1" x14ac:dyDescent="0.25">
      <c r="A900" s="4" t="s">
        <v>21</v>
      </c>
      <c r="B900" s="4" t="s">
        <v>41</v>
      </c>
      <c r="C900" s="4" t="s">
        <v>42</v>
      </c>
      <c r="D900" s="4" t="s">
        <v>52</v>
      </c>
      <c r="E900" s="4" t="s">
        <v>25</v>
      </c>
      <c r="F900" s="4" t="s">
        <v>25</v>
      </c>
      <c r="G900" s="4" t="s">
        <v>25</v>
      </c>
      <c r="H900" s="4" t="s">
        <v>34</v>
      </c>
      <c r="I900" s="5">
        <v>44593</v>
      </c>
      <c r="J900" s="6">
        <v>0</v>
      </c>
      <c r="K900" s="6">
        <v>0</v>
      </c>
      <c r="L900" s="6">
        <v>13.137</v>
      </c>
      <c r="M900" s="6">
        <v>13.137</v>
      </c>
      <c r="N900" s="6">
        <v>13.137</v>
      </c>
      <c r="O900" s="6">
        <v>13.137</v>
      </c>
      <c r="P900" s="6">
        <v>0</v>
      </c>
      <c r="Q900" s="4" t="s">
        <v>26</v>
      </c>
      <c r="R900" s="4">
        <v>0</v>
      </c>
      <c r="S900" s="4" t="s">
        <v>354</v>
      </c>
      <c r="T900" s="4" t="s">
        <v>619</v>
      </c>
      <c r="U900" s="4">
        <v>0</v>
      </c>
      <c r="V900" s="4">
        <v>42</v>
      </c>
      <c r="W900" s="4">
        <v>66</v>
      </c>
    </row>
    <row r="901" spans="1:23" ht="11.25" customHeight="1" x14ac:dyDescent="0.25">
      <c r="A901" s="4" t="s">
        <v>21</v>
      </c>
      <c r="B901" s="4" t="s">
        <v>41</v>
      </c>
      <c r="C901" s="4" t="s">
        <v>42</v>
      </c>
      <c r="D901" s="4" t="s">
        <v>52</v>
      </c>
      <c r="E901" s="4" t="s">
        <v>25</v>
      </c>
      <c r="F901" s="4" t="s">
        <v>25</v>
      </c>
      <c r="G901" s="4" t="s">
        <v>25</v>
      </c>
      <c r="H901" s="4" t="s">
        <v>34</v>
      </c>
      <c r="I901" s="5">
        <v>44621</v>
      </c>
      <c r="J901" s="6">
        <v>0</v>
      </c>
      <c r="K901" s="6">
        <v>0</v>
      </c>
      <c r="L901" s="6">
        <v>15.026</v>
      </c>
      <c r="M901" s="6">
        <v>15.026</v>
      </c>
      <c r="N901" s="6">
        <v>15.026</v>
      </c>
      <c r="O901" s="6">
        <v>15.026</v>
      </c>
      <c r="P901" s="6">
        <v>0</v>
      </c>
      <c r="Q901" s="4" t="s">
        <v>26</v>
      </c>
      <c r="R901" s="4">
        <v>0</v>
      </c>
      <c r="S901" s="4" t="s">
        <v>355</v>
      </c>
      <c r="T901" s="4" t="s">
        <v>620</v>
      </c>
      <c r="U901" s="4">
        <v>0</v>
      </c>
      <c r="V901" s="4">
        <v>42</v>
      </c>
      <c r="W901" s="4">
        <v>66</v>
      </c>
    </row>
    <row r="902" spans="1:23" ht="11.25" customHeight="1" x14ac:dyDescent="0.25">
      <c r="A902" s="4" t="s">
        <v>21</v>
      </c>
      <c r="B902" s="4" t="s">
        <v>41</v>
      </c>
      <c r="C902" s="4" t="s">
        <v>42</v>
      </c>
      <c r="D902" s="4" t="s">
        <v>52</v>
      </c>
      <c r="E902" s="4" t="s">
        <v>25</v>
      </c>
      <c r="F902" s="4" t="s">
        <v>25</v>
      </c>
      <c r="G902" s="4" t="s">
        <v>25</v>
      </c>
      <c r="H902" s="4" t="s">
        <v>34</v>
      </c>
      <c r="I902" s="5">
        <v>44652</v>
      </c>
      <c r="J902" s="6">
        <v>0</v>
      </c>
      <c r="K902" s="6">
        <v>0</v>
      </c>
      <c r="L902" s="6">
        <v>12.442</v>
      </c>
      <c r="M902" s="6">
        <v>12.442</v>
      </c>
      <c r="N902" s="6">
        <v>12.442</v>
      </c>
      <c r="O902" s="6">
        <v>12.442</v>
      </c>
      <c r="P902" s="6">
        <v>0</v>
      </c>
      <c r="Q902" s="4" t="s">
        <v>26</v>
      </c>
      <c r="R902" s="4">
        <v>0</v>
      </c>
      <c r="S902" s="4" t="s">
        <v>356</v>
      </c>
      <c r="T902" s="4" t="s">
        <v>621</v>
      </c>
      <c r="U902" s="4">
        <v>0</v>
      </c>
      <c r="V902" s="4">
        <v>42</v>
      </c>
      <c r="W902" s="4">
        <v>66</v>
      </c>
    </row>
    <row r="903" spans="1:23" ht="11.25" customHeight="1" x14ac:dyDescent="0.25">
      <c r="A903" s="4" t="s">
        <v>21</v>
      </c>
      <c r="B903" s="4" t="s">
        <v>41</v>
      </c>
      <c r="C903" s="4" t="s">
        <v>42</v>
      </c>
      <c r="D903" s="4" t="s">
        <v>52</v>
      </c>
      <c r="E903" s="4" t="s">
        <v>25</v>
      </c>
      <c r="F903" s="4" t="s">
        <v>25</v>
      </c>
      <c r="G903" s="4" t="s">
        <v>25</v>
      </c>
      <c r="H903" s="4" t="s">
        <v>34</v>
      </c>
      <c r="I903" s="5">
        <v>44682</v>
      </c>
      <c r="J903" s="6">
        <v>0</v>
      </c>
      <c r="K903" s="6">
        <v>0</v>
      </c>
      <c r="L903" s="6">
        <v>14.101000000000001</v>
      </c>
      <c r="M903" s="6">
        <v>14.101000000000001</v>
      </c>
      <c r="N903" s="6">
        <v>14.101000000000001</v>
      </c>
      <c r="O903" s="6">
        <v>14.101000000000001</v>
      </c>
      <c r="P903" s="6">
        <v>0</v>
      </c>
      <c r="Q903" s="4" t="s">
        <v>26</v>
      </c>
      <c r="R903" s="4">
        <v>0</v>
      </c>
      <c r="S903" s="4" t="s">
        <v>357</v>
      </c>
      <c r="T903" s="4" t="s">
        <v>622</v>
      </c>
      <c r="U903" s="4">
        <v>0</v>
      </c>
      <c r="V903" s="4">
        <v>42</v>
      </c>
      <c r="W903" s="4">
        <v>66</v>
      </c>
    </row>
    <row r="904" spans="1:23" ht="11.25" customHeight="1" x14ac:dyDescent="0.25">
      <c r="A904" s="4" t="s">
        <v>21</v>
      </c>
      <c r="B904" s="4" t="s">
        <v>41</v>
      </c>
      <c r="C904" s="4" t="s">
        <v>42</v>
      </c>
      <c r="D904" s="4" t="s">
        <v>52</v>
      </c>
      <c r="E904" s="4" t="s">
        <v>25</v>
      </c>
      <c r="F904" s="4" t="s">
        <v>25</v>
      </c>
      <c r="G904" s="4" t="s">
        <v>25</v>
      </c>
      <c r="H904" s="4" t="s">
        <v>34</v>
      </c>
      <c r="I904" s="5">
        <v>44713</v>
      </c>
      <c r="J904" s="6">
        <v>0</v>
      </c>
      <c r="K904" s="6">
        <v>0</v>
      </c>
      <c r="L904" s="6">
        <v>12.951000000000001</v>
      </c>
      <c r="M904" s="6">
        <v>12.951000000000001</v>
      </c>
      <c r="N904" s="6">
        <v>12.951000000000001</v>
      </c>
      <c r="O904" s="6">
        <v>12.951000000000001</v>
      </c>
      <c r="P904" s="6">
        <v>0</v>
      </c>
      <c r="Q904" s="4" t="s">
        <v>26</v>
      </c>
      <c r="R904" s="4">
        <v>0</v>
      </c>
      <c r="S904" s="4" t="s">
        <v>358</v>
      </c>
      <c r="T904" s="4" t="s">
        <v>623</v>
      </c>
      <c r="U904" s="4">
        <v>0</v>
      </c>
      <c r="V904" s="4">
        <v>42</v>
      </c>
      <c r="W904" s="4">
        <v>66</v>
      </c>
    </row>
    <row r="905" spans="1:23" ht="11.25" customHeight="1" x14ac:dyDescent="0.25">
      <c r="A905" s="4" t="s">
        <v>57</v>
      </c>
      <c r="B905" s="4" t="s">
        <v>41</v>
      </c>
      <c r="C905" s="4" t="s">
        <v>42</v>
      </c>
      <c r="D905" s="4" t="s">
        <v>52</v>
      </c>
      <c r="E905" s="4" t="s">
        <v>25</v>
      </c>
      <c r="F905" s="4" t="s">
        <v>25</v>
      </c>
      <c r="G905" s="4" t="s">
        <v>25</v>
      </c>
      <c r="H905" s="4" t="s">
        <v>34</v>
      </c>
      <c r="I905" s="5">
        <v>44743</v>
      </c>
      <c r="J905" s="6">
        <v>0</v>
      </c>
      <c r="K905" s="6">
        <v>0</v>
      </c>
      <c r="L905" s="6">
        <v>12.951000000000001</v>
      </c>
      <c r="M905" s="6">
        <v>12.951000000000001</v>
      </c>
      <c r="N905" s="6">
        <v>12.951000000000001</v>
      </c>
      <c r="O905" s="6">
        <v>12.951000000000001</v>
      </c>
      <c r="P905" s="6">
        <v>0</v>
      </c>
      <c r="Q905" s="4" t="s">
        <v>26</v>
      </c>
      <c r="R905" s="4">
        <v>0</v>
      </c>
      <c r="S905" s="4" t="s">
        <v>359</v>
      </c>
      <c r="T905" s="4" t="s">
        <v>624</v>
      </c>
      <c r="U905" s="4">
        <v>0</v>
      </c>
      <c r="V905" s="4">
        <v>42</v>
      </c>
      <c r="W905" s="4">
        <v>66</v>
      </c>
    </row>
    <row r="906" spans="1:23" ht="11.25" customHeight="1" x14ac:dyDescent="0.25">
      <c r="A906" s="4" t="s">
        <v>27</v>
      </c>
      <c r="B906" s="4" t="s">
        <v>41</v>
      </c>
      <c r="C906" s="4" t="s">
        <v>42</v>
      </c>
      <c r="D906" s="4" t="s">
        <v>38</v>
      </c>
      <c r="E906" s="4" t="s">
        <v>25</v>
      </c>
      <c r="F906" s="4" t="s">
        <v>59</v>
      </c>
      <c r="G906" s="4" t="s">
        <v>25</v>
      </c>
      <c r="H906" s="4" t="s">
        <v>35</v>
      </c>
      <c r="I906" s="5">
        <v>44409</v>
      </c>
      <c r="J906" s="6">
        <v>0</v>
      </c>
      <c r="K906" s="6">
        <v>0</v>
      </c>
      <c r="L906" s="6">
        <v>13.065</v>
      </c>
      <c r="M906" s="6">
        <v>13.065</v>
      </c>
      <c r="N906" s="6">
        <v>0</v>
      </c>
      <c r="O906" s="6">
        <v>0</v>
      </c>
      <c r="P906" s="6">
        <v>0</v>
      </c>
      <c r="Q906" s="4" t="s">
        <v>60</v>
      </c>
      <c r="R906" s="4">
        <v>0</v>
      </c>
      <c r="S906" s="4" t="s">
        <v>360</v>
      </c>
      <c r="U906" s="4">
        <v>0</v>
      </c>
      <c r="V906" s="4">
        <v>48</v>
      </c>
      <c r="W906" s="4">
        <v>0</v>
      </c>
    </row>
    <row r="907" spans="1:23" ht="11.25" customHeight="1" x14ac:dyDescent="0.25">
      <c r="A907" s="4" t="s">
        <v>27</v>
      </c>
      <c r="B907" s="4" t="s">
        <v>41</v>
      </c>
      <c r="C907" s="4" t="s">
        <v>42</v>
      </c>
      <c r="D907" s="4" t="s">
        <v>38</v>
      </c>
      <c r="E907" s="4" t="s">
        <v>25</v>
      </c>
      <c r="F907" s="4" t="s">
        <v>59</v>
      </c>
      <c r="G907" s="4" t="s">
        <v>25</v>
      </c>
      <c r="H907" s="4" t="s">
        <v>35</v>
      </c>
      <c r="I907" s="5">
        <v>44440</v>
      </c>
      <c r="J907" s="6">
        <v>0</v>
      </c>
      <c r="K907" s="6">
        <v>0</v>
      </c>
      <c r="L907" s="6">
        <v>6.5860000000000003</v>
      </c>
      <c r="M907" s="6">
        <v>6.5860000000000003</v>
      </c>
      <c r="N907" s="6">
        <v>0</v>
      </c>
      <c r="O907" s="6">
        <v>0</v>
      </c>
      <c r="P907" s="6">
        <v>0</v>
      </c>
      <c r="Q907" s="4" t="s">
        <v>60</v>
      </c>
      <c r="R907" s="4">
        <v>0</v>
      </c>
      <c r="S907" s="4" t="s">
        <v>361</v>
      </c>
      <c r="U907" s="4">
        <v>0</v>
      </c>
      <c r="V907" s="4">
        <v>48</v>
      </c>
      <c r="W907" s="4">
        <v>0</v>
      </c>
    </row>
    <row r="908" spans="1:23" ht="11.25" customHeight="1" x14ac:dyDescent="0.25">
      <c r="A908" s="4" t="s">
        <v>27</v>
      </c>
      <c r="B908" s="4" t="s">
        <v>41</v>
      </c>
      <c r="C908" s="4" t="s">
        <v>42</v>
      </c>
      <c r="D908" s="4" t="s">
        <v>38</v>
      </c>
      <c r="E908" s="4" t="s">
        <v>25</v>
      </c>
      <c r="F908" s="4" t="s">
        <v>59</v>
      </c>
      <c r="G908" s="4" t="s">
        <v>25</v>
      </c>
      <c r="H908" s="4" t="s">
        <v>35</v>
      </c>
      <c r="I908" s="5">
        <v>44470</v>
      </c>
      <c r="J908" s="6">
        <v>0</v>
      </c>
      <c r="K908" s="6">
        <v>0</v>
      </c>
      <c r="L908" s="6">
        <v>28.431000000000001</v>
      </c>
      <c r="M908" s="6">
        <v>28.431000000000001</v>
      </c>
      <c r="N908" s="6">
        <v>0</v>
      </c>
      <c r="O908" s="6">
        <v>0</v>
      </c>
      <c r="P908" s="6">
        <v>0</v>
      </c>
      <c r="Q908" s="4" t="s">
        <v>60</v>
      </c>
      <c r="R908" s="4">
        <v>0</v>
      </c>
      <c r="S908" s="4" t="s">
        <v>362</v>
      </c>
      <c r="U908" s="4">
        <v>0</v>
      </c>
      <c r="V908" s="4">
        <v>48</v>
      </c>
      <c r="W908" s="4">
        <v>0</v>
      </c>
    </row>
    <row r="909" spans="1:23" ht="11.25" customHeight="1" x14ac:dyDescent="0.25">
      <c r="A909" s="4" t="s">
        <v>27</v>
      </c>
      <c r="B909" s="4" t="s">
        <v>41</v>
      </c>
      <c r="C909" s="4" t="s">
        <v>42</v>
      </c>
      <c r="D909" s="4" t="s">
        <v>38</v>
      </c>
      <c r="E909" s="4" t="s">
        <v>25</v>
      </c>
      <c r="F909" s="4" t="s">
        <v>59</v>
      </c>
      <c r="G909" s="4" t="s">
        <v>25</v>
      </c>
      <c r="H909" s="4" t="s">
        <v>35</v>
      </c>
      <c r="I909" s="5">
        <v>44501</v>
      </c>
      <c r="J909" s="6">
        <v>0</v>
      </c>
      <c r="K909" s="6">
        <v>0</v>
      </c>
      <c r="L909" s="6">
        <v>32.764000000000003</v>
      </c>
      <c r="M909" s="6">
        <v>32.764000000000003</v>
      </c>
      <c r="N909" s="6">
        <v>0</v>
      </c>
      <c r="O909" s="6">
        <v>0</v>
      </c>
      <c r="P909" s="6">
        <v>0</v>
      </c>
      <c r="Q909" s="4" t="s">
        <v>60</v>
      </c>
      <c r="R909" s="4">
        <v>0</v>
      </c>
      <c r="S909" s="4" t="s">
        <v>363</v>
      </c>
      <c r="U909" s="4">
        <v>0</v>
      </c>
      <c r="V909" s="4">
        <v>48</v>
      </c>
      <c r="W909" s="4">
        <v>0</v>
      </c>
    </row>
    <row r="910" spans="1:23" ht="11.25" customHeight="1" x14ac:dyDescent="0.25">
      <c r="A910" s="4" t="s">
        <v>27</v>
      </c>
      <c r="B910" s="4" t="s">
        <v>41</v>
      </c>
      <c r="C910" s="4" t="s">
        <v>42</v>
      </c>
      <c r="D910" s="4" t="s">
        <v>38</v>
      </c>
      <c r="E910" s="4" t="s">
        <v>25</v>
      </c>
      <c r="F910" s="4" t="s">
        <v>59</v>
      </c>
      <c r="G910" s="4" t="s">
        <v>25</v>
      </c>
      <c r="H910" s="4" t="s">
        <v>35</v>
      </c>
      <c r="I910" s="5">
        <v>44531</v>
      </c>
      <c r="J910" s="6">
        <v>0</v>
      </c>
      <c r="K910" s="6">
        <v>0</v>
      </c>
      <c r="L910" s="6">
        <v>124.36199999999999</v>
      </c>
      <c r="M910" s="6">
        <v>124.36199999999999</v>
      </c>
      <c r="N910" s="6">
        <v>0</v>
      </c>
      <c r="O910" s="6">
        <v>0</v>
      </c>
      <c r="P910" s="6">
        <v>0</v>
      </c>
      <c r="Q910" s="4" t="s">
        <v>60</v>
      </c>
      <c r="R910" s="4">
        <v>0</v>
      </c>
      <c r="S910" s="4" t="s">
        <v>364</v>
      </c>
      <c r="U910" s="4">
        <v>0</v>
      </c>
      <c r="V910" s="4">
        <v>48</v>
      </c>
      <c r="W910" s="4">
        <v>0</v>
      </c>
    </row>
    <row r="911" spans="1:23" ht="11.25" customHeight="1" x14ac:dyDescent="0.25">
      <c r="A911" s="4" t="s">
        <v>27</v>
      </c>
      <c r="B911" s="4" t="s">
        <v>41</v>
      </c>
      <c r="C911" s="4" t="s">
        <v>42</v>
      </c>
      <c r="D911" s="4" t="s">
        <v>38</v>
      </c>
      <c r="E911" s="4" t="s">
        <v>25</v>
      </c>
      <c r="F911" s="4" t="s">
        <v>59</v>
      </c>
      <c r="G911" s="4" t="s">
        <v>25</v>
      </c>
      <c r="H911" s="4" t="s">
        <v>35</v>
      </c>
      <c r="I911" s="5">
        <v>44562</v>
      </c>
      <c r="J911" s="6">
        <v>0</v>
      </c>
      <c r="K911" s="6">
        <v>0</v>
      </c>
      <c r="L911" s="6">
        <v>167.78200000000001</v>
      </c>
      <c r="M911" s="6">
        <v>167.78200000000001</v>
      </c>
      <c r="N911" s="6">
        <v>0</v>
      </c>
      <c r="O911" s="6">
        <v>0</v>
      </c>
      <c r="P911" s="6">
        <v>0</v>
      </c>
      <c r="Q911" s="4" t="s">
        <v>60</v>
      </c>
      <c r="R911" s="4">
        <v>0</v>
      </c>
      <c r="S911" s="4" t="s">
        <v>365</v>
      </c>
      <c r="U911" s="4">
        <v>0</v>
      </c>
      <c r="V911" s="4">
        <v>48</v>
      </c>
      <c r="W911" s="4">
        <v>0</v>
      </c>
    </row>
    <row r="912" spans="1:23" ht="11.25" customHeight="1" x14ac:dyDescent="0.25">
      <c r="A912" s="4" t="s">
        <v>27</v>
      </c>
      <c r="B912" s="4" t="s">
        <v>41</v>
      </c>
      <c r="C912" s="4" t="s">
        <v>42</v>
      </c>
      <c r="D912" s="4" t="s">
        <v>38</v>
      </c>
      <c r="E912" s="4" t="s">
        <v>25</v>
      </c>
      <c r="F912" s="4" t="s">
        <v>59</v>
      </c>
      <c r="G912" s="4" t="s">
        <v>25</v>
      </c>
      <c r="H912" s="4" t="s">
        <v>35</v>
      </c>
      <c r="I912" s="5">
        <v>44593</v>
      </c>
      <c r="J912" s="6">
        <v>0</v>
      </c>
      <c r="K912" s="6">
        <v>0</v>
      </c>
      <c r="L912" s="6">
        <v>150.23400000000001</v>
      </c>
      <c r="M912" s="6">
        <v>150.23400000000001</v>
      </c>
      <c r="N912" s="6">
        <v>0</v>
      </c>
      <c r="O912" s="6">
        <v>0</v>
      </c>
      <c r="P912" s="6">
        <v>0</v>
      </c>
      <c r="Q912" s="4" t="s">
        <v>60</v>
      </c>
      <c r="R912" s="4">
        <v>0</v>
      </c>
      <c r="S912" s="4" t="s">
        <v>366</v>
      </c>
      <c r="U912" s="4">
        <v>0</v>
      </c>
      <c r="V912" s="4">
        <v>48</v>
      </c>
      <c r="W912" s="4">
        <v>0</v>
      </c>
    </row>
    <row r="913" spans="1:23" ht="11.25" customHeight="1" x14ac:dyDescent="0.25">
      <c r="A913" s="4" t="s">
        <v>27</v>
      </c>
      <c r="B913" s="4" t="s">
        <v>41</v>
      </c>
      <c r="C913" s="4" t="s">
        <v>42</v>
      </c>
      <c r="D913" s="4" t="s">
        <v>38</v>
      </c>
      <c r="E913" s="4" t="s">
        <v>25</v>
      </c>
      <c r="F913" s="4" t="s">
        <v>59</v>
      </c>
      <c r="G913" s="4" t="s">
        <v>25</v>
      </c>
      <c r="H913" s="4" t="s">
        <v>35</v>
      </c>
      <c r="I913" s="5">
        <v>44621</v>
      </c>
      <c r="J913" s="6">
        <v>0</v>
      </c>
      <c r="K913" s="6">
        <v>0</v>
      </c>
      <c r="L913" s="6">
        <v>152.11000000000001</v>
      </c>
      <c r="M913" s="6">
        <v>152.11000000000001</v>
      </c>
      <c r="N913" s="6">
        <v>0</v>
      </c>
      <c r="O913" s="6">
        <v>0</v>
      </c>
      <c r="P913" s="6">
        <v>0</v>
      </c>
      <c r="Q913" s="4" t="s">
        <v>60</v>
      </c>
      <c r="R913" s="4">
        <v>0</v>
      </c>
      <c r="S913" s="4" t="s">
        <v>367</v>
      </c>
      <c r="U913" s="4">
        <v>0</v>
      </c>
      <c r="V913" s="4">
        <v>48</v>
      </c>
      <c r="W913" s="4">
        <v>0</v>
      </c>
    </row>
    <row r="914" spans="1:23" ht="11.25" customHeight="1" x14ac:dyDescent="0.25">
      <c r="A914" s="4" t="s">
        <v>27</v>
      </c>
      <c r="B914" s="4" t="s">
        <v>41</v>
      </c>
      <c r="C914" s="4" t="s">
        <v>42</v>
      </c>
      <c r="D914" s="4" t="s">
        <v>38</v>
      </c>
      <c r="E914" s="4" t="s">
        <v>25</v>
      </c>
      <c r="F914" s="4" t="s">
        <v>59</v>
      </c>
      <c r="G914" s="4" t="s">
        <v>25</v>
      </c>
      <c r="H914" s="4" t="s">
        <v>35</v>
      </c>
      <c r="I914" s="5">
        <v>44652</v>
      </c>
      <c r="J914" s="6">
        <v>0</v>
      </c>
      <c r="K914" s="6">
        <v>0</v>
      </c>
      <c r="L914" s="6">
        <v>140.28399999999999</v>
      </c>
      <c r="M914" s="6">
        <v>140.28399999999999</v>
      </c>
      <c r="N914" s="6">
        <v>0</v>
      </c>
      <c r="O914" s="6">
        <v>0</v>
      </c>
      <c r="P914" s="6">
        <v>0</v>
      </c>
      <c r="Q914" s="4" t="s">
        <v>60</v>
      </c>
      <c r="R914" s="4">
        <v>0</v>
      </c>
      <c r="S914" s="4" t="s">
        <v>368</v>
      </c>
      <c r="U914" s="4">
        <v>0</v>
      </c>
      <c r="V914" s="4">
        <v>48</v>
      </c>
      <c r="W914" s="4">
        <v>0</v>
      </c>
    </row>
    <row r="915" spans="1:23" ht="11.25" customHeight="1" x14ac:dyDescent="0.25">
      <c r="A915" s="4" t="s">
        <v>27</v>
      </c>
      <c r="B915" s="4" t="s">
        <v>41</v>
      </c>
      <c r="C915" s="4" t="s">
        <v>42</v>
      </c>
      <c r="D915" s="4" t="s">
        <v>38</v>
      </c>
      <c r="E915" s="4" t="s">
        <v>25</v>
      </c>
      <c r="F915" s="4" t="s">
        <v>59</v>
      </c>
      <c r="G915" s="4" t="s">
        <v>25</v>
      </c>
      <c r="H915" s="4" t="s">
        <v>35</v>
      </c>
      <c r="I915" s="5">
        <v>44682</v>
      </c>
      <c r="J915" s="6">
        <v>0</v>
      </c>
      <c r="K915" s="6">
        <v>0</v>
      </c>
      <c r="L915" s="6">
        <v>17.553000000000001</v>
      </c>
      <c r="M915" s="6">
        <v>17.553000000000001</v>
      </c>
      <c r="N915" s="6">
        <v>0</v>
      </c>
      <c r="O915" s="6">
        <v>0</v>
      </c>
      <c r="P915" s="6">
        <v>0</v>
      </c>
      <c r="Q915" s="4" t="s">
        <v>60</v>
      </c>
      <c r="R915" s="4">
        <v>0</v>
      </c>
      <c r="S915" s="4" t="s">
        <v>369</v>
      </c>
      <c r="U915" s="4">
        <v>0</v>
      </c>
      <c r="V915" s="4">
        <v>48</v>
      </c>
      <c r="W915" s="4">
        <v>0</v>
      </c>
    </row>
    <row r="916" spans="1:23" ht="11.25" customHeight="1" x14ac:dyDescent="0.25">
      <c r="A916" s="4" t="s">
        <v>27</v>
      </c>
      <c r="B916" s="4" t="s">
        <v>41</v>
      </c>
      <c r="C916" s="4" t="s">
        <v>42</v>
      </c>
      <c r="D916" s="4" t="s">
        <v>38</v>
      </c>
      <c r="E916" s="4" t="s">
        <v>25</v>
      </c>
      <c r="F916" s="4" t="s">
        <v>59</v>
      </c>
      <c r="G916" s="4" t="s">
        <v>25</v>
      </c>
      <c r="H916" s="4" t="s">
        <v>35</v>
      </c>
      <c r="I916" s="5">
        <v>44713</v>
      </c>
      <c r="J916" s="6">
        <v>0</v>
      </c>
      <c r="K916" s="6">
        <v>0</v>
      </c>
      <c r="L916" s="6">
        <v>91.113</v>
      </c>
      <c r="M916" s="6">
        <v>91.113</v>
      </c>
      <c r="N916" s="6">
        <v>0</v>
      </c>
      <c r="O916" s="6">
        <v>0</v>
      </c>
      <c r="P916" s="6">
        <v>0</v>
      </c>
      <c r="Q916" s="4" t="s">
        <v>60</v>
      </c>
      <c r="R916" s="4">
        <v>0</v>
      </c>
      <c r="S916" s="4" t="s">
        <v>370</v>
      </c>
      <c r="U916" s="4">
        <v>0</v>
      </c>
      <c r="V916" s="4">
        <v>48</v>
      </c>
      <c r="W916" s="4">
        <v>0</v>
      </c>
    </row>
    <row r="917" spans="1:23" ht="11.25" customHeight="1" x14ac:dyDescent="0.25">
      <c r="A917" s="4" t="s">
        <v>57</v>
      </c>
      <c r="B917" s="4" t="s">
        <v>41</v>
      </c>
      <c r="C917" s="4" t="s">
        <v>42</v>
      </c>
      <c r="D917" s="4" t="s">
        <v>38</v>
      </c>
      <c r="E917" s="4" t="s">
        <v>25</v>
      </c>
      <c r="F917" s="4" t="s">
        <v>59</v>
      </c>
      <c r="G917" s="4" t="s">
        <v>25</v>
      </c>
      <c r="H917" s="4" t="s">
        <v>35</v>
      </c>
      <c r="I917" s="5">
        <v>44743</v>
      </c>
      <c r="J917" s="6">
        <v>0</v>
      </c>
      <c r="K917" s="6">
        <v>0</v>
      </c>
      <c r="L917" s="6">
        <v>91.113</v>
      </c>
      <c r="M917" s="6">
        <v>91.113</v>
      </c>
      <c r="N917" s="6">
        <v>0</v>
      </c>
      <c r="O917" s="6">
        <v>0</v>
      </c>
      <c r="P917" s="6">
        <v>0</v>
      </c>
      <c r="Q917" s="4" t="s">
        <v>60</v>
      </c>
      <c r="R917" s="4">
        <v>0</v>
      </c>
      <c r="S917" s="4" t="s">
        <v>371</v>
      </c>
      <c r="U917" s="4">
        <v>0</v>
      </c>
      <c r="V917" s="4">
        <v>48</v>
      </c>
      <c r="W917" s="4">
        <v>0</v>
      </c>
    </row>
    <row r="918" spans="1:23" ht="11.25" customHeight="1" x14ac:dyDescent="0.25">
      <c r="A918" s="4" t="s">
        <v>21</v>
      </c>
      <c r="B918" s="4" t="s">
        <v>41</v>
      </c>
      <c r="C918" s="4" t="s">
        <v>42</v>
      </c>
      <c r="D918" s="4" t="s">
        <v>38</v>
      </c>
      <c r="E918" s="4" t="s">
        <v>25</v>
      </c>
      <c r="F918" s="4" t="s">
        <v>61</v>
      </c>
      <c r="G918" s="4" t="s">
        <v>25</v>
      </c>
      <c r="H918" s="4" t="s">
        <v>35</v>
      </c>
      <c r="I918" s="5">
        <v>44409</v>
      </c>
      <c r="J918" s="6">
        <v>0</v>
      </c>
      <c r="K918" s="6">
        <v>0</v>
      </c>
      <c r="L918" s="6">
        <v>9065.5460000000003</v>
      </c>
      <c r="M918" s="6">
        <v>9065.5460000000003</v>
      </c>
      <c r="N918" s="6">
        <v>0</v>
      </c>
      <c r="O918" s="6">
        <v>0</v>
      </c>
      <c r="P918" s="6">
        <v>0</v>
      </c>
      <c r="Q918" s="4" t="s">
        <v>58</v>
      </c>
      <c r="R918" s="4">
        <v>0</v>
      </c>
      <c r="S918" s="4" t="s">
        <v>324</v>
      </c>
      <c r="U918" s="4">
        <v>0</v>
      </c>
      <c r="V918" s="4">
        <v>44</v>
      </c>
      <c r="W918" s="4">
        <v>0</v>
      </c>
    </row>
    <row r="919" spans="1:23" ht="11.25" customHeight="1" x14ac:dyDescent="0.25">
      <c r="A919" s="4" t="s">
        <v>27</v>
      </c>
      <c r="B919" s="4" t="s">
        <v>41</v>
      </c>
      <c r="C919" s="4" t="s">
        <v>42</v>
      </c>
      <c r="D919" s="4" t="s">
        <v>38</v>
      </c>
      <c r="E919" s="4" t="s">
        <v>25</v>
      </c>
      <c r="F919" s="4" t="s">
        <v>61</v>
      </c>
      <c r="G919" s="4" t="s">
        <v>25</v>
      </c>
      <c r="H919" s="4" t="s">
        <v>35</v>
      </c>
      <c r="I919" s="5">
        <v>44409</v>
      </c>
      <c r="J919" s="6">
        <v>0</v>
      </c>
      <c r="K919" s="6">
        <v>0</v>
      </c>
      <c r="L919" s="6">
        <v>-13.065</v>
      </c>
      <c r="M919" s="6">
        <v>-13.065</v>
      </c>
      <c r="N919" s="6">
        <v>0</v>
      </c>
      <c r="O919" s="6">
        <v>0</v>
      </c>
      <c r="P919" s="6">
        <v>0</v>
      </c>
      <c r="Q919" s="4" t="s">
        <v>58</v>
      </c>
      <c r="R919" s="4">
        <v>0</v>
      </c>
      <c r="S919" s="4" t="s">
        <v>324</v>
      </c>
      <c r="U919" s="4">
        <v>0</v>
      </c>
      <c r="V919" s="4">
        <v>44</v>
      </c>
      <c r="W919" s="4">
        <v>0</v>
      </c>
    </row>
    <row r="920" spans="1:23" ht="11.25" customHeight="1" x14ac:dyDescent="0.25">
      <c r="A920" s="4" t="s">
        <v>21</v>
      </c>
      <c r="B920" s="4" t="s">
        <v>41</v>
      </c>
      <c r="C920" s="4" t="s">
        <v>42</v>
      </c>
      <c r="D920" s="4" t="s">
        <v>38</v>
      </c>
      <c r="E920" s="4" t="s">
        <v>25</v>
      </c>
      <c r="F920" s="4" t="s">
        <v>61</v>
      </c>
      <c r="G920" s="4" t="s">
        <v>25</v>
      </c>
      <c r="H920" s="4" t="s">
        <v>35</v>
      </c>
      <c r="I920" s="5">
        <v>44440</v>
      </c>
      <c r="J920" s="6">
        <v>0</v>
      </c>
      <c r="K920" s="6">
        <v>0</v>
      </c>
      <c r="L920" s="6">
        <v>9143.0030000000006</v>
      </c>
      <c r="M920" s="6">
        <v>9143.0030000000006</v>
      </c>
      <c r="N920" s="6">
        <v>0</v>
      </c>
      <c r="O920" s="6">
        <v>0</v>
      </c>
      <c r="P920" s="6">
        <v>0</v>
      </c>
      <c r="Q920" s="4" t="s">
        <v>58</v>
      </c>
      <c r="R920" s="4">
        <v>0</v>
      </c>
      <c r="S920" s="4" t="s">
        <v>325</v>
      </c>
      <c r="U920" s="4">
        <v>0</v>
      </c>
      <c r="V920" s="4">
        <v>44</v>
      </c>
      <c r="W920" s="4">
        <v>0</v>
      </c>
    </row>
    <row r="921" spans="1:23" ht="11.25" customHeight="1" x14ac:dyDescent="0.25">
      <c r="A921" s="4" t="s">
        <v>27</v>
      </c>
      <c r="B921" s="4" t="s">
        <v>41</v>
      </c>
      <c r="C921" s="4" t="s">
        <v>42</v>
      </c>
      <c r="D921" s="4" t="s">
        <v>38</v>
      </c>
      <c r="E921" s="4" t="s">
        <v>25</v>
      </c>
      <c r="F921" s="4" t="s">
        <v>61</v>
      </c>
      <c r="G921" s="4" t="s">
        <v>25</v>
      </c>
      <c r="H921" s="4" t="s">
        <v>35</v>
      </c>
      <c r="I921" s="5">
        <v>44440</v>
      </c>
      <c r="J921" s="6">
        <v>0</v>
      </c>
      <c r="K921" s="6">
        <v>0</v>
      </c>
      <c r="L921" s="6">
        <v>-6.5860000000000003</v>
      </c>
      <c r="M921" s="6">
        <v>-6.5860000000000003</v>
      </c>
      <c r="N921" s="6">
        <v>0</v>
      </c>
      <c r="O921" s="6">
        <v>0</v>
      </c>
      <c r="P921" s="6">
        <v>0</v>
      </c>
      <c r="Q921" s="4" t="s">
        <v>58</v>
      </c>
      <c r="R921" s="4">
        <v>0</v>
      </c>
      <c r="S921" s="4" t="s">
        <v>325</v>
      </c>
      <c r="U921" s="4">
        <v>0</v>
      </c>
      <c r="V921" s="4">
        <v>44</v>
      </c>
      <c r="W921" s="4">
        <v>0</v>
      </c>
    </row>
    <row r="922" spans="1:23" ht="11.25" customHeight="1" x14ac:dyDescent="0.25">
      <c r="A922" s="4" t="s">
        <v>21</v>
      </c>
      <c r="B922" s="4" t="s">
        <v>41</v>
      </c>
      <c r="C922" s="4" t="s">
        <v>42</v>
      </c>
      <c r="D922" s="4" t="s">
        <v>38</v>
      </c>
      <c r="E922" s="4" t="s">
        <v>25</v>
      </c>
      <c r="F922" s="4" t="s">
        <v>61</v>
      </c>
      <c r="G922" s="4" t="s">
        <v>25</v>
      </c>
      <c r="H922" s="4" t="s">
        <v>35</v>
      </c>
      <c r="I922" s="5">
        <v>44470</v>
      </c>
      <c r="J922" s="6">
        <v>0</v>
      </c>
      <c r="K922" s="6">
        <v>0</v>
      </c>
      <c r="L922" s="6">
        <v>9559.9210000000003</v>
      </c>
      <c r="M922" s="6">
        <v>9559.9210000000003</v>
      </c>
      <c r="N922" s="6">
        <v>0</v>
      </c>
      <c r="O922" s="6">
        <v>0</v>
      </c>
      <c r="P922" s="6">
        <v>0</v>
      </c>
      <c r="Q922" s="4" t="s">
        <v>58</v>
      </c>
      <c r="R922" s="4">
        <v>0</v>
      </c>
      <c r="S922" s="4" t="s">
        <v>326</v>
      </c>
      <c r="U922" s="4">
        <v>0</v>
      </c>
      <c r="V922" s="4">
        <v>44</v>
      </c>
      <c r="W922" s="4">
        <v>0</v>
      </c>
    </row>
    <row r="923" spans="1:23" ht="11.25" customHeight="1" x14ac:dyDescent="0.25">
      <c r="A923" s="4" t="s">
        <v>27</v>
      </c>
      <c r="B923" s="4" t="s">
        <v>41</v>
      </c>
      <c r="C923" s="4" t="s">
        <v>42</v>
      </c>
      <c r="D923" s="4" t="s">
        <v>38</v>
      </c>
      <c r="E923" s="4" t="s">
        <v>25</v>
      </c>
      <c r="F923" s="4" t="s">
        <v>61</v>
      </c>
      <c r="G923" s="4" t="s">
        <v>25</v>
      </c>
      <c r="H923" s="4" t="s">
        <v>35</v>
      </c>
      <c r="I923" s="5">
        <v>44470</v>
      </c>
      <c r="J923" s="6">
        <v>0</v>
      </c>
      <c r="K923" s="6">
        <v>0</v>
      </c>
      <c r="L923" s="6">
        <v>-28.431000000000001</v>
      </c>
      <c r="M923" s="6">
        <v>-28.431000000000001</v>
      </c>
      <c r="N923" s="6">
        <v>0</v>
      </c>
      <c r="O923" s="6">
        <v>0</v>
      </c>
      <c r="P923" s="6">
        <v>0</v>
      </c>
      <c r="Q923" s="4" t="s">
        <v>58</v>
      </c>
      <c r="R923" s="4">
        <v>0</v>
      </c>
      <c r="S923" s="4" t="s">
        <v>326</v>
      </c>
      <c r="U923" s="4">
        <v>0</v>
      </c>
      <c r="V923" s="4">
        <v>44</v>
      </c>
      <c r="W923" s="4">
        <v>0</v>
      </c>
    </row>
    <row r="924" spans="1:23" ht="11.25" customHeight="1" x14ac:dyDescent="0.25">
      <c r="A924" s="4" t="s">
        <v>21</v>
      </c>
      <c r="B924" s="4" t="s">
        <v>41</v>
      </c>
      <c r="C924" s="4" t="s">
        <v>42</v>
      </c>
      <c r="D924" s="4" t="s">
        <v>38</v>
      </c>
      <c r="E924" s="4" t="s">
        <v>25</v>
      </c>
      <c r="F924" s="4" t="s">
        <v>61</v>
      </c>
      <c r="G924" s="4" t="s">
        <v>25</v>
      </c>
      <c r="H924" s="4" t="s">
        <v>35</v>
      </c>
      <c r="I924" s="5">
        <v>44501</v>
      </c>
      <c r="J924" s="6">
        <v>0</v>
      </c>
      <c r="K924" s="6">
        <v>0</v>
      </c>
      <c r="L924" s="6">
        <v>10666.103999999999</v>
      </c>
      <c r="M924" s="6">
        <v>10666.103999999999</v>
      </c>
      <c r="N924" s="6">
        <v>0</v>
      </c>
      <c r="O924" s="6">
        <v>0</v>
      </c>
      <c r="P924" s="6">
        <v>0</v>
      </c>
      <c r="Q924" s="4" t="s">
        <v>58</v>
      </c>
      <c r="R924" s="4">
        <v>0</v>
      </c>
      <c r="S924" s="4" t="s">
        <v>327</v>
      </c>
      <c r="U924" s="4">
        <v>0</v>
      </c>
      <c r="V924" s="4">
        <v>44</v>
      </c>
      <c r="W924" s="4">
        <v>0</v>
      </c>
    </row>
    <row r="925" spans="1:23" ht="11.25" customHeight="1" x14ac:dyDescent="0.25">
      <c r="A925" s="4" t="s">
        <v>27</v>
      </c>
      <c r="B925" s="4" t="s">
        <v>41</v>
      </c>
      <c r="C925" s="4" t="s">
        <v>42</v>
      </c>
      <c r="D925" s="4" t="s">
        <v>38</v>
      </c>
      <c r="E925" s="4" t="s">
        <v>25</v>
      </c>
      <c r="F925" s="4" t="s">
        <v>61</v>
      </c>
      <c r="G925" s="4" t="s">
        <v>25</v>
      </c>
      <c r="H925" s="4" t="s">
        <v>35</v>
      </c>
      <c r="I925" s="5">
        <v>44501</v>
      </c>
      <c r="J925" s="6">
        <v>0</v>
      </c>
      <c r="K925" s="6">
        <v>0</v>
      </c>
      <c r="L925" s="6">
        <v>-32.764000000000003</v>
      </c>
      <c r="M925" s="6">
        <v>-32.764000000000003</v>
      </c>
      <c r="N925" s="6">
        <v>0</v>
      </c>
      <c r="O925" s="6">
        <v>0</v>
      </c>
      <c r="P925" s="6">
        <v>0</v>
      </c>
      <c r="Q925" s="4" t="s">
        <v>58</v>
      </c>
      <c r="R925" s="4">
        <v>0</v>
      </c>
      <c r="S925" s="4" t="s">
        <v>327</v>
      </c>
      <c r="U925" s="4">
        <v>0</v>
      </c>
      <c r="V925" s="4">
        <v>44</v>
      </c>
      <c r="W925" s="4">
        <v>0</v>
      </c>
    </row>
    <row r="926" spans="1:23" ht="11.25" customHeight="1" x14ac:dyDescent="0.25">
      <c r="A926" s="4" t="s">
        <v>21</v>
      </c>
      <c r="B926" s="4" t="s">
        <v>41</v>
      </c>
      <c r="C926" s="4" t="s">
        <v>42</v>
      </c>
      <c r="D926" s="4" t="s">
        <v>38</v>
      </c>
      <c r="E926" s="4" t="s">
        <v>25</v>
      </c>
      <c r="F926" s="4" t="s">
        <v>61</v>
      </c>
      <c r="G926" s="4" t="s">
        <v>25</v>
      </c>
      <c r="H926" s="4" t="s">
        <v>35</v>
      </c>
      <c r="I926" s="5">
        <v>44531</v>
      </c>
      <c r="J926" s="6">
        <v>0</v>
      </c>
      <c r="K926" s="6">
        <v>0</v>
      </c>
      <c r="L926" s="6">
        <v>10699.184999999999</v>
      </c>
      <c r="M926" s="6">
        <v>10699.184999999999</v>
      </c>
      <c r="N926" s="6">
        <v>0</v>
      </c>
      <c r="O926" s="6">
        <v>0</v>
      </c>
      <c r="P926" s="6">
        <v>0</v>
      </c>
      <c r="Q926" s="4" t="s">
        <v>58</v>
      </c>
      <c r="R926" s="4">
        <v>0</v>
      </c>
      <c r="S926" s="4" t="s">
        <v>328</v>
      </c>
      <c r="U926" s="4">
        <v>0</v>
      </c>
      <c r="V926" s="4">
        <v>44</v>
      </c>
      <c r="W926" s="4">
        <v>0</v>
      </c>
    </row>
    <row r="927" spans="1:23" ht="11.25" customHeight="1" x14ac:dyDescent="0.25">
      <c r="A927" s="4" t="s">
        <v>27</v>
      </c>
      <c r="B927" s="4" t="s">
        <v>41</v>
      </c>
      <c r="C927" s="4" t="s">
        <v>42</v>
      </c>
      <c r="D927" s="4" t="s">
        <v>38</v>
      </c>
      <c r="E927" s="4" t="s">
        <v>25</v>
      </c>
      <c r="F927" s="4" t="s">
        <v>61</v>
      </c>
      <c r="G927" s="4" t="s">
        <v>25</v>
      </c>
      <c r="H927" s="4" t="s">
        <v>35</v>
      </c>
      <c r="I927" s="5">
        <v>44531</v>
      </c>
      <c r="J927" s="6">
        <v>0</v>
      </c>
      <c r="K927" s="6">
        <v>0</v>
      </c>
      <c r="L927" s="6">
        <v>-124.36199999999999</v>
      </c>
      <c r="M927" s="6">
        <v>-124.36199999999999</v>
      </c>
      <c r="N927" s="6">
        <v>0</v>
      </c>
      <c r="O927" s="6">
        <v>0</v>
      </c>
      <c r="P927" s="6">
        <v>0</v>
      </c>
      <c r="Q927" s="4" t="s">
        <v>58</v>
      </c>
      <c r="R927" s="4">
        <v>0</v>
      </c>
      <c r="S927" s="4" t="s">
        <v>328</v>
      </c>
      <c r="U927" s="4">
        <v>0</v>
      </c>
      <c r="V927" s="4">
        <v>44</v>
      </c>
      <c r="W927" s="4">
        <v>0</v>
      </c>
    </row>
    <row r="928" spans="1:23" ht="11.25" customHeight="1" x14ac:dyDescent="0.25">
      <c r="A928" s="4" t="s">
        <v>21</v>
      </c>
      <c r="B928" s="4" t="s">
        <v>41</v>
      </c>
      <c r="C928" s="4" t="s">
        <v>42</v>
      </c>
      <c r="D928" s="4" t="s">
        <v>38</v>
      </c>
      <c r="E928" s="4" t="s">
        <v>25</v>
      </c>
      <c r="F928" s="4" t="s">
        <v>61</v>
      </c>
      <c r="G928" s="4" t="s">
        <v>25</v>
      </c>
      <c r="H928" s="4" t="s">
        <v>35</v>
      </c>
      <c r="I928" s="5">
        <v>44562</v>
      </c>
      <c r="J928" s="6">
        <v>0</v>
      </c>
      <c r="K928" s="6">
        <v>0</v>
      </c>
      <c r="L928" s="6">
        <v>10449.323</v>
      </c>
      <c r="M928" s="6">
        <v>10449.323</v>
      </c>
      <c r="N928" s="6">
        <v>0</v>
      </c>
      <c r="O928" s="6">
        <v>0</v>
      </c>
      <c r="P928" s="6">
        <v>0</v>
      </c>
      <c r="Q928" s="4" t="s">
        <v>58</v>
      </c>
      <c r="R928" s="4">
        <v>0</v>
      </c>
      <c r="S928" s="4" t="s">
        <v>329</v>
      </c>
      <c r="U928" s="4">
        <v>0</v>
      </c>
      <c r="V928" s="4">
        <v>44</v>
      </c>
      <c r="W928" s="4">
        <v>0</v>
      </c>
    </row>
    <row r="929" spans="1:23" ht="11.25" customHeight="1" x14ac:dyDescent="0.25">
      <c r="A929" s="4" t="s">
        <v>27</v>
      </c>
      <c r="B929" s="4" t="s">
        <v>41</v>
      </c>
      <c r="C929" s="4" t="s">
        <v>42</v>
      </c>
      <c r="D929" s="4" t="s">
        <v>38</v>
      </c>
      <c r="E929" s="4" t="s">
        <v>25</v>
      </c>
      <c r="F929" s="4" t="s">
        <v>61</v>
      </c>
      <c r="G929" s="4" t="s">
        <v>25</v>
      </c>
      <c r="H929" s="4" t="s">
        <v>35</v>
      </c>
      <c r="I929" s="5">
        <v>44562</v>
      </c>
      <c r="J929" s="6">
        <v>0</v>
      </c>
      <c r="K929" s="6">
        <v>0</v>
      </c>
      <c r="L929" s="6">
        <v>-167.78399999999999</v>
      </c>
      <c r="M929" s="6">
        <v>-167.78399999999999</v>
      </c>
      <c r="N929" s="6">
        <v>0</v>
      </c>
      <c r="O929" s="6">
        <v>0</v>
      </c>
      <c r="P929" s="6">
        <v>0</v>
      </c>
      <c r="Q929" s="4" t="s">
        <v>58</v>
      </c>
      <c r="R929" s="4">
        <v>0</v>
      </c>
      <c r="S929" s="4" t="s">
        <v>329</v>
      </c>
      <c r="U929" s="4">
        <v>0</v>
      </c>
      <c r="V929" s="4">
        <v>44</v>
      </c>
      <c r="W929" s="4">
        <v>0</v>
      </c>
    </row>
    <row r="930" spans="1:23" ht="11.25" customHeight="1" x14ac:dyDescent="0.25">
      <c r="A930" s="4" t="s">
        <v>21</v>
      </c>
      <c r="B930" s="4" t="s">
        <v>41</v>
      </c>
      <c r="C930" s="4" t="s">
        <v>42</v>
      </c>
      <c r="D930" s="4" t="s">
        <v>38</v>
      </c>
      <c r="E930" s="4" t="s">
        <v>25</v>
      </c>
      <c r="F930" s="4" t="s">
        <v>61</v>
      </c>
      <c r="G930" s="4" t="s">
        <v>25</v>
      </c>
      <c r="H930" s="4" t="s">
        <v>35</v>
      </c>
      <c r="I930" s="5">
        <v>44593</v>
      </c>
      <c r="J930" s="6">
        <v>0</v>
      </c>
      <c r="K930" s="6">
        <v>0</v>
      </c>
      <c r="L930" s="6">
        <v>10355.275</v>
      </c>
      <c r="M930" s="6">
        <v>10355.275</v>
      </c>
      <c r="N930" s="6">
        <v>0</v>
      </c>
      <c r="O930" s="6">
        <v>0</v>
      </c>
      <c r="P930" s="6">
        <v>0</v>
      </c>
      <c r="Q930" s="4" t="s">
        <v>58</v>
      </c>
      <c r="R930" s="4">
        <v>0</v>
      </c>
      <c r="S930" s="4" t="s">
        <v>330</v>
      </c>
      <c r="U930" s="4">
        <v>0</v>
      </c>
      <c r="V930" s="4">
        <v>44</v>
      </c>
      <c r="W930" s="4">
        <v>0</v>
      </c>
    </row>
    <row r="931" spans="1:23" ht="11.25" customHeight="1" x14ac:dyDescent="0.25">
      <c r="A931" s="4" t="s">
        <v>27</v>
      </c>
      <c r="B931" s="4" t="s">
        <v>41</v>
      </c>
      <c r="C931" s="4" t="s">
        <v>42</v>
      </c>
      <c r="D931" s="4" t="s">
        <v>38</v>
      </c>
      <c r="E931" s="4" t="s">
        <v>25</v>
      </c>
      <c r="F931" s="4" t="s">
        <v>61</v>
      </c>
      <c r="G931" s="4" t="s">
        <v>25</v>
      </c>
      <c r="H931" s="4" t="s">
        <v>35</v>
      </c>
      <c r="I931" s="5">
        <v>44593</v>
      </c>
      <c r="J931" s="6">
        <v>0</v>
      </c>
      <c r="K931" s="6">
        <v>0</v>
      </c>
      <c r="L931" s="6">
        <v>-150.23400000000001</v>
      </c>
      <c r="M931" s="6">
        <v>-150.23400000000001</v>
      </c>
      <c r="N931" s="6">
        <v>0</v>
      </c>
      <c r="O931" s="6">
        <v>0</v>
      </c>
      <c r="P931" s="6">
        <v>0</v>
      </c>
      <c r="Q931" s="4" t="s">
        <v>58</v>
      </c>
      <c r="R931" s="4">
        <v>0</v>
      </c>
      <c r="S931" s="4" t="s">
        <v>330</v>
      </c>
      <c r="U931" s="4">
        <v>0</v>
      </c>
      <c r="V931" s="4">
        <v>44</v>
      </c>
      <c r="W931" s="4">
        <v>0</v>
      </c>
    </row>
    <row r="932" spans="1:23" ht="11.25" customHeight="1" x14ac:dyDescent="0.25">
      <c r="A932" s="4" t="s">
        <v>21</v>
      </c>
      <c r="B932" s="4" t="s">
        <v>41</v>
      </c>
      <c r="C932" s="4" t="s">
        <v>42</v>
      </c>
      <c r="D932" s="4" t="s">
        <v>38</v>
      </c>
      <c r="E932" s="4" t="s">
        <v>25</v>
      </c>
      <c r="F932" s="4" t="s">
        <v>61</v>
      </c>
      <c r="G932" s="4" t="s">
        <v>25</v>
      </c>
      <c r="H932" s="4" t="s">
        <v>35</v>
      </c>
      <c r="I932" s="5">
        <v>44621</v>
      </c>
      <c r="J932" s="6">
        <v>0</v>
      </c>
      <c r="K932" s="6">
        <v>0</v>
      </c>
      <c r="L932" s="6">
        <v>10053.576999999999</v>
      </c>
      <c r="M932" s="6">
        <v>10053.576999999999</v>
      </c>
      <c r="N932" s="6">
        <v>0</v>
      </c>
      <c r="O932" s="6">
        <v>0</v>
      </c>
      <c r="P932" s="6">
        <v>0</v>
      </c>
      <c r="Q932" s="4" t="s">
        <v>58</v>
      </c>
      <c r="R932" s="4">
        <v>0</v>
      </c>
      <c r="S932" s="4" t="s">
        <v>331</v>
      </c>
      <c r="U932" s="4">
        <v>0</v>
      </c>
      <c r="V932" s="4">
        <v>44</v>
      </c>
      <c r="W932" s="4">
        <v>0</v>
      </c>
    </row>
    <row r="933" spans="1:23" ht="11.25" customHeight="1" x14ac:dyDescent="0.25">
      <c r="A933" s="4" t="s">
        <v>27</v>
      </c>
      <c r="B933" s="4" t="s">
        <v>41</v>
      </c>
      <c r="C933" s="4" t="s">
        <v>42</v>
      </c>
      <c r="D933" s="4" t="s">
        <v>38</v>
      </c>
      <c r="E933" s="4" t="s">
        <v>25</v>
      </c>
      <c r="F933" s="4" t="s">
        <v>61</v>
      </c>
      <c r="G933" s="4" t="s">
        <v>25</v>
      </c>
      <c r="H933" s="4" t="s">
        <v>35</v>
      </c>
      <c r="I933" s="5">
        <v>44621</v>
      </c>
      <c r="J933" s="6">
        <v>0</v>
      </c>
      <c r="K933" s="6">
        <v>0</v>
      </c>
      <c r="L933" s="6">
        <v>-152.11000000000001</v>
      </c>
      <c r="M933" s="6">
        <v>-152.11000000000001</v>
      </c>
      <c r="N933" s="6">
        <v>0</v>
      </c>
      <c r="O933" s="6">
        <v>0</v>
      </c>
      <c r="P933" s="6">
        <v>0</v>
      </c>
      <c r="Q933" s="4" t="s">
        <v>58</v>
      </c>
      <c r="R933" s="4">
        <v>0</v>
      </c>
      <c r="S933" s="4" t="s">
        <v>331</v>
      </c>
      <c r="U933" s="4">
        <v>0</v>
      </c>
      <c r="V933" s="4">
        <v>44</v>
      </c>
      <c r="W933" s="4">
        <v>0</v>
      </c>
    </row>
    <row r="934" spans="1:23" ht="11.25" customHeight="1" x14ac:dyDescent="0.25">
      <c r="A934" s="4" t="s">
        <v>21</v>
      </c>
      <c r="B934" s="4" t="s">
        <v>41</v>
      </c>
      <c r="C934" s="4" t="s">
        <v>42</v>
      </c>
      <c r="D934" s="4" t="s">
        <v>38</v>
      </c>
      <c r="E934" s="4" t="s">
        <v>25</v>
      </c>
      <c r="F934" s="4" t="s">
        <v>61</v>
      </c>
      <c r="G934" s="4" t="s">
        <v>25</v>
      </c>
      <c r="H934" s="4" t="s">
        <v>35</v>
      </c>
      <c r="I934" s="5">
        <v>44652</v>
      </c>
      <c r="J934" s="6">
        <v>0</v>
      </c>
      <c r="K934" s="6">
        <v>0</v>
      </c>
      <c r="L934" s="6">
        <v>11100.333000000001</v>
      </c>
      <c r="M934" s="6">
        <v>11100.333000000001</v>
      </c>
      <c r="N934" s="6">
        <v>0</v>
      </c>
      <c r="O934" s="6">
        <v>0</v>
      </c>
      <c r="P934" s="6">
        <v>0</v>
      </c>
      <c r="Q934" s="4" t="s">
        <v>58</v>
      </c>
      <c r="R934" s="4">
        <v>0</v>
      </c>
      <c r="S934" s="4" t="s">
        <v>332</v>
      </c>
      <c r="U934" s="4">
        <v>0</v>
      </c>
      <c r="V934" s="4">
        <v>44</v>
      </c>
      <c r="W934" s="4">
        <v>0</v>
      </c>
    </row>
    <row r="935" spans="1:23" ht="11.25" customHeight="1" x14ac:dyDescent="0.25">
      <c r="A935" s="4" t="s">
        <v>27</v>
      </c>
      <c r="B935" s="4" t="s">
        <v>41</v>
      </c>
      <c r="C935" s="4" t="s">
        <v>42</v>
      </c>
      <c r="D935" s="4" t="s">
        <v>38</v>
      </c>
      <c r="E935" s="4" t="s">
        <v>25</v>
      </c>
      <c r="F935" s="4" t="s">
        <v>61</v>
      </c>
      <c r="G935" s="4" t="s">
        <v>25</v>
      </c>
      <c r="H935" s="4" t="s">
        <v>35</v>
      </c>
      <c r="I935" s="5">
        <v>44652</v>
      </c>
      <c r="J935" s="6">
        <v>0</v>
      </c>
      <c r="K935" s="6">
        <v>0</v>
      </c>
      <c r="L935" s="6">
        <v>-140.28399999999999</v>
      </c>
      <c r="M935" s="6">
        <v>-140.28399999999999</v>
      </c>
      <c r="N935" s="6">
        <v>0</v>
      </c>
      <c r="O935" s="6">
        <v>0</v>
      </c>
      <c r="P935" s="6">
        <v>0</v>
      </c>
      <c r="Q935" s="4" t="s">
        <v>58</v>
      </c>
      <c r="R935" s="4">
        <v>0</v>
      </c>
      <c r="S935" s="4" t="s">
        <v>332</v>
      </c>
      <c r="U935" s="4">
        <v>0</v>
      </c>
      <c r="V935" s="4">
        <v>44</v>
      </c>
      <c r="W935" s="4">
        <v>0</v>
      </c>
    </row>
    <row r="936" spans="1:23" ht="11.25" customHeight="1" x14ac:dyDescent="0.25">
      <c r="A936" s="4" t="s">
        <v>21</v>
      </c>
      <c r="B936" s="4" t="s">
        <v>41</v>
      </c>
      <c r="C936" s="4" t="s">
        <v>42</v>
      </c>
      <c r="D936" s="4" t="s">
        <v>38</v>
      </c>
      <c r="E936" s="4" t="s">
        <v>25</v>
      </c>
      <c r="F936" s="4" t="s">
        <v>61</v>
      </c>
      <c r="G936" s="4" t="s">
        <v>25</v>
      </c>
      <c r="H936" s="4" t="s">
        <v>35</v>
      </c>
      <c r="I936" s="5">
        <v>44682</v>
      </c>
      <c r="J936" s="6">
        <v>0</v>
      </c>
      <c r="K936" s="6">
        <v>0</v>
      </c>
      <c r="L936" s="6">
        <v>10173.319</v>
      </c>
      <c r="M936" s="6">
        <v>10173.319</v>
      </c>
      <c r="N936" s="6">
        <v>0</v>
      </c>
      <c r="O936" s="6">
        <v>0</v>
      </c>
      <c r="P936" s="6">
        <v>0</v>
      </c>
      <c r="Q936" s="4" t="s">
        <v>58</v>
      </c>
      <c r="R936" s="4">
        <v>0</v>
      </c>
      <c r="S936" s="4" t="s">
        <v>333</v>
      </c>
      <c r="U936" s="4">
        <v>0</v>
      </c>
      <c r="V936" s="4">
        <v>44</v>
      </c>
      <c r="W936" s="4">
        <v>0</v>
      </c>
    </row>
    <row r="937" spans="1:23" ht="11.25" customHeight="1" x14ac:dyDescent="0.25">
      <c r="A937" s="4" t="s">
        <v>27</v>
      </c>
      <c r="B937" s="4" t="s">
        <v>41</v>
      </c>
      <c r="C937" s="4" t="s">
        <v>42</v>
      </c>
      <c r="D937" s="4" t="s">
        <v>38</v>
      </c>
      <c r="E937" s="4" t="s">
        <v>25</v>
      </c>
      <c r="F937" s="4" t="s">
        <v>61</v>
      </c>
      <c r="G937" s="4" t="s">
        <v>25</v>
      </c>
      <c r="H937" s="4" t="s">
        <v>35</v>
      </c>
      <c r="I937" s="5">
        <v>44682</v>
      </c>
      <c r="J937" s="6">
        <v>0</v>
      </c>
      <c r="K937" s="6">
        <v>0</v>
      </c>
      <c r="L937" s="6">
        <v>-17.553000000000001</v>
      </c>
      <c r="M937" s="6">
        <v>-17.553000000000001</v>
      </c>
      <c r="N937" s="6">
        <v>0</v>
      </c>
      <c r="O937" s="6">
        <v>0</v>
      </c>
      <c r="P937" s="6">
        <v>0</v>
      </c>
      <c r="Q937" s="4" t="s">
        <v>58</v>
      </c>
      <c r="R937" s="4">
        <v>0</v>
      </c>
      <c r="S937" s="4" t="s">
        <v>333</v>
      </c>
      <c r="U937" s="4">
        <v>0</v>
      </c>
      <c r="V937" s="4">
        <v>44</v>
      </c>
      <c r="W937" s="4">
        <v>0</v>
      </c>
    </row>
    <row r="938" spans="1:23" ht="11.25" customHeight="1" x14ac:dyDescent="0.25">
      <c r="A938" s="4" t="s">
        <v>21</v>
      </c>
      <c r="B938" s="4" t="s">
        <v>41</v>
      </c>
      <c r="C938" s="4" t="s">
        <v>42</v>
      </c>
      <c r="D938" s="4" t="s">
        <v>38</v>
      </c>
      <c r="E938" s="4" t="s">
        <v>25</v>
      </c>
      <c r="F938" s="4" t="s">
        <v>61</v>
      </c>
      <c r="G938" s="4" t="s">
        <v>25</v>
      </c>
      <c r="H938" s="4" t="s">
        <v>35</v>
      </c>
      <c r="I938" s="5">
        <v>44713</v>
      </c>
      <c r="J938" s="6">
        <v>0</v>
      </c>
      <c r="K938" s="6">
        <v>0</v>
      </c>
      <c r="L938" s="6">
        <v>11253.813</v>
      </c>
      <c r="M938" s="6">
        <v>11253.813</v>
      </c>
      <c r="N938" s="6">
        <v>0</v>
      </c>
      <c r="O938" s="6">
        <v>0</v>
      </c>
      <c r="P938" s="6">
        <v>0</v>
      </c>
      <c r="Q938" s="4" t="s">
        <v>58</v>
      </c>
      <c r="R938" s="4">
        <v>0</v>
      </c>
      <c r="S938" s="4" t="s">
        <v>334</v>
      </c>
      <c r="U938" s="4">
        <v>0</v>
      </c>
      <c r="V938" s="4">
        <v>44</v>
      </c>
      <c r="W938" s="4">
        <v>0</v>
      </c>
    </row>
    <row r="939" spans="1:23" ht="11.25" customHeight="1" x14ac:dyDescent="0.25">
      <c r="A939" s="4" t="s">
        <v>27</v>
      </c>
      <c r="B939" s="4" t="s">
        <v>41</v>
      </c>
      <c r="C939" s="4" t="s">
        <v>42</v>
      </c>
      <c r="D939" s="4" t="s">
        <v>38</v>
      </c>
      <c r="E939" s="4" t="s">
        <v>25</v>
      </c>
      <c r="F939" s="4" t="s">
        <v>61</v>
      </c>
      <c r="G939" s="4" t="s">
        <v>25</v>
      </c>
      <c r="H939" s="4" t="s">
        <v>35</v>
      </c>
      <c r="I939" s="5">
        <v>44713</v>
      </c>
      <c r="J939" s="6">
        <v>0</v>
      </c>
      <c r="K939" s="6">
        <v>0</v>
      </c>
      <c r="L939" s="6">
        <v>-91.113</v>
      </c>
      <c r="M939" s="6">
        <v>-91.113</v>
      </c>
      <c r="N939" s="6">
        <v>0</v>
      </c>
      <c r="O939" s="6">
        <v>0</v>
      </c>
      <c r="P939" s="6">
        <v>0</v>
      </c>
      <c r="Q939" s="4" t="s">
        <v>58</v>
      </c>
      <c r="R939" s="4">
        <v>0</v>
      </c>
      <c r="S939" s="4" t="s">
        <v>334</v>
      </c>
      <c r="U939" s="4">
        <v>0</v>
      </c>
      <c r="V939" s="4">
        <v>44</v>
      </c>
      <c r="W939" s="4">
        <v>0</v>
      </c>
    </row>
    <row r="940" spans="1:23" ht="11.25" customHeight="1" x14ac:dyDescent="0.25">
      <c r="A940" s="4" t="s">
        <v>57</v>
      </c>
      <c r="B940" s="4" t="s">
        <v>41</v>
      </c>
      <c r="C940" s="4" t="s">
        <v>42</v>
      </c>
      <c r="D940" s="4" t="s">
        <v>38</v>
      </c>
      <c r="E940" s="4" t="s">
        <v>25</v>
      </c>
      <c r="F940" s="4" t="s">
        <v>61</v>
      </c>
      <c r="G940" s="4" t="s">
        <v>25</v>
      </c>
      <c r="H940" s="4" t="s">
        <v>35</v>
      </c>
      <c r="I940" s="5">
        <v>44743</v>
      </c>
      <c r="J940" s="6">
        <v>0</v>
      </c>
      <c r="K940" s="6">
        <v>0</v>
      </c>
      <c r="L940" s="6">
        <v>11253.813</v>
      </c>
      <c r="M940" s="6">
        <v>11253.813</v>
      </c>
      <c r="N940" s="6">
        <v>0</v>
      </c>
      <c r="O940" s="6">
        <v>0</v>
      </c>
      <c r="P940" s="6">
        <v>0</v>
      </c>
      <c r="Q940" s="4" t="s">
        <v>58</v>
      </c>
      <c r="R940" s="4">
        <v>0</v>
      </c>
      <c r="S940" s="4" t="s">
        <v>335</v>
      </c>
      <c r="U940" s="4">
        <v>0</v>
      </c>
      <c r="V940" s="4">
        <v>44</v>
      </c>
      <c r="W940" s="4">
        <v>0</v>
      </c>
    </row>
    <row r="941" spans="1:23" ht="11.25" customHeight="1" x14ac:dyDescent="0.25">
      <c r="A941" s="4" t="s">
        <v>57</v>
      </c>
      <c r="B941" s="4" t="s">
        <v>41</v>
      </c>
      <c r="C941" s="4" t="s">
        <v>42</v>
      </c>
      <c r="D941" s="4" t="s">
        <v>38</v>
      </c>
      <c r="E941" s="4" t="s">
        <v>25</v>
      </c>
      <c r="F941" s="4" t="s">
        <v>61</v>
      </c>
      <c r="G941" s="4" t="s">
        <v>25</v>
      </c>
      <c r="H941" s="4" t="s">
        <v>35</v>
      </c>
      <c r="I941" s="5">
        <v>44743</v>
      </c>
      <c r="J941" s="6">
        <v>0</v>
      </c>
      <c r="K941" s="6">
        <v>0</v>
      </c>
      <c r="L941" s="6">
        <v>-91.113</v>
      </c>
      <c r="M941" s="6">
        <v>-91.113</v>
      </c>
      <c r="N941" s="6">
        <v>0</v>
      </c>
      <c r="O941" s="6">
        <v>0</v>
      </c>
      <c r="P941" s="6">
        <v>0</v>
      </c>
      <c r="Q941" s="4" t="s">
        <v>58</v>
      </c>
      <c r="R941" s="4">
        <v>0</v>
      </c>
      <c r="S941" s="4" t="s">
        <v>335</v>
      </c>
      <c r="U941" s="4">
        <v>0</v>
      </c>
      <c r="V941" s="4">
        <v>44</v>
      </c>
      <c r="W941" s="4">
        <v>0</v>
      </c>
    </row>
    <row r="942" spans="1:23" ht="11.25" customHeight="1" x14ac:dyDescent="0.25">
      <c r="A942" s="4" t="s">
        <v>21</v>
      </c>
      <c r="B942" s="4" t="s">
        <v>41</v>
      </c>
      <c r="C942" s="4" t="s">
        <v>42</v>
      </c>
      <c r="D942" s="4" t="s">
        <v>38</v>
      </c>
      <c r="E942" s="4" t="s">
        <v>25</v>
      </c>
      <c r="F942" s="4" t="s">
        <v>61</v>
      </c>
      <c r="G942" s="4" t="s">
        <v>25</v>
      </c>
      <c r="H942" s="4" t="s">
        <v>25</v>
      </c>
      <c r="I942" s="5">
        <v>44409</v>
      </c>
      <c r="J942" s="6">
        <v>33170</v>
      </c>
      <c r="K942" s="6">
        <v>14594.8</v>
      </c>
      <c r="L942" s="6">
        <v>0</v>
      </c>
      <c r="M942" s="6">
        <v>0</v>
      </c>
      <c r="N942" s="6">
        <v>0</v>
      </c>
      <c r="O942" s="6">
        <v>0</v>
      </c>
      <c r="P942" s="6">
        <v>63</v>
      </c>
      <c r="Q942" s="4" t="s">
        <v>58</v>
      </c>
      <c r="R942" s="4">
        <v>0</v>
      </c>
      <c r="S942" s="4" t="s">
        <v>336</v>
      </c>
      <c r="U942" s="4">
        <v>40</v>
      </c>
      <c r="V942" s="4">
        <v>0</v>
      </c>
      <c r="W942" s="4">
        <v>0</v>
      </c>
    </row>
    <row r="943" spans="1:23" ht="11.25" customHeight="1" x14ac:dyDescent="0.25">
      <c r="A943" s="4" t="s">
        <v>21</v>
      </c>
      <c r="B943" s="4" t="s">
        <v>41</v>
      </c>
      <c r="C943" s="4" t="s">
        <v>42</v>
      </c>
      <c r="D943" s="4" t="s">
        <v>38</v>
      </c>
      <c r="E943" s="4" t="s">
        <v>25</v>
      </c>
      <c r="F943" s="4" t="s">
        <v>61</v>
      </c>
      <c r="G943" s="4" t="s">
        <v>25</v>
      </c>
      <c r="H943" s="4" t="s">
        <v>25</v>
      </c>
      <c r="I943" s="5">
        <v>44440</v>
      </c>
      <c r="J943" s="6">
        <v>34049</v>
      </c>
      <c r="K943" s="6">
        <v>13960.09</v>
      </c>
      <c r="L943" s="6">
        <v>0</v>
      </c>
      <c r="M943" s="6">
        <v>0</v>
      </c>
      <c r="N943" s="6">
        <v>0</v>
      </c>
      <c r="O943" s="6">
        <v>0</v>
      </c>
      <c r="P943" s="6">
        <v>64</v>
      </c>
      <c r="Q943" s="4" t="s">
        <v>58</v>
      </c>
      <c r="R943" s="4">
        <v>0</v>
      </c>
      <c r="S943" s="4" t="s">
        <v>337</v>
      </c>
      <c r="U943" s="4">
        <v>40</v>
      </c>
      <c r="V943" s="4">
        <v>0</v>
      </c>
      <c r="W943" s="4">
        <v>0</v>
      </c>
    </row>
    <row r="944" spans="1:23" ht="11.25" customHeight="1" x14ac:dyDescent="0.25">
      <c r="A944" s="4" t="s">
        <v>21</v>
      </c>
      <c r="B944" s="4" t="s">
        <v>41</v>
      </c>
      <c r="C944" s="4" t="s">
        <v>42</v>
      </c>
      <c r="D944" s="4" t="s">
        <v>38</v>
      </c>
      <c r="E944" s="4" t="s">
        <v>25</v>
      </c>
      <c r="F944" s="4" t="s">
        <v>61</v>
      </c>
      <c r="G944" s="4" t="s">
        <v>25</v>
      </c>
      <c r="H944" s="4" t="s">
        <v>25</v>
      </c>
      <c r="I944" s="5">
        <v>44470</v>
      </c>
      <c r="J944" s="6">
        <v>35137</v>
      </c>
      <c r="K944" s="6">
        <v>17568.5</v>
      </c>
      <c r="L944" s="6">
        <v>0</v>
      </c>
      <c r="M944" s="6">
        <v>0</v>
      </c>
      <c r="N944" s="6">
        <v>0</v>
      </c>
      <c r="O944" s="6">
        <v>0</v>
      </c>
      <c r="P944" s="6">
        <v>67</v>
      </c>
      <c r="Q944" s="4" t="s">
        <v>58</v>
      </c>
      <c r="R944" s="4">
        <v>0</v>
      </c>
      <c r="S944" s="4" t="s">
        <v>338</v>
      </c>
      <c r="U944" s="4">
        <v>40</v>
      </c>
      <c r="V944" s="4">
        <v>0</v>
      </c>
      <c r="W944" s="4">
        <v>0</v>
      </c>
    </row>
    <row r="945" spans="1:23" ht="11.25" customHeight="1" x14ac:dyDescent="0.25">
      <c r="A945" s="4" t="s">
        <v>21</v>
      </c>
      <c r="B945" s="4" t="s">
        <v>41</v>
      </c>
      <c r="C945" s="4" t="s">
        <v>42</v>
      </c>
      <c r="D945" s="4" t="s">
        <v>38</v>
      </c>
      <c r="E945" s="4" t="s">
        <v>25</v>
      </c>
      <c r="F945" s="4" t="s">
        <v>61</v>
      </c>
      <c r="G945" s="4" t="s">
        <v>25</v>
      </c>
      <c r="H945" s="4" t="s">
        <v>25</v>
      </c>
      <c r="I945" s="5">
        <v>44501</v>
      </c>
      <c r="J945" s="6">
        <v>36269</v>
      </c>
      <c r="K945" s="6">
        <v>16683.740000000002</v>
      </c>
      <c r="L945" s="6">
        <v>0</v>
      </c>
      <c r="M945" s="6">
        <v>0</v>
      </c>
      <c r="N945" s="6">
        <v>0</v>
      </c>
      <c r="O945" s="6">
        <v>0</v>
      </c>
      <c r="P945" s="6">
        <v>70</v>
      </c>
      <c r="Q945" s="4" t="s">
        <v>58</v>
      </c>
      <c r="R945" s="4">
        <v>0</v>
      </c>
      <c r="S945" s="4" t="s">
        <v>339</v>
      </c>
      <c r="U945" s="4">
        <v>40</v>
      </c>
      <c r="V945" s="4">
        <v>0</v>
      </c>
      <c r="W945" s="4">
        <v>0</v>
      </c>
    </row>
    <row r="946" spans="1:23" ht="11.25" customHeight="1" x14ac:dyDescent="0.25">
      <c r="A946" s="4" t="s">
        <v>21</v>
      </c>
      <c r="B946" s="4" t="s">
        <v>41</v>
      </c>
      <c r="C946" s="4" t="s">
        <v>42</v>
      </c>
      <c r="D946" s="4" t="s">
        <v>38</v>
      </c>
      <c r="E946" s="4" t="s">
        <v>25</v>
      </c>
      <c r="F946" s="4" t="s">
        <v>61</v>
      </c>
      <c r="G946" s="4" t="s">
        <v>25</v>
      </c>
      <c r="H946" s="4" t="s">
        <v>25</v>
      </c>
      <c r="I946" s="5">
        <v>44531</v>
      </c>
      <c r="J946" s="6">
        <v>37278</v>
      </c>
      <c r="K946" s="6">
        <v>17520.66</v>
      </c>
      <c r="L946" s="6">
        <v>0</v>
      </c>
      <c r="M946" s="6">
        <v>0</v>
      </c>
      <c r="N946" s="6">
        <v>0</v>
      </c>
      <c r="O946" s="6">
        <v>0</v>
      </c>
      <c r="P946" s="6">
        <v>71</v>
      </c>
      <c r="Q946" s="4" t="s">
        <v>58</v>
      </c>
      <c r="R946" s="4">
        <v>0</v>
      </c>
      <c r="S946" s="4" t="s">
        <v>340</v>
      </c>
      <c r="U946" s="4">
        <v>40</v>
      </c>
      <c r="V946" s="4">
        <v>0</v>
      </c>
      <c r="W946" s="4">
        <v>0</v>
      </c>
    </row>
    <row r="947" spans="1:23" ht="11.25" customHeight="1" x14ac:dyDescent="0.25">
      <c r="A947" s="4" t="s">
        <v>21</v>
      </c>
      <c r="B947" s="4" t="s">
        <v>41</v>
      </c>
      <c r="C947" s="4" t="s">
        <v>42</v>
      </c>
      <c r="D947" s="4" t="s">
        <v>38</v>
      </c>
      <c r="E947" s="4" t="s">
        <v>25</v>
      </c>
      <c r="F947" s="4" t="s">
        <v>61</v>
      </c>
      <c r="G947" s="4" t="s">
        <v>25</v>
      </c>
      <c r="H947" s="4" t="s">
        <v>25</v>
      </c>
      <c r="I947" s="5">
        <v>44562</v>
      </c>
      <c r="J947" s="6">
        <v>37901</v>
      </c>
      <c r="K947" s="6">
        <v>17813.47</v>
      </c>
      <c r="L947" s="6">
        <v>0</v>
      </c>
      <c r="M947" s="6">
        <v>0</v>
      </c>
      <c r="N947" s="6">
        <v>0</v>
      </c>
      <c r="O947" s="6">
        <v>0</v>
      </c>
      <c r="P947" s="6">
        <v>72</v>
      </c>
      <c r="Q947" s="4" t="s">
        <v>58</v>
      </c>
      <c r="R947" s="4">
        <v>0</v>
      </c>
      <c r="S947" s="4" t="s">
        <v>341</v>
      </c>
      <c r="U947" s="4">
        <v>40</v>
      </c>
      <c r="V947" s="4">
        <v>0</v>
      </c>
      <c r="W947" s="4">
        <v>0</v>
      </c>
    </row>
    <row r="948" spans="1:23" ht="11.25" customHeight="1" x14ac:dyDescent="0.25">
      <c r="A948" s="4" t="s">
        <v>21</v>
      </c>
      <c r="B948" s="4" t="s">
        <v>41</v>
      </c>
      <c r="C948" s="4" t="s">
        <v>42</v>
      </c>
      <c r="D948" s="4" t="s">
        <v>38</v>
      </c>
      <c r="E948" s="4" t="s">
        <v>25</v>
      </c>
      <c r="F948" s="4" t="s">
        <v>61</v>
      </c>
      <c r="G948" s="4" t="s">
        <v>25</v>
      </c>
      <c r="H948" s="4" t="s">
        <v>25</v>
      </c>
      <c r="I948" s="5">
        <v>44593</v>
      </c>
      <c r="J948" s="6">
        <v>37807</v>
      </c>
      <c r="K948" s="6">
        <v>17391.22</v>
      </c>
      <c r="L948" s="6">
        <v>0</v>
      </c>
      <c r="M948" s="6">
        <v>0</v>
      </c>
      <c r="N948" s="6">
        <v>0</v>
      </c>
      <c r="O948" s="6">
        <v>0</v>
      </c>
      <c r="P948" s="6">
        <v>72</v>
      </c>
      <c r="Q948" s="4" t="s">
        <v>58</v>
      </c>
      <c r="R948" s="4">
        <v>0</v>
      </c>
      <c r="S948" s="4" t="s">
        <v>342</v>
      </c>
      <c r="U948" s="4">
        <v>40</v>
      </c>
      <c r="V948" s="4">
        <v>0</v>
      </c>
      <c r="W948" s="4">
        <v>0</v>
      </c>
    </row>
    <row r="949" spans="1:23" ht="11.25" customHeight="1" x14ac:dyDescent="0.25">
      <c r="A949" s="4" t="s">
        <v>21</v>
      </c>
      <c r="B949" s="4" t="s">
        <v>41</v>
      </c>
      <c r="C949" s="4" t="s">
        <v>42</v>
      </c>
      <c r="D949" s="4" t="s">
        <v>38</v>
      </c>
      <c r="E949" s="4" t="s">
        <v>25</v>
      </c>
      <c r="F949" s="4" t="s">
        <v>61</v>
      </c>
      <c r="G949" s="4" t="s">
        <v>25</v>
      </c>
      <c r="H949" s="4" t="s">
        <v>25</v>
      </c>
      <c r="I949" s="5">
        <v>44621</v>
      </c>
      <c r="J949" s="6">
        <v>37786</v>
      </c>
      <c r="K949" s="6">
        <v>17381.560000000001</v>
      </c>
      <c r="L949" s="6">
        <v>0</v>
      </c>
      <c r="M949" s="6">
        <v>0</v>
      </c>
      <c r="N949" s="6">
        <v>0</v>
      </c>
      <c r="O949" s="6">
        <v>0</v>
      </c>
      <c r="P949" s="6">
        <v>72</v>
      </c>
      <c r="Q949" s="4" t="s">
        <v>58</v>
      </c>
      <c r="R949" s="4">
        <v>0</v>
      </c>
      <c r="S949" s="4" t="s">
        <v>343</v>
      </c>
      <c r="U949" s="4">
        <v>40</v>
      </c>
      <c r="V949" s="4">
        <v>0</v>
      </c>
      <c r="W949" s="4">
        <v>0</v>
      </c>
    </row>
    <row r="950" spans="1:23" ht="11.25" customHeight="1" x14ac:dyDescent="0.25">
      <c r="A950" s="4" t="s">
        <v>21</v>
      </c>
      <c r="B950" s="4" t="s">
        <v>41</v>
      </c>
      <c r="C950" s="4" t="s">
        <v>42</v>
      </c>
      <c r="D950" s="4" t="s">
        <v>38</v>
      </c>
      <c r="E950" s="4" t="s">
        <v>25</v>
      </c>
      <c r="F950" s="4" t="s">
        <v>61</v>
      </c>
      <c r="G950" s="4" t="s">
        <v>25</v>
      </c>
      <c r="H950" s="4" t="s">
        <v>25</v>
      </c>
      <c r="I950" s="5">
        <v>44652</v>
      </c>
      <c r="J950" s="6">
        <v>36476</v>
      </c>
      <c r="K950" s="6">
        <v>16049.44</v>
      </c>
      <c r="L950" s="6">
        <v>0</v>
      </c>
      <c r="M950" s="6">
        <v>0</v>
      </c>
      <c r="N950" s="6">
        <v>0</v>
      </c>
      <c r="O950" s="6">
        <v>0</v>
      </c>
      <c r="P950" s="6">
        <v>69</v>
      </c>
      <c r="Q950" s="4" t="s">
        <v>58</v>
      </c>
      <c r="R950" s="4">
        <v>0</v>
      </c>
      <c r="S950" s="4" t="s">
        <v>344</v>
      </c>
      <c r="U950" s="4">
        <v>40</v>
      </c>
      <c r="V950" s="4">
        <v>0</v>
      </c>
      <c r="W950" s="4">
        <v>0</v>
      </c>
    </row>
    <row r="951" spans="1:23" ht="11.25" customHeight="1" x14ac:dyDescent="0.25">
      <c r="A951" s="4" t="s">
        <v>21</v>
      </c>
      <c r="B951" s="4" t="s">
        <v>41</v>
      </c>
      <c r="C951" s="4" t="s">
        <v>42</v>
      </c>
      <c r="D951" s="4" t="s">
        <v>38</v>
      </c>
      <c r="E951" s="4" t="s">
        <v>25</v>
      </c>
      <c r="F951" s="4" t="s">
        <v>61</v>
      </c>
      <c r="G951" s="4" t="s">
        <v>25</v>
      </c>
      <c r="H951" s="4" t="s">
        <v>25</v>
      </c>
      <c r="I951" s="5">
        <v>44682</v>
      </c>
      <c r="J951" s="6">
        <v>36341</v>
      </c>
      <c r="K951" s="6">
        <v>15990.04</v>
      </c>
      <c r="L951" s="6">
        <v>0</v>
      </c>
      <c r="M951" s="6">
        <v>0</v>
      </c>
      <c r="N951" s="6">
        <v>0</v>
      </c>
      <c r="O951" s="6">
        <v>0</v>
      </c>
      <c r="P951" s="6">
        <v>69</v>
      </c>
      <c r="Q951" s="4" t="s">
        <v>58</v>
      </c>
      <c r="R951" s="4">
        <v>0</v>
      </c>
      <c r="S951" s="4" t="s">
        <v>345</v>
      </c>
      <c r="U951" s="4">
        <v>40</v>
      </c>
      <c r="V951" s="4">
        <v>0</v>
      </c>
      <c r="W951" s="4">
        <v>0</v>
      </c>
    </row>
    <row r="952" spans="1:23" ht="11.25" customHeight="1" x14ac:dyDescent="0.25">
      <c r="A952" s="4" t="s">
        <v>21</v>
      </c>
      <c r="B952" s="4" t="s">
        <v>41</v>
      </c>
      <c r="C952" s="4" t="s">
        <v>42</v>
      </c>
      <c r="D952" s="4" t="s">
        <v>38</v>
      </c>
      <c r="E952" s="4" t="s">
        <v>25</v>
      </c>
      <c r="F952" s="4" t="s">
        <v>61</v>
      </c>
      <c r="G952" s="4" t="s">
        <v>25</v>
      </c>
      <c r="H952" s="4" t="s">
        <v>25</v>
      </c>
      <c r="I952" s="5">
        <v>44713</v>
      </c>
      <c r="J952" s="6">
        <v>39911</v>
      </c>
      <c r="K952" s="6">
        <v>16363.51</v>
      </c>
      <c r="L952" s="6">
        <v>0</v>
      </c>
      <c r="M952" s="6">
        <v>0</v>
      </c>
      <c r="N952" s="6">
        <v>0</v>
      </c>
      <c r="O952" s="6">
        <v>0</v>
      </c>
      <c r="P952" s="6">
        <v>71</v>
      </c>
      <c r="Q952" s="4" t="s">
        <v>58</v>
      </c>
      <c r="R952" s="4">
        <v>0</v>
      </c>
      <c r="S952" s="4" t="s">
        <v>346</v>
      </c>
      <c r="U952" s="4">
        <v>40</v>
      </c>
      <c r="V952" s="4">
        <v>0</v>
      </c>
      <c r="W952" s="4">
        <v>0</v>
      </c>
    </row>
    <row r="953" spans="1:23" ht="11.25" customHeight="1" x14ac:dyDescent="0.25">
      <c r="A953" s="4" t="s">
        <v>57</v>
      </c>
      <c r="B953" s="4" t="s">
        <v>41</v>
      </c>
      <c r="C953" s="4" t="s">
        <v>42</v>
      </c>
      <c r="D953" s="4" t="s">
        <v>38</v>
      </c>
      <c r="E953" s="4" t="s">
        <v>25</v>
      </c>
      <c r="F953" s="4" t="s">
        <v>61</v>
      </c>
      <c r="G953" s="4" t="s">
        <v>25</v>
      </c>
      <c r="H953" s="4" t="s">
        <v>25</v>
      </c>
      <c r="I953" s="5">
        <v>44743</v>
      </c>
      <c r="J953" s="6">
        <v>39911</v>
      </c>
      <c r="K953" s="6">
        <v>16363.51</v>
      </c>
      <c r="L953" s="6">
        <v>0</v>
      </c>
      <c r="M953" s="6">
        <v>0</v>
      </c>
      <c r="N953" s="6">
        <v>0</v>
      </c>
      <c r="O953" s="6">
        <v>0</v>
      </c>
      <c r="P953" s="6">
        <v>71</v>
      </c>
      <c r="Q953" s="4" t="s">
        <v>58</v>
      </c>
      <c r="R953" s="4">
        <v>0</v>
      </c>
      <c r="S953" s="4" t="s">
        <v>347</v>
      </c>
      <c r="U953" s="4">
        <v>40</v>
      </c>
      <c r="V953" s="4">
        <v>0</v>
      </c>
      <c r="W953" s="4">
        <v>0</v>
      </c>
    </row>
    <row r="954" spans="1:23" ht="11.25" customHeight="1" x14ac:dyDescent="0.25">
      <c r="A954" s="4" t="s">
        <v>21</v>
      </c>
      <c r="B954" s="4" t="s">
        <v>41</v>
      </c>
      <c r="C954" s="4" t="s">
        <v>42</v>
      </c>
      <c r="D954" s="4" t="s">
        <v>38</v>
      </c>
      <c r="E954" s="4" t="s">
        <v>25</v>
      </c>
      <c r="F954" s="4" t="s">
        <v>61</v>
      </c>
      <c r="G954" s="4" t="s">
        <v>25</v>
      </c>
      <c r="H954" s="4" t="s">
        <v>34</v>
      </c>
      <c r="I954" s="5">
        <v>44409</v>
      </c>
      <c r="J954" s="6">
        <v>0</v>
      </c>
      <c r="K954" s="6">
        <v>0</v>
      </c>
      <c r="L954" s="6">
        <v>632.36800000000005</v>
      </c>
      <c r="M954" s="6">
        <v>316.18400000000003</v>
      </c>
      <c r="N954" s="6">
        <v>0</v>
      </c>
      <c r="O954" s="6">
        <v>0</v>
      </c>
      <c r="P954" s="6">
        <v>0</v>
      </c>
      <c r="Q954" s="4" t="s">
        <v>58</v>
      </c>
      <c r="R954" s="4">
        <v>0</v>
      </c>
      <c r="S954" s="4" t="s">
        <v>348</v>
      </c>
      <c r="U954" s="4">
        <v>0</v>
      </c>
      <c r="V954" s="4">
        <v>42</v>
      </c>
      <c r="W954" s="4">
        <v>0</v>
      </c>
    </row>
    <row r="955" spans="1:23" ht="11.25" customHeight="1" x14ac:dyDescent="0.25">
      <c r="A955" s="4" t="s">
        <v>21</v>
      </c>
      <c r="B955" s="4" t="s">
        <v>41</v>
      </c>
      <c r="C955" s="4" t="s">
        <v>42</v>
      </c>
      <c r="D955" s="4" t="s">
        <v>38</v>
      </c>
      <c r="E955" s="4" t="s">
        <v>25</v>
      </c>
      <c r="F955" s="4" t="s">
        <v>61</v>
      </c>
      <c r="G955" s="4" t="s">
        <v>25</v>
      </c>
      <c r="H955" s="4" t="s">
        <v>34</v>
      </c>
      <c r="I955" s="5">
        <v>44440</v>
      </c>
      <c r="J955" s="6">
        <v>0</v>
      </c>
      <c r="K955" s="6">
        <v>0</v>
      </c>
      <c r="L955" s="6">
        <v>645.44399999999996</v>
      </c>
      <c r="M955" s="6">
        <v>367.90307999999999</v>
      </c>
      <c r="N955" s="6">
        <v>0</v>
      </c>
      <c r="O955" s="6">
        <v>0</v>
      </c>
      <c r="P955" s="6">
        <v>0</v>
      </c>
      <c r="Q955" s="4" t="s">
        <v>58</v>
      </c>
      <c r="R955" s="4">
        <v>0</v>
      </c>
      <c r="S955" s="4" t="s">
        <v>349</v>
      </c>
      <c r="U955" s="4">
        <v>0</v>
      </c>
      <c r="V955" s="4">
        <v>42</v>
      </c>
      <c r="W955" s="4">
        <v>0</v>
      </c>
    </row>
    <row r="956" spans="1:23" ht="11.25" customHeight="1" x14ac:dyDescent="0.25">
      <c r="A956" s="4" t="s">
        <v>21</v>
      </c>
      <c r="B956" s="4" t="s">
        <v>41</v>
      </c>
      <c r="C956" s="4" t="s">
        <v>42</v>
      </c>
      <c r="D956" s="4" t="s">
        <v>38</v>
      </c>
      <c r="E956" s="4" t="s">
        <v>25</v>
      </c>
      <c r="F956" s="4" t="s">
        <v>61</v>
      </c>
      <c r="G956" s="4" t="s">
        <v>25</v>
      </c>
      <c r="H956" s="4" t="s">
        <v>34</v>
      </c>
      <c r="I956" s="5">
        <v>44470</v>
      </c>
      <c r="J956" s="6">
        <v>0</v>
      </c>
      <c r="K956" s="6">
        <v>0</v>
      </c>
      <c r="L956" s="6">
        <v>701.73599999999999</v>
      </c>
      <c r="M956" s="6">
        <v>336.83328</v>
      </c>
      <c r="N956" s="6">
        <v>0</v>
      </c>
      <c r="O956" s="6">
        <v>0</v>
      </c>
      <c r="P956" s="6">
        <v>0</v>
      </c>
      <c r="Q956" s="4" t="s">
        <v>58</v>
      </c>
      <c r="R956" s="4">
        <v>0</v>
      </c>
      <c r="S956" s="4" t="s">
        <v>350</v>
      </c>
      <c r="U956" s="4">
        <v>0</v>
      </c>
      <c r="V956" s="4">
        <v>42</v>
      </c>
      <c r="W956" s="4">
        <v>0</v>
      </c>
    </row>
    <row r="957" spans="1:23" ht="11.25" customHeight="1" x14ac:dyDescent="0.25">
      <c r="A957" s="4" t="s">
        <v>21</v>
      </c>
      <c r="B957" s="4" t="s">
        <v>41</v>
      </c>
      <c r="C957" s="4" t="s">
        <v>42</v>
      </c>
      <c r="D957" s="4" t="s">
        <v>38</v>
      </c>
      <c r="E957" s="4" t="s">
        <v>25</v>
      </c>
      <c r="F957" s="4" t="s">
        <v>61</v>
      </c>
      <c r="G957" s="4" t="s">
        <v>25</v>
      </c>
      <c r="H957" s="4" t="s">
        <v>34</v>
      </c>
      <c r="I957" s="5">
        <v>44501</v>
      </c>
      <c r="J957" s="6">
        <v>0</v>
      </c>
      <c r="K957" s="6">
        <v>0</v>
      </c>
      <c r="L957" s="6">
        <v>767.41800000000001</v>
      </c>
      <c r="M957" s="6">
        <v>337.66392000000002</v>
      </c>
      <c r="N957" s="6">
        <v>0</v>
      </c>
      <c r="O957" s="6">
        <v>0</v>
      </c>
      <c r="P957" s="6">
        <v>0</v>
      </c>
      <c r="Q957" s="4" t="s">
        <v>58</v>
      </c>
      <c r="R957" s="4">
        <v>0</v>
      </c>
      <c r="S957" s="4" t="s">
        <v>351</v>
      </c>
      <c r="U957" s="4">
        <v>0</v>
      </c>
      <c r="V957" s="4">
        <v>42</v>
      </c>
      <c r="W957" s="4">
        <v>0</v>
      </c>
    </row>
    <row r="958" spans="1:23" ht="11.25" customHeight="1" x14ac:dyDescent="0.25">
      <c r="A958" s="4" t="s">
        <v>21</v>
      </c>
      <c r="B958" s="4" t="s">
        <v>41</v>
      </c>
      <c r="C958" s="4" t="s">
        <v>42</v>
      </c>
      <c r="D958" s="4" t="s">
        <v>38</v>
      </c>
      <c r="E958" s="4" t="s">
        <v>25</v>
      </c>
      <c r="F958" s="4" t="s">
        <v>61</v>
      </c>
      <c r="G958" s="4" t="s">
        <v>25</v>
      </c>
      <c r="H958" s="4" t="s">
        <v>34</v>
      </c>
      <c r="I958" s="5">
        <v>44531</v>
      </c>
      <c r="J958" s="6">
        <v>0</v>
      </c>
      <c r="K958" s="6">
        <v>0</v>
      </c>
      <c r="L958" s="6">
        <v>884.23099999999999</v>
      </c>
      <c r="M958" s="6">
        <v>389.06164000000001</v>
      </c>
      <c r="N958" s="6">
        <v>0</v>
      </c>
      <c r="O958" s="6">
        <v>0</v>
      </c>
      <c r="P958" s="6">
        <v>0</v>
      </c>
      <c r="Q958" s="4" t="s">
        <v>58</v>
      </c>
      <c r="R958" s="4">
        <v>0</v>
      </c>
      <c r="S958" s="4" t="s">
        <v>352</v>
      </c>
      <c r="U958" s="4">
        <v>0</v>
      </c>
      <c r="V958" s="4">
        <v>42</v>
      </c>
      <c r="W958" s="4">
        <v>0</v>
      </c>
    </row>
    <row r="959" spans="1:23" ht="11.25" customHeight="1" x14ac:dyDescent="0.25">
      <c r="A959" s="4" t="s">
        <v>21</v>
      </c>
      <c r="B959" s="4" t="s">
        <v>41</v>
      </c>
      <c r="C959" s="4" t="s">
        <v>42</v>
      </c>
      <c r="D959" s="4" t="s">
        <v>38</v>
      </c>
      <c r="E959" s="4" t="s">
        <v>25</v>
      </c>
      <c r="F959" s="4" t="s">
        <v>61</v>
      </c>
      <c r="G959" s="4" t="s">
        <v>25</v>
      </c>
      <c r="H959" s="4" t="s">
        <v>34</v>
      </c>
      <c r="I959" s="5">
        <v>44562</v>
      </c>
      <c r="J959" s="6">
        <v>0</v>
      </c>
      <c r="K959" s="6">
        <v>0</v>
      </c>
      <c r="L959" s="6">
        <v>933.57500000000005</v>
      </c>
      <c r="M959" s="6">
        <v>420.10874999999999</v>
      </c>
      <c r="N959" s="6">
        <v>0</v>
      </c>
      <c r="O959" s="6">
        <v>0</v>
      </c>
      <c r="P959" s="6">
        <v>0</v>
      </c>
      <c r="Q959" s="4" t="s">
        <v>58</v>
      </c>
      <c r="R959" s="4">
        <v>0</v>
      </c>
      <c r="S959" s="4" t="s">
        <v>353</v>
      </c>
      <c r="U959" s="4">
        <v>0</v>
      </c>
      <c r="V959" s="4">
        <v>42</v>
      </c>
      <c r="W959" s="4">
        <v>0</v>
      </c>
    </row>
    <row r="960" spans="1:23" ht="11.25" customHeight="1" x14ac:dyDescent="0.25">
      <c r="A960" s="4" t="s">
        <v>21</v>
      </c>
      <c r="B960" s="4" t="s">
        <v>41</v>
      </c>
      <c r="C960" s="4" t="s">
        <v>42</v>
      </c>
      <c r="D960" s="4" t="s">
        <v>38</v>
      </c>
      <c r="E960" s="4" t="s">
        <v>25</v>
      </c>
      <c r="F960" s="4" t="s">
        <v>61</v>
      </c>
      <c r="G960" s="4" t="s">
        <v>25</v>
      </c>
      <c r="H960" s="4" t="s">
        <v>34</v>
      </c>
      <c r="I960" s="5">
        <v>44593</v>
      </c>
      <c r="J960" s="6">
        <v>0</v>
      </c>
      <c r="K960" s="6">
        <v>0</v>
      </c>
      <c r="L960" s="6">
        <v>748.96299999999997</v>
      </c>
      <c r="M960" s="6">
        <v>352.01261</v>
      </c>
      <c r="N960" s="6">
        <v>0</v>
      </c>
      <c r="O960" s="6">
        <v>0</v>
      </c>
      <c r="P960" s="6">
        <v>0</v>
      </c>
      <c r="Q960" s="4" t="s">
        <v>58</v>
      </c>
      <c r="R960" s="4">
        <v>0</v>
      </c>
      <c r="S960" s="4" t="s">
        <v>354</v>
      </c>
      <c r="U960" s="4">
        <v>0</v>
      </c>
      <c r="V960" s="4">
        <v>42</v>
      </c>
      <c r="W960" s="4">
        <v>0</v>
      </c>
    </row>
    <row r="961" spans="1:23" ht="11.25" customHeight="1" x14ac:dyDescent="0.25">
      <c r="A961" s="4" t="s">
        <v>21</v>
      </c>
      <c r="B961" s="4" t="s">
        <v>41</v>
      </c>
      <c r="C961" s="4" t="s">
        <v>42</v>
      </c>
      <c r="D961" s="4" t="s">
        <v>38</v>
      </c>
      <c r="E961" s="4" t="s">
        <v>25</v>
      </c>
      <c r="F961" s="4" t="s">
        <v>61</v>
      </c>
      <c r="G961" s="4" t="s">
        <v>25</v>
      </c>
      <c r="H961" s="4" t="s">
        <v>34</v>
      </c>
      <c r="I961" s="5">
        <v>44621</v>
      </c>
      <c r="J961" s="6">
        <v>0</v>
      </c>
      <c r="K961" s="6">
        <v>0</v>
      </c>
      <c r="L961" s="6">
        <v>827.06700000000001</v>
      </c>
      <c r="M961" s="6">
        <v>380.45082000000002</v>
      </c>
      <c r="N961" s="6">
        <v>0</v>
      </c>
      <c r="O961" s="6">
        <v>0</v>
      </c>
      <c r="P961" s="6">
        <v>0</v>
      </c>
      <c r="Q961" s="4" t="s">
        <v>58</v>
      </c>
      <c r="R961" s="4">
        <v>0</v>
      </c>
      <c r="S961" s="4" t="s">
        <v>355</v>
      </c>
      <c r="U961" s="4">
        <v>0</v>
      </c>
      <c r="V961" s="4">
        <v>42</v>
      </c>
      <c r="W961" s="4">
        <v>0</v>
      </c>
    </row>
    <row r="962" spans="1:23" ht="11.25" customHeight="1" x14ac:dyDescent="0.25">
      <c r="A962" s="4" t="s">
        <v>21</v>
      </c>
      <c r="B962" s="4" t="s">
        <v>41</v>
      </c>
      <c r="C962" s="4" t="s">
        <v>42</v>
      </c>
      <c r="D962" s="4" t="s">
        <v>38</v>
      </c>
      <c r="E962" s="4" t="s">
        <v>25</v>
      </c>
      <c r="F962" s="4" t="s">
        <v>61</v>
      </c>
      <c r="G962" s="4" t="s">
        <v>25</v>
      </c>
      <c r="H962" s="4" t="s">
        <v>34</v>
      </c>
      <c r="I962" s="5">
        <v>44652</v>
      </c>
      <c r="J962" s="6">
        <v>0</v>
      </c>
      <c r="K962" s="6">
        <v>0</v>
      </c>
      <c r="L962" s="6">
        <v>998.30899999999997</v>
      </c>
      <c r="M962" s="6">
        <v>429.27287000000001</v>
      </c>
      <c r="N962" s="6">
        <v>0</v>
      </c>
      <c r="O962" s="6">
        <v>0</v>
      </c>
      <c r="P962" s="6">
        <v>0</v>
      </c>
      <c r="Q962" s="4" t="s">
        <v>58</v>
      </c>
      <c r="R962" s="4">
        <v>0</v>
      </c>
      <c r="S962" s="4" t="s">
        <v>356</v>
      </c>
      <c r="U962" s="4">
        <v>0</v>
      </c>
      <c r="V962" s="4">
        <v>42</v>
      </c>
      <c r="W962" s="4">
        <v>0</v>
      </c>
    </row>
    <row r="963" spans="1:23" ht="11.25" customHeight="1" x14ac:dyDescent="0.25">
      <c r="A963" s="4" t="s">
        <v>21</v>
      </c>
      <c r="B963" s="4" t="s">
        <v>41</v>
      </c>
      <c r="C963" s="4" t="s">
        <v>42</v>
      </c>
      <c r="D963" s="4" t="s">
        <v>38</v>
      </c>
      <c r="E963" s="4" t="s">
        <v>25</v>
      </c>
      <c r="F963" s="4" t="s">
        <v>61</v>
      </c>
      <c r="G963" s="4" t="s">
        <v>25</v>
      </c>
      <c r="H963" s="4" t="s">
        <v>34</v>
      </c>
      <c r="I963" s="5">
        <v>44682</v>
      </c>
      <c r="J963" s="6">
        <v>0</v>
      </c>
      <c r="K963" s="6">
        <v>0</v>
      </c>
      <c r="L963" s="6">
        <v>815.83100000000002</v>
      </c>
      <c r="M963" s="6">
        <v>350.80732999999998</v>
      </c>
      <c r="N963" s="6">
        <v>0</v>
      </c>
      <c r="O963" s="6">
        <v>0</v>
      </c>
      <c r="P963" s="6">
        <v>0</v>
      </c>
      <c r="Q963" s="4" t="s">
        <v>58</v>
      </c>
      <c r="R963" s="4">
        <v>0</v>
      </c>
      <c r="S963" s="4" t="s">
        <v>357</v>
      </c>
      <c r="U963" s="4">
        <v>0</v>
      </c>
      <c r="V963" s="4">
        <v>42</v>
      </c>
      <c r="W963" s="4">
        <v>0</v>
      </c>
    </row>
    <row r="964" spans="1:23" ht="11.25" customHeight="1" x14ac:dyDescent="0.25">
      <c r="A964" s="4" t="s">
        <v>21</v>
      </c>
      <c r="B964" s="4" t="s">
        <v>41</v>
      </c>
      <c r="C964" s="4" t="s">
        <v>42</v>
      </c>
      <c r="D964" s="4" t="s">
        <v>38</v>
      </c>
      <c r="E964" s="4" t="s">
        <v>25</v>
      </c>
      <c r="F964" s="4" t="s">
        <v>61</v>
      </c>
      <c r="G964" s="4" t="s">
        <v>25</v>
      </c>
      <c r="H964" s="4" t="s">
        <v>34</v>
      </c>
      <c r="I964" s="5">
        <v>44713</v>
      </c>
      <c r="J964" s="6">
        <v>0</v>
      </c>
      <c r="K964" s="6">
        <v>0</v>
      </c>
      <c r="L964" s="6">
        <v>986.846</v>
      </c>
      <c r="M964" s="6">
        <v>424.34377999999998</v>
      </c>
      <c r="N964" s="6">
        <v>0</v>
      </c>
      <c r="O964" s="6">
        <v>0</v>
      </c>
      <c r="P964" s="6">
        <v>0</v>
      </c>
      <c r="Q964" s="4" t="s">
        <v>58</v>
      </c>
      <c r="R964" s="4">
        <v>0</v>
      </c>
      <c r="S964" s="4" t="s">
        <v>358</v>
      </c>
      <c r="U964" s="4">
        <v>0</v>
      </c>
      <c r="V964" s="4">
        <v>42</v>
      </c>
      <c r="W964" s="4">
        <v>0</v>
      </c>
    </row>
    <row r="965" spans="1:23" ht="11.25" customHeight="1" x14ac:dyDescent="0.25">
      <c r="A965" s="4" t="s">
        <v>57</v>
      </c>
      <c r="B965" s="4" t="s">
        <v>41</v>
      </c>
      <c r="C965" s="4" t="s">
        <v>42</v>
      </c>
      <c r="D965" s="4" t="s">
        <v>38</v>
      </c>
      <c r="E965" s="4" t="s">
        <v>25</v>
      </c>
      <c r="F965" s="4" t="s">
        <v>61</v>
      </c>
      <c r="G965" s="4" t="s">
        <v>25</v>
      </c>
      <c r="H965" s="4" t="s">
        <v>34</v>
      </c>
      <c r="I965" s="5">
        <v>44743</v>
      </c>
      <c r="J965" s="6">
        <v>0</v>
      </c>
      <c r="K965" s="6">
        <v>0</v>
      </c>
      <c r="L965" s="6">
        <v>986.846</v>
      </c>
      <c r="M965" s="6">
        <v>424.34377999999998</v>
      </c>
      <c r="N965" s="6">
        <v>0</v>
      </c>
      <c r="O965" s="6">
        <v>0</v>
      </c>
      <c r="P965" s="6">
        <v>0</v>
      </c>
      <c r="Q965" s="4" t="s">
        <v>58</v>
      </c>
      <c r="R965" s="4">
        <v>0</v>
      </c>
      <c r="S965" s="4" t="s">
        <v>359</v>
      </c>
      <c r="U965" s="4">
        <v>0</v>
      </c>
      <c r="V965" s="4">
        <v>42</v>
      </c>
      <c r="W965" s="4">
        <v>0</v>
      </c>
    </row>
    <row r="966" spans="1:23" ht="11.25" customHeight="1" x14ac:dyDescent="0.25">
      <c r="A966" s="4" t="s">
        <v>21</v>
      </c>
      <c r="B966" s="4" t="s">
        <v>41</v>
      </c>
      <c r="C966" s="4" t="s">
        <v>42</v>
      </c>
      <c r="D966" s="4" t="s">
        <v>38</v>
      </c>
      <c r="E966" s="4" t="s">
        <v>25</v>
      </c>
      <c r="F966" s="4" t="s">
        <v>25</v>
      </c>
      <c r="G966" s="4" t="s">
        <v>25</v>
      </c>
      <c r="H966" s="4" t="s">
        <v>35</v>
      </c>
      <c r="I966" s="5">
        <v>44409</v>
      </c>
      <c r="J966" s="6">
        <v>0</v>
      </c>
      <c r="K966" s="6">
        <v>0</v>
      </c>
      <c r="L966" s="6">
        <v>8562.3870000000006</v>
      </c>
      <c r="M966" s="6">
        <v>8562.3870000000006</v>
      </c>
      <c r="N966" s="6">
        <v>8562.3870000000006</v>
      </c>
      <c r="O966" s="6">
        <v>8562.3870000000006</v>
      </c>
      <c r="P966" s="6">
        <v>0</v>
      </c>
      <c r="Q966" s="4" t="s">
        <v>26</v>
      </c>
      <c r="R966" s="4">
        <v>0</v>
      </c>
      <c r="S966" s="4" t="s">
        <v>324</v>
      </c>
      <c r="T966" s="4" t="s">
        <v>601</v>
      </c>
      <c r="U966" s="4">
        <v>0</v>
      </c>
      <c r="V966" s="4">
        <v>44</v>
      </c>
      <c r="W966" s="4">
        <v>67</v>
      </c>
    </row>
    <row r="967" spans="1:23" ht="11.25" customHeight="1" x14ac:dyDescent="0.25">
      <c r="A967" s="4" t="s">
        <v>27</v>
      </c>
      <c r="B967" s="4" t="s">
        <v>41</v>
      </c>
      <c r="C967" s="4" t="s">
        <v>42</v>
      </c>
      <c r="D967" s="4" t="s">
        <v>38</v>
      </c>
      <c r="E967" s="4" t="s">
        <v>25</v>
      </c>
      <c r="F967" s="4" t="s">
        <v>25</v>
      </c>
      <c r="G967" s="4" t="s">
        <v>25</v>
      </c>
      <c r="H967" s="4" t="s">
        <v>35</v>
      </c>
      <c r="I967" s="5">
        <v>44409</v>
      </c>
      <c r="J967" s="6">
        <v>0</v>
      </c>
      <c r="K967" s="6">
        <v>0</v>
      </c>
      <c r="L967" s="6">
        <v>-3.2759999999999998</v>
      </c>
      <c r="M967" s="6">
        <v>-3.2759999999999998</v>
      </c>
      <c r="N967" s="6">
        <v>-3.2759999999999998</v>
      </c>
      <c r="O967" s="6">
        <v>-3.2759999999999998</v>
      </c>
      <c r="P967" s="6">
        <v>0</v>
      </c>
      <c r="Q967" s="4" t="s">
        <v>26</v>
      </c>
      <c r="R967" s="4">
        <v>0</v>
      </c>
      <c r="S967" s="4" t="s">
        <v>324</v>
      </c>
      <c r="T967" s="4" t="s">
        <v>601</v>
      </c>
      <c r="U967" s="4">
        <v>0</v>
      </c>
      <c r="V967" s="4">
        <v>44</v>
      </c>
      <c r="W967" s="4">
        <v>67</v>
      </c>
    </row>
    <row r="968" spans="1:23" ht="11.25" customHeight="1" x14ac:dyDescent="0.25">
      <c r="A968" s="4" t="s">
        <v>28</v>
      </c>
      <c r="B968" s="4" t="s">
        <v>41</v>
      </c>
      <c r="C968" s="4" t="s">
        <v>42</v>
      </c>
      <c r="D968" s="4" t="s">
        <v>38</v>
      </c>
      <c r="E968" s="4" t="s">
        <v>25</v>
      </c>
      <c r="F968" s="4" t="s">
        <v>25</v>
      </c>
      <c r="G968" s="4" t="s">
        <v>25</v>
      </c>
      <c r="H968" s="4" t="s">
        <v>35</v>
      </c>
      <c r="I968" s="5">
        <v>44409</v>
      </c>
      <c r="J968" s="6">
        <v>0</v>
      </c>
      <c r="K968" s="6">
        <v>0</v>
      </c>
      <c r="L968" s="6">
        <v>488.25599999999997</v>
      </c>
      <c r="M968" s="6">
        <v>488.25599999999997</v>
      </c>
      <c r="N968" s="6">
        <v>488.25599999999997</v>
      </c>
      <c r="O968" s="6">
        <v>488.25599999999997</v>
      </c>
      <c r="P968" s="6">
        <v>0</v>
      </c>
      <c r="Q968" s="4" t="s">
        <v>26</v>
      </c>
      <c r="R968" s="4">
        <v>0</v>
      </c>
      <c r="S968" s="4" t="s">
        <v>324</v>
      </c>
      <c r="T968" s="4" t="s">
        <v>601</v>
      </c>
      <c r="U968" s="4">
        <v>0</v>
      </c>
      <c r="V968" s="4">
        <v>44</v>
      </c>
      <c r="W968" s="4">
        <v>67</v>
      </c>
    </row>
    <row r="969" spans="1:23" ht="11.25" customHeight="1" x14ac:dyDescent="0.25">
      <c r="A969" s="4" t="s">
        <v>21</v>
      </c>
      <c r="B969" s="4" t="s">
        <v>41</v>
      </c>
      <c r="C969" s="4" t="s">
        <v>42</v>
      </c>
      <c r="D969" s="4" t="s">
        <v>38</v>
      </c>
      <c r="E969" s="4" t="s">
        <v>25</v>
      </c>
      <c r="F969" s="4" t="s">
        <v>25</v>
      </c>
      <c r="G969" s="4" t="s">
        <v>25</v>
      </c>
      <c r="H969" s="4" t="s">
        <v>35</v>
      </c>
      <c r="I969" s="5">
        <v>44409</v>
      </c>
      <c r="J969" s="6">
        <v>0</v>
      </c>
      <c r="K969" s="6">
        <v>0</v>
      </c>
      <c r="L969" s="6">
        <v>634.74599999999998</v>
      </c>
      <c r="M969" s="6">
        <v>634.74599999999998</v>
      </c>
      <c r="N969" s="6">
        <v>0</v>
      </c>
      <c r="O969" s="6">
        <v>0</v>
      </c>
      <c r="P969" s="6">
        <v>0</v>
      </c>
      <c r="Q969" s="4" t="s">
        <v>58</v>
      </c>
      <c r="R969" s="4">
        <v>0</v>
      </c>
      <c r="S969" s="4" t="s">
        <v>324</v>
      </c>
      <c r="U969" s="4">
        <v>0</v>
      </c>
      <c r="V969" s="4">
        <v>44</v>
      </c>
      <c r="W969" s="4">
        <v>0</v>
      </c>
    </row>
    <row r="970" spans="1:23" ht="11.25" customHeight="1" x14ac:dyDescent="0.25">
      <c r="A970" s="4" t="s">
        <v>21</v>
      </c>
      <c r="B970" s="4" t="s">
        <v>41</v>
      </c>
      <c r="C970" s="4" t="s">
        <v>42</v>
      </c>
      <c r="D970" s="4" t="s">
        <v>38</v>
      </c>
      <c r="E970" s="4" t="s">
        <v>25</v>
      </c>
      <c r="F970" s="4" t="s">
        <v>25</v>
      </c>
      <c r="G970" s="4" t="s">
        <v>25</v>
      </c>
      <c r="H970" s="4" t="s">
        <v>35</v>
      </c>
      <c r="I970" s="5">
        <v>44440</v>
      </c>
      <c r="J970" s="6">
        <v>0</v>
      </c>
      <c r="K970" s="6">
        <v>0</v>
      </c>
      <c r="L970" s="6">
        <v>8507.3719999999994</v>
      </c>
      <c r="M970" s="6">
        <v>8507.3719999999994</v>
      </c>
      <c r="N970" s="6">
        <v>8507.3719999999994</v>
      </c>
      <c r="O970" s="6">
        <v>8507.3719999999994</v>
      </c>
      <c r="P970" s="6">
        <v>0</v>
      </c>
      <c r="Q970" s="4" t="s">
        <v>26</v>
      </c>
      <c r="R970" s="4">
        <v>0</v>
      </c>
      <c r="S970" s="4" t="s">
        <v>325</v>
      </c>
      <c r="T970" s="4" t="s">
        <v>602</v>
      </c>
      <c r="U970" s="4">
        <v>0</v>
      </c>
      <c r="V970" s="4">
        <v>44</v>
      </c>
      <c r="W970" s="4">
        <v>67</v>
      </c>
    </row>
    <row r="971" spans="1:23" ht="11.25" customHeight="1" x14ac:dyDescent="0.25">
      <c r="A971" s="4" t="s">
        <v>28</v>
      </c>
      <c r="B971" s="4" t="s">
        <v>41</v>
      </c>
      <c r="C971" s="4" t="s">
        <v>42</v>
      </c>
      <c r="D971" s="4" t="s">
        <v>38</v>
      </c>
      <c r="E971" s="4" t="s">
        <v>25</v>
      </c>
      <c r="F971" s="4" t="s">
        <v>25</v>
      </c>
      <c r="G971" s="4" t="s">
        <v>25</v>
      </c>
      <c r="H971" s="4" t="s">
        <v>35</v>
      </c>
      <c r="I971" s="5">
        <v>44440</v>
      </c>
      <c r="J971" s="6">
        <v>0</v>
      </c>
      <c r="K971" s="6">
        <v>0</v>
      </c>
      <c r="L971" s="6">
        <v>452.24900000000002</v>
      </c>
      <c r="M971" s="6">
        <v>452.24900000000002</v>
      </c>
      <c r="N971" s="6">
        <v>452.24900000000002</v>
      </c>
      <c r="O971" s="6">
        <v>452.24900000000002</v>
      </c>
      <c r="P971" s="6">
        <v>0</v>
      </c>
      <c r="Q971" s="4" t="s">
        <v>26</v>
      </c>
      <c r="R971" s="4">
        <v>0</v>
      </c>
      <c r="S971" s="4" t="s">
        <v>325</v>
      </c>
      <c r="T971" s="4" t="s">
        <v>602</v>
      </c>
      <c r="U971" s="4">
        <v>0</v>
      </c>
      <c r="V971" s="4">
        <v>44</v>
      </c>
      <c r="W971" s="4">
        <v>67</v>
      </c>
    </row>
    <row r="972" spans="1:23" ht="11.25" customHeight="1" x14ac:dyDescent="0.25">
      <c r="A972" s="4" t="s">
        <v>21</v>
      </c>
      <c r="B972" s="4" t="s">
        <v>41</v>
      </c>
      <c r="C972" s="4" t="s">
        <v>42</v>
      </c>
      <c r="D972" s="4" t="s">
        <v>38</v>
      </c>
      <c r="E972" s="4" t="s">
        <v>25</v>
      </c>
      <c r="F972" s="4" t="s">
        <v>25</v>
      </c>
      <c r="G972" s="4" t="s">
        <v>25</v>
      </c>
      <c r="H972" s="4" t="s">
        <v>35</v>
      </c>
      <c r="I972" s="5">
        <v>44440</v>
      </c>
      <c r="J972" s="6">
        <v>0</v>
      </c>
      <c r="K972" s="6">
        <v>0</v>
      </c>
      <c r="L972" s="6">
        <v>635.75400000000002</v>
      </c>
      <c r="M972" s="6">
        <v>635.75400000000002</v>
      </c>
      <c r="N972" s="6">
        <v>0</v>
      </c>
      <c r="O972" s="6">
        <v>0</v>
      </c>
      <c r="P972" s="6">
        <v>0</v>
      </c>
      <c r="Q972" s="4" t="s">
        <v>58</v>
      </c>
      <c r="R972" s="4">
        <v>0</v>
      </c>
      <c r="S972" s="4" t="s">
        <v>325</v>
      </c>
      <c r="U972" s="4">
        <v>0</v>
      </c>
      <c r="V972" s="4">
        <v>44</v>
      </c>
      <c r="W972" s="4">
        <v>0</v>
      </c>
    </row>
    <row r="973" spans="1:23" ht="11.25" customHeight="1" x14ac:dyDescent="0.25">
      <c r="A973" s="4" t="s">
        <v>21</v>
      </c>
      <c r="B973" s="4" t="s">
        <v>41</v>
      </c>
      <c r="C973" s="4" t="s">
        <v>42</v>
      </c>
      <c r="D973" s="4" t="s">
        <v>38</v>
      </c>
      <c r="E973" s="4" t="s">
        <v>25</v>
      </c>
      <c r="F973" s="4" t="s">
        <v>25</v>
      </c>
      <c r="G973" s="4" t="s">
        <v>25</v>
      </c>
      <c r="H973" s="4" t="s">
        <v>35</v>
      </c>
      <c r="I973" s="5">
        <v>44470</v>
      </c>
      <c r="J973" s="6">
        <v>0</v>
      </c>
      <c r="K973" s="6">
        <v>0</v>
      </c>
      <c r="L973" s="6">
        <v>8686.9719999999998</v>
      </c>
      <c r="M973" s="6">
        <v>8686.9719999999998</v>
      </c>
      <c r="N973" s="6">
        <v>8686.9719999999998</v>
      </c>
      <c r="O973" s="6">
        <v>8686.9719999999998</v>
      </c>
      <c r="P973" s="6">
        <v>0</v>
      </c>
      <c r="Q973" s="4" t="s">
        <v>26</v>
      </c>
      <c r="R973" s="4">
        <v>0</v>
      </c>
      <c r="S973" s="4" t="s">
        <v>326</v>
      </c>
      <c r="T973" s="4" t="s">
        <v>603</v>
      </c>
      <c r="U973" s="4">
        <v>0</v>
      </c>
      <c r="V973" s="4">
        <v>44</v>
      </c>
      <c r="W973" s="4">
        <v>67</v>
      </c>
    </row>
    <row r="974" spans="1:23" ht="11.25" customHeight="1" x14ac:dyDescent="0.25">
      <c r="A974" s="4" t="s">
        <v>28</v>
      </c>
      <c r="B974" s="4" t="s">
        <v>41</v>
      </c>
      <c r="C974" s="4" t="s">
        <v>42</v>
      </c>
      <c r="D974" s="4" t="s">
        <v>38</v>
      </c>
      <c r="E974" s="4" t="s">
        <v>25</v>
      </c>
      <c r="F974" s="4" t="s">
        <v>25</v>
      </c>
      <c r="G974" s="4" t="s">
        <v>25</v>
      </c>
      <c r="H974" s="4" t="s">
        <v>35</v>
      </c>
      <c r="I974" s="5">
        <v>44470</v>
      </c>
      <c r="J974" s="6">
        <v>0</v>
      </c>
      <c r="K974" s="6">
        <v>0</v>
      </c>
      <c r="L974" s="6">
        <v>495.75900000000001</v>
      </c>
      <c r="M974" s="6">
        <v>495.75900000000001</v>
      </c>
      <c r="N974" s="6">
        <v>495.75900000000001</v>
      </c>
      <c r="O974" s="6">
        <v>495.75900000000001</v>
      </c>
      <c r="P974" s="6">
        <v>0</v>
      </c>
      <c r="Q974" s="4" t="s">
        <v>26</v>
      </c>
      <c r="R974" s="4">
        <v>0</v>
      </c>
      <c r="S974" s="4" t="s">
        <v>326</v>
      </c>
      <c r="T974" s="4" t="s">
        <v>603</v>
      </c>
      <c r="U974" s="4">
        <v>0</v>
      </c>
      <c r="V974" s="4">
        <v>44</v>
      </c>
      <c r="W974" s="4">
        <v>67</v>
      </c>
    </row>
    <row r="975" spans="1:23" ht="11.25" customHeight="1" x14ac:dyDescent="0.25">
      <c r="A975" s="4" t="s">
        <v>28</v>
      </c>
      <c r="B975" s="4" t="s">
        <v>41</v>
      </c>
      <c r="C975" s="4" t="s">
        <v>42</v>
      </c>
      <c r="D975" s="4" t="s">
        <v>38</v>
      </c>
      <c r="E975" s="4" t="s">
        <v>25</v>
      </c>
      <c r="F975" s="4" t="s">
        <v>25</v>
      </c>
      <c r="G975" s="4" t="s">
        <v>25</v>
      </c>
      <c r="H975" s="4" t="s">
        <v>35</v>
      </c>
      <c r="I975" s="5">
        <v>44470</v>
      </c>
      <c r="J975" s="6">
        <v>0</v>
      </c>
      <c r="K975" s="6">
        <v>0</v>
      </c>
      <c r="L975" s="6">
        <v>-3.7570000000000001</v>
      </c>
      <c r="M975" s="6">
        <v>-3.7570000000000001</v>
      </c>
      <c r="N975" s="6">
        <v>-3.7570000000000001</v>
      </c>
      <c r="O975" s="6">
        <v>-3.7570000000000001</v>
      </c>
      <c r="P975" s="6">
        <v>0</v>
      </c>
      <c r="Q975" s="4" t="s">
        <v>26</v>
      </c>
      <c r="R975" s="4">
        <v>0</v>
      </c>
      <c r="S975" s="4" t="s">
        <v>326</v>
      </c>
      <c r="T975" s="4" t="s">
        <v>603</v>
      </c>
      <c r="U975" s="4">
        <v>0</v>
      </c>
      <c r="V975" s="4">
        <v>44</v>
      </c>
      <c r="W975" s="4">
        <v>67</v>
      </c>
    </row>
    <row r="976" spans="1:23" ht="11.25" customHeight="1" x14ac:dyDescent="0.25">
      <c r="A976" s="4" t="s">
        <v>21</v>
      </c>
      <c r="B976" s="4" t="s">
        <v>41</v>
      </c>
      <c r="C976" s="4" t="s">
        <v>42</v>
      </c>
      <c r="D976" s="4" t="s">
        <v>38</v>
      </c>
      <c r="E976" s="4" t="s">
        <v>25</v>
      </c>
      <c r="F976" s="4" t="s">
        <v>25</v>
      </c>
      <c r="G976" s="4" t="s">
        <v>25</v>
      </c>
      <c r="H976" s="4" t="s">
        <v>35</v>
      </c>
      <c r="I976" s="5">
        <v>44470</v>
      </c>
      <c r="J976" s="6">
        <v>0</v>
      </c>
      <c r="K976" s="6">
        <v>0</v>
      </c>
      <c r="L976" s="6">
        <v>749.30499999999995</v>
      </c>
      <c r="M976" s="6">
        <v>749.30499999999995</v>
      </c>
      <c r="N976" s="6">
        <v>0</v>
      </c>
      <c r="O976" s="6">
        <v>0</v>
      </c>
      <c r="P976" s="6">
        <v>0</v>
      </c>
      <c r="Q976" s="4" t="s">
        <v>58</v>
      </c>
      <c r="R976" s="4">
        <v>0</v>
      </c>
      <c r="S976" s="4" t="s">
        <v>326</v>
      </c>
      <c r="U976" s="4">
        <v>0</v>
      </c>
      <c r="V976" s="4">
        <v>44</v>
      </c>
      <c r="W976" s="4">
        <v>0</v>
      </c>
    </row>
    <row r="977" spans="1:23" ht="11.25" customHeight="1" x14ac:dyDescent="0.25">
      <c r="A977" s="4" t="s">
        <v>21</v>
      </c>
      <c r="B977" s="4" t="s">
        <v>41</v>
      </c>
      <c r="C977" s="4" t="s">
        <v>42</v>
      </c>
      <c r="D977" s="4" t="s">
        <v>38</v>
      </c>
      <c r="E977" s="4" t="s">
        <v>25</v>
      </c>
      <c r="F977" s="4" t="s">
        <v>25</v>
      </c>
      <c r="G977" s="4" t="s">
        <v>25</v>
      </c>
      <c r="H977" s="4" t="s">
        <v>35</v>
      </c>
      <c r="I977" s="5">
        <v>44501</v>
      </c>
      <c r="J977" s="6">
        <v>0</v>
      </c>
      <c r="K977" s="6">
        <v>0</v>
      </c>
      <c r="L977" s="6">
        <v>8424.3109999999997</v>
      </c>
      <c r="M977" s="6">
        <v>8424.3109999999997</v>
      </c>
      <c r="N977" s="6">
        <v>8424.3109999999997</v>
      </c>
      <c r="O977" s="6">
        <v>8424.3109999999997</v>
      </c>
      <c r="P977" s="6">
        <v>0</v>
      </c>
      <c r="Q977" s="4" t="s">
        <v>26</v>
      </c>
      <c r="R977" s="4">
        <v>0</v>
      </c>
      <c r="S977" s="4" t="s">
        <v>327</v>
      </c>
      <c r="T977" s="4" t="s">
        <v>604</v>
      </c>
      <c r="U977" s="4">
        <v>0</v>
      </c>
      <c r="V977" s="4">
        <v>44</v>
      </c>
      <c r="W977" s="4">
        <v>67</v>
      </c>
    </row>
    <row r="978" spans="1:23" ht="11.25" customHeight="1" x14ac:dyDescent="0.25">
      <c r="A978" s="4" t="s">
        <v>27</v>
      </c>
      <c r="B978" s="4" t="s">
        <v>41</v>
      </c>
      <c r="C978" s="4" t="s">
        <v>42</v>
      </c>
      <c r="D978" s="4" t="s">
        <v>38</v>
      </c>
      <c r="E978" s="4" t="s">
        <v>25</v>
      </c>
      <c r="F978" s="4" t="s">
        <v>25</v>
      </c>
      <c r="G978" s="4" t="s">
        <v>25</v>
      </c>
      <c r="H978" s="4" t="s">
        <v>35</v>
      </c>
      <c r="I978" s="5">
        <v>44501</v>
      </c>
      <c r="J978" s="6">
        <v>0</v>
      </c>
      <c r="K978" s="6">
        <v>0</v>
      </c>
      <c r="L978" s="6">
        <v>-4.5609999999999999</v>
      </c>
      <c r="M978" s="6">
        <v>-4.5609999999999999</v>
      </c>
      <c r="N978" s="6">
        <v>-4.5609999999999999</v>
      </c>
      <c r="O978" s="6">
        <v>-4.5609999999999999</v>
      </c>
      <c r="P978" s="6">
        <v>0</v>
      </c>
      <c r="Q978" s="4" t="s">
        <v>26</v>
      </c>
      <c r="R978" s="4">
        <v>0</v>
      </c>
      <c r="S978" s="4" t="s">
        <v>327</v>
      </c>
      <c r="T978" s="4" t="s">
        <v>604</v>
      </c>
      <c r="U978" s="4">
        <v>0</v>
      </c>
      <c r="V978" s="4">
        <v>44</v>
      </c>
      <c r="W978" s="4">
        <v>67</v>
      </c>
    </row>
    <row r="979" spans="1:23" ht="11.25" customHeight="1" x14ac:dyDescent="0.25">
      <c r="A979" s="4" t="s">
        <v>28</v>
      </c>
      <c r="B979" s="4" t="s">
        <v>41</v>
      </c>
      <c r="C979" s="4" t="s">
        <v>42</v>
      </c>
      <c r="D979" s="4" t="s">
        <v>38</v>
      </c>
      <c r="E979" s="4" t="s">
        <v>25</v>
      </c>
      <c r="F979" s="4" t="s">
        <v>25</v>
      </c>
      <c r="G979" s="4" t="s">
        <v>25</v>
      </c>
      <c r="H979" s="4" t="s">
        <v>35</v>
      </c>
      <c r="I979" s="5">
        <v>44501</v>
      </c>
      <c r="J979" s="6">
        <v>0</v>
      </c>
      <c r="K979" s="6">
        <v>0</v>
      </c>
      <c r="L979" s="6">
        <v>417.06799999999998</v>
      </c>
      <c r="M979" s="6">
        <v>417.06799999999998</v>
      </c>
      <c r="N979" s="6">
        <v>417.06799999999998</v>
      </c>
      <c r="O979" s="6">
        <v>417.06799999999998</v>
      </c>
      <c r="P979" s="6">
        <v>0</v>
      </c>
      <c r="Q979" s="4" t="s">
        <v>26</v>
      </c>
      <c r="R979" s="4">
        <v>0</v>
      </c>
      <c r="S979" s="4" t="s">
        <v>327</v>
      </c>
      <c r="T979" s="4" t="s">
        <v>604</v>
      </c>
      <c r="U979" s="4">
        <v>0</v>
      </c>
      <c r="V979" s="4">
        <v>44</v>
      </c>
      <c r="W979" s="4">
        <v>67</v>
      </c>
    </row>
    <row r="980" spans="1:23" ht="11.25" customHeight="1" x14ac:dyDescent="0.25">
      <c r="A980" s="4" t="s">
        <v>21</v>
      </c>
      <c r="B980" s="4" t="s">
        <v>41</v>
      </c>
      <c r="C980" s="4" t="s">
        <v>42</v>
      </c>
      <c r="D980" s="4" t="s">
        <v>38</v>
      </c>
      <c r="E980" s="4" t="s">
        <v>25</v>
      </c>
      <c r="F980" s="4" t="s">
        <v>25</v>
      </c>
      <c r="G980" s="4" t="s">
        <v>25</v>
      </c>
      <c r="H980" s="4" t="s">
        <v>35</v>
      </c>
      <c r="I980" s="5">
        <v>44501</v>
      </c>
      <c r="J980" s="6">
        <v>0</v>
      </c>
      <c r="K980" s="6">
        <v>0</v>
      </c>
      <c r="L980" s="6">
        <v>876.89200000000005</v>
      </c>
      <c r="M980" s="6">
        <v>876.89200000000005</v>
      </c>
      <c r="N980" s="6">
        <v>0</v>
      </c>
      <c r="O980" s="6">
        <v>0</v>
      </c>
      <c r="P980" s="6">
        <v>0</v>
      </c>
      <c r="Q980" s="4" t="s">
        <v>58</v>
      </c>
      <c r="R980" s="4">
        <v>0</v>
      </c>
      <c r="S980" s="4" t="s">
        <v>327</v>
      </c>
      <c r="U980" s="4">
        <v>0</v>
      </c>
      <c r="V980" s="4">
        <v>44</v>
      </c>
      <c r="W980" s="4">
        <v>0</v>
      </c>
    </row>
    <row r="981" spans="1:23" ht="11.25" customHeight="1" x14ac:dyDescent="0.25">
      <c r="A981" s="4" t="s">
        <v>21</v>
      </c>
      <c r="B981" s="4" t="s">
        <v>41</v>
      </c>
      <c r="C981" s="4" t="s">
        <v>42</v>
      </c>
      <c r="D981" s="4" t="s">
        <v>38</v>
      </c>
      <c r="E981" s="4" t="s">
        <v>25</v>
      </c>
      <c r="F981" s="4" t="s">
        <v>25</v>
      </c>
      <c r="G981" s="4" t="s">
        <v>25</v>
      </c>
      <c r="H981" s="4" t="s">
        <v>35</v>
      </c>
      <c r="I981" s="5">
        <v>44531</v>
      </c>
      <c r="J981" s="6">
        <v>0</v>
      </c>
      <c r="K981" s="6">
        <v>0</v>
      </c>
      <c r="L981" s="6">
        <v>8072.3270000000002</v>
      </c>
      <c r="M981" s="6">
        <v>8072.3270000000002</v>
      </c>
      <c r="N981" s="6">
        <v>8072.3270000000002</v>
      </c>
      <c r="O981" s="6">
        <v>8072.3270000000002</v>
      </c>
      <c r="P981" s="6">
        <v>0</v>
      </c>
      <c r="Q981" s="4" t="s">
        <v>26</v>
      </c>
      <c r="R981" s="4">
        <v>0</v>
      </c>
      <c r="S981" s="4" t="s">
        <v>328</v>
      </c>
      <c r="T981" s="4" t="s">
        <v>605</v>
      </c>
      <c r="U981" s="4">
        <v>0</v>
      </c>
      <c r="V981" s="4">
        <v>44</v>
      </c>
      <c r="W981" s="4">
        <v>67</v>
      </c>
    </row>
    <row r="982" spans="1:23" ht="11.25" customHeight="1" x14ac:dyDescent="0.25">
      <c r="A982" s="4" t="s">
        <v>27</v>
      </c>
      <c r="B982" s="4" t="s">
        <v>41</v>
      </c>
      <c r="C982" s="4" t="s">
        <v>42</v>
      </c>
      <c r="D982" s="4" t="s">
        <v>38</v>
      </c>
      <c r="E982" s="4" t="s">
        <v>25</v>
      </c>
      <c r="F982" s="4" t="s">
        <v>25</v>
      </c>
      <c r="G982" s="4" t="s">
        <v>25</v>
      </c>
      <c r="H982" s="4" t="s">
        <v>35</v>
      </c>
      <c r="I982" s="5">
        <v>44531</v>
      </c>
      <c r="J982" s="6">
        <v>0</v>
      </c>
      <c r="K982" s="6">
        <v>0</v>
      </c>
      <c r="L982" s="6">
        <v>-34.872</v>
      </c>
      <c r="M982" s="6">
        <v>-34.872</v>
      </c>
      <c r="N982" s="6">
        <v>-34.872</v>
      </c>
      <c r="O982" s="6">
        <v>-34.872</v>
      </c>
      <c r="P982" s="6">
        <v>0</v>
      </c>
      <c r="Q982" s="4" t="s">
        <v>26</v>
      </c>
      <c r="R982" s="4">
        <v>0</v>
      </c>
      <c r="S982" s="4" t="s">
        <v>328</v>
      </c>
      <c r="T982" s="4" t="s">
        <v>605</v>
      </c>
      <c r="U982" s="4">
        <v>0</v>
      </c>
      <c r="V982" s="4">
        <v>44</v>
      </c>
      <c r="W982" s="4">
        <v>67</v>
      </c>
    </row>
    <row r="983" spans="1:23" ht="11.25" customHeight="1" x14ac:dyDescent="0.25">
      <c r="A983" s="4" t="s">
        <v>28</v>
      </c>
      <c r="B983" s="4" t="s">
        <v>41</v>
      </c>
      <c r="C983" s="4" t="s">
        <v>42</v>
      </c>
      <c r="D983" s="4" t="s">
        <v>38</v>
      </c>
      <c r="E983" s="4" t="s">
        <v>25</v>
      </c>
      <c r="F983" s="4" t="s">
        <v>25</v>
      </c>
      <c r="G983" s="4" t="s">
        <v>25</v>
      </c>
      <c r="H983" s="4" t="s">
        <v>35</v>
      </c>
      <c r="I983" s="5">
        <v>44531</v>
      </c>
      <c r="J983" s="6">
        <v>0</v>
      </c>
      <c r="K983" s="6">
        <v>0</v>
      </c>
      <c r="L983" s="6">
        <v>541.48699999999997</v>
      </c>
      <c r="M983" s="6">
        <v>541.48699999999997</v>
      </c>
      <c r="N983" s="6">
        <v>541.48699999999997</v>
      </c>
      <c r="O983" s="6">
        <v>541.48699999999997</v>
      </c>
      <c r="P983" s="6">
        <v>0</v>
      </c>
      <c r="Q983" s="4" t="s">
        <v>26</v>
      </c>
      <c r="R983" s="4">
        <v>0</v>
      </c>
      <c r="S983" s="4" t="s">
        <v>328</v>
      </c>
      <c r="T983" s="4" t="s">
        <v>605</v>
      </c>
      <c r="U983" s="4">
        <v>0</v>
      </c>
      <c r="V983" s="4">
        <v>44</v>
      </c>
      <c r="W983" s="4">
        <v>67</v>
      </c>
    </row>
    <row r="984" spans="1:23" ht="11.25" customHeight="1" x14ac:dyDescent="0.25">
      <c r="A984" s="4" t="s">
        <v>21</v>
      </c>
      <c r="B984" s="4" t="s">
        <v>41</v>
      </c>
      <c r="C984" s="4" t="s">
        <v>42</v>
      </c>
      <c r="D984" s="4" t="s">
        <v>38</v>
      </c>
      <c r="E984" s="4" t="s">
        <v>25</v>
      </c>
      <c r="F984" s="4" t="s">
        <v>25</v>
      </c>
      <c r="G984" s="4" t="s">
        <v>25</v>
      </c>
      <c r="H984" s="4" t="s">
        <v>35</v>
      </c>
      <c r="I984" s="5">
        <v>44531</v>
      </c>
      <c r="J984" s="6">
        <v>0</v>
      </c>
      <c r="K984" s="6">
        <v>0</v>
      </c>
      <c r="L984" s="6">
        <v>864.14300000000003</v>
      </c>
      <c r="M984" s="6">
        <v>864.14300000000003</v>
      </c>
      <c r="N984" s="6">
        <v>0</v>
      </c>
      <c r="O984" s="6">
        <v>0</v>
      </c>
      <c r="P984" s="6">
        <v>0</v>
      </c>
      <c r="Q984" s="4" t="s">
        <v>58</v>
      </c>
      <c r="R984" s="4">
        <v>0</v>
      </c>
      <c r="S984" s="4" t="s">
        <v>328</v>
      </c>
      <c r="U984" s="4">
        <v>0</v>
      </c>
      <c r="V984" s="4">
        <v>44</v>
      </c>
      <c r="W984" s="4">
        <v>0</v>
      </c>
    </row>
    <row r="985" spans="1:23" ht="11.25" customHeight="1" x14ac:dyDescent="0.25">
      <c r="A985" s="4" t="s">
        <v>21</v>
      </c>
      <c r="B985" s="4" t="s">
        <v>41</v>
      </c>
      <c r="C985" s="4" t="s">
        <v>42</v>
      </c>
      <c r="D985" s="4" t="s">
        <v>38</v>
      </c>
      <c r="E985" s="4" t="s">
        <v>25</v>
      </c>
      <c r="F985" s="4" t="s">
        <v>25</v>
      </c>
      <c r="G985" s="4" t="s">
        <v>25</v>
      </c>
      <c r="H985" s="4" t="s">
        <v>35</v>
      </c>
      <c r="I985" s="5">
        <v>44562</v>
      </c>
      <c r="J985" s="6">
        <v>0</v>
      </c>
      <c r="K985" s="6">
        <v>0</v>
      </c>
      <c r="L985" s="6">
        <v>8366.7129999999997</v>
      </c>
      <c r="M985" s="6">
        <v>8366.7129999999997</v>
      </c>
      <c r="N985" s="6">
        <v>8366.7129999999997</v>
      </c>
      <c r="O985" s="6">
        <v>8366.7129999999997</v>
      </c>
      <c r="P985" s="6">
        <v>0</v>
      </c>
      <c r="Q985" s="4" t="s">
        <v>26</v>
      </c>
      <c r="R985" s="4">
        <v>0</v>
      </c>
      <c r="S985" s="4" t="s">
        <v>329</v>
      </c>
      <c r="T985" s="4" t="s">
        <v>606</v>
      </c>
      <c r="U985" s="4">
        <v>0</v>
      </c>
      <c r="V985" s="4">
        <v>44</v>
      </c>
      <c r="W985" s="4">
        <v>67</v>
      </c>
    </row>
    <row r="986" spans="1:23" ht="11.25" customHeight="1" x14ac:dyDescent="0.25">
      <c r="A986" s="4" t="s">
        <v>27</v>
      </c>
      <c r="B986" s="4" t="s">
        <v>41</v>
      </c>
      <c r="C986" s="4" t="s">
        <v>42</v>
      </c>
      <c r="D986" s="4" t="s">
        <v>38</v>
      </c>
      <c r="E986" s="4" t="s">
        <v>25</v>
      </c>
      <c r="F986" s="4" t="s">
        <v>25</v>
      </c>
      <c r="G986" s="4" t="s">
        <v>25</v>
      </c>
      <c r="H986" s="4" t="s">
        <v>35</v>
      </c>
      <c r="I986" s="5">
        <v>44562</v>
      </c>
      <c r="J986" s="6">
        <v>0</v>
      </c>
      <c r="K986" s="6">
        <v>0</v>
      </c>
      <c r="L986" s="6">
        <v>2.52</v>
      </c>
      <c r="M986" s="6">
        <v>2.52</v>
      </c>
      <c r="N986" s="6">
        <v>2.52</v>
      </c>
      <c r="O986" s="6">
        <v>2.52</v>
      </c>
      <c r="P986" s="6">
        <v>0</v>
      </c>
      <c r="Q986" s="4" t="s">
        <v>26</v>
      </c>
      <c r="R986" s="4">
        <v>0</v>
      </c>
      <c r="S986" s="4" t="s">
        <v>329</v>
      </c>
      <c r="T986" s="4" t="s">
        <v>606</v>
      </c>
      <c r="U986" s="4">
        <v>0</v>
      </c>
      <c r="V986" s="4">
        <v>44</v>
      </c>
      <c r="W986" s="4">
        <v>67</v>
      </c>
    </row>
    <row r="987" spans="1:23" ht="11.25" customHeight="1" x14ac:dyDescent="0.25">
      <c r="A987" s="4" t="s">
        <v>28</v>
      </c>
      <c r="B987" s="4" t="s">
        <v>41</v>
      </c>
      <c r="C987" s="4" t="s">
        <v>42</v>
      </c>
      <c r="D987" s="4" t="s">
        <v>38</v>
      </c>
      <c r="E987" s="4" t="s">
        <v>25</v>
      </c>
      <c r="F987" s="4" t="s">
        <v>25</v>
      </c>
      <c r="G987" s="4" t="s">
        <v>25</v>
      </c>
      <c r="H987" s="4" t="s">
        <v>35</v>
      </c>
      <c r="I987" s="5">
        <v>44562</v>
      </c>
      <c r="J987" s="6">
        <v>0</v>
      </c>
      <c r="K987" s="6">
        <v>0</v>
      </c>
      <c r="L987" s="6">
        <v>439.35199999999998</v>
      </c>
      <c r="M987" s="6">
        <v>439.35199999999998</v>
      </c>
      <c r="N987" s="6">
        <v>439.35199999999998</v>
      </c>
      <c r="O987" s="6">
        <v>439.35199999999998</v>
      </c>
      <c r="P987" s="6">
        <v>0</v>
      </c>
      <c r="Q987" s="4" t="s">
        <v>26</v>
      </c>
      <c r="R987" s="4">
        <v>0</v>
      </c>
      <c r="S987" s="4" t="s">
        <v>329</v>
      </c>
      <c r="T987" s="4" t="s">
        <v>606</v>
      </c>
      <c r="U987" s="4">
        <v>0</v>
      </c>
      <c r="V987" s="4">
        <v>44</v>
      </c>
      <c r="W987" s="4">
        <v>67</v>
      </c>
    </row>
    <row r="988" spans="1:23" ht="11.25" customHeight="1" x14ac:dyDescent="0.25">
      <c r="A988" s="4" t="s">
        <v>28</v>
      </c>
      <c r="B988" s="4" t="s">
        <v>41</v>
      </c>
      <c r="C988" s="4" t="s">
        <v>42</v>
      </c>
      <c r="D988" s="4" t="s">
        <v>38</v>
      </c>
      <c r="E988" s="4" t="s">
        <v>25</v>
      </c>
      <c r="F988" s="4" t="s">
        <v>25</v>
      </c>
      <c r="G988" s="4" t="s">
        <v>25</v>
      </c>
      <c r="H988" s="4" t="s">
        <v>35</v>
      </c>
      <c r="I988" s="5">
        <v>44562</v>
      </c>
      <c r="J988" s="6">
        <v>0</v>
      </c>
      <c r="K988" s="6">
        <v>0</v>
      </c>
      <c r="L988" s="6">
        <v>6.3170000000000002</v>
      </c>
      <c r="M988" s="6">
        <v>6.3170000000000002</v>
      </c>
      <c r="N988" s="6">
        <v>6.3170000000000002</v>
      </c>
      <c r="O988" s="6">
        <v>6.3170000000000002</v>
      </c>
      <c r="P988" s="6">
        <v>0</v>
      </c>
      <c r="Q988" s="4" t="s">
        <v>26</v>
      </c>
      <c r="R988" s="4">
        <v>0</v>
      </c>
      <c r="S988" s="4" t="s">
        <v>329</v>
      </c>
      <c r="T988" s="4" t="s">
        <v>606</v>
      </c>
      <c r="U988" s="4">
        <v>0</v>
      </c>
      <c r="V988" s="4">
        <v>44</v>
      </c>
      <c r="W988" s="4">
        <v>67</v>
      </c>
    </row>
    <row r="989" spans="1:23" ht="11.25" customHeight="1" x14ac:dyDescent="0.25">
      <c r="A989" s="4" t="s">
        <v>21</v>
      </c>
      <c r="B989" s="4" t="s">
        <v>41</v>
      </c>
      <c r="C989" s="4" t="s">
        <v>42</v>
      </c>
      <c r="D989" s="4" t="s">
        <v>38</v>
      </c>
      <c r="E989" s="4" t="s">
        <v>25</v>
      </c>
      <c r="F989" s="4" t="s">
        <v>25</v>
      </c>
      <c r="G989" s="4" t="s">
        <v>25</v>
      </c>
      <c r="H989" s="4" t="s">
        <v>35</v>
      </c>
      <c r="I989" s="5">
        <v>44562</v>
      </c>
      <c r="J989" s="6">
        <v>0</v>
      </c>
      <c r="K989" s="6">
        <v>0</v>
      </c>
      <c r="L989" s="6">
        <v>911.78499999999997</v>
      </c>
      <c r="M989" s="6">
        <v>911.78499999999997</v>
      </c>
      <c r="N989" s="6">
        <v>0</v>
      </c>
      <c r="O989" s="6">
        <v>0</v>
      </c>
      <c r="P989" s="6">
        <v>0</v>
      </c>
      <c r="Q989" s="4" t="s">
        <v>58</v>
      </c>
      <c r="R989" s="4">
        <v>0</v>
      </c>
      <c r="S989" s="4" t="s">
        <v>329</v>
      </c>
      <c r="U989" s="4">
        <v>0</v>
      </c>
      <c r="V989" s="4">
        <v>44</v>
      </c>
      <c r="W989" s="4">
        <v>0</v>
      </c>
    </row>
    <row r="990" spans="1:23" ht="11.25" customHeight="1" x14ac:dyDescent="0.25">
      <c r="A990" s="4" t="s">
        <v>21</v>
      </c>
      <c r="B990" s="4" t="s">
        <v>41</v>
      </c>
      <c r="C990" s="4" t="s">
        <v>42</v>
      </c>
      <c r="D990" s="4" t="s">
        <v>38</v>
      </c>
      <c r="E990" s="4" t="s">
        <v>25</v>
      </c>
      <c r="F990" s="4" t="s">
        <v>25</v>
      </c>
      <c r="G990" s="4" t="s">
        <v>25</v>
      </c>
      <c r="H990" s="4" t="s">
        <v>35</v>
      </c>
      <c r="I990" s="5">
        <v>44593</v>
      </c>
      <c r="J990" s="6">
        <v>0</v>
      </c>
      <c r="K990" s="6">
        <v>0</v>
      </c>
      <c r="L990" s="6">
        <v>8080.3040000000001</v>
      </c>
      <c r="M990" s="6">
        <v>8080.3040000000001</v>
      </c>
      <c r="N990" s="6">
        <v>8080.3040000000001</v>
      </c>
      <c r="O990" s="6">
        <v>8080.3040000000001</v>
      </c>
      <c r="P990" s="6">
        <v>0</v>
      </c>
      <c r="Q990" s="4" t="s">
        <v>26</v>
      </c>
      <c r="R990" s="4">
        <v>0</v>
      </c>
      <c r="S990" s="4" t="s">
        <v>330</v>
      </c>
      <c r="T990" s="4" t="s">
        <v>607</v>
      </c>
      <c r="U990" s="4">
        <v>0</v>
      </c>
      <c r="V990" s="4">
        <v>44</v>
      </c>
      <c r="W990" s="4">
        <v>67</v>
      </c>
    </row>
    <row r="991" spans="1:23" ht="11.25" customHeight="1" x14ac:dyDescent="0.25">
      <c r="A991" s="4" t="s">
        <v>28</v>
      </c>
      <c r="B991" s="4" t="s">
        <v>41</v>
      </c>
      <c r="C991" s="4" t="s">
        <v>42</v>
      </c>
      <c r="D991" s="4" t="s">
        <v>38</v>
      </c>
      <c r="E991" s="4" t="s">
        <v>25</v>
      </c>
      <c r="F991" s="4" t="s">
        <v>25</v>
      </c>
      <c r="G991" s="4" t="s">
        <v>25</v>
      </c>
      <c r="H991" s="4" t="s">
        <v>35</v>
      </c>
      <c r="I991" s="5">
        <v>44593</v>
      </c>
      <c r="J991" s="6">
        <v>0</v>
      </c>
      <c r="K991" s="6">
        <v>0</v>
      </c>
      <c r="L991" s="6">
        <v>494.40499999999997</v>
      </c>
      <c r="M991" s="6">
        <v>494.40499999999997</v>
      </c>
      <c r="N991" s="6">
        <v>494.40499999999997</v>
      </c>
      <c r="O991" s="6">
        <v>494.40499999999997</v>
      </c>
      <c r="P991" s="6">
        <v>0</v>
      </c>
      <c r="Q991" s="4" t="s">
        <v>26</v>
      </c>
      <c r="R991" s="4">
        <v>0</v>
      </c>
      <c r="S991" s="4" t="s">
        <v>330</v>
      </c>
      <c r="T991" s="4" t="s">
        <v>607</v>
      </c>
      <c r="U991" s="4">
        <v>0</v>
      </c>
      <c r="V991" s="4">
        <v>44</v>
      </c>
      <c r="W991" s="4">
        <v>67</v>
      </c>
    </row>
    <row r="992" spans="1:23" ht="11.25" customHeight="1" x14ac:dyDescent="0.25">
      <c r="A992" s="4" t="s">
        <v>28</v>
      </c>
      <c r="B992" s="4" t="s">
        <v>41</v>
      </c>
      <c r="C992" s="4" t="s">
        <v>42</v>
      </c>
      <c r="D992" s="4" t="s">
        <v>38</v>
      </c>
      <c r="E992" s="4" t="s">
        <v>25</v>
      </c>
      <c r="F992" s="4" t="s">
        <v>25</v>
      </c>
      <c r="G992" s="4" t="s">
        <v>25</v>
      </c>
      <c r="H992" s="4" t="s">
        <v>35</v>
      </c>
      <c r="I992" s="5">
        <v>44593</v>
      </c>
      <c r="J992" s="6">
        <v>0</v>
      </c>
      <c r="K992" s="6">
        <v>0</v>
      </c>
      <c r="L992" s="6">
        <v>-2.66</v>
      </c>
      <c r="M992" s="6">
        <v>-2.66</v>
      </c>
      <c r="N992" s="6">
        <v>-2.66</v>
      </c>
      <c r="O992" s="6">
        <v>-2.66</v>
      </c>
      <c r="P992" s="6">
        <v>0</v>
      </c>
      <c r="Q992" s="4" t="s">
        <v>26</v>
      </c>
      <c r="R992" s="4">
        <v>0</v>
      </c>
      <c r="S992" s="4" t="s">
        <v>330</v>
      </c>
      <c r="T992" s="4" t="s">
        <v>607</v>
      </c>
      <c r="U992" s="4">
        <v>0</v>
      </c>
      <c r="V992" s="4">
        <v>44</v>
      </c>
      <c r="W992" s="4">
        <v>67</v>
      </c>
    </row>
    <row r="993" spans="1:23" ht="11.25" customHeight="1" x14ac:dyDescent="0.25">
      <c r="A993" s="4" t="s">
        <v>21</v>
      </c>
      <c r="B993" s="4" t="s">
        <v>41</v>
      </c>
      <c r="C993" s="4" t="s">
        <v>42</v>
      </c>
      <c r="D993" s="4" t="s">
        <v>38</v>
      </c>
      <c r="E993" s="4" t="s">
        <v>25</v>
      </c>
      <c r="F993" s="4" t="s">
        <v>25</v>
      </c>
      <c r="G993" s="4" t="s">
        <v>25</v>
      </c>
      <c r="H993" s="4" t="s">
        <v>35</v>
      </c>
      <c r="I993" s="5">
        <v>44593</v>
      </c>
      <c r="J993" s="6">
        <v>0</v>
      </c>
      <c r="K993" s="6">
        <v>0</v>
      </c>
      <c r="L993" s="6">
        <v>971.80700000000002</v>
      </c>
      <c r="M993" s="6">
        <v>971.80700000000002</v>
      </c>
      <c r="N993" s="6">
        <v>0</v>
      </c>
      <c r="O993" s="6">
        <v>0</v>
      </c>
      <c r="P993" s="6">
        <v>0</v>
      </c>
      <c r="Q993" s="4" t="s">
        <v>58</v>
      </c>
      <c r="R993" s="4">
        <v>0</v>
      </c>
      <c r="S993" s="4" t="s">
        <v>330</v>
      </c>
      <c r="U993" s="4">
        <v>0</v>
      </c>
      <c r="V993" s="4">
        <v>44</v>
      </c>
      <c r="W993" s="4">
        <v>0</v>
      </c>
    </row>
    <row r="994" spans="1:23" ht="11.25" customHeight="1" x14ac:dyDescent="0.25">
      <c r="A994" s="4" t="s">
        <v>21</v>
      </c>
      <c r="B994" s="4" t="s">
        <v>41</v>
      </c>
      <c r="C994" s="4" t="s">
        <v>42</v>
      </c>
      <c r="D994" s="4" t="s">
        <v>38</v>
      </c>
      <c r="E994" s="4" t="s">
        <v>25</v>
      </c>
      <c r="F994" s="4" t="s">
        <v>25</v>
      </c>
      <c r="G994" s="4" t="s">
        <v>25</v>
      </c>
      <c r="H994" s="4" t="s">
        <v>35</v>
      </c>
      <c r="I994" s="5">
        <v>44621</v>
      </c>
      <c r="J994" s="6">
        <v>0</v>
      </c>
      <c r="K994" s="6">
        <v>0</v>
      </c>
      <c r="L994" s="6">
        <v>8511.68</v>
      </c>
      <c r="M994" s="6">
        <v>8511.68</v>
      </c>
      <c r="N994" s="6">
        <v>8511.68</v>
      </c>
      <c r="O994" s="6">
        <v>8511.68</v>
      </c>
      <c r="P994" s="6">
        <v>0</v>
      </c>
      <c r="Q994" s="4" t="s">
        <v>26</v>
      </c>
      <c r="R994" s="4">
        <v>0</v>
      </c>
      <c r="S994" s="4" t="s">
        <v>331</v>
      </c>
      <c r="T994" s="4" t="s">
        <v>608</v>
      </c>
      <c r="U994" s="4">
        <v>0</v>
      </c>
      <c r="V994" s="4">
        <v>44</v>
      </c>
      <c r="W994" s="4">
        <v>67</v>
      </c>
    </row>
    <row r="995" spans="1:23" ht="11.25" customHeight="1" x14ac:dyDescent="0.25">
      <c r="A995" s="4" t="s">
        <v>28</v>
      </c>
      <c r="B995" s="4" t="s">
        <v>41</v>
      </c>
      <c r="C995" s="4" t="s">
        <v>42</v>
      </c>
      <c r="D995" s="4" t="s">
        <v>38</v>
      </c>
      <c r="E995" s="4" t="s">
        <v>25</v>
      </c>
      <c r="F995" s="4" t="s">
        <v>25</v>
      </c>
      <c r="G995" s="4" t="s">
        <v>25</v>
      </c>
      <c r="H995" s="4" t="s">
        <v>35</v>
      </c>
      <c r="I995" s="5">
        <v>44621</v>
      </c>
      <c r="J995" s="6">
        <v>0</v>
      </c>
      <c r="K995" s="6">
        <v>0</v>
      </c>
      <c r="L995" s="6">
        <v>611.16399999999999</v>
      </c>
      <c r="M995" s="6">
        <v>611.16399999999999</v>
      </c>
      <c r="N995" s="6">
        <v>611.16399999999999</v>
      </c>
      <c r="O995" s="6">
        <v>611.16399999999999</v>
      </c>
      <c r="P995" s="6">
        <v>0</v>
      </c>
      <c r="Q995" s="4" t="s">
        <v>26</v>
      </c>
      <c r="R995" s="4">
        <v>0</v>
      </c>
      <c r="S995" s="4" t="s">
        <v>331</v>
      </c>
      <c r="T995" s="4" t="s">
        <v>608</v>
      </c>
      <c r="U995" s="4">
        <v>0</v>
      </c>
      <c r="V995" s="4">
        <v>44</v>
      </c>
      <c r="W995" s="4">
        <v>67</v>
      </c>
    </row>
    <row r="996" spans="1:23" ht="11.25" customHeight="1" x14ac:dyDescent="0.25">
      <c r="A996" s="4" t="s">
        <v>21</v>
      </c>
      <c r="B996" s="4" t="s">
        <v>41</v>
      </c>
      <c r="C996" s="4" t="s">
        <v>42</v>
      </c>
      <c r="D996" s="4" t="s">
        <v>38</v>
      </c>
      <c r="E996" s="4" t="s">
        <v>25</v>
      </c>
      <c r="F996" s="4" t="s">
        <v>25</v>
      </c>
      <c r="G996" s="4" t="s">
        <v>25</v>
      </c>
      <c r="H996" s="4" t="s">
        <v>35</v>
      </c>
      <c r="I996" s="5">
        <v>44621</v>
      </c>
      <c r="J996" s="6">
        <v>0</v>
      </c>
      <c r="K996" s="6">
        <v>0</v>
      </c>
      <c r="L996" s="6">
        <v>718.24699999999996</v>
      </c>
      <c r="M996" s="6">
        <v>718.24699999999996</v>
      </c>
      <c r="N996" s="6">
        <v>0</v>
      </c>
      <c r="O996" s="6">
        <v>0</v>
      </c>
      <c r="P996" s="6">
        <v>0</v>
      </c>
      <c r="Q996" s="4" t="s">
        <v>58</v>
      </c>
      <c r="R996" s="4">
        <v>0</v>
      </c>
      <c r="S996" s="4" t="s">
        <v>331</v>
      </c>
      <c r="U996" s="4">
        <v>0</v>
      </c>
      <c r="V996" s="4">
        <v>44</v>
      </c>
      <c r="W996" s="4">
        <v>0</v>
      </c>
    </row>
    <row r="997" spans="1:23" ht="11.25" customHeight="1" x14ac:dyDescent="0.25">
      <c r="A997" s="4" t="s">
        <v>21</v>
      </c>
      <c r="B997" s="4" t="s">
        <v>41</v>
      </c>
      <c r="C997" s="4" t="s">
        <v>42</v>
      </c>
      <c r="D997" s="4" t="s">
        <v>38</v>
      </c>
      <c r="E997" s="4" t="s">
        <v>25</v>
      </c>
      <c r="F997" s="4" t="s">
        <v>25</v>
      </c>
      <c r="G997" s="4" t="s">
        <v>25</v>
      </c>
      <c r="H997" s="4" t="s">
        <v>35</v>
      </c>
      <c r="I997" s="5">
        <v>44652</v>
      </c>
      <c r="J997" s="6">
        <v>0</v>
      </c>
      <c r="K997" s="6">
        <v>0</v>
      </c>
      <c r="L997" s="6">
        <v>8209.9879999999994</v>
      </c>
      <c r="M997" s="6">
        <v>8209.9879999999994</v>
      </c>
      <c r="N997" s="6">
        <v>8209.9879999999994</v>
      </c>
      <c r="O997" s="6">
        <v>8209.9879999999994</v>
      </c>
      <c r="P997" s="6">
        <v>0</v>
      </c>
      <c r="Q997" s="4" t="s">
        <v>26</v>
      </c>
      <c r="R997" s="4">
        <v>0</v>
      </c>
      <c r="S997" s="4" t="s">
        <v>332</v>
      </c>
      <c r="T997" s="4" t="s">
        <v>609</v>
      </c>
      <c r="U997" s="4">
        <v>0</v>
      </c>
      <c r="V997" s="4">
        <v>44</v>
      </c>
      <c r="W997" s="4">
        <v>67</v>
      </c>
    </row>
    <row r="998" spans="1:23" ht="11.25" customHeight="1" x14ac:dyDescent="0.25">
      <c r="A998" s="4" t="s">
        <v>28</v>
      </c>
      <c r="B998" s="4" t="s">
        <v>41</v>
      </c>
      <c r="C998" s="4" t="s">
        <v>42</v>
      </c>
      <c r="D998" s="4" t="s">
        <v>38</v>
      </c>
      <c r="E998" s="4" t="s">
        <v>25</v>
      </c>
      <c r="F998" s="4" t="s">
        <v>25</v>
      </c>
      <c r="G998" s="4" t="s">
        <v>25</v>
      </c>
      <c r="H998" s="4" t="s">
        <v>35</v>
      </c>
      <c r="I998" s="5">
        <v>44652</v>
      </c>
      <c r="J998" s="6">
        <v>0</v>
      </c>
      <c r="K998" s="6">
        <v>0</v>
      </c>
      <c r="L998" s="6">
        <v>578.93200000000002</v>
      </c>
      <c r="M998" s="6">
        <v>578.93200000000002</v>
      </c>
      <c r="N998" s="6">
        <v>578.93200000000002</v>
      </c>
      <c r="O998" s="6">
        <v>578.93200000000002</v>
      </c>
      <c r="P998" s="6">
        <v>0</v>
      </c>
      <c r="Q998" s="4" t="s">
        <v>26</v>
      </c>
      <c r="R998" s="4">
        <v>0</v>
      </c>
      <c r="S998" s="4" t="s">
        <v>332</v>
      </c>
      <c r="T998" s="4" t="s">
        <v>609</v>
      </c>
      <c r="U998" s="4">
        <v>0</v>
      </c>
      <c r="V998" s="4">
        <v>44</v>
      </c>
      <c r="W998" s="4">
        <v>67</v>
      </c>
    </row>
    <row r="999" spans="1:23" ht="11.25" customHeight="1" x14ac:dyDescent="0.25">
      <c r="A999" s="4" t="s">
        <v>21</v>
      </c>
      <c r="B999" s="4" t="s">
        <v>41</v>
      </c>
      <c r="C999" s="4" t="s">
        <v>42</v>
      </c>
      <c r="D999" s="4" t="s">
        <v>38</v>
      </c>
      <c r="E999" s="4" t="s">
        <v>25</v>
      </c>
      <c r="F999" s="4" t="s">
        <v>25</v>
      </c>
      <c r="G999" s="4" t="s">
        <v>25</v>
      </c>
      <c r="H999" s="4" t="s">
        <v>35</v>
      </c>
      <c r="I999" s="5">
        <v>44652</v>
      </c>
      <c r="J999" s="6">
        <v>0</v>
      </c>
      <c r="K999" s="6">
        <v>0</v>
      </c>
      <c r="L999" s="6">
        <v>303.14699999999999</v>
      </c>
      <c r="M999" s="6">
        <v>303.14699999999999</v>
      </c>
      <c r="N999" s="6">
        <v>0</v>
      </c>
      <c r="O999" s="6">
        <v>0</v>
      </c>
      <c r="P999" s="6">
        <v>0</v>
      </c>
      <c r="Q999" s="4" t="s">
        <v>58</v>
      </c>
      <c r="R999" s="4">
        <v>0</v>
      </c>
      <c r="S999" s="4" t="s">
        <v>332</v>
      </c>
      <c r="U999" s="4">
        <v>0</v>
      </c>
      <c r="V999" s="4">
        <v>44</v>
      </c>
      <c r="W999" s="4">
        <v>0</v>
      </c>
    </row>
    <row r="1000" spans="1:23" ht="11.25" customHeight="1" x14ac:dyDescent="0.25">
      <c r="A1000" s="4" t="s">
        <v>21</v>
      </c>
      <c r="B1000" s="4" t="s">
        <v>41</v>
      </c>
      <c r="C1000" s="4" t="s">
        <v>42</v>
      </c>
      <c r="D1000" s="4" t="s">
        <v>38</v>
      </c>
      <c r="E1000" s="4" t="s">
        <v>25</v>
      </c>
      <c r="F1000" s="4" t="s">
        <v>25</v>
      </c>
      <c r="G1000" s="4" t="s">
        <v>25</v>
      </c>
      <c r="H1000" s="4" t="s">
        <v>35</v>
      </c>
      <c r="I1000" s="5">
        <v>44682</v>
      </c>
      <c r="J1000" s="6">
        <v>0</v>
      </c>
      <c r="K1000" s="6">
        <v>0</v>
      </c>
      <c r="L1000" s="6">
        <v>8228.134</v>
      </c>
      <c r="M1000" s="6">
        <v>8228.134</v>
      </c>
      <c r="N1000" s="6">
        <v>8228.134</v>
      </c>
      <c r="O1000" s="6">
        <v>8228.134</v>
      </c>
      <c r="P1000" s="6">
        <v>0</v>
      </c>
      <c r="Q1000" s="4" t="s">
        <v>26</v>
      </c>
      <c r="R1000" s="4">
        <v>0</v>
      </c>
      <c r="S1000" s="4" t="s">
        <v>333</v>
      </c>
      <c r="T1000" s="4" t="s">
        <v>610</v>
      </c>
      <c r="U1000" s="4">
        <v>0</v>
      </c>
      <c r="V1000" s="4">
        <v>44</v>
      </c>
      <c r="W1000" s="4">
        <v>67</v>
      </c>
    </row>
    <row r="1001" spans="1:23" ht="11.25" customHeight="1" x14ac:dyDescent="0.25">
      <c r="A1001" s="4" t="s">
        <v>27</v>
      </c>
      <c r="B1001" s="4" t="s">
        <v>41</v>
      </c>
      <c r="C1001" s="4" t="s">
        <v>42</v>
      </c>
      <c r="D1001" s="4" t="s">
        <v>38</v>
      </c>
      <c r="E1001" s="4" t="s">
        <v>25</v>
      </c>
      <c r="F1001" s="4" t="s">
        <v>25</v>
      </c>
      <c r="G1001" s="4" t="s">
        <v>25</v>
      </c>
      <c r="H1001" s="4" t="s">
        <v>35</v>
      </c>
      <c r="I1001" s="5">
        <v>44682</v>
      </c>
      <c r="J1001" s="6">
        <v>0</v>
      </c>
      <c r="K1001" s="6">
        <v>0</v>
      </c>
      <c r="L1001" s="6">
        <v>3.3479999999999999</v>
      </c>
      <c r="M1001" s="6">
        <v>3.3479999999999999</v>
      </c>
      <c r="N1001" s="6">
        <v>3.3479999999999999</v>
      </c>
      <c r="O1001" s="6">
        <v>3.3479999999999999</v>
      </c>
      <c r="P1001" s="6">
        <v>0</v>
      </c>
      <c r="Q1001" s="4" t="s">
        <v>26</v>
      </c>
      <c r="R1001" s="4">
        <v>0</v>
      </c>
      <c r="S1001" s="4" t="s">
        <v>333</v>
      </c>
      <c r="T1001" s="4" t="s">
        <v>610</v>
      </c>
      <c r="U1001" s="4">
        <v>0</v>
      </c>
      <c r="V1001" s="4">
        <v>44</v>
      </c>
      <c r="W1001" s="4">
        <v>67</v>
      </c>
    </row>
    <row r="1002" spans="1:23" ht="11.25" customHeight="1" x14ac:dyDescent="0.25">
      <c r="A1002" s="4" t="s">
        <v>28</v>
      </c>
      <c r="B1002" s="4" t="s">
        <v>41</v>
      </c>
      <c r="C1002" s="4" t="s">
        <v>42</v>
      </c>
      <c r="D1002" s="4" t="s">
        <v>38</v>
      </c>
      <c r="E1002" s="4" t="s">
        <v>25</v>
      </c>
      <c r="F1002" s="4" t="s">
        <v>25</v>
      </c>
      <c r="G1002" s="4" t="s">
        <v>25</v>
      </c>
      <c r="H1002" s="4" t="s">
        <v>35</v>
      </c>
      <c r="I1002" s="5">
        <v>44682</v>
      </c>
      <c r="J1002" s="6">
        <v>0</v>
      </c>
      <c r="K1002" s="6">
        <v>0</v>
      </c>
      <c r="L1002" s="6">
        <v>699.226</v>
      </c>
      <c r="M1002" s="6">
        <v>699.226</v>
      </c>
      <c r="N1002" s="6">
        <v>699.226</v>
      </c>
      <c r="O1002" s="6">
        <v>699.226</v>
      </c>
      <c r="P1002" s="6">
        <v>0</v>
      </c>
      <c r="Q1002" s="4" t="s">
        <v>26</v>
      </c>
      <c r="R1002" s="4">
        <v>0</v>
      </c>
      <c r="S1002" s="4" t="s">
        <v>333</v>
      </c>
      <c r="T1002" s="4" t="s">
        <v>610</v>
      </c>
      <c r="U1002" s="4">
        <v>0</v>
      </c>
      <c r="V1002" s="4">
        <v>44</v>
      </c>
      <c r="W1002" s="4">
        <v>67</v>
      </c>
    </row>
    <row r="1003" spans="1:23" ht="11.25" customHeight="1" x14ac:dyDescent="0.25">
      <c r="A1003" s="4" t="s">
        <v>21</v>
      </c>
      <c r="B1003" s="4" t="s">
        <v>41</v>
      </c>
      <c r="C1003" s="4" t="s">
        <v>42</v>
      </c>
      <c r="D1003" s="4" t="s">
        <v>38</v>
      </c>
      <c r="E1003" s="4" t="s">
        <v>25</v>
      </c>
      <c r="F1003" s="4" t="s">
        <v>25</v>
      </c>
      <c r="G1003" s="4" t="s">
        <v>25</v>
      </c>
      <c r="H1003" s="4" t="s">
        <v>35</v>
      </c>
      <c r="I1003" s="5">
        <v>44682</v>
      </c>
      <c r="J1003" s="6">
        <v>0</v>
      </c>
      <c r="K1003" s="6">
        <v>0</v>
      </c>
      <c r="L1003" s="6">
        <v>550.42499999999995</v>
      </c>
      <c r="M1003" s="6">
        <v>550.42499999999995</v>
      </c>
      <c r="N1003" s="6">
        <v>0</v>
      </c>
      <c r="O1003" s="6">
        <v>0</v>
      </c>
      <c r="P1003" s="6">
        <v>0</v>
      </c>
      <c r="Q1003" s="4" t="s">
        <v>58</v>
      </c>
      <c r="R1003" s="4">
        <v>0</v>
      </c>
      <c r="S1003" s="4" t="s">
        <v>333</v>
      </c>
      <c r="U1003" s="4">
        <v>0</v>
      </c>
      <c r="V1003" s="4">
        <v>44</v>
      </c>
      <c r="W1003" s="4">
        <v>0</v>
      </c>
    </row>
    <row r="1004" spans="1:23" ht="11.25" customHeight="1" x14ac:dyDescent="0.25">
      <c r="A1004" s="4" t="s">
        <v>21</v>
      </c>
      <c r="B1004" s="4" t="s">
        <v>41</v>
      </c>
      <c r="C1004" s="4" t="s">
        <v>42</v>
      </c>
      <c r="D1004" s="4" t="s">
        <v>38</v>
      </c>
      <c r="E1004" s="4" t="s">
        <v>25</v>
      </c>
      <c r="F1004" s="4" t="s">
        <v>25</v>
      </c>
      <c r="G1004" s="4" t="s">
        <v>25</v>
      </c>
      <c r="H1004" s="4" t="s">
        <v>35</v>
      </c>
      <c r="I1004" s="5">
        <v>44713</v>
      </c>
      <c r="J1004" s="6">
        <v>0</v>
      </c>
      <c r="K1004" s="6">
        <v>0</v>
      </c>
      <c r="L1004" s="6">
        <v>7850.5230000000001</v>
      </c>
      <c r="M1004" s="6">
        <v>7850.5230000000001</v>
      </c>
      <c r="N1004" s="6">
        <v>7850.5230000000001</v>
      </c>
      <c r="O1004" s="6">
        <v>7850.5230000000001</v>
      </c>
      <c r="P1004" s="6">
        <v>0</v>
      </c>
      <c r="Q1004" s="4" t="s">
        <v>26</v>
      </c>
      <c r="R1004" s="4">
        <v>0</v>
      </c>
      <c r="S1004" s="4" t="s">
        <v>334</v>
      </c>
      <c r="T1004" s="4" t="s">
        <v>611</v>
      </c>
      <c r="U1004" s="4">
        <v>0</v>
      </c>
      <c r="V1004" s="4">
        <v>44</v>
      </c>
      <c r="W1004" s="4">
        <v>67</v>
      </c>
    </row>
    <row r="1005" spans="1:23" ht="11.25" customHeight="1" x14ac:dyDescent="0.25">
      <c r="A1005" s="4" t="s">
        <v>27</v>
      </c>
      <c r="B1005" s="4" t="s">
        <v>41</v>
      </c>
      <c r="C1005" s="4" t="s">
        <v>42</v>
      </c>
      <c r="D1005" s="4" t="s">
        <v>38</v>
      </c>
      <c r="E1005" s="4" t="s">
        <v>25</v>
      </c>
      <c r="F1005" s="4" t="s">
        <v>25</v>
      </c>
      <c r="G1005" s="4" t="s">
        <v>25</v>
      </c>
      <c r="H1005" s="4" t="s">
        <v>35</v>
      </c>
      <c r="I1005" s="5">
        <v>44713</v>
      </c>
      <c r="J1005" s="6">
        <v>0</v>
      </c>
      <c r="K1005" s="6">
        <v>0</v>
      </c>
      <c r="L1005" s="6">
        <v>-16.785</v>
      </c>
      <c r="M1005" s="6">
        <v>-16.785</v>
      </c>
      <c r="N1005" s="6">
        <v>-16.785</v>
      </c>
      <c r="O1005" s="6">
        <v>-16.785</v>
      </c>
      <c r="P1005" s="6">
        <v>0</v>
      </c>
      <c r="Q1005" s="4" t="s">
        <v>26</v>
      </c>
      <c r="R1005" s="4">
        <v>0</v>
      </c>
      <c r="S1005" s="4" t="s">
        <v>334</v>
      </c>
      <c r="T1005" s="4" t="s">
        <v>611</v>
      </c>
      <c r="U1005" s="4">
        <v>0</v>
      </c>
      <c r="V1005" s="4">
        <v>44</v>
      </c>
      <c r="W1005" s="4">
        <v>67</v>
      </c>
    </row>
    <row r="1006" spans="1:23" ht="11.25" customHeight="1" x14ac:dyDescent="0.25">
      <c r="A1006" s="4" t="s">
        <v>28</v>
      </c>
      <c r="B1006" s="4" t="s">
        <v>41</v>
      </c>
      <c r="C1006" s="4" t="s">
        <v>42</v>
      </c>
      <c r="D1006" s="4" t="s">
        <v>38</v>
      </c>
      <c r="E1006" s="4" t="s">
        <v>25</v>
      </c>
      <c r="F1006" s="4" t="s">
        <v>25</v>
      </c>
      <c r="G1006" s="4" t="s">
        <v>25</v>
      </c>
      <c r="H1006" s="4" t="s">
        <v>35</v>
      </c>
      <c r="I1006" s="5">
        <v>44713</v>
      </c>
      <c r="J1006" s="6">
        <v>0</v>
      </c>
      <c r="K1006" s="6">
        <v>0</v>
      </c>
      <c r="L1006" s="6">
        <v>751.44600000000003</v>
      </c>
      <c r="M1006" s="6">
        <v>751.44600000000003</v>
      </c>
      <c r="N1006" s="6">
        <v>751.44600000000003</v>
      </c>
      <c r="O1006" s="6">
        <v>751.44600000000003</v>
      </c>
      <c r="P1006" s="6">
        <v>0</v>
      </c>
      <c r="Q1006" s="4" t="s">
        <v>26</v>
      </c>
      <c r="R1006" s="4">
        <v>0</v>
      </c>
      <c r="S1006" s="4" t="s">
        <v>334</v>
      </c>
      <c r="T1006" s="4" t="s">
        <v>611</v>
      </c>
      <c r="U1006" s="4">
        <v>0</v>
      </c>
      <c r="V1006" s="4">
        <v>44</v>
      </c>
      <c r="W1006" s="4">
        <v>67</v>
      </c>
    </row>
    <row r="1007" spans="1:23" ht="11.25" customHeight="1" x14ac:dyDescent="0.25">
      <c r="A1007" s="4" t="s">
        <v>57</v>
      </c>
      <c r="B1007" s="4" t="s">
        <v>41</v>
      </c>
      <c r="C1007" s="4" t="s">
        <v>42</v>
      </c>
      <c r="D1007" s="4" t="s">
        <v>38</v>
      </c>
      <c r="E1007" s="4" t="s">
        <v>25</v>
      </c>
      <c r="F1007" s="4" t="s">
        <v>25</v>
      </c>
      <c r="G1007" s="4" t="s">
        <v>25</v>
      </c>
      <c r="H1007" s="4" t="s">
        <v>35</v>
      </c>
      <c r="I1007" s="5">
        <v>44743</v>
      </c>
      <c r="J1007" s="6">
        <v>0</v>
      </c>
      <c r="K1007" s="6">
        <v>0</v>
      </c>
      <c r="L1007" s="6">
        <v>7850.5230000000001</v>
      </c>
      <c r="M1007" s="6">
        <v>7850.5230000000001</v>
      </c>
      <c r="N1007" s="6">
        <v>7850.5230000000001</v>
      </c>
      <c r="O1007" s="6">
        <v>7850.5230000000001</v>
      </c>
      <c r="P1007" s="6">
        <v>0</v>
      </c>
      <c r="Q1007" s="4" t="s">
        <v>26</v>
      </c>
      <c r="R1007" s="4">
        <v>0</v>
      </c>
      <c r="S1007" s="4" t="s">
        <v>335</v>
      </c>
      <c r="T1007" s="4" t="s">
        <v>612</v>
      </c>
      <c r="U1007" s="4">
        <v>0</v>
      </c>
      <c r="V1007" s="4">
        <v>44</v>
      </c>
      <c r="W1007" s="4">
        <v>67</v>
      </c>
    </row>
    <row r="1008" spans="1:23" ht="11.25" customHeight="1" x14ac:dyDescent="0.25">
      <c r="A1008" s="4" t="s">
        <v>57</v>
      </c>
      <c r="B1008" s="4" t="s">
        <v>41</v>
      </c>
      <c r="C1008" s="4" t="s">
        <v>42</v>
      </c>
      <c r="D1008" s="4" t="s">
        <v>38</v>
      </c>
      <c r="E1008" s="4" t="s">
        <v>25</v>
      </c>
      <c r="F1008" s="4" t="s">
        <v>25</v>
      </c>
      <c r="G1008" s="4" t="s">
        <v>25</v>
      </c>
      <c r="H1008" s="4" t="s">
        <v>35</v>
      </c>
      <c r="I1008" s="5">
        <v>44743</v>
      </c>
      <c r="J1008" s="6">
        <v>0</v>
      </c>
      <c r="K1008" s="6">
        <v>0</v>
      </c>
      <c r="L1008" s="6">
        <v>-16.785</v>
      </c>
      <c r="M1008" s="6">
        <v>-16.785</v>
      </c>
      <c r="N1008" s="6">
        <v>-16.785</v>
      </c>
      <c r="O1008" s="6">
        <v>-16.785</v>
      </c>
      <c r="P1008" s="6">
        <v>0</v>
      </c>
      <c r="Q1008" s="4" t="s">
        <v>26</v>
      </c>
      <c r="R1008" s="4">
        <v>0</v>
      </c>
      <c r="S1008" s="4" t="s">
        <v>335</v>
      </c>
      <c r="T1008" s="4" t="s">
        <v>612</v>
      </c>
      <c r="U1008" s="4">
        <v>0</v>
      </c>
      <c r="V1008" s="4">
        <v>44</v>
      </c>
      <c r="W1008" s="4">
        <v>67</v>
      </c>
    </row>
    <row r="1009" spans="1:23" ht="11.25" customHeight="1" x14ac:dyDescent="0.25">
      <c r="A1009" s="4" t="s">
        <v>57</v>
      </c>
      <c r="B1009" s="4" t="s">
        <v>41</v>
      </c>
      <c r="C1009" s="4" t="s">
        <v>42</v>
      </c>
      <c r="D1009" s="4" t="s">
        <v>38</v>
      </c>
      <c r="E1009" s="4" t="s">
        <v>25</v>
      </c>
      <c r="F1009" s="4" t="s">
        <v>25</v>
      </c>
      <c r="G1009" s="4" t="s">
        <v>25</v>
      </c>
      <c r="H1009" s="4" t="s">
        <v>35</v>
      </c>
      <c r="I1009" s="5">
        <v>44743</v>
      </c>
      <c r="J1009" s="6">
        <v>0</v>
      </c>
      <c r="K1009" s="6">
        <v>0</v>
      </c>
      <c r="L1009" s="6">
        <v>751.44600000000003</v>
      </c>
      <c r="M1009" s="6">
        <v>751.44600000000003</v>
      </c>
      <c r="N1009" s="6">
        <v>751.44600000000003</v>
      </c>
      <c r="O1009" s="6">
        <v>751.44600000000003</v>
      </c>
      <c r="P1009" s="6">
        <v>0</v>
      </c>
      <c r="Q1009" s="4" t="s">
        <v>26</v>
      </c>
      <c r="R1009" s="4">
        <v>0</v>
      </c>
      <c r="S1009" s="4" t="s">
        <v>335</v>
      </c>
      <c r="T1009" s="4" t="s">
        <v>612</v>
      </c>
      <c r="U1009" s="4">
        <v>0</v>
      </c>
      <c r="V1009" s="4">
        <v>44</v>
      </c>
      <c r="W1009" s="4">
        <v>67</v>
      </c>
    </row>
    <row r="1010" spans="1:23" ht="11.25" customHeight="1" x14ac:dyDescent="0.25">
      <c r="A1010" s="4" t="s">
        <v>21</v>
      </c>
      <c r="B1010" s="4" t="s">
        <v>41</v>
      </c>
      <c r="C1010" s="4" t="s">
        <v>42</v>
      </c>
      <c r="D1010" s="4" t="s">
        <v>38</v>
      </c>
      <c r="E1010" s="4" t="s">
        <v>25</v>
      </c>
      <c r="F1010" s="4" t="s">
        <v>25</v>
      </c>
      <c r="G1010" s="4" t="s">
        <v>25</v>
      </c>
      <c r="H1010" s="4" t="s">
        <v>25</v>
      </c>
      <c r="I1010" s="5">
        <v>44409</v>
      </c>
      <c r="J1010" s="6">
        <v>45717</v>
      </c>
      <c r="K1010" s="6">
        <v>45717</v>
      </c>
      <c r="L1010" s="6">
        <v>0</v>
      </c>
      <c r="M1010" s="6">
        <v>0</v>
      </c>
      <c r="N1010" s="6">
        <v>0</v>
      </c>
      <c r="O1010" s="6">
        <v>0</v>
      </c>
      <c r="P1010" s="6">
        <v>268</v>
      </c>
      <c r="Q1010" s="4" t="s">
        <v>26</v>
      </c>
      <c r="R1010" s="4">
        <v>0</v>
      </c>
      <c r="S1010" s="4" t="s">
        <v>336</v>
      </c>
      <c r="U1010" s="4">
        <v>40</v>
      </c>
      <c r="V1010" s="4">
        <v>0</v>
      </c>
      <c r="W1010" s="4">
        <v>0</v>
      </c>
    </row>
    <row r="1011" spans="1:23" ht="11.25" customHeight="1" x14ac:dyDescent="0.25">
      <c r="A1011" s="4" t="s">
        <v>27</v>
      </c>
      <c r="B1011" s="4" t="s">
        <v>41</v>
      </c>
      <c r="C1011" s="4" t="s">
        <v>42</v>
      </c>
      <c r="D1011" s="4" t="s">
        <v>38</v>
      </c>
      <c r="E1011" s="4" t="s">
        <v>25</v>
      </c>
      <c r="F1011" s="4" t="s">
        <v>25</v>
      </c>
      <c r="G1011" s="4" t="s">
        <v>25</v>
      </c>
      <c r="H1011" s="4" t="s">
        <v>25</v>
      </c>
      <c r="I1011" s="5">
        <v>44409</v>
      </c>
      <c r="J1011" s="6">
        <v>-68</v>
      </c>
      <c r="K1011" s="6">
        <v>-68</v>
      </c>
      <c r="L1011" s="6">
        <v>0</v>
      </c>
      <c r="M1011" s="6">
        <v>0</v>
      </c>
      <c r="N1011" s="6">
        <v>0</v>
      </c>
      <c r="O1011" s="6">
        <v>0</v>
      </c>
      <c r="P1011" s="6">
        <v>-1</v>
      </c>
      <c r="Q1011" s="4" t="s">
        <v>26</v>
      </c>
      <c r="R1011" s="4">
        <v>0</v>
      </c>
      <c r="S1011" s="4" t="s">
        <v>336</v>
      </c>
      <c r="U1011" s="4">
        <v>40</v>
      </c>
      <c r="V1011" s="4">
        <v>0</v>
      </c>
      <c r="W1011" s="4">
        <v>0</v>
      </c>
    </row>
    <row r="1012" spans="1:23" ht="11.25" customHeight="1" x14ac:dyDescent="0.25">
      <c r="A1012" s="4" t="s">
        <v>28</v>
      </c>
      <c r="B1012" s="4" t="s">
        <v>41</v>
      </c>
      <c r="C1012" s="4" t="s">
        <v>42</v>
      </c>
      <c r="D1012" s="4" t="s">
        <v>38</v>
      </c>
      <c r="E1012" s="4" t="s">
        <v>25</v>
      </c>
      <c r="F1012" s="4" t="s">
        <v>25</v>
      </c>
      <c r="G1012" s="4" t="s">
        <v>25</v>
      </c>
      <c r="H1012" s="4" t="s">
        <v>25</v>
      </c>
      <c r="I1012" s="5">
        <v>44409</v>
      </c>
      <c r="J1012" s="6">
        <v>8081</v>
      </c>
      <c r="K1012" s="6">
        <v>8081</v>
      </c>
      <c r="L1012" s="6">
        <v>0</v>
      </c>
      <c r="M1012" s="6">
        <v>0</v>
      </c>
      <c r="N1012" s="6">
        <v>0</v>
      </c>
      <c r="O1012" s="6">
        <v>0</v>
      </c>
      <c r="P1012" s="6">
        <v>41</v>
      </c>
      <c r="Q1012" s="4" t="s">
        <v>26</v>
      </c>
      <c r="R1012" s="4">
        <v>0</v>
      </c>
      <c r="S1012" s="4" t="s">
        <v>336</v>
      </c>
      <c r="U1012" s="4">
        <v>40</v>
      </c>
      <c r="V1012" s="4">
        <v>0</v>
      </c>
      <c r="W1012" s="4">
        <v>0</v>
      </c>
    </row>
    <row r="1013" spans="1:23" ht="11.25" customHeight="1" x14ac:dyDescent="0.25">
      <c r="A1013" s="4" t="s">
        <v>21</v>
      </c>
      <c r="B1013" s="4" t="s">
        <v>41</v>
      </c>
      <c r="C1013" s="4" t="s">
        <v>42</v>
      </c>
      <c r="D1013" s="4" t="s">
        <v>38</v>
      </c>
      <c r="E1013" s="4" t="s">
        <v>25</v>
      </c>
      <c r="F1013" s="4" t="s">
        <v>25</v>
      </c>
      <c r="G1013" s="4" t="s">
        <v>25</v>
      </c>
      <c r="H1013" s="4" t="s">
        <v>25</v>
      </c>
      <c r="I1013" s="5">
        <v>44409</v>
      </c>
      <c r="J1013" s="6">
        <v>3500</v>
      </c>
      <c r="K1013" s="6">
        <v>3500</v>
      </c>
      <c r="L1013" s="6">
        <v>0</v>
      </c>
      <c r="M1013" s="6">
        <v>0</v>
      </c>
      <c r="N1013" s="6">
        <v>0</v>
      </c>
      <c r="O1013" s="6">
        <v>0</v>
      </c>
      <c r="P1013" s="6">
        <v>1</v>
      </c>
      <c r="Q1013" s="4" t="s">
        <v>58</v>
      </c>
      <c r="R1013" s="4">
        <v>0</v>
      </c>
      <c r="S1013" s="4" t="s">
        <v>336</v>
      </c>
      <c r="U1013" s="4">
        <v>40</v>
      </c>
      <c r="V1013" s="4">
        <v>0</v>
      </c>
      <c r="W1013" s="4">
        <v>0</v>
      </c>
    </row>
    <row r="1014" spans="1:23" ht="11.25" customHeight="1" x14ac:dyDescent="0.25">
      <c r="A1014" s="4" t="s">
        <v>21</v>
      </c>
      <c r="B1014" s="4" t="s">
        <v>41</v>
      </c>
      <c r="C1014" s="4" t="s">
        <v>42</v>
      </c>
      <c r="D1014" s="4" t="s">
        <v>38</v>
      </c>
      <c r="E1014" s="4" t="s">
        <v>25</v>
      </c>
      <c r="F1014" s="4" t="s">
        <v>25</v>
      </c>
      <c r="G1014" s="4" t="s">
        <v>25</v>
      </c>
      <c r="H1014" s="4" t="s">
        <v>25</v>
      </c>
      <c r="I1014" s="5">
        <v>44440</v>
      </c>
      <c r="J1014" s="6">
        <v>47100</v>
      </c>
      <c r="K1014" s="6">
        <v>47100</v>
      </c>
      <c r="L1014" s="6">
        <v>0</v>
      </c>
      <c r="M1014" s="6">
        <v>0</v>
      </c>
      <c r="N1014" s="6">
        <v>0</v>
      </c>
      <c r="O1014" s="6">
        <v>0</v>
      </c>
      <c r="P1014" s="6">
        <v>272</v>
      </c>
      <c r="Q1014" s="4" t="s">
        <v>26</v>
      </c>
      <c r="R1014" s="4">
        <v>0</v>
      </c>
      <c r="S1014" s="4" t="s">
        <v>337</v>
      </c>
      <c r="U1014" s="4">
        <v>40</v>
      </c>
      <c r="V1014" s="4">
        <v>0</v>
      </c>
      <c r="W1014" s="4">
        <v>0</v>
      </c>
    </row>
    <row r="1015" spans="1:23" ht="11.25" customHeight="1" x14ac:dyDescent="0.25">
      <c r="A1015" s="4" t="s">
        <v>28</v>
      </c>
      <c r="B1015" s="4" t="s">
        <v>41</v>
      </c>
      <c r="C1015" s="4" t="s">
        <v>42</v>
      </c>
      <c r="D1015" s="4" t="s">
        <v>38</v>
      </c>
      <c r="E1015" s="4" t="s">
        <v>25</v>
      </c>
      <c r="F1015" s="4" t="s">
        <v>25</v>
      </c>
      <c r="G1015" s="4" t="s">
        <v>25</v>
      </c>
      <c r="H1015" s="4" t="s">
        <v>25</v>
      </c>
      <c r="I1015" s="5">
        <v>44440</v>
      </c>
      <c r="J1015" s="6">
        <v>8166</v>
      </c>
      <c r="K1015" s="6">
        <v>8166</v>
      </c>
      <c r="L1015" s="6">
        <v>0</v>
      </c>
      <c r="M1015" s="6">
        <v>0</v>
      </c>
      <c r="N1015" s="6">
        <v>0</v>
      </c>
      <c r="O1015" s="6">
        <v>0</v>
      </c>
      <c r="P1015" s="6">
        <v>39</v>
      </c>
      <c r="Q1015" s="4" t="s">
        <v>26</v>
      </c>
      <c r="R1015" s="4">
        <v>0</v>
      </c>
      <c r="S1015" s="4" t="s">
        <v>337</v>
      </c>
      <c r="U1015" s="4">
        <v>40</v>
      </c>
      <c r="V1015" s="4">
        <v>0</v>
      </c>
      <c r="W1015" s="4">
        <v>0</v>
      </c>
    </row>
    <row r="1016" spans="1:23" ht="11.25" customHeight="1" x14ac:dyDescent="0.25">
      <c r="A1016" s="4" t="s">
        <v>21</v>
      </c>
      <c r="B1016" s="4" t="s">
        <v>41</v>
      </c>
      <c r="C1016" s="4" t="s">
        <v>42</v>
      </c>
      <c r="D1016" s="4" t="s">
        <v>38</v>
      </c>
      <c r="E1016" s="4" t="s">
        <v>25</v>
      </c>
      <c r="F1016" s="4" t="s">
        <v>25</v>
      </c>
      <c r="G1016" s="4" t="s">
        <v>25</v>
      </c>
      <c r="H1016" s="4" t="s">
        <v>25</v>
      </c>
      <c r="I1016" s="5">
        <v>44440</v>
      </c>
      <c r="J1016" s="6">
        <v>3500</v>
      </c>
      <c r="K1016" s="6">
        <v>3500</v>
      </c>
      <c r="L1016" s="6">
        <v>0</v>
      </c>
      <c r="M1016" s="6">
        <v>0</v>
      </c>
      <c r="N1016" s="6">
        <v>0</v>
      </c>
      <c r="O1016" s="6">
        <v>0</v>
      </c>
      <c r="P1016" s="6">
        <v>1</v>
      </c>
      <c r="Q1016" s="4" t="s">
        <v>58</v>
      </c>
      <c r="R1016" s="4">
        <v>0</v>
      </c>
      <c r="S1016" s="4" t="s">
        <v>337</v>
      </c>
      <c r="U1016" s="4">
        <v>40</v>
      </c>
      <c r="V1016" s="4">
        <v>0</v>
      </c>
      <c r="W1016" s="4">
        <v>0</v>
      </c>
    </row>
    <row r="1017" spans="1:23" ht="11.25" customHeight="1" x14ac:dyDescent="0.25">
      <c r="A1017" s="4" t="s">
        <v>21</v>
      </c>
      <c r="B1017" s="4" t="s">
        <v>41</v>
      </c>
      <c r="C1017" s="4" t="s">
        <v>42</v>
      </c>
      <c r="D1017" s="4" t="s">
        <v>38</v>
      </c>
      <c r="E1017" s="4" t="s">
        <v>25</v>
      </c>
      <c r="F1017" s="4" t="s">
        <v>25</v>
      </c>
      <c r="G1017" s="4" t="s">
        <v>25</v>
      </c>
      <c r="H1017" s="4" t="s">
        <v>25</v>
      </c>
      <c r="I1017" s="5">
        <v>44470</v>
      </c>
      <c r="J1017" s="6">
        <v>48389</v>
      </c>
      <c r="K1017" s="6">
        <v>48389</v>
      </c>
      <c r="L1017" s="6">
        <v>0</v>
      </c>
      <c r="M1017" s="6">
        <v>0</v>
      </c>
      <c r="N1017" s="6">
        <v>0</v>
      </c>
      <c r="O1017" s="6">
        <v>0</v>
      </c>
      <c r="P1017" s="6">
        <v>269</v>
      </c>
      <c r="Q1017" s="4" t="s">
        <v>26</v>
      </c>
      <c r="R1017" s="4">
        <v>0</v>
      </c>
      <c r="S1017" s="4" t="s">
        <v>338</v>
      </c>
      <c r="U1017" s="4">
        <v>40</v>
      </c>
      <c r="V1017" s="4">
        <v>0</v>
      </c>
      <c r="W1017" s="4">
        <v>0</v>
      </c>
    </row>
    <row r="1018" spans="1:23" ht="11.25" customHeight="1" x14ac:dyDescent="0.25">
      <c r="A1018" s="4" t="s">
        <v>28</v>
      </c>
      <c r="B1018" s="4" t="s">
        <v>41</v>
      </c>
      <c r="C1018" s="4" t="s">
        <v>42</v>
      </c>
      <c r="D1018" s="4" t="s">
        <v>38</v>
      </c>
      <c r="E1018" s="4" t="s">
        <v>25</v>
      </c>
      <c r="F1018" s="4" t="s">
        <v>25</v>
      </c>
      <c r="G1018" s="4" t="s">
        <v>25</v>
      </c>
      <c r="H1018" s="4" t="s">
        <v>25</v>
      </c>
      <c r="I1018" s="5">
        <v>44470</v>
      </c>
      <c r="J1018" s="6">
        <v>8261</v>
      </c>
      <c r="K1018" s="6">
        <v>8261</v>
      </c>
      <c r="L1018" s="6">
        <v>0</v>
      </c>
      <c r="M1018" s="6">
        <v>0</v>
      </c>
      <c r="N1018" s="6">
        <v>0</v>
      </c>
      <c r="O1018" s="6">
        <v>0</v>
      </c>
      <c r="P1018" s="6">
        <v>40</v>
      </c>
      <c r="Q1018" s="4" t="s">
        <v>26</v>
      </c>
      <c r="R1018" s="4">
        <v>0</v>
      </c>
      <c r="S1018" s="4" t="s">
        <v>338</v>
      </c>
      <c r="U1018" s="4">
        <v>40</v>
      </c>
      <c r="V1018" s="4">
        <v>0</v>
      </c>
      <c r="W1018" s="4">
        <v>0</v>
      </c>
    </row>
    <row r="1019" spans="1:23" ht="11.25" customHeight="1" x14ac:dyDescent="0.25">
      <c r="A1019" s="4" t="s">
        <v>28</v>
      </c>
      <c r="B1019" s="4" t="s">
        <v>41</v>
      </c>
      <c r="C1019" s="4" t="s">
        <v>42</v>
      </c>
      <c r="D1019" s="4" t="s">
        <v>38</v>
      </c>
      <c r="E1019" s="4" t="s">
        <v>25</v>
      </c>
      <c r="F1019" s="4" t="s">
        <v>25</v>
      </c>
      <c r="G1019" s="4" t="s">
        <v>25</v>
      </c>
      <c r="H1019" s="4" t="s">
        <v>25</v>
      </c>
      <c r="I1019" s="5">
        <v>44470</v>
      </c>
      <c r="J1019" s="6">
        <v>-100</v>
      </c>
      <c r="K1019" s="6">
        <v>-100</v>
      </c>
      <c r="L1019" s="6">
        <v>0</v>
      </c>
      <c r="M1019" s="6">
        <v>0</v>
      </c>
      <c r="N1019" s="6">
        <v>0</v>
      </c>
      <c r="O1019" s="6">
        <v>0</v>
      </c>
      <c r="P1019" s="6">
        <v>-1</v>
      </c>
      <c r="Q1019" s="4" t="s">
        <v>26</v>
      </c>
      <c r="R1019" s="4">
        <v>0</v>
      </c>
      <c r="S1019" s="4" t="s">
        <v>338</v>
      </c>
      <c r="U1019" s="4">
        <v>40</v>
      </c>
      <c r="V1019" s="4">
        <v>0</v>
      </c>
      <c r="W1019" s="4">
        <v>0</v>
      </c>
    </row>
    <row r="1020" spans="1:23" ht="11.25" customHeight="1" x14ac:dyDescent="0.25">
      <c r="A1020" s="4" t="s">
        <v>21</v>
      </c>
      <c r="B1020" s="4" t="s">
        <v>41</v>
      </c>
      <c r="C1020" s="4" t="s">
        <v>42</v>
      </c>
      <c r="D1020" s="4" t="s">
        <v>38</v>
      </c>
      <c r="E1020" s="4" t="s">
        <v>25</v>
      </c>
      <c r="F1020" s="4" t="s">
        <v>25</v>
      </c>
      <c r="G1020" s="4" t="s">
        <v>25</v>
      </c>
      <c r="H1020" s="4" t="s">
        <v>25</v>
      </c>
      <c r="I1020" s="5">
        <v>44470</v>
      </c>
      <c r="J1020" s="6">
        <v>3500</v>
      </c>
      <c r="K1020" s="6">
        <v>3500</v>
      </c>
      <c r="L1020" s="6">
        <v>0</v>
      </c>
      <c r="M1020" s="6">
        <v>0</v>
      </c>
      <c r="N1020" s="6">
        <v>0</v>
      </c>
      <c r="O1020" s="6">
        <v>0</v>
      </c>
      <c r="P1020" s="6">
        <v>1</v>
      </c>
      <c r="Q1020" s="4" t="s">
        <v>58</v>
      </c>
      <c r="R1020" s="4">
        <v>0</v>
      </c>
      <c r="S1020" s="4" t="s">
        <v>338</v>
      </c>
      <c r="U1020" s="4">
        <v>40</v>
      </c>
      <c r="V1020" s="4">
        <v>0</v>
      </c>
      <c r="W1020" s="4">
        <v>0</v>
      </c>
    </row>
    <row r="1021" spans="1:23" ht="11.25" customHeight="1" x14ac:dyDescent="0.25">
      <c r="A1021" s="4" t="s">
        <v>21</v>
      </c>
      <c r="B1021" s="4" t="s">
        <v>41</v>
      </c>
      <c r="C1021" s="4" t="s">
        <v>42</v>
      </c>
      <c r="D1021" s="4" t="s">
        <v>38</v>
      </c>
      <c r="E1021" s="4" t="s">
        <v>25</v>
      </c>
      <c r="F1021" s="4" t="s">
        <v>25</v>
      </c>
      <c r="G1021" s="4" t="s">
        <v>25</v>
      </c>
      <c r="H1021" s="4" t="s">
        <v>25</v>
      </c>
      <c r="I1021" s="5">
        <v>44501</v>
      </c>
      <c r="J1021" s="6">
        <v>48076</v>
      </c>
      <c r="K1021" s="6">
        <v>48076</v>
      </c>
      <c r="L1021" s="6">
        <v>0</v>
      </c>
      <c r="M1021" s="6">
        <v>0</v>
      </c>
      <c r="N1021" s="6">
        <v>0</v>
      </c>
      <c r="O1021" s="6">
        <v>0</v>
      </c>
      <c r="P1021" s="6">
        <v>267</v>
      </c>
      <c r="Q1021" s="4" t="s">
        <v>26</v>
      </c>
      <c r="R1021" s="4">
        <v>0</v>
      </c>
      <c r="S1021" s="4" t="s">
        <v>339</v>
      </c>
      <c r="U1021" s="4">
        <v>40</v>
      </c>
      <c r="V1021" s="4">
        <v>0</v>
      </c>
      <c r="W1021" s="4">
        <v>0</v>
      </c>
    </row>
    <row r="1022" spans="1:23" ht="11.25" customHeight="1" x14ac:dyDescent="0.25">
      <c r="A1022" s="4" t="s">
        <v>27</v>
      </c>
      <c r="B1022" s="4" t="s">
        <v>41</v>
      </c>
      <c r="C1022" s="4" t="s">
        <v>42</v>
      </c>
      <c r="D1022" s="4" t="s">
        <v>38</v>
      </c>
      <c r="E1022" s="4" t="s">
        <v>25</v>
      </c>
      <c r="F1022" s="4" t="s">
        <v>25</v>
      </c>
      <c r="G1022" s="4" t="s">
        <v>25</v>
      </c>
      <c r="H1022" s="4" t="s">
        <v>25</v>
      </c>
      <c r="I1022" s="5">
        <v>44501</v>
      </c>
      <c r="J1022" s="6">
        <v>45</v>
      </c>
      <c r="K1022" s="6">
        <v>45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4" t="s">
        <v>26</v>
      </c>
      <c r="R1022" s="4">
        <v>0</v>
      </c>
      <c r="S1022" s="4" t="s">
        <v>339</v>
      </c>
      <c r="U1022" s="4">
        <v>40</v>
      </c>
      <c r="V1022" s="4">
        <v>0</v>
      </c>
      <c r="W1022" s="4">
        <v>0</v>
      </c>
    </row>
    <row r="1023" spans="1:23" ht="11.25" customHeight="1" x14ac:dyDescent="0.25">
      <c r="A1023" s="4" t="s">
        <v>28</v>
      </c>
      <c r="B1023" s="4" t="s">
        <v>41</v>
      </c>
      <c r="C1023" s="4" t="s">
        <v>42</v>
      </c>
      <c r="D1023" s="4" t="s">
        <v>38</v>
      </c>
      <c r="E1023" s="4" t="s">
        <v>25</v>
      </c>
      <c r="F1023" s="4" t="s">
        <v>25</v>
      </c>
      <c r="G1023" s="4" t="s">
        <v>25</v>
      </c>
      <c r="H1023" s="4" t="s">
        <v>25</v>
      </c>
      <c r="I1023" s="5">
        <v>44501</v>
      </c>
      <c r="J1023" s="6">
        <v>8387</v>
      </c>
      <c r="K1023" s="6">
        <v>8387</v>
      </c>
      <c r="L1023" s="6">
        <v>0</v>
      </c>
      <c r="M1023" s="6">
        <v>0</v>
      </c>
      <c r="N1023" s="6">
        <v>0</v>
      </c>
      <c r="O1023" s="6">
        <v>0</v>
      </c>
      <c r="P1023" s="6">
        <v>41</v>
      </c>
      <c r="Q1023" s="4" t="s">
        <v>26</v>
      </c>
      <c r="R1023" s="4">
        <v>0</v>
      </c>
      <c r="S1023" s="4" t="s">
        <v>339</v>
      </c>
      <c r="U1023" s="4">
        <v>40</v>
      </c>
      <c r="V1023" s="4">
        <v>0</v>
      </c>
      <c r="W1023" s="4">
        <v>0</v>
      </c>
    </row>
    <row r="1024" spans="1:23" ht="11.25" customHeight="1" x14ac:dyDescent="0.25">
      <c r="A1024" s="4" t="s">
        <v>21</v>
      </c>
      <c r="B1024" s="4" t="s">
        <v>41</v>
      </c>
      <c r="C1024" s="4" t="s">
        <v>42</v>
      </c>
      <c r="D1024" s="4" t="s">
        <v>38</v>
      </c>
      <c r="E1024" s="4" t="s">
        <v>25</v>
      </c>
      <c r="F1024" s="4" t="s">
        <v>25</v>
      </c>
      <c r="G1024" s="4" t="s">
        <v>25</v>
      </c>
      <c r="H1024" s="4" t="s">
        <v>25</v>
      </c>
      <c r="I1024" s="5">
        <v>44501</v>
      </c>
      <c r="J1024" s="6">
        <v>3500</v>
      </c>
      <c r="K1024" s="6">
        <v>3500</v>
      </c>
      <c r="L1024" s="6">
        <v>0</v>
      </c>
      <c r="M1024" s="6">
        <v>0</v>
      </c>
      <c r="N1024" s="6">
        <v>0</v>
      </c>
      <c r="O1024" s="6">
        <v>0</v>
      </c>
      <c r="P1024" s="6">
        <v>1</v>
      </c>
      <c r="Q1024" s="4" t="s">
        <v>58</v>
      </c>
      <c r="R1024" s="4">
        <v>0</v>
      </c>
      <c r="S1024" s="4" t="s">
        <v>339</v>
      </c>
      <c r="U1024" s="4">
        <v>40</v>
      </c>
      <c r="V1024" s="4">
        <v>0</v>
      </c>
      <c r="W1024" s="4">
        <v>0</v>
      </c>
    </row>
    <row r="1025" spans="1:23" ht="11.25" customHeight="1" x14ac:dyDescent="0.25">
      <c r="A1025" s="4" t="s">
        <v>21</v>
      </c>
      <c r="B1025" s="4" t="s">
        <v>41</v>
      </c>
      <c r="C1025" s="4" t="s">
        <v>42</v>
      </c>
      <c r="D1025" s="4" t="s">
        <v>38</v>
      </c>
      <c r="E1025" s="4" t="s">
        <v>25</v>
      </c>
      <c r="F1025" s="4" t="s">
        <v>25</v>
      </c>
      <c r="G1025" s="4" t="s">
        <v>25</v>
      </c>
      <c r="H1025" s="4" t="s">
        <v>25</v>
      </c>
      <c r="I1025" s="5">
        <v>44531</v>
      </c>
      <c r="J1025" s="6">
        <v>47129</v>
      </c>
      <c r="K1025" s="6">
        <v>47129</v>
      </c>
      <c r="L1025" s="6">
        <v>0</v>
      </c>
      <c r="M1025" s="6">
        <v>0</v>
      </c>
      <c r="N1025" s="6">
        <v>0</v>
      </c>
      <c r="O1025" s="6">
        <v>0</v>
      </c>
      <c r="P1025" s="6">
        <v>268</v>
      </c>
      <c r="Q1025" s="4" t="s">
        <v>26</v>
      </c>
      <c r="R1025" s="4">
        <v>0</v>
      </c>
      <c r="S1025" s="4" t="s">
        <v>340</v>
      </c>
      <c r="U1025" s="4">
        <v>40</v>
      </c>
      <c r="V1025" s="4">
        <v>0</v>
      </c>
      <c r="W1025" s="4">
        <v>0</v>
      </c>
    </row>
    <row r="1026" spans="1:23" ht="11.25" customHeight="1" x14ac:dyDescent="0.25">
      <c r="A1026" s="4" t="s">
        <v>27</v>
      </c>
      <c r="B1026" s="4" t="s">
        <v>41</v>
      </c>
      <c r="C1026" s="4" t="s">
        <v>42</v>
      </c>
      <c r="D1026" s="4" t="s">
        <v>38</v>
      </c>
      <c r="E1026" s="4" t="s">
        <v>25</v>
      </c>
      <c r="F1026" s="4" t="s">
        <v>25</v>
      </c>
      <c r="G1026" s="4" t="s">
        <v>25</v>
      </c>
      <c r="H1026" s="4" t="s">
        <v>25</v>
      </c>
      <c r="I1026" s="5">
        <v>44531</v>
      </c>
      <c r="J1026" s="6">
        <v>-226</v>
      </c>
      <c r="K1026" s="6">
        <v>-226</v>
      </c>
      <c r="L1026" s="6">
        <v>0</v>
      </c>
      <c r="M1026" s="6">
        <v>0</v>
      </c>
      <c r="N1026" s="6">
        <v>0</v>
      </c>
      <c r="O1026" s="6">
        <v>0</v>
      </c>
      <c r="P1026" s="6">
        <v>-1</v>
      </c>
      <c r="Q1026" s="4" t="s">
        <v>26</v>
      </c>
      <c r="R1026" s="4">
        <v>0</v>
      </c>
      <c r="S1026" s="4" t="s">
        <v>340</v>
      </c>
      <c r="U1026" s="4">
        <v>40</v>
      </c>
      <c r="V1026" s="4">
        <v>0</v>
      </c>
      <c r="W1026" s="4">
        <v>0</v>
      </c>
    </row>
    <row r="1027" spans="1:23" ht="11.25" customHeight="1" x14ac:dyDescent="0.25">
      <c r="A1027" s="4" t="s">
        <v>28</v>
      </c>
      <c r="B1027" s="4" t="s">
        <v>41</v>
      </c>
      <c r="C1027" s="4" t="s">
        <v>42</v>
      </c>
      <c r="D1027" s="4" t="s">
        <v>38</v>
      </c>
      <c r="E1027" s="4" t="s">
        <v>25</v>
      </c>
      <c r="F1027" s="4" t="s">
        <v>25</v>
      </c>
      <c r="G1027" s="4" t="s">
        <v>25</v>
      </c>
      <c r="H1027" s="4" t="s">
        <v>25</v>
      </c>
      <c r="I1027" s="5">
        <v>44531</v>
      </c>
      <c r="J1027" s="6">
        <v>9053</v>
      </c>
      <c r="K1027" s="6">
        <v>9053</v>
      </c>
      <c r="L1027" s="6">
        <v>0</v>
      </c>
      <c r="M1027" s="6">
        <v>0</v>
      </c>
      <c r="N1027" s="6">
        <v>0</v>
      </c>
      <c r="O1027" s="6">
        <v>0</v>
      </c>
      <c r="P1027" s="6">
        <v>43</v>
      </c>
      <c r="Q1027" s="4" t="s">
        <v>26</v>
      </c>
      <c r="R1027" s="4">
        <v>0</v>
      </c>
      <c r="S1027" s="4" t="s">
        <v>340</v>
      </c>
      <c r="U1027" s="4">
        <v>40</v>
      </c>
      <c r="V1027" s="4">
        <v>0</v>
      </c>
      <c r="W1027" s="4">
        <v>0</v>
      </c>
    </row>
    <row r="1028" spans="1:23" ht="11.25" customHeight="1" x14ac:dyDescent="0.25">
      <c r="A1028" s="4" t="s">
        <v>21</v>
      </c>
      <c r="B1028" s="4" t="s">
        <v>41</v>
      </c>
      <c r="C1028" s="4" t="s">
        <v>42</v>
      </c>
      <c r="D1028" s="4" t="s">
        <v>38</v>
      </c>
      <c r="E1028" s="4" t="s">
        <v>25</v>
      </c>
      <c r="F1028" s="4" t="s">
        <v>25</v>
      </c>
      <c r="G1028" s="4" t="s">
        <v>25</v>
      </c>
      <c r="H1028" s="4" t="s">
        <v>25</v>
      </c>
      <c r="I1028" s="5">
        <v>44531</v>
      </c>
      <c r="J1028" s="6">
        <v>3500</v>
      </c>
      <c r="K1028" s="6">
        <v>3500</v>
      </c>
      <c r="L1028" s="6">
        <v>0</v>
      </c>
      <c r="M1028" s="6">
        <v>0</v>
      </c>
      <c r="N1028" s="6">
        <v>0</v>
      </c>
      <c r="O1028" s="6">
        <v>0</v>
      </c>
      <c r="P1028" s="6">
        <v>1</v>
      </c>
      <c r="Q1028" s="4" t="s">
        <v>58</v>
      </c>
      <c r="R1028" s="4">
        <v>0</v>
      </c>
      <c r="S1028" s="4" t="s">
        <v>340</v>
      </c>
      <c r="U1028" s="4">
        <v>40</v>
      </c>
      <c r="V1028" s="4">
        <v>0</v>
      </c>
      <c r="W1028" s="4">
        <v>0</v>
      </c>
    </row>
    <row r="1029" spans="1:23" ht="11.25" customHeight="1" x14ac:dyDescent="0.25">
      <c r="A1029" s="4" t="s">
        <v>21</v>
      </c>
      <c r="B1029" s="4" t="s">
        <v>41</v>
      </c>
      <c r="C1029" s="4" t="s">
        <v>42</v>
      </c>
      <c r="D1029" s="4" t="s">
        <v>38</v>
      </c>
      <c r="E1029" s="4" t="s">
        <v>25</v>
      </c>
      <c r="F1029" s="4" t="s">
        <v>25</v>
      </c>
      <c r="G1029" s="4" t="s">
        <v>25</v>
      </c>
      <c r="H1029" s="4" t="s">
        <v>25</v>
      </c>
      <c r="I1029" s="5">
        <v>44562</v>
      </c>
      <c r="J1029" s="6">
        <v>48277</v>
      </c>
      <c r="K1029" s="6">
        <v>48277</v>
      </c>
      <c r="L1029" s="6">
        <v>0</v>
      </c>
      <c r="M1029" s="6">
        <v>0</v>
      </c>
      <c r="N1029" s="6">
        <v>0</v>
      </c>
      <c r="O1029" s="6">
        <v>0</v>
      </c>
      <c r="P1029" s="6">
        <v>269</v>
      </c>
      <c r="Q1029" s="4" t="s">
        <v>26</v>
      </c>
      <c r="R1029" s="4">
        <v>0</v>
      </c>
      <c r="S1029" s="4" t="s">
        <v>341</v>
      </c>
      <c r="U1029" s="4">
        <v>40</v>
      </c>
      <c r="V1029" s="4">
        <v>0</v>
      </c>
      <c r="W1029" s="4">
        <v>0</v>
      </c>
    </row>
    <row r="1030" spans="1:23" ht="11.25" customHeight="1" x14ac:dyDescent="0.25">
      <c r="A1030" s="4" t="s">
        <v>28</v>
      </c>
      <c r="B1030" s="4" t="s">
        <v>41</v>
      </c>
      <c r="C1030" s="4" t="s">
        <v>42</v>
      </c>
      <c r="D1030" s="4" t="s">
        <v>38</v>
      </c>
      <c r="E1030" s="4" t="s">
        <v>25</v>
      </c>
      <c r="F1030" s="4" t="s">
        <v>25</v>
      </c>
      <c r="G1030" s="4" t="s">
        <v>25</v>
      </c>
      <c r="H1030" s="4" t="s">
        <v>25</v>
      </c>
      <c r="I1030" s="5">
        <v>44562</v>
      </c>
      <c r="J1030" s="6">
        <v>8554</v>
      </c>
      <c r="K1030" s="6">
        <v>8554</v>
      </c>
      <c r="L1030" s="6">
        <v>0</v>
      </c>
      <c r="M1030" s="6">
        <v>0</v>
      </c>
      <c r="N1030" s="6">
        <v>0</v>
      </c>
      <c r="O1030" s="6">
        <v>0</v>
      </c>
      <c r="P1030" s="6">
        <v>44</v>
      </c>
      <c r="Q1030" s="4" t="s">
        <v>26</v>
      </c>
      <c r="R1030" s="4">
        <v>0</v>
      </c>
      <c r="S1030" s="4" t="s">
        <v>341</v>
      </c>
      <c r="U1030" s="4">
        <v>40</v>
      </c>
      <c r="V1030" s="4">
        <v>0</v>
      </c>
      <c r="W1030" s="4">
        <v>0</v>
      </c>
    </row>
    <row r="1031" spans="1:23" ht="11.25" customHeight="1" x14ac:dyDescent="0.25">
      <c r="A1031" s="4" t="s">
        <v>21</v>
      </c>
      <c r="B1031" s="4" t="s">
        <v>41</v>
      </c>
      <c r="C1031" s="4" t="s">
        <v>42</v>
      </c>
      <c r="D1031" s="4" t="s">
        <v>38</v>
      </c>
      <c r="E1031" s="4" t="s">
        <v>25</v>
      </c>
      <c r="F1031" s="4" t="s">
        <v>25</v>
      </c>
      <c r="G1031" s="4" t="s">
        <v>25</v>
      </c>
      <c r="H1031" s="4" t="s">
        <v>25</v>
      </c>
      <c r="I1031" s="5">
        <v>44562</v>
      </c>
      <c r="J1031" s="6">
        <v>3500</v>
      </c>
      <c r="K1031" s="6">
        <v>3500</v>
      </c>
      <c r="L1031" s="6">
        <v>0</v>
      </c>
      <c r="M1031" s="6">
        <v>0</v>
      </c>
      <c r="N1031" s="6">
        <v>0</v>
      </c>
      <c r="O1031" s="6">
        <v>0</v>
      </c>
      <c r="P1031" s="6">
        <v>1</v>
      </c>
      <c r="Q1031" s="4" t="s">
        <v>58</v>
      </c>
      <c r="R1031" s="4">
        <v>0</v>
      </c>
      <c r="S1031" s="4" t="s">
        <v>341</v>
      </c>
      <c r="U1031" s="4">
        <v>40</v>
      </c>
      <c r="V1031" s="4">
        <v>0</v>
      </c>
      <c r="W1031" s="4">
        <v>0</v>
      </c>
    </row>
    <row r="1032" spans="1:23" ht="11.25" customHeight="1" x14ac:dyDescent="0.25">
      <c r="A1032" s="4" t="s">
        <v>21</v>
      </c>
      <c r="B1032" s="4" t="s">
        <v>41</v>
      </c>
      <c r="C1032" s="4" t="s">
        <v>42</v>
      </c>
      <c r="D1032" s="4" t="s">
        <v>38</v>
      </c>
      <c r="E1032" s="4" t="s">
        <v>25</v>
      </c>
      <c r="F1032" s="4" t="s">
        <v>25</v>
      </c>
      <c r="G1032" s="4" t="s">
        <v>25</v>
      </c>
      <c r="H1032" s="4" t="s">
        <v>25</v>
      </c>
      <c r="I1032" s="5">
        <v>44593</v>
      </c>
      <c r="J1032" s="6">
        <v>47002</v>
      </c>
      <c r="K1032" s="6">
        <v>47002</v>
      </c>
      <c r="L1032" s="6">
        <v>0</v>
      </c>
      <c r="M1032" s="6">
        <v>0</v>
      </c>
      <c r="N1032" s="6">
        <v>0</v>
      </c>
      <c r="O1032" s="6">
        <v>0</v>
      </c>
      <c r="P1032" s="6">
        <v>269</v>
      </c>
      <c r="Q1032" s="4" t="s">
        <v>26</v>
      </c>
      <c r="R1032" s="4">
        <v>0</v>
      </c>
      <c r="S1032" s="4" t="s">
        <v>342</v>
      </c>
      <c r="U1032" s="4">
        <v>40</v>
      </c>
      <c r="V1032" s="4">
        <v>0</v>
      </c>
      <c r="W1032" s="4">
        <v>0</v>
      </c>
    </row>
    <row r="1033" spans="1:23" ht="11.25" customHeight="1" x14ac:dyDescent="0.25">
      <c r="A1033" s="4" t="s">
        <v>28</v>
      </c>
      <c r="B1033" s="4" t="s">
        <v>41</v>
      </c>
      <c r="C1033" s="4" t="s">
        <v>42</v>
      </c>
      <c r="D1033" s="4" t="s">
        <v>38</v>
      </c>
      <c r="E1033" s="4" t="s">
        <v>25</v>
      </c>
      <c r="F1033" s="4" t="s">
        <v>25</v>
      </c>
      <c r="G1033" s="4" t="s">
        <v>25</v>
      </c>
      <c r="H1033" s="4" t="s">
        <v>25</v>
      </c>
      <c r="I1033" s="5">
        <v>44593</v>
      </c>
      <c r="J1033" s="6">
        <v>8519</v>
      </c>
      <c r="K1033" s="6">
        <v>8519</v>
      </c>
      <c r="L1033" s="6">
        <v>0</v>
      </c>
      <c r="M1033" s="6">
        <v>0</v>
      </c>
      <c r="N1033" s="6">
        <v>0</v>
      </c>
      <c r="O1033" s="6">
        <v>0</v>
      </c>
      <c r="P1033" s="6">
        <v>44</v>
      </c>
      <c r="Q1033" s="4" t="s">
        <v>26</v>
      </c>
      <c r="R1033" s="4">
        <v>0</v>
      </c>
      <c r="S1033" s="4" t="s">
        <v>342</v>
      </c>
      <c r="U1033" s="4">
        <v>40</v>
      </c>
      <c r="V1033" s="4">
        <v>0</v>
      </c>
      <c r="W1033" s="4">
        <v>0</v>
      </c>
    </row>
    <row r="1034" spans="1:23" ht="11.25" customHeight="1" x14ac:dyDescent="0.25">
      <c r="A1034" s="4" t="s">
        <v>21</v>
      </c>
      <c r="B1034" s="4" t="s">
        <v>41</v>
      </c>
      <c r="C1034" s="4" t="s">
        <v>42</v>
      </c>
      <c r="D1034" s="4" t="s">
        <v>38</v>
      </c>
      <c r="E1034" s="4" t="s">
        <v>25</v>
      </c>
      <c r="F1034" s="4" t="s">
        <v>25</v>
      </c>
      <c r="G1034" s="4" t="s">
        <v>25</v>
      </c>
      <c r="H1034" s="4" t="s">
        <v>25</v>
      </c>
      <c r="I1034" s="5">
        <v>44593</v>
      </c>
      <c r="J1034" s="6">
        <v>3500</v>
      </c>
      <c r="K1034" s="6">
        <v>3500</v>
      </c>
      <c r="L1034" s="6">
        <v>0</v>
      </c>
      <c r="M1034" s="6">
        <v>0</v>
      </c>
      <c r="N1034" s="6">
        <v>0</v>
      </c>
      <c r="O1034" s="6">
        <v>0</v>
      </c>
      <c r="P1034" s="6">
        <v>1</v>
      </c>
      <c r="Q1034" s="4" t="s">
        <v>58</v>
      </c>
      <c r="R1034" s="4">
        <v>0</v>
      </c>
      <c r="S1034" s="4" t="s">
        <v>342</v>
      </c>
      <c r="U1034" s="4">
        <v>40</v>
      </c>
      <c r="V1034" s="4">
        <v>0</v>
      </c>
      <c r="W1034" s="4">
        <v>0</v>
      </c>
    </row>
    <row r="1035" spans="1:23" ht="11.25" customHeight="1" x14ac:dyDescent="0.25">
      <c r="A1035" s="4" t="s">
        <v>21</v>
      </c>
      <c r="B1035" s="4" t="s">
        <v>41</v>
      </c>
      <c r="C1035" s="4" t="s">
        <v>42</v>
      </c>
      <c r="D1035" s="4" t="s">
        <v>38</v>
      </c>
      <c r="E1035" s="4" t="s">
        <v>25</v>
      </c>
      <c r="F1035" s="4" t="s">
        <v>25</v>
      </c>
      <c r="G1035" s="4" t="s">
        <v>25</v>
      </c>
      <c r="H1035" s="4" t="s">
        <v>25</v>
      </c>
      <c r="I1035" s="5">
        <v>44621</v>
      </c>
      <c r="J1035" s="6">
        <v>46095</v>
      </c>
      <c r="K1035" s="6">
        <v>46095</v>
      </c>
      <c r="L1035" s="6">
        <v>0</v>
      </c>
      <c r="M1035" s="6">
        <v>0</v>
      </c>
      <c r="N1035" s="6">
        <v>0</v>
      </c>
      <c r="O1035" s="6">
        <v>0</v>
      </c>
      <c r="P1035" s="6">
        <v>266</v>
      </c>
      <c r="Q1035" s="4" t="s">
        <v>26</v>
      </c>
      <c r="R1035" s="4">
        <v>0</v>
      </c>
      <c r="S1035" s="4" t="s">
        <v>343</v>
      </c>
      <c r="U1035" s="4">
        <v>40</v>
      </c>
      <c r="V1035" s="4">
        <v>0</v>
      </c>
      <c r="W1035" s="4">
        <v>0</v>
      </c>
    </row>
    <row r="1036" spans="1:23" ht="11.25" customHeight="1" x14ac:dyDescent="0.25">
      <c r="A1036" s="4" t="s">
        <v>28</v>
      </c>
      <c r="B1036" s="4" t="s">
        <v>41</v>
      </c>
      <c r="C1036" s="4" t="s">
        <v>42</v>
      </c>
      <c r="D1036" s="4" t="s">
        <v>38</v>
      </c>
      <c r="E1036" s="4" t="s">
        <v>25</v>
      </c>
      <c r="F1036" s="4" t="s">
        <v>25</v>
      </c>
      <c r="G1036" s="4" t="s">
        <v>25</v>
      </c>
      <c r="H1036" s="4" t="s">
        <v>25</v>
      </c>
      <c r="I1036" s="5">
        <v>44621</v>
      </c>
      <c r="J1036" s="6">
        <v>9261</v>
      </c>
      <c r="K1036" s="6">
        <v>9261</v>
      </c>
      <c r="L1036" s="6">
        <v>0</v>
      </c>
      <c r="M1036" s="6">
        <v>0</v>
      </c>
      <c r="N1036" s="6">
        <v>0</v>
      </c>
      <c r="O1036" s="6">
        <v>0</v>
      </c>
      <c r="P1036" s="6">
        <v>47</v>
      </c>
      <c r="Q1036" s="4" t="s">
        <v>26</v>
      </c>
      <c r="R1036" s="4">
        <v>0</v>
      </c>
      <c r="S1036" s="4" t="s">
        <v>343</v>
      </c>
      <c r="U1036" s="4">
        <v>40</v>
      </c>
      <c r="V1036" s="4">
        <v>0</v>
      </c>
      <c r="W1036" s="4">
        <v>0</v>
      </c>
    </row>
    <row r="1037" spans="1:23" ht="11.25" customHeight="1" x14ac:dyDescent="0.25">
      <c r="A1037" s="4" t="s">
        <v>21</v>
      </c>
      <c r="B1037" s="4" t="s">
        <v>41</v>
      </c>
      <c r="C1037" s="4" t="s">
        <v>42</v>
      </c>
      <c r="D1037" s="4" t="s">
        <v>38</v>
      </c>
      <c r="E1037" s="4" t="s">
        <v>25</v>
      </c>
      <c r="F1037" s="4" t="s">
        <v>25</v>
      </c>
      <c r="G1037" s="4" t="s">
        <v>25</v>
      </c>
      <c r="H1037" s="4" t="s">
        <v>25</v>
      </c>
      <c r="I1037" s="5">
        <v>44621</v>
      </c>
      <c r="J1037" s="6">
        <v>3500</v>
      </c>
      <c r="K1037" s="6">
        <v>3500</v>
      </c>
      <c r="L1037" s="6">
        <v>0</v>
      </c>
      <c r="M1037" s="6">
        <v>0</v>
      </c>
      <c r="N1037" s="6">
        <v>0</v>
      </c>
      <c r="O1037" s="6">
        <v>0</v>
      </c>
      <c r="P1037" s="6">
        <v>1</v>
      </c>
      <c r="Q1037" s="4" t="s">
        <v>58</v>
      </c>
      <c r="R1037" s="4">
        <v>0</v>
      </c>
      <c r="S1037" s="4" t="s">
        <v>343</v>
      </c>
      <c r="U1037" s="4">
        <v>40</v>
      </c>
      <c r="V1037" s="4">
        <v>0</v>
      </c>
      <c r="W1037" s="4">
        <v>0</v>
      </c>
    </row>
    <row r="1038" spans="1:23" ht="11.25" customHeight="1" x14ac:dyDescent="0.25">
      <c r="A1038" s="4" t="s">
        <v>21</v>
      </c>
      <c r="B1038" s="4" t="s">
        <v>41</v>
      </c>
      <c r="C1038" s="4" t="s">
        <v>42</v>
      </c>
      <c r="D1038" s="4" t="s">
        <v>38</v>
      </c>
      <c r="E1038" s="4" t="s">
        <v>25</v>
      </c>
      <c r="F1038" s="4" t="s">
        <v>25</v>
      </c>
      <c r="G1038" s="4" t="s">
        <v>25</v>
      </c>
      <c r="H1038" s="4" t="s">
        <v>25</v>
      </c>
      <c r="I1038" s="5">
        <v>44652</v>
      </c>
      <c r="J1038" s="6">
        <v>44811</v>
      </c>
      <c r="K1038" s="6">
        <v>44811</v>
      </c>
      <c r="L1038" s="6">
        <v>0</v>
      </c>
      <c r="M1038" s="6">
        <v>0</v>
      </c>
      <c r="N1038" s="6">
        <v>0</v>
      </c>
      <c r="O1038" s="6">
        <v>0</v>
      </c>
      <c r="P1038" s="6">
        <v>268</v>
      </c>
      <c r="Q1038" s="4" t="s">
        <v>26</v>
      </c>
      <c r="R1038" s="4">
        <v>0</v>
      </c>
      <c r="S1038" s="4" t="s">
        <v>344</v>
      </c>
      <c r="U1038" s="4">
        <v>40</v>
      </c>
      <c r="V1038" s="4">
        <v>0</v>
      </c>
      <c r="W1038" s="4">
        <v>0</v>
      </c>
    </row>
    <row r="1039" spans="1:23" ht="11.25" customHeight="1" x14ac:dyDescent="0.25">
      <c r="A1039" s="4" t="s">
        <v>27</v>
      </c>
      <c r="B1039" s="4" t="s">
        <v>41</v>
      </c>
      <c r="C1039" s="4" t="s">
        <v>42</v>
      </c>
      <c r="D1039" s="4" t="s">
        <v>38</v>
      </c>
      <c r="E1039" s="4" t="s">
        <v>25</v>
      </c>
      <c r="F1039" s="4" t="s">
        <v>25</v>
      </c>
      <c r="G1039" s="4" t="s">
        <v>25</v>
      </c>
      <c r="H1039" s="4" t="s">
        <v>25</v>
      </c>
      <c r="I1039" s="5">
        <v>44652</v>
      </c>
      <c r="J1039" s="6">
        <v>-259</v>
      </c>
      <c r="K1039" s="6">
        <v>-259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4" t="s">
        <v>26</v>
      </c>
      <c r="R1039" s="4">
        <v>0</v>
      </c>
      <c r="S1039" s="4" t="s">
        <v>344</v>
      </c>
      <c r="U1039" s="4">
        <v>40</v>
      </c>
      <c r="V1039" s="4">
        <v>0</v>
      </c>
      <c r="W1039" s="4">
        <v>0</v>
      </c>
    </row>
    <row r="1040" spans="1:23" ht="11.25" customHeight="1" x14ac:dyDescent="0.25">
      <c r="A1040" s="4" t="s">
        <v>28</v>
      </c>
      <c r="B1040" s="4" t="s">
        <v>41</v>
      </c>
      <c r="C1040" s="4" t="s">
        <v>42</v>
      </c>
      <c r="D1040" s="4" t="s">
        <v>38</v>
      </c>
      <c r="E1040" s="4" t="s">
        <v>25</v>
      </c>
      <c r="F1040" s="4" t="s">
        <v>25</v>
      </c>
      <c r="G1040" s="4" t="s">
        <v>25</v>
      </c>
      <c r="H1040" s="4" t="s">
        <v>25</v>
      </c>
      <c r="I1040" s="5">
        <v>44652</v>
      </c>
      <c r="J1040" s="6">
        <v>9130</v>
      </c>
      <c r="K1040" s="6">
        <v>9130</v>
      </c>
      <c r="L1040" s="6">
        <v>0</v>
      </c>
      <c r="M1040" s="6">
        <v>0</v>
      </c>
      <c r="N1040" s="6">
        <v>0</v>
      </c>
      <c r="O1040" s="6">
        <v>0</v>
      </c>
      <c r="P1040" s="6">
        <v>46</v>
      </c>
      <c r="Q1040" s="4" t="s">
        <v>26</v>
      </c>
      <c r="R1040" s="4">
        <v>0</v>
      </c>
      <c r="S1040" s="4" t="s">
        <v>344</v>
      </c>
      <c r="U1040" s="4">
        <v>40</v>
      </c>
      <c r="V1040" s="4">
        <v>0</v>
      </c>
      <c r="W1040" s="4">
        <v>0</v>
      </c>
    </row>
    <row r="1041" spans="1:23" ht="11.25" customHeight="1" x14ac:dyDescent="0.25">
      <c r="A1041" s="4" t="s">
        <v>21</v>
      </c>
      <c r="B1041" s="4" t="s">
        <v>41</v>
      </c>
      <c r="C1041" s="4" t="s">
        <v>42</v>
      </c>
      <c r="D1041" s="4" t="s">
        <v>38</v>
      </c>
      <c r="E1041" s="4" t="s">
        <v>25</v>
      </c>
      <c r="F1041" s="4" t="s">
        <v>25</v>
      </c>
      <c r="G1041" s="4" t="s">
        <v>25</v>
      </c>
      <c r="H1041" s="4" t="s">
        <v>25</v>
      </c>
      <c r="I1041" s="5">
        <v>44652</v>
      </c>
      <c r="J1041" s="6">
        <v>3500</v>
      </c>
      <c r="K1041" s="6">
        <v>3500</v>
      </c>
      <c r="L1041" s="6">
        <v>0</v>
      </c>
      <c r="M1041" s="6">
        <v>0</v>
      </c>
      <c r="N1041" s="6">
        <v>0</v>
      </c>
      <c r="O1041" s="6">
        <v>0</v>
      </c>
      <c r="P1041" s="6">
        <v>1</v>
      </c>
      <c r="Q1041" s="4" t="s">
        <v>58</v>
      </c>
      <c r="R1041" s="4">
        <v>0</v>
      </c>
      <c r="S1041" s="4" t="s">
        <v>344</v>
      </c>
      <c r="U1041" s="4">
        <v>40</v>
      </c>
      <c r="V1041" s="4">
        <v>0</v>
      </c>
      <c r="W1041" s="4">
        <v>0</v>
      </c>
    </row>
    <row r="1042" spans="1:23" ht="11.25" customHeight="1" x14ac:dyDescent="0.25">
      <c r="A1042" s="4" t="s">
        <v>21</v>
      </c>
      <c r="B1042" s="4" t="s">
        <v>41</v>
      </c>
      <c r="C1042" s="4" t="s">
        <v>42</v>
      </c>
      <c r="D1042" s="4" t="s">
        <v>38</v>
      </c>
      <c r="E1042" s="4" t="s">
        <v>25</v>
      </c>
      <c r="F1042" s="4" t="s">
        <v>25</v>
      </c>
      <c r="G1042" s="4" t="s">
        <v>25</v>
      </c>
      <c r="H1042" s="4" t="s">
        <v>25</v>
      </c>
      <c r="I1042" s="5">
        <v>44682</v>
      </c>
      <c r="J1042" s="6">
        <v>44747</v>
      </c>
      <c r="K1042" s="6">
        <v>44747</v>
      </c>
      <c r="L1042" s="6">
        <v>0</v>
      </c>
      <c r="M1042" s="6">
        <v>0</v>
      </c>
      <c r="N1042" s="6">
        <v>0</v>
      </c>
      <c r="O1042" s="6">
        <v>0</v>
      </c>
      <c r="P1042" s="6">
        <v>261</v>
      </c>
      <c r="Q1042" s="4" t="s">
        <v>26</v>
      </c>
      <c r="R1042" s="4">
        <v>0</v>
      </c>
      <c r="S1042" s="4" t="s">
        <v>345</v>
      </c>
      <c r="U1042" s="4">
        <v>40</v>
      </c>
      <c r="V1042" s="4">
        <v>0</v>
      </c>
      <c r="W1042" s="4">
        <v>0</v>
      </c>
    </row>
    <row r="1043" spans="1:23" ht="11.25" customHeight="1" x14ac:dyDescent="0.25">
      <c r="A1043" s="4" t="s">
        <v>28</v>
      </c>
      <c r="B1043" s="4" t="s">
        <v>41</v>
      </c>
      <c r="C1043" s="4" t="s">
        <v>42</v>
      </c>
      <c r="D1043" s="4" t="s">
        <v>38</v>
      </c>
      <c r="E1043" s="4" t="s">
        <v>25</v>
      </c>
      <c r="F1043" s="4" t="s">
        <v>25</v>
      </c>
      <c r="G1043" s="4" t="s">
        <v>25</v>
      </c>
      <c r="H1043" s="4" t="s">
        <v>25</v>
      </c>
      <c r="I1043" s="5">
        <v>44682</v>
      </c>
      <c r="J1043" s="6">
        <v>9683</v>
      </c>
      <c r="K1043" s="6">
        <v>9683</v>
      </c>
      <c r="L1043" s="6">
        <v>0</v>
      </c>
      <c r="M1043" s="6">
        <v>0</v>
      </c>
      <c r="N1043" s="6">
        <v>0</v>
      </c>
      <c r="O1043" s="6">
        <v>0</v>
      </c>
      <c r="P1043" s="6">
        <v>48</v>
      </c>
      <c r="Q1043" s="4" t="s">
        <v>26</v>
      </c>
      <c r="R1043" s="4">
        <v>0</v>
      </c>
      <c r="S1043" s="4" t="s">
        <v>345</v>
      </c>
      <c r="U1043" s="4">
        <v>40</v>
      </c>
      <c r="V1043" s="4">
        <v>0</v>
      </c>
      <c r="W1043" s="4">
        <v>0</v>
      </c>
    </row>
    <row r="1044" spans="1:23" ht="11.25" customHeight="1" x14ac:dyDescent="0.25">
      <c r="A1044" s="4" t="s">
        <v>21</v>
      </c>
      <c r="B1044" s="4" t="s">
        <v>41</v>
      </c>
      <c r="C1044" s="4" t="s">
        <v>42</v>
      </c>
      <c r="D1044" s="4" t="s">
        <v>38</v>
      </c>
      <c r="E1044" s="4" t="s">
        <v>25</v>
      </c>
      <c r="F1044" s="4" t="s">
        <v>25</v>
      </c>
      <c r="G1044" s="4" t="s">
        <v>25</v>
      </c>
      <c r="H1044" s="4" t="s">
        <v>25</v>
      </c>
      <c r="I1044" s="5">
        <v>44682</v>
      </c>
      <c r="J1044" s="6">
        <v>3500</v>
      </c>
      <c r="K1044" s="6">
        <v>3500</v>
      </c>
      <c r="L1044" s="6">
        <v>0</v>
      </c>
      <c r="M1044" s="6">
        <v>0</v>
      </c>
      <c r="N1044" s="6">
        <v>0</v>
      </c>
      <c r="O1044" s="6">
        <v>0</v>
      </c>
      <c r="P1044" s="6">
        <v>1</v>
      </c>
      <c r="Q1044" s="4" t="s">
        <v>58</v>
      </c>
      <c r="R1044" s="4">
        <v>0</v>
      </c>
      <c r="S1044" s="4" t="s">
        <v>345</v>
      </c>
      <c r="U1044" s="4">
        <v>40</v>
      </c>
      <c r="V1044" s="4">
        <v>0</v>
      </c>
      <c r="W1044" s="4">
        <v>0</v>
      </c>
    </row>
    <row r="1045" spans="1:23" ht="11.25" customHeight="1" x14ac:dyDescent="0.25">
      <c r="A1045" s="4" t="s">
        <v>21</v>
      </c>
      <c r="B1045" s="4" t="s">
        <v>41</v>
      </c>
      <c r="C1045" s="4" t="s">
        <v>42</v>
      </c>
      <c r="D1045" s="4" t="s">
        <v>38</v>
      </c>
      <c r="E1045" s="4" t="s">
        <v>25</v>
      </c>
      <c r="F1045" s="4" t="s">
        <v>25</v>
      </c>
      <c r="G1045" s="4" t="s">
        <v>25</v>
      </c>
      <c r="H1045" s="4" t="s">
        <v>25</v>
      </c>
      <c r="I1045" s="5">
        <v>44713</v>
      </c>
      <c r="J1045" s="6">
        <v>44992</v>
      </c>
      <c r="K1045" s="6">
        <v>44992</v>
      </c>
      <c r="L1045" s="6">
        <v>0</v>
      </c>
      <c r="M1045" s="6">
        <v>0</v>
      </c>
      <c r="N1045" s="6">
        <v>0</v>
      </c>
      <c r="O1045" s="6">
        <v>0</v>
      </c>
      <c r="P1045" s="6">
        <v>261</v>
      </c>
      <c r="Q1045" s="4" t="s">
        <v>26</v>
      </c>
      <c r="R1045" s="4">
        <v>0</v>
      </c>
      <c r="S1045" s="4" t="s">
        <v>346</v>
      </c>
      <c r="U1045" s="4">
        <v>40</v>
      </c>
      <c r="V1045" s="4">
        <v>0</v>
      </c>
      <c r="W1045" s="4">
        <v>0</v>
      </c>
    </row>
    <row r="1046" spans="1:23" ht="11.25" customHeight="1" x14ac:dyDescent="0.25">
      <c r="A1046" s="4" t="s">
        <v>28</v>
      </c>
      <c r="B1046" s="4" t="s">
        <v>41</v>
      </c>
      <c r="C1046" s="4" t="s">
        <v>42</v>
      </c>
      <c r="D1046" s="4" t="s">
        <v>38</v>
      </c>
      <c r="E1046" s="4" t="s">
        <v>25</v>
      </c>
      <c r="F1046" s="4" t="s">
        <v>25</v>
      </c>
      <c r="G1046" s="4" t="s">
        <v>25</v>
      </c>
      <c r="H1046" s="4" t="s">
        <v>25</v>
      </c>
      <c r="I1046" s="5">
        <v>44713</v>
      </c>
      <c r="J1046" s="6">
        <v>9757</v>
      </c>
      <c r="K1046" s="6">
        <v>9757</v>
      </c>
      <c r="L1046" s="6">
        <v>0</v>
      </c>
      <c r="M1046" s="6">
        <v>0</v>
      </c>
      <c r="N1046" s="6">
        <v>0</v>
      </c>
      <c r="O1046" s="6">
        <v>0</v>
      </c>
      <c r="P1046" s="6">
        <v>48</v>
      </c>
      <c r="Q1046" s="4" t="s">
        <v>26</v>
      </c>
      <c r="R1046" s="4">
        <v>0</v>
      </c>
      <c r="S1046" s="4" t="s">
        <v>346</v>
      </c>
      <c r="U1046" s="4">
        <v>40</v>
      </c>
      <c r="V1046" s="4">
        <v>0</v>
      </c>
      <c r="W1046" s="4">
        <v>0</v>
      </c>
    </row>
    <row r="1047" spans="1:23" ht="11.25" customHeight="1" x14ac:dyDescent="0.25">
      <c r="A1047" s="4" t="s">
        <v>57</v>
      </c>
      <c r="B1047" s="4" t="s">
        <v>41</v>
      </c>
      <c r="C1047" s="4" t="s">
        <v>42</v>
      </c>
      <c r="D1047" s="4" t="s">
        <v>38</v>
      </c>
      <c r="E1047" s="4" t="s">
        <v>25</v>
      </c>
      <c r="F1047" s="4" t="s">
        <v>25</v>
      </c>
      <c r="G1047" s="4" t="s">
        <v>25</v>
      </c>
      <c r="H1047" s="4" t="s">
        <v>25</v>
      </c>
      <c r="I1047" s="5">
        <v>44743</v>
      </c>
      <c r="J1047" s="6">
        <v>44992</v>
      </c>
      <c r="K1047" s="6">
        <v>44992</v>
      </c>
      <c r="L1047" s="6">
        <v>0</v>
      </c>
      <c r="M1047" s="6">
        <v>0</v>
      </c>
      <c r="N1047" s="6">
        <v>0</v>
      </c>
      <c r="O1047" s="6">
        <v>0</v>
      </c>
      <c r="P1047" s="6">
        <v>261</v>
      </c>
      <c r="Q1047" s="4" t="s">
        <v>26</v>
      </c>
      <c r="R1047" s="4">
        <v>0</v>
      </c>
      <c r="S1047" s="4" t="s">
        <v>347</v>
      </c>
      <c r="U1047" s="4">
        <v>40</v>
      </c>
      <c r="V1047" s="4">
        <v>0</v>
      </c>
      <c r="W1047" s="4">
        <v>0</v>
      </c>
    </row>
    <row r="1048" spans="1:23" ht="11.25" customHeight="1" x14ac:dyDescent="0.25">
      <c r="A1048" s="4" t="s">
        <v>57</v>
      </c>
      <c r="B1048" s="4" t="s">
        <v>41</v>
      </c>
      <c r="C1048" s="4" t="s">
        <v>42</v>
      </c>
      <c r="D1048" s="4" t="s">
        <v>38</v>
      </c>
      <c r="E1048" s="4" t="s">
        <v>25</v>
      </c>
      <c r="F1048" s="4" t="s">
        <v>25</v>
      </c>
      <c r="G1048" s="4" t="s">
        <v>25</v>
      </c>
      <c r="H1048" s="4" t="s">
        <v>25</v>
      </c>
      <c r="I1048" s="5">
        <v>44743</v>
      </c>
      <c r="J1048" s="6">
        <v>9757</v>
      </c>
      <c r="K1048" s="6">
        <v>9757</v>
      </c>
      <c r="L1048" s="6">
        <v>0</v>
      </c>
      <c r="M1048" s="6">
        <v>0</v>
      </c>
      <c r="N1048" s="6">
        <v>0</v>
      </c>
      <c r="O1048" s="6">
        <v>0</v>
      </c>
      <c r="P1048" s="6">
        <v>48</v>
      </c>
      <c r="Q1048" s="4" t="s">
        <v>26</v>
      </c>
      <c r="R1048" s="4">
        <v>0</v>
      </c>
      <c r="S1048" s="4" t="s">
        <v>347</v>
      </c>
      <c r="U1048" s="4">
        <v>40</v>
      </c>
      <c r="V1048" s="4">
        <v>0</v>
      </c>
      <c r="W1048" s="4">
        <v>0</v>
      </c>
    </row>
    <row r="1049" spans="1:23" ht="11.25" customHeight="1" x14ac:dyDescent="0.25">
      <c r="A1049" s="4" t="s">
        <v>21</v>
      </c>
      <c r="B1049" s="4" t="s">
        <v>41</v>
      </c>
      <c r="C1049" s="4" t="s">
        <v>42</v>
      </c>
      <c r="D1049" s="4" t="s">
        <v>38</v>
      </c>
      <c r="E1049" s="4" t="s">
        <v>25</v>
      </c>
      <c r="F1049" s="4" t="s">
        <v>25</v>
      </c>
      <c r="G1049" s="4" t="s">
        <v>25</v>
      </c>
      <c r="H1049" s="4" t="s">
        <v>34</v>
      </c>
      <c r="I1049" s="5">
        <v>44409</v>
      </c>
      <c r="J1049" s="6">
        <v>0</v>
      </c>
      <c r="K1049" s="6">
        <v>0</v>
      </c>
      <c r="L1049" s="6">
        <v>263.971</v>
      </c>
      <c r="M1049" s="6">
        <v>263.971</v>
      </c>
      <c r="N1049" s="6">
        <v>263.971</v>
      </c>
      <c r="O1049" s="6">
        <v>263.971</v>
      </c>
      <c r="P1049" s="6">
        <v>0</v>
      </c>
      <c r="Q1049" s="4" t="s">
        <v>26</v>
      </c>
      <c r="R1049" s="4">
        <v>0</v>
      </c>
      <c r="S1049" s="4" t="s">
        <v>348</v>
      </c>
      <c r="T1049" s="4" t="s">
        <v>613</v>
      </c>
      <c r="U1049" s="4">
        <v>0</v>
      </c>
      <c r="V1049" s="4">
        <v>42</v>
      </c>
      <c r="W1049" s="4">
        <v>66</v>
      </c>
    </row>
    <row r="1050" spans="1:23" ht="11.25" customHeight="1" x14ac:dyDescent="0.25">
      <c r="A1050" s="4" t="s">
        <v>27</v>
      </c>
      <c r="B1050" s="4" t="s">
        <v>41</v>
      </c>
      <c r="C1050" s="4" t="s">
        <v>42</v>
      </c>
      <c r="D1050" s="4" t="s">
        <v>38</v>
      </c>
      <c r="E1050" s="4" t="s">
        <v>25</v>
      </c>
      <c r="F1050" s="4" t="s">
        <v>25</v>
      </c>
      <c r="G1050" s="4" t="s">
        <v>25</v>
      </c>
      <c r="H1050" s="4" t="s">
        <v>34</v>
      </c>
      <c r="I1050" s="5">
        <v>44409</v>
      </c>
      <c r="J1050" s="6">
        <v>0</v>
      </c>
      <c r="K1050" s="6">
        <v>0</v>
      </c>
      <c r="L1050" s="6">
        <v>2.3780000000000001</v>
      </c>
      <c r="M1050" s="6">
        <v>2.3780000000000001</v>
      </c>
      <c r="N1050" s="6">
        <v>2.3780000000000001</v>
      </c>
      <c r="O1050" s="6">
        <v>2.3780000000000001</v>
      </c>
      <c r="P1050" s="6">
        <v>0</v>
      </c>
      <c r="Q1050" s="4" t="s">
        <v>26</v>
      </c>
      <c r="R1050" s="4">
        <v>0</v>
      </c>
      <c r="S1050" s="4" t="s">
        <v>348</v>
      </c>
      <c r="T1050" s="4" t="s">
        <v>613</v>
      </c>
      <c r="U1050" s="4">
        <v>0</v>
      </c>
      <c r="V1050" s="4">
        <v>42</v>
      </c>
      <c r="W1050" s="4">
        <v>66</v>
      </c>
    </row>
    <row r="1051" spans="1:23" ht="11.25" customHeight="1" x14ac:dyDescent="0.25">
      <c r="A1051" s="4" t="s">
        <v>28</v>
      </c>
      <c r="B1051" s="4" t="s">
        <v>41</v>
      </c>
      <c r="C1051" s="4" t="s">
        <v>42</v>
      </c>
      <c r="D1051" s="4" t="s">
        <v>38</v>
      </c>
      <c r="E1051" s="4" t="s">
        <v>25</v>
      </c>
      <c r="F1051" s="4" t="s">
        <v>25</v>
      </c>
      <c r="G1051" s="4" t="s">
        <v>25</v>
      </c>
      <c r="H1051" s="4" t="s">
        <v>34</v>
      </c>
      <c r="I1051" s="5">
        <v>44409</v>
      </c>
      <c r="J1051" s="6">
        <v>0</v>
      </c>
      <c r="K1051" s="6">
        <v>0</v>
      </c>
      <c r="L1051" s="6">
        <v>13.427</v>
      </c>
      <c r="M1051" s="6">
        <v>13.427</v>
      </c>
      <c r="N1051" s="6">
        <v>13.427</v>
      </c>
      <c r="O1051" s="6">
        <v>13.427</v>
      </c>
      <c r="P1051" s="6">
        <v>0</v>
      </c>
      <c r="Q1051" s="4" t="s">
        <v>26</v>
      </c>
      <c r="R1051" s="4">
        <v>0</v>
      </c>
      <c r="S1051" s="4" t="s">
        <v>348</v>
      </c>
      <c r="T1051" s="4" t="s">
        <v>613</v>
      </c>
      <c r="U1051" s="4">
        <v>0</v>
      </c>
      <c r="V1051" s="4">
        <v>42</v>
      </c>
      <c r="W1051" s="4">
        <v>66</v>
      </c>
    </row>
    <row r="1052" spans="1:23" ht="11.25" customHeight="1" x14ac:dyDescent="0.25">
      <c r="A1052" s="4" t="s">
        <v>21</v>
      </c>
      <c r="B1052" s="4" t="s">
        <v>41</v>
      </c>
      <c r="C1052" s="4" t="s">
        <v>42</v>
      </c>
      <c r="D1052" s="4" t="s">
        <v>38</v>
      </c>
      <c r="E1052" s="4" t="s">
        <v>25</v>
      </c>
      <c r="F1052" s="4" t="s">
        <v>25</v>
      </c>
      <c r="G1052" s="4" t="s">
        <v>25</v>
      </c>
      <c r="H1052" s="4" t="s">
        <v>34</v>
      </c>
      <c r="I1052" s="5">
        <v>44409</v>
      </c>
      <c r="J1052" s="6">
        <v>0</v>
      </c>
      <c r="K1052" s="6">
        <v>0</v>
      </c>
      <c r="L1052" s="6">
        <v>1.2110000000000001</v>
      </c>
      <c r="M1052" s="6">
        <v>1.2110000000000001</v>
      </c>
      <c r="N1052" s="6">
        <v>0</v>
      </c>
      <c r="O1052" s="6">
        <v>0</v>
      </c>
      <c r="P1052" s="6">
        <v>0</v>
      </c>
      <c r="Q1052" s="4" t="s">
        <v>58</v>
      </c>
      <c r="R1052" s="4">
        <v>0</v>
      </c>
      <c r="S1052" s="4" t="s">
        <v>348</v>
      </c>
      <c r="U1052" s="4">
        <v>0</v>
      </c>
      <c r="V1052" s="4">
        <v>42</v>
      </c>
      <c r="W1052" s="4">
        <v>0</v>
      </c>
    </row>
    <row r="1053" spans="1:23" ht="11.25" customHeight="1" x14ac:dyDescent="0.25">
      <c r="A1053" s="4" t="s">
        <v>21</v>
      </c>
      <c r="B1053" s="4" t="s">
        <v>41</v>
      </c>
      <c r="C1053" s="4" t="s">
        <v>42</v>
      </c>
      <c r="D1053" s="4" t="s">
        <v>38</v>
      </c>
      <c r="E1053" s="4" t="s">
        <v>25</v>
      </c>
      <c r="F1053" s="4" t="s">
        <v>25</v>
      </c>
      <c r="G1053" s="4" t="s">
        <v>25</v>
      </c>
      <c r="H1053" s="4" t="s">
        <v>34</v>
      </c>
      <c r="I1053" s="5">
        <v>44440</v>
      </c>
      <c r="J1053" s="6">
        <v>0</v>
      </c>
      <c r="K1053" s="6">
        <v>0</v>
      </c>
      <c r="L1053" s="6">
        <v>236.56899999999999</v>
      </c>
      <c r="M1053" s="6">
        <v>236.56899999999999</v>
      </c>
      <c r="N1053" s="6">
        <v>236.56899999999999</v>
      </c>
      <c r="O1053" s="6">
        <v>236.56899999999999</v>
      </c>
      <c r="P1053" s="6">
        <v>0</v>
      </c>
      <c r="Q1053" s="4" t="s">
        <v>26</v>
      </c>
      <c r="R1053" s="4">
        <v>0</v>
      </c>
      <c r="S1053" s="4" t="s">
        <v>349</v>
      </c>
      <c r="T1053" s="4" t="s">
        <v>614</v>
      </c>
      <c r="U1053" s="4">
        <v>0</v>
      </c>
      <c r="V1053" s="4">
        <v>42</v>
      </c>
      <c r="W1053" s="4">
        <v>66</v>
      </c>
    </row>
    <row r="1054" spans="1:23" ht="11.25" customHeight="1" x14ac:dyDescent="0.25">
      <c r="A1054" s="4" t="s">
        <v>28</v>
      </c>
      <c r="B1054" s="4" t="s">
        <v>41</v>
      </c>
      <c r="C1054" s="4" t="s">
        <v>42</v>
      </c>
      <c r="D1054" s="4" t="s">
        <v>38</v>
      </c>
      <c r="E1054" s="4" t="s">
        <v>25</v>
      </c>
      <c r="F1054" s="4" t="s">
        <v>25</v>
      </c>
      <c r="G1054" s="4" t="s">
        <v>25</v>
      </c>
      <c r="H1054" s="4" t="s">
        <v>34</v>
      </c>
      <c r="I1054" s="5">
        <v>44440</v>
      </c>
      <c r="J1054" s="6">
        <v>0</v>
      </c>
      <c r="K1054" s="6">
        <v>0</v>
      </c>
      <c r="L1054" s="6">
        <v>29.055</v>
      </c>
      <c r="M1054" s="6">
        <v>29.055</v>
      </c>
      <c r="N1054" s="6">
        <v>29.055</v>
      </c>
      <c r="O1054" s="6">
        <v>29.055</v>
      </c>
      <c r="P1054" s="6">
        <v>0</v>
      </c>
      <c r="Q1054" s="4" t="s">
        <v>26</v>
      </c>
      <c r="R1054" s="4">
        <v>0</v>
      </c>
      <c r="S1054" s="4" t="s">
        <v>349</v>
      </c>
      <c r="T1054" s="4" t="s">
        <v>614</v>
      </c>
      <c r="U1054" s="4">
        <v>0</v>
      </c>
      <c r="V1054" s="4">
        <v>42</v>
      </c>
      <c r="W1054" s="4">
        <v>66</v>
      </c>
    </row>
    <row r="1055" spans="1:23" ht="11.25" customHeight="1" x14ac:dyDescent="0.25">
      <c r="A1055" s="4" t="s">
        <v>21</v>
      </c>
      <c r="B1055" s="4" t="s">
        <v>41</v>
      </c>
      <c r="C1055" s="4" t="s">
        <v>42</v>
      </c>
      <c r="D1055" s="4" t="s">
        <v>38</v>
      </c>
      <c r="E1055" s="4" t="s">
        <v>25</v>
      </c>
      <c r="F1055" s="4" t="s">
        <v>25</v>
      </c>
      <c r="G1055" s="4" t="s">
        <v>25</v>
      </c>
      <c r="H1055" s="4" t="s">
        <v>34</v>
      </c>
      <c r="I1055" s="5">
        <v>44440</v>
      </c>
      <c r="J1055" s="6">
        <v>0</v>
      </c>
      <c r="K1055" s="6">
        <v>0</v>
      </c>
      <c r="L1055" s="6">
        <v>0.79300000000000004</v>
      </c>
      <c r="M1055" s="6">
        <v>0.79300000000000004</v>
      </c>
      <c r="N1055" s="6">
        <v>0</v>
      </c>
      <c r="O1055" s="6">
        <v>0</v>
      </c>
      <c r="P1055" s="6">
        <v>0</v>
      </c>
      <c r="Q1055" s="4" t="s">
        <v>58</v>
      </c>
      <c r="R1055" s="4">
        <v>0</v>
      </c>
      <c r="S1055" s="4" t="s">
        <v>349</v>
      </c>
      <c r="U1055" s="4">
        <v>0</v>
      </c>
      <c r="V1055" s="4">
        <v>42</v>
      </c>
      <c r="W1055" s="4">
        <v>0</v>
      </c>
    </row>
    <row r="1056" spans="1:23" ht="11.25" customHeight="1" x14ac:dyDescent="0.25">
      <c r="A1056" s="4" t="s">
        <v>21</v>
      </c>
      <c r="B1056" s="4" t="s">
        <v>41</v>
      </c>
      <c r="C1056" s="4" t="s">
        <v>42</v>
      </c>
      <c r="D1056" s="4" t="s">
        <v>38</v>
      </c>
      <c r="E1056" s="4" t="s">
        <v>25</v>
      </c>
      <c r="F1056" s="4" t="s">
        <v>25</v>
      </c>
      <c r="G1056" s="4" t="s">
        <v>25</v>
      </c>
      <c r="H1056" s="4" t="s">
        <v>34</v>
      </c>
      <c r="I1056" s="5">
        <v>44470</v>
      </c>
      <c r="J1056" s="6">
        <v>0</v>
      </c>
      <c r="K1056" s="6">
        <v>0</v>
      </c>
      <c r="L1056" s="6">
        <v>231.71100000000001</v>
      </c>
      <c r="M1056" s="6">
        <v>231.71100000000001</v>
      </c>
      <c r="N1056" s="6">
        <v>231.71100000000001</v>
      </c>
      <c r="O1056" s="6">
        <v>231.71100000000001</v>
      </c>
      <c r="P1056" s="6">
        <v>0</v>
      </c>
      <c r="Q1056" s="4" t="s">
        <v>26</v>
      </c>
      <c r="R1056" s="4">
        <v>0</v>
      </c>
      <c r="S1056" s="4" t="s">
        <v>350</v>
      </c>
      <c r="T1056" s="4" t="s">
        <v>615</v>
      </c>
      <c r="U1056" s="4">
        <v>0</v>
      </c>
      <c r="V1056" s="4">
        <v>42</v>
      </c>
      <c r="W1056" s="4">
        <v>66</v>
      </c>
    </row>
    <row r="1057" spans="1:23" ht="11.25" customHeight="1" x14ac:dyDescent="0.25">
      <c r="A1057" s="4" t="s">
        <v>28</v>
      </c>
      <c r="B1057" s="4" t="s">
        <v>41</v>
      </c>
      <c r="C1057" s="4" t="s">
        <v>42</v>
      </c>
      <c r="D1057" s="4" t="s">
        <v>38</v>
      </c>
      <c r="E1057" s="4" t="s">
        <v>25</v>
      </c>
      <c r="F1057" s="4" t="s">
        <v>25</v>
      </c>
      <c r="G1057" s="4" t="s">
        <v>25</v>
      </c>
      <c r="H1057" s="4" t="s">
        <v>34</v>
      </c>
      <c r="I1057" s="5">
        <v>44470</v>
      </c>
      <c r="J1057" s="6">
        <v>0</v>
      </c>
      <c r="K1057" s="6">
        <v>0</v>
      </c>
      <c r="L1057" s="6">
        <v>27.687000000000001</v>
      </c>
      <c r="M1057" s="6">
        <v>27.687000000000001</v>
      </c>
      <c r="N1057" s="6">
        <v>27.687000000000001</v>
      </c>
      <c r="O1057" s="6">
        <v>27.687000000000001</v>
      </c>
      <c r="P1057" s="6">
        <v>0</v>
      </c>
      <c r="Q1057" s="4" t="s">
        <v>26</v>
      </c>
      <c r="R1057" s="4">
        <v>0</v>
      </c>
      <c r="S1057" s="4" t="s">
        <v>350</v>
      </c>
      <c r="T1057" s="4" t="s">
        <v>615</v>
      </c>
      <c r="U1057" s="4">
        <v>0</v>
      </c>
      <c r="V1057" s="4">
        <v>42</v>
      </c>
      <c r="W1057" s="4">
        <v>66</v>
      </c>
    </row>
    <row r="1058" spans="1:23" ht="11.25" customHeight="1" x14ac:dyDescent="0.25">
      <c r="A1058" s="4" t="s">
        <v>28</v>
      </c>
      <c r="B1058" s="4" t="s">
        <v>41</v>
      </c>
      <c r="C1058" s="4" t="s">
        <v>42</v>
      </c>
      <c r="D1058" s="4" t="s">
        <v>38</v>
      </c>
      <c r="E1058" s="4" t="s">
        <v>25</v>
      </c>
      <c r="F1058" s="4" t="s">
        <v>25</v>
      </c>
      <c r="G1058" s="4" t="s">
        <v>25</v>
      </c>
      <c r="H1058" s="4" t="s">
        <v>34</v>
      </c>
      <c r="I1058" s="5">
        <v>44470</v>
      </c>
      <c r="J1058" s="6">
        <v>0</v>
      </c>
      <c r="K1058" s="6">
        <v>0</v>
      </c>
      <c r="L1058" s="6">
        <v>-1.62</v>
      </c>
      <c r="M1058" s="6">
        <v>-1.62</v>
      </c>
      <c r="N1058" s="6">
        <v>-1.62</v>
      </c>
      <c r="O1058" s="6">
        <v>-1.62</v>
      </c>
      <c r="P1058" s="6">
        <v>0</v>
      </c>
      <c r="Q1058" s="4" t="s">
        <v>26</v>
      </c>
      <c r="R1058" s="4">
        <v>0</v>
      </c>
      <c r="S1058" s="4" t="s">
        <v>350</v>
      </c>
      <c r="T1058" s="4" t="s">
        <v>615</v>
      </c>
      <c r="U1058" s="4">
        <v>0</v>
      </c>
      <c r="V1058" s="4">
        <v>42</v>
      </c>
      <c r="W1058" s="4">
        <v>66</v>
      </c>
    </row>
    <row r="1059" spans="1:23" ht="11.25" customHeight="1" x14ac:dyDescent="0.25">
      <c r="A1059" s="4" t="s">
        <v>21</v>
      </c>
      <c r="B1059" s="4" t="s">
        <v>41</v>
      </c>
      <c r="C1059" s="4" t="s">
        <v>42</v>
      </c>
      <c r="D1059" s="4" t="s">
        <v>38</v>
      </c>
      <c r="E1059" s="4" t="s">
        <v>25</v>
      </c>
      <c r="F1059" s="4" t="s">
        <v>25</v>
      </c>
      <c r="G1059" s="4" t="s">
        <v>25</v>
      </c>
      <c r="H1059" s="4" t="s">
        <v>34</v>
      </c>
      <c r="I1059" s="5">
        <v>44470</v>
      </c>
      <c r="J1059" s="6">
        <v>0</v>
      </c>
      <c r="K1059" s="6">
        <v>0</v>
      </c>
      <c r="L1059" s="6">
        <v>5.7480000000000002</v>
      </c>
      <c r="M1059" s="6">
        <v>5.7480000000000002</v>
      </c>
      <c r="N1059" s="6">
        <v>0</v>
      </c>
      <c r="O1059" s="6">
        <v>0</v>
      </c>
      <c r="P1059" s="6">
        <v>0</v>
      </c>
      <c r="Q1059" s="4" t="s">
        <v>58</v>
      </c>
      <c r="R1059" s="4">
        <v>0</v>
      </c>
      <c r="S1059" s="4" t="s">
        <v>350</v>
      </c>
      <c r="U1059" s="4">
        <v>0</v>
      </c>
      <c r="V1059" s="4">
        <v>42</v>
      </c>
      <c r="W1059" s="4">
        <v>0</v>
      </c>
    </row>
    <row r="1060" spans="1:23" ht="11.25" customHeight="1" x14ac:dyDescent="0.25">
      <c r="A1060" s="4" t="s">
        <v>21</v>
      </c>
      <c r="B1060" s="4" t="s">
        <v>41</v>
      </c>
      <c r="C1060" s="4" t="s">
        <v>42</v>
      </c>
      <c r="D1060" s="4" t="s">
        <v>38</v>
      </c>
      <c r="E1060" s="4" t="s">
        <v>25</v>
      </c>
      <c r="F1060" s="4" t="s">
        <v>25</v>
      </c>
      <c r="G1060" s="4" t="s">
        <v>25</v>
      </c>
      <c r="H1060" s="4" t="s">
        <v>34</v>
      </c>
      <c r="I1060" s="5">
        <v>44501</v>
      </c>
      <c r="J1060" s="6">
        <v>0</v>
      </c>
      <c r="K1060" s="6">
        <v>0</v>
      </c>
      <c r="L1060" s="6">
        <v>229.233</v>
      </c>
      <c r="M1060" s="6">
        <v>229.233</v>
      </c>
      <c r="N1060" s="6">
        <v>229.233</v>
      </c>
      <c r="O1060" s="6">
        <v>229.233</v>
      </c>
      <c r="P1060" s="6">
        <v>0</v>
      </c>
      <c r="Q1060" s="4" t="s">
        <v>26</v>
      </c>
      <c r="R1060" s="4">
        <v>0</v>
      </c>
      <c r="S1060" s="4" t="s">
        <v>351</v>
      </c>
      <c r="T1060" s="4" t="s">
        <v>616</v>
      </c>
      <c r="U1060" s="4">
        <v>0</v>
      </c>
      <c r="V1060" s="4">
        <v>42</v>
      </c>
      <c r="W1060" s="4">
        <v>66</v>
      </c>
    </row>
    <row r="1061" spans="1:23" ht="11.25" customHeight="1" x14ac:dyDescent="0.25">
      <c r="A1061" s="4" t="s">
        <v>27</v>
      </c>
      <c r="B1061" s="4" t="s">
        <v>41</v>
      </c>
      <c r="C1061" s="4" t="s">
        <v>42</v>
      </c>
      <c r="D1061" s="4" t="s">
        <v>38</v>
      </c>
      <c r="E1061" s="4" t="s">
        <v>25</v>
      </c>
      <c r="F1061" s="4" t="s">
        <v>25</v>
      </c>
      <c r="G1061" s="4" t="s">
        <v>25</v>
      </c>
      <c r="H1061" s="4" t="s">
        <v>34</v>
      </c>
      <c r="I1061" s="5">
        <v>44501</v>
      </c>
      <c r="J1061" s="6">
        <v>0</v>
      </c>
      <c r="K1061" s="6">
        <v>0</v>
      </c>
      <c r="L1061" s="6">
        <v>-0.35799999999999998</v>
      </c>
      <c r="M1061" s="6">
        <v>-0.35799999999999998</v>
      </c>
      <c r="N1061" s="6">
        <v>-0.35799999999999998</v>
      </c>
      <c r="O1061" s="6">
        <v>-0.35799999999999998</v>
      </c>
      <c r="P1061" s="6">
        <v>0</v>
      </c>
      <c r="Q1061" s="4" t="s">
        <v>26</v>
      </c>
      <c r="R1061" s="4">
        <v>0</v>
      </c>
      <c r="S1061" s="4" t="s">
        <v>351</v>
      </c>
      <c r="T1061" s="4" t="s">
        <v>616</v>
      </c>
      <c r="U1061" s="4">
        <v>0</v>
      </c>
      <c r="V1061" s="4">
        <v>42</v>
      </c>
      <c r="W1061" s="4">
        <v>66</v>
      </c>
    </row>
    <row r="1062" spans="1:23" ht="11.25" customHeight="1" x14ac:dyDescent="0.25">
      <c r="A1062" s="4" t="s">
        <v>28</v>
      </c>
      <c r="B1062" s="4" t="s">
        <v>41</v>
      </c>
      <c r="C1062" s="4" t="s">
        <v>42</v>
      </c>
      <c r="D1062" s="4" t="s">
        <v>38</v>
      </c>
      <c r="E1062" s="4" t="s">
        <v>25</v>
      </c>
      <c r="F1062" s="4" t="s">
        <v>25</v>
      </c>
      <c r="G1062" s="4" t="s">
        <v>25</v>
      </c>
      <c r="H1062" s="4" t="s">
        <v>34</v>
      </c>
      <c r="I1062" s="5">
        <v>44501</v>
      </c>
      <c r="J1062" s="6">
        <v>0</v>
      </c>
      <c r="K1062" s="6">
        <v>0</v>
      </c>
      <c r="L1062" s="6">
        <v>22.312999999999999</v>
      </c>
      <c r="M1062" s="6">
        <v>22.312999999999999</v>
      </c>
      <c r="N1062" s="6">
        <v>22.312999999999999</v>
      </c>
      <c r="O1062" s="6">
        <v>22.312999999999999</v>
      </c>
      <c r="P1062" s="6">
        <v>0</v>
      </c>
      <c r="Q1062" s="4" t="s">
        <v>26</v>
      </c>
      <c r="R1062" s="4">
        <v>0</v>
      </c>
      <c r="S1062" s="4" t="s">
        <v>351</v>
      </c>
      <c r="T1062" s="4" t="s">
        <v>616</v>
      </c>
      <c r="U1062" s="4">
        <v>0</v>
      </c>
      <c r="V1062" s="4">
        <v>42</v>
      </c>
      <c r="W1062" s="4">
        <v>66</v>
      </c>
    </row>
    <row r="1063" spans="1:23" ht="11.25" customHeight="1" x14ac:dyDescent="0.25">
      <c r="A1063" s="4" t="s">
        <v>21</v>
      </c>
      <c r="B1063" s="4" t="s">
        <v>41</v>
      </c>
      <c r="C1063" s="4" t="s">
        <v>42</v>
      </c>
      <c r="D1063" s="4" t="s">
        <v>38</v>
      </c>
      <c r="E1063" s="4" t="s">
        <v>25</v>
      </c>
      <c r="F1063" s="4" t="s">
        <v>25</v>
      </c>
      <c r="G1063" s="4" t="s">
        <v>25</v>
      </c>
      <c r="H1063" s="4" t="s">
        <v>34</v>
      </c>
      <c r="I1063" s="5">
        <v>44501</v>
      </c>
      <c r="J1063" s="6">
        <v>0</v>
      </c>
      <c r="K1063" s="6">
        <v>0</v>
      </c>
      <c r="L1063" s="6">
        <v>5.5090000000000003</v>
      </c>
      <c r="M1063" s="6">
        <v>5.5090000000000003</v>
      </c>
      <c r="N1063" s="6">
        <v>0</v>
      </c>
      <c r="O1063" s="6">
        <v>0</v>
      </c>
      <c r="P1063" s="6">
        <v>0</v>
      </c>
      <c r="Q1063" s="4" t="s">
        <v>58</v>
      </c>
      <c r="R1063" s="4">
        <v>0</v>
      </c>
      <c r="S1063" s="4" t="s">
        <v>351</v>
      </c>
      <c r="U1063" s="4">
        <v>0</v>
      </c>
      <c r="V1063" s="4">
        <v>42</v>
      </c>
      <c r="W1063" s="4">
        <v>0</v>
      </c>
    </row>
    <row r="1064" spans="1:23" ht="11.25" customHeight="1" x14ac:dyDescent="0.25">
      <c r="A1064" s="4" t="s">
        <v>21</v>
      </c>
      <c r="B1064" s="4" t="s">
        <v>41</v>
      </c>
      <c r="C1064" s="4" t="s">
        <v>42</v>
      </c>
      <c r="D1064" s="4" t="s">
        <v>38</v>
      </c>
      <c r="E1064" s="4" t="s">
        <v>25</v>
      </c>
      <c r="F1064" s="4" t="s">
        <v>25</v>
      </c>
      <c r="G1064" s="4" t="s">
        <v>25</v>
      </c>
      <c r="H1064" s="4" t="s">
        <v>34</v>
      </c>
      <c r="I1064" s="5">
        <v>44531</v>
      </c>
      <c r="J1064" s="6">
        <v>0</v>
      </c>
      <c r="K1064" s="6">
        <v>0</v>
      </c>
      <c r="L1064" s="6">
        <v>252.99600000000001</v>
      </c>
      <c r="M1064" s="6">
        <v>252.99600000000001</v>
      </c>
      <c r="N1064" s="6">
        <v>252.99600000000001</v>
      </c>
      <c r="O1064" s="6">
        <v>252.99600000000001</v>
      </c>
      <c r="P1064" s="6">
        <v>0</v>
      </c>
      <c r="Q1064" s="4" t="s">
        <v>26</v>
      </c>
      <c r="R1064" s="4">
        <v>0</v>
      </c>
      <c r="S1064" s="4" t="s">
        <v>352</v>
      </c>
      <c r="T1064" s="4" t="s">
        <v>617</v>
      </c>
      <c r="U1064" s="4">
        <v>0</v>
      </c>
      <c r="V1064" s="4">
        <v>42</v>
      </c>
      <c r="W1064" s="4">
        <v>66</v>
      </c>
    </row>
    <row r="1065" spans="1:23" ht="11.25" customHeight="1" x14ac:dyDescent="0.25">
      <c r="A1065" s="4" t="s">
        <v>27</v>
      </c>
      <c r="B1065" s="4" t="s">
        <v>41</v>
      </c>
      <c r="C1065" s="4" t="s">
        <v>42</v>
      </c>
      <c r="D1065" s="4" t="s">
        <v>38</v>
      </c>
      <c r="E1065" s="4" t="s">
        <v>25</v>
      </c>
      <c r="F1065" s="4" t="s">
        <v>25</v>
      </c>
      <c r="G1065" s="4" t="s">
        <v>25</v>
      </c>
      <c r="H1065" s="4" t="s">
        <v>34</v>
      </c>
      <c r="I1065" s="5">
        <v>44531</v>
      </c>
      <c r="J1065" s="6">
        <v>0</v>
      </c>
      <c r="K1065" s="6">
        <v>0</v>
      </c>
      <c r="L1065" s="6">
        <v>-1.3420000000000001</v>
      </c>
      <c r="M1065" s="6">
        <v>-1.3420000000000001</v>
      </c>
      <c r="N1065" s="6">
        <v>-1.3420000000000001</v>
      </c>
      <c r="O1065" s="6">
        <v>-1.3420000000000001</v>
      </c>
      <c r="P1065" s="6">
        <v>0</v>
      </c>
      <c r="Q1065" s="4" t="s">
        <v>26</v>
      </c>
      <c r="R1065" s="4">
        <v>0</v>
      </c>
      <c r="S1065" s="4" t="s">
        <v>352</v>
      </c>
      <c r="T1065" s="4" t="s">
        <v>617</v>
      </c>
      <c r="U1065" s="4">
        <v>0</v>
      </c>
      <c r="V1065" s="4">
        <v>42</v>
      </c>
      <c r="W1065" s="4">
        <v>66</v>
      </c>
    </row>
    <row r="1066" spans="1:23" ht="11.25" customHeight="1" x14ac:dyDescent="0.25">
      <c r="A1066" s="4" t="s">
        <v>28</v>
      </c>
      <c r="B1066" s="4" t="s">
        <v>41</v>
      </c>
      <c r="C1066" s="4" t="s">
        <v>42</v>
      </c>
      <c r="D1066" s="4" t="s">
        <v>38</v>
      </c>
      <c r="E1066" s="4" t="s">
        <v>25</v>
      </c>
      <c r="F1066" s="4" t="s">
        <v>25</v>
      </c>
      <c r="G1066" s="4" t="s">
        <v>25</v>
      </c>
      <c r="H1066" s="4" t="s">
        <v>34</v>
      </c>
      <c r="I1066" s="5">
        <v>44531</v>
      </c>
      <c r="J1066" s="6">
        <v>0</v>
      </c>
      <c r="K1066" s="6">
        <v>0</v>
      </c>
      <c r="L1066" s="6">
        <v>35.844000000000001</v>
      </c>
      <c r="M1066" s="6">
        <v>35.844000000000001</v>
      </c>
      <c r="N1066" s="6">
        <v>35.844000000000001</v>
      </c>
      <c r="O1066" s="6">
        <v>35.844000000000001</v>
      </c>
      <c r="P1066" s="6">
        <v>0</v>
      </c>
      <c r="Q1066" s="4" t="s">
        <v>26</v>
      </c>
      <c r="R1066" s="4">
        <v>0</v>
      </c>
      <c r="S1066" s="4" t="s">
        <v>352</v>
      </c>
      <c r="T1066" s="4" t="s">
        <v>617</v>
      </c>
      <c r="U1066" s="4">
        <v>0</v>
      </c>
      <c r="V1066" s="4">
        <v>42</v>
      </c>
      <c r="W1066" s="4">
        <v>66</v>
      </c>
    </row>
    <row r="1067" spans="1:23" ht="11.25" customHeight="1" x14ac:dyDescent="0.25">
      <c r="A1067" s="4" t="s">
        <v>21</v>
      </c>
      <c r="B1067" s="4" t="s">
        <v>41</v>
      </c>
      <c r="C1067" s="4" t="s">
        <v>42</v>
      </c>
      <c r="D1067" s="4" t="s">
        <v>38</v>
      </c>
      <c r="E1067" s="4" t="s">
        <v>25</v>
      </c>
      <c r="F1067" s="4" t="s">
        <v>25</v>
      </c>
      <c r="G1067" s="4" t="s">
        <v>25</v>
      </c>
      <c r="H1067" s="4" t="s">
        <v>34</v>
      </c>
      <c r="I1067" s="5">
        <v>44531</v>
      </c>
      <c r="J1067" s="6">
        <v>0</v>
      </c>
      <c r="K1067" s="6">
        <v>0</v>
      </c>
      <c r="L1067" s="6">
        <v>0.61799999999999999</v>
      </c>
      <c r="M1067" s="6">
        <v>0.61799999999999999</v>
      </c>
      <c r="N1067" s="6">
        <v>0</v>
      </c>
      <c r="O1067" s="6">
        <v>0</v>
      </c>
      <c r="P1067" s="6">
        <v>0</v>
      </c>
      <c r="Q1067" s="4" t="s">
        <v>58</v>
      </c>
      <c r="R1067" s="4">
        <v>0</v>
      </c>
      <c r="S1067" s="4" t="s">
        <v>352</v>
      </c>
      <c r="U1067" s="4">
        <v>0</v>
      </c>
      <c r="V1067" s="4">
        <v>42</v>
      </c>
      <c r="W1067" s="4">
        <v>0</v>
      </c>
    </row>
    <row r="1068" spans="1:23" ht="11.25" customHeight="1" x14ac:dyDescent="0.25">
      <c r="A1068" s="4" t="s">
        <v>21</v>
      </c>
      <c r="B1068" s="4" t="s">
        <v>41</v>
      </c>
      <c r="C1068" s="4" t="s">
        <v>42</v>
      </c>
      <c r="D1068" s="4" t="s">
        <v>38</v>
      </c>
      <c r="E1068" s="4" t="s">
        <v>25</v>
      </c>
      <c r="F1068" s="4" t="s">
        <v>25</v>
      </c>
      <c r="G1068" s="4" t="s">
        <v>25</v>
      </c>
      <c r="H1068" s="4" t="s">
        <v>34</v>
      </c>
      <c r="I1068" s="5">
        <v>44562</v>
      </c>
      <c r="J1068" s="6">
        <v>0</v>
      </c>
      <c r="K1068" s="6">
        <v>0</v>
      </c>
      <c r="L1068" s="6">
        <v>252.74799999999999</v>
      </c>
      <c r="M1068" s="6">
        <v>252.74799999999999</v>
      </c>
      <c r="N1068" s="6">
        <v>252.74799999999999</v>
      </c>
      <c r="O1068" s="6">
        <v>252.74799999999999</v>
      </c>
      <c r="P1068" s="6">
        <v>0</v>
      </c>
      <c r="Q1068" s="4" t="s">
        <v>26</v>
      </c>
      <c r="R1068" s="4">
        <v>0</v>
      </c>
      <c r="S1068" s="4" t="s">
        <v>353</v>
      </c>
      <c r="T1068" s="4" t="s">
        <v>618</v>
      </c>
      <c r="U1068" s="4">
        <v>0</v>
      </c>
      <c r="V1068" s="4">
        <v>42</v>
      </c>
      <c r="W1068" s="4">
        <v>66</v>
      </c>
    </row>
    <row r="1069" spans="1:23" ht="11.25" customHeight="1" x14ac:dyDescent="0.25">
      <c r="A1069" s="4" t="s">
        <v>27</v>
      </c>
      <c r="B1069" s="4" t="s">
        <v>41</v>
      </c>
      <c r="C1069" s="4" t="s">
        <v>42</v>
      </c>
      <c r="D1069" s="4" t="s">
        <v>38</v>
      </c>
      <c r="E1069" s="4" t="s">
        <v>25</v>
      </c>
      <c r="F1069" s="4" t="s">
        <v>25</v>
      </c>
      <c r="G1069" s="4" t="s">
        <v>25</v>
      </c>
      <c r="H1069" s="4" t="s">
        <v>34</v>
      </c>
      <c r="I1069" s="5">
        <v>44562</v>
      </c>
      <c r="J1069" s="6">
        <v>0</v>
      </c>
      <c r="K1069" s="6">
        <v>0</v>
      </c>
      <c r="L1069" s="6">
        <v>6.5000000000000002E-2</v>
      </c>
      <c r="M1069" s="6">
        <v>6.5000000000000002E-2</v>
      </c>
      <c r="N1069" s="6">
        <v>6.5000000000000002E-2</v>
      </c>
      <c r="O1069" s="6">
        <v>6.5000000000000002E-2</v>
      </c>
      <c r="P1069" s="6">
        <v>0</v>
      </c>
      <c r="Q1069" s="4" t="s">
        <v>26</v>
      </c>
      <c r="R1069" s="4">
        <v>0</v>
      </c>
      <c r="S1069" s="4" t="s">
        <v>353</v>
      </c>
      <c r="T1069" s="4" t="s">
        <v>618</v>
      </c>
      <c r="U1069" s="4">
        <v>0</v>
      </c>
      <c r="V1069" s="4">
        <v>42</v>
      </c>
      <c r="W1069" s="4">
        <v>66</v>
      </c>
    </row>
    <row r="1070" spans="1:23" ht="11.25" customHeight="1" x14ac:dyDescent="0.25">
      <c r="A1070" s="4" t="s">
        <v>28</v>
      </c>
      <c r="B1070" s="4" t="s">
        <v>41</v>
      </c>
      <c r="C1070" s="4" t="s">
        <v>42</v>
      </c>
      <c r="D1070" s="4" t="s">
        <v>38</v>
      </c>
      <c r="E1070" s="4" t="s">
        <v>25</v>
      </c>
      <c r="F1070" s="4" t="s">
        <v>25</v>
      </c>
      <c r="G1070" s="4" t="s">
        <v>25</v>
      </c>
      <c r="H1070" s="4" t="s">
        <v>34</v>
      </c>
      <c r="I1070" s="5">
        <v>44562</v>
      </c>
      <c r="J1070" s="6">
        <v>0</v>
      </c>
      <c r="K1070" s="6">
        <v>0</v>
      </c>
      <c r="L1070" s="6">
        <v>29.045999999999999</v>
      </c>
      <c r="M1070" s="6">
        <v>29.045999999999999</v>
      </c>
      <c r="N1070" s="6">
        <v>29.045999999999999</v>
      </c>
      <c r="O1070" s="6">
        <v>29.045999999999999</v>
      </c>
      <c r="P1070" s="6">
        <v>0</v>
      </c>
      <c r="Q1070" s="4" t="s">
        <v>26</v>
      </c>
      <c r="R1070" s="4">
        <v>0</v>
      </c>
      <c r="S1070" s="4" t="s">
        <v>353</v>
      </c>
      <c r="T1070" s="4" t="s">
        <v>618</v>
      </c>
      <c r="U1070" s="4">
        <v>0</v>
      </c>
      <c r="V1070" s="4">
        <v>42</v>
      </c>
      <c r="W1070" s="4">
        <v>66</v>
      </c>
    </row>
    <row r="1071" spans="1:23" ht="11.25" customHeight="1" x14ac:dyDescent="0.25">
      <c r="A1071" s="4" t="s">
        <v>21</v>
      </c>
      <c r="B1071" s="4" t="s">
        <v>41</v>
      </c>
      <c r="C1071" s="4" t="s">
        <v>42</v>
      </c>
      <c r="D1071" s="4" t="s">
        <v>38</v>
      </c>
      <c r="E1071" s="4" t="s">
        <v>25</v>
      </c>
      <c r="F1071" s="4" t="s">
        <v>25</v>
      </c>
      <c r="G1071" s="4" t="s">
        <v>25</v>
      </c>
      <c r="H1071" s="4" t="s">
        <v>34</v>
      </c>
      <c r="I1071" s="5">
        <v>44562</v>
      </c>
      <c r="J1071" s="6">
        <v>0</v>
      </c>
      <c r="K1071" s="6">
        <v>0</v>
      </c>
      <c r="L1071" s="6">
        <v>6.0830000000000002</v>
      </c>
      <c r="M1071" s="6">
        <v>6.0830000000000002</v>
      </c>
      <c r="N1071" s="6">
        <v>0</v>
      </c>
      <c r="O1071" s="6">
        <v>0</v>
      </c>
      <c r="P1071" s="6">
        <v>0</v>
      </c>
      <c r="Q1071" s="4" t="s">
        <v>58</v>
      </c>
      <c r="R1071" s="4">
        <v>0</v>
      </c>
      <c r="S1071" s="4" t="s">
        <v>353</v>
      </c>
      <c r="U1071" s="4">
        <v>0</v>
      </c>
      <c r="V1071" s="4">
        <v>42</v>
      </c>
      <c r="W1071" s="4">
        <v>0</v>
      </c>
    </row>
    <row r="1072" spans="1:23" ht="11.25" customHeight="1" x14ac:dyDescent="0.25">
      <c r="A1072" s="4" t="s">
        <v>21</v>
      </c>
      <c r="B1072" s="4" t="s">
        <v>41</v>
      </c>
      <c r="C1072" s="4" t="s">
        <v>42</v>
      </c>
      <c r="D1072" s="4" t="s">
        <v>38</v>
      </c>
      <c r="E1072" s="4" t="s">
        <v>25</v>
      </c>
      <c r="F1072" s="4" t="s">
        <v>25</v>
      </c>
      <c r="G1072" s="4" t="s">
        <v>25</v>
      </c>
      <c r="H1072" s="4" t="s">
        <v>34</v>
      </c>
      <c r="I1072" s="5">
        <v>44593</v>
      </c>
      <c r="J1072" s="6">
        <v>0</v>
      </c>
      <c r="K1072" s="6">
        <v>0</v>
      </c>
      <c r="L1072" s="6">
        <v>245.905</v>
      </c>
      <c r="M1072" s="6">
        <v>245.905</v>
      </c>
      <c r="N1072" s="6">
        <v>245.905</v>
      </c>
      <c r="O1072" s="6">
        <v>245.905</v>
      </c>
      <c r="P1072" s="6">
        <v>0</v>
      </c>
      <c r="Q1072" s="4" t="s">
        <v>26</v>
      </c>
      <c r="R1072" s="4">
        <v>0</v>
      </c>
      <c r="S1072" s="4" t="s">
        <v>354</v>
      </c>
      <c r="T1072" s="4" t="s">
        <v>619</v>
      </c>
      <c r="U1072" s="4">
        <v>0</v>
      </c>
      <c r="V1072" s="4">
        <v>42</v>
      </c>
      <c r="W1072" s="4">
        <v>66</v>
      </c>
    </row>
    <row r="1073" spans="1:23" ht="11.25" customHeight="1" x14ac:dyDescent="0.25">
      <c r="A1073" s="4" t="s">
        <v>28</v>
      </c>
      <c r="B1073" s="4" t="s">
        <v>41</v>
      </c>
      <c r="C1073" s="4" t="s">
        <v>42</v>
      </c>
      <c r="D1073" s="4" t="s">
        <v>38</v>
      </c>
      <c r="E1073" s="4" t="s">
        <v>25</v>
      </c>
      <c r="F1073" s="4" t="s">
        <v>25</v>
      </c>
      <c r="G1073" s="4" t="s">
        <v>25</v>
      </c>
      <c r="H1073" s="4" t="s">
        <v>34</v>
      </c>
      <c r="I1073" s="5">
        <v>44593</v>
      </c>
      <c r="J1073" s="6">
        <v>0</v>
      </c>
      <c r="K1073" s="6">
        <v>0</v>
      </c>
      <c r="L1073" s="6">
        <v>19.027999999999999</v>
      </c>
      <c r="M1073" s="6">
        <v>19.027999999999999</v>
      </c>
      <c r="N1073" s="6">
        <v>19.027999999999999</v>
      </c>
      <c r="O1073" s="6">
        <v>19.027999999999999</v>
      </c>
      <c r="P1073" s="6">
        <v>0</v>
      </c>
      <c r="Q1073" s="4" t="s">
        <v>26</v>
      </c>
      <c r="R1073" s="4">
        <v>0</v>
      </c>
      <c r="S1073" s="4" t="s">
        <v>354</v>
      </c>
      <c r="T1073" s="4" t="s">
        <v>619</v>
      </c>
      <c r="U1073" s="4">
        <v>0</v>
      </c>
      <c r="V1073" s="4">
        <v>42</v>
      </c>
      <c r="W1073" s="4">
        <v>66</v>
      </c>
    </row>
    <row r="1074" spans="1:23" ht="11.25" customHeight="1" x14ac:dyDescent="0.25">
      <c r="A1074" s="4" t="s">
        <v>28</v>
      </c>
      <c r="B1074" s="4" t="s">
        <v>41</v>
      </c>
      <c r="C1074" s="4" t="s">
        <v>42</v>
      </c>
      <c r="D1074" s="4" t="s">
        <v>38</v>
      </c>
      <c r="E1074" s="4" t="s">
        <v>25</v>
      </c>
      <c r="F1074" s="4" t="s">
        <v>25</v>
      </c>
      <c r="G1074" s="4" t="s">
        <v>25</v>
      </c>
      <c r="H1074" s="4" t="s">
        <v>34</v>
      </c>
      <c r="I1074" s="5">
        <v>44593</v>
      </c>
      <c r="J1074" s="6">
        <v>0</v>
      </c>
      <c r="K1074" s="6">
        <v>0</v>
      </c>
      <c r="L1074" s="6">
        <v>-0.185</v>
      </c>
      <c r="M1074" s="6">
        <v>-0.185</v>
      </c>
      <c r="N1074" s="6">
        <v>-0.185</v>
      </c>
      <c r="O1074" s="6">
        <v>-0.185</v>
      </c>
      <c r="P1074" s="6">
        <v>0</v>
      </c>
      <c r="Q1074" s="4" t="s">
        <v>26</v>
      </c>
      <c r="R1074" s="4">
        <v>0</v>
      </c>
      <c r="S1074" s="4" t="s">
        <v>354</v>
      </c>
      <c r="T1074" s="4" t="s">
        <v>619</v>
      </c>
      <c r="U1074" s="4">
        <v>0</v>
      </c>
      <c r="V1074" s="4">
        <v>42</v>
      </c>
      <c r="W1074" s="4">
        <v>66</v>
      </c>
    </row>
    <row r="1075" spans="1:23" ht="11.25" customHeight="1" x14ac:dyDescent="0.25">
      <c r="A1075" s="4" t="s">
        <v>21</v>
      </c>
      <c r="B1075" s="4" t="s">
        <v>41</v>
      </c>
      <c r="C1075" s="4" t="s">
        <v>42</v>
      </c>
      <c r="D1075" s="4" t="s">
        <v>38</v>
      </c>
      <c r="E1075" s="4" t="s">
        <v>25</v>
      </c>
      <c r="F1075" s="4" t="s">
        <v>25</v>
      </c>
      <c r="G1075" s="4" t="s">
        <v>25</v>
      </c>
      <c r="H1075" s="4" t="s">
        <v>34</v>
      </c>
      <c r="I1075" s="5">
        <v>44593</v>
      </c>
      <c r="J1075" s="6">
        <v>0</v>
      </c>
      <c r="K1075" s="6">
        <v>0</v>
      </c>
      <c r="L1075" s="6">
        <v>15.33</v>
      </c>
      <c r="M1075" s="6">
        <v>15.33</v>
      </c>
      <c r="N1075" s="6">
        <v>0</v>
      </c>
      <c r="O1075" s="6">
        <v>0</v>
      </c>
      <c r="P1075" s="6">
        <v>0</v>
      </c>
      <c r="Q1075" s="4" t="s">
        <v>58</v>
      </c>
      <c r="R1075" s="4">
        <v>0</v>
      </c>
      <c r="S1075" s="4" t="s">
        <v>354</v>
      </c>
      <c r="U1075" s="4">
        <v>0</v>
      </c>
      <c r="V1075" s="4">
        <v>42</v>
      </c>
      <c r="W1075" s="4">
        <v>0</v>
      </c>
    </row>
    <row r="1076" spans="1:23" ht="11.25" customHeight="1" x14ac:dyDescent="0.25">
      <c r="A1076" s="4" t="s">
        <v>21</v>
      </c>
      <c r="B1076" s="4" t="s">
        <v>41</v>
      </c>
      <c r="C1076" s="4" t="s">
        <v>42</v>
      </c>
      <c r="D1076" s="4" t="s">
        <v>38</v>
      </c>
      <c r="E1076" s="4" t="s">
        <v>25</v>
      </c>
      <c r="F1076" s="4" t="s">
        <v>25</v>
      </c>
      <c r="G1076" s="4" t="s">
        <v>25</v>
      </c>
      <c r="H1076" s="4" t="s">
        <v>34</v>
      </c>
      <c r="I1076" s="5">
        <v>44621</v>
      </c>
      <c r="J1076" s="6">
        <v>0</v>
      </c>
      <c r="K1076" s="6">
        <v>0</v>
      </c>
      <c r="L1076" s="6">
        <v>269.95600000000002</v>
      </c>
      <c r="M1076" s="6">
        <v>269.95600000000002</v>
      </c>
      <c r="N1076" s="6">
        <v>269.95600000000002</v>
      </c>
      <c r="O1076" s="6">
        <v>269.95600000000002</v>
      </c>
      <c r="P1076" s="6">
        <v>0</v>
      </c>
      <c r="Q1076" s="4" t="s">
        <v>26</v>
      </c>
      <c r="R1076" s="4">
        <v>0</v>
      </c>
      <c r="S1076" s="4" t="s">
        <v>355</v>
      </c>
      <c r="T1076" s="4" t="s">
        <v>620</v>
      </c>
      <c r="U1076" s="4">
        <v>0</v>
      </c>
      <c r="V1076" s="4">
        <v>42</v>
      </c>
      <c r="W1076" s="4">
        <v>66</v>
      </c>
    </row>
    <row r="1077" spans="1:23" ht="11.25" customHeight="1" x14ac:dyDescent="0.25">
      <c r="A1077" s="4" t="s">
        <v>28</v>
      </c>
      <c r="B1077" s="4" t="s">
        <v>41</v>
      </c>
      <c r="C1077" s="4" t="s">
        <v>42</v>
      </c>
      <c r="D1077" s="4" t="s">
        <v>38</v>
      </c>
      <c r="E1077" s="4" t="s">
        <v>25</v>
      </c>
      <c r="F1077" s="4" t="s">
        <v>25</v>
      </c>
      <c r="G1077" s="4" t="s">
        <v>25</v>
      </c>
      <c r="H1077" s="4" t="s">
        <v>34</v>
      </c>
      <c r="I1077" s="5">
        <v>44621</v>
      </c>
      <c r="J1077" s="6">
        <v>0</v>
      </c>
      <c r="K1077" s="6">
        <v>0</v>
      </c>
      <c r="L1077" s="6">
        <v>15.276</v>
      </c>
      <c r="M1077" s="6">
        <v>15.276</v>
      </c>
      <c r="N1077" s="6">
        <v>15.276</v>
      </c>
      <c r="O1077" s="6">
        <v>15.276</v>
      </c>
      <c r="P1077" s="6">
        <v>0</v>
      </c>
      <c r="Q1077" s="4" t="s">
        <v>26</v>
      </c>
      <c r="R1077" s="4">
        <v>0</v>
      </c>
      <c r="S1077" s="4" t="s">
        <v>355</v>
      </c>
      <c r="T1077" s="4" t="s">
        <v>620</v>
      </c>
      <c r="U1077" s="4">
        <v>0</v>
      </c>
      <c r="V1077" s="4">
        <v>42</v>
      </c>
      <c r="W1077" s="4">
        <v>66</v>
      </c>
    </row>
    <row r="1078" spans="1:23" ht="11.25" customHeight="1" x14ac:dyDescent="0.25">
      <c r="A1078" s="4" t="s">
        <v>21</v>
      </c>
      <c r="B1078" s="4" t="s">
        <v>41</v>
      </c>
      <c r="C1078" s="4" t="s">
        <v>42</v>
      </c>
      <c r="D1078" s="4" t="s">
        <v>38</v>
      </c>
      <c r="E1078" s="4" t="s">
        <v>25</v>
      </c>
      <c r="F1078" s="4" t="s">
        <v>25</v>
      </c>
      <c r="G1078" s="4" t="s">
        <v>25</v>
      </c>
      <c r="H1078" s="4" t="s">
        <v>34</v>
      </c>
      <c r="I1078" s="5">
        <v>44621</v>
      </c>
      <c r="J1078" s="6">
        <v>0</v>
      </c>
      <c r="K1078" s="6">
        <v>0</v>
      </c>
      <c r="L1078" s="6">
        <v>14.558</v>
      </c>
      <c r="M1078" s="6">
        <v>14.558</v>
      </c>
      <c r="N1078" s="6">
        <v>0</v>
      </c>
      <c r="O1078" s="6">
        <v>0</v>
      </c>
      <c r="P1078" s="6">
        <v>0</v>
      </c>
      <c r="Q1078" s="4" t="s">
        <v>58</v>
      </c>
      <c r="R1078" s="4">
        <v>0</v>
      </c>
      <c r="S1078" s="4" t="s">
        <v>355</v>
      </c>
      <c r="U1078" s="4">
        <v>0</v>
      </c>
      <c r="V1078" s="4">
        <v>42</v>
      </c>
      <c r="W1078" s="4">
        <v>0</v>
      </c>
    </row>
    <row r="1079" spans="1:23" ht="11.25" customHeight="1" x14ac:dyDescent="0.25">
      <c r="A1079" s="4" t="s">
        <v>21</v>
      </c>
      <c r="B1079" s="4" t="s">
        <v>41</v>
      </c>
      <c r="C1079" s="4" t="s">
        <v>42</v>
      </c>
      <c r="D1079" s="4" t="s">
        <v>38</v>
      </c>
      <c r="E1079" s="4" t="s">
        <v>25</v>
      </c>
      <c r="F1079" s="4" t="s">
        <v>25</v>
      </c>
      <c r="G1079" s="4" t="s">
        <v>25</v>
      </c>
      <c r="H1079" s="4" t="s">
        <v>34</v>
      </c>
      <c r="I1079" s="5">
        <v>44652</v>
      </c>
      <c r="J1079" s="6">
        <v>0</v>
      </c>
      <c r="K1079" s="6">
        <v>0</v>
      </c>
      <c r="L1079" s="6">
        <v>258.42599999999999</v>
      </c>
      <c r="M1079" s="6">
        <v>258.42599999999999</v>
      </c>
      <c r="N1079" s="6">
        <v>258.42599999999999</v>
      </c>
      <c r="O1079" s="6">
        <v>258.42599999999999</v>
      </c>
      <c r="P1079" s="6">
        <v>0</v>
      </c>
      <c r="Q1079" s="4" t="s">
        <v>26</v>
      </c>
      <c r="R1079" s="4">
        <v>0</v>
      </c>
      <c r="S1079" s="4" t="s">
        <v>356</v>
      </c>
      <c r="T1079" s="4" t="s">
        <v>621</v>
      </c>
      <c r="U1079" s="4">
        <v>0</v>
      </c>
      <c r="V1079" s="4">
        <v>42</v>
      </c>
      <c r="W1079" s="4">
        <v>66</v>
      </c>
    </row>
    <row r="1080" spans="1:23" ht="11.25" customHeight="1" x14ac:dyDescent="0.25">
      <c r="A1080" s="4" t="s">
        <v>28</v>
      </c>
      <c r="B1080" s="4" t="s">
        <v>41</v>
      </c>
      <c r="C1080" s="4" t="s">
        <v>42</v>
      </c>
      <c r="D1080" s="4" t="s">
        <v>38</v>
      </c>
      <c r="E1080" s="4" t="s">
        <v>25</v>
      </c>
      <c r="F1080" s="4" t="s">
        <v>25</v>
      </c>
      <c r="G1080" s="4" t="s">
        <v>25</v>
      </c>
      <c r="H1080" s="4" t="s">
        <v>34</v>
      </c>
      <c r="I1080" s="5">
        <v>44652</v>
      </c>
      <c r="J1080" s="6">
        <v>0</v>
      </c>
      <c r="K1080" s="6">
        <v>0</v>
      </c>
      <c r="L1080" s="6">
        <v>24.678000000000001</v>
      </c>
      <c r="M1080" s="6">
        <v>24.678000000000001</v>
      </c>
      <c r="N1080" s="6">
        <v>24.678000000000001</v>
      </c>
      <c r="O1080" s="6">
        <v>24.678000000000001</v>
      </c>
      <c r="P1080" s="6">
        <v>0</v>
      </c>
      <c r="Q1080" s="4" t="s">
        <v>26</v>
      </c>
      <c r="R1080" s="4">
        <v>0</v>
      </c>
      <c r="S1080" s="4" t="s">
        <v>356</v>
      </c>
      <c r="T1080" s="4" t="s">
        <v>621</v>
      </c>
      <c r="U1080" s="4">
        <v>0</v>
      </c>
      <c r="V1080" s="4">
        <v>42</v>
      </c>
      <c r="W1080" s="4">
        <v>66</v>
      </c>
    </row>
    <row r="1081" spans="1:23" ht="11.25" customHeight="1" x14ac:dyDescent="0.25">
      <c r="A1081" s="4" t="s">
        <v>21</v>
      </c>
      <c r="B1081" s="4" t="s">
        <v>41</v>
      </c>
      <c r="C1081" s="4" t="s">
        <v>42</v>
      </c>
      <c r="D1081" s="4" t="s">
        <v>38</v>
      </c>
      <c r="E1081" s="4" t="s">
        <v>25</v>
      </c>
      <c r="F1081" s="4" t="s">
        <v>25</v>
      </c>
      <c r="G1081" s="4" t="s">
        <v>25</v>
      </c>
      <c r="H1081" s="4" t="s">
        <v>34</v>
      </c>
      <c r="I1081" s="5">
        <v>44652</v>
      </c>
      <c r="J1081" s="6">
        <v>0</v>
      </c>
      <c r="K1081" s="6">
        <v>0</v>
      </c>
      <c r="L1081" s="6">
        <v>16.007000000000001</v>
      </c>
      <c r="M1081" s="6">
        <v>16.007000000000001</v>
      </c>
      <c r="N1081" s="6">
        <v>0</v>
      </c>
      <c r="O1081" s="6">
        <v>0</v>
      </c>
      <c r="P1081" s="6">
        <v>0</v>
      </c>
      <c r="Q1081" s="4" t="s">
        <v>58</v>
      </c>
      <c r="R1081" s="4">
        <v>0</v>
      </c>
      <c r="S1081" s="4" t="s">
        <v>356</v>
      </c>
      <c r="U1081" s="4">
        <v>0</v>
      </c>
      <c r="V1081" s="4">
        <v>42</v>
      </c>
      <c r="W1081" s="4">
        <v>0</v>
      </c>
    </row>
    <row r="1082" spans="1:23" ht="11.25" customHeight="1" x14ac:dyDescent="0.25">
      <c r="A1082" s="4" t="s">
        <v>21</v>
      </c>
      <c r="B1082" s="4" t="s">
        <v>41</v>
      </c>
      <c r="C1082" s="4" t="s">
        <v>42</v>
      </c>
      <c r="D1082" s="4" t="s">
        <v>38</v>
      </c>
      <c r="E1082" s="4" t="s">
        <v>25</v>
      </c>
      <c r="F1082" s="4" t="s">
        <v>25</v>
      </c>
      <c r="G1082" s="4" t="s">
        <v>25</v>
      </c>
      <c r="H1082" s="4" t="s">
        <v>34</v>
      </c>
      <c r="I1082" s="5">
        <v>44682</v>
      </c>
      <c r="J1082" s="6">
        <v>0</v>
      </c>
      <c r="K1082" s="6">
        <v>0</v>
      </c>
      <c r="L1082" s="6">
        <v>272.28399999999999</v>
      </c>
      <c r="M1082" s="6">
        <v>272.28399999999999</v>
      </c>
      <c r="N1082" s="6">
        <v>272.28399999999999</v>
      </c>
      <c r="O1082" s="6">
        <v>272.28399999999999</v>
      </c>
      <c r="P1082" s="6">
        <v>0</v>
      </c>
      <c r="Q1082" s="4" t="s">
        <v>26</v>
      </c>
      <c r="R1082" s="4">
        <v>0</v>
      </c>
      <c r="S1082" s="4" t="s">
        <v>357</v>
      </c>
      <c r="T1082" s="4" t="s">
        <v>622</v>
      </c>
      <c r="U1082" s="4">
        <v>0</v>
      </c>
      <c r="V1082" s="4">
        <v>42</v>
      </c>
      <c r="W1082" s="4">
        <v>66</v>
      </c>
    </row>
    <row r="1083" spans="1:23" ht="11.25" customHeight="1" x14ac:dyDescent="0.25">
      <c r="A1083" s="4" t="s">
        <v>27</v>
      </c>
      <c r="B1083" s="4" t="s">
        <v>41</v>
      </c>
      <c r="C1083" s="4" t="s">
        <v>42</v>
      </c>
      <c r="D1083" s="4" t="s">
        <v>38</v>
      </c>
      <c r="E1083" s="4" t="s">
        <v>25</v>
      </c>
      <c r="F1083" s="4" t="s">
        <v>25</v>
      </c>
      <c r="G1083" s="4" t="s">
        <v>25</v>
      </c>
      <c r="H1083" s="4" t="s">
        <v>34</v>
      </c>
      <c r="I1083" s="5">
        <v>44682</v>
      </c>
      <c r="J1083" s="6">
        <v>0</v>
      </c>
      <c r="K1083" s="6">
        <v>0</v>
      </c>
      <c r="L1083" s="6">
        <v>-1.98</v>
      </c>
      <c r="M1083" s="6">
        <v>-1.98</v>
      </c>
      <c r="N1083" s="6">
        <v>-1.98</v>
      </c>
      <c r="O1083" s="6">
        <v>-1.98</v>
      </c>
      <c r="P1083" s="6">
        <v>0</v>
      </c>
      <c r="Q1083" s="4" t="s">
        <v>26</v>
      </c>
      <c r="R1083" s="4">
        <v>0</v>
      </c>
      <c r="S1083" s="4" t="s">
        <v>357</v>
      </c>
      <c r="T1083" s="4" t="s">
        <v>622</v>
      </c>
      <c r="U1083" s="4">
        <v>0</v>
      </c>
      <c r="V1083" s="4">
        <v>42</v>
      </c>
      <c r="W1083" s="4">
        <v>66</v>
      </c>
    </row>
    <row r="1084" spans="1:23" ht="11.25" customHeight="1" x14ac:dyDescent="0.25">
      <c r="A1084" s="4" t="s">
        <v>28</v>
      </c>
      <c r="B1084" s="4" t="s">
        <v>41</v>
      </c>
      <c r="C1084" s="4" t="s">
        <v>42</v>
      </c>
      <c r="D1084" s="4" t="s">
        <v>38</v>
      </c>
      <c r="E1084" s="4" t="s">
        <v>25</v>
      </c>
      <c r="F1084" s="4" t="s">
        <v>25</v>
      </c>
      <c r="G1084" s="4" t="s">
        <v>25</v>
      </c>
      <c r="H1084" s="4" t="s">
        <v>34</v>
      </c>
      <c r="I1084" s="5">
        <v>44682</v>
      </c>
      <c r="J1084" s="6">
        <v>0</v>
      </c>
      <c r="K1084" s="6">
        <v>0</v>
      </c>
      <c r="L1084" s="6">
        <v>35.722999999999999</v>
      </c>
      <c r="M1084" s="6">
        <v>35.722999999999999</v>
      </c>
      <c r="N1084" s="6">
        <v>35.722999999999999</v>
      </c>
      <c r="O1084" s="6">
        <v>35.722999999999999</v>
      </c>
      <c r="P1084" s="6">
        <v>0</v>
      </c>
      <c r="Q1084" s="4" t="s">
        <v>26</v>
      </c>
      <c r="R1084" s="4">
        <v>0</v>
      </c>
      <c r="S1084" s="4" t="s">
        <v>357</v>
      </c>
      <c r="T1084" s="4" t="s">
        <v>622</v>
      </c>
      <c r="U1084" s="4">
        <v>0</v>
      </c>
      <c r="V1084" s="4">
        <v>42</v>
      </c>
      <c r="W1084" s="4">
        <v>66</v>
      </c>
    </row>
    <row r="1085" spans="1:23" ht="11.25" customHeight="1" x14ac:dyDescent="0.25">
      <c r="A1085" s="4" t="s">
        <v>21</v>
      </c>
      <c r="B1085" s="4" t="s">
        <v>41</v>
      </c>
      <c r="C1085" s="4" t="s">
        <v>42</v>
      </c>
      <c r="D1085" s="4" t="s">
        <v>38</v>
      </c>
      <c r="E1085" s="4" t="s">
        <v>25</v>
      </c>
      <c r="F1085" s="4" t="s">
        <v>25</v>
      </c>
      <c r="G1085" s="4" t="s">
        <v>25</v>
      </c>
      <c r="H1085" s="4" t="s">
        <v>34</v>
      </c>
      <c r="I1085" s="5">
        <v>44682</v>
      </c>
      <c r="J1085" s="6">
        <v>0</v>
      </c>
      <c r="K1085" s="6">
        <v>0</v>
      </c>
      <c r="L1085" s="6">
        <v>9.1809999999999992</v>
      </c>
      <c r="M1085" s="6">
        <v>9.1809999999999992</v>
      </c>
      <c r="N1085" s="6">
        <v>0</v>
      </c>
      <c r="O1085" s="6">
        <v>0</v>
      </c>
      <c r="P1085" s="6">
        <v>0</v>
      </c>
      <c r="Q1085" s="4" t="s">
        <v>58</v>
      </c>
      <c r="R1085" s="4">
        <v>0</v>
      </c>
      <c r="S1085" s="4" t="s">
        <v>357</v>
      </c>
      <c r="U1085" s="4">
        <v>0</v>
      </c>
      <c r="V1085" s="4">
        <v>42</v>
      </c>
      <c r="W1085" s="4">
        <v>0</v>
      </c>
    </row>
    <row r="1086" spans="1:23" ht="11.25" customHeight="1" x14ac:dyDescent="0.25">
      <c r="A1086" s="4" t="s">
        <v>21</v>
      </c>
      <c r="B1086" s="4" t="s">
        <v>41</v>
      </c>
      <c r="C1086" s="4" t="s">
        <v>42</v>
      </c>
      <c r="D1086" s="4" t="s">
        <v>38</v>
      </c>
      <c r="E1086" s="4" t="s">
        <v>25</v>
      </c>
      <c r="F1086" s="4" t="s">
        <v>25</v>
      </c>
      <c r="G1086" s="4" t="s">
        <v>25</v>
      </c>
      <c r="H1086" s="4" t="s">
        <v>34</v>
      </c>
      <c r="I1086" s="5">
        <v>44713</v>
      </c>
      <c r="J1086" s="6">
        <v>0</v>
      </c>
      <c r="K1086" s="6">
        <v>0</v>
      </c>
      <c r="L1086" s="6">
        <v>288.91199999999998</v>
      </c>
      <c r="M1086" s="6">
        <v>288.91199999999998</v>
      </c>
      <c r="N1086" s="6">
        <v>288.91199999999998</v>
      </c>
      <c r="O1086" s="6">
        <v>288.91199999999998</v>
      </c>
      <c r="P1086" s="6">
        <v>0</v>
      </c>
      <c r="Q1086" s="4" t="s">
        <v>26</v>
      </c>
      <c r="R1086" s="4">
        <v>0</v>
      </c>
      <c r="S1086" s="4" t="s">
        <v>358</v>
      </c>
      <c r="T1086" s="4" t="s">
        <v>623</v>
      </c>
      <c r="U1086" s="4">
        <v>0</v>
      </c>
      <c r="V1086" s="4">
        <v>42</v>
      </c>
      <c r="W1086" s="4">
        <v>66</v>
      </c>
    </row>
    <row r="1087" spans="1:23" ht="11.25" customHeight="1" x14ac:dyDescent="0.25">
      <c r="A1087" s="4" t="s">
        <v>27</v>
      </c>
      <c r="B1087" s="4" t="s">
        <v>41</v>
      </c>
      <c r="C1087" s="4" t="s">
        <v>42</v>
      </c>
      <c r="D1087" s="4" t="s">
        <v>38</v>
      </c>
      <c r="E1087" s="4" t="s">
        <v>25</v>
      </c>
      <c r="F1087" s="4" t="s">
        <v>25</v>
      </c>
      <c r="G1087" s="4" t="s">
        <v>25</v>
      </c>
      <c r="H1087" s="4" t="s">
        <v>34</v>
      </c>
      <c r="I1087" s="5">
        <v>44713</v>
      </c>
      <c r="J1087" s="6">
        <v>0</v>
      </c>
      <c r="K1087" s="6">
        <v>0</v>
      </c>
      <c r="L1087" s="6">
        <v>-0.16900000000000001</v>
      </c>
      <c r="M1087" s="6">
        <v>-0.16900000000000001</v>
      </c>
      <c r="N1087" s="6">
        <v>-0.16900000000000001</v>
      </c>
      <c r="O1087" s="6">
        <v>-0.16900000000000001</v>
      </c>
      <c r="P1087" s="6">
        <v>0</v>
      </c>
      <c r="Q1087" s="4" t="s">
        <v>26</v>
      </c>
      <c r="R1087" s="4">
        <v>0</v>
      </c>
      <c r="S1087" s="4" t="s">
        <v>358</v>
      </c>
      <c r="T1087" s="4" t="s">
        <v>623</v>
      </c>
      <c r="U1087" s="4">
        <v>0</v>
      </c>
      <c r="V1087" s="4">
        <v>42</v>
      </c>
      <c r="W1087" s="4">
        <v>66</v>
      </c>
    </row>
    <row r="1088" spans="1:23" ht="11.25" customHeight="1" x14ac:dyDescent="0.25">
      <c r="A1088" s="4" t="s">
        <v>28</v>
      </c>
      <c r="B1088" s="4" t="s">
        <v>41</v>
      </c>
      <c r="C1088" s="4" t="s">
        <v>42</v>
      </c>
      <c r="D1088" s="4" t="s">
        <v>38</v>
      </c>
      <c r="E1088" s="4" t="s">
        <v>25</v>
      </c>
      <c r="F1088" s="4" t="s">
        <v>25</v>
      </c>
      <c r="G1088" s="4" t="s">
        <v>25</v>
      </c>
      <c r="H1088" s="4" t="s">
        <v>34</v>
      </c>
      <c r="I1088" s="5">
        <v>44713</v>
      </c>
      <c r="J1088" s="6">
        <v>0</v>
      </c>
      <c r="K1088" s="6">
        <v>0</v>
      </c>
      <c r="L1088" s="6">
        <v>10.967000000000001</v>
      </c>
      <c r="M1088" s="6">
        <v>10.967000000000001</v>
      </c>
      <c r="N1088" s="6">
        <v>10.967000000000001</v>
      </c>
      <c r="O1088" s="6">
        <v>10.967000000000001</v>
      </c>
      <c r="P1088" s="6">
        <v>0</v>
      </c>
      <c r="Q1088" s="4" t="s">
        <v>26</v>
      </c>
      <c r="R1088" s="4">
        <v>0</v>
      </c>
      <c r="S1088" s="4" t="s">
        <v>358</v>
      </c>
      <c r="T1088" s="4" t="s">
        <v>623</v>
      </c>
      <c r="U1088" s="4">
        <v>0</v>
      </c>
      <c r="V1088" s="4">
        <v>42</v>
      </c>
      <c r="W1088" s="4">
        <v>66</v>
      </c>
    </row>
    <row r="1089" spans="1:23" ht="11.25" customHeight="1" x14ac:dyDescent="0.25">
      <c r="A1089" s="4" t="s">
        <v>57</v>
      </c>
      <c r="B1089" s="4" t="s">
        <v>41</v>
      </c>
      <c r="C1089" s="4" t="s">
        <v>42</v>
      </c>
      <c r="D1089" s="4" t="s">
        <v>38</v>
      </c>
      <c r="E1089" s="4" t="s">
        <v>25</v>
      </c>
      <c r="F1089" s="4" t="s">
        <v>25</v>
      </c>
      <c r="G1089" s="4" t="s">
        <v>25</v>
      </c>
      <c r="H1089" s="4" t="s">
        <v>34</v>
      </c>
      <c r="I1089" s="5">
        <v>44743</v>
      </c>
      <c r="J1089" s="6">
        <v>0</v>
      </c>
      <c r="K1089" s="6">
        <v>0</v>
      </c>
      <c r="L1089" s="6">
        <v>288.91199999999998</v>
      </c>
      <c r="M1089" s="6">
        <v>288.91199999999998</v>
      </c>
      <c r="N1089" s="6">
        <v>288.91199999999998</v>
      </c>
      <c r="O1089" s="6">
        <v>288.91199999999998</v>
      </c>
      <c r="P1089" s="6">
        <v>0</v>
      </c>
      <c r="Q1089" s="4" t="s">
        <v>26</v>
      </c>
      <c r="R1089" s="4">
        <v>0</v>
      </c>
      <c r="S1089" s="4" t="s">
        <v>359</v>
      </c>
      <c r="T1089" s="4" t="s">
        <v>624</v>
      </c>
      <c r="U1089" s="4">
        <v>0</v>
      </c>
      <c r="V1089" s="4">
        <v>42</v>
      </c>
      <c r="W1089" s="4">
        <v>66</v>
      </c>
    </row>
    <row r="1090" spans="1:23" ht="11.25" customHeight="1" x14ac:dyDescent="0.25">
      <c r="A1090" s="4" t="s">
        <v>57</v>
      </c>
      <c r="B1090" s="4" t="s">
        <v>41</v>
      </c>
      <c r="C1090" s="4" t="s">
        <v>42</v>
      </c>
      <c r="D1090" s="4" t="s">
        <v>38</v>
      </c>
      <c r="E1090" s="4" t="s">
        <v>25</v>
      </c>
      <c r="F1090" s="4" t="s">
        <v>25</v>
      </c>
      <c r="G1090" s="4" t="s">
        <v>25</v>
      </c>
      <c r="H1090" s="4" t="s">
        <v>34</v>
      </c>
      <c r="I1090" s="5">
        <v>44743</v>
      </c>
      <c r="J1090" s="6">
        <v>0</v>
      </c>
      <c r="K1090" s="6">
        <v>0</v>
      </c>
      <c r="L1090" s="6">
        <v>-0.16900000000000001</v>
      </c>
      <c r="M1090" s="6">
        <v>-0.16900000000000001</v>
      </c>
      <c r="N1090" s="6">
        <v>-0.16900000000000001</v>
      </c>
      <c r="O1090" s="6">
        <v>-0.16900000000000001</v>
      </c>
      <c r="P1090" s="6">
        <v>0</v>
      </c>
      <c r="Q1090" s="4" t="s">
        <v>26</v>
      </c>
      <c r="R1090" s="4">
        <v>0</v>
      </c>
      <c r="S1090" s="4" t="s">
        <v>359</v>
      </c>
      <c r="T1090" s="4" t="s">
        <v>624</v>
      </c>
      <c r="U1090" s="4">
        <v>0</v>
      </c>
      <c r="V1090" s="4">
        <v>42</v>
      </c>
      <c r="W1090" s="4">
        <v>66</v>
      </c>
    </row>
    <row r="1091" spans="1:23" ht="11.25" customHeight="1" x14ac:dyDescent="0.25">
      <c r="A1091" s="4" t="s">
        <v>57</v>
      </c>
      <c r="B1091" s="4" t="s">
        <v>41</v>
      </c>
      <c r="C1091" s="4" t="s">
        <v>42</v>
      </c>
      <c r="D1091" s="4" t="s">
        <v>38</v>
      </c>
      <c r="E1091" s="4" t="s">
        <v>25</v>
      </c>
      <c r="F1091" s="4" t="s">
        <v>25</v>
      </c>
      <c r="G1091" s="4" t="s">
        <v>25</v>
      </c>
      <c r="H1091" s="4" t="s">
        <v>34</v>
      </c>
      <c r="I1091" s="5">
        <v>44743</v>
      </c>
      <c r="J1091" s="6">
        <v>0</v>
      </c>
      <c r="K1091" s="6">
        <v>0</v>
      </c>
      <c r="L1091" s="6">
        <v>10.967000000000001</v>
      </c>
      <c r="M1091" s="6">
        <v>10.967000000000001</v>
      </c>
      <c r="N1091" s="6">
        <v>10.967000000000001</v>
      </c>
      <c r="O1091" s="6">
        <v>10.967000000000001</v>
      </c>
      <c r="P1091" s="6">
        <v>0</v>
      </c>
      <c r="Q1091" s="4" t="s">
        <v>26</v>
      </c>
      <c r="R1091" s="4">
        <v>0</v>
      </c>
      <c r="S1091" s="4" t="s">
        <v>359</v>
      </c>
      <c r="T1091" s="4" t="s">
        <v>624</v>
      </c>
      <c r="U1091" s="4">
        <v>0</v>
      </c>
      <c r="V1091" s="4">
        <v>42</v>
      </c>
      <c r="W1091" s="4">
        <v>66</v>
      </c>
    </row>
    <row r="1092" spans="1:23" ht="11.25" customHeight="1" x14ac:dyDescent="0.25">
      <c r="A1092" s="4" t="s">
        <v>21</v>
      </c>
      <c r="B1092" s="4" t="s">
        <v>41</v>
      </c>
      <c r="C1092" s="4" t="s">
        <v>42</v>
      </c>
      <c r="D1092" s="4" t="s">
        <v>46</v>
      </c>
      <c r="E1092" s="4" t="s">
        <v>25</v>
      </c>
      <c r="F1092" s="4" t="s">
        <v>25</v>
      </c>
      <c r="G1092" s="4" t="s">
        <v>25</v>
      </c>
      <c r="H1092" s="4" t="s">
        <v>35</v>
      </c>
      <c r="I1092" s="5">
        <v>44409</v>
      </c>
      <c r="J1092" s="6">
        <v>0</v>
      </c>
      <c r="K1092" s="6">
        <v>0</v>
      </c>
      <c r="L1092" s="6">
        <v>6091.6229999999996</v>
      </c>
      <c r="M1092" s="6">
        <v>6091.6229999999996</v>
      </c>
      <c r="N1092" s="6">
        <v>6091.6229999999996</v>
      </c>
      <c r="O1092" s="6">
        <v>6091.6229999999996</v>
      </c>
      <c r="P1092" s="6">
        <v>0</v>
      </c>
      <c r="Q1092" s="4" t="s">
        <v>26</v>
      </c>
      <c r="R1092" s="4">
        <v>0</v>
      </c>
      <c r="S1092" s="4" t="s">
        <v>324</v>
      </c>
      <c r="T1092" s="4" t="s">
        <v>601</v>
      </c>
      <c r="U1092" s="4">
        <v>0</v>
      </c>
      <c r="V1092" s="4">
        <v>44</v>
      </c>
      <c r="W1092" s="4">
        <v>67</v>
      </c>
    </row>
    <row r="1093" spans="1:23" ht="11.25" customHeight="1" x14ac:dyDescent="0.25">
      <c r="A1093" s="4" t="s">
        <v>27</v>
      </c>
      <c r="B1093" s="4" t="s">
        <v>41</v>
      </c>
      <c r="C1093" s="4" t="s">
        <v>42</v>
      </c>
      <c r="D1093" s="4" t="s">
        <v>46</v>
      </c>
      <c r="E1093" s="4" t="s">
        <v>25</v>
      </c>
      <c r="F1093" s="4" t="s">
        <v>25</v>
      </c>
      <c r="G1093" s="4" t="s">
        <v>25</v>
      </c>
      <c r="H1093" s="4" t="s">
        <v>35</v>
      </c>
      <c r="I1093" s="5">
        <v>44409</v>
      </c>
      <c r="J1093" s="6">
        <v>0</v>
      </c>
      <c r="K1093" s="6">
        <v>0</v>
      </c>
      <c r="L1093" s="6">
        <v>-0.60499999999999998</v>
      </c>
      <c r="M1093" s="6">
        <v>-0.60499999999999998</v>
      </c>
      <c r="N1093" s="6">
        <v>-0.60499999999999998</v>
      </c>
      <c r="O1093" s="6">
        <v>-0.60499999999999998</v>
      </c>
      <c r="P1093" s="6">
        <v>0</v>
      </c>
      <c r="Q1093" s="4" t="s">
        <v>26</v>
      </c>
      <c r="R1093" s="4">
        <v>0</v>
      </c>
      <c r="S1093" s="4" t="s">
        <v>324</v>
      </c>
      <c r="T1093" s="4" t="s">
        <v>601</v>
      </c>
      <c r="U1093" s="4">
        <v>0</v>
      </c>
      <c r="V1093" s="4">
        <v>44</v>
      </c>
      <c r="W1093" s="4">
        <v>67</v>
      </c>
    </row>
    <row r="1094" spans="1:23" ht="11.25" customHeight="1" x14ac:dyDescent="0.25">
      <c r="A1094" s="4" t="s">
        <v>28</v>
      </c>
      <c r="B1094" s="4" t="s">
        <v>41</v>
      </c>
      <c r="C1094" s="4" t="s">
        <v>42</v>
      </c>
      <c r="D1094" s="4" t="s">
        <v>46</v>
      </c>
      <c r="E1094" s="4" t="s">
        <v>25</v>
      </c>
      <c r="F1094" s="4" t="s">
        <v>25</v>
      </c>
      <c r="G1094" s="4" t="s">
        <v>25</v>
      </c>
      <c r="H1094" s="4" t="s">
        <v>35</v>
      </c>
      <c r="I1094" s="5">
        <v>44409</v>
      </c>
      <c r="J1094" s="6">
        <v>0</v>
      </c>
      <c r="K1094" s="6">
        <v>0</v>
      </c>
      <c r="L1094" s="6">
        <v>119.15900000000001</v>
      </c>
      <c r="M1094" s="6">
        <v>119.15900000000001</v>
      </c>
      <c r="N1094" s="6">
        <v>119.15900000000001</v>
      </c>
      <c r="O1094" s="6">
        <v>119.15900000000001</v>
      </c>
      <c r="P1094" s="6">
        <v>0</v>
      </c>
      <c r="Q1094" s="4" t="s">
        <v>26</v>
      </c>
      <c r="R1094" s="4">
        <v>0</v>
      </c>
      <c r="S1094" s="4" t="s">
        <v>324</v>
      </c>
      <c r="T1094" s="4" t="s">
        <v>601</v>
      </c>
      <c r="U1094" s="4">
        <v>0</v>
      </c>
      <c r="V1094" s="4">
        <v>44</v>
      </c>
      <c r="W1094" s="4">
        <v>67</v>
      </c>
    </row>
    <row r="1095" spans="1:23" ht="11.25" customHeight="1" x14ac:dyDescent="0.25">
      <c r="A1095" s="4" t="s">
        <v>21</v>
      </c>
      <c r="B1095" s="4" t="s">
        <v>41</v>
      </c>
      <c r="C1095" s="4" t="s">
        <v>42</v>
      </c>
      <c r="D1095" s="4" t="s">
        <v>46</v>
      </c>
      <c r="E1095" s="4" t="s">
        <v>25</v>
      </c>
      <c r="F1095" s="4" t="s">
        <v>25</v>
      </c>
      <c r="G1095" s="4" t="s">
        <v>25</v>
      </c>
      <c r="H1095" s="4" t="s">
        <v>35</v>
      </c>
      <c r="I1095" s="5">
        <v>44440</v>
      </c>
      <c r="J1095" s="6">
        <v>0</v>
      </c>
      <c r="K1095" s="6">
        <v>0</v>
      </c>
      <c r="L1095" s="6">
        <v>6536.3530000000001</v>
      </c>
      <c r="M1095" s="6">
        <v>6536.3530000000001</v>
      </c>
      <c r="N1095" s="6">
        <v>6536.3530000000001</v>
      </c>
      <c r="O1095" s="6">
        <v>6536.3530000000001</v>
      </c>
      <c r="P1095" s="6">
        <v>0</v>
      </c>
      <c r="Q1095" s="4" t="s">
        <v>26</v>
      </c>
      <c r="R1095" s="4">
        <v>0</v>
      </c>
      <c r="S1095" s="4" t="s">
        <v>325</v>
      </c>
      <c r="T1095" s="4" t="s">
        <v>602</v>
      </c>
      <c r="U1095" s="4">
        <v>0</v>
      </c>
      <c r="V1095" s="4">
        <v>44</v>
      </c>
      <c r="W1095" s="4">
        <v>67</v>
      </c>
    </row>
    <row r="1096" spans="1:23" ht="11.25" customHeight="1" x14ac:dyDescent="0.25">
      <c r="A1096" s="4" t="s">
        <v>27</v>
      </c>
      <c r="B1096" s="4" t="s">
        <v>41</v>
      </c>
      <c r="C1096" s="4" t="s">
        <v>42</v>
      </c>
      <c r="D1096" s="4" t="s">
        <v>46</v>
      </c>
      <c r="E1096" s="4" t="s">
        <v>25</v>
      </c>
      <c r="F1096" s="4" t="s">
        <v>25</v>
      </c>
      <c r="G1096" s="4" t="s">
        <v>25</v>
      </c>
      <c r="H1096" s="4" t="s">
        <v>35</v>
      </c>
      <c r="I1096" s="5">
        <v>44440</v>
      </c>
      <c r="J1096" s="6">
        <v>0</v>
      </c>
      <c r="K1096" s="6">
        <v>0</v>
      </c>
      <c r="L1096" s="6">
        <v>-121.8</v>
      </c>
      <c r="M1096" s="6">
        <v>-121.8</v>
      </c>
      <c r="N1096" s="6">
        <v>-121.8</v>
      </c>
      <c r="O1096" s="6">
        <v>-121.8</v>
      </c>
      <c r="P1096" s="6">
        <v>0</v>
      </c>
      <c r="Q1096" s="4" t="s">
        <v>26</v>
      </c>
      <c r="R1096" s="4">
        <v>0</v>
      </c>
      <c r="S1096" s="4" t="s">
        <v>325</v>
      </c>
      <c r="T1096" s="4" t="s">
        <v>602</v>
      </c>
      <c r="U1096" s="4">
        <v>0</v>
      </c>
      <c r="V1096" s="4">
        <v>44</v>
      </c>
      <c r="W1096" s="4">
        <v>67</v>
      </c>
    </row>
    <row r="1097" spans="1:23" ht="11.25" customHeight="1" x14ac:dyDescent="0.25">
      <c r="A1097" s="4" t="s">
        <v>28</v>
      </c>
      <c r="B1097" s="4" t="s">
        <v>41</v>
      </c>
      <c r="C1097" s="4" t="s">
        <v>42</v>
      </c>
      <c r="D1097" s="4" t="s">
        <v>46</v>
      </c>
      <c r="E1097" s="4" t="s">
        <v>25</v>
      </c>
      <c r="F1097" s="4" t="s">
        <v>25</v>
      </c>
      <c r="G1097" s="4" t="s">
        <v>25</v>
      </c>
      <c r="H1097" s="4" t="s">
        <v>35</v>
      </c>
      <c r="I1097" s="5">
        <v>44440</v>
      </c>
      <c r="J1097" s="6">
        <v>0</v>
      </c>
      <c r="K1097" s="6">
        <v>0</v>
      </c>
      <c r="L1097" s="6">
        <v>141.476</v>
      </c>
      <c r="M1097" s="6">
        <v>141.476</v>
      </c>
      <c r="N1097" s="6">
        <v>141.476</v>
      </c>
      <c r="O1097" s="6">
        <v>141.476</v>
      </c>
      <c r="P1097" s="6">
        <v>0</v>
      </c>
      <c r="Q1097" s="4" t="s">
        <v>26</v>
      </c>
      <c r="R1097" s="4">
        <v>0</v>
      </c>
      <c r="S1097" s="4" t="s">
        <v>325</v>
      </c>
      <c r="T1097" s="4" t="s">
        <v>602</v>
      </c>
      <c r="U1097" s="4">
        <v>0</v>
      </c>
      <c r="V1097" s="4">
        <v>44</v>
      </c>
      <c r="W1097" s="4">
        <v>67</v>
      </c>
    </row>
    <row r="1098" spans="1:23" ht="11.25" customHeight="1" x14ac:dyDescent="0.25">
      <c r="A1098" s="4" t="s">
        <v>21</v>
      </c>
      <c r="B1098" s="4" t="s">
        <v>41</v>
      </c>
      <c r="C1098" s="4" t="s">
        <v>42</v>
      </c>
      <c r="D1098" s="4" t="s">
        <v>46</v>
      </c>
      <c r="E1098" s="4" t="s">
        <v>25</v>
      </c>
      <c r="F1098" s="4" t="s">
        <v>25</v>
      </c>
      <c r="G1098" s="4" t="s">
        <v>25</v>
      </c>
      <c r="H1098" s="4" t="s">
        <v>35</v>
      </c>
      <c r="I1098" s="5">
        <v>44470</v>
      </c>
      <c r="J1098" s="6">
        <v>0</v>
      </c>
      <c r="K1098" s="6">
        <v>0</v>
      </c>
      <c r="L1098" s="6">
        <v>7273.1719999999996</v>
      </c>
      <c r="M1098" s="6">
        <v>7273.1719999999996</v>
      </c>
      <c r="N1098" s="6">
        <v>7273.1719999999996</v>
      </c>
      <c r="O1098" s="6">
        <v>7273.1719999999996</v>
      </c>
      <c r="P1098" s="6">
        <v>0</v>
      </c>
      <c r="Q1098" s="4" t="s">
        <v>26</v>
      </c>
      <c r="R1098" s="4">
        <v>0</v>
      </c>
      <c r="S1098" s="4" t="s">
        <v>326</v>
      </c>
      <c r="T1098" s="4" t="s">
        <v>603</v>
      </c>
      <c r="U1098" s="4">
        <v>0</v>
      </c>
      <c r="V1098" s="4">
        <v>44</v>
      </c>
      <c r="W1098" s="4">
        <v>67</v>
      </c>
    </row>
    <row r="1099" spans="1:23" ht="11.25" customHeight="1" x14ac:dyDescent="0.25">
      <c r="A1099" s="4" t="s">
        <v>27</v>
      </c>
      <c r="B1099" s="4" t="s">
        <v>41</v>
      </c>
      <c r="C1099" s="4" t="s">
        <v>42</v>
      </c>
      <c r="D1099" s="4" t="s">
        <v>46</v>
      </c>
      <c r="E1099" s="4" t="s">
        <v>25</v>
      </c>
      <c r="F1099" s="4" t="s">
        <v>25</v>
      </c>
      <c r="G1099" s="4" t="s">
        <v>25</v>
      </c>
      <c r="H1099" s="4" t="s">
        <v>35</v>
      </c>
      <c r="I1099" s="5">
        <v>44470</v>
      </c>
      <c r="J1099" s="6">
        <v>0</v>
      </c>
      <c r="K1099" s="6">
        <v>0</v>
      </c>
      <c r="L1099" s="6">
        <v>2.9209999999999998</v>
      </c>
      <c r="M1099" s="6">
        <v>2.9209999999999998</v>
      </c>
      <c r="N1099" s="6">
        <v>2.9209999999999998</v>
      </c>
      <c r="O1099" s="6">
        <v>2.9209999999999998</v>
      </c>
      <c r="P1099" s="6">
        <v>0</v>
      </c>
      <c r="Q1099" s="4" t="s">
        <v>26</v>
      </c>
      <c r="R1099" s="4">
        <v>0</v>
      </c>
      <c r="S1099" s="4" t="s">
        <v>326</v>
      </c>
      <c r="T1099" s="4" t="s">
        <v>603</v>
      </c>
      <c r="U1099" s="4">
        <v>0</v>
      </c>
      <c r="V1099" s="4">
        <v>44</v>
      </c>
      <c r="W1099" s="4">
        <v>67</v>
      </c>
    </row>
    <row r="1100" spans="1:23" ht="11.25" customHeight="1" x14ac:dyDescent="0.25">
      <c r="A1100" s="4" t="s">
        <v>28</v>
      </c>
      <c r="B1100" s="4" t="s">
        <v>41</v>
      </c>
      <c r="C1100" s="4" t="s">
        <v>42</v>
      </c>
      <c r="D1100" s="4" t="s">
        <v>46</v>
      </c>
      <c r="E1100" s="4" t="s">
        <v>25</v>
      </c>
      <c r="F1100" s="4" t="s">
        <v>25</v>
      </c>
      <c r="G1100" s="4" t="s">
        <v>25</v>
      </c>
      <c r="H1100" s="4" t="s">
        <v>35</v>
      </c>
      <c r="I1100" s="5">
        <v>44470</v>
      </c>
      <c r="J1100" s="6">
        <v>0</v>
      </c>
      <c r="K1100" s="6">
        <v>0</v>
      </c>
      <c r="L1100" s="6">
        <v>163.89</v>
      </c>
      <c r="M1100" s="6">
        <v>163.89</v>
      </c>
      <c r="N1100" s="6">
        <v>163.89</v>
      </c>
      <c r="O1100" s="6">
        <v>163.89</v>
      </c>
      <c r="P1100" s="6">
        <v>0</v>
      </c>
      <c r="Q1100" s="4" t="s">
        <v>26</v>
      </c>
      <c r="R1100" s="4">
        <v>0</v>
      </c>
      <c r="S1100" s="4" t="s">
        <v>326</v>
      </c>
      <c r="T1100" s="4" t="s">
        <v>603</v>
      </c>
      <c r="U1100" s="4">
        <v>0</v>
      </c>
      <c r="V1100" s="4">
        <v>44</v>
      </c>
      <c r="W1100" s="4">
        <v>67</v>
      </c>
    </row>
    <row r="1101" spans="1:23" ht="11.25" customHeight="1" x14ac:dyDescent="0.25">
      <c r="A1101" s="4" t="s">
        <v>21</v>
      </c>
      <c r="B1101" s="4" t="s">
        <v>41</v>
      </c>
      <c r="C1101" s="4" t="s">
        <v>42</v>
      </c>
      <c r="D1101" s="4" t="s">
        <v>46</v>
      </c>
      <c r="E1101" s="4" t="s">
        <v>25</v>
      </c>
      <c r="F1101" s="4" t="s">
        <v>25</v>
      </c>
      <c r="G1101" s="4" t="s">
        <v>25</v>
      </c>
      <c r="H1101" s="4" t="s">
        <v>35</v>
      </c>
      <c r="I1101" s="5">
        <v>44501</v>
      </c>
      <c r="J1101" s="6">
        <v>0</v>
      </c>
      <c r="K1101" s="6">
        <v>0</v>
      </c>
      <c r="L1101" s="6">
        <v>7854.3410000000003</v>
      </c>
      <c r="M1101" s="6">
        <v>7854.3410000000003</v>
      </c>
      <c r="N1101" s="6">
        <v>7854.3410000000003</v>
      </c>
      <c r="O1101" s="6">
        <v>7854.3410000000003</v>
      </c>
      <c r="P1101" s="6">
        <v>0</v>
      </c>
      <c r="Q1101" s="4" t="s">
        <v>26</v>
      </c>
      <c r="R1101" s="4">
        <v>0</v>
      </c>
      <c r="S1101" s="4" t="s">
        <v>327</v>
      </c>
      <c r="T1101" s="4" t="s">
        <v>604</v>
      </c>
      <c r="U1101" s="4">
        <v>0</v>
      </c>
      <c r="V1101" s="4">
        <v>44</v>
      </c>
      <c r="W1101" s="4">
        <v>67</v>
      </c>
    </row>
    <row r="1102" spans="1:23" ht="11.25" customHeight="1" x14ac:dyDescent="0.25">
      <c r="A1102" s="4" t="s">
        <v>28</v>
      </c>
      <c r="B1102" s="4" t="s">
        <v>41</v>
      </c>
      <c r="C1102" s="4" t="s">
        <v>42</v>
      </c>
      <c r="D1102" s="4" t="s">
        <v>46</v>
      </c>
      <c r="E1102" s="4" t="s">
        <v>25</v>
      </c>
      <c r="F1102" s="4" t="s">
        <v>25</v>
      </c>
      <c r="G1102" s="4" t="s">
        <v>25</v>
      </c>
      <c r="H1102" s="4" t="s">
        <v>35</v>
      </c>
      <c r="I1102" s="5">
        <v>44501</v>
      </c>
      <c r="J1102" s="6">
        <v>0</v>
      </c>
      <c r="K1102" s="6">
        <v>0</v>
      </c>
      <c r="L1102" s="6">
        <v>170.649</v>
      </c>
      <c r="M1102" s="6">
        <v>170.649</v>
      </c>
      <c r="N1102" s="6">
        <v>170.649</v>
      </c>
      <c r="O1102" s="6">
        <v>170.649</v>
      </c>
      <c r="P1102" s="6">
        <v>0</v>
      </c>
      <c r="Q1102" s="4" t="s">
        <v>26</v>
      </c>
      <c r="R1102" s="4">
        <v>0</v>
      </c>
      <c r="S1102" s="4" t="s">
        <v>327</v>
      </c>
      <c r="T1102" s="4" t="s">
        <v>604</v>
      </c>
      <c r="U1102" s="4">
        <v>0</v>
      </c>
      <c r="V1102" s="4">
        <v>44</v>
      </c>
      <c r="W1102" s="4">
        <v>67</v>
      </c>
    </row>
    <row r="1103" spans="1:23" ht="11.25" customHeight="1" x14ac:dyDescent="0.25">
      <c r="A1103" s="4" t="s">
        <v>21</v>
      </c>
      <c r="B1103" s="4" t="s">
        <v>41</v>
      </c>
      <c r="C1103" s="4" t="s">
        <v>42</v>
      </c>
      <c r="D1103" s="4" t="s">
        <v>46</v>
      </c>
      <c r="E1103" s="4" t="s">
        <v>25</v>
      </c>
      <c r="F1103" s="4" t="s">
        <v>25</v>
      </c>
      <c r="G1103" s="4" t="s">
        <v>25</v>
      </c>
      <c r="H1103" s="4" t="s">
        <v>35</v>
      </c>
      <c r="I1103" s="5">
        <v>44531</v>
      </c>
      <c r="J1103" s="6">
        <v>0</v>
      </c>
      <c r="K1103" s="6">
        <v>0</v>
      </c>
      <c r="L1103" s="6">
        <v>7959.6980000000003</v>
      </c>
      <c r="M1103" s="6">
        <v>7959.6980000000003</v>
      </c>
      <c r="N1103" s="6">
        <v>7959.6980000000003</v>
      </c>
      <c r="O1103" s="6">
        <v>7959.6980000000003</v>
      </c>
      <c r="P1103" s="6">
        <v>0</v>
      </c>
      <c r="Q1103" s="4" t="s">
        <v>26</v>
      </c>
      <c r="R1103" s="4">
        <v>0</v>
      </c>
      <c r="S1103" s="4" t="s">
        <v>328</v>
      </c>
      <c r="T1103" s="4" t="s">
        <v>605</v>
      </c>
      <c r="U1103" s="4">
        <v>0</v>
      </c>
      <c r="V1103" s="4">
        <v>44</v>
      </c>
      <c r="W1103" s="4">
        <v>67</v>
      </c>
    </row>
    <row r="1104" spans="1:23" ht="11.25" customHeight="1" x14ac:dyDescent="0.25">
      <c r="A1104" s="4" t="s">
        <v>28</v>
      </c>
      <c r="B1104" s="4" t="s">
        <v>41</v>
      </c>
      <c r="C1104" s="4" t="s">
        <v>42</v>
      </c>
      <c r="D1104" s="4" t="s">
        <v>46</v>
      </c>
      <c r="E1104" s="4" t="s">
        <v>25</v>
      </c>
      <c r="F1104" s="4" t="s">
        <v>25</v>
      </c>
      <c r="G1104" s="4" t="s">
        <v>25</v>
      </c>
      <c r="H1104" s="4" t="s">
        <v>35</v>
      </c>
      <c r="I1104" s="5">
        <v>44531</v>
      </c>
      <c r="J1104" s="6">
        <v>0</v>
      </c>
      <c r="K1104" s="6">
        <v>0</v>
      </c>
      <c r="L1104" s="6">
        <v>182.31100000000001</v>
      </c>
      <c r="M1104" s="6">
        <v>182.31100000000001</v>
      </c>
      <c r="N1104" s="6">
        <v>182.31100000000001</v>
      </c>
      <c r="O1104" s="6">
        <v>182.31100000000001</v>
      </c>
      <c r="P1104" s="6">
        <v>0</v>
      </c>
      <c r="Q1104" s="4" t="s">
        <v>26</v>
      </c>
      <c r="R1104" s="4">
        <v>0</v>
      </c>
      <c r="S1104" s="4" t="s">
        <v>328</v>
      </c>
      <c r="T1104" s="4" t="s">
        <v>605</v>
      </c>
      <c r="U1104" s="4">
        <v>0</v>
      </c>
      <c r="V1104" s="4">
        <v>44</v>
      </c>
      <c r="W1104" s="4">
        <v>67</v>
      </c>
    </row>
    <row r="1105" spans="1:23" ht="11.25" customHeight="1" x14ac:dyDescent="0.25">
      <c r="A1105" s="4" t="s">
        <v>21</v>
      </c>
      <c r="B1105" s="4" t="s">
        <v>41</v>
      </c>
      <c r="C1105" s="4" t="s">
        <v>42</v>
      </c>
      <c r="D1105" s="4" t="s">
        <v>46</v>
      </c>
      <c r="E1105" s="4" t="s">
        <v>25</v>
      </c>
      <c r="F1105" s="4" t="s">
        <v>25</v>
      </c>
      <c r="G1105" s="4" t="s">
        <v>25</v>
      </c>
      <c r="H1105" s="4" t="s">
        <v>35</v>
      </c>
      <c r="I1105" s="5">
        <v>44562</v>
      </c>
      <c r="J1105" s="6">
        <v>0</v>
      </c>
      <c r="K1105" s="6">
        <v>0</v>
      </c>
      <c r="L1105" s="6">
        <v>7523.2740000000003</v>
      </c>
      <c r="M1105" s="6">
        <v>7523.2740000000003</v>
      </c>
      <c r="N1105" s="6">
        <v>7523.2740000000003</v>
      </c>
      <c r="O1105" s="6">
        <v>7523.2740000000003</v>
      </c>
      <c r="P1105" s="6">
        <v>0</v>
      </c>
      <c r="Q1105" s="4" t="s">
        <v>26</v>
      </c>
      <c r="R1105" s="4">
        <v>0</v>
      </c>
      <c r="S1105" s="4" t="s">
        <v>329</v>
      </c>
      <c r="T1105" s="4" t="s">
        <v>606</v>
      </c>
      <c r="U1105" s="4">
        <v>0</v>
      </c>
      <c r="V1105" s="4">
        <v>44</v>
      </c>
      <c r="W1105" s="4">
        <v>67</v>
      </c>
    </row>
    <row r="1106" spans="1:23" ht="11.25" customHeight="1" x14ac:dyDescent="0.25">
      <c r="A1106" s="4" t="s">
        <v>28</v>
      </c>
      <c r="B1106" s="4" t="s">
        <v>41</v>
      </c>
      <c r="C1106" s="4" t="s">
        <v>42</v>
      </c>
      <c r="D1106" s="4" t="s">
        <v>46</v>
      </c>
      <c r="E1106" s="4" t="s">
        <v>25</v>
      </c>
      <c r="F1106" s="4" t="s">
        <v>25</v>
      </c>
      <c r="G1106" s="4" t="s">
        <v>25</v>
      </c>
      <c r="H1106" s="4" t="s">
        <v>35</v>
      </c>
      <c r="I1106" s="5">
        <v>44562</v>
      </c>
      <c r="J1106" s="6">
        <v>0</v>
      </c>
      <c r="K1106" s="6">
        <v>0</v>
      </c>
      <c r="L1106" s="6">
        <v>142.25700000000001</v>
      </c>
      <c r="M1106" s="6">
        <v>142.25700000000001</v>
      </c>
      <c r="N1106" s="6">
        <v>142.25700000000001</v>
      </c>
      <c r="O1106" s="6">
        <v>142.25700000000001</v>
      </c>
      <c r="P1106" s="6">
        <v>0</v>
      </c>
      <c r="Q1106" s="4" t="s">
        <v>26</v>
      </c>
      <c r="R1106" s="4">
        <v>0</v>
      </c>
      <c r="S1106" s="4" t="s">
        <v>329</v>
      </c>
      <c r="T1106" s="4" t="s">
        <v>606</v>
      </c>
      <c r="U1106" s="4">
        <v>0</v>
      </c>
      <c r="V1106" s="4">
        <v>44</v>
      </c>
      <c r="W1106" s="4">
        <v>67</v>
      </c>
    </row>
    <row r="1107" spans="1:23" ht="11.25" customHeight="1" x14ac:dyDescent="0.25">
      <c r="A1107" s="4" t="s">
        <v>21</v>
      </c>
      <c r="B1107" s="4" t="s">
        <v>41</v>
      </c>
      <c r="C1107" s="4" t="s">
        <v>42</v>
      </c>
      <c r="D1107" s="4" t="s">
        <v>46</v>
      </c>
      <c r="E1107" s="4" t="s">
        <v>25</v>
      </c>
      <c r="F1107" s="4" t="s">
        <v>25</v>
      </c>
      <c r="G1107" s="4" t="s">
        <v>25</v>
      </c>
      <c r="H1107" s="4" t="s">
        <v>35</v>
      </c>
      <c r="I1107" s="5">
        <v>44593</v>
      </c>
      <c r="J1107" s="6">
        <v>0</v>
      </c>
      <c r="K1107" s="6">
        <v>0</v>
      </c>
      <c r="L1107" s="6">
        <v>7308.4430000000002</v>
      </c>
      <c r="M1107" s="6">
        <v>7308.4430000000002</v>
      </c>
      <c r="N1107" s="6">
        <v>7308.4430000000002</v>
      </c>
      <c r="O1107" s="6">
        <v>7308.4430000000002</v>
      </c>
      <c r="P1107" s="6">
        <v>0</v>
      </c>
      <c r="Q1107" s="4" t="s">
        <v>26</v>
      </c>
      <c r="R1107" s="4">
        <v>0</v>
      </c>
      <c r="S1107" s="4" t="s">
        <v>330</v>
      </c>
      <c r="T1107" s="4" t="s">
        <v>607</v>
      </c>
      <c r="U1107" s="4">
        <v>0</v>
      </c>
      <c r="V1107" s="4">
        <v>44</v>
      </c>
      <c r="W1107" s="4">
        <v>67</v>
      </c>
    </row>
    <row r="1108" spans="1:23" ht="11.25" customHeight="1" x14ac:dyDescent="0.25">
      <c r="A1108" s="4" t="s">
        <v>28</v>
      </c>
      <c r="B1108" s="4" t="s">
        <v>41</v>
      </c>
      <c r="C1108" s="4" t="s">
        <v>42</v>
      </c>
      <c r="D1108" s="4" t="s">
        <v>46</v>
      </c>
      <c r="E1108" s="4" t="s">
        <v>25</v>
      </c>
      <c r="F1108" s="4" t="s">
        <v>25</v>
      </c>
      <c r="G1108" s="4" t="s">
        <v>25</v>
      </c>
      <c r="H1108" s="4" t="s">
        <v>35</v>
      </c>
      <c r="I1108" s="5">
        <v>44593</v>
      </c>
      <c r="J1108" s="6">
        <v>0</v>
      </c>
      <c r="K1108" s="6">
        <v>0</v>
      </c>
      <c r="L1108" s="6">
        <v>135.14099999999999</v>
      </c>
      <c r="M1108" s="6">
        <v>135.14099999999999</v>
      </c>
      <c r="N1108" s="6">
        <v>135.14099999999999</v>
      </c>
      <c r="O1108" s="6">
        <v>135.14099999999999</v>
      </c>
      <c r="P1108" s="6">
        <v>0</v>
      </c>
      <c r="Q1108" s="4" t="s">
        <v>26</v>
      </c>
      <c r="R1108" s="4">
        <v>0</v>
      </c>
      <c r="S1108" s="4" t="s">
        <v>330</v>
      </c>
      <c r="T1108" s="4" t="s">
        <v>607</v>
      </c>
      <c r="U1108" s="4">
        <v>0</v>
      </c>
      <c r="V1108" s="4">
        <v>44</v>
      </c>
      <c r="W1108" s="4">
        <v>67</v>
      </c>
    </row>
    <row r="1109" spans="1:23" ht="11.25" customHeight="1" x14ac:dyDescent="0.25">
      <c r="A1109" s="4" t="s">
        <v>21</v>
      </c>
      <c r="B1109" s="4" t="s">
        <v>41</v>
      </c>
      <c r="C1109" s="4" t="s">
        <v>42</v>
      </c>
      <c r="D1109" s="4" t="s">
        <v>46</v>
      </c>
      <c r="E1109" s="4" t="s">
        <v>25</v>
      </c>
      <c r="F1109" s="4" t="s">
        <v>25</v>
      </c>
      <c r="G1109" s="4" t="s">
        <v>25</v>
      </c>
      <c r="H1109" s="4" t="s">
        <v>35</v>
      </c>
      <c r="I1109" s="5">
        <v>44621</v>
      </c>
      <c r="J1109" s="6">
        <v>0</v>
      </c>
      <c r="K1109" s="6">
        <v>0</v>
      </c>
      <c r="L1109" s="6">
        <v>8097.817</v>
      </c>
      <c r="M1109" s="6">
        <v>8097.817</v>
      </c>
      <c r="N1109" s="6">
        <v>8097.817</v>
      </c>
      <c r="O1109" s="6">
        <v>8097.817</v>
      </c>
      <c r="P1109" s="6">
        <v>0</v>
      </c>
      <c r="Q1109" s="4" t="s">
        <v>26</v>
      </c>
      <c r="R1109" s="4">
        <v>0</v>
      </c>
      <c r="S1109" s="4" t="s">
        <v>331</v>
      </c>
      <c r="T1109" s="4" t="s">
        <v>608</v>
      </c>
      <c r="U1109" s="4">
        <v>0</v>
      </c>
      <c r="V1109" s="4">
        <v>44</v>
      </c>
      <c r="W1109" s="4">
        <v>67</v>
      </c>
    </row>
    <row r="1110" spans="1:23" ht="11.25" customHeight="1" x14ac:dyDescent="0.25">
      <c r="A1110" s="4" t="s">
        <v>28</v>
      </c>
      <c r="B1110" s="4" t="s">
        <v>41</v>
      </c>
      <c r="C1110" s="4" t="s">
        <v>42</v>
      </c>
      <c r="D1110" s="4" t="s">
        <v>46</v>
      </c>
      <c r="E1110" s="4" t="s">
        <v>25</v>
      </c>
      <c r="F1110" s="4" t="s">
        <v>25</v>
      </c>
      <c r="G1110" s="4" t="s">
        <v>25</v>
      </c>
      <c r="H1110" s="4" t="s">
        <v>35</v>
      </c>
      <c r="I1110" s="5">
        <v>44621</v>
      </c>
      <c r="J1110" s="6">
        <v>0</v>
      </c>
      <c r="K1110" s="6">
        <v>0</v>
      </c>
      <c r="L1110" s="6">
        <v>182.16800000000001</v>
      </c>
      <c r="M1110" s="6">
        <v>182.16800000000001</v>
      </c>
      <c r="N1110" s="6">
        <v>182.16800000000001</v>
      </c>
      <c r="O1110" s="6">
        <v>182.16800000000001</v>
      </c>
      <c r="P1110" s="6">
        <v>0</v>
      </c>
      <c r="Q1110" s="4" t="s">
        <v>26</v>
      </c>
      <c r="R1110" s="4">
        <v>0</v>
      </c>
      <c r="S1110" s="4" t="s">
        <v>331</v>
      </c>
      <c r="T1110" s="4" t="s">
        <v>608</v>
      </c>
      <c r="U1110" s="4">
        <v>0</v>
      </c>
      <c r="V1110" s="4">
        <v>44</v>
      </c>
      <c r="W1110" s="4">
        <v>67</v>
      </c>
    </row>
    <row r="1111" spans="1:23" ht="11.25" customHeight="1" x14ac:dyDescent="0.25">
      <c r="A1111" s="4" t="s">
        <v>21</v>
      </c>
      <c r="B1111" s="4" t="s">
        <v>41</v>
      </c>
      <c r="C1111" s="4" t="s">
        <v>42</v>
      </c>
      <c r="D1111" s="4" t="s">
        <v>46</v>
      </c>
      <c r="E1111" s="4" t="s">
        <v>25</v>
      </c>
      <c r="F1111" s="4" t="s">
        <v>25</v>
      </c>
      <c r="G1111" s="4" t="s">
        <v>25</v>
      </c>
      <c r="H1111" s="4" t="s">
        <v>35</v>
      </c>
      <c r="I1111" s="5">
        <v>44652</v>
      </c>
      <c r="J1111" s="6">
        <v>0</v>
      </c>
      <c r="K1111" s="6">
        <v>0</v>
      </c>
      <c r="L1111" s="6">
        <v>8065.8779999999997</v>
      </c>
      <c r="M1111" s="6">
        <v>8065.8779999999997</v>
      </c>
      <c r="N1111" s="6">
        <v>8065.8779999999997</v>
      </c>
      <c r="O1111" s="6">
        <v>8065.8779999999997</v>
      </c>
      <c r="P1111" s="6">
        <v>0</v>
      </c>
      <c r="Q1111" s="4" t="s">
        <v>26</v>
      </c>
      <c r="R1111" s="4">
        <v>0</v>
      </c>
      <c r="S1111" s="4" t="s">
        <v>332</v>
      </c>
      <c r="T1111" s="4" t="s">
        <v>609</v>
      </c>
      <c r="U1111" s="4">
        <v>0</v>
      </c>
      <c r="V1111" s="4">
        <v>44</v>
      </c>
      <c r="W1111" s="4">
        <v>67</v>
      </c>
    </row>
    <row r="1112" spans="1:23" ht="11.25" customHeight="1" x14ac:dyDescent="0.25">
      <c r="A1112" s="4" t="s">
        <v>28</v>
      </c>
      <c r="B1112" s="4" t="s">
        <v>41</v>
      </c>
      <c r="C1112" s="4" t="s">
        <v>42</v>
      </c>
      <c r="D1112" s="4" t="s">
        <v>46</v>
      </c>
      <c r="E1112" s="4" t="s">
        <v>25</v>
      </c>
      <c r="F1112" s="4" t="s">
        <v>25</v>
      </c>
      <c r="G1112" s="4" t="s">
        <v>25</v>
      </c>
      <c r="H1112" s="4" t="s">
        <v>35</v>
      </c>
      <c r="I1112" s="5">
        <v>44652</v>
      </c>
      <c r="J1112" s="6">
        <v>0</v>
      </c>
      <c r="K1112" s="6">
        <v>0</v>
      </c>
      <c r="L1112" s="6">
        <v>187.572</v>
      </c>
      <c r="M1112" s="6">
        <v>187.572</v>
      </c>
      <c r="N1112" s="6">
        <v>187.572</v>
      </c>
      <c r="O1112" s="6">
        <v>187.572</v>
      </c>
      <c r="P1112" s="6">
        <v>0</v>
      </c>
      <c r="Q1112" s="4" t="s">
        <v>26</v>
      </c>
      <c r="R1112" s="4">
        <v>0</v>
      </c>
      <c r="S1112" s="4" t="s">
        <v>332</v>
      </c>
      <c r="T1112" s="4" t="s">
        <v>609</v>
      </c>
      <c r="U1112" s="4">
        <v>0</v>
      </c>
      <c r="V1112" s="4">
        <v>44</v>
      </c>
      <c r="W1112" s="4">
        <v>67</v>
      </c>
    </row>
    <row r="1113" spans="1:23" ht="11.25" customHeight="1" x14ac:dyDescent="0.25">
      <c r="A1113" s="4" t="s">
        <v>21</v>
      </c>
      <c r="B1113" s="4" t="s">
        <v>41</v>
      </c>
      <c r="C1113" s="4" t="s">
        <v>42</v>
      </c>
      <c r="D1113" s="4" t="s">
        <v>46</v>
      </c>
      <c r="E1113" s="4" t="s">
        <v>25</v>
      </c>
      <c r="F1113" s="4" t="s">
        <v>25</v>
      </c>
      <c r="G1113" s="4" t="s">
        <v>25</v>
      </c>
      <c r="H1113" s="4" t="s">
        <v>35</v>
      </c>
      <c r="I1113" s="5">
        <v>44682</v>
      </c>
      <c r="J1113" s="6">
        <v>0</v>
      </c>
      <c r="K1113" s="6">
        <v>0</v>
      </c>
      <c r="L1113" s="6">
        <v>7581.9979999999996</v>
      </c>
      <c r="M1113" s="6">
        <v>7581.9979999999996</v>
      </c>
      <c r="N1113" s="6">
        <v>7581.9979999999996</v>
      </c>
      <c r="O1113" s="6">
        <v>7581.9979999999996</v>
      </c>
      <c r="P1113" s="6">
        <v>0</v>
      </c>
      <c r="Q1113" s="4" t="s">
        <v>26</v>
      </c>
      <c r="R1113" s="4">
        <v>0</v>
      </c>
      <c r="S1113" s="4" t="s">
        <v>333</v>
      </c>
      <c r="T1113" s="4" t="s">
        <v>610</v>
      </c>
      <c r="U1113" s="4">
        <v>0</v>
      </c>
      <c r="V1113" s="4">
        <v>44</v>
      </c>
      <c r="W1113" s="4">
        <v>67</v>
      </c>
    </row>
    <row r="1114" spans="1:23" ht="11.25" customHeight="1" x14ac:dyDescent="0.25">
      <c r="A1114" s="4" t="s">
        <v>28</v>
      </c>
      <c r="B1114" s="4" t="s">
        <v>41</v>
      </c>
      <c r="C1114" s="4" t="s">
        <v>42</v>
      </c>
      <c r="D1114" s="4" t="s">
        <v>46</v>
      </c>
      <c r="E1114" s="4" t="s">
        <v>25</v>
      </c>
      <c r="F1114" s="4" t="s">
        <v>25</v>
      </c>
      <c r="G1114" s="4" t="s">
        <v>25</v>
      </c>
      <c r="H1114" s="4" t="s">
        <v>35</v>
      </c>
      <c r="I1114" s="5">
        <v>44682</v>
      </c>
      <c r="J1114" s="6">
        <v>0</v>
      </c>
      <c r="K1114" s="6">
        <v>0</v>
      </c>
      <c r="L1114" s="6">
        <v>205.87700000000001</v>
      </c>
      <c r="M1114" s="6">
        <v>205.87700000000001</v>
      </c>
      <c r="N1114" s="6">
        <v>205.87700000000001</v>
      </c>
      <c r="O1114" s="6">
        <v>205.87700000000001</v>
      </c>
      <c r="P1114" s="6">
        <v>0</v>
      </c>
      <c r="Q1114" s="4" t="s">
        <v>26</v>
      </c>
      <c r="R1114" s="4">
        <v>0</v>
      </c>
      <c r="S1114" s="4" t="s">
        <v>333</v>
      </c>
      <c r="T1114" s="4" t="s">
        <v>610</v>
      </c>
      <c r="U1114" s="4">
        <v>0</v>
      </c>
      <c r="V1114" s="4">
        <v>44</v>
      </c>
      <c r="W1114" s="4">
        <v>67</v>
      </c>
    </row>
    <row r="1115" spans="1:23" ht="11.25" customHeight="1" x14ac:dyDescent="0.25">
      <c r="A1115" s="4" t="s">
        <v>21</v>
      </c>
      <c r="B1115" s="4" t="s">
        <v>41</v>
      </c>
      <c r="C1115" s="4" t="s">
        <v>42</v>
      </c>
      <c r="D1115" s="4" t="s">
        <v>46</v>
      </c>
      <c r="E1115" s="4" t="s">
        <v>25</v>
      </c>
      <c r="F1115" s="4" t="s">
        <v>25</v>
      </c>
      <c r="G1115" s="4" t="s">
        <v>25</v>
      </c>
      <c r="H1115" s="4" t="s">
        <v>35</v>
      </c>
      <c r="I1115" s="5">
        <v>44713</v>
      </c>
      <c r="J1115" s="6">
        <v>0</v>
      </c>
      <c r="K1115" s="6">
        <v>0</v>
      </c>
      <c r="L1115" s="6">
        <v>6672.8950000000004</v>
      </c>
      <c r="M1115" s="6">
        <v>6672.8950000000004</v>
      </c>
      <c r="N1115" s="6">
        <v>6672.8950000000004</v>
      </c>
      <c r="O1115" s="6">
        <v>6672.8950000000004</v>
      </c>
      <c r="P1115" s="6">
        <v>0</v>
      </c>
      <c r="Q1115" s="4" t="s">
        <v>26</v>
      </c>
      <c r="R1115" s="4">
        <v>0</v>
      </c>
      <c r="S1115" s="4" t="s">
        <v>334</v>
      </c>
      <c r="T1115" s="4" t="s">
        <v>611</v>
      </c>
      <c r="U1115" s="4">
        <v>0</v>
      </c>
      <c r="V1115" s="4">
        <v>44</v>
      </c>
      <c r="W1115" s="4">
        <v>67</v>
      </c>
    </row>
    <row r="1116" spans="1:23" ht="11.25" customHeight="1" x14ac:dyDescent="0.25">
      <c r="A1116" s="4" t="s">
        <v>27</v>
      </c>
      <c r="B1116" s="4" t="s">
        <v>41</v>
      </c>
      <c r="C1116" s="4" t="s">
        <v>42</v>
      </c>
      <c r="D1116" s="4" t="s">
        <v>46</v>
      </c>
      <c r="E1116" s="4" t="s">
        <v>25</v>
      </c>
      <c r="F1116" s="4" t="s">
        <v>25</v>
      </c>
      <c r="G1116" s="4" t="s">
        <v>25</v>
      </c>
      <c r="H1116" s="4" t="s">
        <v>35</v>
      </c>
      <c r="I1116" s="5">
        <v>44713</v>
      </c>
      <c r="J1116" s="6">
        <v>0</v>
      </c>
      <c r="K1116" s="6">
        <v>0</v>
      </c>
      <c r="L1116" s="6">
        <v>-5.7839999999999998</v>
      </c>
      <c r="M1116" s="6">
        <v>-5.7839999999999998</v>
      </c>
      <c r="N1116" s="6">
        <v>-5.7839999999999998</v>
      </c>
      <c r="O1116" s="6">
        <v>-5.7839999999999998</v>
      </c>
      <c r="P1116" s="6">
        <v>0</v>
      </c>
      <c r="Q1116" s="4" t="s">
        <v>26</v>
      </c>
      <c r="R1116" s="4">
        <v>0</v>
      </c>
      <c r="S1116" s="4" t="s">
        <v>334</v>
      </c>
      <c r="T1116" s="4" t="s">
        <v>611</v>
      </c>
      <c r="U1116" s="4">
        <v>0</v>
      </c>
      <c r="V1116" s="4">
        <v>44</v>
      </c>
      <c r="W1116" s="4">
        <v>67</v>
      </c>
    </row>
    <row r="1117" spans="1:23" ht="11.25" customHeight="1" x14ac:dyDescent="0.25">
      <c r="A1117" s="4" t="s">
        <v>28</v>
      </c>
      <c r="B1117" s="4" t="s">
        <v>41</v>
      </c>
      <c r="C1117" s="4" t="s">
        <v>42</v>
      </c>
      <c r="D1117" s="4" t="s">
        <v>46</v>
      </c>
      <c r="E1117" s="4" t="s">
        <v>25</v>
      </c>
      <c r="F1117" s="4" t="s">
        <v>25</v>
      </c>
      <c r="G1117" s="4" t="s">
        <v>25</v>
      </c>
      <c r="H1117" s="4" t="s">
        <v>35</v>
      </c>
      <c r="I1117" s="5">
        <v>44713</v>
      </c>
      <c r="J1117" s="6">
        <v>0</v>
      </c>
      <c r="K1117" s="6">
        <v>0</v>
      </c>
      <c r="L1117" s="6">
        <v>183.42</v>
      </c>
      <c r="M1117" s="6">
        <v>183.42</v>
      </c>
      <c r="N1117" s="6">
        <v>183.42</v>
      </c>
      <c r="O1117" s="6">
        <v>183.42</v>
      </c>
      <c r="P1117" s="6">
        <v>0</v>
      </c>
      <c r="Q1117" s="4" t="s">
        <v>26</v>
      </c>
      <c r="R1117" s="4">
        <v>0</v>
      </c>
      <c r="S1117" s="4" t="s">
        <v>334</v>
      </c>
      <c r="T1117" s="4" t="s">
        <v>611</v>
      </c>
      <c r="U1117" s="4">
        <v>0</v>
      </c>
      <c r="V1117" s="4">
        <v>44</v>
      </c>
      <c r="W1117" s="4">
        <v>67</v>
      </c>
    </row>
    <row r="1118" spans="1:23" ht="11.25" customHeight="1" x14ac:dyDescent="0.25">
      <c r="A1118" s="4" t="s">
        <v>57</v>
      </c>
      <c r="B1118" s="4" t="s">
        <v>41</v>
      </c>
      <c r="C1118" s="4" t="s">
        <v>42</v>
      </c>
      <c r="D1118" s="4" t="s">
        <v>46</v>
      </c>
      <c r="E1118" s="4" t="s">
        <v>25</v>
      </c>
      <c r="F1118" s="4" t="s">
        <v>25</v>
      </c>
      <c r="G1118" s="4" t="s">
        <v>25</v>
      </c>
      <c r="H1118" s="4" t="s">
        <v>35</v>
      </c>
      <c r="I1118" s="5">
        <v>44743</v>
      </c>
      <c r="J1118" s="6">
        <v>0</v>
      </c>
      <c r="K1118" s="6">
        <v>0</v>
      </c>
      <c r="L1118" s="6">
        <v>6672.8950000000004</v>
      </c>
      <c r="M1118" s="6">
        <v>6672.8950000000004</v>
      </c>
      <c r="N1118" s="6">
        <v>6672.8950000000004</v>
      </c>
      <c r="O1118" s="6">
        <v>6672.8950000000004</v>
      </c>
      <c r="P1118" s="6">
        <v>0</v>
      </c>
      <c r="Q1118" s="4" t="s">
        <v>26</v>
      </c>
      <c r="R1118" s="4">
        <v>0</v>
      </c>
      <c r="S1118" s="4" t="s">
        <v>335</v>
      </c>
      <c r="T1118" s="4" t="s">
        <v>612</v>
      </c>
      <c r="U1118" s="4">
        <v>0</v>
      </c>
      <c r="V1118" s="4">
        <v>44</v>
      </c>
      <c r="W1118" s="4">
        <v>67</v>
      </c>
    </row>
    <row r="1119" spans="1:23" ht="11.25" customHeight="1" x14ac:dyDescent="0.25">
      <c r="A1119" s="4" t="s">
        <v>57</v>
      </c>
      <c r="B1119" s="4" t="s">
        <v>41</v>
      </c>
      <c r="C1119" s="4" t="s">
        <v>42</v>
      </c>
      <c r="D1119" s="4" t="s">
        <v>46</v>
      </c>
      <c r="E1119" s="4" t="s">
        <v>25</v>
      </c>
      <c r="F1119" s="4" t="s">
        <v>25</v>
      </c>
      <c r="G1119" s="4" t="s">
        <v>25</v>
      </c>
      <c r="H1119" s="4" t="s">
        <v>35</v>
      </c>
      <c r="I1119" s="5">
        <v>44743</v>
      </c>
      <c r="J1119" s="6">
        <v>0</v>
      </c>
      <c r="K1119" s="6">
        <v>0</v>
      </c>
      <c r="L1119" s="6">
        <v>-5.7839999999999998</v>
      </c>
      <c r="M1119" s="6">
        <v>-5.7839999999999998</v>
      </c>
      <c r="N1119" s="6">
        <v>-5.7839999999999998</v>
      </c>
      <c r="O1119" s="6">
        <v>-5.7839999999999998</v>
      </c>
      <c r="P1119" s="6">
        <v>0</v>
      </c>
      <c r="Q1119" s="4" t="s">
        <v>26</v>
      </c>
      <c r="R1119" s="4">
        <v>0</v>
      </c>
      <c r="S1119" s="4" t="s">
        <v>335</v>
      </c>
      <c r="T1119" s="4" t="s">
        <v>612</v>
      </c>
      <c r="U1119" s="4">
        <v>0</v>
      </c>
      <c r="V1119" s="4">
        <v>44</v>
      </c>
      <c r="W1119" s="4">
        <v>67</v>
      </c>
    </row>
    <row r="1120" spans="1:23" ht="11.25" customHeight="1" x14ac:dyDescent="0.25">
      <c r="A1120" s="4" t="s">
        <v>57</v>
      </c>
      <c r="B1120" s="4" t="s">
        <v>41</v>
      </c>
      <c r="C1120" s="4" t="s">
        <v>42</v>
      </c>
      <c r="D1120" s="4" t="s">
        <v>46</v>
      </c>
      <c r="E1120" s="4" t="s">
        <v>25</v>
      </c>
      <c r="F1120" s="4" t="s">
        <v>25</v>
      </c>
      <c r="G1120" s="4" t="s">
        <v>25</v>
      </c>
      <c r="H1120" s="4" t="s">
        <v>35</v>
      </c>
      <c r="I1120" s="5">
        <v>44743</v>
      </c>
      <c r="J1120" s="6">
        <v>0</v>
      </c>
      <c r="K1120" s="6">
        <v>0</v>
      </c>
      <c r="L1120" s="6">
        <v>183.42</v>
      </c>
      <c r="M1120" s="6">
        <v>183.42</v>
      </c>
      <c r="N1120" s="6">
        <v>183.42</v>
      </c>
      <c r="O1120" s="6">
        <v>183.42</v>
      </c>
      <c r="P1120" s="6">
        <v>0</v>
      </c>
      <c r="Q1120" s="4" t="s">
        <v>26</v>
      </c>
      <c r="R1120" s="4">
        <v>0</v>
      </c>
      <c r="S1120" s="4" t="s">
        <v>335</v>
      </c>
      <c r="T1120" s="4" t="s">
        <v>612</v>
      </c>
      <c r="U1120" s="4">
        <v>0</v>
      </c>
      <c r="V1120" s="4">
        <v>44</v>
      </c>
      <c r="W1120" s="4">
        <v>67</v>
      </c>
    </row>
    <row r="1121" spans="1:23" ht="11.25" customHeight="1" x14ac:dyDescent="0.25">
      <c r="A1121" s="4" t="s">
        <v>21</v>
      </c>
      <c r="B1121" s="4" t="s">
        <v>41</v>
      </c>
      <c r="C1121" s="4" t="s">
        <v>42</v>
      </c>
      <c r="D1121" s="4" t="s">
        <v>46</v>
      </c>
      <c r="E1121" s="4" t="s">
        <v>25</v>
      </c>
      <c r="F1121" s="4" t="s">
        <v>25</v>
      </c>
      <c r="G1121" s="4" t="s">
        <v>25</v>
      </c>
      <c r="H1121" s="4" t="s">
        <v>25</v>
      </c>
      <c r="I1121" s="5">
        <v>44409</v>
      </c>
      <c r="J1121" s="6">
        <v>47398</v>
      </c>
      <c r="K1121" s="6">
        <v>47398</v>
      </c>
      <c r="L1121" s="6">
        <v>0</v>
      </c>
      <c r="M1121" s="6">
        <v>0</v>
      </c>
      <c r="N1121" s="6">
        <v>0</v>
      </c>
      <c r="O1121" s="6">
        <v>0</v>
      </c>
      <c r="P1121" s="6">
        <v>367</v>
      </c>
      <c r="Q1121" s="4" t="s">
        <v>26</v>
      </c>
      <c r="R1121" s="4">
        <v>0</v>
      </c>
      <c r="S1121" s="4" t="s">
        <v>336</v>
      </c>
      <c r="U1121" s="4">
        <v>40</v>
      </c>
      <c r="V1121" s="4">
        <v>0</v>
      </c>
      <c r="W1121" s="4">
        <v>0</v>
      </c>
    </row>
    <row r="1122" spans="1:23" ht="11.25" customHeight="1" x14ac:dyDescent="0.25">
      <c r="A1122" s="4" t="s">
        <v>28</v>
      </c>
      <c r="B1122" s="4" t="s">
        <v>41</v>
      </c>
      <c r="C1122" s="4" t="s">
        <v>42</v>
      </c>
      <c r="D1122" s="4" t="s">
        <v>46</v>
      </c>
      <c r="E1122" s="4" t="s">
        <v>25</v>
      </c>
      <c r="F1122" s="4" t="s">
        <v>25</v>
      </c>
      <c r="G1122" s="4" t="s">
        <v>25</v>
      </c>
      <c r="H1122" s="4" t="s">
        <v>25</v>
      </c>
      <c r="I1122" s="5">
        <v>44409</v>
      </c>
      <c r="J1122" s="6">
        <v>1475</v>
      </c>
      <c r="K1122" s="6">
        <v>1475</v>
      </c>
      <c r="L1122" s="6">
        <v>0</v>
      </c>
      <c r="M1122" s="6">
        <v>0</v>
      </c>
      <c r="N1122" s="6">
        <v>0</v>
      </c>
      <c r="O1122" s="6">
        <v>0</v>
      </c>
      <c r="P1122" s="6">
        <v>7</v>
      </c>
      <c r="Q1122" s="4" t="s">
        <v>26</v>
      </c>
      <c r="R1122" s="4">
        <v>0</v>
      </c>
      <c r="S1122" s="4" t="s">
        <v>336</v>
      </c>
      <c r="U1122" s="4">
        <v>40</v>
      </c>
      <c r="V1122" s="4">
        <v>0</v>
      </c>
      <c r="W1122" s="4">
        <v>0</v>
      </c>
    </row>
    <row r="1123" spans="1:23" ht="11.25" customHeight="1" x14ac:dyDescent="0.25">
      <c r="A1123" s="4" t="s">
        <v>21</v>
      </c>
      <c r="B1123" s="4" t="s">
        <v>41</v>
      </c>
      <c r="C1123" s="4" t="s">
        <v>42</v>
      </c>
      <c r="D1123" s="4" t="s">
        <v>46</v>
      </c>
      <c r="E1123" s="4" t="s">
        <v>25</v>
      </c>
      <c r="F1123" s="4" t="s">
        <v>25</v>
      </c>
      <c r="G1123" s="4" t="s">
        <v>25</v>
      </c>
      <c r="H1123" s="4" t="s">
        <v>25</v>
      </c>
      <c r="I1123" s="5">
        <v>44440</v>
      </c>
      <c r="J1123" s="6">
        <v>47374</v>
      </c>
      <c r="K1123" s="6">
        <v>47374</v>
      </c>
      <c r="L1123" s="6">
        <v>0</v>
      </c>
      <c r="M1123" s="6">
        <v>0</v>
      </c>
      <c r="N1123" s="6">
        <v>0</v>
      </c>
      <c r="O1123" s="6">
        <v>0</v>
      </c>
      <c r="P1123" s="6">
        <v>368</v>
      </c>
      <c r="Q1123" s="4" t="s">
        <v>26</v>
      </c>
      <c r="R1123" s="4">
        <v>0</v>
      </c>
      <c r="S1123" s="4" t="s">
        <v>337</v>
      </c>
      <c r="U1123" s="4">
        <v>40</v>
      </c>
      <c r="V1123" s="4">
        <v>0</v>
      </c>
      <c r="W1123" s="4">
        <v>0</v>
      </c>
    </row>
    <row r="1124" spans="1:23" ht="11.25" customHeight="1" x14ac:dyDescent="0.25">
      <c r="A1124" s="4" t="s">
        <v>27</v>
      </c>
      <c r="B1124" s="4" t="s">
        <v>41</v>
      </c>
      <c r="C1124" s="4" t="s">
        <v>42</v>
      </c>
      <c r="D1124" s="4" t="s">
        <v>46</v>
      </c>
      <c r="E1124" s="4" t="s">
        <v>25</v>
      </c>
      <c r="F1124" s="4" t="s">
        <v>25</v>
      </c>
      <c r="G1124" s="4" t="s">
        <v>25</v>
      </c>
      <c r="H1124" s="4" t="s">
        <v>25</v>
      </c>
      <c r="I1124" s="5">
        <v>44440</v>
      </c>
      <c r="J1124" s="6">
        <v>-638</v>
      </c>
      <c r="K1124" s="6">
        <v>-638</v>
      </c>
      <c r="L1124" s="6">
        <v>0</v>
      </c>
      <c r="M1124" s="6">
        <v>0</v>
      </c>
      <c r="N1124" s="6">
        <v>0</v>
      </c>
      <c r="O1124" s="6">
        <v>0</v>
      </c>
      <c r="P1124" s="6">
        <v>-6</v>
      </c>
      <c r="Q1124" s="4" t="s">
        <v>26</v>
      </c>
      <c r="R1124" s="4">
        <v>0</v>
      </c>
      <c r="S1124" s="4" t="s">
        <v>337</v>
      </c>
      <c r="U1124" s="4">
        <v>40</v>
      </c>
      <c r="V1124" s="4">
        <v>0</v>
      </c>
      <c r="W1124" s="4">
        <v>0</v>
      </c>
    </row>
    <row r="1125" spans="1:23" ht="11.25" customHeight="1" x14ac:dyDescent="0.25">
      <c r="A1125" s="4" t="s">
        <v>28</v>
      </c>
      <c r="B1125" s="4" t="s">
        <v>41</v>
      </c>
      <c r="C1125" s="4" t="s">
        <v>42</v>
      </c>
      <c r="D1125" s="4" t="s">
        <v>46</v>
      </c>
      <c r="E1125" s="4" t="s">
        <v>25</v>
      </c>
      <c r="F1125" s="4" t="s">
        <v>25</v>
      </c>
      <c r="G1125" s="4" t="s">
        <v>25</v>
      </c>
      <c r="H1125" s="4" t="s">
        <v>25</v>
      </c>
      <c r="I1125" s="5">
        <v>44440</v>
      </c>
      <c r="J1125" s="6">
        <v>1475</v>
      </c>
      <c r="K1125" s="6">
        <v>1475</v>
      </c>
      <c r="L1125" s="6">
        <v>0</v>
      </c>
      <c r="M1125" s="6">
        <v>0</v>
      </c>
      <c r="N1125" s="6">
        <v>0</v>
      </c>
      <c r="O1125" s="6">
        <v>0</v>
      </c>
      <c r="P1125" s="6">
        <v>7</v>
      </c>
      <c r="Q1125" s="4" t="s">
        <v>26</v>
      </c>
      <c r="R1125" s="4">
        <v>0</v>
      </c>
      <c r="S1125" s="4" t="s">
        <v>337</v>
      </c>
      <c r="U1125" s="4">
        <v>40</v>
      </c>
      <c r="V1125" s="4">
        <v>0</v>
      </c>
      <c r="W1125" s="4">
        <v>0</v>
      </c>
    </row>
    <row r="1126" spans="1:23" ht="11.25" customHeight="1" x14ac:dyDescent="0.25">
      <c r="A1126" s="4" t="s">
        <v>21</v>
      </c>
      <c r="B1126" s="4" t="s">
        <v>41</v>
      </c>
      <c r="C1126" s="4" t="s">
        <v>42</v>
      </c>
      <c r="D1126" s="4" t="s">
        <v>46</v>
      </c>
      <c r="E1126" s="4" t="s">
        <v>25</v>
      </c>
      <c r="F1126" s="4" t="s">
        <v>25</v>
      </c>
      <c r="G1126" s="4" t="s">
        <v>25</v>
      </c>
      <c r="H1126" s="4" t="s">
        <v>25</v>
      </c>
      <c r="I1126" s="5">
        <v>44470</v>
      </c>
      <c r="J1126" s="6">
        <v>47501</v>
      </c>
      <c r="K1126" s="6">
        <v>47501</v>
      </c>
      <c r="L1126" s="6">
        <v>0</v>
      </c>
      <c r="M1126" s="6">
        <v>0</v>
      </c>
      <c r="N1126" s="6">
        <v>0</v>
      </c>
      <c r="O1126" s="6">
        <v>0</v>
      </c>
      <c r="P1126" s="6">
        <v>368</v>
      </c>
      <c r="Q1126" s="4" t="s">
        <v>26</v>
      </c>
      <c r="R1126" s="4">
        <v>0</v>
      </c>
      <c r="S1126" s="4" t="s">
        <v>338</v>
      </c>
      <c r="U1126" s="4">
        <v>40</v>
      </c>
      <c r="V1126" s="4">
        <v>0</v>
      </c>
      <c r="W1126" s="4">
        <v>0</v>
      </c>
    </row>
    <row r="1127" spans="1:23" ht="11.25" customHeight="1" x14ac:dyDescent="0.25">
      <c r="A1127" s="4" t="s">
        <v>27</v>
      </c>
      <c r="B1127" s="4" t="s">
        <v>41</v>
      </c>
      <c r="C1127" s="4" t="s">
        <v>42</v>
      </c>
      <c r="D1127" s="4" t="s">
        <v>46</v>
      </c>
      <c r="E1127" s="4" t="s">
        <v>25</v>
      </c>
      <c r="F1127" s="4" t="s">
        <v>25</v>
      </c>
      <c r="G1127" s="4" t="s">
        <v>25</v>
      </c>
      <c r="H1127" s="4" t="s">
        <v>25</v>
      </c>
      <c r="I1127" s="5">
        <v>44470</v>
      </c>
      <c r="J1127" s="6">
        <v>30</v>
      </c>
      <c r="K1127" s="6">
        <v>30</v>
      </c>
      <c r="L1127" s="6">
        <v>0</v>
      </c>
      <c r="M1127" s="6">
        <v>0</v>
      </c>
      <c r="N1127" s="6">
        <v>0</v>
      </c>
      <c r="O1127" s="6">
        <v>0</v>
      </c>
      <c r="P1127" s="6">
        <v>1</v>
      </c>
      <c r="Q1127" s="4" t="s">
        <v>26</v>
      </c>
      <c r="R1127" s="4">
        <v>0</v>
      </c>
      <c r="S1127" s="4" t="s">
        <v>338</v>
      </c>
      <c r="U1127" s="4">
        <v>40</v>
      </c>
      <c r="V1127" s="4">
        <v>0</v>
      </c>
      <c r="W1127" s="4">
        <v>0</v>
      </c>
    </row>
    <row r="1128" spans="1:23" ht="11.25" customHeight="1" x14ac:dyDescent="0.25">
      <c r="A1128" s="4" t="s">
        <v>28</v>
      </c>
      <c r="B1128" s="4" t="s">
        <v>41</v>
      </c>
      <c r="C1128" s="4" t="s">
        <v>42</v>
      </c>
      <c r="D1128" s="4" t="s">
        <v>46</v>
      </c>
      <c r="E1128" s="4" t="s">
        <v>25</v>
      </c>
      <c r="F1128" s="4" t="s">
        <v>25</v>
      </c>
      <c r="G1128" s="4" t="s">
        <v>25</v>
      </c>
      <c r="H1128" s="4" t="s">
        <v>25</v>
      </c>
      <c r="I1128" s="5">
        <v>44470</v>
      </c>
      <c r="J1128" s="6">
        <v>1710</v>
      </c>
      <c r="K1128" s="6">
        <v>1710</v>
      </c>
      <c r="L1128" s="6">
        <v>0</v>
      </c>
      <c r="M1128" s="6">
        <v>0</v>
      </c>
      <c r="N1128" s="6">
        <v>0</v>
      </c>
      <c r="O1128" s="6">
        <v>0</v>
      </c>
      <c r="P1128" s="6">
        <v>8</v>
      </c>
      <c r="Q1128" s="4" t="s">
        <v>26</v>
      </c>
      <c r="R1128" s="4">
        <v>0</v>
      </c>
      <c r="S1128" s="4" t="s">
        <v>338</v>
      </c>
      <c r="U1128" s="4">
        <v>40</v>
      </c>
      <c r="V1128" s="4">
        <v>0</v>
      </c>
      <c r="W1128" s="4">
        <v>0</v>
      </c>
    </row>
    <row r="1129" spans="1:23" ht="11.25" customHeight="1" x14ac:dyDescent="0.25">
      <c r="A1129" s="4" t="s">
        <v>21</v>
      </c>
      <c r="B1129" s="4" t="s">
        <v>41</v>
      </c>
      <c r="C1129" s="4" t="s">
        <v>42</v>
      </c>
      <c r="D1129" s="4" t="s">
        <v>46</v>
      </c>
      <c r="E1129" s="4" t="s">
        <v>25</v>
      </c>
      <c r="F1129" s="4" t="s">
        <v>25</v>
      </c>
      <c r="G1129" s="4" t="s">
        <v>25</v>
      </c>
      <c r="H1129" s="4" t="s">
        <v>25</v>
      </c>
      <c r="I1129" s="5">
        <v>44501</v>
      </c>
      <c r="J1129" s="6">
        <v>48231</v>
      </c>
      <c r="K1129" s="6">
        <v>48231</v>
      </c>
      <c r="L1129" s="6">
        <v>0</v>
      </c>
      <c r="M1129" s="6">
        <v>0</v>
      </c>
      <c r="N1129" s="6">
        <v>0</v>
      </c>
      <c r="O1129" s="6">
        <v>0</v>
      </c>
      <c r="P1129" s="6">
        <v>371</v>
      </c>
      <c r="Q1129" s="4" t="s">
        <v>26</v>
      </c>
      <c r="R1129" s="4">
        <v>0</v>
      </c>
      <c r="S1129" s="4" t="s">
        <v>339</v>
      </c>
      <c r="U1129" s="4">
        <v>40</v>
      </c>
      <c r="V1129" s="4">
        <v>0</v>
      </c>
      <c r="W1129" s="4">
        <v>0</v>
      </c>
    </row>
    <row r="1130" spans="1:23" ht="11.25" customHeight="1" x14ac:dyDescent="0.25">
      <c r="A1130" s="4" t="s">
        <v>28</v>
      </c>
      <c r="B1130" s="4" t="s">
        <v>41</v>
      </c>
      <c r="C1130" s="4" t="s">
        <v>42</v>
      </c>
      <c r="D1130" s="4" t="s">
        <v>46</v>
      </c>
      <c r="E1130" s="4" t="s">
        <v>25</v>
      </c>
      <c r="F1130" s="4" t="s">
        <v>25</v>
      </c>
      <c r="G1130" s="4" t="s">
        <v>25</v>
      </c>
      <c r="H1130" s="4" t="s">
        <v>25</v>
      </c>
      <c r="I1130" s="5">
        <v>44501</v>
      </c>
      <c r="J1130" s="6">
        <v>1710</v>
      </c>
      <c r="K1130" s="6">
        <v>1710</v>
      </c>
      <c r="L1130" s="6">
        <v>0</v>
      </c>
      <c r="M1130" s="6">
        <v>0</v>
      </c>
      <c r="N1130" s="6">
        <v>0</v>
      </c>
      <c r="O1130" s="6">
        <v>0</v>
      </c>
      <c r="P1130" s="6">
        <v>8</v>
      </c>
      <c r="Q1130" s="4" t="s">
        <v>26</v>
      </c>
      <c r="R1130" s="4">
        <v>0</v>
      </c>
      <c r="S1130" s="4" t="s">
        <v>339</v>
      </c>
      <c r="U1130" s="4">
        <v>40</v>
      </c>
      <c r="V1130" s="4">
        <v>0</v>
      </c>
      <c r="W1130" s="4">
        <v>0</v>
      </c>
    </row>
    <row r="1131" spans="1:23" ht="11.25" customHeight="1" x14ac:dyDescent="0.25">
      <c r="A1131" s="4" t="s">
        <v>21</v>
      </c>
      <c r="B1131" s="4" t="s">
        <v>41</v>
      </c>
      <c r="C1131" s="4" t="s">
        <v>42</v>
      </c>
      <c r="D1131" s="4" t="s">
        <v>46</v>
      </c>
      <c r="E1131" s="4" t="s">
        <v>25</v>
      </c>
      <c r="F1131" s="4" t="s">
        <v>25</v>
      </c>
      <c r="G1131" s="4" t="s">
        <v>25</v>
      </c>
      <c r="H1131" s="4" t="s">
        <v>25</v>
      </c>
      <c r="I1131" s="5">
        <v>44531</v>
      </c>
      <c r="J1131" s="6">
        <v>48404</v>
      </c>
      <c r="K1131" s="6">
        <v>48404</v>
      </c>
      <c r="L1131" s="6">
        <v>0</v>
      </c>
      <c r="M1131" s="6">
        <v>0</v>
      </c>
      <c r="N1131" s="6">
        <v>0</v>
      </c>
      <c r="O1131" s="6">
        <v>0</v>
      </c>
      <c r="P1131" s="6">
        <v>373</v>
      </c>
      <c r="Q1131" s="4" t="s">
        <v>26</v>
      </c>
      <c r="R1131" s="4">
        <v>0</v>
      </c>
      <c r="S1131" s="4" t="s">
        <v>340</v>
      </c>
      <c r="U1131" s="4">
        <v>40</v>
      </c>
      <c r="V1131" s="4">
        <v>0</v>
      </c>
      <c r="W1131" s="4">
        <v>0</v>
      </c>
    </row>
    <row r="1132" spans="1:23" ht="11.25" customHeight="1" x14ac:dyDescent="0.25">
      <c r="A1132" s="4" t="s">
        <v>28</v>
      </c>
      <c r="B1132" s="4" t="s">
        <v>41</v>
      </c>
      <c r="C1132" s="4" t="s">
        <v>42</v>
      </c>
      <c r="D1132" s="4" t="s">
        <v>46</v>
      </c>
      <c r="E1132" s="4" t="s">
        <v>25</v>
      </c>
      <c r="F1132" s="4" t="s">
        <v>25</v>
      </c>
      <c r="G1132" s="4" t="s">
        <v>25</v>
      </c>
      <c r="H1132" s="4" t="s">
        <v>25</v>
      </c>
      <c r="I1132" s="5">
        <v>44531</v>
      </c>
      <c r="J1132" s="6">
        <v>1715</v>
      </c>
      <c r="K1132" s="6">
        <v>1715</v>
      </c>
      <c r="L1132" s="6">
        <v>0</v>
      </c>
      <c r="M1132" s="6">
        <v>0</v>
      </c>
      <c r="N1132" s="6">
        <v>0</v>
      </c>
      <c r="O1132" s="6">
        <v>0</v>
      </c>
      <c r="P1132" s="6">
        <v>8</v>
      </c>
      <c r="Q1132" s="4" t="s">
        <v>26</v>
      </c>
      <c r="R1132" s="4">
        <v>0</v>
      </c>
      <c r="S1132" s="4" t="s">
        <v>340</v>
      </c>
      <c r="U1132" s="4">
        <v>40</v>
      </c>
      <c r="V1132" s="4">
        <v>0</v>
      </c>
      <c r="W1132" s="4">
        <v>0</v>
      </c>
    </row>
    <row r="1133" spans="1:23" ht="11.25" customHeight="1" x14ac:dyDescent="0.25">
      <c r="A1133" s="4" t="s">
        <v>21</v>
      </c>
      <c r="B1133" s="4" t="s">
        <v>41</v>
      </c>
      <c r="C1133" s="4" t="s">
        <v>42</v>
      </c>
      <c r="D1133" s="4" t="s">
        <v>46</v>
      </c>
      <c r="E1133" s="4" t="s">
        <v>25</v>
      </c>
      <c r="F1133" s="4" t="s">
        <v>25</v>
      </c>
      <c r="G1133" s="4" t="s">
        <v>25</v>
      </c>
      <c r="H1133" s="4" t="s">
        <v>25</v>
      </c>
      <c r="I1133" s="5">
        <v>44562</v>
      </c>
      <c r="J1133" s="6">
        <v>47605</v>
      </c>
      <c r="K1133" s="6">
        <v>47605</v>
      </c>
      <c r="L1133" s="6">
        <v>0</v>
      </c>
      <c r="M1133" s="6">
        <v>0</v>
      </c>
      <c r="N1133" s="6">
        <v>0</v>
      </c>
      <c r="O1133" s="6">
        <v>0</v>
      </c>
      <c r="P1133" s="6">
        <v>373</v>
      </c>
      <c r="Q1133" s="4" t="s">
        <v>26</v>
      </c>
      <c r="R1133" s="4">
        <v>0</v>
      </c>
      <c r="S1133" s="4" t="s">
        <v>341</v>
      </c>
      <c r="U1133" s="4">
        <v>40</v>
      </c>
      <c r="V1133" s="4">
        <v>0</v>
      </c>
      <c r="W1133" s="4">
        <v>0</v>
      </c>
    </row>
    <row r="1134" spans="1:23" ht="11.25" customHeight="1" x14ac:dyDescent="0.25">
      <c r="A1134" s="4" t="s">
        <v>28</v>
      </c>
      <c r="B1134" s="4" t="s">
        <v>41</v>
      </c>
      <c r="C1134" s="4" t="s">
        <v>42</v>
      </c>
      <c r="D1134" s="4" t="s">
        <v>46</v>
      </c>
      <c r="E1134" s="4" t="s">
        <v>25</v>
      </c>
      <c r="F1134" s="4" t="s">
        <v>25</v>
      </c>
      <c r="G1134" s="4" t="s">
        <v>25</v>
      </c>
      <c r="H1134" s="4" t="s">
        <v>25</v>
      </c>
      <c r="I1134" s="5">
        <v>44562</v>
      </c>
      <c r="J1134" s="6">
        <v>1718</v>
      </c>
      <c r="K1134" s="6">
        <v>1718</v>
      </c>
      <c r="L1134" s="6">
        <v>0</v>
      </c>
      <c r="M1134" s="6">
        <v>0</v>
      </c>
      <c r="N1134" s="6">
        <v>0</v>
      </c>
      <c r="O1134" s="6">
        <v>0</v>
      </c>
      <c r="P1134" s="6">
        <v>8</v>
      </c>
      <c r="Q1134" s="4" t="s">
        <v>26</v>
      </c>
      <c r="R1134" s="4">
        <v>0</v>
      </c>
      <c r="S1134" s="4" t="s">
        <v>341</v>
      </c>
      <c r="U1134" s="4">
        <v>40</v>
      </c>
      <c r="V1134" s="4">
        <v>0</v>
      </c>
      <c r="W1134" s="4">
        <v>0</v>
      </c>
    </row>
    <row r="1135" spans="1:23" ht="11.25" customHeight="1" x14ac:dyDescent="0.25">
      <c r="A1135" s="4" t="s">
        <v>21</v>
      </c>
      <c r="B1135" s="4" t="s">
        <v>41</v>
      </c>
      <c r="C1135" s="4" t="s">
        <v>42</v>
      </c>
      <c r="D1135" s="4" t="s">
        <v>46</v>
      </c>
      <c r="E1135" s="4" t="s">
        <v>25</v>
      </c>
      <c r="F1135" s="4" t="s">
        <v>25</v>
      </c>
      <c r="G1135" s="4" t="s">
        <v>25</v>
      </c>
      <c r="H1135" s="4" t="s">
        <v>25</v>
      </c>
      <c r="I1135" s="5">
        <v>44593</v>
      </c>
      <c r="J1135" s="6">
        <v>47252</v>
      </c>
      <c r="K1135" s="6">
        <v>47252</v>
      </c>
      <c r="L1135" s="6">
        <v>0</v>
      </c>
      <c r="M1135" s="6">
        <v>0</v>
      </c>
      <c r="N1135" s="6">
        <v>0</v>
      </c>
      <c r="O1135" s="6">
        <v>0</v>
      </c>
      <c r="P1135" s="6">
        <v>371</v>
      </c>
      <c r="Q1135" s="4" t="s">
        <v>26</v>
      </c>
      <c r="R1135" s="4">
        <v>0</v>
      </c>
      <c r="S1135" s="4" t="s">
        <v>342</v>
      </c>
      <c r="U1135" s="4">
        <v>40</v>
      </c>
      <c r="V1135" s="4">
        <v>0</v>
      </c>
      <c r="W1135" s="4">
        <v>0</v>
      </c>
    </row>
    <row r="1136" spans="1:23" ht="11.25" customHeight="1" x14ac:dyDescent="0.25">
      <c r="A1136" s="4" t="s">
        <v>28</v>
      </c>
      <c r="B1136" s="4" t="s">
        <v>41</v>
      </c>
      <c r="C1136" s="4" t="s">
        <v>42</v>
      </c>
      <c r="D1136" s="4" t="s">
        <v>46</v>
      </c>
      <c r="E1136" s="4" t="s">
        <v>25</v>
      </c>
      <c r="F1136" s="4" t="s">
        <v>25</v>
      </c>
      <c r="G1136" s="4" t="s">
        <v>25</v>
      </c>
      <c r="H1136" s="4" t="s">
        <v>25</v>
      </c>
      <c r="I1136" s="5">
        <v>44593</v>
      </c>
      <c r="J1136" s="6">
        <v>1804</v>
      </c>
      <c r="K1136" s="6">
        <v>1804</v>
      </c>
      <c r="L1136" s="6">
        <v>0</v>
      </c>
      <c r="M1136" s="6">
        <v>0</v>
      </c>
      <c r="N1136" s="6">
        <v>0</v>
      </c>
      <c r="O1136" s="6">
        <v>0</v>
      </c>
      <c r="P1136" s="6">
        <v>9</v>
      </c>
      <c r="Q1136" s="4" t="s">
        <v>26</v>
      </c>
      <c r="R1136" s="4">
        <v>0</v>
      </c>
      <c r="S1136" s="4" t="s">
        <v>342</v>
      </c>
      <c r="U1136" s="4">
        <v>40</v>
      </c>
      <c r="V1136" s="4">
        <v>0</v>
      </c>
      <c r="W1136" s="4">
        <v>0</v>
      </c>
    </row>
    <row r="1137" spans="1:23" ht="11.25" customHeight="1" x14ac:dyDescent="0.25">
      <c r="A1137" s="4" t="s">
        <v>21</v>
      </c>
      <c r="B1137" s="4" t="s">
        <v>41</v>
      </c>
      <c r="C1137" s="4" t="s">
        <v>42</v>
      </c>
      <c r="D1137" s="4" t="s">
        <v>46</v>
      </c>
      <c r="E1137" s="4" t="s">
        <v>25</v>
      </c>
      <c r="F1137" s="4" t="s">
        <v>25</v>
      </c>
      <c r="G1137" s="4" t="s">
        <v>25</v>
      </c>
      <c r="H1137" s="4" t="s">
        <v>25</v>
      </c>
      <c r="I1137" s="5">
        <v>44621</v>
      </c>
      <c r="J1137" s="6">
        <v>47575</v>
      </c>
      <c r="K1137" s="6">
        <v>47575</v>
      </c>
      <c r="L1137" s="6">
        <v>0</v>
      </c>
      <c r="M1137" s="6">
        <v>0</v>
      </c>
      <c r="N1137" s="6">
        <v>0</v>
      </c>
      <c r="O1137" s="6">
        <v>0</v>
      </c>
      <c r="P1137" s="6">
        <v>372</v>
      </c>
      <c r="Q1137" s="4" t="s">
        <v>26</v>
      </c>
      <c r="R1137" s="4">
        <v>0</v>
      </c>
      <c r="S1137" s="4" t="s">
        <v>343</v>
      </c>
      <c r="U1137" s="4">
        <v>40</v>
      </c>
      <c r="V1137" s="4">
        <v>0</v>
      </c>
      <c r="W1137" s="4">
        <v>0</v>
      </c>
    </row>
    <row r="1138" spans="1:23" ht="11.25" customHeight="1" x14ac:dyDescent="0.25">
      <c r="A1138" s="4" t="s">
        <v>28</v>
      </c>
      <c r="B1138" s="4" t="s">
        <v>41</v>
      </c>
      <c r="C1138" s="4" t="s">
        <v>42</v>
      </c>
      <c r="D1138" s="4" t="s">
        <v>46</v>
      </c>
      <c r="E1138" s="4" t="s">
        <v>25</v>
      </c>
      <c r="F1138" s="4" t="s">
        <v>25</v>
      </c>
      <c r="G1138" s="4" t="s">
        <v>25</v>
      </c>
      <c r="H1138" s="4" t="s">
        <v>25</v>
      </c>
      <c r="I1138" s="5">
        <v>44621</v>
      </c>
      <c r="J1138" s="6">
        <v>1801</v>
      </c>
      <c r="K1138" s="6">
        <v>1801</v>
      </c>
      <c r="L1138" s="6">
        <v>0</v>
      </c>
      <c r="M1138" s="6">
        <v>0</v>
      </c>
      <c r="N1138" s="6">
        <v>0</v>
      </c>
      <c r="O1138" s="6">
        <v>0</v>
      </c>
      <c r="P1138" s="6">
        <v>9</v>
      </c>
      <c r="Q1138" s="4" t="s">
        <v>26</v>
      </c>
      <c r="R1138" s="4">
        <v>0</v>
      </c>
      <c r="S1138" s="4" t="s">
        <v>343</v>
      </c>
      <c r="U1138" s="4">
        <v>40</v>
      </c>
      <c r="V1138" s="4">
        <v>0</v>
      </c>
      <c r="W1138" s="4">
        <v>0</v>
      </c>
    </row>
    <row r="1139" spans="1:23" ht="11.25" customHeight="1" x14ac:dyDescent="0.25">
      <c r="A1139" s="4" t="s">
        <v>21</v>
      </c>
      <c r="B1139" s="4" t="s">
        <v>41</v>
      </c>
      <c r="C1139" s="4" t="s">
        <v>42</v>
      </c>
      <c r="D1139" s="4" t="s">
        <v>46</v>
      </c>
      <c r="E1139" s="4" t="s">
        <v>25</v>
      </c>
      <c r="F1139" s="4" t="s">
        <v>25</v>
      </c>
      <c r="G1139" s="4" t="s">
        <v>25</v>
      </c>
      <c r="H1139" s="4" t="s">
        <v>25</v>
      </c>
      <c r="I1139" s="5">
        <v>44652</v>
      </c>
      <c r="J1139" s="6">
        <v>47753</v>
      </c>
      <c r="K1139" s="6">
        <v>47753</v>
      </c>
      <c r="L1139" s="6">
        <v>0</v>
      </c>
      <c r="M1139" s="6">
        <v>0</v>
      </c>
      <c r="N1139" s="6">
        <v>0</v>
      </c>
      <c r="O1139" s="6">
        <v>0</v>
      </c>
      <c r="P1139" s="6">
        <v>372</v>
      </c>
      <c r="Q1139" s="4" t="s">
        <v>26</v>
      </c>
      <c r="R1139" s="4">
        <v>0</v>
      </c>
      <c r="S1139" s="4" t="s">
        <v>344</v>
      </c>
      <c r="U1139" s="4">
        <v>40</v>
      </c>
      <c r="V1139" s="4">
        <v>0</v>
      </c>
      <c r="W1139" s="4">
        <v>0</v>
      </c>
    </row>
    <row r="1140" spans="1:23" ht="11.25" customHeight="1" x14ac:dyDescent="0.25">
      <c r="A1140" s="4" t="s">
        <v>28</v>
      </c>
      <c r="B1140" s="4" t="s">
        <v>41</v>
      </c>
      <c r="C1140" s="4" t="s">
        <v>42</v>
      </c>
      <c r="D1140" s="4" t="s">
        <v>46</v>
      </c>
      <c r="E1140" s="4" t="s">
        <v>25</v>
      </c>
      <c r="F1140" s="4" t="s">
        <v>25</v>
      </c>
      <c r="G1140" s="4" t="s">
        <v>25</v>
      </c>
      <c r="H1140" s="4" t="s">
        <v>25</v>
      </c>
      <c r="I1140" s="5">
        <v>44652</v>
      </c>
      <c r="J1140" s="6">
        <v>1802</v>
      </c>
      <c r="K1140" s="6">
        <v>1802</v>
      </c>
      <c r="L1140" s="6">
        <v>0</v>
      </c>
      <c r="M1140" s="6">
        <v>0</v>
      </c>
      <c r="N1140" s="6">
        <v>0</v>
      </c>
      <c r="O1140" s="6">
        <v>0</v>
      </c>
      <c r="P1140" s="6">
        <v>9</v>
      </c>
      <c r="Q1140" s="4" t="s">
        <v>26</v>
      </c>
      <c r="R1140" s="4">
        <v>0</v>
      </c>
      <c r="S1140" s="4" t="s">
        <v>344</v>
      </c>
      <c r="U1140" s="4">
        <v>40</v>
      </c>
      <c r="V1140" s="4">
        <v>0</v>
      </c>
      <c r="W1140" s="4">
        <v>0</v>
      </c>
    </row>
    <row r="1141" spans="1:23" ht="11.25" customHeight="1" x14ac:dyDescent="0.25">
      <c r="A1141" s="4" t="s">
        <v>21</v>
      </c>
      <c r="B1141" s="4" t="s">
        <v>41</v>
      </c>
      <c r="C1141" s="4" t="s">
        <v>42</v>
      </c>
      <c r="D1141" s="4" t="s">
        <v>46</v>
      </c>
      <c r="E1141" s="4" t="s">
        <v>25</v>
      </c>
      <c r="F1141" s="4" t="s">
        <v>25</v>
      </c>
      <c r="G1141" s="4" t="s">
        <v>25</v>
      </c>
      <c r="H1141" s="4" t="s">
        <v>25</v>
      </c>
      <c r="I1141" s="5">
        <v>44682</v>
      </c>
      <c r="J1141" s="6">
        <v>46491</v>
      </c>
      <c r="K1141" s="6">
        <v>46491</v>
      </c>
      <c r="L1141" s="6">
        <v>0</v>
      </c>
      <c r="M1141" s="6">
        <v>0</v>
      </c>
      <c r="N1141" s="6">
        <v>0</v>
      </c>
      <c r="O1141" s="6">
        <v>0</v>
      </c>
      <c r="P1141" s="6">
        <v>374</v>
      </c>
      <c r="Q1141" s="4" t="s">
        <v>26</v>
      </c>
      <c r="R1141" s="4">
        <v>0</v>
      </c>
      <c r="S1141" s="4" t="s">
        <v>345</v>
      </c>
      <c r="U1141" s="4">
        <v>40</v>
      </c>
      <c r="V1141" s="4">
        <v>0</v>
      </c>
      <c r="W1141" s="4">
        <v>0</v>
      </c>
    </row>
    <row r="1142" spans="1:23" ht="11.25" customHeight="1" x14ac:dyDescent="0.25">
      <c r="A1142" s="4" t="s">
        <v>28</v>
      </c>
      <c r="B1142" s="4" t="s">
        <v>41</v>
      </c>
      <c r="C1142" s="4" t="s">
        <v>42</v>
      </c>
      <c r="D1142" s="4" t="s">
        <v>46</v>
      </c>
      <c r="E1142" s="4" t="s">
        <v>25</v>
      </c>
      <c r="F1142" s="4" t="s">
        <v>25</v>
      </c>
      <c r="G1142" s="4" t="s">
        <v>25</v>
      </c>
      <c r="H1142" s="4" t="s">
        <v>25</v>
      </c>
      <c r="I1142" s="5">
        <v>44682</v>
      </c>
      <c r="J1142" s="6">
        <v>1805</v>
      </c>
      <c r="K1142" s="6">
        <v>1805</v>
      </c>
      <c r="L1142" s="6">
        <v>0</v>
      </c>
      <c r="M1142" s="6">
        <v>0</v>
      </c>
      <c r="N1142" s="6">
        <v>0</v>
      </c>
      <c r="O1142" s="6">
        <v>0</v>
      </c>
      <c r="P1142" s="6">
        <v>9</v>
      </c>
      <c r="Q1142" s="4" t="s">
        <v>26</v>
      </c>
      <c r="R1142" s="4">
        <v>0</v>
      </c>
      <c r="S1142" s="4" t="s">
        <v>345</v>
      </c>
      <c r="U1142" s="4">
        <v>40</v>
      </c>
      <c r="V1142" s="4">
        <v>0</v>
      </c>
      <c r="W1142" s="4">
        <v>0</v>
      </c>
    </row>
    <row r="1143" spans="1:23" ht="11.25" customHeight="1" x14ac:dyDescent="0.25">
      <c r="A1143" s="4" t="s">
        <v>21</v>
      </c>
      <c r="B1143" s="4" t="s">
        <v>41</v>
      </c>
      <c r="C1143" s="4" t="s">
        <v>42</v>
      </c>
      <c r="D1143" s="4" t="s">
        <v>46</v>
      </c>
      <c r="E1143" s="4" t="s">
        <v>25</v>
      </c>
      <c r="F1143" s="4" t="s">
        <v>25</v>
      </c>
      <c r="G1143" s="4" t="s">
        <v>25</v>
      </c>
      <c r="H1143" s="4" t="s">
        <v>25</v>
      </c>
      <c r="I1143" s="5">
        <v>44713</v>
      </c>
      <c r="J1143" s="6">
        <v>45894</v>
      </c>
      <c r="K1143" s="6">
        <v>45894</v>
      </c>
      <c r="L1143" s="6">
        <v>0</v>
      </c>
      <c r="M1143" s="6">
        <v>0</v>
      </c>
      <c r="N1143" s="6">
        <v>0</v>
      </c>
      <c r="O1143" s="6">
        <v>0</v>
      </c>
      <c r="P1143" s="6">
        <v>374</v>
      </c>
      <c r="Q1143" s="4" t="s">
        <v>26</v>
      </c>
      <c r="R1143" s="4">
        <v>0</v>
      </c>
      <c r="S1143" s="4" t="s">
        <v>346</v>
      </c>
      <c r="U1143" s="4">
        <v>40</v>
      </c>
      <c r="V1143" s="4">
        <v>0</v>
      </c>
      <c r="W1143" s="4">
        <v>0</v>
      </c>
    </row>
    <row r="1144" spans="1:23" ht="11.25" customHeight="1" x14ac:dyDescent="0.25">
      <c r="A1144" s="4" t="s">
        <v>28</v>
      </c>
      <c r="B1144" s="4" t="s">
        <v>41</v>
      </c>
      <c r="C1144" s="4" t="s">
        <v>42</v>
      </c>
      <c r="D1144" s="4" t="s">
        <v>46</v>
      </c>
      <c r="E1144" s="4" t="s">
        <v>25</v>
      </c>
      <c r="F1144" s="4" t="s">
        <v>25</v>
      </c>
      <c r="G1144" s="4" t="s">
        <v>25</v>
      </c>
      <c r="H1144" s="4" t="s">
        <v>25</v>
      </c>
      <c r="I1144" s="5">
        <v>44713</v>
      </c>
      <c r="J1144" s="6">
        <v>1867</v>
      </c>
      <c r="K1144" s="6">
        <v>1867</v>
      </c>
      <c r="L1144" s="6">
        <v>0</v>
      </c>
      <c r="M1144" s="6">
        <v>0</v>
      </c>
      <c r="N1144" s="6">
        <v>0</v>
      </c>
      <c r="O1144" s="6">
        <v>0</v>
      </c>
      <c r="P1144" s="6">
        <v>10</v>
      </c>
      <c r="Q1144" s="4" t="s">
        <v>26</v>
      </c>
      <c r="R1144" s="4">
        <v>0</v>
      </c>
      <c r="S1144" s="4" t="s">
        <v>346</v>
      </c>
      <c r="U1144" s="4">
        <v>40</v>
      </c>
      <c r="V1144" s="4">
        <v>0</v>
      </c>
      <c r="W1144" s="4">
        <v>0</v>
      </c>
    </row>
    <row r="1145" spans="1:23" ht="11.25" customHeight="1" x14ac:dyDescent="0.25">
      <c r="A1145" s="4" t="s">
        <v>57</v>
      </c>
      <c r="B1145" s="4" t="s">
        <v>41</v>
      </c>
      <c r="C1145" s="4" t="s">
        <v>42</v>
      </c>
      <c r="D1145" s="4" t="s">
        <v>46</v>
      </c>
      <c r="E1145" s="4" t="s">
        <v>25</v>
      </c>
      <c r="F1145" s="4" t="s">
        <v>25</v>
      </c>
      <c r="G1145" s="4" t="s">
        <v>25</v>
      </c>
      <c r="H1145" s="4" t="s">
        <v>25</v>
      </c>
      <c r="I1145" s="5">
        <v>44743</v>
      </c>
      <c r="J1145" s="6">
        <v>45894</v>
      </c>
      <c r="K1145" s="6">
        <v>45894</v>
      </c>
      <c r="L1145" s="6">
        <v>0</v>
      </c>
      <c r="M1145" s="6">
        <v>0</v>
      </c>
      <c r="N1145" s="6">
        <v>0</v>
      </c>
      <c r="O1145" s="6">
        <v>0</v>
      </c>
      <c r="P1145" s="6">
        <v>374</v>
      </c>
      <c r="Q1145" s="4" t="s">
        <v>26</v>
      </c>
      <c r="R1145" s="4">
        <v>0</v>
      </c>
      <c r="S1145" s="4" t="s">
        <v>347</v>
      </c>
      <c r="U1145" s="4">
        <v>40</v>
      </c>
      <c r="V1145" s="4">
        <v>0</v>
      </c>
      <c r="W1145" s="4">
        <v>0</v>
      </c>
    </row>
    <row r="1146" spans="1:23" ht="11.25" customHeight="1" x14ac:dyDescent="0.25">
      <c r="A1146" s="4" t="s">
        <v>57</v>
      </c>
      <c r="B1146" s="4" t="s">
        <v>41</v>
      </c>
      <c r="C1146" s="4" t="s">
        <v>42</v>
      </c>
      <c r="D1146" s="4" t="s">
        <v>46</v>
      </c>
      <c r="E1146" s="4" t="s">
        <v>25</v>
      </c>
      <c r="F1146" s="4" t="s">
        <v>25</v>
      </c>
      <c r="G1146" s="4" t="s">
        <v>25</v>
      </c>
      <c r="H1146" s="4" t="s">
        <v>25</v>
      </c>
      <c r="I1146" s="5">
        <v>44743</v>
      </c>
      <c r="J1146" s="6">
        <v>1867</v>
      </c>
      <c r="K1146" s="6">
        <v>1867</v>
      </c>
      <c r="L1146" s="6">
        <v>0</v>
      </c>
      <c r="M1146" s="6">
        <v>0</v>
      </c>
      <c r="N1146" s="6">
        <v>0</v>
      </c>
      <c r="O1146" s="6">
        <v>0</v>
      </c>
      <c r="P1146" s="6">
        <v>10</v>
      </c>
      <c r="Q1146" s="4" t="s">
        <v>26</v>
      </c>
      <c r="R1146" s="4">
        <v>0</v>
      </c>
      <c r="S1146" s="4" t="s">
        <v>347</v>
      </c>
      <c r="U1146" s="4">
        <v>40</v>
      </c>
      <c r="V1146" s="4">
        <v>0</v>
      </c>
      <c r="W1146" s="4">
        <v>0</v>
      </c>
    </row>
    <row r="1147" spans="1:23" ht="11.25" customHeight="1" x14ac:dyDescent="0.25">
      <c r="A1147" s="4" t="s">
        <v>21</v>
      </c>
      <c r="B1147" s="4" t="s">
        <v>41</v>
      </c>
      <c r="C1147" s="4" t="s">
        <v>42</v>
      </c>
      <c r="D1147" s="4" t="s">
        <v>46</v>
      </c>
      <c r="E1147" s="4" t="s">
        <v>25</v>
      </c>
      <c r="F1147" s="4" t="s">
        <v>25</v>
      </c>
      <c r="G1147" s="4" t="s">
        <v>25</v>
      </c>
      <c r="H1147" s="4" t="s">
        <v>34</v>
      </c>
      <c r="I1147" s="5">
        <v>44409</v>
      </c>
      <c r="J1147" s="6">
        <v>0</v>
      </c>
      <c r="K1147" s="6">
        <v>0</v>
      </c>
      <c r="L1147" s="6">
        <v>575.70899999999995</v>
      </c>
      <c r="M1147" s="6">
        <v>575.70899999999995</v>
      </c>
      <c r="N1147" s="6">
        <v>575.70899999999995</v>
      </c>
      <c r="O1147" s="6">
        <v>575.70899999999995</v>
      </c>
      <c r="P1147" s="6">
        <v>0</v>
      </c>
      <c r="Q1147" s="4" t="s">
        <v>26</v>
      </c>
      <c r="R1147" s="4">
        <v>0</v>
      </c>
      <c r="S1147" s="4" t="s">
        <v>348</v>
      </c>
      <c r="T1147" s="4" t="s">
        <v>613</v>
      </c>
      <c r="U1147" s="4">
        <v>0</v>
      </c>
      <c r="V1147" s="4">
        <v>42</v>
      </c>
      <c r="W1147" s="4">
        <v>66</v>
      </c>
    </row>
    <row r="1148" spans="1:23" ht="11.25" customHeight="1" x14ac:dyDescent="0.25">
      <c r="A1148" s="4" t="s">
        <v>28</v>
      </c>
      <c r="B1148" s="4" t="s">
        <v>41</v>
      </c>
      <c r="C1148" s="4" t="s">
        <v>42</v>
      </c>
      <c r="D1148" s="4" t="s">
        <v>46</v>
      </c>
      <c r="E1148" s="4" t="s">
        <v>25</v>
      </c>
      <c r="F1148" s="4" t="s">
        <v>25</v>
      </c>
      <c r="G1148" s="4" t="s">
        <v>25</v>
      </c>
      <c r="H1148" s="4" t="s">
        <v>34</v>
      </c>
      <c r="I1148" s="5">
        <v>44409</v>
      </c>
      <c r="J1148" s="6">
        <v>0</v>
      </c>
      <c r="K1148" s="6">
        <v>0</v>
      </c>
      <c r="L1148" s="6">
        <v>12.456</v>
      </c>
      <c r="M1148" s="6">
        <v>12.456</v>
      </c>
      <c r="N1148" s="6">
        <v>12.456</v>
      </c>
      <c r="O1148" s="6">
        <v>12.456</v>
      </c>
      <c r="P1148" s="6">
        <v>0</v>
      </c>
      <c r="Q1148" s="4" t="s">
        <v>26</v>
      </c>
      <c r="R1148" s="4">
        <v>0</v>
      </c>
      <c r="S1148" s="4" t="s">
        <v>348</v>
      </c>
      <c r="T1148" s="4" t="s">
        <v>613</v>
      </c>
      <c r="U1148" s="4">
        <v>0</v>
      </c>
      <c r="V1148" s="4">
        <v>42</v>
      </c>
      <c r="W1148" s="4">
        <v>66</v>
      </c>
    </row>
    <row r="1149" spans="1:23" ht="11.25" customHeight="1" x14ac:dyDescent="0.25">
      <c r="A1149" s="4" t="s">
        <v>21</v>
      </c>
      <c r="B1149" s="4" t="s">
        <v>41</v>
      </c>
      <c r="C1149" s="4" t="s">
        <v>42</v>
      </c>
      <c r="D1149" s="4" t="s">
        <v>46</v>
      </c>
      <c r="E1149" s="4" t="s">
        <v>25</v>
      </c>
      <c r="F1149" s="4" t="s">
        <v>25</v>
      </c>
      <c r="G1149" s="4" t="s">
        <v>25</v>
      </c>
      <c r="H1149" s="4" t="s">
        <v>34</v>
      </c>
      <c r="I1149" s="5">
        <v>44440</v>
      </c>
      <c r="J1149" s="6">
        <v>0</v>
      </c>
      <c r="K1149" s="6">
        <v>0</v>
      </c>
      <c r="L1149" s="6">
        <v>606.61300000000006</v>
      </c>
      <c r="M1149" s="6">
        <v>606.61300000000006</v>
      </c>
      <c r="N1149" s="6">
        <v>606.61300000000006</v>
      </c>
      <c r="O1149" s="6">
        <v>606.61300000000006</v>
      </c>
      <c r="P1149" s="6">
        <v>0</v>
      </c>
      <c r="Q1149" s="4" t="s">
        <v>26</v>
      </c>
      <c r="R1149" s="4">
        <v>0</v>
      </c>
      <c r="S1149" s="4" t="s">
        <v>349</v>
      </c>
      <c r="T1149" s="4" t="s">
        <v>614</v>
      </c>
      <c r="U1149" s="4">
        <v>0</v>
      </c>
      <c r="V1149" s="4">
        <v>42</v>
      </c>
      <c r="W1149" s="4">
        <v>66</v>
      </c>
    </row>
    <row r="1150" spans="1:23" ht="11.25" customHeight="1" x14ac:dyDescent="0.25">
      <c r="A1150" s="4" t="s">
        <v>27</v>
      </c>
      <c r="B1150" s="4" t="s">
        <v>41</v>
      </c>
      <c r="C1150" s="4" t="s">
        <v>42</v>
      </c>
      <c r="D1150" s="4" t="s">
        <v>46</v>
      </c>
      <c r="E1150" s="4" t="s">
        <v>25</v>
      </c>
      <c r="F1150" s="4" t="s">
        <v>25</v>
      </c>
      <c r="G1150" s="4" t="s">
        <v>25</v>
      </c>
      <c r="H1150" s="4" t="s">
        <v>34</v>
      </c>
      <c r="I1150" s="5">
        <v>44440</v>
      </c>
      <c r="J1150" s="6">
        <v>0</v>
      </c>
      <c r="K1150" s="6">
        <v>0</v>
      </c>
      <c r="L1150" s="6">
        <v>-13.2</v>
      </c>
      <c r="M1150" s="6">
        <v>-13.2</v>
      </c>
      <c r="N1150" s="6">
        <v>-13.2</v>
      </c>
      <c r="O1150" s="6">
        <v>-13.2</v>
      </c>
      <c r="P1150" s="6">
        <v>0</v>
      </c>
      <c r="Q1150" s="4" t="s">
        <v>26</v>
      </c>
      <c r="R1150" s="4">
        <v>0</v>
      </c>
      <c r="S1150" s="4" t="s">
        <v>349</v>
      </c>
      <c r="T1150" s="4" t="s">
        <v>614</v>
      </c>
      <c r="U1150" s="4">
        <v>0</v>
      </c>
      <c r="V1150" s="4">
        <v>42</v>
      </c>
      <c r="W1150" s="4">
        <v>66</v>
      </c>
    </row>
    <row r="1151" spans="1:23" ht="11.25" customHeight="1" x14ac:dyDescent="0.25">
      <c r="A1151" s="4" t="s">
        <v>28</v>
      </c>
      <c r="B1151" s="4" t="s">
        <v>41</v>
      </c>
      <c r="C1151" s="4" t="s">
        <v>42</v>
      </c>
      <c r="D1151" s="4" t="s">
        <v>46</v>
      </c>
      <c r="E1151" s="4" t="s">
        <v>25</v>
      </c>
      <c r="F1151" s="4" t="s">
        <v>25</v>
      </c>
      <c r="G1151" s="4" t="s">
        <v>25</v>
      </c>
      <c r="H1151" s="4" t="s">
        <v>34</v>
      </c>
      <c r="I1151" s="5">
        <v>44440</v>
      </c>
      <c r="J1151" s="6">
        <v>0</v>
      </c>
      <c r="K1151" s="6">
        <v>0</v>
      </c>
      <c r="L1151" s="6">
        <v>13.782</v>
      </c>
      <c r="M1151" s="6">
        <v>13.782</v>
      </c>
      <c r="N1151" s="6">
        <v>13.782</v>
      </c>
      <c r="O1151" s="6">
        <v>13.782</v>
      </c>
      <c r="P1151" s="6">
        <v>0</v>
      </c>
      <c r="Q1151" s="4" t="s">
        <v>26</v>
      </c>
      <c r="R1151" s="4">
        <v>0</v>
      </c>
      <c r="S1151" s="4" t="s">
        <v>349</v>
      </c>
      <c r="T1151" s="4" t="s">
        <v>614</v>
      </c>
      <c r="U1151" s="4">
        <v>0</v>
      </c>
      <c r="V1151" s="4">
        <v>42</v>
      </c>
      <c r="W1151" s="4">
        <v>66</v>
      </c>
    </row>
    <row r="1152" spans="1:23" ht="11.25" customHeight="1" x14ac:dyDescent="0.25">
      <c r="A1152" s="4" t="s">
        <v>21</v>
      </c>
      <c r="B1152" s="4" t="s">
        <v>41</v>
      </c>
      <c r="C1152" s="4" t="s">
        <v>42</v>
      </c>
      <c r="D1152" s="4" t="s">
        <v>46</v>
      </c>
      <c r="E1152" s="4" t="s">
        <v>25</v>
      </c>
      <c r="F1152" s="4" t="s">
        <v>25</v>
      </c>
      <c r="G1152" s="4" t="s">
        <v>25</v>
      </c>
      <c r="H1152" s="4" t="s">
        <v>34</v>
      </c>
      <c r="I1152" s="5">
        <v>44470</v>
      </c>
      <c r="J1152" s="6">
        <v>0</v>
      </c>
      <c r="K1152" s="6">
        <v>0</v>
      </c>
      <c r="L1152" s="6">
        <v>615.47900000000004</v>
      </c>
      <c r="M1152" s="6">
        <v>615.47900000000004</v>
      </c>
      <c r="N1152" s="6">
        <v>615.47900000000004</v>
      </c>
      <c r="O1152" s="6">
        <v>615.47900000000004</v>
      </c>
      <c r="P1152" s="6">
        <v>0</v>
      </c>
      <c r="Q1152" s="4" t="s">
        <v>26</v>
      </c>
      <c r="R1152" s="4">
        <v>0</v>
      </c>
      <c r="S1152" s="4" t="s">
        <v>350</v>
      </c>
      <c r="T1152" s="4" t="s">
        <v>615</v>
      </c>
      <c r="U1152" s="4">
        <v>0</v>
      </c>
      <c r="V1152" s="4">
        <v>42</v>
      </c>
      <c r="W1152" s="4">
        <v>66</v>
      </c>
    </row>
    <row r="1153" spans="1:23" ht="11.25" customHeight="1" x14ac:dyDescent="0.25">
      <c r="A1153" s="4" t="s">
        <v>27</v>
      </c>
      <c r="B1153" s="4" t="s">
        <v>41</v>
      </c>
      <c r="C1153" s="4" t="s">
        <v>42</v>
      </c>
      <c r="D1153" s="4" t="s">
        <v>46</v>
      </c>
      <c r="E1153" s="4" t="s">
        <v>25</v>
      </c>
      <c r="F1153" s="4" t="s">
        <v>25</v>
      </c>
      <c r="G1153" s="4" t="s">
        <v>25</v>
      </c>
      <c r="H1153" s="4" t="s">
        <v>34</v>
      </c>
      <c r="I1153" s="5">
        <v>44470</v>
      </c>
      <c r="J1153" s="6">
        <v>0</v>
      </c>
      <c r="K1153" s="6">
        <v>0</v>
      </c>
      <c r="L1153" s="6">
        <v>0.308</v>
      </c>
      <c r="M1153" s="6">
        <v>0.308</v>
      </c>
      <c r="N1153" s="6">
        <v>0.308</v>
      </c>
      <c r="O1153" s="6">
        <v>0.308</v>
      </c>
      <c r="P1153" s="6">
        <v>0</v>
      </c>
      <c r="Q1153" s="4" t="s">
        <v>26</v>
      </c>
      <c r="R1153" s="4">
        <v>0</v>
      </c>
      <c r="S1153" s="4" t="s">
        <v>350</v>
      </c>
      <c r="T1153" s="4" t="s">
        <v>615</v>
      </c>
      <c r="U1153" s="4">
        <v>0</v>
      </c>
      <c r="V1153" s="4">
        <v>42</v>
      </c>
      <c r="W1153" s="4">
        <v>66</v>
      </c>
    </row>
    <row r="1154" spans="1:23" ht="11.25" customHeight="1" x14ac:dyDescent="0.25">
      <c r="A1154" s="4" t="s">
        <v>28</v>
      </c>
      <c r="B1154" s="4" t="s">
        <v>41</v>
      </c>
      <c r="C1154" s="4" t="s">
        <v>42</v>
      </c>
      <c r="D1154" s="4" t="s">
        <v>46</v>
      </c>
      <c r="E1154" s="4" t="s">
        <v>25</v>
      </c>
      <c r="F1154" s="4" t="s">
        <v>25</v>
      </c>
      <c r="G1154" s="4" t="s">
        <v>25</v>
      </c>
      <c r="H1154" s="4" t="s">
        <v>34</v>
      </c>
      <c r="I1154" s="5">
        <v>44470</v>
      </c>
      <c r="J1154" s="6">
        <v>0</v>
      </c>
      <c r="K1154" s="6">
        <v>0</v>
      </c>
      <c r="L1154" s="6">
        <v>13.97</v>
      </c>
      <c r="M1154" s="6">
        <v>13.97</v>
      </c>
      <c r="N1154" s="6">
        <v>13.97</v>
      </c>
      <c r="O1154" s="6">
        <v>13.97</v>
      </c>
      <c r="P1154" s="6">
        <v>0</v>
      </c>
      <c r="Q1154" s="4" t="s">
        <v>26</v>
      </c>
      <c r="R1154" s="4">
        <v>0</v>
      </c>
      <c r="S1154" s="4" t="s">
        <v>350</v>
      </c>
      <c r="T1154" s="4" t="s">
        <v>615</v>
      </c>
      <c r="U1154" s="4">
        <v>0</v>
      </c>
      <c r="V1154" s="4">
        <v>42</v>
      </c>
      <c r="W1154" s="4">
        <v>66</v>
      </c>
    </row>
    <row r="1155" spans="1:23" ht="11.25" customHeight="1" x14ac:dyDescent="0.25">
      <c r="A1155" s="4" t="s">
        <v>21</v>
      </c>
      <c r="B1155" s="4" t="s">
        <v>41</v>
      </c>
      <c r="C1155" s="4" t="s">
        <v>42</v>
      </c>
      <c r="D1155" s="4" t="s">
        <v>46</v>
      </c>
      <c r="E1155" s="4" t="s">
        <v>25</v>
      </c>
      <c r="F1155" s="4" t="s">
        <v>25</v>
      </c>
      <c r="G1155" s="4" t="s">
        <v>25</v>
      </c>
      <c r="H1155" s="4" t="s">
        <v>34</v>
      </c>
      <c r="I1155" s="5">
        <v>44501</v>
      </c>
      <c r="J1155" s="6">
        <v>0</v>
      </c>
      <c r="K1155" s="6">
        <v>0</v>
      </c>
      <c r="L1155" s="6">
        <v>671.66899999999998</v>
      </c>
      <c r="M1155" s="6">
        <v>671.66899999999998</v>
      </c>
      <c r="N1155" s="6">
        <v>671.66899999999998</v>
      </c>
      <c r="O1155" s="6">
        <v>671.66899999999998</v>
      </c>
      <c r="P1155" s="6">
        <v>0</v>
      </c>
      <c r="Q1155" s="4" t="s">
        <v>26</v>
      </c>
      <c r="R1155" s="4">
        <v>0</v>
      </c>
      <c r="S1155" s="4" t="s">
        <v>351</v>
      </c>
      <c r="T1155" s="4" t="s">
        <v>616</v>
      </c>
      <c r="U1155" s="4">
        <v>0</v>
      </c>
      <c r="V1155" s="4">
        <v>42</v>
      </c>
      <c r="W1155" s="4">
        <v>66</v>
      </c>
    </row>
    <row r="1156" spans="1:23" ht="11.25" customHeight="1" x14ac:dyDescent="0.25">
      <c r="A1156" s="4" t="s">
        <v>28</v>
      </c>
      <c r="B1156" s="4" t="s">
        <v>41</v>
      </c>
      <c r="C1156" s="4" t="s">
        <v>42</v>
      </c>
      <c r="D1156" s="4" t="s">
        <v>46</v>
      </c>
      <c r="E1156" s="4" t="s">
        <v>25</v>
      </c>
      <c r="F1156" s="4" t="s">
        <v>25</v>
      </c>
      <c r="G1156" s="4" t="s">
        <v>25</v>
      </c>
      <c r="H1156" s="4" t="s">
        <v>34</v>
      </c>
      <c r="I1156" s="5">
        <v>44501</v>
      </c>
      <c r="J1156" s="6">
        <v>0</v>
      </c>
      <c r="K1156" s="6">
        <v>0</v>
      </c>
      <c r="L1156" s="6">
        <v>14.625</v>
      </c>
      <c r="M1156" s="6">
        <v>14.625</v>
      </c>
      <c r="N1156" s="6">
        <v>14.625</v>
      </c>
      <c r="O1156" s="6">
        <v>14.625</v>
      </c>
      <c r="P1156" s="6">
        <v>0</v>
      </c>
      <c r="Q1156" s="4" t="s">
        <v>26</v>
      </c>
      <c r="R1156" s="4">
        <v>0</v>
      </c>
      <c r="S1156" s="4" t="s">
        <v>351</v>
      </c>
      <c r="T1156" s="4" t="s">
        <v>616</v>
      </c>
      <c r="U1156" s="4">
        <v>0</v>
      </c>
      <c r="V1156" s="4">
        <v>42</v>
      </c>
      <c r="W1156" s="4">
        <v>66</v>
      </c>
    </row>
    <row r="1157" spans="1:23" ht="11.25" customHeight="1" x14ac:dyDescent="0.25">
      <c r="A1157" s="4" t="s">
        <v>21</v>
      </c>
      <c r="B1157" s="4" t="s">
        <v>41</v>
      </c>
      <c r="C1157" s="4" t="s">
        <v>42</v>
      </c>
      <c r="D1157" s="4" t="s">
        <v>46</v>
      </c>
      <c r="E1157" s="4" t="s">
        <v>25</v>
      </c>
      <c r="F1157" s="4" t="s">
        <v>25</v>
      </c>
      <c r="G1157" s="4" t="s">
        <v>25</v>
      </c>
      <c r="H1157" s="4" t="s">
        <v>34</v>
      </c>
      <c r="I1157" s="5">
        <v>44531</v>
      </c>
      <c r="J1157" s="6">
        <v>0</v>
      </c>
      <c r="K1157" s="6">
        <v>0</v>
      </c>
      <c r="L1157" s="6">
        <v>743.4</v>
      </c>
      <c r="M1157" s="6">
        <v>743.4</v>
      </c>
      <c r="N1157" s="6">
        <v>743.4</v>
      </c>
      <c r="O1157" s="6">
        <v>743.4</v>
      </c>
      <c r="P1157" s="6">
        <v>0</v>
      </c>
      <c r="Q1157" s="4" t="s">
        <v>26</v>
      </c>
      <c r="R1157" s="4">
        <v>0</v>
      </c>
      <c r="S1157" s="4" t="s">
        <v>352</v>
      </c>
      <c r="T1157" s="4" t="s">
        <v>617</v>
      </c>
      <c r="U1157" s="4">
        <v>0</v>
      </c>
      <c r="V1157" s="4">
        <v>42</v>
      </c>
      <c r="W1157" s="4">
        <v>66</v>
      </c>
    </row>
    <row r="1158" spans="1:23" ht="11.25" customHeight="1" x14ac:dyDescent="0.25">
      <c r="A1158" s="4" t="s">
        <v>28</v>
      </c>
      <c r="B1158" s="4" t="s">
        <v>41</v>
      </c>
      <c r="C1158" s="4" t="s">
        <v>42</v>
      </c>
      <c r="D1158" s="4" t="s">
        <v>46</v>
      </c>
      <c r="E1158" s="4" t="s">
        <v>25</v>
      </c>
      <c r="F1158" s="4" t="s">
        <v>25</v>
      </c>
      <c r="G1158" s="4" t="s">
        <v>25</v>
      </c>
      <c r="H1158" s="4" t="s">
        <v>34</v>
      </c>
      <c r="I1158" s="5">
        <v>44531</v>
      </c>
      <c r="J1158" s="6">
        <v>0</v>
      </c>
      <c r="K1158" s="6">
        <v>0</v>
      </c>
      <c r="L1158" s="6">
        <v>15.911</v>
      </c>
      <c r="M1158" s="6">
        <v>15.911</v>
      </c>
      <c r="N1158" s="6">
        <v>15.911</v>
      </c>
      <c r="O1158" s="6">
        <v>15.911</v>
      </c>
      <c r="P1158" s="6">
        <v>0</v>
      </c>
      <c r="Q1158" s="4" t="s">
        <v>26</v>
      </c>
      <c r="R1158" s="4">
        <v>0</v>
      </c>
      <c r="S1158" s="4" t="s">
        <v>352</v>
      </c>
      <c r="T1158" s="4" t="s">
        <v>617</v>
      </c>
      <c r="U1158" s="4">
        <v>0</v>
      </c>
      <c r="V1158" s="4">
        <v>42</v>
      </c>
      <c r="W1158" s="4">
        <v>66</v>
      </c>
    </row>
    <row r="1159" spans="1:23" ht="11.25" customHeight="1" x14ac:dyDescent="0.25">
      <c r="A1159" s="4" t="s">
        <v>21</v>
      </c>
      <c r="B1159" s="4" t="s">
        <v>41</v>
      </c>
      <c r="C1159" s="4" t="s">
        <v>42</v>
      </c>
      <c r="D1159" s="4" t="s">
        <v>46</v>
      </c>
      <c r="E1159" s="4" t="s">
        <v>25</v>
      </c>
      <c r="F1159" s="4" t="s">
        <v>25</v>
      </c>
      <c r="G1159" s="4" t="s">
        <v>25</v>
      </c>
      <c r="H1159" s="4" t="s">
        <v>34</v>
      </c>
      <c r="I1159" s="5">
        <v>44562</v>
      </c>
      <c r="J1159" s="6">
        <v>0</v>
      </c>
      <c r="K1159" s="6">
        <v>0</v>
      </c>
      <c r="L1159" s="6">
        <v>679.01700000000005</v>
      </c>
      <c r="M1159" s="6">
        <v>679.01700000000005</v>
      </c>
      <c r="N1159" s="6">
        <v>679.01700000000005</v>
      </c>
      <c r="O1159" s="6">
        <v>679.01700000000005</v>
      </c>
      <c r="P1159" s="6">
        <v>0</v>
      </c>
      <c r="Q1159" s="4" t="s">
        <v>26</v>
      </c>
      <c r="R1159" s="4">
        <v>0</v>
      </c>
      <c r="S1159" s="4" t="s">
        <v>353</v>
      </c>
      <c r="T1159" s="4" t="s">
        <v>618</v>
      </c>
      <c r="U1159" s="4">
        <v>0</v>
      </c>
      <c r="V1159" s="4">
        <v>42</v>
      </c>
      <c r="W1159" s="4">
        <v>66</v>
      </c>
    </row>
    <row r="1160" spans="1:23" ht="11.25" customHeight="1" x14ac:dyDescent="0.25">
      <c r="A1160" s="4" t="s">
        <v>28</v>
      </c>
      <c r="B1160" s="4" t="s">
        <v>41</v>
      </c>
      <c r="C1160" s="4" t="s">
        <v>42</v>
      </c>
      <c r="D1160" s="4" t="s">
        <v>46</v>
      </c>
      <c r="E1160" s="4" t="s">
        <v>25</v>
      </c>
      <c r="F1160" s="4" t="s">
        <v>25</v>
      </c>
      <c r="G1160" s="4" t="s">
        <v>25</v>
      </c>
      <c r="H1160" s="4" t="s">
        <v>34</v>
      </c>
      <c r="I1160" s="5">
        <v>44562</v>
      </c>
      <c r="J1160" s="6">
        <v>0</v>
      </c>
      <c r="K1160" s="6">
        <v>0</v>
      </c>
      <c r="L1160" s="6">
        <v>14.08</v>
      </c>
      <c r="M1160" s="6">
        <v>14.08</v>
      </c>
      <c r="N1160" s="6">
        <v>14.08</v>
      </c>
      <c r="O1160" s="6">
        <v>14.08</v>
      </c>
      <c r="P1160" s="6">
        <v>0</v>
      </c>
      <c r="Q1160" s="4" t="s">
        <v>26</v>
      </c>
      <c r="R1160" s="4">
        <v>0</v>
      </c>
      <c r="S1160" s="4" t="s">
        <v>353</v>
      </c>
      <c r="T1160" s="4" t="s">
        <v>618</v>
      </c>
      <c r="U1160" s="4">
        <v>0</v>
      </c>
      <c r="V1160" s="4">
        <v>42</v>
      </c>
      <c r="W1160" s="4">
        <v>66</v>
      </c>
    </row>
    <row r="1161" spans="1:23" ht="11.25" customHeight="1" x14ac:dyDescent="0.25">
      <c r="A1161" s="4" t="s">
        <v>21</v>
      </c>
      <c r="B1161" s="4" t="s">
        <v>41</v>
      </c>
      <c r="C1161" s="4" t="s">
        <v>42</v>
      </c>
      <c r="D1161" s="4" t="s">
        <v>46</v>
      </c>
      <c r="E1161" s="4" t="s">
        <v>25</v>
      </c>
      <c r="F1161" s="4" t="s">
        <v>25</v>
      </c>
      <c r="G1161" s="4" t="s">
        <v>25</v>
      </c>
      <c r="H1161" s="4" t="s">
        <v>34</v>
      </c>
      <c r="I1161" s="5">
        <v>44593</v>
      </c>
      <c r="J1161" s="6">
        <v>0</v>
      </c>
      <c r="K1161" s="6">
        <v>0</v>
      </c>
      <c r="L1161" s="6">
        <v>651.74800000000005</v>
      </c>
      <c r="M1161" s="6">
        <v>651.74800000000005</v>
      </c>
      <c r="N1161" s="6">
        <v>651.74800000000005</v>
      </c>
      <c r="O1161" s="6">
        <v>651.74800000000005</v>
      </c>
      <c r="P1161" s="6">
        <v>0</v>
      </c>
      <c r="Q1161" s="4" t="s">
        <v>26</v>
      </c>
      <c r="R1161" s="4">
        <v>0</v>
      </c>
      <c r="S1161" s="4" t="s">
        <v>354</v>
      </c>
      <c r="T1161" s="4" t="s">
        <v>619</v>
      </c>
      <c r="U1161" s="4">
        <v>0</v>
      </c>
      <c r="V1161" s="4">
        <v>42</v>
      </c>
      <c r="W1161" s="4">
        <v>66</v>
      </c>
    </row>
    <row r="1162" spans="1:23" ht="11.25" customHeight="1" x14ac:dyDescent="0.25">
      <c r="A1162" s="4" t="s">
        <v>28</v>
      </c>
      <c r="B1162" s="4" t="s">
        <v>41</v>
      </c>
      <c r="C1162" s="4" t="s">
        <v>42</v>
      </c>
      <c r="D1162" s="4" t="s">
        <v>46</v>
      </c>
      <c r="E1162" s="4" t="s">
        <v>25</v>
      </c>
      <c r="F1162" s="4" t="s">
        <v>25</v>
      </c>
      <c r="G1162" s="4" t="s">
        <v>25</v>
      </c>
      <c r="H1162" s="4" t="s">
        <v>34</v>
      </c>
      <c r="I1162" s="5">
        <v>44593</v>
      </c>
      <c r="J1162" s="6">
        <v>0</v>
      </c>
      <c r="K1162" s="6">
        <v>0</v>
      </c>
      <c r="L1162" s="6">
        <v>13.449</v>
      </c>
      <c r="M1162" s="6">
        <v>13.449</v>
      </c>
      <c r="N1162" s="6">
        <v>13.449</v>
      </c>
      <c r="O1162" s="6">
        <v>13.449</v>
      </c>
      <c r="P1162" s="6">
        <v>0</v>
      </c>
      <c r="Q1162" s="4" t="s">
        <v>26</v>
      </c>
      <c r="R1162" s="4">
        <v>0</v>
      </c>
      <c r="S1162" s="4" t="s">
        <v>354</v>
      </c>
      <c r="T1162" s="4" t="s">
        <v>619</v>
      </c>
      <c r="U1162" s="4">
        <v>0</v>
      </c>
      <c r="V1162" s="4">
        <v>42</v>
      </c>
      <c r="W1162" s="4">
        <v>66</v>
      </c>
    </row>
    <row r="1163" spans="1:23" ht="11.25" customHeight="1" x14ac:dyDescent="0.25">
      <c r="A1163" s="4" t="s">
        <v>21</v>
      </c>
      <c r="B1163" s="4" t="s">
        <v>41</v>
      </c>
      <c r="C1163" s="4" t="s">
        <v>42</v>
      </c>
      <c r="D1163" s="4" t="s">
        <v>46</v>
      </c>
      <c r="E1163" s="4" t="s">
        <v>25</v>
      </c>
      <c r="F1163" s="4" t="s">
        <v>25</v>
      </c>
      <c r="G1163" s="4" t="s">
        <v>25</v>
      </c>
      <c r="H1163" s="4" t="s">
        <v>34</v>
      </c>
      <c r="I1163" s="5">
        <v>44621</v>
      </c>
      <c r="J1163" s="6">
        <v>0</v>
      </c>
      <c r="K1163" s="6">
        <v>0</v>
      </c>
      <c r="L1163" s="6">
        <v>728.37</v>
      </c>
      <c r="M1163" s="6">
        <v>728.37</v>
      </c>
      <c r="N1163" s="6">
        <v>728.37</v>
      </c>
      <c r="O1163" s="6">
        <v>728.37</v>
      </c>
      <c r="P1163" s="6">
        <v>0</v>
      </c>
      <c r="Q1163" s="4" t="s">
        <v>26</v>
      </c>
      <c r="R1163" s="4">
        <v>0</v>
      </c>
      <c r="S1163" s="4" t="s">
        <v>355</v>
      </c>
      <c r="T1163" s="4" t="s">
        <v>620</v>
      </c>
      <c r="U1163" s="4">
        <v>0</v>
      </c>
      <c r="V1163" s="4">
        <v>42</v>
      </c>
      <c r="W1163" s="4">
        <v>66</v>
      </c>
    </row>
    <row r="1164" spans="1:23" ht="11.25" customHeight="1" x14ac:dyDescent="0.25">
      <c r="A1164" s="4" t="s">
        <v>28</v>
      </c>
      <c r="B1164" s="4" t="s">
        <v>41</v>
      </c>
      <c r="C1164" s="4" t="s">
        <v>42</v>
      </c>
      <c r="D1164" s="4" t="s">
        <v>46</v>
      </c>
      <c r="E1164" s="4" t="s">
        <v>25</v>
      </c>
      <c r="F1164" s="4" t="s">
        <v>25</v>
      </c>
      <c r="G1164" s="4" t="s">
        <v>25</v>
      </c>
      <c r="H1164" s="4" t="s">
        <v>34</v>
      </c>
      <c r="I1164" s="5">
        <v>44621</v>
      </c>
      <c r="J1164" s="6">
        <v>0</v>
      </c>
      <c r="K1164" s="6">
        <v>0</v>
      </c>
      <c r="L1164" s="6">
        <v>14.617000000000001</v>
      </c>
      <c r="M1164" s="6">
        <v>14.617000000000001</v>
      </c>
      <c r="N1164" s="6">
        <v>14.617000000000001</v>
      </c>
      <c r="O1164" s="6">
        <v>14.617000000000001</v>
      </c>
      <c r="P1164" s="6">
        <v>0</v>
      </c>
      <c r="Q1164" s="4" t="s">
        <v>26</v>
      </c>
      <c r="R1164" s="4">
        <v>0</v>
      </c>
      <c r="S1164" s="4" t="s">
        <v>355</v>
      </c>
      <c r="T1164" s="4" t="s">
        <v>620</v>
      </c>
      <c r="U1164" s="4">
        <v>0</v>
      </c>
      <c r="V1164" s="4">
        <v>42</v>
      </c>
      <c r="W1164" s="4">
        <v>66</v>
      </c>
    </row>
    <row r="1165" spans="1:23" ht="11.25" customHeight="1" x14ac:dyDescent="0.25">
      <c r="A1165" s="4" t="s">
        <v>21</v>
      </c>
      <c r="B1165" s="4" t="s">
        <v>41</v>
      </c>
      <c r="C1165" s="4" t="s">
        <v>42</v>
      </c>
      <c r="D1165" s="4" t="s">
        <v>46</v>
      </c>
      <c r="E1165" s="4" t="s">
        <v>25</v>
      </c>
      <c r="F1165" s="4" t="s">
        <v>25</v>
      </c>
      <c r="G1165" s="4" t="s">
        <v>25</v>
      </c>
      <c r="H1165" s="4" t="s">
        <v>34</v>
      </c>
      <c r="I1165" s="5">
        <v>44652</v>
      </c>
      <c r="J1165" s="6">
        <v>0</v>
      </c>
      <c r="K1165" s="6">
        <v>0</v>
      </c>
      <c r="L1165" s="6">
        <v>685.32100000000003</v>
      </c>
      <c r="M1165" s="6">
        <v>685.32100000000003</v>
      </c>
      <c r="N1165" s="6">
        <v>685.32100000000003</v>
      </c>
      <c r="O1165" s="6">
        <v>685.32100000000003</v>
      </c>
      <c r="P1165" s="6">
        <v>0</v>
      </c>
      <c r="Q1165" s="4" t="s">
        <v>26</v>
      </c>
      <c r="R1165" s="4">
        <v>0</v>
      </c>
      <c r="S1165" s="4" t="s">
        <v>356</v>
      </c>
      <c r="T1165" s="4" t="s">
        <v>621</v>
      </c>
      <c r="U1165" s="4">
        <v>0</v>
      </c>
      <c r="V1165" s="4">
        <v>42</v>
      </c>
      <c r="W1165" s="4">
        <v>66</v>
      </c>
    </row>
    <row r="1166" spans="1:23" ht="11.25" customHeight="1" x14ac:dyDescent="0.25">
      <c r="A1166" s="4" t="s">
        <v>28</v>
      </c>
      <c r="B1166" s="4" t="s">
        <v>41</v>
      </c>
      <c r="C1166" s="4" t="s">
        <v>42</v>
      </c>
      <c r="D1166" s="4" t="s">
        <v>46</v>
      </c>
      <c r="E1166" s="4" t="s">
        <v>25</v>
      </c>
      <c r="F1166" s="4" t="s">
        <v>25</v>
      </c>
      <c r="G1166" s="4" t="s">
        <v>25</v>
      </c>
      <c r="H1166" s="4" t="s">
        <v>34</v>
      </c>
      <c r="I1166" s="5">
        <v>44652</v>
      </c>
      <c r="J1166" s="6">
        <v>0</v>
      </c>
      <c r="K1166" s="6">
        <v>0</v>
      </c>
      <c r="L1166" s="6">
        <v>14.603999999999999</v>
      </c>
      <c r="M1166" s="6">
        <v>14.603999999999999</v>
      </c>
      <c r="N1166" s="6">
        <v>14.603999999999999</v>
      </c>
      <c r="O1166" s="6">
        <v>14.603999999999999</v>
      </c>
      <c r="P1166" s="6">
        <v>0</v>
      </c>
      <c r="Q1166" s="4" t="s">
        <v>26</v>
      </c>
      <c r="R1166" s="4">
        <v>0</v>
      </c>
      <c r="S1166" s="4" t="s">
        <v>356</v>
      </c>
      <c r="T1166" s="4" t="s">
        <v>621</v>
      </c>
      <c r="U1166" s="4">
        <v>0</v>
      </c>
      <c r="V1166" s="4">
        <v>42</v>
      </c>
      <c r="W1166" s="4">
        <v>66</v>
      </c>
    </row>
    <row r="1167" spans="1:23" ht="11.25" customHeight="1" x14ac:dyDescent="0.25">
      <c r="A1167" s="4" t="s">
        <v>21</v>
      </c>
      <c r="B1167" s="4" t="s">
        <v>41</v>
      </c>
      <c r="C1167" s="4" t="s">
        <v>42</v>
      </c>
      <c r="D1167" s="4" t="s">
        <v>46</v>
      </c>
      <c r="E1167" s="4" t="s">
        <v>25</v>
      </c>
      <c r="F1167" s="4" t="s">
        <v>25</v>
      </c>
      <c r="G1167" s="4" t="s">
        <v>25</v>
      </c>
      <c r="H1167" s="4" t="s">
        <v>34</v>
      </c>
      <c r="I1167" s="5">
        <v>44682</v>
      </c>
      <c r="J1167" s="6">
        <v>0</v>
      </c>
      <c r="K1167" s="6">
        <v>0</v>
      </c>
      <c r="L1167" s="6">
        <v>702.39099999999996</v>
      </c>
      <c r="M1167" s="6">
        <v>702.39099999999996</v>
      </c>
      <c r="N1167" s="6">
        <v>702.39099999999996</v>
      </c>
      <c r="O1167" s="6">
        <v>702.39099999999996</v>
      </c>
      <c r="P1167" s="6">
        <v>0</v>
      </c>
      <c r="Q1167" s="4" t="s">
        <v>26</v>
      </c>
      <c r="R1167" s="4">
        <v>0</v>
      </c>
      <c r="S1167" s="4" t="s">
        <v>357</v>
      </c>
      <c r="T1167" s="4" t="s">
        <v>622</v>
      </c>
      <c r="U1167" s="4">
        <v>0</v>
      </c>
      <c r="V1167" s="4">
        <v>42</v>
      </c>
      <c r="W1167" s="4">
        <v>66</v>
      </c>
    </row>
    <row r="1168" spans="1:23" ht="11.25" customHeight="1" x14ac:dyDescent="0.25">
      <c r="A1168" s="4" t="s">
        <v>28</v>
      </c>
      <c r="B1168" s="4" t="s">
        <v>41</v>
      </c>
      <c r="C1168" s="4" t="s">
        <v>42</v>
      </c>
      <c r="D1168" s="4" t="s">
        <v>46</v>
      </c>
      <c r="E1168" s="4" t="s">
        <v>25</v>
      </c>
      <c r="F1168" s="4" t="s">
        <v>25</v>
      </c>
      <c r="G1168" s="4" t="s">
        <v>25</v>
      </c>
      <c r="H1168" s="4" t="s">
        <v>34</v>
      </c>
      <c r="I1168" s="5">
        <v>44682</v>
      </c>
      <c r="J1168" s="6">
        <v>0</v>
      </c>
      <c r="K1168" s="6">
        <v>0</v>
      </c>
      <c r="L1168" s="6">
        <v>15.439</v>
      </c>
      <c r="M1168" s="6">
        <v>15.439</v>
      </c>
      <c r="N1168" s="6">
        <v>15.439</v>
      </c>
      <c r="O1168" s="6">
        <v>15.439</v>
      </c>
      <c r="P1168" s="6">
        <v>0</v>
      </c>
      <c r="Q1168" s="4" t="s">
        <v>26</v>
      </c>
      <c r="R1168" s="4">
        <v>0</v>
      </c>
      <c r="S1168" s="4" t="s">
        <v>357</v>
      </c>
      <c r="T1168" s="4" t="s">
        <v>622</v>
      </c>
      <c r="U1168" s="4">
        <v>0</v>
      </c>
      <c r="V1168" s="4">
        <v>42</v>
      </c>
      <c r="W1168" s="4">
        <v>66</v>
      </c>
    </row>
    <row r="1169" spans="1:23" ht="11.25" customHeight="1" x14ac:dyDescent="0.25">
      <c r="A1169" s="4" t="s">
        <v>21</v>
      </c>
      <c r="B1169" s="4" t="s">
        <v>41</v>
      </c>
      <c r="C1169" s="4" t="s">
        <v>42</v>
      </c>
      <c r="D1169" s="4" t="s">
        <v>46</v>
      </c>
      <c r="E1169" s="4" t="s">
        <v>25</v>
      </c>
      <c r="F1169" s="4" t="s">
        <v>25</v>
      </c>
      <c r="G1169" s="4" t="s">
        <v>25</v>
      </c>
      <c r="H1169" s="4" t="s">
        <v>34</v>
      </c>
      <c r="I1169" s="5">
        <v>44713</v>
      </c>
      <c r="J1169" s="6">
        <v>0</v>
      </c>
      <c r="K1169" s="6">
        <v>0</v>
      </c>
      <c r="L1169" s="6">
        <v>635.02700000000004</v>
      </c>
      <c r="M1169" s="6">
        <v>635.02700000000004</v>
      </c>
      <c r="N1169" s="6">
        <v>635.02700000000004</v>
      </c>
      <c r="O1169" s="6">
        <v>635.02700000000004</v>
      </c>
      <c r="P1169" s="6">
        <v>0</v>
      </c>
      <c r="Q1169" s="4" t="s">
        <v>26</v>
      </c>
      <c r="R1169" s="4">
        <v>0</v>
      </c>
      <c r="S1169" s="4" t="s">
        <v>358</v>
      </c>
      <c r="T1169" s="4" t="s">
        <v>623</v>
      </c>
      <c r="U1169" s="4">
        <v>0</v>
      </c>
      <c r="V1169" s="4">
        <v>42</v>
      </c>
      <c r="W1169" s="4">
        <v>66</v>
      </c>
    </row>
    <row r="1170" spans="1:23" ht="11.25" customHeight="1" x14ac:dyDescent="0.25">
      <c r="A1170" s="4" t="s">
        <v>27</v>
      </c>
      <c r="B1170" s="4" t="s">
        <v>41</v>
      </c>
      <c r="C1170" s="4" t="s">
        <v>42</v>
      </c>
      <c r="D1170" s="4" t="s">
        <v>46</v>
      </c>
      <c r="E1170" s="4" t="s">
        <v>25</v>
      </c>
      <c r="F1170" s="4" t="s">
        <v>25</v>
      </c>
      <c r="G1170" s="4" t="s">
        <v>25</v>
      </c>
      <c r="H1170" s="4" t="s">
        <v>34</v>
      </c>
      <c r="I1170" s="5">
        <v>44713</v>
      </c>
      <c r="J1170" s="6">
        <v>0</v>
      </c>
      <c r="K1170" s="6">
        <v>0</v>
      </c>
      <c r="L1170" s="6">
        <v>-0.76600000000000001</v>
      </c>
      <c r="M1170" s="6">
        <v>-0.76600000000000001</v>
      </c>
      <c r="N1170" s="6">
        <v>-0.76600000000000001</v>
      </c>
      <c r="O1170" s="6">
        <v>-0.76600000000000001</v>
      </c>
      <c r="P1170" s="6">
        <v>0</v>
      </c>
      <c r="Q1170" s="4" t="s">
        <v>26</v>
      </c>
      <c r="R1170" s="4">
        <v>0</v>
      </c>
      <c r="S1170" s="4" t="s">
        <v>358</v>
      </c>
      <c r="T1170" s="4" t="s">
        <v>623</v>
      </c>
      <c r="U1170" s="4">
        <v>0</v>
      </c>
      <c r="V1170" s="4">
        <v>42</v>
      </c>
      <c r="W1170" s="4">
        <v>66</v>
      </c>
    </row>
    <row r="1171" spans="1:23" ht="11.25" customHeight="1" x14ac:dyDescent="0.25">
      <c r="A1171" s="4" t="s">
        <v>28</v>
      </c>
      <c r="B1171" s="4" t="s">
        <v>41</v>
      </c>
      <c r="C1171" s="4" t="s">
        <v>42</v>
      </c>
      <c r="D1171" s="4" t="s">
        <v>46</v>
      </c>
      <c r="E1171" s="4" t="s">
        <v>25</v>
      </c>
      <c r="F1171" s="4" t="s">
        <v>25</v>
      </c>
      <c r="G1171" s="4" t="s">
        <v>25</v>
      </c>
      <c r="H1171" s="4" t="s">
        <v>34</v>
      </c>
      <c r="I1171" s="5">
        <v>44713</v>
      </c>
      <c r="J1171" s="6">
        <v>0</v>
      </c>
      <c r="K1171" s="6">
        <v>0</v>
      </c>
      <c r="L1171" s="6">
        <v>15.151999999999999</v>
      </c>
      <c r="M1171" s="6">
        <v>15.151999999999999</v>
      </c>
      <c r="N1171" s="6">
        <v>15.151999999999999</v>
      </c>
      <c r="O1171" s="6">
        <v>15.151999999999999</v>
      </c>
      <c r="P1171" s="6">
        <v>0</v>
      </c>
      <c r="Q1171" s="4" t="s">
        <v>26</v>
      </c>
      <c r="R1171" s="4">
        <v>0</v>
      </c>
      <c r="S1171" s="4" t="s">
        <v>358</v>
      </c>
      <c r="T1171" s="4" t="s">
        <v>623</v>
      </c>
      <c r="U1171" s="4">
        <v>0</v>
      </c>
      <c r="V1171" s="4">
        <v>42</v>
      </c>
      <c r="W1171" s="4">
        <v>66</v>
      </c>
    </row>
    <row r="1172" spans="1:23" ht="11.25" customHeight="1" x14ac:dyDescent="0.25">
      <c r="A1172" s="4" t="s">
        <v>57</v>
      </c>
      <c r="B1172" s="4" t="s">
        <v>41</v>
      </c>
      <c r="C1172" s="4" t="s">
        <v>42</v>
      </c>
      <c r="D1172" s="4" t="s">
        <v>46</v>
      </c>
      <c r="E1172" s="4" t="s">
        <v>25</v>
      </c>
      <c r="F1172" s="4" t="s">
        <v>25</v>
      </c>
      <c r="G1172" s="4" t="s">
        <v>25</v>
      </c>
      <c r="H1172" s="4" t="s">
        <v>34</v>
      </c>
      <c r="I1172" s="5">
        <v>44743</v>
      </c>
      <c r="J1172" s="6">
        <v>0</v>
      </c>
      <c r="K1172" s="6">
        <v>0</v>
      </c>
      <c r="L1172" s="6">
        <v>635.02700000000004</v>
      </c>
      <c r="M1172" s="6">
        <v>635.02700000000004</v>
      </c>
      <c r="N1172" s="6">
        <v>635.02700000000004</v>
      </c>
      <c r="O1172" s="6">
        <v>635.02700000000004</v>
      </c>
      <c r="P1172" s="6">
        <v>0</v>
      </c>
      <c r="Q1172" s="4" t="s">
        <v>26</v>
      </c>
      <c r="R1172" s="4">
        <v>0</v>
      </c>
      <c r="S1172" s="4" t="s">
        <v>359</v>
      </c>
      <c r="T1172" s="4" t="s">
        <v>624</v>
      </c>
      <c r="U1172" s="4">
        <v>0</v>
      </c>
      <c r="V1172" s="4">
        <v>42</v>
      </c>
      <c r="W1172" s="4">
        <v>66</v>
      </c>
    </row>
    <row r="1173" spans="1:23" ht="11.25" customHeight="1" x14ac:dyDescent="0.25">
      <c r="A1173" s="4" t="s">
        <v>57</v>
      </c>
      <c r="B1173" s="4" t="s">
        <v>41</v>
      </c>
      <c r="C1173" s="4" t="s">
        <v>42</v>
      </c>
      <c r="D1173" s="4" t="s">
        <v>46</v>
      </c>
      <c r="E1173" s="4" t="s">
        <v>25</v>
      </c>
      <c r="F1173" s="4" t="s">
        <v>25</v>
      </c>
      <c r="G1173" s="4" t="s">
        <v>25</v>
      </c>
      <c r="H1173" s="4" t="s">
        <v>34</v>
      </c>
      <c r="I1173" s="5">
        <v>44743</v>
      </c>
      <c r="J1173" s="6">
        <v>0</v>
      </c>
      <c r="K1173" s="6">
        <v>0</v>
      </c>
      <c r="L1173" s="6">
        <v>-0.76600000000000001</v>
      </c>
      <c r="M1173" s="6">
        <v>-0.76600000000000001</v>
      </c>
      <c r="N1173" s="6">
        <v>-0.76600000000000001</v>
      </c>
      <c r="O1173" s="6">
        <v>-0.76600000000000001</v>
      </c>
      <c r="P1173" s="6">
        <v>0</v>
      </c>
      <c r="Q1173" s="4" t="s">
        <v>26</v>
      </c>
      <c r="R1173" s="4">
        <v>0</v>
      </c>
      <c r="S1173" s="4" t="s">
        <v>359</v>
      </c>
      <c r="T1173" s="4" t="s">
        <v>624</v>
      </c>
      <c r="U1173" s="4">
        <v>0</v>
      </c>
      <c r="V1173" s="4">
        <v>42</v>
      </c>
      <c r="W1173" s="4">
        <v>66</v>
      </c>
    </row>
    <row r="1174" spans="1:23" ht="11.25" customHeight="1" x14ac:dyDescent="0.25">
      <c r="A1174" s="4" t="s">
        <v>57</v>
      </c>
      <c r="B1174" s="4" t="s">
        <v>41</v>
      </c>
      <c r="C1174" s="4" t="s">
        <v>42</v>
      </c>
      <c r="D1174" s="4" t="s">
        <v>46</v>
      </c>
      <c r="E1174" s="4" t="s">
        <v>25</v>
      </c>
      <c r="F1174" s="4" t="s">
        <v>25</v>
      </c>
      <c r="G1174" s="4" t="s">
        <v>25</v>
      </c>
      <c r="H1174" s="4" t="s">
        <v>34</v>
      </c>
      <c r="I1174" s="5">
        <v>44743</v>
      </c>
      <c r="J1174" s="6">
        <v>0</v>
      </c>
      <c r="K1174" s="6">
        <v>0</v>
      </c>
      <c r="L1174" s="6">
        <v>15.151999999999999</v>
      </c>
      <c r="M1174" s="6">
        <v>15.151999999999999</v>
      </c>
      <c r="N1174" s="6">
        <v>15.151999999999999</v>
      </c>
      <c r="O1174" s="6">
        <v>15.151999999999999</v>
      </c>
      <c r="P1174" s="6">
        <v>0</v>
      </c>
      <c r="Q1174" s="4" t="s">
        <v>26</v>
      </c>
      <c r="R1174" s="4">
        <v>0</v>
      </c>
      <c r="S1174" s="4" t="s">
        <v>359</v>
      </c>
      <c r="T1174" s="4" t="s">
        <v>624</v>
      </c>
      <c r="U1174" s="4">
        <v>0</v>
      </c>
      <c r="V1174" s="4">
        <v>42</v>
      </c>
      <c r="W1174" s="4">
        <v>66</v>
      </c>
    </row>
    <row r="1175" spans="1:23" ht="11.25" customHeight="1" x14ac:dyDescent="0.25">
      <c r="A1175" s="4" t="s">
        <v>21</v>
      </c>
      <c r="B1175" s="4" t="s">
        <v>41</v>
      </c>
      <c r="C1175" s="4" t="s">
        <v>42</v>
      </c>
      <c r="D1175" s="4" t="s">
        <v>45</v>
      </c>
      <c r="E1175" s="4" t="s">
        <v>53</v>
      </c>
      <c r="F1175" s="4" t="s">
        <v>55</v>
      </c>
      <c r="G1175" s="4" t="s">
        <v>25</v>
      </c>
      <c r="H1175" s="4" t="s">
        <v>35</v>
      </c>
      <c r="I1175" s="5">
        <v>44409</v>
      </c>
      <c r="J1175" s="6">
        <v>0</v>
      </c>
      <c r="K1175" s="6">
        <v>0</v>
      </c>
      <c r="L1175" s="6">
        <v>1077.326</v>
      </c>
      <c r="M1175" s="6">
        <v>107.73260000000001</v>
      </c>
      <c r="N1175" s="6">
        <v>1077.326</v>
      </c>
      <c r="O1175" s="6">
        <v>107.73260000000001</v>
      </c>
      <c r="P1175" s="6">
        <v>0</v>
      </c>
      <c r="Q1175" s="4" t="s">
        <v>26</v>
      </c>
      <c r="R1175" s="4">
        <v>0</v>
      </c>
      <c r="S1175" s="4" t="s">
        <v>324</v>
      </c>
      <c r="T1175" s="4" t="s">
        <v>601</v>
      </c>
      <c r="U1175" s="4">
        <v>0</v>
      </c>
      <c r="V1175" s="4">
        <v>44</v>
      </c>
      <c r="W1175" s="4">
        <v>67</v>
      </c>
    </row>
    <row r="1176" spans="1:23" ht="11.25" customHeight="1" x14ac:dyDescent="0.25">
      <c r="A1176" s="4" t="s">
        <v>27</v>
      </c>
      <c r="B1176" s="4" t="s">
        <v>41</v>
      </c>
      <c r="C1176" s="4" t="s">
        <v>42</v>
      </c>
      <c r="D1176" s="4" t="s">
        <v>45</v>
      </c>
      <c r="E1176" s="4" t="s">
        <v>53</v>
      </c>
      <c r="F1176" s="4" t="s">
        <v>55</v>
      </c>
      <c r="G1176" s="4" t="s">
        <v>25</v>
      </c>
      <c r="H1176" s="4" t="s">
        <v>35</v>
      </c>
      <c r="I1176" s="5">
        <v>44409</v>
      </c>
      <c r="J1176" s="6">
        <v>0</v>
      </c>
      <c r="K1176" s="6">
        <v>0</v>
      </c>
      <c r="L1176" s="6">
        <v>-18.64</v>
      </c>
      <c r="M1176" s="6">
        <v>-1.8640000000000001</v>
      </c>
      <c r="N1176" s="6">
        <v>-18.64</v>
      </c>
      <c r="O1176" s="6">
        <v>-1.8640000000000001</v>
      </c>
      <c r="P1176" s="6">
        <v>0</v>
      </c>
      <c r="Q1176" s="4" t="s">
        <v>26</v>
      </c>
      <c r="R1176" s="4">
        <v>0</v>
      </c>
      <c r="S1176" s="4" t="s">
        <v>324</v>
      </c>
      <c r="T1176" s="4" t="s">
        <v>601</v>
      </c>
      <c r="U1176" s="4">
        <v>0</v>
      </c>
      <c r="V1176" s="4">
        <v>44</v>
      </c>
      <c r="W1176" s="4">
        <v>67</v>
      </c>
    </row>
    <row r="1177" spans="1:23" ht="11.25" customHeight="1" x14ac:dyDescent="0.25">
      <c r="A1177" s="4" t="s">
        <v>28</v>
      </c>
      <c r="B1177" s="4" t="s">
        <v>41</v>
      </c>
      <c r="C1177" s="4" t="s">
        <v>42</v>
      </c>
      <c r="D1177" s="4" t="s">
        <v>45</v>
      </c>
      <c r="E1177" s="4" t="s">
        <v>53</v>
      </c>
      <c r="F1177" s="4" t="s">
        <v>55</v>
      </c>
      <c r="G1177" s="4" t="s">
        <v>25</v>
      </c>
      <c r="H1177" s="4" t="s">
        <v>35</v>
      </c>
      <c r="I1177" s="5">
        <v>44409</v>
      </c>
      <c r="J1177" s="6">
        <v>0</v>
      </c>
      <c r="K1177" s="6">
        <v>0</v>
      </c>
      <c r="L1177" s="6">
        <v>29.556000000000001</v>
      </c>
      <c r="M1177" s="6">
        <v>2.9556</v>
      </c>
      <c r="N1177" s="6">
        <v>29.556000000000001</v>
      </c>
      <c r="O1177" s="6">
        <v>2.9556</v>
      </c>
      <c r="P1177" s="6">
        <v>0</v>
      </c>
      <c r="Q1177" s="4" t="s">
        <v>26</v>
      </c>
      <c r="R1177" s="4">
        <v>0</v>
      </c>
      <c r="S1177" s="4" t="s">
        <v>324</v>
      </c>
      <c r="T1177" s="4" t="s">
        <v>601</v>
      </c>
      <c r="U1177" s="4">
        <v>0</v>
      </c>
      <c r="V1177" s="4">
        <v>44</v>
      </c>
      <c r="W1177" s="4">
        <v>67</v>
      </c>
    </row>
    <row r="1178" spans="1:23" ht="11.25" customHeight="1" x14ac:dyDescent="0.25">
      <c r="A1178" s="4" t="s">
        <v>28</v>
      </c>
      <c r="B1178" s="4" t="s">
        <v>41</v>
      </c>
      <c r="C1178" s="4" t="s">
        <v>42</v>
      </c>
      <c r="D1178" s="4" t="s">
        <v>45</v>
      </c>
      <c r="E1178" s="4" t="s">
        <v>53</v>
      </c>
      <c r="F1178" s="4" t="s">
        <v>55</v>
      </c>
      <c r="G1178" s="4" t="s">
        <v>25</v>
      </c>
      <c r="H1178" s="4" t="s">
        <v>35</v>
      </c>
      <c r="I1178" s="5">
        <v>44409</v>
      </c>
      <c r="J1178" s="6">
        <v>0</v>
      </c>
      <c r="K1178" s="6">
        <v>0</v>
      </c>
      <c r="L1178" s="6">
        <v>-26.67</v>
      </c>
      <c r="M1178" s="6">
        <v>-2.6669999999999998</v>
      </c>
      <c r="N1178" s="6">
        <v>-26.67</v>
      </c>
      <c r="O1178" s="6">
        <v>-2.6669999999999998</v>
      </c>
      <c r="P1178" s="6">
        <v>0</v>
      </c>
      <c r="Q1178" s="4" t="s">
        <v>26</v>
      </c>
      <c r="R1178" s="4">
        <v>0</v>
      </c>
      <c r="S1178" s="4" t="s">
        <v>324</v>
      </c>
      <c r="T1178" s="4" t="s">
        <v>601</v>
      </c>
      <c r="U1178" s="4">
        <v>0</v>
      </c>
      <c r="V1178" s="4">
        <v>44</v>
      </c>
      <c r="W1178" s="4">
        <v>67</v>
      </c>
    </row>
    <row r="1179" spans="1:23" ht="11.25" customHeight="1" x14ac:dyDescent="0.25">
      <c r="A1179" s="4" t="s">
        <v>21</v>
      </c>
      <c r="B1179" s="4" t="s">
        <v>41</v>
      </c>
      <c r="C1179" s="4" t="s">
        <v>42</v>
      </c>
      <c r="D1179" s="4" t="s">
        <v>45</v>
      </c>
      <c r="E1179" s="4" t="s">
        <v>53</v>
      </c>
      <c r="F1179" s="4" t="s">
        <v>55</v>
      </c>
      <c r="G1179" s="4" t="s">
        <v>25</v>
      </c>
      <c r="H1179" s="4" t="s">
        <v>35</v>
      </c>
      <c r="I1179" s="5">
        <v>44440</v>
      </c>
      <c r="J1179" s="6">
        <v>0</v>
      </c>
      <c r="K1179" s="6">
        <v>0</v>
      </c>
      <c r="L1179" s="6">
        <v>1455.296</v>
      </c>
      <c r="M1179" s="6">
        <v>145.52959999999999</v>
      </c>
      <c r="N1179" s="6">
        <v>1455.296</v>
      </c>
      <c r="O1179" s="6">
        <v>145.52959999999999</v>
      </c>
      <c r="P1179" s="6">
        <v>0</v>
      </c>
      <c r="Q1179" s="4" t="s">
        <v>26</v>
      </c>
      <c r="R1179" s="4">
        <v>0</v>
      </c>
      <c r="S1179" s="4" t="s">
        <v>325</v>
      </c>
      <c r="T1179" s="4" t="s">
        <v>602</v>
      </c>
      <c r="U1179" s="4">
        <v>0</v>
      </c>
      <c r="V1179" s="4">
        <v>44</v>
      </c>
      <c r="W1179" s="4">
        <v>67</v>
      </c>
    </row>
    <row r="1180" spans="1:23" ht="11.25" customHeight="1" x14ac:dyDescent="0.25">
      <c r="A1180" s="4" t="s">
        <v>28</v>
      </c>
      <c r="B1180" s="4" t="s">
        <v>41</v>
      </c>
      <c r="C1180" s="4" t="s">
        <v>42</v>
      </c>
      <c r="D1180" s="4" t="s">
        <v>45</v>
      </c>
      <c r="E1180" s="4" t="s">
        <v>53</v>
      </c>
      <c r="F1180" s="4" t="s">
        <v>55</v>
      </c>
      <c r="G1180" s="4" t="s">
        <v>25</v>
      </c>
      <c r="H1180" s="4" t="s">
        <v>35</v>
      </c>
      <c r="I1180" s="5">
        <v>44440</v>
      </c>
      <c r="J1180" s="6">
        <v>0</v>
      </c>
      <c r="K1180" s="6">
        <v>0</v>
      </c>
      <c r="L1180" s="6">
        <v>0.25600000000000001</v>
      </c>
      <c r="M1180" s="6">
        <v>2.5600000000000001E-2</v>
      </c>
      <c r="N1180" s="6">
        <v>0.25600000000000001</v>
      </c>
      <c r="O1180" s="6">
        <v>2.5600000000000001E-2</v>
      </c>
      <c r="P1180" s="6">
        <v>0</v>
      </c>
      <c r="Q1180" s="4" t="s">
        <v>26</v>
      </c>
      <c r="R1180" s="4">
        <v>0</v>
      </c>
      <c r="S1180" s="4" t="s">
        <v>325</v>
      </c>
      <c r="T1180" s="4" t="s">
        <v>602</v>
      </c>
      <c r="U1180" s="4">
        <v>0</v>
      </c>
      <c r="V1180" s="4">
        <v>44</v>
      </c>
      <c r="W1180" s="4">
        <v>67</v>
      </c>
    </row>
    <row r="1181" spans="1:23" ht="11.25" customHeight="1" x14ac:dyDescent="0.25">
      <c r="A1181" s="4" t="s">
        <v>21</v>
      </c>
      <c r="B1181" s="4" t="s">
        <v>41</v>
      </c>
      <c r="C1181" s="4" t="s">
        <v>42</v>
      </c>
      <c r="D1181" s="4" t="s">
        <v>45</v>
      </c>
      <c r="E1181" s="4" t="s">
        <v>53</v>
      </c>
      <c r="F1181" s="4" t="s">
        <v>55</v>
      </c>
      <c r="G1181" s="4" t="s">
        <v>25</v>
      </c>
      <c r="H1181" s="4" t="s">
        <v>35</v>
      </c>
      <c r="I1181" s="5">
        <v>44470</v>
      </c>
      <c r="J1181" s="6">
        <v>0</v>
      </c>
      <c r="K1181" s="6">
        <v>0</v>
      </c>
      <c r="L1181" s="6">
        <v>1622.479</v>
      </c>
      <c r="M1181" s="6">
        <v>162.24789999999999</v>
      </c>
      <c r="N1181" s="6">
        <v>1622.479</v>
      </c>
      <c r="O1181" s="6">
        <v>162.24789999999999</v>
      </c>
      <c r="P1181" s="6">
        <v>0</v>
      </c>
      <c r="Q1181" s="4" t="s">
        <v>26</v>
      </c>
      <c r="R1181" s="4">
        <v>0</v>
      </c>
      <c r="S1181" s="4" t="s">
        <v>326</v>
      </c>
      <c r="T1181" s="4" t="s">
        <v>603</v>
      </c>
      <c r="U1181" s="4">
        <v>0</v>
      </c>
      <c r="V1181" s="4">
        <v>44</v>
      </c>
      <c r="W1181" s="4">
        <v>67</v>
      </c>
    </row>
    <row r="1182" spans="1:23" ht="11.25" customHeight="1" x14ac:dyDescent="0.25">
      <c r="A1182" s="4" t="s">
        <v>27</v>
      </c>
      <c r="B1182" s="4" t="s">
        <v>41</v>
      </c>
      <c r="C1182" s="4" t="s">
        <v>42</v>
      </c>
      <c r="D1182" s="4" t="s">
        <v>45</v>
      </c>
      <c r="E1182" s="4" t="s">
        <v>53</v>
      </c>
      <c r="F1182" s="4" t="s">
        <v>55</v>
      </c>
      <c r="G1182" s="4" t="s">
        <v>25</v>
      </c>
      <c r="H1182" s="4" t="s">
        <v>35</v>
      </c>
      <c r="I1182" s="5">
        <v>44470</v>
      </c>
      <c r="J1182" s="6">
        <v>0</v>
      </c>
      <c r="K1182" s="6">
        <v>0</v>
      </c>
      <c r="L1182" s="6">
        <v>-58.344999999999999</v>
      </c>
      <c r="M1182" s="6">
        <v>-5.8345000000000002</v>
      </c>
      <c r="N1182" s="6">
        <v>-58.344999999999999</v>
      </c>
      <c r="O1182" s="6">
        <v>-5.8345000000000002</v>
      </c>
      <c r="P1182" s="6">
        <v>0</v>
      </c>
      <c r="Q1182" s="4" t="s">
        <v>26</v>
      </c>
      <c r="R1182" s="4">
        <v>0</v>
      </c>
      <c r="S1182" s="4" t="s">
        <v>326</v>
      </c>
      <c r="T1182" s="4" t="s">
        <v>603</v>
      </c>
      <c r="U1182" s="4">
        <v>0</v>
      </c>
      <c r="V1182" s="4">
        <v>44</v>
      </c>
      <c r="W1182" s="4">
        <v>67</v>
      </c>
    </row>
    <row r="1183" spans="1:23" ht="11.25" customHeight="1" x14ac:dyDescent="0.25">
      <c r="A1183" s="4" t="s">
        <v>28</v>
      </c>
      <c r="B1183" s="4" t="s">
        <v>41</v>
      </c>
      <c r="C1183" s="4" t="s">
        <v>42</v>
      </c>
      <c r="D1183" s="4" t="s">
        <v>45</v>
      </c>
      <c r="E1183" s="4" t="s">
        <v>53</v>
      </c>
      <c r="F1183" s="4" t="s">
        <v>55</v>
      </c>
      <c r="G1183" s="4" t="s">
        <v>25</v>
      </c>
      <c r="H1183" s="4" t="s">
        <v>35</v>
      </c>
      <c r="I1183" s="5">
        <v>44470</v>
      </c>
      <c r="J1183" s="6">
        <v>0</v>
      </c>
      <c r="K1183" s="6">
        <v>0</v>
      </c>
      <c r="L1183" s="6">
        <v>7.6360000000000001</v>
      </c>
      <c r="M1183" s="6">
        <v>0.76359999999999995</v>
      </c>
      <c r="N1183" s="6">
        <v>7.6360000000000001</v>
      </c>
      <c r="O1183" s="6">
        <v>0.76359999999999995</v>
      </c>
      <c r="P1183" s="6">
        <v>0</v>
      </c>
      <c r="Q1183" s="4" t="s">
        <v>26</v>
      </c>
      <c r="R1183" s="4">
        <v>0</v>
      </c>
      <c r="S1183" s="4" t="s">
        <v>326</v>
      </c>
      <c r="T1183" s="4" t="s">
        <v>603</v>
      </c>
      <c r="U1183" s="4">
        <v>0</v>
      </c>
      <c r="V1183" s="4">
        <v>44</v>
      </c>
      <c r="W1183" s="4">
        <v>67</v>
      </c>
    </row>
    <row r="1184" spans="1:23" ht="11.25" customHeight="1" x14ac:dyDescent="0.25">
      <c r="A1184" s="4" t="s">
        <v>21</v>
      </c>
      <c r="B1184" s="4" t="s">
        <v>41</v>
      </c>
      <c r="C1184" s="4" t="s">
        <v>42</v>
      </c>
      <c r="D1184" s="4" t="s">
        <v>45</v>
      </c>
      <c r="E1184" s="4" t="s">
        <v>53</v>
      </c>
      <c r="F1184" s="4" t="s">
        <v>55</v>
      </c>
      <c r="G1184" s="4" t="s">
        <v>25</v>
      </c>
      <c r="H1184" s="4" t="s">
        <v>35</v>
      </c>
      <c r="I1184" s="5">
        <v>44501</v>
      </c>
      <c r="J1184" s="6">
        <v>0</v>
      </c>
      <c r="K1184" s="6">
        <v>0</v>
      </c>
      <c r="L1184" s="6">
        <v>1939.4159999999999</v>
      </c>
      <c r="M1184" s="6">
        <v>193.94159999999999</v>
      </c>
      <c r="N1184" s="6">
        <v>1939.4159999999999</v>
      </c>
      <c r="O1184" s="6">
        <v>193.94159999999999</v>
      </c>
      <c r="P1184" s="6">
        <v>0</v>
      </c>
      <c r="Q1184" s="4" t="s">
        <v>26</v>
      </c>
      <c r="R1184" s="4">
        <v>0</v>
      </c>
      <c r="S1184" s="4" t="s">
        <v>327</v>
      </c>
      <c r="T1184" s="4" t="s">
        <v>604</v>
      </c>
      <c r="U1184" s="4">
        <v>0</v>
      </c>
      <c r="V1184" s="4">
        <v>44</v>
      </c>
      <c r="W1184" s="4">
        <v>67</v>
      </c>
    </row>
    <row r="1185" spans="1:23" ht="11.25" customHeight="1" x14ac:dyDescent="0.25">
      <c r="A1185" s="4" t="s">
        <v>27</v>
      </c>
      <c r="B1185" s="4" t="s">
        <v>41</v>
      </c>
      <c r="C1185" s="4" t="s">
        <v>42</v>
      </c>
      <c r="D1185" s="4" t="s">
        <v>45</v>
      </c>
      <c r="E1185" s="4" t="s">
        <v>53</v>
      </c>
      <c r="F1185" s="4" t="s">
        <v>55</v>
      </c>
      <c r="G1185" s="4" t="s">
        <v>25</v>
      </c>
      <c r="H1185" s="4" t="s">
        <v>35</v>
      </c>
      <c r="I1185" s="5">
        <v>44501</v>
      </c>
      <c r="J1185" s="6">
        <v>0</v>
      </c>
      <c r="K1185" s="6">
        <v>0</v>
      </c>
      <c r="L1185" s="6">
        <v>-34.674999999999997</v>
      </c>
      <c r="M1185" s="6">
        <v>-3.4674999999999998</v>
      </c>
      <c r="N1185" s="6">
        <v>-34.674999999999997</v>
      </c>
      <c r="O1185" s="6">
        <v>-3.4674999999999998</v>
      </c>
      <c r="P1185" s="6">
        <v>0</v>
      </c>
      <c r="Q1185" s="4" t="s">
        <v>26</v>
      </c>
      <c r="R1185" s="4">
        <v>0</v>
      </c>
      <c r="S1185" s="4" t="s">
        <v>327</v>
      </c>
      <c r="T1185" s="4" t="s">
        <v>604</v>
      </c>
      <c r="U1185" s="4">
        <v>0</v>
      </c>
      <c r="V1185" s="4">
        <v>44</v>
      </c>
      <c r="W1185" s="4">
        <v>67</v>
      </c>
    </row>
    <row r="1186" spans="1:23" ht="11.25" customHeight="1" x14ac:dyDescent="0.25">
      <c r="A1186" s="4" t="s">
        <v>28</v>
      </c>
      <c r="B1186" s="4" t="s">
        <v>41</v>
      </c>
      <c r="C1186" s="4" t="s">
        <v>42</v>
      </c>
      <c r="D1186" s="4" t="s">
        <v>45</v>
      </c>
      <c r="E1186" s="4" t="s">
        <v>53</v>
      </c>
      <c r="F1186" s="4" t="s">
        <v>55</v>
      </c>
      <c r="G1186" s="4" t="s">
        <v>25</v>
      </c>
      <c r="H1186" s="4" t="s">
        <v>35</v>
      </c>
      <c r="I1186" s="5">
        <v>44501</v>
      </c>
      <c r="J1186" s="6">
        <v>0</v>
      </c>
      <c r="K1186" s="6">
        <v>0</v>
      </c>
      <c r="L1186" s="6">
        <v>16.544</v>
      </c>
      <c r="M1186" s="6">
        <v>1.6544000000000001</v>
      </c>
      <c r="N1186" s="6">
        <v>16.544</v>
      </c>
      <c r="O1186" s="6">
        <v>1.6544000000000001</v>
      </c>
      <c r="P1186" s="6">
        <v>0</v>
      </c>
      <c r="Q1186" s="4" t="s">
        <v>26</v>
      </c>
      <c r="R1186" s="4">
        <v>0</v>
      </c>
      <c r="S1186" s="4" t="s">
        <v>327</v>
      </c>
      <c r="T1186" s="4" t="s">
        <v>604</v>
      </c>
      <c r="U1186" s="4">
        <v>0</v>
      </c>
      <c r="V1186" s="4">
        <v>44</v>
      </c>
      <c r="W1186" s="4">
        <v>67</v>
      </c>
    </row>
    <row r="1187" spans="1:23" ht="11.25" customHeight="1" x14ac:dyDescent="0.25">
      <c r="A1187" s="4" t="s">
        <v>28</v>
      </c>
      <c r="B1187" s="4" t="s">
        <v>41</v>
      </c>
      <c r="C1187" s="4" t="s">
        <v>42</v>
      </c>
      <c r="D1187" s="4" t="s">
        <v>45</v>
      </c>
      <c r="E1187" s="4" t="s">
        <v>53</v>
      </c>
      <c r="F1187" s="4" t="s">
        <v>55</v>
      </c>
      <c r="G1187" s="4" t="s">
        <v>25</v>
      </c>
      <c r="H1187" s="4" t="s">
        <v>35</v>
      </c>
      <c r="I1187" s="5">
        <v>44501</v>
      </c>
      <c r="J1187" s="6">
        <v>0</v>
      </c>
      <c r="K1187" s="6">
        <v>0</v>
      </c>
      <c r="L1187" s="6">
        <v>41.655999999999999</v>
      </c>
      <c r="M1187" s="6">
        <v>4.1656000000000004</v>
      </c>
      <c r="N1187" s="6">
        <v>41.655999999999999</v>
      </c>
      <c r="O1187" s="6">
        <v>4.1656000000000004</v>
      </c>
      <c r="P1187" s="6">
        <v>0</v>
      </c>
      <c r="Q1187" s="4" t="s">
        <v>26</v>
      </c>
      <c r="R1187" s="4">
        <v>0</v>
      </c>
      <c r="S1187" s="4" t="s">
        <v>327</v>
      </c>
      <c r="T1187" s="4" t="s">
        <v>604</v>
      </c>
      <c r="U1187" s="4">
        <v>0</v>
      </c>
      <c r="V1187" s="4">
        <v>44</v>
      </c>
      <c r="W1187" s="4">
        <v>67</v>
      </c>
    </row>
    <row r="1188" spans="1:23" ht="11.25" customHeight="1" x14ac:dyDescent="0.25">
      <c r="A1188" s="4" t="s">
        <v>21</v>
      </c>
      <c r="B1188" s="4" t="s">
        <v>41</v>
      </c>
      <c r="C1188" s="4" t="s">
        <v>42</v>
      </c>
      <c r="D1188" s="4" t="s">
        <v>45</v>
      </c>
      <c r="E1188" s="4" t="s">
        <v>53</v>
      </c>
      <c r="F1188" s="4" t="s">
        <v>55</v>
      </c>
      <c r="G1188" s="4" t="s">
        <v>25</v>
      </c>
      <c r="H1188" s="4" t="s">
        <v>35</v>
      </c>
      <c r="I1188" s="5">
        <v>44531</v>
      </c>
      <c r="J1188" s="6">
        <v>0</v>
      </c>
      <c r="K1188" s="6">
        <v>0</v>
      </c>
      <c r="L1188" s="6">
        <v>2144.2049999999999</v>
      </c>
      <c r="M1188" s="6">
        <v>214.4205</v>
      </c>
      <c r="N1188" s="6">
        <v>2144.2049999999999</v>
      </c>
      <c r="O1188" s="6">
        <v>214.4205</v>
      </c>
      <c r="P1188" s="6">
        <v>0</v>
      </c>
      <c r="Q1188" s="4" t="s">
        <v>26</v>
      </c>
      <c r="R1188" s="4">
        <v>0</v>
      </c>
      <c r="S1188" s="4" t="s">
        <v>328</v>
      </c>
      <c r="T1188" s="4" t="s">
        <v>605</v>
      </c>
      <c r="U1188" s="4">
        <v>0</v>
      </c>
      <c r="V1188" s="4">
        <v>44</v>
      </c>
      <c r="W1188" s="4">
        <v>67</v>
      </c>
    </row>
    <row r="1189" spans="1:23" ht="11.25" customHeight="1" x14ac:dyDescent="0.25">
      <c r="A1189" s="4" t="s">
        <v>27</v>
      </c>
      <c r="B1189" s="4" t="s">
        <v>41</v>
      </c>
      <c r="C1189" s="4" t="s">
        <v>42</v>
      </c>
      <c r="D1189" s="4" t="s">
        <v>45</v>
      </c>
      <c r="E1189" s="4" t="s">
        <v>53</v>
      </c>
      <c r="F1189" s="4" t="s">
        <v>55</v>
      </c>
      <c r="G1189" s="4" t="s">
        <v>25</v>
      </c>
      <c r="H1189" s="4" t="s">
        <v>35</v>
      </c>
      <c r="I1189" s="5">
        <v>44531</v>
      </c>
      <c r="J1189" s="6">
        <v>0</v>
      </c>
      <c r="K1189" s="6">
        <v>0</v>
      </c>
      <c r="L1189" s="6">
        <v>22.911999999999999</v>
      </c>
      <c r="M1189" s="6">
        <v>2.2911999999999999</v>
      </c>
      <c r="N1189" s="6">
        <v>22.911999999999999</v>
      </c>
      <c r="O1189" s="6">
        <v>2.2911999999999999</v>
      </c>
      <c r="P1189" s="6">
        <v>0</v>
      </c>
      <c r="Q1189" s="4" t="s">
        <v>26</v>
      </c>
      <c r="R1189" s="4">
        <v>0</v>
      </c>
      <c r="S1189" s="4" t="s">
        <v>328</v>
      </c>
      <c r="T1189" s="4" t="s">
        <v>605</v>
      </c>
      <c r="U1189" s="4">
        <v>0</v>
      </c>
      <c r="V1189" s="4">
        <v>44</v>
      </c>
      <c r="W1189" s="4">
        <v>67</v>
      </c>
    </row>
    <row r="1190" spans="1:23" ht="11.25" customHeight="1" x14ac:dyDescent="0.25">
      <c r="A1190" s="4" t="s">
        <v>28</v>
      </c>
      <c r="B1190" s="4" t="s">
        <v>41</v>
      </c>
      <c r="C1190" s="4" t="s">
        <v>42</v>
      </c>
      <c r="D1190" s="4" t="s">
        <v>45</v>
      </c>
      <c r="E1190" s="4" t="s">
        <v>53</v>
      </c>
      <c r="F1190" s="4" t="s">
        <v>55</v>
      </c>
      <c r="G1190" s="4" t="s">
        <v>25</v>
      </c>
      <c r="H1190" s="4" t="s">
        <v>35</v>
      </c>
      <c r="I1190" s="5">
        <v>44531</v>
      </c>
      <c r="J1190" s="6">
        <v>0</v>
      </c>
      <c r="K1190" s="6">
        <v>0</v>
      </c>
      <c r="L1190" s="6">
        <v>20.131</v>
      </c>
      <c r="M1190" s="6">
        <v>2.0131000000000001</v>
      </c>
      <c r="N1190" s="6">
        <v>20.131</v>
      </c>
      <c r="O1190" s="6">
        <v>2.0131000000000001</v>
      </c>
      <c r="P1190" s="6">
        <v>0</v>
      </c>
      <c r="Q1190" s="4" t="s">
        <v>26</v>
      </c>
      <c r="R1190" s="4">
        <v>0</v>
      </c>
      <c r="S1190" s="4" t="s">
        <v>328</v>
      </c>
      <c r="T1190" s="4" t="s">
        <v>605</v>
      </c>
      <c r="U1190" s="4">
        <v>0</v>
      </c>
      <c r="V1190" s="4">
        <v>44</v>
      </c>
      <c r="W1190" s="4">
        <v>67</v>
      </c>
    </row>
    <row r="1191" spans="1:23" ht="11.25" customHeight="1" x14ac:dyDescent="0.25">
      <c r="A1191" s="4" t="s">
        <v>21</v>
      </c>
      <c r="B1191" s="4" t="s">
        <v>41</v>
      </c>
      <c r="C1191" s="4" t="s">
        <v>42</v>
      </c>
      <c r="D1191" s="4" t="s">
        <v>45</v>
      </c>
      <c r="E1191" s="4" t="s">
        <v>53</v>
      </c>
      <c r="F1191" s="4" t="s">
        <v>55</v>
      </c>
      <c r="G1191" s="4" t="s">
        <v>25</v>
      </c>
      <c r="H1191" s="4" t="s">
        <v>35</v>
      </c>
      <c r="I1191" s="5">
        <v>44562</v>
      </c>
      <c r="J1191" s="6">
        <v>0</v>
      </c>
      <c r="K1191" s="6">
        <v>0</v>
      </c>
      <c r="L1191" s="6">
        <v>1625.114</v>
      </c>
      <c r="M1191" s="6">
        <v>162.51140000000001</v>
      </c>
      <c r="N1191" s="6">
        <v>1625.114</v>
      </c>
      <c r="O1191" s="6">
        <v>162.51140000000001</v>
      </c>
      <c r="P1191" s="6">
        <v>0</v>
      </c>
      <c r="Q1191" s="4" t="s">
        <v>26</v>
      </c>
      <c r="R1191" s="4">
        <v>0</v>
      </c>
      <c r="S1191" s="4" t="s">
        <v>329</v>
      </c>
      <c r="T1191" s="4" t="s">
        <v>606</v>
      </c>
      <c r="U1191" s="4">
        <v>0</v>
      </c>
      <c r="V1191" s="4">
        <v>44</v>
      </c>
      <c r="W1191" s="4">
        <v>67</v>
      </c>
    </row>
    <row r="1192" spans="1:23" ht="11.25" customHeight="1" x14ac:dyDescent="0.25">
      <c r="A1192" s="4" t="s">
        <v>27</v>
      </c>
      <c r="B1192" s="4" t="s">
        <v>41</v>
      </c>
      <c r="C1192" s="4" t="s">
        <v>42</v>
      </c>
      <c r="D1192" s="4" t="s">
        <v>45</v>
      </c>
      <c r="E1192" s="4" t="s">
        <v>53</v>
      </c>
      <c r="F1192" s="4" t="s">
        <v>55</v>
      </c>
      <c r="G1192" s="4" t="s">
        <v>25</v>
      </c>
      <c r="H1192" s="4" t="s">
        <v>35</v>
      </c>
      <c r="I1192" s="5">
        <v>44562</v>
      </c>
      <c r="J1192" s="6">
        <v>0</v>
      </c>
      <c r="K1192" s="6">
        <v>0</v>
      </c>
      <c r="L1192" s="6">
        <v>-55.65</v>
      </c>
      <c r="M1192" s="6">
        <v>-5.5650000000000004</v>
      </c>
      <c r="N1192" s="6">
        <v>-55.65</v>
      </c>
      <c r="O1192" s="6">
        <v>-5.5650000000000004</v>
      </c>
      <c r="P1192" s="6">
        <v>0</v>
      </c>
      <c r="Q1192" s="4" t="s">
        <v>26</v>
      </c>
      <c r="R1192" s="4">
        <v>0</v>
      </c>
      <c r="S1192" s="4" t="s">
        <v>329</v>
      </c>
      <c r="T1192" s="4" t="s">
        <v>606</v>
      </c>
      <c r="U1192" s="4">
        <v>0</v>
      </c>
      <c r="V1192" s="4">
        <v>44</v>
      </c>
      <c r="W1192" s="4">
        <v>67</v>
      </c>
    </row>
    <row r="1193" spans="1:23" ht="11.25" customHeight="1" x14ac:dyDescent="0.25">
      <c r="A1193" s="4" t="s">
        <v>28</v>
      </c>
      <c r="B1193" s="4" t="s">
        <v>41</v>
      </c>
      <c r="C1193" s="4" t="s">
        <v>42</v>
      </c>
      <c r="D1193" s="4" t="s">
        <v>45</v>
      </c>
      <c r="E1193" s="4" t="s">
        <v>53</v>
      </c>
      <c r="F1193" s="4" t="s">
        <v>55</v>
      </c>
      <c r="G1193" s="4" t="s">
        <v>25</v>
      </c>
      <c r="H1193" s="4" t="s">
        <v>35</v>
      </c>
      <c r="I1193" s="5">
        <v>44562</v>
      </c>
      <c r="J1193" s="6">
        <v>0</v>
      </c>
      <c r="K1193" s="6">
        <v>0</v>
      </c>
      <c r="L1193" s="6">
        <v>7.0730000000000004</v>
      </c>
      <c r="M1193" s="6">
        <v>0.70730000000000004</v>
      </c>
      <c r="N1193" s="6">
        <v>7.0730000000000004</v>
      </c>
      <c r="O1193" s="6">
        <v>0.70730000000000004</v>
      </c>
      <c r="P1193" s="6">
        <v>0</v>
      </c>
      <c r="Q1193" s="4" t="s">
        <v>26</v>
      </c>
      <c r="R1193" s="4">
        <v>0</v>
      </c>
      <c r="S1193" s="4" t="s">
        <v>329</v>
      </c>
      <c r="T1193" s="4" t="s">
        <v>606</v>
      </c>
      <c r="U1193" s="4">
        <v>0</v>
      </c>
      <c r="V1193" s="4">
        <v>44</v>
      </c>
      <c r="W1193" s="4">
        <v>67</v>
      </c>
    </row>
    <row r="1194" spans="1:23" ht="11.25" customHeight="1" x14ac:dyDescent="0.25">
      <c r="A1194" s="4" t="s">
        <v>21</v>
      </c>
      <c r="B1194" s="4" t="s">
        <v>41</v>
      </c>
      <c r="C1194" s="4" t="s">
        <v>42</v>
      </c>
      <c r="D1194" s="4" t="s">
        <v>45</v>
      </c>
      <c r="E1194" s="4" t="s">
        <v>53</v>
      </c>
      <c r="F1194" s="4" t="s">
        <v>55</v>
      </c>
      <c r="G1194" s="4" t="s">
        <v>25</v>
      </c>
      <c r="H1194" s="4" t="s">
        <v>35</v>
      </c>
      <c r="I1194" s="5">
        <v>44593</v>
      </c>
      <c r="J1194" s="6">
        <v>0</v>
      </c>
      <c r="K1194" s="6">
        <v>0</v>
      </c>
      <c r="L1194" s="6">
        <v>1502.08</v>
      </c>
      <c r="M1194" s="6">
        <v>150.208</v>
      </c>
      <c r="N1194" s="6">
        <v>1502.08</v>
      </c>
      <c r="O1194" s="6">
        <v>150.208</v>
      </c>
      <c r="P1194" s="6">
        <v>0</v>
      </c>
      <c r="Q1194" s="4" t="s">
        <v>26</v>
      </c>
      <c r="R1194" s="4">
        <v>0</v>
      </c>
      <c r="S1194" s="4" t="s">
        <v>330</v>
      </c>
      <c r="T1194" s="4" t="s">
        <v>607</v>
      </c>
      <c r="U1194" s="4">
        <v>0</v>
      </c>
      <c r="V1194" s="4">
        <v>44</v>
      </c>
      <c r="W1194" s="4">
        <v>67</v>
      </c>
    </row>
    <row r="1195" spans="1:23" ht="11.25" customHeight="1" x14ac:dyDescent="0.25">
      <c r="A1195" s="4" t="s">
        <v>27</v>
      </c>
      <c r="B1195" s="4" t="s">
        <v>41</v>
      </c>
      <c r="C1195" s="4" t="s">
        <v>42</v>
      </c>
      <c r="D1195" s="4" t="s">
        <v>45</v>
      </c>
      <c r="E1195" s="4" t="s">
        <v>53</v>
      </c>
      <c r="F1195" s="4" t="s">
        <v>55</v>
      </c>
      <c r="G1195" s="4" t="s">
        <v>25</v>
      </c>
      <c r="H1195" s="4" t="s">
        <v>35</v>
      </c>
      <c r="I1195" s="5">
        <v>44593</v>
      </c>
      <c r="J1195" s="6">
        <v>0</v>
      </c>
      <c r="K1195" s="6">
        <v>0</v>
      </c>
      <c r="L1195" s="6">
        <v>-5.5590000000000002</v>
      </c>
      <c r="M1195" s="6">
        <v>-0.55589999999999995</v>
      </c>
      <c r="N1195" s="6">
        <v>-5.5590000000000002</v>
      </c>
      <c r="O1195" s="6">
        <v>-0.55589999999999995</v>
      </c>
      <c r="P1195" s="6">
        <v>0</v>
      </c>
      <c r="Q1195" s="4" t="s">
        <v>26</v>
      </c>
      <c r="R1195" s="4">
        <v>0</v>
      </c>
      <c r="S1195" s="4" t="s">
        <v>330</v>
      </c>
      <c r="T1195" s="4" t="s">
        <v>607</v>
      </c>
      <c r="U1195" s="4">
        <v>0</v>
      </c>
      <c r="V1195" s="4">
        <v>44</v>
      </c>
      <c r="W1195" s="4">
        <v>67</v>
      </c>
    </row>
    <row r="1196" spans="1:23" ht="11.25" customHeight="1" x14ac:dyDescent="0.25">
      <c r="A1196" s="4" t="s">
        <v>28</v>
      </c>
      <c r="B1196" s="4" t="s">
        <v>41</v>
      </c>
      <c r="C1196" s="4" t="s">
        <v>42</v>
      </c>
      <c r="D1196" s="4" t="s">
        <v>45</v>
      </c>
      <c r="E1196" s="4" t="s">
        <v>53</v>
      </c>
      <c r="F1196" s="4" t="s">
        <v>55</v>
      </c>
      <c r="G1196" s="4" t="s">
        <v>25</v>
      </c>
      <c r="H1196" s="4" t="s">
        <v>35</v>
      </c>
      <c r="I1196" s="5">
        <v>44593</v>
      </c>
      <c r="J1196" s="6">
        <v>0</v>
      </c>
      <c r="K1196" s="6">
        <v>0</v>
      </c>
      <c r="L1196" s="6">
        <v>0.193</v>
      </c>
      <c r="M1196" s="6">
        <v>1.9300000000000001E-2</v>
      </c>
      <c r="N1196" s="6">
        <v>0.193</v>
      </c>
      <c r="O1196" s="6">
        <v>1.9300000000000001E-2</v>
      </c>
      <c r="P1196" s="6">
        <v>0</v>
      </c>
      <c r="Q1196" s="4" t="s">
        <v>26</v>
      </c>
      <c r="R1196" s="4">
        <v>0</v>
      </c>
      <c r="S1196" s="4" t="s">
        <v>330</v>
      </c>
      <c r="T1196" s="4" t="s">
        <v>607</v>
      </c>
      <c r="U1196" s="4">
        <v>0</v>
      </c>
      <c r="V1196" s="4">
        <v>44</v>
      </c>
      <c r="W1196" s="4">
        <v>67</v>
      </c>
    </row>
    <row r="1197" spans="1:23" ht="11.25" customHeight="1" x14ac:dyDescent="0.25">
      <c r="A1197" s="4" t="s">
        <v>21</v>
      </c>
      <c r="B1197" s="4" t="s">
        <v>41</v>
      </c>
      <c r="C1197" s="4" t="s">
        <v>42</v>
      </c>
      <c r="D1197" s="4" t="s">
        <v>45</v>
      </c>
      <c r="E1197" s="4" t="s">
        <v>53</v>
      </c>
      <c r="F1197" s="4" t="s">
        <v>55</v>
      </c>
      <c r="G1197" s="4" t="s">
        <v>25</v>
      </c>
      <c r="H1197" s="4" t="s">
        <v>35</v>
      </c>
      <c r="I1197" s="5">
        <v>44621</v>
      </c>
      <c r="J1197" s="6">
        <v>0</v>
      </c>
      <c r="K1197" s="6">
        <v>0</v>
      </c>
      <c r="L1197" s="6">
        <v>1412.0119999999999</v>
      </c>
      <c r="M1197" s="6">
        <v>141.2012</v>
      </c>
      <c r="N1197" s="6">
        <v>1412.0119999999999</v>
      </c>
      <c r="O1197" s="6">
        <v>141.2012</v>
      </c>
      <c r="P1197" s="6">
        <v>0</v>
      </c>
      <c r="Q1197" s="4" t="s">
        <v>26</v>
      </c>
      <c r="R1197" s="4">
        <v>0</v>
      </c>
      <c r="S1197" s="4" t="s">
        <v>331</v>
      </c>
      <c r="T1197" s="4" t="s">
        <v>608</v>
      </c>
      <c r="U1197" s="4">
        <v>0</v>
      </c>
      <c r="V1197" s="4">
        <v>44</v>
      </c>
      <c r="W1197" s="4">
        <v>67</v>
      </c>
    </row>
    <row r="1198" spans="1:23" ht="11.25" customHeight="1" x14ac:dyDescent="0.25">
      <c r="A1198" s="4" t="s">
        <v>28</v>
      </c>
      <c r="B1198" s="4" t="s">
        <v>41</v>
      </c>
      <c r="C1198" s="4" t="s">
        <v>42</v>
      </c>
      <c r="D1198" s="4" t="s">
        <v>45</v>
      </c>
      <c r="E1198" s="4" t="s">
        <v>53</v>
      </c>
      <c r="F1198" s="4" t="s">
        <v>55</v>
      </c>
      <c r="G1198" s="4" t="s">
        <v>25</v>
      </c>
      <c r="H1198" s="4" t="s">
        <v>35</v>
      </c>
      <c r="I1198" s="5">
        <v>44621</v>
      </c>
      <c r="J1198" s="6">
        <v>0</v>
      </c>
      <c r="K1198" s="6">
        <v>0</v>
      </c>
      <c r="L1198" s="6">
        <v>10.467000000000001</v>
      </c>
      <c r="M1198" s="6">
        <v>1.0467</v>
      </c>
      <c r="N1198" s="6">
        <v>10.467000000000001</v>
      </c>
      <c r="O1198" s="6">
        <v>1.0467</v>
      </c>
      <c r="P1198" s="6">
        <v>0</v>
      </c>
      <c r="Q1198" s="4" t="s">
        <v>26</v>
      </c>
      <c r="R1198" s="4">
        <v>0</v>
      </c>
      <c r="S1198" s="4" t="s">
        <v>331</v>
      </c>
      <c r="T1198" s="4" t="s">
        <v>608</v>
      </c>
      <c r="U1198" s="4">
        <v>0</v>
      </c>
      <c r="V1198" s="4">
        <v>44</v>
      </c>
      <c r="W1198" s="4">
        <v>67</v>
      </c>
    </row>
    <row r="1199" spans="1:23" ht="11.25" customHeight="1" x14ac:dyDescent="0.25">
      <c r="A1199" s="4" t="s">
        <v>21</v>
      </c>
      <c r="B1199" s="4" t="s">
        <v>41</v>
      </c>
      <c r="C1199" s="4" t="s">
        <v>42</v>
      </c>
      <c r="D1199" s="4" t="s">
        <v>45</v>
      </c>
      <c r="E1199" s="4" t="s">
        <v>53</v>
      </c>
      <c r="F1199" s="4" t="s">
        <v>55</v>
      </c>
      <c r="G1199" s="4" t="s">
        <v>25</v>
      </c>
      <c r="H1199" s="4" t="s">
        <v>35</v>
      </c>
      <c r="I1199" s="5">
        <v>44652</v>
      </c>
      <c r="J1199" s="6">
        <v>0</v>
      </c>
      <c r="K1199" s="6">
        <v>0</v>
      </c>
      <c r="L1199" s="6">
        <v>1244.174</v>
      </c>
      <c r="M1199" s="6">
        <v>124.4174</v>
      </c>
      <c r="N1199" s="6">
        <v>1244.174</v>
      </c>
      <c r="O1199" s="6">
        <v>124.4174</v>
      </c>
      <c r="P1199" s="6">
        <v>0</v>
      </c>
      <c r="Q1199" s="4" t="s">
        <v>26</v>
      </c>
      <c r="R1199" s="4">
        <v>0</v>
      </c>
      <c r="S1199" s="4" t="s">
        <v>332</v>
      </c>
      <c r="T1199" s="4" t="s">
        <v>609</v>
      </c>
      <c r="U1199" s="4">
        <v>0</v>
      </c>
      <c r="V1199" s="4">
        <v>44</v>
      </c>
      <c r="W1199" s="4">
        <v>67</v>
      </c>
    </row>
    <row r="1200" spans="1:23" ht="11.25" customHeight="1" x14ac:dyDescent="0.25">
      <c r="A1200" s="4" t="s">
        <v>27</v>
      </c>
      <c r="B1200" s="4" t="s">
        <v>41</v>
      </c>
      <c r="C1200" s="4" t="s">
        <v>42</v>
      </c>
      <c r="D1200" s="4" t="s">
        <v>45</v>
      </c>
      <c r="E1200" s="4" t="s">
        <v>53</v>
      </c>
      <c r="F1200" s="4" t="s">
        <v>55</v>
      </c>
      <c r="G1200" s="4" t="s">
        <v>25</v>
      </c>
      <c r="H1200" s="4" t="s">
        <v>35</v>
      </c>
      <c r="I1200" s="5">
        <v>44652</v>
      </c>
      <c r="J1200" s="6">
        <v>0</v>
      </c>
      <c r="K1200" s="6">
        <v>0</v>
      </c>
      <c r="L1200" s="6">
        <v>-11.851000000000001</v>
      </c>
      <c r="M1200" s="6">
        <v>-1.1851</v>
      </c>
      <c r="N1200" s="6">
        <v>-11.851000000000001</v>
      </c>
      <c r="O1200" s="6">
        <v>-1.1851</v>
      </c>
      <c r="P1200" s="6">
        <v>0</v>
      </c>
      <c r="Q1200" s="4" t="s">
        <v>26</v>
      </c>
      <c r="R1200" s="4">
        <v>0</v>
      </c>
      <c r="S1200" s="4" t="s">
        <v>332</v>
      </c>
      <c r="T1200" s="4" t="s">
        <v>609</v>
      </c>
      <c r="U1200" s="4">
        <v>0</v>
      </c>
      <c r="V1200" s="4">
        <v>44</v>
      </c>
      <c r="W1200" s="4">
        <v>67</v>
      </c>
    </row>
    <row r="1201" spans="1:23" ht="11.25" customHeight="1" x14ac:dyDescent="0.25">
      <c r="A1201" s="4" t="s">
        <v>28</v>
      </c>
      <c r="B1201" s="4" t="s">
        <v>41</v>
      </c>
      <c r="C1201" s="4" t="s">
        <v>42</v>
      </c>
      <c r="D1201" s="4" t="s">
        <v>45</v>
      </c>
      <c r="E1201" s="4" t="s">
        <v>53</v>
      </c>
      <c r="F1201" s="4" t="s">
        <v>55</v>
      </c>
      <c r="G1201" s="4" t="s">
        <v>25</v>
      </c>
      <c r="H1201" s="4" t="s">
        <v>35</v>
      </c>
      <c r="I1201" s="5">
        <v>44652</v>
      </c>
      <c r="J1201" s="6">
        <v>0</v>
      </c>
      <c r="K1201" s="6">
        <v>0</v>
      </c>
      <c r="L1201" s="6">
        <v>4.0919999999999996</v>
      </c>
      <c r="M1201" s="6">
        <v>0.40920000000000001</v>
      </c>
      <c r="N1201" s="6">
        <v>4.0919999999999996</v>
      </c>
      <c r="O1201" s="6">
        <v>0.40920000000000001</v>
      </c>
      <c r="P1201" s="6">
        <v>0</v>
      </c>
      <c r="Q1201" s="4" t="s">
        <v>26</v>
      </c>
      <c r="R1201" s="4">
        <v>0</v>
      </c>
      <c r="S1201" s="4" t="s">
        <v>332</v>
      </c>
      <c r="T1201" s="4" t="s">
        <v>609</v>
      </c>
      <c r="U1201" s="4">
        <v>0</v>
      </c>
      <c r="V1201" s="4">
        <v>44</v>
      </c>
      <c r="W1201" s="4">
        <v>67</v>
      </c>
    </row>
    <row r="1202" spans="1:23" ht="11.25" customHeight="1" x14ac:dyDescent="0.25">
      <c r="A1202" s="4" t="s">
        <v>28</v>
      </c>
      <c r="B1202" s="4" t="s">
        <v>41</v>
      </c>
      <c r="C1202" s="4" t="s">
        <v>42</v>
      </c>
      <c r="D1202" s="4" t="s">
        <v>45</v>
      </c>
      <c r="E1202" s="4" t="s">
        <v>53</v>
      </c>
      <c r="F1202" s="4" t="s">
        <v>55</v>
      </c>
      <c r="G1202" s="4" t="s">
        <v>25</v>
      </c>
      <c r="H1202" s="4" t="s">
        <v>35</v>
      </c>
      <c r="I1202" s="5">
        <v>44652</v>
      </c>
      <c r="J1202" s="6">
        <v>0</v>
      </c>
      <c r="K1202" s="6">
        <v>0</v>
      </c>
      <c r="L1202" s="6">
        <v>52.59</v>
      </c>
      <c r="M1202" s="6">
        <v>5.2590000000000003</v>
      </c>
      <c r="N1202" s="6">
        <v>52.59</v>
      </c>
      <c r="O1202" s="6">
        <v>5.2590000000000003</v>
      </c>
      <c r="P1202" s="6">
        <v>0</v>
      </c>
      <c r="Q1202" s="4" t="s">
        <v>26</v>
      </c>
      <c r="R1202" s="4">
        <v>0</v>
      </c>
      <c r="S1202" s="4" t="s">
        <v>332</v>
      </c>
      <c r="T1202" s="4" t="s">
        <v>609</v>
      </c>
      <c r="U1202" s="4">
        <v>0</v>
      </c>
      <c r="V1202" s="4">
        <v>44</v>
      </c>
      <c r="W1202" s="4">
        <v>67</v>
      </c>
    </row>
    <row r="1203" spans="1:23" ht="11.25" customHeight="1" x14ac:dyDescent="0.25">
      <c r="A1203" s="4" t="s">
        <v>21</v>
      </c>
      <c r="B1203" s="4" t="s">
        <v>41</v>
      </c>
      <c r="C1203" s="4" t="s">
        <v>42</v>
      </c>
      <c r="D1203" s="4" t="s">
        <v>45</v>
      </c>
      <c r="E1203" s="4" t="s">
        <v>53</v>
      </c>
      <c r="F1203" s="4" t="s">
        <v>55</v>
      </c>
      <c r="G1203" s="4" t="s">
        <v>25</v>
      </c>
      <c r="H1203" s="4" t="s">
        <v>35</v>
      </c>
      <c r="I1203" s="5">
        <v>44682</v>
      </c>
      <c r="J1203" s="6">
        <v>0</v>
      </c>
      <c r="K1203" s="6">
        <v>0</v>
      </c>
      <c r="L1203" s="6">
        <v>798.85400000000004</v>
      </c>
      <c r="M1203" s="6">
        <v>79.885400000000004</v>
      </c>
      <c r="N1203" s="6">
        <v>798.85400000000004</v>
      </c>
      <c r="O1203" s="6">
        <v>79.885400000000004</v>
      </c>
      <c r="P1203" s="6">
        <v>0</v>
      </c>
      <c r="Q1203" s="4" t="s">
        <v>26</v>
      </c>
      <c r="R1203" s="4">
        <v>0</v>
      </c>
      <c r="S1203" s="4" t="s">
        <v>333</v>
      </c>
      <c r="T1203" s="4" t="s">
        <v>610</v>
      </c>
      <c r="U1203" s="4">
        <v>0</v>
      </c>
      <c r="V1203" s="4">
        <v>44</v>
      </c>
      <c r="W1203" s="4">
        <v>67</v>
      </c>
    </row>
    <row r="1204" spans="1:23" ht="11.25" customHeight="1" x14ac:dyDescent="0.25">
      <c r="A1204" s="4" t="s">
        <v>28</v>
      </c>
      <c r="B1204" s="4" t="s">
        <v>41</v>
      </c>
      <c r="C1204" s="4" t="s">
        <v>42</v>
      </c>
      <c r="D1204" s="4" t="s">
        <v>45</v>
      </c>
      <c r="E1204" s="4" t="s">
        <v>53</v>
      </c>
      <c r="F1204" s="4" t="s">
        <v>55</v>
      </c>
      <c r="G1204" s="4" t="s">
        <v>25</v>
      </c>
      <c r="H1204" s="4" t="s">
        <v>35</v>
      </c>
      <c r="I1204" s="5">
        <v>44682</v>
      </c>
      <c r="J1204" s="6">
        <v>0</v>
      </c>
      <c r="K1204" s="6">
        <v>0</v>
      </c>
      <c r="L1204" s="6">
        <v>4.6029999999999998</v>
      </c>
      <c r="M1204" s="6">
        <v>0.46029999999999999</v>
      </c>
      <c r="N1204" s="6">
        <v>4.6029999999999998</v>
      </c>
      <c r="O1204" s="6">
        <v>0.46029999999999999</v>
      </c>
      <c r="P1204" s="6">
        <v>0</v>
      </c>
      <c r="Q1204" s="4" t="s">
        <v>26</v>
      </c>
      <c r="R1204" s="4">
        <v>0</v>
      </c>
      <c r="S1204" s="4" t="s">
        <v>333</v>
      </c>
      <c r="T1204" s="4" t="s">
        <v>610</v>
      </c>
      <c r="U1204" s="4">
        <v>0</v>
      </c>
      <c r="V1204" s="4">
        <v>44</v>
      </c>
      <c r="W1204" s="4">
        <v>67</v>
      </c>
    </row>
    <row r="1205" spans="1:23" ht="11.25" customHeight="1" x14ac:dyDescent="0.25">
      <c r="A1205" s="4" t="s">
        <v>21</v>
      </c>
      <c r="B1205" s="4" t="s">
        <v>41</v>
      </c>
      <c r="C1205" s="4" t="s">
        <v>42</v>
      </c>
      <c r="D1205" s="4" t="s">
        <v>45</v>
      </c>
      <c r="E1205" s="4" t="s">
        <v>53</v>
      </c>
      <c r="F1205" s="4" t="s">
        <v>55</v>
      </c>
      <c r="G1205" s="4" t="s">
        <v>25</v>
      </c>
      <c r="H1205" s="4" t="s">
        <v>35</v>
      </c>
      <c r="I1205" s="5">
        <v>44713</v>
      </c>
      <c r="J1205" s="6">
        <v>0</v>
      </c>
      <c r="K1205" s="6">
        <v>0</v>
      </c>
      <c r="L1205" s="6">
        <v>533.52800000000002</v>
      </c>
      <c r="M1205" s="6">
        <v>53.352800000000002</v>
      </c>
      <c r="N1205" s="6">
        <v>533.52800000000002</v>
      </c>
      <c r="O1205" s="6">
        <v>53.352800000000002</v>
      </c>
      <c r="P1205" s="6">
        <v>0</v>
      </c>
      <c r="Q1205" s="4" t="s">
        <v>26</v>
      </c>
      <c r="R1205" s="4">
        <v>0</v>
      </c>
      <c r="S1205" s="4" t="s">
        <v>334</v>
      </c>
      <c r="T1205" s="4" t="s">
        <v>611</v>
      </c>
      <c r="U1205" s="4">
        <v>0</v>
      </c>
      <c r="V1205" s="4">
        <v>44</v>
      </c>
      <c r="W1205" s="4">
        <v>67</v>
      </c>
    </row>
    <row r="1206" spans="1:23" ht="11.25" customHeight="1" x14ac:dyDescent="0.25">
      <c r="A1206" s="4" t="s">
        <v>27</v>
      </c>
      <c r="B1206" s="4" t="s">
        <v>41</v>
      </c>
      <c r="C1206" s="4" t="s">
        <v>42</v>
      </c>
      <c r="D1206" s="4" t="s">
        <v>45</v>
      </c>
      <c r="E1206" s="4" t="s">
        <v>53</v>
      </c>
      <c r="F1206" s="4" t="s">
        <v>55</v>
      </c>
      <c r="G1206" s="4" t="s">
        <v>25</v>
      </c>
      <c r="H1206" s="4" t="s">
        <v>35</v>
      </c>
      <c r="I1206" s="5">
        <v>44713</v>
      </c>
      <c r="J1206" s="6">
        <v>0</v>
      </c>
      <c r="K1206" s="6">
        <v>0</v>
      </c>
      <c r="L1206" s="6">
        <v>-26.832000000000001</v>
      </c>
      <c r="M1206" s="6">
        <v>-2.6831999999999998</v>
      </c>
      <c r="N1206" s="6">
        <v>-26.832000000000001</v>
      </c>
      <c r="O1206" s="6">
        <v>-2.6831999999999998</v>
      </c>
      <c r="P1206" s="6">
        <v>0</v>
      </c>
      <c r="Q1206" s="4" t="s">
        <v>26</v>
      </c>
      <c r="R1206" s="4">
        <v>0</v>
      </c>
      <c r="S1206" s="4" t="s">
        <v>334</v>
      </c>
      <c r="T1206" s="4" t="s">
        <v>611</v>
      </c>
      <c r="U1206" s="4">
        <v>0</v>
      </c>
      <c r="V1206" s="4">
        <v>44</v>
      </c>
      <c r="W1206" s="4">
        <v>67</v>
      </c>
    </row>
    <row r="1207" spans="1:23" ht="11.25" customHeight="1" x14ac:dyDescent="0.25">
      <c r="A1207" s="4" t="s">
        <v>28</v>
      </c>
      <c r="B1207" s="4" t="s">
        <v>41</v>
      </c>
      <c r="C1207" s="4" t="s">
        <v>42</v>
      </c>
      <c r="D1207" s="4" t="s">
        <v>45</v>
      </c>
      <c r="E1207" s="4" t="s">
        <v>53</v>
      </c>
      <c r="F1207" s="4" t="s">
        <v>55</v>
      </c>
      <c r="G1207" s="4" t="s">
        <v>25</v>
      </c>
      <c r="H1207" s="4" t="s">
        <v>35</v>
      </c>
      <c r="I1207" s="5">
        <v>44713</v>
      </c>
      <c r="J1207" s="6">
        <v>0</v>
      </c>
      <c r="K1207" s="6">
        <v>0</v>
      </c>
      <c r="L1207" s="6">
        <v>0.72499999999999998</v>
      </c>
      <c r="M1207" s="6">
        <v>7.2499999999999995E-2</v>
      </c>
      <c r="N1207" s="6">
        <v>0.72499999999999998</v>
      </c>
      <c r="O1207" s="6">
        <v>7.2499999999999995E-2</v>
      </c>
      <c r="P1207" s="6">
        <v>0</v>
      </c>
      <c r="Q1207" s="4" t="s">
        <v>26</v>
      </c>
      <c r="R1207" s="4">
        <v>0</v>
      </c>
      <c r="S1207" s="4" t="s">
        <v>334</v>
      </c>
      <c r="T1207" s="4" t="s">
        <v>611</v>
      </c>
      <c r="U1207" s="4">
        <v>0</v>
      </c>
      <c r="V1207" s="4">
        <v>44</v>
      </c>
      <c r="W1207" s="4">
        <v>67</v>
      </c>
    </row>
    <row r="1208" spans="1:23" ht="11.25" customHeight="1" x14ac:dyDescent="0.25">
      <c r="A1208" s="4" t="s">
        <v>57</v>
      </c>
      <c r="B1208" s="4" t="s">
        <v>41</v>
      </c>
      <c r="C1208" s="4" t="s">
        <v>42</v>
      </c>
      <c r="D1208" s="4" t="s">
        <v>45</v>
      </c>
      <c r="E1208" s="4" t="s">
        <v>53</v>
      </c>
      <c r="F1208" s="4" t="s">
        <v>55</v>
      </c>
      <c r="G1208" s="4" t="s">
        <v>25</v>
      </c>
      <c r="H1208" s="4" t="s">
        <v>35</v>
      </c>
      <c r="I1208" s="5">
        <v>44743</v>
      </c>
      <c r="J1208" s="6">
        <v>0</v>
      </c>
      <c r="K1208" s="6">
        <v>0</v>
      </c>
      <c r="L1208" s="6">
        <v>533.52800000000002</v>
      </c>
      <c r="M1208" s="6">
        <v>53.352800000000002</v>
      </c>
      <c r="N1208" s="6">
        <v>533.52800000000002</v>
      </c>
      <c r="O1208" s="6">
        <v>53.352800000000002</v>
      </c>
      <c r="P1208" s="6">
        <v>0</v>
      </c>
      <c r="Q1208" s="4" t="s">
        <v>26</v>
      </c>
      <c r="R1208" s="4">
        <v>0</v>
      </c>
      <c r="S1208" s="4" t="s">
        <v>335</v>
      </c>
      <c r="T1208" s="4" t="s">
        <v>612</v>
      </c>
      <c r="U1208" s="4">
        <v>0</v>
      </c>
      <c r="V1208" s="4">
        <v>44</v>
      </c>
      <c r="W1208" s="4">
        <v>67</v>
      </c>
    </row>
    <row r="1209" spans="1:23" ht="11.25" customHeight="1" x14ac:dyDescent="0.25">
      <c r="A1209" s="4" t="s">
        <v>57</v>
      </c>
      <c r="B1209" s="4" t="s">
        <v>41</v>
      </c>
      <c r="C1209" s="4" t="s">
        <v>42</v>
      </c>
      <c r="D1209" s="4" t="s">
        <v>45</v>
      </c>
      <c r="E1209" s="4" t="s">
        <v>53</v>
      </c>
      <c r="F1209" s="4" t="s">
        <v>55</v>
      </c>
      <c r="G1209" s="4" t="s">
        <v>25</v>
      </c>
      <c r="H1209" s="4" t="s">
        <v>35</v>
      </c>
      <c r="I1209" s="5">
        <v>44743</v>
      </c>
      <c r="J1209" s="6">
        <v>0</v>
      </c>
      <c r="K1209" s="6">
        <v>0</v>
      </c>
      <c r="L1209" s="6">
        <v>-26.832000000000001</v>
      </c>
      <c r="M1209" s="6">
        <v>-2.6831999999999998</v>
      </c>
      <c r="N1209" s="6">
        <v>-26.832000000000001</v>
      </c>
      <c r="O1209" s="6">
        <v>-2.6831999999999998</v>
      </c>
      <c r="P1209" s="6">
        <v>0</v>
      </c>
      <c r="Q1209" s="4" t="s">
        <v>26</v>
      </c>
      <c r="R1209" s="4">
        <v>0</v>
      </c>
      <c r="S1209" s="4" t="s">
        <v>335</v>
      </c>
      <c r="T1209" s="4" t="s">
        <v>612</v>
      </c>
      <c r="U1209" s="4">
        <v>0</v>
      </c>
      <c r="V1209" s="4">
        <v>44</v>
      </c>
      <c r="W1209" s="4">
        <v>67</v>
      </c>
    </row>
    <row r="1210" spans="1:23" ht="11.25" customHeight="1" x14ac:dyDescent="0.25">
      <c r="A1210" s="4" t="s">
        <v>57</v>
      </c>
      <c r="B1210" s="4" t="s">
        <v>41</v>
      </c>
      <c r="C1210" s="4" t="s">
        <v>42</v>
      </c>
      <c r="D1210" s="4" t="s">
        <v>45</v>
      </c>
      <c r="E1210" s="4" t="s">
        <v>53</v>
      </c>
      <c r="F1210" s="4" t="s">
        <v>55</v>
      </c>
      <c r="G1210" s="4" t="s">
        <v>25</v>
      </c>
      <c r="H1210" s="4" t="s">
        <v>35</v>
      </c>
      <c r="I1210" s="5">
        <v>44743</v>
      </c>
      <c r="J1210" s="6">
        <v>0</v>
      </c>
      <c r="K1210" s="6">
        <v>0</v>
      </c>
      <c r="L1210" s="6">
        <v>0.72499999999999998</v>
      </c>
      <c r="M1210" s="6">
        <v>7.2499999999999995E-2</v>
      </c>
      <c r="N1210" s="6">
        <v>0.72499999999999998</v>
      </c>
      <c r="O1210" s="6">
        <v>7.2499999999999995E-2</v>
      </c>
      <c r="P1210" s="6">
        <v>0</v>
      </c>
      <c r="Q1210" s="4" t="s">
        <v>26</v>
      </c>
      <c r="R1210" s="4">
        <v>0</v>
      </c>
      <c r="S1210" s="4" t="s">
        <v>335</v>
      </c>
      <c r="T1210" s="4" t="s">
        <v>612</v>
      </c>
      <c r="U1210" s="4">
        <v>0</v>
      </c>
      <c r="V1210" s="4">
        <v>44</v>
      </c>
      <c r="W1210" s="4">
        <v>67</v>
      </c>
    </row>
    <row r="1211" spans="1:23" ht="11.25" customHeight="1" x14ac:dyDescent="0.25">
      <c r="A1211" s="4" t="s">
        <v>21</v>
      </c>
      <c r="B1211" s="4" t="s">
        <v>41</v>
      </c>
      <c r="C1211" s="4" t="s">
        <v>42</v>
      </c>
      <c r="D1211" s="4" t="s">
        <v>45</v>
      </c>
      <c r="E1211" s="4" t="s">
        <v>53</v>
      </c>
      <c r="F1211" s="4" t="s">
        <v>25</v>
      </c>
      <c r="G1211" s="4" t="s">
        <v>25</v>
      </c>
      <c r="H1211" s="4" t="s">
        <v>35</v>
      </c>
      <c r="I1211" s="5">
        <v>44409</v>
      </c>
      <c r="J1211" s="6">
        <v>0</v>
      </c>
      <c r="K1211" s="6">
        <v>0</v>
      </c>
      <c r="L1211" s="6">
        <v>1338.748</v>
      </c>
      <c r="M1211" s="6">
        <v>1285.1980799999999</v>
      </c>
      <c r="N1211" s="6">
        <v>1338.748</v>
      </c>
      <c r="O1211" s="6">
        <v>1285.1980799999999</v>
      </c>
      <c r="P1211" s="6">
        <v>0</v>
      </c>
      <c r="Q1211" s="4" t="s">
        <v>26</v>
      </c>
      <c r="R1211" s="4">
        <v>0</v>
      </c>
      <c r="S1211" s="4" t="s">
        <v>324</v>
      </c>
      <c r="T1211" s="4" t="s">
        <v>601</v>
      </c>
      <c r="U1211" s="4">
        <v>0</v>
      </c>
      <c r="V1211" s="4">
        <v>44</v>
      </c>
      <c r="W1211" s="4">
        <v>67</v>
      </c>
    </row>
    <row r="1212" spans="1:23" ht="11.25" customHeight="1" x14ac:dyDescent="0.25">
      <c r="A1212" s="4" t="s">
        <v>27</v>
      </c>
      <c r="B1212" s="4" t="s">
        <v>41</v>
      </c>
      <c r="C1212" s="4" t="s">
        <v>42</v>
      </c>
      <c r="D1212" s="4" t="s">
        <v>45</v>
      </c>
      <c r="E1212" s="4" t="s">
        <v>53</v>
      </c>
      <c r="F1212" s="4" t="s">
        <v>25</v>
      </c>
      <c r="G1212" s="4" t="s">
        <v>25</v>
      </c>
      <c r="H1212" s="4" t="s">
        <v>35</v>
      </c>
      <c r="I1212" s="5">
        <v>44409</v>
      </c>
      <c r="J1212" s="6">
        <v>0</v>
      </c>
      <c r="K1212" s="6">
        <v>0</v>
      </c>
      <c r="L1212" s="6">
        <v>-31.73</v>
      </c>
      <c r="M1212" s="6">
        <v>-30.460799999999999</v>
      </c>
      <c r="N1212" s="6">
        <v>-31.73</v>
      </c>
      <c r="O1212" s="6">
        <v>-30.460799999999999</v>
      </c>
      <c r="P1212" s="6">
        <v>0</v>
      </c>
      <c r="Q1212" s="4" t="s">
        <v>26</v>
      </c>
      <c r="R1212" s="4">
        <v>0</v>
      </c>
      <c r="S1212" s="4" t="s">
        <v>324</v>
      </c>
      <c r="T1212" s="4" t="s">
        <v>601</v>
      </c>
      <c r="U1212" s="4">
        <v>0</v>
      </c>
      <c r="V1212" s="4">
        <v>44</v>
      </c>
      <c r="W1212" s="4">
        <v>67</v>
      </c>
    </row>
    <row r="1213" spans="1:23" ht="11.25" customHeight="1" x14ac:dyDescent="0.25">
      <c r="A1213" s="4" t="s">
        <v>28</v>
      </c>
      <c r="B1213" s="4" t="s">
        <v>41</v>
      </c>
      <c r="C1213" s="4" t="s">
        <v>42</v>
      </c>
      <c r="D1213" s="4" t="s">
        <v>45</v>
      </c>
      <c r="E1213" s="4" t="s">
        <v>53</v>
      </c>
      <c r="F1213" s="4" t="s">
        <v>25</v>
      </c>
      <c r="G1213" s="4" t="s">
        <v>25</v>
      </c>
      <c r="H1213" s="4" t="s">
        <v>35</v>
      </c>
      <c r="I1213" s="5">
        <v>44409</v>
      </c>
      <c r="J1213" s="6">
        <v>0</v>
      </c>
      <c r="K1213" s="6">
        <v>0</v>
      </c>
      <c r="L1213" s="6">
        <v>23.425000000000001</v>
      </c>
      <c r="M1213" s="6">
        <v>22.488</v>
      </c>
      <c r="N1213" s="6">
        <v>23.425000000000001</v>
      </c>
      <c r="O1213" s="6">
        <v>22.488</v>
      </c>
      <c r="P1213" s="6">
        <v>0</v>
      </c>
      <c r="Q1213" s="4" t="s">
        <v>26</v>
      </c>
      <c r="R1213" s="4">
        <v>0</v>
      </c>
      <c r="S1213" s="4" t="s">
        <v>324</v>
      </c>
      <c r="T1213" s="4" t="s">
        <v>601</v>
      </c>
      <c r="U1213" s="4">
        <v>0</v>
      </c>
      <c r="V1213" s="4">
        <v>44</v>
      </c>
      <c r="W1213" s="4">
        <v>67</v>
      </c>
    </row>
    <row r="1214" spans="1:23" ht="11.25" customHeight="1" x14ac:dyDescent="0.25">
      <c r="A1214" s="4" t="s">
        <v>28</v>
      </c>
      <c r="B1214" s="4" t="s">
        <v>41</v>
      </c>
      <c r="C1214" s="4" t="s">
        <v>42</v>
      </c>
      <c r="D1214" s="4" t="s">
        <v>45</v>
      </c>
      <c r="E1214" s="4" t="s">
        <v>53</v>
      </c>
      <c r="F1214" s="4" t="s">
        <v>25</v>
      </c>
      <c r="G1214" s="4" t="s">
        <v>25</v>
      </c>
      <c r="H1214" s="4" t="s">
        <v>35</v>
      </c>
      <c r="I1214" s="5">
        <v>44409</v>
      </c>
      <c r="J1214" s="6">
        <v>0</v>
      </c>
      <c r="K1214" s="6">
        <v>0</v>
      </c>
      <c r="L1214" s="6">
        <v>-49.35</v>
      </c>
      <c r="M1214" s="6">
        <v>-47.375999999999998</v>
      </c>
      <c r="N1214" s="6">
        <v>-49.35</v>
      </c>
      <c r="O1214" s="6">
        <v>-47.375999999999998</v>
      </c>
      <c r="P1214" s="6">
        <v>0</v>
      </c>
      <c r="Q1214" s="4" t="s">
        <v>26</v>
      </c>
      <c r="R1214" s="4">
        <v>0</v>
      </c>
      <c r="S1214" s="4" t="s">
        <v>324</v>
      </c>
      <c r="T1214" s="4" t="s">
        <v>601</v>
      </c>
      <c r="U1214" s="4">
        <v>0</v>
      </c>
      <c r="V1214" s="4">
        <v>44</v>
      </c>
      <c r="W1214" s="4">
        <v>67</v>
      </c>
    </row>
    <row r="1215" spans="1:23" ht="11.25" customHeight="1" x14ac:dyDescent="0.25">
      <c r="A1215" s="4" t="s">
        <v>21</v>
      </c>
      <c r="B1215" s="4" t="s">
        <v>41</v>
      </c>
      <c r="C1215" s="4" t="s">
        <v>42</v>
      </c>
      <c r="D1215" s="4" t="s">
        <v>45</v>
      </c>
      <c r="E1215" s="4" t="s">
        <v>53</v>
      </c>
      <c r="F1215" s="4" t="s">
        <v>25</v>
      </c>
      <c r="G1215" s="4" t="s">
        <v>25</v>
      </c>
      <c r="H1215" s="4" t="s">
        <v>35</v>
      </c>
      <c r="I1215" s="5">
        <v>44440</v>
      </c>
      <c r="J1215" s="6">
        <v>0</v>
      </c>
      <c r="K1215" s="6">
        <v>0</v>
      </c>
      <c r="L1215" s="6">
        <v>1734.5719999999999</v>
      </c>
      <c r="M1215" s="6">
        <v>1665.18912</v>
      </c>
      <c r="N1215" s="6">
        <v>1734.5719999999999</v>
      </c>
      <c r="O1215" s="6">
        <v>1665.18912</v>
      </c>
      <c r="P1215" s="6">
        <v>0</v>
      </c>
      <c r="Q1215" s="4" t="s">
        <v>26</v>
      </c>
      <c r="R1215" s="4">
        <v>0</v>
      </c>
      <c r="S1215" s="4" t="s">
        <v>325</v>
      </c>
      <c r="T1215" s="4" t="s">
        <v>602</v>
      </c>
      <c r="U1215" s="4">
        <v>0</v>
      </c>
      <c r="V1215" s="4">
        <v>44</v>
      </c>
      <c r="W1215" s="4">
        <v>67</v>
      </c>
    </row>
    <row r="1216" spans="1:23" ht="11.25" customHeight="1" x14ac:dyDescent="0.25">
      <c r="A1216" s="4" t="s">
        <v>21</v>
      </c>
      <c r="B1216" s="4" t="s">
        <v>41</v>
      </c>
      <c r="C1216" s="4" t="s">
        <v>42</v>
      </c>
      <c r="D1216" s="4" t="s">
        <v>45</v>
      </c>
      <c r="E1216" s="4" t="s">
        <v>53</v>
      </c>
      <c r="F1216" s="4" t="s">
        <v>25</v>
      </c>
      <c r="G1216" s="4" t="s">
        <v>25</v>
      </c>
      <c r="H1216" s="4" t="s">
        <v>35</v>
      </c>
      <c r="I1216" s="5">
        <v>44470</v>
      </c>
      <c r="J1216" s="6">
        <v>0</v>
      </c>
      <c r="K1216" s="6">
        <v>0</v>
      </c>
      <c r="L1216" s="6">
        <v>2228.7159999999999</v>
      </c>
      <c r="M1216" s="6">
        <v>2139.56736</v>
      </c>
      <c r="N1216" s="6">
        <v>2228.7159999999999</v>
      </c>
      <c r="O1216" s="6">
        <v>2139.56736</v>
      </c>
      <c r="P1216" s="6">
        <v>0</v>
      </c>
      <c r="Q1216" s="4" t="s">
        <v>26</v>
      </c>
      <c r="R1216" s="4">
        <v>0</v>
      </c>
      <c r="S1216" s="4" t="s">
        <v>326</v>
      </c>
      <c r="T1216" s="4" t="s">
        <v>603</v>
      </c>
      <c r="U1216" s="4">
        <v>0</v>
      </c>
      <c r="V1216" s="4">
        <v>44</v>
      </c>
      <c r="W1216" s="4">
        <v>67</v>
      </c>
    </row>
    <row r="1217" spans="1:23" ht="11.25" customHeight="1" x14ac:dyDescent="0.25">
      <c r="A1217" s="4" t="s">
        <v>27</v>
      </c>
      <c r="B1217" s="4" t="s">
        <v>41</v>
      </c>
      <c r="C1217" s="4" t="s">
        <v>42</v>
      </c>
      <c r="D1217" s="4" t="s">
        <v>45</v>
      </c>
      <c r="E1217" s="4" t="s">
        <v>53</v>
      </c>
      <c r="F1217" s="4" t="s">
        <v>25</v>
      </c>
      <c r="G1217" s="4" t="s">
        <v>25</v>
      </c>
      <c r="H1217" s="4" t="s">
        <v>35</v>
      </c>
      <c r="I1217" s="5">
        <v>44470</v>
      </c>
      <c r="J1217" s="6">
        <v>0</v>
      </c>
      <c r="K1217" s="6">
        <v>0</v>
      </c>
      <c r="L1217" s="6">
        <v>-65.650000000000006</v>
      </c>
      <c r="M1217" s="6">
        <v>-63.024000000000001</v>
      </c>
      <c r="N1217" s="6">
        <v>-65.650000000000006</v>
      </c>
      <c r="O1217" s="6">
        <v>-63.024000000000001</v>
      </c>
      <c r="P1217" s="6">
        <v>0</v>
      </c>
      <c r="Q1217" s="4" t="s">
        <v>26</v>
      </c>
      <c r="R1217" s="4">
        <v>0</v>
      </c>
      <c r="S1217" s="4" t="s">
        <v>326</v>
      </c>
      <c r="T1217" s="4" t="s">
        <v>603</v>
      </c>
      <c r="U1217" s="4">
        <v>0</v>
      </c>
      <c r="V1217" s="4">
        <v>44</v>
      </c>
      <c r="W1217" s="4">
        <v>67</v>
      </c>
    </row>
    <row r="1218" spans="1:23" ht="11.25" customHeight="1" x14ac:dyDescent="0.25">
      <c r="A1218" s="4" t="s">
        <v>21</v>
      </c>
      <c r="B1218" s="4" t="s">
        <v>41</v>
      </c>
      <c r="C1218" s="4" t="s">
        <v>42</v>
      </c>
      <c r="D1218" s="4" t="s">
        <v>45</v>
      </c>
      <c r="E1218" s="4" t="s">
        <v>53</v>
      </c>
      <c r="F1218" s="4" t="s">
        <v>25</v>
      </c>
      <c r="G1218" s="4" t="s">
        <v>25</v>
      </c>
      <c r="H1218" s="4" t="s">
        <v>35</v>
      </c>
      <c r="I1218" s="5">
        <v>44501</v>
      </c>
      <c r="J1218" s="6">
        <v>0</v>
      </c>
      <c r="K1218" s="6">
        <v>0</v>
      </c>
      <c r="L1218" s="6">
        <v>2764.9520000000002</v>
      </c>
      <c r="M1218" s="6">
        <v>2654.35392</v>
      </c>
      <c r="N1218" s="6">
        <v>2764.9520000000002</v>
      </c>
      <c r="O1218" s="6">
        <v>2654.35392</v>
      </c>
      <c r="P1218" s="6">
        <v>0</v>
      </c>
      <c r="Q1218" s="4" t="s">
        <v>26</v>
      </c>
      <c r="R1218" s="4">
        <v>0</v>
      </c>
      <c r="S1218" s="4" t="s">
        <v>327</v>
      </c>
      <c r="T1218" s="4" t="s">
        <v>604</v>
      </c>
      <c r="U1218" s="4">
        <v>0</v>
      </c>
      <c r="V1218" s="4">
        <v>44</v>
      </c>
      <c r="W1218" s="4">
        <v>67</v>
      </c>
    </row>
    <row r="1219" spans="1:23" ht="11.25" customHeight="1" x14ac:dyDescent="0.25">
      <c r="A1219" s="4" t="s">
        <v>27</v>
      </c>
      <c r="B1219" s="4" t="s">
        <v>41</v>
      </c>
      <c r="C1219" s="4" t="s">
        <v>42</v>
      </c>
      <c r="D1219" s="4" t="s">
        <v>45</v>
      </c>
      <c r="E1219" s="4" t="s">
        <v>53</v>
      </c>
      <c r="F1219" s="4" t="s">
        <v>25</v>
      </c>
      <c r="G1219" s="4" t="s">
        <v>25</v>
      </c>
      <c r="H1219" s="4" t="s">
        <v>35</v>
      </c>
      <c r="I1219" s="5">
        <v>44501</v>
      </c>
      <c r="J1219" s="6">
        <v>0</v>
      </c>
      <c r="K1219" s="6">
        <v>0</v>
      </c>
      <c r="L1219" s="6">
        <v>-65.512</v>
      </c>
      <c r="M1219" s="6">
        <v>-62.89152</v>
      </c>
      <c r="N1219" s="6">
        <v>-65.512</v>
      </c>
      <c r="O1219" s="6">
        <v>-62.89152</v>
      </c>
      <c r="P1219" s="6">
        <v>0</v>
      </c>
      <c r="Q1219" s="4" t="s">
        <v>26</v>
      </c>
      <c r="R1219" s="4">
        <v>0</v>
      </c>
      <c r="S1219" s="4" t="s">
        <v>327</v>
      </c>
      <c r="T1219" s="4" t="s">
        <v>604</v>
      </c>
      <c r="U1219" s="4">
        <v>0</v>
      </c>
      <c r="V1219" s="4">
        <v>44</v>
      </c>
      <c r="W1219" s="4">
        <v>67</v>
      </c>
    </row>
    <row r="1220" spans="1:23" ht="11.25" customHeight="1" x14ac:dyDescent="0.25">
      <c r="A1220" s="4" t="s">
        <v>28</v>
      </c>
      <c r="B1220" s="4" t="s">
        <v>41</v>
      </c>
      <c r="C1220" s="4" t="s">
        <v>42</v>
      </c>
      <c r="D1220" s="4" t="s">
        <v>45</v>
      </c>
      <c r="E1220" s="4" t="s">
        <v>53</v>
      </c>
      <c r="F1220" s="4" t="s">
        <v>25</v>
      </c>
      <c r="G1220" s="4" t="s">
        <v>25</v>
      </c>
      <c r="H1220" s="4" t="s">
        <v>35</v>
      </c>
      <c r="I1220" s="5">
        <v>44501</v>
      </c>
      <c r="J1220" s="6">
        <v>0</v>
      </c>
      <c r="K1220" s="6">
        <v>0</v>
      </c>
      <c r="L1220" s="6">
        <v>39.298000000000002</v>
      </c>
      <c r="M1220" s="6">
        <v>37.726080000000003</v>
      </c>
      <c r="N1220" s="6">
        <v>39.298000000000002</v>
      </c>
      <c r="O1220" s="6">
        <v>37.726080000000003</v>
      </c>
      <c r="P1220" s="6">
        <v>0</v>
      </c>
      <c r="Q1220" s="4" t="s">
        <v>26</v>
      </c>
      <c r="R1220" s="4">
        <v>0</v>
      </c>
      <c r="S1220" s="4" t="s">
        <v>327</v>
      </c>
      <c r="T1220" s="4" t="s">
        <v>604</v>
      </c>
      <c r="U1220" s="4">
        <v>0</v>
      </c>
      <c r="V1220" s="4">
        <v>44</v>
      </c>
      <c r="W1220" s="4">
        <v>67</v>
      </c>
    </row>
    <row r="1221" spans="1:23" ht="11.25" customHeight="1" x14ac:dyDescent="0.25">
      <c r="A1221" s="4" t="s">
        <v>21</v>
      </c>
      <c r="B1221" s="4" t="s">
        <v>41</v>
      </c>
      <c r="C1221" s="4" t="s">
        <v>42</v>
      </c>
      <c r="D1221" s="4" t="s">
        <v>45</v>
      </c>
      <c r="E1221" s="4" t="s">
        <v>53</v>
      </c>
      <c r="F1221" s="4" t="s">
        <v>25</v>
      </c>
      <c r="G1221" s="4" t="s">
        <v>25</v>
      </c>
      <c r="H1221" s="4" t="s">
        <v>35</v>
      </c>
      <c r="I1221" s="5">
        <v>44531</v>
      </c>
      <c r="J1221" s="6">
        <v>0</v>
      </c>
      <c r="K1221" s="6">
        <v>0</v>
      </c>
      <c r="L1221" s="6">
        <v>3025.9940000000001</v>
      </c>
      <c r="M1221" s="6">
        <v>2904.95424</v>
      </c>
      <c r="N1221" s="6">
        <v>3025.9940000000001</v>
      </c>
      <c r="O1221" s="6">
        <v>2904.95424</v>
      </c>
      <c r="P1221" s="6">
        <v>0</v>
      </c>
      <c r="Q1221" s="4" t="s">
        <v>26</v>
      </c>
      <c r="R1221" s="4">
        <v>0</v>
      </c>
      <c r="S1221" s="4" t="s">
        <v>328</v>
      </c>
      <c r="T1221" s="4" t="s">
        <v>605</v>
      </c>
      <c r="U1221" s="4">
        <v>0</v>
      </c>
      <c r="V1221" s="4">
        <v>44</v>
      </c>
      <c r="W1221" s="4">
        <v>67</v>
      </c>
    </row>
    <row r="1222" spans="1:23" ht="11.25" customHeight="1" x14ac:dyDescent="0.25">
      <c r="A1222" s="4" t="s">
        <v>27</v>
      </c>
      <c r="B1222" s="4" t="s">
        <v>41</v>
      </c>
      <c r="C1222" s="4" t="s">
        <v>42</v>
      </c>
      <c r="D1222" s="4" t="s">
        <v>45</v>
      </c>
      <c r="E1222" s="4" t="s">
        <v>53</v>
      </c>
      <c r="F1222" s="4" t="s">
        <v>25</v>
      </c>
      <c r="G1222" s="4" t="s">
        <v>25</v>
      </c>
      <c r="H1222" s="4" t="s">
        <v>35</v>
      </c>
      <c r="I1222" s="5">
        <v>44531</v>
      </c>
      <c r="J1222" s="6">
        <v>0</v>
      </c>
      <c r="K1222" s="6">
        <v>0</v>
      </c>
      <c r="L1222" s="6">
        <v>-27.626999999999999</v>
      </c>
      <c r="M1222" s="6">
        <v>-26.521920000000001</v>
      </c>
      <c r="N1222" s="6">
        <v>-27.626999999999999</v>
      </c>
      <c r="O1222" s="6">
        <v>-26.521920000000001</v>
      </c>
      <c r="P1222" s="6">
        <v>0</v>
      </c>
      <c r="Q1222" s="4" t="s">
        <v>26</v>
      </c>
      <c r="R1222" s="4">
        <v>0</v>
      </c>
      <c r="S1222" s="4" t="s">
        <v>328</v>
      </c>
      <c r="T1222" s="4" t="s">
        <v>605</v>
      </c>
      <c r="U1222" s="4">
        <v>0</v>
      </c>
      <c r="V1222" s="4">
        <v>44</v>
      </c>
      <c r="W1222" s="4">
        <v>67</v>
      </c>
    </row>
    <row r="1223" spans="1:23" ht="11.25" customHeight="1" x14ac:dyDescent="0.25">
      <c r="A1223" s="4" t="s">
        <v>28</v>
      </c>
      <c r="B1223" s="4" t="s">
        <v>41</v>
      </c>
      <c r="C1223" s="4" t="s">
        <v>42</v>
      </c>
      <c r="D1223" s="4" t="s">
        <v>45</v>
      </c>
      <c r="E1223" s="4" t="s">
        <v>53</v>
      </c>
      <c r="F1223" s="4" t="s">
        <v>25</v>
      </c>
      <c r="G1223" s="4" t="s">
        <v>25</v>
      </c>
      <c r="H1223" s="4" t="s">
        <v>35</v>
      </c>
      <c r="I1223" s="5">
        <v>44531</v>
      </c>
      <c r="J1223" s="6">
        <v>0</v>
      </c>
      <c r="K1223" s="6">
        <v>0</v>
      </c>
      <c r="L1223" s="6">
        <v>11.375</v>
      </c>
      <c r="M1223" s="6">
        <v>10.92</v>
      </c>
      <c r="N1223" s="6">
        <v>11.375</v>
      </c>
      <c r="O1223" s="6">
        <v>10.92</v>
      </c>
      <c r="P1223" s="6">
        <v>0</v>
      </c>
      <c r="Q1223" s="4" t="s">
        <v>26</v>
      </c>
      <c r="R1223" s="4">
        <v>0</v>
      </c>
      <c r="S1223" s="4" t="s">
        <v>328</v>
      </c>
      <c r="T1223" s="4" t="s">
        <v>605</v>
      </c>
      <c r="U1223" s="4">
        <v>0</v>
      </c>
      <c r="V1223" s="4">
        <v>44</v>
      </c>
      <c r="W1223" s="4">
        <v>67</v>
      </c>
    </row>
    <row r="1224" spans="1:23" ht="11.25" customHeight="1" x14ac:dyDescent="0.25">
      <c r="A1224" s="4" t="s">
        <v>21</v>
      </c>
      <c r="B1224" s="4" t="s">
        <v>41</v>
      </c>
      <c r="C1224" s="4" t="s">
        <v>42</v>
      </c>
      <c r="D1224" s="4" t="s">
        <v>45</v>
      </c>
      <c r="E1224" s="4" t="s">
        <v>53</v>
      </c>
      <c r="F1224" s="4" t="s">
        <v>25</v>
      </c>
      <c r="G1224" s="4" t="s">
        <v>25</v>
      </c>
      <c r="H1224" s="4" t="s">
        <v>35</v>
      </c>
      <c r="I1224" s="5">
        <v>44562</v>
      </c>
      <c r="J1224" s="6">
        <v>0</v>
      </c>
      <c r="K1224" s="6">
        <v>0</v>
      </c>
      <c r="L1224" s="6">
        <v>2144.0500000000002</v>
      </c>
      <c r="M1224" s="6">
        <v>2058.288</v>
      </c>
      <c r="N1224" s="6">
        <v>2144.0500000000002</v>
      </c>
      <c r="O1224" s="6">
        <v>2058.288</v>
      </c>
      <c r="P1224" s="6">
        <v>0</v>
      </c>
      <c r="Q1224" s="4" t="s">
        <v>26</v>
      </c>
      <c r="R1224" s="4">
        <v>0</v>
      </c>
      <c r="S1224" s="4" t="s">
        <v>329</v>
      </c>
      <c r="T1224" s="4" t="s">
        <v>606</v>
      </c>
      <c r="U1224" s="4">
        <v>0</v>
      </c>
      <c r="V1224" s="4">
        <v>44</v>
      </c>
      <c r="W1224" s="4">
        <v>67</v>
      </c>
    </row>
    <row r="1225" spans="1:23" ht="11.25" customHeight="1" x14ac:dyDescent="0.25">
      <c r="A1225" s="4" t="s">
        <v>27</v>
      </c>
      <c r="B1225" s="4" t="s">
        <v>41</v>
      </c>
      <c r="C1225" s="4" t="s">
        <v>42</v>
      </c>
      <c r="D1225" s="4" t="s">
        <v>45</v>
      </c>
      <c r="E1225" s="4" t="s">
        <v>53</v>
      </c>
      <c r="F1225" s="4" t="s">
        <v>25</v>
      </c>
      <c r="G1225" s="4" t="s">
        <v>25</v>
      </c>
      <c r="H1225" s="4" t="s">
        <v>35</v>
      </c>
      <c r="I1225" s="5">
        <v>44562</v>
      </c>
      <c r="J1225" s="6">
        <v>0</v>
      </c>
      <c r="K1225" s="6">
        <v>0</v>
      </c>
      <c r="L1225" s="6">
        <v>-149.74</v>
      </c>
      <c r="M1225" s="6">
        <v>-143.75040000000001</v>
      </c>
      <c r="N1225" s="6">
        <v>-149.74</v>
      </c>
      <c r="O1225" s="6">
        <v>-143.75040000000001</v>
      </c>
      <c r="P1225" s="6">
        <v>0</v>
      </c>
      <c r="Q1225" s="4" t="s">
        <v>26</v>
      </c>
      <c r="R1225" s="4">
        <v>0</v>
      </c>
      <c r="S1225" s="4" t="s">
        <v>329</v>
      </c>
      <c r="T1225" s="4" t="s">
        <v>606</v>
      </c>
      <c r="U1225" s="4">
        <v>0</v>
      </c>
      <c r="V1225" s="4">
        <v>44</v>
      </c>
      <c r="W1225" s="4">
        <v>67</v>
      </c>
    </row>
    <row r="1226" spans="1:23" ht="11.25" customHeight="1" x14ac:dyDescent="0.25">
      <c r="A1226" s="4" t="s">
        <v>21</v>
      </c>
      <c r="B1226" s="4" t="s">
        <v>41</v>
      </c>
      <c r="C1226" s="4" t="s">
        <v>42</v>
      </c>
      <c r="D1226" s="4" t="s">
        <v>45</v>
      </c>
      <c r="E1226" s="4" t="s">
        <v>53</v>
      </c>
      <c r="F1226" s="4" t="s">
        <v>25</v>
      </c>
      <c r="G1226" s="4" t="s">
        <v>25</v>
      </c>
      <c r="H1226" s="4" t="s">
        <v>35</v>
      </c>
      <c r="I1226" s="5">
        <v>44593</v>
      </c>
      <c r="J1226" s="6">
        <v>0</v>
      </c>
      <c r="K1226" s="6">
        <v>0</v>
      </c>
      <c r="L1226" s="6">
        <v>2003.865</v>
      </c>
      <c r="M1226" s="6">
        <v>1923.7103999999999</v>
      </c>
      <c r="N1226" s="6">
        <v>2003.865</v>
      </c>
      <c r="O1226" s="6">
        <v>1923.7103999999999</v>
      </c>
      <c r="P1226" s="6">
        <v>0</v>
      </c>
      <c r="Q1226" s="4" t="s">
        <v>26</v>
      </c>
      <c r="R1226" s="4">
        <v>0</v>
      </c>
      <c r="S1226" s="4" t="s">
        <v>330</v>
      </c>
      <c r="T1226" s="4" t="s">
        <v>607</v>
      </c>
      <c r="U1226" s="4">
        <v>0</v>
      </c>
      <c r="V1226" s="4">
        <v>44</v>
      </c>
      <c r="W1226" s="4">
        <v>67</v>
      </c>
    </row>
    <row r="1227" spans="1:23" ht="11.25" customHeight="1" x14ac:dyDescent="0.25">
      <c r="A1227" s="4" t="s">
        <v>27</v>
      </c>
      <c r="B1227" s="4" t="s">
        <v>41</v>
      </c>
      <c r="C1227" s="4" t="s">
        <v>42</v>
      </c>
      <c r="D1227" s="4" t="s">
        <v>45</v>
      </c>
      <c r="E1227" s="4" t="s">
        <v>53</v>
      </c>
      <c r="F1227" s="4" t="s">
        <v>25</v>
      </c>
      <c r="G1227" s="4" t="s">
        <v>25</v>
      </c>
      <c r="H1227" s="4" t="s">
        <v>35</v>
      </c>
      <c r="I1227" s="5">
        <v>44593</v>
      </c>
      <c r="J1227" s="6">
        <v>0</v>
      </c>
      <c r="K1227" s="6">
        <v>0</v>
      </c>
      <c r="L1227" s="6">
        <v>-65.468999999999994</v>
      </c>
      <c r="M1227" s="6">
        <v>-62.850239999999999</v>
      </c>
      <c r="N1227" s="6">
        <v>-65.468999999999994</v>
      </c>
      <c r="O1227" s="6">
        <v>-62.850239999999999</v>
      </c>
      <c r="P1227" s="6">
        <v>0</v>
      </c>
      <c r="Q1227" s="4" t="s">
        <v>26</v>
      </c>
      <c r="R1227" s="4">
        <v>0</v>
      </c>
      <c r="S1227" s="4" t="s">
        <v>330</v>
      </c>
      <c r="T1227" s="4" t="s">
        <v>607</v>
      </c>
      <c r="U1227" s="4">
        <v>0</v>
      </c>
      <c r="V1227" s="4">
        <v>44</v>
      </c>
      <c r="W1227" s="4">
        <v>67</v>
      </c>
    </row>
    <row r="1228" spans="1:23" ht="11.25" customHeight="1" x14ac:dyDescent="0.25">
      <c r="A1228" s="4" t="s">
        <v>21</v>
      </c>
      <c r="B1228" s="4" t="s">
        <v>41</v>
      </c>
      <c r="C1228" s="4" t="s">
        <v>42</v>
      </c>
      <c r="D1228" s="4" t="s">
        <v>45</v>
      </c>
      <c r="E1228" s="4" t="s">
        <v>53</v>
      </c>
      <c r="F1228" s="4" t="s">
        <v>25</v>
      </c>
      <c r="G1228" s="4" t="s">
        <v>25</v>
      </c>
      <c r="H1228" s="4" t="s">
        <v>35</v>
      </c>
      <c r="I1228" s="5">
        <v>44621</v>
      </c>
      <c r="J1228" s="6">
        <v>0</v>
      </c>
      <c r="K1228" s="6">
        <v>0</v>
      </c>
      <c r="L1228" s="6">
        <v>1956.866</v>
      </c>
      <c r="M1228" s="6">
        <v>1878.5913599999999</v>
      </c>
      <c r="N1228" s="6">
        <v>1956.866</v>
      </c>
      <c r="O1228" s="6">
        <v>1878.5913599999999</v>
      </c>
      <c r="P1228" s="6">
        <v>0</v>
      </c>
      <c r="Q1228" s="4" t="s">
        <v>26</v>
      </c>
      <c r="R1228" s="4">
        <v>0</v>
      </c>
      <c r="S1228" s="4" t="s">
        <v>331</v>
      </c>
      <c r="T1228" s="4" t="s">
        <v>608</v>
      </c>
      <c r="U1228" s="4">
        <v>0</v>
      </c>
      <c r="V1228" s="4">
        <v>44</v>
      </c>
      <c r="W1228" s="4">
        <v>67</v>
      </c>
    </row>
    <row r="1229" spans="1:23" ht="11.25" customHeight="1" x14ac:dyDescent="0.25">
      <c r="A1229" s="4" t="s">
        <v>27</v>
      </c>
      <c r="B1229" s="4" t="s">
        <v>41</v>
      </c>
      <c r="C1229" s="4" t="s">
        <v>42</v>
      </c>
      <c r="D1229" s="4" t="s">
        <v>45</v>
      </c>
      <c r="E1229" s="4" t="s">
        <v>53</v>
      </c>
      <c r="F1229" s="4" t="s">
        <v>25</v>
      </c>
      <c r="G1229" s="4" t="s">
        <v>25</v>
      </c>
      <c r="H1229" s="4" t="s">
        <v>35</v>
      </c>
      <c r="I1229" s="5">
        <v>44621</v>
      </c>
      <c r="J1229" s="6">
        <v>0</v>
      </c>
      <c r="K1229" s="6">
        <v>0</v>
      </c>
      <c r="L1229" s="6">
        <v>7.1749999999999998</v>
      </c>
      <c r="M1229" s="6">
        <v>6.8879999999999999</v>
      </c>
      <c r="N1229" s="6">
        <v>7.1749999999999998</v>
      </c>
      <c r="O1229" s="6">
        <v>6.8879999999999999</v>
      </c>
      <c r="P1229" s="6">
        <v>0</v>
      </c>
      <c r="Q1229" s="4" t="s">
        <v>26</v>
      </c>
      <c r="R1229" s="4">
        <v>0</v>
      </c>
      <c r="S1229" s="4" t="s">
        <v>331</v>
      </c>
      <c r="T1229" s="4" t="s">
        <v>608</v>
      </c>
      <c r="U1229" s="4">
        <v>0</v>
      </c>
      <c r="V1229" s="4">
        <v>44</v>
      </c>
      <c r="W1229" s="4">
        <v>67</v>
      </c>
    </row>
    <row r="1230" spans="1:23" ht="11.25" customHeight="1" x14ac:dyDescent="0.25">
      <c r="A1230" s="4" t="s">
        <v>21</v>
      </c>
      <c r="B1230" s="4" t="s">
        <v>41</v>
      </c>
      <c r="C1230" s="4" t="s">
        <v>42</v>
      </c>
      <c r="D1230" s="4" t="s">
        <v>45</v>
      </c>
      <c r="E1230" s="4" t="s">
        <v>53</v>
      </c>
      <c r="F1230" s="4" t="s">
        <v>25</v>
      </c>
      <c r="G1230" s="4" t="s">
        <v>25</v>
      </c>
      <c r="H1230" s="4" t="s">
        <v>35</v>
      </c>
      <c r="I1230" s="5">
        <v>44652</v>
      </c>
      <c r="J1230" s="6">
        <v>0</v>
      </c>
      <c r="K1230" s="6">
        <v>0</v>
      </c>
      <c r="L1230" s="6">
        <v>1746.6479999999999</v>
      </c>
      <c r="M1230" s="6">
        <v>1676.78208</v>
      </c>
      <c r="N1230" s="6">
        <v>1746.6479999999999</v>
      </c>
      <c r="O1230" s="6">
        <v>1676.78208</v>
      </c>
      <c r="P1230" s="6">
        <v>0</v>
      </c>
      <c r="Q1230" s="4" t="s">
        <v>26</v>
      </c>
      <c r="R1230" s="4">
        <v>0</v>
      </c>
      <c r="S1230" s="4" t="s">
        <v>332</v>
      </c>
      <c r="T1230" s="4" t="s">
        <v>609</v>
      </c>
      <c r="U1230" s="4">
        <v>0</v>
      </c>
      <c r="V1230" s="4">
        <v>44</v>
      </c>
      <c r="W1230" s="4">
        <v>67</v>
      </c>
    </row>
    <row r="1231" spans="1:23" ht="11.25" customHeight="1" x14ac:dyDescent="0.25">
      <c r="A1231" s="4" t="s">
        <v>27</v>
      </c>
      <c r="B1231" s="4" t="s">
        <v>41</v>
      </c>
      <c r="C1231" s="4" t="s">
        <v>42</v>
      </c>
      <c r="D1231" s="4" t="s">
        <v>45</v>
      </c>
      <c r="E1231" s="4" t="s">
        <v>53</v>
      </c>
      <c r="F1231" s="4" t="s">
        <v>25</v>
      </c>
      <c r="G1231" s="4" t="s">
        <v>25</v>
      </c>
      <c r="H1231" s="4" t="s">
        <v>35</v>
      </c>
      <c r="I1231" s="5">
        <v>44652</v>
      </c>
      <c r="J1231" s="6">
        <v>0</v>
      </c>
      <c r="K1231" s="6">
        <v>0</v>
      </c>
      <c r="L1231" s="6">
        <v>-22.260999999999999</v>
      </c>
      <c r="M1231" s="6">
        <v>-21.370560000000001</v>
      </c>
      <c r="N1231" s="6">
        <v>-22.260999999999999</v>
      </c>
      <c r="O1231" s="6">
        <v>-21.370560000000001</v>
      </c>
      <c r="P1231" s="6">
        <v>0</v>
      </c>
      <c r="Q1231" s="4" t="s">
        <v>26</v>
      </c>
      <c r="R1231" s="4">
        <v>0</v>
      </c>
      <c r="S1231" s="4" t="s">
        <v>332</v>
      </c>
      <c r="T1231" s="4" t="s">
        <v>609</v>
      </c>
      <c r="U1231" s="4">
        <v>0</v>
      </c>
      <c r="V1231" s="4">
        <v>44</v>
      </c>
      <c r="W1231" s="4">
        <v>67</v>
      </c>
    </row>
    <row r="1232" spans="1:23" ht="11.25" customHeight="1" x14ac:dyDescent="0.25">
      <c r="A1232" s="4" t="s">
        <v>28</v>
      </c>
      <c r="B1232" s="4" t="s">
        <v>41</v>
      </c>
      <c r="C1232" s="4" t="s">
        <v>42</v>
      </c>
      <c r="D1232" s="4" t="s">
        <v>45</v>
      </c>
      <c r="E1232" s="4" t="s">
        <v>53</v>
      </c>
      <c r="F1232" s="4" t="s">
        <v>25</v>
      </c>
      <c r="G1232" s="4" t="s">
        <v>25</v>
      </c>
      <c r="H1232" s="4" t="s">
        <v>35</v>
      </c>
      <c r="I1232" s="5">
        <v>44652</v>
      </c>
      <c r="J1232" s="6">
        <v>0</v>
      </c>
      <c r="K1232" s="6">
        <v>0</v>
      </c>
      <c r="L1232" s="6">
        <v>0.41299999999999998</v>
      </c>
      <c r="M1232" s="6">
        <v>0.39647999999999994</v>
      </c>
      <c r="N1232" s="6">
        <v>0.41299999999999998</v>
      </c>
      <c r="O1232" s="6">
        <v>0.39647999999999994</v>
      </c>
      <c r="P1232" s="6">
        <v>0</v>
      </c>
      <c r="Q1232" s="4" t="s">
        <v>26</v>
      </c>
      <c r="R1232" s="4">
        <v>0</v>
      </c>
      <c r="S1232" s="4" t="s">
        <v>332</v>
      </c>
      <c r="T1232" s="4" t="s">
        <v>609</v>
      </c>
      <c r="U1232" s="4">
        <v>0</v>
      </c>
      <c r="V1232" s="4">
        <v>44</v>
      </c>
      <c r="W1232" s="4">
        <v>67</v>
      </c>
    </row>
    <row r="1233" spans="1:23" ht="11.25" customHeight="1" x14ac:dyDescent="0.25">
      <c r="A1233" s="4" t="s">
        <v>28</v>
      </c>
      <c r="B1233" s="4" t="s">
        <v>41</v>
      </c>
      <c r="C1233" s="4" t="s">
        <v>42</v>
      </c>
      <c r="D1233" s="4" t="s">
        <v>45</v>
      </c>
      <c r="E1233" s="4" t="s">
        <v>53</v>
      </c>
      <c r="F1233" s="4" t="s">
        <v>25</v>
      </c>
      <c r="G1233" s="4" t="s">
        <v>25</v>
      </c>
      <c r="H1233" s="4" t="s">
        <v>35</v>
      </c>
      <c r="I1233" s="5">
        <v>44652</v>
      </c>
      <c r="J1233" s="6">
        <v>0</v>
      </c>
      <c r="K1233" s="6">
        <v>0</v>
      </c>
      <c r="L1233" s="6">
        <v>-32.792000000000002</v>
      </c>
      <c r="M1233" s="6">
        <v>-31.480319999999999</v>
      </c>
      <c r="N1233" s="6">
        <v>-32.792000000000002</v>
      </c>
      <c r="O1233" s="6">
        <v>-31.480319999999999</v>
      </c>
      <c r="P1233" s="6">
        <v>0</v>
      </c>
      <c r="Q1233" s="4" t="s">
        <v>26</v>
      </c>
      <c r="R1233" s="4">
        <v>0</v>
      </c>
      <c r="S1233" s="4" t="s">
        <v>332</v>
      </c>
      <c r="T1233" s="4" t="s">
        <v>609</v>
      </c>
      <c r="U1233" s="4">
        <v>0</v>
      </c>
      <c r="V1233" s="4">
        <v>44</v>
      </c>
      <c r="W1233" s="4">
        <v>67</v>
      </c>
    </row>
    <row r="1234" spans="1:23" ht="11.25" customHeight="1" x14ac:dyDescent="0.25">
      <c r="A1234" s="4" t="s">
        <v>21</v>
      </c>
      <c r="B1234" s="4" t="s">
        <v>41</v>
      </c>
      <c r="C1234" s="4" t="s">
        <v>42</v>
      </c>
      <c r="D1234" s="4" t="s">
        <v>45</v>
      </c>
      <c r="E1234" s="4" t="s">
        <v>53</v>
      </c>
      <c r="F1234" s="4" t="s">
        <v>25</v>
      </c>
      <c r="G1234" s="4" t="s">
        <v>25</v>
      </c>
      <c r="H1234" s="4" t="s">
        <v>35</v>
      </c>
      <c r="I1234" s="5">
        <v>44682</v>
      </c>
      <c r="J1234" s="6">
        <v>0</v>
      </c>
      <c r="K1234" s="6">
        <v>0</v>
      </c>
      <c r="L1234" s="6">
        <v>1020.328</v>
      </c>
      <c r="M1234" s="6">
        <v>979.51487999999995</v>
      </c>
      <c r="N1234" s="6">
        <v>1020.328</v>
      </c>
      <c r="O1234" s="6">
        <v>979.51487999999995</v>
      </c>
      <c r="P1234" s="6">
        <v>0</v>
      </c>
      <c r="Q1234" s="4" t="s">
        <v>26</v>
      </c>
      <c r="R1234" s="4">
        <v>0</v>
      </c>
      <c r="S1234" s="4" t="s">
        <v>333</v>
      </c>
      <c r="T1234" s="4" t="s">
        <v>610</v>
      </c>
      <c r="U1234" s="4">
        <v>0</v>
      </c>
      <c r="V1234" s="4">
        <v>44</v>
      </c>
      <c r="W1234" s="4">
        <v>67</v>
      </c>
    </row>
    <row r="1235" spans="1:23" ht="11.25" customHeight="1" x14ac:dyDescent="0.25">
      <c r="A1235" s="4" t="s">
        <v>28</v>
      </c>
      <c r="B1235" s="4" t="s">
        <v>41</v>
      </c>
      <c r="C1235" s="4" t="s">
        <v>42</v>
      </c>
      <c r="D1235" s="4" t="s">
        <v>45</v>
      </c>
      <c r="E1235" s="4" t="s">
        <v>53</v>
      </c>
      <c r="F1235" s="4" t="s">
        <v>25</v>
      </c>
      <c r="G1235" s="4" t="s">
        <v>25</v>
      </c>
      <c r="H1235" s="4" t="s">
        <v>35</v>
      </c>
      <c r="I1235" s="5">
        <v>44682</v>
      </c>
      <c r="J1235" s="6">
        <v>0</v>
      </c>
      <c r="K1235" s="6">
        <v>0</v>
      </c>
      <c r="L1235" s="6">
        <v>2.202</v>
      </c>
      <c r="M1235" s="6">
        <v>2.1139199999999998</v>
      </c>
      <c r="N1235" s="6">
        <v>2.202</v>
      </c>
      <c r="O1235" s="6">
        <v>2.1139199999999998</v>
      </c>
      <c r="P1235" s="6">
        <v>0</v>
      </c>
      <c r="Q1235" s="4" t="s">
        <v>26</v>
      </c>
      <c r="R1235" s="4">
        <v>0</v>
      </c>
      <c r="S1235" s="4" t="s">
        <v>333</v>
      </c>
      <c r="T1235" s="4" t="s">
        <v>610</v>
      </c>
      <c r="U1235" s="4">
        <v>0</v>
      </c>
      <c r="V1235" s="4">
        <v>44</v>
      </c>
      <c r="W1235" s="4">
        <v>67</v>
      </c>
    </row>
    <row r="1236" spans="1:23" ht="11.25" customHeight="1" x14ac:dyDescent="0.25">
      <c r="A1236" s="4" t="s">
        <v>21</v>
      </c>
      <c r="B1236" s="4" t="s">
        <v>41</v>
      </c>
      <c r="C1236" s="4" t="s">
        <v>42</v>
      </c>
      <c r="D1236" s="4" t="s">
        <v>45</v>
      </c>
      <c r="E1236" s="4" t="s">
        <v>53</v>
      </c>
      <c r="F1236" s="4" t="s">
        <v>25</v>
      </c>
      <c r="G1236" s="4" t="s">
        <v>25</v>
      </c>
      <c r="H1236" s="4" t="s">
        <v>35</v>
      </c>
      <c r="I1236" s="5">
        <v>44713</v>
      </c>
      <c r="J1236" s="6">
        <v>0</v>
      </c>
      <c r="K1236" s="6">
        <v>0</v>
      </c>
      <c r="L1236" s="6">
        <v>723.52</v>
      </c>
      <c r="M1236" s="6">
        <v>694.57920000000001</v>
      </c>
      <c r="N1236" s="6">
        <v>723.52</v>
      </c>
      <c r="O1236" s="6">
        <v>694.57920000000001</v>
      </c>
      <c r="P1236" s="6">
        <v>0</v>
      </c>
      <c r="Q1236" s="4" t="s">
        <v>26</v>
      </c>
      <c r="R1236" s="4">
        <v>0</v>
      </c>
      <c r="S1236" s="4" t="s">
        <v>334</v>
      </c>
      <c r="T1236" s="4" t="s">
        <v>611</v>
      </c>
      <c r="U1236" s="4">
        <v>0</v>
      </c>
      <c r="V1236" s="4">
        <v>44</v>
      </c>
      <c r="W1236" s="4">
        <v>67</v>
      </c>
    </row>
    <row r="1237" spans="1:23" ht="11.25" customHeight="1" x14ac:dyDescent="0.25">
      <c r="A1237" s="4" t="s">
        <v>27</v>
      </c>
      <c r="B1237" s="4" t="s">
        <v>41</v>
      </c>
      <c r="C1237" s="4" t="s">
        <v>42</v>
      </c>
      <c r="D1237" s="4" t="s">
        <v>45</v>
      </c>
      <c r="E1237" s="4" t="s">
        <v>53</v>
      </c>
      <c r="F1237" s="4" t="s">
        <v>25</v>
      </c>
      <c r="G1237" s="4" t="s">
        <v>25</v>
      </c>
      <c r="H1237" s="4" t="s">
        <v>35</v>
      </c>
      <c r="I1237" s="5">
        <v>44713</v>
      </c>
      <c r="J1237" s="6">
        <v>0</v>
      </c>
      <c r="K1237" s="6">
        <v>0</v>
      </c>
      <c r="L1237" s="6">
        <v>-5.359</v>
      </c>
      <c r="M1237" s="6">
        <v>-5.1446399999999999</v>
      </c>
      <c r="N1237" s="6">
        <v>-5.359</v>
      </c>
      <c r="O1237" s="6">
        <v>-5.1446399999999999</v>
      </c>
      <c r="P1237" s="6">
        <v>0</v>
      </c>
      <c r="Q1237" s="4" t="s">
        <v>26</v>
      </c>
      <c r="R1237" s="4">
        <v>0</v>
      </c>
      <c r="S1237" s="4" t="s">
        <v>334</v>
      </c>
      <c r="T1237" s="4" t="s">
        <v>611</v>
      </c>
      <c r="U1237" s="4">
        <v>0</v>
      </c>
      <c r="V1237" s="4">
        <v>44</v>
      </c>
      <c r="W1237" s="4">
        <v>67</v>
      </c>
    </row>
    <row r="1238" spans="1:23" ht="11.25" customHeight="1" x14ac:dyDescent="0.25">
      <c r="A1238" s="4" t="s">
        <v>57</v>
      </c>
      <c r="B1238" s="4" t="s">
        <v>41</v>
      </c>
      <c r="C1238" s="4" t="s">
        <v>42</v>
      </c>
      <c r="D1238" s="4" t="s">
        <v>45</v>
      </c>
      <c r="E1238" s="4" t="s">
        <v>53</v>
      </c>
      <c r="F1238" s="4" t="s">
        <v>25</v>
      </c>
      <c r="G1238" s="4" t="s">
        <v>25</v>
      </c>
      <c r="H1238" s="4" t="s">
        <v>35</v>
      </c>
      <c r="I1238" s="5">
        <v>44743</v>
      </c>
      <c r="J1238" s="6">
        <v>0</v>
      </c>
      <c r="K1238" s="6">
        <v>0</v>
      </c>
      <c r="L1238" s="6">
        <v>723.52</v>
      </c>
      <c r="M1238" s="6">
        <v>694.57920000000001</v>
      </c>
      <c r="N1238" s="6">
        <v>723.52</v>
      </c>
      <c r="O1238" s="6">
        <v>694.57920000000001</v>
      </c>
      <c r="P1238" s="6">
        <v>0</v>
      </c>
      <c r="Q1238" s="4" t="s">
        <v>26</v>
      </c>
      <c r="R1238" s="4">
        <v>0</v>
      </c>
      <c r="S1238" s="4" t="s">
        <v>335</v>
      </c>
      <c r="T1238" s="4" t="s">
        <v>612</v>
      </c>
      <c r="U1238" s="4">
        <v>0</v>
      </c>
      <c r="V1238" s="4">
        <v>44</v>
      </c>
      <c r="W1238" s="4">
        <v>67</v>
      </c>
    </row>
    <row r="1239" spans="1:23" ht="11.25" customHeight="1" x14ac:dyDescent="0.25">
      <c r="A1239" s="4" t="s">
        <v>57</v>
      </c>
      <c r="B1239" s="4" t="s">
        <v>41</v>
      </c>
      <c r="C1239" s="4" t="s">
        <v>42</v>
      </c>
      <c r="D1239" s="4" t="s">
        <v>45</v>
      </c>
      <c r="E1239" s="4" t="s">
        <v>53</v>
      </c>
      <c r="F1239" s="4" t="s">
        <v>25</v>
      </c>
      <c r="G1239" s="4" t="s">
        <v>25</v>
      </c>
      <c r="H1239" s="4" t="s">
        <v>35</v>
      </c>
      <c r="I1239" s="5">
        <v>44743</v>
      </c>
      <c r="J1239" s="6">
        <v>0</v>
      </c>
      <c r="K1239" s="6">
        <v>0</v>
      </c>
      <c r="L1239" s="6">
        <v>-5.359</v>
      </c>
      <c r="M1239" s="6">
        <v>-5.1446399999999999</v>
      </c>
      <c r="N1239" s="6">
        <v>-5.359</v>
      </c>
      <c r="O1239" s="6">
        <v>-5.1446399999999999</v>
      </c>
      <c r="P1239" s="6">
        <v>0</v>
      </c>
      <c r="Q1239" s="4" t="s">
        <v>26</v>
      </c>
      <c r="R1239" s="4">
        <v>0</v>
      </c>
      <c r="S1239" s="4" t="s">
        <v>335</v>
      </c>
      <c r="T1239" s="4" t="s">
        <v>612</v>
      </c>
      <c r="U1239" s="4">
        <v>0</v>
      </c>
      <c r="V1239" s="4">
        <v>44</v>
      </c>
      <c r="W1239" s="4">
        <v>67</v>
      </c>
    </row>
    <row r="1240" spans="1:23" ht="11.25" customHeight="1" x14ac:dyDescent="0.25">
      <c r="A1240" s="4" t="s">
        <v>21</v>
      </c>
      <c r="B1240" s="4" t="s">
        <v>41</v>
      </c>
      <c r="C1240" s="4" t="s">
        <v>42</v>
      </c>
      <c r="D1240" s="4" t="s">
        <v>45</v>
      </c>
      <c r="E1240" s="4" t="s">
        <v>53</v>
      </c>
      <c r="F1240" s="4" t="s">
        <v>25</v>
      </c>
      <c r="G1240" s="4" t="s">
        <v>25</v>
      </c>
      <c r="H1240" s="4" t="s">
        <v>25</v>
      </c>
      <c r="I1240" s="5">
        <v>44409</v>
      </c>
      <c r="J1240" s="6">
        <v>13023</v>
      </c>
      <c r="K1240" s="6">
        <v>12502.08</v>
      </c>
      <c r="L1240" s="6">
        <v>0</v>
      </c>
      <c r="M1240" s="6">
        <v>0</v>
      </c>
      <c r="N1240" s="6">
        <v>0</v>
      </c>
      <c r="O1240" s="6">
        <v>0</v>
      </c>
      <c r="P1240" s="6">
        <v>84</v>
      </c>
      <c r="Q1240" s="4" t="s">
        <v>26</v>
      </c>
      <c r="R1240" s="4">
        <v>0</v>
      </c>
      <c r="S1240" s="4" t="s">
        <v>336</v>
      </c>
      <c r="U1240" s="4">
        <v>40</v>
      </c>
      <c r="V1240" s="4">
        <v>0</v>
      </c>
      <c r="W1240" s="4">
        <v>0</v>
      </c>
    </row>
    <row r="1241" spans="1:23" ht="11.25" customHeight="1" x14ac:dyDescent="0.25">
      <c r="A1241" s="4" t="s">
        <v>27</v>
      </c>
      <c r="B1241" s="4" t="s">
        <v>41</v>
      </c>
      <c r="C1241" s="4" t="s">
        <v>42</v>
      </c>
      <c r="D1241" s="4" t="s">
        <v>45</v>
      </c>
      <c r="E1241" s="4" t="s">
        <v>53</v>
      </c>
      <c r="F1241" s="4" t="s">
        <v>25</v>
      </c>
      <c r="G1241" s="4" t="s">
        <v>25</v>
      </c>
      <c r="H1241" s="4" t="s">
        <v>25</v>
      </c>
      <c r="I1241" s="5">
        <v>44409</v>
      </c>
      <c r="J1241" s="6">
        <v>-44</v>
      </c>
      <c r="K1241" s="6">
        <v>-42.24</v>
      </c>
      <c r="L1241" s="6">
        <v>0</v>
      </c>
      <c r="M1241" s="6">
        <v>0</v>
      </c>
      <c r="N1241" s="6">
        <v>0</v>
      </c>
      <c r="O1241" s="6">
        <v>0</v>
      </c>
      <c r="P1241" s="6">
        <v>-2</v>
      </c>
      <c r="Q1241" s="4" t="s">
        <v>26</v>
      </c>
      <c r="R1241" s="4">
        <v>0</v>
      </c>
      <c r="S1241" s="4" t="s">
        <v>336</v>
      </c>
      <c r="U1241" s="4">
        <v>40</v>
      </c>
      <c r="V1241" s="4">
        <v>0</v>
      </c>
      <c r="W1241" s="4">
        <v>0</v>
      </c>
    </row>
    <row r="1242" spans="1:23" ht="11.25" customHeight="1" x14ac:dyDescent="0.25">
      <c r="A1242" s="4" t="s">
        <v>28</v>
      </c>
      <c r="B1242" s="4" t="s">
        <v>41</v>
      </c>
      <c r="C1242" s="4" t="s">
        <v>42</v>
      </c>
      <c r="D1242" s="4" t="s">
        <v>45</v>
      </c>
      <c r="E1242" s="4" t="s">
        <v>53</v>
      </c>
      <c r="F1242" s="4" t="s">
        <v>25</v>
      </c>
      <c r="G1242" s="4" t="s">
        <v>25</v>
      </c>
      <c r="H1242" s="4" t="s">
        <v>25</v>
      </c>
      <c r="I1242" s="5">
        <v>44409</v>
      </c>
      <c r="J1242" s="6">
        <v>152</v>
      </c>
      <c r="K1242" s="6">
        <v>145.91999999999999</v>
      </c>
      <c r="L1242" s="6">
        <v>0</v>
      </c>
      <c r="M1242" s="6">
        <v>0</v>
      </c>
      <c r="N1242" s="6">
        <v>0</v>
      </c>
      <c r="O1242" s="6">
        <v>0</v>
      </c>
      <c r="P1242" s="6">
        <v>2</v>
      </c>
      <c r="Q1242" s="4" t="s">
        <v>26</v>
      </c>
      <c r="R1242" s="4">
        <v>0</v>
      </c>
      <c r="S1242" s="4" t="s">
        <v>336</v>
      </c>
      <c r="U1242" s="4">
        <v>40</v>
      </c>
      <c r="V1242" s="4">
        <v>0</v>
      </c>
      <c r="W1242" s="4">
        <v>0</v>
      </c>
    </row>
    <row r="1243" spans="1:23" ht="11.25" customHeight="1" x14ac:dyDescent="0.25">
      <c r="A1243" s="4" t="s">
        <v>28</v>
      </c>
      <c r="B1243" s="4" t="s">
        <v>41</v>
      </c>
      <c r="C1243" s="4" t="s">
        <v>42</v>
      </c>
      <c r="D1243" s="4" t="s">
        <v>45</v>
      </c>
      <c r="E1243" s="4" t="s">
        <v>53</v>
      </c>
      <c r="F1243" s="4" t="s">
        <v>25</v>
      </c>
      <c r="G1243" s="4" t="s">
        <v>25</v>
      </c>
      <c r="H1243" s="4" t="s">
        <v>25</v>
      </c>
      <c r="I1243" s="5">
        <v>44409</v>
      </c>
      <c r="J1243" s="6">
        <v>-22</v>
      </c>
      <c r="K1243" s="6">
        <v>-21.12</v>
      </c>
      <c r="L1243" s="6">
        <v>0</v>
      </c>
      <c r="M1243" s="6">
        <v>0</v>
      </c>
      <c r="N1243" s="6">
        <v>0</v>
      </c>
      <c r="O1243" s="6">
        <v>0</v>
      </c>
      <c r="P1243" s="6">
        <v>-4</v>
      </c>
      <c r="Q1243" s="4" t="s">
        <v>26</v>
      </c>
      <c r="R1243" s="4">
        <v>0</v>
      </c>
      <c r="S1243" s="4" t="s">
        <v>336</v>
      </c>
      <c r="U1243" s="4">
        <v>40</v>
      </c>
      <c r="V1243" s="4">
        <v>0</v>
      </c>
      <c r="W1243" s="4">
        <v>0</v>
      </c>
    </row>
    <row r="1244" spans="1:23" ht="11.25" customHeight="1" x14ac:dyDescent="0.25">
      <c r="A1244" s="4" t="s">
        <v>21</v>
      </c>
      <c r="B1244" s="4" t="s">
        <v>41</v>
      </c>
      <c r="C1244" s="4" t="s">
        <v>42</v>
      </c>
      <c r="D1244" s="4" t="s">
        <v>45</v>
      </c>
      <c r="E1244" s="4" t="s">
        <v>53</v>
      </c>
      <c r="F1244" s="4" t="s">
        <v>25</v>
      </c>
      <c r="G1244" s="4" t="s">
        <v>25</v>
      </c>
      <c r="H1244" s="4" t="s">
        <v>25</v>
      </c>
      <c r="I1244" s="5">
        <v>44440</v>
      </c>
      <c r="J1244" s="6">
        <v>12578</v>
      </c>
      <c r="K1244" s="6">
        <v>12074.88</v>
      </c>
      <c r="L1244" s="6">
        <v>0</v>
      </c>
      <c r="M1244" s="6">
        <v>0</v>
      </c>
      <c r="N1244" s="6">
        <v>0</v>
      </c>
      <c r="O1244" s="6">
        <v>0</v>
      </c>
      <c r="P1244" s="6">
        <v>104</v>
      </c>
      <c r="Q1244" s="4" t="s">
        <v>26</v>
      </c>
      <c r="R1244" s="4">
        <v>0</v>
      </c>
      <c r="S1244" s="4" t="s">
        <v>337</v>
      </c>
      <c r="U1244" s="4">
        <v>40</v>
      </c>
      <c r="V1244" s="4">
        <v>0</v>
      </c>
      <c r="W1244" s="4">
        <v>0</v>
      </c>
    </row>
    <row r="1245" spans="1:23" ht="11.25" customHeight="1" x14ac:dyDescent="0.25">
      <c r="A1245" s="4" t="s">
        <v>28</v>
      </c>
      <c r="B1245" s="4" t="s">
        <v>41</v>
      </c>
      <c r="C1245" s="4" t="s">
        <v>42</v>
      </c>
      <c r="D1245" s="4" t="s">
        <v>45</v>
      </c>
      <c r="E1245" s="4" t="s">
        <v>53</v>
      </c>
      <c r="F1245" s="4" t="s">
        <v>25</v>
      </c>
      <c r="G1245" s="4" t="s">
        <v>25</v>
      </c>
      <c r="H1245" s="4" t="s">
        <v>25</v>
      </c>
      <c r="I1245" s="5">
        <v>44440</v>
      </c>
      <c r="J1245" s="6">
        <v>62</v>
      </c>
      <c r="K1245" s="6">
        <v>59.519999999999996</v>
      </c>
      <c r="L1245" s="6">
        <v>0</v>
      </c>
      <c r="M1245" s="6">
        <v>0</v>
      </c>
      <c r="N1245" s="6">
        <v>0</v>
      </c>
      <c r="O1245" s="6">
        <v>0</v>
      </c>
      <c r="P1245" s="6">
        <v>1</v>
      </c>
      <c r="Q1245" s="4" t="s">
        <v>26</v>
      </c>
      <c r="R1245" s="4">
        <v>0</v>
      </c>
      <c r="S1245" s="4" t="s">
        <v>337</v>
      </c>
      <c r="U1245" s="4">
        <v>40</v>
      </c>
      <c r="V1245" s="4">
        <v>0</v>
      </c>
      <c r="W1245" s="4">
        <v>0</v>
      </c>
    </row>
    <row r="1246" spans="1:23" ht="11.25" customHeight="1" x14ac:dyDescent="0.25">
      <c r="A1246" s="4" t="s">
        <v>21</v>
      </c>
      <c r="B1246" s="4" t="s">
        <v>41</v>
      </c>
      <c r="C1246" s="4" t="s">
        <v>42</v>
      </c>
      <c r="D1246" s="4" t="s">
        <v>45</v>
      </c>
      <c r="E1246" s="4" t="s">
        <v>53</v>
      </c>
      <c r="F1246" s="4" t="s">
        <v>25</v>
      </c>
      <c r="G1246" s="4" t="s">
        <v>25</v>
      </c>
      <c r="H1246" s="4" t="s">
        <v>25</v>
      </c>
      <c r="I1246" s="5">
        <v>44470</v>
      </c>
      <c r="J1246" s="6">
        <v>16352</v>
      </c>
      <c r="K1246" s="6">
        <v>15697.92</v>
      </c>
      <c r="L1246" s="6">
        <v>0</v>
      </c>
      <c r="M1246" s="6">
        <v>0</v>
      </c>
      <c r="N1246" s="6">
        <v>0</v>
      </c>
      <c r="O1246" s="6">
        <v>0</v>
      </c>
      <c r="P1246" s="6">
        <v>102</v>
      </c>
      <c r="Q1246" s="4" t="s">
        <v>26</v>
      </c>
      <c r="R1246" s="4">
        <v>0</v>
      </c>
      <c r="S1246" s="4" t="s">
        <v>338</v>
      </c>
      <c r="U1246" s="4">
        <v>40</v>
      </c>
      <c r="V1246" s="4">
        <v>0</v>
      </c>
      <c r="W1246" s="4">
        <v>0</v>
      </c>
    </row>
    <row r="1247" spans="1:23" ht="11.25" customHeight="1" x14ac:dyDescent="0.25">
      <c r="A1247" s="4" t="s">
        <v>27</v>
      </c>
      <c r="B1247" s="4" t="s">
        <v>41</v>
      </c>
      <c r="C1247" s="4" t="s">
        <v>42</v>
      </c>
      <c r="D1247" s="4" t="s">
        <v>45</v>
      </c>
      <c r="E1247" s="4" t="s">
        <v>53</v>
      </c>
      <c r="F1247" s="4" t="s">
        <v>25</v>
      </c>
      <c r="G1247" s="4" t="s">
        <v>25</v>
      </c>
      <c r="H1247" s="4" t="s">
        <v>25</v>
      </c>
      <c r="I1247" s="5">
        <v>44470</v>
      </c>
      <c r="J1247" s="6">
        <v>65</v>
      </c>
      <c r="K1247" s="6">
        <v>62.4</v>
      </c>
      <c r="L1247" s="6">
        <v>0</v>
      </c>
      <c r="M1247" s="6">
        <v>0</v>
      </c>
      <c r="N1247" s="6">
        <v>0</v>
      </c>
      <c r="O1247" s="6">
        <v>0</v>
      </c>
      <c r="P1247" s="6">
        <v>-4</v>
      </c>
      <c r="Q1247" s="4" t="s">
        <v>26</v>
      </c>
      <c r="R1247" s="4">
        <v>0</v>
      </c>
      <c r="S1247" s="4" t="s">
        <v>338</v>
      </c>
      <c r="U1247" s="4">
        <v>40</v>
      </c>
      <c r="V1247" s="4">
        <v>0</v>
      </c>
      <c r="W1247" s="4">
        <v>0</v>
      </c>
    </row>
    <row r="1248" spans="1:23" ht="11.25" customHeight="1" x14ac:dyDescent="0.25">
      <c r="A1248" s="4" t="s">
        <v>28</v>
      </c>
      <c r="B1248" s="4" t="s">
        <v>41</v>
      </c>
      <c r="C1248" s="4" t="s">
        <v>42</v>
      </c>
      <c r="D1248" s="4" t="s">
        <v>45</v>
      </c>
      <c r="E1248" s="4" t="s">
        <v>53</v>
      </c>
      <c r="F1248" s="4" t="s">
        <v>25</v>
      </c>
      <c r="G1248" s="4" t="s">
        <v>25</v>
      </c>
      <c r="H1248" s="4" t="s">
        <v>25</v>
      </c>
      <c r="I1248" s="5">
        <v>44470</v>
      </c>
      <c r="J1248" s="6">
        <v>126</v>
      </c>
      <c r="K1248" s="6">
        <v>120.96</v>
      </c>
      <c r="L1248" s="6">
        <v>0</v>
      </c>
      <c r="M1248" s="6">
        <v>0</v>
      </c>
      <c r="N1248" s="6">
        <v>0</v>
      </c>
      <c r="O1248" s="6">
        <v>0</v>
      </c>
      <c r="P1248" s="6">
        <v>1</v>
      </c>
      <c r="Q1248" s="4" t="s">
        <v>26</v>
      </c>
      <c r="R1248" s="4">
        <v>0</v>
      </c>
      <c r="S1248" s="4" t="s">
        <v>338</v>
      </c>
      <c r="U1248" s="4">
        <v>40</v>
      </c>
      <c r="V1248" s="4">
        <v>0</v>
      </c>
      <c r="W1248" s="4">
        <v>0</v>
      </c>
    </row>
    <row r="1249" spans="1:23" ht="11.25" customHeight="1" x14ac:dyDescent="0.25">
      <c r="A1249" s="4" t="s">
        <v>21</v>
      </c>
      <c r="B1249" s="4" t="s">
        <v>41</v>
      </c>
      <c r="C1249" s="4" t="s">
        <v>42</v>
      </c>
      <c r="D1249" s="4" t="s">
        <v>45</v>
      </c>
      <c r="E1249" s="4" t="s">
        <v>53</v>
      </c>
      <c r="F1249" s="4" t="s">
        <v>25</v>
      </c>
      <c r="G1249" s="4" t="s">
        <v>25</v>
      </c>
      <c r="H1249" s="4" t="s">
        <v>25</v>
      </c>
      <c r="I1249" s="5">
        <v>44501</v>
      </c>
      <c r="J1249" s="6">
        <v>16067</v>
      </c>
      <c r="K1249" s="6">
        <v>15424.32</v>
      </c>
      <c r="L1249" s="6">
        <v>0</v>
      </c>
      <c r="M1249" s="6">
        <v>0</v>
      </c>
      <c r="N1249" s="6">
        <v>0</v>
      </c>
      <c r="O1249" s="6">
        <v>0</v>
      </c>
      <c r="P1249" s="6">
        <v>109</v>
      </c>
      <c r="Q1249" s="4" t="s">
        <v>26</v>
      </c>
      <c r="R1249" s="4">
        <v>0</v>
      </c>
      <c r="S1249" s="4" t="s">
        <v>339</v>
      </c>
      <c r="U1249" s="4">
        <v>40</v>
      </c>
      <c r="V1249" s="4">
        <v>0</v>
      </c>
      <c r="W1249" s="4">
        <v>0</v>
      </c>
    </row>
    <row r="1250" spans="1:23" ht="11.25" customHeight="1" x14ac:dyDescent="0.25">
      <c r="A1250" s="4" t="s">
        <v>27</v>
      </c>
      <c r="B1250" s="4" t="s">
        <v>41</v>
      </c>
      <c r="C1250" s="4" t="s">
        <v>42</v>
      </c>
      <c r="D1250" s="4" t="s">
        <v>45</v>
      </c>
      <c r="E1250" s="4" t="s">
        <v>53</v>
      </c>
      <c r="F1250" s="4" t="s">
        <v>25</v>
      </c>
      <c r="G1250" s="4" t="s">
        <v>25</v>
      </c>
      <c r="H1250" s="4" t="s">
        <v>25</v>
      </c>
      <c r="I1250" s="5">
        <v>44501</v>
      </c>
      <c r="J1250" s="6">
        <v>-46</v>
      </c>
      <c r="K1250" s="6">
        <v>-44.16</v>
      </c>
      <c r="L1250" s="6">
        <v>0</v>
      </c>
      <c r="M1250" s="6">
        <v>0</v>
      </c>
      <c r="N1250" s="6">
        <v>0</v>
      </c>
      <c r="O1250" s="6">
        <v>0</v>
      </c>
      <c r="P1250" s="6">
        <v>-1</v>
      </c>
      <c r="Q1250" s="4" t="s">
        <v>26</v>
      </c>
      <c r="R1250" s="4">
        <v>0</v>
      </c>
      <c r="S1250" s="4" t="s">
        <v>339</v>
      </c>
      <c r="U1250" s="4">
        <v>40</v>
      </c>
      <c r="V1250" s="4">
        <v>0</v>
      </c>
      <c r="W1250" s="4">
        <v>0</v>
      </c>
    </row>
    <row r="1251" spans="1:23" ht="11.25" customHeight="1" x14ac:dyDescent="0.25">
      <c r="A1251" s="4" t="s">
        <v>28</v>
      </c>
      <c r="B1251" s="4" t="s">
        <v>41</v>
      </c>
      <c r="C1251" s="4" t="s">
        <v>42</v>
      </c>
      <c r="D1251" s="4" t="s">
        <v>45</v>
      </c>
      <c r="E1251" s="4" t="s">
        <v>53</v>
      </c>
      <c r="F1251" s="4" t="s">
        <v>25</v>
      </c>
      <c r="G1251" s="4" t="s">
        <v>25</v>
      </c>
      <c r="H1251" s="4" t="s">
        <v>25</v>
      </c>
      <c r="I1251" s="5">
        <v>44501</v>
      </c>
      <c r="J1251" s="6">
        <v>216</v>
      </c>
      <c r="K1251" s="6">
        <v>207.35999999999999</v>
      </c>
      <c r="L1251" s="6">
        <v>0</v>
      </c>
      <c r="M1251" s="6">
        <v>0</v>
      </c>
      <c r="N1251" s="6">
        <v>0</v>
      </c>
      <c r="O1251" s="6">
        <v>0</v>
      </c>
      <c r="P1251" s="6">
        <v>2</v>
      </c>
      <c r="Q1251" s="4" t="s">
        <v>26</v>
      </c>
      <c r="R1251" s="4">
        <v>0</v>
      </c>
      <c r="S1251" s="4" t="s">
        <v>339</v>
      </c>
      <c r="U1251" s="4">
        <v>40</v>
      </c>
      <c r="V1251" s="4">
        <v>0</v>
      </c>
      <c r="W1251" s="4">
        <v>0</v>
      </c>
    </row>
    <row r="1252" spans="1:23" ht="11.25" customHeight="1" x14ac:dyDescent="0.25">
      <c r="A1252" s="4" t="s">
        <v>28</v>
      </c>
      <c r="B1252" s="4" t="s">
        <v>41</v>
      </c>
      <c r="C1252" s="4" t="s">
        <v>42</v>
      </c>
      <c r="D1252" s="4" t="s">
        <v>45</v>
      </c>
      <c r="E1252" s="4" t="s">
        <v>53</v>
      </c>
      <c r="F1252" s="4" t="s">
        <v>25</v>
      </c>
      <c r="G1252" s="4" t="s">
        <v>25</v>
      </c>
      <c r="H1252" s="4" t="s">
        <v>25</v>
      </c>
      <c r="I1252" s="5">
        <v>44501</v>
      </c>
      <c r="J1252" s="6">
        <v>241</v>
      </c>
      <c r="K1252" s="6">
        <v>231.36</v>
      </c>
      <c r="L1252" s="6">
        <v>0</v>
      </c>
      <c r="M1252" s="6">
        <v>0</v>
      </c>
      <c r="N1252" s="6">
        <v>0</v>
      </c>
      <c r="O1252" s="6">
        <v>0</v>
      </c>
      <c r="P1252" s="6">
        <v>1</v>
      </c>
      <c r="Q1252" s="4" t="s">
        <v>26</v>
      </c>
      <c r="R1252" s="4">
        <v>0</v>
      </c>
      <c r="S1252" s="4" t="s">
        <v>339</v>
      </c>
      <c r="U1252" s="4">
        <v>40</v>
      </c>
      <c r="V1252" s="4">
        <v>0</v>
      </c>
      <c r="W1252" s="4">
        <v>0</v>
      </c>
    </row>
    <row r="1253" spans="1:23" ht="11.25" customHeight="1" x14ac:dyDescent="0.25">
      <c r="A1253" s="4" t="s">
        <v>21</v>
      </c>
      <c r="B1253" s="4" t="s">
        <v>41</v>
      </c>
      <c r="C1253" s="4" t="s">
        <v>42</v>
      </c>
      <c r="D1253" s="4" t="s">
        <v>45</v>
      </c>
      <c r="E1253" s="4" t="s">
        <v>53</v>
      </c>
      <c r="F1253" s="4" t="s">
        <v>25</v>
      </c>
      <c r="G1253" s="4" t="s">
        <v>25</v>
      </c>
      <c r="H1253" s="4" t="s">
        <v>25</v>
      </c>
      <c r="I1253" s="5">
        <v>44531</v>
      </c>
      <c r="J1253" s="6">
        <v>18098</v>
      </c>
      <c r="K1253" s="6">
        <v>17374.080000000002</v>
      </c>
      <c r="L1253" s="6">
        <v>0</v>
      </c>
      <c r="M1253" s="6">
        <v>0</v>
      </c>
      <c r="N1253" s="6">
        <v>0</v>
      </c>
      <c r="O1253" s="6">
        <v>0</v>
      </c>
      <c r="P1253" s="6">
        <v>109</v>
      </c>
      <c r="Q1253" s="4" t="s">
        <v>26</v>
      </c>
      <c r="R1253" s="4">
        <v>0</v>
      </c>
      <c r="S1253" s="4" t="s">
        <v>340</v>
      </c>
      <c r="U1253" s="4">
        <v>40</v>
      </c>
      <c r="V1253" s="4">
        <v>0</v>
      </c>
      <c r="W1253" s="4">
        <v>0</v>
      </c>
    </row>
    <row r="1254" spans="1:23" ht="11.25" customHeight="1" x14ac:dyDescent="0.25">
      <c r="A1254" s="4" t="s">
        <v>27</v>
      </c>
      <c r="B1254" s="4" t="s">
        <v>41</v>
      </c>
      <c r="C1254" s="4" t="s">
        <v>42</v>
      </c>
      <c r="D1254" s="4" t="s">
        <v>45</v>
      </c>
      <c r="E1254" s="4" t="s">
        <v>53</v>
      </c>
      <c r="F1254" s="4" t="s">
        <v>25</v>
      </c>
      <c r="G1254" s="4" t="s">
        <v>25</v>
      </c>
      <c r="H1254" s="4" t="s">
        <v>25</v>
      </c>
      <c r="I1254" s="5">
        <v>44531</v>
      </c>
      <c r="J1254" s="6">
        <v>-7</v>
      </c>
      <c r="K1254" s="6">
        <v>-6.72</v>
      </c>
      <c r="L1254" s="6">
        <v>0</v>
      </c>
      <c r="M1254" s="6">
        <v>0</v>
      </c>
      <c r="N1254" s="6">
        <v>0</v>
      </c>
      <c r="O1254" s="6">
        <v>0</v>
      </c>
      <c r="P1254" s="6">
        <v>1</v>
      </c>
      <c r="Q1254" s="4" t="s">
        <v>26</v>
      </c>
      <c r="R1254" s="4">
        <v>0</v>
      </c>
      <c r="S1254" s="4" t="s">
        <v>340</v>
      </c>
      <c r="U1254" s="4">
        <v>40</v>
      </c>
      <c r="V1254" s="4">
        <v>0</v>
      </c>
      <c r="W1254" s="4">
        <v>0</v>
      </c>
    </row>
    <row r="1255" spans="1:23" ht="11.25" customHeight="1" x14ac:dyDescent="0.25">
      <c r="A1255" s="4" t="s">
        <v>28</v>
      </c>
      <c r="B1255" s="4" t="s">
        <v>41</v>
      </c>
      <c r="C1255" s="4" t="s">
        <v>42</v>
      </c>
      <c r="D1255" s="4" t="s">
        <v>45</v>
      </c>
      <c r="E1255" s="4" t="s">
        <v>53</v>
      </c>
      <c r="F1255" s="4" t="s">
        <v>25</v>
      </c>
      <c r="G1255" s="4" t="s">
        <v>25</v>
      </c>
      <c r="H1255" s="4" t="s">
        <v>25</v>
      </c>
      <c r="I1255" s="5">
        <v>44531</v>
      </c>
      <c r="J1255" s="6">
        <v>153</v>
      </c>
      <c r="K1255" s="6">
        <v>146.88</v>
      </c>
      <c r="L1255" s="6">
        <v>0</v>
      </c>
      <c r="M1255" s="6">
        <v>0</v>
      </c>
      <c r="N1255" s="6">
        <v>0</v>
      </c>
      <c r="O1255" s="6">
        <v>0</v>
      </c>
      <c r="P1255" s="6">
        <v>2</v>
      </c>
      <c r="Q1255" s="4" t="s">
        <v>26</v>
      </c>
      <c r="R1255" s="4">
        <v>0</v>
      </c>
      <c r="S1255" s="4" t="s">
        <v>340</v>
      </c>
      <c r="U1255" s="4">
        <v>40</v>
      </c>
      <c r="V1255" s="4">
        <v>0</v>
      </c>
      <c r="W1255" s="4">
        <v>0</v>
      </c>
    </row>
    <row r="1256" spans="1:23" ht="11.25" customHeight="1" x14ac:dyDescent="0.25">
      <c r="A1256" s="4" t="s">
        <v>21</v>
      </c>
      <c r="B1256" s="4" t="s">
        <v>41</v>
      </c>
      <c r="C1256" s="4" t="s">
        <v>42</v>
      </c>
      <c r="D1256" s="4" t="s">
        <v>45</v>
      </c>
      <c r="E1256" s="4" t="s">
        <v>53</v>
      </c>
      <c r="F1256" s="4" t="s">
        <v>25</v>
      </c>
      <c r="G1256" s="4" t="s">
        <v>25</v>
      </c>
      <c r="H1256" s="4" t="s">
        <v>25</v>
      </c>
      <c r="I1256" s="5">
        <v>44562</v>
      </c>
      <c r="J1256" s="6">
        <v>18151</v>
      </c>
      <c r="K1256" s="6">
        <v>17424.96</v>
      </c>
      <c r="L1256" s="6">
        <v>0</v>
      </c>
      <c r="M1256" s="6">
        <v>0</v>
      </c>
      <c r="N1256" s="6">
        <v>0</v>
      </c>
      <c r="O1256" s="6">
        <v>0</v>
      </c>
      <c r="P1256" s="6">
        <v>109</v>
      </c>
      <c r="Q1256" s="4" t="s">
        <v>26</v>
      </c>
      <c r="R1256" s="4">
        <v>0</v>
      </c>
      <c r="S1256" s="4" t="s">
        <v>341</v>
      </c>
      <c r="U1256" s="4">
        <v>40</v>
      </c>
      <c r="V1256" s="4">
        <v>0</v>
      </c>
      <c r="W1256" s="4">
        <v>0</v>
      </c>
    </row>
    <row r="1257" spans="1:23" ht="11.25" customHeight="1" x14ac:dyDescent="0.25">
      <c r="A1257" s="4" t="s">
        <v>27</v>
      </c>
      <c r="B1257" s="4" t="s">
        <v>41</v>
      </c>
      <c r="C1257" s="4" t="s">
        <v>42</v>
      </c>
      <c r="D1257" s="4" t="s">
        <v>45</v>
      </c>
      <c r="E1257" s="4" t="s">
        <v>53</v>
      </c>
      <c r="F1257" s="4" t="s">
        <v>25</v>
      </c>
      <c r="G1257" s="4" t="s">
        <v>25</v>
      </c>
      <c r="H1257" s="4" t="s">
        <v>25</v>
      </c>
      <c r="I1257" s="5">
        <v>44562</v>
      </c>
      <c r="J1257" s="6">
        <v>-172</v>
      </c>
      <c r="K1257" s="6">
        <v>-165.12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4" t="s">
        <v>26</v>
      </c>
      <c r="R1257" s="4">
        <v>0</v>
      </c>
      <c r="S1257" s="4" t="s">
        <v>341</v>
      </c>
      <c r="U1257" s="4">
        <v>40</v>
      </c>
      <c r="V1257" s="4">
        <v>0</v>
      </c>
      <c r="W1257" s="4">
        <v>0</v>
      </c>
    </row>
    <row r="1258" spans="1:23" ht="11.25" customHeight="1" x14ac:dyDescent="0.25">
      <c r="A1258" s="4" t="s">
        <v>28</v>
      </c>
      <c r="B1258" s="4" t="s">
        <v>41</v>
      </c>
      <c r="C1258" s="4" t="s">
        <v>42</v>
      </c>
      <c r="D1258" s="4" t="s">
        <v>45</v>
      </c>
      <c r="E1258" s="4" t="s">
        <v>53</v>
      </c>
      <c r="F1258" s="4" t="s">
        <v>25</v>
      </c>
      <c r="G1258" s="4" t="s">
        <v>25</v>
      </c>
      <c r="H1258" s="4" t="s">
        <v>25</v>
      </c>
      <c r="I1258" s="5">
        <v>44562</v>
      </c>
      <c r="J1258" s="6">
        <v>129</v>
      </c>
      <c r="K1258" s="6">
        <v>123.83999999999999</v>
      </c>
      <c r="L1258" s="6">
        <v>0</v>
      </c>
      <c r="M1258" s="6">
        <v>0</v>
      </c>
      <c r="N1258" s="6">
        <v>0</v>
      </c>
      <c r="O1258" s="6">
        <v>0</v>
      </c>
      <c r="P1258" s="6">
        <v>2</v>
      </c>
      <c r="Q1258" s="4" t="s">
        <v>26</v>
      </c>
      <c r="R1258" s="4">
        <v>0</v>
      </c>
      <c r="S1258" s="4" t="s">
        <v>341</v>
      </c>
      <c r="U1258" s="4">
        <v>40</v>
      </c>
      <c r="V1258" s="4">
        <v>0</v>
      </c>
      <c r="W1258" s="4">
        <v>0</v>
      </c>
    </row>
    <row r="1259" spans="1:23" ht="11.25" customHeight="1" x14ac:dyDescent="0.25">
      <c r="A1259" s="4" t="s">
        <v>21</v>
      </c>
      <c r="B1259" s="4" t="s">
        <v>41</v>
      </c>
      <c r="C1259" s="4" t="s">
        <v>42</v>
      </c>
      <c r="D1259" s="4" t="s">
        <v>45</v>
      </c>
      <c r="E1259" s="4" t="s">
        <v>53</v>
      </c>
      <c r="F1259" s="4" t="s">
        <v>25</v>
      </c>
      <c r="G1259" s="4" t="s">
        <v>25</v>
      </c>
      <c r="H1259" s="4" t="s">
        <v>25</v>
      </c>
      <c r="I1259" s="5">
        <v>44593</v>
      </c>
      <c r="J1259" s="6">
        <v>16868</v>
      </c>
      <c r="K1259" s="6">
        <v>16193.28</v>
      </c>
      <c r="L1259" s="6">
        <v>0</v>
      </c>
      <c r="M1259" s="6">
        <v>0</v>
      </c>
      <c r="N1259" s="6">
        <v>0</v>
      </c>
      <c r="O1259" s="6">
        <v>0</v>
      </c>
      <c r="P1259" s="6">
        <v>117</v>
      </c>
      <c r="Q1259" s="4" t="s">
        <v>26</v>
      </c>
      <c r="R1259" s="4">
        <v>0</v>
      </c>
      <c r="S1259" s="4" t="s">
        <v>342</v>
      </c>
      <c r="U1259" s="4">
        <v>40</v>
      </c>
      <c r="V1259" s="4">
        <v>0</v>
      </c>
      <c r="W1259" s="4">
        <v>0</v>
      </c>
    </row>
    <row r="1260" spans="1:23" ht="11.25" customHeight="1" x14ac:dyDescent="0.25">
      <c r="A1260" s="4" t="s">
        <v>27</v>
      </c>
      <c r="B1260" s="4" t="s">
        <v>41</v>
      </c>
      <c r="C1260" s="4" t="s">
        <v>42</v>
      </c>
      <c r="D1260" s="4" t="s">
        <v>45</v>
      </c>
      <c r="E1260" s="4" t="s">
        <v>53</v>
      </c>
      <c r="F1260" s="4" t="s">
        <v>25</v>
      </c>
      <c r="G1260" s="4" t="s">
        <v>25</v>
      </c>
      <c r="H1260" s="4" t="s">
        <v>25</v>
      </c>
      <c r="I1260" s="5">
        <v>44593</v>
      </c>
      <c r="J1260" s="6">
        <v>-304</v>
      </c>
      <c r="K1260" s="6">
        <v>-291.83999999999997</v>
      </c>
      <c r="L1260" s="6">
        <v>0</v>
      </c>
      <c r="M1260" s="6">
        <v>0</v>
      </c>
      <c r="N1260" s="6">
        <v>0</v>
      </c>
      <c r="O1260" s="6">
        <v>0</v>
      </c>
      <c r="P1260" s="6">
        <v>-1</v>
      </c>
      <c r="Q1260" s="4" t="s">
        <v>26</v>
      </c>
      <c r="R1260" s="4">
        <v>0</v>
      </c>
      <c r="S1260" s="4" t="s">
        <v>342</v>
      </c>
      <c r="U1260" s="4">
        <v>40</v>
      </c>
      <c r="V1260" s="4">
        <v>0</v>
      </c>
      <c r="W1260" s="4">
        <v>0</v>
      </c>
    </row>
    <row r="1261" spans="1:23" ht="11.25" customHeight="1" x14ac:dyDescent="0.25">
      <c r="A1261" s="4" t="s">
        <v>28</v>
      </c>
      <c r="B1261" s="4" t="s">
        <v>41</v>
      </c>
      <c r="C1261" s="4" t="s">
        <v>42</v>
      </c>
      <c r="D1261" s="4" t="s">
        <v>45</v>
      </c>
      <c r="E1261" s="4" t="s">
        <v>53</v>
      </c>
      <c r="F1261" s="4" t="s">
        <v>25</v>
      </c>
      <c r="G1261" s="4" t="s">
        <v>25</v>
      </c>
      <c r="H1261" s="4" t="s">
        <v>25</v>
      </c>
      <c r="I1261" s="5">
        <v>44593</v>
      </c>
      <c r="J1261" s="6">
        <v>36</v>
      </c>
      <c r="K1261" s="6">
        <v>34.56</v>
      </c>
      <c r="L1261" s="6">
        <v>0</v>
      </c>
      <c r="M1261" s="6">
        <v>0</v>
      </c>
      <c r="N1261" s="6">
        <v>0</v>
      </c>
      <c r="O1261" s="6">
        <v>0</v>
      </c>
      <c r="P1261" s="6">
        <v>2</v>
      </c>
      <c r="Q1261" s="4" t="s">
        <v>26</v>
      </c>
      <c r="R1261" s="4">
        <v>0</v>
      </c>
      <c r="S1261" s="4" t="s">
        <v>342</v>
      </c>
      <c r="U1261" s="4">
        <v>40</v>
      </c>
      <c r="V1261" s="4">
        <v>0</v>
      </c>
      <c r="W1261" s="4">
        <v>0</v>
      </c>
    </row>
    <row r="1262" spans="1:23" ht="11.25" customHeight="1" x14ac:dyDescent="0.25">
      <c r="A1262" s="4" t="s">
        <v>21</v>
      </c>
      <c r="B1262" s="4" t="s">
        <v>41</v>
      </c>
      <c r="C1262" s="4" t="s">
        <v>42</v>
      </c>
      <c r="D1262" s="4" t="s">
        <v>45</v>
      </c>
      <c r="E1262" s="4" t="s">
        <v>53</v>
      </c>
      <c r="F1262" s="4" t="s">
        <v>25</v>
      </c>
      <c r="G1262" s="4" t="s">
        <v>25</v>
      </c>
      <c r="H1262" s="4" t="s">
        <v>25</v>
      </c>
      <c r="I1262" s="5">
        <v>44621</v>
      </c>
      <c r="J1262" s="6">
        <v>15596</v>
      </c>
      <c r="K1262" s="6">
        <v>14972.16</v>
      </c>
      <c r="L1262" s="6">
        <v>0</v>
      </c>
      <c r="M1262" s="6">
        <v>0</v>
      </c>
      <c r="N1262" s="6">
        <v>0</v>
      </c>
      <c r="O1262" s="6">
        <v>0</v>
      </c>
      <c r="P1262" s="6">
        <v>110</v>
      </c>
      <c r="Q1262" s="4" t="s">
        <v>26</v>
      </c>
      <c r="R1262" s="4">
        <v>0</v>
      </c>
      <c r="S1262" s="4" t="s">
        <v>343</v>
      </c>
      <c r="U1262" s="4">
        <v>40</v>
      </c>
      <c r="V1262" s="4">
        <v>0</v>
      </c>
      <c r="W1262" s="4">
        <v>0</v>
      </c>
    </row>
    <row r="1263" spans="1:23" ht="11.25" customHeight="1" x14ac:dyDescent="0.25">
      <c r="A1263" s="4" t="s">
        <v>28</v>
      </c>
      <c r="B1263" s="4" t="s">
        <v>41</v>
      </c>
      <c r="C1263" s="4" t="s">
        <v>42</v>
      </c>
      <c r="D1263" s="4" t="s">
        <v>45</v>
      </c>
      <c r="E1263" s="4" t="s">
        <v>53</v>
      </c>
      <c r="F1263" s="4" t="s">
        <v>25</v>
      </c>
      <c r="G1263" s="4" t="s">
        <v>25</v>
      </c>
      <c r="H1263" s="4" t="s">
        <v>25</v>
      </c>
      <c r="I1263" s="5">
        <v>44621</v>
      </c>
      <c r="J1263" s="6">
        <v>89</v>
      </c>
      <c r="K1263" s="6">
        <v>85.44</v>
      </c>
      <c r="L1263" s="6">
        <v>0</v>
      </c>
      <c r="M1263" s="6">
        <v>0</v>
      </c>
      <c r="N1263" s="6">
        <v>0</v>
      </c>
      <c r="O1263" s="6">
        <v>0</v>
      </c>
      <c r="P1263" s="6">
        <v>3</v>
      </c>
      <c r="Q1263" s="4" t="s">
        <v>26</v>
      </c>
      <c r="R1263" s="4">
        <v>0</v>
      </c>
      <c r="S1263" s="4" t="s">
        <v>343</v>
      </c>
      <c r="U1263" s="4">
        <v>40</v>
      </c>
      <c r="V1263" s="4">
        <v>0</v>
      </c>
      <c r="W1263" s="4">
        <v>0</v>
      </c>
    </row>
    <row r="1264" spans="1:23" ht="11.25" customHeight="1" x14ac:dyDescent="0.25">
      <c r="A1264" s="4" t="s">
        <v>21</v>
      </c>
      <c r="B1264" s="4" t="s">
        <v>41</v>
      </c>
      <c r="C1264" s="4" t="s">
        <v>42</v>
      </c>
      <c r="D1264" s="4" t="s">
        <v>45</v>
      </c>
      <c r="E1264" s="4" t="s">
        <v>53</v>
      </c>
      <c r="F1264" s="4" t="s">
        <v>25</v>
      </c>
      <c r="G1264" s="4" t="s">
        <v>25</v>
      </c>
      <c r="H1264" s="4" t="s">
        <v>25</v>
      </c>
      <c r="I1264" s="5">
        <v>44652</v>
      </c>
      <c r="J1264" s="6">
        <v>13951</v>
      </c>
      <c r="K1264" s="6">
        <v>13392.96</v>
      </c>
      <c r="L1264" s="6">
        <v>0</v>
      </c>
      <c r="M1264" s="6">
        <v>0</v>
      </c>
      <c r="N1264" s="6">
        <v>0</v>
      </c>
      <c r="O1264" s="6">
        <v>0</v>
      </c>
      <c r="P1264" s="6">
        <v>112</v>
      </c>
      <c r="Q1264" s="4" t="s">
        <v>26</v>
      </c>
      <c r="R1264" s="4">
        <v>0</v>
      </c>
      <c r="S1264" s="4" t="s">
        <v>344</v>
      </c>
      <c r="U1264" s="4">
        <v>40</v>
      </c>
      <c r="V1264" s="4">
        <v>0</v>
      </c>
      <c r="W1264" s="4">
        <v>0</v>
      </c>
    </row>
    <row r="1265" spans="1:23" ht="11.25" customHeight="1" x14ac:dyDescent="0.25">
      <c r="A1265" s="4" t="s">
        <v>27</v>
      </c>
      <c r="B1265" s="4" t="s">
        <v>41</v>
      </c>
      <c r="C1265" s="4" t="s">
        <v>42</v>
      </c>
      <c r="D1265" s="4" t="s">
        <v>45</v>
      </c>
      <c r="E1265" s="4" t="s">
        <v>53</v>
      </c>
      <c r="F1265" s="4" t="s">
        <v>25</v>
      </c>
      <c r="G1265" s="4" t="s">
        <v>25</v>
      </c>
      <c r="H1265" s="4" t="s">
        <v>25</v>
      </c>
      <c r="I1265" s="5">
        <v>44652</v>
      </c>
      <c r="J1265" s="6">
        <v>-17</v>
      </c>
      <c r="K1265" s="6">
        <v>-16.32</v>
      </c>
      <c r="L1265" s="6">
        <v>0</v>
      </c>
      <c r="M1265" s="6">
        <v>0</v>
      </c>
      <c r="N1265" s="6">
        <v>0</v>
      </c>
      <c r="O1265" s="6">
        <v>0</v>
      </c>
      <c r="P1265" s="6">
        <v>-1</v>
      </c>
      <c r="Q1265" s="4" t="s">
        <v>26</v>
      </c>
      <c r="R1265" s="4">
        <v>0</v>
      </c>
      <c r="S1265" s="4" t="s">
        <v>344</v>
      </c>
      <c r="U1265" s="4">
        <v>40</v>
      </c>
      <c r="V1265" s="4">
        <v>0</v>
      </c>
      <c r="W1265" s="4">
        <v>0</v>
      </c>
    </row>
    <row r="1266" spans="1:23" ht="11.25" customHeight="1" x14ac:dyDescent="0.25">
      <c r="A1266" s="4" t="s">
        <v>28</v>
      </c>
      <c r="B1266" s="4" t="s">
        <v>41</v>
      </c>
      <c r="C1266" s="4" t="s">
        <v>42</v>
      </c>
      <c r="D1266" s="4" t="s">
        <v>45</v>
      </c>
      <c r="E1266" s="4" t="s">
        <v>53</v>
      </c>
      <c r="F1266" s="4" t="s">
        <v>25</v>
      </c>
      <c r="G1266" s="4" t="s">
        <v>25</v>
      </c>
      <c r="H1266" s="4" t="s">
        <v>25</v>
      </c>
      <c r="I1266" s="5">
        <v>44652</v>
      </c>
      <c r="J1266" s="6">
        <v>232</v>
      </c>
      <c r="K1266" s="6">
        <v>222.72</v>
      </c>
      <c r="L1266" s="6">
        <v>0</v>
      </c>
      <c r="M1266" s="6">
        <v>0</v>
      </c>
      <c r="N1266" s="6">
        <v>0</v>
      </c>
      <c r="O1266" s="6">
        <v>0</v>
      </c>
      <c r="P1266" s="6">
        <v>3</v>
      </c>
      <c r="Q1266" s="4" t="s">
        <v>26</v>
      </c>
      <c r="R1266" s="4">
        <v>0</v>
      </c>
      <c r="S1266" s="4" t="s">
        <v>344</v>
      </c>
      <c r="U1266" s="4">
        <v>40</v>
      </c>
      <c r="V1266" s="4">
        <v>0</v>
      </c>
      <c r="W1266" s="4">
        <v>0</v>
      </c>
    </row>
    <row r="1267" spans="1:23" ht="11.25" customHeight="1" x14ac:dyDescent="0.25">
      <c r="A1267" s="4" t="s">
        <v>28</v>
      </c>
      <c r="B1267" s="4" t="s">
        <v>41</v>
      </c>
      <c r="C1267" s="4" t="s">
        <v>42</v>
      </c>
      <c r="D1267" s="4" t="s">
        <v>45</v>
      </c>
      <c r="E1267" s="4" t="s">
        <v>53</v>
      </c>
      <c r="F1267" s="4" t="s">
        <v>25</v>
      </c>
      <c r="G1267" s="4" t="s">
        <v>25</v>
      </c>
      <c r="H1267" s="4" t="s">
        <v>25</v>
      </c>
      <c r="I1267" s="5">
        <v>44652</v>
      </c>
      <c r="J1267" s="6">
        <v>575</v>
      </c>
      <c r="K1267" s="6">
        <v>552</v>
      </c>
      <c r="L1267" s="6">
        <v>0</v>
      </c>
      <c r="M1267" s="6">
        <v>0</v>
      </c>
      <c r="N1267" s="6">
        <v>0</v>
      </c>
      <c r="O1267" s="6">
        <v>0</v>
      </c>
      <c r="P1267" s="6">
        <v>6</v>
      </c>
      <c r="Q1267" s="4" t="s">
        <v>26</v>
      </c>
      <c r="R1267" s="4">
        <v>0</v>
      </c>
      <c r="S1267" s="4" t="s">
        <v>344</v>
      </c>
      <c r="U1267" s="4">
        <v>40</v>
      </c>
      <c r="V1267" s="4">
        <v>0</v>
      </c>
      <c r="W1267" s="4">
        <v>0</v>
      </c>
    </row>
    <row r="1268" spans="1:23" ht="11.25" customHeight="1" x14ac:dyDescent="0.25">
      <c r="A1268" s="4" t="s">
        <v>21</v>
      </c>
      <c r="B1268" s="4" t="s">
        <v>41</v>
      </c>
      <c r="C1268" s="4" t="s">
        <v>42</v>
      </c>
      <c r="D1268" s="4" t="s">
        <v>45</v>
      </c>
      <c r="E1268" s="4" t="s">
        <v>53</v>
      </c>
      <c r="F1268" s="4" t="s">
        <v>25</v>
      </c>
      <c r="G1268" s="4" t="s">
        <v>25</v>
      </c>
      <c r="H1268" s="4" t="s">
        <v>25</v>
      </c>
      <c r="I1268" s="5">
        <v>44682</v>
      </c>
      <c r="J1268" s="6">
        <v>10682</v>
      </c>
      <c r="K1268" s="6">
        <v>10254.719999999999</v>
      </c>
      <c r="L1268" s="6">
        <v>0</v>
      </c>
      <c r="M1268" s="6">
        <v>0</v>
      </c>
      <c r="N1268" s="6">
        <v>0</v>
      </c>
      <c r="O1268" s="6">
        <v>0</v>
      </c>
      <c r="P1268" s="6">
        <v>99</v>
      </c>
      <c r="Q1268" s="4" t="s">
        <v>26</v>
      </c>
      <c r="R1268" s="4">
        <v>0</v>
      </c>
      <c r="S1268" s="4" t="s">
        <v>345</v>
      </c>
      <c r="U1268" s="4">
        <v>40</v>
      </c>
      <c r="V1268" s="4">
        <v>0</v>
      </c>
      <c r="W1268" s="4">
        <v>0</v>
      </c>
    </row>
    <row r="1269" spans="1:23" ht="11.25" customHeight="1" x14ac:dyDescent="0.25">
      <c r="A1269" s="4" t="s">
        <v>28</v>
      </c>
      <c r="B1269" s="4" t="s">
        <v>41</v>
      </c>
      <c r="C1269" s="4" t="s">
        <v>42</v>
      </c>
      <c r="D1269" s="4" t="s">
        <v>45</v>
      </c>
      <c r="E1269" s="4" t="s">
        <v>53</v>
      </c>
      <c r="F1269" s="4" t="s">
        <v>25</v>
      </c>
      <c r="G1269" s="4" t="s">
        <v>25</v>
      </c>
      <c r="H1269" s="4" t="s">
        <v>25</v>
      </c>
      <c r="I1269" s="5">
        <v>44682</v>
      </c>
      <c r="J1269" s="6">
        <v>140</v>
      </c>
      <c r="K1269" s="6">
        <v>134.4</v>
      </c>
      <c r="L1269" s="6">
        <v>0</v>
      </c>
      <c r="M1269" s="6">
        <v>0</v>
      </c>
      <c r="N1269" s="6">
        <v>0</v>
      </c>
      <c r="O1269" s="6">
        <v>0</v>
      </c>
      <c r="P1269" s="6">
        <v>3</v>
      </c>
      <c r="Q1269" s="4" t="s">
        <v>26</v>
      </c>
      <c r="R1269" s="4">
        <v>0</v>
      </c>
      <c r="S1269" s="4" t="s">
        <v>345</v>
      </c>
      <c r="U1269" s="4">
        <v>40</v>
      </c>
      <c r="V1269" s="4">
        <v>0</v>
      </c>
      <c r="W1269" s="4">
        <v>0</v>
      </c>
    </row>
    <row r="1270" spans="1:23" ht="11.25" customHeight="1" x14ac:dyDescent="0.25">
      <c r="A1270" s="4" t="s">
        <v>21</v>
      </c>
      <c r="B1270" s="4" t="s">
        <v>41</v>
      </c>
      <c r="C1270" s="4" t="s">
        <v>42</v>
      </c>
      <c r="D1270" s="4" t="s">
        <v>45</v>
      </c>
      <c r="E1270" s="4" t="s">
        <v>53</v>
      </c>
      <c r="F1270" s="4" t="s">
        <v>25</v>
      </c>
      <c r="G1270" s="4" t="s">
        <v>25</v>
      </c>
      <c r="H1270" s="4" t="s">
        <v>25</v>
      </c>
      <c r="I1270" s="5">
        <v>44713</v>
      </c>
      <c r="J1270" s="6">
        <v>8574</v>
      </c>
      <c r="K1270" s="6">
        <v>8231.0400000000009</v>
      </c>
      <c r="L1270" s="6">
        <v>0</v>
      </c>
      <c r="M1270" s="6">
        <v>0</v>
      </c>
      <c r="N1270" s="6">
        <v>0</v>
      </c>
      <c r="O1270" s="6">
        <v>0</v>
      </c>
      <c r="P1270" s="6">
        <v>94</v>
      </c>
      <c r="Q1270" s="4" t="s">
        <v>26</v>
      </c>
      <c r="R1270" s="4">
        <v>0</v>
      </c>
      <c r="S1270" s="4" t="s">
        <v>346</v>
      </c>
      <c r="U1270" s="4">
        <v>40</v>
      </c>
      <c r="V1270" s="4">
        <v>0</v>
      </c>
      <c r="W1270" s="4">
        <v>0</v>
      </c>
    </row>
    <row r="1271" spans="1:23" ht="11.25" customHeight="1" x14ac:dyDescent="0.25">
      <c r="A1271" s="4" t="s">
        <v>27</v>
      </c>
      <c r="B1271" s="4" t="s">
        <v>41</v>
      </c>
      <c r="C1271" s="4" t="s">
        <v>42</v>
      </c>
      <c r="D1271" s="4" t="s">
        <v>45</v>
      </c>
      <c r="E1271" s="4" t="s">
        <v>53</v>
      </c>
      <c r="F1271" s="4" t="s">
        <v>25</v>
      </c>
      <c r="G1271" s="4" t="s">
        <v>25</v>
      </c>
      <c r="H1271" s="4" t="s">
        <v>25</v>
      </c>
      <c r="I1271" s="5">
        <v>44713</v>
      </c>
      <c r="J1271" s="6">
        <v>272</v>
      </c>
      <c r="K1271" s="6">
        <v>261.12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4" t="s">
        <v>26</v>
      </c>
      <c r="R1271" s="4">
        <v>0</v>
      </c>
      <c r="S1271" s="4" t="s">
        <v>346</v>
      </c>
      <c r="U1271" s="4">
        <v>40</v>
      </c>
      <c r="V1271" s="4">
        <v>0</v>
      </c>
      <c r="W1271" s="4">
        <v>0</v>
      </c>
    </row>
    <row r="1272" spans="1:23" ht="11.25" customHeight="1" x14ac:dyDescent="0.25">
      <c r="A1272" s="4" t="s">
        <v>28</v>
      </c>
      <c r="B1272" s="4" t="s">
        <v>41</v>
      </c>
      <c r="C1272" s="4" t="s">
        <v>42</v>
      </c>
      <c r="D1272" s="4" t="s">
        <v>45</v>
      </c>
      <c r="E1272" s="4" t="s">
        <v>53</v>
      </c>
      <c r="F1272" s="4" t="s">
        <v>25</v>
      </c>
      <c r="G1272" s="4" t="s">
        <v>25</v>
      </c>
      <c r="H1272" s="4" t="s">
        <v>25</v>
      </c>
      <c r="I1272" s="5">
        <v>44713</v>
      </c>
      <c r="J1272" s="6">
        <v>47</v>
      </c>
      <c r="K1272" s="6">
        <v>45.12</v>
      </c>
      <c r="L1272" s="6">
        <v>0</v>
      </c>
      <c r="M1272" s="6">
        <v>0</v>
      </c>
      <c r="N1272" s="6">
        <v>0</v>
      </c>
      <c r="O1272" s="6">
        <v>0</v>
      </c>
      <c r="P1272" s="6">
        <v>3</v>
      </c>
      <c r="Q1272" s="4" t="s">
        <v>26</v>
      </c>
      <c r="R1272" s="4">
        <v>0</v>
      </c>
      <c r="S1272" s="4" t="s">
        <v>346</v>
      </c>
      <c r="U1272" s="4">
        <v>40</v>
      </c>
      <c r="V1272" s="4">
        <v>0</v>
      </c>
      <c r="W1272" s="4">
        <v>0</v>
      </c>
    </row>
    <row r="1273" spans="1:23" ht="11.25" customHeight="1" x14ac:dyDescent="0.25">
      <c r="A1273" s="4" t="s">
        <v>57</v>
      </c>
      <c r="B1273" s="4" t="s">
        <v>41</v>
      </c>
      <c r="C1273" s="4" t="s">
        <v>42</v>
      </c>
      <c r="D1273" s="4" t="s">
        <v>45</v>
      </c>
      <c r="E1273" s="4" t="s">
        <v>53</v>
      </c>
      <c r="F1273" s="4" t="s">
        <v>25</v>
      </c>
      <c r="G1273" s="4" t="s">
        <v>25</v>
      </c>
      <c r="H1273" s="4" t="s">
        <v>25</v>
      </c>
      <c r="I1273" s="5">
        <v>44743</v>
      </c>
      <c r="J1273" s="6">
        <v>8574</v>
      </c>
      <c r="K1273" s="6">
        <v>8231.0400000000009</v>
      </c>
      <c r="L1273" s="6">
        <v>0</v>
      </c>
      <c r="M1273" s="6">
        <v>0</v>
      </c>
      <c r="N1273" s="6">
        <v>0</v>
      </c>
      <c r="O1273" s="6">
        <v>0</v>
      </c>
      <c r="P1273" s="6">
        <v>94</v>
      </c>
      <c r="Q1273" s="4" t="s">
        <v>26</v>
      </c>
      <c r="R1273" s="4">
        <v>0</v>
      </c>
      <c r="S1273" s="4" t="s">
        <v>347</v>
      </c>
      <c r="U1273" s="4">
        <v>40</v>
      </c>
      <c r="V1273" s="4">
        <v>0</v>
      </c>
      <c r="W1273" s="4">
        <v>0</v>
      </c>
    </row>
    <row r="1274" spans="1:23" ht="11.25" customHeight="1" x14ac:dyDescent="0.25">
      <c r="A1274" s="4" t="s">
        <v>57</v>
      </c>
      <c r="B1274" s="4" t="s">
        <v>41</v>
      </c>
      <c r="C1274" s="4" t="s">
        <v>42</v>
      </c>
      <c r="D1274" s="4" t="s">
        <v>45</v>
      </c>
      <c r="E1274" s="4" t="s">
        <v>53</v>
      </c>
      <c r="F1274" s="4" t="s">
        <v>25</v>
      </c>
      <c r="G1274" s="4" t="s">
        <v>25</v>
      </c>
      <c r="H1274" s="4" t="s">
        <v>25</v>
      </c>
      <c r="I1274" s="5">
        <v>44743</v>
      </c>
      <c r="J1274" s="6">
        <v>272</v>
      </c>
      <c r="K1274" s="6">
        <v>261.12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4" t="s">
        <v>26</v>
      </c>
      <c r="R1274" s="4">
        <v>0</v>
      </c>
      <c r="S1274" s="4" t="s">
        <v>347</v>
      </c>
      <c r="U1274" s="4">
        <v>40</v>
      </c>
      <c r="V1274" s="4">
        <v>0</v>
      </c>
      <c r="W1274" s="4">
        <v>0</v>
      </c>
    </row>
    <row r="1275" spans="1:23" ht="11.25" customHeight="1" x14ac:dyDescent="0.25">
      <c r="A1275" s="4" t="s">
        <v>57</v>
      </c>
      <c r="B1275" s="4" t="s">
        <v>41</v>
      </c>
      <c r="C1275" s="4" t="s">
        <v>42</v>
      </c>
      <c r="D1275" s="4" t="s">
        <v>45</v>
      </c>
      <c r="E1275" s="4" t="s">
        <v>53</v>
      </c>
      <c r="F1275" s="4" t="s">
        <v>25</v>
      </c>
      <c r="G1275" s="4" t="s">
        <v>25</v>
      </c>
      <c r="H1275" s="4" t="s">
        <v>25</v>
      </c>
      <c r="I1275" s="5">
        <v>44743</v>
      </c>
      <c r="J1275" s="6">
        <v>47</v>
      </c>
      <c r="K1275" s="6">
        <v>45.12</v>
      </c>
      <c r="L1275" s="6">
        <v>0</v>
      </c>
      <c r="M1275" s="6">
        <v>0</v>
      </c>
      <c r="N1275" s="6">
        <v>0</v>
      </c>
      <c r="O1275" s="6">
        <v>0</v>
      </c>
      <c r="P1275" s="6">
        <v>3</v>
      </c>
      <c r="Q1275" s="4" t="s">
        <v>26</v>
      </c>
      <c r="R1275" s="4">
        <v>0</v>
      </c>
      <c r="S1275" s="4" t="s">
        <v>347</v>
      </c>
      <c r="U1275" s="4">
        <v>40</v>
      </c>
      <c r="V1275" s="4">
        <v>0</v>
      </c>
      <c r="W1275" s="4">
        <v>0</v>
      </c>
    </row>
    <row r="1276" spans="1:23" ht="11.25" customHeight="1" x14ac:dyDescent="0.25">
      <c r="A1276" s="4" t="s">
        <v>21</v>
      </c>
      <c r="B1276" s="4" t="s">
        <v>41</v>
      </c>
      <c r="C1276" s="4" t="s">
        <v>42</v>
      </c>
      <c r="D1276" s="4" t="s">
        <v>45</v>
      </c>
      <c r="E1276" s="4" t="s">
        <v>53</v>
      </c>
      <c r="F1276" s="4" t="s">
        <v>25</v>
      </c>
      <c r="G1276" s="4" t="s">
        <v>25</v>
      </c>
      <c r="H1276" s="4" t="s">
        <v>34</v>
      </c>
      <c r="I1276" s="5">
        <v>44409</v>
      </c>
      <c r="J1276" s="6">
        <v>0</v>
      </c>
      <c r="K1276" s="6">
        <v>0</v>
      </c>
      <c r="L1276" s="6">
        <v>47.573999999999998</v>
      </c>
      <c r="M1276" s="6">
        <v>45.671039999999998</v>
      </c>
      <c r="N1276" s="6">
        <v>47.573999999999998</v>
      </c>
      <c r="O1276" s="6">
        <v>45.671039999999998</v>
      </c>
      <c r="P1276" s="6">
        <v>0</v>
      </c>
      <c r="Q1276" s="4" t="s">
        <v>26</v>
      </c>
      <c r="R1276" s="4">
        <v>0</v>
      </c>
      <c r="S1276" s="4" t="s">
        <v>348</v>
      </c>
      <c r="T1276" s="4" t="s">
        <v>613</v>
      </c>
      <c r="U1276" s="4">
        <v>0</v>
      </c>
      <c r="V1276" s="4">
        <v>42</v>
      </c>
      <c r="W1276" s="4">
        <v>66</v>
      </c>
    </row>
    <row r="1277" spans="1:23" ht="11.25" customHeight="1" x14ac:dyDescent="0.25">
      <c r="A1277" s="4" t="s">
        <v>28</v>
      </c>
      <c r="B1277" s="4" t="s">
        <v>41</v>
      </c>
      <c r="C1277" s="4" t="s">
        <v>42</v>
      </c>
      <c r="D1277" s="4" t="s">
        <v>45</v>
      </c>
      <c r="E1277" s="4" t="s">
        <v>53</v>
      </c>
      <c r="F1277" s="4" t="s">
        <v>25</v>
      </c>
      <c r="G1277" s="4" t="s">
        <v>25</v>
      </c>
      <c r="H1277" s="4" t="s">
        <v>34</v>
      </c>
      <c r="I1277" s="5">
        <v>44409</v>
      </c>
      <c r="J1277" s="6">
        <v>0</v>
      </c>
      <c r="K1277" s="6">
        <v>0</v>
      </c>
      <c r="L1277" s="6">
        <v>5.0999999999999997E-2</v>
      </c>
      <c r="M1277" s="6">
        <v>4.8959999999999997E-2</v>
      </c>
      <c r="N1277" s="6">
        <v>5.0999999999999997E-2</v>
      </c>
      <c r="O1277" s="6">
        <v>4.8959999999999997E-2</v>
      </c>
      <c r="P1277" s="6">
        <v>0</v>
      </c>
      <c r="Q1277" s="4" t="s">
        <v>26</v>
      </c>
      <c r="R1277" s="4">
        <v>0</v>
      </c>
      <c r="S1277" s="4" t="s">
        <v>348</v>
      </c>
      <c r="T1277" s="4" t="s">
        <v>613</v>
      </c>
      <c r="U1277" s="4">
        <v>0</v>
      </c>
      <c r="V1277" s="4">
        <v>42</v>
      </c>
      <c r="W1277" s="4">
        <v>66</v>
      </c>
    </row>
    <row r="1278" spans="1:23" ht="11.25" customHeight="1" x14ac:dyDescent="0.25">
      <c r="A1278" s="4" t="s">
        <v>21</v>
      </c>
      <c r="B1278" s="4" t="s">
        <v>41</v>
      </c>
      <c r="C1278" s="4" t="s">
        <v>42</v>
      </c>
      <c r="D1278" s="4" t="s">
        <v>45</v>
      </c>
      <c r="E1278" s="4" t="s">
        <v>53</v>
      </c>
      <c r="F1278" s="4" t="s">
        <v>25</v>
      </c>
      <c r="G1278" s="4" t="s">
        <v>25</v>
      </c>
      <c r="H1278" s="4" t="s">
        <v>34</v>
      </c>
      <c r="I1278" s="5">
        <v>44440</v>
      </c>
      <c r="J1278" s="6">
        <v>0</v>
      </c>
      <c r="K1278" s="6">
        <v>0</v>
      </c>
      <c r="L1278" s="6">
        <v>53.497</v>
      </c>
      <c r="M1278" s="6">
        <v>51.357120000000002</v>
      </c>
      <c r="N1278" s="6">
        <v>53.497</v>
      </c>
      <c r="O1278" s="6">
        <v>51.357120000000002</v>
      </c>
      <c r="P1278" s="6">
        <v>0</v>
      </c>
      <c r="Q1278" s="4" t="s">
        <v>26</v>
      </c>
      <c r="R1278" s="4">
        <v>0</v>
      </c>
      <c r="S1278" s="4" t="s">
        <v>349</v>
      </c>
      <c r="T1278" s="4" t="s">
        <v>614</v>
      </c>
      <c r="U1278" s="4">
        <v>0</v>
      </c>
      <c r="V1278" s="4">
        <v>42</v>
      </c>
      <c r="W1278" s="4">
        <v>66</v>
      </c>
    </row>
    <row r="1279" spans="1:23" ht="11.25" customHeight="1" x14ac:dyDescent="0.25">
      <c r="A1279" s="4" t="s">
        <v>21</v>
      </c>
      <c r="B1279" s="4" t="s">
        <v>41</v>
      </c>
      <c r="C1279" s="4" t="s">
        <v>42</v>
      </c>
      <c r="D1279" s="4" t="s">
        <v>45</v>
      </c>
      <c r="E1279" s="4" t="s">
        <v>53</v>
      </c>
      <c r="F1279" s="4" t="s">
        <v>25</v>
      </c>
      <c r="G1279" s="4" t="s">
        <v>25</v>
      </c>
      <c r="H1279" s="4" t="s">
        <v>34</v>
      </c>
      <c r="I1279" s="5">
        <v>44470</v>
      </c>
      <c r="J1279" s="6">
        <v>0</v>
      </c>
      <c r="K1279" s="6">
        <v>0</v>
      </c>
      <c r="L1279" s="6">
        <v>83.451999999999998</v>
      </c>
      <c r="M1279" s="6">
        <v>80.113919999999993</v>
      </c>
      <c r="N1279" s="6">
        <v>83.451999999999998</v>
      </c>
      <c r="O1279" s="6">
        <v>80.113919999999993</v>
      </c>
      <c r="P1279" s="6">
        <v>0</v>
      </c>
      <c r="Q1279" s="4" t="s">
        <v>26</v>
      </c>
      <c r="R1279" s="4">
        <v>0</v>
      </c>
      <c r="S1279" s="4" t="s">
        <v>350</v>
      </c>
      <c r="T1279" s="4" t="s">
        <v>615</v>
      </c>
      <c r="U1279" s="4">
        <v>0</v>
      </c>
      <c r="V1279" s="4">
        <v>42</v>
      </c>
      <c r="W1279" s="4">
        <v>66</v>
      </c>
    </row>
    <row r="1280" spans="1:23" ht="11.25" customHeight="1" x14ac:dyDescent="0.25">
      <c r="A1280" s="4" t="s">
        <v>27</v>
      </c>
      <c r="B1280" s="4" t="s">
        <v>41</v>
      </c>
      <c r="C1280" s="4" t="s">
        <v>42</v>
      </c>
      <c r="D1280" s="4" t="s">
        <v>45</v>
      </c>
      <c r="E1280" s="4" t="s">
        <v>53</v>
      </c>
      <c r="F1280" s="4" t="s">
        <v>25</v>
      </c>
      <c r="G1280" s="4" t="s">
        <v>25</v>
      </c>
      <c r="H1280" s="4" t="s">
        <v>34</v>
      </c>
      <c r="I1280" s="5">
        <v>44470</v>
      </c>
      <c r="J1280" s="6">
        <v>0</v>
      </c>
      <c r="K1280" s="6">
        <v>0</v>
      </c>
      <c r="L1280" s="6">
        <v>-0.56699999999999995</v>
      </c>
      <c r="M1280" s="6">
        <v>-0.54432000000000003</v>
      </c>
      <c r="N1280" s="6">
        <v>-0.56699999999999995</v>
      </c>
      <c r="O1280" s="6">
        <v>-0.54432000000000003</v>
      </c>
      <c r="P1280" s="6">
        <v>0</v>
      </c>
      <c r="Q1280" s="4" t="s">
        <v>26</v>
      </c>
      <c r="R1280" s="4">
        <v>0</v>
      </c>
      <c r="S1280" s="4" t="s">
        <v>350</v>
      </c>
      <c r="T1280" s="4" t="s">
        <v>615</v>
      </c>
      <c r="U1280" s="4">
        <v>0</v>
      </c>
      <c r="V1280" s="4">
        <v>42</v>
      </c>
      <c r="W1280" s="4">
        <v>66</v>
      </c>
    </row>
    <row r="1281" spans="1:23" ht="11.25" customHeight="1" x14ac:dyDescent="0.25">
      <c r="A1281" s="4" t="s">
        <v>21</v>
      </c>
      <c r="B1281" s="4" t="s">
        <v>41</v>
      </c>
      <c r="C1281" s="4" t="s">
        <v>42</v>
      </c>
      <c r="D1281" s="4" t="s">
        <v>45</v>
      </c>
      <c r="E1281" s="4" t="s">
        <v>53</v>
      </c>
      <c r="F1281" s="4" t="s">
        <v>25</v>
      </c>
      <c r="G1281" s="4" t="s">
        <v>25</v>
      </c>
      <c r="H1281" s="4" t="s">
        <v>34</v>
      </c>
      <c r="I1281" s="5">
        <v>44501</v>
      </c>
      <c r="J1281" s="6">
        <v>0</v>
      </c>
      <c r="K1281" s="6">
        <v>0</v>
      </c>
      <c r="L1281" s="6">
        <v>125.313</v>
      </c>
      <c r="M1281" s="6">
        <v>120.30047999999999</v>
      </c>
      <c r="N1281" s="6">
        <v>125.313</v>
      </c>
      <c r="O1281" s="6">
        <v>120.30047999999999</v>
      </c>
      <c r="P1281" s="6">
        <v>0</v>
      </c>
      <c r="Q1281" s="4" t="s">
        <v>26</v>
      </c>
      <c r="R1281" s="4">
        <v>0</v>
      </c>
      <c r="S1281" s="4" t="s">
        <v>351</v>
      </c>
      <c r="T1281" s="4" t="s">
        <v>616</v>
      </c>
      <c r="U1281" s="4">
        <v>0</v>
      </c>
      <c r="V1281" s="4">
        <v>42</v>
      </c>
      <c r="W1281" s="4">
        <v>66</v>
      </c>
    </row>
    <row r="1282" spans="1:23" ht="11.25" customHeight="1" x14ac:dyDescent="0.25">
      <c r="A1282" s="4" t="s">
        <v>27</v>
      </c>
      <c r="B1282" s="4" t="s">
        <v>41</v>
      </c>
      <c r="C1282" s="4" t="s">
        <v>42</v>
      </c>
      <c r="D1282" s="4" t="s">
        <v>45</v>
      </c>
      <c r="E1282" s="4" t="s">
        <v>53</v>
      </c>
      <c r="F1282" s="4" t="s">
        <v>25</v>
      </c>
      <c r="G1282" s="4" t="s">
        <v>25</v>
      </c>
      <c r="H1282" s="4" t="s">
        <v>34</v>
      </c>
      <c r="I1282" s="5">
        <v>44501</v>
      </c>
      <c r="J1282" s="6">
        <v>0</v>
      </c>
      <c r="K1282" s="6">
        <v>0</v>
      </c>
      <c r="L1282" s="6">
        <v>-10.221</v>
      </c>
      <c r="M1282" s="6">
        <v>-9.8121600000000004</v>
      </c>
      <c r="N1282" s="6">
        <v>-10.221</v>
      </c>
      <c r="O1282" s="6">
        <v>-9.8121600000000004</v>
      </c>
      <c r="P1282" s="6">
        <v>0</v>
      </c>
      <c r="Q1282" s="4" t="s">
        <v>26</v>
      </c>
      <c r="R1282" s="4">
        <v>0</v>
      </c>
      <c r="S1282" s="4" t="s">
        <v>351</v>
      </c>
      <c r="T1282" s="4" t="s">
        <v>616</v>
      </c>
      <c r="U1282" s="4">
        <v>0</v>
      </c>
      <c r="V1282" s="4">
        <v>42</v>
      </c>
      <c r="W1282" s="4">
        <v>66</v>
      </c>
    </row>
    <row r="1283" spans="1:23" ht="11.25" customHeight="1" x14ac:dyDescent="0.25">
      <c r="A1283" s="4" t="s">
        <v>28</v>
      </c>
      <c r="B1283" s="4" t="s">
        <v>41</v>
      </c>
      <c r="C1283" s="4" t="s">
        <v>42</v>
      </c>
      <c r="D1283" s="4" t="s">
        <v>45</v>
      </c>
      <c r="E1283" s="4" t="s">
        <v>53</v>
      </c>
      <c r="F1283" s="4" t="s">
        <v>25</v>
      </c>
      <c r="G1283" s="4" t="s">
        <v>25</v>
      </c>
      <c r="H1283" s="4" t="s">
        <v>34</v>
      </c>
      <c r="I1283" s="5">
        <v>44501</v>
      </c>
      <c r="J1283" s="6">
        <v>0</v>
      </c>
      <c r="K1283" s="6">
        <v>0</v>
      </c>
      <c r="L1283" s="6">
        <v>0.41</v>
      </c>
      <c r="M1283" s="6">
        <v>0.39359999999999995</v>
      </c>
      <c r="N1283" s="6">
        <v>0.41</v>
      </c>
      <c r="O1283" s="6">
        <v>0.39359999999999995</v>
      </c>
      <c r="P1283" s="6">
        <v>0</v>
      </c>
      <c r="Q1283" s="4" t="s">
        <v>26</v>
      </c>
      <c r="R1283" s="4">
        <v>0</v>
      </c>
      <c r="S1283" s="4" t="s">
        <v>351</v>
      </c>
      <c r="T1283" s="4" t="s">
        <v>616</v>
      </c>
      <c r="U1283" s="4">
        <v>0</v>
      </c>
      <c r="V1283" s="4">
        <v>42</v>
      </c>
      <c r="W1283" s="4">
        <v>66</v>
      </c>
    </row>
    <row r="1284" spans="1:23" ht="11.25" customHeight="1" x14ac:dyDescent="0.25">
      <c r="A1284" s="4" t="s">
        <v>28</v>
      </c>
      <c r="B1284" s="4" t="s">
        <v>41</v>
      </c>
      <c r="C1284" s="4" t="s">
        <v>42</v>
      </c>
      <c r="D1284" s="4" t="s">
        <v>45</v>
      </c>
      <c r="E1284" s="4" t="s">
        <v>53</v>
      </c>
      <c r="F1284" s="4" t="s">
        <v>25</v>
      </c>
      <c r="G1284" s="4" t="s">
        <v>25</v>
      </c>
      <c r="H1284" s="4" t="s">
        <v>34</v>
      </c>
      <c r="I1284" s="5">
        <v>44501</v>
      </c>
      <c r="J1284" s="6">
        <v>0</v>
      </c>
      <c r="K1284" s="6">
        <v>0</v>
      </c>
      <c r="L1284" s="6">
        <v>0.32800000000000001</v>
      </c>
      <c r="M1284" s="6">
        <v>0.31487999999999999</v>
      </c>
      <c r="N1284" s="6">
        <v>0.32800000000000001</v>
      </c>
      <c r="O1284" s="6">
        <v>0.31487999999999999</v>
      </c>
      <c r="P1284" s="6">
        <v>0</v>
      </c>
      <c r="Q1284" s="4" t="s">
        <v>26</v>
      </c>
      <c r="R1284" s="4">
        <v>0</v>
      </c>
      <c r="S1284" s="4" t="s">
        <v>351</v>
      </c>
      <c r="T1284" s="4" t="s">
        <v>616</v>
      </c>
      <c r="U1284" s="4">
        <v>0</v>
      </c>
      <c r="V1284" s="4">
        <v>42</v>
      </c>
      <c r="W1284" s="4">
        <v>66</v>
      </c>
    </row>
    <row r="1285" spans="1:23" ht="11.25" customHeight="1" x14ac:dyDescent="0.25">
      <c r="A1285" s="4" t="s">
        <v>21</v>
      </c>
      <c r="B1285" s="4" t="s">
        <v>41</v>
      </c>
      <c r="C1285" s="4" t="s">
        <v>42</v>
      </c>
      <c r="D1285" s="4" t="s">
        <v>45</v>
      </c>
      <c r="E1285" s="4" t="s">
        <v>53</v>
      </c>
      <c r="F1285" s="4" t="s">
        <v>25</v>
      </c>
      <c r="G1285" s="4" t="s">
        <v>25</v>
      </c>
      <c r="H1285" s="4" t="s">
        <v>34</v>
      </c>
      <c r="I1285" s="5">
        <v>44531</v>
      </c>
      <c r="J1285" s="6">
        <v>0</v>
      </c>
      <c r="K1285" s="6">
        <v>0</v>
      </c>
      <c r="L1285" s="6">
        <v>150.51900000000001</v>
      </c>
      <c r="M1285" s="6">
        <v>144.49824000000001</v>
      </c>
      <c r="N1285" s="6">
        <v>150.51900000000001</v>
      </c>
      <c r="O1285" s="6">
        <v>144.49824000000001</v>
      </c>
      <c r="P1285" s="6">
        <v>0</v>
      </c>
      <c r="Q1285" s="4" t="s">
        <v>26</v>
      </c>
      <c r="R1285" s="4">
        <v>0</v>
      </c>
      <c r="S1285" s="4" t="s">
        <v>352</v>
      </c>
      <c r="T1285" s="4" t="s">
        <v>617</v>
      </c>
      <c r="U1285" s="4">
        <v>0</v>
      </c>
      <c r="V1285" s="4">
        <v>42</v>
      </c>
      <c r="W1285" s="4">
        <v>66</v>
      </c>
    </row>
    <row r="1286" spans="1:23" ht="11.25" customHeight="1" x14ac:dyDescent="0.25">
      <c r="A1286" s="4" t="s">
        <v>27</v>
      </c>
      <c r="B1286" s="4" t="s">
        <v>41</v>
      </c>
      <c r="C1286" s="4" t="s">
        <v>42</v>
      </c>
      <c r="D1286" s="4" t="s">
        <v>45</v>
      </c>
      <c r="E1286" s="4" t="s">
        <v>53</v>
      </c>
      <c r="F1286" s="4" t="s">
        <v>25</v>
      </c>
      <c r="G1286" s="4" t="s">
        <v>25</v>
      </c>
      <c r="H1286" s="4" t="s">
        <v>34</v>
      </c>
      <c r="I1286" s="5">
        <v>44531</v>
      </c>
      <c r="J1286" s="6">
        <v>0</v>
      </c>
      <c r="K1286" s="6">
        <v>0</v>
      </c>
      <c r="L1286" s="6">
        <v>-5.5469999999999997</v>
      </c>
      <c r="M1286" s="6">
        <v>-5.3251200000000001</v>
      </c>
      <c r="N1286" s="6">
        <v>-5.5469999999999997</v>
      </c>
      <c r="O1286" s="6">
        <v>-5.3251200000000001</v>
      </c>
      <c r="P1286" s="6">
        <v>0</v>
      </c>
      <c r="Q1286" s="4" t="s">
        <v>26</v>
      </c>
      <c r="R1286" s="4">
        <v>0</v>
      </c>
      <c r="S1286" s="4" t="s">
        <v>352</v>
      </c>
      <c r="T1286" s="4" t="s">
        <v>617</v>
      </c>
      <c r="U1286" s="4">
        <v>0</v>
      </c>
      <c r="V1286" s="4">
        <v>42</v>
      </c>
      <c r="W1286" s="4">
        <v>66</v>
      </c>
    </row>
    <row r="1287" spans="1:23" ht="11.25" customHeight="1" x14ac:dyDescent="0.25">
      <c r="A1287" s="4" t="s">
        <v>28</v>
      </c>
      <c r="B1287" s="4" t="s">
        <v>41</v>
      </c>
      <c r="C1287" s="4" t="s">
        <v>42</v>
      </c>
      <c r="D1287" s="4" t="s">
        <v>45</v>
      </c>
      <c r="E1287" s="4" t="s">
        <v>53</v>
      </c>
      <c r="F1287" s="4" t="s">
        <v>25</v>
      </c>
      <c r="G1287" s="4" t="s">
        <v>25</v>
      </c>
      <c r="H1287" s="4" t="s">
        <v>34</v>
      </c>
      <c r="I1287" s="5">
        <v>44531</v>
      </c>
      <c r="J1287" s="6">
        <v>0</v>
      </c>
      <c r="K1287" s="6">
        <v>0</v>
      </c>
      <c r="L1287" s="6">
        <v>8.2000000000000003E-2</v>
      </c>
      <c r="M1287" s="6">
        <v>7.8719999999999998E-2</v>
      </c>
      <c r="N1287" s="6">
        <v>8.2000000000000003E-2</v>
      </c>
      <c r="O1287" s="6">
        <v>7.8719999999999998E-2</v>
      </c>
      <c r="P1287" s="6">
        <v>0</v>
      </c>
      <c r="Q1287" s="4" t="s">
        <v>26</v>
      </c>
      <c r="R1287" s="4">
        <v>0</v>
      </c>
      <c r="S1287" s="4" t="s">
        <v>352</v>
      </c>
      <c r="T1287" s="4" t="s">
        <v>617</v>
      </c>
      <c r="U1287" s="4">
        <v>0</v>
      </c>
      <c r="V1287" s="4">
        <v>42</v>
      </c>
      <c r="W1287" s="4">
        <v>66</v>
      </c>
    </row>
    <row r="1288" spans="1:23" ht="11.25" customHeight="1" x14ac:dyDescent="0.25">
      <c r="A1288" s="4" t="s">
        <v>21</v>
      </c>
      <c r="B1288" s="4" t="s">
        <v>41</v>
      </c>
      <c r="C1288" s="4" t="s">
        <v>42</v>
      </c>
      <c r="D1288" s="4" t="s">
        <v>45</v>
      </c>
      <c r="E1288" s="4" t="s">
        <v>53</v>
      </c>
      <c r="F1288" s="4" t="s">
        <v>25</v>
      </c>
      <c r="G1288" s="4" t="s">
        <v>25</v>
      </c>
      <c r="H1288" s="4" t="s">
        <v>34</v>
      </c>
      <c r="I1288" s="5">
        <v>44562</v>
      </c>
      <c r="J1288" s="6">
        <v>0</v>
      </c>
      <c r="K1288" s="6">
        <v>0</v>
      </c>
      <c r="L1288" s="6">
        <v>120.78400000000001</v>
      </c>
      <c r="M1288" s="6">
        <v>115.95264</v>
      </c>
      <c r="N1288" s="6">
        <v>120.78400000000001</v>
      </c>
      <c r="O1288" s="6">
        <v>115.95264</v>
      </c>
      <c r="P1288" s="6">
        <v>0</v>
      </c>
      <c r="Q1288" s="4" t="s">
        <v>26</v>
      </c>
      <c r="R1288" s="4">
        <v>0</v>
      </c>
      <c r="S1288" s="4" t="s">
        <v>353</v>
      </c>
      <c r="T1288" s="4" t="s">
        <v>618</v>
      </c>
      <c r="U1288" s="4">
        <v>0</v>
      </c>
      <c r="V1288" s="4">
        <v>42</v>
      </c>
      <c r="W1288" s="4">
        <v>66</v>
      </c>
    </row>
    <row r="1289" spans="1:23" ht="11.25" customHeight="1" x14ac:dyDescent="0.25">
      <c r="A1289" s="4" t="s">
        <v>27</v>
      </c>
      <c r="B1289" s="4" t="s">
        <v>41</v>
      </c>
      <c r="C1289" s="4" t="s">
        <v>42</v>
      </c>
      <c r="D1289" s="4" t="s">
        <v>45</v>
      </c>
      <c r="E1289" s="4" t="s">
        <v>53</v>
      </c>
      <c r="F1289" s="4" t="s">
        <v>25</v>
      </c>
      <c r="G1289" s="4" t="s">
        <v>25</v>
      </c>
      <c r="H1289" s="4" t="s">
        <v>34</v>
      </c>
      <c r="I1289" s="5">
        <v>44562</v>
      </c>
      <c r="J1289" s="6">
        <v>0</v>
      </c>
      <c r="K1289" s="6">
        <v>0</v>
      </c>
      <c r="L1289" s="6">
        <v>-1.861</v>
      </c>
      <c r="M1289" s="6">
        <v>-1.7865599999999999</v>
      </c>
      <c r="N1289" s="6">
        <v>-1.861</v>
      </c>
      <c r="O1289" s="6">
        <v>-1.7865599999999999</v>
      </c>
      <c r="P1289" s="6">
        <v>0</v>
      </c>
      <c r="Q1289" s="4" t="s">
        <v>26</v>
      </c>
      <c r="R1289" s="4">
        <v>0</v>
      </c>
      <c r="S1289" s="4" t="s">
        <v>353</v>
      </c>
      <c r="T1289" s="4" t="s">
        <v>618</v>
      </c>
      <c r="U1289" s="4">
        <v>0</v>
      </c>
      <c r="V1289" s="4">
        <v>42</v>
      </c>
      <c r="W1289" s="4">
        <v>66</v>
      </c>
    </row>
    <row r="1290" spans="1:23" ht="11.25" customHeight="1" x14ac:dyDescent="0.25">
      <c r="A1290" s="4" t="s">
        <v>21</v>
      </c>
      <c r="B1290" s="4" t="s">
        <v>41</v>
      </c>
      <c r="C1290" s="4" t="s">
        <v>42</v>
      </c>
      <c r="D1290" s="4" t="s">
        <v>45</v>
      </c>
      <c r="E1290" s="4" t="s">
        <v>53</v>
      </c>
      <c r="F1290" s="4" t="s">
        <v>25</v>
      </c>
      <c r="G1290" s="4" t="s">
        <v>25</v>
      </c>
      <c r="H1290" s="4" t="s">
        <v>34</v>
      </c>
      <c r="I1290" s="5">
        <v>44593</v>
      </c>
      <c r="J1290" s="6">
        <v>0</v>
      </c>
      <c r="K1290" s="6">
        <v>0</v>
      </c>
      <c r="L1290" s="6">
        <v>97.376999999999995</v>
      </c>
      <c r="M1290" s="6">
        <v>93.481920000000002</v>
      </c>
      <c r="N1290" s="6">
        <v>97.376999999999995</v>
      </c>
      <c r="O1290" s="6">
        <v>93.481920000000002</v>
      </c>
      <c r="P1290" s="6">
        <v>0</v>
      </c>
      <c r="Q1290" s="4" t="s">
        <v>26</v>
      </c>
      <c r="R1290" s="4">
        <v>0</v>
      </c>
      <c r="S1290" s="4" t="s">
        <v>354</v>
      </c>
      <c r="T1290" s="4" t="s">
        <v>619</v>
      </c>
      <c r="U1290" s="4">
        <v>0</v>
      </c>
      <c r="V1290" s="4">
        <v>42</v>
      </c>
      <c r="W1290" s="4">
        <v>66</v>
      </c>
    </row>
    <row r="1291" spans="1:23" ht="11.25" customHeight="1" x14ac:dyDescent="0.25">
      <c r="A1291" s="4" t="s">
        <v>27</v>
      </c>
      <c r="B1291" s="4" t="s">
        <v>41</v>
      </c>
      <c r="C1291" s="4" t="s">
        <v>42</v>
      </c>
      <c r="D1291" s="4" t="s">
        <v>45</v>
      </c>
      <c r="E1291" s="4" t="s">
        <v>53</v>
      </c>
      <c r="F1291" s="4" t="s">
        <v>25</v>
      </c>
      <c r="G1291" s="4" t="s">
        <v>25</v>
      </c>
      <c r="H1291" s="4" t="s">
        <v>34</v>
      </c>
      <c r="I1291" s="5">
        <v>44593</v>
      </c>
      <c r="J1291" s="6">
        <v>0</v>
      </c>
      <c r="K1291" s="6">
        <v>0</v>
      </c>
      <c r="L1291" s="6">
        <v>-1.9E-2</v>
      </c>
      <c r="M1291" s="6">
        <v>-1.8239999999999999E-2</v>
      </c>
      <c r="N1291" s="6">
        <v>-1.9E-2</v>
      </c>
      <c r="O1291" s="6">
        <v>-1.8239999999999999E-2</v>
      </c>
      <c r="P1291" s="6">
        <v>0</v>
      </c>
      <c r="Q1291" s="4" t="s">
        <v>26</v>
      </c>
      <c r="R1291" s="4">
        <v>0</v>
      </c>
      <c r="S1291" s="4" t="s">
        <v>354</v>
      </c>
      <c r="T1291" s="4" t="s">
        <v>619</v>
      </c>
      <c r="U1291" s="4">
        <v>0</v>
      </c>
      <c r="V1291" s="4">
        <v>42</v>
      </c>
      <c r="W1291" s="4">
        <v>66</v>
      </c>
    </row>
    <row r="1292" spans="1:23" ht="11.25" customHeight="1" x14ac:dyDescent="0.25">
      <c r="A1292" s="4" t="s">
        <v>21</v>
      </c>
      <c r="B1292" s="4" t="s">
        <v>41</v>
      </c>
      <c r="C1292" s="4" t="s">
        <v>42</v>
      </c>
      <c r="D1292" s="4" t="s">
        <v>45</v>
      </c>
      <c r="E1292" s="4" t="s">
        <v>53</v>
      </c>
      <c r="F1292" s="4" t="s">
        <v>25</v>
      </c>
      <c r="G1292" s="4" t="s">
        <v>25</v>
      </c>
      <c r="H1292" s="4" t="s">
        <v>34</v>
      </c>
      <c r="I1292" s="5">
        <v>44621</v>
      </c>
      <c r="J1292" s="6">
        <v>0</v>
      </c>
      <c r="K1292" s="6">
        <v>0</v>
      </c>
      <c r="L1292" s="6">
        <v>91.048000000000002</v>
      </c>
      <c r="M1292" s="6">
        <v>87.406080000000003</v>
      </c>
      <c r="N1292" s="6">
        <v>91.048000000000002</v>
      </c>
      <c r="O1292" s="6">
        <v>87.406080000000003</v>
      </c>
      <c r="P1292" s="6">
        <v>0</v>
      </c>
      <c r="Q1292" s="4" t="s">
        <v>26</v>
      </c>
      <c r="R1292" s="4">
        <v>0</v>
      </c>
      <c r="S1292" s="4" t="s">
        <v>355</v>
      </c>
      <c r="T1292" s="4" t="s">
        <v>620</v>
      </c>
      <c r="U1292" s="4">
        <v>0</v>
      </c>
      <c r="V1292" s="4">
        <v>42</v>
      </c>
      <c r="W1292" s="4">
        <v>66</v>
      </c>
    </row>
    <row r="1293" spans="1:23" ht="11.25" customHeight="1" x14ac:dyDescent="0.25">
      <c r="A1293" s="4" t="s">
        <v>21</v>
      </c>
      <c r="B1293" s="4" t="s">
        <v>41</v>
      </c>
      <c r="C1293" s="4" t="s">
        <v>42</v>
      </c>
      <c r="D1293" s="4" t="s">
        <v>45</v>
      </c>
      <c r="E1293" s="4" t="s">
        <v>53</v>
      </c>
      <c r="F1293" s="4" t="s">
        <v>25</v>
      </c>
      <c r="G1293" s="4" t="s">
        <v>25</v>
      </c>
      <c r="H1293" s="4" t="s">
        <v>34</v>
      </c>
      <c r="I1293" s="5">
        <v>44652</v>
      </c>
      <c r="J1293" s="6">
        <v>0</v>
      </c>
      <c r="K1293" s="6">
        <v>0</v>
      </c>
      <c r="L1293" s="6">
        <v>87.200999999999993</v>
      </c>
      <c r="M1293" s="6">
        <v>83.712959999999995</v>
      </c>
      <c r="N1293" s="6">
        <v>87.200999999999993</v>
      </c>
      <c r="O1293" s="6">
        <v>83.712959999999995</v>
      </c>
      <c r="P1293" s="6">
        <v>0</v>
      </c>
      <c r="Q1293" s="4" t="s">
        <v>26</v>
      </c>
      <c r="R1293" s="4">
        <v>0</v>
      </c>
      <c r="S1293" s="4" t="s">
        <v>356</v>
      </c>
      <c r="T1293" s="4" t="s">
        <v>621</v>
      </c>
      <c r="U1293" s="4">
        <v>0</v>
      </c>
      <c r="V1293" s="4">
        <v>42</v>
      </c>
      <c r="W1293" s="4">
        <v>66</v>
      </c>
    </row>
    <row r="1294" spans="1:23" ht="11.25" customHeight="1" x14ac:dyDescent="0.25">
      <c r="A1294" s="4" t="s">
        <v>27</v>
      </c>
      <c r="B1294" s="4" t="s">
        <v>41</v>
      </c>
      <c r="C1294" s="4" t="s">
        <v>42</v>
      </c>
      <c r="D1294" s="4" t="s">
        <v>45</v>
      </c>
      <c r="E1294" s="4" t="s">
        <v>53</v>
      </c>
      <c r="F1294" s="4" t="s">
        <v>25</v>
      </c>
      <c r="G1294" s="4" t="s">
        <v>25</v>
      </c>
      <c r="H1294" s="4" t="s">
        <v>34</v>
      </c>
      <c r="I1294" s="5">
        <v>44652</v>
      </c>
      <c r="J1294" s="6">
        <v>0</v>
      </c>
      <c r="K1294" s="6">
        <v>0</v>
      </c>
      <c r="L1294" s="6">
        <v>-2.931</v>
      </c>
      <c r="M1294" s="6">
        <v>-2.8137599999999998</v>
      </c>
      <c r="N1294" s="6">
        <v>-2.931</v>
      </c>
      <c r="O1294" s="6">
        <v>-2.8137599999999998</v>
      </c>
      <c r="P1294" s="6">
        <v>0</v>
      </c>
      <c r="Q1294" s="4" t="s">
        <v>26</v>
      </c>
      <c r="R1294" s="4">
        <v>0</v>
      </c>
      <c r="S1294" s="4" t="s">
        <v>356</v>
      </c>
      <c r="T1294" s="4" t="s">
        <v>621</v>
      </c>
      <c r="U1294" s="4">
        <v>0</v>
      </c>
      <c r="V1294" s="4">
        <v>42</v>
      </c>
      <c r="W1294" s="4">
        <v>66</v>
      </c>
    </row>
    <row r="1295" spans="1:23" ht="11.25" customHeight="1" x14ac:dyDescent="0.25">
      <c r="A1295" s="4" t="s">
        <v>28</v>
      </c>
      <c r="B1295" s="4" t="s">
        <v>41</v>
      </c>
      <c r="C1295" s="4" t="s">
        <v>42</v>
      </c>
      <c r="D1295" s="4" t="s">
        <v>45</v>
      </c>
      <c r="E1295" s="4" t="s">
        <v>53</v>
      </c>
      <c r="F1295" s="4" t="s">
        <v>25</v>
      </c>
      <c r="G1295" s="4" t="s">
        <v>25</v>
      </c>
      <c r="H1295" s="4" t="s">
        <v>34</v>
      </c>
      <c r="I1295" s="5">
        <v>44652</v>
      </c>
      <c r="J1295" s="6">
        <v>0</v>
      </c>
      <c r="K1295" s="6">
        <v>0</v>
      </c>
      <c r="L1295" s="6">
        <v>0.89</v>
      </c>
      <c r="M1295" s="6">
        <v>0.85439999999999994</v>
      </c>
      <c r="N1295" s="6">
        <v>0.89</v>
      </c>
      <c r="O1295" s="6">
        <v>0.85439999999999994</v>
      </c>
      <c r="P1295" s="6">
        <v>0</v>
      </c>
      <c r="Q1295" s="4" t="s">
        <v>26</v>
      </c>
      <c r="R1295" s="4">
        <v>0</v>
      </c>
      <c r="S1295" s="4" t="s">
        <v>356</v>
      </c>
      <c r="T1295" s="4" t="s">
        <v>621</v>
      </c>
      <c r="U1295" s="4">
        <v>0</v>
      </c>
      <c r="V1295" s="4">
        <v>42</v>
      </c>
      <c r="W1295" s="4">
        <v>66</v>
      </c>
    </row>
    <row r="1296" spans="1:23" ht="11.25" customHeight="1" x14ac:dyDescent="0.25">
      <c r="A1296" s="4" t="s">
        <v>21</v>
      </c>
      <c r="B1296" s="4" t="s">
        <v>41</v>
      </c>
      <c r="C1296" s="4" t="s">
        <v>42</v>
      </c>
      <c r="D1296" s="4" t="s">
        <v>45</v>
      </c>
      <c r="E1296" s="4" t="s">
        <v>53</v>
      </c>
      <c r="F1296" s="4" t="s">
        <v>25</v>
      </c>
      <c r="G1296" s="4" t="s">
        <v>25</v>
      </c>
      <c r="H1296" s="4" t="s">
        <v>34</v>
      </c>
      <c r="I1296" s="5">
        <v>44682</v>
      </c>
      <c r="J1296" s="6">
        <v>0</v>
      </c>
      <c r="K1296" s="6">
        <v>0</v>
      </c>
      <c r="L1296" s="6">
        <v>43.365000000000002</v>
      </c>
      <c r="M1296" s="6">
        <v>41.630400000000002</v>
      </c>
      <c r="N1296" s="6">
        <v>43.365000000000002</v>
      </c>
      <c r="O1296" s="6">
        <v>41.630400000000002</v>
      </c>
      <c r="P1296" s="6">
        <v>0</v>
      </c>
      <c r="Q1296" s="4" t="s">
        <v>26</v>
      </c>
      <c r="R1296" s="4">
        <v>0</v>
      </c>
      <c r="S1296" s="4" t="s">
        <v>357</v>
      </c>
      <c r="T1296" s="4" t="s">
        <v>622</v>
      </c>
      <c r="U1296" s="4">
        <v>0</v>
      </c>
      <c r="V1296" s="4">
        <v>42</v>
      </c>
      <c r="W1296" s="4">
        <v>66</v>
      </c>
    </row>
    <row r="1297" spans="1:23" ht="11.25" customHeight="1" x14ac:dyDescent="0.25">
      <c r="A1297" s="4" t="s">
        <v>28</v>
      </c>
      <c r="B1297" s="4" t="s">
        <v>41</v>
      </c>
      <c r="C1297" s="4" t="s">
        <v>42</v>
      </c>
      <c r="D1297" s="4" t="s">
        <v>45</v>
      </c>
      <c r="E1297" s="4" t="s">
        <v>53</v>
      </c>
      <c r="F1297" s="4" t="s">
        <v>25</v>
      </c>
      <c r="G1297" s="4" t="s">
        <v>25</v>
      </c>
      <c r="H1297" s="4" t="s">
        <v>34</v>
      </c>
      <c r="I1297" s="5">
        <v>44682</v>
      </c>
      <c r="J1297" s="6">
        <v>0</v>
      </c>
      <c r="K1297" s="6">
        <v>0</v>
      </c>
      <c r="L1297" s="6">
        <v>1.7889999999999999</v>
      </c>
      <c r="M1297" s="6">
        <v>1.7174399999999999</v>
      </c>
      <c r="N1297" s="6">
        <v>1.7889999999999999</v>
      </c>
      <c r="O1297" s="6">
        <v>1.7174399999999999</v>
      </c>
      <c r="P1297" s="6">
        <v>0</v>
      </c>
      <c r="Q1297" s="4" t="s">
        <v>26</v>
      </c>
      <c r="R1297" s="4">
        <v>0</v>
      </c>
      <c r="S1297" s="4" t="s">
        <v>357</v>
      </c>
      <c r="T1297" s="4" t="s">
        <v>622</v>
      </c>
      <c r="U1297" s="4">
        <v>0</v>
      </c>
      <c r="V1297" s="4">
        <v>42</v>
      </c>
      <c r="W1297" s="4">
        <v>66</v>
      </c>
    </row>
    <row r="1298" spans="1:23" ht="11.25" customHeight="1" x14ac:dyDescent="0.25">
      <c r="A1298" s="4" t="s">
        <v>21</v>
      </c>
      <c r="B1298" s="4" t="s">
        <v>41</v>
      </c>
      <c r="C1298" s="4" t="s">
        <v>42</v>
      </c>
      <c r="D1298" s="4" t="s">
        <v>45</v>
      </c>
      <c r="E1298" s="4" t="s">
        <v>53</v>
      </c>
      <c r="F1298" s="4" t="s">
        <v>25</v>
      </c>
      <c r="G1298" s="4" t="s">
        <v>25</v>
      </c>
      <c r="H1298" s="4" t="s">
        <v>34</v>
      </c>
      <c r="I1298" s="5">
        <v>44713</v>
      </c>
      <c r="J1298" s="6">
        <v>0</v>
      </c>
      <c r="K1298" s="6">
        <v>0</v>
      </c>
      <c r="L1298" s="6">
        <v>42.155000000000001</v>
      </c>
      <c r="M1298" s="6">
        <v>40.468800000000002</v>
      </c>
      <c r="N1298" s="6">
        <v>42.155000000000001</v>
      </c>
      <c r="O1298" s="6">
        <v>40.468800000000002</v>
      </c>
      <c r="P1298" s="6">
        <v>0</v>
      </c>
      <c r="Q1298" s="4" t="s">
        <v>26</v>
      </c>
      <c r="R1298" s="4">
        <v>0</v>
      </c>
      <c r="S1298" s="4" t="s">
        <v>358</v>
      </c>
      <c r="T1298" s="4" t="s">
        <v>623</v>
      </c>
      <c r="U1298" s="4">
        <v>0</v>
      </c>
      <c r="V1298" s="4">
        <v>42</v>
      </c>
      <c r="W1298" s="4">
        <v>66</v>
      </c>
    </row>
    <row r="1299" spans="1:23" ht="11.25" customHeight="1" x14ac:dyDescent="0.25">
      <c r="A1299" s="4" t="s">
        <v>27</v>
      </c>
      <c r="B1299" s="4" t="s">
        <v>41</v>
      </c>
      <c r="C1299" s="4" t="s">
        <v>42</v>
      </c>
      <c r="D1299" s="4" t="s">
        <v>45</v>
      </c>
      <c r="E1299" s="4" t="s">
        <v>53</v>
      </c>
      <c r="F1299" s="4" t="s">
        <v>25</v>
      </c>
      <c r="G1299" s="4" t="s">
        <v>25</v>
      </c>
      <c r="H1299" s="4" t="s">
        <v>34</v>
      </c>
      <c r="I1299" s="5">
        <v>44713</v>
      </c>
      <c r="J1299" s="6">
        <v>0</v>
      </c>
      <c r="K1299" s="6">
        <v>0</v>
      </c>
      <c r="L1299" s="6">
        <v>-5.8000000000000003E-2</v>
      </c>
      <c r="M1299" s="6">
        <v>-5.568E-2</v>
      </c>
      <c r="N1299" s="6">
        <v>-5.8000000000000003E-2</v>
      </c>
      <c r="O1299" s="6">
        <v>-5.568E-2</v>
      </c>
      <c r="P1299" s="6">
        <v>0</v>
      </c>
      <c r="Q1299" s="4" t="s">
        <v>26</v>
      </c>
      <c r="R1299" s="4">
        <v>0</v>
      </c>
      <c r="S1299" s="4" t="s">
        <v>358</v>
      </c>
      <c r="T1299" s="4" t="s">
        <v>623</v>
      </c>
      <c r="U1299" s="4">
        <v>0</v>
      </c>
      <c r="V1299" s="4">
        <v>42</v>
      </c>
      <c r="W1299" s="4">
        <v>66</v>
      </c>
    </row>
    <row r="1300" spans="1:23" ht="11.25" customHeight="1" x14ac:dyDescent="0.25">
      <c r="A1300" s="4" t="s">
        <v>57</v>
      </c>
      <c r="B1300" s="4" t="s">
        <v>41</v>
      </c>
      <c r="C1300" s="4" t="s">
        <v>42</v>
      </c>
      <c r="D1300" s="4" t="s">
        <v>45</v>
      </c>
      <c r="E1300" s="4" t="s">
        <v>53</v>
      </c>
      <c r="F1300" s="4" t="s">
        <v>25</v>
      </c>
      <c r="G1300" s="4" t="s">
        <v>25</v>
      </c>
      <c r="H1300" s="4" t="s">
        <v>34</v>
      </c>
      <c r="I1300" s="5">
        <v>44743</v>
      </c>
      <c r="J1300" s="6">
        <v>0</v>
      </c>
      <c r="K1300" s="6">
        <v>0</v>
      </c>
      <c r="L1300" s="6">
        <v>42.155000000000001</v>
      </c>
      <c r="M1300" s="6">
        <v>40.468800000000002</v>
      </c>
      <c r="N1300" s="6">
        <v>42.155000000000001</v>
      </c>
      <c r="O1300" s="6">
        <v>40.468800000000002</v>
      </c>
      <c r="P1300" s="6">
        <v>0</v>
      </c>
      <c r="Q1300" s="4" t="s">
        <v>26</v>
      </c>
      <c r="R1300" s="4">
        <v>0</v>
      </c>
      <c r="S1300" s="4" t="s">
        <v>359</v>
      </c>
      <c r="T1300" s="4" t="s">
        <v>624</v>
      </c>
      <c r="U1300" s="4">
        <v>0</v>
      </c>
      <c r="V1300" s="4">
        <v>42</v>
      </c>
      <c r="W1300" s="4">
        <v>66</v>
      </c>
    </row>
    <row r="1301" spans="1:23" ht="11.25" customHeight="1" x14ac:dyDescent="0.25">
      <c r="A1301" s="4" t="s">
        <v>57</v>
      </c>
      <c r="B1301" s="4" t="s">
        <v>41</v>
      </c>
      <c r="C1301" s="4" t="s">
        <v>42</v>
      </c>
      <c r="D1301" s="4" t="s">
        <v>45</v>
      </c>
      <c r="E1301" s="4" t="s">
        <v>53</v>
      </c>
      <c r="F1301" s="4" t="s">
        <v>25</v>
      </c>
      <c r="G1301" s="4" t="s">
        <v>25</v>
      </c>
      <c r="H1301" s="4" t="s">
        <v>34</v>
      </c>
      <c r="I1301" s="5">
        <v>44743</v>
      </c>
      <c r="J1301" s="6">
        <v>0</v>
      </c>
      <c r="K1301" s="6">
        <v>0</v>
      </c>
      <c r="L1301" s="6">
        <v>-5.8000000000000003E-2</v>
      </c>
      <c r="M1301" s="6">
        <v>-5.568E-2</v>
      </c>
      <c r="N1301" s="6">
        <v>-5.8000000000000003E-2</v>
      </c>
      <c r="O1301" s="6">
        <v>-5.568E-2</v>
      </c>
      <c r="P1301" s="6">
        <v>0</v>
      </c>
      <c r="Q1301" s="4" t="s">
        <v>26</v>
      </c>
      <c r="R1301" s="4">
        <v>0</v>
      </c>
      <c r="S1301" s="4" t="s">
        <v>359</v>
      </c>
      <c r="T1301" s="4" t="s">
        <v>624</v>
      </c>
      <c r="U1301" s="4">
        <v>0</v>
      </c>
      <c r="V1301" s="4">
        <v>42</v>
      </c>
      <c r="W1301" s="4">
        <v>66</v>
      </c>
    </row>
    <row r="1302" spans="1:23" ht="11.25" customHeight="1" x14ac:dyDescent="0.25">
      <c r="A1302" s="4" t="s">
        <v>21</v>
      </c>
      <c r="B1302" s="4" t="s">
        <v>41</v>
      </c>
      <c r="C1302" s="4" t="s">
        <v>42</v>
      </c>
      <c r="D1302" s="4" t="s">
        <v>45</v>
      </c>
      <c r="E1302" s="4" t="s">
        <v>25</v>
      </c>
      <c r="F1302" s="4" t="s">
        <v>25</v>
      </c>
      <c r="G1302" s="4" t="s">
        <v>25</v>
      </c>
      <c r="H1302" s="4" t="s">
        <v>35</v>
      </c>
      <c r="I1302" s="5">
        <v>44409</v>
      </c>
      <c r="J1302" s="6">
        <v>0</v>
      </c>
      <c r="K1302" s="6">
        <v>0</v>
      </c>
      <c r="L1302" s="6">
        <v>1229.2660000000001</v>
      </c>
      <c r="M1302" s="6">
        <v>1180.09536</v>
      </c>
      <c r="N1302" s="6">
        <v>1229.2660000000001</v>
      </c>
      <c r="O1302" s="6">
        <v>1180.09536</v>
      </c>
      <c r="P1302" s="6">
        <v>0</v>
      </c>
      <c r="Q1302" s="4" t="s">
        <v>26</v>
      </c>
      <c r="R1302" s="4">
        <v>0</v>
      </c>
      <c r="S1302" s="4" t="s">
        <v>324</v>
      </c>
      <c r="T1302" s="4" t="s">
        <v>601</v>
      </c>
      <c r="U1302" s="4">
        <v>0</v>
      </c>
      <c r="V1302" s="4">
        <v>44</v>
      </c>
      <c r="W1302" s="4">
        <v>67</v>
      </c>
    </row>
    <row r="1303" spans="1:23" ht="11.25" customHeight="1" x14ac:dyDescent="0.25">
      <c r="A1303" s="4" t="s">
        <v>28</v>
      </c>
      <c r="B1303" s="4" t="s">
        <v>41</v>
      </c>
      <c r="C1303" s="4" t="s">
        <v>42</v>
      </c>
      <c r="D1303" s="4" t="s">
        <v>45</v>
      </c>
      <c r="E1303" s="4" t="s">
        <v>25</v>
      </c>
      <c r="F1303" s="4" t="s">
        <v>25</v>
      </c>
      <c r="G1303" s="4" t="s">
        <v>25</v>
      </c>
      <c r="H1303" s="4" t="s">
        <v>35</v>
      </c>
      <c r="I1303" s="5">
        <v>44409</v>
      </c>
      <c r="J1303" s="6">
        <v>0</v>
      </c>
      <c r="K1303" s="6">
        <v>0</v>
      </c>
      <c r="L1303" s="6">
        <v>39.07</v>
      </c>
      <c r="M1303" s="6">
        <v>37.507199999999997</v>
      </c>
      <c r="N1303" s="6">
        <v>39.07</v>
      </c>
      <c r="O1303" s="6">
        <v>37.507199999999997</v>
      </c>
      <c r="P1303" s="6">
        <v>0</v>
      </c>
      <c r="Q1303" s="4" t="s">
        <v>26</v>
      </c>
      <c r="R1303" s="4">
        <v>0</v>
      </c>
      <c r="S1303" s="4" t="s">
        <v>324</v>
      </c>
      <c r="T1303" s="4" t="s">
        <v>601</v>
      </c>
      <c r="U1303" s="4">
        <v>0</v>
      </c>
      <c r="V1303" s="4">
        <v>44</v>
      </c>
      <c r="W1303" s="4">
        <v>67</v>
      </c>
    </row>
    <row r="1304" spans="1:23" ht="11.25" customHeight="1" x14ac:dyDescent="0.25">
      <c r="A1304" s="4" t="s">
        <v>21</v>
      </c>
      <c r="B1304" s="4" t="s">
        <v>41</v>
      </c>
      <c r="C1304" s="4" t="s">
        <v>42</v>
      </c>
      <c r="D1304" s="4" t="s">
        <v>45</v>
      </c>
      <c r="E1304" s="4" t="s">
        <v>25</v>
      </c>
      <c r="F1304" s="4" t="s">
        <v>25</v>
      </c>
      <c r="G1304" s="4" t="s">
        <v>25</v>
      </c>
      <c r="H1304" s="4" t="s">
        <v>35</v>
      </c>
      <c r="I1304" s="5">
        <v>44440</v>
      </c>
      <c r="J1304" s="6">
        <v>0</v>
      </c>
      <c r="K1304" s="6">
        <v>0</v>
      </c>
      <c r="L1304" s="6">
        <v>1262.5540000000001</v>
      </c>
      <c r="M1304" s="6">
        <v>1212.0518400000001</v>
      </c>
      <c r="N1304" s="6">
        <v>1262.5540000000001</v>
      </c>
      <c r="O1304" s="6">
        <v>1212.0518400000001</v>
      </c>
      <c r="P1304" s="6">
        <v>0</v>
      </c>
      <c r="Q1304" s="4" t="s">
        <v>26</v>
      </c>
      <c r="R1304" s="4">
        <v>0</v>
      </c>
      <c r="S1304" s="4" t="s">
        <v>325</v>
      </c>
      <c r="T1304" s="4" t="s">
        <v>602</v>
      </c>
      <c r="U1304" s="4">
        <v>0</v>
      </c>
      <c r="V1304" s="4">
        <v>44</v>
      </c>
      <c r="W1304" s="4">
        <v>67</v>
      </c>
    </row>
    <row r="1305" spans="1:23" ht="11.25" customHeight="1" x14ac:dyDescent="0.25">
      <c r="A1305" s="4" t="s">
        <v>28</v>
      </c>
      <c r="B1305" s="4" t="s">
        <v>41</v>
      </c>
      <c r="C1305" s="4" t="s">
        <v>42</v>
      </c>
      <c r="D1305" s="4" t="s">
        <v>45</v>
      </c>
      <c r="E1305" s="4" t="s">
        <v>25</v>
      </c>
      <c r="F1305" s="4" t="s">
        <v>25</v>
      </c>
      <c r="G1305" s="4" t="s">
        <v>25</v>
      </c>
      <c r="H1305" s="4" t="s">
        <v>35</v>
      </c>
      <c r="I1305" s="5">
        <v>44440</v>
      </c>
      <c r="J1305" s="6">
        <v>0</v>
      </c>
      <c r="K1305" s="6">
        <v>0</v>
      </c>
      <c r="L1305" s="6">
        <v>52.603000000000002</v>
      </c>
      <c r="M1305" s="6">
        <v>50.49888</v>
      </c>
      <c r="N1305" s="6">
        <v>52.603000000000002</v>
      </c>
      <c r="O1305" s="6">
        <v>50.49888</v>
      </c>
      <c r="P1305" s="6">
        <v>0</v>
      </c>
      <c r="Q1305" s="4" t="s">
        <v>26</v>
      </c>
      <c r="R1305" s="4">
        <v>0</v>
      </c>
      <c r="S1305" s="4" t="s">
        <v>325</v>
      </c>
      <c r="T1305" s="4" t="s">
        <v>602</v>
      </c>
      <c r="U1305" s="4">
        <v>0</v>
      </c>
      <c r="V1305" s="4">
        <v>44</v>
      </c>
      <c r="W1305" s="4">
        <v>67</v>
      </c>
    </row>
    <row r="1306" spans="1:23" ht="11.25" customHeight="1" x14ac:dyDescent="0.25">
      <c r="A1306" s="4" t="s">
        <v>21</v>
      </c>
      <c r="B1306" s="4" t="s">
        <v>41</v>
      </c>
      <c r="C1306" s="4" t="s">
        <v>42</v>
      </c>
      <c r="D1306" s="4" t="s">
        <v>45</v>
      </c>
      <c r="E1306" s="4" t="s">
        <v>25</v>
      </c>
      <c r="F1306" s="4" t="s">
        <v>25</v>
      </c>
      <c r="G1306" s="4" t="s">
        <v>25</v>
      </c>
      <c r="H1306" s="4" t="s">
        <v>35</v>
      </c>
      <c r="I1306" s="5">
        <v>44470</v>
      </c>
      <c r="J1306" s="6">
        <v>0</v>
      </c>
      <c r="K1306" s="6">
        <v>0</v>
      </c>
      <c r="L1306" s="6">
        <v>1138.732</v>
      </c>
      <c r="M1306" s="6">
        <v>1093.18272</v>
      </c>
      <c r="N1306" s="6">
        <v>1138.732</v>
      </c>
      <c r="O1306" s="6">
        <v>1093.18272</v>
      </c>
      <c r="P1306" s="6">
        <v>0</v>
      </c>
      <c r="Q1306" s="4" t="s">
        <v>26</v>
      </c>
      <c r="R1306" s="4">
        <v>0</v>
      </c>
      <c r="S1306" s="4" t="s">
        <v>326</v>
      </c>
      <c r="T1306" s="4" t="s">
        <v>603</v>
      </c>
      <c r="U1306" s="4">
        <v>0</v>
      </c>
      <c r="V1306" s="4">
        <v>44</v>
      </c>
      <c r="W1306" s="4">
        <v>67</v>
      </c>
    </row>
    <row r="1307" spans="1:23" ht="11.25" customHeight="1" x14ac:dyDescent="0.25">
      <c r="A1307" s="4" t="s">
        <v>28</v>
      </c>
      <c r="B1307" s="4" t="s">
        <v>41</v>
      </c>
      <c r="C1307" s="4" t="s">
        <v>42</v>
      </c>
      <c r="D1307" s="4" t="s">
        <v>45</v>
      </c>
      <c r="E1307" s="4" t="s">
        <v>25</v>
      </c>
      <c r="F1307" s="4" t="s">
        <v>25</v>
      </c>
      <c r="G1307" s="4" t="s">
        <v>25</v>
      </c>
      <c r="H1307" s="4" t="s">
        <v>35</v>
      </c>
      <c r="I1307" s="5">
        <v>44470</v>
      </c>
      <c r="J1307" s="6">
        <v>0</v>
      </c>
      <c r="K1307" s="6">
        <v>0</v>
      </c>
      <c r="L1307" s="6">
        <v>76.242999999999995</v>
      </c>
      <c r="M1307" s="6">
        <v>73.193280000000001</v>
      </c>
      <c r="N1307" s="6">
        <v>76.242999999999995</v>
      </c>
      <c r="O1307" s="6">
        <v>73.193280000000001</v>
      </c>
      <c r="P1307" s="6">
        <v>0</v>
      </c>
      <c r="Q1307" s="4" t="s">
        <v>26</v>
      </c>
      <c r="R1307" s="4">
        <v>0</v>
      </c>
      <c r="S1307" s="4" t="s">
        <v>326</v>
      </c>
      <c r="T1307" s="4" t="s">
        <v>603</v>
      </c>
      <c r="U1307" s="4">
        <v>0</v>
      </c>
      <c r="V1307" s="4">
        <v>44</v>
      </c>
      <c r="W1307" s="4">
        <v>67</v>
      </c>
    </row>
    <row r="1308" spans="1:23" ht="11.25" customHeight="1" x14ac:dyDescent="0.25">
      <c r="A1308" s="4" t="s">
        <v>21</v>
      </c>
      <c r="B1308" s="4" t="s">
        <v>41</v>
      </c>
      <c r="C1308" s="4" t="s">
        <v>42</v>
      </c>
      <c r="D1308" s="4" t="s">
        <v>45</v>
      </c>
      <c r="E1308" s="4" t="s">
        <v>25</v>
      </c>
      <c r="F1308" s="4" t="s">
        <v>25</v>
      </c>
      <c r="G1308" s="4" t="s">
        <v>25</v>
      </c>
      <c r="H1308" s="4" t="s">
        <v>35</v>
      </c>
      <c r="I1308" s="5">
        <v>44501</v>
      </c>
      <c r="J1308" s="6">
        <v>0</v>
      </c>
      <c r="K1308" s="6">
        <v>0</v>
      </c>
      <c r="L1308" s="6">
        <v>1077.4010000000001</v>
      </c>
      <c r="M1308" s="6">
        <v>1034.3049599999999</v>
      </c>
      <c r="N1308" s="6">
        <v>1077.4010000000001</v>
      </c>
      <c r="O1308" s="6">
        <v>1034.3049599999999</v>
      </c>
      <c r="P1308" s="6">
        <v>0</v>
      </c>
      <c r="Q1308" s="4" t="s">
        <v>26</v>
      </c>
      <c r="R1308" s="4">
        <v>0</v>
      </c>
      <c r="S1308" s="4" t="s">
        <v>327</v>
      </c>
      <c r="T1308" s="4" t="s">
        <v>604</v>
      </c>
      <c r="U1308" s="4">
        <v>0</v>
      </c>
      <c r="V1308" s="4">
        <v>44</v>
      </c>
      <c r="W1308" s="4">
        <v>67</v>
      </c>
    </row>
    <row r="1309" spans="1:23" ht="11.25" customHeight="1" x14ac:dyDescent="0.25">
      <c r="A1309" s="4" t="s">
        <v>28</v>
      </c>
      <c r="B1309" s="4" t="s">
        <v>41</v>
      </c>
      <c r="C1309" s="4" t="s">
        <v>42</v>
      </c>
      <c r="D1309" s="4" t="s">
        <v>45</v>
      </c>
      <c r="E1309" s="4" t="s">
        <v>25</v>
      </c>
      <c r="F1309" s="4" t="s">
        <v>25</v>
      </c>
      <c r="G1309" s="4" t="s">
        <v>25</v>
      </c>
      <c r="H1309" s="4" t="s">
        <v>35</v>
      </c>
      <c r="I1309" s="5">
        <v>44501</v>
      </c>
      <c r="J1309" s="6">
        <v>0</v>
      </c>
      <c r="K1309" s="6">
        <v>0</v>
      </c>
      <c r="L1309" s="6">
        <v>46.671999999999997</v>
      </c>
      <c r="M1309" s="6">
        <v>44.805120000000002</v>
      </c>
      <c r="N1309" s="6">
        <v>46.671999999999997</v>
      </c>
      <c r="O1309" s="6">
        <v>44.805120000000002</v>
      </c>
      <c r="P1309" s="6">
        <v>0</v>
      </c>
      <c r="Q1309" s="4" t="s">
        <v>26</v>
      </c>
      <c r="R1309" s="4">
        <v>0</v>
      </c>
      <c r="S1309" s="4" t="s">
        <v>327</v>
      </c>
      <c r="T1309" s="4" t="s">
        <v>604</v>
      </c>
      <c r="U1309" s="4">
        <v>0</v>
      </c>
      <c r="V1309" s="4">
        <v>44</v>
      </c>
      <c r="W1309" s="4">
        <v>67</v>
      </c>
    </row>
    <row r="1310" spans="1:23" ht="11.25" customHeight="1" x14ac:dyDescent="0.25">
      <c r="A1310" s="4" t="s">
        <v>28</v>
      </c>
      <c r="B1310" s="4" t="s">
        <v>41</v>
      </c>
      <c r="C1310" s="4" t="s">
        <v>42</v>
      </c>
      <c r="D1310" s="4" t="s">
        <v>45</v>
      </c>
      <c r="E1310" s="4" t="s">
        <v>25</v>
      </c>
      <c r="F1310" s="4" t="s">
        <v>25</v>
      </c>
      <c r="G1310" s="4" t="s">
        <v>25</v>
      </c>
      <c r="H1310" s="4" t="s">
        <v>35</v>
      </c>
      <c r="I1310" s="5">
        <v>44501</v>
      </c>
      <c r="J1310" s="6">
        <v>0</v>
      </c>
      <c r="K1310" s="6">
        <v>0</v>
      </c>
      <c r="L1310" s="6">
        <v>-41.655999999999999</v>
      </c>
      <c r="M1310" s="6">
        <v>-39.989759999999997</v>
      </c>
      <c r="N1310" s="6">
        <v>-41.655999999999999</v>
      </c>
      <c r="O1310" s="6">
        <v>-39.989759999999997</v>
      </c>
      <c r="P1310" s="6">
        <v>0</v>
      </c>
      <c r="Q1310" s="4" t="s">
        <v>26</v>
      </c>
      <c r="R1310" s="4">
        <v>0</v>
      </c>
      <c r="S1310" s="4" t="s">
        <v>327</v>
      </c>
      <c r="T1310" s="4" t="s">
        <v>604</v>
      </c>
      <c r="U1310" s="4">
        <v>0</v>
      </c>
      <c r="V1310" s="4">
        <v>44</v>
      </c>
      <c r="W1310" s="4">
        <v>67</v>
      </c>
    </row>
    <row r="1311" spans="1:23" ht="11.25" customHeight="1" x14ac:dyDescent="0.25">
      <c r="A1311" s="4" t="s">
        <v>21</v>
      </c>
      <c r="B1311" s="4" t="s">
        <v>41</v>
      </c>
      <c r="C1311" s="4" t="s">
        <v>42</v>
      </c>
      <c r="D1311" s="4" t="s">
        <v>45</v>
      </c>
      <c r="E1311" s="4" t="s">
        <v>25</v>
      </c>
      <c r="F1311" s="4" t="s">
        <v>25</v>
      </c>
      <c r="G1311" s="4" t="s">
        <v>25</v>
      </c>
      <c r="H1311" s="4" t="s">
        <v>35</v>
      </c>
      <c r="I1311" s="5">
        <v>44531</v>
      </c>
      <c r="J1311" s="6">
        <v>0</v>
      </c>
      <c r="K1311" s="6">
        <v>0</v>
      </c>
      <c r="L1311" s="6">
        <v>1180.106</v>
      </c>
      <c r="M1311" s="6">
        <v>1132.90176</v>
      </c>
      <c r="N1311" s="6">
        <v>1180.106</v>
      </c>
      <c r="O1311" s="6">
        <v>1132.90176</v>
      </c>
      <c r="P1311" s="6">
        <v>0</v>
      </c>
      <c r="Q1311" s="4" t="s">
        <v>26</v>
      </c>
      <c r="R1311" s="4">
        <v>0</v>
      </c>
      <c r="S1311" s="4" t="s">
        <v>328</v>
      </c>
      <c r="T1311" s="4" t="s">
        <v>605</v>
      </c>
      <c r="U1311" s="4">
        <v>0</v>
      </c>
      <c r="V1311" s="4">
        <v>44</v>
      </c>
      <c r="W1311" s="4">
        <v>67</v>
      </c>
    </row>
    <row r="1312" spans="1:23" ht="11.25" customHeight="1" x14ac:dyDescent="0.25">
      <c r="A1312" s="4" t="s">
        <v>27</v>
      </c>
      <c r="B1312" s="4" t="s">
        <v>41</v>
      </c>
      <c r="C1312" s="4" t="s">
        <v>42</v>
      </c>
      <c r="D1312" s="4" t="s">
        <v>45</v>
      </c>
      <c r="E1312" s="4" t="s">
        <v>25</v>
      </c>
      <c r="F1312" s="4" t="s">
        <v>25</v>
      </c>
      <c r="G1312" s="4" t="s">
        <v>25</v>
      </c>
      <c r="H1312" s="4" t="s">
        <v>35</v>
      </c>
      <c r="I1312" s="5">
        <v>44531</v>
      </c>
      <c r="J1312" s="6">
        <v>0</v>
      </c>
      <c r="K1312" s="6">
        <v>0</v>
      </c>
      <c r="L1312" s="6">
        <v>-6.8970000000000002</v>
      </c>
      <c r="M1312" s="6">
        <v>-6.6211200000000003</v>
      </c>
      <c r="N1312" s="6">
        <v>-6.8970000000000002</v>
      </c>
      <c r="O1312" s="6">
        <v>-6.6211200000000003</v>
      </c>
      <c r="P1312" s="6">
        <v>0</v>
      </c>
      <c r="Q1312" s="4" t="s">
        <v>26</v>
      </c>
      <c r="R1312" s="4">
        <v>0</v>
      </c>
      <c r="S1312" s="4" t="s">
        <v>328</v>
      </c>
      <c r="T1312" s="4" t="s">
        <v>605</v>
      </c>
      <c r="U1312" s="4">
        <v>0</v>
      </c>
      <c r="V1312" s="4">
        <v>44</v>
      </c>
      <c r="W1312" s="4">
        <v>67</v>
      </c>
    </row>
    <row r="1313" spans="1:23" ht="11.25" customHeight="1" x14ac:dyDescent="0.25">
      <c r="A1313" s="4" t="s">
        <v>28</v>
      </c>
      <c r="B1313" s="4" t="s">
        <v>41</v>
      </c>
      <c r="C1313" s="4" t="s">
        <v>42</v>
      </c>
      <c r="D1313" s="4" t="s">
        <v>45</v>
      </c>
      <c r="E1313" s="4" t="s">
        <v>25</v>
      </c>
      <c r="F1313" s="4" t="s">
        <v>25</v>
      </c>
      <c r="G1313" s="4" t="s">
        <v>25</v>
      </c>
      <c r="H1313" s="4" t="s">
        <v>35</v>
      </c>
      <c r="I1313" s="5">
        <v>44531</v>
      </c>
      <c r="J1313" s="6">
        <v>0</v>
      </c>
      <c r="K1313" s="6">
        <v>0</v>
      </c>
      <c r="L1313" s="6">
        <v>32.405000000000001</v>
      </c>
      <c r="M1313" s="6">
        <v>31.108799999999999</v>
      </c>
      <c r="N1313" s="6">
        <v>32.405000000000001</v>
      </c>
      <c r="O1313" s="6">
        <v>31.108799999999999</v>
      </c>
      <c r="P1313" s="6">
        <v>0</v>
      </c>
      <c r="Q1313" s="4" t="s">
        <v>26</v>
      </c>
      <c r="R1313" s="4">
        <v>0</v>
      </c>
      <c r="S1313" s="4" t="s">
        <v>328</v>
      </c>
      <c r="T1313" s="4" t="s">
        <v>605</v>
      </c>
      <c r="U1313" s="4">
        <v>0</v>
      </c>
      <c r="V1313" s="4">
        <v>44</v>
      </c>
      <c r="W1313" s="4">
        <v>67</v>
      </c>
    </row>
    <row r="1314" spans="1:23" ht="11.25" customHeight="1" x14ac:dyDescent="0.25">
      <c r="A1314" s="4" t="s">
        <v>21</v>
      </c>
      <c r="B1314" s="4" t="s">
        <v>41</v>
      </c>
      <c r="C1314" s="4" t="s">
        <v>42</v>
      </c>
      <c r="D1314" s="4" t="s">
        <v>45</v>
      </c>
      <c r="E1314" s="4" t="s">
        <v>25</v>
      </c>
      <c r="F1314" s="4" t="s">
        <v>25</v>
      </c>
      <c r="G1314" s="4" t="s">
        <v>25</v>
      </c>
      <c r="H1314" s="4" t="s">
        <v>35</v>
      </c>
      <c r="I1314" s="5">
        <v>44562</v>
      </c>
      <c r="J1314" s="6">
        <v>0</v>
      </c>
      <c r="K1314" s="6">
        <v>0</v>
      </c>
      <c r="L1314" s="6">
        <v>1193.9010000000001</v>
      </c>
      <c r="M1314" s="6">
        <v>1146.1449600000001</v>
      </c>
      <c r="N1314" s="6">
        <v>1193.9010000000001</v>
      </c>
      <c r="O1314" s="6">
        <v>1146.1449600000001</v>
      </c>
      <c r="P1314" s="6">
        <v>0</v>
      </c>
      <c r="Q1314" s="4" t="s">
        <v>26</v>
      </c>
      <c r="R1314" s="4">
        <v>0</v>
      </c>
      <c r="S1314" s="4" t="s">
        <v>329</v>
      </c>
      <c r="T1314" s="4" t="s">
        <v>606</v>
      </c>
      <c r="U1314" s="4">
        <v>0</v>
      </c>
      <c r="V1314" s="4">
        <v>44</v>
      </c>
      <c r="W1314" s="4">
        <v>67</v>
      </c>
    </row>
    <row r="1315" spans="1:23" ht="11.25" customHeight="1" x14ac:dyDescent="0.25">
      <c r="A1315" s="4" t="s">
        <v>28</v>
      </c>
      <c r="B1315" s="4" t="s">
        <v>41</v>
      </c>
      <c r="C1315" s="4" t="s">
        <v>42</v>
      </c>
      <c r="D1315" s="4" t="s">
        <v>45</v>
      </c>
      <c r="E1315" s="4" t="s">
        <v>25</v>
      </c>
      <c r="F1315" s="4" t="s">
        <v>25</v>
      </c>
      <c r="G1315" s="4" t="s">
        <v>25</v>
      </c>
      <c r="H1315" s="4" t="s">
        <v>35</v>
      </c>
      <c r="I1315" s="5">
        <v>44562</v>
      </c>
      <c r="J1315" s="6">
        <v>0</v>
      </c>
      <c r="K1315" s="6">
        <v>0</v>
      </c>
      <c r="L1315" s="6">
        <v>90.117000000000004</v>
      </c>
      <c r="M1315" s="6">
        <v>86.512320000000003</v>
      </c>
      <c r="N1315" s="6">
        <v>90.117000000000004</v>
      </c>
      <c r="O1315" s="6">
        <v>86.512320000000003</v>
      </c>
      <c r="P1315" s="6">
        <v>0</v>
      </c>
      <c r="Q1315" s="4" t="s">
        <v>26</v>
      </c>
      <c r="R1315" s="4">
        <v>0</v>
      </c>
      <c r="S1315" s="4" t="s">
        <v>329</v>
      </c>
      <c r="T1315" s="4" t="s">
        <v>606</v>
      </c>
      <c r="U1315" s="4">
        <v>0</v>
      </c>
      <c r="V1315" s="4">
        <v>44</v>
      </c>
      <c r="W1315" s="4">
        <v>67</v>
      </c>
    </row>
    <row r="1316" spans="1:23" ht="11.25" customHeight="1" x14ac:dyDescent="0.25">
      <c r="A1316" s="4" t="s">
        <v>21</v>
      </c>
      <c r="B1316" s="4" t="s">
        <v>41</v>
      </c>
      <c r="C1316" s="4" t="s">
        <v>42</v>
      </c>
      <c r="D1316" s="4" t="s">
        <v>45</v>
      </c>
      <c r="E1316" s="4" t="s">
        <v>25</v>
      </c>
      <c r="F1316" s="4" t="s">
        <v>25</v>
      </c>
      <c r="G1316" s="4" t="s">
        <v>25</v>
      </c>
      <c r="H1316" s="4" t="s">
        <v>35</v>
      </c>
      <c r="I1316" s="5">
        <v>44593</v>
      </c>
      <c r="J1316" s="6">
        <v>0</v>
      </c>
      <c r="K1316" s="6">
        <v>0</v>
      </c>
      <c r="L1316" s="6">
        <v>999.81799999999998</v>
      </c>
      <c r="M1316" s="6">
        <v>959.82528000000002</v>
      </c>
      <c r="N1316" s="6">
        <v>999.81799999999998</v>
      </c>
      <c r="O1316" s="6">
        <v>959.82528000000002</v>
      </c>
      <c r="P1316" s="6">
        <v>0</v>
      </c>
      <c r="Q1316" s="4" t="s">
        <v>26</v>
      </c>
      <c r="R1316" s="4">
        <v>0</v>
      </c>
      <c r="S1316" s="4" t="s">
        <v>330</v>
      </c>
      <c r="T1316" s="4" t="s">
        <v>607</v>
      </c>
      <c r="U1316" s="4">
        <v>0</v>
      </c>
      <c r="V1316" s="4">
        <v>44</v>
      </c>
      <c r="W1316" s="4">
        <v>67</v>
      </c>
    </row>
    <row r="1317" spans="1:23" ht="11.25" customHeight="1" x14ac:dyDescent="0.25">
      <c r="A1317" s="4" t="s">
        <v>27</v>
      </c>
      <c r="B1317" s="4" t="s">
        <v>41</v>
      </c>
      <c r="C1317" s="4" t="s">
        <v>42</v>
      </c>
      <c r="D1317" s="4" t="s">
        <v>45</v>
      </c>
      <c r="E1317" s="4" t="s">
        <v>25</v>
      </c>
      <c r="F1317" s="4" t="s">
        <v>25</v>
      </c>
      <c r="G1317" s="4" t="s">
        <v>25</v>
      </c>
      <c r="H1317" s="4" t="s">
        <v>35</v>
      </c>
      <c r="I1317" s="5">
        <v>44593</v>
      </c>
      <c r="J1317" s="6">
        <v>0</v>
      </c>
      <c r="K1317" s="6">
        <v>0</v>
      </c>
      <c r="L1317" s="6">
        <v>45.15</v>
      </c>
      <c r="M1317" s="6">
        <v>43.344000000000001</v>
      </c>
      <c r="N1317" s="6">
        <v>45.15</v>
      </c>
      <c r="O1317" s="6">
        <v>43.344000000000001</v>
      </c>
      <c r="P1317" s="6">
        <v>0</v>
      </c>
      <c r="Q1317" s="4" t="s">
        <v>26</v>
      </c>
      <c r="R1317" s="4">
        <v>0</v>
      </c>
      <c r="S1317" s="4" t="s">
        <v>330</v>
      </c>
      <c r="T1317" s="4" t="s">
        <v>607</v>
      </c>
      <c r="U1317" s="4">
        <v>0</v>
      </c>
      <c r="V1317" s="4">
        <v>44</v>
      </c>
      <c r="W1317" s="4">
        <v>67</v>
      </c>
    </row>
    <row r="1318" spans="1:23" ht="11.25" customHeight="1" x14ac:dyDescent="0.25">
      <c r="A1318" s="4" t="s">
        <v>28</v>
      </c>
      <c r="B1318" s="4" t="s">
        <v>41</v>
      </c>
      <c r="C1318" s="4" t="s">
        <v>42</v>
      </c>
      <c r="D1318" s="4" t="s">
        <v>45</v>
      </c>
      <c r="E1318" s="4" t="s">
        <v>25</v>
      </c>
      <c r="F1318" s="4" t="s">
        <v>25</v>
      </c>
      <c r="G1318" s="4" t="s">
        <v>25</v>
      </c>
      <c r="H1318" s="4" t="s">
        <v>35</v>
      </c>
      <c r="I1318" s="5">
        <v>44593</v>
      </c>
      <c r="J1318" s="6">
        <v>0</v>
      </c>
      <c r="K1318" s="6">
        <v>0</v>
      </c>
      <c r="L1318" s="6">
        <v>42.384999999999998</v>
      </c>
      <c r="M1318" s="6">
        <v>40.689599999999999</v>
      </c>
      <c r="N1318" s="6">
        <v>42.384999999999998</v>
      </c>
      <c r="O1318" s="6">
        <v>40.689599999999999</v>
      </c>
      <c r="P1318" s="6">
        <v>0</v>
      </c>
      <c r="Q1318" s="4" t="s">
        <v>26</v>
      </c>
      <c r="R1318" s="4">
        <v>0</v>
      </c>
      <c r="S1318" s="4" t="s">
        <v>330</v>
      </c>
      <c r="T1318" s="4" t="s">
        <v>607</v>
      </c>
      <c r="U1318" s="4">
        <v>0</v>
      </c>
      <c r="V1318" s="4">
        <v>44</v>
      </c>
      <c r="W1318" s="4">
        <v>67</v>
      </c>
    </row>
    <row r="1319" spans="1:23" ht="11.25" customHeight="1" x14ac:dyDescent="0.25">
      <c r="A1319" s="4" t="s">
        <v>21</v>
      </c>
      <c r="B1319" s="4" t="s">
        <v>41</v>
      </c>
      <c r="C1319" s="4" t="s">
        <v>42</v>
      </c>
      <c r="D1319" s="4" t="s">
        <v>45</v>
      </c>
      <c r="E1319" s="4" t="s">
        <v>25</v>
      </c>
      <c r="F1319" s="4" t="s">
        <v>25</v>
      </c>
      <c r="G1319" s="4" t="s">
        <v>25</v>
      </c>
      <c r="H1319" s="4" t="s">
        <v>35</v>
      </c>
      <c r="I1319" s="5">
        <v>44621</v>
      </c>
      <c r="J1319" s="6">
        <v>0</v>
      </c>
      <c r="K1319" s="6">
        <v>0</v>
      </c>
      <c r="L1319" s="6">
        <v>1049.3699999999999</v>
      </c>
      <c r="M1319" s="6">
        <v>1007.3952</v>
      </c>
      <c r="N1319" s="6">
        <v>1049.3699999999999</v>
      </c>
      <c r="O1319" s="6">
        <v>1007.3952</v>
      </c>
      <c r="P1319" s="6">
        <v>0</v>
      </c>
      <c r="Q1319" s="4" t="s">
        <v>26</v>
      </c>
      <c r="R1319" s="4">
        <v>0</v>
      </c>
      <c r="S1319" s="4" t="s">
        <v>331</v>
      </c>
      <c r="T1319" s="4" t="s">
        <v>608</v>
      </c>
      <c r="U1319" s="4">
        <v>0</v>
      </c>
      <c r="V1319" s="4">
        <v>44</v>
      </c>
      <c r="W1319" s="4">
        <v>67</v>
      </c>
    </row>
    <row r="1320" spans="1:23" ht="11.25" customHeight="1" x14ac:dyDescent="0.25">
      <c r="A1320" s="4" t="s">
        <v>27</v>
      </c>
      <c r="B1320" s="4" t="s">
        <v>41</v>
      </c>
      <c r="C1320" s="4" t="s">
        <v>42</v>
      </c>
      <c r="D1320" s="4" t="s">
        <v>45</v>
      </c>
      <c r="E1320" s="4" t="s">
        <v>25</v>
      </c>
      <c r="F1320" s="4" t="s">
        <v>25</v>
      </c>
      <c r="G1320" s="4" t="s">
        <v>25</v>
      </c>
      <c r="H1320" s="4" t="s">
        <v>35</v>
      </c>
      <c r="I1320" s="5">
        <v>44621</v>
      </c>
      <c r="J1320" s="6">
        <v>0</v>
      </c>
      <c r="K1320" s="6">
        <v>0</v>
      </c>
      <c r="L1320" s="6">
        <v>-28.718</v>
      </c>
      <c r="M1320" s="6">
        <v>-27.569279999999999</v>
      </c>
      <c r="N1320" s="6">
        <v>-28.718</v>
      </c>
      <c r="O1320" s="6">
        <v>-27.569279999999999</v>
      </c>
      <c r="P1320" s="6">
        <v>0</v>
      </c>
      <c r="Q1320" s="4" t="s">
        <v>26</v>
      </c>
      <c r="R1320" s="4">
        <v>0</v>
      </c>
      <c r="S1320" s="4" t="s">
        <v>331</v>
      </c>
      <c r="T1320" s="4" t="s">
        <v>608</v>
      </c>
      <c r="U1320" s="4">
        <v>0</v>
      </c>
      <c r="V1320" s="4">
        <v>44</v>
      </c>
      <c r="W1320" s="4">
        <v>67</v>
      </c>
    </row>
    <row r="1321" spans="1:23" ht="11.25" customHeight="1" x14ac:dyDescent="0.25">
      <c r="A1321" s="4" t="s">
        <v>28</v>
      </c>
      <c r="B1321" s="4" t="s">
        <v>41</v>
      </c>
      <c r="C1321" s="4" t="s">
        <v>42</v>
      </c>
      <c r="D1321" s="4" t="s">
        <v>45</v>
      </c>
      <c r="E1321" s="4" t="s">
        <v>25</v>
      </c>
      <c r="F1321" s="4" t="s">
        <v>25</v>
      </c>
      <c r="G1321" s="4" t="s">
        <v>25</v>
      </c>
      <c r="H1321" s="4" t="s">
        <v>35</v>
      </c>
      <c r="I1321" s="5">
        <v>44621</v>
      </c>
      <c r="J1321" s="6">
        <v>0</v>
      </c>
      <c r="K1321" s="6">
        <v>0</v>
      </c>
      <c r="L1321" s="6">
        <v>28.227</v>
      </c>
      <c r="M1321" s="6">
        <v>27.097919999999998</v>
      </c>
      <c r="N1321" s="6">
        <v>28.227</v>
      </c>
      <c r="O1321" s="6">
        <v>27.097919999999998</v>
      </c>
      <c r="P1321" s="6">
        <v>0</v>
      </c>
      <c r="Q1321" s="4" t="s">
        <v>26</v>
      </c>
      <c r="R1321" s="4">
        <v>0</v>
      </c>
      <c r="S1321" s="4" t="s">
        <v>331</v>
      </c>
      <c r="T1321" s="4" t="s">
        <v>608</v>
      </c>
      <c r="U1321" s="4">
        <v>0</v>
      </c>
      <c r="V1321" s="4">
        <v>44</v>
      </c>
      <c r="W1321" s="4">
        <v>67</v>
      </c>
    </row>
    <row r="1322" spans="1:23" ht="11.25" customHeight="1" x14ac:dyDescent="0.25">
      <c r="A1322" s="4" t="s">
        <v>21</v>
      </c>
      <c r="B1322" s="4" t="s">
        <v>41</v>
      </c>
      <c r="C1322" s="4" t="s">
        <v>42</v>
      </c>
      <c r="D1322" s="4" t="s">
        <v>45</v>
      </c>
      <c r="E1322" s="4" t="s">
        <v>25</v>
      </c>
      <c r="F1322" s="4" t="s">
        <v>25</v>
      </c>
      <c r="G1322" s="4" t="s">
        <v>25</v>
      </c>
      <c r="H1322" s="4" t="s">
        <v>35</v>
      </c>
      <c r="I1322" s="5">
        <v>44652</v>
      </c>
      <c r="J1322" s="6">
        <v>0</v>
      </c>
      <c r="K1322" s="6">
        <v>0</v>
      </c>
      <c r="L1322" s="6">
        <v>1056.098</v>
      </c>
      <c r="M1322" s="6">
        <v>1013.85408</v>
      </c>
      <c r="N1322" s="6">
        <v>1056.098</v>
      </c>
      <c r="O1322" s="6">
        <v>1013.85408</v>
      </c>
      <c r="P1322" s="6">
        <v>0</v>
      </c>
      <c r="Q1322" s="4" t="s">
        <v>26</v>
      </c>
      <c r="R1322" s="4">
        <v>0</v>
      </c>
      <c r="S1322" s="4" t="s">
        <v>332</v>
      </c>
      <c r="T1322" s="4" t="s">
        <v>609</v>
      </c>
      <c r="U1322" s="4">
        <v>0</v>
      </c>
      <c r="V1322" s="4">
        <v>44</v>
      </c>
      <c r="W1322" s="4">
        <v>67</v>
      </c>
    </row>
    <row r="1323" spans="1:23" ht="11.25" customHeight="1" x14ac:dyDescent="0.25">
      <c r="A1323" s="4" t="s">
        <v>27</v>
      </c>
      <c r="B1323" s="4" t="s">
        <v>41</v>
      </c>
      <c r="C1323" s="4" t="s">
        <v>42</v>
      </c>
      <c r="D1323" s="4" t="s">
        <v>45</v>
      </c>
      <c r="E1323" s="4" t="s">
        <v>25</v>
      </c>
      <c r="F1323" s="4" t="s">
        <v>25</v>
      </c>
      <c r="G1323" s="4" t="s">
        <v>25</v>
      </c>
      <c r="H1323" s="4" t="s">
        <v>35</v>
      </c>
      <c r="I1323" s="5">
        <v>44652</v>
      </c>
      <c r="J1323" s="6">
        <v>0</v>
      </c>
      <c r="K1323" s="6">
        <v>0</v>
      </c>
      <c r="L1323" s="6">
        <v>1.07</v>
      </c>
      <c r="M1323" s="6">
        <v>1.0271999999999999</v>
      </c>
      <c r="N1323" s="6">
        <v>1.07</v>
      </c>
      <c r="O1323" s="6">
        <v>1.0271999999999999</v>
      </c>
      <c r="P1323" s="6">
        <v>0</v>
      </c>
      <c r="Q1323" s="4" t="s">
        <v>26</v>
      </c>
      <c r="R1323" s="4">
        <v>0</v>
      </c>
      <c r="S1323" s="4" t="s">
        <v>332</v>
      </c>
      <c r="T1323" s="4" t="s">
        <v>609</v>
      </c>
      <c r="U1323" s="4">
        <v>0</v>
      </c>
      <c r="V1323" s="4">
        <v>44</v>
      </c>
      <c r="W1323" s="4">
        <v>67</v>
      </c>
    </row>
    <row r="1324" spans="1:23" ht="11.25" customHeight="1" x14ac:dyDescent="0.25">
      <c r="A1324" s="4" t="s">
        <v>28</v>
      </c>
      <c r="B1324" s="4" t="s">
        <v>41</v>
      </c>
      <c r="C1324" s="4" t="s">
        <v>42</v>
      </c>
      <c r="D1324" s="4" t="s">
        <v>45</v>
      </c>
      <c r="E1324" s="4" t="s">
        <v>25</v>
      </c>
      <c r="F1324" s="4" t="s">
        <v>25</v>
      </c>
      <c r="G1324" s="4" t="s">
        <v>25</v>
      </c>
      <c r="H1324" s="4" t="s">
        <v>35</v>
      </c>
      <c r="I1324" s="5">
        <v>44652</v>
      </c>
      <c r="J1324" s="6">
        <v>0</v>
      </c>
      <c r="K1324" s="6">
        <v>0</v>
      </c>
      <c r="L1324" s="6">
        <v>40.970999999999997</v>
      </c>
      <c r="M1324" s="6">
        <v>39.332160000000002</v>
      </c>
      <c r="N1324" s="6">
        <v>40.970999999999997</v>
      </c>
      <c r="O1324" s="6">
        <v>39.332160000000002</v>
      </c>
      <c r="P1324" s="6">
        <v>0</v>
      </c>
      <c r="Q1324" s="4" t="s">
        <v>26</v>
      </c>
      <c r="R1324" s="4">
        <v>0</v>
      </c>
      <c r="S1324" s="4" t="s">
        <v>332</v>
      </c>
      <c r="T1324" s="4" t="s">
        <v>609</v>
      </c>
      <c r="U1324" s="4">
        <v>0</v>
      </c>
      <c r="V1324" s="4">
        <v>44</v>
      </c>
      <c r="W1324" s="4">
        <v>67</v>
      </c>
    </row>
    <row r="1325" spans="1:23" ht="11.25" customHeight="1" x14ac:dyDescent="0.25">
      <c r="A1325" s="4" t="s">
        <v>28</v>
      </c>
      <c r="B1325" s="4" t="s">
        <v>41</v>
      </c>
      <c r="C1325" s="4" t="s">
        <v>42</v>
      </c>
      <c r="D1325" s="4" t="s">
        <v>45</v>
      </c>
      <c r="E1325" s="4" t="s">
        <v>25</v>
      </c>
      <c r="F1325" s="4" t="s">
        <v>25</v>
      </c>
      <c r="G1325" s="4" t="s">
        <v>25</v>
      </c>
      <c r="H1325" s="4" t="s">
        <v>35</v>
      </c>
      <c r="I1325" s="5">
        <v>44652</v>
      </c>
      <c r="J1325" s="6">
        <v>0</v>
      </c>
      <c r="K1325" s="6">
        <v>0</v>
      </c>
      <c r="L1325" s="6">
        <v>-75.525000000000006</v>
      </c>
      <c r="M1325" s="6">
        <v>-72.504000000000005</v>
      </c>
      <c r="N1325" s="6">
        <v>-75.525000000000006</v>
      </c>
      <c r="O1325" s="6">
        <v>-72.504000000000005</v>
      </c>
      <c r="P1325" s="6">
        <v>0</v>
      </c>
      <c r="Q1325" s="4" t="s">
        <v>26</v>
      </c>
      <c r="R1325" s="4">
        <v>0</v>
      </c>
      <c r="S1325" s="4" t="s">
        <v>332</v>
      </c>
      <c r="T1325" s="4" t="s">
        <v>609</v>
      </c>
      <c r="U1325" s="4">
        <v>0</v>
      </c>
      <c r="V1325" s="4">
        <v>44</v>
      </c>
      <c r="W1325" s="4">
        <v>67</v>
      </c>
    </row>
    <row r="1326" spans="1:23" ht="11.25" customHeight="1" x14ac:dyDescent="0.25">
      <c r="A1326" s="4" t="s">
        <v>21</v>
      </c>
      <c r="B1326" s="4" t="s">
        <v>41</v>
      </c>
      <c r="C1326" s="4" t="s">
        <v>42</v>
      </c>
      <c r="D1326" s="4" t="s">
        <v>45</v>
      </c>
      <c r="E1326" s="4" t="s">
        <v>25</v>
      </c>
      <c r="F1326" s="4" t="s">
        <v>25</v>
      </c>
      <c r="G1326" s="4" t="s">
        <v>25</v>
      </c>
      <c r="H1326" s="4" t="s">
        <v>35</v>
      </c>
      <c r="I1326" s="5">
        <v>44682</v>
      </c>
      <c r="J1326" s="6">
        <v>0</v>
      </c>
      <c r="K1326" s="6">
        <v>0</v>
      </c>
      <c r="L1326" s="6">
        <v>1185.383</v>
      </c>
      <c r="M1326" s="6">
        <v>1137.96768</v>
      </c>
      <c r="N1326" s="6">
        <v>1185.383</v>
      </c>
      <c r="O1326" s="6">
        <v>1137.96768</v>
      </c>
      <c r="P1326" s="6">
        <v>0</v>
      </c>
      <c r="Q1326" s="4" t="s">
        <v>26</v>
      </c>
      <c r="R1326" s="4">
        <v>0</v>
      </c>
      <c r="S1326" s="4" t="s">
        <v>333</v>
      </c>
      <c r="T1326" s="4" t="s">
        <v>610</v>
      </c>
      <c r="U1326" s="4">
        <v>0</v>
      </c>
      <c r="V1326" s="4">
        <v>44</v>
      </c>
      <c r="W1326" s="4">
        <v>67</v>
      </c>
    </row>
    <row r="1327" spans="1:23" ht="11.25" customHeight="1" x14ac:dyDescent="0.25">
      <c r="A1327" s="4" t="s">
        <v>28</v>
      </c>
      <c r="B1327" s="4" t="s">
        <v>41</v>
      </c>
      <c r="C1327" s="4" t="s">
        <v>42</v>
      </c>
      <c r="D1327" s="4" t="s">
        <v>45</v>
      </c>
      <c r="E1327" s="4" t="s">
        <v>25</v>
      </c>
      <c r="F1327" s="4" t="s">
        <v>25</v>
      </c>
      <c r="G1327" s="4" t="s">
        <v>25</v>
      </c>
      <c r="H1327" s="4" t="s">
        <v>35</v>
      </c>
      <c r="I1327" s="5">
        <v>44682</v>
      </c>
      <c r="J1327" s="6">
        <v>0</v>
      </c>
      <c r="K1327" s="6">
        <v>0</v>
      </c>
      <c r="L1327" s="6">
        <v>40.915999999999997</v>
      </c>
      <c r="M1327" s="6">
        <v>39.279359999999997</v>
      </c>
      <c r="N1327" s="6">
        <v>40.915999999999997</v>
      </c>
      <c r="O1327" s="6">
        <v>39.279359999999997</v>
      </c>
      <c r="P1327" s="6">
        <v>0</v>
      </c>
      <c r="Q1327" s="4" t="s">
        <v>26</v>
      </c>
      <c r="R1327" s="4">
        <v>0</v>
      </c>
      <c r="S1327" s="4" t="s">
        <v>333</v>
      </c>
      <c r="T1327" s="4" t="s">
        <v>610</v>
      </c>
      <c r="U1327" s="4">
        <v>0</v>
      </c>
      <c r="V1327" s="4">
        <v>44</v>
      </c>
      <c r="W1327" s="4">
        <v>67</v>
      </c>
    </row>
    <row r="1328" spans="1:23" ht="11.25" customHeight="1" x14ac:dyDescent="0.25">
      <c r="A1328" s="4" t="s">
        <v>21</v>
      </c>
      <c r="B1328" s="4" t="s">
        <v>41</v>
      </c>
      <c r="C1328" s="4" t="s">
        <v>42</v>
      </c>
      <c r="D1328" s="4" t="s">
        <v>45</v>
      </c>
      <c r="E1328" s="4" t="s">
        <v>25</v>
      </c>
      <c r="F1328" s="4" t="s">
        <v>25</v>
      </c>
      <c r="G1328" s="4" t="s">
        <v>25</v>
      </c>
      <c r="H1328" s="4" t="s">
        <v>35</v>
      </c>
      <c r="I1328" s="5">
        <v>44713</v>
      </c>
      <c r="J1328" s="6">
        <v>0</v>
      </c>
      <c r="K1328" s="6">
        <v>0</v>
      </c>
      <c r="L1328" s="6">
        <v>1157.3920000000001</v>
      </c>
      <c r="M1328" s="6">
        <v>1111.0963200000001</v>
      </c>
      <c r="N1328" s="6">
        <v>1157.3920000000001</v>
      </c>
      <c r="O1328" s="6">
        <v>1111.0963200000001</v>
      </c>
      <c r="P1328" s="6">
        <v>0</v>
      </c>
      <c r="Q1328" s="4" t="s">
        <v>26</v>
      </c>
      <c r="R1328" s="4">
        <v>0</v>
      </c>
      <c r="S1328" s="4" t="s">
        <v>334</v>
      </c>
      <c r="T1328" s="4" t="s">
        <v>611</v>
      </c>
      <c r="U1328" s="4">
        <v>0</v>
      </c>
      <c r="V1328" s="4">
        <v>44</v>
      </c>
      <c r="W1328" s="4">
        <v>67</v>
      </c>
    </row>
    <row r="1329" spans="1:23" ht="11.25" customHeight="1" x14ac:dyDescent="0.25">
      <c r="A1329" s="4" t="s">
        <v>28</v>
      </c>
      <c r="B1329" s="4" t="s">
        <v>41</v>
      </c>
      <c r="C1329" s="4" t="s">
        <v>42</v>
      </c>
      <c r="D1329" s="4" t="s">
        <v>45</v>
      </c>
      <c r="E1329" s="4" t="s">
        <v>25</v>
      </c>
      <c r="F1329" s="4" t="s">
        <v>25</v>
      </c>
      <c r="G1329" s="4" t="s">
        <v>25</v>
      </c>
      <c r="H1329" s="4" t="s">
        <v>35</v>
      </c>
      <c r="I1329" s="5">
        <v>44713</v>
      </c>
      <c r="J1329" s="6">
        <v>0</v>
      </c>
      <c r="K1329" s="6">
        <v>0</v>
      </c>
      <c r="L1329" s="6">
        <v>41.808999999999997</v>
      </c>
      <c r="M1329" s="6">
        <v>40.13664</v>
      </c>
      <c r="N1329" s="6">
        <v>41.808999999999997</v>
      </c>
      <c r="O1329" s="6">
        <v>40.13664</v>
      </c>
      <c r="P1329" s="6">
        <v>0</v>
      </c>
      <c r="Q1329" s="4" t="s">
        <v>26</v>
      </c>
      <c r="R1329" s="4">
        <v>0</v>
      </c>
      <c r="S1329" s="4" t="s">
        <v>334</v>
      </c>
      <c r="T1329" s="4" t="s">
        <v>611</v>
      </c>
      <c r="U1329" s="4">
        <v>0</v>
      </c>
      <c r="V1329" s="4">
        <v>44</v>
      </c>
      <c r="W1329" s="4">
        <v>67</v>
      </c>
    </row>
    <row r="1330" spans="1:23" ht="11.25" customHeight="1" x14ac:dyDescent="0.25">
      <c r="A1330" s="4" t="s">
        <v>57</v>
      </c>
      <c r="B1330" s="4" t="s">
        <v>41</v>
      </c>
      <c r="C1330" s="4" t="s">
        <v>42</v>
      </c>
      <c r="D1330" s="4" t="s">
        <v>45</v>
      </c>
      <c r="E1330" s="4" t="s">
        <v>25</v>
      </c>
      <c r="F1330" s="4" t="s">
        <v>25</v>
      </c>
      <c r="G1330" s="4" t="s">
        <v>25</v>
      </c>
      <c r="H1330" s="4" t="s">
        <v>35</v>
      </c>
      <c r="I1330" s="5">
        <v>44743</v>
      </c>
      <c r="J1330" s="6">
        <v>0</v>
      </c>
      <c r="K1330" s="6">
        <v>0</v>
      </c>
      <c r="L1330" s="6">
        <v>1157.3920000000001</v>
      </c>
      <c r="M1330" s="6">
        <v>1111.0963200000001</v>
      </c>
      <c r="N1330" s="6">
        <v>1157.3920000000001</v>
      </c>
      <c r="O1330" s="6">
        <v>1111.0963200000001</v>
      </c>
      <c r="P1330" s="6">
        <v>0</v>
      </c>
      <c r="Q1330" s="4" t="s">
        <v>26</v>
      </c>
      <c r="R1330" s="4">
        <v>0</v>
      </c>
      <c r="S1330" s="4" t="s">
        <v>335</v>
      </c>
      <c r="T1330" s="4" t="s">
        <v>612</v>
      </c>
      <c r="U1330" s="4">
        <v>0</v>
      </c>
      <c r="V1330" s="4">
        <v>44</v>
      </c>
      <c r="W1330" s="4">
        <v>67</v>
      </c>
    </row>
    <row r="1331" spans="1:23" ht="11.25" customHeight="1" x14ac:dyDescent="0.25">
      <c r="A1331" s="4" t="s">
        <v>57</v>
      </c>
      <c r="B1331" s="4" t="s">
        <v>41</v>
      </c>
      <c r="C1331" s="4" t="s">
        <v>42</v>
      </c>
      <c r="D1331" s="4" t="s">
        <v>45</v>
      </c>
      <c r="E1331" s="4" t="s">
        <v>25</v>
      </c>
      <c r="F1331" s="4" t="s">
        <v>25</v>
      </c>
      <c r="G1331" s="4" t="s">
        <v>25</v>
      </c>
      <c r="H1331" s="4" t="s">
        <v>35</v>
      </c>
      <c r="I1331" s="5">
        <v>44743</v>
      </c>
      <c r="J1331" s="6">
        <v>0</v>
      </c>
      <c r="K1331" s="6">
        <v>0</v>
      </c>
      <c r="L1331" s="6">
        <v>41.808999999999997</v>
      </c>
      <c r="M1331" s="6">
        <v>40.13664</v>
      </c>
      <c r="N1331" s="6">
        <v>41.808999999999997</v>
      </c>
      <c r="O1331" s="6">
        <v>40.13664</v>
      </c>
      <c r="P1331" s="6">
        <v>0</v>
      </c>
      <c r="Q1331" s="4" t="s">
        <v>26</v>
      </c>
      <c r="R1331" s="4">
        <v>0</v>
      </c>
      <c r="S1331" s="4" t="s">
        <v>335</v>
      </c>
      <c r="T1331" s="4" t="s">
        <v>612</v>
      </c>
      <c r="U1331" s="4">
        <v>0</v>
      </c>
      <c r="V1331" s="4">
        <v>44</v>
      </c>
      <c r="W1331" s="4">
        <v>67</v>
      </c>
    </row>
    <row r="1332" spans="1:23" ht="11.25" customHeight="1" x14ac:dyDescent="0.25">
      <c r="A1332" s="4" t="s">
        <v>21</v>
      </c>
      <c r="B1332" s="4" t="s">
        <v>41</v>
      </c>
      <c r="C1332" s="4" t="s">
        <v>42</v>
      </c>
      <c r="D1332" s="4" t="s">
        <v>45</v>
      </c>
      <c r="E1332" s="4" t="s">
        <v>25</v>
      </c>
      <c r="F1332" s="4" t="s">
        <v>25</v>
      </c>
      <c r="G1332" s="4" t="s">
        <v>25</v>
      </c>
      <c r="H1332" s="4" t="s">
        <v>25</v>
      </c>
      <c r="I1332" s="5">
        <v>44409</v>
      </c>
      <c r="J1332" s="6">
        <v>5580</v>
      </c>
      <c r="K1332" s="6">
        <v>5356.8</v>
      </c>
      <c r="L1332" s="6">
        <v>0</v>
      </c>
      <c r="M1332" s="6">
        <v>0</v>
      </c>
      <c r="N1332" s="6">
        <v>0</v>
      </c>
      <c r="O1332" s="6">
        <v>0</v>
      </c>
      <c r="P1332" s="6">
        <v>70</v>
      </c>
      <c r="Q1332" s="4" t="s">
        <v>26</v>
      </c>
      <c r="R1332" s="4">
        <v>0</v>
      </c>
      <c r="S1332" s="4" t="s">
        <v>336</v>
      </c>
      <c r="U1332" s="4">
        <v>40</v>
      </c>
      <c r="V1332" s="4">
        <v>0</v>
      </c>
      <c r="W1332" s="4">
        <v>0</v>
      </c>
    </row>
    <row r="1333" spans="1:23" ht="11.25" customHeight="1" x14ac:dyDescent="0.25">
      <c r="A1333" s="4" t="s">
        <v>27</v>
      </c>
      <c r="B1333" s="4" t="s">
        <v>41</v>
      </c>
      <c r="C1333" s="4" t="s">
        <v>42</v>
      </c>
      <c r="D1333" s="4" t="s">
        <v>45</v>
      </c>
      <c r="E1333" s="4" t="s">
        <v>25</v>
      </c>
      <c r="F1333" s="4" t="s">
        <v>25</v>
      </c>
      <c r="G1333" s="4" t="s">
        <v>25</v>
      </c>
      <c r="H1333" s="4" t="s">
        <v>25</v>
      </c>
      <c r="I1333" s="5">
        <v>44409</v>
      </c>
      <c r="J1333" s="6">
        <v>44</v>
      </c>
      <c r="K1333" s="6">
        <v>42.24</v>
      </c>
      <c r="L1333" s="6">
        <v>0</v>
      </c>
      <c r="M1333" s="6">
        <v>0</v>
      </c>
      <c r="N1333" s="6">
        <v>0</v>
      </c>
      <c r="O1333" s="6">
        <v>0</v>
      </c>
      <c r="P1333" s="6">
        <v>2</v>
      </c>
      <c r="Q1333" s="4" t="s">
        <v>26</v>
      </c>
      <c r="R1333" s="4">
        <v>0</v>
      </c>
      <c r="S1333" s="4" t="s">
        <v>336</v>
      </c>
      <c r="U1333" s="4">
        <v>40</v>
      </c>
      <c r="V1333" s="4">
        <v>0</v>
      </c>
      <c r="W1333" s="4">
        <v>0</v>
      </c>
    </row>
    <row r="1334" spans="1:23" ht="11.25" customHeight="1" x14ac:dyDescent="0.25">
      <c r="A1334" s="4" t="s">
        <v>28</v>
      </c>
      <c r="B1334" s="4" t="s">
        <v>41</v>
      </c>
      <c r="C1334" s="4" t="s">
        <v>42</v>
      </c>
      <c r="D1334" s="4" t="s">
        <v>45</v>
      </c>
      <c r="E1334" s="4" t="s">
        <v>25</v>
      </c>
      <c r="F1334" s="4" t="s">
        <v>25</v>
      </c>
      <c r="G1334" s="4" t="s">
        <v>25</v>
      </c>
      <c r="H1334" s="4" t="s">
        <v>25</v>
      </c>
      <c r="I1334" s="5">
        <v>44409</v>
      </c>
      <c r="J1334" s="6">
        <v>308</v>
      </c>
      <c r="K1334" s="6">
        <v>295.68</v>
      </c>
      <c r="L1334" s="6">
        <v>0</v>
      </c>
      <c r="M1334" s="6">
        <v>0</v>
      </c>
      <c r="N1334" s="6">
        <v>0</v>
      </c>
      <c r="O1334" s="6">
        <v>0</v>
      </c>
      <c r="P1334" s="6">
        <v>4</v>
      </c>
      <c r="Q1334" s="4" t="s">
        <v>26</v>
      </c>
      <c r="R1334" s="4">
        <v>0</v>
      </c>
      <c r="S1334" s="4" t="s">
        <v>336</v>
      </c>
      <c r="U1334" s="4">
        <v>40</v>
      </c>
      <c r="V1334" s="4">
        <v>0</v>
      </c>
      <c r="W1334" s="4">
        <v>0</v>
      </c>
    </row>
    <row r="1335" spans="1:23" ht="11.25" customHeight="1" x14ac:dyDescent="0.25">
      <c r="A1335" s="4" t="s">
        <v>28</v>
      </c>
      <c r="B1335" s="4" t="s">
        <v>41</v>
      </c>
      <c r="C1335" s="4" t="s">
        <v>42</v>
      </c>
      <c r="D1335" s="4" t="s">
        <v>45</v>
      </c>
      <c r="E1335" s="4" t="s">
        <v>25</v>
      </c>
      <c r="F1335" s="4" t="s">
        <v>25</v>
      </c>
      <c r="G1335" s="4" t="s">
        <v>25</v>
      </c>
      <c r="H1335" s="4" t="s">
        <v>25</v>
      </c>
      <c r="I1335" s="5">
        <v>44409</v>
      </c>
      <c r="J1335" s="6">
        <v>44</v>
      </c>
      <c r="K1335" s="6">
        <v>42.24</v>
      </c>
      <c r="L1335" s="6">
        <v>0</v>
      </c>
      <c r="M1335" s="6">
        <v>0</v>
      </c>
      <c r="N1335" s="6">
        <v>0</v>
      </c>
      <c r="O1335" s="6">
        <v>0</v>
      </c>
      <c r="P1335" s="6">
        <v>4</v>
      </c>
      <c r="Q1335" s="4" t="s">
        <v>26</v>
      </c>
      <c r="R1335" s="4">
        <v>0</v>
      </c>
      <c r="S1335" s="4" t="s">
        <v>336</v>
      </c>
      <c r="U1335" s="4">
        <v>40</v>
      </c>
      <c r="V1335" s="4">
        <v>0</v>
      </c>
      <c r="W1335" s="4">
        <v>0</v>
      </c>
    </row>
    <row r="1336" spans="1:23" ht="11.25" customHeight="1" x14ac:dyDescent="0.25">
      <c r="A1336" s="4" t="s">
        <v>21</v>
      </c>
      <c r="B1336" s="4" t="s">
        <v>41</v>
      </c>
      <c r="C1336" s="4" t="s">
        <v>42</v>
      </c>
      <c r="D1336" s="4" t="s">
        <v>45</v>
      </c>
      <c r="E1336" s="4" t="s">
        <v>25</v>
      </c>
      <c r="F1336" s="4" t="s">
        <v>25</v>
      </c>
      <c r="G1336" s="4" t="s">
        <v>25</v>
      </c>
      <c r="H1336" s="4" t="s">
        <v>25</v>
      </c>
      <c r="I1336" s="5">
        <v>44440</v>
      </c>
      <c r="J1336" s="6">
        <v>4891</v>
      </c>
      <c r="K1336" s="6">
        <v>4695.3599999999997</v>
      </c>
      <c r="L1336" s="6">
        <v>0</v>
      </c>
      <c r="M1336" s="6">
        <v>0</v>
      </c>
      <c r="N1336" s="6">
        <v>0</v>
      </c>
      <c r="O1336" s="6">
        <v>0</v>
      </c>
      <c r="P1336" s="6">
        <v>52</v>
      </c>
      <c r="Q1336" s="4" t="s">
        <v>26</v>
      </c>
      <c r="R1336" s="4">
        <v>0</v>
      </c>
      <c r="S1336" s="4" t="s">
        <v>337</v>
      </c>
      <c r="U1336" s="4">
        <v>40</v>
      </c>
      <c r="V1336" s="4">
        <v>0</v>
      </c>
      <c r="W1336" s="4">
        <v>0</v>
      </c>
    </row>
    <row r="1337" spans="1:23" ht="11.25" customHeight="1" x14ac:dyDescent="0.25">
      <c r="A1337" s="4" t="s">
        <v>27</v>
      </c>
      <c r="B1337" s="4" t="s">
        <v>41</v>
      </c>
      <c r="C1337" s="4" t="s">
        <v>42</v>
      </c>
      <c r="D1337" s="4" t="s">
        <v>45</v>
      </c>
      <c r="E1337" s="4" t="s">
        <v>25</v>
      </c>
      <c r="F1337" s="4" t="s">
        <v>25</v>
      </c>
      <c r="G1337" s="4" t="s">
        <v>25</v>
      </c>
      <c r="H1337" s="4" t="s">
        <v>25</v>
      </c>
      <c r="I1337" s="5">
        <v>44440</v>
      </c>
      <c r="J1337" s="6">
        <v>-219</v>
      </c>
      <c r="K1337" s="6">
        <v>-210.24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4" t="s">
        <v>26</v>
      </c>
      <c r="R1337" s="4">
        <v>0</v>
      </c>
      <c r="S1337" s="4" t="s">
        <v>337</v>
      </c>
      <c r="U1337" s="4">
        <v>40</v>
      </c>
      <c r="V1337" s="4">
        <v>0</v>
      </c>
      <c r="W1337" s="4">
        <v>0</v>
      </c>
    </row>
    <row r="1338" spans="1:23" ht="11.25" customHeight="1" x14ac:dyDescent="0.25">
      <c r="A1338" s="4" t="s">
        <v>28</v>
      </c>
      <c r="B1338" s="4" t="s">
        <v>41</v>
      </c>
      <c r="C1338" s="4" t="s">
        <v>42</v>
      </c>
      <c r="D1338" s="4" t="s">
        <v>45</v>
      </c>
      <c r="E1338" s="4" t="s">
        <v>25</v>
      </c>
      <c r="F1338" s="4" t="s">
        <v>25</v>
      </c>
      <c r="G1338" s="4" t="s">
        <v>25</v>
      </c>
      <c r="H1338" s="4" t="s">
        <v>25</v>
      </c>
      <c r="I1338" s="5">
        <v>44440</v>
      </c>
      <c r="J1338" s="6">
        <v>468</v>
      </c>
      <c r="K1338" s="6">
        <v>449.28</v>
      </c>
      <c r="L1338" s="6">
        <v>0</v>
      </c>
      <c r="M1338" s="6">
        <v>0</v>
      </c>
      <c r="N1338" s="6">
        <v>0</v>
      </c>
      <c r="O1338" s="6">
        <v>0</v>
      </c>
      <c r="P1338" s="6">
        <v>5</v>
      </c>
      <c r="Q1338" s="4" t="s">
        <v>26</v>
      </c>
      <c r="R1338" s="4">
        <v>0</v>
      </c>
      <c r="S1338" s="4" t="s">
        <v>337</v>
      </c>
      <c r="U1338" s="4">
        <v>40</v>
      </c>
      <c r="V1338" s="4">
        <v>0</v>
      </c>
      <c r="W1338" s="4">
        <v>0</v>
      </c>
    </row>
    <row r="1339" spans="1:23" ht="11.25" customHeight="1" x14ac:dyDescent="0.25">
      <c r="A1339" s="4" t="s">
        <v>21</v>
      </c>
      <c r="B1339" s="4" t="s">
        <v>41</v>
      </c>
      <c r="C1339" s="4" t="s">
        <v>42</v>
      </c>
      <c r="D1339" s="4" t="s">
        <v>45</v>
      </c>
      <c r="E1339" s="4" t="s">
        <v>25</v>
      </c>
      <c r="F1339" s="4" t="s">
        <v>25</v>
      </c>
      <c r="G1339" s="4" t="s">
        <v>25</v>
      </c>
      <c r="H1339" s="4" t="s">
        <v>25</v>
      </c>
      <c r="I1339" s="5">
        <v>44470</v>
      </c>
      <c r="J1339" s="6">
        <v>5809</v>
      </c>
      <c r="K1339" s="6">
        <v>5576.64</v>
      </c>
      <c r="L1339" s="6">
        <v>0</v>
      </c>
      <c r="M1339" s="6">
        <v>0</v>
      </c>
      <c r="N1339" s="6">
        <v>0</v>
      </c>
      <c r="O1339" s="6">
        <v>0</v>
      </c>
      <c r="P1339" s="6">
        <v>55</v>
      </c>
      <c r="Q1339" s="4" t="s">
        <v>26</v>
      </c>
      <c r="R1339" s="4">
        <v>0</v>
      </c>
      <c r="S1339" s="4" t="s">
        <v>338</v>
      </c>
      <c r="U1339" s="4">
        <v>40</v>
      </c>
      <c r="V1339" s="4">
        <v>0</v>
      </c>
      <c r="W1339" s="4">
        <v>0</v>
      </c>
    </row>
    <row r="1340" spans="1:23" ht="11.25" customHeight="1" x14ac:dyDescent="0.25">
      <c r="A1340" s="4" t="s">
        <v>27</v>
      </c>
      <c r="B1340" s="4" t="s">
        <v>41</v>
      </c>
      <c r="C1340" s="4" t="s">
        <v>42</v>
      </c>
      <c r="D1340" s="4" t="s">
        <v>45</v>
      </c>
      <c r="E1340" s="4" t="s">
        <v>25</v>
      </c>
      <c r="F1340" s="4" t="s">
        <v>25</v>
      </c>
      <c r="G1340" s="4" t="s">
        <v>25</v>
      </c>
      <c r="H1340" s="4" t="s">
        <v>25</v>
      </c>
      <c r="I1340" s="5">
        <v>44470</v>
      </c>
      <c r="J1340" s="6">
        <v>70</v>
      </c>
      <c r="K1340" s="6">
        <v>67.2</v>
      </c>
      <c r="L1340" s="6">
        <v>0</v>
      </c>
      <c r="M1340" s="6">
        <v>0</v>
      </c>
      <c r="N1340" s="6">
        <v>0</v>
      </c>
      <c r="O1340" s="6">
        <v>0</v>
      </c>
      <c r="P1340" s="6">
        <v>4</v>
      </c>
      <c r="Q1340" s="4" t="s">
        <v>26</v>
      </c>
      <c r="R1340" s="4">
        <v>0</v>
      </c>
      <c r="S1340" s="4" t="s">
        <v>338</v>
      </c>
      <c r="U1340" s="4">
        <v>40</v>
      </c>
      <c r="V1340" s="4">
        <v>0</v>
      </c>
      <c r="W1340" s="4">
        <v>0</v>
      </c>
    </row>
    <row r="1341" spans="1:23" ht="11.25" customHeight="1" x14ac:dyDescent="0.25">
      <c r="A1341" s="4" t="s">
        <v>28</v>
      </c>
      <c r="B1341" s="4" t="s">
        <v>41</v>
      </c>
      <c r="C1341" s="4" t="s">
        <v>42</v>
      </c>
      <c r="D1341" s="4" t="s">
        <v>45</v>
      </c>
      <c r="E1341" s="4" t="s">
        <v>25</v>
      </c>
      <c r="F1341" s="4" t="s">
        <v>25</v>
      </c>
      <c r="G1341" s="4" t="s">
        <v>25</v>
      </c>
      <c r="H1341" s="4" t="s">
        <v>25</v>
      </c>
      <c r="I1341" s="5">
        <v>44470</v>
      </c>
      <c r="J1341" s="6">
        <v>564</v>
      </c>
      <c r="K1341" s="6">
        <v>541.44000000000005</v>
      </c>
      <c r="L1341" s="6">
        <v>0</v>
      </c>
      <c r="M1341" s="6">
        <v>0</v>
      </c>
      <c r="N1341" s="6">
        <v>0</v>
      </c>
      <c r="O1341" s="6">
        <v>0</v>
      </c>
      <c r="P1341" s="6">
        <v>5</v>
      </c>
      <c r="Q1341" s="4" t="s">
        <v>26</v>
      </c>
      <c r="R1341" s="4">
        <v>0</v>
      </c>
      <c r="S1341" s="4" t="s">
        <v>338</v>
      </c>
      <c r="U1341" s="4">
        <v>40</v>
      </c>
      <c r="V1341" s="4">
        <v>0</v>
      </c>
      <c r="W1341" s="4">
        <v>0</v>
      </c>
    </row>
    <row r="1342" spans="1:23" ht="11.25" customHeight="1" x14ac:dyDescent="0.25">
      <c r="A1342" s="4" t="s">
        <v>21</v>
      </c>
      <c r="B1342" s="4" t="s">
        <v>41</v>
      </c>
      <c r="C1342" s="4" t="s">
        <v>42</v>
      </c>
      <c r="D1342" s="4" t="s">
        <v>45</v>
      </c>
      <c r="E1342" s="4" t="s">
        <v>25</v>
      </c>
      <c r="F1342" s="4" t="s">
        <v>25</v>
      </c>
      <c r="G1342" s="4" t="s">
        <v>25</v>
      </c>
      <c r="H1342" s="4" t="s">
        <v>25</v>
      </c>
      <c r="I1342" s="5">
        <v>44501</v>
      </c>
      <c r="J1342" s="6">
        <v>7448</v>
      </c>
      <c r="K1342" s="6">
        <v>7150.08</v>
      </c>
      <c r="L1342" s="6">
        <v>0</v>
      </c>
      <c r="M1342" s="6">
        <v>0</v>
      </c>
      <c r="N1342" s="6">
        <v>0</v>
      </c>
      <c r="O1342" s="6">
        <v>0</v>
      </c>
      <c r="P1342" s="6">
        <v>44</v>
      </c>
      <c r="Q1342" s="4" t="s">
        <v>26</v>
      </c>
      <c r="R1342" s="4">
        <v>0</v>
      </c>
      <c r="S1342" s="4" t="s">
        <v>339</v>
      </c>
      <c r="U1342" s="4">
        <v>40</v>
      </c>
      <c r="V1342" s="4">
        <v>0</v>
      </c>
      <c r="W1342" s="4">
        <v>0</v>
      </c>
    </row>
    <row r="1343" spans="1:23" ht="11.25" customHeight="1" x14ac:dyDescent="0.25">
      <c r="A1343" s="4" t="s">
        <v>27</v>
      </c>
      <c r="B1343" s="4" t="s">
        <v>41</v>
      </c>
      <c r="C1343" s="4" t="s">
        <v>42</v>
      </c>
      <c r="D1343" s="4" t="s">
        <v>45</v>
      </c>
      <c r="E1343" s="4" t="s">
        <v>25</v>
      </c>
      <c r="F1343" s="4" t="s">
        <v>25</v>
      </c>
      <c r="G1343" s="4" t="s">
        <v>25</v>
      </c>
      <c r="H1343" s="4" t="s">
        <v>25</v>
      </c>
      <c r="I1343" s="5">
        <v>44501</v>
      </c>
      <c r="J1343" s="6">
        <v>46</v>
      </c>
      <c r="K1343" s="6">
        <v>44.16</v>
      </c>
      <c r="L1343" s="6">
        <v>0</v>
      </c>
      <c r="M1343" s="6">
        <v>0</v>
      </c>
      <c r="N1343" s="6">
        <v>0</v>
      </c>
      <c r="O1343" s="6">
        <v>0</v>
      </c>
      <c r="P1343" s="6">
        <v>1</v>
      </c>
      <c r="Q1343" s="4" t="s">
        <v>26</v>
      </c>
      <c r="R1343" s="4">
        <v>0</v>
      </c>
      <c r="S1343" s="4" t="s">
        <v>339</v>
      </c>
      <c r="U1343" s="4">
        <v>40</v>
      </c>
      <c r="V1343" s="4">
        <v>0</v>
      </c>
      <c r="W1343" s="4">
        <v>0</v>
      </c>
    </row>
    <row r="1344" spans="1:23" ht="11.25" customHeight="1" x14ac:dyDescent="0.25">
      <c r="A1344" s="4" t="s">
        <v>28</v>
      </c>
      <c r="B1344" s="4" t="s">
        <v>41</v>
      </c>
      <c r="C1344" s="4" t="s">
        <v>42</v>
      </c>
      <c r="D1344" s="4" t="s">
        <v>45</v>
      </c>
      <c r="E1344" s="4" t="s">
        <v>25</v>
      </c>
      <c r="F1344" s="4" t="s">
        <v>25</v>
      </c>
      <c r="G1344" s="4" t="s">
        <v>25</v>
      </c>
      <c r="H1344" s="4" t="s">
        <v>25</v>
      </c>
      <c r="I1344" s="5">
        <v>44501</v>
      </c>
      <c r="J1344" s="6">
        <v>340</v>
      </c>
      <c r="K1344" s="6">
        <v>326.39999999999998</v>
      </c>
      <c r="L1344" s="6">
        <v>0</v>
      </c>
      <c r="M1344" s="6">
        <v>0</v>
      </c>
      <c r="N1344" s="6">
        <v>0</v>
      </c>
      <c r="O1344" s="6">
        <v>0</v>
      </c>
      <c r="P1344" s="6">
        <v>4</v>
      </c>
      <c r="Q1344" s="4" t="s">
        <v>26</v>
      </c>
      <c r="R1344" s="4">
        <v>0</v>
      </c>
      <c r="S1344" s="4" t="s">
        <v>339</v>
      </c>
      <c r="U1344" s="4">
        <v>40</v>
      </c>
      <c r="V1344" s="4">
        <v>0</v>
      </c>
      <c r="W1344" s="4">
        <v>0</v>
      </c>
    </row>
    <row r="1345" spans="1:23" ht="11.25" customHeight="1" x14ac:dyDescent="0.25">
      <c r="A1345" s="4" t="s">
        <v>28</v>
      </c>
      <c r="B1345" s="4" t="s">
        <v>41</v>
      </c>
      <c r="C1345" s="4" t="s">
        <v>42</v>
      </c>
      <c r="D1345" s="4" t="s">
        <v>45</v>
      </c>
      <c r="E1345" s="4" t="s">
        <v>25</v>
      </c>
      <c r="F1345" s="4" t="s">
        <v>25</v>
      </c>
      <c r="G1345" s="4" t="s">
        <v>25</v>
      </c>
      <c r="H1345" s="4" t="s">
        <v>25</v>
      </c>
      <c r="I1345" s="5">
        <v>44501</v>
      </c>
      <c r="J1345" s="6">
        <v>-241</v>
      </c>
      <c r="K1345" s="6">
        <v>-231.36</v>
      </c>
      <c r="L1345" s="6">
        <v>0</v>
      </c>
      <c r="M1345" s="6">
        <v>0</v>
      </c>
      <c r="N1345" s="6">
        <v>0</v>
      </c>
      <c r="O1345" s="6">
        <v>0</v>
      </c>
      <c r="P1345" s="6">
        <v>-1</v>
      </c>
      <c r="Q1345" s="4" t="s">
        <v>26</v>
      </c>
      <c r="R1345" s="4">
        <v>0</v>
      </c>
      <c r="S1345" s="4" t="s">
        <v>339</v>
      </c>
      <c r="U1345" s="4">
        <v>40</v>
      </c>
      <c r="V1345" s="4">
        <v>0</v>
      </c>
      <c r="W1345" s="4">
        <v>0</v>
      </c>
    </row>
    <row r="1346" spans="1:23" ht="11.25" customHeight="1" x14ac:dyDescent="0.25">
      <c r="A1346" s="4" t="s">
        <v>21</v>
      </c>
      <c r="B1346" s="4" t="s">
        <v>41</v>
      </c>
      <c r="C1346" s="4" t="s">
        <v>42</v>
      </c>
      <c r="D1346" s="4" t="s">
        <v>45</v>
      </c>
      <c r="E1346" s="4" t="s">
        <v>25</v>
      </c>
      <c r="F1346" s="4" t="s">
        <v>25</v>
      </c>
      <c r="G1346" s="4" t="s">
        <v>25</v>
      </c>
      <c r="H1346" s="4" t="s">
        <v>25</v>
      </c>
      <c r="I1346" s="5">
        <v>44531</v>
      </c>
      <c r="J1346" s="6">
        <v>5500</v>
      </c>
      <c r="K1346" s="6">
        <v>5280</v>
      </c>
      <c r="L1346" s="6">
        <v>0</v>
      </c>
      <c r="M1346" s="6">
        <v>0</v>
      </c>
      <c r="N1346" s="6">
        <v>0</v>
      </c>
      <c r="O1346" s="6">
        <v>0</v>
      </c>
      <c r="P1346" s="6">
        <v>47</v>
      </c>
      <c r="Q1346" s="4" t="s">
        <v>26</v>
      </c>
      <c r="R1346" s="4">
        <v>0</v>
      </c>
      <c r="S1346" s="4" t="s">
        <v>340</v>
      </c>
      <c r="U1346" s="4">
        <v>40</v>
      </c>
      <c r="V1346" s="4">
        <v>0</v>
      </c>
      <c r="W1346" s="4">
        <v>0</v>
      </c>
    </row>
    <row r="1347" spans="1:23" ht="11.25" customHeight="1" x14ac:dyDescent="0.25">
      <c r="A1347" s="4" t="s">
        <v>27</v>
      </c>
      <c r="B1347" s="4" t="s">
        <v>41</v>
      </c>
      <c r="C1347" s="4" t="s">
        <v>42</v>
      </c>
      <c r="D1347" s="4" t="s">
        <v>45</v>
      </c>
      <c r="E1347" s="4" t="s">
        <v>25</v>
      </c>
      <c r="F1347" s="4" t="s">
        <v>25</v>
      </c>
      <c r="G1347" s="4" t="s">
        <v>25</v>
      </c>
      <c r="H1347" s="4" t="s">
        <v>25</v>
      </c>
      <c r="I1347" s="5">
        <v>44531</v>
      </c>
      <c r="J1347" s="6">
        <v>-49</v>
      </c>
      <c r="K1347" s="6">
        <v>-47.04</v>
      </c>
      <c r="L1347" s="6">
        <v>0</v>
      </c>
      <c r="M1347" s="6">
        <v>0</v>
      </c>
      <c r="N1347" s="6">
        <v>0</v>
      </c>
      <c r="O1347" s="6">
        <v>0</v>
      </c>
      <c r="P1347" s="6">
        <v>-1</v>
      </c>
      <c r="Q1347" s="4" t="s">
        <v>26</v>
      </c>
      <c r="R1347" s="4">
        <v>0</v>
      </c>
      <c r="S1347" s="4" t="s">
        <v>340</v>
      </c>
      <c r="U1347" s="4">
        <v>40</v>
      </c>
      <c r="V1347" s="4">
        <v>0</v>
      </c>
      <c r="W1347" s="4">
        <v>0</v>
      </c>
    </row>
    <row r="1348" spans="1:23" ht="11.25" customHeight="1" x14ac:dyDescent="0.25">
      <c r="A1348" s="4" t="s">
        <v>28</v>
      </c>
      <c r="B1348" s="4" t="s">
        <v>41</v>
      </c>
      <c r="C1348" s="4" t="s">
        <v>42</v>
      </c>
      <c r="D1348" s="4" t="s">
        <v>45</v>
      </c>
      <c r="E1348" s="4" t="s">
        <v>25</v>
      </c>
      <c r="F1348" s="4" t="s">
        <v>25</v>
      </c>
      <c r="G1348" s="4" t="s">
        <v>25</v>
      </c>
      <c r="H1348" s="4" t="s">
        <v>25</v>
      </c>
      <c r="I1348" s="5">
        <v>44531</v>
      </c>
      <c r="J1348" s="6">
        <v>329</v>
      </c>
      <c r="K1348" s="6">
        <v>315.83999999999997</v>
      </c>
      <c r="L1348" s="6">
        <v>0</v>
      </c>
      <c r="M1348" s="6">
        <v>0</v>
      </c>
      <c r="N1348" s="6">
        <v>0</v>
      </c>
      <c r="O1348" s="6">
        <v>0</v>
      </c>
      <c r="P1348" s="6">
        <v>4</v>
      </c>
      <c r="Q1348" s="4" t="s">
        <v>26</v>
      </c>
      <c r="R1348" s="4">
        <v>0</v>
      </c>
      <c r="S1348" s="4" t="s">
        <v>340</v>
      </c>
      <c r="U1348" s="4">
        <v>40</v>
      </c>
      <c r="V1348" s="4">
        <v>0</v>
      </c>
      <c r="W1348" s="4">
        <v>0</v>
      </c>
    </row>
    <row r="1349" spans="1:23" ht="11.25" customHeight="1" x14ac:dyDescent="0.25">
      <c r="A1349" s="4" t="s">
        <v>21</v>
      </c>
      <c r="B1349" s="4" t="s">
        <v>41</v>
      </c>
      <c r="C1349" s="4" t="s">
        <v>42</v>
      </c>
      <c r="D1349" s="4" t="s">
        <v>45</v>
      </c>
      <c r="E1349" s="4" t="s">
        <v>25</v>
      </c>
      <c r="F1349" s="4" t="s">
        <v>25</v>
      </c>
      <c r="G1349" s="4" t="s">
        <v>25</v>
      </c>
      <c r="H1349" s="4" t="s">
        <v>25</v>
      </c>
      <c r="I1349" s="5">
        <v>44562</v>
      </c>
      <c r="J1349" s="6">
        <v>3939</v>
      </c>
      <c r="K1349" s="6">
        <v>3781.44</v>
      </c>
      <c r="L1349" s="6">
        <v>0</v>
      </c>
      <c r="M1349" s="6">
        <v>0</v>
      </c>
      <c r="N1349" s="6">
        <v>0</v>
      </c>
      <c r="O1349" s="6">
        <v>0</v>
      </c>
      <c r="P1349" s="6">
        <v>44</v>
      </c>
      <c r="Q1349" s="4" t="s">
        <v>26</v>
      </c>
      <c r="R1349" s="4">
        <v>0</v>
      </c>
      <c r="S1349" s="4" t="s">
        <v>341</v>
      </c>
      <c r="U1349" s="4">
        <v>40</v>
      </c>
      <c r="V1349" s="4">
        <v>0</v>
      </c>
      <c r="W1349" s="4">
        <v>0</v>
      </c>
    </row>
    <row r="1350" spans="1:23" ht="11.25" customHeight="1" x14ac:dyDescent="0.25">
      <c r="A1350" s="4" t="s">
        <v>28</v>
      </c>
      <c r="B1350" s="4" t="s">
        <v>41</v>
      </c>
      <c r="C1350" s="4" t="s">
        <v>42</v>
      </c>
      <c r="D1350" s="4" t="s">
        <v>45</v>
      </c>
      <c r="E1350" s="4" t="s">
        <v>25</v>
      </c>
      <c r="F1350" s="4" t="s">
        <v>25</v>
      </c>
      <c r="G1350" s="4" t="s">
        <v>25</v>
      </c>
      <c r="H1350" s="4" t="s">
        <v>25</v>
      </c>
      <c r="I1350" s="5">
        <v>44562</v>
      </c>
      <c r="J1350" s="6">
        <v>249</v>
      </c>
      <c r="K1350" s="6">
        <v>239.04</v>
      </c>
      <c r="L1350" s="6">
        <v>0</v>
      </c>
      <c r="M1350" s="6">
        <v>0</v>
      </c>
      <c r="N1350" s="6">
        <v>0</v>
      </c>
      <c r="O1350" s="6">
        <v>0</v>
      </c>
      <c r="P1350" s="6">
        <v>4</v>
      </c>
      <c r="Q1350" s="4" t="s">
        <v>26</v>
      </c>
      <c r="R1350" s="4">
        <v>0</v>
      </c>
      <c r="S1350" s="4" t="s">
        <v>341</v>
      </c>
      <c r="U1350" s="4">
        <v>40</v>
      </c>
      <c r="V1350" s="4">
        <v>0</v>
      </c>
      <c r="W1350" s="4">
        <v>0</v>
      </c>
    </row>
    <row r="1351" spans="1:23" ht="11.25" customHeight="1" x14ac:dyDescent="0.25">
      <c r="A1351" s="4" t="s">
        <v>21</v>
      </c>
      <c r="B1351" s="4" t="s">
        <v>41</v>
      </c>
      <c r="C1351" s="4" t="s">
        <v>42</v>
      </c>
      <c r="D1351" s="4" t="s">
        <v>45</v>
      </c>
      <c r="E1351" s="4" t="s">
        <v>25</v>
      </c>
      <c r="F1351" s="4" t="s">
        <v>25</v>
      </c>
      <c r="G1351" s="4" t="s">
        <v>25</v>
      </c>
      <c r="H1351" s="4" t="s">
        <v>25</v>
      </c>
      <c r="I1351" s="5">
        <v>44593</v>
      </c>
      <c r="J1351" s="6">
        <v>4123</v>
      </c>
      <c r="K1351" s="6">
        <v>3958.08</v>
      </c>
      <c r="L1351" s="6">
        <v>0</v>
      </c>
      <c r="M1351" s="6">
        <v>0</v>
      </c>
      <c r="N1351" s="6">
        <v>0</v>
      </c>
      <c r="O1351" s="6">
        <v>0</v>
      </c>
      <c r="P1351" s="6">
        <v>39</v>
      </c>
      <c r="Q1351" s="4" t="s">
        <v>26</v>
      </c>
      <c r="R1351" s="4">
        <v>0</v>
      </c>
      <c r="S1351" s="4" t="s">
        <v>342</v>
      </c>
      <c r="U1351" s="4">
        <v>40</v>
      </c>
      <c r="V1351" s="4">
        <v>0</v>
      </c>
      <c r="W1351" s="4">
        <v>0</v>
      </c>
    </row>
    <row r="1352" spans="1:23" ht="11.25" customHeight="1" x14ac:dyDescent="0.25">
      <c r="A1352" s="4" t="s">
        <v>27</v>
      </c>
      <c r="B1352" s="4" t="s">
        <v>41</v>
      </c>
      <c r="C1352" s="4" t="s">
        <v>42</v>
      </c>
      <c r="D1352" s="4" t="s">
        <v>45</v>
      </c>
      <c r="E1352" s="4" t="s">
        <v>25</v>
      </c>
      <c r="F1352" s="4" t="s">
        <v>25</v>
      </c>
      <c r="G1352" s="4" t="s">
        <v>25</v>
      </c>
      <c r="H1352" s="4" t="s">
        <v>25</v>
      </c>
      <c r="I1352" s="5">
        <v>44593</v>
      </c>
      <c r="J1352" s="6">
        <v>304</v>
      </c>
      <c r="K1352" s="6">
        <v>291.83999999999997</v>
      </c>
      <c r="L1352" s="6">
        <v>0</v>
      </c>
      <c r="M1352" s="6">
        <v>0</v>
      </c>
      <c r="N1352" s="6">
        <v>0</v>
      </c>
      <c r="O1352" s="6">
        <v>0</v>
      </c>
      <c r="P1352" s="6">
        <v>1</v>
      </c>
      <c r="Q1352" s="4" t="s">
        <v>26</v>
      </c>
      <c r="R1352" s="4">
        <v>0</v>
      </c>
      <c r="S1352" s="4" t="s">
        <v>342</v>
      </c>
      <c r="U1352" s="4">
        <v>40</v>
      </c>
      <c r="V1352" s="4">
        <v>0</v>
      </c>
      <c r="W1352" s="4">
        <v>0</v>
      </c>
    </row>
    <row r="1353" spans="1:23" ht="11.25" customHeight="1" x14ac:dyDescent="0.25">
      <c r="A1353" s="4" t="s">
        <v>28</v>
      </c>
      <c r="B1353" s="4" t="s">
        <v>41</v>
      </c>
      <c r="C1353" s="4" t="s">
        <v>42</v>
      </c>
      <c r="D1353" s="4" t="s">
        <v>45</v>
      </c>
      <c r="E1353" s="4" t="s">
        <v>25</v>
      </c>
      <c r="F1353" s="4" t="s">
        <v>25</v>
      </c>
      <c r="G1353" s="4" t="s">
        <v>25</v>
      </c>
      <c r="H1353" s="4" t="s">
        <v>25</v>
      </c>
      <c r="I1353" s="5">
        <v>44593</v>
      </c>
      <c r="J1353" s="6">
        <v>225</v>
      </c>
      <c r="K1353" s="6">
        <v>216</v>
      </c>
      <c r="L1353" s="6">
        <v>0</v>
      </c>
      <c r="M1353" s="6">
        <v>0</v>
      </c>
      <c r="N1353" s="6">
        <v>0</v>
      </c>
      <c r="O1353" s="6">
        <v>0</v>
      </c>
      <c r="P1353" s="6">
        <v>4</v>
      </c>
      <c r="Q1353" s="4" t="s">
        <v>26</v>
      </c>
      <c r="R1353" s="4">
        <v>0</v>
      </c>
      <c r="S1353" s="4" t="s">
        <v>342</v>
      </c>
      <c r="U1353" s="4">
        <v>40</v>
      </c>
      <c r="V1353" s="4">
        <v>0</v>
      </c>
      <c r="W1353" s="4">
        <v>0</v>
      </c>
    </row>
    <row r="1354" spans="1:23" ht="11.25" customHeight="1" x14ac:dyDescent="0.25">
      <c r="A1354" s="4" t="s">
        <v>21</v>
      </c>
      <c r="B1354" s="4" t="s">
        <v>41</v>
      </c>
      <c r="C1354" s="4" t="s">
        <v>42</v>
      </c>
      <c r="D1354" s="4" t="s">
        <v>45</v>
      </c>
      <c r="E1354" s="4" t="s">
        <v>25</v>
      </c>
      <c r="F1354" s="4" t="s">
        <v>25</v>
      </c>
      <c r="G1354" s="4" t="s">
        <v>25</v>
      </c>
      <c r="H1354" s="4" t="s">
        <v>25</v>
      </c>
      <c r="I1354" s="5">
        <v>44621</v>
      </c>
      <c r="J1354" s="6">
        <v>4304</v>
      </c>
      <c r="K1354" s="6">
        <v>4131.84</v>
      </c>
      <c r="L1354" s="6">
        <v>0</v>
      </c>
      <c r="M1354" s="6">
        <v>0</v>
      </c>
      <c r="N1354" s="6">
        <v>0</v>
      </c>
      <c r="O1354" s="6">
        <v>0</v>
      </c>
      <c r="P1354" s="6">
        <v>47</v>
      </c>
      <c r="Q1354" s="4" t="s">
        <v>26</v>
      </c>
      <c r="R1354" s="4">
        <v>0</v>
      </c>
      <c r="S1354" s="4" t="s">
        <v>343</v>
      </c>
      <c r="U1354" s="4">
        <v>40</v>
      </c>
      <c r="V1354" s="4">
        <v>0</v>
      </c>
      <c r="W1354" s="4">
        <v>0</v>
      </c>
    </row>
    <row r="1355" spans="1:23" ht="11.25" customHeight="1" x14ac:dyDescent="0.25">
      <c r="A1355" s="4" t="s">
        <v>28</v>
      </c>
      <c r="B1355" s="4" t="s">
        <v>41</v>
      </c>
      <c r="C1355" s="4" t="s">
        <v>42</v>
      </c>
      <c r="D1355" s="4" t="s">
        <v>45</v>
      </c>
      <c r="E1355" s="4" t="s">
        <v>25</v>
      </c>
      <c r="F1355" s="4" t="s">
        <v>25</v>
      </c>
      <c r="G1355" s="4" t="s">
        <v>25</v>
      </c>
      <c r="H1355" s="4" t="s">
        <v>25</v>
      </c>
      <c r="I1355" s="5">
        <v>44621</v>
      </c>
      <c r="J1355" s="6">
        <v>208</v>
      </c>
      <c r="K1355" s="6">
        <v>199.68</v>
      </c>
      <c r="L1355" s="6">
        <v>0</v>
      </c>
      <c r="M1355" s="6">
        <v>0</v>
      </c>
      <c r="N1355" s="6">
        <v>0</v>
      </c>
      <c r="O1355" s="6">
        <v>0</v>
      </c>
      <c r="P1355" s="6">
        <v>3</v>
      </c>
      <c r="Q1355" s="4" t="s">
        <v>26</v>
      </c>
      <c r="R1355" s="4">
        <v>0</v>
      </c>
      <c r="S1355" s="4" t="s">
        <v>343</v>
      </c>
      <c r="U1355" s="4">
        <v>40</v>
      </c>
      <c r="V1355" s="4">
        <v>0</v>
      </c>
      <c r="W1355" s="4">
        <v>0</v>
      </c>
    </row>
    <row r="1356" spans="1:23" ht="11.25" customHeight="1" x14ac:dyDescent="0.25">
      <c r="A1356" s="4" t="s">
        <v>21</v>
      </c>
      <c r="B1356" s="4" t="s">
        <v>41</v>
      </c>
      <c r="C1356" s="4" t="s">
        <v>42</v>
      </c>
      <c r="D1356" s="4" t="s">
        <v>45</v>
      </c>
      <c r="E1356" s="4" t="s">
        <v>25</v>
      </c>
      <c r="F1356" s="4" t="s">
        <v>25</v>
      </c>
      <c r="G1356" s="4" t="s">
        <v>25</v>
      </c>
      <c r="H1356" s="4" t="s">
        <v>25</v>
      </c>
      <c r="I1356" s="5">
        <v>44652</v>
      </c>
      <c r="J1356" s="6">
        <v>4682</v>
      </c>
      <c r="K1356" s="6">
        <v>4494.72</v>
      </c>
      <c r="L1356" s="6">
        <v>0</v>
      </c>
      <c r="M1356" s="6">
        <v>0</v>
      </c>
      <c r="N1356" s="6">
        <v>0</v>
      </c>
      <c r="O1356" s="6">
        <v>0</v>
      </c>
      <c r="P1356" s="6">
        <v>47</v>
      </c>
      <c r="Q1356" s="4" t="s">
        <v>26</v>
      </c>
      <c r="R1356" s="4">
        <v>0</v>
      </c>
      <c r="S1356" s="4" t="s">
        <v>344</v>
      </c>
      <c r="U1356" s="4">
        <v>40</v>
      </c>
      <c r="V1356" s="4">
        <v>0</v>
      </c>
      <c r="W1356" s="4">
        <v>0</v>
      </c>
    </row>
    <row r="1357" spans="1:23" ht="11.25" customHeight="1" x14ac:dyDescent="0.25">
      <c r="A1357" s="4" t="s">
        <v>27</v>
      </c>
      <c r="B1357" s="4" t="s">
        <v>41</v>
      </c>
      <c r="C1357" s="4" t="s">
        <v>42</v>
      </c>
      <c r="D1357" s="4" t="s">
        <v>45</v>
      </c>
      <c r="E1357" s="4" t="s">
        <v>25</v>
      </c>
      <c r="F1357" s="4" t="s">
        <v>25</v>
      </c>
      <c r="G1357" s="4" t="s">
        <v>25</v>
      </c>
      <c r="H1357" s="4" t="s">
        <v>25</v>
      </c>
      <c r="I1357" s="5">
        <v>44652</v>
      </c>
      <c r="J1357" s="6">
        <v>17</v>
      </c>
      <c r="K1357" s="6">
        <v>16.32</v>
      </c>
      <c r="L1357" s="6">
        <v>0</v>
      </c>
      <c r="M1357" s="6">
        <v>0</v>
      </c>
      <c r="N1357" s="6">
        <v>0</v>
      </c>
      <c r="O1357" s="6">
        <v>0</v>
      </c>
      <c r="P1357" s="6">
        <v>1</v>
      </c>
      <c r="Q1357" s="4" t="s">
        <v>26</v>
      </c>
      <c r="R1357" s="4">
        <v>0</v>
      </c>
      <c r="S1357" s="4" t="s">
        <v>344</v>
      </c>
      <c r="U1357" s="4">
        <v>40</v>
      </c>
      <c r="V1357" s="4">
        <v>0</v>
      </c>
      <c r="W1357" s="4">
        <v>0</v>
      </c>
    </row>
    <row r="1358" spans="1:23" ht="11.25" customHeight="1" x14ac:dyDescent="0.25">
      <c r="A1358" s="4" t="s">
        <v>28</v>
      </c>
      <c r="B1358" s="4" t="s">
        <v>41</v>
      </c>
      <c r="C1358" s="4" t="s">
        <v>42</v>
      </c>
      <c r="D1358" s="4" t="s">
        <v>45</v>
      </c>
      <c r="E1358" s="4" t="s">
        <v>25</v>
      </c>
      <c r="F1358" s="4" t="s">
        <v>25</v>
      </c>
      <c r="G1358" s="4" t="s">
        <v>25</v>
      </c>
      <c r="H1358" s="4" t="s">
        <v>25</v>
      </c>
      <c r="I1358" s="5">
        <v>44652</v>
      </c>
      <c r="J1358" s="6">
        <v>217</v>
      </c>
      <c r="K1358" s="6">
        <v>208.32</v>
      </c>
      <c r="L1358" s="6">
        <v>0</v>
      </c>
      <c r="M1358" s="6">
        <v>0</v>
      </c>
      <c r="N1358" s="6">
        <v>0</v>
      </c>
      <c r="O1358" s="6">
        <v>0</v>
      </c>
      <c r="P1358" s="6">
        <v>3</v>
      </c>
      <c r="Q1358" s="4" t="s">
        <v>26</v>
      </c>
      <c r="R1358" s="4">
        <v>0</v>
      </c>
      <c r="S1358" s="4" t="s">
        <v>344</v>
      </c>
      <c r="U1358" s="4">
        <v>40</v>
      </c>
      <c r="V1358" s="4">
        <v>0</v>
      </c>
      <c r="W1358" s="4">
        <v>0</v>
      </c>
    </row>
    <row r="1359" spans="1:23" ht="11.25" customHeight="1" x14ac:dyDescent="0.25">
      <c r="A1359" s="4" t="s">
        <v>28</v>
      </c>
      <c r="B1359" s="4" t="s">
        <v>41</v>
      </c>
      <c r="C1359" s="4" t="s">
        <v>42</v>
      </c>
      <c r="D1359" s="4" t="s">
        <v>45</v>
      </c>
      <c r="E1359" s="4" t="s">
        <v>25</v>
      </c>
      <c r="F1359" s="4" t="s">
        <v>25</v>
      </c>
      <c r="G1359" s="4" t="s">
        <v>25</v>
      </c>
      <c r="H1359" s="4" t="s">
        <v>25</v>
      </c>
      <c r="I1359" s="5">
        <v>44652</v>
      </c>
      <c r="J1359" s="6">
        <v>-520</v>
      </c>
      <c r="K1359" s="6">
        <v>-499.2</v>
      </c>
      <c r="L1359" s="6">
        <v>0</v>
      </c>
      <c r="M1359" s="6">
        <v>0</v>
      </c>
      <c r="N1359" s="6">
        <v>0</v>
      </c>
      <c r="O1359" s="6">
        <v>0</v>
      </c>
      <c r="P1359" s="6">
        <v>-6</v>
      </c>
      <c r="Q1359" s="4" t="s">
        <v>26</v>
      </c>
      <c r="R1359" s="4">
        <v>0</v>
      </c>
      <c r="S1359" s="4" t="s">
        <v>344</v>
      </c>
      <c r="U1359" s="4">
        <v>40</v>
      </c>
      <c r="V1359" s="4">
        <v>0</v>
      </c>
      <c r="W1359" s="4">
        <v>0</v>
      </c>
    </row>
    <row r="1360" spans="1:23" ht="11.25" customHeight="1" x14ac:dyDescent="0.25">
      <c r="A1360" s="4" t="s">
        <v>21</v>
      </c>
      <c r="B1360" s="4" t="s">
        <v>41</v>
      </c>
      <c r="C1360" s="4" t="s">
        <v>42</v>
      </c>
      <c r="D1360" s="4" t="s">
        <v>45</v>
      </c>
      <c r="E1360" s="4" t="s">
        <v>25</v>
      </c>
      <c r="F1360" s="4" t="s">
        <v>25</v>
      </c>
      <c r="G1360" s="4" t="s">
        <v>25</v>
      </c>
      <c r="H1360" s="4" t="s">
        <v>25</v>
      </c>
      <c r="I1360" s="5">
        <v>44682</v>
      </c>
      <c r="J1360" s="6">
        <v>4598</v>
      </c>
      <c r="K1360" s="6">
        <v>4414.08</v>
      </c>
      <c r="L1360" s="6">
        <v>0</v>
      </c>
      <c r="M1360" s="6">
        <v>0</v>
      </c>
      <c r="N1360" s="6">
        <v>0</v>
      </c>
      <c r="O1360" s="6">
        <v>0</v>
      </c>
      <c r="P1360" s="6">
        <v>53</v>
      </c>
      <c r="Q1360" s="4" t="s">
        <v>26</v>
      </c>
      <c r="R1360" s="4">
        <v>0</v>
      </c>
      <c r="S1360" s="4" t="s">
        <v>345</v>
      </c>
      <c r="U1360" s="4">
        <v>40</v>
      </c>
      <c r="V1360" s="4">
        <v>0</v>
      </c>
      <c r="W1360" s="4">
        <v>0</v>
      </c>
    </row>
    <row r="1361" spans="1:23" ht="11.25" customHeight="1" x14ac:dyDescent="0.25">
      <c r="A1361" s="4" t="s">
        <v>28</v>
      </c>
      <c r="B1361" s="4" t="s">
        <v>41</v>
      </c>
      <c r="C1361" s="4" t="s">
        <v>42</v>
      </c>
      <c r="D1361" s="4" t="s">
        <v>45</v>
      </c>
      <c r="E1361" s="4" t="s">
        <v>25</v>
      </c>
      <c r="F1361" s="4" t="s">
        <v>25</v>
      </c>
      <c r="G1361" s="4" t="s">
        <v>25</v>
      </c>
      <c r="H1361" s="4" t="s">
        <v>25</v>
      </c>
      <c r="I1361" s="5">
        <v>44682</v>
      </c>
      <c r="J1361" s="6">
        <v>214</v>
      </c>
      <c r="K1361" s="6">
        <v>205.44</v>
      </c>
      <c r="L1361" s="6">
        <v>0</v>
      </c>
      <c r="M1361" s="6">
        <v>0</v>
      </c>
      <c r="N1361" s="6">
        <v>0</v>
      </c>
      <c r="O1361" s="6">
        <v>0</v>
      </c>
      <c r="P1361" s="6">
        <v>3</v>
      </c>
      <c r="Q1361" s="4" t="s">
        <v>26</v>
      </c>
      <c r="R1361" s="4">
        <v>0</v>
      </c>
      <c r="S1361" s="4" t="s">
        <v>345</v>
      </c>
      <c r="U1361" s="4">
        <v>40</v>
      </c>
      <c r="V1361" s="4">
        <v>0</v>
      </c>
      <c r="W1361" s="4">
        <v>0</v>
      </c>
    </row>
    <row r="1362" spans="1:23" ht="11.25" customHeight="1" x14ac:dyDescent="0.25">
      <c r="A1362" s="4" t="s">
        <v>21</v>
      </c>
      <c r="B1362" s="4" t="s">
        <v>41</v>
      </c>
      <c r="C1362" s="4" t="s">
        <v>42</v>
      </c>
      <c r="D1362" s="4" t="s">
        <v>45</v>
      </c>
      <c r="E1362" s="4" t="s">
        <v>25</v>
      </c>
      <c r="F1362" s="4" t="s">
        <v>25</v>
      </c>
      <c r="G1362" s="4" t="s">
        <v>25</v>
      </c>
      <c r="H1362" s="4" t="s">
        <v>25</v>
      </c>
      <c r="I1362" s="5">
        <v>44713</v>
      </c>
      <c r="J1362" s="6">
        <v>4745</v>
      </c>
      <c r="K1362" s="6">
        <v>4555.2</v>
      </c>
      <c r="L1362" s="6">
        <v>0</v>
      </c>
      <c r="M1362" s="6">
        <v>0</v>
      </c>
      <c r="N1362" s="6">
        <v>0</v>
      </c>
      <c r="O1362" s="6">
        <v>0</v>
      </c>
      <c r="P1362" s="6">
        <v>60</v>
      </c>
      <c r="Q1362" s="4" t="s">
        <v>26</v>
      </c>
      <c r="R1362" s="4">
        <v>0</v>
      </c>
      <c r="S1362" s="4" t="s">
        <v>346</v>
      </c>
      <c r="U1362" s="4">
        <v>40</v>
      </c>
      <c r="V1362" s="4">
        <v>0</v>
      </c>
      <c r="W1362" s="4">
        <v>0</v>
      </c>
    </row>
    <row r="1363" spans="1:23" ht="11.25" customHeight="1" x14ac:dyDescent="0.25">
      <c r="A1363" s="4" t="s">
        <v>28</v>
      </c>
      <c r="B1363" s="4" t="s">
        <v>41</v>
      </c>
      <c r="C1363" s="4" t="s">
        <v>42</v>
      </c>
      <c r="D1363" s="4" t="s">
        <v>45</v>
      </c>
      <c r="E1363" s="4" t="s">
        <v>25</v>
      </c>
      <c r="F1363" s="4" t="s">
        <v>25</v>
      </c>
      <c r="G1363" s="4" t="s">
        <v>25</v>
      </c>
      <c r="H1363" s="4" t="s">
        <v>25</v>
      </c>
      <c r="I1363" s="5">
        <v>44713</v>
      </c>
      <c r="J1363" s="6">
        <v>204</v>
      </c>
      <c r="K1363" s="6">
        <v>195.84</v>
      </c>
      <c r="L1363" s="6">
        <v>0</v>
      </c>
      <c r="M1363" s="6">
        <v>0</v>
      </c>
      <c r="N1363" s="6">
        <v>0</v>
      </c>
      <c r="O1363" s="6">
        <v>0</v>
      </c>
      <c r="P1363" s="6">
        <v>3</v>
      </c>
      <c r="Q1363" s="4" t="s">
        <v>26</v>
      </c>
      <c r="R1363" s="4">
        <v>0</v>
      </c>
      <c r="S1363" s="4" t="s">
        <v>346</v>
      </c>
      <c r="U1363" s="4">
        <v>40</v>
      </c>
      <c r="V1363" s="4">
        <v>0</v>
      </c>
      <c r="W1363" s="4">
        <v>0</v>
      </c>
    </row>
    <row r="1364" spans="1:23" ht="11.25" customHeight="1" x14ac:dyDescent="0.25">
      <c r="A1364" s="4" t="s">
        <v>57</v>
      </c>
      <c r="B1364" s="4" t="s">
        <v>41</v>
      </c>
      <c r="C1364" s="4" t="s">
        <v>42</v>
      </c>
      <c r="D1364" s="4" t="s">
        <v>45</v>
      </c>
      <c r="E1364" s="4" t="s">
        <v>25</v>
      </c>
      <c r="F1364" s="4" t="s">
        <v>25</v>
      </c>
      <c r="G1364" s="4" t="s">
        <v>25</v>
      </c>
      <c r="H1364" s="4" t="s">
        <v>25</v>
      </c>
      <c r="I1364" s="5">
        <v>44743</v>
      </c>
      <c r="J1364" s="6">
        <v>4745</v>
      </c>
      <c r="K1364" s="6">
        <v>4555.2</v>
      </c>
      <c r="L1364" s="6">
        <v>0</v>
      </c>
      <c r="M1364" s="6">
        <v>0</v>
      </c>
      <c r="N1364" s="6">
        <v>0</v>
      </c>
      <c r="O1364" s="6">
        <v>0</v>
      </c>
      <c r="P1364" s="6">
        <v>60</v>
      </c>
      <c r="Q1364" s="4" t="s">
        <v>26</v>
      </c>
      <c r="R1364" s="4">
        <v>0</v>
      </c>
      <c r="S1364" s="4" t="s">
        <v>347</v>
      </c>
      <c r="U1364" s="4">
        <v>40</v>
      </c>
      <c r="V1364" s="4">
        <v>0</v>
      </c>
      <c r="W1364" s="4">
        <v>0</v>
      </c>
    </row>
    <row r="1365" spans="1:23" ht="11.25" customHeight="1" x14ac:dyDescent="0.25">
      <c r="A1365" s="4" t="s">
        <v>57</v>
      </c>
      <c r="B1365" s="4" t="s">
        <v>41</v>
      </c>
      <c r="C1365" s="4" t="s">
        <v>42</v>
      </c>
      <c r="D1365" s="4" t="s">
        <v>45</v>
      </c>
      <c r="E1365" s="4" t="s">
        <v>25</v>
      </c>
      <c r="F1365" s="4" t="s">
        <v>25</v>
      </c>
      <c r="G1365" s="4" t="s">
        <v>25</v>
      </c>
      <c r="H1365" s="4" t="s">
        <v>25</v>
      </c>
      <c r="I1365" s="5">
        <v>44743</v>
      </c>
      <c r="J1365" s="6">
        <v>204</v>
      </c>
      <c r="K1365" s="6">
        <v>195.84</v>
      </c>
      <c r="L1365" s="6">
        <v>0</v>
      </c>
      <c r="M1365" s="6">
        <v>0</v>
      </c>
      <c r="N1365" s="6">
        <v>0</v>
      </c>
      <c r="O1365" s="6">
        <v>0</v>
      </c>
      <c r="P1365" s="6">
        <v>3</v>
      </c>
      <c r="Q1365" s="4" t="s">
        <v>26</v>
      </c>
      <c r="R1365" s="4">
        <v>0</v>
      </c>
      <c r="S1365" s="4" t="s">
        <v>347</v>
      </c>
      <c r="U1365" s="4">
        <v>40</v>
      </c>
      <c r="V1365" s="4">
        <v>0</v>
      </c>
      <c r="W1365" s="4">
        <v>0</v>
      </c>
    </row>
    <row r="1366" spans="1:23" ht="11.25" customHeight="1" x14ac:dyDescent="0.25">
      <c r="A1366" s="4" t="s">
        <v>21</v>
      </c>
      <c r="B1366" s="4" t="s">
        <v>41</v>
      </c>
      <c r="C1366" s="4" t="s">
        <v>42</v>
      </c>
      <c r="D1366" s="4" t="s">
        <v>45</v>
      </c>
      <c r="E1366" s="4" t="s">
        <v>25</v>
      </c>
      <c r="F1366" s="4" t="s">
        <v>25</v>
      </c>
      <c r="G1366" s="4" t="s">
        <v>25</v>
      </c>
      <c r="H1366" s="4" t="s">
        <v>34</v>
      </c>
      <c r="I1366" s="5">
        <v>44409</v>
      </c>
      <c r="J1366" s="6">
        <v>0</v>
      </c>
      <c r="K1366" s="6">
        <v>0</v>
      </c>
      <c r="L1366" s="6">
        <v>62.174999999999997</v>
      </c>
      <c r="M1366" s="6">
        <v>59.688000000000002</v>
      </c>
      <c r="N1366" s="6">
        <v>62.174999999999997</v>
      </c>
      <c r="O1366" s="6">
        <v>59.688000000000002</v>
      </c>
      <c r="P1366" s="6">
        <v>0</v>
      </c>
      <c r="Q1366" s="4" t="s">
        <v>26</v>
      </c>
      <c r="R1366" s="4">
        <v>0</v>
      </c>
      <c r="S1366" s="4" t="s">
        <v>348</v>
      </c>
      <c r="T1366" s="4" t="s">
        <v>613</v>
      </c>
      <c r="U1366" s="4">
        <v>0</v>
      </c>
      <c r="V1366" s="4">
        <v>42</v>
      </c>
      <c r="W1366" s="4">
        <v>66</v>
      </c>
    </row>
    <row r="1367" spans="1:23" ht="11.25" customHeight="1" x14ac:dyDescent="0.25">
      <c r="A1367" s="4" t="s">
        <v>28</v>
      </c>
      <c r="B1367" s="4" t="s">
        <v>41</v>
      </c>
      <c r="C1367" s="4" t="s">
        <v>42</v>
      </c>
      <c r="D1367" s="4" t="s">
        <v>45</v>
      </c>
      <c r="E1367" s="4" t="s">
        <v>25</v>
      </c>
      <c r="F1367" s="4" t="s">
        <v>25</v>
      </c>
      <c r="G1367" s="4" t="s">
        <v>25</v>
      </c>
      <c r="H1367" s="4" t="s">
        <v>34</v>
      </c>
      <c r="I1367" s="5">
        <v>44409</v>
      </c>
      <c r="J1367" s="6">
        <v>0</v>
      </c>
      <c r="K1367" s="6">
        <v>0</v>
      </c>
      <c r="L1367" s="6">
        <v>5.22</v>
      </c>
      <c r="M1367" s="6">
        <v>5.0111999999999997</v>
      </c>
      <c r="N1367" s="6">
        <v>5.22</v>
      </c>
      <c r="O1367" s="6">
        <v>5.0111999999999997</v>
      </c>
      <c r="P1367" s="6">
        <v>0</v>
      </c>
      <c r="Q1367" s="4" t="s">
        <v>26</v>
      </c>
      <c r="R1367" s="4">
        <v>0</v>
      </c>
      <c r="S1367" s="4" t="s">
        <v>348</v>
      </c>
      <c r="T1367" s="4" t="s">
        <v>613</v>
      </c>
      <c r="U1367" s="4">
        <v>0</v>
      </c>
      <c r="V1367" s="4">
        <v>42</v>
      </c>
      <c r="W1367" s="4">
        <v>66</v>
      </c>
    </row>
    <row r="1368" spans="1:23" ht="11.25" customHeight="1" x14ac:dyDescent="0.25">
      <c r="A1368" s="4" t="s">
        <v>21</v>
      </c>
      <c r="B1368" s="4" t="s">
        <v>41</v>
      </c>
      <c r="C1368" s="4" t="s">
        <v>42</v>
      </c>
      <c r="D1368" s="4" t="s">
        <v>45</v>
      </c>
      <c r="E1368" s="4" t="s">
        <v>25</v>
      </c>
      <c r="F1368" s="4" t="s">
        <v>25</v>
      </c>
      <c r="G1368" s="4" t="s">
        <v>25</v>
      </c>
      <c r="H1368" s="4" t="s">
        <v>34</v>
      </c>
      <c r="I1368" s="5">
        <v>44440</v>
      </c>
      <c r="J1368" s="6">
        <v>0</v>
      </c>
      <c r="K1368" s="6">
        <v>0</v>
      </c>
      <c r="L1368" s="6">
        <v>72.335999999999999</v>
      </c>
      <c r="M1368" s="6">
        <v>69.44256</v>
      </c>
      <c r="N1368" s="6">
        <v>72.335999999999999</v>
      </c>
      <c r="O1368" s="6">
        <v>69.44256</v>
      </c>
      <c r="P1368" s="6">
        <v>0</v>
      </c>
      <c r="Q1368" s="4" t="s">
        <v>26</v>
      </c>
      <c r="R1368" s="4">
        <v>0</v>
      </c>
      <c r="S1368" s="4" t="s">
        <v>349</v>
      </c>
      <c r="T1368" s="4" t="s">
        <v>614</v>
      </c>
      <c r="U1368" s="4">
        <v>0</v>
      </c>
      <c r="V1368" s="4">
        <v>42</v>
      </c>
      <c r="W1368" s="4">
        <v>66</v>
      </c>
    </row>
    <row r="1369" spans="1:23" ht="11.25" customHeight="1" x14ac:dyDescent="0.25">
      <c r="A1369" s="4" t="s">
        <v>28</v>
      </c>
      <c r="B1369" s="4" t="s">
        <v>41</v>
      </c>
      <c r="C1369" s="4" t="s">
        <v>42</v>
      </c>
      <c r="D1369" s="4" t="s">
        <v>45</v>
      </c>
      <c r="E1369" s="4" t="s">
        <v>25</v>
      </c>
      <c r="F1369" s="4" t="s">
        <v>25</v>
      </c>
      <c r="G1369" s="4" t="s">
        <v>25</v>
      </c>
      <c r="H1369" s="4" t="s">
        <v>34</v>
      </c>
      <c r="I1369" s="5">
        <v>44440</v>
      </c>
      <c r="J1369" s="6">
        <v>0</v>
      </c>
      <c r="K1369" s="6">
        <v>0</v>
      </c>
      <c r="L1369" s="6">
        <v>5.0069999999999997</v>
      </c>
      <c r="M1369" s="6">
        <v>4.8067200000000003</v>
      </c>
      <c r="N1369" s="6">
        <v>5.0069999999999997</v>
      </c>
      <c r="O1369" s="6">
        <v>4.8067200000000003</v>
      </c>
      <c r="P1369" s="6">
        <v>0</v>
      </c>
      <c r="Q1369" s="4" t="s">
        <v>26</v>
      </c>
      <c r="R1369" s="4">
        <v>0</v>
      </c>
      <c r="S1369" s="4" t="s">
        <v>349</v>
      </c>
      <c r="T1369" s="4" t="s">
        <v>614</v>
      </c>
      <c r="U1369" s="4">
        <v>0</v>
      </c>
      <c r="V1369" s="4">
        <v>42</v>
      </c>
      <c r="W1369" s="4">
        <v>66</v>
      </c>
    </row>
    <row r="1370" spans="1:23" ht="11.25" customHeight="1" x14ac:dyDescent="0.25">
      <c r="A1370" s="4" t="s">
        <v>21</v>
      </c>
      <c r="B1370" s="4" t="s">
        <v>41</v>
      </c>
      <c r="C1370" s="4" t="s">
        <v>42</v>
      </c>
      <c r="D1370" s="4" t="s">
        <v>45</v>
      </c>
      <c r="E1370" s="4" t="s">
        <v>25</v>
      </c>
      <c r="F1370" s="4" t="s">
        <v>25</v>
      </c>
      <c r="G1370" s="4" t="s">
        <v>25</v>
      </c>
      <c r="H1370" s="4" t="s">
        <v>34</v>
      </c>
      <c r="I1370" s="5">
        <v>44470</v>
      </c>
      <c r="J1370" s="6">
        <v>0</v>
      </c>
      <c r="K1370" s="6">
        <v>0</v>
      </c>
      <c r="L1370" s="6">
        <v>36.887</v>
      </c>
      <c r="M1370" s="6">
        <v>35.411520000000003</v>
      </c>
      <c r="N1370" s="6">
        <v>36.887</v>
      </c>
      <c r="O1370" s="6">
        <v>35.411520000000003</v>
      </c>
      <c r="P1370" s="6">
        <v>0</v>
      </c>
      <c r="Q1370" s="4" t="s">
        <v>26</v>
      </c>
      <c r="R1370" s="4">
        <v>0</v>
      </c>
      <c r="S1370" s="4" t="s">
        <v>350</v>
      </c>
      <c r="T1370" s="4" t="s">
        <v>615</v>
      </c>
      <c r="U1370" s="4">
        <v>0</v>
      </c>
      <c r="V1370" s="4">
        <v>42</v>
      </c>
      <c r="W1370" s="4">
        <v>66</v>
      </c>
    </row>
    <row r="1371" spans="1:23" ht="11.25" customHeight="1" x14ac:dyDescent="0.25">
      <c r="A1371" s="4" t="s">
        <v>28</v>
      </c>
      <c r="B1371" s="4" t="s">
        <v>41</v>
      </c>
      <c r="C1371" s="4" t="s">
        <v>42</v>
      </c>
      <c r="D1371" s="4" t="s">
        <v>45</v>
      </c>
      <c r="E1371" s="4" t="s">
        <v>25</v>
      </c>
      <c r="F1371" s="4" t="s">
        <v>25</v>
      </c>
      <c r="G1371" s="4" t="s">
        <v>25</v>
      </c>
      <c r="H1371" s="4" t="s">
        <v>34</v>
      </c>
      <c r="I1371" s="5">
        <v>44470</v>
      </c>
      <c r="J1371" s="6">
        <v>0</v>
      </c>
      <c r="K1371" s="6">
        <v>0</v>
      </c>
      <c r="L1371" s="6">
        <v>5.41</v>
      </c>
      <c r="M1371" s="6">
        <v>5.1936</v>
      </c>
      <c r="N1371" s="6">
        <v>5.41</v>
      </c>
      <c r="O1371" s="6">
        <v>5.1936</v>
      </c>
      <c r="P1371" s="6">
        <v>0</v>
      </c>
      <c r="Q1371" s="4" t="s">
        <v>26</v>
      </c>
      <c r="R1371" s="4">
        <v>0</v>
      </c>
      <c r="S1371" s="4" t="s">
        <v>350</v>
      </c>
      <c r="T1371" s="4" t="s">
        <v>615</v>
      </c>
      <c r="U1371" s="4">
        <v>0</v>
      </c>
      <c r="V1371" s="4">
        <v>42</v>
      </c>
      <c r="W1371" s="4">
        <v>66</v>
      </c>
    </row>
    <row r="1372" spans="1:23" ht="11.25" customHeight="1" x14ac:dyDescent="0.25">
      <c r="A1372" s="4" t="s">
        <v>21</v>
      </c>
      <c r="B1372" s="4" t="s">
        <v>41</v>
      </c>
      <c r="C1372" s="4" t="s">
        <v>42</v>
      </c>
      <c r="D1372" s="4" t="s">
        <v>45</v>
      </c>
      <c r="E1372" s="4" t="s">
        <v>25</v>
      </c>
      <c r="F1372" s="4" t="s">
        <v>25</v>
      </c>
      <c r="G1372" s="4" t="s">
        <v>25</v>
      </c>
      <c r="H1372" s="4" t="s">
        <v>34</v>
      </c>
      <c r="I1372" s="5">
        <v>44501</v>
      </c>
      <c r="J1372" s="6">
        <v>0</v>
      </c>
      <c r="K1372" s="6">
        <v>0</v>
      </c>
      <c r="L1372" s="6">
        <v>29.646000000000001</v>
      </c>
      <c r="M1372" s="6">
        <v>28.460159999999998</v>
      </c>
      <c r="N1372" s="6">
        <v>29.646000000000001</v>
      </c>
      <c r="O1372" s="6">
        <v>28.460159999999998</v>
      </c>
      <c r="P1372" s="6">
        <v>0</v>
      </c>
      <c r="Q1372" s="4" t="s">
        <v>26</v>
      </c>
      <c r="R1372" s="4">
        <v>0</v>
      </c>
      <c r="S1372" s="4" t="s">
        <v>351</v>
      </c>
      <c r="T1372" s="4" t="s">
        <v>616</v>
      </c>
      <c r="U1372" s="4">
        <v>0</v>
      </c>
      <c r="V1372" s="4">
        <v>42</v>
      </c>
      <c r="W1372" s="4">
        <v>66</v>
      </c>
    </row>
    <row r="1373" spans="1:23" ht="11.25" customHeight="1" x14ac:dyDescent="0.25">
      <c r="A1373" s="4" t="s">
        <v>28</v>
      </c>
      <c r="B1373" s="4" t="s">
        <v>41</v>
      </c>
      <c r="C1373" s="4" t="s">
        <v>42</v>
      </c>
      <c r="D1373" s="4" t="s">
        <v>45</v>
      </c>
      <c r="E1373" s="4" t="s">
        <v>25</v>
      </c>
      <c r="F1373" s="4" t="s">
        <v>25</v>
      </c>
      <c r="G1373" s="4" t="s">
        <v>25</v>
      </c>
      <c r="H1373" s="4" t="s">
        <v>34</v>
      </c>
      <c r="I1373" s="5">
        <v>44501</v>
      </c>
      <c r="J1373" s="6">
        <v>0</v>
      </c>
      <c r="K1373" s="6">
        <v>0</v>
      </c>
      <c r="L1373" s="6">
        <v>5.5730000000000004</v>
      </c>
      <c r="M1373" s="6">
        <v>5.3500800000000002</v>
      </c>
      <c r="N1373" s="6">
        <v>5.5730000000000004</v>
      </c>
      <c r="O1373" s="6">
        <v>5.3500800000000002</v>
      </c>
      <c r="P1373" s="6">
        <v>0</v>
      </c>
      <c r="Q1373" s="4" t="s">
        <v>26</v>
      </c>
      <c r="R1373" s="4">
        <v>0</v>
      </c>
      <c r="S1373" s="4" t="s">
        <v>351</v>
      </c>
      <c r="T1373" s="4" t="s">
        <v>616</v>
      </c>
      <c r="U1373" s="4">
        <v>0</v>
      </c>
      <c r="V1373" s="4">
        <v>42</v>
      </c>
      <c r="W1373" s="4">
        <v>66</v>
      </c>
    </row>
    <row r="1374" spans="1:23" ht="11.25" customHeight="1" x14ac:dyDescent="0.25">
      <c r="A1374" s="4" t="s">
        <v>28</v>
      </c>
      <c r="B1374" s="4" t="s">
        <v>41</v>
      </c>
      <c r="C1374" s="4" t="s">
        <v>42</v>
      </c>
      <c r="D1374" s="4" t="s">
        <v>45</v>
      </c>
      <c r="E1374" s="4" t="s">
        <v>25</v>
      </c>
      <c r="F1374" s="4" t="s">
        <v>25</v>
      </c>
      <c r="G1374" s="4" t="s">
        <v>25</v>
      </c>
      <c r="H1374" s="4" t="s">
        <v>34</v>
      </c>
      <c r="I1374" s="5">
        <v>44501</v>
      </c>
      <c r="J1374" s="6">
        <v>0</v>
      </c>
      <c r="K1374" s="6">
        <v>0</v>
      </c>
      <c r="L1374" s="6">
        <v>-0.32800000000000001</v>
      </c>
      <c r="M1374" s="6">
        <v>-0.31487999999999999</v>
      </c>
      <c r="N1374" s="6">
        <v>-0.32800000000000001</v>
      </c>
      <c r="O1374" s="6">
        <v>-0.31487999999999999</v>
      </c>
      <c r="P1374" s="6">
        <v>0</v>
      </c>
      <c r="Q1374" s="4" t="s">
        <v>26</v>
      </c>
      <c r="R1374" s="4">
        <v>0</v>
      </c>
      <c r="S1374" s="4" t="s">
        <v>351</v>
      </c>
      <c r="T1374" s="4" t="s">
        <v>616</v>
      </c>
      <c r="U1374" s="4">
        <v>0</v>
      </c>
      <c r="V1374" s="4">
        <v>42</v>
      </c>
      <c r="W1374" s="4">
        <v>66</v>
      </c>
    </row>
    <row r="1375" spans="1:23" ht="11.25" customHeight="1" x14ac:dyDescent="0.25">
      <c r="A1375" s="4" t="s">
        <v>21</v>
      </c>
      <c r="B1375" s="4" t="s">
        <v>41</v>
      </c>
      <c r="C1375" s="4" t="s">
        <v>42</v>
      </c>
      <c r="D1375" s="4" t="s">
        <v>45</v>
      </c>
      <c r="E1375" s="4" t="s">
        <v>25</v>
      </c>
      <c r="F1375" s="4" t="s">
        <v>25</v>
      </c>
      <c r="G1375" s="4" t="s">
        <v>25</v>
      </c>
      <c r="H1375" s="4" t="s">
        <v>34</v>
      </c>
      <c r="I1375" s="5">
        <v>44531</v>
      </c>
      <c r="J1375" s="6">
        <v>0</v>
      </c>
      <c r="K1375" s="6">
        <v>0</v>
      </c>
      <c r="L1375" s="6">
        <v>51.064999999999998</v>
      </c>
      <c r="M1375" s="6">
        <v>49.022399999999998</v>
      </c>
      <c r="N1375" s="6">
        <v>51.064999999999998</v>
      </c>
      <c r="O1375" s="6">
        <v>49.022399999999998</v>
      </c>
      <c r="P1375" s="6">
        <v>0</v>
      </c>
      <c r="Q1375" s="4" t="s">
        <v>26</v>
      </c>
      <c r="R1375" s="4">
        <v>0</v>
      </c>
      <c r="S1375" s="4" t="s">
        <v>352</v>
      </c>
      <c r="T1375" s="4" t="s">
        <v>617</v>
      </c>
      <c r="U1375" s="4">
        <v>0</v>
      </c>
      <c r="V1375" s="4">
        <v>42</v>
      </c>
      <c r="W1375" s="4">
        <v>66</v>
      </c>
    </row>
    <row r="1376" spans="1:23" ht="11.25" customHeight="1" x14ac:dyDescent="0.25">
      <c r="A1376" s="4" t="s">
        <v>28</v>
      </c>
      <c r="B1376" s="4" t="s">
        <v>41</v>
      </c>
      <c r="C1376" s="4" t="s">
        <v>42</v>
      </c>
      <c r="D1376" s="4" t="s">
        <v>45</v>
      </c>
      <c r="E1376" s="4" t="s">
        <v>25</v>
      </c>
      <c r="F1376" s="4" t="s">
        <v>25</v>
      </c>
      <c r="G1376" s="4" t="s">
        <v>25</v>
      </c>
      <c r="H1376" s="4" t="s">
        <v>34</v>
      </c>
      <c r="I1376" s="5">
        <v>44531</v>
      </c>
      <c r="J1376" s="6">
        <v>0</v>
      </c>
      <c r="K1376" s="6">
        <v>0</v>
      </c>
      <c r="L1376" s="6">
        <v>5.8719999999999999</v>
      </c>
      <c r="M1376" s="6">
        <v>5.6371200000000004</v>
      </c>
      <c r="N1376" s="6">
        <v>5.8719999999999999</v>
      </c>
      <c r="O1376" s="6">
        <v>5.6371200000000004</v>
      </c>
      <c r="P1376" s="6">
        <v>0</v>
      </c>
      <c r="Q1376" s="4" t="s">
        <v>26</v>
      </c>
      <c r="R1376" s="4">
        <v>0</v>
      </c>
      <c r="S1376" s="4" t="s">
        <v>352</v>
      </c>
      <c r="T1376" s="4" t="s">
        <v>617</v>
      </c>
      <c r="U1376" s="4">
        <v>0</v>
      </c>
      <c r="V1376" s="4">
        <v>42</v>
      </c>
      <c r="W1376" s="4">
        <v>66</v>
      </c>
    </row>
    <row r="1377" spans="1:23" ht="11.25" customHeight="1" x14ac:dyDescent="0.25">
      <c r="A1377" s="4" t="s">
        <v>21</v>
      </c>
      <c r="B1377" s="4" t="s">
        <v>41</v>
      </c>
      <c r="C1377" s="4" t="s">
        <v>42</v>
      </c>
      <c r="D1377" s="4" t="s">
        <v>45</v>
      </c>
      <c r="E1377" s="4" t="s">
        <v>25</v>
      </c>
      <c r="F1377" s="4" t="s">
        <v>25</v>
      </c>
      <c r="G1377" s="4" t="s">
        <v>25</v>
      </c>
      <c r="H1377" s="4" t="s">
        <v>34</v>
      </c>
      <c r="I1377" s="5">
        <v>44562</v>
      </c>
      <c r="J1377" s="6">
        <v>0</v>
      </c>
      <c r="K1377" s="6">
        <v>0</v>
      </c>
      <c r="L1377" s="6">
        <v>43.834000000000003</v>
      </c>
      <c r="M1377" s="6">
        <v>42.080640000000002</v>
      </c>
      <c r="N1377" s="6">
        <v>43.834000000000003</v>
      </c>
      <c r="O1377" s="6">
        <v>42.080640000000002</v>
      </c>
      <c r="P1377" s="6">
        <v>0</v>
      </c>
      <c r="Q1377" s="4" t="s">
        <v>26</v>
      </c>
      <c r="R1377" s="4">
        <v>0</v>
      </c>
      <c r="S1377" s="4" t="s">
        <v>353</v>
      </c>
      <c r="T1377" s="4" t="s">
        <v>618</v>
      </c>
      <c r="U1377" s="4">
        <v>0</v>
      </c>
      <c r="V1377" s="4">
        <v>42</v>
      </c>
      <c r="W1377" s="4">
        <v>66</v>
      </c>
    </row>
    <row r="1378" spans="1:23" ht="11.25" customHeight="1" x14ac:dyDescent="0.25">
      <c r="A1378" s="4" t="s">
        <v>28</v>
      </c>
      <c r="B1378" s="4" t="s">
        <v>41</v>
      </c>
      <c r="C1378" s="4" t="s">
        <v>42</v>
      </c>
      <c r="D1378" s="4" t="s">
        <v>45</v>
      </c>
      <c r="E1378" s="4" t="s">
        <v>25</v>
      </c>
      <c r="F1378" s="4" t="s">
        <v>25</v>
      </c>
      <c r="G1378" s="4" t="s">
        <v>25</v>
      </c>
      <c r="H1378" s="4" t="s">
        <v>34</v>
      </c>
      <c r="I1378" s="5">
        <v>44562</v>
      </c>
      <c r="J1378" s="6">
        <v>0</v>
      </c>
      <c r="K1378" s="6">
        <v>0</v>
      </c>
      <c r="L1378" s="6">
        <v>5.3609999999999998</v>
      </c>
      <c r="M1378" s="6">
        <v>5.14656</v>
      </c>
      <c r="N1378" s="6">
        <v>5.3609999999999998</v>
      </c>
      <c r="O1378" s="6">
        <v>5.14656</v>
      </c>
      <c r="P1378" s="6">
        <v>0</v>
      </c>
      <c r="Q1378" s="4" t="s">
        <v>26</v>
      </c>
      <c r="R1378" s="4">
        <v>0</v>
      </c>
      <c r="S1378" s="4" t="s">
        <v>353</v>
      </c>
      <c r="T1378" s="4" t="s">
        <v>618</v>
      </c>
      <c r="U1378" s="4">
        <v>0</v>
      </c>
      <c r="V1378" s="4">
        <v>42</v>
      </c>
      <c r="W1378" s="4">
        <v>66</v>
      </c>
    </row>
    <row r="1379" spans="1:23" ht="11.25" customHeight="1" x14ac:dyDescent="0.25">
      <c r="A1379" s="4" t="s">
        <v>21</v>
      </c>
      <c r="B1379" s="4" t="s">
        <v>41</v>
      </c>
      <c r="C1379" s="4" t="s">
        <v>42</v>
      </c>
      <c r="D1379" s="4" t="s">
        <v>45</v>
      </c>
      <c r="E1379" s="4" t="s">
        <v>25</v>
      </c>
      <c r="F1379" s="4" t="s">
        <v>25</v>
      </c>
      <c r="G1379" s="4" t="s">
        <v>25</v>
      </c>
      <c r="H1379" s="4" t="s">
        <v>34</v>
      </c>
      <c r="I1379" s="5">
        <v>44593</v>
      </c>
      <c r="J1379" s="6">
        <v>0</v>
      </c>
      <c r="K1379" s="6">
        <v>0</v>
      </c>
      <c r="L1379" s="6">
        <v>32.957000000000001</v>
      </c>
      <c r="M1379" s="6">
        <v>31.638719999999999</v>
      </c>
      <c r="N1379" s="6">
        <v>32.957000000000001</v>
      </c>
      <c r="O1379" s="6">
        <v>31.638719999999999</v>
      </c>
      <c r="P1379" s="6">
        <v>0</v>
      </c>
      <c r="Q1379" s="4" t="s">
        <v>26</v>
      </c>
      <c r="R1379" s="4">
        <v>0</v>
      </c>
      <c r="S1379" s="4" t="s">
        <v>354</v>
      </c>
      <c r="T1379" s="4" t="s">
        <v>619</v>
      </c>
      <c r="U1379" s="4">
        <v>0</v>
      </c>
      <c r="V1379" s="4">
        <v>42</v>
      </c>
      <c r="W1379" s="4">
        <v>66</v>
      </c>
    </row>
    <row r="1380" spans="1:23" ht="11.25" customHeight="1" x14ac:dyDescent="0.25">
      <c r="A1380" s="4" t="s">
        <v>28</v>
      </c>
      <c r="B1380" s="4" t="s">
        <v>41</v>
      </c>
      <c r="C1380" s="4" t="s">
        <v>42</v>
      </c>
      <c r="D1380" s="4" t="s">
        <v>45</v>
      </c>
      <c r="E1380" s="4" t="s">
        <v>25</v>
      </c>
      <c r="F1380" s="4" t="s">
        <v>25</v>
      </c>
      <c r="G1380" s="4" t="s">
        <v>25</v>
      </c>
      <c r="H1380" s="4" t="s">
        <v>34</v>
      </c>
      <c r="I1380" s="5">
        <v>44593</v>
      </c>
      <c r="J1380" s="6">
        <v>0</v>
      </c>
      <c r="K1380" s="6">
        <v>0</v>
      </c>
      <c r="L1380" s="6">
        <v>5.0780000000000003</v>
      </c>
      <c r="M1380" s="6">
        <v>4.8748800000000001</v>
      </c>
      <c r="N1380" s="6">
        <v>5.0780000000000003</v>
      </c>
      <c r="O1380" s="6">
        <v>4.8748800000000001</v>
      </c>
      <c r="P1380" s="6">
        <v>0</v>
      </c>
      <c r="Q1380" s="4" t="s">
        <v>26</v>
      </c>
      <c r="R1380" s="4">
        <v>0</v>
      </c>
      <c r="S1380" s="4" t="s">
        <v>354</v>
      </c>
      <c r="T1380" s="4" t="s">
        <v>619</v>
      </c>
      <c r="U1380" s="4">
        <v>0</v>
      </c>
      <c r="V1380" s="4">
        <v>42</v>
      </c>
      <c r="W1380" s="4">
        <v>66</v>
      </c>
    </row>
    <row r="1381" spans="1:23" ht="11.25" customHeight="1" x14ac:dyDescent="0.25">
      <c r="A1381" s="4" t="s">
        <v>21</v>
      </c>
      <c r="B1381" s="4" t="s">
        <v>41</v>
      </c>
      <c r="C1381" s="4" t="s">
        <v>42</v>
      </c>
      <c r="D1381" s="4" t="s">
        <v>45</v>
      </c>
      <c r="E1381" s="4" t="s">
        <v>25</v>
      </c>
      <c r="F1381" s="4" t="s">
        <v>25</v>
      </c>
      <c r="G1381" s="4" t="s">
        <v>25</v>
      </c>
      <c r="H1381" s="4" t="s">
        <v>34</v>
      </c>
      <c r="I1381" s="5">
        <v>44621</v>
      </c>
      <c r="J1381" s="6">
        <v>0</v>
      </c>
      <c r="K1381" s="6">
        <v>0</v>
      </c>
      <c r="L1381" s="6">
        <v>28.315999999999999</v>
      </c>
      <c r="M1381" s="6">
        <v>27.18336</v>
      </c>
      <c r="N1381" s="6">
        <v>28.315999999999999</v>
      </c>
      <c r="O1381" s="6">
        <v>27.18336</v>
      </c>
      <c r="P1381" s="6">
        <v>0</v>
      </c>
      <c r="Q1381" s="4" t="s">
        <v>26</v>
      </c>
      <c r="R1381" s="4">
        <v>0</v>
      </c>
      <c r="S1381" s="4" t="s">
        <v>355</v>
      </c>
      <c r="T1381" s="4" t="s">
        <v>620</v>
      </c>
      <c r="U1381" s="4">
        <v>0</v>
      </c>
      <c r="V1381" s="4">
        <v>42</v>
      </c>
      <c r="W1381" s="4">
        <v>66</v>
      </c>
    </row>
    <row r="1382" spans="1:23" ht="11.25" customHeight="1" x14ac:dyDescent="0.25">
      <c r="A1382" s="4" t="s">
        <v>27</v>
      </c>
      <c r="B1382" s="4" t="s">
        <v>41</v>
      </c>
      <c r="C1382" s="4" t="s">
        <v>42</v>
      </c>
      <c r="D1382" s="4" t="s">
        <v>45</v>
      </c>
      <c r="E1382" s="4" t="s">
        <v>25</v>
      </c>
      <c r="F1382" s="4" t="s">
        <v>25</v>
      </c>
      <c r="G1382" s="4" t="s">
        <v>25</v>
      </c>
      <c r="H1382" s="4" t="s">
        <v>34</v>
      </c>
      <c r="I1382" s="5">
        <v>44621</v>
      </c>
      <c r="J1382" s="6">
        <v>0</v>
      </c>
      <c r="K1382" s="6">
        <v>0</v>
      </c>
      <c r="L1382" s="6">
        <v>-3.9660000000000002</v>
      </c>
      <c r="M1382" s="6">
        <v>-3.8073600000000001</v>
      </c>
      <c r="N1382" s="6">
        <v>-3.9660000000000002</v>
      </c>
      <c r="O1382" s="6">
        <v>-3.8073600000000001</v>
      </c>
      <c r="P1382" s="6">
        <v>0</v>
      </c>
      <c r="Q1382" s="4" t="s">
        <v>26</v>
      </c>
      <c r="R1382" s="4">
        <v>0</v>
      </c>
      <c r="S1382" s="4" t="s">
        <v>355</v>
      </c>
      <c r="T1382" s="4" t="s">
        <v>620</v>
      </c>
      <c r="U1382" s="4">
        <v>0</v>
      </c>
      <c r="V1382" s="4">
        <v>42</v>
      </c>
      <c r="W1382" s="4">
        <v>66</v>
      </c>
    </row>
    <row r="1383" spans="1:23" ht="11.25" customHeight="1" x14ac:dyDescent="0.25">
      <c r="A1383" s="4" t="s">
        <v>28</v>
      </c>
      <c r="B1383" s="4" t="s">
        <v>41</v>
      </c>
      <c r="C1383" s="4" t="s">
        <v>42</v>
      </c>
      <c r="D1383" s="4" t="s">
        <v>45</v>
      </c>
      <c r="E1383" s="4" t="s">
        <v>25</v>
      </c>
      <c r="F1383" s="4" t="s">
        <v>25</v>
      </c>
      <c r="G1383" s="4" t="s">
        <v>25</v>
      </c>
      <c r="H1383" s="4" t="s">
        <v>34</v>
      </c>
      <c r="I1383" s="5">
        <v>44621</v>
      </c>
      <c r="J1383" s="6">
        <v>0</v>
      </c>
      <c r="K1383" s="6">
        <v>0</v>
      </c>
      <c r="L1383" s="6">
        <v>5.1529999999999996</v>
      </c>
      <c r="M1383" s="6">
        <v>4.9468800000000002</v>
      </c>
      <c r="N1383" s="6">
        <v>5.1529999999999996</v>
      </c>
      <c r="O1383" s="6">
        <v>4.9468800000000002</v>
      </c>
      <c r="P1383" s="6">
        <v>0</v>
      </c>
      <c r="Q1383" s="4" t="s">
        <v>26</v>
      </c>
      <c r="R1383" s="4">
        <v>0</v>
      </c>
      <c r="S1383" s="4" t="s">
        <v>355</v>
      </c>
      <c r="T1383" s="4" t="s">
        <v>620</v>
      </c>
      <c r="U1383" s="4">
        <v>0</v>
      </c>
      <c r="V1383" s="4">
        <v>42</v>
      </c>
      <c r="W1383" s="4">
        <v>66</v>
      </c>
    </row>
    <row r="1384" spans="1:23" ht="11.25" customHeight="1" x14ac:dyDescent="0.25">
      <c r="A1384" s="4" t="s">
        <v>21</v>
      </c>
      <c r="B1384" s="4" t="s">
        <v>41</v>
      </c>
      <c r="C1384" s="4" t="s">
        <v>42</v>
      </c>
      <c r="D1384" s="4" t="s">
        <v>45</v>
      </c>
      <c r="E1384" s="4" t="s">
        <v>25</v>
      </c>
      <c r="F1384" s="4" t="s">
        <v>25</v>
      </c>
      <c r="G1384" s="4" t="s">
        <v>25</v>
      </c>
      <c r="H1384" s="4" t="s">
        <v>34</v>
      </c>
      <c r="I1384" s="5">
        <v>44652</v>
      </c>
      <c r="J1384" s="6">
        <v>0</v>
      </c>
      <c r="K1384" s="6">
        <v>0</v>
      </c>
      <c r="L1384" s="6">
        <v>35.521999999999998</v>
      </c>
      <c r="M1384" s="6">
        <v>34.101120000000002</v>
      </c>
      <c r="N1384" s="6">
        <v>35.521999999999998</v>
      </c>
      <c r="O1384" s="6">
        <v>34.101120000000002</v>
      </c>
      <c r="P1384" s="6">
        <v>0</v>
      </c>
      <c r="Q1384" s="4" t="s">
        <v>26</v>
      </c>
      <c r="R1384" s="4">
        <v>0</v>
      </c>
      <c r="S1384" s="4" t="s">
        <v>356</v>
      </c>
      <c r="T1384" s="4" t="s">
        <v>621</v>
      </c>
      <c r="U1384" s="4">
        <v>0</v>
      </c>
      <c r="V1384" s="4">
        <v>42</v>
      </c>
      <c r="W1384" s="4">
        <v>66</v>
      </c>
    </row>
    <row r="1385" spans="1:23" ht="11.25" customHeight="1" x14ac:dyDescent="0.25">
      <c r="A1385" s="4" t="s">
        <v>27</v>
      </c>
      <c r="B1385" s="4" t="s">
        <v>41</v>
      </c>
      <c r="C1385" s="4" t="s">
        <v>42</v>
      </c>
      <c r="D1385" s="4" t="s">
        <v>45</v>
      </c>
      <c r="E1385" s="4" t="s">
        <v>25</v>
      </c>
      <c r="F1385" s="4" t="s">
        <v>25</v>
      </c>
      <c r="G1385" s="4" t="s">
        <v>25</v>
      </c>
      <c r="H1385" s="4" t="s">
        <v>34</v>
      </c>
      <c r="I1385" s="5">
        <v>44652</v>
      </c>
      <c r="J1385" s="6">
        <v>0</v>
      </c>
      <c r="K1385" s="6">
        <v>0</v>
      </c>
      <c r="L1385" s="6">
        <v>0.152</v>
      </c>
      <c r="M1385" s="6">
        <v>0.14591999999999999</v>
      </c>
      <c r="N1385" s="6">
        <v>0.152</v>
      </c>
      <c r="O1385" s="6">
        <v>0.14591999999999999</v>
      </c>
      <c r="P1385" s="6">
        <v>0</v>
      </c>
      <c r="Q1385" s="4" t="s">
        <v>26</v>
      </c>
      <c r="R1385" s="4">
        <v>0</v>
      </c>
      <c r="S1385" s="4" t="s">
        <v>356</v>
      </c>
      <c r="T1385" s="4" t="s">
        <v>621</v>
      </c>
      <c r="U1385" s="4">
        <v>0</v>
      </c>
      <c r="V1385" s="4">
        <v>42</v>
      </c>
      <c r="W1385" s="4">
        <v>66</v>
      </c>
    </row>
    <row r="1386" spans="1:23" ht="11.25" customHeight="1" x14ac:dyDescent="0.25">
      <c r="A1386" s="4" t="s">
        <v>28</v>
      </c>
      <c r="B1386" s="4" t="s">
        <v>41</v>
      </c>
      <c r="C1386" s="4" t="s">
        <v>42</v>
      </c>
      <c r="D1386" s="4" t="s">
        <v>45</v>
      </c>
      <c r="E1386" s="4" t="s">
        <v>25</v>
      </c>
      <c r="F1386" s="4" t="s">
        <v>25</v>
      </c>
      <c r="G1386" s="4" t="s">
        <v>25</v>
      </c>
      <c r="H1386" s="4" t="s">
        <v>34</v>
      </c>
      <c r="I1386" s="5">
        <v>44652</v>
      </c>
      <c r="J1386" s="6">
        <v>0</v>
      </c>
      <c r="K1386" s="6">
        <v>0</v>
      </c>
      <c r="L1386" s="6">
        <v>4.6909999999999998</v>
      </c>
      <c r="M1386" s="6">
        <v>4.5033599999999998</v>
      </c>
      <c r="N1386" s="6">
        <v>4.6909999999999998</v>
      </c>
      <c r="O1386" s="6">
        <v>4.5033599999999998</v>
      </c>
      <c r="P1386" s="6">
        <v>0</v>
      </c>
      <c r="Q1386" s="4" t="s">
        <v>26</v>
      </c>
      <c r="R1386" s="4">
        <v>0</v>
      </c>
      <c r="S1386" s="4" t="s">
        <v>356</v>
      </c>
      <c r="T1386" s="4" t="s">
        <v>621</v>
      </c>
      <c r="U1386" s="4">
        <v>0</v>
      </c>
      <c r="V1386" s="4">
        <v>42</v>
      </c>
      <c r="W1386" s="4">
        <v>66</v>
      </c>
    </row>
    <row r="1387" spans="1:23" ht="11.25" customHeight="1" x14ac:dyDescent="0.25">
      <c r="A1387" s="4" t="s">
        <v>28</v>
      </c>
      <c r="B1387" s="4" t="s">
        <v>41</v>
      </c>
      <c r="C1387" s="4" t="s">
        <v>42</v>
      </c>
      <c r="D1387" s="4" t="s">
        <v>45</v>
      </c>
      <c r="E1387" s="4" t="s">
        <v>25</v>
      </c>
      <c r="F1387" s="4" t="s">
        <v>25</v>
      </c>
      <c r="G1387" s="4" t="s">
        <v>25</v>
      </c>
      <c r="H1387" s="4" t="s">
        <v>34</v>
      </c>
      <c r="I1387" s="5">
        <v>44652</v>
      </c>
      <c r="J1387" s="6">
        <v>0</v>
      </c>
      <c r="K1387" s="6">
        <v>0</v>
      </c>
      <c r="L1387" s="6">
        <v>-5.0999999999999997E-2</v>
      </c>
      <c r="M1387" s="6">
        <v>-4.8959999999999997E-2</v>
      </c>
      <c r="N1387" s="6">
        <v>-5.0999999999999997E-2</v>
      </c>
      <c r="O1387" s="6">
        <v>-4.8959999999999997E-2</v>
      </c>
      <c r="P1387" s="6">
        <v>0</v>
      </c>
      <c r="Q1387" s="4" t="s">
        <v>26</v>
      </c>
      <c r="R1387" s="4">
        <v>0</v>
      </c>
      <c r="S1387" s="4" t="s">
        <v>356</v>
      </c>
      <c r="T1387" s="4" t="s">
        <v>621</v>
      </c>
      <c r="U1387" s="4">
        <v>0</v>
      </c>
      <c r="V1387" s="4">
        <v>42</v>
      </c>
      <c r="W1387" s="4">
        <v>66</v>
      </c>
    </row>
    <row r="1388" spans="1:23" ht="11.25" customHeight="1" x14ac:dyDescent="0.25">
      <c r="A1388" s="4" t="s">
        <v>21</v>
      </c>
      <c r="B1388" s="4" t="s">
        <v>41</v>
      </c>
      <c r="C1388" s="4" t="s">
        <v>42</v>
      </c>
      <c r="D1388" s="4" t="s">
        <v>45</v>
      </c>
      <c r="E1388" s="4" t="s">
        <v>25</v>
      </c>
      <c r="F1388" s="4" t="s">
        <v>25</v>
      </c>
      <c r="G1388" s="4" t="s">
        <v>25</v>
      </c>
      <c r="H1388" s="4" t="s">
        <v>34</v>
      </c>
      <c r="I1388" s="5">
        <v>44682</v>
      </c>
      <c r="J1388" s="6">
        <v>0</v>
      </c>
      <c r="K1388" s="6">
        <v>0</v>
      </c>
      <c r="L1388" s="6">
        <v>41.817999999999998</v>
      </c>
      <c r="M1388" s="6">
        <v>40.14528</v>
      </c>
      <c r="N1388" s="6">
        <v>41.817999999999998</v>
      </c>
      <c r="O1388" s="6">
        <v>40.14528</v>
      </c>
      <c r="P1388" s="6">
        <v>0</v>
      </c>
      <c r="Q1388" s="4" t="s">
        <v>26</v>
      </c>
      <c r="R1388" s="4">
        <v>0</v>
      </c>
      <c r="S1388" s="4" t="s">
        <v>357</v>
      </c>
      <c r="T1388" s="4" t="s">
        <v>622</v>
      </c>
      <c r="U1388" s="4">
        <v>0</v>
      </c>
      <c r="V1388" s="4">
        <v>42</v>
      </c>
      <c r="W1388" s="4">
        <v>66</v>
      </c>
    </row>
    <row r="1389" spans="1:23" ht="11.25" customHeight="1" x14ac:dyDescent="0.25">
      <c r="A1389" s="4" t="s">
        <v>28</v>
      </c>
      <c r="B1389" s="4" t="s">
        <v>41</v>
      </c>
      <c r="C1389" s="4" t="s">
        <v>42</v>
      </c>
      <c r="D1389" s="4" t="s">
        <v>45</v>
      </c>
      <c r="E1389" s="4" t="s">
        <v>25</v>
      </c>
      <c r="F1389" s="4" t="s">
        <v>25</v>
      </c>
      <c r="G1389" s="4" t="s">
        <v>25</v>
      </c>
      <c r="H1389" s="4" t="s">
        <v>34</v>
      </c>
      <c r="I1389" s="5">
        <v>44682</v>
      </c>
      <c r="J1389" s="6">
        <v>0</v>
      </c>
      <c r="K1389" s="6">
        <v>0</v>
      </c>
      <c r="L1389" s="6">
        <v>5.0430000000000001</v>
      </c>
      <c r="M1389" s="6">
        <v>4.8412800000000002</v>
      </c>
      <c r="N1389" s="6">
        <v>5.0430000000000001</v>
      </c>
      <c r="O1389" s="6">
        <v>4.8412800000000002</v>
      </c>
      <c r="P1389" s="6">
        <v>0</v>
      </c>
      <c r="Q1389" s="4" t="s">
        <v>26</v>
      </c>
      <c r="R1389" s="4">
        <v>0</v>
      </c>
      <c r="S1389" s="4" t="s">
        <v>357</v>
      </c>
      <c r="T1389" s="4" t="s">
        <v>622</v>
      </c>
      <c r="U1389" s="4">
        <v>0</v>
      </c>
      <c r="V1389" s="4">
        <v>42</v>
      </c>
      <c r="W1389" s="4">
        <v>66</v>
      </c>
    </row>
    <row r="1390" spans="1:23" ht="11.25" customHeight="1" x14ac:dyDescent="0.25">
      <c r="A1390" s="4" t="s">
        <v>21</v>
      </c>
      <c r="B1390" s="4" t="s">
        <v>41</v>
      </c>
      <c r="C1390" s="4" t="s">
        <v>42</v>
      </c>
      <c r="D1390" s="4" t="s">
        <v>45</v>
      </c>
      <c r="E1390" s="4" t="s">
        <v>25</v>
      </c>
      <c r="F1390" s="4" t="s">
        <v>25</v>
      </c>
      <c r="G1390" s="4" t="s">
        <v>25</v>
      </c>
      <c r="H1390" s="4" t="s">
        <v>34</v>
      </c>
      <c r="I1390" s="5">
        <v>44713</v>
      </c>
      <c r="J1390" s="6">
        <v>0</v>
      </c>
      <c r="K1390" s="6">
        <v>0</v>
      </c>
      <c r="L1390" s="6">
        <v>34.619999999999997</v>
      </c>
      <c r="M1390" s="6">
        <v>33.235199999999999</v>
      </c>
      <c r="N1390" s="6">
        <v>34.619999999999997</v>
      </c>
      <c r="O1390" s="6">
        <v>33.235199999999999</v>
      </c>
      <c r="P1390" s="6">
        <v>0</v>
      </c>
      <c r="Q1390" s="4" t="s">
        <v>26</v>
      </c>
      <c r="R1390" s="4">
        <v>0</v>
      </c>
      <c r="S1390" s="4" t="s">
        <v>358</v>
      </c>
      <c r="T1390" s="4" t="s">
        <v>623</v>
      </c>
      <c r="U1390" s="4">
        <v>0</v>
      </c>
      <c r="V1390" s="4">
        <v>42</v>
      </c>
      <c r="W1390" s="4">
        <v>66</v>
      </c>
    </row>
    <row r="1391" spans="1:23" ht="11.25" customHeight="1" x14ac:dyDescent="0.25">
      <c r="A1391" s="4" t="s">
        <v>28</v>
      </c>
      <c r="B1391" s="4" t="s">
        <v>41</v>
      </c>
      <c r="C1391" s="4" t="s">
        <v>42</v>
      </c>
      <c r="D1391" s="4" t="s">
        <v>45</v>
      </c>
      <c r="E1391" s="4" t="s">
        <v>25</v>
      </c>
      <c r="F1391" s="4" t="s">
        <v>25</v>
      </c>
      <c r="G1391" s="4" t="s">
        <v>25</v>
      </c>
      <c r="H1391" s="4" t="s">
        <v>34</v>
      </c>
      <c r="I1391" s="5">
        <v>44713</v>
      </c>
      <c r="J1391" s="6">
        <v>0</v>
      </c>
      <c r="K1391" s="6">
        <v>0</v>
      </c>
      <c r="L1391" s="6">
        <v>4.3789999999999996</v>
      </c>
      <c r="M1391" s="6">
        <v>4.2038399999999996</v>
      </c>
      <c r="N1391" s="6">
        <v>4.3789999999999996</v>
      </c>
      <c r="O1391" s="6">
        <v>4.2038399999999996</v>
      </c>
      <c r="P1391" s="6">
        <v>0</v>
      </c>
      <c r="Q1391" s="4" t="s">
        <v>26</v>
      </c>
      <c r="R1391" s="4">
        <v>0</v>
      </c>
      <c r="S1391" s="4" t="s">
        <v>358</v>
      </c>
      <c r="T1391" s="4" t="s">
        <v>623</v>
      </c>
      <c r="U1391" s="4">
        <v>0</v>
      </c>
      <c r="V1391" s="4">
        <v>42</v>
      </c>
      <c r="W1391" s="4">
        <v>66</v>
      </c>
    </row>
    <row r="1392" spans="1:23" ht="11.25" customHeight="1" x14ac:dyDescent="0.25">
      <c r="A1392" s="4" t="s">
        <v>57</v>
      </c>
      <c r="B1392" s="4" t="s">
        <v>41</v>
      </c>
      <c r="C1392" s="4" t="s">
        <v>42</v>
      </c>
      <c r="D1392" s="4" t="s">
        <v>45</v>
      </c>
      <c r="E1392" s="4" t="s">
        <v>25</v>
      </c>
      <c r="F1392" s="4" t="s">
        <v>25</v>
      </c>
      <c r="G1392" s="4" t="s">
        <v>25</v>
      </c>
      <c r="H1392" s="4" t="s">
        <v>34</v>
      </c>
      <c r="I1392" s="5">
        <v>44743</v>
      </c>
      <c r="J1392" s="6">
        <v>0</v>
      </c>
      <c r="K1392" s="6">
        <v>0</v>
      </c>
      <c r="L1392" s="6">
        <v>34.619999999999997</v>
      </c>
      <c r="M1392" s="6">
        <v>33.235199999999999</v>
      </c>
      <c r="N1392" s="6">
        <v>34.619999999999997</v>
      </c>
      <c r="O1392" s="6">
        <v>33.235199999999999</v>
      </c>
      <c r="P1392" s="6">
        <v>0</v>
      </c>
      <c r="Q1392" s="4" t="s">
        <v>26</v>
      </c>
      <c r="R1392" s="4">
        <v>0</v>
      </c>
      <c r="S1392" s="4" t="s">
        <v>359</v>
      </c>
      <c r="T1392" s="4" t="s">
        <v>624</v>
      </c>
      <c r="U1392" s="4">
        <v>0</v>
      </c>
      <c r="V1392" s="4">
        <v>42</v>
      </c>
      <c r="W1392" s="4">
        <v>66</v>
      </c>
    </row>
    <row r="1393" spans="1:23" ht="11.25" customHeight="1" x14ac:dyDescent="0.25">
      <c r="A1393" s="4" t="s">
        <v>57</v>
      </c>
      <c r="B1393" s="4" t="s">
        <v>41</v>
      </c>
      <c r="C1393" s="4" t="s">
        <v>42</v>
      </c>
      <c r="D1393" s="4" t="s">
        <v>45</v>
      </c>
      <c r="E1393" s="4" t="s">
        <v>25</v>
      </c>
      <c r="F1393" s="4" t="s">
        <v>25</v>
      </c>
      <c r="G1393" s="4" t="s">
        <v>25</v>
      </c>
      <c r="H1393" s="4" t="s">
        <v>34</v>
      </c>
      <c r="I1393" s="5">
        <v>44743</v>
      </c>
      <c r="J1393" s="6">
        <v>0</v>
      </c>
      <c r="K1393" s="6">
        <v>0</v>
      </c>
      <c r="L1393" s="6">
        <v>4.3789999999999996</v>
      </c>
      <c r="M1393" s="6">
        <v>4.2038399999999996</v>
      </c>
      <c r="N1393" s="6">
        <v>4.3789999999999996</v>
      </c>
      <c r="O1393" s="6">
        <v>4.2038399999999996</v>
      </c>
      <c r="P1393" s="6">
        <v>0</v>
      </c>
      <c r="Q1393" s="4" t="s">
        <v>26</v>
      </c>
      <c r="R1393" s="4">
        <v>0</v>
      </c>
      <c r="S1393" s="4" t="s">
        <v>359</v>
      </c>
      <c r="T1393" s="4" t="s">
        <v>624</v>
      </c>
      <c r="U1393" s="4">
        <v>0</v>
      </c>
      <c r="V1393" s="4">
        <v>42</v>
      </c>
      <c r="W1393" s="4">
        <v>66</v>
      </c>
    </row>
    <row r="1394" spans="1:23" ht="11.25" customHeight="1" x14ac:dyDescent="0.25">
      <c r="A1394" s="4" t="s">
        <v>21</v>
      </c>
      <c r="B1394" s="4" t="s">
        <v>41</v>
      </c>
      <c r="C1394" s="4" t="s">
        <v>42</v>
      </c>
      <c r="D1394" s="4" t="s">
        <v>50</v>
      </c>
      <c r="E1394" s="4" t="s">
        <v>51</v>
      </c>
      <c r="F1394" s="4" t="s">
        <v>25</v>
      </c>
      <c r="G1394" s="4" t="s">
        <v>25</v>
      </c>
      <c r="H1394" s="4" t="s">
        <v>35</v>
      </c>
      <c r="I1394" s="5">
        <v>44409</v>
      </c>
      <c r="J1394" s="6">
        <v>0</v>
      </c>
      <c r="K1394" s="6">
        <v>0</v>
      </c>
      <c r="L1394" s="6">
        <v>2140.3910000000001</v>
      </c>
      <c r="M1394" s="6">
        <v>2011.9675400000001</v>
      </c>
      <c r="N1394" s="6">
        <v>2140.3910000000001</v>
      </c>
      <c r="O1394" s="6">
        <v>2011.9675400000001</v>
      </c>
      <c r="P1394" s="6">
        <v>0</v>
      </c>
      <c r="Q1394" s="4" t="s">
        <v>26</v>
      </c>
      <c r="R1394" s="4">
        <v>0</v>
      </c>
      <c r="S1394" s="4" t="s">
        <v>324</v>
      </c>
      <c r="T1394" s="4" t="s">
        <v>601</v>
      </c>
      <c r="U1394" s="4">
        <v>0</v>
      </c>
      <c r="V1394" s="4">
        <v>44</v>
      </c>
      <c r="W1394" s="4">
        <v>67</v>
      </c>
    </row>
    <row r="1395" spans="1:23" ht="11.25" customHeight="1" x14ac:dyDescent="0.25">
      <c r="A1395" s="4" t="s">
        <v>21</v>
      </c>
      <c r="B1395" s="4" t="s">
        <v>41</v>
      </c>
      <c r="C1395" s="4" t="s">
        <v>42</v>
      </c>
      <c r="D1395" s="4" t="s">
        <v>50</v>
      </c>
      <c r="E1395" s="4" t="s">
        <v>51</v>
      </c>
      <c r="F1395" s="4" t="s">
        <v>25</v>
      </c>
      <c r="G1395" s="4" t="s">
        <v>25</v>
      </c>
      <c r="H1395" s="4" t="s">
        <v>35</v>
      </c>
      <c r="I1395" s="5">
        <v>44440</v>
      </c>
      <c r="J1395" s="6">
        <v>0</v>
      </c>
      <c r="K1395" s="6">
        <v>0</v>
      </c>
      <c r="L1395" s="6">
        <v>2002.85</v>
      </c>
      <c r="M1395" s="6">
        <v>1882.6790000000001</v>
      </c>
      <c r="N1395" s="6">
        <v>2002.85</v>
      </c>
      <c r="O1395" s="6">
        <v>1882.6790000000001</v>
      </c>
      <c r="P1395" s="6">
        <v>0</v>
      </c>
      <c r="Q1395" s="4" t="s">
        <v>26</v>
      </c>
      <c r="R1395" s="4">
        <v>0</v>
      </c>
      <c r="S1395" s="4" t="s">
        <v>325</v>
      </c>
      <c r="T1395" s="4" t="s">
        <v>602</v>
      </c>
      <c r="U1395" s="4">
        <v>0</v>
      </c>
      <c r="V1395" s="4">
        <v>44</v>
      </c>
      <c r="W1395" s="4">
        <v>67</v>
      </c>
    </row>
    <row r="1396" spans="1:23" ht="11.25" customHeight="1" x14ac:dyDescent="0.25">
      <c r="A1396" s="4" t="s">
        <v>21</v>
      </c>
      <c r="B1396" s="4" t="s">
        <v>41</v>
      </c>
      <c r="C1396" s="4" t="s">
        <v>42</v>
      </c>
      <c r="D1396" s="4" t="s">
        <v>50</v>
      </c>
      <c r="E1396" s="4" t="s">
        <v>51</v>
      </c>
      <c r="F1396" s="4" t="s">
        <v>25</v>
      </c>
      <c r="G1396" s="4" t="s">
        <v>25</v>
      </c>
      <c r="H1396" s="4" t="s">
        <v>35</v>
      </c>
      <c r="I1396" s="5">
        <v>44470</v>
      </c>
      <c r="J1396" s="6">
        <v>0</v>
      </c>
      <c r="K1396" s="6">
        <v>0</v>
      </c>
      <c r="L1396" s="6">
        <v>2107.96</v>
      </c>
      <c r="M1396" s="6">
        <v>1981.4824000000001</v>
      </c>
      <c r="N1396" s="6">
        <v>2107.96</v>
      </c>
      <c r="O1396" s="6">
        <v>1981.4824000000001</v>
      </c>
      <c r="P1396" s="6">
        <v>0</v>
      </c>
      <c r="Q1396" s="4" t="s">
        <v>26</v>
      </c>
      <c r="R1396" s="4">
        <v>0</v>
      </c>
      <c r="S1396" s="4" t="s">
        <v>326</v>
      </c>
      <c r="T1396" s="4" t="s">
        <v>603</v>
      </c>
      <c r="U1396" s="4">
        <v>0</v>
      </c>
      <c r="V1396" s="4">
        <v>44</v>
      </c>
      <c r="W1396" s="4">
        <v>67</v>
      </c>
    </row>
    <row r="1397" spans="1:23" ht="11.25" customHeight="1" x14ac:dyDescent="0.25">
      <c r="A1397" s="4" t="s">
        <v>21</v>
      </c>
      <c r="B1397" s="4" t="s">
        <v>41</v>
      </c>
      <c r="C1397" s="4" t="s">
        <v>42</v>
      </c>
      <c r="D1397" s="4" t="s">
        <v>50</v>
      </c>
      <c r="E1397" s="4" t="s">
        <v>51</v>
      </c>
      <c r="F1397" s="4" t="s">
        <v>25</v>
      </c>
      <c r="G1397" s="4" t="s">
        <v>25</v>
      </c>
      <c r="H1397" s="4" t="s">
        <v>35</v>
      </c>
      <c r="I1397" s="5">
        <v>44501</v>
      </c>
      <c r="J1397" s="6">
        <v>0</v>
      </c>
      <c r="K1397" s="6">
        <v>0</v>
      </c>
      <c r="L1397" s="6">
        <v>2219.277</v>
      </c>
      <c r="M1397" s="6">
        <v>2086.1203799999998</v>
      </c>
      <c r="N1397" s="6">
        <v>2219.277</v>
      </c>
      <c r="O1397" s="6">
        <v>2086.1203799999998</v>
      </c>
      <c r="P1397" s="6">
        <v>0</v>
      </c>
      <c r="Q1397" s="4" t="s">
        <v>26</v>
      </c>
      <c r="R1397" s="4">
        <v>0</v>
      </c>
      <c r="S1397" s="4" t="s">
        <v>327</v>
      </c>
      <c r="T1397" s="4" t="s">
        <v>604</v>
      </c>
      <c r="U1397" s="4">
        <v>0</v>
      </c>
      <c r="V1397" s="4">
        <v>44</v>
      </c>
      <c r="W1397" s="4">
        <v>67</v>
      </c>
    </row>
    <row r="1398" spans="1:23" ht="11.25" customHeight="1" x14ac:dyDescent="0.25">
      <c r="A1398" s="4" t="s">
        <v>21</v>
      </c>
      <c r="B1398" s="4" t="s">
        <v>41</v>
      </c>
      <c r="C1398" s="4" t="s">
        <v>42</v>
      </c>
      <c r="D1398" s="4" t="s">
        <v>50</v>
      </c>
      <c r="E1398" s="4" t="s">
        <v>51</v>
      </c>
      <c r="F1398" s="4" t="s">
        <v>25</v>
      </c>
      <c r="G1398" s="4" t="s">
        <v>25</v>
      </c>
      <c r="H1398" s="4" t="s">
        <v>35</v>
      </c>
      <c r="I1398" s="5">
        <v>44531</v>
      </c>
      <c r="J1398" s="6">
        <v>0</v>
      </c>
      <c r="K1398" s="6">
        <v>0</v>
      </c>
      <c r="L1398" s="6">
        <v>2049.038</v>
      </c>
      <c r="M1398" s="6">
        <v>1926.09572</v>
      </c>
      <c r="N1398" s="6">
        <v>2049.038</v>
      </c>
      <c r="O1398" s="6">
        <v>1926.09572</v>
      </c>
      <c r="P1398" s="6">
        <v>0</v>
      </c>
      <c r="Q1398" s="4" t="s">
        <v>26</v>
      </c>
      <c r="R1398" s="4">
        <v>0</v>
      </c>
      <c r="S1398" s="4" t="s">
        <v>328</v>
      </c>
      <c r="T1398" s="4" t="s">
        <v>605</v>
      </c>
      <c r="U1398" s="4">
        <v>0</v>
      </c>
      <c r="V1398" s="4">
        <v>44</v>
      </c>
      <c r="W1398" s="4">
        <v>67</v>
      </c>
    </row>
    <row r="1399" spans="1:23" ht="11.25" customHeight="1" x14ac:dyDescent="0.25">
      <c r="A1399" s="4" t="s">
        <v>21</v>
      </c>
      <c r="B1399" s="4" t="s">
        <v>41</v>
      </c>
      <c r="C1399" s="4" t="s">
        <v>42</v>
      </c>
      <c r="D1399" s="4" t="s">
        <v>50</v>
      </c>
      <c r="E1399" s="4" t="s">
        <v>51</v>
      </c>
      <c r="F1399" s="4" t="s">
        <v>25</v>
      </c>
      <c r="G1399" s="4" t="s">
        <v>25</v>
      </c>
      <c r="H1399" s="4" t="s">
        <v>35</v>
      </c>
      <c r="I1399" s="5">
        <v>44562</v>
      </c>
      <c r="J1399" s="6">
        <v>0</v>
      </c>
      <c r="K1399" s="6">
        <v>0</v>
      </c>
      <c r="L1399" s="6">
        <v>2257.6480000000001</v>
      </c>
      <c r="M1399" s="6">
        <v>2122.18912</v>
      </c>
      <c r="N1399" s="6">
        <v>2257.6480000000001</v>
      </c>
      <c r="O1399" s="6">
        <v>2122.18912</v>
      </c>
      <c r="P1399" s="6">
        <v>0</v>
      </c>
      <c r="Q1399" s="4" t="s">
        <v>26</v>
      </c>
      <c r="R1399" s="4">
        <v>0</v>
      </c>
      <c r="S1399" s="4" t="s">
        <v>329</v>
      </c>
      <c r="T1399" s="4" t="s">
        <v>606</v>
      </c>
      <c r="U1399" s="4">
        <v>0</v>
      </c>
      <c r="V1399" s="4">
        <v>44</v>
      </c>
      <c r="W1399" s="4">
        <v>67</v>
      </c>
    </row>
    <row r="1400" spans="1:23" ht="11.25" customHeight="1" x14ac:dyDescent="0.25">
      <c r="A1400" s="4" t="s">
        <v>21</v>
      </c>
      <c r="B1400" s="4" t="s">
        <v>41</v>
      </c>
      <c r="C1400" s="4" t="s">
        <v>42</v>
      </c>
      <c r="D1400" s="4" t="s">
        <v>50</v>
      </c>
      <c r="E1400" s="4" t="s">
        <v>51</v>
      </c>
      <c r="F1400" s="4" t="s">
        <v>25</v>
      </c>
      <c r="G1400" s="4" t="s">
        <v>25</v>
      </c>
      <c r="H1400" s="4" t="s">
        <v>35</v>
      </c>
      <c r="I1400" s="5">
        <v>44593</v>
      </c>
      <c r="J1400" s="6">
        <v>0</v>
      </c>
      <c r="K1400" s="6">
        <v>0</v>
      </c>
      <c r="L1400" s="6">
        <v>2031.07</v>
      </c>
      <c r="M1400" s="6">
        <v>1909.2058</v>
      </c>
      <c r="N1400" s="6">
        <v>2031.07</v>
      </c>
      <c r="O1400" s="6">
        <v>1909.2058</v>
      </c>
      <c r="P1400" s="6">
        <v>0</v>
      </c>
      <c r="Q1400" s="4" t="s">
        <v>26</v>
      </c>
      <c r="R1400" s="4">
        <v>0</v>
      </c>
      <c r="S1400" s="4" t="s">
        <v>330</v>
      </c>
      <c r="T1400" s="4" t="s">
        <v>607</v>
      </c>
      <c r="U1400" s="4">
        <v>0</v>
      </c>
      <c r="V1400" s="4">
        <v>44</v>
      </c>
      <c r="W1400" s="4">
        <v>67</v>
      </c>
    </row>
    <row r="1401" spans="1:23" ht="11.25" customHeight="1" x14ac:dyDescent="0.25">
      <c r="A1401" s="4" t="s">
        <v>21</v>
      </c>
      <c r="B1401" s="4" t="s">
        <v>41</v>
      </c>
      <c r="C1401" s="4" t="s">
        <v>42</v>
      </c>
      <c r="D1401" s="4" t="s">
        <v>50</v>
      </c>
      <c r="E1401" s="4" t="s">
        <v>51</v>
      </c>
      <c r="F1401" s="4" t="s">
        <v>25</v>
      </c>
      <c r="G1401" s="4" t="s">
        <v>25</v>
      </c>
      <c r="H1401" s="4" t="s">
        <v>35</v>
      </c>
      <c r="I1401" s="5">
        <v>44621</v>
      </c>
      <c r="J1401" s="6">
        <v>0</v>
      </c>
      <c r="K1401" s="6">
        <v>0</v>
      </c>
      <c r="L1401" s="6">
        <v>1982.943</v>
      </c>
      <c r="M1401" s="6">
        <v>1863.96642</v>
      </c>
      <c r="N1401" s="6">
        <v>1982.943</v>
      </c>
      <c r="O1401" s="6">
        <v>1863.96642</v>
      </c>
      <c r="P1401" s="6">
        <v>0</v>
      </c>
      <c r="Q1401" s="4" t="s">
        <v>26</v>
      </c>
      <c r="R1401" s="4">
        <v>0</v>
      </c>
      <c r="S1401" s="4" t="s">
        <v>331</v>
      </c>
      <c r="T1401" s="4" t="s">
        <v>608</v>
      </c>
      <c r="U1401" s="4">
        <v>0</v>
      </c>
      <c r="V1401" s="4">
        <v>44</v>
      </c>
      <c r="W1401" s="4">
        <v>67</v>
      </c>
    </row>
    <row r="1402" spans="1:23" ht="11.25" customHeight="1" x14ac:dyDescent="0.25">
      <c r="A1402" s="4" t="s">
        <v>21</v>
      </c>
      <c r="B1402" s="4" t="s">
        <v>41</v>
      </c>
      <c r="C1402" s="4" t="s">
        <v>42</v>
      </c>
      <c r="D1402" s="4" t="s">
        <v>50</v>
      </c>
      <c r="E1402" s="4" t="s">
        <v>51</v>
      </c>
      <c r="F1402" s="4" t="s">
        <v>25</v>
      </c>
      <c r="G1402" s="4" t="s">
        <v>25</v>
      </c>
      <c r="H1402" s="4" t="s">
        <v>35</v>
      </c>
      <c r="I1402" s="5">
        <v>44652</v>
      </c>
      <c r="J1402" s="6">
        <v>0</v>
      </c>
      <c r="K1402" s="6">
        <v>0</v>
      </c>
      <c r="L1402" s="6">
        <v>2214.62</v>
      </c>
      <c r="M1402" s="6">
        <v>2081.7428</v>
      </c>
      <c r="N1402" s="6">
        <v>2214.62</v>
      </c>
      <c r="O1402" s="6">
        <v>2081.7428</v>
      </c>
      <c r="P1402" s="6">
        <v>0</v>
      </c>
      <c r="Q1402" s="4" t="s">
        <v>26</v>
      </c>
      <c r="R1402" s="4">
        <v>0</v>
      </c>
      <c r="S1402" s="4" t="s">
        <v>332</v>
      </c>
      <c r="T1402" s="4" t="s">
        <v>609</v>
      </c>
      <c r="U1402" s="4">
        <v>0</v>
      </c>
      <c r="V1402" s="4">
        <v>44</v>
      </c>
      <c r="W1402" s="4">
        <v>67</v>
      </c>
    </row>
    <row r="1403" spans="1:23" ht="11.25" customHeight="1" x14ac:dyDescent="0.25">
      <c r="A1403" s="4" t="s">
        <v>21</v>
      </c>
      <c r="B1403" s="4" t="s">
        <v>41</v>
      </c>
      <c r="C1403" s="4" t="s">
        <v>42</v>
      </c>
      <c r="D1403" s="4" t="s">
        <v>50</v>
      </c>
      <c r="E1403" s="4" t="s">
        <v>51</v>
      </c>
      <c r="F1403" s="4" t="s">
        <v>25</v>
      </c>
      <c r="G1403" s="4" t="s">
        <v>25</v>
      </c>
      <c r="H1403" s="4" t="s">
        <v>35</v>
      </c>
      <c r="I1403" s="5">
        <v>44682</v>
      </c>
      <c r="J1403" s="6">
        <v>0</v>
      </c>
      <c r="K1403" s="6">
        <v>0</v>
      </c>
      <c r="L1403" s="6">
        <v>2133.7860000000001</v>
      </c>
      <c r="M1403" s="6">
        <v>2005.75884</v>
      </c>
      <c r="N1403" s="6">
        <v>2133.7860000000001</v>
      </c>
      <c r="O1403" s="6">
        <v>2005.75884</v>
      </c>
      <c r="P1403" s="6">
        <v>0</v>
      </c>
      <c r="Q1403" s="4" t="s">
        <v>26</v>
      </c>
      <c r="R1403" s="4">
        <v>0</v>
      </c>
      <c r="S1403" s="4" t="s">
        <v>333</v>
      </c>
      <c r="T1403" s="4" t="s">
        <v>610</v>
      </c>
      <c r="U1403" s="4">
        <v>0</v>
      </c>
      <c r="V1403" s="4">
        <v>44</v>
      </c>
      <c r="W1403" s="4">
        <v>67</v>
      </c>
    </row>
    <row r="1404" spans="1:23" ht="11.25" customHeight="1" x14ac:dyDescent="0.25">
      <c r="A1404" s="4" t="s">
        <v>21</v>
      </c>
      <c r="B1404" s="4" t="s">
        <v>41</v>
      </c>
      <c r="C1404" s="4" t="s">
        <v>42</v>
      </c>
      <c r="D1404" s="4" t="s">
        <v>50</v>
      </c>
      <c r="E1404" s="4" t="s">
        <v>51</v>
      </c>
      <c r="F1404" s="4" t="s">
        <v>25</v>
      </c>
      <c r="G1404" s="4" t="s">
        <v>25</v>
      </c>
      <c r="H1404" s="4" t="s">
        <v>35</v>
      </c>
      <c r="I1404" s="5">
        <v>44713</v>
      </c>
      <c r="J1404" s="6">
        <v>0</v>
      </c>
      <c r="K1404" s="6">
        <v>0</v>
      </c>
      <c r="L1404" s="6">
        <v>2217.5650000000001</v>
      </c>
      <c r="M1404" s="6">
        <v>2084.5111000000002</v>
      </c>
      <c r="N1404" s="6">
        <v>2217.5650000000001</v>
      </c>
      <c r="O1404" s="6">
        <v>2084.5111000000002</v>
      </c>
      <c r="P1404" s="6">
        <v>0</v>
      </c>
      <c r="Q1404" s="4" t="s">
        <v>26</v>
      </c>
      <c r="R1404" s="4">
        <v>0</v>
      </c>
      <c r="S1404" s="4" t="s">
        <v>334</v>
      </c>
      <c r="T1404" s="4" t="s">
        <v>611</v>
      </c>
      <c r="U1404" s="4">
        <v>0</v>
      </c>
      <c r="V1404" s="4">
        <v>44</v>
      </c>
      <c r="W1404" s="4">
        <v>67</v>
      </c>
    </row>
    <row r="1405" spans="1:23" ht="11.25" customHeight="1" x14ac:dyDescent="0.25">
      <c r="A1405" s="4" t="s">
        <v>57</v>
      </c>
      <c r="B1405" s="4" t="s">
        <v>41</v>
      </c>
      <c r="C1405" s="4" t="s">
        <v>42</v>
      </c>
      <c r="D1405" s="4" t="s">
        <v>50</v>
      </c>
      <c r="E1405" s="4" t="s">
        <v>51</v>
      </c>
      <c r="F1405" s="4" t="s">
        <v>25</v>
      </c>
      <c r="G1405" s="4" t="s">
        <v>25</v>
      </c>
      <c r="H1405" s="4" t="s">
        <v>35</v>
      </c>
      <c r="I1405" s="5">
        <v>44743</v>
      </c>
      <c r="J1405" s="6">
        <v>0</v>
      </c>
      <c r="K1405" s="6">
        <v>0</v>
      </c>
      <c r="L1405" s="6">
        <v>2217.5650000000001</v>
      </c>
      <c r="M1405" s="6">
        <v>2084.5111000000002</v>
      </c>
      <c r="N1405" s="6">
        <v>2217.5650000000001</v>
      </c>
      <c r="O1405" s="6">
        <v>2084.5111000000002</v>
      </c>
      <c r="P1405" s="6">
        <v>0</v>
      </c>
      <c r="Q1405" s="4" t="s">
        <v>26</v>
      </c>
      <c r="R1405" s="4">
        <v>0</v>
      </c>
      <c r="S1405" s="4" t="s">
        <v>335</v>
      </c>
      <c r="T1405" s="4" t="s">
        <v>612</v>
      </c>
      <c r="U1405" s="4">
        <v>0</v>
      </c>
      <c r="V1405" s="4">
        <v>44</v>
      </c>
      <c r="W1405" s="4">
        <v>67</v>
      </c>
    </row>
    <row r="1406" spans="1:23" ht="11.25" customHeight="1" x14ac:dyDescent="0.25">
      <c r="A1406" s="4" t="s">
        <v>21</v>
      </c>
      <c r="B1406" s="4" t="s">
        <v>41</v>
      </c>
      <c r="C1406" s="4" t="s">
        <v>42</v>
      </c>
      <c r="D1406" s="4" t="s">
        <v>50</v>
      </c>
      <c r="E1406" s="4" t="s">
        <v>51</v>
      </c>
      <c r="F1406" s="4" t="s">
        <v>25</v>
      </c>
      <c r="G1406" s="4" t="s">
        <v>25</v>
      </c>
      <c r="H1406" s="4" t="s">
        <v>25</v>
      </c>
      <c r="I1406" s="5">
        <v>44409</v>
      </c>
      <c r="J1406" s="6">
        <v>9684</v>
      </c>
      <c r="K1406" s="6">
        <v>9102.9599999999991</v>
      </c>
      <c r="L1406" s="6">
        <v>0</v>
      </c>
      <c r="M1406" s="6">
        <v>0</v>
      </c>
      <c r="N1406" s="6">
        <v>0</v>
      </c>
      <c r="O1406" s="6">
        <v>0</v>
      </c>
      <c r="P1406" s="6">
        <v>91</v>
      </c>
      <c r="Q1406" s="4" t="s">
        <v>26</v>
      </c>
      <c r="R1406" s="4">
        <v>0</v>
      </c>
      <c r="S1406" s="4" t="s">
        <v>336</v>
      </c>
      <c r="U1406" s="4">
        <v>40</v>
      </c>
      <c r="V1406" s="4">
        <v>0</v>
      </c>
      <c r="W1406" s="4">
        <v>0</v>
      </c>
    </row>
    <row r="1407" spans="1:23" ht="11.25" customHeight="1" x14ac:dyDescent="0.25">
      <c r="A1407" s="4" t="s">
        <v>21</v>
      </c>
      <c r="B1407" s="4" t="s">
        <v>41</v>
      </c>
      <c r="C1407" s="4" t="s">
        <v>42</v>
      </c>
      <c r="D1407" s="4" t="s">
        <v>50</v>
      </c>
      <c r="E1407" s="4" t="s">
        <v>51</v>
      </c>
      <c r="F1407" s="4" t="s">
        <v>25</v>
      </c>
      <c r="G1407" s="4" t="s">
        <v>25</v>
      </c>
      <c r="H1407" s="4" t="s">
        <v>25</v>
      </c>
      <c r="I1407" s="5">
        <v>44440</v>
      </c>
      <c r="J1407" s="6">
        <v>9478</v>
      </c>
      <c r="K1407" s="6">
        <v>8909.32</v>
      </c>
      <c r="L1407" s="6">
        <v>0</v>
      </c>
      <c r="M1407" s="6">
        <v>0</v>
      </c>
      <c r="N1407" s="6">
        <v>0</v>
      </c>
      <c r="O1407" s="6">
        <v>0</v>
      </c>
      <c r="P1407" s="6">
        <v>91</v>
      </c>
      <c r="Q1407" s="4" t="s">
        <v>26</v>
      </c>
      <c r="R1407" s="4">
        <v>0</v>
      </c>
      <c r="S1407" s="4" t="s">
        <v>337</v>
      </c>
      <c r="U1407" s="4">
        <v>40</v>
      </c>
      <c r="V1407" s="4">
        <v>0</v>
      </c>
      <c r="W1407" s="4">
        <v>0</v>
      </c>
    </row>
    <row r="1408" spans="1:23" ht="11.25" customHeight="1" x14ac:dyDescent="0.25">
      <c r="A1408" s="4" t="s">
        <v>21</v>
      </c>
      <c r="B1408" s="4" t="s">
        <v>41</v>
      </c>
      <c r="C1408" s="4" t="s">
        <v>42</v>
      </c>
      <c r="D1408" s="4" t="s">
        <v>50</v>
      </c>
      <c r="E1408" s="4" t="s">
        <v>51</v>
      </c>
      <c r="F1408" s="4" t="s">
        <v>25</v>
      </c>
      <c r="G1408" s="4" t="s">
        <v>25</v>
      </c>
      <c r="H1408" s="4" t="s">
        <v>25</v>
      </c>
      <c r="I1408" s="5">
        <v>44470</v>
      </c>
      <c r="J1408" s="6">
        <v>9454</v>
      </c>
      <c r="K1408" s="6">
        <v>8886.76</v>
      </c>
      <c r="L1408" s="6">
        <v>0</v>
      </c>
      <c r="M1408" s="6">
        <v>0</v>
      </c>
      <c r="N1408" s="6">
        <v>0</v>
      </c>
      <c r="O1408" s="6">
        <v>0</v>
      </c>
      <c r="P1408" s="6">
        <v>90</v>
      </c>
      <c r="Q1408" s="4" t="s">
        <v>26</v>
      </c>
      <c r="R1408" s="4">
        <v>0</v>
      </c>
      <c r="S1408" s="4" t="s">
        <v>338</v>
      </c>
      <c r="U1408" s="4">
        <v>40</v>
      </c>
      <c r="V1408" s="4">
        <v>0</v>
      </c>
      <c r="W1408" s="4">
        <v>0</v>
      </c>
    </row>
    <row r="1409" spans="1:23" ht="11.25" customHeight="1" x14ac:dyDescent="0.25">
      <c r="A1409" s="4" t="s">
        <v>21</v>
      </c>
      <c r="B1409" s="4" t="s">
        <v>41</v>
      </c>
      <c r="C1409" s="4" t="s">
        <v>42</v>
      </c>
      <c r="D1409" s="4" t="s">
        <v>50</v>
      </c>
      <c r="E1409" s="4" t="s">
        <v>51</v>
      </c>
      <c r="F1409" s="4" t="s">
        <v>25</v>
      </c>
      <c r="G1409" s="4" t="s">
        <v>25</v>
      </c>
      <c r="H1409" s="4" t="s">
        <v>25</v>
      </c>
      <c r="I1409" s="5">
        <v>44501</v>
      </c>
      <c r="J1409" s="6">
        <v>9444</v>
      </c>
      <c r="K1409" s="6">
        <v>8877.36</v>
      </c>
      <c r="L1409" s="6">
        <v>0</v>
      </c>
      <c r="M1409" s="6">
        <v>0</v>
      </c>
      <c r="N1409" s="6">
        <v>0</v>
      </c>
      <c r="O1409" s="6">
        <v>0</v>
      </c>
      <c r="P1409" s="6">
        <v>90</v>
      </c>
      <c r="Q1409" s="4" t="s">
        <v>26</v>
      </c>
      <c r="R1409" s="4">
        <v>0</v>
      </c>
      <c r="S1409" s="4" t="s">
        <v>339</v>
      </c>
      <c r="U1409" s="4">
        <v>40</v>
      </c>
      <c r="V1409" s="4">
        <v>0</v>
      </c>
      <c r="W1409" s="4">
        <v>0</v>
      </c>
    </row>
    <row r="1410" spans="1:23" ht="11.25" customHeight="1" x14ac:dyDescent="0.25">
      <c r="A1410" s="4" t="s">
        <v>21</v>
      </c>
      <c r="B1410" s="4" t="s">
        <v>41</v>
      </c>
      <c r="C1410" s="4" t="s">
        <v>42</v>
      </c>
      <c r="D1410" s="4" t="s">
        <v>50</v>
      </c>
      <c r="E1410" s="4" t="s">
        <v>51</v>
      </c>
      <c r="F1410" s="4" t="s">
        <v>25</v>
      </c>
      <c r="G1410" s="4" t="s">
        <v>25</v>
      </c>
      <c r="H1410" s="4" t="s">
        <v>25</v>
      </c>
      <c r="I1410" s="5">
        <v>44531</v>
      </c>
      <c r="J1410" s="6">
        <v>9479</v>
      </c>
      <c r="K1410" s="6">
        <v>8910.26</v>
      </c>
      <c r="L1410" s="6">
        <v>0</v>
      </c>
      <c r="M1410" s="6">
        <v>0</v>
      </c>
      <c r="N1410" s="6">
        <v>0</v>
      </c>
      <c r="O1410" s="6">
        <v>0</v>
      </c>
      <c r="P1410" s="6">
        <v>90</v>
      </c>
      <c r="Q1410" s="4" t="s">
        <v>26</v>
      </c>
      <c r="R1410" s="4">
        <v>0</v>
      </c>
      <c r="S1410" s="4" t="s">
        <v>340</v>
      </c>
      <c r="U1410" s="4">
        <v>40</v>
      </c>
      <c r="V1410" s="4">
        <v>0</v>
      </c>
      <c r="W1410" s="4">
        <v>0</v>
      </c>
    </row>
    <row r="1411" spans="1:23" ht="11.25" customHeight="1" x14ac:dyDescent="0.25">
      <c r="A1411" s="4" t="s">
        <v>21</v>
      </c>
      <c r="B1411" s="4" t="s">
        <v>41</v>
      </c>
      <c r="C1411" s="4" t="s">
        <v>42</v>
      </c>
      <c r="D1411" s="4" t="s">
        <v>50</v>
      </c>
      <c r="E1411" s="4" t="s">
        <v>51</v>
      </c>
      <c r="F1411" s="4" t="s">
        <v>25</v>
      </c>
      <c r="G1411" s="4" t="s">
        <v>25</v>
      </c>
      <c r="H1411" s="4" t="s">
        <v>25</v>
      </c>
      <c r="I1411" s="5">
        <v>44562</v>
      </c>
      <c r="J1411" s="6">
        <v>9549</v>
      </c>
      <c r="K1411" s="6">
        <v>8976.06</v>
      </c>
      <c r="L1411" s="6">
        <v>0</v>
      </c>
      <c r="M1411" s="6">
        <v>0</v>
      </c>
      <c r="N1411" s="6">
        <v>0</v>
      </c>
      <c r="O1411" s="6">
        <v>0</v>
      </c>
      <c r="P1411" s="6">
        <v>90</v>
      </c>
      <c r="Q1411" s="4" t="s">
        <v>26</v>
      </c>
      <c r="R1411" s="4">
        <v>0</v>
      </c>
      <c r="S1411" s="4" t="s">
        <v>341</v>
      </c>
      <c r="U1411" s="4">
        <v>40</v>
      </c>
      <c r="V1411" s="4">
        <v>0</v>
      </c>
      <c r="W1411" s="4">
        <v>0</v>
      </c>
    </row>
    <row r="1412" spans="1:23" ht="11.25" customHeight="1" x14ac:dyDescent="0.25">
      <c r="A1412" s="4" t="s">
        <v>21</v>
      </c>
      <c r="B1412" s="4" t="s">
        <v>41</v>
      </c>
      <c r="C1412" s="4" t="s">
        <v>42</v>
      </c>
      <c r="D1412" s="4" t="s">
        <v>50</v>
      </c>
      <c r="E1412" s="4" t="s">
        <v>51</v>
      </c>
      <c r="F1412" s="4" t="s">
        <v>25</v>
      </c>
      <c r="G1412" s="4" t="s">
        <v>25</v>
      </c>
      <c r="H1412" s="4" t="s">
        <v>25</v>
      </c>
      <c r="I1412" s="5">
        <v>44593</v>
      </c>
      <c r="J1412" s="6">
        <v>9470</v>
      </c>
      <c r="K1412" s="6">
        <v>8901.7999999999993</v>
      </c>
      <c r="L1412" s="6">
        <v>0</v>
      </c>
      <c r="M1412" s="6">
        <v>0</v>
      </c>
      <c r="N1412" s="6">
        <v>0</v>
      </c>
      <c r="O1412" s="6">
        <v>0</v>
      </c>
      <c r="P1412" s="6">
        <v>92</v>
      </c>
      <c r="Q1412" s="4" t="s">
        <v>26</v>
      </c>
      <c r="R1412" s="4">
        <v>0</v>
      </c>
      <c r="S1412" s="4" t="s">
        <v>342</v>
      </c>
      <c r="U1412" s="4">
        <v>40</v>
      </c>
      <c r="V1412" s="4">
        <v>0</v>
      </c>
      <c r="W1412" s="4">
        <v>0</v>
      </c>
    </row>
    <row r="1413" spans="1:23" ht="11.25" customHeight="1" x14ac:dyDescent="0.25">
      <c r="A1413" s="4" t="s">
        <v>21</v>
      </c>
      <c r="B1413" s="4" t="s">
        <v>41</v>
      </c>
      <c r="C1413" s="4" t="s">
        <v>42</v>
      </c>
      <c r="D1413" s="4" t="s">
        <v>50</v>
      </c>
      <c r="E1413" s="4" t="s">
        <v>51</v>
      </c>
      <c r="F1413" s="4" t="s">
        <v>25</v>
      </c>
      <c r="G1413" s="4" t="s">
        <v>25</v>
      </c>
      <c r="H1413" s="4" t="s">
        <v>25</v>
      </c>
      <c r="I1413" s="5">
        <v>44621</v>
      </c>
      <c r="J1413" s="6">
        <v>9467</v>
      </c>
      <c r="K1413" s="6">
        <v>8898.98</v>
      </c>
      <c r="L1413" s="6">
        <v>0</v>
      </c>
      <c r="M1413" s="6">
        <v>0</v>
      </c>
      <c r="N1413" s="6">
        <v>0</v>
      </c>
      <c r="O1413" s="6">
        <v>0</v>
      </c>
      <c r="P1413" s="6">
        <v>90</v>
      </c>
      <c r="Q1413" s="4" t="s">
        <v>26</v>
      </c>
      <c r="R1413" s="4">
        <v>0</v>
      </c>
      <c r="S1413" s="4" t="s">
        <v>343</v>
      </c>
      <c r="U1413" s="4">
        <v>40</v>
      </c>
      <c r="V1413" s="4">
        <v>0</v>
      </c>
      <c r="W1413" s="4">
        <v>0</v>
      </c>
    </row>
    <row r="1414" spans="1:23" ht="11.25" customHeight="1" x14ac:dyDescent="0.25">
      <c r="A1414" s="4" t="s">
        <v>21</v>
      </c>
      <c r="B1414" s="4" t="s">
        <v>41</v>
      </c>
      <c r="C1414" s="4" t="s">
        <v>42</v>
      </c>
      <c r="D1414" s="4" t="s">
        <v>50</v>
      </c>
      <c r="E1414" s="4" t="s">
        <v>51</v>
      </c>
      <c r="F1414" s="4" t="s">
        <v>25</v>
      </c>
      <c r="G1414" s="4" t="s">
        <v>25</v>
      </c>
      <c r="H1414" s="4" t="s">
        <v>25</v>
      </c>
      <c r="I1414" s="5">
        <v>44652</v>
      </c>
      <c r="J1414" s="6">
        <v>9692</v>
      </c>
      <c r="K1414" s="6">
        <v>9110.48</v>
      </c>
      <c r="L1414" s="6">
        <v>0</v>
      </c>
      <c r="M1414" s="6">
        <v>0</v>
      </c>
      <c r="N1414" s="6">
        <v>0</v>
      </c>
      <c r="O1414" s="6">
        <v>0</v>
      </c>
      <c r="P1414" s="6">
        <v>91</v>
      </c>
      <c r="Q1414" s="4" t="s">
        <v>26</v>
      </c>
      <c r="R1414" s="4">
        <v>0</v>
      </c>
      <c r="S1414" s="4" t="s">
        <v>344</v>
      </c>
      <c r="U1414" s="4">
        <v>40</v>
      </c>
      <c r="V1414" s="4">
        <v>0</v>
      </c>
      <c r="W1414" s="4">
        <v>0</v>
      </c>
    </row>
    <row r="1415" spans="1:23" ht="11.25" customHeight="1" x14ac:dyDescent="0.25">
      <c r="A1415" s="4" t="s">
        <v>21</v>
      </c>
      <c r="B1415" s="4" t="s">
        <v>41</v>
      </c>
      <c r="C1415" s="4" t="s">
        <v>42</v>
      </c>
      <c r="D1415" s="4" t="s">
        <v>50</v>
      </c>
      <c r="E1415" s="4" t="s">
        <v>51</v>
      </c>
      <c r="F1415" s="4" t="s">
        <v>25</v>
      </c>
      <c r="G1415" s="4" t="s">
        <v>25</v>
      </c>
      <c r="H1415" s="4" t="s">
        <v>25</v>
      </c>
      <c r="I1415" s="5">
        <v>44682</v>
      </c>
      <c r="J1415" s="6">
        <v>9723</v>
      </c>
      <c r="K1415" s="6">
        <v>9139.6200000000008</v>
      </c>
      <c r="L1415" s="6">
        <v>0</v>
      </c>
      <c r="M1415" s="6">
        <v>0</v>
      </c>
      <c r="N1415" s="6">
        <v>0</v>
      </c>
      <c r="O1415" s="6">
        <v>0</v>
      </c>
      <c r="P1415" s="6">
        <v>91</v>
      </c>
      <c r="Q1415" s="4" t="s">
        <v>26</v>
      </c>
      <c r="R1415" s="4">
        <v>0</v>
      </c>
      <c r="S1415" s="4" t="s">
        <v>345</v>
      </c>
      <c r="U1415" s="4">
        <v>40</v>
      </c>
      <c r="V1415" s="4">
        <v>0</v>
      </c>
      <c r="W1415" s="4">
        <v>0</v>
      </c>
    </row>
    <row r="1416" spans="1:23" ht="11.25" customHeight="1" x14ac:dyDescent="0.25">
      <c r="A1416" s="4" t="s">
        <v>21</v>
      </c>
      <c r="B1416" s="4" t="s">
        <v>41</v>
      </c>
      <c r="C1416" s="4" t="s">
        <v>42</v>
      </c>
      <c r="D1416" s="4" t="s">
        <v>50</v>
      </c>
      <c r="E1416" s="4" t="s">
        <v>51</v>
      </c>
      <c r="F1416" s="4" t="s">
        <v>25</v>
      </c>
      <c r="G1416" s="4" t="s">
        <v>25</v>
      </c>
      <c r="H1416" s="4" t="s">
        <v>25</v>
      </c>
      <c r="I1416" s="5">
        <v>44713</v>
      </c>
      <c r="J1416" s="6">
        <v>9716</v>
      </c>
      <c r="K1416" s="6">
        <v>9133.0400000000009</v>
      </c>
      <c r="L1416" s="6">
        <v>0</v>
      </c>
      <c r="M1416" s="6">
        <v>0</v>
      </c>
      <c r="N1416" s="6">
        <v>0</v>
      </c>
      <c r="O1416" s="6">
        <v>0</v>
      </c>
      <c r="P1416" s="6">
        <v>91</v>
      </c>
      <c r="Q1416" s="4" t="s">
        <v>26</v>
      </c>
      <c r="R1416" s="4">
        <v>0</v>
      </c>
      <c r="S1416" s="4" t="s">
        <v>346</v>
      </c>
      <c r="U1416" s="4">
        <v>40</v>
      </c>
      <c r="V1416" s="4">
        <v>0</v>
      </c>
      <c r="W1416" s="4">
        <v>0</v>
      </c>
    </row>
    <row r="1417" spans="1:23" ht="11.25" customHeight="1" x14ac:dyDescent="0.25">
      <c r="A1417" s="4" t="s">
        <v>57</v>
      </c>
      <c r="B1417" s="4" t="s">
        <v>41</v>
      </c>
      <c r="C1417" s="4" t="s">
        <v>42</v>
      </c>
      <c r="D1417" s="4" t="s">
        <v>50</v>
      </c>
      <c r="E1417" s="4" t="s">
        <v>51</v>
      </c>
      <c r="F1417" s="4" t="s">
        <v>25</v>
      </c>
      <c r="G1417" s="4" t="s">
        <v>25</v>
      </c>
      <c r="H1417" s="4" t="s">
        <v>25</v>
      </c>
      <c r="I1417" s="5">
        <v>44743</v>
      </c>
      <c r="J1417" s="6">
        <v>9716</v>
      </c>
      <c r="K1417" s="6">
        <v>9133.0400000000009</v>
      </c>
      <c r="L1417" s="6">
        <v>0</v>
      </c>
      <c r="M1417" s="6">
        <v>0</v>
      </c>
      <c r="N1417" s="6">
        <v>0</v>
      </c>
      <c r="O1417" s="6">
        <v>0</v>
      </c>
      <c r="P1417" s="6">
        <v>91</v>
      </c>
      <c r="Q1417" s="4" t="s">
        <v>26</v>
      </c>
      <c r="R1417" s="4">
        <v>0</v>
      </c>
      <c r="S1417" s="4" t="s">
        <v>347</v>
      </c>
      <c r="U1417" s="4">
        <v>40</v>
      </c>
      <c r="V1417" s="4">
        <v>0</v>
      </c>
      <c r="W1417" s="4">
        <v>0</v>
      </c>
    </row>
    <row r="1418" spans="1:23" ht="11.25" customHeight="1" x14ac:dyDescent="0.25">
      <c r="A1418" s="4" t="s">
        <v>21</v>
      </c>
      <c r="B1418" s="4" t="s">
        <v>41</v>
      </c>
      <c r="C1418" s="4" t="s">
        <v>42</v>
      </c>
      <c r="D1418" s="4" t="s">
        <v>50</v>
      </c>
      <c r="E1418" s="4" t="s">
        <v>51</v>
      </c>
      <c r="F1418" s="4" t="s">
        <v>25</v>
      </c>
      <c r="G1418" s="4" t="s">
        <v>25</v>
      </c>
      <c r="H1418" s="4" t="s">
        <v>34</v>
      </c>
      <c r="I1418" s="5">
        <v>44409</v>
      </c>
      <c r="J1418" s="6">
        <v>0</v>
      </c>
      <c r="K1418" s="6">
        <v>0</v>
      </c>
      <c r="L1418" s="6">
        <v>211.697</v>
      </c>
      <c r="M1418" s="6">
        <v>198.99518</v>
      </c>
      <c r="N1418" s="6">
        <v>211.697</v>
      </c>
      <c r="O1418" s="6">
        <v>198.99518</v>
      </c>
      <c r="P1418" s="6">
        <v>0</v>
      </c>
      <c r="Q1418" s="4" t="s">
        <v>26</v>
      </c>
      <c r="R1418" s="4">
        <v>0</v>
      </c>
      <c r="S1418" s="4" t="s">
        <v>348</v>
      </c>
      <c r="T1418" s="4" t="s">
        <v>613</v>
      </c>
      <c r="U1418" s="4">
        <v>0</v>
      </c>
      <c r="V1418" s="4">
        <v>42</v>
      </c>
      <c r="W1418" s="4">
        <v>66</v>
      </c>
    </row>
    <row r="1419" spans="1:23" ht="11.25" customHeight="1" x14ac:dyDescent="0.25">
      <c r="A1419" s="4" t="s">
        <v>21</v>
      </c>
      <c r="B1419" s="4" t="s">
        <v>41</v>
      </c>
      <c r="C1419" s="4" t="s">
        <v>42</v>
      </c>
      <c r="D1419" s="4" t="s">
        <v>50</v>
      </c>
      <c r="E1419" s="4" t="s">
        <v>51</v>
      </c>
      <c r="F1419" s="4" t="s">
        <v>25</v>
      </c>
      <c r="G1419" s="4" t="s">
        <v>25</v>
      </c>
      <c r="H1419" s="4" t="s">
        <v>34</v>
      </c>
      <c r="I1419" s="5">
        <v>44440</v>
      </c>
      <c r="J1419" s="6">
        <v>0</v>
      </c>
      <c r="K1419" s="6">
        <v>0</v>
      </c>
      <c r="L1419" s="6">
        <v>195.94800000000001</v>
      </c>
      <c r="M1419" s="6">
        <v>184.19112000000001</v>
      </c>
      <c r="N1419" s="6">
        <v>195.94800000000001</v>
      </c>
      <c r="O1419" s="6">
        <v>184.19112000000001</v>
      </c>
      <c r="P1419" s="6">
        <v>0</v>
      </c>
      <c r="Q1419" s="4" t="s">
        <v>26</v>
      </c>
      <c r="R1419" s="4">
        <v>0</v>
      </c>
      <c r="S1419" s="4" t="s">
        <v>349</v>
      </c>
      <c r="T1419" s="4" t="s">
        <v>614</v>
      </c>
      <c r="U1419" s="4">
        <v>0</v>
      </c>
      <c r="V1419" s="4">
        <v>42</v>
      </c>
      <c r="W1419" s="4">
        <v>66</v>
      </c>
    </row>
    <row r="1420" spans="1:23" ht="11.25" customHeight="1" x14ac:dyDescent="0.25">
      <c r="A1420" s="4" t="s">
        <v>21</v>
      </c>
      <c r="B1420" s="4" t="s">
        <v>41</v>
      </c>
      <c r="C1420" s="4" t="s">
        <v>42</v>
      </c>
      <c r="D1420" s="4" t="s">
        <v>50</v>
      </c>
      <c r="E1420" s="4" t="s">
        <v>51</v>
      </c>
      <c r="F1420" s="4" t="s">
        <v>25</v>
      </c>
      <c r="G1420" s="4" t="s">
        <v>25</v>
      </c>
      <c r="H1420" s="4" t="s">
        <v>34</v>
      </c>
      <c r="I1420" s="5">
        <v>44470</v>
      </c>
      <c r="J1420" s="6">
        <v>0</v>
      </c>
      <c r="K1420" s="6">
        <v>0</v>
      </c>
      <c r="L1420" s="6">
        <v>194.745</v>
      </c>
      <c r="M1420" s="6">
        <v>183.06030000000001</v>
      </c>
      <c r="N1420" s="6">
        <v>194.745</v>
      </c>
      <c r="O1420" s="6">
        <v>183.06030000000001</v>
      </c>
      <c r="P1420" s="6">
        <v>0</v>
      </c>
      <c r="Q1420" s="4" t="s">
        <v>26</v>
      </c>
      <c r="R1420" s="4">
        <v>0</v>
      </c>
      <c r="S1420" s="4" t="s">
        <v>350</v>
      </c>
      <c r="T1420" s="4" t="s">
        <v>615</v>
      </c>
      <c r="U1420" s="4">
        <v>0</v>
      </c>
      <c r="V1420" s="4">
        <v>42</v>
      </c>
      <c r="W1420" s="4">
        <v>66</v>
      </c>
    </row>
    <row r="1421" spans="1:23" ht="11.25" customHeight="1" x14ac:dyDescent="0.25">
      <c r="A1421" s="4" t="s">
        <v>21</v>
      </c>
      <c r="B1421" s="4" t="s">
        <v>41</v>
      </c>
      <c r="C1421" s="4" t="s">
        <v>42</v>
      </c>
      <c r="D1421" s="4" t="s">
        <v>50</v>
      </c>
      <c r="E1421" s="4" t="s">
        <v>51</v>
      </c>
      <c r="F1421" s="4" t="s">
        <v>25</v>
      </c>
      <c r="G1421" s="4" t="s">
        <v>25</v>
      </c>
      <c r="H1421" s="4" t="s">
        <v>34</v>
      </c>
      <c r="I1421" s="5">
        <v>44501</v>
      </c>
      <c r="J1421" s="6">
        <v>0</v>
      </c>
      <c r="K1421" s="6">
        <v>0</v>
      </c>
      <c r="L1421" s="6">
        <v>201.191</v>
      </c>
      <c r="M1421" s="6">
        <v>189.11954</v>
      </c>
      <c r="N1421" s="6">
        <v>201.191</v>
      </c>
      <c r="O1421" s="6">
        <v>189.11954</v>
      </c>
      <c r="P1421" s="6">
        <v>0</v>
      </c>
      <c r="Q1421" s="4" t="s">
        <v>26</v>
      </c>
      <c r="R1421" s="4">
        <v>0</v>
      </c>
      <c r="S1421" s="4" t="s">
        <v>351</v>
      </c>
      <c r="T1421" s="4" t="s">
        <v>616</v>
      </c>
      <c r="U1421" s="4">
        <v>0</v>
      </c>
      <c r="V1421" s="4">
        <v>42</v>
      </c>
      <c r="W1421" s="4">
        <v>66</v>
      </c>
    </row>
    <row r="1422" spans="1:23" ht="11.25" customHeight="1" x14ac:dyDescent="0.25">
      <c r="A1422" s="4" t="s">
        <v>21</v>
      </c>
      <c r="B1422" s="4" t="s">
        <v>41</v>
      </c>
      <c r="C1422" s="4" t="s">
        <v>42</v>
      </c>
      <c r="D1422" s="4" t="s">
        <v>50</v>
      </c>
      <c r="E1422" s="4" t="s">
        <v>51</v>
      </c>
      <c r="F1422" s="4" t="s">
        <v>25</v>
      </c>
      <c r="G1422" s="4" t="s">
        <v>25</v>
      </c>
      <c r="H1422" s="4" t="s">
        <v>34</v>
      </c>
      <c r="I1422" s="5">
        <v>44531</v>
      </c>
      <c r="J1422" s="6">
        <v>0</v>
      </c>
      <c r="K1422" s="6">
        <v>0</v>
      </c>
      <c r="L1422" s="6">
        <v>204.17500000000001</v>
      </c>
      <c r="M1422" s="6">
        <v>191.92449999999999</v>
      </c>
      <c r="N1422" s="6">
        <v>204.17500000000001</v>
      </c>
      <c r="O1422" s="6">
        <v>191.92449999999999</v>
      </c>
      <c r="P1422" s="6">
        <v>0</v>
      </c>
      <c r="Q1422" s="4" t="s">
        <v>26</v>
      </c>
      <c r="R1422" s="4">
        <v>0</v>
      </c>
      <c r="S1422" s="4" t="s">
        <v>352</v>
      </c>
      <c r="T1422" s="4" t="s">
        <v>617</v>
      </c>
      <c r="U1422" s="4">
        <v>0</v>
      </c>
      <c r="V1422" s="4">
        <v>42</v>
      </c>
      <c r="W1422" s="4">
        <v>66</v>
      </c>
    </row>
    <row r="1423" spans="1:23" ht="11.25" customHeight="1" x14ac:dyDescent="0.25">
      <c r="A1423" s="4" t="s">
        <v>21</v>
      </c>
      <c r="B1423" s="4" t="s">
        <v>41</v>
      </c>
      <c r="C1423" s="4" t="s">
        <v>42</v>
      </c>
      <c r="D1423" s="4" t="s">
        <v>50</v>
      </c>
      <c r="E1423" s="4" t="s">
        <v>51</v>
      </c>
      <c r="F1423" s="4" t="s">
        <v>25</v>
      </c>
      <c r="G1423" s="4" t="s">
        <v>25</v>
      </c>
      <c r="H1423" s="4" t="s">
        <v>34</v>
      </c>
      <c r="I1423" s="5">
        <v>44562</v>
      </c>
      <c r="J1423" s="6">
        <v>0</v>
      </c>
      <c r="K1423" s="6">
        <v>0</v>
      </c>
      <c r="L1423" s="6">
        <v>219.00800000000001</v>
      </c>
      <c r="M1423" s="6">
        <v>205.86752000000001</v>
      </c>
      <c r="N1423" s="6">
        <v>219.00800000000001</v>
      </c>
      <c r="O1423" s="6">
        <v>205.86752000000001</v>
      </c>
      <c r="P1423" s="6">
        <v>0</v>
      </c>
      <c r="Q1423" s="4" t="s">
        <v>26</v>
      </c>
      <c r="R1423" s="4">
        <v>0</v>
      </c>
      <c r="S1423" s="4" t="s">
        <v>353</v>
      </c>
      <c r="T1423" s="4" t="s">
        <v>618</v>
      </c>
      <c r="U1423" s="4">
        <v>0</v>
      </c>
      <c r="V1423" s="4">
        <v>42</v>
      </c>
      <c r="W1423" s="4">
        <v>66</v>
      </c>
    </row>
    <row r="1424" spans="1:23" ht="11.25" customHeight="1" x14ac:dyDescent="0.25">
      <c r="A1424" s="4" t="s">
        <v>21</v>
      </c>
      <c r="B1424" s="4" t="s">
        <v>41</v>
      </c>
      <c r="C1424" s="4" t="s">
        <v>42</v>
      </c>
      <c r="D1424" s="4" t="s">
        <v>50</v>
      </c>
      <c r="E1424" s="4" t="s">
        <v>51</v>
      </c>
      <c r="F1424" s="4" t="s">
        <v>25</v>
      </c>
      <c r="G1424" s="4" t="s">
        <v>25</v>
      </c>
      <c r="H1424" s="4" t="s">
        <v>34</v>
      </c>
      <c r="I1424" s="5">
        <v>44593</v>
      </c>
      <c r="J1424" s="6">
        <v>0</v>
      </c>
      <c r="K1424" s="6">
        <v>0</v>
      </c>
      <c r="L1424" s="6">
        <v>195.251</v>
      </c>
      <c r="M1424" s="6">
        <v>183.53594000000001</v>
      </c>
      <c r="N1424" s="6">
        <v>195.251</v>
      </c>
      <c r="O1424" s="6">
        <v>183.53594000000001</v>
      </c>
      <c r="P1424" s="6">
        <v>0</v>
      </c>
      <c r="Q1424" s="4" t="s">
        <v>26</v>
      </c>
      <c r="R1424" s="4">
        <v>0</v>
      </c>
      <c r="S1424" s="4" t="s">
        <v>354</v>
      </c>
      <c r="T1424" s="4" t="s">
        <v>619</v>
      </c>
      <c r="U1424" s="4">
        <v>0</v>
      </c>
      <c r="V1424" s="4">
        <v>42</v>
      </c>
      <c r="W1424" s="4">
        <v>66</v>
      </c>
    </row>
    <row r="1425" spans="1:23" ht="11.25" customHeight="1" x14ac:dyDescent="0.25">
      <c r="A1425" s="4" t="s">
        <v>21</v>
      </c>
      <c r="B1425" s="4" t="s">
        <v>41</v>
      </c>
      <c r="C1425" s="4" t="s">
        <v>42</v>
      </c>
      <c r="D1425" s="4" t="s">
        <v>50</v>
      </c>
      <c r="E1425" s="4" t="s">
        <v>51</v>
      </c>
      <c r="F1425" s="4" t="s">
        <v>25</v>
      </c>
      <c r="G1425" s="4" t="s">
        <v>25</v>
      </c>
      <c r="H1425" s="4" t="s">
        <v>34</v>
      </c>
      <c r="I1425" s="5">
        <v>44621</v>
      </c>
      <c r="J1425" s="6">
        <v>0</v>
      </c>
      <c r="K1425" s="6">
        <v>0</v>
      </c>
      <c r="L1425" s="6">
        <v>192.36600000000001</v>
      </c>
      <c r="M1425" s="6">
        <v>180.82404</v>
      </c>
      <c r="N1425" s="6">
        <v>192.36600000000001</v>
      </c>
      <c r="O1425" s="6">
        <v>180.82404</v>
      </c>
      <c r="P1425" s="6">
        <v>0</v>
      </c>
      <c r="Q1425" s="4" t="s">
        <v>26</v>
      </c>
      <c r="R1425" s="4">
        <v>0</v>
      </c>
      <c r="S1425" s="4" t="s">
        <v>355</v>
      </c>
      <c r="T1425" s="4" t="s">
        <v>620</v>
      </c>
      <c r="U1425" s="4">
        <v>0</v>
      </c>
      <c r="V1425" s="4">
        <v>42</v>
      </c>
      <c r="W1425" s="4">
        <v>66</v>
      </c>
    </row>
    <row r="1426" spans="1:23" ht="11.25" customHeight="1" x14ac:dyDescent="0.25">
      <c r="A1426" s="4" t="s">
        <v>21</v>
      </c>
      <c r="B1426" s="4" t="s">
        <v>41</v>
      </c>
      <c r="C1426" s="4" t="s">
        <v>42</v>
      </c>
      <c r="D1426" s="4" t="s">
        <v>50</v>
      </c>
      <c r="E1426" s="4" t="s">
        <v>51</v>
      </c>
      <c r="F1426" s="4" t="s">
        <v>25</v>
      </c>
      <c r="G1426" s="4" t="s">
        <v>25</v>
      </c>
      <c r="H1426" s="4" t="s">
        <v>34</v>
      </c>
      <c r="I1426" s="5">
        <v>44652</v>
      </c>
      <c r="J1426" s="6">
        <v>0</v>
      </c>
      <c r="K1426" s="6">
        <v>0</v>
      </c>
      <c r="L1426" s="6">
        <v>197.28800000000001</v>
      </c>
      <c r="M1426" s="6">
        <v>185.45071999999999</v>
      </c>
      <c r="N1426" s="6">
        <v>197.28800000000001</v>
      </c>
      <c r="O1426" s="6">
        <v>185.45071999999999</v>
      </c>
      <c r="P1426" s="6">
        <v>0</v>
      </c>
      <c r="Q1426" s="4" t="s">
        <v>26</v>
      </c>
      <c r="R1426" s="4">
        <v>0</v>
      </c>
      <c r="S1426" s="4" t="s">
        <v>356</v>
      </c>
      <c r="T1426" s="4" t="s">
        <v>621</v>
      </c>
      <c r="U1426" s="4">
        <v>0</v>
      </c>
      <c r="V1426" s="4">
        <v>42</v>
      </c>
      <c r="W1426" s="4">
        <v>66</v>
      </c>
    </row>
    <row r="1427" spans="1:23" ht="11.25" customHeight="1" x14ac:dyDescent="0.25">
      <c r="A1427" s="4" t="s">
        <v>21</v>
      </c>
      <c r="B1427" s="4" t="s">
        <v>41</v>
      </c>
      <c r="C1427" s="4" t="s">
        <v>42</v>
      </c>
      <c r="D1427" s="4" t="s">
        <v>50</v>
      </c>
      <c r="E1427" s="4" t="s">
        <v>51</v>
      </c>
      <c r="F1427" s="4" t="s">
        <v>25</v>
      </c>
      <c r="G1427" s="4" t="s">
        <v>25</v>
      </c>
      <c r="H1427" s="4" t="s">
        <v>34</v>
      </c>
      <c r="I1427" s="5">
        <v>44682</v>
      </c>
      <c r="J1427" s="6">
        <v>0</v>
      </c>
      <c r="K1427" s="6">
        <v>0</v>
      </c>
      <c r="L1427" s="6">
        <v>209.20500000000001</v>
      </c>
      <c r="M1427" s="6">
        <v>196.65270000000001</v>
      </c>
      <c r="N1427" s="6">
        <v>209.20500000000001</v>
      </c>
      <c r="O1427" s="6">
        <v>196.65270000000001</v>
      </c>
      <c r="P1427" s="6">
        <v>0</v>
      </c>
      <c r="Q1427" s="4" t="s">
        <v>26</v>
      </c>
      <c r="R1427" s="4">
        <v>0</v>
      </c>
      <c r="S1427" s="4" t="s">
        <v>357</v>
      </c>
      <c r="T1427" s="4" t="s">
        <v>622</v>
      </c>
      <c r="U1427" s="4">
        <v>0</v>
      </c>
      <c r="V1427" s="4">
        <v>42</v>
      </c>
      <c r="W1427" s="4">
        <v>66</v>
      </c>
    </row>
    <row r="1428" spans="1:23" ht="11.25" customHeight="1" x14ac:dyDescent="0.25">
      <c r="A1428" s="4" t="s">
        <v>21</v>
      </c>
      <c r="B1428" s="4" t="s">
        <v>41</v>
      </c>
      <c r="C1428" s="4" t="s">
        <v>42</v>
      </c>
      <c r="D1428" s="4" t="s">
        <v>50</v>
      </c>
      <c r="E1428" s="4" t="s">
        <v>51</v>
      </c>
      <c r="F1428" s="4" t="s">
        <v>25</v>
      </c>
      <c r="G1428" s="4" t="s">
        <v>25</v>
      </c>
      <c r="H1428" s="4" t="s">
        <v>34</v>
      </c>
      <c r="I1428" s="5">
        <v>44713</v>
      </c>
      <c r="J1428" s="6">
        <v>0</v>
      </c>
      <c r="K1428" s="6">
        <v>0</v>
      </c>
      <c r="L1428" s="6">
        <v>214.83099999999999</v>
      </c>
      <c r="M1428" s="6">
        <v>201.94113999999999</v>
      </c>
      <c r="N1428" s="6">
        <v>214.83099999999999</v>
      </c>
      <c r="O1428" s="6">
        <v>201.94113999999999</v>
      </c>
      <c r="P1428" s="6">
        <v>0</v>
      </c>
      <c r="Q1428" s="4" t="s">
        <v>26</v>
      </c>
      <c r="R1428" s="4">
        <v>0</v>
      </c>
      <c r="S1428" s="4" t="s">
        <v>358</v>
      </c>
      <c r="T1428" s="4" t="s">
        <v>623</v>
      </c>
      <c r="U1428" s="4">
        <v>0</v>
      </c>
      <c r="V1428" s="4">
        <v>42</v>
      </c>
      <c r="W1428" s="4">
        <v>66</v>
      </c>
    </row>
    <row r="1429" spans="1:23" ht="11.25" customHeight="1" x14ac:dyDescent="0.25">
      <c r="A1429" s="4" t="s">
        <v>57</v>
      </c>
      <c r="B1429" s="4" t="s">
        <v>41</v>
      </c>
      <c r="C1429" s="4" t="s">
        <v>42</v>
      </c>
      <c r="D1429" s="4" t="s">
        <v>50</v>
      </c>
      <c r="E1429" s="4" t="s">
        <v>51</v>
      </c>
      <c r="F1429" s="4" t="s">
        <v>25</v>
      </c>
      <c r="G1429" s="4" t="s">
        <v>25</v>
      </c>
      <c r="H1429" s="4" t="s">
        <v>34</v>
      </c>
      <c r="I1429" s="5">
        <v>44743</v>
      </c>
      <c r="J1429" s="6">
        <v>0</v>
      </c>
      <c r="K1429" s="6">
        <v>0</v>
      </c>
      <c r="L1429" s="6">
        <v>214.83099999999999</v>
      </c>
      <c r="M1429" s="6">
        <v>201.94113999999999</v>
      </c>
      <c r="N1429" s="6">
        <v>214.83099999999999</v>
      </c>
      <c r="O1429" s="6">
        <v>201.94113999999999</v>
      </c>
      <c r="P1429" s="6">
        <v>0</v>
      </c>
      <c r="Q1429" s="4" t="s">
        <v>26</v>
      </c>
      <c r="R1429" s="4">
        <v>0</v>
      </c>
      <c r="S1429" s="4" t="s">
        <v>359</v>
      </c>
      <c r="T1429" s="4" t="s">
        <v>624</v>
      </c>
      <c r="U1429" s="4">
        <v>0</v>
      </c>
      <c r="V1429" s="4">
        <v>42</v>
      </c>
      <c r="W1429" s="4">
        <v>66</v>
      </c>
    </row>
    <row r="1430" spans="1:23" ht="11.25" customHeight="1" x14ac:dyDescent="0.25">
      <c r="A1430" s="4" t="s">
        <v>21</v>
      </c>
      <c r="B1430" s="4" t="s">
        <v>22</v>
      </c>
      <c r="C1430" s="4" t="s">
        <v>33</v>
      </c>
      <c r="D1430" s="4" t="s">
        <v>24</v>
      </c>
      <c r="E1430" s="4" t="s">
        <v>24</v>
      </c>
      <c r="F1430" s="4" t="s">
        <v>25</v>
      </c>
      <c r="G1430" s="4" t="s">
        <v>25</v>
      </c>
      <c r="H1430" s="4" t="s">
        <v>35</v>
      </c>
      <c r="I1430" s="5">
        <v>44409</v>
      </c>
      <c r="J1430" s="6">
        <v>0</v>
      </c>
      <c r="K1430" s="6">
        <v>0</v>
      </c>
      <c r="L1430" s="6">
        <v>103.961</v>
      </c>
      <c r="M1430" s="6">
        <v>103.961</v>
      </c>
      <c r="N1430" s="6">
        <v>103.961</v>
      </c>
      <c r="O1430" s="6">
        <v>103.961</v>
      </c>
      <c r="P1430" s="6">
        <v>0</v>
      </c>
      <c r="Q1430" s="4" t="s">
        <v>26</v>
      </c>
      <c r="R1430" s="4">
        <v>0</v>
      </c>
      <c r="S1430" s="4" t="s">
        <v>372</v>
      </c>
      <c r="T1430" s="4" t="s">
        <v>629</v>
      </c>
      <c r="U1430" s="4">
        <v>0</v>
      </c>
      <c r="V1430" s="4">
        <v>62</v>
      </c>
      <c r="W1430" s="4">
        <v>71</v>
      </c>
    </row>
    <row r="1431" spans="1:23" ht="11.25" customHeight="1" x14ac:dyDescent="0.25">
      <c r="A1431" s="4" t="s">
        <v>28</v>
      </c>
      <c r="B1431" s="4" t="s">
        <v>22</v>
      </c>
      <c r="C1431" s="4" t="s">
        <v>33</v>
      </c>
      <c r="D1431" s="4" t="s">
        <v>24</v>
      </c>
      <c r="E1431" s="4" t="s">
        <v>24</v>
      </c>
      <c r="F1431" s="4" t="s">
        <v>25</v>
      </c>
      <c r="G1431" s="4" t="s">
        <v>25</v>
      </c>
      <c r="H1431" s="4" t="s">
        <v>35</v>
      </c>
      <c r="I1431" s="5">
        <v>44409</v>
      </c>
      <c r="J1431" s="6">
        <v>0</v>
      </c>
      <c r="K1431" s="6">
        <v>0</v>
      </c>
      <c r="L1431" s="6">
        <v>0.13800000000000001</v>
      </c>
      <c r="M1431" s="6">
        <v>0.13800000000000001</v>
      </c>
      <c r="N1431" s="6">
        <v>0.13800000000000001</v>
      </c>
      <c r="O1431" s="6">
        <v>0.13800000000000001</v>
      </c>
      <c r="P1431" s="6">
        <v>0</v>
      </c>
      <c r="Q1431" s="4" t="s">
        <v>26</v>
      </c>
      <c r="R1431" s="4">
        <v>0</v>
      </c>
      <c r="S1431" s="4" t="s">
        <v>372</v>
      </c>
      <c r="T1431" s="4" t="s">
        <v>629</v>
      </c>
      <c r="U1431" s="4">
        <v>0</v>
      </c>
      <c r="V1431" s="4">
        <v>62</v>
      </c>
      <c r="W1431" s="4">
        <v>71</v>
      </c>
    </row>
    <row r="1432" spans="1:23" ht="11.25" customHeight="1" x14ac:dyDescent="0.25">
      <c r="A1432" s="4" t="s">
        <v>21</v>
      </c>
      <c r="B1432" s="4" t="s">
        <v>22</v>
      </c>
      <c r="C1432" s="4" t="s">
        <v>33</v>
      </c>
      <c r="D1432" s="4" t="s">
        <v>24</v>
      </c>
      <c r="E1432" s="4" t="s">
        <v>24</v>
      </c>
      <c r="F1432" s="4" t="s">
        <v>25</v>
      </c>
      <c r="G1432" s="4" t="s">
        <v>25</v>
      </c>
      <c r="H1432" s="4" t="s">
        <v>35</v>
      </c>
      <c r="I1432" s="5">
        <v>44440</v>
      </c>
      <c r="J1432" s="6">
        <v>0</v>
      </c>
      <c r="K1432" s="6">
        <v>0</v>
      </c>
      <c r="L1432" s="6">
        <v>103.15300000000001</v>
      </c>
      <c r="M1432" s="6">
        <v>103.15300000000001</v>
      </c>
      <c r="N1432" s="6">
        <v>103.15300000000001</v>
      </c>
      <c r="O1432" s="6">
        <v>103.15300000000001</v>
      </c>
      <c r="P1432" s="6">
        <v>0</v>
      </c>
      <c r="Q1432" s="4" t="s">
        <v>26</v>
      </c>
      <c r="R1432" s="4">
        <v>0</v>
      </c>
      <c r="S1432" s="4" t="s">
        <v>373</v>
      </c>
      <c r="T1432" s="4" t="s">
        <v>630</v>
      </c>
      <c r="U1432" s="4">
        <v>0</v>
      </c>
      <c r="V1432" s="4">
        <v>62</v>
      </c>
      <c r="W1432" s="4">
        <v>71</v>
      </c>
    </row>
    <row r="1433" spans="1:23" ht="11.25" customHeight="1" x14ac:dyDescent="0.25">
      <c r="A1433" s="4" t="s">
        <v>28</v>
      </c>
      <c r="B1433" s="4" t="s">
        <v>22</v>
      </c>
      <c r="C1433" s="4" t="s">
        <v>33</v>
      </c>
      <c r="D1433" s="4" t="s">
        <v>24</v>
      </c>
      <c r="E1433" s="4" t="s">
        <v>24</v>
      </c>
      <c r="F1433" s="4" t="s">
        <v>25</v>
      </c>
      <c r="G1433" s="4" t="s">
        <v>25</v>
      </c>
      <c r="H1433" s="4" t="s">
        <v>35</v>
      </c>
      <c r="I1433" s="5">
        <v>44440</v>
      </c>
      <c r="J1433" s="6">
        <v>0</v>
      </c>
      <c r="K1433" s="6">
        <v>0</v>
      </c>
      <c r="L1433" s="6">
        <v>0.25700000000000001</v>
      </c>
      <c r="M1433" s="6">
        <v>0.25700000000000001</v>
      </c>
      <c r="N1433" s="6">
        <v>0.25700000000000001</v>
      </c>
      <c r="O1433" s="6">
        <v>0.25700000000000001</v>
      </c>
      <c r="P1433" s="6">
        <v>0</v>
      </c>
      <c r="Q1433" s="4" t="s">
        <v>26</v>
      </c>
      <c r="R1433" s="4">
        <v>0</v>
      </c>
      <c r="S1433" s="4" t="s">
        <v>373</v>
      </c>
      <c r="T1433" s="4" t="s">
        <v>630</v>
      </c>
      <c r="U1433" s="4">
        <v>0</v>
      </c>
      <c r="V1433" s="4">
        <v>62</v>
      </c>
      <c r="W1433" s="4">
        <v>71</v>
      </c>
    </row>
    <row r="1434" spans="1:23" ht="11.25" customHeight="1" x14ac:dyDescent="0.25">
      <c r="A1434" s="4" t="s">
        <v>21</v>
      </c>
      <c r="B1434" s="4" t="s">
        <v>22</v>
      </c>
      <c r="C1434" s="4" t="s">
        <v>33</v>
      </c>
      <c r="D1434" s="4" t="s">
        <v>24</v>
      </c>
      <c r="E1434" s="4" t="s">
        <v>24</v>
      </c>
      <c r="F1434" s="4" t="s">
        <v>25</v>
      </c>
      <c r="G1434" s="4" t="s">
        <v>25</v>
      </c>
      <c r="H1434" s="4" t="s">
        <v>35</v>
      </c>
      <c r="I1434" s="5">
        <v>44470</v>
      </c>
      <c r="J1434" s="6">
        <v>0</v>
      </c>
      <c r="K1434" s="6">
        <v>0</v>
      </c>
      <c r="L1434" s="6">
        <v>116.256</v>
      </c>
      <c r="M1434" s="6">
        <v>116.256</v>
      </c>
      <c r="N1434" s="6">
        <v>116.256</v>
      </c>
      <c r="O1434" s="6">
        <v>116.256</v>
      </c>
      <c r="P1434" s="6">
        <v>0</v>
      </c>
      <c r="Q1434" s="4" t="s">
        <v>26</v>
      </c>
      <c r="R1434" s="4">
        <v>0</v>
      </c>
      <c r="S1434" s="4" t="s">
        <v>374</v>
      </c>
      <c r="T1434" s="4" t="s">
        <v>631</v>
      </c>
      <c r="U1434" s="4">
        <v>0</v>
      </c>
      <c r="V1434" s="4">
        <v>62</v>
      </c>
      <c r="W1434" s="4">
        <v>71</v>
      </c>
    </row>
    <row r="1435" spans="1:23" ht="11.25" customHeight="1" x14ac:dyDescent="0.25">
      <c r="A1435" s="4" t="s">
        <v>28</v>
      </c>
      <c r="B1435" s="4" t="s">
        <v>22</v>
      </c>
      <c r="C1435" s="4" t="s">
        <v>33</v>
      </c>
      <c r="D1435" s="4" t="s">
        <v>24</v>
      </c>
      <c r="E1435" s="4" t="s">
        <v>24</v>
      </c>
      <c r="F1435" s="4" t="s">
        <v>25</v>
      </c>
      <c r="G1435" s="4" t="s">
        <v>25</v>
      </c>
      <c r="H1435" s="4" t="s">
        <v>35</v>
      </c>
      <c r="I1435" s="5">
        <v>44470</v>
      </c>
      <c r="J1435" s="6">
        <v>0</v>
      </c>
      <c r="K1435" s="6">
        <v>0</v>
      </c>
      <c r="L1435" s="6">
        <v>0.47899999999999998</v>
      </c>
      <c r="M1435" s="6">
        <v>0.47899999999999998</v>
      </c>
      <c r="N1435" s="6">
        <v>0.47899999999999998</v>
      </c>
      <c r="O1435" s="6">
        <v>0.47899999999999998</v>
      </c>
      <c r="P1435" s="6">
        <v>0</v>
      </c>
      <c r="Q1435" s="4" t="s">
        <v>26</v>
      </c>
      <c r="R1435" s="4">
        <v>0</v>
      </c>
      <c r="S1435" s="4" t="s">
        <v>374</v>
      </c>
      <c r="T1435" s="4" t="s">
        <v>631</v>
      </c>
      <c r="U1435" s="4">
        <v>0</v>
      </c>
      <c r="V1435" s="4">
        <v>62</v>
      </c>
      <c r="W1435" s="4">
        <v>71</v>
      </c>
    </row>
    <row r="1436" spans="1:23" ht="11.25" customHeight="1" x14ac:dyDescent="0.25">
      <c r="A1436" s="4" t="s">
        <v>21</v>
      </c>
      <c r="B1436" s="4" t="s">
        <v>22</v>
      </c>
      <c r="C1436" s="4" t="s">
        <v>33</v>
      </c>
      <c r="D1436" s="4" t="s">
        <v>24</v>
      </c>
      <c r="E1436" s="4" t="s">
        <v>24</v>
      </c>
      <c r="F1436" s="4" t="s">
        <v>25</v>
      </c>
      <c r="G1436" s="4" t="s">
        <v>25</v>
      </c>
      <c r="H1436" s="4" t="s">
        <v>35</v>
      </c>
      <c r="I1436" s="5">
        <v>44501</v>
      </c>
      <c r="J1436" s="6">
        <v>0</v>
      </c>
      <c r="K1436" s="6">
        <v>0</v>
      </c>
      <c r="L1436" s="6">
        <v>116.01</v>
      </c>
      <c r="M1436" s="6">
        <v>116.01</v>
      </c>
      <c r="N1436" s="6">
        <v>116.01</v>
      </c>
      <c r="O1436" s="6">
        <v>116.01</v>
      </c>
      <c r="P1436" s="6">
        <v>0</v>
      </c>
      <c r="Q1436" s="4" t="s">
        <v>26</v>
      </c>
      <c r="R1436" s="4">
        <v>0</v>
      </c>
      <c r="S1436" s="4" t="s">
        <v>375</v>
      </c>
      <c r="T1436" s="4" t="s">
        <v>632</v>
      </c>
      <c r="U1436" s="4">
        <v>0</v>
      </c>
      <c r="V1436" s="4">
        <v>62</v>
      </c>
      <c r="W1436" s="4">
        <v>71</v>
      </c>
    </row>
    <row r="1437" spans="1:23" ht="11.25" customHeight="1" x14ac:dyDescent="0.25">
      <c r="A1437" s="4" t="s">
        <v>27</v>
      </c>
      <c r="B1437" s="4" t="s">
        <v>22</v>
      </c>
      <c r="C1437" s="4" t="s">
        <v>33</v>
      </c>
      <c r="D1437" s="4" t="s">
        <v>24</v>
      </c>
      <c r="E1437" s="4" t="s">
        <v>24</v>
      </c>
      <c r="F1437" s="4" t="s">
        <v>25</v>
      </c>
      <c r="G1437" s="4" t="s">
        <v>25</v>
      </c>
      <c r="H1437" s="4" t="s">
        <v>35</v>
      </c>
      <c r="I1437" s="5">
        <v>44501</v>
      </c>
      <c r="J1437" s="6">
        <v>0</v>
      </c>
      <c r="K1437" s="6">
        <v>0</v>
      </c>
      <c r="L1437" s="6">
        <v>0.254</v>
      </c>
      <c r="M1437" s="6">
        <v>0.254</v>
      </c>
      <c r="N1437" s="6">
        <v>0.254</v>
      </c>
      <c r="O1437" s="6">
        <v>0.254</v>
      </c>
      <c r="P1437" s="6">
        <v>0</v>
      </c>
      <c r="Q1437" s="4" t="s">
        <v>26</v>
      </c>
      <c r="R1437" s="4">
        <v>0</v>
      </c>
      <c r="S1437" s="4" t="s">
        <v>375</v>
      </c>
      <c r="T1437" s="4" t="s">
        <v>632</v>
      </c>
      <c r="U1437" s="4">
        <v>0</v>
      </c>
      <c r="V1437" s="4">
        <v>62</v>
      </c>
      <c r="W1437" s="4">
        <v>71</v>
      </c>
    </row>
    <row r="1438" spans="1:23" ht="11.25" customHeight="1" x14ac:dyDescent="0.25">
      <c r="A1438" s="4" t="s">
        <v>28</v>
      </c>
      <c r="B1438" s="4" t="s">
        <v>22</v>
      </c>
      <c r="C1438" s="4" t="s">
        <v>33</v>
      </c>
      <c r="D1438" s="4" t="s">
        <v>24</v>
      </c>
      <c r="E1438" s="4" t="s">
        <v>24</v>
      </c>
      <c r="F1438" s="4" t="s">
        <v>25</v>
      </c>
      <c r="G1438" s="4" t="s">
        <v>25</v>
      </c>
      <c r="H1438" s="4" t="s">
        <v>35</v>
      </c>
      <c r="I1438" s="5">
        <v>44501</v>
      </c>
      <c r="J1438" s="6">
        <v>0</v>
      </c>
      <c r="K1438" s="6">
        <v>0</v>
      </c>
      <c r="L1438" s="6">
        <v>4.2770000000000001</v>
      </c>
      <c r="M1438" s="6">
        <v>4.2770000000000001</v>
      </c>
      <c r="N1438" s="6">
        <v>4.2770000000000001</v>
      </c>
      <c r="O1438" s="6">
        <v>4.2770000000000001</v>
      </c>
      <c r="P1438" s="6">
        <v>0</v>
      </c>
      <c r="Q1438" s="4" t="s">
        <v>26</v>
      </c>
      <c r="R1438" s="4">
        <v>0</v>
      </c>
      <c r="S1438" s="4" t="s">
        <v>375</v>
      </c>
      <c r="T1438" s="4" t="s">
        <v>632</v>
      </c>
      <c r="U1438" s="4">
        <v>0</v>
      </c>
      <c r="V1438" s="4">
        <v>62</v>
      </c>
      <c r="W1438" s="4">
        <v>71</v>
      </c>
    </row>
    <row r="1439" spans="1:23" ht="11.25" customHeight="1" x14ac:dyDescent="0.25">
      <c r="A1439" s="4" t="s">
        <v>21</v>
      </c>
      <c r="B1439" s="4" t="s">
        <v>22</v>
      </c>
      <c r="C1439" s="4" t="s">
        <v>33</v>
      </c>
      <c r="D1439" s="4" t="s">
        <v>24</v>
      </c>
      <c r="E1439" s="4" t="s">
        <v>24</v>
      </c>
      <c r="F1439" s="4" t="s">
        <v>25</v>
      </c>
      <c r="G1439" s="4" t="s">
        <v>25</v>
      </c>
      <c r="H1439" s="4" t="s">
        <v>35</v>
      </c>
      <c r="I1439" s="5">
        <v>44531</v>
      </c>
      <c r="J1439" s="6">
        <v>0</v>
      </c>
      <c r="K1439" s="6">
        <v>0</v>
      </c>
      <c r="L1439" s="6">
        <v>140.398</v>
      </c>
      <c r="M1439" s="6">
        <v>140.398</v>
      </c>
      <c r="N1439" s="6">
        <v>140.398</v>
      </c>
      <c r="O1439" s="6">
        <v>140.398</v>
      </c>
      <c r="P1439" s="6">
        <v>0</v>
      </c>
      <c r="Q1439" s="4" t="s">
        <v>26</v>
      </c>
      <c r="R1439" s="4">
        <v>0</v>
      </c>
      <c r="S1439" s="4" t="s">
        <v>376</v>
      </c>
      <c r="T1439" s="4" t="s">
        <v>633</v>
      </c>
      <c r="U1439" s="4">
        <v>0</v>
      </c>
      <c r="V1439" s="4">
        <v>62</v>
      </c>
      <c r="W1439" s="4">
        <v>71</v>
      </c>
    </row>
    <row r="1440" spans="1:23" ht="11.25" customHeight="1" x14ac:dyDescent="0.25">
      <c r="A1440" s="4" t="s">
        <v>27</v>
      </c>
      <c r="B1440" s="4" t="s">
        <v>22</v>
      </c>
      <c r="C1440" s="4" t="s">
        <v>33</v>
      </c>
      <c r="D1440" s="4" t="s">
        <v>24</v>
      </c>
      <c r="E1440" s="4" t="s">
        <v>24</v>
      </c>
      <c r="F1440" s="4" t="s">
        <v>25</v>
      </c>
      <c r="G1440" s="4" t="s">
        <v>25</v>
      </c>
      <c r="H1440" s="4" t="s">
        <v>35</v>
      </c>
      <c r="I1440" s="5">
        <v>44531</v>
      </c>
      <c r="J1440" s="6">
        <v>0</v>
      </c>
      <c r="K1440" s="6">
        <v>0</v>
      </c>
      <c r="L1440" s="6">
        <v>9.9000000000000005E-2</v>
      </c>
      <c r="M1440" s="6">
        <v>9.9000000000000005E-2</v>
      </c>
      <c r="N1440" s="6">
        <v>9.9000000000000005E-2</v>
      </c>
      <c r="O1440" s="6">
        <v>9.9000000000000005E-2</v>
      </c>
      <c r="P1440" s="6">
        <v>0</v>
      </c>
      <c r="Q1440" s="4" t="s">
        <v>26</v>
      </c>
      <c r="R1440" s="4">
        <v>0</v>
      </c>
      <c r="S1440" s="4" t="s">
        <v>376</v>
      </c>
      <c r="T1440" s="4" t="s">
        <v>633</v>
      </c>
      <c r="U1440" s="4">
        <v>0</v>
      </c>
      <c r="V1440" s="4">
        <v>62</v>
      </c>
      <c r="W1440" s="4">
        <v>71</v>
      </c>
    </row>
    <row r="1441" spans="1:23" ht="11.25" customHeight="1" x14ac:dyDescent="0.25">
      <c r="A1441" s="4" t="s">
        <v>28</v>
      </c>
      <c r="B1441" s="4" t="s">
        <v>22</v>
      </c>
      <c r="C1441" s="4" t="s">
        <v>33</v>
      </c>
      <c r="D1441" s="4" t="s">
        <v>24</v>
      </c>
      <c r="E1441" s="4" t="s">
        <v>24</v>
      </c>
      <c r="F1441" s="4" t="s">
        <v>25</v>
      </c>
      <c r="G1441" s="4" t="s">
        <v>25</v>
      </c>
      <c r="H1441" s="4" t="s">
        <v>35</v>
      </c>
      <c r="I1441" s="5">
        <v>44531</v>
      </c>
      <c r="J1441" s="6">
        <v>0</v>
      </c>
      <c r="K1441" s="6">
        <v>0</v>
      </c>
      <c r="L1441" s="6">
        <v>5.883</v>
      </c>
      <c r="M1441" s="6">
        <v>5.883</v>
      </c>
      <c r="N1441" s="6">
        <v>5.883</v>
      </c>
      <c r="O1441" s="6">
        <v>5.883</v>
      </c>
      <c r="P1441" s="6">
        <v>0</v>
      </c>
      <c r="Q1441" s="4" t="s">
        <v>26</v>
      </c>
      <c r="R1441" s="4">
        <v>0</v>
      </c>
      <c r="S1441" s="4" t="s">
        <v>376</v>
      </c>
      <c r="T1441" s="4" t="s">
        <v>633</v>
      </c>
      <c r="U1441" s="4">
        <v>0</v>
      </c>
      <c r="V1441" s="4">
        <v>62</v>
      </c>
      <c r="W1441" s="4">
        <v>71</v>
      </c>
    </row>
    <row r="1442" spans="1:23" ht="11.25" customHeight="1" x14ac:dyDescent="0.25">
      <c r="A1442" s="4" t="s">
        <v>21</v>
      </c>
      <c r="B1442" s="4" t="s">
        <v>22</v>
      </c>
      <c r="C1442" s="4" t="s">
        <v>33</v>
      </c>
      <c r="D1442" s="4" t="s">
        <v>24</v>
      </c>
      <c r="E1442" s="4" t="s">
        <v>24</v>
      </c>
      <c r="F1442" s="4" t="s">
        <v>25</v>
      </c>
      <c r="G1442" s="4" t="s">
        <v>25</v>
      </c>
      <c r="H1442" s="4" t="s">
        <v>35</v>
      </c>
      <c r="I1442" s="5">
        <v>44562</v>
      </c>
      <c r="J1442" s="6">
        <v>0</v>
      </c>
      <c r="K1442" s="6">
        <v>0</v>
      </c>
      <c r="L1442" s="6">
        <v>124.02</v>
      </c>
      <c r="M1442" s="6">
        <v>124.02</v>
      </c>
      <c r="N1442" s="6">
        <v>124.02</v>
      </c>
      <c r="O1442" s="6">
        <v>124.02</v>
      </c>
      <c r="P1442" s="6">
        <v>0</v>
      </c>
      <c r="Q1442" s="4" t="s">
        <v>26</v>
      </c>
      <c r="R1442" s="4">
        <v>0</v>
      </c>
      <c r="S1442" s="4" t="s">
        <v>377</v>
      </c>
      <c r="T1442" s="4" t="s">
        <v>634</v>
      </c>
      <c r="U1442" s="4">
        <v>0</v>
      </c>
      <c r="V1442" s="4">
        <v>62</v>
      </c>
      <c r="W1442" s="4">
        <v>71</v>
      </c>
    </row>
    <row r="1443" spans="1:23" ht="11.25" customHeight="1" x14ac:dyDescent="0.25">
      <c r="A1443" s="4" t="s">
        <v>27</v>
      </c>
      <c r="B1443" s="4" t="s">
        <v>22</v>
      </c>
      <c r="C1443" s="4" t="s">
        <v>33</v>
      </c>
      <c r="D1443" s="4" t="s">
        <v>24</v>
      </c>
      <c r="E1443" s="4" t="s">
        <v>24</v>
      </c>
      <c r="F1443" s="4" t="s">
        <v>25</v>
      </c>
      <c r="G1443" s="4" t="s">
        <v>25</v>
      </c>
      <c r="H1443" s="4" t="s">
        <v>35</v>
      </c>
      <c r="I1443" s="5">
        <v>44562</v>
      </c>
      <c r="J1443" s="6">
        <v>0</v>
      </c>
      <c r="K1443" s="6">
        <v>0</v>
      </c>
      <c r="L1443" s="6">
        <v>-5.6459999999999999</v>
      </c>
      <c r="M1443" s="6">
        <v>-5.6459999999999999</v>
      </c>
      <c r="N1443" s="6">
        <v>-5.6459999999999999</v>
      </c>
      <c r="O1443" s="6">
        <v>-5.6459999999999999</v>
      </c>
      <c r="P1443" s="6">
        <v>0</v>
      </c>
      <c r="Q1443" s="4" t="s">
        <v>26</v>
      </c>
      <c r="R1443" s="4">
        <v>0</v>
      </c>
      <c r="S1443" s="4" t="s">
        <v>377</v>
      </c>
      <c r="T1443" s="4" t="s">
        <v>634</v>
      </c>
      <c r="U1443" s="4">
        <v>0</v>
      </c>
      <c r="V1443" s="4">
        <v>62</v>
      </c>
      <c r="W1443" s="4">
        <v>71</v>
      </c>
    </row>
    <row r="1444" spans="1:23" ht="11.25" customHeight="1" x14ac:dyDescent="0.25">
      <c r="A1444" s="4" t="s">
        <v>28</v>
      </c>
      <c r="B1444" s="4" t="s">
        <v>22</v>
      </c>
      <c r="C1444" s="4" t="s">
        <v>33</v>
      </c>
      <c r="D1444" s="4" t="s">
        <v>24</v>
      </c>
      <c r="E1444" s="4" t="s">
        <v>24</v>
      </c>
      <c r="F1444" s="4" t="s">
        <v>25</v>
      </c>
      <c r="G1444" s="4" t="s">
        <v>25</v>
      </c>
      <c r="H1444" s="4" t="s">
        <v>35</v>
      </c>
      <c r="I1444" s="5">
        <v>44562</v>
      </c>
      <c r="J1444" s="6">
        <v>0</v>
      </c>
      <c r="K1444" s="6">
        <v>0</v>
      </c>
      <c r="L1444" s="6">
        <v>2.4710000000000001</v>
      </c>
      <c r="M1444" s="6">
        <v>2.4710000000000001</v>
      </c>
      <c r="N1444" s="6">
        <v>2.4710000000000001</v>
      </c>
      <c r="O1444" s="6">
        <v>2.4710000000000001</v>
      </c>
      <c r="P1444" s="6">
        <v>0</v>
      </c>
      <c r="Q1444" s="4" t="s">
        <v>26</v>
      </c>
      <c r="R1444" s="4">
        <v>0</v>
      </c>
      <c r="S1444" s="4" t="s">
        <v>377</v>
      </c>
      <c r="T1444" s="4" t="s">
        <v>634</v>
      </c>
      <c r="U1444" s="4">
        <v>0</v>
      </c>
      <c r="V1444" s="4">
        <v>62</v>
      </c>
      <c r="W1444" s="4">
        <v>71</v>
      </c>
    </row>
    <row r="1445" spans="1:23" ht="11.25" customHeight="1" x14ac:dyDescent="0.25">
      <c r="A1445" s="4" t="s">
        <v>28</v>
      </c>
      <c r="B1445" s="4" t="s">
        <v>22</v>
      </c>
      <c r="C1445" s="4" t="s">
        <v>33</v>
      </c>
      <c r="D1445" s="4" t="s">
        <v>24</v>
      </c>
      <c r="E1445" s="4" t="s">
        <v>24</v>
      </c>
      <c r="F1445" s="4" t="s">
        <v>25</v>
      </c>
      <c r="G1445" s="4" t="s">
        <v>25</v>
      </c>
      <c r="H1445" s="4" t="s">
        <v>35</v>
      </c>
      <c r="I1445" s="5">
        <v>44562</v>
      </c>
      <c r="J1445" s="6">
        <v>0</v>
      </c>
      <c r="K1445" s="6">
        <v>0</v>
      </c>
      <c r="L1445" s="6">
        <v>-2.6749999999999998</v>
      </c>
      <c r="M1445" s="6">
        <v>-2.6749999999999998</v>
      </c>
      <c r="N1445" s="6">
        <v>-2.6749999999999998</v>
      </c>
      <c r="O1445" s="6">
        <v>-2.6749999999999998</v>
      </c>
      <c r="P1445" s="6">
        <v>0</v>
      </c>
      <c r="Q1445" s="4" t="s">
        <v>26</v>
      </c>
      <c r="R1445" s="4">
        <v>0</v>
      </c>
      <c r="S1445" s="4" t="s">
        <v>377</v>
      </c>
      <c r="T1445" s="4" t="s">
        <v>634</v>
      </c>
      <c r="U1445" s="4">
        <v>0</v>
      </c>
      <c r="V1445" s="4">
        <v>62</v>
      </c>
      <c r="W1445" s="4">
        <v>71</v>
      </c>
    </row>
    <row r="1446" spans="1:23" ht="11.25" customHeight="1" x14ac:dyDescent="0.25">
      <c r="A1446" s="4" t="s">
        <v>21</v>
      </c>
      <c r="B1446" s="4" t="s">
        <v>22</v>
      </c>
      <c r="C1446" s="4" t="s">
        <v>33</v>
      </c>
      <c r="D1446" s="4" t="s">
        <v>24</v>
      </c>
      <c r="E1446" s="4" t="s">
        <v>24</v>
      </c>
      <c r="F1446" s="4" t="s">
        <v>25</v>
      </c>
      <c r="G1446" s="4" t="s">
        <v>25</v>
      </c>
      <c r="H1446" s="4" t="s">
        <v>35</v>
      </c>
      <c r="I1446" s="5">
        <v>44593</v>
      </c>
      <c r="J1446" s="6">
        <v>0</v>
      </c>
      <c r="K1446" s="6">
        <v>0</v>
      </c>
      <c r="L1446" s="6">
        <v>113.831</v>
      </c>
      <c r="M1446" s="6">
        <v>113.831</v>
      </c>
      <c r="N1446" s="6">
        <v>113.831</v>
      </c>
      <c r="O1446" s="6">
        <v>113.831</v>
      </c>
      <c r="P1446" s="6">
        <v>0</v>
      </c>
      <c r="Q1446" s="4" t="s">
        <v>26</v>
      </c>
      <c r="R1446" s="4">
        <v>0</v>
      </c>
      <c r="S1446" s="4" t="s">
        <v>378</v>
      </c>
      <c r="T1446" s="4" t="s">
        <v>635</v>
      </c>
      <c r="U1446" s="4">
        <v>0</v>
      </c>
      <c r="V1446" s="4">
        <v>62</v>
      </c>
      <c r="W1446" s="4">
        <v>71</v>
      </c>
    </row>
    <row r="1447" spans="1:23" ht="11.25" customHeight="1" x14ac:dyDescent="0.25">
      <c r="A1447" s="4" t="s">
        <v>28</v>
      </c>
      <c r="B1447" s="4" t="s">
        <v>22</v>
      </c>
      <c r="C1447" s="4" t="s">
        <v>33</v>
      </c>
      <c r="D1447" s="4" t="s">
        <v>24</v>
      </c>
      <c r="E1447" s="4" t="s">
        <v>24</v>
      </c>
      <c r="F1447" s="4" t="s">
        <v>25</v>
      </c>
      <c r="G1447" s="4" t="s">
        <v>25</v>
      </c>
      <c r="H1447" s="4" t="s">
        <v>35</v>
      </c>
      <c r="I1447" s="5">
        <v>44593</v>
      </c>
      <c r="J1447" s="6">
        <v>0</v>
      </c>
      <c r="K1447" s="6">
        <v>0</v>
      </c>
      <c r="L1447" s="6">
        <v>2.464</v>
      </c>
      <c r="M1447" s="6">
        <v>2.464</v>
      </c>
      <c r="N1447" s="6">
        <v>2.464</v>
      </c>
      <c r="O1447" s="6">
        <v>2.464</v>
      </c>
      <c r="P1447" s="6">
        <v>0</v>
      </c>
      <c r="Q1447" s="4" t="s">
        <v>26</v>
      </c>
      <c r="R1447" s="4">
        <v>0</v>
      </c>
      <c r="S1447" s="4" t="s">
        <v>378</v>
      </c>
      <c r="T1447" s="4" t="s">
        <v>635</v>
      </c>
      <c r="U1447" s="4">
        <v>0</v>
      </c>
      <c r="V1447" s="4">
        <v>62</v>
      </c>
      <c r="W1447" s="4">
        <v>71</v>
      </c>
    </row>
    <row r="1448" spans="1:23" ht="11.25" customHeight="1" x14ac:dyDescent="0.25">
      <c r="A1448" s="4" t="s">
        <v>28</v>
      </c>
      <c r="B1448" s="4" t="s">
        <v>22</v>
      </c>
      <c r="C1448" s="4" t="s">
        <v>33</v>
      </c>
      <c r="D1448" s="4" t="s">
        <v>24</v>
      </c>
      <c r="E1448" s="4" t="s">
        <v>24</v>
      </c>
      <c r="F1448" s="4" t="s">
        <v>25</v>
      </c>
      <c r="G1448" s="4" t="s">
        <v>25</v>
      </c>
      <c r="H1448" s="4" t="s">
        <v>35</v>
      </c>
      <c r="I1448" s="5">
        <v>44593</v>
      </c>
      <c r="J1448" s="6">
        <v>0</v>
      </c>
      <c r="K1448" s="6">
        <v>0</v>
      </c>
      <c r="L1448" s="6">
        <v>-0.36599999999999999</v>
      </c>
      <c r="M1448" s="6">
        <v>-0.36599999999999999</v>
      </c>
      <c r="N1448" s="6">
        <v>-0.36599999999999999</v>
      </c>
      <c r="O1448" s="6">
        <v>-0.36599999999999999</v>
      </c>
      <c r="P1448" s="6">
        <v>0</v>
      </c>
      <c r="Q1448" s="4" t="s">
        <v>26</v>
      </c>
      <c r="R1448" s="4">
        <v>0</v>
      </c>
      <c r="S1448" s="4" t="s">
        <v>378</v>
      </c>
      <c r="T1448" s="4" t="s">
        <v>635</v>
      </c>
      <c r="U1448" s="4">
        <v>0</v>
      </c>
      <c r="V1448" s="4">
        <v>62</v>
      </c>
      <c r="W1448" s="4">
        <v>71</v>
      </c>
    </row>
    <row r="1449" spans="1:23" ht="11.25" customHeight="1" x14ac:dyDescent="0.25">
      <c r="A1449" s="4" t="s">
        <v>21</v>
      </c>
      <c r="B1449" s="4" t="s">
        <v>22</v>
      </c>
      <c r="C1449" s="4" t="s">
        <v>33</v>
      </c>
      <c r="D1449" s="4" t="s">
        <v>24</v>
      </c>
      <c r="E1449" s="4" t="s">
        <v>24</v>
      </c>
      <c r="F1449" s="4" t="s">
        <v>25</v>
      </c>
      <c r="G1449" s="4" t="s">
        <v>25</v>
      </c>
      <c r="H1449" s="4" t="s">
        <v>35</v>
      </c>
      <c r="I1449" s="5">
        <v>44621</v>
      </c>
      <c r="J1449" s="6">
        <v>0</v>
      </c>
      <c r="K1449" s="6">
        <v>0</v>
      </c>
      <c r="L1449" s="6">
        <v>120.83499999999999</v>
      </c>
      <c r="M1449" s="6">
        <v>120.83499999999999</v>
      </c>
      <c r="N1449" s="6">
        <v>120.83499999999999</v>
      </c>
      <c r="O1449" s="6">
        <v>120.83499999999999</v>
      </c>
      <c r="P1449" s="6">
        <v>0</v>
      </c>
      <c r="Q1449" s="4" t="s">
        <v>26</v>
      </c>
      <c r="R1449" s="4">
        <v>0</v>
      </c>
      <c r="S1449" s="4" t="s">
        <v>379</v>
      </c>
      <c r="T1449" s="4" t="s">
        <v>636</v>
      </c>
      <c r="U1449" s="4">
        <v>0</v>
      </c>
      <c r="V1449" s="4">
        <v>62</v>
      </c>
      <c r="W1449" s="4">
        <v>71</v>
      </c>
    </row>
    <row r="1450" spans="1:23" ht="11.25" customHeight="1" x14ac:dyDescent="0.25">
      <c r="A1450" s="4" t="s">
        <v>28</v>
      </c>
      <c r="B1450" s="4" t="s">
        <v>22</v>
      </c>
      <c r="C1450" s="4" t="s">
        <v>33</v>
      </c>
      <c r="D1450" s="4" t="s">
        <v>24</v>
      </c>
      <c r="E1450" s="4" t="s">
        <v>24</v>
      </c>
      <c r="F1450" s="4" t="s">
        <v>25</v>
      </c>
      <c r="G1450" s="4" t="s">
        <v>25</v>
      </c>
      <c r="H1450" s="4" t="s">
        <v>35</v>
      </c>
      <c r="I1450" s="5">
        <v>44621</v>
      </c>
      <c r="J1450" s="6">
        <v>0</v>
      </c>
      <c r="K1450" s="6">
        <v>0</v>
      </c>
      <c r="L1450" s="6">
        <v>5.2610000000000001</v>
      </c>
      <c r="M1450" s="6">
        <v>5.2610000000000001</v>
      </c>
      <c r="N1450" s="6">
        <v>5.2610000000000001</v>
      </c>
      <c r="O1450" s="6">
        <v>5.2610000000000001</v>
      </c>
      <c r="P1450" s="6">
        <v>0</v>
      </c>
      <c r="Q1450" s="4" t="s">
        <v>26</v>
      </c>
      <c r="R1450" s="4">
        <v>0</v>
      </c>
      <c r="S1450" s="4" t="s">
        <v>379</v>
      </c>
      <c r="T1450" s="4" t="s">
        <v>636</v>
      </c>
      <c r="U1450" s="4">
        <v>0</v>
      </c>
      <c r="V1450" s="4">
        <v>62</v>
      </c>
      <c r="W1450" s="4">
        <v>71</v>
      </c>
    </row>
    <row r="1451" spans="1:23" ht="11.25" customHeight="1" x14ac:dyDescent="0.25">
      <c r="A1451" s="4" t="s">
        <v>21</v>
      </c>
      <c r="B1451" s="4" t="s">
        <v>22</v>
      </c>
      <c r="C1451" s="4" t="s">
        <v>33</v>
      </c>
      <c r="D1451" s="4" t="s">
        <v>24</v>
      </c>
      <c r="E1451" s="4" t="s">
        <v>24</v>
      </c>
      <c r="F1451" s="4" t="s">
        <v>25</v>
      </c>
      <c r="G1451" s="4" t="s">
        <v>25</v>
      </c>
      <c r="H1451" s="4" t="s">
        <v>35</v>
      </c>
      <c r="I1451" s="5">
        <v>44652</v>
      </c>
      <c r="J1451" s="6">
        <v>0</v>
      </c>
      <c r="K1451" s="6">
        <v>0</v>
      </c>
      <c r="L1451" s="6">
        <v>110.782</v>
      </c>
      <c r="M1451" s="6">
        <v>110.782</v>
      </c>
      <c r="N1451" s="6">
        <v>110.782</v>
      </c>
      <c r="O1451" s="6">
        <v>110.782</v>
      </c>
      <c r="P1451" s="6">
        <v>0</v>
      </c>
      <c r="Q1451" s="4" t="s">
        <v>26</v>
      </c>
      <c r="R1451" s="4">
        <v>0</v>
      </c>
      <c r="S1451" s="4" t="s">
        <v>380</v>
      </c>
      <c r="T1451" s="4" t="s">
        <v>637</v>
      </c>
      <c r="U1451" s="4">
        <v>0</v>
      </c>
      <c r="V1451" s="4">
        <v>62</v>
      </c>
      <c r="W1451" s="4">
        <v>71</v>
      </c>
    </row>
    <row r="1452" spans="1:23" ht="11.25" customHeight="1" x14ac:dyDescent="0.25">
      <c r="A1452" s="4" t="s">
        <v>28</v>
      </c>
      <c r="B1452" s="4" t="s">
        <v>22</v>
      </c>
      <c r="C1452" s="4" t="s">
        <v>33</v>
      </c>
      <c r="D1452" s="4" t="s">
        <v>24</v>
      </c>
      <c r="E1452" s="4" t="s">
        <v>24</v>
      </c>
      <c r="F1452" s="4" t="s">
        <v>25</v>
      </c>
      <c r="G1452" s="4" t="s">
        <v>25</v>
      </c>
      <c r="H1452" s="4" t="s">
        <v>35</v>
      </c>
      <c r="I1452" s="5">
        <v>44652</v>
      </c>
      <c r="J1452" s="6">
        <v>0</v>
      </c>
      <c r="K1452" s="6">
        <v>0</v>
      </c>
      <c r="L1452" s="6">
        <v>1.329</v>
      </c>
      <c r="M1452" s="6">
        <v>1.329</v>
      </c>
      <c r="N1452" s="6">
        <v>1.329</v>
      </c>
      <c r="O1452" s="6">
        <v>1.329</v>
      </c>
      <c r="P1452" s="6">
        <v>0</v>
      </c>
      <c r="Q1452" s="4" t="s">
        <v>26</v>
      </c>
      <c r="R1452" s="4">
        <v>0</v>
      </c>
      <c r="S1452" s="4" t="s">
        <v>380</v>
      </c>
      <c r="T1452" s="4" t="s">
        <v>637</v>
      </c>
      <c r="U1452" s="4">
        <v>0</v>
      </c>
      <c r="V1452" s="4">
        <v>62</v>
      </c>
      <c r="W1452" s="4">
        <v>71</v>
      </c>
    </row>
    <row r="1453" spans="1:23" ht="11.25" customHeight="1" x14ac:dyDescent="0.25">
      <c r="A1453" s="4" t="s">
        <v>21</v>
      </c>
      <c r="B1453" s="4" t="s">
        <v>22</v>
      </c>
      <c r="C1453" s="4" t="s">
        <v>33</v>
      </c>
      <c r="D1453" s="4" t="s">
        <v>24</v>
      </c>
      <c r="E1453" s="4" t="s">
        <v>24</v>
      </c>
      <c r="F1453" s="4" t="s">
        <v>25</v>
      </c>
      <c r="G1453" s="4" t="s">
        <v>25</v>
      </c>
      <c r="H1453" s="4" t="s">
        <v>35</v>
      </c>
      <c r="I1453" s="5">
        <v>44682</v>
      </c>
      <c r="J1453" s="6">
        <v>0</v>
      </c>
      <c r="K1453" s="6">
        <v>0</v>
      </c>
      <c r="L1453" s="6">
        <v>109.82599999999999</v>
      </c>
      <c r="M1453" s="6">
        <v>109.82599999999999</v>
      </c>
      <c r="N1453" s="6">
        <v>109.82599999999999</v>
      </c>
      <c r="O1453" s="6">
        <v>109.82599999999999</v>
      </c>
      <c r="P1453" s="6">
        <v>0</v>
      </c>
      <c r="Q1453" s="4" t="s">
        <v>26</v>
      </c>
      <c r="R1453" s="4">
        <v>0</v>
      </c>
      <c r="S1453" s="4" t="s">
        <v>381</v>
      </c>
      <c r="T1453" s="4" t="s">
        <v>638</v>
      </c>
      <c r="U1453" s="4">
        <v>0</v>
      </c>
      <c r="V1453" s="4">
        <v>62</v>
      </c>
      <c r="W1453" s="4">
        <v>71</v>
      </c>
    </row>
    <row r="1454" spans="1:23" ht="11.25" customHeight="1" x14ac:dyDescent="0.25">
      <c r="A1454" s="4" t="s">
        <v>27</v>
      </c>
      <c r="B1454" s="4" t="s">
        <v>22</v>
      </c>
      <c r="C1454" s="4" t="s">
        <v>33</v>
      </c>
      <c r="D1454" s="4" t="s">
        <v>24</v>
      </c>
      <c r="E1454" s="4" t="s">
        <v>24</v>
      </c>
      <c r="F1454" s="4" t="s">
        <v>25</v>
      </c>
      <c r="G1454" s="4" t="s">
        <v>25</v>
      </c>
      <c r="H1454" s="4" t="s">
        <v>35</v>
      </c>
      <c r="I1454" s="5">
        <v>44682</v>
      </c>
      <c r="J1454" s="6">
        <v>0</v>
      </c>
      <c r="K1454" s="6">
        <v>0</v>
      </c>
      <c r="L1454" s="6">
        <v>1.3740000000000001</v>
      </c>
      <c r="M1454" s="6">
        <v>1.3740000000000001</v>
      </c>
      <c r="N1454" s="6">
        <v>1.3740000000000001</v>
      </c>
      <c r="O1454" s="6">
        <v>1.3740000000000001</v>
      </c>
      <c r="P1454" s="6">
        <v>0</v>
      </c>
      <c r="Q1454" s="4" t="s">
        <v>26</v>
      </c>
      <c r="R1454" s="4">
        <v>0</v>
      </c>
      <c r="S1454" s="4" t="s">
        <v>381</v>
      </c>
      <c r="T1454" s="4" t="s">
        <v>638</v>
      </c>
      <c r="U1454" s="4">
        <v>0</v>
      </c>
      <c r="V1454" s="4">
        <v>62</v>
      </c>
      <c r="W1454" s="4">
        <v>71</v>
      </c>
    </row>
    <row r="1455" spans="1:23" ht="11.25" customHeight="1" x14ac:dyDescent="0.25">
      <c r="A1455" s="4" t="s">
        <v>28</v>
      </c>
      <c r="B1455" s="4" t="s">
        <v>22</v>
      </c>
      <c r="C1455" s="4" t="s">
        <v>33</v>
      </c>
      <c r="D1455" s="4" t="s">
        <v>24</v>
      </c>
      <c r="E1455" s="4" t="s">
        <v>24</v>
      </c>
      <c r="F1455" s="4" t="s">
        <v>25</v>
      </c>
      <c r="G1455" s="4" t="s">
        <v>25</v>
      </c>
      <c r="H1455" s="4" t="s">
        <v>35</v>
      </c>
      <c r="I1455" s="5">
        <v>44682</v>
      </c>
      <c r="J1455" s="6">
        <v>0</v>
      </c>
      <c r="K1455" s="6">
        <v>0</v>
      </c>
      <c r="L1455" s="6">
        <v>0.88600000000000001</v>
      </c>
      <c r="M1455" s="6">
        <v>0.88600000000000001</v>
      </c>
      <c r="N1455" s="6">
        <v>0.88600000000000001</v>
      </c>
      <c r="O1455" s="6">
        <v>0.88600000000000001</v>
      </c>
      <c r="P1455" s="6">
        <v>0</v>
      </c>
      <c r="Q1455" s="4" t="s">
        <v>26</v>
      </c>
      <c r="R1455" s="4">
        <v>0</v>
      </c>
      <c r="S1455" s="4" t="s">
        <v>381</v>
      </c>
      <c r="T1455" s="4" t="s">
        <v>638</v>
      </c>
      <c r="U1455" s="4">
        <v>0</v>
      </c>
      <c r="V1455" s="4">
        <v>62</v>
      </c>
      <c r="W1455" s="4">
        <v>71</v>
      </c>
    </row>
    <row r="1456" spans="1:23" ht="11.25" customHeight="1" x14ac:dyDescent="0.25">
      <c r="A1456" s="4" t="s">
        <v>21</v>
      </c>
      <c r="B1456" s="4" t="s">
        <v>22</v>
      </c>
      <c r="C1456" s="4" t="s">
        <v>33</v>
      </c>
      <c r="D1456" s="4" t="s">
        <v>24</v>
      </c>
      <c r="E1456" s="4" t="s">
        <v>24</v>
      </c>
      <c r="F1456" s="4" t="s">
        <v>25</v>
      </c>
      <c r="G1456" s="4" t="s">
        <v>25</v>
      </c>
      <c r="H1456" s="4" t="s">
        <v>35</v>
      </c>
      <c r="I1456" s="5">
        <v>44713</v>
      </c>
      <c r="J1456" s="6">
        <v>0</v>
      </c>
      <c r="K1456" s="6">
        <v>0</v>
      </c>
      <c r="L1456" s="6">
        <v>89.731999999999999</v>
      </c>
      <c r="M1456" s="6">
        <v>89.731999999999999</v>
      </c>
      <c r="N1456" s="6">
        <v>89.731999999999999</v>
      </c>
      <c r="O1456" s="6">
        <v>89.731999999999999</v>
      </c>
      <c r="P1456" s="6">
        <v>0</v>
      </c>
      <c r="Q1456" s="4" t="s">
        <v>26</v>
      </c>
      <c r="R1456" s="4">
        <v>0</v>
      </c>
      <c r="S1456" s="4" t="s">
        <v>382</v>
      </c>
      <c r="T1456" s="4" t="s">
        <v>639</v>
      </c>
      <c r="U1456" s="4">
        <v>0</v>
      </c>
      <c r="V1456" s="4">
        <v>62</v>
      </c>
      <c r="W1456" s="4">
        <v>71</v>
      </c>
    </row>
    <row r="1457" spans="1:23" ht="11.25" customHeight="1" x14ac:dyDescent="0.25">
      <c r="A1457" s="4" t="s">
        <v>28</v>
      </c>
      <c r="B1457" s="4" t="s">
        <v>22</v>
      </c>
      <c r="C1457" s="4" t="s">
        <v>33</v>
      </c>
      <c r="D1457" s="4" t="s">
        <v>24</v>
      </c>
      <c r="E1457" s="4" t="s">
        <v>24</v>
      </c>
      <c r="F1457" s="4" t="s">
        <v>25</v>
      </c>
      <c r="G1457" s="4" t="s">
        <v>25</v>
      </c>
      <c r="H1457" s="4" t="s">
        <v>35</v>
      </c>
      <c r="I1457" s="5">
        <v>44713</v>
      </c>
      <c r="J1457" s="6">
        <v>0</v>
      </c>
      <c r="K1457" s="6">
        <v>0</v>
      </c>
      <c r="L1457" s="6">
        <v>1.5329999999999999</v>
      </c>
      <c r="M1457" s="6">
        <v>1.5329999999999999</v>
      </c>
      <c r="N1457" s="6">
        <v>1.5329999999999999</v>
      </c>
      <c r="O1457" s="6">
        <v>1.5329999999999999</v>
      </c>
      <c r="P1457" s="6">
        <v>0</v>
      </c>
      <c r="Q1457" s="4" t="s">
        <v>26</v>
      </c>
      <c r="R1457" s="4">
        <v>0</v>
      </c>
      <c r="S1457" s="4" t="s">
        <v>382</v>
      </c>
      <c r="T1457" s="4" t="s">
        <v>639</v>
      </c>
      <c r="U1457" s="4">
        <v>0</v>
      </c>
      <c r="V1457" s="4">
        <v>62</v>
      </c>
      <c r="W1457" s="4">
        <v>71</v>
      </c>
    </row>
    <row r="1458" spans="1:23" ht="11.25" customHeight="1" x14ac:dyDescent="0.25">
      <c r="A1458" s="4" t="s">
        <v>57</v>
      </c>
      <c r="B1458" s="4" t="s">
        <v>22</v>
      </c>
      <c r="C1458" s="4" t="s">
        <v>33</v>
      </c>
      <c r="D1458" s="4" t="s">
        <v>24</v>
      </c>
      <c r="E1458" s="4" t="s">
        <v>24</v>
      </c>
      <c r="F1458" s="4" t="s">
        <v>25</v>
      </c>
      <c r="G1458" s="4" t="s">
        <v>25</v>
      </c>
      <c r="H1458" s="4" t="s">
        <v>35</v>
      </c>
      <c r="I1458" s="5">
        <v>44743</v>
      </c>
      <c r="J1458" s="6">
        <v>0</v>
      </c>
      <c r="K1458" s="6">
        <v>0</v>
      </c>
      <c r="L1458" s="6">
        <v>89.731999999999999</v>
      </c>
      <c r="M1458" s="6">
        <v>89.731999999999999</v>
      </c>
      <c r="N1458" s="6">
        <v>89.731999999999999</v>
      </c>
      <c r="O1458" s="6">
        <v>89.731999999999999</v>
      </c>
      <c r="P1458" s="6">
        <v>0</v>
      </c>
      <c r="Q1458" s="4" t="s">
        <v>26</v>
      </c>
      <c r="R1458" s="4">
        <v>0</v>
      </c>
      <c r="S1458" s="4" t="s">
        <v>383</v>
      </c>
      <c r="T1458" s="4" t="s">
        <v>640</v>
      </c>
      <c r="U1458" s="4">
        <v>0</v>
      </c>
      <c r="V1458" s="4">
        <v>62</v>
      </c>
      <c r="W1458" s="4">
        <v>71</v>
      </c>
    </row>
    <row r="1459" spans="1:23" ht="11.25" customHeight="1" x14ac:dyDescent="0.25">
      <c r="A1459" s="4" t="s">
        <v>57</v>
      </c>
      <c r="B1459" s="4" t="s">
        <v>22</v>
      </c>
      <c r="C1459" s="4" t="s">
        <v>33</v>
      </c>
      <c r="D1459" s="4" t="s">
        <v>24</v>
      </c>
      <c r="E1459" s="4" t="s">
        <v>24</v>
      </c>
      <c r="F1459" s="4" t="s">
        <v>25</v>
      </c>
      <c r="G1459" s="4" t="s">
        <v>25</v>
      </c>
      <c r="H1459" s="4" t="s">
        <v>35</v>
      </c>
      <c r="I1459" s="5">
        <v>44743</v>
      </c>
      <c r="J1459" s="6">
        <v>0</v>
      </c>
      <c r="K1459" s="6">
        <v>0</v>
      </c>
      <c r="L1459" s="6">
        <v>1.5329999999999999</v>
      </c>
      <c r="M1459" s="6">
        <v>1.5329999999999999</v>
      </c>
      <c r="N1459" s="6">
        <v>1.5329999999999999</v>
      </c>
      <c r="O1459" s="6">
        <v>1.5329999999999999</v>
      </c>
      <c r="P1459" s="6">
        <v>0</v>
      </c>
      <c r="Q1459" s="4" t="s">
        <v>26</v>
      </c>
      <c r="R1459" s="4">
        <v>0</v>
      </c>
      <c r="S1459" s="4" t="s">
        <v>383</v>
      </c>
      <c r="T1459" s="4" t="s">
        <v>640</v>
      </c>
      <c r="U1459" s="4">
        <v>0</v>
      </c>
      <c r="V1459" s="4">
        <v>62</v>
      </c>
      <c r="W1459" s="4">
        <v>71</v>
      </c>
    </row>
    <row r="1460" spans="1:23" ht="11.25" customHeight="1" x14ac:dyDescent="0.25">
      <c r="A1460" s="4" t="s">
        <v>21</v>
      </c>
      <c r="B1460" s="4" t="s">
        <v>22</v>
      </c>
      <c r="C1460" s="4" t="s">
        <v>33</v>
      </c>
      <c r="D1460" s="4" t="s">
        <v>24</v>
      </c>
      <c r="E1460" s="4" t="s">
        <v>24</v>
      </c>
      <c r="F1460" s="4" t="s">
        <v>25</v>
      </c>
      <c r="G1460" s="4" t="s">
        <v>25</v>
      </c>
      <c r="H1460" s="4" t="s">
        <v>36</v>
      </c>
      <c r="I1460" s="5">
        <v>44409</v>
      </c>
      <c r="J1460" s="6">
        <v>0</v>
      </c>
      <c r="K1460" s="6">
        <v>0</v>
      </c>
      <c r="L1460" s="6">
        <v>5.984</v>
      </c>
      <c r="M1460" s="6">
        <v>5.984</v>
      </c>
      <c r="N1460" s="6">
        <v>5.984</v>
      </c>
      <c r="O1460" s="6">
        <v>5.984</v>
      </c>
      <c r="P1460" s="6">
        <v>0</v>
      </c>
      <c r="Q1460" s="4" t="s">
        <v>26</v>
      </c>
      <c r="R1460" s="4">
        <v>0</v>
      </c>
      <c r="S1460" s="4" t="s">
        <v>384</v>
      </c>
      <c r="T1460" s="4" t="s">
        <v>641</v>
      </c>
      <c r="U1460" s="4">
        <v>0</v>
      </c>
      <c r="V1460" s="4">
        <v>60</v>
      </c>
      <c r="W1460" s="4">
        <v>70</v>
      </c>
    </row>
    <row r="1461" spans="1:23" ht="11.25" customHeight="1" x14ac:dyDescent="0.25">
      <c r="A1461" s="4" t="s">
        <v>28</v>
      </c>
      <c r="B1461" s="4" t="s">
        <v>22</v>
      </c>
      <c r="C1461" s="4" t="s">
        <v>33</v>
      </c>
      <c r="D1461" s="4" t="s">
        <v>24</v>
      </c>
      <c r="E1461" s="4" t="s">
        <v>24</v>
      </c>
      <c r="F1461" s="4" t="s">
        <v>25</v>
      </c>
      <c r="G1461" s="4" t="s">
        <v>25</v>
      </c>
      <c r="H1461" s="4" t="s">
        <v>36</v>
      </c>
      <c r="I1461" s="5">
        <v>44409</v>
      </c>
      <c r="J1461" s="6">
        <v>0</v>
      </c>
      <c r="K1461" s="6">
        <v>0</v>
      </c>
      <c r="L1461" s="6">
        <v>6.2E-2</v>
      </c>
      <c r="M1461" s="6">
        <v>6.2E-2</v>
      </c>
      <c r="N1461" s="6">
        <v>6.2E-2</v>
      </c>
      <c r="O1461" s="6">
        <v>6.2E-2</v>
      </c>
      <c r="P1461" s="6">
        <v>0</v>
      </c>
      <c r="Q1461" s="4" t="s">
        <v>26</v>
      </c>
      <c r="R1461" s="4">
        <v>0</v>
      </c>
      <c r="S1461" s="4" t="s">
        <v>384</v>
      </c>
      <c r="T1461" s="4" t="s">
        <v>641</v>
      </c>
      <c r="U1461" s="4">
        <v>0</v>
      </c>
      <c r="V1461" s="4">
        <v>60</v>
      </c>
      <c r="W1461" s="4">
        <v>70</v>
      </c>
    </row>
    <row r="1462" spans="1:23" ht="11.25" customHeight="1" x14ac:dyDescent="0.25">
      <c r="A1462" s="4" t="s">
        <v>21</v>
      </c>
      <c r="B1462" s="4" t="s">
        <v>22</v>
      </c>
      <c r="C1462" s="4" t="s">
        <v>33</v>
      </c>
      <c r="D1462" s="4" t="s">
        <v>24</v>
      </c>
      <c r="E1462" s="4" t="s">
        <v>24</v>
      </c>
      <c r="F1462" s="4" t="s">
        <v>25</v>
      </c>
      <c r="G1462" s="4" t="s">
        <v>25</v>
      </c>
      <c r="H1462" s="4" t="s">
        <v>36</v>
      </c>
      <c r="I1462" s="5">
        <v>44440</v>
      </c>
      <c r="J1462" s="6">
        <v>0</v>
      </c>
      <c r="K1462" s="6">
        <v>0</v>
      </c>
      <c r="L1462" s="6">
        <v>5.601</v>
      </c>
      <c r="M1462" s="6">
        <v>5.601</v>
      </c>
      <c r="N1462" s="6">
        <v>5.601</v>
      </c>
      <c r="O1462" s="6">
        <v>5.601</v>
      </c>
      <c r="P1462" s="6">
        <v>0</v>
      </c>
      <c r="Q1462" s="4" t="s">
        <v>26</v>
      </c>
      <c r="R1462" s="4">
        <v>0</v>
      </c>
      <c r="S1462" s="4" t="s">
        <v>385</v>
      </c>
      <c r="T1462" s="4" t="s">
        <v>642</v>
      </c>
      <c r="U1462" s="4">
        <v>0</v>
      </c>
      <c r="V1462" s="4">
        <v>60</v>
      </c>
      <c r="W1462" s="4">
        <v>70</v>
      </c>
    </row>
    <row r="1463" spans="1:23" ht="11.25" customHeight="1" x14ac:dyDescent="0.25">
      <c r="A1463" s="4" t="s">
        <v>28</v>
      </c>
      <c r="B1463" s="4" t="s">
        <v>22</v>
      </c>
      <c r="C1463" s="4" t="s">
        <v>33</v>
      </c>
      <c r="D1463" s="4" t="s">
        <v>24</v>
      </c>
      <c r="E1463" s="4" t="s">
        <v>24</v>
      </c>
      <c r="F1463" s="4" t="s">
        <v>25</v>
      </c>
      <c r="G1463" s="4" t="s">
        <v>25</v>
      </c>
      <c r="H1463" s="4" t="s">
        <v>36</v>
      </c>
      <c r="I1463" s="5">
        <v>44440</v>
      </c>
      <c r="J1463" s="6">
        <v>0</v>
      </c>
      <c r="K1463" s="6">
        <v>0</v>
      </c>
      <c r="L1463" s="6">
        <v>6.0999999999999999E-2</v>
      </c>
      <c r="M1463" s="6">
        <v>6.0999999999999999E-2</v>
      </c>
      <c r="N1463" s="6">
        <v>6.0999999999999999E-2</v>
      </c>
      <c r="O1463" s="6">
        <v>6.0999999999999999E-2</v>
      </c>
      <c r="P1463" s="6">
        <v>0</v>
      </c>
      <c r="Q1463" s="4" t="s">
        <v>26</v>
      </c>
      <c r="R1463" s="4">
        <v>0</v>
      </c>
      <c r="S1463" s="4" t="s">
        <v>385</v>
      </c>
      <c r="T1463" s="4" t="s">
        <v>642</v>
      </c>
      <c r="U1463" s="4">
        <v>0</v>
      </c>
      <c r="V1463" s="4">
        <v>60</v>
      </c>
      <c r="W1463" s="4">
        <v>70</v>
      </c>
    </row>
    <row r="1464" spans="1:23" ht="11.25" customHeight="1" x14ac:dyDescent="0.25">
      <c r="A1464" s="4" t="s">
        <v>21</v>
      </c>
      <c r="B1464" s="4" t="s">
        <v>22</v>
      </c>
      <c r="C1464" s="4" t="s">
        <v>33</v>
      </c>
      <c r="D1464" s="4" t="s">
        <v>24</v>
      </c>
      <c r="E1464" s="4" t="s">
        <v>24</v>
      </c>
      <c r="F1464" s="4" t="s">
        <v>25</v>
      </c>
      <c r="G1464" s="4" t="s">
        <v>25</v>
      </c>
      <c r="H1464" s="4" t="s">
        <v>36</v>
      </c>
      <c r="I1464" s="5">
        <v>44470</v>
      </c>
      <c r="J1464" s="6">
        <v>0</v>
      </c>
      <c r="K1464" s="6">
        <v>0</v>
      </c>
      <c r="L1464" s="6">
        <v>5.7270000000000003</v>
      </c>
      <c r="M1464" s="6">
        <v>5.7270000000000003</v>
      </c>
      <c r="N1464" s="6">
        <v>5.7270000000000003</v>
      </c>
      <c r="O1464" s="6">
        <v>5.7270000000000003</v>
      </c>
      <c r="P1464" s="6">
        <v>0</v>
      </c>
      <c r="Q1464" s="4" t="s">
        <v>26</v>
      </c>
      <c r="R1464" s="4">
        <v>0</v>
      </c>
      <c r="S1464" s="4" t="s">
        <v>386</v>
      </c>
      <c r="T1464" s="4" t="s">
        <v>643</v>
      </c>
      <c r="U1464" s="4">
        <v>0</v>
      </c>
      <c r="V1464" s="4">
        <v>60</v>
      </c>
      <c r="W1464" s="4">
        <v>70</v>
      </c>
    </row>
    <row r="1465" spans="1:23" ht="11.25" customHeight="1" x14ac:dyDescent="0.25">
      <c r="A1465" s="4" t="s">
        <v>28</v>
      </c>
      <c r="B1465" s="4" t="s">
        <v>22</v>
      </c>
      <c r="C1465" s="4" t="s">
        <v>33</v>
      </c>
      <c r="D1465" s="4" t="s">
        <v>24</v>
      </c>
      <c r="E1465" s="4" t="s">
        <v>24</v>
      </c>
      <c r="F1465" s="4" t="s">
        <v>25</v>
      </c>
      <c r="G1465" s="4" t="s">
        <v>25</v>
      </c>
      <c r="H1465" s="4" t="s">
        <v>36</v>
      </c>
      <c r="I1465" s="5">
        <v>44470</v>
      </c>
      <c r="J1465" s="6">
        <v>0</v>
      </c>
      <c r="K1465" s="6">
        <v>0</v>
      </c>
      <c r="L1465" s="6">
        <v>5.7000000000000002E-2</v>
      </c>
      <c r="M1465" s="6">
        <v>5.7000000000000002E-2</v>
      </c>
      <c r="N1465" s="6">
        <v>5.7000000000000002E-2</v>
      </c>
      <c r="O1465" s="6">
        <v>5.7000000000000002E-2</v>
      </c>
      <c r="P1465" s="6">
        <v>0</v>
      </c>
      <c r="Q1465" s="4" t="s">
        <v>26</v>
      </c>
      <c r="R1465" s="4">
        <v>0</v>
      </c>
      <c r="S1465" s="4" t="s">
        <v>386</v>
      </c>
      <c r="T1465" s="4" t="s">
        <v>643</v>
      </c>
      <c r="U1465" s="4">
        <v>0</v>
      </c>
      <c r="V1465" s="4">
        <v>60</v>
      </c>
      <c r="W1465" s="4">
        <v>70</v>
      </c>
    </row>
    <row r="1466" spans="1:23" ht="11.25" customHeight="1" x14ac:dyDescent="0.25">
      <c r="A1466" s="4" t="s">
        <v>21</v>
      </c>
      <c r="B1466" s="4" t="s">
        <v>22</v>
      </c>
      <c r="C1466" s="4" t="s">
        <v>33</v>
      </c>
      <c r="D1466" s="4" t="s">
        <v>24</v>
      </c>
      <c r="E1466" s="4" t="s">
        <v>24</v>
      </c>
      <c r="F1466" s="4" t="s">
        <v>25</v>
      </c>
      <c r="G1466" s="4" t="s">
        <v>25</v>
      </c>
      <c r="H1466" s="4" t="s">
        <v>36</v>
      </c>
      <c r="I1466" s="5">
        <v>44501</v>
      </c>
      <c r="J1466" s="6">
        <v>0</v>
      </c>
      <c r="K1466" s="6">
        <v>0</v>
      </c>
      <c r="L1466" s="6">
        <v>5.4740000000000002</v>
      </c>
      <c r="M1466" s="6">
        <v>5.4740000000000002</v>
      </c>
      <c r="N1466" s="6">
        <v>5.4740000000000002</v>
      </c>
      <c r="O1466" s="6">
        <v>5.4740000000000002</v>
      </c>
      <c r="P1466" s="6">
        <v>0</v>
      </c>
      <c r="Q1466" s="4" t="s">
        <v>26</v>
      </c>
      <c r="R1466" s="4">
        <v>0</v>
      </c>
      <c r="S1466" s="4" t="s">
        <v>387</v>
      </c>
      <c r="T1466" s="4" t="s">
        <v>644</v>
      </c>
      <c r="U1466" s="4">
        <v>0</v>
      </c>
      <c r="V1466" s="4">
        <v>60</v>
      </c>
      <c r="W1466" s="4">
        <v>70</v>
      </c>
    </row>
    <row r="1467" spans="1:23" ht="11.25" customHeight="1" x14ac:dyDescent="0.25">
      <c r="A1467" s="4" t="s">
        <v>27</v>
      </c>
      <c r="B1467" s="4" t="s">
        <v>22</v>
      </c>
      <c r="C1467" s="4" t="s">
        <v>33</v>
      </c>
      <c r="D1467" s="4" t="s">
        <v>24</v>
      </c>
      <c r="E1467" s="4" t="s">
        <v>24</v>
      </c>
      <c r="F1467" s="4" t="s">
        <v>25</v>
      </c>
      <c r="G1467" s="4" t="s">
        <v>25</v>
      </c>
      <c r="H1467" s="4" t="s">
        <v>36</v>
      </c>
      <c r="I1467" s="5">
        <v>44501</v>
      </c>
      <c r="J1467" s="6">
        <v>0</v>
      </c>
      <c r="K1467" s="6">
        <v>0</v>
      </c>
      <c r="L1467" s="6">
        <v>1.9E-2</v>
      </c>
      <c r="M1467" s="6">
        <v>1.9E-2</v>
      </c>
      <c r="N1467" s="6">
        <v>1.9E-2</v>
      </c>
      <c r="O1467" s="6">
        <v>1.9E-2</v>
      </c>
      <c r="P1467" s="6">
        <v>0</v>
      </c>
      <c r="Q1467" s="4" t="s">
        <v>26</v>
      </c>
      <c r="R1467" s="4">
        <v>0</v>
      </c>
      <c r="S1467" s="4" t="s">
        <v>387</v>
      </c>
      <c r="T1467" s="4" t="s">
        <v>644</v>
      </c>
      <c r="U1467" s="4">
        <v>0</v>
      </c>
      <c r="V1467" s="4">
        <v>60</v>
      </c>
      <c r="W1467" s="4">
        <v>70</v>
      </c>
    </row>
    <row r="1468" spans="1:23" ht="11.25" customHeight="1" x14ac:dyDescent="0.25">
      <c r="A1468" s="4" t="s">
        <v>28</v>
      </c>
      <c r="B1468" s="4" t="s">
        <v>22</v>
      </c>
      <c r="C1468" s="4" t="s">
        <v>33</v>
      </c>
      <c r="D1468" s="4" t="s">
        <v>24</v>
      </c>
      <c r="E1468" s="4" t="s">
        <v>24</v>
      </c>
      <c r="F1468" s="4" t="s">
        <v>25</v>
      </c>
      <c r="G1468" s="4" t="s">
        <v>25</v>
      </c>
      <c r="H1468" s="4" t="s">
        <v>36</v>
      </c>
      <c r="I1468" s="5">
        <v>44501</v>
      </c>
      <c r="J1468" s="6">
        <v>0</v>
      </c>
      <c r="K1468" s="6">
        <v>0</v>
      </c>
      <c r="L1468" s="6">
        <v>0.18</v>
      </c>
      <c r="M1468" s="6">
        <v>0.18</v>
      </c>
      <c r="N1468" s="6">
        <v>0.18</v>
      </c>
      <c r="O1468" s="6">
        <v>0.18</v>
      </c>
      <c r="P1468" s="6">
        <v>0</v>
      </c>
      <c r="Q1468" s="4" t="s">
        <v>26</v>
      </c>
      <c r="R1468" s="4">
        <v>0</v>
      </c>
      <c r="S1468" s="4" t="s">
        <v>387</v>
      </c>
      <c r="T1468" s="4" t="s">
        <v>644</v>
      </c>
      <c r="U1468" s="4">
        <v>0</v>
      </c>
      <c r="V1468" s="4">
        <v>60</v>
      </c>
      <c r="W1468" s="4">
        <v>70</v>
      </c>
    </row>
    <row r="1469" spans="1:23" ht="11.25" customHeight="1" x14ac:dyDescent="0.25">
      <c r="A1469" s="4" t="s">
        <v>21</v>
      </c>
      <c r="B1469" s="4" t="s">
        <v>22</v>
      </c>
      <c r="C1469" s="4" t="s">
        <v>33</v>
      </c>
      <c r="D1469" s="4" t="s">
        <v>24</v>
      </c>
      <c r="E1469" s="4" t="s">
        <v>24</v>
      </c>
      <c r="F1469" s="4" t="s">
        <v>25</v>
      </c>
      <c r="G1469" s="4" t="s">
        <v>25</v>
      </c>
      <c r="H1469" s="4" t="s">
        <v>36</v>
      </c>
      <c r="I1469" s="5">
        <v>44531</v>
      </c>
      <c r="J1469" s="6">
        <v>0</v>
      </c>
      <c r="K1469" s="6">
        <v>0</v>
      </c>
      <c r="L1469" s="6">
        <v>7.3079999999999998</v>
      </c>
      <c r="M1469" s="6">
        <v>7.3079999999999998</v>
      </c>
      <c r="N1469" s="6">
        <v>7.3079999999999998</v>
      </c>
      <c r="O1469" s="6">
        <v>7.3079999999999998</v>
      </c>
      <c r="P1469" s="6">
        <v>0</v>
      </c>
      <c r="Q1469" s="4" t="s">
        <v>26</v>
      </c>
      <c r="R1469" s="4">
        <v>0</v>
      </c>
      <c r="S1469" s="4" t="s">
        <v>388</v>
      </c>
      <c r="T1469" s="4" t="s">
        <v>645</v>
      </c>
      <c r="U1469" s="4">
        <v>0</v>
      </c>
      <c r="V1469" s="4">
        <v>60</v>
      </c>
      <c r="W1469" s="4">
        <v>70</v>
      </c>
    </row>
    <row r="1470" spans="1:23" ht="11.25" customHeight="1" x14ac:dyDescent="0.25">
      <c r="A1470" s="4" t="s">
        <v>27</v>
      </c>
      <c r="B1470" s="4" t="s">
        <v>22</v>
      </c>
      <c r="C1470" s="4" t="s">
        <v>33</v>
      </c>
      <c r="D1470" s="4" t="s">
        <v>24</v>
      </c>
      <c r="E1470" s="4" t="s">
        <v>24</v>
      </c>
      <c r="F1470" s="4" t="s">
        <v>25</v>
      </c>
      <c r="G1470" s="4" t="s">
        <v>25</v>
      </c>
      <c r="H1470" s="4" t="s">
        <v>36</v>
      </c>
      <c r="I1470" s="5">
        <v>44531</v>
      </c>
      <c r="J1470" s="6">
        <v>0</v>
      </c>
      <c r="K1470" s="6">
        <v>0</v>
      </c>
      <c r="L1470" s="6">
        <v>4.0000000000000001E-3</v>
      </c>
      <c r="M1470" s="6">
        <v>4.0000000000000001E-3</v>
      </c>
      <c r="N1470" s="6">
        <v>4.0000000000000001E-3</v>
      </c>
      <c r="O1470" s="6">
        <v>4.0000000000000001E-3</v>
      </c>
      <c r="P1470" s="6">
        <v>0</v>
      </c>
      <c r="Q1470" s="4" t="s">
        <v>26</v>
      </c>
      <c r="R1470" s="4">
        <v>0</v>
      </c>
      <c r="S1470" s="4" t="s">
        <v>388</v>
      </c>
      <c r="T1470" s="4" t="s">
        <v>645</v>
      </c>
      <c r="U1470" s="4">
        <v>0</v>
      </c>
      <c r="V1470" s="4">
        <v>60</v>
      </c>
      <c r="W1470" s="4">
        <v>70</v>
      </c>
    </row>
    <row r="1471" spans="1:23" ht="11.25" customHeight="1" x14ac:dyDescent="0.25">
      <c r="A1471" s="4" t="s">
        <v>28</v>
      </c>
      <c r="B1471" s="4" t="s">
        <v>22</v>
      </c>
      <c r="C1471" s="4" t="s">
        <v>33</v>
      </c>
      <c r="D1471" s="4" t="s">
        <v>24</v>
      </c>
      <c r="E1471" s="4" t="s">
        <v>24</v>
      </c>
      <c r="F1471" s="4" t="s">
        <v>25</v>
      </c>
      <c r="G1471" s="4" t="s">
        <v>25</v>
      </c>
      <c r="H1471" s="4" t="s">
        <v>36</v>
      </c>
      <c r="I1471" s="5">
        <v>44531</v>
      </c>
      <c r="J1471" s="6">
        <v>0</v>
      </c>
      <c r="K1471" s="6">
        <v>0</v>
      </c>
      <c r="L1471" s="6">
        <v>0.72</v>
      </c>
      <c r="M1471" s="6">
        <v>0.72</v>
      </c>
      <c r="N1471" s="6">
        <v>0.72</v>
      </c>
      <c r="O1471" s="6">
        <v>0.72</v>
      </c>
      <c r="P1471" s="6">
        <v>0</v>
      </c>
      <c r="Q1471" s="4" t="s">
        <v>26</v>
      </c>
      <c r="R1471" s="4">
        <v>0</v>
      </c>
      <c r="S1471" s="4" t="s">
        <v>388</v>
      </c>
      <c r="T1471" s="4" t="s">
        <v>645</v>
      </c>
      <c r="U1471" s="4">
        <v>0</v>
      </c>
      <c r="V1471" s="4">
        <v>60</v>
      </c>
      <c r="W1471" s="4">
        <v>70</v>
      </c>
    </row>
    <row r="1472" spans="1:23" ht="11.25" customHeight="1" x14ac:dyDescent="0.25">
      <c r="A1472" s="4" t="s">
        <v>21</v>
      </c>
      <c r="B1472" s="4" t="s">
        <v>22</v>
      </c>
      <c r="C1472" s="4" t="s">
        <v>33</v>
      </c>
      <c r="D1472" s="4" t="s">
        <v>24</v>
      </c>
      <c r="E1472" s="4" t="s">
        <v>24</v>
      </c>
      <c r="F1472" s="4" t="s">
        <v>25</v>
      </c>
      <c r="G1472" s="4" t="s">
        <v>25</v>
      </c>
      <c r="H1472" s="4" t="s">
        <v>36</v>
      </c>
      <c r="I1472" s="5">
        <v>44562</v>
      </c>
      <c r="J1472" s="6">
        <v>0</v>
      </c>
      <c r="K1472" s="6">
        <v>0</v>
      </c>
      <c r="L1472" s="6">
        <v>6.7380000000000004</v>
      </c>
      <c r="M1472" s="6">
        <v>6.7380000000000004</v>
      </c>
      <c r="N1472" s="6">
        <v>6.7380000000000004</v>
      </c>
      <c r="O1472" s="6">
        <v>6.7380000000000004</v>
      </c>
      <c r="P1472" s="6">
        <v>0</v>
      </c>
      <c r="Q1472" s="4" t="s">
        <v>26</v>
      </c>
      <c r="R1472" s="4">
        <v>0</v>
      </c>
      <c r="S1472" s="4" t="s">
        <v>389</v>
      </c>
      <c r="T1472" s="4" t="s">
        <v>646</v>
      </c>
      <c r="U1472" s="4">
        <v>0</v>
      </c>
      <c r="V1472" s="4">
        <v>60</v>
      </c>
      <c r="W1472" s="4">
        <v>70</v>
      </c>
    </row>
    <row r="1473" spans="1:23" ht="11.25" customHeight="1" x14ac:dyDescent="0.25">
      <c r="A1473" s="4" t="s">
        <v>27</v>
      </c>
      <c r="B1473" s="4" t="s">
        <v>22</v>
      </c>
      <c r="C1473" s="4" t="s">
        <v>33</v>
      </c>
      <c r="D1473" s="4" t="s">
        <v>24</v>
      </c>
      <c r="E1473" s="4" t="s">
        <v>24</v>
      </c>
      <c r="F1473" s="4" t="s">
        <v>25</v>
      </c>
      <c r="G1473" s="4" t="s">
        <v>25</v>
      </c>
      <c r="H1473" s="4" t="s">
        <v>36</v>
      </c>
      <c r="I1473" s="5">
        <v>44562</v>
      </c>
      <c r="J1473" s="6">
        <v>0</v>
      </c>
      <c r="K1473" s="6">
        <v>0</v>
      </c>
      <c r="L1473" s="6">
        <v>-0.51900000000000002</v>
      </c>
      <c r="M1473" s="6">
        <v>-0.51900000000000002</v>
      </c>
      <c r="N1473" s="6">
        <v>-0.51900000000000002</v>
      </c>
      <c r="O1473" s="6">
        <v>-0.51900000000000002</v>
      </c>
      <c r="P1473" s="6">
        <v>0</v>
      </c>
      <c r="Q1473" s="4" t="s">
        <v>26</v>
      </c>
      <c r="R1473" s="4">
        <v>0</v>
      </c>
      <c r="S1473" s="4" t="s">
        <v>389</v>
      </c>
      <c r="T1473" s="4" t="s">
        <v>646</v>
      </c>
      <c r="U1473" s="4">
        <v>0</v>
      </c>
      <c r="V1473" s="4">
        <v>60</v>
      </c>
      <c r="W1473" s="4">
        <v>70</v>
      </c>
    </row>
    <row r="1474" spans="1:23" ht="11.25" customHeight="1" x14ac:dyDescent="0.25">
      <c r="A1474" s="4" t="s">
        <v>28</v>
      </c>
      <c r="B1474" s="4" t="s">
        <v>22</v>
      </c>
      <c r="C1474" s="4" t="s">
        <v>33</v>
      </c>
      <c r="D1474" s="4" t="s">
        <v>24</v>
      </c>
      <c r="E1474" s="4" t="s">
        <v>24</v>
      </c>
      <c r="F1474" s="4" t="s">
        <v>25</v>
      </c>
      <c r="G1474" s="4" t="s">
        <v>25</v>
      </c>
      <c r="H1474" s="4" t="s">
        <v>36</v>
      </c>
      <c r="I1474" s="5">
        <v>44562</v>
      </c>
      <c r="J1474" s="6">
        <v>0</v>
      </c>
      <c r="K1474" s="6">
        <v>0</v>
      </c>
      <c r="L1474" s="6">
        <v>0.161</v>
      </c>
      <c r="M1474" s="6">
        <v>0.161</v>
      </c>
      <c r="N1474" s="6">
        <v>0.161</v>
      </c>
      <c r="O1474" s="6">
        <v>0.161</v>
      </c>
      <c r="P1474" s="6">
        <v>0</v>
      </c>
      <c r="Q1474" s="4" t="s">
        <v>26</v>
      </c>
      <c r="R1474" s="4">
        <v>0</v>
      </c>
      <c r="S1474" s="4" t="s">
        <v>389</v>
      </c>
      <c r="T1474" s="4" t="s">
        <v>646</v>
      </c>
      <c r="U1474" s="4">
        <v>0</v>
      </c>
      <c r="V1474" s="4">
        <v>60</v>
      </c>
      <c r="W1474" s="4">
        <v>70</v>
      </c>
    </row>
    <row r="1475" spans="1:23" ht="11.25" customHeight="1" x14ac:dyDescent="0.25">
      <c r="A1475" s="4" t="s">
        <v>28</v>
      </c>
      <c r="B1475" s="4" t="s">
        <v>22</v>
      </c>
      <c r="C1475" s="4" t="s">
        <v>33</v>
      </c>
      <c r="D1475" s="4" t="s">
        <v>24</v>
      </c>
      <c r="E1475" s="4" t="s">
        <v>24</v>
      </c>
      <c r="F1475" s="4" t="s">
        <v>25</v>
      </c>
      <c r="G1475" s="4" t="s">
        <v>25</v>
      </c>
      <c r="H1475" s="4" t="s">
        <v>36</v>
      </c>
      <c r="I1475" s="5">
        <v>44562</v>
      </c>
      <c r="J1475" s="6">
        <v>0</v>
      </c>
      <c r="K1475" s="6">
        <v>0</v>
      </c>
      <c r="L1475" s="6">
        <v>-0.57099999999999995</v>
      </c>
      <c r="M1475" s="6">
        <v>-0.57099999999999995</v>
      </c>
      <c r="N1475" s="6">
        <v>-0.57099999999999995</v>
      </c>
      <c r="O1475" s="6">
        <v>-0.57099999999999995</v>
      </c>
      <c r="P1475" s="6">
        <v>0</v>
      </c>
      <c r="Q1475" s="4" t="s">
        <v>26</v>
      </c>
      <c r="R1475" s="4">
        <v>0</v>
      </c>
      <c r="S1475" s="4" t="s">
        <v>389</v>
      </c>
      <c r="T1475" s="4" t="s">
        <v>646</v>
      </c>
      <c r="U1475" s="4">
        <v>0</v>
      </c>
      <c r="V1475" s="4">
        <v>60</v>
      </c>
      <c r="W1475" s="4">
        <v>70</v>
      </c>
    </row>
    <row r="1476" spans="1:23" ht="11.25" customHeight="1" x14ac:dyDescent="0.25">
      <c r="A1476" s="4" t="s">
        <v>21</v>
      </c>
      <c r="B1476" s="4" t="s">
        <v>22</v>
      </c>
      <c r="C1476" s="4" t="s">
        <v>33</v>
      </c>
      <c r="D1476" s="4" t="s">
        <v>24</v>
      </c>
      <c r="E1476" s="4" t="s">
        <v>24</v>
      </c>
      <c r="F1476" s="4" t="s">
        <v>25</v>
      </c>
      <c r="G1476" s="4" t="s">
        <v>25</v>
      </c>
      <c r="H1476" s="4" t="s">
        <v>36</v>
      </c>
      <c r="I1476" s="5">
        <v>44593</v>
      </c>
      <c r="J1476" s="6">
        <v>0</v>
      </c>
      <c r="K1476" s="6">
        <v>0</v>
      </c>
      <c r="L1476" s="6">
        <v>6.173</v>
      </c>
      <c r="M1476" s="6">
        <v>6.173</v>
      </c>
      <c r="N1476" s="6">
        <v>6.173</v>
      </c>
      <c r="O1476" s="6">
        <v>6.173</v>
      </c>
      <c r="P1476" s="6">
        <v>0</v>
      </c>
      <c r="Q1476" s="4" t="s">
        <v>26</v>
      </c>
      <c r="R1476" s="4">
        <v>0</v>
      </c>
      <c r="S1476" s="4" t="s">
        <v>390</v>
      </c>
      <c r="T1476" s="4" t="s">
        <v>647</v>
      </c>
      <c r="U1476" s="4">
        <v>0</v>
      </c>
      <c r="V1476" s="4">
        <v>60</v>
      </c>
      <c r="W1476" s="4">
        <v>70</v>
      </c>
    </row>
    <row r="1477" spans="1:23" ht="11.25" customHeight="1" x14ac:dyDescent="0.25">
      <c r="A1477" s="4" t="s">
        <v>28</v>
      </c>
      <c r="B1477" s="4" t="s">
        <v>22</v>
      </c>
      <c r="C1477" s="4" t="s">
        <v>33</v>
      </c>
      <c r="D1477" s="4" t="s">
        <v>24</v>
      </c>
      <c r="E1477" s="4" t="s">
        <v>24</v>
      </c>
      <c r="F1477" s="4" t="s">
        <v>25</v>
      </c>
      <c r="G1477" s="4" t="s">
        <v>25</v>
      </c>
      <c r="H1477" s="4" t="s">
        <v>36</v>
      </c>
      <c r="I1477" s="5">
        <v>44593</v>
      </c>
      <c r="J1477" s="6">
        <v>0</v>
      </c>
      <c r="K1477" s="6">
        <v>0</v>
      </c>
      <c r="L1477" s="6">
        <v>0.14099999999999999</v>
      </c>
      <c r="M1477" s="6">
        <v>0.14099999999999999</v>
      </c>
      <c r="N1477" s="6">
        <v>0.14099999999999999</v>
      </c>
      <c r="O1477" s="6">
        <v>0.14099999999999999</v>
      </c>
      <c r="P1477" s="6">
        <v>0</v>
      </c>
      <c r="Q1477" s="4" t="s">
        <v>26</v>
      </c>
      <c r="R1477" s="4">
        <v>0</v>
      </c>
      <c r="S1477" s="4" t="s">
        <v>390</v>
      </c>
      <c r="T1477" s="4" t="s">
        <v>647</v>
      </c>
      <c r="U1477" s="4">
        <v>0</v>
      </c>
      <c r="V1477" s="4">
        <v>60</v>
      </c>
      <c r="W1477" s="4">
        <v>70</v>
      </c>
    </row>
    <row r="1478" spans="1:23" ht="11.25" customHeight="1" x14ac:dyDescent="0.25">
      <c r="A1478" s="4" t="s">
        <v>21</v>
      </c>
      <c r="B1478" s="4" t="s">
        <v>22</v>
      </c>
      <c r="C1478" s="4" t="s">
        <v>33</v>
      </c>
      <c r="D1478" s="4" t="s">
        <v>24</v>
      </c>
      <c r="E1478" s="4" t="s">
        <v>24</v>
      </c>
      <c r="F1478" s="4" t="s">
        <v>25</v>
      </c>
      <c r="G1478" s="4" t="s">
        <v>25</v>
      </c>
      <c r="H1478" s="4" t="s">
        <v>36</v>
      </c>
      <c r="I1478" s="5">
        <v>44621</v>
      </c>
      <c r="J1478" s="6">
        <v>0</v>
      </c>
      <c r="K1478" s="6">
        <v>0</v>
      </c>
      <c r="L1478" s="6">
        <v>6.5839999999999996</v>
      </c>
      <c r="M1478" s="6">
        <v>6.5839999999999996</v>
      </c>
      <c r="N1478" s="6">
        <v>6.5839999999999996</v>
      </c>
      <c r="O1478" s="6">
        <v>6.5839999999999996</v>
      </c>
      <c r="P1478" s="6">
        <v>0</v>
      </c>
      <c r="Q1478" s="4" t="s">
        <v>26</v>
      </c>
      <c r="R1478" s="4">
        <v>0</v>
      </c>
      <c r="S1478" s="4" t="s">
        <v>391</v>
      </c>
      <c r="T1478" s="4" t="s">
        <v>648</v>
      </c>
      <c r="U1478" s="4">
        <v>0</v>
      </c>
      <c r="V1478" s="4">
        <v>60</v>
      </c>
      <c r="W1478" s="4">
        <v>70</v>
      </c>
    </row>
    <row r="1479" spans="1:23" ht="11.25" customHeight="1" x14ac:dyDescent="0.25">
      <c r="A1479" s="4" t="s">
        <v>28</v>
      </c>
      <c r="B1479" s="4" t="s">
        <v>22</v>
      </c>
      <c r="C1479" s="4" t="s">
        <v>33</v>
      </c>
      <c r="D1479" s="4" t="s">
        <v>24</v>
      </c>
      <c r="E1479" s="4" t="s">
        <v>24</v>
      </c>
      <c r="F1479" s="4" t="s">
        <v>25</v>
      </c>
      <c r="G1479" s="4" t="s">
        <v>25</v>
      </c>
      <c r="H1479" s="4" t="s">
        <v>36</v>
      </c>
      <c r="I1479" s="5">
        <v>44621</v>
      </c>
      <c r="J1479" s="6">
        <v>0</v>
      </c>
      <c r="K1479" s="6">
        <v>0</v>
      </c>
      <c r="L1479" s="6">
        <v>0.27800000000000002</v>
      </c>
      <c r="M1479" s="6">
        <v>0.27800000000000002</v>
      </c>
      <c r="N1479" s="6">
        <v>0.27800000000000002</v>
      </c>
      <c r="O1479" s="6">
        <v>0.27800000000000002</v>
      </c>
      <c r="P1479" s="6">
        <v>0</v>
      </c>
      <c r="Q1479" s="4" t="s">
        <v>26</v>
      </c>
      <c r="R1479" s="4">
        <v>0</v>
      </c>
      <c r="S1479" s="4" t="s">
        <v>391</v>
      </c>
      <c r="T1479" s="4" t="s">
        <v>648</v>
      </c>
      <c r="U1479" s="4">
        <v>0</v>
      </c>
      <c r="V1479" s="4">
        <v>60</v>
      </c>
      <c r="W1479" s="4">
        <v>70</v>
      </c>
    </row>
    <row r="1480" spans="1:23" ht="11.25" customHeight="1" x14ac:dyDescent="0.25">
      <c r="A1480" s="4" t="s">
        <v>21</v>
      </c>
      <c r="B1480" s="4" t="s">
        <v>22</v>
      </c>
      <c r="C1480" s="4" t="s">
        <v>33</v>
      </c>
      <c r="D1480" s="4" t="s">
        <v>24</v>
      </c>
      <c r="E1480" s="4" t="s">
        <v>24</v>
      </c>
      <c r="F1480" s="4" t="s">
        <v>25</v>
      </c>
      <c r="G1480" s="4" t="s">
        <v>25</v>
      </c>
      <c r="H1480" s="4" t="s">
        <v>36</v>
      </c>
      <c r="I1480" s="5">
        <v>44652</v>
      </c>
      <c r="J1480" s="6">
        <v>0</v>
      </c>
      <c r="K1480" s="6">
        <v>0</v>
      </c>
      <c r="L1480" s="6">
        <v>5.9349999999999996</v>
      </c>
      <c r="M1480" s="6">
        <v>5.9349999999999996</v>
      </c>
      <c r="N1480" s="6">
        <v>5.9349999999999996</v>
      </c>
      <c r="O1480" s="6">
        <v>5.9349999999999996</v>
      </c>
      <c r="P1480" s="6">
        <v>0</v>
      </c>
      <c r="Q1480" s="4" t="s">
        <v>26</v>
      </c>
      <c r="R1480" s="4">
        <v>0</v>
      </c>
      <c r="S1480" s="4" t="s">
        <v>392</v>
      </c>
      <c r="T1480" s="4" t="s">
        <v>649</v>
      </c>
      <c r="U1480" s="4">
        <v>0</v>
      </c>
      <c r="V1480" s="4">
        <v>60</v>
      </c>
      <c r="W1480" s="4">
        <v>70</v>
      </c>
    </row>
    <row r="1481" spans="1:23" ht="11.25" customHeight="1" x14ac:dyDescent="0.25">
      <c r="A1481" s="4" t="s">
        <v>28</v>
      </c>
      <c r="B1481" s="4" t="s">
        <v>22</v>
      </c>
      <c r="C1481" s="4" t="s">
        <v>33</v>
      </c>
      <c r="D1481" s="4" t="s">
        <v>24</v>
      </c>
      <c r="E1481" s="4" t="s">
        <v>24</v>
      </c>
      <c r="F1481" s="4" t="s">
        <v>25</v>
      </c>
      <c r="G1481" s="4" t="s">
        <v>25</v>
      </c>
      <c r="H1481" s="4" t="s">
        <v>36</v>
      </c>
      <c r="I1481" s="5">
        <v>44652</v>
      </c>
      <c r="J1481" s="6">
        <v>0</v>
      </c>
      <c r="K1481" s="6">
        <v>0</v>
      </c>
      <c r="L1481" s="6">
        <v>0.13500000000000001</v>
      </c>
      <c r="M1481" s="6">
        <v>0.13500000000000001</v>
      </c>
      <c r="N1481" s="6">
        <v>0.13500000000000001</v>
      </c>
      <c r="O1481" s="6">
        <v>0.13500000000000001</v>
      </c>
      <c r="P1481" s="6">
        <v>0</v>
      </c>
      <c r="Q1481" s="4" t="s">
        <v>26</v>
      </c>
      <c r="R1481" s="4">
        <v>0</v>
      </c>
      <c r="S1481" s="4" t="s">
        <v>392</v>
      </c>
      <c r="T1481" s="4" t="s">
        <v>649</v>
      </c>
      <c r="U1481" s="4">
        <v>0</v>
      </c>
      <c r="V1481" s="4">
        <v>60</v>
      </c>
      <c r="W1481" s="4">
        <v>70</v>
      </c>
    </row>
    <row r="1482" spans="1:23" ht="11.25" customHeight="1" x14ac:dyDescent="0.25">
      <c r="A1482" s="4" t="s">
        <v>21</v>
      </c>
      <c r="B1482" s="4" t="s">
        <v>22</v>
      </c>
      <c r="C1482" s="4" t="s">
        <v>33</v>
      </c>
      <c r="D1482" s="4" t="s">
        <v>24</v>
      </c>
      <c r="E1482" s="4" t="s">
        <v>24</v>
      </c>
      <c r="F1482" s="4" t="s">
        <v>25</v>
      </c>
      <c r="G1482" s="4" t="s">
        <v>25</v>
      </c>
      <c r="H1482" s="4" t="s">
        <v>36</v>
      </c>
      <c r="I1482" s="5">
        <v>44682</v>
      </c>
      <c r="J1482" s="6">
        <v>0</v>
      </c>
      <c r="K1482" s="6">
        <v>0</v>
      </c>
      <c r="L1482" s="6">
        <v>5.9569999999999999</v>
      </c>
      <c r="M1482" s="6">
        <v>5.9569999999999999</v>
      </c>
      <c r="N1482" s="6">
        <v>5.9569999999999999</v>
      </c>
      <c r="O1482" s="6">
        <v>5.9569999999999999</v>
      </c>
      <c r="P1482" s="6">
        <v>0</v>
      </c>
      <c r="Q1482" s="4" t="s">
        <v>26</v>
      </c>
      <c r="R1482" s="4">
        <v>0</v>
      </c>
      <c r="S1482" s="4" t="s">
        <v>393</v>
      </c>
      <c r="T1482" s="4" t="s">
        <v>650</v>
      </c>
      <c r="U1482" s="4">
        <v>0</v>
      </c>
      <c r="V1482" s="4">
        <v>60</v>
      </c>
      <c r="W1482" s="4">
        <v>70</v>
      </c>
    </row>
    <row r="1483" spans="1:23" ht="11.25" customHeight="1" x14ac:dyDescent="0.25">
      <c r="A1483" s="4" t="s">
        <v>27</v>
      </c>
      <c r="B1483" s="4" t="s">
        <v>22</v>
      </c>
      <c r="C1483" s="4" t="s">
        <v>33</v>
      </c>
      <c r="D1483" s="4" t="s">
        <v>24</v>
      </c>
      <c r="E1483" s="4" t="s">
        <v>24</v>
      </c>
      <c r="F1483" s="4" t="s">
        <v>25</v>
      </c>
      <c r="G1483" s="4" t="s">
        <v>25</v>
      </c>
      <c r="H1483" s="4" t="s">
        <v>36</v>
      </c>
      <c r="I1483" s="5">
        <v>44682</v>
      </c>
      <c r="J1483" s="6">
        <v>0</v>
      </c>
      <c r="K1483" s="6">
        <v>0</v>
      </c>
      <c r="L1483" s="6">
        <v>5.6000000000000001E-2</v>
      </c>
      <c r="M1483" s="6">
        <v>5.6000000000000001E-2</v>
      </c>
      <c r="N1483" s="6">
        <v>5.6000000000000001E-2</v>
      </c>
      <c r="O1483" s="6">
        <v>5.6000000000000001E-2</v>
      </c>
      <c r="P1483" s="6">
        <v>0</v>
      </c>
      <c r="Q1483" s="4" t="s">
        <v>26</v>
      </c>
      <c r="R1483" s="4">
        <v>0</v>
      </c>
      <c r="S1483" s="4" t="s">
        <v>393</v>
      </c>
      <c r="T1483" s="4" t="s">
        <v>650</v>
      </c>
      <c r="U1483" s="4">
        <v>0</v>
      </c>
      <c r="V1483" s="4">
        <v>60</v>
      </c>
      <c r="W1483" s="4">
        <v>70</v>
      </c>
    </row>
    <row r="1484" spans="1:23" ht="11.25" customHeight="1" x14ac:dyDescent="0.25">
      <c r="A1484" s="4" t="s">
        <v>28</v>
      </c>
      <c r="B1484" s="4" t="s">
        <v>22</v>
      </c>
      <c r="C1484" s="4" t="s">
        <v>33</v>
      </c>
      <c r="D1484" s="4" t="s">
        <v>24</v>
      </c>
      <c r="E1484" s="4" t="s">
        <v>24</v>
      </c>
      <c r="F1484" s="4" t="s">
        <v>25</v>
      </c>
      <c r="G1484" s="4" t="s">
        <v>25</v>
      </c>
      <c r="H1484" s="4" t="s">
        <v>36</v>
      </c>
      <c r="I1484" s="5">
        <v>44682</v>
      </c>
      <c r="J1484" s="6">
        <v>0</v>
      </c>
      <c r="K1484" s="6">
        <v>0</v>
      </c>
      <c r="L1484" s="6">
        <v>0.13600000000000001</v>
      </c>
      <c r="M1484" s="6">
        <v>0.13600000000000001</v>
      </c>
      <c r="N1484" s="6">
        <v>0.13600000000000001</v>
      </c>
      <c r="O1484" s="6">
        <v>0.13600000000000001</v>
      </c>
      <c r="P1484" s="6">
        <v>0</v>
      </c>
      <c r="Q1484" s="4" t="s">
        <v>26</v>
      </c>
      <c r="R1484" s="4">
        <v>0</v>
      </c>
      <c r="S1484" s="4" t="s">
        <v>393</v>
      </c>
      <c r="T1484" s="4" t="s">
        <v>650</v>
      </c>
      <c r="U1484" s="4">
        <v>0</v>
      </c>
      <c r="V1484" s="4">
        <v>60</v>
      </c>
      <c r="W1484" s="4">
        <v>70</v>
      </c>
    </row>
    <row r="1485" spans="1:23" ht="11.25" customHeight="1" x14ac:dyDescent="0.25">
      <c r="A1485" s="4" t="s">
        <v>21</v>
      </c>
      <c r="B1485" s="4" t="s">
        <v>22</v>
      </c>
      <c r="C1485" s="4" t="s">
        <v>33</v>
      </c>
      <c r="D1485" s="4" t="s">
        <v>24</v>
      </c>
      <c r="E1485" s="4" t="s">
        <v>24</v>
      </c>
      <c r="F1485" s="4" t="s">
        <v>25</v>
      </c>
      <c r="G1485" s="4" t="s">
        <v>25</v>
      </c>
      <c r="H1485" s="4" t="s">
        <v>36</v>
      </c>
      <c r="I1485" s="5">
        <v>44713</v>
      </c>
      <c r="J1485" s="6">
        <v>0</v>
      </c>
      <c r="K1485" s="6">
        <v>0</v>
      </c>
      <c r="L1485" s="6">
        <v>5.5069999999999997</v>
      </c>
      <c r="M1485" s="6">
        <v>5.5069999999999997</v>
      </c>
      <c r="N1485" s="6">
        <v>5.5069999999999997</v>
      </c>
      <c r="O1485" s="6">
        <v>5.5069999999999997</v>
      </c>
      <c r="P1485" s="6">
        <v>0</v>
      </c>
      <c r="Q1485" s="4" t="s">
        <v>26</v>
      </c>
      <c r="R1485" s="4">
        <v>0</v>
      </c>
      <c r="S1485" s="4" t="s">
        <v>394</v>
      </c>
      <c r="T1485" s="4" t="s">
        <v>651</v>
      </c>
      <c r="U1485" s="4">
        <v>0</v>
      </c>
      <c r="V1485" s="4">
        <v>60</v>
      </c>
      <c r="W1485" s="4">
        <v>70</v>
      </c>
    </row>
    <row r="1486" spans="1:23" ht="11.25" customHeight="1" x14ac:dyDescent="0.25">
      <c r="A1486" s="4" t="s">
        <v>28</v>
      </c>
      <c r="B1486" s="4" t="s">
        <v>22</v>
      </c>
      <c r="C1486" s="4" t="s">
        <v>33</v>
      </c>
      <c r="D1486" s="4" t="s">
        <v>24</v>
      </c>
      <c r="E1486" s="4" t="s">
        <v>24</v>
      </c>
      <c r="F1486" s="4" t="s">
        <v>25</v>
      </c>
      <c r="G1486" s="4" t="s">
        <v>25</v>
      </c>
      <c r="H1486" s="4" t="s">
        <v>36</v>
      </c>
      <c r="I1486" s="5">
        <v>44713</v>
      </c>
      <c r="J1486" s="6">
        <v>0</v>
      </c>
      <c r="K1486" s="6">
        <v>0</v>
      </c>
      <c r="L1486" s="6">
        <v>0.14000000000000001</v>
      </c>
      <c r="M1486" s="6">
        <v>0.14000000000000001</v>
      </c>
      <c r="N1486" s="6">
        <v>0.14000000000000001</v>
      </c>
      <c r="O1486" s="6">
        <v>0.14000000000000001</v>
      </c>
      <c r="P1486" s="6">
        <v>0</v>
      </c>
      <c r="Q1486" s="4" t="s">
        <v>26</v>
      </c>
      <c r="R1486" s="4">
        <v>0</v>
      </c>
      <c r="S1486" s="4" t="s">
        <v>394</v>
      </c>
      <c r="T1486" s="4" t="s">
        <v>651</v>
      </c>
      <c r="U1486" s="4">
        <v>0</v>
      </c>
      <c r="V1486" s="4">
        <v>60</v>
      </c>
      <c r="W1486" s="4">
        <v>70</v>
      </c>
    </row>
    <row r="1487" spans="1:23" ht="11.25" customHeight="1" x14ac:dyDescent="0.25">
      <c r="A1487" s="4" t="s">
        <v>57</v>
      </c>
      <c r="B1487" s="4" t="s">
        <v>22</v>
      </c>
      <c r="C1487" s="4" t="s">
        <v>33</v>
      </c>
      <c r="D1487" s="4" t="s">
        <v>24</v>
      </c>
      <c r="E1487" s="4" t="s">
        <v>24</v>
      </c>
      <c r="F1487" s="4" t="s">
        <v>25</v>
      </c>
      <c r="G1487" s="4" t="s">
        <v>25</v>
      </c>
      <c r="H1487" s="4" t="s">
        <v>36</v>
      </c>
      <c r="I1487" s="5">
        <v>44743</v>
      </c>
      <c r="J1487" s="6">
        <v>0</v>
      </c>
      <c r="K1487" s="6">
        <v>0</v>
      </c>
      <c r="L1487" s="6">
        <v>5.5069999999999997</v>
      </c>
      <c r="M1487" s="6">
        <v>5.5069999999999997</v>
      </c>
      <c r="N1487" s="6">
        <v>5.5069999999999997</v>
      </c>
      <c r="O1487" s="6">
        <v>5.5069999999999997</v>
      </c>
      <c r="P1487" s="6">
        <v>0</v>
      </c>
      <c r="Q1487" s="4" t="s">
        <v>26</v>
      </c>
      <c r="R1487" s="4">
        <v>0</v>
      </c>
      <c r="S1487" s="4" t="s">
        <v>395</v>
      </c>
      <c r="T1487" s="4" t="s">
        <v>652</v>
      </c>
      <c r="U1487" s="4">
        <v>0</v>
      </c>
      <c r="V1487" s="4">
        <v>60</v>
      </c>
      <c r="W1487" s="4">
        <v>70</v>
      </c>
    </row>
    <row r="1488" spans="1:23" ht="11.25" customHeight="1" x14ac:dyDescent="0.25">
      <c r="A1488" s="4" t="s">
        <v>57</v>
      </c>
      <c r="B1488" s="4" t="s">
        <v>22</v>
      </c>
      <c r="C1488" s="4" t="s">
        <v>33</v>
      </c>
      <c r="D1488" s="4" t="s">
        <v>24</v>
      </c>
      <c r="E1488" s="4" t="s">
        <v>24</v>
      </c>
      <c r="F1488" s="4" t="s">
        <v>25</v>
      </c>
      <c r="G1488" s="4" t="s">
        <v>25</v>
      </c>
      <c r="H1488" s="4" t="s">
        <v>36</v>
      </c>
      <c r="I1488" s="5">
        <v>44743</v>
      </c>
      <c r="J1488" s="6">
        <v>0</v>
      </c>
      <c r="K1488" s="6">
        <v>0</v>
      </c>
      <c r="L1488" s="6">
        <v>0.14000000000000001</v>
      </c>
      <c r="M1488" s="6">
        <v>0.14000000000000001</v>
      </c>
      <c r="N1488" s="6">
        <v>0.14000000000000001</v>
      </c>
      <c r="O1488" s="6">
        <v>0.14000000000000001</v>
      </c>
      <c r="P1488" s="6">
        <v>0</v>
      </c>
      <c r="Q1488" s="4" t="s">
        <v>26</v>
      </c>
      <c r="R1488" s="4">
        <v>0</v>
      </c>
      <c r="S1488" s="4" t="s">
        <v>395</v>
      </c>
      <c r="T1488" s="4" t="s">
        <v>652</v>
      </c>
      <c r="U1488" s="4">
        <v>0</v>
      </c>
      <c r="V1488" s="4">
        <v>60</v>
      </c>
      <c r="W1488" s="4">
        <v>70</v>
      </c>
    </row>
    <row r="1489" spans="1:23" ht="11.25" customHeight="1" x14ac:dyDescent="0.25">
      <c r="A1489" s="4" t="s">
        <v>21</v>
      </c>
      <c r="B1489" s="4" t="s">
        <v>22</v>
      </c>
      <c r="C1489" s="4" t="s">
        <v>33</v>
      </c>
      <c r="D1489" s="4" t="s">
        <v>24</v>
      </c>
      <c r="E1489" s="4" t="s">
        <v>24</v>
      </c>
      <c r="F1489" s="4" t="s">
        <v>25</v>
      </c>
      <c r="G1489" s="4" t="s">
        <v>25</v>
      </c>
      <c r="H1489" s="4" t="s">
        <v>34</v>
      </c>
      <c r="I1489" s="5">
        <v>44409</v>
      </c>
      <c r="J1489" s="6">
        <v>0</v>
      </c>
      <c r="K1489" s="6">
        <v>0</v>
      </c>
      <c r="L1489" s="6">
        <v>9.2590000000000003</v>
      </c>
      <c r="M1489" s="6">
        <v>9.2590000000000003</v>
      </c>
      <c r="N1489" s="6">
        <v>9.2590000000000003</v>
      </c>
      <c r="O1489" s="6">
        <v>9.2590000000000003</v>
      </c>
      <c r="P1489" s="6">
        <v>0</v>
      </c>
      <c r="Q1489" s="4" t="s">
        <v>26</v>
      </c>
      <c r="R1489" s="4">
        <v>0</v>
      </c>
      <c r="S1489" s="4" t="s">
        <v>396</v>
      </c>
      <c r="T1489" s="4" t="s">
        <v>653</v>
      </c>
      <c r="U1489" s="4">
        <v>0</v>
      </c>
      <c r="V1489" s="4">
        <v>58</v>
      </c>
      <c r="W1489" s="4">
        <v>69</v>
      </c>
    </row>
    <row r="1490" spans="1:23" ht="11.25" customHeight="1" x14ac:dyDescent="0.25">
      <c r="A1490" s="4" t="s">
        <v>28</v>
      </c>
      <c r="B1490" s="4" t="s">
        <v>22</v>
      </c>
      <c r="C1490" s="4" t="s">
        <v>33</v>
      </c>
      <c r="D1490" s="4" t="s">
        <v>24</v>
      </c>
      <c r="E1490" s="4" t="s">
        <v>24</v>
      </c>
      <c r="F1490" s="4" t="s">
        <v>25</v>
      </c>
      <c r="G1490" s="4" t="s">
        <v>25</v>
      </c>
      <c r="H1490" s="4" t="s">
        <v>34</v>
      </c>
      <c r="I1490" s="5">
        <v>44409</v>
      </c>
      <c r="J1490" s="6">
        <v>0</v>
      </c>
      <c r="K1490" s="6">
        <v>0</v>
      </c>
      <c r="L1490" s="6">
        <v>4.2000000000000003E-2</v>
      </c>
      <c r="M1490" s="6">
        <v>4.2000000000000003E-2</v>
      </c>
      <c r="N1490" s="6">
        <v>4.2000000000000003E-2</v>
      </c>
      <c r="O1490" s="6">
        <v>4.2000000000000003E-2</v>
      </c>
      <c r="P1490" s="6">
        <v>0</v>
      </c>
      <c r="Q1490" s="4" t="s">
        <v>26</v>
      </c>
      <c r="R1490" s="4">
        <v>0</v>
      </c>
      <c r="S1490" s="4" t="s">
        <v>396</v>
      </c>
      <c r="T1490" s="4" t="s">
        <v>653</v>
      </c>
      <c r="U1490" s="4">
        <v>0</v>
      </c>
      <c r="V1490" s="4">
        <v>58</v>
      </c>
      <c r="W1490" s="4">
        <v>69</v>
      </c>
    </row>
    <row r="1491" spans="1:23" ht="11.25" customHeight="1" x14ac:dyDescent="0.25">
      <c r="A1491" s="4" t="s">
        <v>21</v>
      </c>
      <c r="B1491" s="4" t="s">
        <v>22</v>
      </c>
      <c r="C1491" s="4" t="s">
        <v>33</v>
      </c>
      <c r="D1491" s="4" t="s">
        <v>24</v>
      </c>
      <c r="E1491" s="4" t="s">
        <v>24</v>
      </c>
      <c r="F1491" s="4" t="s">
        <v>25</v>
      </c>
      <c r="G1491" s="4" t="s">
        <v>25</v>
      </c>
      <c r="H1491" s="4" t="s">
        <v>34</v>
      </c>
      <c r="I1491" s="5">
        <v>44440</v>
      </c>
      <c r="J1491" s="6">
        <v>0</v>
      </c>
      <c r="K1491" s="6">
        <v>0</v>
      </c>
      <c r="L1491" s="6">
        <v>16.771000000000001</v>
      </c>
      <c r="M1491" s="6">
        <v>16.771000000000001</v>
      </c>
      <c r="N1491" s="6">
        <v>16.771000000000001</v>
      </c>
      <c r="O1491" s="6">
        <v>16.771000000000001</v>
      </c>
      <c r="P1491" s="6">
        <v>0</v>
      </c>
      <c r="Q1491" s="4" t="s">
        <v>26</v>
      </c>
      <c r="R1491" s="4">
        <v>0</v>
      </c>
      <c r="S1491" s="4" t="s">
        <v>397</v>
      </c>
      <c r="T1491" s="4" t="s">
        <v>654</v>
      </c>
      <c r="U1491" s="4">
        <v>0</v>
      </c>
      <c r="V1491" s="4">
        <v>58</v>
      </c>
      <c r="W1491" s="4">
        <v>69</v>
      </c>
    </row>
    <row r="1492" spans="1:23" ht="11.25" customHeight="1" x14ac:dyDescent="0.25">
      <c r="A1492" s="4" t="s">
        <v>28</v>
      </c>
      <c r="B1492" s="4" t="s">
        <v>22</v>
      </c>
      <c r="C1492" s="4" t="s">
        <v>33</v>
      </c>
      <c r="D1492" s="4" t="s">
        <v>24</v>
      </c>
      <c r="E1492" s="4" t="s">
        <v>24</v>
      </c>
      <c r="F1492" s="4" t="s">
        <v>25</v>
      </c>
      <c r="G1492" s="4" t="s">
        <v>25</v>
      </c>
      <c r="H1492" s="4" t="s">
        <v>34</v>
      </c>
      <c r="I1492" s="5">
        <v>44440</v>
      </c>
      <c r="J1492" s="6">
        <v>0</v>
      </c>
      <c r="K1492" s="6">
        <v>0</v>
      </c>
      <c r="L1492" s="6">
        <v>0.11600000000000001</v>
      </c>
      <c r="M1492" s="6">
        <v>0.11600000000000001</v>
      </c>
      <c r="N1492" s="6">
        <v>0.11600000000000001</v>
      </c>
      <c r="O1492" s="6">
        <v>0.11600000000000001</v>
      </c>
      <c r="P1492" s="6">
        <v>0</v>
      </c>
      <c r="Q1492" s="4" t="s">
        <v>26</v>
      </c>
      <c r="R1492" s="4">
        <v>0</v>
      </c>
      <c r="S1492" s="4" t="s">
        <v>397</v>
      </c>
      <c r="T1492" s="4" t="s">
        <v>654</v>
      </c>
      <c r="U1492" s="4">
        <v>0</v>
      </c>
      <c r="V1492" s="4">
        <v>58</v>
      </c>
      <c r="W1492" s="4">
        <v>69</v>
      </c>
    </row>
    <row r="1493" spans="1:23" ht="11.25" customHeight="1" x14ac:dyDescent="0.25">
      <c r="A1493" s="4" t="s">
        <v>21</v>
      </c>
      <c r="B1493" s="4" t="s">
        <v>22</v>
      </c>
      <c r="C1493" s="4" t="s">
        <v>33</v>
      </c>
      <c r="D1493" s="4" t="s">
        <v>24</v>
      </c>
      <c r="E1493" s="4" t="s">
        <v>24</v>
      </c>
      <c r="F1493" s="4" t="s">
        <v>25</v>
      </c>
      <c r="G1493" s="4" t="s">
        <v>25</v>
      </c>
      <c r="H1493" s="4" t="s">
        <v>34</v>
      </c>
      <c r="I1493" s="5">
        <v>44470</v>
      </c>
      <c r="J1493" s="6">
        <v>0</v>
      </c>
      <c r="K1493" s="6">
        <v>0</v>
      </c>
      <c r="L1493" s="6">
        <v>13.401999999999999</v>
      </c>
      <c r="M1493" s="6">
        <v>13.401999999999999</v>
      </c>
      <c r="N1493" s="6">
        <v>13.401999999999999</v>
      </c>
      <c r="O1493" s="6">
        <v>13.401999999999999</v>
      </c>
      <c r="P1493" s="6">
        <v>0</v>
      </c>
      <c r="Q1493" s="4" t="s">
        <v>26</v>
      </c>
      <c r="R1493" s="4">
        <v>0</v>
      </c>
      <c r="S1493" s="4" t="s">
        <v>398</v>
      </c>
      <c r="T1493" s="4" t="s">
        <v>655</v>
      </c>
      <c r="U1493" s="4">
        <v>0</v>
      </c>
      <c r="V1493" s="4">
        <v>58</v>
      </c>
      <c r="W1493" s="4">
        <v>69</v>
      </c>
    </row>
    <row r="1494" spans="1:23" ht="11.25" customHeight="1" x14ac:dyDescent="0.25">
      <c r="A1494" s="4" t="s">
        <v>27</v>
      </c>
      <c r="B1494" s="4" t="s">
        <v>22</v>
      </c>
      <c r="C1494" s="4" t="s">
        <v>33</v>
      </c>
      <c r="D1494" s="4" t="s">
        <v>24</v>
      </c>
      <c r="E1494" s="4" t="s">
        <v>24</v>
      </c>
      <c r="F1494" s="4" t="s">
        <v>25</v>
      </c>
      <c r="G1494" s="4" t="s">
        <v>25</v>
      </c>
      <c r="H1494" s="4" t="s">
        <v>34</v>
      </c>
      <c r="I1494" s="5">
        <v>44470</v>
      </c>
      <c r="J1494" s="6">
        <v>0</v>
      </c>
      <c r="K1494" s="6">
        <v>0</v>
      </c>
      <c r="L1494" s="6">
        <v>-8.0869999999999997</v>
      </c>
      <c r="M1494" s="6">
        <v>-8.0869999999999997</v>
      </c>
      <c r="N1494" s="6">
        <v>-8.0869999999999997</v>
      </c>
      <c r="O1494" s="6">
        <v>-8.0869999999999997</v>
      </c>
      <c r="P1494" s="6">
        <v>0</v>
      </c>
      <c r="Q1494" s="4" t="s">
        <v>26</v>
      </c>
      <c r="R1494" s="4">
        <v>0</v>
      </c>
      <c r="S1494" s="4" t="s">
        <v>398</v>
      </c>
      <c r="T1494" s="4" t="s">
        <v>655</v>
      </c>
      <c r="U1494" s="4">
        <v>0</v>
      </c>
      <c r="V1494" s="4">
        <v>58</v>
      </c>
      <c r="W1494" s="4">
        <v>69</v>
      </c>
    </row>
    <row r="1495" spans="1:23" ht="11.25" customHeight="1" x14ac:dyDescent="0.25">
      <c r="A1495" s="4" t="s">
        <v>28</v>
      </c>
      <c r="B1495" s="4" t="s">
        <v>22</v>
      </c>
      <c r="C1495" s="4" t="s">
        <v>33</v>
      </c>
      <c r="D1495" s="4" t="s">
        <v>24</v>
      </c>
      <c r="E1495" s="4" t="s">
        <v>24</v>
      </c>
      <c r="F1495" s="4" t="s">
        <v>25</v>
      </c>
      <c r="G1495" s="4" t="s">
        <v>25</v>
      </c>
      <c r="H1495" s="4" t="s">
        <v>34</v>
      </c>
      <c r="I1495" s="5">
        <v>44470</v>
      </c>
      <c r="J1495" s="6">
        <v>0</v>
      </c>
      <c r="K1495" s="6">
        <v>0</v>
      </c>
      <c r="L1495" s="6">
        <v>7.9000000000000001E-2</v>
      </c>
      <c r="M1495" s="6">
        <v>7.9000000000000001E-2</v>
      </c>
      <c r="N1495" s="6">
        <v>7.9000000000000001E-2</v>
      </c>
      <c r="O1495" s="6">
        <v>7.9000000000000001E-2</v>
      </c>
      <c r="P1495" s="6">
        <v>0</v>
      </c>
      <c r="Q1495" s="4" t="s">
        <v>26</v>
      </c>
      <c r="R1495" s="4">
        <v>0</v>
      </c>
      <c r="S1495" s="4" t="s">
        <v>398</v>
      </c>
      <c r="T1495" s="4" t="s">
        <v>655</v>
      </c>
      <c r="U1495" s="4">
        <v>0</v>
      </c>
      <c r="V1495" s="4">
        <v>58</v>
      </c>
      <c r="W1495" s="4">
        <v>69</v>
      </c>
    </row>
    <row r="1496" spans="1:23" ht="11.25" customHeight="1" x14ac:dyDescent="0.25">
      <c r="A1496" s="4" t="s">
        <v>21</v>
      </c>
      <c r="B1496" s="4" t="s">
        <v>22</v>
      </c>
      <c r="C1496" s="4" t="s">
        <v>33</v>
      </c>
      <c r="D1496" s="4" t="s">
        <v>24</v>
      </c>
      <c r="E1496" s="4" t="s">
        <v>24</v>
      </c>
      <c r="F1496" s="4" t="s">
        <v>25</v>
      </c>
      <c r="G1496" s="4" t="s">
        <v>25</v>
      </c>
      <c r="H1496" s="4" t="s">
        <v>34</v>
      </c>
      <c r="I1496" s="5">
        <v>44501</v>
      </c>
      <c r="J1496" s="6">
        <v>0</v>
      </c>
      <c r="K1496" s="6">
        <v>0</v>
      </c>
      <c r="L1496" s="6">
        <v>7.8339999999999996</v>
      </c>
      <c r="M1496" s="6">
        <v>7.8339999999999996</v>
      </c>
      <c r="N1496" s="6">
        <v>7.8339999999999996</v>
      </c>
      <c r="O1496" s="6">
        <v>7.8339999999999996</v>
      </c>
      <c r="P1496" s="6">
        <v>0</v>
      </c>
      <c r="Q1496" s="4" t="s">
        <v>26</v>
      </c>
      <c r="R1496" s="4">
        <v>0</v>
      </c>
      <c r="S1496" s="4" t="s">
        <v>399</v>
      </c>
      <c r="T1496" s="4" t="s">
        <v>656</v>
      </c>
      <c r="U1496" s="4">
        <v>0</v>
      </c>
      <c r="V1496" s="4">
        <v>58</v>
      </c>
      <c r="W1496" s="4">
        <v>69</v>
      </c>
    </row>
    <row r="1497" spans="1:23" ht="11.25" customHeight="1" x14ac:dyDescent="0.25">
      <c r="A1497" s="4" t="s">
        <v>27</v>
      </c>
      <c r="B1497" s="4" t="s">
        <v>22</v>
      </c>
      <c r="C1497" s="4" t="s">
        <v>33</v>
      </c>
      <c r="D1497" s="4" t="s">
        <v>24</v>
      </c>
      <c r="E1497" s="4" t="s">
        <v>24</v>
      </c>
      <c r="F1497" s="4" t="s">
        <v>25</v>
      </c>
      <c r="G1497" s="4" t="s">
        <v>25</v>
      </c>
      <c r="H1497" s="4" t="s">
        <v>34</v>
      </c>
      <c r="I1497" s="5">
        <v>44501</v>
      </c>
      <c r="J1497" s="6">
        <v>0</v>
      </c>
      <c r="K1497" s="6">
        <v>0</v>
      </c>
      <c r="L1497" s="6">
        <v>-4.3490000000000002</v>
      </c>
      <c r="M1497" s="6">
        <v>-4.3490000000000002</v>
      </c>
      <c r="N1497" s="6">
        <v>-4.3490000000000002</v>
      </c>
      <c r="O1497" s="6">
        <v>-4.3490000000000002</v>
      </c>
      <c r="P1497" s="6">
        <v>0</v>
      </c>
      <c r="Q1497" s="4" t="s">
        <v>26</v>
      </c>
      <c r="R1497" s="4">
        <v>0</v>
      </c>
      <c r="S1497" s="4" t="s">
        <v>399</v>
      </c>
      <c r="T1497" s="4" t="s">
        <v>656</v>
      </c>
      <c r="U1497" s="4">
        <v>0</v>
      </c>
      <c r="V1497" s="4">
        <v>58</v>
      </c>
      <c r="W1497" s="4">
        <v>69</v>
      </c>
    </row>
    <row r="1498" spans="1:23" ht="11.25" customHeight="1" x14ac:dyDescent="0.25">
      <c r="A1498" s="4" t="s">
        <v>28</v>
      </c>
      <c r="B1498" s="4" t="s">
        <v>22</v>
      </c>
      <c r="C1498" s="4" t="s">
        <v>33</v>
      </c>
      <c r="D1498" s="4" t="s">
        <v>24</v>
      </c>
      <c r="E1498" s="4" t="s">
        <v>24</v>
      </c>
      <c r="F1498" s="4" t="s">
        <v>25</v>
      </c>
      <c r="G1498" s="4" t="s">
        <v>25</v>
      </c>
      <c r="H1498" s="4" t="s">
        <v>34</v>
      </c>
      <c r="I1498" s="5">
        <v>44501</v>
      </c>
      <c r="J1498" s="6">
        <v>0</v>
      </c>
      <c r="K1498" s="6">
        <v>0</v>
      </c>
      <c r="L1498" s="6">
        <v>0.36199999999999999</v>
      </c>
      <c r="M1498" s="6">
        <v>0.36199999999999999</v>
      </c>
      <c r="N1498" s="6">
        <v>0.36199999999999999</v>
      </c>
      <c r="O1498" s="6">
        <v>0.36199999999999999</v>
      </c>
      <c r="P1498" s="6">
        <v>0</v>
      </c>
      <c r="Q1498" s="4" t="s">
        <v>26</v>
      </c>
      <c r="R1498" s="4">
        <v>0</v>
      </c>
      <c r="S1498" s="4" t="s">
        <v>399</v>
      </c>
      <c r="T1498" s="4" t="s">
        <v>656</v>
      </c>
      <c r="U1498" s="4">
        <v>0</v>
      </c>
      <c r="V1498" s="4">
        <v>58</v>
      </c>
      <c r="W1498" s="4">
        <v>69</v>
      </c>
    </row>
    <row r="1499" spans="1:23" ht="11.25" customHeight="1" x14ac:dyDescent="0.25">
      <c r="A1499" s="4" t="s">
        <v>21</v>
      </c>
      <c r="B1499" s="4" t="s">
        <v>22</v>
      </c>
      <c r="C1499" s="4" t="s">
        <v>33</v>
      </c>
      <c r="D1499" s="4" t="s">
        <v>24</v>
      </c>
      <c r="E1499" s="4" t="s">
        <v>24</v>
      </c>
      <c r="F1499" s="4" t="s">
        <v>25</v>
      </c>
      <c r="G1499" s="4" t="s">
        <v>25</v>
      </c>
      <c r="H1499" s="4" t="s">
        <v>34</v>
      </c>
      <c r="I1499" s="5">
        <v>44531</v>
      </c>
      <c r="J1499" s="6">
        <v>0</v>
      </c>
      <c r="K1499" s="6">
        <v>0</v>
      </c>
      <c r="L1499" s="6">
        <v>9.9960000000000004</v>
      </c>
      <c r="M1499" s="6">
        <v>9.9960000000000004</v>
      </c>
      <c r="N1499" s="6">
        <v>9.9960000000000004</v>
      </c>
      <c r="O1499" s="6">
        <v>9.9960000000000004</v>
      </c>
      <c r="P1499" s="6">
        <v>0</v>
      </c>
      <c r="Q1499" s="4" t="s">
        <v>26</v>
      </c>
      <c r="R1499" s="4">
        <v>0</v>
      </c>
      <c r="S1499" s="4" t="s">
        <v>400</v>
      </c>
      <c r="T1499" s="4" t="s">
        <v>657</v>
      </c>
      <c r="U1499" s="4">
        <v>0</v>
      </c>
      <c r="V1499" s="4">
        <v>58</v>
      </c>
      <c r="W1499" s="4">
        <v>69</v>
      </c>
    </row>
    <row r="1500" spans="1:23" ht="11.25" customHeight="1" x14ac:dyDescent="0.25">
      <c r="A1500" s="4" t="s">
        <v>27</v>
      </c>
      <c r="B1500" s="4" t="s">
        <v>22</v>
      </c>
      <c r="C1500" s="4" t="s">
        <v>33</v>
      </c>
      <c r="D1500" s="4" t="s">
        <v>24</v>
      </c>
      <c r="E1500" s="4" t="s">
        <v>24</v>
      </c>
      <c r="F1500" s="4" t="s">
        <v>25</v>
      </c>
      <c r="G1500" s="4" t="s">
        <v>25</v>
      </c>
      <c r="H1500" s="4" t="s">
        <v>34</v>
      </c>
      <c r="I1500" s="5">
        <v>44531</v>
      </c>
      <c r="J1500" s="6">
        <v>0</v>
      </c>
      <c r="K1500" s="6">
        <v>0</v>
      </c>
      <c r="L1500" s="6">
        <v>-0.29199999999999998</v>
      </c>
      <c r="M1500" s="6">
        <v>-0.29199999999999998</v>
      </c>
      <c r="N1500" s="6">
        <v>-0.29199999999999998</v>
      </c>
      <c r="O1500" s="6">
        <v>-0.29199999999999998</v>
      </c>
      <c r="P1500" s="6">
        <v>0</v>
      </c>
      <c r="Q1500" s="4" t="s">
        <v>26</v>
      </c>
      <c r="R1500" s="4">
        <v>0</v>
      </c>
      <c r="S1500" s="4" t="s">
        <v>400</v>
      </c>
      <c r="T1500" s="4" t="s">
        <v>657</v>
      </c>
      <c r="U1500" s="4">
        <v>0</v>
      </c>
      <c r="V1500" s="4">
        <v>58</v>
      </c>
      <c r="W1500" s="4">
        <v>69</v>
      </c>
    </row>
    <row r="1501" spans="1:23" ht="11.25" customHeight="1" x14ac:dyDescent="0.25">
      <c r="A1501" s="4" t="s">
        <v>28</v>
      </c>
      <c r="B1501" s="4" t="s">
        <v>22</v>
      </c>
      <c r="C1501" s="4" t="s">
        <v>33</v>
      </c>
      <c r="D1501" s="4" t="s">
        <v>24</v>
      </c>
      <c r="E1501" s="4" t="s">
        <v>24</v>
      </c>
      <c r="F1501" s="4" t="s">
        <v>25</v>
      </c>
      <c r="G1501" s="4" t="s">
        <v>25</v>
      </c>
      <c r="H1501" s="4" t="s">
        <v>34</v>
      </c>
      <c r="I1501" s="5">
        <v>44531</v>
      </c>
      <c r="J1501" s="6">
        <v>0</v>
      </c>
      <c r="K1501" s="6">
        <v>0</v>
      </c>
      <c r="L1501" s="6">
        <v>0.53100000000000003</v>
      </c>
      <c r="M1501" s="6">
        <v>0.53100000000000003</v>
      </c>
      <c r="N1501" s="6">
        <v>0.53100000000000003</v>
      </c>
      <c r="O1501" s="6">
        <v>0.53100000000000003</v>
      </c>
      <c r="P1501" s="6">
        <v>0</v>
      </c>
      <c r="Q1501" s="4" t="s">
        <v>26</v>
      </c>
      <c r="R1501" s="4">
        <v>0</v>
      </c>
      <c r="S1501" s="4" t="s">
        <v>400</v>
      </c>
      <c r="T1501" s="4" t="s">
        <v>657</v>
      </c>
      <c r="U1501" s="4">
        <v>0</v>
      </c>
      <c r="V1501" s="4">
        <v>58</v>
      </c>
      <c r="W1501" s="4">
        <v>69</v>
      </c>
    </row>
    <row r="1502" spans="1:23" ht="11.25" customHeight="1" x14ac:dyDescent="0.25">
      <c r="A1502" s="4" t="s">
        <v>21</v>
      </c>
      <c r="B1502" s="4" t="s">
        <v>22</v>
      </c>
      <c r="C1502" s="4" t="s">
        <v>33</v>
      </c>
      <c r="D1502" s="4" t="s">
        <v>24</v>
      </c>
      <c r="E1502" s="4" t="s">
        <v>24</v>
      </c>
      <c r="F1502" s="4" t="s">
        <v>25</v>
      </c>
      <c r="G1502" s="4" t="s">
        <v>25</v>
      </c>
      <c r="H1502" s="4" t="s">
        <v>34</v>
      </c>
      <c r="I1502" s="5">
        <v>44562</v>
      </c>
      <c r="J1502" s="6">
        <v>0</v>
      </c>
      <c r="K1502" s="6">
        <v>0</v>
      </c>
      <c r="L1502" s="6">
        <v>20.518999999999998</v>
      </c>
      <c r="M1502" s="6">
        <v>20.518999999999998</v>
      </c>
      <c r="N1502" s="6">
        <v>20.518999999999998</v>
      </c>
      <c r="O1502" s="6">
        <v>20.518999999999998</v>
      </c>
      <c r="P1502" s="6">
        <v>0</v>
      </c>
      <c r="Q1502" s="4" t="s">
        <v>26</v>
      </c>
      <c r="R1502" s="4">
        <v>0</v>
      </c>
      <c r="S1502" s="4" t="s">
        <v>401</v>
      </c>
      <c r="T1502" s="4" t="s">
        <v>658</v>
      </c>
      <c r="U1502" s="4">
        <v>0</v>
      </c>
      <c r="V1502" s="4">
        <v>58</v>
      </c>
      <c r="W1502" s="4">
        <v>69</v>
      </c>
    </row>
    <row r="1503" spans="1:23" ht="11.25" customHeight="1" x14ac:dyDescent="0.25">
      <c r="A1503" s="4" t="s">
        <v>27</v>
      </c>
      <c r="B1503" s="4" t="s">
        <v>22</v>
      </c>
      <c r="C1503" s="4" t="s">
        <v>33</v>
      </c>
      <c r="D1503" s="4" t="s">
        <v>24</v>
      </c>
      <c r="E1503" s="4" t="s">
        <v>24</v>
      </c>
      <c r="F1503" s="4" t="s">
        <v>25</v>
      </c>
      <c r="G1503" s="4" t="s">
        <v>25</v>
      </c>
      <c r="H1503" s="4" t="s">
        <v>34</v>
      </c>
      <c r="I1503" s="5">
        <v>44562</v>
      </c>
      <c r="J1503" s="6">
        <v>0</v>
      </c>
      <c r="K1503" s="6">
        <v>0</v>
      </c>
      <c r="L1503" s="6">
        <v>-0.83299999999999996</v>
      </c>
      <c r="M1503" s="6">
        <v>-0.83299999999999996</v>
      </c>
      <c r="N1503" s="6">
        <v>-0.83299999999999996</v>
      </c>
      <c r="O1503" s="6">
        <v>-0.83299999999999996</v>
      </c>
      <c r="P1503" s="6">
        <v>0</v>
      </c>
      <c r="Q1503" s="4" t="s">
        <v>26</v>
      </c>
      <c r="R1503" s="4">
        <v>0</v>
      </c>
      <c r="S1503" s="4" t="s">
        <v>401</v>
      </c>
      <c r="T1503" s="4" t="s">
        <v>658</v>
      </c>
      <c r="U1503" s="4">
        <v>0</v>
      </c>
      <c r="V1503" s="4">
        <v>58</v>
      </c>
      <c r="W1503" s="4">
        <v>69</v>
      </c>
    </row>
    <row r="1504" spans="1:23" ht="11.25" customHeight="1" x14ac:dyDescent="0.25">
      <c r="A1504" s="4" t="s">
        <v>28</v>
      </c>
      <c r="B1504" s="4" t="s">
        <v>22</v>
      </c>
      <c r="C1504" s="4" t="s">
        <v>33</v>
      </c>
      <c r="D1504" s="4" t="s">
        <v>24</v>
      </c>
      <c r="E1504" s="4" t="s">
        <v>24</v>
      </c>
      <c r="F1504" s="4" t="s">
        <v>25</v>
      </c>
      <c r="G1504" s="4" t="s">
        <v>25</v>
      </c>
      <c r="H1504" s="4" t="s">
        <v>34</v>
      </c>
      <c r="I1504" s="5">
        <v>44562</v>
      </c>
      <c r="J1504" s="6">
        <v>0</v>
      </c>
      <c r="K1504" s="6">
        <v>0</v>
      </c>
      <c r="L1504" s="6">
        <v>0.19900000000000001</v>
      </c>
      <c r="M1504" s="6">
        <v>0.19900000000000001</v>
      </c>
      <c r="N1504" s="6">
        <v>0.19900000000000001</v>
      </c>
      <c r="O1504" s="6">
        <v>0.19900000000000001</v>
      </c>
      <c r="P1504" s="6">
        <v>0</v>
      </c>
      <c r="Q1504" s="4" t="s">
        <v>26</v>
      </c>
      <c r="R1504" s="4">
        <v>0</v>
      </c>
      <c r="S1504" s="4" t="s">
        <v>401</v>
      </c>
      <c r="T1504" s="4" t="s">
        <v>658</v>
      </c>
      <c r="U1504" s="4">
        <v>0</v>
      </c>
      <c r="V1504" s="4">
        <v>58</v>
      </c>
      <c r="W1504" s="4">
        <v>69</v>
      </c>
    </row>
    <row r="1505" spans="1:23" ht="11.25" customHeight="1" x14ac:dyDescent="0.25">
      <c r="A1505" s="4" t="s">
        <v>28</v>
      </c>
      <c r="B1505" s="4" t="s">
        <v>22</v>
      </c>
      <c r="C1505" s="4" t="s">
        <v>33</v>
      </c>
      <c r="D1505" s="4" t="s">
        <v>24</v>
      </c>
      <c r="E1505" s="4" t="s">
        <v>24</v>
      </c>
      <c r="F1505" s="4" t="s">
        <v>25</v>
      </c>
      <c r="G1505" s="4" t="s">
        <v>25</v>
      </c>
      <c r="H1505" s="4" t="s">
        <v>34</v>
      </c>
      <c r="I1505" s="5">
        <v>44562</v>
      </c>
      <c r="J1505" s="6">
        <v>0</v>
      </c>
      <c r="K1505" s="6">
        <v>0</v>
      </c>
      <c r="L1505" s="6">
        <v>-9.6000000000000002E-2</v>
      </c>
      <c r="M1505" s="6">
        <v>-9.6000000000000002E-2</v>
      </c>
      <c r="N1505" s="6">
        <v>-9.6000000000000002E-2</v>
      </c>
      <c r="O1505" s="6">
        <v>-9.6000000000000002E-2</v>
      </c>
      <c r="P1505" s="6">
        <v>0</v>
      </c>
      <c r="Q1505" s="4" t="s">
        <v>26</v>
      </c>
      <c r="R1505" s="4">
        <v>0</v>
      </c>
      <c r="S1505" s="4" t="s">
        <v>401</v>
      </c>
      <c r="T1505" s="4" t="s">
        <v>658</v>
      </c>
      <c r="U1505" s="4">
        <v>0</v>
      </c>
      <c r="V1505" s="4">
        <v>58</v>
      </c>
      <c r="W1505" s="4">
        <v>69</v>
      </c>
    </row>
    <row r="1506" spans="1:23" ht="11.25" customHeight="1" x14ac:dyDescent="0.25">
      <c r="A1506" s="4" t="s">
        <v>21</v>
      </c>
      <c r="B1506" s="4" t="s">
        <v>22</v>
      </c>
      <c r="C1506" s="4" t="s">
        <v>33</v>
      </c>
      <c r="D1506" s="4" t="s">
        <v>24</v>
      </c>
      <c r="E1506" s="4" t="s">
        <v>24</v>
      </c>
      <c r="F1506" s="4" t="s">
        <v>25</v>
      </c>
      <c r="G1506" s="4" t="s">
        <v>25</v>
      </c>
      <c r="H1506" s="4" t="s">
        <v>34</v>
      </c>
      <c r="I1506" s="5">
        <v>44593</v>
      </c>
      <c r="J1506" s="6">
        <v>0</v>
      </c>
      <c r="K1506" s="6">
        <v>0</v>
      </c>
      <c r="L1506" s="6">
        <v>8.9499999999999993</v>
      </c>
      <c r="M1506" s="6">
        <v>8.9499999999999993</v>
      </c>
      <c r="N1506" s="6">
        <v>8.9499999999999993</v>
      </c>
      <c r="O1506" s="6">
        <v>8.9499999999999993</v>
      </c>
      <c r="P1506" s="6">
        <v>0</v>
      </c>
      <c r="Q1506" s="4" t="s">
        <v>26</v>
      </c>
      <c r="R1506" s="4">
        <v>0</v>
      </c>
      <c r="S1506" s="4" t="s">
        <v>402</v>
      </c>
      <c r="T1506" s="4" t="s">
        <v>659</v>
      </c>
      <c r="U1506" s="4">
        <v>0</v>
      </c>
      <c r="V1506" s="4">
        <v>58</v>
      </c>
      <c r="W1506" s="4">
        <v>69</v>
      </c>
    </row>
    <row r="1507" spans="1:23" ht="11.25" customHeight="1" x14ac:dyDescent="0.25">
      <c r="A1507" s="4" t="s">
        <v>27</v>
      </c>
      <c r="B1507" s="4" t="s">
        <v>22</v>
      </c>
      <c r="C1507" s="4" t="s">
        <v>33</v>
      </c>
      <c r="D1507" s="4" t="s">
        <v>24</v>
      </c>
      <c r="E1507" s="4" t="s">
        <v>24</v>
      </c>
      <c r="F1507" s="4" t="s">
        <v>25</v>
      </c>
      <c r="G1507" s="4" t="s">
        <v>25</v>
      </c>
      <c r="H1507" s="4" t="s">
        <v>34</v>
      </c>
      <c r="I1507" s="5">
        <v>44593</v>
      </c>
      <c r="J1507" s="6">
        <v>0</v>
      </c>
      <c r="K1507" s="6">
        <v>0</v>
      </c>
      <c r="L1507" s="6">
        <v>-5.7439999999999998</v>
      </c>
      <c r="M1507" s="6">
        <v>-5.7439999999999998</v>
      </c>
      <c r="N1507" s="6">
        <v>-5.7439999999999998</v>
      </c>
      <c r="O1507" s="6">
        <v>-5.7439999999999998</v>
      </c>
      <c r="P1507" s="6">
        <v>0</v>
      </c>
      <c r="Q1507" s="4" t="s">
        <v>26</v>
      </c>
      <c r="R1507" s="4">
        <v>0</v>
      </c>
      <c r="S1507" s="4" t="s">
        <v>402</v>
      </c>
      <c r="T1507" s="4" t="s">
        <v>659</v>
      </c>
      <c r="U1507" s="4">
        <v>0</v>
      </c>
      <c r="V1507" s="4">
        <v>58</v>
      </c>
      <c r="W1507" s="4">
        <v>69</v>
      </c>
    </row>
    <row r="1508" spans="1:23" ht="11.25" customHeight="1" x14ac:dyDescent="0.25">
      <c r="A1508" s="4" t="s">
        <v>28</v>
      </c>
      <c r="B1508" s="4" t="s">
        <v>22</v>
      </c>
      <c r="C1508" s="4" t="s">
        <v>33</v>
      </c>
      <c r="D1508" s="4" t="s">
        <v>24</v>
      </c>
      <c r="E1508" s="4" t="s">
        <v>24</v>
      </c>
      <c r="F1508" s="4" t="s">
        <v>25</v>
      </c>
      <c r="G1508" s="4" t="s">
        <v>25</v>
      </c>
      <c r="H1508" s="4" t="s">
        <v>34</v>
      </c>
      <c r="I1508" s="5">
        <v>44593</v>
      </c>
      <c r="J1508" s="6">
        <v>0</v>
      </c>
      <c r="K1508" s="6">
        <v>0</v>
      </c>
      <c r="L1508" s="6">
        <v>0.189</v>
      </c>
      <c r="M1508" s="6">
        <v>0.189</v>
      </c>
      <c r="N1508" s="6">
        <v>0.189</v>
      </c>
      <c r="O1508" s="6">
        <v>0.189</v>
      </c>
      <c r="P1508" s="6">
        <v>0</v>
      </c>
      <c r="Q1508" s="4" t="s">
        <v>26</v>
      </c>
      <c r="R1508" s="4">
        <v>0</v>
      </c>
      <c r="S1508" s="4" t="s">
        <v>402</v>
      </c>
      <c r="T1508" s="4" t="s">
        <v>659</v>
      </c>
      <c r="U1508" s="4">
        <v>0</v>
      </c>
      <c r="V1508" s="4">
        <v>58</v>
      </c>
      <c r="W1508" s="4">
        <v>69</v>
      </c>
    </row>
    <row r="1509" spans="1:23" ht="11.25" customHeight="1" x14ac:dyDescent="0.25">
      <c r="A1509" s="4" t="s">
        <v>28</v>
      </c>
      <c r="B1509" s="4" t="s">
        <v>22</v>
      </c>
      <c r="C1509" s="4" t="s">
        <v>33</v>
      </c>
      <c r="D1509" s="4" t="s">
        <v>24</v>
      </c>
      <c r="E1509" s="4" t="s">
        <v>24</v>
      </c>
      <c r="F1509" s="4" t="s">
        <v>25</v>
      </c>
      <c r="G1509" s="4" t="s">
        <v>25</v>
      </c>
      <c r="H1509" s="4" t="s">
        <v>34</v>
      </c>
      <c r="I1509" s="5">
        <v>44593</v>
      </c>
      <c r="J1509" s="6">
        <v>0</v>
      </c>
      <c r="K1509" s="6">
        <v>0</v>
      </c>
      <c r="L1509" s="6">
        <v>-0.216</v>
      </c>
      <c r="M1509" s="6">
        <v>-0.216</v>
      </c>
      <c r="N1509" s="6">
        <v>-0.216</v>
      </c>
      <c r="O1509" s="6">
        <v>-0.216</v>
      </c>
      <c r="P1509" s="6">
        <v>0</v>
      </c>
      <c r="Q1509" s="4" t="s">
        <v>26</v>
      </c>
      <c r="R1509" s="4">
        <v>0</v>
      </c>
      <c r="S1509" s="4" t="s">
        <v>402</v>
      </c>
      <c r="T1509" s="4" t="s">
        <v>659</v>
      </c>
      <c r="U1509" s="4">
        <v>0</v>
      </c>
      <c r="V1509" s="4">
        <v>58</v>
      </c>
      <c r="W1509" s="4">
        <v>69</v>
      </c>
    </row>
    <row r="1510" spans="1:23" ht="11.25" customHeight="1" x14ac:dyDescent="0.25">
      <c r="A1510" s="4" t="s">
        <v>21</v>
      </c>
      <c r="B1510" s="4" t="s">
        <v>22</v>
      </c>
      <c r="C1510" s="4" t="s">
        <v>33</v>
      </c>
      <c r="D1510" s="4" t="s">
        <v>24</v>
      </c>
      <c r="E1510" s="4" t="s">
        <v>24</v>
      </c>
      <c r="F1510" s="4" t="s">
        <v>25</v>
      </c>
      <c r="G1510" s="4" t="s">
        <v>25</v>
      </c>
      <c r="H1510" s="4" t="s">
        <v>34</v>
      </c>
      <c r="I1510" s="5">
        <v>44621</v>
      </c>
      <c r="J1510" s="6">
        <v>0</v>
      </c>
      <c r="K1510" s="6">
        <v>0</v>
      </c>
      <c r="L1510" s="6">
        <v>9.4960000000000004</v>
      </c>
      <c r="M1510" s="6">
        <v>9.4960000000000004</v>
      </c>
      <c r="N1510" s="6">
        <v>9.4960000000000004</v>
      </c>
      <c r="O1510" s="6">
        <v>9.4960000000000004</v>
      </c>
      <c r="P1510" s="6">
        <v>0</v>
      </c>
      <c r="Q1510" s="4" t="s">
        <v>26</v>
      </c>
      <c r="R1510" s="4">
        <v>0</v>
      </c>
      <c r="S1510" s="4" t="s">
        <v>403</v>
      </c>
      <c r="T1510" s="4" t="s">
        <v>660</v>
      </c>
      <c r="U1510" s="4">
        <v>0</v>
      </c>
      <c r="V1510" s="4">
        <v>58</v>
      </c>
      <c r="W1510" s="4">
        <v>69</v>
      </c>
    </row>
    <row r="1511" spans="1:23" ht="11.25" customHeight="1" x14ac:dyDescent="0.25">
      <c r="A1511" s="4" t="s">
        <v>28</v>
      </c>
      <c r="B1511" s="4" t="s">
        <v>22</v>
      </c>
      <c r="C1511" s="4" t="s">
        <v>33</v>
      </c>
      <c r="D1511" s="4" t="s">
        <v>24</v>
      </c>
      <c r="E1511" s="4" t="s">
        <v>24</v>
      </c>
      <c r="F1511" s="4" t="s">
        <v>25</v>
      </c>
      <c r="G1511" s="4" t="s">
        <v>25</v>
      </c>
      <c r="H1511" s="4" t="s">
        <v>34</v>
      </c>
      <c r="I1511" s="5">
        <v>44621</v>
      </c>
      <c r="J1511" s="6">
        <v>0</v>
      </c>
      <c r="K1511" s="6">
        <v>0</v>
      </c>
      <c r="L1511" s="6">
        <v>0.42299999999999999</v>
      </c>
      <c r="M1511" s="6">
        <v>0.42299999999999999</v>
      </c>
      <c r="N1511" s="6">
        <v>0.42299999999999999</v>
      </c>
      <c r="O1511" s="6">
        <v>0.42299999999999999</v>
      </c>
      <c r="P1511" s="6">
        <v>0</v>
      </c>
      <c r="Q1511" s="4" t="s">
        <v>26</v>
      </c>
      <c r="R1511" s="4">
        <v>0</v>
      </c>
      <c r="S1511" s="4" t="s">
        <v>403</v>
      </c>
      <c r="T1511" s="4" t="s">
        <v>660</v>
      </c>
      <c r="U1511" s="4">
        <v>0</v>
      </c>
      <c r="V1511" s="4">
        <v>58</v>
      </c>
      <c r="W1511" s="4">
        <v>69</v>
      </c>
    </row>
    <row r="1512" spans="1:23" ht="11.25" customHeight="1" x14ac:dyDescent="0.25">
      <c r="A1512" s="4" t="s">
        <v>21</v>
      </c>
      <c r="B1512" s="4" t="s">
        <v>22</v>
      </c>
      <c r="C1512" s="4" t="s">
        <v>33</v>
      </c>
      <c r="D1512" s="4" t="s">
        <v>24</v>
      </c>
      <c r="E1512" s="4" t="s">
        <v>24</v>
      </c>
      <c r="F1512" s="4" t="s">
        <v>25</v>
      </c>
      <c r="G1512" s="4" t="s">
        <v>25</v>
      </c>
      <c r="H1512" s="4" t="s">
        <v>34</v>
      </c>
      <c r="I1512" s="5">
        <v>44652</v>
      </c>
      <c r="J1512" s="6">
        <v>0</v>
      </c>
      <c r="K1512" s="6">
        <v>0</v>
      </c>
      <c r="L1512" s="6">
        <v>7.9119999999999999</v>
      </c>
      <c r="M1512" s="6">
        <v>7.9119999999999999</v>
      </c>
      <c r="N1512" s="6">
        <v>7.9119999999999999</v>
      </c>
      <c r="O1512" s="6">
        <v>7.9119999999999999</v>
      </c>
      <c r="P1512" s="6">
        <v>0</v>
      </c>
      <c r="Q1512" s="4" t="s">
        <v>26</v>
      </c>
      <c r="R1512" s="4">
        <v>0</v>
      </c>
      <c r="S1512" s="4" t="s">
        <v>404</v>
      </c>
      <c r="T1512" s="4" t="s">
        <v>661</v>
      </c>
      <c r="U1512" s="4">
        <v>0</v>
      </c>
      <c r="V1512" s="4">
        <v>58</v>
      </c>
      <c r="W1512" s="4">
        <v>69</v>
      </c>
    </row>
    <row r="1513" spans="1:23" ht="11.25" customHeight="1" x14ac:dyDescent="0.25">
      <c r="A1513" s="4" t="s">
        <v>28</v>
      </c>
      <c r="B1513" s="4" t="s">
        <v>22</v>
      </c>
      <c r="C1513" s="4" t="s">
        <v>33</v>
      </c>
      <c r="D1513" s="4" t="s">
        <v>24</v>
      </c>
      <c r="E1513" s="4" t="s">
        <v>24</v>
      </c>
      <c r="F1513" s="4" t="s">
        <v>25</v>
      </c>
      <c r="G1513" s="4" t="s">
        <v>25</v>
      </c>
      <c r="H1513" s="4" t="s">
        <v>34</v>
      </c>
      <c r="I1513" s="5">
        <v>44652</v>
      </c>
      <c r="J1513" s="6">
        <v>0</v>
      </c>
      <c r="K1513" s="6">
        <v>0</v>
      </c>
      <c r="L1513" s="6">
        <v>0.16200000000000001</v>
      </c>
      <c r="M1513" s="6">
        <v>0.16200000000000001</v>
      </c>
      <c r="N1513" s="6">
        <v>0.16200000000000001</v>
      </c>
      <c r="O1513" s="6">
        <v>0.16200000000000001</v>
      </c>
      <c r="P1513" s="6">
        <v>0</v>
      </c>
      <c r="Q1513" s="4" t="s">
        <v>26</v>
      </c>
      <c r="R1513" s="4">
        <v>0</v>
      </c>
      <c r="S1513" s="4" t="s">
        <v>404</v>
      </c>
      <c r="T1513" s="4" t="s">
        <v>661</v>
      </c>
      <c r="U1513" s="4">
        <v>0</v>
      </c>
      <c r="V1513" s="4">
        <v>58</v>
      </c>
      <c r="W1513" s="4">
        <v>69</v>
      </c>
    </row>
    <row r="1514" spans="1:23" ht="11.25" customHeight="1" x14ac:dyDescent="0.25">
      <c r="A1514" s="4" t="s">
        <v>21</v>
      </c>
      <c r="B1514" s="4" t="s">
        <v>22</v>
      </c>
      <c r="C1514" s="4" t="s">
        <v>33</v>
      </c>
      <c r="D1514" s="4" t="s">
        <v>24</v>
      </c>
      <c r="E1514" s="4" t="s">
        <v>24</v>
      </c>
      <c r="F1514" s="4" t="s">
        <v>25</v>
      </c>
      <c r="G1514" s="4" t="s">
        <v>25</v>
      </c>
      <c r="H1514" s="4" t="s">
        <v>34</v>
      </c>
      <c r="I1514" s="5">
        <v>44682</v>
      </c>
      <c r="J1514" s="6">
        <v>0</v>
      </c>
      <c r="K1514" s="6">
        <v>0</v>
      </c>
      <c r="L1514" s="6">
        <v>8.0280000000000005</v>
      </c>
      <c r="M1514" s="6">
        <v>8.0280000000000005</v>
      </c>
      <c r="N1514" s="6">
        <v>8.0280000000000005</v>
      </c>
      <c r="O1514" s="6">
        <v>8.0280000000000005</v>
      </c>
      <c r="P1514" s="6">
        <v>0</v>
      </c>
      <c r="Q1514" s="4" t="s">
        <v>26</v>
      </c>
      <c r="R1514" s="4">
        <v>0</v>
      </c>
      <c r="S1514" s="4" t="s">
        <v>405</v>
      </c>
      <c r="T1514" s="4" t="s">
        <v>662</v>
      </c>
      <c r="U1514" s="4">
        <v>0</v>
      </c>
      <c r="V1514" s="4">
        <v>58</v>
      </c>
      <c r="W1514" s="4">
        <v>69</v>
      </c>
    </row>
    <row r="1515" spans="1:23" ht="11.25" customHeight="1" x14ac:dyDescent="0.25">
      <c r="A1515" s="4" t="s">
        <v>27</v>
      </c>
      <c r="B1515" s="4" t="s">
        <v>22</v>
      </c>
      <c r="C1515" s="4" t="s">
        <v>33</v>
      </c>
      <c r="D1515" s="4" t="s">
        <v>24</v>
      </c>
      <c r="E1515" s="4" t="s">
        <v>24</v>
      </c>
      <c r="F1515" s="4" t="s">
        <v>25</v>
      </c>
      <c r="G1515" s="4" t="s">
        <v>25</v>
      </c>
      <c r="H1515" s="4" t="s">
        <v>34</v>
      </c>
      <c r="I1515" s="5">
        <v>44682</v>
      </c>
      <c r="J1515" s="6">
        <v>0</v>
      </c>
      <c r="K1515" s="6">
        <v>0</v>
      </c>
      <c r="L1515" s="6">
        <v>-3.7029999999999998</v>
      </c>
      <c r="M1515" s="6">
        <v>-3.7029999999999998</v>
      </c>
      <c r="N1515" s="6">
        <v>-3.7029999999999998</v>
      </c>
      <c r="O1515" s="6">
        <v>-3.7029999999999998</v>
      </c>
      <c r="P1515" s="6">
        <v>0</v>
      </c>
      <c r="Q1515" s="4" t="s">
        <v>26</v>
      </c>
      <c r="R1515" s="4">
        <v>0</v>
      </c>
      <c r="S1515" s="4" t="s">
        <v>405</v>
      </c>
      <c r="T1515" s="4" t="s">
        <v>662</v>
      </c>
      <c r="U1515" s="4">
        <v>0</v>
      </c>
      <c r="V1515" s="4">
        <v>58</v>
      </c>
      <c r="W1515" s="4">
        <v>69</v>
      </c>
    </row>
    <row r="1516" spans="1:23" ht="11.25" customHeight="1" x14ac:dyDescent="0.25">
      <c r="A1516" s="4" t="s">
        <v>28</v>
      </c>
      <c r="B1516" s="4" t="s">
        <v>22</v>
      </c>
      <c r="C1516" s="4" t="s">
        <v>33</v>
      </c>
      <c r="D1516" s="4" t="s">
        <v>24</v>
      </c>
      <c r="E1516" s="4" t="s">
        <v>24</v>
      </c>
      <c r="F1516" s="4" t="s">
        <v>25</v>
      </c>
      <c r="G1516" s="4" t="s">
        <v>25</v>
      </c>
      <c r="H1516" s="4" t="s">
        <v>34</v>
      </c>
      <c r="I1516" s="5">
        <v>44682</v>
      </c>
      <c r="J1516" s="6">
        <v>0</v>
      </c>
      <c r="K1516" s="6">
        <v>0</v>
      </c>
      <c r="L1516" s="6">
        <v>0.16700000000000001</v>
      </c>
      <c r="M1516" s="6">
        <v>0.16700000000000001</v>
      </c>
      <c r="N1516" s="6">
        <v>0.16700000000000001</v>
      </c>
      <c r="O1516" s="6">
        <v>0.16700000000000001</v>
      </c>
      <c r="P1516" s="6">
        <v>0</v>
      </c>
      <c r="Q1516" s="4" t="s">
        <v>26</v>
      </c>
      <c r="R1516" s="4">
        <v>0</v>
      </c>
      <c r="S1516" s="4" t="s">
        <v>405</v>
      </c>
      <c r="T1516" s="4" t="s">
        <v>662</v>
      </c>
      <c r="U1516" s="4">
        <v>0</v>
      </c>
      <c r="V1516" s="4">
        <v>58</v>
      </c>
      <c r="W1516" s="4">
        <v>69</v>
      </c>
    </row>
    <row r="1517" spans="1:23" ht="11.25" customHeight="1" x14ac:dyDescent="0.25">
      <c r="A1517" s="4" t="s">
        <v>21</v>
      </c>
      <c r="B1517" s="4" t="s">
        <v>22</v>
      </c>
      <c r="C1517" s="4" t="s">
        <v>33</v>
      </c>
      <c r="D1517" s="4" t="s">
        <v>24</v>
      </c>
      <c r="E1517" s="4" t="s">
        <v>24</v>
      </c>
      <c r="F1517" s="4" t="s">
        <v>25</v>
      </c>
      <c r="G1517" s="4" t="s">
        <v>25</v>
      </c>
      <c r="H1517" s="4" t="s">
        <v>34</v>
      </c>
      <c r="I1517" s="5">
        <v>44713</v>
      </c>
      <c r="J1517" s="6">
        <v>0</v>
      </c>
      <c r="K1517" s="6">
        <v>0</v>
      </c>
      <c r="L1517" s="6">
        <v>7.9320000000000004</v>
      </c>
      <c r="M1517" s="6">
        <v>7.9320000000000004</v>
      </c>
      <c r="N1517" s="6">
        <v>7.9320000000000004</v>
      </c>
      <c r="O1517" s="6">
        <v>7.9320000000000004</v>
      </c>
      <c r="P1517" s="6">
        <v>0</v>
      </c>
      <c r="Q1517" s="4" t="s">
        <v>26</v>
      </c>
      <c r="R1517" s="4">
        <v>0</v>
      </c>
      <c r="S1517" s="4" t="s">
        <v>406</v>
      </c>
      <c r="T1517" s="4" t="s">
        <v>663</v>
      </c>
      <c r="U1517" s="4">
        <v>0</v>
      </c>
      <c r="V1517" s="4">
        <v>58</v>
      </c>
      <c r="W1517" s="4">
        <v>69</v>
      </c>
    </row>
    <row r="1518" spans="1:23" ht="11.25" customHeight="1" x14ac:dyDescent="0.25">
      <c r="A1518" s="4" t="s">
        <v>28</v>
      </c>
      <c r="B1518" s="4" t="s">
        <v>22</v>
      </c>
      <c r="C1518" s="4" t="s">
        <v>33</v>
      </c>
      <c r="D1518" s="4" t="s">
        <v>24</v>
      </c>
      <c r="E1518" s="4" t="s">
        <v>24</v>
      </c>
      <c r="F1518" s="4" t="s">
        <v>25</v>
      </c>
      <c r="G1518" s="4" t="s">
        <v>25</v>
      </c>
      <c r="H1518" s="4" t="s">
        <v>34</v>
      </c>
      <c r="I1518" s="5">
        <v>44713</v>
      </c>
      <c r="J1518" s="6">
        <v>0</v>
      </c>
      <c r="K1518" s="6">
        <v>0</v>
      </c>
      <c r="L1518" s="6">
        <v>0.20100000000000001</v>
      </c>
      <c r="M1518" s="6">
        <v>0.20100000000000001</v>
      </c>
      <c r="N1518" s="6">
        <v>0.20100000000000001</v>
      </c>
      <c r="O1518" s="6">
        <v>0.20100000000000001</v>
      </c>
      <c r="P1518" s="6">
        <v>0</v>
      </c>
      <c r="Q1518" s="4" t="s">
        <v>26</v>
      </c>
      <c r="R1518" s="4">
        <v>0</v>
      </c>
      <c r="S1518" s="4" t="s">
        <v>406</v>
      </c>
      <c r="T1518" s="4" t="s">
        <v>663</v>
      </c>
      <c r="U1518" s="4">
        <v>0</v>
      </c>
      <c r="V1518" s="4">
        <v>58</v>
      </c>
      <c r="W1518" s="4">
        <v>69</v>
      </c>
    </row>
    <row r="1519" spans="1:23" ht="11.25" customHeight="1" x14ac:dyDescent="0.25">
      <c r="A1519" s="4" t="s">
        <v>57</v>
      </c>
      <c r="B1519" s="4" t="s">
        <v>22</v>
      </c>
      <c r="C1519" s="4" t="s">
        <v>33</v>
      </c>
      <c r="D1519" s="4" t="s">
        <v>24</v>
      </c>
      <c r="E1519" s="4" t="s">
        <v>24</v>
      </c>
      <c r="F1519" s="4" t="s">
        <v>25</v>
      </c>
      <c r="G1519" s="4" t="s">
        <v>25</v>
      </c>
      <c r="H1519" s="4" t="s">
        <v>34</v>
      </c>
      <c r="I1519" s="5">
        <v>44743</v>
      </c>
      <c r="J1519" s="6">
        <v>0</v>
      </c>
      <c r="K1519" s="6">
        <v>0</v>
      </c>
      <c r="L1519" s="6">
        <v>7.9320000000000004</v>
      </c>
      <c r="M1519" s="6">
        <v>7.9320000000000004</v>
      </c>
      <c r="N1519" s="6">
        <v>7.9320000000000004</v>
      </c>
      <c r="O1519" s="6">
        <v>7.9320000000000004</v>
      </c>
      <c r="P1519" s="6">
        <v>0</v>
      </c>
      <c r="Q1519" s="4" t="s">
        <v>26</v>
      </c>
      <c r="R1519" s="4">
        <v>0</v>
      </c>
      <c r="S1519" s="4" t="s">
        <v>407</v>
      </c>
      <c r="T1519" s="4" t="s">
        <v>664</v>
      </c>
      <c r="U1519" s="4">
        <v>0</v>
      </c>
      <c r="V1519" s="4">
        <v>58</v>
      </c>
      <c r="W1519" s="4">
        <v>69</v>
      </c>
    </row>
    <row r="1520" spans="1:23" ht="11.25" customHeight="1" x14ac:dyDescent="0.25">
      <c r="A1520" s="4" t="s">
        <v>57</v>
      </c>
      <c r="B1520" s="4" t="s">
        <v>22</v>
      </c>
      <c r="C1520" s="4" t="s">
        <v>33</v>
      </c>
      <c r="D1520" s="4" t="s">
        <v>24</v>
      </c>
      <c r="E1520" s="4" t="s">
        <v>24</v>
      </c>
      <c r="F1520" s="4" t="s">
        <v>25</v>
      </c>
      <c r="G1520" s="4" t="s">
        <v>25</v>
      </c>
      <c r="H1520" s="4" t="s">
        <v>34</v>
      </c>
      <c r="I1520" s="5">
        <v>44743</v>
      </c>
      <c r="J1520" s="6">
        <v>0</v>
      </c>
      <c r="K1520" s="6">
        <v>0</v>
      </c>
      <c r="L1520" s="6">
        <v>0.20100000000000001</v>
      </c>
      <c r="M1520" s="6">
        <v>0.20100000000000001</v>
      </c>
      <c r="N1520" s="6">
        <v>0.20100000000000001</v>
      </c>
      <c r="O1520" s="6">
        <v>0.20100000000000001</v>
      </c>
      <c r="P1520" s="6">
        <v>0</v>
      </c>
      <c r="Q1520" s="4" t="s">
        <v>26</v>
      </c>
      <c r="R1520" s="4">
        <v>0</v>
      </c>
      <c r="S1520" s="4" t="s">
        <v>407</v>
      </c>
      <c r="T1520" s="4" t="s">
        <v>664</v>
      </c>
      <c r="U1520" s="4">
        <v>0</v>
      </c>
      <c r="V1520" s="4">
        <v>58</v>
      </c>
      <c r="W1520" s="4">
        <v>69</v>
      </c>
    </row>
    <row r="1521" spans="1:23" ht="11.25" customHeight="1" x14ac:dyDescent="0.25">
      <c r="A1521" s="4" t="s">
        <v>21</v>
      </c>
      <c r="B1521" s="4" t="s">
        <v>22</v>
      </c>
      <c r="C1521" s="4" t="s">
        <v>23</v>
      </c>
      <c r="D1521" s="4" t="s">
        <v>24</v>
      </c>
      <c r="E1521" s="4" t="s">
        <v>24</v>
      </c>
      <c r="F1521" s="4" t="s">
        <v>25</v>
      </c>
      <c r="G1521" s="4" t="s">
        <v>25</v>
      </c>
      <c r="H1521" s="4" t="s">
        <v>25</v>
      </c>
      <c r="I1521" s="5">
        <v>44409</v>
      </c>
      <c r="J1521" s="6">
        <v>0</v>
      </c>
      <c r="K1521" s="6">
        <v>0</v>
      </c>
      <c r="L1521" s="6">
        <v>107190.459</v>
      </c>
      <c r="M1521" s="6">
        <v>107190.459</v>
      </c>
      <c r="N1521" s="6">
        <v>107190.459</v>
      </c>
      <c r="O1521" s="6">
        <v>107190.459</v>
      </c>
      <c r="P1521" s="6">
        <v>796021</v>
      </c>
      <c r="Q1521" s="4" t="s">
        <v>26</v>
      </c>
      <c r="R1521" s="4">
        <v>0</v>
      </c>
      <c r="S1521" s="4" t="s">
        <v>408</v>
      </c>
      <c r="T1521" s="4" t="s">
        <v>665</v>
      </c>
      <c r="U1521" s="4">
        <v>0</v>
      </c>
      <c r="V1521" s="4">
        <v>2</v>
      </c>
      <c r="W1521" s="4">
        <v>72</v>
      </c>
    </row>
    <row r="1522" spans="1:23" ht="11.25" customHeight="1" x14ac:dyDescent="0.25">
      <c r="A1522" s="4" t="s">
        <v>27</v>
      </c>
      <c r="B1522" s="4" t="s">
        <v>22</v>
      </c>
      <c r="C1522" s="4" t="s">
        <v>23</v>
      </c>
      <c r="D1522" s="4" t="s">
        <v>24</v>
      </c>
      <c r="E1522" s="4" t="s">
        <v>24</v>
      </c>
      <c r="F1522" s="4" t="s">
        <v>25</v>
      </c>
      <c r="G1522" s="4" t="s">
        <v>25</v>
      </c>
      <c r="H1522" s="4" t="s">
        <v>25</v>
      </c>
      <c r="I1522" s="5">
        <v>44409</v>
      </c>
      <c r="J1522" s="6">
        <v>0</v>
      </c>
      <c r="K1522" s="6">
        <v>0</v>
      </c>
      <c r="L1522" s="6">
        <v>-461.32799999999997</v>
      </c>
      <c r="M1522" s="6">
        <v>-461.32799999999997</v>
      </c>
      <c r="N1522" s="6">
        <v>-461.32799999999997</v>
      </c>
      <c r="O1522" s="6">
        <v>-461.32799999999997</v>
      </c>
      <c r="P1522" s="6">
        <v>-1179</v>
      </c>
      <c r="Q1522" s="4" t="s">
        <v>26</v>
      </c>
      <c r="R1522" s="4">
        <v>0</v>
      </c>
      <c r="S1522" s="4" t="s">
        <v>408</v>
      </c>
      <c r="T1522" s="4" t="s">
        <v>665</v>
      </c>
      <c r="U1522" s="4">
        <v>0</v>
      </c>
      <c r="V1522" s="4">
        <v>2</v>
      </c>
      <c r="W1522" s="4">
        <v>72</v>
      </c>
    </row>
    <row r="1523" spans="1:23" ht="11.25" customHeight="1" x14ac:dyDescent="0.25">
      <c r="A1523" s="4" t="s">
        <v>28</v>
      </c>
      <c r="B1523" s="4" t="s">
        <v>22</v>
      </c>
      <c r="C1523" s="4" t="s">
        <v>23</v>
      </c>
      <c r="D1523" s="4" t="s">
        <v>24</v>
      </c>
      <c r="E1523" s="4" t="s">
        <v>24</v>
      </c>
      <c r="F1523" s="4" t="s">
        <v>25</v>
      </c>
      <c r="G1523" s="4" t="s">
        <v>25</v>
      </c>
      <c r="H1523" s="4" t="s">
        <v>25</v>
      </c>
      <c r="I1523" s="5">
        <v>44409</v>
      </c>
      <c r="J1523" s="6">
        <v>0</v>
      </c>
      <c r="K1523" s="6">
        <v>0</v>
      </c>
      <c r="L1523" s="6">
        <v>1477.511</v>
      </c>
      <c r="M1523" s="6">
        <v>1477.511</v>
      </c>
      <c r="N1523" s="6">
        <v>1477.511</v>
      </c>
      <c r="O1523" s="6">
        <v>1477.511</v>
      </c>
      <c r="P1523" s="6">
        <v>12238</v>
      </c>
      <c r="Q1523" s="4" t="s">
        <v>26</v>
      </c>
      <c r="R1523" s="4">
        <v>0</v>
      </c>
      <c r="S1523" s="4" t="s">
        <v>408</v>
      </c>
      <c r="T1523" s="4" t="s">
        <v>665</v>
      </c>
      <c r="U1523" s="4">
        <v>0</v>
      </c>
      <c r="V1523" s="4">
        <v>2</v>
      </c>
      <c r="W1523" s="4">
        <v>72</v>
      </c>
    </row>
    <row r="1524" spans="1:23" ht="11.25" customHeight="1" x14ac:dyDescent="0.25">
      <c r="A1524" s="4" t="s">
        <v>28</v>
      </c>
      <c r="B1524" s="4" t="s">
        <v>22</v>
      </c>
      <c r="C1524" s="4" t="s">
        <v>23</v>
      </c>
      <c r="D1524" s="4" t="s">
        <v>24</v>
      </c>
      <c r="E1524" s="4" t="s">
        <v>24</v>
      </c>
      <c r="F1524" s="4" t="s">
        <v>25</v>
      </c>
      <c r="G1524" s="4" t="s">
        <v>25</v>
      </c>
      <c r="H1524" s="4" t="s">
        <v>25</v>
      </c>
      <c r="I1524" s="5">
        <v>44409</v>
      </c>
      <c r="J1524" s="6">
        <v>0</v>
      </c>
      <c r="K1524" s="6">
        <v>0</v>
      </c>
      <c r="L1524" s="6">
        <v>-2.9390000000000001</v>
      </c>
      <c r="M1524" s="6">
        <v>-2.9390000000000001</v>
      </c>
      <c r="N1524" s="6">
        <v>-2.9390000000000001</v>
      </c>
      <c r="O1524" s="6">
        <v>-2.9390000000000001</v>
      </c>
      <c r="P1524" s="6">
        <v>0</v>
      </c>
      <c r="Q1524" s="4" t="s">
        <v>26</v>
      </c>
      <c r="R1524" s="4">
        <v>0</v>
      </c>
      <c r="S1524" s="4" t="s">
        <v>408</v>
      </c>
      <c r="T1524" s="4" t="s">
        <v>665</v>
      </c>
      <c r="U1524" s="4">
        <v>0</v>
      </c>
      <c r="V1524" s="4">
        <v>2</v>
      </c>
      <c r="W1524" s="4">
        <v>72</v>
      </c>
    </row>
    <row r="1525" spans="1:23" ht="11.25" customHeight="1" x14ac:dyDescent="0.25">
      <c r="A1525" s="4" t="s">
        <v>21</v>
      </c>
      <c r="B1525" s="4" t="s">
        <v>22</v>
      </c>
      <c r="C1525" s="4" t="s">
        <v>23</v>
      </c>
      <c r="D1525" s="4" t="s">
        <v>24</v>
      </c>
      <c r="E1525" s="4" t="s">
        <v>24</v>
      </c>
      <c r="F1525" s="4" t="s">
        <v>25</v>
      </c>
      <c r="G1525" s="4" t="s">
        <v>25</v>
      </c>
      <c r="H1525" s="4" t="s">
        <v>25</v>
      </c>
      <c r="I1525" s="5">
        <v>44440</v>
      </c>
      <c r="J1525" s="6">
        <v>0</v>
      </c>
      <c r="K1525" s="6">
        <v>0</v>
      </c>
      <c r="L1525" s="6">
        <v>107684.817</v>
      </c>
      <c r="M1525" s="6">
        <v>107684.817</v>
      </c>
      <c r="N1525" s="6">
        <v>107684.817</v>
      </c>
      <c r="O1525" s="6">
        <v>107684.817</v>
      </c>
      <c r="P1525" s="6">
        <v>800974</v>
      </c>
      <c r="Q1525" s="4" t="s">
        <v>26</v>
      </c>
      <c r="R1525" s="4">
        <v>0</v>
      </c>
      <c r="S1525" s="4" t="s">
        <v>409</v>
      </c>
      <c r="T1525" s="4" t="s">
        <v>666</v>
      </c>
      <c r="U1525" s="4">
        <v>0</v>
      </c>
      <c r="V1525" s="4">
        <v>2</v>
      </c>
      <c r="W1525" s="4">
        <v>72</v>
      </c>
    </row>
    <row r="1526" spans="1:23" ht="11.25" customHeight="1" x14ac:dyDescent="0.25">
      <c r="A1526" s="4" t="s">
        <v>27</v>
      </c>
      <c r="B1526" s="4" t="s">
        <v>22</v>
      </c>
      <c r="C1526" s="4" t="s">
        <v>23</v>
      </c>
      <c r="D1526" s="4" t="s">
        <v>24</v>
      </c>
      <c r="E1526" s="4" t="s">
        <v>24</v>
      </c>
      <c r="F1526" s="4" t="s">
        <v>25</v>
      </c>
      <c r="G1526" s="4" t="s">
        <v>25</v>
      </c>
      <c r="H1526" s="4" t="s">
        <v>25</v>
      </c>
      <c r="I1526" s="5">
        <v>44440</v>
      </c>
      <c r="J1526" s="6">
        <v>0</v>
      </c>
      <c r="K1526" s="6">
        <v>0</v>
      </c>
      <c r="L1526" s="6">
        <v>-181.28899999999999</v>
      </c>
      <c r="M1526" s="6">
        <v>-181.28899999999999</v>
      </c>
      <c r="N1526" s="6">
        <v>-181.28899999999999</v>
      </c>
      <c r="O1526" s="6">
        <v>-181.28899999999999</v>
      </c>
      <c r="P1526" s="6">
        <v>-68</v>
      </c>
      <c r="Q1526" s="4" t="s">
        <v>26</v>
      </c>
      <c r="R1526" s="4">
        <v>0</v>
      </c>
      <c r="S1526" s="4" t="s">
        <v>409</v>
      </c>
      <c r="T1526" s="4" t="s">
        <v>666</v>
      </c>
      <c r="U1526" s="4">
        <v>0</v>
      </c>
      <c r="V1526" s="4">
        <v>2</v>
      </c>
      <c r="W1526" s="4">
        <v>72</v>
      </c>
    </row>
    <row r="1527" spans="1:23" ht="11.25" customHeight="1" x14ac:dyDescent="0.25">
      <c r="A1527" s="4" t="s">
        <v>28</v>
      </c>
      <c r="B1527" s="4" t="s">
        <v>22</v>
      </c>
      <c r="C1527" s="4" t="s">
        <v>23</v>
      </c>
      <c r="D1527" s="4" t="s">
        <v>24</v>
      </c>
      <c r="E1527" s="4" t="s">
        <v>24</v>
      </c>
      <c r="F1527" s="4" t="s">
        <v>25</v>
      </c>
      <c r="G1527" s="4" t="s">
        <v>25</v>
      </c>
      <c r="H1527" s="4" t="s">
        <v>25</v>
      </c>
      <c r="I1527" s="5">
        <v>44440</v>
      </c>
      <c r="J1527" s="6">
        <v>0</v>
      </c>
      <c r="K1527" s="6">
        <v>0</v>
      </c>
      <c r="L1527" s="6">
        <v>1454.088</v>
      </c>
      <c r="M1527" s="6">
        <v>1454.088</v>
      </c>
      <c r="N1527" s="6">
        <v>1454.088</v>
      </c>
      <c r="O1527" s="6">
        <v>1454.088</v>
      </c>
      <c r="P1527" s="6">
        <v>13132</v>
      </c>
      <c r="Q1527" s="4" t="s">
        <v>26</v>
      </c>
      <c r="R1527" s="4">
        <v>0</v>
      </c>
      <c r="S1527" s="4" t="s">
        <v>409</v>
      </c>
      <c r="T1527" s="4" t="s">
        <v>666</v>
      </c>
      <c r="U1527" s="4">
        <v>0</v>
      </c>
      <c r="V1527" s="4">
        <v>2</v>
      </c>
      <c r="W1527" s="4">
        <v>72</v>
      </c>
    </row>
    <row r="1528" spans="1:23" ht="11.25" customHeight="1" x14ac:dyDescent="0.25">
      <c r="A1528" s="4" t="s">
        <v>28</v>
      </c>
      <c r="B1528" s="4" t="s">
        <v>22</v>
      </c>
      <c r="C1528" s="4" t="s">
        <v>23</v>
      </c>
      <c r="D1528" s="4" t="s">
        <v>24</v>
      </c>
      <c r="E1528" s="4" t="s">
        <v>24</v>
      </c>
      <c r="F1528" s="4" t="s">
        <v>25</v>
      </c>
      <c r="G1528" s="4" t="s">
        <v>25</v>
      </c>
      <c r="H1528" s="4" t="s">
        <v>25</v>
      </c>
      <c r="I1528" s="5">
        <v>44440</v>
      </c>
      <c r="J1528" s="6">
        <v>0</v>
      </c>
      <c r="K1528" s="6">
        <v>0</v>
      </c>
      <c r="L1528" s="6">
        <v>-8.2390000000000008</v>
      </c>
      <c r="M1528" s="6">
        <v>-8.2390000000000008</v>
      </c>
      <c r="N1528" s="6">
        <v>-8.2390000000000008</v>
      </c>
      <c r="O1528" s="6">
        <v>-8.2390000000000008</v>
      </c>
      <c r="P1528" s="6">
        <v>0</v>
      </c>
      <c r="Q1528" s="4" t="s">
        <v>26</v>
      </c>
      <c r="R1528" s="4">
        <v>0</v>
      </c>
      <c r="S1528" s="4" t="s">
        <v>409</v>
      </c>
      <c r="T1528" s="4" t="s">
        <v>666</v>
      </c>
      <c r="U1528" s="4">
        <v>0</v>
      </c>
      <c r="V1528" s="4">
        <v>2</v>
      </c>
      <c r="W1528" s="4">
        <v>72</v>
      </c>
    </row>
    <row r="1529" spans="1:23" ht="11.25" customHeight="1" x14ac:dyDescent="0.25">
      <c r="A1529" s="4" t="s">
        <v>21</v>
      </c>
      <c r="B1529" s="4" t="s">
        <v>22</v>
      </c>
      <c r="C1529" s="4" t="s">
        <v>23</v>
      </c>
      <c r="D1529" s="4" t="s">
        <v>24</v>
      </c>
      <c r="E1529" s="4" t="s">
        <v>24</v>
      </c>
      <c r="F1529" s="4" t="s">
        <v>25</v>
      </c>
      <c r="G1529" s="4" t="s">
        <v>25</v>
      </c>
      <c r="H1529" s="4" t="s">
        <v>25</v>
      </c>
      <c r="I1529" s="5">
        <v>44470</v>
      </c>
      <c r="J1529" s="6">
        <v>0</v>
      </c>
      <c r="K1529" s="6">
        <v>0</v>
      </c>
      <c r="L1529" s="6">
        <v>116357.45299999999</v>
      </c>
      <c r="M1529" s="6">
        <v>116357.45299999999</v>
      </c>
      <c r="N1529" s="6">
        <v>116357.45299999999</v>
      </c>
      <c r="O1529" s="6">
        <v>116357.45299999999</v>
      </c>
      <c r="P1529" s="6">
        <v>796938</v>
      </c>
      <c r="Q1529" s="4" t="s">
        <v>26</v>
      </c>
      <c r="R1529" s="4">
        <v>0</v>
      </c>
      <c r="S1529" s="4" t="s">
        <v>410</v>
      </c>
      <c r="T1529" s="4" t="s">
        <v>667</v>
      </c>
      <c r="U1529" s="4">
        <v>0</v>
      </c>
      <c r="V1529" s="4">
        <v>2</v>
      </c>
      <c r="W1529" s="4">
        <v>72</v>
      </c>
    </row>
    <row r="1530" spans="1:23" ht="11.25" customHeight="1" x14ac:dyDescent="0.25">
      <c r="A1530" s="4" t="s">
        <v>27</v>
      </c>
      <c r="B1530" s="4" t="s">
        <v>22</v>
      </c>
      <c r="C1530" s="4" t="s">
        <v>23</v>
      </c>
      <c r="D1530" s="4" t="s">
        <v>24</v>
      </c>
      <c r="E1530" s="4" t="s">
        <v>24</v>
      </c>
      <c r="F1530" s="4" t="s">
        <v>25</v>
      </c>
      <c r="G1530" s="4" t="s">
        <v>25</v>
      </c>
      <c r="H1530" s="4" t="s">
        <v>25</v>
      </c>
      <c r="I1530" s="5">
        <v>44470</v>
      </c>
      <c r="J1530" s="6">
        <v>0</v>
      </c>
      <c r="K1530" s="6">
        <v>0</v>
      </c>
      <c r="L1530" s="6">
        <v>-134.37799999999999</v>
      </c>
      <c r="M1530" s="6">
        <v>-134.37799999999999</v>
      </c>
      <c r="N1530" s="6">
        <v>-134.37799999999999</v>
      </c>
      <c r="O1530" s="6">
        <v>-134.37799999999999</v>
      </c>
      <c r="P1530" s="6">
        <v>-65</v>
      </c>
      <c r="Q1530" s="4" t="s">
        <v>26</v>
      </c>
      <c r="R1530" s="4">
        <v>0</v>
      </c>
      <c r="S1530" s="4" t="s">
        <v>410</v>
      </c>
      <c r="T1530" s="4" t="s">
        <v>667</v>
      </c>
      <c r="U1530" s="4">
        <v>0</v>
      </c>
      <c r="V1530" s="4">
        <v>2</v>
      </c>
      <c r="W1530" s="4">
        <v>72</v>
      </c>
    </row>
    <row r="1531" spans="1:23" ht="11.25" customHeight="1" x14ac:dyDescent="0.25">
      <c r="A1531" s="4" t="s">
        <v>28</v>
      </c>
      <c r="B1531" s="4" t="s">
        <v>22</v>
      </c>
      <c r="C1531" s="4" t="s">
        <v>23</v>
      </c>
      <c r="D1531" s="4" t="s">
        <v>24</v>
      </c>
      <c r="E1531" s="4" t="s">
        <v>24</v>
      </c>
      <c r="F1531" s="4" t="s">
        <v>25</v>
      </c>
      <c r="G1531" s="4" t="s">
        <v>25</v>
      </c>
      <c r="H1531" s="4" t="s">
        <v>25</v>
      </c>
      <c r="I1531" s="5">
        <v>44470</v>
      </c>
      <c r="J1531" s="6">
        <v>0</v>
      </c>
      <c r="K1531" s="6">
        <v>0</v>
      </c>
      <c r="L1531" s="6">
        <v>1719.9639999999999</v>
      </c>
      <c r="M1531" s="6">
        <v>1719.9639999999999</v>
      </c>
      <c r="N1531" s="6">
        <v>1719.9639999999999</v>
      </c>
      <c r="O1531" s="6">
        <v>1719.9639999999999</v>
      </c>
      <c r="P1531" s="6">
        <v>13953</v>
      </c>
      <c r="Q1531" s="4" t="s">
        <v>26</v>
      </c>
      <c r="R1531" s="4">
        <v>0</v>
      </c>
      <c r="S1531" s="4" t="s">
        <v>410</v>
      </c>
      <c r="T1531" s="4" t="s">
        <v>667</v>
      </c>
      <c r="U1531" s="4">
        <v>0</v>
      </c>
      <c r="V1531" s="4">
        <v>2</v>
      </c>
      <c r="W1531" s="4">
        <v>72</v>
      </c>
    </row>
    <row r="1532" spans="1:23" ht="11.25" customHeight="1" x14ac:dyDescent="0.25">
      <c r="A1532" s="4" t="s">
        <v>28</v>
      </c>
      <c r="B1532" s="4" t="s">
        <v>22</v>
      </c>
      <c r="C1532" s="4" t="s">
        <v>23</v>
      </c>
      <c r="D1532" s="4" t="s">
        <v>24</v>
      </c>
      <c r="E1532" s="4" t="s">
        <v>24</v>
      </c>
      <c r="F1532" s="4" t="s">
        <v>25</v>
      </c>
      <c r="G1532" s="4" t="s">
        <v>25</v>
      </c>
      <c r="H1532" s="4" t="s">
        <v>25</v>
      </c>
      <c r="I1532" s="5">
        <v>44470</v>
      </c>
      <c r="J1532" s="6">
        <v>0</v>
      </c>
      <c r="K1532" s="6">
        <v>0</v>
      </c>
      <c r="L1532" s="6">
        <v>-5.2009999999999996</v>
      </c>
      <c r="M1532" s="6">
        <v>-5.2009999999999996</v>
      </c>
      <c r="N1532" s="6">
        <v>-5.2009999999999996</v>
      </c>
      <c r="O1532" s="6">
        <v>-5.2009999999999996</v>
      </c>
      <c r="P1532" s="6">
        <v>0</v>
      </c>
      <c r="Q1532" s="4" t="s">
        <v>26</v>
      </c>
      <c r="R1532" s="4">
        <v>0</v>
      </c>
      <c r="S1532" s="4" t="s">
        <v>410</v>
      </c>
      <c r="T1532" s="4" t="s">
        <v>667</v>
      </c>
      <c r="U1532" s="4">
        <v>0</v>
      </c>
      <c r="V1532" s="4">
        <v>2</v>
      </c>
      <c r="W1532" s="4">
        <v>72</v>
      </c>
    </row>
    <row r="1533" spans="1:23" ht="11.25" customHeight="1" x14ac:dyDescent="0.25">
      <c r="A1533" s="4" t="s">
        <v>21</v>
      </c>
      <c r="B1533" s="4" t="s">
        <v>22</v>
      </c>
      <c r="C1533" s="4" t="s">
        <v>23</v>
      </c>
      <c r="D1533" s="4" t="s">
        <v>24</v>
      </c>
      <c r="E1533" s="4" t="s">
        <v>24</v>
      </c>
      <c r="F1533" s="4" t="s">
        <v>25</v>
      </c>
      <c r="G1533" s="4" t="s">
        <v>25</v>
      </c>
      <c r="H1533" s="4" t="s">
        <v>25</v>
      </c>
      <c r="I1533" s="5">
        <v>44501</v>
      </c>
      <c r="J1533" s="6">
        <v>0</v>
      </c>
      <c r="K1533" s="6">
        <v>0</v>
      </c>
      <c r="L1533" s="6">
        <v>116505.031</v>
      </c>
      <c r="M1533" s="6">
        <v>116505.031</v>
      </c>
      <c r="N1533" s="6">
        <v>116505.031</v>
      </c>
      <c r="O1533" s="6">
        <v>116505.031</v>
      </c>
      <c r="P1533" s="6">
        <v>794504</v>
      </c>
      <c r="Q1533" s="4" t="s">
        <v>26</v>
      </c>
      <c r="R1533" s="4">
        <v>0</v>
      </c>
      <c r="S1533" s="4" t="s">
        <v>411</v>
      </c>
      <c r="T1533" s="4" t="s">
        <v>668</v>
      </c>
      <c r="U1533" s="4">
        <v>0</v>
      </c>
      <c r="V1533" s="4">
        <v>2</v>
      </c>
      <c r="W1533" s="4">
        <v>72</v>
      </c>
    </row>
    <row r="1534" spans="1:23" ht="11.25" customHeight="1" x14ac:dyDescent="0.25">
      <c r="A1534" s="4" t="s">
        <v>27</v>
      </c>
      <c r="B1534" s="4" t="s">
        <v>22</v>
      </c>
      <c r="C1534" s="4" t="s">
        <v>23</v>
      </c>
      <c r="D1534" s="4" t="s">
        <v>24</v>
      </c>
      <c r="E1534" s="4" t="s">
        <v>24</v>
      </c>
      <c r="F1534" s="4" t="s">
        <v>25</v>
      </c>
      <c r="G1534" s="4" t="s">
        <v>25</v>
      </c>
      <c r="H1534" s="4" t="s">
        <v>25</v>
      </c>
      <c r="I1534" s="5">
        <v>44501</v>
      </c>
      <c r="J1534" s="6">
        <v>0</v>
      </c>
      <c r="K1534" s="6">
        <v>0</v>
      </c>
      <c r="L1534" s="6">
        <v>-237.12899999999999</v>
      </c>
      <c r="M1534" s="6">
        <v>-237.12899999999999</v>
      </c>
      <c r="N1534" s="6">
        <v>-237.12899999999999</v>
      </c>
      <c r="O1534" s="6">
        <v>-237.12899999999999</v>
      </c>
      <c r="P1534" s="6">
        <v>-155</v>
      </c>
      <c r="Q1534" s="4" t="s">
        <v>26</v>
      </c>
      <c r="R1534" s="4">
        <v>0</v>
      </c>
      <c r="S1534" s="4" t="s">
        <v>411</v>
      </c>
      <c r="T1534" s="4" t="s">
        <v>668</v>
      </c>
      <c r="U1534" s="4">
        <v>0</v>
      </c>
      <c r="V1534" s="4">
        <v>2</v>
      </c>
      <c r="W1534" s="4">
        <v>72</v>
      </c>
    </row>
    <row r="1535" spans="1:23" ht="11.25" customHeight="1" x14ac:dyDescent="0.25">
      <c r="A1535" s="4" t="s">
        <v>28</v>
      </c>
      <c r="B1535" s="4" t="s">
        <v>22</v>
      </c>
      <c r="C1535" s="4" t="s">
        <v>23</v>
      </c>
      <c r="D1535" s="4" t="s">
        <v>24</v>
      </c>
      <c r="E1535" s="4" t="s">
        <v>24</v>
      </c>
      <c r="F1535" s="4" t="s">
        <v>25</v>
      </c>
      <c r="G1535" s="4" t="s">
        <v>25</v>
      </c>
      <c r="H1535" s="4" t="s">
        <v>25</v>
      </c>
      <c r="I1535" s="5">
        <v>44501</v>
      </c>
      <c r="J1535" s="6">
        <v>0</v>
      </c>
      <c r="K1535" s="6">
        <v>0</v>
      </c>
      <c r="L1535" s="6">
        <v>1893.8530000000001</v>
      </c>
      <c r="M1535" s="6">
        <v>1893.8530000000001</v>
      </c>
      <c r="N1535" s="6">
        <v>1893.8530000000001</v>
      </c>
      <c r="O1535" s="6">
        <v>1893.8530000000001</v>
      </c>
      <c r="P1535" s="6">
        <v>14760</v>
      </c>
      <c r="Q1535" s="4" t="s">
        <v>26</v>
      </c>
      <c r="R1535" s="4">
        <v>0</v>
      </c>
      <c r="S1535" s="4" t="s">
        <v>411</v>
      </c>
      <c r="T1535" s="4" t="s">
        <v>668</v>
      </c>
      <c r="U1535" s="4">
        <v>0</v>
      </c>
      <c r="V1535" s="4">
        <v>2</v>
      </c>
      <c r="W1535" s="4">
        <v>72</v>
      </c>
    </row>
    <row r="1536" spans="1:23" ht="11.25" customHeight="1" x14ac:dyDescent="0.25">
      <c r="A1536" s="4" t="s">
        <v>28</v>
      </c>
      <c r="B1536" s="4" t="s">
        <v>22</v>
      </c>
      <c r="C1536" s="4" t="s">
        <v>23</v>
      </c>
      <c r="D1536" s="4" t="s">
        <v>24</v>
      </c>
      <c r="E1536" s="4" t="s">
        <v>24</v>
      </c>
      <c r="F1536" s="4" t="s">
        <v>25</v>
      </c>
      <c r="G1536" s="4" t="s">
        <v>25</v>
      </c>
      <c r="H1536" s="4" t="s">
        <v>25</v>
      </c>
      <c r="I1536" s="5">
        <v>44501</v>
      </c>
      <c r="J1536" s="6">
        <v>0</v>
      </c>
      <c r="K1536" s="6">
        <v>0</v>
      </c>
      <c r="L1536" s="6">
        <v>-3.9929999999999999</v>
      </c>
      <c r="M1536" s="6">
        <v>-3.9929999999999999</v>
      </c>
      <c r="N1536" s="6">
        <v>-3.9929999999999999</v>
      </c>
      <c r="O1536" s="6">
        <v>-3.9929999999999999</v>
      </c>
      <c r="P1536" s="6">
        <v>1</v>
      </c>
      <c r="Q1536" s="4" t="s">
        <v>26</v>
      </c>
      <c r="R1536" s="4">
        <v>0</v>
      </c>
      <c r="S1536" s="4" t="s">
        <v>411</v>
      </c>
      <c r="T1536" s="4" t="s">
        <v>668</v>
      </c>
      <c r="U1536" s="4">
        <v>0</v>
      </c>
      <c r="V1536" s="4">
        <v>2</v>
      </c>
      <c r="W1536" s="4">
        <v>72</v>
      </c>
    </row>
    <row r="1537" spans="1:23" ht="11.25" customHeight="1" x14ac:dyDescent="0.25">
      <c r="A1537" s="4" t="s">
        <v>21</v>
      </c>
      <c r="B1537" s="4" t="s">
        <v>22</v>
      </c>
      <c r="C1537" s="4" t="s">
        <v>23</v>
      </c>
      <c r="D1537" s="4" t="s">
        <v>24</v>
      </c>
      <c r="E1537" s="4" t="s">
        <v>24</v>
      </c>
      <c r="F1537" s="4" t="s">
        <v>25</v>
      </c>
      <c r="G1537" s="4" t="s">
        <v>25</v>
      </c>
      <c r="H1537" s="4" t="s">
        <v>25</v>
      </c>
      <c r="I1537" s="5">
        <v>44531</v>
      </c>
      <c r="J1537" s="6">
        <v>0</v>
      </c>
      <c r="K1537" s="6">
        <v>0</v>
      </c>
      <c r="L1537" s="6">
        <v>129166.337</v>
      </c>
      <c r="M1537" s="6">
        <v>129166.337</v>
      </c>
      <c r="N1537" s="6">
        <v>129166.337</v>
      </c>
      <c r="O1537" s="6">
        <v>129166.337</v>
      </c>
      <c r="P1537" s="6">
        <v>794297</v>
      </c>
      <c r="Q1537" s="4" t="s">
        <v>26</v>
      </c>
      <c r="R1537" s="4">
        <v>0</v>
      </c>
      <c r="S1537" s="4" t="s">
        <v>412</v>
      </c>
      <c r="T1537" s="4" t="s">
        <v>669</v>
      </c>
      <c r="U1537" s="4">
        <v>0</v>
      </c>
      <c r="V1537" s="4">
        <v>2</v>
      </c>
      <c r="W1537" s="4">
        <v>72</v>
      </c>
    </row>
    <row r="1538" spans="1:23" ht="11.25" customHeight="1" x14ac:dyDescent="0.25">
      <c r="A1538" s="4" t="s">
        <v>27</v>
      </c>
      <c r="B1538" s="4" t="s">
        <v>22</v>
      </c>
      <c r="C1538" s="4" t="s">
        <v>23</v>
      </c>
      <c r="D1538" s="4" t="s">
        <v>24</v>
      </c>
      <c r="E1538" s="4" t="s">
        <v>24</v>
      </c>
      <c r="F1538" s="4" t="s">
        <v>25</v>
      </c>
      <c r="G1538" s="4" t="s">
        <v>25</v>
      </c>
      <c r="H1538" s="4" t="s">
        <v>25</v>
      </c>
      <c r="I1538" s="5">
        <v>44531</v>
      </c>
      <c r="J1538" s="6">
        <v>0</v>
      </c>
      <c r="K1538" s="6">
        <v>0</v>
      </c>
      <c r="L1538" s="6">
        <v>-546.97699999999998</v>
      </c>
      <c r="M1538" s="6">
        <v>-546.97699999999998</v>
      </c>
      <c r="N1538" s="6">
        <v>-546.97699999999998</v>
      </c>
      <c r="O1538" s="6">
        <v>-546.97699999999998</v>
      </c>
      <c r="P1538" s="6">
        <v>-120</v>
      </c>
      <c r="Q1538" s="4" t="s">
        <v>26</v>
      </c>
      <c r="R1538" s="4">
        <v>0</v>
      </c>
      <c r="S1538" s="4" t="s">
        <v>412</v>
      </c>
      <c r="T1538" s="4" t="s">
        <v>669</v>
      </c>
      <c r="U1538" s="4">
        <v>0</v>
      </c>
      <c r="V1538" s="4">
        <v>2</v>
      </c>
      <c r="W1538" s="4">
        <v>72</v>
      </c>
    </row>
    <row r="1539" spans="1:23" ht="11.25" customHeight="1" x14ac:dyDescent="0.25">
      <c r="A1539" s="4" t="s">
        <v>28</v>
      </c>
      <c r="B1539" s="4" t="s">
        <v>22</v>
      </c>
      <c r="C1539" s="4" t="s">
        <v>23</v>
      </c>
      <c r="D1539" s="4" t="s">
        <v>24</v>
      </c>
      <c r="E1539" s="4" t="s">
        <v>24</v>
      </c>
      <c r="F1539" s="4" t="s">
        <v>25</v>
      </c>
      <c r="G1539" s="4" t="s">
        <v>25</v>
      </c>
      <c r="H1539" s="4" t="s">
        <v>25</v>
      </c>
      <c r="I1539" s="5">
        <v>44531</v>
      </c>
      <c r="J1539" s="6">
        <v>0</v>
      </c>
      <c r="K1539" s="6">
        <v>0</v>
      </c>
      <c r="L1539" s="6">
        <v>2269.3209999999999</v>
      </c>
      <c r="M1539" s="6">
        <v>2269.3209999999999</v>
      </c>
      <c r="N1539" s="6">
        <v>2269.3209999999999</v>
      </c>
      <c r="O1539" s="6">
        <v>2269.3209999999999</v>
      </c>
      <c r="P1539" s="6">
        <v>15579</v>
      </c>
      <c r="Q1539" s="4" t="s">
        <v>26</v>
      </c>
      <c r="R1539" s="4">
        <v>0</v>
      </c>
      <c r="S1539" s="4" t="s">
        <v>412</v>
      </c>
      <c r="T1539" s="4" t="s">
        <v>669</v>
      </c>
      <c r="U1539" s="4">
        <v>0</v>
      </c>
      <c r="V1539" s="4">
        <v>2</v>
      </c>
      <c r="W1539" s="4">
        <v>72</v>
      </c>
    </row>
    <row r="1540" spans="1:23" ht="11.25" customHeight="1" x14ac:dyDescent="0.25">
      <c r="A1540" s="4" t="s">
        <v>28</v>
      </c>
      <c r="B1540" s="4" t="s">
        <v>22</v>
      </c>
      <c r="C1540" s="4" t="s">
        <v>23</v>
      </c>
      <c r="D1540" s="4" t="s">
        <v>24</v>
      </c>
      <c r="E1540" s="4" t="s">
        <v>24</v>
      </c>
      <c r="F1540" s="4" t="s">
        <v>25</v>
      </c>
      <c r="G1540" s="4" t="s">
        <v>25</v>
      </c>
      <c r="H1540" s="4" t="s">
        <v>25</v>
      </c>
      <c r="I1540" s="5">
        <v>44531</v>
      </c>
      <c r="J1540" s="6">
        <v>0</v>
      </c>
      <c r="K1540" s="6">
        <v>0</v>
      </c>
      <c r="L1540" s="6">
        <v>-5.375</v>
      </c>
      <c r="M1540" s="6">
        <v>-5.375</v>
      </c>
      <c r="N1540" s="6">
        <v>-5.375</v>
      </c>
      <c r="O1540" s="6">
        <v>-5.375</v>
      </c>
      <c r="P1540" s="6">
        <v>0</v>
      </c>
      <c r="Q1540" s="4" t="s">
        <v>26</v>
      </c>
      <c r="R1540" s="4">
        <v>0</v>
      </c>
      <c r="S1540" s="4" t="s">
        <v>412</v>
      </c>
      <c r="T1540" s="4" t="s">
        <v>669</v>
      </c>
      <c r="U1540" s="4">
        <v>0</v>
      </c>
      <c r="V1540" s="4">
        <v>2</v>
      </c>
      <c r="W1540" s="4">
        <v>72</v>
      </c>
    </row>
    <row r="1541" spans="1:23" ht="11.25" customHeight="1" x14ac:dyDescent="0.25">
      <c r="A1541" s="4" t="s">
        <v>21</v>
      </c>
      <c r="B1541" s="4" t="s">
        <v>22</v>
      </c>
      <c r="C1541" s="4" t="s">
        <v>23</v>
      </c>
      <c r="D1541" s="4" t="s">
        <v>24</v>
      </c>
      <c r="E1541" s="4" t="s">
        <v>24</v>
      </c>
      <c r="F1541" s="4" t="s">
        <v>25</v>
      </c>
      <c r="G1541" s="4" t="s">
        <v>25</v>
      </c>
      <c r="H1541" s="4" t="s">
        <v>25</v>
      </c>
      <c r="I1541" s="5">
        <v>44562</v>
      </c>
      <c r="J1541" s="6">
        <v>0</v>
      </c>
      <c r="K1541" s="6">
        <v>0</v>
      </c>
      <c r="L1541" s="6">
        <v>121336.83900000001</v>
      </c>
      <c r="M1541" s="6">
        <v>121336.83900000001</v>
      </c>
      <c r="N1541" s="6">
        <v>121336.83900000001</v>
      </c>
      <c r="O1541" s="6">
        <v>121336.83900000001</v>
      </c>
      <c r="P1541" s="6">
        <v>792015</v>
      </c>
      <c r="Q1541" s="4" t="s">
        <v>26</v>
      </c>
      <c r="R1541" s="4">
        <v>0</v>
      </c>
      <c r="S1541" s="4" t="s">
        <v>413</v>
      </c>
      <c r="T1541" s="4" t="s">
        <v>670</v>
      </c>
      <c r="U1541" s="4">
        <v>0</v>
      </c>
      <c r="V1541" s="4">
        <v>2</v>
      </c>
      <c r="W1541" s="4">
        <v>72</v>
      </c>
    </row>
    <row r="1542" spans="1:23" ht="11.25" customHeight="1" x14ac:dyDescent="0.25">
      <c r="A1542" s="4" t="s">
        <v>27</v>
      </c>
      <c r="B1542" s="4" t="s">
        <v>22</v>
      </c>
      <c r="C1542" s="4" t="s">
        <v>23</v>
      </c>
      <c r="D1542" s="4" t="s">
        <v>24</v>
      </c>
      <c r="E1542" s="4" t="s">
        <v>24</v>
      </c>
      <c r="F1542" s="4" t="s">
        <v>25</v>
      </c>
      <c r="G1542" s="4" t="s">
        <v>25</v>
      </c>
      <c r="H1542" s="4" t="s">
        <v>25</v>
      </c>
      <c r="I1542" s="5">
        <v>44562</v>
      </c>
      <c r="J1542" s="6">
        <v>0</v>
      </c>
      <c r="K1542" s="6">
        <v>0</v>
      </c>
      <c r="L1542" s="6">
        <v>-128.55699999999999</v>
      </c>
      <c r="M1542" s="6">
        <v>-128.55699999999999</v>
      </c>
      <c r="N1542" s="6">
        <v>-128.55699999999999</v>
      </c>
      <c r="O1542" s="6">
        <v>-128.55699999999999</v>
      </c>
      <c r="P1542" s="6">
        <v>-44</v>
      </c>
      <c r="Q1542" s="4" t="s">
        <v>26</v>
      </c>
      <c r="R1542" s="4">
        <v>0</v>
      </c>
      <c r="S1542" s="4" t="s">
        <v>413</v>
      </c>
      <c r="T1542" s="4" t="s">
        <v>670</v>
      </c>
      <c r="U1542" s="4">
        <v>0</v>
      </c>
      <c r="V1542" s="4">
        <v>2</v>
      </c>
      <c r="W1542" s="4">
        <v>72</v>
      </c>
    </row>
    <row r="1543" spans="1:23" ht="11.25" customHeight="1" x14ac:dyDescent="0.25">
      <c r="A1543" s="4" t="s">
        <v>28</v>
      </c>
      <c r="B1543" s="4" t="s">
        <v>22</v>
      </c>
      <c r="C1543" s="4" t="s">
        <v>23</v>
      </c>
      <c r="D1543" s="4" t="s">
        <v>24</v>
      </c>
      <c r="E1543" s="4" t="s">
        <v>24</v>
      </c>
      <c r="F1543" s="4" t="s">
        <v>25</v>
      </c>
      <c r="G1543" s="4" t="s">
        <v>25</v>
      </c>
      <c r="H1543" s="4" t="s">
        <v>25</v>
      </c>
      <c r="I1543" s="5">
        <v>44562</v>
      </c>
      <c r="J1543" s="6">
        <v>0</v>
      </c>
      <c r="K1543" s="6">
        <v>0</v>
      </c>
      <c r="L1543" s="6">
        <v>2215.3380000000002</v>
      </c>
      <c r="M1543" s="6">
        <v>2215.3380000000002</v>
      </c>
      <c r="N1543" s="6">
        <v>2215.3380000000002</v>
      </c>
      <c r="O1543" s="6">
        <v>2215.3380000000002</v>
      </c>
      <c r="P1543" s="6">
        <v>16407</v>
      </c>
      <c r="Q1543" s="4" t="s">
        <v>26</v>
      </c>
      <c r="R1543" s="4">
        <v>0</v>
      </c>
      <c r="S1543" s="4" t="s">
        <v>413</v>
      </c>
      <c r="T1543" s="4" t="s">
        <v>670</v>
      </c>
      <c r="U1543" s="4">
        <v>0</v>
      </c>
      <c r="V1543" s="4">
        <v>2</v>
      </c>
      <c r="W1543" s="4">
        <v>72</v>
      </c>
    </row>
    <row r="1544" spans="1:23" ht="11.25" customHeight="1" x14ac:dyDescent="0.25">
      <c r="A1544" s="4" t="s">
        <v>28</v>
      </c>
      <c r="B1544" s="4" t="s">
        <v>22</v>
      </c>
      <c r="C1544" s="4" t="s">
        <v>23</v>
      </c>
      <c r="D1544" s="4" t="s">
        <v>24</v>
      </c>
      <c r="E1544" s="4" t="s">
        <v>24</v>
      </c>
      <c r="F1544" s="4" t="s">
        <v>25</v>
      </c>
      <c r="G1544" s="4" t="s">
        <v>25</v>
      </c>
      <c r="H1544" s="4" t="s">
        <v>25</v>
      </c>
      <c r="I1544" s="5">
        <v>44562</v>
      </c>
      <c r="J1544" s="6">
        <v>0</v>
      </c>
      <c r="K1544" s="6">
        <v>0</v>
      </c>
      <c r="L1544" s="6">
        <v>-4.0309999999999997</v>
      </c>
      <c r="M1544" s="6">
        <v>-4.0309999999999997</v>
      </c>
      <c r="N1544" s="6">
        <v>-4.0309999999999997</v>
      </c>
      <c r="O1544" s="6">
        <v>-4.0309999999999997</v>
      </c>
      <c r="P1544" s="6">
        <v>0</v>
      </c>
      <c r="Q1544" s="4" t="s">
        <v>26</v>
      </c>
      <c r="R1544" s="4">
        <v>0</v>
      </c>
      <c r="S1544" s="4" t="s">
        <v>413</v>
      </c>
      <c r="T1544" s="4" t="s">
        <v>670</v>
      </c>
      <c r="U1544" s="4">
        <v>0</v>
      </c>
      <c r="V1544" s="4">
        <v>2</v>
      </c>
      <c r="W1544" s="4">
        <v>72</v>
      </c>
    </row>
    <row r="1545" spans="1:23" ht="11.25" customHeight="1" x14ac:dyDescent="0.25">
      <c r="A1545" s="4" t="s">
        <v>21</v>
      </c>
      <c r="B1545" s="4" t="s">
        <v>22</v>
      </c>
      <c r="C1545" s="4" t="s">
        <v>23</v>
      </c>
      <c r="D1545" s="4" t="s">
        <v>24</v>
      </c>
      <c r="E1545" s="4" t="s">
        <v>24</v>
      </c>
      <c r="F1545" s="4" t="s">
        <v>25</v>
      </c>
      <c r="G1545" s="4" t="s">
        <v>25</v>
      </c>
      <c r="H1545" s="4" t="s">
        <v>25</v>
      </c>
      <c r="I1545" s="5">
        <v>44593</v>
      </c>
      <c r="J1545" s="6">
        <v>0</v>
      </c>
      <c r="K1545" s="6">
        <v>0</v>
      </c>
      <c r="L1545" s="6">
        <v>112902.54300000001</v>
      </c>
      <c r="M1545" s="6">
        <v>112902.54300000001</v>
      </c>
      <c r="N1545" s="6">
        <v>112902.54300000001</v>
      </c>
      <c r="O1545" s="6">
        <v>112902.54300000001</v>
      </c>
      <c r="P1545" s="6">
        <v>801600</v>
      </c>
      <c r="Q1545" s="4" t="s">
        <v>26</v>
      </c>
      <c r="R1545" s="4">
        <v>0</v>
      </c>
      <c r="S1545" s="4" t="s">
        <v>414</v>
      </c>
      <c r="T1545" s="4" t="s">
        <v>671</v>
      </c>
      <c r="U1545" s="4">
        <v>0</v>
      </c>
      <c r="V1545" s="4">
        <v>2</v>
      </c>
      <c r="W1545" s="4">
        <v>72</v>
      </c>
    </row>
    <row r="1546" spans="1:23" ht="11.25" customHeight="1" x14ac:dyDescent="0.25">
      <c r="A1546" s="4" t="s">
        <v>27</v>
      </c>
      <c r="B1546" s="4" t="s">
        <v>22</v>
      </c>
      <c r="C1546" s="4" t="s">
        <v>23</v>
      </c>
      <c r="D1546" s="4" t="s">
        <v>24</v>
      </c>
      <c r="E1546" s="4" t="s">
        <v>24</v>
      </c>
      <c r="F1546" s="4" t="s">
        <v>25</v>
      </c>
      <c r="G1546" s="4" t="s">
        <v>25</v>
      </c>
      <c r="H1546" s="4" t="s">
        <v>25</v>
      </c>
      <c r="I1546" s="5">
        <v>44593</v>
      </c>
      <c r="J1546" s="6">
        <v>0</v>
      </c>
      <c r="K1546" s="6">
        <v>0</v>
      </c>
      <c r="L1546" s="6">
        <v>-304.97699999999998</v>
      </c>
      <c r="M1546" s="6">
        <v>-304.97699999999998</v>
      </c>
      <c r="N1546" s="6">
        <v>-304.97699999999998</v>
      </c>
      <c r="O1546" s="6">
        <v>-304.97699999999998</v>
      </c>
      <c r="P1546" s="6">
        <v>-97</v>
      </c>
      <c r="Q1546" s="4" t="s">
        <v>26</v>
      </c>
      <c r="R1546" s="4">
        <v>0</v>
      </c>
      <c r="S1546" s="4" t="s">
        <v>414</v>
      </c>
      <c r="T1546" s="4" t="s">
        <v>671</v>
      </c>
      <c r="U1546" s="4">
        <v>0</v>
      </c>
      <c r="V1546" s="4">
        <v>2</v>
      </c>
      <c r="W1546" s="4">
        <v>72</v>
      </c>
    </row>
    <row r="1547" spans="1:23" ht="11.25" customHeight="1" x14ac:dyDescent="0.25">
      <c r="A1547" s="4" t="s">
        <v>28</v>
      </c>
      <c r="B1547" s="4" t="s">
        <v>22</v>
      </c>
      <c r="C1547" s="4" t="s">
        <v>23</v>
      </c>
      <c r="D1547" s="4" t="s">
        <v>24</v>
      </c>
      <c r="E1547" s="4" t="s">
        <v>24</v>
      </c>
      <c r="F1547" s="4" t="s">
        <v>25</v>
      </c>
      <c r="G1547" s="4" t="s">
        <v>25</v>
      </c>
      <c r="H1547" s="4" t="s">
        <v>25</v>
      </c>
      <c r="I1547" s="5">
        <v>44593</v>
      </c>
      <c r="J1547" s="6">
        <v>0</v>
      </c>
      <c r="K1547" s="6">
        <v>0</v>
      </c>
      <c r="L1547" s="6">
        <v>1951.181</v>
      </c>
      <c r="M1547" s="6">
        <v>1951.181</v>
      </c>
      <c r="N1547" s="6">
        <v>1951.181</v>
      </c>
      <c r="O1547" s="6">
        <v>1951.181</v>
      </c>
      <c r="P1547" s="6">
        <v>17311</v>
      </c>
      <c r="Q1547" s="4" t="s">
        <v>26</v>
      </c>
      <c r="R1547" s="4">
        <v>0</v>
      </c>
      <c r="S1547" s="4" t="s">
        <v>414</v>
      </c>
      <c r="T1547" s="4" t="s">
        <v>671</v>
      </c>
      <c r="U1547" s="4">
        <v>0</v>
      </c>
      <c r="V1547" s="4">
        <v>2</v>
      </c>
      <c r="W1547" s="4">
        <v>72</v>
      </c>
    </row>
    <row r="1548" spans="1:23" ht="11.25" customHeight="1" x14ac:dyDescent="0.25">
      <c r="A1548" s="4" t="s">
        <v>28</v>
      </c>
      <c r="B1548" s="4" t="s">
        <v>22</v>
      </c>
      <c r="C1548" s="4" t="s">
        <v>23</v>
      </c>
      <c r="D1548" s="4" t="s">
        <v>24</v>
      </c>
      <c r="E1548" s="4" t="s">
        <v>24</v>
      </c>
      <c r="F1548" s="4" t="s">
        <v>25</v>
      </c>
      <c r="G1548" s="4" t="s">
        <v>25</v>
      </c>
      <c r="H1548" s="4" t="s">
        <v>25</v>
      </c>
      <c r="I1548" s="5">
        <v>44593</v>
      </c>
      <c r="J1548" s="6">
        <v>0</v>
      </c>
      <c r="K1548" s="6">
        <v>0</v>
      </c>
      <c r="L1548" s="6">
        <v>1.869</v>
      </c>
      <c r="M1548" s="6">
        <v>1.869</v>
      </c>
      <c r="N1548" s="6">
        <v>1.869</v>
      </c>
      <c r="O1548" s="6">
        <v>1.869</v>
      </c>
      <c r="P1548" s="6">
        <v>0</v>
      </c>
      <c r="Q1548" s="4" t="s">
        <v>26</v>
      </c>
      <c r="R1548" s="4">
        <v>0</v>
      </c>
      <c r="S1548" s="4" t="s">
        <v>414</v>
      </c>
      <c r="T1548" s="4" t="s">
        <v>671</v>
      </c>
      <c r="U1548" s="4">
        <v>0</v>
      </c>
      <c r="V1548" s="4">
        <v>2</v>
      </c>
      <c r="W1548" s="4">
        <v>72</v>
      </c>
    </row>
    <row r="1549" spans="1:23" ht="11.25" customHeight="1" x14ac:dyDescent="0.25">
      <c r="A1549" s="4" t="s">
        <v>21</v>
      </c>
      <c r="B1549" s="4" t="s">
        <v>22</v>
      </c>
      <c r="C1549" s="4" t="s">
        <v>23</v>
      </c>
      <c r="D1549" s="4" t="s">
        <v>24</v>
      </c>
      <c r="E1549" s="4" t="s">
        <v>24</v>
      </c>
      <c r="F1549" s="4" t="s">
        <v>25</v>
      </c>
      <c r="G1549" s="4" t="s">
        <v>25</v>
      </c>
      <c r="H1549" s="4" t="s">
        <v>25</v>
      </c>
      <c r="I1549" s="5">
        <v>44621</v>
      </c>
      <c r="J1549" s="6">
        <v>0</v>
      </c>
      <c r="K1549" s="6">
        <v>0</v>
      </c>
      <c r="L1549" s="6">
        <v>126448.63</v>
      </c>
      <c r="M1549" s="6">
        <v>126448.63</v>
      </c>
      <c r="N1549" s="6">
        <v>126448.63</v>
      </c>
      <c r="O1549" s="6">
        <v>126448.63</v>
      </c>
      <c r="P1549" s="6">
        <v>797344</v>
      </c>
      <c r="Q1549" s="4" t="s">
        <v>26</v>
      </c>
      <c r="R1549" s="4">
        <v>0</v>
      </c>
      <c r="S1549" s="4" t="s">
        <v>415</v>
      </c>
      <c r="T1549" s="4" t="s">
        <v>672</v>
      </c>
      <c r="U1549" s="4">
        <v>0</v>
      </c>
      <c r="V1549" s="4">
        <v>2</v>
      </c>
      <c r="W1549" s="4">
        <v>72</v>
      </c>
    </row>
    <row r="1550" spans="1:23" ht="11.25" customHeight="1" x14ac:dyDescent="0.25">
      <c r="A1550" s="4" t="s">
        <v>27</v>
      </c>
      <c r="B1550" s="4" t="s">
        <v>22</v>
      </c>
      <c r="C1550" s="4" t="s">
        <v>23</v>
      </c>
      <c r="D1550" s="4" t="s">
        <v>24</v>
      </c>
      <c r="E1550" s="4" t="s">
        <v>24</v>
      </c>
      <c r="F1550" s="4" t="s">
        <v>25</v>
      </c>
      <c r="G1550" s="4" t="s">
        <v>25</v>
      </c>
      <c r="H1550" s="4" t="s">
        <v>25</v>
      </c>
      <c r="I1550" s="5">
        <v>44621</v>
      </c>
      <c r="J1550" s="6">
        <v>0</v>
      </c>
      <c r="K1550" s="6">
        <v>0</v>
      </c>
      <c r="L1550" s="6">
        <v>-390.02300000000002</v>
      </c>
      <c r="M1550" s="6">
        <v>-390.02300000000002</v>
      </c>
      <c r="N1550" s="6">
        <v>-390.02300000000002</v>
      </c>
      <c r="O1550" s="6">
        <v>-390.02300000000002</v>
      </c>
      <c r="P1550" s="6">
        <v>-101</v>
      </c>
      <c r="Q1550" s="4" t="s">
        <v>26</v>
      </c>
      <c r="R1550" s="4">
        <v>0</v>
      </c>
      <c r="S1550" s="4" t="s">
        <v>415</v>
      </c>
      <c r="T1550" s="4" t="s">
        <v>672</v>
      </c>
      <c r="U1550" s="4">
        <v>0</v>
      </c>
      <c r="V1550" s="4">
        <v>2</v>
      </c>
      <c r="W1550" s="4">
        <v>72</v>
      </c>
    </row>
    <row r="1551" spans="1:23" ht="11.25" customHeight="1" x14ac:dyDescent="0.25">
      <c r="A1551" s="4" t="s">
        <v>28</v>
      </c>
      <c r="B1551" s="4" t="s">
        <v>22</v>
      </c>
      <c r="C1551" s="4" t="s">
        <v>23</v>
      </c>
      <c r="D1551" s="4" t="s">
        <v>24</v>
      </c>
      <c r="E1551" s="4" t="s">
        <v>24</v>
      </c>
      <c r="F1551" s="4" t="s">
        <v>25</v>
      </c>
      <c r="G1551" s="4" t="s">
        <v>25</v>
      </c>
      <c r="H1551" s="4" t="s">
        <v>25</v>
      </c>
      <c r="I1551" s="5">
        <v>44621</v>
      </c>
      <c r="J1551" s="6">
        <v>0</v>
      </c>
      <c r="K1551" s="6">
        <v>0</v>
      </c>
      <c r="L1551" s="6">
        <v>2250.663</v>
      </c>
      <c r="M1551" s="6">
        <v>2250.663</v>
      </c>
      <c r="N1551" s="6">
        <v>2250.663</v>
      </c>
      <c r="O1551" s="6">
        <v>2250.663</v>
      </c>
      <c r="P1551" s="6">
        <v>18160</v>
      </c>
      <c r="Q1551" s="4" t="s">
        <v>26</v>
      </c>
      <c r="R1551" s="4">
        <v>0</v>
      </c>
      <c r="S1551" s="4" t="s">
        <v>415</v>
      </c>
      <c r="T1551" s="4" t="s">
        <v>672</v>
      </c>
      <c r="U1551" s="4">
        <v>0</v>
      </c>
      <c r="V1551" s="4">
        <v>2</v>
      </c>
      <c r="W1551" s="4">
        <v>72</v>
      </c>
    </row>
    <row r="1552" spans="1:23" ht="11.25" customHeight="1" x14ac:dyDescent="0.25">
      <c r="A1552" s="4" t="s">
        <v>28</v>
      </c>
      <c r="B1552" s="4" t="s">
        <v>22</v>
      </c>
      <c r="C1552" s="4" t="s">
        <v>23</v>
      </c>
      <c r="D1552" s="4" t="s">
        <v>24</v>
      </c>
      <c r="E1552" s="4" t="s">
        <v>24</v>
      </c>
      <c r="F1552" s="4" t="s">
        <v>25</v>
      </c>
      <c r="G1552" s="4" t="s">
        <v>25</v>
      </c>
      <c r="H1552" s="4" t="s">
        <v>25</v>
      </c>
      <c r="I1552" s="5">
        <v>44621</v>
      </c>
      <c r="J1552" s="6">
        <v>0</v>
      </c>
      <c r="K1552" s="6">
        <v>0</v>
      </c>
      <c r="L1552" s="6">
        <v>-3.347</v>
      </c>
      <c r="M1552" s="6">
        <v>-3.347</v>
      </c>
      <c r="N1552" s="6">
        <v>-3.347</v>
      </c>
      <c r="O1552" s="6">
        <v>-3.347</v>
      </c>
      <c r="P1552" s="6">
        <v>0</v>
      </c>
      <c r="Q1552" s="4" t="s">
        <v>26</v>
      </c>
      <c r="R1552" s="4">
        <v>0</v>
      </c>
      <c r="S1552" s="4" t="s">
        <v>415</v>
      </c>
      <c r="T1552" s="4" t="s">
        <v>672</v>
      </c>
      <c r="U1552" s="4">
        <v>0</v>
      </c>
      <c r="V1552" s="4">
        <v>2</v>
      </c>
      <c r="W1552" s="4">
        <v>72</v>
      </c>
    </row>
    <row r="1553" spans="1:23" ht="11.25" customHeight="1" x14ac:dyDescent="0.25">
      <c r="A1553" s="4" t="s">
        <v>21</v>
      </c>
      <c r="B1553" s="4" t="s">
        <v>22</v>
      </c>
      <c r="C1553" s="4" t="s">
        <v>23</v>
      </c>
      <c r="D1553" s="4" t="s">
        <v>24</v>
      </c>
      <c r="E1553" s="4" t="s">
        <v>24</v>
      </c>
      <c r="F1553" s="4" t="s">
        <v>25</v>
      </c>
      <c r="G1553" s="4" t="s">
        <v>25</v>
      </c>
      <c r="H1553" s="4" t="s">
        <v>25</v>
      </c>
      <c r="I1553" s="5">
        <v>44652</v>
      </c>
      <c r="J1553" s="6">
        <v>0</v>
      </c>
      <c r="K1553" s="6">
        <v>0</v>
      </c>
      <c r="L1553" s="6">
        <v>116882.645</v>
      </c>
      <c r="M1553" s="6">
        <v>116882.645</v>
      </c>
      <c r="N1553" s="6">
        <v>116882.645</v>
      </c>
      <c r="O1553" s="6">
        <v>116882.645</v>
      </c>
      <c r="P1553" s="6">
        <v>793077</v>
      </c>
      <c r="Q1553" s="4" t="s">
        <v>26</v>
      </c>
      <c r="R1553" s="4">
        <v>0</v>
      </c>
      <c r="S1553" s="4" t="s">
        <v>416</v>
      </c>
      <c r="T1553" s="4" t="s">
        <v>673</v>
      </c>
      <c r="U1553" s="4">
        <v>0</v>
      </c>
      <c r="V1553" s="4">
        <v>2</v>
      </c>
      <c r="W1553" s="4">
        <v>72</v>
      </c>
    </row>
    <row r="1554" spans="1:23" ht="11.25" customHeight="1" x14ac:dyDescent="0.25">
      <c r="A1554" s="4" t="s">
        <v>27</v>
      </c>
      <c r="B1554" s="4" t="s">
        <v>22</v>
      </c>
      <c r="C1554" s="4" t="s">
        <v>23</v>
      </c>
      <c r="D1554" s="4" t="s">
        <v>24</v>
      </c>
      <c r="E1554" s="4" t="s">
        <v>24</v>
      </c>
      <c r="F1554" s="4" t="s">
        <v>25</v>
      </c>
      <c r="G1554" s="4" t="s">
        <v>25</v>
      </c>
      <c r="H1554" s="4" t="s">
        <v>25</v>
      </c>
      <c r="I1554" s="5">
        <v>44652</v>
      </c>
      <c r="J1554" s="6">
        <v>0</v>
      </c>
      <c r="K1554" s="6">
        <v>0</v>
      </c>
      <c r="L1554" s="6">
        <v>-282.37099999999998</v>
      </c>
      <c r="M1554" s="6">
        <v>-282.37099999999998</v>
      </c>
      <c r="N1554" s="6">
        <v>-282.37099999999998</v>
      </c>
      <c r="O1554" s="6">
        <v>-282.37099999999998</v>
      </c>
      <c r="P1554" s="6">
        <v>-89</v>
      </c>
      <c r="Q1554" s="4" t="s">
        <v>26</v>
      </c>
      <c r="R1554" s="4">
        <v>0</v>
      </c>
      <c r="S1554" s="4" t="s">
        <v>416</v>
      </c>
      <c r="T1554" s="4" t="s">
        <v>673</v>
      </c>
      <c r="U1554" s="4">
        <v>0</v>
      </c>
      <c r="V1554" s="4">
        <v>2</v>
      </c>
      <c r="W1554" s="4">
        <v>72</v>
      </c>
    </row>
    <row r="1555" spans="1:23" ht="11.25" customHeight="1" x14ac:dyDescent="0.25">
      <c r="A1555" s="4" t="s">
        <v>28</v>
      </c>
      <c r="B1555" s="4" t="s">
        <v>22</v>
      </c>
      <c r="C1555" s="4" t="s">
        <v>23</v>
      </c>
      <c r="D1555" s="4" t="s">
        <v>24</v>
      </c>
      <c r="E1555" s="4" t="s">
        <v>24</v>
      </c>
      <c r="F1555" s="4" t="s">
        <v>25</v>
      </c>
      <c r="G1555" s="4" t="s">
        <v>25</v>
      </c>
      <c r="H1555" s="4" t="s">
        <v>25</v>
      </c>
      <c r="I1555" s="5">
        <v>44652</v>
      </c>
      <c r="J1555" s="6">
        <v>0</v>
      </c>
      <c r="K1555" s="6">
        <v>0</v>
      </c>
      <c r="L1555" s="6">
        <v>2162.0259999999998</v>
      </c>
      <c r="M1555" s="6">
        <v>2162.0259999999998</v>
      </c>
      <c r="N1555" s="6">
        <v>2162.0259999999998</v>
      </c>
      <c r="O1555" s="6">
        <v>2162.0259999999998</v>
      </c>
      <c r="P1555" s="6">
        <v>18903</v>
      </c>
      <c r="Q1555" s="4" t="s">
        <v>26</v>
      </c>
      <c r="R1555" s="4">
        <v>0</v>
      </c>
      <c r="S1555" s="4" t="s">
        <v>416</v>
      </c>
      <c r="T1555" s="4" t="s">
        <v>673</v>
      </c>
      <c r="U1555" s="4">
        <v>0</v>
      </c>
      <c r="V1555" s="4">
        <v>2</v>
      </c>
      <c r="W1555" s="4">
        <v>72</v>
      </c>
    </row>
    <row r="1556" spans="1:23" ht="11.25" customHeight="1" x14ac:dyDescent="0.25">
      <c r="A1556" s="4" t="s">
        <v>28</v>
      </c>
      <c r="B1556" s="4" t="s">
        <v>22</v>
      </c>
      <c r="C1556" s="4" t="s">
        <v>23</v>
      </c>
      <c r="D1556" s="4" t="s">
        <v>24</v>
      </c>
      <c r="E1556" s="4" t="s">
        <v>24</v>
      </c>
      <c r="F1556" s="4" t="s">
        <v>25</v>
      </c>
      <c r="G1556" s="4" t="s">
        <v>25</v>
      </c>
      <c r="H1556" s="4" t="s">
        <v>25</v>
      </c>
      <c r="I1556" s="5">
        <v>44652</v>
      </c>
      <c r="J1556" s="6">
        <v>0</v>
      </c>
      <c r="K1556" s="6">
        <v>0</v>
      </c>
      <c r="L1556" s="6">
        <v>-7.0540000000000003</v>
      </c>
      <c r="M1556" s="6">
        <v>-7.0540000000000003</v>
      </c>
      <c r="N1556" s="6">
        <v>-7.0540000000000003</v>
      </c>
      <c r="O1556" s="6">
        <v>-7.0540000000000003</v>
      </c>
      <c r="P1556" s="6">
        <v>-1</v>
      </c>
      <c r="Q1556" s="4" t="s">
        <v>26</v>
      </c>
      <c r="R1556" s="4">
        <v>0</v>
      </c>
      <c r="S1556" s="4" t="s">
        <v>416</v>
      </c>
      <c r="T1556" s="4" t="s">
        <v>673</v>
      </c>
      <c r="U1556" s="4">
        <v>0</v>
      </c>
      <c r="V1556" s="4">
        <v>2</v>
      </c>
      <c r="W1556" s="4">
        <v>72</v>
      </c>
    </row>
    <row r="1557" spans="1:23" ht="11.25" customHeight="1" x14ac:dyDescent="0.25">
      <c r="A1557" s="4" t="s">
        <v>21</v>
      </c>
      <c r="B1557" s="4" t="s">
        <v>22</v>
      </c>
      <c r="C1557" s="4" t="s">
        <v>23</v>
      </c>
      <c r="D1557" s="4" t="s">
        <v>24</v>
      </c>
      <c r="E1557" s="4" t="s">
        <v>24</v>
      </c>
      <c r="F1557" s="4" t="s">
        <v>25</v>
      </c>
      <c r="G1557" s="4" t="s">
        <v>25</v>
      </c>
      <c r="H1557" s="4" t="s">
        <v>25</v>
      </c>
      <c r="I1557" s="5">
        <v>44682</v>
      </c>
      <c r="J1557" s="6">
        <v>0</v>
      </c>
      <c r="K1557" s="6">
        <v>0</v>
      </c>
      <c r="L1557" s="6">
        <v>118049.738</v>
      </c>
      <c r="M1557" s="6">
        <v>118049.738</v>
      </c>
      <c r="N1557" s="6">
        <v>118049.738</v>
      </c>
      <c r="O1557" s="6">
        <v>118049.738</v>
      </c>
      <c r="P1557" s="6">
        <v>802997</v>
      </c>
      <c r="Q1557" s="4" t="s">
        <v>26</v>
      </c>
      <c r="R1557" s="4">
        <v>0</v>
      </c>
      <c r="S1557" s="4" t="s">
        <v>417</v>
      </c>
      <c r="T1557" s="4" t="s">
        <v>674</v>
      </c>
      <c r="U1557" s="4">
        <v>0</v>
      </c>
      <c r="V1557" s="4">
        <v>2</v>
      </c>
      <c r="W1557" s="4">
        <v>72</v>
      </c>
    </row>
    <row r="1558" spans="1:23" ht="11.25" customHeight="1" x14ac:dyDescent="0.25">
      <c r="A1558" s="4" t="s">
        <v>27</v>
      </c>
      <c r="B1558" s="4" t="s">
        <v>22</v>
      </c>
      <c r="C1558" s="4" t="s">
        <v>23</v>
      </c>
      <c r="D1558" s="4" t="s">
        <v>24</v>
      </c>
      <c r="E1558" s="4" t="s">
        <v>24</v>
      </c>
      <c r="F1558" s="4" t="s">
        <v>25</v>
      </c>
      <c r="G1558" s="4" t="s">
        <v>25</v>
      </c>
      <c r="H1558" s="4" t="s">
        <v>25</v>
      </c>
      <c r="I1558" s="5">
        <v>44682</v>
      </c>
      <c r="J1558" s="6">
        <v>0</v>
      </c>
      <c r="K1558" s="6">
        <v>0</v>
      </c>
      <c r="L1558" s="6">
        <v>-277.43599999999998</v>
      </c>
      <c r="M1558" s="6">
        <v>-277.43599999999998</v>
      </c>
      <c r="N1558" s="6">
        <v>-277.43599999999998</v>
      </c>
      <c r="O1558" s="6">
        <v>-277.43599999999998</v>
      </c>
      <c r="P1558" s="6">
        <v>-91</v>
      </c>
      <c r="Q1558" s="4" t="s">
        <v>26</v>
      </c>
      <c r="R1558" s="4">
        <v>0</v>
      </c>
      <c r="S1558" s="4" t="s">
        <v>417</v>
      </c>
      <c r="T1558" s="4" t="s">
        <v>674</v>
      </c>
      <c r="U1558" s="4">
        <v>0</v>
      </c>
      <c r="V1558" s="4">
        <v>2</v>
      </c>
      <c r="W1558" s="4">
        <v>72</v>
      </c>
    </row>
    <row r="1559" spans="1:23" ht="11.25" customHeight="1" x14ac:dyDescent="0.25">
      <c r="A1559" s="4" t="s">
        <v>28</v>
      </c>
      <c r="B1559" s="4" t="s">
        <v>22</v>
      </c>
      <c r="C1559" s="4" t="s">
        <v>23</v>
      </c>
      <c r="D1559" s="4" t="s">
        <v>24</v>
      </c>
      <c r="E1559" s="4" t="s">
        <v>24</v>
      </c>
      <c r="F1559" s="4" t="s">
        <v>25</v>
      </c>
      <c r="G1559" s="4" t="s">
        <v>25</v>
      </c>
      <c r="H1559" s="4" t="s">
        <v>25</v>
      </c>
      <c r="I1559" s="5">
        <v>44682</v>
      </c>
      <c r="J1559" s="6">
        <v>0</v>
      </c>
      <c r="K1559" s="6">
        <v>0</v>
      </c>
      <c r="L1559" s="6">
        <v>2388.252</v>
      </c>
      <c r="M1559" s="6">
        <v>2388.252</v>
      </c>
      <c r="N1559" s="6">
        <v>2388.252</v>
      </c>
      <c r="O1559" s="6">
        <v>2388.252</v>
      </c>
      <c r="P1559" s="6">
        <v>19812</v>
      </c>
      <c r="Q1559" s="4" t="s">
        <v>26</v>
      </c>
      <c r="R1559" s="4">
        <v>0</v>
      </c>
      <c r="S1559" s="4" t="s">
        <v>417</v>
      </c>
      <c r="T1559" s="4" t="s">
        <v>674</v>
      </c>
      <c r="U1559" s="4">
        <v>0</v>
      </c>
      <c r="V1559" s="4">
        <v>2</v>
      </c>
      <c r="W1559" s="4">
        <v>72</v>
      </c>
    </row>
    <row r="1560" spans="1:23" ht="11.25" customHeight="1" x14ac:dyDescent="0.25">
      <c r="A1560" s="4" t="s">
        <v>28</v>
      </c>
      <c r="B1560" s="4" t="s">
        <v>22</v>
      </c>
      <c r="C1560" s="4" t="s">
        <v>23</v>
      </c>
      <c r="D1560" s="4" t="s">
        <v>24</v>
      </c>
      <c r="E1560" s="4" t="s">
        <v>24</v>
      </c>
      <c r="F1560" s="4" t="s">
        <v>25</v>
      </c>
      <c r="G1560" s="4" t="s">
        <v>25</v>
      </c>
      <c r="H1560" s="4" t="s">
        <v>25</v>
      </c>
      <c r="I1560" s="5">
        <v>44682</v>
      </c>
      <c r="J1560" s="6">
        <v>0</v>
      </c>
      <c r="K1560" s="6">
        <v>0</v>
      </c>
      <c r="L1560" s="6">
        <v>-1.347</v>
      </c>
      <c r="M1560" s="6">
        <v>-1.347</v>
      </c>
      <c r="N1560" s="6">
        <v>-1.347</v>
      </c>
      <c r="O1560" s="6">
        <v>-1.347</v>
      </c>
      <c r="P1560" s="6">
        <v>0</v>
      </c>
      <c r="Q1560" s="4" t="s">
        <v>26</v>
      </c>
      <c r="R1560" s="4">
        <v>0</v>
      </c>
      <c r="S1560" s="4" t="s">
        <v>417</v>
      </c>
      <c r="T1560" s="4" t="s">
        <v>674</v>
      </c>
      <c r="U1560" s="4">
        <v>0</v>
      </c>
      <c r="V1560" s="4">
        <v>2</v>
      </c>
      <c r="W1560" s="4">
        <v>72</v>
      </c>
    </row>
    <row r="1561" spans="1:23" ht="11.25" customHeight="1" x14ac:dyDescent="0.25">
      <c r="A1561" s="4" t="s">
        <v>21</v>
      </c>
      <c r="B1561" s="4" t="s">
        <v>22</v>
      </c>
      <c r="C1561" s="4" t="s">
        <v>23</v>
      </c>
      <c r="D1561" s="4" t="s">
        <v>24</v>
      </c>
      <c r="E1561" s="4" t="s">
        <v>24</v>
      </c>
      <c r="F1561" s="4" t="s">
        <v>25</v>
      </c>
      <c r="G1561" s="4" t="s">
        <v>25</v>
      </c>
      <c r="H1561" s="4" t="s">
        <v>25</v>
      </c>
      <c r="I1561" s="5">
        <v>44713</v>
      </c>
      <c r="J1561" s="6">
        <v>0</v>
      </c>
      <c r="K1561" s="6">
        <v>0</v>
      </c>
      <c r="L1561" s="6">
        <v>102437.894</v>
      </c>
      <c r="M1561" s="6">
        <v>102437.894</v>
      </c>
      <c r="N1561" s="6">
        <v>102437.894</v>
      </c>
      <c r="O1561" s="6">
        <v>102437.894</v>
      </c>
      <c r="P1561" s="6">
        <v>799826</v>
      </c>
      <c r="Q1561" s="4" t="s">
        <v>26</v>
      </c>
      <c r="R1561" s="4">
        <v>0</v>
      </c>
      <c r="S1561" s="4" t="s">
        <v>418</v>
      </c>
      <c r="T1561" s="4" t="s">
        <v>675</v>
      </c>
      <c r="U1561" s="4">
        <v>0</v>
      </c>
      <c r="V1561" s="4">
        <v>2</v>
      </c>
      <c r="W1561" s="4">
        <v>72</v>
      </c>
    </row>
    <row r="1562" spans="1:23" ht="11.25" customHeight="1" x14ac:dyDescent="0.25">
      <c r="A1562" s="4" t="s">
        <v>27</v>
      </c>
      <c r="B1562" s="4" t="s">
        <v>22</v>
      </c>
      <c r="C1562" s="4" t="s">
        <v>23</v>
      </c>
      <c r="D1562" s="4" t="s">
        <v>24</v>
      </c>
      <c r="E1562" s="4" t="s">
        <v>24</v>
      </c>
      <c r="F1562" s="4" t="s">
        <v>25</v>
      </c>
      <c r="G1562" s="4" t="s">
        <v>25</v>
      </c>
      <c r="H1562" s="4" t="s">
        <v>25</v>
      </c>
      <c r="I1562" s="5">
        <v>44713</v>
      </c>
      <c r="J1562" s="6">
        <v>0</v>
      </c>
      <c r="K1562" s="6">
        <v>0</v>
      </c>
      <c r="L1562" s="6">
        <v>-233.66</v>
      </c>
      <c r="M1562" s="6">
        <v>-233.66</v>
      </c>
      <c r="N1562" s="6">
        <v>-233.66</v>
      </c>
      <c r="O1562" s="6">
        <v>-233.66</v>
      </c>
      <c r="P1562" s="6">
        <v>-72</v>
      </c>
      <c r="Q1562" s="4" t="s">
        <v>26</v>
      </c>
      <c r="R1562" s="4">
        <v>0</v>
      </c>
      <c r="S1562" s="4" t="s">
        <v>418</v>
      </c>
      <c r="T1562" s="4" t="s">
        <v>675</v>
      </c>
      <c r="U1562" s="4">
        <v>0</v>
      </c>
      <c r="V1562" s="4">
        <v>2</v>
      </c>
      <c r="W1562" s="4">
        <v>72</v>
      </c>
    </row>
    <row r="1563" spans="1:23" ht="11.25" customHeight="1" x14ac:dyDescent="0.25">
      <c r="A1563" s="4" t="s">
        <v>28</v>
      </c>
      <c r="B1563" s="4" t="s">
        <v>22</v>
      </c>
      <c r="C1563" s="4" t="s">
        <v>23</v>
      </c>
      <c r="D1563" s="4" t="s">
        <v>24</v>
      </c>
      <c r="E1563" s="4" t="s">
        <v>24</v>
      </c>
      <c r="F1563" s="4" t="s">
        <v>25</v>
      </c>
      <c r="G1563" s="4" t="s">
        <v>25</v>
      </c>
      <c r="H1563" s="4" t="s">
        <v>25</v>
      </c>
      <c r="I1563" s="5">
        <v>44713</v>
      </c>
      <c r="J1563" s="6">
        <v>0</v>
      </c>
      <c r="K1563" s="6">
        <v>0</v>
      </c>
      <c r="L1563" s="6">
        <v>2322.538</v>
      </c>
      <c r="M1563" s="6">
        <v>2322.538</v>
      </c>
      <c r="N1563" s="6">
        <v>2322.538</v>
      </c>
      <c r="O1563" s="6">
        <v>2322.538</v>
      </c>
      <c r="P1563" s="6">
        <v>20507</v>
      </c>
      <c r="Q1563" s="4" t="s">
        <v>26</v>
      </c>
      <c r="R1563" s="4">
        <v>0</v>
      </c>
      <c r="S1563" s="4" t="s">
        <v>418</v>
      </c>
      <c r="T1563" s="4" t="s">
        <v>675</v>
      </c>
      <c r="U1563" s="4">
        <v>0</v>
      </c>
      <c r="V1563" s="4">
        <v>2</v>
      </c>
      <c r="W1563" s="4">
        <v>72</v>
      </c>
    </row>
    <row r="1564" spans="1:23" ht="11.25" customHeight="1" x14ac:dyDescent="0.25">
      <c r="A1564" s="4" t="s">
        <v>28</v>
      </c>
      <c r="B1564" s="4" t="s">
        <v>22</v>
      </c>
      <c r="C1564" s="4" t="s">
        <v>23</v>
      </c>
      <c r="D1564" s="4" t="s">
        <v>24</v>
      </c>
      <c r="E1564" s="4" t="s">
        <v>24</v>
      </c>
      <c r="F1564" s="4" t="s">
        <v>25</v>
      </c>
      <c r="G1564" s="4" t="s">
        <v>25</v>
      </c>
      <c r="H1564" s="4" t="s">
        <v>25</v>
      </c>
      <c r="I1564" s="5">
        <v>44713</v>
      </c>
      <c r="J1564" s="6">
        <v>0</v>
      </c>
      <c r="K1564" s="6">
        <v>0</v>
      </c>
      <c r="L1564" s="6">
        <v>-3.4620000000000002</v>
      </c>
      <c r="M1564" s="6">
        <v>-3.4620000000000002</v>
      </c>
      <c r="N1564" s="6">
        <v>-3.4620000000000002</v>
      </c>
      <c r="O1564" s="6">
        <v>-3.4620000000000002</v>
      </c>
      <c r="P1564" s="6">
        <v>0</v>
      </c>
      <c r="Q1564" s="4" t="s">
        <v>26</v>
      </c>
      <c r="R1564" s="4">
        <v>0</v>
      </c>
      <c r="S1564" s="4" t="s">
        <v>418</v>
      </c>
      <c r="T1564" s="4" t="s">
        <v>675</v>
      </c>
      <c r="U1564" s="4">
        <v>0</v>
      </c>
      <c r="V1564" s="4">
        <v>2</v>
      </c>
      <c r="W1564" s="4">
        <v>72</v>
      </c>
    </row>
    <row r="1565" spans="1:23" ht="11.25" customHeight="1" x14ac:dyDescent="0.25">
      <c r="A1565" s="4" t="s">
        <v>57</v>
      </c>
      <c r="B1565" s="4" t="s">
        <v>22</v>
      </c>
      <c r="C1565" s="4" t="s">
        <v>23</v>
      </c>
      <c r="D1565" s="4" t="s">
        <v>24</v>
      </c>
      <c r="E1565" s="4" t="s">
        <v>24</v>
      </c>
      <c r="F1565" s="4" t="s">
        <v>25</v>
      </c>
      <c r="G1565" s="4" t="s">
        <v>25</v>
      </c>
      <c r="H1565" s="4" t="s">
        <v>25</v>
      </c>
      <c r="I1565" s="5">
        <v>44743</v>
      </c>
      <c r="J1565" s="6">
        <v>0</v>
      </c>
      <c r="K1565" s="6">
        <v>0</v>
      </c>
      <c r="L1565" s="6">
        <v>102437.894</v>
      </c>
      <c r="M1565" s="6">
        <v>102437.894</v>
      </c>
      <c r="N1565" s="6">
        <v>102437.894</v>
      </c>
      <c r="O1565" s="6">
        <v>102437.894</v>
      </c>
      <c r="P1565" s="6">
        <v>799826</v>
      </c>
      <c r="Q1565" s="4" t="s">
        <v>26</v>
      </c>
      <c r="R1565" s="4">
        <v>0</v>
      </c>
      <c r="S1565" s="4" t="s">
        <v>419</v>
      </c>
      <c r="T1565" s="4" t="s">
        <v>676</v>
      </c>
      <c r="U1565" s="4">
        <v>0</v>
      </c>
      <c r="V1565" s="4">
        <v>2</v>
      </c>
      <c r="W1565" s="4">
        <v>72</v>
      </c>
    </row>
    <row r="1566" spans="1:23" ht="11.25" customHeight="1" x14ac:dyDescent="0.25">
      <c r="A1566" s="4" t="s">
        <v>57</v>
      </c>
      <c r="B1566" s="4" t="s">
        <v>22</v>
      </c>
      <c r="C1566" s="4" t="s">
        <v>23</v>
      </c>
      <c r="D1566" s="4" t="s">
        <v>24</v>
      </c>
      <c r="E1566" s="4" t="s">
        <v>24</v>
      </c>
      <c r="F1566" s="4" t="s">
        <v>25</v>
      </c>
      <c r="G1566" s="4" t="s">
        <v>25</v>
      </c>
      <c r="H1566" s="4" t="s">
        <v>25</v>
      </c>
      <c r="I1566" s="5">
        <v>44743</v>
      </c>
      <c r="J1566" s="6">
        <v>0</v>
      </c>
      <c r="K1566" s="6">
        <v>0</v>
      </c>
      <c r="L1566" s="6">
        <v>-233.66</v>
      </c>
      <c r="M1566" s="6">
        <v>-233.66</v>
      </c>
      <c r="N1566" s="6">
        <v>-233.66</v>
      </c>
      <c r="O1566" s="6">
        <v>-233.66</v>
      </c>
      <c r="P1566" s="6">
        <v>-72</v>
      </c>
      <c r="Q1566" s="4" t="s">
        <v>26</v>
      </c>
      <c r="R1566" s="4">
        <v>0</v>
      </c>
      <c r="S1566" s="4" t="s">
        <v>419</v>
      </c>
      <c r="T1566" s="4" t="s">
        <v>676</v>
      </c>
      <c r="U1566" s="4">
        <v>0</v>
      </c>
      <c r="V1566" s="4">
        <v>2</v>
      </c>
      <c r="W1566" s="4">
        <v>72</v>
      </c>
    </row>
    <row r="1567" spans="1:23" ht="11.25" customHeight="1" x14ac:dyDescent="0.25">
      <c r="A1567" s="4" t="s">
        <v>57</v>
      </c>
      <c r="B1567" s="4" t="s">
        <v>22</v>
      </c>
      <c r="C1567" s="4" t="s">
        <v>23</v>
      </c>
      <c r="D1567" s="4" t="s">
        <v>24</v>
      </c>
      <c r="E1567" s="4" t="s">
        <v>24</v>
      </c>
      <c r="F1567" s="4" t="s">
        <v>25</v>
      </c>
      <c r="G1567" s="4" t="s">
        <v>25</v>
      </c>
      <c r="H1567" s="4" t="s">
        <v>25</v>
      </c>
      <c r="I1567" s="5">
        <v>44743</v>
      </c>
      <c r="J1567" s="6">
        <v>0</v>
      </c>
      <c r="K1567" s="6">
        <v>0</v>
      </c>
      <c r="L1567" s="6">
        <v>2322.538</v>
      </c>
      <c r="M1567" s="6">
        <v>2322.538</v>
      </c>
      <c r="N1567" s="6">
        <v>2322.538</v>
      </c>
      <c r="O1567" s="6">
        <v>2322.538</v>
      </c>
      <c r="P1567" s="6">
        <v>20507</v>
      </c>
      <c r="Q1567" s="4" t="s">
        <v>26</v>
      </c>
      <c r="R1567" s="4">
        <v>0</v>
      </c>
      <c r="S1567" s="4" t="s">
        <v>419</v>
      </c>
      <c r="T1567" s="4" t="s">
        <v>676</v>
      </c>
      <c r="U1567" s="4">
        <v>0</v>
      </c>
      <c r="V1567" s="4">
        <v>2</v>
      </c>
      <c r="W1567" s="4">
        <v>72</v>
      </c>
    </row>
    <row r="1568" spans="1:23" ht="11.25" customHeight="1" x14ac:dyDescent="0.25">
      <c r="A1568" s="4" t="s">
        <v>57</v>
      </c>
      <c r="B1568" s="4" t="s">
        <v>22</v>
      </c>
      <c r="C1568" s="4" t="s">
        <v>23</v>
      </c>
      <c r="D1568" s="4" t="s">
        <v>24</v>
      </c>
      <c r="E1568" s="4" t="s">
        <v>24</v>
      </c>
      <c r="F1568" s="4" t="s">
        <v>25</v>
      </c>
      <c r="G1568" s="4" t="s">
        <v>25</v>
      </c>
      <c r="H1568" s="4" t="s">
        <v>25</v>
      </c>
      <c r="I1568" s="5">
        <v>44743</v>
      </c>
      <c r="J1568" s="6">
        <v>0</v>
      </c>
      <c r="K1568" s="6">
        <v>0</v>
      </c>
      <c r="L1568" s="6">
        <v>-3.4620000000000002</v>
      </c>
      <c r="M1568" s="6">
        <v>-3.4620000000000002</v>
      </c>
      <c r="N1568" s="6">
        <v>-3.4620000000000002</v>
      </c>
      <c r="O1568" s="6">
        <v>-3.4620000000000002</v>
      </c>
      <c r="P1568" s="6">
        <v>0</v>
      </c>
      <c r="Q1568" s="4" t="s">
        <v>26</v>
      </c>
      <c r="R1568" s="4">
        <v>0</v>
      </c>
      <c r="S1568" s="4" t="s">
        <v>419</v>
      </c>
      <c r="T1568" s="4" t="s">
        <v>676</v>
      </c>
      <c r="U1568" s="4">
        <v>0</v>
      </c>
      <c r="V1568" s="4">
        <v>2</v>
      </c>
      <c r="W1568" s="4">
        <v>72</v>
      </c>
    </row>
    <row r="1569" spans="1:23" ht="11.25" customHeight="1" x14ac:dyDescent="0.25">
      <c r="A1569" s="4" t="s">
        <v>21</v>
      </c>
      <c r="B1569" s="4" t="s">
        <v>22</v>
      </c>
      <c r="C1569" s="4" t="s">
        <v>23</v>
      </c>
      <c r="D1569" s="4" t="s">
        <v>24</v>
      </c>
      <c r="E1569" s="4" t="s">
        <v>29</v>
      </c>
      <c r="F1569" s="4" t="s">
        <v>25</v>
      </c>
      <c r="G1569" s="4" t="s">
        <v>25</v>
      </c>
      <c r="H1569" s="4" t="s">
        <v>25</v>
      </c>
      <c r="I1569" s="5">
        <v>44409</v>
      </c>
      <c r="J1569" s="6">
        <v>0</v>
      </c>
      <c r="K1569" s="6">
        <v>0</v>
      </c>
      <c r="L1569" s="6">
        <v>13046.805</v>
      </c>
      <c r="M1569" s="6">
        <v>13046.805</v>
      </c>
      <c r="N1569" s="6">
        <v>13046.805</v>
      </c>
      <c r="O1569" s="6">
        <v>13046.805</v>
      </c>
      <c r="P1569" s="6">
        <v>45745</v>
      </c>
      <c r="Q1569" s="4" t="s">
        <v>26</v>
      </c>
      <c r="R1569" s="4">
        <v>0</v>
      </c>
      <c r="S1569" s="4" t="s">
        <v>420</v>
      </c>
      <c r="T1569" s="4" t="s">
        <v>677</v>
      </c>
      <c r="U1569" s="4">
        <v>0</v>
      </c>
      <c r="V1569" s="4">
        <v>4</v>
      </c>
      <c r="W1569" s="4">
        <v>73</v>
      </c>
    </row>
    <row r="1570" spans="1:23" ht="11.25" customHeight="1" x14ac:dyDescent="0.25">
      <c r="A1570" s="4" t="s">
        <v>27</v>
      </c>
      <c r="B1570" s="4" t="s">
        <v>22</v>
      </c>
      <c r="C1570" s="4" t="s">
        <v>23</v>
      </c>
      <c r="D1570" s="4" t="s">
        <v>24</v>
      </c>
      <c r="E1570" s="4" t="s">
        <v>29</v>
      </c>
      <c r="F1570" s="4" t="s">
        <v>25</v>
      </c>
      <c r="G1570" s="4" t="s">
        <v>25</v>
      </c>
      <c r="H1570" s="4" t="s">
        <v>25</v>
      </c>
      <c r="I1570" s="5">
        <v>44409</v>
      </c>
      <c r="J1570" s="6">
        <v>0</v>
      </c>
      <c r="K1570" s="6">
        <v>0</v>
      </c>
      <c r="L1570" s="6">
        <v>2.44</v>
      </c>
      <c r="M1570" s="6">
        <v>2.44</v>
      </c>
      <c r="N1570" s="6">
        <v>2.44</v>
      </c>
      <c r="O1570" s="6">
        <v>2.44</v>
      </c>
      <c r="P1570" s="6">
        <v>32</v>
      </c>
      <c r="Q1570" s="4" t="s">
        <v>26</v>
      </c>
      <c r="R1570" s="4">
        <v>0</v>
      </c>
      <c r="S1570" s="4" t="s">
        <v>420</v>
      </c>
      <c r="T1570" s="4" t="s">
        <v>677</v>
      </c>
      <c r="U1570" s="4">
        <v>0</v>
      </c>
      <c r="V1570" s="4">
        <v>4</v>
      </c>
      <c r="W1570" s="4">
        <v>73</v>
      </c>
    </row>
    <row r="1571" spans="1:23" ht="11.25" customHeight="1" x14ac:dyDescent="0.25">
      <c r="A1571" s="4" t="s">
        <v>28</v>
      </c>
      <c r="B1571" s="4" t="s">
        <v>22</v>
      </c>
      <c r="C1571" s="4" t="s">
        <v>23</v>
      </c>
      <c r="D1571" s="4" t="s">
        <v>24</v>
      </c>
      <c r="E1571" s="4" t="s">
        <v>29</v>
      </c>
      <c r="F1571" s="4" t="s">
        <v>25</v>
      </c>
      <c r="G1571" s="4" t="s">
        <v>25</v>
      </c>
      <c r="H1571" s="4" t="s">
        <v>25</v>
      </c>
      <c r="I1571" s="5">
        <v>44409</v>
      </c>
      <c r="J1571" s="6">
        <v>0</v>
      </c>
      <c r="K1571" s="6">
        <v>0</v>
      </c>
      <c r="L1571" s="6">
        <v>15.66</v>
      </c>
      <c r="M1571" s="6">
        <v>15.66</v>
      </c>
      <c r="N1571" s="6">
        <v>15.66</v>
      </c>
      <c r="O1571" s="6">
        <v>15.66</v>
      </c>
      <c r="P1571" s="6">
        <v>25</v>
      </c>
      <c r="Q1571" s="4" t="s">
        <v>26</v>
      </c>
      <c r="R1571" s="4">
        <v>0</v>
      </c>
      <c r="S1571" s="4" t="s">
        <v>420</v>
      </c>
      <c r="T1571" s="4" t="s">
        <v>677</v>
      </c>
      <c r="U1571" s="4">
        <v>0</v>
      </c>
      <c r="V1571" s="4">
        <v>4</v>
      </c>
      <c r="W1571" s="4">
        <v>73</v>
      </c>
    </row>
    <row r="1572" spans="1:23" ht="11.25" customHeight="1" x14ac:dyDescent="0.25">
      <c r="A1572" s="4" t="s">
        <v>21</v>
      </c>
      <c r="B1572" s="4" t="s">
        <v>22</v>
      </c>
      <c r="C1572" s="4" t="s">
        <v>23</v>
      </c>
      <c r="D1572" s="4" t="s">
        <v>24</v>
      </c>
      <c r="E1572" s="4" t="s">
        <v>29</v>
      </c>
      <c r="F1572" s="4" t="s">
        <v>25</v>
      </c>
      <c r="G1572" s="4" t="s">
        <v>25</v>
      </c>
      <c r="H1572" s="4" t="s">
        <v>25</v>
      </c>
      <c r="I1572" s="5">
        <v>44440</v>
      </c>
      <c r="J1572" s="6">
        <v>0</v>
      </c>
      <c r="K1572" s="6">
        <v>0</v>
      </c>
      <c r="L1572" s="6">
        <v>12870.684999999999</v>
      </c>
      <c r="M1572" s="6">
        <v>12870.684999999999</v>
      </c>
      <c r="N1572" s="6">
        <v>12870.684999999999</v>
      </c>
      <c r="O1572" s="6">
        <v>12870.684999999999</v>
      </c>
      <c r="P1572" s="6">
        <v>44002</v>
      </c>
      <c r="Q1572" s="4" t="s">
        <v>26</v>
      </c>
      <c r="R1572" s="4">
        <v>0</v>
      </c>
      <c r="S1572" s="4" t="s">
        <v>421</v>
      </c>
      <c r="T1572" s="4" t="s">
        <v>678</v>
      </c>
      <c r="U1572" s="4">
        <v>0</v>
      </c>
      <c r="V1572" s="4">
        <v>4</v>
      </c>
      <c r="W1572" s="4">
        <v>73</v>
      </c>
    </row>
    <row r="1573" spans="1:23" ht="11.25" customHeight="1" x14ac:dyDescent="0.25">
      <c r="A1573" s="4" t="s">
        <v>27</v>
      </c>
      <c r="B1573" s="4" t="s">
        <v>22</v>
      </c>
      <c r="C1573" s="4" t="s">
        <v>23</v>
      </c>
      <c r="D1573" s="4" t="s">
        <v>24</v>
      </c>
      <c r="E1573" s="4" t="s">
        <v>29</v>
      </c>
      <c r="F1573" s="4" t="s">
        <v>25</v>
      </c>
      <c r="G1573" s="4" t="s">
        <v>25</v>
      </c>
      <c r="H1573" s="4" t="s">
        <v>25</v>
      </c>
      <c r="I1573" s="5">
        <v>44440</v>
      </c>
      <c r="J1573" s="6">
        <v>0</v>
      </c>
      <c r="K1573" s="6">
        <v>0</v>
      </c>
      <c r="L1573" s="6">
        <v>4.0679999999999996</v>
      </c>
      <c r="M1573" s="6">
        <v>4.0679999999999996</v>
      </c>
      <c r="N1573" s="6">
        <v>4.0679999999999996</v>
      </c>
      <c r="O1573" s="6">
        <v>4.0679999999999996</v>
      </c>
      <c r="P1573" s="6">
        <v>55</v>
      </c>
      <c r="Q1573" s="4" t="s">
        <v>26</v>
      </c>
      <c r="R1573" s="4">
        <v>0</v>
      </c>
      <c r="S1573" s="4" t="s">
        <v>421</v>
      </c>
      <c r="T1573" s="4" t="s">
        <v>678</v>
      </c>
      <c r="U1573" s="4">
        <v>0</v>
      </c>
      <c r="V1573" s="4">
        <v>4</v>
      </c>
      <c r="W1573" s="4">
        <v>73</v>
      </c>
    </row>
    <row r="1574" spans="1:23" ht="11.25" customHeight="1" x14ac:dyDescent="0.25">
      <c r="A1574" s="4" t="s">
        <v>28</v>
      </c>
      <c r="B1574" s="4" t="s">
        <v>22</v>
      </c>
      <c r="C1574" s="4" t="s">
        <v>23</v>
      </c>
      <c r="D1574" s="4" t="s">
        <v>24</v>
      </c>
      <c r="E1574" s="4" t="s">
        <v>29</v>
      </c>
      <c r="F1574" s="4" t="s">
        <v>25</v>
      </c>
      <c r="G1574" s="4" t="s">
        <v>25</v>
      </c>
      <c r="H1574" s="4" t="s">
        <v>25</v>
      </c>
      <c r="I1574" s="5">
        <v>44440</v>
      </c>
      <c r="J1574" s="6">
        <v>0</v>
      </c>
      <c r="K1574" s="6">
        <v>0</v>
      </c>
      <c r="L1574" s="6">
        <v>16.829999999999998</v>
      </c>
      <c r="M1574" s="6">
        <v>16.829999999999998</v>
      </c>
      <c r="N1574" s="6">
        <v>16.829999999999998</v>
      </c>
      <c r="O1574" s="6">
        <v>16.829999999999998</v>
      </c>
      <c r="P1574" s="6">
        <v>36</v>
      </c>
      <c r="Q1574" s="4" t="s">
        <v>26</v>
      </c>
      <c r="R1574" s="4">
        <v>0</v>
      </c>
      <c r="S1574" s="4" t="s">
        <v>421</v>
      </c>
      <c r="T1574" s="4" t="s">
        <v>678</v>
      </c>
      <c r="U1574" s="4">
        <v>0</v>
      </c>
      <c r="V1574" s="4">
        <v>4</v>
      </c>
      <c r="W1574" s="4">
        <v>73</v>
      </c>
    </row>
    <row r="1575" spans="1:23" ht="11.25" customHeight="1" x14ac:dyDescent="0.25">
      <c r="A1575" s="4" t="s">
        <v>21</v>
      </c>
      <c r="B1575" s="4" t="s">
        <v>22</v>
      </c>
      <c r="C1575" s="4" t="s">
        <v>23</v>
      </c>
      <c r="D1575" s="4" t="s">
        <v>24</v>
      </c>
      <c r="E1575" s="4" t="s">
        <v>29</v>
      </c>
      <c r="F1575" s="4" t="s">
        <v>25</v>
      </c>
      <c r="G1575" s="4" t="s">
        <v>25</v>
      </c>
      <c r="H1575" s="4" t="s">
        <v>25</v>
      </c>
      <c r="I1575" s="5">
        <v>44470</v>
      </c>
      <c r="J1575" s="6">
        <v>0</v>
      </c>
      <c r="K1575" s="6">
        <v>0</v>
      </c>
      <c r="L1575" s="6">
        <v>13028.805</v>
      </c>
      <c r="M1575" s="6">
        <v>13028.805</v>
      </c>
      <c r="N1575" s="6">
        <v>13028.805</v>
      </c>
      <c r="O1575" s="6">
        <v>13028.805</v>
      </c>
      <c r="P1575" s="6">
        <v>42538</v>
      </c>
      <c r="Q1575" s="4" t="s">
        <v>26</v>
      </c>
      <c r="R1575" s="4">
        <v>0</v>
      </c>
      <c r="S1575" s="4" t="s">
        <v>422</v>
      </c>
      <c r="T1575" s="4" t="s">
        <v>679</v>
      </c>
      <c r="U1575" s="4">
        <v>0</v>
      </c>
      <c r="V1575" s="4">
        <v>4</v>
      </c>
      <c r="W1575" s="4">
        <v>73</v>
      </c>
    </row>
    <row r="1576" spans="1:23" ht="11.25" customHeight="1" x14ac:dyDescent="0.25">
      <c r="A1576" s="4" t="s">
        <v>27</v>
      </c>
      <c r="B1576" s="4" t="s">
        <v>22</v>
      </c>
      <c r="C1576" s="4" t="s">
        <v>23</v>
      </c>
      <c r="D1576" s="4" t="s">
        <v>24</v>
      </c>
      <c r="E1576" s="4" t="s">
        <v>29</v>
      </c>
      <c r="F1576" s="4" t="s">
        <v>25</v>
      </c>
      <c r="G1576" s="4" t="s">
        <v>25</v>
      </c>
      <c r="H1576" s="4" t="s">
        <v>25</v>
      </c>
      <c r="I1576" s="5">
        <v>44470</v>
      </c>
      <c r="J1576" s="6">
        <v>0</v>
      </c>
      <c r="K1576" s="6">
        <v>0</v>
      </c>
      <c r="L1576" s="6">
        <v>4.2389999999999999</v>
      </c>
      <c r="M1576" s="6">
        <v>4.2389999999999999</v>
      </c>
      <c r="N1576" s="6">
        <v>4.2389999999999999</v>
      </c>
      <c r="O1576" s="6">
        <v>4.2389999999999999</v>
      </c>
      <c r="P1576" s="6">
        <v>63</v>
      </c>
      <c r="Q1576" s="4" t="s">
        <v>26</v>
      </c>
      <c r="R1576" s="4">
        <v>0</v>
      </c>
      <c r="S1576" s="4" t="s">
        <v>422</v>
      </c>
      <c r="T1576" s="4" t="s">
        <v>679</v>
      </c>
      <c r="U1576" s="4">
        <v>0</v>
      </c>
      <c r="V1576" s="4">
        <v>4</v>
      </c>
      <c r="W1576" s="4">
        <v>73</v>
      </c>
    </row>
    <row r="1577" spans="1:23" ht="11.25" customHeight="1" x14ac:dyDescent="0.25">
      <c r="A1577" s="4" t="s">
        <v>28</v>
      </c>
      <c r="B1577" s="4" t="s">
        <v>22</v>
      </c>
      <c r="C1577" s="4" t="s">
        <v>23</v>
      </c>
      <c r="D1577" s="4" t="s">
        <v>24</v>
      </c>
      <c r="E1577" s="4" t="s">
        <v>29</v>
      </c>
      <c r="F1577" s="4" t="s">
        <v>25</v>
      </c>
      <c r="G1577" s="4" t="s">
        <v>25</v>
      </c>
      <c r="H1577" s="4" t="s">
        <v>25</v>
      </c>
      <c r="I1577" s="5">
        <v>44470</v>
      </c>
      <c r="J1577" s="6">
        <v>0</v>
      </c>
      <c r="K1577" s="6">
        <v>0</v>
      </c>
      <c r="L1577" s="6">
        <v>19.05</v>
      </c>
      <c r="M1577" s="6">
        <v>19.05</v>
      </c>
      <c r="N1577" s="6">
        <v>19.05</v>
      </c>
      <c r="O1577" s="6">
        <v>19.05</v>
      </c>
      <c r="P1577" s="6">
        <v>42</v>
      </c>
      <c r="Q1577" s="4" t="s">
        <v>26</v>
      </c>
      <c r="R1577" s="4">
        <v>0</v>
      </c>
      <c r="S1577" s="4" t="s">
        <v>422</v>
      </c>
      <c r="T1577" s="4" t="s">
        <v>679</v>
      </c>
      <c r="U1577" s="4">
        <v>0</v>
      </c>
      <c r="V1577" s="4">
        <v>4</v>
      </c>
      <c r="W1577" s="4">
        <v>73</v>
      </c>
    </row>
    <row r="1578" spans="1:23" ht="11.25" customHeight="1" x14ac:dyDescent="0.25">
      <c r="A1578" s="4" t="s">
        <v>21</v>
      </c>
      <c r="B1578" s="4" t="s">
        <v>22</v>
      </c>
      <c r="C1578" s="4" t="s">
        <v>23</v>
      </c>
      <c r="D1578" s="4" t="s">
        <v>24</v>
      </c>
      <c r="E1578" s="4" t="s">
        <v>29</v>
      </c>
      <c r="F1578" s="4" t="s">
        <v>25</v>
      </c>
      <c r="G1578" s="4" t="s">
        <v>25</v>
      </c>
      <c r="H1578" s="4" t="s">
        <v>25</v>
      </c>
      <c r="I1578" s="5">
        <v>44501</v>
      </c>
      <c r="J1578" s="6">
        <v>0</v>
      </c>
      <c r="K1578" s="6">
        <v>0</v>
      </c>
      <c r="L1578" s="6">
        <v>13189</v>
      </c>
      <c r="M1578" s="6">
        <v>13189</v>
      </c>
      <c r="N1578" s="6">
        <v>13189</v>
      </c>
      <c r="O1578" s="6">
        <v>13189</v>
      </c>
      <c r="P1578" s="6">
        <v>42924</v>
      </c>
      <c r="Q1578" s="4" t="s">
        <v>26</v>
      </c>
      <c r="R1578" s="4">
        <v>0</v>
      </c>
      <c r="S1578" s="4" t="s">
        <v>423</v>
      </c>
      <c r="T1578" s="4" t="s">
        <v>680</v>
      </c>
      <c r="U1578" s="4">
        <v>0</v>
      </c>
      <c r="V1578" s="4">
        <v>4</v>
      </c>
      <c r="W1578" s="4">
        <v>73</v>
      </c>
    </row>
    <row r="1579" spans="1:23" ht="11.25" customHeight="1" x14ac:dyDescent="0.25">
      <c r="A1579" s="4" t="s">
        <v>27</v>
      </c>
      <c r="B1579" s="4" t="s">
        <v>22</v>
      </c>
      <c r="C1579" s="4" t="s">
        <v>23</v>
      </c>
      <c r="D1579" s="4" t="s">
        <v>24</v>
      </c>
      <c r="E1579" s="4" t="s">
        <v>29</v>
      </c>
      <c r="F1579" s="4" t="s">
        <v>25</v>
      </c>
      <c r="G1579" s="4" t="s">
        <v>25</v>
      </c>
      <c r="H1579" s="4" t="s">
        <v>25</v>
      </c>
      <c r="I1579" s="5">
        <v>44501</v>
      </c>
      <c r="J1579" s="6">
        <v>0</v>
      </c>
      <c r="K1579" s="6">
        <v>0</v>
      </c>
      <c r="L1579" s="6">
        <v>3.202</v>
      </c>
      <c r="M1579" s="6">
        <v>3.202</v>
      </c>
      <c r="N1579" s="6">
        <v>3.202</v>
      </c>
      <c r="O1579" s="6">
        <v>3.202</v>
      </c>
      <c r="P1579" s="6">
        <v>38</v>
      </c>
      <c r="Q1579" s="4" t="s">
        <v>26</v>
      </c>
      <c r="R1579" s="4">
        <v>0</v>
      </c>
      <c r="S1579" s="4" t="s">
        <v>423</v>
      </c>
      <c r="T1579" s="4" t="s">
        <v>680</v>
      </c>
      <c r="U1579" s="4">
        <v>0</v>
      </c>
      <c r="V1579" s="4">
        <v>4</v>
      </c>
      <c r="W1579" s="4">
        <v>73</v>
      </c>
    </row>
    <row r="1580" spans="1:23" ht="11.25" customHeight="1" x14ac:dyDescent="0.25">
      <c r="A1580" s="4" t="s">
        <v>28</v>
      </c>
      <c r="B1580" s="4" t="s">
        <v>22</v>
      </c>
      <c r="C1580" s="4" t="s">
        <v>23</v>
      </c>
      <c r="D1580" s="4" t="s">
        <v>24</v>
      </c>
      <c r="E1580" s="4" t="s">
        <v>29</v>
      </c>
      <c r="F1580" s="4" t="s">
        <v>25</v>
      </c>
      <c r="G1580" s="4" t="s">
        <v>25</v>
      </c>
      <c r="H1580" s="4" t="s">
        <v>25</v>
      </c>
      <c r="I1580" s="5">
        <v>44501</v>
      </c>
      <c r="J1580" s="6">
        <v>0</v>
      </c>
      <c r="K1580" s="6">
        <v>0</v>
      </c>
      <c r="L1580" s="6">
        <v>19.829999999999998</v>
      </c>
      <c r="M1580" s="6">
        <v>19.829999999999998</v>
      </c>
      <c r="N1580" s="6">
        <v>19.829999999999998</v>
      </c>
      <c r="O1580" s="6">
        <v>19.829999999999998</v>
      </c>
      <c r="P1580" s="6">
        <v>8</v>
      </c>
      <c r="Q1580" s="4" t="s">
        <v>26</v>
      </c>
      <c r="R1580" s="4">
        <v>0</v>
      </c>
      <c r="S1580" s="4" t="s">
        <v>423</v>
      </c>
      <c r="T1580" s="4" t="s">
        <v>680</v>
      </c>
      <c r="U1580" s="4">
        <v>0</v>
      </c>
      <c r="V1580" s="4">
        <v>4</v>
      </c>
      <c r="W1580" s="4">
        <v>73</v>
      </c>
    </row>
    <row r="1581" spans="1:23" ht="11.25" customHeight="1" x14ac:dyDescent="0.25">
      <c r="A1581" s="4" t="s">
        <v>21</v>
      </c>
      <c r="B1581" s="4" t="s">
        <v>22</v>
      </c>
      <c r="C1581" s="4" t="s">
        <v>23</v>
      </c>
      <c r="D1581" s="4" t="s">
        <v>24</v>
      </c>
      <c r="E1581" s="4" t="s">
        <v>29</v>
      </c>
      <c r="F1581" s="4" t="s">
        <v>25</v>
      </c>
      <c r="G1581" s="4" t="s">
        <v>25</v>
      </c>
      <c r="H1581" s="4" t="s">
        <v>25</v>
      </c>
      <c r="I1581" s="5">
        <v>44531</v>
      </c>
      <c r="J1581" s="6">
        <v>0</v>
      </c>
      <c r="K1581" s="6">
        <v>0</v>
      </c>
      <c r="L1581" s="6">
        <v>13127.332</v>
      </c>
      <c r="M1581" s="6">
        <v>13127.332</v>
      </c>
      <c r="N1581" s="6">
        <v>13127.332</v>
      </c>
      <c r="O1581" s="6">
        <v>13127.332</v>
      </c>
      <c r="P1581" s="6">
        <v>39320</v>
      </c>
      <c r="Q1581" s="4" t="s">
        <v>26</v>
      </c>
      <c r="R1581" s="4">
        <v>0</v>
      </c>
      <c r="S1581" s="4" t="s">
        <v>424</v>
      </c>
      <c r="T1581" s="4" t="s">
        <v>681</v>
      </c>
      <c r="U1581" s="4">
        <v>0</v>
      </c>
      <c r="V1581" s="4">
        <v>4</v>
      </c>
      <c r="W1581" s="4">
        <v>73</v>
      </c>
    </row>
    <row r="1582" spans="1:23" ht="11.25" customHeight="1" x14ac:dyDescent="0.25">
      <c r="A1582" s="4" t="s">
        <v>27</v>
      </c>
      <c r="B1582" s="4" t="s">
        <v>22</v>
      </c>
      <c r="C1582" s="4" t="s">
        <v>23</v>
      </c>
      <c r="D1582" s="4" t="s">
        <v>24</v>
      </c>
      <c r="E1582" s="4" t="s">
        <v>29</v>
      </c>
      <c r="F1582" s="4" t="s">
        <v>25</v>
      </c>
      <c r="G1582" s="4" t="s">
        <v>25</v>
      </c>
      <c r="H1582" s="4" t="s">
        <v>25</v>
      </c>
      <c r="I1582" s="5">
        <v>44531</v>
      </c>
      <c r="J1582" s="6">
        <v>0</v>
      </c>
      <c r="K1582" s="6">
        <v>0</v>
      </c>
      <c r="L1582" s="6">
        <v>4.2729999999999997</v>
      </c>
      <c r="M1582" s="6">
        <v>4.2729999999999997</v>
      </c>
      <c r="N1582" s="6">
        <v>4.2729999999999997</v>
      </c>
      <c r="O1582" s="6">
        <v>4.2729999999999997</v>
      </c>
      <c r="P1582" s="6">
        <v>42</v>
      </c>
      <c r="Q1582" s="4" t="s">
        <v>26</v>
      </c>
      <c r="R1582" s="4">
        <v>0</v>
      </c>
      <c r="S1582" s="4" t="s">
        <v>424</v>
      </c>
      <c r="T1582" s="4" t="s">
        <v>681</v>
      </c>
      <c r="U1582" s="4">
        <v>0</v>
      </c>
      <c r="V1582" s="4">
        <v>4</v>
      </c>
      <c r="W1582" s="4">
        <v>73</v>
      </c>
    </row>
    <row r="1583" spans="1:23" ht="11.25" customHeight="1" x14ac:dyDescent="0.25">
      <c r="A1583" s="4" t="s">
        <v>28</v>
      </c>
      <c r="B1583" s="4" t="s">
        <v>22</v>
      </c>
      <c r="C1583" s="4" t="s">
        <v>23</v>
      </c>
      <c r="D1583" s="4" t="s">
        <v>24</v>
      </c>
      <c r="E1583" s="4" t="s">
        <v>29</v>
      </c>
      <c r="F1583" s="4" t="s">
        <v>25</v>
      </c>
      <c r="G1583" s="4" t="s">
        <v>25</v>
      </c>
      <c r="H1583" s="4" t="s">
        <v>25</v>
      </c>
      <c r="I1583" s="5">
        <v>44531</v>
      </c>
      <c r="J1583" s="6">
        <v>0</v>
      </c>
      <c r="K1583" s="6">
        <v>0</v>
      </c>
      <c r="L1583" s="6">
        <v>21.3</v>
      </c>
      <c r="M1583" s="6">
        <v>21.3</v>
      </c>
      <c r="N1583" s="6">
        <v>21.3</v>
      </c>
      <c r="O1583" s="6">
        <v>21.3</v>
      </c>
      <c r="P1583" s="6">
        <v>37</v>
      </c>
      <c r="Q1583" s="4" t="s">
        <v>26</v>
      </c>
      <c r="R1583" s="4">
        <v>0</v>
      </c>
      <c r="S1583" s="4" t="s">
        <v>424</v>
      </c>
      <c r="T1583" s="4" t="s">
        <v>681</v>
      </c>
      <c r="U1583" s="4">
        <v>0</v>
      </c>
      <c r="V1583" s="4">
        <v>4</v>
      </c>
      <c r="W1583" s="4">
        <v>73</v>
      </c>
    </row>
    <row r="1584" spans="1:23" ht="11.25" customHeight="1" x14ac:dyDescent="0.25">
      <c r="A1584" s="4" t="s">
        <v>21</v>
      </c>
      <c r="B1584" s="4" t="s">
        <v>22</v>
      </c>
      <c r="C1584" s="4" t="s">
        <v>23</v>
      </c>
      <c r="D1584" s="4" t="s">
        <v>24</v>
      </c>
      <c r="E1584" s="4" t="s">
        <v>29</v>
      </c>
      <c r="F1584" s="4" t="s">
        <v>25</v>
      </c>
      <c r="G1584" s="4" t="s">
        <v>25</v>
      </c>
      <c r="H1584" s="4" t="s">
        <v>25</v>
      </c>
      <c r="I1584" s="5">
        <v>44562</v>
      </c>
      <c r="J1584" s="6">
        <v>0</v>
      </c>
      <c r="K1584" s="6">
        <v>0</v>
      </c>
      <c r="L1584" s="6">
        <v>13158.582</v>
      </c>
      <c r="M1584" s="6">
        <v>13158.582</v>
      </c>
      <c r="N1584" s="6">
        <v>13158.582</v>
      </c>
      <c r="O1584" s="6">
        <v>13158.582</v>
      </c>
      <c r="P1584" s="6">
        <v>40119</v>
      </c>
      <c r="Q1584" s="4" t="s">
        <v>26</v>
      </c>
      <c r="R1584" s="4">
        <v>0</v>
      </c>
      <c r="S1584" s="4" t="s">
        <v>425</v>
      </c>
      <c r="T1584" s="4" t="s">
        <v>682</v>
      </c>
      <c r="U1584" s="4">
        <v>0</v>
      </c>
      <c r="V1584" s="4">
        <v>4</v>
      </c>
      <c r="W1584" s="4">
        <v>73</v>
      </c>
    </row>
    <row r="1585" spans="1:23" ht="11.25" customHeight="1" x14ac:dyDescent="0.25">
      <c r="A1585" s="4" t="s">
        <v>27</v>
      </c>
      <c r="B1585" s="4" t="s">
        <v>22</v>
      </c>
      <c r="C1585" s="4" t="s">
        <v>23</v>
      </c>
      <c r="D1585" s="4" t="s">
        <v>24</v>
      </c>
      <c r="E1585" s="4" t="s">
        <v>29</v>
      </c>
      <c r="F1585" s="4" t="s">
        <v>25</v>
      </c>
      <c r="G1585" s="4" t="s">
        <v>25</v>
      </c>
      <c r="H1585" s="4" t="s">
        <v>25</v>
      </c>
      <c r="I1585" s="5">
        <v>44562</v>
      </c>
      <c r="J1585" s="6">
        <v>0</v>
      </c>
      <c r="K1585" s="6">
        <v>0</v>
      </c>
      <c r="L1585" s="6">
        <v>6.6429999999999998</v>
      </c>
      <c r="M1585" s="6">
        <v>6.6429999999999998</v>
      </c>
      <c r="N1585" s="6">
        <v>6.6429999999999998</v>
      </c>
      <c r="O1585" s="6">
        <v>6.6429999999999998</v>
      </c>
      <c r="P1585" s="6">
        <v>54</v>
      </c>
      <c r="Q1585" s="4" t="s">
        <v>26</v>
      </c>
      <c r="R1585" s="4">
        <v>0</v>
      </c>
      <c r="S1585" s="4" t="s">
        <v>425</v>
      </c>
      <c r="T1585" s="4" t="s">
        <v>682</v>
      </c>
      <c r="U1585" s="4">
        <v>0</v>
      </c>
      <c r="V1585" s="4">
        <v>4</v>
      </c>
      <c r="W1585" s="4">
        <v>73</v>
      </c>
    </row>
    <row r="1586" spans="1:23" ht="11.25" customHeight="1" x14ac:dyDescent="0.25">
      <c r="A1586" s="4" t="s">
        <v>28</v>
      </c>
      <c r="B1586" s="4" t="s">
        <v>22</v>
      </c>
      <c r="C1586" s="4" t="s">
        <v>23</v>
      </c>
      <c r="D1586" s="4" t="s">
        <v>24</v>
      </c>
      <c r="E1586" s="4" t="s">
        <v>29</v>
      </c>
      <c r="F1586" s="4" t="s">
        <v>25</v>
      </c>
      <c r="G1586" s="4" t="s">
        <v>25</v>
      </c>
      <c r="H1586" s="4" t="s">
        <v>25</v>
      </c>
      <c r="I1586" s="5">
        <v>44562</v>
      </c>
      <c r="J1586" s="6">
        <v>0</v>
      </c>
      <c r="K1586" s="6">
        <v>0</v>
      </c>
      <c r="L1586" s="6">
        <v>22.62</v>
      </c>
      <c r="M1586" s="6">
        <v>22.62</v>
      </c>
      <c r="N1586" s="6">
        <v>22.62</v>
      </c>
      <c r="O1586" s="6">
        <v>22.62</v>
      </c>
      <c r="P1586" s="6">
        <v>37</v>
      </c>
      <c r="Q1586" s="4" t="s">
        <v>26</v>
      </c>
      <c r="R1586" s="4">
        <v>0</v>
      </c>
      <c r="S1586" s="4" t="s">
        <v>425</v>
      </c>
      <c r="T1586" s="4" t="s">
        <v>682</v>
      </c>
      <c r="U1586" s="4">
        <v>0</v>
      </c>
      <c r="V1586" s="4">
        <v>4</v>
      </c>
      <c r="W1586" s="4">
        <v>73</v>
      </c>
    </row>
    <row r="1587" spans="1:23" ht="11.25" customHeight="1" x14ac:dyDescent="0.25">
      <c r="A1587" s="4" t="s">
        <v>28</v>
      </c>
      <c r="B1587" s="4" t="s">
        <v>22</v>
      </c>
      <c r="C1587" s="4" t="s">
        <v>23</v>
      </c>
      <c r="D1587" s="4" t="s">
        <v>24</v>
      </c>
      <c r="E1587" s="4" t="s">
        <v>29</v>
      </c>
      <c r="F1587" s="4" t="s">
        <v>25</v>
      </c>
      <c r="G1587" s="4" t="s">
        <v>25</v>
      </c>
      <c r="H1587" s="4" t="s">
        <v>25</v>
      </c>
      <c r="I1587" s="5">
        <v>44562</v>
      </c>
      <c r="J1587" s="6">
        <v>0</v>
      </c>
      <c r="K1587" s="6">
        <v>0</v>
      </c>
      <c r="L1587" s="6">
        <v>0.377</v>
      </c>
      <c r="M1587" s="6">
        <v>0.377</v>
      </c>
      <c r="N1587" s="6">
        <v>0.377</v>
      </c>
      <c r="O1587" s="6">
        <v>0.377</v>
      </c>
      <c r="P1587" s="6">
        <v>1</v>
      </c>
      <c r="Q1587" s="4" t="s">
        <v>26</v>
      </c>
      <c r="R1587" s="4">
        <v>0</v>
      </c>
      <c r="S1587" s="4" t="s">
        <v>425</v>
      </c>
      <c r="T1587" s="4" t="s">
        <v>682</v>
      </c>
      <c r="U1587" s="4">
        <v>0</v>
      </c>
      <c r="V1587" s="4">
        <v>4</v>
      </c>
      <c r="W1587" s="4">
        <v>73</v>
      </c>
    </row>
    <row r="1588" spans="1:23" ht="11.25" customHeight="1" x14ac:dyDescent="0.25">
      <c r="A1588" s="4" t="s">
        <v>21</v>
      </c>
      <c r="B1588" s="4" t="s">
        <v>22</v>
      </c>
      <c r="C1588" s="4" t="s">
        <v>23</v>
      </c>
      <c r="D1588" s="4" t="s">
        <v>24</v>
      </c>
      <c r="E1588" s="4" t="s">
        <v>29</v>
      </c>
      <c r="F1588" s="4" t="s">
        <v>25</v>
      </c>
      <c r="G1588" s="4" t="s">
        <v>25</v>
      </c>
      <c r="H1588" s="4" t="s">
        <v>25</v>
      </c>
      <c r="I1588" s="5">
        <v>44593</v>
      </c>
      <c r="J1588" s="6">
        <v>0</v>
      </c>
      <c r="K1588" s="6">
        <v>0</v>
      </c>
      <c r="L1588" s="6">
        <v>13427.204</v>
      </c>
      <c r="M1588" s="6">
        <v>13427.204</v>
      </c>
      <c r="N1588" s="6">
        <v>13427.204</v>
      </c>
      <c r="O1588" s="6">
        <v>13427.204</v>
      </c>
      <c r="P1588" s="6">
        <v>43318</v>
      </c>
      <c r="Q1588" s="4" t="s">
        <v>26</v>
      </c>
      <c r="R1588" s="4">
        <v>0</v>
      </c>
      <c r="S1588" s="4" t="s">
        <v>426</v>
      </c>
      <c r="T1588" s="4" t="s">
        <v>683</v>
      </c>
      <c r="U1588" s="4">
        <v>0</v>
      </c>
      <c r="V1588" s="4">
        <v>4</v>
      </c>
      <c r="W1588" s="4">
        <v>73</v>
      </c>
    </row>
    <row r="1589" spans="1:23" ht="11.25" customHeight="1" x14ac:dyDescent="0.25">
      <c r="A1589" s="4" t="s">
        <v>27</v>
      </c>
      <c r="B1589" s="4" t="s">
        <v>22</v>
      </c>
      <c r="C1589" s="4" t="s">
        <v>23</v>
      </c>
      <c r="D1589" s="4" t="s">
        <v>24</v>
      </c>
      <c r="E1589" s="4" t="s">
        <v>29</v>
      </c>
      <c r="F1589" s="4" t="s">
        <v>25</v>
      </c>
      <c r="G1589" s="4" t="s">
        <v>25</v>
      </c>
      <c r="H1589" s="4" t="s">
        <v>25</v>
      </c>
      <c r="I1589" s="5">
        <v>44593</v>
      </c>
      <c r="J1589" s="6">
        <v>0</v>
      </c>
      <c r="K1589" s="6">
        <v>0</v>
      </c>
      <c r="L1589" s="6">
        <v>9.8789999999999996</v>
      </c>
      <c r="M1589" s="6">
        <v>9.8789999999999996</v>
      </c>
      <c r="N1589" s="6">
        <v>9.8789999999999996</v>
      </c>
      <c r="O1589" s="6">
        <v>9.8789999999999996</v>
      </c>
      <c r="P1589" s="6">
        <v>80</v>
      </c>
      <c r="Q1589" s="4" t="s">
        <v>26</v>
      </c>
      <c r="R1589" s="4">
        <v>0</v>
      </c>
      <c r="S1589" s="4" t="s">
        <v>426</v>
      </c>
      <c r="T1589" s="4" t="s">
        <v>683</v>
      </c>
      <c r="U1589" s="4">
        <v>0</v>
      </c>
      <c r="V1589" s="4">
        <v>4</v>
      </c>
      <c r="W1589" s="4">
        <v>73</v>
      </c>
    </row>
    <row r="1590" spans="1:23" ht="11.25" customHeight="1" x14ac:dyDescent="0.25">
      <c r="A1590" s="4" t="s">
        <v>28</v>
      </c>
      <c r="B1590" s="4" t="s">
        <v>22</v>
      </c>
      <c r="C1590" s="4" t="s">
        <v>23</v>
      </c>
      <c r="D1590" s="4" t="s">
        <v>24</v>
      </c>
      <c r="E1590" s="4" t="s">
        <v>29</v>
      </c>
      <c r="F1590" s="4" t="s">
        <v>25</v>
      </c>
      <c r="G1590" s="4" t="s">
        <v>25</v>
      </c>
      <c r="H1590" s="4" t="s">
        <v>25</v>
      </c>
      <c r="I1590" s="5">
        <v>44593</v>
      </c>
      <c r="J1590" s="6">
        <v>0</v>
      </c>
      <c r="K1590" s="6">
        <v>0</v>
      </c>
      <c r="L1590" s="6">
        <v>24.33</v>
      </c>
      <c r="M1590" s="6">
        <v>24.33</v>
      </c>
      <c r="N1590" s="6">
        <v>24.33</v>
      </c>
      <c r="O1590" s="6">
        <v>24.33</v>
      </c>
      <c r="P1590" s="6">
        <v>49</v>
      </c>
      <c r="Q1590" s="4" t="s">
        <v>26</v>
      </c>
      <c r="R1590" s="4">
        <v>0</v>
      </c>
      <c r="S1590" s="4" t="s">
        <v>426</v>
      </c>
      <c r="T1590" s="4" t="s">
        <v>683</v>
      </c>
      <c r="U1590" s="4">
        <v>0</v>
      </c>
      <c r="V1590" s="4">
        <v>4</v>
      </c>
      <c r="W1590" s="4">
        <v>73</v>
      </c>
    </row>
    <row r="1591" spans="1:23" ht="11.25" customHeight="1" x14ac:dyDescent="0.25">
      <c r="A1591" s="4" t="s">
        <v>21</v>
      </c>
      <c r="B1591" s="4" t="s">
        <v>22</v>
      </c>
      <c r="C1591" s="4" t="s">
        <v>23</v>
      </c>
      <c r="D1591" s="4" t="s">
        <v>24</v>
      </c>
      <c r="E1591" s="4" t="s">
        <v>29</v>
      </c>
      <c r="F1591" s="4" t="s">
        <v>25</v>
      </c>
      <c r="G1591" s="4" t="s">
        <v>25</v>
      </c>
      <c r="H1591" s="4" t="s">
        <v>25</v>
      </c>
      <c r="I1591" s="5">
        <v>44621</v>
      </c>
      <c r="J1591" s="6">
        <v>0</v>
      </c>
      <c r="K1591" s="6">
        <v>0</v>
      </c>
      <c r="L1591" s="6">
        <v>13673.727999999999</v>
      </c>
      <c r="M1591" s="6">
        <v>13673.727999999999</v>
      </c>
      <c r="N1591" s="6">
        <v>13673.727999999999</v>
      </c>
      <c r="O1591" s="6">
        <v>13673.727999999999</v>
      </c>
      <c r="P1591" s="6">
        <v>40150</v>
      </c>
      <c r="Q1591" s="4" t="s">
        <v>26</v>
      </c>
      <c r="R1591" s="4">
        <v>0</v>
      </c>
      <c r="S1591" s="4" t="s">
        <v>427</v>
      </c>
      <c r="T1591" s="4" t="s">
        <v>684</v>
      </c>
      <c r="U1591" s="4">
        <v>0</v>
      </c>
      <c r="V1591" s="4">
        <v>4</v>
      </c>
      <c r="W1591" s="4">
        <v>73</v>
      </c>
    </row>
    <row r="1592" spans="1:23" ht="11.25" customHeight="1" x14ac:dyDescent="0.25">
      <c r="A1592" s="4" t="s">
        <v>27</v>
      </c>
      <c r="B1592" s="4" t="s">
        <v>22</v>
      </c>
      <c r="C1592" s="4" t="s">
        <v>23</v>
      </c>
      <c r="D1592" s="4" t="s">
        <v>24</v>
      </c>
      <c r="E1592" s="4" t="s">
        <v>29</v>
      </c>
      <c r="F1592" s="4" t="s">
        <v>25</v>
      </c>
      <c r="G1592" s="4" t="s">
        <v>25</v>
      </c>
      <c r="H1592" s="4" t="s">
        <v>25</v>
      </c>
      <c r="I1592" s="5">
        <v>44621</v>
      </c>
      <c r="J1592" s="6">
        <v>0</v>
      </c>
      <c r="K1592" s="6">
        <v>0</v>
      </c>
      <c r="L1592" s="6">
        <v>3.9249999999999998</v>
      </c>
      <c r="M1592" s="6">
        <v>3.9249999999999998</v>
      </c>
      <c r="N1592" s="6">
        <v>3.9249999999999998</v>
      </c>
      <c r="O1592" s="6">
        <v>3.9249999999999998</v>
      </c>
      <c r="P1592" s="6">
        <v>43</v>
      </c>
      <c r="Q1592" s="4" t="s">
        <v>26</v>
      </c>
      <c r="R1592" s="4">
        <v>0</v>
      </c>
      <c r="S1592" s="4" t="s">
        <v>427</v>
      </c>
      <c r="T1592" s="4" t="s">
        <v>684</v>
      </c>
      <c r="U1592" s="4">
        <v>0</v>
      </c>
      <c r="V1592" s="4">
        <v>4</v>
      </c>
      <c r="W1592" s="4">
        <v>73</v>
      </c>
    </row>
    <row r="1593" spans="1:23" ht="11.25" customHeight="1" x14ac:dyDescent="0.25">
      <c r="A1593" s="4" t="s">
        <v>28</v>
      </c>
      <c r="B1593" s="4" t="s">
        <v>22</v>
      </c>
      <c r="C1593" s="4" t="s">
        <v>23</v>
      </c>
      <c r="D1593" s="4" t="s">
        <v>24</v>
      </c>
      <c r="E1593" s="4" t="s">
        <v>29</v>
      </c>
      <c r="F1593" s="4" t="s">
        <v>25</v>
      </c>
      <c r="G1593" s="4" t="s">
        <v>25</v>
      </c>
      <c r="H1593" s="4" t="s">
        <v>25</v>
      </c>
      <c r="I1593" s="5">
        <v>44621</v>
      </c>
      <c r="J1593" s="6">
        <v>0</v>
      </c>
      <c r="K1593" s="6">
        <v>0</v>
      </c>
      <c r="L1593" s="6">
        <v>25.65</v>
      </c>
      <c r="M1593" s="6">
        <v>25.65</v>
      </c>
      <c r="N1593" s="6">
        <v>25.65</v>
      </c>
      <c r="O1593" s="6">
        <v>25.65</v>
      </c>
      <c r="P1593" s="6">
        <v>40</v>
      </c>
      <c r="Q1593" s="4" t="s">
        <v>26</v>
      </c>
      <c r="R1593" s="4">
        <v>0</v>
      </c>
      <c r="S1593" s="4" t="s">
        <v>427</v>
      </c>
      <c r="T1593" s="4" t="s">
        <v>684</v>
      </c>
      <c r="U1593" s="4">
        <v>0</v>
      </c>
      <c r="V1593" s="4">
        <v>4</v>
      </c>
      <c r="W1593" s="4">
        <v>73</v>
      </c>
    </row>
    <row r="1594" spans="1:23" ht="11.25" customHeight="1" x14ac:dyDescent="0.25">
      <c r="A1594" s="4" t="s">
        <v>21</v>
      </c>
      <c r="B1594" s="4" t="s">
        <v>22</v>
      </c>
      <c r="C1594" s="4" t="s">
        <v>23</v>
      </c>
      <c r="D1594" s="4" t="s">
        <v>24</v>
      </c>
      <c r="E1594" s="4" t="s">
        <v>29</v>
      </c>
      <c r="F1594" s="4" t="s">
        <v>25</v>
      </c>
      <c r="G1594" s="4" t="s">
        <v>25</v>
      </c>
      <c r="H1594" s="4" t="s">
        <v>25</v>
      </c>
      <c r="I1594" s="5">
        <v>44652</v>
      </c>
      <c r="J1594" s="6">
        <v>0</v>
      </c>
      <c r="K1594" s="6">
        <v>0</v>
      </c>
      <c r="L1594" s="6">
        <v>13824.705</v>
      </c>
      <c r="M1594" s="6">
        <v>13824.705</v>
      </c>
      <c r="N1594" s="6">
        <v>13824.705</v>
      </c>
      <c r="O1594" s="6">
        <v>13824.705</v>
      </c>
      <c r="P1594" s="6">
        <v>42786</v>
      </c>
      <c r="Q1594" s="4" t="s">
        <v>26</v>
      </c>
      <c r="R1594" s="4">
        <v>0</v>
      </c>
      <c r="S1594" s="4" t="s">
        <v>428</v>
      </c>
      <c r="T1594" s="4" t="s">
        <v>685</v>
      </c>
      <c r="U1594" s="4">
        <v>0</v>
      </c>
      <c r="V1594" s="4">
        <v>4</v>
      </c>
      <c r="W1594" s="4">
        <v>73</v>
      </c>
    </row>
    <row r="1595" spans="1:23" ht="11.25" customHeight="1" x14ac:dyDescent="0.25">
      <c r="A1595" s="4" t="s">
        <v>27</v>
      </c>
      <c r="B1595" s="4" t="s">
        <v>22</v>
      </c>
      <c r="C1595" s="4" t="s">
        <v>23</v>
      </c>
      <c r="D1595" s="4" t="s">
        <v>24</v>
      </c>
      <c r="E1595" s="4" t="s">
        <v>29</v>
      </c>
      <c r="F1595" s="4" t="s">
        <v>25</v>
      </c>
      <c r="G1595" s="4" t="s">
        <v>25</v>
      </c>
      <c r="H1595" s="4" t="s">
        <v>25</v>
      </c>
      <c r="I1595" s="5">
        <v>44652</v>
      </c>
      <c r="J1595" s="6">
        <v>0</v>
      </c>
      <c r="K1595" s="6">
        <v>0</v>
      </c>
      <c r="L1595" s="6">
        <v>5.8869999999999996</v>
      </c>
      <c r="M1595" s="6">
        <v>5.8869999999999996</v>
      </c>
      <c r="N1595" s="6">
        <v>5.8869999999999996</v>
      </c>
      <c r="O1595" s="6">
        <v>5.8869999999999996</v>
      </c>
      <c r="P1595" s="6">
        <v>47</v>
      </c>
      <c r="Q1595" s="4" t="s">
        <v>26</v>
      </c>
      <c r="R1595" s="4">
        <v>0</v>
      </c>
      <c r="S1595" s="4" t="s">
        <v>428</v>
      </c>
      <c r="T1595" s="4" t="s">
        <v>685</v>
      </c>
      <c r="U1595" s="4">
        <v>0</v>
      </c>
      <c r="V1595" s="4">
        <v>4</v>
      </c>
      <c r="W1595" s="4">
        <v>73</v>
      </c>
    </row>
    <row r="1596" spans="1:23" ht="11.25" customHeight="1" x14ac:dyDescent="0.25">
      <c r="A1596" s="4" t="s">
        <v>28</v>
      </c>
      <c r="B1596" s="4" t="s">
        <v>22</v>
      </c>
      <c r="C1596" s="4" t="s">
        <v>23</v>
      </c>
      <c r="D1596" s="4" t="s">
        <v>24</v>
      </c>
      <c r="E1596" s="4" t="s">
        <v>29</v>
      </c>
      <c r="F1596" s="4" t="s">
        <v>25</v>
      </c>
      <c r="G1596" s="4" t="s">
        <v>25</v>
      </c>
      <c r="H1596" s="4" t="s">
        <v>25</v>
      </c>
      <c r="I1596" s="5">
        <v>44652</v>
      </c>
      <c r="J1596" s="6">
        <v>0</v>
      </c>
      <c r="K1596" s="6">
        <v>0</v>
      </c>
      <c r="L1596" s="6">
        <v>26.66</v>
      </c>
      <c r="M1596" s="6">
        <v>26.66</v>
      </c>
      <c r="N1596" s="6">
        <v>26.66</v>
      </c>
      <c r="O1596" s="6">
        <v>26.66</v>
      </c>
      <c r="P1596" s="6">
        <v>44</v>
      </c>
      <c r="Q1596" s="4" t="s">
        <v>26</v>
      </c>
      <c r="R1596" s="4">
        <v>0</v>
      </c>
      <c r="S1596" s="4" t="s">
        <v>428</v>
      </c>
      <c r="T1596" s="4" t="s">
        <v>685</v>
      </c>
      <c r="U1596" s="4">
        <v>0</v>
      </c>
      <c r="V1596" s="4">
        <v>4</v>
      </c>
      <c r="W1596" s="4">
        <v>73</v>
      </c>
    </row>
    <row r="1597" spans="1:23" ht="11.25" customHeight="1" x14ac:dyDescent="0.25">
      <c r="A1597" s="4" t="s">
        <v>21</v>
      </c>
      <c r="B1597" s="4" t="s">
        <v>22</v>
      </c>
      <c r="C1597" s="4" t="s">
        <v>23</v>
      </c>
      <c r="D1597" s="4" t="s">
        <v>24</v>
      </c>
      <c r="E1597" s="4" t="s">
        <v>29</v>
      </c>
      <c r="F1597" s="4" t="s">
        <v>25</v>
      </c>
      <c r="G1597" s="4" t="s">
        <v>25</v>
      </c>
      <c r="H1597" s="4" t="s">
        <v>25</v>
      </c>
      <c r="I1597" s="5">
        <v>44682</v>
      </c>
      <c r="J1597" s="6">
        <v>0</v>
      </c>
      <c r="K1597" s="6">
        <v>0</v>
      </c>
      <c r="L1597" s="6">
        <v>13703.281999999999</v>
      </c>
      <c r="M1597" s="6">
        <v>13703.281999999999</v>
      </c>
      <c r="N1597" s="6">
        <v>13703.281999999999</v>
      </c>
      <c r="O1597" s="6">
        <v>13703.281999999999</v>
      </c>
      <c r="P1597" s="6">
        <v>42836</v>
      </c>
      <c r="Q1597" s="4" t="s">
        <v>26</v>
      </c>
      <c r="R1597" s="4">
        <v>0</v>
      </c>
      <c r="S1597" s="4" t="s">
        <v>429</v>
      </c>
      <c r="T1597" s="4" t="s">
        <v>686</v>
      </c>
      <c r="U1597" s="4">
        <v>0</v>
      </c>
      <c r="V1597" s="4">
        <v>4</v>
      </c>
      <c r="W1597" s="4">
        <v>73</v>
      </c>
    </row>
    <row r="1598" spans="1:23" ht="11.25" customHeight="1" x14ac:dyDescent="0.25">
      <c r="A1598" s="4" t="s">
        <v>27</v>
      </c>
      <c r="B1598" s="4" t="s">
        <v>22</v>
      </c>
      <c r="C1598" s="4" t="s">
        <v>23</v>
      </c>
      <c r="D1598" s="4" t="s">
        <v>24</v>
      </c>
      <c r="E1598" s="4" t="s">
        <v>29</v>
      </c>
      <c r="F1598" s="4" t="s">
        <v>25</v>
      </c>
      <c r="G1598" s="4" t="s">
        <v>25</v>
      </c>
      <c r="H1598" s="4" t="s">
        <v>25</v>
      </c>
      <c r="I1598" s="5">
        <v>44682</v>
      </c>
      <c r="J1598" s="6">
        <v>0</v>
      </c>
      <c r="K1598" s="6">
        <v>0</v>
      </c>
      <c r="L1598" s="6">
        <v>5.532</v>
      </c>
      <c r="M1598" s="6">
        <v>5.532</v>
      </c>
      <c r="N1598" s="6">
        <v>5.532</v>
      </c>
      <c r="O1598" s="6">
        <v>5.532</v>
      </c>
      <c r="P1598" s="6">
        <v>54</v>
      </c>
      <c r="Q1598" s="4" t="s">
        <v>26</v>
      </c>
      <c r="R1598" s="4">
        <v>0</v>
      </c>
      <c r="S1598" s="4" t="s">
        <v>429</v>
      </c>
      <c r="T1598" s="4" t="s">
        <v>686</v>
      </c>
      <c r="U1598" s="4">
        <v>0</v>
      </c>
      <c r="V1598" s="4">
        <v>4</v>
      </c>
      <c r="W1598" s="4">
        <v>73</v>
      </c>
    </row>
    <row r="1599" spans="1:23" ht="11.25" customHeight="1" x14ac:dyDescent="0.25">
      <c r="A1599" s="4" t="s">
        <v>28</v>
      </c>
      <c r="B1599" s="4" t="s">
        <v>22</v>
      </c>
      <c r="C1599" s="4" t="s">
        <v>23</v>
      </c>
      <c r="D1599" s="4" t="s">
        <v>24</v>
      </c>
      <c r="E1599" s="4" t="s">
        <v>29</v>
      </c>
      <c r="F1599" s="4" t="s">
        <v>25</v>
      </c>
      <c r="G1599" s="4" t="s">
        <v>25</v>
      </c>
      <c r="H1599" s="4" t="s">
        <v>25</v>
      </c>
      <c r="I1599" s="5">
        <v>44682</v>
      </c>
      <c r="J1599" s="6">
        <v>0</v>
      </c>
      <c r="K1599" s="6">
        <v>0</v>
      </c>
      <c r="L1599" s="6">
        <v>26.37</v>
      </c>
      <c r="M1599" s="6">
        <v>26.37</v>
      </c>
      <c r="N1599" s="6">
        <v>26.37</v>
      </c>
      <c r="O1599" s="6">
        <v>26.37</v>
      </c>
      <c r="P1599" s="6">
        <v>28</v>
      </c>
      <c r="Q1599" s="4" t="s">
        <v>26</v>
      </c>
      <c r="R1599" s="4">
        <v>0</v>
      </c>
      <c r="S1599" s="4" t="s">
        <v>429</v>
      </c>
      <c r="T1599" s="4" t="s">
        <v>686</v>
      </c>
      <c r="U1599" s="4">
        <v>0</v>
      </c>
      <c r="V1599" s="4">
        <v>4</v>
      </c>
      <c r="W1599" s="4">
        <v>73</v>
      </c>
    </row>
    <row r="1600" spans="1:23" ht="11.25" customHeight="1" x14ac:dyDescent="0.25">
      <c r="A1600" s="4" t="s">
        <v>21</v>
      </c>
      <c r="B1600" s="4" t="s">
        <v>22</v>
      </c>
      <c r="C1600" s="4" t="s">
        <v>23</v>
      </c>
      <c r="D1600" s="4" t="s">
        <v>24</v>
      </c>
      <c r="E1600" s="4" t="s">
        <v>29</v>
      </c>
      <c r="F1600" s="4" t="s">
        <v>25</v>
      </c>
      <c r="G1600" s="4" t="s">
        <v>25</v>
      </c>
      <c r="H1600" s="4" t="s">
        <v>25</v>
      </c>
      <c r="I1600" s="5">
        <v>44713</v>
      </c>
      <c r="J1600" s="6">
        <v>0</v>
      </c>
      <c r="K1600" s="6">
        <v>0</v>
      </c>
      <c r="L1600" s="6">
        <v>13836.76</v>
      </c>
      <c r="M1600" s="6">
        <v>13836.76</v>
      </c>
      <c r="N1600" s="6">
        <v>13836.76</v>
      </c>
      <c r="O1600" s="6">
        <v>13836.76</v>
      </c>
      <c r="P1600" s="6">
        <v>48343</v>
      </c>
      <c r="Q1600" s="4" t="s">
        <v>26</v>
      </c>
      <c r="R1600" s="4">
        <v>0</v>
      </c>
      <c r="S1600" s="4" t="s">
        <v>430</v>
      </c>
      <c r="T1600" s="4" t="s">
        <v>687</v>
      </c>
      <c r="U1600" s="4">
        <v>0</v>
      </c>
      <c r="V1600" s="4">
        <v>4</v>
      </c>
      <c r="W1600" s="4">
        <v>73</v>
      </c>
    </row>
    <row r="1601" spans="1:23" ht="11.25" customHeight="1" x14ac:dyDescent="0.25">
      <c r="A1601" s="4" t="s">
        <v>27</v>
      </c>
      <c r="B1601" s="4" t="s">
        <v>22</v>
      </c>
      <c r="C1601" s="4" t="s">
        <v>23</v>
      </c>
      <c r="D1601" s="4" t="s">
        <v>24</v>
      </c>
      <c r="E1601" s="4" t="s">
        <v>29</v>
      </c>
      <c r="F1601" s="4" t="s">
        <v>25</v>
      </c>
      <c r="G1601" s="4" t="s">
        <v>25</v>
      </c>
      <c r="H1601" s="4" t="s">
        <v>25</v>
      </c>
      <c r="I1601" s="5">
        <v>44713</v>
      </c>
      <c r="J1601" s="6">
        <v>0</v>
      </c>
      <c r="K1601" s="6">
        <v>0</v>
      </c>
      <c r="L1601" s="6">
        <v>6.5830000000000002</v>
      </c>
      <c r="M1601" s="6">
        <v>6.5830000000000002</v>
      </c>
      <c r="N1601" s="6">
        <v>6.5830000000000002</v>
      </c>
      <c r="O1601" s="6">
        <v>6.5830000000000002</v>
      </c>
      <c r="P1601" s="6">
        <v>24</v>
      </c>
      <c r="Q1601" s="4" t="s">
        <v>26</v>
      </c>
      <c r="R1601" s="4">
        <v>0</v>
      </c>
      <c r="S1601" s="4" t="s">
        <v>430</v>
      </c>
      <c r="T1601" s="4" t="s">
        <v>687</v>
      </c>
      <c r="U1601" s="4">
        <v>0</v>
      </c>
      <c r="V1601" s="4">
        <v>4</v>
      </c>
      <c r="W1601" s="4">
        <v>73</v>
      </c>
    </row>
    <row r="1602" spans="1:23" ht="11.25" customHeight="1" x14ac:dyDescent="0.25">
      <c r="A1602" s="4" t="s">
        <v>28</v>
      </c>
      <c r="B1602" s="4" t="s">
        <v>22</v>
      </c>
      <c r="C1602" s="4" t="s">
        <v>23</v>
      </c>
      <c r="D1602" s="4" t="s">
        <v>24</v>
      </c>
      <c r="E1602" s="4" t="s">
        <v>29</v>
      </c>
      <c r="F1602" s="4" t="s">
        <v>25</v>
      </c>
      <c r="G1602" s="4" t="s">
        <v>25</v>
      </c>
      <c r="H1602" s="4" t="s">
        <v>25</v>
      </c>
      <c r="I1602" s="5">
        <v>44713</v>
      </c>
      <c r="J1602" s="6">
        <v>0</v>
      </c>
      <c r="K1602" s="6">
        <v>0</v>
      </c>
      <c r="L1602" s="6">
        <v>27.57</v>
      </c>
      <c r="M1602" s="6">
        <v>27.57</v>
      </c>
      <c r="N1602" s="6">
        <v>27.57</v>
      </c>
      <c r="O1602" s="6">
        <v>27.57</v>
      </c>
      <c r="P1602" s="6">
        <v>12</v>
      </c>
      <c r="Q1602" s="4" t="s">
        <v>26</v>
      </c>
      <c r="R1602" s="4">
        <v>0</v>
      </c>
      <c r="S1602" s="4" t="s">
        <v>430</v>
      </c>
      <c r="T1602" s="4" t="s">
        <v>687</v>
      </c>
      <c r="U1602" s="4">
        <v>0</v>
      </c>
      <c r="V1602" s="4">
        <v>4</v>
      </c>
      <c r="W1602" s="4">
        <v>73</v>
      </c>
    </row>
    <row r="1603" spans="1:23" ht="11.25" customHeight="1" x14ac:dyDescent="0.25">
      <c r="A1603" s="4" t="s">
        <v>57</v>
      </c>
      <c r="B1603" s="4" t="s">
        <v>22</v>
      </c>
      <c r="C1603" s="4" t="s">
        <v>23</v>
      </c>
      <c r="D1603" s="4" t="s">
        <v>24</v>
      </c>
      <c r="E1603" s="4" t="s">
        <v>29</v>
      </c>
      <c r="F1603" s="4" t="s">
        <v>25</v>
      </c>
      <c r="G1603" s="4" t="s">
        <v>25</v>
      </c>
      <c r="H1603" s="4" t="s">
        <v>25</v>
      </c>
      <c r="I1603" s="5">
        <v>44743</v>
      </c>
      <c r="J1603" s="6">
        <v>0</v>
      </c>
      <c r="K1603" s="6">
        <v>0</v>
      </c>
      <c r="L1603" s="6">
        <v>13836.76</v>
      </c>
      <c r="M1603" s="6">
        <v>13836.76</v>
      </c>
      <c r="N1603" s="6">
        <v>13836.76</v>
      </c>
      <c r="O1603" s="6">
        <v>13836.76</v>
      </c>
      <c r="P1603" s="6">
        <v>48343</v>
      </c>
      <c r="Q1603" s="4" t="s">
        <v>26</v>
      </c>
      <c r="R1603" s="4">
        <v>0</v>
      </c>
      <c r="S1603" s="4" t="s">
        <v>431</v>
      </c>
      <c r="T1603" s="4" t="s">
        <v>688</v>
      </c>
      <c r="U1603" s="4">
        <v>0</v>
      </c>
      <c r="V1603" s="4">
        <v>4</v>
      </c>
      <c r="W1603" s="4">
        <v>73</v>
      </c>
    </row>
    <row r="1604" spans="1:23" ht="11.25" customHeight="1" x14ac:dyDescent="0.25">
      <c r="A1604" s="4" t="s">
        <v>57</v>
      </c>
      <c r="B1604" s="4" t="s">
        <v>22</v>
      </c>
      <c r="C1604" s="4" t="s">
        <v>23</v>
      </c>
      <c r="D1604" s="4" t="s">
        <v>24</v>
      </c>
      <c r="E1604" s="4" t="s">
        <v>29</v>
      </c>
      <c r="F1604" s="4" t="s">
        <v>25</v>
      </c>
      <c r="G1604" s="4" t="s">
        <v>25</v>
      </c>
      <c r="H1604" s="4" t="s">
        <v>25</v>
      </c>
      <c r="I1604" s="5">
        <v>44743</v>
      </c>
      <c r="J1604" s="6">
        <v>0</v>
      </c>
      <c r="K1604" s="6">
        <v>0</v>
      </c>
      <c r="L1604" s="6">
        <v>6.5830000000000002</v>
      </c>
      <c r="M1604" s="6">
        <v>6.5830000000000002</v>
      </c>
      <c r="N1604" s="6">
        <v>6.5830000000000002</v>
      </c>
      <c r="O1604" s="6">
        <v>6.5830000000000002</v>
      </c>
      <c r="P1604" s="6">
        <v>24</v>
      </c>
      <c r="Q1604" s="4" t="s">
        <v>26</v>
      </c>
      <c r="R1604" s="4">
        <v>0</v>
      </c>
      <c r="S1604" s="4" t="s">
        <v>431</v>
      </c>
      <c r="T1604" s="4" t="s">
        <v>688</v>
      </c>
      <c r="U1604" s="4">
        <v>0</v>
      </c>
      <c r="V1604" s="4">
        <v>4</v>
      </c>
      <c r="W1604" s="4">
        <v>73</v>
      </c>
    </row>
    <row r="1605" spans="1:23" ht="11.25" customHeight="1" x14ac:dyDescent="0.25">
      <c r="A1605" s="4" t="s">
        <v>57</v>
      </c>
      <c r="B1605" s="4" t="s">
        <v>22</v>
      </c>
      <c r="C1605" s="4" t="s">
        <v>23</v>
      </c>
      <c r="D1605" s="4" t="s">
        <v>24</v>
      </c>
      <c r="E1605" s="4" t="s">
        <v>29</v>
      </c>
      <c r="F1605" s="4" t="s">
        <v>25</v>
      </c>
      <c r="G1605" s="4" t="s">
        <v>25</v>
      </c>
      <c r="H1605" s="4" t="s">
        <v>25</v>
      </c>
      <c r="I1605" s="5">
        <v>44743</v>
      </c>
      <c r="J1605" s="6">
        <v>0</v>
      </c>
      <c r="K1605" s="6">
        <v>0</v>
      </c>
      <c r="L1605" s="6">
        <v>27.57</v>
      </c>
      <c r="M1605" s="6">
        <v>27.57</v>
      </c>
      <c r="N1605" s="6">
        <v>27.57</v>
      </c>
      <c r="O1605" s="6">
        <v>27.57</v>
      </c>
      <c r="P1605" s="6">
        <v>12</v>
      </c>
      <c r="Q1605" s="4" t="s">
        <v>26</v>
      </c>
      <c r="R1605" s="4">
        <v>0</v>
      </c>
      <c r="S1605" s="4" t="s">
        <v>431</v>
      </c>
      <c r="T1605" s="4" t="s">
        <v>688</v>
      </c>
      <c r="U1605" s="4">
        <v>0</v>
      </c>
      <c r="V1605" s="4">
        <v>4</v>
      </c>
      <c r="W1605" s="4">
        <v>73</v>
      </c>
    </row>
    <row r="1606" spans="1:23" ht="11.25" customHeight="1" x14ac:dyDescent="0.25">
      <c r="A1606" s="4" t="s">
        <v>21</v>
      </c>
      <c r="B1606" s="4" t="s">
        <v>22</v>
      </c>
      <c r="C1606" s="4" t="s">
        <v>23</v>
      </c>
      <c r="D1606" s="4" t="s">
        <v>24</v>
      </c>
      <c r="E1606" s="4" t="s">
        <v>30</v>
      </c>
      <c r="F1606" s="4" t="s">
        <v>25</v>
      </c>
      <c r="G1606" s="4" t="s">
        <v>25</v>
      </c>
      <c r="H1606" s="4" t="s">
        <v>25</v>
      </c>
      <c r="I1606" s="5">
        <v>44409</v>
      </c>
      <c r="J1606" s="6">
        <v>0</v>
      </c>
      <c r="K1606" s="6">
        <v>0</v>
      </c>
      <c r="L1606" s="6">
        <v>21068.968000000001</v>
      </c>
      <c r="M1606" s="6">
        <v>21068.968000000001</v>
      </c>
      <c r="N1606" s="6">
        <v>21068.968000000001</v>
      </c>
      <c r="O1606" s="6">
        <v>21068.968000000001</v>
      </c>
      <c r="P1606" s="6">
        <v>200657</v>
      </c>
      <c r="Q1606" s="4" t="s">
        <v>26</v>
      </c>
      <c r="R1606" s="4">
        <v>0</v>
      </c>
      <c r="S1606" s="4" t="s">
        <v>432</v>
      </c>
      <c r="T1606" s="4" t="s">
        <v>689</v>
      </c>
      <c r="U1606" s="4">
        <v>0</v>
      </c>
      <c r="V1606" s="4">
        <v>6</v>
      </c>
      <c r="W1606" s="4">
        <v>74</v>
      </c>
    </row>
    <row r="1607" spans="1:23" ht="11.25" customHeight="1" x14ac:dyDescent="0.25">
      <c r="A1607" s="4" t="s">
        <v>27</v>
      </c>
      <c r="B1607" s="4" t="s">
        <v>22</v>
      </c>
      <c r="C1607" s="4" t="s">
        <v>23</v>
      </c>
      <c r="D1607" s="4" t="s">
        <v>24</v>
      </c>
      <c r="E1607" s="4" t="s">
        <v>30</v>
      </c>
      <c r="F1607" s="4" t="s">
        <v>25</v>
      </c>
      <c r="G1607" s="4" t="s">
        <v>25</v>
      </c>
      <c r="H1607" s="4" t="s">
        <v>25</v>
      </c>
      <c r="I1607" s="5">
        <v>44409</v>
      </c>
      <c r="J1607" s="6">
        <v>0</v>
      </c>
      <c r="K1607" s="6">
        <v>0</v>
      </c>
      <c r="L1607" s="6">
        <v>-3.6280000000000001</v>
      </c>
      <c r="M1607" s="6">
        <v>-3.6280000000000001</v>
      </c>
      <c r="N1607" s="6">
        <v>-3.6280000000000001</v>
      </c>
      <c r="O1607" s="6">
        <v>-3.6280000000000001</v>
      </c>
      <c r="P1607" s="6">
        <v>-12</v>
      </c>
      <c r="Q1607" s="4" t="s">
        <v>26</v>
      </c>
      <c r="R1607" s="4">
        <v>0</v>
      </c>
      <c r="S1607" s="4" t="s">
        <v>432</v>
      </c>
      <c r="T1607" s="4" t="s">
        <v>689</v>
      </c>
      <c r="U1607" s="4">
        <v>0</v>
      </c>
      <c r="V1607" s="4">
        <v>6</v>
      </c>
      <c r="W1607" s="4">
        <v>74</v>
      </c>
    </row>
    <row r="1608" spans="1:23" ht="11.25" customHeight="1" x14ac:dyDescent="0.25">
      <c r="A1608" s="4" t="s">
        <v>28</v>
      </c>
      <c r="B1608" s="4" t="s">
        <v>22</v>
      </c>
      <c r="C1608" s="4" t="s">
        <v>23</v>
      </c>
      <c r="D1608" s="4" t="s">
        <v>24</v>
      </c>
      <c r="E1608" s="4" t="s">
        <v>30</v>
      </c>
      <c r="F1608" s="4" t="s">
        <v>25</v>
      </c>
      <c r="G1608" s="4" t="s">
        <v>25</v>
      </c>
      <c r="H1608" s="4" t="s">
        <v>25</v>
      </c>
      <c r="I1608" s="5">
        <v>44409</v>
      </c>
      <c r="J1608" s="6">
        <v>0</v>
      </c>
      <c r="K1608" s="6">
        <v>0</v>
      </c>
      <c r="L1608" s="6">
        <v>13.291</v>
      </c>
      <c r="M1608" s="6">
        <v>13.291</v>
      </c>
      <c r="N1608" s="6">
        <v>13.291</v>
      </c>
      <c r="O1608" s="6">
        <v>13.291</v>
      </c>
      <c r="P1608" s="6">
        <v>58</v>
      </c>
      <c r="Q1608" s="4" t="s">
        <v>26</v>
      </c>
      <c r="R1608" s="4">
        <v>0</v>
      </c>
      <c r="S1608" s="4" t="s">
        <v>432</v>
      </c>
      <c r="T1608" s="4" t="s">
        <v>689</v>
      </c>
      <c r="U1608" s="4">
        <v>0</v>
      </c>
      <c r="V1608" s="4">
        <v>6</v>
      </c>
      <c r="W1608" s="4">
        <v>74</v>
      </c>
    </row>
    <row r="1609" spans="1:23" ht="11.25" customHeight="1" x14ac:dyDescent="0.25">
      <c r="A1609" s="4" t="s">
        <v>21</v>
      </c>
      <c r="B1609" s="4" t="s">
        <v>22</v>
      </c>
      <c r="C1609" s="4" t="s">
        <v>23</v>
      </c>
      <c r="D1609" s="4" t="s">
        <v>24</v>
      </c>
      <c r="E1609" s="4" t="s">
        <v>30</v>
      </c>
      <c r="F1609" s="4" t="s">
        <v>25</v>
      </c>
      <c r="G1609" s="4" t="s">
        <v>25</v>
      </c>
      <c r="H1609" s="4" t="s">
        <v>25</v>
      </c>
      <c r="I1609" s="5">
        <v>44440</v>
      </c>
      <c r="J1609" s="6">
        <v>0</v>
      </c>
      <c r="K1609" s="6">
        <v>0</v>
      </c>
      <c r="L1609" s="6">
        <v>20728.253000000001</v>
      </c>
      <c r="M1609" s="6">
        <v>20728.253000000001</v>
      </c>
      <c r="N1609" s="6">
        <v>20728.253000000001</v>
      </c>
      <c r="O1609" s="6">
        <v>20728.253000000001</v>
      </c>
      <c r="P1609" s="6">
        <v>201132</v>
      </c>
      <c r="Q1609" s="4" t="s">
        <v>26</v>
      </c>
      <c r="R1609" s="4">
        <v>0</v>
      </c>
      <c r="S1609" s="4" t="s">
        <v>433</v>
      </c>
      <c r="T1609" s="4" t="s">
        <v>690</v>
      </c>
      <c r="U1609" s="4">
        <v>0</v>
      </c>
      <c r="V1609" s="4">
        <v>6</v>
      </c>
      <c r="W1609" s="4">
        <v>74</v>
      </c>
    </row>
    <row r="1610" spans="1:23" ht="11.25" customHeight="1" x14ac:dyDescent="0.25">
      <c r="A1610" s="4" t="s">
        <v>27</v>
      </c>
      <c r="B1610" s="4" t="s">
        <v>22</v>
      </c>
      <c r="C1610" s="4" t="s">
        <v>23</v>
      </c>
      <c r="D1610" s="4" t="s">
        <v>24</v>
      </c>
      <c r="E1610" s="4" t="s">
        <v>30</v>
      </c>
      <c r="F1610" s="4" t="s">
        <v>25</v>
      </c>
      <c r="G1610" s="4" t="s">
        <v>25</v>
      </c>
      <c r="H1610" s="4" t="s">
        <v>25</v>
      </c>
      <c r="I1610" s="5">
        <v>44440</v>
      </c>
      <c r="J1610" s="6">
        <v>0</v>
      </c>
      <c r="K1610" s="6">
        <v>0</v>
      </c>
      <c r="L1610" s="6">
        <v>-3.8239999999999998</v>
      </c>
      <c r="M1610" s="6">
        <v>-3.8239999999999998</v>
      </c>
      <c r="N1610" s="6">
        <v>-3.8239999999999998</v>
      </c>
      <c r="O1610" s="6">
        <v>-3.8239999999999998</v>
      </c>
      <c r="P1610" s="6">
        <v>-8</v>
      </c>
      <c r="Q1610" s="4" t="s">
        <v>26</v>
      </c>
      <c r="R1610" s="4">
        <v>0</v>
      </c>
      <c r="S1610" s="4" t="s">
        <v>433</v>
      </c>
      <c r="T1610" s="4" t="s">
        <v>690</v>
      </c>
      <c r="U1610" s="4">
        <v>0</v>
      </c>
      <c r="V1610" s="4">
        <v>6</v>
      </c>
      <c r="W1610" s="4">
        <v>74</v>
      </c>
    </row>
    <row r="1611" spans="1:23" ht="11.25" customHeight="1" x14ac:dyDescent="0.25">
      <c r="A1611" s="4" t="s">
        <v>28</v>
      </c>
      <c r="B1611" s="4" t="s">
        <v>22</v>
      </c>
      <c r="C1611" s="4" t="s">
        <v>23</v>
      </c>
      <c r="D1611" s="4" t="s">
        <v>24</v>
      </c>
      <c r="E1611" s="4" t="s">
        <v>30</v>
      </c>
      <c r="F1611" s="4" t="s">
        <v>25</v>
      </c>
      <c r="G1611" s="4" t="s">
        <v>25</v>
      </c>
      <c r="H1611" s="4" t="s">
        <v>25</v>
      </c>
      <c r="I1611" s="5">
        <v>44440</v>
      </c>
      <c r="J1611" s="6">
        <v>0</v>
      </c>
      <c r="K1611" s="6">
        <v>0</v>
      </c>
      <c r="L1611" s="6">
        <v>12.747999999999999</v>
      </c>
      <c r="M1611" s="6">
        <v>12.747999999999999</v>
      </c>
      <c r="N1611" s="6">
        <v>12.747999999999999</v>
      </c>
      <c r="O1611" s="6">
        <v>12.747999999999999</v>
      </c>
      <c r="P1611" s="6">
        <v>50</v>
      </c>
      <c r="Q1611" s="4" t="s">
        <v>26</v>
      </c>
      <c r="R1611" s="4">
        <v>0</v>
      </c>
      <c r="S1611" s="4" t="s">
        <v>433</v>
      </c>
      <c r="T1611" s="4" t="s">
        <v>690</v>
      </c>
      <c r="U1611" s="4">
        <v>0</v>
      </c>
      <c r="V1611" s="4">
        <v>6</v>
      </c>
      <c r="W1611" s="4">
        <v>74</v>
      </c>
    </row>
    <row r="1612" spans="1:23" ht="11.25" customHeight="1" x14ac:dyDescent="0.25">
      <c r="A1612" s="4" t="s">
        <v>21</v>
      </c>
      <c r="B1612" s="4" t="s">
        <v>22</v>
      </c>
      <c r="C1612" s="4" t="s">
        <v>23</v>
      </c>
      <c r="D1612" s="4" t="s">
        <v>24</v>
      </c>
      <c r="E1612" s="4" t="s">
        <v>30</v>
      </c>
      <c r="F1612" s="4" t="s">
        <v>25</v>
      </c>
      <c r="G1612" s="4" t="s">
        <v>25</v>
      </c>
      <c r="H1612" s="4" t="s">
        <v>25</v>
      </c>
      <c r="I1612" s="5">
        <v>44470</v>
      </c>
      <c r="J1612" s="6">
        <v>0</v>
      </c>
      <c r="K1612" s="6">
        <v>0</v>
      </c>
      <c r="L1612" s="6">
        <v>21787.931</v>
      </c>
      <c r="M1612" s="6">
        <v>21787.931</v>
      </c>
      <c r="N1612" s="6">
        <v>21787.931</v>
      </c>
      <c r="O1612" s="6">
        <v>21787.931</v>
      </c>
      <c r="P1612" s="6">
        <v>188992</v>
      </c>
      <c r="Q1612" s="4" t="s">
        <v>26</v>
      </c>
      <c r="R1612" s="4">
        <v>0</v>
      </c>
      <c r="S1612" s="4" t="s">
        <v>434</v>
      </c>
      <c r="T1612" s="4" t="s">
        <v>691</v>
      </c>
      <c r="U1612" s="4">
        <v>0</v>
      </c>
      <c r="V1612" s="4">
        <v>6</v>
      </c>
      <c r="W1612" s="4">
        <v>74</v>
      </c>
    </row>
    <row r="1613" spans="1:23" ht="11.25" customHeight="1" x14ac:dyDescent="0.25">
      <c r="A1613" s="4" t="s">
        <v>27</v>
      </c>
      <c r="B1613" s="4" t="s">
        <v>22</v>
      </c>
      <c r="C1613" s="4" t="s">
        <v>23</v>
      </c>
      <c r="D1613" s="4" t="s">
        <v>24</v>
      </c>
      <c r="E1613" s="4" t="s">
        <v>30</v>
      </c>
      <c r="F1613" s="4" t="s">
        <v>25</v>
      </c>
      <c r="G1613" s="4" t="s">
        <v>25</v>
      </c>
      <c r="H1613" s="4" t="s">
        <v>25</v>
      </c>
      <c r="I1613" s="5">
        <v>44470</v>
      </c>
      <c r="J1613" s="6">
        <v>0</v>
      </c>
      <c r="K1613" s="6">
        <v>0</v>
      </c>
      <c r="L1613" s="6">
        <v>-4.6779999999999999</v>
      </c>
      <c r="M1613" s="6">
        <v>-4.6779999999999999</v>
      </c>
      <c r="N1613" s="6">
        <v>-4.6779999999999999</v>
      </c>
      <c r="O1613" s="6">
        <v>-4.6779999999999999</v>
      </c>
      <c r="P1613" s="6">
        <v>-8</v>
      </c>
      <c r="Q1613" s="4" t="s">
        <v>26</v>
      </c>
      <c r="R1613" s="4">
        <v>0</v>
      </c>
      <c r="S1613" s="4" t="s">
        <v>434</v>
      </c>
      <c r="T1613" s="4" t="s">
        <v>691</v>
      </c>
      <c r="U1613" s="4">
        <v>0</v>
      </c>
      <c r="V1613" s="4">
        <v>6</v>
      </c>
      <c r="W1613" s="4">
        <v>74</v>
      </c>
    </row>
    <row r="1614" spans="1:23" ht="11.25" customHeight="1" x14ac:dyDescent="0.25">
      <c r="A1614" s="4" t="s">
        <v>28</v>
      </c>
      <c r="B1614" s="4" t="s">
        <v>22</v>
      </c>
      <c r="C1614" s="4" t="s">
        <v>23</v>
      </c>
      <c r="D1614" s="4" t="s">
        <v>24</v>
      </c>
      <c r="E1614" s="4" t="s">
        <v>30</v>
      </c>
      <c r="F1614" s="4" t="s">
        <v>25</v>
      </c>
      <c r="G1614" s="4" t="s">
        <v>25</v>
      </c>
      <c r="H1614" s="4" t="s">
        <v>25</v>
      </c>
      <c r="I1614" s="5">
        <v>44470</v>
      </c>
      <c r="J1614" s="6">
        <v>0</v>
      </c>
      <c r="K1614" s="6">
        <v>0</v>
      </c>
      <c r="L1614" s="6">
        <v>14.361000000000001</v>
      </c>
      <c r="M1614" s="6">
        <v>14.361000000000001</v>
      </c>
      <c r="N1614" s="6">
        <v>14.361000000000001</v>
      </c>
      <c r="O1614" s="6">
        <v>14.361000000000001</v>
      </c>
      <c r="P1614" s="6">
        <v>48</v>
      </c>
      <c r="Q1614" s="4" t="s">
        <v>26</v>
      </c>
      <c r="R1614" s="4">
        <v>0</v>
      </c>
      <c r="S1614" s="4" t="s">
        <v>434</v>
      </c>
      <c r="T1614" s="4" t="s">
        <v>691</v>
      </c>
      <c r="U1614" s="4">
        <v>0</v>
      </c>
      <c r="V1614" s="4">
        <v>6</v>
      </c>
      <c r="W1614" s="4">
        <v>74</v>
      </c>
    </row>
    <row r="1615" spans="1:23" ht="11.25" customHeight="1" x14ac:dyDescent="0.25">
      <c r="A1615" s="4" t="s">
        <v>21</v>
      </c>
      <c r="B1615" s="4" t="s">
        <v>22</v>
      </c>
      <c r="C1615" s="4" t="s">
        <v>23</v>
      </c>
      <c r="D1615" s="4" t="s">
        <v>24</v>
      </c>
      <c r="E1615" s="4" t="s">
        <v>30</v>
      </c>
      <c r="F1615" s="4" t="s">
        <v>25</v>
      </c>
      <c r="G1615" s="4" t="s">
        <v>25</v>
      </c>
      <c r="H1615" s="4" t="s">
        <v>25</v>
      </c>
      <c r="I1615" s="5">
        <v>44501</v>
      </c>
      <c r="J1615" s="6">
        <v>0</v>
      </c>
      <c r="K1615" s="6">
        <v>0</v>
      </c>
      <c r="L1615" s="6">
        <v>22162.739000000001</v>
      </c>
      <c r="M1615" s="6">
        <v>22162.739000000001</v>
      </c>
      <c r="N1615" s="6">
        <v>22162.739000000001</v>
      </c>
      <c r="O1615" s="6">
        <v>22162.739000000001</v>
      </c>
      <c r="P1615" s="6">
        <v>189824</v>
      </c>
      <c r="Q1615" s="4" t="s">
        <v>26</v>
      </c>
      <c r="R1615" s="4">
        <v>0</v>
      </c>
      <c r="S1615" s="4" t="s">
        <v>435</v>
      </c>
      <c r="T1615" s="4" t="s">
        <v>692</v>
      </c>
      <c r="U1615" s="4">
        <v>0</v>
      </c>
      <c r="V1615" s="4">
        <v>6</v>
      </c>
      <c r="W1615" s="4">
        <v>74</v>
      </c>
    </row>
    <row r="1616" spans="1:23" ht="11.25" customHeight="1" x14ac:dyDescent="0.25">
      <c r="A1616" s="4" t="s">
        <v>27</v>
      </c>
      <c r="B1616" s="4" t="s">
        <v>22</v>
      </c>
      <c r="C1616" s="4" t="s">
        <v>23</v>
      </c>
      <c r="D1616" s="4" t="s">
        <v>24</v>
      </c>
      <c r="E1616" s="4" t="s">
        <v>30</v>
      </c>
      <c r="F1616" s="4" t="s">
        <v>25</v>
      </c>
      <c r="G1616" s="4" t="s">
        <v>25</v>
      </c>
      <c r="H1616" s="4" t="s">
        <v>25</v>
      </c>
      <c r="I1616" s="5">
        <v>44501</v>
      </c>
      <c r="J1616" s="6">
        <v>0</v>
      </c>
      <c r="K1616" s="6">
        <v>0</v>
      </c>
      <c r="L1616" s="6">
        <v>-3.3090000000000002</v>
      </c>
      <c r="M1616" s="6">
        <v>-3.3090000000000002</v>
      </c>
      <c r="N1616" s="6">
        <v>-3.3090000000000002</v>
      </c>
      <c r="O1616" s="6">
        <v>-3.3090000000000002</v>
      </c>
      <c r="P1616" s="6">
        <v>-5</v>
      </c>
      <c r="Q1616" s="4" t="s">
        <v>26</v>
      </c>
      <c r="R1616" s="4">
        <v>0</v>
      </c>
      <c r="S1616" s="4" t="s">
        <v>435</v>
      </c>
      <c r="T1616" s="4" t="s">
        <v>692</v>
      </c>
      <c r="U1616" s="4">
        <v>0</v>
      </c>
      <c r="V1616" s="4">
        <v>6</v>
      </c>
      <c r="W1616" s="4">
        <v>74</v>
      </c>
    </row>
    <row r="1617" spans="1:23" ht="11.25" customHeight="1" x14ac:dyDescent="0.25">
      <c r="A1617" s="4" t="s">
        <v>28</v>
      </c>
      <c r="B1617" s="4" t="s">
        <v>22</v>
      </c>
      <c r="C1617" s="4" t="s">
        <v>23</v>
      </c>
      <c r="D1617" s="4" t="s">
        <v>24</v>
      </c>
      <c r="E1617" s="4" t="s">
        <v>30</v>
      </c>
      <c r="F1617" s="4" t="s">
        <v>25</v>
      </c>
      <c r="G1617" s="4" t="s">
        <v>25</v>
      </c>
      <c r="H1617" s="4" t="s">
        <v>25</v>
      </c>
      <c r="I1617" s="5">
        <v>44501</v>
      </c>
      <c r="J1617" s="6">
        <v>0</v>
      </c>
      <c r="K1617" s="6">
        <v>0</v>
      </c>
      <c r="L1617" s="6">
        <v>15.215</v>
      </c>
      <c r="M1617" s="6">
        <v>15.215</v>
      </c>
      <c r="N1617" s="6">
        <v>15.215</v>
      </c>
      <c r="O1617" s="6">
        <v>15.215</v>
      </c>
      <c r="P1617" s="6">
        <v>51</v>
      </c>
      <c r="Q1617" s="4" t="s">
        <v>26</v>
      </c>
      <c r="R1617" s="4">
        <v>0</v>
      </c>
      <c r="S1617" s="4" t="s">
        <v>435</v>
      </c>
      <c r="T1617" s="4" t="s">
        <v>692</v>
      </c>
      <c r="U1617" s="4">
        <v>0</v>
      </c>
      <c r="V1617" s="4">
        <v>6</v>
      </c>
      <c r="W1617" s="4">
        <v>74</v>
      </c>
    </row>
    <row r="1618" spans="1:23" ht="11.25" customHeight="1" x14ac:dyDescent="0.25">
      <c r="A1618" s="4" t="s">
        <v>21</v>
      </c>
      <c r="B1618" s="4" t="s">
        <v>22</v>
      </c>
      <c r="C1618" s="4" t="s">
        <v>23</v>
      </c>
      <c r="D1618" s="4" t="s">
        <v>24</v>
      </c>
      <c r="E1618" s="4" t="s">
        <v>30</v>
      </c>
      <c r="F1618" s="4" t="s">
        <v>25</v>
      </c>
      <c r="G1618" s="4" t="s">
        <v>25</v>
      </c>
      <c r="H1618" s="4" t="s">
        <v>25</v>
      </c>
      <c r="I1618" s="5">
        <v>44531</v>
      </c>
      <c r="J1618" s="6">
        <v>0</v>
      </c>
      <c r="K1618" s="6">
        <v>0</v>
      </c>
      <c r="L1618" s="6">
        <v>23244.647000000001</v>
      </c>
      <c r="M1618" s="6">
        <v>23244.647000000001</v>
      </c>
      <c r="N1618" s="6">
        <v>23244.647000000001</v>
      </c>
      <c r="O1618" s="6">
        <v>23244.647000000001</v>
      </c>
      <c r="P1618" s="6">
        <v>163647</v>
      </c>
      <c r="Q1618" s="4" t="s">
        <v>26</v>
      </c>
      <c r="R1618" s="4">
        <v>0</v>
      </c>
      <c r="S1618" s="4" t="s">
        <v>436</v>
      </c>
      <c r="T1618" s="4" t="s">
        <v>693</v>
      </c>
      <c r="U1618" s="4">
        <v>0</v>
      </c>
      <c r="V1618" s="4">
        <v>6</v>
      </c>
      <c r="W1618" s="4">
        <v>74</v>
      </c>
    </row>
    <row r="1619" spans="1:23" ht="11.25" customHeight="1" x14ac:dyDescent="0.25">
      <c r="A1619" s="4" t="s">
        <v>27</v>
      </c>
      <c r="B1619" s="4" t="s">
        <v>22</v>
      </c>
      <c r="C1619" s="4" t="s">
        <v>23</v>
      </c>
      <c r="D1619" s="4" t="s">
        <v>24</v>
      </c>
      <c r="E1619" s="4" t="s">
        <v>30</v>
      </c>
      <c r="F1619" s="4" t="s">
        <v>25</v>
      </c>
      <c r="G1619" s="4" t="s">
        <v>25</v>
      </c>
      <c r="H1619" s="4" t="s">
        <v>25</v>
      </c>
      <c r="I1619" s="5">
        <v>44531</v>
      </c>
      <c r="J1619" s="6">
        <v>0</v>
      </c>
      <c r="K1619" s="6">
        <v>0</v>
      </c>
      <c r="L1619" s="6">
        <v>-2.8319999999999999</v>
      </c>
      <c r="M1619" s="6">
        <v>-2.8319999999999999</v>
      </c>
      <c r="N1619" s="6">
        <v>-2.8319999999999999</v>
      </c>
      <c r="O1619" s="6">
        <v>-2.8319999999999999</v>
      </c>
      <c r="P1619" s="6">
        <v>-8</v>
      </c>
      <c r="Q1619" s="4" t="s">
        <v>26</v>
      </c>
      <c r="R1619" s="4">
        <v>0</v>
      </c>
      <c r="S1619" s="4" t="s">
        <v>436</v>
      </c>
      <c r="T1619" s="4" t="s">
        <v>693</v>
      </c>
      <c r="U1619" s="4">
        <v>0</v>
      </c>
      <c r="V1619" s="4">
        <v>6</v>
      </c>
      <c r="W1619" s="4">
        <v>74</v>
      </c>
    </row>
    <row r="1620" spans="1:23" ht="11.25" customHeight="1" x14ac:dyDescent="0.25">
      <c r="A1620" s="4" t="s">
        <v>28</v>
      </c>
      <c r="B1620" s="4" t="s">
        <v>22</v>
      </c>
      <c r="C1620" s="4" t="s">
        <v>23</v>
      </c>
      <c r="D1620" s="4" t="s">
        <v>24</v>
      </c>
      <c r="E1620" s="4" t="s">
        <v>30</v>
      </c>
      <c r="F1620" s="4" t="s">
        <v>25</v>
      </c>
      <c r="G1620" s="4" t="s">
        <v>25</v>
      </c>
      <c r="H1620" s="4" t="s">
        <v>25</v>
      </c>
      <c r="I1620" s="5">
        <v>44531</v>
      </c>
      <c r="J1620" s="6">
        <v>0</v>
      </c>
      <c r="K1620" s="6">
        <v>0</v>
      </c>
      <c r="L1620" s="6">
        <v>19.161000000000001</v>
      </c>
      <c r="M1620" s="6">
        <v>19.161000000000001</v>
      </c>
      <c r="N1620" s="6">
        <v>19.161000000000001</v>
      </c>
      <c r="O1620" s="6">
        <v>19.161000000000001</v>
      </c>
      <c r="P1620" s="6">
        <v>39</v>
      </c>
      <c r="Q1620" s="4" t="s">
        <v>26</v>
      </c>
      <c r="R1620" s="4">
        <v>0</v>
      </c>
      <c r="S1620" s="4" t="s">
        <v>436</v>
      </c>
      <c r="T1620" s="4" t="s">
        <v>693</v>
      </c>
      <c r="U1620" s="4">
        <v>0</v>
      </c>
      <c r="V1620" s="4">
        <v>6</v>
      </c>
      <c r="W1620" s="4">
        <v>74</v>
      </c>
    </row>
    <row r="1621" spans="1:23" ht="11.25" customHeight="1" x14ac:dyDescent="0.25">
      <c r="A1621" s="4" t="s">
        <v>21</v>
      </c>
      <c r="B1621" s="4" t="s">
        <v>22</v>
      </c>
      <c r="C1621" s="4" t="s">
        <v>23</v>
      </c>
      <c r="D1621" s="4" t="s">
        <v>24</v>
      </c>
      <c r="E1621" s="4" t="s">
        <v>30</v>
      </c>
      <c r="F1621" s="4" t="s">
        <v>25</v>
      </c>
      <c r="G1621" s="4" t="s">
        <v>25</v>
      </c>
      <c r="H1621" s="4" t="s">
        <v>25</v>
      </c>
      <c r="I1621" s="5">
        <v>44562</v>
      </c>
      <c r="J1621" s="6">
        <v>0</v>
      </c>
      <c r="K1621" s="6">
        <v>0</v>
      </c>
      <c r="L1621" s="6">
        <v>22506.417000000001</v>
      </c>
      <c r="M1621" s="6">
        <v>22506.417000000001</v>
      </c>
      <c r="N1621" s="6">
        <v>22506.417000000001</v>
      </c>
      <c r="O1621" s="6">
        <v>22506.417000000001</v>
      </c>
      <c r="P1621" s="6">
        <v>182803</v>
      </c>
      <c r="Q1621" s="4" t="s">
        <v>26</v>
      </c>
      <c r="R1621" s="4">
        <v>0</v>
      </c>
      <c r="S1621" s="4" t="s">
        <v>437</v>
      </c>
      <c r="T1621" s="4" t="s">
        <v>694</v>
      </c>
      <c r="U1621" s="4">
        <v>0</v>
      </c>
      <c r="V1621" s="4">
        <v>6</v>
      </c>
      <c r="W1621" s="4">
        <v>74</v>
      </c>
    </row>
    <row r="1622" spans="1:23" ht="11.25" customHeight="1" x14ac:dyDescent="0.25">
      <c r="A1622" s="4" t="s">
        <v>27</v>
      </c>
      <c r="B1622" s="4" t="s">
        <v>22</v>
      </c>
      <c r="C1622" s="4" t="s">
        <v>23</v>
      </c>
      <c r="D1622" s="4" t="s">
        <v>24</v>
      </c>
      <c r="E1622" s="4" t="s">
        <v>30</v>
      </c>
      <c r="F1622" s="4" t="s">
        <v>25</v>
      </c>
      <c r="G1622" s="4" t="s">
        <v>25</v>
      </c>
      <c r="H1622" s="4" t="s">
        <v>25</v>
      </c>
      <c r="I1622" s="5">
        <v>44562</v>
      </c>
      <c r="J1622" s="6">
        <v>0</v>
      </c>
      <c r="K1622" s="6">
        <v>0</v>
      </c>
      <c r="L1622" s="6">
        <v>-3.6040000000000001</v>
      </c>
      <c r="M1622" s="6">
        <v>-3.6040000000000001</v>
      </c>
      <c r="N1622" s="6">
        <v>-3.6040000000000001</v>
      </c>
      <c r="O1622" s="6">
        <v>-3.6040000000000001</v>
      </c>
      <c r="P1622" s="6">
        <v>-9</v>
      </c>
      <c r="Q1622" s="4" t="s">
        <v>26</v>
      </c>
      <c r="R1622" s="4">
        <v>0</v>
      </c>
      <c r="S1622" s="4" t="s">
        <v>437</v>
      </c>
      <c r="T1622" s="4" t="s">
        <v>694</v>
      </c>
      <c r="U1622" s="4">
        <v>0</v>
      </c>
      <c r="V1622" s="4">
        <v>6</v>
      </c>
      <c r="W1622" s="4">
        <v>74</v>
      </c>
    </row>
    <row r="1623" spans="1:23" ht="11.25" customHeight="1" x14ac:dyDescent="0.25">
      <c r="A1623" s="4" t="s">
        <v>28</v>
      </c>
      <c r="B1623" s="4" t="s">
        <v>22</v>
      </c>
      <c r="C1623" s="4" t="s">
        <v>23</v>
      </c>
      <c r="D1623" s="4" t="s">
        <v>24</v>
      </c>
      <c r="E1623" s="4" t="s">
        <v>30</v>
      </c>
      <c r="F1623" s="4" t="s">
        <v>25</v>
      </c>
      <c r="G1623" s="4" t="s">
        <v>25</v>
      </c>
      <c r="H1623" s="4" t="s">
        <v>25</v>
      </c>
      <c r="I1623" s="5">
        <v>44562</v>
      </c>
      <c r="J1623" s="6">
        <v>0</v>
      </c>
      <c r="K1623" s="6">
        <v>0</v>
      </c>
      <c r="L1623" s="6">
        <v>19.314</v>
      </c>
      <c r="M1623" s="6">
        <v>19.314</v>
      </c>
      <c r="N1623" s="6">
        <v>19.314</v>
      </c>
      <c r="O1623" s="6">
        <v>19.314</v>
      </c>
      <c r="P1623" s="6">
        <v>58</v>
      </c>
      <c r="Q1623" s="4" t="s">
        <v>26</v>
      </c>
      <c r="R1623" s="4">
        <v>0</v>
      </c>
      <c r="S1623" s="4" t="s">
        <v>437</v>
      </c>
      <c r="T1623" s="4" t="s">
        <v>694</v>
      </c>
      <c r="U1623" s="4">
        <v>0</v>
      </c>
      <c r="V1623" s="4">
        <v>6</v>
      </c>
      <c r="W1623" s="4">
        <v>74</v>
      </c>
    </row>
    <row r="1624" spans="1:23" ht="11.25" customHeight="1" x14ac:dyDescent="0.25">
      <c r="A1624" s="4" t="s">
        <v>28</v>
      </c>
      <c r="B1624" s="4" t="s">
        <v>22</v>
      </c>
      <c r="C1624" s="4" t="s">
        <v>23</v>
      </c>
      <c r="D1624" s="4" t="s">
        <v>24</v>
      </c>
      <c r="E1624" s="4" t="s">
        <v>30</v>
      </c>
      <c r="F1624" s="4" t="s">
        <v>25</v>
      </c>
      <c r="G1624" s="4" t="s">
        <v>25</v>
      </c>
      <c r="H1624" s="4" t="s">
        <v>25</v>
      </c>
      <c r="I1624" s="5">
        <v>44562</v>
      </c>
      <c r="J1624" s="6">
        <v>0</v>
      </c>
      <c r="K1624" s="6">
        <v>0</v>
      </c>
      <c r="L1624" s="6">
        <v>-7.0000000000000007E-2</v>
      </c>
      <c r="M1624" s="6">
        <v>-7.0000000000000007E-2</v>
      </c>
      <c r="N1624" s="6">
        <v>-7.0000000000000007E-2</v>
      </c>
      <c r="O1624" s="6">
        <v>-7.0000000000000007E-2</v>
      </c>
      <c r="P1624" s="6">
        <v>0</v>
      </c>
      <c r="Q1624" s="4" t="s">
        <v>26</v>
      </c>
      <c r="R1624" s="4">
        <v>0</v>
      </c>
      <c r="S1624" s="4" t="s">
        <v>437</v>
      </c>
      <c r="T1624" s="4" t="s">
        <v>694</v>
      </c>
      <c r="U1624" s="4">
        <v>0</v>
      </c>
      <c r="V1624" s="4">
        <v>6</v>
      </c>
      <c r="W1624" s="4">
        <v>74</v>
      </c>
    </row>
    <row r="1625" spans="1:23" ht="11.25" customHeight="1" x14ac:dyDescent="0.25">
      <c r="A1625" s="4" t="s">
        <v>21</v>
      </c>
      <c r="B1625" s="4" t="s">
        <v>22</v>
      </c>
      <c r="C1625" s="4" t="s">
        <v>23</v>
      </c>
      <c r="D1625" s="4" t="s">
        <v>24</v>
      </c>
      <c r="E1625" s="4" t="s">
        <v>30</v>
      </c>
      <c r="F1625" s="4" t="s">
        <v>25</v>
      </c>
      <c r="G1625" s="4" t="s">
        <v>25</v>
      </c>
      <c r="H1625" s="4" t="s">
        <v>25</v>
      </c>
      <c r="I1625" s="5">
        <v>44593</v>
      </c>
      <c r="J1625" s="6">
        <v>0</v>
      </c>
      <c r="K1625" s="6">
        <v>0</v>
      </c>
      <c r="L1625" s="6">
        <v>21989.413</v>
      </c>
      <c r="M1625" s="6">
        <v>21989.413</v>
      </c>
      <c r="N1625" s="6">
        <v>21989.413</v>
      </c>
      <c r="O1625" s="6">
        <v>21989.413</v>
      </c>
      <c r="P1625" s="6">
        <v>205753</v>
      </c>
      <c r="Q1625" s="4" t="s">
        <v>26</v>
      </c>
      <c r="R1625" s="4">
        <v>0</v>
      </c>
      <c r="S1625" s="4" t="s">
        <v>438</v>
      </c>
      <c r="T1625" s="4" t="s">
        <v>695</v>
      </c>
      <c r="U1625" s="4">
        <v>0</v>
      </c>
      <c r="V1625" s="4">
        <v>6</v>
      </c>
      <c r="W1625" s="4">
        <v>74</v>
      </c>
    </row>
    <row r="1626" spans="1:23" ht="11.25" customHeight="1" x14ac:dyDescent="0.25">
      <c r="A1626" s="4" t="s">
        <v>27</v>
      </c>
      <c r="B1626" s="4" t="s">
        <v>22</v>
      </c>
      <c r="C1626" s="4" t="s">
        <v>23</v>
      </c>
      <c r="D1626" s="4" t="s">
        <v>24</v>
      </c>
      <c r="E1626" s="4" t="s">
        <v>30</v>
      </c>
      <c r="F1626" s="4" t="s">
        <v>25</v>
      </c>
      <c r="G1626" s="4" t="s">
        <v>25</v>
      </c>
      <c r="H1626" s="4" t="s">
        <v>25</v>
      </c>
      <c r="I1626" s="5">
        <v>44593</v>
      </c>
      <c r="J1626" s="6">
        <v>0</v>
      </c>
      <c r="K1626" s="6">
        <v>0</v>
      </c>
      <c r="L1626" s="6">
        <v>-5.3319999999999999</v>
      </c>
      <c r="M1626" s="6">
        <v>-5.3319999999999999</v>
      </c>
      <c r="N1626" s="6">
        <v>-5.3319999999999999</v>
      </c>
      <c r="O1626" s="6">
        <v>-5.3319999999999999</v>
      </c>
      <c r="P1626" s="6">
        <v>-10</v>
      </c>
      <c r="Q1626" s="4" t="s">
        <v>26</v>
      </c>
      <c r="R1626" s="4">
        <v>0</v>
      </c>
      <c r="S1626" s="4" t="s">
        <v>438</v>
      </c>
      <c r="T1626" s="4" t="s">
        <v>695</v>
      </c>
      <c r="U1626" s="4">
        <v>0</v>
      </c>
      <c r="V1626" s="4">
        <v>6</v>
      </c>
      <c r="W1626" s="4">
        <v>74</v>
      </c>
    </row>
    <row r="1627" spans="1:23" ht="11.25" customHeight="1" x14ac:dyDescent="0.25">
      <c r="A1627" s="4" t="s">
        <v>28</v>
      </c>
      <c r="B1627" s="4" t="s">
        <v>22</v>
      </c>
      <c r="C1627" s="4" t="s">
        <v>23</v>
      </c>
      <c r="D1627" s="4" t="s">
        <v>24</v>
      </c>
      <c r="E1627" s="4" t="s">
        <v>30</v>
      </c>
      <c r="F1627" s="4" t="s">
        <v>25</v>
      </c>
      <c r="G1627" s="4" t="s">
        <v>25</v>
      </c>
      <c r="H1627" s="4" t="s">
        <v>25</v>
      </c>
      <c r="I1627" s="5">
        <v>44593</v>
      </c>
      <c r="J1627" s="6">
        <v>0</v>
      </c>
      <c r="K1627" s="6">
        <v>0</v>
      </c>
      <c r="L1627" s="6">
        <v>18.664999999999999</v>
      </c>
      <c r="M1627" s="6">
        <v>18.664999999999999</v>
      </c>
      <c r="N1627" s="6">
        <v>18.664999999999999</v>
      </c>
      <c r="O1627" s="6">
        <v>18.664999999999999</v>
      </c>
      <c r="P1627" s="6">
        <v>70</v>
      </c>
      <c r="Q1627" s="4" t="s">
        <v>26</v>
      </c>
      <c r="R1627" s="4">
        <v>0</v>
      </c>
      <c r="S1627" s="4" t="s">
        <v>438</v>
      </c>
      <c r="T1627" s="4" t="s">
        <v>695</v>
      </c>
      <c r="U1627" s="4">
        <v>0</v>
      </c>
      <c r="V1627" s="4">
        <v>6</v>
      </c>
      <c r="W1627" s="4">
        <v>74</v>
      </c>
    </row>
    <row r="1628" spans="1:23" ht="11.25" customHeight="1" x14ac:dyDescent="0.25">
      <c r="A1628" s="4" t="s">
        <v>21</v>
      </c>
      <c r="B1628" s="4" t="s">
        <v>22</v>
      </c>
      <c r="C1628" s="4" t="s">
        <v>23</v>
      </c>
      <c r="D1628" s="4" t="s">
        <v>24</v>
      </c>
      <c r="E1628" s="4" t="s">
        <v>30</v>
      </c>
      <c r="F1628" s="4" t="s">
        <v>25</v>
      </c>
      <c r="G1628" s="4" t="s">
        <v>25</v>
      </c>
      <c r="H1628" s="4" t="s">
        <v>25</v>
      </c>
      <c r="I1628" s="5">
        <v>44621</v>
      </c>
      <c r="J1628" s="6">
        <v>0</v>
      </c>
      <c r="K1628" s="6">
        <v>0</v>
      </c>
      <c r="L1628" s="6">
        <v>24009.078000000001</v>
      </c>
      <c r="M1628" s="6">
        <v>24009.078000000001</v>
      </c>
      <c r="N1628" s="6">
        <v>24009.078000000001</v>
      </c>
      <c r="O1628" s="6">
        <v>24009.078000000001</v>
      </c>
      <c r="P1628" s="6">
        <v>175797</v>
      </c>
      <c r="Q1628" s="4" t="s">
        <v>26</v>
      </c>
      <c r="R1628" s="4">
        <v>0</v>
      </c>
      <c r="S1628" s="4" t="s">
        <v>439</v>
      </c>
      <c r="T1628" s="4" t="s">
        <v>696</v>
      </c>
      <c r="U1628" s="4">
        <v>0</v>
      </c>
      <c r="V1628" s="4">
        <v>6</v>
      </c>
      <c r="W1628" s="4">
        <v>74</v>
      </c>
    </row>
    <row r="1629" spans="1:23" ht="11.25" customHeight="1" x14ac:dyDescent="0.25">
      <c r="A1629" s="4" t="s">
        <v>27</v>
      </c>
      <c r="B1629" s="4" t="s">
        <v>22</v>
      </c>
      <c r="C1629" s="4" t="s">
        <v>23</v>
      </c>
      <c r="D1629" s="4" t="s">
        <v>24</v>
      </c>
      <c r="E1629" s="4" t="s">
        <v>30</v>
      </c>
      <c r="F1629" s="4" t="s">
        <v>25</v>
      </c>
      <c r="G1629" s="4" t="s">
        <v>25</v>
      </c>
      <c r="H1629" s="4" t="s">
        <v>25</v>
      </c>
      <c r="I1629" s="5">
        <v>44621</v>
      </c>
      <c r="J1629" s="6">
        <v>0</v>
      </c>
      <c r="K1629" s="6">
        <v>0</v>
      </c>
      <c r="L1629" s="6">
        <v>-2.8959999999999999</v>
      </c>
      <c r="M1629" s="6">
        <v>-2.8959999999999999</v>
      </c>
      <c r="N1629" s="6">
        <v>-2.8959999999999999</v>
      </c>
      <c r="O1629" s="6">
        <v>-2.8959999999999999</v>
      </c>
      <c r="P1629" s="6">
        <v>-7</v>
      </c>
      <c r="Q1629" s="4" t="s">
        <v>26</v>
      </c>
      <c r="R1629" s="4">
        <v>0</v>
      </c>
      <c r="S1629" s="4" t="s">
        <v>439</v>
      </c>
      <c r="T1629" s="4" t="s">
        <v>696</v>
      </c>
      <c r="U1629" s="4">
        <v>0</v>
      </c>
      <c r="V1629" s="4">
        <v>6</v>
      </c>
      <c r="W1629" s="4">
        <v>74</v>
      </c>
    </row>
    <row r="1630" spans="1:23" ht="11.25" customHeight="1" x14ac:dyDescent="0.25">
      <c r="A1630" s="4" t="s">
        <v>28</v>
      </c>
      <c r="B1630" s="4" t="s">
        <v>22</v>
      </c>
      <c r="C1630" s="4" t="s">
        <v>23</v>
      </c>
      <c r="D1630" s="4" t="s">
        <v>24</v>
      </c>
      <c r="E1630" s="4" t="s">
        <v>30</v>
      </c>
      <c r="F1630" s="4" t="s">
        <v>25</v>
      </c>
      <c r="G1630" s="4" t="s">
        <v>25</v>
      </c>
      <c r="H1630" s="4" t="s">
        <v>25</v>
      </c>
      <c r="I1630" s="5">
        <v>44621</v>
      </c>
      <c r="J1630" s="6">
        <v>0</v>
      </c>
      <c r="K1630" s="6">
        <v>0</v>
      </c>
      <c r="L1630" s="6">
        <v>18.558</v>
      </c>
      <c r="M1630" s="6">
        <v>18.558</v>
      </c>
      <c r="N1630" s="6">
        <v>18.558</v>
      </c>
      <c r="O1630" s="6">
        <v>18.558</v>
      </c>
      <c r="P1630" s="6">
        <v>51</v>
      </c>
      <c r="Q1630" s="4" t="s">
        <v>26</v>
      </c>
      <c r="R1630" s="4">
        <v>0</v>
      </c>
      <c r="S1630" s="4" t="s">
        <v>439</v>
      </c>
      <c r="T1630" s="4" t="s">
        <v>696</v>
      </c>
      <c r="U1630" s="4">
        <v>0</v>
      </c>
      <c r="V1630" s="4">
        <v>6</v>
      </c>
      <c r="W1630" s="4">
        <v>74</v>
      </c>
    </row>
    <row r="1631" spans="1:23" ht="11.25" customHeight="1" x14ac:dyDescent="0.25">
      <c r="A1631" s="4" t="s">
        <v>21</v>
      </c>
      <c r="B1631" s="4" t="s">
        <v>22</v>
      </c>
      <c r="C1631" s="4" t="s">
        <v>23</v>
      </c>
      <c r="D1631" s="4" t="s">
        <v>24</v>
      </c>
      <c r="E1631" s="4" t="s">
        <v>30</v>
      </c>
      <c r="F1631" s="4" t="s">
        <v>25</v>
      </c>
      <c r="G1631" s="4" t="s">
        <v>25</v>
      </c>
      <c r="H1631" s="4" t="s">
        <v>25</v>
      </c>
      <c r="I1631" s="5">
        <v>44652</v>
      </c>
      <c r="J1631" s="6">
        <v>0</v>
      </c>
      <c r="K1631" s="6">
        <v>0</v>
      </c>
      <c r="L1631" s="6">
        <v>23322.166000000001</v>
      </c>
      <c r="M1631" s="6">
        <v>23322.166000000001</v>
      </c>
      <c r="N1631" s="6">
        <v>23322.166000000001</v>
      </c>
      <c r="O1631" s="6">
        <v>23322.166000000001</v>
      </c>
      <c r="P1631" s="6">
        <v>198096</v>
      </c>
      <c r="Q1631" s="4" t="s">
        <v>26</v>
      </c>
      <c r="R1631" s="4">
        <v>0</v>
      </c>
      <c r="S1631" s="4" t="s">
        <v>440</v>
      </c>
      <c r="T1631" s="4" t="s">
        <v>697</v>
      </c>
      <c r="U1631" s="4">
        <v>0</v>
      </c>
      <c r="V1631" s="4">
        <v>6</v>
      </c>
      <c r="W1631" s="4">
        <v>74</v>
      </c>
    </row>
    <row r="1632" spans="1:23" ht="11.25" customHeight="1" x14ac:dyDescent="0.25">
      <c r="A1632" s="4" t="s">
        <v>27</v>
      </c>
      <c r="B1632" s="4" t="s">
        <v>22</v>
      </c>
      <c r="C1632" s="4" t="s">
        <v>23</v>
      </c>
      <c r="D1632" s="4" t="s">
        <v>24</v>
      </c>
      <c r="E1632" s="4" t="s">
        <v>30</v>
      </c>
      <c r="F1632" s="4" t="s">
        <v>25</v>
      </c>
      <c r="G1632" s="4" t="s">
        <v>25</v>
      </c>
      <c r="H1632" s="4" t="s">
        <v>25</v>
      </c>
      <c r="I1632" s="5">
        <v>44652</v>
      </c>
      <c r="J1632" s="6">
        <v>0</v>
      </c>
      <c r="K1632" s="6">
        <v>0</v>
      </c>
      <c r="L1632" s="6">
        <v>-3.6139999999999999</v>
      </c>
      <c r="M1632" s="6">
        <v>-3.6139999999999999</v>
      </c>
      <c r="N1632" s="6">
        <v>-3.6139999999999999</v>
      </c>
      <c r="O1632" s="6">
        <v>-3.6139999999999999</v>
      </c>
      <c r="P1632" s="6">
        <v>-3</v>
      </c>
      <c r="Q1632" s="4" t="s">
        <v>26</v>
      </c>
      <c r="R1632" s="4">
        <v>0</v>
      </c>
      <c r="S1632" s="4" t="s">
        <v>440</v>
      </c>
      <c r="T1632" s="4" t="s">
        <v>697</v>
      </c>
      <c r="U1632" s="4">
        <v>0</v>
      </c>
      <c r="V1632" s="4">
        <v>6</v>
      </c>
      <c r="W1632" s="4">
        <v>74</v>
      </c>
    </row>
    <row r="1633" spans="1:23" ht="11.25" customHeight="1" x14ac:dyDescent="0.25">
      <c r="A1633" s="4" t="s">
        <v>28</v>
      </c>
      <c r="B1633" s="4" t="s">
        <v>22</v>
      </c>
      <c r="C1633" s="4" t="s">
        <v>23</v>
      </c>
      <c r="D1633" s="4" t="s">
        <v>24</v>
      </c>
      <c r="E1633" s="4" t="s">
        <v>30</v>
      </c>
      <c r="F1633" s="4" t="s">
        <v>25</v>
      </c>
      <c r="G1633" s="4" t="s">
        <v>25</v>
      </c>
      <c r="H1633" s="4" t="s">
        <v>25</v>
      </c>
      <c r="I1633" s="5">
        <v>44652</v>
      </c>
      <c r="J1633" s="6">
        <v>0</v>
      </c>
      <c r="K1633" s="6">
        <v>0</v>
      </c>
      <c r="L1633" s="6">
        <v>18.727</v>
      </c>
      <c r="M1633" s="6">
        <v>18.727</v>
      </c>
      <c r="N1633" s="6">
        <v>18.727</v>
      </c>
      <c r="O1633" s="6">
        <v>18.727</v>
      </c>
      <c r="P1633" s="6">
        <v>68</v>
      </c>
      <c r="Q1633" s="4" t="s">
        <v>26</v>
      </c>
      <c r="R1633" s="4">
        <v>0</v>
      </c>
      <c r="S1633" s="4" t="s">
        <v>440</v>
      </c>
      <c r="T1633" s="4" t="s">
        <v>697</v>
      </c>
      <c r="U1633" s="4">
        <v>0</v>
      </c>
      <c r="V1633" s="4">
        <v>6</v>
      </c>
      <c r="W1633" s="4">
        <v>74</v>
      </c>
    </row>
    <row r="1634" spans="1:23" ht="11.25" customHeight="1" x14ac:dyDescent="0.25">
      <c r="A1634" s="4" t="s">
        <v>21</v>
      </c>
      <c r="B1634" s="4" t="s">
        <v>22</v>
      </c>
      <c r="C1634" s="4" t="s">
        <v>23</v>
      </c>
      <c r="D1634" s="4" t="s">
        <v>24</v>
      </c>
      <c r="E1634" s="4" t="s">
        <v>30</v>
      </c>
      <c r="F1634" s="4" t="s">
        <v>25</v>
      </c>
      <c r="G1634" s="4" t="s">
        <v>25</v>
      </c>
      <c r="H1634" s="4" t="s">
        <v>25</v>
      </c>
      <c r="I1634" s="5">
        <v>44682</v>
      </c>
      <c r="J1634" s="6">
        <v>0</v>
      </c>
      <c r="K1634" s="6">
        <v>0</v>
      </c>
      <c r="L1634" s="6">
        <v>23247.407999999999</v>
      </c>
      <c r="M1634" s="6">
        <v>23247.407999999999</v>
      </c>
      <c r="N1634" s="6">
        <v>23247.407999999999</v>
      </c>
      <c r="O1634" s="6">
        <v>23247.407999999999</v>
      </c>
      <c r="P1634" s="6">
        <v>192837</v>
      </c>
      <c r="Q1634" s="4" t="s">
        <v>26</v>
      </c>
      <c r="R1634" s="4">
        <v>0</v>
      </c>
      <c r="S1634" s="4" t="s">
        <v>441</v>
      </c>
      <c r="T1634" s="4" t="s">
        <v>698</v>
      </c>
      <c r="U1634" s="4">
        <v>0</v>
      </c>
      <c r="V1634" s="4">
        <v>6</v>
      </c>
      <c r="W1634" s="4">
        <v>74</v>
      </c>
    </row>
    <row r="1635" spans="1:23" ht="11.25" customHeight="1" x14ac:dyDescent="0.25">
      <c r="A1635" s="4" t="s">
        <v>27</v>
      </c>
      <c r="B1635" s="4" t="s">
        <v>22</v>
      </c>
      <c r="C1635" s="4" t="s">
        <v>23</v>
      </c>
      <c r="D1635" s="4" t="s">
        <v>24</v>
      </c>
      <c r="E1635" s="4" t="s">
        <v>30</v>
      </c>
      <c r="F1635" s="4" t="s">
        <v>25</v>
      </c>
      <c r="G1635" s="4" t="s">
        <v>25</v>
      </c>
      <c r="H1635" s="4" t="s">
        <v>25</v>
      </c>
      <c r="I1635" s="5">
        <v>44682</v>
      </c>
      <c r="J1635" s="6">
        <v>0</v>
      </c>
      <c r="K1635" s="6">
        <v>0</v>
      </c>
      <c r="L1635" s="6">
        <v>-3.7120000000000002</v>
      </c>
      <c r="M1635" s="6">
        <v>-3.7120000000000002</v>
      </c>
      <c r="N1635" s="6">
        <v>-3.7120000000000002</v>
      </c>
      <c r="O1635" s="6">
        <v>-3.7120000000000002</v>
      </c>
      <c r="P1635" s="6">
        <v>-7</v>
      </c>
      <c r="Q1635" s="4" t="s">
        <v>26</v>
      </c>
      <c r="R1635" s="4">
        <v>0</v>
      </c>
      <c r="S1635" s="4" t="s">
        <v>441</v>
      </c>
      <c r="T1635" s="4" t="s">
        <v>698</v>
      </c>
      <c r="U1635" s="4">
        <v>0</v>
      </c>
      <c r="V1635" s="4">
        <v>6</v>
      </c>
      <c r="W1635" s="4">
        <v>74</v>
      </c>
    </row>
    <row r="1636" spans="1:23" ht="11.25" customHeight="1" x14ac:dyDescent="0.25">
      <c r="A1636" s="4" t="s">
        <v>28</v>
      </c>
      <c r="B1636" s="4" t="s">
        <v>22</v>
      </c>
      <c r="C1636" s="4" t="s">
        <v>23</v>
      </c>
      <c r="D1636" s="4" t="s">
        <v>24</v>
      </c>
      <c r="E1636" s="4" t="s">
        <v>30</v>
      </c>
      <c r="F1636" s="4" t="s">
        <v>25</v>
      </c>
      <c r="G1636" s="4" t="s">
        <v>25</v>
      </c>
      <c r="H1636" s="4" t="s">
        <v>25</v>
      </c>
      <c r="I1636" s="5">
        <v>44682</v>
      </c>
      <c r="J1636" s="6">
        <v>0</v>
      </c>
      <c r="K1636" s="6">
        <v>0</v>
      </c>
      <c r="L1636" s="6">
        <v>18.114999999999998</v>
      </c>
      <c r="M1636" s="6">
        <v>18.114999999999998</v>
      </c>
      <c r="N1636" s="6">
        <v>18.114999999999998</v>
      </c>
      <c r="O1636" s="6">
        <v>18.114999999999998</v>
      </c>
      <c r="P1636" s="6">
        <v>74</v>
      </c>
      <c r="Q1636" s="4" t="s">
        <v>26</v>
      </c>
      <c r="R1636" s="4">
        <v>0</v>
      </c>
      <c r="S1636" s="4" t="s">
        <v>441</v>
      </c>
      <c r="T1636" s="4" t="s">
        <v>698</v>
      </c>
      <c r="U1636" s="4">
        <v>0</v>
      </c>
      <c r="V1636" s="4">
        <v>6</v>
      </c>
      <c r="W1636" s="4">
        <v>74</v>
      </c>
    </row>
    <row r="1637" spans="1:23" ht="11.25" customHeight="1" x14ac:dyDescent="0.25">
      <c r="A1637" s="4" t="s">
        <v>21</v>
      </c>
      <c r="B1637" s="4" t="s">
        <v>22</v>
      </c>
      <c r="C1637" s="4" t="s">
        <v>23</v>
      </c>
      <c r="D1637" s="4" t="s">
        <v>24</v>
      </c>
      <c r="E1637" s="4" t="s">
        <v>30</v>
      </c>
      <c r="F1637" s="4" t="s">
        <v>25</v>
      </c>
      <c r="G1637" s="4" t="s">
        <v>25</v>
      </c>
      <c r="H1637" s="4" t="s">
        <v>25</v>
      </c>
      <c r="I1637" s="5">
        <v>44713</v>
      </c>
      <c r="J1637" s="6">
        <v>0</v>
      </c>
      <c r="K1637" s="6">
        <v>0</v>
      </c>
      <c r="L1637" s="6">
        <v>21458.624</v>
      </c>
      <c r="M1637" s="6">
        <v>21458.624</v>
      </c>
      <c r="N1637" s="6">
        <v>21458.624</v>
      </c>
      <c r="O1637" s="6">
        <v>21458.624</v>
      </c>
      <c r="P1637" s="6">
        <v>231567</v>
      </c>
      <c r="Q1637" s="4" t="s">
        <v>26</v>
      </c>
      <c r="R1637" s="4">
        <v>0</v>
      </c>
      <c r="S1637" s="4" t="s">
        <v>442</v>
      </c>
      <c r="T1637" s="4" t="s">
        <v>699</v>
      </c>
      <c r="U1637" s="4">
        <v>0</v>
      </c>
      <c r="V1637" s="4">
        <v>6</v>
      </c>
      <c r="W1637" s="4">
        <v>74</v>
      </c>
    </row>
    <row r="1638" spans="1:23" ht="11.25" customHeight="1" x14ac:dyDescent="0.25">
      <c r="A1638" s="4" t="s">
        <v>27</v>
      </c>
      <c r="B1638" s="4" t="s">
        <v>22</v>
      </c>
      <c r="C1638" s="4" t="s">
        <v>23</v>
      </c>
      <c r="D1638" s="4" t="s">
        <v>24</v>
      </c>
      <c r="E1638" s="4" t="s">
        <v>30</v>
      </c>
      <c r="F1638" s="4" t="s">
        <v>25</v>
      </c>
      <c r="G1638" s="4" t="s">
        <v>25</v>
      </c>
      <c r="H1638" s="4" t="s">
        <v>25</v>
      </c>
      <c r="I1638" s="5">
        <v>44713</v>
      </c>
      <c r="J1638" s="6">
        <v>0</v>
      </c>
      <c r="K1638" s="6">
        <v>0</v>
      </c>
      <c r="L1638" s="6">
        <v>-3.2170000000000001</v>
      </c>
      <c r="M1638" s="6">
        <v>-3.2170000000000001</v>
      </c>
      <c r="N1638" s="6">
        <v>-3.2170000000000001</v>
      </c>
      <c r="O1638" s="6">
        <v>-3.2170000000000001</v>
      </c>
      <c r="P1638" s="6">
        <v>-8</v>
      </c>
      <c r="Q1638" s="4" t="s">
        <v>26</v>
      </c>
      <c r="R1638" s="4">
        <v>0</v>
      </c>
      <c r="S1638" s="4" t="s">
        <v>442</v>
      </c>
      <c r="T1638" s="4" t="s">
        <v>699</v>
      </c>
      <c r="U1638" s="4">
        <v>0</v>
      </c>
      <c r="V1638" s="4">
        <v>6</v>
      </c>
      <c r="W1638" s="4">
        <v>74</v>
      </c>
    </row>
    <row r="1639" spans="1:23" ht="11.25" customHeight="1" x14ac:dyDescent="0.25">
      <c r="A1639" s="4" t="s">
        <v>28</v>
      </c>
      <c r="B1639" s="4" t="s">
        <v>22</v>
      </c>
      <c r="C1639" s="4" t="s">
        <v>23</v>
      </c>
      <c r="D1639" s="4" t="s">
        <v>24</v>
      </c>
      <c r="E1639" s="4" t="s">
        <v>30</v>
      </c>
      <c r="F1639" s="4" t="s">
        <v>25</v>
      </c>
      <c r="G1639" s="4" t="s">
        <v>25</v>
      </c>
      <c r="H1639" s="4" t="s">
        <v>25</v>
      </c>
      <c r="I1639" s="5">
        <v>44713</v>
      </c>
      <c r="J1639" s="6">
        <v>0</v>
      </c>
      <c r="K1639" s="6">
        <v>0</v>
      </c>
      <c r="L1639" s="6">
        <v>19.669</v>
      </c>
      <c r="M1639" s="6">
        <v>19.669</v>
      </c>
      <c r="N1639" s="6">
        <v>19.669</v>
      </c>
      <c r="O1639" s="6">
        <v>19.669</v>
      </c>
      <c r="P1639" s="6">
        <v>97</v>
      </c>
      <c r="Q1639" s="4" t="s">
        <v>26</v>
      </c>
      <c r="R1639" s="4">
        <v>0</v>
      </c>
      <c r="S1639" s="4" t="s">
        <v>442</v>
      </c>
      <c r="T1639" s="4" t="s">
        <v>699</v>
      </c>
      <c r="U1639" s="4">
        <v>0</v>
      </c>
      <c r="V1639" s="4">
        <v>6</v>
      </c>
      <c r="W1639" s="4">
        <v>74</v>
      </c>
    </row>
    <row r="1640" spans="1:23" ht="11.25" customHeight="1" x14ac:dyDescent="0.25">
      <c r="A1640" s="4" t="s">
        <v>57</v>
      </c>
      <c r="B1640" s="4" t="s">
        <v>22</v>
      </c>
      <c r="C1640" s="4" t="s">
        <v>23</v>
      </c>
      <c r="D1640" s="4" t="s">
        <v>24</v>
      </c>
      <c r="E1640" s="4" t="s">
        <v>30</v>
      </c>
      <c r="F1640" s="4" t="s">
        <v>25</v>
      </c>
      <c r="G1640" s="4" t="s">
        <v>25</v>
      </c>
      <c r="H1640" s="4" t="s">
        <v>25</v>
      </c>
      <c r="I1640" s="5">
        <v>44743</v>
      </c>
      <c r="J1640" s="6">
        <v>0</v>
      </c>
      <c r="K1640" s="6">
        <v>0</v>
      </c>
      <c r="L1640" s="6">
        <v>21458.624</v>
      </c>
      <c r="M1640" s="6">
        <v>21458.624</v>
      </c>
      <c r="N1640" s="6">
        <v>21458.624</v>
      </c>
      <c r="O1640" s="6">
        <v>21458.624</v>
      </c>
      <c r="P1640" s="6">
        <v>231567</v>
      </c>
      <c r="Q1640" s="4" t="s">
        <v>26</v>
      </c>
      <c r="R1640" s="4">
        <v>0</v>
      </c>
      <c r="S1640" s="4" t="s">
        <v>443</v>
      </c>
      <c r="T1640" s="4" t="s">
        <v>700</v>
      </c>
      <c r="U1640" s="4">
        <v>0</v>
      </c>
      <c r="V1640" s="4">
        <v>6</v>
      </c>
      <c r="W1640" s="4">
        <v>74</v>
      </c>
    </row>
    <row r="1641" spans="1:23" ht="11.25" customHeight="1" x14ac:dyDescent="0.25">
      <c r="A1641" s="4" t="s">
        <v>57</v>
      </c>
      <c r="B1641" s="4" t="s">
        <v>22</v>
      </c>
      <c r="C1641" s="4" t="s">
        <v>23</v>
      </c>
      <c r="D1641" s="4" t="s">
        <v>24</v>
      </c>
      <c r="E1641" s="4" t="s">
        <v>30</v>
      </c>
      <c r="F1641" s="4" t="s">
        <v>25</v>
      </c>
      <c r="G1641" s="4" t="s">
        <v>25</v>
      </c>
      <c r="H1641" s="4" t="s">
        <v>25</v>
      </c>
      <c r="I1641" s="5">
        <v>44743</v>
      </c>
      <c r="J1641" s="6">
        <v>0</v>
      </c>
      <c r="K1641" s="6">
        <v>0</v>
      </c>
      <c r="L1641" s="6">
        <v>-3.2170000000000001</v>
      </c>
      <c r="M1641" s="6">
        <v>-3.2170000000000001</v>
      </c>
      <c r="N1641" s="6">
        <v>-3.2170000000000001</v>
      </c>
      <c r="O1641" s="6">
        <v>-3.2170000000000001</v>
      </c>
      <c r="P1641" s="6">
        <v>-8</v>
      </c>
      <c r="Q1641" s="4" t="s">
        <v>26</v>
      </c>
      <c r="R1641" s="4">
        <v>0</v>
      </c>
      <c r="S1641" s="4" t="s">
        <v>443</v>
      </c>
      <c r="T1641" s="4" t="s">
        <v>700</v>
      </c>
      <c r="U1641" s="4">
        <v>0</v>
      </c>
      <c r="V1641" s="4">
        <v>6</v>
      </c>
      <c r="W1641" s="4">
        <v>74</v>
      </c>
    </row>
    <row r="1642" spans="1:23" ht="11.25" customHeight="1" x14ac:dyDescent="0.25">
      <c r="A1642" s="4" t="s">
        <v>57</v>
      </c>
      <c r="B1642" s="4" t="s">
        <v>22</v>
      </c>
      <c r="C1642" s="4" t="s">
        <v>23</v>
      </c>
      <c r="D1642" s="4" t="s">
        <v>24</v>
      </c>
      <c r="E1642" s="4" t="s">
        <v>30</v>
      </c>
      <c r="F1642" s="4" t="s">
        <v>25</v>
      </c>
      <c r="G1642" s="4" t="s">
        <v>25</v>
      </c>
      <c r="H1642" s="4" t="s">
        <v>25</v>
      </c>
      <c r="I1642" s="5">
        <v>44743</v>
      </c>
      <c r="J1642" s="6">
        <v>0</v>
      </c>
      <c r="K1642" s="6">
        <v>0</v>
      </c>
      <c r="L1642" s="6">
        <v>19.669</v>
      </c>
      <c r="M1642" s="6">
        <v>19.669</v>
      </c>
      <c r="N1642" s="6">
        <v>19.669</v>
      </c>
      <c r="O1642" s="6">
        <v>19.669</v>
      </c>
      <c r="P1642" s="6">
        <v>97</v>
      </c>
      <c r="Q1642" s="4" t="s">
        <v>26</v>
      </c>
      <c r="R1642" s="4">
        <v>0</v>
      </c>
      <c r="S1642" s="4" t="s">
        <v>443</v>
      </c>
      <c r="T1642" s="4" t="s">
        <v>700</v>
      </c>
      <c r="U1642" s="4">
        <v>0</v>
      </c>
      <c r="V1642" s="4">
        <v>6</v>
      </c>
      <c r="W1642" s="4">
        <v>74</v>
      </c>
    </row>
    <row r="1643" spans="1:23" ht="11.25" customHeight="1" x14ac:dyDescent="0.25">
      <c r="A1643" s="4" t="s">
        <v>21</v>
      </c>
      <c r="B1643" s="4" t="s">
        <v>22</v>
      </c>
      <c r="C1643" s="4" t="s">
        <v>23</v>
      </c>
      <c r="D1643" s="4" t="s">
        <v>24</v>
      </c>
      <c r="E1643" s="4" t="s">
        <v>31</v>
      </c>
      <c r="F1643" s="4" t="s">
        <v>25</v>
      </c>
      <c r="G1643" s="4" t="s">
        <v>25</v>
      </c>
      <c r="H1643" s="4" t="s">
        <v>25</v>
      </c>
      <c r="I1643" s="5">
        <v>44409</v>
      </c>
      <c r="J1643" s="6">
        <v>0</v>
      </c>
      <c r="K1643" s="6">
        <v>0</v>
      </c>
      <c r="L1643" s="6">
        <v>10356.489</v>
      </c>
      <c r="M1643" s="6">
        <v>10356.489</v>
      </c>
      <c r="N1643" s="6">
        <v>10356.489</v>
      </c>
      <c r="O1643" s="6">
        <v>10356.489</v>
      </c>
      <c r="P1643" s="6">
        <v>163135</v>
      </c>
      <c r="Q1643" s="4" t="s">
        <v>26</v>
      </c>
      <c r="R1643" s="4">
        <v>0</v>
      </c>
      <c r="S1643" s="4" t="s">
        <v>444</v>
      </c>
      <c r="T1643" s="4" t="s">
        <v>701</v>
      </c>
      <c r="U1643" s="4">
        <v>0</v>
      </c>
      <c r="V1643" s="4">
        <v>8</v>
      </c>
      <c r="W1643" s="4">
        <v>75</v>
      </c>
    </row>
    <row r="1644" spans="1:23" ht="11.25" customHeight="1" x14ac:dyDescent="0.25">
      <c r="A1644" s="4" t="s">
        <v>27</v>
      </c>
      <c r="B1644" s="4" t="s">
        <v>22</v>
      </c>
      <c r="C1644" s="4" t="s">
        <v>23</v>
      </c>
      <c r="D1644" s="4" t="s">
        <v>24</v>
      </c>
      <c r="E1644" s="4" t="s">
        <v>31</v>
      </c>
      <c r="F1644" s="4" t="s">
        <v>25</v>
      </c>
      <c r="G1644" s="4" t="s">
        <v>25</v>
      </c>
      <c r="H1644" s="4" t="s">
        <v>25</v>
      </c>
      <c r="I1644" s="5">
        <v>44409</v>
      </c>
      <c r="J1644" s="6">
        <v>0</v>
      </c>
      <c r="K1644" s="6">
        <v>0</v>
      </c>
      <c r="L1644" s="6">
        <v>-2.9860000000000002</v>
      </c>
      <c r="M1644" s="6">
        <v>-2.9860000000000002</v>
      </c>
      <c r="N1644" s="6">
        <v>-2.9860000000000002</v>
      </c>
      <c r="O1644" s="6">
        <v>-2.9860000000000002</v>
      </c>
      <c r="P1644" s="6">
        <v>-31</v>
      </c>
      <c r="Q1644" s="4" t="s">
        <v>26</v>
      </c>
      <c r="R1644" s="4">
        <v>0</v>
      </c>
      <c r="S1644" s="4" t="s">
        <v>444</v>
      </c>
      <c r="T1644" s="4" t="s">
        <v>701</v>
      </c>
      <c r="U1644" s="4">
        <v>0</v>
      </c>
      <c r="V1644" s="4">
        <v>8</v>
      </c>
      <c r="W1644" s="4">
        <v>75</v>
      </c>
    </row>
    <row r="1645" spans="1:23" ht="11.25" customHeight="1" x14ac:dyDescent="0.25">
      <c r="A1645" s="4" t="s">
        <v>28</v>
      </c>
      <c r="B1645" s="4" t="s">
        <v>22</v>
      </c>
      <c r="C1645" s="4" t="s">
        <v>23</v>
      </c>
      <c r="D1645" s="4" t="s">
        <v>24</v>
      </c>
      <c r="E1645" s="4" t="s">
        <v>31</v>
      </c>
      <c r="F1645" s="4" t="s">
        <v>25</v>
      </c>
      <c r="G1645" s="4" t="s">
        <v>25</v>
      </c>
      <c r="H1645" s="4" t="s">
        <v>25</v>
      </c>
      <c r="I1645" s="5">
        <v>44409</v>
      </c>
      <c r="J1645" s="6">
        <v>0</v>
      </c>
      <c r="K1645" s="6">
        <v>0</v>
      </c>
      <c r="L1645" s="6">
        <v>13.97</v>
      </c>
      <c r="M1645" s="6">
        <v>13.97</v>
      </c>
      <c r="N1645" s="6">
        <v>13.97</v>
      </c>
      <c r="O1645" s="6">
        <v>13.97</v>
      </c>
      <c r="P1645" s="6">
        <v>135</v>
      </c>
      <c r="Q1645" s="4" t="s">
        <v>26</v>
      </c>
      <c r="R1645" s="4">
        <v>0</v>
      </c>
      <c r="S1645" s="4" t="s">
        <v>444</v>
      </c>
      <c r="T1645" s="4" t="s">
        <v>701</v>
      </c>
      <c r="U1645" s="4">
        <v>0</v>
      </c>
      <c r="V1645" s="4">
        <v>8</v>
      </c>
      <c r="W1645" s="4">
        <v>75</v>
      </c>
    </row>
    <row r="1646" spans="1:23" ht="11.25" customHeight="1" x14ac:dyDescent="0.25">
      <c r="A1646" s="4" t="s">
        <v>21</v>
      </c>
      <c r="B1646" s="4" t="s">
        <v>22</v>
      </c>
      <c r="C1646" s="4" t="s">
        <v>23</v>
      </c>
      <c r="D1646" s="4" t="s">
        <v>24</v>
      </c>
      <c r="E1646" s="4" t="s">
        <v>31</v>
      </c>
      <c r="F1646" s="4" t="s">
        <v>25</v>
      </c>
      <c r="G1646" s="4" t="s">
        <v>25</v>
      </c>
      <c r="H1646" s="4" t="s">
        <v>25</v>
      </c>
      <c r="I1646" s="5">
        <v>44440</v>
      </c>
      <c r="J1646" s="6">
        <v>0</v>
      </c>
      <c r="K1646" s="6">
        <v>0</v>
      </c>
      <c r="L1646" s="6">
        <v>10094.369000000001</v>
      </c>
      <c r="M1646" s="6">
        <v>10094.369000000001</v>
      </c>
      <c r="N1646" s="6">
        <v>10094.369000000001</v>
      </c>
      <c r="O1646" s="6">
        <v>10094.369000000001</v>
      </c>
      <c r="P1646" s="6">
        <v>159456</v>
      </c>
      <c r="Q1646" s="4" t="s">
        <v>26</v>
      </c>
      <c r="R1646" s="4">
        <v>0</v>
      </c>
      <c r="S1646" s="4" t="s">
        <v>445</v>
      </c>
      <c r="T1646" s="4" t="s">
        <v>702</v>
      </c>
      <c r="U1646" s="4">
        <v>0</v>
      </c>
      <c r="V1646" s="4">
        <v>8</v>
      </c>
      <c r="W1646" s="4">
        <v>75</v>
      </c>
    </row>
    <row r="1647" spans="1:23" ht="11.25" customHeight="1" x14ac:dyDescent="0.25">
      <c r="A1647" s="4" t="s">
        <v>27</v>
      </c>
      <c r="B1647" s="4" t="s">
        <v>22</v>
      </c>
      <c r="C1647" s="4" t="s">
        <v>23</v>
      </c>
      <c r="D1647" s="4" t="s">
        <v>24</v>
      </c>
      <c r="E1647" s="4" t="s">
        <v>31</v>
      </c>
      <c r="F1647" s="4" t="s">
        <v>25</v>
      </c>
      <c r="G1647" s="4" t="s">
        <v>25</v>
      </c>
      <c r="H1647" s="4" t="s">
        <v>25</v>
      </c>
      <c r="I1647" s="5">
        <v>44440</v>
      </c>
      <c r="J1647" s="6">
        <v>0</v>
      </c>
      <c r="K1647" s="6">
        <v>0</v>
      </c>
      <c r="L1647" s="6">
        <v>-4.2089999999999996</v>
      </c>
      <c r="M1647" s="6">
        <v>-4.2089999999999996</v>
      </c>
      <c r="N1647" s="6">
        <v>-4.2089999999999996</v>
      </c>
      <c r="O1647" s="6">
        <v>-4.2089999999999996</v>
      </c>
      <c r="P1647" s="6">
        <v>-27</v>
      </c>
      <c r="Q1647" s="4" t="s">
        <v>26</v>
      </c>
      <c r="R1647" s="4">
        <v>0</v>
      </c>
      <c r="S1647" s="4" t="s">
        <v>445</v>
      </c>
      <c r="T1647" s="4" t="s">
        <v>702</v>
      </c>
      <c r="U1647" s="4">
        <v>0</v>
      </c>
      <c r="V1647" s="4">
        <v>8</v>
      </c>
      <c r="W1647" s="4">
        <v>75</v>
      </c>
    </row>
    <row r="1648" spans="1:23" ht="11.25" customHeight="1" x14ac:dyDescent="0.25">
      <c r="A1648" s="4" t="s">
        <v>28</v>
      </c>
      <c r="B1648" s="4" t="s">
        <v>22</v>
      </c>
      <c r="C1648" s="4" t="s">
        <v>23</v>
      </c>
      <c r="D1648" s="4" t="s">
        <v>24</v>
      </c>
      <c r="E1648" s="4" t="s">
        <v>31</v>
      </c>
      <c r="F1648" s="4" t="s">
        <v>25</v>
      </c>
      <c r="G1648" s="4" t="s">
        <v>25</v>
      </c>
      <c r="H1648" s="4" t="s">
        <v>25</v>
      </c>
      <c r="I1648" s="5">
        <v>44440</v>
      </c>
      <c r="J1648" s="6">
        <v>0</v>
      </c>
      <c r="K1648" s="6">
        <v>0</v>
      </c>
      <c r="L1648" s="6">
        <v>14.861000000000001</v>
      </c>
      <c r="M1648" s="6">
        <v>14.861000000000001</v>
      </c>
      <c r="N1648" s="6">
        <v>14.861000000000001</v>
      </c>
      <c r="O1648" s="6">
        <v>14.861000000000001</v>
      </c>
      <c r="P1648" s="6">
        <v>140</v>
      </c>
      <c r="Q1648" s="4" t="s">
        <v>26</v>
      </c>
      <c r="R1648" s="4">
        <v>0</v>
      </c>
      <c r="S1648" s="4" t="s">
        <v>445</v>
      </c>
      <c r="T1648" s="4" t="s">
        <v>702</v>
      </c>
      <c r="U1648" s="4">
        <v>0</v>
      </c>
      <c r="V1648" s="4">
        <v>8</v>
      </c>
      <c r="W1648" s="4">
        <v>75</v>
      </c>
    </row>
    <row r="1649" spans="1:23" ht="11.25" customHeight="1" x14ac:dyDescent="0.25">
      <c r="A1649" s="4" t="s">
        <v>21</v>
      </c>
      <c r="B1649" s="4" t="s">
        <v>22</v>
      </c>
      <c r="C1649" s="4" t="s">
        <v>23</v>
      </c>
      <c r="D1649" s="4" t="s">
        <v>24</v>
      </c>
      <c r="E1649" s="4" t="s">
        <v>31</v>
      </c>
      <c r="F1649" s="4" t="s">
        <v>25</v>
      </c>
      <c r="G1649" s="4" t="s">
        <v>25</v>
      </c>
      <c r="H1649" s="4" t="s">
        <v>25</v>
      </c>
      <c r="I1649" s="5">
        <v>44470</v>
      </c>
      <c r="J1649" s="6">
        <v>0</v>
      </c>
      <c r="K1649" s="6">
        <v>0</v>
      </c>
      <c r="L1649" s="6">
        <v>11556.401</v>
      </c>
      <c r="M1649" s="6">
        <v>11556.401</v>
      </c>
      <c r="N1649" s="6">
        <v>11556.401</v>
      </c>
      <c r="O1649" s="6">
        <v>11556.401</v>
      </c>
      <c r="P1649" s="6">
        <v>171958</v>
      </c>
      <c r="Q1649" s="4" t="s">
        <v>26</v>
      </c>
      <c r="R1649" s="4">
        <v>0</v>
      </c>
      <c r="S1649" s="4" t="s">
        <v>446</v>
      </c>
      <c r="T1649" s="4" t="s">
        <v>703</v>
      </c>
      <c r="U1649" s="4">
        <v>0</v>
      </c>
      <c r="V1649" s="4">
        <v>8</v>
      </c>
      <c r="W1649" s="4">
        <v>75</v>
      </c>
    </row>
    <row r="1650" spans="1:23" ht="11.25" customHeight="1" x14ac:dyDescent="0.25">
      <c r="A1650" s="4" t="s">
        <v>27</v>
      </c>
      <c r="B1650" s="4" t="s">
        <v>22</v>
      </c>
      <c r="C1650" s="4" t="s">
        <v>23</v>
      </c>
      <c r="D1650" s="4" t="s">
        <v>24</v>
      </c>
      <c r="E1650" s="4" t="s">
        <v>31</v>
      </c>
      <c r="F1650" s="4" t="s">
        <v>25</v>
      </c>
      <c r="G1650" s="4" t="s">
        <v>25</v>
      </c>
      <c r="H1650" s="4" t="s">
        <v>25</v>
      </c>
      <c r="I1650" s="5">
        <v>44470</v>
      </c>
      <c r="J1650" s="6">
        <v>0</v>
      </c>
      <c r="K1650" s="6">
        <v>0</v>
      </c>
      <c r="L1650" s="6">
        <v>-4.7309999999999999</v>
      </c>
      <c r="M1650" s="6">
        <v>-4.7309999999999999</v>
      </c>
      <c r="N1650" s="6">
        <v>-4.7309999999999999</v>
      </c>
      <c r="O1650" s="6">
        <v>-4.7309999999999999</v>
      </c>
      <c r="P1650" s="6">
        <v>-43</v>
      </c>
      <c r="Q1650" s="4" t="s">
        <v>26</v>
      </c>
      <c r="R1650" s="4">
        <v>0</v>
      </c>
      <c r="S1650" s="4" t="s">
        <v>446</v>
      </c>
      <c r="T1650" s="4" t="s">
        <v>703</v>
      </c>
      <c r="U1650" s="4">
        <v>0</v>
      </c>
      <c r="V1650" s="4">
        <v>8</v>
      </c>
      <c r="W1650" s="4">
        <v>75</v>
      </c>
    </row>
    <row r="1651" spans="1:23" ht="11.25" customHeight="1" x14ac:dyDescent="0.25">
      <c r="A1651" s="4" t="s">
        <v>28</v>
      </c>
      <c r="B1651" s="4" t="s">
        <v>22</v>
      </c>
      <c r="C1651" s="4" t="s">
        <v>23</v>
      </c>
      <c r="D1651" s="4" t="s">
        <v>24</v>
      </c>
      <c r="E1651" s="4" t="s">
        <v>31</v>
      </c>
      <c r="F1651" s="4" t="s">
        <v>25</v>
      </c>
      <c r="G1651" s="4" t="s">
        <v>25</v>
      </c>
      <c r="H1651" s="4" t="s">
        <v>25</v>
      </c>
      <c r="I1651" s="5">
        <v>44470</v>
      </c>
      <c r="J1651" s="6">
        <v>0</v>
      </c>
      <c r="K1651" s="6">
        <v>0</v>
      </c>
      <c r="L1651" s="6">
        <v>17.568000000000001</v>
      </c>
      <c r="M1651" s="6">
        <v>17.568000000000001</v>
      </c>
      <c r="N1651" s="6">
        <v>17.568000000000001</v>
      </c>
      <c r="O1651" s="6">
        <v>17.568000000000001</v>
      </c>
      <c r="P1651" s="6">
        <v>145</v>
      </c>
      <c r="Q1651" s="4" t="s">
        <v>26</v>
      </c>
      <c r="R1651" s="4">
        <v>0</v>
      </c>
      <c r="S1651" s="4" t="s">
        <v>446</v>
      </c>
      <c r="T1651" s="4" t="s">
        <v>703</v>
      </c>
      <c r="U1651" s="4">
        <v>0</v>
      </c>
      <c r="V1651" s="4">
        <v>8</v>
      </c>
      <c r="W1651" s="4">
        <v>75</v>
      </c>
    </row>
    <row r="1652" spans="1:23" ht="11.25" customHeight="1" x14ac:dyDescent="0.25">
      <c r="A1652" s="4" t="s">
        <v>21</v>
      </c>
      <c r="B1652" s="4" t="s">
        <v>22</v>
      </c>
      <c r="C1652" s="4" t="s">
        <v>23</v>
      </c>
      <c r="D1652" s="4" t="s">
        <v>24</v>
      </c>
      <c r="E1652" s="4" t="s">
        <v>31</v>
      </c>
      <c r="F1652" s="4" t="s">
        <v>25</v>
      </c>
      <c r="G1652" s="4" t="s">
        <v>25</v>
      </c>
      <c r="H1652" s="4" t="s">
        <v>25</v>
      </c>
      <c r="I1652" s="5">
        <v>44501</v>
      </c>
      <c r="J1652" s="6">
        <v>0</v>
      </c>
      <c r="K1652" s="6">
        <v>0</v>
      </c>
      <c r="L1652" s="6">
        <v>11665.414000000001</v>
      </c>
      <c r="M1652" s="6">
        <v>11665.414000000001</v>
      </c>
      <c r="N1652" s="6">
        <v>11665.414000000001</v>
      </c>
      <c r="O1652" s="6">
        <v>11665.414000000001</v>
      </c>
      <c r="P1652" s="6">
        <v>172032</v>
      </c>
      <c r="Q1652" s="4" t="s">
        <v>26</v>
      </c>
      <c r="R1652" s="4">
        <v>0</v>
      </c>
      <c r="S1652" s="4" t="s">
        <v>447</v>
      </c>
      <c r="T1652" s="4" t="s">
        <v>704</v>
      </c>
      <c r="U1652" s="4">
        <v>0</v>
      </c>
      <c r="V1652" s="4">
        <v>8</v>
      </c>
      <c r="W1652" s="4">
        <v>75</v>
      </c>
    </row>
    <row r="1653" spans="1:23" ht="11.25" customHeight="1" x14ac:dyDescent="0.25">
      <c r="A1653" s="4" t="s">
        <v>27</v>
      </c>
      <c r="B1653" s="4" t="s">
        <v>22</v>
      </c>
      <c r="C1653" s="4" t="s">
        <v>23</v>
      </c>
      <c r="D1653" s="4" t="s">
        <v>24</v>
      </c>
      <c r="E1653" s="4" t="s">
        <v>31</v>
      </c>
      <c r="F1653" s="4" t="s">
        <v>25</v>
      </c>
      <c r="G1653" s="4" t="s">
        <v>25</v>
      </c>
      <c r="H1653" s="4" t="s">
        <v>25</v>
      </c>
      <c r="I1653" s="5">
        <v>44501</v>
      </c>
      <c r="J1653" s="6">
        <v>0</v>
      </c>
      <c r="K1653" s="6">
        <v>0</v>
      </c>
      <c r="L1653" s="6">
        <v>-4.0759999999999996</v>
      </c>
      <c r="M1653" s="6">
        <v>-4.0759999999999996</v>
      </c>
      <c r="N1653" s="6">
        <v>-4.0759999999999996</v>
      </c>
      <c r="O1653" s="6">
        <v>-4.0759999999999996</v>
      </c>
      <c r="P1653" s="6">
        <v>-26</v>
      </c>
      <c r="Q1653" s="4" t="s">
        <v>26</v>
      </c>
      <c r="R1653" s="4">
        <v>0</v>
      </c>
      <c r="S1653" s="4" t="s">
        <v>447</v>
      </c>
      <c r="T1653" s="4" t="s">
        <v>704</v>
      </c>
      <c r="U1653" s="4">
        <v>0</v>
      </c>
      <c r="V1653" s="4">
        <v>8</v>
      </c>
      <c r="W1653" s="4">
        <v>75</v>
      </c>
    </row>
    <row r="1654" spans="1:23" ht="11.25" customHeight="1" x14ac:dyDescent="0.25">
      <c r="A1654" s="4" t="s">
        <v>28</v>
      </c>
      <c r="B1654" s="4" t="s">
        <v>22</v>
      </c>
      <c r="C1654" s="4" t="s">
        <v>23</v>
      </c>
      <c r="D1654" s="4" t="s">
        <v>24</v>
      </c>
      <c r="E1654" s="4" t="s">
        <v>31</v>
      </c>
      <c r="F1654" s="4" t="s">
        <v>25</v>
      </c>
      <c r="G1654" s="4" t="s">
        <v>25</v>
      </c>
      <c r="H1654" s="4" t="s">
        <v>25</v>
      </c>
      <c r="I1654" s="5">
        <v>44501</v>
      </c>
      <c r="J1654" s="6">
        <v>0</v>
      </c>
      <c r="K1654" s="6">
        <v>0</v>
      </c>
      <c r="L1654" s="6">
        <v>17.651</v>
      </c>
      <c r="M1654" s="6">
        <v>17.651</v>
      </c>
      <c r="N1654" s="6">
        <v>17.651</v>
      </c>
      <c r="O1654" s="6">
        <v>17.651</v>
      </c>
      <c r="P1654" s="6">
        <v>149</v>
      </c>
      <c r="Q1654" s="4" t="s">
        <v>26</v>
      </c>
      <c r="R1654" s="4">
        <v>0</v>
      </c>
      <c r="S1654" s="4" t="s">
        <v>447</v>
      </c>
      <c r="T1654" s="4" t="s">
        <v>704</v>
      </c>
      <c r="U1654" s="4">
        <v>0</v>
      </c>
      <c r="V1654" s="4">
        <v>8</v>
      </c>
      <c r="W1654" s="4">
        <v>75</v>
      </c>
    </row>
    <row r="1655" spans="1:23" ht="11.25" customHeight="1" x14ac:dyDescent="0.25">
      <c r="A1655" s="4" t="s">
        <v>21</v>
      </c>
      <c r="B1655" s="4" t="s">
        <v>22</v>
      </c>
      <c r="C1655" s="4" t="s">
        <v>23</v>
      </c>
      <c r="D1655" s="4" t="s">
        <v>24</v>
      </c>
      <c r="E1655" s="4" t="s">
        <v>31</v>
      </c>
      <c r="F1655" s="4" t="s">
        <v>25</v>
      </c>
      <c r="G1655" s="4" t="s">
        <v>25</v>
      </c>
      <c r="H1655" s="4" t="s">
        <v>25</v>
      </c>
      <c r="I1655" s="5">
        <v>44531</v>
      </c>
      <c r="J1655" s="6">
        <v>0</v>
      </c>
      <c r="K1655" s="6">
        <v>0</v>
      </c>
      <c r="L1655" s="6">
        <v>14346.074000000001</v>
      </c>
      <c r="M1655" s="6">
        <v>14346.074000000001</v>
      </c>
      <c r="N1655" s="6">
        <v>14346.074000000001</v>
      </c>
      <c r="O1655" s="6">
        <v>14346.074000000001</v>
      </c>
      <c r="P1655" s="6">
        <v>189972</v>
      </c>
      <c r="Q1655" s="4" t="s">
        <v>26</v>
      </c>
      <c r="R1655" s="4">
        <v>0</v>
      </c>
      <c r="S1655" s="4" t="s">
        <v>448</v>
      </c>
      <c r="T1655" s="4" t="s">
        <v>705</v>
      </c>
      <c r="U1655" s="4">
        <v>0</v>
      </c>
      <c r="V1655" s="4">
        <v>8</v>
      </c>
      <c r="W1655" s="4">
        <v>75</v>
      </c>
    </row>
    <row r="1656" spans="1:23" ht="11.25" customHeight="1" x14ac:dyDescent="0.25">
      <c r="A1656" s="4" t="s">
        <v>27</v>
      </c>
      <c r="B1656" s="4" t="s">
        <v>22</v>
      </c>
      <c r="C1656" s="4" t="s">
        <v>23</v>
      </c>
      <c r="D1656" s="4" t="s">
        <v>24</v>
      </c>
      <c r="E1656" s="4" t="s">
        <v>31</v>
      </c>
      <c r="F1656" s="4" t="s">
        <v>25</v>
      </c>
      <c r="G1656" s="4" t="s">
        <v>25</v>
      </c>
      <c r="H1656" s="4" t="s">
        <v>25</v>
      </c>
      <c r="I1656" s="5">
        <v>44531</v>
      </c>
      <c r="J1656" s="6">
        <v>0</v>
      </c>
      <c r="K1656" s="6">
        <v>0</v>
      </c>
      <c r="L1656" s="6">
        <v>-3.3580000000000001</v>
      </c>
      <c r="M1656" s="6">
        <v>-3.3580000000000001</v>
      </c>
      <c r="N1656" s="6">
        <v>-3.3580000000000001</v>
      </c>
      <c r="O1656" s="6">
        <v>-3.3580000000000001</v>
      </c>
      <c r="P1656" s="6">
        <v>-17</v>
      </c>
      <c r="Q1656" s="4" t="s">
        <v>26</v>
      </c>
      <c r="R1656" s="4">
        <v>0</v>
      </c>
      <c r="S1656" s="4" t="s">
        <v>448</v>
      </c>
      <c r="T1656" s="4" t="s">
        <v>705</v>
      </c>
      <c r="U1656" s="4">
        <v>0</v>
      </c>
      <c r="V1656" s="4">
        <v>8</v>
      </c>
      <c r="W1656" s="4">
        <v>75</v>
      </c>
    </row>
    <row r="1657" spans="1:23" ht="11.25" customHeight="1" x14ac:dyDescent="0.25">
      <c r="A1657" s="4" t="s">
        <v>28</v>
      </c>
      <c r="B1657" s="4" t="s">
        <v>22</v>
      </c>
      <c r="C1657" s="4" t="s">
        <v>23</v>
      </c>
      <c r="D1657" s="4" t="s">
        <v>24</v>
      </c>
      <c r="E1657" s="4" t="s">
        <v>31</v>
      </c>
      <c r="F1657" s="4" t="s">
        <v>25</v>
      </c>
      <c r="G1657" s="4" t="s">
        <v>25</v>
      </c>
      <c r="H1657" s="4" t="s">
        <v>25</v>
      </c>
      <c r="I1657" s="5">
        <v>44531</v>
      </c>
      <c r="J1657" s="6">
        <v>0</v>
      </c>
      <c r="K1657" s="6">
        <v>0</v>
      </c>
      <c r="L1657" s="6">
        <v>24.507999999999999</v>
      </c>
      <c r="M1657" s="6">
        <v>24.507999999999999</v>
      </c>
      <c r="N1657" s="6">
        <v>24.507999999999999</v>
      </c>
      <c r="O1657" s="6">
        <v>24.507999999999999</v>
      </c>
      <c r="P1657" s="6">
        <v>132</v>
      </c>
      <c r="Q1657" s="4" t="s">
        <v>26</v>
      </c>
      <c r="R1657" s="4">
        <v>0</v>
      </c>
      <c r="S1657" s="4" t="s">
        <v>448</v>
      </c>
      <c r="T1657" s="4" t="s">
        <v>705</v>
      </c>
      <c r="U1657" s="4">
        <v>0</v>
      </c>
      <c r="V1657" s="4">
        <v>8</v>
      </c>
      <c r="W1657" s="4">
        <v>75</v>
      </c>
    </row>
    <row r="1658" spans="1:23" ht="11.25" customHeight="1" x14ac:dyDescent="0.25">
      <c r="A1658" s="4" t="s">
        <v>21</v>
      </c>
      <c r="B1658" s="4" t="s">
        <v>22</v>
      </c>
      <c r="C1658" s="4" t="s">
        <v>23</v>
      </c>
      <c r="D1658" s="4" t="s">
        <v>24</v>
      </c>
      <c r="E1658" s="4" t="s">
        <v>31</v>
      </c>
      <c r="F1658" s="4" t="s">
        <v>25</v>
      </c>
      <c r="G1658" s="4" t="s">
        <v>25</v>
      </c>
      <c r="H1658" s="4" t="s">
        <v>25</v>
      </c>
      <c r="I1658" s="5">
        <v>44562</v>
      </c>
      <c r="J1658" s="6">
        <v>0</v>
      </c>
      <c r="K1658" s="6">
        <v>0</v>
      </c>
      <c r="L1658" s="6">
        <v>12718.638000000001</v>
      </c>
      <c r="M1658" s="6">
        <v>12718.638000000001</v>
      </c>
      <c r="N1658" s="6">
        <v>12718.638000000001</v>
      </c>
      <c r="O1658" s="6">
        <v>12718.638000000001</v>
      </c>
      <c r="P1658" s="6">
        <v>179781</v>
      </c>
      <c r="Q1658" s="4" t="s">
        <v>26</v>
      </c>
      <c r="R1658" s="4">
        <v>0</v>
      </c>
      <c r="S1658" s="4" t="s">
        <v>449</v>
      </c>
      <c r="T1658" s="4" t="s">
        <v>706</v>
      </c>
      <c r="U1658" s="4">
        <v>0</v>
      </c>
      <c r="V1658" s="4">
        <v>8</v>
      </c>
      <c r="W1658" s="4">
        <v>75</v>
      </c>
    </row>
    <row r="1659" spans="1:23" ht="11.25" customHeight="1" x14ac:dyDescent="0.25">
      <c r="A1659" s="4" t="s">
        <v>27</v>
      </c>
      <c r="B1659" s="4" t="s">
        <v>22</v>
      </c>
      <c r="C1659" s="4" t="s">
        <v>23</v>
      </c>
      <c r="D1659" s="4" t="s">
        <v>24</v>
      </c>
      <c r="E1659" s="4" t="s">
        <v>31</v>
      </c>
      <c r="F1659" s="4" t="s">
        <v>25</v>
      </c>
      <c r="G1659" s="4" t="s">
        <v>25</v>
      </c>
      <c r="H1659" s="4" t="s">
        <v>25</v>
      </c>
      <c r="I1659" s="5">
        <v>44562</v>
      </c>
      <c r="J1659" s="6">
        <v>0</v>
      </c>
      <c r="K1659" s="6">
        <v>0</v>
      </c>
      <c r="L1659" s="6">
        <v>-3.8540000000000001</v>
      </c>
      <c r="M1659" s="6">
        <v>-3.8540000000000001</v>
      </c>
      <c r="N1659" s="6">
        <v>-3.8540000000000001</v>
      </c>
      <c r="O1659" s="6">
        <v>-3.8540000000000001</v>
      </c>
      <c r="P1659" s="6">
        <v>-25</v>
      </c>
      <c r="Q1659" s="4" t="s">
        <v>26</v>
      </c>
      <c r="R1659" s="4">
        <v>0</v>
      </c>
      <c r="S1659" s="4" t="s">
        <v>449</v>
      </c>
      <c r="T1659" s="4" t="s">
        <v>706</v>
      </c>
      <c r="U1659" s="4">
        <v>0</v>
      </c>
      <c r="V1659" s="4">
        <v>8</v>
      </c>
      <c r="W1659" s="4">
        <v>75</v>
      </c>
    </row>
    <row r="1660" spans="1:23" ht="11.25" customHeight="1" x14ac:dyDescent="0.25">
      <c r="A1660" s="4" t="s">
        <v>28</v>
      </c>
      <c r="B1660" s="4" t="s">
        <v>22</v>
      </c>
      <c r="C1660" s="4" t="s">
        <v>23</v>
      </c>
      <c r="D1660" s="4" t="s">
        <v>24</v>
      </c>
      <c r="E1660" s="4" t="s">
        <v>31</v>
      </c>
      <c r="F1660" s="4" t="s">
        <v>25</v>
      </c>
      <c r="G1660" s="4" t="s">
        <v>25</v>
      </c>
      <c r="H1660" s="4" t="s">
        <v>25</v>
      </c>
      <c r="I1660" s="5">
        <v>44562</v>
      </c>
      <c r="J1660" s="6">
        <v>0</v>
      </c>
      <c r="K1660" s="6">
        <v>0</v>
      </c>
      <c r="L1660" s="6">
        <v>22.459</v>
      </c>
      <c r="M1660" s="6">
        <v>22.459</v>
      </c>
      <c r="N1660" s="6">
        <v>22.459</v>
      </c>
      <c r="O1660" s="6">
        <v>22.459</v>
      </c>
      <c r="P1660" s="6">
        <v>177</v>
      </c>
      <c r="Q1660" s="4" t="s">
        <v>26</v>
      </c>
      <c r="R1660" s="4">
        <v>0</v>
      </c>
      <c r="S1660" s="4" t="s">
        <v>449</v>
      </c>
      <c r="T1660" s="4" t="s">
        <v>706</v>
      </c>
      <c r="U1660" s="4">
        <v>0</v>
      </c>
      <c r="V1660" s="4">
        <v>8</v>
      </c>
      <c r="W1660" s="4">
        <v>75</v>
      </c>
    </row>
    <row r="1661" spans="1:23" ht="11.25" customHeight="1" x14ac:dyDescent="0.25">
      <c r="A1661" s="4" t="s">
        <v>28</v>
      </c>
      <c r="B1661" s="4" t="s">
        <v>22</v>
      </c>
      <c r="C1661" s="4" t="s">
        <v>23</v>
      </c>
      <c r="D1661" s="4" t="s">
        <v>24</v>
      </c>
      <c r="E1661" s="4" t="s">
        <v>31</v>
      </c>
      <c r="F1661" s="4" t="s">
        <v>25</v>
      </c>
      <c r="G1661" s="4" t="s">
        <v>25</v>
      </c>
      <c r="H1661" s="4" t="s">
        <v>25</v>
      </c>
      <c r="I1661" s="5">
        <v>44562</v>
      </c>
      <c r="J1661" s="6">
        <v>0</v>
      </c>
      <c r="K1661" s="6">
        <v>0</v>
      </c>
      <c r="L1661" s="6">
        <v>-0.12</v>
      </c>
      <c r="M1661" s="6">
        <v>-0.12</v>
      </c>
      <c r="N1661" s="6">
        <v>-0.12</v>
      </c>
      <c r="O1661" s="6">
        <v>-0.12</v>
      </c>
      <c r="P1661" s="6">
        <v>0</v>
      </c>
      <c r="Q1661" s="4" t="s">
        <v>26</v>
      </c>
      <c r="R1661" s="4">
        <v>0</v>
      </c>
      <c r="S1661" s="4" t="s">
        <v>449</v>
      </c>
      <c r="T1661" s="4" t="s">
        <v>706</v>
      </c>
      <c r="U1661" s="4">
        <v>0</v>
      </c>
      <c r="V1661" s="4">
        <v>8</v>
      </c>
      <c r="W1661" s="4">
        <v>75</v>
      </c>
    </row>
    <row r="1662" spans="1:23" ht="11.25" customHeight="1" x14ac:dyDescent="0.25">
      <c r="A1662" s="4" t="s">
        <v>21</v>
      </c>
      <c r="B1662" s="4" t="s">
        <v>22</v>
      </c>
      <c r="C1662" s="4" t="s">
        <v>23</v>
      </c>
      <c r="D1662" s="4" t="s">
        <v>24</v>
      </c>
      <c r="E1662" s="4" t="s">
        <v>31</v>
      </c>
      <c r="F1662" s="4" t="s">
        <v>25</v>
      </c>
      <c r="G1662" s="4" t="s">
        <v>25</v>
      </c>
      <c r="H1662" s="4" t="s">
        <v>25</v>
      </c>
      <c r="I1662" s="5">
        <v>44593</v>
      </c>
      <c r="J1662" s="6">
        <v>0</v>
      </c>
      <c r="K1662" s="6">
        <v>0</v>
      </c>
      <c r="L1662" s="6">
        <v>11096.271000000001</v>
      </c>
      <c r="M1662" s="6">
        <v>11096.271000000001</v>
      </c>
      <c r="N1662" s="6">
        <v>11096.271000000001</v>
      </c>
      <c r="O1662" s="6">
        <v>11096.271000000001</v>
      </c>
      <c r="P1662" s="6">
        <v>170419</v>
      </c>
      <c r="Q1662" s="4" t="s">
        <v>26</v>
      </c>
      <c r="R1662" s="4">
        <v>0</v>
      </c>
      <c r="S1662" s="4" t="s">
        <v>450</v>
      </c>
      <c r="T1662" s="4" t="s">
        <v>707</v>
      </c>
      <c r="U1662" s="4">
        <v>0</v>
      </c>
      <c r="V1662" s="4">
        <v>8</v>
      </c>
      <c r="W1662" s="4">
        <v>75</v>
      </c>
    </row>
    <row r="1663" spans="1:23" ht="11.25" customHeight="1" x14ac:dyDescent="0.25">
      <c r="A1663" s="4" t="s">
        <v>27</v>
      </c>
      <c r="B1663" s="4" t="s">
        <v>22</v>
      </c>
      <c r="C1663" s="4" t="s">
        <v>23</v>
      </c>
      <c r="D1663" s="4" t="s">
        <v>24</v>
      </c>
      <c r="E1663" s="4" t="s">
        <v>31</v>
      </c>
      <c r="F1663" s="4" t="s">
        <v>25</v>
      </c>
      <c r="G1663" s="4" t="s">
        <v>25</v>
      </c>
      <c r="H1663" s="4" t="s">
        <v>25</v>
      </c>
      <c r="I1663" s="5">
        <v>44593</v>
      </c>
      <c r="J1663" s="6">
        <v>0</v>
      </c>
      <c r="K1663" s="6">
        <v>0</v>
      </c>
      <c r="L1663" s="6">
        <v>-5.6360000000000001</v>
      </c>
      <c r="M1663" s="6">
        <v>-5.6360000000000001</v>
      </c>
      <c r="N1663" s="6">
        <v>-5.6360000000000001</v>
      </c>
      <c r="O1663" s="6">
        <v>-5.6360000000000001</v>
      </c>
      <c r="P1663" s="6">
        <v>-38</v>
      </c>
      <c r="Q1663" s="4" t="s">
        <v>26</v>
      </c>
      <c r="R1663" s="4">
        <v>0</v>
      </c>
      <c r="S1663" s="4" t="s">
        <v>450</v>
      </c>
      <c r="T1663" s="4" t="s">
        <v>707</v>
      </c>
      <c r="U1663" s="4">
        <v>0</v>
      </c>
      <c r="V1663" s="4">
        <v>8</v>
      </c>
      <c r="W1663" s="4">
        <v>75</v>
      </c>
    </row>
    <row r="1664" spans="1:23" ht="11.25" customHeight="1" x14ac:dyDescent="0.25">
      <c r="A1664" s="4" t="s">
        <v>28</v>
      </c>
      <c r="B1664" s="4" t="s">
        <v>22</v>
      </c>
      <c r="C1664" s="4" t="s">
        <v>23</v>
      </c>
      <c r="D1664" s="4" t="s">
        <v>24</v>
      </c>
      <c r="E1664" s="4" t="s">
        <v>31</v>
      </c>
      <c r="F1664" s="4" t="s">
        <v>25</v>
      </c>
      <c r="G1664" s="4" t="s">
        <v>25</v>
      </c>
      <c r="H1664" s="4" t="s">
        <v>25</v>
      </c>
      <c r="I1664" s="5">
        <v>44593</v>
      </c>
      <c r="J1664" s="6">
        <v>0</v>
      </c>
      <c r="K1664" s="6">
        <v>0</v>
      </c>
      <c r="L1664" s="6">
        <v>22.652000000000001</v>
      </c>
      <c r="M1664" s="6">
        <v>22.652000000000001</v>
      </c>
      <c r="N1664" s="6">
        <v>22.652000000000001</v>
      </c>
      <c r="O1664" s="6">
        <v>22.652000000000001</v>
      </c>
      <c r="P1664" s="6">
        <v>212</v>
      </c>
      <c r="Q1664" s="4" t="s">
        <v>26</v>
      </c>
      <c r="R1664" s="4">
        <v>0</v>
      </c>
      <c r="S1664" s="4" t="s">
        <v>450</v>
      </c>
      <c r="T1664" s="4" t="s">
        <v>707</v>
      </c>
      <c r="U1664" s="4">
        <v>0</v>
      </c>
      <c r="V1664" s="4">
        <v>8</v>
      </c>
      <c r="W1664" s="4">
        <v>75</v>
      </c>
    </row>
    <row r="1665" spans="1:23" ht="11.25" customHeight="1" x14ac:dyDescent="0.25">
      <c r="A1665" s="4" t="s">
        <v>21</v>
      </c>
      <c r="B1665" s="4" t="s">
        <v>22</v>
      </c>
      <c r="C1665" s="4" t="s">
        <v>23</v>
      </c>
      <c r="D1665" s="4" t="s">
        <v>24</v>
      </c>
      <c r="E1665" s="4" t="s">
        <v>31</v>
      </c>
      <c r="F1665" s="4" t="s">
        <v>25</v>
      </c>
      <c r="G1665" s="4" t="s">
        <v>25</v>
      </c>
      <c r="H1665" s="4" t="s">
        <v>25</v>
      </c>
      <c r="I1665" s="5">
        <v>44621</v>
      </c>
      <c r="J1665" s="6">
        <v>0</v>
      </c>
      <c r="K1665" s="6">
        <v>0</v>
      </c>
      <c r="L1665" s="6">
        <v>14632.08</v>
      </c>
      <c r="M1665" s="6">
        <v>14632.08</v>
      </c>
      <c r="N1665" s="6">
        <v>14632.08</v>
      </c>
      <c r="O1665" s="6">
        <v>14632.08</v>
      </c>
      <c r="P1665" s="6">
        <v>195747</v>
      </c>
      <c r="Q1665" s="4" t="s">
        <v>26</v>
      </c>
      <c r="R1665" s="4">
        <v>0</v>
      </c>
      <c r="S1665" s="4" t="s">
        <v>451</v>
      </c>
      <c r="T1665" s="4" t="s">
        <v>708</v>
      </c>
      <c r="U1665" s="4">
        <v>0</v>
      </c>
      <c r="V1665" s="4">
        <v>8</v>
      </c>
      <c r="W1665" s="4">
        <v>75</v>
      </c>
    </row>
    <row r="1666" spans="1:23" ht="11.25" customHeight="1" x14ac:dyDescent="0.25">
      <c r="A1666" s="4" t="s">
        <v>27</v>
      </c>
      <c r="B1666" s="4" t="s">
        <v>22</v>
      </c>
      <c r="C1666" s="4" t="s">
        <v>23</v>
      </c>
      <c r="D1666" s="4" t="s">
        <v>24</v>
      </c>
      <c r="E1666" s="4" t="s">
        <v>31</v>
      </c>
      <c r="F1666" s="4" t="s">
        <v>25</v>
      </c>
      <c r="G1666" s="4" t="s">
        <v>25</v>
      </c>
      <c r="H1666" s="4" t="s">
        <v>25</v>
      </c>
      <c r="I1666" s="5">
        <v>44621</v>
      </c>
      <c r="J1666" s="6">
        <v>0</v>
      </c>
      <c r="K1666" s="6">
        <v>0</v>
      </c>
      <c r="L1666" s="6">
        <v>-3.121</v>
      </c>
      <c r="M1666" s="6">
        <v>-3.121</v>
      </c>
      <c r="N1666" s="6">
        <v>-3.121</v>
      </c>
      <c r="O1666" s="6">
        <v>-3.121</v>
      </c>
      <c r="P1666" s="6">
        <v>-20</v>
      </c>
      <c r="Q1666" s="4" t="s">
        <v>26</v>
      </c>
      <c r="R1666" s="4">
        <v>0</v>
      </c>
      <c r="S1666" s="4" t="s">
        <v>451</v>
      </c>
      <c r="T1666" s="4" t="s">
        <v>708</v>
      </c>
      <c r="U1666" s="4">
        <v>0</v>
      </c>
      <c r="V1666" s="4">
        <v>8</v>
      </c>
      <c r="W1666" s="4">
        <v>75</v>
      </c>
    </row>
    <row r="1667" spans="1:23" ht="11.25" customHeight="1" x14ac:dyDescent="0.25">
      <c r="A1667" s="4" t="s">
        <v>28</v>
      </c>
      <c r="B1667" s="4" t="s">
        <v>22</v>
      </c>
      <c r="C1667" s="4" t="s">
        <v>23</v>
      </c>
      <c r="D1667" s="4" t="s">
        <v>24</v>
      </c>
      <c r="E1667" s="4" t="s">
        <v>31</v>
      </c>
      <c r="F1667" s="4" t="s">
        <v>25</v>
      </c>
      <c r="G1667" s="4" t="s">
        <v>25</v>
      </c>
      <c r="H1667" s="4" t="s">
        <v>25</v>
      </c>
      <c r="I1667" s="5">
        <v>44621</v>
      </c>
      <c r="J1667" s="6">
        <v>0</v>
      </c>
      <c r="K1667" s="6">
        <v>0</v>
      </c>
      <c r="L1667" s="6">
        <v>22.757999999999999</v>
      </c>
      <c r="M1667" s="6">
        <v>22.757999999999999</v>
      </c>
      <c r="N1667" s="6">
        <v>22.757999999999999</v>
      </c>
      <c r="O1667" s="6">
        <v>22.757999999999999</v>
      </c>
      <c r="P1667" s="6">
        <v>203</v>
      </c>
      <c r="Q1667" s="4" t="s">
        <v>26</v>
      </c>
      <c r="R1667" s="4">
        <v>0</v>
      </c>
      <c r="S1667" s="4" t="s">
        <v>451</v>
      </c>
      <c r="T1667" s="4" t="s">
        <v>708</v>
      </c>
      <c r="U1667" s="4">
        <v>0</v>
      </c>
      <c r="V1667" s="4">
        <v>8</v>
      </c>
      <c r="W1667" s="4">
        <v>75</v>
      </c>
    </row>
    <row r="1668" spans="1:23" ht="11.25" customHeight="1" x14ac:dyDescent="0.25">
      <c r="A1668" s="4" t="s">
        <v>21</v>
      </c>
      <c r="B1668" s="4" t="s">
        <v>22</v>
      </c>
      <c r="C1668" s="4" t="s">
        <v>23</v>
      </c>
      <c r="D1668" s="4" t="s">
        <v>24</v>
      </c>
      <c r="E1668" s="4" t="s">
        <v>31</v>
      </c>
      <c r="F1668" s="4" t="s">
        <v>25</v>
      </c>
      <c r="G1668" s="4" t="s">
        <v>25</v>
      </c>
      <c r="H1668" s="4" t="s">
        <v>25</v>
      </c>
      <c r="I1668" s="5">
        <v>44652</v>
      </c>
      <c r="J1668" s="6">
        <v>0</v>
      </c>
      <c r="K1668" s="6">
        <v>0</v>
      </c>
      <c r="L1668" s="6">
        <v>12747.907999999999</v>
      </c>
      <c r="M1668" s="6">
        <v>12747.907999999999</v>
      </c>
      <c r="N1668" s="6">
        <v>12747.907999999999</v>
      </c>
      <c r="O1668" s="6">
        <v>12747.907999999999</v>
      </c>
      <c r="P1668" s="6">
        <v>185685</v>
      </c>
      <c r="Q1668" s="4" t="s">
        <v>26</v>
      </c>
      <c r="R1668" s="4">
        <v>0</v>
      </c>
      <c r="S1668" s="4" t="s">
        <v>452</v>
      </c>
      <c r="T1668" s="4" t="s">
        <v>709</v>
      </c>
      <c r="U1668" s="4">
        <v>0</v>
      </c>
      <c r="V1668" s="4">
        <v>8</v>
      </c>
      <c r="W1668" s="4">
        <v>75</v>
      </c>
    </row>
    <row r="1669" spans="1:23" ht="11.25" customHeight="1" x14ac:dyDescent="0.25">
      <c r="A1669" s="4" t="s">
        <v>27</v>
      </c>
      <c r="B1669" s="4" t="s">
        <v>22</v>
      </c>
      <c r="C1669" s="4" t="s">
        <v>23</v>
      </c>
      <c r="D1669" s="4" t="s">
        <v>24</v>
      </c>
      <c r="E1669" s="4" t="s">
        <v>31</v>
      </c>
      <c r="F1669" s="4" t="s">
        <v>25</v>
      </c>
      <c r="G1669" s="4" t="s">
        <v>25</v>
      </c>
      <c r="H1669" s="4" t="s">
        <v>25</v>
      </c>
      <c r="I1669" s="5">
        <v>44652</v>
      </c>
      <c r="J1669" s="6">
        <v>0</v>
      </c>
      <c r="K1669" s="6">
        <v>0</v>
      </c>
      <c r="L1669" s="6">
        <v>-3.931</v>
      </c>
      <c r="M1669" s="6">
        <v>-3.931</v>
      </c>
      <c r="N1669" s="6">
        <v>-3.931</v>
      </c>
      <c r="O1669" s="6">
        <v>-3.931</v>
      </c>
      <c r="P1669" s="6">
        <v>-32</v>
      </c>
      <c r="Q1669" s="4" t="s">
        <v>26</v>
      </c>
      <c r="R1669" s="4">
        <v>0</v>
      </c>
      <c r="S1669" s="4" t="s">
        <v>452</v>
      </c>
      <c r="T1669" s="4" t="s">
        <v>709</v>
      </c>
      <c r="U1669" s="4">
        <v>0</v>
      </c>
      <c r="V1669" s="4">
        <v>8</v>
      </c>
      <c r="W1669" s="4">
        <v>75</v>
      </c>
    </row>
    <row r="1670" spans="1:23" ht="11.25" customHeight="1" x14ac:dyDescent="0.25">
      <c r="A1670" s="4" t="s">
        <v>28</v>
      </c>
      <c r="B1670" s="4" t="s">
        <v>22</v>
      </c>
      <c r="C1670" s="4" t="s">
        <v>23</v>
      </c>
      <c r="D1670" s="4" t="s">
        <v>24</v>
      </c>
      <c r="E1670" s="4" t="s">
        <v>31</v>
      </c>
      <c r="F1670" s="4" t="s">
        <v>25</v>
      </c>
      <c r="G1670" s="4" t="s">
        <v>25</v>
      </c>
      <c r="H1670" s="4" t="s">
        <v>25</v>
      </c>
      <c r="I1670" s="5">
        <v>44652</v>
      </c>
      <c r="J1670" s="6">
        <v>0</v>
      </c>
      <c r="K1670" s="6">
        <v>0</v>
      </c>
      <c r="L1670" s="6">
        <v>22.352</v>
      </c>
      <c r="M1670" s="6">
        <v>22.352</v>
      </c>
      <c r="N1670" s="6">
        <v>22.352</v>
      </c>
      <c r="O1670" s="6">
        <v>22.352</v>
      </c>
      <c r="P1670" s="6">
        <v>237</v>
      </c>
      <c r="Q1670" s="4" t="s">
        <v>26</v>
      </c>
      <c r="R1670" s="4">
        <v>0</v>
      </c>
      <c r="S1670" s="4" t="s">
        <v>452</v>
      </c>
      <c r="T1670" s="4" t="s">
        <v>709</v>
      </c>
      <c r="U1670" s="4">
        <v>0</v>
      </c>
      <c r="V1670" s="4">
        <v>8</v>
      </c>
      <c r="W1670" s="4">
        <v>75</v>
      </c>
    </row>
    <row r="1671" spans="1:23" ht="11.25" customHeight="1" x14ac:dyDescent="0.25">
      <c r="A1671" s="4" t="s">
        <v>21</v>
      </c>
      <c r="B1671" s="4" t="s">
        <v>22</v>
      </c>
      <c r="C1671" s="4" t="s">
        <v>23</v>
      </c>
      <c r="D1671" s="4" t="s">
        <v>24</v>
      </c>
      <c r="E1671" s="4" t="s">
        <v>31</v>
      </c>
      <c r="F1671" s="4" t="s">
        <v>25</v>
      </c>
      <c r="G1671" s="4" t="s">
        <v>25</v>
      </c>
      <c r="H1671" s="4" t="s">
        <v>25</v>
      </c>
      <c r="I1671" s="5">
        <v>44682</v>
      </c>
      <c r="J1671" s="6">
        <v>0</v>
      </c>
      <c r="K1671" s="6">
        <v>0</v>
      </c>
      <c r="L1671" s="6">
        <v>12753.152</v>
      </c>
      <c r="M1671" s="6">
        <v>12753.152</v>
      </c>
      <c r="N1671" s="6">
        <v>12753.152</v>
      </c>
      <c r="O1671" s="6">
        <v>12753.152</v>
      </c>
      <c r="P1671" s="6">
        <v>183851</v>
      </c>
      <c r="Q1671" s="4" t="s">
        <v>26</v>
      </c>
      <c r="R1671" s="4">
        <v>0</v>
      </c>
      <c r="S1671" s="4" t="s">
        <v>453</v>
      </c>
      <c r="T1671" s="4" t="s">
        <v>710</v>
      </c>
      <c r="U1671" s="4">
        <v>0</v>
      </c>
      <c r="V1671" s="4">
        <v>8</v>
      </c>
      <c r="W1671" s="4">
        <v>75</v>
      </c>
    </row>
    <row r="1672" spans="1:23" ht="11.25" customHeight="1" x14ac:dyDescent="0.25">
      <c r="A1672" s="4" t="s">
        <v>27</v>
      </c>
      <c r="B1672" s="4" t="s">
        <v>22</v>
      </c>
      <c r="C1672" s="4" t="s">
        <v>23</v>
      </c>
      <c r="D1672" s="4" t="s">
        <v>24</v>
      </c>
      <c r="E1672" s="4" t="s">
        <v>31</v>
      </c>
      <c r="F1672" s="4" t="s">
        <v>25</v>
      </c>
      <c r="G1672" s="4" t="s">
        <v>25</v>
      </c>
      <c r="H1672" s="4" t="s">
        <v>25</v>
      </c>
      <c r="I1672" s="5">
        <v>44682</v>
      </c>
      <c r="J1672" s="6">
        <v>0</v>
      </c>
      <c r="K1672" s="6">
        <v>0</v>
      </c>
      <c r="L1672" s="6">
        <v>-4.3570000000000002</v>
      </c>
      <c r="M1672" s="6">
        <v>-4.3570000000000002</v>
      </c>
      <c r="N1672" s="6">
        <v>-4.3570000000000002</v>
      </c>
      <c r="O1672" s="6">
        <v>-4.3570000000000002</v>
      </c>
      <c r="P1672" s="6">
        <v>-22</v>
      </c>
      <c r="Q1672" s="4" t="s">
        <v>26</v>
      </c>
      <c r="R1672" s="4">
        <v>0</v>
      </c>
      <c r="S1672" s="4" t="s">
        <v>453</v>
      </c>
      <c r="T1672" s="4" t="s">
        <v>710</v>
      </c>
      <c r="U1672" s="4">
        <v>0</v>
      </c>
      <c r="V1672" s="4">
        <v>8</v>
      </c>
      <c r="W1672" s="4">
        <v>75</v>
      </c>
    </row>
    <row r="1673" spans="1:23" ht="11.25" customHeight="1" x14ac:dyDescent="0.25">
      <c r="A1673" s="4" t="s">
        <v>28</v>
      </c>
      <c r="B1673" s="4" t="s">
        <v>22</v>
      </c>
      <c r="C1673" s="4" t="s">
        <v>23</v>
      </c>
      <c r="D1673" s="4" t="s">
        <v>24</v>
      </c>
      <c r="E1673" s="4" t="s">
        <v>31</v>
      </c>
      <c r="F1673" s="4" t="s">
        <v>25</v>
      </c>
      <c r="G1673" s="4" t="s">
        <v>25</v>
      </c>
      <c r="H1673" s="4" t="s">
        <v>25</v>
      </c>
      <c r="I1673" s="5">
        <v>44682</v>
      </c>
      <c r="J1673" s="6">
        <v>0</v>
      </c>
      <c r="K1673" s="6">
        <v>0</v>
      </c>
      <c r="L1673" s="6">
        <v>21.106999999999999</v>
      </c>
      <c r="M1673" s="6">
        <v>21.106999999999999</v>
      </c>
      <c r="N1673" s="6">
        <v>21.106999999999999</v>
      </c>
      <c r="O1673" s="6">
        <v>21.106999999999999</v>
      </c>
      <c r="P1673" s="6">
        <v>214</v>
      </c>
      <c r="Q1673" s="4" t="s">
        <v>26</v>
      </c>
      <c r="R1673" s="4">
        <v>0</v>
      </c>
      <c r="S1673" s="4" t="s">
        <v>453</v>
      </c>
      <c r="T1673" s="4" t="s">
        <v>710</v>
      </c>
      <c r="U1673" s="4">
        <v>0</v>
      </c>
      <c r="V1673" s="4">
        <v>8</v>
      </c>
      <c r="W1673" s="4">
        <v>75</v>
      </c>
    </row>
    <row r="1674" spans="1:23" ht="11.25" customHeight="1" x14ac:dyDescent="0.25">
      <c r="A1674" s="4" t="s">
        <v>21</v>
      </c>
      <c r="B1674" s="4" t="s">
        <v>22</v>
      </c>
      <c r="C1674" s="4" t="s">
        <v>23</v>
      </c>
      <c r="D1674" s="4" t="s">
        <v>24</v>
      </c>
      <c r="E1674" s="4" t="s">
        <v>31</v>
      </c>
      <c r="F1674" s="4" t="s">
        <v>25</v>
      </c>
      <c r="G1674" s="4" t="s">
        <v>25</v>
      </c>
      <c r="H1674" s="4" t="s">
        <v>25</v>
      </c>
      <c r="I1674" s="5">
        <v>44713</v>
      </c>
      <c r="J1674" s="6">
        <v>0</v>
      </c>
      <c r="K1674" s="6">
        <v>0</v>
      </c>
      <c r="L1674" s="6">
        <v>9310.4619999999995</v>
      </c>
      <c r="M1674" s="6">
        <v>9310.4619999999995</v>
      </c>
      <c r="N1674" s="6">
        <v>9310.4619999999995</v>
      </c>
      <c r="O1674" s="6">
        <v>9310.4619999999995</v>
      </c>
      <c r="P1674" s="6">
        <v>158404</v>
      </c>
      <c r="Q1674" s="4" t="s">
        <v>26</v>
      </c>
      <c r="R1674" s="4">
        <v>0</v>
      </c>
      <c r="S1674" s="4" t="s">
        <v>454</v>
      </c>
      <c r="T1674" s="4" t="s">
        <v>711</v>
      </c>
      <c r="U1674" s="4">
        <v>0</v>
      </c>
      <c r="V1674" s="4">
        <v>8</v>
      </c>
      <c r="W1674" s="4">
        <v>75</v>
      </c>
    </row>
    <row r="1675" spans="1:23" ht="11.25" customHeight="1" x14ac:dyDescent="0.25">
      <c r="A1675" s="4" t="s">
        <v>27</v>
      </c>
      <c r="B1675" s="4" t="s">
        <v>22</v>
      </c>
      <c r="C1675" s="4" t="s">
        <v>23</v>
      </c>
      <c r="D1675" s="4" t="s">
        <v>24</v>
      </c>
      <c r="E1675" s="4" t="s">
        <v>31</v>
      </c>
      <c r="F1675" s="4" t="s">
        <v>25</v>
      </c>
      <c r="G1675" s="4" t="s">
        <v>25</v>
      </c>
      <c r="H1675" s="4" t="s">
        <v>25</v>
      </c>
      <c r="I1675" s="5">
        <v>44713</v>
      </c>
      <c r="J1675" s="6">
        <v>0</v>
      </c>
      <c r="K1675" s="6">
        <v>0</v>
      </c>
      <c r="L1675" s="6">
        <v>-3.7389999999999999</v>
      </c>
      <c r="M1675" s="6">
        <v>-3.7389999999999999</v>
      </c>
      <c r="N1675" s="6">
        <v>-3.7389999999999999</v>
      </c>
      <c r="O1675" s="6">
        <v>-3.7389999999999999</v>
      </c>
      <c r="P1675" s="6">
        <v>-15</v>
      </c>
      <c r="Q1675" s="4" t="s">
        <v>26</v>
      </c>
      <c r="R1675" s="4">
        <v>0</v>
      </c>
      <c r="S1675" s="4" t="s">
        <v>454</v>
      </c>
      <c r="T1675" s="4" t="s">
        <v>711</v>
      </c>
      <c r="U1675" s="4">
        <v>0</v>
      </c>
      <c r="V1675" s="4">
        <v>8</v>
      </c>
      <c r="W1675" s="4">
        <v>75</v>
      </c>
    </row>
    <row r="1676" spans="1:23" ht="11.25" customHeight="1" x14ac:dyDescent="0.25">
      <c r="A1676" s="4" t="s">
        <v>28</v>
      </c>
      <c r="B1676" s="4" t="s">
        <v>22</v>
      </c>
      <c r="C1676" s="4" t="s">
        <v>23</v>
      </c>
      <c r="D1676" s="4" t="s">
        <v>24</v>
      </c>
      <c r="E1676" s="4" t="s">
        <v>31</v>
      </c>
      <c r="F1676" s="4" t="s">
        <v>25</v>
      </c>
      <c r="G1676" s="4" t="s">
        <v>25</v>
      </c>
      <c r="H1676" s="4" t="s">
        <v>25</v>
      </c>
      <c r="I1676" s="5">
        <v>44713</v>
      </c>
      <c r="J1676" s="6">
        <v>0</v>
      </c>
      <c r="K1676" s="6">
        <v>0</v>
      </c>
      <c r="L1676" s="6">
        <v>23.605</v>
      </c>
      <c r="M1676" s="6">
        <v>23.605</v>
      </c>
      <c r="N1676" s="6">
        <v>23.605</v>
      </c>
      <c r="O1676" s="6">
        <v>23.605</v>
      </c>
      <c r="P1676" s="6">
        <v>338</v>
      </c>
      <c r="Q1676" s="4" t="s">
        <v>26</v>
      </c>
      <c r="R1676" s="4">
        <v>0</v>
      </c>
      <c r="S1676" s="4" t="s">
        <v>454</v>
      </c>
      <c r="T1676" s="4" t="s">
        <v>711</v>
      </c>
      <c r="U1676" s="4">
        <v>0</v>
      </c>
      <c r="V1676" s="4">
        <v>8</v>
      </c>
      <c r="W1676" s="4">
        <v>75</v>
      </c>
    </row>
    <row r="1677" spans="1:23" ht="11.25" customHeight="1" x14ac:dyDescent="0.25">
      <c r="A1677" s="4" t="s">
        <v>57</v>
      </c>
      <c r="B1677" s="4" t="s">
        <v>22</v>
      </c>
      <c r="C1677" s="4" t="s">
        <v>23</v>
      </c>
      <c r="D1677" s="4" t="s">
        <v>24</v>
      </c>
      <c r="E1677" s="4" t="s">
        <v>31</v>
      </c>
      <c r="F1677" s="4" t="s">
        <v>25</v>
      </c>
      <c r="G1677" s="4" t="s">
        <v>25</v>
      </c>
      <c r="H1677" s="4" t="s">
        <v>25</v>
      </c>
      <c r="I1677" s="5">
        <v>44743</v>
      </c>
      <c r="J1677" s="6">
        <v>0</v>
      </c>
      <c r="K1677" s="6">
        <v>0</v>
      </c>
      <c r="L1677" s="6">
        <v>9310.4619999999995</v>
      </c>
      <c r="M1677" s="6">
        <v>9310.4619999999995</v>
      </c>
      <c r="N1677" s="6">
        <v>9310.4619999999995</v>
      </c>
      <c r="O1677" s="6">
        <v>9310.4619999999995</v>
      </c>
      <c r="P1677" s="6">
        <v>158404</v>
      </c>
      <c r="Q1677" s="4" t="s">
        <v>26</v>
      </c>
      <c r="R1677" s="4">
        <v>0</v>
      </c>
      <c r="S1677" s="4" t="s">
        <v>455</v>
      </c>
      <c r="T1677" s="4" t="s">
        <v>712</v>
      </c>
      <c r="U1677" s="4">
        <v>0</v>
      </c>
      <c r="V1677" s="4">
        <v>8</v>
      </c>
      <c r="W1677" s="4">
        <v>75</v>
      </c>
    </row>
    <row r="1678" spans="1:23" ht="11.25" customHeight="1" x14ac:dyDescent="0.25">
      <c r="A1678" s="4" t="s">
        <v>57</v>
      </c>
      <c r="B1678" s="4" t="s">
        <v>22</v>
      </c>
      <c r="C1678" s="4" t="s">
        <v>23</v>
      </c>
      <c r="D1678" s="4" t="s">
        <v>24</v>
      </c>
      <c r="E1678" s="4" t="s">
        <v>31</v>
      </c>
      <c r="F1678" s="4" t="s">
        <v>25</v>
      </c>
      <c r="G1678" s="4" t="s">
        <v>25</v>
      </c>
      <c r="H1678" s="4" t="s">
        <v>25</v>
      </c>
      <c r="I1678" s="5">
        <v>44743</v>
      </c>
      <c r="J1678" s="6">
        <v>0</v>
      </c>
      <c r="K1678" s="6">
        <v>0</v>
      </c>
      <c r="L1678" s="6">
        <v>-3.7389999999999999</v>
      </c>
      <c r="M1678" s="6">
        <v>-3.7389999999999999</v>
      </c>
      <c r="N1678" s="6">
        <v>-3.7389999999999999</v>
      </c>
      <c r="O1678" s="6">
        <v>-3.7389999999999999</v>
      </c>
      <c r="P1678" s="6">
        <v>-15</v>
      </c>
      <c r="Q1678" s="4" t="s">
        <v>26</v>
      </c>
      <c r="R1678" s="4">
        <v>0</v>
      </c>
      <c r="S1678" s="4" t="s">
        <v>455</v>
      </c>
      <c r="T1678" s="4" t="s">
        <v>712</v>
      </c>
      <c r="U1678" s="4">
        <v>0</v>
      </c>
      <c r="V1678" s="4">
        <v>8</v>
      </c>
      <c r="W1678" s="4">
        <v>75</v>
      </c>
    </row>
    <row r="1679" spans="1:23" ht="11.25" customHeight="1" x14ac:dyDescent="0.25">
      <c r="A1679" s="4" t="s">
        <v>57</v>
      </c>
      <c r="B1679" s="4" t="s">
        <v>22</v>
      </c>
      <c r="C1679" s="4" t="s">
        <v>23</v>
      </c>
      <c r="D1679" s="4" t="s">
        <v>24</v>
      </c>
      <c r="E1679" s="4" t="s">
        <v>31</v>
      </c>
      <c r="F1679" s="4" t="s">
        <v>25</v>
      </c>
      <c r="G1679" s="4" t="s">
        <v>25</v>
      </c>
      <c r="H1679" s="4" t="s">
        <v>25</v>
      </c>
      <c r="I1679" s="5">
        <v>44743</v>
      </c>
      <c r="J1679" s="6">
        <v>0</v>
      </c>
      <c r="K1679" s="6">
        <v>0</v>
      </c>
      <c r="L1679" s="6">
        <v>23.605</v>
      </c>
      <c r="M1679" s="6">
        <v>23.605</v>
      </c>
      <c r="N1679" s="6">
        <v>23.605</v>
      </c>
      <c r="O1679" s="6">
        <v>23.605</v>
      </c>
      <c r="P1679" s="6">
        <v>338</v>
      </c>
      <c r="Q1679" s="4" t="s">
        <v>26</v>
      </c>
      <c r="R1679" s="4">
        <v>0</v>
      </c>
      <c r="S1679" s="4" t="s">
        <v>455</v>
      </c>
      <c r="T1679" s="4" t="s">
        <v>712</v>
      </c>
      <c r="U1679" s="4">
        <v>0</v>
      </c>
      <c r="V1679" s="4">
        <v>8</v>
      </c>
      <c r="W1679" s="4">
        <v>75</v>
      </c>
    </row>
    <row r="1680" spans="1:23" ht="11.25" customHeight="1" x14ac:dyDescent="0.25">
      <c r="A1680" s="4" t="s">
        <v>21</v>
      </c>
      <c r="B1680" s="4" t="s">
        <v>22</v>
      </c>
      <c r="C1680" s="4" t="s">
        <v>23</v>
      </c>
      <c r="D1680" s="4" t="s">
        <v>24</v>
      </c>
      <c r="E1680" s="4" t="s">
        <v>32</v>
      </c>
      <c r="F1680" s="4" t="s">
        <v>25</v>
      </c>
      <c r="G1680" s="4" t="s">
        <v>25</v>
      </c>
      <c r="H1680" s="4" t="s">
        <v>25</v>
      </c>
      <c r="I1680" s="5">
        <v>44409</v>
      </c>
      <c r="J1680" s="6">
        <v>0</v>
      </c>
      <c r="K1680" s="6">
        <v>0</v>
      </c>
      <c r="L1680" s="6">
        <v>2540.3440000000001</v>
      </c>
      <c r="M1680" s="6">
        <v>2540.3440000000001</v>
      </c>
      <c r="N1680" s="6">
        <v>2540.3440000000001</v>
      </c>
      <c r="O1680" s="6">
        <v>2540.3440000000001</v>
      </c>
      <c r="P1680" s="6">
        <v>28194</v>
      </c>
      <c r="Q1680" s="4" t="s">
        <v>26</v>
      </c>
      <c r="R1680" s="4">
        <v>0</v>
      </c>
      <c r="S1680" s="4" t="s">
        <v>456</v>
      </c>
      <c r="T1680" s="4" t="s">
        <v>713</v>
      </c>
      <c r="U1680" s="4">
        <v>0</v>
      </c>
      <c r="V1680" s="4">
        <v>10</v>
      </c>
      <c r="W1680" s="4">
        <v>76</v>
      </c>
    </row>
    <row r="1681" spans="1:23" ht="11.25" customHeight="1" x14ac:dyDescent="0.25">
      <c r="A1681" s="4" t="s">
        <v>27</v>
      </c>
      <c r="B1681" s="4" t="s">
        <v>22</v>
      </c>
      <c r="C1681" s="4" t="s">
        <v>23</v>
      </c>
      <c r="D1681" s="4" t="s">
        <v>24</v>
      </c>
      <c r="E1681" s="4" t="s">
        <v>32</v>
      </c>
      <c r="F1681" s="4" t="s">
        <v>25</v>
      </c>
      <c r="G1681" s="4" t="s">
        <v>25</v>
      </c>
      <c r="H1681" s="4" t="s">
        <v>25</v>
      </c>
      <c r="I1681" s="5">
        <v>44409</v>
      </c>
      <c r="J1681" s="6">
        <v>0</v>
      </c>
      <c r="K1681" s="6">
        <v>0</v>
      </c>
      <c r="L1681" s="6">
        <v>-13.037000000000001</v>
      </c>
      <c r="M1681" s="6">
        <v>-13.037000000000001</v>
      </c>
      <c r="N1681" s="6">
        <v>-13.037000000000001</v>
      </c>
      <c r="O1681" s="6">
        <v>-13.037000000000001</v>
      </c>
      <c r="P1681" s="6">
        <v>-12</v>
      </c>
      <c r="Q1681" s="4" t="s">
        <v>26</v>
      </c>
      <c r="R1681" s="4">
        <v>0</v>
      </c>
      <c r="S1681" s="4" t="s">
        <v>456</v>
      </c>
      <c r="T1681" s="4" t="s">
        <v>713</v>
      </c>
      <c r="U1681" s="4">
        <v>0</v>
      </c>
      <c r="V1681" s="4">
        <v>10</v>
      </c>
      <c r="W1681" s="4">
        <v>76</v>
      </c>
    </row>
    <row r="1682" spans="1:23" ht="11.25" customHeight="1" x14ac:dyDescent="0.25">
      <c r="A1682" s="4" t="s">
        <v>28</v>
      </c>
      <c r="B1682" s="4" t="s">
        <v>22</v>
      </c>
      <c r="C1682" s="4" t="s">
        <v>23</v>
      </c>
      <c r="D1682" s="4" t="s">
        <v>24</v>
      </c>
      <c r="E1682" s="4" t="s">
        <v>32</v>
      </c>
      <c r="F1682" s="4" t="s">
        <v>25</v>
      </c>
      <c r="G1682" s="4" t="s">
        <v>25</v>
      </c>
      <c r="H1682" s="4" t="s">
        <v>25</v>
      </c>
      <c r="I1682" s="5">
        <v>44409</v>
      </c>
      <c r="J1682" s="6">
        <v>0</v>
      </c>
      <c r="K1682" s="6">
        <v>0</v>
      </c>
      <c r="L1682" s="6">
        <v>44.537999999999997</v>
      </c>
      <c r="M1682" s="6">
        <v>44.537999999999997</v>
      </c>
      <c r="N1682" s="6">
        <v>44.537999999999997</v>
      </c>
      <c r="O1682" s="6">
        <v>44.537999999999997</v>
      </c>
      <c r="P1682" s="6">
        <v>304</v>
      </c>
      <c r="Q1682" s="4" t="s">
        <v>26</v>
      </c>
      <c r="R1682" s="4">
        <v>0</v>
      </c>
      <c r="S1682" s="4" t="s">
        <v>456</v>
      </c>
      <c r="T1682" s="4" t="s">
        <v>713</v>
      </c>
      <c r="U1682" s="4">
        <v>0</v>
      </c>
      <c r="V1682" s="4">
        <v>10</v>
      </c>
      <c r="W1682" s="4">
        <v>76</v>
      </c>
    </row>
    <row r="1683" spans="1:23" ht="11.25" customHeight="1" x14ac:dyDescent="0.25">
      <c r="A1683" s="4" t="s">
        <v>21</v>
      </c>
      <c r="B1683" s="4" t="s">
        <v>22</v>
      </c>
      <c r="C1683" s="4" t="s">
        <v>23</v>
      </c>
      <c r="D1683" s="4" t="s">
        <v>24</v>
      </c>
      <c r="E1683" s="4" t="s">
        <v>32</v>
      </c>
      <c r="F1683" s="4" t="s">
        <v>25</v>
      </c>
      <c r="G1683" s="4" t="s">
        <v>25</v>
      </c>
      <c r="H1683" s="4" t="s">
        <v>25</v>
      </c>
      <c r="I1683" s="5">
        <v>44440</v>
      </c>
      <c r="J1683" s="6">
        <v>0</v>
      </c>
      <c r="K1683" s="6">
        <v>0</v>
      </c>
      <c r="L1683" s="6">
        <v>2572.3429999999998</v>
      </c>
      <c r="M1683" s="6">
        <v>2572.3429999999998</v>
      </c>
      <c r="N1683" s="6">
        <v>2572.3429999999998</v>
      </c>
      <c r="O1683" s="6">
        <v>2572.3429999999998</v>
      </c>
      <c r="P1683" s="6">
        <v>27882</v>
      </c>
      <c r="Q1683" s="4" t="s">
        <v>26</v>
      </c>
      <c r="R1683" s="4">
        <v>0</v>
      </c>
      <c r="S1683" s="4" t="s">
        <v>457</v>
      </c>
      <c r="T1683" s="4" t="s">
        <v>714</v>
      </c>
      <c r="U1683" s="4">
        <v>0</v>
      </c>
      <c r="V1683" s="4">
        <v>10</v>
      </c>
      <c r="W1683" s="4">
        <v>76</v>
      </c>
    </row>
    <row r="1684" spans="1:23" ht="11.25" customHeight="1" x14ac:dyDescent="0.25">
      <c r="A1684" s="4" t="s">
        <v>27</v>
      </c>
      <c r="B1684" s="4" t="s">
        <v>22</v>
      </c>
      <c r="C1684" s="4" t="s">
        <v>23</v>
      </c>
      <c r="D1684" s="4" t="s">
        <v>24</v>
      </c>
      <c r="E1684" s="4" t="s">
        <v>32</v>
      </c>
      <c r="F1684" s="4" t="s">
        <v>25</v>
      </c>
      <c r="G1684" s="4" t="s">
        <v>25</v>
      </c>
      <c r="H1684" s="4" t="s">
        <v>25</v>
      </c>
      <c r="I1684" s="5">
        <v>44440</v>
      </c>
      <c r="J1684" s="6">
        <v>0</v>
      </c>
      <c r="K1684" s="6">
        <v>0</v>
      </c>
      <c r="L1684" s="6">
        <v>-14.095000000000001</v>
      </c>
      <c r="M1684" s="6">
        <v>-14.095000000000001</v>
      </c>
      <c r="N1684" s="6">
        <v>-14.095000000000001</v>
      </c>
      <c r="O1684" s="6">
        <v>-14.095000000000001</v>
      </c>
      <c r="P1684" s="6">
        <v>-22</v>
      </c>
      <c r="Q1684" s="4" t="s">
        <v>26</v>
      </c>
      <c r="R1684" s="4">
        <v>0</v>
      </c>
      <c r="S1684" s="4" t="s">
        <v>457</v>
      </c>
      <c r="T1684" s="4" t="s">
        <v>714</v>
      </c>
      <c r="U1684" s="4">
        <v>0</v>
      </c>
      <c r="V1684" s="4">
        <v>10</v>
      </c>
      <c r="W1684" s="4">
        <v>76</v>
      </c>
    </row>
    <row r="1685" spans="1:23" ht="11.25" customHeight="1" x14ac:dyDescent="0.25">
      <c r="A1685" s="4" t="s">
        <v>28</v>
      </c>
      <c r="B1685" s="4" t="s">
        <v>22</v>
      </c>
      <c r="C1685" s="4" t="s">
        <v>23</v>
      </c>
      <c r="D1685" s="4" t="s">
        <v>24</v>
      </c>
      <c r="E1685" s="4" t="s">
        <v>32</v>
      </c>
      <c r="F1685" s="4" t="s">
        <v>25</v>
      </c>
      <c r="G1685" s="4" t="s">
        <v>25</v>
      </c>
      <c r="H1685" s="4" t="s">
        <v>25</v>
      </c>
      <c r="I1685" s="5">
        <v>44440</v>
      </c>
      <c r="J1685" s="6">
        <v>0</v>
      </c>
      <c r="K1685" s="6">
        <v>0</v>
      </c>
      <c r="L1685" s="6">
        <v>48.887999999999998</v>
      </c>
      <c r="M1685" s="6">
        <v>48.887999999999998</v>
      </c>
      <c r="N1685" s="6">
        <v>48.887999999999998</v>
      </c>
      <c r="O1685" s="6">
        <v>48.887999999999998</v>
      </c>
      <c r="P1685" s="6">
        <v>335</v>
      </c>
      <c r="Q1685" s="4" t="s">
        <v>26</v>
      </c>
      <c r="R1685" s="4">
        <v>0</v>
      </c>
      <c r="S1685" s="4" t="s">
        <v>457</v>
      </c>
      <c r="T1685" s="4" t="s">
        <v>714</v>
      </c>
      <c r="U1685" s="4">
        <v>0</v>
      </c>
      <c r="V1685" s="4">
        <v>10</v>
      </c>
      <c r="W1685" s="4">
        <v>76</v>
      </c>
    </row>
    <row r="1686" spans="1:23" ht="11.25" customHeight="1" x14ac:dyDescent="0.25">
      <c r="A1686" s="4" t="s">
        <v>21</v>
      </c>
      <c r="B1686" s="4" t="s">
        <v>22</v>
      </c>
      <c r="C1686" s="4" t="s">
        <v>23</v>
      </c>
      <c r="D1686" s="4" t="s">
        <v>24</v>
      </c>
      <c r="E1686" s="4" t="s">
        <v>32</v>
      </c>
      <c r="F1686" s="4" t="s">
        <v>25</v>
      </c>
      <c r="G1686" s="4" t="s">
        <v>25</v>
      </c>
      <c r="H1686" s="4" t="s">
        <v>25</v>
      </c>
      <c r="I1686" s="5">
        <v>44470</v>
      </c>
      <c r="J1686" s="6">
        <v>0</v>
      </c>
      <c r="K1686" s="6">
        <v>0</v>
      </c>
      <c r="L1686" s="6">
        <v>3295.3270000000002</v>
      </c>
      <c r="M1686" s="6">
        <v>3295.3270000000002</v>
      </c>
      <c r="N1686" s="6">
        <v>3295.3270000000002</v>
      </c>
      <c r="O1686" s="6">
        <v>3295.3270000000002</v>
      </c>
      <c r="P1686" s="6">
        <v>34370</v>
      </c>
      <c r="Q1686" s="4" t="s">
        <v>26</v>
      </c>
      <c r="R1686" s="4">
        <v>0</v>
      </c>
      <c r="S1686" s="4" t="s">
        <v>458</v>
      </c>
      <c r="T1686" s="4" t="s">
        <v>715</v>
      </c>
      <c r="U1686" s="4">
        <v>0</v>
      </c>
      <c r="V1686" s="4">
        <v>10</v>
      </c>
      <c r="W1686" s="4">
        <v>76</v>
      </c>
    </row>
    <row r="1687" spans="1:23" ht="11.25" customHeight="1" x14ac:dyDescent="0.25">
      <c r="A1687" s="4" t="s">
        <v>27</v>
      </c>
      <c r="B1687" s="4" t="s">
        <v>22</v>
      </c>
      <c r="C1687" s="4" t="s">
        <v>23</v>
      </c>
      <c r="D1687" s="4" t="s">
        <v>24</v>
      </c>
      <c r="E1687" s="4" t="s">
        <v>32</v>
      </c>
      <c r="F1687" s="4" t="s">
        <v>25</v>
      </c>
      <c r="G1687" s="4" t="s">
        <v>25</v>
      </c>
      <c r="H1687" s="4" t="s">
        <v>25</v>
      </c>
      <c r="I1687" s="5">
        <v>44470</v>
      </c>
      <c r="J1687" s="6">
        <v>0</v>
      </c>
      <c r="K1687" s="6">
        <v>0</v>
      </c>
      <c r="L1687" s="6">
        <v>-18.164999999999999</v>
      </c>
      <c r="M1687" s="6">
        <v>-18.164999999999999</v>
      </c>
      <c r="N1687" s="6">
        <v>-18.164999999999999</v>
      </c>
      <c r="O1687" s="6">
        <v>-18.164999999999999</v>
      </c>
      <c r="P1687" s="6">
        <v>-20</v>
      </c>
      <c r="Q1687" s="4" t="s">
        <v>26</v>
      </c>
      <c r="R1687" s="4">
        <v>0</v>
      </c>
      <c r="S1687" s="4" t="s">
        <v>458</v>
      </c>
      <c r="T1687" s="4" t="s">
        <v>715</v>
      </c>
      <c r="U1687" s="4">
        <v>0</v>
      </c>
      <c r="V1687" s="4">
        <v>10</v>
      </c>
      <c r="W1687" s="4">
        <v>76</v>
      </c>
    </row>
    <row r="1688" spans="1:23" ht="11.25" customHeight="1" x14ac:dyDescent="0.25">
      <c r="A1688" s="4" t="s">
        <v>28</v>
      </c>
      <c r="B1688" s="4" t="s">
        <v>22</v>
      </c>
      <c r="C1688" s="4" t="s">
        <v>23</v>
      </c>
      <c r="D1688" s="4" t="s">
        <v>24</v>
      </c>
      <c r="E1688" s="4" t="s">
        <v>32</v>
      </c>
      <c r="F1688" s="4" t="s">
        <v>25</v>
      </c>
      <c r="G1688" s="4" t="s">
        <v>25</v>
      </c>
      <c r="H1688" s="4" t="s">
        <v>25</v>
      </c>
      <c r="I1688" s="5">
        <v>44470</v>
      </c>
      <c r="J1688" s="6">
        <v>0</v>
      </c>
      <c r="K1688" s="6">
        <v>0</v>
      </c>
      <c r="L1688" s="6">
        <v>65.254000000000005</v>
      </c>
      <c r="M1688" s="6">
        <v>65.254000000000005</v>
      </c>
      <c r="N1688" s="6">
        <v>65.254000000000005</v>
      </c>
      <c r="O1688" s="6">
        <v>65.254000000000005</v>
      </c>
      <c r="P1688" s="6">
        <v>400</v>
      </c>
      <c r="Q1688" s="4" t="s">
        <v>26</v>
      </c>
      <c r="R1688" s="4">
        <v>0</v>
      </c>
      <c r="S1688" s="4" t="s">
        <v>458</v>
      </c>
      <c r="T1688" s="4" t="s">
        <v>715</v>
      </c>
      <c r="U1688" s="4">
        <v>0</v>
      </c>
      <c r="V1688" s="4">
        <v>10</v>
      </c>
      <c r="W1688" s="4">
        <v>76</v>
      </c>
    </row>
    <row r="1689" spans="1:23" ht="11.25" customHeight="1" x14ac:dyDescent="0.25">
      <c r="A1689" s="4" t="s">
        <v>21</v>
      </c>
      <c r="B1689" s="4" t="s">
        <v>22</v>
      </c>
      <c r="C1689" s="4" t="s">
        <v>23</v>
      </c>
      <c r="D1689" s="4" t="s">
        <v>24</v>
      </c>
      <c r="E1689" s="4" t="s">
        <v>32</v>
      </c>
      <c r="F1689" s="4" t="s">
        <v>25</v>
      </c>
      <c r="G1689" s="4" t="s">
        <v>25</v>
      </c>
      <c r="H1689" s="4" t="s">
        <v>25</v>
      </c>
      <c r="I1689" s="5">
        <v>44501</v>
      </c>
      <c r="J1689" s="6">
        <v>0</v>
      </c>
      <c r="K1689" s="6">
        <v>0</v>
      </c>
      <c r="L1689" s="6">
        <v>3196.73</v>
      </c>
      <c r="M1689" s="6">
        <v>3196.73</v>
      </c>
      <c r="N1689" s="6">
        <v>3196.73</v>
      </c>
      <c r="O1689" s="6">
        <v>3196.73</v>
      </c>
      <c r="P1689" s="6">
        <v>34987</v>
      </c>
      <c r="Q1689" s="4" t="s">
        <v>26</v>
      </c>
      <c r="R1689" s="4">
        <v>0</v>
      </c>
      <c r="S1689" s="4" t="s">
        <v>459</v>
      </c>
      <c r="T1689" s="4" t="s">
        <v>716</v>
      </c>
      <c r="U1689" s="4">
        <v>0</v>
      </c>
      <c r="V1689" s="4">
        <v>10</v>
      </c>
      <c r="W1689" s="4">
        <v>76</v>
      </c>
    </row>
    <row r="1690" spans="1:23" ht="11.25" customHeight="1" x14ac:dyDescent="0.25">
      <c r="A1690" s="4" t="s">
        <v>27</v>
      </c>
      <c r="B1690" s="4" t="s">
        <v>22</v>
      </c>
      <c r="C1690" s="4" t="s">
        <v>23</v>
      </c>
      <c r="D1690" s="4" t="s">
        <v>24</v>
      </c>
      <c r="E1690" s="4" t="s">
        <v>32</v>
      </c>
      <c r="F1690" s="4" t="s">
        <v>25</v>
      </c>
      <c r="G1690" s="4" t="s">
        <v>25</v>
      </c>
      <c r="H1690" s="4" t="s">
        <v>25</v>
      </c>
      <c r="I1690" s="5">
        <v>44501</v>
      </c>
      <c r="J1690" s="6">
        <v>0</v>
      </c>
      <c r="K1690" s="6">
        <v>0</v>
      </c>
      <c r="L1690" s="6">
        <v>-12.724</v>
      </c>
      <c r="M1690" s="6">
        <v>-12.724</v>
      </c>
      <c r="N1690" s="6">
        <v>-12.724</v>
      </c>
      <c r="O1690" s="6">
        <v>-12.724</v>
      </c>
      <c r="P1690" s="6">
        <v>-18</v>
      </c>
      <c r="Q1690" s="4" t="s">
        <v>26</v>
      </c>
      <c r="R1690" s="4">
        <v>0</v>
      </c>
      <c r="S1690" s="4" t="s">
        <v>459</v>
      </c>
      <c r="T1690" s="4" t="s">
        <v>716</v>
      </c>
      <c r="U1690" s="4">
        <v>0</v>
      </c>
      <c r="V1690" s="4">
        <v>10</v>
      </c>
      <c r="W1690" s="4">
        <v>76</v>
      </c>
    </row>
    <row r="1691" spans="1:23" ht="11.25" customHeight="1" x14ac:dyDescent="0.25">
      <c r="A1691" s="4" t="s">
        <v>28</v>
      </c>
      <c r="B1691" s="4" t="s">
        <v>22</v>
      </c>
      <c r="C1691" s="4" t="s">
        <v>23</v>
      </c>
      <c r="D1691" s="4" t="s">
        <v>24</v>
      </c>
      <c r="E1691" s="4" t="s">
        <v>32</v>
      </c>
      <c r="F1691" s="4" t="s">
        <v>25</v>
      </c>
      <c r="G1691" s="4" t="s">
        <v>25</v>
      </c>
      <c r="H1691" s="4" t="s">
        <v>25</v>
      </c>
      <c r="I1691" s="5">
        <v>44501</v>
      </c>
      <c r="J1691" s="6">
        <v>0</v>
      </c>
      <c r="K1691" s="6">
        <v>0</v>
      </c>
      <c r="L1691" s="6">
        <v>69.477999999999994</v>
      </c>
      <c r="M1691" s="6">
        <v>69.477999999999994</v>
      </c>
      <c r="N1691" s="6">
        <v>69.477999999999994</v>
      </c>
      <c r="O1691" s="6">
        <v>69.477999999999994</v>
      </c>
      <c r="P1691" s="6">
        <v>453</v>
      </c>
      <c r="Q1691" s="4" t="s">
        <v>26</v>
      </c>
      <c r="R1691" s="4">
        <v>0</v>
      </c>
      <c r="S1691" s="4" t="s">
        <v>459</v>
      </c>
      <c r="T1691" s="4" t="s">
        <v>716</v>
      </c>
      <c r="U1691" s="4">
        <v>0</v>
      </c>
      <c r="V1691" s="4">
        <v>10</v>
      </c>
      <c r="W1691" s="4">
        <v>76</v>
      </c>
    </row>
    <row r="1692" spans="1:23" ht="11.25" customHeight="1" x14ac:dyDescent="0.25">
      <c r="A1692" s="4" t="s">
        <v>21</v>
      </c>
      <c r="B1692" s="4" t="s">
        <v>22</v>
      </c>
      <c r="C1692" s="4" t="s">
        <v>23</v>
      </c>
      <c r="D1692" s="4" t="s">
        <v>24</v>
      </c>
      <c r="E1692" s="4" t="s">
        <v>32</v>
      </c>
      <c r="F1692" s="4" t="s">
        <v>25</v>
      </c>
      <c r="G1692" s="4" t="s">
        <v>25</v>
      </c>
      <c r="H1692" s="4" t="s">
        <v>25</v>
      </c>
      <c r="I1692" s="5">
        <v>44531</v>
      </c>
      <c r="J1692" s="6">
        <v>0</v>
      </c>
      <c r="K1692" s="6">
        <v>0</v>
      </c>
      <c r="L1692" s="6">
        <v>4843.7380000000003</v>
      </c>
      <c r="M1692" s="6">
        <v>4843.7380000000003</v>
      </c>
      <c r="N1692" s="6">
        <v>4843.7380000000003</v>
      </c>
      <c r="O1692" s="6">
        <v>4843.7380000000003</v>
      </c>
      <c r="P1692" s="6">
        <v>47750</v>
      </c>
      <c r="Q1692" s="4" t="s">
        <v>26</v>
      </c>
      <c r="R1692" s="4">
        <v>0</v>
      </c>
      <c r="S1692" s="4" t="s">
        <v>460</v>
      </c>
      <c r="T1692" s="4" t="s">
        <v>717</v>
      </c>
      <c r="U1692" s="4">
        <v>0</v>
      </c>
      <c r="V1692" s="4">
        <v>10</v>
      </c>
      <c r="W1692" s="4">
        <v>76</v>
      </c>
    </row>
    <row r="1693" spans="1:23" ht="11.25" customHeight="1" x14ac:dyDescent="0.25">
      <c r="A1693" s="4" t="s">
        <v>27</v>
      </c>
      <c r="B1693" s="4" t="s">
        <v>22</v>
      </c>
      <c r="C1693" s="4" t="s">
        <v>23</v>
      </c>
      <c r="D1693" s="4" t="s">
        <v>24</v>
      </c>
      <c r="E1693" s="4" t="s">
        <v>32</v>
      </c>
      <c r="F1693" s="4" t="s">
        <v>25</v>
      </c>
      <c r="G1693" s="4" t="s">
        <v>25</v>
      </c>
      <c r="H1693" s="4" t="s">
        <v>25</v>
      </c>
      <c r="I1693" s="5">
        <v>44531</v>
      </c>
      <c r="J1693" s="6">
        <v>0</v>
      </c>
      <c r="K1693" s="6">
        <v>0</v>
      </c>
      <c r="L1693" s="6">
        <v>-28.105</v>
      </c>
      <c r="M1693" s="6">
        <v>-28.105</v>
      </c>
      <c r="N1693" s="6">
        <v>-28.105</v>
      </c>
      <c r="O1693" s="6">
        <v>-28.105</v>
      </c>
      <c r="P1693" s="6">
        <v>-21</v>
      </c>
      <c r="Q1693" s="4" t="s">
        <v>26</v>
      </c>
      <c r="R1693" s="4">
        <v>0</v>
      </c>
      <c r="S1693" s="4" t="s">
        <v>460</v>
      </c>
      <c r="T1693" s="4" t="s">
        <v>717</v>
      </c>
      <c r="U1693" s="4">
        <v>0</v>
      </c>
      <c r="V1693" s="4">
        <v>10</v>
      </c>
      <c r="W1693" s="4">
        <v>76</v>
      </c>
    </row>
    <row r="1694" spans="1:23" ht="11.25" customHeight="1" x14ac:dyDescent="0.25">
      <c r="A1694" s="4" t="s">
        <v>28</v>
      </c>
      <c r="B1694" s="4" t="s">
        <v>22</v>
      </c>
      <c r="C1694" s="4" t="s">
        <v>23</v>
      </c>
      <c r="D1694" s="4" t="s">
        <v>24</v>
      </c>
      <c r="E1694" s="4" t="s">
        <v>32</v>
      </c>
      <c r="F1694" s="4" t="s">
        <v>25</v>
      </c>
      <c r="G1694" s="4" t="s">
        <v>25</v>
      </c>
      <c r="H1694" s="4" t="s">
        <v>25</v>
      </c>
      <c r="I1694" s="5">
        <v>44531</v>
      </c>
      <c r="J1694" s="6">
        <v>0</v>
      </c>
      <c r="K1694" s="6">
        <v>0</v>
      </c>
      <c r="L1694" s="6">
        <v>95.070999999999998</v>
      </c>
      <c r="M1694" s="6">
        <v>95.070999999999998</v>
      </c>
      <c r="N1694" s="6">
        <v>95.070999999999998</v>
      </c>
      <c r="O1694" s="6">
        <v>95.070999999999998</v>
      </c>
      <c r="P1694" s="6">
        <v>502</v>
      </c>
      <c r="Q1694" s="4" t="s">
        <v>26</v>
      </c>
      <c r="R1694" s="4">
        <v>0</v>
      </c>
      <c r="S1694" s="4" t="s">
        <v>460</v>
      </c>
      <c r="T1694" s="4" t="s">
        <v>717</v>
      </c>
      <c r="U1694" s="4">
        <v>0</v>
      </c>
      <c r="V1694" s="4">
        <v>10</v>
      </c>
      <c r="W1694" s="4">
        <v>76</v>
      </c>
    </row>
    <row r="1695" spans="1:23" ht="11.25" customHeight="1" x14ac:dyDescent="0.25">
      <c r="A1695" s="4" t="s">
        <v>21</v>
      </c>
      <c r="B1695" s="4" t="s">
        <v>22</v>
      </c>
      <c r="C1695" s="4" t="s">
        <v>23</v>
      </c>
      <c r="D1695" s="4" t="s">
        <v>24</v>
      </c>
      <c r="E1695" s="4" t="s">
        <v>32</v>
      </c>
      <c r="F1695" s="4" t="s">
        <v>25</v>
      </c>
      <c r="G1695" s="4" t="s">
        <v>25</v>
      </c>
      <c r="H1695" s="4" t="s">
        <v>25</v>
      </c>
      <c r="I1695" s="5">
        <v>44562</v>
      </c>
      <c r="J1695" s="6">
        <v>0</v>
      </c>
      <c r="K1695" s="6">
        <v>0</v>
      </c>
      <c r="L1695" s="6">
        <v>3844.5459999999998</v>
      </c>
      <c r="M1695" s="6">
        <v>3844.5459999999998</v>
      </c>
      <c r="N1695" s="6">
        <v>3844.5459999999998</v>
      </c>
      <c r="O1695" s="6">
        <v>3844.5459999999998</v>
      </c>
      <c r="P1695" s="6">
        <v>39341</v>
      </c>
      <c r="Q1695" s="4" t="s">
        <v>26</v>
      </c>
      <c r="R1695" s="4">
        <v>0</v>
      </c>
      <c r="S1695" s="4" t="s">
        <v>461</v>
      </c>
      <c r="T1695" s="4" t="s">
        <v>718</v>
      </c>
      <c r="U1695" s="4">
        <v>0</v>
      </c>
      <c r="V1695" s="4">
        <v>10</v>
      </c>
      <c r="W1695" s="4">
        <v>76</v>
      </c>
    </row>
    <row r="1696" spans="1:23" ht="11.25" customHeight="1" x14ac:dyDescent="0.25">
      <c r="A1696" s="4" t="s">
        <v>27</v>
      </c>
      <c r="B1696" s="4" t="s">
        <v>22</v>
      </c>
      <c r="C1696" s="4" t="s">
        <v>23</v>
      </c>
      <c r="D1696" s="4" t="s">
        <v>24</v>
      </c>
      <c r="E1696" s="4" t="s">
        <v>32</v>
      </c>
      <c r="F1696" s="4" t="s">
        <v>25</v>
      </c>
      <c r="G1696" s="4" t="s">
        <v>25</v>
      </c>
      <c r="H1696" s="4" t="s">
        <v>25</v>
      </c>
      <c r="I1696" s="5">
        <v>44562</v>
      </c>
      <c r="J1696" s="6">
        <v>0</v>
      </c>
      <c r="K1696" s="6">
        <v>0</v>
      </c>
      <c r="L1696" s="6">
        <v>-13.45</v>
      </c>
      <c r="M1696" s="6">
        <v>-13.45</v>
      </c>
      <c r="N1696" s="6">
        <v>-13.45</v>
      </c>
      <c r="O1696" s="6">
        <v>-13.45</v>
      </c>
      <c r="P1696" s="6">
        <v>-21</v>
      </c>
      <c r="Q1696" s="4" t="s">
        <v>26</v>
      </c>
      <c r="R1696" s="4">
        <v>0</v>
      </c>
      <c r="S1696" s="4" t="s">
        <v>461</v>
      </c>
      <c r="T1696" s="4" t="s">
        <v>718</v>
      </c>
      <c r="U1696" s="4">
        <v>0</v>
      </c>
      <c r="V1696" s="4">
        <v>10</v>
      </c>
      <c r="W1696" s="4">
        <v>76</v>
      </c>
    </row>
    <row r="1697" spans="1:23" ht="11.25" customHeight="1" x14ac:dyDescent="0.25">
      <c r="A1697" s="4" t="s">
        <v>28</v>
      </c>
      <c r="B1697" s="4" t="s">
        <v>22</v>
      </c>
      <c r="C1697" s="4" t="s">
        <v>23</v>
      </c>
      <c r="D1697" s="4" t="s">
        <v>24</v>
      </c>
      <c r="E1697" s="4" t="s">
        <v>32</v>
      </c>
      <c r="F1697" s="4" t="s">
        <v>25</v>
      </c>
      <c r="G1697" s="4" t="s">
        <v>25</v>
      </c>
      <c r="H1697" s="4" t="s">
        <v>25</v>
      </c>
      <c r="I1697" s="5">
        <v>44562</v>
      </c>
      <c r="J1697" s="6">
        <v>0</v>
      </c>
      <c r="K1697" s="6">
        <v>0</v>
      </c>
      <c r="L1697" s="6">
        <v>74.606999999999999</v>
      </c>
      <c r="M1697" s="6">
        <v>74.606999999999999</v>
      </c>
      <c r="N1697" s="6">
        <v>74.606999999999999</v>
      </c>
      <c r="O1697" s="6">
        <v>74.606999999999999</v>
      </c>
      <c r="P1697" s="6">
        <v>484</v>
      </c>
      <c r="Q1697" s="4" t="s">
        <v>26</v>
      </c>
      <c r="R1697" s="4">
        <v>0</v>
      </c>
      <c r="S1697" s="4" t="s">
        <v>461</v>
      </c>
      <c r="T1697" s="4" t="s">
        <v>718</v>
      </c>
      <c r="U1697" s="4">
        <v>0</v>
      </c>
      <c r="V1697" s="4">
        <v>10</v>
      </c>
      <c r="W1697" s="4">
        <v>76</v>
      </c>
    </row>
    <row r="1698" spans="1:23" ht="11.25" customHeight="1" x14ac:dyDescent="0.25">
      <c r="A1698" s="4" t="s">
        <v>28</v>
      </c>
      <c r="B1698" s="4" t="s">
        <v>22</v>
      </c>
      <c r="C1698" s="4" t="s">
        <v>23</v>
      </c>
      <c r="D1698" s="4" t="s">
        <v>24</v>
      </c>
      <c r="E1698" s="4" t="s">
        <v>32</v>
      </c>
      <c r="F1698" s="4" t="s">
        <v>25</v>
      </c>
      <c r="G1698" s="4" t="s">
        <v>25</v>
      </c>
      <c r="H1698" s="4" t="s">
        <v>25</v>
      </c>
      <c r="I1698" s="5">
        <v>44562</v>
      </c>
      <c r="J1698" s="6">
        <v>0</v>
      </c>
      <c r="K1698" s="6">
        <v>0</v>
      </c>
      <c r="L1698" s="6">
        <v>-1.1060000000000001</v>
      </c>
      <c r="M1698" s="6">
        <v>-1.1060000000000001</v>
      </c>
      <c r="N1698" s="6">
        <v>-1.1060000000000001</v>
      </c>
      <c r="O1698" s="6">
        <v>-1.1060000000000001</v>
      </c>
      <c r="P1698" s="6">
        <v>-1</v>
      </c>
      <c r="Q1698" s="4" t="s">
        <v>26</v>
      </c>
      <c r="R1698" s="4">
        <v>0</v>
      </c>
      <c r="S1698" s="4" t="s">
        <v>461</v>
      </c>
      <c r="T1698" s="4" t="s">
        <v>718</v>
      </c>
      <c r="U1698" s="4">
        <v>0</v>
      </c>
      <c r="V1698" s="4">
        <v>10</v>
      </c>
      <c r="W1698" s="4">
        <v>76</v>
      </c>
    </row>
    <row r="1699" spans="1:23" ht="11.25" customHeight="1" x14ac:dyDescent="0.25">
      <c r="A1699" s="4" t="s">
        <v>21</v>
      </c>
      <c r="B1699" s="4" t="s">
        <v>22</v>
      </c>
      <c r="C1699" s="4" t="s">
        <v>23</v>
      </c>
      <c r="D1699" s="4" t="s">
        <v>24</v>
      </c>
      <c r="E1699" s="4" t="s">
        <v>32</v>
      </c>
      <c r="F1699" s="4" t="s">
        <v>25</v>
      </c>
      <c r="G1699" s="4" t="s">
        <v>25</v>
      </c>
      <c r="H1699" s="4" t="s">
        <v>25</v>
      </c>
      <c r="I1699" s="5">
        <v>44593</v>
      </c>
      <c r="J1699" s="6">
        <v>0</v>
      </c>
      <c r="K1699" s="6">
        <v>0</v>
      </c>
      <c r="L1699" s="6">
        <v>2946.5129999999999</v>
      </c>
      <c r="M1699" s="6">
        <v>2946.5129999999999</v>
      </c>
      <c r="N1699" s="6">
        <v>2946.5129999999999</v>
      </c>
      <c r="O1699" s="6">
        <v>2946.5129999999999</v>
      </c>
      <c r="P1699" s="6">
        <v>31604</v>
      </c>
      <c r="Q1699" s="4" t="s">
        <v>26</v>
      </c>
      <c r="R1699" s="4">
        <v>0</v>
      </c>
      <c r="S1699" s="4" t="s">
        <v>462</v>
      </c>
      <c r="T1699" s="4" t="s">
        <v>719</v>
      </c>
      <c r="U1699" s="4">
        <v>0</v>
      </c>
      <c r="V1699" s="4">
        <v>10</v>
      </c>
      <c r="W1699" s="4">
        <v>76</v>
      </c>
    </row>
    <row r="1700" spans="1:23" ht="11.25" customHeight="1" x14ac:dyDescent="0.25">
      <c r="A1700" s="4" t="s">
        <v>27</v>
      </c>
      <c r="B1700" s="4" t="s">
        <v>22</v>
      </c>
      <c r="C1700" s="4" t="s">
        <v>23</v>
      </c>
      <c r="D1700" s="4" t="s">
        <v>24</v>
      </c>
      <c r="E1700" s="4" t="s">
        <v>32</v>
      </c>
      <c r="F1700" s="4" t="s">
        <v>25</v>
      </c>
      <c r="G1700" s="4" t="s">
        <v>25</v>
      </c>
      <c r="H1700" s="4" t="s">
        <v>25</v>
      </c>
      <c r="I1700" s="5">
        <v>44593</v>
      </c>
      <c r="J1700" s="6">
        <v>0</v>
      </c>
      <c r="K1700" s="6">
        <v>0</v>
      </c>
      <c r="L1700" s="6">
        <v>-22.614999999999998</v>
      </c>
      <c r="M1700" s="6">
        <v>-22.614999999999998</v>
      </c>
      <c r="N1700" s="6">
        <v>-22.614999999999998</v>
      </c>
      <c r="O1700" s="6">
        <v>-22.614999999999998</v>
      </c>
      <c r="P1700" s="6">
        <v>-32</v>
      </c>
      <c r="Q1700" s="4" t="s">
        <v>26</v>
      </c>
      <c r="R1700" s="4">
        <v>0</v>
      </c>
      <c r="S1700" s="4" t="s">
        <v>462</v>
      </c>
      <c r="T1700" s="4" t="s">
        <v>719</v>
      </c>
      <c r="U1700" s="4">
        <v>0</v>
      </c>
      <c r="V1700" s="4">
        <v>10</v>
      </c>
      <c r="W1700" s="4">
        <v>76</v>
      </c>
    </row>
    <row r="1701" spans="1:23" ht="11.25" customHeight="1" x14ac:dyDescent="0.25">
      <c r="A1701" s="4" t="s">
        <v>28</v>
      </c>
      <c r="B1701" s="4" t="s">
        <v>22</v>
      </c>
      <c r="C1701" s="4" t="s">
        <v>23</v>
      </c>
      <c r="D1701" s="4" t="s">
        <v>24</v>
      </c>
      <c r="E1701" s="4" t="s">
        <v>32</v>
      </c>
      <c r="F1701" s="4" t="s">
        <v>25</v>
      </c>
      <c r="G1701" s="4" t="s">
        <v>25</v>
      </c>
      <c r="H1701" s="4" t="s">
        <v>25</v>
      </c>
      <c r="I1701" s="5">
        <v>44593</v>
      </c>
      <c r="J1701" s="6">
        <v>0</v>
      </c>
      <c r="K1701" s="6">
        <v>0</v>
      </c>
      <c r="L1701" s="6">
        <v>62.000999999999998</v>
      </c>
      <c r="M1701" s="6">
        <v>62.000999999999998</v>
      </c>
      <c r="N1701" s="6">
        <v>62.000999999999998</v>
      </c>
      <c r="O1701" s="6">
        <v>62.000999999999998</v>
      </c>
      <c r="P1701" s="6">
        <v>480</v>
      </c>
      <c r="Q1701" s="4" t="s">
        <v>26</v>
      </c>
      <c r="R1701" s="4">
        <v>0</v>
      </c>
      <c r="S1701" s="4" t="s">
        <v>462</v>
      </c>
      <c r="T1701" s="4" t="s">
        <v>719</v>
      </c>
      <c r="U1701" s="4">
        <v>0</v>
      </c>
      <c r="V1701" s="4">
        <v>10</v>
      </c>
      <c r="W1701" s="4">
        <v>76</v>
      </c>
    </row>
    <row r="1702" spans="1:23" ht="11.25" customHeight="1" x14ac:dyDescent="0.25">
      <c r="A1702" s="4" t="s">
        <v>21</v>
      </c>
      <c r="B1702" s="4" t="s">
        <v>22</v>
      </c>
      <c r="C1702" s="4" t="s">
        <v>23</v>
      </c>
      <c r="D1702" s="4" t="s">
        <v>24</v>
      </c>
      <c r="E1702" s="4" t="s">
        <v>32</v>
      </c>
      <c r="F1702" s="4" t="s">
        <v>25</v>
      </c>
      <c r="G1702" s="4" t="s">
        <v>25</v>
      </c>
      <c r="H1702" s="4" t="s">
        <v>25</v>
      </c>
      <c r="I1702" s="5">
        <v>44621</v>
      </c>
      <c r="J1702" s="6">
        <v>0</v>
      </c>
      <c r="K1702" s="6">
        <v>0</v>
      </c>
      <c r="L1702" s="6">
        <v>4651.0640000000003</v>
      </c>
      <c r="M1702" s="6">
        <v>4651.0640000000003</v>
      </c>
      <c r="N1702" s="6">
        <v>4651.0640000000003</v>
      </c>
      <c r="O1702" s="6">
        <v>4651.0640000000003</v>
      </c>
      <c r="P1702" s="6">
        <v>47641</v>
      </c>
      <c r="Q1702" s="4" t="s">
        <v>26</v>
      </c>
      <c r="R1702" s="4">
        <v>0</v>
      </c>
      <c r="S1702" s="4" t="s">
        <v>463</v>
      </c>
      <c r="T1702" s="4" t="s">
        <v>720</v>
      </c>
      <c r="U1702" s="4">
        <v>0</v>
      </c>
      <c r="V1702" s="4">
        <v>10</v>
      </c>
      <c r="W1702" s="4">
        <v>76</v>
      </c>
    </row>
    <row r="1703" spans="1:23" ht="11.25" customHeight="1" x14ac:dyDescent="0.25">
      <c r="A1703" s="4" t="s">
        <v>27</v>
      </c>
      <c r="B1703" s="4" t="s">
        <v>22</v>
      </c>
      <c r="C1703" s="4" t="s">
        <v>23</v>
      </c>
      <c r="D1703" s="4" t="s">
        <v>24</v>
      </c>
      <c r="E1703" s="4" t="s">
        <v>32</v>
      </c>
      <c r="F1703" s="4" t="s">
        <v>25</v>
      </c>
      <c r="G1703" s="4" t="s">
        <v>25</v>
      </c>
      <c r="H1703" s="4" t="s">
        <v>25</v>
      </c>
      <c r="I1703" s="5">
        <v>44621</v>
      </c>
      <c r="J1703" s="6">
        <v>0</v>
      </c>
      <c r="K1703" s="6">
        <v>0</v>
      </c>
      <c r="L1703" s="6">
        <v>-11.782999999999999</v>
      </c>
      <c r="M1703" s="6">
        <v>-11.782999999999999</v>
      </c>
      <c r="N1703" s="6">
        <v>-11.782999999999999</v>
      </c>
      <c r="O1703" s="6">
        <v>-11.782999999999999</v>
      </c>
      <c r="P1703" s="6">
        <v>-19</v>
      </c>
      <c r="Q1703" s="4" t="s">
        <v>26</v>
      </c>
      <c r="R1703" s="4">
        <v>0</v>
      </c>
      <c r="S1703" s="4" t="s">
        <v>463</v>
      </c>
      <c r="T1703" s="4" t="s">
        <v>720</v>
      </c>
      <c r="U1703" s="4">
        <v>0</v>
      </c>
      <c r="V1703" s="4">
        <v>10</v>
      </c>
      <c r="W1703" s="4">
        <v>76</v>
      </c>
    </row>
    <row r="1704" spans="1:23" ht="11.25" customHeight="1" x14ac:dyDescent="0.25">
      <c r="A1704" s="4" t="s">
        <v>28</v>
      </c>
      <c r="B1704" s="4" t="s">
        <v>22</v>
      </c>
      <c r="C1704" s="4" t="s">
        <v>23</v>
      </c>
      <c r="D1704" s="4" t="s">
        <v>24</v>
      </c>
      <c r="E1704" s="4" t="s">
        <v>32</v>
      </c>
      <c r="F1704" s="4" t="s">
        <v>25</v>
      </c>
      <c r="G1704" s="4" t="s">
        <v>25</v>
      </c>
      <c r="H1704" s="4" t="s">
        <v>25</v>
      </c>
      <c r="I1704" s="5">
        <v>44621</v>
      </c>
      <c r="J1704" s="6">
        <v>0</v>
      </c>
      <c r="K1704" s="6">
        <v>0</v>
      </c>
      <c r="L1704" s="6">
        <v>75.334000000000003</v>
      </c>
      <c r="M1704" s="6">
        <v>75.334000000000003</v>
      </c>
      <c r="N1704" s="6">
        <v>75.334000000000003</v>
      </c>
      <c r="O1704" s="6">
        <v>75.334000000000003</v>
      </c>
      <c r="P1704" s="6">
        <v>561</v>
      </c>
      <c r="Q1704" s="4" t="s">
        <v>26</v>
      </c>
      <c r="R1704" s="4">
        <v>0</v>
      </c>
      <c r="S1704" s="4" t="s">
        <v>463</v>
      </c>
      <c r="T1704" s="4" t="s">
        <v>720</v>
      </c>
      <c r="U1704" s="4">
        <v>0</v>
      </c>
      <c r="V1704" s="4">
        <v>10</v>
      </c>
      <c r="W1704" s="4">
        <v>76</v>
      </c>
    </row>
    <row r="1705" spans="1:23" ht="11.25" customHeight="1" x14ac:dyDescent="0.25">
      <c r="A1705" s="4" t="s">
        <v>21</v>
      </c>
      <c r="B1705" s="4" t="s">
        <v>22</v>
      </c>
      <c r="C1705" s="4" t="s">
        <v>23</v>
      </c>
      <c r="D1705" s="4" t="s">
        <v>24</v>
      </c>
      <c r="E1705" s="4" t="s">
        <v>32</v>
      </c>
      <c r="F1705" s="4" t="s">
        <v>25</v>
      </c>
      <c r="G1705" s="4" t="s">
        <v>25</v>
      </c>
      <c r="H1705" s="4" t="s">
        <v>25</v>
      </c>
      <c r="I1705" s="5">
        <v>44652</v>
      </c>
      <c r="J1705" s="6">
        <v>0</v>
      </c>
      <c r="K1705" s="6">
        <v>0</v>
      </c>
      <c r="L1705" s="6">
        <v>3627.748</v>
      </c>
      <c r="M1705" s="6">
        <v>3627.748</v>
      </c>
      <c r="N1705" s="6">
        <v>3627.748</v>
      </c>
      <c r="O1705" s="6">
        <v>3627.748</v>
      </c>
      <c r="P1705" s="6">
        <v>37884</v>
      </c>
      <c r="Q1705" s="4" t="s">
        <v>26</v>
      </c>
      <c r="R1705" s="4">
        <v>0</v>
      </c>
      <c r="S1705" s="4" t="s">
        <v>464</v>
      </c>
      <c r="T1705" s="4" t="s">
        <v>721</v>
      </c>
      <c r="U1705" s="4">
        <v>0</v>
      </c>
      <c r="V1705" s="4">
        <v>10</v>
      </c>
      <c r="W1705" s="4">
        <v>76</v>
      </c>
    </row>
    <row r="1706" spans="1:23" ht="11.25" customHeight="1" x14ac:dyDescent="0.25">
      <c r="A1706" s="4" t="s">
        <v>27</v>
      </c>
      <c r="B1706" s="4" t="s">
        <v>22</v>
      </c>
      <c r="C1706" s="4" t="s">
        <v>23</v>
      </c>
      <c r="D1706" s="4" t="s">
        <v>24</v>
      </c>
      <c r="E1706" s="4" t="s">
        <v>32</v>
      </c>
      <c r="F1706" s="4" t="s">
        <v>25</v>
      </c>
      <c r="G1706" s="4" t="s">
        <v>25</v>
      </c>
      <c r="H1706" s="4" t="s">
        <v>25</v>
      </c>
      <c r="I1706" s="5">
        <v>44652</v>
      </c>
      <c r="J1706" s="6">
        <v>0</v>
      </c>
      <c r="K1706" s="6">
        <v>0</v>
      </c>
      <c r="L1706" s="6">
        <v>-19.420999999999999</v>
      </c>
      <c r="M1706" s="6">
        <v>-19.420999999999999</v>
      </c>
      <c r="N1706" s="6">
        <v>-19.420999999999999</v>
      </c>
      <c r="O1706" s="6">
        <v>-19.420999999999999</v>
      </c>
      <c r="P1706" s="6">
        <v>-19</v>
      </c>
      <c r="Q1706" s="4" t="s">
        <v>26</v>
      </c>
      <c r="R1706" s="4">
        <v>0</v>
      </c>
      <c r="S1706" s="4" t="s">
        <v>464</v>
      </c>
      <c r="T1706" s="4" t="s">
        <v>721</v>
      </c>
      <c r="U1706" s="4">
        <v>0</v>
      </c>
      <c r="V1706" s="4">
        <v>10</v>
      </c>
      <c r="W1706" s="4">
        <v>76</v>
      </c>
    </row>
    <row r="1707" spans="1:23" ht="11.25" customHeight="1" x14ac:dyDescent="0.25">
      <c r="A1707" s="4" t="s">
        <v>28</v>
      </c>
      <c r="B1707" s="4" t="s">
        <v>22</v>
      </c>
      <c r="C1707" s="4" t="s">
        <v>23</v>
      </c>
      <c r="D1707" s="4" t="s">
        <v>24</v>
      </c>
      <c r="E1707" s="4" t="s">
        <v>32</v>
      </c>
      <c r="F1707" s="4" t="s">
        <v>25</v>
      </c>
      <c r="G1707" s="4" t="s">
        <v>25</v>
      </c>
      <c r="H1707" s="4" t="s">
        <v>25</v>
      </c>
      <c r="I1707" s="5">
        <v>44652</v>
      </c>
      <c r="J1707" s="6">
        <v>0</v>
      </c>
      <c r="K1707" s="6">
        <v>0</v>
      </c>
      <c r="L1707" s="6">
        <v>68.492000000000004</v>
      </c>
      <c r="M1707" s="6">
        <v>68.492000000000004</v>
      </c>
      <c r="N1707" s="6">
        <v>68.492000000000004</v>
      </c>
      <c r="O1707" s="6">
        <v>68.492000000000004</v>
      </c>
      <c r="P1707" s="6">
        <v>544</v>
      </c>
      <c r="Q1707" s="4" t="s">
        <v>26</v>
      </c>
      <c r="R1707" s="4">
        <v>0</v>
      </c>
      <c r="S1707" s="4" t="s">
        <v>464</v>
      </c>
      <c r="T1707" s="4" t="s">
        <v>721</v>
      </c>
      <c r="U1707" s="4">
        <v>0</v>
      </c>
      <c r="V1707" s="4">
        <v>10</v>
      </c>
      <c r="W1707" s="4">
        <v>76</v>
      </c>
    </row>
    <row r="1708" spans="1:23" ht="11.25" customHeight="1" x14ac:dyDescent="0.25">
      <c r="A1708" s="4" t="s">
        <v>21</v>
      </c>
      <c r="B1708" s="4" t="s">
        <v>22</v>
      </c>
      <c r="C1708" s="4" t="s">
        <v>23</v>
      </c>
      <c r="D1708" s="4" t="s">
        <v>24</v>
      </c>
      <c r="E1708" s="4" t="s">
        <v>32</v>
      </c>
      <c r="F1708" s="4" t="s">
        <v>25</v>
      </c>
      <c r="G1708" s="4" t="s">
        <v>25</v>
      </c>
      <c r="H1708" s="4" t="s">
        <v>25</v>
      </c>
      <c r="I1708" s="5">
        <v>44682</v>
      </c>
      <c r="J1708" s="6">
        <v>0</v>
      </c>
      <c r="K1708" s="6">
        <v>0</v>
      </c>
      <c r="L1708" s="6">
        <v>3403.78</v>
      </c>
      <c r="M1708" s="6">
        <v>3403.78</v>
      </c>
      <c r="N1708" s="6">
        <v>3403.78</v>
      </c>
      <c r="O1708" s="6">
        <v>3403.78</v>
      </c>
      <c r="P1708" s="6">
        <v>38015</v>
      </c>
      <c r="Q1708" s="4" t="s">
        <v>26</v>
      </c>
      <c r="R1708" s="4">
        <v>0</v>
      </c>
      <c r="S1708" s="4" t="s">
        <v>465</v>
      </c>
      <c r="T1708" s="4" t="s">
        <v>722</v>
      </c>
      <c r="U1708" s="4">
        <v>0</v>
      </c>
      <c r="V1708" s="4">
        <v>10</v>
      </c>
      <c r="W1708" s="4">
        <v>76</v>
      </c>
    </row>
    <row r="1709" spans="1:23" ht="11.25" customHeight="1" x14ac:dyDescent="0.25">
      <c r="A1709" s="4" t="s">
        <v>27</v>
      </c>
      <c r="B1709" s="4" t="s">
        <v>22</v>
      </c>
      <c r="C1709" s="4" t="s">
        <v>23</v>
      </c>
      <c r="D1709" s="4" t="s">
        <v>24</v>
      </c>
      <c r="E1709" s="4" t="s">
        <v>32</v>
      </c>
      <c r="F1709" s="4" t="s">
        <v>25</v>
      </c>
      <c r="G1709" s="4" t="s">
        <v>25</v>
      </c>
      <c r="H1709" s="4" t="s">
        <v>25</v>
      </c>
      <c r="I1709" s="5">
        <v>44682</v>
      </c>
      <c r="J1709" s="6">
        <v>0</v>
      </c>
      <c r="K1709" s="6">
        <v>0</v>
      </c>
      <c r="L1709" s="6">
        <v>-19.036999999999999</v>
      </c>
      <c r="M1709" s="6">
        <v>-19.036999999999999</v>
      </c>
      <c r="N1709" s="6">
        <v>-19.036999999999999</v>
      </c>
      <c r="O1709" s="6">
        <v>-19.036999999999999</v>
      </c>
      <c r="P1709" s="6">
        <v>-26</v>
      </c>
      <c r="Q1709" s="4" t="s">
        <v>26</v>
      </c>
      <c r="R1709" s="4">
        <v>0</v>
      </c>
      <c r="S1709" s="4" t="s">
        <v>465</v>
      </c>
      <c r="T1709" s="4" t="s">
        <v>722</v>
      </c>
      <c r="U1709" s="4">
        <v>0</v>
      </c>
      <c r="V1709" s="4">
        <v>10</v>
      </c>
      <c r="W1709" s="4">
        <v>76</v>
      </c>
    </row>
    <row r="1710" spans="1:23" ht="11.25" customHeight="1" x14ac:dyDescent="0.25">
      <c r="A1710" s="4" t="s">
        <v>28</v>
      </c>
      <c r="B1710" s="4" t="s">
        <v>22</v>
      </c>
      <c r="C1710" s="4" t="s">
        <v>23</v>
      </c>
      <c r="D1710" s="4" t="s">
        <v>24</v>
      </c>
      <c r="E1710" s="4" t="s">
        <v>32</v>
      </c>
      <c r="F1710" s="4" t="s">
        <v>25</v>
      </c>
      <c r="G1710" s="4" t="s">
        <v>25</v>
      </c>
      <c r="H1710" s="4" t="s">
        <v>25</v>
      </c>
      <c r="I1710" s="5">
        <v>44682</v>
      </c>
      <c r="J1710" s="6">
        <v>0</v>
      </c>
      <c r="K1710" s="6">
        <v>0</v>
      </c>
      <c r="L1710" s="6">
        <v>73.257999999999996</v>
      </c>
      <c r="M1710" s="6">
        <v>73.257999999999996</v>
      </c>
      <c r="N1710" s="6">
        <v>73.257999999999996</v>
      </c>
      <c r="O1710" s="6">
        <v>73.257999999999996</v>
      </c>
      <c r="P1710" s="6">
        <v>563</v>
      </c>
      <c r="Q1710" s="4" t="s">
        <v>26</v>
      </c>
      <c r="R1710" s="4">
        <v>0</v>
      </c>
      <c r="S1710" s="4" t="s">
        <v>465</v>
      </c>
      <c r="T1710" s="4" t="s">
        <v>722</v>
      </c>
      <c r="U1710" s="4">
        <v>0</v>
      </c>
      <c r="V1710" s="4">
        <v>10</v>
      </c>
      <c r="W1710" s="4">
        <v>76</v>
      </c>
    </row>
    <row r="1711" spans="1:23" ht="11.25" customHeight="1" x14ac:dyDescent="0.25">
      <c r="A1711" s="4" t="s">
        <v>21</v>
      </c>
      <c r="B1711" s="4" t="s">
        <v>22</v>
      </c>
      <c r="C1711" s="4" t="s">
        <v>23</v>
      </c>
      <c r="D1711" s="4" t="s">
        <v>24</v>
      </c>
      <c r="E1711" s="4" t="s">
        <v>32</v>
      </c>
      <c r="F1711" s="4" t="s">
        <v>25</v>
      </c>
      <c r="G1711" s="4" t="s">
        <v>25</v>
      </c>
      <c r="H1711" s="4" t="s">
        <v>25</v>
      </c>
      <c r="I1711" s="5">
        <v>44713</v>
      </c>
      <c r="J1711" s="6">
        <v>0</v>
      </c>
      <c r="K1711" s="6">
        <v>0</v>
      </c>
      <c r="L1711" s="6">
        <v>1946.1020000000001</v>
      </c>
      <c r="M1711" s="6">
        <v>1946.1020000000001</v>
      </c>
      <c r="N1711" s="6">
        <v>1946.1020000000001</v>
      </c>
      <c r="O1711" s="6">
        <v>1946.1020000000001</v>
      </c>
      <c r="P1711" s="6">
        <v>23031</v>
      </c>
      <c r="Q1711" s="4" t="s">
        <v>26</v>
      </c>
      <c r="R1711" s="4">
        <v>0</v>
      </c>
      <c r="S1711" s="4" t="s">
        <v>466</v>
      </c>
      <c r="T1711" s="4" t="s">
        <v>723</v>
      </c>
      <c r="U1711" s="4">
        <v>0</v>
      </c>
      <c r="V1711" s="4">
        <v>10</v>
      </c>
      <c r="W1711" s="4">
        <v>76</v>
      </c>
    </row>
    <row r="1712" spans="1:23" ht="11.25" customHeight="1" x14ac:dyDescent="0.25">
      <c r="A1712" s="4" t="s">
        <v>27</v>
      </c>
      <c r="B1712" s="4" t="s">
        <v>22</v>
      </c>
      <c r="C1712" s="4" t="s">
        <v>23</v>
      </c>
      <c r="D1712" s="4" t="s">
        <v>24</v>
      </c>
      <c r="E1712" s="4" t="s">
        <v>32</v>
      </c>
      <c r="F1712" s="4" t="s">
        <v>25</v>
      </c>
      <c r="G1712" s="4" t="s">
        <v>25</v>
      </c>
      <c r="H1712" s="4" t="s">
        <v>25</v>
      </c>
      <c r="I1712" s="5">
        <v>44713</v>
      </c>
      <c r="J1712" s="6">
        <v>0</v>
      </c>
      <c r="K1712" s="6">
        <v>0</v>
      </c>
      <c r="L1712" s="6">
        <v>-5.69</v>
      </c>
      <c r="M1712" s="6">
        <v>-5.69</v>
      </c>
      <c r="N1712" s="6">
        <v>-5.69</v>
      </c>
      <c r="O1712" s="6">
        <v>-5.69</v>
      </c>
      <c r="P1712" s="6">
        <v>-27</v>
      </c>
      <c r="Q1712" s="4" t="s">
        <v>26</v>
      </c>
      <c r="R1712" s="4">
        <v>0</v>
      </c>
      <c r="S1712" s="4" t="s">
        <v>466</v>
      </c>
      <c r="T1712" s="4" t="s">
        <v>723</v>
      </c>
      <c r="U1712" s="4">
        <v>0</v>
      </c>
      <c r="V1712" s="4">
        <v>10</v>
      </c>
      <c r="W1712" s="4">
        <v>76</v>
      </c>
    </row>
    <row r="1713" spans="1:23" ht="11.25" customHeight="1" x14ac:dyDescent="0.25">
      <c r="A1713" s="4" t="s">
        <v>28</v>
      </c>
      <c r="B1713" s="4" t="s">
        <v>22</v>
      </c>
      <c r="C1713" s="4" t="s">
        <v>23</v>
      </c>
      <c r="D1713" s="4" t="s">
        <v>24</v>
      </c>
      <c r="E1713" s="4" t="s">
        <v>32</v>
      </c>
      <c r="F1713" s="4" t="s">
        <v>25</v>
      </c>
      <c r="G1713" s="4" t="s">
        <v>25</v>
      </c>
      <c r="H1713" s="4" t="s">
        <v>25</v>
      </c>
      <c r="I1713" s="5">
        <v>44713</v>
      </c>
      <c r="J1713" s="6">
        <v>0</v>
      </c>
      <c r="K1713" s="6">
        <v>0</v>
      </c>
      <c r="L1713" s="6">
        <v>62.06</v>
      </c>
      <c r="M1713" s="6">
        <v>62.06</v>
      </c>
      <c r="N1713" s="6">
        <v>62.06</v>
      </c>
      <c r="O1713" s="6">
        <v>62.06</v>
      </c>
      <c r="P1713" s="6">
        <v>472</v>
      </c>
      <c r="Q1713" s="4" t="s">
        <v>26</v>
      </c>
      <c r="R1713" s="4">
        <v>0</v>
      </c>
      <c r="S1713" s="4" t="s">
        <v>466</v>
      </c>
      <c r="T1713" s="4" t="s">
        <v>723</v>
      </c>
      <c r="U1713" s="4">
        <v>0</v>
      </c>
      <c r="V1713" s="4">
        <v>10</v>
      </c>
      <c r="W1713" s="4">
        <v>76</v>
      </c>
    </row>
    <row r="1714" spans="1:23" ht="11.25" customHeight="1" x14ac:dyDescent="0.25">
      <c r="A1714" s="4" t="s">
        <v>57</v>
      </c>
      <c r="B1714" s="4" t="s">
        <v>22</v>
      </c>
      <c r="C1714" s="4" t="s">
        <v>23</v>
      </c>
      <c r="D1714" s="4" t="s">
        <v>24</v>
      </c>
      <c r="E1714" s="4" t="s">
        <v>32</v>
      </c>
      <c r="F1714" s="4" t="s">
        <v>25</v>
      </c>
      <c r="G1714" s="4" t="s">
        <v>25</v>
      </c>
      <c r="H1714" s="4" t="s">
        <v>25</v>
      </c>
      <c r="I1714" s="5">
        <v>44743</v>
      </c>
      <c r="J1714" s="6">
        <v>0</v>
      </c>
      <c r="K1714" s="6">
        <v>0</v>
      </c>
      <c r="L1714" s="6">
        <v>1946.1020000000001</v>
      </c>
      <c r="M1714" s="6">
        <v>1946.1020000000001</v>
      </c>
      <c r="N1714" s="6">
        <v>1946.1020000000001</v>
      </c>
      <c r="O1714" s="6">
        <v>1946.1020000000001</v>
      </c>
      <c r="P1714" s="6">
        <v>23031</v>
      </c>
      <c r="Q1714" s="4" t="s">
        <v>26</v>
      </c>
      <c r="R1714" s="4">
        <v>0</v>
      </c>
      <c r="S1714" s="4" t="s">
        <v>467</v>
      </c>
      <c r="T1714" s="4" t="s">
        <v>724</v>
      </c>
      <c r="U1714" s="4">
        <v>0</v>
      </c>
      <c r="V1714" s="4">
        <v>10</v>
      </c>
      <c r="W1714" s="4">
        <v>76</v>
      </c>
    </row>
    <row r="1715" spans="1:23" ht="11.25" customHeight="1" x14ac:dyDescent="0.25">
      <c r="A1715" s="4" t="s">
        <v>57</v>
      </c>
      <c r="B1715" s="4" t="s">
        <v>22</v>
      </c>
      <c r="C1715" s="4" t="s">
        <v>23</v>
      </c>
      <c r="D1715" s="4" t="s">
        <v>24</v>
      </c>
      <c r="E1715" s="4" t="s">
        <v>32</v>
      </c>
      <c r="F1715" s="4" t="s">
        <v>25</v>
      </c>
      <c r="G1715" s="4" t="s">
        <v>25</v>
      </c>
      <c r="H1715" s="4" t="s">
        <v>25</v>
      </c>
      <c r="I1715" s="5">
        <v>44743</v>
      </c>
      <c r="J1715" s="6">
        <v>0</v>
      </c>
      <c r="K1715" s="6">
        <v>0</v>
      </c>
      <c r="L1715" s="6">
        <v>-5.69</v>
      </c>
      <c r="M1715" s="6">
        <v>-5.69</v>
      </c>
      <c r="N1715" s="6">
        <v>-5.69</v>
      </c>
      <c r="O1715" s="6">
        <v>-5.69</v>
      </c>
      <c r="P1715" s="6">
        <v>-27</v>
      </c>
      <c r="Q1715" s="4" t="s">
        <v>26</v>
      </c>
      <c r="R1715" s="4">
        <v>0</v>
      </c>
      <c r="S1715" s="4" t="s">
        <v>467</v>
      </c>
      <c r="T1715" s="4" t="s">
        <v>724</v>
      </c>
      <c r="U1715" s="4">
        <v>0</v>
      </c>
      <c r="V1715" s="4">
        <v>10</v>
      </c>
      <c r="W1715" s="4">
        <v>76</v>
      </c>
    </row>
    <row r="1716" spans="1:23" ht="11.25" customHeight="1" x14ac:dyDescent="0.25">
      <c r="A1716" s="4" t="s">
        <v>57</v>
      </c>
      <c r="B1716" s="4" t="s">
        <v>22</v>
      </c>
      <c r="C1716" s="4" t="s">
        <v>23</v>
      </c>
      <c r="D1716" s="4" t="s">
        <v>24</v>
      </c>
      <c r="E1716" s="4" t="s">
        <v>32</v>
      </c>
      <c r="F1716" s="4" t="s">
        <v>25</v>
      </c>
      <c r="G1716" s="4" t="s">
        <v>25</v>
      </c>
      <c r="H1716" s="4" t="s">
        <v>25</v>
      </c>
      <c r="I1716" s="5">
        <v>44743</v>
      </c>
      <c r="J1716" s="6">
        <v>0</v>
      </c>
      <c r="K1716" s="6">
        <v>0</v>
      </c>
      <c r="L1716" s="6">
        <v>62.06</v>
      </c>
      <c r="M1716" s="6">
        <v>62.06</v>
      </c>
      <c r="N1716" s="6">
        <v>62.06</v>
      </c>
      <c r="O1716" s="6">
        <v>62.06</v>
      </c>
      <c r="P1716" s="6">
        <v>472</v>
      </c>
      <c r="Q1716" s="4" t="s">
        <v>26</v>
      </c>
      <c r="R1716" s="4">
        <v>0</v>
      </c>
      <c r="S1716" s="4" t="s">
        <v>467</v>
      </c>
      <c r="T1716" s="4" t="s">
        <v>724</v>
      </c>
      <c r="U1716" s="4">
        <v>0</v>
      </c>
      <c r="V1716" s="4">
        <v>10</v>
      </c>
      <c r="W1716" s="4">
        <v>76</v>
      </c>
    </row>
    <row r="1717" spans="1:23" ht="11.25" customHeight="1" x14ac:dyDescent="0.25">
      <c r="A1717" s="4" t="s">
        <v>21</v>
      </c>
      <c r="B1717" s="4" t="s">
        <v>44</v>
      </c>
      <c r="C1717" s="4" t="s">
        <v>33</v>
      </c>
      <c r="D1717" s="4" t="s">
        <v>45</v>
      </c>
      <c r="E1717" s="4" t="s">
        <v>53</v>
      </c>
      <c r="F1717" s="4" t="s">
        <v>54</v>
      </c>
      <c r="G1717" s="4" t="s">
        <v>25</v>
      </c>
      <c r="H1717" s="4" t="s">
        <v>35</v>
      </c>
      <c r="I1717" s="5">
        <v>44440</v>
      </c>
      <c r="J1717" s="6">
        <v>0</v>
      </c>
      <c r="K1717" s="6">
        <v>0</v>
      </c>
      <c r="L1717" s="6">
        <v>7.29</v>
      </c>
      <c r="M1717" s="6">
        <v>7.29</v>
      </c>
      <c r="N1717" s="6">
        <v>7.29</v>
      </c>
      <c r="O1717" s="6">
        <v>7.29</v>
      </c>
      <c r="P1717" s="6">
        <v>0</v>
      </c>
      <c r="Q1717" s="4" t="s">
        <v>26</v>
      </c>
      <c r="R1717" s="4">
        <v>0</v>
      </c>
      <c r="S1717" s="4" t="s">
        <v>468</v>
      </c>
      <c r="T1717" s="4" t="s">
        <v>725</v>
      </c>
      <c r="U1717" s="4">
        <v>0</v>
      </c>
      <c r="V1717" s="4">
        <v>25</v>
      </c>
      <c r="W1717" s="4">
        <v>84</v>
      </c>
    </row>
    <row r="1718" spans="1:23" ht="11.25" customHeight="1" x14ac:dyDescent="0.25">
      <c r="A1718" s="4" t="s">
        <v>21</v>
      </c>
      <c r="B1718" s="4" t="s">
        <v>44</v>
      </c>
      <c r="C1718" s="4" t="s">
        <v>33</v>
      </c>
      <c r="D1718" s="4" t="s">
        <v>45</v>
      </c>
      <c r="E1718" s="4" t="s">
        <v>53</v>
      </c>
      <c r="F1718" s="4" t="s">
        <v>54</v>
      </c>
      <c r="G1718" s="4" t="s">
        <v>25</v>
      </c>
      <c r="H1718" s="4" t="s">
        <v>35</v>
      </c>
      <c r="I1718" s="5">
        <v>44501</v>
      </c>
      <c r="J1718" s="6">
        <v>0</v>
      </c>
      <c r="K1718" s="6">
        <v>0</v>
      </c>
      <c r="L1718" s="6">
        <v>6.5609999999999999</v>
      </c>
      <c r="M1718" s="6">
        <v>6.5609999999999999</v>
      </c>
      <c r="N1718" s="6">
        <v>6.5609999999999999</v>
      </c>
      <c r="O1718" s="6">
        <v>6.5609999999999999</v>
      </c>
      <c r="P1718" s="6">
        <v>0</v>
      </c>
      <c r="Q1718" s="4" t="s">
        <v>26</v>
      </c>
      <c r="R1718" s="4">
        <v>0</v>
      </c>
      <c r="S1718" s="4" t="s">
        <v>469</v>
      </c>
      <c r="T1718" s="4" t="s">
        <v>726</v>
      </c>
      <c r="U1718" s="4">
        <v>0</v>
      </c>
      <c r="V1718" s="4">
        <v>25</v>
      </c>
      <c r="W1718" s="4">
        <v>84</v>
      </c>
    </row>
    <row r="1719" spans="1:23" ht="11.25" customHeight="1" x14ac:dyDescent="0.25">
      <c r="A1719" s="4" t="s">
        <v>21</v>
      </c>
      <c r="B1719" s="4" t="s">
        <v>44</v>
      </c>
      <c r="C1719" s="4" t="s">
        <v>33</v>
      </c>
      <c r="D1719" s="4" t="s">
        <v>45</v>
      </c>
      <c r="E1719" s="4" t="s">
        <v>53</v>
      </c>
      <c r="F1719" s="4" t="s">
        <v>54</v>
      </c>
      <c r="G1719" s="4" t="s">
        <v>25</v>
      </c>
      <c r="H1719" s="4" t="s">
        <v>36</v>
      </c>
      <c r="I1719" s="5">
        <v>44440</v>
      </c>
      <c r="J1719" s="6">
        <v>0</v>
      </c>
      <c r="K1719" s="6">
        <v>0</v>
      </c>
      <c r="L1719" s="6">
        <v>0.252</v>
      </c>
      <c r="M1719" s="6">
        <v>0.252</v>
      </c>
      <c r="N1719" s="6">
        <v>0.252</v>
      </c>
      <c r="O1719" s="6">
        <v>0.252</v>
      </c>
      <c r="P1719" s="6">
        <v>0</v>
      </c>
      <c r="Q1719" s="4" t="s">
        <v>26</v>
      </c>
      <c r="R1719" s="4">
        <v>0</v>
      </c>
      <c r="S1719" s="4" t="s">
        <v>470</v>
      </c>
      <c r="T1719" s="4" t="s">
        <v>727</v>
      </c>
      <c r="U1719" s="4">
        <v>0</v>
      </c>
      <c r="V1719" s="4">
        <v>23</v>
      </c>
      <c r="W1719" s="4">
        <v>83</v>
      </c>
    </row>
    <row r="1720" spans="1:23" ht="11.25" customHeight="1" x14ac:dyDescent="0.25">
      <c r="A1720" s="4" t="s">
        <v>21</v>
      </c>
      <c r="B1720" s="4" t="s">
        <v>44</v>
      </c>
      <c r="C1720" s="4" t="s">
        <v>33</v>
      </c>
      <c r="D1720" s="4" t="s">
        <v>45</v>
      </c>
      <c r="E1720" s="4" t="s">
        <v>53</v>
      </c>
      <c r="F1720" s="4" t="s">
        <v>54</v>
      </c>
      <c r="G1720" s="4" t="s">
        <v>25</v>
      </c>
      <c r="H1720" s="4" t="s">
        <v>36</v>
      </c>
      <c r="I1720" s="5">
        <v>44501</v>
      </c>
      <c r="J1720" s="6">
        <v>0</v>
      </c>
      <c r="K1720" s="6">
        <v>0</v>
      </c>
      <c r="L1720" s="6">
        <v>0.22700000000000001</v>
      </c>
      <c r="M1720" s="6">
        <v>0.22700000000000001</v>
      </c>
      <c r="N1720" s="6">
        <v>0.22700000000000001</v>
      </c>
      <c r="O1720" s="6">
        <v>0.22700000000000001</v>
      </c>
      <c r="P1720" s="6">
        <v>0</v>
      </c>
      <c r="Q1720" s="4" t="s">
        <v>26</v>
      </c>
      <c r="R1720" s="4">
        <v>0</v>
      </c>
      <c r="S1720" s="4" t="s">
        <v>471</v>
      </c>
      <c r="T1720" s="4" t="s">
        <v>728</v>
      </c>
      <c r="U1720" s="4">
        <v>0</v>
      </c>
      <c r="V1720" s="4">
        <v>23</v>
      </c>
      <c r="W1720" s="4">
        <v>83</v>
      </c>
    </row>
    <row r="1721" spans="1:23" ht="11.25" customHeight="1" x14ac:dyDescent="0.25">
      <c r="A1721" s="4" t="s">
        <v>21</v>
      </c>
      <c r="B1721" s="4" t="s">
        <v>44</v>
      </c>
      <c r="C1721" s="4" t="s">
        <v>33</v>
      </c>
      <c r="D1721" s="4" t="s">
        <v>45</v>
      </c>
      <c r="E1721" s="4" t="s">
        <v>53</v>
      </c>
      <c r="F1721" s="4" t="s">
        <v>54</v>
      </c>
      <c r="G1721" s="4" t="s">
        <v>25</v>
      </c>
      <c r="H1721" s="4" t="s">
        <v>34</v>
      </c>
      <c r="I1721" s="5">
        <v>44440</v>
      </c>
      <c r="J1721" s="6">
        <v>0</v>
      </c>
      <c r="K1721" s="6">
        <v>0</v>
      </c>
      <c r="L1721" s="6">
        <v>0.1</v>
      </c>
      <c r="M1721" s="6">
        <v>0.1</v>
      </c>
      <c r="N1721" s="6">
        <v>0.1</v>
      </c>
      <c r="O1721" s="6">
        <v>0.1</v>
      </c>
      <c r="P1721" s="6">
        <v>0</v>
      </c>
      <c r="Q1721" s="4" t="s">
        <v>26</v>
      </c>
      <c r="R1721" s="4">
        <v>0</v>
      </c>
      <c r="S1721" s="4" t="s">
        <v>472</v>
      </c>
      <c r="T1721" s="4" t="s">
        <v>729</v>
      </c>
      <c r="U1721" s="4">
        <v>0</v>
      </c>
      <c r="V1721" s="4">
        <v>21</v>
      </c>
      <c r="W1721" s="4">
        <v>82</v>
      </c>
    </row>
    <row r="1722" spans="1:23" ht="11.25" customHeight="1" x14ac:dyDescent="0.25">
      <c r="A1722" s="4" t="s">
        <v>21</v>
      </c>
      <c r="B1722" s="4" t="s">
        <v>44</v>
      </c>
      <c r="C1722" s="4" t="s">
        <v>33</v>
      </c>
      <c r="D1722" s="4" t="s">
        <v>45</v>
      </c>
      <c r="E1722" s="4" t="s">
        <v>53</v>
      </c>
      <c r="F1722" s="4" t="s">
        <v>54</v>
      </c>
      <c r="G1722" s="4" t="s">
        <v>25</v>
      </c>
      <c r="H1722" s="4" t="s">
        <v>34</v>
      </c>
      <c r="I1722" s="5">
        <v>44501</v>
      </c>
      <c r="J1722" s="6">
        <v>0</v>
      </c>
      <c r="K1722" s="6">
        <v>0</v>
      </c>
      <c r="L1722" s="6">
        <v>0.09</v>
      </c>
      <c r="M1722" s="6">
        <v>0.09</v>
      </c>
      <c r="N1722" s="6">
        <v>0.09</v>
      </c>
      <c r="O1722" s="6">
        <v>0.09</v>
      </c>
      <c r="P1722" s="6">
        <v>0</v>
      </c>
      <c r="Q1722" s="4" t="s">
        <v>26</v>
      </c>
      <c r="R1722" s="4">
        <v>0</v>
      </c>
      <c r="S1722" s="4" t="s">
        <v>473</v>
      </c>
      <c r="T1722" s="4" t="s">
        <v>730</v>
      </c>
      <c r="U1722" s="4">
        <v>0</v>
      </c>
      <c r="V1722" s="4">
        <v>21</v>
      </c>
      <c r="W1722" s="4">
        <v>82</v>
      </c>
    </row>
    <row r="1723" spans="1:23" ht="11.25" customHeight="1" x14ac:dyDescent="0.25">
      <c r="A1723" s="4" t="s">
        <v>21</v>
      </c>
      <c r="B1723" s="4" t="s">
        <v>44</v>
      </c>
      <c r="C1723" s="4" t="s">
        <v>33</v>
      </c>
      <c r="D1723" s="4" t="s">
        <v>45</v>
      </c>
      <c r="E1723" s="4" t="s">
        <v>25</v>
      </c>
      <c r="F1723" s="4" t="s">
        <v>25</v>
      </c>
      <c r="G1723" s="4" t="s">
        <v>25</v>
      </c>
      <c r="H1723" s="4" t="s">
        <v>35</v>
      </c>
      <c r="I1723" s="5">
        <v>44409</v>
      </c>
      <c r="J1723" s="6">
        <v>0</v>
      </c>
      <c r="K1723" s="6">
        <v>0</v>
      </c>
      <c r="L1723" s="6">
        <v>12.946</v>
      </c>
      <c r="M1723" s="6">
        <v>12.946</v>
      </c>
      <c r="N1723" s="6">
        <v>12.946</v>
      </c>
      <c r="O1723" s="6">
        <v>12.946</v>
      </c>
      <c r="P1723" s="6">
        <v>0</v>
      </c>
      <c r="Q1723" s="4" t="s">
        <v>26</v>
      </c>
      <c r="R1723" s="4">
        <v>0</v>
      </c>
      <c r="S1723" s="4" t="s">
        <v>474</v>
      </c>
      <c r="T1723" s="4" t="s">
        <v>731</v>
      </c>
      <c r="U1723" s="4">
        <v>0</v>
      </c>
      <c r="V1723" s="4">
        <v>25</v>
      </c>
      <c r="W1723" s="4">
        <v>84</v>
      </c>
    </row>
    <row r="1724" spans="1:23" ht="11.25" customHeight="1" x14ac:dyDescent="0.25">
      <c r="A1724" s="4" t="s">
        <v>21</v>
      </c>
      <c r="B1724" s="4" t="s">
        <v>44</v>
      </c>
      <c r="C1724" s="4" t="s">
        <v>33</v>
      </c>
      <c r="D1724" s="4" t="s">
        <v>45</v>
      </c>
      <c r="E1724" s="4" t="s">
        <v>25</v>
      </c>
      <c r="F1724" s="4" t="s">
        <v>25</v>
      </c>
      <c r="G1724" s="4" t="s">
        <v>25</v>
      </c>
      <c r="H1724" s="4" t="s">
        <v>35</v>
      </c>
      <c r="I1724" s="5">
        <v>44440</v>
      </c>
      <c r="J1724" s="6">
        <v>0</v>
      </c>
      <c r="K1724" s="6">
        <v>0</v>
      </c>
      <c r="L1724" s="6">
        <v>10.468</v>
      </c>
      <c r="M1724" s="6">
        <v>10.468</v>
      </c>
      <c r="N1724" s="6">
        <v>10.468</v>
      </c>
      <c r="O1724" s="6">
        <v>10.468</v>
      </c>
      <c r="P1724" s="6">
        <v>0</v>
      </c>
      <c r="Q1724" s="4" t="s">
        <v>26</v>
      </c>
      <c r="R1724" s="4">
        <v>0</v>
      </c>
      <c r="S1724" s="4" t="s">
        <v>468</v>
      </c>
      <c r="T1724" s="4" t="s">
        <v>725</v>
      </c>
      <c r="U1724" s="4">
        <v>0</v>
      </c>
      <c r="V1724" s="4">
        <v>25</v>
      </c>
      <c r="W1724" s="4">
        <v>84</v>
      </c>
    </row>
    <row r="1725" spans="1:23" ht="11.25" customHeight="1" x14ac:dyDescent="0.25">
      <c r="A1725" s="4" t="s">
        <v>21</v>
      </c>
      <c r="B1725" s="4" t="s">
        <v>44</v>
      </c>
      <c r="C1725" s="4" t="s">
        <v>33</v>
      </c>
      <c r="D1725" s="4" t="s">
        <v>45</v>
      </c>
      <c r="E1725" s="4" t="s">
        <v>25</v>
      </c>
      <c r="F1725" s="4" t="s">
        <v>25</v>
      </c>
      <c r="G1725" s="4" t="s">
        <v>25</v>
      </c>
      <c r="H1725" s="4" t="s">
        <v>35</v>
      </c>
      <c r="I1725" s="5">
        <v>44470</v>
      </c>
      <c r="J1725" s="6">
        <v>0</v>
      </c>
      <c r="K1725" s="6">
        <v>0</v>
      </c>
      <c r="L1725" s="6">
        <v>14.688000000000001</v>
      </c>
      <c r="M1725" s="6">
        <v>14.688000000000001</v>
      </c>
      <c r="N1725" s="6">
        <v>14.688000000000001</v>
      </c>
      <c r="O1725" s="6">
        <v>14.688000000000001</v>
      </c>
      <c r="P1725" s="6">
        <v>0</v>
      </c>
      <c r="Q1725" s="4" t="s">
        <v>26</v>
      </c>
      <c r="R1725" s="4">
        <v>0</v>
      </c>
      <c r="S1725" s="4" t="s">
        <v>475</v>
      </c>
      <c r="T1725" s="4" t="s">
        <v>732</v>
      </c>
      <c r="U1725" s="4">
        <v>0</v>
      </c>
      <c r="V1725" s="4">
        <v>25</v>
      </c>
      <c r="W1725" s="4">
        <v>84</v>
      </c>
    </row>
    <row r="1726" spans="1:23" ht="11.25" customHeight="1" x14ac:dyDescent="0.25">
      <c r="A1726" s="4" t="s">
        <v>21</v>
      </c>
      <c r="B1726" s="4" t="s">
        <v>44</v>
      </c>
      <c r="C1726" s="4" t="s">
        <v>33</v>
      </c>
      <c r="D1726" s="4" t="s">
        <v>45</v>
      </c>
      <c r="E1726" s="4" t="s">
        <v>25</v>
      </c>
      <c r="F1726" s="4" t="s">
        <v>25</v>
      </c>
      <c r="G1726" s="4" t="s">
        <v>25</v>
      </c>
      <c r="H1726" s="4" t="s">
        <v>35</v>
      </c>
      <c r="I1726" s="5">
        <v>44501</v>
      </c>
      <c r="J1726" s="6">
        <v>0</v>
      </c>
      <c r="K1726" s="6">
        <v>0</v>
      </c>
      <c r="L1726" s="6">
        <v>9.9930000000000003</v>
      </c>
      <c r="M1726" s="6">
        <v>9.9930000000000003</v>
      </c>
      <c r="N1726" s="6">
        <v>9.9930000000000003</v>
      </c>
      <c r="O1726" s="6">
        <v>9.9930000000000003</v>
      </c>
      <c r="P1726" s="6">
        <v>0</v>
      </c>
      <c r="Q1726" s="4" t="s">
        <v>26</v>
      </c>
      <c r="R1726" s="4">
        <v>0</v>
      </c>
      <c r="S1726" s="4" t="s">
        <v>469</v>
      </c>
      <c r="T1726" s="4" t="s">
        <v>726</v>
      </c>
      <c r="U1726" s="4">
        <v>0</v>
      </c>
      <c r="V1726" s="4">
        <v>25</v>
      </c>
      <c r="W1726" s="4">
        <v>84</v>
      </c>
    </row>
    <row r="1727" spans="1:23" ht="11.25" customHeight="1" x14ac:dyDescent="0.25">
      <c r="A1727" s="4" t="s">
        <v>21</v>
      </c>
      <c r="B1727" s="4" t="s">
        <v>44</v>
      </c>
      <c r="C1727" s="4" t="s">
        <v>33</v>
      </c>
      <c r="D1727" s="4" t="s">
        <v>45</v>
      </c>
      <c r="E1727" s="4" t="s">
        <v>25</v>
      </c>
      <c r="F1727" s="4" t="s">
        <v>25</v>
      </c>
      <c r="G1727" s="4" t="s">
        <v>25</v>
      </c>
      <c r="H1727" s="4" t="s">
        <v>35</v>
      </c>
      <c r="I1727" s="5">
        <v>44531</v>
      </c>
      <c r="J1727" s="6">
        <v>0</v>
      </c>
      <c r="K1727" s="6">
        <v>0</v>
      </c>
      <c r="L1727" s="6">
        <v>12.581</v>
      </c>
      <c r="M1727" s="6">
        <v>12.581</v>
      </c>
      <c r="N1727" s="6">
        <v>12.581</v>
      </c>
      <c r="O1727" s="6">
        <v>12.581</v>
      </c>
      <c r="P1727" s="6">
        <v>0</v>
      </c>
      <c r="Q1727" s="4" t="s">
        <v>26</v>
      </c>
      <c r="R1727" s="4">
        <v>0</v>
      </c>
      <c r="S1727" s="4" t="s">
        <v>476</v>
      </c>
      <c r="T1727" s="4" t="s">
        <v>733</v>
      </c>
      <c r="U1727" s="4">
        <v>0</v>
      </c>
      <c r="V1727" s="4">
        <v>25</v>
      </c>
      <c r="W1727" s="4">
        <v>84</v>
      </c>
    </row>
    <row r="1728" spans="1:23" ht="11.25" customHeight="1" x14ac:dyDescent="0.25">
      <c r="A1728" s="4" t="s">
        <v>21</v>
      </c>
      <c r="B1728" s="4" t="s">
        <v>44</v>
      </c>
      <c r="C1728" s="4" t="s">
        <v>33</v>
      </c>
      <c r="D1728" s="4" t="s">
        <v>45</v>
      </c>
      <c r="E1728" s="4" t="s">
        <v>25</v>
      </c>
      <c r="F1728" s="4" t="s">
        <v>25</v>
      </c>
      <c r="G1728" s="4" t="s">
        <v>25</v>
      </c>
      <c r="H1728" s="4" t="s">
        <v>35</v>
      </c>
      <c r="I1728" s="5">
        <v>44562</v>
      </c>
      <c r="J1728" s="6">
        <v>0</v>
      </c>
      <c r="K1728" s="6">
        <v>0</v>
      </c>
      <c r="L1728" s="6">
        <v>10.922000000000001</v>
      </c>
      <c r="M1728" s="6">
        <v>10.922000000000001</v>
      </c>
      <c r="N1728" s="6">
        <v>10.922000000000001</v>
      </c>
      <c r="O1728" s="6">
        <v>10.922000000000001</v>
      </c>
      <c r="P1728" s="6">
        <v>0</v>
      </c>
      <c r="Q1728" s="4" t="s">
        <v>26</v>
      </c>
      <c r="R1728" s="4">
        <v>0</v>
      </c>
      <c r="S1728" s="4" t="s">
        <v>477</v>
      </c>
      <c r="T1728" s="4" t="s">
        <v>734</v>
      </c>
      <c r="U1728" s="4">
        <v>0</v>
      </c>
      <c r="V1728" s="4">
        <v>25</v>
      </c>
      <c r="W1728" s="4">
        <v>84</v>
      </c>
    </row>
    <row r="1729" spans="1:23" ht="11.25" customHeight="1" x14ac:dyDescent="0.25">
      <c r="A1729" s="4" t="s">
        <v>21</v>
      </c>
      <c r="B1729" s="4" t="s">
        <v>44</v>
      </c>
      <c r="C1729" s="4" t="s">
        <v>33</v>
      </c>
      <c r="D1729" s="4" t="s">
        <v>45</v>
      </c>
      <c r="E1729" s="4" t="s">
        <v>25</v>
      </c>
      <c r="F1729" s="4" t="s">
        <v>25</v>
      </c>
      <c r="G1729" s="4" t="s">
        <v>25</v>
      </c>
      <c r="H1729" s="4" t="s">
        <v>35</v>
      </c>
      <c r="I1729" s="5">
        <v>44593</v>
      </c>
      <c r="J1729" s="6">
        <v>0</v>
      </c>
      <c r="K1729" s="6">
        <v>0</v>
      </c>
      <c r="L1729" s="6">
        <v>6.39</v>
      </c>
      <c r="M1729" s="6">
        <v>6.39</v>
      </c>
      <c r="N1729" s="6">
        <v>6.39</v>
      </c>
      <c r="O1729" s="6">
        <v>6.39</v>
      </c>
      <c r="P1729" s="6">
        <v>0</v>
      </c>
      <c r="Q1729" s="4" t="s">
        <v>26</v>
      </c>
      <c r="R1729" s="4">
        <v>0</v>
      </c>
      <c r="S1729" s="4" t="s">
        <v>478</v>
      </c>
      <c r="T1729" s="4" t="s">
        <v>735</v>
      </c>
      <c r="U1729" s="4">
        <v>0</v>
      </c>
      <c r="V1729" s="4">
        <v>25</v>
      </c>
      <c r="W1729" s="4">
        <v>84</v>
      </c>
    </row>
    <row r="1730" spans="1:23" ht="11.25" customHeight="1" x14ac:dyDescent="0.25">
      <c r="A1730" s="4" t="s">
        <v>21</v>
      </c>
      <c r="B1730" s="4" t="s">
        <v>44</v>
      </c>
      <c r="C1730" s="4" t="s">
        <v>33</v>
      </c>
      <c r="D1730" s="4" t="s">
        <v>45</v>
      </c>
      <c r="E1730" s="4" t="s">
        <v>25</v>
      </c>
      <c r="F1730" s="4" t="s">
        <v>25</v>
      </c>
      <c r="G1730" s="4" t="s">
        <v>25</v>
      </c>
      <c r="H1730" s="4" t="s">
        <v>35</v>
      </c>
      <c r="I1730" s="5">
        <v>44621</v>
      </c>
      <c r="J1730" s="6">
        <v>0</v>
      </c>
      <c r="K1730" s="6">
        <v>0</v>
      </c>
      <c r="L1730" s="6">
        <v>3.0859999999999999</v>
      </c>
      <c r="M1730" s="6">
        <v>3.0859999999999999</v>
      </c>
      <c r="N1730" s="6">
        <v>3.0859999999999999</v>
      </c>
      <c r="O1730" s="6">
        <v>3.0859999999999999</v>
      </c>
      <c r="P1730" s="6">
        <v>0</v>
      </c>
      <c r="Q1730" s="4" t="s">
        <v>26</v>
      </c>
      <c r="R1730" s="4">
        <v>0</v>
      </c>
      <c r="S1730" s="4" t="s">
        <v>479</v>
      </c>
      <c r="T1730" s="4" t="s">
        <v>736</v>
      </c>
      <c r="U1730" s="4">
        <v>0</v>
      </c>
      <c r="V1730" s="4">
        <v>25</v>
      </c>
      <c r="W1730" s="4">
        <v>84</v>
      </c>
    </row>
    <row r="1731" spans="1:23" ht="11.25" customHeight="1" x14ac:dyDescent="0.25">
      <c r="A1731" s="4" t="s">
        <v>21</v>
      </c>
      <c r="B1731" s="4" t="s">
        <v>44</v>
      </c>
      <c r="C1731" s="4" t="s">
        <v>33</v>
      </c>
      <c r="D1731" s="4" t="s">
        <v>45</v>
      </c>
      <c r="E1731" s="4" t="s">
        <v>25</v>
      </c>
      <c r="F1731" s="4" t="s">
        <v>25</v>
      </c>
      <c r="G1731" s="4" t="s">
        <v>25</v>
      </c>
      <c r="H1731" s="4" t="s">
        <v>35</v>
      </c>
      <c r="I1731" s="5">
        <v>44652</v>
      </c>
      <c r="J1731" s="6">
        <v>0</v>
      </c>
      <c r="K1731" s="6">
        <v>0</v>
      </c>
      <c r="L1731" s="6">
        <v>2.5569999999999999</v>
      </c>
      <c r="M1731" s="6">
        <v>2.5569999999999999</v>
      </c>
      <c r="N1731" s="6">
        <v>2.5569999999999999</v>
      </c>
      <c r="O1731" s="6">
        <v>2.5569999999999999</v>
      </c>
      <c r="P1731" s="6">
        <v>0</v>
      </c>
      <c r="Q1731" s="4" t="s">
        <v>26</v>
      </c>
      <c r="R1731" s="4">
        <v>0</v>
      </c>
      <c r="S1731" s="4" t="s">
        <v>480</v>
      </c>
      <c r="T1731" s="4" t="s">
        <v>737</v>
      </c>
      <c r="U1731" s="4">
        <v>0</v>
      </c>
      <c r="V1731" s="4">
        <v>25</v>
      </c>
      <c r="W1731" s="4">
        <v>84</v>
      </c>
    </row>
    <row r="1732" spans="1:23" ht="11.25" customHeight="1" x14ac:dyDescent="0.25">
      <c r="A1732" s="4" t="s">
        <v>21</v>
      </c>
      <c r="B1732" s="4" t="s">
        <v>44</v>
      </c>
      <c r="C1732" s="4" t="s">
        <v>33</v>
      </c>
      <c r="D1732" s="4" t="s">
        <v>45</v>
      </c>
      <c r="E1732" s="4" t="s">
        <v>25</v>
      </c>
      <c r="F1732" s="4" t="s">
        <v>25</v>
      </c>
      <c r="G1732" s="4" t="s">
        <v>25</v>
      </c>
      <c r="H1732" s="4" t="s">
        <v>35</v>
      </c>
      <c r="I1732" s="5">
        <v>44682</v>
      </c>
      <c r="J1732" s="6">
        <v>0</v>
      </c>
      <c r="K1732" s="6">
        <v>0</v>
      </c>
      <c r="L1732" s="6">
        <v>3.3130000000000002</v>
      </c>
      <c r="M1732" s="6">
        <v>3.3130000000000002</v>
      </c>
      <c r="N1732" s="6">
        <v>3.3130000000000002</v>
      </c>
      <c r="O1732" s="6">
        <v>3.3130000000000002</v>
      </c>
      <c r="P1732" s="6">
        <v>0</v>
      </c>
      <c r="Q1732" s="4" t="s">
        <v>26</v>
      </c>
      <c r="R1732" s="4">
        <v>0</v>
      </c>
      <c r="S1732" s="4" t="s">
        <v>481</v>
      </c>
      <c r="T1732" s="4" t="s">
        <v>738</v>
      </c>
      <c r="U1732" s="4">
        <v>0</v>
      </c>
      <c r="V1732" s="4">
        <v>25</v>
      </c>
      <c r="W1732" s="4">
        <v>84</v>
      </c>
    </row>
    <row r="1733" spans="1:23" ht="11.25" customHeight="1" x14ac:dyDescent="0.25">
      <c r="A1733" s="4" t="s">
        <v>21</v>
      </c>
      <c r="B1733" s="4" t="s">
        <v>44</v>
      </c>
      <c r="C1733" s="4" t="s">
        <v>33</v>
      </c>
      <c r="D1733" s="4" t="s">
        <v>45</v>
      </c>
      <c r="E1733" s="4" t="s">
        <v>25</v>
      </c>
      <c r="F1733" s="4" t="s">
        <v>25</v>
      </c>
      <c r="G1733" s="4" t="s">
        <v>25</v>
      </c>
      <c r="H1733" s="4" t="s">
        <v>35</v>
      </c>
      <c r="I1733" s="5">
        <v>44713</v>
      </c>
      <c r="J1733" s="6">
        <v>0</v>
      </c>
      <c r="K1733" s="6">
        <v>0</v>
      </c>
      <c r="L1733" s="6">
        <v>2.52</v>
      </c>
      <c r="M1733" s="6">
        <v>2.52</v>
      </c>
      <c r="N1733" s="6">
        <v>2.52</v>
      </c>
      <c r="O1733" s="6">
        <v>2.52</v>
      </c>
      <c r="P1733" s="6">
        <v>0</v>
      </c>
      <c r="Q1733" s="4" t="s">
        <v>26</v>
      </c>
      <c r="R1733" s="4">
        <v>0</v>
      </c>
      <c r="S1733" s="4" t="s">
        <v>482</v>
      </c>
      <c r="T1733" s="4" t="s">
        <v>739</v>
      </c>
      <c r="U1733" s="4">
        <v>0</v>
      </c>
      <c r="V1733" s="4">
        <v>25</v>
      </c>
      <c r="W1733" s="4">
        <v>84</v>
      </c>
    </row>
    <row r="1734" spans="1:23" ht="11.25" customHeight="1" x14ac:dyDescent="0.25">
      <c r="A1734" s="4" t="s">
        <v>57</v>
      </c>
      <c r="B1734" s="4" t="s">
        <v>44</v>
      </c>
      <c r="C1734" s="4" t="s">
        <v>33</v>
      </c>
      <c r="D1734" s="4" t="s">
        <v>45</v>
      </c>
      <c r="E1734" s="4" t="s">
        <v>25</v>
      </c>
      <c r="F1734" s="4" t="s">
        <v>25</v>
      </c>
      <c r="G1734" s="4" t="s">
        <v>25</v>
      </c>
      <c r="H1734" s="4" t="s">
        <v>35</v>
      </c>
      <c r="I1734" s="5">
        <v>44743</v>
      </c>
      <c r="J1734" s="6">
        <v>0</v>
      </c>
      <c r="K1734" s="6">
        <v>0</v>
      </c>
      <c r="L1734" s="6">
        <v>2.52</v>
      </c>
      <c r="M1734" s="6">
        <v>2.52</v>
      </c>
      <c r="N1734" s="6">
        <v>2.52</v>
      </c>
      <c r="O1734" s="6">
        <v>2.52</v>
      </c>
      <c r="P1734" s="6">
        <v>0</v>
      </c>
      <c r="Q1734" s="4" t="s">
        <v>26</v>
      </c>
      <c r="R1734" s="4">
        <v>0</v>
      </c>
      <c r="S1734" s="4" t="s">
        <v>483</v>
      </c>
      <c r="T1734" s="4" t="s">
        <v>740</v>
      </c>
      <c r="U1734" s="4">
        <v>0</v>
      </c>
      <c r="V1734" s="4">
        <v>25</v>
      </c>
      <c r="W1734" s="4">
        <v>84</v>
      </c>
    </row>
    <row r="1735" spans="1:23" ht="11.25" customHeight="1" x14ac:dyDescent="0.25">
      <c r="A1735" s="4" t="s">
        <v>21</v>
      </c>
      <c r="B1735" s="4" t="s">
        <v>44</v>
      </c>
      <c r="C1735" s="4" t="s">
        <v>33</v>
      </c>
      <c r="D1735" s="4" t="s">
        <v>45</v>
      </c>
      <c r="E1735" s="4" t="s">
        <v>25</v>
      </c>
      <c r="F1735" s="4" t="s">
        <v>25</v>
      </c>
      <c r="G1735" s="4" t="s">
        <v>25</v>
      </c>
      <c r="H1735" s="4" t="s">
        <v>36</v>
      </c>
      <c r="I1735" s="5">
        <v>44409</v>
      </c>
      <c r="J1735" s="6">
        <v>0</v>
      </c>
      <c r="K1735" s="6">
        <v>0</v>
      </c>
      <c r="L1735" s="6">
        <v>0.43</v>
      </c>
      <c r="M1735" s="6">
        <v>0.43</v>
      </c>
      <c r="N1735" s="6">
        <v>0.43</v>
      </c>
      <c r="O1735" s="6">
        <v>0.43</v>
      </c>
      <c r="P1735" s="6">
        <v>0</v>
      </c>
      <c r="Q1735" s="4" t="s">
        <v>26</v>
      </c>
      <c r="R1735" s="4">
        <v>0</v>
      </c>
      <c r="S1735" s="4" t="s">
        <v>484</v>
      </c>
      <c r="T1735" s="4" t="s">
        <v>741</v>
      </c>
      <c r="U1735" s="4">
        <v>0</v>
      </c>
      <c r="V1735" s="4">
        <v>23</v>
      </c>
      <c r="W1735" s="4">
        <v>83</v>
      </c>
    </row>
    <row r="1736" spans="1:23" ht="11.25" customHeight="1" x14ac:dyDescent="0.25">
      <c r="A1736" s="4" t="s">
        <v>21</v>
      </c>
      <c r="B1736" s="4" t="s">
        <v>44</v>
      </c>
      <c r="C1736" s="4" t="s">
        <v>33</v>
      </c>
      <c r="D1736" s="4" t="s">
        <v>45</v>
      </c>
      <c r="E1736" s="4" t="s">
        <v>25</v>
      </c>
      <c r="F1736" s="4" t="s">
        <v>25</v>
      </c>
      <c r="G1736" s="4" t="s">
        <v>25</v>
      </c>
      <c r="H1736" s="4" t="s">
        <v>36</v>
      </c>
      <c r="I1736" s="5">
        <v>44440</v>
      </c>
      <c r="J1736" s="6">
        <v>0</v>
      </c>
      <c r="K1736" s="6">
        <v>0</v>
      </c>
      <c r="L1736" s="6">
        <v>0.36899999999999999</v>
      </c>
      <c r="M1736" s="6">
        <v>0.36899999999999999</v>
      </c>
      <c r="N1736" s="6">
        <v>0.36899999999999999</v>
      </c>
      <c r="O1736" s="6">
        <v>0.36899999999999999</v>
      </c>
      <c r="P1736" s="6">
        <v>0</v>
      </c>
      <c r="Q1736" s="4" t="s">
        <v>26</v>
      </c>
      <c r="R1736" s="4">
        <v>0</v>
      </c>
      <c r="S1736" s="4" t="s">
        <v>470</v>
      </c>
      <c r="T1736" s="4" t="s">
        <v>727</v>
      </c>
      <c r="U1736" s="4">
        <v>0</v>
      </c>
      <c r="V1736" s="4">
        <v>23</v>
      </c>
      <c r="W1736" s="4">
        <v>83</v>
      </c>
    </row>
    <row r="1737" spans="1:23" ht="11.25" customHeight="1" x14ac:dyDescent="0.25">
      <c r="A1737" s="4" t="s">
        <v>21</v>
      </c>
      <c r="B1737" s="4" t="s">
        <v>44</v>
      </c>
      <c r="C1737" s="4" t="s">
        <v>33</v>
      </c>
      <c r="D1737" s="4" t="s">
        <v>45</v>
      </c>
      <c r="E1737" s="4" t="s">
        <v>25</v>
      </c>
      <c r="F1737" s="4" t="s">
        <v>25</v>
      </c>
      <c r="G1737" s="4" t="s">
        <v>25</v>
      </c>
      <c r="H1737" s="4" t="s">
        <v>36</v>
      </c>
      <c r="I1737" s="5">
        <v>44470</v>
      </c>
      <c r="J1737" s="6">
        <v>0</v>
      </c>
      <c r="K1737" s="6">
        <v>0</v>
      </c>
      <c r="L1737" s="6">
        <v>0.439</v>
      </c>
      <c r="M1737" s="6">
        <v>0.439</v>
      </c>
      <c r="N1737" s="6">
        <v>0.439</v>
      </c>
      <c r="O1737" s="6">
        <v>0.439</v>
      </c>
      <c r="P1737" s="6">
        <v>0</v>
      </c>
      <c r="Q1737" s="4" t="s">
        <v>26</v>
      </c>
      <c r="R1737" s="4">
        <v>0</v>
      </c>
      <c r="S1737" s="4" t="s">
        <v>485</v>
      </c>
      <c r="T1737" s="4" t="s">
        <v>742</v>
      </c>
      <c r="U1737" s="4">
        <v>0</v>
      </c>
      <c r="V1737" s="4">
        <v>23</v>
      </c>
      <c r="W1737" s="4">
        <v>83</v>
      </c>
    </row>
    <row r="1738" spans="1:23" ht="11.25" customHeight="1" x14ac:dyDescent="0.25">
      <c r="A1738" s="4" t="s">
        <v>21</v>
      </c>
      <c r="B1738" s="4" t="s">
        <v>44</v>
      </c>
      <c r="C1738" s="4" t="s">
        <v>33</v>
      </c>
      <c r="D1738" s="4" t="s">
        <v>45</v>
      </c>
      <c r="E1738" s="4" t="s">
        <v>25</v>
      </c>
      <c r="F1738" s="4" t="s">
        <v>25</v>
      </c>
      <c r="G1738" s="4" t="s">
        <v>25</v>
      </c>
      <c r="H1738" s="4" t="s">
        <v>36</v>
      </c>
      <c r="I1738" s="5">
        <v>44501</v>
      </c>
      <c r="J1738" s="6">
        <v>0</v>
      </c>
      <c r="K1738" s="6">
        <v>0</v>
      </c>
      <c r="L1738" s="6">
        <v>0.373</v>
      </c>
      <c r="M1738" s="6">
        <v>0.373</v>
      </c>
      <c r="N1738" s="6">
        <v>0.373</v>
      </c>
      <c r="O1738" s="6">
        <v>0.373</v>
      </c>
      <c r="P1738" s="6">
        <v>0</v>
      </c>
      <c r="Q1738" s="4" t="s">
        <v>26</v>
      </c>
      <c r="R1738" s="4">
        <v>0</v>
      </c>
      <c r="S1738" s="4" t="s">
        <v>471</v>
      </c>
      <c r="T1738" s="4" t="s">
        <v>728</v>
      </c>
      <c r="U1738" s="4">
        <v>0</v>
      </c>
      <c r="V1738" s="4">
        <v>23</v>
      </c>
      <c r="W1738" s="4">
        <v>83</v>
      </c>
    </row>
    <row r="1739" spans="1:23" ht="11.25" customHeight="1" x14ac:dyDescent="0.25">
      <c r="A1739" s="4" t="s">
        <v>21</v>
      </c>
      <c r="B1739" s="4" t="s">
        <v>44</v>
      </c>
      <c r="C1739" s="4" t="s">
        <v>33</v>
      </c>
      <c r="D1739" s="4" t="s">
        <v>45</v>
      </c>
      <c r="E1739" s="4" t="s">
        <v>25</v>
      </c>
      <c r="F1739" s="4" t="s">
        <v>25</v>
      </c>
      <c r="G1739" s="4" t="s">
        <v>25</v>
      </c>
      <c r="H1739" s="4" t="s">
        <v>36</v>
      </c>
      <c r="I1739" s="5">
        <v>44531</v>
      </c>
      <c r="J1739" s="6">
        <v>0</v>
      </c>
      <c r="K1739" s="6">
        <v>0</v>
      </c>
      <c r="L1739" s="6">
        <v>0.52800000000000002</v>
      </c>
      <c r="M1739" s="6">
        <v>0.52800000000000002</v>
      </c>
      <c r="N1739" s="6">
        <v>0.52800000000000002</v>
      </c>
      <c r="O1739" s="6">
        <v>0.52800000000000002</v>
      </c>
      <c r="P1739" s="6">
        <v>0</v>
      </c>
      <c r="Q1739" s="4" t="s">
        <v>26</v>
      </c>
      <c r="R1739" s="4">
        <v>0</v>
      </c>
      <c r="S1739" s="4" t="s">
        <v>486</v>
      </c>
      <c r="T1739" s="4" t="s">
        <v>743</v>
      </c>
      <c r="U1739" s="4">
        <v>0</v>
      </c>
      <c r="V1739" s="4">
        <v>23</v>
      </c>
      <c r="W1739" s="4">
        <v>83</v>
      </c>
    </row>
    <row r="1740" spans="1:23" ht="11.25" customHeight="1" x14ac:dyDescent="0.25">
      <c r="A1740" s="4" t="s">
        <v>21</v>
      </c>
      <c r="B1740" s="4" t="s">
        <v>44</v>
      </c>
      <c r="C1740" s="4" t="s">
        <v>33</v>
      </c>
      <c r="D1740" s="4" t="s">
        <v>45</v>
      </c>
      <c r="E1740" s="4" t="s">
        <v>25</v>
      </c>
      <c r="F1740" s="4" t="s">
        <v>25</v>
      </c>
      <c r="G1740" s="4" t="s">
        <v>25</v>
      </c>
      <c r="H1740" s="4" t="s">
        <v>36</v>
      </c>
      <c r="I1740" s="5">
        <v>44562</v>
      </c>
      <c r="J1740" s="6">
        <v>0</v>
      </c>
      <c r="K1740" s="6">
        <v>0</v>
      </c>
      <c r="L1740" s="6">
        <v>0.53100000000000003</v>
      </c>
      <c r="M1740" s="6">
        <v>0.53100000000000003</v>
      </c>
      <c r="N1740" s="6">
        <v>0.53100000000000003</v>
      </c>
      <c r="O1740" s="6">
        <v>0.53100000000000003</v>
      </c>
      <c r="P1740" s="6">
        <v>0</v>
      </c>
      <c r="Q1740" s="4" t="s">
        <v>26</v>
      </c>
      <c r="R1740" s="4">
        <v>0</v>
      </c>
      <c r="S1740" s="4" t="s">
        <v>487</v>
      </c>
      <c r="T1740" s="4" t="s">
        <v>744</v>
      </c>
      <c r="U1740" s="4">
        <v>0</v>
      </c>
      <c r="V1740" s="4">
        <v>23</v>
      </c>
      <c r="W1740" s="4">
        <v>83</v>
      </c>
    </row>
    <row r="1741" spans="1:23" ht="11.25" customHeight="1" x14ac:dyDescent="0.25">
      <c r="A1741" s="4" t="s">
        <v>21</v>
      </c>
      <c r="B1741" s="4" t="s">
        <v>44</v>
      </c>
      <c r="C1741" s="4" t="s">
        <v>33</v>
      </c>
      <c r="D1741" s="4" t="s">
        <v>45</v>
      </c>
      <c r="E1741" s="4" t="s">
        <v>25</v>
      </c>
      <c r="F1741" s="4" t="s">
        <v>25</v>
      </c>
      <c r="G1741" s="4" t="s">
        <v>25</v>
      </c>
      <c r="H1741" s="4" t="s">
        <v>36</v>
      </c>
      <c r="I1741" s="5">
        <v>44593</v>
      </c>
      <c r="J1741" s="6">
        <v>0</v>
      </c>
      <c r="K1741" s="6">
        <v>0</v>
      </c>
      <c r="L1741" s="6">
        <v>0.34799999999999998</v>
      </c>
      <c r="M1741" s="6">
        <v>0.34799999999999998</v>
      </c>
      <c r="N1741" s="6">
        <v>0.34799999999999998</v>
      </c>
      <c r="O1741" s="6">
        <v>0.34799999999999998</v>
      </c>
      <c r="P1741" s="6">
        <v>0</v>
      </c>
      <c r="Q1741" s="4" t="s">
        <v>26</v>
      </c>
      <c r="R1741" s="4">
        <v>0</v>
      </c>
      <c r="S1741" s="4" t="s">
        <v>488</v>
      </c>
      <c r="T1741" s="4" t="s">
        <v>745</v>
      </c>
      <c r="U1741" s="4">
        <v>0</v>
      </c>
      <c r="V1741" s="4">
        <v>23</v>
      </c>
      <c r="W1741" s="4">
        <v>83</v>
      </c>
    </row>
    <row r="1742" spans="1:23" ht="11.25" customHeight="1" x14ac:dyDescent="0.25">
      <c r="A1742" s="4" t="s">
        <v>21</v>
      </c>
      <c r="B1742" s="4" t="s">
        <v>44</v>
      </c>
      <c r="C1742" s="4" t="s">
        <v>33</v>
      </c>
      <c r="D1742" s="4" t="s">
        <v>45</v>
      </c>
      <c r="E1742" s="4" t="s">
        <v>25</v>
      </c>
      <c r="F1742" s="4" t="s">
        <v>25</v>
      </c>
      <c r="G1742" s="4" t="s">
        <v>25</v>
      </c>
      <c r="H1742" s="4" t="s">
        <v>36</v>
      </c>
      <c r="I1742" s="5">
        <v>44621</v>
      </c>
      <c r="J1742" s="6">
        <v>0</v>
      </c>
      <c r="K1742" s="6">
        <v>0</v>
      </c>
      <c r="L1742" s="6">
        <v>0.16300000000000001</v>
      </c>
      <c r="M1742" s="6">
        <v>0.16300000000000001</v>
      </c>
      <c r="N1742" s="6">
        <v>0.16300000000000001</v>
      </c>
      <c r="O1742" s="6">
        <v>0.16300000000000001</v>
      </c>
      <c r="P1742" s="6">
        <v>0</v>
      </c>
      <c r="Q1742" s="4" t="s">
        <v>26</v>
      </c>
      <c r="R1742" s="4">
        <v>0</v>
      </c>
      <c r="S1742" s="4" t="s">
        <v>489</v>
      </c>
      <c r="T1742" s="4" t="s">
        <v>746</v>
      </c>
      <c r="U1742" s="4">
        <v>0</v>
      </c>
      <c r="V1742" s="4">
        <v>23</v>
      </c>
      <c r="W1742" s="4">
        <v>83</v>
      </c>
    </row>
    <row r="1743" spans="1:23" ht="11.25" customHeight="1" x14ac:dyDescent="0.25">
      <c r="A1743" s="4" t="s">
        <v>21</v>
      </c>
      <c r="B1743" s="4" t="s">
        <v>44</v>
      </c>
      <c r="C1743" s="4" t="s">
        <v>33</v>
      </c>
      <c r="D1743" s="4" t="s">
        <v>45</v>
      </c>
      <c r="E1743" s="4" t="s">
        <v>25</v>
      </c>
      <c r="F1743" s="4" t="s">
        <v>25</v>
      </c>
      <c r="G1743" s="4" t="s">
        <v>25</v>
      </c>
      <c r="H1743" s="4" t="s">
        <v>36</v>
      </c>
      <c r="I1743" s="5">
        <v>44652</v>
      </c>
      <c r="J1743" s="6">
        <v>0</v>
      </c>
      <c r="K1743" s="6">
        <v>0</v>
      </c>
      <c r="L1743" s="6">
        <v>0.14199999999999999</v>
      </c>
      <c r="M1743" s="6">
        <v>0.14199999999999999</v>
      </c>
      <c r="N1743" s="6">
        <v>0.14199999999999999</v>
      </c>
      <c r="O1743" s="6">
        <v>0.14199999999999999</v>
      </c>
      <c r="P1743" s="6">
        <v>0</v>
      </c>
      <c r="Q1743" s="4" t="s">
        <v>26</v>
      </c>
      <c r="R1743" s="4">
        <v>0</v>
      </c>
      <c r="S1743" s="4" t="s">
        <v>490</v>
      </c>
      <c r="T1743" s="4" t="s">
        <v>747</v>
      </c>
      <c r="U1743" s="4">
        <v>0</v>
      </c>
      <c r="V1743" s="4">
        <v>23</v>
      </c>
      <c r="W1743" s="4">
        <v>83</v>
      </c>
    </row>
    <row r="1744" spans="1:23" ht="11.25" customHeight="1" x14ac:dyDescent="0.25">
      <c r="A1744" s="4" t="s">
        <v>21</v>
      </c>
      <c r="B1744" s="4" t="s">
        <v>44</v>
      </c>
      <c r="C1744" s="4" t="s">
        <v>33</v>
      </c>
      <c r="D1744" s="4" t="s">
        <v>45</v>
      </c>
      <c r="E1744" s="4" t="s">
        <v>25</v>
      </c>
      <c r="F1744" s="4" t="s">
        <v>25</v>
      </c>
      <c r="G1744" s="4" t="s">
        <v>25</v>
      </c>
      <c r="H1744" s="4" t="s">
        <v>36</v>
      </c>
      <c r="I1744" s="5">
        <v>44682</v>
      </c>
      <c r="J1744" s="6">
        <v>0</v>
      </c>
      <c r="K1744" s="6">
        <v>0</v>
      </c>
      <c r="L1744" s="6">
        <v>0.154</v>
      </c>
      <c r="M1744" s="6">
        <v>0.154</v>
      </c>
      <c r="N1744" s="6">
        <v>0.154</v>
      </c>
      <c r="O1744" s="6">
        <v>0.154</v>
      </c>
      <c r="P1744" s="6">
        <v>0</v>
      </c>
      <c r="Q1744" s="4" t="s">
        <v>26</v>
      </c>
      <c r="R1744" s="4">
        <v>0</v>
      </c>
      <c r="S1744" s="4" t="s">
        <v>491</v>
      </c>
      <c r="T1744" s="4" t="s">
        <v>748</v>
      </c>
      <c r="U1744" s="4">
        <v>0</v>
      </c>
      <c r="V1744" s="4">
        <v>23</v>
      </c>
      <c r="W1744" s="4">
        <v>83</v>
      </c>
    </row>
    <row r="1745" spans="1:23" ht="11.25" customHeight="1" x14ac:dyDescent="0.25">
      <c r="A1745" s="4" t="s">
        <v>21</v>
      </c>
      <c r="B1745" s="4" t="s">
        <v>44</v>
      </c>
      <c r="C1745" s="4" t="s">
        <v>33</v>
      </c>
      <c r="D1745" s="4" t="s">
        <v>45</v>
      </c>
      <c r="E1745" s="4" t="s">
        <v>25</v>
      </c>
      <c r="F1745" s="4" t="s">
        <v>25</v>
      </c>
      <c r="G1745" s="4" t="s">
        <v>25</v>
      </c>
      <c r="H1745" s="4" t="s">
        <v>36</v>
      </c>
      <c r="I1745" s="5">
        <v>44713</v>
      </c>
      <c r="J1745" s="6">
        <v>0</v>
      </c>
      <c r="K1745" s="6">
        <v>0</v>
      </c>
      <c r="L1745" s="6">
        <v>0.14000000000000001</v>
      </c>
      <c r="M1745" s="6">
        <v>0.14000000000000001</v>
      </c>
      <c r="N1745" s="6">
        <v>0.14000000000000001</v>
      </c>
      <c r="O1745" s="6">
        <v>0.14000000000000001</v>
      </c>
      <c r="P1745" s="6">
        <v>0</v>
      </c>
      <c r="Q1745" s="4" t="s">
        <v>26</v>
      </c>
      <c r="R1745" s="4">
        <v>0</v>
      </c>
      <c r="S1745" s="4" t="s">
        <v>492</v>
      </c>
      <c r="T1745" s="4" t="s">
        <v>749</v>
      </c>
      <c r="U1745" s="4">
        <v>0</v>
      </c>
      <c r="V1745" s="4">
        <v>23</v>
      </c>
      <c r="W1745" s="4">
        <v>83</v>
      </c>
    </row>
    <row r="1746" spans="1:23" ht="11.25" customHeight="1" x14ac:dyDescent="0.25">
      <c r="A1746" s="4" t="s">
        <v>57</v>
      </c>
      <c r="B1746" s="4" t="s">
        <v>44</v>
      </c>
      <c r="C1746" s="4" t="s">
        <v>33</v>
      </c>
      <c r="D1746" s="4" t="s">
        <v>45</v>
      </c>
      <c r="E1746" s="4" t="s">
        <v>25</v>
      </c>
      <c r="F1746" s="4" t="s">
        <v>25</v>
      </c>
      <c r="G1746" s="4" t="s">
        <v>25</v>
      </c>
      <c r="H1746" s="4" t="s">
        <v>36</v>
      </c>
      <c r="I1746" s="5">
        <v>44743</v>
      </c>
      <c r="J1746" s="6">
        <v>0</v>
      </c>
      <c r="K1746" s="6">
        <v>0</v>
      </c>
      <c r="L1746" s="6">
        <v>0.14000000000000001</v>
      </c>
      <c r="M1746" s="6">
        <v>0.14000000000000001</v>
      </c>
      <c r="N1746" s="6">
        <v>0.14000000000000001</v>
      </c>
      <c r="O1746" s="6">
        <v>0.14000000000000001</v>
      </c>
      <c r="P1746" s="6">
        <v>0</v>
      </c>
      <c r="Q1746" s="4" t="s">
        <v>26</v>
      </c>
      <c r="R1746" s="4">
        <v>0</v>
      </c>
      <c r="S1746" s="4" t="s">
        <v>493</v>
      </c>
      <c r="T1746" s="4" t="s">
        <v>750</v>
      </c>
      <c r="U1746" s="4">
        <v>0</v>
      </c>
      <c r="V1746" s="4">
        <v>23</v>
      </c>
      <c r="W1746" s="4">
        <v>83</v>
      </c>
    </row>
    <row r="1747" spans="1:23" ht="11.25" customHeight="1" x14ac:dyDescent="0.25">
      <c r="A1747" s="4" t="s">
        <v>21</v>
      </c>
      <c r="B1747" s="4" t="s">
        <v>44</v>
      </c>
      <c r="C1747" s="4" t="s">
        <v>33</v>
      </c>
      <c r="D1747" s="4" t="s">
        <v>45</v>
      </c>
      <c r="E1747" s="4" t="s">
        <v>25</v>
      </c>
      <c r="F1747" s="4" t="s">
        <v>25</v>
      </c>
      <c r="G1747" s="4" t="s">
        <v>25</v>
      </c>
      <c r="H1747" s="4" t="s">
        <v>34</v>
      </c>
      <c r="I1747" s="5">
        <v>44409</v>
      </c>
      <c r="J1747" s="6">
        <v>0</v>
      </c>
      <c r="K1747" s="6">
        <v>0</v>
      </c>
      <c r="L1747" s="6">
        <v>0.37</v>
      </c>
      <c r="M1747" s="6">
        <v>0.37</v>
      </c>
      <c r="N1747" s="6">
        <v>0.37</v>
      </c>
      <c r="O1747" s="6">
        <v>0.37</v>
      </c>
      <c r="P1747" s="6">
        <v>0</v>
      </c>
      <c r="Q1747" s="4" t="s">
        <v>26</v>
      </c>
      <c r="R1747" s="4">
        <v>0</v>
      </c>
      <c r="S1747" s="4" t="s">
        <v>494</v>
      </c>
      <c r="T1747" s="4" t="s">
        <v>751</v>
      </c>
      <c r="U1747" s="4">
        <v>0</v>
      </c>
      <c r="V1747" s="4">
        <v>21</v>
      </c>
      <c r="W1747" s="4">
        <v>82</v>
      </c>
    </row>
    <row r="1748" spans="1:23" ht="11.25" customHeight="1" x14ac:dyDescent="0.25">
      <c r="A1748" s="4" t="s">
        <v>21</v>
      </c>
      <c r="B1748" s="4" t="s">
        <v>44</v>
      </c>
      <c r="C1748" s="4" t="s">
        <v>33</v>
      </c>
      <c r="D1748" s="4" t="s">
        <v>45</v>
      </c>
      <c r="E1748" s="4" t="s">
        <v>25</v>
      </c>
      <c r="F1748" s="4" t="s">
        <v>25</v>
      </c>
      <c r="G1748" s="4" t="s">
        <v>25</v>
      </c>
      <c r="H1748" s="4" t="s">
        <v>34</v>
      </c>
      <c r="I1748" s="5">
        <v>44440</v>
      </c>
      <c r="J1748" s="6">
        <v>0</v>
      </c>
      <c r="K1748" s="6">
        <v>0</v>
      </c>
      <c r="L1748" s="6">
        <v>0.30399999999999999</v>
      </c>
      <c r="M1748" s="6">
        <v>0.30399999999999999</v>
      </c>
      <c r="N1748" s="6">
        <v>0.30399999999999999</v>
      </c>
      <c r="O1748" s="6">
        <v>0.30399999999999999</v>
      </c>
      <c r="P1748" s="6">
        <v>0</v>
      </c>
      <c r="Q1748" s="4" t="s">
        <v>26</v>
      </c>
      <c r="R1748" s="4">
        <v>0</v>
      </c>
      <c r="S1748" s="4" t="s">
        <v>472</v>
      </c>
      <c r="T1748" s="4" t="s">
        <v>729</v>
      </c>
      <c r="U1748" s="4">
        <v>0</v>
      </c>
      <c r="V1748" s="4">
        <v>21</v>
      </c>
      <c r="W1748" s="4">
        <v>82</v>
      </c>
    </row>
    <row r="1749" spans="1:23" ht="11.25" customHeight="1" x14ac:dyDescent="0.25">
      <c r="A1749" s="4" t="s">
        <v>21</v>
      </c>
      <c r="B1749" s="4" t="s">
        <v>44</v>
      </c>
      <c r="C1749" s="4" t="s">
        <v>33</v>
      </c>
      <c r="D1749" s="4" t="s">
        <v>45</v>
      </c>
      <c r="E1749" s="4" t="s">
        <v>25</v>
      </c>
      <c r="F1749" s="4" t="s">
        <v>25</v>
      </c>
      <c r="G1749" s="4" t="s">
        <v>25</v>
      </c>
      <c r="H1749" s="4" t="s">
        <v>34</v>
      </c>
      <c r="I1749" s="5">
        <v>44470</v>
      </c>
      <c r="J1749" s="6">
        <v>0</v>
      </c>
      <c r="K1749" s="6">
        <v>0</v>
      </c>
      <c r="L1749" s="6">
        <v>0.36799999999999999</v>
      </c>
      <c r="M1749" s="6">
        <v>0.36799999999999999</v>
      </c>
      <c r="N1749" s="6">
        <v>0.36799999999999999</v>
      </c>
      <c r="O1749" s="6">
        <v>0.36799999999999999</v>
      </c>
      <c r="P1749" s="6">
        <v>0</v>
      </c>
      <c r="Q1749" s="4" t="s">
        <v>26</v>
      </c>
      <c r="R1749" s="4">
        <v>0</v>
      </c>
      <c r="S1749" s="4" t="s">
        <v>495</v>
      </c>
      <c r="T1749" s="4" t="s">
        <v>752</v>
      </c>
      <c r="U1749" s="4">
        <v>0</v>
      </c>
      <c r="V1749" s="4">
        <v>21</v>
      </c>
      <c r="W1749" s="4">
        <v>82</v>
      </c>
    </row>
    <row r="1750" spans="1:23" ht="11.25" customHeight="1" x14ac:dyDescent="0.25">
      <c r="A1750" s="4" t="s">
        <v>21</v>
      </c>
      <c r="B1750" s="4" t="s">
        <v>44</v>
      </c>
      <c r="C1750" s="4" t="s">
        <v>33</v>
      </c>
      <c r="D1750" s="4" t="s">
        <v>45</v>
      </c>
      <c r="E1750" s="4" t="s">
        <v>25</v>
      </c>
      <c r="F1750" s="4" t="s">
        <v>25</v>
      </c>
      <c r="G1750" s="4" t="s">
        <v>25</v>
      </c>
      <c r="H1750" s="4" t="s">
        <v>34</v>
      </c>
      <c r="I1750" s="5">
        <v>44501</v>
      </c>
      <c r="J1750" s="6">
        <v>0</v>
      </c>
      <c r="K1750" s="6">
        <v>0</v>
      </c>
      <c r="L1750" s="6">
        <v>0.36699999999999999</v>
      </c>
      <c r="M1750" s="6">
        <v>0.36699999999999999</v>
      </c>
      <c r="N1750" s="6">
        <v>0.36699999999999999</v>
      </c>
      <c r="O1750" s="6">
        <v>0.36699999999999999</v>
      </c>
      <c r="P1750" s="6">
        <v>0</v>
      </c>
      <c r="Q1750" s="4" t="s">
        <v>26</v>
      </c>
      <c r="R1750" s="4">
        <v>0</v>
      </c>
      <c r="S1750" s="4" t="s">
        <v>473</v>
      </c>
      <c r="T1750" s="4" t="s">
        <v>730</v>
      </c>
      <c r="U1750" s="4">
        <v>0</v>
      </c>
      <c r="V1750" s="4">
        <v>21</v>
      </c>
      <c r="W1750" s="4">
        <v>82</v>
      </c>
    </row>
    <row r="1751" spans="1:23" ht="11.25" customHeight="1" x14ac:dyDescent="0.25">
      <c r="A1751" s="4" t="s">
        <v>21</v>
      </c>
      <c r="B1751" s="4" t="s">
        <v>44</v>
      </c>
      <c r="C1751" s="4" t="s">
        <v>33</v>
      </c>
      <c r="D1751" s="4" t="s">
        <v>45</v>
      </c>
      <c r="E1751" s="4" t="s">
        <v>25</v>
      </c>
      <c r="F1751" s="4" t="s">
        <v>25</v>
      </c>
      <c r="G1751" s="4" t="s">
        <v>25</v>
      </c>
      <c r="H1751" s="4" t="s">
        <v>34</v>
      </c>
      <c r="I1751" s="5">
        <v>44531</v>
      </c>
      <c r="J1751" s="6">
        <v>0</v>
      </c>
      <c r="K1751" s="6">
        <v>0</v>
      </c>
      <c r="L1751" s="6">
        <v>0.379</v>
      </c>
      <c r="M1751" s="6">
        <v>0.379</v>
      </c>
      <c r="N1751" s="6">
        <v>0.379</v>
      </c>
      <c r="O1751" s="6">
        <v>0.379</v>
      </c>
      <c r="P1751" s="6">
        <v>0</v>
      </c>
      <c r="Q1751" s="4" t="s">
        <v>26</v>
      </c>
      <c r="R1751" s="4">
        <v>0</v>
      </c>
      <c r="S1751" s="4" t="s">
        <v>496</v>
      </c>
      <c r="T1751" s="4" t="s">
        <v>753</v>
      </c>
      <c r="U1751" s="4">
        <v>0</v>
      </c>
      <c r="V1751" s="4">
        <v>21</v>
      </c>
      <c r="W1751" s="4">
        <v>82</v>
      </c>
    </row>
    <row r="1752" spans="1:23" ht="11.25" customHeight="1" x14ac:dyDescent="0.25">
      <c r="A1752" s="4" t="s">
        <v>21</v>
      </c>
      <c r="B1752" s="4" t="s">
        <v>44</v>
      </c>
      <c r="C1752" s="4" t="s">
        <v>33</v>
      </c>
      <c r="D1752" s="4" t="s">
        <v>45</v>
      </c>
      <c r="E1752" s="4" t="s">
        <v>25</v>
      </c>
      <c r="F1752" s="4" t="s">
        <v>25</v>
      </c>
      <c r="G1752" s="4" t="s">
        <v>25</v>
      </c>
      <c r="H1752" s="4" t="s">
        <v>34</v>
      </c>
      <c r="I1752" s="5">
        <v>44562</v>
      </c>
      <c r="J1752" s="6">
        <v>0</v>
      </c>
      <c r="K1752" s="6">
        <v>0</v>
      </c>
      <c r="L1752" s="6">
        <v>0.53300000000000003</v>
      </c>
      <c r="M1752" s="6">
        <v>0.53300000000000003</v>
      </c>
      <c r="N1752" s="6">
        <v>0.53300000000000003</v>
      </c>
      <c r="O1752" s="6">
        <v>0.53300000000000003</v>
      </c>
      <c r="P1752" s="6">
        <v>0</v>
      </c>
      <c r="Q1752" s="4" t="s">
        <v>26</v>
      </c>
      <c r="R1752" s="4">
        <v>0</v>
      </c>
      <c r="S1752" s="4" t="s">
        <v>497</v>
      </c>
      <c r="T1752" s="4" t="s">
        <v>754</v>
      </c>
      <c r="U1752" s="4">
        <v>0</v>
      </c>
      <c r="V1752" s="4">
        <v>21</v>
      </c>
      <c r="W1752" s="4">
        <v>82</v>
      </c>
    </row>
    <row r="1753" spans="1:23" ht="11.25" customHeight="1" x14ac:dyDescent="0.25">
      <c r="A1753" s="4" t="s">
        <v>21</v>
      </c>
      <c r="B1753" s="4" t="s">
        <v>44</v>
      </c>
      <c r="C1753" s="4" t="s">
        <v>33</v>
      </c>
      <c r="D1753" s="4" t="s">
        <v>45</v>
      </c>
      <c r="E1753" s="4" t="s">
        <v>25</v>
      </c>
      <c r="F1753" s="4" t="s">
        <v>25</v>
      </c>
      <c r="G1753" s="4" t="s">
        <v>25</v>
      </c>
      <c r="H1753" s="4" t="s">
        <v>34</v>
      </c>
      <c r="I1753" s="5">
        <v>44593</v>
      </c>
      <c r="J1753" s="6">
        <v>0</v>
      </c>
      <c r="K1753" s="6">
        <v>0</v>
      </c>
      <c r="L1753" s="6">
        <v>0.312</v>
      </c>
      <c r="M1753" s="6">
        <v>0.312</v>
      </c>
      <c r="N1753" s="6">
        <v>0.312</v>
      </c>
      <c r="O1753" s="6">
        <v>0.312</v>
      </c>
      <c r="P1753" s="6">
        <v>0</v>
      </c>
      <c r="Q1753" s="4" t="s">
        <v>26</v>
      </c>
      <c r="R1753" s="4">
        <v>0</v>
      </c>
      <c r="S1753" s="4" t="s">
        <v>498</v>
      </c>
      <c r="T1753" s="4" t="s">
        <v>755</v>
      </c>
      <c r="U1753" s="4">
        <v>0</v>
      </c>
      <c r="V1753" s="4">
        <v>21</v>
      </c>
      <c r="W1753" s="4">
        <v>82</v>
      </c>
    </row>
    <row r="1754" spans="1:23" ht="11.25" customHeight="1" x14ac:dyDescent="0.25">
      <c r="A1754" s="4" t="s">
        <v>21</v>
      </c>
      <c r="B1754" s="4" t="s">
        <v>44</v>
      </c>
      <c r="C1754" s="4" t="s">
        <v>33</v>
      </c>
      <c r="D1754" s="4" t="s">
        <v>45</v>
      </c>
      <c r="E1754" s="4" t="s">
        <v>25</v>
      </c>
      <c r="F1754" s="4" t="s">
        <v>25</v>
      </c>
      <c r="G1754" s="4" t="s">
        <v>25</v>
      </c>
      <c r="H1754" s="4" t="s">
        <v>34</v>
      </c>
      <c r="I1754" s="5">
        <v>44621</v>
      </c>
      <c r="J1754" s="6">
        <v>0</v>
      </c>
      <c r="K1754" s="6">
        <v>0</v>
      </c>
      <c r="L1754" s="6">
        <v>0.23499999999999999</v>
      </c>
      <c r="M1754" s="6">
        <v>0.23499999999999999</v>
      </c>
      <c r="N1754" s="6">
        <v>0.23499999999999999</v>
      </c>
      <c r="O1754" s="6">
        <v>0.23499999999999999</v>
      </c>
      <c r="P1754" s="6">
        <v>0</v>
      </c>
      <c r="Q1754" s="4" t="s">
        <v>26</v>
      </c>
      <c r="R1754" s="4">
        <v>0</v>
      </c>
      <c r="S1754" s="4" t="s">
        <v>499</v>
      </c>
      <c r="T1754" s="4" t="s">
        <v>756</v>
      </c>
      <c r="U1754" s="4">
        <v>0</v>
      </c>
      <c r="V1754" s="4">
        <v>21</v>
      </c>
      <c r="W1754" s="4">
        <v>82</v>
      </c>
    </row>
    <row r="1755" spans="1:23" ht="11.25" customHeight="1" x14ac:dyDescent="0.25">
      <c r="A1755" s="4" t="s">
        <v>21</v>
      </c>
      <c r="B1755" s="4" t="s">
        <v>44</v>
      </c>
      <c r="C1755" s="4" t="s">
        <v>33</v>
      </c>
      <c r="D1755" s="4" t="s">
        <v>45</v>
      </c>
      <c r="E1755" s="4" t="s">
        <v>25</v>
      </c>
      <c r="F1755" s="4" t="s">
        <v>25</v>
      </c>
      <c r="G1755" s="4" t="s">
        <v>25</v>
      </c>
      <c r="H1755" s="4" t="s">
        <v>34</v>
      </c>
      <c r="I1755" s="5">
        <v>44652</v>
      </c>
      <c r="J1755" s="6">
        <v>0</v>
      </c>
      <c r="K1755" s="6">
        <v>0</v>
      </c>
      <c r="L1755" s="6">
        <v>0.216</v>
      </c>
      <c r="M1755" s="6">
        <v>0.216</v>
      </c>
      <c r="N1755" s="6">
        <v>0.216</v>
      </c>
      <c r="O1755" s="6">
        <v>0.216</v>
      </c>
      <c r="P1755" s="6">
        <v>0</v>
      </c>
      <c r="Q1755" s="4" t="s">
        <v>26</v>
      </c>
      <c r="R1755" s="4">
        <v>0</v>
      </c>
      <c r="S1755" s="4" t="s">
        <v>500</v>
      </c>
      <c r="T1755" s="4" t="s">
        <v>757</v>
      </c>
      <c r="U1755" s="4">
        <v>0</v>
      </c>
      <c r="V1755" s="4">
        <v>21</v>
      </c>
      <c r="W1755" s="4">
        <v>82</v>
      </c>
    </row>
    <row r="1756" spans="1:23" ht="11.25" customHeight="1" x14ac:dyDescent="0.25">
      <c r="A1756" s="4" t="s">
        <v>21</v>
      </c>
      <c r="B1756" s="4" t="s">
        <v>44</v>
      </c>
      <c r="C1756" s="4" t="s">
        <v>33</v>
      </c>
      <c r="D1756" s="4" t="s">
        <v>45</v>
      </c>
      <c r="E1756" s="4" t="s">
        <v>25</v>
      </c>
      <c r="F1756" s="4" t="s">
        <v>25</v>
      </c>
      <c r="G1756" s="4" t="s">
        <v>25</v>
      </c>
      <c r="H1756" s="4" t="s">
        <v>34</v>
      </c>
      <c r="I1756" s="5">
        <v>44682</v>
      </c>
      <c r="J1756" s="6">
        <v>0</v>
      </c>
      <c r="K1756" s="6">
        <v>0</v>
      </c>
      <c r="L1756" s="6">
        <v>0.23499999999999999</v>
      </c>
      <c r="M1756" s="6">
        <v>0.23499999999999999</v>
      </c>
      <c r="N1756" s="6">
        <v>0.23499999999999999</v>
      </c>
      <c r="O1756" s="6">
        <v>0.23499999999999999</v>
      </c>
      <c r="P1756" s="6">
        <v>0</v>
      </c>
      <c r="Q1756" s="4" t="s">
        <v>26</v>
      </c>
      <c r="R1756" s="4">
        <v>0</v>
      </c>
      <c r="S1756" s="4" t="s">
        <v>501</v>
      </c>
      <c r="T1756" s="4" t="s">
        <v>758</v>
      </c>
      <c r="U1756" s="4">
        <v>0</v>
      </c>
      <c r="V1756" s="4">
        <v>21</v>
      </c>
      <c r="W1756" s="4">
        <v>82</v>
      </c>
    </row>
    <row r="1757" spans="1:23" ht="11.25" customHeight="1" x14ac:dyDescent="0.25">
      <c r="A1757" s="4" t="s">
        <v>21</v>
      </c>
      <c r="B1757" s="4" t="s">
        <v>44</v>
      </c>
      <c r="C1757" s="4" t="s">
        <v>33</v>
      </c>
      <c r="D1757" s="4" t="s">
        <v>45</v>
      </c>
      <c r="E1757" s="4" t="s">
        <v>25</v>
      </c>
      <c r="F1757" s="4" t="s">
        <v>25</v>
      </c>
      <c r="G1757" s="4" t="s">
        <v>25</v>
      </c>
      <c r="H1757" s="4" t="s">
        <v>34</v>
      </c>
      <c r="I1757" s="5">
        <v>44713</v>
      </c>
      <c r="J1757" s="6">
        <v>0</v>
      </c>
      <c r="K1757" s="6">
        <v>0</v>
      </c>
      <c r="L1757" s="6">
        <v>0.218</v>
      </c>
      <c r="M1757" s="6">
        <v>0.218</v>
      </c>
      <c r="N1757" s="6">
        <v>0.218</v>
      </c>
      <c r="O1757" s="6">
        <v>0.218</v>
      </c>
      <c r="P1757" s="6">
        <v>0</v>
      </c>
      <c r="Q1757" s="4" t="s">
        <v>26</v>
      </c>
      <c r="R1757" s="4">
        <v>0</v>
      </c>
      <c r="S1757" s="4" t="s">
        <v>502</v>
      </c>
      <c r="T1757" s="4" t="s">
        <v>759</v>
      </c>
      <c r="U1757" s="4">
        <v>0</v>
      </c>
      <c r="V1757" s="4">
        <v>21</v>
      </c>
      <c r="W1757" s="4">
        <v>82</v>
      </c>
    </row>
    <row r="1758" spans="1:23" ht="11.25" customHeight="1" x14ac:dyDescent="0.25">
      <c r="A1758" s="4" t="s">
        <v>57</v>
      </c>
      <c r="B1758" s="4" t="s">
        <v>44</v>
      </c>
      <c r="C1758" s="4" t="s">
        <v>33</v>
      </c>
      <c r="D1758" s="4" t="s">
        <v>45</v>
      </c>
      <c r="E1758" s="4" t="s">
        <v>25</v>
      </c>
      <c r="F1758" s="4" t="s">
        <v>25</v>
      </c>
      <c r="G1758" s="4" t="s">
        <v>25</v>
      </c>
      <c r="H1758" s="4" t="s">
        <v>34</v>
      </c>
      <c r="I1758" s="5">
        <v>44743</v>
      </c>
      <c r="J1758" s="6">
        <v>0</v>
      </c>
      <c r="K1758" s="6">
        <v>0</v>
      </c>
      <c r="L1758" s="6">
        <v>0.218</v>
      </c>
      <c r="M1758" s="6">
        <v>0.218</v>
      </c>
      <c r="N1758" s="6">
        <v>0.218</v>
      </c>
      <c r="O1758" s="6">
        <v>0.218</v>
      </c>
      <c r="P1758" s="6">
        <v>0</v>
      </c>
      <c r="Q1758" s="4" t="s">
        <v>26</v>
      </c>
      <c r="R1758" s="4">
        <v>0</v>
      </c>
      <c r="S1758" s="4" t="s">
        <v>503</v>
      </c>
      <c r="T1758" s="4" t="s">
        <v>760</v>
      </c>
      <c r="U1758" s="4">
        <v>0</v>
      </c>
      <c r="V1758" s="4">
        <v>21</v>
      </c>
      <c r="W1758" s="4">
        <v>82</v>
      </c>
    </row>
    <row r="1759" spans="1:23" ht="11.25" customHeight="1" x14ac:dyDescent="0.25">
      <c r="A1759" s="4" t="s">
        <v>21</v>
      </c>
      <c r="B1759" s="4" t="s">
        <v>44</v>
      </c>
      <c r="C1759" s="4" t="s">
        <v>23</v>
      </c>
      <c r="D1759" s="4" t="s">
        <v>45</v>
      </c>
      <c r="E1759" s="4" t="s">
        <v>53</v>
      </c>
      <c r="F1759" s="4" t="s">
        <v>54</v>
      </c>
      <c r="G1759" s="4" t="s">
        <v>25</v>
      </c>
      <c r="H1759" s="4" t="s">
        <v>25</v>
      </c>
      <c r="I1759" s="5">
        <v>44409</v>
      </c>
      <c r="J1759" s="6">
        <v>0</v>
      </c>
      <c r="K1759" s="6">
        <v>0</v>
      </c>
      <c r="L1759" s="6">
        <v>2523.9659999999999</v>
      </c>
      <c r="M1759" s="6">
        <v>2523.9659999999999</v>
      </c>
      <c r="N1759" s="6">
        <v>2523.9659999999999</v>
      </c>
      <c r="O1759" s="6">
        <v>2523.9659999999999</v>
      </c>
      <c r="P1759" s="6">
        <v>0</v>
      </c>
      <c r="Q1759" s="4" t="s">
        <v>26</v>
      </c>
      <c r="R1759" s="4">
        <v>0</v>
      </c>
      <c r="S1759" s="4" t="s">
        <v>504</v>
      </c>
      <c r="T1759" s="4" t="s">
        <v>761</v>
      </c>
      <c r="U1759" s="4">
        <v>0</v>
      </c>
      <c r="V1759" s="4">
        <v>27</v>
      </c>
      <c r="W1759" s="4">
        <v>85</v>
      </c>
    </row>
    <row r="1760" spans="1:23" ht="11.25" customHeight="1" x14ac:dyDescent="0.25">
      <c r="A1760" s="4" t="s">
        <v>27</v>
      </c>
      <c r="B1760" s="4" t="s">
        <v>44</v>
      </c>
      <c r="C1760" s="4" t="s">
        <v>23</v>
      </c>
      <c r="D1760" s="4" t="s">
        <v>45</v>
      </c>
      <c r="E1760" s="4" t="s">
        <v>53</v>
      </c>
      <c r="F1760" s="4" t="s">
        <v>54</v>
      </c>
      <c r="G1760" s="4" t="s">
        <v>25</v>
      </c>
      <c r="H1760" s="4" t="s">
        <v>25</v>
      </c>
      <c r="I1760" s="5">
        <v>44409</v>
      </c>
      <c r="J1760" s="6">
        <v>0</v>
      </c>
      <c r="K1760" s="6">
        <v>0</v>
      </c>
      <c r="L1760" s="6">
        <v>-22.556999999999999</v>
      </c>
      <c r="M1760" s="6">
        <v>-22.556999999999999</v>
      </c>
      <c r="N1760" s="6">
        <v>-22.556999999999999</v>
      </c>
      <c r="O1760" s="6">
        <v>-22.556999999999999</v>
      </c>
      <c r="P1760" s="6">
        <v>0</v>
      </c>
      <c r="Q1760" s="4" t="s">
        <v>26</v>
      </c>
      <c r="R1760" s="4">
        <v>0</v>
      </c>
      <c r="S1760" s="4" t="s">
        <v>504</v>
      </c>
      <c r="T1760" s="4" t="s">
        <v>761</v>
      </c>
      <c r="U1760" s="4">
        <v>0</v>
      </c>
      <c r="V1760" s="4">
        <v>27</v>
      </c>
      <c r="W1760" s="4">
        <v>85</v>
      </c>
    </row>
    <row r="1761" spans="1:23" ht="11.25" customHeight="1" x14ac:dyDescent="0.25">
      <c r="A1761" s="4" t="s">
        <v>28</v>
      </c>
      <c r="B1761" s="4" t="s">
        <v>44</v>
      </c>
      <c r="C1761" s="4" t="s">
        <v>23</v>
      </c>
      <c r="D1761" s="4" t="s">
        <v>45</v>
      </c>
      <c r="E1761" s="4" t="s">
        <v>53</v>
      </c>
      <c r="F1761" s="4" t="s">
        <v>54</v>
      </c>
      <c r="G1761" s="4" t="s">
        <v>25</v>
      </c>
      <c r="H1761" s="4" t="s">
        <v>25</v>
      </c>
      <c r="I1761" s="5">
        <v>44409</v>
      </c>
      <c r="J1761" s="6">
        <v>0</v>
      </c>
      <c r="K1761" s="6">
        <v>0</v>
      </c>
      <c r="L1761" s="6">
        <v>75.521000000000001</v>
      </c>
      <c r="M1761" s="6">
        <v>75.521000000000001</v>
      </c>
      <c r="N1761" s="6">
        <v>75.521000000000001</v>
      </c>
      <c r="O1761" s="6">
        <v>75.521000000000001</v>
      </c>
      <c r="P1761" s="6">
        <v>0</v>
      </c>
      <c r="Q1761" s="4" t="s">
        <v>26</v>
      </c>
      <c r="R1761" s="4">
        <v>0</v>
      </c>
      <c r="S1761" s="4" t="s">
        <v>504</v>
      </c>
      <c r="T1761" s="4" t="s">
        <v>761</v>
      </c>
      <c r="U1761" s="4">
        <v>0</v>
      </c>
      <c r="V1761" s="4">
        <v>27</v>
      </c>
      <c r="W1761" s="4">
        <v>85</v>
      </c>
    </row>
    <row r="1762" spans="1:23" ht="11.25" customHeight="1" x14ac:dyDescent="0.25">
      <c r="A1762" s="4" t="s">
        <v>21</v>
      </c>
      <c r="B1762" s="4" t="s">
        <v>44</v>
      </c>
      <c r="C1762" s="4" t="s">
        <v>23</v>
      </c>
      <c r="D1762" s="4" t="s">
        <v>45</v>
      </c>
      <c r="E1762" s="4" t="s">
        <v>53</v>
      </c>
      <c r="F1762" s="4" t="s">
        <v>54</v>
      </c>
      <c r="G1762" s="4" t="s">
        <v>25</v>
      </c>
      <c r="H1762" s="4" t="s">
        <v>25</v>
      </c>
      <c r="I1762" s="5">
        <v>44440</v>
      </c>
      <c r="J1762" s="6">
        <v>0</v>
      </c>
      <c r="K1762" s="6">
        <v>0</v>
      </c>
      <c r="L1762" s="6">
        <v>2721.3130000000001</v>
      </c>
      <c r="M1762" s="6">
        <v>2721.3130000000001</v>
      </c>
      <c r="N1762" s="6">
        <v>2721.3130000000001</v>
      </c>
      <c r="O1762" s="6">
        <v>2721.3130000000001</v>
      </c>
      <c r="P1762" s="6">
        <v>0</v>
      </c>
      <c r="Q1762" s="4" t="s">
        <v>26</v>
      </c>
      <c r="R1762" s="4">
        <v>0</v>
      </c>
      <c r="S1762" s="4" t="s">
        <v>505</v>
      </c>
      <c r="T1762" s="4" t="s">
        <v>762</v>
      </c>
      <c r="U1762" s="4">
        <v>0</v>
      </c>
      <c r="V1762" s="4">
        <v>27</v>
      </c>
      <c r="W1762" s="4">
        <v>85</v>
      </c>
    </row>
    <row r="1763" spans="1:23" ht="11.25" customHeight="1" x14ac:dyDescent="0.25">
      <c r="A1763" s="4" t="s">
        <v>27</v>
      </c>
      <c r="B1763" s="4" t="s">
        <v>44</v>
      </c>
      <c r="C1763" s="4" t="s">
        <v>23</v>
      </c>
      <c r="D1763" s="4" t="s">
        <v>45</v>
      </c>
      <c r="E1763" s="4" t="s">
        <v>53</v>
      </c>
      <c r="F1763" s="4" t="s">
        <v>54</v>
      </c>
      <c r="G1763" s="4" t="s">
        <v>25</v>
      </c>
      <c r="H1763" s="4" t="s">
        <v>25</v>
      </c>
      <c r="I1763" s="5">
        <v>44440</v>
      </c>
      <c r="J1763" s="6">
        <v>0</v>
      </c>
      <c r="K1763" s="6">
        <v>0</v>
      </c>
      <c r="L1763" s="6">
        <v>-69.834999999999994</v>
      </c>
      <c r="M1763" s="6">
        <v>-69.834999999999994</v>
      </c>
      <c r="N1763" s="6">
        <v>-69.834999999999994</v>
      </c>
      <c r="O1763" s="6">
        <v>-69.834999999999994</v>
      </c>
      <c r="P1763" s="6">
        <v>0</v>
      </c>
      <c r="Q1763" s="4" t="s">
        <v>26</v>
      </c>
      <c r="R1763" s="4">
        <v>0</v>
      </c>
      <c r="S1763" s="4" t="s">
        <v>505</v>
      </c>
      <c r="T1763" s="4" t="s">
        <v>762</v>
      </c>
      <c r="U1763" s="4">
        <v>0</v>
      </c>
      <c r="V1763" s="4">
        <v>27</v>
      </c>
      <c r="W1763" s="4">
        <v>85</v>
      </c>
    </row>
    <row r="1764" spans="1:23" ht="11.25" customHeight="1" x14ac:dyDescent="0.25">
      <c r="A1764" s="4" t="s">
        <v>28</v>
      </c>
      <c r="B1764" s="4" t="s">
        <v>44</v>
      </c>
      <c r="C1764" s="4" t="s">
        <v>23</v>
      </c>
      <c r="D1764" s="4" t="s">
        <v>45</v>
      </c>
      <c r="E1764" s="4" t="s">
        <v>53</v>
      </c>
      <c r="F1764" s="4" t="s">
        <v>54</v>
      </c>
      <c r="G1764" s="4" t="s">
        <v>25</v>
      </c>
      <c r="H1764" s="4" t="s">
        <v>25</v>
      </c>
      <c r="I1764" s="5">
        <v>44440</v>
      </c>
      <c r="J1764" s="6">
        <v>0</v>
      </c>
      <c r="K1764" s="6">
        <v>0</v>
      </c>
      <c r="L1764" s="6">
        <v>57.8</v>
      </c>
      <c r="M1764" s="6">
        <v>57.8</v>
      </c>
      <c r="N1764" s="6">
        <v>57.8</v>
      </c>
      <c r="O1764" s="6">
        <v>57.8</v>
      </c>
      <c r="P1764" s="6">
        <v>0</v>
      </c>
      <c r="Q1764" s="4" t="s">
        <v>26</v>
      </c>
      <c r="R1764" s="4">
        <v>0</v>
      </c>
      <c r="S1764" s="4" t="s">
        <v>505</v>
      </c>
      <c r="T1764" s="4" t="s">
        <v>762</v>
      </c>
      <c r="U1764" s="4">
        <v>0</v>
      </c>
      <c r="V1764" s="4">
        <v>27</v>
      </c>
      <c r="W1764" s="4">
        <v>85</v>
      </c>
    </row>
    <row r="1765" spans="1:23" ht="11.25" customHeight="1" x14ac:dyDescent="0.25">
      <c r="A1765" s="4" t="s">
        <v>21</v>
      </c>
      <c r="B1765" s="4" t="s">
        <v>44</v>
      </c>
      <c r="C1765" s="4" t="s">
        <v>23</v>
      </c>
      <c r="D1765" s="4" t="s">
        <v>45</v>
      </c>
      <c r="E1765" s="4" t="s">
        <v>53</v>
      </c>
      <c r="F1765" s="4" t="s">
        <v>54</v>
      </c>
      <c r="G1765" s="4" t="s">
        <v>25</v>
      </c>
      <c r="H1765" s="4" t="s">
        <v>25</v>
      </c>
      <c r="I1765" s="5">
        <v>44470</v>
      </c>
      <c r="J1765" s="6">
        <v>0</v>
      </c>
      <c r="K1765" s="6">
        <v>0</v>
      </c>
      <c r="L1765" s="6">
        <v>3010.81</v>
      </c>
      <c r="M1765" s="6">
        <v>3010.81</v>
      </c>
      <c r="N1765" s="6">
        <v>3010.81</v>
      </c>
      <c r="O1765" s="6">
        <v>3010.81</v>
      </c>
      <c r="P1765" s="6">
        <v>0</v>
      </c>
      <c r="Q1765" s="4" t="s">
        <v>26</v>
      </c>
      <c r="R1765" s="4">
        <v>0</v>
      </c>
      <c r="S1765" s="4" t="s">
        <v>506</v>
      </c>
      <c r="T1765" s="4" t="s">
        <v>763</v>
      </c>
      <c r="U1765" s="4">
        <v>0</v>
      </c>
      <c r="V1765" s="4">
        <v>27</v>
      </c>
      <c r="W1765" s="4">
        <v>85</v>
      </c>
    </row>
    <row r="1766" spans="1:23" ht="11.25" customHeight="1" x14ac:dyDescent="0.25">
      <c r="A1766" s="4" t="s">
        <v>27</v>
      </c>
      <c r="B1766" s="4" t="s">
        <v>44</v>
      </c>
      <c r="C1766" s="4" t="s">
        <v>23</v>
      </c>
      <c r="D1766" s="4" t="s">
        <v>45</v>
      </c>
      <c r="E1766" s="4" t="s">
        <v>53</v>
      </c>
      <c r="F1766" s="4" t="s">
        <v>54</v>
      </c>
      <c r="G1766" s="4" t="s">
        <v>25</v>
      </c>
      <c r="H1766" s="4" t="s">
        <v>25</v>
      </c>
      <c r="I1766" s="5">
        <v>44470</v>
      </c>
      <c r="J1766" s="6">
        <v>0</v>
      </c>
      <c r="K1766" s="6">
        <v>0</v>
      </c>
      <c r="L1766" s="6">
        <v>-160.626</v>
      </c>
      <c r="M1766" s="6">
        <v>-160.626</v>
      </c>
      <c r="N1766" s="6">
        <v>-160.626</v>
      </c>
      <c r="O1766" s="6">
        <v>-160.626</v>
      </c>
      <c r="P1766" s="6">
        <v>0</v>
      </c>
      <c r="Q1766" s="4" t="s">
        <v>26</v>
      </c>
      <c r="R1766" s="4">
        <v>0</v>
      </c>
      <c r="S1766" s="4" t="s">
        <v>506</v>
      </c>
      <c r="T1766" s="4" t="s">
        <v>763</v>
      </c>
      <c r="U1766" s="4">
        <v>0</v>
      </c>
      <c r="V1766" s="4">
        <v>27</v>
      </c>
      <c r="W1766" s="4">
        <v>85</v>
      </c>
    </row>
    <row r="1767" spans="1:23" ht="11.25" customHeight="1" x14ac:dyDescent="0.25">
      <c r="A1767" s="4" t="s">
        <v>28</v>
      </c>
      <c r="B1767" s="4" t="s">
        <v>44</v>
      </c>
      <c r="C1767" s="4" t="s">
        <v>23</v>
      </c>
      <c r="D1767" s="4" t="s">
        <v>45</v>
      </c>
      <c r="E1767" s="4" t="s">
        <v>53</v>
      </c>
      <c r="F1767" s="4" t="s">
        <v>54</v>
      </c>
      <c r="G1767" s="4" t="s">
        <v>25</v>
      </c>
      <c r="H1767" s="4" t="s">
        <v>25</v>
      </c>
      <c r="I1767" s="5">
        <v>44470</v>
      </c>
      <c r="J1767" s="6">
        <v>0</v>
      </c>
      <c r="K1767" s="6">
        <v>0</v>
      </c>
      <c r="L1767" s="6">
        <v>80.421999999999997</v>
      </c>
      <c r="M1767" s="6">
        <v>80.421999999999997</v>
      </c>
      <c r="N1767" s="6">
        <v>80.421999999999997</v>
      </c>
      <c r="O1767" s="6">
        <v>80.421999999999997</v>
      </c>
      <c r="P1767" s="6">
        <v>0</v>
      </c>
      <c r="Q1767" s="4" t="s">
        <v>26</v>
      </c>
      <c r="R1767" s="4">
        <v>0</v>
      </c>
      <c r="S1767" s="4" t="s">
        <v>506</v>
      </c>
      <c r="T1767" s="4" t="s">
        <v>763</v>
      </c>
      <c r="U1767" s="4">
        <v>0</v>
      </c>
      <c r="V1767" s="4">
        <v>27</v>
      </c>
      <c r="W1767" s="4">
        <v>85</v>
      </c>
    </row>
    <row r="1768" spans="1:23" ht="11.25" customHeight="1" x14ac:dyDescent="0.25">
      <c r="A1768" s="4" t="s">
        <v>21</v>
      </c>
      <c r="B1768" s="4" t="s">
        <v>44</v>
      </c>
      <c r="C1768" s="4" t="s">
        <v>23</v>
      </c>
      <c r="D1768" s="4" t="s">
        <v>45</v>
      </c>
      <c r="E1768" s="4" t="s">
        <v>53</v>
      </c>
      <c r="F1768" s="4" t="s">
        <v>54</v>
      </c>
      <c r="G1768" s="4" t="s">
        <v>25</v>
      </c>
      <c r="H1768" s="4" t="s">
        <v>25</v>
      </c>
      <c r="I1768" s="5">
        <v>44501</v>
      </c>
      <c r="J1768" s="6">
        <v>0</v>
      </c>
      <c r="K1768" s="6">
        <v>0</v>
      </c>
      <c r="L1768" s="6">
        <v>3123.9059999999999</v>
      </c>
      <c r="M1768" s="6">
        <v>3123.9059999999999</v>
      </c>
      <c r="N1768" s="6">
        <v>3123.9059999999999</v>
      </c>
      <c r="O1768" s="6">
        <v>3123.9059999999999</v>
      </c>
      <c r="P1768" s="6">
        <v>0</v>
      </c>
      <c r="Q1768" s="4" t="s">
        <v>26</v>
      </c>
      <c r="R1768" s="4">
        <v>0</v>
      </c>
      <c r="S1768" s="4" t="s">
        <v>507</v>
      </c>
      <c r="T1768" s="4" t="s">
        <v>764</v>
      </c>
      <c r="U1768" s="4">
        <v>0</v>
      </c>
      <c r="V1768" s="4">
        <v>27</v>
      </c>
      <c r="W1768" s="4">
        <v>85</v>
      </c>
    </row>
    <row r="1769" spans="1:23" ht="11.25" customHeight="1" x14ac:dyDescent="0.25">
      <c r="A1769" s="4" t="s">
        <v>27</v>
      </c>
      <c r="B1769" s="4" t="s">
        <v>44</v>
      </c>
      <c r="C1769" s="4" t="s">
        <v>23</v>
      </c>
      <c r="D1769" s="4" t="s">
        <v>45</v>
      </c>
      <c r="E1769" s="4" t="s">
        <v>53</v>
      </c>
      <c r="F1769" s="4" t="s">
        <v>54</v>
      </c>
      <c r="G1769" s="4" t="s">
        <v>25</v>
      </c>
      <c r="H1769" s="4" t="s">
        <v>25</v>
      </c>
      <c r="I1769" s="5">
        <v>44501</v>
      </c>
      <c r="J1769" s="6">
        <v>0</v>
      </c>
      <c r="K1769" s="6">
        <v>0</v>
      </c>
      <c r="L1769" s="6">
        <v>-52.665999999999997</v>
      </c>
      <c r="M1769" s="6">
        <v>-52.665999999999997</v>
      </c>
      <c r="N1769" s="6">
        <v>-52.665999999999997</v>
      </c>
      <c r="O1769" s="6">
        <v>-52.665999999999997</v>
      </c>
      <c r="P1769" s="6">
        <v>0</v>
      </c>
      <c r="Q1769" s="4" t="s">
        <v>26</v>
      </c>
      <c r="R1769" s="4">
        <v>0</v>
      </c>
      <c r="S1769" s="4" t="s">
        <v>507</v>
      </c>
      <c r="T1769" s="4" t="s">
        <v>764</v>
      </c>
      <c r="U1769" s="4">
        <v>0</v>
      </c>
      <c r="V1769" s="4">
        <v>27</v>
      </c>
      <c r="W1769" s="4">
        <v>85</v>
      </c>
    </row>
    <row r="1770" spans="1:23" ht="11.25" customHeight="1" x14ac:dyDescent="0.25">
      <c r="A1770" s="4" t="s">
        <v>28</v>
      </c>
      <c r="B1770" s="4" t="s">
        <v>44</v>
      </c>
      <c r="C1770" s="4" t="s">
        <v>23</v>
      </c>
      <c r="D1770" s="4" t="s">
        <v>45</v>
      </c>
      <c r="E1770" s="4" t="s">
        <v>53</v>
      </c>
      <c r="F1770" s="4" t="s">
        <v>54</v>
      </c>
      <c r="G1770" s="4" t="s">
        <v>25</v>
      </c>
      <c r="H1770" s="4" t="s">
        <v>25</v>
      </c>
      <c r="I1770" s="5">
        <v>44501</v>
      </c>
      <c r="J1770" s="6">
        <v>0</v>
      </c>
      <c r="K1770" s="6">
        <v>0</v>
      </c>
      <c r="L1770" s="6">
        <v>112.06699999999999</v>
      </c>
      <c r="M1770" s="6">
        <v>112.06699999999999</v>
      </c>
      <c r="N1770" s="6">
        <v>112.06699999999999</v>
      </c>
      <c r="O1770" s="6">
        <v>112.06699999999999</v>
      </c>
      <c r="P1770" s="6">
        <v>0</v>
      </c>
      <c r="Q1770" s="4" t="s">
        <v>26</v>
      </c>
      <c r="R1770" s="4">
        <v>0</v>
      </c>
      <c r="S1770" s="4" t="s">
        <v>507</v>
      </c>
      <c r="T1770" s="4" t="s">
        <v>764</v>
      </c>
      <c r="U1770" s="4">
        <v>0</v>
      </c>
      <c r="V1770" s="4">
        <v>27</v>
      </c>
      <c r="W1770" s="4">
        <v>85</v>
      </c>
    </row>
    <row r="1771" spans="1:23" ht="11.25" customHeight="1" x14ac:dyDescent="0.25">
      <c r="A1771" s="4" t="s">
        <v>21</v>
      </c>
      <c r="B1771" s="4" t="s">
        <v>44</v>
      </c>
      <c r="C1771" s="4" t="s">
        <v>23</v>
      </c>
      <c r="D1771" s="4" t="s">
        <v>45</v>
      </c>
      <c r="E1771" s="4" t="s">
        <v>53</v>
      </c>
      <c r="F1771" s="4" t="s">
        <v>54</v>
      </c>
      <c r="G1771" s="4" t="s">
        <v>25</v>
      </c>
      <c r="H1771" s="4" t="s">
        <v>25</v>
      </c>
      <c r="I1771" s="5">
        <v>44531</v>
      </c>
      <c r="J1771" s="6">
        <v>0</v>
      </c>
      <c r="K1771" s="6">
        <v>0</v>
      </c>
      <c r="L1771" s="6">
        <v>3471.3240000000001</v>
      </c>
      <c r="M1771" s="6">
        <v>3471.3240000000001</v>
      </c>
      <c r="N1771" s="6">
        <v>3471.3240000000001</v>
      </c>
      <c r="O1771" s="6">
        <v>3471.3240000000001</v>
      </c>
      <c r="P1771" s="6">
        <v>0</v>
      </c>
      <c r="Q1771" s="4" t="s">
        <v>26</v>
      </c>
      <c r="R1771" s="4">
        <v>0</v>
      </c>
      <c r="S1771" s="4" t="s">
        <v>508</v>
      </c>
      <c r="T1771" s="4" t="s">
        <v>765</v>
      </c>
      <c r="U1771" s="4">
        <v>0</v>
      </c>
      <c r="V1771" s="4">
        <v>27</v>
      </c>
      <c r="W1771" s="4">
        <v>85</v>
      </c>
    </row>
    <row r="1772" spans="1:23" ht="11.25" customHeight="1" x14ac:dyDescent="0.25">
      <c r="A1772" s="4" t="s">
        <v>27</v>
      </c>
      <c r="B1772" s="4" t="s">
        <v>44</v>
      </c>
      <c r="C1772" s="4" t="s">
        <v>23</v>
      </c>
      <c r="D1772" s="4" t="s">
        <v>45</v>
      </c>
      <c r="E1772" s="4" t="s">
        <v>53</v>
      </c>
      <c r="F1772" s="4" t="s">
        <v>54</v>
      </c>
      <c r="G1772" s="4" t="s">
        <v>25</v>
      </c>
      <c r="H1772" s="4" t="s">
        <v>25</v>
      </c>
      <c r="I1772" s="5">
        <v>44531</v>
      </c>
      <c r="J1772" s="6">
        <v>0</v>
      </c>
      <c r="K1772" s="6">
        <v>0</v>
      </c>
      <c r="L1772" s="6">
        <v>-107.721</v>
      </c>
      <c r="M1772" s="6">
        <v>-107.721</v>
      </c>
      <c r="N1772" s="6">
        <v>-107.721</v>
      </c>
      <c r="O1772" s="6">
        <v>-107.721</v>
      </c>
      <c r="P1772" s="6">
        <v>0</v>
      </c>
      <c r="Q1772" s="4" t="s">
        <v>26</v>
      </c>
      <c r="R1772" s="4">
        <v>0</v>
      </c>
      <c r="S1772" s="4" t="s">
        <v>508</v>
      </c>
      <c r="T1772" s="4" t="s">
        <v>765</v>
      </c>
      <c r="U1772" s="4">
        <v>0</v>
      </c>
      <c r="V1772" s="4">
        <v>27</v>
      </c>
      <c r="W1772" s="4">
        <v>85</v>
      </c>
    </row>
    <row r="1773" spans="1:23" ht="11.25" customHeight="1" x14ac:dyDescent="0.25">
      <c r="A1773" s="4" t="s">
        <v>28</v>
      </c>
      <c r="B1773" s="4" t="s">
        <v>44</v>
      </c>
      <c r="C1773" s="4" t="s">
        <v>23</v>
      </c>
      <c r="D1773" s="4" t="s">
        <v>45</v>
      </c>
      <c r="E1773" s="4" t="s">
        <v>53</v>
      </c>
      <c r="F1773" s="4" t="s">
        <v>54</v>
      </c>
      <c r="G1773" s="4" t="s">
        <v>25</v>
      </c>
      <c r="H1773" s="4" t="s">
        <v>25</v>
      </c>
      <c r="I1773" s="5">
        <v>44531</v>
      </c>
      <c r="J1773" s="6">
        <v>0</v>
      </c>
      <c r="K1773" s="6">
        <v>0</v>
      </c>
      <c r="L1773" s="6">
        <v>123.726</v>
      </c>
      <c r="M1773" s="6">
        <v>123.726</v>
      </c>
      <c r="N1773" s="6">
        <v>123.726</v>
      </c>
      <c r="O1773" s="6">
        <v>123.726</v>
      </c>
      <c r="P1773" s="6">
        <v>0</v>
      </c>
      <c r="Q1773" s="4" t="s">
        <v>26</v>
      </c>
      <c r="R1773" s="4">
        <v>0</v>
      </c>
      <c r="S1773" s="4" t="s">
        <v>508</v>
      </c>
      <c r="T1773" s="4" t="s">
        <v>765</v>
      </c>
      <c r="U1773" s="4">
        <v>0</v>
      </c>
      <c r="V1773" s="4">
        <v>27</v>
      </c>
      <c r="W1773" s="4">
        <v>85</v>
      </c>
    </row>
    <row r="1774" spans="1:23" ht="11.25" customHeight="1" x14ac:dyDescent="0.25">
      <c r="A1774" s="4" t="s">
        <v>21</v>
      </c>
      <c r="B1774" s="4" t="s">
        <v>44</v>
      </c>
      <c r="C1774" s="4" t="s">
        <v>23</v>
      </c>
      <c r="D1774" s="4" t="s">
        <v>45</v>
      </c>
      <c r="E1774" s="4" t="s">
        <v>53</v>
      </c>
      <c r="F1774" s="4" t="s">
        <v>54</v>
      </c>
      <c r="G1774" s="4" t="s">
        <v>25</v>
      </c>
      <c r="H1774" s="4" t="s">
        <v>25</v>
      </c>
      <c r="I1774" s="5">
        <v>44562</v>
      </c>
      <c r="J1774" s="6">
        <v>0</v>
      </c>
      <c r="K1774" s="6">
        <v>0</v>
      </c>
      <c r="L1774" s="6">
        <v>2284.2489999999998</v>
      </c>
      <c r="M1774" s="6">
        <v>2284.2489999999998</v>
      </c>
      <c r="N1774" s="6">
        <v>2284.2489999999998</v>
      </c>
      <c r="O1774" s="6">
        <v>2284.2489999999998</v>
      </c>
      <c r="P1774" s="6">
        <v>0</v>
      </c>
      <c r="Q1774" s="4" t="s">
        <v>26</v>
      </c>
      <c r="R1774" s="4">
        <v>0</v>
      </c>
      <c r="S1774" s="4" t="s">
        <v>509</v>
      </c>
      <c r="T1774" s="4" t="s">
        <v>766</v>
      </c>
      <c r="U1774" s="4">
        <v>0</v>
      </c>
      <c r="V1774" s="4">
        <v>27</v>
      </c>
      <c r="W1774" s="4">
        <v>85</v>
      </c>
    </row>
    <row r="1775" spans="1:23" ht="11.25" customHeight="1" x14ac:dyDescent="0.25">
      <c r="A1775" s="4" t="s">
        <v>27</v>
      </c>
      <c r="B1775" s="4" t="s">
        <v>44</v>
      </c>
      <c r="C1775" s="4" t="s">
        <v>23</v>
      </c>
      <c r="D1775" s="4" t="s">
        <v>45</v>
      </c>
      <c r="E1775" s="4" t="s">
        <v>53</v>
      </c>
      <c r="F1775" s="4" t="s">
        <v>54</v>
      </c>
      <c r="G1775" s="4" t="s">
        <v>25</v>
      </c>
      <c r="H1775" s="4" t="s">
        <v>25</v>
      </c>
      <c r="I1775" s="5">
        <v>44562</v>
      </c>
      <c r="J1775" s="6">
        <v>0</v>
      </c>
      <c r="K1775" s="6">
        <v>0</v>
      </c>
      <c r="L1775" s="6">
        <v>-27.282</v>
      </c>
      <c r="M1775" s="6">
        <v>-27.282</v>
      </c>
      <c r="N1775" s="6">
        <v>-27.282</v>
      </c>
      <c r="O1775" s="6">
        <v>-27.282</v>
      </c>
      <c r="P1775" s="6">
        <v>0</v>
      </c>
      <c r="Q1775" s="4" t="s">
        <v>26</v>
      </c>
      <c r="R1775" s="4">
        <v>0</v>
      </c>
      <c r="S1775" s="4" t="s">
        <v>509</v>
      </c>
      <c r="T1775" s="4" t="s">
        <v>766</v>
      </c>
      <c r="U1775" s="4">
        <v>0</v>
      </c>
      <c r="V1775" s="4">
        <v>27</v>
      </c>
      <c r="W1775" s="4">
        <v>85</v>
      </c>
    </row>
    <row r="1776" spans="1:23" ht="11.25" customHeight="1" x14ac:dyDescent="0.25">
      <c r="A1776" s="4" t="s">
        <v>28</v>
      </c>
      <c r="B1776" s="4" t="s">
        <v>44</v>
      </c>
      <c r="C1776" s="4" t="s">
        <v>23</v>
      </c>
      <c r="D1776" s="4" t="s">
        <v>45</v>
      </c>
      <c r="E1776" s="4" t="s">
        <v>53</v>
      </c>
      <c r="F1776" s="4" t="s">
        <v>54</v>
      </c>
      <c r="G1776" s="4" t="s">
        <v>25</v>
      </c>
      <c r="H1776" s="4" t="s">
        <v>25</v>
      </c>
      <c r="I1776" s="5">
        <v>44562</v>
      </c>
      <c r="J1776" s="6">
        <v>0</v>
      </c>
      <c r="K1776" s="6">
        <v>0</v>
      </c>
      <c r="L1776" s="6">
        <v>81.566000000000003</v>
      </c>
      <c r="M1776" s="6">
        <v>81.566000000000003</v>
      </c>
      <c r="N1776" s="6">
        <v>81.566000000000003</v>
      </c>
      <c r="O1776" s="6">
        <v>81.566000000000003</v>
      </c>
      <c r="P1776" s="6">
        <v>0</v>
      </c>
      <c r="Q1776" s="4" t="s">
        <v>26</v>
      </c>
      <c r="R1776" s="4">
        <v>0</v>
      </c>
      <c r="S1776" s="4" t="s">
        <v>509</v>
      </c>
      <c r="T1776" s="4" t="s">
        <v>766</v>
      </c>
      <c r="U1776" s="4">
        <v>0</v>
      </c>
      <c r="V1776" s="4">
        <v>27</v>
      </c>
      <c r="W1776" s="4">
        <v>85</v>
      </c>
    </row>
    <row r="1777" spans="1:23" ht="11.25" customHeight="1" x14ac:dyDescent="0.25">
      <c r="A1777" s="4" t="s">
        <v>21</v>
      </c>
      <c r="B1777" s="4" t="s">
        <v>44</v>
      </c>
      <c r="C1777" s="4" t="s">
        <v>23</v>
      </c>
      <c r="D1777" s="4" t="s">
        <v>45</v>
      </c>
      <c r="E1777" s="4" t="s">
        <v>53</v>
      </c>
      <c r="F1777" s="4" t="s">
        <v>54</v>
      </c>
      <c r="G1777" s="4" t="s">
        <v>25</v>
      </c>
      <c r="H1777" s="4" t="s">
        <v>25</v>
      </c>
      <c r="I1777" s="5">
        <v>44593</v>
      </c>
      <c r="J1777" s="6">
        <v>0</v>
      </c>
      <c r="K1777" s="6">
        <v>0</v>
      </c>
      <c r="L1777" s="6">
        <v>1871.96</v>
      </c>
      <c r="M1777" s="6">
        <v>1871.96</v>
      </c>
      <c r="N1777" s="6">
        <v>1871.96</v>
      </c>
      <c r="O1777" s="6">
        <v>1871.96</v>
      </c>
      <c r="P1777" s="6">
        <v>0</v>
      </c>
      <c r="Q1777" s="4" t="s">
        <v>26</v>
      </c>
      <c r="R1777" s="4">
        <v>0</v>
      </c>
      <c r="S1777" s="4" t="s">
        <v>510</v>
      </c>
      <c r="T1777" s="4" t="s">
        <v>767</v>
      </c>
      <c r="U1777" s="4">
        <v>0</v>
      </c>
      <c r="V1777" s="4">
        <v>27</v>
      </c>
      <c r="W1777" s="4">
        <v>85</v>
      </c>
    </row>
    <row r="1778" spans="1:23" ht="11.25" customHeight="1" x14ac:dyDescent="0.25">
      <c r="A1778" s="4" t="s">
        <v>27</v>
      </c>
      <c r="B1778" s="4" t="s">
        <v>44</v>
      </c>
      <c r="C1778" s="4" t="s">
        <v>23</v>
      </c>
      <c r="D1778" s="4" t="s">
        <v>45</v>
      </c>
      <c r="E1778" s="4" t="s">
        <v>53</v>
      </c>
      <c r="F1778" s="4" t="s">
        <v>54</v>
      </c>
      <c r="G1778" s="4" t="s">
        <v>25</v>
      </c>
      <c r="H1778" s="4" t="s">
        <v>25</v>
      </c>
      <c r="I1778" s="5">
        <v>44593</v>
      </c>
      <c r="J1778" s="6">
        <v>0</v>
      </c>
      <c r="K1778" s="6">
        <v>0</v>
      </c>
      <c r="L1778" s="6">
        <v>-107.125</v>
      </c>
      <c r="M1778" s="6">
        <v>-107.125</v>
      </c>
      <c r="N1778" s="6">
        <v>-107.125</v>
      </c>
      <c r="O1778" s="6">
        <v>-107.125</v>
      </c>
      <c r="P1778" s="6">
        <v>0</v>
      </c>
      <c r="Q1778" s="4" t="s">
        <v>26</v>
      </c>
      <c r="R1778" s="4">
        <v>0</v>
      </c>
      <c r="S1778" s="4" t="s">
        <v>510</v>
      </c>
      <c r="T1778" s="4" t="s">
        <v>767</v>
      </c>
      <c r="U1778" s="4">
        <v>0</v>
      </c>
      <c r="V1778" s="4">
        <v>27</v>
      </c>
      <c r="W1778" s="4">
        <v>85</v>
      </c>
    </row>
    <row r="1779" spans="1:23" ht="11.25" customHeight="1" x14ac:dyDescent="0.25">
      <c r="A1779" s="4" t="s">
        <v>28</v>
      </c>
      <c r="B1779" s="4" t="s">
        <v>44</v>
      </c>
      <c r="C1779" s="4" t="s">
        <v>23</v>
      </c>
      <c r="D1779" s="4" t="s">
        <v>45</v>
      </c>
      <c r="E1779" s="4" t="s">
        <v>53</v>
      </c>
      <c r="F1779" s="4" t="s">
        <v>54</v>
      </c>
      <c r="G1779" s="4" t="s">
        <v>25</v>
      </c>
      <c r="H1779" s="4" t="s">
        <v>25</v>
      </c>
      <c r="I1779" s="5">
        <v>44593</v>
      </c>
      <c r="J1779" s="6">
        <v>0</v>
      </c>
      <c r="K1779" s="6">
        <v>0</v>
      </c>
      <c r="L1779" s="6">
        <v>61.600999999999999</v>
      </c>
      <c r="M1779" s="6">
        <v>61.600999999999999</v>
      </c>
      <c r="N1779" s="6">
        <v>61.600999999999999</v>
      </c>
      <c r="O1779" s="6">
        <v>61.600999999999999</v>
      </c>
      <c r="P1779" s="6">
        <v>0</v>
      </c>
      <c r="Q1779" s="4" t="s">
        <v>26</v>
      </c>
      <c r="R1779" s="4">
        <v>0</v>
      </c>
      <c r="S1779" s="4" t="s">
        <v>510</v>
      </c>
      <c r="T1779" s="4" t="s">
        <v>767</v>
      </c>
      <c r="U1779" s="4">
        <v>0</v>
      </c>
      <c r="V1779" s="4">
        <v>27</v>
      </c>
      <c r="W1779" s="4">
        <v>85</v>
      </c>
    </row>
    <row r="1780" spans="1:23" ht="11.25" customHeight="1" x14ac:dyDescent="0.25">
      <c r="A1780" s="4" t="s">
        <v>28</v>
      </c>
      <c r="B1780" s="4" t="s">
        <v>44</v>
      </c>
      <c r="C1780" s="4" t="s">
        <v>23</v>
      </c>
      <c r="D1780" s="4" t="s">
        <v>45</v>
      </c>
      <c r="E1780" s="4" t="s">
        <v>53</v>
      </c>
      <c r="F1780" s="4" t="s">
        <v>54</v>
      </c>
      <c r="G1780" s="4" t="s">
        <v>25</v>
      </c>
      <c r="H1780" s="4" t="s">
        <v>25</v>
      </c>
      <c r="I1780" s="5">
        <v>44593</v>
      </c>
      <c r="J1780" s="6">
        <v>0</v>
      </c>
      <c r="K1780" s="6">
        <v>0</v>
      </c>
      <c r="L1780" s="6">
        <v>0.12</v>
      </c>
      <c r="M1780" s="6">
        <v>0.12</v>
      </c>
      <c r="N1780" s="6">
        <v>0.12</v>
      </c>
      <c r="O1780" s="6">
        <v>0.12</v>
      </c>
      <c r="P1780" s="6">
        <v>0</v>
      </c>
      <c r="Q1780" s="4" t="s">
        <v>26</v>
      </c>
      <c r="R1780" s="4">
        <v>0</v>
      </c>
      <c r="S1780" s="4" t="s">
        <v>510</v>
      </c>
      <c r="T1780" s="4" t="s">
        <v>767</v>
      </c>
      <c r="U1780" s="4">
        <v>0</v>
      </c>
      <c r="V1780" s="4">
        <v>27</v>
      </c>
      <c r="W1780" s="4">
        <v>85</v>
      </c>
    </row>
    <row r="1781" spans="1:23" ht="11.25" customHeight="1" x14ac:dyDescent="0.25">
      <c r="A1781" s="4" t="s">
        <v>21</v>
      </c>
      <c r="B1781" s="4" t="s">
        <v>44</v>
      </c>
      <c r="C1781" s="4" t="s">
        <v>23</v>
      </c>
      <c r="D1781" s="4" t="s">
        <v>45</v>
      </c>
      <c r="E1781" s="4" t="s">
        <v>53</v>
      </c>
      <c r="F1781" s="4" t="s">
        <v>54</v>
      </c>
      <c r="G1781" s="4" t="s">
        <v>25</v>
      </c>
      <c r="H1781" s="4" t="s">
        <v>25</v>
      </c>
      <c r="I1781" s="5">
        <v>44621</v>
      </c>
      <c r="J1781" s="6">
        <v>0</v>
      </c>
      <c r="K1781" s="6">
        <v>0</v>
      </c>
      <c r="L1781" s="6">
        <v>2023.2439999999999</v>
      </c>
      <c r="M1781" s="6">
        <v>2023.2439999999999</v>
      </c>
      <c r="N1781" s="6">
        <v>2023.2439999999999</v>
      </c>
      <c r="O1781" s="6">
        <v>2023.2439999999999</v>
      </c>
      <c r="P1781" s="6">
        <v>0</v>
      </c>
      <c r="Q1781" s="4" t="s">
        <v>26</v>
      </c>
      <c r="R1781" s="4">
        <v>0</v>
      </c>
      <c r="S1781" s="4" t="s">
        <v>511</v>
      </c>
      <c r="T1781" s="4" t="s">
        <v>768</v>
      </c>
      <c r="U1781" s="4">
        <v>0</v>
      </c>
      <c r="V1781" s="4">
        <v>27</v>
      </c>
      <c r="W1781" s="4">
        <v>85</v>
      </c>
    </row>
    <row r="1782" spans="1:23" ht="11.25" customHeight="1" x14ac:dyDescent="0.25">
      <c r="A1782" s="4" t="s">
        <v>27</v>
      </c>
      <c r="B1782" s="4" t="s">
        <v>44</v>
      </c>
      <c r="C1782" s="4" t="s">
        <v>23</v>
      </c>
      <c r="D1782" s="4" t="s">
        <v>45</v>
      </c>
      <c r="E1782" s="4" t="s">
        <v>53</v>
      </c>
      <c r="F1782" s="4" t="s">
        <v>54</v>
      </c>
      <c r="G1782" s="4" t="s">
        <v>25</v>
      </c>
      <c r="H1782" s="4" t="s">
        <v>25</v>
      </c>
      <c r="I1782" s="5">
        <v>44621</v>
      </c>
      <c r="J1782" s="6">
        <v>0</v>
      </c>
      <c r="K1782" s="6">
        <v>0</v>
      </c>
      <c r="L1782" s="6">
        <v>-116.762</v>
      </c>
      <c r="M1782" s="6">
        <v>-116.762</v>
      </c>
      <c r="N1782" s="6">
        <v>-116.762</v>
      </c>
      <c r="O1782" s="6">
        <v>-116.762</v>
      </c>
      <c r="P1782" s="6">
        <v>0</v>
      </c>
      <c r="Q1782" s="4" t="s">
        <v>26</v>
      </c>
      <c r="R1782" s="4">
        <v>0</v>
      </c>
      <c r="S1782" s="4" t="s">
        <v>511</v>
      </c>
      <c r="T1782" s="4" t="s">
        <v>768</v>
      </c>
      <c r="U1782" s="4">
        <v>0</v>
      </c>
      <c r="V1782" s="4">
        <v>27</v>
      </c>
      <c r="W1782" s="4">
        <v>85</v>
      </c>
    </row>
    <row r="1783" spans="1:23" ht="11.25" customHeight="1" x14ac:dyDescent="0.25">
      <c r="A1783" s="4" t="s">
        <v>28</v>
      </c>
      <c r="B1783" s="4" t="s">
        <v>44</v>
      </c>
      <c r="C1783" s="4" t="s">
        <v>23</v>
      </c>
      <c r="D1783" s="4" t="s">
        <v>45</v>
      </c>
      <c r="E1783" s="4" t="s">
        <v>53</v>
      </c>
      <c r="F1783" s="4" t="s">
        <v>54</v>
      </c>
      <c r="G1783" s="4" t="s">
        <v>25</v>
      </c>
      <c r="H1783" s="4" t="s">
        <v>25</v>
      </c>
      <c r="I1783" s="5">
        <v>44621</v>
      </c>
      <c r="J1783" s="6">
        <v>0</v>
      </c>
      <c r="K1783" s="6">
        <v>0</v>
      </c>
      <c r="L1783" s="6">
        <v>100.78100000000001</v>
      </c>
      <c r="M1783" s="6">
        <v>100.78100000000001</v>
      </c>
      <c r="N1783" s="6">
        <v>100.78100000000001</v>
      </c>
      <c r="O1783" s="6">
        <v>100.78100000000001</v>
      </c>
      <c r="P1783" s="6">
        <v>0</v>
      </c>
      <c r="Q1783" s="4" t="s">
        <v>26</v>
      </c>
      <c r="R1783" s="4">
        <v>0</v>
      </c>
      <c r="S1783" s="4" t="s">
        <v>511</v>
      </c>
      <c r="T1783" s="4" t="s">
        <v>768</v>
      </c>
      <c r="U1783" s="4">
        <v>0</v>
      </c>
      <c r="V1783" s="4">
        <v>27</v>
      </c>
      <c r="W1783" s="4">
        <v>85</v>
      </c>
    </row>
    <row r="1784" spans="1:23" ht="11.25" customHeight="1" x14ac:dyDescent="0.25">
      <c r="A1784" s="4" t="s">
        <v>21</v>
      </c>
      <c r="B1784" s="4" t="s">
        <v>44</v>
      </c>
      <c r="C1784" s="4" t="s">
        <v>23</v>
      </c>
      <c r="D1784" s="4" t="s">
        <v>45</v>
      </c>
      <c r="E1784" s="4" t="s">
        <v>53</v>
      </c>
      <c r="F1784" s="4" t="s">
        <v>54</v>
      </c>
      <c r="G1784" s="4" t="s">
        <v>25</v>
      </c>
      <c r="H1784" s="4" t="s">
        <v>25</v>
      </c>
      <c r="I1784" s="5">
        <v>44652</v>
      </c>
      <c r="J1784" s="6">
        <v>0</v>
      </c>
      <c r="K1784" s="6">
        <v>0</v>
      </c>
      <c r="L1784" s="6">
        <v>2050.3809999999999</v>
      </c>
      <c r="M1784" s="6">
        <v>2050.3809999999999</v>
      </c>
      <c r="N1784" s="6">
        <v>2050.3809999999999</v>
      </c>
      <c r="O1784" s="6">
        <v>2050.3809999999999</v>
      </c>
      <c r="P1784" s="6">
        <v>0</v>
      </c>
      <c r="Q1784" s="4" t="s">
        <v>26</v>
      </c>
      <c r="R1784" s="4">
        <v>0</v>
      </c>
      <c r="S1784" s="4" t="s">
        <v>512</v>
      </c>
      <c r="T1784" s="4" t="s">
        <v>769</v>
      </c>
      <c r="U1784" s="4">
        <v>0</v>
      </c>
      <c r="V1784" s="4">
        <v>27</v>
      </c>
      <c r="W1784" s="4">
        <v>85</v>
      </c>
    </row>
    <row r="1785" spans="1:23" ht="11.25" customHeight="1" x14ac:dyDescent="0.25">
      <c r="A1785" s="4" t="s">
        <v>27</v>
      </c>
      <c r="B1785" s="4" t="s">
        <v>44</v>
      </c>
      <c r="C1785" s="4" t="s">
        <v>23</v>
      </c>
      <c r="D1785" s="4" t="s">
        <v>45</v>
      </c>
      <c r="E1785" s="4" t="s">
        <v>53</v>
      </c>
      <c r="F1785" s="4" t="s">
        <v>54</v>
      </c>
      <c r="G1785" s="4" t="s">
        <v>25</v>
      </c>
      <c r="H1785" s="4" t="s">
        <v>25</v>
      </c>
      <c r="I1785" s="5">
        <v>44652</v>
      </c>
      <c r="J1785" s="6">
        <v>0</v>
      </c>
      <c r="K1785" s="6">
        <v>0</v>
      </c>
      <c r="L1785" s="6">
        <v>-55.38</v>
      </c>
      <c r="M1785" s="6">
        <v>-55.38</v>
      </c>
      <c r="N1785" s="6">
        <v>-55.38</v>
      </c>
      <c r="O1785" s="6">
        <v>-55.38</v>
      </c>
      <c r="P1785" s="6">
        <v>0</v>
      </c>
      <c r="Q1785" s="4" t="s">
        <v>26</v>
      </c>
      <c r="R1785" s="4">
        <v>0</v>
      </c>
      <c r="S1785" s="4" t="s">
        <v>512</v>
      </c>
      <c r="T1785" s="4" t="s">
        <v>769</v>
      </c>
      <c r="U1785" s="4">
        <v>0</v>
      </c>
      <c r="V1785" s="4">
        <v>27</v>
      </c>
      <c r="W1785" s="4">
        <v>85</v>
      </c>
    </row>
    <row r="1786" spans="1:23" ht="11.25" customHeight="1" x14ac:dyDescent="0.25">
      <c r="A1786" s="4" t="s">
        <v>28</v>
      </c>
      <c r="B1786" s="4" t="s">
        <v>44</v>
      </c>
      <c r="C1786" s="4" t="s">
        <v>23</v>
      </c>
      <c r="D1786" s="4" t="s">
        <v>45</v>
      </c>
      <c r="E1786" s="4" t="s">
        <v>53</v>
      </c>
      <c r="F1786" s="4" t="s">
        <v>54</v>
      </c>
      <c r="G1786" s="4" t="s">
        <v>25</v>
      </c>
      <c r="H1786" s="4" t="s">
        <v>25</v>
      </c>
      <c r="I1786" s="5">
        <v>44652</v>
      </c>
      <c r="J1786" s="6">
        <v>0</v>
      </c>
      <c r="K1786" s="6">
        <v>0</v>
      </c>
      <c r="L1786" s="6">
        <v>61.347000000000001</v>
      </c>
      <c r="M1786" s="6">
        <v>61.347000000000001</v>
      </c>
      <c r="N1786" s="6">
        <v>61.347000000000001</v>
      </c>
      <c r="O1786" s="6">
        <v>61.347000000000001</v>
      </c>
      <c r="P1786" s="6">
        <v>0</v>
      </c>
      <c r="Q1786" s="4" t="s">
        <v>26</v>
      </c>
      <c r="R1786" s="4">
        <v>0</v>
      </c>
      <c r="S1786" s="4" t="s">
        <v>512</v>
      </c>
      <c r="T1786" s="4" t="s">
        <v>769</v>
      </c>
      <c r="U1786" s="4">
        <v>0</v>
      </c>
      <c r="V1786" s="4">
        <v>27</v>
      </c>
      <c r="W1786" s="4">
        <v>85</v>
      </c>
    </row>
    <row r="1787" spans="1:23" ht="11.25" customHeight="1" x14ac:dyDescent="0.25">
      <c r="A1787" s="4" t="s">
        <v>21</v>
      </c>
      <c r="B1787" s="4" t="s">
        <v>44</v>
      </c>
      <c r="C1787" s="4" t="s">
        <v>23</v>
      </c>
      <c r="D1787" s="4" t="s">
        <v>45</v>
      </c>
      <c r="E1787" s="4" t="s">
        <v>53</v>
      </c>
      <c r="F1787" s="4" t="s">
        <v>54</v>
      </c>
      <c r="G1787" s="4" t="s">
        <v>25</v>
      </c>
      <c r="H1787" s="4" t="s">
        <v>25</v>
      </c>
      <c r="I1787" s="5">
        <v>44682</v>
      </c>
      <c r="J1787" s="6">
        <v>0</v>
      </c>
      <c r="K1787" s="6">
        <v>0</v>
      </c>
      <c r="L1787" s="6">
        <v>1859.2439999999999</v>
      </c>
      <c r="M1787" s="6">
        <v>1859.2439999999999</v>
      </c>
      <c r="N1787" s="6">
        <v>1859.2439999999999</v>
      </c>
      <c r="O1787" s="6">
        <v>1859.2439999999999</v>
      </c>
      <c r="P1787" s="6">
        <v>0</v>
      </c>
      <c r="Q1787" s="4" t="s">
        <v>26</v>
      </c>
      <c r="R1787" s="4">
        <v>0</v>
      </c>
      <c r="S1787" s="4" t="s">
        <v>513</v>
      </c>
      <c r="T1787" s="4" t="s">
        <v>770</v>
      </c>
      <c r="U1787" s="4">
        <v>0</v>
      </c>
      <c r="V1787" s="4">
        <v>27</v>
      </c>
      <c r="W1787" s="4">
        <v>85</v>
      </c>
    </row>
    <row r="1788" spans="1:23" ht="11.25" customHeight="1" x14ac:dyDescent="0.25">
      <c r="A1788" s="4" t="s">
        <v>27</v>
      </c>
      <c r="B1788" s="4" t="s">
        <v>44</v>
      </c>
      <c r="C1788" s="4" t="s">
        <v>23</v>
      </c>
      <c r="D1788" s="4" t="s">
        <v>45</v>
      </c>
      <c r="E1788" s="4" t="s">
        <v>53</v>
      </c>
      <c r="F1788" s="4" t="s">
        <v>54</v>
      </c>
      <c r="G1788" s="4" t="s">
        <v>25</v>
      </c>
      <c r="H1788" s="4" t="s">
        <v>25</v>
      </c>
      <c r="I1788" s="5">
        <v>44682</v>
      </c>
      <c r="J1788" s="6">
        <v>0</v>
      </c>
      <c r="K1788" s="6">
        <v>0</v>
      </c>
      <c r="L1788" s="6">
        <v>-54.777999999999999</v>
      </c>
      <c r="M1788" s="6">
        <v>-54.777999999999999</v>
      </c>
      <c r="N1788" s="6">
        <v>-54.777999999999999</v>
      </c>
      <c r="O1788" s="6">
        <v>-54.777999999999999</v>
      </c>
      <c r="P1788" s="6">
        <v>0</v>
      </c>
      <c r="Q1788" s="4" t="s">
        <v>26</v>
      </c>
      <c r="R1788" s="4">
        <v>0</v>
      </c>
      <c r="S1788" s="4" t="s">
        <v>513</v>
      </c>
      <c r="T1788" s="4" t="s">
        <v>770</v>
      </c>
      <c r="U1788" s="4">
        <v>0</v>
      </c>
      <c r="V1788" s="4">
        <v>27</v>
      </c>
      <c r="W1788" s="4">
        <v>85</v>
      </c>
    </row>
    <row r="1789" spans="1:23" ht="11.25" customHeight="1" x14ac:dyDescent="0.25">
      <c r="A1789" s="4" t="s">
        <v>28</v>
      </c>
      <c r="B1789" s="4" t="s">
        <v>44</v>
      </c>
      <c r="C1789" s="4" t="s">
        <v>23</v>
      </c>
      <c r="D1789" s="4" t="s">
        <v>45</v>
      </c>
      <c r="E1789" s="4" t="s">
        <v>53</v>
      </c>
      <c r="F1789" s="4" t="s">
        <v>54</v>
      </c>
      <c r="G1789" s="4" t="s">
        <v>25</v>
      </c>
      <c r="H1789" s="4" t="s">
        <v>25</v>
      </c>
      <c r="I1789" s="5">
        <v>44682</v>
      </c>
      <c r="J1789" s="6">
        <v>0</v>
      </c>
      <c r="K1789" s="6">
        <v>0</v>
      </c>
      <c r="L1789" s="6">
        <v>45.665999999999997</v>
      </c>
      <c r="M1789" s="6">
        <v>45.665999999999997</v>
      </c>
      <c r="N1789" s="6">
        <v>45.665999999999997</v>
      </c>
      <c r="O1789" s="6">
        <v>45.665999999999997</v>
      </c>
      <c r="P1789" s="6">
        <v>0</v>
      </c>
      <c r="Q1789" s="4" t="s">
        <v>26</v>
      </c>
      <c r="R1789" s="4">
        <v>0</v>
      </c>
      <c r="S1789" s="4" t="s">
        <v>513</v>
      </c>
      <c r="T1789" s="4" t="s">
        <v>770</v>
      </c>
      <c r="U1789" s="4">
        <v>0</v>
      </c>
      <c r="V1789" s="4">
        <v>27</v>
      </c>
      <c r="W1789" s="4">
        <v>85</v>
      </c>
    </row>
    <row r="1790" spans="1:23" ht="11.25" customHeight="1" x14ac:dyDescent="0.25">
      <c r="A1790" s="4" t="s">
        <v>28</v>
      </c>
      <c r="B1790" s="4" t="s">
        <v>44</v>
      </c>
      <c r="C1790" s="4" t="s">
        <v>23</v>
      </c>
      <c r="D1790" s="4" t="s">
        <v>45</v>
      </c>
      <c r="E1790" s="4" t="s">
        <v>53</v>
      </c>
      <c r="F1790" s="4" t="s">
        <v>54</v>
      </c>
      <c r="G1790" s="4" t="s">
        <v>25</v>
      </c>
      <c r="H1790" s="4" t="s">
        <v>25</v>
      </c>
      <c r="I1790" s="5">
        <v>44682</v>
      </c>
      <c r="J1790" s="6">
        <v>0</v>
      </c>
      <c r="K1790" s="6">
        <v>0</v>
      </c>
      <c r="L1790" s="6">
        <v>0.1</v>
      </c>
      <c r="M1790" s="6">
        <v>0.1</v>
      </c>
      <c r="N1790" s="6">
        <v>0.1</v>
      </c>
      <c r="O1790" s="6">
        <v>0.1</v>
      </c>
      <c r="P1790" s="6">
        <v>0</v>
      </c>
      <c r="Q1790" s="4" t="s">
        <v>26</v>
      </c>
      <c r="R1790" s="4">
        <v>0</v>
      </c>
      <c r="S1790" s="4" t="s">
        <v>513</v>
      </c>
      <c r="T1790" s="4" t="s">
        <v>770</v>
      </c>
      <c r="U1790" s="4">
        <v>0</v>
      </c>
      <c r="V1790" s="4">
        <v>27</v>
      </c>
      <c r="W1790" s="4">
        <v>85</v>
      </c>
    </row>
    <row r="1791" spans="1:23" ht="11.25" customHeight="1" x14ac:dyDescent="0.25">
      <c r="A1791" s="4" t="s">
        <v>21</v>
      </c>
      <c r="B1791" s="4" t="s">
        <v>44</v>
      </c>
      <c r="C1791" s="4" t="s">
        <v>23</v>
      </c>
      <c r="D1791" s="4" t="s">
        <v>45</v>
      </c>
      <c r="E1791" s="4" t="s">
        <v>53</v>
      </c>
      <c r="F1791" s="4" t="s">
        <v>54</v>
      </c>
      <c r="G1791" s="4" t="s">
        <v>25</v>
      </c>
      <c r="H1791" s="4" t="s">
        <v>25</v>
      </c>
      <c r="I1791" s="5">
        <v>44713</v>
      </c>
      <c r="J1791" s="6">
        <v>0</v>
      </c>
      <c r="K1791" s="6">
        <v>0</v>
      </c>
      <c r="L1791" s="6">
        <v>1813.252</v>
      </c>
      <c r="M1791" s="6">
        <v>1813.252</v>
      </c>
      <c r="N1791" s="6">
        <v>1813.252</v>
      </c>
      <c r="O1791" s="6">
        <v>1813.252</v>
      </c>
      <c r="P1791" s="6">
        <v>0</v>
      </c>
      <c r="Q1791" s="4" t="s">
        <v>26</v>
      </c>
      <c r="R1791" s="4">
        <v>0</v>
      </c>
      <c r="S1791" s="4" t="s">
        <v>514</v>
      </c>
      <c r="T1791" s="4" t="s">
        <v>771</v>
      </c>
      <c r="U1791" s="4">
        <v>0</v>
      </c>
      <c r="V1791" s="4">
        <v>27</v>
      </c>
      <c r="W1791" s="4">
        <v>85</v>
      </c>
    </row>
    <row r="1792" spans="1:23" ht="11.25" customHeight="1" x14ac:dyDescent="0.25">
      <c r="A1792" s="4" t="s">
        <v>27</v>
      </c>
      <c r="B1792" s="4" t="s">
        <v>44</v>
      </c>
      <c r="C1792" s="4" t="s">
        <v>23</v>
      </c>
      <c r="D1792" s="4" t="s">
        <v>45</v>
      </c>
      <c r="E1792" s="4" t="s">
        <v>53</v>
      </c>
      <c r="F1792" s="4" t="s">
        <v>54</v>
      </c>
      <c r="G1792" s="4" t="s">
        <v>25</v>
      </c>
      <c r="H1792" s="4" t="s">
        <v>25</v>
      </c>
      <c r="I1792" s="5">
        <v>44713</v>
      </c>
      <c r="J1792" s="6">
        <v>0</v>
      </c>
      <c r="K1792" s="6">
        <v>0</v>
      </c>
      <c r="L1792" s="6">
        <v>-47.026000000000003</v>
      </c>
      <c r="M1792" s="6">
        <v>-47.026000000000003</v>
      </c>
      <c r="N1792" s="6">
        <v>-47.026000000000003</v>
      </c>
      <c r="O1792" s="6">
        <v>-47.026000000000003</v>
      </c>
      <c r="P1792" s="6">
        <v>0</v>
      </c>
      <c r="Q1792" s="4" t="s">
        <v>26</v>
      </c>
      <c r="R1792" s="4">
        <v>0</v>
      </c>
      <c r="S1792" s="4" t="s">
        <v>514</v>
      </c>
      <c r="T1792" s="4" t="s">
        <v>771</v>
      </c>
      <c r="U1792" s="4">
        <v>0</v>
      </c>
      <c r="V1792" s="4">
        <v>27</v>
      </c>
      <c r="W1792" s="4">
        <v>85</v>
      </c>
    </row>
    <row r="1793" spans="1:23" ht="11.25" customHeight="1" x14ac:dyDescent="0.25">
      <c r="A1793" s="4" t="s">
        <v>28</v>
      </c>
      <c r="B1793" s="4" t="s">
        <v>44</v>
      </c>
      <c r="C1793" s="4" t="s">
        <v>23</v>
      </c>
      <c r="D1793" s="4" t="s">
        <v>45</v>
      </c>
      <c r="E1793" s="4" t="s">
        <v>53</v>
      </c>
      <c r="F1793" s="4" t="s">
        <v>54</v>
      </c>
      <c r="G1793" s="4" t="s">
        <v>25</v>
      </c>
      <c r="H1793" s="4" t="s">
        <v>25</v>
      </c>
      <c r="I1793" s="5">
        <v>44713</v>
      </c>
      <c r="J1793" s="6">
        <v>0</v>
      </c>
      <c r="K1793" s="6">
        <v>0</v>
      </c>
      <c r="L1793" s="6">
        <v>61.408000000000001</v>
      </c>
      <c r="M1793" s="6">
        <v>61.408000000000001</v>
      </c>
      <c r="N1793" s="6">
        <v>61.408000000000001</v>
      </c>
      <c r="O1793" s="6">
        <v>61.408000000000001</v>
      </c>
      <c r="P1793" s="6">
        <v>0</v>
      </c>
      <c r="Q1793" s="4" t="s">
        <v>26</v>
      </c>
      <c r="R1793" s="4">
        <v>0</v>
      </c>
      <c r="S1793" s="4" t="s">
        <v>514</v>
      </c>
      <c r="T1793" s="4" t="s">
        <v>771</v>
      </c>
      <c r="U1793" s="4">
        <v>0</v>
      </c>
      <c r="V1793" s="4">
        <v>27</v>
      </c>
      <c r="W1793" s="4">
        <v>85</v>
      </c>
    </row>
    <row r="1794" spans="1:23" ht="11.25" customHeight="1" x14ac:dyDescent="0.25">
      <c r="A1794" s="4" t="s">
        <v>57</v>
      </c>
      <c r="B1794" s="4" t="s">
        <v>44</v>
      </c>
      <c r="C1794" s="4" t="s">
        <v>23</v>
      </c>
      <c r="D1794" s="4" t="s">
        <v>45</v>
      </c>
      <c r="E1794" s="4" t="s">
        <v>53</v>
      </c>
      <c r="F1794" s="4" t="s">
        <v>54</v>
      </c>
      <c r="G1794" s="4" t="s">
        <v>25</v>
      </c>
      <c r="H1794" s="4" t="s">
        <v>25</v>
      </c>
      <c r="I1794" s="5">
        <v>44743</v>
      </c>
      <c r="J1794" s="6">
        <v>0</v>
      </c>
      <c r="K1794" s="6">
        <v>0</v>
      </c>
      <c r="L1794" s="6">
        <v>1813.252</v>
      </c>
      <c r="M1794" s="6">
        <v>1813.252</v>
      </c>
      <c r="N1794" s="6">
        <v>1813.252</v>
      </c>
      <c r="O1794" s="6">
        <v>1813.252</v>
      </c>
      <c r="P1794" s="6">
        <v>0</v>
      </c>
      <c r="Q1794" s="4" t="s">
        <v>26</v>
      </c>
      <c r="R1794" s="4">
        <v>0</v>
      </c>
      <c r="S1794" s="4" t="s">
        <v>515</v>
      </c>
      <c r="T1794" s="4" t="s">
        <v>772</v>
      </c>
      <c r="U1794" s="4">
        <v>0</v>
      </c>
      <c r="V1794" s="4">
        <v>27</v>
      </c>
      <c r="W1794" s="4">
        <v>85</v>
      </c>
    </row>
    <row r="1795" spans="1:23" ht="11.25" customHeight="1" x14ac:dyDescent="0.25">
      <c r="A1795" s="4" t="s">
        <v>57</v>
      </c>
      <c r="B1795" s="4" t="s">
        <v>44</v>
      </c>
      <c r="C1795" s="4" t="s">
        <v>23</v>
      </c>
      <c r="D1795" s="4" t="s">
        <v>45</v>
      </c>
      <c r="E1795" s="4" t="s">
        <v>53</v>
      </c>
      <c r="F1795" s="4" t="s">
        <v>54</v>
      </c>
      <c r="G1795" s="4" t="s">
        <v>25</v>
      </c>
      <c r="H1795" s="4" t="s">
        <v>25</v>
      </c>
      <c r="I1795" s="5">
        <v>44743</v>
      </c>
      <c r="J1795" s="6">
        <v>0</v>
      </c>
      <c r="K1795" s="6">
        <v>0</v>
      </c>
      <c r="L1795" s="6">
        <v>-47.026000000000003</v>
      </c>
      <c r="M1795" s="6">
        <v>-47.026000000000003</v>
      </c>
      <c r="N1795" s="6">
        <v>-47.026000000000003</v>
      </c>
      <c r="O1795" s="6">
        <v>-47.026000000000003</v>
      </c>
      <c r="P1795" s="6">
        <v>0</v>
      </c>
      <c r="Q1795" s="4" t="s">
        <v>26</v>
      </c>
      <c r="R1795" s="4">
        <v>0</v>
      </c>
      <c r="S1795" s="4" t="s">
        <v>515</v>
      </c>
      <c r="T1795" s="4" t="s">
        <v>772</v>
      </c>
      <c r="U1795" s="4">
        <v>0</v>
      </c>
      <c r="V1795" s="4">
        <v>27</v>
      </c>
      <c r="W1795" s="4">
        <v>85</v>
      </c>
    </row>
    <row r="1796" spans="1:23" ht="11.25" customHeight="1" x14ac:dyDescent="0.25">
      <c r="A1796" s="4" t="s">
        <v>57</v>
      </c>
      <c r="B1796" s="4" t="s">
        <v>44</v>
      </c>
      <c r="C1796" s="4" t="s">
        <v>23</v>
      </c>
      <c r="D1796" s="4" t="s">
        <v>45</v>
      </c>
      <c r="E1796" s="4" t="s">
        <v>53</v>
      </c>
      <c r="F1796" s="4" t="s">
        <v>54</v>
      </c>
      <c r="G1796" s="4" t="s">
        <v>25</v>
      </c>
      <c r="H1796" s="4" t="s">
        <v>25</v>
      </c>
      <c r="I1796" s="5">
        <v>44743</v>
      </c>
      <c r="J1796" s="6">
        <v>0</v>
      </c>
      <c r="K1796" s="6">
        <v>0</v>
      </c>
      <c r="L1796" s="6">
        <v>61.408000000000001</v>
      </c>
      <c r="M1796" s="6">
        <v>61.408000000000001</v>
      </c>
      <c r="N1796" s="6">
        <v>61.408000000000001</v>
      </c>
      <c r="O1796" s="6">
        <v>61.408000000000001</v>
      </c>
      <c r="P1796" s="6">
        <v>0</v>
      </c>
      <c r="Q1796" s="4" t="s">
        <v>26</v>
      </c>
      <c r="R1796" s="4">
        <v>0</v>
      </c>
      <c r="S1796" s="4" t="s">
        <v>515</v>
      </c>
      <c r="T1796" s="4" t="s">
        <v>772</v>
      </c>
      <c r="U1796" s="4">
        <v>0</v>
      </c>
      <c r="V1796" s="4">
        <v>27</v>
      </c>
      <c r="W1796" s="4">
        <v>85</v>
      </c>
    </row>
    <row r="1797" spans="1:23" ht="11.25" customHeight="1" x14ac:dyDescent="0.25">
      <c r="A1797" s="4" t="s">
        <v>21</v>
      </c>
      <c r="B1797" s="4" t="s">
        <v>44</v>
      </c>
      <c r="C1797" s="4" t="s">
        <v>23</v>
      </c>
      <c r="D1797" s="4" t="s">
        <v>45</v>
      </c>
      <c r="E1797" s="4" t="s">
        <v>53</v>
      </c>
      <c r="F1797" s="4" t="s">
        <v>55</v>
      </c>
      <c r="G1797" s="4" t="s">
        <v>25</v>
      </c>
      <c r="H1797" s="4" t="s">
        <v>25</v>
      </c>
      <c r="I1797" s="5">
        <v>44409</v>
      </c>
      <c r="J1797" s="6">
        <v>0</v>
      </c>
      <c r="K1797" s="6">
        <v>0</v>
      </c>
      <c r="L1797" s="6">
        <v>4636.4390000000003</v>
      </c>
      <c r="M1797" s="6">
        <v>1251.83853</v>
      </c>
      <c r="N1797" s="6">
        <v>4636.4390000000003</v>
      </c>
      <c r="O1797" s="6">
        <v>1251.83853</v>
      </c>
      <c r="P1797" s="6">
        <v>0</v>
      </c>
      <c r="Q1797" s="4" t="s">
        <v>26</v>
      </c>
      <c r="R1797" s="4">
        <v>0</v>
      </c>
      <c r="S1797" s="4" t="s">
        <v>504</v>
      </c>
      <c r="T1797" s="4" t="s">
        <v>761</v>
      </c>
      <c r="U1797" s="4">
        <v>0</v>
      </c>
      <c r="V1797" s="4">
        <v>27</v>
      </c>
      <c r="W1797" s="4">
        <v>85</v>
      </c>
    </row>
    <row r="1798" spans="1:23" ht="11.25" customHeight="1" x14ac:dyDescent="0.25">
      <c r="A1798" s="4" t="s">
        <v>27</v>
      </c>
      <c r="B1798" s="4" t="s">
        <v>44</v>
      </c>
      <c r="C1798" s="4" t="s">
        <v>23</v>
      </c>
      <c r="D1798" s="4" t="s">
        <v>45</v>
      </c>
      <c r="E1798" s="4" t="s">
        <v>53</v>
      </c>
      <c r="F1798" s="4" t="s">
        <v>55</v>
      </c>
      <c r="G1798" s="4" t="s">
        <v>25</v>
      </c>
      <c r="H1798" s="4" t="s">
        <v>25</v>
      </c>
      <c r="I1798" s="5">
        <v>44409</v>
      </c>
      <c r="J1798" s="6">
        <v>0</v>
      </c>
      <c r="K1798" s="6">
        <v>0</v>
      </c>
      <c r="L1798" s="6">
        <v>-53.640999999999998</v>
      </c>
      <c r="M1798" s="6">
        <v>-14.48307</v>
      </c>
      <c r="N1798" s="6">
        <v>-53.640999999999998</v>
      </c>
      <c r="O1798" s="6">
        <v>-14.48307</v>
      </c>
      <c r="P1798" s="6">
        <v>0</v>
      </c>
      <c r="Q1798" s="4" t="s">
        <v>26</v>
      </c>
      <c r="R1798" s="4">
        <v>0</v>
      </c>
      <c r="S1798" s="4" t="s">
        <v>504</v>
      </c>
      <c r="T1798" s="4" t="s">
        <v>761</v>
      </c>
      <c r="U1798" s="4">
        <v>0</v>
      </c>
      <c r="V1798" s="4">
        <v>27</v>
      </c>
      <c r="W1798" s="4">
        <v>85</v>
      </c>
    </row>
    <row r="1799" spans="1:23" ht="11.25" customHeight="1" x14ac:dyDescent="0.25">
      <c r="A1799" s="4" t="s">
        <v>28</v>
      </c>
      <c r="B1799" s="4" t="s">
        <v>44</v>
      </c>
      <c r="C1799" s="4" t="s">
        <v>23</v>
      </c>
      <c r="D1799" s="4" t="s">
        <v>45</v>
      </c>
      <c r="E1799" s="4" t="s">
        <v>53</v>
      </c>
      <c r="F1799" s="4" t="s">
        <v>55</v>
      </c>
      <c r="G1799" s="4" t="s">
        <v>25</v>
      </c>
      <c r="H1799" s="4" t="s">
        <v>25</v>
      </c>
      <c r="I1799" s="5">
        <v>44409</v>
      </c>
      <c r="J1799" s="6">
        <v>0</v>
      </c>
      <c r="K1799" s="6">
        <v>0</v>
      </c>
      <c r="L1799" s="6">
        <v>115.738</v>
      </c>
      <c r="M1799" s="6">
        <v>31.24926</v>
      </c>
      <c r="N1799" s="6">
        <v>115.738</v>
      </c>
      <c r="O1799" s="6">
        <v>31.24926</v>
      </c>
      <c r="P1799" s="6">
        <v>0</v>
      </c>
      <c r="Q1799" s="4" t="s">
        <v>26</v>
      </c>
      <c r="R1799" s="4">
        <v>0</v>
      </c>
      <c r="S1799" s="4" t="s">
        <v>504</v>
      </c>
      <c r="T1799" s="4" t="s">
        <v>761</v>
      </c>
      <c r="U1799" s="4">
        <v>0</v>
      </c>
      <c r="V1799" s="4">
        <v>27</v>
      </c>
      <c r="W1799" s="4">
        <v>85</v>
      </c>
    </row>
    <row r="1800" spans="1:23" ht="11.25" customHeight="1" x14ac:dyDescent="0.25">
      <c r="A1800" s="4" t="s">
        <v>21</v>
      </c>
      <c r="B1800" s="4" t="s">
        <v>44</v>
      </c>
      <c r="C1800" s="4" t="s">
        <v>23</v>
      </c>
      <c r="D1800" s="4" t="s">
        <v>45</v>
      </c>
      <c r="E1800" s="4" t="s">
        <v>53</v>
      </c>
      <c r="F1800" s="4" t="s">
        <v>55</v>
      </c>
      <c r="G1800" s="4" t="s">
        <v>25</v>
      </c>
      <c r="H1800" s="4" t="s">
        <v>25</v>
      </c>
      <c r="I1800" s="5">
        <v>44440</v>
      </c>
      <c r="J1800" s="6">
        <v>0</v>
      </c>
      <c r="K1800" s="6">
        <v>0</v>
      </c>
      <c r="L1800" s="6">
        <v>5422.4669999999996</v>
      </c>
      <c r="M1800" s="6">
        <v>1464.06609</v>
      </c>
      <c r="N1800" s="6">
        <v>5422.4669999999996</v>
      </c>
      <c r="O1800" s="6">
        <v>1464.06609</v>
      </c>
      <c r="P1800" s="6">
        <v>0</v>
      </c>
      <c r="Q1800" s="4" t="s">
        <v>26</v>
      </c>
      <c r="R1800" s="4">
        <v>0</v>
      </c>
      <c r="S1800" s="4" t="s">
        <v>505</v>
      </c>
      <c r="T1800" s="4" t="s">
        <v>762</v>
      </c>
      <c r="U1800" s="4">
        <v>0</v>
      </c>
      <c r="V1800" s="4">
        <v>27</v>
      </c>
      <c r="W1800" s="4">
        <v>85</v>
      </c>
    </row>
    <row r="1801" spans="1:23" ht="11.25" customHeight="1" x14ac:dyDescent="0.25">
      <c r="A1801" s="4" t="s">
        <v>27</v>
      </c>
      <c r="B1801" s="4" t="s">
        <v>44</v>
      </c>
      <c r="C1801" s="4" t="s">
        <v>23</v>
      </c>
      <c r="D1801" s="4" t="s">
        <v>45</v>
      </c>
      <c r="E1801" s="4" t="s">
        <v>53</v>
      </c>
      <c r="F1801" s="4" t="s">
        <v>55</v>
      </c>
      <c r="G1801" s="4" t="s">
        <v>25</v>
      </c>
      <c r="H1801" s="4" t="s">
        <v>25</v>
      </c>
      <c r="I1801" s="5">
        <v>44440</v>
      </c>
      <c r="J1801" s="6">
        <v>0</v>
      </c>
      <c r="K1801" s="6">
        <v>0</v>
      </c>
      <c r="L1801" s="6">
        <v>-48.792000000000002</v>
      </c>
      <c r="M1801" s="6">
        <v>-13.17384</v>
      </c>
      <c r="N1801" s="6">
        <v>-48.792000000000002</v>
      </c>
      <c r="O1801" s="6">
        <v>-13.17384</v>
      </c>
      <c r="P1801" s="6">
        <v>0</v>
      </c>
      <c r="Q1801" s="4" t="s">
        <v>26</v>
      </c>
      <c r="R1801" s="4">
        <v>0</v>
      </c>
      <c r="S1801" s="4" t="s">
        <v>505</v>
      </c>
      <c r="T1801" s="4" t="s">
        <v>762</v>
      </c>
      <c r="U1801" s="4">
        <v>0</v>
      </c>
      <c r="V1801" s="4">
        <v>27</v>
      </c>
      <c r="W1801" s="4">
        <v>85</v>
      </c>
    </row>
    <row r="1802" spans="1:23" ht="11.25" customHeight="1" x14ac:dyDescent="0.25">
      <c r="A1802" s="4" t="s">
        <v>28</v>
      </c>
      <c r="B1802" s="4" t="s">
        <v>44</v>
      </c>
      <c r="C1802" s="4" t="s">
        <v>23</v>
      </c>
      <c r="D1802" s="4" t="s">
        <v>45</v>
      </c>
      <c r="E1802" s="4" t="s">
        <v>53</v>
      </c>
      <c r="F1802" s="4" t="s">
        <v>55</v>
      </c>
      <c r="G1802" s="4" t="s">
        <v>25</v>
      </c>
      <c r="H1802" s="4" t="s">
        <v>25</v>
      </c>
      <c r="I1802" s="5">
        <v>44440</v>
      </c>
      <c r="J1802" s="6">
        <v>0</v>
      </c>
      <c r="K1802" s="6">
        <v>0</v>
      </c>
      <c r="L1802" s="6">
        <v>135.87799999999999</v>
      </c>
      <c r="M1802" s="6">
        <v>36.687060000000002</v>
      </c>
      <c r="N1802" s="6">
        <v>135.87799999999999</v>
      </c>
      <c r="O1802" s="6">
        <v>36.687060000000002</v>
      </c>
      <c r="P1802" s="6">
        <v>0</v>
      </c>
      <c r="Q1802" s="4" t="s">
        <v>26</v>
      </c>
      <c r="R1802" s="4">
        <v>0</v>
      </c>
      <c r="S1802" s="4" t="s">
        <v>505</v>
      </c>
      <c r="T1802" s="4" t="s">
        <v>762</v>
      </c>
      <c r="U1802" s="4">
        <v>0</v>
      </c>
      <c r="V1802" s="4">
        <v>27</v>
      </c>
      <c r="W1802" s="4">
        <v>85</v>
      </c>
    </row>
    <row r="1803" spans="1:23" ht="11.25" customHeight="1" x14ac:dyDescent="0.25">
      <c r="A1803" s="4" t="s">
        <v>28</v>
      </c>
      <c r="B1803" s="4" t="s">
        <v>44</v>
      </c>
      <c r="C1803" s="4" t="s">
        <v>23</v>
      </c>
      <c r="D1803" s="4" t="s">
        <v>45</v>
      </c>
      <c r="E1803" s="4" t="s">
        <v>53</v>
      </c>
      <c r="F1803" s="4" t="s">
        <v>55</v>
      </c>
      <c r="G1803" s="4" t="s">
        <v>25</v>
      </c>
      <c r="H1803" s="4" t="s">
        <v>25</v>
      </c>
      <c r="I1803" s="5">
        <v>44440</v>
      </c>
      <c r="J1803" s="6">
        <v>0</v>
      </c>
      <c r="K1803" s="6">
        <v>0</v>
      </c>
      <c r="L1803" s="6">
        <v>-3.532</v>
      </c>
      <c r="M1803" s="6">
        <v>-0.95364000000000004</v>
      </c>
      <c r="N1803" s="6">
        <v>-3.532</v>
      </c>
      <c r="O1803" s="6">
        <v>-0.95364000000000004</v>
      </c>
      <c r="P1803" s="6">
        <v>0</v>
      </c>
      <c r="Q1803" s="4" t="s">
        <v>26</v>
      </c>
      <c r="R1803" s="4">
        <v>0</v>
      </c>
      <c r="S1803" s="4" t="s">
        <v>505</v>
      </c>
      <c r="T1803" s="4" t="s">
        <v>762</v>
      </c>
      <c r="U1803" s="4">
        <v>0</v>
      </c>
      <c r="V1803" s="4">
        <v>27</v>
      </c>
      <c r="W1803" s="4">
        <v>85</v>
      </c>
    </row>
    <row r="1804" spans="1:23" ht="11.25" customHeight="1" x14ac:dyDescent="0.25">
      <c r="A1804" s="4" t="s">
        <v>21</v>
      </c>
      <c r="B1804" s="4" t="s">
        <v>44</v>
      </c>
      <c r="C1804" s="4" t="s">
        <v>23</v>
      </c>
      <c r="D1804" s="4" t="s">
        <v>45</v>
      </c>
      <c r="E1804" s="4" t="s">
        <v>53</v>
      </c>
      <c r="F1804" s="4" t="s">
        <v>55</v>
      </c>
      <c r="G1804" s="4" t="s">
        <v>25</v>
      </c>
      <c r="H1804" s="4" t="s">
        <v>25</v>
      </c>
      <c r="I1804" s="5">
        <v>44470</v>
      </c>
      <c r="J1804" s="6">
        <v>0</v>
      </c>
      <c r="K1804" s="6">
        <v>0</v>
      </c>
      <c r="L1804" s="6">
        <v>6521.0780000000004</v>
      </c>
      <c r="M1804" s="6">
        <v>1760.6910600000001</v>
      </c>
      <c r="N1804" s="6">
        <v>6521.0780000000004</v>
      </c>
      <c r="O1804" s="6">
        <v>1760.6910600000001</v>
      </c>
      <c r="P1804" s="6">
        <v>0</v>
      </c>
      <c r="Q1804" s="4" t="s">
        <v>26</v>
      </c>
      <c r="R1804" s="4">
        <v>0</v>
      </c>
      <c r="S1804" s="4" t="s">
        <v>506</v>
      </c>
      <c r="T1804" s="4" t="s">
        <v>763</v>
      </c>
      <c r="U1804" s="4">
        <v>0</v>
      </c>
      <c r="V1804" s="4">
        <v>27</v>
      </c>
      <c r="W1804" s="4">
        <v>85</v>
      </c>
    </row>
    <row r="1805" spans="1:23" ht="11.25" customHeight="1" x14ac:dyDescent="0.25">
      <c r="A1805" s="4" t="s">
        <v>27</v>
      </c>
      <c r="B1805" s="4" t="s">
        <v>44</v>
      </c>
      <c r="C1805" s="4" t="s">
        <v>23</v>
      </c>
      <c r="D1805" s="4" t="s">
        <v>45</v>
      </c>
      <c r="E1805" s="4" t="s">
        <v>53</v>
      </c>
      <c r="F1805" s="4" t="s">
        <v>55</v>
      </c>
      <c r="G1805" s="4" t="s">
        <v>25</v>
      </c>
      <c r="H1805" s="4" t="s">
        <v>25</v>
      </c>
      <c r="I1805" s="5">
        <v>44470</v>
      </c>
      <c r="J1805" s="6">
        <v>0</v>
      </c>
      <c r="K1805" s="6">
        <v>0</v>
      </c>
      <c r="L1805" s="6">
        <v>31.164000000000001</v>
      </c>
      <c r="M1805" s="6">
        <v>8.4142799999999998</v>
      </c>
      <c r="N1805" s="6">
        <v>31.164000000000001</v>
      </c>
      <c r="O1805" s="6">
        <v>8.4142799999999998</v>
      </c>
      <c r="P1805" s="6">
        <v>0</v>
      </c>
      <c r="Q1805" s="4" t="s">
        <v>26</v>
      </c>
      <c r="R1805" s="4">
        <v>0</v>
      </c>
      <c r="S1805" s="4" t="s">
        <v>506</v>
      </c>
      <c r="T1805" s="4" t="s">
        <v>763</v>
      </c>
      <c r="U1805" s="4">
        <v>0</v>
      </c>
      <c r="V1805" s="4">
        <v>27</v>
      </c>
      <c r="W1805" s="4">
        <v>85</v>
      </c>
    </row>
    <row r="1806" spans="1:23" ht="11.25" customHeight="1" x14ac:dyDescent="0.25">
      <c r="A1806" s="4" t="s">
        <v>28</v>
      </c>
      <c r="B1806" s="4" t="s">
        <v>44</v>
      </c>
      <c r="C1806" s="4" t="s">
        <v>23</v>
      </c>
      <c r="D1806" s="4" t="s">
        <v>45</v>
      </c>
      <c r="E1806" s="4" t="s">
        <v>53</v>
      </c>
      <c r="F1806" s="4" t="s">
        <v>55</v>
      </c>
      <c r="G1806" s="4" t="s">
        <v>25</v>
      </c>
      <c r="H1806" s="4" t="s">
        <v>25</v>
      </c>
      <c r="I1806" s="5">
        <v>44470</v>
      </c>
      <c r="J1806" s="6">
        <v>0</v>
      </c>
      <c r="K1806" s="6">
        <v>0</v>
      </c>
      <c r="L1806" s="6">
        <v>156.62200000000001</v>
      </c>
      <c r="M1806" s="6">
        <v>42.287939999999999</v>
      </c>
      <c r="N1806" s="6">
        <v>156.62200000000001</v>
      </c>
      <c r="O1806" s="6">
        <v>42.287939999999999</v>
      </c>
      <c r="P1806" s="6">
        <v>0</v>
      </c>
      <c r="Q1806" s="4" t="s">
        <v>26</v>
      </c>
      <c r="R1806" s="4">
        <v>0</v>
      </c>
      <c r="S1806" s="4" t="s">
        <v>506</v>
      </c>
      <c r="T1806" s="4" t="s">
        <v>763</v>
      </c>
      <c r="U1806" s="4">
        <v>0</v>
      </c>
      <c r="V1806" s="4">
        <v>27</v>
      </c>
      <c r="W1806" s="4">
        <v>85</v>
      </c>
    </row>
    <row r="1807" spans="1:23" ht="11.25" customHeight="1" x14ac:dyDescent="0.25">
      <c r="A1807" s="4" t="s">
        <v>21</v>
      </c>
      <c r="B1807" s="4" t="s">
        <v>44</v>
      </c>
      <c r="C1807" s="4" t="s">
        <v>23</v>
      </c>
      <c r="D1807" s="4" t="s">
        <v>45</v>
      </c>
      <c r="E1807" s="4" t="s">
        <v>53</v>
      </c>
      <c r="F1807" s="4" t="s">
        <v>55</v>
      </c>
      <c r="G1807" s="4" t="s">
        <v>25</v>
      </c>
      <c r="H1807" s="4" t="s">
        <v>25</v>
      </c>
      <c r="I1807" s="5">
        <v>44501</v>
      </c>
      <c r="J1807" s="6">
        <v>0</v>
      </c>
      <c r="K1807" s="6">
        <v>0</v>
      </c>
      <c r="L1807" s="6">
        <v>6503.8609999999999</v>
      </c>
      <c r="M1807" s="6">
        <v>1756.0424700000001</v>
      </c>
      <c r="N1807" s="6">
        <v>6503.8609999999999</v>
      </c>
      <c r="O1807" s="6">
        <v>1756.0424700000001</v>
      </c>
      <c r="P1807" s="6">
        <v>0</v>
      </c>
      <c r="Q1807" s="4" t="s">
        <v>26</v>
      </c>
      <c r="R1807" s="4">
        <v>0</v>
      </c>
      <c r="S1807" s="4" t="s">
        <v>507</v>
      </c>
      <c r="T1807" s="4" t="s">
        <v>764</v>
      </c>
      <c r="U1807" s="4">
        <v>0</v>
      </c>
      <c r="V1807" s="4">
        <v>27</v>
      </c>
      <c r="W1807" s="4">
        <v>85</v>
      </c>
    </row>
    <row r="1808" spans="1:23" ht="11.25" customHeight="1" x14ac:dyDescent="0.25">
      <c r="A1808" s="4" t="s">
        <v>27</v>
      </c>
      <c r="B1808" s="4" t="s">
        <v>44</v>
      </c>
      <c r="C1808" s="4" t="s">
        <v>23</v>
      </c>
      <c r="D1808" s="4" t="s">
        <v>45</v>
      </c>
      <c r="E1808" s="4" t="s">
        <v>53</v>
      </c>
      <c r="F1808" s="4" t="s">
        <v>55</v>
      </c>
      <c r="G1808" s="4" t="s">
        <v>25</v>
      </c>
      <c r="H1808" s="4" t="s">
        <v>25</v>
      </c>
      <c r="I1808" s="5">
        <v>44501</v>
      </c>
      <c r="J1808" s="6">
        <v>0</v>
      </c>
      <c r="K1808" s="6">
        <v>0</v>
      </c>
      <c r="L1808" s="6">
        <v>-31.870999999999999</v>
      </c>
      <c r="M1808" s="6">
        <v>-8.6051699999999993</v>
      </c>
      <c r="N1808" s="6">
        <v>-31.870999999999999</v>
      </c>
      <c r="O1808" s="6">
        <v>-8.6051699999999993</v>
      </c>
      <c r="P1808" s="6">
        <v>0</v>
      </c>
      <c r="Q1808" s="4" t="s">
        <v>26</v>
      </c>
      <c r="R1808" s="4">
        <v>0</v>
      </c>
      <c r="S1808" s="4" t="s">
        <v>507</v>
      </c>
      <c r="T1808" s="4" t="s">
        <v>764</v>
      </c>
      <c r="U1808" s="4">
        <v>0</v>
      </c>
      <c r="V1808" s="4">
        <v>27</v>
      </c>
      <c r="W1808" s="4">
        <v>85</v>
      </c>
    </row>
    <row r="1809" spans="1:23" ht="11.25" customHeight="1" x14ac:dyDescent="0.25">
      <c r="A1809" s="4" t="s">
        <v>28</v>
      </c>
      <c r="B1809" s="4" t="s">
        <v>44</v>
      </c>
      <c r="C1809" s="4" t="s">
        <v>23</v>
      </c>
      <c r="D1809" s="4" t="s">
        <v>45</v>
      </c>
      <c r="E1809" s="4" t="s">
        <v>53</v>
      </c>
      <c r="F1809" s="4" t="s">
        <v>55</v>
      </c>
      <c r="G1809" s="4" t="s">
        <v>25</v>
      </c>
      <c r="H1809" s="4" t="s">
        <v>25</v>
      </c>
      <c r="I1809" s="5">
        <v>44501</v>
      </c>
      <c r="J1809" s="6">
        <v>0</v>
      </c>
      <c r="K1809" s="6">
        <v>0</v>
      </c>
      <c r="L1809" s="6">
        <v>172.49700000000001</v>
      </c>
      <c r="M1809" s="6">
        <v>46.574190000000002</v>
      </c>
      <c r="N1809" s="6">
        <v>172.49700000000001</v>
      </c>
      <c r="O1809" s="6">
        <v>46.574190000000002</v>
      </c>
      <c r="P1809" s="6">
        <v>0</v>
      </c>
      <c r="Q1809" s="4" t="s">
        <v>26</v>
      </c>
      <c r="R1809" s="4">
        <v>0</v>
      </c>
      <c r="S1809" s="4" t="s">
        <v>507</v>
      </c>
      <c r="T1809" s="4" t="s">
        <v>764</v>
      </c>
      <c r="U1809" s="4">
        <v>0</v>
      </c>
      <c r="V1809" s="4">
        <v>27</v>
      </c>
      <c r="W1809" s="4">
        <v>85</v>
      </c>
    </row>
    <row r="1810" spans="1:23" ht="11.25" customHeight="1" x14ac:dyDescent="0.25">
      <c r="A1810" s="4" t="s">
        <v>21</v>
      </c>
      <c r="B1810" s="4" t="s">
        <v>44</v>
      </c>
      <c r="C1810" s="4" t="s">
        <v>23</v>
      </c>
      <c r="D1810" s="4" t="s">
        <v>45</v>
      </c>
      <c r="E1810" s="4" t="s">
        <v>53</v>
      </c>
      <c r="F1810" s="4" t="s">
        <v>55</v>
      </c>
      <c r="G1810" s="4" t="s">
        <v>25</v>
      </c>
      <c r="H1810" s="4" t="s">
        <v>25</v>
      </c>
      <c r="I1810" s="5">
        <v>44531</v>
      </c>
      <c r="J1810" s="6">
        <v>0</v>
      </c>
      <c r="K1810" s="6">
        <v>0</v>
      </c>
      <c r="L1810" s="6">
        <v>6802.8249999999998</v>
      </c>
      <c r="M1810" s="6">
        <v>1836.7627500000001</v>
      </c>
      <c r="N1810" s="6">
        <v>6802.8249999999998</v>
      </c>
      <c r="O1810" s="6">
        <v>1836.7627500000001</v>
      </c>
      <c r="P1810" s="6">
        <v>0</v>
      </c>
      <c r="Q1810" s="4" t="s">
        <v>26</v>
      </c>
      <c r="R1810" s="4">
        <v>0</v>
      </c>
      <c r="S1810" s="4" t="s">
        <v>508</v>
      </c>
      <c r="T1810" s="4" t="s">
        <v>765</v>
      </c>
      <c r="U1810" s="4">
        <v>0</v>
      </c>
      <c r="V1810" s="4">
        <v>27</v>
      </c>
      <c r="W1810" s="4">
        <v>85</v>
      </c>
    </row>
    <row r="1811" spans="1:23" ht="11.25" customHeight="1" x14ac:dyDescent="0.25">
      <c r="A1811" s="4" t="s">
        <v>27</v>
      </c>
      <c r="B1811" s="4" t="s">
        <v>44</v>
      </c>
      <c r="C1811" s="4" t="s">
        <v>23</v>
      </c>
      <c r="D1811" s="4" t="s">
        <v>45</v>
      </c>
      <c r="E1811" s="4" t="s">
        <v>53</v>
      </c>
      <c r="F1811" s="4" t="s">
        <v>55</v>
      </c>
      <c r="G1811" s="4" t="s">
        <v>25</v>
      </c>
      <c r="H1811" s="4" t="s">
        <v>25</v>
      </c>
      <c r="I1811" s="5">
        <v>44531</v>
      </c>
      <c r="J1811" s="6">
        <v>0</v>
      </c>
      <c r="K1811" s="6">
        <v>0</v>
      </c>
      <c r="L1811" s="6">
        <v>-60.622999999999998</v>
      </c>
      <c r="M1811" s="6">
        <v>-16.368210000000001</v>
      </c>
      <c r="N1811" s="6">
        <v>-60.622999999999998</v>
      </c>
      <c r="O1811" s="6">
        <v>-16.368210000000001</v>
      </c>
      <c r="P1811" s="6">
        <v>0</v>
      </c>
      <c r="Q1811" s="4" t="s">
        <v>26</v>
      </c>
      <c r="R1811" s="4">
        <v>0</v>
      </c>
      <c r="S1811" s="4" t="s">
        <v>508</v>
      </c>
      <c r="T1811" s="4" t="s">
        <v>765</v>
      </c>
      <c r="U1811" s="4">
        <v>0</v>
      </c>
      <c r="V1811" s="4">
        <v>27</v>
      </c>
      <c r="W1811" s="4">
        <v>85</v>
      </c>
    </row>
    <row r="1812" spans="1:23" ht="11.25" customHeight="1" x14ac:dyDescent="0.25">
      <c r="A1812" s="4" t="s">
        <v>28</v>
      </c>
      <c r="B1812" s="4" t="s">
        <v>44</v>
      </c>
      <c r="C1812" s="4" t="s">
        <v>23</v>
      </c>
      <c r="D1812" s="4" t="s">
        <v>45</v>
      </c>
      <c r="E1812" s="4" t="s">
        <v>53</v>
      </c>
      <c r="F1812" s="4" t="s">
        <v>55</v>
      </c>
      <c r="G1812" s="4" t="s">
        <v>25</v>
      </c>
      <c r="H1812" s="4" t="s">
        <v>25</v>
      </c>
      <c r="I1812" s="5">
        <v>44531</v>
      </c>
      <c r="J1812" s="6">
        <v>0</v>
      </c>
      <c r="K1812" s="6">
        <v>0</v>
      </c>
      <c r="L1812" s="6">
        <v>199.44300000000001</v>
      </c>
      <c r="M1812" s="6">
        <v>53.849609999999998</v>
      </c>
      <c r="N1812" s="6">
        <v>199.44300000000001</v>
      </c>
      <c r="O1812" s="6">
        <v>53.849609999999998</v>
      </c>
      <c r="P1812" s="6">
        <v>0</v>
      </c>
      <c r="Q1812" s="4" t="s">
        <v>26</v>
      </c>
      <c r="R1812" s="4">
        <v>0</v>
      </c>
      <c r="S1812" s="4" t="s">
        <v>508</v>
      </c>
      <c r="T1812" s="4" t="s">
        <v>765</v>
      </c>
      <c r="U1812" s="4">
        <v>0</v>
      </c>
      <c r="V1812" s="4">
        <v>27</v>
      </c>
      <c r="W1812" s="4">
        <v>85</v>
      </c>
    </row>
    <row r="1813" spans="1:23" ht="11.25" customHeight="1" x14ac:dyDescent="0.25">
      <c r="A1813" s="4" t="s">
        <v>21</v>
      </c>
      <c r="B1813" s="4" t="s">
        <v>44</v>
      </c>
      <c r="C1813" s="4" t="s">
        <v>23</v>
      </c>
      <c r="D1813" s="4" t="s">
        <v>45</v>
      </c>
      <c r="E1813" s="4" t="s">
        <v>53</v>
      </c>
      <c r="F1813" s="4" t="s">
        <v>55</v>
      </c>
      <c r="G1813" s="4" t="s">
        <v>25</v>
      </c>
      <c r="H1813" s="4" t="s">
        <v>25</v>
      </c>
      <c r="I1813" s="5">
        <v>44562</v>
      </c>
      <c r="J1813" s="6">
        <v>0</v>
      </c>
      <c r="K1813" s="6">
        <v>0</v>
      </c>
      <c r="L1813" s="6">
        <v>3661.6559999999999</v>
      </c>
      <c r="M1813" s="6">
        <v>988.64711999999997</v>
      </c>
      <c r="N1813" s="6">
        <v>3661.6559999999999</v>
      </c>
      <c r="O1813" s="6">
        <v>988.64711999999997</v>
      </c>
      <c r="P1813" s="6">
        <v>0</v>
      </c>
      <c r="Q1813" s="4" t="s">
        <v>26</v>
      </c>
      <c r="R1813" s="4">
        <v>0</v>
      </c>
      <c r="S1813" s="4" t="s">
        <v>509</v>
      </c>
      <c r="T1813" s="4" t="s">
        <v>766</v>
      </c>
      <c r="U1813" s="4">
        <v>0</v>
      </c>
      <c r="V1813" s="4">
        <v>27</v>
      </c>
      <c r="W1813" s="4">
        <v>85</v>
      </c>
    </row>
    <row r="1814" spans="1:23" ht="11.25" customHeight="1" x14ac:dyDescent="0.25">
      <c r="A1814" s="4" t="s">
        <v>27</v>
      </c>
      <c r="B1814" s="4" t="s">
        <v>44</v>
      </c>
      <c r="C1814" s="4" t="s">
        <v>23</v>
      </c>
      <c r="D1814" s="4" t="s">
        <v>45</v>
      </c>
      <c r="E1814" s="4" t="s">
        <v>53</v>
      </c>
      <c r="F1814" s="4" t="s">
        <v>55</v>
      </c>
      <c r="G1814" s="4" t="s">
        <v>25</v>
      </c>
      <c r="H1814" s="4" t="s">
        <v>25</v>
      </c>
      <c r="I1814" s="5">
        <v>44562</v>
      </c>
      <c r="J1814" s="6">
        <v>0</v>
      </c>
      <c r="K1814" s="6">
        <v>0</v>
      </c>
      <c r="L1814" s="6">
        <v>-46.845999999999997</v>
      </c>
      <c r="M1814" s="6">
        <v>-12.64842</v>
      </c>
      <c r="N1814" s="6">
        <v>-46.845999999999997</v>
      </c>
      <c r="O1814" s="6">
        <v>-12.64842</v>
      </c>
      <c r="P1814" s="6">
        <v>0</v>
      </c>
      <c r="Q1814" s="4" t="s">
        <v>26</v>
      </c>
      <c r="R1814" s="4">
        <v>0</v>
      </c>
      <c r="S1814" s="4" t="s">
        <v>509</v>
      </c>
      <c r="T1814" s="4" t="s">
        <v>766</v>
      </c>
      <c r="U1814" s="4">
        <v>0</v>
      </c>
      <c r="V1814" s="4">
        <v>27</v>
      </c>
      <c r="W1814" s="4">
        <v>85</v>
      </c>
    </row>
    <row r="1815" spans="1:23" ht="11.25" customHeight="1" x14ac:dyDescent="0.25">
      <c r="A1815" s="4" t="s">
        <v>28</v>
      </c>
      <c r="B1815" s="4" t="s">
        <v>44</v>
      </c>
      <c r="C1815" s="4" t="s">
        <v>23</v>
      </c>
      <c r="D1815" s="4" t="s">
        <v>45</v>
      </c>
      <c r="E1815" s="4" t="s">
        <v>53</v>
      </c>
      <c r="F1815" s="4" t="s">
        <v>55</v>
      </c>
      <c r="G1815" s="4" t="s">
        <v>25</v>
      </c>
      <c r="H1815" s="4" t="s">
        <v>25</v>
      </c>
      <c r="I1815" s="5">
        <v>44562</v>
      </c>
      <c r="J1815" s="6">
        <v>0</v>
      </c>
      <c r="K1815" s="6">
        <v>0</v>
      </c>
      <c r="L1815" s="6">
        <v>131.33000000000001</v>
      </c>
      <c r="M1815" s="6">
        <v>35.459099999999999</v>
      </c>
      <c r="N1815" s="6">
        <v>131.33000000000001</v>
      </c>
      <c r="O1815" s="6">
        <v>35.459099999999999</v>
      </c>
      <c r="P1815" s="6">
        <v>0</v>
      </c>
      <c r="Q1815" s="4" t="s">
        <v>26</v>
      </c>
      <c r="R1815" s="4">
        <v>0</v>
      </c>
      <c r="S1815" s="4" t="s">
        <v>509</v>
      </c>
      <c r="T1815" s="4" t="s">
        <v>766</v>
      </c>
      <c r="U1815" s="4">
        <v>0</v>
      </c>
      <c r="V1815" s="4">
        <v>27</v>
      </c>
      <c r="W1815" s="4">
        <v>85</v>
      </c>
    </row>
    <row r="1816" spans="1:23" ht="11.25" customHeight="1" x14ac:dyDescent="0.25">
      <c r="A1816" s="4" t="s">
        <v>21</v>
      </c>
      <c r="B1816" s="4" t="s">
        <v>44</v>
      </c>
      <c r="C1816" s="4" t="s">
        <v>23</v>
      </c>
      <c r="D1816" s="4" t="s">
        <v>45</v>
      </c>
      <c r="E1816" s="4" t="s">
        <v>53</v>
      </c>
      <c r="F1816" s="4" t="s">
        <v>55</v>
      </c>
      <c r="G1816" s="4" t="s">
        <v>25</v>
      </c>
      <c r="H1816" s="4" t="s">
        <v>25</v>
      </c>
      <c r="I1816" s="5">
        <v>44593</v>
      </c>
      <c r="J1816" s="6">
        <v>0</v>
      </c>
      <c r="K1816" s="6">
        <v>0</v>
      </c>
      <c r="L1816" s="6">
        <v>2808.576</v>
      </c>
      <c r="M1816" s="6">
        <v>758.31551999999999</v>
      </c>
      <c r="N1816" s="6">
        <v>2808.576</v>
      </c>
      <c r="O1816" s="6">
        <v>758.31551999999999</v>
      </c>
      <c r="P1816" s="6">
        <v>0</v>
      </c>
      <c r="Q1816" s="4" t="s">
        <v>26</v>
      </c>
      <c r="R1816" s="4">
        <v>0</v>
      </c>
      <c r="S1816" s="4" t="s">
        <v>510</v>
      </c>
      <c r="T1816" s="4" t="s">
        <v>767</v>
      </c>
      <c r="U1816" s="4">
        <v>0</v>
      </c>
      <c r="V1816" s="4">
        <v>27</v>
      </c>
      <c r="W1816" s="4">
        <v>85</v>
      </c>
    </row>
    <row r="1817" spans="1:23" ht="11.25" customHeight="1" x14ac:dyDescent="0.25">
      <c r="A1817" s="4" t="s">
        <v>27</v>
      </c>
      <c r="B1817" s="4" t="s">
        <v>44</v>
      </c>
      <c r="C1817" s="4" t="s">
        <v>23</v>
      </c>
      <c r="D1817" s="4" t="s">
        <v>45</v>
      </c>
      <c r="E1817" s="4" t="s">
        <v>53</v>
      </c>
      <c r="F1817" s="4" t="s">
        <v>55</v>
      </c>
      <c r="G1817" s="4" t="s">
        <v>25</v>
      </c>
      <c r="H1817" s="4" t="s">
        <v>25</v>
      </c>
      <c r="I1817" s="5">
        <v>44593</v>
      </c>
      <c r="J1817" s="6">
        <v>0</v>
      </c>
      <c r="K1817" s="6">
        <v>0</v>
      </c>
      <c r="L1817" s="6">
        <v>-61.741999999999997</v>
      </c>
      <c r="M1817" s="6">
        <v>-16.670339999999999</v>
      </c>
      <c r="N1817" s="6">
        <v>-61.741999999999997</v>
      </c>
      <c r="O1817" s="6">
        <v>-16.670339999999999</v>
      </c>
      <c r="P1817" s="6">
        <v>0</v>
      </c>
      <c r="Q1817" s="4" t="s">
        <v>26</v>
      </c>
      <c r="R1817" s="4">
        <v>0</v>
      </c>
      <c r="S1817" s="4" t="s">
        <v>510</v>
      </c>
      <c r="T1817" s="4" t="s">
        <v>767</v>
      </c>
      <c r="U1817" s="4">
        <v>0</v>
      </c>
      <c r="V1817" s="4">
        <v>27</v>
      </c>
      <c r="W1817" s="4">
        <v>85</v>
      </c>
    </row>
    <row r="1818" spans="1:23" ht="11.25" customHeight="1" x14ac:dyDescent="0.25">
      <c r="A1818" s="4" t="s">
        <v>28</v>
      </c>
      <c r="B1818" s="4" t="s">
        <v>44</v>
      </c>
      <c r="C1818" s="4" t="s">
        <v>23</v>
      </c>
      <c r="D1818" s="4" t="s">
        <v>45</v>
      </c>
      <c r="E1818" s="4" t="s">
        <v>53</v>
      </c>
      <c r="F1818" s="4" t="s">
        <v>55</v>
      </c>
      <c r="G1818" s="4" t="s">
        <v>25</v>
      </c>
      <c r="H1818" s="4" t="s">
        <v>25</v>
      </c>
      <c r="I1818" s="5">
        <v>44593</v>
      </c>
      <c r="J1818" s="6">
        <v>0</v>
      </c>
      <c r="K1818" s="6">
        <v>0</v>
      </c>
      <c r="L1818" s="6">
        <v>107.61799999999999</v>
      </c>
      <c r="M1818" s="6">
        <v>29.05686</v>
      </c>
      <c r="N1818" s="6">
        <v>107.61799999999999</v>
      </c>
      <c r="O1818" s="6">
        <v>29.05686</v>
      </c>
      <c r="P1818" s="6">
        <v>0</v>
      </c>
      <c r="Q1818" s="4" t="s">
        <v>26</v>
      </c>
      <c r="R1818" s="4">
        <v>0</v>
      </c>
      <c r="S1818" s="4" t="s">
        <v>510</v>
      </c>
      <c r="T1818" s="4" t="s">
        <v>767</v>
      </c>
      <c r="U1818" s="4">
        <v>0</v>
      </c>
      <c r="V1818" s="4">
        <v>27</v>
      </c>
      <c r="W1818" s="4">
        <v>85</v>
      </c>
    </row>
    <row r="1819" spans="1:23" ht="11.25" customHeight="1" x14ac:dyDescent="0.25">
      <c r="A1819" s="4" t="s">
        <v>21</v>
      </c>
      <c r="B1819" s="4" t="s">
        <v>44</v>
      </c>
      <c r="C1819" s="4" t="s">
        <v>23</v>
      </c>
      <c r="D1819" s="4" t="s">
        <v>45</v>
      </c>
      <c r="E1819" s="4" t="s">
        <v>53</v>
      </c>
      <c r="F1819" s="4" t="s">
        <v>55</v>
      </c>
      <c r="G1819" s="4" t="s">
        <v>25</v>
      </c>
      <c r="H1819" s="4" t="s">
        <v>25</v>
      </c>
      <c r="I1819" s="5">
        <v>44621</v>
      </c>
      <c r="J1819" s="6">
        <v>0</v>
      </c>
      <c r="K1819" s="6">
        <v>0</v>
      </c>
      <c r="L1819" s="6">
        <v>3113.7739999999999</v>
      </c>
      <c r="M1819" s="6">
        <v>840.71897999999999</v>
      </c>
      <c r="N1819" s="6">
        <v>3113.7739999999999</v>
      </c>
      <c r="O1819" s="6">
        <v>840.71897999999999</v>
      </c>
      <c r="P1819" s="6">
        <v>0</v>
      </c>
      <c r="Q1819" s="4" t="s">
        <v>26</v>
      </c>
      <c r="R1819" s="4">
        <v>0</v>
      </c>
      <c r="S1819" s="4" t="s">
        <v>511</v>
      </c>
      <c r="T1819" s="4" t="s">
        <v>768</v>
      </c>
      <c r="U1819" s="4">
        <v>0</v>
      </c>
      <c r="V1819" s="4">
        <v>27</v>
      </c>
      <c r="W1819" s="4">
        <v>85</v>
      </c>
    </row>
    <row r="1820" spans="1:23" ht="11.25" customHeight="1" x14ac:dyDescent="0.25">
      <c r="A1820" s="4" t="s">
        <v>27</v>
      </c>
      <c r="B1820" s="4" t="s">
        <v>44</v>
      </c>
      <c r="C1820" s="4" t="s">
        <v>23</v>
      </c>
      <c r="D1820" s="4" t="s">
        <v>45</v>
      </c>
      <c r="E1820" s="4" t="s">
        <v>53</v>
      </c>
      <c r="F1820" s="4" t="s">
        <v>55</v>
      </c>
      <c r="G1820" s="4" t="s">
        <v>25</v>
      </c>
      <c r="H1820" s="4" t="s">
        <v>25</v>
      </c>
      <c r="I1820" s="5">
        <v>44621</v>
      </c>
      <c r="J1820" s="6">
        <v>0</v>
      </c>
      <c r="K1820" s="6">
        <v>0</v>
      </c>
      <c r="L1820" s="6">
        <v>-53.786000000000001</v>
      </c>
      <c r="M1820" s="6">
        <v>-14.522220000000001</v>
      </c>
      <c r="N1820" s="6">
        <v>-53.786000000000001</v>
      </c>
      <c r="O1820" s="6">
        <v>-14.522220000000001</v>
      </c>
      <c r="P1820" s="6">
        <v>0</v>
      </c>
      <c r="Q1820" s="4" t="s">
        <v>26</v>
      </c>
      <c r="R1820" s="4">
        <v>0</v>
      </c>
      <c r="S1820" s="4" t="s">
        <v>511</v>
      </c>
      <c r="T1820" s="4" t="s">
        <v>768</v>
      </c>
      <c r="U1820" s="4">
        <v>0</v>
      </c>
      <c r="V1820" s="4">
        <v>27</v>
      </c>
      <c r="W1820" s="4">
        <v>85</v>
      </c>
    </row>
    <row r="1821" spans="1:23" ht="11.25" customHeight="1" x14ac:dyDescent="0.25">
      <c r="A1821" s="4" t="s">
        <v>28</v>
      </c>
      <c r="B1821" s="4" t="s">
        <v>44</v>
      </c>
      <c r="C1821" s="4" t="s">
        <v>23</v>
      </c>
      <c r="D1821" s="4" t="s">
        <v>45</v>
      </c>
      <c r="E1821" s="4" t="s">
        <v>53</v>
      </c>
      <c r="F1821" s="4" t="s">
        <v>55</v>
      </c>
      <c r="G1821" s="4" t="s">
        <v>25</v>
      </c>
      <c r="H1821" s="4" t="s">
        <v>25</v>
      </c>
      <c r="I1821" s="5">
        <v>44621</v>
      </c>
      <c r="J1821" s="6">
        <v>0</v>
      </c>
      <c r="K1821" s="6">
        <v>0</v>
      </c>
      <c r="L1821" s="6">
        <v>136.94</v>
      </c>
      <c r="M1821" s="6">
        <v>36.973799999999997</v>
      </c>
      <c r="N1821" s="6">
        <v>136.94</v>
      </c>
      <c r="O1821" s="6">
        <v>36.973799999999997</v>
      </c>
      <c r="P1821" s="6">
        <v>0</v>
      </c>
      <c r="Q1821" s="4" t="s">
        <v>26</v>
      </c>
      <c r="R1821" s="4">
        <v>0</v>
      </c>
      <c r="S1821" s="4" t="s">
        <v>511</v>
      </c>
      <c r="T1821" s="4" t="s">
        <v>768</v>
      </c>
      <c r="U1821" s="4">
        <v>0</v>
      </c>
      <c r="V1821" s="4">
        <v>27</v>
      </c>
      <c r="W1821" s="4">
        <v>85</v>
      </c>
    </row>
    <row r="1822" spans="1:23" ht="11.25" customHeight="1" x14ac:dyDescent="0.25">
      <c r="A1822" s="4" t="s">
        <v>21</v>
      </c>
      <c r="B1822" s="4" t="s">
        <v>44</v>
      </c>
      <c r="C1822" s="4" t="s">
        <v>23</v>
      </c>
      <c r="D1822" s="4" t="s">
        <v>45</v>
      </c>
      <c r="E1822" s="4" t="s">
        <v>53</v>
      </c>
      <c r="F1822" s="4" t="s">
        <v>55</v>
      </c>
      <c r="G1822" s="4" t="s">
        <v>25</v>
      </c>
      <c r="H1822" s="4" t="s">
        <v>25</v>
      </c>
      <c r="I1822" s="5">
        <v>44652</v>
      </c>
      <c r="J1822" s="6">
        <v>0</v>
      </c>
      <c r="K1822" s="6">
        <v>0</v>
      </c>
      <c r="L1822" s="6">
        <v>2269.3440000000001</v>
      </c>
      <c r="M1822" s="6">
        <v>612.72288000000003</v>
      </c>
      <c r="N1822" s="6">
        <v>2269.3440000000001</v>
      </c>
      <c r="O1822" s="6">
        <v>612.72288000000003</v>
      </c>
      <c r="P1822" s="6">
        <v>0</v>
      </c>
      <c r="Q1822" s="4" t="s">
        <v>26</v>
      </c>
      <c r="R1822" s="4">
        <v>0</v>
      </c>
      <c r="S1822" s="4" t="s">
        <v>512</v>
      </c>
      <c r="T1822" s="4" t="s">
        <v>769</v>
      </c>
      <c r="U1822" s="4">
        <v>0</v>
      </c>
      <c r="V1822" s="4">
        <v>27</v>
      </c>
      <c r="W1822" s="4">
        <v>85</v>
      </c>
    </row>
    <row r="1823" spans="1:23" ht="11.25" customHeight="1" x14ac:dyDescent="0.25">
      <c r="A1823" s="4" t="s">
        <v>27</v>
      </c>
      <c r="B1823" s="4" t="s">
        <v>44</v>
      </c>
      <c r="C1823" s="4" t="s">
        <v>23</v>
      </c>
      <c r="D1823" s="4" t="s">
        <v>45</v>
      </c>
      <c r="E1823" s="4" t="s">
        <v>53</v>
      </c>
      <c r="F1823" s="4" t="s">
        <v>55</v>
      </c>
      <c r="G1823" s="4" t="s">
        <v>25</v>
      </c>
      <c r="H1823" s="4" t="s">
        <v>25</v>
      </c>
      <c r="I1823" s="5">
        <v>44652</v>
      </c>
      <c r="J1823" s="6">
        <v>0</v>
      </c>
      <c r="K1823" s="6">
        <v>0</v>
      </c>
      <c r="L1823" s="6">
        <v>-48.996000000000002</v>
      </c>
      <c r="M1823" s="6">
        <v>-13.22892</v>
      </c>
      <c r="N1823" s="6">
        <v>-48.996000000000002</v>
      </c>
      <c r="O1823" s="6">
        <v>-13.22892</v>
      </c>
      <c r="P1823" s="6">
        <v>0</v>
      </c>
      <c r="Q1823" s="4" t="s">
        <v>26</v>
      </c>
      <c r="R1823" s="4">
        <v>0</v>
      </c>
      <c r="S1823" s="4" t="s">
        <v>512</v>
      </c>
      <c r="T1823" s="4" t="s">
        <v>769</v>
      </c>
      <c r="U1823" s="4">
        <v>0</v>
      </c>
      <c r="V1823" s="4">
        <v>27</v>
      </c>
      <c r="W1823" s="4">
        <v>85</v>
      </c>
    </row>
    <row r="1824" spans="1:23" ht="11.25" customHeight="1" x14ac:dyDescent="0.25">
      <c r="A1824" s="4" t="s">
        <v>28</v>
      </c>
      <c r="B1824" s="4" t="s">
        <v>44</v>
      </c>
      <c r="C1824" s="4" t="s">
        <v>23</v>
      </c>
      <c r="D1824" s="4" t="s">
        <v>45</v>
      </c>
      <c r="E1824" s="4" t="s">
        <v>53</v>
      </c>
      <c r="F1824" s="4" t="s">
        <v>55</v>
      </c>
      <c r="G1824" s="4" t="s">
        <v>25</v>
      </c>
      <c r="H1824" s="4" t="s">
        <v>25</v>
      </c>
      <c r="I1824" s="5">
        <v>44652</v>
      </c>
      <c r="J1824" s="6">
        <v>0</v>
      </c>
      <c r="K1824" s="6">
        <v>0</v>
      </c>
      <c r="L1824" s="6">
        <v>98.134</v>
      </c>
      <c r="M1824" s="6">
        <v>26.496179999999999</v>
      </c>
      <c r="N1824" s="6">
        <v>98.134</v>
      </c>
      <c r="O1824" s="6">
        <v>26.496179999999999</v>
      </c>
      <c r="P1824" s="6">
        <v>0</v>
      </c>
      <c r="Q1824" s="4" t="s">
        <v>26</v>
      </c>
      <c r="R1824" s="4">
        <v>0</v>
      </c>
      <c r="S1824" s="4" t="s">
        <v>512</v>
      </c>
      <c r="T1824" s="4" t="s">
        <v>769</v>
      </c>
      <c r="U1824" s="4">
        <v>0</v>
      </c>
      <c r="V1824" s="4">
        <v>27</v>
      </c>
      <c r="W1824" s="4">
        <v>85</v>
      </c>
    </row>
    <row r="1825" spans="1:23" ht="11.25" customHeight="1" x14ac:dyDescent="0.25">
      <c r="A1825" s="4" t="s">
        <v>21</v>
      </c>
      <c r="B1825" s="4" t="s">
        <v>44</v>
      </c>
      <c r="C1825" s="4" t="s">
        <v>23</v>
      </c>
      <c r="D1825" s="4" t="s">
        <v>45</v>
      </c>
      <c r="E1825" s="4" t="s">
        <v>53</v>
      </c>
      <c r="F1825" s="4" t="s">
        <v>55</v>
      </c>
      <c r="G1825" s="4" t="s">
        <v>25</v>
      </c>
      <c r="H1825" s="4" t="s">
        <v>25</v>
      </c>
      <c r="I1825" s="5">
        <v>44682</v>
      </c>
      <c r="J1825" s="6">
        <v>0</v>
      </c>
      <c r="K1825" s="6">
        <v>0</v>
      </c>
      <c r="L1825" s="6">
        <v>2342.1759999999999</v>
      </c>
      <c r="M1825" s="6">
        <v>632.38751999999999</v>
      </c>
      <c r="N1825" s="6">
        <v>2342.1759999999999</v>
      </c>
      <c r="O1825" s="6">
        <v>632.38751999999999</v>
      </c>
      <c r="P1825" s="6">
        <v>0</v>
      </c>
      <c r="Q1825" s="4" t="s">
        <v>26</v>
      </c>
      <c r="R1825" s="4">
        <v>0</v>
      </c>
      <c r="S1825" s="4" t="s">
        <v>513</v>
      </c>
      <c r="T1825" s="4" t="s">
        <v>770</v>
      </c>
      <c r="U1825" s="4">
        <v>0</v>
      </c>
      <c r="V1825" s="4">
        <v>27</v>
      </c>
      <c r="W1825" s="4">
        <v>85</v>
      </c>
    </row>
    <row r="1826" spans="1:23" ht="11.25" customHeight="1" x14ac:dyDescent="0.25">
      <c r="A1826" s="4" t="s">
        <v>27</v>
      </c>
      <c r="B1826" s="4" t="s">
        <v>44</v>
      </c>
      <c r="C1826" s="4" t="s">
        <v>23</v>
      </c>
      <c r="D1826" s="4" t="s">
        <v>45</v>
      </c>
      <c r="E1826" s="4" t="s">
        <v>53</v>
      </c>
      <c r="F1826" s="4" t="s">
        <v>55</v>
      </c>
      <c r="G1826" s="4" t="s">
        <v>25</v>
      </c>
      <c r="H1826" s="4" t="s">
        <v>25</v>
      </c>
      <c r="I1826" s="5">
        <v>44682</v>
      </c>
      <c r="J1826" s="6">
        <v>0</v>
      </c>
      <c r="K1826" s="6">
        <v>0</v>
      </c>
      <c r="L1826" s="6">
        <v>-34.822000000000003</v>
      </c>
      <c r="M1826" s="6">
        <v>-9.4019399999999997</v>
      </c>
      <c r="N1826" s="6">
        <v>-34.822000000000003</v>
      </c>
      <c r="O1826" s="6">
        <v>-9.4019399999999997</v>
      </c>
      <c r="P1826" s="6">
        <v>0</v>
      </c>
      <c r="Q1826" s="4" t="s">
        <v>26</v>
      </c>
      <c r="R1826" s="4">
        <v>0</v>
      </c>
      <c r="S1826" s="4" t="s">
        <v>513</v>
      </c>
      <c r="T1826" s="4" t="s">
        <v>770</v>
      </c>
      <c r="U1826" s="4">
        <v>0</v>
      </c>
      <c r="V1826" s="4">
        <v>27</v>
      </c>
      <c r="W1826" s="4">
        <v>85</v>
      </c>
    </row>
    <row r="1827" spans="1:23" ht="11.25" customHeight="1" x14ac:dyDescent="0.25">
      <c r="A1827" s="4" t="s">
        <v>28</v>
      </c>
      <c r="B1827" s="4" t="s">
        <v>44</v>
      </c>
      <c r="C1827" s="4" t="s">
        <v>23</v>
      </c>
      <c r="D1827" s="4" t="s">
        <v>45</v>
      </c>
      <c r="E1827" s="4" t="s">
        <v>53</v>
      </c>
      <c r="F1827" s="4" t="s">
        <v>55</v>
      </c>
      <c r="G1827" s="4" t="s">
        <v>25</v>
      </c>
      <c r="H1827" s="4" t="s">
        <v>25</v>
      </c>
      <c r="I1827" s="5">
        <v>44682</v>
      </c>
      <c r="J1827" s="6">
        <v>0</v>
      </c>
      <c r="K1827" s="6">
        <v>0</v>
      </c>
      <c r="L1827" s="6">
        <v>109.886</v>
      </c>
      <c r="M1827" s="6">
        <v>29.669219999999999</v>
      </c>
      <c r="N1827" s="6">
        <v>109.886</v>
      </c>
      <c r="O1827" s="6">
        <v>29.669219999999999</v>
      </c>
      <c r="P1827" s="6">
        <v>0</v>
      </c>
      <c r="Q1827" s="4" t="s">
        <v>26</v>
      </c>
      <c r="R1827" s="4">
        <v>0</v>
      </c>
      <c r="S1827" s="4" t="s">
        <v>513</v>
      </c>
      <c r="T1827" s="4" t="s">
        <v>770</v>
      </c>
      <c r="U1827" s="4">
        <v>0</v>
      </c>
      <c r="V1827" s="4">
        <v>27</v>
      </c>
      <c r="W1827" s="4">
        <v>85</v>
      </c>
    </row>
    <row r="1828" spans="1:23" ht="11.25" customHeight="1" x14ac:dyDescent="0.25">
      <c r="A1828" s="4" t="s">
        <v>21</v>
      </c>
      <c r="B1828" s="4" t="s">
        <v>44</v>
      </c>
      <c r="C1828" s="4" t="s">
        <v>23</v>
      </c>
      <c r="D1828" s="4" t="s">
        <v>45</v>
      </c>
      <c r="E1828" s="4" t="s">
        <v>53</v>
      </c>
      <c r="F1828" s="4" t="s">
        <v>55</v>
      </c>
      <c r="G1828" s="4" t="s">
        <v>25</v>
      </c>
      <c r="H1828" s="4" t="s">
        <v>25</v>
      </c>
      <c r="I1828" s="5">
        <v>44713</v>
      </c>
      <c r="J1828" s="6">
        <v>0</v>
      </c>
      <c r="K1828" s="6">
        <v>0</v>
      </c>
      <c r="L1828" s="6">
        <v>1825.501</v>
      </c>
      <c r="M1828" s="6">
        <v>492.88526999999999</v>
      </c>
      <c r="N1828" s="6">
        <v>1825.501</v>
      </c>
      <c r="O1828" s="6">
        <v>492.88526999999999</v>
      </c>
      <c r="P1828" s="6">
        <v>0</v>
      </c>
      <c r="Q1828" s="4" t="s">
        <v>26</v>
      </c>
      <c r="R1828" s="4">
        <v>0</v>
      </c>
      <c r="S1828" s="4" t="s">
        <v>514</v>
      </c>
      <c r="T1828" s="4" t="s">
        <v>771</v>
      </c>
      <c r="U1828" s="4">
        <v>0</v>
      </c>
      <c r="V1828" s="4">
        <v>27</v>
      </c>
      <c r="W1828" s="4">
        <v>85</v>
      </c>
    </row>
    <row r="1829" spans="1:23" ht="11.25" customHeight="1" x14ac:dyDescent="0.25">
      <c r="A1829" s="4" t="s">
        <v>27</v>
      </c>
      <c r="B1829" s="4" t="s">
        <v>44</v>
      </c>
      <c r="C1829" s="4" t="s">
        <v>23</v>
      </c>
      <c r="D1829" s="4" t="s">
        <v>45</v>
      </c>
      <c r="E1829" s="4" t="s">
        <v>53</v>
      </c>
      <c r="F1829" s="4" t="s">
        <v>55</v>
      </c>
      <c r="G1829" s="4" t="s">
        <v>25</v>
      </c>
      <c r="H1829" s="4" t="s">
        <v>25</v>
      </c>
      <c r="I1829" s="5">
        <v>44713</v>
      </c>
      <c r="J1829" s="6">
        <v>0</v>
      </c>
      <c r="K1829" s="6">
        <v>0</v>
      </c>
      <c r="L1829" s="6">
        <v>-50.198999999999998</v>
      </c>
      <c r="M1829" s="6">
        <v>-13.55373</v>
      </c>
      <c r="N1829" s="6">
        <v>-50.198999999999998</v>
      </c>
      <c r="O1829" s="6">
        <v>-13.55373</v>
      </c>
      <c r="P1829" s="6">
        <v>0</v>
      </c>
      <c r="Q1829" s="4" t="s">
        <v>26</v>
      </c>
      <c r="R1829" s="4">
        <v>0</v>
      </c>
      <c r="S1829" s="4" t="s">
        <v>514</v>
      </c>
      <c r="T1829" s="4" t="s">
        <v>771</v>
      </c>
      <c r="U1829" s="4">
        <v>0</v>
      </c>
      <c r="V1829" s="4">
        <v>27</v>
      </c>
      <c r="W1829" s="4">
        <v>85</v>
      </c>
    </row>
    <row r="1830" spans="1:23" ht="11.25" customHeight="1" x14ac:dyDescent="0.25">
      <c r="A1830" s="4" t="s">
        <v>28</v>
      </c>
      <c r="B1830" s="4" t="s">
        <v>44</v>
      </c>
      <c r="C1830" s="4" t="s">
        <v>23</v>
      </c>
      <c r="D1830" s="4" t="s">
        <v>45</v>
      </c>
      <c r="E1830" s="4" t="s">
        <v>53</v>
      </c>
      <c r="F1830" s="4" t="s">
        <v>55</v>
      </c>
      <c r="G1830" s="4" t="s">
        <v>25</v>
      </c>
      <c r="H1830" s="4" t="s">
        <v>25</v>
      </c>
      <c r="I1830" s="5">
        <v>44713</v>
      </c>
      <c r="J1830" s="6">
        <v>0</v>
      </c>
      <c r="K1830" s="6">
        <v>0</v>
      </c>
      <c r="L1830" s="6">
        <v>66.944999999999993</v>
      </c>
      <c r="M1830" s="6">
        <v>18.075150000000001</v>
      </c>
      <c r="N1830" s="6">
        <v>66.944999999999993</v>
      </c>
      <c r="O1830" s="6">
        <v>18.075150000000001</v>
      </c>
      <c r="P1830" s="6">
        <v>0</v>
      </c>
      <c r="Q1830" s="4" t="s">
        <v>26</v>
      </c>
      <c r="R1830" s="4">
        <v>0</v>
      </c>
      <c r="S1830" s="4" t="s">
        <v>514</v>
      </c>
      <c r="T1830" s="4" t="s">
        <v>771</v>
      </c>
      <c r="U1830" s="4">
        <v>0</v>
      </c>
      <c r="V1830" s="4">
        <v>27</v>
      </c>
      <c r="W1830" s="4">
        <v>85</v>
      </c>
    </row>
    <row r="1831" spans="1:23" ht="11.25" customHeight="1" x14ac:dyDescent="0.25">
      <c r="A1831" s="4" t="s">
        <v>57</v>
      </c>
      <c r="B1831" s="4" t="s">
        <v>44</v>
      </c>
      <c r="C1831" s="4" t="s">
        <v>23</v>
      </c>
      <c r="D1831" s="4" t="s">
        <v>45</v>
      </c>
      <c r="E1831" s="4" t="s">
        <v>53</v>
      </c>
      <c r="F1831" s="4" t="s">
        <v>55</v>
      </c>
      <c r="G1831" s="4" t="s">
        <v>25</v>
      </c>
      <c r="H1831" s="4" t="s">
        <v>25</v>
      </c>
      <c r="I1831" s="5">
        <v>44743</v>
      </c>
      <c r="J1831" s="6">
        <v>0</v>
      </c>
      <c r="K1831" s="6">
        <v>0</v>
      </c>
      <c r="L1831" s="6">
        <v>1825.501</v>
      </c>
      <c r="M1831" s="6">
        <v>492.88526999999999</v>
      </c>
      <c r="N1831" s="6">
        <v>1825.501</v>
      </c>
      <c r="O1831" s="6">
        <v>492.88526999999999</v>
      </c>
      <c r="P1831" s="6">
        <v>0</v>
      </c>
      <c r="Q1831" s="4" t="s">
        <v>26</v>
      </c>
      <c r="R1831" s="4">
        <v>0</v>
      </c>
      <c r="S1831" s="4" t="s">
        <v>515</v>
      </c>
      <c r="T1831" s="4" t="s">
        <v>772</v>
      </c>
      <c r="U1831" s="4">
        <v>0</v>
      </c>
      <c r="V1831" s="4">
        <v>27</v>
      </c>
      <c r="W1831" s="4">
        <v>85</v>
      </c>
    </row>
    <row r="1832" spans="1:23" ht="11.25" customHeight="1" x14ac:dyDescent="0.25">
      <c r="A1832" s="4" t="s">
        <v>57</v>
      </c>
      <c r="B1832" s="4" t="s">
        <v>44</v>
      </c>
      <c r="C1832" s="4" t="s">
        <v>23</v>
      </c>
      <c r="D1832" s="4" t="s">
        <v>45</v>
      </c>
      <c r="E1832" s="4" t="s">
        <v>53</v>
      </c>
      <c r="F1832" s="4" t="s">
        <v>55</v>
      </c>
      <c r="G1832" s="4" t="s">
        <v>25</v>
      </c>
      <c r="H1832" s="4" t="s">
        <v>25</v>
      </c>
      <c r="I1832" s="5">
        <v>44743</v>
      </c>
      <c r="J1832" s="6">
        <v>0</v>
      </c>
      <c r="K1832" s="6">
        <v>0</v>
      </c>
      <c r="L1832" s="6">
        <v>-50.198999999999998</v>
      </c>
      <c r="M1832" s="6">
        <v>-13.55373</v>
      </c>
      <c r="N1832" s="6">
        <v>-50.198999999999998</v>
      </c>
      <c r="O1832" s="6">
        <v>-13.55373</v>
      </c>
      <c r="P1832" s="6">
        <v>0</v>
      </c>
      <c r="Q1832" s="4" t="s">
        <v>26</v>
      </c>
      <c r="R1832" s="4">
        <v>0</v>
      </c>
      <c r="S1832" s="4" t="s">
        <v>515</v>
      </c>
      <c r="T1832" s="4" t="s">
        <v>772</v>
      </c>
      <c r="U1832" s="4">
        <v>0</v>
      </c>
      <c r="V1832" s="4">
        <v>27</v>
      </c>
      <c r="W1832" s="4">
        <v>85</v>
      </c>
    </row>
    <row r="1833" spans="1:23" ht="11.25" customHeight="1" x14ac:dyDescent="0.25">
      <c r="A1833" s="4" t="s">
        <v>57</v>
      </c>
      <c r="B1833" s="4" t="s">
        <v>44</v>
      </c>
      <c r="C1833" s="4" t="s">
        <v>23</v>
      </c>
      <c r="D1833" s="4" t="s">
        <v>45</v>
      </c>
      <c r="E1833" s="4" t="s">
        <v>53</v>
      </c>
      <c r="F1833" s="4" t="s">
        <v>55</v>
      </c>
      <c r="G1833" s="4" t="s">
        <v>25</v>
      </c>
      <c r="H1833" s="4" t="s">
        <v>25</v>
      </c>
      <c r="I1833" s="5">
        <v>44743</v>
      </c>
      <c r="J1833" s="6">
        <v>0</v>
      </c>
      <c r="K1833" s="6">
        <v>0</v>
      </c>
      <c r="L1833" s="6">
        <v>66.944999999999993</v>
      </c>
      <c r="M1833" s="6">
        <v>18.075150000000001</v>
      </c>
      <c r="N1833" s="6">
        <v>66.944999999999993</v>
      </c>
      <c r="O1833" s="6">
        <v>18.075150000000001</v>
      </c>
      <c r="P1833" s="6">
        <v>0</v>
      </c>
      <c r="Q1833" s="4" t="s">
        <v>26</v>
      </c>
      <c r="R1833" s="4">
        <v>0</v>
      </c>
      <c r="S1833" s="4" t="s">
        <v>515</v>
      </c>
      <c r="T1833" s="4" t="s">
        <v>772</v>
      </c>
      <c r="U1833" s="4">
        <v>0</v>
      </c>
      <c r="V1833" s="4">
        <v>27</v>
      </c>
      <c r="W1833" s="4">
        <v>85</v>
      </c>
    </row>
    <row r="1834" spans="1:23" ht="11.25" customHeight="1" x14ac:dyDescent="0.25">
      <c r="A1834" s="4" t="s">
        <v>21</v>
      </c>
      <c r="B1834" s="4" t="s">
        <v>44</v>
      </c>
      <c r="C1834" s="4" t="s">
        <v>23</v>
      </c>
      <c r="D1834" s="4" t="s">
        <v>45</v>
      </c>
      <c r="E1834" s="4" t="s">
        <v>56</v>
      </c>
      <c r="F1834" s="4" t="s">
        <v>54</v>
      </c>
      <c r="G1834" s="4" t="s">
        <v>25</v>
      </c>
      <c r="H1834" s="4" t="s">
        <v>25</v>
      </c>
      <c r="I1834" s="5">
        <v>44409</v>
      </c>
      <c r="J1834" s="6">
        <v>0</v>
      </c>
      <c r="K1834" s="6">
        <v>0</v>
      </c>
      <c r="L1834" s="6">
        <v>9.3840000000000003</v>
      </c>
      <c r="M1834" s="6">
        <v>9.3840000000000003</v>
      </c>
      <c r="N1834" s="6">
        <v>9.3840000000000003</v>
      </c>
      <c r="O1834" s="6">
        <v>9.3840000000000003</v>
      </c>
      <c r="P1834" s="6">
        <v>0</v>
      </c>
      <c r="Q1834" s="4" t="s">
        <v>26</v>
      </c>
      <c r="R1834" s="4">
        <v>0</v>
      </c>
      <c r="S1834" s="4" t="s">
        <v>504</v>
      </c>
      <c r="T1834" s="4" t="s">
        <v>761</v>
      </c>
      <c r="U1834" s="4">
        <v>0</v>
      </c>
      <c r="V1834" s="4">
        <v>27</v>
      </c>
      <c r="W1834" s="4">
        <v>85</v>
      </c>
    </row>
    <row r="1835" spans="1:23" ht="11.25" customHeight="1" x14ac:dyDescent="0.25">
      <c r="A1835" s="4" t="s">
        <v>21</v>
      </c>
      <c r="B1835" s="4" t="s">
        <v>44</v>
      </c>
      <c r="C1835" s="4" t="s">
        <v>23</v>
      </c>
      <c r="D1835" s="4" t="s">
        <v>45</v>
      </c>
      <c r="E1835" s="4" t="s">
        <v>56</v>
      </c>
      <c r="F1835" s="4" t="s">
        <v>54</v>
      </c>
      <c r="G1835" s="4" t="s">
        <v>25</v>
      </c>
      <c r="H1835" s="4" t="s">
        <v>25</v>
      </c>
      <c r="I1835" s="5">
        <v>44440</v>
      </c>
      <c r="J1835" s="6">
        <v>0</v>
      </c>
      <c r="K1835" s="6">
        <v>0</v>
      </c>
      <c r="L1835" s="6">
        <v>6.282</v>
      </c>
      <c r="M1835" s="6">
        <v>6.282</v>
      </c>
      <c r="N1835" s="6">
        <v>6.282</v>
      </c>
      <c r="O1835" s="6">
        <v>6.282</v>
      </c>
      <c r="P1835" s="6">
        <v>0</v>
      </c>
      <c r="Q1835" s="4" t="s">
        <v>26</v>
      </c>
      <c r="R1835" s="4">
        <v>0</v>
      </c>
      <c r="S1835" s="4" t="s">
        <v>505</v>
      </c>
      <c r="T1835" s="4" t="s">
        <v>762</v>
      </c>
      <c r="U1835" s="4">
        <v>0</v>
      </c>
      <c r="V1835" s="4">
        <v>27</v>
      </c>
      <c r="W1835" s="4">
        <v>85</v>
      </c>
    </row>
    <row r="1836" spans="1:23" ht="11.25" customHeight="1" x14ac:dyDescent="0.25">
      <c r="A1836" s="4" t="s">
        <v>21</v>
      </c>
      <c r="B1836" s="4" t="s">
        <v>44</v>
      </c>
      <c r="C1836" s="4" t="s">
        <v>23</v>
      </c>
      <c r="D1836" s="4" t="s">
        <v>45</v>
      </c>
      <c r="E1836" s="4" t="s">
        <v>56</v>
      </c>
      <c r="F1836" s="4" t="s">
        <v>54</v>
      </c>
      <c r="G1836" s="4" t="s">
        <v>25</v>
      </c>
      <c r="H1836" s="4" t="s">
        <v>25</v>
      </c>
      <c r="I1836" s="5">
        <v>44470</v>
      </c>
      <c r="J1836" s="6">
        <v>0</v>
      </c>
      <c r="K1836" s="6">
        <v>0</v>
      </c>
      <c r="L1836" s="6">
        <v>6.4340000000000002</v>
      </c>
      <c r="M1836" s="6">
        <v>6.4340000000000002</v>
      </c>
      <c r="N1836" s="6">
        <v>6.4340000000000002</v>
      </c>
      <c r="O1836" s="6">
        <v>6.4340000000000002</v>
      </c>
      <c r="P1836" s="6">
        <v>0</v>
      </c>
      <c r="Q1836" s="4" t="s">
        <v>26</v>
      </c>
      <c r="R1836" s="4">
        <v>0</v>
      </c>
      <c r="S1836" s="4" t="s">
        <v>506</v>
      </c>
      <c r="T1836" s="4" t="s">
        <v>763</v>
      </c>
      <c r="U1836" s="4">
        <v>0</v>
      </c>
      <c r="V1836" s="4">
        <v>27</v>
      </c>
      <c r="W1836" s="4">
        <v>85</v>
      </c>
    </row>
    <row r="1837" spans="1:23" ht="11.25" customHeight="1" x14ac:dyDescent="0.25">
      <c r="A1837" s="4" t="s">
        <v>21</v>
      </c>
      <c r="B1837" s="4" t="s">
        <v>44</v>
      </c>
      <c r="C1837" s="4" t="s">
        <v>23</v>
      </c>
      <c r="D1837" s="4" t="s">
        <v>45</v>
      </c>
      <c r="E1837" s="4" t="s">
        <v>56</v>
      </c>
      <c r="F1837" s="4" t="s">
        <v>54</v>
      </c>
      <c r="G1837" s="4" t="s">
        <v>25</v>
      </c>
      <c r="H1837" s="4" t="s">
        <v>25</v>
      </c>
      <c r="I1837" s="5">
        <v>44501</v>
      </c>
      <c r="J1837" s="6">
        <v>0</v>
      </c>
      <c r="K1837" s="6">
        <v>0</v>
      </c>
      <c r="L1837" s="6">
        <v>7.734</v>
      </c>
      <c r="M1837" s="6">
        <v>7.734</v>
      </c>
      <c r="N1837" s="6">
        <v>7.734</v>
      </c>
      <c r="O1837" s="6">
        <v>7.734</v>
      </c>
      <c r="P1837" s="6">
        <v>0</v>
      </c>
      <c r="Q1837" s="4" t="s">
        <v>26</v>
      </c>
      <c r="R1837" s="4">
        <v>0</v>
      </c>
      <c r="S1837" s="4" t="s">
        <v>507</v>
      </c>
      <c r="T1837" s="4" t="s">
        <v>764</v>
      </c>
      <c r="U1837" s="4">
        <v>0</v>
      </c>
      <c r="V1837" s="4">
        <v>27</v>
      </c>
      <c r="W1837" s="4">
        <v>85</v>
      </c>
    </row>
    <row r="1838" spans="1:23" ht="11.25" customHeight="1" x14ac:dyDescent="0.25">
      <c r="A1838" s="4" t="s">
        <v>21</v>
      </c>
      <c r="B1838" s="4" t="s">
        <v>44</v>
      </c>
      <c r="C1838" s="4" t="s">
        <v>23</v>
      </c>
      <c r="D1838" s="4" t="s">
        <v>45</v>
      </c>
      <c r="E1838" s="4" t="s">
        <v>56</v>
      </c>
      <c r="F1838" s="4" t="s">
        <v>54</v>
      </c>
      <c r="G1838" s="4" t="s">
        <v>25</v>
      </c>
      <c r="H1838" s="4" t="s">
        <v>25</v>
      </c>
      <c r="I1838" s="5">
        <v>44531</v>
      </c>
      <c r="J1838" s="6">
        <v>0</v>
      </c>
      <c r="K1838" s="6">
        <v>0</v>
      </c>
      <c r="L1838" s="6">
        <v>7.53</v>
      </c>
      <c r="M1838" s="6">
        <v>7.53</v>
      </c>
      <c r="N1838" s="6">
        <v>7.53</v>
      </c>
      <c r="O1838" s="6">
        <v>7.53</v>
      </c>
      <c r="P1838" s="6">
        <v>0</v>
      </c>
      <c r="Q1838" s="4" t="s">
        <v>26</v>
      </c>
      <c r="R1838" s="4">
        <v>0</v>
      </c>
      <c r="S1838" s="4" t="s">
        <v>508</v>
      </c>
      <c r="T1838" s="4" t="s">
        <v>765</v>
      </c>
      <c r="U1838" s="4">
        <v>0</v>
      </c>
      <c r="V1838" s="4">
        <v>27</v>
      </c>
      <c r="W1838" s="4">
        <v>85</v>
      </c>
    </row>
    <row r="1839" spans="1:23" ht="11.25" customHeight="1" x14ac:dyDescent="0.25">
      <c r="A1839" s="4" t="s">
        <v>21</v>
      </c>
      <c r="B1839" s="4" t="s">
        <v>44</v>
      </c>
      <c r="C1839" s="4" t="s">
        <v>23</v>
      </c>
      <c r="D1839" s="4" t="s">
        <v>45</v>
      </c>
      <c r="E1839" s="4" t="s">
        <v>56</v>
      </c>
      <c r="F1839" s="4" t="s">
        <v>54</v>
      </c>
      <c r="G1839" s="4" t="s">
        <v>25</v>
      </c>
      <c r="H1839" s="4" t="s">
        <v>25</v>
      </c>
      <c r="I1839" s="5">
        <v>44562</v>
      </c>
      <c r="J1839" s="6">
        <v>0</v>
      </c>
      <c r="K1839" s="6">
        <v>0</v>
      </c>
      <c r="L1839" s="6">
        <v>6.3029999999999999</v>
      </c>
      <c r="M1839" s="6">
        <v>6.3029999999999999</v>
      </c>
      <c r="N1839" s="6">
        <v>6.3029999999999999</v>
      </c>
      <c r="O1839" s="6">
        <v>6.3029999999999999</v>
      </c>
      <c r="P1839" s="6">
        <v>0</v>
      </c>
      <c r="Q1839" s="4" t="s">
        <v>26</v>
      </c>
      <c r="R1839" s="4">
        <v>0</v>
      </c>
      <c r="S1839" s="4" t="s">
        <v>509</v>
      </c>
      <c r="T1839" s="4" t="s">
        <v>766</v>
      </c>
      <c r="U1839" s="4">
        <v>0</v>
      </c>
      <c r="V1839" s="4">
        <v>27</v>
      </c>
      <c r="W1839" s="4">
        <v>85</v>
      </c>
    </row>
    <row r="1840" spans="1:23" ht="11.25" customHeight="1" x14ac:dyDescent="0.25">
      <c r="A1840" s="4" t="s">
        <v>21</v>
      </c>
      <c r="B1840" s="4" t="s">
        <v>44</v>
      </c>
      <c r="C1840" s="4" t="s">
        <v>23</v>
      </c>
      <c r="D1840" s="4" t="s">
        <v>45</v>
      </c>
      <c r="E1840" s="4" t="s">
        <v>56</v>
      </c>
      <c r="F1840" s="4" t="s">
        <v>54</v>
      </c>
      <c r="G1840" s="4" t="s">
        <v>25</v>
      </c>
      <c r="H1840" s="4" t="s">
        <v>25</v>
      </c>
      <c r="I1840" s="5">
        <v>44593</v>
      </c>
      <c r="J1840" s="6">
        <v>0</v>
      </c>
      <c r="K1840" s="6">
        <v>0</v>
      </c>
      <c r="L1840" s="6">
        <v>4.4089999999999998</v>
      </c>
      <c r="M1840" s="6">
        <v>4.4089999999999998</v>
      </c>
      <c r="N1840" s="6">
        <v>4.4089999999999998</v>
      </c>
      <c r="O1840" s="6">
        <v>4.4089999999999998</v>
      </c>
      <c r="P1840" s="6">
        <v>0</v>
      </c>
      <c r="Q1840" s="4" t="s">
        <v>26</v>
      </c>
      <c r="R1840" s="4">
        <v>0</v>
      </c>
      <c r="S1840" s="4" t="s">
        <v>510</v>
      </c>
      <c r="T1840" s="4" t="s">
        <v>767</v>
      </c>
      <c r="U1840" s="4">
        <v>0</v>
      </c>
      <c r="V1840" s="4">
        <v>27</v>
      </c>
      <c r="W1840" s="4">
        <v>85</v>
      </c>
    </row>
    <row r="1841" spans="1:23" ht="11.25" customHeight="1" x14ac:dyDescent="0.25">
      <c r="A1841" s="4" t="s">
        <v>21</v>
      </c>
      <c r="B1841" s="4" t="s">
        <v>44</v>
      </c>
      <c r="C1841" s="4" t="s">
        <v>23</v>
      </c>
      <c r="D1841" s="4" t="s">
        <v>45</v>
      </c>
      <c r="E1841" s="4" t="s">
        <v>56</v>
      </c>
      <c r="F1841" s="4" t="s">
        <v>54</v>
      </c>
      <c r="G1841" s="4" t="s">
        <v>25</v>
      </c>
      <c r="H1841" s="4" t="s">
        <v>25</v>
      </c>
      <c r="I1841" s="5">
        <v>44621</v>
      </c>
      <c r="J1841" s="6">
        <v>0</v>
      </c>
      <c r="K1841" s="6">
        <v>0</v>
      </c>
      <c r="L1841" s="6">
        <v>5.9340000000000002</v>
      </c>
      <c r="M1841" s="6">
        <v>5.9340000000000002</v>
      </c>
      <c r="N1841" s="6">
        <v>5.9340000000000002</v>
      </c>
      <c r="O1841" s="6">
        <v>5.9340000000000002</v>
      </c>
      <c r="P1841" s="6">
        <v>0</v>
      </c>
      <c r="Q1841" s="4" t="s">
        <v>26</v>
      </c>
      <c r="R1841" s="4">
        <v>0</v>
      </c>
      <c r="S1841" s="4" t="s">
        <v>511</v>
      </c>
      <c r="T1841" s="4" t="s">
        <v>768</v>
      </c>
      <c r="U1841" s="4">
        <v>0</v>
      </c>
      <c r="V1841" s="4">
        <v>27</v>
      </c>
      <c r="W1841" s="4">
        <v>85</v>
      </c>
    </row>
    <row r="1842" spans="1:23" ht="11.25" customHeight="1" x14ac:dyDescent="0.25">
      <c r="A1842" s="4" t="s">
        <v>21</v>
      </c>
      <c r="B1842" s="4" t="s">
        <v>44</v>
      </c>
      <c r="C1842" s="4" t="s">
        <v>23</v>
      </c>
      <c r="D1842" s="4" t="s">
        <v>45</v>
      </c>
      <c r="E1842" s="4" t="s">
        <v>56</v>
      </c>
      <c r="F1842" s="4" t="s">
        <v>54</v>
      </c>
      <c r="G1842" s="4" t="s">
        <v>25</v>
      </c>
      <c r="H1842" s="4" t="s">
        <v>25</v>
      </c>
      <c r="I1842" s="5">
        <v>44652</v>
      </c>
      <c r="J1842" s="6">
        <v>0</v>
      </c>
      <c r="K1842" s="6">
        <v>0</v>
      </c>
      <c r="L1842" s="6">
        <v>7.6669999999999998</v>
      </c>
      <c r="M1842" s="6">
        <v>7.6669999999999998</v>
      </c>
      <c r="N1842" s="6">
        <v>7.6669999999999998</v>
      </c>
      <c r="O1842" s="6">
        <v>7.6669999999999998</v>
      </c>
      <c r="P1842" s="6">
        <v>0</v>
      </c>
      <c r="Q1842" s="4" t="s">
        <v>26</v>
      </c>
      <c r="R1842" s="4">
        <v>0</v>
      </c>
      <c r="S1842" s="4" t="s">
        <v>512</v>
      </c>
      <c r="T1842" s="4" t="s">
        <v>769</v>
      </c>
      <c r="U1842" s="4">
        <v>0</v>
      </c>
      <c r="V1842" s="4">
        <v>27</v>
      </c>
      <c r="W1842" s="4">
        <v>85</v>
      </c>
    </row>
    <row r="1843" spans="1:23" ht="11.25" customHeight="1" x14ac:dyDescent="0.25">
      <c r="A1843" s="4" t="s">
        <v>21</v>
      </c>
      <c r="B1843" s="4" t="s">
        <v>44</v>
      </c>
      <c r="C1843" s="4" t="s">
        <v>23</v>
      </c>
      <c r="D1843" s="4" t="s">
        <v>45</v>
      </c>
      <c r="E1843" s="4" t="s">
        <v>56</v>
      </c>
      <c r="F1843" s="4" t="s">
        <v>54</v>
      </c>
      <c r="G1843" s="4" t="s">
        <v>25</v>
      </c>
      <c r="H1843" s="4" t="s">
        <v>25</v>
      </c>
      <c r="I1843" s="5">
        <v>44682</v>
      </c>
      <c r="J1843" s="6">
        <v>0</v>
      </c>
      <c r="K1843" s="6">
        <v>0</v>
      </c>
      <c r="L1843" s="6">
        <v>7.8570000000000002</v>
      </c>
      <c r="M1843" s="6">
        <v>7.8570000000000002</v>
      </c>
      <c r="N1843" s="6">
        <v>7.8570000000000002</v>
      </c>
      <c r="O1843" s="6">
        <v>7.8570000000000002</v>
      </c>
      <c r="P1843" s="6">
        <v>0</v>
      </c>
      <c r="Q1843" s="4" t="s">
        <v>26</v>
      </c>
      <c r="R1843" s="4">
        <v>0</v>
      </c>
      <c r="S1843" s="4" t="s">
        <v>513</v>
      </c>
      <c r="T1843" s="4" t="s">
        <v>770</v>
      </c>
      <c r="U1843" s="4">
        <v>0</v>
      </c>
      <c r="V1843" s="4">
        <v>27</v>
      </c>
      <c r="W1843" s="4">
        <v>85</v>
      </c>
    </row>
    <row r="1844" spans="1:23" ht="11.25" customHeight="1" x14ac:dyDescent="0.25">
      <c r="A1844" s="4" t="s">
        <v>21</v>
      </c>
      <c r="B1844" s="4" t="s">
        <v>44</v>
      </c>
      <c r="C1844" s="4" t="s">
        <v>23</v>
      </c>
      <c r="D1844" s="4" t="s">
        <v>45</v>
      </c>
      <c r="E1844" s="4" t="s">
        <v>56</v>
      </c>
      <c r="F1844" s="4" t="s">
        <v>54</v>
      </c>
      <c r="G1844" s="4" t="s">
        <v>25</v>
      </c>
      <c r="H1844" s="4" t="s">
        <v>25</v>
      </c>
      <c r="I1844" s="5">
        <v>44713</v>
      </c>
      <c r="J1844" s="6">
        <v>0</v>
      </c>
      <c r="K1844" s="6">
        <v>0</v>
      </c>
      <c r="L1844" s="6">
        <v>7.8369999999999997</v>
      </c>
      <c r="M1844" s="6">
        <v>7.8369999999999997</v>
      </c>
      <c r="N1844" s="6">
        <v>7.8369999999999997</v>
      </c>
      <c r="O1844" s="6">
        <v>7.8369999999999997</v>
      </c>
      <c r="P1844" s="6">
        <v>0</v>
      </c>
      <c r="Q1844" s="4" t="s">
        <v>26</v>
      </c>
      <c r="R1844" s="4">
        <v>0</v>
      </c>
      <c r="S1844" s="4" t="s">
        <v>514</v>
      </c>
      <c r="T1844" s="4" t="s">
        <v>771</v>
      </c>
      <c r="U1844" s="4">
        <v>0</v>
      </c>
      <c r="V1844" s="4">
        <v>27</v>
      </c>
      <c r="W1844" s="4">
        <v>85</v>
      </c>
    </row>
    <row r="1845" spans="1:23" ht="11.25" customHeight="1" x14ac:dyDescent="0.25">
      <c r="A1845" s="4" t="s">
        <v>57</v>
      </c>
      <c r="B1845" s="4" t="s">
        <v>44</v>
      </c>
      <c r="C1845" s="4" t="s">
        <v>23</v>
      </c>
      <c r="D1845" s="4" t="s">
        <v>45</v>
      </c>
      <c r="E1845" s="4" t="s">
        <v>56</v>
      </c>
      <c r="F1845" s="4" t="s">
        <v>54</v>
      </c>
      <c r="G1845" s="4" t="s">
        <v>25</v>
      </c>
      <c r="H1845" s="4" t="s">
        <v>25</v>
      </c>
      <c r="I1845" s="5">
        <v>44743</v>
      </c>
      <c r="J1845" s="6">
        <v>0</v>
      </c>
      <c r="K1845" s="6">
        <v>0</v>
      </c>
      <c r="L1845" s="6">
        <v>7.8369999999999997</v>
      </c>
      <c r="M1845" s="6">
        <v>7.8369999999999997</v>
      </c>
      <c r="N1845" s="6">
        <v>7.8369999999999997</v>
      </c>
      <c r="O1845" s="6">
        <v>7.8369999999999997</v>
      </c>
      <c r="P1845" s="6">
        <v>0</v>
      </c>
      <c r="Q1845" s="4" t="s">
        <v>26</v>
      </c>
      <c r="R1845" s="4">
        <v>0</v>
      </c>
      <c r="S1845" s="4" t="s">
        <v>515</v>
      </c>
      <c r="T1845" s="4" t="s">
        <v>772</v>
      </c>
      <c r="U1845" s="4">
        <v>0</v>
      </c>
      <c r="V1845" s="4">
        <v>27</v>
      </c>
      <c r="W1845" s="4">
        <v>85</v>
      </c>
    </row>
    <row r="1846" spans="1:23" ht="11.25" customHeight="1" x14ac:dyDescent="0.25">
      <c r="A1846" s="4" t="s">
        <v>21</v>
      </c>
      <c r="B1846" s="4" t="s">
        <v>44</v>
      </c>
      <c r="C1846" s="4" t="s">
        <v>23</v>
      </c>
      <c r="D1846" s="4" t="s">
        <v>45</v>
      </c>
      <c r="E1846" s="4" t="s">
        <v>56</v>
      </c>
      <c r="F1846" s="4" t="s">
        <v>55</v>
      </c>
      <c r="G1846" s="4" t="s">
        <v>25</v>
      </c>
      <c r="H1846" s="4" t="s">
        <v>25</v>
      </c>
      <c r="I1846" s="5">
        <v>44409</v>
      </c>
      <c r="J1846" s="6">
        <v>0</v>
      </c>
      <c r="K1846" s="6">
        <v>0</v>
      </c>
      <c r="L1846" s="6">
        <v>24.286000000000001</v>
      </c>
      <c r="M1846" s="6">
        <v>6.55722</v>
      </c>
      <c r="N1846" s="6">
        <v>24.286000000000001</v>
      </c>
      <c r="O1846" s="6">
        <v>6.55722</v>
      </c>
      <c r="P1846" s="6">
        <v>0</v>
      </c>
      <c r="Q1846" s="4" t="s">
        <v>26</v>
      </c>
      <c r="R1846" s="4">
        <v>0</v>
      </c>
      <c r="S1846" s="4" t="s">
        <v>504</v>
      </c>
      <c r="T1846" s="4" t="s">
        <v>761</v>
      </c>
      <c r="U1846" s="4">
        <v>0</v>
      </c>
      <c r="V1846" s="4">
        <v>27</v>
      </c>
      <c r="W1846" s="4">
        <v>85</v>
      </c>
    </row>
    <row r="1847" spans="1:23" ht="11.25" customHeight="1" x14ac:dyDescent="0.25">
      <c r="A1847" s="4" t="s">
        <v>21</v>
      </c>
      <c r="B1847" s="4" t="s">
        <v>44</v>
      </c>
      <c r="C1847" s="4" t="s">
        <v>23</v>
      </c>
      <c r="D1847" s="4" t="s">
        <v>45</v>
      </c>
      <c r="E1847" s="4" t="s">
        <v>56</v>
      </c>
      <c r="F1847" s="4" t="s">
        <v>55</v>
      </c>
      <c r="G1847" s="4" t="s">
        <v>25</v>
      </c>
      <c r="H1847" s="4" t="s">
        <v>25</v>
      </c>
      <c r="I1847" s="5">
        <v>44440</v>
      </c>
      <c r="J1847" s="6">
        <v>0</v>
      </c>
      <c r="K1847" s="6">
        <v>0</v>
      </c>
      <c r="L1847" s="6">
        <v>18.283000000000001</v>
      </c>
      <c r="M1847" s="6">
        <v>4.9364100000000004</v>
      </c>
      <c r="N1847" s="6">
        <v>18.283000000000001</v>
      </c>
      <c r="O1847" s="6">
        <v>4.9364100000000004</v>
      </c>
      <c r="P1847" s="6">
        <v>0</v>
      </c>
      <c r="Q1847" s="4" t="s">
        <v>26</v>
      </c>
      <c r="R1847" s="4">
        <v>0</v>
      </c>
      <c r="S1847" s="4" t="s">
        <v>505</v>
      </c>
      <c r="T1847" s="4" t="s">
        <v>762</v>
      </c>
      <c r="U1847" s="4">
        <v>0</v>
      </c>
      <c r="V1847" s="4">
        <v>27</v>
      </c>
      <c r="W1847" s="4">
        <v>85</v>
      </c>
    </row>
    <row r="1848" spans="1:23" ht="11.25" customHeight="1" x14ac:dyDescent="0.25">
      <c r="A1848" s="4" t="s">
        <v>21</v>
      </c>
      <c r="B1848" s="4" t="s">
        <v>44</v>
      </c>
      <c r="C1848" s="4" t="s">
        <v>23</v>
      </c>
      <c r="D1848" s="4" t="s">
        <v>45</v>
      </c>
      <c r="E1848" s="4" t="s">
        <v>56</v>
      </c>
      <c r="F1848" s="4" t="s">
        <v>55</v>
      </c>
      <c r="G1848" s="4" t="s">
        <v>25</v>
      </c>
      <c r="H1848" s="4" t="s">
        <v>25</v>
      </c>
      <c r="I1848" s="5">
        <v>44470</v>
      </c>
      <c r="J1848" s="6">
        <v>0</v>
      </c>
      <c r="K1848" s="6">
        <v>0</v>
      </c>
      <c r="L1848" s="6">
        <v>23.462</v>
      </c>
      <c r="M1848" s="6">
        <v>6.33474</v>
      </c>
      <c r="N1848" s="6">
        <v>23.462</v>
      </c>
      <c r="O1848" s="6">
        <v>6.33474</v>
      </c>
      <c r="P1848" s="6">
        <v>0</v>
      </c>
      <c r="Q1848" s="4" t="s">
        <v>26</v>
      </c>
      <c r="R1848" s="4">
        <v>0</v>
      </c>
      <c r="S1848" s="4" t="s">
        <v>506</v>
      </c>
      <c r="T1848" s="4" t="s">
        <v>763</v>
      </c>
      <c r="U1848" s="4">
        <v>0</v>
      </c>
      <c r="V1848" s="4">
        <v>27</v>
      </c>
      <c r="W1848" s="4">
        <v>85</v>
      </c>
    </row>
    <row r="1849" spans="1:23" ht="11.25" customHeight="1" x14ac:dyDescent="0.25">
      <c r="A1849" s="4" t="s">
        <v>21</v>
      </c>
      <c r="B1849" s="4" t="s">
        <v>44</v>
      </c>
      <c r="C1849" s="4" t="s">
        <v>23</v>
      </c>
      <c r="D1849" s="4" t="s">
        <v>45</v>
      </c>
      <c r="E1849" s="4" t="s">
        <v>56</v>
      </c>
      <c r="F1849" s="4" t="s">
        <v>55</v>
      </c>
      <c r="G1849" s="4" t="s">
        <v>25</v>
      </c>
      <c r="H1849" s="4" t="s">
        <v>25</v>
      </c>
      <c r="I1849" s="5">
        <v>44501</v>
      </c>
      <c r="J1849" s="6">
        <v>0</v>
      </c>
      <c r="K1849" s="6">
        <v>0</v>
      </c>
      <c r="L1849" s="6">
        <v>23.196000000000002</v>
      </c>
      <c r="M1849" s="6">
        <v>6.2629200000000003</v>
      </c>
      <c r="N1849" s="6">
        <v>23.196000000000002</v>
      </c>
      <c r="O1849" s="6">
        <v>6.2629200000000003</v>
      </c>
      <c r="P1849" s="6">
        <v>0</v>
      </c>
      <c r="Q1849" s="4" t="s">
        <v>26</v>
      </c>
      <c r="R1849" s="4">
        <v>0</v>
      </c>
      <c r="S1849" s="4" t="s">
        <v>507</v>
      </c>
      <c r="T1849" s="4" t="s">
        <v>764</v>
      </c>
      <c r="U1849" s="4">
        <v>0</v>
      </c>
      <c r="V1849" s="4">
        <v>27</v>
      </c>
      <c r="W1849" s="4">
        <v>85</v>
      </c>
    </row>
    <row r="1850" spans="1:23" ht="11.25" customHeight="1" x14ac:dyDescent="0.25">
      <c r="A1850" s="4" t="s">
        <v>21</v>
      </c>
      <c r="B1850" s="4" t="s">
        <v>44</v>
      </c>
      <c r="C1850" s="4" t="s">
        <v>23</v>
      </c>
      <c r="D1850" s="4" t="s">
        <v>45</v>
      </c>
      <c r="E1850" s="4" t="s">
        <v>56</v>
      </c>
      <c r="F1850" s="4" t="s">
        <v>55</v>
      </c>
      <c r="G1850" s="4" t="s">
        <v>25</v>
      </c>
      <c r="H1850" s="4" t="s">
        <v>25</v>
      </c>
      <c r="I1850" s="5">
        <v>44531</v>
      </c>
      <c r="J1850" s="6">
        <v>0</v>
      </c>
      <c r="K1850" s="6">
        <v>0</v>
      </c>
      <c r="L1850" s="6">
        <v>20.673999999999999</v>
      </c>
      <c r="M1850" s="6">
        <v>5.5819799999999997</v>
      </c>
      <c r="N1850" s="6">
        <v>20.673999999999999</v>
      </c>
      <c r="O1850" s="6">
        <v>5.5819799999999997</v>
      </c>
      <c r="P1850" s="6">
        <v>0</v>
      </c>
      <c r="Q1850" s="4" t="s">
        <v>26</v>
      </c>
      <c r="R1850" s="4">
        <v>0</v>
      </c>
      <c r="S1850" s="4" t="s">
        <v>508</v>
      </c>
      <c r="T1850" s="4" t="s">
        <v>765</v>
      </c>
      <c r="U1850" s="4">
        <v>0</v>
      </c>
      <c r="V1850" s="4">
        <v>27</v>
      </c>
      <c r="W1850" s="4">
        <v>85</v>
      </c>
    </row>
    <row r="1851" spans="1:23" ht="11.25" customHeight="1" x14ac:dyDescent="0.25">
      <c r="A1851" s="4" t="s">
        <v>21</v>
      </c>
      <c r="B1851" s="4" t="s">
        <v>44</v>
      </c>
      <c r="C1851" s="4" t="s">
        <v>23</v>
      </c>
      <c r="D1851" s="4" t="s">
        <v>45</v>
      </c>
      <c r="E1851" s="4" t="s">
        <v>56</v>
      </c>
      <c r="F1851" s="4" t="s">
        <v>55</v>
      </c>
      <c r="G1851" s="4" t="s">
        <v>25</v>
      </c>
      <c r="H1851" s="4" t="s">
        <v>25</v>
      </c>
      <c r="I1851" s="5">
        <v>44562</v>
      </c>
      <c r="J1851" s="6">
        <v>0</v>
      </c>
      <c r="K1851" s="6">
        <v>0</v>
      </c>
      <c r="L1851" s="6">
        <v>21.818999999999999</v>
      </c>
      <c r="M1851" s="6">
        <v>5.8911300000000004</v>
      </c>
      <c r="N1851" s="6">
        <v>21.818999999999999</v>
      </c>
      <c r="O1851" s="6">
        <v>5.8911300000000004</v>
      </c>
      <c r="P1851" s="6">
        <v>0</v>
      </c>
      <c r="Q1851" s="4" t="s">
        <v>26</v>
      </c>
      <c r="R1851" s="4">
        <v>0</v>
      </c>
      <c r="S1851" s="4" t="s">
        <v>509</v>
      </c>
      <c r="T1851" s="4" t="s">
        <v>766</v>
      </c>
      <c r="U1851" s="4">
        <v>0</v>
      </c>
      <c r="V1851" s="4">
        <v>27</v>
      </c>
      <c r="W1851" s="4">
        <v>85</v>
      </c>
    </row>
    <row r="1852" spans="1:23" ht="11.25" customHeight="1" x14ac:dyDescent="0.25">
      <c r="A1852" s="4" t="s">
        <v>21</v>
      </c>
      <c r="B1852" s="4" t="s">
        <v>44</v>
      </c>
      <c r="C1852" s="4" t="s">
        <v>23</v>
      </c>
      <c r="D1852" s="4" t="s">
        <v>45</v>
      </c>
      <c r="E1852" s="4" t="s">
        <v>56</v>
      </c>
      <c r="F1852" s="4" t="s">
        <v>55</v>
      </c>
      <c r="G1852" s="4" t="s">
        <v>25</v>
      </c>
      <c r="H1852" s="4" t="s">
        <v>25</v>
      </c>
      <c r="I1852" s="5">
        <v>44593</v>
      </c>
      <c r="J1852" s="6">
        <v>0</v>
      </c>
      <c r="K1852" s="6">
        <v>0</v>
      </c>
      <c r="L1852" s="6">
        <v>17.419</v>
      </c>
      <c r="M1852" s="6">
        <v>4.7031299999999998</v>
      </c>
      <c r="N1852" s="6">
        <v>17.419</v>
      </c>
      <c r="O1852" s="6">
        <v>4.7031299999999998</v>
      </c>
      <c r="P1852" s="6">
        <v>0</v>
      </c>
      <c r="Q1852" s="4" t="s">
        <v>26</v>
      </c>
      <c r="R1852" s="4">
        <v>0</v>
      </c>
      <c r="S1852" s="4" t="s">
        <v>510</v>
      </c>
      <c r="T1852" s="4" t="s">
        <v>767</v>
      </c>
      <c r="U1852" s="4">
        <v>0</v>
      </c>
      <c r="V1852" s="4">
        <v>27</v>
      </c>
      <c r="W1852" s="4">
        <v>85</v>
      </c>
    </row>
    <row r="1853" spans="1:23" ht="11.25" customHeight="1" x14ac:dyDescent="0.25">
      <c r="A1853" s="4" t="s">
        <v>21</v>
      </c>
      <c r="B1853" s="4" t="s">
        <v>44</v>
      </c>
      <c r="C1853" s="4" t="s">
        <v>23</v>
      </c>
      <c r="D1853" s="4" t="s">
        <v>45</v>
      </c>
      <c r="E1853" s="4" t="s">
        <v>56</v>
      </c>
      <c r="F1853" s="4" t="s">
        <v>55</v>
      </c>
      <c r="G1853" s="4" t="s">
        <v>25</v>
      </c>
      <c r="H1853" s="4" t="s">
        <v>25</v>
      </c>
      <c r="I1853" s="5">
        <v>44621</v>
      </c>
      <c r="J1853" s="6">
        <v>0</v>
      </c>
      <c r="K1853" s="6">
        <v>0</v>
      </c>
      <c r="L1853" s="6">
        <v>18.379000000000001</v>
      </c>
      <c r="M1853" s="6">
        <v>4.9623299999999997</v>
      </c>
      <c r="N1853" s="6">
        <v>18.379000000000001</v>
      </c>
      <c r="O1853" s="6">
        <v>4.9623299999999997</v>
      </c>
      <c r="P1853" s="6">
        <v>0</v>
      </c>
      <c r="Q1853" s="4" t="s">
        <v>26</v>
      </c>
      <c r="R1853" s="4">
        <v>0</v>
      </c>
      <c r="S1853" s="4" t="s">
        <v>511</v>
      </c>
      <c r="T1853" s="4" t="s">
        <v>768</v>
      </c>
      <c r="U1853" s="4">
        <v>0</v>
      </c>
      <c r="V1853" s="4">
        <v>27</v>
      </c>
      <c r="W1853" s="4">
        <v>85</v>
      </c>
    </row>
    <row r="1854" spans="1:23" ht="11.25" customHeight="1" x14ac:dyDescent="0.25">
      <c r="A1854" s="4" t="s">
        <v>21</v>
      </c>
      <c r="B1854" s="4" t="s">
        <v>44</v>
      </c>
      <c r="C1854" s="4" t="s">
        <v>23</v>
      </c>
      <c r="D1854" s="4" t="s">
        <v>45</v>
      </c>
      <c r="E1854" s="4" t="s">
        <v>56</v>
      </c>
      <c r="F1854" s="4" t="s">
        <v>55</v>
      </c>
      <c r="G1854" s="4" t="s">
        <v>25</v>
      </c>
      <c r="H1854" s="4" t="s">
        <v>25</v>
      </c>
      <c r="I1854" s="5">
        <v>44652</v>
      </c>
      <c r="J1854" s="6">
        <v>0</v>
      </c>
      <c r="K1854" s="6">
        <v>0</v>
      </c>
      <c r="L1854" s="6">
        <v>19.802</v>
      </c>
      <c r="M1854" s="6">
        <v>5.3465400000000001</v>
      </c>
      <c r="N1854" s="6">
        <v>19.802</v>
      </c>
      <c r="O1854" s="6">
        <v>5.3465400000000001</v>
      </c>
      <c r="P1854" s="6">
        <v>0</v>
      </c>
      <c r="Q1854" s="4" t="s">
        <v>26</v>
      </c>
      <c r="R1854" s="4">
        <v>0</v>
      </c>
      <c r="S1854" s="4" t="s">
        <v>512</v>
      </c>
      <c r="T1854" s="4" t="s">
        <v>769</v>
      </c>
      <c r="U1854" s="4">
        <v>0</v>
      </c>
      <c r="V1854" s="4">
        <v>27</v>
      </c>
      <c r="W1854" s="4">
        <v>85</v>
      </c>
    </row>
    <row r="1855" spans="1:23" ht="11.25" customHeight="1" x14ac:dyDescent="0.25">
      <c r="A1855" s="4" t="s">
        <v>21</v>
      </c>
      <c r="B1855" s="4" t="s">
        <v>44</v>
      </c>
      <c r="C1855" s="4" t="s">
        <v>23</v>
      </c>
      <c r="D1855" s="4" t="s">
        <v>45</v>
      </c>
      <c r="E1855" s="4" t="s">
        <v>56</v>
      </c>
      <c r="F1855" s="4" t="s">
        <v>55</v>
      </c>
      <c r="G1855" s="4" t="s">
        <v>25</v>
      </c>
      <c r="H1855" s="4" t="s">
        <v>25</v>
      </c>
      <c r="I1855" s="5">
        <v>44682</v>
      </c>
      <c r="J1855" s="6">
        <v>0</v>
      </c>
      <c r="K1855" s="6">
        <v>0</v>
      </c>
      <c r="L1855" s="6">
        <v>21.521999999999998</v>
      </c>
      <c r="M1855" s="6">
        <v>5.8109400000000004</v>
      </c>
      <c r="N1855" s="6">
        <v>21.521999999999998</v>
      </c>
      <c r="O1855" s="6">
        <v>5.8109400000000004</v>
      </c>
      <c r="P1855" s="6">
        <v>0</v>
      </c>
      <c r="Q1855" s="4" t="s">
        <v>26</v>
      </c>
      <c r="R1855" s="4">
        <v>0</v>
      </c>
      <c r="S1855" s="4" t="s">
        <v>513</v>
      </c>
      <c r="T1855" s="4" t="s">
        <v>770</v>
      </c>
      <c r="U1855" s="4">
        <v>0</v>
      </c>
      <c r="V1855" s="4">
        <v>27</v>
      </c>
      <c r="W1855" s="4">
        <v>85</v>
      </c>
    </row>
    <row r="1856" spans="1:23" ht="11.25" customHeight="1" x14ac:dyDescent="0.25">
      <c r="A1856" s="4" t="s">
        <v>21</v>
      </c>
      <c r="B1856" s="4" t="s">
        <v>44</v>
      </c>
      <c r="C1856" s="4" t="s">
        <v>23</v>
      </c>
      <c r="D1856" s="4" t="s">
        <v>45</v>
      </c>
      <c r="E1856" s="4" t="s">
        <v>56</v>
      </c>
      <c r="F1856" s="4" t="s">
        <v>55</v>
      </c>
      <c r="G1856" s="4" t="s">
        <v>25</v>
      </c>
      <c r="H1856" s="4" t="s">
        <v>25</v>
      </c>
      <c r="I1856" s="5">
        <v>44713</v>
      </c>
      <c r="J1856" s="6">
        <v>0</v>
      </c>
      <c r="K1856" s="6">
        <v>0</v>
      </c>
      <c r="L1856" s="6">
        <v>18.597000000000001</v>
      </c>
      <c r="M1856" s="6">
        <v>5.0211899999999998</v>
      </c>
      <c r="N1856" s="6">
        <v>18.597000000000001</v>
      </c>
      <c r="O1856" s="6">
        <v>5.0211899999999998</v>
      </c>
      <c r="P1856" s="6">
        <v>0</v>
      </c>
      <c r="Q1856" s="4" t="s">
        <v>26</v>
      </c>
      <c r="R1856" s="4">
        <v>0</v>
      </c>
      <c r="S1856" s="4" t="s">
        <v>514</v>
      </c>
      <c r="T1856" s="4" t="s">
        <v>771</v>
      </c>
      <c r="U1856" s="4">
        <v>0</v>
      </c>
      <c r="V1856" s="4">
        <v>27</v>
      </c>
      <c r="W1856" s="4">
        <v>85</v>
      </c>
    </row>
    <row r="1857" spans="1:23" ht="11.25" customHeight="1" x14ac:dyDescent="0.25">
      <c r="A1857" s="4" t="s">
        <v>57</v>
      </c>
      <c r="B1857" s="4" t="s">
        <v>44</v>
      </c>
      <c r="C1857" s="4" t="s">
        <v>23</v>
      </c>
      <c r="D1857" s="4" t="s">
        <v>45</v>
      </c>
      <c r="E1857" s="4" t="s">
        <v>56</v>
      </c>
      <c r="F1857" s="4" t="s">
        <v>55</v>
      </c>
      <c r="G1857" s="4" t="s">
        <v>25</v>
      </c>
      <c r="H1857" s="4" t="s">
        <v>25</v>
      </c>
      <c r="I1857" s="5">
        <v>44743</v>
      </c>
      <c r="J1857" s="6">
        <v>0</v>
      </c>
      <c r="K1857" s="6">
        <v>0</v>
      </c>
      <c r="L1857" s="6">
        <v>18.597000000000001</v>
      </c>
      <c r="M1857" s="6">
        <v>5.0211899999999998</v>
      </c>
      <c r="N1857" s="6">
        <v>18.597000000000001</v>
      </c>
      <c r="O1857" s="6">
        <v>5.0211899999999998</v>
      </c>
      <c r="P1857" s="6">
        <v>0</v>
      </c>
      <c r="Q1857" s="4" t="s">
        <v>26</v>
      </c>
      <c r="R1857" s="4">
        <v>0</v>
      </c>
      <c r="S1857" s="4" t="s">
        <v>515</v>
      </c>
      <c r="T1857" s="4" t="s">
        <v>772</v>
      </c>
      <c r="U1857" s="4">
        <v>0</v>
      </c>
      <c r="V1857" s="4">
        <v>27</v>
      </c>
      <c r="W1857" s="4">
        <v>85</v>
      </c>
    </row>
    <row r="1858" spans="1:23" ht="11.25" customHeight="1" x14ac:dyDescent="0.25">
      <c r="A1858" s="4" t="s">
        <v>21</v>
      </c>
      <c r="B1858" s="4" t="s">
        <v>44</v>
      </c>
      <c r="C1858" s="4" t="s">
        <v>23</v>
      </c>
      <c r="D1858" s="4" t="s">
        <v>45</v>
      </c>
      <c r="E1858" s="4" t="s">
        <v>25</v>
      </c>
      <c r="F1858" s="4" t="s">
        <v>25</v>
      </c>
      <c r="G1858" s="4" t="s">
        <v>25</v>
      </c>
      <c r="H1858" s="4" t="s">
        <v>25</v>
      </c>
      <c r="I1858" s="5">
        <v>44409</v>
      </c>
      <c r="J1858" s="6">
        <v>0</v>
      </c>
      <c r="K1858" s="6">
        <v>0</v>
      </c>
      <c r="L1858" s="6">
        <v>15716.521000000001</v>
      </c>
      <c r="M1858" s="6">
        <v>15716.521000000001</v>
      </c>
      <c r="N1858" s="6">
        <v>15716.521000000001</v>
      </c>
      <c r="O1858" s="6">
        <v>15716.521000000001</v>
      </c>
      <c r="P1858" s="6">
        <v>125140</v>
      </c>
      <c r="Q1858" s="4" t="s">
        <v>26</v>
      </c>
      <c r="R1858" s="4">
        <v>0</v>
      </c>
      <c r="S1858" s="4" t="s">
        <v>504</v>
      </c>
      <c r="T1858" s="4" t="s">
        <v>761</v>
      </c>
      <c r="U1858" s="4">
        <v>0</v>
      </c>
      <c r="V1858" s="4">
        <v>27</v>
      </c>
      <c r="W1858" s="4">
        <v>85</v>
      </c>
    </row>
    <row r="1859" spans="1:23" ht="11.25" customHeight="1" x14ac:dyDescent="0.25">
      <c r="A1859" s="4" t="s">
        <v>27</v>
      </c>
      <c r="B1859" s="4" t="s">
        <v>44</v>
      </c>
      <c r="C1859" s="4" t="s">
        <v>23</v>
      </c>
      <c r="D1859" s="4" t="s">
        <v>45</v>
      </c>
      <c r="E1859" s="4" t="s">
        <v>25</v>
      </c>
      <c r="F1859" s="4" t="s">
        <v>25</v>
      </c>
      <c r="G1859" s="4" t="s">
        <v>25</v>
      </c>
      <c r="H1859" s="4" t="s">
        <v>25</v>
      </c>
      <c r="I1859" s="5">
        <v>44409</v>
      </c>
      <c r="J1859" s="6">
        <v>0</v>
      </c>
      <c r="K1859" s="6">
        <v>0</v>
      </c>
      <c r="L1859" s="6">
        <v>-23.651</v>
      </c>
      <c r="M1859" s="6">
        <v>-23.651</v>
      </c>
      <c r="N1859" s="6">
        <v>-23.651</v>
      </c>
      <c r="O1859" s="6">
        <v>-23.651</v>
      </c>
      <c r="P1859" s="6">
        <v>-158</v>
      </c>
      <c r="Q1859" s="4" t="s">
        <v>26</v>
      </c>
      <c r="R1859" s="4">
        <v>0</v>
      </c>
      <c r="S1859" s="4" t="s">
        <v>504</v>
      </c>
      <c r="T1859" s="4" t="s">
        <v>761</v>
      </c>
      <c r="U1859" s="4">
        <v>0</v>
      </c>
      <c r="V1859" s="4">
        <v>27</v>
      </c>
      <c r="W1859" s="4">
        <v>85</v>
      </c>
    </row>
    <row r="1860" spans="1:23" ht="11.25" customHeight="1" x14ac:dyDescent="0.25">
      <c r="A1860" s="4" t="s">
        <v>28</v>
      </c>
      <c r="B1860" s="4" t="s">
        <v>44</v>
      </c>
      <c r="C1860" s="4" t="s">
        <v>23</v>
      </c>
      <c r="D1860" s="4" t="s">
        <v>45</v>
      </c>
      <c r="E1860" s="4" t="s">
        <v>25</v>
      </c>
      <c r="F1860" s="4" t="s">
        <v>25</v>
      </c>
      <c r="G1860" s="4" t="s">
        <v>25</v>
      </c>
      <c r="H1860" s="4" t="s">
        <v>25</v>
      </c>
      <c r="I1860" s="5">
        <v>44409</v>
      </c>
      <c r="J1860" s="6">
        <v>0</v>
      </c>
      <c r="K1860" s="6">
        <v>0</v>
      </c>
      <c r="L1860" s="6">
        <v>240.501</v>
      </c>
      <c r="M1860" s="6">
        <v>240.501</v>
      </c>
      <c r="N1860" s="6">
        <v>240.501</v>
      </c>
      <c r="O1860" s="6">
        <v>240.501</v>
      </c>
      <c r="P1860" s="6">
        <v>816</v>
      </c>
      <c r="Q1860" s="4" t="s">
        <v>26</v>
      </c>
      <c r="R1860" s="4">
        <v>0</v>
      </c>
      <c r="S1860" s="4" t="s">
        <v>504</v>
      </c>
      <c r="T1860" s="4" t="s">
        <v>761</v>
      </c>
      <c r="U1860" s="4">
        <v>0</v>
      </c>
      <c r="V1860" s="4">
        <v>27</v>
      </c>
      <c r="W1860" s="4">
        <v>85</v>
      </c>
    </row>
    <row r="1861" spans="1:23" ht="11.25" customHeight="1" x14ac:dyDescent="0.25">
      <c r="A1861" s="4" t="s">
        <v>21</v>
      </c>
      <c r="B1861" s="4" t="s">
        <v>44</v>
      </c>
      <c r="C1861" s="4" t="s">
        <v>23</v>
      </c>
      <c r="D1861" s="4" t="s">
        <v>45</v>
      </c>
      <c r="E1861" s="4" t="s">
        <v>25</v>
      </c>
      <c r="F1861" s="4" t="s">
        <v>25</v>
      </c>
      <c r="G1861" s="4" t="s">
        <v>25</v>
      </c>
      <c r="H1861" s="4" t="s">
        <v>25</v>
      </c>
      <c r="I1861" s="5">
        <v>44440</v>
      </c>
      <c r="J1861" s="6">
        <v>0</v>
      </c>
      <c r="K1861" s="6">
        <v>0</v>
      </c>
      <c r="L1861" s="6">
        <v>15689.016</v>
      </c>
      <c r="M1861" s="6">
        <v>15689.016</v>
      </c>
      <c r="N1861" s="6">
        <v>15689.016</v>
      </c>
      <c r="O1861" s="6">
        <v>15689.016</v>
      </c>
      <c r="P1861" s="6">
        <v>124857</v>
      </c>
      <c r="Q1861" s="4" t="s">
        <v>26</v>
      </c>
      <c r="R1861" s="4">
        <v>0</v>
      </c>
      <c r="S1861" s="4" t="s">
        <v>505</v>
      </c>
      <c r="T1861" s="4" t="s">
        <v>762</v>
      </c>
      <c r="U1861" s="4">
        <v>0</v>
      </c>
      <c r="V1861" s="4">
        <v>27</v>
      </c>
      <c r="W1861" s="4">
        <v>85</v>
      </c>
    </row>
    <row r="1862" spans="1:23" ht="11.25" customHeight="1" x14ac:dyDescent="0.25">
      <c r="A1862" s="4" t="s">
        <v>27</v>
      </c>
      <c r="B1862" s="4" t="s">
        <v>44</v>
      </c>
      <c r="C1862" s="4" t="s">
        <v>23</v>
      </c>
      <c r="D1862" s="4" t="s">
        <v>45</v>
      </c>
      <c r="E1862" s="4" t="s">
        <v>25</v>
      </c>
      <c r="F1862" s="4" t="s">
        <v>25</v>
      </c>
      <c r="G1862" s="4" t="s">
        <v>25</v>
      </c>
      <c r="H1862" s="4" t="s">
        <v>25</v>
      </c>
      <c r="I1862" s="5">
        <v>44440</v>
      </c>
      <c r="J1862" s="6">
        <v>0</v>
      </c>
      <c r="K1862" s="6">
        <v>0</v>
      </c>
      <c r="L1862" s="6">
        <v>-2.9239999999999999</v>
      </c>
      <c r="M1862" s="6">
        <v>-2.9239999999999999</v>
      </c>
      <c r="N1862" s="6">
        <v>-2.9239999999999999</v>
      </c>
      <c r="O1862" s="6">
        <v>-2.9239999999999999</v>
      </c>
      <c r="P1862" s="6">
        <v>-6</v>
      </c>
      <c r="Q1862" s="4" t="s">
        <v>26</v>
      </c>
      <c r="R1862" s="4">
        <v>0</v>
      </c>
      <c r="S1862" s="4" t="s">
        <v>505</v>
      </c>
      <c r="T1862" s="4" t="s">
        <v>762</v>
      </c>
      <c r="U1862" s="4">
        <v>0</v>
      </c>
      <c r="V1862" s="4">
        <v>27</v>
      </c>
      <c r="W1862" s="4">
        <v>85</v>
      </c>
    </row>
    <row r="1863" spans="1:23" ht="11.25" customHeight="1" x14ac:dyDescent="0.25">
      <c r="A1863" s="4" t="s">
        <v>28</v>
      </c>
      <c r="B1863" s="4" t="s">
        <v>44</v>
      </c>
      <c r="C1863" s="4" t="s">
        <v>23</v>
      </c>
      <c r="D1863" s="4" t="s">
        <v>45</v>
      </c>
      <c r="E1863" s="4" t="s">
        <v>25</v>
      </c>
      <c r="F1863" s="4" t="s">
        <v>25</v>
      </c>
      <c r="G1863" s="4" t="s">
        <v>25</v>
      </c>
      <c r="H1863" s="4" t="s">
        <v>25</v>
      </c>
      <c r="I1863" s="5">
        <v>44440</v>
      </c>
      <c r="J1863" s="6">
        <v>0</v>
      </c>
      <c r="K1863" s="6">
        <v>0</v>
      </c>
      <c r="L1863" s="6">
        <v>307.24799999999999</v>
      </c>
      <c r="M1863" s="6">
        <v>307.24799999999999</v>
      </c>
      <c r="N1863" s="6">
        <v>307.24799999999999</v>
      </c>
      <c r="O1863" s="6">
        <v>307.24799999999999</v>
      </c>
      <c r="P1863" s="6">
        <v>861</v>
      </c>
      <c r="Q1863" s="4" t="s">
        <v>26</v>
      </c>
      <c r="R1863" s="4">
        <v>0</v>
      </c>
      <c r="S1863" s="4" t="s">
        <v>505</v>
      </c>
      <c r="T1863" s="4" t="s">
        <v>762</v>
      </c>
      <c r="U1863" s="4">
        <v>0</v>
      </c>
      <c r="V1863" s="4">
        <v>27</v>
      </c>
      <c r="W1863" s="4">
        <v>85</v>
      </c>
    </row>
    <row r="1864" spans="1:23" ht="11.25" customHeight="1" x14ac:dyDescent="0.25">
      <c r="A1864" s="4" t="s">
        <v>28</v>
      </c>
      <c r="B1864" s="4" t="s">
        <v>44</v>
      </c>
      <c r="C1864" s="4" t="s">
        <v>23</v>
      </c>
      <c r="D1864" s="4" t="s">
        <v>45</v>
      </c>
      <c r="E1864" s="4" t="s">
        <v>25</v>
      </c>
      <c r="F1864" s="4" t="s">
        <v>25</v>
      </c>
      <c r="G1864" s="4" t="s">
        <v>25</v>
      </c>
      <c r="H1864" s="4" t="s">
        <v>25</v>
      </c>
      <c r="I1864" s="5">
        <v>44440</v>
      </c>
      <c r="J1864" s="6">
        <v>0</v>
      </c>
      <c r="K1864" s="6">
        <v>0</v>
      </c>
      <c r="L1864" s="6">
        <v>-0.32400000000000001</v>
      </c>
      <c r="M1864" s="6">
        <v>-0.32400000000000001</v>
      </c>
      <c r="N1864" s="6">
        <v>-0.32400000000000001</v>
      </c>
      <c r="O1864" s="6">
        <v>-0.32400000000000001</v>
      </c>
      <c r="P1864" s="6">
        <v>0</v>
      </c>
      <c r="Q1864" s="4" t="s">
        <v>26</v>
      </c>
      <c r="R1864" s="4">
        <v>0</v>
      </c>
      <c r="S1864" s="4" t="s">
        <v>505</v>
      </c>
      <c r="T1864" s="4" t="s">
        <v>762</v>
      </c>
      <c r="U1864" s="4">
        <v>0</v>
      </c>
      <c r="V1864" s="4">
        <v>27</v>
      </c>
      <c r="W1864" s="4">
        <v>85</v>
      </c>
    </row>
    <row r="1865" spans="1:23" ht="11.25" customHeight="1" x14ac:dyDescent="0.25">
      <c r="A1865" s="4" t="s">
        <v>21</v>
      </c>
      <c r="B1865" s="4" t="s">
        <v>44</v>
      </c>
      <c r="C1865" s="4" t="s">
        <v>23</v>
      </c>
      <c r="D1865" s="4" t="s">
        <v>45</v>
      </c>
      <c r="E1865" s="4" t="s">
        <v>25</v>
      </c>
      <c r="F1865" s="4" t="s">
        <v>25</v>
      </c>
      <c r="G1865" s="4" t="s">
        <v>25</v>
      </c>
      <c r="H1865" s="4" t="s">
        <v>25</v>
      </c>
      <c r="I1865" s="5">
        <v>44470</v>
      </c>
      <c r="J1865" s="6">
        <v>0</v>
      </c>
      <c r="K1865" s="6">
        <v>0</v>
      </c>
      <c r="L1865" s="6">
        <v>16650.550999999999</v>
      </c>
      <c r="M1865" s="6">
        <v>16650.550999999999</v>
      </c>
      <c r="N1865" s="6">
        <v>16650.550999999999</v>
      </c>
      <c r="O1865" s="6">
        <v>16650.550999999999</v>
      </c>
      <c r="P1865" s="6">
        <v>124363</v>
      </c>
      <c r="Q1865" s="4" t="s">
        <v>26</v>
      </c>
      <c r="R1865" s="4">
        <v>0</v>
      </c>
      <c r="S1865" s="4" t="s">
        <v>506</v>
      </c>
      <c r="T1865" s="4" t="s">
        <v>763</v>
      </c>
      <c r="U1865" s="4">
        <v>0</v>
      </c>
      <c r="V1865" s="4">
        <v>27</v>
      </c>
      <c r="W1865" s="4">
        <v>85</v>
      </c>
    </row>
    <row r="1866" spans="1:23" ht="11.25" customHeight="1" x14ac:dyDescent="0.25">
      <c r="A1866" s="4" t="s">
        <v>27</v>
      </c>
      <c r="B1866" s="4" t="s">
        <v>44</v>
      </c>
      <c r="C1866" s="4" t="s">
        <v>23</v>
      </c>
      <c r="D1866" s="4" t="s">
        <v>45</v>
      </c>
      <c r="E1866" s="4" t="s">
        <v>25</v>
      </c>
      <c r="F1866" s="4" t="s">
        <v>25</v>
      </c>
      <c r="G1866" s="4" t="s">
        <v>25</v>
      </c>
      <c r="H1866" s="4" t="s">
        <v>25</v>
      </c>
      <c r="I1866" s="5">
        <v>44470</v>
      </c>
      <c r="J1866" s="6">
        <v>0</v>
      </c>
      <c r="K1866" s="6">
        <v>0</v>
      </c>
      <c r="L1866" s="6">
        <v>-62.281999999999996</v>
      </c>
      <c r="M1866" s="6">
        <v>-62.281999999999996</v>
      </c>
      <c r="N1866" s="6">
        <v>-62.281999999999996</v>
      </c>
      <c r="O1866" s="6">
        <v>-62.281999999999996</v>
      </c>
      <c r="P1866" s="6">
        <v>-9</v>
      </c>
      <c r="Q1866" s="4" t="s">
        <v>26</v>
      </c>
      <c r="R1866" s="4">
        <v>0</v>
      </c>
      <c r="S1866" s="4" t="s">
        <v>506</v>
      </c>
      <c r="T1866" s="4" t="s">
        <v>763</v>
      </c>
      <c r="U1866" s="4">
        <v>0</v>
      </c>
      <c r="V1866" s="4">
        <v>27</v>
      </c>
      <c r="W1866" s="4">
        <v>85</v>
      </c>
    </row>
    <row r="1867" spans="1:23" ht="11.25" customHeight="1" x14ac:dyDescent="0.25">
      <c r="A1867" s="4" t="s">
        <v>28</v>
      </c>
      <c r="B1867" s="4" t="s">
        <v>44</v>
      </c>
      <c r="C1867" s="4" t="s">
        <v>23</v>
      </c>
      <c r="D1867" s="4" t="s">
        <v>45</v>
      </c>
      <c r="E1867" s="4" t="s">
        <v>25</v>
      </c>
      <c r="F1867" s="4" t="s">
        <v>25</v>
      </c>
      <c r="G1867" s="4" t="s">
        <v>25</v>
      </c>
      <c r="H1867" s="4" t="s">
        <v>25</v>
      </c>
      <c r="I1867" s="5">
        <v>44470</v>
      </c>
      <c r="J1867" s="6">
        <v>0</v>
      </c>
      <c r="K1867" s="6">
        <v>0</v>
      </c>
      <c r="L1867" s="6">
        <v>309.358</v>
      </c>
      <c r="M1867" s="6">
        <v>309.358</v>
      </c>
      <c r="N1867" s="6">
        <v>309.358</v>
      </c>
      <c r="O1867" s="6">
        <v>309.358</v>
      </c>
      <c r="P1867" s="6">
        <v>928</v>
      </c>
      <c r="Q1867" s="4" t="s">
        <v>26</v>
      </c>
      <c r="R1867" s="4">
        <v>0</v>
      </c>
      <c r="S1867" s="4" t="s">
        <v>506</v>
      </c>
      <c r="T1867" s="4" t="s">
        <v>763</v>
      </c>
      <c r="U1867" s="4">
        <v>0</v>
      </c>
      <c r="V1867" s="4">
        <v>27</v>
      </c>
      <c r="W1867" s="4">
        <v>85</v>
      </c>
    </row>
    <row r="1868" spans="1:23" ht="11.25" customHeight="1" x14ac:dyDescent="0.25">
      <c r="A1868" s="4" t="s">
        <v>28</v>
      </c>
      <c r="B1868" s="4" t="s">
        <v>44</v>
      </c>
      <c r="C1868" s="4" t="s">
        <v>23</v>
      </c>
      <c r="D1868" s="4" t="s">
        <v>45</v>
      </c>
      <c r="E1868" s="4" t="s">
        <v>25</v>
      </c>
      <c r="F1868" s="4" t="s">
        <v>25</v>
      </c>
      <c r="G1868" s="4" t="s">
        <v>25</v>
      </c>
      <c r="H1868" s="4" t="s">
        <v>25</v>
      </c>
      <c r="I1868" s="5">
        <v>44470</v>
      </c>
      <c r="J1868" s="6">
        <v>0</v>
      </c>
      <c r="K1868" s="6">
        <v>0</v>
      </c>
      <c r="L1868" s="6">
        <v>11.587999999999999</v>
      </c>
      <c r="M1868" s="6">
        <v>11.587999999999999</v>
      </c>
      <c r="N1868" s="6">
        <v>11.587999999999999</v>
      </c>
      <c r="O1868" s="6">
        <v>11.587999999999999</v>
      </c>
      <c r="P1868" s="6">
        <v>0</v>
      </c>
      <c r="Q1868" s="4" t="s">
        <v>26</v>
      </c>
      <c r="R1868" s="4">
        <v>0</v>
      </c>
      <c r="S1868" s="4" t="s">
        <v>506</v>
      </c>
      <c r="T1868" s="4" t="s">
        <v>763</v>
      </c>
      <c r="U1868" s="4">
        <v>0</v>
      </c>
      <c r="V1868" s="4">
        <v>27</v>
      </c>
      <c r="W1868" s="4">
        <v>85</v>
      </c>
    </row>
    <row r="1869" spans="1:23" ht="11.25" customHeight="1" x14ac:dyDescent="0.25">
      <c r="A1869" s="4" t="s">
        <v>21</v>
      </c>
      <c r="B1869" s="4" t="s">
        <v>44</v>
      </c>
      <c r="C1869" s="4" t="s">
        <v>23</v>
      </c>
      <c r="D1869" s="4" t="s">
        <v>45</v>
      </c>
      <c r="E1869" s="4" t="s">
        <v>25</v>
      </c>
      <c r="F1869" s="4" t="s">
        <v>25</v>
      </c>
      <c r="G1869" s="4" t="s">
        <v>25</v>
      </c>
      <c r="H1869" s="4" t="s">
        <v>25</v>
      </c>
      <c r="I1869" s="5">
        <v>44501</v>
      </c>
      <c r="J1869" s="6">
        <v>0</v>
      </c>
      <c r="K1869" s="6">
        <v>0</v>
      </c>
      <c r="L1869" s="6">
        <v>16466.123</v>
      </c>
      <c r="M1869" s="6">
        <v>16466.123</v>
      </c>
      <c r="N1869" s="6">
        <v>16466.123</v>
      </c>
      <c r="O1869" s="6">
        <v>16466.123</v>
      </c>
      <c r="P1869" s="6">
        <v>123663</v>
      </c>
      <c r="Q1869" s="4" t="s">
        <v>26</v>
      </c>
      <c r="R1869" s="4">
        <v>0</v>
      </c>
      <c r="S1869" s="4" t="s">
        <v>507</v>
      </c>
      <c r="T1869" s="4" t="s">
        <v>764</v>
      </c>
      <c r="U1869" s="4">
        <v>0</v>
      </c>
      <c r="V1869" s="4">
        <v>27</v>
      </c>
      <c r="W1869" s="4">
        <v>85</v>
      </c>
    </row>
    <row r="1870" spans="1:23" ht="11.25" customHeight="1" x14ac:dyDescent="0.25">
      <c r="A1870" s="4" t="s">
        <v>27</v>
      </c>
      <c r="B1870" s="4" t="s">
        <v>44</v>
      </c>
      <c r="C1870" s="4" t="s">
        <v>23</v>
      </c>
      <c r="D1870" s="4" t="s">
        <v>45</v>
      </c>
      <c r="E1870" s="4" t="s">
        <v>25</v>
      </c>
      <c r="F1870" s="4" t="s">
        <v>25</v>
      </c>
      <c r="G1870" s="4" t="s">
        <v>25</v>
      </c>
      <c r="H1870" s="4" t="s">
        <v>25</v>
      </c>
      <c r="I1870" s="5">
        <v>44501</v>
      </c>
      <c r="J1870" s="6">
        <v>0</v>
      </c>
      <c r="K1870" s="6">
        <v>0</v>
      </c>
      <c r="L1870" s="6">
        <v>-38.383000000000003</v>
      </c>
      <c r="M1870" s="6">
        <v>-38.383000000000003</v>
      </c>
      <c r="N1870" s="6">
        <v>-38.383000000000003</v>
      </c>
      <c r="O1870" s="6">
        <v>-38.383000000000003</v>
      </c>
      <c r="P1870" s="6">
        <v>-51</v>
      </c>
      <c r="Q1870" s="4" t="s">
        <v>26</v>
      </c>
      <c r="R1870" s="4">
        <v>0</v>
      </c>
      <c r="S1870" s="4" t="s">
        <v>507</v>
      </c>
      <c r="T1870" s="4" t="s">
        <v>764</v>
      </c>
      <c r="U1870" s="4">
        <v>0</v>
      </c>
      <c r="V1870" s="4">
        <v>27</v>
      </c>
      <c r="W1870" s="4">
        <v>85</v>
      </c>
    </row>
    <row r="1871" spans="1:23" ht="11.25" customHeight="1" x14ac:dyDescent="0.25">
      <c r="A1871" s="4" t="s">
        <v>28</v>
      </c>
      <c r="B1871" s="4" t="s">
        <v>44</v>
      </c>
      <c r="C1871" s="4" t="s">
        <v>23</v>
      </c>
      <c r="D1871" s="4" t="s">
        <v>45</v>
      </c>
      <c r="E1871" s="4" t="s">
        <v>25</v>
      </c>
      <c r="F1871" s="4" t="s">
        <v>25</v>
      </c>
      <c r="G1871" s="4" t="s">
        <v>25</v>
      </c>
      <c r="H1871" s="4" t="s">
        <v>25</v>
      </c>
      <c r="I1871" s="5">
        <v>44501</v>
      </c>
      <c r="J1871" s="6">
        <v>0</v>
      </c>
      <c r="K1871" s="6">
        <v>0</v>
      </c>
      <c r="L1871" s="6">
        <v>421.00200000000001</v>
      </c>
      <c r="M1871" s="6">
        <v>421.00200000000001</v>
      </c>
      <c r="N1871" s="6">
        <v>421.00200000000001</v>
      </c>
      <c r="O1871" s="6">
        <v>421.00200000000001</v>
      </c>
      <c r="P1871" s="6">
        <v>980</v>
      </c>
      <c r="Q1871" s="4" t="s">
        <v>26</v>
      </c>
      <c r="R1871" s="4">
        <v>0</v>
      </c>
      <c r="S1871" s="4" t="s">
        <v>507</v>
      </c>
      <c r="T1871" s="4" t="s">
        <v>764</v>
      </c>
      <c r="U1871" s="4">
        <v>0</v>
      </c>
      <c r="V1871" s="4">
        <v>27</v>
      </c>
      <c r="W1871" s="4">
        <v>85</v>
      </c>
    </row>
    <row r="1872" spans="1:23" ht="11.25" customHeight="1" x14ac:dyDescent="0.25">
      <c r="A1872" s="4" t="s">
        <v>28</v>
      </c>
      <c r="B1872" s="4" t="s">
        <v>44</v>
      </c>
      <c r="C1872" s="4" t="s">
        <v>23</v>
      </c>
      <c r="D1872" s="4" t="s">
        <v>45</v>
      </c>
      <c r="E1872" s="4" t="s">
        <v>25</v>
      </c>
      <c r="F1872" s="4" t="s">
        <v>25</v>
      </c>
      <c r="G1872" s="4" t="s">
        <v>25</v>
      </c>
      <c r="H1872" s="4" t="s">
        <v>25</v>
      </c>
      <c r="I1872" s="5">
        <v>44501</v>
      </c>
      <c r="J1872" s="6">
        <v>0</v>
      </c>
      <c r="K1872" s="6">
        <v>0</v>
      </c>
      <c r="L1872" s="6">
        <v>-2.2869999999999999</v>
      </c>
      <c r="M1872" s="6">
        <v>-2.2869999999999999</v>
      </c>
      <c r="N1872" s="6">
        <v>-2.2869999999999999</v>
      </c>
      <c r="O1872" s="6">
        <v>-2.2869999999999999</v>
      </c>
      <c r="P1872" s="6">
        <v>0</v>
      </c>
      <c r="Q1872" s="4" t="s">
        <v>26</v>
      </c>
      <c r="R1872" s="4">
        <v>0</v>
      </c>
      <c r="S1872" s="4" t="s">
        <v>507</v>
      </c>
      <c r="T1872" s="4" t="s">
        <v>764</v>
      </c>
      <c r="U1872" s="4">
        <v>0</v>
      </c>
      <c r="V1872" s="4">
        <v>27</v>
      </c>
      <c r="W1872" s="4">
        <v>85</v>
      </c>
    </row>
    <row r="1873" spans="1:23" ht="11.25" customHeight="1" x14ac:dyDescent="0.25">
      <c r="A1873" s="4" t="s">
        <v>21</v>
      </c>
      <c r="B1873" s="4" t="s">
        <v>44</v>
      </c>
      <c r="C1873" s="4" t="s">
        <v>23</v>
      </c>
      <c r="D1873" s="4" t="s">
        <v>45</v>
      </c>
      <c r="E1873" s="4" t="s">
        <v>25</v>
      </c>
      <c r="F1873" s="4" t="s">
        <v>25</v>
      </c>
      <c r="G1873" s="4" t="s">
        <v>25</v>
      </c>
      <c r="H1873" s="4" t="s">
        <v>25</v>
      </c>
      <c r="I1873" s="5">
        <v>44531</v>
      </c>
      <c r="J1873" s="6">
        <v>0</v>
      </c>
      <c r="K1873" s="6">
        <v>0</v>
      </c>
      <c r="L1873" s="6">
        <v>17848.134999999998</v>
      </c>
      <c r="M1873" s="6">
        <v>17848.134999999998</v>
      </c>
      <c r="N1873" s="6">
        <v>17848.134999999998</v>
      </c>
      <c r="O1873" s="6">
        <v>17848.134999999998</v>
      </c>
      <c r="P1873" s="6">
        <v>123329</v>
      </c>
      <c r="Q1873" s="4" t="s">
        <v>26</v>
      </c>
      <c r="R1873" s="4">
        <v>0</v>
      </c>
      <c r="S1873" s="4" t="s">
        <v>508</v>
      </c>
      <c r="T1873" s="4" t="s">
        <v>765</v>
      </c>
      <c r="U1873" s="4">
        <v>0</v>
      </c>
      <c r="V1873" s="4">
        <v>27</v>
      </c>
      <c r="W1873" s="4">
        <v>85</v>
      </c>
    </row>
    <row r="1874" spans="1:23" ht="11.25" customHeight="1" x14ac:dyDescent="0.25">
      <c r="A1874" s="4" t="s">
        <v>27</v>
      </c>
      <c r="B1874" s="4" t="s">
        <v>44</v>
      </c>
      <c r="C1874" s="4" t="s">
        <v>23</v>
      </c>
      <c r="D1874" s="4" t="s">
        <v>45</v>
      </c>
      <c r="E1874" s="4" t="s">
        <v>25</v>
      </c>
      <c r="F1874" s="4" t="s">
        <v>25</v>
      </c>
      <c r="G1874" s="4" t="s">
        <v>25</v>
      </c>
      <c r="H1874" s="4" t="s">
        <v>25</v>
      </c>
      <c r="I1874" s="5">
        <v>44531</v>
      </c>
      <c r="J1874" s="6">
        <v>0</v>
      </c>
      <c r="K1874" s="6">
        <v>0</v>
      </c>
      <c r="L1874" s="6">
        <v>-129.00700000000001</v>
      </c>
      <c r="M1874" s="6">
        <v>-129.00700000000001</v>
      </c>
      <c r="N1874" s="6">
        <v>-129.00700000000001</v>
      </c>
      <c r="O1874" s="6">
        <v>-129.00700000000001</v>
      </c>
      <c r="P1874" s="6">
        <v>-8</v>
      </c>
      <c r="Q1874" s="4" t="s">
        <v>26</v>
      </c>
      <c r="R1874" s="4">
        <v>0</v>
      </c>
      <c r="S1874" s="4" t="s">
        <v>508</v>
      </c>
      <c r="T1874" s="4" t="s">
        <v>765</v>
      </c>
      <c r="U1874" s="4">
        <v>0</v>
      </c>
      <c r="V1874" s="4">
        <v>27</v>
      </c>
      <c r="W1874" s="4">
        <v>85</v>
      </c>
    </row>
    <row r="1875" spans="1:23" ht="11.25" customHeight="1" x14ac:dyDescent="0.25">
      <c r="A1875" s="4" t="s">
        <v>28</v>
      </c>
      <c r="B1875" s="4" t="s">
        <v>44</v>
      </c>
      <c r="C1875" s="4" t="s">
        <v>23</v>
      </c>
      <c r="D1875" s="4" t="s">
        <v>45</v>
      </c>
      <c r="E1875" s="4" t="s">
        <v>25</v>
      </c>
      <c r="F1875" s="4" t="s">
        <v>25</v>
      </c>
      <c r="G1875" s="4" t="s">
        <v>25</v>
      </c>
      <c r="H1875" s="4" t="s">
        <v>25</v>
      </c>
      <c r="I1875" s="5">
        <v>44531</v>
      </c>
      <c r="J1875" s="6">
        <v>0</v>
      </c>
      <c r="K1875" s="6">
        <v>0</v>
      </c>
      <c r="L1875" s="6">
        <v>300.54500000000002</v>
      </c>
      <c r="M1875" s="6">
        <v>300.54500000000002</v>
      </c>
      <c r="N1875" s="6">
        <v>300.54500000000002</v>
      </c>
      <c r="O1875" s="6">
        <v>300.54500000000002</v>
      </c>
      <c r="P1875" s="6">
        <v>1031</v>
      </c>
      <c r="Q1875" s="4" t="s">
        <v>26</v>
      </c>
      <c r="R1875" s="4">
        <v>0</v>
      </c>
      <c r="S1875" s="4" t="s">
        <v>508</v>
      </c>
      <c r="T1875" s="4" t="s">
        <v>765</v>
      </c>
      <c r="U1875" s="4">
        <v>0</v>
      </c>
      <c r="V1875" s="4">
        <v>27</v>
      </c>
      <c r="W1875" s="4">
        <v>85</v>
      </c>
    </row>
    <row r="1876" spans="1:23" ht="11.25" customHeight="1" x14ac:dyDescent="0.25">
      <c r="A1876" s="4" t="s">
        <v>28</v>
      </c>
      <c r="B1876" s="4" t="s">
        <v>44</v>
      </c>
      <c r="C1876" s="4" t="s">
        <v>23</v>
      </c>
      <c r="D1876" s="4" t="s">
        <v>45</v>
      </c>
      <c r="E1876" s="4" t="s">
        <v>25</v>
      </c>
      <c r="F1876" s="4" t="s">
        <v>25</v>
      </c>
      <c r="G1876" s="4" t="s">
        <v>25</v>
      </c>
      <c r="H1876" s="4" t="s">
        <v>25</v>
      </c>
      <c r="I1876" s="5">
        <v>44531</v>
      </c>
      <c r="J1876" s="6">
        <v>0</v>
      </c>
      <c r="K1876" s="6">
        <v>0</v>
      </c>
      <c r="L1876" s="6">
        <v>-1.2589999999999999</v>
      </c>
      <c r="M1876" s="6">
        <v>-1.2589999999999999</v>
      </c>
      <c r="N1876" s="6">
        <v>-1.2589999999999999</v>
      </c>
      <c r="O1876" s="6">
        <v>-1.2589999999999999</v>
      </c>
      <c r="P1876" s="6">
        <v>-1</v>
      </c>
      <c r="Q1876" s="4" t="s">
        <v>26</v>
      </c>
      <c r="R1876" s="4">
        <v>0</v>
      </c>
      <c r="S1876" s="4" t="s">
        <v>508</v>
      </c>
      <c r="T1876" s="4" t="s">
        <v>765</v>
      </c>
      <c r="U1876" s="4">
        <v>0</v>
      </c>
      <c r="V1876" s="4">
        <v>27</v>
      </c>
      <c r="W1876" s="4">
        <v>85</v>
      </c>
    </row>
    <row r="1877" spans="1:23" ht="11.25" customHeight="1" x14ac:dyDescent="0.25">
      <c r="A1877" s="4" t="s">
        <v>21</v>
      </c>
      <c r="B1877" s="4" t="s">
        <v>44</v>
      </c>
      <c r="C1877" s="4" t="s">
        <v>23</v>
      </c>
      <c r="D1877" s="4" t="s">
        <v>45</v>
      </c>
      <c r="E1877" s="4" t="s">
        <v>25</v>
      </c>
      <c r="F1877" s="4" t="s">
        <v>25</v>
      </c>
      <c r="G1877" s="4" t="s">
        <v>25</v>
      </c>
      <c r="H1877" s="4" t="s">
        <v>25</v>
      </c>
      <c r="I1877" s="5">
        <v>44562</v>
      </c>
      <c r="J1877" s="6">
        <v>0</v>
      </c>
      <c r="K1877" s="6">
        <v>0</v>
      </c>
      <c r="L1877" s="6">
        <v>15475.6</v>
      </c>
      <c r="M1877" s="6">
        <v>15475.6</v>
      </c>
      <c r="N1877" s="6">
        <v>15475.6</v>
      </c>
      <c r="O1877" s="6">
        <v>15475.6</v>
      </c>
      <c r="P1877" s="6">
        <v>122861</v>
      </c>
      <c r="Q1877" s="4" t="s">
        <v>26</v>
      </c>
      <c r="R1877" s="4">
        <v>0</v>
      </c>
      <c r="S1877" s="4" t="s">
        <v>509</v>
      </c>
      <c r="T1877" s="4" t="s">
        <v>766</v>
      </c>
      <c r="U1877" s="4">
        <v>0</v>
      </c>
      <c r="V1877" s="4">
        <v>27</v>
      </c>
      <c r="W1877" s="4">
        <v>85</v>
      </c>
    </row>
    <row r="1878" spans="1:23" ht="11.25" customHeight="1" x14ac:dyDescent="0.25">
      <c r="A1878" s="4" t="s">
        <v>27</v>
      </c>
      <c r="B1878" s="4" t="s">
        <v>44</v>
      </c>
      <c r="C1878" s="4" t="s">
        <v>23</v>
      </c>
      <c r="D1878" s="4" t="s">
        <v>45</v>
      </c>
      <c r="E1878" s="4" t="s">
        <v>25</v>
      </c>
      <c r="F1878" s="4" t="s">
        <v>25</v>
      </c>
      <c r="G1878" s="4" t="s">
        <v>25</v>
      </c>
      <c r="H1878" s="4" t="s">
        <v>25</v>
      </c>
      <c r="I1878" s="5">
        <v>44562</v>
      </c>
      <c r="J1878" s="6">
        <v>0</v>
      </c>
      <c r="K1878" s="6">
        <v>0</v>
      </c>
      <c r="L1878" s="6">
        <v>-99.62</v>
      </c>
      <c r="M1878" s="6">
        <v>-99.62</v>
      </c>
      <c r="N1878" s="6">
        <v>-99.62</v>
      </c>
      <c r="O1878" s="6">
        <v>-99.62</v>
      </c>
      <c r="P1878" s="6">
        <v>-15</v>
      </c>
      <c r="Q1878" s="4" t="s">
        <v>26</v>
      </c>
      <c r="R1878" s="4">
        <v>0</v>
      </c>
      <c r="S1878" s="4" t="s">
        <v>509</v>
      </c>
      <c r="T1878" s="4" t="s">
        <v>766</v>
      </c>
      <c r="U1878" s="4">
        <v>0</v>
      </c>
      <c r="V1878" s="4">
        <v>27</v>
      </c>
      <c r="W1878" s="4">
        <v>85</v>
      </c>
    </row>
    <row r="1879" spans="1:23" ht="11.25" customHeight="1" x14ac:dyDescent="0.25">
      <c r="A1879" s="4" t="s">
        <v>28</v>
      </c>
      <c r="B1879" s="4" t="s">
        <v>44</v>
      </c>
      <c r="C1879" s="4" t="s">
        <v>23</v>
      </c>
      <c r="D1879" s="4" t="s">
        <v>45</v>
      </c>
      <c r="E1879" s="4" t="s">
        <v>25</v>
      </c>
      <c r="F1879" s="4" t="s">
        <v>25</v>
      </c>
      <c r="G1879" s="4" t="s">
        <v>25</v>
      </c>
      <c r="H1879" s="4" t="s">
        <v>25</v>
      </c>
      <c r="I1879" s="5">
        <v>44562</v>
      </c>
      <c r="J1879" s="6">
        <v>0</v>
      </c>
      <c r="K1879" s="6">
        <v>0</v>
      </c>
      <c r="L1879" s="6">
        <v>304.58600000000001</v>
      </c>
      <c r="M1879" s="6">
        <v>304.58600000000001</v>
      </c>
      <c r="N1879" s="6">
        <v>304.58600000000001</v>
      </c>
      <c r="O1879" s="6">
        <v>304.58600000000001</v>
      </c>
      <c r="P1879" s="6">
        <v>1102</v>
      </c>
      <c r="Q1879" s="4" t="s">
        <v>26</v>
      </c>
      <c r="R1879" s="4">
        <v>0</v>
      </c>
      <c r="S1879" s="4" t="s">
        <v>509</v>
      </c>
      <c r="T1879" s="4" t="s">
        <v>766</v>
      </c>
      <c r="U1879" s="4">
        <v>0</v>
      </c>
      <c r="V1879" s="4">
        <v>27</v>
      </c>
      <c r="W1879" s="4">
        <v>85</v>
      </c>
    </row>
    <row r="1880" spans="1:23" ht="11.25" customHeight="1" x14ac:dyDescent="0.25">
      <c r="A1880" s="4" t="s">
        <v>21</v>
      </c>
      <c r="B1880" s="4" t="s">
        <v>44</v>
      </c>
      <c r="C1880" s="4" t="s">
        <v>23</v>
      </c>
      <c r="D1880" s="4" t="s">
        <v>45</v>
      </c>
      <c r="E1880" s="4" t="s">
        <v>25</v>
      </c>
      <c r="F1880" s="4" t="s">
        <v>25</v>
      </c>
      <c r="G1880" s="4" t="s">
        <v>25</v>
      </c>
      <c r="H1880" s="4" t="s">
        <v>25</v>
      </c>
      <c r="I1880" s="5">
        <v>44593</v>
      </c>
      <c r="J1880" s="6">
        <v>0</v>
      </c>
      <c r="K1880" s="6">
        <v>0</v>
      </c>
      <c r="L1880" s="6">
        <v>12215.161</v>
      </c>
      <c r="M1880" s="6">
        <v>12215.161</v>
      </c>
      <c r="N1880" s="6">
        <v>12215.161</v>
      </c>
      <c r="O1880" s="6">
        <v>12215.161</v>
      </c>
      <c r="P1880" s="6">
        <v>103552</v>
      </c>
      <c r="Q1880" s="4" t="s">
        <v>26</v>
      </c>
      <c r="R1880" s="4">
        <v>0</v>
      </c>
      <c r="S1880" s="4" t="s">
        <v>510</v>
      </c>
      <c r="T1880" s="4" t="s">
        <v>767</v>
      </c>
      <c r="U1880" s="4">
        <v>0</v>
      </c>
      <c r="V1880" s="4">
        <v>27</v>
      </c>
      <c r="W1880" s="4">
        <v>85</v>
      </c>
    </row>
    <row r="1881" spans="1:23" ht="11.25" customHeight="1" x14ac:dyDescent="0.25">
      <c r="A1881" s="4" t="s">
        <v>27</v>
      </c>
      <c r="B1881" s="4" t="s">
        <v>44</v>
      </c>
      <c r="C1881" s="4" t="s">
        <v>23</v>
      </c>
      <c r="D1881" s="4" t="s">
        <v>45</v>
      </c>
      <c r="E1881" s="4" t="s">
        <v>25</v>
      </c>
      <c r="F1881" s="4" t="s">
        <v>25</v>
      </c>
      <c r="G1881" s="4" t="s">
        <v>25</v>
      </c>
      <c r="H1881" s="4" t="s">
        <v>25</v>
      </c>
      <c r="I1881" s="5">
        <v>44593</v>
      </c>
      <c r="J1881" s="6">
        <v>0</v>
      </c>
      <c r="K1881" s="6">
        <v>0</v>
      </c>
      <c r="L1881" s="6">
        <v>-74.933999999999997</v>
      </c>
      <c r="M1881" s="6">
        <v>-74.933999999999997</v>
      </c>
      <c r="N1881" s="6">
        <v>-74.933999999999997</v>
      </c>
      <c r="O1881" s="6">
        <v>-74.933999999999997</v>
      </c>
      <c r="P1881" s="6">
        <v>-19</v>
      </c>
      <c r="Q1881" s="4" t="s">
        <v>26</v>
      </c>
      <c r="R1881" s="4">
        <v>0</v>
      </c>
      <c r="S1881" s="4" t="s">
        <v>510</v>
      </c>
      <c r="T1881" s="4" t="s">
        <v>767</v>
      </c>
      <c r="U1881" s="4">
        <v>0</v>
      </c>
      <c r="V1881" s="4">
        <v>27</v>
      </c>
      <c r="W1881" s="4">
        <v>85</v>
      </c>
    </row>
    <row r="1882" spans="1:23" ht="11.25" customHeight="1" x14ac:dyDescent="0.25">
      <c r="A1882" s="4" t="s">
        <v>28</v>
      </c>
      <c r="B1882" s="4" t="s">
        <v>44</v>
      </c>
      <c r="C1882" s="4" t="s">
        <v>23</v>
      </c>
      <c r="D1882" s="4" t="s">
        <v>45</v>
      </c>
      <c r="E1882" s="4" t="s">
        <v>25</v>
      </c>
      <c r="F1882" s="4" t="s">
        <v>25</v>
      </c>
      <c r="G1882" s="4" t="s">
        <v>25</v>
      </c>
      <c r="H1882" s="4" t="s">
        <v>25</v>
      </c>
      <c r="I1882" s="5">
        <v>44593</v>
      </c>
      <c r="J1882" s="6">
        <v>0</v>
      </c>
      <c r="K1882" s="6">
        <v>0</v>
      </c>
      <c r="L1882" s="6">
        <v>298.65600000000001</v>
      </c>
      <c r="M1882" s="6">
        <v>298.65600000000001</v>
      </c>
      <c r="N1882" s="6">
        <v>298.65600000000001</v>
      </c>
      <c r="O1882" s="6">
        <v>298.65600000000001</v>
      </c>
      <c r="P1882" s="6">
        <v>1042</v>
      </c>
      <c r="Q1882" s="4" t="s">
        <v>26</v>
      </c>
      <c r="R1882" s="4">
        <v>0</v>
      </c>
      <c r="S1882" s="4" t="s">
        <v>510</v>
      </c>
      <c r="T1882" s="4" t="s">
        <v>767</v>
      </c>
      <c r="U1882" s="4">
        <v>0</v>
      </c>
      <c r="V1882" s="4">
        <v>27</v>
      </c>
      <c r="W1882" s="4">
        <v>85</v>
      </c>
    </row>
    <row r="1883" spans="1:23" ht="11.25" customHeight="1" x14ac:dyDescent="0.25">
      <c r="A1883" s="4" t="s">
        <v>28</v>
      </c>
      <c r="B1883" s="4" t="s">
        <v>44</v>
      </c>
      <c r="C1883" s="4" t="s">
        <v>23</v>
      </c>
      <c r="D1883" s="4" t="s">
        <v>45</v>
      </c>
      <c r="E1883" s="4" t="s">
        <v>25</v>
      </c>
      <c r="F1883" s="4" t="s">
        <v>25</v>
      </c>
      <c r="G1883" s="4" t="s">
        <v>25</v>
      </c>
      <c r="H1883" s="4" t="s">
        <v>25</v>
      </c>
      <c r="I1883" s="5">
        <v>44593</v>
      </c>
      <c r="J1883" s="6">
        <v>0</v>
      </c>
      <c r="K1883" s="6">
        <v>0</v>
      </c>
      <c r="L1883" s="6">
        <v>-2.0299999999999998</v>
      </c>
      <c r="M1883" s="6">
        <v>-2.0299999999999998</v>
      </c>
      <c r="N1883" s="6">
        <v>-2.0299999999999998</v>
      </c>
      <c r="O1883" s="6">
        <v>-2.0299999999999998</v>
      </c>
      <c r="P1883" s="6">
        <v>0</v>
      </c>
      <c r="Q1883" s="4" t="s">
        <v>26</v>
      </c>
      <c r="R1883" s="4">
        <v>0</v>
      </c>
      <c r="S1883" s="4" t="s">
        <v>510</v>
      </c>
      <c r="T1883" s="4" t="s">
        <v>767</v>
      </c>
      <c r="U1883" s="4">
        <v>0</v>
      </c>
      <c r="V1883" s="4">
        <v>27</v>
      </c>
      <c r="W1883" s="4">
        <v>85</v>
      </c>
    </row>
    <row r="1884" spans="1:23" ht="11.25" customHeight="1" x14ac:dyDescent="0.25">
      <c r="A1884" s="4" t="s">
        <v>21</v>
      </c>
      <c r="B1884" s="4" t="s">
        <v>44</v>
      </c>
      <c r="C1884" s="4" t="s">
        <v>23</v>
      </c>
      <c r="D1884" s="4" t="s">
        <v>45</v>
      </c>
      <c r="E1884" s="4" t="s">
        <v>25</v>
      </c>
      <c r="F1884" s="4" t="s">
        <v>25</v>
      </c>
      <c r="G1884" s="4" t="s">
        <v>25</v>
      </c>
      <c r="H1884" s="4" t="s">
        <v>25</v>
      </c>
      <c r="I1884" s="5">
        <v>44621</v>
      </c>
      <c r="J1884" s="6">
        <v>0</v>
      </c>
      <c r="K1884" s="6">
        <v>0</v>
      </c>
      <c r="L1884" s="6">
        <v>13579.308000000001</v>
      </c>
      <c r="M1884" s="6">
        <v>13579.308000000001</v>
      </c>
      <c r="N1884" s="6">
        <v>13579.308000000001</v>
      </c>
      <c r="O1884" s="6">
        <v>13579.308000000001</v>
      </c>
      <c r="P1884" s="6">
        <v>103285</v>
      </c>
      <c r="Q1884" s="4" t="s">
        <v>26</v>
      </c>
      <c r="R1884" s="4">
        <v>0</v>
      </c>
      <c r="S1884" s="4" t="s">
        <v>511</v>
      </c>
      <c r="T1884" s="4" t="s">
        <v>768</v>
      </c>
      <c r="U1884" s="4">
        <v>0</v>
      </c>
      <c r="V1884" s="4">
        <v>27</v>
      </c>
      <c r="W1884" s="4">
        <v>85</v>
      </c>
    </row>
    <row r="1885" spans="1:23" ht="11.25" customHeight="1" x14ac:dyDescent="0.25">
      <c r="A1885" s="4" t="s">
        <v>27</v>
      </c>
      <c r="B1885" s="4" t="s">
        <v>44</v>
      </c>
      <c r="C1885" s="4" t="s">
        <v>23</v>
      </c>
      <c r="D1885" s="4" t="s">
        <v>45</v>
      </c>
      <c r="E1885" s="4" t="s">
        <v>25</v>
      </c>
      <c r="F1885" s="4" t="s">
        <v>25</v>
      </c>
      <c r="G1885" s="4" t="s">
        <v>25</v>
      </c>
      <c r="H1885" s="4" t="s">
        <v>25</v>
      </c>
      <c r="I1885" s="5">
        <v>44621</v>
      </c>
      <c r="J1885" s="6">
        <v>0</v>
      </c>
      <c r="K1885" s="6">
        <v>0</v>
      </c>
      <c r="L1885" s="6">
        <v>-79.305999999999997</v>
      </c>
      <c r="M1885" s="6">
        <v>-79.305999999999997</v>
      </c>
      <c r="N1885" s="6">
        <v>-79.305999999999997</v>
      </c>
      <c r="O1885" s="6">
        <v>-79.305999999999997</v>
      </c>
      <c r="P1885" s="6">
        <v>-26</v>
      </c>
      <c r="Q1885" s="4" t="s">
        <v>26</v>
      </c>
      <c r="R1885" s="4">
        <v>0</v>
      </c>
      <c r="S1885" s="4" t="s">
        <v>511</v>
      </c>
      <c r="T1885" s="4" t="s">
        <v>768</v>
      </c>
      <c r="U1885" s="4">
        <v>0</v>
      </c>
      <c r="V1885" s="4">
        <v>27</v>
      </c>
      <c r="W1885" s="4">
        <v>85</v>
      </c>
    </row>
    <row r="1886" spans="1:23" ht="11.25" customHeight="1" x14ac:dyDescent="0.25">
      <c r="A1886" s="4" t="s">
        <v>28</v>
      </c>
      <c r="B1886" s="4" t="s">
        <v>44</v>
      </c>
      <c r="C1886" s="4" t="s">
        <v>23</v>
      </c>
      <c r="D1886" s="4" t="s">
        <v>45</v>
      </c>
      <c r="E1886" s="4" t="s">
        <v>25</v>
      </c>
      <c r="F1886" s="4" t="s">
        <v>25</v>
      </c>
      <c r="G1886" s="4" t="s">
        <v>25</v>
      </c>
      <c r="H1886" s="4" t="s">
        <v>25</v>
      </c>
      <c r="I1886" s="5">
        <v>44621</v>
      </c>
      <c r="J1886" s="6">
        <v>0</v>
      </c>
      <c r="K1886" s="6">
        <v>0</v>
      </c>
      <c r="L1886" s="6">
        <v>279.35199999999998</v>
      </c>
      <c r="M1886" s="6">
        <v>279.35199999999998</v>
      </c>
      <c r="N1886" s="6">
        <v>279.35199999999998</v>
      </c>
      <c r="O1886" s="6">
        <v>279.35199999999998</v>
      </c>
      <c r="P1886" s="6">
        <v>1095</v>
      </c>
      <c r="Q1886" s="4" t="s">
        <v>26</v>
      </c>
      <c r="R1886" s="4">
        <v>0</v>
      </c>
      <c r="S1886" s="4" t="s">
        <v>511</v>
      </c>
      <c r="T1886" s="4" t="s">
        <v>768</v>
      </c>
      <c r="U1886" s="4">
        <v>0</v>
      </c>
      <c r="V1886" s="4">
        <v>27</v>
      </c>
      <c r="W1886" s="4">
        <v>85</v>
      </c>
    </row>
    <row r="1887" spans="1:23" ht="11.25" customHeight="1" x14ac:dyDescent="0.25">
      <c r="A1887" s="4" t="s">
        <v>28</v>
      </c>
      <c r="B1887" s="4" t="s">
        <v>44</v>
      </c>
      <c r="C1887" s="4" t="s">
        <v>23</v>
      </c>
      <c r="D1887" s="4" t="s">
        <v>45</v>
      </c>
      <c r="E1887" s="4" t="s">
        <v>25</v>
      </c>
      <c r="F1887" s="4" t="s">
        <v>25</v>
      </c>
      <c r="G1887" s="4" t="s">
        <v>25</v>
      </c>
      <c r="H1887" s="4" t="s">
        <v>25</v>
      </c>
      <c r="I1887" s="5">
        <v>44621</v>
      </c>
      <c r="J1887" s="6">
        <v>0</v>
      </c>
      <c r="K1887" s="6">
        <v>0</v>
      </c>
      <c r="L1887" s="6">
        <v>-0.03</v>
      </c>
      <c r="M1887" s="6">
        <v>-0.03</v>
      </c>
      <c r="N1887" s="6">
        <v>-0.03</v>
      </c>
      <c r="O1887" s="6">
        <v>-0.03</v>
      </c>
      <c r="P1887" s="6">
        <v>-1</v>
      </c>
      <c r="Q1887" s="4" t="s">
        <v>26</v>
      </c>
      <c r="R1887" s="4">
        <v>0</v>
      </c>
      <c r="S1887" s="4" t="s">
        <v>511</v>
      </c>
      <c r="T1887" s="4" t="s">
        <v>768</v>
      </c>
      <c r="U1887" s="4">
        <v>0</v>
      </c>
      <c r="V1887" s="4">
        <v>27</v>
      </c>
      <c r="W1887" s="4">
        <v>85</v>
      </c>
    </row>
    <row r="1888" spans="1:23" ht="11.25" customHeight="1" x14ac:dyDescent="0.25">
      <c r="A1888" s="4" t="s">
        <v>21</v>
      </c>
      <c r="B1888" s="4" t="s">
        <v>44</v>
      </c>
      <c r="C1888" s="4" t="s">
        <v>23</v>
      </c>
      <c r="D1888" s="4" t="s">
        <v>45</v>
      </c>
      <c r="E1888" s="4" t="s">
        <v>25</v>
      </c>
      <c r="F1888" s="4" t="s">
        <v>25</v>
      </c>
      <c r="G1888" s="4" t="s">
        <v>25</v>
      </c>
      <c r="H1888" s="4" t="s">
        <v>25</v>
      </c>
      <c r="I1888" s="5">
        <v>44652</v>
      </c>
      <c r="J1888" s="6">
        <v>0</v>
      </c>
      <c r="K1888" s="6">
        <v>0</v>
      </c>
      <c r="L1888" s="6">
        <v>12470.677</v>
      </c>
      <c r="M1888" s="6">
        <v>12470.677</v>
      </c>
      <c r="N1888" s="6">
        <v>12470.677</v>
      </c>
      <c r="O1888" s="6">
        <v>12470.677</v>
      </c>
      <c r="P1888" s="6">
        <v>102945</v>
      </c>
      <c r="Q1888" s="4" t="s">
        <v>26</v>
      </c>
      <c r="R1888" s="4">
        <v>0</v>
      </c>
      <c r="S1888" s="4" t="s">
        <v>512</v>
      </c>
      <c r="T1888" s="4" t="s">
        <v>769</v>
      </c>
      <c r="U1888" s="4">
        <v>0</v>
      </c>
      <c r="V1888" s="4">
        <v>27</v>
      </c>
      <c r="W1888" s="4">
        <v>85</v>
      </c>
    </row>
    <row r="1889" spans="1:23" ht="11.25" customHeight="1" x14ac:dyDescent="0.25">
      <c r="A1889" s="4" t="s">
        <v>27</v>
      </c>
      <c r="B1889" s="4" t="s">
        <v>44</v>
      </c>
      <c r="C1889" s="4" t="s">
        <v>23</v>
      </c>
      <c r="D1889" s="4" t="s">
        <v>45</v>
      </c>
      <c r="E1889" s="4" t="s">
        <v>25</v>
      </c>
      <c r="F1889" s="4" t="s">
        <v>25</v>
      </c>
      <c r="G1889" s="4" t="s">
        <v>25</v>
      </c>
      <c r="H1889" s="4" t="s">
        <v>25</v>
      </c>
      <c r="I1889" s="5">
        <v>44652</v>
      </c>
      <c r="J1889" s="6">
        <v>0</v>
      </c>
      <c r="K1889" s="6">
        <v>0</v>
      </c>
      <c r="L1889" s="6">
        <v>-48.29</v>
      </c>
      <c r="M1889" s="6">
        <v>-48.29</v>
      </c>
      <c r="N1889" s="6">
        <v>-48.29</v>
      </c>
      <c r="O1889" s="6">
        <v>-48.29</v>
      </c>
      <c r="P1889" s="6">
        <v>-13</v>
      </c>
      <c r="Q1889" s="4" t="s">
        <v>26</v>
      </c>
      <c r="R1889" s="4">
        <v>0</v>
      </c>
      <c r="S1889" s="4" t="s">
        <v>512</v>
      </c>
      <c r="T1889" s="4" t="s">
        <v>769</v>
      </c>
      <c r="U1889" s="4">
        <v>0</v>
      </c>
      <c r="V1889" s="4">
        <v>27</v>
      </c>
      <c r="W1889" s="4">
        <v>85</v>
      </c>
    </row>
    <row r="1890" spans="1:23" ht="11.25" customHeight="1" x14ac:dyDescent="0.25">
      <c r="A1890" s="4" t="s">
        <v>28</v>
      </c>
      <c r="B1890" s="4" t="s">
        <v>44</v>
      </c>
      <c r="C1890" s="4" t="s">
        <v>23</v>
      </c>
      <c r="D1890" s="4" t="s">
        <v>45</v>
      </c>
      <c r="E1890" s="4" t="s">
        <v>25</v>
      </c>
      <c r="F1890" s="4" t="s">
        <v>25</v>
      </c>
      <c r="G1890" s="4" t="s">
        <v>25</v>
      </c>
      <c r="H1890" s="4" t="s">
        <v>25</v>
      </c>
      <c r="I1890" s="5">
        <v>44652</v>
      </c>
      <c r="J1890" s="6">
        <v>0</v>
      </c>
      <c r="K1890" s="6">
        <v>0</v>
      </c>
      <c r="L1890" s="6">
        <v>384.02499999999998</v>
      </c>
      <c r="M1890" s="6">
        <v>384.02499999999998</v>
      </c>
      <c r="N1890" s="6">
        <v>384.02499999999998</v>
      </c>
      <c r="O1890" s="6">
        <v>384.02499999999998</v>
      </c>
      <c r="P1890" s="6">
        <v>1136</v>
      </c>
      <c r="Q1890" s="4" t="s">
        <v>26</v>
      </c>
      <c r="R1890" s="4">
        <v>0</v>
      </c>
      <c r="S1890" s="4" t="s">
        <v>512</v>
      </c>
      <c r="T1890" s="4" t="s">
        <v>769</v>
      </c>
      <c r="U1890" s="4">
        <v>0</v>
      </c>
      <c r="V1890" s="4">
        <v>27</v>
      </c>
      <c r="W1890" s="4">
        <v>85</v>
      </c>
    </row>
    <row r="1891" spans="1:23" ht="11.25" customHeight="1" x14ac:dyDescent="0.25">
      <c r="A1891" s="4" t="s">
        <v>28</v>
      </c>
      <c r="B1891" s="4" t="s">
        <v>44</v>
      </c>
      <c r="C1891" s="4" t="s">
        <v>23</v>
      </c>
      <c r="D1891" s="4" t="s">
        <v>45</v>
      </c>
      <c r="E1891" s="4" t="s">
        <v>25</v>
      </c>
      <c r="F1891" s="4" t="s">
        <v>25</v>
      </c>
      <c r="G1891" s="4" t="s">
        <v>25</v>
      </c>
      <c r="H1891" s="4" t="s">
        <v>25</v>
      </c>
      <c r="I1891" s="5">
        <v>44652</v>
      </c>
      <c r="J1891" s="6">
        <v>0</v>
      </c>
      <c r="K1891" s="6">
        <v>0</v>
      </c>
      <c r="L1891" s="6">
        <v>1.2589999999999999</v>
      </c>
      <c r="M1891" s="6">
        <v>1.2589999999999999</v>
      </c>
      <c r="N1891" s="6">
        <v>1.2589999999999999</v>
      </c>
      <c r="O1891" s="6">
        <v>1.2589999999999999</v>
      </c>
      <c r="P1891" s="6">
        <v>0</v>
      </c>
      <c r="Q1891" s="4" t="s">
        <v>26</v>
      </c>
      <c r="R1891" s="4">
        <v>0</v>
      </c>
      <c r="S1891" s="4" t="s">
        <v>512</v>
      </c>
      <c r="T1891" s="4" t="s">
        <v>769</v>
      </c>
      <c r="U1891" s="4">
        <v>0</v>
      </c>
      <c r="V1891" s="4">
        <v>27</v>
      </c>
      <c r="W1891" s="4">
        <v>85</v>
      </c>
    </row>
    <row r="1892" spans="1:23" ht="11.25" customHeight="1" x14ac:dyDescent="0.25">
      <c r="A1892" s="4" t="s">
        <v>21</v>
      </c>
      <c r="B1892" s="4" t="s">
        <v>44</v>
      </c>
      <c r="C1892" s="4" t="s">
        <v>23</v>
      </c>
      <c r="D1892" s="4" t="s">
        <v>45</v>
      </c>
      <c r="E1892" s="4" t="s">
        <v>25</v>
      </c>
      <c r="F1892" s="4" t="s">
        <v>25</v>
      </c>
      <c r="G1892" s="4" t="s">
        <v>25</v>
      </c>
      <c r="H1892" s="4" t="s">
        <v>25</v>
      </c>
      <c r="I1892" s="5">
        <v>44682</v>
      </c>
      <c r="J1892" s="6">
        <v>0</v>
      </c>
      <c r="K1892" s="6">
        <v>0</v>
      </c>
      <c r="L1892" s="6">
        <v>12586.26</v>
      </c>
      <c r="M1892" s="6">
        <v>12586.26</v>
      </c>
      <c r="N1892" s="6">
        <v>12586.26</v>
      </c>
      <c r="O1892" s="6">
        <v>12586.26</v>
      </c>
      <c r="P1892" s="6">
        <v>102712</v>
      </c>
      <c r="Q1892" s="4" t="s">
        <v>26</v>
      </c>
      <c r="R1892" s="4">
        <v>0</v>
      </c>
      <c r="S1892" s="4" t="s">
        <v>513</v>
      </c>
      <c r="T1892" s="4" t="s">
        <v>770</v>
      </c>
      <c r="U1892" s="4">
        <v>0</v>
      </c>
      <c r="V1892" s="4">
        <v>27</v>
      </c>
      <c r="W1892" s="4">
        <v>85</v>
      </c>
    </row>
    <row r="1893" spans="1:23" ht="11.25" customHeight="1" x14ac:dyDescent="0.25">
      <c r="A1893" s="4" t="s">
        <v>27</v>
      </c>
      <c r="B1893" s="4" t="s">
        <v>44</v>
      </c>
      <c r="C1893" s="4" t="s">
        <v>23</v>
      </c>
      <c r="D1893" s="4" t="s">
        <v>45</v>
      </c>
      <c r="E1893" s="4" t="s">
        <v>25</v>
      </c>
      <c r="F1893" s="4" t="s">
        <v>25</v>
      </c>
      <c r="G1893" s="4" t="s">
        <v>25</v>
      </c>
      <c r="H1893" s="4" t="s">
        <v>25</v>
      </c>
      <c r="I1893" s="5">
        <v>44682</v>
      </c>
      <c r="J1893" s="6">
        <v>0</v>
      </c>
      <c r="K1893" s="6">
        <v>0</v>
      </c>
      <c r="L1893" s="6">
        <v>-86.680999999999997</v>
      </c>
      <c r="M1893" s="6">
        <v>-86.680999999999997</v>
      </c>
      <c r="N1893" s="6">
        <v>-86.680999999999997</v>
      </c>
      <c r="O1893" s="6">
        <v>-86.680999999999997</v>
      </c>
      <c r="P1893" s="6">
        <v>-16</v>
      </c>
      <c r="Q1893" s="4" t="s">
        <v>26</v>
      </c>
      <c r="R1893" s="4">
        <v>0</v>
      </c>
      <c r="S1893" s="4" t="s">
        <v>513</v>
      </c>
      <c r="T1893" s="4" t="s">
        <v>770</v>
      </c>
      <c r="U1893" s="4">
        <v>0</v>
      </c>
      <c r="V1893" s="4">
        <v>27</v>
      </c>
      <c r="W1893" s="4">
        <v>85</v>
      </c>
    </row>
    <row r="1894" spans="1:23" ht="11.25" customHeight="1" x14ac:dyDescent="0.25">
      <c r="A1894" s="4" t="s">
        <v>28</v>
      </c>
      <c r="B1894" s="4" t="s">
        <v>44</v>
      </c>
      <c r="C1894" s="4" t="s">
        <v>23</v>
      </c>
      <c r="D1894" s="4" t="s">
        <v>45</v>
      </c>
      <c r="E1894" s="4" t="s">
        <v>25</v>
      </c>
      <c r="F1894" s="4" t="s">
        <v>25</v>
      </c>
      <c r="G1894" s="4" t="s">
        <v>25</v>
      </c>
      <c r="H1894" s="4" t="s">
        <v>25</v>
      </c>
      <c r="I1894" s="5">
        <v>44682</v>
      </c>
      <c r="J1894" s="6">
        <v>0</v>
      </c>
      <c r="K1894" s="6">
        <v>0</v>
      </c>
      <c r="L1894" s="6">
        <v>276.334</v>
      </c>
      <c r="M1894" s="6">
        <v>276.334</v>
      </c>
      <c r="N1894" s="6">
        <v>276.334</v>
      </c>
      <c r="O1894" s="6">
        <v>276.334</v>
      </c>
      <c r="P1894" s="6">
        <v>1205</v>
      </c>
      <c r="Q1894" s="4" t="s">
        <v>26</v>
      </c>
      <c r="R1894" s="4">
        <v>0</v>
      </c>
      <c r="S1894" s="4" t="s">
        <v>513</v>
      </c>
      <c r="T1894" s="4" t="s">
        <v>770</v>
      </c>
      <c r="U1894" s="4">
        <v>0</v>
      </c>
      <c r="V1894" s="4">
        <v>27</v>
      </c>
      <c r="W1894" s="4">
        <v>85</v>
      </c>
    </row>
    <row r="1895" spans="1:23" ht="11.25" customHeight="1" x14ac:dyDescent="0.25">
      <c r="A1895" s="4" t="s">
        <v>21</v>
      </c>
      <c r="B1895" s="4" t="s">
        <v>44</v>
      </c>
      <c r="C1895" s="4" t="s">
        <v>23</v>
      </c>
      <c r="D1895" s="4" t="s">
        <v>45</v>
      </c>
      <c r="E1895" s="4" t="s">
        <v>25</v>
      </c>
      <c r="F1895" s="4" t="s">
        <v>25</v>
      </c>
      <c r="G1895" s="4" t="s">
        <v>25</v>
      </c>
      <c r="H1895" s="4" t="s">
        <v>25</v>
      </c>
      <c r="I1895" s="5">
        <v>44713</v>
      </c>
      <c r="J1895" s="6">
        <v>0</v>
      </c>
      <c r="K1895" s="6">
        <v>0</v>
      </c>
      <c r="L1895" s="6">
        <v>11106.716</v>
      </c>
      <c r="M1895" s="6">
        <v>11106.716</v>
      </c>
      <c r="N1895" s="6">
        <v>11106.716</v>
      </c>
      <c r="O1895" s="6">
        <v>11106.716</v>
      </c>
      <c r="P1895" s="6">
        <v>103012</v>
      </c>
      <c r="Q1895" s="4" t="s">
        <v>26</v>
      </c>
      <c r="R1895" s="4">
        <v>0</v>
      </c>
      <c r="S1895" s="4" t="s">
        <v>514</v>
      </c>
      <c r="T1895" s="4" t="s">
        <v>771</v>
      </c>
      <c r="U1895" s="4">
        <v>0</v>
      </c>
      <c r="V1895" s="4">
        <v>27</v>
      </c>
      <c r="W1895" s="4">
        <v>85</v>
      </c>
    </row>
    <row r="1896" spans="1:23" ht="11.25" customHeight="1" x14ac:dyDescent="0.25">
      <c r="A1896" s="4" t="s">
        <v>27</v>
      </c>
      <c r="B1896" s="4" t="s">
        <v>44</v>
      </c>
      <c r="C1896" s="4" t="s">
        <v>23</v>
      </c>
      <c r="D1896" s="4" t="s">
        <v>45</v>
      </c>
      <c r="E1896" s="4" t="s">
        <v>25</v>
      </c>
      <c r="F1896" s="4" t="s">
        <v>25</v>
      </c>
      <c r="G1896" s="4" t="s">
        <v>25</v>
      </c>
      <c r="H1896" s="4" t="s">
        <v>25</v>
      </c>
      <c r="I1896" s="5">
        <v>44713</v>
      </c>
      <c r="J1896" s="6">
        <v>0</v>
      </c>
      <c r="K1896" s="6">
        <v>0</v>
      </c>
      <c r="L1896" s="6">
        <v>-12.156000000000001</v>
      </c>
      <c r="M1896" s="6">
        <v>-12.156000000000001</v>
      </c>
      <c r="N1896" s="6">
        <v>-12.156000000000001</v>
      </c>
      <c r="O1896" s="6">
        <v>-12.156000000000001</v>
      </c>
      <c r="P1896" s="6">
        <v>-19</v>
      </c>
      <c r="Q1896" s="4" t="s">
        <v>26</v>
      </c>
      <c r="R1896" s="4">
        <v>0</v>
      </c>
      <c r="S1896" s="4" t="s">
        <v>514</v>
      </c>
      <c r="T1896" s="4" t="s">
        <v>771</v>
      </c>
      <c r="U1896" s="4">
        <v>0</v>
      </c>
      <c r="V1896" s="4">
        <v>27</v>
      </c>
      <c r="W1896" s="4">
        <v>85</v>
      </c>
    </row>
    <row r="1897" spans="1:23" ht="11.25" customHeight="1" x14ac:dyDescent="0.25">
      <c r="A1897" s="4" t="s">
        <v>28</v>
      </c>
      <c r="B1897" s="4" t="s">
        <v>44</v>
      </c>
      <c r="C1897" s="4" t="s">
        <v>23</v>
      </c>
      <c r="D1897" s="4" t="s">
        <v>45</v>
      </c>
      <c r="E1897" s="4" t="s">
        <v>25</v>
      </c>
      <c r="F1897" s="4" t="s">
        <v>25</v>
      </c>
      <c r="G1897" s="4" t="s">
        <v>25</v>
      </c>
      <c r="H1897" s="4" t="s">
        <v>25</v>
      </c>
      <c r="I1897" s="5">
        <v>44713</v>
      </c>
      <c r="J1897" s="6">
        <v>0</v>
      </c>
      <c r="K1897" s="6">
        <v>0</v>
      </c>
      <c r="L1897" s="6">
        <v>346.21</v>
      </c>
      <c r="M1897" s="6">
        <v>346.21</v>
      </c>
      <c r="N1897" s="6">
        <v>346.21</v>
      </c>
      <c r="O1897" s="6">
        <v>346.21</v>
      </c>
      <c r="P1897" s="6">
        <v>1263</v>
      </c>
      <c r="Q1897" s="4" t="s">
        <v>26</v>
      </c>
      <c r="R1897" s="4">
        <v>0</v>
      </c>
      <c r="S1897" s="4" t="s">
        <v>514</v>
      </c>
      <c r="T1897" s="4" t="s">
        <v>771</v>
      </c>
      <c r="U1897" s="4">
        <v>0</v>
      </c>
      <c r="V1897" s="4">
        <v>27</v>
      </c>
      <c r="W1897" s="4">
        <v>85</v>
      </c>
    </row>
    <row r="1898" spans="1:23" ht="11.25" customHeight="1" x14ac:dyDescent="0.25">
      <c r="A1898" s="4" t="s">
        <v>57</v>
      </c>
      <c r="B1898" s="4" t="s">
        <v>44</v>
      </c>
      <c r="C1898" s="4" t="s">
        <v>23</v>
      </c>
      <c r="D1898" s="4" t="s">
        <v>45</v>
      </c>
      <c r="E1898" s="4" t="s">
        <v>25</v>
      </c>
      <c r="F1898" s="4" t="s">
        <v>25</v>
      </c>
      <c r="G1898" s="4" t="s">
        <v>25</v>
      </c>
      <c r="H1898" s="4" t="s">
        <v>25</v>
      </c>
      <c r="I1898" s="5">
        <v>44743</v>
      </c>
      <c r="J1898" s="6">
        <v>0</v>
      </c>
      <c r="K1898" s="6">
        <v>0</v>
      </c>
      <c r="L1898" s="6">
        <v>11106.716</v>
      </c>
      <c r="M1898" s="6">
        <v>11106.716</v>
      </c>
      <c r="N1898" s="6">
        <v>11106.716</v>
      </c>
      <c r="O1898" s="6">
        <v>11106.716</v>
      </c>
      <c r="P1898" s="6">
        <v>103012</v>
      </c>
      <c r="Q1898" s="4" t="s">
        <v>26</v>
      </c>
      <c r="R1898" s="4">
        <v>0</v>
      </c>
      <c r="S1898" s="4" t="s">
        <v>515</v>
      </c>
      <c r="T1898" s="4" t="s">
        <v>772</v>
      </c>
      <c r="U1898" s="4">
        <v>0</v>
      </c>
      <c r="V1898" s="4">
        <v>27</v>
      </c>
      <c r="W1898" s="4">
        <v>85</v>
      </c>
    </row>
    <row r="1899" spans="1:23" ht="11.25" customHeight="1" x14ac:dyDescent="0.25">
      <c r="A1899" s="4" t="s">
        <v>57</v>
      </c>
      <c r="B1899" s="4" t="s">
        <v>44</v>
      </c>
      <c r="C1899" s="4" t="s">
        <v>23</v>
      </c>
      <c r="D1899" s="4" t="s">
        <v>45</v>
      </c>
      <c r="E1899" s="4" t="s">
        <v>25</v>
      </c>
      <c r="F1899" s="4" t="s">
        <v>25</v>
      </c>
      <c r="G1899" s="4" t="s">
        <v>25</v>
      </c>
      <c r="H1899" s="4" t="s">
        <v>25</v>
      </c>
      <c r="I1899" s="5">
        <v>44743</v>
      </c>
      <c r="J1899" s="6">
        <v>0</v>
      </c>
      <c r="K1899" s="6">
        <v>0</v>
      </c>
      <c r="L1899" s="6">
        <v>-12.156000000000001</v>
      </c>
      <c r="M1899" s="6">
        <v>-12.156000000000001</v>
      </c>
      <c r="N1899" s="6">
        <v>-12.156000000000001</v>
      </c>
      <c r="O1899" s="6">
        <v>-12.156000000000001</v>
      </c>
      <c r="P1899" s="6">
        <v>-19</v>
      </c>
      <c r="Q1899" s="4" t="s">
        <v>26</v>
      </c>
      <c r="R1899" s="4">
        <v>0</v>
      </c>
      <c r="S1899" s="4" t="s">
        <v>515</v>
      </c>
      <c r="T1899" s="4" t="s">
        <v>772</v>
      </c>
      <c r="U1899" s="4">
        <v>0</v>
      </c>
      <c r="V1899" s="4">
        <v>27</v>
      </c>
      <c r="W1899" s="4">
        <v>85</v>
      </c>
    </row>
    <row r="1900" spans="1:23" ht="11.25" customHeight="1" x14ac:dyDescent="0.25">
      <c r="A1900" s="4" t="s">
        <v>57</v>
      </c>
      <c r="B1900" s="4" t="s">
        <v>44</v>
      </c>
      <c r="C1900" s="4" t="s">
        <v>23</v>
      </c>
      <c r="D1900" s="4" t="s">
        <v>45</v>
      </c>
      <c r="E1900" s="4" t="s">
        <v>25</v>
      </c>
      <c r="F1900" s="4" t="s">
        <v>25</v>
      </c>
      <c r="G1900" s="4" t="s">
        <v>25</v>
      </c>
      <c r="H1900" s="4" t="s">
        <v>25</v>
      </c>
      <c r="I1900" s="5">
        <v>44743</v>
      </c>
      <c r="J1900" s="6">
        <v>0</v>
      </c>
      <c r="K1900" s="6">
        <v>0</v>
      </c>
      <c r="L1900" s="6">
        <v>346.21</v>
      </c>
      <c r="M1900" s="6">
        <v>346.21</v>
      </c>
      <c r="N1900" s="6">
        <v>346.21</v>
      </c>
      <c r="O1900" s="6">
        <v>346.21</v>
      </c>
      <c r="P1900" s="6">
        <v>1263</v>
      </c>
      <c r="Q1900" s="4" t="s">
        <v>26</v>
      </c>
      <c r="R1900" s="4">
        <v>0</v>
      </c>
      <c r="S1900" s="4" t="s">
        <v>515</v>
      </c>
      <c r="T1900" s="4" t="s">
        <v>772</v>
      </c>
      <c r="U1900" s="4">
        <v>0</v>
      </c>
      <c r="V1900" s="4">
        <v>27</v>
      </c>
      <c r="W1900" s="4">
        <v>85</v>
      </c>
    </row>
    <row r="1901" spans="1:23" ht="11.25" customHeight="1" x14ac:dyDescent="0.25">
      <c r="A1901" s="4" t="s">
        <v>21</v>
      </c>
      <c r="B1901" s="4" t="s">
        <v>37</v>
      </c>
      <c r="C1901" s="4" t="s">
        <v>33</v>
      </c>
      <c r="D1901" s="4" t="s">
        <v>43</v>
      </c>
      <c r="E1901" s="4" t="s">
        <v>25</v>
      </c>
      <c r="F1901" s="4" t="s">
        <v>25</v>
      </c>
      <c r="G1901" s="4" t="s">
        <v>25</v>
      </c>
      <c r="H1901" s="4" t="s">
        <v>35</v>
      </c>
      <c r="I1901" s="5">
        <v>44409</v>
      </c>
      <c r="J1901" s="6">
        <v>0</v>
      </c>
      <c r="K1901" s="6">
        <v>0</v>
      </c>
      <c r="L1901" s="6">
        <v>55.667000000000002</v>
      </c>
      <c r="M1901" s="6">
        <v>55.667000000000002</v>
      </c>
      <c r="N1901" s="6">
        <v>55.667000000000002</v>
      </c>
      <c r="O1901" s="6">
        <v>55.667000000000002</v>
      </c>
      <c r="P1901" s="6">
        <v>0</v>
      </c>
      <c r="Q1901" s="4" t="s">
        <v>26</v>
      </c>
      <c r="R1901" s="4">
        <v>0</v>
      </c>
      <c r="S1901" s="4" t="s">
        <v>516</v>
      </c>
      <c r="T1901" s="4" t="s">
        <v>773</v>
      </c>
      <c r="U1901" s="4">
        <v>0</v>
      </c>
      <c r="V1901" s="4">
        <v>55</v>
      </c>
      <c r="W1901" s="4">
        <v>99</v>
      </c>
    </row>
    <row r="1902" spans="1:23" ht="11.25" customHeight="1" x14ac:dyDescent="0.25">
      <c r="A1902" s="4" t="s">
        <v>28</v>
      </c>
      <c r="B1902" s="4" t="s">
        <v>37</v>
      </c>
      <c r="C1902" s="4" t="s">
        <v>33</v>
      </c>
      <c r="D1902" s="4" t="s">
        <v>43</v>
      </c>
      <c r="E1902" s="4" t="s">
        <v>25</v>
      </c>
      <c r="F1902" s="4" t="s">
        <v>25</v>
      </c>
      <c r="G1902" s="4" t="s">
        <v>25</v>
      </c>
      <c r="H1902" s="4" t="s">
        <v>35</v>
      </c>
      <c r="I1902" s="5">
        <v>44409</v>
      </c>
      <c r="J1902" s="6">
        <v>0</v>
      </c>
      <c r="K1902" s="6">
        <v>0</v>
      </c>
      <c r="L1902" s="6">
        <v>11.211</v>
      </c>
      <c r="M1902" s="6">
        <v>11.211</v>
      </c>
      <c r="N1902" s="6">
        <v>11.211</v>
      </c>
      <c r="O1902" s="6">
        <v>11.211</v>
      </c>
      <c r="P1902" s="6">
        <v>0</v>
      </c>
      <c r="Q1902" s="4" t="s">
        <v>26</v>
      </c>
      <c r="R1902" s="4">
        <v>0</v>
      </c>
      <c r="S1902" s="4" t="s">
        <v>516</v>
      </c>
      <c r="T1902" s="4" t="s">
        <v>773</v>
      </c>
      <c r="U1902" s="4">
        <v>0</v>
      </c>
      <c r="V1902" s="4">
        <v>55</v>
      </c>
      <c r="W1902" s="4">
        <v>99</v>
      </c>
    </row>
    <row r="1903" spans="1:23" ht="11.25" customHeight="1" x14ac:dyDescent="0.25">
      <c r="A1903" s="4" t="s">
        <v>21</v>
      </c>
      <c r="B1903" s="4" t="s">
        <v>37</v>
      </c>
      <c r="C1903" s="4" t="s">
        <v>33</v>
      </c>
      <c r="D1903" s="4" t="s">
        <v>43</v>
      </c>
      <c r="E1903" s="4" t="s">
        <v>25</v>
      </c>
      <c r="F1903" s="4" t="s">
        <v>25</v>
      </c>
      <c r="G1903" s="4" t="s">
        <v>25</v>
      </c>
      <c r="H1903" s="4" t="s">
        <v>35</v>
      </c>
      <c r="I1903" s="5">
        <v>44440</v>
      </c>
      <c r="J1903" s="6">
        <v>0</v>
      </c>
      <c r="K1903" s="6">
        <v>0</v>
      </c>
      <c r="L1903" s="6">
        <v>52.588999999999999</v>
      </c>
      <c r="M1903" s="6">
        <v>52.588999999999999</v>
      </c>
      <c r="N1903" s="6">
        <v>52.588999999999999</v>
      </c>
      <c r="O1903" s="6">
        <v>52.588999999999999</v>
      </c>
      <c r="P1903" s="6">
        <v>0</v>
      </c>
      <c r="Q1903" s="4" t="s">
        <v>26</v>
      </c>
      <c r="R1903" s="4">
        <v>0</v>
      </c>
      <c r="S1903" s="4" t="s">
        <v>517</v>
      </c>
      <c r="T1903" s="4" t="s">
        <v>774</v>
      </c>
      <c r="U1903" s="4">
        <v>0</v>
      </c>
      <c r="V1903" s="4">
        <v>55</v>
      </c>
      <c r="W1903" s="4">
        <v>99</v>
      </c>
    </row>
    <row r="1904" spans="1:23" ht="11.25" customHeight="1" x14ac:dyDescent="0.25">
      <c r="A1904" s="4" t="s">
        <v>28</v>
      </c>
      <c r="B1904" s="4" t="s">
        <v>37</v>
      </c>
      <c r="C1904" s="4" t="s">
        <v>33</v>
      </c>
      <c r="D1904" s="4" t="s">
        <v>43</v>
      </c>
      <c r="E1904" s="4" t="s">
        <v>25</v>
      </c>
      <c r="F1904" s="4" t="s">
        <v>25</v>
      </c>
      <c r="G1904" s="4" t="s">
        <v>25</v>
      </c>
      <c r="H1904" s="4" t="s">
        <v>35</v>
      </c>
      <c r="I1904" s="5">
        <v>44440</v>
      </c>
      <c r="J1904" s="6">
        <v>0</v>
      </c>
      <c r="K1904" s="6">
        <v>0</v>
      </c>
      <c r="L1904" s="6">
        <v>12.56</v>
      </c>
      <c r="M1904" s="6">
        <v>12.56</v>
      </c>
      <c r="N1904" s="6">
        <v>12.56</v>
      </c>
      <c r="O1904" s="6">
        <v>12.56</v>
      </c>
      <c r="P1904" s="6">
        <v>0</v>
      </c>
      <c r="Q1904" s="4" t="s">
        <v>26</v>
      </c>
      <c r="R1904" s="4">
        <v>0</v>
      </c>
      <c r="S1904" s="4" t="s">
        <v>517</v>
      </c>
      <c r="T1904" s="4" t="s">
        <v>774</v>
      </c>
      <c r="U1904" s="4">
        <v>0</v>
      </c>
      <c r="V1904" s="4">
        <v>55</v>
      </c>
      <c r="W1904" s="4">
        <v>99</v>
      </c>
    </row>
    <row r="1905" spans="1:23" ht="11.25" customHeight="1" x14ac:dyDescent="0.25">
      <c r="A1905" s="4" t="s">
        <v>21</v>
      </c>
      <c r="B1905" s="4" t="s">
        <v>37</v>
      </c>
      <c r="C1905" s="4" t="s">
        <v>33</v>
      </c>
      <c r="D1905" s="4" t="s">
        <v>43</v>
      </c>
      <c r="E1905" s="4" t="s">
        <v>25</v>
      </c>
      <c r="F1905" s="4" t="s">
        <v>25</v>
      </c>
      <c r="G1905" s="4" t="s">
        <v>25</v>
      </c>
      <c r="H1905" s="4" t="s">
        <v>35</v>
      </c>
      <c r="I1905" s="5">
        <v>44470</v>
      </c>
      <c r="J1905" s="6">
        <v>0</v>
      </c>
      <c r="K1905" s="6">
        <v>0</v>
      </c>
      <c r="L1905" s="6">
        <v>63.683</v>
      </c>
      <c r="M1905" s="6">
        <v>63.683</v>
      </c>
      <c r="N1905" s="6">
        <v>63.683</v>
      </c>
      <c r="O1905" s="6">
        <v>63.683</v>
      </c>
      <c r="P1905" s="6">
        <v>0</v>
      </c>
      <c r="Q1905" s="4" t="s">
        <v>26</v>
      </c>
      <c r="R1905" s="4">
        <v>0</v>
      </c>
      <c r="S1905" s="4" t="s">
        <v>518</v>
      </c>
      <c r="T1905" s="4" t="s">
        <v>775</v>
      </c>
      <c r="U1905" s="4">
        <v>0</v>
      </c>
      <c r="V1905" s="4">
        <v>55</v>
      </c>
      <c r="W1905" s="4">
        <v>99</v>
      </c>
    </row>
    <row r="1906" spans="1:23" ht="11.25" customHeight="1" x14ac:dyDescent="0.25">
      <c r="A1906" s="4" t="s">
        <v>28</v>
      </c>
      <c r="B1906" s="4" t="s">
        <v>37</v>
      </c>
      <c r="C1906" s="4" t="s">
        <v>33</v>
      </c>
      <c r="D1906" s="4" t="s">
        <v>43</v>
      </c>
      <c r="E1906" s="4" t="s">
        <v>25</v>
      </c>
      <c r="F1906" s="4" t="s">
        <v>25</v>
      </c>
      <c r="G1906" s="4" t="s">
        <v>25</v>
      </c>
      <c r="H1906" s="4" t="s">
        <v>35</v>
      </c>
      <c r="I1906" s="5">
        <v>44470</v>
      </c>
      <c r="J1906" s="6">
        <v>0</v>
      </c>
      <c r="K1906" s="6">
        <v>0</v>
      </c>
      <c r="L1906" s="6">
        <v>14.234999999999999</v>
      </c>
      <c r="M1906" s="6">
        <v>14.234999999999999</v>
      </c>
      <c r="N1906" s="6">
        <v>14.234999999999999</v>
      </c>
      <c r="O1906" s="6">
        <v>14.234999999999999</v>
      </c>
      <c r="P1906" s="6">
        <v>0</v>
      </c>
      <c r="Q1906" s="4" t="s">
        <v>26</v>
      </c>
      <c r="R1906" s="4">
        <v>0</v>
      </c>
      <c r="S1906" s="4" t="s">
        <v>518</v>
      </c>
      <c r="T1906" s="4" t="s">
        <v>775</v>
      </c>
      <c r="U1906" s="4">
        <v>0</v>
      </c>
      <c r="V1906" s="4">
        <v>55</v>
      </c>
      <c r="W1906" s="4">
        <v>99</v>
      </c>
    </row>
    <row r="1907" spans="1:23" ht="11.25" customHeight="1" x14ac:dyDescent="0.25">
      <c r="A1907" s="4" t="s">
        <v>21</v>
      </c>
      <c r="B1907" s="4" t="s">
        <v>37</v>
      </c>
      <c r="C1907" s="4" t="s">
        <v>33</v>
      </c>
      <c r="D1907" s="4" t="s">
        <v>43</v>
      </c>
      <c r="E1907" s="4" t="s">
        <v>25</v>
      </c>
      <c r="F1907" s="4" t="s">
        <v>25</v>
      </c>
      <c r="G1907" s="4" t="s">
        <v>25</v>
      </c>
      <c r="H1907" s="4" t="s">
        <v>35</v>
      </c>
      <c r="I1907" s="5">
        <v>44501</v>
      </c>
      <c r="J1907" s="6">
        <v>0</v>
      </c>
      <c r="K1907" s="6">
        <v>0</v>
      </c>
      <c r="L1907" s="6">
        <v>65.144000000000005</v>
      </c>
      <c r="M1907" s="6">
        <v>65.144000000000005</v>
      </c>
      <c r="N1907" s="6">
        <v>65.144000000000005</v>
      </c>
      <c r="O1907" s="6">
        <v>65.144000000000005</v>
      </c>
      <c r="P1907" s="6">
        <v>0</v>
      </c>
      <c r="Q1907" s="4" t="s">
        <v>26</v>
      </c>
      <c r="R1907" s="4">
        <v>0</v>
      </c>
      <c r="S1907" s="4" t="s">
        <v>519</v>
      </c>
      <c r="T1907" s="4" t="s">
        <v>776</v>
      </c>
      <c r="U1907" s="4">
        <v>0</v>
      </c>
      <c r="V1907" s="4">
        <v>55</v>
      </c>
      <c r="W1907" s="4">
        <v>99</v>
      </c>
    </row>
    <row r="1908" spans="1:23" ht="11.25" customHeight="1" x14ac:dyDescent="0.25">
      <c r="A1908" s="4" t="s">
        <v>28</v>
      </c>
      <c r="B1908" s="4" t="s">
        <v>37</v>
      </c>
      <c r="C1908" s="4" t="s">
        <v>33</v>
      </c>
      <c r="D1908" s="4" t="s">
        <v>43</v>
      </c>
      <c r="E1908" s="4" t="s">
        <v>25</v>
      </c>
      <c r="F1908" s="4" t="s">
        <v>25</v>
      </c>
      <c r="G1908" s="4" t="s">
        <v>25</v>
      </c>
      <c r="H1908" s="4" t="s">
        <v>35</v>
      </c>
      <c r="I1908" s="5">
        <v>44501</v>
      </c>
      <c r="J1908" s="6">
        <v>0</v>
      </c>
      <c r="K1908" s="6">
        <v>0</v>
      </c>
      <c r="L1908" s="6">
        <v>15.669</v>
      </c>
      <c r="M1908" s="6">
        <v>15.669</v>
      </c>
      <c r="N1908" s="6">
        <v>15.669</v>
      </c>
      <c r="O1908" s="6">
        <v>15.669</v>
      </c>
      <c r="P1908" s="6">
        <v>0</v>
      </c>
      <c r="Q1908" s="4" t="s">
        <v>26</v>
      </c>
      <c r="R1908" s="4">
        <v>0</v>
      </c>
      <c r="S1908" s="4" t="s">
        <v>519</v>
      </c>
      <c r="T1908" s="4" t="s">
        <v>776</v>
      </c>
      <c r="U1908" s="4">
        <v>0</v>
      </c>
      <c r="V1908" s="4">
        <v>55</v>
      </c>
      <c r="W1908" s="4">
        <v>99</v>
      </c>
    </row>
    <row r="1909" spans="1:23" ht="11.25" customHeight="1" x14ac:dyDescent="0.25">
      <c r="A1909" s="4" t="s">
        <v>21</v>
      </c>
      <c r="B1909" s="4" t="s">
        <v>37</v>
      </c>
      <c r="C1909" s="4" t="s">
        <v>33</v>
      </c>
      <c r="D1909" s="4" t="s">
        <v>43</v>
      </c>
      <c r="E1909" s="4" t="s">
        <v>25</v>
      </c>
      <c r="F1909" s="4" t="s">
        <v>25</v>
      </c>
      <c r="G1909" s="4" t="s">
        <v>25</v>
      </c>
      <c r="H1909" s="4" t="s">
        <v>35</v>
      </c>
      <c r="I1909" s="5">
        <v>44531</v>
      </c>
      <c r="J1909" s="6">
        <v>0</v>
      </c>
      <c r="K1909" s="6">
        <v>0</v>
      </c>
      <c r="L1909" s="6">
        <v>75.384</v>
      </c>
      <c r="M1909" s="6">
        <v>75.384</v>
      </c>
      <c r="N1909" s="6">
        <v>75.384</v>
      </c>
      <c r="O1909" s="6">
        <v>75.384</v>
      </c>
      <c r="P1909" s="6">
        <v>0</v>
      </c>
      <c r="Q1909" s="4" t="s">
        <v>26</v>
      </c>
      <c r="R1909" s="4">
        <v>0</v>
      </c>
      <c r="S1909" s="4" t="s">
        <v>520</v>
      </c>
      <c r="T1909" s="4" t="s">
        <v>777</v>
      </c>
      <c r="U1909" s="4">
        <v>0</v>
      </c>
      <c r="V1909" s="4">
        <v>55</v>
      </c>
      <c r="W1909" s="4">
        <v>99</v>
      </c>
    </row>
    <row r="1910" spans="1:23" ht="11.25" customHeight="1" x14ac:dyDescent="0.25">
      <c r="A1910" s="4" t="s">
        <v>27</v>
      </c>
      <c r="B1910" s="4" t="s">
        <v>37</v>
      </c>
      <c r="C1910" s="4" t="s">
        <v>33</v>
      </c>
      <c r="D1910" s="4" t="s">
        <v>43</v>
      </c>
      <c r="E1910" s="4" t="s">
        <v>25</v>
      </c>
      <c r="F1910" s="4" t="s">
        <v>25</v>
      </c>
      <c r="G1910" s="4" t="s">
        <v>25</v>
      </c>
      <c r="H1910" s="4" t="s">
        <v>35</v>
      </c>
      <c r="I1910" s="5">
        <v>44531</v>
      </c>
      <c r="J1910" s="6">
        <v>0</v>
      </c>
      <c r="K1910" s="6">
        <v>0</v>
      </c>
      <c r="L1910" s="6">
        <v>3.1E-2</v>
      </c>
      <c r="M1910" s="6">
        <v>3.1E-2</v>
      </c>
      <c r="N1910" s="6">
        <v>3.1E-2</v>
      </c>
      <c r="O1910" s="6">
        <v>3.1E-2</v>
      </c>
      <c r="P1910" s="6">
        <v>0</v>
      </c>
      <c r="Q1910" s="4" t="s">
        <v>26</v>
      </c>
      <c r="R1910" s="4">
        <v>0</v>
      </c>
      <c r="S1910" s="4" t="s">
        <v>520</v>
      </c>
      <c r="T1910" s="4" t="s">
        <v>777</v>
      </c>
      <c r="U1910" s="4">
        <v>0</v>
      </c>
      <c r="V1910" s="4">
        <v>55</v>
      </c>
      <c r="W1910" s="4">
        <v>99</v>
      </c>
    </row>
    <row r="1911" spans="1:23" ht="11.25" customHeight="1" x14ac:dyDescent="0.25">
      <c r="A1911" s="4" t="s">
        <v>28</v>
      </c>
      <c r="B1911" s="4" t="s">
        <v>37</v>
      </c>
      <c r="C1911" s="4" t="s">
        <v>33</v>
      </c>
      <c r="D1911" s="4" t="s">
        <v>43</v>
      </c>
      <c r="E1911" s="4" t="s">
        <v>25</v>
      </c>
      <c r="F1911" s="4" t="s">
        <v>25</v>
      </c>
      <c r="G1911" s="4" t="s">
        <v>25</v>
      </c>
      <c r="H1911" s="4" t="s">
        <v>35</v>
      </c>
      <c r="I1911" s="5">
        <v>44531</v>
      </c>
      <c r="J1911" s="6">
        <v>0</v>
      </c>
      <c r="K1911" s="6">
        <v>0</v>
      </c>
      <c r="L1911" s="6">
        <v>22.283999999999999</v>
      </c>
      <c r="M1911" s="6">
        <v>22.283999999999999</v>
      </c>
      <c r="N1911" s="6">
        <v>22.283999999999999</v>
      </c>
      <c r="O1911" s="6">
        <v>22.283999999999999</v>
      </c>
      <c r="P1911" s="6">
        <v>0</v>
      </c>
      <c r="Q1911" s="4" t="s">
        <v>26</v>
      </c>
      <c r="R1911" s="4">
        <v>0</v>
      </c>
      <c r="S1911" s="4" t="s">
        <v>520</v>
      </c>
      <c r="T1911" s="4" t="s">
        <v>777</v>
      </c>
      <c r="U1911" s="4">
        <v>0</v>
      </c>
      <c r="V1911" s="4">
        <v>55</v>
      </c>
      <c r="W1911" s="4">
        <v>99</v>
      </c>
    </row>
    <row r="1912" spans="1:23" ht="11.25" customHeight="1" x14ac:dyDescent="0.25">
      <c r="A1912" s="4" t="s">
        <v>21</v>
      </c>
      <c r="B1912" s="4" t="s">
        <v>37</v>
      </c>
      <c r="C1912" s="4" t="s">
        <v>33</v>
      </c>
      <c r="D1912" s="4" t="s">
        <v>43</v>
      </c>
      <c r="E1912" s="4" t="s">
        <v>25</v>
      </c>
      <c r="F1912" s="4" t="s">
        <v>25</v>
      </c>
      <c r="G1912" s="4" t="s">
        <v>25</v>
      </c>
      <c r="H1912" s="4" t="s">
        <v>35</v>
      </c>
      <c r="I1912" s="5">
        <v>44562</v>
      </c>
      <c r="J1912" s="6">
        <v>0</v>
      </c>
      <c r="K1912" s="6">
        <v>0</v>
      </c>
      <c r="L1912" s="6">
        <v>73.602000000000004</v>
      </c>
      <c r="M1912" s="6">
        <v>73.602000000000004</v>
      </c>
      <c r="N1912" s="6">
        <v>73.602000000000004</v>
      </c>
      <c r="O1912" s="6">
        <v>73.602000000000004</v>
      </c>
      <c r="P1912" s="6">
        <v>0</v>
      </c>
      <c r="Q1912" s="4" t="s">
        <v>26</v>
      </c>
      <c r="R1912" s="4">
        <v>0</v>
      </c>
      <c r="S1912" s="4" t="s">
        <v>521</v>
      </c>
      <c r="T1912" s="4" t="s">
        <v>778</v>
      </c>
      <c r="U1912" s="4">
        <v>0</v>
      </c>
      <c r="V1912" s="4">
        <v>55</v>
      </c>
      <c r="W1912" s="4">
        <v>99</v>
      </c>
    </row>
    <row r="1913" spans="1:23" ht="11.25" customHeight="1" x14ac:dyDescent="0.25">
      <c r="A1913" s="4" t="s">
        <v>27</v>
      </c>
      <c r="B1913" s="4" t="s">
        <v>37</v>
      </c>
      <c r="C1913" s="4" t="s">
        <v>33</v>
      </c>
      <c r="D1913" s="4" t="s">
        <v>43</v>
      </c>
      <c r="E1913" s="4" t="s">
        <v>25</v>
      </c>
      <c r="F1913" s="4" t="s">
        <v>25</v>
      </c>
      <c r="G1913" s="4" t="s">
        <v>25</v>
      </c>
      <c r="H1913" s="4" t="s">
        <v>35</v>
      </c>
      <c r="I1913" s="5">
        <v>44562</v>
      </c>
      <c r="J1913" s="6">
        <v>0</v>
      </c>
      <c r="K1913" s="6">
        <v>0</v>
      </c>
      <c r="L1913" s="6">
        <v>0.23300000000000001</v>
      </c>
      <c r="M1913" s="6">
        <v>0.23300000000000001</v>
      </c>
      <c r="N1913" s="6">
        <v>0.23300000000000001</v>
      </c>
      <c r="O1913" s="6">
        <v>0.23300000000000001</v>
      </c>
      <c r="P1913" s="6">
        <v>0</v>
      </c>
      <c r="Q1913" s="4" t="s">
        <v>26</v>
      </c>
      <c r="R1913" s="4">
        <v>0</v>
      </c>
      <c r="S1913" s="4" t="s">
        <v>521</v>
      </c>
      <c r="T1913" s="4" t="s">
        <v>778</v>
      </c>
      <c r="U1913" s="4">
        <v>0</v>
      </c>
      <c r="V1913" s="4">
        <v>55</v>
      </c>
      <c r="W1913" s="4">
        <v>99</v>
      </c>
    </row>
    <row r="1914" spans="1:23" ht="11.25" customHeight="1" x14ac:dyDescent="0.25">
      <c r="A1914" s="4" t="s">
        <v>28</v>
      </c>
      <c r="B1914" s="4" t="s">
        <v>37</v>
      </c>
      <c r="C1914" s="4" t="s">
        <v>33</v>
      </c>
      <c r="D1914" s="4" t="s">
        <v>43</v>
      </c>
      <c r="E1914" s="4" t="s">
        <v>25</v>
      </c>
      <c r="F1914" s="4" t="s">
        <v>25</v>
      </c>
      <c r="G1914" s="4" t="s">
        <v>25</v>
      </c>
      <c r="H1914" s="4" t="s">
        <v>35</v>
      </c>
      <c r="I1914" s="5">
        <v>44562</v>
      </c>
      <c r="J1914" s="6">
        <v>0</v>
      </c>
      <c r="K1914" s="6">
        <v>0</v>
      </c>
      <c r="L1914" s="6">
        <v>15.602</v>
      </c>
      <c r="M1914" s="6">
        <v>15.602</v>
      </c>
      <c r="N1914" s="6">
        <v>15.602</v>
      </c>
      <c r="O1914" s="6">
        <v>15.602</v>
      </c>
      <c r="P1914" s="6">
        <v>0</v>
      </c>
      <c r="Q1914" s="4" t="s">
        <v>26</v>
      </c>
      <c r="R1914" s="4">
        <v>0</v>
      </c>
      <c r="S1914" s="4" t="s">
        <v>521</v>
      </c>
      <c r="T1914" s="4" t="s">
        <v>778</v>
      </c>
      <c r="U1914" s="4">
        <v>0</v>
      </c>
      <c r="V1914" s="4">
        <v>55</v>
      </c>
      <c r="W1914" s="4">
        <v>99</v>
      </c>
    </row>
    <row r="1915" spans="1:23" ht="11.25" customHeight="1" x14ac:dyDescent="0.25">
      <c r="A1915" s="4" t="s">
        <v>28</v>
      </c>
      <c r="B1915" s="4" t="s">
        <v>37</v>
      </c>
      <c r="C1915" s="4" t="s">
        <v>33</v>
      </c>
      <c r="D1915" s="4" t="s">
        <v>43</v>
      </c>
      <c r="E1915" s="4" t="s">
        <v>25</v>
      </c>
      <c r="F1915" s="4" t="s">
        <v>25</v>
      </c>
      <c r="G1915" s="4" t="s">
        <v>25</v>
      </c>
      <c r="H1915" s="4" t="s">
        <v>35</v>
      </c>
      <c r="I1915" s="5">
        <v>44562</v>
      </c>
      <c r="J1915" s="6">
        <v>0</v>
      </c>
      <c r="K1915" s="6">
        <v>0</v>
      </c>
      <c r="L1915" s="6">
        <v>-6.673</v>
      </c>
      <c r="M1915" s="6">
        <v>-6.673</v>
      </c>
      <c r="N1915" s="6">
        <v>-6.673</v>
      </c>
      <c r="O1915" s="6">
        <v>-6.673</v>
      </c>
      <c r="P1915" s="6">
        <v>0</v>
      </c>
      <c r="Q1915" s="4" t="s">
        <v>26</v>
      </c>
      <c r="R1915" s="4">
        <v>0</v>
      </c>
      <c r="S1915" s="4" t="s">
        <v>521</v>
      </c>
      <c r="T1915" s="4" t="s">
        <v>778</v>
      </c>
      <c r="U1915" s="4">
        <v>0</v>
      </c>
      <c r="V1915" s="4">
        <v>55</v>
      </c>
      <c r="W1915" s="4">
        <v>99</v>
      </c>
    </row>
    <row r="1916" spans="1:23" ht="11.25" customHeight="1" x14ac:dyDescent="0.25">
      <c r="A1916" s="4" t="s">
        <v>21</v>
      </c>
      <c r="B1916" s="4" t="s">
        <v>37</v>
      </c>
      <c r="C1916" s="4" t="s">
        <v>33</v>
      </c>
      <c r="D1916" s="4" t="s">
        <v>43</v>
      </c>
      <c r="E1916" s="4" t="s">
        <v>25</v>
      </c>
      <c r="F1916" s="4" t="s">
        <v>25</v>
      </c>
      <c r="G1916" s="4" t="s">
        <v>25</v>
      </c>
      <c r="H1916" s="4" t="s">
        <v>35</v>
      </c>
      <c r="I1916" s="5">
        <v>44593</v>
      </c>
      <c r="J1916" s="6">
        <v>0</v>
      </c>
      <c r="K1916" s="6">
        <v>0</v>
      </c>
      <c r="L1916" s="6">
        <v>74.090999999999994</v>
      </c>
      <c r="M1916" s="6">
        <v>74.090999999999994</v>
      </c>
      <c r="N1916" s="6">
        <v>74.090999999999994</v>
      </c>
      <c r="O1916" s="6">
        <v>74.090999999999994</v>
      </c>
      <c r="P1916" s="6">
        <v>0</v>
      </c>
      <c r="Q1916" s="4" t="s">
        <v>26</v>
      </c>
      <c r="R1916" s="4">
        <v>0</v>
      </c>
      <c r="S1916" s="4" t="s">
        <v>522</v>
      </c>
      <c r="T1916" s="4" t="s">
        <v>779</v>
      </c>
      <c r="U1916" s="4">
        <v>0</v>
      </c>
      <c r="V1916" s="4">
        <v>55</v>
      </c>
      <c r="W1916" s="4">
        <v>99</v>
      </c>
    </row>
    <row r="1917" spans="1:23" ht="11.25" customHeight="1" x14ac:dyDescent="0.25">
      <c r="A1917" s="4" t="s">
        <v>28</v>
      </c>
      <c r="B1917" s="4" t="s">
        <v>37</v>
      </c>
      <c r="C1917" s="4" t="s">
        <v>33</v>
      </c>
      <c r="D1917" s="4" t="s">
        <v>43</v>
      </c>
      <c r="E1917" s="4" t="s">
        <v>25</v>
      </c>
      <c r="F1917" s="4" t="s">
        <v>25</v>
      </c>
      <c r="G1917" s="4" t="s">
        <v>25</v>
      </c>
      <c r="H1917" s="4" t="s">
        <v>35</v>
      </c>
      <c r="I1917" s="5">
        <v>44593</v>
      </c>
      <c r="J1917" s="6">
        <v>0</v>
      </c>
      <c r="K1917" s="6">
        <v>0</v>
      </c>
      <c r="L1917" s="6">
        <v>8.1669999999999998</v>
      </c>
      <c r="M1917" s="6">
        <v>8.1669999999999998</v>
      </c>
      <c r="N1917" s="6">
        <v>8.1669999999999998</v>
      </c>
      <c r="O1917" s="6">
        <v>8.1669999999999998</v>
      </c>
      <c r="P1917" s="6">
        <v>0</v>
      </c>
      <c r="Q1917" s="4" t="s">
        <v>26</v>
      </c>
      <c r="R1917" s="4">
        <v>0</v>
      </c>
      <c r="S1917" s="4" t="s">
        <v>522</v>
      </c>
      <c r="T1917" s="4" t="s">
        <v>779</v>
      </c>
      <c r="U1917" s="4">
        <v>0</v>
      </c>
      <c r="V1917" s="4">
        <v>55</v>
      </c>
      <c r="W1917" s="4">
        <v>99</v>
      </c>
    </row>
    <row r="1918" spans="1:23" ht="11.25" customHeight="1" x14ac:dyDescent="0.25">
      <c r="A1918" s="4" t="s">
        <v>21</v>
      </c>
      <c r="B1918" s="4" t="s">
        <v>37</v>
      </c>
      <c r="C1918" s="4" t="s">
        <v>33</v>
      </c>
      <c r="D1918" s="4" t="s">
        <v>43</v>
      </c>
      <c r="E1918" s="4" t="s">
        <v>25</v>
      </c>
      <c r="F1918" s="4" t="s">
        <v>25</v>
      </c>
      <c r="G1918" s="4" t="s">
        <v>25</v>
      </c>
      <c r="H1918" s="4" t="s">
        <v>35</v>
      </c>
      <c r="I1918" s="5">
        <v>44621</v>
      </c>
      <c r="J1918" s="6">
        <v>0</v>
      </c>
      <c r="K1918" s="6">
        <v>0</v>
      </c>
      <c r="L1918" s="6">
        <v>83.069000000000003</v>
      </c>
      <c r="M1918" s="6">
        <v>83.069000000000003</v>
      </c>
      <c r="N1918" s="6">
        <v>83.069000000000003</v>
      </c>
      <c r="O1918" s="6">
        <v>83.069000000000003</v>
      </c>
      <c r="P1918" s="6">
        <v>0</v>
      </c>
      <c r="Q1918" s="4" t="s">
        <v>26</v>
      </c>
      <c r="R1918" s="4">
        <v>0</v>
      </c>
      <c r="S1918" s="4" t="s">
        <v>523</v>
      </c>
      <c r="T1918" s="4" t="s">
        <v>780</v>
      </c>
      <c r="U1918" s="4">
        <v>0</v>
      </c>
      <c r="V1918" s="4">
        <v>55</v>
      </c>
      <c r="W1918" s="4">
        <v>99</v>
      </c>
    </row>
    <row r="1919" spans="1:23" ht="11.25" customHeight="1" x14ac:dyDescent="0.25">
      <c r="A1919" s="4" t="s">
        <v>28</v>
      </c>
      <c r="B1919" s="4" t="s">
        <v>37</v>
      </c>
      <c r="C1919" s="4" t="s">
        <v>33</v>
      </c>
      <c r="D1919" s="4" t="s">
        <v>43</v>
      </c>
      <c r="E1919" s="4" t="s">
        <v>25</v>
      </c>
      <c r="F1919" s="4" t="s">
        <v>25</v>
      </c>
      <c r="G1919" s="4" t="s">
        <v>25</v>
      </c>
      <c r="H1919" s="4" t="s">
        <v>35</v>
      </c>
      <c r="I1919" s="5">
        <v>44621</v>
      </c>
      <c r="J1919" s="6">
        <v>0</v>
      </c>
      <c r="K1919" s="6">
        <v>0</v>
      </c>
      <c r="L1919" s="6">
        <v>11.651999999999999</v>
      </c>
      <c r="M1919" s="6">
        <v>11.651999999999999</v>
      </c>
      <c r="N1919" s="6">
        <v>11.651999999999999</v>
      </c>
      <c r="O1919" s="6">
        <v>11.651999999999999</v>
      </c>
      <c r="P1919" s="6">
        <v>0</v>
      </c>
      <c r="Q1919" s="4" t="s">
        <v>26</v>
      </c>
      <c r="R1919" s="4">
        <v>0</v>
      </c>
      <c r="S1919" s="4" t="s">
        <v>523</v>
      </c>
      <c r="T1919" s="4" t="s">
        <v>780</v>
      </c>
      <c r="U1919" s="4">
        <v>0</v>
      </c>
      <c r="V1919" s="4">
        <v>55</v>
      </c>
      <c r="W1919" s="4">
        <v>99</v>
      </c>
    </row>
    <row r="1920" spans="1:23" ht="11.25" customHeight="1" x14ac:dyDescent="0.25">
      <c r="A1920" s="4" t="s">
        <v>21</v>
      </c>
      <c r="B1920" s="4" t="s">
        <v>37</v>
      </c>
      <c r="C1920" s="4" t="s">
        <v>33</v>
      </c>
      <c r="D1920" s="4" t="s">
        <v>43</v>
      </c>
      <c r="E1920" s="4" t="s">
        <v>25</v>
      </c>
      <c r="F1920" s="4" t="s">
        <v>25</v>
      </c>
      <c r="G1920" s="4" t="s">
        <v>25</v>
      </c>
      <c r="H1920" s="4" t="s">
        <v>35</v>
      </c>
      <c r="I1920" s="5">
        <v>44652</v>
      </c>
      <c r="J1920" s="6">
        <v>0</v>
      </c>
      <c r="K1920" s="6">
        <v>0</v>
      </c>
      <c r="L1920" s="6">
        <v>77.8</v>
      </c>
      <c r="M1920" s="6">
        <v>77.8</v>
      </c>
      <c r="N1920" s="6">
        <v>77.8</v>
      </c>
      <c r="O1920" s="6">
        <v>77.8</v>
      </c>
      <c r="P1920" s="6">
        <v>0</v>
      </c>
      <c r="Q1920" s="4" t="s">
        <v>26</v>
      </c>
      <c r="R1920" s="4">
        <v>0</v>
      </c>
      <c r="S1920" s="4" t="s">
        <v>524</v>
      </c>
      <c r="T1920" s="4" t="s">
        <v>781</v>
      </c>
      <c r="U1920" s="4">
        <v>0</v>
      </c>
      <c r="V1920" s="4">
        <v>55</v>
      </c>
      <c r="W1920" s="4">
        <v>99</v>
      </c>
    </row>
    <row r="1921" spans="1:23" ht="11.25" customHeight="1" x14ac:dyDescent="0.25">
      <c r="A1921" s="4" t="s">
        <v>28</v>
      </c>
      <c r="B1921" s="4" t="s">
        <v>37</v>
      </c>
      <c r="C1921" s="4" t="s">
        <v>33</v>
      </c>
      <c r="D1921" s="4" t="s">
        <v>43</v>
      </c>
      <c r="E1921" s="4" t="s">
        <v>25</v>
      </c>
      <c r="F1921" s="4" t="s">
        <v>25</v>
      </c>
      <c r="G1921" s="4" t="s">
        <v>25</v>
      </c>
      <c r="H1921" s="4" t="s">
        <v>35</v>
      </c>
      <c r="I1921" s="5">
        <v>44652</v>
      </c>
      <c r="J1921" s="6">
        <v>0</v>
      </c>
      <c r="K1921" s="6">
        <v>0</v>
      </c>
      <c r="L1921" s="6">
        <v>4.1619999999999999</v>
      </c>
      <c r="M1921" s="6">
        <v>4.1619999999999999</v>
      </c>
      <c r="N1921" s="6">
        <v>4.1619999999999999</v>
      </c>
      <c r="O1921" s="6">
        <v>4.1619999999999999</v>
      </c>
      <c r="P1921" s="6">
        <v>0</v>
      </c>
      <c r="Q1921" s="4" t="s">
        <v>26</v>
      </c>
      <c r="R1921" s="4">
        <v>0</v>
      </c>
      <c r="S1921" s="4" t="s">
        <v>524</v>
      </c>
      <c r="T1921" s="4" t="s">
        <v>781</v>
      </c>
      <c r="U1921" s="4">
        <v>0</v>
      </c>
      <c r="V1921" s="4">
        <v>55</v>
      </c>
      <c r="W1921" s="4">
        <v>99</v>
      </c>
    </row>
    <row r="1922" spans="1:23" ht="11.25" customHeight="1" x14ac:dyDescent="0.25">
      <c r="A1922" s="4" t="s">
        <v>21</v>
      </c>
      <c r="B1922" s="4" t="s">
        <v>37</v>
      </c>
      <c r="C1922" s="4" t="s">
        <v>33</v>
      </c>
      <c r="D1922" s="4" t="s">
        <v>43</v>
      </c>
      <c r="E1922" s="4" t="s">
        <v>25</v>
      </c>
      <c r="F1922" s="4" t="s">
        <v>25</v>
      </c>
      <c r="G1922" s="4" t="s">
        <v>25</v>
      </c>
      <c r="H1922" s="4" t="s">
        <v>35</v>
      </c>
      <c r="I1922" s="5">
        <v>44682</v>
      </c>
      <c r="J1922" s="6">
        <v>0</v>
      </c>
      <c r="K1922" s="6">
        <v>0</v>
      </c>
      <c r="L1922" s="6">
        <v>77.960999999999999</v>
      </c>
      <c r="M1922" s="6">
        <v>77.960999999999999</v>
      </c>
      <c r="N1922" s="6">
        <v>77.960999999999999</v>
      </c>
      <c r="O1922" s="6">
        <v>77.960999999999999</v>
      </c>
      <c r="P1922" s="6">
        <v>0</v>
      </c>
      <c r="Q1922" s="4" t="s">
        <v>26</v>
      </c>
      <c r="R1922" s="4">
        <v>0</v>
      </c>
      <c r="S1922" s="4" t="s">
        <v>525</v>
      </c>
      <c r="T1922" s="4" t="s">
        <v>782</v>
      </c>
      <c r="U1922" s="4">
        <v>0</v>
      </c>
      <c r="V1922" s="4">
        <v>55</v>
      </c>
      <c r="W1922" s="4">
        <v>99</v>
      </c>
    </row>
    <row r="1923" spans="1:23" ht="11.25" customHeight="1" x14ac:dyDescent="0.25">
      <c r="A1923" s="4" t="s">
        <v>28</v>
      </c>
      <c r="B1923" s="4" t="s">
        <v>37</v>
      </c>
      <c r="C1923" s="4" t="s">
        <v>33</v>
      </c>
      <c r="D1923" s="4" t="s">
        <v>43</v>
      </c>
      <c r="E1923" s="4" t="s">
        <v>25</v>
      </c>
      <c r="F1923" s="4" t="s">
        <v>25</v>
      </c>
      <c r="G1923" s="4" t="s">
        <v>25</v>
      </c>
      <c r="H1923" s="4" t="s">
        <v>35</v>
      </c>
      <c r="I1923" s="5">
        <v>44682</v>
      </c>
      <c r="J1923" s="6">
        <v>0</v>
      </c>
      <c r="K1923" s="6">
        <v>0</v>
      </c>
      <c r="L1923" s="6">
        <v>5.6619999999999999</v>
      </c>
      <c r="M1923" s="6">
        <v>5.6619999999999999</v>
      </c>
      <c r="N1923" s="6">
        <v>5.6619999999999999</v>
      </c>
      <c r="O1923" s="6">
        <v>5.6619999999999999</v>
      </c>
      <c r="P1923" s="6">
        <v>0</v>
      </c>
      <c r="Q1923" s="4" t="s">
        <v>26</v>
      </c>
      <c r="R1923" s="4">
        <v>0</v>
      </c>
      <c r="S1923" s="4" t="s">
        <v>525</v>
      </c>
      <c r="T1923" s="4" t="s">
        <v>782</v>
      </c>
      <c r="U1923" s="4">
        <v>0</v>
      </c>
      <c r="V1923" s="4">
        <v>55</v>
      </c>
      <c r="W1923" s="4">
        <v>99</v>
      </c>
    </row>
    <row r="1924" spans="1:23" ht="11.25" customHeight="1" x14ac:dyDescent="0.25">
      <c r="A1924" s="4" t="s">
        <v>21</v>
      </c>
      <c r="B1924" s="4" t="s">
        <v>37</v>
      </c>
      <c r="C1924" s="4" t="s">
        <v>33</v>
      </c>
      <c r="D1924" s="4" t="s">
        <v>43</v>
      </c>
      <c r="E1924" s="4" t="s">
        <v>25</v>
      </c>
      <c r="F1924" s="4" t="s">
        <v>25</v>
      </c>
      <c r="G1924" s="4" t="s">
        <v>25</v>
      </c>
      <c r="H1924" s="4" t="s">
        <v>35</v>
      </c>
      <c r="I1924" s="5">
        <v>44713</v>
      </c>
      <c r="J1924" s="6">
        <v>0</v>
      </c>
      <c r="K1924" s="6">
        <v>0</v>
      </c>
      <c r="L1924" s="6">
        <v>68.433999999999997</v>
      </c>
      <c r="M1924" s="6">
        <v>68.433999999999997</v>
      </c>
      <c r="N1924" s="6">
        <v>68.433999999999997</v>
      </c>
      <c r="O1924" s="6">
        <v>68.433999999999997</v>
      </c>
      <c r="P1924" s="6">
        <v>0</v>
      </c>
      <c r="Q1924" s="4" t="s">
        <v>26</v>
      </c>
      <c r="R1924" s="4">
        <v>0</v>
      </c>
      <c r="S1924" s="4" t="s">
        <v>526</v>
      </c>
      <c r="T1924" s="4" t="s">
        <v>783</v>
      </c>
      <c r="U1924" s="4">
        <v>0</v>
      </c>
      <c r="V1924" s="4">
        <v>55</v>
      </c>
      <c r="W1924" s="4">
        <v>99</v>
      </c>
    </row>
    <row r="1925" spans="1:23" ht="11.25" customHeight="1" x14ac:dyDescent="0.25">
      <c r="A1925" s="4" t="s">
        <v>27</v>
      </c>
      <c r="B1925" s="4" t="s">
        <v>37</v>
      </c>
      <c r="C1925" s="4" t="s">
        <v>33</v>
      </c>
      <c r="D1925" s="4" t="s">
        <v>43</v>
      </c>
      <c r="E1925" s="4" t="s">
        <v>25</v>
      </c>
      <c r="F1925" s="4" t="s">
        <v>25</v>
      </c>
      <c r="G1925" s="4" t="s">
        <v>25</v>
      </c>
      <c r="H1925" s="4" t="s">
        <v>35</v>
      </c>
      <c r="I1925" s="5">
        <v>44713</v>
      </c>
      <c r="J1925" s="6">
        <v>0</v>
      </c>
      <c r="K1925" s="6">
        <v>0</v>
      </c>
      <c r="L1925" s="6">
        <v>1.292</v>
      </c>
      <c r="M1925" s="6">
        <v>1.292</v>
      </c>
      <c r="N1925" s="6">
        <v>1.292</v>
      </c>
      <c r="O1925" s="6">
        <v>1.292</v>
      </c>
      <c r="P1925" s="6">
        <v>0</v>
      </c>
      <c r="Q1925" s="4" t="s">
        <v>26</v>
      </c>
      <c r="R1925" s="4">
        <v>0</v>
      </c>
      <c r="S1925" s="4" t="s">
        <v>526</v>
      </c>
      <c r="T1925" s="4" t="s">
        <v>783</v>
      </c>
      <c r="U1925" s="4">
        <v>0</v>
      </c>
      <c r="V1925" s="4">
        <v>55</v>
      </c>
      <c r="W1925" s="4">
        <v>99</v>
      </c>
    </row>
    <row r="1926" spans="1:23" ht="11.25" customHeight="1" x14ac:dyDescent="0.25">
      <c r="A1926" s="4" t="s">
        <v>28</v>
      </c>
      <c r="B1926" s="4" t="s">
        <v>37</v>
      </c>
      <c r="C1926" s="4" t="s">
        <v>33</v>
      </c>
      <c r="D1926" s="4" t="s">
        <v>43</v>
      </c>
      <c r="E1926" s="4" t="s">
        <v>25</v>
      </c>
      <c r="F1926" s="4" t="s">
        <v>25</v>
      </c>
      <c r="G1926" s="4" t="s">
        <v>25</v>
      </c>
      <c r="H1926" s="4" t="s">
        <v>35</v>
      </c>
      <c r="I1926" s="5">
        <v>44713</v>
      </c>
      <c r="J1926" s="6">
        <v>0</v>
      </c>
      <c r="K1926" s="6">
        <v>0</v>
      </c>
      <c r="L1926" s="6">
        <v>5.43</v>
      </c>
      <c r="M1926" s="6">
        <v>5.43</v>
      </c>
      <c r="N1926" s="6">
        <v>5.43</v>
      </c>
      <c r="O1926" s="6">
        <v>5.43</v>
      </c>
      <c r="P1926" s="6">
        <v>0</v>
      </c>
      <c r="Q1926" s="4" t="s">
        <v>26</v>
      </c>
      <c r="R1926" s="4">
        <v>0</v>
      </c>
      <c r="S1926" s="4" t="s">
        <v>526</v>
      </c>
      <c r="T1926" s="4" t="s">
        <v>783</v>
      </c>
      <c r="U1926" s="4">
        <v>0</v>
      </c>
      <c r="V1926" s="4">
        <v>55</v>
      </c>
      <c r="W1926" s="4">
        <v>99</v>
      </c>
    </row>
    <row r="1927" spans="1:23" ht="11.25" customHeight="1" x14ac:dyDescent="0.25">
      <c r="A1927" s="4" t="s">
        <v>57</v>
      </c>
      <c r="B1927" s="4" t="s">
        <v>37</v>
      </c>
      <c r="C1927" s="4" t="s">
        <v>33</v>
      </c>
      <c r="D1927" s="4" t="s">
        <v>43</v>
      </c>
      <c r="E1927" s="4" t="s">
        <v>25</v>
      </c>
      <c r="F1927" s="4" t="s">
        <v>25</v>
      </c>
      <c r="G1927" s="4" t="s">
        <v>25</v>
      </c>
      <c r="H1927" s="4" t="s">
        <v>35</v>
      </c>
      <c r="I1927" s="5">
        <v>44743</v>
      </c>
      <c r="J1927" s="6">
        <v>0</v>
      </c>
      <c r="K1927" s="6">
        <v>0</v>
      </c>
      <c r="L1927" s="6">
        <v>68.433999999999997</v>
      </c>
      <c r="M1927" s="6">
        <v>68.433999999999997</v>
      </c>
      <c r="N1927" s="6">
        <v>68.433999999999997</v>
      </c>
      <c r="O1927" s="6">
        <v>68.433999999999997</v>
      </c>
      <c r="P1927" s="6">
        <v>0</v>
      </c>
      <c r="Q1927" s="4" t="s">
        <v>26</v>
      </c>
      <c r="R1927" s="4">
        <v>0</v>
      </c>
      <c r="S1927" s="4" t="s">
        <v>527</v>
      </c>
      <c r="T1927" s="4" t="s">
        <v>784</v>
      </c>
      <c r="U1927" s="4">
        <v>0</v>
      </c>
      <c r="V1927" s="4">
        <v>55</v>
      </c>
      <c r="W1927" s="4">
        <v>99</v>
      </c>
    </row>
    <row r="1928" spans="1:23" ht="11.25" customHeight="1" x14ac:dyDescent="0.25">
      <c r="A1928" s="4" t="s">
        <v>57</v>
      </c>
      <c r="B1928" s="4" t="s">
        <v>37</v>
      </c>
      <c r="C1928" s="4" t="s">
        <v>33</v>
      </c>
      <c r="D1928" s="4" t="s">
        <v>43</v>
      </c>
      <c r="E1928" s="4" t="s">
        <v>25</v>
      </c>
      <c r="F1928" s="4" t="s">
        <v>25</v>
      </c>
      <c r="G1928" s="4" t="s">
        <v>25</v>
      </c>
      <c r="H1928" s="4" t="s">
        <v>35</v>
      </c>
      <c r="I1928" s="5">
        <v>44743</v>
      </c>
      <c r="J1928" s="6">
        <v>0</v>
      </c>
      <c r="K1928" s="6">
        <v>0</v>
      </c>
      <c r="L1928" s="6">
        <v>1.292</v>
      </c>
      <c r="M1928" s="6">
        <v>1.292</v>
      </c>
      <c r="N1928" s="6">
        <v>1.292</v>
      </c>
      <c r="O1928" s="6">
        <v>1.292</v>
      </c>
      <c r="P1928" s="6">
        <v>0</v>
      </c>
      <c r="Q1928" s="4" t="s">
        <v>26</v>
      </c>
      <c r="R1928" s="4">
        <v>0</v>
      </c>
      <c r="S1928" s="4" t="s">
        <v>527</v>
      </c>
      <c r="T1928" s="4" t="s">
        <v>784</v>
      </c>
      <c r="U1928" s="4">
        <v>0</v>
      </c>
      <c r="V1928" s="4">
        <v>55</v>
      </c>
      <c r="W1928" s="4">
        <v>99</v>
      </c>
    </row>
    <row r="1929" spans="1:23" ht="11.25" customHeight="1" x14ac:dyDescent="0.25">
      <c r="A1929" s="4" t="s">
        <v>57</v>
      </c>
      <c r="B1929" s="4" t="s">
        <v>37</v>
      </c>
      <c r="C1929" s="4" t="s">
        <v>33</v>
      </c>
      <c r="D1929" s="4" t="s">
        <v>43</v>
      </c>
      <c r="E1929" s="4" t="s">
        <v>25</v>
      </c>
      <c r="F1929" s="4" t="s">
        <v>25</v>
      </c>
      <c r="G1929" s="4" t="s">
        <v>25</v>
      </c>
      <c r="H1929" s="4" t="s">
        <v>35</v>
      </c>
      <c r="I1929" s="5">
        <v>44743</v>
      </c>
      <c r="J1929" s="6">
        <v>0</v>
      </c>
      <c r="K1929" s="6">
        <v>0</v>
      </c>
      <c r="L1929" s="6">
        <v>5.43</v>
      </c>
      <c r="M1929" s="6">
        <v>5.43</v>
      </c>
      <c r="N1929" s="6">
        <v>5.43</v>
      </c>
      <c r="O1929" s="6">
        <v>5.43</v>
      </c>
      <c r="P1929" s="6">
        <v>0</v>
      </c>
      <c r="Q1929" s="4" t="s">
        <v>26</v>
      </c>
      <c r="R1929" s="4">
        <v>0</v>
      </c>
      <c r="S1929" s="4" t="s">
        <v>527</v>
      </c>
      <c r="T1929" s="4" t="s">
        <v>784</v>
      </c>
      <c r="U1929" s="4">
        <v>0</v>
      </c>
      <c r="V1929" s="4">
        <v>55</v>
      </c>
      <c r="W1929" s="4">
        <v>99</v>
      </c>
    </row>
    <row r="1930" spans="1:23" ht="11.25" customHeight="1" x14ac:dyDescent="0.25">
      <c r="A1930" s="4" t="s">
        <v>21</v>
      </c>
      <c r="B1930" s="4" t="s">
        <v>37</v>
      </c>
      <c r="C1930" s="4" t="s">
        <v>33</v>
      </c>
      <c r="D1930" s="4" t="s">
        <v>43</v>
      </c>
      <c r="E1930" s="4" t="s">
        <v>25</v>
      </c>
      <c r="F1930" s="4" t="s">
        <v>25</v>
      </c>
      <c r="G1930" s="4" t="s">
        <v>25</v>
      </c>
      <c r="H1930" s="4" t="s">
        <v>36</v>
      </c>
      <c r="I1930" s="5">
        <v>44409</v>
      </c>
      <c r="J1930" s="6">
        <v>0</v>
      </c>
      <c r="K1930" s="6">
        <v>0</v>
      </c>
      <c r="L1930" s="6">
        <v>3.0609999999999999</v>
      </c>
      <c r="M1930" s="6">
        <v>3.0609999999999999</v>
      </c>
      <c r="N1930" s="6">
        <v>3.0609999999999999</v>
      </c>
      <c r="O1930" s="6">
        <v>3.0609999999999999</v>
      </c>
      <c r="P1930" s="6">
        <v>0</v>
      </c>
      <c r="Q1930" s="4" t="s">
        <v>26</v>
      </c>
      <c r="R1930" s="4">
        <v>0</v>
      </c>
      <c r="S1930" s="4" t="s">
        <v>528</v>
      </c>
      <c r="T1930" s="4" t="s">
        <v>785</v>
      </c>
      <c r="U1930" s="4">
        <v>0</v>
      </c>
      <c r="V1930" s="4">
        <v>53</v>
      </c>
      <c r="W1930" s="4">
        <v>98</v>
      </c>
    </row>
    <row r="1931" spans="1:23" ht="11.25" customHeight="1" x14ac:dyDescent="0.25">
      <c r="A1931" s="4" t="s">
        <v>28</v>
      </c>
      <c r="B1931" s="4" t="s">
        <v>37</v>
      </c>
      <c r="C1931" s="4" t="s">
        <v>33</v>
      </c>
      <c r="D1931" s="4" t="s">
        <v>43</v>
      </c>
      <c r="E1931" s="4" t="s">
        <v>25</v>
      </c>
      <c r="F1931" s="4" t="s">
        <v>25</v>
      </c>
      <c r="G1931" s="4" t="s">
        <v>25</v>
      </c>
      <c r="H1931" s="4" t="s">
        <v>36</v>
      </c>
      <c r="I1931" s="5">
        <v>44409</v>
      </c>
      <c r="J1931" s="6">
        <v>0</v>
      </c>
      <c r="K1931" s="6">
        <v>0</v>
      </c>
      <c r="L1931" s="6">
        <v>1.169</v>
      </c>
      <c r="M1931" s="6">
        <v>1.169</v>
      </c>
      <c r="N1931" s="6">
        <v>1.169</v>
      </c>
      <c r="O1931" s="6">
        <v>1.169</v>
      </c>
      <c r="P1931" s="6">
        <v>0</v>
      </c>
      <c r="Q1931" s="4" t="s">
        <v>26</v>
      </c>
      <c r="R1931" s="4">
        <v>0</v>
      </c>
      <c r="S1931" s="4" t="s">
        <v>528</v>
      </c>
      <c r="T1931" s="4" t="s">
        <v>785</v>
      </c>
      <c r="U1931" s="4">
        <v>0</v>
      </c>
      <c r="V1931" s="4">
        <v>53</v>
      </c>
      <c r="W1931" s="4">
        <v>98</v>
      </c>
    </row>
    <row r="1932" spans="1:23" ht="11.25" customHeight="1" x14ac:dyDescent="0.25">
      <c r="A1932" s="4" t="s">
        <v>21</v>
      </c>
      <c r="B1932" s="4" t="s">
        <v>37</v>
      </c>
      <c r="C1932" s="4" t="s">
        <v>33</v>
      </c>
      <c r="D1932" s="4" t="s">
        <v>43</v>
      </c>
      <c r="E1932" s="4" t="s">
        <v>25</v>
      </c>
      <c r="F1932" s="4" t="s">
        <v>25</v>
      </c>
      <c r="G1932" s="4" t="s">
        <v>25</v>
      </c>
      <c r="H1932" s="4" t="s">
        <v>36</v>
      </c>
      <c r="I1932" s="5">
        <v>44440</v>
      </c>
      <c r="J1932" s="6">
        <v>0</v>
      </c>
      <c r="K1932" s="6">
        <v>0</v>
      </c>
      <c r="L1932" s="6">
        <v>3.222</v>
      </c>
      <c r="M1932" s="6">
        <v>3.222</v>
      </c>
      <c r="N1932" s="6">
        <v>3.222</v>
      </c>
      <c r="O1932" s="6">
        <v>3.222</v>
      </c>
      <c r="P1932" s="6">
        <v>0</v>
      </c>
      <c r="Q1932" s="4" t="s">
        <v>26</v>
      </c>
      <c r="R1932" s="4">
        <v>0</v>
      </c>
      <c r="S1932" s="4" t="s">
        <v>529</v>
      </c>
      <c r="T1932" s="4" t="s">
        <v>786</v>
      </c>
      <c r="U1932" s="4">
        <v>0</v>
      </c>
      <c r="V1932" s="4">
        <v>53</v>
      </c>
      <c r="W1932" s="4">
        <v>98</v>
      </c>
    </row>
    <row r="1933" spans="1:23" ht="11.25" customHeight="1" x14ac:dyDescent="0.25">
      <c r="A1933" s="4" t="s">
        <v>28</v>
      </c>
      <c r="B1933" s="4" t="s">
        <v>37</v>
      </c>
      <c r="C1933" s="4" t="s">
        <v>33</v>
      </c>
      <c r="D1933" s="4" t="s">
        <v>43</v>
      </c>
      <c r="E1933" s="4" t="s">
        <v>25</v>
      </c>
      <c r="F1933" s="4" t="s">
        <v>25</v>
      </c>
      <c r="G1933" s="4" t="s">
        <v>25</v>
      </c>
      <c r="H1933" s="4" t="s">
        <v>36</v>
      </c>
      <c r="I1933" s="5">
        <v>44440</v>
      </c>
      <c r="J1933" s="6">
        <v>0</v>
      </c>
      <c r="K1933" s="6">
        <v>0</v>
      </c>
      <c r="L1933" s="6">
        <v>1.151</v>
      </c>
      <c r="M1933" s="6">
        <v>1.151</v>
      </c>
      <c r="N1933" s="6">
        <v>1.151</v>
      </c>
      <c r="O1933" s="6">
        <v>1.151</v>
      </c>
      <c r="P1933" s="6">
        <v>0</v>
      </c>
      <c r="Q1933" s="4" t="s">
        <v>26</v>
      </c>
      <c r="R1933" s="4">
        <v>0</v>
      </c>
      <c r="S1933" s="4" t="s">
        <v>529</v>
      </c>
      <c r="T1933" s="4" t="s">
        <v>786</v>
      </c>
      <c r="U1933" s="4">
        <v>0</v>
      </c>
      <c r="V1933" s="4">
        <v>53</v>
      </c>
      <c r="W1933" s="4">
        <v>98</v>
      </c>
    </row>
    <row r="1934" spans="1:23" ht="11.25" customHeight="1" x14ac:dyDescent="0.25">
      <c r="A1934" s="4" t="s">
        <v>21</v>
      </c>
      <c r="B1934" s="4" t="s">
        <v>37</v>
      </c>
      <c r="C1934" s="4" t="s">
        <v>33</v>
      </c>
      <c r="D1934" s="4" t="s">
        <v>43</v>
      </c>
      <c r="E1934" s="4" t="s">
        <v>25</v>
      </c>
      <c r="F1934" s="4" t="s">
        <v>25</v>
      </c>
      <c r="G1934" s="4" t="s">
        <v>25</v>
      </c>
      <c r="H1934" s="4" t="s">
        <v>36</v>
      </c>
      <c r="I1934" s="5">
        <v>44470</v>
      </c>
      <c r="J1934" s="6">
        <v>0</v>
      </c>
      <c r="K1934" s="6">
        <v>0</v>
      </c>
      <c r="L1934" s="6">
        <v>3.8809999999999998</v>
      </c>
      <c r="M1934" s="6">
        <v>3.8809999999999998</v>
      </c>
      <c r="N1934" s="6">
        <v>3.8809999999999998</v>
      </c>
      <c r="O1934" s="6">
        <v>3.8809999999999998</v>
      </c>
      <c r="P1934" s="6">
        <v>0</v>
      </c>
      <c r="Q1934" s="4" t="s">
        <v>26</v>
      </c>
      <c r="R1934" s="4">
        <v>0</v>
      </c>
      <c r="S1934" s="4" t="s">
        <v>530</v>
      </c>
      <c r="T1934" s="4" t="s">
        <v>787</v>
      </c>
      <c r="U1934" s="4">
        <v>0</v>
      </c>
      <c r="V1934" s="4">
        <v>53</v>
      </c>
      <c r="W1934" s="4">
        <v>98</v>
      </c>
    </row>
    <row r="1935" spans="1:23" ht="11.25" customHeight="1" x14ac:dyDescent="0.25">
      <c r="A1935" s="4" t="s">
        <v>28</v>
      </c>
      <c r="B1935" s="4" t="s">
        <v>37</v>
      </c>
      <c r="C1935" s="4" t="s">
        <v>33</v>
      </c>
      <c r="D1935" s="4" t="s">
        <v>43</v>
      </c>
      <c r="E1935" s="4" t="s">
        <v>25</v>
      </c>
      <c r="F1935" s="4" t="s">
        <v>25</v>
      </c>
      <c r="G1935" s="4" t="s">
        <v>25</v>
      </c>
      <c r="H1935" s="4" t="s">
        <v>36</v>
      </c>
      <c r="I1935" s="5">
        <v>44470</v>
      </c>
      <c r="J1935" s="6">
        <v>0</v>
      </c>
      <c r="K1935" s="6">
        <v>0</v>
      </c>
      <c r="L1935" s="6">
        <v>0.94699999999999995</v>
      </c>
      <c r="M1935" s="6">
        <v>0.94699999999999995</v>
      </c>
      <c r="N1935" s="6">
        <v>0.94699999999999995</v>
      </c>
      <c r="O1935" s="6">
        <v>0.94699999999999995</v>
      </c>
      <c r="P1935" s="6">
        <v>0</v>
      </c>
      <c r="Q1935" s="4" t="s">
        <v>26</v>
      </c>
      <c r="R1935" s="4">
        <v>0</v>
      </c>
      <c r="S1935" s="4" t="s">
        <v>530</v>
      </c>
      <c r="T1935" s="4" t="s">
        <v>787</v>
      </c>
      <c r="U1935" s="4">
        <v>0</v>
      </c>
      <c r="V1935" s="4">
        <v>53</v>
      </c>
      <c r="W1935" s="4">
        <v>98</v>
      </c>
    </row>
    <row r="1936" spans="1:23" ht="11.25" customHeight="1" x14ac:dyDescent="0.25">
      <c r="A1936" s="4" t="s">
        <v>21</v>
      </c>
      <c r="B1936" s="4" t="s">
        <v>37</v>
      </c>
      <c r="C1936" s="4" t="s">
        <v>33</v>
      </c>
      <c r="D1936" s="4" t="s">
        <v>43</v>
      </c>
      <c r="E1936" s="4" t="s">
        <v>25</v>
      </c>
      <c r="F1936" s="4" t="s">
        <v>25</v>
      </c>
      <c r="G1936" s="4" t="s">
        <v>25</v>
      </c>
      <c r="H1936" s="4" t="s">
        <v>36</v>
      </c>
      <c r="I1936" s="5">
        <v>44501</v>
      </c>
      <c r="J1936" s="6">
        <v>0</v>
      </c>
      <c r="K1936" s="6">
        <v>0</v>
      </c>
      <c r="L1936" s="6">
        <v>4.0880000000000001</v>
      </c>
      <c r="M1936" s="6">
        <v>4.0880000000000001</v>
      </c>
      <c r="N1936" s="6">
        <v>4.0880000000000001</v>
      </c>
      <c r="O1936" s="6">
        <v>4.0880000000000001</v>
      </c>
      <c r="P1936" s="6">
        <v>0</v>
      </c>
      <c r="Q1936" s="4" t="s">
        <v>26</v>
      </c>
      <c r="R1936" s="4">
        <v>0</v>
      </c>
      <c r="S1936" s="4" t="s">
        <v>531</v>
      </c>
      <c r="T1936" s="4" t="s">
        <v>788</v>
      </c>
      <c r="U1936" s="4">
        <v>0</v>
      </c>
      <c r="V1936" s="4">
        <v>53</v>
      </c>
      <c r="W1936" s="4">
        <v>98</v>
      </c>
    </row>
    <row r="1937" spans="1:23" ht="11.25" customHeight="1" x14ac:dyDescent="0.25">
      <c r="A1937" s="4" t="s">
        <v>28</v>
      </c>
      <c r="B1937" s="4" t="s">
        <v>37</v>
      </c>
      <c r="C1937" s="4" t="s">
        <v>33</v>
      </c>
      <c r="D1937" s="4" t="s">
        <v>43</v>
      </c>
      <c r="E1937" s="4" t="s">
        <v>25</v>
      </c>
      <c r="F1937" s="4" t="s">
        <v>25</v>
      </c>
      <c r="G1937" s="4" t="s">
        <v>25</v>
      </c>
      <c r="H1937" s="4" t="s">
        <v>36</v>
      </c>
      <c r="I1937" s="5">
        <v>44501</v>
      </c>
      <c r="J1937" s="6">
        <v>0</v>
      </c>
      <c r="K1937" s="6">
        <v>0</v>
      </c>
      <c r="L1937" s="6">
        <v>0.93700000000000006</v>
      </c>
      <c r="M1937" s="6">
        <v>0.93700000000000006</v>
      </c>
      <c r="N1937" s="6">
        <v>0.93700000000000006</v>
      </c>
      <c r="O1937" s="6">
        <v>0.93700000000000006</v>
      </c>
      <c r="P1937" s="6">
        <v>0</v>
      </c>
      <c r="Q1937" s="4" t="s">
        <v>26</v>
      </c>
      <c r="R1937" s="4">
        <v>0</v>
      </c>
      <c r="S1937" s="4" t="s">
        <v>531</v>
      </c>
      <c r="T1937" s="4" t="s">
        <v>788</v>
      </c>
      <c r="U1937" s="4">
        <v>0</v>
      </c>
      <c r="V1937" s="4">
        <v>53</v>
      </c>
      <c r="W1937" s="4">
        <v>98</v>
      </c>
    </row>
    <row r="1938" spans="1:23" ht="11.25" customHeight="1" x14ac:dyDescent="0.25">
      <c r="A1938" s="4" t="s">
        <v>21</v>
      </c>
      <c r="B1938" s="4" t="s">
        <v>37</v>
      </c>
      <c r="C1938" s="4" t="s">
        <v>33</v>
      </c>
      <c r="D1938" s="4" t="s">
        <v>43</v>
      </c>
      <c r="E1938" s="4" t="s">
        <v>25</v>
      </c>
      <c r="F1938" s="4" t="s">
        <v>25</v>
      </c>
      <c r="G1938" s="4" t="s">
        <v>25</v>
      </c>
      <c r="H1938" s="4" t="s">
        <v>36</v>
      </c>
      <c r="I1938" s="5">
        <v>44531</v>
      </c>
      <c r="J1938" s="6">
        <v>0</v>
      </c>
      <c r="K1938" s="6">
        <v>0</v>
      </c>
      <c r="L1938" s="6">
        <v>4.806</v>
      </c>
      <c r="M1938" s="6">
        <v>4.806</v>
      </c>
      <c r="N1938" s="6">
        <v>4.806</v>
      </c>
      <c r="O1938" s="6">
        <v>4.806</v>
      </c>
      <c r="P1938" s="6">
        <v>0</v>
      </c>
      <c r="Q1938" s="4" t="s">
        <v>26</v>
      </c>
      <c r="R1938" s="4">
        <v>0</v>
      </c>
      <c r="S1938" s="4" t="s">
        <v>532</v>
      </c>
      <c r="T1938" s="4" t="s">
        <v>789</v>
      </c>
      <c r="U1938" s="4">
        <v>0</v>
      </c>
      <c r="V1938" s="4">
        <v>53</v>
      </c>
      <c r="W1938" s="4">
        <v>98</v>
      </c>
    </row>
    <row r="1939" spans="1:23" ht="11.25" customHeight="1" x14ac:dyDescent="0.25">
      <c r="A1939" s="4" t="s">
        <v>27</v>
      </c>
      <c r="B1939" s="4" t="s">
        <v>37</v>
      </c>
      <c r="C1939" s="4" t="s">
        <v>33</v>
      </c>
      <c r="D1939" s="4" t="s">
        <v>43</v>
      </c>
      <c r="E1939" s="4" t="s">
        <v>25</v>
      </c>
      <c r="F1939" s="4" t="s">
        <v>25</v>
      </c>
      <c r="G1939" s="4" t="s">
        <v>25</v>
      </c>
      <c r="H1939" s="4" t="s">
        <v>36</v>
      </c>
      <c r="I1939" s="5">
        <v>44531</v>
      </c>
      <c r="J1939" s="6">
        <v>0</v>
      </c>
      <c r="K1939" s="6">
        <v>0</v>
      </c>
      <c r="L1939" s="6">
        <v>2E-3</v>
      </c>
      <c r="M1939" s="6">
        <v>2E-3</v>
      </c>
      <c r="N1939" s="6">
        <v>2E-3</v>
      </c>
      <c r="O1939" s="6">
        <v>2E-3</v>
      </c>
      <c r="P1939" s="6">
        <v>0</v>
      </c>
      <c r="Q1939" s="4" t="s">
        <v>26</v>
      </c>
      <c r="R1939" s="4">
        <v>0</v>
      </c>
      <c r="S1939" s="4" t="s">
        <v>532</v>
      </c>
      <c r="T1939" s="4" t="s">
        <v>789</v>
      </c>
      <c r="U1939" s="4">
        <v>0</v>
      </c>
      <c r="V1939" s="4">
        <v>53</v>
      </c>
      <c r="W1939" s="4">
        <v>98</v>
      </c>
    </row>
    <row r="1940" spans="1:23" ht="11.25" customHeight="1" x14ac:dyDescent="0.25">
      <c r="A1940" s="4" t="s">
        <v>28</v>
      </c>
      <c r="B1940" s="4" t="s">
        <v>37</v>
      </c>
      <c r="C1940" s="4" t="s">
        <v>33</v>
      </c>
      <c r="D1940" s="4" t="s">
        <v>43</v>
      </c>
      <c r="E1940" s="4" t="s">
        <v>25</v>
      </c>
      <c r="F1940" s="4" t="s">
        <v>25</v>
      </c>
      <c r="G1940" s="4" t="s">
        <v>25</v>
      </c>
      <c r="H1940" s="4" t="s">
        <v>36</v>
      </c>
      <c r="I1940" s="5">
        <v>44531</v>
      </c>
      <c r="J1940" s="6">
        <v>0</v>
      </c>
      <c r="K1940" s="6">
        <v>0</v>
      </c>
      <c r="L1940" s="6">
        <v>1.1950000000000001</v>
      </c>
      <c r="M1940" s="6">
        <v>1.1950000000000001</v>
      </c>
      <c r="N1940" s="6">
        <v>1.1950000000000001</v>
      </c>
      <c r="O1940" s="6">
        <v>1.1950000000000001</v>
      </c>
      <c r="P1940" s="6">
        <v>0</v>
      </c>
      <c r="Q1940" s="4" t="s">
        <v>26</v>
      </c>
      <c r="R1940" s="4">
        <v>0</v>
      </c>
      <c r="S1940" s="4" t="s">
        <v>532</v>
      </c>
      <c r="T1940" s="4" t="s">
        <v>789</v>
      </c>
      <c r="U1940" s="4">
        <v>0</v>
      </c>
      <c r="V1940" s="4">
        <v>53</v>
      </c>
      <c r="W1940" s="4">
        <v>98</v>
      </c>
    </row>
    <row r="1941" spans="1:23" ht="11.25" customHeight="1" x14ac:dyDescent="0.25">
      <c r="A1941" s="4" t="s">
        <v>21</v>
      </c>
      <c r="B1941" s="4" t="s">
        <v>37</v>
      </c>
      <c r="C1941" s="4" t="s">
        <v>33</v>
      </c>
      <c r="D1941" s="4" t="s">
        <v>43</v>
      </c>
      <c r="E1941" s="4" t="s">
        <v>25</v>
      </c>
      <c r="F1941" s="4" t="s">
        <v>25</v>
      </c>
      <c r="G1941" s="4" t="s">
        <v>25</v>
      </c>
      <c r="H1941" s="4" t="s">
        <v>36</v>
      </c>
      <c r="I1941" s="5">
        <v>44562</v>
      </c>
      <c r="J1941" s="6">
        <v>0</v>
      </c>
      <c r="K1941" s="6">
        <v>0</v>
      </c>
      <c r="L1941" s="6">
        <v>4.923</v>
      </c>
      <c r="M1941" s="6">
        <v>4.923</v>
      </c>
      <c r="N1941" s="6">
        <v>4.923</v>
      </c>
      <c r="O1941" s="6">
        <v>4.923</v>
      </c>
      <c r="P1941" s="6">
        <v>0</v>
      </c>
      <c r="Q1941" s="4" t="s">
        <v>26</v>
      </c>
      <c r="R1941" s="4">
        <v>0</v>
      </c>
      <c r="S1941" s="4" t="s">
        <v>533</v>
      </c>
      <c r="T1941" s="4" t="s">
        <v>790</v>
      </c>
      <c r="U1941" s="4">
        <v>0</v>
      </c>
      <c r="V1941" s="4">
        <v>53</v>
      </c>
      <c r="W1941" s="4">
        <v>98</v>
      </c>
    </row>
    <row r="1942" spans="1:23" ht="11.25" customHeight="1" x14ac:dyDescent="0.25">
      <c r="A1942" s="4" t="s">
        <v>27</v>
      </c>
      <c r="B1942" s="4" t="s">
        <v>37</v>
      </c>
      <c r="C1942" s="4" t="s">
        <v>33</v>
      </c>
      <c r="D1942" s="4" t="s">
        <v>43</v>
      </c>
      <c r="E1942" s="4" t="s">
        <v>25</v>
      </c>
      <c r="F1942" s="4" t="s">
        <v>25</v>
      </c>
      <c r="G1942" s="4" t="s">
        <v>25</v>
      </c>
      <c r="H1942" s="4" t="s">
        <v>36</v>
      </c>
      <c r="I1942" s="5">
        <v>44562</v>
      </c>
      <c r="J1942" s="6">
        <v>0</v>
      </c>
      <c r="K1942" s="6">
        <v>0</v>
      </c>
      <c r="L1942" s="6">
        <v>1E-3</v>
      </c>
      <c r="M1942" s="6">
        <v>1E-3</v>
      </c>
      <c r="N1942" s="6">
        <v>1E-3</v>
      </c>
      <c r="O1942" s="6">
        <v>1E-3</v>
      </c>
      <c r="P1942" s="6">
        <v>0</v>
      </c>
      <c r="Q1942" s="4" t="s">
        <v>26</v>
      </c>
      <c r="R1942" s="4">
        <v>0</v>
      </c>
      <c r="S1942" s="4" t="s">
        <v>533</v>
      </c>
      <c r="T1942" s="4" t="s">
        <v>790</v>
      </c>
      <c r="U1942" s="4">
        <v>0</v>
      </c>
      <c r="V1942" s="4">
        <v>53</v>
      </c>
      <c r="W1942" s="4">
        <v>98</v>
      </c>
    </row>
    <row r="1943" spans="1:23" ht="11.25" customHeight="1" x14ac:dyDescent="0.25">
      <c r="A1943" s="4" t="s">
        <v>28</v>
      </c>
      <c r="B1943" s="4" t="s">
        <v>37</v>
      </c>
      <c r="C1943" s="4" t="s">
        <v>33</v>
      </c>
      <c r="D1943" s="4" t="s">
        <v>43</v>
      </c>
      <c r="E1943" s="4" t="s">
        <v>25</v>
      </c>
      <c r="F1943" s="4" t="s">
        <v>25</v>
      </c>
      <c r="G1943" s="4" t="s">
        <v>25</v>
      </c>
      <c r="H1943" s="4" t="s">
        <v>36</v>
      </c>
      <c r="I1943" s="5">
        <v>44562</v>
      </c>
      <c r="J1943" s="6">
        <v>0</v>
      </c>
      <c r="K1943" s="6">
        <v>0</v>
      </c>
      <c r="L1943" s="6">
        <v>1.365</v>
      </c>
      <c r="M1943" s="6">
        <v>1.365</v>
      </c>
      <c r="N1943" s="6">
        <v>1.365</v>
      </c>
      <c r="O1943" s="6">
        <v>1.365</v>
      </c>
      <c r="P1943" s="6">
        <v>0</v>
      </c>
      <c r="Q1943" s="4" t="s">
        <v>26</v>
      </c>
      <c r="R1943" s="4">
        <v>0</v>
      </c>
      <c r="S1943" s="4" t="s">
        <v>533</v>
      </c>
      <c r="T1943" s="4" t="s">
        <v>790</v>
      </c>
      <c r="U1943" s="4">
        <v>0</v>
      </c>
      <c r="V1943" s="4">
        <v>53</v>
      </c>
      <c r="W1943" s="4">
        <v>98</v>
      </c>
    </row>
    <row r="1944" spans="1:23" ht="11.25" customHeight="1" x14ac:dyDescent="0.25">
      <c r="A1944" s="4" t="s">
        <v>21</v>
      </c>
      <c r="B1944" s="4" t="s">
        <v>37</v>
      </c>
      <c r="C1944" s="4" t="s">
        <v>33</v>
      </c>
      <c r="D1944" s="4" t="s">
        <v>43</v>
      </c>
      <c r="E1944" s="4" t="s">
        <v>25</v>
      </c>
      <c r="F1944" s="4" t="s">
        <v>25</v>
      </c>
      <c r="G1944" s="4" t="s">
        <v>25</v>
      </c>
      <c r="H1944" s="4" t="s">
        <v>36</v>
      </c>
      <c r="I1944" s="5">
        <v>44593</v>
      </c>
      <c r="J1944" s="6">
        <v>0</v>
      </c>
      <c r="K1944" s="6">
        <v>0</v>
      </c>
      <c r="L1944" s="6">
        <v>5.01</v>
      </c>
      <c r="M1944" s="6">
        <v>5.01</v>
      </c>
      <c r="N1944" s="6">
        <v>5.01</v>
      </c>
      <c r="O1944" s="6">
        <v>5.01</v>
      </c>
      <c r="P1944" s="6">
        <v>0</v>
      </c>
      <c r="Q1944" s="4" t="s">
        <v>26</v>
      </c>
      <c r="R1944" s="4">
        <v>0</v>
      </c>
      <c r="S1944" s="4" t="s">
        <v>534</v>
      </c>
      <c r="T1944" s="4" t="s">
        <v>791</v>
      </c>
      <c r="U1944" s="4">
        <v>0</v>
      </c>
      <c r="V1944" s="4">
        <v>53</v>
      </c>
      <c r="W1944" s="4">
        <v>98</v>
      </c>
    </row>
    <row r="1945" spans="1:23" ht="11.25" customHeight="1" x14ac:dyDescent="0.25">
      <c r="A1945" s="4" t="s">
        <v>28</v>
      </c>
      <c r="B1945" s="4" t="s">
        <v>37</v>
      </c>
      <c r="C1945" s="4" t="s">
        <v>33</v>
      </c>
      <c r="D1945" s="4" t="s">
        <v>43</v>
      </c>
      <c r="E1945" s="4" t="s">
        <v>25</v>
      </c>
      <c r="F1945" s="4" t="s">
        <v>25</v>
      </c>
      <c r="G1945" s="4" t="s">
        <v>25</v>
      </c>
      <c r="H1945" s="4" t="s">
        <v>36</v>
      </c>
      <c r="I1945" s="5">
        <v>44593</v>
      </c>
      <c r="J1945" s="6">
        <v>0</v>
      </c>
      <c r="K1945" s="6">
        <v>0</v>
      </c>
      <c r="L1945" s="6">
        <v>0.67300000000000004</v>
      </c>
      <c r="M1945" s="6">
        <v>0.67300000000000004</v>
      </c>
      <c r="N1945" s="6">
        <v>0.67300000000000004</v>
      </c>
      <c r="O1945" s="6">
        <v>0.67300000000000004</v>
      </c>
      <c r="P1945" s="6">
        <v>0</v>
      </c>
      <c r="Q1945" s="4" t="s">
        <v>26</v>
      </c>
      <c r="R1945" s="4">
        <v>0</v>
      </c>
      <c r="S1945" s="4" t="s">
        <v>534</v>
      </c>
      <c r="T1945" s="4" t="s">
        <v>791</v>
      </c>
      <c r="U1945" s="4">
        <v>0</v>
      </c>
      <c r="V1945" s="4">
        <v>53</v>
      </c>
      <c r="W1945" s="4">
        <v>98</v>
      </c>
    </row>
    <row r="1946" spans="1:23" ht="11.25" customHeight="1" x14ac:dyDescent="0.25">
      <c r="A1946" s="4" t="s">
        <v>21</v>
      </c>
      <c r="B1946" s="4" t="s">
        <v>37</v>
      </c>
      <c r="C1946" s="4" t="s">
        <v>33</v>
      </c>
      <c r="D1946" s="4" t="s">
        <v>43</v>
      </c>
      <c r="E1946" s="4" t="s">
        <v>25</v>
      </c>
      <c r="F1946" s="4" t="s">
        <v>25</v>
      </c>
      <c r="G1946" s="4" t="s">
        <v>25</v>
      </c>
      <c r="H1946" s="4" t="s">
        <v>36</v>
      </c>
      <c r="I1946" s="5">
        <v>44621</v>
      </c>
      <c r="J1946" s="6">
        <v>0</v>
      </c>
      <c r="K1946" s="6">
        <v>0</v>
      </c>
      <c r="L1946" s="6">
        <v>5.24</v>
      </c>
      <c r="M1946" s="6">
        <v>5.24</v>
      </c>
      <c r="N1946" s="6">
        <v>5.24</v>
      </c>
      <c r="O1946" s="6">
        <v>5.24</v>
      </c>
      <c r="P1946" s="6">
        <v>0</v>
      </c>
      <c r="Q1946" s="4" t="s">
        <v>26</v>
      </c>
      <c r="R1946" s="4">
        <v>0</v>
      </c>
      <c r="S1946" s="4" t="s">
        <v>535</v>
      </c>
      <c r="T1946" s="4" t="s">
        <v>792</v>
      </c>
      <c r="U1946" s="4">
        <v>0</v>
      </c>
      <c r="V1946" s="4">
        <v>53</v>
      </c>
      <c r="W1946" s="4">
        <v>98</v>
      </c>
    </row>
    <row r="1947" spans="1:23" ht="11.25" customHeight="1" x14ac:dyDescent="0.25">
      <c r="A1947" s="4" t="s">
        <v>28</v>
      </c>
      <c r="B1947" s="4" t="s">
        <v>37</v>
      </c>
      <c r="C1947" s="4" t="s">
        <v>33</v>
      </c>
      <c r="D1947" s="4" t="s">
        <v>43</v>
      </c>
      <c r="E1947" s="4" t="s">
        <v>25</v>
      </c>
      <c r="F1947" s="4" t="s">
        <v>25</v>
      </c>
      <c r="G1947" s="4" t="s">
        <v>25</v>
      </c>
      <c r="H1947" s="4" t="s">
        <v>36</v>
      </c>
      <c r="I1947" s="5">
        <v>44621</v>
      </c>
      <c r="J1947" s="6">
        <v>0</v>
      </c>
      <c r="K1947" s="6">
        <v>0</v>
      </c>
      <c r="L1947" s="6">
        <v>0.82399999999999995</v>
      </c>
      <c r="M1947" s="6">
        <v>0.82399999999999995</v>
      </c>
      <c r="N1947" s="6">
        <v>0.82399999999999995</v>
      </c>
      <c r="O1947" s="6">
        <v>0.82399999999999995</v>
      </c>
      <c r="P1947" s="6">
        <v>0</v>
      </c>
      <c r="Q1947" s="4" t="s">
        <v>26</v>
      </c>
      <c r="R1947" s="4">
        <v>0</v>
      </c>
      <c r="S1947" s="4" t="s">
        <v>535</v>
      </c>
      <c r="T1947" s="4" t="s">
        <v>792</v>
      </c>
      <c r="U1947" s="4">
        <v>0</v>
      </c>
      <c r="V1947" s="4">
        <v>53</v>
      </c>
      <c r="W1947" s="4">
        <v>98</v>
      </c>
    </row>
    <row r="1948" spans="1:23" ht="11.25" customHeight="1" x14ac:dyDescent="0.25">
      <c r="A1948" s="4" t="s">
        <v>21</v>
      </c>
      <c r="B1948" s="4" t="s">
        <v>37</v>
      </c>
      <c r="C1948" s="4" t="s">
        <v>33</v>
      </c>
      <c r="D1948" s="4" t="s">
        <v>43</v>
      </c>
      <c r="E1948" s="4" t="s">
        <v>25</v>
      </c>
      <c r="F1948" s="4" t="s">
        <v>25</v>
      </c>
      <c r="G1948" s="4" t="s">
        <v>25</v>
      </c>
      <c r="H1948" s="4" t="s">
        <v>36</v>
      </c>
      <c r="I1948" s="5">
        <v>44652</v>
      </c>
      <c r="J1948" s="6">
        <v>0</v>
      </c>
      <c r="K1948" s="6">
        <v>0</v>
      </c>
      <c r="L1948" s="6">
        <v>5.09</v>
      </c>
      <c r="M1948" s="6">
        <v>5.09</v>
      </c>
      <c r="N1948" s="6">
        <v>5.09</v>
      </c>
      <c r="O1948" s="6">
        <v>5.09</v>
      </c>
      <c r="P1948" s="6">
        <v>0</v>
      </c>
      <c r="Q1948" s="4" t="s">
        <v>26</v>
      </c>
      <c r="R1948" s="4">
        <v>0</v>
      </c>
      <c r="S1948" s="4" t="s">
        <v>536</v>
      </c>
      <c r="T1948" s="4" t="s">
        <v>793</v>
      </c>
      <c r="U1948" s="4">
        <v>0</v>
      </c>
      <c r="V1948" s="4">
        <v>53</v>
      </c>
      <c r="W1948" s="4">
        <v>98</v>
      </c>
    </row>
    <row r="1949" spans="1:23" ht="11.25" customHeight="1" x14ac:dyDescent="0.25">
      <c r="A1949" s="4" t="s">
        <v>28</v>
      </c>
      <c r="B1949" s="4" t="s">
        <v>37</v>
      </c>
      <c r="C1949" s="4" t="s">
        <v>33</v>
      </c>
      <c r="D1949" s="4" t="s">
        <v>43</v>
      </c>
      <c r="E1949" s="4" t="s">
        <v>25</v>
      </c>
      <c r="F1949" s="4" t="s">
        <v>25</v>
      </c>
      <c r="G1949" s="4" t="s">
        <v>25</v>
      </c>
      <c r="H1949" s="4" t="s">
        <v>36</v>
      </c>
      <c r="I1949" s="5">
        <v>44652</v>
      </c>
      <c r="J1949" s="6">
        <v>0</v>
      </c>
      <c r="K1949" s="6">
        <v>0</v>
      </c>
      <c r="L1949" s="6">
        <v>0.71799999999999997</v>
      </c>
      <c r="M1949" s="6">
        <v>0.71799999999999997</v>
      </c>
      <c r="N1949" s="6">
        <v>0.71799999999999997</v>
      </c>
      <c r="O1949" s="6">
        <v>0.71799999999999997</v>
      </c>
      <c r="P1949" s="6">
        <v>0</v>
      </c>
      <c r="Q1949" s="4" t="s">
        <v>26</v>
      </c>
      <c r="R1949" s="4">
        <v>0</v>
      </c>
      <c r="S1949" s="4" t="s">
        <v>536</v>
      </c>
      <c r="T1949" s="4" t="s">
        <v>793</v>
      </c>
      <c r="U1949" s="4">
        <v>0</v>
      </c>
      <c r="V1949" s="4">
        <v>53</v>
      </c>
      <c r="W1949" s="4">
        <v>98</v>
      </c>
    </row>
    <row r="1950" spans="1:23" ht="11.25" customHeight="1" x14ac:dyDescent="0.25">
      <c r="A1950" s="4" t="s">
        <v>21</v>
      </c>
      <c r="B1950" s="4" t="s">
        <v>37</v>
      </c>
      <c r="C1950" s="4" t="s">
        <v>33</v>
      </c>
      <c r="D1950" s="4" t="s">
        <v>43</v>
      </c>
      <c r="E1950" s="4" t="s">
        <v>25</v>
      </c>
      <c r="F1950" s="4" t="s">
        <v>25</v>
      </c>
      <c r="G1950" s="4" t="s">
        <v>25</v>
      </c>
      <c r="H1950" s="4" t="s">
        <v>36</v>
      </c>
      <c r="I1950" s="5">
        <v>44682</v>
      </c>
      <c r="J1950" s="6">
        <v>0</v>
      </c>
      <c r="K1950" s="6">
        <v>0</v>
      </c>
      <c r="L1950" s="6">
        <v>4.9240000000000004</v>
      </c>
      <c r="M1950" s="6">
        <v>4.9240000000000004</v>
      </c>
      <c r="N1950" s="6">
        <v>4.9240000000000004</v>
      </c>
      <c r="O1950" s="6">
        <v>4.9240000000000004</v>
      </c>
      <c r="P1950" s="6">
        <v>0</v>
      </c>
      <c r="Q1950" s="4" t="s">
        <v>26</v>
      </c>
      <c r="R1950" s="4">
        <v>0</v>
      </c>
      <c r="S1950" s="4" t="s">
        <v>537</v>
      </c>
      <c r="T1950" s="4" t="s">
        <v>794</v>
      </c>
      <c r="U1950" s="4">
        <v>0</v>
      </c>
      <c r="V1950" s="4">
        <v>53</v>
      </c>
      <c r="W1950" s="4">
        <v>98</v>
      </c>
    </row>
    <row r="1951" spans="1:23" ht="11.25" customHeight="1" x14ac:dyDescent="0.25">
      <c r="A1951" s="4" t="s">
        <v>28</v>
      </c>
      <c r="B1951" s="4" t="s">
        <v>37</v>
      </c>
      <c r="C1951" s="4" t="s">
        <v>33</v>
      </c>
      <c r="D1951" s="4" t="s">
        <v>43</v>
      </c>
      <c r="E1951" s="4" t="s">
        <v>25</v>
      </c>
      <c r="F1951" s="4" t="s">
        <v>25</v>
      </c>
      <c r="G1951" s="4" t="s">
        <v>25</v>
      </c>
      <c r="H1951" s="4" t="s">
        <v>36</v>
      </c>
      <c r="I1951" s="5">
        <v>44682</v>
      </c>
      <c r="J1951" s="6">
        <v>0</v>
      </c>
      <c r="K1951" s="6">
        <v>0</v>
      </c>
      <c r="L1951" s="6">
        <v>0.70799999999999996</v>
      </c>
      <c r="M1951" s="6">
        <v>0.70799999999999996</v>
      </c>
      <c r="N1951" s="6">
        <v>0.70799999999999996</v>
      </c>
      <c r="O1951" s="6">
        <v>0.70799999999999996</v>
      </c>
      <c r="P1951" s="6">
        <v>0</v>
      </c>
      <c r="Q1951" s="4" t="s">
        <v>26</v>
      </c>
      <c r="R1951" s="4">
        <v>0</v>
      </c>
      <c r="S1951" s="4" t="s">
        <v>537</v>
      </c>
      <c r="T1951" s="4" t="s">
        <v>794</v>
      </c>
      <c r="U1951" s="4">
        <v>0</v>
      </c>
      <c r="V1951" s="4">
        <v>53</v>
      </c>
      <c r="W1951" s="4">
        <v>98</v>
      </c>
    </row>
    <row r="1952" spans="1:23" ht="11.25" customHeight="1" x14ac:dyDescent="0.25">
      <c r="A1952" s="4" t="s">
        <v>21</v>
      </c>
      <c r="B1952" s="4" t="s">
        <v>37</v>
      </c>
      <c r="C1952" s="4" t="s">
        <v>33</v>
      </c>
      <c r="D1952" s="4" t="s">
        <v>43</v>
      </c>
      <c r="E1952" s="4" t="s">
        <v>25</v>
      </c>
      <c r="F1952" s="4" t="s">
        <v>25</v>
      </c>
      <c r="G1952" s="4" t="s">
        <v>25</v>
      </c>
      <c r="H1952" s="4" t="s">
        <v>36</v>
      </c>
      <c r="I1952" s="5">
        <v>44713</v>
      </c>
      <c r="J1952" s="6">
        <v>0</v>
      </c>
      <c r="K1952" s="6">
        <v>0</v>
      </c>
      <c r="L1952" s="6">
        <v>4.343</v>
      </c>
      <c r="M1952" s="6">
        <v>4.343</v>
      </c>
      <c r="N1952" s="6">
        <v>4.343</v>
      </c>
      <c r="O1952" s="6">
        <v>4.343</v>
      </c>
      <c r="P1952" s="6">
        <v>0</v>
      </c>
      <c r="Q1952" s="4" t="s">
        <v>26</v>
      </c>
      <c r="R1952" s="4">
        <v>0</v>
      </c>
      <c r="S1952" s="4" t="s">
        <v>538</v>
      </c>
      <c r="T1952" s="4" t="s">
        <v>795</v>
      </c>
      <c r="U1952" s="4">
        <v>0</v>
      </c>
      <c r="V1952" s="4">
        <v>53</v>
      </c>
      <c r="W1952" s="4">
        <v>98</v>
      </c>
    </row>
    <row r="1953" spans="1:23" ht="11.25" customHeight="1" x14ac:dyDescent="0.25">
      <c r="A1953" s="4" t="s">
        <v>27</v>
      </c>
      <c r="B1953" s="4" t="s">
        <v>37</v>
      </c>
      <c r="C1953" s="4" t="s">
        <v>33</v>
      </c>
      <c r="D1953" s="4" t="s">
        <v>43</v>
      </c>
      <c r="E1953" s="4" t="s">
        <v>25</v>
      </c>
      <c r="F1953" s="4" t="s">
        <v>25</v>
      </c>
      <c r="G1953" s="4" t="s">
        <v>25</v>
      </c>
      <c r="H1953" s="4" t="s">
        <v>36</v>
      </c>
      <c r="I1953" s="5">
        <v>44713</v>
      </c>
      <c r="J1953" s="6">
        <v>0</v>
      </c>
      <c r="K1953" s="6">
        <v>0</v>
      </c>
      <c r="L1953" s="6">
        <v>0.10100000000000001</v>
      </c>
      <c r="M1953" s="6">
        <v>0.10100000000000001</v>
      </c>
      <c r="N1953" s="6">
        <v>0.10100000000000001</v>
      </c>
      <c r="O1953" s="6">
        <v>0.10100000000000001</v>
      </c>
      <c r="P1953" s="6">
        <v>0</v>
      </c>
      <c r="Q1953" s="4" t="s">
        <v>26</v>
      </c>
      <c r="R1953" s="4">
        <v>0</v>
      </c>
      <c r="S1953" s="4" t="s">
        <v>538</v>
      </c>
      <c r="T1953" s="4" t="s">
        <v>795</v>
      </c>
      <c r="U1953" s="4">
        <v>0</v>
      </c>
      <c r="V1953" s="4">
        <v>53</v>
      </c>
      <c r="W1953" s="4">
        <v>98</v>
      </c>
    </row>
    <row r="1954" spans="1:23" ht="11.25" customHeight="1" x14ac:dyDescent="0.25">
      <c r="A1954" s="4" t="s">
        <v>28</v>
      </c>
      <c r="B1954" s="4" t="s">
        <v>37</v>
      </c>
      <c r="C1954" s="4" t="s">
        <v>33</v>
      </c>
      <c r="D1954" s="4" t="s">
        <v>43</v>
      </c>
      <c r="E1954" s="4" t="s">
        <v>25</v>
      </c>
      <c r="F1954" s="4" t="s">
        <v>25</v>
      </c>
      <c r="G1954" s="4" t="s">
        <v>25</v>
      </c>
      <c r="H1954" s="4" t="s">
        <v>36</v>
      </c>
      <c r="I1954" s="5">
        <v>44713</v>
      </c>
      <c r="J1954" s="6">
        <v>0</v>
      </c>
      <c r="K1954" s="6">
        <v>0</v>
      </c>
      <c r="L1954" s="6">
        <v>0.625</v>
      </c>
      <c r="M1954" s="6">
        <v>0.625</v>
      </c>
      <c r="N1954" s="6">
        <v>0.625</v>
      </c>
      <c r="O1954" s="6">
        <v>0.625</v>
      </c>
      <c r="P1954" s="6">
        <v>0</v>
      </c>
      <c r="Q1954" s="4" t="s">
        <v>26</v>
      </c>
      <c r="R1954" s="4">
        <v>0</v>
      </c>
      <c r="S1954" s="4" t="s">
        <v>538</v>
      </c>
      <c r="T1954" s="4" t="s">
        <v>795</v>
      </c>
      <c r="U1954" s="4">
        <v>0</v>
      </c>
      <c r="V1954" s="4">
        <v>53</v>
      </c>
      <c r="W1954" s="4">
        <v>98</v>
      </c>
    </row>
    <row r="1955" spans="1:23" ht="11.25" customHeight="1" x14ac:dyDescent="0.25">
      <c r="A1955" s="4" t="s">
        <v>57</v>
      </c>
      <c r="B1955" s="4" t="s">
        <v>37</v>
      </c>
      <c r="C1955" s="4" t="s">
        <v>33</v>
      </c>
      <c r="D1955" s="4" t="s">
        <v>43</v>
      </c>
      <c r="E1955" s="4" t="s">
        <v>25</v>
      </c>
      <c r="F1955" s="4" t="s">
        <v>25</v>
      </c>
      <c r="G1955" s="4" t="s">
        <v>25</v>
      </c>
      <c r="H1955" s="4" t="s">
        <v>36</v>
      </c>
      <c r="I1955" s="5">
        <v>44743</v>
      </c>
      <c r="J1955" s="6">
        <v>0</v>
      </c>
      <c r="K1955" s="6">
        <v>0</v>
      </c>
      <c r="L1955" s="6">
        <v>4.343</v>
      </c>
      <c r="M1955" s="6">
        <v>4.343</v>
      </c>
      <c r="N1955" s="6">
        <v>4.343</v>
      </c>
      <c r="O1955" s="6">
        <v>4.343</v>
      </c>
      <c r="P1955" s="6">
        <v>0</v>
      </c>
      <c r="Q1955" s="4" t="s">
        <v>26</v>
      </c>
      <c r="R1955" s="4">
        <v>0</v>
      </c>
      <c r="S1955" s="4" t="s">
        <v>539</v>
      </c>
      <c r="T1955" s="4" t="s">
        <v>796</v>
      </c>
      <c r="U1955" s="4">
        <v>0</v>
      </c>
      <c r="V1955" s="4">
        <v>53</v>
      </c>
      <c r="W1955" s="4">
        <v>98</v>
      </c>
    </row>
    <row r="1956" spans="1:23" ht="11.25" customHeight="1" x14ac:dyDescent="0.25">
      <c r="A1956" s="4" t="s">
        <v>57</v>
      </c>
      <c r="B1956" s="4" t="s">
        <v>37</v>
      </c>
      <c r="C1956" s="4" t="s">
        <v>33</v>
      </c>
      <c r="D1956" s="4" t="s">
        <v>43</v>
      </c>
      <c r="E1956" s="4" t="s">
        <v>25</v>
      </c>
      <c r="F1956" s="4" t="s">
        <v>25</v>
      </c>
      <c r="G1956" s="4" t="s">
        <v>25</v>
      </c>
      <c r="H1956" s="4" t="s">
        <v>36</v>
      </c>
      <c r="I1956" s="5">
        <v>44743</v>
      </c>
      <c r="J1956" s="6">
        <v>0</v>
      </c>
      <c r="K1956" s="6">
        <v>0</v>
      </c>
      <c r="L1956" s="6">
        <v>0.10100000000000001</v>
      </c>
      <c r="M1956" s="6">
        <v>0.10100000000000001</v>
      </c>
      <c r="N1956" s="6">
        <v>0.10100000000000001</v>
      </c>
      <c r="O1956" s="6">
        <v>0.10100000000000001</v>
      </c>
      <c r="P1956" s="6">
        <v>0</v>
      </c>
      <c r="Q1956" s="4" t="s">
        <v>26</v>
      </c>
      <c r="R1956" s="4">
        <v>0</v>
      </c>
      <c r="S1956" s="4" t="s">
        <v>539</v>
      </c>
      <c r="T1956" s="4" t="s">
        <v>796</v>
      </c>
      <c r="U1956" s="4">
        <v>0</v>
      </c>
      <c r="V1956" s="4">
        <v>53</v>
      </c>
      <c r="W1956" s="4">
        <v>98</v>
      </c>
    </row>
    <row r="1957" spans="1:23" ht="11.25" customHeight="1" x14ac:dyDescent="0.25">
      <c r="A1957" s="4" t="s">
        <v>57</v>
      </c>
      <c r="B1957" s="4" t="s">
        <v>37</v>
      </c>
      <c r="C1957" s="4" t="s">
        <v>33</v>
      </c>
      <c r="D1957" s="4" t="s">
        <v>43</v>
      </c>
      <c r="E1957" s="4" t="s">
        <v>25</v>
      </c>
      <c r="F1957" s="4" t="s">
        <v>25</v>
      </c>
      <c r="G1957" s="4" t="s">
        <v>25</v>
      </c>
      <c r="H1957" s="4" t="s">
        <v>36</v>
      </c>
      <c r="I1957" s="5">
        <v>44743</v>
      </c>
      <c r="J1957" s="6">
        <v>0</v>
      </c>
      <c r="K1957" s="6">
        <v>0</v>
      </c>
      <c r="L1957" s="6">
        <v>0.625</v>
      </c>
      <c r="M1957" s="6">
        <v>0.625</v>
      </c>
      <c r="N1957" s="6">
        <v>0.625</v>
      </c>
      <c r="O1957" s="6">
        <v>0.625</v>
      </c>
      <c r="P1957" s="6">
        <v>0</v>
      </c>
      <c r="Q1957" s="4" t="s">
        <v>26</v>
      </c>
      <c r="R1957" s="4">
        <v>0</v>
      </c>
      <c r="S1957" s="4" t="s">
        <v>539</v>
      </c>
      <c r="T1957" s="4" t="s">
        <v>796</v>
      </c>
      <c r="U1957" s="4">
        <v>0</v>
      </c>
      <c r="V1957" s="4">
        <v>53</v>
      </c>
      <c r="W1957" s="4">
        <v>98</v>
      </c>
    </row>
    <row r="1958" spans="1:23" ht="11.25" customHeight="1" x14ac:dyDescent="0.25">
      <c r="A1958" s="4" t="s">
        <v>21</v>
      </c>
      <c r="B1958" s="4" t="s">
        <v>37</v>
      </c>
      <c r="C1958" s="4" t="s">
        <v>33</v>
      </c>
      <c r="D1958" s="4" t="s">
        <v>43</v>
      </c>
      <c r="E1958" s="4" t="s">
        <v>25</v>
      </c>
      <c r="F1958" s="4" t="s">
        <v>25</v>
      </c>
      <c r="G1958" s="4" t="s">
        <v>25</v>
      </c>
      <c r="H1958" s="4" t="s">
        <v>34</v>
      </c>
      <c r="I1958" s="5">
        <v>44409</v>
      </c>
      <c r="J1958" s="6">
        <v>0</v>
      </c>
      <c r="K1958" s="6">
        <v>0</v>
      </c>
      <c r="L1958" s="6">
        <v>2.855</v>
      </c>
      <c r="M1958" s="6">
        <v>2.855</v>
      </c>
      <c r="N1958" s="6">
        <v>2.855</v>
      </c>
      <c r="O1958" s="6">
        <v>2.855</v>
      </c>
      <c r="P1958" s="6">
        <v>0</v>
      </c>
      <c r="Q1958" s="4" t="s">
        <v>26</v>
      </c>
      <c r="R1958" s="4">
        <v>0</v>
      </c>
      <c r="S1958" s="4" t="s">
        <v>540</v>
      </c>
      <c r="T1958" s="4" t="s">
        <v>797</v>
      </c>
      <c r="U1958" s="4">
        <v>0</v>
      </c>
      <c r="V1958" s="4">
        <v>51</v>
      </c>
      <c r="W1958" s="4">
        <v>97</v>
      </c>
    </row>
    <row r="1959" spans="1:23" ht="11.25" customHeight="1" x14ac:dyDescent="0.25">
      <c r="A1959" s="4" t="s">
        <v>27</v>
      </c>
      <c r="B1959" s="4" t="s">
        <v>37</v>
      </c>
      <c r="C1959" s="4" t="s">
        <v>33</v>
      </c>
      <c r="D1959" s="4" t="s">
        <v>43</v>
      </c>
      <c r="E1959" s="4" t="s">
        <v>25</v>
      </c>
      <c r="F1959" s="4" t="s">
        <v>25</v>
      </c>
      <c r="G1959" s="4" t="s">
        <v>25</v>
      </c>
      <c r="H1959" s="4" t="s">
        <v>34</v>
      </c>
      <c r="I1959" s="5">
        <v>44409</v>
      </c>
      <c r="J1959" s="6">
        <v>0</v>
      </c>
      <c r="K1959" s="6">
        <v>0</v>
      </c>
      <c r="L1959" s="6">
        <v>-2.6930000000000001</v>
      </c>
      <c r="M1959" s="6">
        <v>-2.6930000000000001</v>
      </c>
      <c r="N1959" s="6">
        <v>-2.6930000000000001</v>
      </c>
      <c r="O1959" s="6">
        <v>-2.6930000000000001</v>
      </c>
      <c r="P1959" s="6">
        <v>0</v>
      </c>
      <c r="Q1959" s="4" t="s">
        <v>26</v>
      </c>
      <c r="R1959" s="4">
        <v>0</v>
      </c>
      <c r="S1959" s="4" t="s">
        <v>540</v>
      </c>
      <c r="T1959" s="4" t="s">
        <v>797</v>
      </c>
      <c r="U1959" s="4">
        <v>0</v>
      </c>
      <c r="V1959" s="4">
        <v>51</v>
      </c>
      <c r="W1959" s="4">
        <v>97</v>
      </c>
    </row>
    <row r="1960" spans="1:23" ht="11.25" customHeight="1" x14ac:dyDescent="0.25">
      <c r="A1960" s="4" t="s">
        <v>28</v>
      </c>
      <c r="B1960" s="4" t="s">
        <v>37</v>
      </c>
      <c r="C1960" s="4" t="s">
        <v>33</v>
      </c>
      <c r="D1960" s="4" t="s">
        <v>43</v>
      </c>
      <c r="E1960" s="4" t="s">
        <v>25</v>
      </c>
      <c r="F1960" s="4" t="s">
        <v>25</v>
      </c>
      <c r="G1960" s="4" t="s">
        <v>25</v>
      </c>
      <c r="H1960" s="4" t="s">
        <v>34</v>
      </c>
      <c r="I1960" s="5">
        <v>44409</v>
      </c>
      <c r="J1960" s="6">
        <v>0</v>
      </c>
      <c r="K1960" s="6">
        <v>0</v>
      </c>
      <c r="L1960" s="6">
        <v>1.2290000000000001</v>
      </c>
      <c r="M1960" s="6">
        <v>1.2290000000000001</v>
      </c>
      <c r="N1960" s="6">
        <v>1.2290000000000001</v>
      </c>
      <c r="O1960" s="6">
        <v>1.2290000000000001</v>
      </c>
      <c r="P1960" s="6">
        <v>0</v>
      </c>
      <c r="Q1960" s="4" t="s">
        <v>26</v>
      </c>
      <c r="R1960" s="4">
        <v>0</v>
      </c>
      <c r="S1960" s="4" t="s">
        <v>540</v>
      </c>
      <c r="T1960" s="4" t="s">
        <v>797</v>
      </c>
      <c r="U1960" s="4">
        <v>0</v>
      </c>
      <c r="V1960" s="4">
        <v>51</v>
      </c>
      <c r="W1960" s="4">
        <v>97</v>
      </c>
    </row>
    <row r="1961" spans="1:23" ht="11.25" customHeight="1" x14ac:dyDescent="0.25">
      <c r="A1961" s="4" t="s">
        <v>21</v>
      </c>
      <c r="B1961" s="4" t="s">
        <v>37</v>
      </c>
      <c r="C1961" s="4" t="s">
        <v>33</v>
      </c>
      <c r="D1961" s="4" t="s">
        <v>43</v>
      </c>
      <c r="E1961" s="4" t="s">
        <v>25</v>
      </c>
      <c r="F1961" s="4" t="s">
        <v>25</v>
      </c>
      <c r="G1961" s="4" t="s">
        <v>25</v>
      </c>
      <c r="H1961" s="4" t="s">
        <v>34</v>
      </c>
      <c r="I1961" s="5">
        <v>44440</v>
      </c>
      <c r="J1961" s="6">
        <v>0</v>
      </c>
      <c r="K1961" s="6">
        <v>0</v>
      </c>
      <c r="L1961" s="6">
        <v>2.6779999999999999</v>
      </c>
      <c r="M1961" s="6">
        <v>2.6779999999999999</v>
      </c>
      <c r="N1961" s="6">
        <v>2.6779999999999999</v>
      </c>
      <c r="O1961" s="6">
        <v>2.6779999999999999</v>
      </c>
      <c r="P1961" s="6">
        <v>0</v>
      </c>
      <c r="Q1961" s="4" t="s">
        <v>26</v>
      </c>
      <c r="R1961" s="4">
        <v>0</v>
      </c>
      <c r="S1961" s="4" t="s">
        <v>541</v>
      </c>
      <c r="T1961" s="4" t="s">
        <v>798</v>
      </c>
      <c r="U1961" s="4">
        <v>0</v>
      </c>
      <c r="V1961" s="4">
        <v>51</v>
      </c>
      <c r="W1961" s="4">
        <v>97</v>
      </c>
    </row>
    <row r="1962" spans="1:23" ht="11.25" customHeight="1" x14ac:dyDescent="0.25">
      <c r="A1962" s="4" t="s">
        <v>28</v>
      </c>
      <c r="B1962" s="4" t="s">
        <v>37</v>
      </c>
      <c r="C1962" s="4" t="s">
        <v>33</v>
      </c>
      <c r="D1962" s="4" t="s">
        <v>43</v>
      </c>
      <c r="E1962" s="4" t="s">
        <v>25</v>
      </c>
      <c r="F1962" s="4" t="s">
        <v>25</v>
      </c>
      <c r="G1962" s="4" t="s">
        <v>25</v>
      </c>
      <c r="H1962" s="4" t="s">
        <v>34</v>
      </c>
      <c r="I1962" s="5">
        <v>44440</v>
      </c>
      <c r="J1962" s="6">
        <v>0</v>
      </c>
      <c r="K1962" s="6">
        <v>0</v>
      </c>
      <c r="L1962" s="6">
        <v>1.071</v>
      </c>
      <c r="M1962" s="6">
        <v>1.071</v>
      </c>
      <c r="N1962" s="6">
        <v>1.071</v>
      </c>
      <c r="O1962" s="6">
        <v>1.071</v>
      </c>
      <c r="P1962" s="6">
        <v>0</v>
      </c>
      <c r="Q1962" s="4" t="s">
        <v>26</v>
      </c>
      <c r="R1962" s="4">
        <v>0</v>
      </c>
      <c r="S1962" s="4" t="s">
        <v>541</v>
      </c>
      <c r="T1962" s="4" t="s">
        <v>798</v>
      </c>
      <c r="U1962" s="4">
        <v>0</v>
      </c>
      <c r="V1962" s="4">
        <v>51</v>
      </c>
      <c r="W1962" s="4">
        <v>97</v>
      </c>
    </row>
    <row r="1963" spans="1:23" ht="11.25" customHeight="1" x14ac:dyDescent="0.25">
      <c r="A1963" s="4" t="s">
        <v>21</v>
      </c>
      <c r="B1963" s="4" t="s">
        <v>37</v>
      </c>
      <c r="C1963" s="4" t="s">
        <v>33</v>
      </c>
      <c r="D1963" s="4" t="s">
        <v>43</v>
      </c>
      <c r="E1963" s="4" t="s">
        <v>25</v>
      </c>
      <c r="F1963" s="4" t="s">
        <v>25</v>
      </c>
      <c r="G1963" s="4" t="s">
        <v>25</v>
      </c>
      <c r="H1963" s="4" t="s">
        <v>34</v>
      </c>
      <c r="I1963" s="5">
        <v>44470</v>
      </c>
      <c r="J1963" s="6">
        <v>0</v>
      </c>
      <c r="K1963" s="6">
        <v>0</v>
      </c>
      <c r="L1963" s="6">
        <v>3.0089999999999999</v>
      </c>
      <c r="M1963" s="6">
        <v>3.0089999999999999</v>
      </c>
      <c r="N1963" s="6">
        <v>3.0089999999999999</v>
      </c>
      <c r="O1963" s="6">
        <v>3.0089999999999999</v>
      </c>
      <c r="P1963" s="6">
        <v>0</v>
      </c>
      <c r="Q1963" s="4" t="s">
        <v>26</v>
      </c>
      <c r="R1963" s="4">
        <v>0</v>
      </c>
      <c r="S1963" s="4" t="s">
        <v>542</v>
      </c>
      <c r="T1963" s="4" t="s">
        <v>799</v>
      </c>
      <c r="U1963" s="4">
        <v>0</v>
      </c>
      <c r="V1963" s="4">
        <v>51</v>
      </c>
      <c r="W1963" s="4">
        <v>97</v>
      </c>
    </row>
    <row r="1964" spans="1:23" ht="11.25" customHeight="1" x14ac:dyDescent="0.25">
      <c r="A1964" s="4" t="s">
        <v>28</v>
      </c>
      <c r="B1964" s="4" t="s">
        <v>37</v>
      </c>
      <c r="C1964" s="4" t="s">
        <v>33</v>
      </c>
      <c r="D1964" s="4" t="s">
        <v>43</v>
      </c>
      <c r="E1964" s="4" t="s">
        <v>25</v>
      </c>
      <c r="F1964" s="4" t="s">
        <v>25</v>
      </c>
      <c r="G1964" s="4" t="s">
        <v>25</v>
      </c>
      <c r="H1964" s="4" t="s">
        <v>34</v>
      </c>
      <c r="I1964" s="5">
        <v>44470</v>
      </c>
      <c r="J1964" s="6">
        <v>0</v>
      </c>
      <c r="K1964" s="6">
        <v>0</v>
      </c>
      <c r="L1964" s="6">
        <v>1.2110000000000001</v>
      </c>
      <c r="M1964" s="6">
        <v>1.2110000000000001</v>
      </c>
      <c r="N1964" s="6">
        <v>1.2110000000000001</v>
      </c>
      <c r="O1964" s="6">
        <v>1.2110000000000001</v>
      </c>
      <c r="P1964" s="6">
        <v>0</v>
      </c>
      <c r="Q1964" s="4" t="s">
        <v>26</v>
      </c>
      <c r="R1964" s="4">
        <v>0</v>
      </c>
      <c r="S1964" s="4" t="s">
        <v>542</v>
      </c>
      <c r="T1964" s="4" t="s">
        <v>799</v>
      </c>
      <c r="U1964" s="4">
        <v>0</v>
      </c>
      <c r="V1964" s="4">
        <v>51</v>
      </c>
      <c r="W1964" s="4">
        <v>97</v>
      </c>
    </row>
    <row r="1965" spans="1:23" ht="11.25" customHeight="1" x14ac:dyDescent="0.25">
      <c r="A1965" s="4" t="s">
        <v>21</v>
      </c>
      <c r="B1965" s="4" t="s">
        <v>37</v>
      </c>
      <c r="C1965" s="4" t="s">
        <v>33</v>
      </c>
      <c r="D1965" s="4" t="s">
        <v>43</v>
      </c>
      <c r="E1965" s="4" t="s">
        <v>25</v>
      </c>
      <c r="F1965" s="4" t="s">
        <v>25</v>
      </c>
      <c r="G1965" s="4" t="s">
        <v>25</v>
      </c>
      <c r="H1965" s="4" t="s">
        <v>34</v>
      </c>
      <c r="I1965" s="5">
        <v>44501</v>
      </c>
      <c r="J1965" s="6">
        <v>0</v>
      </c>
      <c r="K1965" s="6">
        <v>0</v>
      </c>
      <c r="L1965" s="6">
        <v>3.359</v>
      </c>
      <c r="M1965" s="6">
        <v>3.359</v>
      </c>
      <c r="N1965" s="6">
        <v>3.359</v>
      </c>
      <c r="O1965" s="6">
        <v>3.359</v>
      </c>
      <c r="P1965" s="6">
        <v>0</v>
      </c>
      <c r="Q1965" s="4" t="s">
        <v>26</v>
      </c>
      <c r="R1965" s="4">
        <v>0</v>
      </c>
      <c r="S1965" s="4" t="s">
        <v>543</v>
      </c>
      <c r="T1965" s="4" t="s">
        <v>800</v>
      </c>
      <c r="U1965" s="4">
        <v>0</v>
      </c>
      <c r="V1965" s="4">
        <v>51</v>
      </c>
      <c r="W1965" s="4">
        <v>97</v>
      </c>
    </row>
    <row r="1966" spans="1:23" ht="11.25" customHeight="1" x14ac:dyDescent="0.25">
      <c r="A1966" s="4" t="s">
        <v>28</v>
      </c>
      <c r="B1966" s="4" t="s">
        <v>37</v>
      </c>
      <c r="C1966" s="4" t="s">
        <v>33</v>
      </c>
      <c r="D1966" s="4" t="s">
        <v>43</v>
      </c>
      <c r="E1966" s="4" t="s">
        <v>25</v>
      </c>
      <c r="F1966" s="4" t="s">
        <v>25</v>
      </c>
      <c r="G1966" s="4" t="s">
        <v>25</v>
      </c>
      <c r="H1966" s="4" t="s">
        <v>34</v>
      </c>
      <c r="I1966" s="5">
        <v>44501</v>
      </c>
      <c r="J1966" s="6">
        <v>0</v>
      </c>
      <c r="K1966" s="6">
        <v>0</v>
      </c>
      <c r="L1966" s="6">
        <v>1.345</v>
      </c>
      <c r="M1966" s="6">
        <v>1.345</v>
      </c>
      <c r="N1966" s="6">
        <v>1.345</v>
      </c>
      <c r="O1966" s="6">
        <v>1.345</v>
      </c>
      <c r="P1966" s="6">
        <v>0</v>
      </c>
      <c r="Q1966" s="4" t="s">
        <v>26</v>
      </c>
      <c r="R1966" s="4">
        <v>0</v>
      </c>
      <c r="S1966" s="4" t="s">
        <v>543</v>
      </c>
      <c r="T1966" s="4" t="s">
        <v>800</v>
      </c>
      <c r="U1966" s="4">
        <v>0</v>
      </c>
      <c r="V1966" s="4">
        <v>51</v>
      </c>
      <c r="W1966" s="4">
        <v>97</v>
      </c>
    </row>
    <row r="1967" spans="1:23" ht="11.25" customHeight="1" x14ac:dyDescent="0.25">
      <c r="A1967" s="4" t="s">
        <v>21</v>
      </c>
      <c r="B1967" s="4" t="s">
        <v>37</v>
      </c>
      <c r="C1967" s="4" t="s">
        <v>33</v>
      </c>
      <c r="D1967" s="4" t="s">
        <v>43</v>
      </c>
      <c r="E1967" s="4" t="s">
        <v>25</v>
      </c>
      <c r="F1967" s="4" t="s">
        <v>25</v>
      </c>
      <c r="G1967" s="4" t="s">
        <v>25</v>
      </c>
      <c r="H1967" s="4" t="s">
        <v>34</v>
      </c>
      <c r="I1967" s="5">
        <v>44531</v>
      </c>
      <c r="J1967" s="6">
        <v>0</v>
      </c>
      <c r="K1967" s="6">
        <v>0</v>
      </c>
      <c r="L1967" s="6">
        <v>3.8149999999999999</v>
      </c>
      <c r="M1967" s="6">
        <v>3.8149999999999999</v>
      </c>
      <c r="N1967" s="6">
        <v>3.8149999999999999</v>
      </c>
      <c r="O1967" s="6">
        <v>3.8149999999999999</v>
      </c>
      <c r="P1967" s="6">
        <v>0</v>
      </c>
      <c r="Q1967" s="4" t="s">
        <v>26</v>
      </c>
      <c r="R1967" s="4">
        <v>0</v>
      </c>
      <c r="S1967" s="4" t="s">
        <v>544</v>
      </c>
      <c r="T1967" s="4" t="s">
        <v>801</v>
      </c>
      <c r="U1967" s="4">
        <v>0</v>
      </c>
      <c r="V1967" s="4">
        <v>51</v>
      </c>
      <c r="W1967" s="4">
        <v>97</v>
      </c>
    </row>
    <row r="1968" spans="1:23" ht="11.25" customHeight="1" x14ac:dyDescent="0.25">
      <c r="A1968" s="4" t="s">
        <v>27</v>
      </c>
      <c r="B1968" s="4" t="s">
        <v>37</v>
      </c>
      <c r="C1968" s="4" t="s">
        <v>33</v>
      </c>
      <c r="D1968" s="4" t="s">
        <v>43</v>
      </c>
      <c r="E1968" s="4" t="s">
        <v>25</v>
      </c>
      <c r="F1968" s="4" t="s">
        <v>25</v>
      </c>
      <c r="G1968" s="4" t="s">
        <v>25</v>
      </c>
      <c r="H1968" s="4" t="s">
        <v>34</v>
      </c>
      <c r="I1968" s="5">
        <v>44531</v>
      </c>
      <c r="J1968" s="6">
        <v>0</v>
      </c>
      <c r="K1968" s="6">
        <v>0</v>
      </c>
      <c r="L1968" s="6">
        <v>-0.38100000000000001</v>
      </c>
      <c r="M1968" s="6">
        <v>-0.38100000000000001</v>
      </c>
      <c r="N1968" s="6">
        <v>-0.38100000000000001</v>
      </c>
      <c r="O1968" s="6">
        <v>-0.38100000000000001</v>
      </c>
      <c r="P1968" s="6">
        <v>0</v>
      </c>
      <c r="Q1968" s="4" t="s">
        <v>26</v>
      </c>
      <c r="R1968" s="4">
        <v>0</v>
      </c>
      <c r="S1968" s="4" t="s">
        <v>544</v>
      </c>
      <c r="T1968" s="4" t="s">
        <v>801</v>
      </c>
      <c r="U1968" s="4">
        <v>0</v>
      </c>
      <c r="V1968" s="4">
        <v>51</v>
      </c>
      <c r="W1968" s="4">
        <v>97</v>
      </c>
    </row>
    <row r="1969" spans="1:23" ht="11.25" customHeight="1" x14ac:dyDescent="0.25">
      <c r="A1969" s="4" t="s">
        <v>28</v>
      </c>
      <c r="B1969" s="4" t="s">
        <v>37</v>
      </c>
      <c r="C1969" s="4" t="s">
        <v>33</v>
      </c>
      <c r="D1969" s="4" t="s">
        <v>43</v>
      </c>
      <c r="E1969" s="4" t="s">
        <v>25</v>
      </c>
      <c r="F1969" s="4" t="s">
        <v>25</v>
      </c>
      <c r="G1969" s="4" t="s">
        <v>25</v>
      </c>
      <c r="H1969" s="4" t="s">
        <v>34</v>
      </c>
      <c r="I1969" s="5">
        <v>44531</v>
      </c>
      <c r="J1969" s="6">
        <v>0</v>
      </c>
      <c r="K1969" s="6">
        <v>0</v>
      </c>
      <c r="L1969" s="6">
        <v>1.571</v>
      </c>
      <c r="M1969" s="6">
        <v>1.571</v>
      </c>
      <c r="N1969" s="6">
        <v>1.571</v>
      </c>
      <c r="O1969" s="6">
        <v>1.571</v>
      </c>
      <c r="P1969" s="6">
        <v>0</v>
      </c>
      <c r="Q1969" s="4" t="s">
        <v>26</v>
      </c>
      <c r="R1969" s="4">
        <v>0</v>
      </c>
      <c r="S1969" s="4" t="s">
        <v>544</v>
      </c>
      <c r="T1969" s="4" t="s">
        <v>801</v>
      </c>
      <c r="U1969" s="4">
        <v>0</v>
      </c>
      <c r="V1969" s="4">
        <v>51</v>
      </c>
      <c r="W1969" s="4">
        <v>97</v>
      </c>
    </row>
    <row r="1970" spans="1:23" ht="11.25" customHeight="1" x14ac:dyDescent="0.25">
      <c r="A1970" s="4" t="s">
        <v>21</v>
      </c>
      <c r="B1970" s="4" t="s">
        <v>37</v>
      </c>
      <c r="C1970" s="4" t="s">
        <v>33</v>
      </c>
      <c r="D1970" s="4" t="s">
        <v>43</v>
      </c>
      <c r="E1970" s="4" t="s">
        <v>25</v>
      </c>
      <c r="F1970" s="4" t="s">
        <v>25</v>
      </c>
      <c r="G1970" s="4" t="s">
        <v>25</v>
      </c>
      <c r="H1970" s="4" t="s">
        <v>34</v>
      </c>
      <c r="I1970" s="5">
        <v>44562</v>
      </c>
      <c r="J1970" s="6">
        <v>0</v>
      </c>
      <c r="K1970" s="6">
        <v>0</v>
      </c>
      <c r="L1970" s="6">
        <v>4.3410000000000002</v>
      </c>
      <c r="M1970" s="6">
        <v>4.3410000000000002</v>
      </c>
      <c r="N1970" s="6">
        <v>4.3410000000000002</v>
      </c>
      <c r="O1970" s="6">
        <v>4.3410000000000002</v>
      </c>
      <c r="P1970" s="6">
        <v>0</v>
      </c>
      <c r="Q1970" s="4" t="s">
        <v>26</v>
      </c>
      <c r="R1970" s="4">
        <v>0</v>
      </c>
      <c r="S1970" s="4" t="s">
        <v>545</v>
      </c>
      <c r="T1970" s="4" t="s">
        <v>802</v>
      </c>
      <c r="U1970" s="4">
        <v>0</v>
      </c>
      <c r="V1970" s="4">
        <v>51</v>
      </c>
      <c r="W1970" s="4">
        <v>97</v>
      </c>
    </row>
    <row r="1971" spans="1:23" ht="11.25" customHeight="1" x14ac:dyDescent="0.25">
      <c r="A1971" s="4" t="s">
        <v>27</v>
      </c>
      <c r="B1971" s="4" t="s">
        <v>37</v>
      </c>
      <c r="C1971" s="4" t="s">
        <v>33</v>
      </c>
      <c r="D1971" s="4" t="s">
        <v>43</v>
      </c>
      <c r="E1971" s="4" t="s">
        <v>25</v>
      </c>
      <c r="F1971" s="4" t="s">
        <v>25</v>
      </c>
      <c r="G1971" s="4" t="s">
        <v>25</v>
      </c>
      <c r="H1971" s="4" t="s">
        <v>34</v>
      </c>
      <c r="I1971" s="5">
        <v>44562</v>
      </c>
      <c r="J1971" s="6">
        <v>0</v>
      </c>
      <c r="K1971" s="6">
        <v>0</v>
      </c>
      <c r="L1971" s="6">
        <v>1E-3</v>
      </c>
      <c r="M1971" s="6">
        <v>1E-3</v>
      </c>
      <c r="N1971" s="6">
        <v>1E-3</v>
      </c>
      <c r="O1971" s="6">
        <v>1E-3</v>
      </c>
      <c r="P1971" s="6">
        <v>0</v>
      </c>
      <c r="Q1971" s="4" t="s">
        <v>26</v>
      </c>
      <c r="R1971" s="4">
        <v>0</v>
      </c>
      <c r="S1971" s="4" t="s">
        <v>545</v>
      </c>
      <c r="T1971" s="4" t="s">
        <v>802</v>
      </c>
      <c r="U1971" s="4">
        <v>0</v>
      </c>
      <c r="V1971" s="4">
        <v>51</v>
      </c>
      <c r="W1971" s="4">
        <v>97</v>
      </c>
    </row>
    <row r="1972" spans="1:23" ht="11.25" customHeight="1" x14ac:dyDescent="0.25">
      <c r="A1972" s="4" t="s">
        <v>28</v>
      </c>
      <c r="B1972" s="4" t="s">
        <v>37</v>
      </c>
      <c r="C1972" s="4" t="s">
        <v>33</v>
      </c>
      <c r="D1972" s="4" t="s">
        <v>43</v>
      </c>
      <c r="E1972" s="4" t="s">
        <v>25</v>
      </c>
      <c r="F1972" s="4" t="s">
        <v>25</v>
      </c>
      <c r="G1972" s="4" t="s">
        <v>25</v>
      </c>
      <c r="H1972" s="4" t="s">
        <v>34</v>
      </c>
      <c r="I1972" s="5">
        <v>44562</v>
      </c>
      <c r="J1972" s="6">
        <v>0</v>
      </c>
      <c r="K1972" s="6">
        <v>0</v>
      </c>
      <c r="L1972" s="6">
        <v>1.171</v>
      </c>
      <c r="M1972" s="6">
        <v>1.171</v>
      </c>
      <c r="N1972" s="6">
        <v>1.171</v>
      </c>
      <c r="O1972" s="6">
        <v>1.171</v>
      </c>
      <c r="P1972" s="6">
        <v>0</v>
      </c>
      <c r="Q1972" s="4" t="s">
        <v>26</v>
      </c>
      <c r="R1972" s="4">
        <v>0</v>
      </c>
      <c r="S1972" s="4" t="s">
        <v>545</v>
      </c>
      <c r="T1972" s="4" t="s">
        <v>802</v>
      </c>
      <c r="U1972" s="4">
        <v>0</v>
      </c>
      <c r="V1972" s="4">
        <v>51</v>
      </c>
      <c r="W1972" s="4">
        <v>97</v>
      </c>
    </row>
    <row r="1973" spans="1:23" ht="11.25" customHeight="1" x14ac:dyDescent="0.25">
      <c r="A1973" s="4" t="s">
        <v>28</v>
      </c>
      <c r="B1973" s="4" t="s">
        <v>37</v>
      </c>
      <c r="C1973" s="4" t="s">
        <v>33</v>
      </c>
      <c r="D1973" s="4" t="s">
        <v>43</v>
      </c>
      <c r="E1973" s="4" t="s">
        <v>25</v>
      </c>
      <c r="F1973" s="4" t="s">
        <v>25</v>
      </c>
      <c r="G1973" s="4" t="s">
        <v>25</v>
      </c>
      <c r="H1973" s="4" t="s">
        <v>34</v>
      </c>
      <c r="I1973" s="5">
        <v>44562</v>
      </c>
      <c r="J1973" s="6">
        <v>0</v>
      </c>
      <c r="K1973" s="6">
        <v>0</v>
      </c>
      <c r="L1973" s="6">
        <v>-0.77800000000000002</v>
      </c>
      <c r="M1973" s="6">
        <v>-0.77800000000000002</v>
      </c>
      <c r="N1973" s="6">
        <v>-0.77800000000000002</v>
      </c>
      <c r="O1973" s="6">
        <v>-0.77800000000000002</v>
      </c>
      <c r="P1973" s="6">
        <v>0</v>
      </c>
      <c r="Q1973" s="4" t="s">
        <v>26</v>
      </c>
      <c r="R1973" s="4">
        <v>0</v>
      </c>
      <c r="S1973" s="4" t="s">
        <v>545</v>
      </c>
      <c r="T1973" s="4" t="s">
        <v>802</v>
      </c>
      <c r="U1973" s="4">
        <v>0</v>
      </c>
      <c r="V1973" s="4">
        <v>51</v>
      </c>
      <c r="W1973" s="4">
        <v>97</v>
      </c>
    </row>
    <row r="1974" spans="1:23" ht="11.25" customHeight="1" x14ac:dyDescent="0.25">
      <c r="A1974" s="4" t="s">
        <v>21</v>
      </c>
      <c r="B1974" s="4" t="s">
        <v>37</v>
      </c>
      <c r="C1974" s="4" t="s">
        <v>33</v>
      </c>
      <c r="D1974" s="4" t="s">
        <v>43</v>
      </c>
      <c r="E1974" s="4" t="s">
        <v>25</v>
      </c>
      <c r="F1974" s="4" t="s">
        <v>25</v>
      </c>
      <c r="G1974" s="4" t="s">
        <v>25</v>
      </c>
      <c r="H1974" s="4" t="s">
        <v>34</v>
      </c>
      <c r="I1974" s="5">
        <v>44593</v>
      </c>
      <c r="J1974" s="6">
        <v>0</v>
      </c>
      <c r="K1974" s="6">
        <v>0</v>
      </c>
      <c r="L1974" s="6">
        <v>4.2789999999999999</v>
      </c>
      <c r="M1974" s="6">
        <v>4.2789999999999999</v>
      </c>
      <c r="N1974" s="6">
        <v>4.2789999999999999</v>
      </c>
      <c r="O1974" s="6">
        <v>4.2789999999999999</v>
      </c>
      <c r="P1974" s="6">
        <v>0</v>
      </c>
      <c r="Q1974" s="4" t="s">
        <v>26</v>
      </c>
      <c r="R1974" s="4">
        <v>0</v>
      </c>
      <c r="S1974" s="4" t="s">
        <v>546</v>
      </c>
      <c r="T1974" s="4" t="s">
        <v>803</v>
      </c>
      <c r="U1974" s="4">
        <v>0</v>
      </c>
      <c r="V1974" s="4">
        <v>51</v>
      </c>
      <c r="W1974" s="4">
        <v>97</v>
      </c>
    </row>
    <row r="1975" spans="1:23" ht="11.25" customHeight="1" x14ac:dyDescent="0.25">
      <c r="A1975" s="4" t="s">
        <v>28</v>
      </c>
      <c r="B1975" s="4" t="s">
        <v>37</v>
      </c>
      <c r="C1975" s="4" t="s">
        <v>33</v>
      </c>
      <c r="D1975" s="4" t="s">
        <v>43</v>
      </c>
      <c r="E1975" s="4" t="s">
        <v>25</v>
      </c>
      <c r="F1975" s="4" t="s">
        <v>25</v>
      </c>
      <c r="G1975" s="4" t="s">
        <v>25</v>
      </c>
      <c r="H1975" s="4" t="s">
        <v>34</v>
      </c>
      <c r="I1975" s="5">
        <v>44593</v>
      </c>
      <c r="J1975" s="6">
        <v>0</v>
      </c>
      <c r="K1975" s="6">
        <v>0</v>
      </c>
      <c r="L1975" s="6">
        <v>0.752</v>
      </c>
      <c r="M1975" s="6">
        <v>0.752</v>
      </c>
      <c r="N1975" s="6">
        <v>0.752</v>
      </c>
      <c r="O1975" s="6">
        <v>0.752</v>
      </c>
      <c r="P1975" s="6">
        <v>0</v>
      </c>
      <c r="Q1975" s="4" t="s">
        <v>26</v>
      </c>
      <c r="R1975" s="4">
        <v>0</v>
      </c>
      <c r="S1975" s="4" t="s">
        <v>546</v>
      </c>
      <c r="T1975" s="4" t="s">
        <v>803</v>
      </c>
      <c r="U1975" s="4">
        <v>0</v>
      </c>
      <c r="V1975" s="4">
        <v>51</v>
      </c>
      <c r="W1975" s="4">
        <v>97</v>
      </c>
    </row>
    <row r="1976" spans="1:23" ht="11.25" customHeight="1" x14ac:dyDescent="0.25">
      <c r="A1976" s="4" t="s">
        <v>21</v>
      </c>
      <c r="B1976" s="4" t="s">
        <v>37</v>
      </c>
      <c r="C1976" s="4" t="s">
        <v>33</v>
      </c>
      <c r="D1976" s="4" t="s">
        <v>43</v>
      </c>
      <c r="E1976" s="4" t="s">
        <v>25</v>
      </c>
      <c r="F1976" s="4" t="s">
        <v>25</v>
      </c>
      <c r="G1976" s="4" t="s">
        <v>25</v>
      </c>
      <c r="H1976" s="4" t="s">
        <v>34</v>
      </c>
      <c r="I1976" s="5">
        <v>44621</v>
      </c>
      <c r="J1976" s="6">
        <v>0</v>
      </c>
      <c r="K1976" s="6">
        <v>0</v>
      </c>
      <c r="L1976" s="6">
        <v>5.1509999999999998</v>
      </c>
      <c r="M1976" s="6">
        <v>5.1509999999999998</v>
      </c>
      <c r="N1976" s="6">
        <v>5.1509999999999998</v>
      </c>
      <c r="O1976" s="6">
        <v>5.1509999999999998</v>
      </c>
      <c r="P1976" s="6">
        <v>0</v>
      </c>
      <c r="Q1976" s="4" t="s">
        <v>26</v>
      </c>
      <c r="R1976" s="4">
        <v>0</v>
      </c>
      <c r="S1976" s="4" t="s">
        <v>547</v>
      </c>
      <c r="T1976" s="4" t="s">
        <v>804</v>
      </c>
      <c r="U1976" s="4">
        <v>0</v>
      </c>
      <c r="V1976" s="4">
        <v>51</v>
      </c>
      <c r="W1976" s="4">
        <v>97</v>
      </c>
    </row>
    <row r="1977" spans="1:23" ht="11.25" customHeight="1" x14ac:dyDescent="0.25">
      <c r="A1977" s="4" t="s">
        <v>28</v>
      </c>
      <c r="B1977" s="4" t="s">
        <v>37</v>
      </c>
      <c r="C1977" s="4" t="s">
        <v>33</v>
      </c>
      <c r="D1977" s="4" t="s">
        <v>43</v>
      </c>
      <c r="E1977" s="4" t="s">
        <v>25</v>
      </c>
      <c r="F1977" s="4" t="s">
        <v>25</v>
      </c>
      <c r="G1977" s="4" t="s">
        <v>25</v>
      </c>
      <c r="H1977" s="4" t="s">
        <v>34</v>
      </c>
      <c r="I1977" s="5">
        <v>44621</v>
      </c>
      <c r="J1977" s="6">
        <v>0</v>
      </c>
      <c r="K1977" s="6">
        <v>0</v>
      </c>
      <c r="L1977" s="6">
        <v>1.0980000000000001</v>
      </c>
      <c r="M1977" s="6">
        <v>1.0980000000000001</v>
      </c>
      <c r="N1977" s="6">
        <v>1.0980000000000001</v>
      </c>
      <c r="O1977" s="6">
        <v>1.0980000000000001</v>
      </c>
      <c r="P1977" s="6">
        <v>0</v>
      </c>
      <c r="Q1977" s="4" t="s">
        <v>26</v>
      </c>
      <c r="R1977" s="4">
        <v>0</v>
      </c>
      <c r="S1977" s="4" t="s">
        <v>547</v>
      </c>
      <c r="T1977" s="4" t="s">
        <v>804</v>
      </c>
      <c r="U1977" s="4">
        <v>0</v>
      </c>
      <c r="V1977" s="4">
        <v>51</v>
      </c>
      <c r="W1977" s="4">
        <v>97</v>
      </c>
    </row>
    <row r="1978" spans="1:23" ht="11.25" customHeight="1" x14ac:dyDescent="0.25">
      <c r="A1978" s="4" t="s">
        <v>21</v>
      </c>
      <c r="B1978" s="4" t="s">
        <v>37</v>
      </c>
      <c r="C1978" s="4" t="s">
        <v>33</v>
      </c>
      <c r="D1978" s="4" t="s">
        <v>43</v>
      </c>
      <c r="E1978" s="4" t="s">
        <v>25</v>
      </c>
      <c r="F1978" s="4" t="s">
        <v>25</v>
      </c>
      <c r="G1978" s="4" t="s">
        <v>25</v>
      </c>
      <c r="H1978" s="4" t="s">
        <v>34</v>
      </c>
      <c r="I1978" s="5">
        <v>44652</v>
      </c>
      <c r="J1978" s="6">
        <v>0</v>
      </c>
      <c r="K1978" s="6">
        <v>0</v>
      </c>
      <c r="L1978" s="6">
        <v>3.992</v>
      </c>
      <c r="M1978" s="6">
        <v>3.992</v>
      </c>
      <c r="N1978" s="6">
        <v>3.992</v>
      </c>
      <c r="O1978" s="6">
        <v>3.992</v>
      </c>
      <c r="P1978" s="6">
        <v>0</v>
      </c>
      <c r="Q1978" s="4" t="s">
        <v>26</v>
      </c>
      <c r="R1978" s="4">
        <v>0</v>
      </c>
      <c r="S1978" s="4" t="s">
        <v>548</v>
      </c>
      <c r="T1978" s="4" t="s">
        <v>805</v>
      </c>
      <c r="U1978" s="4">
        <v>0</v>
      </c>
      <c r="V1978" s="4">
        <v>51</v>
      </c>
      <c r="W1978" s="4">
        <v>97</v>
      </c>
    </row>
    <row r="1979" spans="1:23" ht="11.25" customHeight="1" x14ac:dyDescent="0.25">
      <c r="A1979" s="4" t="s">
        <v>28</v>
      </c>
      <c r="B1979" s="4" t="s">
        <v>37</v>
      </c>
      <c r="C1979" s="4" t="s">
        <v>33</v>
      </c>
      <c r="D1979" s="4" t="s">
        <v>43</v>
      </c>
      <c r="E1979" s="4" t="s">
        <v>25</v>
      </c>
      <c r="F1979" s="4" t="s">
        <v>25</v>
      </c>
      <c r="G1979" s="4" t="s">
        <v>25</v>
      </c>
      <c r="H1979" s="4" t="s">
        <v>34</v>
      </c>
      <c r="I1979" s="5">
        <v>44652</v>
      </c>
      <c r="J1979" s="6">
        <v>0</v>
      </c>
      <c r="K1979" s="6">
        <v>0</v>
      </c>
      <c r="L1979" s="6">
        <v>0.89500000000000002</v>
      </c>
      <c r="M1979" s="6">
        <v>0.89500000000000002</v>
      </c>
      <c r="N1979" s="6">
        <v>0.89500000000000002</v>
      </c>
      <c r="O1979" s="6">
        <v>0.89500000000000002</v>
      </c>
      <c r="P1979" s="6">
        <v>0</v>
      </c>
      <c r="Q1979" s="4" t="s">
        <v>26</v>
      </c>
      <c r="R1979" s="4">
        <v>0</v>
      </c>
      <c r="S1979" s="4" t="s">
        <v>548</v>
      </c>
      <c r="T1979" s="4" t="s">
        <v>805</v>
      </c>
      <c r="U1979" s="4">
        <v>0</v>
      </c>
      <c r="V1979" s="4">
        <v>51</v>
      </c>
      <c r="W1979" s="4">
        <v>97</v>
      </c>
    </row>
    <row r="1980" spans="1:23" ht="11.25" customHeight="1" x14ac:dyDescent="0.25">
      <c r="A1980" s="4" t="s">
        <v>21</v>
      </c>
      <c r="B1980" s="4" t="s">
        <v>37</v>
      </c>
      <c r="C1980" s="4" t="s">
        <v>33</v>
      </c>
      <c r="D1980" s="4" t="s">
        <v>43</v>
      </c>
      <c r="E1980" s="4" t="s">
        <v>25</v>
      </c>
      <c r="F1980" s="4" t="s">
        <v>25</v>
      </c>
      <c r="G1980" s="4" t="s">
        <v>25</v>
      </c>
      <c r="H1980" s="4" t="s">
        <v>34</v>
      </c>
      <c r="I1980" s="5">
        <v>44682</v>
      </c>
      <c r="J1980" s="6">
        <v>0</v>
      </c>
      <c r="K1980" s="6">
        <v>0</v>
      </c>
      <c r="L1980" s="6">
        <v>3.9159999999999999</v>
      </c>
      <c r="M1980" s="6">
        <v>3.9159999999999999</v>
      </c>
      <c r="N1980" s="6">
        <v>3.9159999999999999</v>
      </c>
      <c r="O1980" s="6">
        <v>3.9159999999999999</v>
      </c>
      <c r="P1980" s="6">
        <v>0</v>
      </c>
      <c r="Q1980" s="4" t="s">
        <v>26</v>
      </c>
      <c r="R1980" s="4">
        <v>0</v>
      </c>
      <c r="S1980" s="4" t="s">
        <v>549</v>
      </c>
      <c r="T1980" s="4" t="s">
        <v>806</v>
      </c>
      <c r="U1980" s="4">
        <v>0</v>
      </c>
      <c r="V1980" s="4">
        <v>51</v>
      </c>
      <c r="W1980" s="4">
        <v>97</v>
      </c>
    </row>
    <row r="1981" spans="1:23" ht="11.25" customHeight="1" x14ac:dyDescent="0.25">
      <c r="A1981" s="4" t="s">
        <v>28</v>
      </c>
      <c r="B1981" s="4" t="s">
        <v>37</v>
      </c>
      <c r="C1981" s="4" t="s">
        <v>33</v>
      </c>
      <c r="D1981" s="4" t="s">
        <v>43</v>
      </c>
      <c r="E1981" s="4" t="s">
        <v>25</v>
      </c>
      <c r="F1981" s="4" t="s">
        <v>25</v>
      </c>
      <c r="G1981" s="4" t="s">
        <v>25</v>
      </c>
      <c r="H1981" s="4" t="s">
        <v>34</v>
      </c>
      <c r="I1981" s="5">
        <v>44682</v>
      </c>
      <c r="J1981" s="6">
        <v>0</v>
      </c>
      <c r="K1981" s="6">
        <v>0</v>
      </c>
      <c r="L1981" s="6">
        <v>0.54300000000000004</v>
      </c>
      <c r="M1981" s="6">
        <v>0.54300000000000004</v>
      </c>
      <c r="N1981" s="6">
        <v>0.54300000000000004</v>
      </c>
      <c r="O1981" s="6">
        <v>0.54300000000000004</v>
      </c>
      <c r="P1981" s="6">
        <v>0</v>
      </c>
      <c r="Q1981" s="4" t="s">
        <v>26</v>
      </c>
      <c r="R1981" s="4">
        <v>0</v>
      </c>
      <c r="S1981" s="4" t="s">
        <v>549</v>
      </c>
      <c r="T1981" s="4" t="s">
        <v>806</v>
      </c>
      <c r="U1981" s="4">
        <v>0</v>
      </c>
      <c r="V1981" s="4">
        <v>51</v>
      </c>
      <c r="W1981" s="4">
        <v>97</v>
      </c>
    </row>
    <row r="1982" spans="1:23" ht="11.25" customHeight="1" x14ac:dyDescent="0.25">
      <c r="A1982" s="4" t="s">
        <v>21</v>
      </c>
      <c r="B1982" s="4" t="s">
        <v>37</v>
      </c>
      <c r="C1982" s="4" t="s">
        <v>33</v>
      </c>
      <c r="D1982" s="4" t="s">
        <v>43</v>
      </c>
      <c r="E1982" s="4" t="s">
        <v>25</v>
      </c>
      <c r="F1982" s="4" t="s">
        <v>25</v>
      </c>
      <c r="G1982" s="4" t="s">
        <v>25</v>
      </c>
      <c r="H1982" s="4" t="s">
        <v>34</v>
      </c>
      <c r="I1982" s="5">
        <v>44713</v>
      </c>
      <c r="J1982" s="6">
        <v>0</v>
      </c>
      <c r="K1982" s="6">
        <v>0</v>
      </c>
      <c r="L1982" s="6">
        <v>3.5819999999999999</v>
      </c>
      <c r="M1982" s="6">
        <v>3.5819999999999999</v>
      </c>
      <c r="N1982" s="6">
        <v>3.5819999999999999</v>
      </c>
      <c r="O1982" s="6">
        <v>3.5819999999999999</v>
      </c>
      <c r="P1982" s="6">
        <v>0</v>
      </c>
      <c r="Q1982" s="4" t="s">
        <v>26</v>
      </c>
      <c r="R1982" s="4">
        <v>0</v>
      </c>
      <c r="S1982" s="4" t="s">
        <v>550</v>
      </c>
      <c r="T1982" s="4" t="s">
        <v>807</v>
      </c>
      <c r="U1982" s="4">
        <v>0</v>
      </c>
      <c r="V1982" s="4">
        <v>51</v>
      </c>
      <c r="W1982" s="4">
        <v>97</v>
      </c>
    </row>
    <row r="1983" spans="1:23" ht="11.25" customHeight="1" x14ac:dyDescent="0.25">
      <c r="A1983" s="4" t="s">
        <v>27</v>
      </c>
      <c r="B1983" s="4" t="s">
        <v>37</v>
      </c>
      <c r="C1983" s="4" t="s">
        <v>33</v>
      </c>
      <c r="D1983" s="4" t="s">
        <v>43</v>
      </c>
      <c r="E1983" s="4" t="s">
        <v>25</v>
      </c>
      <c r="F1983" s="4" t="s">
        <v>25</v>
      </c>
      <c r="G1983" s="4" t="s">
        <v>25</v>
      </c>
      <c r="H1983" s="4" t="s">
        <v>34</v>
      </c>
      <c r="I1983" s="5">
        <v>44713</v>
      </c>
      <c r="J1983" s="6">
        <v>0</v>
      </c>
      <c r="K1983" s="6">
        <v>0</v>
      </c>
      <c r="L1983" s="6">
        <v>0.126</v>
      </c>
      <c r="M1983" s="6">
        <v>0.126</v>
      </c>
      <c r="N1983" s="6">
        <v>0.126</v>
      </c>
      <c r="O1983" s="6">
        <v>0.126</v>
      </c>
      <c r="P1983" s="6">
        <v>0</v>
      </c>
      <c r="Q1983" s="4" t="s">
        <v>26</v>
      </c>
      <c r="R1983" s="4">
        <v>0</v>
      </c>
      <c r="S1983" s="4" t="s">
        <v>550</v>
      </c>
      <c r="T1983" s="4" t="s">
        <v>807</v>
      </c>
      <c r="U1983" s="4">
        <v>0</v>
      </c>
      <c r="V1983" s="4">
        <v>51</v>
      </c>
      <c r="W1983" s="4">
        <v>97</v>
      </c>
    </row>
    <row r="1984" spans="1:23" ht="11.25" customHeight="1" x14ac:dyDescent="0.25">
      <c r="A1984" s="4" t="s">
        <v>28</v>
      </c>
      <c r="B1984" s="4" t="s">
        <v>37</v>
      </c>
      <c r="C1984" s="4" t="s">
        <v>33</v>
      </c>
      <c r="D1984" s="4" t="s">
        <v>43</v>
      </c>
      <c r="E1984" s="4" t="s">
        <v>25</v>
      </c>
      <c r="F1984" s="4" t="s">
        <v>25</v>
      </c>
      <c r="G1984" s="4" t="s">
        <v>25</v>
      </c>
      <c r="H1984" s="4" t="s">
        <v>34</v>
      </c>
      <c r="I1984" s="5">
        <v>44713</v>
      </c>
      <c r="J1984" s="6">
        <v>0</v>
      </c>
      <c r="K1984" s="6">
        <v>0</v>
      </c>
      <c r="L1984" s="6">
        <v>0.53</v>
      </c>
      <c r="M1984" s="6">
        <v>0.53</v>
      </c>
      <c r="N1984" s="6">
        <v>0.53</v>
      </c>
      <c r="O1984" s="6">
        <v>0.53</v>
      </c>
      <c r="P1984" s="6">
        <v>0</v>
      </c>
      <c r="Q1984" s="4" t="s">
        <v>26</v>
      </c>
      <c r="R1984" s="4">
        <v>0</v>
      </c>
      <c r="S1984" s="4" t="s">
        <v>550</v>
      </c>
      <c r="T1984" s="4" t="s">
        <v>807</v>
      </c>
      <c r="U1984" s="4">
        <v>0</v>
      </c>
      <c r="V1984" s="4">
        <v>51</v>
      </c>
      <c r="W1984" s="4">
        <v>97</v>
      </c>
    </row>
    <row r="1985" spans="1:23" ht="11.25" customHeight="1" x14ac:dyDescent="0.25">
      <c r="A1985" s="4" t="s">
        <v>57</v>
      </c>
      <c r="B1985" s="4" t="s">
        <v>37</v>
      </c>
      <c r="C1985" s="4" t="s">
        <v>33</v>
      </c>
      <c r="D1985" s="4" t="s">
        <v>43</v>
      </c>
      <c r="E1985" s="4" t="s">
        <v>25</v>
      </c>
      <c r="F1985" s="4" t="s">
        <v>25</v>
      </c>
      <c r="G1985" s="4" t="s">
        <v>25</v>
      </c>
      <c r="H1985" s="4" t="s">
        <v>34</v>
      </c>
      <c r="I1985" s="5">
        <v>44743</v>
      </c>
      <c r="J1985" s="6">
        <v>0</v>
      </c>
      <c r="K1985" s="6">
        <v>0</v>
      </c>
      <c r="L1985" s="6">
        <v>3.5819999999999999</v>
      </c>
      <c r="M1985" s="6">
        <v>3.5819999999999999</v>
      </c>
      <c r="N1985" s="6">
        <v>3.5819999999999999</v>
      </c>
      <c r="O1985" s="6">
        <v>3.5819999999999999</v>
      </c>
      <c r="P1985" s="6">
        <v>0</v>
      </c>
      <c r="Q1985" s="4" t="s">
        <v>26</v>
      </c>
      <c r="R1985" s="4">
        <v>0</v>
      </c>
      <c r="S1985" s="4" t="s">
        <v>551</v>
      </c>
      <c r="T1985" s="4" t="s">
        <v>808</v>
      </c>
      <c r="U1985" s="4">
        <v>0</v>
      </c>
      <c r="V1985" s="4">
        <v>51</v>
      </c>
      <c r="W1985" s="4">
        <v>97</v>
      </c>
    </row>
    <row r="1986" spans="1:23" ht="11.25" customHeight="1" x14ac:dyDescent="0.25">
      <c r="A1986" s="4" t="s">
        <v>57</v>
      </c>
      <c r="B1986" s="4" t="s">
        <v>37</v>
      </c>
      <c r="C1986" s="4" t="s">
        <v>33</v>
      </c>
      <c r="D1986" s="4" t="s">
        <v>43</v>
      </c>
      <c r="E1986" s="4" t="s">
        <v>25</v>
      </c>
      <c r="F1986" s="4" t="s">
        <v>25</v>
      </c>
      <c r="G1986" s="4" t="s">
        <v>25</v>
      </c>
      <c r="H1986" s="4" t="s">
        <v>34</v>
      </c>
      <c r="I1986" s="5">
        <v>44743</v>
      </c>
      <c r="J1986" s="6">
        <v>0</v>
      </c>
      <c r="K1986" s="6">
        <v>0</v>
      </c>
      <c r="L1986" s="6">
        <v>0.126</v>
      </c>
      <c r="M1986" s="6">
        <v>0.126</v>
      </c>
      <c r="N1986" s="6">
        <v>0.126</v>
      </c>
      <c r="O1986" s="6">
        <v>0.126</v>
      </c>
      <c r="P1986" s="6">
        <v>0</v>
      </c>
      <c r="Q1986" s="4" t="s">
        <v>26</v>
      </c>
      <c r="R1986" s="4">
        <v>0</v>
      </c>
      <c r="S1986" s="4" t="s">
        <v>551</v>
      </c>
      <c r="T1986" s="4" t="s">
        <v>808</v>
      </c>
      <c r="U1986" s="4">
        <v>0</v>
      </c>
      <c r="V1986" s="4">
        <v>51</v>
      </c>
      <c r="W1986" s="4">
        <v>97</v>
      </c>
    </row>
    <row r="1987" spans="1:23" ht="11.25" customHeight="1" x14ac:dyDescent="0.25">
      <c r="A1987" s="4" t="s">
        <v>57</v>
      </c>
      <c r="B1987" s="4" t="s">
        <v>37</v>
      </c>
      <c r="C1987" s="4" t="s">
        <v>33</v>
      </c>
      <c r="D1987" s="4" t="s">
        <v>43</v>
      </c>
      <c r="E1987" s="4" t="s">
        <v>25</v>
      </c>
      <c r="F1987" s="4" t="s">
        <v>25</v>
      </c>
      <c r="G1987" s="4" t="s">
        <v>25</v>
      </c>
      <c r="H1987" s="4" t="s">
        <v>34</v>
      </c>
      <c r="I1987" s="5">
        <v>44743</v>
      </c>
      <c r="J1987" s="6">
        <v>0</v>
      </c>
      <c r="K1987" s="6">
        <v>0</v>
      </c>
      <c r="L1987" s="6">
        <v>0.53</v>
      </c>
      <c r="M1987" s="6">
        <v>0.53</v>
      </c>
      <c r="N1987" s="6">
        <v>0.53</v>
      </c>
      <c r="O1987" s="6">
        <v>0.53</v>
      </c>
      <c r="P1987" s="6">
        <v>0</v>
      </c>
      <c r="Q1987" s="4" t="s">
        <v>26</v>
      </c>
      <c r="R1987" s="4">
        <v>0</v>
      </c>
      <c r="S1987" s="4" t="s">
        <v>551</v>
      </c>
      <c r="T1987" s="4" t="s">
        <v>808</v>
      </c>
      <c r="U1987" s="4">
        <v>0</v>
      </c>
      <c r="V1987" s="4">
        <v>51</v>
      </c>
      <c r="W1987" s="4">
        <v>97</v>
      </c>
    </row>
    <row r="1988" spans="1:23" ht="11.25" customHeight="1" x14ac:dyDescent="0.25">
      <c r="A1988" s="4" t="s">
        <v>21</v>
      </c>
      <c r="B1988" s="4" t="s">
        <v>37</v>
      </c>
      <c r="C1988" s="4" t="s">
        <v>33</v>
      </c>
      <c r="D1988" s="4" t="s">
        <v>38</v>
      </c>
      <c r="E1988" s="4" t="s">
        <v>25</v>
      </c>
      <c r="F1988" s="4" t="s">
        <v>25</v>
      </c>
      <c r="G1988" s="4" t="s">
        <v>25</v>
      </c>
      <c r="H1988" s="4" t="s">
        <v>35</v>
      </c>
      <c r="I1988" s="5">
        <v>44409</v>
      </c>
      <c r="J1988" s="6">
        <v>0</v>
      </c>
      <c r="K1988" s="6">
        <v>0</v>
      </c>
      <c r="L1988" s="6">
        <v>4.7729999999999997</v>
      </c>
      <c r="M1988" s="6">
        <v>4.7729999999999997</v>
      </c>
      <c r="N1988" s="6">
        <v>4.7729999999999997</v>
      </c>
      <c r="O1988" s="6">
        <v>4.7729999999999997</v>
      </c>
      <c r="P1988" s="6">
        <v>0</v>
      </c>
      <c r="Q1988" s="4" t="s">
        <v>26</v>
      </c>
      <c r="R1988" s="4">
        <v>0</v>
      </c>
      <c r="S1988" s="4" t="s">
        <v>516</v>
      </c>
      <c r="T1988" s="4" t="s">
        <v>773</v>
      </c>
      <c r="U1988" s="4">
        <v>0</v>
      </c>
      <c r="V1988" s="4">
        <v>55</v>
      </c>
      <c r="W1988" s="4">
        <v>99</v>
      </c>
    </row>
    <row r="1989" spans="1:23" ht="11.25" customHeight="1" x14ac:dyDescent="0.25">
      <c r="A1989" s="4" t="s">
        <v>21</v>
      </c>
      <c r="B1989" s="4" t="s">
        <v>37</v>
      </c>
      <c r="C1989" s="4" t="s">
        <v>33</v>
      </c>
      <c r="D1989" s="4" t="s">
        <v>38</v>
      </c>
      <c r="E1989" s="4" t="s">
        <v>25</v>
      </c>
      <c r="F1989" s="4" t="s">
        <v>25</v>
      </c>
      <c r="G1989" s="4" t="s">
        <v>25</v>
      </c>
      <c r="H1989" s="4" t="s">
        <v>35</v>
      </c>
      <c r="I1989" s="5">
        <v>44440</v>
      </c>
      <c r="J1989" s="6">
        <v>0</v>
      </c>
      <c r="K1989" s="6">
        <v>0</v>
      </c>
      <c r="L1989" s="6">
        <v>4.6749999999999998</v>
      </c>
      <c r="M1989" s="6">
        <v>4.6749999999999998</v>
      </c>
      <c r="N1989" s="6">
        <v>4.6749999999999998</v>
      </c>
      <c r="O1989" s="6">
        <v>4.6749999999999998</v>
      </c>
      <c r="P1989" s="6">
        <v>0</v>
      </c>
      <c r="Q1989" s="4" t="s">
        <v>26</v>
      </c>
      <c r="R1989" s="4">
        <v>0</v>
      </c>
      <c r="S1989" s="4" t="s">
        <v>517</v>
      </c>
      <c r="T1989" s="4" t="s">
        <v>774</v>
      </c>
      <c r="U1989" s="4">
        <v>0</v>
      </c>
      <c r="V1989" s="4">
        <v>55</v>
      </c>
      <c r="W1989" s="4">
        <v>99</v>
      </c>
    </row>
    <row r="1990" spans="1:23" ht="11.25" customHeight="1" x14ac:dyDescent="0.25">
      <c r="A1990" s="4" t="s">
        <v>21</v>
      </c>
      <c r="B1990" s="4" t="s">
        <v>37</v>
      </c>
      <c r="C1990" s="4" t="s">
        <v>33</v>
      </c>
      <c r="D1990" s="4" t="s">
        <v>38</v>
      </c>
      <c r="E1990" s="4" t="s">
        <v>25</v>
      </c>
      <c r="F1990" s="4" t="s">
        <v>25</v>
      </c>
      <c r="G1990" s="4" t="s">
        <v>25</v>
      </c>
      <c r="H1990" s="4" t="s">
        <v>35</v>
      </c>
      <c r="I1990" s="5">
        <v>44470</v>
      </c>
      <c r="J1990" s="6">
        <v>0</v>
      </c>
      <c r="K1990" s="6">
        <v>0</v>
      </c>
      <c r="L1990" s="6">
        <v>4.8689999999999998</v>
      </c>
      <c r="M1990" s="6">
        <v>4.8689999999999998</v>
      </c>
      <c r="N1990" s="6">
        <v>4.8689999999999998</v>
      </c>
      <c r="O1990" s="6">
        <v>4.8689999999999998</v>
      </c>
      <c r="P1990" s="6">
        <v>0</v>
      </c>
      <c r="Q1990" s="4" t="s">
        <v>26</v>
      </c>
      <c r="R1990" s="4">
        <v>0</v>
      </c>
      <c r="S1990" s="4" t="s">
        <v>518</v>
      </c>
      <c r="T1990" s="4" t="s">
        <v>775</v>
      </c>
      <c r="U1990" s="4">
        <v>0</v>
      </c>
      <c r="V1990" s="4">
        <v>55</v>
      </c>
      <c r="W1990" s="4">
        <v>99</v>
      </c>
    </row>
    <row r="1991" spans="1:23" ht="11.25" customHeight="1" x14ac:dyDescent="0.25">
      <c r="A1991" s="4" t="s">
        <v>21</v>
      </c>
      <c r="B1991" s="4" t="s">
        <v>37</v>
      </c>
      <c r="C1991" s="4" t="s">
        <v>33</v>
      </c>
      <c r="D1991" s="4" t="s">
        <v>38</v>
      </c>
      <c r="E1991" s="4" t="s">
        <v>25</v>
      </c>
      <c r="F1991" s="4" t="s">
        <v>25</v>
      </c>
      <c r="G1991" s="4" t="s">
        <v>25</v>
      </c>
      <c r="H1991" s="4" t="s">
        <v>35</v>
      </c>
      <c r="I1991" s="5">
        <v>44501</v>
      </c>
      <c r="J1991" s="6">
        <v>0</v>
      </c>
      <c r="K1991" s="6">
        <v>0</v>
      </c>
      <c r="L1991" s="6">
        <v>4.1900000000000004</v>
      </c>
      <c r="M1991" s="6">
        <v>4.1900000000000004</v>
      </c>
      <c r="N1991" s="6">
        <v>4.1900000000000004</v>
      </c>
      <c r="O1991" s="6">
        <v>4.1900000000000004</v>
      </c>
      <c r="P1991" s="6">
        <v>0</v>
      </c>
      <c r="Q1991" s="4" t="s">
        <v>26</v>
      </c>
      <c r="R1991" s="4">
        <v>0</v>
      </c>
      <c r="S1991" s="4" t="s">
        <v>519</v>
      </c>
      <c r="T1991" s="4" t="s">
        <v>776</v>
      </c>
      <c r="U1991" s="4">
        <v>0</v>
      </c>
      <c r="V1991" s="4">
        <v>55</v>
      </c>
      <c r="W1991" s="4">
        <v>99</v>
      </c>
    </row>
    <row r="1992" spans="1:23" ht="11.25" customHeight="1" x14ac:dyDescent="0.25">
      <c r="A1992" s="4" t="s">
        <v>21</v>
      </c>
      <c r="B1992" s="4" t="s">
        <v>37</v>
      </c>
      <c r="C1992" s="4" t="s">
        <v>33</v>
      </c>
      <c r="D1992" s="4" t="s">
        <v>38</v>
      </c>
      <c r="E1992" s="4" t="s">
        <v>25</v>
      </c>
      <c r="F1992" s="4" t="s">
        <v>25</v>
      </c>
      <c r="G1992" s="4" t="s">
        <v>25</v>
      </c>
      <c r="H1992" s="4" t="s">
        <v>35</v>
      </c>
      <c r="I1992" s="5">
        <v>44531</v>
      </c>
      <c r="J1992" s="6">
        <v>0</v>
      </c>
      <c r="K1992" s="6">
        <v>0</v>
      </c>
      <c r="L1992" s="6">
        <v>4.7430000000000003</v>
      </c>
      <c r="M1992" s="6">
        <v>4.7430000000000003</v>
      </c>
      <c r="N1992" s="6">
        <v>4.7430000000000003</v>
      </c>
      <c r="O1992" s="6">
        <v>4.7430000000000003</v>
      </c>
      <c r="P1992" s="6">
        <v>0</v>
      </c>
      <c r="Q1992" s="4" t="s">
        <v>26</v>
      </c>
      <c r="R1992" s="4">
        <v>0</v>
      </c>
      <c r="S1992" s="4" t="s">
        <v>520</v>
      </c>
      <c r="T1992" s="4" t="s">
        <v>777</v>
      </c>
      <c r="U1992" s="4">
        <v>0</v>
      </c>
      <c r="V1992" s="4">
        <v>55</v>
      </c>
      <c r="W1992" s="4">
        <v>99</v>
      </c>
    </row>
    <row r="1993" spans="1:23" ht="11.25" customHeight="1" x14ac:dyDescent="0.25">
      <c r="A1993" s="4" t="s">
        <v>21</v>
      </c>
      <c r="B1993" s="4" t="s">
        <v>37</v>
      </c>
      <c r="C1993" s="4" t="s">
        <v>33</v>
      </c>
      <c r="D1993" s="4" t="s">
        <v>38</v>
      </c>
      <c r="E1993" s="4" t="s">
        <v>25</v>
      </c>
      <c r="F1993" s="4" t="s">
        <v>25</v>
      </c>
      <c r="G1993" s="4" t="s">
        <v>25</v>
      </c>
      <c r="H1993" s="4" t="s">
        <v>35</v>
      </c>
      <c r="I1993" s="5">
        <v>44562</v>
      </c>
      <c r="J1993" s="6">
        <v>0</v>
      </c>
      <c r="K1993" s="6">
        <v>0</v>
      </c>
      <c r="L1993" s="6">
        <v>2.1890000000000001</v>
      </c>
      <c r="M1993" s="6">
        <v>2.1890000000000001</v>
      </c>
      <c r="N1993" s="6">
        <v>2.1890000000000001</v>
      </c>
      <c r="O1993" s="6">
        <v>2.1890000000000001</v>
      </c>
      <c r="P1993" s="6">
        <v>0</v>
      </c>
      <c r="Q1993" s="4" t="s">
        <v>26</v>
      </c>
      <c r="R1993" s="4">
        <v>0</v>
      </c>
      <c r="S1993" s="4" t="s">
        <v>521</v>
      </c>
      <c r="T1993" s="4" t="s">
        <v>778</v>
      </c>
      <c r="U1993" s="4">
        <v>0</v>
      </c>
      <c r="V1993" s="4">
        <v>55</v>
      </c>
      <c r="W1993" s="4">
        <v>99</v>
      </c>
    </row>
    <row r="1994" spans="1:23" ht="11.25" customHeight="1" x14ac:dyDescent="0.25">
      <c r="A1994" s="4" t="s">
        <v>28</v>
      </c>
      <c r="B1994" s="4" t="s">
        <v>37</v>
      </c>
      <c r="C1994" s="4" t="s">
        <v>33</v>
      </c>
      <c r="D1994" s="4" t="s">
        <v>38</v>
      </c>
      <c r="E1994" s="4" t="s">
        <v>25</v>
      </c>
      <c r="F1994" s="4" t="s">
        <v>25</v>
      </c>
      <c r="G1994" s="4" t="s">
        <v>25</v>
      </c>
      <c r="H1994" s="4" t="s">
        <v>35</v>
      </c>
      <c r="I1994" s="5">
        <v>44562</v>
      </c>
      <c r="J1994" s="6">
        <v>0</v>
      </c>
      <c r="K1994" s="6">
        <v>0</v>
      </c>
      <c r="L1994" s="6">
        <v>1.7030000000000001</v>
      </c>
      <c r="M1994" s="6">
        <v>1.7030000000000001</v>
      </c>
      <c r="N1994" s="6">
        <v>1.7030000000000001</v>
      </c>
      <c r="O1994" s="6">
        <v>1.7030000000000001</v>
      </c>
      <c r="P1994" s="6">
        <v>0</v>
      </c>
      <c r="Q1994" s="4" t="s">
        <v>26</v>
      </c>
      <c r="R1994" s="4">
        <v>0</v>
      </c>
      <c r="S1994" s="4" t="s">
        <v>521</v>
      </c>
      <c r="T1994" s="4" t="s">
        <v>778</v>
      </c>
      <c r="U1994" s="4">
        <v>0</v>
      </c>
      <c r="V1994" s="4">
        <v>55</v>
      </c>
      <c r="W1994" s="4">
        <v>99</v>
      </c>
    </row>
    <row r="1995" spans="1:23" ht="11.25" customHeight="1" x14ac:dyDescent="0.25">
      <c r="A1995" s="4" t="s">
        <v>21</v>
      </c>
      <c r="B1995" s="4" t="s">
        <v>37</v>
      </c>
      <c r="C1995" s="4" t="s">
        <v>33</v>
      </c>
      <c r="D1995" s="4" t="s">
        <v>38</v>
      </c>
      <c r="E1995" s="4" t="s">
        <v>25</v>
      </c>
      <c r="F1995" s="4" t="s">
        <v>25</v>
      </c>
      <c r="G1995" s="4" t="s">
        <v>25</v>
      </c>
      <c r="H1995" s="4" t="s">
        <v>35</v>
      </c>
      <c r="I1995" s="5">
        <v>44593</v>
      </c>
      <c r="J1995" s="6">
        <v>0</v>
      </c>
      <c r="K1995" s="6">
        <v>0</v>
      </c>
      <c r="L1995" s="6">
        <v>2.3260000000000001</v>
      </c>
      <c r="M1995" s="6">
        <v>2.3260000000000001</v>
      </c>
      <c r="N1995" s="6">
        <v>2.3260000000000001</v>
      </c>
      <c r="O1995" s="6">
        <v>2.3260000000000001</v>
      </c>
      <c r="P1995" s="6">
        <v>0</v>
      </c>
      <c r="Q1995" s="4" t="s">
        <v>26</v>
      </c>
      <c r="R1995" s="4">
        <v>0</v>
      </c>
      <c r="S1995" s="4" t="s">
        <v>522</v>
      </c>
      <c r="T1995" s="4" t="s">
        <v>779</v>
      </c>
      <c r="U1995" s="4">
        <v>0</v>
      </c>
      <c r="V1995" s="4">
        <v>55</v>
      </c>
      <c r="W1995" s="4">
        <v>99</v>
      </c>
    </row>
    <row r="1996" spans="1:23" ht="11.25" customHeight="1" x14ac:dyDescent="0.25">
      <c r="A1996" s="4" t="s">
        <v>21</v>
      </c>
      <c r="B1996" s="4" t="s">
        <v>37</v>
      </c>
      <c r="C1996" s="4" t="s">
        <v>33</v>
      </c>
      <c r="D1996" s="4" t="s">
        <v>38</v>
      </c>
      <c r="E1996" s="4" t="s">
        <v>25</v>
      </c>
      <c r="F1996" s="4" t="s">
        <v>25</v>
      </c>
      <c r="G1996" s="4" t="s">
        <v>25</v>
      </c>
      <c r="H1996" s="4" t="s">
        <v>35</v>
      </c>
      <c r="I1996" s="5">
        <v>44621</v>
      </c>
      <c r="J1996" s="6">
        <v>0</v>
      </c>
      <c r="K1996" s="6">
        <v>0</v>
      </c>
      <c r="L1996" s="6">
        <v>2.2890000000000001</v>
      </c>
      <c r="M1996" s="6">
        <v>2.2890000000000001</v>
      </c>
      <c r="N1996" s="6">
        <v>2.2890000000000001</v>
      </c>
      <c r="O1996" s="6">
        <v>2.2890000000000001</v>
      </c>
      <c r="P1996" s="6">
        <v>0</v>
      </c>
      <c r="Q1996" s="4" t="s">
        <v>26</v>
      </c>
      <c r="R1996" s="4">
        <v>0</v>
      </c>
      <c r="S1996" s="4" t="s">
        <v>523</v>
      </c>
      <c r="T1996" s="4" t="s">
        <v>780</v>
      </c>
      <c r="U1996" s="4">
        <v>0</v>
      </c>
      <c r="V1996" s="4">
        <v>55</v>
      </c>
      <c r="W1996" s="4">
        <v>99</v>
      </c>
    </row>
    <row r="1997" spans="1:23" ht="11.25" customHeight="1" x14ac:dyDescent="0.25">
      <c r="A1997" s="4" t="s">
        <v>21</v>
      </c>
      <c r="B1997" s="4" t="s">
        <v>37</v>
      </c>
      <c r="C1997" s="4" t="s">
        <v>33</v>
      </c>
      <c r="D1997" s="4" t="s">
        <v>38</v>
      </c>
      <c r="E1997" s="4" t="s">
        <v>25</v>
      </c>
      <c r="F1997" s="4" t="s">
        <v>25</v>
      </c>
      <c r="G1997" s="4" t="s">
        <v>25</v>
      </c>
      <c r="H1997" s="4" t="s">
        <v>35</v>
      </c>
      <c r="I1997" s="5">
        <v>44652</v>
      </c>
      <c r="J1997" s="6">
        <v>0</v>
      </c>
      <c r="K1997" s="6">
        <v>0</v>
      </c>
      <c r="L1997" s="6">
        <v>2.2280000000000002</v>
      </c>
      <c r="M1997" s="6">
        <v>2.2280000000000002</v>
      </c>
      <c r="N1997" s="6">
        <v>2.2280000000000002</v>
      </c>
      <c r="O1997" s="6">
        <v>2.2280000000000002</v>
      </c>
      <c r="P1997" s="6">
        <v>0</v>
      </c>
      <c r="Q1997" s="4" t="s">
        <v>26</v>
      </c>
      <c r="R1997" s="4">
        <v>0</v>
      </c>
      <c r="S1997" s="4" t="s">
        <v>524</v>
      </c>
      <c r="T1997" s="4" t="s">
        <v>781</v>
      </c>
      <c r="U1997" s="4">
        <v>0</v>
      </c>
      <c r="V1997" s="4">
        <v>55</v>
      </c>
      <c r="W1997" s="4">
        <v>99</v>
      </c>
    </row>
    <row r="1998" spans="1:23" ht="11.25" customHeight="1" x14ac:dyDescent="0.25">
      <c r="A1998" s="4" t="s">
        <v>21</v>
      </c>
      <c r="B1998" s="4" t="s">
        <v>37</v>
      </c>
      <c r="C1998" s="4" t="s">
        <v>33</v>
      </c>
      <c r="D1998" s="4" t="s">
        <v>38</v>
      </c>
      <c r="E1998" s="4" t="s">
        <v>25</v>
      </c>
      <c r="F1998" s="4" t="s">
        <v>25</v>
      </c>
      <c r="G1998" s="4" t="s">
        <v>25</v>
      </c>
      <c r="H1998" s="4" t="s">
        <v>35</v>
      </c>
      <c r="I1998" s="5">
        <v>44682</v>
      </c>
      <c r="J1998" s="6">
        <v>0</v>
      </c>
      <c r="K1998" s="6">
        <v>0</v>
      </c>
      <c r="L1998" s="6">
        <v>2.3620000000000001</v>
      </c>
      <c r="M1998" s="6">
        <v>2.3620000000000001</v>
      </c>
      <c r="N1998" s="6">
        <v>2.3620000000000001</v>
      </c>
      <c r="O1998" s="6">
        <v>2.3620000000000001</v>
      </c>
      <c r="P1998" s="6">
        <v>0</v>
      </c>
      <c r="Q1998" s="4" t="s">
        <v>26</v>
      </c>
      <c r="R1998" s="4">
        <v>0</v>
      </c>
      <c r="S1998" s="4" t="s">
        <v>525</v>
      </c>
      <c r="T1998" s="4" t="s">
        <v>782</v>
      </c>
      <c r="U1998" s="4">
        <v>0</v>
      </c>
      <c r="V1998" s="4">
        <v>55</v>
      </c>
      <c r="W1998" s="4">
        <v>99</v>
      </c>
    </row>
    <row r="1999" spans="1:23" ht="11.25" customHeight="1" x14ac:dyDescent="0.25">
      <c r="A1999" s="4" t="s">
        <v>21</v>
      </c>
      <c r="B1999" s="4" t="s">
        <v>37</v>
      </c>
      <c r="C1999" s="4" t="s">
        <v>33</v>
      </c>
      <c r="D1999" s="4" t="s">
        <v>38</v>
      </c>
      <c r="E1999" s="4" t="s">
        <v>25</v>
      </c>
      <c r="F1999" s="4" t="s">
        <v>25</v>
      </c>
      <c r="G1999" s="4" t="s">
        <v>25</v>
      </c>
      <c r="H1999" s="4" t="s">
        <v>35</v>
      </c>
      <c r="I1999" s="5">
        <v>44713</v>
      </c>
      <c r="J1999" s="6">
        <v>0</v>
      </c>
      <c r="K1999" s="6">
        <v>0</v>
      </c>
      <c r="L1999" s="6">
        <v>2.0369999999999999</v>
      </c>
      <c r="M1999" s="6">
        <v>2.0369999999999999</v>
      </c>
      <c r="N1999" s="6">
        <v>2.0369999999999999</v>
      </c>
      <c r="O1999" s="6">
        <v>2.0369999999999999</v>
      </c>
      <c r="P1999" s="6">
        <v>0</v>
      </c>
      <c r="Q1999" s="4" t="s">
        <v>26</v>
      </c>
      <c r="R1999" s="4">
        <v>0</v>
      </c>
      <c r="S1999" s="4" t="s">
        <v>526</v>
      </c>
      <c r="T1999" s="4" t="s">
        <v>783</v>
      </c>
      <c r="U1999" s="4">
        <v>0</v>
      </c>
      <c r="V1999" s="4">
        <v>55</v>
      </c>
      <c r="W1999" s="4">
        <v>99</v>
      </c>
    </row>
    <row r="2000" spans="1:23" ht="11.25" customHeight="1" x14ac:dyDescent="0.25">
      <c r="A2000" s="4" t="s">
        <v>57</v>
      </c>
      <c r="B2000" s="4" t="s">
        <v>37</v>
      </c>
      <c r="C2000" s="4" t="s">
        <v>33</v>
      </c>
      <c r="D2000" s="4" t="s">
        <v>38</v>
      </c>
      <c r="E2000" s="4" t="s">
        <v>25</v>
      </c>
      <c r="F2000" s="4" t="s">
        <v>25</v>
      </c>
      <c r="G2000" s="4" t="s">
        <v>25</v>
      </c>
      <c r="H2000" s="4" t="s">
        <v>35</v>
      </c>
      <c r="I2000" s="5">
        <v>44743</v>
      </c>
      <c r="J2000" s="6">
        <v>0</v>
      </c>
      <c r="K2000" s="6">
        <v>0</v>
      </c>
      <c r="L2000" s="6">
        <v>2.0369999999999999</v>
      </c>
      <c r="M2000" s="6">
        <v>2.0369999999999999</v>
      </c>
      <c r="N2000" s="6">
        <v>2.0369999999999999</v>
      </c>
      <c r="O2000" s="6">
        <v>2.0369999999999999</v>
      </c>
      <c r="P2000" s="6">
        <v>0</v>
      </c>
      <c r="Q2000" s="4" t="s">
        <v>26</v>
      </c>
      <c r="R2000" s="4">
        <v>0</v>
      </c>
      <c r="S2000" s="4" t="s">
        <v>527</v>
      </c>
      <c r="T2000" s="4" t="s">
        <v>784</v>
      </c>
      <c r="U2000" s="4">
        <v>0</v>
      </c>
      <c r="V2000" s="4">
        <v>55</v>
      </c>
      <c r="W2000" s="4">
        <v>99</v>
      </c>
    </row>
    <row r="2001" spans="1:23" ht="11.25" customHeight="1" x14ac:dyDescent="0.25">
      <c r="A2001" s="4" t="s">
        <v>21</v>
      </c>
      <c r="B2001" s="4" t="s">
        <v>37</v>
      </c>
      <c r="C2001" s="4" t="s">
        <v>33</v>
      </c>
      <c r="D2001" s="4" t="s">
        <v>38</v>
      </c>
      <c r="E2001" s="4" t="s">
        <v>25</v>
      </c>
      <c r="F2001" s="4" t="s">
        <v>25</v>
      </c>
      <c r="G2001" s="4" t="s">
        <v>25</v>
      </c>
      <c r="H2001" s="4" t="s">
        <v>36</v>
      </c>
      <c r="I2001" s="5">
        <v>44409</v>
      </c>
      <c r="J2001" s="6">
        <v>0</v>
      </c>
      <c r="K2001" s="6">
        <v>0</v>
      </c>
      <c r="L2001" s="6">
        <v>0.18099999999999999</v>
      </c>
      <c r="M2001" s="6">
        <v>0.18099999999999999</v>
      </c>
      <c r="N2001" s="6">
        <v>0.18099999999999999</v>
      </c>
      <c r="O2001" s="6">
        <v>0.18099999999999999</v>
      </c>
      <c r="P2001" s="6">
        <v>0</v>
      </c>
      <c r="Q2001" s="4" t="s">
        <v>26</v>
      </c>
      <c r="R2001" s="4">
        <v>0</v>
      </c>
      <c r="S2001" s="4" t="s">
        <v>528</v>
      </c>
      <c r="T2001" s="4" t="s">
        <v>785</v>
      </c>
      <c r="U2001" s="4">
        <v>0</v>
      </c>
      <c r="V2001" s="4">
        <v>53</v>
      </c>
      <c r="W2001" s="4">
        <v>98</v>
      </c>
    </row>
    <row r="2002" spans="1:23" ht="11.25" customHeight="1" x14ac:dyDescent="0.25">
      <c r="A2002" s="4" t="s">
        <v>21</v>
      </c>
      <c r="B2002" s="4" t="s">
        <v>37</v>
      </c>
      <c r="C2002" s="4" t="s">
        <v>33</v>
      </c>
      <c r="D2002" s="4" t="s">
        <v>38</v>
      </c>
      <c r="E2002" s="4" t="s">
        <v>25</v>
      </c>
      <c r="F2002" s="4" t="s">
        <v>25</v>
      </c>
      <c r="G2002" s="4" t="s">
        <v>25</v>
      </c>
      <c r="H2002" s="4" t="s">
        <v>36</v>
      </c>
      <c r="I2002" s="5">
        <v>44440</v>
      </c>
      <c r="J2002" s="6">
        <v>0</v>
      </c>
      <c r="K2002" s="6">
        <v>0</v>
      </c>
      <c r="L2002" s="6">
        <v>0.17499999999999999</v>
      </c>
      <c r="M2002" s="6">
        <v>0.17499999999999999</v>
      </c>
      <c r="N2002" s="6">
        <v>0.17499999999999999</v>
      </c>
      <c r="O2002" s="6">
        <v>0.17499999999999999</v>
      </c>
      <c r="P2002" s="6">
        <v>0</v>
      </c>
      <c r="Q2002" s="4" t="s">
        <v>26</v>
      </c>
      <c r="R2002" s="4">
        <v>0</v>
      </c>
      <c r="S2002" s="4" t="s">
        <v>529</v>
      </c>
      <c r="T2002" s="4" t="s">
        <v>786</v>
      </c>
      <c r="U2002" s="4">
        <v>0</v>
      </c>
      <c r="V2002" s="4">
        <v>53</v>
      </c>
      <c r="W2002" s="4">
        <v>98</v>
      </c>
    </row>
    <row r="2003" spans="1:23" ht="11.25" customHeight="1" x14ac:dyDescent="0.25">
      <c r="A2003" s="4" t="s">
        <v>21</v>
      </c>
      <c r="B2003" s="4" t="s">
        <v>37</v>
      </c>
      <c r="C2003" s="4" t="s">
        <v>33</v>
      </c>
      <c r="D2003" s="4" t="s">
        <v>38</v>
      </c>
      <c r="E2003" s="4" t="s">
        <v>25</v>
      </c>
      <c r="F2003" s="4" t="s">
        <v>25</v>
      </c>
      <c r="G2003" s="4" t="s">
        <v>25</v>
      </c>
      <c r="H2003" s="4" t="s">
        <v>36</v>
      </c>
      <c r="I2003" s="5">
        <v>44470</v>
      </c>
      <c r="J2003" s="6">
        <v>0</v>
      </c>
      <c r="K2003" s="6">
        <v>0</v>
      </c>
      <c r="L2003" s="6">
        <v>0.249</v>
      </c>
      <c r="M2003" s="6">
        <v>0.249</v>
      </c>
      <c r="N2003" s="6">
        <v>0.249</v>
      </c>
      <c r="O2003" s="6">
        <v>0.249</v>
      </c>
      <c r="P2003" s="6">
        <v>0</v>
      </c>
      <c r="Q2003" s="4" t="s">
        <v>26</v>
      </c>
      <c r="R2003" s="4">
        <v>0</v>
      </c>
      <c r="S2003" s="4" t="s">
        <v>530</v>
      </c>
      <c r="T2003" s="4" t="s">
        <v>787</v>
      </c>
      <c r="U2003" s="4">
        <v>0</v>
      </c>
      <c r="V2003" s="4">
        <v>53</v>
      </c>
      <c r="W2003" s="4">
        <v>98</v>
      </c>
    </row>
    <row r="2004" spans="1:23" ht="11.25" customHeight="1" x14ac:dyDescent="0.25">
      <c r="A2004" s="4" t="s">
        <v>21</v>
      </c>
      <c r="B2004" s="4" t="s">
        <v>37</v>
      </c>
      <c r="C2004" s="4" t="s">
        <v>33</v>
      </c>
      <c r="D2004" s="4" t="s">
        <v>38</v>
      </c>
      <c r="E2004" s="4" t="s">
        <v>25</v>
      </c>
      <c r="F2004" s="4" t="s">
        <v>25</v>
      </c>
      <c r="G2004" s="4" t="s">
        <v>25</v>
      </c>
      <c r="H2004" s="4" t="s">
        <v>36</v>
      </c>
      <c r="I2004" s="5">
        <v>44501</v>
      </c>
      <c r="J2004" s="6">
        <v>0</v>
      </c>
      <c r="K2004" s="6">
        <v>0</v>
      </c>
      <c r="L2004" s="6">
        <v>0.18099999999999999</v>
      </c>
      <c r="M2004" s="6">
        <v>0.18099999999999999</v>
      </c>
      <c r="N2004" s="6">
        <v>0.18099999999999999</v>
      </c>
      <c r="O2004" s="6">
        <v>0.18099999999999999</v>
      </c>
      <c r="P2004" s="6">
        <v>0</v>
      </c>
      <c r="Q2004" s="4" t="s">
        <v>26</v>
      </c>
      <c r="R2004" s="4">
        <v>0</v>
      </c>
      <c r="S2004" s="4" t="s">
        <v>531</v>
      </c>
      <c r="T2004" s="4" t="s">
        <v>788</v>
      </c>
      <c r="U2004" s="4">
        <v>0</v>
      </c>
      <c r="V2004" s="4">
        <v>53</v>
      </c>
      <c r="W2004" s="4">
        <v>98</v>
      </c>
    </row>
    <row r="2005" spans="1:23" ht="11.25" customHeight="1" x14ac:dyDescent="0.25">
      <c r="A2005" s="4" t="s">
        <v>21</v>
      </c>
      <c r="B2005" s="4" t="s">
        <v>37</v>
      </c>
      <c r="C2005" s="4" t="s">
        <v>33</v>
      </c>
      <c r="D2005" s="4" t="s">
        <v>38</v>
      </c>
      <c r="E2005" s="4" t="s">
        <v>25</v>
      </c>
      <c r="F2005" s="4" t="s">
        <v>25</v>
      </c>
      <c r="G2005" s="4" t="s">
        <v>25</v>
      </c>
      <c r="H2005" s="4" t="s">
        <v>36</v>
      </c>
      <c r="I2005" s="5">
        <v>44531</v>
      </c>
      <c r="J2005" s="6">
        <v>0</v>
      </c>
      <c r="K2005" s="6">
        <v>0</v>
      </c>
      <c r="L2005" s="6">
        <v>0.26200000000000001</v>
      </c>
      <c r="M2005" s="6">
        <v>0.26200000000000001</v>
      </c>
      <c r="N2005" s="6">
        <v>0.26200000000000001</v>
      </c>
      <c r="O2005" s="6">
        <v>0.26200000000000001</v>
      </c>
      <c r="P2005" s="6">
        <v>0</v>
      </c>
      <c r="Q2005" s="4" t="s">
        <v>26</v>
      </c>
      <c r="R2005" s="4">
        <v>0</v>
      </c>
      <c r="S2005" s="4" t="s">
        <v>532</v>
      </c>
      <c r="T2005" s="4" t="s">
        <v>789</v>
      </c>
      <c r="U2005" s="4">
        <v>0</v>
      </c>
      <c r="V2005" s="4">
        <v>53</v>
      </c>
      <c r="W2005" s="4">
        <v>98</v>
      </c>
    </row>
    <row r="2006" spans="1:23" ht="11.25" customHeight="1" x14ac:dyDescent="0.25">
      <c r="A2006" s="4" t="s">
        <v>21</v>
      </c>
      <c r="B2006" s="4" t="s">
        <v>37</v>
      </c>
      <c r="C2006" s="4" t="s">
        <v>33</v>
      </c>
      <c r="D2006" s="4" t="s">
        <v>38</v>
      </c>
      <c r="E2006" s="4" t="s">
        <v>25</v>
      </c>
      <c r="F2006" s="4" t="s">
        <v>25</v>
      </c>
      <c r="G2006" s="4" t="s">
        <v>25</v>
      </c>
      <c r="H2006" s="4" t="s">
        <v>36</v>
      </c>
      <c r="I2006" s="5">
        <v>44562</v>
      </c>
      <c r="J2006" s="6">
        <v>0</v>
      </c>
      <c r="K2006" s="6">
        <v>0</v>
      </c>
      <c r="L2006" s="6">
        <v>0.123</v>
      </c>
      <c r="M2006" s="6">
        <v>0.123</v>
      </c>
      <c r="N2006" s="6">
        <v>0.123</v>
      </c>
      <c r="O2006" s="6">
        <v>0.123</v>
      </c>
      <c r="P2006" s="6">
        <v>0</v>
      </c>
      <c r="Q2006" s="4" t="s">
        <v>26</v>
      </c>
      <c r="R2006" s="4">
        <v>0</v>
      </c>
      <c r="S2006" s="4" t="s">
        <v>533</v>
      </c>
      <c r="T2006" s="4" t="s">
        <v>790</v>
      </c>
      <c r="U2006" s="4">
        <v>0</v>
      </c>
      <c r="V2006" s="4">
        <v>53</v>
      </c>
      <c r="W2006" s="4">
        <v>98</v>
      </c>
    </row>
    <row r="2007" spans="1:23" ht="11.25" customHeight="1" x14ac:dyDescent="0.25">
      <c r="A2007" s="4" t="s">
        <v>28</v>
      </c>
      <c r="B2007" s="4" t="s">
        <v>37</v>
      </c>
      <c r="C2007" s="4" t="s">
        <v>33</v>
      </c>
      <c r="D2007" s="4" t="s">
        <v>38</v>
      </c>
      <c r="E2007" s="4" t="s">
        <v>25</v>
      </c>
      <c r="F2007" s="4" t="s">
        <v>25</v>
      </c>
      <c r="G2007" s="4" t="s">
        <v>25</v>
      </c>
      <c r="H2007" s="4" t="s">
        <v>36</v>
      </c>
      <c r="I2007" s="5">
        <v>44562</v>
      </c>
      <c r="J2007" s="6">
        <v>0</v>
      </c>
      <c r="K2007" s="6">
        <v>0</v>
      </c>
      <c r="L2007" s="6">
        <v>5.5E-2</v>
      </c>
      <c r="M2007" s="6">
        <v>5.5E-2</v>
      </c>
      <c r="N2007" s="6">
        <v>5.5E-2</v>
      </c>
      <c r="O2007" s="6">
        <v>5.5E-2</v>
      </c>
      <c r="P2007" s="6">
        <v>0</v>
      </c>
      <c r="Q2007" s="4" t="s">
        <v>26</v>
      </c>
      <c r="R2007" s="4">
        <v>0</v>
      </c>
      <c r="S2007" s="4" t="s">
        <v>533</v>
      </c>
      <c r="T2007" s="4" t="s">
        <v>790</v>
      </c>
      <c r="U2007" s="4">
        <v>0</v>
      </c>
      <c r="V2007" s="4">
        <v>53</v>
      </c>
      <c r="W2007" s="4">
        <v>98</v>
      </c>
    </row>
    <row r="2008" spans="1:23" ht="11.25" customHeight="1" x14ac:dyDescent="0.25">
      <c r="A2008" s="4" t="s">
        <v>21</v>
      </c>
      <c r="B2008" s="4" t="s">
        <v>37</v>
      </c>
      <c r="C2008" s="4" t="s">
        <v>33</v>
      </c>
      <c r="D2008" s="4" t="s">
        <v>38</v>
      </c>
      <c r="E2008" s="4" t="s">
        <v>25</v>
      </c>
      <c r="F2008" s="4" t="s">
        <v>25</v>
      </c>
      <c r="G2008" s="4" t="s">
        <v>25</v>
      </c>
      <c r="H2008" s="4" t="s">
        <v>36</v>
      </c>
      <c r="I2008" s="5">
        <v>44593</v>
      </c>
      <c r="J2008" s="6">
        <v>0</v>
      </c>
      <c r="K2008" s="6">
        <v>0</v>
      </c>
      <c r="L2008" s="6">
        <v>0.13400000000000001</v>
      </c>
      <c r="M2008" s="6">
        <v>0.13400000000000001</v>
      </c>
      <c r="N2008" s="6">
        <v>0.13400000000000001</v>
      </c>
      <c r="O2008" s="6">
        <v>0.13400000000000001</v>
      </c>
      <c r="P2008" s="6">
        <v>0</v>
      </c>
      <c r="Q2008" s="4" t="s">
        <v>26</v>
      </c>
      <c r="R2008" s="4">
        <v>0</v>
      </c>
      <c r="S2008" s="4" t="s">
        <v>534</v>
      </c>
      <c r="T2008" s="4" t="s">
        <v>791</v>
      </c>
      <c r="U2008" s="4">
        <v>0</v>
      </c>
      <c r="V2008" s="4">
        <v>53</v>
      </c>
      <c r="W2008" s="4">
        <v>98</v>
      </c>
    </row>
    <row r="2009" spans="1:23" ht="11.25" customHeight="1" x14ac:dyDescent="0.25">
      <c r="A2009" s="4" t="s">
        <v>21</v>
      </c>
      <c r="B2009" s="4" t="s">
        <v>37</v>
      </c>
      <c r="C2009" s="4" t="s">
        <v>33</v>
      </c>
      <c r="D2009" s="4" t="s">
        <v>38</v>
      </c>
      <c r="E2009" s="4" t="s">
        <v>25</v>
      </c>
      <c r="F2009" s="4" t="s">
        <v>25</v>
      </c>
      <c r="G2009" s="4" t="s">
        <v>25</v>
      </c>
      <c r="H2009" s="4" t="s">
        <v>36</v>
      </c>
      <c r="I2009" s="5">
        <v>44621</v>
      </c>
      <c r="J2009" s="6">
        <v>0</v>
      </c>
      <c r="K2009" s="6">
        <v>0</v>
      </c>
      <c r="L2009" s="6">
        <v>0.13400000000000001</v>
      </c>
      <c r="M2009" s="6">
        <v>0.13400000000000001</v>
      </c>
      <c r="N2009" s="6">
        <v>0.13400000000000001</v>
      </c>
      <c r="O2009" s="6">
        <v>0.13400000000000001</v>
      </c>
      <c r="P2009" s="6">
        <v>0</v>
      </c>
      <c r="Q2009" s="4" t="s">
        <v>26</v>
      </c>
      <c r="R2009" s="4">
        <v>0</v>
      </c>
      <c r="S2009" s="4" t="s">
        <v>535</v>
      </c>
      <c r="T2009" s="4" t="s">
        <v>792</v>
      </c>
      <c r="U2009" s="4">
        <v>0</v>
      </c>
      <c r="V2009" s="4">
        <v>53</v>
      </c>
      <c r="W2009" s="4">
        <v>98</v>
      </c>
    </row>
    <row r="2010" spans="1:23" ht="11.25" customHeight="1" x14ac:dyDescent="0.25">
      <c r="A2010" s="4" t="s">
        <v>21</v>
      </c>
      <c r="B2010" s="4" t="s">
        <v>37</v>
      </c>
      <c r="C2010" s="4" t="s">
        <v>33</v>
      </c>
      <c r="D2010" s="4" t="s">
        <v>38</v>
      </c>
      <c r="E2010" s="4" t="s">
        <v>25</v>
      </c>
      <c r="F2010" s="4" t="s">
        <v>25</v>
      </c>
      <c r="G2010" s="4" t="s">
        <v>25</v>
      </c>
      <c r="H2010" s="4" t="s">
        <v>36</v>
      </c>
      <c r="I2010" s="5">
        <v>44652</v>
      </c>
      <c r="J2010" s="6">
        <v>0</v>
      </c>
      <c r="K2010" s="6">
        <v>0</v>
      </c>
      <c r="L2010" s="6">
        <v>0.128</v>
      </c>
      <c r="M2010" s="6">
        <v>0.128</v>
      </c>
      <c r="N2010" s="6">
        <v>0.128</v>
      </c>
      <c r="O2010" s="6">
        <v>0.128</v>
      </c>
      <c r="P2010" s="6">
        <v>0</v>
      </c>
      <c r="Q2010" s="4" t="s">
        <v>26</v>
      </c>
      <c r="R2010" s="4">
        <v>0</v>
      </c>
      <c r="S2010" s="4" t="s">
        <v>536</v>
      </c>
      <c r="T2010" s="4" t="s">
        <v>793</v>
      </c>
      <c r="U2010" s="4">
        <v>0</v>
      </c>
      <c r="V2010" s="4">
        <v>53</v>
      </c>
      <c r="W2010" s="4">
        <v>98</v>
      </c>
    </row>
    <row r="2011" spans="1:23" ht="11.25" customHeight="1" x14ac:dyDescent="0.25">
      <c r="A2011" s="4" t="s">
        <v>21</v>
      </c>
      <c r="B2011" s="4" t="s">
        <v>37</v>
      </c>
      <c r="C2011" s="4" t="s">
        <v>33</v>
      </c>
      <c r="D2011" s="4" t="s">
        <v>38</v>
      </c>
      <c r="E2011" s="4" t="s">
        <v>25</v>
      </c>
      <c r="F2011" s="4" t="s">
        <v>25</v>
      </c>
      <c r="G2011" s="4" t="s">
        <v>25</v>
      </c>
      <c r="H2011" s="4" t="s">
        <v>36</v>
      </c>
      <c r="I2011" s="5">
        <v>44682</v>
      </c>
      <c r="J2011" s="6">
        <v>0</v>
      </c>
      <c r="K2011" s="6">
        <v>0</v>
      </c>
      <c r="L2011" s="6">
        <v>0.128</v>
      </c>
      <c r="M2011" s="6">
        <v>0.128</v>
      </c>
      <c r="N2011" s="6">
        <v>0.128</v>
      </c>
      <c r="O2011" s="6">
        <v>0.128</v>
      </c>
      <c r="P2011" s="6">
        <v>0</v>
      </c>
      <c r="Q2011" s="4" t="s">
        <v>26</v>
      </c>
      <c r="R2011" s="4">
        <v>0</v>
      </c>
      <c r="S2011" s="4" t="s">
        <v>537</v>
      </c>
      <c r="T2011" s="4" t="s">
        <v>794</v>
      </c>
      <c r="U2011" s="4">
        <v>0</v>
      </c>
      <c r="V2011" s="4">
        <v>53</v>
      </c>
      <c r="W2011" s="4">
        <v>98</v>
      </c>
    </row>
    <row r="2012" spans="1:23" ht="11.25" customHeight="1" x14ac:dyDescent="0.25">
      <c r="A2012" s="4" t="s">
        <v>21</v>
      </c>
      <c r="B2012" s="4" t="s">
        <v>37</v>
      </c>
      <c r="C2012" s="4" t="s">
        <v>33</v>
      </c>
      <c r="D2012" s="4" t="s">
        <v>38</v>
      </c>
      <c r="E2012" s="4" t="s">
        <v>25</v>
      </c>
      <c r="F2012" s="4" t="s">
        <v>25</v>
      </c>
      <c r="G2012" s="4" t="s">
        <v>25</v>
      </c>
      <c r="H2012" s="4" t="s">
        <v>36</v>
      </c>
      <c r="I2012" s="5">
        <v>44713</v>
      </c>
      <c r="J2012" s="6">
        <v>0</v>
      </c>
      <c r="K2012" s="6">
        <v>0</v>
      </c>
      <c r="L2012" s="6">
        <v>0.108</v>
      </c>
      <c r="M2012" s="6">
        <v>0.108</v>
      </c>
      <c r="N2012" s="6">
        <v>0.108</v>
      </c>
      <c r="O2012" s="6">
        <v>0.108</v>
      </c>
      <c r="P2012" s="6">
        <v>0</v>
      </c>
      <c r="Q2012" s="4" t="s">
        <v>26</v>
      </c>
      <c r="R2012" s="4">
        <v>0</v>
      </c>
      <c r="S2012" s="4" t="s">
        <v>538</v>
      </c>
      <c r="T2012" s="4" t="s">
        <v>795</v>
      </c>
      <c r="U2012" s="4">
        <v>0</v>
      </c>
      <c r="V2012" s="4">
        <v>53</v>
      </c>
      <c r="W2012" s="4">
        <v>98</v>
      </c>
    </row>
    <row r="2013" spans="1:23" ht="11.25" customHeight="1" x14ac:dyDescent="0.25">
      <c r="A2013" s="4" t="s">
        <v>57</v>
      </c>
      <c r="B2013" s="4" t="s">
        <v>37</v>
      </c>
      <c r="C2013" s="4" t="s">
        <v>33</v>
      </c>
      <c r="D2013" s="4" t="s">
        <v>38</v>
      </c>
      <c r="E2013" s="4" t="s">
        <v>25</v>
      </c>
      <c r="F2013" s="4" t="s">
        <v>25</v>
      </c>
      <c r="G2013" s="4" t="s">
        <v>25</v>
      </c>
      <c r="H2013" s="4" t="s">
        <v>36</v>
      </c>
      <c r="I2013" s="5">
        <v>44743</v>
      </c>
      <c r="J2013" s="6">
        <v>0</v>
      </c>
      <c r="K2013" s="6">
        <v>0</v>
      </c>
      <c r="L2013" s="6">
        <v>0.108</v>
      </c>
      <c r="M2013" s="6">
        <v>0.108</v>
      </c>
      <c r="N2013" s="6">
        <v>0.108</v>
      </c>
      <c r="O2013" s="6">
        <v>0.108</v>
      </c>
      <c r="P2013" s="6">
        <v>0</v>
      </c>
      <c r="Q2013" s="4" t="s">
        <v>26</v>
      </c>
      <c r="R2013" s="4">
        <v>0</v>
      </c>
      <c r="S2013" s="4" t="s">
        <v>539</v>
      </c>
      <c r="T2013" s="4" t="s">
        <v>796</v>
      </c>
      <c r="U2013" s="4">
        <v>0</v>
      </c>
      <c r="V2013" s="4">
        <v>53</v>
      </c>
      <c r="W2013" s="4">
        <v>98</v>
      </c>
    </row>
    <row r="2014" spans="1:23" ht="11.25" customHeight="1" x14ac:dyDescent="0.25">
      <c r="A2014" s="4" t="s">
        <v>21</v>
      </c>
      <c r="B2014" s="4" t="s">
        <v>37</v>
      </c>
      <c r="C2014" s="4" t="s">
        <v>33</v>
      </c>
      <c r="D2014" s="4" t="s">
        <v>38</v>
      </c>
      <c r="E2014" s="4" t="s">
        <v>25</v>
      </c>
      <c r="F2014" s="4" t="s">
        <v>25</v>
      </c>
      <c r="G2014" s="4" t="s">
        <v>25</v>
      </c>
      <c r="H2014" s="4" t="s">
        <v>34</v>
      </c>
      <c r="I2014" s="5">
        <v>44409</v>
      </c>
      <c r="J2014" s="6">
        <v>0</v>
      </c>
      <c r="K2014" s="6">
        <v>0</v>
      </c>
      <c r="L2014" s="6">
        <v>0.188</v>
      </c>
      <c r="M2014" s="6">
        <v>0.188</v>
      </c>
      <c r="N2014" s="6">
        <v>0.188</v>
      </c>
      <c r="O2014" s="6">
        <v>0.188</v>
      </c>
      <c r="P2014" s="6">
        <v>0</v>
      </c>
      <c r="Q2014" s="4" t="s">
        <v>26</v>
      </c>
      <c r="R2014" s="4">
        <v>0</v>
      </c>
      <c r="S2014" s="4" t="s">
        <v>540</v>
      </c>
      <c r="T2014" s="4" t="s">
        <v>797</v>
      </c>
      <c r="U2014" s="4">
        <v>0</v>
      </c>
      <c r="V2014" s="4">
        <v>51</v>
      </c>
      <c r="W2014" s="4">
        <v>97</v>
      </c>
    </row>
    <row r="2015" spans="1:23" ht="11.25" customHeight="1" x14ac:dyDescent="0.25">
      <c r="A2015" s="4" t="s">
        <v>21</v>
      </c>
      <c r="B2015" s="4" t="s">
        <v>37</v>
      </c>
      <c r="C2015" s="4" t="s">
        <v>33</v>
      </c>
      <c r="D2015" s="4" t="s">
        <v>38</v>
      </c>
      <c r="E2015" s="4" t="s">
        <v>25</v>
      </c>
      <c r="F2015" s="4" t="s">
        <v>25</v>
      </c>
      <c r="G2015" s="4" t="s">
        <v>25</v>
      </c>
      <c r="H2015" s="4" t="s">
        <v>34</v>
      </c>
      <c r="I2015" s="5">
        <v>44440</v>
      </c>
      <c r="J2015" s="6">
        <v>0</v>
      </c>
      <c r="K2015" s="6">
        <v>0</v>
      </c>
      <c r="L2015" s="6">
        <v>0.17599999999999999</v>
      </c>
      <c r="M2015" s="6">
        <v>0.17599999999999999</v>
      </c>
      <c r="N2015" s="6">
        <v>0.17599999999999999</v>
      </c>
      <c r="O2015" s="6">
        <v>0.17599999999999999</v>
      </c>
      <c r="P2015" s="6">
        <v>0</v>
      </c>
      <c r="Q2015" s="4" t="s">
        <v>26</v>
      </c>
      <c r="R2015" s="4">
        <v>0</v>
      </c>
      <c r="S2015" s="4" t="s">
        <v>541</v>
      </c>
      <c r="T2015" s="4" t="s">
        <v>798</v>
      </c>
      <c r="U2015" s="4">
        <v>0</v>
      </c>
      <c r="V2015" s="4">
        <v>51</v>
      </c>
      <c r="W2015" s="4">
        <v>97</v>
      </c>
    </row>
    <row r="2016" spans="1:23" ht="11.25" customHeight="1" x14ac:dyDescent="0.25">
      <c r="A2016" s="4" t="s">
        <v>21</v>
      </c>
      <c r="B2016" s="4" t="s">
        <v>37</v>
      </c>
      <c r="C2016" s="4" t="s">
        <v>33</v>
      </c>
      <c r="D2016" s="4" t="s">
        <v>38</v>
      </c>
      <c r="E2016" s="4" t="s">
        <v>25</v>
      </c>
      <c r="F2016" s="4" t="s">
        <v>25</v>
      </c>
      <c r="G2016" s="4" t="s">
        <v>25</v>
      </c>
      <c r="H2016" s="4" t="s">
        <v>34</v>
      </c>
      <c r="I2016" s="5">
        <v>44470</v>
      </c>
      <c r="J2016" s="6">
        <v>0</v>
      </c>
      <c r="K2016" s="6">
        <v>0</v>
      </c>
      <c r="L2016" s="6">
        <v>0.17499999999999999</v>
      </c>
      <c r="M2016" s="6">
        <v>0.17499999999999999</v>
      </c>
      <c r="N2016" s="6">
        <v>0.17499999999999999</v>
      </c>
      <c r="O2016" s="6">
        <v>0.17499999999999999</v>
      </c>
      <c r="P2016" s="6">
        <v>0</v>
      </c>
      <c r="Q2016" s="4" t="s">
        <v>26</v>
      </c>
      <c r="R2016" s="4">
        <v>0</v>
      </c>
      <c r="S2016" s="4" t="s">
        <v>542</v>
      </c>
      <c r="T2016" s="4" t="s">
        <v>799</v>
      </c>
      <c r="U2016" s="4">
        <v>0</v>
      </c>
      <c r="V2016" s="4">
        <v>51</v>
      </c>
      <c r="W2016" s="4">
        <v>97</v>
      </c>
    </row>
    <row r="2017" spans="1:23" ht="11.25" customHeight="1" x14ac:dyDescent="0.25">
      <c r="A2017" s="4" t="s">
        <v>21</v>
      </c>
      <c r="B2017" s="4" t="s">
        <v>37</v>
      </c>
      <c r="C2017" s="4" t="s">
        <v>33</v>
      </c>
      <c r="D2017" s="4" t="s">
        <v>38</v>
      </c>
      <c r="E2017" s="4" t="s">
        <v>25</v>
      </c>
      <c r="F2017" s="4" t="s">
        <v>25</v>
      </c>
      <c r="G2017" s="4" t="s">
        <v>25</v>
      </c>
      <c r="H2017" s="4" t="s">
        <v>34</v>
      </c>
      <c r="I2017" s="5">
        <v>44501</v>
      </c>
      <c r="J2017" s="6">
        <v>0</v>
      </c>
      <c r="K2017" s="6">
        <v>0</v>
      </c>
      <c r="L2017" s="6">
        <v>0.14699999999999999</v>
      </c>
      <c r="M2017" s="6">
        <v>0.14699999999999999</v>
      </c>
      <c r="N2017" s="6">
        <v>0.14699999999999999</v>
      </c>
      <c r="O2017" s="6">
        <v>0.14699999999999999</v>
      </c>
      <c r="P2017" s="6">
        <v>0</v>
      </c>
      <c r="Q2017" s="4" t="s">
        <v>26</v>
      </c>
      <c r="R2017" s="4">
        <v>0</v>
      </c>
      <c r="S2017" s="4" t="s">
        <v>543</v>
      </c>
      <c r="T2017" s="4" t="s">
        <v>800</v>
      </c>
      <c r="U2017" s="4">
        <v>0</v>
      </c>
      <c r="V2017" s="4">
        <v>51</v>
      </c>
      <c r="W2017" s="4">
        <v>97</v>
      </c>
    </row>
    <row r="2018" spans="1:23" ht="11.25" customHeight="1" x14ac:dyDescent="0.25">
      <c r="A2018" s="4" t="s">
        <v>21</v>
      </c>
      <c r="B2018" s="4" t="s">
        <v>37</v>
      </c>
      <c r="C2018" s="4" t="s">
        <v>33</v>
      </c>
      <c r="D2018" s="4" t="s">
        <v>38</v>
      </c>
      <c r="E2018" s="4" t="s">
        <v>25</v>
      </c>
      <c r="F2018" s="4" t="s">
        <v>25</v>
      </c>
      <c r="G2018" s="4" t="s">
        <v>25</v>
      </c>
      <c r="H2018" s="4" t="s">
        <v>34</v>
      </c>
      <c r="I2018" s="5">
        <v>44531</v>
      </c>
      <c r="J2018" s="6">
        <v>0</v>
      </c>
      <c r="K2018" s="6">
        <v>0</v>
      </c>
      <c r="L2018" s="6">
        <v>0.17899999999999999</v>
      </c>
      <c r="M2018" s="6">
        <v>0.17899999999999999</v>
      </c>
      <c r="N2018" s="6">
        <v>0.17899999999999999</v>
      </c>
      <c r="O2018" s="6">
        <v>0.17899999999999999</v>
      </c>
      <c r="P2018" s="6">
        <v>0</v>
      </c>
      <c r="Q2018" s="4" t="s">
        <v>26</v>
      </c>
      <c r="R2018" s="4">
        <v>0</v>
      </c>
      <c r="S2018" s="4" t="s">
        <v>544</v>
      </c>
      <c r="T2018" s="4" t="s">
        <v>801</v>
      </c>
      <c r="U2018" s="4">
        <v>0</v>
      </c>
      <c r="V2018" s="4">
        <v>51</v>
      </c>
      <c r="W2018" s="4">
        <v>97</v>
      </c>
    </row>
    <row r="2019" spans="1:23" ht="11.25" customHeight="1" x14ac:dyDescent="0.25">
      <c r="A2019" s="4" t="s">
        <v>21</v>
      </c>
      <c r="B2019" s="4" t="s">
        <v>37</v>
      </c>
      <c r="C2019" s="4" t="s">
        <v>33</v>
      </c>
      <c r="D2019" s="4" t="s">
        <v>38</v>
      </c>
      <c r="E2019" s="4" t="s">
        <v>25</v>
      </c>
      <c r="F2019" s="4" t="s">
        <v>25</v>
      </c>
      <c r="G2019" s="4" t="s">
        <v>25</v>
      </c>
      <c r="H2019" s="4" t="s">
        <v>34</v>
      </c>
      <c r="I2019" s="5">
        <v>44562</v>
      </c>
      <c r="J2019" s="6">
        <v>0</v>
      </c>
      <c r="K2019" s="6">
        <v>0</v>
      </c>
      <c r="L2019" s="6">
        <v>0.107</v>
      </c>
      <c r="M2019" s="6">
        <v>0.107</v>
      </c>
      <c r="N2019" s="6">
        <v>0.107</v>
      </c>
      <c r="O2019" s="6">
        <v>0.107</v>
      </c>
      <c r="P2019" s="6">
        <v>0</v>
      </c>
      <c r="Q2019" s="4" t="s">
        <v>26</v>
      </c>
      <c r="R2019" s="4">
        <v>0</v>
      </c>
      <c r="S2019" s="4" t="s">
        <v>545</v>
      </c>
      <c r="T2019" s="4" t="s">
        <v>802</v>
      </c>
      <c r="U2019" s="4">
        <v>0</v>
      </c>
      <c r="V2019" s="4">
        <v>51</v>
      </c>
      <c r="W2019" s="4">
        <v>97</v>
      </c>
    </row>
    <row r="2020" spans="1:23" ht="11.25" customHeight="1" x14ac:dyDescent="0.25">
      <c r="A2020" s="4" t="s">
        <v>28</v>
      </c>
      <c r="B2020" s="4" t="s">
        <v>37</v>
      </c>
      <c r="C2020" s="4" t="s">
        <v>33</v>
      </c>
      <c r="D2020" s="4" t="s">
        <v>38</v>
      </c>
      <c r="E2020" s="4" t="s">
        <v>25</v>
      </c>
      <c r="F2020" s="4" t="s">
        <v>25</v>
      </c>
      <c r="G2020" s="4" t="s">
        <v>25</v>
      </c>
      <c r="H2020" s="4" t="s">
        <v>34</v>
      </c>
      <c r="I2020" s="5">
        <v>44562</v>
      </c>
      <c r="J2020" s="6">
        <v>0</v>
      </c>
      <c r="K2020" s="6">
        <v>0</v>
      </c>
      <c r="L2020" s="6">
        <v>4.4999999999999998E-2</v>
      </c>
      <c r="M2020" s="6">
        <v>4.4999999999999998E-2</v>
      </c>
      <c r="N2020" s="6">
        <v>4.4999999999999998E-2</v>
      </c>
      <c r="O2020" s="6">
        <v>4.4999999999999998E-2</v>
      </c>
      <c r="P2020" s="6">
        <v>0</v>
      </c>
      <c r="Q2020" s="4" t="s">
        <v>26</v>
      </c>
      <c r="R2020" s="4">
        <v>0</v>
      </c>
      <c r="S2020" s="4" t="s">
        <v>545</v>
      </c>
      <c r="T2020" s="4" t="s">
        <v>802</v>
      </c>
      <c r="U2020" s="4">
        <v>0</v>
      </c>
      <c r="V2020" s="4">
        <v>51</v>
      </c>
      <c r="W2020" s="4">
        <v>97</v>
      </c>
    </row>
    <row r="2021" spans="1:23" ht="11.25" customHeight="1" x14ac:dyDescent="0.25">
      <c r="A2021" s="4" t="s">
        <v>21</v>
      </c>
      <c r="B2021" s="4" t="s">
        <v>37</v>
      </c>
      <c r="C2021" s="4" t="s">
        <v>33</v>
      </c>
      <c r="D2021" s="4" t="s">
        <v>38</v>
      </c>
      <c r="E2021" s="4" t="s">
        <v>25</v>
      </c>
      <c r="F2021" s="4" t="s">
        <v>25</v>
      </c>
      <c r="G2021" s="4" t="s">
        <v>25</v>
      </c>
      <c r="H2021" s="4" t="s">
        <v>34</v>
      </c>
      <c r="I2021" s="5">
        <v>44593</v>
      </c>
      <c r="J2021" s="6">
        <v>0</v>
      </c>
      <c r="K2021" s="6">
        <v>0</v>
      </c>
      <c r="L2021" s="6">
        <v>0.105</v>
      </c>
      <c r="M2021" s="6">
        <v>0.105</v>
      </c>
      <c r="N2021" s="6">
        <v>0.105</v>
      </c>
      <c r="O2021" s="6">
        <v>0.105</v>
      </c>
      <c r="P2021" s="6">
        <v>0</v>
      </c>
      <c r="Q2021" s="4" t="s">
        <v>26</v>
      </c>
      <c r="R2021" s="4">
        <v>0</v>
      </c>
      <c r="S2021" s="4" t="s">
        <v>546</v>
      </c>
      <c r="T2021" s="4" t="s">
        <v>803</v>
      </c>
      <c r="U2021" s="4">
        <v>0</v>
      </c>
      <c r="V2021" s="4">
        <v>51</v>
      </c>
      <c r="W2021" s="4">
        <v>97</v>
      </c>
    </row>
    <row r="2022" spans="1:23" ht="11.25" customHeight="1" x14ac:dyDescent="0.25">
      <c r="A2022" s="4" t="s">
        <v>21</v>
      </c>
      <c r="B2022" s="4" t="s">
        <v>37</v>
      </c>
      <c r="C2022" s="4" t="s">
        <v>33</v>
      </c>
      <c r="D2022" s="4" t="s">
        <v>38</v>
      </c>
      <c r="E2022" s="4" t="s">
        <v>25</v>
      </c>
      <c r="F2022" s="4" t="s">
        <v>25</v>
      </c>
      <c r="G2022" s="4" t="s">
        <v>25</v>
      </c>
      <c r="H2022" s="4" t="s">
        <v>34</v>
      </c>
      <c r="I2022" s="5">
        <v>44621</v>
      </c>
      <c r="J2022" s="6">
        <v>0</v>
      </c>
      <c r="K2022" s="6">
        <v>0</v>
      </c>
      <c r="L2022" s="6">
        <v>0.13</v>
      </c>
      <c r="M2022" s="6">
        <v>0.13</v>
      </c>
      <c r="N2022" s="6">
        <v>0.13</v>
      </c>
      <c r="O2022" s="6">
        <v>0.13</v>
      </c>
      <c r="P2022" s="6">
        <v>0</v>
      </c>
      <c r="Q2022" s="4" t="s">
        <v>26</v>
      </c>
      <c r="R2022" s="4">
        <v>0</v>
      </c>
      <c r="S2022" s="4" t="s">
        <v>547</v>
      </c>
      <c r="T2022" s="4" t="s">
        <v>804</v>
      </c>
      <c r="U2022" s="4">
        <v>0</v>
      </c>
      <c r="V2022" s="4">
        <v>51</v>
      </c>
      <c r="W2022" s="4">
        <v>97</v>
      </c>
    </row>
    <row r="2023" spans="1:23" ht="11.25" customHeight="1" x14ac:dyDescent="0.25">
      <c r="A2023" s="4" t="s">
        <v>21</v>
      </c>
      <c r="B2023" s="4" t="s">
        <v>37</v>
      </c>
      <c r="C2023" s="4" t="s">
        <v>33</v>
      </c>
      <c r="D2023" s="4" t="s">
        <v>38</v>
      </c>
      <c r="E2023" s="4" t="s">
        <v>25</v>
      </c>
      <c r="F2023" s="4" t="s">
        <v>25</v>
      </c>
      <c r="G2023" s="4" t="s">
        <v>25</v>
      </c>
      <c r="H2023" s="4" t="s">
        <v>34</v>
      </c>
      <c r="I2023" s="5">
        <v>44652</v>
      </c>
      <c r="J2023" s="6">
        <v>0</v>
      </c>
      <c r="K2023" s="6">
        <v>0</v>
      </c>
      <c r="L2023" s="6">
        <v>0.11899999999999999</v>
      </c>
      <c r="M2023" s="6">
        <v>0.11899999999999999</v>
      </c>
      <c r="N2023" s="6">
        <v>0.11899999999999999</v>
      </c>
      <c r="O2023" s="6">
        <v>0.11899999999999999</v>
      </c>
      <c r="P2023" s="6">
        <v>0</v>
      </c>
      <c r="Q2023" s="4" t="s">
        <v>26</v>
      </c>
      <c r="R2023" s="4">
        <v>0</v>
      </c>
      <c r="S2023" s="4" t="s">
        <v>548</v>
      </c>
      <c r="T2023" s="4" t="s">
        <v>805</v>
      </c>
      <c r="U2023" s="4">
        <v>0</v>
      </c>
      <c r="V2023" s="4">
        <v>51</v>
      </c>
      <c r="W2023" s="4">
        <v>97</v>
      </c>
    </row>
    <row r="2024" spans="1:23" ht="11.25" customHeight="1" x14ac:dyDescent="0.25">
      <c r="A2024" s="4" t="s">
        <v>21</v>
      </c>
      <c r="B2024" s="4" t="s">
        <v>37</v>
      </c>
      <c r="C2024" s="4" t="s">
        <v>33</v>
      </c>
      <c r="D2024" s="4" t="s">
        <v>38</v>
      </c>
      <c r="E2024" s="4" t="s">
        <v>25</v>
      </c>
      <c r="F2024" s="4" t="s">
        <v>25</v>
      </c>
      <c r="G2024" s="4" t="s">
        <v>25</v>
      </c>
      <c r="H2024" s="4" t="s">
        <v>34</v>
      </c>
      <c r="I2024" s="5">
        <v>44682</v>
      </c>
      <c r="J2024" s="6">
        <v>0</v>
      </c>
      <c r="K2024" s="6">
        <v>0</v>
      </c>
      <c r="L2024" s="6">
        <v>0.11799999999999999</v>
      </c>
      <c r="M2024" s="6">
        <v>0.11799999999999999</v>
      </c>
      <c r="N2024" s="6">
        <v>0.11799999999999999</v>
      </c>
      <c r="O2024" s="6">
        <v>0.11799999999999999</v>
      </c>
      <c r="P2024" s="6">
        <v>0</v>
      </c>
      <c r="Q2024" s="4" t="s">
        <v>26</v>
      </c>
      <c r="R2024" s="4">
        <v>0</v>
      </c>
      <c r="S2024" s="4" t="s">
        <v>549</v>
      </c>
      <c r="T2024" s="4" t="s">
        <v>806</v>
      </c>
      <c r="U2024" s="4">
        <v>0</v>
      </c>
      <c r="V2024" s="4">
        <v>51</v>
      </c>
      <c r="W2024" s="4">
        <v>97</v>
      </c>
    </row>
    <row r="2025" spans="1:23" ht="11.25" customHeight="1" x14ac:dyDescent="0.25">
      <c r="A2025" s="4" t="s">
        <v>21</v>
      </c>
      <c r="B2025" s="4" t="s">
        <v>37</v>
      </c>
      <c r="C2025" s="4" t="s">
        <v>33</v>
      </c>
      <c r="D2025" s="4" t="s">
        <v>38</v>
      </c>
      <c r="E2025" s="4" t="s">
        <v>25</v>
      </c>
      <c r="F2025" s="4" t="s">
        <v>25</v>
      </c>
      <c r="G2025" s="4" t="s">
        <v>25</v>
      </c>
      <c r="H2025" s="4" t="s">
        <v>34</v>
      </c>
      <c r="I2025" s="5">
        <v>44713</v>
      </c>
      <c r="J2025" s="6">
        <v>0</v>
      </c>
      <c r="K2025" s="6">
        <v>0</v>
      </c>
      <c r="L2025" s="6">
        <v>9.7000000000000003E-2</v>
      </c>
      <c r="M2025" s="6">
        <v>9.7000000000000003E-2</v>
      </c>
      <c r="N2025" s="6">
        <v>9.7000000000000003E-2</v>
      </c>
      <c r="O2025" s="6">
        <v>9.7000000000000003E-2</v>
      </c>
      <c r="P2025" s="6">
        <v>0</v>
      </c>
      <c r="Q2025" s="4" t="s">
        <v>26</v>
      </c>
      <c r="R2025" s="4">
        <v>0</v>
      </c>
      <c r="S2025" s="4" t="s">
        <v>550</v>
      </c>
      <c r="T2025" s="4" t="s">
        <v>807</v>
      </c>
      <c r="U2025" s="4">
        <v>0</v>
      </c>
      <c r="V2025" s="4">
        <v>51</v>
      </c>
      <c r="W2025" s="4">
        <v>97</v>
      </c>
    </row>
    <row r="2026" spans="1:23" ht="11.25" customHeight="1" x14ac:dyDescent="0.25">
      <c r="A2026" s="4" t="s">
        <v>57</v>
      </c>
      <c r="B2026" s="4" t="s">
        <v>37</v>
      </c>
      <c r="C2026" s="4" t="s">
        <v>33</v>
      </c>
      <c r="D2026" s="4" t="s">
        <v>38</v>
      </c>
      <c r="E2026" s="4" t="s">
        <v>25</v>
      </c>
      <c r="F2026" s="4" t="s">
        <v>25</v>
      </c>
      <c r="G2026" s="4" t="s">
        <v>25</v>
      </c>
      <c r="H2026" s="4" t="s">
        <v>34</v>
      </c>
      <c r="I2026" s="5">
        <v>44743</v>
      </c>
      <c r="J2026" s="6">
        <v>0</v>
      </c>
      <c r="K2026" s="6">
        <v>0</v>
      </c>
      <c r="L2026" s="6">
        <v>9.7000000000000003E-2</v>
      </c>
      <c r="M2026" s="6">
        <v>9.7000000000000003E-2</v>
      </c>
      <c r="N2026" s="6">
        <v>9.7000000000000003E-2</v>
      </c>
      <c r="O2026" s="6">
        <v>9.7000000000000003E-2</v>
      </c>
      <c r="P2026" s="6">
        <v>0</v>
      </c>
      <c r="Q2026" s="4" t="s">
        <v>26</v>
      </c>
      <c r="R2026" s="4">
        <v>0</v>
      </c>
      <c r="S2026" s="4" t="s">
        <v>551</v>
      </c>
      <c r="T2026" s="4" t="s">
        <v>808</v>
      </c>
      <c r="U2026" s="4">
        <v>0</v>
      </c>
      <c r="V2026" s="4">
        <v>51</v>
      </c>
      <c r="W2026" s="4">
        <v>97</v>
      </c>
    </row>
    <row r="2027" spans="1:23" ht="11.25" customHeight="1" x14ac:dyDescent="0.25">
      <c r="A2027" s="4" t="s">
        <v>21</v>
      </c>
      <c r="B2027" s="4" t="s">
        <v>37</v>
      </c>
      <c r="C2027" s="4" t="s">
        <v>23</v>
      </c>
      <c r="D2027" s="4" t="s">
        <v>43</v>
      </c>
      <c r="E2027" s="4" t="s">
        <v>25</v>
      </c>
      <c r="F2027" s="4" t="s">
        <v>25</v>
      </c>
      <c r="G2027" s="4" t="s">
        <v>25</v>
      </c>
      <c r="H2027" s="4" t="s">
        <v>25</v>
      </c>
      <c r="I2027" s="5">
        <v>44409</v>
      </c>
      <c r="J2027" s="6">
        <v>0</v>
      </c>
      <c r="K2027" s="6">
        <v>0</v>
      </c>
      <c r="L2027" s="6">
        <v>34189.052000000003</v>
      </c>
      <c r="M2027" s="6">
        <v>34189.052000000003</v>
      </c>
      <c r="N2027" s="6">
        <v>34189.052000000003</v>
      </c>
      <c r="O2027" s="6">
        <v>34189.052000000003</v>
      </c>
      <c r="P2027" s="6">
        <v>91261</v>
      </c>
      <c r="Q2027" s="4" t="s">
        <v>26</v>
      </c>
      <c r="R2027" s="4">
        <v>0</v>
      </c>
      <c r="S2027" s="4" t="s">
        <v>552</v>
      </c>
      <c r="T2027" s="4" t="s">
        <v>809</v>
      </c>
      <c r="U2027" s="4">
        <v>0</v>
      </c>
      <c r="V2027" s="4">
        <v>57</v>
      </c>
      <c r="W2027" s="4">
        <v>100</v>
      </c>
    </row>
    <row r="2028" spans="1:23" ht="11.25" customHeight="1" x14ac:dyDescent="0.25">
      <c r="A2028" s="4" t="s">
        <v>27</v>
      </c>
      <c r="B2028" s="4" t="s">
        <v>37</v>
      </c>
      <c r="C2028" s="4" t="s">
        <v>23</v>
      </c>
      <c r="D2028" s="4" t="s">
        <v>43</v>
      </c>
      <c r="E2028" s="4" t="s">
        <v>25</v>
      </c>
      <c r="F2028" s="4" t="s">
        <v>25</v>
      </c>
      <c r="G2028" s="4" t="s">
        <v>25</v>
      </c>
      <c r="H2028" s="4" t="s">
        <v>25</v>
      </c>
      <c r="I2028" s="5">
        <v>44409</v>
      </c>
      <c r="J2028" s="6">
        <v>0</v>
      </c>
      <c r="K2028" s="6">
        <v>0</v>
      </c>
      <c r="L2028" s="6">
        <v>-259.55200000000002</v>
      </c>
      <c r="M2028" s="6">
        <v>-259.55200000000002</v>
      </c>
      <c r="N2028" s="6">
        <v>-259.55200000000002</v>
      </c>
      <c r="O2028" s="6">
        <v>-259.55200000000002</v>
      </c>
      <c r="P2028" s="6">
        <v>-176</v>
      </c>
      <c r="Q2028" s="4" t="s">
        <v>26</v>
      </c>
      <c r="R2028" s="4">
        <v>0</v>
      </c>
      <c r="S2028" s="4" t="s">
        <v>552</v>
      </c>
      <c r="T2028" s="4" t="s">
        <v>809</v>
      </c>
      <c r="U2028" s="4">
        <v>0</v>
      </c>
      <c r="V2028" s="4">
        <v>57</v>
      </c>
      <c r="W2028" s="4">
        <v>100</v>
      </c>
    </row>
    <row r="2029" spans="1:23" ht="11.25" customHeight="1" x14ac:dyDescent="0.25">
      <c r="A2029" s="4" t="s">
        <v>28</v>
      </c>
      <c r="B2029" s="4" t="s">
        <v>37</v>
      </c>
      <c r="C2029" s="4" t="s">
        <v>23</v>
      </c>
      <c r="D2029" s="4" t="s">
        <v>43</v>
      </c>
      <c r="E2029" s="4" t="s">
        <v>25</v>
      </c>
      <c r="F2029" s="4" t="s">
        <v>25</v>
      </c>
      <c r="G2029" s="4" t="s">
        <v>25</v>
      </c>
      <c r="H2029" s="4" t="s">
        <v>25</v>
      </c>
      <c r="I2029" s="5">
        <v>44409</v>
      </c>
      <c r="J2029" s="6">
        <v>0</v>
      </c>
      <c r="K2029" s="6">
        <v>0</v>
      </c>
      <c r="L2029" s="6">
        <v>2558.7779999999998</v>
      </c>
      <c r="M2029" s="6">
        <v>2558.7779999999998</v>
      </c>
      <c r="N2029" s="6">
        <v>2558.7779999999998</v>
      </c>
      <c r="O2029" s="6">
        <v>2558.7779999999998</v>
      </c>
      <c r="P2029" s="6">
        <v>4457</v>
      </c>
      <c r="Q2029" s="4" t="s">
        <v>26</v>
      </c>
      <c r="R2029" s="4">
        <v>0</v>
      </c>
      <c r="S2029" s="4" t="s">
        <v>552</v>
      </c>
      <c r="T2029" s="4" t="s">
        <v>809</v>
      </c>
      <c r="U2029" s="4">
        <v>0</v>
      </c>
      <c r="V2029" s="4">
        <v>57</v>
      </c>
      <c r="W2029" s="4">
        <v>100</v>
      </c>
    </row>
    <row r="2030" spans="1:23" ht="11.25" customHeight="1" x14ac:dyDescent="0.25">
      <c r="A2030" s="4" t="s">
        <v>28</v>
      </c>
      <c r="B2030" s="4" t="s">
        <v>37</v>
      </c>
      <c r="C2030" s="4" t="s">
        <v>23</v>
      </c>
      <c r="D2030" s="4" t="s">
        <v>43</v>
      </c>
      <c r="E2030" s="4" t="s">
        <v>25</v>
      </c>
      <c r="F2030" s="4" t="s">
        <v>25</v>
      </c>
      <c r="G2030" s="4" t="s">
        <v>25</v>
      </c>
      <c r="H2030" s="4" t="s">
        <v>25</v>
      </c>
      <c r="I2030" s="5">
        <v>44409</v>
      </c>
      <c r="J2030" s="6">
        <v>0</v>
      </c>
      <c r="K2030" s="6">
        <v>0</v>
      </c>
      <c r="L2030" s="6">
        <v>-3.19</v>
      </c>
      <c r="M2030" s="6">
        <v>-3.19</v>
      </c>
      <c r="N2030" s="6">
        <v>-3.19</v>
      </c>
      <c r="O2030" s="6">
        <v>-3.19</v>
      </c>
      <c r="P2030" s="6">
        <v>0</v>
      </c>
      <c r="Q2030" s="4" t="s">
        <v>26</v>
      </c>
      <c r="R2030" s="4">
        <v>0</v>
      </c>
      <c r="S2030" s="4" t="s">
        <v>552</v>
      </c>
      <c r="T2030" s="4" t="s">
        <v>809</v>
      </c>
      <c r="U2030" s="4">
        <v>0</v>
      </c>
      <c r="V2030" s="4">
        <v>57</v>
      </c>
      <c r="W2030" s="4">
        <v>100</v>
      </c>
    </row>
    <row r="2031" spans="1:23" ht="11.25" customHeight="1" x14ac:dyDescent="0.25">
      <c r="A2031" s="4" t="s">
        <v>21</v>
      </c>
      <c r="B2031" s="4" t="s">
        <v>37</v>
      </c>
      <c r="C2031" s="4" t="s">
        <v>23</v>
      </c>
      <c r="D2031" s="4" t="s">
        <v>43</v>
      </c>
      <c r="E2031" s="4" t="s">
        <v>25</v>
      </c>
      <c r="F2031" s="4" t="s">
        <v>25</v>
      </c>
      <c r="G2031" s="4" t="s">
        <v>25</v>
      </c>
      <c r="H2031" s="4" t="s">
        <v>25</v>
      </c>
      <c r="I2031" s="5">
        <v>44440</v>
      </c>
      <c r="J2031" s="6">
        <v>0</v>
      </c>
      <c r="K2031" s="6">
        <v>0</v>
      </c>
      <c r="L2031" s="6">
        <v>34240.18</v>
      </c>
      <c r="M2031" s="6">
        <v>34240.18</v>
      </c>
      <c r="N2031" s="6">
        <v>34240.18</v>
      </c>
      <c r="O2031" s="6">
        <v>34240.18</v>
      </c>
      <c r="P2031" s="6">
        <v>91044</v>
      </c>
      <c r="Q2031" s="4" t="s">
        <v>26</v>
      </c>
      <c r="R2031" s="4">
        <v>0</v>
      </c>
      <c r="S2031" s="4" t="s">
        <v>553</v>
      </c>
      <c r="T2031" s="4" t="s">
        <v>810</v>
      </c>
      <c r="U2031" s="4">
        <v>0</v>
      </c>
      <c r="V2031" s="4">
        <v>57</v>
      </c>
      <c r="W2031" s="4">
        <v>100</v>
      </c>
    </row>
    <row r="2032" spans="1:23" ht="11.25" customHeight="1" x14ac:dyDescent="0.25">
      <c r="A2032" s="4" t="s">
        <v>27</v>
      </c>
      <c r="B2032" s="4" t="s">
        <v>37</v>
      </c>
      <c r="C2032" s="4" t="s">
        <v>23</v>
      </c>
      <c r="D2032" s="4" t="s">
        <v>43</v>
      </c>
      <c r="E2032" s="4" t="s">
        <v>25</v>
      </c>
      <c r="F2032" s="4" t="s">
        <v>25</v>
      </c>
      <c r="G2032" s="4" t="s">
        <v>25</v>
      </c>
      <c r="H2032" s="4" t="s">
        <v>25</v>
      </c>
      <c r="I2032" s="5">
        <v>44440</v>
      </c>
      <c r="J2032" s="6">
        <v>0</v>
      </c>
      <c r="K2032" s="6">
        <v>0</v>
      </c>
      <c r="L2032" s="6">
        <v>-59.813000000000002</v>
      </c>
      <c r="M2032" s="6">
        <v>-59.813000000000002</v>
      </c>
      <c r="N2032" s="6">
        <v>-59.813000000000002</v>
      </c>
      <c r="O2032" s="6">
        <v>-59.813000000000002</v>
      </c>
      <c r="P2032" s="6">
        <v>-8</v>
      </c>
      <c r="Q2032" s="4" t="s">
        <v>26</v>
      </c>
      <c r="R2032" s="4">
        <v>0</v>
      </c>
      <c r="S2032" s="4" t="s">
        <v>553</v>
      </c>
      <c r="T2032" s="4" t="s">
        <v>810</v>
      </c>
      <c r="U2032" s="4">
        <v>0</v>
      </c>
      <c r="V2032" s="4">
        <v>57</v>
      </c>
      <c r="W2032" s="4">
        <v>100</v>
      </c>
    </row>
    <row r="2033" spans="1:23" ht="11.25" customHeight="1" x14ac:dyDescent="0.25">
      <c r="A2033" s="4" t="s">
        <v>28</v>
      </c>
      <c r="B2033" s="4" t="s">
        <v>37</v>
      </c>
      <c r="C2033" s="4" t="s">
        <v>23</v>
      </c>
      <c r="D2033" s="4" t="s">
        <v>43</v>
      </c>
      <c r="E2033" s="4" t="s">
        <v>25</v>
      </c>
      <c r="F2033" s="4" t="s">
        <v>25</v>
      </c>
      <c r="G2033" s="4" t="s">
        <v>25</v>
      </c>
      <c r="H2033" s="4" t="s">
        <v>25</v>
      </c>
      <c r="I2033" s="5">
        <v>44440</v>
      </c>
      <c r="J2033" s="6">
        <v>0</v>
      </c>
      <c r="K2033" s="6">
        <v>0</v>
      </c>
      <c r="L2033" s="6">
        <v>2498.384</v>
      </c>
      <c r="M2033" s="6">
        <v>2498.384</v>
      </c>
      <c r="N2033" s="6">
        <v>2498.384</v>
      </c>
      <c r="O2033" s="6">
        <v>2498.384</v>
      </c>
      <c r="P2033" s="6">
        <v>4728</v>
      </c>
      <c r="Q2033" s="4" t="s">
        <v>26</v>
      </c>
      <c r="R2033" s="4">
        <v>0</v>
      </c>
      <c r="S2033" s="4" t="s">
        <v>553</v>
      </c>
      <c r="T2033" s="4" t="s">
        <v>810</v>
      </c>
      <c r="U2033" s="4">
        <v>0</v>
      </c>
      <c r="V2033" s="4">
        <v>57</v>
      </c>
      <c r="W2033" s="4">
        <v>100</v>
      </c>
    </row>
    <row r="2034" spans="1:23" ht="11.25" customHeight="1" x14ac:dyDescent="0.25">
      <c r="A2034" s="4" t="s">
        <v>28</v>
      </c>
      <c r="B2034" s="4" t="s">
        <v>37</v>
      </c>
      <c r="C2034" s="4" t="s">
        <v>23</v>
      </c>
      <c r="D2034" s="4" t="s">
        <v>43</v>
      </c>
      <c r="E2034" s="4" t="s">
        <v>25</v>
      </c>
      <c r="F2034" s="4" t="s">
        <v>25</v>
      </c>
      <c r="G2034" s="4" t="s">
        <v>25</v>
      </c>
      <c r="H2034" s="4" t="s">
        <v>25</v>
      </c>
      <c r="I2034" s="5">
        <v>44440</v>
      </c>
      <c r="J2034" s="6">
        <v>0</v>
      </c>
      <c r="K2034" s="6">
        <v>0</v>
      </c>
      <c r="L2034" s="6">
        <v>-1.3560000000000001</v>
      </c>
      <c r="M2034" s="6">
        <v>-1.3560000000000001</v>
      </c>
      <c r="N2034" s="6">
        <v>-1.3560000000000001</v>
      </c>
      <c r="O2034" s="6">
        <v>-1.3560000000000001</v>
      </c>
      <c r="P2034" s="6">
        <v>0</v>
      </c>
      <c r="Q2034" s="4" t="s">
        <v>26</v>
      </c>
      <c r="R2034" s="4">
        <v>0</v>
      </c>
      <c r="S2034" s="4" t="s">
        <v>553</v>
      </c>
      <c r="T2034" s="4" t="s">
        <v>810</v>
      </c>
      <c r="U2034" s="4">
        <v>0</v>
      </c>
      <c r="V2034" s="4">
        <v>57</v>
      </c>
      <c r="W2034" s="4">
        <v>100</v>
      </c>
    </row>
    <row r="2035" spans="1:23" ht="11.25" customHeight="1" x14ac:dyDescent="0.25">
      <c r="A2035" s="4" t="s">
        <v>21</v>
      </c>
      <c r="B2035" s="4" t="s">
        <v>37</v>
      </c>
      <c r="C2035" s="4" t="s">
        <v>23</v>
      </c>
      <c r="D2035" s="4" t="s">
        <v>43</v>
      </c>
      <c r="E2035" s="4" t="s">
        <v>25</v>
      </c>
      <c r="F2035" s="4" t="s">
        <v>25</v>
      </c>
      <c r="G2035" s="4" t="s">
        <v>25</v>
      </c>
      <c r="H2035" s="4" t="s">
        <v>25</v>
      </c>
      <c r="I2035" s="5">
        <v>44470</v>
      </c>
      <c r="J2035" s="6">
        <v>0</v>
      </c>
      <c r="K2035" s="6">
        <v>0</v>
      </c>
      <c r="L2035" s="6">
        <v>36126.531999999999</v>
      </c>
      <c r="M2035" s="6">
        <v>36126.531999999999</v>
      </c>
      <c r="N2035" s="6">
        <v>36126.531999999999</v>
      </c>
      <c r="O2035" s="6">
        <v>36126.531999999999</v>
      </c>
      <c r="P2035" s="6">
        <v>91021</v>
      </c>
      <c r="Q2035" s="4" t="s">
        <v>26</v>
      </c>
      <c r="R2035" s="4">
        <v>0</v>
      </c>
      <c r="S2035" s="4" t="s">
        <v>554</v>
      </c>
      <c r="T2035" s="4" t="s">
        <v>811</v>
      </c>
      <c r="U2035" s="4">
        <v>0</v>
      </c>
      <c r="V2035" s="4">
        <v>57</v>
      </c>
      <c r="W2035" s="4">
        <v>100</v>
      </c>
    </row>
    <row r="2036" spans="1:23" ht="11.25" customHeight="1" x14ac:dyDescent="0.25">
      <c r="A2036" s="4" t="s">
        <v>27</v>
      </c>
      <c r="B2036" s="4" t="s">
        <v>37</v>
      </c>
      <c r="C2036" s="4" t="s">
        <v>23</v>
      </c>
      <c r="D2036" s="4" t="s">
        <v>43</v>
      </c>
      <c r="E2036" s="4" t="s">
        <v>25</v>
      </c>
      <c r="F2036" s="4" t="s">
        <v>25</v>
      </c>
      <c r="G2036" s="4" t="s">
        <v>25</v>
      </c>
      <c r="H2036" s="4" t="s">
        <v>25</v>
      </c>
      <c r="I2036" s="5">
        <v>44470</v>
      </c>
      <c r="J2036" s="6">
        <v>0</v>
      </c>
      <c r="K2036" s="6">
        <v>0</v>
      </c>
      <c r="L2036" s="6">
        <v>-6.7889999999999997</v>
      </c>
      <c r="M2036" s="6">
        <v>-6.7889999999999997</v>
      </c>
      <c r="N2036" s="6">
        <v>-6.7889999999999997</v>
      </c>
      <c r="O2036" s="6">
        <v>-6.7889999999999997</v>
      </c>
      <c r="P2036" s="6">
        <v>-8</v>
      </c>
      <c r="Q2036" s="4" t="s">
        <v>26</v>
      </c>
      <c r="R2036" s="4">
        <v>0</v>
      </c>
      <c r="S2036" s="4" t="s">
        <v>554</v>
      </c>
      <c r="T2036" s="4" t="s">
        <v>811</v>
      </c>
      <c r="U2036" s="4">
        <v>0</v>
      </c>
      <c r="V2036" s="4">
        <v>57</v>
      </c>
      <c r="W2036" s="4">
        <v>100</v>
      </c>
    </row>
    <row r="2037" spans="1:23" ht="11.25" customHeight="1" x14ac:dyDescent="0.25">
      <c r="A2037" s="4" t="s">
        <v>28</v>
      </c>
      <c r="B2037" s="4" t="s">
        <v>37</v>
      </c>
      <c r="C2037" s="4" t="s">
        <v>23</v>
      </c>
      <c r="D2037" s="4" t="s">
        <v>43</v>
      </c>
      <c r="E2037" s="4" t="s">
        <v>25</v>
      </c>
      <c r="F2037" s="4" t="s">
        <v>25</v>
      </c>
      <c r="G2037" s="4" t="s">
        <v>25</v>
      </c>
      <c r="H2037" s="4" t="s">
        <v>25</v>
      </c>
      <c r="I2037" s="5">
        <v>44470</v>
      </c>
      <c r="J2037" s="6">
        <v>0</v>
      </c>
      <c r="K2037" s="6">
        <v>0</v>
      </c>
      <c r="L2037" s="6">
        <v>2660.076</v>
      </c>
      <c r="M2037" s="6">
        <v>2660.076</v>
      </c>
      <c r="N2037" s="6">
        <v>2660.076</v>
      </c>
      <c r="O2037" s="6">
        <v>2660.076</v>
      </c>
      <c r="P2037" s="6">
        <v>4974</v>
      </c>
      <c r="Q2037" s="4" t="s">
        <v>26</v>
      </c>
      <c r="R2037" s="4">
        <v>0</v>
      </c>
      <c r="S2037" s="4" t="s">
        <v>554</v>
      </c>
      <c r="T2037" s="4" t="s">
        <v>811</v>
      </c>
      <c r="U2037" s="4">
        <v>0</v>
      </c>
      <c r="V2037" s="4">
        <v>57</v>
      </c>
      <c r="W2037" s="4">
        <v>100</v>
      </c>
    </row>
    <row r="2038" spans="1:23" ht="11.25" customHeight="1" x14ac:dyDescent="0.25">
      <c r="A2038" s="4" t="s">
        <v>28</v>
      </c>
      <c r="B2038" s="4" t="s">
        <v>37</v>
      </c>
      <c r="C2038" s="4" t="s">
        <v>23</v>
      </c>
      <c r="D2038" s="4" t="s">
        <v>43</v>
      </c>
      <c r="E2038" s="4" t="s">
        <v>25</v>
      </c>
      <c r="F2038" s="4" t="s">
        <v>25</v>
      </c>
      <c r="G2038" s="4" t="s">
        <v>25</v>
      </c>
      <c r="H2038" s="4" t="s">
        <v>25</v>
      </c>
      <c r="I2038" s="5">
        <v>44470</v>
      </c>
      <c r="J2038" s="6">
        <v>0</v>
      </c>
      <c r="K2038" s="6">
        <v>0</v>
      </c>
      <c r="L2038" s="6">
        <v>-100.13</v>
      </c>
      <c r="M2038" s="6">
        <v>-100.13</v>
      </c>
      <c r="N2038" s="6">
        <v>-100.13</v>
      </c>
      <c r="O2038" s="6">
        <v>-100.13</v>
      </c>
      <c r="P2038" s="6">
        <v>-1</v>
      </c>
      <c r="Q2038" s="4" t="s">
        <v>26</v>
      </c>
      <c r="R2038" s="4">
        <v>0</v>
      </c>
      <c r="S2038" s="4" t="s">
        <v>554</v>
      </c>
      <c r="T2038" s="4" t="s">
        <v>811</v>
      </c>
      <c r="U2038" s="4">
        <v>0</v>
      </c>
      <c r="V2038" s="4">
        <v>57</v>
      </c>
      <c r="W2038" s="4">
        <v>100</v>
      </c>
    </row>
    <row r="2039" spans="1:23" ht="11.25" customHeight="1" x14ac:dyDescent="0.25">
      <c r="A2039" s="4" t="s">
        <v>21</v>
      </c>
      <c r="B2039" s="4" t="s">
        <v>37</v>
      </c>
      <c r="C2039" s="4" t="s">
        <v>23</v>
      </c>
      <c r="D2039" s="4" t="s">
        <v>43</v>
      </c>
      <c r="E2039" s="4" t="s">
        <v>25</v>
      </c>
      <c r="F2039" s="4" t="s">
        <v>25</v>
      </c>
      <c r="G2039" s="4" t="s">
        <v>25</v>
      </c>
      <c r="H2039" s="4" t="s">
        <v>25</v>
      </c>
      <c r="I2039" s="5">
        <v>44501</v>
      </c>
      <c r="J2039" s="6">
        <v>0</v>
      </c>
      <c r="K2039" s="6">
        <v>0</v>
      </c>
      <c r="L2039" s="6">
        <v>36073.413</v>
      </c>
      <c r="M2039" s="6">
        <v>36073.413</v>
      </c>
      <c r="N2039" s="6">
        <v>36073.413</v>
      </c>
      <c r="O2039" s="6">
        <v>36073.413</v>
      </c>
      <c r="P2039" s="6">
        <v>90778</v>
      </c>
      <c r="Q2039" s="4" t="s">
        <v>26</v>
      </c>
      <c r="R2039" s="4">
        <v>0</v>
      </c>
      <c r="S2039" s="4" t="s">
        <v>555</v>
      </c>
      <c r="T2039" s="4" t="s">
        <v>812</v>
      </c>
      <c r="U2039" s="4">
        <v>0</v>
      </c>
      <c r="V2039" s="4">
        <v>57</v>
      </c>
      <c r="W2039" s="4">
        <v>100</v>
      </c>
    </row>
    <row r="2040" spans="1:23" ht="11.25" customHeight="1" x14ac:dyDescent="0.25">
      <c r="A2040" s="4" t="s">
        <v>27</v>
      </c>
      <c r="B2040" s="4" t="s">
        <v>37</v>
      </c>
      <c r="C2040" s="4" t="s">
        <v>23</v>
      </c>
      <c r="D2040" s="4" t="s">
        <v>43</v>
      </c>
      <c r="E2040" s="4" t="s">
        <v>25</v>
      </c>
      <c r="F2040" s="4" t="s">
        <v>25</v>
      </c>
      <c r="G2040" s="4" t="s">
        <v>25</v>
      </c>
      <c r="H2040" s="4" t="s">
        <v>25</v>
      </c>
      <c r="I2040" s="5">
        <v>44501</v>
      </c>
      <c r="J2040" s="6">
        <v>0</v>
      </c>
      <c r="K2040" s="6">
        <v>0</v>
      </c>
      <c r="L2040" s="6">
        <v>-76.182000000000002</v>
      </c>
      <c r="M2040" s="6">
        <v>-76.182000000000002</v>
      </c>
      <c r="N2040" s="6">
        <v>-76.182000000000002</v>
      </c>
      <c r="O2040" s="6">
        <v>-76.182000000000002</v>
      </c>
      <c r="P2040" s="6">
        <v>-6</v>
      </c>
      <c r="Q2040" s="4" t="s">
        <v>26</v>
      </c>
      <c r="R2040" s="4">
        <v>0</v>
      </c>
      <c r="S2040" s="4" t="s">
        <v>555</v>
      </c>
      <c r="T2040" s="4" t="s">
        <v>812</v>
      </c>
      <c r="U2040" s="4">
        <v>0</v>
      </c>
      <c r="V2040" s="4">
        <v>57</v>
      </c>
      <c r="W2040" s="4">
        <v>100</v>
      </c>
    </row>
    <row r="2041" spans="1:23" ht="11.25" customHeight="1" x14ac:dyDescent="0.25">
      <c r="A2041" s="4" t="s">
        <v>28</v>
      </c>
      <c r="B2041" s="4" t="s">
        <v>37</v>
      </c>
      <c r="C2041" s="4" t="s">
        <v>23</v>
      </c>
      <c r="D2041" s="4" t="s">
        <v>43</v>
      </c>
      <c r="E2041" s="4" t="s">
        <v>25</v>
      </c>
      <c r="F2041" s="4" t="s">
        <v>25</v>
      </c>
      <c r="G2041" s="4" t="s">
        <v>25</v>
      </c>
      <c r="H2041" s="4" t="s">
        <v>25</v>
      </c>
      <c r="I2041" s="5">
        <v>44501</v>
      </c>
      <c r="J2041" s="6">
        <v>0</v>
      </c>
      <c r="K2041" s="6">
        <v>0</v>
      </c>
      <c r="L2041" s="6">
        <v>2904.2550000000001</v>
      </c>
      <c r="M2041" s="6">
        <v>2904.2550000000001</v>
      </c>
      <c r="N2041" s="6">
        <v>2904.2550000000001</v>
      </c>
      <c r="O2041" s="6">
        <v>2904.2550000000001</v>
      </c>
      <c r="P2041" s="6">
        <v>5183</v>
      </c>
      <c r="Q2041" s="4" t="s">
        <v>26</v>
      </c>
      <c r="R2041" s="4">
        <v>0</v>
      </c>
      <c r="S2041" s="4" t="s">
        <v>555</v>
      </c>
      <c r="T2041" s="4" t="s">
        <v>812</v>
      </c>
      <c r="U2041" s="4">
        <v>0</v>
      </c>
      <c r="V2041" s="4">
        <v>57</v>
      </c>
      <c r="W2041" s="4">
        <v>100</v>
      </c>
    </row>
    <row r="2042" spans="1:23" ht="11.25" customHeight="1" x14ac:dyDescent="0.25">
      <c r="A2042" s="4" t="s">
        <v>28</v>
      </c>
      <c r="B2042" s="4" t="s">
        <v>37</v>
      </c>
      <c r="C2042" s="4" t="s">
        <v>23</v>
      </c>
      <c r="D2042" s="4" t="s">
        <v>43</v>
      </c>
      <c r="E2042" s="4" t="s">
        <v>25</v>
      </c>
      <c r="F2042" s="4" t="s">
        <v>25</v>
      </c>
      <c r="G2042" s="4" t="s">
        <v>25</v>
      </c>
      <c r="H2042" s="4" t="s">
        <v>25</v>
      </c>
      <c r="I2042" s="5">
        <v>44501</v>
      </c>
      <c r="J2042" s="6">
        <v>0</v>
      </c>
      <c r="K2042" s="6">
        <v>0</v>
      </c>
      <c r="L2042" s="6">
        <v>-15.951000000000001</v>
      </c>
      <c r="M2042" s="6">
        <v>-15.951000000000001</v>
      </c>
      <c r="N2042" s="6">
        <v>-15.951000000000001</v>
      </c>
      <c r="O2042" s="6">
        <v>-15.951000000000001</v>
      </c>
      <c r="P2042" s="6">
        <v>0</v>
      </c>
      <c r="Q2042" s="4" t="s">
        <v>26</v>
      </c>
      <c r="R2042" s="4">
        <v>0</v>
      </c>
      <c r="S2042" s="4" t="s">
        <v>555</v>
      </c>
      <c r="T2042" s="4" t="s">
        <v>812</v>
      </c>
      <c r="U2042" s="4">
        <v>0</v>
      </c>
      <c r="V2042" s="4">
        <v>57</v>
      </c>
      <c r="W2042" s="4">
        <v>100</v>
      </c>
    </row>
    <row r="2043" spans="1:23" ht="11.25" customHeight="1" x14ac:dyDescent="0.25">
      <c r="A2043" s="4" t="s">
        <v>21</v>
      </c>
      <c r="B2043" s="4" t="s">
        <v>37</v>
      </c>
      <c r="C2043" s="4" t="s">
        <v>23</v>
      </c>
      <c r="D2043" s="4" t="s">
        <v>43</v>
      </c>
      <c r="E2043" s="4" t="s">
        <v>25</v>
      </c>
      <c r="F2043" s="4" t="s">
        <v>25</v>
      </c>
      <c r="G2043" s="4" t="s">
        <v>25</v>
      </c>
      <c r="H2043" s="4" t="s">
        <v>25</v>
      </c>
      <c r="I2043" s="5">
        <v>44531</v>
      </c>
      <c r="J2043" s="6">
        <v>0</v>
      </c>
      <c r="K2043" s="6">
        <v>0</v>
      </c>
      <c r="L2043" s="6">
        <v>40202.006000000001</v>
      </c>
      <c r="M2043" s="6">
        <v>40202.006000000001</v>
      </c>
      <c r="N2043" s="6">
        <v>40202.006000000001</v>
      </c>
      <c r="O2043" s="6">
        <v>40202.006000000001</v>
      </c>
      <c r="P2043" s="6">
        <v>90715</v>
      </c>
      <c r="Q2043" s="4" t="s">
        <v>26</v>
      </c>
      <c r="R2043" s="4">
        <v>0</v>
      </c>
      <c r="S2043" s="4" t="s">
        <v>556</v>
      </c>
      <c r="T2043" s="4" t="s">
        <v>813</v>
      </c>
      <c r="U2043" s="4">
        <v>0</v>
      </c>
      <c r="V2043" s="4">
        <v>57</v>
      </c>
      <c r="W2043" s="4">
        <v>100</v>
      </c>
    </row>
    <row r="2044" spans="1:23" ht="11.25" customHeight="1" x14ac:dyDescent="0.25">
      <c r="A2044" s="4" t="s">
        <v>27</v>
      </c>
      <c r="B2044" s="4" t="s">
        <v>37</v>
      </c>
      <c r="C2044" s="4" t="s">
        <v>23</v>
      </c>
      <c r="D2044" s="4" t="s">
        <v>43</v>
      </c>
      <c r="E2044" s="4" t="s">
        <v>25</v>
      </c>
      <c r="F2044" s="4" t="s">
        <v>25</v>
      </c>
      <c r="G2044" s="4" t="s">
        <v>25</v>
      </c>
      <c r="H2044" s="4" t="s">
        <v>25</v>
      </c>
      <c r="I2044" s="5">
        <v>44531</v>
      </c>
      <c r="J2044" s="6">
        <v>0</v>
      </c>
      <c r="K2044" s="6">
        <v>0</v>
      </c>
      <c r="L2044" s="6">
        <v>-409.31400000000002</v>
      </c>
      <c r="M2044" s="6">
        <v>-409.31400000000002</v>
      </c>
      <c r="N2044" s="6">
        <v>-409.31400000000002</v>
      </c>
      <c r="O2044" s="6">
        <v>-409.31400000000002</v>
      </c>
      <c r="P2044" s="6">
        <v>-21</v>
      </c>
      <c r="Q2044" s="4" t="s">
        <v>26</v>
      </c>
      <c r="R2044" s="4">
        <v>0</v>
      </c>
      <c r="S2044" s="4" t="s">
        <v>556</v>
      </c>
      <c r="T2044" s="4" t="s">
        <v>813</v>
      </c>
      <c r="U2044" s="4">
        <v>0</v>
      </c>
      <c r="V2044" s="4">
        <v>57</v>
      </c>
      <c r="W2044" s="4">
        <v>100</v>
      </c>
    </row>
    <row r="2045" spans="1:23" ht="11.25" customHeight="1" x14ac:dyDescent="0.25">
      <c r="A2045" s="4" t="s">
        <v>28</v>
      </c>
      <c r="B2045" s="4" t="s">
        <v>37</v>
      </c>
      <c r="C2045" s="4" t="s">
        <v>23</v>
      </c>
      <c r="D2045" s="4" t="s">
        <v>43</v>
      </c>
      <c r="E2045" s="4" t="s">
        <v>25</v>
      </c>
      <c r="F2045" s="4" t="s">
        <v>25</v>
      </c>
      <c r="G2045" s="4" t="s">
        <v>25</v>
      </c>
      <c r="H2045" s="4" t="s">
        <v>25</v>
      </c>
      <c r="I2045" s="5">
        <v>44531</v>
      </c>
      <c r="J2045" s="6">
        <v>0</v>
      </c>
      <c r="K2045" s="6">
        <v>0</v>
      </c>
      <c r="L2045" s="6">
        <v>3538.9639999999999</v>
      </c>
      <c r="M2045" s="6">
        <v>3538.9639999999999</v>
      </c>
      <c r="N2045" s="6">
        <v>3538.9639999999999</v>
      </c>
      <c r="O2045" s="6">
        <v>3538.9639999999999</v>
      </c>
      <c r="P2045" s="6">
        <v>5410</v>
      </c>
      <c r="Q2045" s="4" t="s">
        <v>26</v>
      </c>
      <c r="R2045" s="4">
        <v>0</v>
      </c>
      <c r="S2045" s="4" t="s">
        <v>556</v>
      </c>
      <c r="T2045" s="4" t="s">
        <v>813</v>
      </c>
      <c r="U2045" s="4">
        <v>0</v>
      </c>
      <c r="V2045" s="4">
        <v>57</v>
      </c>
      <c r="W2045" s="4">
        <v>100</v>
      </c>
    </row>
    <row r="2046" spans="1:23" ht="11.25" customHeight="1" x14ac:dyDescent="0.25">
      <c r="A2046" s="4" t="s">
        <v>28</v>
      </c>
      <c r="B2046" s="4" t="s">
        <v>37</v>
      </c>
      <c r="C2046" s="4" t="s">
        <v>23</v>
      </c>
      <c r="D2046" s="4" t="s">
        <v>43</v>
      </c>
      <c r="E2046" s="4" t="s">
        <v>25</v>
      </c>
      <c r="F2046" s="4" t="s">
        <v>25</v>
      </c>
      <c r="G2046" s="4" t="s">
        <v>25</v>
      </c>
      <c r="H2046" s="4" t="s">
        <v>25</v>
      </c>
      <c r="I2046" s="5">
        <v>44531</v>
      </c>
      <c r="J2046" s="6">
        <v>0</v>
      </c>
      <c r="K2046" s="6">
        <v>0</v>
      </c>
      <c r="L2046" s="6">
        <v>-8.1750000000000007</v>
      </c>
      <c r="M2046" s="6">
        <v>-8.1750000000000007</v>
      </c>
      <c r="N2046" s="6">
        <v>-8.1750000000000007</v>
      </c>
      <c r="O2046" s="6">
        <v>-8.1750000000000007</v>
      </c>
      <c r="P2046" s="6">
        <v>0</v>
      </c>
      <c r="Q2046" s="4" t="s">
        <v>26</v>
      </c>
      <c r="R2046" s="4">
        <v>0</v>
      </c>
      <c r="S2046" s="4" t="s">
        <v>556</v>
      </c>
      <c r="T2046" s="4" t="s">
        <v>813</v>
      </c>
      <c r="U2046" s="4">
        <v>0</v>
      </c>
      <c r="V2046" s="4">
        <v>57</v>
      </c>
      <c r="W2046" s="4">
        <v>100</v>
      </c>
    </row>
    <row r="2047" spans="1:23" ht="11.25" customHeight="1" x14ac:dyDescent="0.25">
      <c r="A2047" s="4" t="s">
        <v>21</v>
      </c>
      <c r="B2047" s="4" t="s">
        <v>37</v>
      </c>
      <c r="C2047" s="4" t="s">
        <v>23</v>
      </c>
      <c r="D2047" s="4" t="s">
        <v>43</v>
      </c>
      <c r="E2047" s="4" t="s">
        <v>25</v>
      </c>
      <c r="F2047" s="4" t="s">
        <v>25</v>
      </c>
      <c r="G2047" s="4" t="s">
        <v>25</v>
      </c>
      <c r="H2047" s="4" t="s">
        <v>25</v>
      </c>
      <c r="I2047" s="5">
        <v>44562</v>
      </c>
      <c r="J2047" s="6">
        <v>0</v>
      </c>
      <c r="K2047" s="6">
        <v>0</v>
      </c>
      <c r="L2047" s="6">
        <v>36226.080999999998</v>
      </c>
      <c r="M2047" s="6">
        <v>36226.080999999998</v>
      </c>
      <c r="N2047" s="6">
        <v>36226.080999999998</v>
      </c>
      <c r="O2047" s="6">
        <v>36226.080999999998</v>
      </c>
      <c r="P2047" s="6">
        <v>90608</v>
      </c>
      <c r="Q2047" s="4" t="s">
        <v>26</v>
      </c>
      <c r="R2047" s="4">
        <v>0</v>
      </c>
      <c r="S2047" s="4" t="s">
        <v>557</v>
      </c>
      <c r="T2047" s="4" t="s">
        <v>814</v>
      </c>
      <c r="U2047" s="4">
        <v>0</v>
      </c>
      <c r="V2047" s="4">
        <v>57</v>
      </c>
      <c r="W2047" s="4">
        <v>100</v>
      </c>
    </row>
    <row r="2048" spans="1:23" ht="11.25" customHeight="1" x14ac:dyDescent="0.25">
      <c r="A2048" s="4" t="s">
        <v>27</v>
      </c>
      <c r="B2048" s="4" t="s">
        <v>37</v>
      </c>
      <c r="C2048" s="4" t="s">
        <v>23</v>
      </c>
      <c r="D2048" s="4" t="s">
        <v>43</v>
      </c>
      <c r="E2048" s="4" t="s">
        <v>25</v>
      </c>
      <c r="F2048" s="4" t="s">
        <v>25</v>
      </c>
      <c r="G2048" s="4" t="s">
        <v>25</v>
      </c>
      <c r="H2048" s="4" t="s">
        <v>25</v>
      </c>
      <c r="I2048" s="5">
        <v>44562</v>
      </c>
      <c r="J2048" s="6">
        <v>0</v>
      </c>
      <c r="K2048" s="6">
        <v>0</v>
      </c>
      <c r="L2048" s="6">
        <v>-91.701999999999998</v>
      </c>
      <c r="M2048" s="6">
        <v>-91.701999999999998</v>
      </c>
      <c r="N2048" s="6">
        <v>-91.701999999999998</v>
      </c>
      <c r="O2048" s="6">
        <v>-91.701999999999998</v>
      </c>
      <c r="P2048" s="6">
        <v>-12</v>
      </c>
      <c r="Q2048" s="4" t="s">
        <v>26</v>
      </c>
      <c r="R2048" s="4">
        <v>0</v>
      </c>
      <c r="S2048" s="4" t="s">
        <v>557</v>
      </c>
      <c r="T2048" s="4" t="s">
        <v>814</v>
      </c>
      <c r="U2048" s="4">
        <v>0</v>
      </c>
      <c r="V2048" s="4">
        <v>57</v>
      </c>
      <c r="W2048" s="4">
        <v>100</v>
      </c>
    </row>
    <row r="2049" spans="1:23" ht="11.25" customHeight="1" x14ac:dyDescent="0.25">
      <c r="A2049" s="4" t="s">
        <v>28</v>
      </c>
      <c r="B2049" s="4" t="s">
        <v>37</v>
      </c>
      <c r="C2049" s="4" t="s">
        <v>23</v>
      </c>
      <c r="D2049" s="4" t="s">
        <v>43</v>
      </c>
      <c r="E2049" s="4" t="s">
        <v>25</v>
      </c>
      <c r="F2049" s="4" t="s">
        <v>25</v>
      </c>
      <c r="G2049" s="4" t="s">
        <v>25</v>
      </c>
      <c r="H2049" s="4" t="s">
        <v>25</v>
      </c>
      <c r="I2049" s="5">
        <v>44562</v>
      </c>
      <c r="J2049" s="6">
        <v>0</v>
      </c>
      <c r="K2049" s="6">
        <v>0</v>
      </c>
      <c r="L2049" s="6">
        <v>3428.2570000000001</v>
      </c>
      <c r="M2049" s="6">
        <v>3428.2570000000001</v>
      </c>
      <c r="N2049" s="6">
        <v>3428.2570000000001</v>
      </c>
      <c r="O2049" s="6">
        <v>3428.2570000000001</v>
      </c>
      <c r="P2049" s="6">
        <v>5633</v>
      </c>
      <c r="Q2049" s="4" t="s">
        <v>26</v>
      </c>
      <c r="R2049" s="4">
        <v>0</v>
      </c>
      <c r="S2049" s="4" t="s">
        <v>557</v>
      </c>
      <c r="T2049" s="4" t="s">
        <v>814</v>
      </c>
      <c r="U2049" s="4">
        <v>0</v>
      </c>
      <c r="V2049" s="4">
        <v>57</v>
      </c>
      <c r="W2049" s="4">
        <v>100</v>
      </c>
    </row>
    <row r="2050" spans="1:23" ht="11.25" customHeight="1" x14ac:dyDescent="0.25">
      <c r="A2050" s="4" t="s">
        <v>28</v>
      </c>
      <c r="B2050" s="4" t="s">
        <v>37</v>
      </c>
      <c r="C2050" s="4" t="s">
        <v>23</v>
      </c>
      <c r="D2050" s="4" t="s">
        <v>43</v>
      </c>
      <c r="E2050" s="4" t="s">
        <v>25</v>
      </c>
      <c r="F2050" s="4" t="s">
        <v>25</v>
      </c>
      <c r="G2050" s="4" t="s">
        <v>25</v>
      </c>
      <c r="H2050" s="4" t="s">
        <v>25</v>
      </c>
      <c r="I2050" s="5">
        <v>44562</v>
      </c>
      <c r="J2050" s="6">
        <v>0</v>
      </c>
      <c r="K2050" s="6">
        <v>0</v>
      </c>
      <c r="L2050" s="6">
        <v>-7.8280000000000003</v>
      </c>
      <c r="M2050" s="6">
        <v>-7.8280000000000003</v>
      </c>
      <c r="N2050" s="6">
        <v>-7.8280000000000003</v>
      </c>
      <c r="O2050" s="6">
        <v>-7.8280000000000003</v>
      </c>
      <c r="P2050" s="6">
        <v>4</v>
      </c>
      <c r="Q2050" s="4" t="s">
        <v>26</v>
      </c>
      <c r="R2050" s="4">
        <v>0</v>
      </c>
      <c r="S2050" s="4" t="s">
        <v>557</v>
      </c>
      <c r="T2050" s="4" t="s">
        <v>814</v>
      </c>
      <c r="U2050" s="4">
        <v>0</v>
      </c>
      <c r="V2050" s="4">
        <v>57</v>
      </c>
      <c r="W2050" s="4">
        <v>100</v>
      </c>
    </row>
    <row r="2051" spans="1:23" ht="11.25" customHeight="1" x14ac:dyDescent="0.25">
      <c r="A2051" s="4" t="s">
        <v>21</v>
      </c>
      <c r="B2051" s="4" t="s">
        <v>37</v>
      </c>
      <c r="C2051" s="4" t="s">
        <v>23</v>
      </c>
      <c r="D2051" s="4" t="s">
        <v>43</v>
      </c>
      <c r="E2051" s="4" t="s">
        <v>25</v>
      </c>
      <c r="F2051" s="4" t="s">
        <v>25</v>
      </c>
      <c r="G2051" s="4" t="s">
        <v>25</v>
      </c>
      <c r="H2051" s="4" t="s">
        <v>25</v>
      </c>
      <c r="I2051" s="5">
        <v>44593</v>
      </c>
      <c r="J2051" s="6">
        <v>0</v>
      </c>
      <c r="K2051" s="6">
        <v>0</v>
      </c>
      <c r="L2051" s="6">
        <v>33556.271999999997</v>
      </c>
      <c r="M2051" s="6">
        <v>33556.271999999997</v>
      </c>
      <c r="N2051" s="6">
        <v>33556.271999999997</v>
      </c>
      <c r="O2051" s="6">
        <v>33556.271999999997</v>
      </c>
      <c r="P2051" s="6">
        <v>90388</v>
      </c>
      <c r="Q2051" s="4" t="s">
        <v>26</v>
      </c>
      <c r="R2051" s="4">
        <v>0</v>
      </c>
      <c r="S2051" s="4" t="s">
        <v>558</v>
      </c>
      <c r="T2051" s="4" t="s">
        <v>815</v>
      </c>
      <c r="U2051" s="4">
        <v>0</v>
      </c>
      <c r="V2051" s="4">
        <v>57</v>
      </c>
      <c r="W2051" s="4">
        <v>100</v>
      </c>
    </row>
    <row r="2052" spans="1:23" ht="11.25" customHeight="1" x14ac:dyDescent="0.25">
      <c r="A2052" s="4" t="s">
        <v>27</v>
      </c>
      <c r="B2052" s="4" t="s">
        <v>37</v>
      </c>
      <c r="C2052" s="4" t="s">
        <v>23</v>
      </c>
      <c r="D2052" s="4" t="s">
        <v>43</v>
      </c>
      <c r="E2052" s="4" t="s">
        <v>25</v>
      </c>
      <c r="F2052" s="4" t="s">
        <v>25</v>
      </c>
      <c r="G2052" s="4" t="s">
        <v>25</v>
      </c>
      <c r="H2052" s="4" t="s">
        <v>25</v>
      </c>
      <c r="I2052" s="5">
        <v>44593</v>
      </c>
      <c r="J2052" s="6">
        <v>0</v>
      </c>
      <c r="K2052" s="6">
        <v>0</v>
      </c>
      <c r="L2052" s="6">
        <v>-61.463000000000001</v>
      </c>
      <c r="M2052" s="6">
        <v>-61.463000000000001</v>
      </c>
      <c r="N2052" s="6">
        <v>-61.463000000000001</v>
      </c>
      <c r="O2052" s="6">
        <v>-61.463000000000001</v>
      </c>
      <c r="P2052" s="6">
        <v>-19</v>
      </c>
      <c r="Q2052" s="4" t="s">
        <v>26</v>
      </c>
      <c r="R2052" s="4">
        <v>0</v>
      </c>
      <c r="S2052" s="4" t="s">
        <v>558</v>
      </c>
      <c r="T2052" s="4" t="s">
        <v>815</v>
      </c>
      <c r="U2052" s="4">
        <v>0</v>
      </c>
      <c r="V2052" s="4">
        <v>57</v>
      </c>
      <c r="W2052" s="4">
        <v>100</v>
      </c>
    </row>
    <row r="2053" spans="1:23" ht="11.25" customHeight="1" x14ac:dyDescent="0.25">
      <c r="A2053" s="4" t="s">
        <v>28</v>
      </c>
      <c r="B2053" s="4" t="s">
        <v>37</v>
      </c>
      <c r="C2053" s="4" t="s">
        <v>23</v>
      </c>
      <c r="D2053" s="4" t="s">
        <v>43</v>
      </c>
      <c r="E2053" s="4" t="s">
        <v>25</v>
      </c>
      <c r="F2053" s="4" t="s">
        <v>25</v>
      </c>
      <c r="G2053" s="4" t="s">
        <v>25</v>
      </c>
      <c r="H2053" s="4" t="s">
        <v>25</v>
      </c>
      <c r="I2053" s="5">
        <v>44593</v>
      </c>
      <c r="J2053" s="6">
        <v>0</v>
      </c>
      <c r="K2053" s="6">
        <v>0</v>
      </c>
      <c r="L2053" s="6">
        <v>2999.241</v>
      </c>
      <c r="M2053" s="6">
        <v>2999.241</v>
      </c>
      <c r="N2053" s="6">
        <v>2999.241</v>
      </c>
      <c r="O2053" s="6">
        <v>2999.241</v>
      </c>
      <c r="P2053" s="6">
        <v>5832</v>
      </c>
      <c r="Q2053" s="4" t="s">
        <v>26</v>
      </c>
      <c r="R2053" s="4">
        <v>0</v>
      </c>
      <c r="S2053" s="4" t="s">
        <v>558</v>
      </c>
      <c r="T2053" s="4" t="s">
        <v>815</v>
      </c>
      <c r="U2053" s="4">
        <v>0</v>
      </c>
      <c r="V2053" s="4">
        <v>57</v>
      </c>
      <c r="W2053" s="4">
        <v>100</v>
      </c>
    </row>
    <row r="2054" spans="1:23" ht="11.25" customHeight="1" x14ac:dyDescent="0.25">
      <c r="A2054" s="4" t="s">
        <v>28</v>
      </c>
      <c r="B2054" s="4" t="s">
        <v>37</v>
      </c>
      <c r="C2054" s="4" t="s">
        <v>23</v>
      </c>
      <c r="D2054" s="4" t="s">
        <v>43</v>
      </c>
      <c r="E2054" s="4" t="s">
        <v>25</v>
      </c>
      <c r="F2054" s="4" t="s">
        <v>25</v>
      </c>
      <c r="G2054" s="4" t="s">
        <v>25</v>
      </c>
      <c r="H2054" s="4" t="s">
        <v>25</v>
      </c>
      <c r="I2054" s="5">
        <v>44593</v>
      </c>
      <c r="J2054" s="6">
        <v>0</v>
      </c>
      <c r="K2054" s="6">
        <v>0</v>
      </c>
      <c r="L2054" s="6">
        <v>-50.493000000000002</v>
      </c>
      <c r="M2054" s="6">
        <v>-50.493000000000002</v>
      </c>
      <c r="N2054" s="6">
        <v>-50.493000000000002</v>
      </c>
      <c r="O2054" s="6">
        <v>-50.493000000000002</v>
      </c>
      <c r="P2054" s="6">
        <v>0</v>
      </c>
      <c r="Q2054" s="4" t="s">
        <v>26</v>
      </c>
      <c r="R2054" s="4">
        <v>0</v>
      </c>
      <c r="S2054" s="4" t="s">
        <v>558</v>
      </c>
      <c r="T2054" s="4" t="s">
        <v>815</v>
      </c>
      <c r="U2054" s="4">
        <v>0</v>
      </c>
      <c r="V2054" s="4">
        <v>57</v>
      </c>
      <c r="W2054" s="4">
        <v>100</v>
      </c>
    </row>
    <row r="2055" spans="1:23" ht="11.25" customHeight="1" x14ac:dyDescent="0.25">
      <c r="A2055" s="4" t="s">
        <v>21</v>
      </c>
      <c r="B2055" s="4" t="s">
        <v>37</v>
      </c>
      <c r="C2055" s="4" t="s">
        <v>23</v>
      </c>
      <c r="D2055" s="4" t="s">
        <v>43</v>
      </c>
      <c r="E2055" s="4" t="s">
        <v>25</v>
      </c>
      <c r="F2055" s="4" t="s">
        <v>25</v>
      </c>
      <c r="G2055" s="4" t="s">
        <v>25</v>
      </c>
      <c r="H2055" s="4" t="s">
        <v>25</v>
      </c>
      <c r="I2055" s="5">
        <v>44621</v>
      </c>
      <c r="J2055" s="6">
        <v>0</v>
      </c>
      <c r="K2055" s="6">
        <v>0</v>
      </c>
      <c r="L2055" s="6">
        <v>37328.614999999998</v>
      </c>
      <c r="M2055" s="6">
        <v>37328.614999999998</v>
      </c>
      <c r="N2055" s="6">
        <v>37328.614999999998</v>
      </c>
      <c r="O2055" s="6">
        <v>37328.614999999998</v>
      </c>
      <c r="P2055" s="6">
        <v>90242</v>
      </c>
      <c r="Q2055" s="4" t="s">
        <v>26</v>
      </c>
      <c r="R2055" s="4">
        <v>0</v>
      </c>
      <c r="S2055" s="4" t="s">
        <v>559</v>
      </c>
      <c r="T2055" s="4" t="s">
        <v>816</v>
      </c>
      <c r="U2055" s="4">
        <v>0</v>
      </c>
      <c r="V2055" s="4">
        <v>57</v>
      </c>
      <c r="W2055" s="4">
        <v>100</v>
      </c>
    </row>
    <row r="2056" spans="1:23" ht="11.25" customHeight="1" x14ac:dyDescent="0.25">
      <c r="A2056" s="4" t="s">
        <v>27</v>
      </c>
      <c r="B2056" s="4" t="s">
        <v>37</v>
      </c>
      <c r="C2056" s="4" t="s">
        <v>23</v>
      </c>
      <c r="D2056" s="4" t="s">
        <v>43</v>
      </c>
      <c r="E2056" s="4" t="s">
        <v>25</v>
      </c>
      <c r="F2056" s="4" t="s">
        <v>25</v>
      </c>
      <c r="G2056" s="4" t="s">
        <v>25</v>
      </c>
      <c r="H2056" s="4" t="s">
        <v>25</v>
      </c>
      <c r="I2056" s="5">
        <v>44621</v>
      </c>
      <c r="J2056" s="6">
        <v>0</v>
      </c>
      <c r="K2056" s="6">
        <v>0</v>
      </c>
      <c r="L2056" s="6">
        <v>-89.510999999999996</v>
      </c>
      <c r="M2056" s="6">
        <v>-89.510999999999996</v>
      </c>
      <c r="N2056" s="6">
        <v>-89.510999999999996</v>
      </c>
      <c r="O2056" s="6">
        <v>-89.510999999999996</v>
      </c>
      <c r="P2056" s="6">
        <v>-26</v>
      </c>
      <c r="Q2056" s="4" t="s">
        <v>26</v>
      </c>
      <c r="R2056" s="4">
        <v>0</v>
      </c>
      <c r="S2056" s="4" t="s">
        <v>559</v>
      </c>
      <c r="T2056" s="4" t="s">
        <v>816</v>
      </c>
      <c r="U2056" s="4">
        <v>0</v>
      </c>
      <c r="V2056" s="4">
        <v>57</v>
      </c>
      <c r="W2056" s="4">
        <v>100</v>
      </c>
    </row>
    <row r="2057" spans="1:23" ht="11.25" customHeight="1" x14ac:dyDescent="0.25">
      <c r="A2057" s="4" t="s">
        <v>28</v>
      </c>
      <c r="B2057" s="4" t="s">
        <v>37</v>
      </c>
      <c r="C2057" s="4" t="s">
        <v>23</v>
      </c>
      <c r="D2057" s="4" t="s">
        <v>43</v>
      </c>
      <c r="E2057" s="4" t="s">
        <v>25</v>
      </c>
      <c r="F2057" s="4" t="s">
        <v>25</v>
      </c>
      <c r="G2057" s="4" t="s">
        <v>25</v>
      </c>
      <c r="H2057" s="4" t="s">
        <v>25</v>
      </c>
      <c r="I2057" s="5">
        <v>44621</v>
      </c>
      <c r="J2057" s="6">
        <v>0</v>
      </c>
      <c r="K2057" s="6">
        <v>0</v>
      </c>
      <c r="L2057" s="6">
        <v>3973.3649999999998</v>
      </c>
      <c r="M2057" s="6">
        <v>3973.3649999999998</v>
      </c>
      <c r="N2057" s="6">
        <v>3973.3649999999998</v>
      </c>
      <c r="O2057" s="6">
        <v>3973.3649999999998</v>
      </c>
      <c r="P2057" s="6">
        <v>6348</v>
      </c>
      <c r="Q2057" s="4" t="s">
        <v>26</v>
      </c>
      <c r="R2057" s="4">
        <v>0</v>
      </c>
      <c r="S2057" s="4" t="s">
        <v>559</v>
      </c>
      <c r="T2057" s="4" t="s">
        <v>816</v>
      </c>
      <c r="U2057" s="4">
        <v>0</v>
      </c>
      <c r="V2057" s="4">
        <v>57</v>
      </c>
      <c r="W2057" s="4">
        <v>100</v>
      </c>
    </row>
    <row r="2058" spans="1:23" ht="11.25" customHeight="1" x14ac:dyDescent="0.25">
      <c r="A2058" s="4" t="s">
        <v>28</v>
      </c>
      <c r="B2058" s="4" t="s">
        <v>37</v>
      </c>
      <c r="C2058" s="4" t="s">
        <v>23</v>
      </c>
      <c r="D2058" s="4" t="s">
        <v>43</v>
      </c>
      <c r="E2058" s="4" t="s">
        <v>25</v>
      </c>
      <c r="F2058" s="4" t="s">
        <v>25</v>
      </c>
      <c r="G2058" s="4" t="s">
        <v>25</v>
      </c>
      <c r="H2058" s="4" t="s">
        <v>25</v>
      </c>
      <c r="I2058" s="5">
        <v>44621</v>
      </c>
      <c r="J2058" s="6">
        <v>0</v>
      </c>
      <c r="K2058" s="6">
        <v>0</v>
      </c>
      <c r="L2058" s="6">
        <v>2.6909999999999998</v>
      </c>
      <c r="M2058" s="6">
        <v>2.6909999999999998</v>
      </c>
      <c r="N2058" s="6">
        <v>2.6909999999999998</v>
      </c>
      <c r="O2058" s="6">
        <v>2.6909999999999998</v>
      </c>
      <c r="P2058" s="6">
        <v>0</v>
      </c>
      <c r="Q2058" s="4" t="s">
        <v>26</v>
      </c>
      <c r="R2058" s="4">
        <v>0</v>
      </c>
      <c r="S2058" s="4" t="s">
        <v>559</v>
      </c>
      <c r="T2058" s="4" t="s">
        <v>816</v>
      </c>
      <c r="U2058" s="4">
        <v>0</v>
      </c>
      <c r="V2058" s="4">
        <v>57</v>
      </c>
      <c r="W2058" s="4">
        <v>100</v>
      </c>
    </row>
    <row r="2059" spans="1:23" ht="11.25" customHeight="1" x14ac:dyDescent="0.25">
      <c r="A2059" s="4" t="s">
        <v>21</v>
      </c>
      <c r="B2059" s="4" t="s">
        <v>37</v>
      </c>
      <c r="C2059" s="4" t="s">
        <v>23</v>
      </c>
      <c r="D2059" s="4" t="s">
        <v>43</v>
      </c>
      <c r="E2059" s="4" t="s">
        <v>25</v>
      </c>
      <c r="F2059" s="4" t="s">
        <v>25</v>
      </c>
      <c r="G2059" s="4" t="s">
        <v>25</v>
      </c>
      <c r="H2059" s="4" t="s">
        <v>25</v>
      </c>
      <c r="I2059" s="5">
        <v>44652</v>
      </c>
      <c r="J2059" s="6">
        <v>0</v>
      </c>
      <c r="K2059" s="6">
        <v>0</v>
      </c>
      <c r="L2059" s="6">
        <v>35570.968000000001</v>
      </c>
      <c r="M2059" s="6">
        <v>35570.968000000001</v>
      </c>
      <c r="N2059" s="6">
        <v>35570.968000000001</v>
      </c>
      <c r="O2059" s="6">
        <v>35570.968000000001</v>
      </c>
      <c r="P2059" s="6">
        <v>90147</v>
      </c>
      <c r="Q2059" s="4" t="s">
        <v>26</v>
      </c>
      <c r="R2059" s="4">
        <v>0</v>
      </c>
      <c r="S2059" s="4" t="s">
        <v>560</v>
      </c>
      <c r="T2059" s="4" t="s">
        <v>817</v>
      </c>
      <c r="U2059" s="4">
        <v>0</v>
      </c>
      <c r="V2059" s="4">
        <v>57</v>
      </c>
      <c r="W2059" s="4">
        <v>100</v>
      </c>
    </row>
    <row r="2060" spans="1:23" ht="11.25" customHeight="1" x14ac:dyDescent="0.25">
      <c r="A2060" s="4" t="s">
        <v>27</v>
      </c>
      <c r="B2060" s="4" t="s">
        <v>37</v>
      </c>
      <c r="C2060" s="4" t="s">
        <v>23</v>
      </c>
      <c r="D2060" s="4" t="s">
        <v>43</v>
      </c>
      <c r="E2060" s="4" t="s">
        <v>25</v>
      </c>
      <c r="F2060" s="4" t="s">
        <v>25</v>
      </c>
      <c r="G2060" s="4" t="s">
        <v>25</v>
      </c>
      <c r="H2060" s="4" t="s">
        <v>25</v>
      </c>
      <c r="I2060" s="5">
        <v>44652</v>
      </c>
      <c r="J2060" s="6">
        <v>0</v>
      </c>
      <c r="K2060" s="6">
        <v>0</v>
      </c>
      <c r="L2060" s="6">
        <v>-108.45099999999999</v>
      </c>
      <c r="M2060" s="6">
        <v>-108.45099999999999</v>
      </c>
      <c r="N2060" s="6">
        <v>-108.45099999999999</v>
      </c>
      <c r="O2060" s="6">
        <v>-108.45099999999999</v>
      </c>
      <c r="P2060" s="6">
        <v>-18</v>
      </c>
      <c r="Q2060" s="4" t="s">
        <v>26</v>
      </c>
      <c r="R2060" s="4">
        <v>0</v>
      </c>
      <c r="S2060" s="4" t="s">
        <v>560</v>
      </c>
      <c r="T2060" s="4" t="s">
        <v>817</v>
      </c>
      <c r="U2060" s="4">
        <v>0</v>
      </c>
      <c r="V2060" s="4">
        <v>57</v>
      </c>
      <c r="W2060" s="4">
        <v>100</v>
      </c>
    </row>
    <row r="2061" spans="1:23" ht="11.25" customHeight="1" x14ac:dyDescent="0.25">
      <c r="A2061" s="4" t="s">
        <v>28</v>
      </c>
      <c r="B2061" s="4" t="s">
        <v>37</v>
      </c>
      <c r="C2061" s="4" t="s">
        <v>23</v>
      </c>
      <c r="D2061" s="4" t="s">
        <v>43</v>
      </c>
      <c r="E2061" s="4" t="s">
        <v>25</v>
      </c>
      <c r="F2061" s="4" t="s">
        <v>25</v>
      </c>
      <c r="G2061" s="4" t="s">
        <v>25</v>
      </c>
      <c r="H2061" s="4" t="s">
        <v>25</v>
      </c>
      <c r="I2061" s="5">
        <v>44652</v>
      </c>
      <c r="J2061" s="6">
        <v>0</v>
      </c>
      <c r="K2061" s="6">
        <v>0</v>
      </c>
      <c r="L2061" s="6">
        <v>3749.4340000000002</v>
      </c>
      <c r="M2061" s="6">
        <v>3749.4340000000002</v>
      </c>
      <c r="N2061" s="6">
        <v>3749.4340000000002</v>
      </c>
      <c r="O2061" s="6">
        <v>3749.4340000000002</v>
      </c>
      <c r="P2061" s="6">
        <v>6520</v>
      </c>
      <c r="Q2061" s="4" t="s">
        <v>26</v>
      </c>
      <c r="R2061" s="4">
        <v>0</v>
      </c>
      <c r="S2061" s="4" t="s">
        <v>560</v>
      </c>
      <c r="T2061" s="4" t="s">
        <v>817</v>
      </c>
      <c r="U2061" s="4">
        <v>0</v>
      </c>
      <c r="V2061" s="4">
        <v>57</v>
      </c>
      <c r="W2061" s="4">
        <v>100</v>
      </c>
    </row>
    <row r="2062" spans="1:23" ht="11.25" customHeight="1" x14ac:dyDescent="0.25">
      <c r="A2062" s="4" t="s">
        <v>28</v>
      </c>
      <c r="B2062" s="4" t="s">
        <v>37</v>
      </c>
      <c r="C2062" s="4" t="s">
        <v>23</v>
      </c>
      <c r="D2062" s="4" t="s">
        <v>43</v>
      </c>
      <c r="E2062" s="4" t="s">
        <v>25</v>
      </c>
      <c r="F2062" s="4" t="s">
        <v>25</v>
      </c>
      <c r="G2062" s="4" t="s">
        <v>25</v>
      </c>
      <c r="H2062" s="4" t="s">
        <v>25</v>
      </c>
      <c r="I2062" s="5">
        <v>44652</v>
      </c>
      <c r="J2062" s="6">
        <v>0</v>
      </c>
      <c r="K2062" s="6">
        <v>0</v>
      </c>
      <c r="L2062" s="6">
        <v>7.6920000000000002</v>
      </c>
      <c r="M2062" s="6">
        <v>7.6920000000000002</v>
      </c>
      <c r="N2062" s="6">
        <v>7.6920000000000002</v>
      </c>
      <c r="O2062" s="6">
        <v>7.6920000000000002</v>
      </c>
      <c r="P2062" s="6">
        <v>0</v>
      </c>
      <c r="Q2062" s="4" t="s">
        <v>26</v>
      </c>
      <c r="R2062" s="4">
        <v>0</v>
      </c>
      <c r="S2062" s="4" t="s">
        <v>560</v>
      </c>
      <c r="T2062" s="4" t="s">
        <v>817</v>
      </c>
      <c r="U2062" s="4">
        <v>0</v>
      </c>
      <c r="V2062" s="4">
        <v>57</v>
      </c>
      <c r="W2062" s="4">
        <v>100</v>
      </c>
    </row>
    <row r="2063" spans="1:23" ht="11.25" customHeight="1" x14ac:dyDescent="0.25">
      <c r="A2063" s="4" t="s">
        <v>21</v>
      </c>
      <c r="B2063" s="4" t="s">
        <v>37</v>
      </c>
      <c r="C2063" s="4" t="s">
        <v>23</v>
      </c>
      <c r="D2063" s="4" t="s">
        <v>43</v>
      </c>
      <c r="E2063" s="4" t="s">
        <v>25</v>
      </c>
      <c r="F2063" s="4" t="s">
        <v>25</v>
      </c>
      <c r="G2063" s="4" t="s">
        <v>25</v>
      </c>
      <c r="H2063" s="4" t="s">
        <v>25</v>
      </c>
      <c r="I2063" s="5">
        <v>44682</v>
      </c>
      <c r="J2063" s="6">
        <v>0</v>
      </c>
      <c r="K2063" s="6">
        <v>0</v>
      </c>
      <c r="L2063" s="6">
        <v>35405.118000000002</v>
      </c>
      <c r="M2063" s="6">
        <v>35405.118000000002</v>
      </c>
      <c r="N2063" s="6">
        <v>35405.118000000002</v>
      </c>
      <c r="O2063" s="6">
        <v>35405.118000000002</v>
      </c>
      <c r="P2063" s="6">
        <v>89928</v>
      </c>
      <c r="Q2063" s="4" t="s">
        <v>26</v>
      </c>
      <c r="R2063" s="4">
        <v>0</v>
      </c>
      <c r="S2063" s="4" t="s">
        <v>561</v>
      </c>
      <c r="T2063" s="4" t="s">
        <v>818</v>
      </c>
      <c r="U2063" s="4">
        <v>0</v>
      </c>
      <c r="V2063" s="4">
        <v>57</v>
      </c>
      <c r="W2063" s="4">
        <v>100</v>
      </c>
    </row>
    <row r="2064" spans="1:23" ht="11.25" customHeight="1" x14ac:dyDescent="0.25">
      <c r="A2064" s="4" t="s">
        <v>27</v>
      </c>
      <c r="B2064" s="4" t="s">
        <v>37</v>
      </c>
      <c r="C2064" s="4" t="s">
        <v>23</v>
      </c>
      <c r="D2064" s="4" t="s">
        <v>43</v>
      </c>
      <c r="E2064" s="4" t="s">
        <v>25</v>
      </c>
      <c r="F2064" s="4" t="s">
        <v>25</v>
      </c>
      <c r="G2064" s="4" t="s">
        <v>25</v>
      </c>
      <c r="H2064" s="4" t="s">
        <v>25</v>
      </c>
      <c r="I2064" s="5">
        <v>44682</v>
      </c>
      <c r="J2064" s="6">
        <v>0</v>
      </c>
      <c r="K2064" s="6">
        <v>0</v>
      </c>
      <c r="L2064" s="6">
        <v>-86.664000000000001</v>
      </c>
      <c r="M2064" s="6">
        <v>-86.664000000000001</v>
      </c>
      <c r="N2064" s="6">
        <v>-86.664000000000001</v>
      </c>
      <c r="O2064" s="6">
        <v>-86.664000000000001</v>
      </c>
      <c r="P2064" s="6">
        <v>-11</v>
      </c>
      <c r="Q2064" s="4" t="s">
        <v>26</v>
      </c>
      <c r="R2064" s="4">
        <v>0</v>
      </c>
      <c r="S2064" s="4" t="s">
        <v>561</v>
      </c>
      <c r="T2064" s="4" t="s">
        <v>818</v>
      </c>
      <c r="U2064" s="4">
        <v>0</v>
      </c>
      <c r="V2064" s="4">
        <v>57</v>
      </c>
      <c r="W2064" s="4">
        <v>100</v>
      </c>
    </row>
    <row r="2065" spans="1:23" ht="11.25" customHeight="1" x14ac:dyDescent="0.25">
      <c r="A2065" s="4" t="s">
        <v>28</v>
      </c>
      <c r="B2065" s="4" t="s">
        <v>37</v>
      </c>
      <c r="C2065" s="4" t="s">
        <v>23</v>
      </c>
      <c r="D2065" s="4" t="s">
        <v>43</v>
      </c>
      <c r="E2065" s="4" t="s">
        <v>25</v>
      </c>
      <c r="F2065" s="4" t="s">
        <v>25</v>
      </c>
      <c r="G2065" s="4" t="s">
        <v>25</v>
      </c>
      <c r="H2065" s="4" t="s">
        <v>25</v>
      </c>
      <c r="I2065" s="5">
        <v>44682</v>
      </c>
      <c r="J2065" s="6">
        <v>0</v>
      </c>
      <c r="K2065" s="6">
        <v>0</v>
      </c>
      <c r="L2065" s="6">
        <v>3982.623</v>
      </c>
      <c r="M2065" s="6">
        <v>3982.623</v>
      </c>
      <c r="N2065" s="6">
        <v>3982.623</v>
      </c>
      <c r="O2065" s="6">
        <v>3982.623</v>
      </c>
      <c r="P2065" s="6">
        <v>6801</v>
      </c>
      <c r="Q2065" s="4" t="s">
        <v>26</v>
      </c>
      <c r="R2065" s="4">
        <v>0</v>
      </c>
      <c r="S2065" s="4" t="s">
        <v>561</v>
      </c>
      <c r="T2065" s="4" t="s">
        <v>818</v>
      </c>
      <c r="U2065" s="4">
        <v>0</v>
      </c>
      <c r="V2065" s="4">
        <v>57</v>
      </c>
      <c r="W2065" s="4">
        <v>100</v>
      </c>
    </row>
    <row r="2066" spans="1:23" ht="11.25" customHeight="1" x14ac:dyDescent="0.25">
      <c r="A2066" s="4" t="s">
        <v>28</v>
      </c>
      <c r="B2066" s="4" t="s">
        <v>37</v>
      </c>
      <c r="C2066" s="4" t="s">
        <v>23</v>
      </c>
      <c r="D2066" s="4" t="s">
        <v>43</v>
      </c>
      <c r="E2066" s="4" t="s">
        <v>25</v>
      </c>
      <c r="F2066" s="4" t="s">
        <v>25</v>
      </c>
      <c r="G2066" s="4" t="s">
        <v>25</v>
      </c>
      <c r="H2066" s="4" t="s">
        <v>25</v>
      </c>
      <c r="I2066" s="5">
        <v>44682</v>
      </c>
      <c r="J2066" s="6">
        <v>0</v>
      </c>
      <c r="K2066" s="6">
        <v>0</v>
      </c>
      <c r="L2066" s="6">
        <v>-28.524999999999999</v>
      </c>
      <c r="M2066" s="6">
        <v>-28.524999999999999</v>
      </c>
      <c r="N2066" s="6">
        <v>-28.524999999999999</v>
      </c>
      <c r="O2066" s="6">
        <v>-28.524999999999999</v>
      </c>
      <c r="P2066" s="6">
        <v>0</v>
      </c>
      <c r="Q2066" s="4" t="s">
        <v>26</v>
      </c>
      <c r="R2066" s="4">
        <v>0</v>
      </c>
      <c r="S2066" s="4" t="s">
        <v>561</v>
      </c>
      <c r="T2066" s="4" t="s">
        <v>818</v>
      </c>
      <c r="U2066" s="4">
        <v>0</v>
      </c>
      <c r="V2066" s="4">
        <v>57</v>
      </c>
      <c r="W2066" s="4">
        <v>100</v>
      </c>
    </row>
    <row r="2067" spans="1:23" ht="11.25" customHeight="1" x14ac:dyDescent="0.25">
      <c r="A2067" s="4" t="s">
        <v>21</v>
      </c>
      <c r="B2067" s="4" t="s">
        <v>37</v>
      </c>
      <c r="C2067" s="4" t="s">
        <v>23</v>
      </c>
      <c r="D2067" s="4" t="s">
        <v>43</v>
      </c>
      <c r="E2067" s="4" t="s">
        <v>25</v>
      </c>
      <c r="F2067" s="4" t="s">
        <v>25</v>
      </c>
      <c r="G2067" s="4" t="s">
        <v>25</v>
      </c>
      <c r="H2067" s="4" t="s">
        <v>25</v>
      </c>
      <c r="I2067" s="5">
        <v>44713</v>
      </c>
      <c r="J2067" s="6">
        <v>0</v>
      </c>
      <c r="K2067" s="6">
        <v>0</v>
      </c>
      <c r="L2067" s="6">
        <v>32180.397000000001</v>
      </c>
      <c r="M2067" s="6">
        <v>32180.397000000001</v>
      </c>
      <c r="N2067" s="6">
        <v>32180.397000000001</v>
      </c>
      <c r="O2067" s="6">
        <v>32180.397000000001</v>
      </c>
      <c r="P2067" s="6">
        <v>89819</v>
      </c>
      <c r="Q2067" s="4" t="s">
        <v>26</v>
      </c>
      <c r="R2067" s="4">
        <v>0</v>
      </c>
      <c r="S2067" s="4" t="s">
        <v>562</v>
      </c>
      <c r="T2067" s="4" t="s">
        <v>819</v>
      </c>
      <c r="U2067" s="4">
        <v>0</v>
      </c>
      <c r="V2067" s="4">
        <v>57</v>
      </c>
      <c r="W2067" s="4">
        <v>100</v>
      </c>
    </row>
    <row r="2068" spans="1:23" ht="11.25" customHeight="1" x14ac:dyDescent="0.25">
      <c r="A2068" s="4" t="s">
        <v>27</v>
      </c>
      <c r="B2068" s="4" t="s">
        <v>37</v>
      </c>
      <c r="C2068" s="4" t="s">
        <v>23</v>
      </c>
      <c r="D2068" s="4" t="s">
        <v>43</v>
      </c>
      <c r="E2068" s="4" t="s">
        <v>25</v>
      </c>
      <c r="F2068" s="4" t="s">
        <v>25</v>
      </c>
      <c r="G2068" s="4" t="s">
        <v>25</v>
      </c>
      <c r="H2068" s="4" t="s">
        <v>25</v>
      </c>
      <c r="I2068" s="5">
        <v>44713</v>
      </c>
      <c r="J2068" s="6">
        <v>0</v>
      </c>
      <c r="K2068" s="6">
        <v>0</v>
      </c>
      <c r="L2068" s="6">
        <v>-33.392000000000003</v>
      </c>
      <c r="M2068" s="6">
        <v>-33.392000000000003</v>
      </c>
      <c r="N2068" s="6">
        <v>-33.392000000000003</v>
      </c>
      <c r="O2068" s="6">
        <v>-33.392000000000003</v>
      </c>
      <c r="P2068" s="6">
        <v>-15</v>
      </c>
      <c r="Q2068" s="4" t="s">
        <v>26</v>
      </c>
      <c r="R2068" s="4">
        <v>0</v>
      </c>
      <c r="S2068" s="4" t="s">
        <v>562</v>
      </c>
      <c r="T2068" s="4" t="s">
        <v>819</v>
      </c>
      <c r="U2068" s="4">
        <v>0</v>
      </c>
      <c r="V2068" s="4">
        <v>57</v>
      </c>
      <c r="W2068" s="4">
        <v>100</v>
      </c>
    </row>
    <row r="2069" spans="1:23" ht="11.25" customHeight="1" x14ac:dyDescent="0.25">
      <c r="A2069" s="4" t="s">
        <v>28</v>
      </c>
      <c r="B2069" s="4" t="s">
        <v>37</v>
      </c>
      <c r="C2069" s="4" t="s">
        <v>23</v>
      </c>
      <c r="D2069" s="4" t="s">
        <v>43</v>
      </c>
      <c r="E2069" s="4" t="s">
        <v>25</v>
      </c>
      <c r="F2069" s="4" t="s">
        <v>25</v>
      </c>
      <c r="G2069" s="4" t="s">
        <v>25</v>
      </c>
      <c r="H2069" s="4" t="s">
        <v>25</v>
      </c>
      <c r="I2069" s="5">
        <v>44713</v>
      </c>
      <c r="J2069" s="6">
        <v>0</v>
      </c>
      <c r="K2069" s="6">
        <v>0</v>
      </c>
      <c r="L2069" s="6">
        <v>4102.4210000000003</v>
      </c>
      <c r="M2069" s="6">
        <v>4102.4210000000003</v>
      </c>
      <c r="N2069" s="6">
        <v>4102.4210000000003</v>
      </c>
      <c r="O2069" s="6">
        <v>4102.4210000000003</v>
      </c>
      <c r="P2069" s="6">
        <v>7074</v>
      </c>
      <c r="Q2069" s="4" t="s">
        <v>26</v>
      </c>
      <c r="R2069" s="4">
        <v>0</v>
      </c>
      <c r="S2069" s="4" t="s">
        <v>562</v>
      </c>
      <c r="T2069" s="4" t="s">
        <v>819</v>
      </c>
      <c r="U2069" s="4">
        <v>0</v>
      </c>
      <c r="V2069" s="4">
        <v>57</v>
      </c>
      <c r="W2069" s="4">
        <v>100</v>
      </c>
    </row>
    <row r="2070" spans="1:23" ht="11.25" customHeight="1" x14ac:dyDescent="0.25">
      <c r="A2070" s="4" t="s">
        <v>28</v>
      </c>
      <c r="B2070" s="4" t="s">
        <v>37</v>
      </c>
      <c r="C2070" s="4" t="s">
        <v>23</v>
      </c>
      <c r="D2070" s="4" t="s">
        <v>43</v>
      </c>
      <c r="E2070" s="4" t="s">
        <v>25</v>
      </c>
      <c r="F2070" s="4" t="s">
        <v>25</v>
      </c>
      <c r="G2070" s="4" t="s">
        <v>25</v>
      </c>
      <c r="H2070" s="4" t="s">
        <v>25</v>
      </c>
      <c r="I2070" s="5">
        <v>44713</v>
      </c>
      <c r="J2070" s="6">
        <v>0</v>
      </c>
      <c r="K2070" s="6">
        <v>0</v>
      </c>
      <c r="L2070" s="6">
        <v>-37.411000000000001</v>
      </c>
      <c r="M2070" s="6">
        <v>-37.411000000000001</v>
      </c>
      <c r="N2070" s="6">
        <v>-37.411000000000001</v>
      </c>
      <c r="O2070" s="6">
        <v>-37.411000000000001</v>
      </c>
      <c r="P2070" s="6">
        <v>0</v>
      </c>
      <c r="Q2070" s="4" t="s">
        <v>26</v>
      </c>
      <c r="R2070" s="4">
        <v>0</v>
      </c>
      <c r="S2070" s="4" t="s">
        <v>562</v>
      </c>
      <c r="T2070" s="4" t="s">
        <v>819</v>
      </c>
      <c r="U2070" s="4">
        <v>0</v>
      </c>
      <c r="V2070" s="4">
        <v>57</v>
      </c>
      <c r="W2070" s="4">
        <v>100</v>
      </c>
    </row>
    <row r="2071" spans="1:23" ht="11.25" customHeight="1" x14ac:dyDescent="0.25">
      <c r="A2071" s="4" t="s">
        <v>57</v>
      </c>
      <c r="B2071" s="4" t="s">
        <v>37</v>
      </c>
      <c r="C2071" s="4" t="s">
        <v>23</v>
      </c>
      <c r="D2071" s="4" t="s">
        <v>43</v>
      </c>
      <c r="E2071" s="4" t="s">
        <v>25</v>
      </c>
      <c r="F2071" s="4" t="s">
        <v>25</v>
      </c>
      <c r="G2071" s="4" t="s">
        <v>25</v>
      </c>
      <c r="H2071" s="4" t="s">
        <v>25</v>
      </c>
      <c r="I2071" s="5">
        <v>44743</v>
      </c>
      <c r="J2071" s="6">
        <v>0</v>
      </c>
      <c r="K2071" s="6">
        <v>0</v>
      </c>
      <c r="L2071" s="6">
        <v>32180.397000000001</v>
      </c>
      <c r="M2071" s="6">
        <v>32180.397000000001</v>
      </c>
      <c r="N2071" s="6">
        <v>32180.397000000001</v>
      </c>
      <c r="O2071" s="6">
        <v>32180.397000000001</v>
      </c>
      <c r="P2071" s="6">
        <v>89819</v>
      </c>
      <c r="Q2071" s="4" t="s">
        <v>26</v>
      </c>
      <c r="R2071" s="4">
        <v>0</v>
      </c>
      <c r="S2071" s="4" t="s">
        <v>563</v>
      </c>
      <c r="T2071" s="4" t="s">
        <v>820</v>
      </c>
      <c r="U2071" s="4">
        <v>0</v>
      </c>
      <c r="V2071" s="4">
        <v>57</v>
      </c>
      <c r="W2071" s="4">
        <v>100</v>
      </c>
    </row>
    <row r="2072" spans="1:23" ht="11.25" customHeight="1" x14ac:dyDescent="0.25">
      <c r="A2072" s="4" t="s">
        <v>57</v>
      </c>
      <c r="B2072" s="4" t="s">
        <v>37</v>
      </c>
      <c r="C2072" s="4" t="s">
        <v>23</v>
      </c>
      <c r="D2072" s="4" t="s">
        <v>43</v>
      </c>
      <c r="E2072" s="4" t="s">
        <v>25</v>
      </c>
      <c r="F2072" s="4" t="s">
        <v>25</v>
      </c>
      <c r="G2072" s="4" t="s">
        <v>25</v>
      </c>
      <c r="H2072" s="4" t="s">
        <v>25</v>
      </c>
      <c r="I2072" s="5">
        <v>44743</v>
      </c>
      <c r="J2072" s="6">
        <v>0</v>
      </c>
      <c r="K2072" s="6">
        <v>0</v>
      </c>
      <c r="L2072" s="6">
        <v>-33.392000000000003</v>
      </c>
      <c r="M2072" s="6">
        <v>-33.392000000000003</v>
      </c>
      <c r="N2072" s="6">
        <v>-33.392000000000003</v>
      </c>
      <c r="O2072" s="6">
        <v>-33.392000000000003</v>
      </c>
      <c r="P2072" s="6">
        <v>-15</v>
      </c>
      <c r="Q2072" s="4" t="s">
        <v>26</v>
      </c>
      <c r="R2072" s="4">
        <v>0</v>
      </c>
      <c r="S2072" s="4" t="s">
        <v>563</v>
      </c>
      <c r="T2072" s="4" t="s">
        <v>820</v>
      </c>
      <c r="U2072" s="4">
        <v>0</v>
      </c>
      <c r="V2072" s="4">
        <v>57</v>
      </c>
      <c r="W2072" s="4">
        <v>100</v>
      </c>
    </row>
    <row r="2073" spans="1:23" ht="11.25" customHeight="1" x14ac:dyDescent="0.25">
      <c r="A2073" s="4" t="s">
        <v>57</v>
      </c>
      <c r="B2073" s="4" t="s">
        <v>37</v>
      </c>
      <c r="C2073" s="4" t="s">
        <v>23</v>
      </c>
      <c r="D2073" s="4" t="s">
        <v>43</v>
      </c>
      <c r="E2073" s="4" t="s">
        <v>25</v>
      </c>
      <c r="F2073" s="4" t="s">
        <v>25</v>
      </c>
      <c r="G2073" s="4" t="s">
        <v>25</v>
      </c>
      <c r="H2073" s="4" t="s">
        <v>25</v>
      </c>
      <c r="I2073" s="5">
        <v>44743</v>
      </c>
      <c r="J2073" s="6">
        <v>0</v>
      </c>
      <c r="K2073" s="6">
        <v>0</v>
      </c>
      <c r="L2073" s="6">
        <v>4102.4210000000003</v>
      </c>
      <c r="M2073" s="6">
        <v>4102.4210000000003</v>
      </c>
      <c r="N2073" s="6">
        <v>4102.4210000000003</v>
      </c>
      <c r="O2073" s="6">
        <v>4102.4210000000003</v>
      </c>
      <c r="P2073" s="6">
        <v>7074</v>
      </c>
      <c r="Q2073" s="4" t="s">
        <v>26</v>
      </c>
      <c r="R2073" s="4">
        <v>0</v>
      </c>
      <c r="S2073" s="4" t="s">
        <v>563</v>
      </c>
      <c r="T2073" s="4" t="s">
        <v>820</v>
      </c>
      <c r="U2073" s="4">
        <v>0</v>
      </c>
      <c r="V2073" s="4">
        <v>57</v>
      </c>
      <c r="W2073" s="4">
        <v>100</v>
      </c>
    </row>
    <row r="2074" spans="1:23" ht="11.25" customHeight="1" x14ac:dyDescent="0.25">
      <c r="A2074" s="4" t="s">
        <v>57</v>
      </c>
      <c r="B2074" s="4" t="s">
        <v>37</v>
      </c>
      <c r="C2074" s="4" t="s">
        <v>23</v>
      </c>
      <c r="D2074" s="4" t="s">
        <v>43</v>
      </c>
      <c r="E2074" s="4" t="s">
        <v>25</v>
      </c>
      <c r="F2074" s="4" t="s">
        <v>25</v>
      </c>
      <c r="G2074" s="4" t="s">
        <v>25</v>
      </c>
      <c r="H2074" s="4" t="s">
        <v>25</v>
      </c>
      <c r="I2074" s="5">
        <v>44743</v>
      </c>
      <c r="J2074" s="6">
        <v>0</v>
      </c>
      <c r="K2074" s="6">
        <v>0</v>
      </c>
      <c r="L2074" s="6">
        <v>-37.411000000000001</v>
      </c>
      <c r="M2074" s="6">
        <v>-37.411000000000001</v>
      </c>
      <c r="N2074" s="6">
        <v>-37.411000000000001</v>
      </c>
      <c r="O2074" s="6">
        <v>-37.411000000000001</v>
      </c>
      <c r="P2074" s="6">
        <v>0</v>
      </c>
      <c r="Q2074" s="4" t="s">
        <v>26</v>
      </c>
      <c r="R2074" s="4">
        <v>0</v>
      </c>
      <c r="S2074" s="4" t="s">
        <v>563</v>
      </c>
      <c r="T2074" s="4" t="s">
        <v>820</v>
      </c>
      <c r="U2074" s="4">
        <v>0</v>
      </c>
      <c r="V2074" s="4">
        <v>57</v>
      </c>
      <c r="W2074" s="4">
        <v>100</v>
      </c>
    </row>
    <row r="2075" spans="1:23" ht="11.25" customHeight="1" x14ac:dyDescent="0.25">
      <c r="A2075" s="4" t="s">
        <v>21</v>
      </c>
      <c r="B2075" s="4" t="s">
        <v>37</v>
      </c>
      <c r="C2075" s="4" t="s">
        <v>23</v>
      </c>
      <c r="D2075" s="4" t="s">
        <v>52</v>
      </c>
      <c r="E2075" s="4" t="s">
        <v>25</v>
      </c>
      <c r="F2075" s="4" t="s">
        <v>25</v>
      </c>
      <c r="G2075" s="4" t="s">
        <v>25</v>
      </c>
      <c r="H2075" s="4" t="s">
        <v>25</v>
      </c>
      <c r="I2075" s="5">
        <v>44409</v>
      </c>
      <c r="J2075" s="6">
        <v>0</v>
      </c>
      <c r="K2075" s="6">
        <v>0</v>
      </c>
      <c r="L2075" s="6">
        <v>198.739</v>
      </c>
      <c r="M2075" s="6">
        <v>198.739</v>
      </c>
      <c r="N2075" s="6">
        <v>198.739</v>
      </c>
      <c r="O2075" s="6">
        <v>198.739</v>
      </c>
      <c r="P2075" s="6">
        <v>304</v>
      </c>
      <c r="Q2075" s="4" t="s">
        <v>26</v>
      </c>
      <c r="R2075" s="4">
        <v>0</v>
      </c>
      <c r="S2075" s="4" t="s">
        <v>552</v>
      </c>
      <c r="T2075" s="4" t="s">
        <v>809</v>
      </c>
      <c r="U2075" s="4">
        <v>0</v>
      </c>
      <c r="V2075" s="4">
        <v>57</v>
      </c>
      <c r="W2075" s="4">
        <v>100</v>
      </c>
    </row>
    <row r="2076" spans="1:23" ht="11.25" customHeight="1" x14ac:dyDescent="0.25">
      <c r="A2076" s="4" t="s">
        <v>21</v>
      </c>
      <c r="B2076" s="4" t="s">
        <v>37</v>
      </c>
      <c r="C2076" s="4" t="s">
        <v>23</v>
      </c>
      <c r="D2076" s="4" t="s">
        <v>52</v>
      </c>
      <c r="E2076" s="4" t="s">
        <v>25</v>
      </c>
      <c r="F2076" s="4" t="s">
        <v>25</v>
      </c>
      <c r="G2076" s="4" t="s">
        <v>25</v>
      </c>
      <c r="H2076" s="4" t="s">
        <v>25</v>
      </c>
      <c r="I2076" s="5">
        <v>44440</v>
      </c>
      <c r="J2076" s="6">
        <v>0</v>
      </c>
      <c r="K2076" s="6">
        <v>0</v>
      </c>
      <c r="L2076" s="6">
        <v>187.98400000000001</v>
      </c>
      <c r="M2076" s="6">
        <v>187.98400000000001</v>
      </c>
      <c r="N2076" s="6">
        <v>187.98400000000001</v>
      </c>
      <c r="O2076" s="6">
        <v>187.98400000000001</v>
      </c>
      <c r="P2076" s="6">
        <v>321</v>
      </c>
      <c r="Q2076" s="4" t="s">
        <v>26</v>
      </c>
      <c r="R2076" s="4">
        <v>0</v>
      </c>
      <c r="S2076" s="4" t="s">
        <v>553</v>
      </c>
      <c r="T2076" s="4" t="s">
        <v>810</v>
      </c>
      <c r="U2076" s="4">
        <v>0</v>
      </c>
      <c r="V2076" s="4">
        <v>57</v>
      </c>
      <c r="W2076" s="4">
        <v>100</v>
      </c>
    </row>
    <row r="2077" spans="1:23" ht="11.25" customHeight="1" x14ac:dyDescent="0.25">
      <c r="A2077" s="4" t="s">
        <v>27</v>
      </c>
      <c r="B2077" s="4" t="s">
        <v>37</v>
      </c>
      <c r="C2077" s="4" t="s">
        <v>23</v>
      </c>
      <c r="D2077" s="4" t="s">
        <v>52</v>
      </c>
      <c r="E2077" s="4" t="s">
        <v>25</v>
      </c>
      <c r="F2077" s="4" t="s">
        <v>25</v>
      </c>
      <c r="G2077" s="4" t="s">
        <v>25</v>
      </c>
      <c r="H2077" s="4" t="s">
        <v>25</v>
      </c>
      <c r="I2077" s="5">
        <v>44440</v>
      </c>
      <c r="J2077" s="6">
        <v>0</v>
      </c>
      <c r="K2077" s="6">
        <v>0</v>
      </c>
      <c r="L2077" s="6">
        <v>0.09</v>
      </c>
      <c r="M2077" s="6">
        <v>0.09</v>
      </c>
      <c r="N2077" s="6">
        <v>0.09</v>
      </c>
      <c r="O2077" s="6">
        <v>0.09</v>
      </c>
      <c r="P2077" s="6">
        <v>3</v>
      </c>
      <c r="Q2077" s="4" t="s">
        <v>26</v>
      </c>
      <c r="R2077" s="4">
        <v>0</v>
      </c>
      <c r="S2077" s="4" t="s">
        <v>553</v>
      </c>
      <c r="T2077" s="4" t="s">
        <v>810</v>
      </c>
      <c r="U2077" s="4">
        <v>0</v>
      </c>
      <c r="V2077" s="4">
        <v>57</v>
      </c>
      <c r="W2077" s="4">
        <v>100</v>
      </c>
    </row>
    <row r="2078" spans="1:23" ht="11.25" customHeight="1" x14ac:dyDescent="0.25">
      <c r="A2078" s="4" t="s">
        <v>21</v>
      </c>
      <c r="B2078" s="4" t="s">
        <v>37</v>
      </c>
      <c r="C2078" s="4" t="s">
        <v>23</v>
      </c>
      <c r="D2078" s="4" t="s">
        <v>52</v>
      </c>
      <c r="E2078" s="4" t="s">
        <v>25</v>
      </c>
      <c r="F2078" s="4" t="s">
        <v>25</v>
      </c>
      <c r="G2078" s="4" t="s">
        <v>25</v>
      </c>
      <c r="H2078" s="4" t="s">
        <v>25</v>
      </c>
      <c r="I2078" s="5">
        <v>44470</v>
      </c>
      <c r="J2078" s="6">
        <v>0</v>
      </c>
      <c r="K2078" s="6">
        <v>0</v>
      </c>
      <c r="L2078" s="6">
        <v>207.42599999999999</v>
      </c>
      <c r="M2078" s="6">
        <v>207.42599999999999</v>
      </c>
      <c r="N2078" s="6">
        <v>207.42599999999999</v>
      </c>
      <c r="O2078" s="6">
        <v>207.42599999999999</v>
      </c>
      <c r="P2078" s="6">
        <v>316</v>
      </c>
      <c r="Q2078" s="4" t="s">
        <v>26</v>
      </c>
      <c r="R2078" s="4">
        <v>0</v>
      </c>
      <c r="S2078" s="4" t="s">
        <v>554</v>
      </c>
      <c r="T2078" s="4" t="s">
        <v>811</v>
      </c>
      <c r="U2078" s="4">
        <v>0</v>
      </c>
      <c r="V2078" s="4">
        <v>57</v>
      </c>
      <c r="W2078" s="4">
        <v>100</v>
      </c>
    </row>
    <row r="2079" spans="1:23" ht="11.25" customHeight="1" x14ac:dyDescent="0.25">
      <c r="A2079" s="4" t="s">
        <v>21</v>
      </c>
      <c r="B2079" s="4" t="s">
        <v>37</v>
      </c>
      <c r="C2079" s="4" t="s">
        <v>23</v>
      </c>
      <c r="D2079" s="4" t="s">
        <v>52</v>
      </c>
      <c r="E2079" s="4" t="s">
        <v>25</v>
      </c>
      <c r="F2079" s="4" t="s">
        <v>25</v>
      </c>
      <c r="G2079" s="4" t="s">
        <v>25</v>
      </c>
      <c r="H2079" s="4" t="s">
        <v>25</v>
      </c>
      <c r="I2079" s="5">
        <v>44501</v>
      </c>
      <c r="J2079" s="6">
        <v>0</v>
      </c>
      <c r="K2079" s="6">
        <v>0</v>
      </c>
      <c r="L2079" s="6">
        <v>201.85599999999999</v>
      </c>
      <c r="M2079" s="6">
        <v>201.85599999999999</v>
      </c>
      <c r="N2079" s="6">
        <v>201.85599999999999</v>
      </c>
      <c r="O2079" s="6">
        <v>201.85599999999999</v>
      </c>
      <c r="P2079" s="6">
        <v>304</v>
      </c>
      <c r="Q2079" s="4" t="s">
        <v>26</v>
      </c>
      <c r="R2079" s="4">
        <v>0</v>
      </c>
      <c r="S2079" s="4" t="s">
        <v>555</v>
      </c>
      <c r="T2079" s="4" t="s">
        <v>812</v>
      </c>
      <c r="U2079" s="4">
        <v>0</v>
      </c>
      <c r="V2079" s="4">
        <v>57</v>
      </c>
      <c r="W2079" s="4">
        <v>100</v>
      </c>
    </row>
    <row r="2080" spans="1:23" ht="11.25" customHeight="1" x14ac:dyDescent="0.25">
      <c r="A2080" s="4" t="s">
        <v>21</v>
      </c>
      <c r="B2080" s="4" t="s">
        <v>37</v>
      </c>
      <c r="C2080" s="4" t="s">
        <v>23</v>
      </c>
      <c r="D2080" s="4" t="s">
        <v>52</v>
      </c>
      <c r="E2080" s="4" t="s">
        <v>25</v>
      </c>
      <c r="F2080" s="4" t="s">
        <v>25</v>
      </c>
      <c r="G2080" s="4" t="s">
        <v>25</v>
      </c>
      <c r="H2080" s="4" t="s">
        <v>25</v>
      </c>
      <c r="I2080" s="5">
        <v>44531</v>
      </c>
      <c r="J2080" s="6">
        <v>0</v>
      </c>
      <c r="K2080" s="6">
        <v>0</v>
      </c>
      <c r="L2080" s="6">
        <v>228.68899999999999</v>
      </c>
      <c r="M2080" s="6">
        <v>228.68899999999999</v>
      </c>
      <c r="N2080" s="6">
        <v>228.68899999999999</v>
      </c>
      <c r="O2080" s="6">
        <v>228.68899999999999</v>
      </c>
      <c r="P2080" s="6">
        <v>306</v>
      </c>
      <c r="Q2080" s="4" t="s">
        <v>26</v>
      </c>
      <c r="R2080" s="4">
        <v>0</v>
      </c>
      <c r="S2080" s="4" t="s">
        <v>556</v>
      </c>
      <c r="T2080" s="4" t="s">
        <v>813</v>
      </c>
      <c r="U2080" s="4">
        <v>0</v>
      </c>
      <c r="V2080" s="4">
        <v>57</v>
      </c>
      <c r="W2080" s="4">
        <v>100</v>
      </c>
    </row>
    <row r="2081" spans="1:23" ht="11.25" customHeight="1" x14ac:dyDescent="0.25">
      <c r="A2081" s="4" t="s">
        <v>21</v>
      </c>
      <c r="B2081" s="4" t="s">
        <v>37</v>
      </c>
      <c r="C2081" s="4" t="s">
        <v>23</v>
      </c>
      <c r="D2081" s="4" t="s">
        <v>52</v>
      </c>
      <c r="E2081" s="4" t="s">
        <v>25</v>
      </c>
      <c r="F2081" s="4" t="s">
        <v>25</v>
      </c>
      <c r="G2081" s="4" t="s">
        <v>25</v>
      </c>
      <c r="H2081" s="4" t="s">
        <v>25</v>
      </c>
      <c r="I2081" s="5">
        <v>44562</v>
      </c>
      <c r="J2081" s="6">
        <v>0</v>
      </c>
      <c r="K2081" s="6">
        <v>0</v>
      </c>
      <c r="L2081" s="6">
        <v>215.226</v>
      </c>
      <c r="M2081" s="6">
        <v>215.226</v>
      </c>
      <c r="N2081" s="6">
        <v>215.226</v>
      </c>
      <c r="O2081" s="6">
        <v>215.226</v>
      </c>
      <c r="P2081" s="6">
        <v>303</v>
      </c>
      <c r="Q2081" s="4" t="s">
        <v>26</v>
      </c>
      <c r="R2081" s="4">
        <v>0</v>
      </c>
      <c r="S2081" s="4" t="s">
        <v>557</v>
      </c>
      <c r="T2081" s="4" t="s">
        <v>814</v>
      </c>
      <c r="U2081" s="4">
        <v>0</v>
      </c>
      <c r="V2081" s="4">
        <v>57</v>
      </c>
      <c r="W2081" s="4">
        <v>100</v>
      </c>
    </row>
    <row r="2082" spans="1:23" ht="11.25" customHeight="1" x14ac:dyDescent="0.25">
      <c r="A2082" s="4" t="s">
        <v>27</v>
      </c>
      <c r="B2082" s="4" t="s">
        <v>37</v>
      </c>
      <c r="C2082" s="4" t="s">
        <v>23</v>
      </c>
      <c r="D2082" s="4" t="s">
        <v>52</v>
      </c>
      <c r="E2082" s="4" t="s">
        <v>25</v>
      </c>
      <c r="F2082" s="4" t="s">
        <v>25</v>
      </c>
      <c r="G2082" s="4" t="s">
        <v>25</v>
      </c>
      <c r="H2082" s="4" t="s">
        <v>25</v>
      </c>
      <c r="I2082" s="5">
        <v>44562</v>
      </c>
      <c r="J2082" s="6">
        <v>0</v>
      </c>
      <c r="K2082" s="6">
        <v>0</v>
      </c>
      <c r="L2082" s="6">
        <v>0.19800000000000001</v>
      </c>
      <c r="M2082" s="6">
        <v>0.19800000000000001</v>
      </c>
      <c r="N2082" s="6">
        <v>0.19800000000000001</v>
      </c>
      <c r="O2082" s="6">
        <v>0.19800000000000001</v>
      </c>
      <c r="P2082" s="6">
        <v>5</v>
      </c>
      <c r="Q2082" s="4" t="s">
        <v>26</v>
      </c>
      <c r="R2082" s="4">
        <v>0</v>
      </c>
      <c r="S2082" s="4" t="s">
        <v>557</v>
      </c>
      <c r="T2082" s="4" t="s">
        <v>814</v>
      </c>
      <c r="U2082" s="4">
        <v>0</v>
      </c>
      <c r="V2082" s="4">
        <v>57</v>
      </c>
      <c r="W2082" s="4">
        <v>100</v>
      </c>
    </row>
    <row r="2083" spans="1:23" ht="11.25" customHeight="1" x14ac:dyDescent="0.25">
      <c r="A2083" s="4" t="s">
        <v>21</v>
      </c>
      <c r="B2083" s="4" t="s">
        <v>37</v>
      </c>
      <c r="C2083" s="4" t="s">
        <v>23</v>
      </c>
      <c r="D2083" s="4" t="s">
        <v>52</v>
      </c>
      <c r="E2083" s="4" t="s">
        <v>25</v>
      </c>
      <c r="F2083" s="4" t="s">
        <v>25</v>
      </c>
      <c r="G2083" s="4" t="s">
        <v>25</v>
      </c>
      <c r="H2083" s="4" t="s">
        <v>25</v>
      </c>
      <c r="I2083" s="5">
        <v>44593</v>
      </c>
      <c r="J2083" s="6">
        <v>0</v>
      </c>
      <c r="K2083" s="6">
        <v>0</v>
      </c>
      <c r="L2083" s="6">
        <v>185.27600000000001</v>
      </c>
      <c r="M2083" s="6">
        <v>185.27600000000001</v>
      </c>
      <c r="N2083" s="6">
        <v>185.27600000000001</v>
      </c>
      <c r="O2083" s="6">
        <v>185.27600000000001</v>
      </c>
      <c r="P2083" s="6">
        <v>305</v>
      </c>
      <c r="Q2083" s="4" t="s">
        <v>26</v>
      </c>
      <c r="R2083" s="4">
        <v>0</v>
      </c>
      <c r="S2083" s="4" t="s">
        <v>558</v>
      </c>
      <c r="T2083" s="4" t="s">
        <v>815</v>
      </c>
      <c r="U2083" s="4">
        <v>0</v>
      </c>
      <c r="V2083" s="4">
        <v>57</v>
      </c>
      <c r="W2083" s="4">
        <v>100</v>
      </c>
    </row>
    <row r="2084" spans="1:23" ht="11.25" customHeight="1" x14ac:dyDescent="0.25">
      <c r="A2084" s="4" t="s">
        <v>21</v>
      </c>
      <c r="B2084" s="4" t="s">
        <v>37</v>
      </c>
      <c r="C2084" s="4" t="s">
        <v>23</v>
      </c>
      <c r="D2084" s="4" t="s">
        <v>52</v>
      </c>
      <c r="E2084" s="4" t="s">
        <v>25</v>
      </c>
      <c r="F2084" s="4" t="s">
        <v>25</v>
      </c>
      <c r="G2084" s="4" t="s">
        <v>25</v>
      </c>
      <c r="H2084" s="4" t="s">
        <v>25</v>
      </c>
      <c r="I2084" s="5">
        <v>44621</v>
      </c>
      <c r="J2084" s="6">
        <v>0</v>
      </c>
      <c r="K2084" s="6">
        <v>0</v>
      </c>
      <c r="L2084" s="6">
        <v>207.08799999999999</v>
      </c>
      <c r="M2084" s="6">
        <v>207.08799999999999</v>
      </c>
      <c r="N2084" s="6">
        <v>207.08799999999999</v>
      </c>
      <c r="O2084" s="6">
        <v>207.08799999999999</v>
      </c>
      <c r="P2084" s="6">
        <v>303</v>
      </c>
      <c r="Q2084" s="4" t="s">
        <v>26</v>
      </c>
      <c r="R2084" s="4">
        <v>0</v>
      </c>
      <c r="S2084" s="4" t="s">
        <v>559</v>
      </c>
      <c r="T2084" s="4" t="s">
        <v>816</v>
      </c>
      <c r="U2084" s="4">
        <v>0</v>
      </c>
      <c r="V2084" s="4">
        <v>57</v>
      </c>
      <c r="W2084" s="4">
        <v>100</v>
      </c>
    </row>
    <row r="2085" spans="1:23" ht="11.25" customHeight="1" x14ac:dyDescent="0.25">
      <c r="A2085" s="4" t="s">
        <v>21</v>
      </c>
      <c r="B2085" s="4" t="s">
        <v>37</v>
      </c>
      <c r="C2085" s="4" t="s">
        <v>23</v>
      </c>
      <c r="D2085" s="4" t="s">
        <v>52</v>
      </c>
      <c r="E2085" s="4" t="s">
        <v>25</v>
      </c>
      <c r="F2085" s="4" t="s">
        <v>25</v>
      </c>
      <c r="G2085" s="4" t="s">
        <v>25</v>
      </c>
      <c r="H2085" s="4" t="s">
        <v>25</v>
      </c>
      <c r="I2085" s="5">
        <v>44652</v>
      </c>
      <c r="J2085" s="6">
        <v>0</v>
      </c>
      <c r="K2085" s="6">
        <v>0</v>
      </c>
      <c r="L2085" s="6">
        <v>231.66499999999999</v>
      </c>
      <c r="M2085" s="6">
        <v>231.66499999999999</v>
      </c>
      <c r="N2085" s="6">
        <v>231.66499999999999</v>
      </c>
      <c r="O2085" s="6">
        <v>231.66499999999999</v>
      </c>
      <c r="P2085" s="6">
        <v>301</v>
      </c>
      <c r="Q2085" s="4" t="s">
        <v>26</v>
      </c>
      <c r="R2085" s="4">
        <v>0</v>
      </c>
      <c r="S2085" s="4" t="s">
        <v>560</v>
      </c>
      <c r="T2085" s="4" t="s">
        <v>817</v>
      </c>
      <c r="U2085" s="4">
        <v>0</v>
      </c>
      <c r="V2085" s="4">
        <v>57</v>
      </c>
      <c r="W2085" s="4">
        <v>100</v>
      </c>
    </row>
    <row r="2086" spans="1:23" ht="11.25" customHeight="1" x14ac:dyDescent="0.25">
      <c r="A2086" s="4" t="s">
        <v>27</v>
      </c>
      <c r="B2086" s="4" t="s">
        <v>37</v>
      </c>
      <c r="C2086" s="4" t="s">
        <v>23</v>
      </c>
      <c r="D2086" s="4" t="s">
        <v>52</v>
      </c>
      <c r="E2086" s="4" t="s">
        <v>25</v>
      </c>
      <c r="F2086" s="4" t="s">
        <v>25</v>
      </c>
      <c r="G2086" s="4" t="s">
        <v>25</v>
      </c>
      <c r="H2086" s="4" t="s">
        <v>25</v>
      </c>
      <c r="I2086" s="5">
        <v>44652</v>
      </c>
      <c r="J2086" s="6">
        <v>0</v>
      </c>
      <c r="K2086" s="6">
        <v>0</v>
      </c>
      <c r="L2086" s="6">
        <v>0.94199999999999995</v>
      </c>
      <c r="M2086" s="6">
        <v>0.94199999999999995</v>
      </c>
      <c r="N2086" s="6">
        <v>0.94199999999999995</v>
      </c>
      <c r="O2086" s="6">
        <v>0.94199999999999995</v>
      </c>
      <c r="P2086" s="6">
        <v>2</v>
      </c>
      <c r="Q2086" s="4" t="s">
        <v>26</v>
      </c>
      <c r="R2086" s="4">
        <v>0</v>
      </c>
      <c r="S2086" s="4" t="s">
        <v>560</v>
      </c>
      <c r="T2086" s="4" t="s">
        <v>817</v>
      </c>
      <c r="U2086" s="4">
        <v>0</v>
      </c>
      <c r="V2086" s="4">
        <v>57</v>
      </c>
      <c r="W2086" s="4">
        <v>100</v>
      </c>
    </row>
    <row r="2087" spans="1:23" ht="11.25" customHeight="1" x14ac:dyDescent="0.25">
      <c r="A2087" s="4" t="s">
        <v>28</v>
      </c>
      <c r="B2087" s="4" t="s">
        <v>37</v>
      </c>
      <c r="C2087" s="4" t="s">
        <v>23</v>
      </c>
      <c r="D2087" s="4" t="s">
        <v>52</v>
      </c>
      <c r="E2087" s="4" t="s">
        <v>25</v>
      </c>
      <c r="F2087" s="4" t="s">
        <v>25</v>
      </c>
      <c r="G2087" s="4" t="s">
        <v>25</v>
      </c>
      <c r="H2087" s="4" t="s">
        <v>25</v>
      </c>
      <c r="I2087" s="5">
        <v>44652</v>
      </c>
      <c r="J2087" s="6">
        <v>0</v>
      </c>
      <c r="K2087" s="6">
        <v>0</v>
      </c>
      <c r="L2087" s="6">
        <v>1.4730000000000001</v>
      </c>
      <c r="M2087" s="6">
        <v>1.4730000000000001</v>
      </c>
      <c r="N2087" s="6">
        <v>1.4730000000000001</v>
      </c>
      <c r="O2087" s="6">
        <v>1.4730000000000001</v>
      </c>
      <c r="P2087" s="6">
        <v>1</v>
      </c>
      <c r="Q2087" s="4" t="s">
        <v>26</v>
      </c>
      <c r="R2087" s="4">
        <v>0</v>
      </c>
      <c r="S2087" s="4" t="s">
        <v>560</v>
      </c>
      <c r="T2087" s="4" t="s">
        <v>817</v>
      </c>
      <c r="U2087" s="4">
        <v>0</v>
      </c>
      <c r="V2087" s="4">
        <v>57</v>
      </c>
      <c r="W2087" s="4">
        <v>100</v>
      </c>
    </row>
    <row r="2088" spans="1:23" ht="11.25" customHeight="1" x14ac:dyDescent="0.25">
      <c r="A2088" s="4" t="s">
        <v>21</v>
      </c>
      <c r="B2088" s="4" t="s">
        <v>37</v>
      </c>
      <c r="C2088" s="4" t="s">
        <v>23</v>
      </c>
      <c r="D2088" s="4" t="s">
        <v>52</v>
      </c>
      <c r="E2088" s="4" t="s">
        <v>25</v>
      </c>
      <c r="F2088" s="4" t="s">
        <v>25</v>
      </c>
      <c r="G2088" s="4" t="s">
        <v>25</v>
      </c>
      <c r="H2088" s="4" t="s">
        <v>25</v>
      </c>
      <c r="I2088" s="5">
        <v>44682</v>
      </c>
      <c r="J2088" s="6">
        <v>0</v>
      </c>
      <c r="K2088" s="6">
        <v>0</v>
      </c>
      <c r="L2088" s="6">
        <v>202.07400000000001</v>
      </c>
      <c r="M2088" s="6">
        <v>202.07400000000001</v>
      </c>
      <c r="N2088" s="6">
        <v>202.07400000000001</v>
      </c>
      <c r="O2088" s="6">
        <v>202.07400000000001</v>
      </c>
      <c r="P2088" s="6">
        <v>301</v>
      </c>
      <c r="Q2088" s="4" t="s">
        <v>26</v>
      </c>
      <c r="R2088" s="4">
        <v>0</v>
      </c>
      <c r="S2088" s="4" t="s">
        <v>561</v>
      </c>
      <c r="T2088" s="4" t="s">
        <v>818</v>
      </c>
      <c r="U2088" s="4">
        <v>0</v>
      </c>
      <c r="V2088" s="4">
        <v>57</v>
      </c>
      <c r="W2088" s="4">
        <v>100</v>
      </c>
    </row>
    <row r="2089" spans="1:23" ht="11.25" customHeight="1" x14ac:dyDescent="0.25">
      <c r="A2089" s="4" t="s">
        <v>28</v>
      </c>
      <c r="B2089" s="4" t="s">
        <v>37</v>
      </c>
      <c r="C2089" s="4" t="s">
        <v>23</v>
      </c>
      <c r="D2089" s="4" t="s">
        <v>52</v>
      </c>
      <c r="E2089" s="4" t="s">
        <v>25</v>
      </c>
      <c r="F2089" s="4" t="s">
        <v>25</v>
      </c>
      <c r="G2089" s="4" t="s">
        <v>25</v>
      </c>
      <c r="H2089" s="4" t="s">
        <v>25</v>
      </c>
      <c r="I2089" s="5">
        <v>44682</v>
      </c>
      <c r="J2089" s="6">
        <v>0</v>
      </c>
      <c r="K2089" s="6">
        <v>0</v>
      </c>
      <c r="L2089" s="6">
        <v>1.6060000000000001</v>
      </c>
      <c r="M2089" s="6">
        <v>1.6060000000000001</v>
      </c>
      <c r="N2089" s="6">
        <v>1.6060000000000001</v>
      </c>
      <c r="O2089" s="6">
        <v>1.6060000000000001</v>
      </c>
      <c r="P2089" s="6">
        <v>1</v>
      </c>
      <c r="Q2089" s="4" t="s">
        <v>26</v>
      </c>
      <c r="R2089" s="4">
        <v>0</v>
      </c>
      <c r="S2089" s="4" t="s">
        <v>561</v>
      </c>
      <c r="T2089" s="4" t="s">
        <v>818</v>
      </c>
      <c r="U2089" s="4">
        <v>0</v>
      </c>
      <c r="V2089" s="4">
        <v>57</v>
      </c>
      <c r="W2089" s="4">
        <v>100</v>
      </c>
    </row>
    <row r="2090" spans="1:23" ht="11.25" customHeight="1" x14ac:dyDescent="0.25">
      <c r="A2090" s="4" t="s">
        <v>21</v>
      </c>
      <c r="B2090" s="4" t="s">
        <v>37</v>
      </c>
      <c r="C2090" s="4" t="s">
        <v>23</v>
      </c>
      <c r="D2090" s="4" t="s">
        <v>52</v>
      </c>
      <c r="E2090" s="4" t="s">
        <v>25</v>
      </c>
      <c r="F2090" s="4" t="s">
        <v>25</v>
      </c>
      <c r="G2090" s="4" t="s">
        <v>25</v>
      </c>
      <c r="H2090" s="4" t="s">
        <v>25</v>
      </c>
      <c r="I2090" s="5">
        <v>44713</v>
      </c>
      <c r="J2090" s="6">
        <v>0</v>
      </c>
      <c r="K2090" s="6">
        <v>0</v>
      </c>
      <c r="L2090" s="6">
        <v>187.702</v>
      </c>
      <c r="M2090" s="6">
        <v>187.702</v>
      </c>
      <c r="N2090" s="6">
        <v>187.702</v>
      </c>
      <c r="O2090" s="6">
        <v>187.702</v>
      </c>
      <c r="P2090" s="6">
        <v>301</v>
      </c>
      <c r="Q2090" s="4" t="s">
        <v>26</v>
      </c>
      <c r="R2090" s="4">
        <v>0</v>
      </c>
      <c r="S2090" s="4" t="s">
        <v>562</v>
      </c>
      <c r="T2090" s="4" t="s">
        <v>819</v>
      </c>
      <c r="U2090" s="4">
        <v>0</v>
      </c>
      <c r="V2090" s="4">
        <v>57</v>
      </c>
      <c r="W2090" s="4">
        <v>100</v>
      </c>
    </row>
    <row r="2091" spans="1:23" ht="11.25" customHeight="1" x14ac:dyDescent="0.25">
      <c r="A2091" s="4" t="s">
        <v>27</v>
      </c>
      <c r="B2091" s="4" t="s">
        <v>37</v>
      </c>
      <c r="C2091" s="4" t="s">
        <v>23</v>
      </c>
      <c r="D2091" s="4" t="s">
        <v>52</v>
      </c>
      <c r="E2091" s="4" t="s">
        <v>25</v>
      </c>
      <c r="F2091" s="4" t="s">
        <v>25</v>
      </c>
      <c r="G2091" s="4" t="s">
        <v>25</v>
      </c>
      <c r="H2091" s="4" t="s">
        <v>25</v>
      </c>
      <c r="I2091" s="5">
        <v>44713</v>
      </c>
      <c r="J2091" s="6">
        <v>0</v>
      </c>
      <c r="K2091" s="6">
        <v>0</v>
      </c>
      <c r="L2091" s="6">
        <v>9.5470000000000006</v>
      </c>
      <c r="M2091" s="6">
        <v>9.5470000000000006</v>
      </c>
      <c r="N2091" s="6">
        <v>9.5470000000000006</v>
      </c>
      <c r="O2091" s="6">
        <v>9.5470000000000006</v>
      </c>
      <c r="P2091" s="6">
        <v>8</v>
      </c>
      <c r="Q2091" s="4" t="s">
        <v>26</v>
      </c>
      <c r="R2091" s="4">
        <v>0</v>
      </c>
      <c r="S2091" s="4" t="s">
        <v>562</v>
      </c>
      <c r="T2091" s="4" t="s">
        <v>819</v>
      </c>
      <c r="U2091" s="4">
        <v>0</v>
      </c>
      <c r="V2091" s="4">
        <v>57</v>
      </c>
      <c r="W2091" s="4">
        <v>100</v>
      </c>
    </row>
    <row r="2092" spans="1:23" ht="11.25" customHeight="1" x14ac:dyDescent="0.25">
      <c r="A2092" s="4" t="s">
        <v>28</v>
      </c>
      <c r="B2092" s="4" t="s">
        <v>37</v>
      </c>
      <c r="C2092" s="4" t="s">
        <v>23</v>
      </c>
      <c r="D2092" s="4" t="s">
        <v>52</v>
      </c>
      <c r="E2092" s="4" t="s">
        <v>25</v>
      </c>
      <c r="F2092" s="4" t="s">
        <v>25</v>
      </c>
      <c r="G2092" s="4" t="s">
        <v>25</v>
      </c>
      <c r="H2092" s="4" t="s">
        <v>25</v>
      </c>
      <c r="I2092" s="5">
        <v>44713</v>
      </c>
      <c r="J2092" s="6">
        <v>0</v>
      </c>
      <c r="K2092" s="6">
        <v>0</v>
      </c>
      <c r="L2092" s="6">
        <v>1.234</v>
      </c>
      <c r="M2092" s="6">
        <v>1.234</v>
      </c>
      <c r="N2092" s="6">
        <v>1.234</v>
      </c>
      <c r="O2092" s="6">
        <v>1.234</v>
      </c>
      <c r="P2092" s="6">
        <v>1</v>
      </c>
      <c r="Q2092" s="4" t="s">
        <v>26</v>
      </c>
      <c r="R2092" s="4">
        <v>0</v>
      </c>
      <c r="S2092" s="4" t="s">
        <v>562</v>
      </c>
      <c r="T2092" s="4" t="s">
        <v>819</v>
      </c>
      <c r="U2092" s="4">
        <v>0</v>
      </c>
      <c r="V2092" s="4">
        <v>57</v>
      </c>
      <c r="W2092" s="4">
        <v>100</v>
      </c>
    </row>
    <row r="2093" spans="1:23" ht="11.25" customHeight="1" x14ac:dyDescent="0.25">
      <c r="A2093" s="4" t="s">
        <v>57</v>
      </c>
      <c r="B2093" s="4" t="s">
        <v>37</v>
      </c>
      <c r="C2093" s="4" t="s">
        <v>23</v>
      </c>
      <c r="D2093" s="4" t="s">
        <v>52</v>
      </c>
      <c r="E2093" s="4" t="s">
        <v>25</v>
      </c>
      <c r="F2093" s="4" t="s">
        <v>25</v>
      </c>
      <c r="G2093" s="4" t="s">
        <v>25</v>
      </c>
      <c r="H2093" s="4" t="s">
        <v>25</v>
      </c>
      <c r="I2093" s="5">
        <v>44743</v>
      </c>
      <c r="J2093" s="6">
        <v>0</v>
      </c>
      <c r="K2093" s="6">
        <v>0</v>
      </c>
      <c r="L2093" s="6">
        <v>187.702</v>
      </c>
      <c r="M2093" s="6">
        <v>187.702</v>
      </c>
      <c r="N2093" s="6">
        <v>187.702</v>
      </c>
      <c r="O2093" s="6">
        <v>187.702</v>
      </c>
      <c r="P2093" s="6">
        <v>301</v>
      </c>
      <c r="Q2093" s="4" t="s">
        <v>26</v>
      </c>
      <c r="R2093" s="4">
        <v>0</v>
      </c>
      <c r="S2093" s="4" t="s">
        <v>563</v>
      </c>
      <c r="T2093" s="4" t="s">
        <v>820</v>
      </c>
      <c r="U2093" s="4">
        <v>0</v>
      </c>
      <c r="V2093" s="4">
        <v>57</v>
      </c>
      <c r="W2093" s="4">
        <v>100</v>
      </c>
    </row>
    <row r="2094" spans="1:23" ht="11.25" customHeight="1" x14ac:dyDescent="0.25">
      <c r="A2094" s="4" t="s">
        <v>57</v>
      </c>
      <c r="B2094" s="4" t="s">
        <v>37</v>
      </c>
      <c r="C2094" s="4" t="s">
        <v>23</v>
      </c>
      <c r="D2094" s="4" t="s">
        <v>52</v>
      </c>
      <c r="E2094" s="4" t="s">
        <v>25</v>
      </c>
      <c r="F2094" s="4" t="s">
        <v>25</v>
      </c>
      <c r="G2094" s="4" t="s">
        <v>25</v>
      </c>
      <c r="H2094" s="4" t="s">
        <v>25</v>
      </c>
      <c r="I2094" s="5">
        <v>44743</v>
      </c>
      <c r="J2094" s="6">
        <v>0</v>
      </c>
      <c r="K2094" s="6">
        <v>0</v>
      </c>
      <c r="L2094" s="6">
        <v>9.5470000000000006</v>
      </c>
      <c r="M2094" s="6">
        <v>9.5470000000000006</v>
      </c>
      <c r="N2094" s="6">
        <v>9.5470000000000006</v>
      </c>
      <c r="O2094" s="6">
        <v>9.5470000000000006</v>
      </c>
      <c r="P2094" s="6">
        <v>8</v>
      </c>
      <c r="Q2094" s="4" t="s">
        <v>26</v>
      </c>
      <c r="R2094" s="4">
        <v>0</v>
      </c>
      <c r="S2094" s="4" t="s">
        <v>563</v>
      </c>
      <c r="T2094" s="4" t="s">
        <v>820</v>
      </c>
      <c r="U2094" s="4">
        <v>0</v>
      </c>
      <c r="V2094" s="4">
        <v>57</v>
      </c>
      <c r="W2094" s="4">
        <v>100</v>
      </c>
    </row>
    <row r="2095" spans="1:23" ht="11.25" customHeight="1" x14ac:dyDescent="0.25">
      <c r="A2095" s="4" t="s">
        <v>57</v>
      </c>
      <c r="B2095" s="4" t="s">
        <v>37</v>
      </c>
      <c r="C2095" s="4" t="s">
        <v>23</v>
      </c>
      <c r="D2095" s="4" t="s">
        <v>52</v>
      </c>
      <c r="E2095" s="4" t="s">
        <v>25</v>
      </c>
      <c r="F2095" s="4" t="s">
        <v>25</v>
      </c>
      <c r="G2095" s="4" t="s">
        <v>25</v>
      </c>
      <c r="H2095" s="4" t="s">
        <v>25</v>
      </c>
      <c r="I2095" s="5">
        <v>44743</v>
      </c>
      <c r="J2095" s="6">
        <v>0</v>
      </c>
      <c r="K2095" s="6">
        <v>0</v>
      </c>
      <c r="L2095" s="6">
        <v>1.234</v>
      </c>
      <c r="M2095" s="6">
        <v>1.234</v>
      </c>
      <c r="N2095" s="6">
        <v>1.234</v>
      </c>
      <c r="O2095" s="6">
        <v>1.234</v>
      </c>
      <c r="P2095" s="6">
        <v>1</v>
      </c>
      <c r="Q2095" s="4" t="s">
        <v>26</v>
      </c>
      <c r="R2095" s="4">
        <v>0</v>
      </c>
      <c r="S2095" s="4" t="s">
        <v>563</v>
      </c>
      <c r="T2095" s="4" t="s">
        <v>820</v>
      </c>
      <c r="U2095" s="4">
        <v>0</v>
      </c>
      <c r="V2095" s="4">
        <v>57</v>
      </c>
      <c r="W2095" s="4">
        <v>100</v>
      </c>
    </row>
    <row r="2096" spans="1:23" ht="11.25" customHeight="1" x14ac:dyDescent="0.25">
      <c r="A2096" s="4" t="s">
        <v>21</v>
      </c>
      <c r="B2096" s="4" t="s">
        <v>37</v>
      </c>
      <c r="C2096" s="4" t="s">
        <v>23</v>
      </c>
      <c r="D2096" s="4" t="s">
        <v>38</v>
      </c>
      <c r="E2096" s="4" t="s">
        <v>25</v>
      </c>
      <c r="F2096" s="4" t="s">
        <v>25</v>
      </c>
      <c r="G2096" s="4" t="s">
        <v>25</v>
      </c>
      <c r="H2096" s="4" t="s">
        <v>25</v>
      </c>
      <c r="I2096" s="5">
        <v>44409</v>
      </c>
      <c r="J2096" s="6">
        <v>0</v>
      </c>
      <c r="K2096" s="6">
        <v>0</v>
      </c>
      <c r="L2096" s="6">
        <v>2616.953</v>
      </c>
      <c r="M2096" s="6">
        <v>2616.953</v>
      </c>
      <c r="N2096" s="6">
        <v>2616.953</v>
      </c>
      <c r="O2096" s="6">
        <v>2616.953</v>
      </c>
      <c r="P2096" s="6">
        <v>3179</v>
      </c>
      <c r="Q2096" s="4" t="s">
        <v>26</v>
      </c>
      <c r="R2096" s="4">
        <v>0</v>
      </c>
      <c r="S2096" s="4" t="s">
        <v>552</v>
      </c>
      <c r="T2096" s="4" t="s">
        <v>809</v>
      </c>
      <c r="U2096" s="4">
        <v>0</v>
      </c>
      <c r="V2096" s="4">
        <v>57</v>
      </c>
      <c r="W2096" s="4">
        <v>100</v>
      </c>
    </row>
    <row r="2097" spans="1:23" ht="11.25" customHeight="1" x14ac:dyDescent="0.25">
      <c r="A2097" s="4" t="s">
        <v>27</v>
      </c>
      <c r="B2097" s="4" t="s">
        <v>37</v>
      </c>
      <c r="C2097" s="4" t="s">
        <v>23</v>
      </c>
      <c r="D2097" s="4" t="s">
        <v>38</v>
      </c>
      <c r="E2097" s="4" t="s">
        <v>25</v>
      </c>
      <c r="F2097" s="4" t="s">
        <v>25</v>
      </c>
      <c r="G2097" s="4" t="s">
        <v>25</v>
      </c>
      <c r="H2097" s="4" t="s">
        <v>25</v>
      </c>
      <c r="I2097" s="5">
        <v>44409</v>
      </c>
      <c r="J2097" s="6">
        <v>0</v>
      </c>
      <c r="K2097" s="6">
        <v>0</v>
      </c>
      <c r="L2097" s="6">
        <v>-6.8319999999999999</v>
      </c>
      <c r="M2097" s="6">
        <v>-6.8319999999999999</v>
      </c>
      <c r="N2097" s="6">
        <v>-6.8319999999999999</v>
      </c>
      <c r="O2097" s="6">
        <v>-6.8319999999999999</v>
      </c>
      <c r="P2097" s="6">
        <v>-12</v>
      </c>
      <c r="Q2097" s="4" t="s">
        <v>26</v>
      </c>
      <c r="R2097" s="4">
        <v>0</v>
      </c>
      <c r="S2097" s="4" t="s">
        <v>552</v>
      </c>
      <c r="T2097" s="4" t="s">
        <v>809</v>
      </c>
      <c r="U2097" s="4">
        <v>0</v>
      </c>
      <c r="V2097" s="4">
        <v>57</v>
      </c>
      <c r="W2097" s="4">
        <v>100</v>
      </c>
    </row>
    <row r="2098" spans="1:23" ht="11.25" customHeight="1" x14ac:dyDescent="0.25">
      <c r="A2098" s="4" t="s">
        <v>28</v>
      </c>
      <c r="B2098" s="4" t="s">
        <v>37</v>
      </c>
      <c r="C2098" s="4" t="s">
        <v>23</v>
      </c>
      <c r="D2098" s="4" t="s">
        <v>38</v>
      </c>
      <c r="E2098" s="4" t="s">
        <v>25</v>
      </c>
      <c r="F2098" s="4" t="s">
        <v>25</v>
      </c>
      <c r="G2098" s="4" t="s">
        <v>25</v>
      </c>
      <c r="H2098" s="4" t="s">
        <v>25</v>
      </c>
      <c r="I2098" s="5">
        <v>44409</v>
      </c>
      <c r="J2098" s="6">
        <v>0</v>
      </c>
      <c r="K2098" s="6">
        <v>0</v>
      </c>
      <c r="L2098" s="6">
        <v>425.01100000000002</v>
      </c>
      <c r="M2098" s="6">
        <v>425.01100000000002</v>
      </c>
      <c r="N2098" s="6">
        <v>425.01100000000002</v>
      </c>
      <c r="O2098" s="6">
        <v>425.01100000000002</v>
      </c>
      <c r="P2098" s="6">
        <v>373</v>
      </c>
      <c r="Q2098" s="4" t="s">
        <v>26</v>
      </c>
      <c r="R2098" s="4">
        <v>0</v>
      </c>
      <c r="S2098" s="4" t="s">
        <v>552</v>
      </c>
      <c r="T2098" s="4" t="s">
        <v>809</v>
      </c>
      <c r="U2098" s="4">
        <v>0</v>
      </c>
      <c r="V2098" s="4">
        <v>57</v>
      </c>
      <c r="W2098" s="4">
        <v>100</v>
      </c>
    </row>
    <row r="2099" spans="1:23" ht="11.25" customHeight="1" x14ac:dyDescent="0.25">
      <c r="A2099" s="4" t="s">
        <v>21</v>
      </c>
      <c r="B2099" s="4" t="s">
        <v>37</v>
      </c>
      <c r="C2099" s="4" t="s">
        <v>23</v>
      </c>
      <c r="D2099" s="4" t="s">
        <v>38</v>
      </c>
      <c r="E2099" s="4" t="s">
        <v>25</v>
      </c>
      <c r="F2099" s="4" t="s">
        <v>25</v>
      </c>
      <c r="G2099" s="4" t="s">
        <v>25</v>
      </c>
      <c r="H2099" s="4" t="s">
        <v>25</v>
      </c>
      <c r="I2099" s="5">
        <v>44440</v>
      </c>
      <c r="J2099" s="6">
        <v>0</v>
      </c>
      <c r="K2099" s="6">
        <v>0</v>
      </c>
      <c r="L2099" s="6">
        <v>2584.3319999999999</v>
      </c>
      <c r="M2099" s="6">
        <v>2584.3319999999999</v>
      </c>
      <c r="N2099" s="6">
        <v>2584.3319999999999</v>
      </c>
      <c r="O2099" s="6">
        <v>2584.3319999999999</v>
      </c>
      <c r="P2099" s="6">
        <v>3169</v>
      </c>
      <c r="Q2099" s="4" t="s">
        <v>26</v>
      </c>
      <c r="R2099" s="4">
        <v>0</v>
      </c>
      <c r="S2099" s="4" t="s">
        <v>553</v>
      </c>
      <c r="T2099" s="4" t="s">
        <v>810</v>
      </c>
      <c r="U2099" s="4">
        <v>0</v>
      </c>
      <c r="V2099" s="4">
        <v>57</v>
      </c>
      <c r="W2099" s="4">
        <v>100</v>
      </c>
    </row>
    <row r="2100" spans="1:23" ht="11.25" customHeight="1" x14ac:dyDescent="0.25">
      <c r="A2100" s="4" t="s">
        <v>27</v>
      </c>
      <c r="B2100" s="4" t="s">
        <v>37</v>
      </c>
      <c r="C2100" s="4" t="s">
        <v>23</v>
      </c>
      <c r="D2100" s="4" t="s">
        <v>38</v>
      </c>
      <c r="E2100" s="4" t="s">
        <v>25</v>
      </c>
      <c r="F2100" s="4" t="s">
        <v>25</v>
      </c>
      <c r="G2100" s="4" t="s">
        <v>25</v>
      </c>
      <c r="H2100" s="4" t="s">
        <v>25</v>
      </c>
      <c r="I2100" s="5">
        <v>44440</v>
      </c>
      <c r="J2100" s="6">
        <v>0</v>
      </c>
      <c r="K2100" s="6">
        <v>0</v>
      </c>
      <c r="L2100" s="6">
        <v>-5.7430000000000003</v>
      </c>
      <c r="M2100" s="6">
        <v>-5.7430000000000003</v>
      </c>
      <c r="N2100" s="6">
        <v>-5.7430000000000003</v>
      </c>
      <c r="O2100" s="6">
        <v>-5.7430000000000003</v>
      </c>
      <c r="P2100" s="6">
        <v>-1</v>
      </c>
      <c r="Q2100" s="4" t="s">
        <v>26</v>
      </c>
      <c r="R2100" s="4">
        <v>0</v>
      </c>
      <c r="S2100" s="4" t="s">
        <v>553</v>
      </c>
      <c r="T2100" s="4" t="s">
        <v>810</v>
      </c>
      <c r="U2100" s="4">
        <v>0</v>
      </c>
      <c r="V2100" s="4">
        <v>57</v>
      </c>
      <c r="W2100" s="4">
        <v>100</v>
      </c>
    </row>
    <row r="2101" spans="1:23" ht="11.25" customHeight="1" x14ac:dyDescent="0.25">
      <c r="A2101" s="4" t="s">
        <v>28</v>
      </c>
      <c r="B2101" s="4" t="s">
        <v>37</v>
      </c>
      <c r="C2101" s="4" t="s">
        <v>23</v>
      </c>
      <c r="D2101" s="4" t="s">
        <v>38</v>
      </c>
      <c r="E2101" s="4" t="s">
        <v>25</v>
      </c>
      <c r="F2101" s="4" t="s">
        <v>25</v>
      </c>
      <c r="G2101" s="4" t="s">
        <v>25</v>
      </c>
      <c r="H2101" s="4" t="s">
        <v>25</v>
      </c>
      <c r="I2101" s="5">
        <v>44440</v>
      </c>
      <c r="J2101" s="6">
        <v>0</v>
      </c>
      <c r="K2101" s="6">
        <v>0</v>
      </c>
      <c r="L2101" s="6">
        <v>419.82499999999999</v>
      </c>
      <c r="M2101" s="6">
        <v>419.82499999999999</v>
      </c>
      <c r="N2101" s="6">
        <v>419.82499999999999</v>
      </c>
      <c r="O2101" s="6">
        <v>419.82499999999999</v>
      </c>
      <c r="P2101" s="6">
        <v>390</v>
      </c>
      <c r="Q2101" s="4" t="s">
        <v>26</v>
      </c>
      <c r="R2101" s="4">
        <v>0</v>
      </c>
      <c r="S2101" s="4" t="s">
        <v>553</v>
      </c>
      <c r="T2101" s="4" t="s">
        <v>810</v>
      </c>
      <c r="U2101" s="4">
        <v>0</v>
      </c>
      <c r="V2101" s="4">
        <v>57</v>
      </c>
      <c r="W2101" s="4">
        <v>100</v>
      </c>
    </row>
    <row r="2102" spans="1:23" ht="11.25" customHeight="1" x14ac:dyDescent="0.25">
      <c r="A2102" s="4" t="s">
        <v>28</v>
      </c>
      <c r="B2102" s="4" t="s">
        <v>37</v>
      </c>
      <c r="C2102" s="4" t="s">
        <v>23</v>
      </c>
      <c r="D2102" s="4" t="s">
        <v>38</v>
      </c>
      <c r="E2102" s="4" t="s">
        <v>25</v>
      </c>
      <c r="F2102" s="4" t="s">
        <v>25</v>
      </c>
      <c r="G2102" s="4" t="s">
        <v>25</v>
      </c>
      <c r="H2102" s="4" t="s">
        <v>25</v>
      </c>
      <c r="I2102" s="5">
        <v>44440</v>
      </c>
      <c r="J2102" s="6">
        <v>0</v>
      </c>
      <c r="K2102" s="6">
        <v>0</v>
      </c>
      <c r="L2102" s="6">
        <v>-2.9350000000000001</v>
      </c>
      <c r="M2102" s="6">
        <v>-2.9350000000000001</v>
      </c>
      <c r="N2102" s="6">
        <v>-2.9350000000000001</v>
      </c>
      <c r="O2102" s="6">
        <v>-2.9350000000000001</v>
      </c>
      <c r="P2102" s="6">
        <v>0</v>
      </c>
      <c r="Q2102" s="4" t="s">
        <v>26</v>
      </c>
      <c r="R2102" s="4">
        <v>0</v>
      </c>
      <c r="S2102" s="4" t="s">
        <v>553</v>
      </c>
      <c r="T2102" s="4" t="s">
        <v>810</v>
      </c>
      <c r="U2102" s="4">
        <v>0</v>
      </c>
      <c r="V2102" s="4">
        <v>57</v>
      </c>
      <c r="W2102" s="4">
        <v>100</v>
      </c>
    </row>
    <row r="2103" spans="1:23" ht="11.25" customHeight="1" x14ac:dyDescent="0.25">
      <c r="A2103" s="4" t="s">
        <v>21</v>
      </c>
      <c r="B2103" s="4" t="s">
        <v>37</v>
      </c>
      <c r="C2103" s="4" t="s">
        <v>23</v>
      </c>
      <c r="D2103" s="4" t="s">
        <v>38</v>
      </c>
      <c r="E2103" s="4" t="s">
        <v>25</v>
      </c>
      <c r="F2103" s="4" t="s">
        <v>25</v>
      </c>
      <c r="G2103" s="4" t="s">
        <v>25</v>
      </c>
      <c r="H2103" s="4" t="s">
        <v>25</v>
      </c>
      <c r="I2103" s="5">
        <v>44470</v>
      </c>
      <c r="J2103" s="6">
        <v>0</v>
      </c>
      <c r="K2103" s="6">
        <v>0</v>
      </c>
      <c r="L2103" s="6">
        <v>2652.7820000000002</v>
      </c>
      <c r="M2103" s="6">
        <v>2652.7820000000002</v>
      </c>
      <c r="N2103" s="6">
        <v>2652.7820000000002</v>
      </c>
      <c r="O2103" s="6">
        <v>2652.7820000000002</v>
      </c>
      <c r="P2103" s="6">
        <v>3158</v>
      </c>
      <c r="Q2103" s="4" t="s">
        <v>26</v>
      </c>
      <c r="R2103" s="4">
        <v>0</v>
      </c>
      <c r="S2103" s="4" t="s">
        <v>554</v>
      </c>
      <c r="T2103" s="4" t="s">
        <v>811</v>
      </c>
      <c r="U2103" s="4">
        <v>0</v>
      </c>
      <c r="V2103" s="4">
        <v>57</v>
      </c>
      <c r="W2103" s="4">
        <v>100</v>
      </c>
    </row>
    <row r="2104" spans="1:23" ht="11.25" customHeight="1" x14ac:dyDescent="0.25">
      <c r="A2104" s="4" t="s">
        <v>27</v>
      </c>
      <c r="B2104" s="4" t="s">
        <v>37</v>
      </c>
      <c r="C2104" s="4" t="s">
        <v>23</v>
      </c>
      <c r="D2104" s="4" t="s">
        <v>38</v>
      </c>
      <c r="E2104" s="4" t="s">
        <v>25</v>
      </c>
      <c r="F2104" s="4" t="s">
        <v>25</v>
      </c>
      <c r="G2104" s="4" t="s">
        <v>25</v>
      </c>
      <c r="H2104" s="4" t="s">
        <v>25</v>
      </c>
      <c r="I2104" s="5">
        <v>44470</v>
      </c>
      <c r="J2104" s="6">
        <v>0</v>
      </c>
      <c r="K2104" s="6">
        <v>0</v>
      </c>
      <c r="L2104" s="6">
        <v>-8.1000000000000003E-2</v>
      </c>
      <c r="M2104" s="6">
        <v>-8.1000000000000003E-2</v>
      </c>
      <c r="N2104" s="6">
        <v>-8.1000000000000003E-2</v>
      </c>
      <c r="O2104" s="6">
        <v>-8.1000000000000003E-2</v>
      </c>
      <c r="P2104" s="6">
        <v>0</v>
      </c>
      <c r="Q2104" s="4" t="s">
        <v>26</v>
      </c>
      <c r="R2104" s="4">
        <v>0</v>
      </c>
      <c r="S2104" s="4" t="s">
        <v>554</v>
      </c>
      <c r="T2104" s="4" t="s">
        <v>811</v>
      </c>
      <c r="U2104" s="4">
        <v>0</v>
      </c>
      <c r="V2104" s="4">
        <v>57</v>
      </c>
      <c r="W2104" s="4">
        <v>100</v>
      </c>
    </row>
    <row r="2105" spans="1:23" ht="11.25" customHeight="1" x14ac:dyDescent="0.25">
      <c r="A2105" s="4" t="s">
        <v>28</v>
      </c>
      <c r="B2105" s="4" t="s">
        <v>37</v>
      </c>
      <c r="C2105" s="4" t="s">
        <v>23</v>
      </c>
      <c r="D2105" s="4" t="s">
        <v>38</v>
      </c>
      <c r="E2105" s="4" t="s">
        <v>25</v>
      </c>
      <c r="F2105" s="4" t="s">
        <v>25</v>
      </c>
      <c r="G2105" s="4" t="s">
        <v>25</v>
      </c>
      <c r="H2105" s="4" t="s">
        <v>25</v>
      </c>
      <c r="I2105" s="5">
        <v>44470</v>
      </c>
      <c r="J2105" s="6">
        <v>0</v>
      </c>
      <c r="K2105" s="6">
        <v>0</v>
      </c>
      <c r="L2105" s="6">
        <v>417.13099999999997</v>
      </c>
      <c r="M2105" s="6">
        <v>417.13099999999997</v>
      </c>
      <c r="N2105" s="6">
        <v>417.13099999999997</v>
      </c>
      <c r="O2105" s="6">
        <v>417.13099999999997</v>
      </c>
      <c r="P2105" s="6">
        <v>414</v>
      </c>
      <c r="Q2105" s="4" t="s">
        <v>26</v>
      </c>
      <c r="R2105" s="4">
        <v>0</v>
      </c>
      <c r="S2105" s="4" t="s">
        <v>554</v>
      </c>
      <c r="T2105" s="4" t="s">
        <v>811</v>
      </c>
      <c r="U2105" s="4">
        <v>0</v>
      </c>
      <c r="V2105" s="4">
        <v>57</v>
      </c>
      <c r="W2105" s="4">
        <v>100</v>
      </c>
    </row>
    <row r="2106" spans="1:23" ht="11.25" customHeight="1" x14ac:dyDescent="0.25">
      <c r="A2106" s="4" t="s">
        <v>28</v>
      </c>
      <c r="B2106" s="4" t="s">
        <v>37</v>
      </c>
      <c r="C2106" s="4" t="s">
        <v>23</v>
      </c>
      <c r="D2106" s="4" t="s">
        <v>38</v>
      </c>
      <c r="E2106" s="4" t="s">
        <v>25</v>
      </c>
      <c r="F2106" s="4" t="s">
        <v>25</v>
      </c>
      <c r="G2106" s="4" t="s">
        <v>25</v>
      </c>
      <c r="H2106" s="4" t="s">
        <v>25</v>
      </c>
      <c r="I2106" s="5">
        <v>44470</v>
      </c>
      <c r="J2106" s="6">
        <v>0</v>
      </c>
      <c r="K2106" s="6">
        <v>0</v>
      </c>
      <c r="L2106" s="6">
        <v>7.8979999999999997</v>
      </c>
      <c r="M2106" s="6">
        <v>7.8979999999999997</v>
      </c>
      <c r="N2106" s="6">
        <v>7.8979999999999997</v>
      </c>
      <c r="O2106" s="6">
        <v>7.8979999999999997</v>
      </c>
      <c r="P2106" s="6">
        <v>1</v>
      </c>
      <c r="Q2106" s="4" t="s">
        <v>26</v>
      </c>
      <c r="R2106" s="4">
        <v>0</v>
      </c>
      <c r="S2106" s="4" t="s">
        <v>554</v>
      </c>
      <c r="T2106" s="4" t="s">
        <v>811</v>
      </c>
      <c r="U2106" s="4">
        <v>0</v>
      </c>
      <c r="V2106" s="4">
        <v>57</v>
      </c>
      <c r="W2106" s="4">
        <v>100</v>
      </c>
    </row>
    <row r="2107" spans="1:23" ht="11.25" customHeight="1" x14ac:dyDescent="0.25">
      <c r="A2107" s="4" t="s">
        <v>21</v>
      </c>
      <c r="B2107" s="4" t="s">
        <v>37</v>
      </c>
      <c r="C2107" s="4" t="s">
        <v>23</v>
      </c>
      <c r="D2107" s="4" t="s">
        <v>38</v>
      </c>
      <c r="E2107" s="4" t="s">
        <v>25</v>
      </c>
      <c r="F2107" s="4" t="s">
        <v>25</v>
      </c>
      <c r="G2107" s="4" t="s">
        <v>25</v>
      </c>
      <c r="H2107" s="4" t="s">
        <v>25</v>
      </c>
      <c r="I2107" s="5">
        <v>44501</v>
      </c>
      <c r="J2107" s="6">
        <v>0</v>
      </c>
      <c r="K2107" s="6">
        <v>0</v>
      </c>
      <c r="L2107" s="6">
        <v>2483.2800000000002</v>
      </c>
      <c r="M2107" s="6">
        <v>2483.2800000000002</v>
      </c>
      <c r="N2107" s="6">
        <v>2483.2800000000002</v>
      </c>
      <c r="O2107" s="6">
        <v>2483.2800000000002</v>
      </c>
      <c r="P2107" s="6">
        <v>3145</v>
      </c>
      <c r="Q2107" s="4" t="s">
        <v>26</v>
      </c>
      <c r="R2107" s="4">
        <v>0</v>
      </c>
      <c r="S2107" s="4" t="s">
        <v>555</v>
      </c>
      <c r="T2107" s="4" t="s">
        <v>812</v>
      </c>
      <c r="U2107" s="4">
        <v>0</v>
      </c>
      <c r="V2107" s="4">
        <v>57</v>
      </c>
      <c r="W2107" s="4">
        <v>100</v>
      </c>
    </row>
    <row r="2108" spans="1:23" ht="11.25" customHeight="1" x14ac:dyDescent="0.25">
      <c r="A2108" s="4" t="s">
        <v>27</v>
      </c>
      <c r="B2108" s="4" t="s">
        <v>37</v>
      </c>
      <c r="C2108" s="4" t="s">
        <v>23</v>
      </c>
      <c r="D2108" s="4" t="s">
        <v>38</v>
      </c>
      <c r="E2108" s="4" t="s">
        <v>25</v>
      </c>
      <c r="F2108" s="4" t="s">
        <v>25</v>
      </c>
      <c r="G2108" s="4" t="s">
        <v>25</v>
      </c>
      <c r="H2108" s="4" t="s">
        <v>25</v>
      </c>
      <c r="I2108" s="5">
        <v>44501</v>
      </c>
      <c r="J2108" s="6">
        <v>0</v>
      </c>
      <c r="K2108" s="6">
        <v>0</v>
      </c>
      <c r="L2108" s="6">
        <v>-0.1</v>
      </c>
      <c r="M2108" s="6">
        <v>-0.1</v>
      </c>
      <c r="N2108" s="6">
        <v>-0.1</v>
      </c>
      <c r="O2108" s="6">
        <v>-0.1</v>
      </c>
      <c r="P2108" s="6">
        <v>-1</v>
      </c>
      <c r="Q2108" s="4" t="s">
        <v>26</v>
      </c>
      <c r="R2108" s="4">
        <v>0</v>
      </c>
      <c r="S2108" s="4" t="s">
        <v>555</v>
      </c>
      <c r="T2108" s="4" t="s">
        <v>812</v>
      </c>
      <c r="U2108" s="4">
        <v>0</v>
      </c>
      <c r="V2108" s="4">
        <v>57</v>
      </c>
      <c r="W2108" s="4">
        <v>100</v>
      </c>
    </row>
    <row r="2109" spans="1:23" ht="11.25" customHeight="1" x14ac:dyDescent="0.25">
      <c r="A2109" s="4" t="s">
        <v>28</v>
      </c>
      <c r="B2109" s="4" t="s">
        <v>37</v>
      </c>
      <c r="C2109" s="4" t="s">
        <v>23</v>
      </c>
      <c r="D2109" s="4" t="s">
        <v>38</v>
      </c>
      <c r="E2109" s="4" t="s">
        <v>25</v>
      </c>
      <c r="F2109" s="4" t="s">
        <v>25</v>
      </c>
      <c r="G2109" s="4" t="s">
        <v>25</v>
      </c>
      <c r="H2109" s="4" t="s">
        <v>25</v>
      </c>
      <c r="I2109" s="5">
        <v>44501</v>
      </c>
      <c r="J2109" s="6">
        <v>0</v>
      </c>
      <c r="K2109" s="6">
        <v>0</v>
      </c>
      <c r="L2109" s="6">
        <v>423.94</v>
      </c>
      <c r="M2109" s="6">
        <v>423.94</v>
      </c>
      <c r="N2109" s="6">
        <v>423.94</v>
      </c>
      <c r="O2109" s="6">
        <v>423.94</v>
      </c>
      <c r="P2109" s="6">
        <v>425</v>
      </c>
      <c r="Q2109" s="4" t="s">
        <v>26</v>
      </c>
      <c r="R2109" s="4">
        <v>0</v>
      </c>
      <c r="S2109" s="4" t="s">
        <v>555</v>
      </c>
      <c r="T2109" s="4" t="s">
        <v>812</v>
      </c>
      <c r="U2109" s="4">
        <v>0</v>
      </c>
      <c r="V2109" s="4">
        <v>57</v>
      </c>
      <c r="W2109" s="4">
        <v>100</v>
      </c>
    </row>
    <row r="2110" spans="1:23" ht="11.25" customHeight="1" x14ac:dyDescent="0.25">
      <c r="A2110" s="4" t="s">
        <v>21</v>
      </c>
      <c r="B2110" s="4" t="s">
        <v>37</v>
      </c>
      <c r="C2110" s="4" t="s">
        <v>23</v>
      </c>
      <c r="D2110" s="4" t="s">
        <v>38</v>
      </c>
      <c r="E2110" s="4" t="s">
        <v>25</v>
      </c>
      <c r="F2110" s="4" t="s">
        <v>25</v>
      </c>
      <c r="G2110" s="4" t="s">
        <v>25</v>
      </c>
      <c r="H2110" s="4" t="s">
        <v>25</v>
      </c>
      <c r="I2110" s="5">
        <v>44531</v>
      </c>
      <c r="J2110" s="6">
        <v>0</v>
      </c>
      <c r="K2110" s="6">
        <v>0</v>
      </c>
      <c r="L2110" s="6">
        <v>2609.712</v>
      </c>
      <c r="M2110" s="6">
        <v>2609.712</v>
      </c>
      <c r="N2110" s="6">
        <v>2609.712</v>
      </c>
      <c r="O2110" s="6">
        <v>2609.712</v>
      </c>
      <c r="P2110" s="6">
        <v>3095</v>
      </c>
      <c r="Q2110" s="4" t="s">
        <v>26</v>
      </c>
      <c r="R2110" s="4">
        <v>0</v>
      </c>
      <c r="S2110" s="4" t="s">
        <v>556</v>
      </c>
      <c r="T2110" s="4" t="s">
        <v>813</v>
      </c>
      <c r="U2110" s="4">
        <v>0</v>
      </c>
      <c r="V2110" s="4">
        <v>57</v>
      </c>
      <c r="W2110" s="4">
        <v>100</v>
      </c>
    </row>
    <row r="2111" spans="1:23" ht="11.25" customHeight="1" x14ac:dyDescent="0.25">
      <c r="A2111" s="4" t="s">
        <v>27</v>
      </c>
      <c r="B2111" s="4" t="s">
        <v>37</v>
      </c>
      <c r="C2111" s="4" t="s">
        <v>23</v>
      </c>
      <c r="D2111" s="4" t="s">
        <v>38</v>
      </c>
      <c r="E2111" s="4" t="s">
        <v>25</v>
      </c>
      <c r="F2111" s="4" t="s">
        <v>25</v>
      </c>
      <c r="G2111" s="4" t="s">
        <v>25</v>
      </c>
      <c r="H2111" s="4" t="s">
        <v>25</v>
      </c>
      <c r="I2111" s="5">
        <v>44531</v>
      </c>
      <c r="J2111" s="6">
        <v>0</v>
      </c>
      <c r="K2111" s="6">
        <v>0</v>
      </c>
      <c r="L2111" s="6">
        <v>-20.425000000000001</v>
      </c>
      <c r="M2111" s="6">
        <v>-20.425000000000001</v>
      </c>
      <c r="N2111" s="6">
        <v>-20.425000000000001</v>
      </c>
      <c r="O2111" s="6">
        <v>-20.425000000000001</v>
      </c>
      <c r="P2111" s="6">
        <v>-4</v>
      </c>
      <c r="Q2111" s="4" t="s">
        <v>26</v>
      </c>
      <c r="R2111" s="4">
        <v>0</v>
      </c>
      <c r="S2111" s="4" t="s">
        <v>556</v>
      </c>
      <c r="T2111" s="4" t="s">
        <v>813</v>
      </c>
      <c r="U2111" s="4">
        <v>0</v>
      </c>
      <c r="V2111" s="4">
        <v>57</v>
      </c>
      <c r="W2111" s="4">
        <v>100</v>
      </c>
    </row>
    <row r="2112" spans="1:23" ht="11.25" customHeight="1" x14ac:dyDescent="0.25">
      <c r="A2112" s="4" t="s">
        <v>28</v>
      </c>
      <c r="B2112" s="4" t="s">
        <v>37</v>
      </c>
      <c r="C2112" s="4" t="s">
        <v>23</v>
      </c>
      <c r="D2112" s="4" t="s">
        <v>38</v>
      </c>
      <c r="E2112" s="4" t="s">
        <v>25</v>
      </c>
      <c r="F2112" s="4" t="s">
        <v>25</v>
      </c>
      <c r="G2112" s="4" t="s">
        <v>25</v>
      </c>
      <c r="H2112" s="4" t="s">
        <v>25</v>
      </c>
      <c r="I2112" s="5">
        <v>44531</v>
      </c>
      <c r="J2112" s="6">
        <v>0</v>
      </c>
      <c r="K2112" s="6">
        <v>0</v>
      </c>
      <c r="L2112" s="6">
        <v>515.20399999999995</v>
      </c>
      <c r="M2112" s="6">
        <v>515.20399999999995</v>
      </c>
      <c r="N2112" s="6">
        <v>515.20399999999995</v>
      </c>
      <c r="O2112" s="6">
        <v>515.20399999999995</v>
      </c>
      <c r="P2112" s="6">
        <v>442</v>
      </c>
      <c r="Q2112" s="4" t="s">
        <v>26</v>
      </c>
      <c r="R2112" s="4">
        <v>0</v>
      </c>
      <c r="S2112" s="4" t="s">
        <v>556</v>
      </c>
      <c r="T2112" s="4" t="s">
        <v>813</v>
      </c>
      <c r="U2112" s="4">
        <v>0</v>
      </c>
      <c r="V2112" s="4">
        <v>57</v>
      </c>
      <c r="W2112" s="4">
        <v>100</v>
      </c>
    </row>
    <row r="2113" spans="1:23" ht="11.25" customHeight="1" x14ac:dyDescent="0.25">
      <c r="A2113" s="4" t="s">
        <v>28</v>
      </c>
      <c r="B2113" s="4" t="s">
        <v>37</v>
      </c>
      <c r="C2113" s="4" t="s">
        <v>23</v>
      </c>
      <c r="D2113" s="4" t="s">
        <v>38</v>
      </c>
      <c r="E2113" s="4" t="s">
        <v>25</v>
      </c>
      <c r="F2113" s="4" t="s">
        <v>25</v>
      </c>
      <c r="G2113" s="4" t="s">
        <v>25</v>
      </c>
      <c r="H2113" s="4" t="s">
        <v>25</v>
      </c>
      <c r="I2113" s="5">
        <v>44531</v>
      </c>
      <c r="J2113" s="6">
        <v>0</v>
      </c>
      <c r="K2113" s="6">
        <v>0</v>
      </c>
      <c r="L2113" s="6">
        <v>-0.36</v>
      </c>
      <c r="M2113" s="6">
        <v>-0.36</v>
      </c>
      <c r="N2113" s="6">
        <v>-0.36</v>
      </c>
      <c r="O2113" s="6">
        <v>-0.36</v>
      </c>
      <c r="P2113" s="6">
        <v>0</v>
      </c>
      <c r="Q2113" s="4" t="s">
        <v>26</v>
      </c>
      <c r="R2113" s="4">
        <v>0</v>
      </c>
      <c r="S2113" s="4" t="s">
        <v>556</v>
      </c>
      <c r="T2113" s="4" t="s">
        <v>813</v>
      </c>
      <c r="U2113" s="4">
        <v>0</v>
      </c>
      <c r="V2113" s="4">
        <v>57</v>
      </c>
      <c r="W2113" s="4">
        <v>100</v>
      </c>
    </row>
    <row r="2114" spans="1:23" ht="11.25" customHeight="1" x14ac:dyDescent="0.25">
      <c r="A2114" s="4" t="s">
        <v>21</v>
      </c>
      <c r="B2114" s="4" t="s">
        <v>37</v>
      </c>
      <c r="C2114" s="4" t="s">
        <v>23</v>
      </c>
      <c r="D2114" s="4" t="s">
        <v>38</v>
      </c>
      <c r="E2114" s="4" t="s">
        <v>25</v>
      </c>
      <c r="F2114" s="4" t="s">
        <v>25</v>
      </c>
      <c r="G2114" s="4" t="s">
        <v>25</v>
      </c>
      <c r="H2114" s="4" t="s">
        <v>25</v>
      </c>
      <c r="I2114" s="5">
        <v>44562</v>
      </c>
      <c r="J2114" s="6">
        <v>0</v>
      </c>
      <c r="K2114" s="6">
        <v>0</v>
      </c>
      <c r="L2114" s="6">
        <v>2320.2629999999999</v>
      </c>
      <c r="M2114" s="6">
        <v>2320.2629999999999</v>
      </c>
      <c r="N2114" s="6">
        <v>2320.2629999999999</v>
      </c>
      <c r="O2114" s="6">
        <v>2320.2629999999999</v>
      </c>
      <c r="P2114" s="6">
        <v>3083</v>
      </c>
      <c r="Q2114" s="4" t="s">
        <v>26</v>
      </c>
      <c r="R2114" s="4">
        <v>0</v>
      </c>
      <c r="S2114" s="4" t="s">
        <v>557</v>
      </c>
      <c r="T2114" s="4" t="s">
        <v>814</v>
      </c>
      <c r="U2114" s="4">
        <v>0</v>
      </c>
      <c r="V2114" s="4">
        <v>57</v>
      </c>
      <c r="W2114" s="4">
        <v>100</v>
      </c>
    </row>
    <row r="2115" spans="1:23" ht="11.25" customHeight="1" x14ac:dyDescent="0.25">
      <c r="A2115" s="4" t="s">
        <v>28</v>
      </c>
      <c r="B2115" s="4" t="s">
        <v>37</v>
      </c>
      <c r="C2115" s="4" t="s">
        <v>23</v>
      </c>
      <c r="D2115" s="4" t="s">
        <v>38</v>
      </c>
      <c r="E2115" s="4" t="s">
        <v>25</v>
      </c>
      <c r="F2115" s="4" t="s">
        <v>25</v>
      </c>
      <c r="G2115" s="4" t="s">
        <v>25</v>
      </c>
      <c r="H2115" s="4" t="s">
        <v>25</v>
      </c>
      <c r="I2115" s="5">
        <v>44562</v>
      </c>
      <c r="J2115" s="6">
        <v>0</v>
      </c>
      <c r="K2115" s="6">
        <v>0</v>
      </c>
      <c r="L2115" s="6">
        <v>413.72800000000001</v>
      </c>
      <c r="M2115" s="6">
        <v>413.72800000000001</v>
      </c>
      <c r="N2115" s="6">
        <v>413.72800000000001</v>
      </c>
      <c r="O2115" s="6">
        <v>413.72800000000001</v>
      </c>
      <c r="P2115" s="6">
        <v>453</v>
      </c>
      <c r="Q2115" s="4" t="s">
        <v>26</v>
      </c>
      <c r="R2115" s="4">
        <v>0</v>
      </c>
      <c r="S2115" s="4" t="s">
        <v>557</v>
      </c>
      <c r="T2115" s="4" t="s">
        <v>814</v>
      </c>
      <c r="U2115" s="4">
        <v>0</v>
      </c>
      <c r="V2115" s="4">
        <v>57</v>
      </c>
      <c r="W2115" s="4">
        <v>100</v>
      </c>
    </row>
    <row r="2116" spans="1:23" ht="11.25" customHeight="1" x14ac:dyDescent="0.25">
      <c r="A2116" s="4" t="s">
        <v>28</v>
      </c>
      <c r="B2116" s="4" t="s">
        <v>37</v>
      </c>
      <c r="C2116" s="4" t="s">
        <v>23</v>
      </c>
      <c r="D2116" s="4" t="s">
        <v>38</v>
      </c>
      <c r="E2116" s="4" t="s">
        <v>25</v>
      </c>
      <c r="F2116" s="4" t="s">
        <v>25</v>
      </c>
      <c r="G2116" s="4" t="s">
        <v>25</v>
      </c>
      <c r="H2116" s="4" t="s">
        <v>25</v>
      </c>
      <c r="I2116" s="5">
        <v>44562</v>
      </c>
      <c r="J2116" s="6">
        <v>0</v>
      </c>
      <c r="K2116" s="6">
        <v>0</v>
      </c>
      <c r="L2116" s="6">
        <v>-0.748</v>
      </c>
      <c r="M2116" s="6">
        <v>-0.748</v>
      </c>
      <c r="N2116" s="6">
        <v>-0.748</v>
      </c>
      <c r="O2116" s="6">
        <v>-0.748</v>
      </c>
      <c r="P2116" s="6">
        <v>0</v>
      </c>
      <c r="Q2116" s="4" t="s">
        <v>26</v>
      </c>
      <c r="R2116" s="4">
        <v>0</v>
      </c>
      <c r="S2116" s="4" t="s">
        <v>557</v>
      </c>
      <c r="T2116" s="4" t="s">
        <v>814</v>
      </c>
      <c r="U2116" s="4">
        <v>0</v>
      </c>
      <c r="V2116" s="4">
        <v>57</v>
      </c>
      <c r="W2116" s="4">
        <v>100</v>
      </c>
    </row>
    <row r="2117" spans="1:23" ht="11.25" customHeight="1" x14ac:dyDescent="0.25">
      <c r="A2117" s="4" t="s">
        <v>21</v>
      </c>
      <c r="B2117" s="4" t="s">
        <v>37</v>
      </c>
      <c r="C2117" s="4" t="s">
        <v>23</v>
      </c>
      <c r="D2117" s="4" t="s">
        <v>38</v>
      </c>
      <c r="E2117" s="4" t="s">
        <v>25</v>
      </c>
      <c r="F2117" s="4" t="s">
        <v>25</v>
      </c>
      <c r="G2117" s="4" t="s">
        <v>25</v>
      </c>
      <c r="H2117" s="4" t="s">
        <v>25</v>
      </c>
      <c r="I2117" s="5">
        <v>44593</v>
      </c>
      <c r="J2117" s="6">
        <v>0</v>
      </c>
      <c r="K2117" s="6">
        <v>0</v>
      </c>
      <c r="L2117" s="6">
        <v>2226.7370000000001</v>
      </c>
      <c r="M2117" s="6">
        <v>2226.7370000000001</v>
      </c>
      <c r="N2117" s="6">
        <v>2226.7370000000001</v>
      </c>
      <c r="O2117" s="6">
        <v>2226.7370000000001</v>
      </c>
      <c r="P2117" s="6">
        <v>3134</v>
      </c>
      <c r="Q2117" s="4" t="s">
        <v>26</v>
      </c>
      <c r="R2117" s="4">
        <v>0</v>
      </c>
      <c r="S2117" s="4" t="s">
        <v>558</v>
      </c>
      <c r="T2117" s="4" t="s">
        <v>815</v>
      </c>
      <c r="U2117" s="4">
        <v>0</v>
      </c>
      <c r="V2117" s="4">
        <v>57</v>
      </c>
      <c r="W2117" s="4">
        <v>100</v>
      </c>
    </row>
    <row r="2118" spans="1:23" ht="11.25" customHeight="1" x14ac:dyDescent="0.25">
      <c r="A2118" s="4" t="s">
        <v>27</v>
      </c>
      <c r="B2118" s="4" t="s">
        <v>37</v>
      </c>
      <c r="C2118" s="4" t="s">
        <v>23</v>
      </c>
      <c r="D2118" s="4" t="s">
        <v>38</v>
      </c>
      <c r="E2118" s="4" t="s">
        <v>25</v>
      </c>
      <c r="F2118" s="4" t="s">
        <v>25</v>
      </c>
      <c r="G2118" s="4" t="s">
        <v>25</v>
      </c>
      <c r="H2118" s="4" t="s">
        <v>25</v>
      </c>
      <c r="I2118" s="5">
        <v>44593</v>
      </c>
      <c r="J2118" s="6">
        <v>0</v>
      </c>
      <c r="K2118" s="6">
        <v>0</v>
      </c>
      <c r="L2118" s="6">
        <v>-3.641</v>
      </c>
      <c r="M2118" s="6">
        <v>-3.641</v>
      </c>
      <c r="N2118" s="6">
        <v>-3.641</v>
      </c>
      <c r="O2118" s="6">
        <v>-3.641</v>
      </c>
      <c r="P2118" s="6">
        <v>0</v>
      </c>
      <c r="Q2118" s="4" t="s">
        <v>26</v>
      </c>
      <c r="R2118" s="4">
        <v>0</v>
      </c>
      <c r="S2118" s="4" t="s">
        <v>558</v>
      </c>
      <c r="T2118" s="4" t="s">
        <v>815</v>
      </c>
      <c r="U2118" s="4">
        <v>0</v>
      </c>
      <c r="V2118" s="4">
        <v>57</v>
      </c>
      <c r="W2118" s="4">
        <v>100</v>
      </c>
    </row>
    <row r="2119" spans="1:23" ht="11.25" customHeight="1" x14ac:dyDescent="0.25">
      <c r="A2119" s="4" t="s">
        <v>28</v>
      </c>
      <c r="B2119" s="4" t="s">
        <v>37</v>
      </c>
      <c r="C2119" s="4" t="s">
        <v>23</v>
      </c>
      <c r="D2119" s="4" t="s">
        <v>38</v>
      </c>
      <c r="E2119" s="4" t="s">
        <v>25</v>
      </c>
      <c r="F2119" s="4" t="s">
        <v>25</v>
      </c>
      <c r="G2119" s="4" t="s">
        <v>25</v>
      </c>
      <c r="H2119" s="4" t="s">
        <v>25</v>
      </c>
      <c r="I2119" s="5">
        <v>44593</v>
      </c>
      <c r="J2119" s="6">
        <v>0</v>
      </c>
      <c r="K2119" s="6">
        <v>0</v>
      </c>
      <c r="L2119" s="6">
        <v>393.83699999999999</v>
      </c>
      <c r="M2119" s="6">
        <v>393.83699999999999</v>
      </c>
      <c r="N2119" s="6">
        <v>393.83699999999999</v>
      </c>
      <c r="O2119" s="6">
        <v>393.83699999999999</v>
      </c>
      <c r="P2119" s="6">
        <v>468</v>
      </c>
      <c r="Q2119" s="4" t="s">
        <v>26</v>
      </c>
      <c r="R2119" s="4">
        <v>0</v>
      </c>
      <c r="S2119" s="4" t="s">
        <v>558</v>
      </c>
      <c r="T2119" s="4" t="s">
        <v>815</v>
      </c>
      <c r="U2119" s="4">
        <v>0</v>
      </c>
      <c r="V2119" s="4">
        <v>57</v>
      </c>
      <c r="W2119" s="4">
        <v>100</v>
      </c>
    </row>
    <row r="2120" spans="1:23" ht="11.25" customHeight="1" x14ac:dyDescent="0.25">
      <c r="A2120" s="4" t="s">
        <v>28</v>
      </c>
      <c r="B2120" s="4" t="s">
        <v>37</v>
      </c>
      <c r="C2120" s="4" t="s">
        <v>23</v>
      </c>
      <c r="D2120" s="4" t="s">
        <v>38</v>
      </c>
      <c r="E2120" s="4" t="s">
        <v>25</v>
      </c>
      <c r="F2120" s="4" t="s">
        <v>25</v>
      </c>
      <c r="G2120" s="4" t="s">
        <v>25</v>
      </c>
      <c r="H2120" s="4" t="s">
        <v>25</v>
      </c>
      <c r="I2120" s="5">
        <v>44593</v>
      </c>
      <c r="J2120" s="6">
        <v>0</v>
      </c>
      <c r="K2120" s="6">
        <v>0</v>
      </c>
      <c r="L2120" s="6">
        <v>-8.1829999999999998</v>
      </c>
      <c r="M2120" s="6">
        <v>-8.1829999999999998</v>
      </c>
      <c r="N2120" s="6">
        <v>-8.1829999999999998</v>
      </c>
      <c r="O2120" s="6">
        <v>-8.1829999999999998</v>
      </c>
      <c r="P2120" s="6">
        <v>0</v>
      </c>
      <c r="Q2120" s="4" t="s">
        <v>26</v>
      </c>
      <c r="R2120" s="4">
        <v>0</v>
      </c>
      <c r="S2120" s="4" t="s">
        <v>558</v>
      </c>
      <c r="T2120" s="4" t="s">
        <v>815</v>
      </c>
      <c r="U2120" s="4">
        <v>0</v>
      </c>
      <c r="V2120" s="4">
        <v>57</v>
      </c>
      <c r="W2120" s="4">
        <v>100</v>
      </c>
    </row>
    <row r="2121" spans="1:23" ht="11.25" customHeight="1" x14ac:dyDescent="0.25">
      <c r="A2121" s="4" t="s">
        <v>21</v>
      </c>
      <c r="B2121" s="4" t="s">
        <v>37</v>
      </c>
      <c r="C2121" s="4" t="s">
        <v>23</v>
      </c>
      <c r="D2121" s="4" t="s">
        <v>38</v>
      </c>
      <c r="E2121" s="4" t="s">
        <v>25</v>
      </c>
      <c r="F2121" s="4" t="s">
        <v>25</v>
      </c>
      <c r="G2121" s="4" t="s">
        <v>25</v>
      </c>
      <c r="H2121" s="4" t="s">
        <v>25</v>
      </c>
      <c r="I2121" s="5">
        <v>44621</v>
      </c>
      <c r="J2121" s="6">
        <v>0</v>
      </c>
      <c r="K2121" s="6">
        <v>0</v>
      </c>
      <c r="L2121" s="6">
        <v>2510.7179999999998</v>
      </c>
      <c r="M2121" s="6">
        <v>2510.7179999999998</v>
      </c>
      <c r="N2121" s="6">
        <v>2510.7179999999998</v>
      </c>
      <c r="O2121" s="6">
        <v>2510.7179999999998</v>
      </c>
      <c r="P2121" s="6">
        <v>3122</v>
      </c>
      <c r="Q2121" s="4" t="s">
        <v>26</v>
      </c>
      <c r="R2121" s="4">
        <v>0</v>
      </c>
      <c r="S2121" s="4" t="s">
        <v>559</v>
      </c>
      <c r="T2121" s="4" t="s">
        <v>816</v>
      </c>
      <c r="U2121" s="4">
        <v>0</v>
      </c>
      <c r="V2121" s="4">
        <v>57</v>
      </c>
      <c r="W2121" s="4">
        <v>100</v>
      </c>
    </row>
    <row r="2122" spans="1:23" ht="11.25" customHeight="1" x14ac:dyDescent="0.25">
      <c r="A2122" s="4" t="s">
        <v>27</v>
      </c>
      <c r="B2122" s="4" t="s">
        <v>37</v>
      </c>
      <c r="C2122" s="4" t="s">
        <v>23</v>
      </c>
      <c r="D2122" s="4" t="s">
        <v>38</v>
      </c>
      <c r="E2122" s="4" t="s">
        <v>25</v>
      </c>
      <c r="F2122" s="4" t="s">
        <v>25</v>
      </c>
      <c r="G2122" s="4" t="s">
        <v>25</v>
      </c>
      <c r="H2122" s="4" t="s">
        <v>25</v>
      </c>
      <c r="I2122" s="5">
        <v>44621</v>
      </c>
      <c r="J2122" s="6">
        <v>0</v>
      </c>
      <c r="K2122" s="6">
        <v>0</v>
      </c>
      <c r="L2122" s="6">
        <v>-37.988</v>
      </c>
      <c r="M2122" s="6">
        <v>-37.988</v>
      </c>
      <c r="N2122" s="6">
        <v>-37.988</v>
      </c>
      <c r="O2122" s="6">
        <v>-37.988</v>
      </c>
      <c r="P2122" s="6">
        <v>-1</v>
      </c>
      <c r="Q2122" s="4" t="s">
        <v>26</v>
      </c>
      <c r="R2122" s="4">
        <v>0</v>
      </c>
      <c r="S2122" s="4" t="s">
        <v>559</v>
      </c>
      <c r="T2122" s="4" t="s">
        <v>816</v>
      </c>
      <c r="U2122" s="4">
        <v>0</v>
      </c>
      <c r="V2122" s="4">
        <v>57</v>
      </c>
      <c r="W2122" s="4">
        <v>100</v>
      </c>
    </row>
    <row r="2123" spans="1:23" ht="11.25" customHeight="1" x14ac:dyDescent="0.25">
      <c r="A2123" s="4" t="s">
        <v>28</v>
      </c>
      <c r="B2123" s="4" t="s">
        <v>37</v>
      </c>
      <c r="C2123" s="4" t="s">
        <v>23</v>
      </c>
      <c r="D2123" s="4" t="s">
        <v>38</v>
      </c>
      <c r="E2123" s="4" t="s">
        <v>25</v>
      </c>
      <c r="F2123" s="4" t="s">
        <v>25</v>
      </c>
      <c r="G2123" s="4" t="s">
        <v>25</v>
      </c>
      <c r="H2123" s="4" t="s">
        <v>25</v>
      </c>
      <c r="I2123" s="5">
        <v>44621</v>
      </c>
      <c r="J2123" s="6">
        <v>0</v>
      </c>
      <c r="K2123" s="6">
        <v>0</v>
      </c>
      <c r="L2123" s="6">
        <v>419.55500000000001</v>
      </c>
      <c r="M2123" s="6">
        <v>419.55500000000001</v>
      </c>
      <c r="N2123" s="6">
        <v>419.55500000000001</v>
      </c>
      <c r="O2123" s="6">
        <v>419.55500000000001</v>
      </c>
      <c r="P2123" s="6">
        <v>484</v>
      </c>
      <c r="Q2123" s="4" t="s">
        <v>26</v>
      </c>
      <c r="R2123" s="4">
        <v>0</v>
      </c>
      <c r="S2123" s="4" t="s">
        <v>559</v>
      </c>
      <c r="T2123" s="4" t="s">
        <v>816</v>
      </c>
      <c r="U2123" s="4">
        <v>0</v>
      </c>
      <c r="V2123" s="4">
        <v>57</v>
      </c>
      <c r="W2123" s="4">
        <v>100</v>
      </c>
    </row>
    <row r="2124" spans="1:23" ht="11.25" customHeight="1" x14ac:dyDescent="0.25">
      <c r="A2124" s="4" t="s">
        <v>28</v>
      </c>
      <c r="B2124" s="4" t="s">
        <v>37</v>
      </c>
      <c r="C2124" s="4" t="s">
        <v>23</v>
      </c>
      <c r="D2124" s="4" t="s">
        <v>38</v>
      </c>
      <c r="E2124" s="4" t="s">
        <v>25</v>
      </c>
      <c r="F2124" s="4" t="s">
        <v>25</v>
      </c>
      <c r="G2124" s="4" t="s">
        <v>25</v>
      </c>
      <c r="H2124" s="4" t="s">
        <v>25</v>
      </c>
      <c r="I2124" s="5">
        <v>44621</v>
      </c>
      <c r="J2124" s="6">
        <v>0</v>
      </c>
      <c r="K2124" s="6">
        <v>0</v>
      </c>
      <c r="L2124" s="6">
        <v>-2.5539999999999998</v>
      </c>
      <c r="M2124" s="6">
        <v>-2.5539999999999998</v>
      </c>
      <c r="N2124" s="6">
        <v>-2.5539999999999998</v>
      </c>
      <c r="O2124" s="6">
        <v>-2.5539999999999998</v>
      </c>
      <c r="P2124" s="6">
        <v>0</v>
      </c>
      <c r="Q2124" s="4" t="s">
        <v>26</v>
      </c>
      <c r="R2124" s="4">
        <v>0</v>
      </c>
      <c r="S2124" s="4" t="s">
        <v>559</v>
      </c>
      <c r="T2124" s="4" t="s">
        <v>816</v>
      </c>
      <c r="U2124" s="4">
        <v>0</v>
      </c>
      <c r="V2124" s="4">
        <v>57</v>
      </c>
      <c r="W2124" s="4">
        <v>100</v>
      </c>
    </row>
    <row r="2125" spans="1:23" ht="11.25" customHeight="1" x14ac:dyDescent="0.25">
      <c r="A2125" s="4" t="s">
        <v>21</v>
      </c>
      <c r="B2125" s="4" t="s">
        <v>37</v>
      </c>
      <c r="C2125" s="4" t="s">
        <v>23</v>
      </c>
      <c r="D2125" s="4" t="s">
        <v>38</v>
      </c>
      <c r="E2125" s="4" t="s">
        <v>25</v>
      </c>
      <c r="F2125" s="4" t="s">
        <v>25</v>
      </c>
      <c r="G2125" s="4" t="s">
        <v>25</v>
      </c>
      <c r="H2125" s="4" t="s">
        <v>25</v>
      </c>
      <c r="I2125" s="5">
        <v>44652</v>
      </c>
      <c r="J2125" s="6">
        <v>0</v>
      </c>
      <c r="K2125" s="6">
        <v>0</v>
      </c>
      <c r="L2125" s="6">
        <v>2466.7739999999999</v>
      </c>
      <c r="M2125" s="6">
        <v>2466.7739999999999</v>
      </c>
      <c r="N2125" s="6">
        <v>2466.7739999999999</v>
      </c>
      <c r="O2125" s="6">
        <v>2466.7739999999999</v>
      </c>
      <c r="P2125" s="6">
        <v>3116</v>
      </c>
      <c r="Q2125" s="4" t="s">
        <v>26</v>
      </c>
      <c r="R2125" s="4">
        <v>0</v>
      </c>
      <c r="S2125" s="4" t="s">
        <v>560</v>
      </c>
      <c r="T2125" s="4" t="s">
        <v>817</v>
      </c>
      <c r="U2125" s="4">
        <v>0</v>
      </c>
      <c r="V2125" s="4">
        <v>57</v>
      </c>
      <c r="W2125" s="4">
        <v>100</v>
      </c>
    </row>
    <row r="2126" spans="1:23" ht="11.25" customHeight="1" x14ac:dyDescent="0.25">
      <c r="A2126" s="4" t="s">
        <v>27</v>
      </c>
      <c r="B2126" s="4" t="s">
        <v>37</v>
      </c>
      <c r="C2126" s="4" t="s">
        <v>23</v>
      </c>
      <c r="D2126" s="4" t="s">
        <v>38</v>
      </c>
      <c r="E2126" s="4" t="s">
        <v>25</v>
      </c>
      <c r="F2126" s="4" t="s">
        <v>25</v>
      </c>
      <c r="G2126" s="4" t="s">
        <v>25</v>
      </c>
      <c r="H2126" s="4" t="s">
        <v>25</v>
      </c>
      <c r="I2126" s="5">
        <v>44652</v>
      </c>
      <c r="J2126" s="6">
        <v>0</v>
      </c>
      <c r="K2126" s="6">
        <v>0</v>
      </c>
      <c r="L2126" s="6">
        <v>-21.507999999999999</v>
      </c>
      <c r="M2126" s="6">
        <v>-21.507999999999999</v>
      </c>
      <c r="N2126" s="6">
        <v>-21.507999999999999</v>
      </c>
      <c r="O2126" s="6">
        <v>-21.507999999999999</v>
      </c>
      <c r="P2126" s="6">
        <v>-2</v>
      </c>
      <c r="Q2126" s="4" t="s">
        <v>26</v>
      </c>
      <c r="R2126" s="4">
        <v>0</v>
      </c>
      <c r="S2126" s="4" t="s">
        <v>560</v>
      </c>
      <c r="T2126" s="4" t="s">
        <v>817</v>
      </c>
      <c r="U2126" s="4">
        <v>0</v>
      </c>
      <c r="V2126" s="4">
        <v>57</v>
      </c>
      <c r="W2126" s="4">
        <v>100</v>
      </c>
    </row>
    <row r="2127" spans="1:23" ht="11.25" customHeight="1" x14ac:dyDescent="0.25">
      <c r="A2127" s="4" t="s">
        <v>28</v>
      </c>
      <c r="B2127" s="4" t="s">
        <v>37</v>
      </c>
      <c r="C2127" s="4" t="s">
        <v>23</v>
      </c>
      <c r="D2127" s="4" t="s">
        <v>38</v>
      </c>
      <c r="E2127" s="4" t="s">
        <v>25</v>
      </c>
      <c r="F2127" s="4" t="s">
        <v>25</v>
      </c>
      <c r="G2127" s="4" t="s">
        <v>25</v>
      </c>
      <c r="H2127" s="4" t="s">
        <v>25</v>
      </c>
      <c r="I2127" s="5">
        <v>44652</v>
      </c>
      <c r="J2127" s="6">
        <v>0</v>
      </c>
      <c r="K2127" s="6">
        <v>0</v>
      </c>
      <c r="L2127" s="6">
        <v>468.37900000000002</v>
      </c>
      <c r="M2127" s="6">
        <v>468.37900000000002</v>
      </c>
      <c r="N2127" s="6">
        <v>468.37900000000002</v>
      </c>
      <c r="O2127" s="6">
        <v>468.37900000000002</v>
      </c>
      <c r="P2127" s="6">
        <v>493</v>
      </c>
      <c r="Q2127" s="4" t="s">
        <v>26</v>
      </c>
      <c r="R2127" s="4">
        <v>0</v>
      </c>
      <c r="S2127" s="4" t="s">
        <v>560</v>
      </c>
      <c r="T2127" s="4" t="s">
        <v>817</v>
      </c>
      <c r="U2127" s="4">
        <v>0</v>
      </c>
      <c r="V2127" s="4">
        <v>57</v>
      </c>
      <c r="W2127" s="4">
        <v>100</v>
      </c>
    </row>
    <row r="2128" spans="1:23" ht="11.25" customHeight="1" x14ac:dyDescent="0.25">
      <c r="A2128" s="4" t="s">
        <v>28</v>
      </c>
      <c r="B2128" s="4" t="s">
        <v>37</v>
      </c>
      <c r="C2128" s="4" t="s">
        <v>23</v>
      </c>
      <c r="D2128" s="4" t="s">
        <v>38</v>
      </c>
      <c r="E2128" s="4" t="s">
        <v>25</v>
      </c>
      <c r="F2128" s="4" t="s">
        <v>25</v>
      </c>
      <c r="G2128" s="4" t="s">
        <v>25</v>
      </c>
      <c r="H2128" s="4" t="s">
        <v>25</v>
      </c>
      <c r="I2128" s="5">
        <v>44652</v>
      </c>
      <c r="J2128" s="6">
        <v>0</v>
      </c>
      <c r="K2128" s="6">
        <v>0</v>
      </c>
      <c r="L2128" s="6">
        <v>-4.7839999999999998</v>
      </c>
      <c r="M2128" s="6">
        <v>-4.7839999999999998</v>
      </c>
      <c r="N2128" s="6">
        <v>-4.7839999999999998</v>
      </c>
      <c r="O2128" s="6">
        <v>-4.7839999999999998</v>
      </c>
      <c r="P2128" s="6">
        <v>0</v>
      </c>
      <c r="Q2128" s="4" t="s">
        <v>26</v>
      </c>
      <c r="R2128" s="4">
        <v>0</v>
      </c>
      <c r="S2128" s="4" t="s">
        <v>560</v>
      </c>
      <c r="T2128" s="4" t="s">
        <v>817</v>
      </c>
      <c r="U2128" s="4">
        <v>0</v>
      </c>
      <c r="V2128" s="4">
        <v>57</v>
      </c>
      <c r="W2128" s="4">
        <v>100</v>
      </c>
    </row>
    <row r="2129" spans="1:23" ht="11.25" customHeight="1" x14ac:dyDescent="0.25">
      <c r="A2129" s="4" t="s">
        <v>21</v>
      </c>
      <c r="B2129" s="4" t="s">
        <v>37</v>
      </c>
      <c r="C2129" s="4" t="s">
        <v>23</v>
      </c>
      <c r="D2129" s="4" t="s">
        <v>38</v>
      </c>
      <c r="E2129" s="4" t="s">
        <v>25</v>
      </c>
      <c r="F2129" s="4" t="s">
        <v>25</v>
      </c>
      <c r="G2129" s="4" t="s">
        <v>25</v>
      </c>
      <c r="H2129" s="4" t="s">
        <v>25</v>
      </c>
      <c r="I2129" s="5">
        <v>44682</v>
      </c>
      <c r="J2129" s="6">
        <v>0</v>
      </c>
      <c r="K2129" s="6">
        <v>0</v>
      </c>
      <c r="L2129" s="6">
        <v>2478.471</v>
      </c>
      <c r="M2129" s="6">
        <v>2478.471</v>
      </c>
      <c r="N2129" s="6">
        <v>2478.471</v>
      </c>
      <c r="O2129" s="6">
        <v>2478.471</v>
      </c>
      <c r="P2129" s="6">
        <v>3096</v>
      </c>
      <c r="Q2129" s="4" t="s">
        <v>26</v>
      </c>
      <c r="R2129" s="4">
        <v>0</v>
      </c>
      <c r="S2129" s="4" t="s">
        <v>561</v>
      </c>
      <c r="T2129" s="4" t="s">
        <v>818</v>
      </c>
      <c r="U2129" s="4">
        <v>0</v>
      </c>
      <c r="V2129" s="4">
        <v>57</v>
      </c>
      <c r="W2129" s="4">
        <v>100</v>
      </c>
    </row>
    <row r="2130" spans="1:23" ht="11.25" customHeight="1" x14ac:dyDescent="0.25">
      <c r="A2130" s="4" t="s">
        <v>27</v>
      </c>
      <c r="B2130" s="4" t="s">
        <v>37</v>
      </c>
      <c r="C2130" s="4" t="s">
        <v>23</v>
      </c>
      <c r="D2130" s="4" t="s">
        <v>38</v>
      </c>
      <c r="E2130" s="4" t="s">
        <v>25</v>
      </c>
      <c r="F2130" s="4" t="s">
        <v>25</v>
      </c>
      <c r="G2130" s="4" t="s">
        <v>25</v>
      </c>
      <c r="H2130" s="4" t="s">
        <v>25</v>
      </c>
      <c r="I2130" s="5">
        <v>44682</v>
      </c>
      <c r="J2130" s="6">
        <v>0</v>
      </c>
      <c r="K2130" s="6">
        <v>0</v>
      </c>
      <c r="L2130" s="6">
        <v>-5.7759999999999998</v>
      </c>
      <c r="M2130" s="6">
        <v>-5.7759999999999998</v>
      </c>
      <c r="N2130" s="6">
        <v>-5.7759999999999998</v>
      </c>
      <c r="O2130" s="6">
        <v>-5.7759999999999998</v>
      </c>
      <c r="P2130" s="6">
        <v>0</v>
      </c>
      <c r="Q2130" s="4" t="s">
        <v>26</v>
      </c>
      <c r="R2130" s="4">
        <v>0</v>
      </c>
      <c r="S2130" s="4" t="s">
        <v>561</v>
      </c>
      <c r="T2130" s="4" t="s">
        <v>818</v>
      </c>
      <c r="U2130" s="4">
        <v>0</v>
      </c>
      <c r="V2130" s="4">
        <v>57</v>
      </c>
      <c r="W2130" s="4">
        <v>100</v>
      </c>
    </row>
    <row r="2131" spans="1:23" ht="11.25" customHeight="1" x14ac:dyDescent="0.25">
      <c r="A2131" s="4" t="s">
        <v>28</v>
      </c>
      <c r="B2131" s="4" t="s">
        <v>37</v>
      </c>
      <c r="C2131" s="4" t="s">
        <v>23</v>
      </c>
      <c r="D2131" s="4" t="s">
        <v>38</v>
      </c>
      <c r="E2131" s="4" t="s">
        <v>25</v>
      </c>
      <c r="F2131" s="4" t="s">
        <v>25</v>
      </c>
      <c r="G2131" s="4" t="s">
        <v>25</v>
      </c>
      <c r="H2131" s="4" t="s">
        <v>25</v>
      </c>
      <c r="I2131" s="5">
        <v>44682</v>
      </c>
      <c r="J2131" s="6">
        <v>0</v>
      </c>
      <c r="K2131" s="6">
        <v>0</v>
      </c>
      <c r="L2131" s="6">
        <v>555.96500000000003</v>
      </c>
      <c r="M2131" s="6">
        <v>555.96500000000003</v>
      </c>
      <c r="N2131" s="6">
        <v>555.96500000000003</v>
      </c>
      <c r="O2131" s="6">
        <v>555.96500000000003</v>
      </c>
      <c r="P2131" s="6">
        <v>498</v>
      </c>
      <c r="Q2131" s="4" t="s">
        <v>26</v>
      </c>
      <c r="R2131" s="4">
        <v>0</v>
      </c>
      <c r="S2131" s="4" t="s">
        <v>561</v>
      </c>
      <c r="T2131" s="4" t="s">
        <v>818</v>
      </c>
      <c r="U2131" s="4">
        <v>0</v>
      </c>
      <c r="V2131" s="4">
        <v>57</v>
      </c>
      <c r="W2131" s="4">
        <v>100</v>
      </c>
    </row>
    <row r="2132" spans="1:23" ht="11.25" customHeight="1" x14ac:dyDescent="0.25">
      <c r="A2132" s="4" t="s">
        <v>21</v>
      </c>
      <c r="B2132" s="4" t="s">
        <v>37</v>
      </c>
      <c r="C2132" s="4" t="s">
        <v>23</v>
      </c>
      <c r="D2132" s="4" t="s">
        <v>38</v>
      </c>
      <c r="E2132" s="4" t="s">
        <v>25</v>
      </c>
      <c r="F2132" s="4" t="s">
        <v>25</v>
      </c>
      <c r="G2132" s="4" t="s">
        <v>25</v>
      </c>
      <c r="H2132" s="4" t="s">
        <v>25</v>
      </c>
      <c r="I2132" s="5">
        <v>44713</v>
      </c>
      <c r="J2132" s="6">
        <v>0</v>
      </c>
      <c r="K2132" s="6">
        <v>0</v>
      </c>
      <c r="L2132" s="6">
        <v>2225.4090000000001</v>
      </c>
      <c r="M2132" s="6">
        <v>2225.4090000000001</v>
      </c>
      <c r="N2132" s="6">
        <v>2225.4090000000001</v>
      </c>
      <c r="O2132" s="6">
        <v>2225.4090000000001</v>
      </c>
      <c r="P2132" s="6">
        <v>3093</v>
      </c>
      <c r="Q2132" s="4" t="s">
        <v>26</v>
      </c>
      <c r="R2132" s="4">
        <v>0</v>
      </c>
      <c r="S2132" s="4" t="s">
        <v>562</v>
      </c>
      <c r="T2132" s="4" t="s">
        <v>819</v>
      </c>
      <c r="U2132" s="4">
        <v>0</v>
      </c>
      <c r="V2132" s="4">
        <v>57</v>
      </c>
      <c r="W2132" s="4">
        <v>100</v>
      </c>
    </row>
    <row r="2133" spans="1:23" ht="11.25" customHeight="1" x14ac:dyDescent="0.25">
      <c r="A2133" s="4" t="s">
        <v>27</v>
      </c>
      <c r="B2133" s="4" t="s">
        <v>37</v>
      </c>
      <c r="C2133" s="4" t="s">
        <v>23</v>
      </c>
      <c r="D2133" s="4" t="s">
        <v>38</v>
      </c>
      <c r="E2133" s="4" t="s">
        <v>25</v>
      </c>
      <c r="F2133" s="4" t="s">
        <v>25</v>
      </c>
      <c r="G2133" s="4" t="s">
        <v>25</v>
      </c>
      <c r="H2133" s="4" t="s">
        <v>25</v>
      </c>
      <c r="I2133" s="5">
        <v>44713</v>
      </c>
      <c r="J2133" s="6">
        <v>0</v>
      </c>
      <c r="K2133" s="6">
        <v>0</v>
      </c>
      <c r="L2133" s="6">
        <v>-6.25</v>
      </c>
      <c r="M2133" s="6">
        <v>-6.25</v>
      </c>
      <c r="N2133" s="6">
        <v>-6.25</v>
      </c>
      <c r="O2133" s="6">
        <v>-6.25</v>
      </c>
      <c r="P2133" s="6">
        <v>-1</v>
      </c>
      <c r="Q2133" s="4" t="s">
        <v>26</v>
      </c>
      <c r="R2133" s="4">
        <v>0</v>
      </c>
      <c r="S2133" s="4" t="s">
        <v>562</v>
      </c>
      <c r="T2133" s="4" t="s">
        <v>819</v>
      </c>
      <c r="U2133" s="4">
        <v>0</v>
      </c>
      <c r="V2133" s="4">
        <v>57</v>
      </c>
      <c r="W2133" s="4">
        <v>100</v>
      </c>
    </row>
    <row r="2134" spans="1:23" ht="11.25" customHeight="1" x14ac:dyDescent="0.25">
      <c r="A2134" s="4" t="s">
        <v>28</v>
      </c>
      <c r="B2134" s="4" t="s">
        <v>37</v>
      </c>
      <c r="C2134" s="4" t="s">
        <v>23</v>
      </c>
      <c r="D2134" s="4" t="s">
        <v>38</v>
      </c>
      <c r="E2134" s="4" t="s">
        <v>25</v>
      </c>
      <c r="F2134" s="4" t="s">
        <v>25</v>
      </c>
      <c r="G2134" s="4" t="s">
        <v>25</v>
      </c>
      <c r="H2134" s="4" t="s">
        <v>25</v>
      </c>
      <c r="I2134" s="5">
        <v>44713</v>
      </c>
      <c r="J2134" s="6">
        <v>0</v>
      </c>
      <c r="K2134" s="6">
        <v>0</v>
      </c>
      <c r="L2134" s="6">
        <v>638.27499999999998</v>
      </c>
      <c r="M2134" s="6">
        <v>638.27499999999998</v>
      </c>
      <c r="N2134" s="6">
        <v>638.27499999999998</v>
      </c>
      <c r="O2134" s="6">
        <v>638.27499999999998</v>
      </c>
      <c r="P2134" s="6">
        <v>515</v>
      </c>
      <c r="Q2134" s="4" t="s">
        <v>26</v>
      </c>
      <c r="R2134" s="4">
        <v>0</v>
      </c>
      <c r="S2134" s="4" t="s">
        <v>562</v>
      </c>
      <c r="T2134" s="4" t="s">
        <v>819</v>
      </c>
      <c r="U2134" s="4">
        <v>0</v>
      </c>
      <c r="V2134" s="4">
        <v>57</v>
      </c>
      <c r="W2134" s="4">
        <v>100</v>
      </c>
    </row>
    <row r="2135" spans="1:23" ht="11.25" customHeight="1" x14ac:dyDescent="0.25">
      <c r="A2135" s="4" t="s">
        <v>28</v>
      </c>
      <c r="B2135" s="4" t="s">
        <v>37</v>
      </c>
      <c r="C2135" s="4" t="s">
        <v>23</v>
      </c>
      <c r="D2135" s="4" t="s">
        <v>38</v>
      </c>
      <c r="E2135" s="4" t="s">
        <v>25</v>
      </c>
      <c r="F2135" s="4" t="s">
        <v>25</v>
      </c>
      <c r="G2135" s="4" t="s">
        <v>25</v>
      </c>
      <c r="H2135" s="4" t="s">
        <v>25</v>
      </c>
      <c r="I2135" s="5">
        <v>44713</v>
      </c>
      <c r="J2135" s="6">
        <v>0</v>
      </c>
      <c r="K2135" s="6">
        <v>0</v>
      </c>
      <c r="L2135" s="6">
        <v>-0.33700000000000002</v>
      </c>
      <c r="M2135" s="6">
        <v>-0.33700000000000002</v>
      </c>
      <c r="N2135" s="6">
        <v>-0.33700000000000002</v>
      </c>
      <c r="O2135" s="6">
        <v>-0.33700000000000002</v>
      </c>
      <c r="P2135" s="6">
        <v>0</v>
      </c>
      <c r="Q2135" s="4" t="s">
        <v>26</v>
      </c>
      <c r="R2135" s="4">
        <v>0</v>
      </c>
      <c r="S2135" s="4" t="s">
        <v>562</v>
      </c>
      <c r="T2135" s="4" t="s">
        <v>819</v>
      </c>
      <c r="U2135" s="4">
        <v>0</v>
      </c>
      <c r="V2135" s="4">
        <v>57</v>
      </c>
      <c r="W2135" s="4">
        <v>100</v>
      </c>
    </row>
    <row r="2136" spans="1:23" ht="11.25" customHeight="1" x14ac:dyDescent="0.25">
      <c r="A2136" s="4" t="s">
        <v>57</v>
      </c>
      <c r="B2136" s="4" t="s">
        <v>37</v>
      </c>
      <c r="C2136" s="4" t="s">
        <v>23</v>
      </c>
      <c r="D2136" s="4" t="s">
        <v>38</v>
      </c>
      <c r="E2136" s="4" t="s">
        <v>25</v>
      </c>
      <c r="F2136" s="4" t="s">
        <v>25</v>
      </c>
      <c r="G2136" s="4" t="s">
        <v>25</v>
      </c>
      <c r="H2136" s="4" t="s">
        <v>25</v>
      </c>
      <c r="I2136" s="5">
        <v>44743</v>
      </c>
      <c r="J2136" s="6">
        <v>0</v>
      </c>
      <c r="K2136" s="6">
        <v>0</v>
      </c>
      <c r="L2136" s="6">
        <v>2225.4090000000001</v>
      </c>
      <c r="M2136" s="6">
        <v>2225.4090000000001</v>
      </c>
      <c r="N2136" s="6">
        <v>2225.4090000000001</v>
      </c>
      <c r="O2136" s="6">
        <v>2225.4090000000001</v>
      </c>
      <c r="P2136" s="6">
        <v>3093</v>
      </c>
      <c r="Q2136" s="4" t="s">
        <v>26</v>
      </c>
      <c r="R2136" s="4">
        <v>0</v>
      </c>
      <c r="S2136" s="4" t="s">
        <v>563</v>
      </c>
      <c r="T2136" s="4" t="s">
        <v>820</v>
      </c>
      <c r="U2136" s="4">
        <v>0</v>
      </c>
      <c r="V2136" s="4">
        <v>57</v>
      </c>
      <c r="W2136" s="4">
        <v>100</v>
      </c>
    </row>
    <row r="2137" spans="1:23" ht="11.25" customHeight="1" x14ac:dyDescent="0.25">
      <c r="A2137" s="4" t="s">
        <v>57</v>
      </c>
      <c r="B2137" s="4" t="s">
        <v>37</v>
      </c>
      <c r="C2137" s="4" t="s">
        <v>23</v>
      </c>
      <c r="D2137" s="4" t="s">
        <v>38</v>
      </c>
      <c r="E2137" s="4" t="s">
        <v>25</v>
      </c>
      <c r="F2137" s="4" t="s">
        <v>25</v>
      </c>
      <c r="G2137" s="4" t="s">
        <v>25</v>
      </c>
      <c r="H2137" s="4" t="s">
        <v>25</v>
      </c>
      <c r="I2137" s="5">
        <v>44743</v>
      </c>
      <c r="J2137" s="6">
        <v>0</v>
      </c>
      <c r="K2137" s="6">
        <v>0</v>
      </c>
      <c r="L2137" s="6">
        <v>-6.25</v>
      </c>
      <c r="M2137" s="6">
        <v>-6.25</v>
      </c>
      <c r="N2137" s="6">
        <v>-6.25</v>
      </c>
      <c r="O2137" s="6">
        <v>-6.25</v>
      </c>
      <c r="P2137" s="6">
        <v>-1</v>
      </c>
      <c r="Q2137" s="4" t="s">
        <v>26</v>
      </c>
      <c r="R2137" s="4">
        <v>0</v>
      </c>
      <c r="S2137" s="4" t="s">
        <v>563</v>
      </c>
      <c r="T2137" s="4" t="s">
        <v>820</v>
      </c>
      <c r="U2137" s="4">
        <v>0</v>
      </c>
      <c r="V2137" s="4">
        <v>57</v>
      </c>
      <c r="W2137" s="4">
        <v>100</v>
      </c>
    </row>
    <row r="2138" spans="1:23" ht="11.25" customHeight="1" x14ac:dyDescent="0.25">
      <c r="A2138" s="4" t="s">
        <v>57</v>
      </c>
      <c r="B2138" s="4" t="s">
        <v>37</v>
      </c>
      <c r="C2138" s="4" t="s">
        <v>23</v>
      </c>
      <c r="D2138" s="4" t="s">
        <v>38</v>
      </c>
      <c r="E2138" s="4" t="s">
        <v>25</v>
      </c>
      <c r="F2138" s="4" t="s">
        <v>25</v>
      </c>
      <c r="G2138" s="4" t="s">
        <v>25</v>
      </c>
      <c r="H2138" s="4" t="s">
        <v>25</v>
      </c>
      <c r="I2138" s="5">
        <v>44743</v>
      </c>
      <c r="J2138" s="6">
        <v>0</v>
      </c>
      <c r="K2138" s="6">
        <v>0</v>
      </c>
      <c r="L2138" s="6">
        <v>638.27499999999998</v>
      </c>
      <c r="M2138" s="6">
        <v>638.27499999999998</v>
      </c>
      <c r="N2138" s="6">
        <v>638.27499999999998</v>
      </c>
      <c r="O2138" s="6">
        <v>638.27499999999998</v>
      </c>
      <c r="P2138" s="6">
        <v>515</v>
      </c>
      <c r="Q2138" s="4" t="s">
        <v>26</v>
      </c>
      <c r="R2138" s="4">
        <v>0</v>
      </c>
      <c r="S2138" s="4" t="s">
        <v>563</v>
      </c>
      <c r="T2138" s="4" t="s">
        <v>820</v>
      </c>
      <c r="U2138" s="4">
        <v>0</v>
      </c>
      <c r="V2138" s="4">
        <v>57</v>
      </c>
      <c r="W2138" s="4">
        <v>100</v>
      </c>
    </row>
    <row r="2139" spans="1:23" ht="11.25" customHeight="1" x14ac:dyDescent="0.25">
      <c r="A2139" s="4" t="s">
        <v>57</v>
      </c>
      <c r="B2139" s="4" t="s">
        <v>37</v>
      </c>
      <c r="C2139" s="4" t="s">
        <v>23</v>
      </c>
      <c r="D2139" s="4" t="s">
        <v>38</v>
      </c>
      <c r="E2139" s="4" t="s">
        <v>25</v>
      </c>
      <c r="F2139" s="4" t="s">
        <v>25</v>
      </c>
      <c r="G2139" s="4" t="s">
        <v>25</v>
      </c>
      <c r="H2139" s="4" t="s">
        <v>25</v>
      </c>
      <c r="I2139" s="5">
        <v>44743</v>
      </c>
      <c r="J2139" s="6">
        <v>0</v>
      </c>
      <c r="K2139" s="6">
        <v>0</v>
      </c>
      <c r="L2139" s="6">
        <v>-0.33700000000000002</v>
      </c>
      <c r="M2139" s="6">
        <v>-0.33700000000000002</v>
      </c>
      <c r="N2139" s="6">
        <v>-0.33700000000000002</v>
      </c>
      <c r="O2139" s="6">
        <v>-0.33700000000000002</v>
      </c>
      <c r="P2139" s="6">
        <v>0</v>
      </c>
      <c r="Q2139" s="4" t="s">
        <v>26</v>
      </c>
      <c r="R2139" s="4">
        <v>0</v>
      </c>
      <c r="S2139" s="4" t="s">
        <v>563</v>
      </c>
      <c r="T2139" s="4" t="s">
        <v>820</v>
      </c>
      <c r="U2139" s="4">
        <v>0</v>
      </c>
      <c r="V2139" s="4">
        <v>57</v>
      </c>
      <c r="W2139" s="4">
        <v>100</v>
      </c>
    </row>
    <row r="2140" spans="1:23" ht="11.25" customHeight="1" x14ac:dyDescent="0.25">
      <c r="A2140" s="4" t="s">
        <v>21</v>
      </c>
      <c r="B2140" s="4" t="s">
        <v>37</v>
      </c>
      <c r="C2140" s="4" t="s">
        <v>23</v>
      </c>
      <c r="D2140" s="4" t="s">
        <v>46</v>
      </c>
      <c r="E2140" s="4" t="s">
        <v>25</v>
      </c>
      <c r="F2140" s="4" t="s">
        <v>25</v>
      </c>
      <c r="G2140" s="4" t="s">
        <v>25</v>
      </c>
      <c r="H2140" s="4" t="s">
        <v>25</v>
      </c>
      <c r="I2140" s="5">
        <v>44409</v>
      </c>
      <c r="J2140" s="6">
        <v>0</v>
      </c>
      <c r="K2140" s="6">
        <v>0</v>
      </c>
      <c r="L2140" s="6">
        <v>8498.3240000000005</v>
      </c>
      <c r="M2140" s="6">
        <v>8498.3240000000005</v>
      </c>
      <c r="N2140" s="6">
        <v>8498.3240000000005</v>
      </c>
      <c r="O2140" s="6">
        <v>8498.3240000000005</v>
      </c>
      <c r="P2140" s="6">
        <v>16540</v>
      </c>
      <c r="Q2140" s="4" t="s">
        <v>26</v>
      </c>
      <c r="R2140" s="4">
        <v>0</v>
      </c>
      <c r="S2140" s="4" t="s">
        <v>552</v>
      </c>
      <c r="T2140" s="4" t="s">
        <v>809</v>
      </c>
      <c r="U2140" s="4">
        <v>0</v>
      </c>
      <c r="V2140" s="4">
        <v>57</v>
      </c>
      <c r="W2140" s="4">
        <v>100</v>
      </c>
    </row>
    <row r="2141" spans="1:23" ht="11.25" customHeight="1" x14ac:dyDescent="0.25">
      <c r="A2141" s="4" t="s">
        <v>27</v>
      </c>
      <c r="B2141" s="4" t="s">
        <v>37</v>
      </c>
      <c r="C2141" s="4" t="s">
        <v>23</v>
      </c>
      <c r="D2141" s="4" t="s">
        <v>46</v>
      </c>
      <c r="E2141" s="4" t="s">
        <v>25</v>
      </c>
      <c r="F2141" s="4" t="s">
        <v>25</v>
      </c>
      <c r="G2141" s="4" t="s">
        <v>25</v>
      </c>
      <c r="H2141" s="4" t="s">
        <v>25</v>
      </c>
      <c r="I2141" s="5">
        <v>44409</v>
      </c>
      <c r="J2141" s="6">
        <v>0</v>
      </c>
      <c r="K2141" s="6">
        <v>0</v>
      </c>
      <c r="L2141" s="6">
        <v>-66.433000000000007</v>
      </c>
      <c r="M2141" s="6">
        <v>-66.433000000000007</v>
      </c>
      <c r="N2141" s="6">
        <v>-66.433000000000007</v>
      </c>
      <c r="O2141" s="6">
        <v>-66.433000000000007</v>
      </c>
      <c r="P2141" s="6">
        <v>-3</v>
      </c>
      <c r="Q2141" s="4" t="s">
        <v>26</v>
      </c>
      <c r="R2141" s="4">
        <v>0</v>
      </c>
      <c r="S2141" s="4" t="s">
        <v>552</v>
      </c>
      <c r="T2141" s="4" t="s">
        <v>809</v>
      </c>
      <c r="U2141" s="4">
        <v>0</v>
      </c>
      <c r="V2141" s="4">
        <v>57</v>
      </c>
      <c r="W2141" s="4">
        <v>100</v>
      </c>
    </row>
    <row r="2142" spans="1:23" ht="11.25" customHeight="1" x14ac:dyDescent="0.25">
      <c r="A2142" s="4" t="s">
        <v>28</v>
      </c>
      <c r="B2142" s="4" t="s">
        <v>37</v>
      </c>
      <c r="C2142" s="4" t="s">
        <v>23</v>
      </c>
      <c r="D2142" s="4" t="s">
        <v>46</v>
      </c>
      <c r="E2142" s="4" t="s">
        <v>25</v>
      </c>
      <c r="F2142" s="4" t="s">
        <v>25</v>
      </c>
      <c r="G2142" s="4" t="s">
        <v>25</v>
      </c>
      <c r="H2142" s="4" t="s">
        <v>25</v>
      </c>
      <c r="I2142" s="5">
        <v>44409</v>
      </c>
      <c r="J2142" s="6">
        <v>0</v>
      </c>
      <c r="K2142" s="6">
        <v>0</v>
      </c>
      <c r="L2142" s="6">
        <v>51.176000000000002</v>
      </c>
      <c r="M2142" s="6">
        <v>51.176000000000002</v>
      </c>
      <c r="N2142" s="6">
        <v>51.176000000000002</v>
      </c>
      <c r="O2142" s="6">
        <v>51.176000000000002</v>
      </c>
      <c r="P2142" s="6">
        <v>98</v>
      </c>
      <c r="Q2142" s="4" t="s">
        <v>26</v>
      </c>
      <c r="R2142" s="4">
        <v>0</v>
      </c>
      <c r="S2142" s="4" t="s">
        <v>552</v>
      </c>
      <c r="T2142" s="4" t="s">
        <v>809</v>
      </c>
      <c r="U2142" s="4">
        <v>0</v>
      </c>
      <c r="V2142" s="4">
        <v>57</v>
      </c>
      <c r="W2142" s="4">
        <v>100</v>
      </c>
    </row>
    <row r="2143" spans="1:23" ht="11.25" customHeight="1" x14ac:dyDescent="0.25">
      <c r="A2143" s="4" t="s">
        <v>21</v>
      </c>
      <c r="B2143" s="4" t="s">
        <v>37</v>
      </c>
      <c r="C2143" s="4" t="s">
        <v>23</v>
      </c>
      <c r="D2143" s="4" t="s">
        <v>46</v>
      </c>
      <c r="E2143" s="4" t="s">
        <v>25</v>
      </c>
      <c r="F2143" s="4" t="s">
        <v>25</v>
      </c>
      <c r="G2143" s="4" t="s">
        <v>25</v>
      </c>
      <c r="H2143" s="4" t="s">
        <v>25</v>
      </c>
      <c r="I2143" s="5">
        <v>44440</v>
      </c>
      <c r="J2143" s="6">
        <v>0</v>
      </c>
      <c r="K2143" s="6">
        <v>0</v>
      </c>
      <c r="L2143" s="6">
        <v>8745.8809999999994</v>
      </c>
      <c r="M2143" s="6">
        <v>8745.8809999999994</v>
      </c>
      <c r="N2143" s="6">
        <v>8745.8809999999994</v>
      </c>
      <c r="O2143" s="6">
        <v>8745.8809999999994</v>
      </c>
      <c r="P2143" s="6">
        <v>16546</v>
      </c>
      <c r="Q2143" s="4" t="s">
        <v>26</v>
      </c>
      <c r="R2143" s="4">
        <v>0</v>
      </c>
      <c r="S2143" s="4" t="s">
        <v>553</v>
      </c>
      <c r="T2143" s="4" t="s">
        <v>810</v>
      </c>
      <c r="U2143" s="4">
        <v>0</v>
      </c>
      <c r="V2143" s="4">
        <v>57</v>
      </c>
      <c r="W2143" s="4">
        <v>100</v>
      </c>
    </row>
    <row r="2144" spans="1:23" ht="11.25" customHeight="1" x14ac:dyDescent="0.25">
      <c r="A2144" s="4" t="s">
        <v>27</v>
      </c>
      <c r="B2144" s="4" t="s">
        <v>37</v>
      </c>
      <c r="C2144" s="4" t="s">
        <v>23</v>
      </c>
      <c r="D2144" s="4" t="s">
        <v>46</v>
      </c>
      <c r="E2144" s="4" t="s">
        <v>25</v>
      </c>
      <c r="F2144" s="4" t="s">
        <v>25</v>
      </c>
      <c r="G2144" s="4" t="s">
        <v>25</v>
      </c>
      <c r="H2144" s="4" t="s">
        <v>25</v>
      </c>
      <c r="I2144" s="5">
        <v>44440</v>
      </c>
      <c r="J2144" s="6">
        <v>0</v>
      </c>
      <c r="K2144" s="6">
        <v>0</v>
      </c>
      <c r="L2144" s="6">
        <v>-40.125</v>
      </c>
      <c r="M2144" s="6">
        <v>-40.125</v>
      </c>
      <c r="N2144" s="6">
        <v>-40.125</v>
      </c>
      <c r="O2144" s="6">
        <v>-40.125</v>
      </c>
      <c r="P2144" s="6">
        <v>0</v>
      </c>
      <c r="Q2144" s="4" t="s">
        <v>26</v>
      </c>
      <c r="R2144" s="4">
        <v>0</v>
      </c>
      <c r="S2144" s="4" t="s">
        <v>553</v>
      </c>
      <c r="T2144" s="4" t="s">
        <v>810</v>
      </c>
      <c r="U2144" s="4">
        <v>0</v>
      </c>
      <c r="V2144" s="4">
        <v>57</v>
      </c>
      <c r="W2144" s="4">
        <v>100</v>
      </c>
    </row>
    <row r="2145" spans="1:23" ht="11.25" customHeight="1" x14ac:dyDescent="0.25">
      <c r="A2145" s="4" t="s">
        <v>28</v>
      </c>
      <c r="B2145" s="4" t="s">
        <v>37</v>
      </c>
      <c r="C2145" s="4" t="s">
        <v>23</v>
      </c>
      <c r="D2145" s="4" t="s">
        <v>46</v>
      </c>
      <c r="E2145" s="4" t="s">
        <v>25</v>
      </c>
      <c r="F2145" s="4" t="s">
        <v>25</v>
      </c>
      <c r="G2145" s="4" t="s">
        <v>25</v>
      </c>
      <c r="H2145" s="4" t="s">
        <v>25</v>
      </c>
      <c r="I2145" s="5">
        <v>44440</v>
      </c>
      <c r="J2145" s="6">
        <v>0</v>
      </c>
      <c r="K2145" s="6">
        <v>0</v>
      </c>
      <c r="L2145" s="6">
        <v>68.731999999999999</v>
      </c>
      <c r="M2145" s="6">
        <v>68.731999999999999</v>
      </c>
      <c r="N2145" s="6">
        <v>68.731999999999999</v>
      </c>
      <c r="O2145" s="6">
        <v>68.731999999999999</v>
      </c>
      <c r="P2145" s="6">
        <v>100</v>
      </c>
      <c r="Q2145" s="4" t="s">
        <v>26</v>
      </c>
      <c r="R2145" s="4">
        <v>0</v>
      </c>
      <c r="S2145" s="4" t="s">
        <v>553</v>
      </c>
      <c r="T2145" s="4" t="s">
        <v>810</v>
      </c>
      <c r="U2145" s="4">
        <v>0</v>
      </c>
      <c r="V2145" s="4">
        <v>57</v>
      </c>
      <c r="W2145" s="4">
        <v>100</v>
      </c>
    </row>
    <row r="2146" spans="1:23" ht="11.25" customHeight="1" x14ac:dyDescent="0.25">
      <c r="A2146" s="4" t="s">
        <v>21</v>
      </c>
      <c r="B2146" s="4" t="s">
        <v>37</v>
      </c>
      <c r="C2146" s="4" t="s">
        <v>23</v>
      </c>
      <c r="D2146" s="4" t="s">
        <v>46</v>
      </c>
      <c r="E2146" s="4" t="s">
        <v>25</v>
      </c>
      <c r="F2146" s="4" t="s">
        <v>25</v>
      </c>
      <c r="G2146" s="4" t="s">
        <v>25</v>
      </c>
      <c r="H2146" s="4" t="s">
        <v>25</v>
      </c>
      <c r="I2146" s="5">
        <v>44470</v>
      </c>
      <c r="J2146" s="6">
        <v>0</v>
      </c>
      <c r="K2146" s="6">
        <v>0</v>
      </c>
      <c r="L2146" s="6">
        <v>9958.1229999999996</v>
      </c>
      <c r="M2146" s="6">
        <v>9958.1229999999996</v>
      </c>
      <c r="N2146" s="6">
        <v>9958.1229999999996</v>
      </c>
      <c r="O2146" s="6">
        <v>9958.1229999999996</v>
      </c>
      <c r="P2146" s="6">
        <v>16538</v>
      </c>
      <c r="Q2146" s="4" t="s">
        <v>26</v>
      </c>
      <c r="R2146" s="4">
        <v>0</v>
      </c>
      <c r="S2146" s="4" t="s">
        <v>554</v>
      </c>
      <c r="T2146" s="4" t="s">
        <v>811</v>
      </c>
      <c r="U2146" s="4">
        <v>0</v>
      </c>
      <c r="V2146" s="4">
        <v>57</v>
      </c>
      <c r="W2146" s="4">
        <v>100</v>
      </c>
    </row>
    <row r="2147" spans="1:23" ht="11.25" customHeight="1" x14ac:dyDescent="0.25">
      <c r="A2147" s="4" t="s">
        <v>27</v>
      </c>
      <c r="B2147" s="4" t="s">
        <v>37</v>
      </c>
      <c r="C2147" s="4" t="s">
        <v>23</v>
      </c>
      <c r="D2147" s="4" t="s">
        <v>46</v>
      </c>
      <c r="E2147" s="4" t="s">
        <v>25</v>
      </c>
      <c r="F2147" s="4" t="s">
        <v>25</v>
      </c>
      <c r="G2147" s="4" t="s">
        <v>25</v>
      </c>
      <c r="H2147" s="4" t="s">
        <v>25</v>
      </c>
      <c r="I2147" s="5">
        <v>44470</v>
      </c>
      <c r="J2147" s="6">
        <v>0</v>
      </c>
      <c r="K2147" s="6">
        <v>0</v>
      </c>
      <c r="L2147" s="6">
        <v>-10.863</v>
      </c>
      <c r="M2147" s="6">
        <v>-10.863</v>
      </c>
      <c r="N2147" s="6">
        <v>-10.863</v>
      </c>
      <c r="O2147" s="6">
        <v>-10.863</v>
      </c>
      <c r="P2147" s="6">
        <v>1</v>
      </c>
      <c r="Q2147" s="4" t="s">
        <v>26</v>
      </c>
      <c r="R2147" s="4">
        <v>0</v>
      </c>
      <c r="S2147" s="4" t="s">
        <v>554</v>
      </c>
      <c r="T2147" s="4" t="s">
        <v>811</v>
      </c>
      <c r="U2147" s="4">
        <v>0</v>
      </c>
      <c r="V2147" s="4">
        <v>57</v>
      </c>
      <c r="W2147" s="4">
        <v>100</v>
      </c>
    </row>
    <row r="2148" spans="1:23" ht="11.25" customHeight="1" x14ac:dyDescent="0.25">
      <c r="A2148" s="4" t="s">
        <v>28</v>
      </c>
      <c r="B2148" s="4" t="s">
        <v>37</v>
      </c>
      <c r="C2148" s="4" t="s">
        <v>23</v>
      </c>
      <c r="D2148" s="4" t="s">
        <v>46</v>
      </c>
      <c r="E2148" s="4" t="s">
        <v>25</v>
      </c>
      <c r="F2148" s="4" t="s">
        <v>25</v>
      </c>
      <c r="G2148" s="4" t="s">
        <v>25</v>
      </c>
      <c r="H2148" s="4" t="s">
        <v>25</v>
      </c>
      <c r="I2148" s="5">
        <v>44470</v>
      </c>
      <c r="J2148" s="6">
        <v>0</v>
      </c>
      <c r="K2148" s="6">
        <v>0</v>
      </c>
      <c r="L2148" s="6">
        <v>86.811000000000007</v>
      </c>
      <c r="M2148" s="6">
        <v>86.811000000000007</v>
      </c>
      <c r="N2148" s="6">
        <v>86.811000000000007</v>
      </c>
      <c r="O2148" s="6">
        <v>86.811000000000007</v>
      </c>
      <c r="P2148" s="6">
        <v>103</v>
      </c>
      <c r="Q2148" s="4" t="s">
        <v>26</v>
      </c>
      <c r="R2148" s="4">
        <v>0</v>
      </c>
      <c r="S2148" s="4" t="s">
        <v>554</v>
      </c>
      <c r="T2148" s="4" t="s">
        <v>811</v>
      </c>
      <c r="U2148" s="4">
        <v>0</v>
      </c>
      <c r="V2148" s="4">
        <v>57</v>
      </c>
      <c r="W2148" s="4">
        <v>100</v>
      </c>
    </row>
    <row r="2149" spans="1:23" ht="11.25" customHeight="1" x14ac:dyDescent="0.25">
      <c r="A2149" s="4" t="s">
        <v>21</v>
      </c>
      <c r="B2149" s="4" t="s">
        <v>37</v>
      </c>
      <c r="C2149" s="4" t="s">
        <v>23</v>
      </c>
      <c r="D2149" s="4" t="s">
        <v>46</v>
      </c>
      <c r="E2149" s="4" t="s">
        <v>25</v>
      </c>
      <c r="F2149" s="4" t="s">
        <v>25</v>
      </c>
      <c r="G2149" s="4" t="s">
        <v>25</v>
      </c>
      <c r="H2149" s="4" t="s">
        <v>25</v>
      </c>
      <c r="I2149" s="5">
        <v>44501</v>
      </c>
      <c r="J2149" s="6">
        <v>0</v>
      </c>
      <c r="K2149" s="6">
        <v>0</v>
      </c>
      <c r="L2149" s="6">
        <v>10285.209000000001</v>
      </c>
      <c r="M2149" s="6">
        <v>10285.209000000001</v>
      </c>
      <c r="N2149" s="6">
        <v>10285.209000000001</v>
      </c>
      <c r="O2149" s="6">
        <v>10285.209000000001</v>
      </c>
      <c r="P2149" s="6">
        <v>16594</v>
      </c>
      <c r="Q2149" s="4" t="s">
        <v>26</v>
      </c>
      <c r="R2149" s="4">
        <v>0</v>
      </c>
      <c r="S2149" s="4" t="s">
        <v>555</v>
      </c>
      <c r="T2149" s="4" t="s">
        <v>812</v>
      </c>
      <c r="U2149" s="4">
        <v>0</v>
      </c>
      <c r="V2149" s="4">
        <v>57</v>
      </c>
      <c r="W2149" s="4">
        <v>100</v>
      </c>
    </row>
    <row r="2150" spans="1:23" ht="11.25" customHeight="1" x14ac:dyDescent="0.25">
      <c r="A2150" s="4" t="s">
        <v>27</v>
      </c>
      <c r="B2150" s="4" t="s">
        <v>37</v>
      </c>
      <c r="C2150" s="4" t="s">
        <v>23</v>
      </c>
      <c r="D2150" s="4" t="s">
        <v>46</v>
      </c>
      <c r="E2150" s="4" t="s">
        <v>25</v>
      </c>
      <c r="F2150" s="4" t="s">
        <v>25</v>
      </c>
      <c r="G2150" s="4" t="s">
        <v>25</v>
      </c>
      <c r="H2150" s="4" t="s">
        <v>25</v>
      </c>
      <c r="I2150" s="5">
        <v>44501</v>
      </c>
      <c r="J2150" s="6">
        <v>0</v>
      </c>
      <c r="K2150" s="6">
        <v>0</v>
      </c>
      <c r="L2150" s="6">
        <v>-0.42099999999999999</v>
      </c>
      <c r="M2150" s="6">
        <v>-0.42099999999999999</v>
      </c>
      <c r="N2150" s="6">
        <v>-0.42099999999999999</v>
      </c>
      <c r="O2150" s="6">
        <v>-0.42099999999999999</v>
      </c>
      <c r="P2150" s="6">
        <v>-4</v>
      </c>
      <c r="Q2150" s="4" t="s">
        <v>26</v>
      </c>
      <c r="R2150" s="4">
        <v>0</v>
      </c>
      <c r="S2150" s="4" t="s">
        <v>555</v>
      </c>
      <c r="T2150" s="4" t="s">
        <v>812</v>
      </c>
      <c r="U2150" s="4">
        <v>0</v>
      </c>
      <c r="V2150" s="4">
        <v>57</v>
      </c>
      <c r="W2150" s="4">
        <v>100</v>
      </c>
    </row>
    <row r="2151" spans="1:23" ht="11.25" customHeight="1" x14ac:dyDescent="0.25">
      <c r="A2151" s="4" t="s">
        <v>28</v>
      </c>
      <c r="B2151" s="4" t="s">
        <v>37</v>
      </c>
      <c r="C2151" s="4" t="s">
        <v>23</v>
      </c>
      <c r="D2151" s="4" t="s">
        <v>46</v>
      </c>
      <c r="E2151" s="4" t="s">
        <v>25</v>
      </c>
      <c r="F2151" s="4" t="s">
        <v>25</v>
      </c>
      <c r="G2151" s="4" t="s">
        <v>25</v>
      </c>
      <c r="H2151" s="4" t="s">
        <v>25</v>
      </c>
      <c r="I2151" s="5">
        <v>44501</v>
      </c>
      <c r="J2151" s="6">
        <v>0</v>
      </c>
      <c r="K2151" s="6">
        <v>0</v>
      </c>
      <c r="L2151" s="6">
        <v>85.778999999999996</v>
      </c>
      <c r="M2151" s="6">
        <v>85.778999999999996</v>
      </c>
      <c r="N2151" s="6">
        <v>85.778999999999996</v>
      </c>
      <c r="O2151" s="6">
        <v>85.778999999999996</v>
      </c>
      <c r="P2151" s="6">
        <v>104</v>
      </c>
      <c r="Q2151" s="4" t="s">
        <v>26</v>
      </c>
      <c r="R2151" s="4">
        <v>0</v>
      </c>
      <c r="S2151" s="4" t="s">
        <v>555</v>
      </c>
      <c r="T2151" s="4" t="s">
        <v>812</v>
      </c>
      <c r="U2151" s="4">
        <v>0</v>
      </c>
      <c r="V2151" s="4">
        <v>57</v>
      </c>
      <c r="W2151" s="4">
        <v>100</v>
      </c>
    </row>
    <row r="2152" spans="1:23" ht="11.25" customHeight="1" x14ac:dyDescent="0.25">
      <c r="A2152" s="4" t="s">
        <v>21</v>
      </c>
      <c r="B2152" s="4" t="s">
        <v>37</v>
      </c>
      <c r="C2152" s="4" t="s">
        <v>23</v>
      </c>
      <c r="D2152" s="4" t="s">
        <v>46</v>
      </c>
      <c r="E2152" s="4" t="s">
        <v>25</v>
      </c>
      <c r="F2152" s="4" t="s">
        <v>25</v>
      </c>
      <c r="G2152" s="4" t="s">
        <v>25</v>
      </c>
      <c r="H2152" s="4" t="s">
        <v>25</v>
      </c>
      <c r="I2152" s="5">
        <v>44531</v>
      </c>
      <c r="J2152" s="6">
        <v>0</v>
      </c>
      <c r="K2152" s="6">
        <v>0</v>
      </c>
      <c r="L2152" s="6">
        <v>11934.83</v>
      </c>
      <c r="M2152" s="6">
        <v>11934.83</v>
      </c>
      <c r="N2152" s="6">
        <v>11934.83</v>
      </c>
      <c r="O2152" s="6">
        <v>11934.83</v>
      </c>
      <c r="P2152" s="6">
        <v>16683</v>
      </c>
      <c r="Q2152" s="4" t="s">
        <v>26</v>
      </c>
      <c r="R2152" s="4">
        <v>0</v>
      </c>
      <c r="S2152" s="4" t="s">
        <v>556</v>
      </c>
      <c r="T2152" s="4" t="s">
        <v>813</v>
      </c>
      <c r="U2152" s="4">
        <v>0</v>
      </c>
      <c r="V2152" s="4">
        <v>57</v>
      </c>
      <c r="W2152" s="4">
        <v>100</v>
      </c>
    </row>
    <row r="2153" spans="1:23" ht="11.25" customHeight="1" x14ac:dyDescent="0.25">
      <c r="A2153" s="4" t="s">
        <v>27</v>
      </c>
      <c r="B2153" s="4" t="s">
        <v>37</v>
      </c>
      <c r="C2153" s="4" t="s">
        <v>23</v>
      </c>
      <c r="D2153" s="4" t="s">
        <v>46</v>
      </c>
      <c r="E2153" s="4" t="s">
        <v>25</v>
      </c>
      <c r="F2153" s="4" t="s">
        <v>25</v>
      </c>
      <c r="G2153" s="4" t="s">
        <v>25</v>
      </c>
      <c r="H2153" s="4" t="s">
        <v>25</v>
      </c>
      <c r="I2153" s="5">
        <v>44531</v>
      </c>
      <c r="J2153" s="6">
        <v>0</v>
      </c>
      <c r="K2153" s="6">
        <v>0</v>
      </c>
      <c r="L2153" s="6">
        <v>-1.1839999999999999</v>
      </c>
      <c r="M2153" s="6">
        <v>-1.1839999999999999</v>
      </c>
      <c r="N2153" s="6">
        <v>-1.1839999999999999</v>
      </c>
      <c r="O2153" s="6">
        <v>-1.1839999999999999</v>
      </c>
      <c r="P2153" s="6">
        <v>-3</v>
      </c>
      <c r="Q2153" s="4" t="s">
        <v>26</v>
      </c>
      <c r="R2153" s="4">
        <v>0</v>
      </c>
      <c r="S2153" s="4" t="s">
        <v>556</v>
      </c>
      <c r="T2153" s="4" t="s">
        <v>813</v>
      </c>
      <c r="U2153" s="4">
        <v>0</v>
      </c>
      <c r="V2153" s="4">
        <v>57</v>
      </c>
      <c r="W2153" s="4">
        <v>100</v>
      </c>
    </row>
    <row r="2154" spans="1:23" ht="11.25" customHeight="1" x14ac:dyDescent="0.25">
      <c r="A2154" s="4" t="s">
        <v>28</v>
      </c>
      <c r="B2154" s="4" t="s">
        <v>37</v>
      </c>
      <c r="C2154" s="4" t="s">
        <v>23</v>
      </c>
      <c r="D2154" s="4" t="s">
        <v>46</v>
      </c>
      <c r="E2154" s="4" t="s">
        <v>25</v>
      </c>
      <c r="F2154" s="4" t="s">
        <v>25</v>
      </c>
      <c r="G2154" s="4" t="s">
        <v>25</v>
      </c>
      <c r="H2154" s="4" t="s">
        <v>25</v>
      </c>
      <c r="I2154" s="5">
        <v>44531</v>
      </c>
      <c r="J2154" s="6">
        <v>0</v>
      </c>
      <c r="K2154" s="6">
        <v>0</v>
      </c>
      <c r="L2154" s="6">
        <v>91.763999999999996</v>
      </c>
      <c r="M2154" s="6">
        <v>91.763999999999996</v>
      </c>
      <c r="N2154" s="6">
        <v>91.763999999999996</v>
      </c>
      <c r="O2154" s="6">
        <v>91.763999999999996</v>
      </c>
      <c r="P2154" s="6">
        <v>105</v>
      </c>
      <c r="Q2154" s="4" t="s">
        <v>26</v>
      </c>
      <c r="R2154" s="4">
        <v>0</v>
      </c>
      <c r="S2154" s="4" t="s">
        <v>556</v>
      </c>
      <c r="T2154" s="4" t="s">
        <v>813</v>
      </c>
      <c r="U2154" s="4">
        <v>0</v>
      </c>
      <c r="V2154" s="4">
        <v>57</v>
      </c>
      <c r="W2154" s="4">
        <v>100</v>
      </c>
    </row>
    <row r="2155" spans="1:23" ht="11.25" customHeight="1" x14ac:dyDescent="0.25">
      <c r="A2155" s="4" t="s">
        <v>21</v>
      </c>
      <c r="B2155" s="4" t="s">
        <v>37</v>
      </c>
      <c r="C2155" s="4" t="s">
        <v>23</v>
      </c>
      <c r="D2155" s="4" t="s">
        <v>46</v>
      </c>
      <c r="E2155" s="4" t="s">
        <v>25</v>
      </c>
      <c r="F2155" s="4" t="s">
        <v>25</v>
      </c>
      <c r="G2155" s="4" t="s">
        <v>25</v>
      </c>
      <c r="H2155" s="4" t="s">
        <v>25</v>
      </c>
      <c r="I2155" s="5">
        <v>44562</v>
      </c>
      <c r="J2155" s="6">
        <v>0</v>
      </c>
      <c r="K2155" s="6">
        <v>0</v>
      </c>
      <c r="L2155" s="6">
        <v>9524.6080000000002</v>
      </c>
      <c r="M2155" s="6">
        <v>9524.6080000000002</v>
      </c>
      <c r="N2155" s="6">
        <v>9524.6080000000002</v>
      </c>
      <c r="O2155" s="6">
        <v>9524.6080000000002</v>
      </c>
      <c r="P2155" s="6">
        <v>16710</v>
      </c>
      <c r="Q2155" s="4" t="s">
        <v>26</v>
      </c>
      <c r="R2155" s="4">
        <v>0</v>
      </c>
      <c r="S2155" s="4" t="s">
        <v>557</v>
      </c>
      <c r="T2155" s="4" t="s">
        <v>814</v>
      </c>
      <c r="U2155" s="4">
        <v>0</v>
      </c>
      <c r="V2155" s="4">
        <v>57</v>
      </c>
      <c r="W2155" s="4">
        <v>100</v>
      </c>
    </row>
    <row r="2156" spans="1:23" ht="11.25" customHeight="1" x14ac:dyDescent="0.25">
      <c r="A2156" s="4" t="s">
        <v>27</v>
      </c>
      <c r="B2156" s="4" t="s">
        <v>37</v>
      </c>
      <c r="C2156" s="4" t="s">
        <v>23</v>
      </c>
      <c r="D2156" s="4" t="s">
        <v>46</v>
      </c>
      <c r="E2156" s="4" t="s">
        <v>25</v>
      </c>
      <c r="F2156" s="4" t="s">
        <v>25</v>
      </c>
      <c r="G2156" s="4" t="s">
        <v>25</v>
      </c>
      <c r="H2156" s="4" t="s">
        <v>25</v>
      </c>
      <c r="I2156" s="5">
        <v>44562</v>
      </c>
      <c r="J2156" s="6">
        <v>0</v>
      </c>
      <c r="K2156" s="6">
        <v>0</v>
      </c>
      <c r="L2156" s="6">
        <v>-108.285</v>
      </c>
      <c r="M2156" s="6">
        <v>-108.285</v>
      </c>
      <c r="N2156" s="6">
        <v>-108.285</v>
      </c>
      <c r="O2156" s="6">
        <v>-108.285</v>
      </c>
      <c r="P2156" s="6">
        <v>-8</v>
      </c>
      <c r="Q2156" s="4" t="s">
        <v>26</v>
      </c>
      <c r="R2156" s="4">
        <v>0</v>
      </c>
      <c r="S2156" s="4" t="s">
        <v>557</v>
      </c>
      <c r="T2156" s="4" t="s">
        <v>814</v>
      </c>
      <c r="U2156" s="4">
        <v>0</v>
      </c>
      <c r="V2156" s="4">
        <v>57</v>
      </c>
      <c r="W2156" s="4">
        <v>100</v>
      </c>
    </row>
    <row r="2157" spans="1:23" ht="11.25" customHeight="1" x14ac:dyDescent="0.25">
      <c r="A2157" s="4" t="s">
        <v>28</v>
      </c>
      <c r="B2157" s="4" t="s">
        <v>37</v>
      </c>
      <c r="C2157" s="4" t="s">
        <v>23</v>
      </c>
      <c r="D2157" s="4" t="s">
        <v>46</v>
      </c>
      <c r="E2157" s="4" t="s">
        <v>25</v>
      </c>
      <c r="F2157" s="4" t="s">
        <v>25</v>
      </c>
      <c r="G2157" s="4" t="s">
        <v>25</v>
      </c>
      <c r="H2157" s="4" t="s">
        <v>25</v>
      </c>
      <c r="I2157" s="5">
        <v>44562</v>
      </c>
      <c r="J2157" s="6">
        <v>0</v>
      </c>
      <c r="K2157" s="6">
        <v>0</v>
      </c>
      <c r="L2157" s="6">
        <v>69.765000000000001</v>
      </c>
      <c r="M2157" s="6">
        <v>69.765000000000001</v>
      </c>
      <c r="N2157" s="6">
        <v>69.765000000000001</v>
      </c>
      <c r="O2157" s="6">
        <v>69.765000000000001</v>
      </c>
      <c r="P2157" s="6">
        <v>109</v>
      </c>
      <c r="Q2157" s="4" t="s">
        <v>26</v>
      </c>
      <c r="R2157" s="4">
        <v>0</v>
      </c>
      <c r="S2157" s="4" t="s">
        <v>557</v>
      </c>
      <c r="T2157" s="4" t="s">
        <v>814</v>
      </c>
      <c r="U2157" s="4">
        <v>0</v>
      </c>
      <c r="V2157" s="4">
        <v>57</v>
      </c>
      <c r="W2157" s="4">
        <v>100</v>
      </c>
    </row>
    <row r="2158" spans="1:23" ht="11.25" customHeight="1" x14ac:dyDescent="0.25">
      <c r="A2158" s="4" t="s">
        <v>21</v>
      </c>
      <c r="B2158" s="4" t="s">
        <v>37</v>
      </c>
      <c r="C2158" s="4" t="s">
        <v>23</v>
      </c>
      <c r="D2158" s="4" t="s">
        <v>46</v>
      </c>
      <c r="E2158" s="4" t="s">
        <v>25</v>
      </c>
      <c r="F2158" s="4" t="s">
        <v>25</v>
      </c>
      <c r="G2158" s="4" t="s">
        <v>25</v>
      </c>
      <c r="H2158" s="4" t="s">
        <v>25</v>
      </c>
      <c r="I2158" s="5">
        <v>44593</v>
      </c>
      <c r="J2158" s="6">
        <v>0</v>
      </c>
      <c r="K2158" s="6">
        <v>0</v>
      </c>
      <c r="L2158" s="6">
        <v>9151.9009999999998</v>
      </c>
      <c r="M2158" s="6">
        <v>9151.9009999999998</v>
      </c>
      <c r="N2158" s="6">
        <v>9151.9009999999998</v>
      </c>
      <c r="O2158" s="6">
        <v>9151.9009999999998</v>
      </c>
      <c r="P2158" s="6">
        <v>16733</v>
      </c>
      <c r="Q2158" s="4" t="s">
        <v>26</v>
      </c>
      <c r="R2158" s="4">
        <v>0</v>
      </c>
      <c r="S2158" s="4" t="s">
        <v>558</v>
      </c>
      <c r="T2158" s="4" t="s">
        <v>815</v>
      </c>
      <c r="U2158" s="4">
        <v>0</v>
      </c>
      <c r="V2158" s="4">
        <v>57</v>
      </c>
      <c r="W2158" s="4">
        <v>100</v>
      </c>
    </row>
    <row r="2159" spans="1:23" ht="11.25" customHeight="1" x14ac:dyDescent="0.25">
      <c r="A2159" s="4" t="s">
        <v>27</v>
      </c>
      <c r="B2159" s="4" t="s">
        <v>37</v>
      </c>
      <c r="C2159" s="4" t="s">
        <v>23</v>
      </c>
      <c r="D2159" s="4" t="s">
        <v>46</v>
      </c>
      <c r="E2159" s="4" t="s">
        <v>25</v>
      </c>
      <c r="F2159" s="4" t="s">
        <v>25</v>
      </c>
      <c r="G2159" s="4" t="s">
        <v>25</v>
      </c>
      <c r="H2159" s="4" t="s">
        <v>25</v>
      </c>
      <c r="I2159" s="5">
        <v>44593</v>
      </c>
      <c r="J2159" s="6">
        <v>0</v>
      </c>
      <c r="K2159" s="6">
        <v>0</v>
      </c>
      <c r="L2159" s="6">
        <v>-30.533000000000001</v>
      </c>
      <c r="M2159" s="6">
        <v>-30.533000000000001</v>
      </c>
      <c r="N2159" s="6">
        <v>-30.533000000000001</v>
      </c>
      <c r="O2159" s="6">
        <v>-30.533000000000001</v>
      </c>
      <c r="P2159" s="6">
        <v>3</v>
      </c>
      <c r="Q2159" s="4" t="s">
        <v>26</v>
      </c>
      <c r="R2159" s="4">
        <v>0</v>
      </c>
      <c r="S2159" s="4" t="s">
        <v>558</v>
      </c>
      <c r="T2159" s="4" t="s">
        <v>815</v>
      </c>
      <c r="U2159" s="4">
        <v>0</v>
      </c>
      <c r="V2159" s="4">
        <v>57</v>
      </c>
      <c r="W2159" s="4">
        <v>100</v>
      </c>
    </row>
    <row r="2160" spans="1:23" ht="11.25" customHeight="1" x14ac:dyDescent="0.25">
      <c r="A2160" s="4" t="s">
        <v>28</v>
      </c>
      <c r="B2160" s="4" t="s">
        <v>37</v>
      </c>
      <c r="C2160" s="4" t="s">
        <v>23</v>
      </c>
      <c r="D2160" s="4" t="s">
        <v>46</v>
      </c>
      <c r="E2160" s="4" t="s">
        <v>25</v>
      </c>
      <c r="F2160" s="4" t="s">
        <v>25</v>
      </c>
      <c r="G2160" s="4" t="s">
        <v>25</v>
      </c>
      <c r="H2160" s="4" t="s">
        <v>25</v>
      </c>
      <c r="I2160" s="5">
        <v>44593</v>
      </c>
      <c r="J2160" s="6">
        <v>0</v>
      </c>
      <c r="K2160" s="6">
        <v>0</v>
      </c>
      <c r="L2160" s="6">
        <v>63.994</v>
      </c>
      <c r="M2160" s="6">
        <v>63.994</v>
      </c>
      <c r="N2160" s="6">
        <v>63.994</v>
      </c>
      <c r="O2160" s="6">
        <v>63.994</v>
      </c>
      <c r="P2160" s="6">
        <v>112</v>
      </c>
      <c r="Q2160" s="4" t="s">
        <v>26</v>
      </c>
      <c r="R2160" s="4">
        <v>0</v>
      </c>
      <c r="S2160" s="4" t="s">
        <v>558</v>
      </c>
      <c r="T2160" s="4" t="s">
        <v>815</v>
      </c>
      <c r="U2160" s="4">
        <v>0</v>
      </c>
      <c r="V2160" s="4">
        <v>57</v>
      </c>
      <c r="W2160" s="4">
        <v>100</v>
      </c>
    </row>
    <row r="2161" spans="1:23" ht="11.25" customHeight="1" x14ac:dyDescent="0.25">
      <c r="A2161" s="4" t="s">
        <v>21</v>
      </c>
      <c r="B2161" s="4" t="s">
        <v>37</v>
      </c>
      <c r="C2161" s="4" t="s">
        <v>23</v>
      </c>
      <c r="D2161" s="4" t="s">
        <v>46</v>
      </c>
      <c r="E2161" s="4" t="s">
        <v>25</v>
      </c>
      <c r="F2161" s="4" t="s">
        <v>25</v>
      </c>
      <c r="G2161" s="4" t="s">
        <v>25</v>
      </c>
      <c r="H2161" s="4" t="s">
        <v>25</v>
      </c>
      <c r="I2161" s="5">
        <v>44621</v>
      </c>
      <c r="J2161" s="6">
        <v>0</v>
      </c>
      <c r="K2161" s="6">
        <v>0</v>
      </c>
      <c r="L2161" s="6">
        <v>11237.617</v>
      </c>
      <c r="M2161" s="6">
        <v>11237.617</v>
      </c>
      <c r="N2161" s="6">
        <v>11237.617</v>
      </c>
      <c r="O2161" s="6">
        <v>11237.617</v>
      </c>
      <c r="P2161" s="6">
        <v>16766</v>
      </c>
      <c r="Q2161" s="4" t="s">
        <v>26</v>
      </c>
      <c r="R2161" s="4">
        <v>0</v>
      </c>
      <c r="S2161" s="4" t="s">
        <v>559</v>
      </c>
      <c r="T2161" s="4" t="s">
        <v>816</v>
      </c>
      <c r="U2161" s="4">
        <v>0</v>
      </c>
      <c r="V2161" s="4">
        <v>57</v>
      </c>
      <c r="W2161" s="4">
        <v>100</v>
      </c>
    </row>
    <row r="2162" spans="1:23" ht="11.25" customHeight="1" x14ac:dyDescent="0.25">
      <c r="A2162" s="4" t="s">
        <v>27</v>
      </c>
      <c r="B2162" s="4" t="s">
        <v>37</v>
      </c>
      <c r="C2162" s="4" t="s">
        <v>23</v>
      </c>
      <c r="D2162" s="4" t="s">
        <v>46</v>
      </c>
      <c r="E2162" s="4" t="s">
        <v>25</v>
      </c>
      <c r="F2162" s="4" t="s">
        <v>25</v>
      </c>
      <c r="G2162" s="4" t="s">
        <v>25</v>
      </c>
      <c r="H2162" s="4" t="s">
        <v>25</v>
      </c>
      <c r="I2162" s="5">
        <v>44621</v>
      </c>
      <c r="J2162" s="6">
        <v>0</v>
      </c>
      <c r="K2162" s="6">
        <v>0</v>
      </c>
      <c r="L2162" s="6">
        <v>-61.042999999999999</v>
      </c>
      <c r="M2162" s="6">
        <v>-61.042999999999999</v>
      </c>
      <c r="N2162" s="6">
        <v>-61.042999999999999</v>
      </c>
      <c r="O2162" s="6">
        <v>-61.042999999999999</v>
      </c>
      <c r="P2162" s="6">
        <v>-5</v>
      </c>
      <c r="Q2162" s="4" t="s">
        <v>26</v>
      </c>
      <c r="R2162" s="4">
        <v>0</v>
      </c>
      <c r="S2162" s="4" t="s">
        <v>559</v>
      </c>
      <c r="T2162" s="4" t="s">
        <v>816</v>
      </c>
      <c r="U2162" s="4">
        <v>0</v>
      </c>
      <c r="V2162" s="4">
        <v>57</v>
      </c>
      <c r="W2162" s="4">
        <v>100</v>
      </c>
    </row>
    <row r="2163" spans="1:23" ht="11.25" customHeight="1" x14ac:dyDescent="0.25">
      <c r="A2163" s="4" t="s">
        <v>28</v>
      </c>
      <c r="B2163" s="4" t="s">
        <v>37</v>
      </c>
      <c r="C2163" s="4" t="s">
        <v>23</v>
      </c>
      <c r="D2163" s="4" t="s">
        <v>46</v>
      </c>
      <c r="E2163" s="4" t="s">
        <v>25</v>
      </c>
      <c r="F2163" s="4" t="s">
        <v>25</v>
      </c>
      <c r="G2163" s="4" t="s">
        <v>25</v>
      </c>
      <c r="H2163" s="4" t="s">
        <v>25</v>
      </c>
      <c r="I2163" s="5">
        <v>44621</v>
      </c>
      <c r="J2163" s="6">
        <v>0</v>
      </c>
      <c r="K2163" s="6">
        <v>0</v>
      </c>
      <c r="L2163" s="6">
        <v>122.032</v>
      </c>
      <c r="M2163" s="6">
        <v>122.032</v>
      </c>
      <c r="N2163" s="6">
        <v>122.032</v>
      </c>
      <c r="O2163" s="6">
        <v>122.032</v>
      </c>
      <c r="P2163" s="6">
        <v>118</v>
      </c>
      <c r="Q2163" s="4" t="s">
        <v>26</v>
      </c>
      <c r="R2163" s="4">
        <v>0</v>
      </c>
      <c r="S2163" s="4" t="s">
        <v>559</v>
      </c>
      <c r="T2163" s="4" t="s">
        <v>816</v>
      </c>
      <c r="U2163" s="4">
        <v>0</v>
      </c>
      <c r="V2163" s="4">
        <v>57</v>
      </c>
      <c r="W2163" s="4">
        <v>100</v>
      </c>
    </row>
    <row r="2164" spans="1:23" ht="11.25" customHeight="1" x14ac:dyDescent="0.25">
      <c r="A2164" s="4" t="s">
        <v>21</v>
      </c>
      <c r="B2164" s="4" t="s">
        <v>37</v>
      </c>
      <c r="C2164" s="4" t="s">
        <v>23</v>
      </c>
      <c r="D2164" s="4" t="s">
        <v>46</v>
      </c>
      <c r="E2164" s="4" t="s">
        <v>25</v>
      </c>
      <c r="F2164" s="4" t="s">
        <v>25</v>
      </c>
      <c r="G2164" s="4" t="s">
        <v>25</v>
      </c>
      <c r="H2164" s="4" t="s">
        <v>25</v>
      </c>
      <c r="I2164" s="5">
        <v>44652</v>
      </c>
      <c r="J2164" s="6">
        <v>0</v>
      </c>
      <c r="K2164" s="6">
        <v>0</v>
      </c>
      <c r="L2164" s="6">
        <v>11198.26</v>
      </c>
      <c r="M2164" s="6">
        <v>11198.26</v>
      </c>
      <c r="N2164" s="6">
        <v>11198.26</v>
      </c>
      <c r="O2164" s="6">
        <v>11198.26</v>
      </c>
      <c r="P2164" s="6">
        <v>16836</v>
      </c>
      <c r="Q2164" s="4" t="s">
        <v>26</v>
      </c>
      <c r="R2164" s="4">
        <v>0</v>
      </c>
      <c r="S2164" s="4" t="s">
        <v>560</v>
      </c>
      <c r="T2164" s="4" t="s">
        <v>817</v>
      </c>
      <c r="U2164" s="4">
        <v>0</v>
      </c>
      <c r="V2164" s="4">
        <v>57</v>
      </c>
      <c r="W2164" s="4">
        <v>100</v>
      </c>
    </row>
    <row r="2165" spans="1:23" ht="11.25" customHeight="1" x14ac:dyDescent="0.25">
      <c r="A2165" s="4" t="s">
        <v>27</v>
      </c>
      <c r="B2165" s="4" t="s">
        <v>37</v>
      </c>
      <c r="C2165" s="4" t="s">
        <v>23</v>
      </c>
      <c r="D2165" s="4" t="s">
        <v>46</v>
      </c>
      <c r="E2165" s="4" t="s">
        <v>25</v>
      </c>
      <c r="F2165" s="4" t="s">
        <v>25</v>
      </c>
      <c r="G2165" s="4" t="s">
        <v>25</v>
      </c>
      <c r="H2165" s="4" t="s">
        <v>25</v>
      </c>
      <c r="I2165" s="5">
        <v>44652</v>
      </c>
      <c r="J2165" s="6">
        <v>0</v>
      </c>
      <c r="K2165" s="6">
        <v>0</v>
      </c>
      <c r="L2165" s="6">
        <v>-37.835999999999999</v>
      </c>
      <c r="M2165" s="6">
        <v>-37.835999999999999</v>
      </c>
      <c r="N2165" s="6">
        <v>-37.835999999999999</v>
      </c>
      <c r="O2165" s="6">
        <v>-37.835999999999999</v>
      </c>
      <c r="P2165" s="6">
        <v>-1</v>
      </c>
      <c r="Q2165" s="4" t="s">
        <v>26</v>
      </c>
      <c r="R2165" s="4">
        <v>0</v>
      </c>
      <c r="S2165" s="4" t="s">
        <v>560</v>
      </c>
      <c r="T2165" s="4" t="s">
        <v>817</v>
      </c>
      <c r="U2165" s="4">
        <v>0</v>
      </c>
      <c r="V2165" s="4">
        <v>57</v>
      </c>
      <c r="W2165" s="4">
        <v>100</v>
      </c>
    </row>
    <row r="2166" spans="1:23" ht="11.25" customHeight="1" x14ac:dyDescent="0.25">
      <c r="A2166" s="4" t="s">
        <v>28</v>
      </c>
      <c r="B2166" s="4" t="s">
        <v>37</v>
      </c>
      <c r="C2166" s="4" t="s">
        <v>23</v>
      </c>
      <c r="D2166" s="4" t="s">
        <v>46</v>
      </c>
      <c r="E2166" s="4" t="s">
        <v>25</v>
      </c>
      <c r="F2166" s="4" t="s">
        <v>25</v>
      </c>
      <c r="G2166" s="4" t="s">
        <v>25</v>
      </c>
      <c r="H2166" s="4" t="s">
        <v>25</v>
      </c>
      <c r="I2166" s="5">
        <v>44652</v>
      </c>
      <c r="J2166" s="6">
        <v>0</v>
      </c>
      <c r="K2166" s="6">
        <v>0</v>
      </c>
      <c r="L2166" s="6">
        <v>114.083</v>
      </c>
      <c r="M2166" s="6">
        <v>114.083</v>
      </c>
      <c r="N2166" s="6">
        <v>114.083</v>
      </c>
      <c r="O2166" s="6">
        <v>114.083</v>
      </c>
      <c r="P2166" s="6">
        <v>124</v>
      </c>
      <c r="Q2166" s="4" t="s">
        <v>26</v>
      </c>
      <c r="R2166" s="4">
        <v>0</v>
      </c>
      <c r="S2166" s="4" t="s">
        <v>560</v>
      </c>
      <c r="T2166" s="4" t="s">
        <v>817</v>
      </c>
      <c r="U2166" s="4">
        <v>0</v>
      </c>
      <c r="V2166" s="4">
        <v>57</v>
      </c>
      <c r="W2166" s="4">
        <v>100</v>
      </c>
    </row>
    <row r="2167" spans="1:23" ht="11.25" customHeight="1" x14ac:dyDescent="0.25">
      <c r="A2167" s="4" t="s">
        <v>21</v>
      </c>
      <c r="B2167" s="4" t="s">
        <v>37</v>
      </c>
      <c r="C2167" s="4" t="s">
        <v>23</v>
      </c>
      <c r="D2167" s="4" t="s">
        <v>46</v>
      </c>
      <c r="E2167" s="4" t="s">
        <v>25</v>
      </c>
      <c r="F2167" s="4" t="s">
        <v>25</v>
      </c>
      <c r="G2167" s="4" t="s">
        <v>25</v>
      </c>
      <c r="H2167" s="4" t="s">
        <v>25</v>
      </c>
      <c r="I2167" s="5">
        <v>44682</v>
      </c>
      <c r="J2167" s="6">
        <v>0</v>
      </c>
      <c r="K2167" s="6">
        <v>0</v>
      </c>
      <c r="L2167" s="6">
        <v>11624.236999999999</v>
      </c>
      <c r="M2167" s="6">
        <v>11624.236999999999</v>
      </c>
      <c r="N2167" s="6">
        <v>11624.236999999999</v>
      </c>
      <c r="O2167" s="6">
        <v>11624.236999999999</v>
      </c>
      <c r="P2167" s="6">
        <v>16900</v>
      </c>
      <c r="Q2167" s="4" t="s">
        <v>26</v>
      </c>
      <c r="R2167" s="4">
        <v>0</v>
      </c>
      <c r="S2167" s="4" t="s">
        <v>561</v>
      </c>
      <c r="T2167" s="4" t="s">
        <v>818</v>
      </c>
      <c r="U2167" s="4">
        <v>0</v>
      </c>
      <c r="V2167" s="4">
        <v>57</v>
      </c>
      <c r="W2167" s="4">
        <v>100</v>
      </c>
    </row>
    <row r="2168" spans="1:23" ht="11.25" customHeight="1" x14ac:dyDescent="0.25">
      <c r="A2168" s="4" t="s">
        <v>27</v>
      </c>
      <c r="B2168" s="4" t="s">
        <v>37</v>
      </c>
      <c r="C2168" s="4" t="s">
        <v>23</v>
      </c>
      <c r="D2168" s="4" t="s">
        <v>46</v>
      </c>
      <c r="E2168" s="4" t="s">
        <v>25</v>
      </c>
      <c r="F2168" s="4" t="s">
        <v>25</v>
      </c>
      <c r="G2168" s="4" t="s">
        <v>25</v>
      </c>
      <c r="H2168" s="4" t="s">
        <v>25</v>
      </c>
      <c r="I2168" s="5">
        <v>44682</v>
      </c>
      <c r="J2168" s="6">
        <v>0</v>
      </c>
      <c r="K2168" s="6">
        <v>0</v>
      </c>
      <c r="L2168" s="6">
        <v>-0.03</v>
      </c>
      <c r="M2168" s="6">
        <v>-0.03</v>
      </c>
      <c r="N2168" s="6">
        <v>-0.03</v>
      </c>
      <c r="O2168" s="6">
        <v>-0.03</v>
      </c>
      <c r="P2168" s="6">
        <v>-1</v>
      </c>
      <c r="Q2168" s="4" t="s">
        <v>26</v>
      </c>
      <c r="R2168" s="4">
        <v>0</v>
      </c>
      <c r="S2168" s="4" t="s">
        <v>561</v>
      </c>
      <c r="T2168" s="4" t="s">
        <v>818</v>
      </c>
      <c r="U2168" s="4">
        <v>0</v>
      </c>
      <c r="V2168" s="4">
        <v>57</v>
      </c>
      <c r="W2168" s="4">
        <v>100</v>
      </c>
    </row>
    <row r="2169" spans="1:23" ht="11.25" customHeight="1" x14ac:dyDescent="0.25">
      <c r="A2169" s="4" t="s">
        <v>28</v>
      </c>
      <c r="B2169" s="4" t="s">
        <v>37</v>
      </c>
      <c r="C2169" s="4" t="s">
        <v>23</v>
      </c>
      <c r="D2169" s="4" t="s">
        <v>46</v>
      </c>
      <c r="E2169" s="4" t="s">
        <v>25</v>
      </c>
      <c r="F2169" s="4" t="s">
        <v>25</v>
      </c>
      <c r="G2169" s="4" t="s">
        <v>25</v>
      </c>
      <c r="H2169" s="4" t="s">
        <v>25</v>
      </c>
      <c r="I2169" s="5">
        <v>44682</v>
      </c>
      <c r="J2169" s="6">
        <v>0</v>
      </c>
      <c r="K2169" s="6">
        <v>0</v>
      </c>
      <c r="L2169" s="6">
        <v>133.18100000000001</v>
      </c>
      <c r="M2169" s="6">
        <v>133.18100000000001</v>
      </c>
      <c r="N2169" s="6">
        <v>133.18100000000001</v>
      </c>
      <c r="O2169" s="6">
        <v>133.18100000000001</v>
      </c>
      <c r="P2169" s="6">
        <v>127</v>
      </c>
      <c r="Q2169" s="4" t="s">
        <v>26</v>
      </c>
      <c r="R2169" s="4">
        <v>0</v>
      </c>
      <c r="S2169" s="4" t="s">
        <v>561</v>
      </c>
      <c r="T2169" s="4" t="s">
        <v>818</v>
      </c>
      <c r="U2169" s="4">
        <v>0</v>
      </c>
      <c r="V2169" s="4">
        <v>57</v>
      </c>
      <c r="W2169" s="4">
        <v>100</v>
      </c>
    </row>
    <row r="2170" spans="1:23" ht="11.25" customHeight="1" x14ac:dyDescent="0.25">
      <c r="A2170" s="4" t="s">
        <v>21</v>
      </c>
      <c r="B2170" s="4" t="s">
        <v>37</v>
      </c>
      <c r="C2170" s="4" t="s">
        <v>23</v>
      </c>
      <c r="D2170" s="4" t="s">
        <v>46</v>
      </c>
      <c r="E2170" s="4" t="s">
        <v>25</v>
      </c>
      <c r="F2170" s="4" t="s">
        <v>25</v>
      </c>
      <c r="G2170" s="4" t="s">
        <v>25</v>
      </c>
      <c r="H2170" s="4" t="s">
        <v>25</v>
      </c>
      <c r="I2170" s="5">
        <v>44713</v>
      </c>
      <c r="J2170" s="6">
        <v>0</v>
      </c>
      <c r="K2170" s="6">
        <v>0</v>
      </c>
      <c r="L2170" s="6">
        <v>9788.5419999999995</v>
      </c>
      <c r="M2170" s="6">
        <v>9788.5419999999995</v>
      </c>
      <c r="N2170" s="6">
        <v>9788.5419999999995</v>
      </c>
      <c r="O2170" s="6">
        <v>9788.5419999999995</v>
      </c>
      <c r="P2170" s="6">
        <v>16988</v>
      </c>
      <c r="Q2170" s="4" t="s">
        <v>26</v>
      </c>
      <c r="R2170" s="4">
        <v>0</v>
      </c>
      <c r="S2170" s="4" t="s">
        <v>562</v>
      </c>
      <c r="T2170" s="4" t="s">
        <v>819</v>
      </c>
      <c r="U2170" s="4">
        <v>0</v>
      </c>
      <c r="V2170" s="4">
        <v>57</v>
      </c>
      <c r="W2170" s="4">
        <v>100</v>
      </c>
    </row>
    <row r="2171" spans="1:23" ht="11.25" customHeight="1" x14ac:dyDescent="0.25">
      <c r="A2171" s="4" t="s">
        <v>27</v>
      </c>
      <c r="B2171" s="4" t="s">
        <v>37</v>
      </c>
      <c r="C2171" s="4" t="s">
        <v>23</v>
      </c>
      <c r="D2171" s="4" t="s">
        <v>46</v>
      </c>
      <c r="E2171" s="4" t="s">
        <v>25</v>
      </c>
      <c r="F2171" s="4" t="s">
        <v>25</v>
      </c>
      <c r="G2171" s="4" t="s">
        <v>25</v>
      </c>
      <c r="H2171" s="4" t="s">
        <v>25</v>
      </c>
      <c r="I2171" s="5">
        <v>44713</v>
      </c>
      <c r="J2171" s="6">
        <v>0</v>
      </c>
      <c r="K2171" s="6">
        <v>0</v>
      </c>
      <c r="L2171" s="6">
        <v>-11.276999999999999</v>
      </c>
      <c r="M2171" s="6">
        <v>-11.276999999999999</v>
      </c>
      <c r="N2171" s="6">
        <v>-11.276999999999999</v>
      </c>
      <c r="O2171" s="6">
        <v>-11.276999999999999</v>
      </c>
      <c r="P2171" s="6">
        <v>-1</v>
      </c>
      <c r="Q2171" s="4" t="s">
        <v>26</v>
      </c>
      <c r="R2171" s="4">
        <v>0</v>
      </c>
      <c r="S2171" s="4" t="s">
        <v>562</v>
      </c>
      <c r="T2171" s="4" t="s">
        <v>819</v>
      </c>
      <c r="U2171" s="4">
        <v>0</v>
      </c>
      <c r="V2171" s="4">
        <v>57</v>
      </c>
      <c r="W2171" s="4">
        <v>100</v>
      </c>
    </row>
    <row r="2172" spans="1:23" ht="11.25" customHeight="1" x14ac:dyDescent="0.25">
      <c r="A2172" s="4" t="s">
        <v>28</v>
      </c>
      <c r="B2172" s="4" t="s">
        <v>37</v>
      </c>
      <c r="C2172" s="4" t="s">
        <v>23</v>
      </c>
      <c r="D2172" s="4" t="s">
        <v>46</v>
      </c>
      <c r="E2172" s="4" t="s">
        <v>25</v>
      </c>
      <c r="F2172" s="4" t="s">
        <v>25</v>
      </c>
      <c r="G2172" s="4" t="s">
        <v>25</v>
      </c>
      <c r="H2172" s="4" t="s">
        <v>25</v>
      </c>
      <c r="I2172" s="5">
        <v>44713</v>
      </c>
      <c r="J2172" s="6">
        <v>0</v>
      </c>
      <c r="K2172" s="6">
        <v>0</v>
      </c>
      <c r="L2172" s="6">
        <v>112.69799999999999</v>
      </c>
      <c r="M2172" s="6">
        <v>112.69799999999999</v>
      </c>
      <c r="N2172" s="6">
        <v>112.69799999999999</v>
      </c>
      <c r="O2172" s="6">
        <v>112.69799999999999</v>
      </c>
      <c r="P2172" s="6">
        <v>126</v>
      </c>
      <c r="Q2172" s="4" t="s">
        <v>26</v>
      </c>
      <c r="R2172" s="4">
        <v>0</v>
      </c>
      <c r="S2172" s="4" t="s">
        <v>562</v>
      </c>
      <c r="T2172" s="4" t="s">
        <v>819</v>
      </c>
      <c r="U2172" s="4">
        <v>0</v>
      </c>
      <c r="V2172" s="4">
        <v>57</v>
      </c>
      <c r="W2172" s="4">
        <v>100</v>
      </c>
    </row>
    <row r="2173" spans="1:23" ht="11.25" customHeight="1" x14ac:dyDescent="0.25">
      <c r="A2173" s="4" t="s">
        <v>57</v>
      </c>
      <c r="B2173" s="4" t="s">
        <v>37</v>
      </c>
      <c r="C2173" s="4" t="s">
        <v>23</v>
      </c>
      <c r="D2173" s="4" t="s">
        <v>46</v>
      </c>
      <c r="E2173" s="4" t="s">
        <v>25</v>
      </c>
      <c r="F2173" s="4" t="s">
        <v>25</v>
      </c>
      <c r="G2173" s="4" t="s">
        <v>25</v>
      </c>
      <c r="H2173" s="4" t="s">
        <v>25</v>
      </c>
      <c r="I2173" s="5">
        <v>44743</v>
      </c>
      <c r="J2173" s="6">
        <v>0</v>
      </c>
      <c r="K2173" s="6">
        <v>0</v>
      </c>
      <c r="L2173" s="6">
        <v>9788.5419999999995</v>
      </c>
      <c r="M2173" s="6">
        <v>9788.5419999999995</v>
      </c>
      <c r="N2173" s="6">
        <v>9788.5419999999995</v>
      </c>
      <c r="O2173" s="6">
        <v>9788.5419999999995</v>
      </c>
      <c r="P2173" s="6">
        <v>16988</v>
      </c>
      <c r="Q2173" s="4" t="s">
        <v>26</v>
      </c>
      <c r="R2173" s="4">
        <v>0</v>
      </c>
      <c r="S2173" s="4" t="s">
        <v>563</v>
      </c>
      <c r="T2173" s="4" t="s">
        <v>820</v>
      </c>
      <c r="U2173" s="4">
        <v>0</v>
      </c>
      <c r="V2173" s="4">
        <v>57</v>
      </c>
      <c r="W2173" s="4">
        <v>100</v>
      </c>
    </row>
    <row r="2174" spans="1:23" ht="11.25" customHeight="1" x14ac:dyDescent="0.25">
      <c r="A2174" s="4" t="s">
        <v>57</v>
      </c>
      <c r="B2174" s="4" t="s">
        <v>37</v>
      </c>
      <c r="C2174" s="4" t="s">
        <v>23</v>
      </c>
      <c r="D2174" s="4" t="s">
        <v>46</v>
      </c>
      <c r="E2174" s="4" t="s">
        <v>25</v>
      </c>
      <c r="F2174" s="4" t="s">
        <v>25</v>
      </c>
      <c r="G2174" s="4" t="s">
        <v>25</v>
      </c>
      <c r="H2174" s="4" t="s">
        <v>25</v>
      </c>
      <c r="I2174" s="5">
        <v>44743</v>
      </c>
      <c r="J2174" s="6">
        <v>0</v>
      </c>
      <c r="K2174" s="6">
        <v>0</v>
      </c>
      <c r="L2174" s="6">
        <v>-11.276999999999999</v>
      </c>
      <c r="M2174" s="6">
        <v>-11.276999999999999</v>
      </c>
      <c r="N2174" s="6">
        <v>-11.276999999999999</v>
      </c>
      <c r="O2174" s="6">
        <v>-11.276999999999999</v>
      </c>
      <c r="P2174" s="6">
        <v>-1</v>
      </c>
      <c r="Q2174" s="4" t="s">
        <v>26</v>
      </c>
      <c r="R2174" s="4">
        <v>0</v>
      </c>
      <c r="S2174" s="4" t="s">
        <v>563</v>
      </c>
      <c r="T2174" s="4" t="s">
        <v>820</v>
      </c>
      <c r="U2174" s="4">
        <v>0</v>
      </c>
      <c r="V2174" s="4">
        <v>57</v>
      </c>
      <c r="W2174" s="4">
        <v>100</v>
      </c>
    </row>
    <row r="2175" spans="1:23" ht="11.25" customHeight="1" x14ac:dyDescent="0.25">
      <c r="A2175" s="4" t="s">
        <v>57</v>
      </c>
      <c r="B2175" s="4" t="s">
        <v>37</v>
      </c>
      <c r="C2175" s="4" t="s">
        <v>23</v>
      </c>
      <c r="D2175" s="4" t="s">
        <v>46</v>
      </c>
      <c r="E2175" s="4" t="s">
        <v>25</v>
      </c>
      <c r="F2175" s="4" t="s">
        <v>25</v>
      </c>
      <c r="G2175" s="4" t="s">
        <v>25</v>
      </c>
      <c r="H2175" s="4" t="s">
        <v>25</v>
      </c>
      <c r="I2175" s="5">
        <v>44743</v>
      </c>
      <c r="J2175" s="6">
        <v>0</v>
      </c>
      <c r="K2175" s="6">
        <v>0</v>
      </c>
      <c r="L2175" s="6">
        <v>112.69799999999999</v>
      </c>
      <c r="M2175" s="6">
        <v>112.69799999999999</v>
      </c>
      <c r="N2175" s="6">
        <v>112.69799999999999</v>
      </c>
      <c r="O2175" s="6">
        <v>112.69799999999999</v>
      </c>
      <c r="P2175" s="6">
        <v>126</v>
      </c>
      <c r="Q2175" s="4" t="s">
        <v>26</v>
      </c>
      <c r="R2175" s="4">
        <v>0</v>
      </c>
      <c r="S2175" s="4" t="s">
        <v>563</v>
      </c>
      <c r="T2175" s="4" t="s">
        <v>820</v>
      </c>
      <c r="U2175" s="4">
        <v>0</v>
      </c>
      <c r="V2175" s="4">
        <v>57</v>
      </c>
      <c r="W2175" s="4">
        <v>100</v>
      </c>
    </row>
    <row r="2176" spans="1:23" ht="11.25" customHeight="1" x14ac:dyDescent="0.25">
      <c r="A2176" s="4" t="s">
        <v>21</v>
      </c>
      <c r="B2176" s="4" t="s">
        <v>37</v>
      </c>
      <c r="C2176" s="4" t="s">
        <v>23</v>
      </c>
      <c r="D2176" s="4" t="s">
        <v>50</v>
      </c>
      <c r="E2176" s="4" t="s">
        <v>51</v>
      </c>
      <c r="F2176" s="4" t="s">
        <v>25</v>
      </c>
      <c r="G2176" s="4" t="s">
        <v>25</v>
      </c>
      <c r="H2176" s="4" t="s">
        <v>25</v>
      </c>
      <c r="I2176" s="5">
        <v>44409</v>
      </c>
      <c r="J2176" s="6">
        <v>0</v>
      </c>
      <c r="K2176" s="6">
        <v>0</v>
      </c>
      <c r="L2176" s="6">
        <v>2482.0250000000001</v>
      </c>
      <c r="M2176" s="6">
        <v>2333.1035000000002</v>
      </c>
      <c r="N2176" s="6">
        <v>2482.0250000000001</v>
      </c>
      <c r="O2176" s="6">
        <v>2333.1035000000002</v>
      </c>
      <c r="P2176" s="6">
        <v>828</v>
      </c>
      <c r="Q2176" s="4" t="s">
        <v>26</v>
      </c>
      <c r="R2176" s="4">
        <v>0</v>
      </c>
      <c r="S2176" s="4" t="s">
        <v>552</v>
      </c>
      <c r="T2176" s="4" t="s">
        <v>809</v>
      </c>
      <c r="U2176" s="4">
        <v>0</v>
      </c>
      <c r="V2176" s="4">
        <v>57</v>
      </c>
      <c r="W2176" s="4">
        <v>100</v>
      </c>
    </row>
    <row r="2177" spans="1:23" ht="11.25" customHeight="1" x14ac:dyDescent="0.25">
      <c r="A2177" s="4" t="s">
        <v>21</v>
      </c>
      <c r="B2177" s="4" t="s">
        <v>37</v>
      </c>
      <c r="C2177" s="4" t="s">
        <v>23</v>
      </c>
      <c r="D2177" s="4" t="s">
        <v>50</v>
      </c>
      <c r="E2177" s="4" t="s">
        <v>51</v>
      </c>
      <c r="F2177" s="4" t="s">
        <v>25</v>
      </c>
      <c r="G2177" s="4" t="s">
        <v>25</v>
      </c>
      <c r="H2177" s="4" t="s">
        <v>25</v>
      </c>
      <c r="I2177" s="5">
        <v>44440</v>
      </c>
      <c r="J2177" s="6">
        <v>0</v>
      </c>
      <c r="K2177" s="6">
        <v>0</v>
      </c>
      <c r="L2177" s="6">
        <v>2433.2939999999999</v>
      </c>
      <c r="M2177" s="6">
        <v>2287.2963599999998</v>
      </c>
      <c r="N2177" s="6">
        <v>2433.2939999999999</v>
      </c>
      <c r="O2177" s="6">
        <v>2287.2963599999998</v>
      </c>
      <c r="P2177" s="6">
        <v>834</v>
      </c>
      <c r="Q2177" s="4" t="s">
        <v>26</v>
      </c>
      <c r="R2177" s="4">
        <v>0</v>
      </c>
      <c r="S2177" s="4" t="s">
        <v>553</v>
      </c>
      <c r="T2177" s="4" t="s">
        <v>810</v>
      </c>
      <c r="U2177" s="4">
        <v>0</v>
      </c>
      <c r="V2177" s="4">
        <v>57</v>
      </c>
      <c r="W2177" s="4">
        <v>100</v>
      </c>
    </row>
    <row r="2178" spans="1:23" ht="11.25" customHeight="1" x14ac:dyDescent="0.25">
      <c r="A2178" s="4" t="s">
        <v>21</v>
      </c>
      <c r="B2178" s="4" t="s">
        <v>37</v>
      </c>
      <c r="C2178" s="4" t="s">
        <v>23</v>
      </c>
      <c r="D2178" s="4" t="s">
        <v>50</v>
      </c>
      <c r="E2178" s="4" t="s">
        <v>51</v>
      </c>
      <c r="F2178" s="4" t="s">
        <v>25</v>
      </c>
      <c r="G2178" s="4" t="s">
        <v>25</v>
      </c>
      <c r="H2178" s="4" t="s">
        <v>25</v>
      </c>
      <c r="I2178" s="5">
        <v>44470</v>
      </c>
      <c r="J2178" s="6">
        <v>0</v>
      </c>
      <c r="K2178" s="6">
        <v>0</v>
      </c>
      <c r="L2178" s="6">
        <v>2406.951</v>
      </c>
      <c r="M2178" s="6">
        <v>2262.5339399999998</v>
      </c>
      <c r="N2178" s="6">
        <v>2406.951</v>
      </c>
      <c r="O2178" s="6">
        <v>2262.5339399999998</v>
      </c>
      <c r="P2178" s="6">
        <v>827</v>
      </c>
      <c r="Q2178" s="4" t="s">
        <v>26</v>
      </c>
      <c r="R2178" s="4">
        <v>0</v>
      </c>
      <c r="S2178" s="4" t="s">
        <v>554</v>
      </c>
      <c r="T2178" s="4" t="s">
        <v>811</v>
      </c>
      <c r="U2178" s="4">
        <v>0</v>
      </c>
      <c r="V2178" s="4">
        <v>57</v>
      </c>
      <c r="W2178" s="4">
        <v>100</v>
      </c>
    </row>
    <row r="2179" spans="1:23" ht="11.25" customHeight="1" x14ac:dyDescent="0.25">
      <c r="A2179" s="4" t="s">
        <v>21</v>
      </c>
      <c r="B2179" s="4" t="s">
        <v>37</v>
      </c>
      <c r="C2179" s="4" t="s">
        <v>23</v>
      </c>
      <c r="D2179" s="4" t="s">
        <v>50</v>
      </c>
      <c r="E2179" s="4" t="s">
        <v>51</v>
      </c>
      <c r="F2179" s="4" t="s">
        <v>25</v>
      </c>
      <c r="G2179" s="4" t="s">
        <v>25</v>
      </c>
      <c r="H2179" s="4" t="s">
        <v>25</v>
      </c>
      <c r="I2179" s="5">
        <v>44501</v>
      </c>
      <c r="J2179" s="6">
        <v>0</v>
      </c>
      <c r="K2179" s="6">
        <v>0</v>
      </c>
      <c r="L2179" s="6">
        <v>2420.7080000000001</v>
      </c>
      <c r="M2179" s="6">
        <v>2275.4655200000002</v>
      </c>
      <c r="N2179" s="6">
        <v>2420.7080000000001</v>
      </c>
      <c r="O2179" s="6">
        <v>2275.4655200000002</v>
      </c>
      <c r="P2179" s="6">
        <v>832</v>
      </c>
      <c r="Q2179" s="4" t="s">
        <v>26</v>
      </c>
      <c r="R2179" s="4">
        <v>0</v>
      </c>
      <c r="S2179" s="4" t="s">
        <v>555</v>
      </c>
      <c r="T2179" s="4" t="s">
        <v>812</v>
      </c>
      <c r="U2179" s="4">
        <v>0</v>
      </c>
      <c r="V2179" s="4">
        <v>57</v>
      </c>
      <c r="W2179" s="4">
        <v>100</v>
      </c>
    </row>
    <row r="2180" spans="1:23" ht="11.25" customHeight="1" x14ac:dyDescent="0.25">
      <c r="A2180" s="4" t="s">
        <v>21</v>
      </c>
      <c r="B2180" s="4" t="s">
        <v>37</v>
      </c>
      <c r="C2180" s="4" t="s">
        <v>23</v>
      </c>
      <c r="D2180" s="4" t="s">
        <v>50</v>
      </c>
      <c r="E2180" s="4" t="s">
        <v>51</v>
      </c>
      <c r="F2180" s="4" t="s">
        <v>25</v>
      </c>
      <c r="G2180" s="4" t="s">
        <v>25</v>
      </c>
      <c r="H2180" s="4" t="s">
        <v>25</v>
      </c>
      <c r="I2180" s="5">
        <v>44531</v>
      </c>
      <c r="J2180" s="6">
        <v>0</v>
      </c>
      <c r="K2180" s="6">
        <v>0</v>
      </c>
      <c r="L2180" s="6">
        <v>2657.1010000000001</v>
      </c>
      <c r="M2180" s="6">
        <v>2497.6749399999999</v>
      </c>
      <c r="N2180" s="6">
        <v>2657.1010000000001</v>
      </c>
      <c r="O2180" s="6">
        <v>2497.6749399999999</v>
      </c>
      <c r="P2180" s="6">
        <v>832</v>
      </c>
      <c r="Q2180" s="4" t="s">
        <v>26</v>
      </c>
      <c r="R2180" s="4">
        <v>0</v>
      </c>
      <c r="S2180" s="4" t="s">
        <v>556</v>
      </c>
      <c r="T2180" s="4" t="s">
        <v>813</v>
      </c>
      <c r="U2180" s="4">
        <v>0</v>
      </c>
      <c r="V2180" s="4">
        <v>57</v>
      </c>
      <c r="W2180" s="4">
        <v>100</v>
      </c>
    </row>
    <row r="2181" spans="1:23" ht="11.25" customHeight="1" x14ac:dyDescent="0.25">
      <c r="A2181" s="4" t="s">
        <v>21</v>
      </c>
      <c r="B2181" s="4" t="s">
        <v>37</v>
      </c>
      <c r="C2181" s="4" t="s">
        <v>23</v>
      </c>
      <c r="D2181" s="4" t="s">
        <v>50</v>
      </c>
      <c r="E2181" s="4" t="s">
        <v>51</v>
      </c>
      <c r="F2181" s="4" t="s">
        <v>25</v>
      </c>
      <c r="G2181" s="4" t="s">
        <v>25</v>
      </c>
      <c r="H2181" s="4" t="s">
        <v>25</v>
      </c>
      <c r="I2181" s="5">
        <v>44562</v>
      </c>
      <c r="J2181" s="6">
        <v>0</v>
      </c>
      <c r="K2181" s="6">
        <v>0</v>
      </c>
      <c r="L2181" s="6">
        <v>2379.2330000000002</v>
      </c>
      <c r="M2181" s="6">
        <v>2236.4790200000002</v>
      </c>
      <c r="N2181" s="6">
        <v>2379.2330000000002</v>
      </c>
      <c r="O2181" s="6">
        <v>2236.4790200000002</v>
      </c>
      <c r="P2181" s="6">
        <v>836</v>
      </c>
      <c r="Q2181" s="4" t="s">
        <v>26</v>
      </c>
      <c r="R2181" s="4">
        <v>0</v>
      </c>
      <c r="S2181" s="4" t="s">
        <v>557</v>
      </c>
      <c r="T2181" s="4" t="s">
        <v>814</v>
      </c>
      <c r="U2181" s="4">
        <v>0</v>
      </c>
      <c r="V2181" s="4">
        <v>57</v>
      </c>
      <c r="W2181" s="4">
        <v>100</v>
      </c>
    </row>
    <row r="2182" spans="1:23" ht="11.25" customHeight="1" x14ac:dyDescent="0.25">
      <c r="A2182" s="4" t="s">
        <v>27</v>
      </c>
      <c r="B2182" s="4" t="s">
        <v>37</v>
      </c>
      <c r="C2182" s="4" t="s">
        <v>23</v>
      </c>
      <c r="D2182" s="4" t="s">
        <v>50</v>
      </c>
      <c r="E2182" s="4" t="s">
        <v>51</v>
      </c>
      <c r="F2182" s="4" t="s">
        <v>25</v>
      </c>
      <c r="G2182" s="4" t="s">
        <v>25</v>
      </c>
      <c r="H2182" s="4" t="s">
        <v>25</v>
      </c>
      <c r="I2182" s="5">
        <v>44562</v>
      </c>
      <c r="J2182" s="6">
        <v>0</v>
      </c>
      <c r="K2182" s="6">
        <v>0</v>
      </c>
      <c r="L2182" s="6">
        <v>-47.996000000000002</v>
      </c>
      <c r="M2182" s="6">
        <v>-45.116239999999998</v>
      </c>
      <c r="N2182" s="6">
        <v>-47.996000000000002</v>
      </c>
      <c r="O2182" s="6">
        <v>-45.116239999999998</v>
      </c>
      <c r="P2182" s="6">
        <v>-1</v>
      </c>
      <c r="Q2182" s="4" t="s">
        <v>26</v>
      </c>
      <c r="R2182" s="4">
        <v>0</v>
      </c>
      <c r="S2182" s="4" t="s">
        <v>557</v>
      </c>
      <c r="T2182" s="4" t="s">
        <v>814</v>
      </c>
      <c r="U2182" s="4">
        <v>0</v>
      </c>
      <c r="V2182" s="4">
        <v>57</v>
      </c>
      <c r="W2182" s="4">
        <v>100</v>
      </c>
    </row>
    <row r="2183" spans="1:23" ht="11.25" customHeight="1" x14ac:dyDescent="0.25">
      <c r="A2183" s="4" t="s">
        <v>21</v>
      </c>
      <c r="B2183" s="4" t="s">
        <v>37</v>
      </c>
      <c r="C2183" s="4" t="s">
        <v>23</v>
      </c>
      <c r="D2183" s="4" t="s">
        <v>50</v>
      </c>
      <c r="E2183" s="4" t="s">
        <v>51</v>
      </c>
      <c r="F2183" s="4" t="s">
        <v>25</v>
      </c>
      <c r="G2183" s="4" t="s">
        <v>25</v>
      </c>
      <c r="H2183" s="4" t="s">
        <v>25</v>
      </c>
      <c r="I2183" s="5">
        <v>44593</v>
      </c>
      <c r="J2183" s="6">
        <v>0</v>
      </c>
      <c r="K2183" s="6">
        <v>0</v>
      </c>
      <c r="L2183" s="6">
        <v>2256.3719999999998</v>
      </c>
      <c r="M2183" s="6">
        <v>2120.9896800000001</v>
      </c>
      <c r="N2183" s="6">
        <v>2256.3719999999998</v>
      </c>
      <c r="O2183" s="6">
        <v>2120.9896800000001</v>
      </c>
      <c r="P2183" s="6">
        <v>835</v>
      </c>
      <c r="Q2183" s="4" t="s">
        <v>26</v>
      </c>
      <c r="R2183" s="4">
        <v>0</v>
      </c>
      <c r="S2183" s="4" t="s">
        <v>558</v>
      </c>
      <c r="T2183" s="4" t="s">
        <v>815</v>
      </c>
      <c r="U2183" s="4">
        <v>0</v>
      </c>
      <c r="V2183" s="4">
        <v>57</v>
      </c>
      <c r="W2183" s="4">
        <v>100</v>
      </c>
    </row>
    <row r="2184" spans="1:23" ht="11.25" customHeight="1" x14ac:dyDescent="0.25">
      <c r="A2184" s="4" t="s">
        <v>21</v>
      </c>
      <c r="B2184" s="4" t="s">
        <v>37</v>
      </c>
      <c r="C2184" s="4" t="s">
        <v>23</v>
      </c>
      <c r="D2184" s="4" t="s">
        <v>50</v>
      </c>
      <c r="E2184" s="4" t="s">
        <v>51</v>
      </c>
      <c r="F2184" s="4" t="s">
        <v>25</v>
      </c>
      <c r="G2184" s="4" t="s">
        <v>25</v>
      </c>
      <c r="H2184" s="4" t="s">
        <v>25</v>
      </c>
      <c r="I2184" s="5">
        <v>44621</v>
      </c>
      <c r="J2184" s="6">
        <v>0</v>
      </c>
      <c r="K2184" s="6">
        <v>0</v>
      </c>
      <c r="L2184" s="6">
        <v>2416.3939999999998</v>
      </c>
      <c r="M2184" s="6">
        <v>2271.4103599999999</v>
      </c>
      <c r="N2184" s="6">
        <v>2416.3939999999998</v>
      </c>
      <c r="O2184" s="6">
        <v>2271.4103599999999</v>
      </c>
      <c r="P2184" s="6">
        <v>836</v>
      </c>
      <c r="Q2184" s="4" t="s">
        <v>26</v>
      </c>
      <c r="R2184" s="4">
        <v>0</v>
      </c>
      <c r="S2184" s="4" t="s">
        <v>559</v>
      </c>
      <c r="T2184" s="4" t="s">
        <v>816</v>
      </c>
      <c r="U2184" s="4">
        <v>0</v>
      </c>
      <c r="V2184" s="4">
        <v>57</v>
      </c>
      <c r="W2184" s="4">
        <v>100</v>
      </c>
    </row>
    <row r="2185" spans="1:23" ht="11.25" customHeight="1" x14ac:dyDescent="0.25">
      <c r="A2185" s="4" t="s">
        <v>21</v>
      </c>
      <c r="B2185" s="4" t="s">
        <v>37</v>
      </c>
      <c r="C2185" s="4" t="s">
        <v>23</v>
      </c>
      <c r="D2185" s="4" t="s">
        <v>50</v>
      </c>
      <c r="E2185" s="4" t="s">
        <v>51</v>
      </c>
      <c r="F2185" s="4" t="s">
        <v>25</v>
      </c>
      <c r="G2185" s="4" t="s">
        <v>25</v>
      </c>
      <c r="H2185" s="4" t="s">
        <v>25</v>
      </c>
      <c r="I2185" s="5">
        <v>44652</v>
      </c>
      <c r="J2185" s="6">
        <v>0</v>
      </c>
      <c r="K2185" s="6">
        <v>0</v>
      </c>
      <c r="L2185" s="6">
        <v>2339.1709999999998</v>
      </c>
      <c r="M2185" s="6">
        <v>2198.8207400000001</v>
      </c>
      <c r="N2185" s="6">
        <v>2339.1709999999998</v>
      </c>
      <c r="O2185" s="6">
        <v>2198.8207400000001</v>
      </c>
      <c r="P2185" s="6">
        <v>833</v>
      </c>
      <c r="Q2185" s="4" t="s">
        <v>26</v>
      </c>
      <c r="R2185" s="4">
        <v>0</v>
      </c>
      <c r="S2185" s="4" t="s">
        <v>560</v>
      </c>
      <c r="T2185" s="4" t="s">
        <v>817</v>
      </c>
      <c r="U2185" s="4">
        <v>0</v>
      </c>
      <c r="V2185" s="4">
        <v>57</v>
      </c>
      <c r="W2185" s="4">
        <v>100</v>
      </c>
    </row>
    <row r="2186" spans="1:23" ht="11.25" customHeight="1" x14ac:dyDescent="0.25">
      <c r="A2186" s="4" t="s">
        <v>21</v>
      </c>
      <c r="B2186" s="4" t="s">
        <v>37</v>
      </c>
      <c r="C2186" s="4" t="s">
        <v>23</v>
      </c>
      <c r="D2186" s="4" t="s">
        <v>50</v>
      </c>
      <c r="E2186" s="4" t="s">
        <v>51</v>
      </c>
      <c r="F2186" s="4" t="s">
        <v>25</v>
      </c>
      <c r="G2186" s="4" t="s">
        <v>25</v>
      </c>
      <c r="H2186" s="4" t="s">
        <v>25</v>
      </c>
      <c r="I2186" s="5">
        <v>44682</v>
      </c>
      <c r="J2186" s="6">
        <v>0</v>
      </c>
      <c r="K2186" s="6">
        <v>0</v>
      </c>
      <c r="L2186" s="6">
        <v>2386.5549999999998</v>
      </c>
      <c r="M2186" s="6">
        <v>2243.3616999999999</v>
      </c>
      <c r="N2186" s="6">
        <v>2386.5549999999998</v>
      </c>
      <c r="O2186" s="6">
        <v>2243.3616999999999</v>
      </c>
      <c r="P2186" s="6">
        <v>834</v>
      </c>
      <c r="Q2186" s="4" t="s">
        <v>26</v>
      </c>
      <c r="R2186" s="4">
        <v>0</v>
      </c>
      <c r="S2186" s="4" t="s">
        <v>561</v>
      </c>
      <c r="T2186" s="4" t="s">
        <v>818</v>
      </c>
      <c r="U2186" s="4">
        <v>0</v>
      </c>
      <c r="V2186" s="4">
        <v>57</v>
      </c>
      <c r="W2186" s="4">
        <v>100</v>
      </c>
    </row>
    <row r="2187" spans="1:23" ht="11.25" customHeight="1" x14ac:dyDescent="0.25">
      <c r="A2187" s="4" t="s">
        <v>21</v>
      </c>
      <c r="B2187" s="4" t="s">
        <v>37</v>
      </c>
      <c r="C2187" s="4" t="s">
        <v>23</v>
      </c>
      <c r="D2187" s="4" t="s">
        <v>50</v>
      </c>
      <c r="E2187" s="4" t="s">
        <v>51</v>
      </c>
      <c r="F2187" s="4" t="s">
        <v>25</v>
      </c>
      <c r="G2187" s="4" t="s">
        <v>25</v>
      </c>
      <c r="H2187" s="4" t="s">
        <v>25</v>
      </c>
      <c r="I2187" s="5">
        <v>44713</v>
      </c>
      <c r="J2187" s="6">
        <v>0</v>
      </c>
      <c r="K2187" s="6">
        <v>0</v>
      </c>
      <c r="L2187" s="6">
        <v>2229.7440000000001</v>
      </c>
      <c r="M2187" s="6">
        <v>2095.9593599999998</v>
      </c>
      <c r="N2187" s="6">
        <v>2229.7440000000001</v>
      </c>
      <c r="O2187" s="6">
        <v>2095.9593599999998</v>
      </c>
      <c r="P2187" s="6">
        <v>836</v>
      </c>
      <c r="Q2187" s="4" t="s">
        <v>26</v>
      </c>
      <c r="R2187" s="4">
        <v>0</v>
      </c>
      <c r="S2187" s="4" t="s">
        <v>562</v>
      </c>
      <c r="T2187" s="4" t="s">
        <v>819</v>
      </c>
      <c r="U2187" s="4">
        <v>0</v>
      </c>
      <c r="V2187" s="4">
        <v>57</v>
      </c>
      <c r="W2187" s="4">
        <v>100</v>
      </c>
    </row>
    <row r="2188" spans="1:23" ht="11.25" customHeight="1" x14ac:dyDescent="0.25">
      <c r="A2188" s="4" t="s">
        <v>57</v>
      </c>
      <c r="B2188" s="4" t="s">
        <v>37</v>
      </c>
      <c r="C2188" s="4" t="s">
        <v>23</v>
      </c>
      <c r="D2188" s="4" t="s">
        <v>50</v>
      </c>
      <c r="E2188" s="4" t="s">
        <v>51</v>
      </c>
      <c r="F2188" s="4" t="s">
        <v>25</v>
      </c>
      <c r="G2188" s="4" t="s">
        <v>25</v>
      </c>
      <c r="H2188" s="4" t="s">
        <v>25</v>
      </c>
      <c r="I2188" s="5">
        <v>44743</v>
      </c>
      <c r="J2188" s="6">
        <v>0</v>
      </c>
      <c r="K2188" s="6">
        <v>0</v>
      </c>
      <c r="L2188" s="6">
        <v>2229.7440000000001</v>
      </c>
      <c r="M2188" s="6">
        <v>2095.9593599999998</v>
      </c>
      <c r="N2188" s="6">
        <v>2229.7440000000001</v>
      </c>
      <c r="O2188" s="6">
        <v>2095.9593599999998</v>
      </c>
      <c r="P2188" s="6">
        <v>836</v>
      </c>
      <c r="Q2188" s="4" t="s">
        <v>26</v>
      </c>
      <c r="R2188" s="4">
        <v>0</v>
      </c>
      <c r="S2188" s="4" t="s">
        <v>563</v>
      </c>
      <c r="T2188" s="4" t="s">
        <v>820</v>
      </c>
      <c r="U2188" s="4">
        <v>0</v>
      </c>
      <c r="V2188" s="4">
        <v>57</v>
      </c>
      <c r="W2188" s="4">
        <v>100</v>
      </c>
    </row>
    <row r="2189" spans="1:23" ht="11.25" customHeight="1" x14ac:dyDescent="0.25">
      <c r="A2189" s="4" t="s">
        <v>21</v>
      </c>
      <c r="B2189" s="4" t="s">
        <v>47</v>
      </c>
      <c r="C2189" s="4" t="s">
        <v>23</v>
      </c>
      <c r="D2189" s="4" t="s">
        <v>48</v>
      </c>
      <c r="E2189" s="4" t="s">
        <v>49</v>
      </c>
      <c r="F2189" s="4" t="s">
        <v>25</v>
      </c>
      <c r="G2189" s="4" t="s">
        <v>25</v>
      </c>
      <c r="H2189" s="4" t="s">
        <v>25</v>
      </c>
      <c r="I2189" s="5">
        <v>44409</v>
      </c>
      <c r="J2189" s="6">
        <v>0</v>
      </c>
      <c r="K2189" s="6">
        <v>0</v>
      </c>
      <c r="L2189" s="6">
        <v>22185.839</v>
      </c>
      <c r="M2189" s="6">
        <v>22185.839</v>
      </c>
      <c r="N2189" s="6">
        <v>22185.839</v>
      </c>
      <c r="O2189" s="6">
        <v>22185.839</v>
      </c>
      <c r="P2189" s="6">
        <v>756</v>
      </c>
      <c r="Q2189" s="4" t="s">
        <v>26</v>
      </c>
      <c r="R2189" s="4">
        <v>0</v>
      </c>
      <c r="S2189" s="4" t="s">
        <v>564</v>
      </c>
      <c r="T2189" s="4" t="s">
        <v>821</v>
      </c>
      <c r="U2189" s="4">
        <v>0</v>
      </c>
      <c r="V2189" s="4">
        <v>61</v>
      </c>
      <c r="W2189" s="4">
        <v>102</v>
      </c>
    </row>
    <row r="2190" spans="1:23" ht="11.25" customHeight="1" x14ac:dyDescent="0.25">
      <c r="A2190" s="4" t="s">
        <v>27</v>
      </c>
      <c r="B2190" s="4" t="s">
        <v>47</v>
      </c>
      <c r="C2190" s="4" t="s">
        <v>23</v>
      </c>
      <c r="D2190" s="4" t="s">
        <v>48</v>
      </c>
      <c r="E2190" s="4" t="s">
        <v>49</v>
      </c>
      <c r="F2190" s="4" t="s">
        <v>25</v>
      </c>
      <c r="G2190" s="4" t="s">
        <v>25</v>
      </c>
      <c r="H2190" s="4" t="s">
        <v>25</v>
      </c>
      <c r="I2190" s="5">
        <v>44409</v>
      </c>
      <c r="J2190" s="6">
        <v>0</v>
      </c>
      <c r="K2190" s="6">
        <v>0</v>
      </c>
      <c r="L2190" s="6">
        <v>-1733.798</v>
      </c>
      <c r="M2190" s="6">
        <v>-1733.798</v>
      </c>
      <c r="N2190" s="6">
        <v>-1733.798</v>
      </c>
      <c r="O2190" s="6">
        <v>-1733.798</v>
      </c>
      <c r="P2190" s="6">
        <v>0</v>
      </c>
      <c r="Q2190" s="4" t="s">
        <v>26</v>
      </c>
      <c r="R2190" s="4">
        <v>0</v>
      </c>
      <c r="S2190" s="4" t="s">
        <v>564</v>
      </c>
      <c r="T2190" s="4" t="s">
        <v>821</v>
      </c>
      <c r="U2190" s="4">
        <v>0</v>
      </c>
      <c r="V2190" s="4">
        <v>61</v>
      </c>
      <c r="W2190" s="4">
        <v>102</v>
      </c>
    </row>
    <row r="2191" spans="1:23" ht="11.25" customHeight="1" x14ac:dyDescent="0.25">
      <c r="A2191" s="4" t="s">
        <v>21</v>
      </c>
      <c r="B2191" s="4" t="s">
        <v>47</v>
      </c>
      <c r="C2191" s="4" t="s">
        <v>23</v>
      </c>
      <c r="D2191" s="4" t="s">
        <v>48</v>
      </c>
      <c r="E2191" s="4" t="s">
        <v>49</v>
      </c>
      <c r="F2191" s="4" t="s">
        <v>25</v>
      </c>
      <c r="G2191" s="4" t="s">
        <v>25</v>
      </c>
      <c r="H2191" s="4" t="s">
        <v>25</v>
      </c>
      <c r="I2191" s="5">
        <v>44440</v>
      </c>
      <c r="J2191" s="6">
        <v>0</v>
      </c>
      <c r="K2191" s="6">
        <v>0</v>
      </c>
      <c r="L2191" s="6">
        <v>21940.2</v>
      </c>
      <c r="M2191" s="6">
        <v>21940.2</v>
      </c>
      <c r="N2191" s="6">
        <v>21940.2</v>
      </c>
      <c r="O2191" s="6">
        <v>21940.2</v>
      </c>
      <c r="P2191" s="6">
        <v>755</v>
      </c>
      <c r="Q2191" s="4" t="s">
        <v>26</v>
      </c>
      <c r="R2191" s="4">
        <v>0</v>
      </c>
      <c r="S2191" s="4" t="s">
        <v>565</v>
      </c>
      <c r="T2191" s="4" t="s">
        <v>822</v>
      </c>
      <c r="U2191" s="4">
        <v>0</v>
      </c>
      <c r="V2191" s="4">
        <v>61</v>
      </c>
      <c r="W2191" s="4">
        <v>102</v>
      </c>
    </row>
    <row r="2192" spans="1:23" ht="11.25" customHeight="1" x14ac:dyDescent="0.25">
      <c r="A2192" s="4" t="s">
        <v>27</v>
      </c>
      <c r="B2192" s="4" t="s">
        <v>47</v>
      </c>
      <c r="C2192" s="4" t="s">
        <v>23</v>
      </c>
      <c r="D2192" s="4" t="s">
        <v>48</v>
      </c>
      <c r="E2192" s="4" t="s">
        <v>49</v>
      </c>
      <c r="F2192" s="4" t="s">
        <v>25</v>
      </c>
      <c r="G2192" s="4" t="s">
        <v>25</v>
      </c>
      <c r="H2192" s="4" t="s">
        <v>25</v>
      </c>
      <c r="I2192" s="5">
        <v>44440</v>
      </c>
      <c r="J2192" s="6">
        <v>0</v>
      </c>
      <c r="K2192" s="6">
        <v>0</v>
      </c>
      <c r="L2192" s="6">
        <v>-780.85599999999999</v>
      </c>
      <c r="M2192" s="6">
        <v>-780.85599999999999</v>
      </c>
      <c r="N2192" s="6">
        <v>-780.85599999999999</v>
      </c>
      <c r="O2192" s="6">
        <v>-780.85599999999999</v>
      </c>
      <c r="P2192" s="6">
        <v>0</v>
      </c>
      <c r="Q2192" s="4" t="s">
        <v>26</v>
      </c>
      <c r="R2192" s="4">
        <v>0</v>
      </c>
      <c r="S2192" s="4" t="s">
        <v>565</v>
      </c>
      <c r="T2192" s="4" t="s">
        <v>822</v>
      </c>
      <c r="U2192" s="4">
        <v>0</v>
      </c>
      <c r="V2192" s="4">
        <v>61</v>
      </c>
      <c r="W2192" s="4">
        <v>102</v>
      </c>
    </row>
    <row r="2193" spans="1:23" ht="11.25" customHeight="1" x14ac:dyDescent="0.25">
      <c r="A2193" s="4" t="s">
        <v>21</v>
      </c>
      <c r="B2193" s="4" t="s">
        <v>47</v>
      </c>
      <c r="C2193" s="4" t="s">
        <v>23</v>
      </c>
      <c r="D2193" s="4" t="s">
        <v>48</v>
      </c>
      <c r="E2193" s="4" t="s">
        <v>49</v>
      </c>
      <c r="F2193" s="4" t="s">
        <v>25</v>
      </c>
      <c r="G2193" s="4" t="s">
        <v>25</v>
      </c>
      <c r="H2193" s="4" t="s">
        <v>25</v>
      </c>
      <c r="I2193" s="5">
        <v>44470</v>
      </c>
      <c r="J2193" s="6">
        <v>0</v>
      </c>
      <c r="K2193" s="6">
        <v>0</v>
      </c>
      <c r="L2193" s="6">
        <v>22511.194</v>
      </c>
      <c r="M2193" s="6">
        <v>22511.194</v>
      </c>
      <c r="N2193" s="6">
        <v>22511.194</v>
      </c>
      <c r="O2193" s="6">
        <v>22511.194</v>
      </c>
      <c r="P2193" s="6">
        <v>755</v>
      </c>
      <c r="Q2193" s="4" t="s">
        <v>26</v>
      </c>
      <c r="R2193" s="4">
        <v>0</v>
      </c>
      <c r="S2193" s="4" t="s">
        <v>566</v>
      </c>
      <c r="T2193" s="4" t="s">
        <v>823</v>
      </c>
      <c r="U2193" s="4">
        <v>0</v>
      </c>
      <c r="V2193" s="4">
        <v>61</v>
      </c>
      <c r="W2193" s="4">
        <v>102</v>
      </c>
    </row>
    <row r="2194" spans="1:23" ht="11.25" customHeight="1" x14ac:dyDescent="0.25">
      <c r="A2194" s="4" t="s">
        <v>27</v>
      </c>
      <c r="B2194" s="4" t="s">
        <v>47</v>
      </c>
      <c r="C2194" s="4" t="s">
        <v>23</v>
      </c>
      <c r="D2194" s="4" t="s">
        <v>48</v>
      </c>
      <c r="E2194" s="4" t="s">
        <v>49</v>
      </c>
      <c r="F2194" s="4" t="s">
        <v>25</v>
      </c>
      <c r="G2194" s="4" t="s">
        <v>25</v>
      </c>
      <c r="H2194" s="4" t="s">
        <v>25</v>
      </c>
      <c r="I2194" s="5">
        <v>44470</v>
      </c>
      <c r="J2194" s="6">
        <v>0</v>
      </c>
      <c r="K2194" s="6">
        <v>0</v>
      </c>
      <c r="L2194" s="6">
        <v>-1228.8230000000001</v>
      </c>
      <c r="M2194" s="6">
        <v>-1228.8230000000001</v>
      </c>
      <c r="N2194" s="6">
        <v>-1228.8230000000001</v>
      </c>
      <c r="O2194" s="6">
        <v>-1228.8230000000001</v>
      </c>
      <c r="P2194" s="6">
        <v>-2</v>
      </c>
      <c r="Q2194" s="4" t="s">
        <v>26</v>
      </c>
      <c r="R2194" s="4">
        <v>0</v>
      </c>
      <c r="S2194" s="4" t="s">
        <v>566</v>
      </c>
      <c r="T2194" s="4" t="s">
        <v>823</v>
      </c>
      <c r="U2194" s="4">
        <v>0</v>
      </c>
      <c r="V2194" s="4">
        <v>61</v>
      </c>
      <c r="W2194" s="4">
        <v>102</v>
      </c>
    </row>
    <row r="2195" spans="1:23" ht="11.25" customHeight="1" x14ac:dyDescent="0.25">
      <c r="A2195" s="4" t="s">
        <v>21</v>
      </c>
      <c r="B2195" s="4" t="s">
        <v>47</v>
      </c>
      <c r="C2195" s="4" t="s">
        <v>23</v>
      </c>
      <c r="D2195" s="4" t="s">
        <v>48</v>
      </c>
      <c r="E2195" s="4" t="s">
        <v>49</v>
      </c>
      <c r="F2195" s="4" t="s">
        <v>25</v>
      </c>
      <c r="G2195" s="4" t="s">
        <v>25</v>
      </c>
      <c r="H2195" s="4" t="s">
        <v>25</v>
      </c>
      <c r="I2195" s="5">
        <v>44501</v>
      </c>
      <c r="J2195" s="6">
        <v>0</v>
      </c>
      <c r="K2195" s="6">
        <v>0</v>
      </c>
      <c r="L2195" s="6">
        <v>20606.761999999999</v>
      </c>
      <c r="M2195" s="6">
        <v>20606.761999999999</v>
      </c>
      <c r="N2195" s="6">
        <v>20606.761999999999</v>
      </c>
      <c r="O2195" s="6">
        <v>20606.761999999999</v>
      </c>
      <c r="P2195" s="6">
        <v>753</v>
      </c>
      <c r="Q2195" s="4" t="s">
        <v>26</v>
      </c>
      <c r="R2195" s="4">
        <v>0</v>
      </c>
      <c r="S2195" s="4" t="s">
        <v>567</v>
      </c>
      <c r="T2195" s="4" t="s">
        <v>824</v>
      </c>
      <c r="U2195" s="4">
        <v>0</v>
      </c>
      <c r="V2195" s="4">
        <v>61</v>
      </c>
      <c r="W2195" s="4">
        <v>102</v>
      </c>
    </row>
    <row r="2196" spans="1:23" ht="11.25" customHeight="1" x14ac:dyDescent="0.25">
      <c r="A2196" s="4" t="s">
        <v>27</v>
      </c>
      <c r="B2196" s="4" t="s">
        <v>47</v>
      </c>
      <c r="C2196" s="4" t="s">
        <v>23</v>
      </c>
      <c r="D2196" s="4" t="s">
        <v>48</v>
      </c>
      <c r="E2196" s="4" t="s">
        <v>49</v>
      </c>
      <c r="F2196" s="4" t="s">
        <v>25</v>
      </c>
      <c r="G2196" s="4" t="s">
        <v>25</v>
      </c>
      <c r="H2196" s="4" t="s">
        <v>25</v>
      </c>
      <c r="I2196" s="5">
        <v>44501</v>
      </c>
      <c r="J2196" s="6">
        <v>0</v>
      </c>
      <c r="K2196" s="6">
        <v>0</v>
      </c>
      <c r="L2196" s="6">
        <v>5.87</v>
      </c>
      <c r="M2196" s="6">
        <v>5.87</v>
      </c>
      <c r="N2196" s="6">
        <v>5.87</v>
      </c>
      <c r="O2196" s="6">
        <v>5.87</v>
      </c>
      <c r="P2196" s="6">
        <v>0</v>
      </c>
      <c r="Q2196" s="4" t="s">
        <v>26</v>
      </c>
      <c r="R2196" s="4">
        <v>0</v>
      </c>
      <c r="S2196" s="4" t="s">
        <v>567</v>
      </c>
      <c r="T2196" s="4" t="s">
        <v>824</v>
      </c>
      <c r="U2196" s="4">
        <v>0</v>
      </c>
      <c r="V2196" s="4">
        <v>61</v>
      </c>
      <c r="W2196" s="4">
        <v>102</v>
      </c>
    </row>
    <row r="2197" spans="1:23" ht="11.25" customHeight="1" x14ac:dyDescent="0.25">
      <c r="A2197" s="4" t="s">
        <v>28</v>
      </c>
      <c r="B2197" s="4" t="s">
        <v>47</v>
      </c>
      <c r="C2197" s="4" t="s">
        <v>23</v>
      </c>
      <c r="D2197" s="4" t="s">
        <v>48</v>
      </c>
      <c r="E2197" s="4" t="s">
        <v>49</v>
      </c>
      <c r="F2197" s="4" t="s">
        <v>25</v>
      </c>
      <c r="G2197" s="4" t="s">
        <v>25</v>
      </c>
      <c r="H2197" s="4" t="s">
        <v>25</v>
      </c>
      <c r="I2197" s="5">
        <v>44501</v>
      </c>
      <c r="J2197" s="6">
        <v>0</v>
      </c>
      <c r="K2197" s="6">
        <v>0</v>
      </c>
      <c r="L2197" s="6">
        <v>22.681000000000001</v>
      </c>
      <c r="M2197" s="6">
        <v>22.681000000000001</v>
      </c>
      <c r="N2197" s="6">
        <v>22.681000000000001</v>
      </c>
      <c r="O2197" s="6">
        <v>22.681000000000001</v>
      </c>
      <c r="P2197" s="6">
        <v>1</v>
      </c>
      <c r="Q2197" s="4" t="s">
        <v>26</v>
      </c>
      <c r="R2197" s="4">
        <v>0</v>
      </c>
      <c r="S2197" s="4" t="s">
        <v>567</v>
      </c>
      <c r="T2197" s="4" t="s">
        <v>824</v>
      </c>
      <c r="U2197" s="4">
        <v>0</v>
      </c>
      <c r="V2197" s="4">
        <v>61</v>
      </c>
      <c r="W2197" s="4">
        <v>102</v>
      </c>
    </row>
    <row r="2198" spans="1:23" ht="11.25" customHeight="1" x14ac:dyDescent="0.25">
      <c r="A2198" s="4" t="s">
        <v>21</v>
      </c>
      <c r="B2198" s="4" t="s">
        <v>47</v>
      </c>
      <c r="C2198" s="4" t="s">
        <v>23</v>
      </c>
      <c r="D2198" s="4" t="s">
        <v>48</v>
      </c>
      <c r="E2198" s="4" t="s">
        <v>49</v>
      </c>
      <c r="F2198" s="4" t="s">
        <v>25</v>
      </c>
      <c r="G2198" s="4" t="s">
        <v>25</v>
      </c>
      <c r="H2198" s="4" t="s">
        <v>25</v>
      </c>
      <c r="I2198" s="5">
        <v>44531</v>
      </c>
      <c r="J2198" s="6">
        <v>0</v>
      </c>
      <c r="K2198" s="6">
        <v>0</v>
      </c>
      <c r="L2198" s="6">
        <v>23322.804</v>
      </c>
      <c r="M2198" s="6">
        <v>23322.804</v>
      </c>
      <c r="N2198" s="6">
        <v>23322.804</v>
      </c>
      <c r="O2198" s="6">
        <v>23322.804</v>
      </c>
      <c r="P2198" s="6">
        <v>756</v>
      </c>
      <c r="Q2198" s="4" t="s">
        <v>26</v>
      </c>
      <c r="R2198" s="4">
        <v>0</v>
      </c>
      <c r="S2198" s="4" t="s">
        <v>568</v>
      </c>
      <c r="T2198" s="4" t="s">
        <v>825</v>
      </c>
      <c r="U2198" s="4">
        <v>0</v>
      </c>
      <c r="V2198" s="4">
        <v>61</v>
      </c>
      <c r="W2198" s="4">
        <v>102</v>
      </c>
    </row>
    <row r="2199" spans="1:23" ht="11.25" customHeight="1" x14ac:dyDescent="0.25">
      <c r="A2199" s="4" t="s">
        <v>27</v>
      </c>
      <c r="B2199" s="4" t="s">
        <v>47</v>
      </c>
      <c r="C2199" s="4" t="s">
        <v>23</v>
      </c>
      <c r="D2199" s="4" t="s">
        <v>48</v>
      </c>
      <c r="E2199" s="4" t="s">
        <v>49</v>
      </c>
      <c r="F2199" s="4" t="s">
        <v>25</v>
      </c>
      <c r="G2199" s="4" t="s">
        <v>25</v>
      </c>
      <c r="H2199" s="4" t="s">
        <v>25</v>
      </c>
      <c r="I2199" s="5">
        <v>44531</v>
      </c>
      <c r="J2199" s="6">
        <v>0</v>
      </c>
      <c r="K2199" s="6">
        <v>0</v>
      </c>
      <c r="L2199" s="6">
        <v>-2.306</v>
      </c>
      <c r="M2199" s="6">
        <v>-2.306</v>
      </c>
      <c r="N2199" s="6">
        <v>-2.306</v>
      </c>
      <c r="O2199" s="6">
        <v>-2.306</v>
      </c>
      <c r="P2199" s="6">
        <v>0</v>
      </c>
      <c r="Q2199" s="4" t="s">
        <v>26</v>
      </c>
      <c r="R2199" s="4">
        <v>0</v>
      </c>
      <c r="S2199" s="4" t="s">
        <v>568</v>
      </c>
      <c r="T2199" s="4" t="s">
        <v>825</v>
      </c>
      <c r="U2199" s="4">
        <v>0</v>
      </c>
      <c r="V2199" s="4">
        <v>61</v>
      </c>
      <c r="W2199" s="4">
        <v>102</v>
      </c>
    </row>
    <row r="2200" spans="1:23" ht="11.25" customHeight="1" x14ac:dyDescent="0.25">
      <c r="A2200" s="4" t="s">
        <v>28</v>
      </c>
      <c r="B2200" s="4" t="s">
        <v>47</v>
      </c>
      <c r="C2200" s="4" t="s">
        <v>23</v>
      </c>
      <c r="D2200" s="4" t="s">
        <v>48</v>
      </c>
      <c r="E2200" s="4" t="s">
        <v>49</v>
      </c>
      <c r="F2200" s="4" t="s">
        <v>25</v>
      </c>
      <c r="G2200" s="4" t="s">
        <v>25</v>
      </c>
      <c r="H2200" s="4" t="s">
        <v>25</v>
      </c>
      <c r="I2200" s="5">
        <v>44531</v>
      </c>
      <c r="J2200" s="6">
        <v>0</v>
      </c>
      <c r="K2200" s="6">
        <v>0</v>
      </c>
      <c r="L2200" s="6">
        <v>23.437000000000001</v>
      </c>
      <c r="M2200" s="6">
        <v>23.437000000000001</v>
      </c>
      <c r="N2200" s="6">
        <v>23.437000000000001</v>
      </c>
      <c r="O2200" s="6">
        <v>23.437000000000001</v>
      </c>
      <c r="P2200" s="6">
        <v>1</v>
      </c>
      <c r="Q2200" s="4" t="s">
        <v>26</v>
      </c>
      <c r="R2200" s="4">
        <v>0</v>
      </c>
      <c r="S2200" s="4" t="s">
        <v>568</v>
      </c>
      <c r="T2200" s="4" t="s">
        <v>825</v>
      </c>
      <c r="U2200" s="4">
        <v>0</v>
      </c>
      <c r="V2200" s="4">
        <v>61</v>
      </c>
      <c r="W2200" s="4">
        <v>102</v>
      </c>
    </row>
    <row r="2201" spans="1:23" ht="11.25" customHeight="1" x14ac:dyDescent="0.25">
      <c r="A2201" s="4" t="s">
        <v>21</v>
      </c>
      <c r="B2201" s="4" t="s">
        <v>47</v>
      </c>
      <c r="C2201" s="4" t="s">
        <v>23</v>
      </c>
      <c r="D2201" s="4" t="s">
        <v>48</v>
      </c>
      <c r="E2201" s="4" t="s">
        <v>49</v>
      </c>
      <c r="F2201" s="4" t="s">
        <v>25</v>
      </c>
      <c r="G2201" s="4" t="s">
        <v>25</v>
      </c>
      <c r="H2201" s="4" t="s">
        <v>25</v>
      </c>
      <c r="I2201" s="5">
        <v>44562</v>
      </c>
      <c r="J2201" s="6">
        <v>0</v>
      </c>
      <c r="K2201" s="6">
        <v>0</v>
      </c>
      <c r="L2201" s="6">
        <v>21149.004000000001</v>
      </c>
      <c r="M2201" s="6">
        <v>21149.004000000001</v>
      </c>
      <c r="N2201" s="6">
        <v>21149.004000000001</v>
      </c>
      <c r="O2201" s="6">
        <v>21149.004000000001</v>
      </c>
      <c r="P2201" s="6">
        <v>750</v>
      </c>
      <c r="Q2201" s="4" t="s">
        <v>26</v>
      </c>
      <c r="R2201" s="4">
        <v>0</v>
      </c>
      <c r="S2201" s="4" t="s">
        <v>569</v>
      </c>
      <c r="T2201" s="4" t="s">
        <v>826</v>
      </c>
      <c r="U2201" s="4">
        <v>0</v>
      </c>
      <c r="V2201" s="4">
        <v>61</v>
      </c>
      <c r="W2201" s="4">
        <v>102</v>
      </c>
    </row>
    <row r="2202" spans="1:23" ht="11.25" customHeight="1" x14ac:dyDescent="0.25">
      <c r="A2202" s="4" t="s">
        <v>28</v>
      </c>
      <c r="B2202" s="4" t="s">
        <v>47</v>
      </c>
      <c r="C2202" s="4" t="s">
        <v>23</v>
      </c>
      <c r="D2202" s="4" t="s">
        <v>48</v>
      </c>
      <c r="E2202" s="4" t="s">
        <v>49</v>
      </c>
      <c r="F2202" s="4" t="s">
        <v>25</v>
      </c>
      <c r="G2202" s="4" t="s">
        <v>25</v>
      </c>
      <c r="H2202" s="4" t="s">
        <v>25</v>
      </c>
      <c r="I2202" s="5">
        <v>44562</v>
      </c>
      <c r="J2202" s="6">
        <v>0</v>
      </c>
      <c r="K2202" s="6">
        <v>0</v>
      </c>
      <c r="L2202" s="6">
        <v>23.437000000000001</v>
      </c>
      <c r="M2202" s="6">
        <v>23.437000000000001</v>
      </c>
      <c r="N2202" s="6">
        <v>23.437000000000001</v>
      </c>
      <c r="O2202" s="6">
        <v>23.437000000000001</v>
      </c>
      <c r="P2202" s="6">
        <v>1</v>
      </c>
      <c r="Q2202" s="4" t="s">
        <v>26</v>
      </c>
      <c r="R2202" s="4">
        <v>0</v>
      </c>
      <c r="S2202" s="4" t="s">
        <v>569</v>
      </c>
      <c r="T2202" s="4" t="s">
        <v>826</v>
      </c>
      <c r="U2202" s="4">
        <v>0</v>
      </c>
      <c r="V2202" s="4">
        <v>61</v>
      </c>
      <c r="W2202" s="4">
        <v>102</v>
      </c>
    </row>
    <row r="2203" spans="1:23" ht="11.25" customHeight="1" x14ac:dyDescent="0.25">
      <c r="A2203" s="4" t="s">
        <v>21</v>
      </c>
      <c r="B2203" s="4" t="s">
        <v>47</v>
      </c>
      <c r="C2203" s="4" t="s">
        <v>23</v>
      </c>
      <c r="D2203" s="4" t="s">
        <v>48</v>
      </c>
      <c r="E2203" s="4" t="s">
        <v>49</v>
      </c>
      <c r="F2203" s="4" t="s">
        <v>25</v>
      </c>
      <c r="G2203" s="4" t="s">
        <v>25</v>
      </c>
      <c r="H2203" s="4" t="s">
        <v>25</v>
      </c>
      <c r="I2203" s="5">
        <v>44593</v>
      </c>
      <c r="J2203" s="6">
        <v>0</v>
      </c>
      <c r="K2203" s="6">
        <v>0</v>
      </c>
      <c r="L2203" s="6">
        <v>19236.557000000001</v>
      </c>
      <c r="M2203" s="6">
        <v>19236.557000000001</v>
      </c>
      <c r="N2203" s="6">
        <v>19236.557000000001</v>
      </c>
      <c r="O2203" s="6">
        <v>19236.557000000001</v>
      </c>
      <c r="P2203" s="6">
        <v>752</v>
      </c>
      <c r="Q2203" s="4" t="s">
        <v>26</v>
      </c>
      <c r="R2203" s="4">
        <v>0</v>
      </c>
      <c r="S2203" s="4" t="s">
        <v>570</v>
      </c>
      <c r="T2203" s="4" t="s">
        <v>827</v>
      </c>
      <c r="U2203" s="4">
        <v>0</v>
      </c>
      <c r="V2203" s="4">
        <v>61</v>
      </c>
      <c r="W2203" s="4">
        <v>102</v>
      </c>
    </row>
    <row r="2204" spans="1:23" ht="11.25" customHeight="1" x14ac:dyDescent="0.25">
      <c r="A2204" s="4" t="s">
        <v>27</v>
      </c>
      <c r="B2204" s="4" t="s">
        <v>47</v>
      </c>
      <c r="C2204" s="4" t="s">
        <v>23</v>
      </c>
      <c r="D2204" s="4" t="s">
        <v>48</v>
      </c>
      <c r="E2204" s="4" t="s">
        <v>49</v>
      </c>
      <c r="F2204" s="4" t="s">
        <v>25</v>
      </c>
      <c r="G2204" s="4" t="s">
        <v>25</v>
      </c>
      <c r="H2204" s="4" t="s">
        <v>25</v>
      </c>
      <c r="I2204" s="5">
        <v>44593</v>
      </c>
      <c r="J2204" s="6">
        <v>0</v>
      </c>
      <c r="K2204" s="6">
        <v>0</v>
      </c>
      <c r="L2204" s="6">
        <v>-5.548</v>
      </c>
      <c r="M2204" s="6">
        <v>-5.548</v>
      </c>
      <c r="N2204" s="6">
        <v>-5.548</v>
      </c>
      <c r="O2204" s="6">
        <v>-5.548</v>
      </c>
      <c r="P2204" s="6">
        <v>0</v>
      </c>
      <c r="Q2204" s="4" t="s">
        <v>26</v>
      </c>
      <c r="R2204" s="4">
        <v>0</v>
      </c>
      <c r="S2204" s="4" t="s">
        <v>570</v>
      </c>
      <c r="T2204" s="4" t="s">
        <v>827</v>
      </c>
      <c r="U2204" s="4">
        <v>0</v>
      </c>
      <c r="V2204" s="4">
        <v>61</v>
      </c>
      <c r="W2204" s="4">
        <v>102</v>
      </c>
    </row>
    <row r="2205" spans="1:23" ht="11.25" customHeight="1" x14ac:dyDescent="0.25">
      <c r="A2205" s="4" t="s">
        <v>28</v>
      </c>
      <c r="B2205" s="4" t="s">
        <v>47</v>
      </c>
      <c r="C2205" s="4" t="s">
        <v>23</v>
      </c>
      <c r="D2205" s="4" t="s">
        <v>48</v>
      </c>
      <c r="E2205" s="4" t="s">
        <v>49</v>
      </c>
      <c r="F2205" s="4" t="s">
        <v>25</v>
      </c>
      <c r="G2205" s="4" t="s">
        <v>25</v>
      </c>
      <c r="H2205" s="4" t="s">
        <v>25</v>
      </c>
      <c r="I2205" s="5">
        <v>44593</v>
      </c>
      <c r="J2205" s="6">
        <v>0</v>
      </c>
      <c r="K2205" s="6">
        <v>0</v>
      </c>
      <c r="L2205" s="6">
        <v>21.673999999999999</v>
      </c>
      <c r="M2205" s="6">
        <v>21.673999999999999</v>
      </c>
      <c r="N2205" s="6">
        <v>21.673999999999999</v>
      </c>
      <c r="O2205" s="6">
        <v>21.673999999999999</v>
      </c>
      <c r="P2205" s="6">
        <v>1</v>
      </c>
      <c r="Q2205" s="4" t="s">
        <v>26</v>
      </c>
      <c r="R2205" s="4">
        <v>0</v>
      </c>
      <c r="S2205" s="4" t="s">
        <v>570</v>
      </c>
      <c r="T2205" s="4" t="s">
        <v>827</v>
      </c>
      <c r="U2205" s="4">
        <v>0</v>
      </c>
      <c r="V2205" s="4">
        <v>61</v>
      </c>
      <c r="W2205" s="4">
        <v>102</v>
      </c>
    </row>
    <row r="2206" spans="1:23" ht="11.25" customHeight="1" x14ac:dyDescent="0.25">
      <c r="A2206" s="4" t="s">
        <v>21</v>
      </c>
      <c r="B2206" s="4" t="s">
        <v>47</v>
      </c>
      <c r="C2206" s="4" t="s">
        <v>23</v>
      </c>
      <c r="D2206" s="4" t="s">
        <v>48</v>
      </c>
      <c r="E2206" s="4" t="s">
        <v>49</v>
      </c>
      <c r="F2206" s="4" t="s">
        <v>25</v>
      </c>
      <c r="G2206" s="4" t="s">
        <v>25</v>
      </c>
      <c r="H2206" s="4" t="s">
        <v>25</v>
      </c>
      <c r="I2206" s="5">
        <v>44621</v>
      </c>
      <c r="J2206" s="6">
        <v>0</v>
      </c>
      <c r="K2206" s="6">
        <v>0</v>
      </c>
      <c r="L2206" s="6">
        <v>21087.128000000001</v>
      </c>
      <c r="M2206" s="6">
        <v>21087.128000000001</v>
      </c>
      <c r="N2206" s="6">
        <v>21087.128000000001</v>
      </c>
      <c r="O2206" s="6">
        <v>21087.128000000001</v>
      </c>
      <c r="P2206" s="6">
        <v>755</v>
      </c>
      <c r="Q2206" s="4" t="s">
        <v>26</v>
      </c>
      <c r="R2206" s="4">
        <v>0</v>
      </c>
      <c r="S2206" s="4" t="s">
        <v>571</v>
      </c>
      <c r="T2206" s="4" t="s">
        <v>828</v>
      </c>
      <c r="U2206" s="4">
        <v>0</v>
      </c>
      <c r="V2206" s="4">
        <v>61</v>
      </c>
      <c r="W2206" s="4">
        <v>102</v>
      </c>
    </row>
    <row r="2207" spans="1:23" ht="11.25" customHeight="1" x14ac:dyDescent="0.25">
      <c r="A2207" s="4" t="s">
        <v>27</v>
      </c>
      <c r="B2207" s="4" t="s">
        <v>47</v>
      </c>
      <c r="C2207" s="4" t="s">
        <v>23</v>
      </c>
      <c r="D2207" s="4" t="s">
        <v>48</v>
      </c>
      <c r="E2207" s="4" t="s">
        <v>49</v>
      </c>
      <c r="F2207" s="4" t="s">
        <v>25</v>
      </c>
      <c r="G2207" s="4" t="s">
        <v>25</v>
      </c>
      <c r="H2207" s="4" t="s">
        <v>25</v>
      </c>
      <c r="I2207" s="5">
        <v>44621</v>
      </c>
      <c r="J2207" s="6">
        <v>0</v>
      </c>
      <c r="K2207" s="6">
        <v>0</v>
      </c>
      <c r="L2207" s="6">
        <v>8.6150000000000002</v>
      </c>
      <c r="M2207" s="6">
        <v>8.6150000000000002</v>
      </c>
      <c r="N2207" s="6">
        <v>8.6150000000000002</v>
      </c>
      <c r="O2207" s="6">
        <v>8.6150000000000002</v>
      </c>
      <c r="P2207" s="6">
        <v>1</v>
      </c>
      <c r="Q2207" s="4" t="s">
        <v>26</v>
      </c>
      <c r="R2207" s="4">
        <v>0</v>
      </c>
      <c r="S2207" s="4" t="s">
        <v>571</v>
      </c>
      <c r="T2207" s="4" t="s">
        <v>828</v>
      </c>
      <c r="U2207" s="4">
        <v>0</v>
      </c>
      <c r="V2207" s="4">
        <v>61</v>
      </c>
      <c r="W2207" s="4">
        <v>102</v>
      </c>
    </row>
    <row r="2208" spans="1:23" ht="11.25" customHeight="1" x14ac:dyDescent="0.25">
      <c r="A2208" s="4" t="s">
        <v>28</v>
      </c>
      <c r="B2208" s="4" t="s">
        <v>47</v>
      </c>
      <c r="C2208" s="4" t="s">
        <v>23</v>
      </c>
      <c r="D2208" s="4" t="s">
        <v>48</v>
      </c>
      <c r="E2208" s="4" t="s">
        <v>49</v>
      </c>
      <c r="F2208" s="4" t="s">
        <v>25</v>
      </c>
      <c r="G2208" s="4" t="s">
        <v>25</v>
      </c>
      <c r="H2208" s="4" t="s">
        <v>25</v>
      </c>
      <c r="I2208" s="5">
        <v>44621</v>
      </c>
      <c r="J2208" s="6">
        <v>0</v>
      </c>
      <c r="K2208" s="6">
        <v>0</v>
      </c>
      <c r="L2208" s="6">
        <v>23.437000000000001</v>
      </c>
      <c r="M2208" s="6">
        <v>23.437000000000001</v>
      </c>
      <c r="N2208" s="6">
        <v>23.437000000000001</v>
      </c>
      <c r="O2208" s="6">
        <v>23.437000000000001</v>
      </c>
      <c r="P2208" s="6">
        <v>1</v>
      </c>
      <c r="Q2208" s="4" t="s">
        <v>26</v>
      </c>
      <c r="R2208" s="4">
        <v>0</v>
      </c>
      <c r="S2208" s="4" t="s">
        <v>571</v>
      </c>
      <c r="T2208" s="4" t="s">
        <v>828</v>
      </c>
      <c r="U2208" s="4">
        <v>0</v>
      </c>
      <c r="V2208" s="4">
        <v>61</v>
      </c>
      <c r="W2208" s="4">
        <v>102</v>
      </c>
    </row>
    <row r="2209" spans="1:23" ht="11.25" customHeight="1" x14ac:dyDescent="0.25">
      <c r="A2209" s="4" t="s">
        <v>21</v>
      </c>
      <c r="B2209" s="4" t="s">
        <v>47</v>
      </c>
      <c r="C2209" s="4" t="s">
        <v>23</v>
      </c>
      <c r="D2209" s="4" t="s">
        <v>48</v>
      </c>
      <c r="E2209" s="4" t="s">
        <v>49</v>
      </c>
      <c r="F2209" s="4" t="s">
        <v>25</v>
      </c>
      <c r="G2209" s="4" t="s">
        <v>25</v>
      </c>
      <c r="H2209" s="4" t="s">
        <v>25</v>
      </c>
      <c r="I2209" s="5">
        <v>44652</v>
      </c>
      <c r="J2209" s="6">
        <v>0</v>
      </c>
      <c r="K2209" s="6">
        <v>0</v>
      </c>
      <c r="L2209" s="6">
        <v>20662.107</v>
      </c>
      <c r="M2209" s="6">
        <v>20662.107</v>
      </c>
      <c r="N2209" s="6">
        <v>20662.107</v>
      </c>
      <c r="O2209" s="6">
        <v>20662.107</v>
      </c>
      <c r="P2209" s="6">
        <v>754</v>
      </c>
      <c r="Q2209" s="4" t="s">
        <v>26</v>
      </c>
      <c r="R2209" s="4">
        <v>0</v>
      </c>
      <c r="S2209" s="4" t="s">
        <v>572</v>
      </c>
      <c r="T2209" s="4" t="s">
        <v>829</v>
      </c>
      <c r="U2209" s="4">
        <v>0</v>
      </c>
      <c r="V2209" s="4">
        <v>61</v>
      </c>
      <c r="W2209" s="4">
        <v>102</v>
      </c>
    </row>
    <row r="2210" spans="1:23" ht="11.25" customHeight="1" x14ac:dyDescent="0.25">
      <c r="A2210" s="4" t="s">
        <v>28</v>
      </c>
      <c r="B2210" s="4" t="s">
        <v>47</v>
      </c>
      <c r="C2210" s="4" t="s">
        <v>23</v>
      </c>
      <c r="D2210" s="4" t="s">
        <v>48</v>
      </c>
      <c r="E2210" s="4" t="s">
        <v>49</v>
      </c>
      <c r="F2210" s="4" t="s">
        <v>25</v>
      </c>
      <c r="G2210" s="4" t="s">
        <v>25</v>
      </c>
      <c r="H2210" s="4" t="s">
        <v>25</v>
      </c>
      <c r="I2210" s="5">
        <v>44652</v>
      </c>
      <c r="J2210" s="6">
        <v>0</v>
      </c>
      <c r="K2210" s="6">
        <v>0</v>
      </c>
      <c r="L2210" s="6">
        <v>23.06</v>
      </c>
      <c r="M2210" s="6">
        <v>23.06</v>
      </c>
      <c r="N2210" s="6">
        <v>23.06</v>
      </c>
      <c r="O2210" s="6">
        <v>23.06</v>
      </c>
      <c r="P2210" s="6">
        <v>1</v>
      </c>
      <c r="Q2210" s="4" t="s">
        <v>26</v>
      </c>
      <c r="R2210" s="4">
        <v>0</v>
      </c>
      <c r="S2210" s="4" t="s">
        <v>572</v>
      </c>
      <c r="T2210" s="4" t="s">
        <v>829</v>
      </c>
      <c r="U2210" s="4">
        <v>0</v>
      </c>
      <c r="V2210" s="4">
        <v>61</v>
      </c>
      <c r="W2210" s="4">
        <v>102</v>
      </c>
    </row>
    <row r="2211" spans="1:23" ht="11.25" customHeight="1" x14ac:dyDescent="0.25">
      <c r="A2211" s="4" t="s">
        <v>21</v>
      </c>
      <c r="B2211" s="4" t="s">
        <v>47</v>
      </c>
      <c r="C2211" s="4" t="s">
        <v>23</v>
      </c>
      <c r="D2211" s="4" t="s">
        <v>48</v>
      </c>
      <c r="E2211" s="4" t="s">
        <v>49</v>
      </c>
      <c r="F2211" s="4" t="s">
        <v>25</v>
      </c>
      <c r="G2211" s="4" t="s">
        <v>25</v>
      </c>
      <c r="H2211" s="4" t="s">
        <v>25</v>
      </c>
      <c r="I2211" s="5">
        <v>44682</v>
      </c>
      <c r="J2211" s="6">
        <v>0</v>
      </c>
      <c r="K2211" s="6">
        <v>0</v>
      </c>
      <c r="L2211" s="6">
        <v>21433.826000000001</v>
      </c>
      <c r="M2211" s="6">
        <v>21433.826000000001</v>
      </c>
      <c r="N2211" s="6">
        <v>21433.826000000001</v>
      </c>
      <c r="O2211" s="6">
        <v>21433.826000000001</v>
      </c>
      <c r="P2211" s="6">
        <v>756</v>
      </c>
      <c r="Q2211" s="4" t="s">
        <v>26</v>
      </c>
      <c r="R2211" s="4">
        <v>0</v>
      </c>
      <c r="S2211" s="4" t="s">
        <v>573</v>
      </c>
      <c r="T2211" s="4" t="s">
        <v>830</v>
      </c>
      <c r="U2211" s="4">
        <v>0</v>
      </c>
      <c r="V2211" s="4">
        <v>61</v>
      </c>
      <c r="W2211" s="4">
        <v>102</v>
      </c>
    </row>
    <row r="2212" spans="1:23" ht="11.25" customHeight="1" x14ac:dyDescent="0.25">
      <c r="A2212" s="4" t="s">
        <v>28</v>
      </c>
      <c r="B2212" s="4" t="s">
        <v>47</v>
      </c>
      <c r="C2212" s="4" t="s">
        <v>23</v>
      </c>
      <c r="D2212" s="4" t="s">
        <v>48</v>
      </c>
      <c r="E2212" s="4" t="s">
        <v>49</v>
      </c>
      <c r="F2212" s="4" t="s">
        <v>25</v>
      </c>
      <c r="G2212" s="4" t="s">
        <v>25</v>
      </c>
      <c r="H2212" s="4" t="s">
        <v>25</v>
      </c>
      <c r="I2212" s="5">
        <v>44682</v>
      </c>
      <c r="J2212" s="6">
        <v>0</v>
      </c>
      <c r="K2212" s="6">
        <v>0</v>
      </c>
      <c r="L2212" s="6">
        <v>23.847000000000001</v>
      </c>
      <c r="M2212" s="6">
        <v>23.847000000000001</v>
      </c>
      <c r="N2212" s="6">
        <v>23.847000000000001</v>
      </c>
      <c r="O2212" s="6">
        <v>23.847000000000001</v>
      </c>
      <c r="P2212" s="6">
        <v>1</v>
      </c>
      <c r="Q2212" s="4" t="s">
        <v>26</v>
      </c>
      <c r="R2212" s="4">
        <v>0</v>
      </c>
      <c r="S2212" s="4" t="s">
        <v>573</v>
      </c>
      <c r="T2212" s="4" t="s">
        <v>830</v>
      </c>
      <c r="U2212" s="4">
        <v>0</v>
      </c>
      <c r="V2212" s="4">
        <v>61</v>
      </c>
      <c r="W2212" s="4">
        <v>102</v>
      </c>
    </row>
    <row r="2213" spans="1:23" ht="11.25" customHeight="1" x14ac:dyDescent="0.25">
      <c r="A2213" s="4" t="s">
        <v>21</v>
      </c>
      <c r="B2213" s="4" t="s">
        <v>47</v>
      </c>
      <c r="C2213" s="4" t="s">
        <v>23</v>
      </c>
      <c r="D2213" s="4" t="s">
        <v>48</v>
      </c>
      <c r="E2213" s="4" t="s">
        <v>49</v>
      </c>
      <c r="F2213" s="4" t="s">
        <v>25</v>
      </c>
      <c r="G2213" s="4" t="s">
        <v>25</v>
      </c>
      <c r="H2213" s="4" t="s">
        <v>25</v>
      </c>
      <c r="I2213" s="5">
        <v>44713</v>
      </c>
      <c r="J2213" s="6">
        <v>0</v>
      </c>
      <c r="K2213" s="6">
        <v>0</v>
      </c>
      <c r="L2213" s="6">
        <v>20805.925999999999</v>
      </c>
      <c r="M2213" s="6">
        <v>20805.925999999999</v>
      </c>
      <c r="N2213" s="6">
        <v>20805.925999999999</v>
      </c>
      <c r="O2213" s="6">
        <v>20805.925999999999</v>
      </c>
      <c r="P2213" s="6">
        <v>757</v>
      </c>
      <c r="Q2213" s="4" t="s">
        <v>26</v>
      </c>
      <c r="R2213" s="4">
        <v>0</v>
      </c>
      <c r="S2213" s="4" t="s">
        <v>574</v>
      </c>
      <c r="T2213" s="4" t="s">
        <v>831</v>
      </c>
      <c r="U2213" s="4">
        <v>0</v>
      </c>
      <c r="V2213" s="4">
        <v>61</v>
      </c>
      <c r="W2213" s="4">
        <v>102</v>
      </c>
    </row>
    <row r="2214" spans="1:23" ht="11.25" customHeight="1" x14ac:dyDescent="0.25">
      <c r="A2214" s="4" t="s">
        <v>28</v>
      </c>
      <c r="B2214" s="4" t="s">
        <v>47</v>
      </c>
      <c r="C2214" s="4" t="s">
        <v>23</v>
      </c>
      <c r="D2214" s="4" t="s">
        <v>48</v>
      </c>
      <c r="E2214" s="4" t="s">
        <v>49</v>
      </c>
      <c r="F2214" s="4" t="s">
        <v>25</v>
      </c>
      <c r="G2214" s="4" t="s">
        <v>25</v>
      </c>
      <c r="H2214" s="4" t="s">
        <v>25</v>
      </c>
      <c r="I2214" s="5">
        <v>44713</v>
      </c>
      <c r="J2214" s="6">
        <v>0</v>
      </c>
      <c r="K2214" s="6">
        <v>0</v>
      </c>
      <c r="L2214" s="6">
        <v>0.40899999999999997</v>
      </c>
      <c r="M2214" s="6">
        <v>0.40899999999999997</v>
      </c>
      <c r="N2214" s="6">
        <v>0.40899999999999997</v>
      </c>
      <c r="O2214" s="6">
        <v>0.40899999999999997</v>
      </c>
      <c r="P2214" s="6">
        <v>1</v>
      </c>
      <c r="Q2214" s="4" t="s">
        <v>26</v>
      </c>
      <c r="R2214" s="4">
        <v>0</v>
      </c>
      <c r="S2214" s="4" t="s">
        <v>574</v>
      </c>
      <c r="T2214" s="4" t="s">
        <v>831</v>
      </c>
      <c r="U2214" s="4">
        <v>0</v>
      </c>
      <c r="V2214" s="4">
        <v>61</v>
      </c>
      <c r="W2214" s="4">
        <v>102</v>
      </c>
    </row>
    <row r="2215" spans="1:23" ht="11.25" customHeight="1" x14ac:dyDescent="0.25">
      <c r="A2215" s="4" t="s">
        <v>57</v>
      </c>
      <c r="B2215" s="4" t="s">
        <v>47</v>
      </c>
      <c r="C2215" s="4" t="s">
        <v>23</v>
      </c>
      <c r="D2215" s="4" t="s">
        <v>48</v>
      </c>
      <c r="E2215" s="4" t="s">
        <v>49</v>
      </c>
      <c r="F2215" s="4" t="s">
        <v>25</v>
      </c>
      <c r="G2215" s="4" t="s">
        <v>25</v>
      </c>
      <c r="H2215" s="4" t="s">
        <v>25</v>
      </c>
      <c r="I2215" s="5">
        <v>44743</v>
      </c>
      <c r="J2215" s="6">
        <v>0</v>
      </c>
      <c r="K2215" s="6">
        <v>0</v>
      </c>
      <c r="L2215" s="6">
        <v>20805.925999999999</v>
      </c>
      <c r="M2215" s="6">
        <v>20805.925999999999</v>
      </c>
      <c r="N2215" s="6">
        <v>20805.925999999999</v>
      </c>
      <c r="O2215" s="6">
        <v>20805.925999999999</v>
      </c>
      <c r="P2215" s="6">
        <v>757</v>
      </c>
      <c r="Q2215" s="4" t="s">
        <v>26</v>
      </c>
      <c r="R2215" s="4">
        <v>0</v>
      </c>
      <c r="S2215" s="4" t="s">
        <v>575</v>
      </c>
      <c r="T2215" s="4" t="s">
        <v>832</v>
      </c>
      <c r="U2215" s="4">
        <v>0</v>
      </c>
      <c r="V2215" s="4">
        <v>61</v>
      </c>
      <c r="W2215" s="4">
        <v>102</v>
      </c>
    </row>
    <row r="2216" spans="1:23" ht="11.25" customHeight="1" x14ac:dyDescent="0.25">
      <c r="A2216" s="4" t="s">
        <v>57</v>
      </c>
      <c r="B2216" s="4" t="s">
        <v>47</v>
      </c>
      <c r="C2216" s="4" t="s">
        <v>23</v>
      </c>
      <c r="D2216" s="4" t="s">
        <v>48</v>
      </c>
      <c r="E2216" s="4" t="s">
        <v>49</v>
      </c>
      <c r="F2216" s="4" t="s">
        <v>25</v>
      </c>
      <c r="G2216" s="4" t="s">
        <v>25</v>
      </c>
      <c r="H2216" s="4" t="s">
        <v>25</v>
      </c>
      <c r="I2216" s="5">
        <v>44743</v>
      </c>
      <c r="J2216" s="6">
        <v>0</v>
      </c>
      <c r="K2216" s="6">
        <v>0</v>
      </c>
      <c r="L2216" s="6">
        <v>0.40899999999999997</v>
      </c>
      <c r="M2216" s="6">
        <v>0.40899999999999997</v>
      </c>
      <c r="N2216" s="6">
        <v>0.40899999999999997</v>
      </c>
      <c r="O2216" s="6">
        <v>0.40899999999999997</v>
      </c>
      <c r="P2216" s="6">
        <v>1</v>
      </c>
      <c r="Q2216" s="4" t="s">
        <v>26</v>
      </c>
      <c r="R2216" s="4">
        <v>0</v>
      </c>
      <c r="S2216" s="4" t="s">
        <v>575</v>
      </c>
      <c r="T2216" s="4" t="s">
        <v>832</v>
      </c>
      <c r="U2216" s="4">
        <v>0</v>
      </c>
      <c r="V2216" s="4">
        <v>61</v>
      </c>
      <c r="W2216" s="4">
        <v>102</v>
      </c>
    </row>
  </sheetData>
  <sortState xmlns:xlrd2="http://schemas.microsoft.com/office/spreadsheetml/2017/richdata2" ref="A2:W2216">
    <sortCondition ref="B2:B2216"/>
    <sortCondition ref="C2:C2216"/>
    <sortCondition ref="D2:D2216"/>
    <sortCondition ref="E2:E2216"/>
    <sortCondition ref="F2:F2216"/>
    <sortCondition ref="H2:H2216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436AF-0B91-47B2-B87D-EF9E2FFCC1D8}">
  <dimension ref="A1:H193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86</v>
      </c>
      <c r="B1" s="7" t="s">
        <v>87</v>
      </c>
      <c r="C1" s="7" t="s">
        <v>88</v>
      </c>
      <c r="D1" s="7" t="s">
        <v>89</v>
      </c>
      <c r="E1" s="7" t="s">
        <v>90</v>
      </c>
      <c r="G1" s="7" t="s">
        <v>91</v>
      </c>
      <c r="H1" s="7">
        <f>COUNTA(A:A)</f>
        <v>193</v>
      </c>
    </row>
    <row r="2" spans="1:8" ht="11.25" customHeight="1" x14ac:dyDescent="0.25">
      <c r="A2" s="8" t="s">
        <v>625</v>
      </c>
      <c r="B2" s="8" t="s">
        <v>626</v>
      </c>
      <c r="C2" s="8" t="s">
        <v>627</v>
      </c>
      <c r="D2" s="8">
        <v>788</v>
      </c>
      <c r="E2" s="8" t="s">
        <v>628</v>
      </c>
    </row>
    <row r="3" spans="1:8" ht="11.25" customHeight="1" x14ac:dyDescent="0.25">
      <c r="A3" s="8" t="s">
        <v>625</v>
      </c>
      <c r="B3" s="8" t="s">
        <v>626</v>
      </c>
      <c r="C3" s="8" t="s">
        <v>627</v>
      </c>
      <c r="D3" s="8">
        <v>789</v>
      </c>
      <c r="E3" s="8" t="s">
        <v>628</v>
      </c>
    </row>
    <row r="4" spans="1:8" ht="11.25" customHeight="1" x14ac:dyDescent="0.25">
      <c r="A4" s="8" t="s">
        <v>625</v>
      </c>
      <c r="B4" s="8" t="s">
        <v>626</v>
      </c>
      <c r="C4" s="8" t="s">
        <v>627</v>
      </c>
      <c r="D4" s="8">
        <v>790</v>
      </c>
      <c r="E4" s="8" t="s">
        <v>628</v>
      </c>
    </row>
    <row r="5" spans="1:8" ht="11.25" customHeight="1" x14ac:dyDescent="0.25">
      <c r="A5" s="8" t="s">
        <v>625</v>
      </c>
      <c r="B5" s="8" t="s">
        <v>626</v>
      </c>
      <c r="C5" s="8" t="s">
        <v>627</v>
      </c>
      <c r="D5" s="8">
        <v>792</v>
      </c>
      <c r="E5" s="8" t="s">
        <v>628</v>
      </c>
    </row>
    <row r="6" spans="1:8" ht="11.25" customHeight="1" x14ac:dyDescent="0.25">
      <c r="A6" s="8" t="s">
        <v>625</v>
      </c>
      <c r="B6" s="8" t="s">
        <v>626</v>
      </c>
      <c r="C6" s="8" t="s">
        <v>627</v>
      </c>
      <c r="D6" s="8">
        <v>793</v>
      </c>
      <c r="E6" s="8" t="s">
        <v>628</v>
      </c>
    </row>
    <row r="7" spans="1:8" ht="11.25" customHeight="1" x14ac:dyDescent="0.25">
      <c r="A7" s="8" t="s">
        <v>625</v>
      </c>
      <c r="B7" s="8" t="s">
        <v>626</v>
      </c>
      <c r="C7" s="8" t="s">
        <v>627</v>
      </c>
      <c r="D7" s="8">
        <v>795</v>
      </c>
      <c r="E7" s="8" t="s">
        <v>628</v>
      </c>
    </row>
    <row r="8" spans="1:8" ht="11.25" customHeight="1" x14ac:dyDescent="0.25">
      <c r="A8" s="8" t="s">
        <v>625</v>
      </c>
      <c r="B8" s="8" t="s">
        <v>626</v>
      </c>
      <c r="C8" s="8" t="s">
        <v>627</v>
      </c>
      <c r="D8" s="8">
        <v>796</v>
      </c>
      <c r="E8" s="8" t="s">
        <v>628</v>
      </c>
    </row>
    <row r="9" spans="1:8" ht="11.25" customHeight="1" x14ac:dyDescent="0.25">
      <c r="A9" s="8" t="s">
        <v>625</v>
      </c>
      <c r="B9" s="8" t="s">
        <v>626</v>
      </c>
      <c r="C9" s="8" t="s">
        <v>627</v>
      </c>
      <c r="D9" s="8">
        <v>797</v>
      </c>
      <c r="E9" s="8" t="s">
        <v>628</v>
      </c>
    </row>
    <row r="10" spans="1:8" ht="11.25" customHeight="1" x14ac:dyDescent="0.25">
      <c r="A10" s="8" t="s">
        <v>625</v>
      </c>
      <c r="B10" s="8" t="s">
        <v>626</v>
      </c>
      <c r="C10" s="8" t="s">
        <v>627</v>
      </c>
      <c r="D10" s="8">
        <v>799</v>
      </c>
      <c r="E10" s="8" t="s">
        <v>628</v>
      </c>
    </row>
    <row r="11" spans="1:8" ht="11.25" customHeight="1" x14ac:dyDescent="0.25">
      <c r="A11" s="8" t="s">
        <v>625</v>
      </c>
      <c r="B11" s="8" t="s">
        <v>626</v>
      </c>
      <c r="C11" s="8" t="s">
        <v>627</v>
      </c>
      <c r="D11" s="8">
        <v>800</v>
      </c>
      <c r="E11" s="8" t="s">
        <v>628</v>
      </c>
    </row>
    <row r="12" spans="1:8" ht="11.25" customHeight="1" x14ac:dyDescent="0.25">
      <c r="A12" s="8" t="s">
        <v>625</v>
      </c>
      <c r="B12" s="8" t="s">
        <v>626</v>
      </c>
      <c r="C12" s="8" t="s">
        <v>627</v>
      </c>
      <c r="D12" s="8">
        <v>801</v>
      </c>
      <c r="E12" s="8" t="s">
        <v>628</v>
      </c>
    </row>
    <row r="13" spans="1:8" ht="11.25" customHeight="1" x14ac:dyDescent="0.25">
      <c r="A13" s="8" t="s">
        <v>625</v>
      </c>
      <c r="B13" s="8" t="s">
        <v>626</v>
      </c>
      <c r="C13" s="8" t="s">
        <v>627</v>
      </c>
      <c r="D13" s="8">
        <v>803</v>
      </c>
      <c r="E13" s="8" t="s">
        <v>628</v>
      </c>
    </row>
    <row r="14" spans="1:8" ht="11.25" customHeight="1" x14ac:dyDescent="0.25">
      <c r="A14" s="8" t="s">
        <v>625</v>
      </c>
      <c r="B14" s="8" t="s">
        <v>626</v>
      </c>
      <c r="C14" s="8" t="s">
        <v>627</v>
      </c>
      <c r="D14" s="8">
        <v>804</v>
      </c>
      <c r="E14" s="8" t="s">
        <v>628</v>
      </c>
    </row>
    <row r="15" spans="1:8" ht="11.25" customHeight="1" x14ac:dyDescent="0.25">
      <c r="A15" s="8" t="s">
        <v>625</v>
      </c>
      <c r="B15" s="8" t="s">
        <v>626</v>
      </c>
      <c r="C15" s="8" t="s">
        <v>627</v>
      </c>
      <c r="D15" s="8">
        <v>805</v>
      </c>
      <c r="E15" s="8" t="s">
        <v>628</v>
      </c>
    </row>
    <row r="16" spans="1:8" ht="11.25" customHeight="1" x14ac:dyDescent="0.25">
      <c r="A16" s="8" t="s">
        <v>625</v>
      </c>
      <c r="B16" s="8" t="s">
        <v>626</v>
      </c>
      <c r="C16" s="8" t="s">
        <v>627</v>
      </c>
      <c r="D16" s="8">
        <v>807</v>
      </c>
      <c r="E16" s="8" t="s">
        <v>628</v>
      </c>
    </row>
    <row r="17" spans="1:5" ht="11.25" customHeight="1" x14ac:dyDescent="0.25">
      <c r="A17" s="8" t="s">
        <v>625</v>
      </c>
      <c r="B17" s="8" t="s">
        <v>626</v>
      </c>
      <c r="C17" s="8" t="s">
        <v>627</v>
      </c>
      <c r="D17" s="8">
        <v>808</v>
      </c>
      <c r="E17" s="8" t="s">
        <v>628</v>
      </c>
    </row>
    <row r="18" spans="1:5" ht="11.25" customHeight="1" x14ac:dyDescent="0.25">
      <c r="A18" s="8" t="s">
        <v>625</v>
      </c>
      <c r="B18" s="8" t="s">
        <v>626</v>
      </c>
      <c r="C18" s="8" t="s">
        <v>627</v>
      </c>
      <c r="D18" s="8">
        <v>809</v>
      </c>
      <c r="E18" s="8" t="s">
        <v>628</v>
      </c>
    </row>
    <row r="19" spans="1:5" ht="11.25" customHeight="1" x14ac:dyDescent="0.25">
      <c r="A19" s="8" t="s">
        <v>625</v>
      </c>
      <c r="B19" s="8" t="s">
        <v>626</v>
      </c>
      <c r="C19" s="8" t="s">
        <v>627</v>
      </c>
      <c r="D19" s="8">
        <v>810</v>
      </c>
      <c r="E19" s="8" t="s">
        <v>628</v>
      </c>
    </row>
    <row r="20" spans="1:5" ht="11.25" customHeight="1" x14ac:dyDescent="0.25">
      <c r="A20" s="8" t="s">
        <v>625</v>
      </c>
      <c r="B20" s="8" t="s">
        <v>626</v>
      </c>
      <c r="C20" s="8" t="s">
        <v>627</v>
      </c>
      <c r="D20" s="8">
        <v>811</v>
      </c>
      <c r="E20" s="8" t="s">
        <v>628</v>
      </c>
    </row>
    <row r="21" spans="1:5" ht="11.25" customHeight="1" x14ac:dyDescent="0.25">
      <c r="A21" s="8" t="s">
        <v>625</v>
      </c>
      <c r="B21" s="8" t="s">
        <v>626</v>
      </c>
      <c r="C21" s="8" t="s">
        <v>627</v>
      </c>
      <c r="D21" s="8">
        <v>812</v>
      </c>
      <c r="E21" s="8" t="s">
        <v>628</v>
      </c>
    </row>
    <row r="22" spans="1:5" ht="11.25" customHeight="1" x14ac:dyDescent="0.25">
      <c r="A22" s="8" t="s">
        <v>625</v>
      </c>
      <c r="B22" s="8" t="s">
        <v>626</v>
      </c>
      <c r="C22" s="8" t="s">
        <v>627</v>
      </c>
      <c r="D22" s="8">
        <v>813</v>
      </c>
      <c r="E22" s="8" t="s">
        <v>628</v>
      </c>
    </row>
    <row r="23" spans="1:5" ht="11.25" customHeight="1" x14ac:dyDescent="0.25">
      <c r="A23" s="8" t="s">
        <v>625</v>
      </c>
      <c r="B23" s="8" t="s">
        <v>626</v>
      </c>
      <c r="C23" s="8" t="s">
        <v>627</v>
      </c>
      <c r="D23" s="8">
        <v>814</v>
      </c>
      <c r="E23" s="8" t="s">
        <v>628</v>
      </c>
    </row>
    <row r="24" spans="1:5" ht="11.25" customHeight="1" x14ac:dyDescent="0.25">
      <c r="A24" s="8" t="s">
        <v>625</v>
      </c>
      <c r="B24" s="8" t="s">
        <v>626</v>
      </c>
      <c r="C24" s="8" t="s">
        <v>627</v>
      </c>
      <c r="D24" s="8">
        <v>815</v>
      </c>
      <c r="E24" s="8" t="s">
        <v>628</v>
      </c>
    </row>
    <row r="25" spans="1:5" ht="11.25" customHeight="1" x14ac:dyDescent="0.25">
      <c r="A25" s="8" t="s">
        <v>625</v>
      </c>
      <c r="B25" s="8" t="s">
        <v>626</v>
      </c>
      <c r="C25" s="8" t="s">
        <v>627</v>
      </c>
      <c r="D25" s="8">
        <v>816</v>
      </c>
      <c r="E25" s="8" t="s">
        <v>628</v>
      </c>
    </row>
    <row r="26" spans="1:5" ht="11.25" customHeight="1" x14ac:dyDescent="0.25">
      <c r="A26" s="8" t="s">
        <v>625</v>
      </c>
      <c r="B26" s="8" t="s">
        <v>626</v>
      </c>
      <c r="C26" s="8" t="s">
        <v>627</v>
      </c>
      <c r="D26" s="8">
        <v>817</v>
      </c>
      <c r="E26" s="8" t="s">
        <v>628</v>
      </c>
    </row>
    <row r="27" spans="1:5" ht="11.25" customHeight="1" x14ac:dyDescent="0.25">
      <c r="A27" s="8" t="s">
        <v>625</v>
      </c>
      <c r="B27" s="8" t="s">
        <v>626</v>
      </c>
      <c r="C27" s="8" t="s">
        <v>627</v>
      </c>
      <c r="D27" s="8">
        <v>818</v>
      </c>
      <c r="E27" s="8" t="s">
        <v>628</v>
      </c>
    </row>
    <row r="28" spans="1:5" ht="11.25" customHeight="1" x14ac:dyDescent="0.25">
      <c r="A28" s="8" t="s">
        <v>625</v>
      </c>
      <c r="B28" s="8" t="s">
        <v>626</v>
      </c>
      <c r="C28" s="8" t="s">
        <v>627</v>
      </c>
      <c r="D28" s="8">
        <v>819</v>
      </c>
      <c r="E28" s="8" t="s">
        <v>628</v>
      </c>
    </row>
    <row r="29" spans="1:5" ht="11.25" customHeight="1" x14ac:dyDescent="0.25">
      <c r="A29" s="8" t="s">
        <v>625</v>
      </c>
      <c r="B29" s="8" t="s">
        <v>626</v>
      </c>
      <c r="C29" s="8" t="s">
        <v>627</v>
      </c>
      <c r="D29" s="8">
        <v>820</v>
      </c>
      <c r="E29" s="8" t="s">
        <v>628</v>
      </c>
    </row>
    <row r="30" spans="1:5" ht="11.25" customHeight="1" x14ac:dyDescent="0.25">
      <c r="A30" s="8" t="s">
        <v>625</v>
      </c>
      <c r="B30" s="8" t="s">
        <v>626</v>
      </c>
      <c r="C30" s="8" t="s">
        <v>627</v>
      </c>
      <c r="D30" s="8">
        <v>821</v>
      </c>
      <c r="E30" s="8" t="s">
        <v>628</v>
      </c>
    </row>
    <row r="31" spans="1:5" ht="11.25" customHeight="1" x14ac:dyDescent="0.25">
      <c r="A31" s="8" t="s">
        <v>625</v>
      </c>
      <c r="B31" s="8" t="s">
        <v>626</v>
      </c>
      <c r="C31" s="8" t="s">
        <v>627</v>
      </c>
      <c r="D31" s="8">
        <v>822</v>
      </c>
      <c r="E31" s="8" t="s">
        <v>628</v>
      </c>
    </row>
    <row r="32" spans="1:5" ht="11.25" customHeight="1" x14ac:dyDescent="0.25">
      <c r="A32" s="8" t="s">
        <v>625</v>
      </c>
      <c r="B32" s="8" t="s">
        <v>626</v>
      </c>
      <c r="C32" s="8" t="s">
        <v>627</v>
      </c>
      <c r="D32" s="8">
        <v>823</v>
      </c>
      <c r="E32" s="8" t="s">
        <v>628</v>
      </c>
    </row>
    <row r="33" spans="1:5" ht="11.25" customHeight="1" x14ac:dyDescent="0.25">
      <c r="A33" s="8" t="s">
        <v>625</v>
      </c>
      <c r="B33" s="8" t="s">
        <v>626</v>
      </c>
      <c r="C33" s="8" t="s">
        <v>627</v>
      </c>
      <c r="D33" s="8">
        <v>824</v>
      </c>
      <c r="E33" s="8" t="s">
        <v>628</v>
      </c>
    </row>
    <row r="34" spans="1:5" ht="11.25" customHeight="1" x14ac:dyDescent="0.25">
      <c r="A34" s="8" t="s">
        <v>625</v>
      </c>
      <c r="B34" s="8" t="s">
        <v>626</v>
      </c>
      <c r="C34" s="8" t="s">
        <v>627</v>
      </c>
      <c r="D34" s="8">
        <v>825</v>
      </c>
      <c r="E34" s="8" t="s">
        <v>628</v>
      </c>
    </row>
    <row r="35" spans="1:5" ht="11.25" customHeight="1" x14ac:dyDescent="0.25">
      <c r="A35" s="8" t="s">
        <v>625</v>
      </c>
      <c r="B35" s="8" t="s">
        <v>626</v>
      </c>
      <c r="C35" s="8" t="s">
        <v>627</v>
      </c>
      <c r="D35" s="8">
        <v>826</v>
      </c>
      <c r="E35" s="8" t="s">
        <v>628</v>
      </c>
    </row>
    <row r="36" spans="1:5" ht="11.25" customHeight="1" x14ac:dyDescent="0.25">
      <c r="A36" s="8" t="s">
        <v>625</v>
      </c>
      <c r="B36" s="8" t="s">
        <v>626</v>
      </c>
      <c r="C36" s="8" t="s">
        <v>627</v>
      </c>
      <c r="D36" s="8">
        <v>827</v>
      </c>
      <c r="E36" s="8" t="s">
        <v>628</v>
      </c>
    </row>
    <row r="37" spans="1:5" ht="11.25" customHeight="1" x14ac:dyDescent="0.25">
      <c r="A37" s="8" t="s">
        <v>625</v>
      </c>
      <c r="B37" s="8" t="s">
        <v>626</v>
      </c>
      <c r="C37" s="8" t="s">
        <v>627</v>
      </c>
      <c r="D37" s="8">
        <v>882</v>
      </c>
      <c r="E37" s="8" t="s">
        <v>628</v>
      </c>
    </row>
    <row r="38" spans="1:5" ht="11.25" customHeight="1" x14ac:dyDescent="0.25">
      <c r="A38" s="8" t="s">
        <v>625</v>
      </c>
      <c r="B38" s="8" t="s">
        <v>626</v>
      </c>
      <c r="C38" s="8" t="s">
        <v>627</v>
      </c>
      <c r="D38" s="8">
        <v>883</v>
      </c>
      <c r="E38" s="8" t="s">
        <v>628</v>
      </c>
    </row>
    <row r="39" spans="1:5" ht="11.25" customHeight="1" x14ac:dyDescent="0.25">
      <c r="A39" s="8" t="s">
        <v>625</v>
      </c>
      <c r="B39" s="8" t="s">
        <v>626</v>
      </c>
      <c r="C39" s="8" t="s">
        <v>627</v>
      </c>
      <c r="D39" s="8">
        <v>884</v>
      </c>
      <c r="E39" s="8" t="s">
        <v>628</v>
      </c>
    </row>
    <row r="40" spans="1:5" ht="11.25" customHeight="1" x14ac:dyDescent="0.25">
      <c r="A40" s="8" t="s">
        <v>625</v>
      </c>
      <c r="B40" s="8" t="s">
        <v>626</v>
      </c>
      <c r="C40" s="8" t="s">
        <v>627</v>
      </c>
      <c r="D40" s="8">
        <v>885</v>
      </c>
      <c r="E40" s="8" t="s">
        <v>628</v>
      </c>
    </row>
    <row r="41" spans="1:5" ht="11.25" customHeight="1" x14ac:dyDescent="0.25">
      <c r="A41" s="8" t="s">
        <v>625</v>
      </c>
      <c r="B41" s="8" t="s">
        <v>626</v>
      </c>
      <c r="C41" s="8" t="s">
        <v>627</v>
      </c>
      <c r="D41" s="8">
        <v>886</v>
      </c>
      <c r="E41" s="8" t="s">
        <v>628</v>
      </c>
    </row>
    <row r="42" spans="1:5" ht="11.25" customHeight="1" x14ac:dyDescent="0.25">
      <c r="A42" s="8" t="s">
        <v>625</v>
      </c>
      <c r="B42" s="8" t="s">
        <v>626</v>
      </c>
      <c r="C42" s="8" t="s">
        <v>627</v>
      </c>
      <c r="D42" s="8">
        <v>887</v>
      </c>
      <c r="E42" s="8" t="s">
        <v>628</v>
      </c>
    </row>
    <row r="43" spans="1:5" ht="11.25" customHeight="1" x14ac:dyDescent="0.25">
      <c r="A43" s="8" t="s">
        <v>625</v>
      </c>
      <c r="B43" s="8" t="s">
        <v>626</v>
      </c>
      <c r="C43" s="8" t="s">
        <v>627</v>
      </c>
      <c r="D43" s="8">
        <v>888</v>
      </c>
      <c r="E43" s="8" t="s">
        <v>628</v>
      </c>
    </row>
    <row r="44" spans="1:5" ht="11.25" customHeight="1" x14ac:dyDescent="0.25">
      <c r="A44" s="8" t="s">
        <v>625</v>
      </c>
      <c r="B44" s="8" t="s">
        <v>626</v>
      </c>
      <c r="C44" s="8" t="s">
        <v>627</v>
      </c>
      <c r="D44" s="8">
        <v>889</v>
      </c>
      <c r="E44" s="8" t="s">
        <v>628</v>
      </c>
    </row>
    <row r="45" spans="1:5" ht="11.25" customHeight="1" x14ac:dyDescent="0.25">
      <c r="A45" s="8" t="s">
        <v>625</v>
      </c>
      <c r="B45" s="8" t="s">
        <v>626</v>
      </c>
      <c r="C45" s="8" t="s">
        <v>627</v>
      </c>
      <c r="D45" s="8">
        <v>890</v>
      </c>
      <c r="E45" s="8" t="s">
        <v>628</v>
      </c>
    </row>
    <row r="46" spans="1:5" ht="11.25" customHeight="1" x14ac:dyDescent="0.25">
      <c r="A46" s="8" t="s">
        <v>625</v>
      </c>
      <c r="B46" s="8" t="s">
        <v>626</v>
      </c>
      <c r="C46" s="8" t="s">
        <v>627</v>
      </c>
      <c r="D46" s="8">
        <v>891</v>
      </c>
      <c r="E46" s="8" t="s">
        <v>628</v>
      </c>
    </row>
    <row r="47" spans="1:5" ht="11.25" customHeight="1" x14ac:dyDescent="0.25">
      <c r="A47" s="8" t="s">
        <v>625</v>
      </c>
      <c r="B47" s="8" t="s">
        <v>626</v>
      </c>
      <c r="C47" s="8" t="s">
        <v>627</v>
      </c>
      <c r="D47" s="8">
        <v>892</v>
      </c>
      <c r="E47" s="8" t="s">
        <v>628</v>
      </c>
    </row>
    <row r="48" spans="1:5" ht="11.25" customHeight="1" x14ac:dyDescent="0.25">
      <c r="A48" s="8" t="s">
        <v>625</v>
      </c>
      <c r="B48" s="8" t="s">
        <v>626</v>
      </c>
      <c r="C48" s="8" t="s">
        <v>627</v>
      </c>
      <c r="D48" s="8">
        <v>893</v>
      </c>
      <c r="E48" s="8" t="s">
        <v>628</v>
      </c>
    </row>
    <row r="49" spans="1:5" ht="11.25" customHeight="1" x14ac:dyDescent="0.25">
      <c r="A49" s="8" t="s">
        <v>625</v>
      </c>
      <c r="B49" s="8" t="s">
        <v>626</v>
      </c>
      <c r="C49" s="8" t="s">
        <v>627</v>
      </c>
      <c r="D49" s="8">
        <v>1010</v>
      </c>
      <c r="E49" s="8" t="s">
        <v>628</v>
      </c>
    </row>
    <row r="50" spans="1:5" ht="11.25" customHeight="1" x14ac:dyDescent="0.25">
      <c r="A50" s="8" t="s">
        <v>625</v>
      </c>
      <c r="B50" s="8" t="s">
        <v>626</v>
      </c>
      <c r="C50" s="8" t="s">
        <v>627</v>
      </c>
      <c r="D50" s="8">
        <v>1011</v>
      </c>
      <c r="E50" s="8" t="s">
        <v>628</v>
      </c>
    </row>
    <row r="51" spans="1:5" ht="11.25" customHeight="1" x14ac:dyDescent="0.25">
      <c r="A51" s="8" t="s">
        <v>625</v>
      </c>
      <c r="B51" s="8" t="s">
        <v>626</v>
      </c>
      <c r="C51" s="8" t="s">
        <v>627</v>
      </c>
      <c r="D51" s="8">
        <v>1012</v>
      </c>
      <c r="E51" s="8" t="s">
        <v>628</v>
      </c>
    </row>
    <row r="52" spans="1:5" ht="11.25" customHeight="1" x14ac:dyDescent="0.25">
      <c r="A52" s="8" t="s">
        <v>625</v>
      </c>
      <c r="B52" s="8" t="s">
        <v>626</v>
      </c>
      <c r="C52" s="8" t="s">
        <v>627</v>
      </c>
      <c r="D52" s="8">
        <v>1014</v>
      </c>
      <c r="E52" s="8" t="s">
        <v>628</v>
      </c>
    </row>
    <row r="53" spans="1:5" ht="11.25" customHeight="1" x14ac:dyDescent="0.25">
      <c r="A53" s="8" t="s">
        <v>625</v>
      </c>
      <c r="B53" s="8" t="s">
        <v>626</v>
      </c>
      <c r="C53" s="8" t="s">
        <v>627</v>
      </c>
      <c r="D53" s="8">
        <v>1015</v>
      </c>
      <c r="E53" s="8" t="s">
        <v>628</v>
      </c>
    </row>
    <row r="54" spans="1:5" ht="11.25" customHeight="1" x14ac:dyDescent="0.25">
      <c r="A54" s="8" t="s">
        <v>625</v>
      </c>
      <c r="B54" s="8" t="s">
        <v>626</v>
      </c>
      <c r="C54" s="8" t="s">
        <v>627</v>
      </c>
      <c r="D54" s="8">
        <v>1017</v>
      </c>
      <c r="E54" s="8" t="s">
        <v>628</v>
      </c>
    </row>
    <row r="55" spans="1:5" ht="11.25" customHeight="1" x14ac:dyDescent="0.25">
      <c r="A55" s="8" t="s">
        <v>625</v>
      </c>
      <c r="B55" s="8" t="s">
        <v>626</v>
      </c>
      <c r="C55" s="8" t="s">
        <v>627</v>
      </c>
      <c r="D55" s="8">
        <v>1018</v>
      </c>
      <c r="E55" s="8" t="s">
        <v>628</v>
      </c>
    </row>
    <row r="56" spans="1:5" ht="11.25" customHeight="1" x14ac:dyDescent="0.25">
      <c r="A56" s="8" t="s">
        <v>625</v>
      </c>
      <c r="B56" s="8" t="s">
        <v>626</v>
      </c>
      <c r="C56" s="8" t="s">
        <v>627</v>
      </c>
      <c r="D56" s="8">
        <v>1019</v>
      </c>
      <c r="E56" s="8" t="s">
        <v>628</v>
      </c>
    </row>
    <row r="57" spans="1:5" ht="11.25" customHeight="1" x14ac:dyDescent="0.25">
      <c r="A57" s="8" t="s">
        <v>625</v>
      </c>
      <c r="B57" s="8" t="s">
        <v>626</v>
      </c>
      <c r="C57" s="8" t="s">
        <v>627</v>
      </c>
      <c r="D57" s="8">
        <v>1021</v>
      </c>
      <c r="E57" s="8" t="s">
        <v>628</v>
      </c>
    </row>
    <row r="58" spans="1:5" ht="11.25" customHeight="1" x14ac:dyDescent="0.25">
      <c r="A58" s="8" t="s">
        <v>625</v>
      </c>
      <c r="B58" s="8" t="s">
        <v>626</v>
      </c>
      <c r="C58" s="8" t="s">
        <v>627</v>
      </c>
      <c r="D58" s="8">
        <v>1022</v>
      </c>
      <c r="E58" s="8" t="s">
        <v>628</v>
      </c>
    </row>
    <row r="59" spans="1:5" ht="11.25" customHeight="1" x14ac:dyDescent="0.25">
      <c r="A59" s="8" t="s">
        <v>625</v>
      </c>
      <c r="B59" s="8" t="s">
        <v>626</v>
      </c>
      <c r="C59" s="8" t="s">
        <v>627</v>
      </c>
      <c r="D59" s="8">
        <v>1023</v>
      </c>
      <c r="E59" s="8" t="s">
        <v>628</v>
      </c>
    </row>
    <row r="60" spans="1:5" ht="11.25" customHeight="1" x14ac:dyDescent="0.25">
      <c r="A60" s="8" t="s">
        <v>625</v>
      </c>
      <c r="B60" s="8" t="s">
        <v>626</v>
      </c>
      <c r="C60" s="8" t="s">
        <v>627</v>
      </c>
      <c r="D60" s="8">
        <v>1025</v>
      </c>
      <c r="E60" s="8" t="s">
        <v>628</v>
      </c>
    </row>
    <row r="61" spans="1:5" ht="11.25" customHeight="1" x14ac:dyDescent="0.25">
      <c r="A61" s="8" t="s">
        <v>625</v>
      </c>
      <c r="B61" s="8" t="s">
        <v>626</v>
      </c>
      <c r="C61" s="8" t="s">
        <v>627</v>
      </c>
      <c r="D61" s="8">
        <v>1026</v>
      </c>
      <c r="E61" s="8" t="s">
        <v>628</v>
      </c>
    </row>
    <row r="62" spans="1:5" ht="11.25" customHeight="1" x14ac:dyDescent="0.25">
      <c r="A62" s="8" t="s">
        <v>625</v>
      </c>
      <c r="B62" s="8" t="s">
        <v>626</v>
      </c>
      <c r="C62" s="8" t="s">
        <v>627</v>
      </c>
      <c r="D62" s="8">
        <v>1027</v>
      </c>
      <c r="E62" s="8" t="s">
        <v>628</v>
      </c>
    </row>
    <row r="63" spans="1:5" ht="11.25" customHeight="1" x14ac:dyDescent="0.25">
      <c r="A63" s="8" t="s">
        <v>625</v>
      </c>
      <c r="B63" s="8" t="s">
        <v>626</v>
      </c>
      <c r="C63" s="8" t="s">
        <v>627</v>
      </c>
      <c r="D63" s="8">
        <v>1029</v>
      </c>
      <c r="E63" s="8" t="s">
        <v>628</v>
      </c>
    </row>
    <row r="64" spans="1:5" ht="11.25" customHeight="1" x14ac:dyDescent="0.25">
      <c r="A64" s="8" t="s">
        <v>625</v>
      </c>
      <c r="B64" s="8" t="s">
        <v>626</v>
      </c>
      <c r="C64" s="8" t="s">
        <v>627</v>
      </c>
      <c r="D64" s="8">
        <v>1030</v>
      </c>
      <c r="E64" s="8" t="s">
        <v>628</v>
      </c>
    </row>
    <row r="65" spans="1:5" ht="11.25" customHeight="1" x14ac:dyDescent="0.25">
      <c r="A65" s="8" t="s">
        <v>625</v>
      </c>
      <c r="B65" s="8" t="s">
        <v>626</v>
      </c>
      <c r="C65" s="8" t="s">
        <v>627</v>
      </c>
      <c r="D65" s="8">
        <v>1032</v>
      </c>
      <c r="E65" s="8" t="s">
        <v>628</v>
      </c>
    </row>
    <row r="66" spans="1:5" ht="11.25" customHeight="1" x14ac:dyDescent="0.25">
      <c r="A66" s="8" t="s">
        <v>625</v>
      </c>
      <c r="B66" s="8" t="s">
        <v>626</v>
      </c>
      <c r="C66" s="8" t="s">
        <v>627</v>
      </c>
      <c r="D66" s="8">
        <v>1033</v>
      </c>
      <c r="E66" s="8" t="s">
        <v>628</v>
      </c>
    </row>
    <row r="67" spans="1:5" ht="11.25" customHeight="1" x14ac:dyDescent="0.25">
      <c r="A67" s="8" t="s">
        <v>625</v>
      </c>
      <c r="B67" s="8" t="s">
        <v>626</v>
      </c>
      <c r="C67" s="8" t="s">
        <v>627</v>
      </c>
      <c r="D67" s="8">
        <v>1035</v>
      </c>
      <c r="E67" s="8" t="s">
        <v>628</v>
      </c>
    </row>
    <row r="68" spans="1:5" ht="11.25" customHeight="1" x14ac:dyDescent="0.25">
      <c r="A68" s="8" t="s">
        <v>625</v>
      </c>
      <c r="B68" s="8" t="s">
        <v>626</v>
      </c>
      <c r="C68" s="8" t="s">
        <v>627</v>
      </c>
      <c r="D68" s="8">
        <v>1036</v>
      </c>
      <c r="E68" s="8" t="s">
        <v>628</v>
      </c>
    </row>
    <row r="69" spans="1:5" ht="11.25" customHeight="1" x14ac:dyDescent="0.25">
      <c r="A69" s="8" t="s">
        <v>625</v>
      </c>
      <c r="B69" s="8" t="s">
        <v>626</v>
      </c>
      <c r="C69" s="8" t="s">
        <v>627</v>
      </c>
      <c r="D69" s="8">
        <v>1038</v>
      </c>
      <c r="E69" s="8" t="s">
        <v>628</v>
      </c>
    </row>
    <row r="70" spans="1:5" ht="11.25" customHeight="1" x14ac:dyDescent="0.25">
      <c r="A70" s="8" t="s">
        <v>625</v>
      </c>
      <c r="B70" s="8" t="s">
        <v>626</v>
      </c>
      <c r="C70" s="8" t="s">
        <v>627</v>
      </c>
      <c r="D70" s="8">
        <v>1039</v>
      </c>
      <c r="E70" s="8" t="s">
        <v>628</v>
      </c>
    </row>
    <row r="71" spans="1:5" ht="11.25" customHeight="1" x14ac:dyDescent="0.25">
      <c r="A71" s="8" t="s">
        <v>625</v>
      </c>
      <c r="B71" s="8" t="s">
        <v>626</v>
      </c>
      <c r="C71" s="8" t="s">
        <v>627</v>
      </c>
      <c r="D71" s="8">
        <v>1040</v>
      </c>
      <c r="E71" s="8" t="s">
        <v>628</v>
      </c>
    </row>
    <row r="72" spans="1:5" ht="11.25" customHeight="1" x14ac:dyDescent="0.25">
      <c r="A72" s="8" t="s">
        <v>625</v>
      </c>
      <c r="B72" s="8" t="s">
        <v>626</v>
      </c>
      <c r="C72" s="8" t="s">
        <v>627</v>
      </c>
      <c r="D72" s="8">
        <v>1042</v>
      </c>
      <c r="E72" s="8" t="s">
        <v>628</v>
      </c>
    </row>
    <row r="73" spans="1:5" ht="11.25" customHeight="1" x14ac:dyDescent="0.25">
      <c r="A73" s="8" t="s">
        <v>625</v>
      </c>
      <c r="B73" s="8" t="s">
        <v>626</v>
      </c>
      <c r="C73" s="8" t="s">
        <v>627</v>
      </c>
      <c r="D73" s="8">
        <v>1043</v>
      </c>
      <c r="E73" s="8" t="s">
        <v>628</v>
      </c>
    </row>
    <row r="74" spans="1:5" ht="11.25" customHeight="1" x14ac:dyDescent="0.25">
      <c r="A74" s="8" t="s">
        <v>625</v>
      </c>
      <c r="B74" s="8" t="s">
        <v>626</v>
      </c>
      <c r="C74" s="8" t="s">
        <v>627</v>
      </c>
      <c r="D74" s="8">
        <v>1045</v>
      </c>
      <c r="E74" s="8" t="s">
        <v>628</v>
      </c>
    </row>
    <row r="75" spans="1:5" ht="11.25" customHeight="1" x14ac:dyDescent="0.25">
      <c r="A75" s="8" t="s">
        <v>625</v>
      </c>
      <c r="B75" s="8" t="s">
        <v>626</v>
      </c>
      <c r="C75" s="8" t="s">
        <v>627</v>
      </c>
      <c r="D75" s="8">
        <v>1046</v>
      </c>
      <c r="E75" s="8" t="s">
        <v>628</v>
      </c>
    </row>
    <row r="76" spans="1:5" ht="11.25" customHeight="1" x14ac:dyDescent="0.25">
      <c r="A76" s="8" t="s">
        <v>625</v>
      </c>
      <c r="B76" s="8" t="s">
        <v>626</v>
      </c>
      <c r="C76" s="8" t="s">
        <v>627</v>
      </c>
      <c r="D76" s="8">
        <v>1047</v>
      </c>
      <c r="E76" s="8" t="s">
        <v>628</v>
      </c>
    </row>
    <row r="77" spans="1:5" ht="11.25" customHeight="1" x14ac:dyDescent="0.25">
      <c r="A77" s="8" t="s">
        <v>625</v>
      </c>
      <c r="B77" s="8" t="s">
        <v>626</v>
      </c>
      <c r="C77" s="8" t="s">
        <v>627</v>
      </c>
      <c r="D77" s="8">
        <v>1048</v>
      </c>
      <c r="E77" s="8" t="s">
        <v>628</v>
      </c>
    </row>
    <row r="78" spans="1:5" ht="11.25" customHeight="1" x14ac:dyDescent="0.25">
      <c r="A78" s="8" t="s">
        <v>625</v>
      </c>
      <c r="B78" s="8" t="s">
        <v>626</v>
      </c>
      <c r="C78" s="8" t="s">
        <v>627</v>
      </c>
      <c r="D78" s="8">
        <v>1121</v>
      </c>
      <c r="E78" s="8" t="s">
        <v>628</v>
      </c>
    </row>
    <row r="79" spans="1:5" ht="11.25" customHeight="1" x14ac:dyDescent="0.25">
      <c r="A79" s="8" t="s">
        <v>625</v>
      </c>
      <c r="B79" s="8" t="s">
        <v>626</v>
      </c>
      <c r="C79" s="8" t="s">
        <v>627</v>
      </c>
      <c r="D79" s="8">
        <v>1122</v>
      </c>
      <c r="E79" s="8" t="s">
        <v>628</v>
      </c>
    </row>
    <row r="80" spans="1:5" ht="11.25" customHeight="1" x14ac:dyDescent="0.25">
      <c r="A80" s="8" t="s">
        <v>625</v>
      </c>
      <c r="B80" s="8" t="s">
        <v>626</v>
      </c>
      <c r="C80" s="8" t="s">
        <v>627</v>
      </c>
      <c r="D80" s="8">
        <v>1123</v>
      </c>
      <c r="E80" s="8" t="s">
        <v>628</v>
      </c>
    </row>
    <row r="81" spans="1:5" ht="11.25" customHeight="1" x14ac:dyDescent="0.25">
      <c r="A81" s="8" t="s">
        <v>625</v>
      </c>
      <c r="B81" s="8" t="s">
        <v>626</v>
      </c>
      <c r="C81" s="8" t="s">
        <v>627</v>
      </c>
      <c r="D81" s="8">
        <v>1124</v>
      </c>
      <c r="E81" s="8" t="s">
        <v>628</v>
      </c>
    </row>
    <row r="82" spans="1:5" ht="11.25" customHeight="1" x14ac:dyDescent="0.25">
      <c r="A82" s="8" t="s">
        <v>625</v>
      </c>
      <c r="B82" s="8" t="s">
        <v>626</v>
      </c>
      <c r="C82" s="8" t="s">
        <v>627</v>
      </c>
      <c r="D82" s="8">
        <v>1125</v>
      </c>
      <c r="E82" s="8" t="s">
        <v>628</v>
      </c>
    </row>
    <row r="83" spans="1:5" ht="11.25" customHeight="1" x14ac:dyDescent="0.25">
      <c r="A83" s="8" t="s">
        <v>625</v>
      </c>
      <c r="B83" s="8" t="s">
        <v>626</v>
      </c>
      <c r="C83" s="8" t="s">
        <v>627</v>
      </c>
      <c r="D83" s="8">
        <v>1126</v>
      </c>
      <c r="E83" s="8" t="s">
        <v>628</v>
      </c>
    </row>
    <row r="84" spans="1:5" ht="11.25" customHeight="1" x14ac:dyDescent="0.25">
      <c r="A84" s="8" t="s">
        <v>625</v>
      </c>
      <c r="B84" s="8" t="s">
        <v>626</v>
      </c>
      <c r="C84" s="8" t="s">
        <v>627</v>
      </c>
      <c r="D84" s="8">
        <v>1127</v>
      </c>
      <c r="E84" s="8" t="s">
        <v>628</v>
      </c>
    </row>
    <row r="85" spans="1:5" ht="11.25" customHeight="1" x14ac:dyDescent="0.25">
      <c r="A85" s="8" t="s">
        <v>625</v>
      </c>
      <c r="B85" s="8" t="s">
        <v>626</v>
      </c>
      <c r="C85" s="8" t="s">
        <v>627</v>
      </c>
      <c r="D85" s="8">
        <v>1128</v>
      </c>
      <c r="E85" s="8" t="s">
        <v>628</v>
      </c>
    </row>
    <row r="86" spans="1:5" ht="11.25" customHeight="1" x14ac:dyDescent="0.25">
      <c r="A86" s="8" t="s">
        <v>625</v>
      </c>
      <c r="B86" s="8" t="s">
        <v>626</v>
      </c>
      <c r="C86" s="8" t="s">
        <v>627</v>
      </c>
      <c r="D86" s="8">
        <v>1129</v>
      </c>
      <c r="E86" s="8" t="s">
        <v>628</v>
      </c>
    </row>
    <row r="87" spans="1:5" ht="11.25" customHeight="1" x14ac:dyDescent="0.25">
      <c r="A87" s="8" t="s">
        <v>625</v>
      </c>
      <c r="B87" s="8" t="s">
        <v>626</v>
      </c>
      <c r="C87" s="8" t="s">
        <v>627</v>
      </c>
      <c r="D87" s="8">
        <v>1130</v>
      </c>
      <c r="E87" s="8" t="s">
        <v>628</v>
      </c>
    </row>
    <row r="88" spans="1:5" ht="11.25" customHeight="1" x14ac:dyDescent="0.25">
      <c r="A88" s="8" t="s">
        <v>625</v>
      </c>
      <c r="B88" s="8" t="s">
        <v>626</v>
      </c>
      <c r="C88" s="8" t="s">
        <v>627</v>
      </c>
      <c r="D88" s="8">
        <v>1131</v>
      </c>
      <c r="E88" s="8" t="s">
        <v>628</v>
      </c>
    </row>
    <row r="89" spans="1:5" ht="11.25" customHeight="1" x14ac:dyDescent="0.25">
      <c r="A89" s="8" t="s">
        <v>625</v>
      </c>
      <c r="B89" s="8" t="s">
        <v>626</v>
      </c>
      <c r="C89" s="8" t="s">
        <v>627</v>
      </c>
      <c r="D89" s="8">
        <v>1132</v>
      </c>
      <c r="E89" s="8" t="s">
        <v>628</v>
      </c>
    </row>
    <row r="90" spans="1:5" ht="11.25" customHeight="1" x14ac:dyDescent="0.25">
      <c r="A90" s="8" t="s">
        <v>625</v>
      </c>
      <c r="B90" s="8" t="s">
        <v>626</v>
      </c>
      <c r="C90" s="8" t="s">
        <v>627</v>
      </c>
      <c r="D90" s="8">
        <v>1133</v>
      </c>
      <c r="E90" s="8" t="s">
        <v>628</v>
      </c>
    </row>
    <row r="91" spans="1:5" ht="11.25" customHeight="1" x14ac:dyDescent="0.25">
      <c r="A91" s="8" t="s">
        <v>625</v>
      </c>
      <c r="B91" s="8" t="s">
        <v>626</v>
      </c>
      <c r="C91" s="8" t="s">
        <v>627</v>
      </c>
      <c r="D91" s="8">
        <v>1134</v>
      </c>
      <c r="E91" s="8" t="s">
        <v>628</v>
      </c>
    </row>
    <row r="92" spans="1:5" ht="11.25" customHeight="1" x14ac:dyDescent="0.25">
      <c r="A92" s="8" t="s">
        <v>625</v>
      </c>
      <c r="B92" s="8" t="s">
        <v>626</v>
      </c>
      <c r="C92" s="8" t="s">
        <v>627</v>
      </c>
      <c r="D92" s="8">
        <v>1135</v>
      </c>
      <c r="E92" s="8" t="s">
        <v>628</v>
      </c>
    </row>
    <row r="93" spans="1:5" ht="11.25" customHeight="1" x14ac:dyDescent="0.25">
      <c r="A93" s="8" t="s">
        <v>625</v>
      </c>
      <c r="B93" s="8" t="s">
        <v>626</v>
      </c>
      <c r="C93" s="8" t="s">
        <v>627</v>
      </c>
      <c r="D93" s="8">
        <v>1136</v>
      </c>
      <c r="E93" s="8" t="s">
        <v>628</v>
      </c>
    </row>
    <row r="94" spans="1:5" ht="11.25" customHeight="1" x14ac:dyDescent="0.25">
      <c r="A94" s="8" t="s">
        <v>625</v>
      </c>
      <c r="B94" s="8" t="s">
        <v>626</v>
      </c>
      <c r="C94" s="8" t="s">
        <v>627</v>
      </c>
      <c r="D94" s="8">
        <v>1137</v>
      </c>
      <c r="E94" s="8" t="s">
        <v>628</v>
      </c>
    </row>
    <row r="95" spans="1:5" ht="11.25" customHeight="1" x14ac:dyDescent="0.25">
      <c r="A95" s="8" t="s">
        <v>625</v>
      </c>
      <c r="B95" s="8" t="s">
        <v>626</v>
      </c>
      <c r="C95" s="8" t="s">
        <v>627</v>
      </c>
      <c r="D95" s="8">
        <v>1138</v>
      </c>
      <c r="E95" s="8" t="s">
        <v>628</v>
      </c>
    </row>
    <row r="96" spans="1:5" ht="11.25" customHeight="1" x14ac:dyDescent="0.25">
      <c r="A96" s="8" t="s">
        <v>625</v>
      </c>
      <c r="B96" s="8" t="s">
        <v>626</v>
      </c>
      <c r="C96" s="8" t="s">
        <v>627</v>
      </c>
      <c r="D96" s="8">
        <v>1139</v>
      </c>
      <c r="E96" s="8" t="s">
        <v>628</v>
      </c>
    </row>
    <row r="97" spans="1:5" ht="11.25" customHeight="1" x14ac:dyDescent="0.25">
      <c r="A97" s="8" t="s">
        <v>625</v>
      </c>
      <c r="B97" s="8" t="s">
        <v>626</v>
      </c>
      <c r="C97" s="8" t="s">
        <v>627</v>
      </c>
      <c r="D97" s="8">
        <v>1140</v>
      </c>
      <c r="E97" s="8" t="s">
        <v>628</v>
      </c>
    </row>
    <row r="98" spans="1:5" ht="11.25" customHeight="1" x14ac:dyDescent="0.25">
      <c r="A98" s="8" t="s">
        <v>625</v>
      </c>
      <c r="B98" s="8" t="s">
        <v>626</v>
      </c>
      <c r="C98" s="8" t="s">
        <v>627</v>
      </c>
      <c r="D98" s="8">
        <v>1141</v>
      </c>
      <c r="E98" s="8" t="s">
        <v>628</v>
      </c>
    </row>
    <row r="99" spans="1:5" ht="11.25" customHeight="1" x14ac:dyDescent="0.25">
      <c r="A99" s="8" t="s">
        <v>625</v>
      </c>
      <c r="B99" s="8" t="s">
        <v>626</v>
      </c>
      <c r="C99" s="8" t="s">
        <v>627</v>
      </c>
      <c r="D99" s="8">
        <v>1142</v>
      </c>
      <c r="E99" s="8" t="s">
        <v>628</v>
      </c>
    </row>
    <row r="100" spans="1:5" ht="11.25" customHeight="1" x14ac:dyDescent="0.25">
      <c r="A100" s="8" t="s">
        <v>625</v>
      </c>
      <c r="B100" s="8" t="s">
        <v>626</v>
      </c>
      <c r="C100" s="8" t="s">
        <v>627</v>
      </c>
      <c r="D100" s="8">
        <v>1143</v>
      </c>
      <c r="E100" s="8" t="s">
        <v>628</v>
      </c>
    </row>
    <row r="101" spans="1:5" ht="11.25" customHeight="1" x14ac:dyDescent="0.25">
      <c r="A101" s="8" t="s">
        <v>625</v>
      </c>
      <c r="B101" s="8" t="s">
        <v>626</v>
      </c>
      <c r="C101" s="8" t="s">
        <v>627</v>
      </c>
      <c r="D101" s="8">
        <v>1144</v>
      </c>
      <c r="E101" s="8" t="s">
        <v>628</v>
      </c>
    </row>
    <row r="102" spans="1:5" ht="11.25" customHeight="1" x14ac:dyDescent="0.25">
      <c r="A102" s="8" t="s">
        <v>625</v>
      </c>
      <c r="B102" s="8" t="s">
        <v>626</v>
      </c>
      <c r="C102" s="8" t="s">
        <v>627</v>
      </c>
      <c r="D102" s="8">
        <v>1145</v>
      </c>
      <c r="E102" s="8" t="s">
        <v>628</v>
      </c>
    </row>
    <row r="103" spans="1:5" ht="11.25" customHeight="1" x14ac:dyDescent="0.25">
      <c r="A103" s="8" t="s">
        <v>625</v>
      </c>
      <c r="B103" s="8" t="s">
        <v>626</v>
      </c>
      <c r="C103" s="8" t="s">
        <v>627</v>
      </c>
      <c r="D103" s="8">
        <v>1146</v>
      </c>
      <c r="E103" s="8" t="s">
        <v>628</v>
      </c>
    </row>
    <row r="104" spans="1:5" ht="11.25" customHeight="1" x14ac:dyDescent="0.25">
      <c r="A104" s="8" t="s">
        <v>625</v>
      </c>
      <c r="B104" s="8" t="s">
        <v>626</v>
      </c>
      <c r="C104" s="8" t="s">
        <v>627</v>
      </c>
      <c r="D104" s="8">
        <v>1240</v>
      </c>
      <c r="E104" s="8" t="s">
        <v>628</v>
      </c>
    </row>
    <row r="105" spans="1:5" ht="11.25" customHeight="1" x14ac:dyDescent="0.25">
      <c r="A105" s="8" t="s">
        <v>625</v>
      </c>
      <c r="B105" s="8" t="s">
        <v>626</v>
      </c>
      <c r="C105" s="8" t="s">
        <v>627</v>
      </c>
      <c r="D105" s="8">
        <v>1241</v>
      </c>
      <c r="E105" s="8" t="s">
        <v>628</v>
      </c>
    </row>
    <row r="106" spans="1:5" ht="11.25" customHeight="1" x14ac:dyDescent="0.25">
      <c r="A106" s="8" t="s">
        <v>625</v>
      </c>
      <c r="B106" s="8" t="s">
        <v>626</v>
      </c>
      <c r="C106" s="8" t="s">
        <v>627</v>
      </c>
      <c r="D106" s="8">
        <v>1242</v>
      </c>
      <c r="E106" s="8" t="s">
        <v>628</v>
      </c>
    </row>
    <row r="107" spans="1:5" ht="11.25" customHeight="1" x14ac:dyDescent="0.25">
      <c r="A107" s="8" t="s">
        <v>625</v>
      </c>
      <c r="B107" s="8" t="s">
        <v>626</v>
      </c>
      <c r="C107" s="8" t="s">
        <v>627</v>
      </c>
      <c r="D107" s="8">
        <v>1243</v>
      </c>
      <c r="E107" s="8" t="s">
        <v>628</v>
      </c>
    </row>
    <row r="108" spans="1:5" ht="11.25" customHeight="1" x14ac:dyDescent="0.25">
      <c r="A108" s="8" t="s">
        <v>625</v>
      </c>
      <c r="B108" s="8" t="s">
        <v>626</v>
      </c>
      <c r="C108" s="8" t="s">
        <v>627</v>
      </c>
      <c r="D108" s="8">
        <v>1244</v>
      </c>
      <c r="E108" s="8" t="s">
        <v>628</v>
      </c>
    </row>
    <row r="109" spans="1:5" ht="11.25" customHeight="1" x14ac:dyDescent="0.25">
      <c r="A109" s="8" t="s">
        <v>625</v>
      </c>
      <c r="B109" s="8" t="s">
        <v>626</v>
      </c>
      <c r="C109" s="8" t="s">
        <v>627</v>
      </c>
      <c r="D109" s="8">
        <v>1245</v>
      </c>
      <c r="E109" s="8" t="s">
        <v>628</v>
      </c>
    </row>
    <row r="110" spans="1:5" ht="11.25" customHeight="1" x14ac:dyDescent="0.25">
      <c r="A110" s="8" t="s">
        <v>625</v>
      </c>
      <c r="B110" s="8" t="s">
        <v>626</v>
      </c>
      <c r="C110" s="8" t="s">
        <v>627</v>
      </c>
      <c r="D110" s="8">
        <v>1246</v>
      </c>
      <c r="E110" s="8" t="s">
        <v>628</v>
      </c>
    </row>
    <row r="111" spans="1:5" ht="11.25" customHeight="1" x14ac:dyDescent="0.25">
      <c r="A111" s="8" t="s">
        <v>625</v>
      </c>
      <c r="B111" s="8" t="s">
        <v>626</v>
      </c>
      <c r="C111" s="8" t="s">
        <v>627</v>
      </c>
      <c r="D111" s="8">
        <v>1247</v>
      </c>
      <c r="E111" s="8" t="s">
        <v>628</v>
      </c>
    </row>
    <row r="112" spans="1:5" ht="11.25" customHeight="1" x14ac:dyDescent="0.25">
      <c r="A112" s="8" t="s">
        <v>625</v>
      </c>
      <c r="B112" s="8" t="s">
        <v>626</v>
      </c>
      <c r="C112" s="8" t="s">
        <v>627</v>
      </c>
      <c r="D112" s="8">
        <v>1248</v>
      </c>
      <c r="E112" s="8" t="s">
        <v>628</v>
      </c>
    </row>
    <row r="113" spans="1:5" ht="11.25" customHeight="1" x14ac:dyDescent="0.25">
      <c r="A113" s="8" t="s">
        <v>625</v>
      </c>
      <c r="B113" s="8" t="s">
        <v>626</v>
      </c>
      <c r="C113" s="8" t="s">
        <v>627</v>
      </c>
      <c r="D113" s="8">
        <v>1249</v>
      </c>
      <c r="E113" s="8" t="s">
        <v>628</v>
      </c>
    </row>
    <row r="114" spans="1:5" ht="11.25" customHeight="1" x14ac:dyDescent="0.25">
      <c r="A114" s="8" t="s">
        <v>625</v>
      </c>
      <c r="B114" s="8" t="s">
        <v>626</v>
      </c>
      <c r="C114" s="8" t="s">
        <v>627</v>
      </c>
      <c r="D114" s="8">
        <v>1250</v>
      </c>
      <c r="E114" s="8" t="s">
        <v>628</v>
      </c>
    </row>
    <row r="115" spans="1:5" ht="11.25" customHeight="1" x14ac:dyDescent="0.25">
      <c r="A115" s="8" t="s">
        <v>625</v>
      </c>
      <c r="B115" s="8" t="s">
        <v>626</v>
      </c>
      <c r="C115" s="8" t="s">
        <v>627</v>
      </c>
      <c r="D115" s="8">
        <v>1251</v>
      </c>
      <c r="E115" s="8" t="s">
        <v>628</v>
      </c>
    </row>
    <row r="116" spans="1:5" ht="11.25" customHeight="1" x14ac:dyDescent="0.25">
      <c r="A116" s="8" t="s">
        <v>625</v>
      </c>
      <c r="B116" s="8" t="s">
        <v>626</v>
      </c>
      <c r="C116" s="8" t="s">
        <v>627</v>
      </c>
      <c r="D116" s="8">
        <v>1252</v>
      </c>
      <c r="E116" s="8" t="s">
        <v>628</v>
      </c>
    </row>
    <row r="117" spans="1:5" ht="11.25" customHeight="1" x14ac:dyDescent="0.25">
      <c r="A117" s="8" t="s">
        <v>625</v>
      </c>
      <c r="B117" s="8" t="s">
        <v>626</v>
      </c>
      <c r="C117" s="8" t="s">
        <v>627</v>
      </c>
      <c r="D117" s="8">
        <v>1253</v>
      </c>
      <c r="E117" s="8" t="s">
        <v>628</v>
      </c>
    </row>
    <row r="118" spans="1:5" ht="11.25" customHeight="1" x14ac:dyDescent="0.25">
      <c r="A118" s="8" t="s">
        <v>625</v>
      </c>
      <c r="B118" s="8" t="s">
        <v>626</v>
      </c>
      <c r="C118" s="8" t="s">
        <v>627</v>
      </c>
      <c r="D118" s="8">
        <v>1254</v>
      </c>
      <c r="E118" s="8" t="s">
        <v>628</v>
      </c>
    </row>
    <row r="119" spans="1:5" ht="11.25" customHeight="1" x14ac:dyDescent="0.25">
      <c r="A119" s="8" t="s">
        <v>625</v>
      </c>
      <c r="B119" s="8" t="s">
        <v>626</v>
      </c>
      <c r="C119" s="8" t="s">
        <v>627</v>
      </c>
      <c r="D119" s="8">
        <v>1255</v>
      </c>
      <c r="E119" s="8" t="s">
        <v>628</v>
      </c>
    </row>
    <row r="120" spans="1:5" ht="11.25" customHeight="1" x14ac:dyDescent="0.25">
      <c r="A120" s="8" t="s">
        <v>625</v>
      </c>
      <c r="B120" s="8" t="s">
        <v>626</v>
      </c>
      <c r="C120" s="8" t="s">
        <v>627</v>
      </c>
      <c r="D120" s="8">
        <v>1256</v>
      </c>
      <c r="E120" s="8" t="s">
        <v>628</v>
      </c>
    </row>
    <row r="121" spans="1:5" ht="11.25" customHeight="1" x14ac:dyDescent="0.25">
      <c r="A121" s="8" t="s">
        <v>625</v>
      </c>
      <c r="B121" s="8" t="s">
        <v>626</v>
      </c>
      <c r="C121" s="8" t="s">
        <v>627</v>
      </c>
      <c r="D121" s="8">
        <v>1257</v>
      </c>
      <c r="E121" s="8" t="s">
        <v>628</v>
      </c>
    </row>
    <row r="122" spans="1:5" ht="11.25" customHeight="1" x14ac:dyDescent="0.25">
      <c r="A122" s="8" t="s">
        <v>625</v>
      </c>
      <c r="B122" s="8" t="s">
        <v>626</v>
      </c>
      <c r="C122" s="8" t="s">
        <v>627</v>
      </c>
      <c r="D122" s="8">
        <v>1258</v>
      </c>
      <c r="E122" s="8" t="s">
        <v>628</v>
      </c>
    </row>
    <row r="123" spans="1:5" ht="11.25" customHeight="1" x14ac:dyDescent="0.25">
      <c r="A123" s="8" t="s">
        <v>625</v>
      </c>
      <c r="B123" s="8" t="s">
        <v>626</v>
      </c>
      <c r="C123" s="8" t="s">
        <v>627</v>
      </c>
      <c r="D123" s="8">
        <v>1259</v>
      </c>
      <c r="E123" s="8" t="s">
        <v>628</v>
      </c>
    </row>
    <row r="124" spans="1:5" ht="11.25" customHeight="1" x14ac:dyDescent="0.25">
      <c r="A124" s="8" t="s">
        <v>625</v>
      </c>
      <c r="B124" s="8" t="s">
        <v>626</v>
      </c>
      <c r="C124" s="8" t="s">
        <v>627</v>
      </c>
      <c r="D124" s="8">
        <v>1260</v>
      </c>
      <c r="E124" s="8" t="s">
        <v>628</v>
      </c>
    </row>
    <row r="125" spans="1:5" ht="11.25" customHeight="1" x14ac:dyDescent="0.25">
      <c r="A125" s="8" t="s">
        <v>625</v>
      </c>
      <c r="B125" s="8" t="s">
        <v>626</v>
      </c>
      <c r="C125" s="8" t="s">
        <v>627</v>
      </c>
      <c r="D125" s="8">
        <v>1261</v>
      </c>
      <c r="E125" s="8" t="s">
        <v>628</v>
      </c>
    </row>
    <row r="126" spans="1:5" ht="11.25" customHeight="1" x14ac:dyDescent="0.25">
      <c r="A126" s="8" t="s">
        <v>625</v>
      </c>
      <c r="B126" s="8" t="s">
        <v>626</v>
      </c>
      <c r="C126" s="8" t="s">
        <v>627</v>
      </c>
      <c r="D126" s="8">
        <v>1262</v>
      </c>
      <c r="E126" s="8" t="s">
        <v>628</v>
      </c>
    </row>
    <row r="127" spans="1:5" ht="11.25" customHeight="1" x14ac:dyDescent="0.25">
      <c r="A127" s="8" t="s">
        <v>625</v>
      </c>
      <c r="B127" s="8" t="s">
        <v>626</v>
      </c>
      <c r="C127" s="8" t="s">
        <v>627</v>
      </c>
      <c r="D127" s="8">
        <v>1263</v>
      </c>
      <c r="E127" s="8" t="s">
        <v>628</v>
      </c>
    </row>
    <row r="128" spans="1:5" ht="11.25" customHeight="1" x14ac:dyDescent="0.25">
      <c r="A128" s="8" t="s">
        <v>625</v>
      </c>
      <c r="B128" s="8" t="s">
        <v>626</v>
      </c>
      <c r="C128" s="8" t="s">
        <v>627</v>
      </c>
      <c r="D128" s="8">
        <v>1264</v>
      </c>
      <c r="E128" s="8" t="s">
        <v>628</v>
      </c>
    </row>
    <row r="129" spans="1:5" ht="11.25" customHeight="1" x14ac:dyDescent="0.25">
      <c r="A129" s="8" t="s">
        <v>625</v>
      </c>
      <c r="B129" s="8" t="s">
        <v>626</v>
      </c>
      <c r="C129" s="8" t="s">
        <v>627</v>
      </c>
      <c r="D129" s="8">
        <v>1265</v>
      </c>
      <c r="E129" s="8" t="s">
        <v>628</v>
      </c>
    </row>
    <row r="130" spans="1:5" ht="11.25" customHeight="1" x14ac:dyDescent="0.25">
      <c r="A130" s="8" t="s">
        <v>625</v>
      </c>
      <c r="B130" s="8" t="s">
        <v>626</v>
      </c>
      <c r="C130" s="8" t="s">
        <v>627</v>
      </c>
      <c r="D130" s="8">
        <v>1266</v>
      </c>
      <c r="E130" s="8" t="s">
        <v>628</v>
      </c>
    </row>
    <row r="131" spans="1:5" ht="11.25" customHeight="1" x14ac:dyDescent="0.25">
      <c r="A131" s="8" t="s">
        <v>625</v>
      </c>
      <c r="B131" s="8" t="s">
        <v>626</v>
      </c>
      <c r="C131" s="8" t="s">
        <v>627</v>
      </c>
      <c r="D131" s="8">
        <v>1267</v>
      </c>
      <c r="E131" s="8" t="s">
        <v>628</v>
      </c>
    </row>
    <row r="132" spans="1:5" ht="11.25" customHeight="1" x14ac:dyDescent="0.25">
      <c r="A132" s="8" t="s">
        <v>625</v>
      </c>
      <c r="B132" s="8" t="s">
        <v>626</v>
      </c>
      <c r="C132" s="8" t="s">
        <v>627</v>
      </c>
      <c r="D132" s="8">
        <v>1268</v>
      </c>
      <c r="E132" s="8" t="s">
        <v>628</v>
      </c>
    </row>
    <row r="133" spans="1:5" ht="11.25" customHeight="1" x14ac:dyDescent="0.25">
      <c r="A133" s="8" t="s">
        <v>625</v>
      </c>
      <c r="B133" s="8" t="s">
        <v>626</v>
      </c>
      <c r="C133" s="8" t="s">
        <v>627</v>
      </c>
      <c r="D133" s="8">
        <v>1269</v>
      </c>
      <c r="E133" s="8" t="s">
        <v>628</v>
      </c>
    </row>
    <row r="134" spans="1:5" ht="11.25" customHeight="1" x14ac:dyDescent="0.25">
      <c r="A134" s="8" t="s">
        <v>625</v>
      </c>
      <c r="B134" s="8" t="s">
        <v>626</v>
      </c>
      <c r="C134" s="8" t="s">
        <v>627</v>
      </c>
      <c r="D134" s="8">
        <v>1270</v>
      </c>
      <c r="E134" s="8" t="s">
        <v>628</v>
      </c>
    </row>
    <row r="135" spans="1:5" ht="11.25" customHeight="1" x14ac:dyDescent="0.25">
      <c r="A135" s="8" t="s">
        <v>625</v>
      </c>
      <c r="B135" s="8" t="s">
        <v>626</v>
      </c>
      <c r="C135" s="8" t="s">
        <v>627</v>
      </c>
      <c r="D135" s="8">
        <v>1271</v>
      </c>
      <c r="E135" s="8" t="s">
        <v>628</v>
      </c>
    </row>
    <row r="136" spans="1:5" ht="11.25" customHeight="1" x14ac:dyDescent="0.25">
      <c r="A136" s="8" t="s">
        <v>625</v>
      </c>
      <c r="B136" s="8" t="s">
        <v>626</v>
      </c>
      <c r="C136" s="8" t="s">
        <v>627</v>
      </c>
      <c r="D136" s="8">
        <v>1272</v>
      </c>
      <c r="E136" s="8" t="s">
        <v>628</v>
      </c>
    </row>
    <row r="137" spans="1:5" ht="11.25" customHeight="1" x14ac:dyDescent="0.25">
      <c r="A137" s="8" t="s">
        <v>625</v>
      </c>
      <c r="B137" s="8" t="s">
        <v>626</v>
      </c>
      <c r="C137" s="8" t="s">
        <v>627</v>
      </c>
      <c r="D137" s="8">
        <v>1273</v>
      </c>
      <c r="E137" s="8" t="s">
        <v>628</v>
      </c>
    </row>
    <row r="138" spans="1:5" ht="11.25" customHeight="1" x14ac:dyDescent="0.25">
      <c r="A138" s="8" t="s">
        <v>625</v>
      </c>
      <c r="B138" s="8" t="s">
        <v>626</v>
      </c>
      <c r="C138" s="8" t="s">
        <v>627</v>
      </c>
      <c r="D138" s="8">
        <v>1274</v>
      </c>
      <c r="E138" s="8" t="s">
        <v>628</v>
      </c>
    </row>
    <row r="139" spans="1:5" ht="11.25" customHeight="1" x14ac:dyDescent="0.25">
      <c r="A139" s="8" t="s">
        <v>625</v>
      </c>
      <c r="B139" s="8" t="s">
        <v>626</v>
      </c>
      <c r="C139" s="8" t="s">
        <v>627</v>
      </c>
      <c r="D139" s="8">
        <v>1275</v>
      </c>
      <c r="E139" s="8" t="s">
        <v>628</v>
      </c>
    </row>
    <row r="140" spans="1:5" ht="11.25" customHeight="1" x14ac:dyDescent="0.25">
      <c r="A140" s="8" t="s">
        <v>625</v>
      </c>
      <c r="B140" s="8" t="s">
        <v>626</v>
      </c>
      <c r="C140" s="8" t="s">
        <v>627</v>
      </c>
      <c r="D140" s="8">
        <v>1332</v>
      </c>
      <c r="E140" s="8" t="s">
        <v>628</v>
      </c>
    </row>
    <row r="141" spans="1:5" ht="11.25" customHeight="1" x14ac:dyDescent="0.25">
      <c r="A141" s="8" t="s">
        <v>625</v>
      </c>
      <c r="B141" s="8" t="s">
        <v>626</v>
      </c>
      <c r="C141" s="8" t="s">
        <v>627</v>
      </c>
      <c r="D141" s="8">
        <v>1333</v>
      </c>
      <c r="E141" s="8" t="s">
        <v>628</v>
      </c>
    </row>
    <row r="142" spans="1:5" ht="11.25" customHeight="1" x14ac:dyDescent="0.25">
      <c r="A142" s="8" t="s">
        <v>625</v>
      </c>
      <c r="B142" s="8" t="s">
        <v>626</v>
      </c>
      <c r="C142" s="8" t="s">
        <v>627</v>
      </c>
      <c r="D142" s="8">
        <v>1334</v>
      </c>
      <c r="E142" s="8" t="s">
        <v>628</v>
      </c>
    </row>
    <row r="143" spans="1:5" ht="11.25" customHeight="1" x14ac:dyDescent="0.25">
      <c r="A143" s="8" t="s">
        <v>625</v>
      </c>
      <c r="B143" s="8" t="s">
        <v>626</v>
      </c>
      <c r="C143" s="8" t="s">
        <v>627</v>
      </c>
      <c r="D143" s="8">
        <v>1335</v>
      </c>
      <c r="E143" s="8" t="s">
        <v>628</v>
      </c>
    </row>
    <row r="144" spans="1:5" ht="11.25" customHeight="1" x14ac:dyDescent="0.25">
      <c r="A144" s="8" t="s">
        <v>625</v>
      </c>
      <c r="B144" s="8" t="s">
        <v>626</v>
      </c>
      <c r="C144" s="8" t="s">
        <v>627</v>
      </c>
      <c r="D144" s="8">
        <v>1336</v>
      </c>
      <c r="E144" s="8" t="s">
        <v>628</v>
      </c>
    </row>
    <row r="145" spans="1:5" ht="11.25" customHeight="1" x14ac:dyDescent="0.25">
      <c r="A145" s="8" t="s">
        <v>625</v>
      </c>
      <c r="B145" s="8" t="s">
        <v>626</v>
      </c>
      <c r="C145" s="8" t="s">
        <v>627</v>
      </c>
      <c r="D145" s="8">
        <v>1337</v>
      </c>
      <c r="E145" s="8" t="s">
        <v>628</v>
      </c>
    </row>
    <row r="146" spans="1:5" ht="11.25" customHeight="1" x14ac:dyDescent="0.25">
      <c r="A146" s="8" t="s">
        <v>625</v>
      </c>
      <c r="B146" s="8" t="s">
        <v>626</v>
      </c>
      <c r="C146" s="8" t="s">
        <v>627</v>
      </c>
      <c r="D146" s="8">
        <v>1338</v>
      </c>
      <c r="E146" s="8" t="s">
        <v>628</v>
      </c>
    </row>
    <row r="147" spans="1:5" ht="11.25" customHeight="1" x14ac:dyDescent="0.25">
      <c r="A147" s="8" t="s">
        <v>625</v>
      </c>
      <c r="B147" s="8" t="s">
        <v>626</v>
      </c>
      <c r="C147" s="8" t="s">
        <v>627</v>
      </c>
      <c r="D147" s="8">
        <v>1339</v>
      </c>
      <c r="E147" s="8" t="s">
        <v>628</v>
      </c>
    </row>
    <row r="148" spans="1:5" ht="11.25" customHeight="1" x14ac:dyDescent="0.25">
      <c r="A148" s="8" t="s">
        <v>625</v>
      </c>
      <c r="B148" s="8" t="s">
        <v>626</v>
      </c>
      <c r="C148" s="8" t="s">
        <v>627</v>
      </c>
      <c r="D148" s="8">
        <v>1340</v>
      </c>
      <c r="E148" s="8" t="s">
        <v>628</v>
      </c>
    </row>
    <row r="149" spans="1:5" ht="11.25" customHeight="1" x14ac:dyDescent="0.25">
      <c r="A149" s="8" t="s">
        <v>625</v>
      </c>
      <c r="B149" s="8" t="s">
        <v>626</v>
      </c>
      <c r="C149" s="8" t="s">
        <v>627</v>
      </c>
      <c r="D149" s="8">
        <v>1341</v>
      </c>
      <c r="E149" s="8" t="s">
        <v>628</v>
      </c>
    </row>
    <row r="150" spans="1:5" ht="11.25" customHeight="1" x14ac:dyDescent="0.25">
      <c r="A150" s="8" t="s">
        <v>625</v>
      </c>
      <c r="B150" s="8" t="s">
        <v>626</v>
      </c>
      <c r="C150" s="8" t="s">
        <v>627</v>
      </c>
      <c r="D150" s="8">
        <v>1342</v>
      </c>
      <c r="E150" s="8" t="s">
        <v>628</v>
      </c>
    </row>
    <row r="151" spans="1:5" ht="11.25" customHeight="1" x14ac:dyDescent="0.25">
      <c r="A151" s="8" t="s">
        <v>625</v>
      </c>
      <c r="B151" s="8" t="s">
        <v>626</v>
      </c>
      <c r="C151" s="8" t="s">
        <v>627</v>
      </c>
      <c r="D151" s="8">
        <v>1343</v>
      </c>
      <c r="E151" s="8" t="s">
        <v>628</v>
      </c>
    </row>
    <row r="152" spans="1:5" ht="11.25" customHeight="1" x14ac:dyDescent="0.25">
      <c r="A152" s="8" t="s">
        <v>625</v>
      </c>
      <c r="B152" s="8" t="s">
        <v>626</v>
      </c>
      <c r="C152" s="8" t="s">
        <v>627</v>
      </c>
      <c r="D152" s="8">
        <v>1344</v>
      </c>
      <c r="E152" s="8" t="s">
        <v>628</v>
      </c>
    </row>
    <row r="153" spans="1:5" ht="11.25" customHeight="1" x14ac:dyDescent="0.25">
      <c r="A153" s="8" t="s">
        <v>625</v>
      </c>
      <c r="B153" s="8" t="s">
        <v>626</v>
      </c>
      <c r="C153" s="8" t="s">
        <v>627</v>
      </c>
      <c r="D153" s="8">
        <v>1345</v>
      </c>
      <c r="E153" s="8" t="s">
        <v>628</v>
      </c>
    </row>
    <row r="154" spans="1:5" ht="11.25" customHeight="1" x14ac:dyDescent="0.25">
      <c r="A154" s="8" t="s">
        <v>625</v>
      </c>
      <c r="B154" s="8" t="s">
        <v>626</v>
      </c>
      <c r="C154" s="8" t="s">
        <v>627</v>
      </c>
      <c r="D154" s="8">
        <v>1346</v>
      </c>
      <c r="E154" s="8" t="s">
        <v>628</v>
      </c>
    </row>
    <row r="155" spans="1:5" ht="11.25" customHeight="1" x14ac:dyDescent="0.25">
      <c r="A155" s="8" t="s">
        <v>625</v>
      </c>
      <c r="B155" s="8" t="s">
        <v>626</v>
      </c>
      <c r="C155" s="8" t="s">
        <v>627</v>
      </c>
      <c r="D155" s="8">
        <v>1347</v>
      </c>
      <c r="E155" s="8" t="s">
        <v>628</v>
      </c>
    </row>
    <row r="156" spans="1:5" ht="11.25" customHeight="1" x14ac:dyDescent="0.25">
      <c r="A156" s="8" t="s">
        <v>625</v>
      </c>
      <c r="B156" s="8" t="s">
        <v>626</v>
      </c>
      <c r="C156" s="8" t="s">
        <v>627</v>
      </c>
      <c r="D156" s="8">
        <v>1348</v>
      </c>
      <c r="E156" s="8" t="s">
        <v>628</v>
      </c>
    </row>
    <row r="157" spans="1:5" ht="11.25" customHeight="1" x14ac:dyDescent="0.25">
      <c r="A157" s="8" t="s">
        <v>625</v>
      </c>
      <c r="B157" s="8" t="s">
        <v>626</v>
      </c>
      <c r="C157" s="8" t="s">
        <v>627</v>
      </c>
      <c r="D157" s="8">
        <v>1349</v>
      </c>
      <c r="E157" s="8" t="s">
        <v>628</v>
      </c>
    </row>
    <row r="158" spans="1:5" ht="11.25" customHeight="1" x14ac:dyDescent="0.25">
      <c r="A158" s="8" t="s">
        <v>625</v>
      </c>
      <c r="B158" s="8" t="s">
        <v>626</v>
      </c>
      <c r="C158" s="8" t="s">
        <v>627</v>
      </c>
      <c r="D158" s="8">
        <v>1350</v>
      </c>
      <c r="E158" s="8" t="s">
        <v>628</v>
      </c>
    </row>
    <row r="159" spans="1:5" ht="11.25" customHeight="1" x14ac:dyDescent="0.25">
      <c r="A159" s="8" t="s">
        <v>625</v>
      </c>
      <c r="B159" s="8" t="s">
        <v>626</v>
      </c>
      <c r="C159" s="8" t="s">
        <v>627</v>
      </c>
      <c r="D159" s="8">
        <v>1351</v>
      </c>
      <c r="E159" s="8" t="s">
        <v>628</v>
      </c>
    </row>
    <row r="160" spans="1:5" ht="11.25" customHeight="1" x14ac:dyDescent="0.25">
      <c r="A160" s="8" t="s">
        <v>625</v>
      </c>
      <c r="B160" s="8" t="s">
        <v>626</v>
      </c>
      <c r="C160" s="8" t="s">
        <v>627</v>
      </c>
      <c r="D160" s="8">
        <v>1352</v>
      </c>
      <c r="E160" s="8" t="s">
        <v>628</v>
      </c>
    </row>
    <row r="161" spans="1:5" ht="11.25" customHeight="1" x14ac:dyDescent="0.25">
      <c r="A161" s="8" t="s">
        <v>625</v>
      </c>
      <c r="B161" s="8" t="s">
        <v>626</v>
      </c>
      <c r="C161" s="8" t="s">
        <v>627</v>
      </c>
      <c r="D161" s="8">
        <v>1353</v>
      </c>
      <c r="E161" s="8" t="s">
        <v>628</v>
      </c>
    </row>
    <row r="162" spans="1:5" ht="11.25" customHeight="1" x14ac:dyDescent="0.25">
      <c r="A162" s="8" t="s">
        <v>625</v>
      </c>
      <c r="B162" s="8" t="s">
        <v>626</v>
      </c>
      <c r="C162" s="8" t="s">
        <v>627</v>
      </c>
      <c r="D162" s="8">
        <v>1354</v>
      </c>
      <c r="E162" s="8" t="s">
        <v>628</v>
      </c>
    </row>
    <row r="163" spans="1:5" ht="11.25" customHeight="1" x14ac:dyDescent="0.25">
      <c r="A163" s="8" t="s">
        <v>625</v>
      </c>
      <c r="B163" s="8" t="s">
        <v>626</v>
      </c>
      <c r="C163" s="8" t="s">
        <v>627</v>
      </c>
      <c r="D163" s="8">
        <v>1355</v>
      </c>
      <c r="E163" s="8" t="s">
        <v>628</v>
      </c>
    </row>
    <row r="164" spans="1:5" ht="11.25" customHeight="1" x14ac:dyDescent="0.25">
      <c r="A164" s="8" t="s">
        <v>625</v>
      </c>
      <c r="B164" s="8" t="s">
        <v>626</v>
      </c>
      <c r="C164" s="8" t="s">
        <v>627</v>
      </c>
      <c r="D164" s="8">
        <v>1356</v>
      </c>
      <c r="E164" s="8" t="s">
        <v>628</v>
      </c>
    </row>
    <row r="165" spans="1:5" ht="11.25" customHeight="1" x14ac:dyDescent="0.25">
      <c r="A165" s="8" t="s">
        <v>625</v>
      </c>
      <c r="B165" s="8" t="s">
        <v>626</v>
      </c>
      <c r="C165" s="8" t="s">
        <v>627</v>
      </c>
      <c r="D165" s="8">
        <v>1357</v>
      </c>
      <c r="E165" s="8" t="s">
        <v>628</v>
      </c>
    </row>
    <row r="166" spans="1:5" ht="11.25" customHeight="1" x14ac:dyDescent="0.25">
      <c r="A166" s="8" t="s">
        <v>625</v>
      </c>
      <c r="B166" s="8" t="s">
        <v>626</v>
      </c>
      <c r="C166" s="8" t="s">
        <v>627</v>
      </c>
      <c r="D166" s="8">
        <v>1358</v>
      </c>
      <c r="E166" s="8" t="s">
        <v>628</v>
      </c>
    </row>
    <row r="167" spans="1:5" ht="11.25" customHeight="1" x14ac:dyDescent="0.25">
      <c r="A167" s="8" t="s">
        <v>625</v>
      </c>
      <c r="B167" s="8" t="s">
        <v>626</v>
      </c>
      <c r="C167" s="8" t="s">
        <v>627</v>
      </c>
      <c r="D167" s="8">
        <v>1359</v>
      </c>
      <c r="E167" s="8" t="s">
        <v>628</v>
      </c>
    </row>
    <row r="168" spans="1:5" ht="11.25" customHeight="1" x14ac:dyDescent="0.25">
      <c r="A168" s="8" t="s">
        <v>625</v>
      </c>
      <c r="B168" s="8" t="s">
        <v>626</v>
      </c>
      <c r="C168" s="8" t="s">
        <v>627</v>
      </c>
      <c r="D168" s="8">
        <v>1360</v>
      </c>
      <c r="E168" s="8" t="s">
        <v>628</v>
      </c>
    </row>
    <row r="169" spans="1:5" ht="11.25" customHeight="1" x14ac:dyDescent="0.25">
      <c r="A169" s="8" t="s">
        <v>625</v>
      </c>
      <c r="B169" s="8" t="s">
        <v>626</v>
      </c>
      <c r="C169" s="8" t="s">
        <v>627</v>
      </c>
      <c r="D169" s="8">
        <v>1361</v>
      </c>
      <c r="E169" s="8" t="s">
        <v>628</v>
      </c>
    </row>
    <row r="170" spans="1:5" ht="11.25" customHeight="1" x14ac:dyDescent="0.25">
      <c r="A170" s="8" t="s">
        <v>625</v>
      </c>
      <c r="B170" s="8" t="s">
        <v>626</v>
      </c>
      <c r="C170" s="8" t="s">
        <v>627</v>
      </c>
      <c r="D170" s="8">
        <v>1362</v>
      </c>
      <c r="E170" s="8" t="s">
        <v>628</v>
      </c>
    </row>
    <row r="171" spans="1:5" ht="11.25" customHeight="1" x14ac:dyDescent="0.25">
      <c r="A171" s="8" t="s">
        <v>625</v>
      </c>
      <c r="B171" s="8" t="s">
        <v>626</v>
      </c>
      <c r="C171" s="8" t="s">
        <v>627</v>
      </c>
      <c r="D171" s="8">
        <v>1363</v>
      </c>
      <c r="E171" s="8" t="s">
        <v>628</v>
      </c>
    </row>
    <row r="172" spans="1:5" ht="11.25" customHeight="1" x14ac:dyDescent="0.25">
      <c r="A172" s="8" t="s">
        <v>625</v>
      </c>
      <c r="B172" s="8" t="s">
        <v>626</v>
      </c>
      <c r="C172" s="8" t="s">
        <v>627</v>
      </c>
      <c r="D172" s="8">
        <v>1364</v>
      </c>
      <c r="E172" s="8" t="s">
        <v>628</v>
      </c>
    </row>
    <row r="173" spans="1:5" ht="11.25" customHeight="1" x14ac:dyDescent="0.25">
      <c r="A173" s="8" t="s">
        <v>625</v>
      </c>
      <c r="B173" s="8" t="s">
        <v>626</v>
      </c>
      <c r="C173" s="8" t="s">
        <v>627</v>
      </c>
      <c r="D173" s="8">
        <v>1365</v>
      </c>
      <c r="E173" s="8" t="s">
        <v>628</v>
      </c>
    </row>
    <row r="174" spans="1:5" ht="11.25" customHeight="1" x14ac:dyDescent="0.25">
      <c r="A174" s="8" t="s">
        <v>625</v>
      </c>
      <c r="B174" s="8" t="s">
        <v>626</v>
      </c>
      <c r="C174" s="8" t="s">
        <v>627</v>
      </c>
      <c r="D174" s="8">
        <v>1406</v>
      </c>
      <c r="E174" s="8" t="s">
        <v>628</v>
      </c>
    </row>
    <row r="175" spans="1:5" ht="11.25" customHeight="1" x14ac:dyDescent="0.25">
      <c r="A175" s="8" t="s">
        <v>625</v>
      </c>
      <c r="B175" s="8" t="s">
        <v>626</v>
      </c>
      <c r="C175" s="8" t="s">
        <v>627</v>
      </c>
      <c r="D175" s="8">
        <v>1407</v>
      </c>
      <c r="E175" s="8" t="s">
        <v>628</v>
      </c>
    </row>
    <row r="176" spans="1:5" ht="11.25" customHeight="1" x14ac:dyDescent="0.25">
      <c r="A176" s="8" t="s">
        <v>625</v>
      </c>
      <c r="B176" s="8" t="s">
        <v>626</v>
      </c>
      <c r="C176" s="8" t="s">
        <v>627</v>
      </c>
      <c r="D176" s="8">
        <v>1408</v>
      </c>
      <c r="E176" s="8" t="s">
        <v>628</v>
      </c>
    </row>
    <row r="177" spans="1:5" ht="11.25" customHeight="1" x14ac:dyDescent="0.25">
      <c r="A177" s="8" t="s">
        <v>625</v>
      </c>
      <c r="B177" s="8" t="s">
        <v>626</v>
      </c>
      <c r="C177" s="8" t="s">
        <v>627</v>
      </c>
      <c r="D177" s="8">
        <v>1409</v>
      </c>
      <c r="E177" s="8" t="s">
        <v>628</v>
      </c>
    </row>
    <row r="178" spans="1:5" ht="11.25" customHeight="1" x14ac:dyDescent="0.25">
      <c r="A178" s="8" t="s">
        <v>625</v>
      </c>
      <c r="B178" s="8" t="s">
        <v>626</v>
      </c>
      <c r="C178" s="8" t="s">
        <v>627</v>
      </c>
      <c r="D178" s="8">
        <v>1410</v>
      </c>
      <c r="E178" s="8" t="s">
        <v>628</v>
      </c>
    </row>
    <row r="179" spans="1:5" ht="11.25" customHeight="1" x14ac:dyDescent="0.25">
      <c r="A179" s="8" t="s">
        <v>625</v>
      </c>
      <c r="B179" s="8" t="s">
        <v>626</v>
      </c>
      <c r="C179" s="8" t="s">
        <v>627</v>
      </c>
      <c r="D179" s="8">
        <v>1411</v>
      </c>
      <c r="E179" s="8" t="s">
        <v>628</v>
      </c>
    </row>
    <row r="180" spans="1:5" ht="11.25" customHeight="1" x14ac:dyDescent="0.25">
      <c r="A180" s="8" t="s">
        <v>625</v>
      </c>
      <c r="B180" s="8" t="s">
        <v>626</v>
      </c>
      <c r="C180" s="8" t="s">
        <v>627</v>
      </c>
      <c r="D180" s="8">
        <v>1412</v>
      </c>
      <c r="E180" s="8" t="s">
        <v>628</v>
      </c>
    </row>
    <row r="181" spans="1:5" ht="11.25" customHeight="1" x14ac:dyDescent="0.25">
      <c r="A181" s="8" t="s">
        <v>625</v>
      </c>
      <c r="B181" s="8" t="s">
        <v>626</v>
      </c>
      <c r="C181" s="8" t="s">
        <v>627</v>
      </c>
      <c r="D181" s="8">
        <v>1413</v>
      </c>
      <c r="E181" s="8" t="s">
        <v>628</v>
      </c>
    </row>
    <row r="182" spans="1:5" ht="11.25" customHeight="1" x14ac:dyDescent="0.25">
      <c r="A182" s="8" t="s">
        <v>625</v>
      </c>
      <c r="B182" s="8" t="s">
        <v>626</v>
      </c>
      <c r="C182" s="8" t="s">
        <v>627</v>
      </c>
      <c r="D182" s="8">
        <v>1414</v>
      </c>
      <c r="E182" s="8" t="s">
        <v>628</v>
      </c>
    </row>
    <row r="183" spans="1:5" ht="11.25" customHeight="1" x14ac:dyDescent="0.25">
      <c r="A183" s="8" t="s">
        <v>625</v>
      </c>
      <c r="B183" s="8" t="s">
        <v>626</v>
      </c>
      <c r="C183" s="8" t="s">
        <v>627</v>
      </c>
      <c r="D183" s="8">
        <v>1415</v>
      </c>
      <c r="E183" s="8" t="s">
        <v>628</v>
      </c>
    </row>
    <row r="184" spans="1:5" ht="11.25" customHeight="1" x14ac:dyDescent="0.25">
      <c r="A184" s="8" t="s">
        <v>625</v>
      </c>
      <c r="B184" s="8" t="s">
        <v>626</v>
      </c>
      <c r="C184" s="8" t="s">
        <v>627</v>
      </c>
      <c r="D184" s="8">
        <v>1416</v>
      </c>
      <c r="E184" s="8" t="s">
        <v>628</v>
      </c>
    </row>
    <row r="185" spans="1:5" ht="11.25" customHeight="1" x14ac:dyDescent="0.25">
      <c r="A185" s="8" t="s">
        <v>625</v>
      </c>
      <c r="B185" s="8" t="s">
        <v>626</v>
      </c>
      <c r="C185" s="8" t="s">
        <v>627</v>
      </c>
      <c r="D185" s="8">
        <v>1417</v>
      </c>
      <c r="E185" s="8" t="s">
        <v>628</v>
      </c>
    </row>
    <row r="186" spans="1:5" ht="11.25" customHeight="1" x14ac:dyDescent="0.25">
      <c r="A186" s="8" t="s">
        <v>625</v>
      </c>
      <c r="C186" s="8" t="s">
        <v>922</v>
      </c>
      <c r="D186" s="8">
        <v>27</v>
      </c>
      <c r="E186" s="8" t="s">
        <v>9</v>
      </c>
    </row>
    <row r="187" spans="1:5" ht="11.25" customHeight="1" x14ac:dyDescent="0.25">
      <c r="A187" s="8" t="s">
        <v>625</v>
      </c>
      <c r="C187" s="8" t="s">
        <v>922</v>
      </c>
      <c r="D187" s="8">
        <v>27</v>
      </c>
      <c r="E187" s="8" t="s">
        <v>9</v>
      </c>
    </row>
    <row r="188" spans="1:5" ht="11.25" customHeight="1" x14ac:dyDescent="0.25">
      <c r="A188" s="8" t="s">
        <v>625</v>
      </c>
      <c r="C188" s="8" t="s">
        <v>922</v>
      </c>
      <c r="D188" s="8">
        <v>27</v>
      </c>
      <c r="E188" s="8" t="s">
        <v>9</v>
      </c>
    </row>
    <row r="189" spans="1:5" ht="11.25" customHeight="1" x14ac:dyDescent="0.25">
      <c r="A189" s="8" t="s">
        <v>625</v>
      </c>
      <c r="C189" s="8" t="s">
        <v>922</v>
      </c>
      <c r="D189" s="8">
        <v>27</v>
      </c>
      <c r="E189" s="8" t="s">
        <v>9</v>
      </c>
    </row>
    <row r="190" spans="1:5" ht="11.25" customHeight="1" x14ac:dyDescent="0.25">
      <c r="A190" s="8" t="s">
        <v>625</v>
      </c>
      <c r="C190" s="8" t="s">
        <v>922</v>
      </c>
      <c r="D190" s="8">
        <v>27</v>
      </c>
      <c r="E190" s="8" t="s">
        <v>9</v>
      </c>
    </row>
    <row r="191" spans="1:5" ht="11.25" customHeight="1" x14ac:dyDescent="0.25">
      <c r="A191" s="8" t="s">
        <v>625</v>
      </c>
      <c r="C191" s="8" t="s">
        <v>922</v>
      </c>
      <c r="D191" s="8">
        <v>27</v>
      </c>
      <c r="E191" s="8" t="s">
        <v>9</v>
      </c>
    </row>
    <row r="192" spans="1:5" ht="11.25" customHeight="1" x14ac:dyDescent="0.25">
      <c r="A192" s="8" t="s">
        <v>625</v>
      </c>
      <c r="C192" s="8" t="s">
        <v>922</v>
      </c>
      <c r="D192" s="8">
        <v>27</v>
      </c>
      <c r="E192" s="8" t="s">
        <v>9</v>
      </c>
    </row>
    <row r="193" spans="1:5" ht="11.25" customHeight="1" x14ac:dyDescent="0.25">
      <c r="A193" s="8" t="s">
        <v>625</v>
      </c>
      <c r="C193" s="8" t="s">
        <v>922</v>
      </c>
      <c r="D193" s="8">
        <v>27</v>
      </c>
      <c r="E193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F1CBB-39AA-4CF2-BA29-C1F2C991405D}">
  <dimension ref="A1:AX104"/>
  <sheetViews>
    <sheetView showGridLines="0" workbookViewId="0"/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50" t="s">
        <v>956</v>
      </c>
      <c r="B1" s="50" t="s">
        <v>947</v>
      </c>
      <c r="C1" s="50" t="s">
        <v>1</v>
      </c>
      <c r="D1" s="50" t="s">
        <v>2</v>
      </c>
      <c r="E1" s="50" t="s">
        <v>3</v>
      </c>
      <c r="F1" s="50" t="s">
        <v>4</v>
      </c>
      <c r="G1" s="50" t="s">
        <v>5</v>
      </c>
      <c r="H1" s="50" t="s">
        <v>6</v>
      </c>
      <c r="I1" s="50" t="s">
        <v>7</v>
      </c>
      <c r="J1" s="50" t="s">
        <v>948</v>
      </c>
      <c r="K1" s="50" t="s">
        <v>949</v>
      </c>
      <c r="L1" s="50" t="s">
        <v>950</v>
      </c>
      <c r="M1" s="50" t="s">
        <v>951</v>
      </c>
      <c r="N1" s="50" t="s">
        <v>952</v>
      </c>
      <c r="O1" s="50" t="s">
        <v>854</v>
      </c>
      <c r="P1" s="50" t="s">
        <v>840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51">
        <v>1</v>
      </c>
      <c r="B2" s="51" t="s">
        <v>834</v>
      </c>
      <c r="C2" s="51" t="s">
        <v>39</v>
      </c>
      <c r="D2" s="51" t="s">
        <v>40</v>
      </c>
      <c r="E2" s="51" t="s">
        <v>25</v>
      </c>
      <c r="F2" s="51" t="s">
        <v>25</v>
      </c>
      <c r="G2" s="51" t="s">
        <v>25</v>
      </c>
      <c r="H2" s="51" t="s">
        <v>25</v>
      </c>
      <c r="I2" s="51" t="s">
        <v>34</v>
      </c>
      <c r="J2" s="51" t="s">
        <v>953</v>
      </c>
      <c r="K2" s="51" t="s">
        <v>954</v>
      </c>
      <c r="L2" s="51" t="s">
        <v>105</v>
      </c>
      <c r="M2" s="51">
        <v>2021</v>
      </c>
      <c r="N2" s="51">
        <v>0</v>
      </c>
      <c r="O2" s="51">
        <v>21.48</v>
      </c>
      <c r="P2" s="51">
        <v>0</v>
      </c>
    </row>
    <row r="3" spans="1:50" ht="11.25" customHeight="1" x14ac:dyDescent="0.25">
      <c r="A3" s="51">
        <v>2</v>
      </c>
      <c r="B3" s="51" t="s">
        <v>834</v>
      </c>
      <c r="C3" s="51" t="s">
        <v>22</v>
      </c>
      <c r="D3" s="51" t="s">
        <v>23</v>
      </c>
      <c r="E3" s="51" t="s">
        <v>24</v>
      </c>
      <c r="F3" s="51" t="s">
        <v>24</v>
      </c>
      <c r="G3" s="51" t="s">
        <v>25</v>
      </c>
      <c r="H3" s="51" t="s">
        <v>25</v>
      </c>
      <c r="I3" s="51" t="s">
        <v>25</v>
      </c>
      <c r="J3" s="51" t="s">
        <v>955</v>
      </c>
      <c r="K3" s="51" t="s">
        <v>954</v>
      </c>
      <c r="L3" s="51" t="s">
        <v>102</v>
      </c>
      <c r="M3" s="51">
        <v>2021</v>
      </c>
      <c r="N3" s="51">
        <v>0</v>
      </c>
      <c r="O3" s="51">
        <v>341.2</v>
      </c>
      <c r="P3" s="51">
        <v>27.879974173601902</v>
      </c>
    </row>
    <row r="4" spans="1:50" ht="11.25" customHeight="1" x14ac:dyDescent="0.25">
      <c r="A4" s="51">
        <v>3</v>
      </c>
      <c r="B4" s="51" t="s">
        <v>834</v>
      </c>
      <c r="C4" s="51" t="s">
        <v>39</v>
      </c>
      <c r="D4" s="51" t="s">
        <v>40</v>
      </c>
      <c r="E4" s="51" t="s">
        <v>25</v>
      </c>
      <c r="F4" s="51" t="s">
        <v>25</v>
      </c>
      <c r="G4" s="51" t="s">
        <v>25</v>
      </c>
      <c r="H4" s="51" t="s">
        <v>25</v>
      </c>
      <c r="I4" s="51" t="s">
        <v>35</v>
      </c>
      <c r="J4" s="51" t="s">
        <v>953</v>
      </c>
      <c r="K4" s="51" t="s">
        <v>954</v>
      </c>
      <c r="L4" s="51" t="s">
        <v>105</v>
      </c>
      <c r="M4" s="51">
        <v>2021</v>
      </c>
      <c r="N4" s="51">
        <v>0</v>
      </c>
      <c r="O4" s="51">
        <v>11.17</v>
      </c>
      <c r="P4" s="51">
        <v>0</v>
      </c>
    </row>
    <row r="5" spans="1:50" ht="11.25" customHeight="1" x14ac:dyDescent="0.25">
      <c r="A5" s="51">
        <v>4</v>
      </c>
      <c r="B5" s="51" t="s">
        <v>834</v>
      </c>
      <c r="C5" s="51" t="s">
        <v>22</v>
      </c>
      <c r="D5" s="51" t="s">
        <v>23</v>
      </c>
      <c r="E5" s="51" t="s">
        <v>24</v>
      </c>
      <c r="F5" s="51" t="s">
        <v>29</v>
      </c>
      <c r="G5" s="51" t="s">
        <v>25</v>
      </c>
      <c r="H5" s="51" t="s">
        <v>25</v>
      </c>
      <c r="I5" s="51" t="s">
        <v>25</v>
      </c>
      <c r="J5" s="51" t="s">
        <v>955</v>
      </c>
      <c r="K5" s="51" t="s">
        <v>954</v>
      </c>
      <c r="L5" s="51" t="s">
        <v>102</v>
      </c>
      <c r="M5" s="51">
        <v>2021</v>
      </c>
      <c r="N5" s="51">
        <v>0</v>
      </c>
      <c r="O5" s="51">
        <v>104.85</v>
      </c>
      <c r="P5" s="51">
        <v>0</v>
      </c>
    </row>
    <row r="6" spans="1:50" ht="11.25" customHeight="1" x14ac:dyDescent="0.25">
      <c r="A6" s="51">
        <v>5</v>
      </c>
      <c r="B6" s="51" t="s">
        <v>834</v>
      </c>
      <c r="C6" s="51" t="s">
        <v>39</v>
      </c>
      <c r="D6" s="51" t="s">
        <v>40</v>
      </c>
      <c r="E6" s="51" t="s">
        <v>25</v>
      </c>
      <c r="F6" s="51" t="s">
        <v>25</v>
      </c>
      <c r="G6" s="51" t="s">
        <v>25</v>
      </c>
      <c r="H6" s="51" t="s">
        <v>25</v>
      </c>
      <c r="I6" s="51" t="s">
        <v>25</v>
      </c>
      <c r="J6" s="51" t="s">
        <v>955</v>
      </c>
      <c r="K6" s="51" t="s">
        <v>954</v>
      </c>
      <c r="L6" s="51" t="s">
        <v>102</v>
      </c>
      <c r="M6" s="51">
        <v>2021</v>
      </c>
      <c r="N6" s="51">
        <v>0</v>
      </c>
      <c r="O6" s="51">
        <v>41.95</v>
      </c>
      <c r="P6" s="51">
        <v>18.6795826963133</v>
      </c>
    </row>
    <row r="7" spans="1:50" ht="11.25" customHeight="1" x14ac:dyDescent="0.25">
      <c r="A7" s="51">
        <v>6</v>
      </c>
      <c r="B7" s="51" t="s">
        <v>834</v>
      </c>
      <c r="C7" s="51" t="s">
        <v>22</v>
      </c>
      <c r="D7" s="51" t="s">
        <v>23</v>
      </c>
      <c r="E7" s="51" t="s">
        <v>24</v>
      </c>
      <c r="F7" s="51" t="s">
        <v>30</v>
      </c>
      <c r="G7" s="51" t="s">
        <v>25</v>
      </c>
      <c r="H7" s="51" t="s">
        <v>25</v>
      </c>
      <c r="I7" s="51" t="s">
        <v>25</v>
      </c>
      <c r="J7" s="51" t="s">
        <v>955</v>
      </c>
      <c r="K7" s="51" t="s">
        <v>954</v>
      </c>
      <c r="L7" s="51" t="s">
        <v>102</v>
      </c>
      <c r="M7" s="51">
        <v>2021</v>
      </c>
      <c r="N7" s="51">
        <v>0</v>
      </c>
      <c r="O7" s="51">
        <v>179.74</v>
      </c>
      <c r="P7" s="51">
        <v>0</v>
      </c>
    </row>
    <row r="8" spans="1:50" ht="11.25" customHeight="1" x14ac:dyDescent="0.25">
      <c r="A8" s="51">
        <v>7</v>
      </c>
      <c r="B8" s="51" t="s">
        <v>834</v>
      </c>
      <c r="C8" s="51" t="s">
        <v>39</v>
      </c>
      <c r="D8" s="51" t="s">
        <v>40</v>
      </c>
      <c r="E8" s="51" t="s">
        <v>25</v>
      </c>
      <c r="F8" s="51" t="s">
        <v>25</v>
      </c>
      <c r="G8" s="51" t="s">
        <v>59</v>
      </c>
      <c r="H8" s="51" t="s">
        <v>25</v>
      </c>
      <c r="I8" s="51" t="s">
        <v>25</v>
      </c>
      <c r="J8" s="51" t="s">
        <v>955</v>
      </c>
      <c r="K8" s="51" t="s">
        <v>954</v>
      </c>
      <c r="L8" s="51" t="s">
        <v>102</v>
      </c>
      <c r="M8" s="51">
        <v>2021</v>
      </c>
      <c r="N8" s="51">
        <v>0</v>
      </c>
      <c r="O8" s="51">
        <v>10.76</v>
      </c>
      <c r="P8" s="51">
        <v>0</v>
      </c>
    </row>
    <row r="9" spans="1:50" ht="11.25" customHeight="1" x14ac:dyDescent="0.25">
      <c r="A9" s="51">
        <v>8</v>
      </c>
      <c r="B9" s="51" t="s">
        <v>834</v>
      </c>
      <c r="C9" s="51" t="s">
        <v>22</v>
      </c>
      <c r="D9" s="51" t="s">
        <v>23</v>
      </c>
      <c r="E9" s="51" t="s">
        <v>24</v>
      </c>
      <c r="F9" s="51" t="s">
        <v>31</v>
      </c>
      <c r="G9" s="51" t="s">
        <v>25</v>
      </c>
      <c r="H9" s="51" t="s">
        <v>25</v>
      </c>
      <c r="I9" s="51" t="s">
        <v>25</v>
      </c>
      <c r="J9" s="51" t="s">
        <v>955</v>
      </c>
      <c r="K9" s="51" t="s">
        <v>954</v>
      </c>
      <c r="L9" s="51" t="s">
        <v>102</v>
      </c>
      <c r="M9" s="51">
        <v>2021</v>
      </c>
      <c r="N9" s="51">
        <v>0</v>
      </c>
      <c r="O9" s="51">
        <v>269.62</v>
      </c>
      <c r="P9" s="51">
        <v>0</v>
      </c>
    </row>
    <row r="10" spans="1:50" ht="11.25" customHeight="1" x14ac:dyDescent="0.25">
      <c r="A10" s="51">
        <v>9</v>
      </c>
      <c r="B10" s="51" t="s">
        <v>834</v>
      </c>
      <c r="C10" s="51" t="s">
        <v>39</v>
      </c>
      <c r="D10" s="51" t="s">
        <v>62</v>
      </c>
      <c r="E10" s="51" t="s">
        <v>25</v>
      </c>
      <c r="F10" s="51" t="s">
        <v>25</v>
      </c>
      <c r="G10" s="51" t="s">
        <v>25</v>
      </c>
      <c r="H10" s="51" t="s">
        <v>65</v>
      </c>
      <c r="I10" s="51" t="s">
        <v>34</v>
      </c>
      <c r="J10" s="51" t="s">
        <v>953</v>
      </c>
      <c r="K10" s="51" t="s">
        <v>954</v>
      </c>
      <c r="L10" s="51" t="s">
        <v>105</v>
      </c>
      <c r="M10" s="51">
        <v>2021</v>
      </c>
      <c r="N10" s="51">
        <v>0</v>
      </c>
      <c r="O10" s="51">
        <v>21.7</v>
      </c>
      <c r="P10" s="51">
        <v>0</v>
      </c>
    </row>
    <row r="11" spans="1:50" ht="11.25" customHeight="1" x14ac:dyDescent="0.25">
      <c r="A11" s="51">
        <v>10</v>
      </c>
      <c r="B11" s="51" t="s">
        <v>834</v>
      </c>
      <c r="C11" s="51" t="s">
        <v>22</v>
      </c>
      <c r="D11" s="51" t="s">
        <v>23</v>
      </c>
      <c r="E11" s="51" t="s">
        <v>24</v>
      </c>
      <c r="F11" s="51" t="s">
        <v>32</v>
      </c>
      <c r="G11" s="51" t="s">
        <v>25</v>
      </c>
      <c r="H11" s="51" t="s">
        <v>25</v>
      </c>
      <c r="I11" s="51" t="s">
        <v>25</v>
      </c>
      <c r="J11" s="51" t="s">
        <v>955</v>
      </c>
      <c r="K11" s="51" t="s">
        <v>954</v>
      </c>
      <c r="L11" s="51" t="s">
        <v>102</v>
      </c>
      <c r="M11" s="51">
        <v>2021</v>
      </c>
      <c r="N11" s="51">
        <v>0</v>
      </c>
      <c r="O11" s="51">
        <v>299.57</v>
      </c>
      <c r="P11" s="51">
        <v>0</v>
      </c>
    </row>
    <row r="12" spans="1:50" ht="11.25" customHeight="1" x14ac:dyDescent="0.25">
      <c r="A12" s="51">
        <v>11</v>
      </c>
      <c r="B12" s="51" t="s">
        <v>834</v>
      </c>
      <c r="C12" s="51" t="s">
        <v>22</v>
      </c>
      <c r="D12" s="51" t="s">
        <v>115</v>
      </c>
      <c r="E12" s="51" t="s">
        <v>24</v>
      </c>
      <c r="F12" s="51" t="s">
        <v>24</v>
      </c>
      <c r="G12" s="51" t="s">
        <v>25</v>
      </c>
      <c r="H12" s="51" t="s">
        <v>25</v>
      </c>
      <c r="I12" s="51" t="s">
        <v>25</v>
      </c>
      <c r="J12" s="51" t="s">
        <v>955</v>
      </c>
      <c r="K12" s="51" t="s">
        <v>954</v>
      </c>
      <c r="L12" s="51" t="s">
        <v>102</v>
      </c>
      <c r="M12" s="51">
        <v>2021</v>
      </c>
      <c r="N12" s="51">
        <v>0</v>
      </c>
      <c r="O12" s="51">
        <v>341.2</v>
      </c>
      <c r="P12" s="51">
        <v>27.879974173601902</v>
      </c>
    </row>
    <row r="13" spans="1:50" ht="11.25" customHeight="1" x14ac:dyDescent="0.25">
      <c r="A13" s="51">
        <v>12</v>
      </c>
      <c r="B13" s="51" t="s">
        <v>834</v>
      </c>
      <c r="C13" s="51" t="s">
        <v>39</v>
      </c>
      <c r="D13" s="51" t="s">
        <v>62</v>
      </c>
      <c r="E13" s="51" t="s">
        <v>25</v>
      </c>
      <c r="F13" s="51" t="s">
        <v>25</v>
      </c>
      <c r="G13" s="51" t="s">
        <v>25</v>
      </c>
      <c r="H13" s="51" t="s">
        <v>65</v>
      </c>
      <c r="I13" s="51" t="s">
        <v>35</v>
      </c>
      <c r="J13" s="51" t="s">
        <v>953</v>
      </c>
      <c r="K13" s="51" t="s">
        <v>954</v>
      </c>
      <c r="L13" s="51" t="s">
        <v>105</v>
      </c>
      <c r="M13" s="51">
        <v>2021</v>
      </c>
      <c r="N13" s="51">
        <v>0</v>
      </c>
      <c r="O13" s="51">
        <v>11.28</v>
      </c>
      <c r="P13" s="51">
        <v>0</v>
      </c>
    </row>
    <row r="14" spans="1:50" ht="11.25" customHeight="1" x14ac:dyDescent="0.25">
      <c r="A14" s="51">
        <v>13</v>
      </c>
      <c r="B14" s="51" t="s">
        <v>834</v>
      </c>
      <c r="C14" s="51" t="s">
        <v>22</v>
      </c>
      <c r="D14" s="51" t="s">
        <v>115</v>
      </c>
      <c r="E14" s="51" t="s">
        <v>24</v>
      </c>
      <c r="F14" s="51" t="s">
        <v>29</v>
      </c>
      <c r="G14" s="51" t="s">
        <v>25</v>
      </c>
      <c r="H14" s="51" t="s">
        <v>25</v>
      </c>
      <c r="I14" s="51" t="s">
        <v>25</v>
      </c>
      <c r="J14" s="51" t="s">
        <v>955</v>
      </c>
      <c r="K14" s="51" t="s">
        <v>954</v>
      </c>
      <c r="L14" s="51" t="s">
        <v>102</v>
      </c>
      <c r="M14" s="51">
        <v>2021</v>
      </c>
      <c r="N14" s="51">
        <v>0</v>
      </c>
      <c r="O14" s="51">
        <v>104.85</v>
      </c>
      <c r="P14" s="51">
        <v>0</v>
      </c>
    </row>
    <row r="15" spans="1:50" ht="11.25" customHeight="1" x14ac:dyDescent="0.25">
      <c r="A15" s="51">
        <v>14</v>
      </c>
      <c r="B15" s="51" t="s">
        <v>834</v>
      </c>
      <c r="C15" s="51" t="s">
        <v>39</v>
      </c>
      <c r="D15" s="51" t="s">
        <v>62</v>
      </c>
      <c r="E15" s="51" t="s">
        <v>25</v>
      </c>
      <c r="F15" s="51" t="s">
        <v>25</v>
      </c>
      <c r="G15" s="51" t="s">
        <v>25</v>
      </c>
      <c r="H15" s="51" t="s">
        <v>65</v>
      </c>
      <c r="I15" s="51" t="s">
        <v>25</v>
      </c>
      <c r="J15" s="51" t="s">
        <v>955</v>
      </c>
      <c r="K15" s="51" t="s">
        <v>954</v>
      </c>
      <c r="L15" s="51" t="s">
        <v>102</v>
      </c>
      <c r="M15" s="51">
        <v>2021</v>
      </c>
      <c r="N15" s="51">
        <v>0</v>
      </c>
      <c r="O15" s="51">
        <v>6.99</v>
      </c>
      <c r="P15" s="51">
        <v>0</v>
      </c>
    </row>
    <row r="16" spans="1:50" ht="11.25" customHeight="1" x14ac:dyDescent="0.25">
      <c r="A16" s="51">
        <v>15</v>
      </c>
      <c r="B16" s="51" t="s">
        <v>834</v>
      </c>
      <c r="C16" s="51" t="s">
        <v>22</v>
      </c>
      <c r="D16" s="51" t="s">
        <v>115</v>
      </c>
      <c r="E16" s="51" t="s">
        <v>24</v>
      </c>
      <c r="F16" s="51" t="s">
        <v>30</v>
      </c>
      <c r="G16" s="51" t="s">
        <v>25</v>
      </c>
      <c r="H16" s="51" t="s">
        <v>25</v>
      </c>
      <c r="I16" s="51" t="s">
        <v>25</v>
      </c>
      <c r="J16" s="51" t="s">
        <v>955</v>
      </c>
      <c r="K16" s="51" t="s">
        <v>954</v>
      </c>
      <c r="L16" s="51" t="s">
        <v>102</v>
      </c>
      <c r="M16" s="51">
        <v>2021</v>
      </c>
      <c r="N16" s="51">
        <v>0</v>
      </c>
      <c r="O16" s="51">
        <v>179.74</v>
      </c>
      <c r="P16" s="51">
        <v>0</v>
      </c>
    </row>
    <row r="17" spans="1:16" ht="11.25" customHeight="1" x14ac:dyDescent="0.25">
      <c r="A17" s="51">
        <v>16</v>
      </c>
      <c r="B17" s="51" t="s">
        <v>834</v>
      </c>
      <c r="C17" s="51" t="s">
        <v>39</v>
      </c>
      <c r="D17" s="51" t="s">
        <v>66</v>
      </c>
      <c r="E17" s="51" t="s">
        <v>25</v>
      </c>
      <c r="F17" s="51" t="s">
        <v>25</v>
      </c>
      <c r="G17" s="51" t="s">
        <v>25</v>
      </c>
      <c r="H17" s="51" t="s">
        <v>25</v>
      </c>
      <c r="I17" s="51" t="s">
        <v>25</v>
      </c>
      <c r="J17" s="51" t="s">
        <v>953</v>
      </c>
      <c r="K17" s="51" t="s">
        <v>954</v>
      </c>
      <c r="L17" s="51" t="s">
        <v>105</v>
      </c>
      <c r="M17" s="51">
        <v>2021</v>
      </c>
      <c r="N17" s="51">
        <v>0</v>
      </c>
      <c r="O17" s="51">
        <v>12.9</v>
      </c>
      <c r="P17" s="51">
        <v>0</v>
      </c>
    </row>
    <row r="18" spans="1:16" ht="11.25" customHeight="1" x14ac:dyDescent="0.25">
      <c r="A18" s="51">
        <v>17</v>
      </c>
      <c r="B18" s="51" t="s">
        <v>834</v>
      </c>
      <c r="C18" s="51" t="s">
        <v>22</v>
      </c>
      <c r="D18" s="51" t="s">
        <v>115</v>
      </c>
      <c r="E18" s="51" t="s">
        <v>24</v>
      </c>
      <c r="F18" s="51" t="s">
        <v>31</v>
      </c>
      <c r="G18" s="51" t="s">
        <v>25</v>
      </c>
      <c r="H18" s="51" t="s">
        <v>25</v>
      </c>
      <c r="I18" s="51" t="s">
        <v>25</v>
      </c>
      <c r="J18" s="51" t="s">
        <v>955</v>
      </c>
      <c r="K18" s="51" t="s">
        <v>954</v>
      </c>
      <c r="L18" s="51" t="s">
        <v>102</v>
      </c>
      <c r="M18" s="51">
        <v>2021</v>
      </c>
      <c r="N18" s="51">
        <v>0</v>
      </c>
      <c r="O18" s="51">
        <v>269.62</v>
      </c>
      <c r="P18" s="51">
        <v>0</v>
      </c>
    </row>
    <row r="19" spans="1:16" ht="11.25" customHeight="1" x14ac:dyDescent="0.25">
      <c r="A19" s="51">
        <v>18</v>
      </c>
      <c r="B19" s="51" t="s">
        <v>834</v>
      </c>
      <c r="C19" s="51" t="s">
        <v>41</v>
      </c>
      <c r="D19" s="51" t="s">
        <v>40</v>
      </c>
      <c r="E19" s="51" t="s">
        <v>25</v>
      </c>
      <c r="F19" s="51" t="s">
        <v>25</v>
      </c>
      <c r="G19" s="51" t="s">
        <v>25</v>
      </c>
      <c r="H19" s="51" t="s">
        <v>25</v>
      </c>
      <c r="I19" s="51" t="s">
        <v>34</v>
      </c>
      <c r="J19" s="51" t="s">
        <v>953</v>
      </c>
      <c r="K19" s="51" t="s">
        <v>954</v>
      </c>
      <c r="L19" s="51" t="s">
        <v>105</v>
      </c>
      <c r="M19" s="51">
        <v>2021</v>
      </c>
      <c r="N19" s="51">
        <v>0</v>
      </c>
      <c r="O19" s="51">
        <v>52.15</v>
      </c>
      <c r="P19" s="51">
        <v>0</v>
      </c>
    </row>
    <row r="20" spans="1:16" ht="11.25" customHeight="1" x14ac:dyDescent="0.25">
      <c r="A20" s="51">
        <v>19</v>
      </c>
      <c r="B20" s="51" t="s">
        <v>834</v>
      </c>
      <c r="C20" s="51" t="s">
        <v>22</v>
      </c>
      <c r="D20" s="51" t="s">
        <v>115</v>
      </c>
      <c r="E20" s="51" t="s">
        <v>24</v>
      </c>
      <c r="F20" s="51" t="s">
        <v>32</v>
      </c>
      <c r="G20" s="51" t="s">
        <v>25</v>
      </c>
      <c r="H20" s="51" t="s">
        <v>25</v>
      </c>
      <c r="I20" s="51" t="s">
        <v>25</v>
      </c>
      <c r="J20" s="51" t="s">
        <v>955</v>
      </c>
      <c r="K20" s="51" t="s">
        <v>954</v>
      </c>
      <c r="L20" s="51" t="s">
        <v>102</v>
      </c>
      <c r="M20" s="51">
        <v>2021</v>
      </c>
      <c r="N20" s="51">
        <v>0</v>
      </c>
      <c r="O20" s="51">
        <v>299.57</v>
      </c>
      <c r="P20" s="51">
        <v>0</v>
      </c>
    </row>
    <row r="21" spans="1:16" ht="11.25" customHeight="1" x14ac:dyDescent="0.25">
      <c r="A21" s="51">
        <v>20</v>
      </c>
      <c r="B21" s="51" t="s">
        <v>834</v>
      </c>
      <c r="C21" s="51" t="s">
        <v>41</v>
      </c>
      <c r="D21" s="51" t="s">
        <v>40</v>
      </c>
      <c r="E21" s="51" t="s">
        <v>25</v>
      </c>
      <c r="F21" s="51" t="s">
        <v>25</v>
      </c>
      <c r="G21" s="51" t="s">
        <v>25</v>
      </c>
      <c r="H21" s="51" t="s">
        <v>25</v>
      </c>
      <c r="I21" s="51" t="s">
        <v>35</v>
      </c>
      <c r="J21" s="51" t="s">
        <v>953</v>
      </c>
      <c r="K21" s="51" t="s">
        <v>954</v>
      </c>
      <c r="L21" s="51" t="s">
        <v>105</v>
      </c>
      <c r="M21" s="51">
        <v>2021</v>
      </c>
      <c r="N21" s="51">
        <v>0</v>
      </c>
      <c r="O21" s="51">
        <v>26.22</v>
      </c>
      <c r="P21" s="51">
        <v>0</v>
      </c>
    </row>
    <row r="22" spans="1:16" ht="11.25" customHeight="1" x14ac:dyDescent="0.25">
      <c r="A22" s="51">
        <v>21</v>
      </c>
      <c r="B22" s="51" t="s">
        <v>834</v>
      </c>
      <c r="C22" s="51" t="s">
        <v>44</v>
      </c>
      <c r="D22" s="51" t="s">
        <v>33</v>
      </c>
      <c r="E22" s="51" t="s">
        <v>45</v>
      </c>
      <c r="F22" s="51" t="s">
        <v>25</v>
      </c>
      <c r="G22" s="51" t="s">
        <v>25</v>
      </c>
      <c r="H22" s="51" t="s">
        <v>25</v>
      </c>
      <c r="I22" s="51" t="s">
        <v>34</v>
      </c>
      <c r="J22" s="51" t="s">
        <v>955</v>
      </c>
      <c r="K22" s="51" t="s">
        <v>954</v>
      </c>
      <c r="L22" s="51" t="s">
        <v>102</v>
      </c>
      <c r="M22" s="51">
        <v>2021</v>
      </c>
      <c r="N22" s="51">
        <v>0</v>
      </c>
      <c r="O22" s="51">
        <v>823.61</v>
      </c>
      <c r="P22" s="51">
        <v>24.534377272769699</v>
      </c>
    </row>
    <row r="23" spans="1:16" ht="11.25" customHeight="1" x14ac:dyDescent="0.25">
      <c r="A23" s="51">
        <v>22</v>
      </c>
      <c r="B23" s="51" t="s">
        <v>834</v>
      </c>
      <c r="C23" s="51" t="s">
        <v>41</v>
      </c>
      <c r="D23" s="51" t="s">
        <v>40</v>
      </c>
      <c r="E23" s="51" t="s">
        <v>25</v>
      </c>
      <c r="F23" s="51" t="s">
        <v>25</v>
      </c>
      <c r="G23" s="51" t="s">
        <v>25</v>
      </c>
      <c r="H23" s="51" t="s">
        <v>25</v>
      </c>
      <c r="I23" s="51" t="s">
        <v>25</v>
      </c>
      <c r="J23" s="51" t="s">
        <v>955</v>
      </c>
      <c r="K23" s="51" t="s">
        <v>954</v>
      </c>
      <c r="L23" s="51" t="s">
        <v>102</v>
      </c>
      <c r="M23" s="51">
        <v>2021</v>
      </c>
      <c r="N23" s="51">
        <v>0</v>
      </c>
      <c r="O23" s="51">
        <v>62.57</v>
      </c>
      <c r="P23" s="51">
        <v>24.255577531033701</v>
      </c>
    </row>
    <row r="24" spans="1:16" ht="11.25" customHeight="1" x14ac:dyDescent="0.25">
      <c r="A24" s="51">
        <v>23</v>
      </c>
      <c r="B24" s="51" t="s">
        <v>834</v>
      </c>
      <c r="C24" s="51" t="s">
        <v>44</v>
      </c>
      <c r="D24" s="51" t="s">
        <v>33</v>
      </c>
      <c r="E24" s="51" t="s">
        <v>45</v>
      </c>
      <c r="F24" s="51" t="s">
        <v>25</v>
      </c>
      <c r="G24" s="51" t="s">
        <v>25</v>
      </c>
      <c r="H24" s="51" t="s">
        <v>25</v>
      </c>
      <c r="I24" s="51" t="s">
        <v>36</v>
      </c>
      <c r="J24" s="51" t="s">
        <v>955</v>
      </c>
      <c r="K24" s="51" t="s">
        <v>954</v>
      </c>
      <c r="L24" s="51" t="s">
        <v>102</v>
      </c>
      <c r="M24" s="51">
        <v>2021</v>
      </c>
      <c r="N24" s="51">
        <v>0</v>
      </c>
      <c r="O24" s="51">
        <v>525.19000000000005</v>
      </c>
      <c r="P24" s="51">
        <v>24.534377272769699</v>
      </c>
    </row>
    <row r="25" spans="1:16" ht="11.25" customHeight="1" x14ac:dyDescent="0.25">
      <c r="A25" s="51">
        <v>24</v>
      </c>
      <c r="B25" s="51" t="s">
        <v>834</v>
      </c>
      <c r="C25" s="51" t="s">
        <v>41</v>
      </c>
      <c r="D25" s="51" t="s">
        <v>40</v>
      </c>
      <c r="E25" s="51" t="s">
        <v>25</v>
      </c>
      <c r="F25" s="51" t="s">
        <v>25</v>
      </c>
      <c r="G25" s="51" t="s">
        <v>59</v>
      </c>
      <c r="H25" s="51" t="s">
        <v>25</v>
      </c>
      <c r="I25" s="51" t="s">
        <v>25</v>
      </c>
      <c r="J25" s="51" t="s">
        <v>955</v>
      </c>
      <c r="K25" s="51" t="s">
        <v>954</v>
      </c>
      <c r="L25" s="51" t="s">
        <v>102</v>
      </c>
      <c r="M25" s="51">
        <v>2021</v>
      </c>
      <c r="N25" s="51">
        <v>0</v>
      </c>
      <c r="O25" s="51">
        <v>25.05</v>
      </c>
      <c r="P25" s="51">
        <v>0</v>
      </c>
    </row>
    <row r="26" spans="1:16" ht="11.25" customHeight="1" x14ac:dyDescent="0.25">
      <c r="A26" s="51">
        <v>25</v>
      </c>
      <c r="B26" s="51" t="s">
        <v>834</v>
      </c>
      <c r="C26" s="51" t="s">
        <v>44</v>
      </c>
      <c r="D26" s="51" t="s">
        <v>33</v>
      </c>
      <c r="E26" s="51" t="s">
        <v>45</v>
      </c>
      <c r="F26" s="51" t="s">
        <v>25</v>
      </c>
      <c r="G26" s="51" t="s">
        <v>25</v>
      </c>
      <c r="H26" s="51" t="s">
        <v>25</v>
      </c>
      <c r="I26" s="51" t="s">
        <v>35</v>
      </c>
      <c r="J26" s="51" t="s">
        <v>955</v>
      </c>
      <c r="K26" s="51" t="s">
        <v>954</v>
      </c>
      <c r="L26" s="51" t="s">
        <v>102</v>
      </c>
      <c r="M26" s="51">
        <v>2021</v>
      </c>
      <c r="N26" s="51">
        <v>0</v>
      </c>
      <c r="O26" s="51">
        <v>226.76</v>
      </c>
      <c r="P26" s="51">
        <v>24.534377272769699</v>
      </c>
    </row>
    <row r="27" spans="1:16" ht="11.25" customHeight="1" x14ac:dyDescent="0.25">
      <c r="A27" s="51">
        <v>26</v>
      </c>
      <c r="B27" s="51" t="s">
        <v>834</v>
      </c>
      <c r="C27" s="51" t="s">
        <v>41</v>
      </c>
      <c r="D27" s="51" t="s">
        <v>62</v>
      </c>
      <c r="E27" s="51" t="s">
        <v>25</v>
      </c>
      <c r="F27" s="51" t="s">
        <v>25</v>
      </c>
      <c r="G27" s="51" t="s">
        <v>25</v>
      </c>
      <c r="H27" s="51" t="s">
        <v>63</v>
      </c>
      <c r="I27" s="51" t="s">
        <v>34</v>
      </c>
      <c r="J27" s="51" t="s">
        <v>953</v>
      </c>
      <c r="K27" s="51" t="s">
        <v>954</v>
      </c>
      <c r="L27" s="51" t="s">
        <v>105</v>
      </c>
      <c r="M27" s="51">
        <v>2021</v>
      </c>
      <c r="N27" s="51">
        <v>0</v>
      </c>
      <c r="O27" s="51">
        <v>25.64</v>
      </c>
      <c r="P27" s="51">
        <v>0</v>
      </c>
    </row>
    <row r="28" spans="1:16" ht="11.25" customHeight="1" x14ac:dyDescent="0.25">
      <c r="A28" s="51">
        <v>27</v>
      </c>
      <c r="B28" s="51" t="s">
        <v>834</v>
      </c>
      <c r="C28" s="51" t="s">
        <v>44</v>
      </c>
      <c r="D28" s="51" t="s">
        <v>23</v>
      </c>
      <c r="E28" s="51" t="s">
        <v>45</v>
      </c>
      <c r="F28" s="51" t="s">
        <v>25</v>
      </c>
      <c r="G28" s="51" t="s">
        <v>25</v>
      </c>
      <c r="H28" s="51" t="s">
        <v>25</v>
      </c>
      <c r="I28" s="51" t="s">
        <v>25</v>
      </c>
      <c r="J28" s="51" t="s">
        <v>955</v>
      </c>
      <c r="K28" s="51" t="s">
        <v>954</v>
      </c>
      <c r="L28" s="51" t="s">
        <v>102</v>
      </c>
      <c r="M28" s="51">
        <v>2021</v>
      </c>
      <c r="N28" s="51">
        <v>0</v>
      </c>
      <c r="O28" s="51">
        <v>300.26</v>
      </c>
      <c r="P28" s="51">
        <v>24.534377272769699</v>
      </c>
    </row>
    <row r="29" spans="1:16" ht="11.25" customHeight="1" x14ac:dyDescent="0.25">
      <c r="A29" s="51">
        <v>28</v>
      </c>
      <c r="B29" s="51" t="s">
        <v>834</v>
      </c>
      <c r="C29" s="51" t="s">
        <v>41</v>
      </c>
      <c r="D29" s="51" t="s">
        <v>62</v>
      </c>
      <c r="E29" s="51" t="s">
        <v>25</v>
      </c>
      <c r="F29" s="51" t="s">
        <v>25</v>
      </c>
      <c r="G29" s="51" t="s">
        <v>25</v>
      </c>
      <c r="H29" s="51" t="s">
        <v>63</v>
      </c>
      <c r="I29" s="51" t="s">
        <v>35</v>
      </c>
      <c r="J29" s="51" t="s">
        <v>953</v>
      </c>
      <c r="K29" s="51" t="s">
        <v>954</v>
      </c>
      <c r="L29" s="51" t="s">
        <v>105</v>
      </c>
      <c r="M29" s="51">
        <v>2021</v>
      </c>
      <c r="N29" s="51">
        <v>0</v>
      </c>
      <c r="O29" s="51">
        <v>13.55</v>
      </c>
      <c r="P29" s="51">
        <v>0</v>
      </c>
    </row>
    <row r="30" spans="1:16" ht="11.25" customHeight="1" x14ac:dyDescent="0.25">
      <c r="A30" s="51">
        <v>29</v>
      </c>
      <c r="B30" s="51" t="s">
        <v>834</v>
      </c>
      <c r="C30" s="51" t="s">
        <v>44</v>
      </c>
      <c r="D30" s="51" t="s">
        <v>33</v>
      </c>
      <c r="E30" s="51" t="s">
        <v>45</v>
      </c>
      <c r="F30" s="51" t="s">
        <v>116</v>
      </c>
      <c r="G30" s="51" t="s">
        <v>25</v>
      </c>
      <c r="H30" s="51" t="s">
        <v>25</v>
      </c>
      <c r="I30" s="51" t="s">
        <v>34</v>
      </c>
      <c r="J30" s="51" t="s">
        <v>955</v>
      </c>
      <c r="K30" s="51" t="s">
        <v>954</v>
      </c>
      <c r="L30" s="51" t="s">
        <v>102</v>
      </c>
      <c r="M30" s="51">
        <v>2021</v>
      </c>
      <c r="N30" s="51">
        <v>0</v>
      </c>
      <c r="O30" s="51">
        <v>823.61</v>
      </c>
      <c r="P30" s="51">
        <v>24.534377272769699</v>
      </c>
    </row>
    <row r="31" spans="1:16" ht="11.25" customHeight="1" x14ac:dyDescent="0.25">
      <c r="A31" s="51">
        <v>30</v>
      </c>
      <c r="B31" s="51" t="s">
        <v>834</v>
      </c>
      <c r="C31" s="51" t="s">
        <v>41</v>
      </c>
      <c r="D31" s="51" t="s">
        <v>62</v>
      </c>
      <c r="E31" s="51" t="s">
        <v>25</v>
      </c>
      <c r="F31" s="51" t="s">
        <v>25</v>
      </c>
      <c r="G31" s="51" t="s">
        <v>25</v>
      </c>
      <c r="H31" s="51" t="s">
        <v>63</v>
      </c>
      <c r="I31" s="51" t="s">
        <v>25</v>
      </c>
      <c r="J31" s="51" t="s">
        <v>955</v>
      </c>
      <c r="K31" s="51" t="s">
        <v>954</v>
      </c>
      <c r="L31" s="51" t="s">
        <v>102</v>
      </c>
      <c r="M31" s="51">
        <v>2021</v>
      </c>
      <c r="N31" s="51">
        <v>0</v>
      </c>
      <c r="O31" s="51">
        <v>15</v>
      </c>
      <c r="P31" s="51">
        <v>0</v>
      </c>
    </row>
    <row r="32" spans="1:16" ht="11.25" customHeight="1" x14ac:dyDescent="0.25">
      <c r="A32" s="51">
        <v>31</v>
      </c>
      <c r="B32" s="51" t="s">
        <v>834</v>
      </c>
      <c r="C32" s="51" t="s">
        <v>44</v>
      </c>
      <c r="D32" s="51" t="s">
        <v>33</v>
      </c>
      <c r="E32" s="51" t="s">
        <v>45</v>
      </c>
      <c r="F32" s="51" t="s">
        <v>116</v>
      </c>
      <c r="G32" s="51" t="s">
        <v>25</v>
      </c>
      <c r="H32" s="51" t="s">
        <v>25</v>
      </c>
      <c r="I32" s="51" t="s">
        <v>36</v>
      </c>
      <c r="J32" s="51" t="s">
        <v>955</v>
      </c>
      <c r="K32" s="51" t="s">
        <v>954</v>
      </c>
      <c r="L32" s="51" t="s">
        <v>102</v>
      </c>
      <c r="M32" s="51">
        <v>2021</v>
      </c>
      <c r="N32" s="51">
        <v>0</v>
      </c>
      <c r="O32" s="51">
        <v>525.19000000000005</v>
      </c>
      <c r="P32" s="51">
        <v>24.534377272769699</v>
      </c>
    </row>
    <row r="33" spans="1:16" ht="11.25" customHeight="1" x14ac:dyDescent="0.25">
      <c r="A33" s="51">
        <v>32</v>
      </c>
      <c r="B33" s="51" t="s">
        <v>834</v>
      </c>
      <c r="C33" s="51" t="s">
        <v>41</v>
      </c>
      <c r="D33" s="51" t="s">
        <v>62</v>
      </c>
      <c r="E33" s="51" t="s">
        <v>25</v>
      </c>
      <c r="F33" s="51" t="s">
        <v>25</v>
      </c>
      <c r="G33" s="51" t="s">
        <v>25</v>
      </c>
      <c r="H33" s="51" t="s">
        <v>65</v>
      </c>
      <c r="I33" s="51" t="s">
        <v>34</v>
      </c>
      <c r="J33" s="51" t="s">
        <v>953</v>
      </c>
      <c r="K33" s="51" t="s">
        <v>954</v>
      </c>
      <c r="L33" s="51" t="s">
        <v>105</v>
      </c>
      <c r="M33" s="51">
        <v>2021</v>
      </c>
      <c r="N33" s="51">
        <v>0</v>
      </c>
      <c r="O33" s="51">
        <v>25.64</v>
      </c>
      <c r="P33" s="51">
        <v>0</v>
      </c>
    </row>
    <row r="34" spans="1:16" ht="11.25" customHeight="1" x14ac:dyDescent="0.25">
      <c r="A34" s="51">
        <v>33</v>
      </c>
      <c r="B34" s="51" t="s">
        <v>834</v>
      </c>
      <c r="C34" s="51" t="s">
        <v>44</v>
      </c>
      <c r="D34" s="51" t="s">
        <v>33</v>
      </c>
      <c r="E34" s="51" t="s">
        <v>45</v>
      </c>
      <c r="F34" s="51" t="s">
        <v>116</v>
      </c>
      <c r="G34" s="51" t="s">
        <v>25</v>
      </c>
      <c r="H34" s="51" t="s">
        <v>25</v>
      </c>
      <c r="I34" s="51" t="s">
        <v>35</v>
      </c>
      <c r="J34" s="51" t="s">
        <v>955</v>
      </c>
      <c r="K34" s="51" t="s">
        <v>954</v>
      </c>
      <c r="L34" s="51" t="s">
        <v>102</v>
      </c>
      <c r="M34" s="51">
        <v>2021</v>
      </c>
      <c r="N34" s="51">
        <v>0</v>
      </c>
      <c r="O34" s="51">
        <v>226.76</v>
      </c>
      <c r="P34" s="51">
        <v>24.534377272769699</v>
      </c>
    </row>
    <row r="35" spans="1:16" ht="11.25" customHeight="1" x14ac:dyDescent="0.25">
      <c r="A35" s="51">
        <v>34</v>
      </c>
      <c r="B35" s="51" t="s">
        <v>834</v>
      </c>
      <c r="C35" s="51" t="s">
        <v>41</v>
      </c>
      <c r="D35" s="51" t="s">
        <v>62</v>
      </c>
      <c r="E35" s="51" t="s">
        <v>25</v>
      </c>
      <c r="F35" s="51" t="s">
        <v>25</v>
      </c>
      <c r="G35" s="51" t="s">
        <v>25</v>
      </c>
      <c r="H35" s="51" t="s">
        <v>65</v>
      </c>
      <c r="I35" s="51" t="s">
        <v>35</v>
      </c>
      <c r="J35" s="51" t="s">
        <v>953</v>
      </c>
      <c r="K35" s="51" t="s">
        <v>954</v>
      </c>
      <c r="L35" s="51" t="s">
        <v>105</v>
      </c>
      <c r="M35" s="51">
        <v>2021</v>
      </c>
      <c r="N35" s="51">
        <v>0</v>
      </c>
      <c r="O35" s="51">
        <v>13.55</v>
      </c>
      <c r="P35" s="51">
        <v>0</v>
      </c>
    </row>
    <row r="36" spans="1:16" ht="11.25" customHeight="1" x14ac:dyDescent="0.25">
      <c r="A36" s="51">
        <v>35</v>
      </c>
      <c r="B36" s="51" t="s">
        <v>834</v>
      </c>
      <c r="C36" s="51" t="s">
        <v>44</v>
      </c>
      <c r="D36" s="51" t="s">
        <v>23</v>
      </c>
      <c r="E36" s="51" t="s">
        <v>45</v>
      </c>
      <c r="F36" s="51" t="s">
        <v>116</v>
      </c>
      <c r="G36" s="51" t="s">
        <v>25</v>
      </c>
      <c r="H36" s="51" t="s">
        <v>25</v>
      </c>
      <c r="I36" s="51" t="s">
        <v>25</v>
      </c>
      <c r="J36" s="51" t="s">
        <v>955</v>
      </c>
      <c r="K36" s="51" t="s">
        <v>954</v>
      </c>
      <c r="L36" s="51" t="s">
        <v>102</v>
      </c>
      <c r="M36" s="51">
        <v>2021</v>
      </c>
      <c r="N36" s="51">
        <v>0</v>
      </c>
      <c r="O36" s="51">
        <v>300.26</v>
      </c>
      <c r="P36" s="51">
        <v>24.534377272769699</v>
      </c>
    </row>
    <row r="37" spans="1:16" ht="11.25" customHeight="1" x14ac:dyDescent="0.25">
      <c r="A37" s="51">
        <v>36</v>
      </c>
      <c r="B37" s="51" t="s">
        <v>834</v>
      </c>
      <c r="C37" s="51" t="s">
        <v>41</v>
      </c>
      <c r="D37" s="51" t="s">
        <v>62</v>
      </c>
      <c r="E37" s="51" t="s">
        <v>25</v>
      </c>
      <c r="F37" s="51" t="s">
        <v>25</v>
      </c>
      <c r="G37" s="51" t="s">
        <v>25</v>
      </c>
      <c r="H37" s="51" t="s">
        <v>65</v>
      </c>
      <c r="I37" s="51" t="s">
        <v>25</v>
      </c>
      <c r="J37" s="51" t="s">
        <v>955</v>
      </c>
      <c r="K37" s="51" t="s">
        <v>954</v>
      </c>
      <c r="L37" s="51" t="s">
        <v>102</v>
      </c>
      <c r="M37" s="51">
        <v>2021</v>
      </c>
      <c r="N37" s="51">
        <v>0</v>
      </c>
      <c r="O37" s="51">
        <v>15</v>
      </c>
      <c r="P37" s="51">
        <v>0</v>
      </c>
    </row>
    <row r="38" spans="1:16" ht="11.25" customHeight="1" x14ac:dyDescent="0.25">
      <c r="A38" s="51">
        <v>37</v>
      </c>
      <c r="B38" s="51" t="s">
        <v>834</v>
      </c>
      <c r="C38" s="51" t="s">
        <v>44</v>
      </c>
      <c r="D38" s="51" t="s">
        <v>33</v>
      </c>
      <c r="E38" s="51" t="s">
        <v>45</v>
      </c>
      <c r="F38" s="51" t="s">
        <v>117</v>
      </c>
      <c r="G38" s="51" t="s">
        <v>25</v>
      </c>
      <c r="H38" s="51" t="s">
        <v>25</v>
      </c>
      <c r="I38" s="51" t="s">
        <v>34</v>
      </c>
      <c r="J38" s="51" t="s">
        <v>955</v>
      </c>
      <c r="K38" s="51" t="s">
        <v>954</v>
      </c>
      <c r="L38" s="51" t="s">
        <v>102</v>
      </c>
      <c r="M38" s="51">
        <v>2021</v>
      </c>
      <c r="N38" s="51">
        <v>0</v>
      </c>
      <c r="O38" s="51">
        <v>786.18</v>
      </c>
      <c r="P38" s="51">
        <v>23.4191783058256</v>
      </c>
    </row>
    <row r="39" spans="1:16" ht="11.25" customHeight="1" x14ac:dyDescent="0.25">
      <c r="A39" s="51">
        <v>38</v>
      </c>
      <c r="B39" s="51" t="s">
        <v>834</v>
      </c>
      <c r="C39" s="51" t="s">
        <v>41</v>
      </c>
      <c r="D39" s="51" t="s">
        <v>66</v>
      </c>
      <c r="E39" s="51" t="s">
        <v>25</v>
      </c>
      <c r="F39" s="51" t="s">
        <v>25</v>
      </c>
      <c r="G39" s="51" t="s">
        <v>25</v>
      </c>
      <c r="H39" s="51" t="s">
        <v>25</v>
      </c>
      <c r="I39" s="51" t="s">
        <v>25</v>
      </c>
      <c r="J39" s="51" t="s">
        <v>953</v>
      </c>
      <c r="K39" s="51" t="s">
        <v>954</v>
      </c>
      <c r="L39" s="51" t="s">
        <v>105</v>
      </c>
      <c r="M39" s="51">
        <v>2021</v>
      </c>
      <c r="N39" s="51">
        <v>0</v>
      </c>
      <c r="O39" s="51">
        <v>14.41</v>
      </c>
      <c r="P39" s="51">
        <v>0</v>
      </c>
    </row>
    <row r="40" spans="1:16" ht="11.25" customHeight="1" x14ac:dyDescent="0.25">
      <c r="A40" s="51">
        <v>39</v>
      </c>
      <c r="B40" s="51" t="s">
        <v>834</v>
      </c>
      <c r="C40" s="51" t="s">
        <v>44</v>
      </c>
      <c r="D40" s="51" t="s">
        <v>33</v>
      </c>
      <c r="E40" s="51" t="s">
        <v>45</v>
      </c>
      <c r="F40" s="51" t="s">
        <v>117</v>
      </c>
      <c r="G40" s="51" t="s">
        <v>25</v>
      </c>
      <c r="H40" s="51" t="s">
        <v>25</v>
      </c>
      <c r="I40" s="51" t="s">
        <v>36</v>
      </c>
      <c r="J40" s="51" t="s">
        <v>955</v>
      </c>
      <c r="K40" s="51" t="s">
        <v>954</v>
      </c>
      <c r="L40" s="51" t="s">
        <v>102</v>
      </c>
      <c r="M40" s="51">
        <v>2021</v>
      </c>
      <c r="N40" s="51">
        <v>0</v>
      </c>
      <c r="O40" s="51">
        <v>501.32</v>
      </c>
      <c r="P40" s="51">
        <v>23.4191783058256</v>
      </c>
    </row>
    <row r="41" spans="1:16" ht="11.25" customHeight="1" x14ac:dyDescent="0.25">
      <c r="A41" s="51">
        <v>40</v>
      </c>
      <c r="B41" s="51" t="s">
        <v>834</v>
      </c>
      <c r="C41" s="51" t="s">
        <v>41</v>
      </c>
      <c r="D41" s="51" t="s">
        <v>42</v>
      </c>
      <c r="E41" s="51" t="s">
        <v>25</v>
      </c>
      <c r="F41" s="51" t="s">
        <v>25</v>
      </c>
      <c r="G41" s="51" t="s">
        <v>25</v>
      </c>
      <c r="H41" s="51" t="s">
        <v>25</v>
      </c>
      <c r="I41" s="51" t="s">
        <v>25</v>
      </c>
      <c r="J41" s="51" t="s">
        <v>953</v>
      </c>
      <c r="K41" s="51" t="s">
        <v>954</v>
      </c>
      <c r="L41" s="51" t="s">
        <v>105</v>
      </c>
      <c r="M41" s="51">
        <v>2021</v>
      </c>
      <c r="N41" s="51">
        <v>0</v>
      </c>
      <c r="O41" s="51">
        <v>26.22</v>
      </c>
      <c r="P41" s="51">
        <v>0</v>
      </c>
    </row>
    <row r="42" spans="1:16" ht="11.25" customHeight="1" x14ac:dyDescent="0.25">
      <c r="A42" s="51">
        <v>41</v>
      </c>
      <c r="B42" s="51" t="s">
        <v>834</v>
      </c>
      <c r="C42" s="51" t="s">
        <v>44</v>
      </c>
      <c r="D42" s="51" t="s">
        <v>33</v>
      </c>
      <c r="E42" s="51" t="s">
        <v>45</v>
      </c>
      <c r="F42" s="51" t="s">
        <v>117</v>
      </c>
      <c r="G42" s="51" t="s">
        <v>25</v>
      </c>
      <c r="H42" s="51" t="s">
        <v>25</v>
      </c>
      <c r="I42" s="51" t="s">
        <v>35</v>
      </c>
      <c r="J42" s="51" t="s">
        <v>955</v>
      </c>
      <c r="K42" s="51" t="s">
        <v>954</v>
      </c>
      <c r="L42" s="51" t="s">
        <v>102</v>
      </c>
      <c r="M42" s="51">
        <v>2021</v>
      </c>
      <c r="N42" s="51">
        <v>0</v>
      </c>
      <c r="O42" s="51">
        <v>216.46</v>
      </c>
      <c r="P42" s="51">
        <v>23.4191783058256</v>
      </c>
    </row>
    <row r="43" spans="1:16" ht="11.25" customHeight="1" x14ac:dyDescent="0.25">
      <c r="A43" s="51">
        <v>42</v>
      </c>
      <c r="B43" s="51" t="s">
        <v>834</v>
      </c>
      <c r="C43" s="51" t="s">
        <v>41</v>
      </c>
      <c r="D43" s="51" t="s">
        <v>42</v>
      </c>
      <c r="E43" s="51" t="s">
        <v>25</v>
      </c>
      <c r="F43" s="51" t="s">
        <v>25</v>
      </c>
      <c r="G43" s="51" t="s">
        <v>25</v>
      </c>
      <c r="H43" s="51" t="s">
        <v>25</v>
      </c>
      <c r="I43" s="51" t="s">
        <v>34</v>
      </c>
      <c r="J43" s="51" t="s">
        <v>955</v>
      </c>
      <c r="K43" s="51" t="s">
        <v>954</v>
      </c>
      <c r="L43" s="51" t="s">
        <v>102</v>
      </c>
      <c r="M43" s="51">
        <v>2021</v>
      </c>
      <c r="N43" s="51">
        <v>0</v>
      </c>
      <c r="O43" s="51">
        <v>1330.19</v>
      </c>
      <c r="P43" s="51">
        <v>24.255577531033701</v>
      </c>
    </row>
    <row r="44" spans="1:16" ht="11.25" customHeight="1" x14ac:dyDescent="0.25">
      <c r="A44" s="51">
        <v>43</v>
      </c>
      <c r="B44" s="51" t="s">
        <v>834</v>
      </c>
      <c r="C44" s="51" t="s">
        <v>44</v>
      </c>
      <c r="D44" s="51" t="s">
        <v>23</v>
      </c>
      <c r="E44" s="51" t="s">
        <v>45</v>
      </c>
      <c r="F44" s="51" t="s">
        <v>117</v>
      </c>
      <c r="G44" s="51" t="s">
        <v>25</v>
      </c>
      <c r="H44" s="51" t="s">
        <v>25</v>
      </c>
      <c r="I44" s="51" t="s">
        <v>25</v>
      </c>
      <c r="J44" s="51" t="s">
        <v>955</v>
      </c>
      <c r="K44" s="51" t="s">
        <v>954</v>
      </c>
      <c r="L44" s="51" t="s">
        <v>102</v>
      </c>
      <c r="M44" s="51">
        <v>2021</v>
      </c>
      <c r="N44" s="51">
        <v>0</v>
      </c>
      <c r="O44" s="51">
        <v>286.61</v>
      </c>
      <c r="P44" s="51">
        <v>23.4191783058256</v>
      </c>
    </row>
    <row r="45" spans="1:16" ht="11.25" customHeight="1" x14ac:dyDescent="0.25">
      <c r="A45" s="51">
        <v>44</v>
      </c>
      <c r="B45" s="51" t="s">
        <v>834</v>
      </c>
      <c r="C45" s="51" t="s">
        <v>41</v>
      </c>
      <c r="D45" s="51" t="s">
        <v>42</v>
      </c>
      <c r="E45" s="51" t="s">
        <v>25</v>
      </c>
      <c r="F45" s="51" t="s">
        <v>25</v>
      </c>
      <c r="G45" s="51" t="s">
        <v>25</v>
      </c>
      <c r="H45" s="51" t="s">
        <v>25</v>
      </c>
      <c r="I45" s="51" t="s">
        <v>35</v>
      </c>
      <c r="J45" s="51" t="s">
        <v>955</v>
      </c>
      <c r="K45" s="51" t="s">
        <v>954</v>
      </c>
      <c r="L45" s="51" t="s">
        <v>102</v>
      </c>
      <c r="M45" s="51">
        <v>2021</v>
      </c>
      <c r="N45" s="51">
        <v>0</v>
      </c>
      <c r="O45" s="51">
        <v>62.57</v>
      </c>
      <c r="P45" s="51">
        <v>24.255577531033701</v>
      </c>
    </row>
    <row r="46" spans="1:16" ht="11.25" customHeight="1" x14ac:dyDescent="0.25">
      <c r="A46" s="51">
        <v>45</v>
      </c>
      <c r="B46" s="51" t="s">
        <v>834</v>
      </c>
      <c r="C46" s="51" t="s">
        <v>44</v>
      </c>
      <c r="D46" s="51" t="s">
        <v>115</v>
      </c>
      <c r="E46" s="51" t="s">
        <v>45</v>
      </c>
      <c r="F46" s="51" t="s">
        <v>25</v>
      </c>
      <c r="G46" s="51" t="s">
        <v>25</v>
      </c>
      <c r="H46" s="51" t="s">
        <v>25</v>
      </c>
      <c r="I46" s="51" t="s">
        <v>25</v>
      </c>
      <c r="J46" s="51" t="s">
        <v>955</v>
      </c>
      <c r="K46" s="51" t="s">
        <v>954</v>
      </c>
      <c r="L46" s="51" t="s">
        <v>102</v>
      </c>
      <c r="M46" s="51">
        <v>2021</v>
      </c>
      <c r="N46" s="51">
        <v>0</v>
      </c>
      <c r="O46" s="51">
        <v>300.26</v>
      </c>
      <c r="P46" s="51">
        <v>24.534377272769699</v>
      </c>
    </row>
    <row r="47" spans="1:16" ht="11.25" customHeight="1" x14ac:dyDescent="0.25">
      <c r="A47" s="51">
        <v>46</v>
      </c>
      <c r="B47" s="51" t="s">
        <v>834</v>
      </c>
      <c r="C47" s="51" t="s">
        <v>41</v>
      </c>
      <c r="D47" s="51" t="s">
        <v>42</v>
      </c>
      <c r="E47" s="51" t="s">
        <v>25</v>
      </c>
      <c r="F47" s="51" t="s">
        <v>25</v>
      </c>
      <c r="G47" s="51" t="s">
        <v>59</v>
      </c>
      <c r="H47" s="51" t="s">
        <v>25</v>
      </c>
      <c r="I47" s="51" t="s">
        <v>34</v>
      </c>
      <c r="J47" s="51" t="s">
        <v>955</v>
      </c>
      <c r="K47" s="51" t="s">
        <v>954</v>
      </c>
      <c r="L47" s="51" t="s">
        <v>102</v>
      </c>
      <c r="M47" s="51">
        <v>2021</v>
      </c>
      <c r="N47" s="51">
        <v>0</v>
      </c>
      <c r="O47" s="51">
        <v>1292.68</v>
      </c>
      <c r="P47" s="51">
        <v>0</v>
      </c>
    </row>
    <row r="48" spans="1:16" ht="11.25" customHeight="1" x14ac:dyDescent="0.25">
      <c r="A48" s="51">
        <v>47</v>
      </c>
      <c r="B48" s="51" t="s">
        <v>834</v>
      </c>
      <c r="C48" s="51" t="s">
        <v>44</v>
      </c>
      <c r="D48" s="51" t="s">
        <v>115</v>
      </c>
      <c r="E48" s="51" t="s">
        <v>45</v>
      </c>
      <c r="F48" s="51" t="s">
        <v>116</v>
      </c>
      <c r="G48" s="51" t="s">
        <v>25</v>
      </c>
      <c r="H48" s="51" t="s">
        <v>25</v>
      </c>
      <c r="I48" s="51" t="s">
        <v>25</v>
      </c>
      <c r="J48" s="51" t="s">
        <v>955</v>
      </c>
      <c r="K48" s="51" t="s">
        <v>954</v>
      </c>
      <c r="L48" s="51" t="s">
        <v>102</v>
      </c>
      <c r="M48" s="51">
        <v>2021</v>
      </c>
      <c r="N48" s="51">
        <v>0</v>
      </c>
      <c r="O48" s="51">
        <v>300.26</v>
      </c>
      <c r="P48" s="51">
        <v>24.534377272769699</v>
      </c>
    </row>
    <row r="49" spans="1:16" ht="11.25" customHeight="1" x14ac:dyDescent="0.25">
      <c r="A49" s="51">
        <v>48</v>
      </c>
      <c r="B49" s="51" t="s">
        <v>834</v>
      </c>
      <c r="C49" s="51" t="s">
        <v>41</v>
      </c>
      <c r="D49" s="51" t="s">
        <v>42</v>
      </c>
      <c r="E49" s="51" t="s">
        <v>25</v>
      </c>
      <c r="F49" s="51" t="s">
        <v>25</v>
      </c>
      <c r="G49" s="51" t="s">
        <v>59</v>
      </c>
      <c r="H49" s="51" t="s">
        <v>25</v>
      </c>
      <c r="I49" s="51" t="s">
        <v>35</v>
      </c>
      <c r="J49" s="51" t="s">
        <v>955</v>
      </c>
      <c r="K49" s="51" t="s">
        <v>954</v>
      </c>
      <c r="L49" s="51" t="s">
        <v>102</v>
      </c>
      <c r="M49" s="51">
        <v>2021</v>
      </c>
      <c r="N49" s="51">
        <v>0</v>
      </c>
      <c r="O49" s="51">
        <v>25.05</v>
      </c>
      <c r="P49" s="51">
        <v>0</v>
      </c>
    </row>
    <row r="50" spans="1:16" ht="11.25" customHeight="1" x14ac:dyDescent="0.25">
      <c r="A50" s="51">
        <v>49</v>
      </c>
      <c r="B50" s="51" t="s">
        <v>834</v>
      </c>
      <c r="C50" s="51" t="s">
        <v>44</v>
      </c>
      <c r="D50" s="51" t="s">
        <v>115</v>
      </c>
      <c r="E50" s="51" t="s">
        <v>45</v>
      </c>
      <c r="F50" s="51" t="s">
        <v>117</v>
      </c>
      <c r="G50" s="51" t="s">
        <v>25</v>
      </c>
      <c r="H50" s="51" t="s">
        <v>25</v>
      </c>
      <c r="I50" s="51" t="s">
        <v>25</v>
      </c>
      <c r="J50" s="51" t="s">
        <v>955</v>
      </c>
      <c r="K50" s="51" t="s">
        <v>954</v>
      </c>
      <c r="L50" s="51" t="s">
        <v>102</v>
      </c>
      <c r="M50" s="51">
        <v>2021</v>
      </c>
      <c r="N50" s="51">
        <v>0</v>
      </c>
      <c r="O50" s="51">
        <v>286.61</v>
      </c>
      <c r="P50" s="51">
        <v>23.4191783058256</v>
      </c>
    </row>
    <row r="51" spans="1:16" ht="11.25" customHeight="1" x14ac:dyDescent="0.25">
      <c r="A51" s="51">
        <v>50</v>
      </c>
      <c r="B51" s="51" t="s">
        <v>834</v>
      </c>
      <c r="C51" s="51" t="s">
        <v>41</v>
      </c>
      <c r="D51" s="51" t="s">
        <v>23</v>
      </c>
      <c r="E51" s="51" t="s">
        <v>25</v>
      </c>
      <c r="F51" s="51" t="s">
        <v>25</v>
      </c>
      <c r="G51" s="51" t="s">
        <v>25</v>
      </c>
      <c r="H51" s="51" t="s">
        <v>25</v>
      </c>
      <c r="I51" s="51" t="s">
        <v>25</v>
      </c>
      <c r="J51" s="51" t="s">
        <v>953</v>
      </c>
      <c r="K51" s="51" t="s">
        <v>954</v>
      </c>
      <c r="L51" s="51" t="s">
        <v>105</v>
      </c>
      <c r="M51" s="51">
        <v>2021</v>
      </c>
      <c r="N51" s="51">
        <v>0</v>
      </c>
      <c r="O51" s="51">
        <v>63.77</v>
      </c>
      <c r="P51" s="51">
        <v>0</v>
      </c>
    </row>
    <row r="52" spans="1:16" ht="11.25" customHeight="1" x14ac:dyDescent="0.25">
      <c r="A52" s="51">
        <v>51</v>
      </c>
      <c r="B52" s="51" t="s">
        <v>834</v>
      </c>
      <c r="C52" s="51" t="s">
        <v>37</v>
      </c>
      <c r="D52" s="51" t="s">
        <v>33</v>
      </c>
      <c r="E52" s="51" t="s">
        <v>25</v>
      </c>
      <c r="F52" s="51" t="s">
        <v>25</v>
      </c>
      <c r="G52" s="51" t="s">
        <v>25</v>
      </c>
      <c r="H52" s="51" t="s">
        <v>25</v>
      </c>
      <c r="I52" s="51" t="s">
        <v>34</v>
      </c>
      <c r="J52" s="51" t="s">
        <v>955</v>
      </c>
      <c r="K52" s="51" t="s">
        <v>954</v>
      </c>
      <c r="L52" s="51" t="s">
        <v>102</v>
      </c>
      <c r="M52" s="51">
        <v>2021</v>
      </c>
      <c r="N52" s="51">
        <v>0</v>
      </c>
      <c r="O52" s="51">
        <v>948.58</v>
      </c>
      <c r="P52" s="51">
        <v>27.879974173601902</v>
      </c>
    </row>
    <row r="53" spans="1:16" ht="11.25" customHeight="1" x14ac:dyDescent="0.25">
      <c r="A53" s="51">
        <v>52</v>
      </c>
      <c r="B53" s="51" t="s">
        <v>834</v>
      </c>
      <c r="C53" s="51" t="s">
        <v>41</v>
      </c>
      <c r="D53" s="51" t="s">
        <v>23</v>
      </c>
      <c r="E53" s="51" t="s">
        <v>25</v>
      </c>
      <c r="F53" s="51" t="s">
        <v>25</v>
      </c>
      <c r="G53" s="51" t="s">
        <v>25</v>
      </c>
      <c r="H53" s="51" t="s">
        <v>25</v>
      </c>
      <c r="I53" s="51" t="s">
        <v>25</v>
      </c>
      <c r="J53" s="51" t="s">
        <v>955</v>
      </c>
      <c r="K53" s="51" t="s">
        <v>954</v>
      </c>
      <c r="L53" s="51" t="s">
        <v>102</v>
      </c>
      <c r="M53" s="51">
        <v>2021</v>
      </c>
      <c r="N53" s="51">
        <v>0</v>
      </c>
      <c r="O53" s="51">
        <v>62.57</v>
      </c>
      <c r="P53" s="51">
        <v>24.255577531033701</v>
      </c>
    </row>
    <row r="54" spans="1:16" ht="11.25" customHeight="1" x14ac:dyDescent="0.25">
      <c r="A54" s="51">
        <v>53</v>
      </c>
      <c r="B54" s="51" t="s">
        <v>834</v>
      </c>
      <c r="C54" s="51" t="s">
        <v>37</v>
      </c>
      <c r="D54" s="51" t="s">
        <v>33</v>
      </c>
      <c r="E54" s="51" t="s">
        <v>25</v>
      </c>
      <c r="F54" s="51" t="s">
        <v>25</v>
      </c>
      <c r="G54" s="51" t="s">
        <v>25</v>
      </c>
      <c r="H54" s="51" t="s">
        <v>25</v>
      </c>
      <c r="I54" s="51" t="s">
        <v>36</v>
      </c>
      <c r="J54" s="51" t="s">
        <v>955</v>
      </c>
      <c r="K54" s="51" t="s">
        <v>954</v>
      </c>
      <c r="L54" s="51" t="s">
        <v>102</v>
      </c>
      <c r="M54" s="51">
        <v>2021</v>
      </c>
      <c r="N54" s="51">
        <v>0</v>
      </c>
      <c r="O54" s="51">
        <v>604.4</v>
      </c>
      <c r="P54" s="51">
        <v>27.879974173601902</v>
      </c>
    </row>
    <row r="55" spans="1:16" ht="11.25" customHeight="1" x14ac:dyDescent="0.25">
      <c r="A55" s="51">
        <v>54</v>
      </c>
      <c r="B55" s="51" t="s">
        <v>834</v>
      </c>
      <c r="C55" s="51" t="s">
        <v>110</v>
      </c>
      <c r="D55" s="51" t="s">
        <v>66</v>
      </c>
      <c r="E55" s="51" t="s">
        <v>25</v>
      </c>
      <c r="F55" s="51" t="s">
        <v>25</v>
      </c>
      <c r="G55" s="51" t="s">
        <v>111</v>
      </c>
      <c r="H55" s="51" t="s">
        <v>25</v>
      </c>
      <c r="I55" s="51" t="s">
        <v>25</v>
      </c>
      <c r="J55" s="51" t="s">
        <v>953</v>
      </c>
      <c r="K55" s="51" t="s">
        <v>954</v>
      </c>
      <c r="L55" s="51" t="s">
        <v>105</v>
      </c>
      <c r="M55" s="51">
        <v>2021</v>
      </c>
      <c r="N55" s="51">
        <v>0</v>
      </c>
      <c r="O55" s="51">
        <v>6.04</v>
      </c>
      <c r="P55" s="51">
        <v>0</v>
      </c>
    </row>
    <row r="56" spans="1:16" ht="11.25" customHeight="1" x14ac:dyDescent="0.25">
      <c r="A56" s="51">
        <v>55</v>
      </c>
      <c r="B56" s="51" t="s">
        <v>834</v>
      </c>
      <c r="C56" s="51" t="s">
        <v>37</v>
      </c>
      <c r="D56" s="51" t="s">
        <v>33</v>
      </c>
      <c r="E56" s="51" t="s">
        <v>25</v>
      </c>
      <c r="F56" s="51" t="s">
        <v>25</v>
      </c>
      <c r="G56" s="51" t="s">
        <v>25</v>
      </c>
      <c r="H56" s="51" t="s">
        <v>25</v>
      </c>
      <c r="I56" s="51" t="s">
        <v>35</v>
      </c>
      <c r="J56" s="51" t="s">
        <v>955</v>
      </c>
      <c r="K56" s="51" t="s">
        <v>954</v>
      </c>
      <c r="L56" s="51" t="s">
        <v>102</v>
      </c>
      <c r="M56" s="51">
        <v>2021</v>
      </c>
      <c r="N56" s="51">
        <v>0</v>
      </c>
      <c r="O56" s="51">
        <v>260.22000000000003</v>
      </c>
      <c r="P56" s="51">
        <v>27.879974173601902</v>
      </c>
    </row>
    <row r="57" spans="1:16" ht="11.25" customHeight="1" x14ac:dyDescent="0.25">
      <c r="A57" s="51">
        <v>56</v>
      </c>
      <c r="B57" s="51" t="s">
        <v>834</v>
      </c>
      <c r="C57" s="51" t="s">
        <v>110</v>
      </c>
      <c r="D57" s="51" t="s">
        <v>66</v>
      </c>
      <c r="E57" s="51" t="s">
        <v>25</v>
      </c>
      <c r="F57" s="51" t="s">
        <v>25</v>
      </c>
      <c r="G57" s="51" t="s">
        <v>112</v>
      </c>
      <c r="H57" s="51" t="s">
        <v>25</v>
      </c>
      <c r="I57" s="51" t="s">
        <v>25</v>
      </c>
      <c r="J57" s="51" t="s">
        <v>953</v>
      </c>
      <c r="K57" s="51" t="s">
        <v>954</v>
      </c>
      <c r="L57" s="51" t="s">
        <v>105</v>
      </c>
      <c r="M57" s="51">
        <v>2021</v>
      </c>
      <c r="N57" s="51">
        <v>0</v>
      </c>
      <c r="O57" s="51">
        <v>16.8</v>
      </c>
      <c r="P57" s="51">
        <v>0</v>
      </c>
    </row>
    <row r="58" spans="1:16" ht="11.25" customHeight="1" x14ac:dyDescent="0.25">
      <c r="A58" s="51">
        <v>57</v>
      </c>
      <c r="B58" s="51" t="s">
        <v>834</v>
      </c>
      <c r="C58" s="51" t="s">
        <v>37</v>
      </c>
      <c r="D58" s="51" t="s">
        <v>23</v>
      </c>
      <c r="E58" s="51" t="s">
        <v>25</v>
      </c>
      <c r="F58" s="51" t="s">
        <v>25</v>
      </c>
      <c r="G58" s="51" t="s">
        <v>25</v>
      </c>
      <c r="H58" s="51" t="s">
        <v>25</v>
      </c>
      <c r="I58" s="51" t="s">
        <v>25</v>
      </c>
      <c r="J58" s="51" t="s">
        <v>955</v>
      </c>
      <c r="K58" s="51" t="s">
        <v>954</v>
      </c>
      <c r="L58" s="51" t="s">
        <v>102</v>
      </c>
      <c r="M58" s="51">
        <v>2021</v>
      </c>
      <c r="N58" s="51">
        <v>0</v>
      </c>
      <c r="O58" s="51">
        <v>341.2</v>
      </c>
      <c r="P58" s="51">
        <v>27.879974173601902</v>
      </c>
    </row>
    <row r="59" spans="1:16" ht="11.25" customHeight="1" x14ac:dyDescent="0.25">
      <c r="A59" s="51">
        <v>58</v>
      </c>
      <c r="B59" s="51" t="s">
        <v>834</v>
      </c>
      <c r="C59" s="51" t="s">
        <v>22</v>
      </c>
      <c r="D59" s="51" t="s">
        <v>33</v>
      </c>
      <c r="E59" s="51" t="s">
        <v>24</v>
      </c>
      <c r="F59" s="51" t="s">
        <v>24</v>
      </c>
      <c r="G59" s="51" t="s">
        <v>25</v>
      </c>
      <c r="H59" s="51" t="s">
        <v>25</v>
      </c>
      <c r="I59" s="51" t="s">
        <v>34</v>
      </c>
      <c r="J59" s="51" t="s">
        <v>955</v>
      </c>
      <c r="K59" s="51" t="s">
        <v>954</v>
      </c>
      <c r="L59" s="51" t="s">
        <v>102</v>
      </c>
      <c r="M59" s="51">
        <v>2021</v>
      </c>
      <c r="N59" s="51">
        <v>0</v>
      </c>
      <c r="O59" s="51">
        <v>897.96</v>
      </c>
      <c r="P59" s="51">
        <v>27.879974173601902</v>
      </c>
    </row>
    <row r="60" spans="1:16" ht="11.25" customHeight="1" x14ac:dyDescent="0.25">
      <c r="A60" s="51">
        <v>59</v>
      </c>
      <c r="B60" s="51" t="s">
        <v>834</v>
      </c>
      <c r="C60" s="51" t="s">
        <v>37</v>
      </c>
      <c r="D60" s="51" t="s">
        <v>115</v>
      </c>
      <c r="E60" s="51" t="s">
        <v>25</v>
      </c>
      <c r="F60" s="51" t="s">
        <v>25</v>
      </c>
      <c r="G60" s="51" t="s">
        <v>25</v>
      </c>
      <c r="H60" s="51" t="s">
        <v>25</v>
      </c>
      <c r="I60" s="51" t="s">
        <v>25</v>
      </c>
      <c r="J60" s="51" t="s">
        <v>955</v>
      </c>
      <c r="K60" s="51" t="s">
        <v>954</v>
      </c>
      <c r="L60" s="51" t="s">
        <v>102</v>
      </c>
      <c r="M60" s="51">
        <v>2021</v>
      </c>
      <c r="N60" s="51">
        <v>0</v>
      </c>
      <c r="O60" s="51">
        <v>341.2</v>
      </c>
      <c r="P60" s="51">
        <v>27.879974173601902</v>
      </c>
    </row>
    <row r="61" spans="1:16" ht="11.25" customHeight="1" x14ac:dyDescent="0.25">
      <c r="A61" s="51">
        <v>60</v>
      </c>
      <c r="B61" s="51" t="s">
        <v>834</v>
      </c>
      <c r="C61" s="51" t="s">
        <v>22</v>
      </c>
      <c r="D61" s="51" t="s">
        <v>33</v>
      </c>
      <c r="E61" s="51" t="s">
        <v>24</v>
      </c>
      <c r="F61" s="51" t="s">
        <v>24</v>
      </c>
      <c r="G61" s="51" t="s">
        <v>25</v>
      </c>
      <c r="H61" s="51" t="s">
        <v>25</v>
      </c>
      <c r="I61" s="51" t="s">
        <v>36</v>
      </c>
      <c r="J61" s="51" t="s">
        <v>955</v>
      </c>
      <c r="K61" s="51" t="s">
        <v>954</v>
      </c>
      <c r="L61" s="51" t="s">
        <v>102</v>
      </c>
      <c r="M61" s="51">
        <v>2021</v>
      </c>
      <c r="N61" s="51">
        <v>0</v>
      </c>
      <c r="O61" s="51">
        <v>574.03</v>
      </c>
      <c r="P61" s="51">
        <v>27.879974173601902</v>
      </c>
    </row>
    <row r="62" spans="1:16" ht="11.25" customHeight="1" x14ac:dyDescent="0.25">
      <c r="A62" s="51">
        <v>61</v>
      </c>
      <c r="B62" s="51" t="s">
        <v>834</v>
      </c>
      <c r="C62" s="51" t="s">
        <v>47</v>
      </c>
      <c r="D62" s="51" t="s">
        <v>23</v>
      </c>
      <c r="E62" s="51" t="s">
        <v>48</v>
      </c>
      <c r="F62" s="51" t="s">
        <v>49</v>
      </c>
      <c r="G62" s="51" t="s">
        <v>25</v>
      </c>
      <c r="H62" s="51" t="s">
        <v>25</v>
      </c>
      <c r="I62" s="51" t="s">
        <v>25</v>
      </c>
      <c r="J62" s="51" t="s">
        <v>955</v>
      </c>
      <c r="K62" s="51" t="s">
        <v>954</v>
      </c>
      <c r="L62" s="51" t="s">
        <v>102</v>
      </c>
      <c r="M62" s="51">
        <v>2021</v>
      </c>
      <c r="N62" s="51">
        <v>0</v>
      </c>
      <c r="O62" s="51">
        <v>187.66</v>
      </c>
      <c r="P62" s="51">
        <v>15.3339857954811</v>
      </c>
    </row>
    <row r="63" spans="1:16" ht="11.25" customHeight="1" x14ac:dyDescent="0.25">
      <c r="A63" s="51">
        <v>62</v>
      </c>
      <c r="B63" s="51" t="s">
        <v>834</v>
      </c>
      <c r="C63" s="51" t="s">
        <v>22</v>
      </c>
      <c r="D63" s="51" t="s">
        <v>33</v>
      </c>
      <c r="E63" s="51" t="s">
        <v>24</v>
      </c>
      <c r="F63" s="51" t="s">
        <v>24</v>
      </c>
      <c r="G63" s="51" t="s">
        <v>25</v>
      </c>
      <c r="H63" s="51" t="s">
        <v>25</v>
      </c>
      <c r="I63" s="51" t="s">
        <v>35</v>
      </c>
      <c r="J63" s="51" t="s">
        <v>955</v>
      </c>
      <c r="K63" s="51" t="s">
        <v>954</v>
      </c>
      <c r="L63" s="51" t="s">
        <v>102</v>
      </c>
      <c r="M63" s="51">
        <v>2021</v>
      </c>
      <c r="N63" s="51">
        <v>0</v>
      </c>
      <c r="O63" s="51">
        <v>250.09</v>
      </c>
      <c r="P63" s="51">
        <v>27.879974173601902</v>
      </c>
    </row>
    <row r="64" spans="1:16" ht="11.25" customHeight="1" x14ac:dyDescent="0.25">
      <c r="A64" s="51">
        <v>63</v>
      </c>
      <c r="B64" s="51" t="s">
        <v>834</v>
      </c>
      <c r="C64" s="51" t="s">
        <v>47</v>
      </c>
      <c r="D64" s="51" t="s">
        <v>23</v>
      </c>
      <c r="E64" s="51" t="s">
        <v>48</v>
      </c>
      <c r="F64" s="51" t="s">
        <v>118</v>
      </c>
      <c r="G64" s="51" t="s">
        <v>25</v>
      </c>
      <c r="H64" s="51" t="s">
        <v>25</v>
      </c>
      <c r="I64" s="51" t="s">
        <v>25</v>
      </c>
      <c r="J64" s="51" t="s">
        <v>955</v>
      </c>
      <c r="K64" s="51" t="s">
        <v>954</v>
      </c>
      <c r="L64" s="51" t="s">
        <v>102</v>
      </c>
      <c r="M64" s="51">
        <v>2021</v>
      </c>
      <c r="N64" s="51">
        <v>0</v>
      </c>
      <c r="O64" s="51">
        <v>204.72</v>
      </c>
      <c r="P64" s="51">
        <v>16.727984504161199</v>
      </c>
    </row>
    <row r="65" spans="1:16" ht="11.25" customHeight="1" x14ac:dyDescent="0.25">
      <c r="A65" s="51">
        <v>64</v>
      </c>
      <c r="B65" s="51" t="s">
        <v>862</v>
      </c>
      <c r="C65" s="51" t="s">
        <v>39</v>
      </c>
      <c r="D65" s="51" t="s">
        <v>101</v>
      </c>
      <c r="E65" s="51" t="s">
        <v>25</v>
      </c>
      <c r="F65" s="51" t="s">
        <v>25</v>
      </c>
      <c r="G65" s="51" t="s">
        <v>25</v>
      </c>
      <c r="H65" s="51" t="s">
        <v>25</v>
      </c>
      <c r="I65" s="51" t="s">
        <v>34</v>
      </c>
      <c r="J65" s="51" t="s">
        <v>955</v>
      </c>
      <c r="K65" s="51" t="s">
        <v>954</v>
      </c>
      <c r="L65" s="51" t="s">
        <v>102</v>
      </c>
      <c r="M65" s="51">
        <v>2021</v>
      </c>
      <c r="N65" s="51">
        <v>0</v>
      </c>
      <c r="O65" s="51">
        <v>397.62</v>
      </c>
      <c r="P65" s="51"/>
    </row>
    <row r="66" spans="1:16" ht="11.25" customHeight="1" x14ac:dyDescent="0.25">
      <c r="A66" s="51">
        <v>65</v>
      </c>
      <c r="B66" s="51" t="s">
        <v>862</v>
      </c>
      <c r="C66" s="51" t="s">
        <v>39</v>
      </c>
      <c r="D66" s="51" t="s">
        <v>101</v>
      </c>
      <c r="E66" s="51" t="s">
        <v>25</v>
      </c>
      <c r="F66" s="51" t="s">
        <v>25</v>
      </c>
      <c r="G66" s="51" t="s">
        <v>25</v>
      </c>
      <c r="H66" s="51" t="s">
        <v>25</v>
      </c>
      <c r="I66" s="51" t="s">
        <v>35</v>
      </c>
      <c r="J66" s="51" t="s">
        <v>955</v>
      </c>
      <c r="K66" s="51" t="s">
        <v>954</v>
      </c>
      <c r="L66" s="51" t="s">
        <v>102</v>
      </c>
      <c r="M66" s="51">
        <v>2021</v>
      </c>
      <c r="N66" s="51">
        <v>0</v>
      </c>
      <c r="O66" s="51">
        <v>242.82</v>
      </c>
      <c r="P66" s="51"/>
    </row>
    <row r="67" spans="1:16" ht="11.25" customHeight="1" x14ac:dyDescent="0.25">
      <c r="A67" s="51">
        <v>66</v>
      </c>
      <c r="B67" s="51" t="s">
        <v>862</v>
      </c>
      <c r="C67" s="51" t="s">
        <v>41</v>
      </c>
      <c r="D67" s="51" t="s">
        <v>101</v>
      </c>
      <c r="E67" s="51" t="s">
        <v>25</v>
      </c>
      <c r="F67" s="51" t="s">
        <v>25</v>
      </c>
      <c r="G67" s="51" t="s">
        <v>25</v>
      </c>
      <c r="H67" s="51" t="s">
        <v>25</v>
      </c>
      <c r="I67" s="51" t="s">
        <v>34</v>
      </c>
      <c r="J67" s="51" t="s">
        <v>955</v>
      </c>
      <c r="K67" s="51" t="s">
        <v>954</v>
      </c>
      <c r="L67" s="51" t="s">
        <v>102</v>
      </c>
      <c r="M67" s="51">
        <v>2021</v>
      </c>
      <c r="N67" s="51">
        <v>0</v>
      </c>
      <c r="O67" s="51">
        <v>397.62</v>
      </c>
      <c r="P67" s="51"/>
    </row>
    <row r="68" spans="1:16" ht="11.25" customHeight="1" x14ac:dyDescent="0.25">
      <c r="A68" s="51">
        <v>67</v>
      </c>
      <c r="B68" s="51" t="s">
        <v>862</v>
      </c>
      <c r="C68" s="51" t="s">
        <v>41</v>
      </c>
      <c r="D68" s="51" t="s">
        <v>101</v>
      </c>
      <c r="E68" s="51" t="s">
        <v>25</v>
      </c>
      <c r="F68" s="51" t="s">
        <v>25</v>
      </c>
      <c r="G68" s="51" t="s">
        <v>25</v>
      </c>
      <c r="H68" s="51" t="s">
        <v>25</v>
      </c>
      <c r="I68" s="51" t="s">
        <v>35</v>
      </c>
      <c r="J68" s="51" t="s">
        <v>955</v>
      </c>
      <c r="K68" s="51" t="s">
        <v>954</v>
      </c>
      <c r="L68" s="51" t="s">
        <v>102</v>
      </c>
      <c r="M68" s="51">
        <v>2021</v>
      </c>
      <c r="N68" s="51">
        <v>0</v>
      </c>
      <c r="O68" s="51">
        <v>242.82</v>
      </c>
      <c r="P68" s="51"/>
    </row>
    <row r="69" spans="1:16" ht="11.25" customHeight="1" x14ac:dyDescent="0.25">
      <c r="A69" s="51">
        <v>68</v>
      </c>
      <c r="B69" s="51" t="s">
        <v>862</v>
      </c>
      <c r="C69" s="51" t="s">
        <v>41</v>
      </c>
      <c r="D69" s="51" t="s">
        <v>109</v>
      </c>
      <c r="E69" s="51" t="s">
        <v>25</v>
      </c>
      <c r="F69" s="51" t="s">
        <v>25</v>
      </c>
      <c r="G69" s="51" t="s">
        <v>25</v>
      </c>
      <c r="H69" s="51" t="s">
        <v>25</v>
      </c>
      <c r="I69" s="51" t="s">
        <v>25</v>
      </c>
      <c r="J69" s="51" t="s">
        <v>955</v>
      </c>
      <c r="K69" s="51" t="s">
        <v>954</v>
      </c>
      <c r="L69" s="51" t="s">
        <v>102</v>
      </c>
      <c r="M69" s="51">
        <v>2021</v>
      </c>
      <c r="N69" s="51">
        <v>0</v>
      </c>
      <c r="O69" s="51">
        <v>255.72</v>
      </c>
      <c r="P69" s="51"/>
    </row>
    <row r="70" spans="1:16" ht="11.25" customHeight="1" x14ac:dyDescent="0.25">
      <c r="A70" s="51">
        <v>69</v>
      </c>
      <c r="B70" s="51" t="s">
        <v>862</v>
      </c>
      <c r="C70" s="51" t="s">
        <v>22</v>
      </c>
      <c r="D70" s="51" t="s">
        <v>101</v>
      </c>
      <c r="E70" s="51" t="s">
        <v>24</v>
      </c>
      <c r="F70" s="51" t="s">
        <v>24</v>
      </c>
      <c r="G70" s="51" t="s">
        <v>25</v>
      </c>
      <c r="H70" s="51" t="s">
        <v>25</v>
      </c>
      <c r="I70" s="51" t="s">
        <v>34</v>
      </c>
      <c r="J70" s="51" t="s">
        <v>955</v>
      </c>
      <c r="K70" s="51" t="s">
        <v>954</v>
      </c>
      <c r="L70" s="51" t="s">
        <v>102</v>
      </c>
      <c r="M70" s="51">
        <v>2021</v>
      </c>
      <c r="N70" s="51">
        <v>0</v>
      </c>
      <c r="O70" s="51">
        <v>397.62</v>
      </c>
      <c r="P70" s="51"/>
    </row>
    <row r="71" spans="1:16" ht="11.25" customHeight="1" x14ac:dyDescent="0.25">
      <c r="A71" s="51">
        <v>70</v>
      </c>
      <c r="B71" s="51" t="s">
        <v>862</v>
      </c>
      <c r="C71" s="51" t="s">
        <v>22</v>
      </c>
      <c r="D71" s="51" t="s">
        <v>101</v>
      </c>
      <c r="E71" s="51" t="s">
        <v>24</v>
      </c>
      <c r="F71" s="51" t="s">
        <v>24</v>
      </c>
      <c r="G71" s="51" t="s">
        <v>25</v>
      </c>
      <c r="H71" s="51" t="s">
        <v>25</v>
      </c>
      <c r="I71" s="51" t="s">
        <v>36</v>
      </c>
      <c r="J71" s="51" t="s">
        <v>955</v>
      </c>
      <c r="K71" s="51" t="s">
        <v>954</v>
      </c>
      <c r="L71" s="51" t="s">
        <v>102</v>
      </c>
      <c r="M71" s="51">
        <v>2021</v>
      </c>
      <c r="N71" s="51">
        <v>0</v>
      </c>
      <c r="O71" s="51">
        <v>242.82</v>
      </c>
      <c r="P71" s="51"/>
    </row>
    <row r="72" spans="1:16" ht="11.25" customHeight="1" x14ac:dyDescent="0.25">
      <c r="A72" s="51">
        <v>71</v>
      </c>
      <c r="B72" s="51" t="s">
        <v>862</v>
      </c>
      <c r="C72" s="51" t="s">
        <v>22</v>
      </c>
      <c r="D72" s="51" t="s">
        <v>101</v>
      </c>
      <c r="E72" s="51" t="s">
        <v>24</v>
      </c>
      <c r="F72" s="51" t="s">
        <v>24</v>
      </c>
      <c r="G72" s="51" t="s">
        <v>25</v>
      </c>
      <c r="H72" s="51" t="s">
        <v>25</v>
      </c>
      <c r="I72" s="51" t="s">
        <v>35</v>
      </c>
      <c r="J72" s="51" t="s">
        <v>955</v>
      </c>
      <c r="K72" s="51" t="s">
        <v>954</v>
      </c>
      <c r="L72" s="51" t="s">
        <v>102</v>
      </c>
      <c r="M72" s="51">
        <v>2021</v>
      </c>
      <c r="N72" s="51">
        <v>0</v>
      </c>
      <c r="O72" s="51">
        <v>242.82</v>
      </c>
      <c r="P72" s="51"/>
    </row>
    <row r="73" spans="1:16" ht="11.25" customHeight="1" x14ac:dyDescent="0.25">
      <c r="A73" s="51">
        <v>72</v>
      </c>
      <c r="B73" s="51" t="s">
        <v>862</v>
      </c>
      <c r="C73" s="51" t="s">
        <v>22</v>
      </c>
      <c r="D73" s="51" t="s">
        <v>109</v>
      </c>
      <c r="E73" s="51" t="s">
        <v>24</v>
      </c>
      <c r="F73" s="51" t="s">
        <v>24</v>
      </c>
      <c r="G73" s="51" t="s">
        <v>25</v>
      </c>
      <c r="H73" s="51" t="s">
        <v>25</v>
      </c>
      <c r="I73" s="51" t="s">
        <v>25</v>
      </c>
      <c r="J73" s="51" t="s">
        <v>955</v>
      </c>
      <c r="K73" s="51" t="s">
        <v>954</v>
      </c>
      <c r="L73" s="51" t="s">
        <v>102</v>
      </c>
      <c r="M73" s="51">
        <v>2021</v>
      </c>
      <c r="N73" s="51">
        <v>0</v>
      </c>
      <c r="O73" s="51">
        <v>255.72</v>
      </c>
      <c r="P73" s="51"/>
    </row>
    <row r="74" spans="1:16" ht="11.25" customHeight="1" x14ac:dyDescent="0.25">
      <c r="A74" s="51">
        <v>73</v>
      </c>
      <c r="B74" s="51" t="s">
        <v>862</v>
      </c>
      <c r="C74" s="51" t="s">
        <v>22</v>
      </c>
      <c r="D74" s="51" t="s">
        <v>109</v>
      </c>
      <c r="E74" s="51" t="s">
        <v>24</v>
      </c>
      <c r="F74" s="51" t="s">
        <v>29</v>
      </c>
      <c r="G74" s="51" t="s">
        <v>25</v>
      </c>
      <c r="H74" s="51" t="s">
        <v>25</v>
      </c>
      <c r="I74" s="51" t="s">
        <v>25</v>
      </c>
      <c r="J74" s="51" t="s">
        <v>955</v>
      </c>
      <c r="K74" s="51" t="s">
        <v>954</v>
      </c>
      <c r="L74" s="51" t="s">
        <v>102</v>
      </c>
      <c r="M74" s="51">
        <v>2021</v>
      </c>
      <c r="N74" s="51">
        <v>0</v>
      </c>
      <c r="O74" s="51">
        <v>89.5</v>
      </c>
      <c r="P74" s="51"/>
    </row>
    <row r="75" spans="1:16" ht="11.25" customHeight="1" x14ac:dyDescent="0.25">
      <c r="A75" s="51">
        <v>74</v>
      </c>
      <c r="B75" s="51" t="s">
        <v>862</v>
      </c>
      <c r="C75" s="51" t="s">
        <v>22</v>
      </c>
      <c r="D75" s="51" t="s">
        <v>109</v>
      </c>
      <c r="E75" s="51" t="s">
        <v>24</v>
      </c>
      <c r="F75" s="51" t="s">
        <v>30</v>
      </c>
      <c r="G75" s="51" t="s">
        <v>25</v>
      </c>
      <c r="H75" s="51" t="s">
        <v>25</v>
      </c>
      <c r="I75" s="51" t="s">
        <v>25</v>
      </c>
      <c r="J75" s="51" t="s">
        <v>955</v>
      </c>
      <c r="K75" s="51" t="s">
        <v>954</v>
      </c>
      <c r="L75" s="51" t="s">
        <v>102</v>
      </c>
      <c r="M75" s="51">
        <v>2021</v>
      </c>
      <c r="N75" s="51">
        <v>0</v>
      </c>
      <c r="O75" s="51">
        <v>153.43</v>
      </c>
      <c r="P75" s="51"/>
    </row>
    <row r="76" spans="1:16" ht="11.25" customHeight="1" x14ac:dyDescent="0.25">
      <c r="A76" s="51">
        <v>75</v>
      </c>
      <c r="B76" s="51" t="s">
        <v>862</v>
      </c>
      <c r="C76" s="51" t="s">
        <v>22</v>
      </c>
      <c r="D76" s="51" t="s">
        <v>109</v>
      </c>
      <c r="E76" s="51" t="s">
        <v>24</v>
      </c>
      <c r="F76" s="51" t="s">
        <v>31</v>
      </c>
      <c r="G76" s="51" t="s">
        <v>25</v>
      </c>
      <c r="H76" s="51" t="s">
        <v>25</v>
      </c>
      <c r="I76" s="51" t="s">
        <v>25</v>
      </c>
      <c r="J76" s="51" t="s">
        <v>955</v>
      </c>
      <c r="K76" s="51" t="s">
        <v>954</v>
      </c>
      <c r="L76" s="51" t="s">
        <v>102</v>
      </c>
      <c r="M76" s="51">
        <v>2021</v>
      </c>
      <c r="N76" s="51">
        <v>0</v>
      </c>
      <c r="O76" s="51">
        <v>230.15</v>
      </c>
      <c r="P76" s="51"/>
    </row>
    <row r="77" spans="1:16" ht="11.25" customHeight="1" x14ac:dyDescent="0.25">
      <c r="A77" s="51">
        <v>76</v>
      </c>
      <c r="B77" s="51" t="s">
        <v>862</v>
      </c>
      <c r="C77" s="51" t="s">
        <v>22</v>
      </c>
      <c r="D77" s="51" t="s">
        <v>109</v>
      </c>
      <c r="E77" s="51" t="s">
        <v>24</v>
      </c>
      <c r="F77" s="51" t="s">
        <v>32</v>
      </c>
      <c r="G77" s="51" t="s">
        <v>25</v>
      </c>
      <c r="H77" s="51" t="s">
        <v>25</v>
      </c>
      <c r="I77" s="51" t="s">
        <v>25</v>
      </c>
      <c r="J77" s="51" t="s">
        <v>955</v>
      </c>
      <c r="K77" s="51" t="s">
        <v>954</v>
      </c>
      <c r="L77" s="51" t="s">
        <v>102</v>
      </c>
      <c r="M77" s="51">
        <v>2021</v>
      </c>
      <c r="N77" s="51">
        <v>0</v>
      </c>
      <c r="O77" s="51">
        <v>255.72</v>
      </c>
      <c r="P77" s="51"/>
    </row>
    <row r="78" spans="1:16" ht="11.25" customHeight="1" x14ac:dyDescent="0.25">
      <c r="A78" s="51">
        <v>77</v>
      </c>
      <c r="B78" s="51" t="s">
        <v>862</v>
      </c>
      <c r="C78" s="51" t="s">
        <v>22</v>
      </c>
      <c r="D78" s="51" t="s">
        <v>114</v>
      </c>
      <c r="E78" s="51" t="s">
        <v>24</v>
      </c>
      <c r="F78" s="51" t="s">
        <v>24</v>
      </c>
      <c r="G78" s="51" t="s">
        <v>25</v>
      </c>
      <c r="H78" s="51" t="s">
        <v>25</v>
      </c>
      <c r="I78" s="51" t="s">
        <v>25</v>
      </c>
      <c r="J78" s="51" t="s">
        <v>955</v>
      </c>
      <c r="K78" s="51" t="s">
        <v>954</v>
      </c>
      <c r="L78" s="51" t="s">
        <v>102</v>
      </c>
      <c r="M78" s="51">
        <v>2021</v>
      </c>
      <c r="N78" s="51">
        <v>0</v>
      </c>
      <c r="O78" s="51">
        <v>255.72</v>
      </c>
      <c r="P78" s="51"/>
    </row>
    <row r="79" spans="1:16" ht="11.25" customHeight="1" x14ac:dyDescent="0.25">
      <c r="A79" s="51">
        <v>78</v>
      </c>
      <c r="B79" s="51" t="s">
        <v>862</v>
      </c>
      <c r="C79" s="51" t="s">
        <v>22</v>
      </c>
      <c r="D79" s="51" t="s">
        <v>114</v>
      </c>
      <c r="E79" s="51" t="s">
        <v>24</v>
      </c>
      <c r="F79" s="51" t="s">
        <v>29</v>
      </c>
      <c r="G79" s="51" t="s">
        <v>25</v>
      </c>
      <c r="H79" s="51" t="s">
        <v>25</v>
      </c>
      <c r="I79" s="51" t="s">
        <v>25</v>
      </c>
      <c r="J79" s="51" t="s">
        <v>955</v>
      </c>
      <c r="K79" s="51" t="s">
        <v>954</v>
      </c>
      <c r="L79" s="51" t="s">
        <v>102</v>
      </c>
      <c r="M79" s="51">
        <v>2021</v>
      </c>
      <c r="N79" s="51">
        <v>0</v>
      </c>
      <c r="O79" s="51">
        <v>89.5</v>
      </c>
      <c r="P79" s="51"/>
    </row>
    <row r="80" spans="1:16" ht="11.25" customHeight="1" x14ac:dyDescent="0.25">
      <c r="A80" s="51">
        <v>79</v>
      </c>
      <c r="B80" s="51" t="s">
        <v>862</v>
      </c>
      <c r="C80" s="51" t="s">
        <v>22</v>
      </c>
      <c r="D80" s="51" t="s">
        <v>114</v>
      </c>
      <c r="E80" s="51" t="s">
        <v>24</v>
      </c>
      <c r="F80" s="51" t="s">
        <v>30</v>
      </c>
      <c r="G80" s="51" t="s">
        <v>25</v>
      </c>
      <c r="H80" s="51" t="s">
        <v>25</v>
      </c>
      <c r="I80" s="51" t="s">
        <v>25</v>
      </c>
      <c r="J80" s="51" t="s">
        <v>955</v>
      </c>
      <c r="K80" s="51" t="s">
        <v>954</v>
      </c>
      <c r="L80" s="51" t="s">
        <v>102</v>
      </c>
      <c r="M80" s="51">
        <v>2021</v>
      </c>
      <c r="N80" s="51">
        <v>0</v>
      </c>
      <c r="O80" s="51">
        <v>153.43</v>
      </c>
      <c r="P80" s="51"/>
    </row>
    <row r="81" spans="1:16" ht="11.25" customHeight="1" x14ac:dyDescent="0.25">
      <c r="A81" s="51">
        <v>80</v>
      </c>
      <c r="B81" s="51" t="s">
        <v>862</v>
      </c>
      <c r="C81" s="51" t="s">
        <v>22</v>
      </c>
      <c r="D81" s="51" t="s">
        <v>114</v>
      </c>
      <c r="E81" s="51" t="s">
        <v>24</v>
      </c>
      <c r="F81" s="51" t="s">
        <v>31</v>
      </c>
      <c r="G81" s="51" t="s">
        <v>25</v>
      </c>
      <c r="H81" s="51" t="s">
        <v>25</v>
      </c>
      <c r="I81" s="51" t="s">
        <v>25</v>
      </c>
      <c r="J81" s="51" t="s">
        <v>955</v>
      </c>
      <c r="K81" s="51" t="s">
        <v>954</v>
      </c>
      <c r="L81" s="51" t="s">
        <v>102</v>
      </c>
      <c r="M81" s="51">
        <v>2021</v>
      </c>
      <c r="N81" s="51">
        <v>0</v>
      </c>
      <c r="O81" s="51">
        <v>230.15</v>
      </c>
      <c r="P81" s="51"/>
    </row>
    <row r="82" spans="1:16" ht="11.25" customHeight="1" x14ac:dyDescent="0.25">
      <c r="A82" s="51">
        <v>81</v>
      </c>
      <c r="B82" s="51" t="s">
        <v>862</v>
      </c>
      <c r="C82" s="51" t="s">
        <v>22</v>
      </c>
      <c r="D82" s="51" t="s">
        <v>114</v>
      </c>
      <c r="E82" s="51" t="s">
        <v>24</v>
      </c>
      <c r="F82" s="51" t="s">
        <v>32</v>
      </c>
      <c r="G82" s="51" t="s">
        <v>25</v>
      </c>
      <c r="H82" s="51" t="s">
        <v>25</v>
      </c>
      <c r="I82" s="51" t="s">
        <v>25</v>
      </c>
      <c r="J82" s="51" t="s">
        <v>955</v>
      </c>
      <c r="K82" s="51" t="s">
        <v>954</v>
      </c>
      <c r="L82" s="51" t="s">
        <v>102</v>
      </c>
      <c r="M82" s="51">
        <v>2021</v>
      </c>
      <c r="N82" s="51">
        <v>0</v>
      </c>
      <c r="O82" s="51">
        <v>255.72</v>
      </c>
      <c r="P82" s="51"/>
    </row>
    <row r="83" spans="1:16" ht="11.25" customHeight="1" x14ac:dyDescent="0.25">
      <c r="A83" s="51">
        <v>82</v>
      </c>
      <c r="B83" s="51" t="s">
        <v>862</v>
      </c>
      <c r="C83" s="51" t="s">
        <v>44</v>
      </c>
      <c r="D83" s="51" t="s">
        <v>101</v>
      </c>
      <c r="E83" s="51" t="s">
        <v>45</v>
      </c>
      <c r="F83" s="51" t="s">
        <v>25</v>
      </c>
      <c r="G83" s="51" t="s">
        <v>25</v>
      </c>
      <c r="H83" s="51" t="s">
        <v>25</v>
      </c>
      <c r="I83" s="51" t="s">
        <v>34</v>
      </c>
      <c r="J83" s="51" t="s">
        <v>955</v>
      </c>
      <c r="K83" s="51" t="s">
        <v>954</v>
      </c>
      <c r="L83" s="51" t="s">
        <v>102</v>
      </c>
      <c r="M83" s="51">
        <v>2021</v>
      </c>
      <c r="N83" s="51">
        <v>0</v>
      </c>
      <c r="O83" s="51">
        <v>349.91</v>
      </c>
      <c r="P83" s="51"/>
    </row>
    <row r="84" spans="1:16" ht="11.25" customHeight="1" x14ac:dyDescent="0.25">
      <c r="A84" s="51">
        <v>83</v>
      </c>
      <c r="B84" s="51" t="s">
        <v>862</v>
      </c>
      <c r="C84" s="51" t="s">
        <v>44</v>
      </c>
      <c r="D84" s="51" t="s">
        <v>101</v>
      </c>
      <c r="E84" s="51" t="s">
        <v>45</v>
      </c>
      <c r="F84" s="51" t="s">
        <v>25</v>
      </c>
      <c r="G84" s="51" t="s">
        <v>25</v>
      </c>
      <c r="H84" s="51" t="s">
        <v>25</v>
      </c>
      <c r="I84" s="51" t="s">
        <v>36</v>
      </c>
      <c r="J84" s="51" t="s">
        <v>955</v>
      </c>
      <c r="K84" s="51" t="s">
        <v>954</v>
      </c>
      <c r="L84" s="51" t="s">
        <v>102</v>
      </c>
      <c r="M84" s="51">
        <v>2021</v>
      </c>
      <c r="N84" s="51">
        <v>0</v>
      </c>
      <c r="O84" s="51">
        <v>213.69</v>
      </c>
      <c r="P84" s="51"/>
    </row>
    <row r="85" spans="1:16" ht="11.25" customHeight="1" x14ac:dyDescent="0.25">
      <c r="A85" s="51">
        <v>84</v>
      </c>
      <c r="B85" s="51" t="s">
        <v>862</v>
      </c>
      <c r="C85" s="51" t="s">
        <v>44</v>
      </c>
      <c r="D85" s="51" t="s">
        <v>101</v>
      </c>
      <c r="E85" s="51" t="s">
        <v>45</v>
      </c>
      <c r="F85" s="51" t="s">
        <v>25</v>
      </c>
      <c r="G85" s="51" t="s">
        <v>25</v>
      </c>
      <c r="H85" s="51" t="s">
        <v>25</v>
      </c>
      <c r="I85" s="51" t="s">
        <v>35</v>
      </c>
      <c r="J85" s="51" t="s">
        <v>955</v>
      </c>
      <c r="K85" s="51" t="s">
        <v>954</v>
      </c>
      <c r="L85" s="51" t="s">
        <v>102</v>
      </c>
      <c r="M85" s="51">
        <v>2021</v>
      </c>
      <c r="N85" s="51">
        <v>0</v>
      </c>
      <c r="O85" s="51">
        <v>213.69</v>
      </c>
      <c r="P85" s="51"/>
    </row>
    <row r="86" spans="1:16" ht="11.25" customHeight="1" x14ac:dyDescent="0.25">
      <c r="A86" s="51">
        <v>85</v>
      </c>
      <c r="B86" s="51" t="s">
        <v>862</v>
      </c>
      <c r="C86" s="51" t="s">
        <v>44</v>
      </c>
      <c r="D86" s="51" t="s">
        <v>109</v>
      </c>
      <c r="E86" s="51" t="s">
        <v>45</v>
      </c>
      <c r="F86" s="51" t="s">
        <v>25</v>
      </c>
      <c r="G86" s="51" t="s">
        <v>25</v>
      </c>
      <c r="H86" s="51" t="s">
        <v>25</v>
      </c>
      <c r="I86" s="51" t="s">
        <v>25</v>
      </c>
      <c r="J86" s="51" t="s">
        <v>955</v>
      </c>
      <c r="K86" s="51" t="s">
        <v>954</v>
      </c>
      <c r="L86" s="51" t="s">
        <v>102</v>
      </c>
      <c r="M86" s="51">
        <v>2021</v>
      </c>
      <c r="N86" s="51">
        <v>0</v>
      </c>
      <c r="O86" s="51">
        <v>225.04</v>
      </c>
      <c r="P86" s="51"/>
    </row>
    <row r="87" spans="1:16" ht="11.25" customHeight="1" x14ac:dyDescent="0.25">
      <c r="A87" s="51">
        <v>86</v>
      </c>
      <c r="B87" s="51" t="s">
        <v>862</v>
      </c>
      <c r="C87" s="51" t="s">
        <v>44</v>
      </c>
      <c r="D87" s="51" t="s">
        <v>101</v>
      </c>
      <c r="E87" s="51" t="s">
        <v>45</v>
      </c>
      <c r="F87" s="51" t="s">
        <v>116</v>
      </c>
      <c r="G87" s="51" t="s">
        <v>25</v>
      </c>
      <c r="H87" s="51" t="s">
        <v>25</v>
      </c>
      <c r="I87" s="51" t="s">
        <v>34</v>
      </c>
      <c r="J87" s="51" t="s">
        <v>955</v>
      </c>
      <c r="K87" s="51" t="s">
        <v>954</v>
      </c>
      <c r="L87" s="51" t="s">
        <v>102</v>
      </c>
      <c r="M87" s="51">
        <v>2021</v>
      </c>
      <c r="N87" s="51">
        <v>0</v>
      </c>
      <c r="O87" s="51">
        <v>349.91</v>
      </c>
      <c r="P87" s="51"/>
    </row>
    <row r="88" spans="1:16" ht="11.25" customHeight="1" x14ac:dyDescent="0.25">
      <c r="A88" s="51">
        <v>87</v>
      </c>
      <c r="B88" s="51" t="s">
        <v>862</v>
      </c>
      <c r="C88" s="51" t="s">
        <v>44</v>
      </c>
      <c r="D88" s="51" t="s">
        <v>101</v>
      </c>
      <c r="E88" s="51" t="s">
        <v>45</v>
      </c>
      <c r="F88" s="51" t="s">
        <v>116</v>
      </c>
      <c r="G88" s="51" t="s">
        <v>25</v>
      </c>
      <c r="H88" s="51" t="s">
        <v>25</v>
      </c>
      <c r="I88" s="51" t="s">
        <v>36</v>
      </c>
      <c r="J88" s="51" t="s">
        <v>955</v>
      </c>
      <c r="K88" s="51" t="s">
        <v>954</v>
      </c>
      <c r="L88" s="51" t="s">
        <v>102</v>
      </c>
      <c r="M88" s="51">
        <v>2021</v>
      </c>
      <c r="N88" s="51">
        <v>0</v>
      </c>
      <c r="O88" s="51">
        <v>213.69</v>
      </c>
      <c r="P88" s="51"/>
    </row>
    <row r="89" spans="1:16" ht="11.25" customHeight="1" x14ac:dyDescent="0.25">
      <c r="A89" s="51">
        <v>88</v>
      </c>
      <c r="B89" s="51" t="s">
        <v>862</v>
      </c>
      <c r="C89" s="51" t="s">
        <v>44</v>
      </c>
      <c r="D89" s="51" t="s">
        <v>101</v>
      </c>
      <c r="E89" s="51" t="s">
        <v>45</v>
      </c>
      <c r="F89" s="51" t="s">
        <v>116</v>
      </c>
      <c r="G89" s="51" t="s">
        <v>25</v>
      </c>
      <c r="H89" s="51" t="s">
        <v>25</v>
      </c>
      <c r="I89" s="51" t="s">
        <v>35</v>
      </c>
      <c r="J89" s="51" t="s">
        <v>955</v>
      </c>
      <c r="K89" s="51" t="s">
        <v>954</v>
      </c>
      <c r="L89" s="51" t="s">
        <v>102</v>
      </c>
      <c r="M89" s="51">
        <v>2021</v>
      </c>
      <c r="N89" s="51">
        <v>0</v>
      </c>
      <c r="O89" s="51">
        <v>213.69</v>
      </c>
      <c r="P89" s="51"/>
    </row>
    <row r="90" spans="1:16" ht="11.25" customHeight="1" x14ac:dyDescent="0.25">
      <c r="A90" s="51">
        <v>89</v>
      </c>
      <c r="B90" s="51" t="s">
        <v>862</v>
      </c>
      <c r="C90" s="51" t="s">
        <v>44</v>
      </c>
      <c r="D90" s="51" t="s">
        <v>109</v>
      </c>
      <c r="E90" s="51" t="s">
        <v>45</v>
      </c>
      <c r="F90" s="51" t="s">
        <v>116</v>
      </c>
      <c r="G90" s="51" t="s">
        <v>25</v>
      </c>
      <c r="H90" s="51" t="s">
        <v>25</v>
      </c>
      <c r="I90" s="51" t="s">
        <v>25</v>
      </c>
      <c r="J90" s="51" t="s">
        <v>955</v>
      </c>
      <c r="K90" s="51" t="s">
        <v>954</v>
      </c>
      <c r="L90" s="51" t="s">
        <v>102</v>
      </c>
      <c r="M90" s="51">
        <v>2021</v>
      </c>
      <c r="N90" s="51">
        <v>0</v>
      </c>
      <c r="O90" s="51">
        <v>225.04</v>
      </c>
      <c r="P90" s="51"/>
    </row>
    <row r="91" spans="1:16" ht="11.25" customHeight="1" x14ac:dyDescent="0.25">
      <c r="A91" s="51">
        <v>90</v>
      </c>
      <c r="B91" s="51" t="s">
        <v>862</v>
      </c>
      <c r="C91" s="51" t="s">
        <v>44</v>
      </c>
      <c r="D91" s="51" t="s">
        <v>101</v>
      </c>
      <c r="E91" s="51" t="s">
        <v>45</v>
      </c>
      <c r="F91" s="51" t="s">
        <v>117</v>
      </c>
      <c r="G91" s="51" t="s">
        <v>25</v>
      </c>
      <c r="H91" s="51" t="s">
        <v>25</v>
      </c>
      <c r="I91" s="51" t="s">
        <v>34</v>
      </c>
      <c r="J91" s="51" t="s">
        <v>955</v>
      </c>
      <c r="K91" s="51" t="s">
        <v>954</v>
      </c>
      <c r="L91" s="51" t="s">
        <v>102</v>
      </c>
      <c r="M91" s="51">
        <v>2021</v>
      </c>
      <c r="N91" s="51">
        <v>0</v>
      </c>
      <c r="O91" s="51">
        <v>334</v>
      </c>
      <c r="P91" s="51"/>
    </row>
    <row r="92" spans="1:16" ht="11.25" customHeight="1" x14ac:dyDescent="0.25">
      <c r="A92" s="51">
        <v>91</v>
      </c>
      <c r="B92" s="51" t="s">
        <v>862</v>
      </c>
      <c r="C92" s="51" t="s">
        <v>44</v>
      </c>
      <c r="D92" s="51" t="s">
        <v>101</v>
      </c>
      <c r="E92" s="51" t="s">
        <v>45</v>
      </c>
      <c r="F92" s="51" t="s">
        <v>117</v>
      </c>
      <c r="G92" s="51" t="s">
        <v>25</v>
      </c>
      <c r="H92" s="51" t="s">
        <v>25</v>
      </c>
      <c r="I92" s="51" t="s">
        <v>36</v>
      </c>
      <c r="J92" s="51" t="s">
        <v>955</v>
      </c>
      <c r="K92" s="51" t="s">
        <v>954</v>
      </c>
      <c r="L92" s="51" t="s">
        <v>102</v>
      </c>
      <c r="M92" s="51">
        <v>2021</v>
      </c>
      <c r="N92" s="51">
        <v>0</v>
      </c>
      <c r="O92" s="51">
        <v>203.97</v>
      </c>
      <c r="P92" s="51"/>
    </row>
    <row r="93" spans="1:16" ht="11.25" customHeight="1" x14ac:dyDescent="0.25">
      <c r="A93" s="51">
        <v>92</v>
      </c>
      <c r="B93" s="51" t="s">
        <v>862</v>
      </c>
      <c r="C93" s="51" t="s">
        <v>44</v>
      </c>
      <c r="D93" s="51" t="s">
        <v>101</v>
      </c>
      <c r="E93" s="51" t="s">
        <v>45</v>
      </c>
      <c r="F93" s="51" t="s">
        <v>117</v>
      </c>
      <c r="G93" s="51" t="s">
        <v>25</v>
      </c>
      <c r="H93" s="51" t="s">
        <v>25</v>
      </c>
      <c r="I93" s="51" t="s">
        <v>35</v>
      </c>
      <c r="J93" s="51" t="s">
        <v>955</v>
      </c>
      <c r="K93" s="51" t="s">
        <v>954</v>
      </c>
      <c r="L93" s="51" t="s">
        <v>102</v>
      </c>
      <c r="M93" s="51">
        <v>2021</v>
      </c>
      <c r="N93" s="51">
        <v>0</v>
      </c>
      <c r="O93" s="51">
        <v>203.97</v>
      </c>
      <c r="P93" s="51"/>
    </row>
    <row r="94" spans="1:16" ht="11.25" customHeight="1" x14ac:dyDescent="0.25">
      <c r="A94" s="51">
        <v>93</v>
      </c>
      <c r="B94" s="51" t="s">
        <v>862</v>
      </c>
      <c r="C94" s="51" t="s">
        <v>44</v>
      </c>
      <c r="D94" s="51" t="s">
        <v>109</v>
      </c>
      <c r="E94" s="51" t="s">
        <v>45</v>
      </c>
      <c r="F94" s="51" t="s">
        <v>117</v>
      </c>
      <c r="G94" s="51" t="s">
        <v>25</v>
      </c>
      <c r="H94" s="51" t="s">
        <v>25</v>
      </c>
      <c r="I94" s="51" t="s">
        <v>25</v>
      </c>
      <c r="J94" s="51" t="s">
        <v>955</v>
      </c>
      <c r="K94" s="51" t="s">
        <v>954</v>
      </c>
      <c r="L94" s="51" t="s">
        <v>102</v>
      </c>
      <c r="M94" s="51">
        <v>2021</v>
      </c>
      <c r="N94" s="51">
        <v>0</v>
      </c>
      <c r="O94" s="51">
        <v>214.81</v>
      </c>
      <c r="P94" s="51"/>
    </row>
    <row r="95" spans="1:16" ht="11.25" customHeight="1" x14ac:dyDescent="0.25">
      <c r="A95" s="51">
        <v>94</v>
      </c>
      <c r="B95" s="51" t="s">
        <v>862</v>
      </c>
      <c r="C95" s="51" t="s">
        <v>44</v>
      </c>
      <c r="D95" s="51" t="s">
        <v>114</v>
      </c>
      <c r="E95" s="51" t="s">
        <v>45</v>
      </c>
      <c r="F95" s="51" t="s">
        <v>25</v>
      </c>
      <c r="G95" s="51" t="s">
        <v>25</v>
      </c>
      <c r="H95" s="51" t="s">
        <v>25</v>
      </c>
      <c r="I95" s="51" t="s">
        <v>25</v>
      </c>
      <c r="J95" s="51" t="s">
        <v>955</v>
      </c>
      <c r="K95" s="51" t="s">
        <v>954</v>
      </c>
      <c r="L95" s="51" t="s">
        <v>102</v>
      </c>
      <c r="M95" s="51">
        <v>2021</v>
      </c>
      <c r="N95" s="51">
        <v>0</v>
      </c>
      <c r="O95" s="51">
        <v>225.04</v>
      </c>
      <c r="P95" s="51"/>
    </row>
    <row r="96" spans="1:16" ht="11.25" customHeight="1" x14ac:dyDescent="0.25">
      <c r="A96" s="51">
        <v>95</v>
      </c>
      <c r="B96" s="51" t="s">
        <v>862</v>
      </c>
      <c r="C96" s="51" t="s">
        <v>44</v>
      </c>
      <c r="D96" s="51" t="s">
        <v>114</v>
      </c>
      <c r="E96" s="51" t="s">
        <v>45</v>
      </c>
      <c r="F96" s="51" t="s">
        <v>116</v>
      </c>
      <c r="G96" s="51" t="s">
        <v>25</v>
      </c>
      <c r="H96" s="51" t="s">
        <v>25</v>
      </c>
      <c r="I96" s="51" t="s">
        <v>25</v>
      </c>
      <c r="J96" s="51" t="s">
        <v>955</v>
      </c>
      <c r="K96" s="51" t="s">
        <v>954</v>
      </c>
      <c r="L96" s="51" t="s">
        <v>102</v>
      </c>
      <c r="M96" s="51">
        <v>2021</v>
      </c>
      <c r="N96" s="51">
        <v>0</v>
      </c>
      <c r="O96" s="51">
        <v>225.04</v>
      </c>
      <c r="P96" s="51"/>
    </row>
    <row r="97" spans="1:16" ht="11.25" customHeight="1" x14ac:dyDescent="0.25">
      <c r="A97" s="51">
        <v>96</v>
      </c>
      <c r="B97" s="51" t="s">
        <v>862</v>
      </c>
      <c r="C97" s="51" t="s">
        <v>44</v>
      </c>
      <c r="D97" s="51" t="s">
        <v>114</v>
      </c>
      <c r="E97" s="51" t="s">
        <v>45</v>
      </c>
      <c r="F97" s="51" t="s">
        <v>117</v>
      </c>
      <c r="G97" s="51" t="s">
        <v>25</v>
      </c>
      <c r="H97" s="51" t="s">
        <v>25</v>
      </c>
      <c r="I97" s="51" t="s">
        <v>25</v>
      </c>
      <c r="J97" s="51" t="s">
        <v>955</v>
      </c>
      <c r="K97" s="51" t="s">
        <v>954</v>
      </c>
      <c r="L97" s="51" t="s">
        <v>102</v>
      </c>
      <c r="M97" s="51">
        <v>2021</v>
      </c>
      <c r="N97" s="51">
        <v>0</v>
      </c>
      <c r="O97" s="51">
        <v>214.81</v>
      </c>
      <c r="P97" s="51"/>
    </row>
    <row r="98" spans="1:16" ht="11.25" customHeight="1" x14ac:dyDescent="0.25">
      <c r="A98" s="51">
        <v>97</v>
      </c>
      <c r="B98" s="51" t="s">
        <v>862</v>
      </c>
      <c r="C98" s="51" t="s">
        <v>37</v>
      </c>
      <c r="D98" s="51" t="s">
        <v>101</v>
      </c>
      <c r="E98" s="51" t="s">
        <v>25</v>
      </c>
      <c r="F98" s="51" t="s">
        <v>25</v>
      </c>
      <c r="G98" s="51" t="s">
        <v>25</v>
      </c>
      <c r="H98" s="51" t="s">
        <v>25</v>
      </c>
      <c r="I98" s="51" t="s">
        <v>34</v>
      </c>
      <c r="J98" s="51" t="s">
        <v>955</v>
      </c>
      <c r="K98" s="51" t="s">
        <v>954</v>
      </c>
      <c r="L98" s="51" t="s">
        <v>102</v>
      </c>
      <c r="M98" s="51">
        <v>2021</v>
      </c>
      <c r="N98" s="51">
        <v>0</v>
      </c>
      <c r="O98" s="51">
        <v>397.62</v>
      </c>
      <c r="P98" s="51"/>
    </row>
    <row r="99" spans="1:16" ht="11.25" customHeight="1" x14ac:dyDescent="0.25">
      <c r="A99" s="51">
        <v>98</v>
      </c>
      <c r="B99" s="51" t="s">
        <v>862</v>
      </c>
      <c r="C99" s="51" t="s">
        <v>37</v>
      </c>
      <c r="D99" s="51" t="s">
        <v>101</v>
      </c>
      <c r="E99" s="51" t="s">
        <v>25</v>
      </c>
      <c r="F99" s="51" t="s">
        <v>25</v>
      </c>
      <c r="G99" s="51" t="s">
        <v>25</v>
      </c>
      <c r="H99" s="51" t="s">
        <v>25</v>
      </c>
      <c r="I99" s="51" t="s">
        <v>36</v>
      </c>
      <c r="J99" s="51" t="s">
        <v>955</v>
      </c>
      <c r="K99" s="51" t="s">
        <v>954</v>
      </c>
      <c r="L99" s="51" t="s">
        <v>102</v>
      </c>
      <c r="M99" s="51">
        <v>2021</v>
      </c>
      <c r="N99" s="51">
        <v>0</v>
      </c>
      <c r="O99" s="51">
        <v>242.82</v>
      </c>
      <c r="P99" s="51"/>
    </row>
    <row r="100" spans="1:16" ht="11.25" customHeight="1" x14ac:dyDescent="0.25">
      <c r="A100" s="51">
        <v>99</v>
      </c>
      <c r="B100" s="51" t="s">
        <v>862</v>
      </c>
      <c r="C100" s="51" t="s">
        <v>37</v>
      </c>
      <c r="D100" s="51" t="s">
        <v>101</v>
      </c>
      <c r="E100" s="51" t="s">
        <v>25</v>
      </c>
      <c r="F100" s="51" t="s">
        <v>25</v>
      </c>
      <c r="G100" s="51" t="s">
        <v>25</v>
      </c>
      <c r="H100" s="51" t="s">
        <v>25</v>
      </c>
      <c r="I100" s="51" t="s">
        <v>35</v>
      </c>
      <c r="J100" s="51" t="s">
        <v>955</v>
      </c>
      <c r="K100" s="51" t="s">
        <v>954</v>
      </c>
      <c r="L100" s="51" t="s">
        <v>102</v>
      </c>
      <c r="M100" s="51">
        <v>2021</v>
      </c>
      <c r="N100" s="51">
        <v>0</v>
      </c>
      <c r="O100" s="51">
        <v>242.82</v>
      </c>
      <c r="P100" s="51"/>
    </row>
    <row r="101" spans="1:16" ht="11.25" customHeight="1" x14ac:dyDescent="0.25">
      <c r="A101" s="51">
        <v>100</v>
      </c>
      <c r="B101" s="51" t="s">
        <v>862</v>
      </c>
      <c r="C101" s="51" t="s">
        <v>37</v>
      </c>
      <c r="D101" s="51" t="s">
        <v>109</v>
      </c>
      <c r="E101" s="51" t="s">
        <v>25</v>
      </c>
      <c r="F101" s="51" t="s">
        <v>25</v>
      </c>
      <c r="G101" s="51" t="s">
        <v>25</v>
      </c>
      <c r="H101" s="51" t="s">
        <v>25</v>
      </c>
      <c r="I101" s="51" t="s">
        <v>25</v>
      </c>
      <c r="J101" s="51" t="s">
        <v>955</v>
      </c>
      <c r="K101" s="51" t="s">
        <v>954</v>
      </c>
      <c r="L101" s="51" t="s">
        <v>102</v>
      </c>
      <c r="M101" s="51">
        <v>2021</v>
      </c>
      <c r="N101" s="51">
        <v>0</v>
      </c>
      <c r="O101" s="51">
        <v>255.72</v>
      </c>
      <c r="P101" s="51"/>
    </row>
    <row r="102" spans="1:16" ht="11.25" customHeight="1" x14ac:dyDescent="0.25">
      <c r="A102" s="51">
        <v>101</v>
      </c>
      <c r="B102" s="51" t="s">
        <v>862</v>
      </c>
      <c r="C102" s="51" t="s">
        <v>37</v>
      </c>
      <c r="D102" s="51" t="s">
        <v>114</v>
      </c>
      <c r="E102" s="51" t="s">
        <v>25</v>
      </c>
      <c r="F102" s="51" t="s">
        <v>25</v>
      </c>
      <c r="G102" s="51" t="s">
        <v>25</v>
      </c>
      <c r="H102" s="51" t="s">
        <v>25</v>
      </c>
      <c r="I102" s="51" t="s">
        <v>25</v>
      </c>
      <c r="J102" s="51" t="s">
        <v>955</v>
      </c>
      <c r="K102" s="51" t="s">
        <v>954</v>
      </c>
      <c r="L102" s="51" t="s">
        <v>102</v>
      </c>
      <c r="M102" s="51">
        <v>2021</v>
      </c>
      <c r="N102" s="51">
        <v>0</v>
      </c>
      <c r="O102" s="51">
        <v>255.72</v>
      </c>
      <c r="P102" s="51"/>
    </row>
    <row r="103" spans="1:16" ht="11.25" customHeight="1" x14ac:dyDescent="0.25">
      <c r="A103" s="51">
        <v>102</v>
      </c>
      <c r="B103" s="51" t="s">
        <v>862</v>
      </c>
      <c r="C103" s="51" t="s">
        <v>47</v>
      </c>
      <c r="D103" s="51" t="s">
        <v>109</v>
      </c>
      <c r="E103" s="51" t="s">
        <v>48</v>
      </c>
      <c r="F103" s="51" t="s">
        <v>49</v>
      </c>
      <c r="G103" s="51" t="s">
        <v>25</v>
      </c>
      <c r="H103" s="51" t="s">
        <v>25</v>
      </c>
      <c r="I103" s="51" t="s">
        <v>25</v>
      </c>
      <c r="J103" s="51" t="s">
        <v>955</v>
      </c>
      <c r="K103" s="51" t="s">
        <v>954</v>
      </c>
      <c r="L103" s="51" t="s">
        <v>102</v>
      </c>
      <c r="M103" s="51">
        <v>2021</v>
      </c>
      <c r="N103" s="51">
        <v>0</v>
      </c>
      <c r="O103" s="51">
        <v>140.65</v>
      </c>
      <c r="P103" s="51"/>
    </row>
    <row r="104" spans="1:16" ht="11.25" customHeight="1" x14ac:dyDescent="0.25">
      <c r="A104" s="51">
        <v>103</v>
      </c>
      <c r="B104" s="51" t="s">
        <v>862</v>
      </c>
      <c r="C104" s="51" t="s">
        <v>47</v>
      </c>
      <c r="D104" s="51" t="s">
        <v>109</v>
      </c>
      <c r="E104" s="51" t="s">
        <v>48</v>
      </c>
      <c r="F104" s="51" t="s">
        <v>118</v>
      </c>
      <c r="G104" s="51" t="s">
        <v>25</v>
      </c>
      <c r="H104" s="51" t="s">
        <v>25</v>
      </c>
      <c r="I104" s="51" t="s">
        <v>25</v>
      </c>
      <c r="J104" s="51" t="s">
        <v>955</v>
      </c>
      <c r="K104" s="51" t="s">
        <v>954</v>
      </c>
      <c r="L104" s="51" t="s">
        <v>102</v>
      </c>
      <c r="M104" s="51">
        <v>2021</v>
      </c>
      <c r="N104" s="51">
        <v>0</v>
      </c>
      <c r="O104" s="51">
        <v>153.43</v>
      </c>
      <c r="P104" s="5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7A349-2668-444D-B243-F9AA087E4E26}">
  <dimension ref="A1:AD63"/>
  <sheetViews>
    <sheetView showGridLines="0" workbookViewId="0">
      <selection activeCell="B9" sqref="B9:R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8.71093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92</v>
      </c>
      <c r="B1" s="10" t="s">
        <v>93</v>
      </c>
      <c r="C1" s="10" t="s">
        <v>94</v>
      </c>
      <c r="D1" s="10" t="s">
        <v>95</v>
      </c>
      <c r="E1" s="10" t="s">
        <v>96</v>
      </c>
      <c r="F1" s="10" t="s">
        <v>97</v>
      </c>
      <c r="G1" s="10" t="s">
        <v>98</v>
      </c>
      <c r="H1" s="10" t="s">
        <v>99</v>
      </c>
      <c r="I1" s="11">
        <v>44409</v>
      </c>
      <c r="J1" s="11">
        <v>44440</v>
      </c>
      <c r="K1" s="11">
        <v>44470</v>
      </c>
      <c r="L1" s="11">
        <v>44501</v>
      </c>
      <c r="M1" s="11">
        <v>44531</v>
      </c>
      <c r="N1" s="11">
        <v>44562</v>
      </c>
      <c r="O1" s="11">
        <v>44593</v>
      </c>
      <c r="P1" s="11">
        <v>44621</v>
      </c>
      <c r="Q1" s="11">
        <v>44652</v>
      </c>
      <c r="R1" s="11">
        <v>44682</v>
      </c>
      <c r="S1" s="11">
        <v>44713</v>
      </c>
      <c r="T1" s="11">
        <v>44743</v>
      </c>
      <c r="U1" s="10" t="s">
        <v>100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82" t="s">
        <v>39</v>
      </c>
      <c r="B2" s="82" t="s">
        <v>40</v>
      </c>
      <c r="C2" s="82" t="s">
        <v>25</v>
      </c>
      <c r="D2" s="82" t="s">
        <v>25</v>
      </c>
      <c r="E2" s="82" t="s">
        <v>25</v>
      </c>
      <c r="F2" s="82" t="s">
        <v>25</v>
      </c>
      <c r="G2" s="13" t="s">
        <v>106</v>
      </c>
      <c r="H2" s="13" t="s">
        <v>105</v>
      </c>
      <c r="I2" s="13">
        <f>SUMIF(Mercado_Receita!$S$2:$S$2216,"44409A3AzulNão se aplicaNão se aplicaNão se aplicaNão se aplicaPonta",Mercado_Receita!$J$2:$J$2216)+SUMIF(Mercado_Receita!$S$2:$S$2216,"44409A3AzulNão se aplicaNão se aplicaAPENão se aplicaPonta",Mercado_Receita!$J$2:$J$2216)+SUMIF(Mercado_Receita!$S$2:$S$2216,"44409A3ConvencionalNão se aplicaNão se aplicaNão se aplicaNão se aplicaNão se aplica",Mercado_Receita!$J$2:$J$2216)*0.72</f>
        <v>94360</v>
      </c>
      <c r="J2" s="13">
        <f>SUMIF(Mercado_Receita!$S$2:$S$2216,"44440A3AzulNão se aplicaNão se aplicaNão se aplicaNão se aplicaPonta",Mercado_Receita!$J$2:$J$2216)+SUMIF(Mercado_Receita!$S$2:$S$2216,"44440A3AzulNão se aplicaNão se aplicaAPENão se aplicaPonta",Mercado_Receita!$J$2:$J$2216)+SUMIF(Mercado_Receita!$S$2:$S$2216,"44440A3ConvencionalNão se aplicaNão se aplicaNão se aplicaNão se aplicaNão se aplica",Mercado_Receita!$J$2:$J$2216)*0.72</f>
        <v>93470</v>
      </c>
      <c r="K2" s="13">
        <f>SUMIF(Mercado_Receita!$S$2:$S$2216,"44470A3AzulNão se aplicaNão se aplicaNão se aplicaNão se aplicaPonta",Mercado_Receita!$J$2:$J$2216)+SUMIF(Mercado_Receita!$S$2:$S$2216,"44470A3AzulNão se aplicaNão se aplicaAPENão se aplicaPonta",Mercado_Receita!$J$2:$J$2216)+SUMIF(Mercado_Receita!$S$2:$S$2216,"44470A3ConvencionalNão se aplicaNão se aplicaNão se aplicaNão se aplicaNão se aplica",Mercado_Receita!$J$2:$J$2216)*0.72</f>
        <v>89802</v>
      </c>
      <c r="L2" s="13">
        <f>SUMIF(Mercado_Receita!$S$2:$S$2216,"44501A3AzulNão se aplicaNão se aplicaNão se aplicaNão se aplicaPonta",Mercado_Receita!$J$2:$J$2216)+SUMIF(Mercado_Receita!$S$2:$S$2216,"44501A3AzulNão se aplicaNão se aplicaAPENão se aplicaPonta",Mercado_Receita!$J$2:$J$2216)+SUMIF(Mercado_Receita!$S$2:$S$2216,"44501A3ConvencionalNão se aplicaNão se aplicaNão se aplicaNão se aplicaNão se aplica",Mercado_Receita!$J$2:$J$2216)*0.72</f>
        <v>92637</v>
      </c>
      <c r="M2" s="13">
        <f>SUMIF(Mercado_Receita!$S$2:$S$2216,"44531A3AzulNão se aplicaNão se aplicaNão se aplicaNão se aplicaPonta",Mercado_Receita!$J$2:$J$2216)+SUMIF(Mercado_Receita!$S$2:$S$2216,"44531A3AzulNão se aplicaNão se aplicaAPENão se aplicaPonta",Mercado_Receita!$J$2:$J$2216)+SUMIF(Mercado_Receita!$S$2:$S$2216,"44531A3ConvencionalNão se aplicaNão se aplicaNão se aplicaNão se aplicaNão se aplica",Mercado_Receita!$J$2:$J$2216)*0.72</f>
        <v>93080</v>
      </c>
      <c r="N2" s="13">
        <f>SUMIF(Mercado_Receita!$S$2:$S$2216,"44562A3AzulNão se aplicaNão se aplicaNão se aplicaNão se aplicaPonta",Mercado_Receita!$J$2:$J$2216)+SUMIF(Mercado_Receita!$S$2:$S$2216,"44562A3AzulNão se aplicaNão se aplicaAPENão se aplicaPonta",Mercado_Receita!$J$2:$J$2216)+SUMIF(Mercado_Receita!$S$2:$S$2216,"44562A3ConvencionalNão se aplicaNão se aplicaNão se aplicaNão se aplicaNão se aplica",Mercado_Receita!$J$2:$J$2216)*0.72</f>
        <v>91219</v>
      </c>
      <c r="O2" s="13">
        <f>SUMIF(Mercado_Receita!$S$2:$S$2216,"44593A3AzulNão se aplicaNão se aplicaNão se aplicaNão se aplicaPonta",Mercado_Receita!$J$2:$J$2216)+SUMIF(Mercado_Receita!$S$2:$S$2216,"44593A3AzulNão se aplicaNão se aplicaAPENão se aplicaPonta",Mercado_Receita!$J$2:$J$2216)+SUMIF(Mercado_Receita!$S$2:$S$2216,"44593A3ConvencionalNão se aplicaNão se aplicaNão se aplicaNão se aplicaNão se aplica",Mercado_Receita!$J$2:$J$2216)*0.72</f>
        <v>90607</v>
      </c>
      <c r="P2" s="13">
        <f>SUMIF(Mercado_Receita!$S$2:$S$2216,"44621A3AzulNão se aplicaNão se aplicaNão se aplicaNão se aplicaPonta",Mercado_Receita!$J$2:$J$2216)+SUMIF(Mercado_Receita!$S$2:$S$2216,"44621A3AzulNão se aplicaNão se aplicaAPENão se aplicaPonta",Mercado_Receita!$J$2:$J$2216)+SUMIF(Mercado_Receita!$S$2:$S$2216,"44621A3ConvencionalNão se aplicaNão se aplicaNão se aplicaNão se aplicaNão se aplica",Mercado_Receita!$J$2:$J$2216)*0.72</f>
        <v>89596</v>
      </c>
      <c r="Q2" s="13">
        <f>SUMIF(Mercado_Receita!$S$2:$S$2216,"44652A3AzulNão se aplicaNão se aplicaNão se aplicaNão se aplicaPonta",Mercado_Receita!$J$2:$J$2216)+SUMIF(Mercado_Receita!$S$2:$S$2216,"44652A3AzulNão se aplicaNão se aplicaAPENão se aplicaPonta",Mercado_Receita!$J$2:$J$2216)+SUMIF(Mercado_Receita!$S$2:$S$2216,"44652A3ConvencionalNão se aplicaNão se aplicaNão se aplicaNão se aplicaNão se aplica",Mercado_Receita!$J$2:$J$2216)*0.72</f>
        <v>90288</v>
      </c>
      <c r="R2" s="13">
        <f>SUMIF(Mercado_Receita!$S$2:$S$2216,"44682A3AzulNão se aplicaNão se aplicaNão se aplicaNão se aplicaPonta",Mercado_Receita!$J$2:$J$2216)+SUMIF(Mercado_Receita!$S$2:$S$2216,"44682A3AzulNão se aplicaNão se aplicaAPENão se aplicaPonta",Mercado_Receita!$J$2:$J$2216)+SUMIF(Mercado_Receita!$S$2:$S$2216,"44682A3ConvencionalNão se aplicaNão se aplicaNão se aplicaNão se aplicaNão se aplica",Mercado_Receita!$J$2:$J$2216)*0.72</f>
        <v>90934</v>
      </c>
      <c r="S2" s="13">
        <f>SUMIF(Mercado_Receita!$S$2:$S$2216,"44713A3AzulNão se aplicaNão se aplicaNão se aplicaNão se aplicaPonta",Mercado_Receita!$J$2:$J$2216)+SUMIF(Mercado_Receita!$S$2:$S$2216,"44713A3AzulNão se aplicaNão se aplicaAPENão se aplicaPonta",Mercado_Receita!$J$2:$J$2216)+SUMIF(Mercado_Receita!$S$2:$S$2216,"44713A3ConvencionalNão se aplicaNão se aplicaNão se aplicaNão se aplicaNão se aplica",Mercado_Receita!$J$2:$J$2216)*0.72</f>
        <v>90813</v>
      </c>
      <c r="T2" s="13">
        <f>SUMIF(Mercado_Receita!$S$2:$S$2216,"44743A3AzulNão se aplicaNão se aplicaNão se aplicaNão se aplicaPonta",Mercado_Receita!$J$2:$J$2216)+SUMIF(Mercado_Receita!$S$2:$S$2216,"44743A3AzulNão se aplicaNão se aplicaAPENão se aplicaPonta",Mercado_Receita!$J$2:$J$2216)+SUMIF(Mercado_Receita!$S$2:$S$2216,"44743A3ConvencionalNão se aplicaNão se aplicaNão se aplicaNão se aplicaNão se aplica",Mercado_Receita!$J$2:$J$2216)*0.72</f>
        <v>90813</v>
      </c>
      <c r="U2" s="13">
        <f t="shared" ref="U2:U33" si="0">SUM(I2:T2)</f>
        <v>1097619</v>
      </c>
      <c r="V2" s="13"/>
      <c r="W2" s="13"/>
    </row>
    <row r="3" spans="1:30" ht="11.25" customHeight="1" x14ac:dyDescent="0.25">
      <c r="A3" s="83"/>
      <c r="B3" s="83"/>
      <c r="C3" s="83"/>
      <c r="D3" s="83"/>
      <c r="E3" s="83"/>
      <c r="F3" s="83"/>
      <c r="G3" s="13" t="s">
        <v>107</v>
      </c>
      <c r="H3" s="13" t="s">
        <v>105</v>
      </c>
      <c r="I3" s="13">
        <f>SUMIF(Mercado_Receita!$S$2:$S$2216,"44409A3AzulNão se aplicaNão se aplicaNão se aplicaNão se aplicaFora ponta",Mercado_Receita!$J$2:$J$2216)+SUMIF(Mercado_Receita!$S$2:$S$2216,"44409A3AzulNão se aplicaNão se aplicaAPENão se aplicaFora ponta",Mercado_Receita!$J$2:$J$2216)+SUMIF(Mercado_Receita!$S$2:$S$2216,"44409A3ConvencionalNão se aplicaNão se aplicaNão se aplicaNão se aplicaNão se aplica",Mercado_Receita!$J$2:$J$2216)*1</f>
        <v>114398</v>
      </c>
      <c r="J3" s="13">
        <f>SUMIF(Mercado_Receita!$S$2:$S$2216,"44440A3AzulNão se aplicaNão se aplicaNão se aplicaNão se aplicaFora ponta",Mercado_Receita!$J$2:$J$2216)+SUMIF(Mercado_Receita!$S$2:$S$2216,"44440A3AzulNão se aplicaNão se aplicaAPENão se aplicaFora ponta",Mercado_Receita!$J$2:$J$2216)+SUMIF(Mercado_Receita!$S$2:$S$2216,"44440A3ConvencionalNão se aplicaNão se aplicaNão se aplicaNão se aplicaNão se aplica",Mercado_Receita!$J$2:$J$2216)*1</f>
        <v>113648</v>
      </c>
      <c r="K3" s="13">
        <f>SUMIF(Mercado_Receita!$S$2:$S$2216,"44470A3AzulNão se aplicaNão se aplicaNão se aplicaNão se aplicaFora ponta",Mercado_Receita!$J$2:$J$2216)+SUMIF(Mercado_Receita!$S$2:$S$2216,"44470A3AzulNão se aplicaNão se aplicaAPENão se aplicaFora ponta",Mercado_Receita!$J$2:$J$2216)+SUMIF(Mercado_Receita!$S$2:$S$2216,"44470A3ConvencionalNão se aplicaNão se aplicaNão se aplicaNão se aplicaNão se aplica",Mercado_Receita!$J$2:$J$2216)*1</f>
        <v>109177</v>
      </c>
      <c r="L3" s="13">
        <f>SUMIF(Mercado_Receita!$S$2:$S$2216,"44501A3AzulNão se aplicaNão se aplicaNão se aplicaNão se aplicaFora ponta",Mercado_Receita!$J$2:$J$2216)+SUMIF(Mercado_Receita!$S$2:$S$2216,"44501A3AzulNão se aplicaNão se aplicaAPENão se aplicaFora ponta",Mercado_Receita!$J$2:$J$2216)+SUMIF(Mercado_Receita!$S$2:$S$2216,"44501A3ConvencionalNão se aplicaNão se aplicaNão se aplicaNão se aplicaNão se aplica",Mercado_Receita!$J$2:$J$2216)*1</f>
        <v>113984</v>
      </c>
      <c r="M3" s="13">
        <f>SUMIF(Mercado_Receita!$S$2:$S$2216,"44531A3AzulNão se aplicaNão se aplicaNão se aplicaNão se aplicaFora ponta",Mercado_Receita!$J$2:$J$2216)+SUMIF(Mercado_Receita!$S$2:$S$2216,"44531A3AzulNão se aplicaNão se aplicaAPENão se aplicaFora ponta",Mercado_Receita!$J$2:$J$2216)+SUMIF(Mercado_Receita!$S$2:$S$2216,"44531A3ConvencionalNão se aplicaNão se aplicaNão se aplicaNão se aplicaNão se aplica",Mercado_Receita!$J$2:$J$2216)*1</f>
        <v>115566</v>
      </c>
      <c r="N3" s="13">
        <f>SUMIF(Mercado_Receita!$S$2:$S$2216,"44562A3AzulNão se aplicaNão se aplicaNão se aplicaNão se aplicaFora ponta",Mercado_Receita!$J$2:$J$2216)+SUMIF(Mercado_Receita!$S$2:$S$2216,"44562A3AzulNão se aplicaNão se aplicaAPENão se aplicaFora ponta",Mercado_Receita!$J$2:$J$2216)+SUMIF(Mercado_Receita!$S$2:$S$2216,"44562A3ConvencionalNão se aplicaNão se aplicaNão se aplicaNão se aplicaNão se aplica",Mercado_Receita!$J$2:$J$2216)*1</f>
        <v>110408</v>
      </c>
      <c r="O3" s="13">
        <f>SUMIF(Mercado_Receita!$S$2:$S$2216,"44593A3AzulNão se aplicaNão se aplicaNão se aplicaNão se aplicaFora ponta",Mercado_Receita!$J$2:$J$2216)+SUMIF(Mercado_Receita!$S$2:$S$2216,"44593A3AzulNão se aplicaNão se aplicaAPENão se aplicaFora ponta",Mercado_Receita!$J$2:$J$2216)+SUMIF(Mercado_Receita!$S$2:$S$2216,"44593A3ConvencionalNão se aplicaNão se aplicaNão se aplicaNão se aplicaNão se aplica",Mercado_Receita!$J$2:$J$2216)*1</f>
        <v>108193</v>
      </c>
      <c r="P3" s="13">
        <f>SUMIF(Mercado_Receita!$S$2:$S$2216,"44621A3AzulNão se aplicaNão se aplicaNão se aplicaNão se aplicaFora ponta",Mercado_Receita!$J$2:$J$2216)+SUMIF(Mercado_Receita!$S$2:$S$2216,"44621A3AzulNão se aplicaNão se aplicaAPENão se aplicaFora ponta",Mercado_Receita!$J$2:$J$2216)+SUMIF(Mercado_Receita!$S$2:$S$2216,"44621A3ConvencionalNão se aplicaNão se aplicaNão se aplicaNão se aplicaNão se aplica",Mercado_Receita!$J$2:$J$2216)*1</f>
        <v>108478</v>
      </c>
      <c r="Q3" s="13">
        <f>SUMIF(Mercado_Receita!$S$2:$S$2216,"44652A3AzulNão se aplicaNão se aplicaNão se aplicaNão se aplicaFora ponta",Mercado_Receita!$J$2:$J$2216)+SUMIF(Mercado_Receita!$S$2:$S$2216,"44652A3AzulNão se aplicaNão se aplicaAPENão se aplicaFora ponta",Mercado_Receita!$J$2:$J$2216)+SUMIF(Mercado_Receita!$S$2:$S$2216,"44652A3ConvencionalNão se aplicaNão se aplicaNão se aplicaNão se aplicaNão se aplica",Mercado_Receita!$J$2:$J$2216)*1</f>
        <v>109031</v>
      </c>
      <c r="R3" s="13">
        <f>SUMIF(Mercado_Receita!$S$2:$S$2216,"44682A3AzulNão se aplicaNão se aplicaNão se aplicaNão se aplicaFora ponta",Mercado_Receita!$J$2:$J$2216)+SUMIF(Mercado_Receita!$S$2:$S$2216,"44682A3AzulNão se aplicaNão se aplicaAPENão se aplicaFora ponta",Mercado_Receita!$J$2:$J$2216)+SUMIF(Mercado_Receita!$S$2:$S$2216,"44682A3ConvencionalNão se aplicaNão se aplicaNão se aplicaNão se aplicaNão se aplica",Mercado_Receita!$J$2:$J$2216)*1</f>
        <v>108800</v>
      </c>
      <c r="S3" s="13">
        <f>SUMIF(Mercado_Receita!$S$2:$S$2216,"44713A3AzulNão se aplicaNão se aplicaNão se aplicaNão se aplicaFora ponta",Mercado_Receita!$J$2:$J$2216)+SUMIF(Mercado_Receita!$S$2:$S$2216,"44713A3AzulNão se aplicaNão se aplicaAPENão se aplicaFora ponta",Mercado_Receita!$J$2:$J$2216)+SUMIF(Mercado_Receita!$S$2:$S$2216,"44713A3ConvencionalNão se aplicaNão se aplicaNão se aplicaNão se aplicaNão se aplica",Mercado_Receita!$J$2:$J$2216)*1</f>
        <v>108245</v>
      </c>
      <c r="T3" s="13">
        <f>SUMIF(Mercado_Receita!$S$2:$S$2216,"44743A3AzulNão se aplicaNão se aplicaNão se aplicaNão se aplicaFora ponta",Mercado_Receita!$J$2:$J$2216)+SUMIF(Mercado_Receita!$S$2:$S$2216,"44743A3AzulNão se aplicaNão se aplicaAPENão se aplicaFora ponta",Mercado_Receita!$J$2:$J$2216)+SUMIF(Mercado_Receita!$S$2:$S$2216,"44743A3ConvencionalNão se aplicaNão se aplicaNão se aplicaNão se aplicaNão se aplica",Mercado_Receita!$J$2:$J$2216)*1</f>
        <v>108245</v>
      </c>
      <c r="U3" s="13">
        <f t="shared" si="0"/>
        <v>1328173</v>
      </c>
      <c r="V3" s="13"/>
      <c r="W3" s="13"/>
    </row>
    <row r="4" spans="1:30" ht="11.25" customHeight="1" x14ac:dyDescent="0.25">
      <c r="A4" s="83"/>
      <c r="B4" s="83"/>
      <c r="C4" s="83"/>
      <c r="D4" s="83"/>
      <c r="E4" s="83"/>
      <c r="F4" s="83"/>
      <c r="G4" s="13" t="s">
        <v>108</v>
      </c>
      <c r="H4" s="13" t="s">
        <v>102</v>
      </c>
      <c r="I4" s="13">
        <f>SUMIF(Mercado_Receita!$S$2:$S$2216,"44409A3AzulNão se aplicaNão se aplicaNão se aplicaNão se aplicaPonta",Mercado_Receita!$L$2:$L$2216)+SUMIF(Mercado_Receita!$S$2:$S$2216,"44409A3AzulNão se aplicaNão se aplicaNão se aplicaNão se aplicaFora ponta",Mercado_Receita!$L$2:$L$2216)+SUMIF(Mercado_Receita!$S$2:$S$2216,"44409A3AzulNão se aplicaNão se aplicaNão se aplicaNão se aplicaIntermediário",Mercado_Receita!$L$2:$L$2216)+SUMIF(Mercado_Receita!$S$2:$S$2216,"44409A3AzulNão se aplicaNão se aplicaNão se aplicaNão se aplicaNão se aplica",Mercado_Receita!$L$2:$L$2216)+SUMIF(Mercado_Receita!$S$2:$S$2216,"44409A3ConvencionalNão se aplicaNão se aplicaNão se aplicaNão se aplicaNão se aplica",Mercado_Receita!$L$2:$L$2216)</f>
        <v>53893.737999999998</v>
      </c>
      <c r="J4" s="13">
        <f>SUMIF(Mercado_Receita!$S$2:$S$2216,"44440A3AzulNão se aplicaNão se aplicaNão se aplicaNão se aplicaPonta",Mercado_Receita!$L$2:$L$2216)+SUMIF(Mercado_Receita!$S$2:$S$2216,"44440A3AzulNão se aplicaNão se aplicaNão se aplicaNão se aplicaFora ponta",Mercado_Receita!$L$2:$L$2216)+SUMIF(Mercado_Receita!$S$2:$S$2216,"44440A3AzulNão se aplicaNão se aplicaNão se aplicaNão se aplicaIntermediário",Mercado_Receita!$L$2:$L$2216)+SUMIF(Mercado_Receita!$S$2:$S$2216,"44440A3AzulNão se aplicaNão se aplicaNão se aplicaNão se aplicaNão se aplica",Mercado_Receita!$L$2:$L$2216)+SUMIF(Mercado_Receita!$S$2:$S$2216,"44440A3ConvencionalNão se aplicaNão se aplicaNão se aplicaNão se aplicaNão se aplica",Mercado_Receita!$L$2:$L$2216)</f>
        <v>54297.773000000001</v>
      </c>
      <c r="K4" s="13">
        <f>SUMIF(Mercado_Receita!$S$2:$S$2216,"44470A3AzulNão se aplicaNão se aplicaNão se aplicaNão se aplicaPonta",Mercado_Receita!$L$2:$L$2216)+SUMIF(Mercado_Receita!$S$2:$S$2216,"44470A3AzulNão se aplicaNão se aplicaNão se aplicaNão se aplicaFora ponta",Mercado_Receita!$L$2:$L$2216)+SUMIF(Mercado_Receita!$S$2:$S$2216,"44470A3AzulNão se aplicaNão se aplicaNão se aplicaNão se aplicaIntermediário",Mercado_Receita!$L$2:$L$2216)+SUMIF(Mercado_Receita!$S$2:$S$2216,"44470A3AzulNão se aplicaNão se aplicaNão se aplicaNão se aplicaNão se aplica",Mercado_Receita!$L$2:$L$2216)+SUMIF(Mercado_Receita!$S$2:$S$2216,"44470A3ConvencionalNão se aplicaNão se aplicaNão se aplicaNão se aplicaNão se aplica",Mercado_Receita!$L$2:$L$2216)</f>
        <v>54884.97600000001</v>
      </c>
      <c r="L4" s="13">
        <f>SUMIF(Mercado_Receita!$S$2:$S$2216,"44501A3AzulNão se aplicaNão se aplicaNão se aplicaNão se aplicaPonta",Mercado_Receita!$L$2:$L$2216)+SUMIF(Mercado_Receita!$S$2:$S$2216,"44501A3AzulNão se aplicaNão se aplicaNão se aplicaNão se aplicaFora ponta",Mercado_Receita!$L$2:$L$2216)+SUMIF(Mercado_Receita!$S$2:$S$2216,"44501A3AzulNão se aplicaNão se aplicaNão se aplicaNão se aplicaIntermediário",Mercado_Receita!$L$2:$L$2216)+SUMIF(Mercado_Receita!$S$2:$S$2216,"44501A3AzulNão se aplicaNão se aplicaNão se aplicaNão se aplicaNão se aplica",Mercado_Receita!$L$2:$L$2216)+SUMIF(Mercado_Receita!$S$2:$S$2216,"44501A3ConvencionalNão se aplicaNão se aplicaNão se aplicaNão se aplicaNão se aplica",Mercado_Receita!$L$2:$L$2216)</f>
        <v>56126.858999999997</v>
      </c>
      <c r="M4" s="13">
        <f>SUMIF(Mercado_Receita!$S$2:$S$2216,"44531A3AzulNão se aplicaNão se aplicaNão se aplicaNão se aplicaPonta",Mercado_Receita!$L$2:$L$2216)+SUMIF(Mercado_Receita!$S$2:$S$2216,"44531A3AzulNão se aplicaNão se aplicaNão se aplicaNão se aplicaFora ponta",Mercado_Receita!$L$2:$L$2216)+SUMIF(Mercado_Receita!$S$2:$S$2216,"44531A3AzulNão se aplicaNão se aplicaNão se aplicaNão se aplicaIntermediário",Mercado_Receita!$L$2:$L$2216)+SUMIF(Mercado_Receita!$S$2:$S$2216,"44531A3AzulNão se aplicaNão se aplicaNão se aplicaNão se aplicaNão se aplica",Mercado_Receita!$L$2:$L$2216)+SUMIF(Mercado_Receita!$S$2:$S$2216,"44531A3ConvencionalNão se aplicaNão se aplicaNão se aplicaNão se aplicaNão se aplica",Mercado_Receita!$L$2:$L$2216)</f>
        <v>55141.377000000008</v>
      </c>
      <c r="N4" s="13">
        <f>SUMIF(Mercado_Receita!$S$2:$S$2216,"44562A3AzulNão se aplicaNão se aplicaNão se aplicaNão se aplicaPonta",Mercado_Receita!$L$2:$L$2216)+SUMIF(Mercado_Receita!$S$2:$S$2216,"44562A3AzulNão se aplicaNão se aplicaNão se aplicaNão se aplicaFora ponta",Mercado_Receita!$L$2:$L$2216)+SUMIF(Mercado_Receita!$S$2:$S$2216,"44562A3AzulNão se aplicaNão se aplicaNão se aplicaNão se aplicaIntermediário",Mercado_Receita!$L$2:$L$2216)+SUMIF(Mercado_Receita!$S$2:$S$2216,"44562A3AzulNão se aplicaNão se aplicaNão se aplicaNão se aplicaNão se aplica",Mercado_Receita!$L$2:$L$2216)+SUMIF(Mercado_Receita!$S$2:$S$2216,"44562A3ConvencionalNão se aplicaNão se aplicaNão se aplicaNão se aplicaNão se aplica",Mercado_Receita!$L$2:$L$2216)</f>
        <v>49366.722000000002</v>
      </c>
      <c r="O4" s="13">
        <f>SUMIF(Mercado_Receita!$S$2:$S$2216,"44593A3AzulNão se aplicaNão se aplicaNão se aplicaNão se aplicaPonta",Mercado_Receita!$L$2:$L$2216)+SUMIF(Mercado_Receita!$S$2:$S$2216,"44593A3AzulNão se aplicaNão se aplicaNão se aplicaNão se aplicaFora ponta",Mercado_Receita!$L$2:$L$2216)+SUMIF(Mercado_Receita!$S$2:$S$2216,"44593A3AzulNão se aplicaNão se aplicaNão se aplicaNão se aplicaIntermediário",Mercado_Receita!$L$2:$L$2216)+SUMIF(Mercado_Receita!$S$2:$S$2216,"44593A3AzulNão se aplicaNão se aplicaNão se aplicaNão se aplicaNão se aplica",Mercado_Receita!$L$2:$L$2216)+SUMIF(Mercado_Receita!$S$2:$S$2216,"44593A3ConvencionalNão se aplicaNão se aplicaNão se aplicaNão se aplicaNão se aplica",Mercado_Receita!$L$2:$L$2216)</f>
        <v>54290.454999999994</v>
      </c>
      <c r="P4" s="13">
        <f>SUMIF(Mercado_Receita!$S$2:$S$2216,"44621A3AzulNão se aplicaNão se aplicaNão se aplicaNão se aplicaPonta",Mercado_Receita!$L$2:$L$2216)+SUMIF(Mercado_Receita!$S$2:$S$2216,"44621A3AzulNão se aplicaNão se aplicaNão se aplicaNão se aplicaFora ponta",Mercado_Receita!$L$2:$L$2216)+SUMIF(Mercado_Receita!$S$2:$S$2216,"44621A3AzulNão se aplicaNão se aplicaNão se aplicaNão se aplicaIntermediário",Mercado_Receita!$L$2:$L$2216)+SUMIF(Mercado_Receita!$S$2:$S$2216,"44621A3AzulNão se aplicaNão se aplicaNão se aplicaNão se aplicaNão se aplica",Mercado_Receita!$L$2:$L$2216)+SUMIF(Mercado_Receita!$S$2:$S$2216,"44621A3ConvencionalNão se aplicaNão se aplicaNão se aplicaNão se aplicaNão se aplica",Mercado_Receita!$L$2:$L$2216)</f>
        <v>49545.991999999998</v>
      </c>
      <c r="Q4" s="13">
        <f>SUMIF(Mercado_Receita!$S$2:$S$2216,"44652A3AzulNão se aplicaNão se aplicaNão se aplicaNão se aplicaPonta",Mercado_Receita!$L$2:$L$2216)+SUMIF(Mercado_Receita!$S$2:$S$2216,"44652A3AzulNão se aplicaNão se aplicaNão se aplicaNão se aplicaFora ponta",Mercado_Receita!$L$2:$L$2216)+SUMIF(Mercado_Receita!$S$2:$S$2216,"44652A3AzulNão se aplicaNão se aplicaNão se aplicaNão se aplicaIntermediário",Mercado_Receita!$L$2:$L$2216)+SUMIF(Mercado_Receita!$S$2:$S$2216,"44652A3AzulNão se aplicaNão se aplicaNão se aplicaNão se aplicaNão se aplica",Mercado_Receita!$L$2:$L$2216)+SUMIF(Mercado_Receita!$S$2:$S$2216,"44652A3ConvencionalNão se aplicaNão se aplicaNão se aplicaNão se aplicaNão se aplica",Mercado_Receita!$L$2:$L$2216)</f>
        <v>54696.85</v>
      </c>
      <c r="R4" s="13">
        <f>SUMIF(Mercado_Receita!$S$2:$S$2216,"44682A3AzulNão se aplicaNão se aplicaNão se aplicaNão se aplicaPonta",Mercado_Receita!$L$2:$L$2216)+SUMIF(Mercado_Receita!$S$2:$S$2216,"44682A3AzulNão se aplicaNão se aplicaNão se aplicaNão se aplicaFora ponta",Mercado_Receita!$L$2:$L$2216)+SUMIF(Mercado_Receita!$S$2:$S$2216,"44682A3AzulNão se aplicaNão se aplicaNão se aplicaNão se aplicaIntermediário",Mercado_Receita!$L$2:$L$2216)+SUMIF(Mercado_Receita!$S$2:$S$2216,"44682A3AzulNão se aplicaNão se aplicaNão se aplicaNão se aplicaNão se aplica",Mercado_Receita!$L$2:$L$2216)+SUMIF(Mercado_Receita!$S$2:$S$2216,"44682A3ConvencionalNão se aplicaNão se aplicaNão se aplicaNão se aplicaNão se aplica",Mercado_Receita!$L$2:$L$2216)</f>
        <v>53839.758999999991</v>
      </c>
      <c r="S4" s="13">
        <f>SUMIF(Mercado_Receita!$S$2:$S$2216,"44713A3AzulNão se aplicaNão se aplicaNão se aplicaNão se aplicaPonta",Mercado_Receita!$L$2:$L$2216)+SUMIF(Mercado_Receita!$S$2:$S$2216,"44713A3AzulNão se aplicaNão se aplicaNão se aplicaNão se aplicaFora ponta",Mercado_Receita!$L$2:$L$2216)+SUMIF(Mercado_Receita!$S$2:$S$2216,"44713A3AzulNão se aplicaNão se aplicaNão se aplicaNão se aplicaIntermediário",Mercado_Receita!$L$2:$L$2216)+SUMIF(Mercado_Receita!$S$2:$S$2216,"44713A3AzulNão se aplicaNão se aplicaNão se aplicaNão se aplicaNão se aplica",Mercado_Receita!$L$2:$L$2216)+SUMIF(Mercado_Receita!$S$2:$S$2216,"44713A3ConvencionalNão se aplicaNão se aplicaNão se aplicaNão se aplicaNão se aplica",Mercado_Receita!$L$2:$L$2216)</f>
        <v>54136.998999999996</v>
      </c>
      <c r="T4" s="13">
        <f>SUMIF(Mercado_Receita!$S$2:$S$2216,"44743A3AzulNão se aplicaNão se aplicaNão se aplicaNão se aplicaPonta",Mercado_Receita!$L$2:$L$2216)+SUMIF(Mercado_Receita!$S$2:$S$2216,"44743A3AzulNão se aplicaNão se aplicaNão se aplicaNão se aplicaFora ponta",Mercado_Receita!$L$2:$L$2216)+SUMIF(Mercado_Receita!$S$2:$S$2216,"44743A3AzulNão se aplicaNão se aplicaNão se aplicaNão se aplicaIntermediário",Mercado_Receita!$L$2:$L$2216)+SUMIF(Mercado_Receita!$S$2:$S$2216,"44743A3AzulNão se aplicaNão se aplicaNão se aplicaNão se aplicaNão se aplica",Mercado_Receita!$L$2:$L$2216)+SUMIF(Mercado_Receita!$S$2:$S$2216,"44743A3ConvencionalNão se aplicaNão se aplicaNão se aplicaNão se aplicaNão se aplica",Mercado_Receita!$L$2:$L$2216)</f>
        <v>54136.998999999996</v>
      </c>
      <c r="U4" s="13">
        <f t="shared" si="0"/>
        <v>644358.49899999984</v>
      </c>
      <c r="V4" s="13"/>
      <c r="W4" s="13"/>
    </row>
    <row r="5" spans="1:30" ht="11.25" customHeight="1" x14ac:dyDescent="0.25">
      <c r="A5" s="83"/>
      <c r="B5" s="83"/>
      <c r="C5" s="83"/>
      <c r="D5" s="83"/>
      <c r="E5" s="12" t="s">
        <v>59</v>
      </c>
      <c r="F5" s="12" t="s">
        <v>25</v>
      </c>
      <c r="G5" s="13" t="s">
        <v>108</v>
      </c>
      <c r="H5" s="13" t="s">
        <v>102</v>
      </c>
      <c r="I5" s="13">
        <f>SUMIF(Mercado_Receita!$S$2:$S$2216,"44409A3AzulNão se aplicaNão se aplicaAPENão se aplicaPonta",Mercado_Receita!$L$2:$L$2216)+SUMIF(Mercado_Receita!$S$2:$S$2216,"44409A3AzulNão se aplicaNão se aplicaAPENão se aplicaFora ponta",Mercado_Receita!$L$2:$L$2216)+SUMIF(Mercado_Receita!$S$2:$S$2216,"44409A3AzulNão se aplicaNão se aplicaAPENão se aplicaIntermediário",Mercado_Receita!$L$2:$L$2216)+SUMIF(Mercado_Receita!$S$2:$S$2216,"44409A3AzulNão se aplicaNão se aplicaAPENão se aplicaNão se aplica",Mercado_Receita!$L$2:$L$2216)+SUMIF(Mercado_Receita!$S$2:$S$2216,"44409A3ConvencionalNão se aplicaNão se aplicaAPENão se aplicaNão se aplica",Mercado_Receita!$L$2:$L$2216)</f>
        <v>0</v>
      </c>
      <c r="J5" s="13">
        <f>SUMIF(Mercado_Receita!$S$2:$S$2216,"44440A3AzulNão se aplicaNão se aplicaAPENão se aplicaPonta",Mercado_Receita!$L$2:$L$2216)+SUMIF(Mercado_Receita!$S$2:$S$2216,"44440A3AzulNão se aplicaNão se aplicaAPENão se aplicaFora ponta",Mercado_Receita!$L$2:$L$2216)+SUMIF(Mercado_Receita!$S$2:$S$2216,"44440A3AzulNão se aplicaNão se aplicaAPENão se aplicaIntermediário",Mercado_Receita!$L$2:$L$2216)+SUMIF(Mercado_Receita!$S$2:$S$2216,"44440A3AzulNão se aplicaNão se aplicaAPENão se aplicaNão se aplica",Mercado_Receita!$L$2:$L$2216)+SUMIF(Mercado_Receita!$S$2:$S$2216,"44440A3ConvencionalNão se aplicaNão se aplicaAPENão se aplicaNão se aplica",Mercado_Receita!$L$2:$L$2216)</f>
        <v>0</v>
      </c>
      <c r="K5" s="13">
        <f>SUMIF(Mercado_Receita!$S$2:$S$2216,"44470A3AzulNão se aplicaNão se aplicaAPENão se aplicaPonta",Mercado_Receita!$L$2:$L$2216)+SUMIF(Mercado_Receita!$S$2:$S$2216,"44470A3AzulNão se aplicaNão se aplicaAPENão se aplicaFora ponta",Mercado_Receita!$L$2:$L$2216)+SUMIF(Mercado_Receita!$S$2:$S$2216,"44470A3AzulNão se aplicaNão se aplicaAPENão se aplicaIntermediário",Mercado_Receita!$L$2:$L$2216)+SUMIF(Mercado_Receita!$S$2:$S$2216,"44470A3AzulNão se aplicaNão se aplicaAPENão se aplicaNão se aplica",Mercado_Receita!$L$2:$L$2216)+SUMIF(Mercado_Receita!$S$2:$S$2216,"44470A3ConvencionalNão se aplicaNão se aplicaAPENão se aplicaNão se aplica",Mercado_Receita!$L$2:$L$2216)</f>
        <v>0</v>
      </c>
      <c r="L5" s="13">
        <f>SUMIF(Mercado_Receita!$S$2:$S$2216,"44501A3AzulNão se aplicaNão se aplicaAPENão se aplicaPonta",Mercado_Receita!$L$2:$L$2216)+SUMIF(Mercado_Receita!$S$2:$S$2216,"44501A3AzulNão se aplicaNão se aplicaAPENão se aplicaFora ponta",Mercado_Receita!$L$2:$L$2216)+SUMIF(Mercado_Receita!$S$2:$S$2216,"44501A3AzulNão se aplicaNão se aplicaAPENão se aplicaIntermediário",Mercado_Receita!$L$2:$L$2216)+SUMIF(Mercado_Receita!$S$2:$S$2216,"44501A3AzulNão se aplicaNão se aplicaAPENão se aplicaNão se aplica",Mercado_Receita!$L$2:$L$2216)+SUMIF(Mercado_Receita!$S$2:$S$2216,"44501A3ConvencionalNão se aplicaNão se aplicaAPENão se aplicaNão se aplica",Mercado_Receita!$L$2:$L$2216)</f>
        <v>0</v>
      </c>
      <c r="M5" s="13">
        <f>SUMIF(Mercado_Receita!$S$2:$S$2216,"44531A3AzulNão se aplicaNão se aplicaAPENão se aplicaPonta",Mercado_Receita!$L$2:$L$2216)+SUMIF(Mercado_Receita!$S$2:$S$2216,"44531A3AzulNão se aplicaNão se aplicaAPENão se aplicaFora ponta",Mercado_Receita!$L$2:$L$2216)+SUMIF(Mercado_Receita!$S$2:$S$2216,"44531A3AzulNão se aplicaNão se aplicaAPENão se aplicaIntermediário",Mercado_Receita!$L$2:$L$2216)+SUMIF(Mercado_Receita!$S$2:$S$2216,"44531A3AzulNão se aplicaNão se aplicaAPENão se aplicaNão se aplica",Mercado_Receita!$L$2:$L$2216)+SUMIF(Mercado_Receita!$S$2:$S$2216,"44531A3ConvencionalNão se aplicaNão se aplicaAPENão se aplicaNão se aplica",Mercado_Receita!$L$2:$L$2216)</f>
        <v>0</v>
      </c>
      <c r="N5" s="13">
        <f>SUMIF(Mercado_Receita!$S$2:$S$2216,"44562A3AzulNão se aplicaNão se aplicaAPENão se aplicaPonta",Mercado_Receita!$L$2:$L$2216)+SUMIF(Mercado_Receita!$S$2:$S$2216,"44562A3AzulNão se aplicaNão se aplicaAPENão se aplicaFora ponta",Mercado_Receita!$L$2:$L$2216)+SUMIF(Mercado_Receita!$S$2:$S$2216,"44562A3AzulNão se aplicaNão se aplicaAPENão se aplicaIntermediário",Mercado_Receita!$L$2:$L$2216)+SUMIF(Mercado_Receita!$S$2:$S$2216,"44562A3AzulNão se aplicaNão se aplicaAPENão se aplicaNão se aplica",Mercado_Receita!$L$2:$L$2216)+SUMIF(Mercado_Receita!$S$2:$S$2216,"44562A3ConvencionalNão se aplicaNão se aplicaAPENão se aplicaNão se aplica",Mercado_Receita!$L$2:$L$2216)</f>
        <v>0</v>
      </c>
      <c r="O5" s="13">
        <f>SUMIF(Mercado_Receita!$S$2:$S$2216,"44593A3AzulNão se aplicaNão se aplicaAPENão se aplicaPonta",Mercado_Receita!$L$2:$L$2216)+SUMIF(Mercado_Receita!$S$2:$S$2216,"44593A3AzulNão se aplicaNão se aplicaAPENão se aplicaFora ponta",Mercado_Receita!$L$2:$L$2216)+SUMIF(Mercado_Receita!$S$2:$S$2216,"44593A3AzulNão se aplicaNão se aplicaAPENão se aplicaIntermediário",Mercado_Receita!$L$2:$L$2216)+SUMIF(Mercado_Receita!$S$2:$S$2216,"44593A3AzulNão se aplicaNão se aplicaAPENão se aplicaNão se aplica",Mercado_Receita!$L$2:$L$2216)+SUMIF(Mercado_Receita!$S$2:$S$2216,"44593A3ConvencionalNão se aplicaNão se aplicaAPENão se aplicaNão se aplica",Mercado_Receita!$L$2:$L$2216)</f>
        <v>0</v>
      </c>
      <c r="P5" s="13">
        <f>SUMIF(Mercado_Receita!$S$2:$S$2216,"44621A3AzulNão se aplicaNão se aplicaAPENão se aplicaPonta",Mercado_Receita!$L$2:$L$2216)+SUMIF(Mercado_Receita!$S$2:$S$2216,"44621A3AzulNão se aplicaNão se aplicaAPENão se aplicaFora ponta",Mercado_Receita!$L$2:$L$2216)+SUMIF(Mercado_Receita!$S$2:$S$2216,"44621A3AzulNão se aplicaNão se aplicaAPENão se aplicaIntermediário",Mercado_Receita!$L$2:$L$2216)+SUMIF(Mercado_Receita!$S$2:$S$2216,"44621A3AzulNão se aplicaNão se aplicaAPENão se aplicaNão se aplica",Mercado_Receita!$L$2:$L$2216)+SUMIF(Mercado_Receita!$S$2:$S$2216,"44621A3ConvencionalNão se aplicaNão se aplicaAPENão se aplicaNão se aplica",Mercado_Receita!$L$2:$L$2216)</f>
        <v>0</v>
      </c>
      <c r="Q5" s="13">
        <f>SUMIF(Mercado_Receita!$S$2:$S$2216,"44652A3AzulNão se aplicaNão se aplicaAPENão se aplicaPonta",Mercado_Receita!$L$2:$L$2216)+SUMIF(Mercado_Receita!$S$2:$S$2216,"44652A3AzulNão se aplicaNão se aplicaAPENão se aplicaFora ponta",Mercado_Receita!$L$2:$L$2216)+SUMIF(Mercado_Receita!$S$2:$S$2216,"44652A3AzulNão se aplicaNão se aplicaAPENão se aplicaIntermediário",Mercado_Receita!$L$2:$L$2216)+SUMIF(Mercado_Receita!$S$2:$S$2216,"44652A3AzulNão se aplicaNão se aplicaAPENão se aplicaNão se aplica",Mercado_Receita!$L$2:$L$2216)+SUMIF(Mercado_Receita!$S$2:$S$2216,"44652A3ConvencionalNão se aplicaNão se aplicaAPENão se aplicaNão se aplica",Mercado_Receita!$L$2:$L$2216)</f>
        <v>0</v>
      </c>
      <c r="R5" s="13">
        <f>SUMIF(Mercado_Receita!$S$2:$S$2216,"44682A3AzulNão se aplicaNão se aplicaAPENão se aplicaPonta",Mercado_Receita!$L$2:$L$2216)+SUMIF(Mercado_Receita!$S$2:$S$2216,"44682A3AzulNão se aplicaNão se aplicaAPENão se aplicaFora ponta",Mercado_Receita!$L$2:$L$2216)+SUMIF(Mercado_Receita!$S$2:$S$2216,"44682A3AzulNão se aplicaNão se aplicaAPENão se aplicaIntermediário",Mercado_Receita!$L$2:$L$2216)+SUMIF(Mercado_Receita!$S$2:$S$2216,"44682A3AzulNão se aplicaNão se aplicaAPENão se aplicaNão se aplica",Mercado_Receita!$L$2:$L$2216)+SUMIF(Mercado_Receita!$S$2:$S$2216,"44682A3ConvencionalNão se aplicaNão se aplicaAPENão se aplicaNão se aplica",Mercado_Receita!$L$2:$L$2216)</f>
        <v>0</v>
      </c>
      <c r="S5" s="13">
        <f>SUMIF(Mercado_Receita!$S$2:$S$2216,"44713A3AzulNão se aplicaNão se aplicaAPENão se aplicaPonta",Mercado_Receita!$L$2:$L$2216)+SUMIF(Mercado_Receita!$S$2:$S$2216,"44713A3AzulNão se aplicaNão se aplicaAPENão se aplicaFora ponta",Mercado_Receita!$L$2:$L$2216)+SUMIF(Mercado_Receita!$S$2:$S$2216,"44713A3AzulNão se aplicaNão se aplicaAPENão se aplicaIntermediário",Mercado_Receita!$L$2:$L$2216)+SUMIF(Mercado_Receita!$S$2:$S$2216,"44713A3AzulNão se aplicaNão se aplicaAPENão se aplicaNão se aplica",Mercado_Receita!$L$2:$L$2216)+SUMIF(Mercado_Receita!$S$2:$S$2216,"44713A3ConvencionalNão se aplicaNão se aplicaAPENão se aplicaNão se aplica",Mercado_Receita!$L$2:$L$2216)</f>
        <v>0</v>
      </c>
      <c r="T5" s="13">
        <f>SUMIF(Mercado_Receita!$S$2:$S$2216,"44743A3AzulNão se aplicaNão se aplicaAPENão se aplicaPonta",Mercado_Receita!$L$2:$L$2216)+SUMIF(Mercado_Receita!$S$2:$S$2216,"44743A3AzulNão se aplicaNão se aplicaAPENão se aplicaFora ponta",Mercado_Receita!$L$2:$L$2216)+SUMIF(Mercado_Receita!$S$2:$S$2216,"44743A3AzulNão se aplicaNão se aplicaAPENão se aplicaIntermediário",Mercado_Receita!$L$2:$L$2216)+SUMIF(Mercado_Receita!$S$2:$S$2216,"44743A3AzulNão se aplicaNão se aplicaAPENão se aplicaNão se aplica",Mercado_Receita!$L$2:$L$2216)+SUMIF(Mercado_Receita!$S$2:$S$2216,"44743A3ConvencionalNão se aplicaNão se aplicaAPENão se aplicaNão se aplica",Mercado_Receita!$L$2:$L$2216)</f>
        <v>0</v>
      </c>
      <c r="U5" s="13">
        <f t="shared" si="0"/>
        <v>0</v>
      </c>
      <c r="V5" s="13"/>
      <c r="W5" s="13"/>
    </row>
    <row r="6" spans="1:30" ht="11.25" customHeight="1" x14ac:dyDescent="0.25">
      <c r="A6" s="83"/>
      <c r="B6" s="82" t="s">
        <v>62</v>
      </c>
      <c r="C6" s="82" t="s">
        <v>25</v>
      </c>
      <c r="D6" s="82" t="s">
        <v>25</v>
      </c>
      <c r="E6" s="82" t="s">
        <v>25</v>
      </c>
      <c r="F6" s="82" t="s">
        <v>65</v>
      </c>
      <c r="G6" s="13" t="s">
        <v>106</v>
      </c>
      <c r="H6" s="13" t="s">
        <v>105</v>
      </c>
      <c r="I6" s="13">
        <f>SUMIF(Mercado_Receita!$S$2:$S$2216,"44409A3DistribuiçãoNão se aplicaNão se aplicaNão se aplicaEBOPonta",Mercado_Receita!$J$2:$J$2216)+SUMIF(Mercado_Receita!$S$2:$S$2216,"44409A3DistribuiçãoNão se aplicaNão se aplicaNão se aplicaEBONão se aplica",Mercado_Receita!$J$2:$J$2216)*0.72</f>
        <v>28600</v>
      </c>
      <c r="J6" s="13">
        <f>SUMIF(Mercado_Receita!$S$2:$S$2216,"44440A3DistribuiçãoNão se aplicaNão se aplicaNão se aplicaEBOPonta",Mercado_Receita!$J$2:$J$2216)+SUMIF(Mercado_Receita!$S$2:$S$2216,"44440A3DistribuiçãoNão se aplicaNão se aplicaNão se aplicaEBONão se aplica",Mercado_Receita!$J$2:$J$2216)*0.72</f>
        <v>28600</v>
      </c>
      <c r="K6" s="13">
        <f>SUMIF(Mercado_Receita!$S$2:$S$2216,"44470A3DistribuiçãoNão se aplicaNão se aplicaNão se aplicaEBOPonta",Mercado_Receita!$J$2:$J$2216)+SUMIF(Mercado_Receita!$S$2:$S$2216,"44470A3DistribuiçãoNão se aplicaNão se aplicaNão se aplicaEBONão se aplica",Mercado_Receita!$J$2:$J$2216)*0.72</f>
        <v>28600</v>
      </c>
      <c r="L6" s="13">
        <f>SUMIF(Mercado_Receita!$S$2:$S$2216,"44501A3DistribuiçãoNão se aplicaNão se aplicaNão se aplicaEBOPonta",Mercado_Receita!$J$2:$J$2216)+SUMIF(Mercado_Receita!$S$2:$S$2216,"44501A3DistribuiçãoNão se aplicaNão se aplicaNão se aplicaEBONão se aplica",Mercado_Receita!$J$2:$J$2216)*0.72</f>
        <v>28600</v>
      </c>
      <c r="M6" s="13">
        <f>SUMIF(Mercado_Receita!$S$2:$S$2216,"44531A3DistribuiçãoNão se aplicaNão se aplicaNão se aplicaEBOPonta",Mercado_Receita!$J$2:$J$2216)+SUMIF(Mercado_Receita!$S$2:$S$2216,"44531A3DistribuiçãoNão se aplicaNão se aplicaNão se aplicaEBONão se aplica",Mercado_Receita!$J$2:$J$2216)*0.72</f>
        <v>28600</v>
      </c>
      <c r="N6" s="13">
        <f>SUMIF(Mercado_Receita!$S$2:$S$2216,"44562A3DistribuiçãoNão se aplicaNão se aplicaNão se aplicaEBOPonta",Mercado_Receita!$J$2:$J$2216)+SUMIF(Mercado_Receita!$S$2:$S$2216,"44562A3DistribuiçãoNão se aplicaNão se aplicaNão se aplicaEBONão se aplica",Mercado_Receita!$J$2:$J$2216)*0.72</f>
        <v>29792</v>
      </c>
      <c r="O6" s="13">
        <f>SUMIF(Mercado_Receita!$S$2:$S$2216,"44593A3DistribuiçãoNão se aplicaNão se aplicaNão se aplicaEBOPonta",Mercado_Receita!$J$2:$J$2216)+SUMIF(Mercado_Receita!$S$2:$S$2216,"44593A3DistribuiçãoNão se aplicaNão se aplicaNão se aplicaEBONão se aplica",Mercado_Receita!$J$2:$J$2216)*0.72</f>
        <v>28600</v>
      </c>
      <c r="P6" s="13">
        <f>SUMIF(Mercado_Receita!$S$2:$S$2216,"44621A3DistribuiçãoNão se aplicaNão se aplicaNão se aplicaEBOPonta",Mercado_Receita!$J$2:$J$2216)+SUMIF(Mercado_Receita!$S$2:$S$2216,"44621A3DistribuiçãoNão se aplicaNão se aplicaNão se aplicaEBONão se aplica",Mercado_Receita!$J$2:$J$2216)*0.72</f>
        <v>28600</v>
      </c>
      <c r="Q6" s="13">
        <f>SUMIF(Mercado_Receita!$S$2:$S$2216,"44652A3DistribuiçãoNão se aplicaNão se aplicaNão se aplicaEBOPonta",Mercado_Receita!$J$2:$J$2216)+SUMIF(Mercado_Receita!$S$2:$S$2216,"44652A3DistribuiçãoNão se aplicaNão se aplicaNão se aplicaEBONão se aplica",Mercado_Receita!$J$2:$J$2216)*0.72</f>
        <v>28600</v>
      </c>
      <c r="R6" s="13">
        <f>SUMIF(Mercado_Receita!$S$2:$S$2216,"44682A3DistribuiçãoNão se aplicaNão se aplicaNão se aplicaEBOPonta",Mercado_Receita!$J$2:$J$2216)+SUMIF(Mercado_Receita!$S$2:$S$2216,"44682A3DistribuiçãoNão se aplicaNão se aplicaNão se aplicaEBONão se aplica",Mercado_Receita!$J$2:$J$2216)*0.72</f>
        <v>28600</v>
      </c>
      <c r="S6" s="13">
        <f>SUMIF(Mercado_Receita!$S$2:$S$2216,"44713A3DistribuiçãoNão se aplicaNão se aplicaNão se aplicaEBOPonta",Mercado_Receita!$J$2:$J$2216)+SUMIF(Mercado_Receita!$S$2:$S$2216,"44713A3DistribuiçãoNão se aplicaNão se aplicaNão se aplicaEBONão se aplica",Mercado_Receita!$J$2:$J$2216)*0.72</f>
        <v>28600</v>
      </c>
      <c r="T6" s="13">
        <f>SUMIF(Mercado_Receita!$S$2:$S$2216,"44743A3DistribuiçãoNão se aplicaNão se aplicaNão se aplicaEBOPonta",Mercado_Receita!$J$2:$J$2216)+SUMIF(Mercado_Receita!$S$2:$S$2216,"44743A3DistribuiçãoNão se aplicaNão se aplicaNão se aplicaEBONão se aplica",Mercado_Receita!$J$2:$J$2216)*0.72</f>
        <v>28600</v>
      </c>
      <c r="U6" s="13">
        <f t="shared" si="0"/>
        <v>344392</v>
      </c>
      <c r="V6" s="13"/>
      <c r="W6" s="13"/>
    </row>
    <row r="7" spans="1:30" ht="11.25" customHeight="1" x14ac:dyDescent="0.25">
      <c r="A7" s="83"/>
      <c r="B7" s="83"/>
      <c r="C7" s="83"/>
      <c r="D7" s="83"/>
      <c r="E7" s="83"/>
      <c r="F7" s="83"/>
      <c r="G7" s="13" t="s">
        <v>107</v>
      </c>
      <c r="H7" s="13" t="s">
        <v>105</v>
      </c>
      <c r="I7" s="13">
        <f>SUMIF(Mercado_Receita!$S$2:$S$2216,"44409A3DistribuiçãoNão se aplicaNão se aplicaNão se aplicaEBOFora ponta",Mercado_Receita!$J$2:$J$2216)+SUMIF(Mercado_Receita!$S$2:$S$2216,"44409A3DistribuiçãoNão se aplicaNão se aplicaNão se aplicaEBONão se aplica",Mercado_Receita!$J$2:$J$2216)*1</f>
        <v>29300</v>
      </c>
      <c r="J7" s="13">
        <f>SUMIF(Mercado_Receita!$S$2:$S$2216,"44440A3DistribuiçãoNão se aplicaNão se aplicaNão se aplicaEBOFora ponta",Mercado_Receita!$J$2:$J$2216)+SUMIF(Mercado_Receita!$S$2:$S$2216,"44440A3DistribuiçãoNão se aplicaNão se aplicaNão se aplicaEBONão se aplica",Mercado_Receita!$J$2:$J$2216)*1</f>
        <v>29300</v>
      </c>
      <c r="K7" s="13">
        <f>SUMIF(Mercado_Receita!$S$2:$S$2216,"44470A3DistribuiçãoNão se aplicaNão se aplicaNão se aplicaEBOFora ponta",Mercado_Receita!$J$2:$J$2216)+SUMIF(Mercado_Receita!$S$2:$S$2216,"44470A3DistribuiçãoNão se aplicaNão se aplicaNão se aplicaEBONão se aplica",Mercado_Receita!$J$2:$J$2216)*1</f>
        <v>29300</v>
      </c>
      <c r="L7" s="13">
        <f>SUMIF(Mercado_Receita!$S$2:$S$2216,"44501A3DistribuiçãoNão se aplicaNão se aplicaNão se aplicaEBOFora ponta",Mercado_Receita!$J$2:$J$2216)+SUMIF(Mercado_Receita!$S$2:$S$2216,"44501A3DistribuiçãoNão se aplicaNão se aplicaNão se aplicaEBONão se aplica",Mercado_Receita!$J$2:$J$2216)*1</f>
        <v>29300</v>
      </c>
      <c r="M7" s="13">
        <f>SUMIF(Mercado_Receita!$S$2:$S$2216,"44531A3DistribuiçãoNão se aplicaNão se aplicaNão se aplicaEBOFora ponta",Mercado_Receita!$J$2:$J$2216)+SUMIF(Mercado_Receita!$S$2:$S$2216,"44531A3DistribuiçãoNão se aplicaNão se aplicaNão se aplicaEBONão se aplica",Mercado_Receita!$J$2:$J$2216)*1</f>
        <v>29300</v>
      </c>
      <c r="N7" s="13">
        <f>SUMIF(Mercado_Receita!$S$2:$S$2216,"44562A3DistribuiçãoNão se aplicaNão se aplicaNão se aplicaEBOFora ponta",Mercado_Receita!$J$2:$J$2216)+SUMIF(Mercado_Receita!$S$2:$S$2216,"44562A3DistribuiçãoNão se aplicaNão se aplicaNão se aplicaEBONão se aplica",Mercado_Receita!$J$2:$J$2216)*1</f>
        <v>29300</v>
      </c>
      <c r="O7" s="13">
        <f>SUMIF(Mercado_Receita!$S$2:$S$2216,"44593A3DistribuiçãoNão se aplicaNão se aplicaNão se aplicaEBOFora ponta",Mercado_Receita!$J$2:$J$2216)+SUMIF(Mercado_Receita!$S$2:$S$2216,"44593A3DistribuiçãoNão se aplicaNão se aplicaNão se aplicaEBONão se aplica",Mercado_Receita!$J$2:$J$2216)*1</f>
        <v>29300</v>
      </c>
      <c r="P7" s="13">
        <f>SUMIF(Mercado_Receita!$S$2:$S$2216,"44621A3DistribuiçãoNão se aplicaNão se aplicaNão se aplicaEBOFora ponta",Mercado_Receita!$J$2:$J$2216)+SUMIF(Mercado_Receita!$S$2:$S$2216,"44621A3DistribuiçãoNão se aplicaNão se aplicaNão se aplicaEBONão se aplica",Mercado_Receita!$J$2:$J$2216)*1</f>
        <v>29300</v>
      </c>
      <c r="Q7" s="13">
        <f>SUMIF(Mercado_Receita!$S$2:$S$2216,"44652A3DistribuiçãoNão se aplicaNão se aplicaNão se aplicaEBOFora ponta",Mercado_Receita!$J$2:$J$2216)+SUMIF(Mercado_Receita!$S$2:$S$2216,"44652A3DistribuiçãoNão se aplicaNão se aplicaNão se aplicaEBONão se aplica",Mercado_Receita!$J$2:$J$2216)*1</f>
        <v>29300</v>
      </c>
      <c r="R7" s="13">
        <f>SUMIF(Mercado_Receita!$S$2:$S$2216,"44682A3DistribuiçãoNão se aplicaNão se aplicaNão se aplicaEBOFora ponta",Mercado_Receita!$J$2:$J$2216)+SUMIF(Mercado_Receita!$S$2:$S$2216,"44682A3DistribuiçãoNão se aplicaNão se aplicaNão se aplicaEBONão se aplica",Mercado_Receita!$J$2:$J$2216)*1</f>
        <v>29300</v>
      </c>
      <c r="S7" s="13">
        <f>SUMIF(Mercado_Receita!$S$2:$S$2216,"44713A3DistribuiçãoNão se aplicaNão se aplicaNão se aplicaEBOFora ponta",Mercado_Receita!$J$2:$J$2216)+SUMIF(Mercado_Receita!$S$2:$S$2216,"44713A3DistribuiçãoNão se aplicaNão se aplicaNão se aplicaEBONão se aplica",Mercado_Receita!$J$2:$J$2216)*1</f>
        <v>29300</v>
      </c>
      <c r="T7" s="13">
        <f>SUMIF(Mercado_Receita!$S$2:$S$2216,"44743A3DistribuiçãoNão se aplicaNão se aplicaNão se aplicaEBOFora ponta",Mercado_Receita!$J$2:$J$2216)+SUMIF(Mercado_Receita!$S$2:$S$2216,"44743A3DistribuiçãoNão se aplicaNão se aplicaNão se aplicaEBONão se aplica",Mercado_Receita!$J$2:$J$2216)*1</f>
        <v>29300</v>
      </c>
      <c r="U7" s="13">
        <f t="shared" si="0"/>
        <v>351600</v>
      </c>
      <c r="V7" s="13"/>
      <c r="W7" s="13"/>
    </row>
    <row r="8" spans="1:30" ht="11.25" customHeight="1" x14ac:dyDescent="0.25">
      <c r="A8" s="83"/>
      <c r="B8" s="83"/>
      <c r="C8" s="83"/>
      <c r="D8" s="83"/>
      <c r="E8" s="83"/>
      <c r="F8" s="83"/>
      <c r="G8" s="13" t="s">
        <v>108</v>
      </c>
      <c r="H8" s="13" t="s">
        <v>102</v>
      </c>
      <c r="I8" s="13">
        <f>IF((I6+I7)&lt;&gt;0,SUMIF(Mercado_Receita!$S$2:$S$2216,"44409A3DistribuiçãoNão se aplicaNão se aplicaNão se aplicaEBOPonta",Mercado_Receita!$L$2:$L$2216)+SUMIF(Mercado_Receita!$S$2:$S$2216,"44409A3DistribuiçãoNão se aplicaNão se aplicaNão se aplicaEBOFora ponta",Mercado_Receita!$L$2:$L$2216)+SUMIF(Mercado_Receita!$S$2:$S$2216,"44409A3DistribuiçãoNão se aplicaNão se aplicaNão se aplicaEBOIntermediário",Mercado_Receita!$L$2:$L$2216)+SUMIF(Mercado_Receita!$S$2:$S$2216,"44409A3DistribuiçãoNão se aplicaNão se aplicaNão se aplicaEBONão se aplica",Mercado_Receita!$L$2:$L$2216),0)</f>
        <v>11443.019</v>
      </c>
      <c r="J8" s="13">
        <f>IF((J6+J7)&lt;&gt;0,SUMIF(Mercado_Receita!$S$2:$S$2216,"44440A3DistribuiçãoNão se aplicaNão se aplicaNão se aplicaEBOPonta",Mercado_Receita!$L$2:$L$2216)+SUMIF(Mercado_Receita!$S$2:$S$2216,"44440A3DistribuiçãoNão se aplicaNão se aplicaNão se aplicaEBOFora ponta",Mercado_Receita!$L$2:$L$2216)+SUMIF(Mercado_Receita!$S$2:$S$2216,"44440A3DistribuiçãoNão se aplicaNão se aplicaNão se aplicaEBOIntermediário",Mercado_Receita!$L$2:$L$2216)+SUMIF(Mercado_Receita!$S$2:$S$2216,"44440A3DistribuiçãoNão se aplicaNão se aplicaNão se aplicaEBONão se aplica",Mercado_Receita!$L$2:$L$2216),0)</f>
        <v>11136.861999999999</v>
      </c>
      <c r="K8" s="13">
        <f>IF((K6+K7)&lt;&gt;0,SUMIF(Mercado_Receita!$S$2:$S$2216,"44470A3DistribuiçãoNão se aplicaNão se aplicaNão se aplicaEBOPonta",Mercado_Receita!$L$2:$L$2216)+SUMIF(Mercado_Receita!$S$2:$S$2216,"44470A3DistribuiçãoNão se aplicaNão se aplicaNão se aplicaEBOFora ponta",Mercado_Receita!$L$2:$L$2216)+SUMIF(Mercado_Receita!$S$2:$S$2216,"44470A3DistribuiçãoNão se aplicaNão se aplicaNão se aplicaEBOIntermediário",Mercado_Receita!$L$2:$L$2216)+SUMIF(Mercado_Receita!$S$2:$S$2216,"44470A3DistribuiçãoNão se aplicaNão se aplicaNão se aplicaEBONão se aplica",Mercado_Receita!$L$2:$L$2216),0)</f>
        <v>11604.642</v>
      </c>
      <c r="L8" s="13">
        <f>IF((L6+L7)&lt;&gt;0,SUMIF(Mercado_Receita!$S$2:$S$2216,"44501A3DistribuiçãoNão se aplicaNão se aplicaNão se aplicaEBOPonta",Mercado_Receita!$L$2:$L$2216)+SUMIF(Mercado_Receita!$S$2:$S$2216,"44501A3DistribuiçãoNão se aplicaNão se aplicaNão se aplicaEBOFora ponta",Mercado_Receita!$L$2:$L$2216)+SUMIF(Mercado_Receita!$S$2:$S$2216,"44501A3DistribuiçãoNão se aplicaNão se aplicaNão se aplicaEBOIntermediário",Mercado_Receita!$L$2:$L$2216)+SUMIF(Mercado_Receita!$S$2:$S$2216,"44501A3DistribuiçãoNão se aplicaNão se aplicaNão se aplicaEBONão se aplica",Mercado_Receita!$L$2:$L$2216),0)</f>
        <v>12398.616</v>
      </c>
      <c r="M8" s="13">
        <f>IF((M6+M7)&lt;&gt;0,SUMIF(Mercado_Receita!$S$2:$S$2216,"44531A3DistribuiçãoNão se aplicaNão se aplicaNão se aplicaEBOPonta",Mercado_Receita!$L$2:$L$2216)+SUMIF(Mercado_Receita!$S$2:$S$2216,"44531A3DistribuiçãoNão se aplicaNão se aplicaNão se aplicaEBOFora ponta",Mercado_Receita!$L$2:$L$2216)+SUMIF(Mercado_Receita!$S$2:$S$2216,"44531A3DistribuiçãoNão se aplicaNão se aplicaNão se aplicaEBOIntermediário",Mercado_Receita!$L$2:$L$2216)+SUMIF(Mercado_Receita!$S$2:$S$2216,"44531A3DistribuiçãoNão se aplicaNão se aplicaNão se aplicaEBONão se aplica",Mercado_Receita!$L$2:$L$2216),0)</f>
        <v>12355.644</v>
      </c>
      <c r="N8" s="13">
        <f>IF((N6+N7)&lt;&gt;0,SUMIF(Mercado_Receita!$S$2:$S$2216,"44562A3DistribuiçãoNão se aplicaNão se aplicaNão se aplicaEBOPonta",Mercado_Receita!$L$2:$L$2216)+SUMIF(Mercado_Receita!$S$2:$S$2216,"44562A3DistribuiçãoNão se aplicaNão se aplicaNão se aplicaEBOFora ponta",Mercado_Receita!$L$2:$L$2216)+SUMIF(Mercado_Receita!$S$2:$S$2216,"44562A3DistribuiçãoNão se aplicaNão se aplicaNão se aplicaEBOIntermediário",Mercado_Receita!$L$2:$L$2216)+SUMIF(Mercado_Receita!$S$2:$S$2216,"44562A3DistribuiçãoNão se aplicaNão se aplicaNão se aplicaEBONão se aplica",Mercado_Receita!$L$2:$L$2216),0)</f>
        <v>12554.525</v>
      </c>
      <c r="O8" s="13">
        <f>IF((O6+O7)&lt;&gt;0,SUMIF(Mercado_Receita!$S$2:$S$2216,"44593A3DistribuiçãoNão se aplicaNão se aplicaNão se aplicaEBOPonta",Mercado_Receita!$L$2:$L$2216)+SUMIF(Mercado_Receita!$S$2:$S$2216,"44593A3DistribuiçãoNão se aplicaNão se aplicaNão se aplicaEBOFora ponta",Mercado_Receita!$L$2:$L$2216)+SUMIF(Mercado_Receita!$S$2:$S$2216,"44593A3DistribuiçãoNão se aplicaNão se aplicaNão se aplicaEBOIntermediário",Mercado_Receita!$L$2:$L$2216)+SUMIF(Mercado_Receita!$S$2:$S$2216,"44593A3DistribuiçãoNão se aplicaNão se aplicaNão se aplicaEBONão se aplica",Mercado_Receita!$L$2:$L$2216),0)</f>
        <v>12240.692999999999</v>
      </c>
      <c r="P8" s="13">
        <f>IF((P6+P7)&lt;&gt;0,SUMIF(Mercado_Receita!$S$2:$S$2216,"44621A3DistribuiçãoNão se aplicaNão se aplicaNão se aplicaEBOPonta",Mercado_Receita!$L$2:$L$2216)+SUMIF(Mercado_Receita!$S$2:$S$2216,"44621A3DistribuiçãoNão se aplicaNão se aplicaNão se aplicaEBOFora ponta",Mercado_Receita!$L$2:$L$2216)+SUMIF(Mercado_Receita!$S$2:$S$2216,"44621A3DistribuiçãoNão se aplicaNão se aplicaNão se aplicaEBOIntermediário",Mercado_Receita!$L$2:$L$2216)+SUMIF(Mercado_Receita!$S$2:$S$2216,"44621A3DistribuiçãoNão se aplicaNão se aplicaNão se aplicaEBONão se aplica",Mercado_Receita!$L$2:$L$2216),0)</f>
        <v>11557.92</v>
      </c>
      <c r="Q8" s="13">
        <f>IF((Q6+Q7)&lt;&gt;0,SUMIF(Mercado_Receita!$S$2:$S$2216,"44652A3DistribuiçãoNão se aplicaNão se aplicaNão se aplicaEBOPonta",Mercado_Receita!$L$2:$L$2216)+SUMIF(Mercado_Receita!$S$2:$S$2216,"44652A3DistribuiçãoNão se aplicaNão se aplicaNão se aplicaEBOFora ponta",Mercado_Receita!$L$2:$L$2216)+SUMIF(Mercado_Receita!$S$2:$S$2216,"44652A3DistribuiçãoNão se aplicaNão se aplicaNão se aplicaEBOIntermediário",Mercado_Receita!$L$2:$L$2216)+SUMIF(Mercado_Receita!$S$2:$S$2216,"44652A3DistribuiçãoNão se aplicaNão se aplicaNão se aplicaEBONão se aplica",Mercado_Receita!$L$2:$L$2216),0)</f>
        <v>12544.321</v>
      </c>
      <c r="R8" s="13">
        <f>IF((R6+R7)&lt;&gt;0,SUMIF(Mercado_Receita!$S$2:$S$2216,"44682A3DistribuiçãoNão se aplicaNão se aplicaNão se aplicaEBOPonta",Mercado_Receita!$L$2:$L$2216)+SUMIF(Mercado_Receita!$S$2:$S$2216,"44682A3DistribuiçãoNão se aplicaNão se aplicaNão se aplicaEBOFora ponta",Mercado_Receita!$L$2:$L$2216)+SUMIF(Mercado_Receita!$S$2:$S$2216,"44682A3DistribuiçãoNão se aplicaNão se aplicaNão se aplicaEBOIntermediário",Mercado_Receita!$L$2:$L$2216)+SUMIF(Mercado_Receita!$S$2:$S$2216,"44682A3DistribuiçãoNão se aplicaNão se aplicaNão se aplicaEBONão se aplica",Mercado_Receita!$L$2:$L$2216),0)</f>
        <v>11977.334999999999</v>
      </c>
      <c r="S8" s="13">
        <f>IF((S6+S7)&lt;&gt;0,SUMIF(Mercado_Receita!$S$2:$S$2216,"44713A3DistribuiçãoNão se aplicaNão se aplicaNão se aplicaEBOPonta",Mercado_Receita!$L$2:$L$2216)+SUMIF(Mercado_Receita!$S$2:$S$2216,"44713A3DistribuiçãoNão se aplicaNão se aplicaNão se aplicaEBOFora ponta",Mercado_Receita!$L$2:$L$2216)+SUMIF(Mercado_Receita!$S$2:$S$2216,"44713A3DistribuiçãoNão se aplicaNão se aplicaNão se aplicaEBOIntermediário",Mercado_Receita!$L$2:$L$2216)+SUMIF(Mercado_Receita!$S$2:$S$2216,"44713A3DistribuiçãoNão se aplicaNão se aplicaNão se aplicaEBONão se aplica",Mercado_Receita!$L$2:$L$2216),0)</f>
        <v>11880.42</v>
      </c>
      <c r="T8" s="13">
        <f>IF((T6+T7)&lt;&gt;0,SUMIF(Mercado_Receita!$S$2:$S$2216,"44743A3DistribuiçãoNão se aplicaNão se aplicaNão se aplicaEBOPonta",Mercado_Receita!$L$2:$L$2216)+SUMIF(Mercado_Receita!$S$2:$S$2216,"44743A3DistribuiçãoNão se aplicaNão se aplicaNão se aplicaEBOFora ponta",Mercado_Receita!$L$2:$L$2216)+SUMIF(Mercado_Receita!$S$2:$S$2216,"44743A3DistribuiçãoNão se aplicaNão se aplicaNão se aplicaEBOIntermediário",Mercado_Receita!$L$2:$L$2216)+SUMIF(Mercado_Receita!$S$2:$S$2216,"44743A3DistribuiçãoNão se aplicaNão se aplicaNão se aplicaEBONão se aplica",Mercado_Receita!$L$2:$L$2216),0)</f>
        <v>11880.42</v>
      </c>
      <c r="U8" s="13">
        <f t="shared" si="0"/>
        <v>143574.41700000002</v>
      </c>
      <c r="V8" s="13"/>
      <c r="W8" s="13"/>
    </row>
    <row r="9" spans="1:30" ht="11.25" customHeight="1" x14ac:dyDescent="0.25">
      <c r="A9" s="83"/>
      <c r="B9" s="12" t="s">
        <v>66</v>
      </c>
      <c r="C9" s="12" t="s">
        <v>25</v>
      </c>
      <c r="D9" s="12" t="s">
        <v>25</v>
      </c>
      <c r="E9" s="12" t="s">
        <v>25</v>
      </c>
      <c r="F9" s="12" t="s">
        <v>25</v>
      </c>
      <c r="G9" s="13" t="s">
        <v>9</v>
      </c>
      <c r="H9" s="13" t="s">
        <v>105</v>
      </c>
      <c r="I9" s="13">
        <f>SUMIF(Mercado_Receita!$S$2:$S$2216,"44409A3GeraçãoNão se aplicaNão se aplicaNão se aplicaNão se aplicaNão se aplica",Mercado_Receita!$J$2:$J$2216)+SUMIF(Mercado_Receita!$S$2:$S$2216,"44409A3GeraçãoNão se aplicaNão se aplicaAPENão se aplicaNão se aplica",Mercado_Receita!$J$2:$J$2216)</f>
        <v>215464</v>
      </c>
      <c r="J9" s="13">
        <f>SUMIF(Mercado_Receita!$S$2:$S$2216,"44440A3GeraçãoNão se aplicaNão se aplicaNão se aplicaNão se aplicaNão se aplica",Mercado_Receita!$J$2:$J$2216)+SUMIF(Mercado_Receita!$S$2:$S$2216,"44440A3GeraçãoNão se aplicaNão se aplicaAPENão se aplicaNão se aplica",Mercado_Receita!$J$2:$J$2216)</f>
        <v>216000</v>
      </c>
      <c r="K9" s="13">
        <f>SUMIF(Mercado_Receita!$S$2:$S$2216,"44470A3GeraçãoNão se aplicaNão se aplicaNão se aplicaNão se aplicaNão se aplica",Mercado_Receita!$J$2:$J$2216)+SUMIF(Mercado_Receita!$S$2:$S$2216,"44470A3GeraçãoNão se aplicaNão se aplicaAPENão se aplicaNão se aplica",Mercado_Receita!$J$2:$J$2216)</f>
        <v>216000</v>
      </c>
      <c r="L9" s="13">
        <f>SUMIF(Mercado_Receita!$S$2:$S$2216,"44501A3GeraçãoNão se aplicaNão se aplicaNão se aplicaNão se aplicaNão se aplica",Mercado_Receita!$J$2:$J$2216)+SUMIF(Mercado_Receita!$S$2:$S$2216,"44501A3GeraçãoNão se aplicaNão se aplicaAPENão se aplicaNão se aplica",Mercado_Receita!$J$2:$J$2216)</f>
        <v>217526</v>
      </c>
      <c r="M9" s="13">
        <f>SUMIF(Mercado_Receita!$S$2:$S$2216,"44531A3GeraçãoNão se aplicaNão se aplicaNão se aplicaNão se aplicaNão se aplica",Mercado_Receita!$J$2:$J$2216)+SUMIF(Mercado_Receita!$S$2:$S$2216,"44531A3GeraçãoNão se aplicaNão se aplicaAPENão se aplicaNão se aplica",Mercado_Receita!$J$2:$J$2216)</f>
        <v>217462</v>
      </c>
      <c r="N9" s="13">
        <f>SUMIF(Mercado_Receita!$S$2:$S$2216,"44562A3GeraçãoNão se aplicaNão se aplicaNão se aplicaNão se aplicaNão se aplica",Mercado_Receita!$J$2:$J$2216)+SUMIF(Mercado_Receita!$S$2:$S$2216,"44562A3GeraçãoNão se aplicaNão se aplicaAPENão se aplicaNão se aplica",Mercado_Receita!$J$2:$J$2216)</f>
        <v>217078</v>
      </c>
      <c r="O9" s="13">
        <f>SUMIF(Mercado_Receita!$S$2:$S$2216,"44593A3GeraçãoNão se aplicaNão se aplicaNão se aplicaNão se aplicaNão se aplica",Mercado_Receita!$J$2:$J$2216)+SUMIF(Mercado_Receita!$S$2:$S$2216,"44593A3GeraçãoNão se aplicaNão se aplicaAPENão se aplicaNão se aplica",Mercado_Receita!$J$2:$J$2216)</f>
        <v>216000</v>
      </c>
      <c r="P9" s="13">
        <f>SUMIF(Mercado_Receita!$S$2:$S$2216,"44621A3GeraçãoNão se aplicaNão se aplicaNão se aplicaNão se aplicaNão se aplica",Mercado_Receita!$J$2:$J$2216)+SUMIF(Mercado_Receita!$S$2:$S$2216,"44621A3GeraçãoNão se aplicaNão se aplicaAPENão se aplicaNão se aplica",Mercado_Receita!$J$2:$J$2216)</f>
        <v>216000</v>
      </c>
      <c r="Q9" s="13">
        <f>SUMIF(Mercado_Receita!$S$2:$S$2216,"44652A3GeraçãoNão se aplicaNão se aplicaNão se aplicaNão se aplicaNão se aplica",Mercado_Receita!$J$2:$J$2216)+SUMIF(Mercado_Receita!$S$2:$S$2216,"44652A3GeraçãoNão se aplicaNão se aplicaAPENão se aplicaNão se aplica",Mercado_Receita!$J$2:$J$2216)</f>
        <v>216000</v>
      </c>
      <c r="R9" s="13">
        <f>SUMIF(Mercado_Receita!$S$2:$S$2216,"44682A3GeraçãoNão se aplicaNão se aplicaNão se aplicaNão se aplicaNão se aplica",Mercado_Receita!$J$2:$J$2216)+SUMIF(Mercado_Receita!$S$2:$S$2216,"44682A3GeraçãoNão se aplicaNão se aplicaAPENão se aplicaNão se aplica",Mercado_Receita!$J$2:$J$2216)</f>
        <v>216000</v>
      </c>
      <c r="S9" s="13">
        <f>SUMIF(Mercado_Receita!$S$2:$S$2216,"44713A3GeraçãoNão se aplicaNão se aplicaNão se aplicaNão se aplicaNão se aplica",Mercado_Receita!$J$2:$J$2216)+SUMIF(Mercado_Receita!$S$2:$S$2216,"44713A3GeraçãoNão se aplicaNão se aplicaAPENão se aplicaNão se aplica",Mercado_Receita!$J$2:$J$2216)</f>
        <v>216000</v>
      </c>
      <c r="T9" s="13">
        <f>SUMIF(Mercado_Receita!$S$2:$S$2216,"44743A3GeraçãoNão se aplicaNão se aplicaNão se aplicaNão se aplicaNão se aplica",Mercado_Receita!$J$2:$J$2216)+SUMIF(Mercado_Receita!$S$2:$S$2216,"44743A3GeraçãoNão se aplicaNão se aplicaAPENão se aplicaNão se aplica",Mercado_Receita!$J$2:$J$2216)</f>
        <v>216000</v>
      </c>
      <c r="U9" s="13">
        <f t="shared" si="0"/>
        <v>2595530</v>
      </c>
      <c r="V9" s="13"/>
      <c r="W9" s="13"/>
    </row>
    <row r="10" spans="1:30" ht="11.25" customHeight="1" x14ac:dyDescent="0.25">
      <c r="A10" s="82" t="s">
        <v>41</v>
      </c>
      <c r="B10" s="82" t="s">
        <v>40</v>
      </c>
      <c r="C10" s="82" t="s">
        <v>25</v>
      </c>
      <c r="D10" s="82" t="s">
        <v>25</v>
      </c>
      <c r="E10" s="82" t="s">
        <v>25</v>
      </c>
      <c r="F10" s="82" t="s">
        <v>25</v>
      </c>
      <c r="G10" s="13" t="s">
        <v>106</v>
      </c>
      <c r="H10" s="13" t="s">
        <v>105</v>
      </c>
      <c r="I10" s="13">
        <f>SUMIF(Mercado_Receita!$S$2:$S$2216,"44409A4AzulNão se aplicaNão se aplicaNão se aplicaNão se aplicaPonta",Mercado_Receita!$J$2:$J$2216)+SUMIF(Mercado_Receita!$S$2:$S$2216,"44409A4AzulNão se aplicaNão se aplicaAPENão se aplicaPonta",Mercado_Receita!$J$2:$J$2216)</f>
        <v>44683</v>
      </c>
      <c r="J10" s="13">
        <f>SUMIF(Mercado_Receita!$S$2:$S$2216,"44440A4AzulNão se aplicaNão se aplicaNão se aplicaNão se aplicaPonta",Mercado_Receita!$J$2:$J$2216)+SUMIF(Mercado_Receita!$S$2:$S$2216,"44440A4AzulNão se aplicaNão se aplicaAPENão se aplicaPonta",Mercado_Receita!$J$2:$J$2216)</f>
        <v>45589</v>
      </c>
      <c r="K10" s="13">
        <f>SUMIF(Mercado_Receita!$S$2:$S$2216,"44470A4AzulNão se aplicaNão se aplicaNão se aplicaNão se aplicaPonta",Mercado_Receita!$J$2:$J$2216)+SUMIF(Mercado_Receita!$S$2:$S$2216,"44470A4AzulNão se aplicaNão se aplicaAPENão se aplicaPonta",Mercado_Receita!$J$2:$J$2216)</f>
        <v>45130</v>
      </c>
      <c r="L10" s="13">
        <f>SUMIF(Mercado_Receita!$S$2:$S$2216,"44501A4AzulNão se aplicaNão se aplicaNão se aplicaNão se aplicaPonta",Mercado_Receita!$J$2:$J$2216)+SUMIF(Mercado_Receita!$S$2:$S$2216,"44501A4AzulNão se aplicaNão se aplicaAPENão se aplicaPonta",Mercado_Receita!$J$2:$J$2216)</f>
        <v>45797</v>
      </c>
      <c r="M10" s="13">
        <f>SUMIF(Mercado_Receita!$S$2:$S$2216,"44531A4AzulNão se aplicaNão se aplicaNão se aplicaNão se aplicaPonta",Mercado_Receita!$J$2:$J$2216)+SUMIF(Mercado_Receita!$S$2:$S$2216,"44531A4AzulNão se aplicaNão se aplicaAPENão se aplicaPonta",Mercado_Receita!$J$2:$J$2216)</f>
        <v>46693</v>
      </c>
      <c r="N10" s="13">
        <f>SUMIF(Mercado_Receita!$S$2:$S$2216,"44562A4AzulNão se aplicaNão se aplicaNão se aplicaNão se aplicaPonta",Mercado_Receita!$J$2:$J$2216)+SUMIF(Mercado_Receita!$S$2:$S$2216,"44562A4AzulNão se aplicaNão se aplicaAPENão se aplicaPonta",Mercado_Receita!$J$2:$J$2216)</f>
        <v>46461</v>
      </c>
      <c r="O10" s="13">
        <f>SUMIF(Mercado_Receita!$S$2:$S$2216,"44593A4AzulNão se aplicaNão se aplicaNão se aplicaNão se aplicaPonta",Mercado_Receita!$J$2:$J$2216)+SUMIF(Mercado_Receita!$S$2:$S$2216,"44593A4AzulNão se aplicaNão se aplicaAPENão se aplicaPonta",Mercado_Receita!$J$2:$J$2216)</f>
        <v>47141</v>
      </c>
      <c r="P10" s="13">
        <f>SUMIF(Mercado_Receita!$S$2:$S$2216,"44621A4AzulNão se aplicaNão se aplicaNão se aplicaNão se aplicaPonta",Mercado_Receita!$J$2:$J$2216)+SUMIF(Mercado_Receita!$S$2:$S$2216,"44621A4AzulNão se aplicaNão se aplicaAPENão se aplicaPonta",Mercado_Receita!$J$2:$J$2216)</f>
        <v>46690</v>
      </c>
      <c r="Q10" s="13">
        <f>SUMIF(Mercado_Receita!$S$2:$S$2216,"44652A4AzulNão se aplicaNão se aplicaNão se aplicaNão se aplicaPonta",Mercado_Receita!$J$2:$J$2216)+SUMIF(Mercado_Receita!$S$2:$S$2216,"44652A4AzulNão se aplicaNão se aplicaAPENão se aplicaPonta",Mercado_Receita!$J$2:$J$2216)</f>
        <v>48582</v>
      </c>
      <c r="R10" s="13">
        <f>SUMIF(Mercado_Receita!$S$2:$S$2216,"44682A4AzulNão se aplicaNão se aplicaNão se aplicaNão se aplicaPonta",Mercado_Receita!$J$2:$J$2216)+SUMIF(Mercado_Receita!$S$2:$S$2216,"44682A4AzulNão se aplicaNão se aplicaAPENão se aplicaPonta",Mercado_Receita!$J$2:$J$2216)</f>
        <v>47376</v>
      </c>
      <c r="S10" s="13">
        <f>SUMIF(Mercado_Receita!$S$2:$S$2216,"44713A4AzulNão se aplicaNão se aplicaNão se aplicaNão se aplicaPonta",Mercado_Receita!$J$2:$J$2216)+SUMIF(Mercado_Receita!$S$2:$S$2216,"44713A4AzulNão se aplicaNão se aplicaAPENão se aplicaPonta",Mercado_Receita!$J$2:$J$2216)</f>
        <v>47428</v>
      </c>
      <c r="T10" s="13">
        <f>SUMIF(Mercado_Receita!$S$2:$S$2216,"44743A4AzulNão se aplicaNão se aplicaNão se aplicaNão se aplicaPonta",Mercado_Receita!$J$2:$J$2216)+SUMIF(Mercado_Receita!$S$2:$S$2216,"44743A4AzulNão se aplicaNão se aplicaAPENão se aplicaPonta",Mercado_Receita!$J$2:$J$2216)</f>
        <v>47428</v>
      </c>
      <c r="U10" s="13">
        <f t="shared" si="0"/>
        <v>558998</v>
      </c>
      <c r="V10" s="13"/>
      <c r="W10" s="13"/>
    </row>
    <row r="11" spans="1:30" ht="11.25" customHeight="1" x14ac:dyDescent="0.25">
      <c r="A11" s="83"/>
      <c r="B11" s="83"/>
      <c r="C11" s="83"/>
      <c r="D11" s="83"/>
      <c r="E11" s="83"/>
      <c r="F11" s="83"/>
      <c r="G11" s="13" t="s">
        <v>107</v>
      </c>
      <c r="H11" s="13" t="s">
        <v>105</v>
      </c>
      <c r="I11" s="13">
        <f>SUMIF(Mercado_Receita!$S$2:$S$2216,"44409A4AzulNão se aplicaNão se aplicaNão se aplicaNão se aplicaFora ponta",Mercado_Receita!$J$2:$J$2216)+SUMIF(Mercado_Receita!$S$2:$S$2216,"44409A4AzulNão se aplicaNão se aplicaAPENão se aplicaFora ponta",Mercado_Receita!$J$2:$J$2216)</f>
        <v>51064</v>
      </c>
      <c r="J11" s="13">
        <f>SUMIF(Mercado_Receita!$S$2:$S$2216,"44440A4AzulNão se aplicaNão se aplicaNão se aplicaNão se aplicaFora ponta",Mercado_Receita!$J$2:$J$2216)+SUMIF(Mercado_Receita!$S$2:$S$2216,"44440A4AzulNão se aplicaNão se aplicaAPENão se aplicaFora ponta",Mercado_Receita!$J$2:$J$2216)</f>
        <v>51932</v>
      </c>
      <c r="K11" s="13">
        <f>SUMIF(Mercado_Receita!$S$2:$S$2216,"44470A4AzulNão se aplicaNão se aplicaNão se aplicaNão se aplicaFora ponta",Mercado_Receita!$J$2:$J$2216)+SUMIF(Mercado_Receita!$S$2:$S$2216,"44470A4AzulNão se aplicaNão se aplicaAPENão se aplicaFora ponta",Mercado_Receita!$J$2:$J$2216)</f>
        <v>51671</v>
      </c>
      <c r="L11" s="13">
        <f>SUMIF(Mercado_Receita!$S$2:$S$2216,"44501A4AzulNão se aplicaNão se aplicaNão se aplicaNão se aplicaFora ponta",Mercado_Receita!$J$2:$J$2216)+SUMIF(Mercado_Receita!$S$2:$S$2216,"44501A4AzulNão se aplicaNão se aplicaAPENão se aplicaFora ponta",Mercado_Receita!$J$2:$J$2216)</f>
        <v>52342</v>
      </c>
      <c r="M11" s="13">
        <f>SUMIF(Mercado_Receita!$S$2:$S$2216,"44531A4AzulNão se aplicaNão se aplicaNão se aplicaNão se aplicaFora ponta",Mercado_Receita!$J$2:$J$2216)+SUMIF(Mercado_Receita!$S$2:$S$2216,"44531A4AzulNão se aplicaNão se aplicaAPENão se aplicaFora ponta",Mercado_Receita!$J$2:$J$2216)</f>
        <v>53032</v>
      </c>
      <c r="N11" s="13">
        <f>SUMIF(Mercado_Receita!$S$2:$S$2216,"44562A4AzulNão se aplicaNão se aplicaNão se aplicaNão se aplicaFora ponta",Mercado_Receita!$J$2:$J$2216)+SUMIF(Mercado_Receita!$S$2:$S$2216,"44562A4AzulNão se aplicaNão se aplicaAPENão se aplicaFora ponta",Mercado_Receita!$J$2:$J$2216)</f>
        <v>54175</v>
      </c>
      <c r="O11" s="13">
        <f>SUMIF(Mercado_Receita!$S$2:$S$2216,"44593A4AzulNão se aplicaNão se aplicaNão se aplicaNão se aplicaFora ponta",Mercado_Receita!$J$2:$J$2216)+SUMIF(Mercado_Receita!$S$2:$S$2216,"44593A4AzulNão se aplicaNão se aplicaAPENão se aplicaFora ponta",Mercado_Receita!$J$2:$J$2216)</f>
        <v>54085</v>
      </c>
      <c r="P11" s="13">
        <f>SUMIF(Mercado_Receita!$S$2:$S$2216,"44621A4AzulNão se aplicaNão se aplicaNão se aplicaNão se aplicaFora ponta",Mercado_Receita!$J$2:$J$2216)+SUMIF(Mercado_Receita!$S$2:$S$2216,"44621A4AzulNão se aplicaNão se aplicaAPENão se aplicaFora ponta",Mercado_Receita!$J$2:$J$2216)</f>
        <v>53930</v>
      </c>
      <c r="Q11" s="13">
        <f>SUMIF(Mercado_Receita!$S$2:$S$2216,"44652A4AzulNão se aplicaNão se aplicaNão se aplicaNão se aplicaFora ponta",Mercado_Receita!$J$2:$J$2216)+SUMIF(Mercado_Receita!$S$2:$S$2216,"44652A4AzulNão se aplicaNão se aplicaAPENão se aplicaFora ponta",Mercado_Receita!$J$2:$J$2216)</f>
        <v>54281</v>
      </c>
      <c r="R11" s="13">
        <f>SUMIF(Mercado_Receita!$S$2:$S$2216,"44682A4AzulNão se aplicaNão se aplicaNão se aplicaNão se aplicaFora ponta",Mercado_Receita!$J$2:$J$2216)+SUMIF(Mercado_Receita!$S$2:$S$2216,"44682A4AzulNão se aplicaNão se aplicaAPENão se aplicaFora ponta",Mercado_Receita!$J$2:$J$2216)</f>
        <v>54619</v>
      </c>
      <c r="S11" s="13">
        <f>SUMIF(Mercado_Receita!$S$2:$S$2216,"44713A4AzulNão se aplicaNão se aplicaNão se aplicaNão se aplicaFora ponta",Mercado_Receita!$J$2:$J$2216)+SUMIF(Mercado_Receita!$S$2:$S$2216,"44713A4AzulNão se aplicaNão se aplicaAPENão se aplicaFora ponta",Mercado_Receita!$J$2:$J$2216)</f>
        <v>54347</v>
      </c>
      <c r="T11" s="13">
        <f>SUMIF(Mercado_Receita!$S$2:$S$2216,"44743A4AzulNão se aplicaNão se aplicaNão se aplicaNão se aplicaFora ponta",Mercado_Receita!$J$2:$J$2216)+SUMIF(Mercado_Receita!$S$2:$S$2216,"44743A4AzulNão se aplicaNão se aplicaAPENão se aplicaFora ponta",Mercado_Receita!$J$2:$J$2216)</f>
        <v>54347</v>
      </c>
      <c r="U11" s="13">
        <f t="shared" si="0"/>
        <v>639825</v>
      </c>
      <c r="V11" s="13"/>
      <c r="W11" s="13"/>
    </row>
    <row r="12" spans="1:30" ht="11.25" customHeight="1" x14ac:dyDescent="0.25">
      <c r="A12" s="83"/>
      <c r="B12" s="83"/>
      <c r="C12" s="83"/>
      <c r="D12" s="83"/>
      <c r="E12" s="83"/>
      <c r="F12" s="83"/>
      <c r="G12" s="13" t="s">
        <v>108</v>
      </c>
      <c r="H12" s="13" t="s">
        <v>102</v>
      </c>
      <c r="I12" s="13">
        <f>SUMIF(Mercado_Receita!$S$2:$S$2216,"44409A4AzulNão se aplicaNão se aplicaNão se aplicaNão se aplicaPonta",Mercado_Receita!$L$2:$L$2216)+SUMIF(Mercado_Receita!$S$2:$S$2216,"44409A4AzulNão se aplicaNão se aplicaNão se aplicaNão se aplicaFora ponta",Mercado_Receita!$L$2:$L$2216)+SUMIF(Mercado_Receita!$S$2:$S$2216,"44409A4AzulNão se aplicaNão se aplicaNão se aplicaNão se aplicaIntermediário",Mercado_Receita!$L$2:$L$2216)+SUMIF(Mercado_Receita!$S$2:$S$2216,"44409A4AzulNão se aplicaNão se aplicaNão se aplicaNão se aplicaNão se aplica",Mercado_Receita!$L$2:$L$2216)</f>
        <v>19388.042999999998</v>
      </c>
      <c r="J12" s="13">
        <f>SUMIF(Mercado_Receita!$S$2:$S$2216,"44440A4AzulNão se aplicaNão se aplicaNão se aplicaNão se aplicaPonta",Mercado_Receita!$L$2:$L$2216)+SUMIF(Mercado_Receita!$S$2:$S$2216,"44440A4AzulNão se aplicaNão se aplicaNão se aplicaNão se aplicaFora ponta",Mercado_Receita!$L$2:$L$2216)+SUMIF(Mercado_Receita!$S$2:$S$2216,"44440A4AzulNão se aplicaNão se aplicaNão se aplicaNão se aplicaIntermediário",Mercado_Receita!$L$2:$L$2216)+SUMIF(Mercado_Receita!$S$2:$S$2216,"44440A4AzulNão se aplicaNão se aplicaNão se aplicaNão se aplicaNão se aplica",Mercado_Receita!$L$2:$L$2216)</f>
        <v>19613.924999999996</v>
      </c>
      <c r="K12" s="13">
        <f>SUMIF(Mercado_Receita!$S$2:$S$2216,"44470A4AzulNão se aplicaNão se aplicaNão se aplicaNão se aplicaPonta",Mercado_Receita!$L$2:$L$2216)+SUMIF(Mercado_Receita!$S$2:$S$2216,"44470A4AzulNão se aplicaNão se aplicaNão se aplicaNão se aplicaFora ponta",Mercado_Receita!$L$2:$L$2216)+SUMIF(Mercado_Receita!$S$2:$S$2216,"44470A4AzulNão se aplicaNão se aplicaNão se aplicaNão se aplicaIntermediário",Mercado_Receita!$L$2:$L$2216)+SUMIF(Mercado_Receita!$S$2:$S$2216,"44470A4AzulNão se aplicaNão se aplicaNão se aplicaNão se aplicaNão se aplica",Mercado_Receita!$L$2:$L$2216)</f>
        <v>20323.679</v>
      </c>
      <c r="L12" s="13">
        <f>SUMIF(Mercado_Receita!$S$2:$S$2216,"44501A4AzulNão se aplicaNão se aplicaNão se aplicaNão se aplicaPonta",Mercado_Receita!$L$2:$L$2216)+SUMIF(Mercado_Receita!$S$2:$S$2216,"44501A4AzulNão se aplicaNão se aplicaNão se aplicaNão se aplicaFora ponta",Mercado_Receita!$L$2:$L$2216)+SUMIF(Mercado_Receita!$S$2:$S$2216,"44501A4AzulNão se aplicaNão se aplicaNão se aplicaNão se aplicaIntermediário",Mercado_Receita!$L$2:$L$2216)+SUMIF(Mercado_Receita!$S$2:$S$2216,"44501A4AzulNão se aplicaNão se aplicaNão se aplicaNão se aplicaNão se aplica",Mercado_Receita!$L$2:$L$2216)</f>
        <v>20429.729000000003</v>
      </c>
      <c r="M12" s="13">
        <f>SUMIF(Mercado_Receita!$S$2:$S$2216,"44531A4AzulNão se aplicaNão se aplicaNão se aplicaNão se aplicaPonta",Mercado_Receita!$L$2:$L$2216)+SUMIF(Mercado_Receita!$S$2:$S$2216,"44531A4AzulNão se aplicaNão se aplicaNão se aplicaNão se aplicaFora ponta",Mercado_Receita!$L$2:$L$2216)+SUMIF(Mercado_Receita!$S$2:$S$2216,"44531A4AzulNão se aplicaNão se aplicaNão se aplicaNão se aplicaIntermediário",Mercado_Receita!$L$2:$L$2216)+SUMIF(Mercado_Receita!$S$2:$S$2216,"44531A4AzulNão se aplicaNão se aplicaNão se aplicaNão se aplicaNão se aplica",Mercado_Receita!$L$2:$L$2216)</f>
        <v>21079.996999999999</v>
      </c>
      <c r="N12" s="13">
        <f>SUMIF(Mercado_Receita!$S$2:$S$2216,"44562A4AzulNão se aplicaNão se aplicaNão se aplicaNão se aplicaPonta",Mercado_Receita!$L$2:$L$2216)+SUMIF(Mercado_Receita!$S$2:$S$2216,"44562A4AzulNão se aplicaNão se aplicaNão se aplicaNão se aplicaFora ponta",Mercado_Receita!$L$2:$L$2216)+SUMIF(Mercado_Receita!$S$2:$S$2216,"44562A4AzulNão se aplicaNão se aplicaNão se aplicaNão se aplicaIntermediário",Mercado_Receita!$L$2:$L$2216)+SUMIF(Mercado_Receita!$S$2:$S$2216,"44562A4AzulNão se aplicaNão se aplicaNão se aplicaNão se aplicaNão se aplica",Mercado_Receita!$L$2:$L$2216)</f>
        <v>21293.887999999999</v>
      </c>
      <c r="O12" s="13">
        <f>SUMIF(Mercado_Receita!$S$2:$S$2216,"44593A4AzulNão se aplicaNão se aplicaNão se aplicaNão se aplicaPonta",Mercado_Receita!$L$2:$L$2216)+SUMIF(Mercado_Receita!$S$2:$S$2216,"44593A4AzulNão se aplicaNão se aplicaNão se aplicaNão se aplicaFora ponta",Mercado_Receita!$L$2:$L$2216)+SUMIF(Mercado_Receita!$S$2:$S$2216,"44593A4AzulNão se aplicaNão se aplicaNão se aplicaNão se aplicaIntermediário",Mercado_Receita!$L$2:$L$2216)+SUMIF(Mercado_Receita!$S$2:$S$2216,"44593A4AzulNão se aplicaNão se aplicaNão se aplicaNão se aplicaNão se aplica",Mercado_Receita!$L$2:$L$2216)</f>
        <v>19833.12</v>
      </c>
      <c r="P12" s="13">
        <f>SUMIF(Mercado_Receita!$S$2:$S$2216,"44621A4AzulNão se aplicaNão se aplicaNão se aplicaNão se aplicaPonta",Mercado_Receita!$L$2:$L$2216)+SUMIF(Mercado_Receita!$S$2:$S$2216,"44621A4AzulNão se aplicaNão se aplicaNão se aplicaNão se aplicaFora ponta",Mercado_Receita!$L$2:$L$2216)+SUMIF(Mercado_Receita!$S$2:$S$2216,"44621A4AzulNão se aplicaNão se aplicaNão se aplicaNão se aplicaIntermediário",Mercado_Receita!$L$2:$L$2216)+SUMIF(Mercado_Receita!$S$2:$S$2216,"44621A4AzulNão se aplicaNão se aplicaNão se aplicaNão se aplicaNão se aplica",Mercado_Receita!$L$2:$L$2216)</f>
        <v>20320.666999999998</v>
      </c>
      <c r="Q12" s="13">
        <f>SUMIF(Mercado_Receita!$S$2:$S$2216,"44652A4AzulNão se aplicaNão se aplicaNão se aplicaNão se aplicaPonta",Mercado_Receita!$L$2:$L$2216)+SUMIF(Mercado_Receita!$S$2:$S$2216,"44652A4AzulNão se aplicaNão se aplicaNão se aplicaNão se aplicaFora ponta",Mercado_Receita!$L$2:$L$2216)+SUMIF(Mercado_Receita!$S$2:$S$2216,"44652A4AzulNão se aplicaNão se aplicaNão se aplicaNão se aplicaIntermediário",Mercado_Receita!$L$2:$L$2216)+SUMIF(Mercado_Receita!$S$2:$S$2216,"44652A4AzulNão se aplicaNão se aplicaNão se aplicaNão se aplicaNão se aplica",Mercado_Receita!$L$2:$L$2216)</f>
        <v>20948.133000000002</v>
      </c>
      <c r="R12" s="13">
        <f>SUMIF(Mercado_Receita!$S$2:$S$2216,"44682A4AzulNão se aplicaNão se aplicaNão se aplicaNão se aplicaPonta",Mercado_Receita!$L$2:$L$2216)+SUMIF(Mercado_Receita!$S$2:$S$2216,"44682A4AzulNão se aplicaNão se aplicaNão se aplicaNão se aplicaFora ponta",Mercado_Receita!$L$2:$L$2216)+SUMIF(Mercado_Receita!$S$2:$S$2216,"44682A4AzulNão se aplicaNão se aplicaNão se aplicaNão se aplicaIntermediário",Mercado_Receita!$L$2:$L$2216)+SUMIF(Mercado_Receita!$S$2:$S$2216,"44682A4AzulNão se aplicaNão se aplicaNão se aplicaNão se aplicaNão se aplica",Mercado_Receita!$L$2:$L$2216)</f>
        <v>20457.536</v>
      </c>
      <c r="S12" s="13">
        <f>SUMIF(Mercado_Receita!$S$2:$S$2216,"44713A4AzulNão se aplicaNão se aplicaNão se aplicaNão se aplicaPonta",Mercado_Receita!$L$2:$L$2216)+SUMIF(Mercado_Receita!$S$2:$S$2216,"44713A4AzulNão se aplicaNão se aplicaNão se aplicaNão se aplicaFora ponta",Mercado_Receita!$L$2:$L$2216)+SUMIF(Mercado_Receita!$S$2:$S$2216,"44713A4AzulNão se aplicaNão se aplicaNão se aplicaNão se aplicaIntermediário",Mercado_Receita!$L$2:$L$2216)+SUMIF(Mercado_Receita!$S$2:$S$2216,"44713A4AzulNão se aplicaNão se aplicaNão se aplicaNão se aplicaNão se aplica",Mercado_Receita!$L$2:$L$2216)</f>
        <v>19759.914999999997</v>
      </c>
      <c r="T12" s="13">
        <f>SUMIF(Mercado_Receita!$S$2:$S$2216,"44743A4AzulNão se aplicaNão se aplicaNão se aplicaNão se aplicaPonta",Mercado_Receita!$L$2:$L$2216)+SUMIF(Mercado_Receita!$S$2:$S$2216,"44743A4AzulNão se aplicaNão se aplicaNão se aplicaNão se aplicaFora ponta",Mercado_Receita!$L$2:$L$2216)+SUMIF(Mercado_Receita!$S$2:$S$2216,"44743A4AzulNão se aplicaNão se aplicaNão se aplicaNão se aplicaIntermediário",Mercado_Receita!$L$2:$L$2216)+SUMIF(Mercado_Receita!$S$2:$S$2216,"44743A4AzulNão se aplicaNão se aplicaNão se aplicaNão se aplicaNão se aplica",Mercado_Receita!$L$2:$L$2216)</f>
        <v>19759.914999999997</v>
      </c>
      <c r="U12" s="13">
        <f t="shared" si="0"/>
        <v>243208.54699999999</v>
      </c>
      <c r="V12" s="13"/>
      <c r="W12" s="13"/>
    </row>
    <row r="13" spans="1:30" ht="11.25" customHeight="1" x14ac:dyDescent="0.25">
      <c r="A13" s="83"/>
      <c r="B13" s="83"/>
      <c r="C13" s="83"/>
      <c r="D13" s="83"/>
      <c r="E13" s="12" t="s">
        <v>59</v>
      </c>
      <c r="F13" s="12" t="s">
        <v>25</v>
      </c>
      <c r="G13" s="13" t="s">
        <v>108</v>
      </c>
      <c r="H13" s="13" t="s">
        <v>102</v>
      </c>
      <c r="I13" s="13">
        <f>SUMIF(Mercado_Receita!$S$2:$S$2216,"44409A4AzulNão se aplicaNão se aplicaAPENão se aplicaPonta",Mercado_Receita!$L$2:$L$2216)+SUMIF(Mercado_Receita!$S$2:$S$2216,"44409A4AzulNão se aplicaNão se aplicaAPENão se aplicaFora ponta",Mercado_Receita!$L$2:$L$2216)+SUMIF(Mercado_Receita!$S$2:$S$2216,"44409A4AzulNão se aplicaNão se aplicaAPENão se aplicaIntermediário",Mercado_Receita!$L$2:$L$2216)+SUMIF(Mercado_Receita!$S$2:$S$2216,"44409A4AzulNão se aplicaNão se aplicaAPENão se aplicaNão se aplica",Mercado_Receita!$L$2:$L$2216)</f>
        <v>0</v>
      </c>
      <c r="J13" s="13">
        <f>SUMIF(Mercado_Receita!$S$2:$S$2216,"44440A4AzulNão se aplicaNão se aplicaAPENão se aplicaPonta",Mercado_Receita!$L$2:$L$2216)+SUMIF(Mercado_Receita!$S$2:$S$2216,"44440A4AzulNão se aplicaNão se aplicaAPENão se aplicaFora ponta",Mercado_Receita!$L$2:$L$2216)+SUMIF(Mercado_Receita!$S$2:$S$2216,"44440A4AzulNão se aplicaNão se aplicaAPENão se aplicaIntermediário",Mercado_Receita!$L$2:$L$2216)+SUMIF(Mercado_Receita!$S$2:$S$2216,"44440A4AzulNão se aplicaNão se aplicaAPENão se aplicaNão se aplica",Mercado_Receita!$L$2:$L$2216)</f>
        <v>0</v>
      </c>
      <c r="K13" s="13">
        <f>SUMIF(Mercado_Receita!$S$2:$S$2216,"44470A4AzulNão se aplicaNão se aplicaAPENão se aplicaPonta",Mercado_Receita!$L$2:$L$2216)+SUMIF(Mercado_Receita!$S$2:$S$2216,"44470A4AzulNão se aplicaNão se aplicaAPENão se aplicaFora ponta",Mercado_Receita!$L$2:$L$2216)+SUMIF(Mercado_Receita!$S$2:$S$2216,"44470A4AzulNão se aplicaNão se aplicaAPENão se aplicaIntermediário",Mercado_Receita!$L$2:$L$2216)+SUMIF(Mercado_Receita!$S$2:$S$2216,"44470A4AzulNão se aplicaNão se aplicaAPENão se aplicaNão se aplica",Mercado_Receita!$L$2:$L$2216)</f>
        <v>0</v>
      </c>
      <c r="L13" s="13">
        <f>SUMIF(Mercado_Receita!$S$2:$S$2216,"44501A4AzulNão se aplicaNão se aplicaAPENão se aplicaPonta",Mercado_Receita!$L$2:$L$2216)+SUMIF(Mercado_Receita!$S$2:$S$2216,"44501A4AzulNão se aplicaNão se aplicaAPENão se aplicaFora ponta",Mercado_Receita!$L$2:$L$2216)+SUMIF(Mercado_Receita!$S$2:$S$2216,"44501A4AzulNão se aplicaNão se aplicaAPENão se aplicaIntermediário",Mercado_Receita!$L$2:$L$2216)+SUMIF(Mercado_Receita!$S$2:$S$2216,"44501A4AzulNão se aplicaNão se aplicaAPENão se aplicaNão se aplica",Mercado_Receita!$L$2:$L$2216)</f>
        <v>0</v>
      </c>
      <c r="M13" s="13">
        <f>SUMIF(Mercado_Receita!$S$2:$S$2216,"44531A4AzulNão se aplicaNão se aplicaAPENão se aplicaPonta",Mercado_Receita!$L$2:$L$2216)+SUMIF(Mercado_Receita!$S$2:$S$2216,"44531A4AzulNão se aplicaNão se aplicaAPENão se aplicaFora ponta",Mercado_Receita!$L$2:$L$2216)+SUMIF(Mercado_Receita!$S$2:$S$2216,"44531A4AzulNão se aplicaNão se aplicaAPENão se aplicaIntermediário",Mercado_Receita!$L$2:$L$2216)+SUMIF(Mercado_Receita!$S$2:$S$2216,"44531A4AzulNão se aplicaNão se aplicaAPENão se aplicaNão se aplica",Mercado_Receita!$L$2:$L$2216)</f>
        <v>0</v>
      </c>
      <c r="N13" s="13">
        <f>SUMIF(Mercado_Receita!$S$2:$S$2216,"44562A4AzulNão se aplicaNão se aplicaAPENão se aplicaPonta",Mercado_Receita!$L$2:$L$2216)+SUMIF(Mercado_Receita!$S$2:$S$2216,"44562A4AzulNão se aplicaNão se aplicaAPENão se aplicaFora ponta",Mercado_Receita!$L$2:$L$2216)+SUMIF(Mercado_Receita!$S$2:$S$2216,"44562A4AzulNão se aplicaNão se aplicaAPENão se aplicaIntermediário",Mercado_Receita!$L$2:$L$2216)+SUMIF(Mercado_Receita!$S$2:$S$2216,"44562A4AzulNão se aplicaNão se aplicaAPENão se aplicaNão se aplica",Mercado_Receita!$L$2:$L$2216)</f>
        <v>0</v>
      </c>
      <c r="O13" s="13">
        <f>SUMIF(Mercado_Receita!$S$2:$S$2216,"44593A4AzulNão se aplicaNão se aplicaAPENão se aplicaPonta",Mercado_Receita!$L$2:$L$2216)+SUMIF(Mercado_Receita!$S$2:$S$2216,"44593A4AzulNão se aplicaNão se aplicaAPENão se aplicaFora ponta",Mercado_Receita!$L$2:$L$2216)+SUMIF(Mercado_Receita!$S$2:$S$2216,"44593A4AzulNão se aplicaNão se aplicaAPENão se aplicaIntermediário",Mercado_Receita!$L$2:$L$2216)+SUMIF(Mercado_Receita!$S$2:$S$2216,"44593A4AzulNão se aplicaNão se aplicaAPENão se aplicaNão se aplica",Mercado_Receita!$L$2:$L$2216)</f>
        <v>0</v>
      </c>
      <c r="P13" s="13">
        <f>SUMIF(Mercado_Receita!$S$2:$S$2216,"44621A4AzulNão se aplicaNão se aplicaAPENão se aplicaPonta",Mercado_Receita!$L$2:$L$2216)+SUMIF(Mercado_Receita!$S$2:$S$2216,"44621A4AzulNão se aplicaNão se aplicaAPENão se aplicaFora ponta",Mercado_Receita!$L$2:$L$2216)+SUMIF(Mercado_Receita!$S$2:$S$2216,"44621A4AzulNão se aplicaNão se aplicaAPENão se aplicaIntermediário",Mercado_Receita!$L$2:$L$2216)+SUMIF(Mercado_Receita!$S$2:$S$2216,"44621A4AzulNão se aplicaNão se aplicaAPENão se aplicaNão se aplica",Mercado_Receita!$L$2:$L$2216)</f>
        <v>0</v>
      </c>
      <c r="Q13" s="13">
        <f>SUMIF(Mercado_Receita!$S$2:$S$2216,"44652A4AzulNão se aplicaNão se aplicaAPENão se aplicaPonta",Mercado_Receita!$L$2:$L$2216)+SUMIF(Mercado_Receita!$S$2:$S$2216,"44652A4AzulNão se aplicaNão se aplicaAPENão se aplicaFora ponta",Mercado_Receita!$L$2:$L$2216)+SUMIF(Mercado_Receita!$S$2:$S$2216,"44652A4AzulNão se aplicaNão se aplicaAPENão se aplicaIntermediário",Mercado_Receita!$L$2:$L$2216)+SUMIF(Mercado_Receita!$S$2:$S$2216,"44652A4AzulNão se aplicaNão se aplicaAPENão se aplicaNão se aplica",Mercado_Receita!$L$2:$L$2216)</f>
        <v>0</v>
      </c>
      <c r="R13" s="13">
        <f>SUMIF(Mercado_Receita!$S$2:$S$2216,"44682A4AzulNão se aplicaNão se aplicaAPENão se aplicaPonta",Mercado_Receita!$L$2:$L$2216)+SUMIF(Mercado_Receita!$S$2:$S$2216,"44682A4AzulNão se aplicaNão se aplicaAPENão se aplicaFora ponta",Mercado_Receita!$L$2:$L$2216)+SUMIF(Mercado_Receita!$S$2:$S$2216,"44682A4AzulNão se aplicaNão se aplicaAPENão se aplicaIntermediário",Mercado_Receita!$L$2:$L$2216)+SUMIF(Mercado_Receita!$S$2:$S$2216,"44682A4AzulNão se aplicaNão se aplicaAPENão se aplicaNão se aplica",Mercado_Receita!$L$2:$L$2216)</f>
        <v>0</v>
      </c>
      <c r="S13" s="13">
        <f>SUMIF(Mercado_Receita!$S$2:$S$2216,"44713A4AzulNão se aplicaNão se aplicaAPENão se aplicaPonta",Mercado_Receita!$L$2:$L$2216)+SUMIF(Mercado_Receita!$S$2:$S$2216,"44713A4AzulNão se aplicaNão se aplicaAPENão se aplicaFora ponta",Mercado_Receita!$L$2:$L$2216)+SUMIF(Mercado_Receita!$S$2:$S$2216,"44713A4AzulNão se aplicaNão se aplicaAPENão se aplicaIntermediário",Mercado_Receita!$L$2:$L$2216)+SUMIF(Mercado_Receita!$S$2:$S$2216,"44713A4AzulNão se aplicaNão se aplicaAPENão se aplicaNão se aplica",Mercado_Receita!$L$2:$L$2216)</f>
        <v>0</v>
      </c>
      <c r="T13" s="13">
        <f>SUMIF(Mercado_Receita!$S$2:$S$2216,"44743A4AzulNão se aplicaNão se aplicaAPENão se aplicaPonta",Mercado_Receita!$L$2:$L$2216)+SUMIF(Mercado_Receita!$S$2:$S$2216,"44743A4AzulNão se aplicaNão se aplicaAPENão se aplicaFora ponta",Mercado_Receita!$L$2:$L$2216)+SUMIF(Mercado_Receita!$S$2:$S$2216,"44743A4AzulNão se aplicaNão se aplicaAPENão se aplicaIntermediário",Mercado_Receita!$L$2:$L$2216)+SUMIF(Mercado_Receita!$S$2:$S$2216,"44743A4AzulNão se aplicaNão se aplicaAPENão se aplicaNão se aplica",Mercado_Receita!$L$2:$L$2216)</f>
        <v>0</v>
      </c>
      <c r="U13" s="13">
        <f t="shared" si="0"/>
        <v>0</v>
      </c>
      <c r="V13" s="13"/>
      <c r="W13" s="13"/>
    </row>
    <row r="14" spans="1:30" ht="11.25" customHeight="1" x14ac:dyDescent="0.25">
      <c r="A14" s="83"/>
      <c r="B14" s="82" t="s">
        <v>62</v>
      </c>
      <c r="C14" s="82" t="s">
        <v>25</v>
      </c>
      <c r="D14" s="82" t="s">
        <v>25</v>
      </c>
      <c r="E14" s="82" t="s">
        <v>25</v>
      </c>
      <c r="F14" s="82" t="s">
        <v>63</v>
      </c>
      <c r="G14" s="13" t="s">
        <v>106</v>
      </c>
      <c r="H14" s="13" t="s">
        <v>105</v>
      </c>
      <c r="I14" s="13">
        <f>SUMIF(Mercado_Receita!$S$2:$S$2216,"44409A4DistribuiçãoNão se aplicaNão se aplicaNão se aplicaCelpePonta",Mercado_Receita!$J$2:$J$2216)+SUMIF(Mercado_Receita!$S$2:$S$2216,"44409A4DistribuiçãoNão se aplicaNão se aplicaNão se aplicaCelpeNão se aplica",Mercado_Receita!$J$2:$J$2216)*0.72</f>
        <v>6951</v>
      </c>
      <c r="J14" s="13">
        <f>SUMIF(Mercado_Receita!$S$2:$S$2216,"44440A4DistribuiçãoNão se aplicaNão se aplicaNão se aplicaCelpePonta",Mercado_Receita!$J$2:$J$2216)+SUMIF(Mercado_Receita!$S$2:$S$2216,"44440A4DistribuiçãoNão se aplicaNão se aplicaNão se aplicaCelpeNão se aplica",Mercado_Receita!$J$2:$J$2216)*0.72</f>
        <v>6951</v>
      </c>
      <c r="K14" s="13">
        <f>SUMIF(Mercado_Receita!$S$2:$S$2216,"44470A4DistribuiçãoNão se aplicaNão se aplicaNão se aplicaCelpePonta",Mercado_Receita!$J$2:$J$2216)+SUMIF(Mercado_Receita!$S$2:$S$2216,"44470A4DistribuiçãoNão se aplicaNão se aplicaNão se aplicaCelpeNão se aplica",Mercado_Receita!$J$2:$J$2216)*0.72</f>
        <v>6951</v>
      </c>
      <c r="L14" s="13">
        <f>SUMIF(Mercado_Receita!$S$2:$S$2216,"44501A4DistribuiçãoNão se aplicaNão se aplicaNão se aplicaCelpePonta",Mercado_Receita!$J$2:$J$2216)+SUMIF(Mercado_Receita!$S$2:$S$2216,"44501A4DistribuiçãoNão se aplicaNão se aplicaNão se aplicaCelpeNão se aplica",Mercado_Receita!$J$2:$J$2216)*0.72</f>
        <v>6951</v>
      </c>
      <c r="M14" s="13">
        <f>SUMIF(Mercado_Receita!$S$2:$S$2216,"44531A4DistribuiçãoNão se aplicaNão se aplicaNão se aplicaCelpePonta",Mercado_Receita!$J$2:$J$2216)+SUMIF(Mercado_Receita!$S$2:$S$2216,"44531A4DistribuiçãoNão se aplicaNão se aplicaNão se aplicaCelpeNão se aplica",Mercado_Receita!$J$2:$J$2216)*0.72</f>
        <v>6951</v>
      </c>
      <c r="N14" s="13">
        <f>SUMIF(Mercado_Receita!$S$2:$S$2216,"44562A4DistribuiçãoNão se aplicaNão se aplicaNão se aplicaCelpePonta",Mercado_Receita!$J$2:$J$2216)+SUMIF(Mercado_Receita!$S$2:$S$2216,"44562A4DistribuiçãoNão se aplicaNão se aplicaNão se aplicaCelpeNão se aplica",Mercado_Receita!$J$2:$J$2216)*0.72</f>
        <v>6951</v>
      </c>
      <c r="O14" s="13">
        <f>SUMIF(Mercado_Receita!$S$2:$S$2216,"44593A4DistribuiçãoNão se aplicaNão se aplicaNão se aplicaCelpePonta",Mercado_Receita!$J$2:$J$2216)+SUMIF(Mercado_Receita!$S$2:$S$2216,"44593A4DistribuiçãoNão se aplicaNão se aplicaNão se aplicaCelpeNão se aplica",Mercado_Receita!$J$2:$J$2216)*0.72</f>
        <v>6951</v>
      </c>
      <c r="P14" s="13">
        <f>SUMIF(Mercado_Receita!$S$2:$S$2216,"44621A4DistribuiçãoNão se aplicaNão se aplicaNão se aplicaCelpePonta",Mercado_Receita!$J$2:$J$2216)+SUMIF(Mercado_Receita!$S$2:$S$2216,"44621A4DistribuiçãoNão se aplicaNão se aplicaNão se aplicaCelpeNão se aplica",Mercado_Receita!$J$2:$J$2216)*0.72</f>
        <v>6951</v>
      </c>
      <c r="Q14" s="13">
        <f>SUMIF(Mercado_Receita!$S$2:$S$2216,"44652A4DistribuiçãoNão se aplicaNão se aplicaNão se aplicaCelpePonta",Mercado_Receita!$J$2:$J$2216)+SUMIF(Mercado_Receita!$S$2:$S$2216,"44652A4DistribuiçãoNão se aplicaNão se aplicaNão se aplicaCelpeNão se aplica",Mercado_Receita!$J$2:$J$2216)*0.72</f>
        <v>6951</v>
      </c>
      <c r="R14" s="13">
        <f>SUMIF(Mercado_Receita!$S$2:$S$2216,"44682A4DistribuiçãoNão se aplicaNão se aplicaNão se aplicaCelpePonta",Mercado_Receita!$J$2:$J$2216)+SUMIF(Mercado_Receita!$S$2:$S$2216,"44682A4DistribuiçãoNão se aplicaNão se aplicaNão se aplicaCelpeNão se aplica",Mercado_Receita!$J$2:$J$2216)*0.72</f>
        <v>6951</v>
      </c>
      <c r="S14" s="13">
        <f>SUMIF(Mercado_Receita!$S$2:$S$2216,"44713A4DistribuiçãoNão se aplicaNão se aplicaNão se aplicaCelpePonta",Mercado_Receita!$J$2:$J$2216)+SUMIF(Mercado_Receita!$S$2:$S$2216,"44713A4DistribuiçãoNão se aplicaNão se aplicaNão se aplicaCelpeNão se aplica",Mercado_Receita!$J$2:$J$2216)*0.72</f>
        <v>7031</v>
      </c>
      <c r="T14" s="13">
        <f>SUMIF(Mercado_Receita!$S$2:$S$2216,"44743A4DistribuiçãoNão se aplicaNão se aplicaNão se aplicaCelpePonta",Mercado_Receita!$J$2:$J$2216)+SUMIF(Mercado_Receita!$S$2:$S$2216,"44743A4DistribuiçãoNão se aplicaNão se aplicaNão se aplicaCelpeNão se aplica",Mercado_Receita!$J$2:$J$2216)*0.72</f>
        <v>7031</v>
      </c>
      <c r="U14" s="13">
        <f t="shared" si="0"/>
        <v>83572</v>
      </c>
      <c r="V14" s="13"/>
      <c r="W14" s="13"/>
    </row>
    <row r="15" spans="1:30" ht="11.25" customHeight="1" x14ac:dyDescent="0.25">
      <c r="A15" s="83"/>
      <c r="B15" s="83"/>
      <c r="C15" s="83"/>
      <c r="D15" s="83"/>
      <c r="E15" s="83"/>
      <c r="F15" s="83"/>
      <c r="G15" s="13" t="s">
        <v>107</v>
      </c>
      <c r="H15" s="13" t="s">
        <v>105</v>
      </c>
      <c r="I15" s="13">
        <f>SUMIF(Mercado_Receita!$S$2:$S$2216,"44409A4DistribuiçãoNão se aplicaNão se aplicaNão se aplicaCelpeFora ponta",Mercado_Receita!$J$2:$J$2216)+SUMIF(Mercado_Receita!$S$2:$S$2216,"44409A4DistribuiçãoNão se aplicaNão se aplicaNão se aplicaCelpeNão se aplica",Mercado_Receita!$J$2:$J$2216)*1</f>
        <v>7168</v>
      </c>
      <c r="J15" s="13">
        <f>SUMIF(Mercado_Receita!$S$2:$S$2216,"44440A4DistribuiçãoNão se aplicaNão se aplicaNão se aplicaCelpeFora ponta",Mercado_Receita!$J$2:$J$2216)+SUMIF(Mercado_Receita!$S$2:$S$2216,"44440A4DistribuiçãoNão se aplicaNão se aplicaNão se aplicaCelpeNão se aplica",Mercado_Receita!$J$2:$J$2216)*1</f>
        <v>7168</v>
      </c>
      <c r="K15" s="13">
        <f>SUMIF(Mercado_Receita!$S$2:$S$2216,"44470A4DistribuiçãoNão se aplicaNão se aplicaNão se aplicaCelpeFora ponta",Mercado_Receita!$J$2:$J$2216)+SUMIF(Mercado_Receita!$S$2:$S$2216,"44470A4DistribuiçãoNão se aplicaNão se aplicaNão se aplicaCelpeNão se aplica",Mercado_Receita!$J$2:$J$2216)*1</f>
        <v>7168</v>
      </c>
      <c r="L15" s="13">
        <f>SUMIF(Mercado_Receita!$S$2:$S$2216,"44501A4DistribuiçãoNão se aplicaNão se aplicaNão se aplicaCelpeFora ponta",Mercado_Receita!$J$2:$J$2216)+SUMIF(Mercado_Receita!$S$2:$S$2216,"44501A4DistribuiçãoNão se aplicaNão se aplicaNão se aplicaCelpeNão se aplica",Mercado_Receita!$J$2:$J$2216)*1</f>
        <v>7168</v>
      </c>
      <c r="M15" s="13">
        <f>SUMIF(Mercado_Receita!$S$2:$S$2216,"44531A4DistribuiçãoNão se aplicaNão se aplicaNão se aplicaCelpeFora ponta",Mercado_Receita!$J$2:$J$2216)+SUMIF(Mercado_Receita!$S$2:$S$2216,"44531A4DistribuiçãoNão se aplicaNão se aplicaNão se aplicaCelpeNão se aplica",Mercado_Receita!$J$2:$J$2216)*1</f>
        <v>7168</v>
      </c>
      <c r="N15" s="13">
        <f>SUMIF(Mercado_Receita!$S$2:$S$2216,"44562A4DistribuiçãoNão se aplicaNão se aplicaNão se aplicaCelpeFora ponta",Mercado_Receita!$J$2:$J$2216)+SUMIF(Mercado_Receita!$S$2:$S$2216,"44562A4DistribuiçãoNão se aplicaNão se aplicaNão se aplicaCelpeNão se aplica",Mercado_Receita!$J$2:$J$2216)*1</f>
        <v>7168</v>
      </c>
      <c r="O15" s="13">
        <f>SUMIF(Mercado_Receita!$S$2:$S$2216,"44593A4DistribuiçãoNão se aplicaNão se aplicaNão se aplicaCelpeFora ponta",Mercado_Receita!$J$2:$J$2216)+SUMIF(Mercado_Receita!$S$2:$S$2216,"44593A4DistribuiçãoNão se aplicaNão se aplicaNão se aplicaCelpeNão se aplica",Mercado_Receita!$J$2:$J$2216)*1</f>
        <v>7168</v>
      </c>
      <c r="P15" s="13">
        <f>SUMIF(Mercado_Receita!$S$2:$S$2216,"44621A4DistribuiçãoNão se aplicaNão se aplicaNão se aplicaCelpeFora ponta",Mercado_Receita!$J$2:$J$2216)+SUMIF(Mercado_Receita!$S$2:$S$2216,"44621A4DistribuiçãoNão se aplicaNão se aplicaNão se aplicaCelpeNão se aplica",Mercado_Receita!$J$2:$J$2216)*1</f>
        <v>7168</v>
      </c>
      <c r="Q15" s="13">
        <f>SUMIF(Mercado_Receita!$S$2:$S$2216,"44652A4DistribuiçãoNão se aplicaNão se aplicaNão se aplicaCelpeFora ponta",Mercado_Receita!$J$2:$J$2216)+SUMIF(Mercado_Receita!$S$2:$S$2216,"44652A4DistribuiçãoNão se aplicaNão se aplicaNão se aplicaCelpeNão se aplica",Mercado_Receita!$J$2:$J$2216)*1</f>
        <v>7168</v>
      </c>
      <c r="R15" s="13">
        <f>SUMIF(Mercado_Receita!$S$2:$S$2216,"44682A4DistribuiçãoNão se aplicaNão se aplicaNão se aplicaCelpeFora ponta",Mercado_Receita!$J$2:$J$2216)+SUMIF(Mercado_Receita!$S$2:$S$2216,"44682A4DistribuiçãoNão se aplicaNão se aplicaNão se aplicaCelpeNão se aplica",Mercado_Receita!$J$2:$J$2216)*1</f>
        <v>7168</v>
      </c>
      <c r="S15" s="13">
        <f>SUMIF(Mercado_Receita!$S$2:$S$2216,"44713A4DistribuiçãoNão se aplicaNão se aplicaNão se aplicaCelpeFora ponta",Mercado_Receita!$J$2:$J$2216)+SUMIF(Mercado_Receita!$S$2:$S$2216,"44713A4DistribuiçãoNão se aplicaNão se aplicaNão se aplicaCelpeNão se aplica",Mercado_Receita!$J$2:$J$2216)*1</f>
        <v>7168</v>
      </c>
      <c r="T15" s="13">
        <f>SUMIF(Mercado_Receita!$S$2:$S$2216,"44743A4DistribuiçãoNão se aplicaNão se aplicaNão se aplicaCelpeFora ponta",Mercado_Receita!$J$2:$J$2216)+SUMIF(Mercado_Receita!$S$2:$S$2216,"44743A4DistribuiçãoNão se aplicaNão se aplicaNão se aplicaCelpeNão se aplica",Mercado_Receita!$J$2:$J$2216)*1</f>
        <v>7168</v>
      </c>
      <c r="U15" s="13">
        <f t="shared" si="0"/>
        <v>86016</v>
      </c>
      <c r="V15" s="13"/>
      <c r="W15" s="13"/>
    </row>
    <row r="16" spans="1:30" ht="11.25" customHeight="1" x14ac:dyDescent="0.25">
      <c r="A16" s="83"/>
      <c r="B16" s="83"/>
      <c r="C16" s="83"/>
      <c r="D16" s="83"/>
      <c r="E16" s="83"/>
      <c r="F16" s="83"/>
      <c r="G16" s="13" t="s">
        <v>108</v>
      </c>
      <c r="H16" s="13" t="s">
        <v>102</v>
      </c>
      <c r="I16" s="13">
        <f>IF((I14+I15)&lt;&gt;0,SUMIF(Mercado_Receita!$S$2:$S$2216,"44409A4DistribuiçãoNão se aplicaNão se aplicaNão se aplicaCelpePonta",Mercado_Receita!$L$2:$L$2216)+SUMIF(Mercado_Receita!$S$2:$S$2216,"44409A4DistribuiçãoNão se aplicaNão se aplicaNão se aplicaCelpeFora ponta",Mercado_Receita!$L$2:$L$2216)+SUMIF(Mercado_Receita!$S$2:$S$2216,"44409A4DistribuiçãoNão se aplicaNão se aplicaNão se aplicaCelpeIntermediário",Mercado_Receita!$L$2:$L$2216)+SUMIF(Mercado_Receita!$S$2:$S$2216,"44409A4DistribuiçãoNão se aplicaNão se aplicaNão se aplicaCelpeNão se aplica",Mercado_Receita!$L$2:$L$2216),0)</f>
        <v>3276.0230000000001</v>
      </c>
      <c r="J16" s="13">
        <f>IF((J14+J15)&lt;&gt;0,SUMIF(Mercado_Receita!$S$2:$S$2216,"44440A4DistribuiçãoNão se aplicaNão se aplicaNão se aplicaCelpePonta",Mercado_Receita!$L$2:$L$2216)+SUMIF(Mercado_Receita!$S$2:$S$2216,"44440A4DistribuiçãoNão se aplicaNão se aplicaNão se aplicaCelpeFora ponta",Mercado_Receita!$L$2:$L$2216)+SUMIF(Mercado_Receita!$S$2:$S$2216,"44440A4DistribuiçãoNão se aplicaNão se aplicaNão se aplicaCelpeIntermediário",Mercado_Receita!$L$2:$L$2216)+SUMIF(Mercado_Receita!$S$2:$S$2216,"44440A4DistribuiçãoNão se aplicaNão se aplicaNão se aplicaCelpeNão se aplica",Mercado_Receita!$L$2:$L$2216),0)</f>
        <v>3213.8580000000002</v>
      </c>
      <c r="K16" s="13">
        <f>IF((K14+K15)&lt;&gt;0,SUMIF(Mercado_Receita!$S$2:$S$2216,"44470A4DistribuiçãoNão se aplicaNão se aplicaNão se aplicaCelpePonta",Mercado_Receita!$L$2:$L$2216)+SUMIF(Mercado_Receita!$S$2:$S$2216,"44470A4DistribuiçãoNão se aplicaNão se aplicaNão se aplicaCelpeFora ponta",Mercado_Receita!$L$2:$L$2216)+SUMIF(Mercado_Receita!$S$2:$S$2216,"44470A4DistribuiçãoNão se aplicaNão se aplicaNão se aplicaCelpeIntermediário",Mercado_Receita!$L$2:$L$2216)+SUMIF(Mercado_Receita!$S$2:$S$2216,"44470A4DistribuiçãoNão se aplicaNão se aplicaNão se aplicaCelpeNão se aplica",Mercado_Receita!$L$2:$L$2216),0)</f>
        <v>3431.54</v>
      </c>
      <c r="L16" s="13">
        <f>IF((L14+L15)&lt;&gt;0,SUMIF(Mercado_Receita!$S$2:$S$2216,"44501A4DistribuiçãoNão se aplicaNão se aplicaNão se aplicaCelpePonta",Mercado_Receita!$L$2:$L$2216)+SUMIF(Mercado_Receita!$S$2:$S$2216,"44501A4DistribuiçãoNão se aplicaNão se aplicaNão se aplicaCelpeFora ponta",Mercado_Receita!$L$2:$L$2216)+SUMIF(Mercado_Receita!$S$2:$S$2216,"44501A4DistribuiçãoNão se aplicaNão se aplicaNão se aplicaCelpeIntermediário",Mercado_Receita!$L$2:$L$2216)+SUMIF(Mercado_Receita!$S$2:$S$2216,"44501A4DistribuiçãoNão se aplicaNão se aplicaNão se aplicaCelpeNão se aplica",Mercado_Receita!$L$2:$L$2216),0)</f>
        <v>3815.3670000000002</v>
      </c>
      <c r="M16" s="13">
        <f>IF((M14+M15)&lt;&gt;0,SUMIF(Mercado_Receita!$S$2:$S$2216,"44531A4DistribuiçãoNão se aplicaNão se aplicaNão se aplicaCelpePonta",Mercado_Receita!$L$2:$L$2216)+SUMIF(Mercado_Receita!$S$2:$S$2216,"44531A4DistribuiçãoNão se aplicaNão se aplicaNão se aplicaCelpeFora ponta",Mercado_Receita!$L$2:$L$2216)+SUMIF(Mercado_Receita!$S$2:$S$2216,"44531A4DistribuiçãoNão se aplicaNão se aplicaNão se aplicaCelpeIntermediário",Mercado_Receita!$L$2:$L$2216)+SUMIF(Mercado_Receita!$S$2:$S$2216,"44531A4DistribuiçãoNão se aplicaNão se aplicaNão se aplicaCelpeNão se aplica",Mercado_Receita!$L$2:$L$2216),0)</f>
        <v>3913.3580000000002</v>
      </c>
      <c r="N16" s="13">
        <f>IF((N14+N15)&lt;&gt;0,SUMIF(Mercado_Receita!$S$2:$S$2216,"44562A4DistribuiçãoNão se aplicaNão se aplicaNão se aplicaCelpePonta",Mercado_Receita!$L$2:$L$2216)+SUMIF(Mercado_Receita!$S$2:$S$2216,"44562A4DistribuiçãoNão se aplicaNão se aplicaNão se aplicaCelpeFora ponta",Mercado_Receita!$L$2:$L$2216)+SUMIF(Mercado_Receita!$S$2:$S$2216,"44562A4DistribuiçãoNão se aplicaNão se aplicaNão se aplicaCelpeIntermediário",Mercado_Receita!$L$2:$L$2216)+SUMIF(Mercado_Receita!$S$2:$S$2216,"44562A4DistribuiçãoNão se aplicaNão se aplicaNão se aplicaCelpeNão se aplica",Mercado_Receita!$L$2:$L$2216),0)</f>
        <v>4013.9430000000002</v>
      </c>
      <c r="O16" s="13">
        <f>IF((O14+O15)&lt;&gt;0,SUMIF(Mercado_Receita!$S$2:$S$2216,"44593A4DistribuiçãoNão se aplicaNão se aplicaNão se aplicaCelpePonta",Mercado_Receita!$L$2:$L$2216)+SUMIF(Mercado_Receita!$S$2:$S$2216,"44593A4DistribuiçãoNão se aplicaNão se aplicaNão se aplicaCelpeFora ponta",Mercado_Receita!$L$2:$L$2216)+SUMIF(Mercado_Receita!$S$2:$S$2216,"44593A4DistribuiçãoNão se aplicaNão se aplicaNão se aplicaCelpeIntermediário",Mercado_Receita!$L$2:$L$2216)+SUMIF(Mercado_Receita!$S$2:$S$2216,"44593A4DistribuiçãoNão se aplicaNão se aplicaNão se aplicaCelpeNão se aplica",Mercado_Receita!$L$2:$L$2216),0)</f>
        <v>3716.3220000000001</v>
      </c>
      <c r="P16" s="13">
        <f>IF((P14+P15)&lt;&gt;0,SUMIF(Mercado_Receita!$S$2:$S$2216,"44621A4DistribuiçãoNão se aplicaNão se aplicaNão se aplicaCelpePonta",Mercado_Receita!$L$2:$L$2216)+SUMIF(Mercado_Receita!$S$2:$S$2216,"44621A4DistribuiçãoNão se aplicaNão se aplicaNão se aplicaCelpeFora ponta",Mercado_Receita!$L$2:$L$2216)+SUMIF(Mercado_Receita!$S$2:$S$2216,"44621A4DistribuiçãoNão se aplicaNão se aplicaNão se aplicaCelpeIntermediário",Mercado_Receita!$L$2:$L$2216)+SUMIF(Mercado_Receita!$S$2:$S$2216,"44621A4DistribuiçãoNão se aplicaNão se aplicaNão se aplicaCelpeNão se aplica",Mercado_Receita!$L$2:$L$2216),0)</f>
        <v>3512.3440000000001</v>
      </c>
      <c r="Q16" s="13">
        <f>IF((Q14+Q15)&lt;&gt;0,SUMIF(Mercado_Receita!$S$2:$S$2216,"44652A4DistribuiçãoNão se aplicaNão se aplicaNão se aplicaCelpePonta",Mercado_Receita!$L$2:$L$2216)+SUMIF(Mercado_Receita!$S$2:$S$2216,"44652A4DistribuiçãoNão se aplicaNão se aplicaNão se aplicaCelpeFora ponta",Mercado_Receita!$L$2:$L$2216)+SUMIF(Mercado_Receita!$S$2:$S$2216,"44652A4DistribuiçãoNão se aplicaNão se aplicaNão se aplicaCelpeIntermediário",Mercado_Receita!$L$2:$L$2216)+SUMIF(Mercado_Receita!$S$2:$S$2216,"44652A4DistribuiçãoNão se aplicaNão se aplicaNão se aplicaCelpeNão se aplica",Mercado_Receita!$L$2:$L$2216),0)</f>
        <v>3894.2080000000001</v>
      </c>
      <c r="R16" s="13">
        <f>IF((R14+R15)&lt;&gt;0,SUMIF(Mercado_Receita!$S$2:$S$2216,"44682A4DistribuiçãoNão se aplicaNão se aplicaNão se aplicaCelpePonta",Mercado_Receita!$L$2:$L$2216)+SUMIF(Mercado_Receita!$S$2:$S$2216,"44682A4DistribuiçãoNão se aplicaNão se aplicaNão se aplicaCelpeFora ponta",Mercado_Receita!$L$2:$L$2216)+SUMIF(Mercado_Receita!$S$2:$S$2216,"44682A4DistribuiçãoNão se aplicaNão se aplicaNão se aplicaCelpeIntermediário",Mercado_Receita!$L$2:$L$2216)+SUMIF(Mercado_Receita!$S$2:$S$2216,"44682A4DistribuiçãoNão se aplicaNão se aplicaNão se aplicaCelpeNão se aplica",Mercado_Receita!$L$2:$L$2216),0)</f>
        <v>3705.6680000000001</v>
      </c>
      <c r="S16" s="13">
        <f>IF((S14+S15)&lt;&gt;0,SUMIF(Mercado_Receita!$S$2:$S$2216,"44713A4DistribuiçãoNão se aplicaNão se aplicaNão se aplicaCelpePonta",Mercado_Receita!$L$2:$L$2216)+SUMIF(Mercado_Receita!$S$2:$S$2216,"44713A4DistribuiçãoNão se aplicaNão se aplicaNão se aplicaCelpeFora ponta",Mercado_Receita!$L$2:$L$2216)+SUMIF(Mercado_Receita!$S$2:$S$2216,"44713A4DistribuiçãoNão se aplicaNão se aplicaNão se aplicaCelpeIntermediário",Mercado_Receita!$L$2:$L$2216)+SUMIF(Mercado_Receita!$S$2:$S$2216,"44713A4DistribuiçãoNão se aplicaNão se aplicaNão se aplicaCelpeNão se aplica",Mercado_Receita!$L$2:$L$2216),0)</f>
        <v>3698.556</v>
      </c>
      <c r="T16" s="13">
        <f>IF((T14+T15)&lt;&gt;0,SUMIF(Mercado_Receita!$S$2:$S$2216,"44743A4DistribuiçãoNão se aplicaNão se aplicaNão se aplicaCelpePonta",Mercado_Receita!$L$2:$L$2216)+SUMIF(Mercado_Receita!$S$2:$S$2216,"44743A4DistribuiçãoNão se aplicaNão se aplicaNão se aplicaCelpeFora ponta",Mercado_Receita!$L$2:$L$2216)+SUMIF(Mercado_Receita!$S$2:$S$2216,"44743A4DistribuiçãoNão se aplicaNão se aplicaNão se aplicaCelpeIntermediário",Mercado_Receita!$L$2:$L$2216)+SUMIF(Mercado_Receita!$S$2:$S$2216,"44743A4DistribuiçãoNão se aplicaNão se aplicaNão se aplicaCelpeNão se aplica",Mercado_Receita!$L$2:$L$2216),0)</f>
        <v>3698.556</v>
      </c>
      <c r="U16" s="13">
        <f t="shared" si="0"/>
        <v>43889.742999999995</v>
      </c>
      <c r="V16" s="13"/>
      <c r="W16" s="13"/>
    </row>
    <row r="17" spans="1:23" ht="11.25" customHeight="1" x14ac:dyDescent="0.25">
      <c r="A17" s="83"/>
      <c r="B17" s="83"/>
      <c r="C17" s="83"/>
      <c r="D17" s="83"/>
      <c r="E17" s="83"/>
      <c r="F17" s="82" t="s">
        <v>65</v>
      </c>
      <c r="G17" s="13" t="s">
        <v>106</v>
      </c>
      <c r="H17" s="13" t="s">
        <v>105</v>
      </c>
      <c r="I17" s="13">
        <f>SUMIF(Mercado_Receita!$S$2:$S$2216,"44409A4DistribuiçãoNão se aplicaNão se aplicaNão se aplicaEBOPonta",Mercado_Receita!$J$2:$J$2216)+SUMIF(Mercado_Receita!$S$2:$S$2216,"44409A4DistribuiçãoNão se aplicaNão se aplicaNão se aplicaEBONão se aplica",Mercado_Receita!$J$2:$J$2216)*0.72</f>
        <v>1984</v>
      </c>
      <c r="J17" s="13">
        <f>SUMIF(Mercado_Receita!$S$2:$S$2216,"44440A4DistribuiçãoNão se aplicaNão se aplicaNão se aplicaEBOPonta",Mercado_Receita!$J$2:$J$2216)+SUMIF(Mercado_Receita!$S$2:$S$2216,"44440A4DistribuiçãoNão se aplicaNão se aplicaNão se aplicaEBONão se aplica",Mercado_Receita!$J$2:$J$2216)*0.72</f>
        <v>1980</v>
      </c>
      <c r="K17" s="13">
        <f>SUMIF(Mercado_Receita!$S$2:$S$2216,"44470A4DistribuiçãoNão se aplicaNão se aplicaNão se aplicaEBOPonta",Mercado_Receita!$J$2:$J$2216)+SUMIF(Mercado_Receita!$S$2:$S$2216,"44470A4DistribuiçãoNão se aplicaNão se aplicaNão se aplicaEBONão se aplica",Mercado_Receita!$J$2:$J$2216)*0.72</f>
        <v>2036</v>
      </c>
      <c r="L17" s="13">
        <f>SUMIF(Mercado_Receita!$S$2:$S$2216,"44501A4DistribuiçãoNão se aplicaNão se aplicaNão se aplicaEBOPonta",Mercado_Receita!$J$2:$J$2216)+SUMIF(Mercado_Receita!$S$2:$S$2216,"44501A4DistribuiçãoNão se aplicaNão se aplicaNão se aplicaEBONão se aplica",Mercado_Receita!$J$2:$J$2216)*0.72</f>
        <v>1944</v>
      </c>
      <c r="M17" s="13">
        <f>SUMIF(Mercado_Receita!$S$2:$S$2216,"44531A4DistribuiçãoNão se aplicaNão se aplicaNão se aplicaEBOPonta",Mercado_Receita!$J$2:$J$2216)+SUMIF(Mercado_Receita!$S$2:$S$2216,"44531A4DistribuiçãoNão se aplicaNão se aplicaNão se aplicaEBONão se aplica",Mercado_Receita!$J$2:$J$2216)*0.72</f>
        <v>2272</v>
      </c>
      <c r="N17" s="13">
        <f>SUMIF(Mercado_Receita!$S$2:$S$2216,"44562A4DistribuiçãoNão se aplicaNão se aplicaNão se aplicaEBOPonta",Mercado_Receita!$J$2:$J$2216)+SUMIF(Mercado_Receita!$S$2:$S$2216,"44562A4DistribuiçãoNão se aplicaNão se aplicaNão se aplicaEBONão se aplica",Mercado_Receita!$J$2:$J$2216)*0.72</f>
        <v>2728</v>
      </c>
      <c r="O17" s="13">
        <f>SUMIF(Mercado_Receita!$S$2:$S$2216,"44593A4DistribuiçãoNão se aplicaNão se aplicaNão se aplicaEBOPonta",Mercado_Receita!$J$2:$J$2216)+SUMIF(Mercado_Receita!$S$2:$S$2216,"44593A4DistribuiçãoNão se aplicaNão se aplicaNão se aplicaEBONão se aplica",Mercado_Receita!$J$2:$J$2216)*0.72</f>
        <v>2420</v>
      </c>
      <c r="P17" s="13">
        <f>SUMIF(Mercado_Receita!$S$2:$S$2216,"44621A4DistribuiçãoNão se aplicaNão se aplicaNão se aplicaEBOPonta",Mercado_Receita!$J$2:$J$2216)+SUMIF(Mercado_Receita!$S$2:$S$2216,"44621A4DistribuiçãoNão se aplicaNão se aplicaNão se aplicaEBONão se aplica",Mercado_Receita!$J$2:$J$2216)*0.72</f>
        <v>2452</v>
      </c>
      <c r="Q17" s="13">
        <f>SUMIF(Mercado_Receita!$S$2:$S$2216,"44652A4DistribuiçãoNão se aplicaNão se aplicaNão se aplicaEBOPonta",Mercado_Receita!$J$2:$J$2216)+SUMIF(Mercado_Receita!$S$2:$S$2216,"44652A4DistribuiçãoNão se aplicaNão se aplicaNão se aplicaEBONão se aplica",Mercado_Receita!$J$2:$J$2216)*0.72</f>
        <v>2460</v>
      </c>
      <c r="R17" s="13">
        <f>SUMIF(Mercado_Receita!$S$2:$S$2216,"44682A4DistribuiçãoNão se aplicaNão se aplicaNão se aplicaEBOPonta",Mercado_Receita!$J$2:$J$2216)+SUMIF(Mercado_Receita!$S$2:$S$2216,"44682A4DistribuiçãoNão se aplicaNão se aplicaNão se aplicaEBONão se aplica",Mercado_Receita!$J$2:$J$2216)*0.72</f>
        <v>2780</v>
      </c>
      <c r="S17" s="13">
        <f>SUMIF(Mercado_Receita!$S$2:$S$2216,"44713A4DistribuiçãoNão se aplicaNão se aplicaNão se aplicaEBOPonta",Mercado_Receita!$J$2:$J$2216)+SUMIF(Mercado_Receita!$S$2:$S$2216,"44713A4DistribuiçãoNão se aplicaNão se aplicaNão se aplicaEBONão se aplica",Mercado_Receita!$J$2:$J$2216)*0.72</f>
        <v>2544</v>
      </c>
      <c r="T17" s="13">
        <f>SUMIF(Mercado_Receita!$S$2:$S$2216,"44743A4DistribuiçãoNão se aplicaNão se aplicaNão se aplicaEBOPonta",Mercado_Receita!$J$2:$J$2216)+SUMIF(Mercado_Receita!$S$2:$S$2216,"44743A4DistribuiçãoNão se aplicaNão se aplicaNão se aplicaEBONão se aplica",Mercado_Receita!$J$2:$J$2216)*0.72</f>
        <v>2544</v>
      </c>
      <c r="U17" s="13">
        <f t="shared" si="0"/>
        <v>28144</v>
      </c>
      <c r="V17" s="13"/>
      <c r="W17" s="13"/>
    </row>
    <row r="18" spans="1:23" ht="11.25" customHeight="1" x14ac:dyDescent="0.25">
      <c r="A18" s="83"/>
      <c r="B18" s="83"/>
      <c r="C18" s="83"/>
      <c r="D18" s="83"/>
      <c r="E18" s="83"/>
      <c r="F18" s="83"/>
      <c r="G18" s="13" t="s">
        <v>107</v>
      </c>
      <c r="H18" s="13" t="s">
        <v>105</v>
      </c>
      <c r="I18" s="13">
        <f>SUMIF(Mercado_Receita!$S$2:$S$2216,"44409A4DistribuiçãoNão se aplicaNão se aplicaNão se aplicaEBOFora ponta",Mercado_Receita!$J$2:$J$2216)+SUMIF(Mercado_Receita!$S$2:$S$2216,"44409A4DistribuiçãoNão se aplicaNão se aplicaNão se aplicaEBONão se aplica",Mercado_Receita!$J$2:$J$2216)*1</f>
        <v>4019</v>
      </c>
      <c r="J18" s="13">
        <f>SUMIF(Mercado_Receita!$S$2:$S$2216,"44440A4DistribuiçãoNão se aplicaNão se aplicaNão se aplicaEBOFora ponta",Mercado_Receita!$J$2:$J$2216)+SUMIF(Mercado_Receita!$S$2:$S$2216,"44440A4DistribuiçãoNão se aplicaNão se aplicaNão se aplicaEBONão se aplica",Mercado_Receita!$J$2:$J$2216)*1</f>
        <v>4019</v>
      </c>
      <c r="K18" s="13">
        <f>SUMIF(Mercado_Receita!$S$2:$S$2216,"44470A4DistribuiçãoNão se aplicaNão se aplicaNão se aplicaEBOFora ponta",Mercado_Receita!$J$2:$J$2216)+SUMIF(Mercado_Receita!$S$2:$S$2216,"44470A4DistribuiçãoNão se aplicaNão se aplicaNão se aplicaEBONão se aplica",Mercado_Receita!$J$2:$J$2216)*1</f>
        <v>4019</v>
      </c>
      <c r="L18" s="13">
        <f>SUMIF(Mercado_Receita!$S$2:$S$2216,"44501A4DistribuiçãoNão se aplicaNão se aplicaNão se aplicaEBOFora ponta",Mercado_Receita!$J$2:$J$2216)+SUMIF(Mercado_Receita!$S$2:$S$2216,"44501A4DistribuiçãoNão se aplicaNão se aplicaNão se aplicaEBONão se aplica",Mercado_Receita!$J$2:$J$2216)*1</f>
        <v>4019</v>
      </c>
      <c r="M18" s="13">
        <f>SUMIF(Mercado_Receita!$S$2:$S$2216,"44531A4DistribuiçãoNão se aplicaNão se aplicaNão se aplicaEBOFora ponta",Mercado_Receita!$J$2:$J$2216)+SUMIF(Mercado_Receita!$S$2:$S$2216,"44531A4DistribuiçãoNão se aplicaNão se aplicaNão se aplicaEBONão se aplica",Mercado_Receita!$J$2:$J$2216)*1</f>
        <v>4019</v>
      </c>
      <c r="N18" s="13">
        <f>SUMIF(Mercado_Receita!$S$2:$S$2216,"44562A4DistribuiçãoNão se aplicaNão se aplicaNão se aplicaEBOFora ponta",Mercado_Receita!$J$2:$J$2216)+SUMIF(Mercado_Receita!$S$2:$S$2216,"44562A4DistribuiçãoNão se aplicaNão se aplicaNão se aplicaEBONão se aplica",Mercado_Receita!$J$2:$J$2216)*1</f>
        <v>4019</v>
      </c>
      <c r="O18" s="13">
        <f>SUMIF(Mercado_Receita!$S$2:$S$2216,"44593A4DistribuiçãoNão se aplicaNão se aplicaNão se aplicaEBOFora ponta",Mercado_Receita!$J$2:$J$2216)+SUMIF(Mercado_Receita!$S$2:$S$2216,"44593A4DistribuiçãoNão se aplicaNão se aplicaNão se aplicaEBONão se aplica",Mercado_Receita!$J$2:$J$2216)*1</f>
        <v>4019</v>
      </c>
      <c r="P18" s="13">
        <f>SUMIF(Mercado_Receita!$S$2:$S$2216,"44621A4DistribuiçãoNão se aplicaNão se aplicaNão se aplicaEBOFora ponta",Mercado_Receita!$J$2:$J$2216)+SUMIF(Mercado_Receita!$S$2:$S$2216,"44621A4DistribuiçãoNão se aplicaNão se aplicaNão se aplicaEBONão se aplica",Mercado_Receita!$J$2:$J$2216)*1</f>
        <v>4019</v>
      </c>
      <c r="Q18" s="13">
        <f>SUMIF(Mercado_Receita!$S$2:$S$2216,"44652A4DistribuiçãoNão se aplicaNão se aplicaNão se aplicaEBOFora ponta",Mercado_Receita!$J$2:$J$2216)+SUMIF(Mercado_Receita!$S$2:$S$2216,"44652A4DistribuiçãoNão se aplicaNão se aplicaNão se aplicaEBONão se aplica",Mercado_Receita!$J$2:$J$2216)*1</f>
        <v>4019</v>
      </c>
      <c r="R18" s="13">
        <f>SUMIF(Mercado_Receita!$S$2:$S$2216,"44682A4DistribuiçãoNão se aplicaNão se aplicaNão se aplicaEBOFora ponta",Mercado_Receita!$J$2:$J$2216)+SUMIF(Mercado_Receita!$S$2:$S$2216,"44682A4DistribuiçãoNão se aplicaNão se aplicaNão se aplicaEBONão se aplica",Mercado_Receita!$J$2:$J$2216)*1</f>
        <v>4019</v>
      </c>
      <c r="S18" s="13">
        <f>SUMIF(Mercado_Receita!$S$2:$S$2216,"44713A4DistribuiçãoNão se aplicaNão se aplicaNão se aplicaEBOFora ponta",Mercado_Receita!$J$2:$J$2216)+SUMIF(Mercado_Receita!$S$2:$S$2216,"44713A4DistribuiçãoNão se aplicaNão se aplicaNão se aplicaEBONão se aplica",Mercado_Receita!$J$2:$J$2216)*1</f>
        <v>4019</v>
      </c>
      <c r="T18" s="13">
        <f>SUMIF(Mercado_Receita!$S$2:$S$2216,"44743A4DistribuiçãoNão se aplicaNão se aplicaNão se aplicaEBOFora ponta",Mercado_Receita!$J$2:$J$2216)+SUMIF(Mercado_Receita!$S$2:$S$2216,"44743A4DistribuiçãoNão se aplicaNão se aplicaNão se aplicaEBONão se aplica",Mercado_Receita!$J$2:$J$2216)*1</f>
        <v>4019</v>
      </c>
      <c r="U18" s="13">
        <f t="shared" si="0"/>
        <v>48228</v>
      </c>
      <c r="V18" s="13"/>
      <c r="W18" s="13"/>
    </row>
    <row r="19" spans="1:23" ht="11.25" customHeight="1" x14ac:dyDescent="0.25">
      <c r="A19" s="83"/>
      <c r="B19" s="83"/>
      <c r="C19" s="83"/>
      <c r="D19" s="83"/>
      <c r="E19" s="83"/>
      <c r="F19" s="83"/>
      <c r="G19" s="13" t="s">
        <v>108</v>
      </c>
      <c r="H19" s="13" t="s">
        <v>102</v>
      </c>
      <c r="I19" s="13">
        <f>IF((I17+I18)&lt;&gt;0,SUMIF(Mercado_Receita!$S$2:$S$2216,"44409A4DistribuiçãoNão se aplicaNão se aplicaNão se aplicaEBOPonta",Mercado_Receita!$L$2:$L$2216)+SUMIF(Mercado_Receita!$S$2:$S$2216,"44409A4DistribuiçãoNão se aplicaNão se aplicaNão se aplicaEBOFora ponta",Mercado_Receita!$L$2:$L$2216)+SUMIF(Mercado_Receita!$S$2:$S$2216,"44409A4DistribuiçãoNão se aplicaNão se aplicaNão se aplicaEBOIntermediário",Mercado_Receita!$L$2:$L$2216)+SUMIF(Mercado_Receita!$S$2:$S$2216,"44409A4DistribuiçãoNão se aplicaNão se aplicaNão se aplicaEBONão se aplica",Mercado_Receita!$L$2:$L$2216),0)</f>
        <v>1919.4010000000001</v>
      </c>
      <c r="J19" s="13">
        <f>IF((J17+J18)&lt;&gt;0,SUMIF(Mercado_Receita!$S$2:$S$2216,"44440A4DistribuiçãoNão se aplicaNão se aplicaNão se aplicaEBOPonta",Mercado_Receita!$L$2:$L$2216)+SUMIF(Mercado_Receita!$S$2:$S$2216,"44440A4DistribuiçãoNão se aplicaNão se aplicaNão se aplicaEBOFora ponta",Mercado_Receita!$L$2:$L$2216)+SUMIF(Mercado_Receita!$S$2:$S$2216,"44440A4DistribuiçãoNão se aplicaNão se aplicaNão se aplicaEBOIntermediário",Mercado_Receita!$L$2:$L$2216)+SUMIF(Mercado_Receita!$S$2:$S$2216,"44440A4DistribuiçãoNão se aplicaNão se aplicaNão se aplicaEBONão se aplica",Mercado_Receita!$L$2:$L$2216),0)</f>
        <v>1997.009</v>
      </c>
      <c r="K19" s="13">
        <f>IF((K17+K18)&lt;&gt;0,SUMIF(Mercado_Receita!$S$2:$S$2216,"44470A4DistribuiçãoNão se aplicaNão se aplicaNão se aplicaEBOPonta",Mercado_Receita!$L$2:$L$2216)+SUMIF(Mercado_Receita!$S$2:$S$2216,"44470A4DistribuiçãoNão se aplicaNão se aplicaNão se aplicaEBOFora ponta",Mercado_Receita!$L$2:$L$2216)+SUMIF(Mercado_Receita!$S$2:$S$2216,"44470A4DistribuiçãoNão se aplicaNão se aplicaNão se aplicaEBOIntermediário",Mercado_Receita!$L$2:$L$2216)+SUMIF(Mercado_Receita!$S$2:$S$2216,"44470A4DistribuiçãoNão se aplicaNão se aplicaNão se aplicaEBONão se aplica",Mercado_Receita!$L$2:$L$2216),0)</f>
        <v>1907.954</v>
      </c>
      <c r="L19" s="13">
        <f>IF((L17+L18)&lt;&gt;0,SUMIF(Mercado_Receita!$S$2:$S$2216,"44501A4DistribuiçãoNão se aplicaNão se aplicaNão se aplicaEBOPonta",Mercado_Receita!$L$2:$L$2216)+SUMIF(Mercado_Receita!$S$2:$S$2216,"44501A4DistribuiçãoNão se aplicaNão se aplicaNão se aplicaEBOFora ponta",Mercado_Receita!$L$2:$L$2216)+SUMIF(Mercado_Receita!$S$2:$S$2216,"44501A4DistribuiçãoNão se aplicaNão se aplicaNão se aplicaEBOIntermediário",Mercado_Receita!$L$2:$L$2216)+SUMIF(Mercado_Receita!$S$2:$S$2216,"44501A4DistribuiçãoNão se aplicaNão se aplicaNão se aplicaEBONão se aplica",Mercado_Receita!$L$2:$L$2216),0)</f>
        <v>2034.29</v>
      </c>
      <c r="M19" s="13">
        <f>IF((M17+M18)&lt;&gt;0,SUMIF(Mercado_Receita!$S$2:$S$2216,"44531A4DistribuiçãoNão se aplicaNão se aplicaNão se aplicaEBOPonta",Mercado_Receita!$L$2:$L$2216)+SUMIF(Mercado_Receita!$S$2:$S$2216,"44531A4DistribuiçãoNão se aplicaNão se aplicaNão se aplicaEBOFora ponta",Mercado_Receita!$L$2:$L$2216)+SUMIF(Mercado_Receita!$S$2:$S$2216,"44531A4DistribuiçãoNão se aplicaNão se aplicaNão se aplicaEBOIntermediário",Mercado_Receita!$L$2:$L$2216)+SUMIF(Mercado_Receita!$S$2:$S$2216,"44531A4DistribuiçãoNão se aplicaNão se aplicaNão se aplicaEBONão se aplica",Mercado_Receita!$L$2:$L$2216),0)</f>
        <v>1957.3050000000001</v>
      </c>
      <c r="N19" s="13">
        <f>IF((N17+N18)&lt;&gt;0,SUMIF(Mercado_Receita!$S$2:$S$2216,"44562A4DistribuiçãoNão se aplicaNão se aplicaNão se aplicaEBOPonta",Mercado_Receita!$L$2:$L$2216)+SUMIF(Mercado_Receita!$S$2:$S$2216,"44562A4DistribuiçãoNão se aplicaNão se aplicaNão se aplicaEBOFora ponta",Mercado_Receita!$L$2:$L$2216)+SUMIF(Mercado_Receita!$S$2:$S$2216,"44562A4DistribuiçãoNão se aplicaNão se aplicaNão se aplicaEBOIntermediário",Mercado_Receita!$L$2:$L$2216)+SUMIF(Mercado_Receita!$S$2:$S$2216,"44562A4DistribuiçãoNão se aplicaNão se aplicaNão se aplicaEBONão se aplica",Mercado_Receita!$L$2:$L$2216),0)</f>
        <v>1860.662</v>
      </c>
      <c r="O19" s="13">
        <f>IF((O17+O18)&lt;&gt;0,SUMIF(Mercado_Receita!$S$2:$S$2216,"44593A4DistribuiçãoNão se aplicaNão se aplicaNão se aplicaEBOPonta",Mercado_Receita!$L$2:$L$2216)+SUMIF(Mercado_Receita!$S$2:$S$2216,"44593A4DistribuiçãoNão se aplicaNão se aplicaNão se aplicaEBOFora ponta",Mercado_Receita!$L$2:$L$2216)+SUMIF(Mercado_Receita!$S$2:$S$2216,"44593A4DistribuiçãoNão se aplicaNão se aplicaNão se aplicaEBOIntermediário",Mercado_Receita!$L$2:$L$2216)+SUMIF(Mercado_Receita!$S$2:$S$2216,"44593A4DistribuiçãoNão se aplicaNão se aplicaNão se aplicaEBONão se aplica",Mercado_Receita!$L$2:$L$2216),0)</f>
        <v>1897.0550000000001</v>
      </c>
      <c r="P19" s="13">
        <f>IF((P17+P18)&lt;&gt;0,SUMIF(Mercado_Receita!$S$2:$S$2216,"44621A4DistribuiçãoNão se aplicaNão se aplicaNão se aplicaEBOPonta",Mercado_Receita!$L$2:$L$2216)+SUMIF(Mercado_Receita!$S$2:$S$2216,"44621A4DistribuiçãoNão se aplicaNão se aplicaNão se aplicaEBOFora ponta",Mercado_Receita!$L$2:$L$2216)+SUMIF(Mercado_Receita!$S$2:$S$2216,"44621A4DistribuiçãoNão se aplicaNão se aplicaNão se aplicaEBOIntermediário",Mercado_Receita!$L$2:$L$2216)+SUMIF(Mercado_Receita!$S$2:$S$2216,"44621A4DistribuiçãoNão se aplicaNão se aplicaNão se aplicaEBONão se aplica",Mercado_Receita!$L$2:$L$2216),0)</f>
        <v>1873.6849999999999</v>
      </c>
      <c r="Q19" s="13">
        <f>IF((Q17+Q18)&lt;&gt;0,SUMIF(Mercado_Receita!$S$2:$S$2216,"44652A4DistribuiçãoNão se aplicaNão se aplicaNão se aplicaEBOPonta",Mercado_Receita!$L$2:$L$2216)+SUMIF(Mercado_Receita!$S$2:$S$2216,"44652A4DistribuiçãoNão se aplicaNão se aplicaNão se aplicaEBOFora ponta",Mercado_Receita!$L$2:$L$2216)+SUMIF(Mercado_Receita!$S$2:$S$2216,"44652A4DistribuiçãoNão se aplicaNão se aplicaNão se aplicaEBOIntermediário",Mercado_Receita!$L$2:$L$2216)+SUMIF(Mercado_Receita!$S$2:$S$2216,"44652A4DistribuiçãoNão se aplicaNão se aplicaNão se aplicaEBONão se aplica",Mercado_Receita!$L$2:$L$2216),0)</f>
        <v>2043.826</v>
      </c>
      <c r="R19" s="13">
        <f>IF((R17+R18)&lt;&gt;0,SUMIF(Mercado_Receita!$S$2:$S$2216,"44682A4DistribuiçãoNão se aplicaNão se aplicaNão se aplicaEBOPonta",Mercado_Receita!$L$2:$L$2216)+SUMIF(Mercado_Receita!$S$2:$S$2216,"44682A4DistribuiçãoNão se aplicaNão se aplicaNão se aplicaEBOFora ponta",Mercado_Receita!$L$2:$L$2216)+SUMIF(Mercado_Receita!$S$2:$S$2216,"44682A4DistribuiçãoNão se aplicaNão se aplicaNão se aplicaEBOIntermediário",Mercado_Receita!$L$2:$L$2216)+SUMIF(Mercado_Receita!$S$2:$S$2216,"44682A4DistribuiçãoNão se aplicaNão se aplicaNão se aplicaEBONão se aplica",Mercado_Receita!$L$2:$L$2216),0)</f>
        <v>2131.5149999999999</v>
      </c>
      <c r="S19" s="13">
        <f>IF((S17+S18)&lt;&gt;0,SUMIF(Mercado_Receita!$S$2:$S$2216,"44713A4DistribuiçãoNão se aplicaNão se aplicaNão se aplicaEBOPonta",Mercado_Receita!$L$2:$L$2216)+SUMIF(Mercado_Receita!$S$2:$S$2216,"44713A4DistribuiçãoNão se aplicaNão se aplicaNão se aplicaEBOFora ponta",Mercado_Receita!$L$2:$L$2216)+SUMIF(Mercado_Receita!$S$2:$S$2216,"44713A4DistribuiçãoNão se aplicaNão se aplicaNão se aplicaEBOIntermediário",Mercado_Receita!$L$2:$L$2216)+SUMIF(Mercado_Receita!$S$2:$S$2216,"44713A4DistribuiçãoNão se aplicaNão se aplicaNão se aplicaEBONão se aplica",Mercado_Receita!$L$2:$L$2216),0)</f>
        <v>1987.5840000000001</v>
      </c>
      <c r="T19" s="13">
        <f>IF((T17+T18)&lt;&gt;0,SUMIF(Mercado_Receita!$S$2:$S$2216,"44743A4DistribuiçãoNão se aplicaNão se aplicaNão se aplicaEBOPonta",Mercado_Receita!$L$2:$L$2216)+SUMIF(Mercado_Receita!$S$2:$S$2216,"44743A4DistribuiçãoNão se aplicaNão se aplicaNão se aplicaEBOFora ponta",Mercado_Receita!$L$2:$L$2216)+SUMIF(Mercado_Receita!$S$2:$S$2216,"44743A4DistribuiçãoNão se aplicaNão se aplicaNão se aplicaEBOIntermediário",Mercado_Receita!$L$2:$L$2216)+SUMIF(Mercado_Receita!$S$2:$S$2216,"44743A4DistribuiçãoNão se aplicaNão se aplicaNão se aplicaEBONão se aplica",Mercado_Receita!$L$2:$L$2216),0)</f>
        <v>1987.5840000000001</v>
      </c>
      <c r="U19" s="13">
        <f t="shared" si="0"/>
        <v>23597.869999999995</v>
      </c>
      <c r="V19" s="13"/>
      <c r="W19" s="13"/>
    </row>
    <row r="20" spans="1:23" ht="11.25" customHeight="1" x14ac:dyDescent="0.25">
      <c r="A20" s="83"/>
      <c r="B20" s="12" t="s">
        <v>66</v>
      </c>
      <c r="C20" s="12" t="s">
        <v>25</v>
      </c>
      <c r="D20" s="12" t="s">
        <v>25</v>
      </c>
      <c r="E20" s="12" t="s">
        <v>25</v>
      </c>
      <c r="F20" s="12" t="s">
        <v>25</v>
      </c>
      <c r="G20" s="13" t="s">
        <v>9</v>
      </c>
      <c r="H20" s="13" t="s">
        <v>105</v>
      </c>
      <c r="I20" s="13">
        <f>SUMIF(Mercado_Receita!$S$2:$S$2216,"44409A4GeraçãoNão se aplicaNão se aplicaNão se aplicaNão se aplicaNão se aplica",Mercado_Receita!$J$2:$J$2216)+SUMIF(Mercado_Receita!$S$2:$S$2216,"44409A4GeraçãoNão se aplicaNão se aplicaAPENão se aplicaNão se aplica",Mercado_Receita!$J$2:$J$2216)</f>
        <v>16100</v>
      </c>
      <c r="J20" s="13">
        <f>SUMIF(Mercado_Receita!$S$2:$S$2216,"44440A4GeraçãoNão se aplicaNão se aplicaNão se aplicaNão se aplicaNão se aplica",Mercado_Receita!$J$2:$J$2216)+SUMIF(Mercado_Receita!$S$2:$S$2216,"44440A4GeraçãoNão se aplicaNão se aplicaAPENão se aplicaNão se aplica",Mercado_Receita!$J$2:$J$2216)</f>
        <v>16945</v>
      </c>
      <c r="K20" s="13">
        <f>SUMIF(Mercado_Receita!$S$2:$S$2216,"44470A4GeraçãoNão se aplicaNão se aplicaNão se aplicaNão se aplicaNão se aplica",Mercado_Receita!$J$2:$J$2216)+SUMIF(Mercado_Receita!$S$2:$S$2216,"44470A4GeraçãoNão se aplicaNão se aplicaAPENão se aplicaNão se aplica",Mercado_Receita!$J$2:$J$2216)</f>
        <v>17484</v>
      </c>
      <c r="L20" s="13">
        <f>SUMIF(Mercado_Receita!$S$2:$S$2216,"44501A4GeraçãoNão se aplicaNão se aplicaNão se aplicaNão se aplicaNão se aplica",Mercado_Receita!$J$2:$J$2216)+SUMIF(Mercado_Receita!$S$2:$S$2216,"44501A4GeraçãoNão se aplicaNão se aplicaAPENão se aplicaNão se aplica",Mercado_Receita!$J$2:$J$2216)</f>
        <v>20678</v>
      </c>
      <c r="M20" s="13">
        <f>SUMIF(Mercado_Receita!$S$2:$S$2216,"44531A4GeraçãoNão se aplicaNão se aplicaNão se aplicaNão se aplicaNão se aplica",Mercado_Receita!$J$2:$J$2216)+SUMIF(Mercado_Receita!$S$2:$S$2216,"44531A4GeraçãoNão se aplicaNão se aplicaAPENão se aplicaNão se aplica",Mercado_Receita!$J$2:$J$2216)</f>
        <v>20735</v>
      </c>
      <c r="N20" s="13">
        <f>SUMIF(Mercado_Receita!$S$2:$S$2216,"44562A4GeraçãoNão se aplicaNão se aplicaNão se aplicaNão se aplicaNão se aplica",Mercado_Receita!$J$2:$J$2216)+SUMIF(Mercado_Receita!$S$2:$S$2216,"44562A4GeraçãoNão se aplicaNão se aplicaAPENão se aplicaNão se aplica",Mercado_Receita!$J$2:$J$2216)</f>
        <v>20700</v>
      </c>
      <c r="O20" s="13">
        <f>SUMIF(Mercado_Receita!$S$2:$S$2216,"44593A4GeraçãoNão se aplicaNão se aplicaNão se aplicaNão se aplicaNão se aplica",Mercado_Receita!$J$2:$J$2216)+SUMIF(Mercado_Receita!$S$2:$S$2216,"44593A4GeraçãoNão se aplicaNão se aplicaAPENão se aplicaNão se aplica",Mercado_Receita!$J$2:$J$2216)</f>
        <v>18800</v>
      </c>
      <c r="P20" s="13">
        <f>SUMIF(Mercado_Receita!$S$2:$S$2216,"44621A4GeraçãoNão se aplicaNão se aplicaNão se aplicaNão se aplicaNão se aplica",Mercado_Receita!$J$2:$J$2216)+SUMIF(Mercado_Receita!$S$2:$S$2216,"44621A4GeraçãoNão se aplicaNão se aplicaAPENão se aplicaNão se aplica",Mercado_Receita!$J$2:$J$2216)</f>
        <v>18800</v>
      </c>
      <c r="Q20" s="13">
        <f>SUMIF(Mercado_Receita!$S$2:$S$2216,"44652A4GeraçãoNão se aplicaNão se aplicaNão se aplicaNão se aplicaNão se aplica",Mercado_Receita!$J$2:$J$2216)+SUMIF(Mercado_Receita!$S$2:$S$2216,"44652A4GeraçãoNão se aplicaNão se aplicaAPENão se aplicaNão se aplica",Mercado_Receita!$J$2:$J$2216)</f>
        <v>18800</v>
      </c>
      <c r="R20" s="13">
        <f>SUMIF(Mercado_Receita!$S$2:$S$2216,"44682A4GeraçãoNão se aplicaNão se aplicaNão se aplicaNão se aplicaNão se aplica",Mercado_Receita!$J$2:$J$2216)+SUMIF(Mercado_Receita!$S$2:$S$2216,"44682A4GeraçãoNão se aplicaNão se aplicaAPENão se aplicaNão se aplica",Mercado_Receita!$J$2:$J$2216)</f>
        <v>18800</v>
      </c>
      <c r="S20" s="13">
        <f>SUMIF(Mercado_Receita!$S$2:$S$2216,"44713A4GeraçãoNão se aplicaNão se aplicaNão se aplicaNão se aplicaNão se aplica",Mercado_Receita!$J$2:$J$2216)+SUMIF(Mercado_Receita!$S$2:$S$2216,"44713A4GeraçãoNão se aplicaNão se aplicaAPENão se aplicaNão se aplica",Mercado_Receita!$J$2:$J$2216)</f>
        <v>18800</v>
      </c>
      <c r="T20" s="13">
        <f>SUMIF(Mercado_Receita!$S$2:$S$2216,"44743A4GeraçãoNão se aplicaNão se aplicaNão se aplicaNão se aplicaNão se aplica",Mercado_Receita!$J$2:$J$2216)+SUMIF(Mercado_Receita!$S$2:$S$2216,"44743A4GeraçãoNão se aplicaNão se aplicaAPENão se aplicaNão se aplica",Mercado_Receita!$J$2:$J$2216)</f>
        <v>18800</v>
      </c>
      <c r="U20" s="13">
        <f t="shared" si="0"/>
        <v>225442</v>
      </c>
      <c r="V20" s="13"/>
      <c r="W20" s="13"/>
    </row>
    <row r="21" spans="1:23" ht="11.25" customHeight="1" x14ac:dyDescent="0.25">
      <c r="A21" s="83"/>
      <c r="B21" s="82" t="s">
        <v>42</v>
      </c>
      <c r="C21" s="82" t="s">
        <v>25</v>
      </c>
      <c r="D21" s="82" t="s">
        <v>25</v>
      </c>
      <c r="E21" s="82" t="s">
        <v>25</v>
      </c>
      <c r="F21" s="82" t="s">
        <v>25</v>
      </c>
      <c r="G21" s="13" t="s">
        <v>9</v>
      </c>
      <c r="H21" s="13" t="s">
        <v>105</v>
      </c>
      <c r="I21" s="13">
        <f>SUMIF(Mercado_Receita!$S$2:$S$2216,"44409A4VerdeNão se aplicaNão se aplicaNão se aplicaNão se aplicaNão se aplica",Mercado_Receita!$J$2:$J$2216)+SUMIF(Mercado_Receita!$S$2:$S$2216,"44409A4VerdeNão se aplicaNão se aplicaAPENão se aplicaNão se aplica",Mercado_Receita!$J$2:$J$2216)</f>
        <v>233840</v>
      </c>
      <c r="J21" s="13">
        <f>SUMIF(Mercado_Receita!$S$2:$S$2216,"44440A4VerdeNão se aplicaNão se aplicaNão se aplicaNão se aplicaNão se aplica",Mercado_Receita!$J$2:$J$2216)+SUMIF(Mercado_Receita!$S$2:$S$2216,"44440A4VerdeNão se aplicaNão se aplicaAPENão se aplicaNão se aplica",Mercado_Receita!$J$2:$J$2216)</f>
        <v>235026</v>
      </c>
      <c r="K21" s="13">
        <f>SUMIF(Mercado_Receita!$S$2:$S$2216,"44470A4VerdeNão se aplicaNão se aplicaNão se aplicaNão se aplicaNão se aplica",Mercado_Receita!$J$2:$J$2216)+SUMIF(Mercado_Receita!$S$2:$S$2216,"44470A4VerdeNão se aplicaNão se aplicaAPENão se aplicaNão se aplica",Mercado_Receita!$J$2:$J$2216)</f>
        <v>243474</v>
      </c>
      <c r="L21" s="13">
        <f>SUMIF(Mercado_Receita!$S$2:$S$2216,"44501A4VerdeNão se aplicaNão se aplicaNão se aplicaNão se aplicaNão se aplica",Mercado_Receita!$J$2:$J$2216)+SUMIF(Mercado_Receita!$S$2:$S$2216,"44501A4VerdeNão se aplicaNão se aplicaAPENão se aplicaNão se aplica",Mercado_Receita!$J$2:$J$2216)</f>
        <v>246302</v>
      </c>
      <c r="M21" s="13">
        <f>SUMIF(Mercado_Receita!$S$2:$S$2216,"44531A4VerdeNão se aplicaNão se aplicaNão se aplicaNão se aplicaNão se aplica",Mercado_Receita!$J$2:$J$2216)+SUMIF(Mercado_Receita!$S$2:$S$2216,"44531A4VerdeNão se aplicaNão se aplicaAPENão se aplicaNão se aplica",Mercado_Receita!$J$2:$J$2216)</f>
        <v>249067</v>
      </c>
      <c r="N21" s="13">
        <f>SUMIF(Mercado_Receita!$S$2:$S$2216,"44562A4VerdeNão se aplicaNão se aplicaNão se aplicaNão se aplicaNão se aplica",Mercado_Receita!$J$2:$J$2216)+SUMIF(Mercado_Receita!$S$2:$S$2216,"44562A4VerdeNão se aplicaNão se aplicaAPENão se aplicaNão se aplica",Mercado_Receita!$J$2:$J$2216)</f>
        <v>246145</v>
      </c>
      <c r="O21" s="13">
        <f>SUMIF(Mercado_Receita!$S$2:$S$2216,"44593A4VerdeNão se aplicaNão se aplicaNão se aplicaNão se aplicaNão se aplica",Mercado_Receita!$J$2:$J$2216)+SUMIF(Mercado_Receita!$S$2:$S$2216,"44593A4VerdeNão se aplicaNão se aplicaAPENão se aplicaNão se aplica",Mercado_Receita!$J$2:$J$2216)</f>
        <v>245035</v>
      </c>
      <c r="P21" s="13">
        <f>SUMIF(Mercado_Receita!$S$2:$S$2216,"44621A4VerdeNão se aplicaNão se aplicaNão se aplicaNão se aplicaNão se aplica",Mercado_Receita!$J$2:$J$2216)+SUMIF(Mercado_Receita!$S$2:$S$2216,"44621A4VerdeNão se aplicaNão se aplicaAPENão se aplicaNão se aplica",Mercado_Receita!$J$2:$J$2216)</f>
        <v>246409</v>
      </c>
      <c r="Q21" s="13">
        <f>SUMIF(Mercado_Receita!$S$2:$S$2216,"44652A4VerdeNão se aplicaNão se aplicaNão se aplicaNão se aplicaNão se aplica",Mercado_Receita!$J$2:$J$2216)+SUMIF(Mercado_Receita!$S$2:$S$2216,"44652A4VerdeNão se aplicaNão se aplicaAPENão se aplicaNão se aplica",Mercado_Receita!$J$2:$J$2216)</f>
        <v>244237</v>
      </c>
      <c r="R21" s="13">
        <f>SUMIF(Mercado_Receita!$S$2:$S$2216,"44682A4VerdeNão se aplicaNão se aplicaNão se aplicaNão se aplicaNão se aplica",Mercado_Receita!$J$2:$J$2216)+SUMIF(Mercado_Receita!$S$2:$S$2216,"44682A4VerdeNão se aplicaNão se aplicaAPENão se aplicaNão se aplica",Mercado_Receita!$J$2:$J$2216)</f>
        <v>241113</v>
      </c>
      <c r="S21" s="13">
        <f>SUMIF(Mercado_Receita!$S$2:$S$2216,"44713A4VerdeNão se aplicaNão se aplicaNão se aplicaNão se aplicaNão se aplica",Mercado_Receita!$J$2:$J$2216)+SUMIF(Mercado_Receita!$S$2:$S$2216,"44713A4VerdeNão se aplicaNão se aplicaAPENão se aplicaNão se aplica",Mercado_Receita!$J$2:$J$2216)</f>
        <v>238288</v>
      </c>
      <c r="T21" s="13">
        <f>SUMIF(Mercado_Receita!$S$2:$S$2216,"44743A4VerdeNão se aplicaNão se aplicaNão se aplicaNão se aplicaNão se aplica",Mercado_Receita!$J$2:$J$2216)+SUMIF(Mercado_Receita!$S$2:$S$2216,"44743A4VerdeNão se aplicaNão se aplicaAPENão se aplicaNão se aplica",Mercado_Receita!$J$2:$J$2216)</f>
        <v>238288</v>
      </c>
      <c r="U21" s="13">
        <f t="shared" si="0"/>
        <v>2907224</v>
      </c>
      <c r="V21" s="13"/>
      <c r="W21" s="13"/>
    </row>
    <row r="22" spans="1:23" ht="11.25" customHeight="1" x14ac:dyDescent="0.25">
      <c r="A22" s="83"/>
      <c r="B22" s="83"/>
      <c r="C22" s="83"/>
      <c r="D22" s="83"/>
      <c r="E22" s="83"/>
      <c r="F22" s="83"/>
      <c r="G22" s="13" t="s">
        <v>103</v>
      </c>
      <c r="H22" s="13" t="s">
        <v>102</v>
      </c>
      <c r="I22" s="13">
        <f>SUMIF(Mercado_Receita!$S$2:$S$2216,"44409A4VerdeNão se aplicaNão se aplicaNão se aplicaNão se aplicaPonta",Mercado_Receita!$L$2:$L$2216)</f>
        <v>2547.123</v>
      </c>
      <c r="J22" s="13">
        <f>SUMIF(Mercado_Receita!$S$2:$S$2216,"44440A4VerdeNão se aplicaNão se aplicaNão se aplicaNão se aplicaPonta",Mercado_Receita!$L$2:$L$2216)</f>
        <v>2580.3089999999997</v>
      </c>
      <c r="K22" s="13">
        <f>SUMIF(Mercado_Receita!$S$2:$S$2216,"44470A4VerdeNão se aplicaNão se aplicaNão se aplicaNão se aplicaPonta",Mercado_Receita!$L$2:$L$2216)</f>
        <v>2746.2530000000002</v>
      </c>
      <c r="L22" s="13">
        <f>SUMIF(Mercado_Receita!$S$2:$S$2216,"44501A4VerdeNão se aplicaNão se aplicaNão se aplicaNão se aplicaPonta",Mercado_Receita!$L$2:$L$2216)</f>
        <v>2843.75</v>
      </c>
      <c r="M22" s="13">
        <f>SUMIF(Mercado_Receita!$S$2:$S$2216,"44531A4VerdeNão se aplicaNão se aplicaNão se aplicaNão se aplicaPonta",Mercado_Receita!$L$2:$L$2216)</f>
        <v>3278.8419999999996</v>
      </c>
      <c r="N22" s="13">
        <f>SUMIF(Mercado_Receita!$S$2:$S$2216,"44562A4VerdeNão se aplicaNão se aplicaNão se aplicaNão se aplicaPonta",Mercado_Receita!$L$2:$L$2216)</f>
        <v>3238.703</v>
      </c>
      <c r="O22" s="13">
        <f>SUMIF(Mercado_Receita!$S$2:$S$2216,"44593A4VerdeNão se aplicaNão se aplicaNão se aplicaNão se aplicaPonta",Mercado_Receita!$L$2:$L$2216)</f>
        <v>2868.1680000000001</v>
      </c>
      <c r="P22" s="13">
        <f>SUMIF(Mercado_Receita!$S$2:$S$2216,"44621A4VerdeNão se aplicaNão se aplicaNão se aplicaNão se aplicaPonta",Mercado_Receita!$L$2:$L$2216)</f>
        <v>3162.2179999999998</v>
      </c>
      <c r="Q22" s="13">
        <f>SUMIF(Mercado_Receita!$S$2:$S$2216,"44652A4VerdeNão se aplicaNão se aplicaNão se aplicaNão se aplicaPonta",Mercado_Receita!$L$2:$L$2216)</f>
        <v>3240.7999999999993</v>
      </c>
      <c r="R22" s="13">
        <f>SUMIF(Mercado_Receita!$S$2:$S$2216,"44682A4VerdeNão se aplicaNão se aplicaNão se aplicaNão se aplicaPonta",Mercado_Receita!$L$2:$L$2216)</f>
        <v>3118.8150000000005</v>
      </c>
      <c r="S22" s="13">
        <f>SUMIF(Mercado_Receita!$S$2:$S$2216,"44713A4VerdeNão se aplicaNão se aplicaNão se aplicaNão se aplicaPonta",Mercado_Receita!$L$2:$L$2216)</f>
        <v>3181.8710000000001</v>
      </c>
      <c r="T22" s="13">
        <f>SUMIF(Mercado_Receita!$S$2:$S$2216,"44743A4VerdeNão se aplicaNão se aplicaNão se aplicaNão se aplicaPonta",Mercado_Receita!$L$2:$L$2216)</f>
        <v>3181.8710000000001</v>
      </c>
      <c r="U22" s="13">
        <f t="shared" si="0"/>
        <v>35988.722999999998</v>
      </c>
      <c r="V22" s="13"/>
      <c r="W22" s="13"/>
    </row>
    <row r="23" spans="1:23" ht="11.25" customHeight="1" x14ac:dyDescent="0.25">
      <c r="A23" s="83"/>
      <c r="B23" s="83"/>
      <c r="C23" s="83"/>
      <c r="D23" s="83"/>
      <c r="E23" s="83"/>
      <c r="F23" s="83"/>
      <c r="G23" s="13" t="s">
        <v>104</v>
      </c>
      <c r="H23" s="13" t="s">
        <v>102</v>
      </c>
      <c r="I23" s="13">
        <f>SUMIF(Mercado_Receita!$S$2:$S$2216,"44409A4VerdeNão se aplicaNão se aplicaNão se aplicaNão se aplicaFora ponta",Mercado_Receita!$L$2:$L$2216)</f>
        <v>41377.915000000001</v>
      </c>
      <c r="J23" s="13">
        <f>SUMIF(Mercado_Receita!$S$2:$S$2216,"44440A4VerdeNão se aplicaNão se aplicaNão se aplicaNão se aplicaFora ponta",Mercado_Receita!$L$2:$L$2216)</f>
        <v>42980.170000000006</v>
      </c>
      <c r="K23" s="13">
        <f>SUMIF(Mercado_Receita!$S$2:$S$2216,"44470A4VerdeNão se aplicaNão se aplicaNão se aplicaNão se aplicaFora ponta",Mercado_Receita!$L$2:$L$2216)</f>
        <v>46386.757999999994</v>
      </c>
      <c r="L23" s="13">
        <f>SUMIF(Mercado_Receita!$S$2:$S$2216,"44501A4VerdeNão se aplicaNão se aplicaNão se aplicaNão se aplicaFora ponta",Mercado_Receita!$L$2:$L$2216)</f>
        <v>48775.053999999989</v>
      </c>
      <c r="M23" s="13">
        <f>SUMIF(Mercado_Receita!$S$2:$S$2216,"44531A4VerdeNão se aplicaNão se aplicaNão se aplicaNão se aplicaFora ponta",Mercado_Receita!$L$2:$L$2216)</f>
        <v>49496.891000000011</v>
      </c>
      <c r="N23" s="13">
        <f>SUMIF(Mercado_Receita!$S$2:$S$2216,"44562A4VerdeNão se aplicaNão se aplicaNão se aplicaNão se aplicaFora ponta",Mercado_Receita!$L$2:$L$2216)</f>
        <v>46980.00299999999</v>
      </c>
      <c r="O23" s="13">
        <f>SUMIF(Mercado_Receita!$S$2:$S$2216,"44593A4VerdeNão se aplicaNão se aplicaNão se aplicaNão se aplicaFora ponta",Mercado_Receita!$L$2:$L$2216)</f>
        <v>45415.464000000007</v>
      </c>
      <c r="P23" s="13">
        <f>SUMIF(Mercado_Receita!$S$2:$S$2216,"44621A4VerdeNão se aplicaNão se aplicaNão se aplicaNão se aplicaFora ponta",Mercado_Receita!$L$2:$L$2216)</f>
        <v>46999.386000000006</v>
      </c>
      <c r="Q23" s="13">
        <f>SUMIF(Mercado_Receita!$S$2:$S$2216,"44652A4VerdeNão se aplicaNão se aplicaNão se aplicaNão se aplicaFora ponta",Mercado_Receita!$L$2:$L$2216)</f>
        <v>46841.956999999988</v>
      </c>
      <c r="R23" s="13">
        <f>SUMIF(Mercado_Receita!$S$2:$S$2216,"44682A4VerdeNão se aplicaNão se aplicaNão se aplicaNão se aplicaFora ponta",Mercado_Receita!$L$2:$L$2216)</f>
        <v>44918.196999999993</v>
      </c>
      <c r="S23" s="13">
        <f>SUMIF(Mercado_Receita!$S$2:$S$2216,"44713A4VerdeNão se aplicaNão se aplicaNão se aplicaNão se aplicaFora ponta",Mercado_Receita!$L$2:$L$2216)</f>
        <v>42261.275999999998</v>
      </c>
      <c r="T23" s="13">
        <f>SUMIF(Mercado_Receita!$S$2:$S$2216,"44743A4VerdeNão se aplicaNão se aplicaNão se aplicaNão se aplicaFora ponta",Mercado_Receita!$L$2:$L$2216)</f>
        <v>42261.275999999998</v>
      </c>
      <c r="U23" s="13">
        <f t="shared" si="0"/>
        <v>544694.34699999995</v>
      </c>
      <c r="V23" s="13"/>
      <c r="W23" s="13"/>
    </row>
    <row r="24" spans="1:23" ht="11.25" customHeight="1" x14ac:dyDescent="0.25">
      <c r="A24" s="83"/>
      <c r="B24" s="83"/>
      <c r="C24" s="83"/>
      <c r="D24" s="83"/>
      <c r="E24" s="82" t="s">
        <v>59</v>
      </c>
      <c r="F24" s="82" t="s">
        <v>25</v>
      </c>
      <c r="G24" s="13" t="s">
        <v>103</v>
      </c>
      <c r="H24" s="13" t="s">
        <v>102</v>
      </c>
      <c r="I24" s="13">
        <f>SUMIF(Mercado_Receita!$S$2:$S$2216,"44409A4VerdeNão se aplicaNão se aplicaAPENão se aplicaPonta",Mercado_Receita!$L$2:$L$2216)</f>
        <v>0</v>
      </c>
      <c r="J24" s="13">
        <f>SUMIF(Mercado_Receita!$S$2:$S$2216,"44440A4VerdeNão se aplicaNão se aplicaAPENão se aplicaPonta",Mercado_Receita!$L$2:$L$2216)</f>
        <v>0</v>
      </c>
      <c r="K24" s="13">
        <f>SUMIF(Mercado_Receita!$S$2:$S$2216,"44470A4VerdeNão se aplicaNão se aplicaAPENão se aplicaPonta",Mercado_Receita!$L$2:$L$2216)</f>
        <v>0</v>
      </c>
      <c r="L24" s="13">
        <f>SUMIF(Mercado_Receita!$S$2:$S$2216,"44501A4VerdeNão se aplicaNão se aplicaAPENão se aplicaPonta",Mercado_Receita!$L$2:$L$2216)</f>
        <v>0</v>
      </c>
      <c r="M24" s="13">
        <f>SUMIF(Mercado_Receita!$S$2:$S$2216,"44531A4VerdeNão se aplicaNão se aplicaAPENão se aplicaPonta",Mercado_Receita!$L$2:$L$2216)</f>
        <v>0</v>
      </c>
      <c r="N24" s="13">
        <f>SUMIF(Mercado_Receita!$S$2:$S$2216,"44562A4VerdeNão se aplicaNão se aplicaAPENão se aplicaPonta",Mercado_Receita!$L$2:$L$2216)</f>
        <v>0</v>
      </c>
      <c r="O24" s="13">
        <f>SUMIF(Mercado_Receita!$S$2:$S$2216,"44593A4VerdeNão se aplicaNão se aplicaAPENão se aplicaPonta",Mercado_Receita!$L$2:$L$2216)</f>
        <v>0</v>
      </c>
      <c r="P24" s="13">
        <f>SUMIF(Mercado_Receita!$S$2:$S$2216,"44621A4VerdeNão se aplicaNão se aplicaAPENão se aplicaPonta",Mercado_Receita!$L$2:$L$2216)</f>
        <v>0</v>
      </c>
      <c r="Q24" s="13">
        <f>SUMIF(Mercado_Receita!$S$2:$S$2216,"44652A4VerdeNão se aplicaNão se aplicaAPENão se aplicaPonta",Mercado_Receita!$L$2:$L$2216)</f>
        <v>0</v>
      </c>
      <c r="R24" s="13">
        <f>SUMIF(Mercado_Receita!$S$2:$S$2216,"44682A4VerdeNão se aplicaNão se aplicaAPENão se aplicaPonta",Mercado_Receita!$L$2:$L$2216)</f>
        <v>0</v>
      </c>
      <c r="S24" s="13">
        <f>SUMIF(Mercado_Receita!$S$2:$S$2216,"44713A4VerdeNão se aplicaNão se aplicaAPENão se aplicaPonta",Mercado_Receita!$L$2:$L$2216)</f>
        <v>0</v>
      </c>
      <c r="T24" s="13">
        <f>SUMIF(Mercado_Receita!$S$2:$S$2216,"44743A4VerdeNão se aplicaNão se aplicaAPENão se aplicaPonta",Mercado_Receita!$L$2:$L$2216)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83"/>
      <c r="B25" s="83"/>
      <c r="C25" s="83"/>
      <c r="D25" s="83"/>
      <c r="E25" s="83"/>
      <c r="F25" s="83"/>
      <c r="G25" s="13" t="s">
        <v>104</v>
      </c>
      <c r="H25" s="13" t="s">
        <v>102</v>
      </c>
      <c r="I25" s="13">
        <f>SUMIF(Mercado_Receita!$S$2:$S$2216,"44409A4VerdeNão se aplicaNão se aplicaAPENão se aplicaFora ponta",Mercado_Receita!$L$2:$L$2216)</f>
        <v>13.065</v>
      </c>
      <c r="J25" s="13">
        <f>SUMIF(Mercado_Receita!$S$2:$S$2216,"44440A4VerdeNão se aplicaNão se aplicaAPENão se aplicaFora ponta",Mercado_Receita!$L$2:$L$2216)</f>
        <v>6.5860000000000003</v>
      </c>
      <c r="K25" s="13">
        <f>SUMIF(Mercado_Receita!$S$2:$S$2216,"44470A4VerdeNão se aplicaNão se aplicaAPENão se aplicaFora ponta",Mercado_Receita!$L$2:$L$2216)</f>
        <v>28.431000000000001</v>
      </c>
      <c r="L25" s="13">
        <f>SUMIF(Mercado_Receita!$S$2:$S$2216,"44501A4VerdeNão se aplicaNão se aplicaAPENão se aplicaFora ponta",Mercado_Receita!$L$2:$L$2216)</f>
        <v>32.764000000000003</v>
      </c>
      <c r="M25" s="13">
        <f>SUMIF(Mercado_Receita!$S$2:$S$2216,"44531A4VerdeNão se aplicaNão se aplicaAPENão se aplicaFora ponta",Mercado_Receita!$L$2:$L$2216)</f>
        <v>124.36199999999999</v>
      </c>
      <c r="N25" s="13">
        <f>SUMIF(Mercado_Receita!$S$2:$S$2216,"44562A4VerdeNão se aplicaNão se aplicaAPENão se aplicaFora ponta",Mercado_Receita!$L$2:$L$2216)</f>
        <v>167.78200000000001</v>
      </c>
      <c r="O25" s="13">
        <f>SUMIF(Mercado_Receita!$S$2:$S$2216,"44593A4VerdeNão se aplicaNão se aplicaAPENão se aplicaFora ponta",Mercado_Receita!$L$2:$L$2216)</f>
        <v>150.23400000000001</v>
      </c>
      <c r="P25" s="13">
        <f>SUMIF(Mercado_Receita!$S$2:$S$2216,"44621A4VerdeNão se aplicaNão se aplicaAPENão se aplicaFora ponta",Mercado_Receita!$L$2:$L$2216)</f>
        <v>152.11000000000001</v>
      </c>
      <c r="Q25" s="13">
        <f>SUMIF(Mercado_Receita!$S$2:$S$2216,"44652A4VerdeNão se aplicaNão se aplicaAPENão se aplicaFora ponta",Mercado_Receita!$L$2:$L$2216)</f>
        <v>140.28399999999999</v>
      </c>
      <c r="R25" s="13">
        <f>SUMIF(Mercado_Receita!$S$2:$S$2216,"44682A4VerdeNão se aplicaNão se aplicaAPENão se aplicaFora ponta",Mercado_Receita!$L$2:$L$2216)</f>
        <v>17.553000000000001</v>
      </c>
      <c r="S25" s="13">
        <f>SUMIF(Mercado_Receita!$S$2:$S$2216,"44713A4VerdeNão se aplicaNão se aplicaAPENão se aplicaFora ponta",Mercado_Receita!$L$2:$L$2216)</f>
        <v>91.113</v>
      </c>
      <c r="T25" s="13">
        <f>SUMIF(Mercado_Receita!$S$2:$S$2216,"44743A4VerdeNão se aplicaNão se aplicaAPENão se aplicaFora ponta",Mercado_Receita!$L$2:$L$2216)</f>
        <v>91.113</v>
      </c>
      <c r="U25" s="13">
        <f t="shared" si="0"/>
        <v>1015.3970000000002</v>
      </c>
      <c r="V25" s="13"/>
      <c r="W25" s="13"/>
    </row>
    <row r="26" spans="1:23" ht="11.25" customHeight="1" x14ac:dyDescent="0.25">
      <c r="A26" s="82" t="s">
        <v>110</v>
      </c>
      <c r="B26" s="82" t="s">
        <v>66</v>
      </c>
      <c r="C26" s="82" t="s">
        <v>25</v>
      </c>
      <c r="D26" s="82" t="s">
        <v>25</v>
      </c>
      <c r="E26" s="12" t="s">
        <v>111</v>
      </c>
      <c r="F26" s="12" t="s">
        <v>25</v>
      </c>
      <c r="G26" s="13" t="s">
        <v>9</v>
      </c>
      <c r="H26" s="13" t="s">
        <v>105</v>
      </c>
      <c r="I26" s="13">
        <f>SUMIF(Mercado_Receita!$S$2:$S$2216,"44409BGeraçãoNão se aplicaNão se aplicaTIPO 01Não se aplicaNão se aplica",Mercado_Receita!$J$2:$J$2216)+SUMIF(Mercado_Receita!$S$2:$S$2216,"44409BGeraçãoNão se aplicaNão se aplicaAPENão se aplicaNão se aplica",Mercado_Receita!$J$2:$J$2216)</f>
        <v>0</v>
      </c>
      <c r="J26" s="13">
        <f>SUMIF(Mercado_Receita!$S$2:$S$2216,"44440BGeraçãoNão se aplicaNão se aplicaTIPO 01Não se aplicaNão se aplica",Mercado_Receita!$J$2:$J$2216)+SUMIF(Mercado_Receita!$S$2:$S$2216,"44440BGeraçãoNão se aplicaNão se aplicaAPENão se aplicaNão se aplica",Mercado_Receita!$J$2:$J$2216)</f>
        <v>0</v>
      </c>
      <c r="K26" s="13">
        <f>SUMIF(Mercado_Receita!$S$2:$S$2216,"44470BGeraçãoNão se aplicaNão se aplicaTIPO 01Não se aplicaNão se aplica",Mercado_Receita!$J$2:$J$2216)+SUMIF(Mercado_Receita!$S$2:$S$2216,"44470BGeraçãoNão se aplicaNão se aplicaAPENão se aplicaNão se aplica",Mercado_Receita!$J$2:$J$2216)</f>
        <v>0</v>
      </c>
      <c r="L26" s="13">
        <f>SUMIF(Mercado_Receita!$S$2:$S$2216,"44501BGeraçãoNão se aplicaNão se aplicaTIPO 01Não se aplicaNão se aplica",Mercado_Receita!$J$2:$J$2216)+SUMIF(Mercado_Receita!$S$2:$S$2216,"44501BGeraçãoNão se aplicaNão se aplicaAPENão se aplicaNão se aplica",Mercado_Receita!$J$2:$J$2216)</f>
        <v>0</v>
      </c>
      <c r="M26" s="13">
        <f>SUMIF(Mercado_Receita!$S$2:$S$2216,"44531BGeraçãoNão se aplicaNão se aplicaTIPO 01Não se aplicaNão se aplica",Mercado_Receita!$J$2:$J$2216)+SUMIF(Mercado_Receita!$S$2:$S$2216,"44531BGeraçãoNão se aplicaNão se aplicaAPENão se aplicaNão se aplica",Mercado_Receita!$J$2:$J$2216)</f>
        <v>0</v>
      </c>
      <c r="N26" s="13">
        <f>SUMIF(Mercado_Receita!$S$2:$S$2216,"44562BGeraçãoNão se aplicaNão se aplicaTIPO 01Não se aplicaNão se aplica",Mercado_Receita!$J$2:$J$2216)+SUMIF(Mercado_Receita!$S$2:$S$2216,"44562BGeraçãoNão se aplicaNão se aplicaAPENão se aplicaNão se aplica",Mercado_Receita!$J$2:$J$2216)</f>
        <v>0</v>
      </c>
      <c r="O26" s="13">
        <f>SUMIF(Mercado_Receita!$S$2:$S$2216,"44593BGeraçãoNão se aplicaNão se aplicaTIPO 01Não se aplicaNão se aplica",Mercado_Receita!$J$2:$J$2216)+SUMIF(Mercado_Receita!$S$2:$S$2216,"44593BGeraçãoNão se aplicaNão se aplicaAPENão se aplicaNão se aplica",Mercado_Receita!$J$2:$J$2216)</f>
        <v>0</v>
      </c>
      <c r="P26" s="13">
        <f>SUMIF(Mercado_Receita!$S$2:$S$2216,"44621BGeraçãoNão se aplicaNão se aplicaTIPO 01Não se aplicaNão se aplica",Mercado_Receita!$J$2:$J$2216)+SUMIF(Mercado_Receita!$S$2:$S$2216,"44621BGeraçãoNão se aplicaNão se aplicaAPENão se aplicaNão se aplica",Mercado_Receita!$J$2:$J$2216)</f>
        <v>0</v>
      </c>
      <c r="Q26" s="13">
        <f>SUMIF(Mercado_Receita!$S$2:$S$2216,"44652BGeraçãoNão se aplicaNão se aplicaTIPO 01Não se aplicaNão se aplica",Mercado_Receita!$J$2:$J$2216)+SUMIF(Mercado_Receita!$S$2:$S$2216,"44652BGeraçãoNão se aplicaNão se aplicaAPENão se aplicaNão se aplica",Mercado_Receita!$J$2:$J$2216)</f>
        <v>0</v>
      </c>
      <c r="R26" s="13">
        <f>SUMIF(Mercado_Receita!$S$2:$S$2216,"44682BGeraçãoNão se aplicaNão se aplicaTIPO 01Não se aplicaNão se aplica",Mercado_Receita!$J$2:$J$2216)+SUMIF(Mercado_Receita!$S$2:$S$2216,"44682BGeraçãoNão se aplicaNão se aplicaAPENão se aplicaNão se aplica",Mercado_Receita!$J$2:$J$2216)</f>
        <v>0</v>
      </c>
      <c r="S26" s="13">
        <f>SUMIF(Mercado_Receita!$S$2:$S$2216,"44713BGeraçãoNão se aplicaNão se aplicaTIPO 01Não se aplicaNão se aplica",Mercado_Receita!$J$2:$J$2216)+SUMIF(Mercado_Receita!$S$2:$S$2216,"44713BGeraçãoNão se aplicaNão se aplicaAPENão se aplicaNão se aplica",Mercado_Receita!$J$2:$J$2216)</f>
        <v>0</v>
      </c>
      <c r="T26" s="13">
        <f>SUMIF(Mercado_Receita!$S$2:$S$2216,"44743BGeraçãoNão se aplicaNão se aplicaTIPO 01Não se aplicaNão se aplica",Mercado_Receita!$J$2:$J$2216)+SUMIF(Mercado_Receita!$S$2:$S$2216,"44743BGeraçãoNão se aplicaNão se aplicaAPENão se aplicaNão se aplica",Mercado_Receita!$J$2:$J$2216)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83"/>
      <c r="B27" s="83"/>
      <c r="C27" s="83"/>
      <c r="D27" s="83"/>
      <c r="E27" s="12" t="s">
        <v>112</v>
      </c>
      <c r="F27" s="12" t="s">
        <v>25</v>
      </c>
      <c r="G27" s="13" t="s">
        <v>9</v>
      </c>
      <c r="H27" s="13" t="s">
        <v>105</v>
      </c>
      <c r="I27" s="13">
        <f>SUMIF(Mercado_Receita!$S$2:$S$2216,"44409BGeraçãoNão se aplicaNão se aplicaTIPO 02Não se aplicaNão se aplica",Mercado_Receita!$J$2:$J$2216)+SUMIF(Mercado_Receita!$S$2:$S$2216,"44409BGeraçãoNão se aplicaNão se aplicaAPENão se aplicaNão se aplica",Mercado_Receita!$J$2:$J$2216)</f>
        <v>0</v>
      </c>
      <c r="J27" s="13">
        <f>SUMIF(Mercado_Receita!$S$2:$S$2216,"44440BGeraçãoNão se aplicaNão se aplicaTIPO 02Não se aplicaNão se aplica",Mercado_Receita!$J$2:$J$2216)+SUMIF(Mercado_Receita!$S$2:$S$2216,"44440BGeraçãoNão se aplicaNão se aplicaAPENão se aplicaNão se aplica",Mercado_Receita!$J$2:$J$2216)</f>
        <v>0</v>
      </c>
      <c r="K27" s="13">
        <f>SUMIF(Mercado_Receita!$S$2:$S$2216,"44470BGeraçãoNão se aplicaNão se aplicaTIPO 02Não se aplicaNão se aplica",Mercado_Receita!$J$2:$J$2216)+SUMIF(Mercado_Receita!$S$2:$S$2216,"44470BGeraçãoNão se aplicaNão se aplicaAPENão se aplicaNão se aplica",Mercado_Receita!$J$2:$J$2216)</f>
        <v>0</v>
      </c>
      <c r="L27" s="13">
        <f>SUMIF(Mercado_Receita!$S$2:$S$2216,"44501BGeraçãoNão se aplicaNão se aplicaTIPO 02Não se aplicaNão se aplica",Mercado_Receita!$J$2:$J$2216)+SUMIF(Mercado_Receita!$S$2:$S$2216,"44501BGeraçãoNão se aplicaNão se aplicaAPENão se aplicaNão se aplica",Mercado_Receita!$J$2:$J$2216)</f>
        <v>0</v>
      </c>
      <c r="M27" s="13">
        <f>SUMIF(Mercado_Receita!$S$2:$S$2216,"44531BGeraçãoNão se aplicaNão se aplicaTIPO 02Não se aplicaNão se aplica",Mercado_Receita!$J$2:$J$2216)+SUMIF(Mercado_Receita!$S$2:$S$2216,"44531BGeraçãoNão se aplicaNão se aplicaAPENão se aplicaNão se aplica",Mercado_Receita!$J$2:$J$2216)</f>
        <v>0</v>
      </c>
      <c r="N27" s="13">
        <f>SUMIF(Mercado_Receita!$S$2:$S$2216,"44562BGeraçãoNão se aplicaNão se aplicaTIPO 02Não se aplicaNão se aplica",Mercado_Receita!$J$2:$J$2216)+SUMIF(Mercado_Receita!$S$2:$S$2216,"44562BGeraçãoNão se aplicaNão se aplicaAPENão se aplicaNão se aplica",Mercado_Receita!$J$2:$J$2216)</f>
        <v>0</v>
      </c>
      <c r="O27" s="13">
        <f>SUMIF(Mercado_Receita!$S$2:$S$2216,"44593BGeraçãoNão se aplicaNão se aplicaTIPO 02Não se aplicaNão se aplica",Mercado_Receita!$J$2:$J$2216)+SUMIF(Mercado_Receita!$S$2:$S$2216,"44593BGeraçãoNão se aplicaNão se aplicaAPENão se aplicaNão se aplica",Mercado_Receita!$J$2:$J$2216)</f>
        <v>0</v>
      </c>
      <c r="P27" s="13">
        <f>SUMIF(Mercado_Receita!$S$2:$S$2216,"44621BGeraçãoNão se aplicaNão se aplicaTIPO 02Não se aplicaNão se aplica",Mercado_Receita!$J$2:$J$2216)+SUMIF(Mercado_Receita!$S$2:$S$2216,"44621BGeraçãoNão se aplicaNão se aplicaAPENão se aplicaNão se aplica",Mercado_Receita!$J$2:$J$2216)</f>
        <v>0</v>
      </c>
      <c r="Q27" s="13">
        <f>SUMIF(Mercado_Receita!$S$2:$S$2216,"44652BGeraçãoNão se aplicaNão se aplicaTIPO 02Não se aplicaNão se aplica",Mercado_Receita!$J$2:$J$2216)+SUMIF(Mercado_Receita!$S$2:$S$2216,"44652BGeraçãoNão se aplicaNão se aplicaAPENão se aplicaNão se aplica",Mercado_Receita!$J$2:$J$2216)</f>
        <v>0</v>
      </c>
      <c r="R27" s="13">
        <f>SUMIF(Mercado_Receita!$S$2:$S$2216,"44682BGeraçãoNão se aplicaNão se aplicaTIPO 02Não se aplicaNão se aplica",Mercado_Receita!$J$2:$J$2216)+SUMIF(Mercado_Receita!$S$2:$S$2216,"44682BGeraçãoNão se aplicaNão se aplicaAPENão se aplicaNão se aplica",Mercado_Receita!$J$2:$J$2216)</f>
        <v>0</v>
      </c>
      <c r="S27" s="13">
        <f>SUMIF(Mercado_Receita!$S$2:$S$2216,"44713BGeraçãoNão se aplicaNão se aplicaTIPO 02Não se aplicaNão se aplica",Mercado_Receita!$J$2:$J$2216)+SUMIF(Mercado_Receita!$S$2:$S$2216,"44713BGeraçãoNão se aplicaNão se aplicaAPENão se aplicaNão se aplica",Mercado_Receita!$J$2:$J$2216)</f>
        <v>0</v>
      </c>
      <c r="T27" s="13">
        <f>SUMIF(Mercado_Receita!$S$2:$S$2216,"44743BGeraçãoNão se aplicaNão se aplicaTIPO 02Não se aplicaNão se aplica",Mercado_Receita!$J$2:$J$2216)+SUMIF(Mercado_Receita!$S$2:$S$2216,"44743BGeraçãoNão se aplicaNão se aplicaAPENão se aplicaNão se aplica",Mercado_Receita!$J$2:$J$2216)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82" t="s">
        <v>22</v>
      </c>
      <c r="B28" s="82" t="s">
        <v>33</v>
      </c>
      <c r="C28" s="82" t="s">
        <v>24</v>
      </c>
      <c r="D28" s="82" t="s">
        <v>24</v>
      </c>
      <c r="E28" s="82" t="s">
        <v>25</v>
      </c>
      <c r="F28" s="82" t="s">
        <v>25</v>
      </c>
      <c r="G28" s="13" t="s">
        <v>103</v>
      </c>
      <c r="H28" s="13" t="s">
        <v>102</v>
      </c>
      <c r="I28" s="13">
        <f>SUMIF(Mercado_Receita!$S$2:$S$2216,"44409B1BrancaResidencialResidencialNão se aplicaNão se aplicaPonta",Mercado_Receita!$L$2:$L$2216)</f>
        <v>9.3010000000000002</v>
      </c>
      <c r="J28" s="13">
        <f>SUMIF(Mercado_Receita!$S$2:$S$2216,"44440B1BrancaResidencialResidencialNão se aplicaNão se aplicaPonta",Mercado_Receita!$L$2:$L$2216)</f>
        <v>16.887</v>
      </c>
      <c r="K28" s="13">
        <f>SUMIF(Mercado_Receita!$S$2:$S$2216,"44470B1BrancaResidencialResidencialNão se aplicaNão se aplicaPonta",Mercado_Receita!$L$2:$L$2216)</f>
        <v>5.3939999999999992</v>
      </c>
      <c r="L28" s="13">
        <f>SUMIF(Mercado_Receita!$S$2:$S$2216,"44501B1BrancaResidencialResidencialNão se aplicaNão se aplicaPonta",Mercado_Receita!$L$2:$L$2216)</f>
        <v>3.8469999999999995</v>
      </c>
      <c r="M28" s="13">
        <f>SUMIF(Mercado_Receita!$S$2:$S$2216,"44531B1BrancaResidencialResidencialNão se aplicaNão se aplicaPonta",Mercado_Receita!$L$2:$L$2216)</f>
        <v>10.235000000000001</v>
      </c>
      <c r="N28" s="13">
        <f>SUMIF(Mercado_Receita!$S$2:$S$2216,"44562B1BrancaResidencialResidencialNão se aplicaNão se aplicaPonta",Mercado_Receita!$L$2:$L$2216)</f>
        <v>19.789000000000001</v>
      </c>
      <c r="O28" s="13">
        <f>SUMIF(Mercado_Receita!$S$2:$S$2216,"44593B1BrancaResidencialResidencialNão se aplicaNão se aplicaPonta",Mercado_Receita!$L$2:$L$2216)</f>
        <v>3.1789999999999994</v>
      </c>
      <c r="P28" s="13">
        <f>SUMIF(Mercado_Receita!$S$2:$S$2216,"44621B1BrancaResidencialResidencialNão se aplicaNão se aplicaPonta",Mercado_Receita!$L$2:$L$2216)</f>
        <v>9.9190000000000005</v>
      </c>
      <c r="Q28" s="13">
        <f>SUMIF(Mercado_Receita!$S$2:$S$2216,"44652B1BrancaResidencialResidencialNão se aplicaNão se aplicaPonta",Mercado_Receita!$L$2:$L$2216)</f>
        <v>8.0739999999999998</v>
      </c>
      <c r="R28" s="13">
        <f>SUMIF(Mercado_Receita!$S$2:$S$2216,"44682B1BrancaResidencialResidencialNão se aplicaNão se aplicaPonta",Mercado_Receita!$L$2:$L$2216)</f>
        <v>4.4920000000000009</v>
      </c>
      <c r="S28" s="13">
        <f>SUMIF(Mercado_Receita!$S$2:$S$2216,"44713B1BrancaResidencialResidencialNão se aplicaNão se aplicaPonta",Mercado_Receita!$L$2:$L$2216)</f>
        <v>8.1330000000000009</v>
      </c>
      <c r="T28" s="13">
        <f>SUMIF(Mercado_Receita!$S$2:$S$2216,"44743B1BrancaResidencialResidencialNão se aplicaNão se aplicaPonta",Mercado_Receita!$L$2:$L$2216)</f>
        <v>8.1330000000000009</v>
      </c>
      <c r="U28" s="13">
        <f t="shared" si="0"/>
        <v>107.383</v>
      </c>
      <c r="V28" s="13"/>
      <c r="W28" s="13"/>
    </row>
    <row r="29" spans="1:23" ht="11.25" customHeight="1" x14ac:dyDescent="0.25">
      <c r="A29" s="83"/>
      <c r="B29" s="83"/>
      <c r="C29" s="83"/>
      <c r="D29" s="83"/>
      <c r="E29" s="83"/>
      <c r="F29" s="83"/>
      <c r="G29" s="13" t="s">
        <v>113</v>
      </c>
      <c r="H29" s="13" t="s">
        <v>102</v>
      </c>
      <c r="I29" s="13">
        <f>SUMIF(Mercado_Receita!$S$2:$S$2216,"44409B1BrancaResidencialResidencialNão se aplicaNão se aplicaIntermediário",Mercado_Receita!$L$2:$L$2216)</f>
        <v>6.0460000000000003</v>
      </c>
      <c r="J29" s="13">
        <f>SUMIF(Mercado_Receita!$S$2:$S$2216,"44440B1BrancaResidencialResidencialNão se aplicaNão se aplicaIntermediário",Mercado_Receita!$L$2:$L$2216)</f>
        <v>5.6619999999999999</v>
      </c>
      <c r="K29" s="13">
        <f>SUMIF(Mercado_Receita!$S$2:$S$2216,"44470B1BrancaResidencialResidencialNão se aplicaNão se aplicaIntermediário",Mercado_Receita!$L$2:$L$2216)</f>
        <v>5.7840000000000007</v>
      </c>
      <c r="L29" s="13">
        <f>SUMIF(Mercado_Receita!$S$2:$S$2216,"44501B1BrancaResidencialResidencialNão se aplicaNão se aplicaIntermediário",Mercado_Receita!$L$2:$L$2216)</f>
        <v>5.673</v>
      </c>
      <c r="M29" s="13">
        <f>SUMIF(Mercado_Receita!$S$2:$S$2216,"44531B1BrancaResidencialResidencialNão se aplicaNão se aplicaIntermediário",Mercado_Receita!$L$2:$L$2216)</f>
        <v>8.032</v>
      </c>
      <c r="N29" s="13">
        <f>SUMIF(Mercado_Receita!$S$2:$S$2216,"44562B1BrancaResidencialResidencialNão se aplicaNão se aplicaIntermediário",Mercado_Receita!$L$2:$L$2216)</f>
        <v>5.8090000000000002</v>
      </c>
      <c r="O29" s="13">
        <f>SUMIF(Mercado_Receita!$S$2:$S$2216,"44593B1BrancaResidencialResidencialNão se aplicaNão se aplicaIntermediário",Mercado_Receita!$L$2:$L$2216)</f>
        <v>6.3140000000000001</v>
      </c>
      <c r="P29" s="13">
        <f>SUMIF(Mercado_Receita!$S$2:$S$2216,"44621B1BrancaResidencialResidencialNão se aplicaNão se aplicaIntermediário",Mercado_Receita!$L$2:$L$2216)</f>
        <v>6.8620000000000001</v>
      </c>
      <c r="Q29" s="13">
        <f>SUMIF(Mercado_Receita!$S$2:$S$2216,"44652B1BrancaResidencialResidencialNão se aplicaNão se aplicaIntermediário",Mercado_Receita!$L$2:$L$2216)</f>
        <v>6.0699999999999994</v>
      </c>
      <c r="R29" s="13">
        <f>SUMIF(Mercado_Receita!$S$2:$S$2216,"44682B1BrancaResidencialResidencialNão se aplicaNão se aplicaIntermediário",Mercado_Receita!$L$2:$L$2216)</f>
        <v>6.149</v>
      </c>
      <c r="S29" s="13">
        <f>SUMIF(Mercado_Receita!$S$2:$S$2216,"44713B1BrancaResidencialResidencialNão se aplicaNão se aplicaIntermediário",Mercado_Receita!$L$2:$L$2216)</f>
        <v>5.6469999999999994</v>
      </c>
      <c r="T29" s="13">
        <f>SUMIF(Mercado_Receita!$S$2:$S$2216,"44743B1BrancaResidencialResidencialNão se aplicaNão se aplicaIntermediário",Mercado_Receita!$L$2:$L$2216)</f>
        <v>5.6469999999999994</v>
      </c>
      <c r="U29" s="13">
        <f t="shared" si="0"/>
        <v>73.695000000000007</v>
      </c>
      <c r="V29" s="13"/>
      <c r="W29" s="13"/>
    </row>
    <row r="30" spans="1:23" ht="11.25" customHeight="1" x14ac:dyDescent="0.25">
      <c r="A30" s="83"/>
      <c r="B30" s="83"/>
      <c r="C30" s="83"/>
      <c r="D30" s="83"/>
      <c r="E30" s="83"/>
      <c r="F30" s="83"/>
      <c r="G30" s="13" t="s">
        <v>104</v>
      </c>
      <c r="H30" s="13" t="s">
        <v>102</v>
      </c>
      <c r="I30" s="13">
        <f>SUMIF(Mercado_Receita!$S$2:$S$2216,"44409B1BrancaResidencialResidencialNão se aplicaNão se aplicaFora ponta",Mercado_Receita!$L$2:$L$2216)</f>
        <v>104.099</v>
      </c>
      <c r="J30" s="13">
        <f>SUMIF(Mercado_Receita!$S$2:$S$2216,"44440B1BrancaResidencialResidencialNão se aplicaNão se aplicaFora ponta",Mercado_Receita!$L$2:$L$2216)</f>
        <v>103.41000000000001</v>
      </c>
      <c r="K30" s="13">
        <f>SUMIF(Mercado_Receita!$S$2:$S$2216,"44470B1BrancaResidencialResidencialNão se aplicaNão se aplicaFora ponta",Mercado_Receita!$L$2:$L$2216)</f>
        <v>116.735</v>
      </c>
      <c r="L30" s="13">
        <f>SUMIF(Mercado_Receita!$S$2:$S$2216,"44501B1BrancaResidencialResidencialNão se aplicaNão se aplicaFora ponta",Mercado_Receita!$L$2:$L$2216)</f>
        <v>120.54100000000001</v>
      </c>
      <c r="M30" s="13">
        <f>SUMIF(Mercado_Receita!$S$2:$S$2216,"44531B1BrancaResidencialResidencialNão se aplicaNão se aplicaFora ponta",Mercado_Receita!$L$2:$L$2216)</f>
        <v>146.38</v>
      </c>
      <c r="N30" s="13">
        <f>SUMIF(Mercado_Receita!$S$2:$S$2216,"44562B1BrancaResidencialResidencialNão se aplicaNão se aplicaFora ponta",Mercado_Receita!$L$2:$L$2216)</f>
        <v>118.17</v>
      </c>
      <c r="O30" s="13">
        <f>SUMIF(Mercado_Receita!$S$2:$S$2216,"44593B1BrancaResidencialResidencialNão se aplicaNão se aplicaFora ponta",Mercado_Receita!$L$2:$L$2216)</f>
        <v>115.929</v>
      </c>
      <c r="P30" s="13">
        <f>SUMIF(Mercado_Receita!$S$2:$S$2216,"44621B1BrancaResidencialResidencialNão se aplicaNão se aplicaFora ponta",Mercado_Receita!$L$2:$L$2216)</f>
        <v>126.09599999999999</v>
      </c>
      <c r="Q30" s="13">
        <f>SUMIF(Mercado_Receita!$S$2:$S$2216,"44652B1BrancaResidencialResidencialNão se aplicaNão se aplicaFora ponta",Mercado_Receita!$L$2:$L$2216)</f>
        <v>112.11099999999999</v>
      </c>
      <c r="R30" s="13">
        <f>SUMIF(Mercado_Receita!$S$2:$S$2216,"44682B1BrancaResidencialResidencialNão se aplicaNão se aplicaFora ponta",Mercado_Receita!$L$2:$L$2216)</f>
        <v>112.08599999999998</v>
      </c>
      <c r="S30" s="13">
        <f>SUMIF(Mercado_Receita!$S$2:$S$2216,"44713B1BrancaResidencialResidencialNão se aplicaNão se aplicaFora ponta",Mercado_Receita!$L$2:$L$2216)</f>
        <v>91.265000000000001</v>
      </c>
      <c r="T30" s="13">
        <f>SUMIF(Mercado_Receita!$S$2:$S$2216,"44743B1BrancaResidencialResidencialNão se aplicaNão se aplicaFora ponta",Mercado_Receita!$L$2:$L$2216)</f>
        <v>91.265000000000001</v>
      </c>
      <c r="U30" s="13">
        <f t="shared" si="0"/>
        <v>1358.0870000000002</v>
      </c>
      <c r="V30" s="13"/>
      <c r="W30" s="13"/>
    </row>
    <row r="31" spans="1:23" ht="11.25" customHeight="1" x14ac:dyDescent="0.25">
      <c r="A31" s="83"/>
      <c r="B31" s="82" t="s">
        <v>23</v>
      </c>
      <c r="C31" s="82" t="s">
        <v>24</v>
      </c>
      <c r="D31" s="12" t="s">
        <v>24</v>
      </c>
      <c r="E31" s="12" t="s">
        <v>25</v>
      </c>
      <c r="F31" s="12" t="s">
        <v>25</v>
      </c>
      <c r="G31" s="13" t="s">
        <v>108</v>
      </c>
      <c r="H31" s="13" t="s">
        <v>102</v>
      </c>
      <c r="I31" s="13">
        <f>SUMIF(Mercado_Receita!$S$2:$S$2216,"44409B1ConvencionalResidencialResidencialNão se aplicaNão se aplicaPonta",Mercado_Receita!$L$2:$L$2216)+SUMIF(Mercado_Receita!$S$2:$S$2216,"44409B1ConvencionalResidencialResidencialNão se aplicaNão se aplicaFora ponta",Mercado_Receita!$L$2:$L$2216)+SUMIF(Mercado_Receita!$S$2:$S$2216,"44409B1ConvencionalResidencialResidencialNão se aplicaNão se aplicaIntermediário",Mercado_Receita!$L$2:$L$2216)+SUMIF(Mercado_Receita!$S$2:$S$2216,"44409B1ConvencionalResidencialResidencialNão se aplicaNão se aplicaNão se aplica",Mercado_Receita!$L$2:$L$2216)</f>
        <v>108203.70300000001</v>
      </c>
      <c r="J31" s="13">
        <f>SUMIF(Mercado_Receita!$S$2:$S$2216,"44440B1ConvencionalResidencialResidencialNão se aplicaNão se aplicaPonta",Mercado_Receita!$L$2:$L$2216)+SUMIF(Mercado_Receita!$S$2:$S$2216,"44440B1ConvencionalResidencialResidencialNão se aplicaNão se aplicaFora ponta",Mercado_Receita!$L$2:$L$2216)+SUMIF(Mercado_Receita!$S$2:$S$2216,"44440B1ConvencionalResidencialResidencialNão se aplicaNão se aplicaIntermediário",Mercado_Receita!$L$2:$L$2216)+SUMIF(Mercado_Receita!$S$2:$S$2216,"44440B1ConvencionalResidencialResidencialNão se aplicaNão se aplicaNão se aplica",Mercado_Receita!$L$2:$L$2216)</f>
        <v>108949.37699999999</v>
      </c>
      <c r="K31" s="13">
        <f>SUMIF(Mercado_Receita!$S$2:$S$2216,"44470B1ConvencionalResidencialResidencialNão se aplicaNão se aplicaPonta",Mercado_Receita!$L$2:$L$2216)+SUMIF(Mercado_Receita!$S$2:$S$2216,"44470B1ConvencionalResidencialResidencialNão se aplicaNão se aplicaFora ponta",Mercado_Receita!$L$2:$L$2216)+SUMIF(Mercado_Receita!$S$2:$S$2216,"44470B1ConvencionalResidencialResidencialNão se aplicaNão se aplicaIntermediário",Mercado_Receita!$L$2:$L$2216)+SUMIF(Mercado_Receita!$S$2:$S$2216,"44470B1ConvencionalResidencialResidencialNão se aplicaNão se aplicaNão se aplica",Mercado_Receita!$L$2:$L$2216)</f>
        <v>117937.83799999999</v>
      </c>
      <c r="L31" s="13">
        <f>SUMIF(Mercado_Receita!$S$2:$S$2216,"44501B1ConvencionalResidencialResidencialNão se aplicaNão se aplicaPonta",Mercado_Receita!$L$2:$L$2216)+SUMIF(Mercado_Receita!$S$2:$S$2216,"44501B1ConvencionalResidencialResidencialNão se aplicaNão se aplicaFora ponta",Mercado_Receita!$L$2:$L$2216)+SUMIF(Mercado_Receita!$S$2:$S$2216,"44501B1ConvencionalResidencialResidencialNão se aplicaNão se aplicaIntermediário",Mercado_Receita!$L$2:$L$2216)+SUMIF(Mercado_Receita!$S$2:$S$2216,"44501B1ConvencionalResidencialResidencialNão se aplicaNão se aplicaNão se aplica",Mercado_Receita!$L$2:$L$2216)</f>
        <v>118157.762</v>
      </c>
      <c r="M31" s="13">
        <f>SUMIF(Mercado_Receita!$S$2:$S$2216,"44531B1ConvencionalResidencialResidencialNão se aplicaNão se aplicaPonta",Mercado_Receita!$L$2:$L$2216)+SUMIF(Mercado_Receita!$S$2:$S$2216,"44531B1ConvencionalResidencialResidencialNão se aplicaNão se aplicaFora ponta",Mercado_Receita!$L$2:$L$2216)+SUMIF(Mercado_Receita!$S$2:$S$2216,"44531B1ConvencionalResidencialResidencialNão se aplicaNão se aplicaIntermediário",Mercado_Receita!$L$2:$L$2216)+SUMIF(Mercado_Receita!$S$2:$S$2216,"44531B1ConvencionalResidencialResidencialNão se aplicaNão se aplicaNão se aplica",Mercado_Receita!$L$2:$L$2216)</f>
        <v>130883.306</v>
      </c>
      <c r="N31" s="13">
        <f>SUMIF(Mercado_Receita!$S$2:$S$2216,"44562B1ConvencionalResidencialResidencialNão se aplicaNão se aplicaPonta",Mercado_Receita!$L$2:$L$2216)+SUMIF(Mercado_Receita!$S$2:$S$2216,"44562B1ConvencionalResidencialResidencialNão se aplicaNão se aplicaFora ponta",Mercado_Receita!$L$2:$L$2216)+SUMIF(Mercado_Receita!$S$2:$S$2216,"44562B1ConvencionalResidencialResidencialNão se aplicaNão se aplicaIntermediário",Mercado_Receita!$L$2:$L$2216)+SUMIF(Mercado_Receita!$S$2:$S$2216,"44562B1ConvencionalResidencialResidencialNão se aplicaNão se aplicaNão se aplica",Mercado_Receita!$L$2:$L$2216)</f>
        <v>123419.58900000001</v>
      </c>
      <c r="O31" s="13">
        <f>SUMIF(Mercado_Receita!$S$2:$S$2216,"44593B1ConvencionalResidencialResidencialNão se aplicaNão se aplicaPonta",Mercado_Receita!$L$2:$L$2216)+SUMIF(Mercado_Receita!$S$2:$S$2216,"44593B1ConvencionalResidencialResidencialNão se aplicaNão se aplicaFora ponta",Mercado_Receita!$L$2:$L$2216)+SUMIF(Mercado_Receita!$S$2:$S$2216,"44593B1ConvencionalResidencialResidencialNão se aplicaNão se aplicaIntermediário",Mercado_Receita!$L$2:$L$2216)+SUMIF(Mercado_Receita!$S$2:$S$2216,"44593B1ConvencionalResidencialResidencialNão se aplicaNão se aplicaNão se aplica",Mercado_Receita!$L$2:$L$2216)</f>
        <v>114550.61600000001</v>
      </c>
      <c r="P31" s="13">
        <f>SUMIF(Mercado_Receita!$S$2:$S$2216,"44621B1ConvencionalResidencialResidencialNão se aplicaNão se aplicaPonta",Mercado_Receita!$L$2:$L$2216)+SUMIF(Mercado_Receita!$S$2:$S$2216,"44621B1ConvencionalResidencialResidencialNão se aplicaNão se aplicaFora ponta",Mercado_Receita!$L$2:$L$2216)+SUMIF(Mercado_Receita!$S$2:$S$2216,"44621B1ConvencionalResidencialResidencialNão se aplicaNão se aplicaIntermediário",Mercado_Receita!$L$2:$L$2216)+SUMIF(Mercado_Receita!$S$2:$S$2216,"44621B1ConvencionalResidencialResidencialNão se aplicaNão se aplicaNão se aplica",Mercado_Receita!$L$2:$L$2216)</f>
        <v>128305.92300000001</v>
      </c>
      <c r="Q31" s="13">
        <f>SUMIF(Mercado_Receita!$S$2:$S$2216,"44652B1ConvencionalResidencialResidencialNão se aplicaNão se aplicaPonta",Mercado_Receita!$L$2:$L$2216)+SUMIF(Mercado_Receita!$S$2:$S$2216,"44652B1ConvencionalResidencialResidencialNão se aplicaNão se aplicaFora ponta",Mercado_Receita!$L$2:$L$2216)+SUMIF(Mercado_Receita!$S$2:$S$2216,"44652B1ConvencionalResidencialResidencialNão se aplicaNão se aplicaIntermediário",Mercado_Receita!$L$2:$L$2216)+SUMIF(Mercado_Receita!$S$2:$S$2216,"44652B1ConvencionalResidencialResidencialNão se aplicaNão se aplicaNão se aplica",Mercado_Receita!$L$2:$L$2216)</f>
        <v>118755.246</v>
      </c>
      <c r="R31" s="13">
        <f>SUMIF(Mercado_Receita!$S$2:$S$2216,"44682B1ConvencionalResidencialResidencialNão se aplicaNão se aplicaPonta",Mercado_Receita!$L$2:$L$2216)+SUMIF(Mercado_Receita!$S$2:$S$2216,"44682B1ConvencionalResidencialResidencialNão se aplicaNão se aplicaFora ponta",Mercado_Receita!$L$2:$L$2216)+SUMIF(Mercado_Receita!$S$2:$S$2216,"44682B1ConvencionalResidencialResidencialNão se aplicaNão se aplicaIntermediário",Mercado_Receita!$L$2:$L$2216)+SUMIF(Mercado_Receita!$S$2:$S$2216,"44682B1ConvencionalResidencialResidencialNão se aplicaNão se aplicaNão se aplica",Mercado_Receita!$L$2:$L$2216)</f>
        <v>120159.20699999999</v>
      </c>
      <c r="S31" s="13">
        <f>SUMIF(Mercado_Receita!$S$2:$S$2216,"44713B1ConvencionalResidencialResidencialNão se aplicaNão se aplicaPonta",Mercado_Receita!$L$2:$L$2216)+SUMIF(Mercado_Receita!$S$2:$S$2216,"44713B1ConvencionalResidencialResidencialNão se aplicaNão se aplicaFora ponta",Mercado_Receita!$L$2:$L$2216)+SUMIF(Mercado_Receita!$S$2:$S$2216,"44713B1ConvencionalResidencialResidencialNão se aplicaNão se aplicaIntermediário",Mercado_Receita!$L$2:$L$2216)+SUMIF(Mercado_Receita!$S$2:$S$2216,"44713B1ConvencionalResidencialResidencialNão se aplicaNão se aplicaNão se aplica",Mercado_Receita!$L$2:$L$2216)</f>
        <v>104523.31</v>
      </c>
      <c r="T31" s="13">
        <f>SUMIF(Mercado_Receita!$S$2:$S$2216,"44743B1ConvencionalResidencialResidencialNão se aplicaNão se aplicaPonta",Mercado_Receita!$L$2:$L$2216)+SUMIF(Mercado_Receita!$S$2:$S$2216,"44743B1ConvencionalResidencialResidencialNão se aplicaNão se aplicaFora ponta",Mercado_Receita!$L$2:$L$2216)+SUMIF(Mercado_Receita!$S$2:$S$2216,"44743B1ConvencionalResidencialResidencialNão se aplicaNão se aplicaIntermediário",Mercado_Receita!$L$2:$L$2216)+SUMIF(Mercado_Receita!$S$2:$S$2216,"44743B1ConvencionalResidencialResidencialNão se aplicaNão se aplicaNão se aplica",Mercado_Receita!$L$2:$L$2216)</f>
        <v>104523.31</v>
      </c>
      <c r="U31" s="13">
        <f t="shared" si="0"/>
        <v>1398369.1870000002</v>
      </c>
      <c r="V31" s="13"/>
      <c r="W31" s="13"/>
    </row>
    <row r="32" spans="1:23" ht="11.25" customHeight="1" x14ac:dyDescent="0.25">
      <c r="A32" s="83"/>
      <c r="B32" s="83"/>
      <c r="C32" s="83"/>
      <c r="D32" s="12" t="s">
        <v>29</v>
      </c>
      <c r="E32" s="12" t="s">
        <v>25</v>
      </c>
      <c r="F32" s="12" t="s">
        <v>25</v>
      </c>
      <c r="G32" s="13" t="s">
        <v>108</v>
      </c>
      <c r="H32" s="13" t="s">
        <v>102</v>
      </c>
      <c r="I32" s="13">
        <f>SUMIF(Mercado_Receita!$S$2:$S$2216,"44409B1ConvencionalResidencialResidencial baixa renda – faixa 01Não se aplicaNão se aplicaPonta",Mercado_Receita!$L$2:$L$2216)+SUMIF(Mercado_Receita!$S$2:$S$2216,"44409B1ConvencionalResidencialResidencial baixa renda – faixa 01Não se aplicaNão se aplicaFora ponta",Mercado_Receita!$L$2:$L$2216)+SUMIF(Mercado_Receita!$S$2:$S$2216,"44409B1ConvencionalResidencialResidencial baixa renda – faixa 01Não se aplicaNão se aplicaIntermediário",Mercado_Receita!$L$2:$L$2216)+SUMIF(Mercado_Receita!$S$2:$S$2216,"44409B1ConvencionalResidencialResidencial baixa renda – faixa 01Não se aplicaNão se aplicaNão se aplica",Mercado_Receita!$L$2:$L$2216)</f>
        <v>13064.905000000001</v>
      </c>
      <c r="J32" s="13">
        <f>SUMIF(Mercado_Receita!$S$2:$S$2216,"44440B1ConvencionalResidencialResidencial baixa renda – faixa 01Não se aplicaNão se aplicaPonta",Mercado_Receita!$L$2:$L$2216)+SUMIF(Mercado_Receita!$S$2:$S$2216,"44440B1ConvencionalResidencialResidencial baixa renda – faixa 01Não se aplicaNão se aplicaFora ponta",Mercado_Receita!$L$2:$L$2216)+SUMIF(Mercado_Receita!$S$2:$S$2216,"44440B1ConvencionalResidencialResidencial baixa renda – faixa 01Não se aplicaNão se aplicaIntermediário",Mercado_Receita!$L$2:$L$2216)+SUMIF(Mercado_Receita!$S$2:$S$2216,"44440B1ConvencionalResidencialResidencial baixa renda – faixa 01Não se aplicaNão se aplicaNão se aplica",Mercado_Receita!$L$2:$L$2216)</f>
        <v>12891.582999999999</v>
      </c>
      <c r="K32" s="13">
        <f>SUMIF(Mercado_Receita!$S$2:$S$2216,"44470B1ConvencionalResidencialResidencial baixa renda – faixa 01Não se aplicaNão se aplicaPonta",Mercado_Receita!$L$2:$L$2216)+SUMIF(Mercado_Receita!$S$2:$S$2216,"44470B1ConvencionalResidencialResidencial baixa renda – faixa 01Não se aplicaNão se aplicaFora ponta",Mercado_Receita!$L$2:$L$2216)+SUMIF(Mercado_Receita!$S$2:$S$2216,"44470B1ConvencionalResidencialResidencial baixa renda – faixa 01Não se aplicaNão se aplicaIntermediário",Mercado_Receita!$L$2:$L$2216)+SUMIF(Mercado_Receita!$S$2:$S$2216,"44470B1ConvencionalResidencialResidencial baixa renda – faixa 01Não se aplicaNão se aplicaNão se aplica",Mercado_Receita!$L$2:$L$2216)</f>
        <v>13052.093999999999</v>
      </c>
      <c r="L32" s="13">
        <f>SUMIF(Mercado_Receita!$S$2:$S$2216,"44501B1ConvencionalResidencialResidencial baixa renda – faixa 01Não se aplicaNão se aplicaPonta",Mercado_Receita!$L$2:$L$2216)+SUMIF(Mercado_Receita!$S$2:$S$2216,"44501B1ConvencionalResidencialResidencial baixa renda – faixa 01Não se aplicaNão se aplicaFora ponta",Mercado_Receita!$L$2:$L$2216)+SUMIF(Mercado_Receita!$S$2:$S$2216,"44501B1ConvencionalResidencialResidencial baixa renda – faixa 01Não se aplicaNão se aplicaIntermediário",Mercado_Receita!$L$2:$L$2216)+SUMIF(Mercado_Receita!$S$2:$S$2216,"44501B1ConvencionalResidencialResidencial baixa renda – faixa 01Não se aplicaNão se aplicaNão se aplica",Mercado_Receita!$L$2:$L$2216)</f>
        <v>13212.031999999999</v>
      </c>
      <c r="M32" s="13">
        <f>SUMIF(Mercado_Receita!$S$2:$S$2216,"44531B1ConvencionalResidencialResidencial baixa renda – faixa 01Não se aplicaNão se aplicaPonta",Mercado_Receita!$L$2:$L$2216)+SUMIF(Mercado_Receita!$S$2:$S$2216,"44531B1ConvencionalResidencialResidencial baixa renda – faixa 01Não se aplicaNão se aplicaFora ponta",Mercado_Receita!$L$2:$L$2216)+SUMIF(Mercado_Receita!$S$2:$S$2216,"44531B1ConvencionalResidencialResidencial baixa renda – faixa 01Não se aplicaNão se aplicaIntermediário",Mercado_Receita!$L$2:$L$2216)+SUMIF(Mercado_Receita!$S$2:$S$2216,"44531B1ConvencionalResidencialResidencial baixa renda – faixa 01Não se aplicaNão se aplicaNão se aplica",Mercado_Receita!$L$2:$L$2216)</f>
        <v>13152.904999999999</v>
      </c>
      <c r="N32" s="13">
        <f>SUMIF(Mercado_Receita!$S$2:$S$2216,"44562B1ConvencionalResidencialResidencial baixa renda – faixa 01Não se aplicaNão se aplicaPonta",Mercado_Receita!$L$2:$L$2216)+SUMIF(Mercado_Receita!$S$2:$S$2216,"44562B1ConvencionalResidencialResidencial baixa renda – faixa 01Não se aplicaNão se aplicaFora ponta",Mercado_Receita!$L$2:$L$2216)+SUMIF(Mercado_Receita!$S$2:$S$2216,"44562B1ConvencionalResidencialResidencial baixa renda – faixa 01Não se aplicaNão se aplicaIntermediário",Mercado_Receita!$L$2:$L$2216)+SUMIF(Mercado_Receita!$S$2:$S$2216,"44562B1ConvencionalResidencialResidencial baixa renda – faixa 01Não se aplicaNão se aplicaNão se aplica",Mercado_Receita!$L$2:$L$2216)</f>
        <v>13188.222000000002</v>
      </c>
      <c r="O32" s="13">
        <f>SUMIF(Mercado_Receita!$S$2:$S$2216,"44593B1ConvencionalResidencialResidencial baixa renda – faixa 01Não se aplicaNão se aplicaPonta",Mercado_Receita!$L$2:$L$2216)+SUMIF(Mercado_Receita!$S$2:$S$2216,"44593B1ConvencionalResidencialResidencial baixa renda – faixa 01Não se aplicaNão se aplicaFora ponta",Mercado_Receita!$L$2:$L$2216)+SUMIF(Mercado_Receita!$S$2:$S$2216,"44593B1ConvencionalResidencialResidencial baixa renda – faixa 01Não se aplicaNão se aplicaIntermediário",Mercado_Receita!$L$2:$L$2216)+SUMIF(Mercado_Receita!$S$2:$S$2216,"44593B1ConvencionalResidencialResidencial baixa renda – faixa 01Não se aplicaNão se aplicaNão se aplica",Mercado_Receita!$L$2:$L$2216)</f>
        <v>13461.413</v>
      </c>
      <c r="P32" s="13">
        <f>SUMIF(Mercado_Receita!$S$2:$S$2216,"44621B1ConvencionalResidencialResidencial baixa renda – faixa 01Não se aplicaNão se aplicaPonta",Mercado_Receita!$L$2:$L$2216)+SUMIF(Mercado_Receita!$S$2:$S$2216,"44621B1ConvencionalResidencialResidencial baixa renda – faixa 01Não se aplicaNão se aplicaFora ponta",Mercado_Receita!$L$2:$L$2216)+SUMIF(Mercado_Receita!$S$2:$S$2216,"44621B1ConvencionalResidencialResidencial baixa renda – faixa 01Não se aplicaNão se aplicaIntermediário",Mercado_Receita!$L$2:$L$2216)+SUMIF(Mercado_Receita!$S$2:$S$2216,"44621B1ConvencionalResidencialResidencial baixa renda – faixa 01Não se aplicaNão se aplicaNão se aplica",Mercado_Receita!$L$2:$L$2216)</f>
        <v>13703.302999999998</v>
      </c>
      <c r="Q32" s="13">
        <f>SUMIF(Mercado_Receita!$S$2:$S$2216,"44652B1ConvencionalResidencialResidencial baixa renda – faixa 01Não se aplicaNão se aplicaPonta",Mercado_Receita!$L$2:$L$2216)+SUMIF(Mercado_Receita!$S$2:$S$2216,"44652B1ConvencionalResidencialResidencial baixa renda – faixa 01Não se aplicaNão se aplicaFora ponta",Mercado_Receita!$L$2:$L$2216)+SUMIF(Mercado_Receita!$S$2:$S$2216,"44652B1ConvencionalResidencialResidencial baixa renda – faixa 01Não se aplicaNão se aplicaIntermediário",Mercado_Receita!$L$2:$L$2216)+SUMIF(Mercado_Receita!$S$2:$S$2216,"44652B1ConvencionalResidencialResidencial baixa renda – faixa 01Não se aplicaNão se aplicaNão se aplica",Mercado_Receita!$L$2:$L$2216)</f>
        <v>13857.252</v>
      </c>
      <c r="R32" s="13">
        <f>SUMIF(Mercado_Receita!$S$2:$S$2216,"44682B1ConvencionalResidencialResidencial baixa renda – faixa 01Não se aplicaNão se aplicaPonta",Mercado_Receita!$L$2:$L$2216)+SUMIF(Mercado_Receita!$S$2:$S$2216,"44682B1ConvencionalResidencialResidencial baixa renda – faixa 01Não se aplicaNão se aplicaFora ponta",Mercado_Receita!$L$2:$L$2216)+SUMIF(Mercado_Receita!$S$2:$S$2216,"44682B1ConvencionalResidencialResidencial baixa renda – faixa 01Não se aplicaNão se aplicaIntermediário",Mercado_Receita!$L$2:$L$2216)+SUMIF(Mercado_Receita!$S$2:$S$2216,"44682B1ConvencionalResidencialResidencial baixa renda – faixa 01Não se aplicaNão se aplicaNão se aplica",Mercado_Receita!$L$2:$L$2216)</f>
        <v>13735.183999999999</v>
      </c>
      <c r="S32" s="13">
        <f>SUMIF(Mercado_Receita!$S$2:$S$2216,"44713B1ConvencionalResidencialResidencial baixa renda – faixa 01Não se aplicaNão se aplicaPonta",Mercado_Receita!$L$2:$L$2216)+SUMIF(Mercado_Receita!$S$2:$S$2216,"44713B1ConvencionalResidencialResidencial baixa renda – faixa 01Não se aplicaNão se aplicaFora ponta",Mercado_Receita!$L$2:$L$2216)+SUMIF(Mercado_Receita!$S$2:$S$2216,"44713B1ConvencionalResidencialResidencial baixa renda – faixa 01Não se aplicaNão se aplicaIntermediário",Mercado_Receita!$L$2:$L$2216)+SUMIF(Mercado_Receita!$S$2:$S$2216,"44713B1ConvencionalResidencialResidencial baixa renda – faixa 01Não se aplicaNão se aplicaNão se aplica",Mercado_Receita!$L$2:$L$2216)</f>
        <v>13870.913</v>
      </c>
      <c r="T32" s="13">
        <f>SUMIF(Mercado_Receita!$S$2:$S$2216,"44743B1ConvencionalResidencialResidencial baixa renda – faixa 01Não se aplicaNão se aplicaPonta",Mercado_Receita!$L$2:$L$2216)+SUMIF(Mercado_Receita!$S$2:$S$2216,"44743B1ConvencionalResidencialResidencial baixa renda – faixa 01Não se aplicaNão se aplicaFora ponta",Mercado_Receita!$L$2:$L$2216)+SUMIF(Mercado_Receita!$S$2:$S$2216,"44743B1ConvencionalResidencialResidencial baixa renda – faixa 01Não se aplicaNão se aplicaIntermediário",Mercado_Receita!$L$2:$L$2216)+SUMIF(Mercado_Receita!$S$2:$S$2216,"44743B1ConvencionalResidencialResidencial baixa renda – faixa 01Não se aplicaNão se aplicaNão se aplica",Mercado_Receita!$L$2:$L$2216)</f>
        <v>13870.913</v>
      </c>
      <c r="U32" s="13">
        <f t="shared" si="0"/>
        <v>161060.71900000001</v>
      </c>
      <c r="V32" s="13"/>
      <c r="W32" s="13"/>
    </row>
    <row r="33" spans="1:23" ht="11.25" customHeight="1" x14ac:dyDescent="0.25">
      <c r="A33" s="83"/>
      <c r="B33" s="83"/>
      <c r="C33" s="83"/>
      <c r="D33" s="12" t="s">
        <v>30</v>
      </c>
      <c r="E33" s="12" t="s">
        <v>25</v>
      </c>
      <c r="F33" s="12" t="s">
        <v>25</v>
      </c>
      <c r="G33" s="13" t="s">
        <v>108</v>
      </c>
      <c r="H33" s="13" t="s">
        <v>102</v>
      </c>
      <c r="I33" s="13">
        <f>SUMIF(Mercado_Receita!$S$2:$S$2216,"44409B1ConvencionalResidencialResidencial baixa renda – faixa 02Não se aplicaNão se aplicaPonta",Mercado_Receita!$L$2:$L$2216)+SUMIF(Mercado_Receita!$S$2:$S$2216,"44409B1ConvencionalResidencialResidencial baixa renda – faixa 02Não se aplicaNão se aplicaFora ponta",Mercado_Receita!$L$2:$L$2216)+SUMIF(Mercado_Receita!$S$2:$S$2216,"44409B1ConvencionalResidencialResidencial baixa renda – faixa 02Não se aplicaNão se aplicaIntermediário",Mercado_Receita!$L$2:$L$2216)+SUMIF(Mercado_Receita!$S$2:$S$2216,"44409B1ConvencionalResidencialResidencial baixa renda – faixa 02Não se aplicaNão se aplicaNão se aplica",Mercado_Receita!$L$2:$L$2216)</f>
        <v>21078.631000000001</v>
      </c>
      <c r="J33" s="13">
        <f>SUMIF(Mercado_Receita!$S$2:$S$2216,"44440B1ConvencionalResidencialResidencial baixa renda – faixa 02Não se aplicaNão se aplicaPonta",Mercado_Receita!$L$2:$L$2216)+SUMIF(Mercado_Receita!$S$2:$S$2216,"44440B1ConvencionalResidencialResidencial baixa renda – faixa 02Não se aplicaNão se aplicaFora ponta",Mercado_Receita!$L$2:$L$2216)+SUMIF(Mercado_Receita!$S$2:$S$2216,"44440B1ConvencionalResidencialResidencial baixa renda – faixa 02Não se aplicaNão se aplicaIntermediário",Mercado_Receita!$L$2:$L$2216)+SUMIF(Mercado_Receita!$S$2:$S$2216,"44440B1ConvencionalResidencialResidencial baixa renda – faixa 02Não se aplicaNão se aplicaNão se aplica",Mercado_Receita!$L$2:$L$2216)</f>
        <v>20737.177</v>
      </c>
      <c r="K33" s="13">
        <f>SUMIF(Mercado_Receita!$S$2:$S$2216,"44470B1ConvencionalResidencialResidencial baixa renda – faixa 02Não se aplicaNão se aplicaPonta",Mercado_Receita!$L$2:$L$2216)+SUMIF(Mercado_Receita!$S$2:$S$2216,"44470B1ConvencionalResidencialResidencial baixa renda – faixa 02Não se aplicaNão se aplicaFora ponta",Mercado_Receita!$L$2:$L$2216)+SUMIF(Mercado_Receita!$S$2:$S$2216,"44470B1ConvencionalResidencialResidencial baixa renda – faixa 02Não se aplicaNão se aplicaIntermediário",Mercado_Receita!$L$2:$L$2216)+SUMIF(Mercado_Receita!$S$2:$S$2216,"44470B1ConvencionalResidencialResidencial baixa renda – faixa 02Não se aplicaNão se aplicaNão se aplica",Mercado_Receita!$L$2:$L$2216)</f>
        <v>21797.614000000001</v>
      </c>
      <c r="L33" s="13">
        <f>SUMIF(Mercado_Receita!$S$2:$S$2216,"44501B1ConvencionalResidencialResidencial baixa renda – faixa 02Não se aplicaNão se aplicaPonta",Mercado_Receita!$L$2:$L$2216)+SUMIF(Mercado_Receita!$S$2:$S$2216,"44501B1ConvencionalResidencialResidencial baixa renda – faixa 02Não se aplicaNão se aplicaFora ponta",Mercado_Receita!$L$2:$L$2216)+SUMIF(Mercado_Receita!$S$2:$S$2216,"44501B1ConvencionalResidencialResidencial baixa renda – faixa 02Não se aplicaNão se aplicaIntermediário",Mercado_Receita!$L$2:$L$2216)+SUMIF(Mercado_Receita!$S$2:$S$2216,"44501B1ConvencionalResidencialResidencial baixa renda – faixa 02Não se aplicaNão se aplicaNão se aplica",Mercado_Receita!$L$2:$L$2216)</f>
        <v>22174.645</v>
      </c>
      <c r="M33" s="13">
        <f>SUMIF(Mercado_Receita!$S$2:$S$2216,"44531B1ConvencionalResidencialResidencial baixa renda – faixa 02Não se aplicaNão se aplicaPonta",Mercado_Receita!$L$2:$L$2216)+SUMIF(Mercado_Receita!$S$2:$S$2216,"44531B1ConvencionalResidencialResidencial baixa renda – faixa 02Não se aplicaNão se aplicaFora ponta",Mercado_Receita!$L$2:$L$2216)+SUMIF(Mercado_Receita!$S$2:$S$2216,"44531B1ConvencionalResidencialResidencial baixa renda – faixa 02Não se aplicaNão se aplicaIntermediário",Mercado_Receita!$L$2:$L$2216)+SUMIF(Mercado_Receita!$S$2:$S$2216,"44531B1ConvencionalResidencialResidencial baixa renda – faixa 02Não se aplicaNão se aplicaNão se aplica",Mercado_Receita!$L$2:$L$2216)</f>
        <v>23260.976000000002</v>
      </c>
      <c r="N33" s="13">
        <f>SUMIF(Mercado_Receita!$S$2:$S$2216,"44562B1ConvencionalResidencialResidencial baixa renda – faixa 02Não se aplicaNão se aplicaPonta",Mercado_Receita!$L$2:$L$2216)+SUMIF(Mercado_Receita!$S$2:$S$2216,"44562B1ConvencionalResidencialResidencial baixa renda – faixa 02Não se aplicaNão se aplicaFora ponta",Mercado_Receita!$L$2:$L$2216)+SUMIF(Mercado_Receita!$S$2:$S$2216,"44562B1ConvencionalResidencialResidencial baixa renda – faixa 02Não se aplicaNão se aplicaIntermediário",Mercado_Receita!$L$2:$L$2216)+SUMIF(Mercado_Receita!$S$2:$S$2216,"44562B1ConvencionalResidencialResidencial baixa renda – faixa 02Não se aplicaNão se aplicaNão se aplica",Mercado_Receita!$L$2:$L$2216)</f>
        <v>22522.057000000001</v>
      </c>
      <c r="O33" s="13">
        <f>SUMIF(Mercado_Receita!$S$2:$S$2216,"44593B1ConvencionalResidencialResidencial baixa renda – faixa 02Não se aplicaNão se aplicaPonta",Mercado_Receita!$L$2:$L$2216)+SUMIF(Mercado_Receita!$S$2:$S$2216,"44593B1ConvencionalResidencialResidencial baixa renda – faixa 02Não se aplicaNão se aplicaFora ponta",Mercado_Receita!$L$2:$L$2216)+SUMIF(Mercado_Receita!$S$2:$S$2216,"44593B1ConvencionalResidencialResidencial baixa renda – faixa 02Não se aplicaNão se aplicaIntermediário",Mercado_Receita!$L$2:$L$2216)+SUMIF(Mercado_Receita!$S$2:$S$2216,"44593B1ConvencionalResidencialResidencial baixa renda – faixa 02Não se aplicaNão se aplicaNão se aplica",Mercado_Receita!$L$2:$L$2216)</f>
        <v>22002.746000000003</v>
      </c>
      <c r="P33" s="13">
        <f>SUMIF(Mercado_Receita!$S$2:$S$2216,"44621B1ConvencionalResidencialResidencial baixa renda – faixa 02Não se aplicaNão se aplicaPonta",Mercado_Receita!$L$2:$L$2216)+SUMIF(Mercado_Receita!$S$2:$S$2216,"44621B1ConvencionalResidencialResidencial baixa renda – faixa 02Não se aplicaNão se aplicaFora ponta",Mercado_Receita!$L$2:$L$2216)+SUMIF(Mercado_Receita!$S$2:$S$2216,"44621B1ConvencionalResidencialResidencial baixa renda – faixa 02Não se aplicaNão se aplicaIntermediário",Mercado_Receita!$L$2:$L$2216)+SUMIF(Mercado_Receita!$S$2:$S$2216,"44621B1ConvencionalResidencialResidencial baixa renda – faixa 02Não se aplicaNão se aplicaNão se aplica",Mercado_Receita!$L$2:$L$2216)</f>
        <v>24024.74</v>
      </c>
      <c r="Q33" s="13">
        <f>SUMIF(Mercado_Receita!$S$2:$S$2216,"44652B1ConvencionalResidencialResidencial baixa renda – faixa 02Não se aplicaNão se aplicaPonta",Mercado_Receita!$L$2:$L$2216)+SUMIF(Mercado_Receita!$S$2:$S$2216,"44652B1ConvencionalResidencialResidencial baixa renda – faixa 02Não se aplicaNão se aplicaFora ponta",Mercado_Receita!$L$2:$L$2216)+SUMIF(Mercado_Receita!$S$2:$S$2216,"44652B1ConvencionalResidencialResidencial baixa renda – faixa 02Não se aplicaNão se aplicaIntermediário",Mercado_Receita!$L$2:$L$2216)+SUMIF(Mercado_Receita!$S$2:$S$2216,"44652B1ConvencionalResidencialResidencial baixa renda – faixa 02Não se aplicaNão se aplicaNão se aplica",Mercado_Receita!$L$2:$L$2216)</f>
        <v>23337.278999999999</v>
      </c>
      <c r="R33" s="13">
        <f>SUMIF(Mercado_Receita!$S$2:$S$2216,"44682B1ConvencionalResidencialResidencial baixa renda – faixa 02Não se aplicaNão se aplicaPonta",Mercado_Receita!$L$2:$L$2216)+SUMIF(Mercado_Receita!$S$2:$S$2216,"44682B1ConvencionalResidencialResidencial baixa renda – faixa 02Não se aplicaNão se aplicaFora ponta",Mercado_Receita!$L$2:$L$2216)+SUMIF(Mercado_Receita!$S$2:$S$2216,"44682B1ConvencionalResidencialResidencial baixa renda – faixa 02Não se aplicaNão se aplicaIntermediário",Mercado_Receita!$L$2:$L$2216)+SUMIF(Mercado_Receita!$S$2:$S$2216,"44682B1ConvencionalResidencialResidencial baixa renda – faixa 02Não se aplicaNão se aplicaNão se aplica",Mercado_Receita!$L$2:$L$2216)</f>
        <v>23261.811000000002</v>
      </c>
      <c r="S33" s="13">
        <f>SUMIF(Mercado_Receita!$S$2:$S$2216,"44713B1ConvencionalResidencialResidencial baixa renda – faixa 02Não se aplicaNão se aplicaPonta",Mercado_Receita!$L$2:$L$2216)+SUMIF(Mercado_Receita!$S$2:$S$2216,"44713B1ConvencionalResidencialResidencial baixa renda – faixa 02Não se aplicaNão se aplicaFora ponta",Mercado_Receita!$L$2:$L$2216)+SUMIF(Mercado_Receita!$S$2:$S$2216,"44713B1ConvencionalResidencialResidencial baixa renda – faixa 02Não se aplicaNão se aplicaIntermediário",Mercado_Receita!$L$2:$L$2216)+SUMIF(Mercado_Receita!$S$2:$S$2216,"44713B1ConvencionalResidencialResidencial baixa renda – faixa 02Não se aplicaNão se aplicaNão se aplica",Mercado_Receita!$L$2:$L$2216)</f>
        <v>21475.076000000001</v>
      </c>
      <c r="T33" s="13">
        <f>SUMIF(Mercado_Receita!$S$2:$S$2216,"44743B1ConvencionalResidencialResidencial baixa renda – faixa 02Não se aplicaNão se aplicaPonta",Mercado_Receita!$L$2:$L$2216)+SUMIF(Mercado_Receita!$S$2:$S$2216,"44743B1ConvencionalResidencialResidencial baixa renda – faixa 02Não se aplicaNão se aplicaFora ponta",Mercado_Receita!$L$2:$L$2216)+SUMIF(Mercado_Receita!$S$2:$S$2216,"44743B1ConvencionalResidencialResidencial baixa renda – faixa 02Não se aplicaNão se aplicaIntermediário",Mercado_Receita!$L$2:$L$2216)+SUMIF(Mercado_Receita!$S$2:$S$2216,"44743B1ConvencionalResidencialResidencial baixa renda – faixa 02Não se aplicaNão se aplicaNão se aplica",Mercado_Receita!$L$2:$L$2216)</f>
        <v>21475.076000000001</v>
      </c>
      <c r="U33" s="13">
        <f t="shared" si="0"/>
        <v>267147.82800000004</v>
      </c>
      <c r="V33" s="13"/>
      <c r="W33" s="13"/>
    </row>
    <row r="34" spans="1:23" ht="11.25" customHeight="1" x14ac:dyDescent="0.25">
      <c r="A34" s="83"/>
      <c r="B34" s="83"/>
      <c r="C34" s="83"/>
      <c r="D34" s="12" t="s">
        <v>31</v>
      </c>
      <c r="E34" s="12" t="s">
        <v>25</v>
      </c>
      <c r="F34" s="12" t="s">
        <v>25</v>
      </c>
      <c r="G34" s="13" t="s">
        <v>108</v>
      </c>
      <c r="H34" s="13" t="s">
        <v>102</v>
      </c>
      <c r="I34" s="13">
        <f>SUMIF(Mercado_Receita!$S$2:$S$2216,"44409B1ConvencionalResidencialResidencial baixa renda – faixa 03Não se aplicaNão se aplicaPonta",Mercado_Receita!$L$2:$L$2216)+SUMIF(Mercado_Receita!$S$2:$S$2216,"44409B1ConvencionalResidencialResidencial baixa renda – faixa 03Não se aplicaNão se aplicaFora ponta",Mercado_Receita!$L$2:$L$2216)+SUMIF(Mercado_Receita!$S$2:$S$2216,"44409B1ConvencionalResidencialResidencial baixa renda – faixa 03Não se aplicaNão se aplicaIntermediário",Mercado_Receita!$L$2:$L$2216)+SUMIF(Mercado_Receita!$S$2:$S$2216,"44409B1ConvencionalResidencialResidencial baixa renda – faixa 03Não se aplicaNão se aplicaNão se aplica",Mercado_Receita!$L$2:$L$2216)</f>
        <v>10367.472999999998</v>
      </c>
      <c r="J34" s="13">
        <f>SUMIF(Mercado_Receita!$S$2:$S$2216,"44440B1ConvencionalResidencialResidencial baixa renda – faixa 03Não se aplicaNão se aplicaPonta",Mercado_Receita!$L$2:$L$2216)+SUMIF(Mercado_Receita!$S$2:$S$2216,"44440B1ConvencionalResidencialResidencial baixa renda – faixa 03Não se aplicaNão se aplicaFora ponta",Mercado_Receita!$L$2:$L$2216)+SUMIF(Mercado_Receita!$S$2:$S$2216,"44440B1ConvencionalResidencialResidencial baixa renda – faixa 03Não se aplicaNão se aplicaIntermediário",Mercado_Receita!$L$2:$L$2216)+SUMIF(Mercado_Receita!$S$2:$S$2216,"44440B1ConvencionalResidencialResidencial baixa renda – faixa 03Não se aplicaNão se aplicaNão se aplica",Mercado_Receita!$L$2:$L$2216)</f>
        <v>10105.021000000001</v>
      </c>
      <c r="K34" s="13">
        <f>SUMIF(Mercado_Receita!$S$2:$S$2216,"44470B1ConvencionalResidencialResidencial baixa renda – faixa 03Não se aplicaNão se aplicaPonta",Mercado_Receita!$L$2:$L$2216)+SUMIF(Mercado_Receita!$S$2:$S$2216,"44470B1ConvencionalResidencialResidencial baixa renda – faixa 03Não se aplicaNão se aplicaFora ponta",Mercado_Receita!$L$2:$L$2216)+SUMIF(Mercado_Receita!$S$2:$S$2216,"44470B1ConvencionalResidencialResidencial baixa renda – faixa 03Não se aplicaNão se aplicaIntermediário",Mercado_Receita!$L$2:$L$2216)+SUMIF(Mercado_Receita!$S$2:$S$2216,"44470B1ConvencionalResidencialResidencial baixa renda – faixa 03Não se aplicaNão se aplicaNão se aplica",Mercado_Receita!$L$2:$L$2216)</f>
        <v>11569.237999999999</v>
      </c>
      <c r="L34" s="13">
        <f>SUMIF(Mercado_Receita!$S$2:$S$2216,"44501B1ConvencionalResidencialResidencial baixa renda – faixa 03Não se aplicaNão se aplicaPonta",Mercado_Receita!$L$2:$L$2216)+SUMIF(Mercado_Receita!$S$2:$S$2216,"44501B1ConvencionalResidencialResidencial baixa renda – faixa 03Não se aplicaNão se aplicaFora ponta",Mercado_Receita!$L$2:$L$2216)+SUMIF(Mercado_Receita!$S$2:$S$2216,"44501B1ConvencionalResidencialResidencial baixa renda – faixa 03Não se aplicaNão se aplicaIntermediário",Mercado_Receita!$L$2:$L$2216)+SUMIF(Mercado_Receita!$S$2:$S$2216,"44501B1ConvencionalResidencialResidencial baixa renda – faixa 03Não se aplicaNão se aplicaNão se aplica",Mercado_Receita!$L$2:$L$2216)</f>
        <v>11678.989000000001</v>
      </c>
      <c r="M34" s="13">
        <f>SUMIF(Mercado_Receita!$S$2:$S$2216,"44531B1ConvencionalResidencialResidencial baixa renda – faixa 03Não se aplicaNão se aplicaPonta",Mercado_Receita!$L$2:$L$2216)+SUMIF(Mercado_Receita!$S$2:$S$2216,"44531B1ConvencionalResidencialResidencial baixa renda – faixa 03Não se aplicaNão se aplicaFora ponta",Mercado_Receita!$L$2:$L$2216)+SUMIF(Mercado_Receita!$S$2:$S$2216,"44531B1ConvencionalResidencialResidencial baixa renda – faixa 03Não se aplicaNão se aplicaIntermediário",Mercado_Receita!$L$2:$L$2216)+SUMIF(Mercado_Receita!$S$2:$S$2216,"44531B1ConvencionalResidencialResidencial baixa renda – faixa 03Não se aplicaNão se aplicaNão se aplica",Mercado_Receita!$L$2:$L$2216)</f>
        <v>14367.224</v>
      </c>
      <c r="N34" s="13">
        <f>SUMIF(Mercado_Receita!$S$2:$S$2216,"44562B1ConvencionalResidencialResidencial baixa renda – faixa 03Não se aplicaNão se aplicaPonta",Mercado_Receita!$L$2:$L$2216)+SUMIF(Mercado_Receita!$S$2:$S$2216,"44562B1ConvencionalResidencialResidencial baixa renda – faixa 03Não se aplicaNão se aplicaFora ponta",Mercado_Receita!$L$2:$L$2216)+SUMIF(Mercado_Receita!$S$2:$S$2216,"44562B1ConvencionalResidencialResidencial baixa renda – faixa 03Não se aplicaNão se aplicaIntermediário",Mercado_Receita!$L$2:$L$2216)+SUMIF(Mercado_Receita!$S$2:$S$2216,"44562B1ConvencionalResidencialResidencial baixa renda – faixa 03Não se aplicaNão se aplicaNão se aplica",Mercado_Receita!$L$2:$L$2216)</f>
        <v>12737.123000000001</v>
      </c>
      <c r="O34" s="13">
        <f>SUMIF(Mercado_Receita!$S$2:$S$2216,"44593B1ConvencionalResidencialResidencial baixa renda – faixa 03Não se aplicaNão se aplicaPonta",Mercado_Receita!$L$2:$L$2216)+SUMIF(Mercado_Receita!$S$2:$S$2216,"44593B1ConvencionalResidencialResidencial baixa renda – faixa 03Não se aplicaNão se aplicaFora ponta",Mercado_Receita!$L$2:$L$2216)+SUMIF(Mercado_Receita!$S$2:$S$2216,"44593B1ConvencionalResidencialResidencial baixa renda – faixa 03Não se aplicaNão se aplicaIntermediário",Mercado_Receita!$L$2:$L$2216)+SUMIF(Mercado_Receita!$S$2:$S$2216,"44593B1ConvencionalResidencialResidencial baixa renda – faixa 03Não se aplicaNão se aplicaNão se aplica",Mercado_Receita!$L$2:$L$2216)</f>
        <v>11113.287</v>
      </c>
      <c r="P34" s="13">
        <f>SUMIF(Mercado_Receita!$S$2:$S$2216,"44621B1ConvencionalResidencialResidencial baixa renda – faixa 03Não se aplicaNão se aplicaPonta",Mercado_Receita!$L$2:$L$2216)+SUMIF(Mercado_Receita!$S$2:$S$2216,"44621B1ConvencionalResidencialResidencial baixa renda – faixa 03Não se aplicaNão se aplicaFora ponta",Mercado_Receita!$L$2:$L$2216)+SUMIF(Mercado_Receita!$S$2:$S$2216,"44621B1ConvencionalResidencialResidencial baixa renda – faixa 03Não se aplicaNão se aplicaIntermediário",Mercado_Receita!$L$2:$L$2216)+SUMIF(Mercado_Receita!$S$2:$S$2216,"44621B1ConvencionalResidencialResidencial baixa renda – faixa 03Não se aplicaNão se aplicaNão se aplica",Mercado_Receita!$L$2:$L$2216)</f>
        <v>14651.717000000001</v>
      </c>
      <c r="Q34" s="13">
        <f>SUMIF(Mercado_Receita!$S$2:$S$2216,"44652B1ConvencionalResidencialResidencial baixa renda – faixa 03Não se aplicaNão se aplicaPonta",Mercado_Receita!$L$2:$L$2216)+SUMIF(Mercado_Receita!$S$2:$S$2216,"44652B1ConvencionalResidencialResidencial baixa renda – faixa 03Não se aplicaNão se aplicaFora ponta",Mercado_Receita!$L$2:$L$2216)+SUMIF(Mercado_Receita!$S$2:$S$2216,"44652B1ConvencionalResidencialResidencial baixa renda – faixa 03Não se aplicaNão se aplicaIntermediário",Mercado_Receita!$L$2:$L$2216)+SUMIF(Mercado_Receita!$S$2:$S$2216,"44652B1ConvencionalResidencialResidencial baixa renda – faixa 03Não se aplicaNão se aplicaNão se aplica",Mercado_Receita!$L$2:$L$2216)</f>
        <v>12766.329</v>
      </c>
      <c r="R34" s="13">
        <f>SUMIF(Mercado_Receita!$S$2:$S$2216,"44682B1ConvencionalResidencialResidencial baixa renda – faixa 03Não se aplicaNão se aplicaPonta",Mercado_Receita!$L$2:$L$2216)+SUMIF(Mercado_Receita!$S$2:$S$2216,"44682B1ConvencionalResidencialResidencial baixa renda – faixa 03Não se aplicaNão se aplicaFora ponta",Mercado_Receita!$L$2:$L$2216)+SUMIF(Mercado_Receita!$S$2:$S$2216,"44682B1ConvencionalResidencialResidencial baixa renda – faixa 03Não se aplicaNão se aplicaIntermediário",Mercado_Receita!$L$2:$L$2216)+SUMIF(Mercado_Receita!$S$2:$S$2216,"44682B1ConvencionalResidencialResidencial baixa renda – faixa 03Não se aplicaNão se aplicaNão se aplica",Mercado_Receita!$L$2:$L$2216)</f>
        <v>12769.902</v>
      </c>
      <c r="S34" s="13">
        <f>SUMIF(Mercado_Receita!$S$2:$S$2216,"44713B1ConvencionalResidencialResidencial baixa renda – faixa 03Não se aplicaNão se aplicaPonta",Mercado_Receita!$L$2:$L$2216)+SUMIF(Mercado_Receita!$S$2:$S$2216,"44713B1ConvencionalResidencialResidencial baixa renda – faixa 03Não se aplicaNão se aplicaFora ponta",Mercado_Receita!$L$2:$L$2216)+SUMIF(Mercado_Receita!$S$2:$S$2216,"44713B1ConvencionalResidencialResidencial baixa renda – faixa 03Não se aplicaNão se aplicaIntermediário",Mercado_Receita!$L$2:$L$2216)+SUMIF(Mercado_Receita!$S$2:$S$2216,"44713B1ConvencionalResidencialResidencial baixa renda – faixa 03Não se aplicaNão se aplicaNão se aplica",Mercado_Receita!$L$2:$L$2216)</f>
        <v>9330.3279999999995</v>
      </c>
      <c r="T34" s="13">
        <f>SUMIF(Mercado_Receita!$S$2:$S$2216,"44743B1ConvencionalResidencialResidencial baixa renda – faixa 03Não se aplicaNão se aplicaPonta",Mercado_Receita!$L$2:$L$2216)+SUMIF(Mercado_Receita!$S$2:$S$2216,"44743B1ConvencionalResidencialResidencial baixa renda – faixa 03Não se aplicaNão se aplicaFora ponta",Mercado_Receita!$L$2:$L$2216)+SUMIF(Mercado_Receita!$S$2:$S$2216,"44743B1ConvencionalResidencialResidencial baixa renda – faixa 03Não se aplicaNão se aplicaIntermediário",Mercado_Receita!$L$2:$L$2216)+SUMIF(Mercado_Receita!$S$2:$S$2216,"44743B1ConvencionalResidencialResidencial baixa renda – faixa 03Não se aplicaNão se aplicaNão se aplica",Mercado_Receita!$L$2:$L$2216)</f>
        <v>9330.3279999999995</v>
      </c>
      <c r="U34" s="13">
        <f t="shared" ref="U34:U62" si="1">SUM(I34:T34)</f>
        <v>140786.959</v>
      </c>
      <c r="V34" s="13"/>
      <c r="W34" s="13"/>
    </row>
    <row r="35" spans="1:23" ht="11.25" customHeight="1" x14ac:dyDescent="0.25">
      <c r="A35" s="83"/>
      <c r="B35" s="83"/>
      <c r="C35" s="83"/>
      <c r="D35" s="12" t="s">
        <v>32</v>
      </c>
      <c r="E35" s="12" t="s">
        <v>25</v>
      </c>
      <c r="F35" s="12" t="s">
        <v>25</v>
      </c>
      <c r="G35" s="13" t="s">
        <v>108</v>
      </c>
      <c r="H35" s="13" t="s">
        <v>102</v>
      </c>
      <c r="I35" s="13">
        <f>SUMIF(Mercado_Receita!$S$2:$S$2216,"44409B1ConvencionalResidencialResidencial baixa renda – faixa 04Não se aplicaNão se aplicaPonta",Mercado_Receita!$L$2:$L$2216)+SUMIF(Mercado_Receita!$S$2:$S$2216,"44409B1ConvencionalResidencialResidencial baixa renda – faixa 04Não se aplicaNão se aplicaFora ponta",Mercado_Receita!$L$2:$L$2216)+SUMIF(Mercado_Receita!$S$2:$S$2216,"44409B1ConvencionalResidencialResidencial baixa renda – faixa 04Não se aplicaNão se aplicaIntermediário",Mercado_Receita!$L$2:$L$2216)+SUMIF(Mercado_Receita!$S$2:$S$2216,"44409B1ConvencionalResidencialResidencial baixa renda – faixa 04Não se aplicaNão se aplicaNão se aplica",Mercado_Receita!$L$2:$L$2216)</f>
        <v>2571.8450000000003</v>
      </c>
      <c r="J35" s="13">
        <f>SUMIF(Mercado_Receita!$S$2:$S$2216,"44440B1ConvencionalResidencialResidencial baixa renda – faixa 04Não se aplicaNão se aplicaPonta",Mercado_Receita!$L$2:$L$2216)+SUMIF(Mercado_Receita!$S$2:$S$2216,"44440B1ConvencionalResidencialResidencial baixa renda – faixa 04Não se aplicaNão se aplicaFora ponta",Mercado_Receita!$L$2:$L$2216)+SUMIF(Mercado_Receita!$S$2:$S$2216,"44440B1ConvencionalResidencialResidencial baixa renda – faixa 04Não se aplicaNão se aplicaIntermediário",Mercado_Receita!$L$2:$L$2216)+SUMIF(Mercado_Receita!$S$2:$S$2216,"44440B1ConvencionalResidencialResidencial baixa renda – faixa 04Não se aplicaNão se aplicaNão se aplica",Mercado_Receita!$L$2:$L$2216)</f>
        <v>2607.136</v>
      </c>
      <c r="K35" s="13">
        <f>SUMIF(Mercado_Receita!$S$2:$S$2216,"44470B1ConvencionalResidencialResidencial baixa renda – faixa 04Não se aplicaNão se aplicaPonta",Mercado_Receita!$L$2:$L$2216)+SUMIF(Mercado_Receita!$S$2:$S$2216,"44470B1ConvencionalResidencialResidencial baixa renda – faixa 04Não se aplicaNão se aplicaFora ponta",Mercado_Receita!$L$2:$L$2216)+SUMIF(Mercado_Receita!$S$2:$S$2216,"44470B1ConvencionalResidencialResidencial baixa renda – faixa 04Não se aplicaNão se aplicaIntermediário",Mercado_Receita!$L$2:$L$2216)+SUMIF(Mercado_Receita!$S$2:$S$2216,"44470B1ConvencionalResidencialResidencial baixa renda – faixa 04Não se aplicaNão se aplicaNão se aplica",Mercado_Receita!$L$2:$L$2216)</f>
        <v>3342.4160000000002</v>
      </c>
      <c r="L35" s="13">
        <f>SUMIF(Mercado_Receita!$S$2:$S$2216,"44501B1ConvencionalResidencialResidencial baixa renda – faixa 04Não se aplicaNão se aplicaPonta",Mercado_Receita!$L$2:$L$2216)+SUMIF(Mercado_Receita!$S$2:$S$2216,"44501B1ConvencionalResidencialResidencial baixa renda – faixa 04Não se aplicaNão se aplicaFora ponta",Mercado_Receita!$L$2:$L$2216)+SUMIF(Mercado_Receita!$S$2:$S$2216,"44501B1ConvencionalResidencialResidencial baixa renda – faixa 04Não se aplicaNão se aplicaIntermediário",Mercado_Receita!$L$2:$L$2216)+SUMIF(Mercado_Receita!$S$2:$S$2216,"44501B1ConvencionalResidencialResidencial baixa renda – faixa 04Não se aplicaNão se aplicaNão se aplica",Mercado_Receita!$L$2:$L$2216)</f>
        <v>3253.4839999999999</v>
      </c>
      <c r="M35" s="13">
        <f>SUMIF(Mercado_Receita!$S$2:$S$2216,"44531B1ConvencionalResidencialResidencial baixa renda – faixa 04Não se aplicaNão se aplicaPonta",Mercado_Receita!$L$2:$L$2216)+SUMIF(Mercado_Receita!$S$2:$S$2216,"44531B1ConvencionalResidencialResidencial baixa renda – faixa 04Não se aplicaNão se aplicaFora ponta",Mercado_Receita!$L$2:$L$2216)+SUMIF(Mercado_Receita!$S$2:$S$2216,"44531B1ConvencionalResidencialResidencial baixa renda – faixa 04Não se aplicaNão se aplicaIntermediário",Mercado_Receita!$L$2:$L$2216)+SUMIF(Mercado_Receita!$S$2:$S$2216,"44531B1ConvencionalResidencialResidencial baixa renda – faixa 04Não se aplicaNão se aplicaNão se aplica",Mercado_Receita!$L$2:$L$2216)</f>
        <v>4910.7040000000006</v>
      </c>
      <c r="N35" s="13">
        <f>SUMIF(Mercado_Receita!$S$2:$S$2216,"44562B1ConvencionalResidencialResidencial baixa renda – faixa 04Não se aplicaNão se aplicaPonta",Mercado_Receita!$L$2:$L$2216)+SUMIF(Mercado_Receita!$S$2:$S$2216,"44562B1ConvencionalResidencialResidencial baixa renda – faixa 04Não se aplicaNão se aplicaFora ponta",Mercado_Receita!$L$2:$L$2216)+SUMIF(Mercado_Receita!$S$2:$S$2216,"44562B1ConvencionalResidencialResidencial baixa renda – faixa 04Não se aplicaNão se aplicaIntermediário",Mercado_Receita!$L$2:$L$2216)+SUMIF(Mercado_Receita!$S$2:$S$2216,"44562B1ConvencionalResidencialResidencial baixa renda – faixa 04Não se aplicaNão se aplicaNão se aplica",Mercado_Receita!$L$2:$L$2216)</f>
        <v>3904.5969999999998</v>
      </c>
      <c r="O35" s="13">
        <f>SUMIF(Mercado_Receita!$S$2:$S$2216,"44593B1ConvencionalResidencialResidencial baixa renda – faixa 04Não se aplicaNão se aplicaPonta",Mercado_Receita!$L$2:$L$2216)+SUMIF(Mercado_Receita!$S$2:$S$2216,"44593B1ConvencionalResidencialResidencial baixa renda – faixa 04Não se aplicaNão se aplicaFora ponta",Mercado_Receita!$L$2:$L$2216)+SUMIF(Mercado_Receita!$S$2:$S$2216,"44593B1ConvencionalResidencialResidencial baixa renda – faixa 04Não se aplicaNão se aplicaIntermediário",Mercado_Receita!$L$2:$L$2216)+SUMIF(Mercado_Receita!$S$2:$S$2216,"44593B1ConvencionalResidencialResidencial baixa renda – faixa 04Não se aplicaNão se aplicaNão se aplica",Mercado_Receita!$L$2:$L$2216)</f>
        <v>2985.8990000000003</v>
      </c>
      <c r="P35" s="13">
        <f>SUMIF(Mercado_Receita!$S$2:$S$2216,"44621B1ConvencionalResidencialResidencial baixa renda – faixa 04Não se aplicaNão se aplicaPonta",Mercado_Receita!$L$2:$L$2216)+SUMIF(Mercado_Receita!$S$2:$S$2216,"44621B1ConvencionalResidencialResidencial baixa renda – faixa 04Não se aplicaNão se aplicaFora ponta",Mercado_Receita!$L$2:$L$2216)+SUMIF(Mercado_Receita!$S$2:$S$2216,"44621B1ConvencionalResidencialResidencial baixa renda – faixa 04Não se aplicaNão se aplicaIntermediário",Mercado_Receita!$L$2:$L$2216)+SUMIF(Mercado_Receita!$S$2:$S$2216,"44621B1ConvencionalResidencialResidencial baixa renda – faixa 04Não se aplicaNão se aplicaNão se aplica",Mercado_Receita!$L$2:$L$2216)</f>
        <v>4714.6149999999998</v>
      </c>
      <c r="Q35" s="13">
        <f>SUMIF(Mercado_Receita!$S$2:$S$2216,"44652B1ConvencionalResidencialResidencial baixa renda – faixa 04Não se aplicaNão se aplicaPonta",Mercado_Receita!$L$2:$L$2216)+SUMIF(Mercado_Receita!$S$2:$S$2216,"44652B1ConvencionalResidencialResidencial baixa renda – faixa 04Não se aplicaNão se aplicaFora ponta",Mercado_Receita!$L$2:$L$2216)+SUMIF(Mercado_Receita!$S$2:$S$2216,"44652B1ConvencionalResidencialResidencial baixa renda – faixa 04Não se aplicaNão se aplicaIntermediário",Mercado_Receita!$L$2:$L$2216)+SUMIF(Mercado_Receita!$S$2:$S$2216,"44652B1ConvencionalResidencialResidencial baixa renda – faixa 04Não se aplicaNão se aplicaNão se aplica",Mercado_Receita!$L$2:$L$2216)</f>
        <v>3676.8190000000004</v>
      </c>
      <c r="R35" s="13">
        <f>SUMIF(Mercado_Receita!$S$2:$S$2216,"44682B1ConvencionalResidencialResidencial baixa renda – faixa 04Não se aplicaNão se aplicaPonta",Mercado_Receita!$L$2:$L$2216)+SUMIF(Mercado_Receita!$S$2:$S$2216,"44682B1ConvencionalResidencialResidencial baixa renda – faixa 04Não se aplicaNão se aplicaFora ponta",Mercado_Receita!$L$2:$L$2216)+SUMIF(Mercado_Receita!$S$2:$S$2216,"44682B1ConvencionalResidencialResidencial baixa renda – faixa 04Não se aplicaNão se aplicaIntermediário",Mercado_Receita!$L$2:$L$2216)+SUMIF(Mercado_Receita!$S$2:$S$2216,"44682B1ConvencionalResidencialResidencial baixa renda – faixa 04Não se aplicaNão se aplicaNão se aplica",Mercado_Receita!$L$2:$L$2216)</f>
        <v>3458.0010000000002</v>
      </c>
      <c r="S35" s="13">
        <f>SUMIF(Mercado_Receita!$S$2:$S$2216,"44713B1ConvencionalResidencialResidencial baixa renda – faixa 04Não se aplicaNão se aplicaPonta",Mercado_Receita!$L$2:$L$2216)+SUMIF(Mercado_Receita!$S$2:$S$2216,"44713B1ConvencionalResidencialResidencial baixa renda – faixa 04Não se aplicaNão se aplicaFora ponta",Mercado_Receita!$L$2:$L$2216)+SUMIF(Mercado_Receita!$S$2:$S$2216,"44713B1ConvencionalResidencialResidencial baixa renda – faixa 04Não se aplicaNão se aplicaIntermediário",Mercado_Receita!$L$2:$L$2216)+SUMIF(Mercado_Receita!$S$2:$S$2216,"44713B1ConvencionalResidencialResidencial baixa renda – faixa 04Não se aplicaNão se aplicaNão se aplica",Mercado_Receita!$L$2:$L$2216)</f>
        <v>2002.472</v>
      </c>
      <c r="T35" s="13">
        <f>SUMIF(Mercado_Receita!$S$2:$S$2216,"44743B1ConvencionalResidencialResidencial baixa renda – faixa 04Não se aplicaNão se aplicaPonta",Mercado_Receita!$L$2:$L$2216)+SUMIF(Mercado_Receita!$S$2:$S$2216,"44743B1ConvencionalResidencialResidencial baixa renda – faixa 04Não se aplicaNão se aplicaFora ponta",Mercado_Receita!$L$2:$L$2216)+SUMIF(Mercado_Receita!$S$2:$S$2216,"44743B1ConvencionalResidencialResidencial baixa renda – faixa 04Não se aplicaNão se aplicaIntermediário",Mercado_Receita!$L$2:$L$2216)+SUMIF(Mercado_Receita!$S$2:$S$2216,"44743B1ConvencionalResidencialResidencial baixa renda – faixa 04Não se aplicaNão se aplicaNão se aplica",Mercado_Receita!$L$2:$L$2216)</f>
        <v>2002.472</v>
      </c>
      <c r="U35" s="13">
        <f t="shared" si="1"/>
        <v>39430.460000000006</v>
      </c>
      <c r="V35" s="13"/>
      <c r="W35" s="13"/>
    </row>
    <row r="36" spans="1:23" ht="11.25" customHeight="1" x14ac:dyDescent="0.25">
      <c r="A36" s="83"/>
      <c r="B36" s="82" t="s">
        <v>115</v>
      </c>
      <c r="C36" s="82" t="s">
        <v>24</v>
      </c>
      <c r="D36" s="12" t="s">
        <v>24</v>
      </c>
      <c r="E36" s="12" t="s">
        <v>25</v>
      </c>
      <c r="F36" s="12" t="s">
        <v>25</v>
      </c>
      <c r="G36" s="13" t="s">
        <v>108</v>
      </c>
      <c r="H36" s="13" t="s">
        <v>102</v>
      </c>
      <c r="I36" s="13">
        <f>SUMIF(Mercado_Receita!$S$2:$S$2216,"44409B1Convencional pré-pagamentoResidencialResidencialNão se aplicaNão se aplicaPonta",Mercado_Receita!$L$2:$L$2216)+SUMIF(Mercado_Receita!$S$2:$S$2216,"44409B1Convencional pré-pagamentoResidencialResidencialNão se aplicaNão se aplicaFora ponta",Mercado_Receita!$L$2:$L$2216)+SUMIF(Mercado_Receita!$S$2:$S$2216,"44409B1Convencional pré-pagamentoResidencialResidencialNão se aplicaNão se aplicaIntermediário",Mercado_Receita!$L$2:$L$2216)+SUMIF(Mercado_Receita!$S$2:$S$2216,"44409B1Convencional pré-pagamentoResidencialResidencialNão se aplicaNão se aplicaNão se aplica",Mercado_Receita!$L$2:$L$2216)</f>
        <v>0</v>
      </c>
      <c r="J36" s="13">
        <f>SUMIF(Mercado_Receita!$S$2:$S$2216,"44440B1Convencional pré-pagamentoResidencialResidencialNão se aplicaNão se aplicaPonta",Mercado_Receita!$L$2:$L$2216)+SUMIF(Mercado_Receita!$S$2:$S$2216,"44440B1Convencional pré-pagamentoResidencialResidencialNão se aplicaNão se aplicaFora ponta",Mercado_Receita!$L$2:$L$2216)+SUMIF(Mercado_Receita!$S$2:$S$2216,"44440B1Convencional pré-pagamentoResidencialResidencialNão se aplicaNão se aplicaIntermediário",Mercado_Receita!$L$2:$L$2216)+SUMIF(Mercado_Receita!$S$2:$S$2216,"44440B1Convencional pré-pagamentoResidencialResidencialNão se aplicaNão se aplicaNão se aplica",Mercado_Receita!$L$2:$L$2216)</f>
        <v>0</v>
      </c>
      <c r="K36" s="13">
        <f>SUMIF(Mercado_Receita!$S$2:$S$2216,"44470B1Convencional pré-pagamentoResidencialResidencialNão se aplicaNão se aplicaPonta",Mercado_Receita!$L$2:$L$2216)+SUMIF(Mercado_Receita!$S$2:$S$2216,"44470B1Convencional pré-pagamentoResidencialResidencialNão se aplicaNão se aplicaFora ponta",Mercado_Receita!$L$2:$L$2216)+SUMIF(Mercado_Receita!$S$2:$S$2216,"44470B1Convencional pré-pagamentoResidencialResidencialNão se aplicaNão se aplicaIntermediário",Mercado_Receita!$L$2:$L$2216)+SUMIF(Mercado_Receita!$S$2:$S$2216,"44470B1Convencional pré-pagamentoResidencialResidencialNão se aplicaNão se aplicaNão se aplica",Mercado_Receita!$L$2:$L$2216)</f>
        <v>0</v>
      </c>
      <c r="L36" s="13">
        <f>SUMIF(Mercado_Receita!$S$2:$S$2216,"44501B1Convencional pré-pagamentoResidencialResidencialNão se aplicaNão se aplicaPonta",Mercado_Receita!$L$2:$L$2216)+SUMIF(Mercado_Receita!$S$2:$S$2216,"44501B1Convencional pré-pagamentoResidencialResidencialNão se aplicaNão se aplicaFora ponta",Mercado_Receita!$L$2:$L$2216)+SUMIF(Mercado_Receita!$S$2:$S$2216,"44501B1Convencional pré-pagamentoResidencialResidencialNão se aplicaNão se aplicaIntermediário",Mercado_Receita!$L$2:$L$2216)+SUMIF(Mercado_Receita!$S$2:$S$2216,"44501B1Convencional pré-pagamentoResidencialResidencialNão se aplicaNão se aplicaNão se aplica",Mercado_Receita!$L$2:$L$2216)</f>
        <v>0</v>
      </c>
      <c r="M36" s="13">
        <f>SUMIF(Mercado_Receita!$S$2:$S$2216,"44531B1Convencional pré-pagamentoResidencialResidencialNão se aplicaNão se aplicaPonta",Mercado_Receita!$L$2:$L$2216)+SUMIF(Mercado_Receita!$S$2:$S$2216,"44531B1Convencional pré-pagamentoResidencialResidencialNão se aplicaNão se aplicaFora ponta",Mercado_Receita!$L$2:$L$2216)+SUMIF(Mercado_Receita!$S$2:$S$2216,"44531B1Convencional pré-pagamentoResidencialResidencialNão se aplicaNão se aplicaIntermediário",Mercado_Receita!$L$2:$L$2216)+SUMIF(Mercado_Receita!$S$2:$S$2216,"44531B1Convencional pré-pagamentoResidencialResidencialNão se aplicaNão se aplicaNão se aplica",Mercado_Receita!$L$2:$L$2216)</f>
        <v>0</v>
      </c>
      <c r="N36" s="13">
        <f>SUMIF(Mercado_Receita!$S$2:$S$2216,"44562B1Convencional pré-pagamentoResidencialResidencialNão se aplicaNão se aplicaPonta",Mercado_Receita!$L$2:$L$2216)+SUMIF(Mercado_Receita!$S$2:$S$2216,"44562B1Convencional pré-pagamentoResidencialResidencialNão se aplicaNão se aplicaFora ponta",Mercado_Receita!$L$2:$L$2216)+SUMIF(Mercado_Receita!$S$2:$S$2216,"44562B1Convencional pré-pagamentoResidencialResidencialNão se aplicaNão se aplicaIntermediário",Mercado_Receita!$L$2:$L$2216)+SUMIF(Mercado_Receita!$S$2:$S$2216,"44562B1Convencional pré-pagamentoResidencialResidencialNão se aplicaNão se aplicaNão se aplica",Mercado_Receita!$L$2:$L$2216)</f>
        <v>0</v>
      </c>
      <c r="O36" s="13">
        <f>SUMIF(Mercado_Receita!$S$2:$S$2216,"44593B1Convencional pré-pagamentoResidencialResidencialNão se aplicaNão se aplicaPonta",Mercado_Receita!$L$2:$L$2216)+SUMIF(Mercado_Receita!$S$2:$S$2216,"44593B1Convencional pré-pagamentoResidencialResidencialNão se aplicaNão se aplicaFora ponta",Mercado_Receita!$L$2:$L$2216)+SUMIF(Mercado_Receita!$S$2:$S$2216,"44593B1Convencional pré-pagamentoResidencialResidencialNão se aplicaNão se aplicaIntermediário",Mercado_Receita!$L$2:$L$2216)+SUMIF(Mercado_Receita!$S$2:$S$2216,"44593B1Convencional pré-pagamentoResidencialResidencialNão se aplicaNão se aplicaNão se aplica",Mercado_Receita!$L$2:$L$2216)</f>
        <v>0</v>
      </c>
      <c r="P36" s="13">
        <f>SUMIF(Mercado_Receita!$S$2:$S$2216,"44621B1Convencional pré-pagamentoResidencialResidencialNão se aplicaNão se aplicaPonta",Mercado_Receita!$L$2:$L$2216)+SUMIF(Mercado_Receita!$S$2:$S$2216,"44621B1Convencional pré-pagamentoResidencialResidencialNão se aplicaNão se aplicaFora ponta",Mercado_Receita!$L$2:$L$2216)+SUMIF(Mercado_Receita!$S$2:$S$2216,"44621B1Convencional pré-pagamentoResidencialResidencialNão se aplicaNão se aplicaIntermediário",Mercado_Receita!$L$2:$L$2216)+SUMIF(Mercado_Receita!$S$2:$S$2216,"44621B1Convencional pré-pagamentoResidencialResidencialNão se aplicaNão se aplicaNão se aplica",Mercado_Receita!$L$2:$L$2216)</f>
        <v>0</v>
      </c>
      <c r="Q36" s="13">
        <f>SUMIF(Mercado_Receita!$S$2:$S$2216,"44652B1Convencional pré-pagamentoResidencialResidencialNão se aplicaNão se aplicaPonta",Mercado_Receita!$L$2:$L$2216)+SUMIF(Mercado_Receita!$S$2:$S$2216,"44652B1Convencional pré-pagamentoResidencialResidencialNão se aplicaNão se aplicaFora ponta",Mercado_Receita!$L$2:$L$2216)+SUMIF(Mercado_Receita!$S$2:$S$2216,"44652B1Convencional pré-pagamentoResidencialResidencialNão se aplicaNão se aplicaIntermediário",Mercado_Receita!$L$2:$L$2216)+SUMIF(Mercado_Receita!$S$2:$S$2216,"44652B1Convencional pré-pagamentoResidencialResidencialNão se aplicaNão se aplicaNão se aplica",Mercado_Receita!$L$2:$L$2216)</f>
        <v>0</v>
      </c>
      <c r="R36" s="13">
        <f>SUMIF(Mercado_Receita!$S$2:$S$2216,"44682B1Convencional pré-pagamentoResidencialResidencialNão se aplicaNão se aplicaPonta",Mercado_Receita!$L$2:$L$2216)+SUMIF(Mercado_Receita!$S$2:$S$2216,"44682B1Convencional pré-pagamentoResidencialResidencialNão se aplicaNão se aplicaFora ponta",Mercado_Receita!$L$2:$L$2216)+SUMIF(Mercado_Receita!$S$2:$S$2216,"44682B1Convencional pré-pagamentoResidencialResidencialNão se aplicaNão se aplicaIntermediário",Mercado_Receita!$L$2:$L$2216)+SUMIF(Mercado_Receita!$S$2:$S$2216,"44682B1Convencional pré-pagamentoResidencialResidencialNão se aplicaNão se aplicaNão se aplica",Mercado_Receita!$L$2:$L$2216)</f>
        <v>0</v>
      </c>
      <c r="S36" s="13">
        <f>SUMIF(Mercado_Receita!$S$2:$S$2216,"44713B1Convencional pré-pagamentoResidencialResidencialNão se aplicaNão se aplicaPonta",Mercado_Receita!$L$2:$L$2216)+SUMIF(Mercado_Receita!$S$2:$S$2216,"44713B1Convencional pré-pagamentoResidencialResidencialNão se aplicaNão se aplicaFora ponta",Mercado_Receita!$L$2:$L$2216)+SUMIF(Mercado_Receita!$S$2:$S$2216,"44713B1Convencional pré-pagamentoResidencialResidencialNão se aplicaNão se aplicaIntermediário",Mercado_Receita!$L$2:$L$2216)+SUMIF(Mercado_Receita!$S$2:$S$2216,"44713B1Convencional pré-pagamentoResidencialResidencialNão se aplicaNão se aplicaNão se aplica",Mercado_Receita!$L$2:$L$2216)</f>
        <v>0</v>
      </c>
      <c r="T36" s="13">
        <f>SUMIF(Mercado_Receita!$S$2:$S$2216,"44743B1Convencional pré-pagamentoResidencialResidencialNão se aplicaNão se aplicaPonta",Mercado_Receita!$L$2:$L$2216)+SUMIF(Mercado_Receita!$S$2:$S$2216,"44743B1Convencional pré-pagamentoResidencialResidencialNão se aplicaNão se aplicaFora ponta",Mercado_Receita!$L$2:$L$2216)+SUMIF(Mercado_Receita!$S$2:$S$2216,"44743B1Convencional pré-pagamentoResidencialResidencialNão se aplicaNão se aplicaIntermediário",Mercado_Receita!$L$2:$L$2216)+SUMIF(Mercado_Receita!$S$2:$S$2216,"44743B1Convencional pré-pagamentoResidencialResidencialNão se aplicaNão se aplicaNão se aplica",Mercado_Receita!$L$2:$L$2216)</f>
        <v>0</v>
      </c>
      <c r="U36" s="13">
        <f t="shared" si="1"/>
        <v>0</v>
      </c>
      <c r="V36" s="13"/>
      <c r="W36" s="13"/>
    </row>
    <row r="37" spans="1:23" ht="11.25" customHeight="1" x14ac:dyDescent="0.25">
      <c r="A37" s="83"/>
      <c r="B37" s="83"/>
      <c r="C37" s="83"/>
      <c r="D37" s="12" t="s">
        <v>29</v>
      </c>
      <c r="E37" s="12" t="s">
        <v>25</v>
      </c>
      <c r="F37" s="12" t="s">
        <v>25</v>
      </c>
      <c r="G37" s="13" t="s">
        <v>108</v>
      </c>
      <c r="H37" s="13" t="s">
        <v>102</v>
      </c>
      <c r="I37" s="13">
        <f>SUMIF(Mercado_Receita!$S$2:$S$2216,"44409B1Convencional pré-pagamentoResidencialResidencial baixa renda – faixa 01Não se aplicaNão se aplicaPonta",Mercado_Receita!$L$2:$L$2216)+SUMIF(Mercado_Receita!$S$2:$S$2216,"44409B1Convencional pré-pagamentoResidencialResidencial baixa renda – faixa 01Não se aplicaNão se aplicaFora ponta",Mercado_Receita!$L$2:$L$2216)+SUMIF(Mercado_Receita!$S$2:$S$2216,"44409B1Convencional pré-pagamentoResidencialResidencial baixa renda – faixa 01Não se aplicaNão se aplicaIntermediário",Mercado_Receita!$L$2:$L$2216)+SUMIF(Mercado_Receita!$S$2:$S$2216,"44409B1Convencional pré-pagamentoResidencialResidencial baixa renda – faixa 01Não se aplicaNão se aplicaNão se aplica",Mercado_Receita!$L$2:$L$2216)</f>
        <v>0</v>
      </c>
      <c r="J37" s="13">
        <f>SUMIF(Mercado_Receita!$S$2:$S$2216,"44440B1Convencional pré-pagamentoResidencialResidencial baixa renda – faixa 01Não se aplicaNão se aplicaPonta",Mercado_Receita!$L$2:$L$2216)+SUMIF(Mercado_Receita!$S$2:$S$2216,"44440B1Convencional pré-pagamentoResidencialResidencial baixa renda – faixa 01Não se aplicaNão se aplicaFora ponta",Mercado_Receita!$L$2:$L$2216)+SUMIF(Mercado_Receita!$S$2:$S$2216,"44440B1Convencional pré-pagamentoResidencialResidencial baixa renda – faixa 01Não se aplicaNão se aplicaIntermediário",Mercado_Receita!$L$2:$L$2216)+SUMIF(Mercado_Receita!$S$2:$S$2216,"44440B1Convencional pré-pagamentoResidencialResidencial baixa renda – faixa 01Não se aplicaNão se aplicaNão se aplica",Mercado_Receita!$L$2:$L$2216)</f>
        <v>0</v>
      </c>
      <c r="K37" s="13">
        <f>SUMIF(Mercado_Receita!$S$2:$S$2216,"44470B1Convencional pré-pagamentoResidencialResidencial baixa renda – faixa 01Não se aplicaNão se aplicaPonta",Mercado_Receita!$L$2:$L$2216)+SUMIF(Mercado_Receita!$S$2:$S$2216,"44470B1Convencional pré-pagamentoResidencialResidencial baixa renda – faixa 01Não se aplicaNão se aplicaFora ponta",Mercado_Receita!$L$2:$L$2216)+SUMIF(Mercado_Receita!$S$2:$S$2216,"44470B1Convencional pré-pagamentoResidencialResidencial baixa renda – faixa 01Não se aplicaNão se aplicaIntermediário",Mercado_Receita!$L$2:$L$2216)+SUMIF(Mercado_Receita!$S$2:$S$2216,"44470B1Convencional pré-pagamentoResidencialResidencial baixa renda – faixa 01Não se aplicaNão se aplicaNão se aplica",Mercado_Receita!$L$2:$L$2216)</f>
        <v>0</v>
      </c>
      <c r="L37" s="13">
        <f>SUMIF(Mercado_Receita!$S$2:$S$2216,"44501B1Convencional pré-pagamentoResidencialResidencial baixa renda – faixa 01Não se aplicaNão se aplicaPonta",Mercado_Receita!$L$2:$L$2216)+SUMIF(Mercado_Receita!$S$2:$S$2216,"44501B1Convencional pré-pagamentoResidencialResidencial baixa renda – faixa 01Não se aplicaNão se aplicaFora ponta",Mercado_Receita!$L$2:$L$2216)+SUMIF(Mercado_Receita!$S$2:$S$2216,"44501B1Convencional pré-pagamentoResidencialResidencial baixa renda – faixa 01Não se aplicaNão se aplicaIntermediário",Mercado_Receita!$L$2:$L$2216)+SUMIF(Mercado_Receita!$S$2:$S$2216,"44501B1Convencional pré-pagamentoResidencialResidencial baixa renda – faixa 01Não se aplicaNão se aplicaNão se aplica",Mercado_Receita!$L$2:$L$2216)</f>
        <v>0</v>
      </c>
      <c r="M37" s="13">
        <f>SUMIF(Mercado_Receita!$S$2:$S$2216,"44531B1Convencional pré-pagamentoResidencialResidencial baixa renda – faixa 01Não se aplicaNão se aplicaPonta",Mercado_Receita!$L$2:$L$2216)+SUMIF(Mercado_Receita!$S$2:$S$2216,"44531B1Convencional pré-pagamentoResidencialResidencial baixa renda – faixa 01Não se aplicaNão se aplicaFora ponta",Mercado_Receita!$L$2:$L$2216)+SUMIF(Mercado_Receita!$S$2:$S$2216,"44531B1Convencional pré-pagamentoResidencialResidencial baixa renda – faixa 01Não se aplicaNão se aplicaIntermediário",Mercado_Receita!$L$2:$L$2216)+SUMIF(Mercado_Receita!$S$2:$S$2216,"44531B1Convencional pré-pagamentoResidencialResidencial baixa renda – faixa 01Não se aplicaNão se aplicaNão se aplica",Mercado_Receita!$L$2:$L$2216)</f>
        <v>0</v>
      </c>
      <c r="N37" s="13">
        <f>SUMIF(Mercado_Receita!$S$2:$S$2216,"44562B1Convencional pré-pagamentoResidencialResidencial baixa renda – faixa 01Não se aplicaNão se aplicaPonta",Mercado_Receita!$L$2:$L$2216)+SUMIF(Mercado_Receita!$S$2:$S$2216,"44562B1Convencional pré-pagamentoResidencialResidencial baixa renda – faixa 01Não se aplicaNão se aplicaFora ponta",Mercado_Receita!$L$2:$L$2216)+SUMIF(Mercado_Receita!$S$2:$S$2216,"44562B1Convencional pré-pagamentoResidencialResidencial baixa renda – faixa 01Não se aplicaNão se aplicaIntermediário",Mercado_Receita!$L$2:$L$2216)+SUMIF(Mercado_Receita!$S$2:$S$2216,"44562B1Convencional pré-pagamentoResidencialResidencial baixa renda – faixa 01Não se aplicaNão se aplicaNão se aplica",Mercado_Receita!$L$2:$L$2216)</f>
        <v>0</v>
      </c>
      <c r="O37" s="13">
        <f>SUMIF(Mercado_Receita!$S$2:$S$2216,"44593B1Convencional pré-pagamentoResidencialResidencial baixa renda – faixa 01Não se aplicaNão se aplicaPonta",Mercado_Receita!$L$2:$L$2216)+SUMIF(Mercado_Receita!$S$2:$S$2216,"44593B1Convencional pré-pagamentoResidencialResidencial baixa renda – faixa 01Não se aplicaNão se aplicaFora ponta",Mercado_Receita!$L$2:$L$2216)+SUMIF(Mercado_Receita!$S$2:$S$2216,"44593B1Convencional pré-pagamentoResidencialResidencial baixa renda – faixa 01Não se aplicaNão se aplicaIntermediário",Mercado_Receita!$L$2:$L$2216)+SUMIF(Mercado_Receita!$S$2:$S$2216,"44593B1Convencional pré-pagamentoResidencialResidencial baixa renda – faixa 01Não se aplicaNão se aplicaNão se aplica",Mercado_Receita!$L$2:$L$2216)</f>
        <v>0</v>
      </c>
      <c r="P37" s="13">
        <f>SUMIF(Mercado_Receita!$S$2:$S$2216,"44621B1Convencional pré-pagamentoResidencialResidencial baixa renda – faixa 01Não se aplicaNão se aplicaPonta",Mercado_Receita!$L$2:$L$2216)+SUMIF(Mercado_Receita!$S$2:$S$2216,"44621B1Convencional pré-pagamentoResidencialResidencial baixa renda – faixa 01Não se aplicaNão se aplicaFora ponta",Mercado_Receita!$L$2:$L$2216)+SUMIF(Mercado_Receita!$S$2:$S$2216,"44621B1Convencional pré-pagamentoResidencialResidencial baixa renda – faixa 01Não se aplicaNão se aplicaIntermediário",Mercado_Receita!$L$2:$L$2216)+SUMIF(Mercado_Receita!$S$2:$S$2216,"44621B1Convencional pré-pagamentoResidencialResidencial baixa renda – faixa 01Não se aplicaNão se aplicaNão se aplica",Mercado_Receita!$L$2:$L$2216)</f>
        <v>0</v>
      </c>
      <c r="Q37" s="13">
        <f>SUMIF(Mercado_Receita!$S$2:$S$2216,"44652B1Convencional pré-pagamentoResidencialResidencial baixa renda – faixa 01Não se aplicaNão se aplicaPonta",Mercado_Receita!$L$2:$L$2216)+SUMIF(Mercado_Receita!$S$2:$S$2216,"44652B1Convencional pré-pagamentoResidencialResidencial baixa renda – faixa 01Não se aplicaNão se aplicaFora ponta",Mercado_Receita!$L$2:$L$2216)+SUMIF(Mercado_Receita!$S$2:$S$2216,"44652B1Convencional pré-pagamentoResidencialResidencial baixa renda – faixa 01Não se aplicaNão se aplicaIntermediário",Mercado_Receita!$L$2:$L$2216)+SUMIF(Mercado_Receita!$S$2:$S$2216,"44652B1Convencional pré-pagamentoResidencialResidencial baixa renda – faixa 01Não se aplicaNão se aplicaNão se aplica",Mercado_Receita!$L$2:$L$2216)</f>
        <v>0</v>
      </c>
      <c r="R37" s="13">
        <f>SUMIF(Mercado_Receita!$S$2:$S$2216,"44682B1Convencional pré-pagamentoResidencialResidencial baixa renda – faixa 01Não se aplicaNão se aplicaPonta",Mercado_Receita!$L$2:$L$2216)+SUMIF(Mercado_Receita!$S$2:$S$2216,"44682B1Convencional pré-pagamentoResidencialResidencial baixa renda – faixa 01Não se aplicaNão se aplicaFora ponta",Mercado_Receita!$L$2:$L$2216)+SUMIF(Mercado_Receita!$S$2:$S$2216,"44682B1Convencional pré-pagamentoResidencialResidencial baixa renda – faixa 01Não se aplicaNão se aplicaIntermediário",Mercado_Receita!$L$2:$L$2216)+SUMIF(Mercado_Receita!$S$2:$S$2216,"44682B1Convencional pré-pagamentoResidencialResidencial baixa renda – faixa 01Não se aplicaNão se aplicaNão se aplica",Mercado_Receita!$L$2:$L$2216)</f>
        <v>0</v>
      </c>
      <c r="S37" s="13">
        <f>SUMIF(Mercado_Receita!$S$2:$S$2216,"44713B1Convencional pré-pagamentoResidencialResidencial baixa renda – faixa 01Não se aplicaNão se aplicaPonta",Mercado_Receita!$L$2:$L$2216)+SUMIF(Mercado_Receita!$S$2:$S$2216,"44713B1Convencional pré-pagamentoResidencialResidencial baixa renda – faixa 01Não se aplicaNão se aplicaFora ponta",Mercado_Receita!$L$2:$L$2216)+SUMIF(Mercado_Receita!$S$2:$S$2216,"44713B1Convencional pré-pagamentoResidencialResidencial baixa renda – faixa 01Não se aplicaNão se aplicaIntermediário",Mercado_Receita!$L$2:$L$2216)+SUMIF(Mercado_Receita!$S$2:$S$2216,"44713B1Convencional pré-pagamentoResidencialResidencial baixa renda – faixa 01Não se aplicaNão se aplicaNão se aplica",Mercado_Receita!$L$2:$L$2216)</f>
        <v>0</v>
      </c>
      <c r="T37" s="13">
        <f>SUMIF(Mercado_Receita!$S$2:$S$2216,"44743B1Convencional pré-pagamentoResidencialResidencial baixa renda – faixa 01Não se aplicaNão se aplicaPonta",Mercado_Receita!$L$2:$L$2216)+SUMIF(Mercado_Receita!$S$2:$S$2216,"44743B1Convencional pré-pagamentoResidencialResidencial baixa renda – faixa 01Não se aplicaNão se aplicaFora ponta",Mercado_Receita!$L$2:$L$2216)+SUMIF(Mercado_Receita!$S$2:$S$2216,"44743B1Convencional pré-pagamentoResidencialResidencial baixa renda – faixa 01Não se aplicaNão se aplicaIntermediário",Mercado_Receita!$L$2:$L$2216)+SUMIF(Mercado_Receita!$S$2:$S$2216,"44743B1Convencional pré-pagamentoResidencialResidencial baixa renda – faixa 01Não se aplicaNão se aplicaNão se aplica",Mercado_Receita!$L$2:$L$2216)</f>
        <v>0</v>
      </c>
      <c r="U37" s="13">
        <f t="shared" si="1"/>
        <v>0</v>
      </c>
      <c r="V37" s="13"/>
      <c r="W37" s="13"/>
    </row>
    <row r="38" spans="1:23" ht="11.25" customHeight="1" x14ac:dyDescent="0.25">
      <c r="A38" s="83"/>
      <c r="B38" s="83"/>
      <c r="C38" s="83"/>
      <c r="D38" s="12" t="s">
        <v>30</v>
      </c>
      <c r="E38" s="12" t="s">
        <v>25</v>
      </c>
      <c r="F38" s="12" t="s">
        <v>25</v>
      </c>
      <c r="G38" s="13" t="s">
        <v>108</v>
      </c>
      <c r="H38" s="13" t="s">
        <v>102</v>
      </c>
      <c r="I38" s="13">
        <f>SUMIF(Mercado_Receita!$S$2:$S$2216,"44409B1Convencional pré-pagamentoResidencialResidencial baixa renda – faixa 02Não se aplicaNão se aplicaPonta",Mercado_Receita!$L$2:$L$2216)+SUMIF(Mercado_Receita!$S$2:$S$2216,"44409B1Convencional pré-pagamentoResidencialResidencial baixa renda – faixa 02Não se aplicaNão se aplicaFora ponta",Mercado_Receita!$L$2:$L$2216)+SUMIF(Mercado_Receita!$S$2:$S$2216,"44409B1Convencional pré-pagamentoResidencialResidencial baixa renda – faixa 02Não se aplicaNão se aplicaIntermediário",Mercado_Receita!$L$2:$L$2216)+SUMIF(Mercado_Receita!$S$2:$S$2216,"44409B1Convencional pré-pagamentoResidencialResidencial baixa renda – faixa 02Não se aplicaNão se aplicaNão se aplica",Mercado_Receita!$L$2:$L$2216)</f>
        <v>0</v>
      </c>
      <c r="J38" s="13">
        <f>SUMIF(Mercado_Receita!$S$2:$S$2216,"44440B1Convencional pré-pagamentoResidencialResidencial baixa renda – faixa 02Não se aplicaNão se aplicaPonta",Mercado_Receita!$L$2:$L$2216)+SUMIF(Mercado_Receita!$S$2:$S$2216,"44440B1Convencional pré-pagamentoResidencialResidencial baixa renda – faixa 02Não se aplicaNão se aplicaFora ponta",Mercado_Receita!$L$2:$L$2216)+SUMIF(Mercado_Receita!$S$2:$S$2216,"44440B1Convencional pré-pagamentoResidencialResidencial baixa renda – faixa 02Não se aplicaNão se aplicaIntermediário",Mercado_Receita!$L$2:$L$2216)+SUMIF(Mercado_Receita!$S$2:$S$2216,"44440B1Convencional pré-pagamentoResidencialResidencial baixa renda – faixa 02Não se aplicaNão se aplicaNão se aplica",Mercado_Receita!$L$2:$L$2216)</f>
        <v>0</v>
      </c>
      <c r="K38" s="13">
        <f>SUMIF(Mercado_Receita!$S$2:$S$2216,"44470B1Convencional pré-pagamentoResidencialResidencial baixa renda – faixa 02Não se aplicaNão se aplicaPonta",Mercado_Receita!$L$2:$L$2216)+SUMIF(Mercado_Receita!$S$2:$S$2216,"44470B1Convencional pré-pagamentoResidencialResidencial baixa renda – faixa 02Não se aplicaNão se aplicaFora ponta",Mercado_Receita!$L$2:$L$2216)+SUMIF(Mercado_Receita!$S$2:$S$2216,"44470B1Convencional pré-pagamentoResidencialResidencial baixa renda – faixa 02Não se aplicaNão se aplicaIntermediário",Mercado_Receita!$L$2:$L$2216)+SUMIF(Mercado_Receita!$S$2:$S$2216,"44470B1Convencional pré-pagamentoResidencialResidencial baixa renda – faixa 02Não se aplicaNão se aplicaNão se aplica",Mercado_Receita!$L$2:$L$2216)</f>
        <v>0</v>
      </c>
      <c r="L38" s="13">
        <f>SUMIF(Mercado_Receita!$S$2:$S$2216,"44501B1Convencional pré-pagamentoResidencialResidencial baixa renda – faixa 02Não se aplicaNão se aplicaPonta",Mercado_Receita!$L$2:$L$2216)+SUMIF(Mercado_Receita!$S$2:$S$2216,"44501B1Convencional pré-pagamentoResidencialResidencial baixa renda – faixa 02Não se aplicaNão se aplicaFora ponta",Mercado_Receita!$L$2:$L$2216)+SUMIF(Mercado_Receita!$S$2:$S$2216,"44501B1Convencional pré-pagamentoResidencialResidencial baixa renda – faixa 02Não se aplicaNão se aplicaIntermediário",Mercado_Receita!$L$2:$L$2216)+SUMIF(Mercado_Receita!$S$2:$S$2216,"44501B1Convencional pré-pagamentoResidencialResidencial baixa renda – faixa 02Não se aplicaNão se aplicaNão se aplica",Mercado_Receita!$L$2:$L$2216)</f>
        <v>0</v>
      </c>
      <c r="M38" s="13">
        <f>SUMIF(Mercado_Receita!$S$2:$S$2216,"44531B1Convencional pré-pagamentoResidencialResidencial baixa renda – faixa 02Não se aplicaNão se aplicaPonta",Mercado_Receita!$L$2:$L$2216)+SUMIF(Mercado_Receita!$S$2:$S$2216,"44531B1Convencional pré-pagamentoResidencialResidencial baixa renda – faixa 02Não se aplicaNão se aplicaFora ponta",Mercado_Receita!$L$2:$L$2216)+SUMIF(Mercado_Receita!$S$2:$S$2216,"44531B1Convencional pré-pagamentoResidencialResidencial baixa renda – faixa 02Não se aplicaNão se aplicaIntermediário",Mercado_Receita!$L$2:$L$2216)+SUMIF(Mercado_Receita!$S$2:$S$2216,"44531B1Convencional pré-pagamentoResidencialResidencial baixa renda – faixa 02Não se aplicaNão se aplicaNão se aplica",Mercado_Receita!$L$2:$L$2216)</f>
        <v>0</v>
      </c>
      <c r="N38" s="13">
        <f>SUMIF(Mercado_Receita!$S$2:$S$2216,"44562B1Convencional pré-pagamentoResidencialResidencial baixa renda – faixa 02Não se aplicaNão se aplicaPonta",Mercado_Receita!$L$2:$L$2216)+SUMIF(Mercado_Receita!$S$2:$S$2216,"44562B1Convencional pré-pagamentoResidencialResidencial baixa renda – faixa 02Não se aplicaNão se aplicaFora ponta",Mercado_Receita!$L$2:$L$2216)+SUMIF(Mercado_Receita!$S$2:$S$2216,"44562B1Convencional pré-pagamentoResidencialResidencial baixa renda – faixa 02Não se aplicaNão se aplicaIntermediário",Mercado_Receita!$L$2:$L$2216)+SUMIF(Mercado_Receita!$S$2:$S$2216,"44562B1Convencional pré-pagamentoResidencialResidencial baixa renda – faixa 02Não se aplicaNão se aplicaNão se aplica",Mercado_Receita!$L$2:$L$2216)</f>
        <v>0</v>
      </c>
      <c r="O38" s="13">
        <f>SUMIF(Mercado_Receita!$S$2:$S$2216,"44593B1Convencional pré-pagamentoResidencialResidencial baixa renda – faixa 02Não se aplicaNão se aplicaPonta",Mercado_Receita!$L$2:$L$2216)+SUMIF(Mercado_Receita!$S$2:$S$2216,"44593B1Convencional pré-pagamentoResidencialResidencial baixa renda – faixa 02Não se aplicaNão se aplicaFora ponta",Mercado_Receita!$L$2:$L$2216)+SUMIF(Mercado_Receita!$S$2:$S$2216,"44593B1Convencional pré-pagamentoResidencialResidencial baixa renda – faixa 02Não se aplicaNão se aplicaIntermediário",Mercado_Receita!$L$2:$L$2216)+SUMIF(Mercado_Receita!$S$2:$S$2216,"44593B1Convencional pré-pagamentoResidencialResidencial baixa renda – faixa 02Não se aplicaNão se aplicaNão se aplica",Mercado_Receita!$L$2:$L$2216)</f>
        <v>0</v>
      </c>
      <c r="P38" s="13">
        <f>SUMIF(Mercado_Receita!$S$2:$S$2216,"44621B1Convencional pré-pagamentoResidencialResidencial baixa renda – faixa 02Não se aplicaNão se aplicaPonta",Mercado_Receita!$L$2:$L$2216)+SUMIF(Mercado_Receita!$S$2:$S$2216,"44621B1Convencional pré-pagamentoResidencialResidencial baixa renda – faixa 02Não se aplicaNão se aplicaFora ponta",Mercado_Receita!$L$2:$L$2216)+SUMIF(Mercado_Receita!$S$2:$S$2216,"44621B1Convencional pré-pagamentoResidencialResidencial baixa renda – faixa 02Não se aplicaNão se aplicaIntermediário",Mercado_Receita!$L$2:$L$2216)+SUMIF(Mercado_Receita!$S$2:$S$2216,"44621B1Convencional pré-pagamentoResidencialResidencial baixa renda – faixa 02Não se aplicaNão se aplicaNão se aplica",Mercado_Receita!$L$2:$L$2216)</f>
        <v>0</v>
      </c>
      <c r="Q38" s="13">
        <f>SUMIF(Mercado_Receita!$S$2:$S$2216,"44652B1Convencional pré-pagamentoResidencialResidencial baixa renda – faixa 02Não se aplicaNão se aplicaPonta",Mercado_Receita!$L$2:$L$2216)+SUMIF(Mercado_Receita!$S$2:$S$2216,"44652B1Convencional pré-pagamentoResidencialResidencial baixa renda – faixa 02Não se aplicaNão se aplicaFora ponta",Mercado_Receita!$L$2:$L$2216)+SUMIF(Mercado_Receita!$S$2:$S$2216,"44652B1Convencional pré-pagamentoResidencialResidencial baixa renda – faixa 02Não se aplicaNão se aplicaIntermediário",Mercado_Receita!$L$2:$L$2216)+SUMIF(Mercado_Receita!$S$2:$S$2216,"44652B1Convencional pré-pagamentoResidencialResidencial baixa renda – faixa 02Não se aplicaNão se aplicaNão se aplica",Mercado_Receita!$L$2:$L$2216)</f>
        <v>0</v>
      </c>
      <c r="R38" s="13">
        <f>SUMIF(Mercado_Receita!$S$2:$S$2216,"44682B1Convencional pré-pagamentoResidencialResidencial baixa renda – faixa 02Não se aplicaNão se aplicaPonta",Mercado_Receita!$L$2:$L$2216)+SUMIF(Mercado_Receita!$S$2:$S$2216,"44682B1Convencional pré-pagamentoResidencialResidencial baixa renda – faixa 02Não se aplicaNão se aplicaFora ponta",Mercado_Receita!$L$2:$L$2216)+SUMIF(Mercado_Receita!$S$2:$S$2216,"44682B1Convencional pré-pagamentoResidencialResidencial baixa renda – faixa 02Não se aplicaNão se aplicaIntermediário",Mercado_Receita!$L$2:$L$2216)+SUMIF(Mercado_Receita!$S$2:$S$2216,"44682B1Convencional pré-pagamentoResidencialResidencial baixa renda – faixa 02Não se aplicaNão se aplicaNão se aplica",Mercado_Receita!$L$2:$L$2216)</f>
        <v>0</v>
      </c>
      <c r="S38" s="13">
        <f>SUMIF(Mercado_Receita!$S$2:$S$2216,"44713B1Convencional pré-pagamentoResidencialResidencial baixa renda – faixa 02Não se aplicaNão se aplicaPonta",Mercado_Receita!$L$2:$L$2216)+SUMIF(Mercado_Receita!$S$2:$S$2216,"44713B1Convencional pré-pagamentoResidencialResidencial baixa renda – faixa 02Não se aplicaNão se aplicaFora ponta",Mercado_Receita!$L$2:$L$2216)+SUMIF(Mercado_Receita!$S$2:$S$2216,"44713B1Convencional pré-pagamentoResidencialResidencial baixa renda – faixa 02Não se aplicaNão se aplicaIntermediário",Mercado_Receita!$L$2:$L$2216)+SUMIF(Mercado_Receita!$S$2:$S$2216,"44713B1Convencional pré-pagamentoResidencialResidencial baixa renda – faixa 02Não se aplicaNão se aplicaNão se aplica",Mercado_Receita!$L$2:$L$2216)</f>
        <v>0</v>
      </c>
      <c r="T38" s="13">
        <f>SUMIF(Mercado_Receita!$S$2:$S$2216,"44743B1Convencional pré-pagamentoResidencialResidencial baixa renda – faixa 02Não se aplicaNão se aplicaPonta",Mercado_Receita!$L$2:$L$2216)+SUMIF(Mercado_Receita!$S$2:$S$2216,"44743B1Convencional pré-pagamentoResidencialResidencial baixa renda – faixa 02Não se aplicaNão se aplicaFora ponta",Mercado_Receita!$L$2:$L$2216)+SUMIF(Mercado_Receita!$S$2:$S$2216,"44743B1Convencional pré-pagamentoResidencialResidencial baixa renda – faixa 02Não se aplicaNão se aplicaIntermediário",Mercado_Receita!$L$2:$L$2216)+SUMIF(Mercado_Receita!$S$2:$S$2216,"44743B1Convencional pré-pagamentoResidencialResidencial baixa renda – faixa 02Não se aplicaNão se aplicaNão se aplica",Mercado_Receita!$L$2:$L$2216)</f>
        <v>0</v>
      </c>
      <c r="U38" s="13">
        <f t="shared" si="1"/>
        <v>0</v>
      </c>
      <c r="V38" s="13"/>
      <c r="W38" s="13"/>
    </row>
    <row r="39" spans="1:23" ht="11.25" customHeight="1" x14ac:dyDescent="0.25">
      <c r="A39" s="83"/>
      <c r="B39" s="83"/>
      <c r="C39" s="83"/>
      <c r="D39" s="12" t="s">
        <v>31</v>
      </c>
      <c r="E39" s="12" t="s">
        <v>25</v>
      </c>
      <c r="F39" s="12" t="s">
        <v>25</v>
      </c>
      <c r="G39" s="13" t="s">
        <v>108</v>
      </c>
      <c r="H39" s="13" t="s">
        <v>102</v>
      </c>
      <c r="I39" s="13">
        <f>SUMIF(Mercado_Receita!$S$2:$S$2216,"44409B1Convencional pré-pagamentoResidencialResidencial baixa renda – faixa 03Não se aplicaNão se aplicaPonta",Mercado_Receita!$L$2:$L$2216)+SUMIF(Mercado_Receita!$S$2:$S$2216,"44409B1Convencional pré-pagamentoResidencialResidencial baixa renda – faixa 03Não se aplicaNão se aplicaFora ponta",Mercado_Receita!$L$2:$L$2216)+SUMIF(Mercado_Receita!$S$2:$S$2216,"44409B1Convencional pré-pagamentoResidencialResidencial baixa renda – faixa 03Não se aplicaNão se aplicaIntermediário",Mercado_Receita!$L$2:$L$2216)+SUMIF(Mercado_Receita!$S$2:$S$2216,"44409B1Convencional pré-pagamentoResidencialResidencial baixa renda – faixa 03Não se aplicaNão se aplicaNão se aplica",Mercado_Receita!$L$2:$L$2216)</f>
        <v>0</v>
      </c>
      <c r="J39" s="13">
        <f>SUMIF(Mercado_Receita!$S$2:$S$2216,"44440B1Convencional pré-pagamentoResidencialResidencial baixa renda – faixa 03Não se aplicaNão se aplicaPonta",Mercado_Receita!$L$2:$L$2216)+SUMIF(Mercado_Receita!$S$2:$S$2216,"44440B1Convencional pré-pagamentoResidencialResidencial baixa renda – faixa 03Não se aplicaNão se aplicaFora ponta",Mercado_Receita!$L$2:$L$2216)+SUMIF(Mercado_Receita!$S$2:$S$2216,"44440B1Convencional pré-pagamentoResidencialResidencial baixa renda – faixa 03Não se aplicaNão se aplicaIntermediário",Mercado_Receita!$L$2:$L$2216)+SUMIF(Mercado_Receita!$S$2:$S$2216,"44440B1Convencional pré-pagamentoResidencialResidencial baixa renda – faixa 03Não se aplicaNão se aplicaNão se aplica",Mercado_Receita!$L$2:$L$2216)</f>
        <v>0</v>
      </c>
      <c r="K39" s="13">
        <f>SUMIF(Mercado_Receita!$S$2:$S$2216,"44470B1Convencional pré-pagamentoResidencialResidencial baixa renda – faixa 03Não se aplicaNão se aplicaPonta",Mercado_Receita!$L$2:$L$2216)+SUMIF(Mercado_Receita!$S$2:$S$2216,"44470B1Convencional pré-pagamentoResidencialResidencial baixa renda – faixa 03Não se aplicaNão se aplicaFora ponta",Mercado_Receita!$L$2:$L$2216)+SUMIF(Mercado_Receita!$S$2:$S$2216,"44470B1Convencional pré-pagamentoResidencialResidencial baixa renda – faixa 03Não se aplicaNão se aplicaIntermediário",Mercado_Receita!$L$2:$L$2216)+SUMIF(Mercado_Receita!$S$2:$S$2216,"44470B1Convencional pré-pagamentoResidencialResidencial baixa renda – faixa 03Não se aplicaNão se aplicaNão se aplica",Mercado_Receita!$L$2:$L$2216)</f>
        <v>0</v>
      </c>
      <c r="L39" s="13">
        <f>SUMIF(Mercado_Receita!$S$2:$S$2216,"44501B1Convencional pré-pagamentoResidencialResidencial baixa renda – faixa 03Não se aplicaNão se aplicaPonta",Mercado_Receita!$L$2:$L$2216)+SUMIF(Mercado_Receita!$S$2:$S$2216,"44501B1Convencional pré-pagamentoResidencialResidencial baixa renda – faixa 03Não se aplicaNão se aplicaFora ponta",Mercado_Receita!$L$2:$L$2216)+SUMIF(Mercado_Receita!$S$2:$S$2216,"44501B1Convencional pré-pagamentoResidencialResidencial baixa renda – faixa 03Não se aplicaNão se aplicaIntermediário",Mercado_Receita!$L$2:$L$2216)+SUMIF(Mercado_Receita!$S$2:$S$2216,"44501B1Convencional pré-pagamentoResidencialResidencial baixa renda – faixa 03Não se aplicaNão se aplicaNão se aplica",Mercado_Receita!$L$2:$L$2216)</f>
        <v>0</v>
      </c>
      <c r="M39" s="13">
        <f>SUMIF(Mercado_Receita!$S$2:$S$2216,"44531B1Convencional pré-pagamentoResidencialResidencial baixa renda – faixa 03Não se aplicaNão se aplicaPonta",Mercado_Receita!$L$2:$L$2216)+SUMIF(Mercado_Receita!$S$2:$S$2216,"44531B1Convencional pré-pagamentoResidencialResidencial baixa renda – faixa 03Não se aplicaNão se aplicaFora ponta",Mercado_Receita!$L$2:$L$2216)+SUMIF(Mercado_Receita!$S$2:$S$2216,"44531B1Convencional pré-pagamentoResidencialResidencial baixa renda – faixa 03Não se aplicaNão se aplicaIntermediário",Mercado_Receita!$L$2:$L$2216)+SUMIF(Mercado_Receita!$S$2:$S$2216,"44531B1Convencional pré-pagamentoResidencialResidencial baixa renda – faixa 03Não se aplicaNão se aplicaNão se aplica",Mercado_Receita!$L$2:$L$2216)</f>
        <v>0</v>
      </c>
      <c r="N39" s="13">
        <f>SUMIF(Mercado_Receita!$S$2:$S$2216,"44562B1Convencional pré-pagamentoResidencialResidencial baixa renda – faixa 03Não se aplicaNão se aplicaPonta",Mercado_Receita!$L$2:$L$2216)+SUMIF(Mercado_Receita!$S$2:$S$2216,"44562B1Convencional pré-pagamentoResidencialResidencial baixa renda – faixa 03Não se aplicaNão se aplicaFora ponta",Mercado_Receita!$L$2:$L$2216)+SUMIF(Mercado_Receita!$S$2:$S$2216,"44562B1Convencional pré-pagamentoResidencialResidencial baixa renda – faixa 03Não se aplicaNão se aplicaIntermediário",Mercado_Receita!$L$2:$L$2216)+SUMIF(Mercado_Receita!$S$2:$S$2216,"44562B1Convencional pré-pagamentoResidencialResidencial baixa renda – faixa 03Não se aplicaNão se aplicaNão se aplica",Mercado_Receita!$L$2:$L$2216)</f>
        <v>0</v>
      </c>
      <c r="O39" s="13">
        <f>SUMIF(Mercado_Receita!$S$2:$S$2216,"44593B1Convencional pré-pagamentoResidencialResidencial baixa renda – faixa 03Não se aplicaNão se aplicaPonta",Mercado_Receita!$L$2:$L$2216)+SUMIF(Mercado_Receita!$S$2:$S$2216,"44593B1Convencional pré-pagamentoResidencialResidencial baixa renda – faixa 03Não se aplicaNão se aplicaFora ponta",Mercado_Receita!$L$2:$L$2216)+SUMIF(Mercado_Receita!$S$2:$S$2216,"44593B1Convencional pré-pagamentoResidencialResidencial baixa renda – faixa 03Não se aplicaNão se aplicaIntermediário",Mercado_Receita!$L$2:$L$2216)+SUMIF(Mercado_Receita!$S$2:$S$2216,"44593B1Convencional pré-pagamentoResidencialResidencial baixa renda – faixa 03Não se aplicaNão se aplicaNão se aplica",Mercado_Receita!$L$2:$L$2216)</f>
        <v>0</v>
      </c>
      <c r="P39" s="13">
        <f>SUMIF(Mercado_Receita!$S$2:$S$2216,"44621B1Convencional pré-pagamentoResidencialResidencial baixa renda – faixa 03Não se aplicaNão se aplicaPonta",Mercado_Receita!$L$2:$L$2216)+SUMIF(Mercado_Receita!$S$2:$S$2216,"44621B1Convencional pré-pagamentoResidencialResidencial baixa renda – faixa 03Não se aplicaNão se aplicaFora ponta",Mercado_Receita!$L$2:$L$2216)+SUMIF(Mercado_Receita!$S$2:$S$2216,"44621B1Convencional pré-pagamentoResidencialResidencial baixa renda – faixa 03Não se aplicaNão se aplicaIntermediário",Mercado_Receita!$L$2:$L$2216)+SUMIF(Mercado_Receita!$S$2:$S$2216,"44621B1Convencional pré-pagamentoResidencialResidencial baixa renda – faixa 03Não se aplicaNão se aplicaNão se aplica",Mercado_Receita!$L$2:$L$2216)</f>
        <v>0</v>
      </c>
      <c r="Q39" s="13">
        <f>SUMIF(Mercado_Receita!$S$2:$S$2216,"44652B1Convencional pré-pagamentoResidencialResidencial baixa renda – faixa 03Não se aplicaNão se aplicaPonta",Mercado_Receita!$L$2:$L$2216)+SUMIF(Mercado_Receita!$S$2:$S$2216,"44652B1Convencional pré-pagamentoResidencialResidencial baixa renda – faixa 03Não se aplicaNão se aplicaFora ponta",Mercado_Receita!$L$2:$L$2216)+SUMIF(Mercado_Receita!$S$2:$S$2216,"44652B1Convencional pré-pagamentoResidencialResidencial baixa renda – faixa 03Não se aplicaNão se aplicaIntermediário",Mercado_Receita!$L$2:$L$2216)+SUMIF(Mercado_Receita!$S$2:$S$2216,"44652B1Convencional pré-pagamentoResidencialResidencial baixa renda – faixa 03Não se aplicaNão se aplicaNão se aplica",Mercado_Receita!$L$2:$L$2216)</f>
        <v>0</v>
      </c>
      <c r="R39" s="13">
        <f>SUMIF(Mercado_Receita!$S$2:$S$2216,"44682B1Convencional pré-pagamentoResidencialResidencial baixa renda – faixa 03Não se aplicaNão se aplicaPonta",Mercado_Receita!$L$2:$L$2216)+SUMIF(Mercado_Receita!$S$2:$S$2216,"44682B1Convencional pré-pagamentoResidencialResidencial baixa renda – faixa 03Não se aplicaNão se aplicaFora ponta",Mercado_Receita!$L$2:$L$2216)+SUMIF(Mercado_Receita!$S$2:$S$2216,"44682B1Convencional pré-pagamentoResidencialResidencial baixa renda – faixa 03Não se aplicaNão se aplicaIntermediário",Mercado_Receita!$L$2:$L$2216)+SUMIF(Mercado_Receita!$S$2:$S$2216,"44682B1Convencional pré-pagamentoResidencialResidencial baixa renda – faixa 03Não se aplicaNão se aplicaNão se aplica",Mercado_Receita!$L$2:$L$2216)</f>
        <v>0</v>
      </c>
      <c r="S39" s="13">
        <f>SUMIF(Mercado_Receita!$S$2:$S$2216,"44713B1Convencional pré-pagamentoResidencialResidencial baixa renda – faixa 03Não se aplicaNão se aplicaPonta",Mercado_Receita!$L$2:$L$2216)+SUMIF(Mercado_Receita!$S$2:$S$2216,"44713B1Convencional pré-pagamentoResidencialResidencial baixa renda – faixa 03Não se aplicaNão se aplicaFora ponta",Mercado_Receita!$L$2:$L$2216)+SUMIF(Mercado_Receita!$S$2:$S$2216,"44713B1Convencional pré-pagamentoResidencialResidencial baixa renda – faixa 03Não se aplicaNão se aplicaIntermediário",Mercado_Receita!$L$2:$L$2216)+SUMIF(Mercado_Receita!$S$2:$S$2216,"44713B1Convencional pré-pagamentoResidencialResidencial baixa renda – faixa 03Não se aplicaNão se aplicaNão se aplica",Mercado_Receita!$L$2:$L$2216)</f>
        <v>0</v>
      </c>
      <c r="T39" s="13">
        <f>SUMIF(Mercado_Receita!$S$2:$S$2216,"44743B1Convencional pré-pagamentoResidencialResidencial baixa renda – faixa 03Não se aplicaNão se aplicaPonta",Mercado_Receita!$L$2:$L$2216)+SUMIF(Mercado_Receita!$S$2:$S$2216,"44743B1Convencional pré-pagamentoResidencialResidencial baixa renda – faixa 03Não se aplicaNão se aplicaFora ponta",Mercado_Receita!$L$2:$L$2216)+SUMIF(Mercado_Receita!$S$2:$S$2216,"44743B1Convencional pré-pagamentoResidencialResidencial baixa renda – faixa 03Não se aplicaNão se aplicaIntermediário",Mercado_Receita!$L$2:$L$2216)+SUMIF(Mercado_Receita!$S$2:$S$2216,"44743B1Convencional pré-pagamentoResidencialResidencial baixa renda – faixa 03Não se aplicaNão se aplicaNão se aplica",Mercado_Receita!$L$2:$L$2216)</f>
        <v>0</v>
      </c>
      <c r="U39" s="13">
        <f t="shared" si="1"/>
        <v>0</v>
      </c>
      <c r="V39" s="13"/>
      <c r="W39" s="13"/>
    </row>
    <row r="40" spans="1:23" ht="11.25" customHeight="1" x14ac:dyDescent="0.25">
      <c r="A40" s="83"/>
      <c r="B40" s="83"/>
      <c r="C40" s="83"/>
      <c r="D40" s="12" t="s">
        <v>32</v>
      </c>
      <c r="E40" s="12" t="s">
        <v>25</v>
      </c>
      <c r="F40" s="12" t="s">
        <v>25</v>
      </c>
      <c r="G40" s="13" t="s">
        <v>108</v>
      </c>
      <c r="H40" s="13" t="s">
        <v>102</v>
      </c>
      <c r="I40" s="13">
        <f>SUMIF(Mercado_Receita!$S$2:$S$2216,"44409B1Convencional pré-pagamentoResidencialResidencial baixa renda – faixa 04Não se aplicaNão se aplicaPonta",Mercado_Receita!$L$2:$L$2216)+SUMIF(Mercado_Receita!$S$2:$S$2216,"44409B1Convencional pré-pagamentoResidencialResidencial baixa renda – faixa 04Não se aplicaNão se aplicaFora ponta",Mercado_Receita!$L$2:$L$2216)+SUMIF(Mercado_Receita!$S$2:$S$2216,"44409B1Convencional pré-pagamentoResidencialResidencial baixa renda – faixa 04Não se aplicaNão se aplicaIntermediário",Mercado_Receita!$L$2:$L$2216)+SUMIF(Mercado_Receita!$S$2:$S$2216,"44409B1Convencional pré-pagamentoResidencialResidencial baixa renda – faixa 04Não se aplicaNão se aplicaNão se aplica",Mercado_Receita!$L$2:$L$2216)</f>
        <v>0</v>
      </c>
      <c r="J40" s="13">
        <f>SUMIF(Mercado_Receita!$S$2:$S$2216,"44440B1Convencional pré-pagamentoResidencialResidencial baixa renda – faixa 04Não se aplicaNão se aplicaPonta",Mercado_Receita!$L$2:$L$2216)+SUMIF(Mercado_Receita!$S$2:$S$2216,"44440B1Convencional pré-pagamentoResidencialResidencial baixa renda – faixa 04Não se aplicaNão se aplicaFora ponta",Mercado_Receita!$L$2:$L$2216)+SUMIF(Mercado_Receita!$S$2:$S$2216,"44440B1Convencional pré-pagamentoResidencialResidencial baixa renda – faixa 04Não se aplicaNão se aplicaIntermediário",Mercado_Receita!$L$2:$L$2216)+SUMIF(Mercado_Receita!$S$2:$S$2216,"44440B1Convencional pré-pagamentoResidencialResidencial baixa renda – faixa 04Não se aplicaNão se aplicaNão se aplica",Mercado_Receita!$L$2:$L$2216)</f>
        <v>0</v>
      </c>
      <c r="K40" s="13">
        <f>SUMIF(Mercado_Receita!$S$2:$S$2216,"44470B1Convencional pré-pagamentoResidencialResidencial baixa renda – faixa 04Não se aplicaNão se aplicaPonta",Mercado_Receita!$L$2:$L$2216)+SUMIF(Mercado_Receita!$S$2:$S$2216,"44470B1Convencional pré-pagamentoResidencialResidencial baixa renda – faixa 04Não se aplicaNão se aplicaFora ponta",Mercado_Receita!$L$2:$L$2216)+SUMIF(Mercado_Receita!$S$2:$S$2216,"44470B1Convencional pré-pagamentoResidencialResidencial baixa renda – faixa 04Não se aplicaNão se aplicaIntermediário",Mercado_Receita!$L$2:$L$2216)+SUMIF(Mercado_Receita!$S$2:$S$2216,"44470B1Convencional pré-pagamentoResidencialResidencial baixa renda – faixa 04Não se aplicaNão se aplicaNão se aplica",Mercado_Receita!$L$2:$L$2216)</f>
        <v>0</v>
      </c>
      <c r="L40" s="13">
        <f>SUMIF(Mercado_Receita!$S$2:$S$2216,"44501B1Convencional pré-pagamentoResidencialResidencial baixa renda – faixa 04Não se aplicaNão se aplicaPonta",Mercado_Receita!$L$2:$L$2216)+SUMIF(Mercado_Receita!$S$2:$S$2216,"44501B1Convencional pré-pagamentoResidencialResidencial baixa renda – faixa 04Não se aplicaNão se aplicaFora ponta",Mercado_Receita!$L$2:$L$2216)+SUMIF(Mercado_Receita!$S$2:$S$2216,"44501B1Convencional pré-pagamentoResidencialResidencial baixa renda – faixa 04Não se aplicaNão se aplicaIntermediário",Mercado_Receita!$L$2:$L$2216)+SUMIF(Mercado_Receita!$S$2:$S$2216,"44501B1Convencional pré-pagamentoResidencialResidencial baixa renda – faixa 04Não se aplicaNão se aplicaNão se aplica",Mercado_Receita!$L$2:$L$2216)</f>
        <v>0</v>
      </c>
      <c r="M40" s="13">
        <f>SUMIF(Mercado_Receita!$S$2:$S$2216,"44531B1Convencional pré-pagamentoResidencialResidencial baixa renda – faixa 04Não se aplicaNão se aplicaPonta",Mercado_Receita!$L$2:$L$2216)+SUMIF(Mercado_Receita!$S$2:$S$2216,"44531B1Convencional pré-pagamentoResidencialResidencial baixa renda – faixa 04Não se aplicaNão se aplicaFora ponta",Mercado_Receita!$L$2:$L$2216)+SUMIF(Mercado_Receita!$S$2:$S$2216,"44531B1Convencional pré-pagamentoResidencialResidencial baixa renda – faixa 04Não se aplicaNão se aplicaIntermediário",Mercado_Receita!$L$2:$L$2216)+SUMIF(Mercado_Receita!$S$2:$S$2216,"44531B1Convencional pré-pagamentoResidencialResidencial baixa renda – faixa 04Não se aplicaNão se aplicaNão se aplica",Mercado_Receita!$L$2:$L$2216)</f>
        <v>0</v>
      </c>
      <c r="N40" s="13">
        <f>SUMIF(Mercado_Receita!$S$2:$S$2216,"44562B1Convencional pré-pagamentoResidencialResidencial baixa renda – faixa 04Não se aplicaNão se aplicaPonta",Mercado_Receita!$L$2:$L$2216)+SUMIF(Mercado_Receita!$S$2:$S$2216,"44562B1Convencional pré-pagamentoResidencialResidencial baixa renda – faixa 04Não se aplicaNão se aplicaFora ponta",Mercado_Receita!$L$2:$L$2216)+SUMIF(Mercado_Receita!$S$2:$S$2216,"44562B1Convencional pré-pagamentoResidencialResidencial baixa renda – faixa 04Não se aplicaNão se aplicaIntermediário",Mercado_Receita!$L$2:$L$2216)+SUMIF(Mercado_Receita!$S$2:$S$2216,"44562B1Convencional pré-pagamentoResidencialResidencial baixa renda – faixa 04Não se aplicaNão se aplicaNão se aplica",Mercado_Receita!$L$2:$L$2216)</f>
        <v>0</v>
      </c>
      <c r="O40" s="13">
        <f>SUMIF(Mercado_Receita!$S$2:$S$2216,"44593B1Convencional pré-pagamentoResidencialResidencial baixa renda – faixa 04Não se aplicaNão se aplicaPonta",Mercado_Receita!$L$2:$L$2216)+SUMIF(Mercado_Receita!$S$2:$S$2216,"44593B1Convencional pré-pagamentoResidencialResidencial baixa renda – faixa 04Não se aplicaNão se aplicaFora ponta",Mercado_Receita!$L$2:$L$2216)+SUMIF(Mercado_Receita!$S$2:$S$2216,"44593B1Convencional pré-pagamentoResidencialResidencial baixa renda – faixa 04Não se aplicaNão se aplicaIntermediário",Mercado_Receita!$L$2:$L$2216)+SUMIF(Mercado_Receita!$S$2:$S$2216,"44593B1Convencional pré-pagamentoResidencialResidencial baixa renda – faixa 04Não se aplicaNão se aplicaNão se aplica",Mercado_Receita!$L$2:$L$2216)</f>
        <v>0</v>
      </c>
      <c r="P40" s="13">
        <f>SUMIF(Mercado_Receita!$S$2:$S$2216,"44621B1Convencional pré-pagamentoResidencialResidencial baixa renda – faixa 04Não se aplicaNão se aplicaPonta",Mercado_Receita!$L$2:$L$2216)+SUMIF(Mercado_Receita!$S$2:$S$2216,"44621B1Convencional pré-pagamentoResidencialResidencial baixa renda – faixa 04Não se aplicaNão se aplicaFora ponta",Mercado_Receita!$L$2:$L$2216)+SUMIF(Mercado_Receita!$S$2:$S$2216,"44621B1Convencional pré-pagamentoResidencialResidencial baixa renda – faixa 04Não se aplicaNão se aplicaIntermediário",Mercado_Receita!$L$2:$L$2216)+SUMIF(Mercado_Receita!$S$2:$S$2216,"44621B1Convencional pré-pagamentoResidencialResidencial baixa renda – faixa 04Não se aplicaNão se aplicaNão se aplica",Mercado_Receita!$L$2:$L$2216)</f>
        <v>0</v>
      </c>
      <c r="Q40" s="13">
        <f>SUMIF(Mercado_Receita!$S$2:$S$2216,"44652B1Convencional pré-pagamentoResidencialResidencial baixa renda – faixa 04Não se aplicaNão se aplicaPonta",Mercado_Receita!$L$2:$L$2216)+SUMIF(Mercado_Receita!$S$2:$S$2216,"44652B1Convencional pré-pagamentoResidencialResidencial baixa renda – faixa 04Não se aplicaNão se aplicaFora ponta",Mercado_Receita!$L$2:$L$2216)+SUMIF(Mercado_Receita!$S$2:$S$2216,"44652B1Convencional pré-pagamentoResidencialResidencial baixa renda – faixa 04Não se aplicaNão se aplicaIntermediário",Mercado_Receita!$L$2:$L$2216)+SUMIF(Mercado_Receita!$S$2:$S$2216,"44652B1Convencional pré-pagamentoResidencialResidencial baixa renda – faixa 04Não se aplicaNão se aplicaNão se aplica",Mercado_Receita!$L$2:$L$2216)</f>
        <v>0</v>
      </c>
      <c r="R40" s="13">
        <f>SUMIF(Mercado_Receita!$S$2:$S$2216,"44682B1Convencional pré-pagamentoResidencialResidencial baixa renda – faixa 04Não se aplicaNão se aplicaPonta",Mercado_Receita!$L$2:$L$2216)+SUMIF(Mercado_Receita!$S$2:$S$2216,"44682B1Convencional pré-pagamentoResidencialResidencial baixa renda – faixa 04Não se aplicaNão se aplicaFora ponta",Mercado_Receita!$L$2:$L$2216)+SUMIF(Mercado_Receita!$S$2:$S$2216,"44682B1Convencional pré-pagamentoResidencialResidencial baixa renda – faixa 04Não se aplicaNão se aplicaIntermediário",Mercado_Receita!$L$2:$L$2216)+SUMIF(Mercado_Receita!$S$2:$S$2216,"44682B1Convencional pré-pagamentoResidencialResidencial baixa renda – faixa 04Não se aplicaNão se aplicaNão se aplica",Mercado_Receita!$L$2:$L$2216)</f>
        <v>0</v>
      </c>
      <c r="S40" s="13">
        <f>SUMIF(Mercado_Receita!$S$2:$S$2216,"44713B1Convencional pré-pagamentoResidencialResidencial baixa renda – faixa 04Não se aplicaNão se aplicaPonta",Mercado_Receita!$L$2:$L$2216)+SUMIF(Mercado_Receita!$S$2:$S$2216,"44713B1Convencional pré-pagamentoResidencialResidencial baixa renda – faixa 04Não se aplicaNão se aplicaFora ponta",Mercado_Receita!$L$2:$L$2216)+SUMIF(Mercado_Receita!$S$2:$S$2216,"44713B1Convencional pré-pagamentoResidencialResidencial baixa renda – faixa 04Não se aplicaNão se aplicaIntermediário",Mercado_Receita!$L$2:$L$2216)+SUMIF(Mercado_Receita!$S$2:$S$2216,"44713B1Convencional pré-pagamentoResidencialResidencial baixa renda – faixa 04Não se aplicaNão se aplicaNão se aplica",Mercado_Receita!$L$2:$L$2216)</f>
        <v>0</v>
      </c>
      <c r="T40" s="13">
        <f>SUMIF(Mercado_Receita!$S$2:$S$2216,"44743B1Convencional pré-pagamentoResidencialResidencial baixa renda – faixa 04Não se aplicaNão se aplicaPonta",Mercado_Receita!$L$2:$L$2216)+SUMIF(Mercado_Receita!$S$2:$S$2216,"44743B1Convencional pré-pagamentoResidencialResidencial baixa renda – faixa 04Não se aplicaNão se aplicaFora ponta",Mercado_Receita!$L$2:$L$2216)+SUMIF(Mercado_Receita!$S$2:$S$2216,"44743B1Convencional pré-pagamentoResidencialResidencial baixa renda – faixa 04Não se aplicaNão se aplicaIntermediário",Mercado_Receita!$L$2:$L$2216)+SUMIF(Mercado_Receita!$S$2:$S$2216,"44743B1Convencional pré-pagamentoResidencialResidencial baixa renda – faixa 04Não se aplicaNão se aplicaNão se aplica",Mercado_Receita!$L$2:$L$2216)</f>
        <v>0</v>
      </c>
      <c r="U40" s="13">
        <f t="shared" si="1"/>
        <v>0</v>
      </c>
      <c r="V40" s="13"/>
      <c r="W40" s="13"/>
    </row>
    <row r="41" spans="1:23" ht="11.25" customHeight="1" x14ac:dyDescent="0.25">
      <c r="A41" s="82" t="s">
        <v>44</v>
      </c>
      <c r="B41" s="82" t="s">
        <v>33</v>
      </c>
      <c r="C41" s="82" t="s">
        <v>45</v>
      </c>
      <c r="D41" s="82" t="s">
        <v>25</v>
      </c>
      <c r="E41" s="82" t="s">
        <v>25</v>
      </c>
      <c r="F41" s="82" t="s">
        <v>25</v>
      </c>
      <c r="G41" s="13" t="s">
        <v>103</v>
      </c>
      <c r="H41" s="13" t="s">
        <v>102</v>
      </c>
      <c r="I41" s="13">
        <f>SUMIF(Mercado_Receita!$S$2:$S$2216,"44409B2BrancaRuralNão se aplicaNão se aplicaNão se aplicaPonta",Mercado_Receita!$L$2:$L$2216)</f>
        <v>0.37</v>
      </c>
      <c r="J41" s="13">
        <f>SUMIF(Mercado_Receita!$S$2:$S$2216,"44440B2BrancaRuralNão se aplicaNão se aplicaNão se aplicaPonta",Mercado_Receita!$L$2:$L$2216)</f>
        <v>0.40400000000000003</v>
      </c>
      <c r="K41" s="13">
        <f>SUMIF(Mercado_Receita!$S$2:$S$2216,"44470B2BrancaRuralNão se aplicaNão se aplicaNão se aplicaPonta",Mercado_Receita!$L$2:$L$2216)</f>
        <v>0.36799999999999999</v>
      </c>
      <c r="L41" s="13">
        <f>SUMIF(Mercado_Receita!$S$2:$S$2216,"44501B2BrancaRuralNão se aplicaNão se aplicaNão se aplicaPonta",Mercado_Receita!$L$2:$L$2216)</f>
        <v>0.45699999999999996</v>
      </c>
      <c r="M41" s="13">
        <f>SUMIF(Mercado_Receita!$S$2:$S$2216,"44531B2BrancaRuralNão se aplicaNão se aplicaNão se aplicaPonta",Mercado_Receita!$L$2:$L$2216)</f>
        <v>0.379</v>
      </c>
      <c r="N41" s="13">
        <f>SUMIF(Mercado_Receita!$S$2:$S$2216,"44562B2BrancaRuralNão se aplicaNão se aplicaNão se aplicaPonta",Mercado_Receita!$L$2:$L$2216)</f>
        <v>0.53300000000000003</v>
      </c>
      <c r="O41" s="13">
        <f>SUMIF(Mercado_Receita!$S$2:$S$2216,"44593B2BrancaRuralNão se aplicaNão se aplicaNão se aplicaPonta",Mercado_Receita!$L$2:$L$2216)</f>
        <v>0.312</v>
      </c>
      <c r="P41" s="13">
        <f>SUMIF(Mercado_Receita!$S$2:$S$2216,"44621B2BrancaRuralNão se aplicaNão se aplicaNão se aplicaPonta",Mercado_Receita!$L$2:$L$2216)</f>
        <v>0.23499999999999999</v>
      </c>
      <c r="Q41" s="13">
        <f>SUMIF(Mercado_Receita!$S$2:$S$2216,"44652B2BrancaRuralNão se aplicaNão se aplicaNão se aplicaPonta",Mercado_Receita!$L$2:$L$2216)</f>
        <v>0.216</v>
      </c>
      <c r="R41" s="13">
        <f>SUMIF(Mercado_Receita!$S$2:$S$2216,"44682B2BrancaRuralNão se aplicaNão se aplicaNão se aplicaPonta",Mercado_Receita!$L$2:$L$2216)</f>
        <v>0.23499999999999999</v>
      </c>
      <c r="S41" s="13">
        <f>SUMIF(Mercado_Receita!$S$2:$S$2216,"44713B2BrancaRuralNão se aplicaNão se aplicaNão se aplicaPonta",Mercado_Receita!$L$2:$L$2216)</f>
        <v>0.218</v>
      </c>
      <c r="T41" s="13">
        <f>SUMIF(Mercado_Receita!$S$2:$S$2216,"44743B2BrancaRuralNão se aplicaNão se aplicaNão se aplicaPonta",Mercado_Receita!$L$2:$L$2216)</f>
        <v>0.218</v>
      </c>
      <c r="U41" s="13">
        <f t="shared" si="1"/>
        <v>3.9449999999999994</v>
      </c>
      <c r="V41" s="13"/>
      <c r="W41" s="13"/>
    </row>
    <row r="42" spans="1:23" ht="11.25" customHeight="1" x14ac:dyDescent="0.25">
      <c r="A42" s="83"/>
      <c r="B42" s="83"/>
      <c r="C42" s="83"/>
      <c r="D42" s="83"/>
      <c r="E42" s="83"/>
      <c r="F42" s="83"/>
      <c r="G42" s="13" t="s">
        <v>113</v>
      </c>
      <c r="H42" s="13" t="s">
        <v>102</v>
      </c>
      <c r="I42" s="13">
        <f>SUMIF(Mercado_Receita!$S$2:$S$2216,"44409B2BrancaRuralNão se aplicaNão se aplicaNão se aplicaIntermediário",Mercado_Receita!$L$2:$L$2216)</f>
        <v>0.43</v>
      </c>
      <c r="J42" s="13">
        <f>SUMIF(Mercado_Receita!$S$2:$S$2216,"44440B2BrancaRuralNão se aplicaNão se aplicaNão se aplicaIntermediário",Mercado_Receita!$L$2:$L$2216)</f>
        <v>0.621</v>
      </c>
      <c r="K42" s="13">
        <f>SUMIF(Mercado_Receita!$S$2:$S$2216,"44470B2BrancaRuralNão se aplicaNão se aplicaNão se aplicaIntermediário",Mercado_Receita!$L$2:$L$2216)</f>
        <v>0.439</v>
      </c>
      <c r="L42" s="13">
        <f>SUMIF(Mercado_Receita!$S$2:$S$2216,"44501B2BrancaRuralNão se aplicaNão se aplicaNão se aplicaIntermediário",Mercado_Receita!$L$2:$L$2216)</f>
        <v>0.6</v>
      </c>
      <c r="M42" s="13">
        <f>SUMIF(Mercado_Receita!$S$2:$S$2216,"44531B2BrancaRuralNão se aplicaNão se aplicaNão se aplicaIntermediário",Mercado_Receita!$L$2:$L$2216)</f>
        <v>0.52800000000000002</v>
      </c>
      <c r="N42" s="13">
        <f>SUMIF(Mercado_Receita!$S$2:$S$2216,"44562B2BrancaRuralNão se aplicaNão se aplicaNão se aplicaIntermediário",Mercado_Receita!$L$2:$L$2216)</f>
        <v>0.53100000000000003</v>
      </c>
      <c r="O42" s="13">
        <f>SUMIF(Mercado_Receita!$S$2:$S$2216,"44593B2BrancaRuralNão se aplicaNão se aplicaNão se aplicaIntermediário",Mercado_Receita!$L$2:$L$2216)</f>
        <v>0.34799999999999998</v>
      </c>
      <c r="P42" s="13">
        <f>SUMIF(Mercado_Receita!$S$2:$S$2216,"44621B2BrancaRuralNão se aplicaNão se aplicaNão se aplicaIntermediário",Mercado_Receita!$L$2:$L$2216)</f>
        <v>0.16300000000000001</v>
      </c>
      <c r="Q42" s="13">
        <f>SUMIF(Mercado_Receita!$S$2:$S$2216,"44652B2BrancaRuralNão se aplicaNão se aplicaNão se aplicaIntermediário",Mercado_Receita!$L$2:$L$2216)</f>
        <v>0.14199999999999999</v>
      </c>
      <c r="R42" s="13">
        <f>SUMIF(Mercado_Receita!$S$2:$S$2216,"44682B2BrancaRuralNão se aplicaNão se aplicaNão se aplicaIntermediário",Mercado_Receita!$L$2:$L$2216)</f>
        <v>0.154</v>
      </c>
      <c r="S42" s="13">
        <f>SUMIF(Mercado_Receita!$S$2:$S$2216,"44713B2BrancaRuralNão se aplicaNão se aplicaNão se aplicaIntermediário",Mercado_Receita!$L$2:$L$2216)</f>
        <v>0.14000000000000001</v>
      </c>
      <c r="T42" s="13">
        <f>SUMIF(Mercado_Receita!$S$2:$S$2216,"44743B2BrancaRuralNão se aplicaNão se aplicaNão se aplicaIntermediário",Mercado_Receita!$L$2:$L$2216)</f>
        <v>0.14000000000000001</v>
      </c>
      <c r="U42" s="13">
        <f t="shared" si="1"/>
        <v>4.2359999999999989</v>
      </c>
      <c r="V42" s="13"/>
      <c r="W42" s="13"/>
    </row>
    <row r="43" spans="1:23" ht="11.25" customHeight="1" x14ac:dyDescent="0.25">
      <c r="A43" s="83"/>
      <c r="B43" s="83"/>
      <c r="C43" s="83"/>
      <c r="D43" s="83"/>
      <c r="E43" s="83"/>
      <c r="F43" s="83"/>
      <c r="G43" s="13" t="s">
        <v>104</v>
      </c>
      <c r="H43" s="13" t="s">
        <v>102</v>
      </c>
      <c r="I43" s="13">
        <f>SUMIF(Mercado_Receita!$S$2:$S$2216,"44409B2BrancaRuralNão se aplicaNão se aplicaNão se aplicaFora ponta",Mercado_Receita!$L$2:$L$2216)</f>
        <v>12.946</v>
      </c>
      <c r="J43" s="13">
        <f>SUMIF(Mercado_Receita!$S$2:$S$2216,"44440B2BrancaRuralNão se aplicaNão se aplicaNão se aplicaFora ponta",Mercado_Receita!$L$2:$L$2216)</f>
        <v>17.757999999999999</v>
      </c>
      <c r="K43" s="13">
        <f>SUMIF(Mercado_Receita!$S$2:$S$2216,"44470B2BrancaRuralNão se aplicaNão se aplicaNão se aplicaFora ponta",Mercado_Receita!$L$2:$L$2216)</f>
        <v>14.688000000000001</v>
      </c>
      <c r="L43" s="13">
        <f>SUMIF(Mercado_Receita!$S$2:$S$2216,"44501B2BrancaRuralNão se aplicaNão se aplicaNão se aplicaFora ponta",Mercado_Receita!$L$2:$L$2216)</f>
        <v>16.554000000000002</v>
      </c>
      <c r="M43" s="13">
        <f>SUMIF(Mercado_Receita!$S$2:$S$2216,"44531B2BrancaRuralNão se aplicaNão se aplicaNão se aplicaFora ponta",Mercado_Receita!$L$2:$L$2216)</f>
        <v>12.581</v>
      </c>
      <c r="N43" s="13">
        <f>SUMIF(Mercado_Receita!$S$2:$S$2216,"44562B2BrancaRuralNão se aplicaNão se aplicaNão se aplicaFora ponta",Mercado_Receita!$L$2:$L$2216)</f>
        <v>10.922000000000001</v>
      </c>
      <c r="O43" s="13">
        <f>SUMIF(Mercado_Receita!$S$2:$S$2216,"44593B2BrancaRuralNão se aplicaNão se aplicaNão se aplicaFora ponta",Mercado_Receita!$L$2:$L$2216)</f>
        <v>6.39</v>
      </c>
      <c r="P43" s="13">
        <f>SUMIF(Mercado_Receita!$S$2:$S$2216,"44621B2BrancaRuralNão se aplicaNão se aplicaNão se aplicaFora ponta",Mercado_Receita!$L$2:$L$2216)</f>
        <v>3.0859999999999999</v>
      </c>
      <c r="Q43" s="13">
        <f>SUMIF(Mercado_Receita!$S$2:$S$2216,"44652B2BrancaRuralNão se aplicaNão se aplicaNão se aplicaFora ponta",Mercado_Receita!$L$2:$L$2216)</f>
        <v>2.5569999999999999</v>
      </c>
      <c r="R43" s="13">
        <f>SUMIF(Mercado_Receita!$S$2:$S$2216,"44682B2BrancaRuralNão se aplicaNão se aplicaNão se aplicaFora ponta",Mercado_Receita!$L$2:$L$2216)</f>
        <v>3.3130000000000002</v>
      </c>
      <c r="S43" s="13">
        <f>SUMIF(Mercado_Receita!$S$2:$S$2216,"44713B2BrancaRuralNão se aplicaNão se aplicaNão se aplicaFora ponta",Mercado_Receita!$L$2:$L$2216)</f>
        <v>2.52</v>
      </c>
      <c r="T43" s="13">
        <f>SUMIF(Mercado_Receita!$S$2:$S$2216,"44743B2BrancaRuralNão se aplicaNão se aplicaNão se aplicaFora ponta",Mercado_Receita!$L$2:$L$2216)</f>
        <v>2.52</v>
      </c>
      <c r="U43" s="13">
        <f t="shared" si="1"/>
        <v>105.83499999999999</v>
      </c>
      <c r="V43" s="13"/>
      <c r="W43" s="13"/>
    </row>
    <row r="44" spans="1:23" ht="11.25" customHeight="1" x14ac:dyDescent="0.25">
      <c r="A44" s="83"/>
      <c r="B44" s="12" t="s">
        <v>23</v>
      </c>
      <c r="C44" s="12" t="s">
        <v>45</v>
      </c>
      <c r="D44" s="12" t="s">
        <v>25</v>
      </c>
      <c r="E44" s="12" t="s">
        <v>25</v>
      </c>
      <c r="F44" s="12" t="s">
        <v>25</v>
      </c>
      <c r="G44" s="13" t="s">
        <v>108</v>
      </c>
      <c r="H44" s="13" t="s">
        <v>102</v>
      </c>
      <c r="I44" s="13">
        <f>SUMIF(Mercado_Receita!$S$2:$S$2216,"44409B2ConvencionalRuralNão se aplicaNão se aplicaNão se aplicaPonta",Mercado_Receita!$L$2:$L$2216)+SUMIF(Mercado_Receita!$S$2:$S$2216,"44409B2ConvencionalRuralNão se aplicaNão se aplicaNão se aplicaFora ponta",Mercado_Receita!$L$2:$L$2216)+SUMIF(Mercado_Receita!$S$2:$S$2216,"44409B2ConvencionalRuralNão se aplicaNão se aplicaNão se aplicaIntermediário",Mercado_Receita!$L$2:$L$2216)+SUMIF(Mercado_Receita!$S$2:$S$2216,"44409B2ConvencionalRuralNão se aplicaNão se aplicaNão se aplicaNão se aplica",Mercado_Receita!$L$2:$L$2216)</f>
        <v>23242.507000000001</v>
      </c>
      <c r="J44" s="13">
        <f>SUMIF(Mercado_Receita!$S$2:$S$2216,"44440B2ConvencionalRuralNão se aplicaNão se aplicaNão se aplicaPonta",Mercado_Receita!$L$2:$L$2216)+SUMIF(Mercado_Receita!$S$2:$S$2216,"44440B2ConvencionalRuralNão se aplicaNão se aplicaNão se aplicaFora ponta",Mercado_Receita!$L$2:$L$2216)+SUMIF(Mercado_Receita!$S$2:$S$2216,"44440B2ConvencionalRuralNão se aplicaNão se aplicaNão se aplicaIntermediário",Mercado_Receita!$L$2:$L$2216)+SUMIF(Mercado_Receita!$S$2:$S$2216,"44440B2ConvencionalRuralNão se aplicaNão se aplicaNão se aplicaNão se aplica",Mercado_Receita!$L$2:$L$2216)</f>
        <v>24232.879999999997</v>
      </c>
      <c r="K44" s="13">
        <f>SUMIF(Mercado_Receita!$S$2:$S$2216,"44470B2ConvencionalRuralNão se aplicaNão se aplicaNão se aplicaPonta",Mercado_Receita!$L$2:$L$2216)+SUMIF(Mercado_Receita!$S$2:$S$2216,"44470B2ConvencionalRuralNão se aplicaNão se aplicaNão se aplicaFora ponta",Mercado_Receita!$L$2:$L$2216)+SUMIF(Mercado_Receita!$S$2:$S$2216,"44470B2ConvencionalRuralNão se aplicaNão se aplicaNão se aplicaIntermediário",Mercado_Receita!$L$2:$L$2216)+SUMIF(Mercado_Receita!$S$2:$S$2216,"44470B2ConvencionalRuralNão se aplicaNão se aplicaNão se aplicaNão se aplica",Mercado_Receita!$L$2:$L$2216)</f>
        <v>26578.581000000002</v>
      </c>
      <c r="L44" s="13">
        <f>SUMIF(Mercado_Receita!$S$2:$S$2216,"44501B2ConvencionalRuralNão se aplicaNão se aplicaNão se aplicaPonta",Mercado_Receita!$L$2:$L$2216)+SUMIF(Mercado_Receita!$S$2:$S$2216,"44501B2ConvencionalRuralNão se aplicaNão se aplicaNão se aplicaFora ponta",Mercado_Receita!$L$2:$L$2216)+SUMIF(Mercado_Receita!$S$2:$S$2216,"44501B2ConvencionalRuralNão se aplicaNão se aplicaNão se aplicaIntermediário",Mercado_Receita!$L$2:$L$2216)+SUMIF(Mercado_Receita!$S$2:$S$2216,"44501B2ConvencionalRuralNão se aplicaNão se aplicaNão se aplicaNão se aplica",Mercado_Receita!$L$2:$L$2216)</f>
        <v>26705.179</v>
      </c>
      <c r="M44" s="13">
        <f>SUMIF(Mercado_Receita!$S$2:$S$2216,"44531B2ConvencionalRuralNão se aplicaNão se aplicaNão se aplicaPonta",Mercado_Receita!$L$2:$L$2216)+SUMIF(Mercado_Receita!$S$2:$S$2216,"44531B2ConvencionalRuralNão se aplicaNão se aplicaNão se aplicaFora ponta",Mercado_Receita!$L$2:$L$2216)+SUMIF(Mercado_Receita!$S$2:$S$2216,"44531B2ConvencionalRuralNão se aplicaNão se aplicaNão se aplicaIntermediário",Mercado_Receita!$L$2:$L$2216)+SUMIF(Mercado_Receita!$S$2:$S$2216,"44531B2ConvencionalRuralNão se aplicaNão se aplicaNão se aplicaNão se aplica",Mercado_Receita!$L$2:$L$2216)</f>
        <v>28475.592000000001</v>
      </c>
      <c r="N44" s="13">
        <f>SUMIF(Mercado_Receita!$S$2:$S$2216,"44562B2ConvencionalRuralNão se aplicaNão se aplicaNão se aplicaPonta",Mercado_Receita!$L$2:$L$2216)+SUMIF(Mercado_Receita!$S$2:$S$2216,"44562B2ConvencionalRuralNão se aplicaNão se aplicaNão se aplicaFora ponta",Mercado_Receita!$L$2:$L$2216)+SUMIF(Mercado_Receita!$S$2:$S$2216,"44562B2ConvencionalRuralNão se aplicaNão se aplicaNão se aplicaIntermediário",Mercado_Receita!$L$2:$L$2216)+SUMIF(Mercado_Receita!$S$2:$S$2216,"44562B2ConvencionalRuralNão se aplicaNão se aplicaNão se aplicaNão se aplica",Mercado_Receita!$L$2:$L$2216)</f>
        <v>21793.361000000001</v>
      </c>
      <c r="O44" s="13">
        <f>SUMIF(Mercado_Receita!$S$2:$S$2216,"44593B2ConvencionalRuralNão se aplicaNão se aplicaNão se aplicaPonta",Mercado_Receita!$L$2:$L$2216)+SUMIF(Mercado_Receita!$S$2:$S$2216,"44593B2ConvencionalRuralNão se aplicaNão se aplicaNão se aplicaFora ponta",Mercado_Receita!$L$2:$L$2216)+SUMIF(Mercado_Receita!$S$2:$S$2216,"44593B2ConvencionalRuralNão se aplicaNão se aplicaNão se aplicaIntermediário",Mercado_Receita!$L$2:$L$2216)+SUMIF(Mercado_Receita!$S$2:$S$2216,"44593B2ConvencionalRuralNão se aplicaNão se aplicaNão se aplicaNão se aplica",Mercado_Receita!$L$2:$L$2216)</f>
        <v>17139.688999999998</v>
      </c>
      <c r="P44" s="13">
        <f>SUMIF(Mercado_Receita!$S$2:$S$2216,"44621B2ConvencionalRuralNão se aplicaNão se aplicaNão se aplicaPonta",Mercado_Receita!$L$2:$L$2216)+SUMIF(Mercado_Receita!$S$2:$S$2216,"44621B2ConvencionalRuralNão se aplicaNão se aplicaNão se aplicaFora ponta",Mercado_Receita!$L$2:$L$2216)+SUMIF(Mercado_Receita!$S$2:$S$2216,"44621B2ConvencionalRuralNão se aplicaNão se aplicaNão se aplicaIntermediário",Mercado_Receita!$L$2:$L$2216)+SUMIF(Mercado_Receita!$S$2:$S$2216,"44621B2ConvencionalRuralNão se aplicaNão se aplicaNão se aplicaNão se aplica",Mercado_Receita!$L$2:$L$2216)</f>
        <v>19007.828000000001</v>
      </c>
      <c r="Q44" s="13">
        <f>SUMIF(Mercado_Receita!$S$2:$S$2216,"44652B2ConvencionalRuralNão se aplicaNão se aplicaNão se aplicaPonta",Mercado_Receita!$L$2:$L$2216)+SUMIF(Mercado_Receita!$S$2:$S$2216,"44652B2ConvencionalRuralNão se aplicaNão se aplicaNão se aplicaFora ponta",Mercado_Receita!$L$2:$L$2216)+SUMIF(Mercado_Receita!$S$2:$S$2216,"44652B2ConvencionalRuralNão se aplicaNão se aplicaNão se aplicaIntermediário",Mercado_Receita!$L$2:$L$2216)+SUMIF(Mercado_Receita!$S$2:$S$2216,"44652B2ConvencionalRuralNão se aplicaNão se aplicaNão se aplicaNão se aplica",Mercado_Receita!$L$2:$L$2216)</f>
        <v>17209.969999999998</v>
      </c>
      <c r="R44" s="13">
        <f>SUMIF(Mercado_Receita!$S$2:$S$2216,"44682B2ConvencionalRuralNão se aplicaNão se aplicaNão se aplicaPonta",Mercado_Receita!$L$2:$L$2216)+SUMIF(Mercado_Receita!$S$2:$S$2216,"44682B2ConvencionalRuralNão se aplicaNão se aplicaNão se aplicaFora ponta",Mercado_Receita!$L$2:$L$2216)+SUMIF(Mercado_Receita!$S$2:$S$2216,"44682B2ConvencionalRuralNão se aplicaNão se aplicaNão se aplicaIntermediário",Mercado_Receita!$L$2:$L$2216)+SUMIF(Mercado_Receita!$S$2:$S$2216,"44682B2ConvencionalRuralNão se aplicaNão se aplicaNão se aplicaNão se aplica",Mercado_Receita!$L$2:$L$2216)</f>
        <v>17072.763999999999</v>
      </c>
      <c r="S44" s="13">
        <f>SUMIF(Mercado_Receita!$S$2:$S$2216,"44713B2ConvencionalRuralNão se aplicaNão se aplicaNão se aplicaPonta",Mercado_Receita!$L$2:$L$2216)+SUMIF(Mercado_Receita!$S$2:$S$2216,"44713B2ConvencionalRuralNão se aplicaNão se aplicaNão se aplicaFora ponta",Mercado_Receita!$L$2:$L$2216)+SUMIF(Mercado_Receita!$S$2:$S$2216,"44713B2ConvencionalRuralNão se aplicaNão se aplicaNão se aplicaIntermediário",Mercado_Receita!$L$2:$L$2216)+SUMIF(Mercado_Receita!$S$2:$S$2216,"44713B2ConvencionalRuralNão se aplicaNão se aplicaNão se aplicaNão se aplica",Mercado_Receita!$L$2:$L$2216)</f>
        <v>15137.084999999999</v>
      </c>
      <c r="T44" s="13">
        <f>SUMIF(Mercado_Receita!$S$2:$S$2216,"44743B2ConvencionalRuralNão se aplicaNão se aplicaNão se aplicaPonta",Mercado_Receita!$L$2:$L$2216)+SUMIF(Mercado_Receita!$S$2:$S$2216,"44743B2ConvencionalRuralNão se aplicaNão se aplicaNão se aplicaFora ponta",Mercado_Receita!$L$2:$L$2216)+SUMIF(Mercado_Receita!$S$2:$S$2216,"44743B2ConvencionalRuralNão se aplicaNão se aplicaNão se aplicaIntermediário",Mercado_Receita!$L$2:$L$2216)+SUMIF(Mercado_Receita!$S$2:$S$2216,"44743B2ConvencionalRuralNão se aplicaNão se aplicaNão se aplicaNão se aplica",Mercado_Receita!$L$2:$L$2216)</f>
        <v>15137.084999999999</v>
      </c>
      <c r="U44" s="13">
        <f t="shared" si="1"/>
        <v>251732.52099999998</v>
      </c>
      <c r="V44" s="13"/>
      <c r="W44" s="13"/>
    </row>
    <row r="45" spans="1:23" ht="11.25" customHeight="1" x14ac:dyDescent="0.25">
      <c r="A45" s="83"/>
      <c r="B45" s="82" t="s">
        <v>33</v>
      </c>
      <c r="C45" s="82" t="s">
        <v>45</v>
      </c>
      <c r="D45" s="82" t="s">
        <v>116</v>
      </c>
      <c r="E45" s="82" t="s">
        <v>25</v>
      </c>
      <c r="F45" s="82" t="s">
        <v>25</v>
      </c>
      <c r="G45" s="13" t="s">
        <v>103</v>
      </c>
      <c r="H45" s="13" t="s">
        <v>102</v>
      </c>
      <c r="I45" s="13">
        <f>SUMIF(Mercado_Receita!$S$2:$S$2216,"44409B2BrancaRuralCooperativa de eletrificação ruralNão se aplicaNão se aplicaPonta",Mercado_Receita!$L$2:$L$2216)</f>
        <v>0</v>
      </c>
      <c r="J45" s="13">
        <f>SUMIF(Mercado_Receita!$S$2:$S$2216,"44440B2BrancaRuralCooperativa de eletrificação ruralNão se aplicaNão se aplicaPonta",Mercado_Receita!$L$2:$L$2216)</f>
        <v>0</v>
      </c>
      <c r="K45" s="13">
        <f>SUMIF(Mercado_Receita!$S$2:$S$2216,"44470B2BrancaRuralCooperativa de eletrificação ruralNão se aplicaNão se aplicaPonta",Mercado_Receita!$L$2:$L$2216)</f>
        <v>0</v>
      </c>
      <c r="L45" s="13">
        <f>SUMIF(Mercado_Receita!$S$2:$S$2216,"44501B2BrancaRuralCooperativa de eletrificação ruralNão se aplicaNão se aplicaPonta",Mercado_Receita!$L$2:$L$2216)</f>
        <v>0</v>
      </c>
      <c r="M45" s="13">
        <f>SUMIF(Mercado_Receita!$S$2:$S$2216,"44531B2BrancaRuralCooperativa de eletrificação ruralNão se aplicaNão se aplicaPonta",Mercado_Receita!$L$2:$L$2216)</f>
        <v>0</v>
      </c>
      <c r="N45" s="13">
        <f>SUMIF(Mercado_Receita!$S$2:$S$2216,"44562B2BrancaRuralCooperativa de eletrificação ruralNão se aplicaNão se aplicaPonta",Mercado_Receita!$L$2:$L$2216)</f>
        <v>0</v>
      </c>
      <c r="O45" s="13">
        <f>SUMIF(Mercado_Receita!$S$2:$S$2216,"44593B2BrancaRuralCooperativa de eletrificação ruralNão se aplicaNão se aplicaPonta",Mercado_Receita!$L$2:$L$2216)</f>
        <v>0</v>
      </c>
      <c r="P45" s="13">
        <f>SUMIF(Mercado_Receita!$S$2:$S$2216,"44621B2BrancaRuralCooperativa de eletrificação ruralNão se aplicaNão se aplicaPonta",Mercado_Receita!$L$2:$L$2216)</f>
        <v>0</v>
      </c>
      <c r="Q45" s="13">
        <f>SUMIF(Mercado_Receita!$S$2:$S$2216,"44652B2BrancaRuralCooperativa de eletrificação ruralNão se aplicaNão se aplicaPonta",Mercado_Receita!$L$2:$L$2216)</f>
        <v>0</v>
      </c>
      <c r="R45" s="13">
        <f>SUMIF(Mercado_Receita!$S$2:$S$2216,"44682B2BrancaRuralCooperativa de eletrificação ruralNão se aplicaNão se aplicaPonta",Mercado_Receita!$L$2:$L$2216)</f>
        <v>0</v>
      </c>
      <c r="S45" s="13">
        <f>SUMIF(Mercado_Receita!$S$2:$S$2216,"44713B2BrancaRuralCooperativa de eletrificação ruralNão se aplicaNão se aplicaPonta",Mercado_Receita!$L$2:$L$2216)</f>
        <v>0</v>
      </c>
      <c r="T45" s="13">
        <f>SUMIF(Mercado_Receita!$S$2:$S$2216,"44743B2BrancaRuralCooperativa de eletrificação ruralNão se aplicaNão se aplicaPonta",Mercado_Receita!$L$2:$L$2216)</f>
        <v>0</v>
      </c>
      <c r="U45" s="13">
        <f t="shared" si="1"/>
        <v>0</v>
      </c>
      <c r="V45" s="13"/>
      <c r="W45" s="13"/>
    </row>
    <row r="46" spans="1:23" ht="11.25" customHeight="1" x14ac:dyDescent="0.25">
      <c r="A46" s="83"/>
      <c r="B46" s="83"/>
      <c r="C46" s="83"/>
      <c r="D46" s="83"/>
      <c r="E46" s="83"/>
      <c r="F46" s="83"/>
      <c r="G46" s="13" t="s">
        <v>113</v>
      </c>
      <c r="H46" s="13" t="s">
        <v>102</v>
      </c>
      <c r="I46" s="13">
        <f>SUMIF(Mercado_Receita!$S$2:$S$2216,"44409B2BrancaRuralCooperativa de eletrificação ruralNão se aplicaNão se aplicaIntermediário",Mercado_Receita!$L$2:$L$2216)</f>
        <v>0</v>
      </c>
      <c r="J46" s="13">
        <f>SUMIF(Mercado_Receita!$S$2:$S$2216,"44440B2BrancaRuralCooperativa de eletrificação ruralNão se aplicaNão se aplicaIntermediário",Mercado_Receita!$L$2:$L$2216)</f>
        <v>0</v>
      </c>
      <c r="K46" s="13">
        <f>SUMIF(Mercado_Receita!$S$2:$S$2216,"44470B2BrancaRuralCooperativa de eletrificação ruralNão se aplicaNão se aplicaIntermediário",Mercado_Receita!$L$2:$L$2216)</f>
        <v>0</v>
      </c>
      <c r="L46" s="13">
        <f>SUMIF(Mercado_Receita!$S$2:$S$2216,"44501B2BrancaRuralCooperativa de eletrificação ruralNão se aplicaNão se aplicaIntermediário",Mercado_Receita!$L$2:$L$2216)</f>
        <v>0</v>
      </c>
      <c r="M46" s="13">
        <f>SUMIF(Mercado_Receita!$S$2:$S$2216,"44531B2BrancaRuralCooperativa de eletrificação ruralNão se aplicaNão se aplicaIntermediário",Mercado_Receita!$L$2:$L$2216)</f>
        <v>0</v>
      </c>
      <c r="N46" s="13">
        <f>SUMIF(Mercado_Receita!$S$2:$S$2216,"44562B2BrancaRuralCooperativa de eletrificação ruralNão se aplicaNão se aplicaIntermediário",Mercado_Receita!$L$2:$L$2216)</f>
        <v>0</v>
      </c>
      <c r="O46" s="13">
        <f>SUMIF(Mercado_Receita!$S$2:$S$2216,"44593B2BrancaRuralCooperativa de eletrificação ruralNão se aplicaNão se aplicaIntermediário",Mercado_Receita!$L$2:$L$2216)</f>
        <v>0</v>
      </c>
      <c r="P46" s="13">
        <f>SUMIF(Mercado_Receita!$S$2:$S$2216,"44621B2BrancaRuralCooperativa de eletrificação ruralNão se aplicaNão se aplicaIntermediário",Mercado_Receita!$L$2:$L$2216)</f>
        <v>0</v>
      </c>
      <c r="Q46" s="13">
        <f>SUMIF(Mercado_Receita!$S$2:$S$2216,"44652B2BrancaRuralCooperativa de eletrificação ruralNão se aplicaNão se aplicaIntermediário",Mercado_Receita!$L$2:$L$2216)</f>
        <v>0</v>
      </c>
      <c r="R46" s="13">
        <f>SUMIF(Mercado_Receita!$S$2:$S$2216,"44682B2BrancaRuralCooperativa de eletrificação ruralNão se aplicaNão se aplicaIntermediário",Mercado_Receita!$L$2:$L$2216)</f>
        <v>0</v>
      </c>
      <c r="S46" s="13">
        <f>SUMIF(Mercado_Receita!$S$2:$S$2216,"44713B2BrancaRuralCooperativa de eletrificação ruralNão se aplicaNão se aplicaIntermediário",Mercado_Receita!$L$2:$L$2216)</f>
        <v>0</v>
      </c>
      <c r="T46" s="13">
        <f>SUMIF(Mercado_Receita!$S$2:$S$2216,"44743B2BrancaRuralCooperativa de eletrificação ruralNão se aplicaNão se aplicaIntermediário",Mercado_Receita!$L$2:$L$2216)</f>
        <v>0</v>
      </c>
      <c r="U46" s="13">
        <f t="shared" si="1"/>
        <v>0</v>
      </c>
      <c r="V46" s="13"/>
      <c r="W46" s="13"/>
    </row>
    <row r="47" spans="1:23" ht="11.25" customHeight="1" x14ac:dyDescent="0.25">
      <c r="A47" s="83"/>
      <c r="B47" s="83"/>
      <c r="C47" s="83"/>
      <c r="D47" s="83"/>
      <c r="E47" s="83"/>
      <c r="F47" s="83"/>
      <c r="G47" s="13" t="s">
        <v>104</v>
      </c>
      <c r="H47" s="13" t="s">
        <v>102</v>
      </c>
      <c r="I47" s="13">
        <f>SUMIF(Mercado_Receita!$S$2:$S$2216,"44409B2BrancaRuralCooperativa de eletrificação ruralNão se aplicaNão se aplicaFora ponta",Mercado_Receita!$L$2:$L$2216)</f>
        <v>0</v>
      </c>
      <c r="J47" s="13">
        <f>SUMIF(Mercado_Receita!$S$2:$S$2216,"44440B2BrancaRuralCooperativa de eletrificação ruralNão se aplicaNão se aplicaFora ponta",Mercado_Receita!$L$2:$L$2216)</f>
        <v>0</v>
      </c>
      <c r="K47" s="13">
        <f>SUMIF(Mercado_Receita!$S$2:$S$2216,"44470B2BrancaRuralCooperativa de eletrificação ruralNão se aplicaNão se aplicaFora ponta",Mercado_Receita!$L$2:$L$2216)</f>
        <v>0</v>
      </c>
      <c r="L47" s="13">
        <f>SUMIF(Mercado_Receita!$S$2:$S$2216,"44501B2BrancaRuralCooperativa de eletrificação ruralNão se aplicaNão se aplicaFora ponta",Mercado_Receita!$L$2:$L$2216)</f>
        <v>0</v>
      </c>
      <c r="M47" s="13">
        <f>SUMIF(Mercado_Receita!$S$2:$S$2216,"44531B2BrancaRuralCooperativa de eletrificação ruralNão se aplicaNão se aplicaFora ponta",Mercado_Receita!$L$2:$L$2216)</f>
        <v>0</v>
      </c>
      <c r="N47" s="13">
        <f>SUMIF(Mercado_Receita!$S$2:$S$2216,"44562B2BrancaRuralCooperativa de eletrificação ruralNão se aplicaNão se aplicaFora ponta",Mercado_Receita!$L$2:$L$2216)</f>
        <v>0</v>
      </c>
      <c r="O47" s="13">
        <f>SUMIF(Mercado_Receita!$S$2:$S$2216,"44593B2BrancaRuralCooperativa de eletrificação ruralNão se aplicaNão se aplicaFora ponta",Mercado_Receita!$L$2:$L$2216)</f>
        <v>0</v>
      </c>
      <c r="P47" s="13">
        <f>SUMIF(Mercado_Receita!$S$2:$S$2216,"44621B2BrancaRuralCooperativa de eletrificação ruralNão se aplicaNão se aplicaFora ponta",Mercado_Receita!$L$2:$L$2216)</f>
        <v>0</v>
      </c>
      <c r="Q47" s="13">
        <f>SUMIF(Mercado_Receita!$S$2:$S$2216,"44652B2BrancaRuralCooperativa de eletrificação ruralNão se aplicaNão se aplicaFora ponta",Mercado_Receita!$L$2:$L$2216)</f>
        <v>0</v>
      </c>
      <c r="R47" s="13">
        <f>SUMIF(Mercado_Receita!$S$2:$S$2216,"44682B2BrancaRuralCooperativa de eletrificação ruralNão se aplicaNão se aplicaFora ponta",Mercado_Receita!$L$2:$L$2216)</f>
        <v>0</v>
      </c>
      <c r="S47" s="13">
        <f>SUMIF(Mercado_Receita!$S$2:$S$2216,"44713B2BrancaRuralCooperativa de eletrificação ruralNão se aplicaNão se aplicaFora ponta",Mercado_Receita!$L$2:$L$2216)</f>
        <v>0</v>
      </c>
      <c r="T47" s="13">
        <f>SUMIF(Mercado_Receita!$S$2:$S$2216,"44743B2BrancaRuralCooperativa de eletrificação ruralNão se aplicaNão se aplicaFora ponta",Mercado_Receita!$L$2:$L$2216)</f>
        <v>0</v>
      </c>
      <c r="U47" s="13">
        <f t="shared" si="1"/>
        <v>0</v>
      </c>
      <c r="V47" s="13"/>
      <c r="W47" s="13"/>
    </row>
    <row r="48" spans="1:23" ht="11.25" customHeight="1" x14ac:dyDescent="0.25">
      <c r="A48" s="83"/>
      <c r="B48" s="12" t="s">
        <v>23</v>
      </c>
      <c r="C48" s="12" t="s">
        <v>45</v>
      </c>
      <c r="D48" s="12" t="s">
        <v>116</v>
      </c>
      <c r="E48" s="12" t="s">
        <v>25</v>
      </c>
      <c r="F48" s="12" t="s">
        <v>25</v>
      </c>
      <c r="G48" s="13" t="s">
        <v>108</v>
      </c>
      <c r="H48" s="13" t="s">
        <v>102</v>
      </c>
      <c r="I48" s="13">
        <f>SUMIF(Mercado_Receita!$S$2:$S$2216,"44409B2ConvencionalRuralCooperativa de eletrificação ruralNão se aplicaNão se aplicaPonta",Mercado_Receita!$L$2:$L$2216)+SUMIF(Mercado_Receita!$S$2:$S$2216,"44409B2ConvencionalRuralCooperativa de eletrificação ruralNão se aplicaNão se aplicaFora ponta",Mercado_Receita!$L$2:$L$2216)+SUMIF(Mercado_Receita!$S$2:$S$2216,"44409B2ConvencionalRuralCooperativa de eletrificação ruralNão se aplicaNão se aplicaIntermediário",Mercado_Receita!$L$2:$L$2216)+SUMIF(Mercado_Receita!$S$2:$S$2216,"44409B2ConvencionalRuralCooperativa de eletrificação ruralNão se aplicaNão se aplicaNão se aplica",Mercado_Receita!$L$2:$L$2216)</f>
        <v>0</v>
      </c>
      <c r="J48" s="13">
        <f>SUMIF(Mercado_Receita!$S$2:$S$2216,"44440B2ConvencionalRuralCooperativa de eletrificação ruralNão se aplicaNão se aplicaPonta",Mercado_Receita!$L$2:$L$2216)+SUMIF(Mercado_Receita!$S$2:$S$2216,"44440B2ConvencionalRuralCooperativa de eletrificação ruralNão se aplicaNão se aplicaFora ponta",Mercado_Receita!$L$2:$L$2216)+SUMIF(Mercado_Receita!$S$2:$S$2216,"44440B2ConvencionalRuralCooperativa de eletrificação ruralNão se aplicaNão se aplicaIntermediário",Mercado_Receita!$L$2:$L$2216)+SUMIF(Mercado_Receita!$S$2:$S$2216,"44440B2ConvencionalRuralCooperativa de eletrificação ruralNão se aplicaNão se aplicaNão se aplica",Mercado_Receita!$L$2:$L$2216)</f>
        <v>0</v>
      </c>
      <c r="K48" s="13">
        <f>SUMIF(Mercado_Receita!$S$2:$S$2216,"44470B2ConvencionalRuralCooperativa de eletrificação ruralNão se aplicaNão se aplicaPonta",Mercado_Receita!$L$2:$L$2216)+SUMIF(Mercado_Receita!$S$2:$S$2216,"44470B2ConvencionalRuralCooperativa de eletrificação ruralNão se aplicaNão se aplicaFora ponta",Mercado_Receita!$L$2:$L$2216)+SUMIF(Mercado_Receita!$S$2:$S$2216,"44470B2ConvencionalRuralCooperativa de eletrificação ruralNão se aplicaNão se aplicaIntermediário",Mercado_Receita!$L$2:$L$2216)+SUMIF(Mercado_Receita!$S$2:$S$2216,"44470B2ConvencionalRuralCooperativa de eletrificação ruralNão se aplicaNão se aplicaNão se aplica",Mercado_Receita!$L$2:$L$2216)</f>
        <v>0</v>
      </c>
      <c r="L48" s="13">
        <f>SUMIF(Mercado_Receita!$S$2:$S$2216,"44501B2ConvencionalRuralCooperativa de eletrificação ruralNão se aplicaNão se aplicaPonta",Mercado_Receita!$L$2:$L$2216)+SUMIF(Mercado_Receita!$S$2:$S$2216,"44501B2ConvencionalRuralCooperativa de eletrificação ruralNão se aplicaNão se aplicaFora ponta",Mercado_Receita!$L$2:$L$2216)+SUMIF(Mercado_Receita!$S$2:$S$2216,"44501B2ConvencionalRuralCooperativa de eletrificação ruralNão se aplicaNão se aplicaIntermediário",Mercado_Receita!$L$2:$L$2216)+SUMIF(Mercado_Receita!$S$2:$S$2216,"44501B2ConvencionalRuralCooperativa de eletrificação ruralNão se aplicaNão se aplicaNão se aplica",Mercado_Receita!$L$2:$L$2216)</f>
        <v>0</v>
      </c>
      <c r="M48" s="13">
        <f>SUMIF(Mercado_Receita!$S$2:$S$2216,"44531B2ConvencionalRuralCooperativa de eletrificação ruralNão se aplicaNão se aplicaPonta",Mercado_Receita!$L$2:$L$2216)+SUMIF(Mercado_Receita!$S$2:$S$2216,"44531B2ConvencionalRuralCooperativa de eletrificação ruralNão se aplicaNão se aplicaFora ponta",Mercado_Receita!$L$2:$L$2216)+SUMIF(Mercado_Receita!$S$2:$S$2216,"44531B2ConvencionalRuralCooperativa de eletrificação ruralNão se aplicaNão se aplicaIntermediário",Mercado_Receita!$L$2:$L$2216)+SUMIF(Mercado_Receita!$S$2:$S$2216,"44531B2ConvencionalRuralCooperativa de eletrificação ruralNão se aplicaNão se aplicaNão se aplica",Mercado_Receita!$L$2:$L$2216)</f>
        <v>0</v>
      </c>
      <c r="N48" s="13">
        <f>SUMIF(Mercado_Receita!$S$2:$S$2216,"44562B2ConvencionalRuralCooperativa de eletrificação ruralNão se aplicaNão se aplicaPonta",Mercado_Receita!$L$2:$L$2216)+SUMIF(Mercado_Receita!$S$2:$S$2216,"44562B2ConvencionalRuralCooperativa de eletrificação ruralNão se aplicaNão se aplicaFora ponta",Mercado_Receita!$L$2:$L$2216)+SUMIF(Mercado_Receita!$S$2:$S$2216,"44562B2ConvencionalRuralCooperativa de eletrificação ruralNão se aplicaNão se aplicaIntermediário",Mercado_Receita!$L$2:$L$2216)+SUMIF(Mercado_Receita!$S$2:$S$2216,"44562B2ConvencionalRuralCooperativa de eletrificação ruralNão se aplicaNão se aplicaNão se aplica",Mercado_Receita!$L$2:$L$2216)</f>
        <v>0</v>
      </c>
      <c r="O48" s="13">
        <f>SUMIF(Mercado_Receita!$S$2:$S$2216,"44593B2ConvencionalRuralCooperativa de eletrificação ruralNão se aplicaNão se aplicaPonta",Mercado_Receita!$L$2:$L$2216)+SUMIF(Mercado_Receita!$S$2:$S$2216,"44593B2ConvencionalRuralCooperativa de eletrificação ruralNão se aplicaNão se aplicaFora ponta",Mercado_Receita!$L$2:$L$2216)+SUMIF(Mercado_Receita!$S$2:$S$2216,"44593B2ConvencionalRuralCooperativa de eletrificação ruralNão se aplicaNão se aplicaIntermediário",Mercado_Receita!$L$2:$L$2216)+SUMIF(Mercado_Receita!$S$2:$S$2216,"44593B2ConvencionalRuralCooperativa de eletrificação ruralNão se aplicaNão se aplicaNão se aplica",Mercado_Receita!$L$2:$L$2216)</f>
        <v>0</v>
      </c>
      <c r="P48" s="13">
        <f>SUMIF(Mercado_Receita!$S$2:$S$2216,"44621B2ConvencionalRuralCooperativa de eletrificação ruralNão se aplicaNão se aplicaPonta",Mercado_Receita!$L$2:$L$2216)+SUMIF(Mercado_Receita!$S$2:$S$2216,"44621B2ConvencionalRuralCooperativa de eletrificação ruralNão se aplicaNão se aplicaFora ponta",Mercado_Receita!$L$2:$L$2216)+SUMIF(Mercado_Receita!$S$2:$S$2216,"44621B2ConvencionalRuralCooperativa de eletrificação ruralNão se aplicaNão se aplicaIntermediário",Mercado_Receita!$L$2:$L$2216)+SUMIF(Mercado_Receita!$S$2:$S$2216,"44621B2ConvencionalRuralCooperativa de eletrificação ruralNão se aplicaNão se aplicaNão se aplica",Mercado_Receita!$L$2:$L$2216)</f>
        <v>0</v>
      </c>
      <c r="Q48" s="13">
        <f>SUMIF(Mercado_Receita!$S$2:$S$2216,"44652B2ConvencionalRuralCooperativa de eletrificação ruralNão se aplicaNão se aplicaPonta",Mercado_Receita!$L$2:$L$2216)+SUMIF(Mercado_Receita!$S$2:$S$2216,"44652B2ConvencionalRuralCooperativa de eletrificação ruralNão se aplicaNão se aplicaFora ponta",Mercado_Receita!$L$2:$L$2216)+SUMIF(Mercado_Receita!$S$2:$S$2216,"44652B2ConvencionalRuralCooperativa de eletrificação ruralNão se aplicaNão se aplicaIntermediário",Mercado_Receita!$L$2:$L$2216)+SUMIF(Mercado_Receita!$S$2:$S$2216,"44652B2ConvencionalRuralCooperativa de eletrificação ruralNão se aplicaNão se aplicaNão se aplica",Mercado_Receita!$L$2:$L$2216)</f>
        <v>0</v>
      </c>
      <c r="R48" s="13">
        <f>SUMIF(Mercado_Receita!$S$2:$S$2216,"44682B2ConvencionalRuralCooperativa de eletrificação ruralNão se aplicaNão se aplicaPonta",Mercado_Receita!$L$2:$L$2216)+SUMIF(Mercado_Receita!$S$2:$S$2216,"44682B2ConvencionalRuralCooperativa de eletrificação ruralNão se aplicaNão se aplicaFora ponta",Mercado_Receita!$L$2:$L$2216)+SUMIF(Mercado_Receita!$S$2:$S$2216,"44682B2ConvencionalRuralCooperativa de eletrificação ruralNão se aplicaNão se aplicaIntermediário",Mercado_Receita!$L$2:$L$2216)+SUMIF(Mercado_Receita!$S$2:$S$2216,"44682B2ConvencionalRuralCooperativa de eletrificação ruralNão se aplicaNão se aplicaNão se aplica",Mercado_Receita!$L$2:$L$2216)</f>
        <v>0</v>
      </c>
      <c r="S48" s="13">
        <f>SUMIF(Mercado_Receita!$S$2:$S$2216,"44713B2ConvencionalRuralCooperativa de eletrificação ruralNão se aplicaNão se aplicaPonta",Mercado_Receita!$L$2:$L$2216)+SUMIF(Mercado_Receita!$S$2:$S$2216,"44713B2ConvencionalRuralCooperativa de eletrificação ruralNão se aplicaNão se aplicaFora ponta",Mercado_Receita!$L$2:$L$2216)+SUMIF(Mercado_Receita!$S$2:$S$2216,"44713B2ConvencionalRuralCooperativa de eletrificação ruralNão se aplicaNão se aplicaIntermediário",Mercado_Receita!$L$2:$L$2216)+SUMIF(Mercado_Receita!$S$2:$S$2216,"44713B2ConvencionalRuralCooperativa de eletrificação ruralNão se aplicaNão se aplicaNão se aplica",Mercado_Receita!$L$2:$L$2216)</f>
        <v>0</v>
      </c>
      <c r="T48" s="13">
        <f>SUMIF(Mercado_Receita!$S$2:$S$2216,"44743B2ConvencionalRuralCooperativa de eletrificação ruralNão se aplicaNão se aplicaPonta",Mercado_Receita!$L$2:$L$2216)+SUMIF(Mercado_Receita!$S$2:$S$2216,"44743B2ConvencionalRuralCooperativa de eletrificação ruralNão se aplicaNão se aplicaFora ponta",Mercado_Receita!$L$2:$L$2216)+SUMIF(Mercado_Receita!$S$2:$S$2216,"44743B2ConvencionalRuralCooperativa de eletrificação ruralNão se aplicaNão se aplicaIntermediário",Mercado_Receita!$L$2:$L$2216)+SUMIF(Mercado_Receita!$S$2:$S$2216,"44743B2ConvencionalRuralCooperativa de eletrificação ruralNão se aplicaNão se aplicaNão se aplica",Mercado_Receita!$L$2:$L$2216)</f>
        <v>0</v>
      </c>
      <c r="U48" s="13">
        <f t="shared" si="1"/>
        <v>0</v>
      </c>
      <c r="V48" s="13"/>
      <c r="W48" s="13"/>
    </row>
    <row r="49" spans="1:23" ht="11.25" customHeight="1" x14ac:dyDescent="0.25">
      <c r="A49" s="83"/>
      <c r="B49" s="82" t="s">
        <v>33</v>
      </c>
      <c r="C49" s="82" t="s">
        <v>45</v>
      </c>
      <c r="D49" s="82" t="s">
        <v>117</v>
      </c>
      <c r="E49" s="82" t="s">
        <v>25</v>
      </c>
      <c r="F49" s="82" t="s">
        <v>25</v>
      </c>
      <c r="G49" s="13" t="s">
        <v>103</v>
      </c>
      <c r="H49" s="13" t="s">
        <v>102</v>
      </c>
      <c r="I49" s="13">
        <f>SUMIF(Mercado_Receita!$S$2:$S$2216,"44409B2BrancaRuralServiço público de irrigação ruralNão se aplicaNão se aplicaPonta",Mercado_Receita!$L$2:$L$2216)</f>
        <v>0</v>
      </c>
      <c r="J49" s="13">
        <f>SUMIF(Mercado_Receita!$S$2:$S$2216,"44440B2BrancaRuralServiço público de irrigação ruralNão se aplicaNão se aplicaPonta",Mercado_Receita!$L$2:$L$2216)</f>
        <v>0</v>
      </c>
      <c r="K49" s="13">
        <f>SUMIF(Mercado_Receita!$S$2:$S$2216,"44470B2BrancaRuralServiço público de irrigação ruralNão se aplicaNão se aplicaPonta",Mercado_Receita!$L$2:$L$2216)</f>
        <v>0</v>
      </c>
      <c r="L49" s="13">
        <f>SUMIF(Mercado_Receita!$S$2:$S$2216,"44501B2BrancaRuralServiço público de irrigação ruralNão se aplicaNão se aplicaPonta",Mercado_Receita!$L$2:$L$2216)</f>
        <v>0</v>
      </c>
      <c r="M49" s="13">
        <f>SUMIF(Mercado_Receita!$S$2:$S$2216,"44531B2BrancaRuralServiço público de irrigação ruralNão se aplicaNão se aplicaPonta",Mercado_Receita!$L$2:$L$2216)</f>
        <v>0</v>
      </c>
      <c r="N49" s="13">
        <f>SUMIF(Mercado_Receita!$S$2:$S$2216,"44562B2BrancaRuralServiço público de irrigação ruralNão se aplicaNão se aplicaPonta",Mercado_Receita!$L$2:$L$2216)</f>
        <v>0</v>
      </c>
      <c r="O49" s="13">
        <f>SUMIF(Mercado_Receita!$S$2:$S$2216,"44593B2BrancaRuralServiço público de irrigação ruralNão se aplicaNão se aplicaPonta",Mercado_Receita!$L$2:$L$2216)</f>
        <v>0</v>
      </c>
      <c r="P49" s="13">
        <f>SUMIF(Mercado_Receita!$S$2:$S$2216,"44621B2BrancaRuralServiço público de irrigação ruralNão se aplicaNão se aplicaPonta",Mercado_Receita!$L$2:$L$2216)</f>
        <v>0</v>
      </c>
      <c r="Q49" s="13">
        <f>SUMIF(Mercado_Receita!$S$2:$S$2216,"44652B2BrancaRuralServiço público de irrigação ruralNão se aplicaNão se aplicaPonta",Mercado_Receita!$L$2:$L$2216)</f>
        <v>0</v>
      </c>
      <c r="R49" s="13">
        <f>SUMIF(Mercado_Receita!$S$2:$S$2216,"44682B2BrancaRuralServiço público de irrigação ruralNão se aplicaNão se aplicaPonta",Mercado_Receita!$L$2:$L$2216)</f>
        <v>0</v>
      </c>
      <c r="S49" s="13">
        <f>SUMIF(Mercado_Receita!$S$2:$S$2216,"44713B2BrancaRuralServiço público de irrigação ruralNão se aplicaNão se aplicaPonta",Mercado_Receita!$L$2:$L$2216)</f>
        <v>0</v>
      </c>
      <c r="T49" s="13">
        <f>SUMIF(Mercado_Receita!$S$2:$S$2216,"44743B2BrancaRuralServiço público de irrigação ruralNão se aplicaNão se aplicaPonta",Mercado_Receita!$L$2:$L$2216)</f>
        <v>0</v>
      </c>
      <c r="U49" s="13">
        <f t="shared" si="1"/>
        <v>0</v>
      </c>
      <c r="V49" s="13"/>
      <c r="W49" s="13"/>
    </row>
    <row r="50" spans="1:23" ht="11.25" customHeight="1" x14ac:dyDescent="0.25">
      <c r="A50" s="83"/>
      <c r="B50" s="83"/>
      <c r="C50" s="83"/>
      <c r="D50" s="83"/>
      <c r="E50" s="83"/>
      <c r="F50" s="83"/>
      <c r="G50" s="13" t="s">
        <v>113</v>
      </c>
      <c r="H50" s="13" t="s">
        <v>102</v>
      </c>
      <c r="I50" s="13">
        <f>SUMIF(Mercado_Receita!$S$2:$S$2216,"44409B2BrancaRuralServiço público de irrigação ruralNão se aplicaNão se aplicaIntermediário",Mercado_Receita!$L$2:$L$2216)</f>
        <v>0</v>
      </c>
      <c r="J50" s="13">
        <f>SUMIF(Mercado_Receita!$S$2:$S$2216,"44440B2BrancaRuralServiço público de irrigação ruralNão se aplicaNão se aplicaIntermediário",Mercado_Receita!$L$2:$L$2216)</f>
        <v>0</v>
      </c>
      <c r="K50" s="13">
        <f>SUMIF(Mercado_Receita!$S$2:$S$2216,"44470B2BrancaRuralServiço público de irrigação ruralNão se aplicaNão se aplicaIntermediário",Mercado_Receita!$L$2:$L$2216)</f>
        <v>0</v>
      </c>
      <c r="L50" s="13">
        <f>SUMIF(Mercado_Receita!$S$2:$S$2216,"44501B2BrancaRuralServiço público de irrigação ruralNão se aplicaNão se aplicaIntermediário",Mercado_Receita!$L$2:$L$2216)</f>
        <v>0</v>
      </c>
      <c r="M50" s="13">
        <f>SUMIF(Mercado_Receita!$S$2:$S$2216,"44531B2BrancaRuralServiço público de irrigação ruralNão se aplicaNão se aplicaIntermediário",Mercado_Receita!$L$2:$L$2216)</f>
        <v>0</v>
      </c>
      <c r="N50" s="13">
        <f>SUMIF(Mercado_Receita!$S$2:$S$2216,"44562B2BrancaRuralServiço público de irrigação ruralNão se aplicaNão se aplicaIntermediário",Mercado_Receita!$L$2:$L$2216)</f>
        <v>0</v>
      </c>
      <c r="O50" s="13">
        <f>SUMIF(Mercado_Receita!$S$2:$S$2216,"44593B2BrancaRuralServiço público de irrigação ruralNão se aplicaNão se aplicaIntermediário",Mercado_Receita!$L$2:$L$2216)</f>
        <v>0</v>
      </c>
      <c r="P50" s="13">
        <f>SUMIF(Mercado_Receita!$S$2:$S$2216,"44621B2BrancaRuralServiço público de irrigação ruralNão se aplicaNão se aplicaIntermediário",Mercado_Receita!$L$2:$L$2216)</f>
        <v>0</v>
      </c>
      <c r="Q50" s="13">
        <f>SUMIF(Mercado_Receita!$S$2:$S$2216,"44652B2BrancaRuralServiço público de irrigação ruralNão se aplicaNão se aplicaIntermediário",Mercado_Receita!$L$2:$L$2216)</f>
        <v>0</v>
      </c>
      <c r="R50" s="13">
        <f>SUMIF(Mercado_Receita!$S$2:$S$2216,"44682B2BrancaRuralServiço público de irrigação ruralNão se aplicaNão se aplicaIntermediário",Mercado_Receita!$L$2:$L$2216)</f>
        <v>0</v>
      </c>
      <c r="S50" s="13">
        <f>SUMIF(Mercado_Receita!$S$2:$S$2216,"44713B2BrancaRuralServiço público de irrigação ruralNão se aplicaNão se aplicaIntermediário",Mercado_Receita!$L$2:$L$2216)</f>
        <v>0</v>
      </c>
      <c r="T50" s="13">
        <f>SUMIF(Mercado_Receita!$S$2:$S$2216,"44743B2BrancaRuralServiço público de irrigação ruralNão se aplicaNão se aplicaIntermediário",Mercado_Receita!$L$2:$L$2216)</f>
        <v>0</v>
      </c>
      <c r="U50" s="13">
        <f t="shared" si="1"/>
        <v>0</v>
      </c>
      <c r="V50" s="13"/>
      <c r="W50" s="13"/>
    </row>
    <row r="51" spans="1:23" ht="11.25" customHeight="1" x14ac:dyDescent="0.25">
      <c r="A51" s="83"/>
      <c r="B51" s="83"/>
      <c r="C51" s="83"/>
      <c r="D51" s="83"/>
      <c r="E51" s="83"/>
      <c r="F51" s="83"/>
      <c r="G51" s="13" t="s">
        <v>104</v>
      </c>
      <c r="H51" s="13" t="s">
        <v>102</v>
      </c>
      <c r="I51" s="13">
        <f>SUMIF(Mercado_Receita!$S$2:$S$2216,"44409B2BrancaRuralServiço público de irrigação ruralNão se aplicaNão se aplicaFora ponta",Mercado_Receita!$L$2:$L$2216)</f>
        <v>0</v>
      </c>
      <c r="J51" s="13">
        <f>SUMIF(Mercado_Receita!$S$2:$S$2216,"44440B2BrancaRuralServiço público de irrigação ruralNão se aplicaNão se aplicaFora ponta",Mercado_Receita!$L$2:$L$2216)</f>
        <v>0</v>
      </c>
      <c r="K51" s="13">
        <f>SUMIF(Mercado_Receita!$S$2:$S$2216,"44470B2BrancaRuralServiço público de irrigação ruralNão se aplicaNão se aplicaFora ponta",Mercado_Receita!$L$2:$L$2216)</f>
        <v>0</v>
      </c>
      <c r="L51" s="13">
        <f>SUMIF(Mercado_Receita!$S$2:$S$2216,"44501B2BrancaRuralServiço público de irrigação ruralNão se aplicaNão se aplicaFora ponta",Mercado_Receita!$L$2:$L$2216)</f>
        <v>0</v>
      </c>
      <c r="M51" s="13">
        <f>SUMIF(Mercado_Receita!$S$2:$S$2216,"44531B2BrancaRuralServiço público de irrigação ruralNão se aplicaNão se aplicaFora ponta",Mercado_Receita!$L$2:$L$2216)</f>
        <v>0</v>
      </c>
      <c r="N51" s="13">
        <f>SUMIF(Mercado_Receita!$S$2:$S$2216,"44562B2BrancaRuralServiço público de irrigação ruralNão se aplicaNão se aplicaFora ponta",Mercado_Receita!$L$2:$L$2216)</f>
        <v>0</v>
      </c>
      <c r="O51" s="13">
        <f>SUMIF(Mercado_Receita!$S$2:$S$2216,"44593B2BrancaRuralServiço público de irrigação ruralNão se aplicaNão se aplicaFora ponta",Mercado_Receita!$L$2:$L$2216)</f>
        <v>0</v>
      </c>
      <c r="P51" s="13">
        <f>SUMIF(Mercado_Receita!$S$2:$S$2216,"44621B2BrancaRuralServiço público de irrigação ruralNão se aplicaNão se aplicaFora ponta",Mercado_Receita!$L$2:$L$2216)</f>
        <v>0</v>
      </c>
      <c r="Q51" s="13">
        <f>SUMIF(Mercado_Receita!$S$2:$S$2216,"44652B2BrancaRuralServiço público de irrigação ruralNão se aplicaNão se aplicaFora ponta",Mercado_Receita!$L$2:$L$2216)</f>
        <v>0</v>
      </c>
      <c r="R51" s="13">
        <f>SUMIF(Mercado_Receita!$S$2:$S$2216,"44682B2BrancaRuralServiço público de irrigação ruralNão se aplicaNão se aplicaFora ponta",Mercado_Receita!$L$2:$L$2216)</f>
        <v>0</v>
      </c>
      <c r="S51" s="13">
        <f>SUMIF(Mercado_Receita!$S$2:$S$2216,"44713B2BrancaRuralServiço público de irrigação ruralNão se aplicaNão se aplicaFora ponta",Mercado_Receita!$L$2:$L$2216)</f>
        <v>0</v>
      </c>
      <c r="T51" s="13">
        <f>SUMIF(Mercado_Receita!$S$2:$S$2216,"44743B2BrancaRuralServiço público de irrigação ruralNão se aplicaNão se aplicaFora ponta",Mercado_Receita!$L$2:$L$2216)</f>
        <v>0</v>
      </c>
      <c r="U51" s="13">
        <f t="shared" si="1"/>
        <v>0</v>
      </c>
      <c r="V51" s="13"/>
      <c r="W51" s="13"/>
    </row>
    <row r="52" spans="1:23" ht="11.25" customHeight="1" x14ac:dyDescent="0.25">
      <c r="A52" s="83"/>
      <c r="B52" s="12" t="s">
        <v>23</v>
      </c>
      <c r="C52" s="12" t="s">
        <v>45</v>
      </c>
      <c r="D52" s="12" t="s">
        <v>117</v>
      </c>
      <c r="E52" s="12" t="s">
        <v>25</v>
      </c>
      <c r="F52" s="12" t="s">
        <v>25</v>
      </c>
      <c r="G52" s="13" t="s">
        <v>108</v>
      </c>
      <c r="H52" s="13" t="s">
        <v>102</v>
      </c>
      <c r="I52" s="13">
        <f>SUMIF(Mercado_Receita!$S$2:$S$2216,"44409B2ConvencionalRuralServiço público de irrigação ruralNão se aplicaNão se aplicaPonta",Mercado_Receita!$L$2:$L$2216)+SUMIF(Mercado_Receita!$S$2:$S$2216,"44409B2ConvencionalRuralServiço público de irrigação ruralNão se aplicaNão se aplicaFora ponta",Mercado_Receita!$L$2:$L$2216)+SUMIF(Mercado_Receita!$S$2:$S$2216,"44409B2ConvencionalRuralServiço público de irrigação ruralNão se aplicaNão se aplicaIntermediário",Mercado_Receita!$L$2:$L$2216)+SUMIF(Mercado_Receita!$S$2:$S$2216,"44409B2ConvencionalRuralServiço público de irrigação ruralNão se aplicaNão se aplicaNão se aplica",Mercado_Receita!$L$2:$L$2216)</f>
        <v>0</v>
      </c>
      <c r="J52" s="13">
        <f>SUMIF(Mercado_Receita!$S$2:$S$2216,"44440B2ConvencionalRuralServiço público de irrigação ruralNão se aplicaNão se aplicaPonta",Mercado_Receita!$L$2:$L$2216)+SUMIF(Mercado_Receita!$S$2:$S$2216,"44440B2ConvencionalRuralServiço público de irrigação ruralNão se aplicaNão se aplicaFora ponta",Mercado_Receita!$L$2:$L$2216)+SUMIF(Mercado_Receita!$S$2:$S$2216,"44440B2ConvencionalRuralServiço público de irrigação ruralNão se aplicaNão se aplicaIntermediário",Mercado_Receita!$L$2:$L$2216)+SUMIF(Mercado_Receita!$S$2:$S$2216,"44440B2ConvencionalRuralServiço público de irrigação ruralNão se aplicaNão se aplicaNão se aplica",Mercado_Receita!$L$2:$L$2216)</f>
        <v>0</v>
      </c>
      <c r="K52" s="13">
        <f>SUMIF(Mercado_Receita!$S$2:$S$2216,"44470B2ConvencionalRuralServiço público de irrigação ruralNão se aplicaNão se aplicaPonta",Mercado_Receita!$L$2:$L$2216)+SUMIF(Mercado_Receita!$S$2:$S$2216,"44470B2ConvencionalRuralServiço público de irrigação ruralNão se aplicaNão se aplicaFora ponta",Mercado_Receita!$L$2:$L$2216)+SUMIF(Mercado_Receita!$S$2:$S$2216,"44470B2ConvencionalRuralServiço público de irrigação ruralNão se aplicaNão se aplicaIntermediário",Mercado_Receita!$L$2:$L$2216)+SUMIF(Mercado_Receita!$S$2:$S$2216,"44470B2ConvencionalRuralServiço público de irrigação ruralNão se aplicaNão se aplicaNão se aplica",Mercado_Receita!$L$2:$L$2216)</f>
        <v>0</v>
      </c>
      <c r="L52" s="13">
        <f>SUMIF(Mercado_Receita!$S$2:$S$2216,"44501B2ConvencionalRuralServiço público de irrigação ruralNão se aplicaNão se aplicaPonta",Mercado_Receita!$L$2:$L$2216)+SUMIF(Mercado_Receita!$S$2:$S$2216,"44501B2ConvencionalRuralServiço público de irrigação ruralNão se aplicaNão se aplicaFora ponta",Mercado_Receita!$L$2:$L$2216)+SUMIF(Mercado_Receita!$S$2:$S$2216,"44501B2ConvencionalRuralServiço público de irrigação ruralNão se aplicaNão se aplicaIntermediário",Mercado_Receita!$L$2:$L$2216)+SUMIF(Mercado_Receita!$S$2:$S$2216,"44501B2ConvencionalRuralServiço público de irrigação ruralNão se aplicaNão se aplicaNão se aplica",Mercado_Receita!$L$2:$L$2216)</f>
        <v>0</v>
      </c>
      <c r="M52" s="13">
        <f>SUMIF(Mercado_Receita!$S$2:$S$2216,"44531B2ConvencionalRuralServiço público de irrigação ruralNão se aplicaNão se aplicaPonta",Mercado_Receita!$L$2:$L$2216)+SUMIF(Mercado_Receita!$S$2:$S$2216,"44531B2ConvencionalRuralServiço público de irrigação ruralNão se aplicaNão se aplicaFora ponta",Mercado_Receita!$L$2:$L$2216)+SUMIF(Mercado_Receita!$S$2:$S$2216,"44531B2ConvencionalRuralServiço público de irrigação ruralNão se aplicaNão se aplicaIntermediário",Mercado_Receita!$L$2:$L$2216)+SUMIF(Mercado_Receita!$S$2:$S$2216,"44531B2ConvencionalRuralServiço público de irrigação ruralNão se aplicaNão se aplicaNão se aplica",Mercado_Receita!$L$2:$L$2216)</f>
        <v>0</v>
      </c>
      <c r="N52" s="13">
        <f>SUMIF(Mercado_Receita!$S$2:$S$2216,"44562B2ConvencionalRuralServiço público de irrigação ruralNão se aplicaNão se aplicaPonta",Mercado_Receita!$L$2:$L$2216)+SUMIF(Mercado_Receita!$S$2:$S$2216,"44562B2ConvencionalRuralServiço público de irrigação ruralNão se aplicaNão se aplicaFora ponta",Mercado_Receita!$L$2:$L$2216)+SUMIF(Mercado_Receita!$S$2:$S$2216,"44562B2ConvencionalRuralServiço público de irrigação ruralNão se aplicaNão se aplicaIntermediário",Mercado_Receita!$L$2:$L$2216)+SUMIF(Mercado_Receita!$S$2:$S$2216,"44562B2ConvencionalRuralServiço público de irrigação ruralNão se aplicaNão se aplicaNão se aplica",Mercado_Receita!$L$2:$L$2216)</f>
        <v>0</v>
      </c>
      <c r="O52" s="13">
        <f>SUMIF(Mercado_Receita!$S$2:$S$2216,"44593B2ConvencionalRuralServiço público de irrigação ruralNão se aplicaNão se aplicaPonta",Mercado_Receita!$L$2:$L$2216)+SUMIF(Mercado_Receita!$S$2:$S$2216,"44593B2ConvencionalRuralServiço público de irrigação ruralNão se aplicaNão se aplicaFora ponta",Mercado_Receita!$L$2:$L$2216)+SUMIF(Mercado_Receita!$S$2:$S$2216,"44593B2ConvencionalRuralServiço público de irrigação ruralNão se aplicaNão se aplicaIntermediário",Mercado_Receita!$L$2:$L$2216)+SUMIF(Mercado_Receita!$S$2:$S$2216,"44593B2ConvencionalRuralServiço público de irrigação ruralNão se aplicaNão se aplicaNão se aplica",Mercado_Receita!$L$2:$L$2216)</f>
        <v>0</v>
      </c>
      <c r="P52" s="13">
        <f>SUMIF(Mercado_Receita!$S$2:$S$2216,"44621B2ConvencionalRuralServiço público de irrigação ruralNão se aplicaNão se aplicaPonta",Mercado_Receita!$L$2:$L$2216)+SUMIF(Mercado_Receita!$S$2:$S$2216,"44621B2ConvencionalRuralServiço público de irrigação ruralNão se aplicaNão se aplicaFora ponta",Mercado_Receita!$L$2:$L$2216)+SUMIF(Mercado_Receita!$S$2:$S$2216,"44621B2ConvencionalRuralServiço público de irrigação ruralNão se aplicaNão se aplicaIntermediário",Mercado_Receita!$L$2:$L$2216)+SUMIF(Mercado_Receita!$S$2:$S$2216,"44621B2ConvencionalRuralServiço público de irrigação ruralNão se aplicaNão se aplicaNão se aplica",Mercado_Receita!$L$2:$L$2216)</f>
        <v>0</v>
      </c>
      <c r="Q52" s="13">
        <f>SUMIF(Mercado_Receita!$S$2:$S$2216,"44652B2ConvencionalRuralServiço público de irrigação ruralNão se aplicaNão se aplicaPonta",Mercado_Receita!$L$2:$L$2216)+SUMIF(Mercado_Receita!$S$2:$S$2216,"44652B2ConvencionalRuralServiço público de irrigação ruralNão se aplicaNão se aplicaFora ponta",Mercado_Receita!$L$2:$L$2216)+SUMIF(Mercado_Receita!$S$2:$S$2216,"44652B2ConvencionalRuralServiço público de irrigação ruralNão se aplicaNão se aplicaIntermediário",Mercado_Receita!$L$2:$L$2216)+SUMIF(Mercado_Receita!$S$2:$S$2216,"44652B2ConvencionalRuralServiço público de irrigação ruralNão se aplicaNão se aplicaNão se aplica",Mercado_Receita!$L$2:$L$2216)</f>
        <v>0</v>
      </c>
      <c r="R52" s="13">
        <f>SUMIF(Mercado_Receita!$S$2:$S$2216,"44682B2ConvencionalRuralServiço público de irrigação ruralNão se aplicaNão se aplicaPonta",Mercado_Receita!$L$2:$L$2216)+SUMIF(Mercado_Receita!$S$2:$S$2216,"44682B2ConvencionalRuralServiço público de irrigação ruralNão se aplicaNão se aplicaFora ponta",Mercado_Receita!$L$2:$L$2216)+SUMIF(Mercado_Receita!$S$2:$S$2216,"44682B2ConvencionalRuralServiço público de irrigação ruralNão se aplicaNão se aplicaIntermediário",Mercado_Receita!$L$2:$L$2216)+SUMIF(Mercado_Receita!$S$2:$S$2216,"44682B2ConvencionalRuralServiço público de irrigação ruralNão se aplicaNão se aplicaNão se aplica",Mercado_Receita!$L$2:$L$2216)</f>
        <v>0</v>
      </c>
      <c r="S52" s="13">
        <f>SUMIF(Mercado_Receita!$S$2:$S$2216,"44713B2ConvencionalRuralServiço público de irrigação ruralNão se aplicaNão se aplicaPonta",Mercado_Receita!$L$2:$L$2216)+SUMIF(Mercado_Receita!$S$2:$S$2216,"44713B2ConvencionalRuralServiço público de irrigação ruralNão se aplicaNão se aplicaFora ponta",Mercado_Receita!$L$2:$L$2216)+SUMIF(Mercado_Receita!$S$2:$S$2216,"44713B2ConvencionalRuralServiço público de irrigação ruralNão se aplicaNão se aplicaIntermediário",Mercado_Receita!$L$2:$L$2216)+SUMIF(Mercado_Receita!$S$2:$S$2216,"44713B2ConvencionalRuralServiço público de irrigação ruralNão se aplicaNão se aplicaNão se aplica",Mercado_Receita!$L$2:$L$2216)</f>
        <v>0</v>
      </c>
      <c r="T52" s="13">
        <f>SUMIF(Mercado_Receita!$S$2:$S$2216,"44743B2ConvencionalRuralServiço público de irrigação ruralNão se aplicaNão se aplicaPonta",Mercado_Receita!$L$2:$L$2216)+SUMIF(Mercado_Receita!$S$2:$S$2216,"44743B2ConvencionalRuralServiço público de irrigação ruralNão se aplicaNão se aplicaFora ponta",Mercado_Receita!$L$2:$L$2216)+SUMIF(Mercado_Receita!$S$2:$S$2216,"44743B2ConvencionalRuralServiço público de irrigação ruralNão se aplicaNão se aplicaIntermediário",Mercado_Receita!$L$2:$L$2216)+SUMIF(Mercado_Receita!$S$2:$S$2216,"44743B2ConvencionalRuralServiço público de irrigação ruralNão se aplicaNão se aplicaNão se aplica",Mercado_Receita!$L$2:$L$2216)</f>
        <v>0</v>
      </c>
      <c r="U52" s="13">
        <f t="shared" si="1"/>
        <v>0</v>
      </c>
      <c r="V52" s="13"/>
      <c r="W52" s="13"/>
    </row>
    <row r="53" spans="1:23" ht="11.25" customHeight="1" x14ac:dyDescent="0.25">
      <c r="A53" s="83"/>
      <c r="B53" s="82" t="s">
        <v>115</v>
      </c>
      <c r="C53" s="82" t="s">
        <v>45</v>
      </c>
      <c r="D53" s="12" t="s">
        <v>25</v>
      </c>
      <c r="E53" s="12" t="s">
        <v>25</v>
      </c>
      <c r="F53" s="12" t="s">
        <v>25</v>
      </c>
      <c r="G53" s="13" t="s">
        <v>108</v>
      </c>
      <c r="H53" s="13" t="s">
        <v>102</v>
      </c>
      <c r="I53" s="13">
        <f>SUMIF(Mercado_Receita!$S$2:$S$2216,"44409B2Convencional pré-pagamentoRuralNão se aplicaNão se aplicaNão se aplicaPonta",Mercado_Receita!$L$2:$L$2216)+SUMIF(Mercado_Receita!$S$2:$S$2216,"44409B2Convencional pré-pagamentoRuralNão se aplicaNão se aplicaNão se aplicaFora ponta",Mercado_Receita!$L$2:$L$2216)+SUMIF(Mercado_Receita!$S$2:$S$2216,"44409B2Convencional pré-pagamentoRuralNão se aplicaNão se aplicaNão se aplicaIntermediário",Mercado_Receita!$L$2:$L$2216)+SUMIF(Mercado_Receita!$S$2:$S$2216,"44409B2Convencional pré-pagamentoRuralNão se aplicaNão se aplicaNão se aplicaNão se aplica",Mercado_Receita!$L$2:$L$2216)</f>
        <v>0</v>
      </c>
      <c r="J53" s="13">
        <f>SUMIF(Mercado_Receita!$S$2:$S$2216,"44440B2Convencional pré-pagamentoRuralNão se aplicaNão se aplicaNão se aplicaPonta",Mercado_Receita!$L$2:$L$2216)+SUMIF(Mercado_Receita!$S$2:$S$2216,"44440B2Convencional pré-pagamentoRuralNão se aplicaNão se aplicaNão se aplicaFora ponta",Mercado_Receita!$L$2:$L$2216)+SUMIF(Mercado_Receita!$S$2:$S$2216,"44440B2Convencional pré-pagamentoRuralNão se aplicaNão se aplicaNão se aplicaIntermediário",Mercado_Receita!$L$2:$L$2216)+SUMIF(Mercado_Receita!$S$2:$S$2216,"44440B2Convencional pré-pagamentoRuralNão se aplicaNão se aplicaNão se aplicaNão se aplica",Mercado_Receita!$L$2:$L$2216)</f>
        <v>0</v>
      </c>
      <c r="K53" s="13">
        <f>SUMIF(Mercado_Receita!$S$2:$S$2216,"44470B2Convencional pré-pagamentoRuralNão se aplicaNão se aplicaNão se aplicaPonta",Mercado_Receita!$L$2:$L$2216)+SUMIF(Mercado_Receita!$S$2:$S$2216,"44470B2Convencional pré-pagamentoRuralNão se aplicaNão se aplicaNão se aplicaFora ponta",Mercado_Receita!$L$2:$L$2216)+SUMIF(Mercado_Receita!$S$2:$S$2216,"44470B2Convencional pré-pagamentoRuralNão se aplicaNão se aplicaNão se aplicaIntermediário",Mercado_Receita!$L$2:$L$2216)+SUMIF(Mercado_Receita!$S$2:$S$2216,"44470B2Convencional pré-pagamentoRuralNão se aplicaNão se aplicaNão se aplicaNão se aplica",Mercado_Receita!$L$2:$L$2216)</f>
        <v>0</v>
      </c>
      <c r="L53" s="13">
        <f>SUMIF(Mercado_Receita!$S$2:$S$2216,"44501B2Convencional pré-pagamentoRuralNão se aplicaNão se aplicaNão se aplicaPonta",Mercado_Receita!$L$2:$L$2216)+SUMIF(Mercado_Receita!$S$2:$S$2216,"44501B2Convencional pré-pagamentoRuralNão se aplicaNão se aplicaNão se aplicaFora ponta",Mercado_Receita!$L$2:$L$2216)+SUMIF(Mercado_Receita!$S$2:$S$2216,"44501B2Convencional pré-pagamentoRuralNão se aplicaNão se aplicaNão se aplicaIntermediário",Mercado_Receita!$L$2:$L$2216)+SUMIF(Mercado_Receita!$S$2:$S$2216,"44501B2Convencional pré-pagamentoRuralNão se aplicaNão se aplicaNão se aplicaNão se aplica",Mercado_Receita!$L$2:$L$2216)</f>
        <v>0</v>
      </c>
      <c r="M53" s="13">
        <f>SUMIF(Mercado_Receita!$S$2:$S$2216,"44531B2Convencional pré-pagamentoRuralNão se aplicaNão se aplicaNão se aplicaPonta",Mercado_Receita!$L$2:$L$2216)+SUMIF(Mercado_Receita!$S$2:$S$2216,"44531B2Convencional pré-pagamentoRuralNão se aplicaNão se aplicaNão se aplicaFora ponta",Mercado_Receita!$L$2:$L$2216)+SUMIF(Mercado_Receita!$S$2:$S$2216,"44531B2Convencional pré-pagamentoRuralNão se aplicaNão se aplicaNão se aplicaIntermediário",Mercado_Receita!$L$2:$L$2216)+SUMIF(Mercado_Receita!$S$2:$S$2216,"44531B2Convencional pré-pagamentoRuralNão se aplicaNão se aplicaNão se aplicaNão se aplica",Mercado_Receita!$L$2:$L$2216)</f>
        <v>0</v>
      </c>
      <c r="N53" s="13">
        <f>SUMIF(Mercado_Receita!$S$2:$S$2216,"44562B2Convencional pré-pagamentoRuralNão se aplicaNão se aplicaNão se aplicaPonta",Mercado_Receita!$L$2:$L$2216)+SUMIF(Mercado_Receita!$S$2:$S$2216,"44562B2Convencional pré-pagamentoRuralNão se aplicaNão se aplicaNão se aplicaFora ponta",Mercado_Receita!$L$2:$L$2216)+SUMIF(Mercado_Receita!$S$2:$S$2216,"44562B2Convencional pré-pagamentoRuralNão se aplicaNão se aplicaNão se aplicaIntermediário",Mercado_Receita!$L$2:$L$2216)+SUMIF(Mercado_Receita!$S$2:$S$2216,"44562B2Convencional pré-pagamentoRuralNão se aplicaNão se aplicaNão se aplicaNão se aplica",Mercado_Receita!$L$2:$L$2216)</f>
        <v>0</v>
      </c>
      <c r="O53" s="13">
        <f>SUMIF(Mercado_Receita!$S$2:$S$2216,"44593B2Convencional pré-pagamentoRuralNão se aplicaNão se aplicaNão se aplicaPonta",Mercado_Receita!$L$2:$L$2216)+SUMIF(Mercado_Receita!$S$2:$S$2216,"44593B2Convencional pré-pagamentoRuralNão se aplicaNão se aplicaNão se aplicaFora ponta",Mercado_Receita!$L$2:$L$2216)+SUMIF(Mercado_Receita!$S$2:$S$2216,"44593B2Convencional pré-pagamentoRuralNão se aplicaNão se aplicaNão se aplicaIntermediário",Mercado_Receita!$L$2:$L$2216)+SUMIF(Mercado_Receita!$S$2:$S$2216,"44593B2Convencional pré-pagamentoRuralNão se aplicaNão se aplicaNão se aplicaNão se aplica",Mercado_Receita!$L$2:$L$2216)</f>
        <v>0</v>
      </c>
      <c r="P53" s="13">
        <f>SUMIF(Mercado_Receita!$S$2:$S$2216,"44621B2Convencional pré-pagamentoRuralNão se aplicaNão se aplicaNão se aplicaPonta",Mercado_Receita!$L$2:$L$2216)+SUMIF(Mercado_Receita!$S$2:$S$2216,"44621B2Convencional pré-pagamentoRuralNão se aplicaNão se aplicaNão se aplicaFora ponta",Mercado_Receita!$L$2:$L$2216)+SUMIF(Mercado_Receita!$S$2:$S$2216,"44621B2Convencional pré-pagamentoRuralNão se aplicaNão se aplicaNão se aplicaIntermediário",Mercado_Receita!$L$2:$L$2216)+SUMIF(Mercado_Receita!$S$2:$S$2216,"44621B2Convencional pré-pagamentoRuralNão se aplicaNão se aplicaNão se aplicaNão se aplica",Mercado_Receita!$L$2:$L$2216)</f>
        <v>0</v>
      </c>
      <c r="Q53" s="13">
        <f>SUMIF(Mercado_Receita!$S$2:$S$2216,"44652B2Convencional pré-pagamentoRuralNão se aplicaNão se aplicaNão se aplicaPonta",Mercado_Receita!$L$2:$L$2216)+SUMIF(Mercado_Receita!$S$2:$S$2216,"44652B2Convencional pré-pagamentoRuralNão se aplicaNão se aplicaNão se aplicaFora ponta",Mercado_Receita!$L$2:$L$2216)+SUMIF(Mercado_Receita!$S$2:$S$2216,"44652B2Convencional pré-pagamentoRuralNão se aplicaNão se aplicaNão se aplicaIntermediário",Mercado_Receita!$L$2:$L$2216)+SUMIF(Mercado_Receita!$S$2:$S$2216,"44652B2Convencional pré-pagamentoRuralNão se aplicaNão se aplicaNão se aplicaNão se aplica",Mercado_Receita!$L$2:$L$2216)</f>
        <v>0</v>
      </c>
      <c r="R53" s="13">
        <f>SUMIF(Mercado_Receita!$S$2:$S$2216,"44682B2Convencional pré-pagamentoRuralNão se aplicaNão se aplicaNão se aplicaPonta",Mercado_Receita!$L$2:$L$2216)+SUMIF(Mercado_Receita!$S$2:$S$2216,"44682B2Convencional pré-pagamentoRuralNão se aplicaNão se aplicaNão se aplicaFora ponta",Mercado_Receita!$L$2:$L$2216)+SUMIF(Mercado_Receita!$S$2:$S$2216,"44682B2Convencional pré-pagamentoRuralNão se aplicaNão se aplicaNão se aplicaIntermediário",Mercado_Receita!$L$2:$L$2216)+SUMIF(Mercado_Receita!$S$2:$S$2216,"44682B2Convencional pré-pagamentoRuralNão se aplicaNão se aplicaNão se aplicaNão se aplica",Mercado_Receita!$L$2:$L$2216)</f>
        <v>0</v>
      </c>
      <c r="S53" s="13">
        <f>SUMIF(Mercado_Receita!$S$2:$S$2216,"44713B2Convencional pré-pagamentoRuralNão se aplicaNão se aplicaNão se aplicaPonta",Mercado_Receita!$L$2:$L$2216)+SUMIF(Mercado_Receita!$S$2:$S$2216,"44713B2Convencional pré-pagamentoRuralNão se aplicaNão se aplicaNão se aplicaFora ponta",Mercado_Receita!$L$2:$L$2216)+SUMIF(Mercado_Receita!$S$2:$S$2216,"44713B2Convencional pré-pagamentoRuralNão se aplicaNão se aplicaNão se aplicaIntermediário",Mercado_Receita!$L$2:$L$2216)+SUMIF(Mercado_Receita!$S$2:$S$2216,"44713B2Convencional pré-pagamentoRuralNão se aplicaNão se aplicaNão se aplicaNão se aplica",Mercado_Receita!$L$2:$L$2216)</f>
        <v>0</v>
      </c>
      <c r="T53" s="13">
        <f>SUMIF(Mercado_Receita!$S$2:$S$2216,"44743B2Convencional pré-pagamentoRuralNão se aplicaNão se aplicaNão se aplicaPonta",Mercado_Receita!$L$2:$L$2216)+SUMIF(Mercado_Receita!$S$2:$S$2216,"44743B2Convencional pré-pagamentoRuralNão se aplicaNão se aplicaNão se aplicaFora ponta",Mercado_Receita!$L$2:$L$2216)+SUMIF(Mercado_Receita!$S$2:$S$2216,"44743B2Convencional pré-pagamentoRuralNão se aplicaNão se aplicaNão se aplicaIntermediário",Mercado_Receita!$L$2:$L$2216)+SUMIF(Mercado_Receita!$S$2:$S$2216,"44743B2Convencional pré-pagamentoRuralNão se aplicaNão se aplicaNão se aplicaNão se aplica",Mercado_Receita!$L$2:$L$2216)</f>
        <v>0</v>
      </c>
      <c r="U53" s="13">
        <f t="shared" si="1"/>
        <v>0</v>
      </c>
      <c r="V53" s="13"/>
      <c r="W53" s="13"/>
    </row>
    <row r="54" spans="1:23" ht="11.25" customHeight="1" x14ac:dyDescent="0.25">
      <c r="A54" s="83"/>
      <c r="B54" s="83"/>
      <c r="C54" s="83"/>
      <c r="D54" s="12" t="s">
        <v>116</v>
      </c>
      <c r="E54" s="12" t="s">
        <v>25</v>
      </c>
      <c r="F54" s="12" t="s">
        <v>25</v>
      </c>
      <c r="G54" s="13" t="s">
        <v>108</v>
      </c>
      <c r="H54" s="13" t="s">
        <v>102</v>
      </c>
      <c r="I54" s="13">
        <f>SUMIF(Mercado_Receita!$S$2:$S$2216,"44409B2Convencional pré-pagamentoRuralCooperativa de eletrificação ruralNão se aplicaNão se aplicaPonta",Mercado_Receita!$L$2:$L$2216)+SUMIF(Mercado_Receita!$S$2:$S$2216,"44409B2Convencional pré-pagamentoRuralCooperativa de eletrificação ruralNão se aplicaNão se aplicaFora ponta",Mercado_Receita!$L$2:$L$2216)+SUMIF(Mercado_Receita!$S$2:$S$2216,"44409B2Convencional pré-pagamentoRuralCooperativa de eletrificação ruralNão se aplicaNão se aplicaIntermediário",Mercado_Receita!$L$2:$L$2216)+SUMIF(Mercado_Receita!$S$2:$S$2216,"44409B2Convencional pré-pagamentoRuralCooperativa de eletrificação ruralNão se aplicaNão se aplicaNão se aplica",Mercado_Receita!$L$2:$L$2216)</f>
        <v>0</v>
      </c>
      <c r="J54" s="13">
        <f>SUMIF(Mercado_Receita!$S$2:$S$2216,"44440B2Convencional pré-pagamentoRuralCooperativa de eletrificação ruralNão se aplicaNão se aplicaPonta",Mercado_Receita!$L$2:$L$2216)+SUMIF(Mercado_Receita!$S$2:$S$2216,"44440B2Convencional pré-pagamentoRuralCooperativa de eletrificação ruralNão se aplicaNão se aplicaFora ponta",Mercado_Receita!$L$2:$L$2216)+SUMIF(Mercado_Receita!$S$2:$S$2216,"44440B2Convencional pré-pagamentoRuralCooperativa de eletrificação ruralNão se aplicaNão se aplicaIntermediário",Mercado_Receita!$L$2:$L$2216)+SUMIF(Mercado_Receita!$S$2:$S$2216,"44440B2Convencional pré-pagamentoRuralCooperativa de eletrificação ruralNão se aplicaNão se aplicaNão se aplica",Mercado_Receita!$L$2:$L$2216)</f>
        <v>0</v>
      </c>
      <c r="K54" s="13">
        <f>SUMIF(Mercado_Receita!$S$2:$S$2216,"44470B2Convencional pré-pagamentoRuralCooperativa de eletrificação ruralNão se aplicaNão se aplicaPonta",Mercado_Receita!$L$2:$L$2216)+SUMIF(Mercado_Receita!$S$2:$S$2216,"44470B2Convencional pré-pagamentoRuralCooperativa de eletrificação ruralNão se aplicaNão se aplicaFora ponta",Mercado_Receita!$L$2:$L$2216)+SUMIF(Mercado_Receita!$S$2:$S$2216,"44470B2Convencional pré-pagamentoRuralCooperativa de eletrificação ruralNão se aplicaNão se aplicaIntermediário",Mercado_Receita!$L$2:$L$2216)+SUMIF(Mercado_Receita!$S$2:$S$2216,"44470B2Convencional pré-pagamentoRuralCooperativa de eletrificação ruralNão se aplicaNão se aplicaNão se aplica",Mercado_Receita!$L$2:$L$2216)</f>
        <v>0</v>
      </c>
      <c r="L54" s="13">
        <f>SUMIF(Mercado_Receita!$S$2:$S$2216,"44501B2Convencional pré-pagamentoRuralCooperativa de eletrificação ruralNão se aplicaNão se aplicaPonta",Mercado_Receita!$L$2:$L$2216)+SUMIF(Mercado_Receita!$S$2:$S$2216,"44501B2Convencional pré-pagamentoRuralCooperativa de eletrificação ruralNão se aplicaNão se aplicaFora ponta",Mercado_Receita!$L$2:$L$2216)+SUMIF(Mercado_Receita!$S$2:$S$2216,"44501B2Convencional pré-pagamentoRuralCooperativa de eletrificação ruralNão se aplicaNão se aplicaIntermediário",Mercado_Receita!$L$2:$L$2216)+SUMIF(Mercado_Receita!$S$2:$S$2216,"44501B2Convencional pré-pagamentoRuralCooperativa de eletrificação ruralNão se aplicaNão se aplicaNão se aplica",Mercado_Receita!$L$2:$L$2216)</f>
        <v>0</v>
      </c>
      <c r="M54" s="13">
        <f>SUMIF(Mercado_Receita!$S$2:$S$2216,"44531B2Convencional pré-pagamentoRuralCooperativa de eletrificação ruralNão se aplicaNão se aplicaPonta",Mercado_Receita!$L$2:$L$2216)+SUMIF(Mercado_Receita!$S$2:$S$2216,"44531B2Convencional pré-pagamentoRuralCooperativa de eletrificação ruralNão se aplicaNão se aplicaFora ponta",Mercado_Receita!$L$2:$L$2216)+SUMIF(Mercado_Receita!$S$2:$S$2216,"44531B2Convencional pré-pagamentoRuralCooperativa de eletrificação ruralNão se aplicaNão se aplicaIntermediário",Mercado_Receita!$L$2:$L$2216)+SUMIF(Mercado_Receita!$S$2:$S$2216,"44531B2Convencional pré-pagamentoRuralCooperativa de eletrificação ruralNão se aplicaNão se aplicaNão se aplica",Mercado_Receita!$L$2:$L$2216)</f>
        <v>0</v>
      </c>
      <c r="N54" s="13">
        <f>SUMIF(Mercado_Receita!$S$2:$S$2216,"44562B2Convencional pré-pagamentoRuralCooperativa de eletrificação ruralNão se aplicaNão se aplicaPonta",Mercado_Receita!$L$2:$L$2216)+SUMIF(Mercado_Receita!$S$2:$S$2216,"44562B2Convencional pré-pagamentoRuralCooperativa de eletrificação ruralNão se aplicaNão se aplicaFora ponta",Mercado_Receita!$L$2:$L$2216)+SUMIF(Mercado_Receita!$S$2:$S$2216,"44562B2Convencional pré-pagamentoRuralCooperativa de eletrificação ruralNão se aplicaNão se aplicaIntermediário",Mercado_Receita!$L$2:$L$2216)+SUMIF(Mercado_Receita!$S$2:$S$2216,"44562B2Convencional pré-pagamentoRuralCooperativa de eletrificação ruralNão se aplicaNão se aplicaNão se aplica",Mercado_Receita!$L$2:$L$2216)</f>
        <v>0</v>
      </c>
      <c r="O54" s="13">
        <f>SUMIF(Mercado_Receita!$S$2:$S$2216,"44593B2Convencional pré-pagamentoRuralCooperativa de eletrificação ruralNão se aplicaNão se aplicaPonta",Mercado_Receita!$L$2:$L$2216)+SUMIF(Mercado_Receita!$S$2:$S$2216,"44593B2Convencional pré-pagamentoRuralCooperativa de eletrificação ruralNão se aplicaNão se aplicaFora ponta",Mercado_Receita!$L$2:$L$2216)+SUMIF(Mercado_Receita!$S$2:$S$2216,"44593B2Convencional pré-pagamentoRuralCooperativa de eletrificação ruralNão se aplicaNão se aplicaIntermediário",Mercado_Receita!$L$2:$L$2216)+SUMIF(Mercado_Receita!$S$2:$S$2216,"44593B2Convencional pré-pagamentoRuralCooperativa de eletrificação ruralNão se aplicaNão se aplicaNão se aplica",Mercado_Receita!$L$2:$L$2216)</f>
        <v>0</v>
      </c>
      <c r="P54" s="13">
        <f>SUMIF(Mercado_Receita!$S$2:$S$2216,"44621B2Convencional pré-pagamentoRuralCooperativa de eletrificação ruralNão se aplicaNão se aplicaPonta",Mercado_Receita!$L$2:$L$2216)+SUMIF(Mercado_Receita!$S$2:$S$2216,"44621B2Convencional pré-pagamentoRuralCooperativa de eletrificação ruralNão se aplicaNão se aplicaFora ponta",Mercado_Receita!$L$2:$L$2216)+SUMIF(Mercado_Receita!$S$2:$S$2216,"44621B2Convencional pré-pagamentoRuralCooperativa de eletrificação ruralNão se aplicaNão se aplicaIntermediário",Mercado_Receita!$L$2:$L$2216)+SUMIF(Mercado_Receita!$S$2:$S$2216,"44621B2Convencional pré-pagamentoRuralCooperativa de eletrificação ruralNão se aplicaNão se aplicaNão se aplica",Mercado_Receita!$L$2:$L$2216)</f>
        <v>0</v>
      </c>
      <c r="Q54" s="13">
        <f>SUMIF(Mercado_Receita!$S$2:$S$2216,"44652B2Convencional pré-pagamentoRuralCooperativa de eletrificação ruralNão se aplicaNão se aplicaPonta",Mercado_Receita!$L$2:$L$2216)+SUMIF(Mercado_Receita!$S$2:$S$2216,"44652B2Convencional pré-pagamentoRuralCooperativa de eletrificação ruralNão se aplicaNão se aplicaFora ponta",Mercado_Receita!$L$2:$L$2216)+SUMIF(Mercado_Receita!$S$2:$S$2216,"44652B2Convencional pré-pagamentoRuralCooperativa de eletrificação ruralNão se aplicaNão se aplicaIntermediário",Mercado_Receita!$L$2:$L$2216)+SUMIF(Mercado_Receita!$S$2:$S$2216,"44652B2Convencional pré-pagamentoRuralCooperativa de eletrificação ruralNão se aplicaNão se aplicaNão se aplica",Mercado_Receita!$L$2:$L$2216)</f>
        <v>0</v>
      </c>
      <c r="R54" s="13">
        <f>SUMIF(Mercado_Receita!$S$2:$S$2216,"44682B2Convencional pré-pagamentoRuralCooperativa de eletrificação ruralNão se aplicaNão se aplicaPonta",Mercado_Receita!$L$2:$L$2216)+SUMIF(Mercado_Receita!$S$2:$S$2216,"44682B2Convencional pré-pagamentoRuralCooperativa de eletrificação ruralNão se aplicaNão se aplicaFora ponta",Mercado_Receita!$L$2:$L$2216)+SUMIF(Mercado_Receita!$S$2:$S$2216,"44682B2Convencional pré-pagamentoRuralCooperativa de eletrificação ruralNão se aplicaNão se aplicaIntermediário",Mercado_Receita!$L$2:$L$2216)+SUMIF(Mercado_Receita!$S$2:$S$2216,"44682B2Convencional pré-pagamentoRuralCooperativa de eletrificação ruralNão se aplicaNão se aplicaNão se aplica",Mercado_Receita!$L$2:$L$2216)</f>
        <v>0</v>
      </c>
      <c r="S54" s="13">
        <f>SUMIF(Mercado_Receita!$S$2:$S$2216,"44713B2Convencional pré-pagamentoRuralCooperativa de eletrificação ruralNão se aplicaNão se aplicaPonta",Mercado_Receita!$L$2:$L$2216)+SUMIF(Mercado_Receita!$S$2:$S$2216,"44713B2Convencional pré-pagamentoRuralCooperativa de eletrificação ruralNão se aplicaNão se aplicaFora ponta",Mercado_Receita!$L$2:$L$2216)+SUMIF(Mercado_Receita!$S$2:$S$2216,"44713B2Convencional pré-pagamentoRuralCooperativa de eletrificação ruralNão se aplicaNão se aplicaIntermediário",Mercado_Receita!$L$2:$L$2216)+SUMIF(Mercado_Receita!$S$2:$S$2216,"44713B2Convencional pré-pagamentoRuralCooperativa de eletrificação ruralNão se aplicaNão se aplicaNão se aplica",Mercado_Receita!$L$2:$L$2216)</f>
        <v>0</v>
      </c>
      <c r="T54" s="13">
        <f>SUMIF(Mercado_Receita!$S$2:$S$2216,"44743B2Convencional pré-pagamentoRuralCooperativa de eletrificação ruralNão se aplicaNão se aplicaPonta",Mercado_Receita!$L$2:$L$2216)+SUMIF(Mercado_Receita!$S$2:$S$2216,"44743B2Convencional pré-pagamentoRuralCooperativa de eletrificação ruralNão se aplicaNão se aplicaFora ponta",Mercado_Receita!$L$2:$L$2216)+SUMIF(Mercado_Receita!$S$2:$S$2216,"44743B2Convencional pré-pagamentoRuralCooperativa de eletrificação ruralNão se aplicaNão se aplicaIntermediário",Mercado_Receita!$L$2:$L$2216)+SUMIF(Mercado_Receita!$S$2:$S$2216,"44743B2Convencional pré-pagamentoRuralCooperativa de eletrificação ruralNão se aplicaNão se aplicaNão se aplica",Mercado_Receita!$L$2:$L$2216)</f>
        <v>0</v>
      </c>
      <c r="U54" s="13">
        <f t="shared" si="1"/>
        <v>0</v>
      </c>
      <c r="V54" s="13"/>
      <c r="W54" s="13"/>
    </row>
    <row r="55" spans="1:23" ht="11.25" customHeight="1" x14ac:dyDescent="0.25">
      <c r="A55" s="83"/>
      <c r="B55" s="83"/>
      <c r="C55" s="83"/>
      <c r="D55" s="12" t="s">
        <v>117</v>
      </c>
      <c r="E55" s="12" t="s">
        <v>25</v>
      </c>
      <c r="F55" s="12" t="s">
        <v>25</v>
      </c>
      <c r="G55" s="13" t="s">
        <v>108</v>
      </c>
      <c r="H55" s="13" t="s">
        <v>102</v>
      </c>
      <c r="I55" s="13">
        <f>SUMIF(Mercado_Receita!$S$2:$S$2216,"44409B2Convencional pré-pagamentoRuralServiço público de irrigação ruralNão se aplicaNão se aplicaPonta",Mercado_Receita!$L$2:$L$2216)+SUMIF(Mercado_Receita!$S$2:$S$2216,"44409B2Convencional pré-pagamentoRuralServiço público de irrigação ruralNão se aplicaNão se aplicaFora ponta",Mercado_Receita!$L$2:$L$2216)+SUMIF(Mercado_Receita!$S$2:$S$2216,"44409B2Convencional pré-pagamentoRuralServiço público de irrigação ruralNão se aplicaNão se aplicaIntermediário",Mercado_Receita!$L$2:$L$2216)+SUMIF(Mercado_Receita!$S$2:$S$2216,"44409B2Convencional pré-pagamentoRuralServiço público de irrigação ruralNão se aplicaNão se aplicaNão se aplica",Mercado_Receita!$L$2:$L$2216)</f>
        <v>0</v>
      </c>
      <c r="J55" s="13">
        <f>SUMIF(Mercado_Receita!$S$2:$S$2216,"44440B2Convencional pré-pagamentoRuralServiço público de irrigação ruralNão se aplicaNão se aplicaPonta",Mercado_Receita!$L$2:$L$2216)+SUMIF(Mercado_Receita!$S$2:$S$2216,"44440B2Convencional pré-pagamentoRuralServiço público de irrigação ruralNão se aplicaNão se aplicaFora ponta",Mercado_Receita!$L$2:$L$2216)+SUMIF(Mercado_Receita!$S$2:$S$2216,"44440B2Convencional pré-pagamentoRuralServiço público de irrigação ruralNão se aplicaNão se aplicaIntermediário",Mercado_Receita!$L$2:$L$2216)+SUMIF(Mercado_Receita!$S$2:$S$2216,"44440B2Convencional pré-pagamentoRuralServiço público de irrigação ruralNão se aplicaNão se aplicaNão se aplica",Mercado_Receita!$L$2:$L$2216)</f>
        <v>0</v>
      </c>
      <c r="K55" s="13">
        <f>SUMIF(Mercado_Receita!$S$2:$S$2216,"44470B2Convencional pré-pagamentoRuralServiço público de irrigação ruralNão se aplicaNão se aplicaPonta",Mercado_Receita!$L$2:$L$2216)+SUMIF(Mercado_Receita!$S$2:$S$2216,"44470B2Convencional pré-pagamentoRuralServiço público de irrigação ruralNão se aplicaNão se aplicaFora ponta",Mercado_Receita!$L$2:$L$2216)+SUMIF(Mercado_Receita!$S$2:$S$2216,"44470B2Convencional pré-pagamentoRuralServiço público de irrigação ruralNão se aplicaNão se aplicaIntermediário",Mercado_Receita!$L$2:$L$2216)+SUMIF(Mercado_Receita!$S$2:$S$2216,"44470B2Convencional pré-pagamentoRuralServiço público de irrigação ruralNão se aplicaNão se aplicaNão se aplica",Mercado_Receita!$L$2:$L$2216)</f>
        <v>0</v>
      </c>
      <c r="L55" s="13">
        <f>SUMIF(Mercado_Receita!$S$2:$S$2216,"44501B2Convencional pré-pagamentoRuralServiço público de irrigação ruralNão se aplicaNão se aplicaPonta",Mercado_Receita!$L$2:$L$2216)+SUMIF(Mercado_Receita!$S$2:$S$2216,"44501B2Convencional pré-pagamentoRuralServiço público de irrigação ruralNão se aplicaNão se aplicaFora ponta",Mercado_Receita!$L$2:$L$2216)+SUMIF(Mercado_Receita!$S$2:$S$2216,"44501B2Convencional pré-pagamentoRuralServiço público de irrigação ruralNão se aplicaNão se aplicaIntermediário",Mercado_Receita!$L$2:$L$2216)+SUMIF(Mercado_Receita!$S$2:$S$2216,"44501B2Convencional pré-pagamentoRuralServiço público de irrigação ruralNão se aplicaNão se aplicaNão se aplica",Mercado_Receita!$L$2:$L$2216)</f>
        <v>0</v>
      </c>
      <c r="M55" s="13">
        <f>SUMIF(Mercado_Receita!$S$2:$S$2216,"44531B2Convencional pré-pagamentoRuralServiço público de irrigação ruralNão se aplicaNão se aplicaPonta",Mercado_Receita!$L$2:$L$2216)+SUMIF(Mercado_Receita!$S$2:$S$2216,"44531B2Convencional pré-pagamentoRuralServiço público de irrigação ruralNão se aplicaNão se aplicaFora ponta",Mercado_Receita!$L$2:$L$2216)+SUMIF(Mercado_Receita!$S$2:$S$2216,"44531B2Convencional pré-pagamentoRuralServiço público de irrigação ruralNão se aplicaNão se aplicaIntermediário",Mercado_Receita!$L$2:$L$2216)+SUMIF(Mercado_Receita!$S$2:$S$2216,"44531B2Convencional pré-pagamentoRuralServiço público de irrigação ruralNão se aplicaNão se aplicaNão se aplica",Mercado_Receita!$L$2:$L$2216)</f>
        <v>0</v>
      </c>
      <c r="N55" s="13">
        <f>SUMIF(Mercado_Receita!$S$2:$S$2216,"44562B2Convencional pré-pagamentoRuralServiço público de irrigação ruralNão se aplicaNão se aplicaPonta",Mercado_Receita!$L$2:$L$2216)+SUMIF(Mercado_Receita!$S$2:$S$2216,"44562B2Convencional pré-pagamentoRuralServiço público de irrigação ruralNão se aplicaNão se aplicaFora ponta",Mercado_Receita!$L$2:$L$2216)+SUMIF(Mercado_Receita!$S$2:$S$2216,"44562B2Convencional pré-pagamentoRuralServiço público de irrigação ruralNão se aplicaNão se aplicaIntermediário",Mercado_Receita!$L$2:$L$2216)+SUMIF(Mercado_Receita!$S$2:$S$2216,"44562B2Convencional pré-pagamentoRuralServiço público de irrigação ruralNão se aplicaNão se aplicaNão se aplica",Mercado_Receita!$L$2:$L$2216)</f>
        <v>0</v>
      </c>
      <c r="O55" s="13">
        <f>SUMIF(Mercado_Receita!$S$2:$S$2216,"44593B2Convencional pré-pagamentoRuralServiço público de irrigação ruralNão se aplicaNão se aplicaPonta",Mercado_Receita!$L$2:$L$2216)+SUMIF(Mercado_Receita!$S$2:$S$2216,"44593B2Convencional pré-pagamentoRuralServiço público de irrigação ruralNão se aplicaNão se aplicaFora ponta",Mercado_Receita!$L$2:$L$2216)+SUMIF(Mercado_Receita!$S$2:$S$2216,"44593B2Convencional pré-pagamentoRuralServiço público de irrigação ruralNão se aplicaNão se aplicaIntermediário",Mercado_Receita!$L$2:$L$2216)+SUMIF(Mercado_Receita!$S$2:$S$2216,"44593B2Convencional pré-pagamentoRuralServiço público de irrigação ruralNão se aplicaNão se aplicaNão se aplica",Mercado_Receita!$L$2:$L$2216)</f>
        <v>0</v>
      </c>
      <c r="P55" s="13">
        <f>SUMIF(Mercado_Receita!$S$2:$S$2216,"44621B2Convencional pré-pagamentoRuralServiço público de irrigação ruralNão se aplicaNão se aplicaPonta",Mercado_Receita!$L$2:$L$2216)+SUMIF(Mercado_Receita!$S$2:$S$2216,"44621B2Convencional pré-pagamentoRuralServiço público de irrigação ruralNão se aplicaNão se aplicaFora ponta",Mercado_Receita!$L$2:$L$2216)+SUMIF(Mercado_Receita!$S$2:$S$2216,"44621B2Convencional pré-pagamentoRuralServiço público de irrigação ruralNão se aplicaNão se aplicaIntermediário",Mercado_Receita!$L$2:$L$2216)+SUMIF(Mercado_Receita!$S$2:$S$2216,"44621B2Convencional pré-pagamentoRuralServiço público de irrigação ruralNão se aplicaNão se aplicaNão se aplica",Mercado_Receita!$L$2:$L$2216)</f>
        <v>0</v>
      </c>
      <c r="Q55" s="13">
        <f>SUMIF(Mercado_Receita!$S$2:$S$2216,"44652B2Convencional pré-pagamentoRuralServiço público de irrigação ruralNão se aplicaNão se aplicaPonta",Mercado_Receita!$L$2:$L$2216)+SUMIF(Mercado_Receita!$S$2:$S$2216,"44652B2Convencional pré-pagamentoRuralServiço público de irrigação ruralNão se aplicaNão se aplicaFora ponta",Mercado_Receita!$L$2:$L$2216)+SUMIF(Mercado_Receita!$S$2:$S$2216,"44652B2Convencional pré-pagamentoRuralServiço público de irrigação ruralNão se aplicaNão se aplicaIntermediário",Mercado_Receita!$L$2:$L$2216)+SUMIF(Mercado_Receita!$S$2:$S$2216,"44652B2Convencional pré-pagamentoRuralServiço público de irrigação ruralNão se aplicaNão se aplicaNão se aplica",Mercado_Receita!$L$2:$L$2216)</f>
        <v>0</v>
      </c>
      <c r="R55" s="13">
        <f>SUMIF(Mercado_Receita!$S$2:$S$2216,"44682B2Convencional pré-pagamentoRuralServiço público de irrigação ruralNão se aplicaNão se aplicaPonta",Mercado_Receita!$L$2:$L$2216)+SUMIF(Mercado_Receita!$S$2:$S$2216,"44682B2Convencional pré-pagamentoRuralServiço público de irrigação ruralNão se aplicaNão se aplicaFora ponta",Mercado_Receita!$L$2:$L$2216)+SUMIF(Mercado_Receita!$S$2:$S$2216,"44682B2Convencional pré-pagamentoRuralServiço público de irrigação ruralNão se aplicaNão se aplicaIntermediário",Mercado_Receita!$L$2:$L$2216)+SUMIF(Mercado_Receita!$S$2:$S$2216,"44682B2Convencional pré-pagamentoRuralServiço público de irrigação ruralNão se aplicaNão se aplicaNão se aplica",Mercado_Receita!$L$2:$L$2216)</f>
        <v>0</v>
      </c>
      <c r="S55" s="13">
        <f>SUMIF(Mercado_Receita!$S$2:$S$2216,"44713B2Convencional pré-pagamentoRuralServiço público de irrigação ruralNão se aplicaNão se aplicaPonta",Mercado_Receita!$L$2:$L$2216)+SUMIF(Mercado_Receita!$S$2:$S$2216,"44713B2Convencional pré-pagamentoRuralServiço público de irrigação ruralNão se aplicaNão se aplicaFora ponta",Mercado_Receita!$L$2:$L$2216)+SUMIF(Mercado_Receita!$S$2:$S$2216,"44713B2Convencional pré-pagamentoRuralServiço público de irrigação ruralNão se aplicaNão se aplicaIntermediário",Mercado_Receita!$L$2:$L$2216)+SUMIF(Mercado_Receita!$S$2:$S$2216,"44713B2Convencional pré-pagamentoRuralServiço público de irrigação ruralNão se aplicaNão se aplicaNão se aplica",Mercado_Receita!$L$2:$L$2216)</f>
        <v>0</v>
      </c>
      <c r="T55" s="13">
        <f>SUMIF(Mercado_Receita!$S$2:$S$2216,"44743B2Convencional pré-pagamentoRuralServiço público de irrigação ruralNão se aplicaNão se aplicaPonta",Mercado_Receita!$L$2:$L$2216)+SUMIF(Mercado_Receita!$S$2:$S$2216,"44743B2Convencional pré-pagamentoRuralServiço público de irrigação ruralNão se aplicaNão se aplicaFora ponta",Mercado_Receita!$L$2:$L$2216)+SUMIF(Mercado_Receita!$S$2:$S$2216,"44743B2Convencional pré-pagamentoRuralServiço público de irrigação ruralNão se aplicaNão se aplicaIntermediário",Mercado_Receita!$L$2:$L$2216)+SUMIF(Mercado_Receita!$S$2:$S$2216,"44743B2Convencional pré-pagamentoRuralServiço público de irrigação ruralNão se aplicaNão se aplicaNão se aplica",Mercado_Receita!$L$2:$L$2216)</f>
        <v>0</v>
      </c>
      <c r="U55" s="13">
        <f t="shared" si="1"/>
        <v>0</v>
      </c>
      <c r="V55" s="13"/>
      <c r="W55" s="13"/>
    </row>
    <row r="56" spans="1:23" ht="11.25" customHeight="1" x14ac:dyDescent="0.25">
      <c r="A56" s="82" t="s">
        <v>37</v>
      </c>
      <c r="B56" s="82" t="s">
        <v>33</v>
      </c>
      <c r="C56" s="82" t="s">
        <v>25</v>
      </c>
      <c r="D56" s="82" t="s">
        <v>25</v>
      </c>
      <c r="E56" s="82" t="s">
        <v>25</v>
      </c>
      <c r="F56" s="82" t="s">
        <v>25</v>
      </c>
      <c r="G56" s="13" t="s">
        <v>103</v>
      </c>
      <c r="H56" s="13" t="s">
        <v>102</v>
      </c>
      <c r="I56" s="13">
        <f>SUMIF(Mercado_Receita!$S$2:$S$2216,"44409B3BrancaNão se aplicaNão se aplicaNão se aplicaNão se aplicaPonta",Mercado_Receita!$L$2:$L$2216)</f>
        <v>1.579</v>
      </c>
      <c r="J56" s="13">
        <f>SUMIF(Mercado_Receita!$S$2:$S$2216,"44440B3BrancaNão se aplicaNão se aplicaNão se aplicaNão se aplicaPonta",Mercado_Receita!$L$2:$L$2216)</f>
        <v>3.9249999999999998</v>
      </c>
      <c r="K56" s="13">
        <f>SUMIF(Mercado_Receita!$S$2:$S$2216,"44470B3BrancaNão se aplicaNão se aplicaNão se aplicaNão se aplicaPonta",Mercado_Receita!$L$2:$L$2216)</f>
        <v>4.3949999999999996</v>
      </c>
      <c r="L56" s="13">
        <f>SUMIF(Mercado_Receita!$S$2:$S$2216,"44501B3BrancaNão se aplicaNão se aplicaNão se aplicaNão se aplicaPonta",Mercado_Receita!$L$2:$L$2216)</f>
        <v>4.851</v>
      </c>
      <c r="M56" s="13">
        <f>SUMIF(Mercado_Receita!$S$2:$S$2216,"44531B3BrancaNão se aplicaNão se aplicaNão se aplicaNão se aplicaPonta",Mercado_Receita!$L$2:$L$2216)</f>
        <v>5.1840000000000002</v>
      </c>
      <c r="N56" s="13">
        <f>SUMIF(Mercado_Receita!$S$2:$S$2216,"44562B3BrancaNão se aplicaNão se aplicaNão se aplicaNão se aplicaPonta",Mercado_Receita!$L$2:$L$2216)</f>
        <v>4.8870000000000013</v>
      </c>
      <c r="O56" s="13">
        <f>SUMIF(Mercado_Receita!$S$2:$S$2216,"44593B3BrancaNão se aplicaNão se aplicaNão se aplicaNão se aplicaPonta",Mercado_Receita!$L$2:$L$2216)</f>
        <v>5.1360000000000001</v>
      </c>
      <c r="P56" s="13">
        <f>SUMIF(Mercado_Receita!$S$2:$S$2216,"44621B3BrancaNão se aplicaNão se aplicaNão se aplicaNão se aplicaPonta",Mercado_Receita!$L$2:$L$2216)</f>
        <v>6.3789999999999996</v>
      </c>
      <c r="Q56" s="13">
        <f>SUMIF(Mercado_Receita!$S$2:$S$2216,"44652B3BrancaNão se aplicaNão se aplicaNão se aplicaNão se aplicaPonta",Mercado_Receita!$L$2:$L$2216)</f>
        <v>5.0060000000000002</v>
      </c>
      <c r="R56" s="13">
        <f>SUMIF(Mercado_Receita!$S$2:$S$2216,"44682B3BrancaNão se aplicaNão se aplicaNão se aplicaNão se aplicaPonta",Mercado_Receita!$L$2:$L$2216)</f>
        <v>4.577</v>
      </c>
      <c r="S56" s="13">
        <f>SUMIF(Mercado_Receita!$S$2:$S$2216,"44713B3BrancaNão se aplicaNão se aplicaNão se aplicaNão se aplicaPonta",Mercado_Receita!$L$2:$L$2216)</f>
        <v>4.335</v>
      </c>
      <c r="T56" s="13">
        <f>SUMIF(Mercado_Receita!$S$2:$S$2216,"44743B3BrancaNão se aplicaNão se aplicaNão se aplicaNão se aplicaPonta",Mercado_Receita!$L$2:$L$2216)</f>
        <v>4.335</v>
      </c>
      <c r="U56" s="13">
        <f t="shared" si="1"/>
        <v>54.588999999999999</v>
      </c>
      <c r="V56" s="13"/>
      <c r="W56" s="13"/>
    </row>
    <row r="57" spans="1:23" ht="11.25" customHeight="1" x14ac:dyDescent="0.25">
      <c r="A57" s="83"/>
      <c r="B57" s="83"/>
      <c r="C57" s="83"/>
      <c r="D57" s="83"/>
      <c r="E57" s="83"/>
      <c r="F57" s="83"/>
      <c r="G57" s="13" t="s">
        <v>113</v>
      </c>
      <c r="H57" s="13" t="s">
        <v>102</v>
      </c>
      <c r="I57" s="13">
        <f>SUMIF(Mercado_Receita!$S$2:$S$2216,"44409B3BrancaNão se aplicaNão se aplicaNão se aplicaNão se aplicaIntermediário",Mercado_Receita!$L$2:$L$2216)</f>
        <v>4.4110000000000005</v>
      </c>
      <c r="J57" s="13">
        <f>SUMIF(Mercado_Receita!$S$2:$S$2216,"44440B3BrancaNão se aplicaNão se aplicaNão se aplicaNão se aplicaIntermediário",Mercado_Receita!$L$2:$L$2216)</f>
        <v>4.548</v>
      </c>
      <c r="K57" s="13">
        <f>SUMIF(Mercado_Receita!$S$2:$S$2216,"44470B3BrancaNão se aplicaNão se aplicaNão se aplicaNão se aplicaIntermediário",Mercado_Receita!$L$2:$L$2216)</f>
        <v>5.0769999999999991</v>
      </c>
      <c r="L57" s="13">
        <f>SUMIF(Mercado_Receita!$S$2:$S$2216,"44501B3BrancaNão se aplicaNão se aplicaNão se aplicaNão se aplicaIntermediário",Mercado_Receita!$L$2:$L$2216)</f>
        <v>5.2060000000000004</v>
      </c>
      <c r="M57" s="13">
        <f>SUMIF(Mercado_Receita!$S$2:$S$2216,"44531B3BrancaNão se aplicaNão se aplicaNão se aplicaNão se aplicaIntermediário",Mercado_Receita!$L$2:$L$2216)</f>
        <v>6.2650000000000006</v>
      </c>
      <c r="N57" s="13">
        <f>SUMIF(Mercado_Receita!$S$2:$S$2216,"44562B3BrancaNão se aplicaNão se aplicaNão se aplicaNão se aplicaIntermediário",Mercado_Receita!$L$2:$L$2216)</f>
        <v>6.4670000000000005</v>
      </c>
      <c r="O57" s="13">
        <f>SUMIF(Mercado_Receita!$S$2:$S$2216,"44593B3BrancaNão se aplicaNão se aplicaNão se aplicaNão se aplicaIntermediário",Mercado_Receita!$L$2:$L$2216)</f>
        <v>5.8170000000000002</v>
      </c>
      <c r="P57" s="13">
        <f>SUMIF(Mercado_Receita!$S$2:$S$2216,"44621B3BrancaNão se aplicaNão se aplicaNão se aplicaNão se aplicaIntermediário",Mercado_Receita!$L$2:$L$2216)</f>
        <v>6.1980000000000004</v>
      </c>
      <c r="Q57" s="13">
        <f>SUMIF(Mercado_Receita!$S$2:$S$2216,"44652B3BrancaNão se aplicaNão se aplicaNão se aplicaNão se aplicaIntermediário",Mercado_Receita!$L$2:$L$2216)</f>
        <v>5.9359999999999999</v>
      </c>
      <c r="R57" s="13">
        <f>SUMIF(Mercado_Receita!$S$2:$S$2216,"44682B3BrancaNão se aplicaNão se aplicaNão se aplicaNão se aplicaIntermediário",Mercado_Receita!$L$2:$L$2216)</f>
        <v>5.7600000000000007</v>
      </c>
      <c r="S57" s="13">
        <f>SUMIF(Mercado_Receita!$S$2:$S$2216,"44713B3BrancaNão se aplicaNão se aplicaNão se aplicaNão se aplicaIntermediário",Mercado_Receita!$L$2:$L$2216)</f>
        <v>5.1769999999999996</v>
      </c>
      <c r="T57" s="13">
        <f>SUMIF(Mercado_Receita!$S$2:$S$2216,"44743B3BrancaNão se aplicaNão se aplicaNão se aplicaNão se aplicaIntermediário",Mercado_Receita!$L$2:$L$2216)</f>
        <v>5.1769999999999996</v>
      </c>
      <c r="U57" s="13">
        <f t="shared" si="1"/>
        <v>66.038999999999987</v>
      </c>
      <c r="V57" s="13"/>
      <c r="W57" s="13"/>
    </row>
    <row r="58" spans="1:23" ht="11.25" customHeight="1" x14ac:dyDescent="0.25">
      <c r="A58" s="83"/>
      <c r="B58" s="83"/>
      <c r="C58" s="83"/>
      <c r="D58" s="83"/>
      <c r="E58" s="83"/>
      <c r="F58" s="83"/>
      <c r="G58" s="13" t="s">
        <v>104</v>
      </c>
      <c r="H58" s="13" t="s">
        <v>102</v>
      </c>
      <c r="I58" s="13">
        <f>SUMIF(Mercado_Receita!$S$2:$S$2216,"44409B3BrancaNão se aplicaNão se aplicaNão se aplicaNão se aplicaFora ponta",Mercado_Receita!$L$2:$L$2216)</f>
        <v>71.650999999999996</v>
      </c>
      <c r="J58" s="13">
        <f>SUMIF(Mercado_Receita!$S$2:$S$2216,"44440B3BrancaNão se aplicaNão se aplicaNão se aplicaNão se aplicaFora ponta",Mercado_Receita!$L$2:$L$2216)</f>
        <v>69.823999999999998</v>
      </c>
      <c r="K58" s="13">
        <f>SUMIF(Mercado_Receita!$S$2:$S$2216,"44470B3BrancaNão se aplicaNão se aplicaNão se aplicaNão se aplicaFora ponta",Mercado_Receita!$L$2:$L$2216)</f>
        <v>82.787000000000006</v>
      </c>
      <c r="L58" s="13">
        <f>SUMIF(Mercado_Receita!$S$2:$S$2216,"44501B3BrancaNão se aplicaNão se aplicaNão se aplicaNão se aplicaFora ponta",Mercado_Receita!$L$2:$L$2216)</f>
        <v>85.003</v>
      </c>
      <c r="M58" s="13">
        <f>SUMIF(Mercado_Receita!$S$2:$S$2216,"44531B3BrancaNão se aplicaNão se aplicaNão se aplicaNão se aplicaFora ponta",Mercado_Receita!$L$2:$L$2216)</f>
        <v>102.44200000000001</v>
      </c>
      <c r="N58" s="13">
        <f>SUMIF(Mercado_Receita!$S$2:$S$2216,"44562B3BrancaNão se aplicaNão se aplicaNão se aplicaNão se aplicaFora ponta",Mercado_Receita!$L$2:$L$2216)</f>
        <v>86.656000000000006</v>
      </c>
      <c r="O58" s="13">
        <f>SUMIF(Mercado_Receita!$S$2:$S$2216,"44593B3BrancaNão se aplicaNão se aplicaNão se aplicaNão se aplicaFora ponta",Mercado_Receita!$L$2:$L$2216)</f>
        <v>84.583999999999989</v>
      </c>
      <c r="P58" s="13">
        <f>SUMIF(Mercado_Receita!$S$2:$S$2216,"44621B3BrancaNão se aplicaNão se aplicaNão se aplicaNão se aplicaFora ponta",Mercado_Receita!$L$2:$L$2216)</f>
        <v>97.01</v>
      </c>
      <c r="Q58" s="13">
        <f>SUMIF(Mercado_Receita!$S$2:$S$2216,"44652B3BrancaNão se aplicaNão se aplicaNão se aplicaNão se aplicaFora ponta",Mercado_Receita!$L$2:$L$2216)</f>
        <v>84.19</v>
      </c>
      <c r="R58" s="13">
        <f>SUMIF(Mercado_Receita!$S$2:$S$2216,"44682B3BrancaNão se aplicaNão se aplicaNão se aplicaNão se aplicaFora ponta",Mercado_Receita!$L$2:$L$2216)</f>
        <v>85.984999999999999</v>
      </c>
      <c r="S58" s="13">
        <f>SUMIF(Mercado_Receita!$S$2:$S$2216,"44713B3BrancaNão se aplicaNão se aplicaNão se aplicaNão se aplicaFora ponta",Mercado_Receita!$L$2:$L$2216)</f>
        <v>77.193000000000012</v>
      </c>
      <c r="T58" s="13">
        <f>SUMIF(Mercado_Receita!$S$2:$S$2216,"44743B3BrancaNão se aplicaNão se aplicaNão se aplicaNão se aplicaFora ponta",Mercado_Receita!$L$2:$L$2216)</f>
        <v>77.193000000000012</v>
      </c>
      <c r="U58" s="13">
        <f t="shared" si="1"/>
        <v>1004.5179999999999</v>
      </c>
      <c r="V58" s="13"/>
      <c r="W58" s="13"/>
    </row>
    <row r="59" spans="1:23" ht="11.25" customHeight="1" x14ac:dyDescent="0.25">
      <c r="A59" s="83"/>
      <c r="B59" s="12" t="s">
        <v>23</v>
      </c>
      <c r="C59" s="12" t="s">
        <v>25</v>
      </c>
      <c r="D59" s="12" t="s">
        <v>25</v>
      </c>
      <c r="E59" s="12" t="s">
        <v>25</v>
      </c>
      <c r="F59" s="12" t="s">
        <v>25</v>
      </c>
      <c r="G59" s="13" t="s">
        <v>108</v>
      </c>
      <c r="H59" s="13" t="s">
        <v>102</v>
      </c>
      <c r="I59" s="13">
        <f>SUMIF(Mercado_Receita!$S$2:$S$2216,"44409B3ConvencionalNão se aplicaNão se aplicaNão se aplicaNão se aplicaPonta",Mercado_Receita!$L$2:$L$2216)+SUMIF(Mercado_Receita!$S$2:$S$2216,"44409B3ConvencionalNão se aplicaNão se aplicaNão se aplicaNão se aplicaFora ponta",Mercado_Receita!$L$2:$L$2216)+SUMIF(Mercado_Receita!$S$2:$S$2216,"44409B3ConvencionalNão se aplicaNão se aplicaNão se aplicaNão se aplicaIntermediário",Mercado_Receita!$L$2:$L$2216)+SUMIF(Mercado_Receita!$S$2:$S$2216,"44409B3ConvencionalNão se aplicaNão se aplicaNão se aplicaNão se aplicaNão se aplica",Mercado_Receita!$L$2:$L$2216)</f>
        <v>50684.050999999999</v>
      </c>
      <c r="J59" s="13">
        <f>SUMIF(Mercado_Receita!$S$2:$S$2216,"44440B3ConvencionalNão se aplicaNão se aplicaNão se aplicaNão se aplicaPonta",Mercado_Receita!$L$2:$L$2216)+SUMIF(Mercado_Receita!$S$2:$S$2216,"44440B3ConvencionalNão se aplicaNão se aplicaNão se aplicaNão se aplicaFora ponta",Mercado_Receita!$L$2:$L$2216)+SUMIF(Mercado_Receita!$S$2:$S$2216,"44440B3ConvencionalNão se aplicaNão se aplicaNão se aplicaNão se aplicaIntermediário",Mercado_Receita!$L$2:$L$2216)+SUMIF(Mercado_Receita!$S$2:$S$2216,"44440B3ConvencionalNão se aplicaNão se aplicaNão se aplicaNão se aplicaNão se aplica",Mercado_Receita!$L$2:$L$2216)</f>
        <v>51068.729999999996</v>
      </c>
      <c r="K59" s="13">
        <f>SUMIF(Mercado_Receita!$S$2:$S$2216,"44470B3ConvencionalNão se aplicaNão se aplicaNão se aplicaNão se aplicaPonta",Mercado_Receita!$L$2:$L$2216)+SUMIF(Mercado_Receita!$S$2:$S$2216,"44470B3ConvencionalNão se aplicaNão se aplicaNão se aplicaNão se aplicaFora ponta",Mercado_Receita!$L$2:$L$2216)+SUMIF(Mercado_Receita!$S$2:$S$2216,"44470B3ConvencionalNão se aplicaNão se aplicaNão se aplicaNão se aplicaIntermediário",Mercado_Receita!$L$2:$L$2216)+SUMIF(Mercado_Receita!$S$2:$S$2216,"44470B3ConvencionalNão se aplicaNão se aplicaNão se aplicaNão se aplicaNão se aplica",Mercado_Receita!$L$2:$L$2216)</f>
        <v>54405.867000000013</v>
      </c>
      <c r="L59" s="13">
        <f>SUMIF(Mercado_Receita!$S$2:$S$2216,"44501B3ConvencionalNão se aplicaNão se aplicaNão se aplicaNão se aplicaPonta",Mercado_Receita!$L$2:$L$2216)+SUMIF(Mercado_Receita!$S$2:$S$2216,"44501B3ConvencionalNão se aplicaNão se aplicaNão se aplicaNão se aplicaFora ponta",Mercado_Receita!$L$2:$L$2216)+SUMIF(Mercado_Receita!$S$2:$S$2216,"44501B3ConvencionalNão se aplicaNão se aplicaNão se aplicaNão se aplicaIntermediário",Mercado_Receita!$L$2:$L$2216)+SUMIF(Mercado_Receita!$S$2:$S$2216,"44501B3ConvencionalNão se aplicaNão se aplicaNão se aplicaNão se aplicaNão se aplica",Mercado_Receita!$L$2:$L$2216)</f>
        <v>54785.786</v>
      </c>
      <c r="M59" s="13">
        <f>SUMIF(Mercado_Receita!$S$2:$S$2216,"44531B3ConvencionalNão se aplicaNão se aplicaNão se aplicaNão se aplicaPonta",Mercado_Receita!$L$2:$L$2216)+SUMIF(Mercado_Receita!$S$2:$S$2216,"44531B3ConvencionalNão se aplicaNão se aplicaNão se aplicaNão se aplicaFora ponta",Mercado_Receita!$L$2:$L$2216)+SUMIF(Mercado_Receita!$S$2:$S$2216,"44531B3ConvencionalNão se aplicaNão se aplicaNão se aplicaNão se aplicaIntermediário",Mercado_Receita!$L$2:$L$2216)+SUMIF(Mercado_Receita!$S$2:$S$2216,"44531B3ConvencionalNão se aplicaNão se aplicaNão se aplicaNão se aplicaNão se aplica",Mercado_Receita!$L$2:$L$2216)</f>
        <v>61338.811999999998</v>
      </c>
      <c r="N59" s="13">
        <f>SUMIF(Mercado_Receita!$S$2:$S$2216,"44562B3ConvencionalNão se aplicaNão se aplicaNão se aplicaNão se aplicaPonta",Mercado_Receita!$L$2:$L$2216)+SUMIF(Mercado_Receita!$S$2:$S$2216,"44562B3ConvencionalNão se aplicaNão se aplicaNão se aplicaNão se aplicaFora ponta",Mercado_Receita!$L$2:$L$2216)+SUMIF(Mercado_Receita!$S$2:$S$2216,"44562B3ConvencionalNão se aplicaNão se aplicaNão se aplicaNão se aplicaIntermediário",Mercado_Receita!$L$2:$L$2216)+SUMIF(Mercado_Receita!$S$2:$S$2216,"44562B3ConvencionalNão se aplicaNão se aplicaNão se aplicaNão se aplicaNão se aplica",Mercado_Receita!$L$2:$L$2216)</f>
        <v>54320.799999999996</v>
      </c>
      <c r="O59" s="13">
        <f>SUMIF(Mercado_Receita!$S$2:$S$2216,"44593B3ConvencionalNão se aplicaNão se aplicaNão se aplicaNão se aplicaPonta",Mercado_Receita!$L$2:$L$2216)+SUMIF(Mercado_Receita!$S$2:$S$2216,"44593B3ConvencionalNão se aplicaNão se aplicaNão se aplicaNão se aplicaFora ponta",Mercado_Receita!$L$2:$L$2216)+SUMIF(Mercado_Receita!$S$2:$S$2216,"44593B3ConvencionalNão se aplicaNão se aplicaNão se aplicaNão se aplicaIntermediário",Mercado_Receita!$L$2:$L$2216)+SUMIF(Mercado_Receita!$S$2:$S$2216,"44593B3ConvencionalNão se aplicaNão se aplicaNão se aplicaNão se aplicaNão se aplica",Mercado_Receita!$L$2:$L$2216)</f>
        <v>50679.316999999988</v>
      </c>
      <c r="P59" s="13">
        <f>SUMIF(Mercado_Receita!$S$2:$S$2216,"44621B3ConvencionalNão se aplicaNão se aplicaNão se aplicaNão se aplicaPonta",Mercado_Receita!$L$2:$L$2216)+SUMIF(Mercado_Receita!$S$2:$S$2216,"44621B3ConvencionalNão se aplicaNão se aplicaNão se aplicaNão se aplicaFora ponta",Mercado_Receita!$L$2:$L$2216)+SUMIF(Mercado_Receita!$S$2:$S$2216,"44621B3ConvencionalNão se aplicaNão se aplicaNão se aplicaNão se aplicaIntermediário",Mercado_Receita!$L$2:$L$2216)+SUMIF(Mercado_Receita!$S$2:$S$2216,"44621B3ConvencionalNão se aplicaNão se aplicaNão se aplicaNão se aplicaNão se aplica",Mercado_Receita!$L$2:$L$2216)</f>
        <v>58026.979000000007</v>
      </c>
      <c r="Q59" s="13">
        <f>SUMIF(Mercado_Receita!$S$2:$S$2216,"44652B3ConvencionalNão se aplicaNão se aplicaNão se aplicaNão se aplicaPonta",Mercado_Receita!$L$2:$L$2216)+SUMIF(Mercado_Receita!$S$2:$S$2216,"44652B3ConvencionalNão se aplicaNão se aplicaNão se aplicaNão se aplicaFora ponta",Mercado_Receita!$L$2:$L$2216)+SUMIF(Mercado_Receita!$S$2:$S$2216,"44652B3ConvencionalNão se aplicaNão se aplicaNão se aplicaNão se aplicaIntermediário",Mercado_Receita!$L$2:$L$2216)+SUMIF(Mercado_Receita!$S$2:$S$2216,"44652B3ConvencionalNão se aplicaNão se aplicaNão se aplicaNão se aplicaNão se aplica",Mercado_Receita!$L$2:$L$2216)</f>
        <v>55976.262000000002</v>
      </c>
      <c r="R59" s="13">
        <f>SUMIF(Mercado_Receita!$S$2:$S$2216,"44682B3ConvencionalNão se aplicaNão se aplicaNão se aplicaNão se aplicaPonta",Mercado_Receita!$L$2:$L$2216)+SUMIF(Mercado_Receita!$S$2:$S$2216,"44682B3ConvencionalNão se aplicaNão se aplicaNão se aplicaNão se aplicaFora ponta",Mercado_Receita!$L$2:$L$2216)+SUMIF(Mercado_Receita!$S$2:$S$2216,"44682B3ConvencionalNão se aplicaNão se aplicaNão se aplicaNão se aplicaIntermediário",Mercado_Receita!$L$2:$L$2216)+SUMIF(Mercado_Receita!$S$2:$S$2216,"44682B3ConvencionalNão se aplicaNão se aplicaNão se aplicaNão se aplicaNão se aplica",Mercado_Receita!$L$2:$L$2216)</f>
        <v>56648.834999999999</v>
      </c>
      <c r="S59" s="13">
        <f>SUMIF(Mercado_Receita!$S$2:$S$2216,"44713B3ConvencionalNão se aplicaNão se aplicaNão se aplicaNão se aplicaPonta",Mercado_Receita!$L$2:$L$2216)+SUMIF(Mercado_Receita!$S$2:$S$2216,"44713B3ConvencionalNão se aplicaNão se aplicaNão se aplicaNão se aplicaFora ponta",Mercado_Receita!$L$2:$L$2216)+SUMIF(Mercado_Receita!$S$2:$S$2216,"44713B3ConvencionalNão se aplicaNão se aplicaNão se aplicaNão se aplicaIntermediário",Mercado_Receita!$L$2:$L$2216)+SUMIF(Mercado_Receita!$S$2:$S$2216,"44713B3ConvencionalNão se aplicaNão se aplicaNão se aplicaNão se aplicaNão se aplica",Mercado_Receita!$L$2:$L$2216)</f>
        <v>51387.301999999989</v>
      </c>
      <c r="T59" s="13">
        <f>SUMIF(Mercado_Receita!$S$2:$S$2216,"44743B3ConvencionalNão se aplicaNão se aplicaNão se aplicaNão se aplicaPonta",Mercado_Receita!$L$2:$L$2216)+SUMIF(Mercado_Receita!$S$2:$S$2216,"44743B3ConvencionalNão se aplicaNão se aplicaNão se aplicaNão se aplicaFora ponta",Mercado_Receita!$L$2:$L$2216)+SUMIF(Mercado_Receita!$S$2:$S$2216,"44743B3ConvencionalNão se aplicaNão se aplicaNão se aplicaNão se aplicaIntermediário",Mercado_Receita!$L$2:$L$2216)+SUMIF(Mercado_Receita!$S$2:$S$2216,"44743B3ConvencionalNão se aplicaNão se aplicaNão se aplicaNão se aplicaNão se aplica",Mercado_Receita!$L$2:$L$2216)</f>
        <v>51387.301999999989</v>
      </c>
      <c r="U59" s="13">
        <f t="shared" si="1"/>
        <v>650710.04299999995</v>
      </c>
      <c r="V59" s="13"/>
      <c r="W59" s="13"/>
    </row>
    <row r="60" spans="1:23" ht="11.25" customHeight="1" x14ac:dyDescent="0.25">
      <c r="A60" s="83"/>
      <c r="B60" s="12" t="s">
        <v>115</v>
      </c>
      <c r="C60" s="12" t="s">
        <v>25</v>
      </c>
      <c r="D60" s="12" t="s">
        <v>25</v>
      </c>
      <c r="E60" s="12" t="s">
        <v>25</v>
      </c>
      <c r="F60" s="12" t="s">
        <v>25</v>
      </c>
      <c r="G60" s="13" t="s">
        <v>108</v>
      </c>
      <c r="H60" s="13" t="s">
        <v>102</v>
      </c>
      <c r="I60" s="13">
        <f>SUMIF(Mercado_Receita!$S$2:$S$2216,"44409B3Convencional pré-pagamentoNão se aplicaNão se aplicaNão se aplicaNão se aplicaPonta",Mercado_Receita!$L$2:$L$2216)+SUMIF(Mercado_Receita!$S$2:$S$2216,"44409B3Convencional pré-pagamentoNão se aplicaNão se aplicaNão se aplicaNão se aplicaFora ponta",Mercado_Receita!$L$2:$L$2216)+SUMIF(Mercado_Receita!$S$2:$S$2216,"44409B3Convencional pré-pagamentoNão se aplicaNão se aplicaNão se aplicaNão se aplicaIntermediário",Mercado_Receita!$L$2:$L$2216)+SUMIF(Mercado_Receita!$S$2:$S$2216,"44409B3Convencional pré-pagamentoNão se aplicaNão se aplicaNão se aplicaNão se aplicaNão se aplica",Mercado_Receita!$L$2:$L$2216)</f>
        <v>0</v>
      </c>
      <c r="J60" s="13">
        <f>SUMIF(Mercado_Receita!$S$2:$S$2216,"44440B3Convencional pré-pagamentoNão se aplicaNão se aplicaNão se aplicaNão se aplicaPonta",Mercado_Receita!$L$2:$L$2216)+SUMIF(Mercado_Receita!$S$2:$S$2216,"44440B3Convencional pré-pagamentoNão se aplicaNão se aplicaNão se aplicaNão se aplicaFora ponta",Mercado_Receita!$L$2:$L$2216)+SUMIF(Mercado_Receita!$S$2:$S$2216,"44440B3Convencional pré-pagamentoNão se aplicaNão se aplicaNão se aplicaNão se aplicaIntermediário",Mercado_Receita!$L$2:$L$2216)+SUMIF(Mercado_Receita!$S$2:$S$2216,"44440B3Convencional pré-pagamentoNão se aplicaNão se aplicaNão se aplicaNão se aplicaNão se aplica",Mercado_Receita!$L$2:$L$2216)</f>
        <v>0</v>
      </c>
      <c r="K60" s="13">
        <f>SUMIF(Mercado_Receita!$S$2:$S$2216,"44470B3Convencional pré-pagamentoNão se aplicaNão se aplicaNão se aplicaNão se aplicaPonta",Mercado_Receita!$L$2:$L$2216)+SUMIF(Mercado_Receita!$S$2:$S$2216,"44470B3Convencional pré-pagamentoNão se aplicaNão se aplicaNão se aplicaNão se aplicaFora ponta",Mercado_Receita!$L$2:$L$2216)+SUMIF(Mercado_Receita!$S$2:$S$2216,"44470B3Convencional pré-pagamentoNão se aplicaNão se aplicaNão se aplicaNão se aplicaIntermediário",Mercado_Receita!$L$2:$L$2216)+SUMIF(Mercado_Receita!$S$2:$S$2216,"44470B3Convencional pré-pagamentoNão se aplicaNão se aplicaNão se aplicaNão se aplicaNão se aplica",Mercado_Receita!$L$2:$L$2216)</f>
        <v>0</v>
      </c>
      <c r="L60" s="13">
        <f>SUMIF(Mercado_Receita!$S$2:$S$2216,"44501B3Convencional pré-pagamentoNão se aplicaNão se aplicaNão se aplicaNão se aplicaPonta",Mercado_Receita!$L$2:$L$2216)+SUMIF(Mercado_Receita!$S$2:$S$2216,"44501B3Convencional pré-pagamentoNão se aplicaNão se aplicaNão se aplicaNão se aplicaFora ponta",Mercado_Receita!$L$2:$L$2216)+SUMIF(Mercado_Receita!$S$2:$S$2216,"44501B3Convencional pré-pagamentoNão se aplicaNão se aplicaNão se aplicaNão se aplicaIntermediário",Mercado_Receita!$L$2:$L$2216)+SUMIF(Mercado_Receita!$S$2:$S$2216,"44501B3Convencional pré-pagamentoNão se aplicaNão se aplicaNão se aplicaNão se aplicaNão se aplica",Mercado_Receita!$L$2:$L$2216)</f>
        <v>0</v>
      </c>
      <c r="M60" s="13">
        <f>SUMIF(Mercado_Receita!$S$2:$S$2216,"44531B3Convencional pré-pagamentoNão se aplicaNão se aplicaNão se aplicaNão se aplicaPonta",Mercado_Receita!$L$2:$L$2216)+SUMIF(Mercado_Receita!$S$2:$S$2216,"44531B3Convencional pré-pagamentoNão se aplicaNão se aplicaNão se aplicaNão se aplicaFora ponta",Mercado_Receita!$L$2:$L$2216)+SUMIF(Mercado_Receita!$S$2:$S$2216,"44531B3Convencional pré-pagamentoNão se aplicaNão se aplicaNão se aplicaNão se aplicaIntermediário",Mercado_Receita!$L$2:$L$2216)+SUMIF(Mercado_Receita!$S$2:$S$2216,"44531B3Convencional pré-pagamentoNão se aplicaNão se aplicaNão se aplicaNão se aplicaNão se aplica",Mercado_Receita!$L$2:$L$2216)</f>
        <v>0</v>
      </c>
      <c r="N60" s="13">
        <f>SUMIF(Mercado_Receita!$S$2:$S$2216,"44562B3Convencional pré-pagamentoNão se aplicaNão se aplicaNão se aplicaNão se aplicaPonta",Mercado_Receita!$L$2:$L$2216)+SUMIF(Mercado_Receita!$S$2:$S$2216,"44562B3Convencional pré-pagamentoNão se aplicaNão se aplicaNão se aplicaNão se aplicaFora ponta",Mercado_Receita!$L$2:$L$2216)+SUMIF(Mercado_Receita!$S$2:$S$2216,"44562B3Convencional pré-pagamentoNão se aplicaNão se aplicaNão se aplicaNão se aplicaIntermediário",Mercado_Receita!$L$2:$L$2216)+SUMIF(Mercado_Receita!$S$2:$S$2216,"44562B3Convencional pré-pagamentoNão se aplicaNão se aplicaNão se aplicaNão se aplicaNão se aplica",Mercado_Receita!$L$2:$L$2216)</f>
        <v>0</v>
      </c>
      <c r="O60" s="13">
        <f>SUMIF(Mercado_Receita!$S$2:$S$2216,"44593B3Convencional pré-pagamentoNão se aplicaNão se aplicaNão se aplicaNão se aplicaPonta",Mercado_Receita!$L$2:$L$2216)+SUMIF(Mercado_Receita!$S$2:$S$2216,"44593B3Convencional pré-pagamentoNão se aplicaNão se aplicaNão se aplicaNão se aplicaFora ponta",Mercado_Receita!$L$2:$L$2216)+SUMIF(Mercado_Receita!$S$2:$S$2216,"44593B3Convencional pré-pagamentoNão se aplicaNão se aplicaNão se aplicaNão se aplicaIntermediário",Mercado_Receita!$L$2:$L$2216)+SUMIF(Mercado_Receita!$S$2:$S$2216,"44593B3Convencional pré-pagamentoNão se aplicaNão se aplicaNão se aplicaNão se aplicaNão se aplica",Mercado_Receita!$L$2:$L$2216)</f>
        <v>0</v>
      </c>
      <c r="P60" s="13">
        <f>SUMIF(Mercado_Receita!$S$2:$S$2216,"44621B3Convencional pré-pagamentoNão se aplicaNão se aplicaNão se aplicaNão se aplicaPonta",Mercado_Receita!$L$2:$L$2216)+SUMIF(Mercado_Receita!$S$2:$S$2216,"44621B3Convencional pré-pagamentoNão se aplicaNão se aplicaNão se aplicaNão se aplicaFora ponta",Mercado_Receita!$L$2:$L$2216)+SUMIF(Mercado_Receita!$S$2:$S$2216,"44621B3Convencional pré-pagamentoNão se aplicaNão se aplicaNão se aplicaNão se aplicaIntermediário",Mercado_Receita!$L$2:$L$2216)+SUMIF(Mercado_Receita!$S$2:$S$2216,"44621B3Convencional pré-pagamentoNão se aplicaNão se aplicaNão se aplicaNão se aplicaNão se aplica",Mercado_Receita!$L$2:$L$2216)</f>
        <v>0</v>
      </c>
      <c r="Q60" s="13">
        <f>SUMIF(Mercado_Receita!$S$2:$S$2216,"44652B3Convencional pré-pagamentoNão se aplicaNão se aplicaNão se aplicaNão se aplicaPonta",Mercado_Receita!$L$2:$L$2216)+SUMIF(Mercado_Receita!$S$2:$S$2216,"44652B3Convencional pré-pagamentoNão se aplicaNão se aplicaNão se aplicaNão se aplicaFora ponta",Mercado_Receita!$L$2:$L$2216)+SUMIF(Mercado_Receita!$S$2:$S$2216,"44652B3Convencional pré-pagamentoNão se aplicaNão se aplicaNão se aplicaNão se aplicaIntermediário",Mercado_Receita!$L$2:$L$2216)+SUMIF(Mercado_Receita!$S$2:$S$2216,"44652B3Convencional pré-pagamentoNão se aplicaNão se aplicaNão se aplicaNão se aplicaNão se aplica",Mercado_Receita!$L$2:$L$2216)</f>
        <v>0</v>
      </c>
      <c r="R60" s="13">
        <f>SUMIF(Mercado_Receita!$S$2:$S$2216,"44682B3Convencional pré-pagamentoNão se aplicaNão se aplicaNão se aplicaNão se aplicaPonta",Mercado_Receita!$L$2:$L$2216)+SUMIF(Mercado_Receita!$S$2:$S$2216,"44682B3Convencional pré-pagamentoNão se aplicaNão se aplicaNão se aplicaNão se aplicaFora ponta",Mercado_Receita!$L$2:$L$2216)+SUMIF(Mercado_Receita!$S$2:$S$2216,"44682B3Convencional pré-pagamentoNão se aplicaNão se aplicaNão se aplicaNão se aplicaIntermediário",Mercado_Receita!$L$2:$L$2216)+SUMIF(Mercado_Receita!$S$2:$S$2216,"44682B3Convencional pré-pagamentoNão se aplicaNão se aplicaNão se aplicaNão se aplicaNão se aplica",Mercado_Receita!$L$2:$L$2216)</f>
        <v>0</v>
      </c>
      <c r="S60" s="13">
        <f>SUMIF(Mercado_Receita!$S$2:$S$2216,"44713B3Convencional pré-pagamentoNão se aplicaNão se aplicaNão se aplicaNão se aplicaPonta",Mercado_Receita!$L$2:$L$2216)+SUMIF(Mercado_Receita!$S$2:$S$2216,"44713B3Convencional pré-pagamentoNão se aplicaNão se aplicaNão se aplicaNão se aplicaFora ponta",Mercado_Receita!$L$2:$L$2216)+SUMIF(Mercado_Receita!$S$2:$S$2216,"44713B3Convencional pré-pagamentoNão se aplicaNão se aplicaNão se aplicaNão se aplicaIntermediário",Mercado_Receita!$L$2:$L$2216)+SUMIF(Mercado_Receita!$S$2:$S$2216,"44713B3Convencional pré-pagamentoNão se aplicaNão se aplicaNão se aplicaNão se aplicaNão se aplica",Mercado_Receita!$L$2:$L$2216)</f>
        <v>0</v>
      </c>
      <c r="T60" s="13">
        <f>SUMIF(Mercado_Receita!$S$2:$S$2216,"44743B3Convencional pré-pagamentoNão se aplicaNão se aplicaNão se aplicaNão se aplicaPonta",Mercado_Receita!$L$2:$L$2216)+SUMIF(Mercado_Receita!$S$2:$S$2216,"44743B3Convencional pré-pagamentoNão se aplicaNão se aplicaNão se aplicaNão se aplicaFora ponta",Mercado_Receita!$L$2:$L$2216)+SUMIF(Mercado_Receita!$S$2:$S$2216,"44743B3Convencional pré-pagamentoNão se aplicaNão se aplicaNão se aplicaNão se aplicaIntermediário",Mercado_Receita!$L$2:$L$2216)+SUMIF(Mercado_Receita!$S$2:$S$2216,"44743B3Convencional pré-pagamentoNão se aplicaNão se aplicaNão se aplicaNão se aplicaNão se aplica",Mercado_Receita!$L$2:$L$2216)</f>
        <v>0</v>
      </c>
      <c r="U60" s="13">
        <f t="shared" si="1"/>
        <v>0</v>
      </c>
      <c r="V60" s="13"/>
      <c r="W60" s="13"/>
    </row>
    <row r="61" spans="1:23" ht="11.25" customHeight="1" x14ac:dyDescent="0.25">
      <c r="A61" s="82" t="s">
        <v>47</v>
      </c>
      <c r="B61" s="82" t="s">
        <v>23</v>
      </c>
      <c r="C61" s="82" t="s">
        <v>48</v>
      </c>
      <c r="D61" s="12" t="s">
        <v>49</v>
      </c>
      <c r="E61" s="12" t="s">
        <v>25</v>
      </c>
      <c r="F61" s="12" t="s">
        <v>25</v>
      </c>
      <c r="G61" s="13" t="s">
        <v>108</v>
      </c>
      <c r="H61" s="13" t="s">
        <v>102</v>
      </c>
      <c r="I61" s="13">
        <f>SUMIF(Mercado_Receita!$S$2:$S$2216,"44409B4ConvencionalIluminação públicaIluminação pública – B4aNão se aplicaNão se aplicaPonta",Mercado_Receita!$L$2:$L$2216)+SUMIF(Mercado_Receita!$S$2:$S$2216,"44409B4ConvencionalIluminação públicaIluminação pública – B4aNão se aplicaNão se aplicaFora ponta",Mercado_Receita!$L$2:$L$2216)+SUMIF(Mercado_Receita!$S$2:$S$2216,"44409B4ConvencionalIluminação públicaIluminação pública – B4aNão se aplicaNão se aplicaIntermediário",Mercado_Receita!$L$2:$L$2216)+SUMIF(Mercado_Receita!$S$2:$S$2216,"44409B4ConvencionalIluminação públicaIluminação pública – B4aNão se aplicaNão se aplicaNão se aplica",Mercado_Receita!$L$2:$L$2216)</f>
        <v>20452.041000000001</v>
      </c>
      <c r="J61" s="13">
        <f>SUMIF(Mercado_Receita!$S$2:$S$2216,"44440B4ConvencionalIluminação públicaIluminação pública – B4aNão se aplicaNão se aplicaPonta",Mercado_Receita!$L$2:$L$2216)+SUMIF(Mercado_Receita!$S$2:$S$2216,"44440B4ConvencionalIluminação públicaIluminação pública – B4aNão se aplicaNão se aplicaFora ponta",Mercado_Receita!$L$2:$L$2216)+SUMIF(Mercado_Receita!$S$2:$S$2216,"44440B4ConvencionalIluminação públicaIluminação pública – B4aNão se aplicaNão se aplicaIntermediário",Mercado_Receita!$L$2:$L$2216)+SUMIF(Mercado_Receita!$S$2:$S$2216,"44440B4ConvencionalIluminação públicaIluminação pública – B4aNão se aplicaNão se aplicaNão se aplica",Mercado_Receita!$L$2:$L$2216)</f>
        <v>21159.344000000001</v>
      </c>
      <c r="K61" s="13">
        <f>SUMIF(Mercado_Receita!$S$2:$S$2216,"44470B4ConvencionalIluminação públicaIluminação pública – B4aNão se aplicaNão se aplicaPonta",Mercado_Receita!$L$2:$L$2216)+SUMIF(Mercado_Receita!$S$2:$S$2216,"44470B4ConvencionalIluminação públicaIluminação pública – B4aNão se aplicaNão se aplicaFora ponta",Mercado_Receita!$L$2:$L$2216)+SUMIF(Mercado_Receita!$S$2:$S$2216,"44470B4ConvencionalIluminação públicaIluminação pública – B4aNão se aplicaNão se aplicaIntermediário",Mercado_Receita!$L$2:$L$2216)+SUMIF(Mercado_Receita!$S$2:$S$2216,"44470B4ConvencionalIluminação públicaIluminação pública – B4aNão se aplicaNão se aplicaNão se aplica",Mercado_Receita!$L$2:$L$2216)</f>
        <v>21282.370999999999</v>
      </c>
      <c r="L61" s="13">
        <f>SUMIF(Mercado_Receita!$S$2:$S$2216,"44501B4ConvencionalIluminação públicaIluminação pública – B4aNão se aplicaNão se aplicaPonta",Mercado_Receita!$L$2:$L$2216)+SUMIF(Mercado_Receita!$S$2:$S$2216,"44501B4ConvencionalIluminação públicaIluminação pública – B4aNão se aplicaNão se aplicaFora ponta",Mercado_Receita!$L$2:$L$2216)+SUMIF(Mercado_Receita!$S$2:$S$2216,"44501B4ConvencionalIluminação públicaIluminação pública – B4aNão se aplicaNão se aplicaIntermediário",Mercado_Receita!$L$2:$L$2216)+SUMIF(Mercado_Receita!$S$2:$S$2216,"44501B4ConvencionalIluminação públicaIluminação pública – B4aNão se aplicaNão se aplicaNão se aplica",Mercado_Receita!$L$2:$L$2216)</f>
        <v>20635.312999999998</v>
      </c>
      <c r="M61" s="13">
        <f>SUMIF(Mercado_Receita!$S$2:$S$2216,"44531B4ConvencionalIluminação públicaIluminação pública – B4aNão se aplicaNão se aplicaPonta",Mercado_Receita!$L$2:$L$2216)+SUMIF(Mercado_Receita!$S$2:$S$2216,"44531B4ConvencionalIluminação públicaIluminação pública – B4aNão se aplicaNão se aplicaFora ponta",Mercado_Receita!$L$2:$L$2216)+SUMIF(Mercado_Receita!$S$2:$S$2216,"44531B4ConvencionalIluminação públicaIluminação pública – B4aNão se aplicaNão se aplicaIntermediário",Mercado_Receita!$L$2:$L$2216)+SUMIF(Mercado_Receita!$S$2:$S$2216,"44531B4ConvencionalIluminação públicaIluminação pública – B4aNão se aplicaNão se aplicaNão se aplica",Mercado_Receita!$L$2:$L$2216)</f>
        <v>23343.935000000001</v>
      </c>
      <c r="N61" s="13">
        <f>SUMIF(Mercado_Receita!$S$2:$S$2216,"44562B4ConvencionalIluminação públicaIluminação pública – B4aNão se aplicaNão se aplicaPonta",Mercado_Receita!$L$2:$L$2216)+SUMIF(Mercado_Receita!$S$2:$S$2216,"44562B4ConvencionalIluminação públicaIluminação pública – B4aNão se aplicaNão se aplicaFora ponta",Mercado_Receita!$L$2:$L$2216)+SUMIF(Mercado_Receita!$S$2:$S$2216,"44562B4ConvencionalIluminação públicaIluminação pública – B4aNão se aplicaNão se aplicaIntermediário",Mercado_Receita!$L$2:$L$2216)+SUMIF(Mercado_Receita!$S$2:$S$2216,"44562B4ConvencionalIluminação públicaIluminação pública – B4aNão se aplicaNão se aplicaNão se aplica",Mercado_Receita!$L$2:$L$2216)</f>
        <v>21172.441000000003</v>
      </c>
      <c r="O61" s="13">
        <f>SUMIF(Mercado_Receita!$S$2:$S$2216,"44593B4ConvencionalIluminação públicaIluminação pública – B4aNão se aplicaNão se aplicaPonta",Mercado_Receita!$L$2:$L$2216)+SUMIF(Mercado_Receita!$S$2:$S$2216,"44593B4ConvencionalIluminação públicaIluminação pública – B4aNão se aplicaNão se aplicaFora ponta",Mercado_Receita!$L$2:$L$2216)+SUMIF(Mercado_Receita!$S$2:$S$2216,"44593B4ConvencionalIluminação públicaIluminação pública – B4aNão se aplicaNão se aplicaIntermediário",Mercado_Receita!$L$2:$L$2216)+SUMIF(Mercado_Receita!$S$2:$S$2216,"44593B4ConvencionalIluminação públicaIluminação pública – B4aNão se aplicaNão se aplicaNão se aplica",Mercado_Receita!$L$2:$L$2216)</f>
        <v>19252.683000000001</v>
      </c>
      <c r="P61" s="13">
        <f>SUMIF(Mercado_Receita!$S$2:$S$2216,"44621B4ConvencionalIluminação públicaIluminação pública – B4aNão se aplicaNão se aplicaPonta",Mercado_Receita!$L$2:$L$2216)+SUMIF(Mercado_Receita!$S$2:$S$2216,"44621B4ConvencionalIluminação públicaIluminação pública – B4aNão se aplicaNão se aplicaFora ponta",Mercado_Receita!$L$2:$L$2216)+SUMIF(Mercado_Receita!$S$2:$S$2216,"44621B4ConvencionalIluminação públicaIluminação pública – B4aNão se aplicaNão se aplicaIntermediário",Mercado_Receita!$L$2:$L$2216)+SUMIF(Mercado_Receita!$S$2:$S$2216,"44621B4ConvencionalIluminação públicaIluminação pública – B4aNão se aplicaNão se aplicaNão se aplica",Mercado_Receita!$L$2:$L$2216)</f>
        <v>21119.180000000004</v>
      </c>
      <c r="Q61" s="13">
        <f>SUMIF(Mercado_Receita!$S$2:$S$2216,"44652B4ConvencionalIluminação públicaIluminação pública – B4aNão se aplicaNão se aplicaPonta",Mercado_Receita!$L$2:$L$2216)+SUMIF(Mercado_Receita!$S$2:$S$2216,"44652B4ConvencionalIluminação públicaIluminação pública – B4aNão se aplicaNão se aplicaFora ponta",Mercado_Receita!$L$2:$L$2216)+SUMIF(Mercado_Receita!$S$2:$S$2216,"44652B4ConvencionalIluminação públicaIluminação pública – B4aNão se aplicaNão se aplicaIntermediário",Mercado_Receita!$L$2:$L$2216)+SUMIF(Mercado_Receita!$S$2:$S$2216,"44652B4ConvencionalIluminação públicaIluminação pública – B4aNão se aplicaNão se aplicaNão se aplica",Mercado_Receita!$L$2:$L$2216)</f>
        <v>20685.167000000001</v>
      </c>
      <c r="R61" s="13">
        <f>SUMIF(Mercado_Receita!$S$2:$S$2216,"44682B4ConvencionalIluminação públicaIluminação pública – B4aNão se aplicaNão se aplicaPonta",Mercado_Receita!$L$2:$L$2216)+SUMIF(Mercado_Receita!$S$2:$S$2216,"44682B4ConvencionalIluminação públicaIluminação pública – B4aNão se aplicaNão se aplicaFora ponta",Mercado_Receita!$L$2:$L$2216)+SUMIF(Mercado_Receita!$S$2:$S$2216,"44682B4ConvencionalIluminação públicaIluminação pública – B4aNão se aplicaNão se aplicaIntermediário",Mercado_Receita!$L$2:$L$2216)+SUMIF(Mercado_Receita!$S$2:$S$2216,"44682B4ConvencionalIluminação públicaIluminação pública – B4aNão se aplicaNão se aplicaNão se aplica",Mercado_Receita!$L$2:$L$2216)</f>
        <v>21457.673000000003</v>
      </c>
      <c r="S61" s="13">
        <f>SUMIF(Mercado_Receita!$S$2:$S$2216,"44713B4ConvencionalIluminação públicaIluminação pública – B4aNão se aplicaNão se aplicaPonta",Mercado_Receita!$L$2:$L$2216)+SUMIF(Mercado_Receita!$S$2:$S$2216,"44713B4ConvencionalIluminação públicaIluminação pública – B4aNão se aplicaNão se aplicaFora ponta",Mercado_Receita!$L$2:$L$2216)+SUMIF(Mercado_Receita!$S$2:$S$2216,"44713B4ConvencionalIluminação públicaIluminação pública – B4aNão se aplicaNão se aplicaIntermediário",Mercado_Receita!$L$2:$L$2216)+SUMIF(Mercado_Receita!$S$2:$S$2216,"44713B4ConvencionalIluminação públicaIluminação pública – B4aNão se aplicaNão se aplicaNão se aplica",Mercado_Receita!$L$2:$L$2216)</f>
        <v>20806.334999999999</v>
      </c>
      <c r="T61" s="13">
        <f>SUMIF(Mercado_Receita!$S$2:$S$2216,"44743B4ConvencionalIluminação públicaIluminação pública – B4aNão se aplicaNão se aplicaPonta",Mercado_Receita!$L$2:$L$2216)+SUMIF(Mercado_Receita!$S$2:$S$2216,"44743B4ConvencionalIluminação públicaIluminação pública – B4aNão se aplicaNão se aplicaFora ponta",Mercado_Receita!$L$2:$L$2216)+SUMIF(Mercado_Receita!$S$2:$S$2216,"44743B4ConvencionalIluminação públicaIluminação pública – B4aNão se aplicaNão se aplicaIntermediário",Mercado_Receita!$L$2:$L$2216)+SUMIF(Mercado_Receita!$S$2:$S$2216,"44743B4ConvencionalIluminação públicaIluminação pública – B4aNão se aplicaNão se aplicaNão se aplica",Mercado_Receita!$L$2:$L$2216)</f>
        <v>20806.334999999999</v>
      </c>
      <c r="U61" s="13">
        <f t="shared" si="1"/>
        <v>252172.81799999997</v>
      </c>
      <c r="V61" s="13"/>
      <c r="W61" s="13"/>
    </row>
    <row r="62" spans="1:23" ht="11.25" customHeight="1" x14ac:dyDescent="0.25">
      <c r="A62" s="83"/>
      <c r="B62" s="83"/>
      <c r="C62" s="83"/>
      <c r="D62" s="13" t="s">
        <v>118</v>
      </c>
      <c r="E62" s="13" t="s">
        <v>25</v>
      </c>
      <c r="F62" s="13" t="s">
        <v>25</v>
      </c>
      <c r="G62" s="13" t="s">
        <v>108</v>
      </c>
      <c r="H62" s="13" t="s">
        <v>102</v>
      </c>
      <c r="I62" s="13">
        <f>SUMIF(Mercado_Receita!$S$2:$S$2216,"44409B4ConvencionalIluminação públicaIluminação pública – B4bNão se aplicaNão se aplicaPonta",Mercado_Receita!$L$2:$L$2216)+SUMIF(Mercado_Receita!$S$2:$S$2216,"44409B4ConvencionalIluminação públicaIluminação pública – B4bNão se aplicaNão se aplicaFora ponta",Mercado_Receita!$L$2:$L$2216)+SUMIF(Mercado_Receita!$S$2:$S$2216,"44409B4ConvencionalIluminação públicaIluminação pública – B4bNão se aplicaNão se aplicaIntermediário",Mercado_Receita!$L$2:$L$2216)+SUMIF(Mercado_Receita!$S$2:$S$2216,"44409B4ConvencionalIluminação públicaIluminação pública – B4bNão se aplicaNão se aplicaNão se aplica",Mercado_Receita!$L$2:$L$2216)</f>
        <v>0</v>
      </c>
      <c r="J62" s="13">
        <f>SUMIF(Mercado_Receita!$S$2:$S$2216,"44440B4ConvencionalIluminação públicaIluminação pública – B4bNão se aplicaNão se aplicaPonta",Mercado_Receita!$L$2:$L$2216)+SUMIF(Mercado_Receita!$S$2:$S$2216,"44440B4ConvencionalIluminação públicaIluminação pública – B4bNão se aplicaNão se aplicaFora ponta",Mercado_Receita!$L$2:$L$2216)+SUMIF(Mercado_Receita!$S$2:$S$2216,"44440B4ConvencionalIluminação públicaIluminação pública – B4bNão se aplicaNão se aplicaIntermediário",Mercado_Receita!$L$2:$L$2216)+SUMIF(Mercado_Receita!$S$2:$S$2216,"44440B4ConvencionalIluminação públicaIluminação pública – B4bNão se aplicaNão se aplicaNão se aplica",Mercado_Receita!$L$2:$L$2216)</f>
        <v>0</v>
      </c>
      <c r="K62" s="13">
        <f>SUMIF(Mercado_Receita!$S$2:$S$2216,"44470B4ConvencionalIluminação públicaIluminação pública – B4bNão se aplicaNão se aplicaPonta",Mercado_Receita!$L$2:$L$2216)+SUMIF(Mercado_Receita!$S$2:$S$2216,"44470B4ConvencionalIluminação públicaIluminação pública – B4bNão se aplicaNão se aplicaFora ponta",Mercado_Receita!$L$2:$L$2216)+SUMIF(Mercado_Receita!$S$2:$S$2216,"44470B4ConvencionalIluminação públicaIluminação pública – B4bNão se aplicaNão se aplicaIntermediário",Mercado_Receita!$L$2:$L$2216)+SUMIF(Mercado_Receita!$S$2:$S$2216,"44470B4ConvencionalIluminação públicaIluminação pública – B4bNão se aplicaNão se aplicaNão se aplica",Mercado_Receita!$L$2:$L$2216)</f>
        <v>0</v>
      </c>
      <c r="L62" s="13">
        <f>SUMIF(Mercado_Receita!$S$2:$S$2216,"44501B4ConvencionalIluminação públicaIluminação pública – B4bNão se aplicaNão se aplicaPonta",Mercado_Receita!$L$2:$L$2216)+SUMIF(Mercado_Receita!$S$2:$S$2216,"44501B4ConvencionalIluminação públicaIluminação pública – B4bNão se aplicaNão se aplicaFora ponta",Mercado_Receita!$L$2:$L$2216)+SUMIF(Mercado_Receita!$S$2:$S$2216,"44501B4ConvencionalIluminação públicaIluminação pública – B4bNão se aplicaNão se aplicaIntermediário",Mercado_Receita!$L$2:$L$2216)+SUMIF(Mercado_Receita!$S$2:$S$2216,"44501B4ConvencionalIluminação públicaIluminação pública – B4bNão se aplicaNão se aplicaNão se aplica",Mercado_Receita!$L$2:$L$2216)</f>
        <v>0</v>
      </c>
      <c r="M62" s="13">
        <f>SUMIF(Mercado_Receita!$S$2:$S$2216,"44531B4ConvencionalIluminação públicaIluminação pública – B4bNão se aplicaNão se aplicaPonta",Mercado_Receita!$L$2:$L$2216)+SUMIF(Mercado_Receita!$S$2:$S$2216,"44531B4ConvencionalIluminação públicaIluminação pública – B4bNão se aplicaNão se aplicaFora ponta",Mercado_Receita!$L$2:$L$2216)+SUMIF(Mercado_Receita!$S$2:$S$2216,"44531B4ConvencionalIluminação públicaIluminação pública – B4bNão se aplicaNão se aplicaIntermediário",Mercado_Receita!$L$2:$L$2216)+SUMIF(Mercado_Receita!$S$2:$S$2216,"44531B4ConvencionalIluminação públicaIluminação pública – B4bNão se aplicaNão se aplicaNão se aplica",Mercado_Receita!$L$2:$L$2216)</f>
        <v>0</v>
      </c>
      <c r="N62" s="13">
        <f>SUMIF(Mercado_Receita!$S$2:$S$2216,"44562B4ConvencionalIluminação públicaIluminação pública – B4bNão se aplicaNão se aplicaPonta",Mercado_Receita!$L$2:$L$2216)+SUMIF(Mercado_Receita!$S$2:$S$2216,"44562B4ConvencionalIluminação públicaIluminação pública – B4bNão se aplicaNão se aplicaFora ponta",Mercado_Receita!$L$2:$L$2216)+SUMIF(Mercado_Receita!$S$2:$S$2216,"44562B4ConvencionalIluminação públicaIluminação pública – B4bNão se aplicaNão se aplicaIntermediário",Mercado_Receita!$L$2:$L$2216)+SUMIF(Mercado_Receita!$S$2:$S$2216,"44562B4ConvencionalIluminação públicaIluminação pública – B4bNão se aplicaNão se aplicaNão se aplica",Mercado_Receita!$L$2:$L$2216)</f>
        <v>0</v>
      </c>
      <c r="O62" s="13">
        <f>SUMIF(Mercado_Receita!$S$2:$S$2216,"44593B4ConvencionalIluminação públicaIluminação pública – B4bNão se aplicaNão se aplicaPonta",Mercado_Receita!$L$2:$L$2216)+SUMIF(Mercado_Receita!$S$2:$S$2216,"44593B4ConvencionalIluminação públicaIluminação pública – B4bNão se aplicaNão se aplicaFora ponta",Mercado_Receita!$L$2:$L$2216)+SUMIF(Mercado_Receita!$S$2:$S$2216,"44593B4ConvencionalIluminação públicaIluminação pública – B4bNão se aplicaNão se aplicaIntermediário",Mercado_Receita!$L$2:$L$2216)+SUMIF(Mercado_Receita!$S$2:$S$2216,"44593B4ConvencionalIluminação públicaIluminação pública – B4bNão se aplicaNão se aplicaNão se aplica",Mercado_Receita!$L$2:$L$2216)</f>
        <v>0</v>
      </c>
      <c r="P62" s="13">
        <f>SUMIF(Mercado_Receita!$S$2:$S$2216,"44621B4ConvencionalIluminação públicaIluminação pública – B4bNão se aplicaNão se aplicaPonta",Mercado_Receita!$L$2:$L$2216)+SUMIF(Mercado_Receita!$S$2:$S$2216,"44621B4ConvencionalIluminação públicaIluminação pública – B4bNão se aplicaNão se aplicaFora ponta",Mercado_Receita!$L$2:$L$2216)+SUMIF(Mercado_Receita!$S$2:$S$2216,"44621B4ConvencionalIluminação públicaIluminação pública – B4bNão se aplicaNão se aplicaIntermediário",Mercado_Receita!$L$2:$L$2216)+SUMIF(Mercado_Receita!$S$2:$S$2216,"44621B4ConvencionalIluminação públicaIluminação pública – B4bNão se aplicaNão se aplicaNão se aplica",Mercado_Receita!$L$2:$L$2216)</f>
        <v>0</v>
      </c>
      <c r="Q62" s="13">
        <f>SUMIF(Mercado_Receita!$S$2:$S$2216,"44652B4ConvencionalIluminação públicaIluminação pública – B4bNão se aplicaNão se aplicaPonta",Mercado_Receita!$L$2:$L$2216)+SUMIF(Mercado_Receita!$S$2:$S$2216,"44652B4ConvencionalIluminação públicaIluminação pública – B4bNão se aplicaNão se aplicaFora ponta",Mercado_Receita!$L$2:$L$2216)+SUMIF(Mercado_Receita!$S$2:$S$2216,"44652B4ConvencionalIluminação públicaIluminação pública – B4bNão se aplicaNão se aplicaIntermediário",Mercado_Receita!$L$2:$L$2216)+SUMIF(Mercado_Receita!$S$2:$S$2216,"44652B4ConvencionalIluminação públicaIluminação pública – B4bNão se aplicaNão se aplicaNão se aplica",Mercado_Receita!$L$2:$L$2216)</f>
        <v>0</v>
      </c>
      <c r="R62" s="13">
        <f>SUMIF(Mercado_Receita!$S$2:$S$2216,"44682B4ConvencionalIluminação públicaIluminação pública – B4bNão se aplicaNão se aplicaPonta",Mercado_Receita!$L$2:$L$2216)+SUMIF(Mercado_Receita!$S$2:$S$2216,"44682B4ConvencionalIluminação públicaIluminação pública – B4bNão se aplicaNão se aplicaFora ponta",Mercado_Receita!$L$2:$L$2216)+SUMIF(Mercado_Receita!$S$2:$S$2216,"44682B4ConvencionalIluminação públicaIluminação pública – B4bNão se aplicaNão se aplicaIntermediário",Mercado_Receita!$L$2:$L$2216)+SUMIF(Mercado_Receita!$S$2:$S$2216,"44682B4ConvencionalIluminação públicaIluminação pública – B4bNão se aplicaNão se aplicaNão se aplica",Mercado_Receita!$L$2:$L$2216)</f>
        <v>0</v>
      </c>
      <c r="S62" s="13">
        <f>SUMIF(Mercado_Receita!$S$2:$S$2216,"44713B4ConvencionalIluminação públicaIluminação pública – B4bNão se aplicaNão se aplicaPonta",Mercado_Receita!$L$2:$L$2216)+SUMIF(Mercado_Receita!$S$2:$S$2216,"44713B4ConvencionalIluminação públicaIluminação pública – B4bNão se aplicaNão se aplicaFora ponta",Mercado_Receita!$L$2:$L$2216)+SUMIF(Mercado_Receita!$S$2:$S$2216,"44713B4ConvencionalIluminação públicaIluminação pública – B4bNão se aplicaNão se aplicaIntermediário",Mercado_Receita!$L$2:$L$2216)+SUMIF(Mercado_Receita!$S$2:$S$2216,"44713B4ConvencionalIluminação públicaIluminação pública – B4bNão se aplicaNão se aplicaNão se aplica",Mercado_Receita!$L$2:$L$2216)</f>
        <v>0</v>
      </c>
      <c r="T62" s="13">
        <f>SUMIF(Mercado_Receita!$S$2:$S$2216,"44743B4ConvencionalIluminação públicaIluminação pública – B4bNão se aplicaNão se aplicaPonta",Mercado_Receita!$L$2:$L$2216)+SUMIF(Mercado_Receita!$S$2:$S$2216,"44743B4ConvencionalIluminação públicaIluminação pública – B4bNão se aplicaNão se aplicaFora ponta",Mercado_Receita!$L$2:$L$2216)+SUMIF(Mercado_Receita!$S$2:$S$2216,"44743B4ConvencionalIluminação públicaIluminação pública – B4bNão se aplicaNão se aplicaIntermediário",Mercado_Receita!$L$2:$L$2216)+SUMIF(Mercado_Receita!$S$2:$S$2216,"44743B4ConvencionalIluminação públicaIluminação pública – B4bNão se aplicaNão se aplicaNão se aplica",Mercado_Receita!$L$2:$L$2216)</f>
        <v>0</v>
      </c>
      <c r="U62" s="13">
        <f t="shared" si="1"/>
        <v>0</v>
      </c>
      <c r="V62" s="13"/>
      <c r="W62" s="13"/>
    </row>
    <row r="63" spans="1:23" ht="11.25" customHeight="1" x14ac:dyDescent="0.25">
      <c r="A63" s="84" t="s">
        <v>833</v>
      </c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13"/>
      <c r="W63" s="13"/>
    </row>
  </sheetData>
  <mergeCells count="72">
    <mergeCell ref="A2:A9"/>
    <mergeCell ref="F10:F12"/>
    <mergeCell ref="E10:E12"/>
    <mergeCell ref="D10:D13"/>
    <mergeCell ref="C10:C13"/>
    <mergeCell ref="B10:B13"/>
    <mergeCell ref="F2:F4"/>
    <mergeCell ref="E2:E4"/>
    <mergeCell ref="D2:D5"/>
    <mergeCell ref="C2:C5"/>
    <mergeCell ref="B2:B5"/>
    <mergeCell ref="F6:F8"/>
    <mergeCell ref="E6:E8"/>
    <mergeCell ref="D6:D8"/>
    <mergeCell ref="C6:C8"/>
    <mergeCell ref="B6:B8"/>
    <mergeCell ref="F14:F16"/>
    <mergeCell ref="F17:F19"/>
    <mergeCell ref="E14:E19"/>
    <mergeCell ref="D14:D19"/>
    <mergeCell ref="C14:C19"/>
    <mergeCell ref="F21:F23"/>
    <mergeCell ref="E21:E23"/>
    <mergeCell ref="F24:F25"/>
    <mergeCell ref="E24:E25"/>
    <mergeCell ref="D21:D25"/>
    <mergeCell ref="B21:B25"/>
    <mergeCell ref="A10:A25"/>
    <mergeCell ref="D26:D27"/>
    <mergeCell ref="C26:C27"/>
    <mergeCell ref="B26:B27"/>
    <mergeCell ref="A26:A27"/>
    <mergeCell ref="C21:C25"/>
    <mergeCell ref="B14:B19"/>
    <mergeCell ref="C36:C40"/>
    <mergeCell ref="B36:B40"/>
    <mergeCell ref="A28:A40"/>
    <mergeCell ref="F41:F43"/>
    <mergeCell ref="E41:E43"/>
    <mergeCell ref="D41:D43"/>
    <mergeCell ref="C41:C43"/>
    <mergeCell ref="B41:B43"/>
    <mergeCell ref="F28:F30"/>
    <mergeCell ref="E28:E30"/>
    <mergeCell ref="D28:D30"/>
    <mergeCell ref="C28:C30"/>
    <mergeCell ref="B28:B30"/>
    <mergeCell ref="C31:C35"/>
    <mergeCell ref="B31:B35"/>
    <mergeCell ref="C45:C47"/>
    <mergeCell ref="B45:B47"/>
    <mergeCell ref="F49:F51"/>
    <mergeCell ref="E49:E51"/>
    <mergeCell ref="D49:D51"/>
    <mergeCell ref="C49:C51"/>
    <mergeCell ref="B49:B51"/>
    <mergeCell ref="A61:A62"/>
    <mergeCell ref="B61:B62"/>
    <mergeCell ref="C61:C62"/>
    <mergeCell ref="A63:U63"/>
    <mergeCell ref="C53:C55"/>
    <mergeCell ref="B53:B55"/>
    <mergeCell ref="A41:A55"/>
    <mergeCell ref="F56:F58"/>
    <mergeCell ref="E56:E58"/>
    <mergeCell ref="D56:D58"/>
    <mergeCell ref="C56:C58"/>
    <mergeCell ref="B56:B58"/>
    <mergeCell ref="A56:A60"/>
    <mergeCell ref="F45:F47"/>
    <mergeCell ref="E45:E47"/>
    <mergeCell ref="D45:D47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0E2C-5F02-4881-91FF-47F6E30031DB}">
  <dimension ref="A1:AD42"/>
  <sheetViews>
    <sheetView showGridLines="0" workbookViewId="0">
      <selection activeCell="T7" sqref="T7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8.71093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92</v>
      </c>
      <c r="B1" s="10" t="s">
        <v>93</v>
      </c>
      <c r="C1" s="10" t="s">
        <v>94</v>
      </c>
      <c r="D1" s="10" t="s">
        <v>95</v>
      </c>
      <c r="E1" s="10" t="s">
        <v>96</v>
      </c>
      <c r="F1" s="10" t="s">
        <v>97</v>
      </c>
      <c r="G1" s="10" t="s">
        <v>98</v>
      </c>
      <c r="H1" s="10" t="s">
        <v>99</v>
      </c>
      <c r="I1" s="11">
        <v>44409</v>
      </c>
      <c r="J1" s="11">
        <v>44440</v>
      </c>
      <c r="K1" s="11">
        <v>44470</v>
      </c>
      <c r="L1" s="11">
        <v>44501</v>
      </c>
      <c r="M1" s="11">
        <v>44531</v>
      </c>
      <c r="N1" s="11">
        <v>44562</v>
      </c>
      <c r="O1" s="11">
        <v>44593</v>
      </c>
      <c r="P1" s="11">
        <v>44621</v>
      </c>
      <c r="Q1" s="11">
        <v>44652</v>
      </c>
      <c r="R1" s="11">
        <v>44682</v>
      </c>
      <c r="S1" s="11">
        <v>44713</v>
      </c>
      <c r="T1" s="11">
        <v>44743</v>
      </c>
      <c r="U1" s="10" t="s">
        <v>100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82" t="s">
        <v>39</v>
      </c>
      <c r="B2" s="82" t="s">
        <v>101</v>
      </c>
      <c r="C2" s="82" t="s">
        <v>25</v>
      </c>
      <c r="D2" s="82" t="s">
        <v>25</v>
      </c>
      <c r="E2" s="82" t="s">
        <v>25</v>
      </c>
      <c r="F2" s="82" t="s">
        <v>25</v>
      </c>
      <c r="G2" s="13" t="s">
        <v>103</v>
      </c>
      <c r="H2" s="13" t="s">
        <v>102</v>
      </c>
      <c r="I2" s="13">
        <f>SUMIF(Mercado_Receita!$T$2:$T$2216,"44409A3Energia horáriaNão se aplicaNão se aplicaNão se aplicaNão se aplicaPonta",Mercado_Receita!$N$2:$N$2216)</f>
        <v>695.25700000000006</v>
      </c>
      <c r="J2" s="13">
        <f>SUMIF(Mercado_Receita!$T$2:$T$2216,"44440A3Energia horáriaNão se aplicaNão se aplicaNão se aplicaNão se aplicaPonta",Mercado_Receita!$N$2:$N$2216)</f>
        <v>639.51599999999996</v>
      </c>
      <c r="K2" s="13">
        <f>SUMIF(Mercado_Receita!$T$2:$T$2216,"44470A3Energia horáriaNão se aplicaNão se aplicaNão se aplicaNão se aplicaPonta",Mercado_Receita!$N$2:$N$2216)</f>
        <v>534.947</v>
      </c>
      <c r="L2" s="13">
        <f>SUMIF(Mercado_Receita!$T$2:$T$2216,"44501A3Energia horáriaNão se aplicaNão se aplicaNão se aplicaNão se aplicaPonta",Mercado_Receita!$N$2:$N$2216)</f>
        <v>689.47</v>
      </c>
      <c r="M2" s="13">
        <f>SUMIF(Mercado_Receita!$T$2:$T$2216,"44531A3Energia horáriaNão se aplicaNão se aplicaNão se aplicaNão se aplicaPonta",Mercado_Receita!$N$2:$N$2216)</f>
        <v>653.61400000000003</v>
      </c>
      <c r="N2" s="13">
        <f>SUMIF(Mercado_Receita!$T$2:$T$2216,"44562A3Energia horáriaNão se aplicaNão se aplicaNão se aplicaNão se aplicaPonta",Mercado_Receita!$N$2:$N$2216)</f>
        <v>613.12</v>
      </c>
      <c r="O2" s="13">
        <f>SUMIF(Mercado_Receita!$T$2:$T$2216,"44593A3Energia horáriaNão se aplicaNão se aplicaNão se aplicaNão se aplicaPonta",Mercado_Receita!$N$2:$N$2216)</f>
        <v>591.68100000000004</v>
      </c>
      <c r="P2" s="13">
        <f>SUMIF(Mercado_Receita!$T$2:$T$2216,"44621A3Energia horáriaNão se aplicaNão se aplicaNão se aplicaNão se aplicaPonta",Mercado_Receita!$N$2:$N$2216)</f>
        <v>598.3660000000001</v>
      </c>
      <c r="Q2" s="13">
        <f>SUMIF(Mercado_Receita!$T$2:$T$2216,"44652A3Energia horáriaNão se aplicaNão se aplicaNão se aplicaNão se aplicaPonta",Mercado_Receita!$N$2:$N$2216)</f>
        <v>537.19599999999991</v>
      </c>
      <c r="R2" s="13">
        <f>SUMIF(Mercado_Receita!$T$2:$T$2216,"44682A3Energia horáriaNão se aplicaNão se aplicaNão se aplicaNão se aplicaPonta",Mercado_Receita!$N$2:$N$2216)</f>
        <v>613.21800000000007</v>
      </c>
      <c r="S2" s="13">
        <f>SUMIF(Mercado_Receita!$T$2:$T$2216,"44713A3Energia horáriaNão se aplicaNão se aplicaNão se aplicaNão se aplicaPonta",Mercado_Receita!$N$2:$N$2216)</f>
        <v>614.096</v>
      </c>
      <c r="T2" s="13">
        <f>SUMIF(Mercado_Receita!$T$2:$T$2216,"44743A3Energia horáriaNão se aplicaNão se aplicaNão se aplicaNão se aplicaPonta",Mercado_Receita!$N$2:$N$2216)</f>
        <v>614.096</v>
      </c>
      <c r="U2" s="13">
        <f t="shared" ref="U2:U41" si="0">SUM(I2:T2)</f>
        <v>7394.5769999999993</v>
      </c>
      <c r="V2" s="13"/>
      <c r="W2" s="13"/>
    </row>
    <row r="3" spans="1:30" ht="11.25" customHeight="1" x14ac:dyDescent="0.25">
      <c r="A3" s="83"/>
      <c r="B3" s="83"/>
      <c r="C3" s="83"/>
      <c r="D3" s="83"/>
      <c r="E3" s="83"/>
      <c r="F3" s="83"/>
      <c r="G3" s="13" t="s">
        <v>104</v>
      </c>
      <c r="H3" s="13" t="s">
        <v>102</v>
      </c>
      <c r="I3" s="13">
        <f>SUMIF(Mercado_Receita!$T$2:$T$2216,"44409A3Energia horáriaNão se aplicaNão se aplicaNão se aplicaNão se aplicaFora ponta",Mercado_Receita!$N$2:$N$2216)</f>
        <v>8021.4619999999995</v>
      </c>
      <c r="J3" s="13">
        <f>SUMIF(Mercado_Receita!$T$2:$T$2216,"44440A3Energia horáriaNão se aplicaNão se aplicaNão se aplicaNão se aplicaFora ponta",Mercado_Receita!$N$2:$N$2216)</f>
        <v>7786.4830000000002</v>
      </c>
      <c r="K3" s="13">
        <f>SUMIF(Mercado_Receita!$T$2:$T$2216,"44470A3Energia horáriaNão se aplicaNão se aplicaNão se aplicaNão se aplicaFora ponta",Mercado_Receita!$N$2:$N$2216)</f>
        <v>6685.9310000000005</v>
      </c>
      <c r="L3" s="13">
        <f>SUMIF(Mercado_Receita!$T$2:$T$2216,"44501A3Energia horáriaNão se aplicaNão se aplicaNão se aplicaNão se aplicaFora ponta",Mercado_Receita!$N$2:$N$2216)</f>
        <v>8220.3889999999992</v>
      </c>
      <c r="M3" s="13">
        <f>SUMIF(Mercado_Receita!$T$2:$T$2216,"44531A3Energia horáriaNão se aplicaNão se aplicaNão se aplicaNão se aplicaFora ponta",Mercado_Receita!$N$2:$N$2216)</f>
        <v>7338.7880000000005</v>
      </c>
      <c r="N3" s="13">
        <f>SUMIF(Mercado_Receita!$T$2:$T$2216,"44562A3Energia horáriaNão se aplicaNão se aplicaNão se aplicaNão se aplicaFora ponta",Mercado_Receita!$N$2:$N$2216)</f>
        <v>6799.107</v>
      </c>
      <c r="O3" s="13">
        <f>SUMIF(Mercado_Receita!$T$2:$T$2216,"44593A3Energia horáriaNão se aplicaNão se aplicaNão se aplicaNão se aplicaFora ponta",Mercado_Receita!$N$2:$N$2216)</f>
        <v>6788.8680000000004</v>
      </c>
      <c r="P3" s="13">
        <f>SUMIF(Mercado_Receita!$T$2:$T$2216,"44621A3Energia horáriaNão se aplicaNão se aplicaNão se aplicaNão se aplicaFora ponta",Mercado_Receita!$N$2:$N$2216)</f>
        <v>6868.0410000000002</v>
      </c>
      <c r="Q3" s="13">
        <f>SUMIF(Mercado_Receita!$T$2:$T$2216,"44652A3Energia horáriaNão se aplicaNão se aplicaNão se aplicaNão se aplicaFora ponta",Mercado_Receita!$N$2:$N$2216)</f>
        <v>6827.5969999999998</v>
      </c>
      <c r="R3" s="13">
        <f>SUMIF(Mercado_Receita!$T$2:$T$2216,"44682A3Energia horáriaNão se aplicaNão se aplicaNão se aplicaNão se aplicaFora ponta",Mercado_Receita!$N$2:$N$2216)</f>
        <v>7153.0839999999998</v>
      </c>
      <c r="S3" s="13">
        <f>SUMIF(Mercado_Receita!$T$2:$T$2216,"44713A3Energia horáriaNão se aplicaNão se aplicaNão se aplicaNão se aplicaFora ponta",Mercado_Receita!$N$2:$N$2216)</f>
        <v>6898.4919999999993</v>
      </c>
      <c r="T3" s="13">
        <f>SUMIF(Mercado_Receita!$T$2:$T$2216,"44743A3Energia horáriaNão se aplicaNão se aplicaNão se aplicaNão se aplicaFora ponta",Mercado_Receita!$N$2:$N$2216)</f>
        <v>6898.4919999999993</v>
      </c>
      <c r="U3" s="13">
        <f t="shared" si="0"/>
        <v>86286.733999999997</v>
      </c>
      <c r="V3" s="13"/>
      <c r="W3" s="13"/>
    </row>
    <row r="4" spans="1:30" ht="11.25" customHeight="1" x14ac:dyDescent="0.25">
      <c r="A4" s="82" t="s">
        <v>41</v>
      </c>
      <c r="B4" s="82" t="s">
        <v>101</v>
      </c>
      <c r="C4" s="82" t="s">
        <v>25</v>
      </c>
      <c r="D4" s="82" t="s">
        <v>25</v>
      </c>
      <c r="E4" s="82" t="s">
        <v>25</v>
      </c>
      <c r="F4" s="82" t="s">
        <v>25</v>
      </c>
      <c r="G4" s="13" t="s">
        <v>103</v>
      </c>
      <c r="H4" s="13" t="s">
        <v>102</v>
      </c>
      <c r="I4" s="13">
        <f>SUMIF(Mercado_Receita!$T$2:$T$2216,"44409A4Energia horáriaNão se aplicaNão se aplicaNão se aplicaNão se aplicaPonta",Mercado_Receita!$N$2:$N$2216)</f>
        <v>3020.2650000000003</v>
      </c>
      <c r="J4" s="13">
        <f>SUMIF(Mercado_Receita!$T$2:$T$2216,"44440A4Energia horáriaNão se aplicaNão se aplicaNão se aplicaNão se aplicaPonta",Mercado_Receita!$N$2:$N$2216)</f>
        <v>3063.8409999999994</v>
      </c>
      <c r="K4" s="13">
        <f>SUMIF(Mercado_Receita!$T$2:$T$2216,"44470A4Energia horáriaNão se aplicaNão se aplicaNão se aplicaNão se aplicaPonta",Mercado_Receita!$N$2:$N$2216)</f>
        <v>3134.4449999999993</v>
      </c>
      <c r="L4" s="13">
        <f>SUMIF(Mercado_Receita!$T$2:$T$2216,"44501A4Energia horáriaNão se aplicaNão se aplicaNão se aplicaNão se aplicaPonta",Mercado_Receita!$N$2:$N$2216)</f>
        <v>3167.0219999999999</v>
      </c>
      <c r="M4" s="13">
        <f>SUMIF(Mercado_Receita!$T$2:$T$2216,"44531A4Energia horáriaNão se aplicaNão se aplicaNão se aplicaNão se aplicaPonta",Mercado_Receita!$N$2:$N$2216)</f>
        <v>3641.1390000000001</v>
      </c>
      <c r="N4" s="13">
        <f>SUMIF(Mercado_Receita!$T$2:$T$2216,"44562A4Energia horáriaNão se aplicaNão se aplicaNão se aplicaNão se aplicaPonta",Mercado_Receita!$N$2:$N$2216)</f>
        <v>3459.7949999999996</v>
      </c>
      <c r="O4" s="13">
        <f>SUMIF(Mercado_Receita!$T$2:$T$2216,"44593A4Energia horáriaNão se aplicaNão se aplicaNão se aplicaNão se aplicaPonta",Mercado_Receita!$N$2:$N$2216)</f>
        <v>3256.66</v>
      </c>
      <c r="P4" s="13">
        <f>SUMIF(Mercado_Receita!$T$2:$T$2216,"44621A4Energia horáriaNão se aplicaNão se aplicaNão se aplicaNão se aplicaPonta",Mercado_Receita!$N$2:$N$2216)</f>
        <v>3544.1059999999998</v>
      </c>
      <c r="Q4" s="13">
        <f>SUMIF(Mercado_Receita!$T$2:$T$2216,"44652A4Energia horáriaNão se aplicaNão se aplicaNão se aplicaNão se aplicaPonta",Mercado_Receita!$N$2:$N$2216)</f>
        <v>3319.1039999999994</v>
      </c>
      <c r="R4" s="13">
        <f>SUMIF(Mercado_Receita!$T$2:$T$2216,"44682A4Energia horáriaNão se aplicaNão se aplicaNão se aplicaNão se aplicaPonta",Mercado_Receita!$N$2:$N$2216)</f>
        <v>3493.4150000000004</v>
      </c>
      <c r="S4" s="13">
        <f>SUMIF(Mercado_Receita!$T$2:$T$2216,"44713A4Energia horáriaNão se aplicaNão se aplicaNão se aplicaNão se aplicaPonta",Mercado_Receita!$N$2:$N$2216)</f>
        <v>3313.1910000000003</v>
      </c>
      <c r="T4" s="13">
        <f>SUMIF(Mercado_Receita!$T$2:$T$2216,"44743A4Energia horáriaNão se aplicaNão se aplicaNão se aplicaNão se aplicaPonta",Mercado_Receita!$N$2:$N$2216)</f>
        <v>3313.1910000000003</v>
      </c>
      <c r="U4" s="13">
        <f t="shared" si="0"/>
        <v>39726.173999999992</v>
      </c>
      <c r="V4" s="13"/>
      <c r="W4" s="13"/>
    </row>
    <row r="5" spans="1:30" ht="11.25" customHeight="1" x14ac:dyDescent="0.25">
      <c r="A5" s="83"/>
      <c r="B5" s="83"/>
      <c r="C5" s="83"/>
      <c r="D5" s="83"/>
      <c r="E5" s="83"/>
      <c r="F5" s="83"/>
      <c r="G5" s="13" t="s">
        <v>104</v>
      </c>
      <c r="H5" s="13" t="s">
        <v>102</v>
      </c>
      <c r="I5" s="13">
        <f>SUMIF(Mercado_Receita!$T$2:$T$2216,"44409A4Energia horáriaNão se aplicaNão se aplicaNão se aplicaNão se aplicaFora ponta",Mercado_Receita!$N$2:$N$2216)</f>
        <v>42347.631000000001</v>
      </c>
      <c r="J5" s="13">
        <f>SUMIF(Mercado_Receita!$T$2:$T$2216,"44440A4Energia horáriaNão se aplicaNão se aplicaNão se aplicaNão se aplicaFora ponta",Mercado_Receita!$N$2:$N$2216)</f>
        <v>44265.071000000004</v>
      </c>
      <c r="K5" s="13">
        <f>SUMIF(Mercado_Receita!$T$2:$T$2216,"44470A4Energia horáriaNão se aplicaNão se aplicaNão se aplicaNão se aplicaFora ponta",Mercado_Receita!$N$2:$N$2216)</f>
        <v>47708.806999999993</v>
      </c>
      <c r="L5" s="13">
        <f>SUMIF(Mercado_Receita!$T$2:$T$2216,"44501A4Energia horáriaNão se aplicaNão se aplicaNão se aplicaNão se aplicaFora ponta",Mercado_Receita!$N$2:$N$2216)</f>
        <v>48784.558999999994</v>
      </c>
      <c r="M5" s="13">
        <f>SUMIF(Mercado_Receita!$T$2:$T$2216,"44531A4Energia horáriaNão se aplicaNão se aplicaNão se aplicaNão se aplicaFora ponta",Mercado_Receita!$N$2:$N$2216)</f>
        <v>49866.828000000001</v>
      </c>
      <c r="N5" s="13">
        <f>SUMIF(Mercado_Receita!$T$2:$T$2216,"44562A4Energia horáriaNão se aplicaNão se aplicaNão se aplicaNão se aplicaFora ponta",Mercado_Receita!$N$2:$N$2216)</f>
        <v>47447.704999999994</v>
      </c>
      <c r="O5" s="13">
        <f>SUMIF(Mercado_Receita!$T$2:$T$2216,"44593A4Energia horáriaNão se aplicaNão se aplicaNão se aplicaNão se aplicaFora ponta",Mercado_Receita!$N$2:$N$2216)</f>
        <v>45288.861000000004</v>
      </c>
      <c r="P5" s="13">
        <f>SUMIF(Mercado_Receita!$T$2:$T$2216,"44621A4Energia horáriaNão se aplicaNão se aplicaNão se aplicaNão se aplicaFora ponta",Mercado_Receita!$N$2:$N$2216)</f>
        <v>48282.506999999998</v>
      </c>
      <c r="Q5" s="13">
        <f>SUMIF(Mercado_Receita!$T$2:$T$2216,"44652A4Energia horáriaNão se aplicaNão se aplicaNão se aplicaNão se aplicaFora ponta",Mercado_Receita!$N$2:$N$2216)</f>
        <v>47208.552999999978</v>
      </c>
      <c r="R5" s="13">
        <f>SUMIF(Mercado_Receita!$T$2:$T$2216,"44682A4Energia horáriaNão se aplicaNão se aplicaNão se aplicaNão se aplicaFora ponta",Mercado_Receita!$N$2:$N$2216)</f>
        <v>45867.428</v>
      </c>
      <c r="S5" s="13">
        <f>SUMIF(Mercado_Receita!$T$2:$T$2216,"44713A4Energia horáriaNão se aplicaNão se aplicaNão se aplicaNão se aplicaFora ponta",Mercado_Receita!$N$2:$N$2216)</f>
        <v>41765.644</v>
      </c>
      <c r="T5" s="13">
        <f>SUMIF(Mercado_Receita!$T$2:$T$2216,"44743A4Energia horáriaNão se aplicaNão se aplicaNão se aplicaNão se aplicaFora ponta",Mercado_Receita!$N$2:$N$2216)</f>
        <v>41765.644</v>
      </c>
      <c r="U5" s="13">
        <f t="shared" si="0"/>
        <v>550599.2379999999</v>
      </c>
      <c r="V5" s="13"/>
      <c r="W5" s="13"/>
    </row>
    <row r="6" spans="1:30" ht="11.25" customHeight="1" x14ac:dyDescent="0.25">
      <c r="A6" s="83"/>
      <c r="B6" s="12" t="s">
        <v>109</v>
      </c>
      <c r="C6" s="12" t="s">
        <v>25</v>
      </c>
      <c r="D6" s="12" t="s">
        <v>25</v>
      </c>
      <c r="E6" s="12" t="s">
        <v>25</v>
      </c>
      <c r="F6" s="12" t="s">
        <v>25</v>
      </c>
      <c r="G6" s="13" t="s">
        <v>108</v>
      </c>
      <c r="H6" s="13" t="s">
        <v>102</v>
      </c>
      <c r="I6" s="13">
        <f>SUMIF(Mercado_Receita!$T$2:$T$2216,"44409A4Energia convencionalNão se aplicaNão se aplicaNão se aplicaNão se aplicaNão se aplica",Mercado_Receita!$N$2:$N$2216)</f>
        <v>0</v>
      </c>
      <c r="J6" s="13">
        <f>SUMIF(Mercado_Receita!$T$2:$T$2216,"44440A4Energia convencionalNão se aplicaNão se aplicaNão se aplicaNão se aplicaNão se aplica",Mercado_Receita!$N$2:$N$2216)</f>
        <v>0</v>
      </c>
      <c r="K6" s="13">
        <f>SUMIF(Mercado_Receita!$T$2:$T$2216,"44470A4Energia convencionalNão se aplicaNão se aplicaNão se aplicaNão se aplicaNão se aplica",Mercado_Receita!$N$2:$N$2216)</f>
        <v>0</v>
      </c>
      <c r="L6" s="13">
        <f>SUMIF(Mercado_Receita!$T$2:$T$2216,"44501A4Energia convencionalNão se aplicaNão se aplicaNão se aplicaNão se aplicaNão se aplica",Mercado_Receita!$N$2:$N$2216)</f>
        <v>0</v>
      </c>
      <c r="M6" s="13">
        <f>SUMIF(Mercado_Receita!$T$2:$T$2216,"44531A4Energia convencionalNão se aplicaNão se aplicaNão se aplicaNão se aplicaNão se aplica",Mercado_Receita!$N$2:$N$2216)</f>
        <v>0</v>
      </c>
      <c r="N6" s="13">
        <f>SUMIF(Mercado_Receita!$T$2:$T$2216,"44562A4Energia convencionalNão se aplicaNão se aplicaNão se aplicaNão se aplicaNão se aplica",Mercado_Receita!$N$2:$N$2216)</f>
        <v>0</v>
      </c>
      <c r="O6" s="13">
        <f>SUMIF(Mercado_Receita!$T$2:$T$2216,"44593A4Energia convencionalNão se aplicaNão se aplicaNão se aplicaNão se aplicaNão se aplica",Mercado_Receita!$N$2:$N$2216)</f>
        <v>0</v>
      </c>
      <c r="P6" s="13">
        <f>SUMIF(Mercado_Receita!$T$2:$T$2216,"44621A4Energia convencionalNão se aplicaNão se aplicaNão se aplicaNão se aplicaNão se aplica",Mercado_Receita!$N$2:$N$2216)</f>
        <v>0</v>
      </c>
      <c r="Q6" s="13">
        <f>SUMIF(Mercado_Receita!$T$2:$T$2216,"44652A4Energia convencionalNão se aplicaNão se aplicaNão se aplicaNão se aplicaNão se aplica",Mercado_Receita!$N$2:$N$2216)</f>
        <v>0</v>
      </c>
      <c r="R6" s="13">
        <f>SUMIF(Mercado_Receita!$T$2:$T$2216,"44682A4Energia convencionalNão se aplicaNão se aplicaNão se aplicaNão se aplicaNão se aplica",Mercado_Receita!$N$2:$N$2216)</f>
        <v>0</v>
      </c>
      <c r="S6" s="13">
        <f>SUMIF(Mercado_Receita!$T$2:$T$2216,"44713A4Energia convencionalNão se aplicaNão se aplicaNão se aplicaNão se aplicaNão se aplica",Mercado_Receita!$N$2:$N$2216)</f>
        <v>0</v>
      </c>
      <c r="T6" s="13">
        <f>SUMIF(Mercado_Receita!$T$2:$T$2216,"44743A4Energia convencionalNão se aplicaNão se aplicaNão se aplicaNão se aplicaNão se aplica",Mercado_Receita!$N$2:$N$2216)</f>
        <v>0</v>
      </c>
      <c r="U6" s="13">
        <f t="shared" si="0"/>
        <v>0</v>
      </c>
      <c r="V6" s="13"/>
      <c r="W6" s="13"/>
    </row>
    <row r="7" spans="1:30" ht="11.25" customHeight="1" x14ac:dyDescent="0.25">
      <c r="A7" s="82" t="s">
        <v>22</v>
      </c>
      <c r="B7" s="82" t="s">
        <v>101</v>
      </c>
      <c r="C7" s="82" t="s">
        <v>24</v>
      </c>
      <c r="D7" s="82" t="s">
        <v>24</v>
      </c>
      <c r="E7" s="82" t="s">
        <v>25</v>
      </c>
      <c r="F7" s="82" t="s">
        <v>25</v>
      </c>
      <c r="G7" s="13" t="s">
        <v>103</v>
      </c>
      <c r="H7" s="13" t="s">
        <v>102</v>
      </c>
      <c r="I7" s="13">
        <f>SUMIF(Mercado_Receita!$T$2:$T$2216,"44409B1Energia horáriaResidencialResidencialNão se aplicaNão se aplicaPonta",Mercado_Receita!$N$2:$N$2216)</f>
        <v>9.3010000000000002</v>
      </c>
      <c r="J7" s="13">
        <f>SUMIF(Mercado_Receita!$T$2:$T$2216,"44440B1Energia horáriaResidencialResidencialNão se aplicaNão se aplicaPonta",Mercado_Receita!$N$2:$N$2216)</f>
        <v>16.887</v>
      </c>
      <c r="K7" s="13">
        <f>SUMIF(Mercado_Receita!$T$2:$T$2216,"44470B1Energia horáriaResidencialResidencialNão se aplicaNão se aplicaPonta",Mercado_Receita!$N$2:$N$2216)</f>
        <v>5.3939999999999992</v>
      </c>
      <c r="L7" s="13">
        <f>SUMIF(Mercado_Receita!$T$2:$T$2216,"44501B1Energia horáriaResidencialResidencialNão se aplicaNão se aplicaPonta",Mercado_Receita!$N$2:$N$2216)</f>
        <v>3.8469999999999995</v>
      </c>
      <c r="M7" s="13">
        <f>SUMIF(Mercado_Receita!$T$2:$T$2216,"44531B1Energia horáriaResidencialResidencialNão se aplicaNão se aplicaPonta",Mercado_Receita!$N$2:$N$2216)</f>
        <v>10.235000000000001</v>
      </c>
      <c r="N7" s="13">
        <f>SUMIF(Mercado_Receita!$T$2:$T$2216,"44562B1Energia horáriaResidencialResidencialNão se aplicaNão se aplicaPonta",Mercado_Receita!$N$2:$N$2216)</f>
        <v>19.789000000000001</v>
      </c>
      <c r="O7" s="13">
        <f>SUMIF(Mercado_Receita!$T$2:$T$2216,"44593B1Energia horáriaResidencialResidencialNão se aplicaNão se aplicaPonta",Mercado_Receita!$N$2:$N$2216)</f>
        <v>3.1789999999999994</v>
      </c>
      <c r="P7" s="13">
        <f>SUMIF(Mercado_Receita!$T$2:$T$2216,"44621B1Energia horáriaResidencialResidencialNão se aplicaNão se aplicaPonta",Mercado_Receita!$N$2:$N$2216)</f>
        <v>9.9190000000000005</v>
      </c>
      <c r="Q7" s="13">
        <f>SUMIF(Mercado_Receita!$T$2:$T$2216,"44652B1Energia horáriaResidencialResidencialNão se aplicaNão se aplicaPonta",Mercado_Receita!$N$2:$N$2216)</f>
        <v>8.0739999999999998</v>
      </c>
      <c r="R7" s="13">
        <f>SUMIF(Mercado_Receita!$T$2:$T$2216,"44682B1Energia horáriaResidencialResidencialNão se aplicaNão se aplicaPonta",Mercado_Receita!$N$2:$N$2216)</f>
        <v>4.4920000000000009</v>
      </c>
      <c r="S7" s="13">
        <f>SUMIF(Mercado_Receita!$T$2:$T$2216,"44713B1Energia horáriaResidencialResidencialNão se aplicaNão se aplicaPonta",Mercado_Receita!$N$2:$N$2216)</f>
        <v>8.1330000000000009</v>
      </c>
      <c r="T7" s="13">
        <f>SUMIF(Mercado_Receita!$T$2:$T$2216,"44743B1Energia horáriaResidencialResidencialNão se aplicaNão se aplicaPonta",Mercado_Receita!$N$2:$N$2216)</f>
        <v>8.1330000000000009</v>
      </c>
      <c r="U7" s="13">
        <f t="shared" si="0"/>
        <v>107.383</v>
      </c>
      <c r="V7" s="13"/>
      <c r="W7" s="13"/>
    </row>
    <row r="8" spans="1:30" ht="11.25" customHeight="1" x14ac:dyDescent="0.25">
      <c r="A8" s="83"/>
      <c r="B8" s="83"/>
      <c r="C8" s="83"/>
      <c r="D8" s="83"/>
      <c r="E8" s="83"/>
      <c r="F8" s="83"/>
      <c r="G8" s="13" t="s">
        <v>113</v>
      </c>
      <c r="H8" s="13" t="s">
        <v>102</v>
      </c>
      <c r="I8" s="13">
        <f>SUMIF(Mercado_Receita!$T$2:$T$2216,"44409B1Energia horáriaResidencialResidencialNão se aplicaNão se aplicaIntermediário",Mercado_Receita!$N$2:$N$2216)</f>
        <v>6.0460000000000003</v>
      </c>
      <c r="J8" s="13">
        <f>SUMIF(Mercado_Receita!$T$2:$T$2216,"44440B1Energia horáriaResidencialResidencialNão se aplicaNão se aplicaIntermediário",Mercado_Receita!$N$2:$N$2216)</f>
        <v>5.6619999999999999</v>
      </c>
      <c r="K8" s="13">
        <f>SUMIF(Mercado_Receita!$T$2:$T$2216,"44470B1Energia horáriaResidencialResidencialNão se aplicaNão se aplicaIntermediário",Mercado_Receita!$N$2:$N$2216)</f>
        <v>5.7840000000000007</v>
      </c>
      <c r="L8" s="13">
        <f>SUMIF(Mercado_Receita!$T$2:$T$2216,"44501B1Energia horáriaResidencialResidencialNão se aplicaNão se aplicaIntermediário",Mercado_Receita!$N$2:$N$2216)</f>
        <v>5.673</v>
      </c>
      <c r="M8" s="13">
        <f>SUMIF(Mercado_Receita!$T$2:$T$2216,"44531B1Energia horáriaResidencialResidencialNão se aplicaNão se aplicaIntermediário",Mercado_Receita!$N$2:$N$2216)</f>
        <v>8.032</v>
      </c>
      <c r="N8" s="13">
        <f>SUMIF(Mercado_Receita!$T$2:$T$2216,"44562B1Energia horáriaResidencialResidencialNão se aplicaNão se aplicaIntermediário",Mercado_Receita!$N$2:$N$2216)</f>
        <v>5.8090000000000002</v>
      </c>
      <c r="O8" s="13">
        <f>SUMIF(Mercado_Receita!$T$2:$T$2216,"44593B1Energia horáriaResidencialResidencialNão se aplicaNão se aplicaIntermediário",Mercado_Receita!$N$2:$N$2216)</f>
        <v>6.3140000000000001</v>
      </c>
      <c r="P8" s="13">
        <f>SUMIF(Mercado_Receita!$T$2:$T$2216,"44621B1Energia horáriaResidencialResidencialNão se aplicaNão se aplicaIntermediário",Mercado_Receita!$N$2:$N$2216)</f>
        <v>6.8620000000000001</v>
      </c>
      <c r="Q8" s="13">
        <f>SUMIF(Mercado_Receita!$T$2:$T$2216,"44652B1Energia horáriaResidencialResidencialNão se aplicaNão se aplicaIntermediário",Mercado_Receita!$N$2:$N$2216)</f>
        <v>6.0699999999999994</v>
      </c>
      <c r="R8" s="13">
        <f>SUMIF(Mercado_Receita!$T$2:$T$2216,"44682B1Energia horáriaResidencialResidencialNão se aplicaNão se aplicaIntermediário",Mercado_Receita!$N$2:$N$2216)</f>
        <v>6.149</v>
      </c>
      <c r="S8" s="13">
        <f>SUMIF(Mercado_Receita!$T$2:$T$2216,"44713B1Energia horáriaResidencialResidencialNão se aplicaNão se aplicaIntermediário",Mercado_Receita!$N$2:$N$2216)</f>
        <v>5.6469999999999994</v>
      </c>
      <c r="T8" s="13">
        <f>SUMIF(Mercado_Receita!$T$2:$T$2216,"44743B1Energia horáriaResidencialResidencialNão se aplicaNão se aplicaIntermediário",Mercado_Receita!$N$2:$N$2216)</f>
        <v>5.6469999999999994</v>
      </c>
      <c r="U8" s="13">
        <f t="shared" si="0"/>
        <v>73.695000000000007</v>
      </c>
      <c r="V8" s="13"/>
      <c r="W8" s="13"/>
    </row>
    <row r="9" spans="1:30" ht="11.25" customHeight="1" x14ac:dyDescent="0.25">
      <c r="A9" s="83"/>
      <c r="B9" s="83"/>
      <c r="C9" s="83"/>
      <c r="D9" s="83"/>
      <c r="E9" s="83"/>
      <c r="F9" s="83"/>
      <c r="G9" s="13" t="s">
        <v>104</v>
      </c>
      <c r="H9" s="13" t="s">
        <v>102</v>
      </c>
      <c r="I9" s="13">
        <f>SUMIF(Mercado_Receita!$T$2:$T$2216,"44409B1Energia horáriaResidencialResidencialNão se aplicaNão se aplicaFora ponta",Mercado_Receita!$N$2:$N$2216)</f>
        <v>104.099</v>
      </c>
      <c r="J9" s="13">
        <f>SUMIF(Mercado_Receita!$T$2:$T$2216,"44440B1Energia horáriaResidencialResidencialNão se aplicaNão se aplicaFora ponta",Mercado_Receita!$N$2:$N$2216)</f>
        <v>103.41000000000001</v>
      </c>
      <c r="K9" s="13">
        <f>SUMIF(Mercado_Receita!$T$2:$T$2216,"44470B1Energia horáriaResidencialResidencialNão se aplicaNão se aplicaFora ponta",Mercado_Receita!$N$2:$N$2216)</f>
        <v>116.735</v>
      </c>
      <c r="L9" s="13">
        <f>SUMIF(Mercado_Receita!$T$2:$T$2216,"44501B1Energia horáriaResidencialResidencialNão se aplicaNão se aplicaFora ponta",Mercado_Receita!$N$2:$N$2216)</f>
        <v>120.54100000000001</v>
      </c>
      <c r="M9" s="13">
        <f>SUMIF(Mercado_Receita!$T$2:$T$2216,"44531B1Energia horáriaResidencialResidencialNão se aplicaNão se aplicaFora ponta",Mercado_Receita!$N$2:$N$2216)</f>
        <v>146.38</v>
      </c>
      <c r="N9" s="13">
        <f>SUMIF(Mercado_Receita!$T$2:$T$2216,"44562B1Energia horáriaResidencialResidencialNão se aplicaNão se aplicaFora ponta",Mercado_Receita!$N$2:$N$2216)</f>
        <v>118.17</v>
      </c>
      <c r="O9" s="13">
        <f>SUMIF(Mercado_Receita!$T$2:$T$2216,"44593B1Energia horáriaResidencialResidencialNão se aplicaNão se aplicaFora ponta",Mercado_Receita!$N$2:$N$2216)</f>
        <v>115.929</v>
      </c>
      <c r="P9" s="13">
        <f>SUMIF(Mercado_Receita!$T$2:$T$2216,"44621B1Energia horáriaResidencialResidencialNão se aplicaNão se aplicaFora ponta",Mercado_Receita!$N$2:$N$2216)</f>
        <v>126.09599999999999</v>
      </c>
      <c r="Q9" s="13">
        <f>SUMIF(Mercado_Receita!$T$2:$T$2216,"44652B1Energia horáriaResidencialResidencialNão se aplicaNão se aplicaFora ponta",Mercado_Receita!$N$2:$N$2216)</f>
        <v>112.11099999999999</v>
      </c>
      <c r="R9" s="13">
        <f>SUMIF(Mercado_Receita!$T$2:$T$2216,"44682B1Energia horáriaResidencialResidencialNão se aplicaNão se aplicaFora ponta",Mercado_Receita!$N$2:$N$2216)</f>
        <v>112.08599999999998</v>
      </c>
      <c r="S9" s="13">
        <f>SUMIF(Mercado_Receita!$T$2:$T$2216,"44713B1Energia horáriaResidencialResidencialNão se aplicaNão se aplicaFora ponta",Mercado_Receita!$N$2:$N$2216)</f>
        <v>91.265000000000001</v>
      </c>
      <c r="T9" s="13">
        <f>SUMIF(Mercado_Receita!$T$2:$T$2216,"44743B1Energia horáriaResidencialResidencialNão se aplicaNão se aplicaFora ponta",Mercado_Receita!$N$2:$N$2216)</f>
        <v>91.265000000000001</v>
      </c>
      <c r="U9" s="13">
        <f t="shared" si="0"/>
        <v>1358.0870000000002</v>
      </c>
      <c r="V9" s="13"/>
      <c r="W9" s="13"/>
    </row>
    <row r="10" spans="1:30" ht="11.25" customHeight="1" x14ac:dyDescent="0.25">
      <c r="A10" s="83"/>
      <c r="B10" s="82" t="s">
        <v>109</v>
      </c>
      <c r="C10" s="82" t="s">
        <v>24</v>
      </c>
      <c r="D10" s="12" t="s">
        <v>24</v>
      </c>
      <c r="E10" s="12" t="s">
        <v>25</v>
      </c>
      <c r="F10" s="12" t="s">
        <v>25</v>
      </c>
      <c r="G10" s="13" t="s">
        <v>108</v>
      </c>
      <c r="H10" s="13" t="s">
        <v>102</v>
      </c>
      <c r="I10" s="13">
        <f>SUMIF(Mercado_Receita!$T$2:$T$2216,"44409B1Energia convencionalResidencialResidencialNão se aplicaNão se aplicaNão se aplica",Mercado_Receita!$N$2:$N$2216)</f>
        <v>108203.70300000001</v>
      </c>
      <c r="J10" s="13">
        <f>SUMIF(Mercado_Receita!$T$2:$T$2216,"44440B1Energia convencionalResidencialResidencialNão se aplicaNão se aplicaNão se aplica",Mercado_Receita!$N$2:$N$2216)</f>
        <v>108949.37699999999</v>
      </c>
      <c r="K10" s="13">
        <f>SUMIF(Mercado_Receita!$T$2:$T$2216,"44470B1Energia convencionalResidencialResidencialNão se aplicaNão se aplicaNão se aplica",Mercado_Receita!$N$2:$N$2216)</f>
        <v>117937.83799999999</v>
      </c>
      <c r="L10" s="13">
        <f>SUMIF(Mercado_Receita!$T$2:$T$2216,"44501B1Energia convencionalResidencialResidencialNão se aplicaNão se aplicaNão se aplica",Mercado_Receita!$N$2:$N$2216)</f>
        <v>118157.762</v>
      </c>
      <c r="M10" s="13">
        <f>SUMIF(Mercado_Receita!$T$2:$T$2216,"44531B1Energia convencionalResidencialResidencialNão se aplicaNão se aplicaNão se aplica",Mercado_Receita!$N$2:$N$2216)</f>
        <v>130883.306</v>
      </c>
      <c r="N10" s="13">
        <f>SUMIF(Mercado_Receita!$T$2:$T$2216,"44562B1Energia convencionalResidencialResidencialNão se aplicaNão se aplicaNão se aplica",Mercado_Receita!$N$2:$N$2216)</f>
        <v>123419.58900000001</v>
      </c>
      <c r="O10" s="13">
        <f>SUMIF(Mercado_Receita!$T$2:$T$2216,"44593B1Energia convencionalResidencialResidencialNão se aplicaNão se aplicaNão se aplica",Mercado_Receita!$N$2:$N$2216)</f>
        <v>114550.61600000001</v>
      </c>
      <c r="P10" s="13">
        <f>SUMIF(Mercado_Receita!$T$2:$T$2216,"44621B1Energia convencionalResidencialResidencialNão se aplicaNão se aplicaNão se aplica",Mercado_Receita!$N$2:$N$2216)</f>
        <v>128305.92300000001</v>
      </c>
      <c r="Q10" s="13">
        <f>SUMIF(Mercado_Receita!$T$2:$T$2216,"44652B1Energia convencionalResidencialResidencialNão se aplicaNão se aplicaNão se aplica",Mercado_Receita!$N$2:$N$2216)</f>
        <v>118755.246</v>
      </c>
      <c r="R10" s="13">
        <f>SUMIF(Mercado_Receita!$T$2:$T$2216,"44682B1Energia convencionalResidencialResidencialNão se aplicaNão se aplicaNão se aplica",Mercado_Receita!$N$2:$N$2216)</f>
        <v>120159.20699999999</v>
      </c>
      <c r="S10" s="13">
        <f>SUMIF(Mercado_Receita!$T$2:$T$2216,"44713B1Energia convencionalResidencialResidencialNão se aplicaNão se aplicaNão se aplica",Mercado_Receita!$N$2:$N$2216)</f>
        <v>104523.31</v>
      </c>
      <c r="T10" s="13">
        <f>SUMIF(Mercado_Receita!$T$2:$T$2216,"44743B1Energia convencionalResidencialResidencialNão se aplicaNão se aplicaNão se aplica",Mercado_Receita!$N$2:$N$2216)</f>
        <v>104523.31</v>
      </c>
      <c r="U10" s="13">
        <f t="shared" si="0"/>
        <v>1398369.1870000002</v>
      </c>
      <c r="V10" s="13"/>
      <c r="W10" s="13"/>
    </row>
    <row r="11" spans="1:30" ht="11.25" customHeight="1" x14ac:dyDescent="0.25">
      <c r="A11" s="83"/>
      <c r="B11" s="83"/>
      <c r="C11" s="83"/>
      <c r="D11" s="12" t="s">
        <v>29</v>
      </c>
      <c r="E11" s="12" t="s">
        <v>25</v>
      </c>
      <c r="F11" s="12" t="s">
        <v>25</v>
      </c>
      <c r="G11" s="13" t="s">
        <v>108</v>
      </c>
      <c r="H11" s="13" t="s">
        <v>102</v>
      </c>
      <c r="I11" s="13">
        <f>SUMIF(Mercado_Receita!$T$2:$T$2216,"44409B1Energia convencionalResidencialResidencial baixa renda – faixa 01Não se aplicaNão se aplicaNão se aplica",Mercado_Receita!$N$2:$N$2216)</f>
        <v>13064.905000000001</v>
      </c>
      <c r="J11" s="13">
        <f>SUMIF(Mercado_Receita!$T$2:$T$2216,"44440B1Energia convencionalResidencialResidencial baixa renda – faixa 01Não se aplicaNão se aplicaNão se aplica",Mercado_Receita!$N$2:$N$2216)</f>
        <v>12891.582999999999</v>
      </c>
      <c r="K11" s="13">
        <f>SUMIF(Mercado_Receita!$T$2:$T$2216,"44470B1Energia convencionalResidencialResidencial baixa renda – faixa 01Não se aplicaNão se aplicaNão se aplica",Mercado_Receita!$N$2:$N$2216)</f>
        <v>13052.093999999999</v>
      </c>
      <c r="L11" s="13">
        <f>SUMIF(Mercado_Receita!$T$2:$T$2216,"44501B1Energia convencionalResidencialResidencial baixa renda – faixa 01Não se aplicaNão se aplicaNão se aplica",Mercado_Receita!$N$2:$N$2216)</f>
        <v>13212.031999999999</v>
      </c>
      <c r="M11" s="13">
        <f>SUMIF(Mercado_Receita!$T$2:$T$2216,"44531B1Energia convencionalResidencialResidencial baixa renda – faixa 01Não se aplicaNão se aplicaNão se aplica",Mercado_Receita!$N$2:$N$2216)</f>
        <v>13152.904999999999</v>
      </c>
      <c r="N11" s="13">
        <f>SUMIF(Mercado_Receita!$T$2:$T$2216,"44562B1Energia convencionalResidencialResidencial baixa renda – faixa 01Não se aplicaNão se aplicaNão se aplica",Mercado_Receita!$N$2:$N$2216)</f>
        <v>13188.222000000002</v>
      </c>
      <c r="O11" s="13">
        <f>SUMIF(Mercado_Receita!$T$2:$T$2216,"44593B1Energia convencionalResidencialResidencial baixa renda – faixa 01Não se aplicaNão se aplicaNão se aplica",Mercado_Receita!$N$2:$N$2216)</f>
        <v>13461.413</v>
      </c>
      <c r="P11" s="13">
        <f>SUMIF(Mercado_Receita!$T$2:$T$2216,"44621B1Energia convencionalResidencialResidencial baixa renda – faixa 01Não se aplicaNão se aplicaNão se aplica",Mercado_Receita!$N$2:$N$2216)</f>
        <v>13703.302999999998</v>
      </c>
      <c r="Q11" s="13">
        <f>SUMIF(Mercado_Receita!$T$2:$T$2216,"44652B1Energia convencionalResidencialResidencial baixa renda – faixa 01Não se aplicaNão se aplicaNão se aplica",Mercado_Receita!$N$2:$N$2216)</f>
        <v>13857.252</v>
      </c>
      <c r="R11" s="13">
        <f>SUMIF(Mercado_Receita!$T$2:$T$2216,"44682B1Energia convencionalResidencialResidencial baixa renda – faixa 01Não se aplicaNão se aplicaNão se aplica",Mercado_Receita!$N$2:$N$2216)</f>
        <v>13735.183999999999</v>
      </c>
      <c r="S11" s="13">
        <f>SUMIF(Mercado_Receita!$T$2:$T$2216,"44713B1Energia convencionalResidencialResidencial baixa renda – faixa 01Não se aplicaNão se aplicaNão se aplica",Mercado_Receita!$N$2:$N$2216)</f>
        <v>13870.913</v>
      </c>
      <c r="T11" s="13">
        <f>SUMIF(Mercado_Receita!$T$2:$T$2216,"44743B1Energia convencionalResidencialResidencial baixa renda – faixa 01Não se aplicaNão se aplicaNão se aplica",Mercado_Receita!$N$2:$N$2216)</f>
        <v>13870.913</v>
      </c>
      <c r="U11" s="13">
        <f t="shared" si="0"/>
        <v>161060.71900000001</v>
      </c>
      <c r="V11" s="13"/>
      <c r="W11" s="13"/>
    </row>
    <row r="12" spans="1:30" ht="11.25" customHeight="1" x14ac:dyDescent="0.25">
      <c r="A12" s="83"/>
      <c r="B12" s="83"/>
      <c r="C12" s="83"/>
      <c r="D12" s="12" t="s">
        <v>30</v>
      </c>
      <c r="E12" s="12" t="s">
        <v>25</v>
      </c>
      <c r="F12" s="12" t="s">
        <v>25</v>
      </c>
      <c r="G12" s="13" t="s">
        <v>108</v>
      </c>
      <c r="H12" s="13" t="s">
        <v>102</v>
      </c>
      <c r="I12" s="13">
        <f>SUMIF(Mercado_Receita!$T$2:$T$2216,"44409B1Energia convencionalResidencialResidencial baixa renda – faixa 02Não se aplicaNão se aplicaNão se aplica",Mercado_Receita!$N$2:$N$2216)</f>
        <v>21078.631000000001</v>
      </c>
      <c r="J12" s="13">
        <f>SUMIF(Mercado_Receita!$T$2:$T$2216,"44440B1Energia convencionalResidencialResidencial baixa renda – faixa 02Não se aplicaNão se aplicaNão se aplica",Mercado_Receita!$N$2:$N$2216)</f>
        <v>20737.177</v>
      </c>
      <c r="K12" s="13">
        <f>SUMIF(Mercado_Receita!$T$2:$T$2216,"44470B1Energia convencionalResidencialResidencial baixa renda – faixa 02Não se aplicaNão se aplicaNão se aplica",Mercado_Receita!$N$2:$N$2216)</f>
        <v>21797.614000000001</v>
      </c>
      <c r="L12" s="13">
        <f>SUMIF(Mercado_Receita!$T$2:$T$2216,"44501B1Energia convencionalResidencialResidencial baixa renda – faixa 02Não se aplicaNão se aplicaNão se aplica",Mercado_Receita!$N$2:$N$2216)</f>
        <v>22174.645</v>
      </c>
      <c r="M12" s="13">
        <f>SUMIF(Mercado_Receita!$T$2:$T$2216,"44531B1Energia convencionalResidencialResidencial baixa renda – faixa 02Não se aplicaNão se aplicaNão se aplica",Mercado_Receita!$N$2:$N$2216)</f>
        <v>23260.976000000002</v>
      </c>
      <c r="N12" s="13">
        <f>SUMIF(Mercado_Receita!$T$2:$T$2216,"44562B1Energia convencionalResidencialResidencial baixa renda – faixa 02Não se aplicaNão se aplicaNão se aplica",Mercado_Receita!$N$2:$N$2216)</f>
        <v>22522.057000000001</v>
      </c>
      <c r="O12" s="13">
        <f>SUMIF(Mercado_Receita!$T$2:$T$2216,"44593B1Energia convencionalResidencialResidencial baixa renda – faixa 02Não se aplicaNão se aplicaNão se aplica",Mercado_Receita!$N$2:$N$2216)</f>
        <v>22002.746000000003</v>
      </c>
      <c r="P12" s="13">
        <f>SUMIF(Mercado_Receita!$T$2:$T$2216,"44621B1Energia convencionalResidencialResidencial baixa renda – faixa 02Não se aplicaNão se aplicaNão se aplica",Mercado_Receita!$N$2:$N$2216)</f>
        <v>24024.74</v>
      </c>
      <c r="Q12" s="13">
        <f>SUMIF(Mercado_Receita!$T$2:$T$2216,"44652B1Energia convencionalResidencialResidencial baixa renda – faixa 02Não se aplicaNão se aplicaNão se aplica",Mercado_Receita!$N$2:$N$2216)</f>
        <v>23337.278999999999</v>
      </c>
      <c r="R12" s="13">
        <f>SUMIF(Mercado_Receita!$T$2:$T$2216,"44682B1Energia convencionalResidencialResidencial baixa renda – faixa 02Não se aplicaNão se aplicaNão se aplica",Mercado_Receita!$N$2:$N$2216)</f>
        <v>23261.811000000002</v>
      </c>
      <c r="S12" s="13">
        <f>SUMIF(Mercado_Receita!$T$2:$T$2216,"44713B1Energia convencionalResidencialResidencial baixa renda – faixa 02Não se aplicaNão se aplicaNão se aplica",Mercado_Receita!$N$2:$N$2216)</f>
        <v>21475.076000000001</v>
      </c>
      <c r="T12" s="13">
        <f>SUMIF(Mercado_Receita!$T$2:$T$2216,"44743B1Energia convencionalResidencialResidencial baixa renda – faixa 02Não se aplicaNão se aplicaNão se aplica",Mercado_Receita!$N$2:$N$2216)</f>
        <v>21475.076000000001</v>
      </c>
      <c r="U12" s="13">
        <f t="shared" si="0"/>
        <v>267147.82800000004</v>
      </c>
      <c r="V12" s="13"/>
      <c r="W12" s="13"/>
    </row>
    <row r="13" spans="1:30" ht="11.25" customHeight="1" x14ac:dyDescent="0.25">
      <c r="A13" s="83"/>
      <c r="B13" s="83"/>
      <c r="C13" s="83"/>
      <c r="D13" s="12" t="s">
        <v>31</v>
      </c>
      <c r="E13" s="12" t="s">
        <v>25</v>
      </c>
      <c r="F13" s="12" t="s">
        <v>25</v>
      </c>
      <c r="G13" s="13" t="s">
        <v>108</v>
      </c>
      <c r="H13" s="13" t="s">
        <v>102</v>
      </c>
      <c r="I13" s="13">
        <f>SUMIF(Mercado_Receita!$T$2:$T$2216,"44409B1Energia convencionalResidencialResidencial baixa renda – faixa 03Não se aplicaNão se aplicaNão se aplica",Mercado_Receita!$N$2:$N$2216)</f>
        <v>10367.472999999998</v>
      </c>
      <c r="J13" s="13">
        <f>SUMIF(Mercado_Receita!$T$2:$T$2216,"44440B1Energia convencionalResidencialResidencial baixa renda – faixa 03Não se aplicaNão se aplicaNão se aplica",Mercado_Receita!$N$2:$N$2216)</f>
        <v>10105.021000000001</v>
      </c>
      <c r="K13" s="13">
        <f>SUMIF(Mercado_Receita!$T$2:$T$2216,"44470B1Energia convencionalResidencialResidencial baixa renda – faixa 03Não se aplicaNão se aplicaNão se aplica",Mercado_Receita!$N$2:$N$2216)</f>
        <v>11569.237999999999</v>
      </c>
      <c r="L13" s="13">
        <f>SUMIF(Mercado_Receita!$T$2:$T$2216,"44501B1Energia convencionalResidencialResidencial baixa renda – faixa 03Não se aplicaNão se aplicaNão se aplica",Mercado_Receita!$N$2:$N$2216)</f>
        <v>11678.989000000001</v>
      </c>
      <c r="M13" s="13">
        <f>SUMIF(Mercado_Receita!$T$2:$T$2216,"44531B1Energia convencionalResidencialResidencial baixa renda – faixa 03Não se aplicaNão se aplicaNão se aplica",Mercado_Receita!$N$2:$N$2216)</f>
        <v>14367.224</v>
      </c>
      <c r="N13" s="13">
        <f>SUMIF(Mercado_Receita!$T$2:$T$2216,"44562B1Energia convencionalResidencialResidencial baixa renda – faixa 03Não se aplicaNão se aplicaNão se aplica",Mercado_Receita!$N$2:$N$2216)</f>
        <v>12737.123000000001</v>
      </c>
      <c r="O13" s="13">
        <f>SUMIF(Mercado_Receita!$T$2:$T$2216,"44593B1Energia convencionalResidencialResidencial baixa renda – faixa 03Não se aplicaNão se aplicaNão se aplica",Mercado_Receita!$N$2:$N$2216)</f>
        <v>11113.287</v>
      </c>
      <c r="P13" s="13">
        <f>SUMIF(Mercado_Receita!$T$2:$T$2216,"44621B1Energia convencionalResidencialResidencial baixa renda – faixa 03Não se aplicaNão se aplicaNão se aplica",Mercado_Receita!$N$2:$N$2216)</f>
        <v>14651.717000000001</v>
      </c>
      <c r="Q13" s="13">
        <f>SUMIF(Mercado_Receita!$T$2:$T$2216,"44652B1Energia convencionalResidencialResidencial baixa renda – faixa 03Não se aplicaNão se aplicaNão se aplica",Mercado_Receita!$N$2:$N$2216)</f>
        <v>12766.329</v>
      </c>
      <c r="R13" s="13">
        <f>SUMIF(Mercado_Receita!$T$2:$T$2216,"44682B1Energia convencionalResidencialResidencial baixa renda – faixa 03Não se aplicaNão se aplicaNão se aplica",Mercado_Receita!$N$2:$N$2216)</f>
        <v>12769.902</v>
      </c>
      <c r="S13" s="13">
        <f>SUMIF(Mercado_Receita!$T$2:$T$2216,"44713B1Energia convencionalResidencialResidencial baixa renda – faixa 03Não se aplicaNão se aplicaNão se aplica",Mercado_Receita!$N$2:$N$2216)</f>
        <v>9330.3279999999995</v>
      </c>
      <c r="T13" s="13">
        <f>SUMIF(Mercado_Receita!$T$2:$T$2216,"44743B1Energia convencionalResidencialResidencial baixa renda – faixa 03Não se aplicaNão se aplicaNão se aplica",Mercado_Receita!$N$2:$N$2216)</f>
        <v>9330.3279999999995</v>
      </c>
      <c r="U13" s="13">
        <f t="shared" si="0"/>
        <v>140786.959</v>
      </c>
      <c r="V13" s="13"/>
      <c r="W13" s="13"/>
    </row>
    <row r="14" spans="1:30" ht="11.25" customHeight="1" x14ac:dyDescent="0.25">
      <c r="A14" s="83"/>
      <c r="B14" s="83"/>
      <c r="C14" s="83"/>
      <c r="D14" s="12" t="s">
        <v>32</v>
      </c>
      <c r="E14" s="12" t="s">
        <v>25</v>
      </c>
      <c r="F14" s="12" t="s">
        <v>25</v>
      </c>
      <c r="G14" s="13" t="s">
        <v>108</v>
      </c>
      <c r="H14" s="13" t="s">
        <v>102</v>
      </c>
      <c r="I14" s="13">
        <f>SUMIF(Mercado_Receita!$T$2:$T$2216,"44409B1Energia convencionalResidencialResidencial baixa renda – faixa 04Não se aplicaNão se aplicaNão se aplica",Mercado_Receita!$N$2:$N$2216)</f>
        <v>2571.8450000000003</v>
      </c>
      <c r="J14" s="13">
        <f>SUMIF(Mercado_Receita!$T$2:$T$2216,"44440B1Energia convencionalResidencialResidencial baixa renda – faixa 04Não se aplicaNão se aplicaNão se aplica",Mercado_Receita!$N$2:$N$2216)</f>
        <v>2607.136</v>
      </c>
      <c r="K14" s="13">
        <f>SUMIF(Mercado_Receita!$T$2:$T$2216,"44470B1Energia convencionalResidencialResidencial baixa renda – faixa 04Não se aplicaNão se aplicaNão se aplica",Mercado_Receita!$N$2:$N$2216)</f>
        <v>3342.4160000000002</v>
      </c>
      <c r="L14" s="13">
        <f>SUMIF(Mercado_Receita!$T$2:$T$2216,"44501B1Energia convencionalResidencialResidencial baixa renda – faixa 04Não se aplicaNão se aplicaNão se aplica",Mercado_Receita!$N$2:$N$2216)</f>
        <v>3253.4839999999999</v>
      </c>
      <c r="M14" s="13">
        <f>SUMIF(Mercado_Receita!$T$2:$T$2216,"44531B1Energia convencionalResidencialResidencial baixa renda – faixa 04Não se aplicaNão se aplicaNão se aplica",Mercado_Receita!$N$2:$N$2216)</f>
        <v>4910.7040000000006</v>
      </c>
      <c r="N14" s="13">
        <f>SUMIF(Mercado_Receita!$T$2:$T$2216,"44562B1Energia convencionalResidencialResidencial baixa renda – faixa 04Não se aplicaNão se aplicaNão se aplica",Mercado_Receita!$N$2:$N$2216)</f>
        <v>3904.5969999999998</v>
      </c>
      <c r="O14" s="13">
        <f>SUMIF(Mercado_Receita!$T$2:$T$2216,"44593B1Energia convencionalResidencialResidencial baixa renda – faixa 04Não se aplicaNão se aplicaNão se aplica",Mercado_Receita!$N$2:$N$2216)</f>
        <v>2985.8990000000003</v>
      </c>
      <c r="P14" s="13">
        <f>SUMIF(Mercado_Receita!$T$2:$T$2216,"44621B1Energia convencionalResidencialResidencial baixa renda – faixa 04Não se aplicaNão se aplicaNão se aplica",Mercado_Receita!$N$2:$N$2216)</f>
        <v>4714.6149999999998</v>
      </c>
      <c r="Q14" s="13">
        <f>SUMIF(Mercado_Receita!$T$2:$T$2216,"44652B1Energia convencionalResidencialResidencial baixa renda – faixa 04Não se aplicaNão se aplicaNão se aplica",Mercado_Receita!$N$2:$N$2216)</f>
        <v>3676.8190000000004</v>
      </c>
      <c r="R14" s="13">
        <f>SUMIF(Mercado_Receita!$T$2:$T$2216,"44682B1Energia convencionalResidencialResidencial baixa renda – faixa 04Não se aplicaNão se aplicaNão se aplica",Mercado_Receita!$N$2:$N$2216)</f>
        <v>3458.0010000000002</v>
      </c>
      <c r="S14" s="13">
        <f>SUMIF(Mercado_Receita!$T$2:$T$2216,"44713B1Energia convencionalResidencialResidencial baixa renda – faixa 04Não se aplicaNão se aplicaNão se aplica",Mercado_Receita!$N$2:$N$2216)</f>
        <v>2002.472</v>
      </c>
      <c r="T14" s="13">
        <f>SUMIF(Mercado_Receita!$T$2:$T$2216,"44743B1Energia convencionalResidencialResidencial baixa renda – faixa 04Não se aplicaNão se aplicaNão se aplica",Mercado_Receita!$N$2:$N$2216)</f>
        <v>2002.472</v>
      </c>
      <c r="U14" s="13">
        <f t="shared" si="0"/>
        <v>39430.460000000006</v>
      </c>
      <c r="V14" s="13"/>
      <c r="W14" s="13"/>
    </row>
    <row r="15" spans="1:30" ht="11.25" customHeight="1" x14ac:dyDescent="0.25">
      <c r="A15" s="83"/>
      <c r="B15" s="82" t="s">
        <v>114</v>
      </c>
      <c r="C15" s="82" t="s">
        <v>24</v>
      </c>
      <c r="D15" s="12" t="s">
        <v>24</v>
      </c>
      <c r="E15" s="12" t="s">
        <v>25</v>
      </c>
      <c r="F15" s="12" t="s">
        <v>25</v>
      </c>
      <c r="G15" s="13" t="s">
        <v>108</v>
      </c>
      <c r="H15" s="13" t="s">
        <v>102</v>
      </c>
      <c r="I15" s="13">
        <f>SUMIF(Mercado_Receita!$T$2:$T$2216,"44409B1Energia convencional pré-pagamentoResidencialResidencialNão se aplicaNão se aplicaNão se aplica",Mercado_Receita!$N$2:$N$2216)</f>
        <v>0</v>
      </c>
      <c r="J15" s="13">
        <f>SUMIF(Mercado_Receita!$T$2:$T$2216,"44440B1Energia convencional pré-pagamentoResidencialResidencialNão se aplicaNão se aplicaNão se aplica",Mercado_Receita!$N$2:$N$2216)</f>
        <v>0</v>
      </c>
      <c r="K15" s="13">
        <f>SUMIF(Mercado_Receita!$T$2:$T$2216,"44470B1Energia convencional pré-pagamentoResidencialResidencialNão se aplicaNão se aplicaNão se aplica",Mercado_Receita!$N$2:$N$2216)</f>
        <v>0</v>
      </c>
      <c r="L15" s="13">
        <f>SUMIF(Mercado_Receita!$T$2:$T$2216,"44501B1Energia convencional pré-pagamentoResidencialResidencialNão se aplicaNão se aplicaNão se aplica",Mercado_Receita!$N$2:$N$2216)</f>
        <v>0</v>
      </c>
      <c r="M15" s="13">
        <f>SUMIF(Mercado_Receita!$T$2:$T$2216,"44531B1Energia convencional pré-pagamentoResidencialResidencialNão se aplicaNão se aplicaNão se aplica",Mercado_Receita!$N$2:$N$2216)</f>
        <v>0</v>
      </c>
      <c r="N15" s="13">
        <f>SUMIF(Mercado_Receita!$T$2:$T$2216,"44562B1Energia convencional pré-pagamentoResidencialResidencialNão se aplicaNão se aplicaNão se aplica",Mercado_Receita!$N$2:$N$2216)</f>
        <v>0</v>
      </c>
      <c r="O15" s="13">
        <f>SUMIF(Mercado_Receita!$T$2:$T$2216,"44593B1Energia convencional pré-pagamentoResidencialResidencialNão se aplicaNão se aplicaNão se aplica",Mercado_Receita!$N$2:$N$2216)</f>
        <v>0</v>
      </c>
      <c r="P15" s="13">
        <f>SUMIF(Mercado_Receita!$T$2:$T$2216,"44621B1Energia convencional pré-pagamentoResidencialResidencialNão se aplicaNão se aplicaNão se aplica",Mercado_Receita!$N$2:$N$2216)</f>
        <v>0</v>
      </c>
      <c r="Q15" s="13">
        <f>SUMIF(Mercado_Receita!$T$2:$T$2216,"44652B1Energia convencional pré-pagamentoResidencialResidencialNão se aplicaNão se aplicaNão se aplica",Mercado_Receita!$N$2:$N$2216)</f>
        <v>0</v>
      </c>
      <c r="R15" s="13">
        <f>SUMIF(Mercado_Receita!$T$2:$T$2216,"44682B1Energia convencional pré-pagamentoResidencialResidencialNão se aplicaNão se aplicaNão se aplica",Mercado_Receita!$N$2:$N$2216)</f>
        <v>0</v>
      </c>
      <c r="S15" s="13">
        <f>SUMIF(Mercado_Receita!$T$2:$T$2216,"44713B1Energia convencional pré-pagamentoResidencialResidencialNão se aplicaNão se aplicaNão se aplica",Mercado_Receita!$N$2:$N$2216)</f>
        <v>0</v>
      </c>
      <c r="T15" s="13">
        <f>SUMIF(Mercado_Receita!$T$2:$T$2216,"44743B1Energia convencional pré-pagamentoResidencialResidencialNão se aplicaNão se aplicaNão se aplica",Mercado_Receita!$N$2:$N$2216)</f>
        <v>0</v>
      </c>
      <c r="U15" s="13">
        <f t="shared" si="0"/>
        <v>0</v>
      </c>
      <c r="V15" s="13"/>
      <c r="W15" s="13"/>
    </row>
    <row r="16" spans="1:30" ht="11.25" customHeight="1" x14ac:dyDescent="0.25">
      <c r="A16" s="83"/>
      <c r="B16" s="83"/>
      <c r="C16" s="83"/>
      <c r="D16" s="12" t="s">
        <v>29</v>
      </c>
      <c r="E16" s="12" t="s">
        <v>25</v>
      </c>
      <c r="F16" s="12" t="s">
        <v>25</v>
      </c>
      <c r="G16" s="13" t="s">
        <v>108</v>
      </c>
      <c r="H16" s="13" t="s">
        <v>102</v>
      </c>
      <c r="I16" s="13">
        <f>SUMIF(Mercado_Receita!$T$2:$T$2216,"44409B1Energia convencional pré-pagamentoResidencialResidencial baixa renda – faixa 01Não se aplicaNão se aplicaNão se aplica",Mercado_Receita!$N$2:$N$2216)</f>
        <v>0</v>
      </c>
      <c r="J16" s="13">
        <f>SUMIF(Mercado_Receita!$T$2:$T$2216,"44440B1Energia convencional pré-pagamentoResidencialResidencial baixa renda – faixa 01Não se aplicaNão se aplicaNão se aplica",Mercado_Receita!$N$2:$N$2216)</f>
        <v>0</v>
      </c>
      <c r="K16" s="13">
        <f>SUMIF(Mercado_Receita!$T$2:$T$2216,"44470B1Energia convencional pré-pagamentoResidencialResidencial baixa renda – faixa 01Não se aplicaNão se aplicaNão se aplica",Mercado_Receita!$N$2:$N$2216)</f>
        <v>0</v>
      </c>
      <c r="L16" s="13">
        <f>SUMIF(Mercado_Receita!$T$2:$T$2216,"44501B1Energia convencional pré-pagamentoResidencialResidencial baixa renda – faixa 01Não se aplicaNão se aplicaNão se aplica",Mercado_Receita!$N$2:$N$2216)</f>
        <v>0</v>
      </c>
      <c r="M16" s="13">
        <f>SUMIF(Mercado_Receita!$T$2:$T$2216,"44531B1Energia convencional pré-pagamentoResidencialResidencial baixa renda – faixa 01Não se aplicaNão se aplicaNão se aplica",Mercado_Receita!$N$2:$N$2216)</f>
        <v>0</v>
      </c>
      <c r="N16" s="13">
        <f>SUMIF(Mercado_Receita!$T$2:$T$2216,"44562B1Energia convencional pré-pagamentoResidencialResidencial baixa renda – faixa 01Não se aplicaNão se aplicaNão se aplica",Mercado_Receita!$N$2:$N$2216)</f>
        <v>0</v>
      </c>
      <c r="O16" s="13">
        <f>SUMIF(Mercado_Receita!$T$2:$T$2216,"44593B1Energia convencional pré-pagamentoResidencialResidencial baixa renda – faixa 01Não se aplicaNão se aplicaNão se aplica",Mercado_Receita!$N$2:$N$2216)</f>
        <v>0</v>
      </c>
      <c r="P16" s="13">
        <f>SUMIF(Mercado_Receita!$T$2:$T$2216,"44621B1Energia convencional pré-pagamentoResidencialResidencial baixa renda – faixa 01Não se aplicaNão se aplicaNão se aplica",Mercado_Receita!$N$2:$N$2216)</f>
        <v>0</v>
      </c>
      <c r="Q16" s="13">
        <f>SUMIF(Mercado_Receita!$T$2:$T$2216,"44652B1Energia convencional pré-pagamentoResidencialResidencial baixa renda – faixa 01Não se aplicaNão se aplicaNão se aplica",Mercado_Receita!$N$2:$N$2216)</f>
        <v>0</v>
      </c>
      <c r="R16" s="13">
        <f>SUMIF(Mercado_Receita!$T$2:$T$2216,"44682B1Energia convencional pré-pagamentoResidencialResidencial baixa renda – faixa 01Não se aplicaNão se aplicaNão se aplica",Mercado_Receita!$N$2:$N$2216)</f>
        <v>0</v>
      </c>
      <c r="S16" s="13">
        <f>SUMIF(Mercado_Receita!$T$2:$T$2216,"44713B1Energia convencional pré-pagamentoResidencialResidencial baixa renda – faixa 01Não se aplicaNão se aplicaNão se aplica",Mercado_Receita!$N$2:$N$2216)</f>
        <v>0</v>
      </c>
      <c r="T16" s="13">
        <f>SUMIF(Mercado_Receita!$T$2:$T$2216,"44743B1Energia convencional pré-pagamentoResidencialResidencial baixa renda – faixa 01Não se aplicaNão se aplicaNão se aplica",Mercado_Receita!$N$2:$N$2216)</f>
        <v>0</v>
      </c>
      <c r="U16" s="13">
        <f t="shared" si="0"/>
        <v>0</v>
      </c>
      <c r="V16" s="13"/>
      <c r="W16" s="13"/>
    </row>
    <row r="17" spans="1:23" ht="11.25" customHeight="1" x14ac:dyDescent="0.25">
      <c r="A17" s="83"/>
      <c r="B17" s="83"/>
      <c r="C17" s="83"/>
      <c r="D17" s="12" t="s">
        <v>30</v>
      </c>
      <c r="E17" s="12" t="s">
        <v>25</v>
      </c>
      <c r="F17" s="12" t="s">
        <v>25</v>
      </c>
      <c r="G17" s="13" t="s">
        <v>108</v>
      </c>
      <c r="H17" s="13" t="s">
        <v>102</v>
      </c>
      <c r="I17" s="13">
        <f>SUMIF(Mercado_Receita!$T$2:$T$2216,"44409B1Energia convencional pré-pagamentoResidencialResidencial baixa renda – faixa 02Não se aplicaNão se aplicaNão se aplica",Mercado_Receita!$N$2:$N$2216)</f>
        <v>0</v>
      </c>
      <c r="J17" s="13">
        <f>SUMIF(Mercado_Receita!$T$2:$T$2216,"44440B1Energia convencional pré-pagamentoResidencialResidencial baixa renda – faixa 02Não se aplicaNão se aplicaNão se aplica",Mercado_Receita!$N$2:$N$2216)</f>
        <v>0</v>
      </c>
      <c r="K17" s="13">
        <f>SUMIF(Mercado_Receita!$T$2:$T$2216,"44470B1Energia convencional pré-pagamentoResidencialResidencial baixa renda – faixa 02Não se aplicaNão se aplicaNão se aplica",Mercado_Receita!$N$2:$N$2216)</f>
        <v>0</v>
      </c>
      <c r="L17" s="13">
        <f>SUMIF(Mercado_Receita!$T$2:$T$2216,"44501B1Energia convencional pré-pagamentoResidencialResidencial baixa renda – faixa 02Não se aplicaNão se aplicaNão se aplica",Mercado_Receita!$N$2:$N$2216)</f>
        <v>0</v>
      </c>
      <c r="M17" s="13">
        <f>SUMIF(Mercado_Receita!$T$2:$T$2216,"44531B1Energia convencional pré-pagamentoResidencialResidencial baixa renda – faixa 02Não se aplicaNão se aplicaNão se aplica",Mercado_Receita!$N$2:$N$2216)</f>
        <v>0</v>
      </c>
      <c r="N17" s="13">
        <f>SUMIF(Mercado_Receita!$T$2:$T$2216,"44562B1Energia convencional pré-pagamentoResidencialResidencial baixa renda – faixa 02Não se aplicaNão se aplicaNão se aplica",Mercado_Receita!$N$2:$N$2216)</f>
        <v>0</v>
      </c>
      <c r="O17" s="13">
        <f>SUMIF(Mercado_Receita!$T$2:$T$2216,"44593B1Energia convencional pré-pagamentoResidencialResidencial baixa renda – faixa 02Não se aplicaNão se aplicaNão se aplica",Mercado_Receita!$N$2:$N$2216)</f>
        <v>0</v>
      </c>
      <c r="P17" s="13">
        <f>SUMIF(Mercado_Receita!$T$2:$T$2216,"44621B1Energia convencional pré-pagamentoResidencialResidencial baixa renda – faixa 02Não se aplicaNão se aplicaNão se aplica",Mercado_Receita!$N$2:$N$2216)</f>
        <v>0</v>
      </c>
      <c r="Q17" s="13">
        <f>SUMIF(Mercado_Receita!$T$2:$T$2216,"44652B1Energia convencional pré-pagamentoResidencialResidencial baixa renda – faixa 02Não se aplicaNão se aplicaNão se aplica",Mercado_Receita!$N$2:$N$2216)</f>
        <v>0</v>
      </c>
      <c r="R17" s="13">
        <f>SUMIF(Mercado_Receita!$T$2:$T$2216,"44682B1Energia convencional pré-pagamentoResidencialResidencial baixa renda – faixa 02Não se aplicaNão se aplicaNão se aplica",Mercado_Receita!$N$2:$N$2216)</f>
        <v>0</v>
      </c>
      <c r="S17" s="13">
        <f>SUMIF(Mercado_Receita!$T$2:$T$2216,"44713B1Energia convencional pré-pagamentoResidencialResidencial baixa renda – faixa 02Não se aplicaNão se aplicaNão se aplica",Mercado_Receita!$N$2:$N$2216)</f>
        <v>0</v>
      </c>
      <c r="T17" s="13">
        <f>SUMIF(Mercado_Receita!$T$2:$T$2216,"44743B1Energia convencional pré-pagamentoResidencialResidencial baixa renda – faixa 02Não se aplicaNão se aplicaNão se aplica",Mercado_Receita!$N$2:$N$2216)</f>
        <v>0</v>
      </c>
      <c r="U17" s="13">
        <f t="shared" si="0"/>
        <v>0</v>
      </c>
      <c r="V17" s="13"/>
      <c r="W17" s="13"/>
    </row>
    <row r="18" spans="1:23" ht="11.25" customHeight="1" x14ac:dyDescent="0.25">
      <c r="A18" s="83"/>
      <c r="B18" s="83"/>
      <c r="C18" s="83"/>
      <c r="D18" s="12" t="s">
        <v>31</v>
      </c>
      <c r="E18" s="12" t="s">
        <v>25</v>
      </c>
      <c r="F18" s="12" t="s">
        <v>25</v>
      </c>
      <c r="G18" s="13" t="s">
        <v>108</v>
      </c>
      <c r="H18" s="13" t="s">
        <v>102</v>
      </c>
      <c r="I18" s="13">
        <f>SUMIF(Mercado_Receita!$T$2:$T$2216,"44409B1Energia convencional pré-pagamentoResidencialResidencial baixa renda – faixa 03Não se aplicaNão se aplicaNão se aplica",Mercado_Receita!$N$2:$N$2216)</f>
        <v>0</v>
      </c>
      <c r="J18" s="13">
        <f>SUMIF(Mercado_Receita!$T$2:$T$2216,"44440B1Energia convencional pré-pagamentoResidencialResidencial baixa renda – faixa 03Não se aplicaNão se aplicaNão se aplica",Mercado_Receita!$N$2:$N$2216)</f>
        <v>0</v>
      </c>
      <c r="K18" s="13">
        <f>SUMIF(Mercado_Receita!$T$2:$T$2216,"44470B1Energia convencional pré-pagamentoResidencialResidencial baixa renda – faixa 03Não se aplicaNão se aplicaNão se aplica",Mercado_Receita!$N$2:$N$2216)</f>
        <v>0</v>
      </c>
      <c r="L18" s="13">
        <f>SUMIF(Mercado_Receita!$T$2:$T$2216,"44501B1Energia convencional pré-pagamentoResidencialResidencial baixa renda – faixa 03Não se aplicaNão se aplicaNão se aplica",Mercado_Receita!$N$2:$N$2216)</f>
        <v>0</v>
      </c>
      <c r="M18" s="13">
        <f>SUMIF(Mercado_Receita!$T$2:$T$2216,"44531B1Energia convencional pré-pagamentoResidencialResidencial baixa renda – faixa 03Não se aplicaNão se aplicaNão se aplica",Mercado_Receita!$N$2:$N$2216)</f>
        <v>0</v>
      </c>
      <c r="N18" s="13">
        <f>SUMIF(Mercado_Receita!$T$2:$T$2216,"44562B1Energia convencional pré-pagamentoResidencialResidencial baixa renda – faixa 03Não se aplicaNão se aplicaNão se aplica",Mercado_Receita!$N$2:$N$2216)</f>
        <v>0</v>
      </c>
      <c r="O18" s="13">
        <f>SUMIF(Mercado_Receita!$T$2:$T$2216,"44593B1Energia convencional pré-pagamentoResidencialResidencial baixa renda – faixa 03Não se aplicaNão se aplicaNão se aplica",Mercado_Receita!$N$2:$N$2216)</f>
        <v>0</v>
      </c>
      <c r="P18" s="13">
        <f>SUMIF(Mercado_Receita!$T$2:$T$2216,"44621B1Energia convencional pré-pagamentoResidencialResidencial baixa renda – faixa 03Não se aplicaNão se aplicaNão se aplica",Mercado_Receita!$N$2:$N$2216)</f>
        <v>0</v>
      </c>
      <c r="Q18" s="13">
        <f>SUMIF(Mercado_Receita!$T$2:$T$2216,"44652B1Energia convencional pré-pagamentoResidencialResidencial baixa renda – faixa 03Não se aplicaNão se aplicaNão se aplica",Mercado_Receita!$N$2:$N$2216)</f>
        <v>0</v>
      </c>
      <c r="R18" s="13">
        <f>SUMIF(Mercado_Receita!$T$2:$T$2216,"44682B1Energia convencional pré-pagamentoResidencialResidencial baixa renda – faixa 03Não se aplicaNão se aplicaNão se aplica",Mercado_Receita!$N$2:$N$2216)</f>
        <v>0</v>
      </c>
      <c r="S18" s="13">
        <f>SUMIF(Mercado_Receita!$T$2:$T$2216,"44713B1Energia convencional pré-pagamentoResidencialResidencial baixa renda – faixa 03Não se aplicaNão se aplicaNão se aplica",Mercado_Receita!$N$2:$N$2216)</f>
        <v>0</v>
      </c>
      <c r="T18" s="13">
        <f>SUMIF(Mercado_Receita!$T$2:$T$2216,"44743B1Energia convencional pré-pagamentoResidencialResidencial baixa renda – faixa 03Não se aplicaNão se aplicaNão se aplica",Mercado_Receita!$N$2:$N$2216)</f>
        <v>0</v>
      </c>
      <c r="U18" s="13">
        <f t="shared" si="0"/>
        <v>0</v>
      </c>
      <c r="V18" s="13"/>
      <c r="W18" s="13"/>
    </row>
    <row r="19" spans="1:23" ht="11.25" customHeight="1" x14ac:dyDescent="0.25">
      <c r="A19" s="83"/>
      <c r="B19" s="83"/>
      <c r="C19" s="83"/>
      <c r="D19" s="12" t="s">
        <v>32</v>
      </c>
      <c r="E19" s="12" t="s">
        <v>25</v>
      </c>
      <c r="F19" s="12" t="s">
        <v>25</v>
      </c>
      <c r="G19" s="13" t="s">
        <v>108</v>
      </c>
      <c r="H19" s="13" t="s">
        <v>102</v>
      </c>
      <c r="I19" s="13">
        <f>SUMIF(Mercado_Receita!$T$2:$T$2216,"44409B1Energia convencional pré-pagamentoResidencialResidencial baixa renda – faixa 04Não se aplicaNão se aplicaNão se aplica",Mercado_Receita!$N$2:$N$2216)</f>
        <v>0</v>
      </c>
      <c r="J19" s="13">
        <f>SUMIF(Mercado_Receita!$T$2:$T$2216,"44440B1Energia convencional pré-pagamentoResidencialResidencial baixa renda – faixa 04Não se aplicaNão se aplicaNão se aplica",Mercado_Receita!$N$2:$N$2216)</f>
        <v>0</v>
      </c>
      <c r="K19" s="13">
        <f>SUMIF(Mercado_Receita!$T$2:$T$2216,"44470B1Energia convencional pré-pagamentoResidencialResidencial baixa renda – faixa 04Não se aplicaNão se aplicaNão se aplica",Mercado_Receita!$N$2:$N$2216)</f>
        <v>0</v>
      </c>
      <c r="L19" s="13">
        <f>SUMIF(Mercado_Receita!$T$2:$T$2216,"44501B1Energia convencional pré-pagamentoResidencialResidencial baixa renda – faixa 04Não se aplicaNão se aplicaNão se aplica",Mercado_Receita!$N$2:$N$2216)</f>
        <v>0</v>
      </c>
      <c r="M19" s="13">
        <f>SUMIF(Mercado_Receita!$T$2:$T$2216,"44531B1Energia convencional pré-pagamentoResidencialResidencial baixa renda – faixa 04Não se aplicaNão se aplicaNão se aplica",Mercado_Receita!$N$2:$N$2216)</f>
        <v>0</v>
      </c>
      <c r="N19" s="13">
        <f>SUMIF(Mercado_Receita!$T$2:$T$2216,"44562B1Energia convencional pré-pagamentoResidencialResidencial baixa renda – faixa 04Não se aplicaNão se aplicaNão se aplica",Mercado_Receita!$N$2:$N$2216)</f>
        <v>0</v>
      </c>
      <c r="O19" s="13">
        <f>SUMIF(Mercado_Receita!$T$2:$T$2216,"44593B1Energia convencional pré-pagamentoResidencialResidencial baixa renda – faixa 04Não se aplicaNão se aplicaNão se aplica",Mercado_Receita!$N$2:$N$2216)</f>
        <v>0</v>
      </c>
      <c r="P19" s="13">
        <f>SUMIF(Mercado_Receita!$T$2:$T$2216,"44621B1Energia convencional pré-pagamentoResidencialResidencial baixa renda – faixa 04Não se aplicaNão se aplicaNão se aplica",Mercado_Receita!$N$2:$N$2216)</f>
        <v>0</v>
      </c>
      <c r="Q19" s="13">
        <f>SUMIF(Mercado_Receita!$T$2:$T$2216,"44652B1Energia convencional pré-pagamentoResidencialResidencial baixa renda – faixa 04Não se aplicaNão se aplicaNão se aplica",Mercado_Receita!$N$2:$N$2216)</f>
        <v>0</v>
      </c>
      <c r="R19" s="13">
        <f>SUMIF(Mercado_Receita!$T$2:$T$2216,"44682B1Energia convencional pré-pagamentoResidencialResidencial baixa renda – faixa 04Não se aplicaNão se aplicaNão se aplica",Mercado_Receita!$N$2:$N$2216)</f>
        <v>0</v>
      </c>
      <c r="S19" s="13">
        <f>SUMIF(Mercado_Receita!$T$2:$T$2216,"44713B1Energia convencional pré-pagamentoResidencialResidencial baixa renda – faixa 04Não se aplicaNão se aplicaNão se aplica",Mercado_Receita!$N$2:$N$2216)</f>
        <v>0</v>
      </c>
      <c r="T19" s="13">
        <f>SUMIF(Mercado_Receita!$T$2:$T$2216,"44743B1Energia convencional pré-pagamentoResidencialResidencial baixa renda – faixa 04Não se aplicaNão se aplicaNão se aplica",Mercado_Receita!$N$2:$N$2216)</f>
        <v>0</v>
      </c>
      <c r="U19" s="13">
        <f t="shared" si="0"/>
        <v>0</v>
      </c>
      <c r="V19" s="13"/>
      <c r="W19" s="13"/>
    </row>
    <row r="20" spans="1:23" ht="11.25" customHeight="1" x14ac:dyDescent="0.25">
      <c r="A20" s="82" t="s">
        <v>44</v>
      </c>
      <c r="B20" s="82" t="s">
        <v>101</v>
      </c>
      <c r="C20" s="82" t="s">
        <v>45</v>
      </c>
      <c r="D20" s="82" t="s">
        <v>25</v>
      </c>
      <c r="E20" s="82" t="s">
        <v>25</v>
      </c>
      <c r="F20" s="82" t="s">
        <v>25</v>
      </c>
      <c r="G20" s="13" t="s">
        <v>103</v>
      </c>
      <c r="H20" s="13" t="s">
        <v>102</v>
      </c>
      <c r="I20" s="13">
        <f>SUMIF(Mercado_Receita!$T$2:$T$2216,"44409B2Energia horáriaRuralNão se aplicaNão se aplicaNão se aplicaPonta",Mercado_Receita!$N$2:$N$2216)</f>
        <v>0.37</v>
      </c>
      <c r="J20" s="13">
        <f>SUMIF(Mercado_Receita!$T$2:$T$2216,"44440B2Energia horáriaRuralNão se aplicaNão se aplicaNão se aplicaPonta",Mercado_Receita!$N$2:$N$2216)</f>
        <v>0.40400000000000003</v>
      </c>
      <c r="K20" s="13">
        <f>SUMIF(Mercado_Receita!$T$2:$T$2216,"44470B2Energia horáriaRuralNão se aplicaNão se aplicaNão se aplicaPonta",Mercado_Receita!$N$2:$N$2216)</f>
        <v>0.36799999999999999</v>
      </c>
      <c r="L20" s="13">
        <f>SUMIF(Mercado_Receita!$T$2:$T$2216,"44501B2Energia horáriaRuralNão se aplicaNão se aplicaNão se aplicaPonta",Mercado_Receita!$N$2:$N$2216)</f>
        <v>0.45699999999999996</v>
      </c>
      <c r="M20" s="13">
        <f>SUMIF(Mercado_Receita!$T$2:$T$2216,"44531B2Energia horáriaRuralNão se aplicaNão se aplicaNão se aplicaPonta",Mercado_Receita!$N$2:$N$2216)</f>
        <v>0.379</v>
      </c>
      <c r="N20" s="13">
        <f>SUMIF(Mercado_Receita!$T$2:$T$2216,"44562B2Energia horáriaRuralNão se aplicaNão se aplicaNão se aplicaPonta",Mercado_Receita!$N$2:$N$2216)</f>
        <v>0.53300000000000003</v>
      </c>
      <c r="O20" s="13">
        <f>SUMIF(Mercado_Receita!$T$2:$T$2216,"44593B2Energia horáriaRuralNão se aplicaNão se aplicaNão se aplicaPonta",Mercado_Receita!$N$2:$N$2216)</f>
        <v>0.312</v>
      </c>
      <c r="P20" s="13">
        <f>SUMIF(Mercado_Receita!$T$2:$T$2216,"44621B2Energia horáriaRuralNão se aplicaNão se aplicaNão se aplicaPonta",Mercado_Receita!$N$2:$N$2216)</f>
        <v>0.23499999999999999</v>
      </c>
      <c r="Q20" s="13">
        <f>SUMIF(Mercado_Receita!$T$2:$T$2216,"44652B2Energia horáriaRuralNão se aplicaNão se aplicaNão se aplicaPonta",Mercado_Receita!$N$2:$N$2216)</f>
        <v>0.216</v>
      </c>
      <c r="R20" s="13">
        <f>SUMIF(Mercado_Receita!$T$2:$T$2216,"44682B2Energia horáriaRuralNão se aplicaNão se aplicaNão se aplicaPonta",Mercado_Receita!$N$2:$N$2216)</f>
        <v>0.23499999999999999</v>
      </c>
      <c r="S20" s="13">
        <f>SUMIF(Mercado_Receita!$T$2:$T$2216,"44713B2Energia horáriaRuralNão se aplicaNão se aplicaNão se aplicaPonta",Mercado_Receita!$N$2:$N$2216)</f>
        <v>0.218</v>
      </c>
      <c r="T20" s="13">
        <f>SUMIF(Mercado_Receita!$T$2:$T$2216,"44743B2Energia horáriaRuralNão se aplicaNão se aplicaNão se aplicaPonta",Mercado_Receita!$N$2:$N$2216)</f>
        <v>0.218</v>
      </c>
      <c r="U20" s="13">
        <f t="shared" si="0"/>
        <v>3.9449999999999994</v>
      </c>
      <c r="V20" s="13"/>
      <c r="W20" s="13"/>
    </row>
    <row r="21" spans="1:23" ht="11.25" customHeight="1" x14ac:dyDescent="0.25">
      <c r="A21" s="83"/>
      <c r="B21" s="83"/>
      <c r="C21" s="83"/>
      <c r="D21" s="83"/>
      <c r="E21" s="83"/>
      <c r="F21" s="83"/>
      <c r="G21" s="13" t="s">
        <v>113</v>
      </c>
      <c r="H21" s="13" t="s">
        <v>102</v>
      </c>
      <c r="I21" s="13">
        <f>SUMIF(Mercado_Receita!$T$2:$T$2216,"44409B2Energia horáriaRuralNão se aplicaNão se aplicaNão se aplicaIntermediário",Mercado_Receita!$N$2:$N$2216)</f>
        <v>0.43</v>
      </c>
      <c r="J21" s="13">
        <f>SUMIF(Mercado_Receita!$T$2:$T$2216,"44440B2Energia horáriaRuralNão se aplicaNão se aplicaNão se aplicaIntermediário",Mercado_Receita!$N$2:$N$2216)</f>
        <v>0.621</v>
      </c>
      <c r="K21" s="13">
        <f>SUMIF(Mercado_Receita!$T$2:$T$2216,"44470B2Energia horáriaRuralNão se aplicaNão se aplicaNão se aplicaIntermediário",Mercado_Receita!$N$2:$N$2216)</f>
        <v>0.439</v>
      </c>
      <c r="L21" s="13">
        <f>SUMIF(Mercado_Receita!$T$2:$T$2216,"44501B2Energia horáriaRuralNão se aplicaNão se aplicaNão se aplicaIntermediário",Mercado_Receita!$N$2:$N$2216)</f>
        <v>0.6</v>
      </c>
      <c r="M21" s="13">
        <f>SUMIF(Mercado_Receita!$T$2:$T$2216,"44531B2Energia horáriaRuralNão se aplicaNão se aplicaNão se aplicaIntermediário",Mercado_Receita!$N$2:$N$2216)</f>
        <v>0.52800000000000002</v>
      </c>
      <c r="N21" s="13">
        <f>SUMIF(Mercado_Receita!$T$2:$T$2216,"44562B2Energia horáriaRuralNão se aplicaNão se aplicaNão se aplicaIntermediário",Mercado_Receita!$N$2:$N$2216)</f>
        <v>0.53100000000000003</v>
      </c>
      <c r="O21" s="13">
        <f>SUMIF(Mercado_Receita!$T$2:$T$2216,"44593B2Energia horáriaRuralNão se aplicaNão se aplicaNão se aplicaIntermediário",Mercado_Receita!$N$2:$N$2216)</f>
        <v>0.34799999999999998</v>
      </c>
      <c r="P21" s="13">
        <f>SUMIF(Mercado_Receita!$T$2:$T$2216,"44621B2Energia horáriaRuralNão se aplicaNão se aplicaNão se aplicaIntermediário",Mercado_Receita!$N$2:$N$2216)</f>
        <v>0.16300000000000001</v>
      </c>
      <c r="Q21" s="13">
        <f>SUMIF(Mercado_Receita!$T$2:$T$2216,"44652B2Energia horáriaRuralNão se aplicaNão se aplicaNão se aplicaIntermediário",Mercado_Receita!$N$2:$N$2216)</f>
        <v>0.14199999999999999</v>
      </c>
      <c r="R21" s="13">
        <f>SUMIF(Mercado_Receita!$T$2:$T$2216,"44682B2Energia horáriaRuralNão se aplicaNão se aplicaNão se aplicaIntermediário",Mercado_Receita!$N$2:$N$2216)</f>
        <v>0.154</v>
      </c>
      <c r="S21" s="13">
        <f>SUMIF(Mercado_Receita!$T$2:$T$2216,"44713B2Energia horáriaRuralNão se aplicaNão se aplicaNão se aplicaIntermediário",Mercado_Receita!$N$2:$N$2216)</f>
        <v>0.14000000000000001</v>
      </c>
      <c r="T21" s="13">
        <f>SUMIF(Mercado_Receita!$T$2:$T$2216,"44743B2Energia horáriaRuralNão se aplicaNão se aplicaNão se aplicaIntermediário",Mercado_Receita!$N$2:$N$2216)</f>
        <v>0.14000000000000001</v>
      </c>
      <c r="U21" s="13">
        <f t="shared" si="0"/>
        <v>4.2359999999999989</v>
      </c>
      <c r="V21" s="13"/>
      <c r="W21" s="13"/>
    </row>
    <row r="22" spans="1:23" ht="11.25" customHeight="1" x14ac:dyDescent="0.25">
      <c r="A22" s="83"/>
      <c r="B22" s="83"/>
      <c r="C22" s="83"/>
      <c r="D22" s="83"/>
      <c r="E22" s="83"/>
      <c r="F22" s="83"/>
      <c r="G22" s="13" t="s">
        <v>104</v>
      </c>
      <c r="H22" s="13" t="s">
        <v>102</v>
      </c>
      <c r="I22" s="13">
        <f>SUMIF(Mercado_Receita!$T$2:$T$2216,"44409B2Energia horáriaRuralNão se aplicaNão se aplicaNão se aplicaFora ponta",Mercado_Receita!$N$2:$N$2216)</f>
        <v>12.946</v>
      </c>
      <c r="J22" s="13">
        <f>SUMIF(Mercado_Receita!$T$2:$T$2216,"44440B2Energia horáriaRuralNão se aplicaNão se aplicaNão se aplicaFora ponta",Mercado_Receita!$N$2:$N$2216)</f>
        <v>17.757999999999999</v>
      </c>
      <c r="K22" s="13">
        <f>SUMIF(Mercado_Receita!$T$2:$T$2216,"44470B2Energia horáriaRuralNão se aplicaNão se aplicaNão se aplicaFora ponta",Mercado_Receita!$N$2:$N$2216)</f>
        <v>14.688000000000001</v>
      </c>
      <c r="L22" s="13">
        <f>SUMIF(Mercado_Receita!$T$2:$T$2216,"44501B2Energia horáriaRuralNão se aplicaNão se aplicaNão se aplicaFora ponta",Mercado_Receita!$N$2:$N$2216)</f>
        <v>16.554000000000002</v>
      </c>
      <c r="M22" s="13">
        <f>SUMIF(Mercado_Receita!$T$2:$T$2216,"44531B2Energia horáriaRuralNão se aplicaNão se aplicaNão se aplicaFora ponta",Mercado_Receita!$N$2:$N$2216)</f>
        <v>12.581</v>
      </c>
      <c r="N22" s="13">
        <f>SUMIF(Mercado_Receita!$T$2:$T$2216,"44562B2Energia horáriaRuralNão se aplicaNão se aplicaNão se aplicaFora ponta",Mercado_Receita!$N$2:$N$2216)</f>
        <v>10.922000000000001</v>
      </c>
      <c r="O22" s="13">
        <f>SUMIF(Mercado_Receita!$T$2:$T$2216,"44593B2Energia horáriaRuralNão se aplicaNão se aplicaNão se aplicaFora ponta",Mercado_Receita!$N$2:$N$2216)</f>
        <v>6.39</v>
      </c>
      <c r="P22" s="13">
        <f>SUMIF(Mercado_Receita!$T$2:$T$2216,"44621B2Energia horáriaRuralNão se aplicaNão se aplicaNão se aplicaFora ponta",Mercado_Receita!$N$2:$N$2216)</f>
        <v>3.0859999999999999</v>
      </c>
      <c r="Q22" s="13">
        <f>SUMIF(Mercado_Receita!$T$2:$T$2216,"44652B2Energia horáriaRuralNão se aplicaNão se aplicaNão se aplicaFora ponta",Mercado_Receita!$N$2:$N$2216)</f>
        <v>2.5569999999999999</v>
      </c>
      <c r="R22" s="13">
        <f>SUMIF(Mercado_Receita!$T$2:$T$2216,"44682B2Energia horáriaRuralNão se aplicaNão se aplicaNão se aplicaFora ponta",Mercado_Receita!$N$2:$N$2216)</f>
        <v>3.3130000000000002</v>
      </c>
      <c r="S22" s="13">
        <f>SUMIF(Mercado_Receita!$T$2:$T$2216,"44713B2Energia horáriaRuralNão se aplicaNão se aplicaNão se aplicaFora ponta",Mercado_Receita!$N$2:$N$2216)</f>
        <v>2.52</v>
      </c>
      <c r="T22" s="13">
        <f>SUMIF(Mercado_Receita!$T$2:$T$2216,"44743B2Energia horáriaRuralNão se aplicaNão se aplicaNão se aplicaFora ponta",Mercado_Receita!$N$2:$N$2216)</f>
        <v>2.52</v>
      </c>
      <c r="U22" s="13">
        <f t="shared" si="0"/>
        <v>105.83499999999999</v>
      </c>
      <c r="V22" s="13"/>
      <c r="W22" s="13"/>
    </row>
    <row r="23" spans="1:23" ht="11.25" customHeight="1" x14ac:dyDescent="0.25">
      <c r="A23" s="83"/>
      <c r="B23" s="12" t="s">
        <v>109</v>
      </c>
      <c r="C23" s="12" t="s">
        <v>45</v>
      </c>
      <c r="D23" s="12" t="s">
        <v>25</v>
      </c>
      <c r="E23" s="12" t="s">
        <v>25</v>
      </c>
      <c r="F23" s="12" t="s">
        <v>25</v>
      </c>
      <c r="G23" s="13" t="s">
        <v>108</v>
      </c>
      <c r="H23" s="13" t="s">
        <v>102</v>
      </c>
      <c r="I23" s="13">
        <f>SUMIF(Mercado_Receita!$T$2:$T$2216,"44409B2Energia convencionalRuralNão se aplicaNão se aplicaNão se aplicaNão se aplica",Mercado_Receita!$N$2:$N$2216)</f>
        <v>23242.507000000001</v>
      </c>
      <c r="J23" s="13">
        <f>SUMIF(Mercado_Receita!$T$2:$T$2216,"44440B2Energia convencionalRuralNão se aplicaNão se aplicaNão se aplicaNão se aplica",Mercado_Receita!$N$2:$N$2216)</f>
        <v>24232.879999999997</v>
      </c>
      <c r="K23" s="13">
        <f>SUMIF(Mercado_Receita!$T$2:$T$2216,"44470B2Energia convencionalRuralNão se aplicaNão se aplicaNão se aplicaNão se aplica",Mercado_Receita!$N$2:$N$2216)</f>
        <v>26578.581000000002</v>
      </c>
      <c r="L23" s="13">
        <f>SUMIF(Mercado_Receita!$T$2:$T$2216,"44501B2Energia convencionalRuralNão se aplicaNão se aplicaNão se aplicaNão se aplica",Mercado_Receita!$N$2:$N$2216)</f>
        <v>26705.179</v>
      </c>
      <c r="M23" s="13">
        <f>SUMIF(Mercado_Receita!$T$2:$T$2216,"44531B2Energia convencionalRuralNão se aplicaNão se aplicaNão se aplicaNão se aplica",Mercado_Receita!$N$2:$N$2216)</f>
        <v>28475.592000000001</v>
      </c>
      <c r="N23" s="13">
        <f>SUMIF(Mercado_Receita!$T$2:$T$2216,"44562B2Energia convencionalRuralNão se aplicaNão se aplicaNão se aplicaNão se aplica",Mercado_Receita!$N$2:$N$2216)</f>
        <v>21793.361000000001</v>
      </c>
      <c r="O23" s="13">
        <f>SUMIF(Mercado_Receita!$T$2:$T$2216,"44593B2Energia convencionalRuralNão se aplicaNão se aplicaNão se aplicaNão se aplica",Mercado_Receita!$N$2:$N$2216)</f>
        <v>17139.688999999998</v>
      </c>
      <c r="P23" s="13">
        <f>SUMIF(Mercado_Receita!$T$2:$T$2216,"44621B2Energia convencionalRuralNão se aplicaNão se aplicaNão se aplicaNão se aplica",Mercado_Receita!$N$2:$N$2216)</f>
        <v>19007.828000000001</v>
      </c>
      <c r="Q23" s="13">
        <f>SUMIF(Mercado_Receita!$T$2:$T$2216,"44652B2Energia convencionalRuralNão se aplicaNão se aplicaNão se aplicaNão se aplica",Mercado_Receita!$N$2:$N$2216)</f>
        <v>17209.969999999998</v>
      </c>
      <c r="R23" s="13">
        <f>SUMIF(Mercado_Receita!$T$2:$T$2216,"44682B2Energia convencionalRuralNão se aplicaNão se aplicaNão se aplicaNão se aplica",Mercado_Receita!$N$2:$N$2216)</f>
        <v>17072.763999999999</v>
      </c>
      <c r="S23" s="13">
        <f>SUMIF(Mercado_Receita!$T$2:$T$2216,"44713B2Energia convencionalRuralNão se aplicaNão se aplicaNão se aplicaNão se aplica",Mercado_Receita!$N$2:$N$2216)</f>
        <v>15137.084999999999</v>
      </c>
      <c r="T23" s="13">
        <f>SUMIF(Mercado_Receita!$T$2:$T$2216,"44743B2Energia convencionalRuralNão se aplicaNão se aplicaNão se aplicaNão se aplica",Mercado_Receita!$N$2:$N$2216)</f>
        <v>15137.084999999999</v>
      </c>
      <c r="U23" s="13">
        <f t="shared" si="0"/>
        <v>251732.52099999998</v>
      </c>
      <c r="V23" s="13"/>
      <c r="W23" s="13"/>
    </row>
    <row r="24" spans="1:23" ht="11.25" customHeight="1" x14ac:dyDescent="0.25">
      <c r="A24" s="83"/>
      <c r="B24" s="82" t="s">
        <v>101</v>
      </c>
      <c r="C24" s="82" t="s">
        <v>45</v>
      </c>
      <c r="D24" s="82" t="s">
        <v>116</v>
      </c>
      <c r="E24" s="82" t="s">
        <v>25</v>
      </c>
      <c r="F24" s="82" t="s">
        <v>25</v>
      </c>
      <c r="G24" s="13" t="s">
        <v>103</v>
      </c>
      <c r="H24" s="13" t="s">
        <v>102</v>
      </c>
      <c r="I24" s="13">
        <f>SUMIF(Mercado_Receita!$T$2:$T$2216,"44409B2Energia horáriaRuralCooperativa de eletrificação ruralNão se aplicaNão se aplicaPonta",Mercado_Receita!$N$2:$N$2216)</f>
        <v>0</v>
      </c>
      <c r="J24" s="13">
        <f>SUMIF(Mercado_Receita!$T$2:$T$2216,"44440B2Energia horáriaRuralCooperativa de eletrificação ruralNão se aplicaNão se aplicaPonta",Mercado_Receita!$N$2:$N$2216)</f>
        <v>0</v>
      </c>
      <c r="K24" s="13">
        <f>SUMIF(Mercado_Receita!$T$2:$T$2216,"44470B2Energia horáriaRuralCooperativa de eletrificação ruralNão se aplicaNão se aplicaPonta",Mercado_Receita!$N$2:$N$2216)</f>
        <v>0</v>
      </c>
      <c r="L24" s="13">
        <f>SUMIF(Mercado_Receita!$T$2:$T$2216,"44501B2Energia horáriaRuralCooperativa de eletrificação ruralNão se aplicaNão se aplicaPonta",Mercado_Receita!$N$2:$N$2216)</f>
        <v>0</v>
      </c>
      <c r="M24" s="13">
        <f>SUMIF(Mercado_Receita!$T$2:$T$2216,"44531B2Energia horáriaRuralCooperativa de eletrificação ruralNão se aplicaNão se aplicaPonta",Mercado_Receita!$N$2:$N$2216)</f>
        <v>0</v>
      </c>
      <c r="N24" s="13">
        <f>SUMIF(Mercado_Receita!$T$2:$T$2216,"44562B2Energia horáriaRuralCooperativa de eletrificação ruralNão se aplicaNão se aplicaPonta",Mercado_Receita!$N$2:$N$2216)</f>
        <v>0</v>
      </c>
      <c r="O24" s="13">
        <f>SUMIF(Mercado_Receita!$T$2:$T$2216,"44593B2Energia horáriaRuralCooperativa de eletrificação ruralNão se aplicaNão se aplicaPonta",Mercado_Receita!$N$2:$N$2216)</f>
        <v>0</v>
      </c>
      <c r="P24" s="13">
        <f>SUMIF(Mercado_Receita!$T$2:$T$2216,"44621B2Energia horáriaRuralCooperativa de eletrificação ruralNão se aplicaNão se aplicaPonta",Mercado_Receita!$N$2:$N$2216)</f>
        <v>0</v>
      </c>
      <c r="Q24" s="13">
        <f>SUMIF(Mercado_Receita!$T$2:$T$2216,"44652B2Energia horáriaRuralCooperativa de eletrificação ruralNão se aplicaNão se aplicaPonta",Mercado_Receita!$N$2:$N$2216)</f>
        <v>0</v>
      </c>
      <c r="R24" s="13">
        <f>SUMIF(Mercado_Receita!$T$2:$T$2216,"44682B2Energia horáriaRuralCooperativa de eletrificação ruralNão se aplicaNão se aplicaPonta",Mercado_Receita!$N$2:$N$2216)</f>
        <v>0</v>
      </c>
      <c r="S24" s="13">
        <f>SUMIF(Mercado_Receita!$T$2:$T$2216,"44713B2Energia horáriaRuralCooperativa de eletrificação ruralNão se aplicaNão se aplicaPonta",Mercado_Receita!$N$2:$N$2216)</f>
        <v>0</v>
      </c>
      <c r="T24" s="13">
        <f>SUMIF(Mercado_Receita!$T$2:$T$2216,"44743B2Energia horáriaRuralCooperativa de eletrificação ruralNão se aplicaNão se aplicaPonta",Mercado_Receita!$N$2:$N$2216)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83"/>
      <c r="B25" s="83"/>
      <c r="C25" s="83"/>
      <c r="D25" s="83"/>
      <c r="E25" s="83"/>
      <c r="F25" s="83"/>
      <c r="G25" s="13" t="s">
        <v>113</v>
      </c>
      <c r="H25" s="13" t="s">
        <v>102</v>
      </c>
      <c r="I25" s="13">
        <f>SUMIF(Mercado_Receita!$T$2:$T$2216,"44409B2Energia horáriaRuralCooperativa de eletrificação ruralNão se aplicaNão se aplicaIntermediário",Mercado_Receita!$N$2:$N$2216)</f>
        <v>0</v>
      </c>
      <c r="J25" s="13">
        <f>SUMIF(Mercado_Receita!$T$2:$T$2216,"44440B2Energia horáriaRuralCooperativa de eletrificação ruralNão se aplicaNão se aplicaIntermediário",Mercado_Receita!$N$2:$N$2216)</f>
        <v>0</v>
      </c>
      <c r="K25" s="13">
        <f>SUMIF(Mercado_Receita!$T$2:$T$2216,"44470B2Energia horáriaRuralCooperativa de eletrificação ruralNão se aplicaNão se aplicaIntermediário",Mercado_Receita!$N$2:$N$2216)</f>
        <v>0</v>
      </c>
      <c r="L25" s="13">
        <f>SUMIF(Mercado_Receita!$T$2:$T$2216,"44501B2Energia horáriaRuralCooperativa de eletrificação ruralNão se aplicaNão se aplicaIntermediário",Mercado_Receita!$N$2:$N$2216)</f>
        <v>0</v>
      </c>
      <c r="M25" s="13">
        <f>SUMIF(Mercado_Receita!$T$2:$T$2216,"44531B2Energia horáriaRuralCooperativa de eletrificação ruralNão se aplicaNão se aplicaIntermediário",Mercado_Receita!$N$2:$N$2216)</f>
        <v>0</v>
      </c>
      <c r="N25" s="13">
        <f>SUMIF(Mercado_Receita!$T$2:$T$2216,"44562B2Energia horáriaRuralCooperativa de eletrificação ruralNão se aplicaNão se aplicaIntermediário",Mercado_Receita!$N$2:$N$2216)</f>
        <v>0</v>
      </c>
      <c r="O25" s="13">
        <f>SUMIF(Mercado_Receita!$T$2:$T$2216,"44593B2Energia horáriaRuralCooperativa de eletrificação ruralNão se aplicaNão se aplicaIntermediário",Mercado_Receita!$N$2:$N$2216)</f>
        <v>0</v>
      </c>
      <c r="P25" s="13">
        <f>SUMIF(Mercado_Receita!$T$2:$T$2216,"44621B2Energia horáriaRuralCooperativa de eletrificação ruralNão se aplicaNão se aplicaIntermediário",Mercado_Receita!$N$2:$N$2216)</f>
        <v>0</v>
      </c>
      <c r="Q25" s="13">
        <f>SUMIF(Mercado_Receita!$T$2:$T$2216,"44652B2Energia horáriaRuralCooperativa de eletrificação ruralNão se aplicaNão se aplicaIntermediário",Mercado_Receita!$N$2:$N$2216)</f>
        <v>0</v>
      </c>
      <c r="R25" s="13">
        <f>SUMIF(Mercado_Receita!$T$2:$T$2216,"44682B2Energia horáriaRuralCooperativa de eletrificação ruralNão se aplicaNão se aplicaIntermediário",Mercado_Receita!$N$2:$N$2216)</f>
        <v>0</v>
      </c>
      <c r="S25" s="13">
        <f>SUMIF(Mercado_Receita!$T$2:$T$2216,"44713B2Energia horáriaRuralCooperativa de eletrificação ruralNão se aplicaNão se aplicaIntermediário",Mercado_Receita!$N$2:$N$2216)</f>
        <v>0</v>
      </c>
      <c r="T25" s="13">
        <f>SUMIF(Mercado_Receita!$T$2:$T$2216,"44743B2Energia horáriaRuralCooperativa de eletrificação ruralNão se aplicaNão se aplicaIntermediário",Mercado_Receita!$N$2:$N$2216)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83"/>
      <c r="B26" s="83"/>
      <c r="C26" s="83"/>
      <c r="D26" s="83"/>
      <c r="E26" s="83"/>
      <c r="F26" s="83"/>
      <c r="G26" s="13" t="s">
        <v>104</v>
      </c>
      <c r="H26" s="13" t="s">
        <v>102</v>
      </c>
      <c r="I26" s="13">
        <f>SUMIF(Mercado_Receita!$T$2:$T$2216,"44409B2Energia horáriaRuralCooperativa de eletrificação ruralNão se aplicaNão se aplicaFora ponta",Mercado_Receita!$N$2:$N$2216)</f>
        <v>0</v>
      </c>
      <c r="J26" s="13">
        <f>SUMIF(Mercado_Receita!$T$2:$T$2216,"44440B2Energia horáriaRuralCooperativa de eletrificação ruralNão se aplicaNão se aplicaFora ponta",Mercado_Receita!$N$2:$N$2216)</f>
        <v>0</v>
      </c>
      <c r="K26" s="13">
        <f>SUMIF(Mercado_Receita!$T$2:$T$2216,"44470B2Energia horáriaRuralCooperativa de eletrificação ruralNão se aplicaNão se aplicaFora ponta",Mercado_Receita!$N$2:$N$2216)</f>
        <v>0</v>
      </c>
      <c r="L26" s="13">
        <f>SUMIF(Mercado_Receita!$T$2:$T$2216,"44501B2Energia horáriaRuralCooperativa de eletrificação ruralNão se aplicaNão se aplicaFora ponta",Mercado_Receita!$N$2:$N$2216)</f>
        <v>0</v>
      </c>
      <c r="M26" s="13">
        <f>SUMIF(Mercado_Receita!$T$2:$T$2216,"44531B2Energia horáriaRuralCooperativa de eletrificação ruralNão se aplicaNão se aplicaFora ponta",Mercado_Receita!$N$2:$N$2216)</f>
        <v>0</v>
      </c>
      <c r="N26" s="13">
        <f>SUMIF(Mercado_Receita!$T$2:$T$2216,"44562B2Energia horáriaRuralCooperativa de eletrificação ruralNão se aplicaNão se aplicaFora ponta",Mercado_Receita!$N$2:$N$2216)</f>
        <v>0</v>
      </c>
      <c r="O26" s="13">
        <f>SUMIF(Mercado_Receita!$T$2:$T$2216,"44593B2Energia horáriaRuralCooperativa de eletrificação ruralNão se aplicaNão se aplicaFora ponta",Mercado_Receita!$N$2:$N$2216)</f>
        <v>0</v>
      </c>
      <c r="P26" s="13">
        <f>SUMIF(Mercado_Receita!$T$2:$T$2216,"44621B2Energia horáriaRuralCooperativa de eletrificação ruralNão se aplicaNão se aplicaFora ponta",Mercado_Receita!$N$2:$N$2216)</f>
        <v>0</v>
      </c>
      <c r="Q26" s="13">
        <f>SUMIF(Mercado_Receita!$T$2:$T$2216,"44652B2Energia horáriaRuralCooperativa de eletrificação ruralNão se aplicaNão se aplicaFora ponta",Mercado_Receita!$N$2:$N$2216)</f>
        <v>0</v>
      </c>
      <c r="R26" s="13">
        <f>SUMIF(Mercado_Receita!$T$2:$T$2216,"44682B2Energia horáriaRuralCooperativa de eletrificação ruralNão se aplicaNão se aplicaFora ponta",Mercado_Receita!$N$2:$N$2216)</f>
        <v>0</v>
      </c>
      <c r="S26" s="13">
        <f>SUMIF(Mercado_Receita!$T$2:$T$2216,"44713B2Energia horáriaRuralCooperativa de eletrificação ruralNão se aplicaNão se aplicaFora ponta",Mercado_Receita!$N$2:$N$2216)</f>
        <v>0</v>
      </c>
      <c r="T26" s="13">
        <f>SUMIF(Mercado_Receita!$T$2:$T$2216,"44743B2Energia horáriaRuralCooperativa de eletrificação ruralNão se aplicaNão se aplicaFora ponta",Mercado_Receita!$N$2:$N$2216)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83"/>
      <c r="B27" s="12" t="s">
        <v>109</v>
      </c>
      <c r="C27" s="12" t="s">
        <v>45</v>
      </c>
      <c r="D27" s="12" t="s">
        <v>116</v>
      </c>
      <c r="E27" s="12" t="s">
        <v>25</v>
      </c>
      <c r="F27" s="12" t="s">
        <v>25</v>
      </c>
      <c r="G27" s="13" t="s">
        <v>108</v>
      </c>
      <c r="H27" s="13" t="s">
        <v>102</v>
      </c>
      <c r="I27" s="13">
        <f>SUMIF(Mercado_Receita!$T$2:$T$2216,"44409B2Energia convencionalRuralCooperativa de eletrificação ruralNão se aplicaNão se aplicaNão se aplica",Mercado_Receita!$N$2:$N$2216)</f>
        <v>0</v>
      </c>
      <c r="J27" s="13">
        <f>SUMIF(Mercado_Receita!$T$2:$T$2216,"44440B2Energia convencionalRuralCooperativa de eletrificação ruralNão se aplicaNão se aplicaNão se aplica",Mercado_Receita!$N$2:$N$2216)</f>
        <v>0</v>
      </c>
      <c r="K27" s="13">
        <f>SUMIF(Mercado_Receita!$T$2:$T$2216,"44470B2Energia convencionalRuralCooperativa de eletrificação ruralNão se aplicaNão se aplicaNão se aplica",Mercado_Receita!$N$2:$N$2216)</f>
        <v>0</v>
      </c>
      <c r="L27" s="13">
        <f>SUMIF(Mercado_Receita!$T$2:$T$2216,"44501B2Energia convencionalRuralCooperativa de eletrificação ruralNão se aplicaNão se aplicaNão se aplica",Mercado_Receita!$N$2:$N$2216)</f>
        <v>0</v>
      </c>
      <c r="M27" s="13">
        <f>SUMIF(Mercado_Receita!$T$2:$T$2216,"44531B2Energia convencionalRuralCooperativa de eletrificação ruralNão se aplicaNão se aplicaNão se aplica",Mercado_Receita!$N$2:$N$2216)</f>
        <v>0</v>
      </c>
      <c r="N27" s="13">
        <f>SUMIF(Mercado_Receita!$T$2:$T$2216,"44562B2Energia convencionalRuralCooperativa de eletrificação ruralNão se aplicaNão se aplicaNão se aplica",Mercado_Receita!$N$2:$N$2216)</f>
        <v>0</v>
      </c>
      <c r="O27" s="13">
        <f>SUMIF(Mercado_Receita!$T$2:$T$2216,"44593B2Energia convencionalRuralCooperativa de eletrificação ruralNão se aplicaNão se aplicaNão se aplica",Mercado_Receita!$N$2:$N$2216)</f>
        <v>0</v>
      </c>
      <c r="P27" s="13">
        <f>SUMIF(Mercado_Receita!$T$2:$T$2216,"44621B2Energia convencionalRuralCooperativa de eletrificação ruralNão se aplicaNão se aplicaNão se aplica",Mercado_Receita!$N$2:$N$2216)</f>
        <v>0</v>
      </c>
      <c r="Q27" s="13">
        <f>SUMIF(Mercado_Receita!$T$2:$T$2216,"44652B2Energia convencionalRuralCooperativa de eletrificação ruralNão se aplicaNão se aplicaNão se aplica",Mercado_Receita!$N$2:$N$2216)</f>
        <v>0</v>
      </c>
      <c r="R27" s="13">
        <f>SUMIF(Mercado_Receita!$T$2:$T$2216,"44682B2Energia convencionalRuralCooperativa de eletrificação ruralNão se aplicaNão se aplicaNão se aplica",Mercado_Receita!$N$2:$N$2216)</f>
        <v>0</v>
      </c>
      <c r="S27" s="13">
        <f>SUMIF(Mercado_Receita!$T$2:$T$2216,"44713B2Energia convencionalRuralCooperativa de eletrificação ruralNão se aplicaNão se aplicaNão se aplica",Mercado_Receita!$N$2:$N$2216)</f>
        <v>0</v>
      </c>
      <c r="T27" s="13">
        <f>SUMIF(Mercado_Receita!$T$2:$T$2216,"44743B2Energia convencionalRuralCooperativa de eletrificação ruralNão se aplicaNão se aplicaNão se aplica",Mercado_Receita!$N$2:$N$2216)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83"/>
      <c r="B28" s="82" t="s">
        <v>101</v>
      </c>
      <c r="C28" s="82" t="s">
        <v>45</v>
      </c>
      <c r="D28" s="82" t="s">
        <v>117</v>
      </c>
      <c r="E28" s="82" t="s">
        <v>25</v>
      </c>
      <c r="F28" s="82" t="s">
        <v>25</v>
      </c>
      <c r="G28" s="13" t="s">
        <v>103</v>
      </c>
      <c r="H28" s="13" t="s">
        <v>102</v>
      </c>
      <c r="I28" s="13">
        <f>SUMIF(Mercado_Receita!$T$2:$T$2216,"44409B2Energia horáriaRuralServiço público de irrigação ruralNão se aplicaNão se aplicaPonta",Mercado_Receita!$N$2:$N$2216)</f>
        <v>0</v>
      </c>
      <c r="J28" s="13">
        <f>SUMIF(Mercado_Receita!$T$2:$T$2216,"44440B2Energia horáriaRuralServiço público de irrigação ruralNão se aplicaNão se aplicaPonta",Mercado_Receita!$N$2:$N$2216)</f>
        <v>0</v>
      </c>
      <c r="K28" s="13">
        <f>SUMIF(Mercado_Receita!$T$2:$T$2216,"44470B2Energia horáriaRuralServiço público de irrigação ruralNão se aplicaNão se aplicaPonta",Mercado_Receita!$N$2:$N$2216)</f>
        <v>0</v>
      </c>
      <c r="L28" s="13">
        <f>SUMIF(Mercado_Receita!$T$2:$T$2216,"44501B2Energia horáriaRuralServiço público de irrigação ruralNão se aplicaNão se aplicaPonta",Mercado_Receita!$N$2:$N$2216)</f>
        <v>0</v>
      </c>
      <c r="M28" s="13">
        <f>SUMIF(Mercado_Receita!$T$2:$T$2216,"44531B2Energia horáriaRuralServiço público de irrigação ruralNão se aplicaNão se aplicaPonta",Mercado_Receita!$N$2:$N$2216)</f>
        <v>0</v>
      </c>
      <c r="N28" s="13">
        <f>SUMIF(Mercado_Receita!$T$2:$T$2216,"44562B2Energia horáriaRuralServiço público de irrigação ruralNão se aplicaNão se aplicaPonta",Mercado_Receita!$N$2:$N$2216)</f>
        <v>0</v>
      </c>
      <c r="O28" s="13">
        <f>SUMIF(Mercado_Receita!$T$2:$T$2216,"44593B2Energia horáriaRuralServiço público de irrigação ruralNão se aplicaNão se aplicaPonta",Mercado_Receita!$N$2:$N$2216)</f>
        <v>0</v>
      </c>
      <c r="P28" s="13">
        <f>SUMIF(Mercado_Receita!$T$2:$T$2216,"44621B2Energia horáriaRuralServiço público de irrigação ruralNão se aplicaNão se aplicaPonta",Mercado_Receita!$N$2:$N$2216)</f>
        <v>0</v>
      </c>
      <c r="Q28" s="13">
        <f>SUMIF(Mercado_Receita!$T$2:$T$2216,"44652B2Energia horáriaRuralServiço público de irrigação ruralNão se aplicaNão se aplicaPonta",Mercado_Receita!$N$2:$N$2216)</f>
        <v>0</v>
      </c>
      <c r="R28" s="13">
        <f>SUMIF(Mercado_Receita!$T$2:$T$2216,"44682B2Energia horáriaRuralServiço público de irrigação ruralNão se aplicaNão se aplicaPonta",Mercado_Receita!$N$2:$N$2216)</f>
        <v>0</v>
      </c>
      <c r="S28" s="13">
        <f>SUMIF(Mercado_Receita!$T$2:$T$2216,"44713B2Energia horáriaRuralServiço público de irrigação ruralNão se aplicaNão se aplicaPonta",Mercado_Receita!$N$2:$N$2216)</f>
        <v>0</v>
      </c>
      <c r="T28" s="13">
        <f>SUMIF(Mercado_Receita!$T$2:$T$2216,"44743B2Energia horáriaRuralServiço público de irrigação ruralNão se aplicaNão se aplicaPonta",Mercado_Receita!$N$2:$N$2216)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83"/>
      <c r="B29" s="83"/>
      <c r="C29" s="83"/>
      <c r="D29" s="83"/>
      <c r="E29" s="83"/>
      <c r="F29" s="83"/>
      <c r="G29" s="13" t="s">
        <v>113</v>
      </c>
      <c r="H29" s="13" t="s">
        <v>102</v>
      </c>
      <c r="I29" s="13">
        <f>SUMIF(Mercado_Receita!$T$2:$T$2216,"44409B2Energia horáriaRuralServiço público de irrigação ruralNão se aplicaNão se aplicaIntermediário",Mercado_Receita!$N$2:$N$2216)</f>
        <v>0</v>
      </c>
      <c r="J29" s="13">
        <f>SUMIF(Mercado_Receita!$T$2:$T$2216,"44440B2Energia horáriaRuralServiço público de irrigação ruralNão se aplicaNão se aplicaIntermediário",Mercado_Receita!$N$2:$N$2216)</f>
        <v>0</v>
      </c>
      <c r="K29" s="13">
        <f>SUMIF(Mercado_Receita!$T$2:$T$2216,"44470B2Energia horáriaRuralServiço público de irrigação ruralNão se aplicaNão se aplicaIntermediário",Mercado_Receita!$N$2:$N$2216)</f>
        <v>0</v>
      </c>
      <c r="L29" s="13">
        <f>SUMIF(Mercado_Receita!$T$2:$T$2216,"44501B2Energia horáriaRuralServiço público de irrigação ruralNão se aplicaNão se aplicaIntermediário",Mercado_Receita!$N$2:$N$2216)</f>
        <v>0</v>
      </c>
      <c r="M29" s="13">
        <f>SUMIF(Mercado_Receita!$T$2:$T$2216,"44531B2Energia horáriaRuralServiço público de irrigação ruralNão se aplicaNão se aplicaIntermediário",Mercado_Receita!$N$2:$N$2216)</f>
        <v>0</v>
      </c>
      <c r="N29" s="13">
        <f>SUMIF(Mercado_Receita!$T$2:$T$2216,"44562B2Energia horáriaRuralServiço público de irrigação ruralNão se aplicaNão se aplicaIntermediário",Mercado_Receita!$N$2:$N$2216)</f>
        <v>0</v>
      </c>
      <c r="O29" s="13">
        <f>SUMIF(Mercado_Receita!$T$2:$T$2216,"44593B2Energia horáriaRuralServiço público de irrigação ruralNão se aplicaNão se aplicaIntermediário",Mercado_Receita!$N$2:$N$2216)</f>
        <v>0</v>
      </c>
      <c r="P29" s="13">
        <f>SUMIF(Mercado_Receita!$T$2:$T$2216,"44621B2Energia horáriaRuralServiço público de irrigação ruralNão se aplicaNão se aplicaIntermediário",Mercado_Receita!$N$2:$N$2216)</f>
        <v>0</v>
      </c>
      <c r="Q29" s="13">
        <f>SUMIF(Mercado_Receita!$T$2:$T$2216,"44652B2Energia horáriaRuralServiço público de irrigação ruralNão se aplicaNão se aplicaIntermediário",Mercado_Receita!$N$2:$N$2216)</f>
        <v>0</v>
      </c>
      <c r="R29" s="13">
        <f>SUMIF(Mercado_Receita!$T$2:$T$2216,"44682B2Energia horáriaRuralServiço público de irrigação ruralNão se aplicaNão se aplicaIntermediário",Mercado_Receita!$N$2:$N$2216)</f>
        <v>0</v>
      </c>
      <c r="S29" s="13">
        <f>SUMIF(Mercado_Receita!$T$2:$T$2216,"44713B2Energia horáriaRuralServiço público de irrigação ruralNão se aplicaNão se aplicaIntermediário",Mercado_Receita!$N$2:$N$2216)</f>
        <v>0</v>
      </c>
      <c r="T29" s="13">
        <f>SUMIF(Mercado_Receita!$T$2:$T$2216,"44743B2Energia horáriaRuralServiço público de irrigação ruralNão se aplicaNão se aplicaIntermediário",Mercado_Receita!$N$2:$N$2216)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83"/>
      <c r="B30" s="83"/>
      <c r="C30" s="83"/>
      <c r="D30" s="83"/>
      <c r="E30" s="83"/>
      <c r="F30" s="83"/>
      <c r="G30" s="13" t="s">
        <v>104</v>
      </c>
      <c r="H30" s="13" t="s">
        <v>102</v>
      </c>
      <c r="I30" s="13">
        <f>SUMIF(Mercado_Receita!$T$2:$T$2216,"44409B2Energia horáriaRuralServiço público de irrigação ruralNão se aplicaNão se aplicaFora ponta",Mercado_Receita!$N$2:$N$2216)</f>
        <v>0</v>
      </c>
      <c r="J30" s="13">
        <f>SUMIF(Mercado_Receita!$T$2:$T$2216,"44440B2Energia horáriaRuralServiço público de irrigação ruralNão se aplicaNão se aplicaFora ponta",Mercado_Receita!$N$2:$N$2216)</f>
        <v>0</v>
      </c>
      <c r="K30" s="13">
        <f>SUMIF(Mercado_Receita!$T$2:$T$2216,"44470B2Energia horáriaRuralServiço público de irrigação ruralNão se aplicaNão se aplicaFora ponta",Mercado_Receita!$N$2:$N$2216)</f>
        <v>0</v>
      </c>
      <c r="L30" s="13">
        <f>SUMIF(Mercado_Receita!$T$2:$T$2216,"44501B2Energia horáriaRuralServiço público de irrigação ruralNão se aplicaNão se aplicaFora ponta",Mercado_Receita!$N$2:$N$2216)</f>
        <v>0</v>
      </c>
      <c r="M30" s="13">
        <f>SUMIF(Mercado_Receita!$T$2:$T$2216,"44531B2Energia horáriaRuralServiço público de irrigação ruralNão se aplicaNão se aplicaFora ponta",Mercado_Receita!$N$2:$N$2216)</f>
        <v>0</v>
      </c>
      <c r="N30" s="13">
        <f>SUMIF(Mercado_Receita!$T$2:$T$2216,"44562B2Energia horáriaRuralServiço público de irrigação ruralNão se aplicaNão se aplicaFora ponta",Mercado_Receita!$N$2:$N$2216)</f>
        <v>0</v>
      </c>
      <c r="O30" s="13">
        <f>SUMIF(Mercado_Receita!$T$2:$T$2216,"44593B2Energia horáriaRuralServiço público de irrigação ruralNão se aplicaNão se aplicaFora ponta",Mercado_Receita!$N$2:$N$2216)</f>
        <v>0</v>
      </c>
      <c r="P30" s="13">
        <f>SUMIF(Mercado_Receita!$T$2:$T$2216,"44621B2Energia horáriaRuralServiço público de irrigação ruralNão se aplicaNão se aplicaFora ponta",Mercado_Receita!$N$2:$N$2216)</f>
        <v>0</v>
      </c>
      <c r="Q30" s="13">
        <f>SUMIF(Mercado_Receita!$T$2:$T$2216,"44652B2Energia horáriaRuralServiço público de irrigação ruralNão se aplicaNão se aplicaFora ponta",Mercado_Receita!$N$2:$N$2216)</f>
        <v>0</v>
      </c>
      <c r="R30" s="13">
        <f>SUMIF(Mercado_Receita!$T$2:$T$2216,"44682B2Energia horáriaRuralServiço público de irrigação ruralNão se aplicaNão se aplicaFora ponta",Mercado_Receita!$N$2:$N$2216)</f>
        <v>0</v>
      </c>
      <c r="S30" s="13">
        <f>SUMIF(Mercado_Receita!$T$2:$T$2216,"44713B2Energia horáriaRuralServiço público de irrigação ruralNão se aplicaNão se aplicaFora ponta",Mercado_Receita!$N$2:$N$2216)</f>
        <v>0</v>
      </c>
      <c r="T30" s="13">
        <f>SUMIF(Mercado_Receita!$T$2:$T$2216,"44743B2Energia horáriaRuralServiço público de irrigação ruralNão se aplicaNão se aplicaFora ponta",Mercado_Receita!$N$2:$N$2216)</f>
        <v>0</v>
      </c>
      <c r="U30" s="13">
        <f t="shared" si="0"/>
        <v>0</v>
      </c>
      <c r="V30" s="13"/>
      <c r="W30" s="13"/>
    </row>
    <row r="31" spans="1:23" ht="11.25" customHeight="1" x14ac:dyDescent="0.25">
      <c r="A31" s="83"/>
      <c r="B31" s="12" t="s">
        <v>109</v>
      </c>
      <c r="C31" s="12" t="s">
        <v>45</v>
      </c>
      <c r="D31" s="12" t="s">
        <v>117</v>
      </c>
      <c r="E31" s="12" t="s">
        <v>25</v>
      </c>
      <c r="F31" s="12" t="s">
        <v>25</v>
      </c>
      <c r="G31" s="13" t="s">
        <v>108</v>
      </c>
      <c r="H31" s="13" t="s">
        <v>102</v>
      </c>
      <c r="I31" s="13">
        <f>SUMIF(Mercado_Receita!$T$2:$T$2216,"44409B2Energia convencionalRuralServiço público de irrigação ruralNão se aplicaNão se aplicaNão se aplica",Mercado_Receita!$N$2:$N$2216)</f>
        <v>0</v>
      </c>
      <c r="J31" s="13">
        <f>SUMIF(Mercado_Receita!$T$2:$T$2216,"44440B2Energia convencionalRuralServiço público de irrigação ruralNão se aplicaNão se aplicaNão se aplica",Mercado_Receita!$N$2:$N$2216)</f>
        <v>0</v>
      </c>
      <c r="K31" s="13">
        <f>SUMIF(Mercado_Receita!$T$2:$T$2216,"44470B2Energia convencionalRuralServiço público de irrigação ruralNão se aplicaNão se aplicaNão se aplica",Mercado_Receita!$N$2:$N$2216)</f>
        <v>0</v>
      </c>
      <c r="L31" s="13">
        <f>SUMIF(Mercado_Receita!$T$2:$T$2216,"44501B2Energia convencionalRuralServiço público de irrigação ruralNão se aplicaNão se aplicaNão se aplica",Mercado_Receita!$N$2:$N$2216)</f>
        <v>0</v>
      </c>
      <c r="M31" s="13">
        <f>SUMIF(Mercado_Receita!$T$2:$T$2216,"44531B2Energia convencionalRuralServiço público de irrigação ruralNão se aplicaNão se aplicaNão se aplica",Mercado_Receita!$N$2:$N$2216)</f>
        <v>0</v>
      </c>
      <c r="N31" s="13">
        <f>SUMIF(Mercado_Receita!$T$2:$T$2216,"44562B2Energia convencionalRuralServiço público de irrigação ruralNão se aplicaNão se aplicaNão se aplica",Mercado_Receita!$N$2:$N$2216)</f>
        <v>0</v>
      </c>
      <c r="O31" s="13">
        <f>SUMIF(Mercado_Receita!$T$2:$T$2216,"44593B2Energia convencionalRuralServiço público de irrigação ruralNão se aplicaNão se aplicaNão se aplica",Mercado_Receita!$N$2:$N$2216)</f>
        <v>0</v>
      </c>
      <c r="P31" s="13">
        <f>SUMIF(Mercado_Receita!$T$2:$T$2216,"44621B2Energia convencionalRuralServiço público de irrigação ruralNão se aplicaNão se aplicaNão se aplica",Mercado_Receita!$N$2:$N$2216)</f>
        <v>0</v>
      </c>
      <c r="Q31" s="13">
        <f>SUMIF(Mercado_Receita!$T$2:$T$2216,"44652B2Energia convencionalRuralServiço público de irrigação ruralNão se aplicaNão se aplicaNão se aplica",Mercado_Receita!$N$2:$N$2216)</f>
        <v>0</v>
      </c>
      <c r="R31" s="13">
        <f>SUMIF(Mercado_Receita!$T$2:$T$2216,"44682B2Energia convencionalRuralServiço público de irrigação ruralNão se aplicaNão se aplicaNão se aplica",Mercado_Receita!$N$2:$N$2216)</f>
        <v>0</v>
      </c>
      <c r="S31" s="13">
        <f>SUMIF(Mercado_Receita!$T$2:$T$2216,"44713B2Energia convencionalRuralServiço público de irrigação ruralNão se aplicaNão se aplicaNão se aplica",Mercado_Receita!$N$2:$N$2216)</f>
        <v>0</v>
      </c>
      <c r="T31" s="13">
        <f>SUMIF(Mercado_Receita!$T$2:$T$2216,"44743B2Energia convencionalRuralServiço público de irrigação ruralNão se aplicaNão se aplicaNão se aplica",Mercado_Receita!$N$2:$N$2216)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83"/>
      <c r="B32" s="82" t="s">
        <v>114</v>
      </c>
      <c r="C32" s="82" t="s">
        <v>45</v>
      </c>
      <c r="D32" s="12" t="s">
        <v>25</v>
      </c>
      <c r="E32" s="12" t="s">
        <v>25</v>
      </c>
      <c r="F32" s="12" t="s">
        <v>25</v>
      </c>
      <c r="G32" s="13" t="s">
        <v>108</v>
      </c>
      <c r="H32" s="13" t="s">
        <v>102</v>
      </c>
      <c r="I32" s="13">
        <f>SUMIF(Mercado_Receita!$T$2:$T$2216,"44409B2Energia convencional pré-pagamentoRuralNão se aplicaNão se aplicaNão se aplicaNão se aplica",Mercado_Receita!$N$2:$N$2216)</f>
        <v>0</v>
      </c>
      <c r="J32" s="13">
        <f>SUMIF(Mercado_Receita!$T$2:$T$2216,"44440B2Energia convencional pré-pagamentoRuralNão se aplicaNão se aplicaNão se aplicaNão se aplica",Mercado_Receita!$N$2:$N$2216)</f>
        <v>0</v>
      </c>
      <c r="K32" s="13">
        <f>SUMIF(Mercado_Receita!$T$2:$T$2216,"44470B2Energia convencional pré-pagamentoRuralNão se aplicaNão se aplicaNão se aplicaNão se aplica",Mercado_Receita!$N$2:$N$2216)</f>
        <v>0</v>
      </c>
      <c r="L32" s="13">
        <f>SUMIF(Mercado_Receita!$T$2:$T$2216,"44501B2Energia convencional pré-pagamentoRuralNão se aplicaNão se aplicaNão se aplicaNão se aplica",Mercado_Receita!$N$2:$N$2216)</f>
        <v>0</v>
      </c>
      <c r="M32" s="13">
        <f>SUMIF(Mercado_Receita!$T$2:$T$2216,"44531B2Energia convencional pré-pagamentoRuralNão se aplicaNão se aplicaNão se aplicaNão se aplica",Mercado_Receita!$N$2:$N$2216)</f>
        <v>0</v>
      </c>
      <c r="N32" s="13">
        <f>SUMIF(Mercado_Receita!$T$2:$T$2216,"44562B2Energia convencional pré-pagamentoRuralNão se aplicaNão se aplicaNão se aplicaNão se aplica",Mercado_Receita!$N$2:$N$2216)</f>
        <v>0</v>
      </c>
      <c r="O32" s="13">
        <f>SUMIF(Mercado_Receita!$T$2:$T$2216,"44593B2Energia convencional pré-pagamentoRuralNão se aplicaNão se aplicaNão se aplicaNão se aplica",Mercado_Receita!$N$2:$N$2216)</f>
        <v>0</v>
      </c>
      <c r="P32" s="13">
        <f>SUMIF(Mercado_Receita!$T$2:$T$2216,"44621B2Energia convencional pré-pagamentoRuralNão se aplicaNão se aplicaNão se aplicaNão se aplica",Mercado_Receita!$N$2:$N$2216)</f>
        <v>0</v>
      </c>
      <c r="Q32" s="13">
        <f>SUMIF(Mercado_Receita!$T$2:$T$2216,"44652B2Energia convencional pré-pagamentoRuralNão se aplicaNão se aplicaNão se aplicaNão se aplica",Mercado_Receita!$N$2:$N$2216)</f>
        <v>0</v>
      </c>
      <c r="R32" s="13">
        <f>SUMIF(Mercado_Receita!$T$2:$T$2216,"44682B2Energia convencional pré-pagamentoRuralNão se aplicaNão se aplicaNão se aplicaNão se aplica",Mercado_Receita!$N$2:$N$2216)</f>
        <v>0</v>
      </c>
      <c r="S32" s="13">
        <f>SUMIF(Mercado_Receita!$T$2:$T$2216,"44713B2Energia convencional pré-pagamentoRuralNão se aplicaNão se aplicaNão se aplicaNão se aplica",Mercado_Receita!$N$2:$N$2216)</f>
        <v>0</v>
      </c>
      <c r="T32" s="13">
        <f>SUMIF(Mercado_Receita!$T$2:$T$2216,"44743B2Energia convencional pré-pagamentoRuralNão se aplicaNão se aplicaNão se aplicaNão se aplica",Mercado_Receita!$N$2:$N$2216)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83"/>
      <c r="B33" s="83"/>
      <c r="C33" s="83"/>
      <c r="D33" s="12" t="s">
        <v>116</v>
      </c>
      <c r="E33" s="12" t="s">
        <v>25</v>
      </c>
      <c r="F33" s="12" t="s">
        <v>25</v>
      </c>
      <c r="G33" s="13" t="s">
        <v>108</v>
      </c>
      <c r="H33" s="13" t="s">
        <v>102</v>
      </c>
      <c r="I33" s="13">
        <f>SUMIF(Mercado_Receita!$T$2:$T$2216,"44409B2Energia convencional pré-pagamentoRuralCooperativa de eletrificação ruralNão se aplicaNão se aplicaNão se aplica",Mercado_Receita!$N$2:$N$2216)</f>
        <v>0</v>
      </c>
      <c r="J33" s="13">
        <f>SUMIF(Mercado_Receita!$T$2:$T$2216,"44440B2Energia convencional pré-pagamentoRuralCooperativa de eletrificação ruralNão se aplicaNão se aplicaNão se aplica",Mercado_Receita!$N$2:$N$2216)</f>
        <v>0</v>
      </c>
      <c r="K33" s="13">
        <f>SUMIF(Mercado_Receita!$T$2:$T$2216,"44470B2Energia convencional pré-pagamentoRuralCooperativa de eletrificação ruralNão se aplicaNão se aplicaNão se aplica",Mercado_Receita!$N$2:$N$2216)</f>
        <v>0</v>
      </c>
      <c r="L33" s="13">
        <f>SUMIF(Mercado_Receita!$T$2:$T$2216,"44501B2Energia convencional pré-pagamentoRuralCooperativa de eletrificação ruralNão se aplicaNão se aplicaNão se aplica",Mercado_Receita!$N$2:$N$2216)</f>
        <v>0</v>
      </c>
      <c r="M33" s="13">
        <f>SUMIF(Mercado_Receita!$T$2:$T$2216,"44531B2Energia convencional pré-pagamentoRuralCooperativa de eletrificação ruralNão se aplicaNão se aplicaNão se aplica",Mercado_Receita!$N$2:$N$2216)</f>
        <v>0</v>
      </c>
      <c r="N33" s="13">
        <f>SUMIF(Mercado_Receita!$T$2:$T$2216,"44562B2Energia convencional pré-pagamentoRuralCooperativa de eletrificação ruralNão se aplicaNão se aplicaNão se aplica",Mercado_Receita!$N$2:$N$2216)</f>
        <v>0</v>
      </c>
      <c r="O33" s="13">
        <f>SUMIF(Mercado_Receita!$T$2:$T$2216,"44593B2Energia convencional pré-pagamentoRuralCooperativa de eletrificação ruralNão se aplicaNão se aplicaNão se aplica",Mercado_Receita!$N$2:$N$2216)</f>
        <v>0</v>
      </c>
      <c r="P33" s="13">
        <f>SUMIF(Mercado_Receita!$T$2:$T$2216,"44621B2Energia convencional pré-pagamentoRuralCooperativa de eletrificação ruralNão se aplicaNão se aplicaNão se aplica",Mercado_Receita!$N$2:$N$2216)</f>
        <v>0</v>
      </c>
      <c r="Q33" s="13">
        <f>SUMIF(Mercado_Receita!$T$2:$T$2216,"44652B2Energia convencional pré-pagamentoRuralCooperativa de eletrificação ruralNão se aplicaNão se aplicaNão se aplica",Mercado_Receita!$N$2:$N$2216)</f>
        <v>0</v>
      </c>
      <c r="R33" s="13">
        <f>SUMIF(Mercado_Receita!$T$2:$T$2216,"44682B2Energia convencional pré-pagamentoRuralCooperativa de eletrificação ruralNão se aplicaNão se aplicaNão se aplica",Mercado_Receita!$N$2:$N$2216)</f>
        <v>0</v>
      </c>
      <c r="S33" s="13">
        <f>SUMIF(Mercado_Receita!$T$2:$T$2216,"44713B2Energia convencional pré-pagamentoRuralCooperativa de eletrificação ruralNão se aplicaNão se aplicaNão se aplica",Mercado_Receita!$N$2:$N$2216)</f>
        <v>0</v>
      </c>
      <c r="T33" s="13">
        <f>SUMIF(Mercado_Receita!$T$2:$T$2216,"44743B2Energia convencional pré-pagamentoRuralCooperativa de eletrificação ruralNão se aplicaNão se aplicaNão se aplica",Mercado_Receita!$N$2:$N$2216)</f>
        <v>0</v>
      </c>
      <c r="U33" s="13">
        <f t="shared" si="0"/>
        <v>0</v>
      </c>
      <c r="V33" s="13"/>
      <c r="W33" s="13"/>
    </row>
    <row r="34" spans="1:23" ht="11.25" customHeight="1" x14ac:dyDescent="0.25">
      <c r="A34" s="83"/>
      <c r="B34" s="83"/>
      <c r="C34" s="83"/>
      <c r="D34" s="12" t="s">
        <v>117</v>
      </c>
      <c r="E34" s="12" t="s">
        <v>25</v>
      </c>
      <c r="F34" s="12" t="s">
        <v>25</v>
      </c>
      <c r="G34" s="13" t="s">
        <v>108</v>
      </c>
      <c r="H34" s="13" t="s">
        <v>102</v>
      </c>
      <c r="I34" s="13">
        <f>SUMIF(Mercado_Receita!$T$2:$T$2216,"44409B2Energia convencional pré-pagamentoRuralServiço público de irrigação ruralNão se aplicaNão se aplicaNão se aplica",Mercado_Receita!$N$2:$N$2216)</f>
        <v>0</v>
      </c>
      <c r="J34" s="13">
        <f>SUMIF(Mercado_Receita!$T$2:$T$2216,"44440B2Energia convencional pré-pagamentoRuralServiço público de irrigação ruralNão se aplicaNão se aplicaNão se aplica",Mercado_Receita!$N$2:$N$2216)</f>
        <v>0</v>
      </c>
      <c r="K34" s="13">
        <f>SUMIF(Mercado_Receita!$T$2:$T$2216,"44470B2Energia convencional pré-pagamentoRuralServiço público de irrigação ruralNão se aplicaNão se aplicaNão se aplica",Mercado_Receita!$N$2:$N$2216)</f>
        <v>0</v>
      </c>
      <c r="L34" s="13">
        <f>SUMIF(Mercado_Receita!$T$2:$T$2216,"44501B2Energia convencional pré-pagamentoRuralServiço público de irrigação ruralNão se aplicaNão se aplicaNão se aplica",Mercado_Receita!$N$2:$N$2216)</f>
        <v>0</v>
      </c>
      <c r="M34" s="13">
        <f>SUMIF(Mercado_Receita!$T$2:$T$2216,"44531B2Energia convencional pré-pagamentoRuralServiço público de irrigação ruralNão se aplicaNão se aplicaNão se aplica",Mercado_Receita!$N$2:$N$2216)</f>
        <v>0</v>
      </c>
      <c r="N34" s="13">
        <f>SUMIF(Mercado_Receita!$T$2:$T$2216,"44562B2Energia convencional pré-pagamentoRuralServiço público de irrigação ruralNão se aplicaNão se aplicaNão se aplica",Mercado_Receita!$N$2:$N$2216)</f>
        <v>0</v>
      </c>
      <c r="O34" s="13">
        <f>SUMIF(Mercado_Receita!$T$2:$T$2216,"44593B2Energia convencional pré-pagamentoRuralServiço público de irrigação ruralNão se aplicaNão se aplicaNão se aplica",Mercado_Receita!$N$2:$N$2216)</f>
        <v>0</v>
      </c>
      <c r="P34" s="13">
        <f>SUMIF(Mercado_Receita!$T$2:$T$2216,"44621B2Energia convencional pré-pagamentoRuralServiço público de irrigação ruralNão se aplicaNão se aplicaNão se aplica",Mercado_Receita!$N$2:$N$2216)</f>
        <v>0</v>
      </c>
      <c r="Q34" s="13">
        <f>SUMIF(Mercado_Receita!$T$2:$T$2216,"44652B2Energia convencional pré-pagamentoRuralServiço público de irrigação ruralNão se aplicaNão se aplicaNão se aplica",Mercado_Receita!$N$2:$N$2216)</f>
        <v>0</v>
      </c>
      <c r="R34" s="13">
        <f>SUMIF(Mercado_Receita!$T$2:$T$2216,"44682B2Energia convencional pré-pagamentoRuralServiço público de irrigação ruralNão se aplicaNão se aplicaNão se aplica",Mercado_Receita!$N$2:$N$2216)</f>
        <v>0</v>
      </c>
      <c r="S34" s="13">
        <f>SUMIF(Mercado_Receita!$T$2:$T$2216,"44713B2Energia convencional pré-pagamentoRuralServiço público de irrigação ruralNão se aplicaNão se aplicaNão se aplica",Mercado_Receita!$N$2:$N$2216)</f>
        <v>0</v>
      </c>
      <c r="T34" s="13">
        <f>SUMIF(Mercado_Receita!$T$2:$T$2216,"44743B2Energia convencional pré-pagamentoRuralServiço público de irrigação ruralNão se aplicaNão se aplicaNão se aplica",Mercado_Receita!$N$2:$N$2216)</f>
        <v>0</v>
      </c>
      <c r="U34" s="13">
        <f t="shared" si="0"/>
        <v>0</v>
      </c>
      <c r="V34" s="13"/>
      <c r="W34" s="13"/>
    </row>
    <row r="35" spans="1:23" ht="11.25" customHeight="1" x14ac:dyDescent="0.25">
      <c r="A35" s="82" t="s">
        <v>37</v>
      </c>
      <c r="B35" s="82" t="s">
        <v>101</v>
      </c>
      <c r="C35" s="82" t="s">
        <v>25</v>
      </c>
      <c r="D35" s="82" t="s">
        <v>25</v>
      </c>
      <c r="E35" s="82" t="s">
        <v>25</v>
      </c>
      <c r="F35" s="82" t="s">
        <v>25</v>
      </c>
      <c r="G35" s="13" t="s">
        <v>103</v>
      </c>
      <c r="H35" s="13" t="s">
        <v>102</v>
      </c>
      <c r="I35" s="13">
        <f>SUMIF(Mercado_Receita!$T$2:$T$2216,"44409B3Energia horáriaNão se aplicaNão se aplicaNão se aplicaNão se aplicaPonta",Mercado_Receita!$N$2:$N$2216)</f>
        <v>1.579</v>
      </c>
      <c r="J35" s="13">
        <f>SUMIF(Mercado_Receita!$T$2:$T$2216,"44440B3Energia horáriaNão se aplicaNão se aplicaNão se aplicaNão se aplicaPonta",Mercado_Receita!$N$2:$N$2216)</f>
        <v>3.9249999999999998</v>
      </c>
      <c r="K35" s="13">
        <f>SUMIF(Mercado_Receita!$T$2:$T$2216,"44470B3Energia horáriaNão se aplicaNão se aplicaNão se aplicaNão se aplicaPonta",Mercado_Receita!$N$2:$N$2216)</f>
        <v>4.3949999999999996</v>
      </c>
      <c r="L35" s="13">
        <f>SUMIF(Mercado_Receita!$T$2:$T$2216,"44501B3Energia horáriaNão se aplicaNão se aplicaNão se aplicaNão se aplicaPonta",Mercado_Receita!$N$2:$N$2216)</f>
        <v>4.851</v>
      </c>
      <c r="M35" s="13">
        <f>SUMIF(Mercado_Receita!$T$2:$T$2216,"44531B3Energia horáriaNão se aplicaNão se aplicaNão se aplicaNão se aplicaPonta",Mercado_Receita!$N$2:$N$2216)</f>
        <v>5.1840000000000002</v>
      </c>
      <c r="N35" s="13">
        <f>SUMIF(Mercado_Receita!$T$2:$T$2216,"44562B3Energia horáriaNão se aplicaNão se aplicaNão se aplicaNão se aplicaPonta",Mercado_Receita!$N$2:$N$2216)</f>
        <v>4.8870000000000013</v>
      </c>
      <c r="O35" s="13">
        <f>SUMIF(Mercado_Receita!$T$2:$T$2216,"44593B3Energia horáriaNão se aplicaNão se aplicaNão se aplicaNão se aplicaPonta",Mercado_Receita!$N$2:$N$2216)</f>
        <v>5.1360000000000001</v>
      </c>
      <c r="P35" s="13">
        <f>SUMIF(Mercado_Receita!$T$2:$T$2216,"44621B3Energia horáriaNão se aplicaNão se aplicaNão se aplicaNão se aplicaPonta",Mercado_Receita!$N$2:$N$2216)</f>
        <v>6.3789999999999996</v>
      </c>
      <c r="Q35" s="13">
        <f>SUMIF(Mercado_Receita!$T$2:$T$2216,"44652B3Energia horáriaNão se aplicaNão se aplicaNão se aplicaNão se aplicaPonta",Mercado_Receita!$N$2:$N$2216)</f>
        <v>5.0060000000000002</v>
      </c>
      <c r="R35" s="13">
        <f>SUMIF(Mercado_Receita!$T$2:$T$2216,"44682B3Energia horáriaNão se aplicaNão se aplicaNão se aplicaNão se aplicaPonta",Mercado_Receita!$N$2:$N$2216)</f>
        <v>4.577</v>
      </c>
      <c r="S35" s="13">
        <f>SUMIF(Mercado_Receita!$T$2:$T$2216,"44713B3Energia horáriaNão se aplicaNão se aplicaNão se aplicaNão se aplicaPonta",Mercado_Receita!$N$2:$N$2216)</f>
        <v>4.335</v>
      </c>
      <c r="T35" s="13">
        <f>SUMIF(Mercado_Receita!$T$2:$T$2216,"44743B3Energia horáriaNão se aplicaNão se aplicaNão se aplicaNão se aplicaPonta",Mercado_Receita!$N$2:$N$2216)</f>
        <v>4.335</v>
      </c>
      <c r="U35" s="13">
        <f t="shared" si="0"/>
        <v>54.588999999999999</v>
      </c>
      <c r="V35" s="13"/>
      <c r="W35" s="13"/>
    </row>
    <row r="36" spans="1:23" ht="11.25" customHeight="1" x14ac:dyDescent="0.25">
      <c r="A36" s="83"/>
      <c r="B36" s="83"/>
      <c r="C36" s="83"/>
      <c r="D36" s="83"/>
      <c r="E36" s="83"/>
      <c r="F36" s="83"/>
      <c r="G36" s="13" t="s">
        <v>113</v>
      </c>
      <c r="H36" s="13" t="s">
        <v>102</v>
      </c>
      <c r="I36" s="13">
        <f>SUMIF(Mercado_Receita!$T$2:$T$2216,"44409B3Energia horáriaNão se aplicaNão se aplicaNão se aplicaNão se aplicaIntermediário",Mercado_Receita!$N$2:$N$2216)</f>
        <v>4.4110000000000005</v>
      </c>
      <c r="J36" s="13">
        <f>SUMIF(Mercado_Receita!$T$2:$T$2216,"44440B3Energia horáriaNão se aplicaNão se aplicaNão se aplicaNão se aplicaIntermediário",Mercado_Receita!$N$2:$N$2216)</f>
        <v>4.548</v>
      </c>
      <c r="K36" s="13">
        <f>SUMIF(Mercado_Receita!$T$2:$T$2216,"44470B3Energia horáriaNão se aplicaNão se aplicaNão se aplicaNão se aplicaIntermediário",Mercado_Receita!$N$2:$N$2216)</f>
        <v>5.0769999999999991</v>
      </c>
      <c r="L36" s="13">
        <f>SUMIF(Mercado_Receita!$T$2:$T$2216,"44501B3Energia horáriaNão se aplicaNão se aplicaNão se aplicaNão se aplicaIntermediário",Mercado_Receita!$N$2:$N$2216)</f>
        <v>5.2060000000000004</v>
      </c>
      <c r="M36" s="13">
        <f>SUMIF(Mercado_Receita!$T$2:$T$2216,"44531B3Energia horáriaNão se aplicaNão se aplicaNão se aplicaNão se aplicaIntermediário",Mercado_Receita!$N$2:$N$2216)</f>
        <v>6.2650000000000006</v>
      </c>
      <c r="N36" s="13">
        <f>SUMIF(Mercado_Receita!$T$2:$T$2216,"44562B3Energia horáriaNão se aplicaNão se aplicaNão se aplicaNão se aplicaIntermediário",Mercado_Receita!$N$2:$N$2216)</f>
        <v>6.4670000000000005</v>
      </c>
      <c r="O36" s="13">
        <f>SUMIF(Mercado_Receita!$T$2:$T$2216,"44593B3Energia horáriaNão se aplicaNão se aplicaNão se aplicaNão se aplicaIntermediário",Mercado_Receita!$N$2:$N$2216)</f>
        <v>5.8170000000000002</v>
      </c>
      <c r="P36" s="13">
        <f>SUMIF(Mercado_Receita!$T$2:$T$2216,"44621B3Energia horáriaNão se aplicaNão se aplicaNão se aplicaNão se aplicaIntermediário",Mercado_Receita!$N$2:$N$2216)</f>
        <v>6.1980000000000004</v>
      </c>
      <c r="Q36" s="13">
        <f>SUMIF(Mercado_Receita!$T$2:$T$2216,"44652B3Energia horáriaNão se aplicaNão se aplicaNão se aplicaNão se aplicaIntermediário",Mercado_Receita!$N$2:$N$2216)</f>
        <v>5.9359999999999999</v>
      </c>
      <c r="R36" s="13">
        <f>SUMIF(Mercado_Receita!$T$2:$T$2216,"44682B3Energia horáriaNão se aplicaNão se aplicaNão se aplicaNão se aplicaIntermediário",Mercado_Receita!$N$2:$N$2216)</f>
        <v>5.7600000000000007</v>
      </c>
      <c r="S36" s="13">
        <f>SUMIF(Mercado_Receita!$T$2:$T$2216,"44713B3Energia horáriaNão se aplicaNão se aplicaNão se aplicaNão se aplicaIntermediário",Mercado_Receita!$N$2:$N$2216)</f>
        <v>5.1769999999999996</v>
      </c>
      <c r="T36" s="13">
        <f>SUMIF(Mercado_Receita!$T$2:$T$2216,"44743B3Energia horáriaNão se aplicaNão se aplicaNão se aplicaNão se aplicaIntermediário",Mercado_Receita!$N$2:$N$2216)</f>
        <v>5.1769999999999996</v>
      </c>
      <c r="U36" s="13">
        <f t="shared" si="0"/>
        <v>66.038999999999987</v>
      </c>
      <c r="V36" s="13"/>
      <c r="W36" s="13"/>
    </row>
    <row r="37" spans="1:23" ht="11.25" customHeight="1" x14ac:dyDescent="0.25">
      <c r="A37" s="83"/>
      <c r="B37" s="83"/>
      <c r="C37" s="83"/>
      <c r="D37" s="83"/>
      <c r="E37" s="83"/>
      <c r="F37" s="83"/>
      <c r="G37" s="13" t="s">
        <v>104</v>
      </c>
      <c r="H37" s="13" t="s">
        <v>102</v>
      </c>
      <c r="I37" s="13">
        <f>SUMIF(Mercado_Receita!$T$2:$T$2216,"44409B3Energia horáriaNão se aplicaNão se aplicaNão se aplicaNão se aplicaFora ponta",Mercado_Receita!$N$2:$N$2216)</f>
        <v>71.650999999999996</v>
      </c>
      <c r="J37" s="13">
        <f>SUMIF(Mercado_Receita!$T$2:$T$2216,"44440B3Energia horáriaNão se aplicaNão se aplicaNão se aplicaNão se aplicaFora ponta",Mercado_Receita!$N$2:$N$2216)</f>
        <v>69.823999999999998</v>
      </c>
      <c r="K37" s="13">
        <f>SUMIF(Mercado_Receita!$T$2:$T$2216,"44470B3Energia horáriaNão se aplicaNão se aplicaNão se aplicaNão se aplicaFora ponta",Mercado_Receita!$N$2:$N$2216)</f>
        <v>82.787000000000006</v>
      </c>
      <c r="L37" s="13">
        <f>SUMIF(Mercado_Receita!$T$2:$T$2216,"44501B3Energia horáriaNão se aplicaNão se aplicaNão se aplicaNão se aplicaFora ponta",Mercado_Receita!$N$2:$N$2216)</f>
        <v>85.003</v>
      </c>
      <c r="M37" s="13">
        <f>SUMIF(Mercado_Receita!$T$2:$T$2216,"44531B3Energia horáriaNão se aplicaNão se aplicaNão se aplicaNão se aplicaFora ponta",Mercado_Receita!$N$2:$N$2216)</f>
        <v>102.44200000000001</v>
      </c>
      <c r="N37" s="13">
        <f>SUMIF(Mercado_Receita!$T$2:$T$2216,"44562B3Energia horáriaNão se aplicaNão se aplicaNão se aplicaNão se aplicaFora ponta",Mercado_Receita!$N$2:$N$2216)</f>
        <v>86.656000000000006</v>
      </c>
      <c r="O37" s="13">
        <f>SUMIF(Mercado_Receita!$T$2:$T$2216,"44593B3Energia horáriaNão se aplicaNão se aplicaNão se aplicaNão se aplicaFora ponta",Mercado_Receita!$N$2:$N$2216)</f>
        <v>84.583999999999989</v>
      </c>
      <c r="P37" s="13">
        <f>SUMIF(Mercado_Receita!$T$2:$T$2216,"44621B3Energia horáriaNão se aplicaNão se aplicaNão se aplicaNão se aplicaFora ponta",Mercado_Receita!$N$2:$N$2216)</f>
        <v>97.01</v>
      </c>
      <c r="Q37" s="13">
        <f>SUMIF(Mercado_Receita!$T$2:$T$2216,"44652B3Energia horáriaNão se aplicaNão se aplicaNão se aplicaNão se aplicaFora ponta",Mercado_Receita!$N$2:$N$2216)</f>
        <v>84.19</v>
      </c>
      <c r="R37" s="13">
        <f>SUMIF(Mercado_Receita!$T$2:$T$2216,"44682B3Energia horáriaNão se aplicaNão se aplicaNão se aplicaNão se aplicaFora ponta",Mercado_Receita!$N$2:$N$2216)</f>
        <v>85.984999999999999</v>
      </c>
      <c r="S37" s="13">
        <f>SUMIF(Mercado_Receita!$T$2:$T$2216,"44713B3Energia horáriaNão se aplicaNão se aplicaNão se aplicaNão se aplicaFora ponta",Mercado_Receita!$N$2:$N$2216)</f>
        <v>77.193000000000012</v>
      </c>
      <c r="T37" s="13">
        <f>SUMIF(Mercado_Receita!$T$2:$T$2216,"44743B3Energia horáriaNão se aplicaNão se aplicaNão se aplicaNão se aplicaFora ponta",Mercado_Receita!$N$2:$N$2216)</f>
        <v>77.193000000000012</v>
      </c>
      <c r="U37" s="13">
        <f t="shared" si="0"/>
        <v>1004.5179999999999</v>
      </c>
      <c r="V37" s="13"/>
      <c r="W37" s="13"/>
    </row>
    <row r="38" spans="1:23" ht="11.25" customHeight="1" x14ac:dyDescent="0.25">
      <c r="A38" s="83"/>
      <c r="B38" s="12" t="s">
        <v>109</v>
      </c>
      <c r="C38" s="12" t="s">
        <v>25</v>
      </c>
      <c r="D38" s="12" t="s">
        <v>25</v>
      </c>
      <c r="E38" s="12" t="s">
        <v>25</v>
      </c>
      <c r="F38" s="12" t="s">
        <v>25</v>
      </c>
      <c r="G38" s="13" t="s">
        <v>108</v>
      </c>
      <c r="H38" s="13" t="s">
        <v>102</v>
      </c>
      <c r="I38" s="13">
        <f>SUMIF(Mercado_Receita!$T$2:$T$2216,"44409B3Energia convencionalNão se aplicaNão se aplicaNão se aplicaNão se aplicaNão se aplica",Mercado_Receita!$N$2:$N$2216)</f>
        <v>50684.050999999999</v>
      </c>
      <c r="J38" s="13">
        <f>SUMIF(Mercado_Receita!$T$2:$T$2216,"44440B3Energia convencionalNão se aplicaNão se aplicaNão se aplicaNão se aplicaNão se aplica",Mercado_Receita!$N$2:$N$2216)</f>
        <v>51068.729999999996</v>
      </c>
      <c r="K38" s="13">
        <f>SUMIF(Mercado_Receita!$T$2:$T$2216,"44470B3Energia convencionalNão se aplicaNão se aplicaNão se aplicaNão se aplicaNão se aplica",Mercado_Receita!$N$2:$N$2216)</f>
        <v>54405.867000000013</v>
      </c>
      <c r="L38" s="13">
        <f>SUMIF(Mercado_Receita!$T$2:$T$2216,"44501B3Energia convencionalNão se aplicaNão se aplicaNão se aplicaNão se aplicaNão se aplica",Mercado_Receita!$N$2:$N$2216)</f>
        <v>54785.786</v>
      </c>
      <c r="M38" s="13">
        <f>SUMIF(Mercado_Receita!$T$2:$T$2216,"44531B3Energia convencionalNão se aplicaNão se aplicaNão se aplicaNão se aplicaNão se aplica",Mercado_Receita!$N$2:$N$2216)</f>
        <v>61338.811999999998</v>
      </c>
      <c r="N38" s="13">
        <f>SUMIF(Mercado_Receita!$T$2:$T$2216,"44562B3Energia convencionalNão se aplicaNão se aplicaNão se aplicaNão se aplicaNão se aplica",Mercado_Receita!$N$2:$N$2216)</f>
        <v>54320.799999999996</v>
      </c>
      <c r="O38" s="13">
        <f>SUMIF(Mercado_Receita!$T$2:$T$2216,"44593B3Energia convencionalNão se aplicaNão se aplicaNão se aplicaNão se aplicaNão se aplica",Mercado_Receita!$N$2:$N$2216)</f>
        <v>50679.316999999988</v>
      </c>
      <c r="P38" s="13">
        <f>SUMIF(Mercado_Receita!$T$2:$T$2216,"44621B3Energia convencionalNão se aplicaNão se aplicaNão se aplicaNão se aplicaNão se aplica",Mercado_Receita!$N$2:$N$2216)</f>
        <v>58026.979000000007</v>
      </c>
      <c r="Q38" s="13">
        <f>SUMIF(Mercado_Receita!$T$2:$T$2216,"44652B3Energia convencionalNão se aplicaNão se aplicaNão se aplicaNão se aplicaNão se aplica",Mercado_Receita!$N$2:$N$2216)</f>
        <v>55976.262000000002</v>
      </c>
      <c r="R38" s="13">
        <f>SUMIF(Mercado_Receita!$T$2:$T$2216,"44682B3Energia convencionalNão se aplicaNão se aplicaNão se aplicaNão se aplicaNão se aplica",Mercado_Receita!$N$2:$N$2216)</f>
        <v>56648.834999999999</v>
      </c>
      <c r="S38" s="13">
        <f>SUMIF(Mercado_Receita!$T$2:$T$2216,"44713B3Energia convencionalNão se aplicaNão se aplicaNão se aplicaNão se aplicaNão se aplica",Mercado_Receita!$N$2:$N$2216)</f>
        <v>51387.301999999989</v>
      </c>
      <c r="T38" s="13">
        <f>SUMIF(Mercado_Receita!$T$2:$T$2216,"44743B3Energia convencionalNão se aplicaNão se aplicaNão se aplicaNão se aplicaNão se aplica",Mercado_Receita!$N$2:$N$2216)</f>
        <v>51387.301999999989</v>
      </c>
      <c r="U38" s="13">
        <f t="shared" si="0"/>
        <v>650710.04299999995</v>
      </c>
      <c r="V38" s="13"/>
      <c r="W38" s="13"/>
    </row>
    <row r="39" spans="1:23" ht="11.25" customHeight="1" x14ac:dyDescent="0.25">
      <c r="A39" s="83"/>
      <c r="B39" s="12" t="s">
        <v>114</v>
      </c>
      <c r="C39" s="12" t="s">
        <v>25</v>
      </c>
      <c r="D39" s="12" t="s">
        <v>25</v>
      </c>
      <c r="E39" s="12" t="s">
        <v>25</v>
      </c>
      <c r="F39" s="12" t="s">
        <v>25</v>
      </c>
      <c r="G39" s="13" t="s">
        <v>108</v>
      </c>
      <c r="H39" s="13" t="s">
        <v>102</v>
      </c>
      <c r="I39" s="13">
        <f>SUMIF(Mercado_Receita!$T$2:$T$2216,"44409B3Energia convencional pré-pagamentoNão se aplicaNão se aplicaNão se aplicaNão se aplicaNão se aplica",Mercado_Receita!$N$2:$N$2216)</f>
        <v>0</v>
      </c>
      <c r="J39" s="13">
        <f>SUMIF(Mercado_Receita!$T$2:$T$2216,"44440B3Energia convencional pré-pagamentoNão se aplicaNão se aplicaNão se aplicaNão se aplicaNão se aplica",Mercado_Receita!$N$2:$N$2216)</f>
        <v>0</v>
      </c>
      <c r="K39" s="13">
        <f>SUMIF(Mercado_Receita!$T$2:$T$2216,"44470B3Energia convencional pré-pagamentoNão se aplicaNão se aplicaNão se aplicaNão se aplicaNão se aplica",Mercado_Receita!$N$2:$N$2216)</f>
        <v>0</v>
      </c>
      <c r="L39" s="13">
        <f>SUMIF(Mercado_Receita!$T$2:$T$2216,"44501B3Energia convencional pré-pagamentoNão se aplicaNão se aplicaNão se aplicaNão se aplicaNão se aplica",Mercado_Receita!$N$2:$N$2216)</f>
        <v>0</v>
      </c>
      <c r="M39" s="13">
        <f>SUMIF(Mercado_Receita!$T$2:$T$2216,"44531B3Energia convencional pré-pagamentoNão se aplicaNão se aplicaNão se aplicaNão se aplicaNão se aplica",Mercado_Receita!$N$2:$N$2216)</f>
        <v>0</v>
      </c>
      <c r="N39" s="13">
        <f>SUMIF(Mercado_Receita!$T$2:$T$2216,"44562B3Energia convencional pré-pagamentoNão se aplicaNão se aplicaNão se aplicaNão se aplicaNão se aplica",Mercado_Receita!$N$2:$N$2216)</f>
        <v>0</v>
      </c>
      <c r="O39" s="13">
        <f>SUMIF(Mercado_Receita!$T$2:$T$2216,"44593B3Energia convencional pré-pagamentoNão se aplicaNão se aplicaNão se aplicaNão se aplicaNão se aplica",Mercado_Receita!$N$2:$N$2216)</f>
        <v>0</v>
      </c>
      <c r="P39" s="13">
        <f>SUMIF(Mercado_Receita!$T$2:$T$2216,"44621B3Energia convencional pré-pagamentoNão se aplicaNão se aplicaNão se aplicaNão se aplicaNão se aplica",Mercado_Receita!$N$2:$N$2216)</f>
        <v>0</v>
      </c>
      <c r="Q39" s="13">
        <f>SUMIF(Mercado_Receita!$T$2:$T$2216,"44652B3Energia convencional pré-pagamentoNão se aplicaNão se aplicaNão se aplicaNão se aplicaNão se aplica",Mercado_Receita!$N$2:$N$2216)</f>
        <v>0</v>
      </c>
      <c r="R39" s="13">
        <f>SUMIF(Mercado_Receita!$T$2:$T$2216,"44682B3Energia convencional pré-pagamentoNão se aplicaNão se aplicaNão se aplicaNão se aplicaNão se aplica",Mercado_Receita!$N$2:$N$2216)</f>
        <v>0</v>
      </c>
      <c r="S39" s="13">
        <f>SUMIF(Mercado_Receita!$T$2:$T$2216,"44713B3Energia convencional pré-pagamentoNão se aplicaNão se aplicaNão se aplicaNão se aplicaNão se aplica",Mercado_Receita!$N$2:$N$2216)</f>
        <v>0</v>
      </c>
      <c r="T39" s="13">
        <f>SUMIF(Mercado_Receita!$T$2:$T$2216,"44743B3Energia convencional pré-pagamentoNão se aplicaNão se aplicaNão se aplicaNão se aplicaNão se aplica",Mercado_Receita!$N$2:$N$2216)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82" t="s">
        <v>47</v>
      </c>
      <c r="B40" s="82" t="s">
        <v>109</v>
      </c>
      <c r="C40" s="82" t="s">
        <v>48</v>
      </c>
      <c r="D40" s="12" t="s">
        <v>49</v>
      </c>
      <c r="E40" s="12" t="s">
        <v>25</v>
      </c>
      <c r="F40" s="12" t="s">
        <v>25</v>
      </c>
      <c r="G40" s="13" t="s">
        <v>108</v>
      </c>
      <c r="H40" s="13" t="s">
        <v>102</v>
      </c>
      <c r="I40" s="13">
        <f>SUMIF(Mercado_Receita!$T$2:$T$2216,"44409B4Energia convencionalIluminação públicaIluminação pública – B4aNão se aplicaNão se aplicaNão se aplica",Mercado_Receita!$N$2:$N$2216)</f>
        <v>20452.041000000001</v>
      </c>
      <c r="J40" s="13">
        <f>SUMIF(Mercado_Receita!$T$2:$T$2216,"44440B4Energia convencionalIluminação públicaIluminação pública – B4aNão se aplicaNão se aplicaNão se aplica",Mercado_Receita!$N$2:$N$2216)</f>
        <v>21159.344000000001</v>
      </c>
      <c r="K40" s="13">
        <f>SUMIF(Mercado_Receita!$T$2:$T$2216,"44470B4Energia convencionalIluminação públicaIluminação pública – B4aNão se aplicaNão se aplicaNão se aplica",Mercado_Receita!$N$2:$N$2216)</f>
        <v>21282.370999999999</v>
      </c>
      <c r="L40" s="13">
        <f>SUMIF(Mercado_Receita!$T$2:$T$2216,"44501B4Energia convencionalIluminação públicaIluminação pública – B4aNão se aplicaNão se aplicaNão se aplica",Mercado_Receita!$N$2:$N$2216)</f>
        <v>20635.312999999998</v>
      </c>
      <c r="M40" s="13">
        <f>SUMIF(Mercado_Receita!$T$2:$T$2216,"44531B4Energia convencionalIluminação públicaIluminação pública – B4aNão se aplicaNão se aplicaNão se aplica",Mercado_Receita!$N$2:$N$2216)</f>
        <v>23343.935000000001</v>
      </c>
      <c r="N40" s="13">
        <f>SUMIF(Mercado_Receita!$T$2:$T$2216,"44562B4Energia convencionalIluminação públicaIluminação pública – B4aNão se aplicaNão se aplicaNão se aplica",Mercado_Receita!$N$2:$N$2216)</f>
        <v>21172.441000000003</v>
      </c>
      <c r="O40" s="13">
        <f>SUMIF(Mercado_Receita!$T$2:$T$2216,"44593B4Energia convencionalIluminação públicaIluminação pública – B4aNão se aplicaNão se aplicaNão se aplica",Mercado_Receita!$N$2:$N$2216)</f>
        <v>19252.683000000001</v>
      </c>
      <c r="P40" s="13">
        <f>SUMIF(Mercado_Receita!$T$2:$T$2216,"44621B4Energia convencionalIluminação públicaIluminação pública – B4aNão se aplicaNão se aplicaNão se aplica",Mercado_Receita!$N$2:$N$2216)</f>
        <v>21119.180000000004</v>
      </c>
      <c r="Q40" s="13">
        <f>SUMIF(Mercado_Receita!$T$2:$T$2216,"44652B4Energia convencionalIluminação públicaIluminação pública – B4aNão se aplicaNão se aplicaNão se aplica",Mercado_Receita!$N$2:$N$2216)</f>
        <v>20685.167000000001</v>
      </c>
      <c r="R40" s="13">
        <f>SUMIF(Mercado_Receita!$T$2:$T$2216,"44682B4Energia convencionalIluminação públicaIluminação pública – B4aNão se aplicaNão se aplicaNão se aplica",Mercado_Receita!$N$2:$N$2216)</f>
        <v>21457.673000000003</v>
      </c>
      <c r="S40" s="13">
        <f>SUMIF(Mercado_Receita!$T$2:$T$2216,"44713B4Energia convencionalIluminação públicaIluminação pública – B4aNão se aplicaNão se aplicaNão se aplica",Mercado_Receita!$N$2:$N$2216)</f>
        <v>20806.334999999999</v>
      </c>
      <c r="T40" s="13">
        <f>SUMIF(Mercado_Receita!$T$2:$T$2216,"44743B4Energia convencionalIluminação públicaIluminação pública – B4aNão se aplicaNão se aplicaNão se aplica",Mercado_Receita!$N$2:$N$2216)</f>
        <v>20806.334999999999</v>
      </c>
      <c r="U40" s="13">
        <f t="shared" si="0"/>
        <v>252172.81799999997</v>
      </c>
      <c r="V40" s="13"/>
      <c r="W40" s="13"/>
    </row>
    <row r="41" spans="1:23" ht="11.25" customHeight="1" x14ac:dyDescent="0.25">
      <c r="A41" s="83"/>
      <c r="B41" s="83"/>
      <c r="C41" s="83"/>
      <c r="D41" s="13" t="s">
        <v>118</v>
      </c>
      <c r="E41" s="13" t="s">
        <v>25</v>
      </c>
      <c r="F41" s="13" t="s">
        <v>25</v>
      </c>
      <c r="G41" s="13" t="s">
        <v>108</v>
      </c>
      <c r="H41" s="13" t="s">
        <v>102</v>
      </c>
      <c r="I41" s="13">
        <f>SUMIF(Mercado_Receita!$T$2:$T$2216,"44409B4Energia convencionalIluminação públicaIluminação pública – B4bNão se aplicaNão se aplicaNão se aplica",Mercado_Receita!$N$2:$N$2216)</f>
        <v>0</v>
      </c>
      <c r="J41" s="13">
        <f>SUMIF(Mercado_Receita!$T$2:$T$2216,"44440B4Energia convencionalIluminação públicaIluminação pública – B4bNão se aplicaNão se aplicaNão se aplica",Mercado_Receita!$N$2:$N$2216)</f>
        <v>0</v>
      </c>
      <c r="K41" s="13">
        <f>SUMIF(Mercado_Receita!$T$2:$T$2216,"44470B4Energia convencionalIluminação públicaIluminação pública – B4bNão se aplicaNão se aplicaNão se aplica",Mercado_Receita!$N$2:$N$2216)</f>
        <v>0</v>
      </c>
      <c r="L41" s="13">
        <f>SUMIF(Mercado_Receita!$T$2:$T$2216,"44501B4Energia convencionalIluminação públicaIluminação pública – B4bNão se aplicaNão se aplicaNão se aplica",Mercado_Receita!$N$2:$N$2216)</f>
        <v>0</v>
      </c>
      <c r="M41" s="13">
        <f>SUMIF(Mercado_Receita!$T$2:$T$2216,"44531B4Energia convencionalIluminação públicaIluminação pública – B4bNão se aplicaNão se aplicaNão se aplica",Mercado_Receita!$N$2:$N$2216)</f>
        <v>0</v>
      </c>
      <c r="N41" s="13">
        <f>SUMIF(Mercado_Receita!$T$2:$T$2216,"44562B4Energia convencionalIluminação públicaIluminação pública – B4bNão se aplicaNão se aplicaNão se aplica",Mercado_Receita!$N$2:$N$2216)</f>
        <v>0</v>
      </c>
      <c r="O41" s="13">
        <f>SUMIF(Mercado_Receita!$T$2:$T$2216,"44593B4Energia convencionalIluminação públicaIluminação pública – B4bNão se aplicaNão se aplicaNão se aplica",Mercado_Receita!$N$2:$N$2216)</f>
        <v>0</v>
      </c>
      <c r="P41" s="13">
        <f>SUMIF(Mercado_Receita!$T$2:$T$2216,"44621B4Energia convencionalIluminação públicaIluminação pública – B4bNão se aplicaNão se aplicaNão se aplica",Mercado_Receita!$N$2:$N$2216)</f>
        <v>0</v>
      </c>
      <c r="Q41" s="13">
        <f>SUMIF(Mercado_Receita!$T$2:$T$2216,"44652B4Energia convencionalIluminação públicaIluminação pública – B4bNão se aplicaNão se aplicaNão se aplica",Mercado_Receita!$N$2:$N$2216)</f>
        <v>0</v>
      </c>
      <c r="R41" s="13">
        <f>SUMIF(Mercado_Receita!$T$2:$T$2216,"44682B4Energia convencionalIluminação públicaIluminação pública – B4bNão se aplicaNão se aplicaNão se aplica",Mercado_Receita!$N$2:$N$2216)</f>
        <v>0</v>
      </c>
      <c r="S41" s="13">
        <f>SUMIF(Mercado_Receita!$T$2:$T$2216,"44713B4Energia convencionalIluminação públicaIluminação pública – B4bNão se aplicaNão se aplicaNão se aplica",Mercado_Receita!$N$2:$N$2216)</f>
        <v>0</v>
      </c>
      <c r="T41" s="13">
        <f>SUMIF(Mercado_Receita!$T$2:$T$2216,"44743B4Energia convencionalIluminação públicaIluminação pública – B4bNão se aplicaNão se aplicaNão se aplica",Mercado_Receita!$N$2:$N$2216)</f>
        <v>0</v>
      </c>
      <c r="U41" s="13">
        <f t="shared" si="0"/>
        <v>0</v>
      </c>
      <c r="V41" s="13"/>
      <c r="W41" s="13"/>
    </row>
    <row r="42" spans="1:23" ht="11.25" customHeight="1" x14ac:dyDescent="0.25">
      <c r="A42" s="84" t="s">
        <v>833</v>
      </c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13"/>
      <c r="W42" s="13"/>
    </row>
  </sheetData>
  <mergeCells count="50">
    <mergeCell ref="A40:A41"/>
    <mergeCell ref="B40:B41"/>
    <mergeCell ref="C40:C41"/>
    <mergeCell ref="A42:U42"/>
    <mergeCell ref="C32:C34"/>
    <mergeCell ref="B32:B34"/>
    <mergeCell ref="A20:A34"/>
    <mergeCell ref="F35:F37"/>
    <mergeCell ref="E35:E37"/>
    <mergeCell ref="D35:D37"/>
    <mergeCell ref="C35:C37"/>
    <mergeCell ref="B35:B37"/>
    <mergeCell ref="A35:A39"/>
    <mergeCell ref="F24:F26"/>
    <mergeCell ref="E24:E26"/>
    <mergeCell ref="D24:D26"/>
    <mergeCell ref="C24:C26"/>
    <mergeCell ref="B24:B26"/>
    <mergeCell ref="F28:F30"/>
    <mergeCell ref="E28:E30"/>
    <mergeCell ref="D28:D30"/>
    <mergeCell ref="C28:C30"/>
    <mergeCell ref="B28:B30"/>
    <mergeCell ref="C15:C19"/>
    <mergeCell ref="B15:B19"/>
    <mergeCell ref="A7:A19"/>
    <mergeCell ref="F20:F22"/>
    <mergeCell ref="E20:E22"/>
    <mergeCell ref="D20:D22"/>
    <mergeCell ref="C20:C22"/>
    <mergeCell ref="B20:B22"/>
    <mergeCell ref="F7:F9"/>
    <mergeCell ref="E7:E9"/>
    <mergeCell ref="D7:D9"/>
    <mergeCell ref="C7:C9"/>
    <mergeCell ref="B7:B9"/>
    <mergeCell ref="C10:C14"/>
    <mergeCell ref="B10:B14"/>
    <mergeCell ref="A4:A6"/>
    <mergeCell ref="F2:F3"/>
    <mergeCell ref="E2:E3"/>
    <mergeCell ref="D2:D3"/>
    <mergeCell ref="C2:C3"/>
    <mergeCell ref="B2:B3"/>
    <mergeCell ref="A2:A3"/>
    <mergeCell ref="F4:F5"/>
    <mergeCell ref="E4:E5"/>
    <mergeCell ref="D4:D5"/>
    <mergeCell ref="C4:C5"/>
    <mergeCell ref="B4:B5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3C881-3E2F-489C-BD2B-C2BC609062CF}">
  <dimension ref="A1:AD200"/>
  <sheetViews>
    <sheetView showGridLines="0" topLeftCell="C25" workbookViewId="0">
      <selection activeCell="G49" sqref="G49"/>
    </sheetView>
  </sheetViews>
  <sheetFormatPr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" style="14" bestFit="1" customWidth="1"/>
    <col min="5" max="5" width="14.5703125" style="14" bestFit="1" customWidth="1"/>
    <col min="6" max="6" width="11.7109375" style="14" bestFit="1" customWidth="1"/>
    <col min="7" max="7" width="14.28515625" style="14" bestFit="1" customWidth="1"/>
    <col min="8" max="11" width="9.140625" style="14"/>
    <col min="12" max="12" width="34.140625" style="14" bestFit="1" customWidth="1"/>
    <col min="13" max="13" width="13.140625" style="14" bestFit="1" customWidth="1"/>
    <col min="14" max="14" width="36.140625" style="14" bestFit="1" customWidth="1"/>
    <col min="15" max="15" width="30.7109375" style="14" customWidth="1"/>
    <col min="16" max="16" width="13.5703125" style="14" bestFit="1" customWidth="1"/>
    <col min="17" max="17" width="10.85546875" style="14" bestFit="1" customWidth="1"/>
    <col min="18" max="18" width="14.5703125" style="14" bestFit="1" customWidth="1"/>
    <col min="19" max="19" width="31.140625" style="14" bestFit="1" customWidth="1"/>
    <col min="20" max="20" width="15.42578125" style="14" bestFit="1" customWidth="1"/>
    <col min="21" max="21" width="10.85546875" style="14" bestFit="1" customWidth="1"/>
    <col min="22" max="22" width="13.28515625" style="14" bestFit="1" customWidth="1"/>
    <col min="23" max="23" width="5" style="14" bestFit="1" customWidth="1"/>
    <col min="24" max="24" width="51.7109375" style="14" bestFit="1" customWidth="1"/>
    <col min="25" max="26" width="5" style="14" bestFit="1" customWidth="1"/>
    <col min="27" max="27" width="2" style="14" bestFit="1" customWidth="1"/>
    <col min="28" max="16384" width="9.140625" style="14"/>
  </cols>
  <sheetData>
    <row r="1" spans="1:30" ht="12" customHeight="1" x14ac:dyDescent="0.2">
      <c r="A1" s="17" t="s">
        <v>873</v>
      </c>
      <c r="B1" s="17" t="s">
        <v>874</v>
      </c>
      <c r="C1" s="17" t="s">
        <v>875</v>
      </c>
      <c r="D1" s="17" t="s">
        <v>876</v>
      </c>
      <c r="E1" s="17" t="s">
        <v>877</v>
      </c>
      <c r="F1" s="17" t="s">
        <v>878</v>
      </c>
      <c r="G1" s="7"/>
      <c r="H1" s="7"/>
      <c r="I1" s="7"/>
      <c r="J1" s="7"/>
      <c r="K1" s="7"/>
      <c r="L1" s="95" t="s">
        <v>879</v>
      </c>
      <c r="M1" s="95"/>
      <c r="N1" s="7"/>
      <c r="O1" s="93" t="s">
        <v>1063</v>
      </c>
      <c r="P1" s="94"/>
      <c r="Q1" s="94"/>
      <c r="R1" s="94"/>
      <c r="S1" s="94"/>
      <c r="T1" s="94"/>
      <c r="U1" s="94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88" t="s">
        <v>834</v>
      </c>
      <c r="B2" s="88" t="s">
        <v>835</v>
      </c>
      <c r="C2" s="30" t="s">
        <v>920</v>
      </c>
      <c r="D2" s="16">
        <v>14228608.829814913</v>
      </c>
      <c r="E2" s="16">
        <v>-354639.46393461735</v>
      </c>
      <c r="F2" s="16">
        <v>1183799.6534256104</v>
      </c>
      <c r="G2" s="15"/>
      <c r="H2" s="15"/>
      <c r="I2" s="15"/>
      <c r="J2" s="15"/>
      <c r="K2" s="15"/>
      <c r="L2" s="43" t="s">
        <v>880</v>
      </c>
      <c r="M2" s="68">
        <v>0.11398762211579494</v>
      </c>
      <c r="N2" s="15"/>
      <c r="O2" s="48" t="s">
        <v>1064</v>
      </c>
      <c r="P2" s="48" t="s">
        <v>39</v>
      </c>
      <c r="Q2" s="48" t="s">
        <v>1065</v>
      </c>
      <c r="R2" s="48" t="s">
        <v>41</v>
      </c>
      <c r="S2" s="48" t="s">
        <v>1066</v>
      </c>
      <c r="T2" s="48" t="s">
        <v>110</v>
      </c>
      <c r="U2" s="48"/>
      <c r="V2" s="15"/>
      <c r="W2" s="15"/>
      <c r="X2" s="43" t="s">
        <v>1059</v>
      </c>
      <c r="Y2" s="15"/>
      <c r="Z2" s="15"/>
      <c r="AA2" s="15" t="s">
        <v>952</v>
      </c>
      <c r="AB2" s="15"/>
      <c r="AC2" s="15"/>
      <c r="AD2" s="15"/>
    </row>
    <row r="3" spans="1:30" ht="12" customHeight="1" x14ac:dyDescent="0.2">
      <c r="A3" s="96"/>
      <c r="B3" s="96"/>
      <c r="C3" s="30" t="s">
        <v>836</v>
      </c>
      <c r="D3" s="16">
        <v>3354704.9346611435</v>
      </c>
      <c r="E3" s="16">
        <v>-70760.489781174329</v>
      </c>
      <c r="F3" s="16">
        <v>0</v>
      </c>
      <c r="G3" s="15"/>
      <c r="H3" s="15"/>
      <c r="I3" s="15"/>
      <c r="J3" s="15"/>
      <c r="K3" s="15"/>
      <c r="L3" s="43" t="s">
        <v>881</v>
      </c>
      <c r="M3" s="68"/>
      <c r="N3" s="15"/>
      <c r="O3" s="49">
        <v>1</v>
      </c>
      <c r="P3" s="49">
        <v>1</v>
      </c>
      <c r="Q3" s="49">
        <v>1</v>
      </c>
      <c r="R3" s="49">
        <v>1</v>
      </c>
      <c r="S3" s="49">
        <v>1</v>
      </c>
      <c r="T3" s="49">
        <v>1</v>
      </c>
      <c r="U3" s="49" t="s">
        <v>1067</v>
      </c>
      <c r="V3" s="15"/>
      <c r="W3" s="15"/>
      <c r="X3" s="43" t="s">
        <v>1060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96"/>
      <c r="B4" s="96"/>
      <c r="C4" s="30" t="s">
        <v>837</v>
      </c>
      <c r="D4" s="16">
        <f>$M$22-D$30</f>
        <v>12061233.936620025</v>
      </c>
      <c r="E4" s="16">
        <f>IF((D4+D$30)&lt;&gt;0,$M$20*D4/(D4+D$30),0)</f>
        <v>0</v>
      </c>
      <c r="F4" s="16">
        <f>IF((D4+D$30)&lt;&gt;0,$M$21*D4/(D4+D$30),0)</f>
        <v>0</v>
      </c>
      <c r="G4" s="15"/>
      <c r="H4" s="15"/>
      <c r="I4" s="15"/>
      <c r="J4" s="15"/>
      <c r="K4" s="15"/>
      <c r="L4" s="43" t="s">
        <v>882</v>
      </c>
      <c r="M4" s="68">
        <v>0.10076792163048442</v>
      </c>
      <c r="N4" s="15"/>
      <c r="O4" s="49">
        <v>1</v>
      </c>
      <c r="P4" s="49">
        <v>1</v>
      </c>
      <c r="Q4" s="49">
        <v>1</v>
      </c>
      <c r="R4" s="49">
        <v>1</v>
      </c>
      <c r="S4" s="49">
        <v>1</v>
      </c>
      <c r="T4" s="49">
        <v>1</v>
      </c>
      <c r="U4" s="49" t="s">
        <v>66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96"/>
      <c r="B5" s="96"/>
      <c r="C5" s="30" t="s">
        <v>838</v>
      </c>
      <c r="D5" s="16">
        <v>103880.89285714286</v>
      </c>
      <c r="E5" s="16">
        <v>-2504.5058717452998</v>
      </c>
      <c r="F5" s="16">
        <v>0</v>
      </c>
      <c r="G5" s="15"/>
      <c r="H5" s="15"/>
      <c r="I5" s="15"/>
      <c r="J5" s="15"/>
      <c r="K5" s="15"/>
      <c r="L5" s="43" t="s">
        <v>883</v>
      </c>
      <c r="M5" s="68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96"/>
      <c r="B6" s="96"/>
      <c r="C6" s="30" t="s">
        <v>839</v>
      </c>
      <c r="D6" s="16">
        <v>0</v>
      </c>
      <c r="E6" s="16">
        <v>0</v>
      </c>
      <c r="F6" s="16">
        <v>0</v>
      </c>
      <c r="G6" s="15"/>
      <c r="H6" s="15"/>
      <c r="I6" s="15"/>
      <c r="J6" s="15"/>
      <c r="K6" s="15"/>
      <c r="L6" s="43" t="s">
        <v>884</v>
      </c>
      <c r="M6" s="68">
        <v>2.2497188302135207E-2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96"/>
      <c r="B7" s="96"/>
      <c r="C7" s="30" t="s">
        <v>840</v>
      </c>
      <c r="D7" s="16">
        <v>134931229.09243637</v>
      </c>
      <c r="E7" s="16">
        <v>-567230.78606959688</v>
      </c>
      <c r="F7" s="16">
        <v>32435106.428576518</v>
      </c>
      <c r="G7" s="15"/>
      <c r="H7" s="15"/>
      <c r="I7" s="15"/>
      <c r="J7" s="15"/>
      <c r="K7" s="15"/>
      <c r="L7" s="43" t="s">
        <v>885</v>
      </c>
      <c r="M7" s="43">
        <f>M8+M9+M10+M11</f>
        <v>867137.00245739263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96"/>
      <c r="B8" s="96"/>
      <c r="C8" s="30" t="s">
        <v>841</v>
      </c>
      <c r="D8" s="16">
        <v>56366862.730122909</v>
      </c>
      <c r="E8" s="16">
        <v>-502190.41248689161</v>
      </c>
      <c r="F8" s="16">
        <v>14727666.253347442</v>
      </c>
      <c r="G8" s="15"/>
      <c r="H8" s="15"/>
      <c r="I8" s="15"/>
      <c r="J8" s="15"/>
      <c r="K8" s="15"/>
      <c r="L8" s="69" t="s">
        <v>886</v>
      </c>
      <c r="M8" s="43">
        <v>548009.66748989432</v>
      </c>
      <c r="N8" s="15"/>
      <c r="O8" s="43" t="s">
        <v>919</v>
      </c>
      <c r="P8" s="49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96"/>
      <c r="B9" s="96"/>
      <c r="C9" s="30" t="s">
        <v>842</v>
      </c>
      <c r="D9" s="16"/>
      <c r="E9" s="16"/>
      <c r="F9" s="16"/>
      <c r="G9" s="15"/>
      <c r="H9" s="15"/>
      <c r="I9" s="15"/>
      <c r="J9" s="15"/>
      <c r="K9" s="15"/>
      <c r="L9" s="70" t="s">
        <v>887</v>
      </c>
      <c r="M9" s="43">
        <v>198644.61256749838</v>
      </c>
      <c r="N9" s="15"/>
      <c r="O9" s="43" t="s">
        <v>1050</v>
      </c>
      <c r="P9" s="49">
        <f>SUM(Mercado_Receita!$J$2:$J$2216)</f>
        <v>10294763</v>
      </c>
      <c r="Q9" s="49">
        <v>10294763</v>
      </c>
      <c r="R9" s="49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96"/>
      <c r="B10" s="89"/>
      <c r="C10" s="30" t="s">
        <v>843</v>
      </c>
      <c r="D10" s="16">
        <f>SUM(D$2:D9)</f>
        <v>221046520.41651249</v>
      </c>
      <c r="E10" s="16">
        <f>SUM(E$2:E9)</f>
        <v>-1497325.6581440256</v>
      </c>
      <c r="F10" s="16">
        <f>SUM(F$2:F9)</f>
        <v>48346572.335349567</v>
      </c>
      <c r="G10" s="15"/>
      <c r="H10" s="15"/>
      <c r="I10" s="15"/>
      <c r="J10" s="15"/>
      <c r="K10" s="15"/>
      <c r="L10" s="69" t="s">
        <v>888</v>
      </c>
      <c r="M10" s="43">
        <v>19578.211039503232</v>
      </c>
      <c r="N10" s="15"/>
      <c r="O10" s="43" t="s">
        <v>1051</v>
      </c>
      <c r="P10" s="49">
        <f>SUM(Mercado_Receita!$L$2:$L$2216)</f>
        <v>4844516.4049999947</v>
      </c>
      <c r="Q10" s="49">
        <v>4844516.40499999</v>
      </c>
      <c r="R10" s="49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96"/>
      <c r="B11" s="88" t="s">
        <v>844</v>
      </c>
      <c r="C11" s="30" t="s">
        <v>845</v>
      </c>
      <c r="D11" s="16">
        <v>151911378.442</v>
      </c>
      <c r="E11" s="16">
        <v>834158.35808967892</v>
      </c>
      <c r="F11" s="16">
        <f>IF((+$D$11+$D$12+$D$16+$D$17+$D$39)&lt;&gt;0,$M$19*$D$11/(+$D$11+$D$12+$D$16+$D$17+$D$39),0)</f>
        <v>7398562.6477510631</v>
      </c>
      <c r="G11" s="15"/>
      <c r="H11" s="15"/>
      <c r="I11" s="15"/>
      <c r="J11" s="15"/>
      <c r="K11" s="15"/>
      <c r="L11" s="69" t="s">
        <v>889</v>
      </c>
      <c r="M11" s="43">
        <v>100904.51136049676</v>
      </c>
      <c r="N11" s="15"/>
      <c r="O11" s="43" t="s">
        <v>1052</v>
      </c>
      <c r="P11" s="49">
        <f>SUM(Mercado_Receita!$N$2:$N$2216)</f>
        <v>3848195.5850000014</v>
      </c>
      <c r="Q11" s="49">
        <v>3848195.585</v>
      </c>
      <c r="R11" s="49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96"/>
      <c r="B12" s="96"/>
      <c r="C12" s="30" t="s">
        <v>846</v>
      </c>
      <c r="D12" s="16">
        <v>47135250.177000001</v>
      </c>
      <c r="E12" s="16">
        <v>0</v>
      </c>
      <c r="F12" s="16">
        <f>IF((+$D$11+$D$12+$D$16+$D$17+$D$39)&lt;&gt;0,$M$19*$D$12/(+$D$11+$D$12+$D$16+$D$17+$D$39),0)</f>
        <v>2295635.1586599601</v>
      </c>
      <c r="G12" s="15"/>
      <c r="H12" s="15"/>
      <c r="I12" s="15"/>
      <c r="J12" s="15"/>
      <c r="K12" s="15"/>
      <c r="L12" s="43" t="s">
        <v>890</v>
      </c>
      <c r="M12" s="43">
        <v>4715332.587457398</v>
      </c>
      <c r="N12" s="15"/>
      <c r="O12" s="43" t="s">
        <v>1053</v>
      </c>
      <c r="P12" s="49">
        <f>SUMIF('MERCADO TUSD'!$H$2:$H$62,"kW",'MERCADO TUSD'!$U$2:$U$62)</f>
        <v>10294763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96"/>
      <c r="B13" s="96"/>
      <c r="C13" s="30" t="s">
        <v>847</v>
      </c>
      <c r="D13" s="16">
        <f>-$M$51+8156972.52900078</f>
        <v>8156972.5290007796</v>
      </c>
      <c r="E13" s="16">
        <v>0</v>
      </c>
      <c r="F13" s="16">
        <v>0</v>
      </c>
      <c r="G13" s="15"/>
      <c r="H13" s="15"/>
      <c r="I13" s="15"/>
      <c r="J13" s="15"/>
      <c r="K13" s="15"/>
      <c r="L13" s="43" t="s">
        <v>891</v>
      </c>
      <c r="M13" s="43">
        <v>90730.896228083948</v>
      </c>
      <c r="N13" s="15"/>
      <c r="O13" s="43" t="s">
        <v>1054</v>
      </c>
      <c r="P13" s="49">
        <f>SUMIF('MERCADO TUSD'!$H$2:$H$62,"MWh",'MERCADO TUSD'!$U$2:$U$62)</f>
        <v>4844516.4050000003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96"/>
      <c r="B14" s="96"/>
      <c r="C14" s="30" t="s">
        <v>848</v>
      </c>
      <c r="D14" s="16">
        <v>440091.12</v>
      </c>
      <c r="E14" s="16">
        <v>0</v>
      </c>
      <c r="F14" s="16">
        <v>0</v>
      </c>
      <c r="G14" s="15"/>
      <c r="H14" s="15"/>
      <c r="I14" s="15"/>
      <c r="J14" s="15"/>
      <c r="K14" s="15"/>
      <c r="L14" s="43" t="s">
        <v>892</v>
      </c>
      <c r="M14" s="43">
        <v>217.03344494942058</v>
      </c>
      <c r="N14" s="15"/>
      <c r="O14" s="43" t="s">
        <v>1055</v>
      </c>
      <c r="P14" s="49">
        <f>SUMIF('MERCADO TE'!$H$2:$H$41,"MWh",'MERCADO TE'!$U$2:$U$41)</f>
        <v>3848195.5850000004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96"/>
      <c r="B15" s="96"/>
      <c r="C15" s="30" t="s">
        <v>849</v>
      </c>
      <c r="D15" s="16">
        <v>11815920.792903904</v>
      </c>
      <c r="E15" s="16">
        <v>-544707.03299491131</v>
      </c>
      <c r="F15" s="16">
        <v>0</v>
      </c>
      <c r="G15" s="15"/>
      <c r="H15" s="15"/>
      <c r="I15" s="15"/>
      <c r="J15" s="15"/>
      <c r="K15" s="15"/>
      <c r="L15" s="43" t="s">
        <v>893</v>
      </c>
      <c r="M15" s="43">
        <f>M14*M12</f>
        <v>1023384875.5381441</v>
      </c>
      <c r="N15" s="15"/>
      <c r="O15" s="43" t="s">
        <v>1056</v>
      </c>
      <c r="P15" s="49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96"/>
      <c r="B16" s="96"/>
      <c r="C16" s="30" t="s">
        <v>850</v>
      </c>
      <c r="D16" s="16">
        <v>0</v>
      </c>
      <c r="E16" s="16">
        <v>0</v>
      </c>
      <c r="F16" s="16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43" t="s">
        <v>894</v>
      </c>
      <c r="M16" s="43">
        <v>-119202996.9216634</v>
      </c>
      <c r="N16" s="15"/>
      <c r="O16" s="43" t="s">
        <v>1057</v>
      </c>
      <c r="P16" s="49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96"/>
      <c r="B17" s="96"/>
      <c r="C17" s="30" t="s">
        <v>851</v>
      </c>
      <c r="D17" s="16">
        <v>0</v>
      </c>
      <c r="E17" s="16">
        <v>0</v>
      </c>
      <c r="F17" s="16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43" t="s">
        <v>895</v>
      </c>
      <c r="M17" s="43">
        <v>52305623.032184444</v>
      </c>
      <c r="N17" s="15"/>
      <c r="O17" s="43" t="s">
        <v>1058</v>
      </c>
      <c r="P17" s="49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96"/>
      <c r="B18" s="89"/>
      <c r="C18" s="30" t="s">
        <v>843</v>
      </c>
      <c r="D18" s="16">
        <f>SUM(D$11:D17)</f>
        <v>219459613.06090471</v>
      </c>
      <c r="E18" s="16">
        <f>SUM(E$11:E17)</f>
        <v>289451.32509476761</v>
      </c>
      <c r="F18" s="16">
        <f>SUM(F$11:F17)</f>
        <v>9694197.8064110242</v>
      </c>
      <c r="G18" s="15"/>
      <c r="H18" s="15"/>
      <c r="I18" s="15"/>
      <c r="J18" s="15"/>
      <c r="K18" s="15"/>
      <c r="L18" s="43" t="s">
        <v>896</v>
      </c>
      <c r="M18" s="43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96"/>
      <c r="B19" s="88" t="s">
        <v>852</v>
      </c>
      <c r="C19" s="30" t="s">
        <v>853</v>
      </c>
      <c r="D19" s="16">
        <v>892880835.41836596</v>
      </c>
      <c r="E19" s="16">
        <v>0</v>
      </c>
      <c r="F19" s="16">
        <v>0</v>
      </c>
      <c r="G19" s="15"/>
      <c r="H19" s="15"/>
      <c r="I19" s="15"/>
      <c r="J19" s="15"/>
      <c r="K19" s="15"/>
      <c r="L19" s="43" t="s">
        <v>897</v>
      </c>
      <c r="M19" s="43">
        <v>9694197.8064110242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96"/>
      <c r="B20" s="89"/>
      <c r="C20" s="30" t="s">
        <v>843</v>
      </c>
      <c r="D20" s="16">
        <f>SUM(D$19:D19)</f>
        <v>892880835.41836596</v>
      </c>
      <c r="E20" s="16">
        <f>SUM(E$19:E19)</f>
        <v>0</v>
      </c>
      <c r="F20" s="16">
        <f>SUM(F$19:F19)</f>
        <v>0</v>
      </c>
      <c r="G20" s="15"/>
      <c r="H20" s="15"/>
      <c r="I20" s="15"/>
      <c r="J20" s="15"/>
      <c r="K20" s="15"/>
      <c r="L20" s="43" t="s">
        <v>898</v>
      </c>
      <c r="M20" s="43">
        <v>0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96"/>
      <c r="B21" s="88" t="s">
        <v>854</v>
      </c>
      <c r="C21" s="30" t="s">
        <v>855</v>
      </c>
      <c r="D21" s="16"/>
      <c r="E21" s="16">
        <f>IF($D$47&lt;&gt;0,(1-$D$46/$D$47)*-218236114.231528,0)+0</f>
        <v>-135294318.49511474</v>
      </c>
      <c r="F21" s="16"/>
      <c r="G21" s="15"/>
      <c r="H21" s="15"/>
      <c r="I21" s="15"/>
      <c r="J21" s="15"/>
      <c r="K21" s="15"/>
      <c r="L21" s="43" t="s">
        <v>899</v>
      </c>
      <c r="M21" s="43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96"/>
      <c r="B22" s="96"/>
      <c r="C22" s="30" t="s">
        <v>856</v>
      </c>
      <c r="D22" s="16"/>
      <c r="E22" s="16"/>
      <c r="F22" s="16"/>
      <c r="G22" s="15"/>
      <c r="H22" s="15"/>
      <c r="I22" s="15"/>
      <c r="J22" s="15"/>
      <c r="K22" s="15"/>
      <c r="L22" s="43" t="s">
        <v>921</v>
      </c>
      <c r="M22" s="43">
        <v>21507234.951272771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96"/>
      <c r="B23" s="89"/>
      <c r="C23" s="30" t="s">
        <v>843</v>
      </c>
      <c r="D23" s="16">
        <f>SUM(D$21:D22)</f>
        <v>0</v>
      </c>
      <c r="E23" s="16">
        <f>SUM(E$21:E22)</f>
        <v>-135294318.49511474</v>
      </c>
      <c r="F23" s="16">
        <f>SUM(F$21:F22)</f>
        <v>0</v>
      </c>
      <c r="G23" s="15"/>
      <c r="H23" s="15"/>
      <c r="I23" s="15"/>
      <c r="J23" s="15"/>
      <c r="K23" s="15"/>
      <c r="L23" s="43" t="s">
        <v>900</v>
      </c>
      <c r="M23" s="43">
        <v>18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96"/>
      <c r="B24" s="88" t="s">
        <v>857</v>
      </c>
      <c r="C24" s="30" t="s">
        <v>858</v>
      </c>
      <c r="D24" s="16">
        <f>$M$14*$M$8</f>
        <v>118936426.00091825</v>
      </c>
      <c r="E24" s="16">
        <f>$M$16*$M$8/$M$12</f>
        <v>-13853613.397409128</v>
      </c>
      <c r="F24" s="16">
        <f>$M$17*$M$8/$M$12</f>
        <v>6078889.7822317462</v>
      </c>
      <c r="G24" s="15"/>
      <c r="H24" s="15"/>
      <c r="I24" s="15"/>
      <c r="J24" s="15"/>
      <c r="K24" s="15"/>
      <c r="L24" s="43" t="s">
        <v>901</v>
      </c>
      <c r="M24" s="43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96"/>
      <c r="B25" s="96"/>
      <c r="C25" s="30" t="s">
        <v>859</v>
      </c>
      <c r="D25" s="16">
        <f>$M$14*$M$10</f>
        <v>4249126.5878501628</v>
      </c>
      <c r="E25" s="16">
        <f>$M$16*$M$10/$M$12</f>
        <v>-494934.638646985</v>
      </c>
      <c r="F25" s="16">
        <f>$M$17*$M$10/$M$12</f>
        <v>217174.61224278065</v>
      </c>
      <c r="G25" s="15"/>
      <c r="H25" s="15"/>
      <c r="I25" s="15"/>
      <c r="J25" s="15"/>
      <c r="K25" s="15"/>
      <c r="L25" s="43" t="s">
        <v>902</v>
      </c>
      <c r="M25" s="43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96"/>
      <c r="B26" s="96"/>
      <c r="C26" s="30" t="s">
        <v>860</v>
      </c>
      <c r="D26" s="16">
        <f>$M$14*$M$9</f>
        <v>43112524.586167142</v>
      </c>
      <c r="E26" s="16">
        <f>$M$16*$M$9/$M$12</f>
        <v>-5021710.0705417553</v>
      </c>
      <c r="F26" s="16">
        <f>$M$17*$M$9/$M$12</f>
        <v>2203498.9111833824</v>
      </c>
      <c r="G26" s="15"/>
      <c r="H26" s="15"/>
      <c r="I26" s="15"/>
      <c r="J26" s="15"/>
      <c r="K26" s="15"/>
      <c r="L26" s="43" t="s">
        <v>903</v>
      </c>
      <c r="M26" s="43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96"/>
      <c r="B27" s="96"/>
      <c r="C27" s="30" t="s">
        <v>861</v>
      </c>
      <c r="D27" s="16"/>
      <c r="E27" s="16"/>
      <c r="F27" s="16"/>
      <c r="G27" s="15"/>
      <c r="H27" s="15"/>
      <c r="I27" s="15"/>
      <c r="J27" s="15"/>
      <c r="K27" s="15"/>
      <c r="L27" s="43" t="s">
        <v>904</v>
      </c>
      <c r="M27" s="43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96"/>
      <c r="B28" s="89"/>
      <c r="C28" s="30" t="s">
        <v>843</v>
      </c>
      <c r="D28" s="16">
        <f>SUM(D$24:D27)</f>
        <v>166298077.17493558</v>
      </c>
      <c r="E28" s="16">
        <f>SUM(E$24:E27)</f>
        <v>-19370258.106597867</v>
      </c>
      <c r="F28" s="16">
        <f>SUM(F$24:F27)</f>
        <v>8499563.3056579083</v>
      </c>
      <c r="G28" s="15"/>
      <c r="H28" s="15"/>
      <c r="I28" s="15"/>
      <c r="J28" s="15"/>
      <c r="K28" s="15"/>
      <c r="L28" s="43" t="s">
        <v>905</v>
      </c>
      <c r="M28" s="43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89"/>
      <c r="B29" s="90" t="s">
        <v>843</v>
      </c>
      <c r="C29" s="91"/>
      <c r="D29" s="16">
        <f>SUMIF(C$2:C28,"SUBTOTAL",D$2:D28)</f>
        <v>1499685046.0707188</v>
      </c>
      <c r="E29" s="16">
        <f>SUMIF(C$2:C28,"SUBTOTAL",E$2:E28)</f>
        <v>-155872450.93476188</v>
      </c>
      <c r="F29" s="16">
        <f>SUMIF(C$2:C28,"SUBTOTAL",F$2:F28)</f>
        <v>66540333.447418496</v>
      </c>
      <c r="G29" s="15"/>
      <c r="H29" s="15"/>
      <c r="I29" s="15"/>
      <c r="J29" s="15"/>
      <c r="K29" s="15"/>
      <c r="L29" s="43" t="s">
        <v>906</v>
      </c>
      <c r="M29" s="43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88" t="s">
        <v>862</v>
      </c>
      <c r="B30" s="88" t="s">
        <v>835</v>
      </c>
      <c r="C30" s="30" t="s">
        <v>837</v>
      </c>
      <c r="D30" s="16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9446001.0146527458</v>
      </c>
      <c r="E30" s="16">
        <f>IF((D30+D$4)&lt;&gt;0,$M$20*D30/(D30+D$4),0)</f>
        <v>0</v>
      </c>
      <c r="F30" s="16">
        <f>IF((D30+D$4)&lt;&gt;0,$M$21*D30/(D30+D$4),0)</f>
        <v>0</v>
      </c>
      <c r="G30" s="15"/>
      <c r="H30" s="15"/>
      <c r="I30" s="15"/>
      <c r="J30" s="15"/>
      <c r="K30" s="15"/>
      <c r="L30" s="43" t="s">
        <v>907</v>
      </c>
      <c r="M30" s="43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96"/>
      <c r="B31" s="96"/>
      <c r="C31" s="30" t="s">
        <v>863</v>
      </c>
      <c r="D31" s="16">
        <v>96302168.731836006</v>
      </c>
      <c r="E31" s="16">
        <v>1147789.8681564496</v>
      </c>
      <c r="F31" s="16">
        <v>121825550.48913465</v>
      </c>
      <c r="G31" s="15"/>
      <c r="H31" s="15"/>
      <c r="I31" s="15"/>
      <c r="J31" s="15"/>
      <c r="K31" s="15"/>
      <c r="L31" s="43" t="s">
        <v>908</v>
      </c>
      <c r="M31" s="43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96"/>
      <c r="B32" s="96"/>
      <c r="C32" s="30" t="s">
        <v>864</v>
      </c>
      <c r="D32" s="16">
        <v>0</v>
      </c>
      <c r="E32" s="16">
        <v>0</v>
      </c>
      <c r="F32" s="16">
        <v>0</v>
      </c>
      <c r="G32" s="15"/>
      <c r="H32" s="15"/>
      <c r="I32" s="15"/>
      <c r="J32" s="15"/>
      <c r="K32" s="15"/>
      <c r="L32" s="43" t="s">
        <v>909</v>
      </c>
      <c r="M32" s="43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96"/>
      <c r="B33" s="96"/>
      <c r="C33" s="30" t="s">
        <v>923</v>
      </c>
      <c r="D33" s="16">
        <v>20383291.778120119</v>
      </c>
      <c r="E33" s="16">
        <v>-796619.13051892526</v>
      </c>
      <c r="F33" s="16">
        <v>1695860.3635268798</v>
      </c>
      <c r="G33" s="15"/>
      <c r="H33" s="15"/>
      <c r="I33" s="15"/>
      <c r="J33" s="15"/>
      <c r="K33" s="15"/>
      <c r="L33" s="43" t="s">
        <v>910</v>
      </c>
      <c r="M33" s="43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96"/>
      <c r="B34" s="96"/>
      <c r="C34" s="30" t="s">
        <v>865</v>
      </c>
      <c r="D34" s="16">
        <v>-63840623.460000001</v>
      </c>
      <c r="E34" s="16">
        <v>0</v>
      </c>
      <c r="F34" s="16">
        <v>0</v>
      </c>
      <c r="G34" s="15"/>
      <c r="H34" s="15"/>
      <c r="I34" s="15"/>
      <c r="J34" s="15"/>
      <c r="K34" s="15"/>
      <c r="L34" s="43" t="s">
        <v>911</v>
      </c>
      <c r="M34" s="43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96"/>
      <c r="B35" s="89"/>
      <c r="C35" s="30" t="s">
        <v>843</v>
      </c>
      <c r="D35" s="16">
        <f>SUM(D$30:D34)</f>
        <v>62290838.064608864</v>
      </c>
      <c r="E35" s="16">
        <f>SUM(E$30:E34)</f>
        <v>351170.73763752438</v>
      </c>
      <c r="F35" s="16">
        <f>SUM(F$30:F34)</f>
        <v>123521410.85266154</v>
      </c>
      <c r="G35" s="15"/>
      <c r="H35" s="15"/>
      <c r="I35" s="15"/>
      <c r="J35" s="15"/>
      <c r="K35" s="15"/>
      <c r="L35" s="43" t="s">
        <v>912</v>
      </c>
      <c r="M35" s="43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96"/>
      <c r="B36" s="88" t="s">
        <v>866</v>
      </c>
      <c r="C36" s="30" t="s">
        <v>867</v>
      </c>
      <c r="D36" s="16">
        <f>$M$14*($M$12-$M$7)</f>
        <v>835187144.65170205</v>
      </c>
      <c r="E36" s="16">
        <f>$M$16*($M$12-$M$7)/$M$12</f>
        <v>-97281885.840435177</v>
      </c>
      <c r="F36" s="16">
        <f>$M$17*($M$12-$M$7)/$M$12</f>
        <v>42686759.393924795</v>
      </c>
      <c r="G36" s="15"/>
      <c r="H36" s="15"/>
      <c r="I36" s="15"/>
      <c r="J36" s="15"/>
      <c r="K36" s="15"/>
      <c r="L36" s="43" t="s">
        <v>913</v>
      </c>
      <c r="M36" s="43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96"/>
      <c r="B37" s="89"/>
      <c r="C37" s="30" t="s">
        <v>843</v>
      </c>
      <c r="D37" s="16">
        <f>SUM(D$36:D36)</f>
        <v>835187144.65170205</v>
      </c>
      <c r="E37" s="16">
        <f>SUM(E$36:E36)</f>
        <v>-97281885.840435177</v>
      </c>
      <c r="F37" s="16">
        <f>SUM(F$36:F36)</f>
        <v>42686759.393924795</v>
      </c>
      <c r="G37" s="15"/>
      <c r="H37" s="15"/>
      <c r="I37" s="15"/>
      <c r="J37" s="15"/>
      <c r="K37" s="15"/>
      <c r="L37" s="43" t="s">
        <v>914</v>
      </c>
      <c r="M37" s="43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96"/>
      <c r="B38" s="88" t="s">
        <v>844</v>
      </c>
      <c r="C38" s="30" t="s">
        <v>868</v>
      </c>
      <c r="D38" s="16">
        <v>0</v>
      </c>
      <c r="E38" s="16">
        <v>0</v>
      </c>
      <c r="F38" s="16">
        <v>0</v>
      </c>
      <c r="G38" s="15"/>
      <c r="H38" s="15"/>
      <c r="I38" s="15"/>
      <c r="J38" s="15"/>
      <c r="K38" s="15"/>
      <c r="L38" s="43" t="s">
        <v>915</v>
      </c>
      <c r="M38" s="43">
        <f>IFERROR(VLOOKUP("Convencional1RuralNão se aplicaRURALB2",Descontos!B1:U88,VLOOKUP("Convencional1RuralNão se aplicaRURALB2",Descontos!B1:U88,20,FALSE)+12,FALSE),100)</f>
        <v>0.06</v>
      </c>
      <c r="N38" s="15" t="s">
        <v>1068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96"/>
      <c r="B39" s="96"/>
      <c r="C39" s="30" t="s">
        <v>869</v>
      </c>
      <c r="D39" s="16">
        <v>0</v>
      </c>
      <c r="E39" s="16">
        <v>0</v>
      </c>
      <c r="F39" s="16">
        <f>IF((+$D$11+$D$12+$D$16+$D$17+$D$39)&lt;&gt;0,$M$19*$D$39/(+$D$11+$D$12+$D$16+$D$17+$D$39),0)</f>
        <v>0</v>
      </c>
      <c r="G39" s="15"/>
      <c r="H39" s="15"/>
      <c r="I39" s="15"/>
      <c r="J39" s="15"/>
      <c r="K39" s="15"/>
      <c r="L39" s="43" t="s">
        <v>916</v>
      </c>
      <c r="M39" s="43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0.06</v>
      </c>
      <c r="O39" s="15" t="s">
        <v>1069</v>
      </c>
      <c r="P39" s="15" t="s">
        <v>1070</v>
      </c>
      <c r="Q39" s="15" t="s">
        <v>1071</v>
      </c>
      <c r="R39" s="15" t="s">
        <v>1072</v>
      </c>
      <c r="S39" s="15" t="s">
        <v>1</v>
      </c>
      <c r="T39" s="15" t="s">
        <v>1073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96"/>
      <c r="B40" s="96"/>
      <c r="C40" s="30" t="s">
        <v>870</v>
      </c>
      <c r="D40" s="16">
        <v>9.9999999999999995E-7</v>
      </c>
      <c r="E40" s="16">
        <v>0</v>
      </c>
      <c r="F40" s="16">
        <v>0</v>
      </c>
      <c r="G40" s="15"/>
      <c r="H40" s="15"/>
      <c r="I40" s="15"/>
      <c r="J40" s="15"/>
      <c r="K40" s="15"/>
      <c r="L40" s="43" t="s">
        <v>917</v>
      </c>
      <c r="M40" s="43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0.08</v>
      </c>
      <c r="O40" s="53"/>
      <c r="P40" s="53"/>
      <c r="Q40" s="53"/>
      <c r="R40" s="53"/>
      <c r="S40" s="53"/>
      <c r="T40" s="53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96"/>
      <c r="B41" s="89"/>
      <c r="C41" s="30" t="s">
        <v>843</v>
      </c>
      <c r="D41" s="16">
        <f>SUM(D$38:D40)</f>
        <v>9.9999999999999995E-7</v>
      </c>
      <c r="E41" s="16">
        <f>SUM(E$38:E40)</f>
        <v>0</v>
      </c>
      <c r="F41" s="16">
        <f>SUM(F$38:F40)</f>
        <v>0</v>
      </c>
      <c r="G41" s="15"/>
      <c r="H41" s="15"/>
      <c r="I41" s="15"/>
      <c r="J41" s="15"/>
      <c r="K41" s="15"/>
      <c r="L41" s="15"/>
      <c r="M41" s="15"/>
      <c r="N41" s="15"/>
      <c r="O41" s="53"/>
      <c r="P41" s="53"/>
      <c r="Q41" s="53"/>
      <c r="R41" s="53"/>
      <c r="S41" s="53"/>
      <c r="T41" s="53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96"/>
      <c r="B42" s="88" t="s">
        <v>854</v>
      </c>
      <c r="C42" s="30" t="s">
        <v>855</v>
      </c>
      <c r="D42" s="16"/>
      <c r="E42" s="16">
        <f>IF($D$47&lt;&gt;0,($D$46/$D$47)* -218236114.231528,0)+0</f>
        <v>-82941795.73641327</v>
      </c>
      <c r="F42" s="16"/>
      <c r="G42" s="15"/>
      <c r="H42" s="15"/>
      <c r="I42" s="15"/>
      <c r="J42" s="15"/>
      <c r="K42" s="15"/>
      <c r="L42" s="15"/>
      <c r="M42" s="15"/>
      <c r="N42" s="15"/>
      <c r="O42" s="53"/>
      <c r="P42" s="53"/>
      <c r="Q42" s="53"/>
      <c r="R42" s="53"/>
      <c r="S42" s="53"/>
      <c r="T42" s="53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96"/>
      <c r="B43" s="89"/>
      <c r="C43" s="30" t="s">
        <v>843</v>
      </c>
      <c r="D43" s="16">
        <f>SUM(D$42:D42)</f>
        <v>0</v>
      </c>
      <c r="E43" s="16">
        <f>SUM(E$42:E42)</f>
        <v>-82941795.73641327</v>
      </c>
      <c r="F43" s="16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53"/>
      <c r="P43" s="53"/>
      <c r="Q43" s="53"/>
      <c r="R43" s="53"/>
      <c r="S43" s="53"/>
      <c r="T43" s="53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96"/>
      <c r="B44" s="88" t="s">
        <v>857</v>
      </c>
      <c r="C44" s="30" t="s">
        <v>871</v>
      </c>
      <c r="D44" s="16">
        <f>$M$14*$M$11</f>
        <v>21899653.711506557</v>
      </c>
      <c r="E44" s="16">
        <f>$M$16*$M$11/$M$12</f>
        <v>-2550852.9746303749</v>
      </c>
      <c r="F44" s="16">
        <f>$M$17*$M$11/$M$12</f>
        <v>1119300.3326017458</v>
      </c>
      <c r="G44" s="15"/>
      <c r="H44" s="15"/>
      <c r="I44" s="15"/>
      <c r="J44" s="15"/>
      <c r="K44" s="15"/>
      <c r="L44" s="15"/>
      <c r="M44" s="15"/>
      <c r="N44" s="15"/>
      <c r="O44" s="53"/>
      <c r="P44" s="53"/>
      <c r="Q44" s="53"/>
      <c r="R44" s="53"/>
      <c r="S44" s="53"/>
      <c r="T44" s="53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96"/>
      <c r="B45" s="89"/>
      <c r="C45" s="30" t="s">
        <v>843</v>
      </c>
      <c r="D45" s="16">
        <f>SUM(D$44:D44)</f>
        <v>21899653.711506557</v>
      </c>
      <c r="E45" s="16">
        <f>SUM(E$44:E44)</f>
        <v>-2550852.9746303749</v>
      </c>
      <c r="F45" s="16">
        <f>SUM(F$44:F44)</f>
        <v>1119300.3326017458</v>
      </c>
      <c r="G45" s="15"/>
      <c r="H45" s="15"/>
      <c r="I45" s="15"/>
      <c r="J45" s="15"/>
      <c r="K45" s="15"/>
      <c r="L45" s="15"/>
      <c r="M45" s="15"/>
      <c r="N45" s="15"/>
      <c r="O45" s="53"/>
      <c r="P45" s="53"/>
      <c r="Q45" s="53"/>
      <c r="R45" s="53"/>
      <c r="S45" s="53"/>
      <c r="T45" s="53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89"/>
      <c r="B46" s="90" t="s">
        <v>843</v>
      </c>
      <c r="C46" s="91"/>
      <c r="D46" s="16">
        <f>SUMIF(C$30:C45,"SUBTOTAL",D$30:D45)</f>
        <v>919377636.42781842</v>
      </c>
      <c r="E46" s="16">
        <f>SUMIF(C$30:C45,"SUBTOTAL",E$30:E45)</f>
        <v>-182423363.81384131</v>
      </c>
      <c r="F46" s="16">
        <f>SUMIF(C$30:C45,"SUBTOTAL",F$30:F45)</f>
        <v>167327470.57918808</v>
      </c>
      <c r="G46" s="15"/>
      <c r="H46" s="15"/>
      <c r="I46" s="15"/>
      <c r="J46" s="15"/>
      <c r="K46" s="15"/>
      <c r="L46" s="15"/>
      <c r="M46" s="15"/>
      <c r="N46" s="15"/>
      <c r="O46" s="53"/>
      <c r="P46" s="53"/>
      <c r="Q46" s="53"/>
      <c r="R46" s="53"/>
      <c r="S46" s="53"/>
      <c r="T46" s="53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90" t="s">
        <v>872</v>
      </c>
      <c r="B47" s="92"/>
      <c r="C47" s="91"/>
      <c r="D47" s="16">
        <f>SUMIF(C$2:C46,"SUBTOTAL",D$2:D46)</f>
        <v>2419062682.4985371</v>
      </c>
      <c r="E47" s="16">
        <f>SUMIF(C$2:C46,"SUBTOTAL",E$2:E46)</f>
        <v>-338295814.74860317</v>
      </c>
      <c r="F47" s="16">
        <f>SUMIF(C$2:C46,"SUBTOTAL",F$2:F46)</f>
        <v>233867804.02660659</v>
      </c>
      <c r="G47" s="15"/>
      <c r="H47" s="15"/>
      <c r="I47" s="15"/>
      <c r="J47" s="15"/>
      <c r="K47" s="15"/>
      <c r="L47" s="15"/>
      <c r="M47" s="15"/>
      <c r="N47" s="15"/>
      <c r="O47" s="53"/>
      <c r="P47" s="53"/>
      <c r="Q47" s="53"/>
      <c r="R47" s="53"/>
      <c r="S47" s="53"/>
      <c r="T47" s="53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25">
      <c r="A48" s="86" t="s">
        <v>1061</v>
      </c>
      <c r="B48" s="87"/>
      <c r="C48" s="87"/>
      <c r="D48" s="46">
        <f ca="1">'TUSD BE'!$AM$67+'TUSD BE'!$AM$71+'TE BE'!$AB$46</f>
        <v>2419062682.4985375</v>
      </c>
      <c r="E48" s="46">
        <f ca="1">'TUSD BF'!$AM$67+'TE BF'!$AB$46</f>
        <v>-338295814.74860317</v>
      </c>
      <c r="F48" s="46">
        <f ca="1">'TUSD CVA'!$AM$67+'TE CVA'!$AB$46</f>
        <v>233867804.0266065</v>
      </c>
      <c r="G48" s="19">
        <f ca="1">SUM(D48:F48)</f>
        <v>2314634671.7765408</v>
      </c>
      <c r="L48" s="66"/>
      <c r="M48" s="43"/>
      <c r="O48" s="53"/>
      <c r="P48" s="53"/>
      <c r="Q48" s="53"/>
      <c r="R48" s="53"/>
      <c r="S48" s="53"/>
      <c r="T48" s="53"/>
    </row>
    <row r="49" spans="1:20" ht="12" customHeight="1" x14ac:dyDescent="0.25">
      <c r="A49" s="86" t="s">
        <v>1062</v>
      </c>
      <c r="B49" s="87"/>
      <c r="C49" s="87"/>
      <c r="D49" s="47" t="str">
        <f ca="1">IF(ABS(D48-D47)&gt;1,"ERRO","OK")</f>
        <v>OK</v>
      </c>
      <c r="E49" s="47" t="str">
        <f ca="1">IF(ABS(E48-E47)&gt;1,"ERRO","OK")</f>
        <v>OK</v>
      </c>
      <c r="F49" s="47" t="str">
        <f ca="1">IF(ABS(F48-F47)&gt;1,"ERRO","OK")</f>
        <v>OK</v>
      </c>
      <c r="G49" s="35">
        <v>2314634671.7765393</v>
      </c>
      <c r="L49" s="66"/>
      <c r="M49" s="43"/>
      <c r="O49" s="53"/>
      <c r="P49" s="53"/>
      <c r="Q49" s="53"/>
      <c r="R49" s="53"/>
      <c r="S49" s="53"/>
      <c r="T49" s="53"/>
    </row>
    <row r="50" spans="1:20" ht="12" customHeight="1" x14ac:dyDescent="0.25">
      <c r="L50" s="66"/>
      <c r="M50" s="43"/>
      <c r="O50" s="53"/>
      <c r="P50" s="53"/>
      <c r="Q50" s="53"/>
      <c r="R50" s="53"/>
      <c r="S50" s="53"/>
      <c r="T50" s="53"/>
    </row>
    <row r="51" spans="1:20" ht="12" customHeight="1" x14ac:dyDescent="0.25">
      <c r="L51" s="58" t="s">
        <v>918</v>
      </c>
      <c r="M51" s="64">
        <v>0</v>
      </c>
      <c r="O51" s="53"/>
      <c r="P51" s="53"/>
      <c r="Q51" s="53"/>
      <c r="R51" s="53"/>
      <c r="S51" s="53"/>
      <c r="T51" s="53"/>
    </row>
    <row r="52" spans="1:20" ht="12" customHeight="1" x14ac:dyDescent="0.25">
      <c r="G52" s="36">
        <f ca="1">G49-G48</f>
        <v>0</v>
      </c>
      <c r="O52" s="53"/>
      <c r="P52" s="53"/>
      <c r="Q52" s="53"/>
      <c r="R52" s="53"/>
      <c r="S52" s="53"/>
      <c r="T52" s="53"/>
    </row>
    <row r="53" spans="1:20" ht="12" customHeight="1" x14ac:dyDescent="0.25">
      <c r="O53" s="53"/>
      <c r="P53" s="53"/>
      <c r="Q53" s="53"/>
      <c r="R53" s="53"/>
      <c r="S53" s="53"/>
      <c r="T53" s="53"/>
    </row>
    <row r="54" spans="1:20" ht="12" customHeight="1" x14ac:dyDescent="0.25">
      <c r="O54" s="53"/>
      <c r="P54" s="53"/>
      <c r="Q54" s="53"/>
      <c r="R54" s="53"/>
      <c r="S54" s="53"/>
      <c r="T54" s="53"/>
    </row>
    <row r="55" spans="1:20" ht="12" customHeight="1" x14ac:dyDescent="0.25">
      <c r="O55" s="53"/>
      <c r="P55" s="53"/>
      <c r="Q55" s="53"/>
      <c r="R55" s="53"/>
      <c r="S55" s="53"/>
      <c r="T55" s="53"/>
    </row>
    <row r="56" spans="1:20" ht="12" customHeight="1" x14ac:dyDescent="0.25">
      <c r="O56" s="53"/>
      <c r="P56" s="53"/>
      <c r="Q56" s="53"/>
      <c r="R56" s="53"/>
      <c r="S56" s="53"/>
      <c r="T56" s="53"/>
    </row>
    <row r="57" spans="1:20" ht="12" customHeight="1" x14ac:dyDescent="0.25">
      <c r="O57" s="53"/>
      <c r="P57" s="53"/>
      <c r="Q57" s="53"/>
      <c r="R57" s="53"/>
      <c r="S57" s="53"/>
      <c r="T57" s="53"/>
    </row>
    <row r="58" spans="1:20" ht="12" customHeight="1" x14ac:dyDescent="0.25">
      <c r="O58" s="53"/>
      <c r="P58" s="53"/>
      <c r="Q58" s="53"/>
      <c r="R58" s="53"/>
      <c r="S58" s="53"/>
      <c r="T58" s="53"/>
    </row>
    <row r="59" spans="1:20" ht="12" customHeight="1" x14ac:dyDescent="0.25">
      <c r="O59" s="53"/>
      <c r="P59" s="53"/>
      <c r="Q59" s="53"/>
      <c r="R59" s="53"/>
      <c r="S59" s="53"/>
      <c r="T59" s="53"/>
    </row>
    <row r="60" spans="1:20" ht="12" customHeight="1" x14ac:dyDescent="0.25">
      <c r="O60" s="53"/>
      <c r="P60" s="53"/>
      <c r="Q60" s="53"/>
      <c r="R60" s="53"/>
      <c r="S60" s="53"/>
      <c r="T60" s="53"/>
    </row>
    <row r="61" spans="1:20" ht="12" customHeight="1" x14ac:dyDescent="0.25">
      <c r="O61" s="53"/>
      <c r="P61" s="53"/>
      <c r="Q61" s="53"/>
      <c r="R61" s="53"/>
      <c r="S61" s="53"/>
      <c r="T61" s="53"/>
    </row>
    <row r="62" spans="1:20" ht="12" customHeight="1" x14ac:dyDescent="0.25">
      <c r="O62" s="53"/>
      <c r="P62" s="53"/>
      <c r="Q62" s="53"/>
      <c r="R62" s="53"/>
      <c r="S62" s="53"/>
      <c r="T62" s="53"/>
    </row>
    <row r="63" spans="1:20" ht="12" customHeight="1" x14ac:dyDescent="0.25">
      <c r="O63" s="53"/>
      <c r="P63" s="53"/>
      <c r="Q63" s="53"/>
      <c r="R63" s="53"/>
      <c r="S63" s="53"/>
      <c r="T63" s="53"/>
    </row>
    <row r="64" spans="1:20" ht="12" customHeight="1" x14ac:dyDescent="0.25">
      <c r="O64" s="53"/>
      <c r="P64" s="53"/>
      <c r="Q64" s="53"/>
      <c r="R64" s="53"/>
      <c r="S64" s="53"/>
      <c r="T64" s="53"/>
    </row>
    <row r="65" spans="15:20" ht="12" customHeight="1" x14ac:dyDescent="0.25">
      <c r="O65" s="53"/>
      <c r="P65" s="53"/>
      <c r="Q65" s="53"/>
      <c r="R65" s="53"/>
      <c r="S65" s="53"/>
      <c r="T65" s="53"/>
    </row>
    <row r="66" spans="15:20" ht="12" customHeight="1" x14ac:dyDescent="0.25">
      <c r="O66" s="53"/>
      <c r="P66" s="53"/>
      <c r="Q66" s="53"/>
      <c r="R66" s="53"/>
      <c r="S66" s="53"/>
      <c r="T66" s="53"/>
    </row>
    <row r="67" spans="15:20" ht="12" customHeight="1" x14ac:dyDescent="0.25">
      <c r="O67" s="53"/>
      <c r="P67" s="53"/>
      <c r="Q67" s="53"/>
      <c r="R67" s="53"/>
      <c r="S67" s="53"/>
      <c r="T67" s="53"/>
    </row>
    <row r="68" spans="15:20" ht="12" customHeight="1" x14ac:dyDescent="0.25">
      <c r="O68" s="53"/>
      <c r="P68" s="53"/>
      <c r="Q68" s="53"/>
      <c r="R68" s="53"/>
      <c r="S68" s="53"/>
      <c r="T68" s="53"/>
    </row>
    <row r="69" spans="15:20" ht="12" customHeight="1" x14ac:dyDescent="0.25">
      <c r="O69" s="53"/>
      <c r="P69" s="53"/>
      <c r="Q69" s="53"/>
      <c r="R69" s="53"/>
      <c r="S69" s="53"/>
      <c r="T69" s="53"/>
    </row>
    <row r="70" spans="15:20" ht="12" customHeight="1" x14ac:dyDescent="0.25">
      <c r="O70" s="53"/>
      <c r="P70" s="53"/>
      <c r="Q70" s="53"/>
      <c r="R70" s="53"/>
      <c r="S70" s="53"/>
      <c r="T70" s="53"/>
    </row>
    <row r="71" spans="15:20" ht="12" customHeight="1" x14ac:dyDescent="0.25">
      <c r="O71" s="53"/>
      <c r="P71" s="53"/>
      <c r="Q71" s="53"/>
      <c r="R71" s="53"/>
      <c r="S71" s="53"/>
      <c r="T71" s="53"/>
    </row>
    <row r="72" spans="15:20" ht="12" customHeight="1" x14ac:dyDescent="0.25">
      <c r="O72" s="53"/>
      <c r="P72" s="53"/>
      <c r="Q72" s="53"/>
      <c r="R72" s="53"/>
      <c r="S72" s="53"/>
      <c r="T72" s="53"/>
    </row>
    <row r="73" spans="15:20" ht="12" customHeight="1" x14ac:dyDescent="0.25">
      <c r="O73" s="53"/>
      <c r="P73" s="53"/>
      <c r="Q73" s="53"/>
      <c r="R73" s="53"/>
      <c r="S73" s="53"/>
      <c r="T73" s="53"/>
    </row>
    <row r="74" spans="15:20" ht="12" customHeight="1" x14ac:dyDescent="0.25">
      <c r="O74" s="53"/>
      <c r="P74" s="53"/>
      <c r="Q74" s="53"/>
      <c r="R74" s="53"/>
      <c r="S74" s="53"/>
      <c r="T74" s="53"/>
    </row>
    <row r="75" spans="15:20" ht="12" customHeight="1" x14ac:dyDescent="0.25">
      <c r="O75" s="53"/>
      <c r="P75" s="53"/>
      <c r="Q75" s="53"/>
      <c r="R75" s="53"/>
      <c r="S75" s="53"/>
      <c r="T75" s="53"/>
    </row>
    <row r="76" spans="15:20" ht="12" customHeight="1" x14ac:dyDescent="0.25">
      <c r="O76" s="53"/>
      <c r="P76" s="53"/>
      <c r="Q76" s="53"/>
      <c r="R76" s="53"/>
      <c r="S76" s="53"/>
      <c r="T76" s="53"/>
    </row>
    <row r="77" spans="15:20" ht="12" customHeight="1" x14ac:dyDescent="0.25">
      <c r="O77" s="53"/>
      <c r="P77" s="53"/>
      <c r="Q77" s="53"/>
      <c r="R77" s="53"/>
      <c r="S77" s="53"/>
      <c r="T77" s="53"/>
    </row>
    <row r="78" spans="15:20" ht="12" customHeight="1" x14ac:dyDescent="0.25">
      <c r="O78" s="53"/>
      <c r="P78" s="53"/>
      <c r="Q78" s="53"/>
      <c r="R78" s="53"/>
      <c r="S78" s="53"/>
      <c r="T78" s="53"/>
    </row>
    <row r="79" spans="15:20" ht="12" customHeight="1" x14ac:dyDescent="0.25">
      <c r="O79" s="53"/>
      <c r="P79" s="53"/>
      <c r="Q79" s="53"/>
      <c r="R79" s="53"/>
      <c r="S79" s="53"/>
      <c r="T79" s="53"/>
    </row>
    <row r="80" spans="15:20" ht="12" customHeight="1" x14ac:dyDescent="0.25">
      <c r="O80" s="53"/>
      <c r="P80" s="53"/>
      <c r="Q80" s="53"/>
      <c r="R80" s="53"/>
      <c r="S80" s="53"/>
      <c r="T80" s="53"/>
    </row>
    <row r="81" spans="15:20" ht="12" customHeight="1" x14ac:dyDescent="0.25">
      <c r="O81" s="53"/>
      <c r="P81" s="53"/>
      <c r="Q81" s="53"/>
      <c r="R81" s="53"/>
      <c r="S81" s="53"/>
      <c r="T81" s="53"/>
    </row>
    <row r="82" spans="15:20" ht="12" customHeight="1" x14ac:dyDescent="0.25">
      <c r="O82" s="53"/>
      <c r="P82" s="53"/>
      <c r="Q82" s="53"/>
      <c r="R82" s="53"/>
      <c r="S82" s="53"/>
      <c r="T82" s="53"/>
    </row>
    <row r="83" spans="15:20" ht="12" customHeight="1" x14ac:dyDescent="0.25">
      <c r="O83" s="53"/>
      <c r="P83" s="53"/>
      <c r="Q83" s="53"/>
      <c r="R83" s="53"/>
      <c r="S83" s="53"/>
      <c r="T83" s="53"/>
    </row>
    <row r="84" spans="15:20" ht="12" customHeight="1" x14ac:dyDescent="0.25">
      <c r="O84" s="53"/>
      <c r="P84" s="53"/>
      <c r="Q84" s="53"/>
      <c r="R84" s="53"/>
      <c r="S84" s="53"/>
      <c r="T84" s="53"/>
    </row>
    <row r="85" spans="15:20" ht="12" customHeight="1" x14ac:dyDescent="0.25">
      <c r="O85" s="53"/>
      <c r="P85" s="53"/>
      <c r="Q85" s="53"/>
      <c r="R85" s="53"/>
      <c r="S85" s="53"/>
      <c r="T85" s="53"/>
    </row>
    <row r="86" spans="15:20" ht="12" customHeight="1" x14ac:dyDescent="0.25">
      <c r="O86" s="53"/>
      <c r="P86" s="53"/>
      <c r="Q86" s="53"/>
      <c r="R86" s="53"/>
      <c r="S86" s="53"/>
      <c r="T86" s="53"/>
    </row>
    <row r="87" spans="15:20" ht="12" customHeight="1" x14ac:dyDescent="0.25">
      <c r="O87" s="53"/>
      <c r="P87" s="53"/>
      <c r="Q87" s="53"/>
      <c r="R87" s="53"/>
      <c r="S87" s="53"/>
      <c r="T87" s="53"/>
    </row>
    <row r="88" spans="15:20" ht="12" customHeight="1" x14ac:dyDescent="0.25">
      <c r="O88" s="53"/>
      <c r="P88" s="53"/>
      <c r="Q88" s="53"/>
      <c r="R88" s="53"/>
      <c r="S88" s="53"/>
      <c r="T88" s="53"/>
    </row>
    <row r="89" spans="15:20" ht="12" customHeight="1" x14ac:dyDescent="0.25">
      <c r="O89" s="53"/>
      <c r="P89" s="53"/>
      <c r="Q89" s="53"/>
      <c r="R89" s="53"/>
      <c r="S89" s="53"/>
      <c r="T89" s="53"/>
    </row>
    <row r="90" spans="15:20" ht="12" customHeight="1" x14ac:dyDescent="0.25">
      <c r="O90" s="53"/>
      <c r="P90" s="53"/>
      <c r="Q90" s="53"/>
      <c r="R90" s="53"/>
      <c r="S90" s="53"/>
      <c r="T90" s="53"/>
    </row>
    <row r="91" spans="15:20" ht="12" customHeight="1" x14ac:dyDescent="0.25">
      <c r="O91" s="53"/>
      <c r="P91" s="53"/>
      <c r="Q91" s="53"/>
      <c r="R91" s="53"/>
      <c r="S91" s="53"/>
      <c r="T91" s="53"/>
    </row>
    <row r="92" spans="15:20" ht="12" customHeight="1" x14ac:dyDescent="0.25">
      <c r="O92" s="53"/>
      <c r="P92" s="53"/>
      <c r="Q92" s="53"/>
      <c r="R92" s="53"/>
      <c r="S92" s="53"/>
      <c r="T92" s="53"/>
    </row>
    <row r="93" spans="15:20" ht="12" customHeight="1" x14ac:dyDescent="0.25">
      <c r="O93" s="53"/>
      <c r="P93" s="53"/>
      <c r="Q93" s="53"/>
      <c r="R93" s="53"/>
      <c r="S93" s="53"/>
      <c r="T93" s="53"/>
    </row>
    <row r="94" spans="15:20" ht="12" customHeight="1" x14ac:dyDescent="0.25">
      <c r="O94" s="53"/>
      <c r="P94" s="53"/>
      <c r="Q94" s="53"/>
      <c r="R94" s="53"/>
      <c r="S94" s="53"/>
      <c r="T94" s="53"/>
    </row>
    <row r="95" spans="15:20" ht="12" customHeight="1" x14ac:dyDescent="0.25">
      <c r="O95" s="53"/>
      <c r="P95" s="53"/>
      <c r="Q95" s="53"/>
      <c r="R95" s="53"/>
      <c r="S95" s="53"/>
      <c r="T95" s="53"/>
    </row>
    <row r="96" spans="15:20" ht="12" customHeight="1" x14ac:dyDescent="0.25">
      <c r="O96" s="53"/>
      <c r="P96" s="53"/>
      <c r="Q96" s="53"/>
      <c r="R96" s="53"/>
      <c r="S96" s="53"/>
      <c r="T96" s="53"/>
    </row>
    <row r="97" spans="15:30" ht="12" customHeight="1" x14ac:dyDescent="0.25">
      <c r="O97" s="53"/>
      <c r="P97" s="53"/>
      <c r="Q97" s="53"/>
      <c r="R97" s="53"/>
      <c r="S97" s="53"/>
      <c r="T97" s="53"/>
    </row>
    <row r="98" spans="15:30" ht="12" customHeight="1" x14ac:dyDescent="0.25">
      <c r="O98" s="53"/>
      <c r="P98" s="53"/>
      <c r="Q98" s="53"/>
      <c r="R98" s="53"/>
      <c r="S98" s="53"/>
      <c r="T98" s="53"/>
    </row>
    <row r="99" spans="15:30" ht="12" customHeight="1" x14ac:dyDescent="0.25">
      <c r="O99" s="52"/>
      <c r="P99" s="52"/>
      <c r="Q99" s="52"/>
      <c r="R99" s="52"/>
      <c r="S99" s="52"/>
      <c r="T99" s="52"/>
    </row>
    <row r="100" spans="15:30" ht="12" customHeight="1" x14ac:dyDescent="0.25"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</row>
    <row r="101" spans="15:30" ht="12" customHeight="1" x14ac:dyDescent="0.25">
      <c r="O101" s="53" t="s">
        <v>1069</v>
      </c>
      <c r="P101" s="53" t="s">
        <v>1074</v>
      </c>
      <c r="Q101" s="53" t="s">
        <v>1075</v>
      </c>
      <c r="R101" s="53" t="s">
        <v>1076</v>
      </c>
      <c r="S101" s="53" t="s">
        <v>1077</v>
      </c>
      <c r="T101" s="53" t="s">
        <v>1078</v>
      </c>
      <c r="U101" s="53" t="s">
        <v>1079</v>
      </c>
      <c r="V101" s="53" t="s">
        <v>1080</v>
      </c>
      <c r="W101" s="53"/>
      <c r="X101" s="53"/>
      <c r="Y101" s="53"/>
      <c r="Z101" s="53"/>
      <c r="AA101" s="53"/>
      <c r="AB101" s="53"/>
      <c r="AC101" s="53"/>
      <c r="AD101" s="53"/>
    </row>
    <row r="102" spans="15:30" ht="12" customHeight="1" x14ac:dyDescent="0.25">
      <c r="O102" s="53" t="s">
        <v>38</v>
      </c>
      <c r="P102" s="53" t="s">
        <v>40</v>
      </c>
      <c r="Q102" s="53" t="s">
        <v>39</v>
      </c>
      <c r="R102" s="53" t="s">
        <v>45</v>
      </c>
      <c r="S102" s="53" t="s">
        <v>25</v>
      </c>
      <c r="T102" s="53" t="s">
        <v>963</v>
      </c>
      <c r="U102" s="53">
        <v>4</v>
      </c>
      <c r="V102" s="53">
        <v>0.1</v>
      </c>
      <c r="W102" s="53">
        <v>0.08</v>
      </c>
      <c r="X102" s="53">
        <v>0.06</v>
      </c>
      <c r="Y102" s="53">
        <v>0.04</v>
      </c>
      <c r="Z102" s="53">
        <v>0.02</v>
      </c>
      <c r="AA102" s="53">
        <v>0</v>
      </c>
      <c r="AB102" s="53"/>
      <c r="AC102" s="53"/>
      <c r="AD102" s="53"/>
    </row>
    <row r="103" spans="15:30" ht="12" customHeight="1" x14ac:dyDescent="0.25">
      <c r="O103" s="53" t="s">
        <v>38</v>
      </c>
      <c r="P103" s="53" t="s">
        <v>40</v>
      </c>
      <c r="Q103" s="53" t="s">
        <v>39</v>
      </c>
      <c r="R103" s="53" t="s">
        <v>50</v>
      </c>
      <c r="S103" s="53" t="s">
        <v>51</v>
      </c>
      <c r="T103" s="53" t="s">
        <v>964</v>
      </c>
      <c r="U103" s="53">
        <v>4</v>
      </c>
      <c r="V103" s="53">
        <v>0.15</v>
      </c>
      <c r="W103" s="53">
        <v>0.12</v>
      </c>
      <c r="X103" s="53">
        <v>0.09</v>
      </c>
      <c r="Y103" s="53">
        <v>0.06</v>
      </c>
      <c r="Z103" s="53">
        <v>0.03</v>
      </c>
      <c r="AA103" s="53">
        <v>0</v>
      </c>
      <c r="AB103" s="53"/>
      <c r="AC103" s="53"/>
      <c r="AD103" s="53"/>
    </row>
    <row r="104" spans="15:30" ht="12" customHeight="1" x14ac:dyDescent="0.25">
      <c r="O104" s="53" t="s">
        <v>38</v>
      </c>
      <c r="P104" s="53" t="s">
        <v>40</v>
      </c>
      <c r="Q104" s="53" t="s">
        <v>41</v>
      </c>
      <c r="R104" s="53" t="s">
        <v>45</v>
      </c>
      <c r="S104" s="53" t="s">
        <v>25</v>
      </c>
      <c r="T104" s="53" t="s">
        <v>963</v>
      </c>
      <c r="U104" s="53">
        <v>4</v>
      </c>
      <c r="V104" s="53">
        <v>0.1</v>
      </c>
      <c r="W104" s="53">
        <v>0.08</v>
      </c>
      <c r="X104" s="53">
        <v>0.06</v>
      </c>
      <c r="Y104" s="53">
        <v>0.04</v>
      </c>
      <c r="Z104" s="53">
        <v>0.02</v>
      </c>
      <c r="AA104" s="53">
        <v>0</v>
      </c>
      <c r="AB104" s="53"/>
      <c r="AC104" s="53"/>
      <c r="AD104" s="53"/>
    </row>
    <row r="105" spans="15:30" ht="12" customHeight="1" x14ac:dyDescent="0.25">
      <c r="O105" s="53" t="s">
        <v>38</v>
      </c>
      <c r="P105" s="53" t="s">
        <v>40</v>
      </c>
      <c r="Q105" s="53" t="s">
        <v>41</v>
      </c>
      <c r="R105" s="53" t="s">
        <v>50</v>
      </c>
      <c r="S105" s="53" t="s">
        <v>51</v>
      </c>
      <c r="T105" s="53" t="s">
        <v>964</v>
      </c>
      <c r="U105" s="53">
        <v>4</v>
      </c>
      <c r="V105" s="53">
        <v>0.15</v>
      </c>
      <c r="W105" s="53">
        <v>0.12</v>
      </c>
      <c r="X105" s="53">
        <v>0.09</v>
      </c>
      <c r="Y105" s="53">
        <v>0.06</v>
      </c>
      <c r="Z105" s="53">
        <v>0.03</v>
      </c>
      <c r="AA105" s="53">
        <v>0</v>
      </c>
      <c r="AB105" s="53"/>
      <c r="AC105" s="53"/>
      <c r="AD105" s="53"/>
    </row>
    <row r="106" spans="15:30" ht="12" customHeight="1" x14ac:dyDescent="0.25">
      <c r="O106" s="53" t="s">
        <v>38</v>
      </c>
      <c r="P106" s="53" t="s">
        <v>33</v>
      </c>
      <c r="Q106" s="53" t="s">
        <v>44</v>
      </c>
      <c r="R106" s="53" t="s">
        <v>45</v>
      </c>
      <c r="S106" s="53" t="s">
        <v>116</v>
      </c>
      <c r="T106" s="53" t="s">
        <v>964</v>
      </c>
      <c r="U106" s="53">
        <v>4</v>
      </c>
      <c r="V106" s="53">
        <v>0.3</v>
      </c>
      <c r="W106" s="53">
        <v>0.24</v>
      </c>
      <c r="X106" s="53">
        <v>0.18</v>
      </c>
      <c r="Y106" s="53">
        <v>0.12</v>
      </c>
      <c r="Z106" s="53">
        <v>0.06</v>
      </c>
      <c r="AA106" s="53">
        <v>0</v>
      </c>
      <c r="AB106" s="53"/>
      <c r="AC106" s="53"/>
      <c r="AD106" s="53"/>
    </row>
    <row r="107" spans="15:30" ht="12" customHeight="1" x14ac:dyDescent="0.25">
      <c r="O107" s="53" t="s">
        <v>38</v>
      </c>
      <c r="P107" s="53" t="s">
        <v>965</v>
      </c>
      <c r="Q107" s="53" t="s">
        <v>44</v>
      </c>
      <c r="R107" s="53" t="s">
        <v>45</v>
      </c>
      <c r="S107" s="53" t="s">
        <v>25</v>
      </c>
      <c r="T107" s="53" t="s">
        <v>45</v>
      </c>
      <c r="U107" s="53">
        <v>4</v>
      </c>
      <c r="V107" s="53">
        <v>0.3</v>
      </c>
      <c r="W107" s="53">
        <v>0.24</v>
      </c>
      <c r="X107" s="53">
        <v>0.18</v>
      </c>
      <c r="Y107" s="53">
        <v>0.12</v>
      </c>
      <c r="Z107" s="53">
        <v>0.06</v>
      </c>
      <c r="AA107" s="53">
        <v>0</v>
      </c>
      <c r="AB107" s="53"/>
      <c r="AC107" s="53"/>
      <c r="AD107" s="53"/>
    </row>
    <row r="108" spans="15:30" ht="12" customHeight="1" x14ac:dyDescent="0.25">
      <c r="O108" s="53" t="s">
        <v>38</v>
      </c>
      <c r="P108" s="53" t="s">
        <v>33</v>
      </c>
      <c r="Q108" s="53" t="s">
        <v>44</v>
      </c>
      <c r="R108" s="53" t="s">
        <v>45</v>
      </c>
      <c r="S108" s="53" t="s">
        <v>117</v>
      </c>
      <c r="T108" s="53" t="s">
        <v>964</v>
      </c>
      <c r="U108" s="53">
        <v>4</v>
      </c>
      <c r="V108" s="53">
        <v>0.4</v>
      </c>
      <c r="W108" s="53">
        <v>0.32</v>
      </c>
      <c r="X108" s="53">
        <v>0.24</v>
      </c>
      <c r="Y108" s="53">
        <v>0.16</v>
      </c>
      <c r="Z108" s="53">
        <v>0.08</v>
      </c>
      <c r="AA108" s="53">
        <v>0</v>
      </c>
      <c r="AB108" s="53"/>
      <c r="AC108" s="53"/>
      <c r="AD108" s="53"/>
    </row>
    <row r="109" spans="15:30" ht="12" customHeight="1" x14ac:dyDescent="0.25">
      <c r="O109" s="53" t="s">
        <v>38</v>
      </c>
      <c r="P109" s="53" t="s">
        <v>965</v>
      </c>
      <c r="Q109" s="53" t="s">
        <v>37</v>
      </c>
      <c r="R109" s="53" t="s">
        <v>50</v>
      </c>
      <c r="S109" s="53" t="s">
        <v>51</v>
      </c>
      <c r="T109" s="53" t="s">
        <v>964</v>
      </c>
      <c r="U109" s="53">
        <v>4</v>
      </c>
      <c r="V109" s="53">
        <v>0.15</v>
      </c>
      <c r="W109" s="53">
        <v>0.12</v>
      </c>
      <c r="X109" s="53">
        <v>0.09</v>
      </c>
      <c r="Y109" s="53">
        <v>0.06</v>
      </c>
      <c r="Z109" s="53">
        <v>0.03</v>
      </c>
      <c r="AA109" s="53">
        <v>0</v>
      </c>
      <c r="AB109" s="53"/>
      <c r="AC109" s="53"/>
      <c r="AD109" s="53"/>
    </row>
    <row r="110" spans="15:30" ht="12" customHeight="1" x14ac:dyDescent="0.25">
      <c r="O110" s="53" t="s">
        <v>38</v>
      </c>
      <c r="P110" s="53" t="s">
        <v>966</v>
      </c>
      <c r="Q110" s="53" t="s">
        <v>39</v>
      </c>
      <c r="R110" s="53" t="s">
        <v>45</v>
      </c>
      <c r="S110" s="53" t="s">
        <v>25</v>
      </c>
      <c r="T110" s="53" t="s">
        <v>963</v>
      </c>
      <c r="U110" s="53">
        <v>4</v>
      </c>
      <c r="V110" s="53">
        <v>0.1</v>
      </c>
      <c r="W110" s="53">
        <v>0.08</v>
      </c>
      <c r="X110" s="53">
        <v>0.06</v>
      </c>
      <c r="Y110" s="53">
        <v>0.04</v>
      </c>
      <c r="Z110" s="53">
        <v>0.02</v>
      </c>
      <c r="AA110" s="53">
        <v>0</v>
      </c>
      <c r="AB110" s="53"/>
      <c r="AC110" s="53"/>
      <c r="AD110" s="53"/>
    </row>
    <row r="111" spans="15:30" ht="12" customHeight="1" x14ac:dyDescent="0.25">
      <c r="O111" s="53" t="s">
        <v>38</v>
      </c>
      <c r="P111" s="53" t="s">
        <v>23</v>
      </c>
      <c r="Q111" s="53" t="s">
        <v>39</v>
      </c>
      <c r="R111" s="53" t="s">
        <v>50</v>
      </c>
      <c r="S111" s="53" t="s">
        <v>51</v>
      </c>
      <c r="T111" s="53" t="s">
        <v>964</v>
      </c>
      <c r="U111" s="53">
        <v>4</v>
      </c>
      <c r="V111" s="53">
        <v>0.15</v>
      </c>
      <c r="W111" s="53">
        <v>0.12</v>
      </c>
      <c r="X111" s="53">
        <v>0.09</v>
      </c>
      <c r="Y111" s="53">
        <v>0.06</v>
      </c>
      <c r="Z111" s="53">
        <v>0.03</v>
      </c>
      <c r="AA111" s="53">
        <v>0</v>
      </c>
      <c r="AB111" s="53"/>
      <c r="AC111" s="53"/>
      <c r="AD111" s="53"/>
    </row>
    <row r="112" spans="15:30" ht="12" customHeight="1" x14ac:dyDescent="0.25">
      <c r="O112" s="53" t="s">
        <v>38</v>
      </c>
      <c r="P112" s="53" t="s">
        <v>966</v>
      </c>
      <c r="Q112" s="53" t="s">
        <v>41</v>
      </c>
      <c r="R112" s="53" t="s">
        <v>45</v>
      </c>
      <c r="S112" s="53" t="s">
        <v>25</v>
      </c>
      <c r="T112" s="53" t="s">
        <v>963</v>
      </c>
      <c r="U112" s="53">
        <v>4</v>
      </c>
      <c r="V112" s="53">
        <v>0.1</v>
      </c>
      <c r="W112" s="53">
        <v>0.08</v>
      </c>
      <c r="X112" s="53">
        <v>0.06</v>
      </c>
      <c r="Y112" s="53">
        <v>0.04</v>
      </c>
      <c r="Z112" s="53">
        <v>0.02</v>
      </c>
      <c r="AA112" s="53">
        <v>0</v>
      </c>
      <c r="AB112" s="53"/>
      <c r="AC112" s="53"/>
      <c r="AD112" s="53"/>
    </row>
    <row r="113" spans="15:30" ht="12" customHeight="1" x14ac:dyDescent="0.25">
      <c r="O113" s="53" t="s">
        <v>38</v>
      </c>
      <c r="P113" s="53" t="s">
        <v>23</v>
      </c>
      <c r="Q113" s="53" t="s">
        <v>41</v>
      </c>
      <c r="R113" s="53" t="s">
        <v>50</v>
      </c>
      <c r="S113" s="53" t="s">
        <v>51</v>
      </c>
      <c r="T113" s="53" t="s">
        <v>964</v>
      </c>
      <c r="U113" s="53">
        <v>4</v>
      </c>
      <c r="V113" s="53">
        <v>0.15</v>
      </c>
      <c r="W113" s="53">
        <v>0.12</v>
      </c>
      <c r="X113" s="53">
        <v>0.09</v>
      </c>
      <c r="Y113" s="53">
        <v>0.06</v>
      </c>
      <c r="Z113" s="53">
        <v>0.03</v>
      </c>
      <c r="AA113" s="53">
        <v>0</v>
      </c>
      <c r="AB113" s="53"/>
      <c r="AC113" s="53"/>
      <c r="AD113" s="53"/>
    </row>
    <row r="114" spans="15:30" ht="12" customHeight="1" x14ac:dyDescent="0.25">
      <c r="O114" s="53" t="s">
        <v>38</v>
      </c>
      <c r="P114" s="53" t="s">
        <v>23</v>
      </c>
      <c r="Q114" s="53" t="s">
        <v>44</v>
      </c>
      <c r="R114" s="53" t="s">
        <v>45</v>
      </c>
      <c r="S114" s="53" t="s">
        <v>116</v>
      </c>
      <c r="T114" s="53" t="s">
        <v>964</v>
      </c>
      <c r="U114" s="53">
        <v>4</v>
      </c>
      <c r="V114" s="53">
        <v>0.3</v>
      </c>
      <c r="W114" s="53">
        <v>0.24</v>
      </c>
      <c r="X114" s="53">
        <v>0.18</v>
      </c>
      <c r="Y114" s="53">
        <v>0.12</v>
      </c>
      <c r="Z114" s="53">
        <v>0.06</v>
      </c>
      <c r="AA114" s="53">
        <v>0</v>
      </c>
      <c r="AB114" s="53"/>
      <c r="AC114" s="53"/>
      <c r="AD114" s="53"/>
    </row>
    <row r="115" spans="15:30" ht="12" customHeight="1" x14ac:dyDescent="0.25">
      <c r="O115" s="53" t="s">
        <v>38</v>
      </c>
      <c r="P115" s="53" t="s">
        <v>23</v>
      </c>
      <c r="Q115" s="53" t="s">
        <v>44</v>
      </c>
      <c r="R115" s="53" t="s">
        <v>45</v>
      </c>
      <c r="S115" s="53" t="s">
        <v>25</v>
      </c>
      <c r="T115" s="53" t="s">
        <v>45</v>
      </c>
      <c r="U115" s="53">
        <v>4</v>
      </c>
      <c r="V115" s="53">
        <v>0.3</v>
      </c>
      <c r="W115" s="53">
        <v>0.24</v>
      </c>
      <c r="X115" s="53">
        <v>0.18</v>
      </c>
      <c r="Y115" s="53">
        <v>0.12</v>
      </c>
      <c r="Z115" s="53">
        <v>0.06</v>
      </c>
      <c r="AA115" s="53">
        <v>0</v>
      </c>
      <c r="AB115" s="53"/>
      <c r="AC115" s="53"/>
      <c r="AD115" s="53"/>
    </row>
    <row r="116" spans="15:30" ht="12" customHeight="1" x14ac:dyDescent="0.25">
      <c r="O116" s="53" t="s">
        <v>38</v>
      </c>
      <c r="P116" s="53" t="s">
        <v>23</v>
      </c>
      <c r="Q116" s="53" t="s">
        <v>44</v>
      </c>
      <c r="R116" s="53" t="s">
        <v>45</v>
      </c>
      <c r="S116" s="53" t="s">
        <v>117</v>
      </c>
      <c r="T116" s="53" t="s">
        <v>964</v>
      </c>
      <c r="U116" s="53">
        <v>4</v>
      </c>
      <c r="V116" s="53">
        <v>0.4</v>
      </c>
      <c r="W116" s="53">
        <v>0.32</v>
      </c>
      <c r="X116" s="53">
        <v>0.24</v>
      </c>
      <c r="Y116" s="53">
        <v>0.16</v>
      </c>
      <c r="Z116" s="53">
        <v>0.08</v>
      </c>
      <c r="AA116" s="53">
        <v>0</v>
      </c>
      <c r="AB116" s="53"/>
      <c r="AC116" s="53"/>
      <c r="AD116" s="53"/>
    </row>
    <row r="117" spans="15:30" ht="12" customHeight="1" x14ac:dyDescent="0.25">
      <c r="O117" s="53" t="s">
        <v>38</v>
      </c>
      <c r="P117" s="53" t="s">
        <v>23</v>
      </c>
      <c r="Q117" s="53" t="s">
        <v>37</v>
      </c>
      <c r="R117" s="53" t="s">
        <v>50</v>
      </c>
      <c r="S117" s="53" t="s">
        <v>51</v>
      </c>
      <c r="T117" s="53" t="s">
        <v>964</v>
      </c>
      <c r="U117" s="53">
        <v>4</v>
      </c>
      <c r="V117" s="53">
        <v>0.15</v>
      </c>
      <c r="W117" s="53">
        <v>0.12</v>
      </c>
      <c r="X117" s="53">
        <v>0.09</v>
      </c>
      <c r="Y117" s="53">
        <v>0.06</v>
      </c>
      <c r="Z117" s="53">
        <v>0.03</v>
      </c>
      <c r="AA117" s="53">
        <v>0</v>
      </c>
      <c r="AB117" s="53"/>
      <c r="AC117" s="53"/>
      <c r="AD117" s="53"/>
    </row>
    <row r="118" spans="15:30" ht="12" customHeight="1" x14ac:dyDescent="0.25">
      <c r="O118" s="53" t="s">
        <v>38</v>
      </c>
      <c r="P118" s="53" t="s">
        <v>42</v>
      </c>
      <c r="Q118" s="53" t="s">
        <v>39</v>
      </c>
      <c r="R118" s="53" t="s">
        <v>45</v>
      </c>
      <c r="S118" s="53" t="s">
        <v>25</v>
      </c>
      <c r="T118" s="53" t="s">
        <v>963</v>
      </c>
      <c r="U118" s="53">
        <v>4</v>
      </c>
      <c r="V118" s="53">
        <v>0.1</v>
      </c>
      <c r="W118" s="53">
        <v>0.08</v>
      </c>
      <c r="X118" s="53">
        <v>0.06</v>
      </c>
      <c r="Y118" s="53">
        <v>0.04</v>
      </c>
      <c r="Z118" s="53">
        <v>0.02</v>
      </c>
      <c r="AA118" s="53">
        <v>0</v>
      </c>
      <c r="AB118" s="53"/>
      <c r="AC118" s="53"/>
      <c r="AD118" s="53"/>
    </row>
    <row r="119" spans="15:30" ht="12" customHeight="1" x14ac:dyDescent="0.25">
      <c r="O119" s="53" t="s">
        <v>38</v>
      </c>
      <c r="P119" s="53" t="s">
        <v>42</v>
      </c>
      <c r="Q119" s="53" t="s">
        <v>39</v>
      </c>
      <c r="R119" s="53" t="s">
        <v>50</v>
      </c>
      <c r="S119" s="53" t="s">
        <v>51</v>
      </c>
      <c r="T119" s="53" t="s">
        <v>964</v>
      </c>
      <c r="U119" s="53">
        <v>4</v>
      </c>
      <c r="V119" s="53">
        <v>0.15</v>
      </c>
      <c r="W119" s="53">
        <v>0.12</v>
      </c>
      <c r="X119" s="53">
        <v>0.09</v>
      </c>
      <c r="Y119" s="53">
        <v>0.06</v>
      </c>
      <c r="Z119" s="53">
        <v>0.03</v>
      </c>
      <c r="AA119" s="53">
        <v>0</v>
      </c>
      <c r="AB119" s="53"/>
      <c r="AC119" s="53"/>
      <c r="AD119" s="53"/>
    </row>
    <row r="120" spans="15:30" ht="12" customHeight="1" x14ac:dyDescent="0.25">
      <c r="O120" s="53" t="s">
        <v>38</v>
      </c>
      <c r="P120" s="53" t="s">
        <v>42</v>
      </c>
      <c r="Q120" s="53" t="s">
        <v>41</v>
      </c>
      <c r="R120" s="53" t="s">
        <v>45</v>
      </c>
      <c r="S120" s="53" t="s">
        <v>25</v>
      </c>
      <c r="T120" s="53" t="s">
        <v>963</v>
      </c>
      <c r="U120" s="53">
        <v>4</v>
      </c>
      <c r="V120" s="53">
        <v>0.1</v>
      </c>
      <c r="W120" s="53">
        <v>0.08</v>
      </c>
      <c r="X120" s="53">
        <v>0.06</v>
      </c>
      <c r="Y120" s="53">
        <v>0.04</v>
      </c>
      <c r="Z120" s="53">
        <v>0.02</v>
      </c>
      <c r="AA120" s="53">
        <v>0</v>
      </c>
      <c r="AB120" s="53"/>
      <c r="AC120" s="53"/>
      <c r="AD120" s="53"/>
    </row>
    <row r="121" spans="15:30" ht="12" customHeight="1" x14ac:dyDescent="0.25">
      <c r="O121" s="53" t="s">
        <v>38</v>
      </c>
      <c r="P121" s="53" t="s">
        <v>42</v>
      </c>
      <c r="Q121" s="53" t="s">
        <v>41</v>
      </c>
      <c r="R121" s="53" t="s">
        <v>50</v>
      </c>
      <c r="S121" s="53" t="s">
        <v>51</v>
      </c>
      <c r="T121" s="53" t="s">
        <v>964</v>
      </c>
      <c r="U121" s="53">
        <v>4</v>
      </c>
      <c r="V121" s="53">
        <v>0.15</v>
      </c>
      <c r="W121" s="53">
        <v>0.12</v>
      </c>
      <c r="X121" s="53">
        <v>0.09</v>
      </c>
      <c r="Y121" s="53">
        <v>0.06</v>
      </c>
      <c r="Z121" s="53">
        <v>0.03</v>
      </c>
      <c r="AA121" s="53">
        <v>0</v>
      </c>
      <c r="AB121" s="53"/>
      <c r="AC121" s="53"/>
      <c r="AD121" s="53"/>
    </row>
    <row r="122" spans="15:30" ht="12" customHeight="1" x14ac:dyDescent="0.25"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</row>
    <row r="123" spans="15:30" ht="12" customHeight="1" x14ac:dyDescent="0.25"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</row>
    <row r="124" spans="15:30" ht="12" customHeight="1" x14ac:dyDescent="0.25"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</row>
    <row r="125" spans="15:30" ht="12" customHeight="1" x14ac:dyDescent="0.25"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</row>
    <row r="126" spans="15:30" ht="12" customHeight="1" x14ac:dyDescent="0.25"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</row>
    <row r="127" spans="15:30" ht="12" customHeight="1" x14ac:dyDescent="0.25"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</row>
    <row r="128" spans="15:30" ht="12" customHeight="1" x14ac:dyDescent="0.25"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</row>
    <row r="129" spans="15:30" ht="12" customHeight="1" x14ac:dyDescent="0.25"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</row>
    <row r="130" spans="15:30" ht="12" customHeight="1" x14ac:dyDescent="0.25"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</row>
    <row r="131" spans="15:30" ht="12" customHeight="1" x14ac:dyDescent="0.25"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</row>
    <row r="132" spans="15:30" ht="12" customHeight="1" x14ac:dyDescent="0.25"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</row>
    <row r="133" spans="15:30" ht="12" customHeight="1" x14ac:dyDescent="0.25"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</row>
    <row r="134" spans="15:30" ht="12" customHeight="1" x14ac:dyDescent="0.25"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</row>
    <row r="135" spans="15:30" ht="12" customHeight="1" x14ac:dyDescent="0.25"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</row>
    <row r="136" spans="15:30" ht="12" customHeight="1" x14ac:dyDescent="0.25"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</row>
    <row r="137" spans="15:30" ht="12" customHeight="1" x14ac:dyDescent="0.25"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</row>
    <row r="138" spans="15:30" ht="12" customHeight="1" x14ac:dyDescent="0.25"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</row>
    <row r="139" spans="15:30" ht="12" customHeight="1" x14ac:dyDescent="0.25"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</row>
    <row r="140" spans="15:30" ht="12" customHeight="1" x14ac:dyDescent="0.25"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</row>
    <row r="141" spans="15:30" ht="12" customHeight="1" x14ac:dyDescent="0.25"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</row>
    <row r="142" spans="15:30" ht="12" customHeight="1" x14ac:dyDescent="0.25"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</row>
    <row r="143" spans="15:30" ht="12" customHeight="1" x14ac:dyDescent="0.25"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</row>
    <row r="144" spans="15:30" ht="12" customHeight="1" x14ac:dyDescent="0.25"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</row>
    <row r="145" spans="15:30" ht="12" customHeight="1" x14ac:dyDescent="0.25"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</row>
    <row r="146" spans="15:30" ht="12" customHeight="1" x14ac:dyDescent="0.25"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</row>
    <row r="147" spans="15:30" ht="12" customHeight="1" x14ac:dyDescent="0.25"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</row>
    <row r="148" spans="15:30" ht="12" customHeight="1" x14ac:dyDescent="0.25"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</row>
    <row r="149" spans="15:30" ht="12" customHeight="1" x14ac:dyDescent="0.25"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</row>
    <row r="150" spans="15:30" ht="12" customHeight="1" x14ac:dyDescent="0.25"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</row>
    <row r="151" spans="15:30" ht="12" customHeight="1" x14ac:dyDescent="0.25"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</row>
    <row r="152" spans="15:30" ht="12" customHeight="1" x14ac:dyDescent="0.25"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</row>
    <row r="153" spans="15:30" ht="12" customHeight="1" x14ac:dyDescent="0.25"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</row>
    <row r="154" spans="15:30" ht="12" customHeight="1" x14ac:dyDescent="0.25"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</row>
    <row r="155" spans="15:30" ht="12" customHeight="1" x14ac:dyDescent="0.25"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</row>
    <row r="156" spans="15:30" ht="12" customHeight="1" x14ac:dyDescent="0.25"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</row>
    <row r="157" spans="15:30" ht="12" customHeight="1" x14ac:dyDescent="0.25"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5:30" ht="12" customHeight="1" x14ac:dyDescent="0.25"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</row>
    <row r="159" spans="15:30" ht="12" customHeight="1" x14ac:dyDescent="0.25"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</row>
    <row r="160" spans="15:30" ht="12" customHeight="1" x14ac:dyDescent="0.25"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</row>
    <row r="161" spans="15:30" ht="12" customHeight="1" x14ac:dyDescent="0.25"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</row>
    <row r="162" spans="15:30" ht="12" customHeight="1" x14ac:dyDescent="0.25"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</row>
    <row r="163" spans="15:30" ht="12" customHeight="1" x14ac:dyDescent="0.25"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</row>
    <row r="164" spans="15:30" ht="12" customHeight="1" x14ac:dyDescent="0.25"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</row>
    <row r="165" spans="15:30" ht="12" customHeight="1" x14ac:dyDescent="0.25"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</row>
    <row r="166" spans="15:30" ht="12" customHeight="1" x14ac:dyDescent="0.25"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</row>
    <row r="167" spans="15:30" ht="12" customHeight="1" x14ac:dyDescent="0.25"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</row>
    <row r="168" spans="15:30" ht="12" customHeight="1" x14ac:dyDescent="0.25"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</row>
    <row r="169" spans="15:30" ht="12" customHeight="1" x14ac:dyDescent="0.25"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</row>
    <row r="170" spans="15:30" ht="12" customHeight="1" x14ac:dyDescent="0.25"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</row>
    <row r="171" spans="15:30" ht="12" customHeight="1" x14ac:dyDescent="0.25"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</row>
    <row r="172" spans="15:30" ht="12" customHeight="1" x14ac:dyDescent="0.25"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</row>
    <row r="173" spans="15:30" ht="12" customHeight="1" x14ac:dyDescent="0.25"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</row>
    <row r="174" spans="15:30" ht="12" customHeight="1" x14ac:dyDescent="0.25"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</row>
    <row r="175" spans="15:30" ht="12" customHeight="1" x14ac:dyDescent="0.25"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</row>
    <row r="176" spans="15:30" ht="12" customHeight="1" x14ac:dyDescent="0.25"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</row>
    <row r="177" spans="15:30" ht="12" customHeight="1" x14ac:dyDescent="0.25"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</row>
    <row r="178" spans="15:30" ht="12" customHeight="1" x14ac:dyDescent="0.25"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</row>
    <row r="179" spans="15:30" ht="12" customHeight="1" x14ac:dyDescent="0.25"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15:30" ht="12" customHeight="1" x14ac:dyDescent="0.25"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15:30" ht="12" customHeight="1" x14ac:dyDescent="0.25"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15:30" ht="12" customHeight="1" x14ac:dyDescent="0.25"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15:30" ht="12" customHeight="1" x14ac:dyDescent="0.25"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15:30" ht="12" customHeight="1" x14ac:dyDescent="0.25"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15:30" ht="12" customHeight="1" x14ac:dyDescent="0.25"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15:30" ht="12" customHeight="1" x14ac:dyDescent="0.25"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</row>
    <row r="187" spans="15:30" ht="12" customHeight="1" x14ac:dyDescent="0.25"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</row>
    <row r="188" spans="15:30" ht="12" customHeight="1" x14ac:dyDescent="0.25"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</row>
    <row r="189" spans="15:30" ht="12" customHeight="1" x14ac:dyDescent="0.25"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</row>
    <row r="190" spans="15:30" ht="12" customHeight="1" x14ac:dyDescent="0.25"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</row>
    <row r="191" spans="15:30" ht="12" customHeight="1" x14ac:dyDescent="0.25"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</row>
    <row r="192" spans="15:30" ht="12" customHeight="1" x14ac:dyDescent="0.25"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</row>
    <row r="193" spans="15:30" ht="12" customHeight="1" x14ac:dyDescent="0.25"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</row>
    <row r="194" spans="15:30" ht="12" customHeight="1" x14ac:dyDescent="0.25"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</row>
    <row r="195" spans="15:30" ht="12" customHeight="1" x14ac:dyDescent="0.25"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</row>
    <row r="196" spans="15:30" ht="12" customHeight="1" x14ac:dyDescent="0.25"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</row>
    <row r="197" spans="15:30" ht="12" customHeight="1" x14ac:dyDescent="0.25"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</row>
    <row r="198" spans="15:30" ht="12" customHeight="1" x14ac:dyDescent="0.25"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</row>
    <row r="199" spans="15:30" ht="12" customHeight="1" x14ac:dyDescent="0.25"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</row>
    <row r="200" spans="15:30" ht="12" customHeight="1" x14ac:dyDescent="0.25"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</sheetData>
  <mergeCells count="19">
    <mergeCell ref="O1:U1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  <mergeCell ref="B42:B43"/>
    <mergeCell ref="A48:C48"/>
    <mergeCell ref="A49:C49"/>
    <mergeCell ref="B44:B45"/>
    <mergeCell ref="B46:C46"/>
    <mergeCell ref="A47:C47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C1DA7-5F9D-4104-AD9F-F9DF43FDE0CA}">
  <dimension ref="A1:AP65"/>
  <sheetViews>
    <sheetView showGridLines="0" topLeftCell="A43" workbookViewId="0">
      <selection activeCell="K76" sqref="K76:P76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10" style="9" bestFit="1" customWidth="1"/>
    <col min="17" max="17" width="11.7109375" style="9" bestFit="1" customWidth="1"/>
    <col min="18" max="18" width="10.85546875" style="9" bestFit="1" customWidth="1"/>
    <col min="19" max="19" width="10" style="9" bestFit="1" customWidth="1"/>
    <col min="20" max="21" width="11.7109375" style="9" bestFit="1" customWidth="1"/>
    <col min="22" max="23" width="10.85546875" style="9" bestFit="1" customWidth="1"/>
    <col min="24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12.28515625" style="9" bestFit="1" customWidth="1"/>
    <col min="32" max="32" width="7.28515625" style="9" bestFit="1" customWidth="1"/>
    <col min="33" max="33" width="12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1.7109375" style="9" bestFit="1" customWidth="1"/>
    <col min="39" max="39" width="13.1406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98" t="s">
        <v>92</v>
      </c>
      <c r="B1" s="98" t="s">
        <v>93</v>
      </c>
      <c r="C1" s="98" t="s">
        <v>94</v>
      </c>
      <c r="D1" s="98" t="s">
        <v>95</v>
      </c>
      <c r="E1" s="98" t="s">
        <v>96</v>
      </c>
      <c r="F1" s="98" t="s">
        <v>15</v>
      </c>
      <c r="G1" s="98" t="s">
        <v>98</v>
      </c>
      <c r="H1" s="98" t="s">
        <v>99</v>
      </c>
      <c r="I1" s="98" t="s">
        <v>924</v>
      </c>
      <c r="J1" s="93"/>
      <c r="L1" s="99" t="s">
        <v>925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P1" s="99" t="s">
        <v>926</v>
      </c>
    </row>
    <row r="2" spans="1:42" ht="11.25" customHeight="1" x14ac:dyDescent="0.25">
      <c r="A2" s="98"/>
      <c r="B2" s="98"/>
      <c r="C2" s="98"/>
      <c r="D2" s="98"/>
      <c r="E2" s="98"/>
      <c r="F2" s="98"/>
      <c r="G2" s="98"/>
      <c r="H2" s="98"/>
      <c r="I2" s="98"/>
      <c r="J2" s="93"/>
      <c r="L2" s="99" t="s">
        <v>834</v>
      </c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P2" s="100"/>
    </row>
    <row r="3" spans="1:42" ht="11.25" customHeight="1" x14ac:dyDescent="0.25">
      <c r="A3" s="98"/>
      <c r="B3" s="98"/>
      <c r="C3" s="98"/>
      <c r="D3" s="98"/>
      <c r="E3" s="98"/>
      <c r="F3" s="98"/>
      <c r="G3" s="98"/>
      <c r="H3" s="98"/>
      <c r="I3" s="98"/>
      <c r="J3" s="93"/>
      <c r="L3" s="99" t="s">
        <v>835</v>
      </c>
      <c r="M3" s="99"/>
      <c r="N3" s="99"/>
      <c r="O3" s="99"/>
      <c r="P3" s="99"/>
      <c r="Q3" s="99"/>
      <c r="R3" s="99"/>
      <c r="S3" s="99"/>
      <c r="T3" s="99"/>
      <c r="U3" s="99" t="s">
        <v>844</v>
      </c>
      <c r="V3" s="99"/>
      <c r="W3" s="99"/>
      <c r="X3" s="99"/>
      <c r="Y3" s="99"/>
      <c r="Z3" s="99"/>
      <c r="AA3" s="99"/>
      <c r="AB3" s="99"/>
      <c r="AC3" s="99" t="s">
        <v>852</v>
      </c>
      <c r="AD3" s="99"/>
      <c r="AE3" s="99" t="s">
        <v>854</v>
      </c>
      <c r="AF3" s="99"/>
      <c r="AG3" s="99"/>
      <c r="AH3" s="99" t="s">
        <v>857</v>
      </c>
      <c r="AI3" s="99"/>
      <c r="AJ3" s="99"/>
      <c r="AK3" s="99"/>
      <c r="AL3" s="99"/>
      <c r="AM3" s="99" t="s">
        <v>843</v>
      </c>
      <c r="AP3" s="100"/>
    </row>
    <row r="4" spans="1:42" ht="11.25" customHeight="1" x14ac:dyDescent="0.25">
      <c r="A4" s="98"/>
      <c r="B4" s="98"/>
      <c r="C4" s="98"/>
      <c r="D4" s="98"/>
      <c r="E4" s="98"/>
      <c r="F4" s="98"/>
      <c r="G4" s="98"/>
      <c r="H4" s="98"/>
      <c r="I4" s="98"/>
      <c r="J4" s="93"/>
      <c r="L4" s="32" t="s">
        <v>920</v>
      </c>
      <c r="M4" s="32" t="s">
        <v>836</v>
      </c>
      <c r="N4" s="32" t="s">
        <v>837</v>
      </c>
      <c r="O4" s="32" t="s">
        <v>838</v>
      </c>
      <c r="P4" s="32" t="s">
        <v>839</v>
      </c>
      <c r="Q4" s="32" t="s">
        <v>840</v>
      </c>
      <c r="R4" s="32" t="s">
        <v>841</v>
      </c>
      <c r="S4" s="32" t="s">
        <v>842</v>
      </c>
      <c r="T4" s="32" t="s">
        <v>843</v>
      </c>
      <c r="U4" s="32" t="s">
        <v>845</v>
      </c>
      <c r="V4" s="32" t="s">
        <v>846</v>
      </c>
      <c r="W4" s="32" t="s">
        <v>847</v>
      </c>
      <c r="X4" s="32" t="s">
        <v>848</v>
      </c>
      <c r="Y4" s="32" t="s">
        <v>849</v>
      </c>
      <c r="Z4" s="32" t="s">
        <v>850</v>
      </c>
      <c r="AA4" s="32" t="s">
        <v>851</v>
      </c>
      <c r="AB4" s="32" t="s">
        <v>843</v>
      </c>
      <c r="AC4" s="32" t="s">
        <v>853</v>
      </c>
      <c r="AD4" s="32" t="s">
        <v>843</v>
      </c>
      <c r="AE4" s="32" t="s">
        <v>855</v>
      </c>
      <c r="AF4" s="32" t="s">
        <v>856</v>
      </c>
      <c r="AG4" s="32" t="s">
        <v>843</v>
      </c>
      <c r="AH4" s="32" t="s">
        <v>858</v>
      </c>
      <c r="AI4" s="32" t="s">
        <v>859</v>
      </c>
      <c r="AJ4" s="32" t="s">
        <v>860</v>
      </c>
      <c r="AK4" s="32" t="s">
        <v>861</v>
      </c>
      <c r="AL4" s="32" t="s">
        <v>843</v>
      </c>
      <c r="AM4" s="101"/>
      <c r="AP4" s="100"/>
    </row>
    <row r="5" spans="1:42" ht="11.25" customHeight="1" x14ac:dyDescent="0.25">
      <c r="A5" s="97" t="s">
        <v>39</v>
      </c>
      <c r="B5" s="97" t="s">
        <v>40</v>
      </c>
      <c r="C5" s="97" t="s">
        <v>25</v>
      </c>
      <c r="D5" s="97" t="s">
        <v>25</v>
      </c>
      <c r="E5" s="97" t="s">
        <v>25</v>
      </c>
      <c r="F5" s="97" t="s">
        <v>25</v>
      </c>
      <c r="G5" s="38" t="s">
        <v>106</v>
      </c>
      <c r="H5" s="38" t="s">
        <v>105</v>
      </c>
      <c r="I5" s="38">
        <f>'MERCADO TUSD'!$U$2</f>
        <v>1097619</v>
      </c>
      <c r="J5" s="15"/>
      <c r="L5" s="31"/>
      <c r="M5" s="31"/>
      <c r="N5" s="31"/>
      <c r="O5" s="31"/>
      <c r="P5" s="31"/>
      <c r="Q5" s="31"/>
      <c r="R5" s="31"/>
      <c r="S5" s="31"/>
      <c r="T5" s="31"/>
      <c r="U5" s="31">
        <v>6.9287999999999998</v>
      </c>
      <c r="V5" s="31">
        <v>2.0851999999999999</v>
      </c>
      <c r="W5" s="31">
        <v>0.7258</v>
      </c>
      <c r="X5" s="31">
        <v>2.58E-2</v>
      </c>
      <c r="Y5" s="31">
        <v>0.54930000000000001</v>
      </c>
      <c r="Z5" s="31">
        <v>0</v>
      </c>
      <c r="AA5" s="31">
        <v>0</v>
      </c>
      <c r="AB5" s="31"/>
      <c r="AC5" s="31">
        <v>9.4171999999999993</v>
      </c>
      <c r="AD5" s="31"/>
      <c r="AE5" s="31"/>
      <c r="AF5" s="31"/>
      <c r="AG5" s="31"/>
      <c r="AH5" s="31"/>
      <c r="AI5" s="31"/>
      <c r="AJ5" s="31"/>
      <c r="AK5" s="31"/>
      <c r="AL5" s="31"/>
      <c r="AM5" s="31"/>
      <c r="AP5" s="31">
        <v>1</v>
      </c>
    </row>
    <row r="6" spans="1:42" ht="11.25" customHeight="1" x14ac:dyDescent="0.25">
      <c r="A6" s="97"/>
      <c r="B6" s="97"/>
      <c r="C6" s="97"/>
      <c r="D6" s="97"/>
      <c r="E6" s="97"/>
      <c r="F6" s="97"/>
      <c r="G6" s="38" t="s">
        <v>107</v>
      </c>
      <c r="H6" s="38" t="s">
        <v>105</v>
      </c>
      <c r="I6" s="38">
        <f>'MERCADO TUSD'!$U$3</f>
        <v>1328173</v>
      </c>
      <c r="J6" s="15"/>
      <c r="L6" s="31"/>
      <c r="M6" s="31"/>
      <c r="N6" s="31"/>
      <c r="O6" s="31"/>
      <c r="P6" s="31"/>
      <c r="Q6" s="31"/>
      <c r="R6" s="31"/>
      <c r="S6" s="31"/>
      <c r="T6" s="31"/>
      <c r="U6" s="31">
        <v>5.5746000000000002</v>
      </c>
      <c r="V6" s="31">
        <v>1.6575</v>
      </c>
      <c r="W6" s="31">
        <v>0.53400000000000003</v>
      </c>
      <c r="X6" s="31">
        <v>1.9E-2</v>
      </c>
      <c r="Y6" s="31">
        <v>0.2339</v>
      </c>
      <c r="Z6" s="31">
        <v>0</v>
      </c>
      <c r="AA6" s="31">
        <v>0</v>
      </c>
      <c r="AB6" s="31"/>
      <c r="AC6" s="31">
        <v>1.847</v>
      </c>
      <c r="AD6" s="31"/>
      <c r="AE6" s="31"/>
      <c r="AF6" s="31"/>
      <c r="AG6" s="31"/>
      <c r="AH6" s="31"/>
      <c r="AI6" s="31"/>
      <c r="AJ6" s="31"/>
      <c r="AK6" s="31"/>
      <c r="AL6" s="31"/>
      <c r="AM6" s="31"/>
      <c r="AP6" s="31">
        <v>1</v>
      </c>
    </row>
    <row r="7" spans="1:42" ht="11.25" customHeight="1" x14ac:dyDescent="0.25">
      <c r="A7" s="97"/>
      <c r="B7" s="97"/>
      <c r="C7" s="97"/>
      <c r="D7" s="97"/>
      <c r="E7" s="97"/>
      <c r="F7" s="97"/>
      <c r="G7" s="38" t="s">
        <v>108</v>
      </c>
      <c r="H7" s="38" t="s">
        <v>102</v>
      </c>
      <c r="I7" s="38">
        <f>'MERCADO TUSD'!$U$4</f>
        <v>644358.49899999984</v>
      </c>
      <c r="J7" s="15"/>
      <c r="L7" s="31"/>
      <c r="M7" s="31"/>
      <c r="N7" s="31"/>
      <c r="O7" s="31"/>
      <c r="P7" s="31"/>
      <c r="Q7" s="31"/>
      <c r="R7" s="31"/>
      <c r="S7" s="31"/>
      <c r="T7" s="31"/>
      <c r="U7" s="31">
        <v>0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/>
      <c r="AC7" s="31">
        <v>0</v>
      </c>
      <c r="AD7" s="31"/>
      <c r="AE7" s="31"/>
      <c r="AF7" s="31"/>
      <c r="AG7" s="31"/>
      <c r="AH7" s="31"/>
      <c r="AI7" s="31"/>
      <c r="AJ7" s="31"/>
      <c r="AK7" s="31"/>
      <c r="AL7" s="31"/>
      <c r="AM7" s="31"/>
      <c r="AP7" s="31">
        <v>1</v>
      </c>
    </row>
    <row r="8" spans="1:42" ht="11.25" customHeight="1" x14ac:dyDescent="0.25">
      <c r="A8" s="97"/>
      <c r="B8" s="97"/>
      <c r="C8" s="97"/>
      <c r="D8" s="97"/>
      <c r="E8" s="37" t="s">
        <v>59</v>
      </c>
      <c r="F8" s="37" t="s">
        <v>25</v>
      </c>
      <c r="G8" s="38" t="s">
        <v>108</v>
      </c>
      <c r="H8" s="38" t="s">
        <v>102</v>
      </c>
      <c r="I8" s="38">
        <f>'MERCADO TUSD'!$U$5</f>
        <v>0</v>
      </c>
      <c r="J8" s="15"/>
      <c r="L8" s="31"/>
      <c r="M8" s="31"/>
      <c r="N8" s="31"/>
      <c r="O8" s="31"/>
      <c r="P8" s="31"/>
      <c r="Q8" s="31"/>
      <c r="R8" s="31"/>
      <c r="S8" s="31"/>
      <c r="T8" s="31"/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/>
      <c r="AC8" s="31">
        <v>0</v>
      </c>
      <c r="AD8" s="31"/>
      <c r="AE8" s="31"/>
      <c r="AF8" s="31"/>
      <c r="AG8" s="31"/>
      <c r="AH8" s="31"/>
      <c r="AI8" s="31"/>
      <c r="AJ8" s="31"/>
      <c r="AK8" s="31"/>
      <c r="AL8" s="31"/>
      <c r="AM8" s="31"/>
      <c r="AP8" s="31">
        <v>1</v>
      </c>
    </row>
    <row r="9" spans="1:42" ht="11.25" customHeight="1" x14ac:dyDescent="0.25">
      <c r="A9" s="97"/>
      <c r="B9" s="97" t="s">
        <v>62</v>
      </c>
      <c r="C9" s="97" t="s">
        <v>25</v>
      </c>
      <c r="D9" s="97" t="s">
        <v>25</v>
      </c>
      <c r="E9" s="97" t="s">
        <v>25</v>
      </c>
      <c r="F9" s="97" t="s">
        <v>65</v>
      </c>
      <c r="G9" s="38" t="s">
        <v>106</v>
      </c>
      <c r="H9" s="38" t="s">
        <v>105</v>
      </c>
      <c r="I9" s="38">
        <f>'MERCADO TUSD'!$U$6</f>
        <v>344392</v>
      </c>
      <c r="J9" s="15"/>
      <c r="L9" s="31"/>
      <c r="M9" s="31"/>
      <c r="N9" s="31"/>
      <c r="O9" s="31"/>
      <c r="P9" s="31"/>
      <c r="Q9" s="31"/>
      <c r="R9" s="31"/>
      <c r="S9" s="31"/>
      <c r="T9" s="31"/>
      <c r="U9" s="31">
        <v>6.9287999999999998</v>
      </c>
      <c r="V9" s="31">
        <v>2.0851999999999999</v>
      </c>
      <c r="W9" s="31">
        <v>0.7258</v>
      </c>
      <c r="X9" s="31">
        <v>2.58E-2</v>
      </c>
      <c r="Y9" s="31">
        <v>0.54930000000000001</v>
      </c>
      <c r="Z9" s="31">
        <v>0</v>
      </c>
      <c r="AA9" s="31">
        <v>0</v>
      </c>
      <c r="AB9" s="31"/>
      <c r="AC9" s="31">
        <v>9.4171999999999993</v>
      </c>
      <c r="AD9" s="31"/>
      <c r="AE9" s="31"/>
      <c r="AF9" s="31"/>
      <c r="AG9" s="31"/>
      <c r="AH9" s="31"/>
      <c r="AI9" s="31"/>
      <c r="AJ9" s="31"/>
      <c r="AK9" s="31"/>
      <c r="AL9" s="31"/>
      <c r="AM9" s="31"/>
      <c r="AP9" s="31">
        <v>1</v>
      </c>
    </row>
    <row r="10" spans="1:42" ht="11.25" customHeight="1" x14ac:dyDescent="0.25">
      <c r="A10" s="97"/>
      <c r="B10" s="97"/>
      <c r="C10" s="97"/>
      <c r="D10" s="97"/>
      <c r="E10" s="97"/>
      <c r="F10" s="97"/>
      <c r="G10" s="38" t="s">
        <v>107</v>
      </c>
      <c r="H10" s="38" t="s">
        <v>105</v>
      </c>
      <c r="I10" s="38">
        <f>'MERCADO TUSD'!$U$7</f>
        <v>351600</v>
      </c>
      <c r="J10" s="15"/>
      <c r="L10" s="31"/>
      <c r="M10" s="31"/>
      <c r="N10" s="31"/>
      <c r="O10" s="31"/>
      <c r="P10" s="31"/>
      <c r="Q10" s="31"/>
      <c r="R10" s="31"/>
      <c r="S10" s="31"/>
      <c r="T10" s="31"/>
      <c r="U10" s="31">
        <v>5.5746000000000002</v>
      </c>
      <c r="V10" s="31">
        <v>1.6575</v>
      </c>
      <c r="W10" s="31">
        <v>0.53400000000000003</v>
      </c>
      <c r="X10" s="31">
        <v>1.9E-2</v>
      </c>
      <c r="Y10" s="31">
        <v>0.2339</v>
      </c>
      <c r="Z10" s="31">
        <v>0</v>
      </c>
      <c r="AA10" s="31">
        <v>0</v>
      </c>
      <c r="AB10" s="31"/>
      <c r="AC10" s="31">
        <v>1.847</v>
      </c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P10" s="31">
        <v>1</v>
      </c>
    </row>
    <row r="11" spans="1:42" ht="11.25" customHeight="1" x14ac:dyDescent="0.25">
      <c r="A11" s="97"/>
      <c r="B11" s="97"/>
      <c r="C11" s="97"/>
      <c r="D11" s="97"/>
      <c r="E11" s="97"/>
      <c r="F11" s="97"/>
      <c r="G11" s="38" t="s">
        <v>108</v>
      </c>
      <c r="H11" s="38" t="s">
        <v>102</v>
      </c>
      <c r="I11" s="38">
        <f>'MERCADO TUSD'!$U$8</f>
        <v>143574.41700000002</v>
      </c>
      <c r="J11" s="15"/>
      <c r="L11" s="31"/>
      <c r="M11" s="31"/>
      <c r="N11" s="31"/>
      <c r="O11" s="31"/>
      <c r="P11" s="31"/>
      <c r="Q11" s="31"/>
      <c r="R11" s="31"/>
      <c r="S11" s="31"/>
      <c r="T11" s="31"/>
      <c r="U11" s="31">
        <v>0</v>
      </c>
      <c r="V11" s="31">
        <v>0</v>
      </c>
      <c r="W11" s="31">
        <v>0</v>
      </c>
      <c r="X11" s="31">
        <v>0</v>
      </c>
      <c r="Y11" s="31">
        <v>0</v>
      </c>
      <c r="Z11" s="31">
        <v>0</v>
      </c>
      <c r="AA11" s="31">
        <v>0</v>
      </c>
      <c r="AB11" s="31"/>
      <c r="AC11" s="31">
        <v>0</v>
      </c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P11" s="31">
        <v>1</v>
      </c>
    </row>
    <row r="12" spans="1:42" ht="11.25" customHeight="1" x14ac:dyDescent="0.25">
      <c r="A12" s="97"/>
      <c r="B12" s="37" t="s">
        <v>66</v>
      </c>
      <c r="C12" s="37" t="s">
        <v>25</v>
      </c>
      <c r="D12" s="37" t="s">
        <v>25</v>
      </c>
      <c r="E12" s="37" t="s">
        <v>25</v>
      </c>
      <c r="F12" s="37" t="s">
        <v>25</v>
      </c>
      <c r="G12" s="38" t="s">
        <v>9</v>
      </c>
      <c r="H12" s="38" t="s">
        <v>105</v>
      </c>
      <c r="I12" s="38">
        <f>'MERCADO TUSD'!$U$9</f>
        <v>2595530</v>
      </c>
      <c r="J12" s="15"/>
      <c r="L12" s="31"/>
      <c r="M12" s="31"/>
      <c r="N12" s="31"/>
      <c r="O12" s="31"/>
      <c r="P12" s="31"/>
      <c r="Q12" s="31"/>
      <c r="R12" s="31"/>
      <c r="S12" s="31"/>
      <c r="T12" s="31"/>
      <c r="U12" s="31">
        <f>(1+CUSTOS!$M$4)*0</f>
        <v>0</v>
      </c>
      <c r="V12" s="31">
        <f>(1+CUSTOS!$M$4)*0</f>
        <v>0</v>
      </c>
      <c r="W12" s="31">
        <f>(1+CUSTOS!$M$4)*0.206473389690716</f>
        <v>0.22727928404185052</v>
      </c>
      <c r="X12" s="31">
        <f>(1+CUSTOS!$M$4)*0</f>
        <v>0</v>
      </c>
      <c r="Y12" s="31">
        <f>(1+CUSTOS!$M$4)*0.896260792576339</f>
        <v>0.98657512988314733</v>
      </c>
      <c r="Z12" s="31">
        <v>0</v>
      </c>
      <c r="AA12" s="31">
        <v>0</v>
      </c>
      <c r="AB12" s="31"/>
      <c r="AC12" s="31">
        <f>(1+CUSTOS!$M$4)*10.4739895774239</f>
        <v>11.529431738320262</v>
      </c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P12" s="31"/>
    </row>
    <row r="13" spans="1:42" ht="11.25" customHeight="1" x14ac:dyDescent="0.25">
      <c r="A13" s="97" t="s">
        <v>41</v>
      </c>
      <c r="B13" s="97" t="s">
        <v>40</v>
      </c>
      <c r="C13" s="97" t="s">
        <v>25</v>
      </c>
      <c r="D13" s="97" t="s">
        <v>25</v>
      </c>
      <c r="E13" s="97" t="s">
        <v>25</v>
      </c>
      <c r="F13" s="97" t="s">
        <v>25</v>
      </c>
      <c r="G13" s="38" t="s">
        <v>106</v>
      </c>
      <c r="H13" s="38" t="s">
        <v>105</v>
      </c>
      <c r="I13" s="38">
        <f>'MERCADO TUSD'!$U$10</f>
        <v>558998</v>
      </c>
      <c r="J13" s="15"/>
      <c r="L13" s="31"/>
      <c r="M13" s="31"/>
      <c r="N13" s="31"/>
      <c r="O13" s="31"/>
      <c r="P13" s="31"/>
      <c r="Q13" s="31"/>
      <c r="R13" s="31"/>
      <c r="S13" s="31"/>
      <c r="T13" s="31"/>
      <c r="U13" s="31">
        <v>5.9452999999999996</v>
      </c>
      <c r="V13" s="31">
        <v>1.7891999999999999</v>
      </c>
      <c r="W13" s="31">
        <v>0.62280000000000002</v>
      </c>
      <c r="X13" s="31">
        <v>2.2100000000000002E-2</v>
      </c>
      <c r="Y13" s="31">
        <v>0.60970000000000002</v>
      </c>
      <c r="Z13" s="31">
        <v>0</v>
      </c>
      <c r="AA13" s="31">
        <v>0</v>
      </c>
      <c r="AB13" s="31"/>
      <c r="AC13" s="31">
        <v>41.189799999999998</v>
      </c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P13" s="31">
        <v>1</v>
      </c>
    </row>
    <row r="14" spans="1:42" ht="11.25" customHeight="1" x14ac:dyDescent="0.25">
      <c r="A14" s="97"/>
      <c r="B14" s="97"/>
      <c r="C14" s="97"/>
      <c r="D14" s="97"/>
      <c r="E14" s="97"/>
      <c r="F14" s="97"/>
      <c r="G14" s="38" t="s">
        <v>107</v>
      </c>
      <c r="H14" s="38" t="s">
        <v>105</v>
      </c>
      <c r="I14" s="38">
        <f>'MERCADO TUSD'!$U$11</f>
        <v>639825</v>
      </c>
      <c r="J14" s="15"/>
      <c r="L14" s="31"/>
      <c r="M14" s="31"/>
      <c r="N14" s="31"/>
      <c r="O14" s="31"/>
      <c r="P14" s="31"/>
      <c r="Q14" s="31"/>
      <c r="R14" s="31"/>
      <c r="S14" s="31"/>
      <c r="T14" s="31"/>
      <c r="U14" s="31">
        <v>3.7128000000000001</v>
      </c>
      <c r="V14" s="31">
        <v>1.1115999999999999</v>
      </c>
      <c r="W14" s="31">
        <v>0.35520000000000002</v>
      </c>
      <c r="X14" s="31">
        <v>1.26E-2</v>
      </c>
      <c r="Y14" s="31">
        <v>0.19850000000000001</v>
      </c>
      <c r="Z14" s="31">
        <v>0</v>
      </c>
      <c r="AA14" s="31">
        <v>0</v>
      </c>
      <c r="AB14" s="31"/>
      <c r="AC14" s="31">
        <v>19.698799999999999</v>
      </c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P14" s="31">
        <v>1</v>
      </c>
    </row>
    <row r="15" spans="1:42" ht="11.25" customHeight="1" x14ac:dyDescent="0.25">
      <c r="A15" s="97"/>
      <c r="B15" s="97"/>
      <c r="C15" s="97"/>
      <c r="D15" s="97"/>
      <c r="E15" s="97"/>
      <c r="F15" s="97"/>
      <c r="G15" s="38" t="s">
        <v>108</v>
      </c>
      <c r="H15" s="38" t="s">
        <v>102</v>
      </c>
      <c r="I15" s="38">
        <f>'MERCADO TUSD'!$U$12</f>
        <v>243208.54699999999</v>
      </c>
      <c r="J15" s="15"/>
      <c r="L15" s="31"/>
      <c r="M15" s="31"/>
      <c r="N15" s="31"/>
      <c r="O15" s="31"/>
      <c r="P15" s="31"/>
      <c r="Q15" s="31"/>
      <c r="R15" s="31"/>
      <c r="S15" s="31"/>
      <c r="T15" s="31"/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/>
      <c r="AC15" s="31">
        <v>0</v>
      </c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P15" s="31">
        <v>1</v>
      </c>
    </row>
    <row r="16" spans="1:42" ht="11.25" customHeight="1" x14ac:dyDescent="0.25">
      <c r="A16" s="97"/>
      <c r="B16" s="97"/>
      <c r="C16" s="97"/>
      <c r="D16" s="97"/>
      <c r="E16" s="37" t="s">
        <v>59</v>
      </c>
      <c r="F16" s="37" t="s">
        <v>25</v>
      </c>
      <c r="G16" s="38" t="s">
        <v>108</v>
      </c>
      <c r="H16" s="38" t="s">
        <v>102</v>
      </c>
      <c r="I16" s="38">
        <f>'MERCADO TUSD'!$U$13</f>
        <v>0</v>
      </c>
      <c r="J16" s="15"/>
      <c r="L16" s="31"/>
      <c r="M16" s="31"/>
      <c r="N16" s="31"/>
      <c r="O16" s="31"/>
      <c r="P16" s="31"/>
      <c r="Q16" s="31"/>
      <c r="R16" s="31"/>
      <c r="S16" s="31"/>
      <c r="T16" s="31"/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/>
      <c r="AC16" s="31">
        <v>0</v>
      </c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P16" s="31">
        <v>1</v>
      </c>
    </row>
    <row r="17" spans="1:42" ht="11.25" customHeight="1" x14ac:dyDescent="0.25">
      <c r="A17" s="97"/>
      <c r="B17" s="97" t="s">
        <v>62</v>
      </c>
      <c r="C17" s="97" t="s">
        <v>25</v>
      </c>
      <c r="D17" s="97" t="s">
        <v>25</v>
      </c>
      <c r="E17" s="97" t="s">
        <v>25</v>
      </c>
      <c r="F17" s="97" t="s">
        <v>63</v>
      </c>
      <c r="G17" s="38" t="s">
        <v>106</v>
      </c>
      <c r="H17" s="38" t="s">
        <v>105</v>
      </c>
      <c r="I17" s="38">
        <f>'MERCADO TUSD'!$U$14</f>
        <v>83572</v>
      </c>
      <c r="J17" s="15"/>
      <c r="L17" s="31"/>
      <c r="M17" s="31"/>
      <c r="N17" s="31"/>
      <c r="O17" s="31"/>
      <c r="P17" s="31"/>
      <c r="Q17" s="31"/>
      <c r="R17" s="31"/>
      <c r="S17" s="31"/>
      <c r="T17" s="31"/>
      <c r="U17" s="31">
        <v>5.9452999999999996</v>
      </c>
      <c r="V17" s="31">
        <v>1.7891999999999999</v>
      </c>
      <c r="W17" s="31">
        <v>0.62280000000000002</v>
      </c>
      <c r="X17" s="31">
        <v>2.2100000000000002E-2</v>
      </c>
      <c r="Y17" s="31">
        <v>0.60970000000000002</v>
      </c>
      <c r="Z17" s="31">
        <v>0</v>
      </c>
      <c r="AA17" s="31">
        <v>0</v>
      </c>
      <c r="AB17" s="31"/>
      <c r="AC17" s="31">
        <v>14.7859</v>
      </c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P17" s="31">
        <v>1</v>
      </c>
    </row>
    <row r="18" spans="1:42" ht="11.25" customHeight="1" x14ac:dyDescent="0.25">
      <c r="A18" s="97"/>
      <c r="B18" s="97"/>
      <c r="C18" s="97"/>
      <c r="D18" s="97"/>
      <c r="E18" s="97"/>
      <c r="F18" s="97"/>
      <c r="G18" s="38" t="s">
        <v>107</v>
      </c>
      <c r="H18" s="38" t="s">
        <v>105</v>
      </c>
      <c r="I18" s="38">
        <f>'MERCADO TUSD'!$U$15</f>
        <v>86016</v>
      </c>
      <c r="J18" s="15"/>
      <c r="L18" s="31"/>
      <c r="M18" s="31"/>
      <c r="N18" s="31"/>
      <c r="O18" s="31"/>
      <c r="P18" s="31"/>
      <c r="Q18" s="31"/>
      <c r="R18" s="31"/>
      <c r="S18" s="31"/>
      <c r="T18" s="31"/>
      <c r="U18" s="31">
        <v>3.7128000000000001</v>
      </c>
      <c r="V18" s="31">
        <v>1.1115999999999999</v>
      </c>
      <c r="W18" s="31">
        <v>0.35520000000000002</v>
      </c>
      <c r="X18" s="31">
        <v>1.26E-2</v>
      </c>
      <c r="Y18" s="31">
        <v>0.19850000000000001</v>
      </c>
      <c r="Z18" s="31">
        <v>0</v>
      </c>
      <c r="AA18" s="31">
        <v>0</v>
      </c>
      <c r="AB18" s="31"/>
      <c r="AC18" s="31">
        <v>7.0712999999999999</v>
      </c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P18" s="31">
        <v>1</v>
      </c>
    </row>
    <row r="19" spans="1:42" ht="11.25" customHeight="1" x14ac:dyDescent="0.25">
      <c r="A19" s="97"/>
      <c r="B19" s="97"/>
      <c r="C19" s="97"/>
      <c r="D19" s="97"/>
      <c r="E19" s="97"/>
      <c r="F19" s="97"/>
      <c r="G19" s="38" t="s">
        <v>108</v>
      </c>
      <c r="H19" s="38" t="s">
        <v>102</v>
      </c>
      <c r="I19" s="38">
        <f>'MERCADO TUSD'!$U$16</f>
        <v>43889.742999999995</v>
      </c>
      <c r="J19" s="15"/>
      <c r="L19" s="31"/>
      <c r="M19" s="31"/>
      <c r="N19" s="31"/>
      <c r="O19" s="31"/>
      <c r="P19" s="31"/>
      <c r="Q19" s="31"/>
      <c r="R19" s="31"/>
      <c r="S19" s="31"/>
      <c r="T19" s="31"/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/>
      <c r="AC19" s="31">
        <v>0</v>
      </c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P19" s="31">
        <v>1</v>
      </c>
    </row>
    <row r="20" spans="1:42" ht="11.25" customHeight="1" x14ac:dyDescent="0.25">
      <c r="A20" s="97"/>
      <c r="B20" s="97"/>
      <c r="C20" s="97"/>
      <c r="D20" s="97"/>
      <c r="E20" s="97"/>
      <c r="F20" s="97" t="s">
        <v>65</v>
      </c>
      <c r="G20" s="38" t="s">
        <v>106</v>
      </c>
      <c r="H20" s="38" t="s">
        <v>105</v>
      </c>
      <c r="I20" s="38">
        <f>'MERCADO TUSD'!$U$17</f>
        <v>28144</v>
      </c>
      <c r="J20" s="15"/>
      <c r="L20" s="31"/>
      <c r="M20" s="31"/>
      <c r="N20" s="31"/>
      <c r="O20" s="31"/>
      <c r="P20" s="31"/>
      <c r="Q20" s="31"/>
      <c r="R20" s="31"/>
      <c r="S20" s="31"/>
      <c r="T20" s="31"/>
      <c r="U20" s="31">
        <v>5.9452999999999996</v>
      </c>
      <c r="V20" s="31">
        <v>1.7891999999999999</v>
      </c>
      <c r="W20" s="31">
        <v>0.62280000000000002</v>
      </c>
      <c r="X20" s="31">
        <v>2.2100000000000002E-2</v>
      </c>
      <c r="Y20" s="31">
        <v>0.60970000000000002</v>
      </c>
      <c r="Z20" s="31">
        <v>0</v>
      </c>
      <c r="AA20" s="31">
        <v>0</v>
      </c>
      <c r="AB20" s="31"/>
      <c r="AC20" s="31">
        <v>14.7859</v>
      </c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P20" s="31">
        <v>1</v>
      </c>
    </row>
    <row r="21" spans="1:42" ht="11.25" customHeight="1" x14ac:dyDescent="0.25">
      <c r="A21" s="97"/>
      <c r="B21" s="97"/>
      <c r="C21" s="97"/>
      <c r="D21" s="97"/>
      <c r="E21" s="97"/>
      <c r="F21" s="97"/>
      <c r="G21" s="38" t="s">
        <v>107</v>
      </c>
      <c r="H21" s="38" t="s">
        <v>105</v>
      </c>
      <c r="I21" s="38">
        <f>'MERCADO TUSD'!$U$18</f>
        <v>48228</v>
      </c>
      <c r="J21" s="15"/>
      <c r="L21" s="31"/>
      <c r="M21" s="31"/>
      <c r="N21" s="31"/>
      <c r="O21" s="31"/>
      <c r="P21" s="31"/>
      <c r="Q21" s="31"/>
      <c r="R21" s="31"/>
      <c r="S21" s="31"/>
      <c r="T21" s="31"/>
      <c r="U21" s="31">
        <v>3.7128000000000001</v>
      </c>
      <c r="V21" s="31">
        <v>1.1115999999999999</v>
      </c>
      <c r="W21" s="31">
        <v>0.35520000000000002</v>
      </c>
      <c r="X21" s="31">
        <v>1.26E-2</v>
      </c>
      <c r="Y21" s="31">
        <v>0.19850000000000001</v>
      </c>
      <c r="Z21" s="31">
        <v>0</v>
      </c>
      <c r="AA21" s="31">
        <v>0</v>
      </c>
      <c r="AB21" s="31"/>
      <c r="AC21" s="31">
        <v>7.0712999999999999</v>
      </c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P21" s="31">
        <v>1</v>
      </c>
    </row>
    <row r="22" spans="1:42" ht="11.25" customHeight="1" x14ac:dyDescent="0.25">
      <c r="A22" s="97"/>
      <c r="B22" s="97"/>
      <c r="C22" s="97"/>
      <c r="D22" s="97"/>
      <c r="E22" s="97"/>
      <c r="F22" s="97"/>
      <c r="G22" s="38" t="s">
        <v>108</v>
      </c>
      <c r="H22" s="38" t="s">
        <v>102</v>
      </c>
      <c r="I22" s="38">
        <f>'MERCADO TUSD'!$U$19</f>
        <v>23597.869999999995</v>
      </c>
      <c r="J22" s="15"/>
      <c r="L22" s="31"/>
      <c r="M22" s="31"/>
      <c r="N22" s="31"/>
      <c r="O22" s="31"/>
      <c r="P22" s="31"/>
      <c r="Q22" s="31"/>
      <c r="R22" s="31"/>
      <c r="S22" s="31"/>
      <c r="T22" s="31"/>
      <c r="U22" s="31">
        <v>0</v>
      </c>
      <c r="V22" s="31">
        <v>0</v>
      </c>
      <c r="W22" s="31">
        <v>0</v>
      </c>
      <c r="X22" s="31">
        <v>0</v>
      </c>
      <c r="Y22" s="31">
        <v>0</v>
      </c>
      <c r="Z22" s="31">
        <v>0</v>
      </c>
      <c r="AA22" s="31">
        <v>0</v>
      </c>
      <c r="AB22" s="31"/>
      <c r="AC22" s="31">
        <v>0</v>
      </c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P22" s="31">
        <v>1</v>
      </c>
    </row>
    <row r="23" spans="1:42" ht="11.25" customHeight="1" x14ac:dyDescent="0.25">
      <c r="A23" s="97"/>
      <c r="B23" s="37" t="s">
        <v>66</v>
      </c>
      <c r="C23" s="37" t="s">
        <v>25</v>
      </c>
      <c r="D23" s="37" t="s">
        <v>25</v>
      </c>
      <c r="E23" s="37" t="s">
        <v>25</v>
      </c>
      <c r="F23" s="37" t="s">
        <v>25</v>
      </c>
      <c r="G23" s="38" t="s">
        <v>9</v>
      </c>
      <c r="H23" s="38" t="s">
        <v>105</v>
      </c>
      <c r="I23" s="38">
        <f>'MERCADO TUSD'!$U$20</f>
        <v>225442</v>
      </c>
      <c r="J23" s="15"/>
      <c r="L23" s="31"/>
      <c r="M23" s="31"/>
      <c r="N23" s="31"/>
      <c r="O23" s="31"/>
      <c r="P23" s="31"/>
      <c r="Q23" s="31"/>
      <c r="R23" s="31"/>
      <c r="S23" s="31"/>
      <c r="T23" s="31"/>
      <c r="U23" s="31">
        <v>0</v>
      </c>
      <c r="V23" s="31">
        <v>0</v>
      </c>
      <c r="W23" s="31">
        <v>0</v>
      </c>
      <c r="X23" s="31">
        <v>0</v>
      </c>
      <c r="Y23" s="31">
        <v>0</v>
      </c>
      <c r="Z23" s="31">
        <v>0</v>
      </c>
      <c r="AA23" s="31">
        <v>0</v>
      </c>
      <c r="AB23" s="31"/>
      <c r="AC23" s="31">
        <v>14.005000000000001</v>
      </c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P23" s="31"/>
    </row>
    <row r="24" spans="1:42" ht="11.25" customHeight="1" x14ac:dyDescent="0.25">
      <c r="A24" s="97"/>
      <c r="B24" s="97" t="s">
        <v>42</v>
      </c>
      <c r="C24" s="97" t="s">
        <v>25</v>
      </c>
      <c r="D24" s="97" t="s">
        <v>25</v>
      </c>
      <c r="E24" s="97" t="s">
        <v>25</v>
      </c>
      <c r="F24" s="97" t="s">
        <v>25</v>
      </c>
      <c r="G24" s="38" t="s">
        <v>9</v>
      </c>
      <c r="H24" s="38" t="s">
        <v>105</v>
      </c>
      <c r="I24" s="38">
        <f>'MERCADO TUSD'!$U$21</f>
        <v>2907224</v>
      </c>
      <c r="J24" s="15"/>
      <c r="L24" s="31"/>
      <c r="M24" s="31"/>
      <c r="N24" s="31"/>
      <c r="O24" s="31"/>
      <c r="P24" s="31"/>
      <c r="Q24" s="31"/>
      <c r="R24" s="31"/>
      <c r="S24" s="31"/>
      <c r="T24" s="31"/>
      <c r="U24" s="31">
        <v>3.7128000000000001</v>
      </c>
      <c r="V24" s="31">
        <v>1.1115999999999999</v>
      </c>
      <c r="W24" s="31">
        <v>0.35520000000000002</v>
      </c>
      <c r="X24" s="31">
        <v>1.26E-2</v>
      </c>
      <c r="Y24" s="31">
        <v>0.19850000000000001</v>
      </c>
      <c r="Z24" s="31">
        <v>0</v>
      </c>
      <c r="AA24" s="31">
        <v>0</v>
      </c>
      <c r="AB24" s="31"/>
      <c r="AC24" s="31">
        <v>19.698799999999999</v>
      </c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P24" s="31">
        <v>1</v>
      </c>
    </row>
    <row r="25" spans="1:42" ht="11.25" customHeight="1" x14ac:dyDescent="0.25">
      <c r="A25" s="97"/>
      <c r="B25" s="97"/>
      <c r="C25" s="97"/>
      <c r="D25" s="97"/>
      <c r="E25" s="97"/>
      <c r="F25" s="97"/>
      <c r="G25" s="38" t="s">
        <v>103</v>
      </c>
      <c r="H25" s="38" t="s">
        <v>102</v>
      </c>
      <c r="I25" s="38">
        <f>'MERCADO TUSD'!$U$22</f>
        <v>35988.722999999998</v>
      </c>
      <c r="J25" s="15"/>
      <c r="L25" s="31"/>
      <c r="M25" s="31"/>
      <c r="N25" s="31"/>
      <c r="O25" s="31"/>
      <c r="P25" s="31"/>
      <c r="Q25" s="31"/>
      <c r="R25" s="31"/>
      <c r="S25" s="31"/>
      <c r="T25" s="31"/>
      <c r="U25" s="31">
        <v>142.98480000000001</v>
      </c>
      <c r="V25" s="31">
        <v>43.029699999999998</v>
      </c>
      <c r="W25" s="31">
        <v>14.978300000000001</v>
      </c>
      <c r="X25" s="31">
        <v>0.5323</v>
      </c>
      <c r="Y25" s="31">
        <v>14.664099999999999</v>
      </c>
      <c r="Z25" s="31">
        <v>0</v>
      </c>
      <c r="AA25" s="31">
        <v>0</v>
      </c>
      <c r="AB25" s="31"/>
      <c r="AC25" s="31">
        <v>990.61450000000002</v>
      </c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P25" s="31">
        <v>1</v>
      </c>
    </row>
    <row r="26" spans="1:42" ht="11.25" customHeight="1" x14ac:dyDescent="0.25">
      <c r="A26" s="97"/>
      <c r="B26" s="97"/>
      <c r="C26" s="97"/>
      <c r="D26" s="97"/>
      <c r="E26" s="97"/>
      <c r="F26" s="97"/>
      <c r="G26" s="38" t="s">
        <v>104</v>
      </c>
      <c r="H26" s="38" t="s">
        <v>102</v>
      </c>
      <c r="I26" s="38">
        <f>'MERCADO TUSD'!$U$23</f>
        <v>544694.34699999995</v>
      </c>
      <c r="J26" s="15"/>
      <c r="L26" s="31"/>
      <c r="M26" s="31"/>
      <c r="N26" s="31"/>
      <c r="O26" s="31"/>
      <c r="P26" s="31"/>
      <c r="Q26" s="31"/>
      <c r="R26" s="31"/>
      <c r="S26" s="31"/>
      <c r="T26" s="31"/>
      <c r="U26" s="31">
        <v>0</v>
      </c>
      <c r="V26" s="31">
        <v>0</v>
      </c>
      <c r="W26" s="31">
        <v>0</v>
      </c>
      <c r="X26" s="31">
        <v>0</v>
      </c>
      <c r="Y26" s="31">
        <v>0</v>
      </c>
      <c r="Z26" s="31">
        <v>0</v>
      </c>
      <c r="AA26" s="31">
        <v>0</v>
      </c>
      <c r="AB26" s="31"/>
      <c r="AC26" s="31">
        <v>0</v>
      </c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P26" s="31">
        <v>1</v>
      </c>
    </row>
    <row r="27" spans="1:42" ht="11.25" customHeight="1" x14ac:dyDescent="0.25">
      <c r="A27" s="97"/>
      <c r="B27" s="97"/>
      <c r="C27" s="97"/>
      <c r="D27" s="97"/>
      <c r="E27" s="97" t="s">
        <v>59</v>
      </c>
      <c r="F27" s="97" t="s">
        <v>25</v>
      </c>
      <c r="G27" s="38" t="s">
        <v>103</v>
      </c>
      <c r="H27" s="38" t="s">
        <v>102</v>
      </c>
      <c r="I27" s="38">
        <f>'MERCADO TUSD'!$U$24</f>
        <v>0</v>
      </c>
      <c r="J27" s="15"/>
      <c r="L27" s="31"/>
      <c r="M27" s="31"/>
      <c r="N27" s="31"/>
      <c r="O27" s="31"/>
      <c r="P27" s="31"/>
      <c r="Q27" s="31"/>
      <c r="R27" s="31"/>
      <c r="S27" s="31"/>
      <c r="T27" s="31"/>
      <c r="U27" s="31">
        <v>142.98480000000001</v>
      </c>
      <c r="V27" s="31">
        <v>43.029699999999998</v>
      </c>
      <c r="W27" s="31">
        <v>14.978300000000001</v>
      </c>
      <c r="X27" s="31">
        <v>0.5323</v>
      </c>
      <c r="Y27" s="31">
        <v>14.664099999999999</v>
      </c>
      <c r="Z27" s="31">
        <v>0</v>
      </c>
      <c r="AA27" s="31">
        <v>0</v>
      </c>
      <c r="AB27" s="31"/>
      <c r="AC27" s="31">
        <v>990.61450000000002</v>
      </c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P27" s="31">
        <v>1</v>
      </c>
    </row>
    <row r="28" spans="1:42" ht="11.25" customHeight="1" x14ac:dyDescent="0.25">
      <c r="A28" s="97"/>
      <c r="B28" s="97"/>
      <c r="C28" s="97"/>
      <c r="D28" s="97"/>
      <c r="E28" s="97"/>
      <c r="F28" s="97"/>
      <c r="G28" s="38" t="s">
        <v>104</v>
      </c>
      <c r="H28" s="38" t="s">
        <v>102</v>
      </c>
      <c r="I28" s="38">
        <f>'MERCADO TUSD'!$U$25</f>
        <v>1015.3970000000002</v>
      </c>
      <c r="J28" s="15"/>
      <c r="L28" s="31"/>
      <c r="M28" s="31"/>
      <c r="N28" s="31"/>
      <c r="O28" s="31"/>
      <c r="P28" s="31"/>
      <c r="Q28" s="31"/>
      <c r="R28" s="31"/>
      <c r="S28" s="31"/>
      <c r="T28" s="31"/>
      <c r="U28" s="31">
        <v>0</v>
      </c>
      <c r="V28" s="31">
        <v>0</v>
      </c>
      <c r="W28" s="31">
        <v>0</v>
      </c>
      <c r="X28" s="31">
        <v>0</v>
      </c>
      <c r="Y28" s="31">
        <v>0</v>
      </c>
      <c r="Z28" s="31">
        <v>0</v>
      </c>
      <c r="AA28" s="31">
        <v>0</v>
      </c>
      <c r="AB28" s="31"/>
      <c r="AC28" s="31">
        <v>0</v>
      </c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P28" s="31">
        <v>1</v>
      </c>
    </row>
    <row r="29" spans="1:42" ht="11.25" customHeight="1" x14ac:dyDescent="0.25">
      <c r="A29" s="97" t="s">
        <v>110</v>
      </c>
      <c r="B29" s="97" t="s">
        <v>66</v>
      </c>
      <c r="C29" s="97" t="s">
        <v>25</v>
      </c>
      <c r="D29" s="97" t="s">
        <v>25</v>
      </c>
      <c r="E29" s="37" t="s">
        <v>111</v>
      </c>
      <c r="F29" s="37" t="s">
        <v>25</v>
      </c>
      <c r="G29" s="38" t="s">
        <v>9</v>
      </c>
      <c r="H29" s="38" t="s">
        <v>105</v>
      </c>
      <c r="I29" s="38">
        <f>'MERCADO TUSD'!$U$26+0.00000001</f>
        <v>1E-8</v>
      </c>
      <c r="J29" s="15"/>
      <c r="L29" s="31"/>
      <c r="M29" s="31"/>
      <c r="N29" s="31"/>
      <c r="O29" s="31"/>
      <c r="P29" s="31"/>
      <c r="Q29" s="31"/>
      <c r="R29" s="31"/>
      <c r="S29" s="31"/>
      <c r="T29" s="31"/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/>
      <c r="AC29" s="31">
        <v>5.8705999999999996</v>
      </c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P29" s="31"/>
    </row>
    <row r="30" spans="1:42" ht="11.25" customHeight="1" x14ac:dyDescent="0.25">
      <c r="A30" s="97"/>
      <c r="B30" s="97"/>
      <c r="C30" s="97"/>
      <c r="D30" s="97"/>
      <c r="E30" s="37" t="s">
        <v>112</v>
      </c>
      <c r="F30" s="37" t="s">
        <v>25</v>
      </c>
      <c r="G30" s="38" t="s">
        <v>9</v>
      </c>
      <c r="H30" s="38" t="s">
        <v>105</v>
      </c>
      <c r="I30" s="38">
        <f>'MERCADO TUSD'!$U$27+0.00000001</f>
        <v>1E-8</v>
      </c>
      <c r="J30" s="15"/>
      <c r="L30" s="31"/>
      <c r="M30" s="31"/>
      <c r="N30" s="31"/>
      <c r="O30" s="31"/>
      <c r="P30" s="31"/>
      <c r="Q30" s="31"/>
      <c r="R30" s="31"/>
      <c r="S30" s="31"/>
      <c r="T30" s="31"/>
      <c r="U30" s="31">
        <v>0</v>
      </c>
      <c r="V30" s="31">
        <v>0</v>
      </c>
      <c r="W30" s="31">
        <v>0</v>
      </c>
      <c r="X30" s="31">
        <v>0</v>
      </c>
      <c r="Y30" s="31">
        <v>0</v>
      </c>
      <c r="Z30" s="31">
        <v>0</v>
      </c>
      <c r="AA30" s="31">
        <v>0</v>
      </c>
      <c r="AB30" s="31"/>
      <c r="AC30" s="31">
        <v>16.4755</v>
      </c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P30" s="31"/>
    </row>
    <row r="31" spans="1:42" ht="11.25" customHeight="1" x14ac:dyDescent="0.25">
      <c r="A31" s="97" t="s">
        <v>22</v>
      </c>
      <c r="B31" s="97" t="s">
        <v>33</v>
      </c>
      <c r="C31" s="97" t="s">
        <v>24</v>
      </c>
      <c r="D31" s="97" t="s">
        <v>24</v>
      </c>
      <c r="E31" s="97" t="s">
        <v>25</v>
      </c>
      <c r="F31" s="97" t="s">
        <v>25</v>
      </c>
      <c r="G31" s="38" t="s">
        <v>103</v>
      </c>
      <c r="H31" s="38" t="s">
        <v>102</v>
      </c>
      <c r="I31" s="38">
        <f>'MERCADO TUSD'!$U$28</f>
        <v>107.383</v>
      </c>
      <c r="J31" s="15"/>
      <c r="L31" s="31"/>
      <c r="M31" s="31"/>
      <c r="N31" s="31"/>
      <c r="O31" s="31"/>
      <c r="P31" s="31"/>
      <c r="Q31" s="31"/>
      <c r="R31" s="31"/>
      <c r="S31" s="31"/>
      <c r="T31" s="31"/>
      <c r="U31" s="31">
        <v>84.888499999999993</v>
      </c>
      <c r="V31" s="31">
        <v>25.417000000000002</v>
      </c>
      <c r="W31" s="31">
        <v>8.5181000000000004</v>
      </c>
      <c r="X31" s="31">
        <v>0.30270000000000002</v>
      </c>
      <c r="Y31" s="31">
        <v>6.6608000000000001</v>
      </c>
      <c r="Z31" s="31">
        <v>0</v>
      </c>
      <c r="AA31" s="31">
        <v>0</v>
      </c>
      <c r="AB31" s="31"/>
      <c r="AC31" s="31">
        <v>646.74459999999999</v>
      </c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P31" s="31">
        <v>1</v>
      </c>
    </row>
    <row r="32" spans="1:42" ht="11.25" customHeight="1" x14ac:dyDescent="0.25">
      <c r="A32" s="97"/>
      <c r="B32" s="97"/>
      <c r="C32" s="97"/>
      <c r="D32" s="97"/>
      <c r="E32" s="97"/>
      <c r="F32" s="97"/>
      <c r="G32" s="38" t="s">
        <v>113</v>
      </c>
      <c r="H32" s="38" t="s">
        <v>102</v>
      </c>
      <c r="I32" s="38">
        <f>'MERCADO TUSD'!$U$29</f>
        <v>73.695000000000007</v>
      </c>
      <c r="J32" s="15"/>
      <c r="L32" s="31"/>
      <c r="M32" s="31"/>
      <c r="N32" s="31"/>
      <c r="O32" s="31"/>
      <c r="P32" s="31"/>
      <c r="Q32" s="31"/>
      <c r="R32" s="31"/>
      <c r="S32" s="31"/>
      <c r="T32" s="31"/>
      <c r="U32" s="31">
        <v>50.933100000000003</v>
      </c>
      <c r="V32" s="31">
        <v>15.2502</v>
      </c>
      <c r="W32" s="31">
        <v>5.1108000000000002</v>
      </c>
      <c r="X32" s="31">
        <v>0.18160000000000001</v>
      </c>
      <c r="Y32" s="31">
        <v>3.9965000000000002</v>
      </c>
      <c r="Z32" s="31">
        <v>0</v>
      </c>
      <c r="AA32" s="31">
        <v>0</v>
      </c>
      <c r="AB32" s="31"/>
      <c r="AC32" s="31">
        <v>388.04669999999999</v>
      </c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P32" s="31">
        <v>1</v>
      </c>
    </row>
    <row r="33" spans="1:42" ht="11.25" customHeight="1" x14ac:dyDescent="0.25">
      <c r="A33" s="97"/>
      <c r="B33" s="97"/>
      <c r="C33" s="97"/>
      <c r="D33" s="97"/>
      <c r="E33" s="97"/>
      <c r="F33" s="97"/>
      <c r="G33" s="38" t="s">
        <v>104</v>
      </c>
      <c r="H33" s="38" t="s">
        <v>102</v>
      </c>
      <c r="I33" s="38">
        <f>'MERCADO TUSD'!$U$30</f>
        <v>1358.0870000000002</v>
      </c>
      <c r="J33" s="15"/>
      <c r="L33" s="31"/>
      <c r="M33" s="31"/>
      <c r="N33" s="31"/>
      <c r="O33" s="31"/>
      <c r="P33" s="31"/>
      <c r="Q33" s="31"/>
      <c r="R33" s="31"/>
      <c r="S33" s="31"/>
      <c r="T33" s="31"/>
      <c r="U33" s="31">
        <v>16.977699999999999</v>
      </c>
      <c r="V33" s="31">
        <v>5.0834000000000001</v>
      </c>
      <c r="W33" s="31">
        <v>1.7036</v>
      </c>
      <c r="X33" s="31">
        <v>6.0499999999999998E-2</v>
      </c>
      <c r="Y33" s="31">
        <v>1.3322000000000001</v>
      </c>
      <c r="Z33" s="31">
        <v>0</v>
      </c>
      <c r="AA33" s="31">
        <v>0</v>
      </c>
      <c r="AB33" s="31"/>
      <c r="AC33" s="31">
        <v>129.34889999999999</v>
      </c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P33" s="31">
        <v>1</v>
      </c>
    </row>
    <row r="34" spans="1:42" ht="11.25" customHeight="1" x14ac:dyDescent="0.25">
      <c r="A34" s="97"/>
      <c r="B34" s="97" t="s">
        <v>23</v>
      </c>
      <c r="C34" s="97" t="s">
        <v>24</v>
      </c>
      <c r="D34" s="37" t="s">
        <v>24</v>
      </c>
      <c r="E34" s="37" t="s">
        <v>25</v>
      </c>
      <c r="F34" s="37" t="s">
        <v>25</v>
      </c>
      <c r="G34" s="38" t="s">
        <v>108</v>
      </c>
      <c r="H34" s="38" t="s">
        <v>102</v>
      </c>
      <c r="I34" s="38">
        <f>'MERCADO TUSD'!$U$31</f>
        <v>1398369.1870000002</v>
      </c>
      <c r="J34" s="15"/>
      <c r="L34" s="31"/>
      <c r="M34" s="31"/>
      <c r="N34" s="31"/>
      <c r="O34" s="31"/>
      <c r="P34" s="31"/>
      <c r="Q34" s="31"/>
      <c r="R34" s="31"/>
      <c r="S34" s="31"/>
      <c r="T34" s="31"/>
      <c r="U34" s="31">
        <v>26.527699999999999</v>
      </c>
      <c r="V34" s="31">
        <v>7.9428000000000001</v>
      </c>
      <c r="W34" s="31">
        <v>2.6619000000000002</v>
      </c>
      <c r="X34" s="31">
        <v>9.4600000000000004E-2</v>
      </c>
      <c r="Y34" s="31">
        <v>2.0815000000000001</v>
      </c>
      <c r="Z34" s="31">
        <v>0</v>
      </c>
      <c r="AA34" s="31">
        <v>0</v>
      </c>
      <c r="AB34" s="31"/>
      <c r="AC34" s="31">
        <v>202.10769999999999</v>
      </c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P34" s="31">
        <v>1</v>
      </c>
    </row>
    <row r="35" spans="1:42" ht="11.25" customHeight="1" x14ac:dyDescent="0.25">
      <c r="A35" s="97"/>
      <c r="B35" s="97"/>
      <c r="C35" s="97"/>
      <c r="D35" s="37" t="s">
        <v>29</v>
      </c>
      <c r="E35" s="37" t="s">
        <v>25</v>
      </c>
      <c r="F35" s="37" t="s">
        <v>25</v>
      </c>
      <c r="G35" s="38" t="s">
        <v>108</v>
      </c>
      <c r="H35" s="38" t="s">
        <v>102</v>
      </c>
      <c r="I35" s="38">
        <f>'MERCADO TUSD'!$U$32</f>
        <v>161060.71900000001</v>
      </c>
      <c r="J35" s="15"/>
      <c r="L35" s="31"/>
      <c r="M35" s="31"/>
      <c r="N35" s="31"/>
      <c r="O35" s="31"/>
      <c r="P35" s="31"/>
      <c r="Q35" s="31"/>
      <c r="R35" s="31"/>
      <c r="S35" s="31"/>
      <c r="T35" s="31"/>
      <c r="U35" s="31">
        <f>(1 - CUSTOS!$M$24)*26.5277</f>
        <v>26.527699999999999</v>
      </c>
      <c r="V35" s="31">
        <f>(1 - CUSTOS!$M$24)*7.9428</f>
        <v>7.9428000000000001</v>
      </c>
      <c r="W35" s="31">
        <f>(1 - CUSTOS!$M$24)*2.6619</f>
        <v>2.6619000000000002</v>
      </c>
      <c r="X35" s="31">
        <f>(1 - CUSTOS!$M$24)*0.0946</f>
        <v>9.4600000000000004E-2</v>
      </c>
      <c r="Y35" s="31">
        <f>(1 - CUSTOS!$M$24)*2.0815</f>
        <v>2.0815000000000001</v>
      </c>
      <c r="Z35" s="31">
        <v>0</v>
      </c>
      <c r="AA35" s="31">
        <v>0</v>
      </c>
      <c r="AB35" s="31"/>
      <c r="AC35" s="31">
        <f>(1 - CUSTOS!$M$24)*202.1077</f>
        <v>202.10769999999999</v>
      </c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P35" s="31">
        <f>IF((1 - CUSTOS!$M$24)&lt;&gt;0,1/(1 - CUSTOS!$M$24),1)</f>
        <v>1</v>
      </c>
    </row>
    <row r="36" spans="1:42" ht="11.25" customHeight="1" x14ac:dyDescent="0.25">
      <c r="A36" s="97"/>
      <c r="B36" s="97"/>
      <c r="C36" s="97"/>
      <c r="D36" s="37" t="s">
        <v>30</v>
      </c>
      <c r="E36" s="37" t="s">
        <v>25</v>
      </c>
      <c r="F36" s="37" t="s">
        <v>25</v>
      </c>
      <c r="G36" s="38" t="s">
        <v>108</v>
      </c>
      <c r="H36" s="38" t="s">
        <v>102</v>
      </c>
      <c r="I36" s="38">
        <f>'MERCADO TUSD'!$U$33</f>
        <v>267147.82800000004</v>
      </c>
      <c r="J36" s="15"/>
      <c r="L36" s="31"/>
      <c r="M36" s="31"/>
      <c r="N36" s="31"/>
      <c r="O36" s="31"/>
      <c r="P36" s="31"/>
      <c r="Q36" s="31"/>
      <c r="R36" s="31"/>
      <c r="S36" s="31"/>
      <c r="T36" s="31"/>
      <c r="U36" s="31">
        <f>(1 - CUSTOS!$M$25)*26.5277</f>
        <v>26.527699999999999</v>
      </c>
      <c r="V36" s="31">
        <f>(1 - CUSTOS!$M$25)*7.9428</f>
        <v>7.9428000000000001</v>
      </c>
      <c r="W36" s="31">
        <f>(1 - CUSTOS!$M$25)*2.6619</f>
        <v>2.6619000000000002</v>
      </c>
      <c r="X36" s="31">
        <f>(1 - CUSTOS!$M$25)*0.0946</f>
        <v>9.4600000000000004E-2</v>
      </c>
      <c r="Y36" s="31">
        <f>(1 - CUSTOS!$M$25)*2.0815</f>
        <v>2.0815000000000001</v>
      </c>
      <c r="Z36" s="31">
        <v>0</v>
      </c>
      <c r="AA36" s="31">
        <v>0</v>
      </c>
      <c r="AB36" s="31"/>
      <c r="AC36" s="31">
        <f>(1 - CUSTOS!$M$25)*202.1077</f>
        <v>202.10769999999999</v>
      </c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P36" s="31">
        <f>IF((1 - CUSTOS!$M$25)&lt;&gt;0,1/(1 - CUSTOS!$M$25),1)</f>
        <v>1</v>
      </c>
    </row>
    <row r="37" spans="1:42" ht="11.25" customHeight="1" x14ac:dyDescent="0.25">
      <c r="A37" s="97"/>
      <c r="B37" s="97"/>
      <c r="C37" s="97"/>
      <c r="D37" s="37" t="s">
        <v>31</v>
      </c>
      <c r="E37" s="37" t="s">
        <v>25</v>
      </c>
      <c r="F37" s="37" t="s">
        <v>25</v>
      </c>
      <c r="G37" s="38" t="s">
        <v>108</v>
      </c>
      <c r="H37" s="38" t="s">
        <v>102</v>
      </c>
      <c r="I37" s="38">
        <f>'MERCADO TUSD'!$U$34</f>
        <v>140786.959</v>
      </c>
      <c r="J37" s="15"/>
      <c r="L37" s="31"/>
      <c r="M37" s="31"/>
      <c r="N37" s="31"/>
      <c r="O37" s="31"/>
      <c r="P37" s="31"/>
      <c r="Q37" s="31"/>
      <c r="R37" s="31"/>
      <c r="S37" s="31"/>
      <c r="T37" s="31"/>
      <c r="U37" s="31">
        <f>(1 - CUSTOS!$M$26)*26.5277</f>
        <v>26.527699999999999</v>
      </c>
      <c r="V37" s="31">
        <f>(1 - CUSTOS!$M$26)*7.9428</f>
        <v>7.9428000000000001</v>
      </c>
      <c r="W37" s="31">
        <f>(1 - CUSTOS!$M$26)*2.6619</f>
        <v>2.6619000000000002</v>
      </c>
      <c r="X37" s="31">
        <f>(1 - CUSTOS!$M$26)*0.0946</f>
        <v>9.4600000000000004E-2</v>
      </c>
      <c r="Y37" s="31">
        <f>(1 - CUSTOS!$M$26)*2.0815</f>
        <v>2.0815000000000001</v>
      </c>
      <c r="Z37" s="31">
        <v>0</v>
      </c>
      <c r="AA37" s="31">
        <v>0</v>
      </c>
      <c r="AB37" s="31"/>
      <c r="AC37" s="31">
        <f>(1 - CUSTOS!$M$26)*202.1077</f>
        <v>202.10769999999999</v>
      </c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P37" s="31">
        <f>IF((1 - CUSTOS!$M$26)&lt;&gt;0,1/(1 - CUSTOS!$M$26),1)</f>
        <v>1</v>
      </c>
    </row>
    <row r="38" spans="1:42" ht="11.25" customHeight="1" x14ac:dyDescent="0.25">
      <c r="A38" s="97"/>
      <c r="B38" s="97"/>
      <c r="C38" s="97"/>
      <c r="D38" s="37" t="s">
        <v>32</v>
      </c>
      <c r="E38" s="37" t="s">
        <v>25</v>
      </c>
      <c r="F38" s="37" t="s">
        <v>25</v>
      </c>
      <c r="G38" s="38" t="s">
        <v>108</v>
      </c>
      <c r="H38" s="38" t="s">
        <v>102</v>
      </c>
      <c r="I38" s="38">
        <f>'MERCADO TUSD'!$U$35</f>
        <v>39430.460000000006</v>
      </c>
      <c r="J38" s="15"/>
      <c r="L38" s="31"/>
      <c r="M38" s="31"/>
      <c r="N38" s="31"/>
      <c r="O38" s="31"/>
      <c r="P38" s="31"/>
      <c r="Q38" s="31"/>
      <c r="R38" s="31"/>
      <c r="S38" s="31"/>
      <c r="T38" s="31"/>
      <c r="U38" s="31">
        <f>(1 - CUSTOS!$M$27)*26.5277</f>
        <v>26.527699999999999</v>
      </c>
      <c r="V38" s="31">
        <f>(1 - CUSTOS!$M$27)*7.9428</f>
        <v>7.9428000000000001</v>
      </c>
      <c r="W38" s="31">
        <f>(1 - CUSTOS!$M$27)*2.6619</f>
        <v>2.6619000000000002</v>
      </c>
      <c r="X38" s="31">
        <f>(1 - CUSTOS!$M$27)*0.0946</f>
        <v>9.4600000000000004E-2</v>
      </c>
      <c r="Y38" s="31">
        <f>(1 - CUSTOS!$M$27)*2.0815</f>
        <v>2.0815000000000001</v>
      </c>
      <c r="Z38" s="31">
        <v>0</v>
      </c>
      <c r="AA38" s="31">
        <v>0</v>
      </c>
      <c r="AB38" s="31"/>
      <c r="AC38" s="31">
        <f>(1 - CUSTOS!$M$27)*202.1077</f>
        <v>202.10769999999999</v>
      </c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P38" s="31">
        <f>IF((1 - CUSTOS!$M$27)&lt;&gt;0,1/(1 - CUSTOS!$M$27),1)</f>
        <v>1</v>
      </c>
    </row>
    <row r="39" spans="1:42" ht="11.25" customHeight="1" x14ac:dyDescent="0.25">
      <c r="A39" s="97"/>
      <c r="B39" s="97" t="s">
        <v>115</v>
      </c>
      <c r="C39" s="97" t="s">
        <v>24</v>
      </c>
      <c r="D39" s="37" t="s">
        <v>24</v>
      </c>
      <c r="E39" s="37" t="s">
        <v>25</v>
      </c>
      <c r="F39" s="37" t="s">
        <v>25</v>
      </c>
      <c r="G39" s="38" t="s">
        <v>108</v>
      </c>
      <c r="H39" s="38" t="s">
        <v>102</v>
      </c>
      <c r="I39" s="38">
        <f>'MERCADO TUSD'!$U$36</f>
        <v>0</v>
      </c>
      <c r="J39" s="15"/>
      <c r="L39" s="31"/>
      <c r="M39" s="31"/>
      <c r="N39" s="31"/>
      <c r="O39" s="31"/>
      <c r="P39" s="31"/>
      <c r="Q39" s="31"/>
      <c r="R39" s="31"/>
      <c r="S39" s="31"/>
      <c r="T39" s="31"/>
      <c r="U39" s="31">
        <v>26.527699999999999</v>
      </c>
      <c r="V39" s="31">
        <v>7.9428000000000001</v>
      </c>
      <c r="W39" s="31">
        <v>2.6619000000000002</v>
      </c>
      <c r="X39" s="31">
        <v>9.4600000000000004E-2</v>
      </c>
      <c r="Y39" s="31">
        <v>2.0815000000000001</v>
      </c>
      <c r="Z39" s="31">
        <v>0</v>
      </c>
      <c r="AA39" s="31">
        <v>0</v>
      </c>
      <c r="AB39" s="31"/>
      <c r="AC39" s="31">
        <v>202.10769999999999</v>
      </c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P39" s="31">
        <v>1</v>
      </c>
    </row>
    <row r="40" spans="1:42" ht="11.25" customHeight="1" x14ac:dyDescent="0.25">
      <c r="A40" s="97"/>
      <c r="B40" s="97"/>
      <c r="C40" s="97"/>
      <c r="D40" s="37" t="s">
        <v>29</v>
      </c>
      <c r="E40" s="37" t="s">
        <v>25</v>
      </c>
      <c r="F40" s="37" t="s">
        <v>25</v>
      </c>
      <c r="G40" s="38" t="s">
        <v>108</v>
      </c>
      <c r="H40" s="38" t="s">
        <v>102</v>
      </c>
      <c r="I40" s="38">
        <f>'MERCADO TUSD'!$U$37</f>
        <v>0</v>
      </c>
      <c r="J40" s="15"/>
      <c r="L40" s="31"/>
      <c r="M40" s="31"/>
      <c r="N40" s="31"/>
      <c r="O40" s="31"/>
      <c r="P40" s="31"/>
      <c r="Q40" s="31"/>
      <c r="R40" s="31"/>
      <c r="S40" s="31"/>
      <c r="T40" s="31"/>
      <c r="U40" s="31">
        <f>(1 - CUSTOS!$M$24)*26.5277</f>
        <v>26.527699999999999</v>
      </c>
      <c r="V40" s="31">
        <f>(1 - CUSTOS!$M$24)*7.9428</f>
        <v>7.9428000000000001</v>
      </c>
      <c r="W40" s="31">
        <f>(1 - CUSTOS!$M$24)*2.6619</f>
        <v>2.6619000000000002</v>
      </c>
      <c r="X40" s="31">
        <f>(1 - CUSTOS!$M$24)*0.0946</f>
        <v>9.4600000000000004E-2</v>
      </c>
      <c r="Y40" s="31">
        <f>(1 - CUSTOS!$M$24)*2.0815</f>
        <v>2.0815000000000001</v>
      </c>
      <c r="Z40" s="31">
        <v>0</v>
      </c>
      <c r="AA40" s="31">
        <v>0</v>
      </c>
      <c r="AB40" s="31"/>
      <c r="AC40" s="31">
        <f>(1 - CUSTOS!$M$24)*202.1077</f>
        <v>202.10769999999999</v>
      </c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P40" s="31">
        <f>IF((1 - CUSTOS!$M$24)&lt;&gt;0,1/(1 - CUSTOS!$M$24),1)</f>
        <v>1</v>
      </c>
    </row>
    <row r="41" spans="1:42" ht="11.25" customHeight="1" x14ac:dyDescent="0.25">
      <c r="A41" s="97"/>
      <c r="B41" s="97"/>
      <c r="C41" s="97"/>
      <c r="D41" s="37" t="s">
        <v>30</v>
      </c>
      <c r="E41" s="37" t="s">
        <v>25</v>
      </c>
      <c r="F41" s="37" t="s">
        <v>25</v>
      </c>
      <c r="G41" s="38" t="s">
        <v>108</v>
      </c>
      <c r="H41" s="38" t="s">
        <v>102</v>
      </c>
      <c r="I41" s="38">
        <f>'MERCADO TUSD'!$U$38</f>
        <v>0</v>
      </c>
      <c r="J41" s="15"/>
      <c r="L41" s="31"/>
      <c r="M41" s="31"/>
      <c r="N41" s="31"/>
      <c r="O41" s="31"/>
      <c r="P41" s="31"/>
      <c r="Q41" s="31"/>
      <c r="R41" s="31"/>
      <c r="S41" s="31"/>
      <c r="T41" s="31"/>
      <c r="U41" s="31">
        <f>(1 - CUSTOS!$M$25)*26.5277</f>
        <v>26.527699999999999</v>
      </c>
      <c r="V41" s="31">
        <f>(1 - CUSTOS!$M$25)*7.9428</f>
        <v>7.9428000000000001</v>
      </c>
      <c r="W41" s="31">
        <f>(1 - CUSTOS!$M$25)*2.6619</f>
        <v>2.6619000000000002</v>
      </c>
      <c r="X41" s="31">
        <f>(1 - CUSTOS!$M$25)*0.0946</f>
        <v>9.4600000000000004E-2</v>
      </c>
      <c r="Y41" s="31">
        <f>(1 - CUSTOS!$M$25)*2.0815</f>
        <v>2.0815000000000001</v>
      </c>
      <c r="Z41" s="31">
        <v>0</v>
      </c>
      <c r="AA41" s="31">
        <v>0</v>
      </c>
      <c r="AB41" s="31"/>
      <c r="AC41" s="31">
        <f>(1 - CUSTOS!$M$25)*202.1077</f>
        <v>202.10769999999999</v>
      </c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P41" s="31">
        <f>IF((1 - CUSTOS!$M$25)&lt;&gt;0,1/(1 - CUSTOS!$M$25),1)</f>
        <v>1</v>
      </c>
    </row>
    <row r="42" spans="1:42" ht="11.25" customHeight="1" x14ac:dyDescent="0.25">
      <c r="A42" s="97"/>
      <c r="B42" s="97"/>
      <c r="C42" s="97"/>
      <c r="D42" s="37" t="s">
        <v>31</v>
      </c>
      <c r="E42" s="37" t="s">
        <v>25</v>
      </c>
      <c r="F42" s="37" t="s">
        <v>25</v>
      </c>
      <c r="G42" s="38" t="s">
        <v>108</v>
      </c>
      <c r="H42" s="38" t="s">
        <v>102</v>
      </c>
      <c r="I42" s="38">
        <f>'MERCADO TUSD'!$U$39</f>
        <v>0</v>
      </c>
      <c r="J42" s="15"/>
      <c r="L42" s="31"/>
      <c r="M42" s="31"/>
      <c r="N42" s="31"/>
      <c r="O42" s="31"/>
      <c r="P42" s="31"/>
      <c r="Q42" s="31"/>
      <c r="R42" s="31"/>
      <c r="S42" s="31"/>
      <c r="T42" s="31"/>
      <c r="U42" s="31">
        <f>(1 - CUSTOS!$M$26)*26.5277</f>
        <v>26.527699999999999</v>
      </c>
      <c r="V42" s="31">
        <f>(1 - CUSTOS!$M$26)*7.9428</f>
        <v>7.9428000000000001</v>
      </c>
      <c r="W42" s="31">
        <f>(1 - CUSTOS!$M$26)*2.6619</f>
        <v>2.6619000000000002</v>
      </c>
      <c r="X42" s="31">
        <f>(1 - CUSTOS!$M$26)*0.0946</f>
        <v>9.4600000000000004E-2</v>
      </c>
      <c r="Y42" s="31">
        <f>(1 - CUSTOS!$M$26)*2.0815</f>
        <v>2.0815000000000001</v>
      </c>
      <c r="Z42" s="31">
        <v>0</v>
      </c>
      <c r="AA42" s="31">
        <v>0</v>
      </c>
      <c r="AB42" s="31"/>
      <c r="AC42" s="31">
        <f>(1 - CUSTOS!$M$26)*202.1077</f>
        <v>202.10769999999999</v>
      </c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P42" s="31">
        <f>IF((1 - CUSTOS!$M$26)&lt;&gt;0,1/(1 - CUSTOS!$M$26),1)</f>
        <v>1</v>
      </c>
    </row>
    <row r="43" spans="1:42" ht="11.25" customHeight="1" x14ac:dyDescent="0.25">
      <c r="A43" s="97"/>
      <c r="B43" s="97"/>
      <c r="C43" s="97"/>
      <c r="D43" s="37" t="s">
        <v>32</v>
      </c>
      <c r="E43" s="37" t="s">
        <v>25</v>
      </c>
      <c r="F43" s="37" t="s">
        <v>25</v>
      </c>
      <c r="G43" s="38" t="s">
        <v>108</v>
      </c>
      <c r="H43" s="38" t="s">
        <v>102</v>
      </c>
      <c r="I43" s="38">
        <f>'MERCADO TUSD'!$U$40</f>
        <v>0</v>
      </c>
      <c r="J43" s="15"/>
      <c r="L43" s="31"/>
      <c r="M43" s="31"/>
      <c r="N43" s="31"/>
      <c r="O43" s="31"/>
      <c r="P43" s="31"/>
      <c r="Q43" s="31"/>
      <c r="R43" s="31"/>
      <c r="S43" s="31"/>
      <c r="T43" s="31"/>
      <c r="U43" s="31">
        <f>(1 - CUSTOS!$M$27)*26.5277</f>
        <v>26.527699999999999</v>
      </c>
      <c r="V43" s="31">
        <f>(1 - CUSTOS!$M$27)*7.9428</f>
        <v>7.9428000000000001</v>
      </c>
      <c r="W43" s="31">
        <f>(1 - CUSTOS!$M$27)*2.6619</f>
        <v>2.6619000000000002</v>
      </c>
      <c r="X43" s="31">
        <f>(1 - CUSTOS!$M$27)*0.0946</f>
        <v>9.4600000000000004E-2</v>
      </c>
      <c r="Y43" s="31">
        <f>(1 - CUSTOS!$M$27)*2.0815</f>
        <v>2.0815000000000001</v>
      </c>
      <c r="Z43" s="31">
        <v>0</v>
      </c>
      <c r="AA43" s="31">
        <v>0</v>
      </c>
      <c r="AB43" s="31"/>
      <c r="AC43" s="31">
        <f>(1 - CUSTOS!$M$27)*202.1077</f>
        <v>202.10769999999999</v>
      </c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P43" s="31">
        <f>IF((1 - CUSTOS!$M$27)&lt;&gt;0,1/(1 - CUSTOS!$M$27),1)</f>
        <v>1</v>
      </c>
    </row>
    <row r="44" spans="1:42" ht="11.25" customHeight="1" x14ac:dyDescent="0.25">
      <c r="A44" s="97" t="s">
        <v>44</v>
      </c>
      <c r="B44" s="97" t="s">
        <v>33</v>
      </c>
      <c r="C44" s="97" t="s">
        <v>45</v>
      </c>
      <c r="D44" s="97" t="s">
        <v>25</v>
      </c>
      <c r="E44" s="97" t="s">
        <v>25</v>
      </c>
      <c r="F44" s="97" t="s">
        <v>25</v>
      </c>
      <c r="G44" s="38" t="s">
        <v>103</v>
      </c>
      <c r="H44" s="38" t="s">
        <v>102</v>
      </c>
      <c r="I44" s="38">
        <f>'MERCADO TUSD'!$U$41</f>
        <v>3.9449999999999994</v>
      </c>
      <c r="J44" s="15"/>
      <c r="L44" s="31"/>
      <c r="M44" s="31"/>
      <c r="N44" s="31"/>
      <c r="O44" s="31"/>
      <c r="P44" s="31"/>
      <c r="Q44" s="31"/>
      <c r="R44" s="31"/>
      <c r="S44" s="31"/>
      <c r="T44" s="31"/>
      <c r="U44" s="31">
        <f>(1 - CUSTOS!$M$28)*88.8676</f>
        <v>88.867599999999996</v>
      </c>
      <c r="V44" s="31">
        <f>(1 - CUSTOS!$M$28)*26.6084</f>
        <v>26.6084</v>
      </c>
      <c r="W44" s="31">
        <f>(1 - CUSTOS!$M$28)*8.9173</f>
        <v>8.9172999999999991</v>
      </c>
      <c r="X44" s="31">
        <f>(1 - CUSTOS!$M$28)*0.3169</f>
        <v>0.31690000000000002</v>
      </c>
      <c r="Y44" s="31">
        <f>(1 - CUSTOS!$M$28)*6.973</f>
        <v>6.9729999999999999</v>
      </c>
      <c r="Z44" s="31">
        <v>0</v>
      </c>
      <c r="AA44" s="31">
        <v>0</v>
      </c>
      <c r="AB44" s="31"/>
      <c r="AC44" s="31">
        <f>(1 - CUSTOS!$M$28)*677.0607</f>
        <v>677.0607</v>
      </c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P44" s="31">
        <f>IF((1 - CUSTOS!$M$28)&lt;&gt;0,1/(1 - CUSTOS!$M$28),1)</f>
        <v>1</v>
      </c>
    </row>
    <row r="45" spans="1:42" ht="11.25" customHeight="1" x14ac:dyDescent="0.25">
      <c r="A45" s="97"/>
      <c r="B45" s="97"/>
      <c r="C45" s="97"/>
      <c r="D45" s="97"/>
      <c r="E45" s="97"/>
      <c r="F45" s="97"/>
      <c r="G45" s="38" t="s">
        <v>113</v>
      </c>
      <c r="H45" s="38" t="s">
        <v>102</v>
      </c>
      <c r="I45" s="38">
        <f>'MERCADO TUSD'!$U$42</f>
        <v>4.2359999999999989</v>
      </c>
      <c r="J45" s="15"/>
      <c r="L45" s="31"/>
      <c r="M45" s="31"/>
      <c r="N45" s="31"/>
      <c r="O45" s="31"/>
      <c r="P45" s="31"/>
      <c r="Q45" s="31"/>
      <c r="R45" s="31"/>
      <c r="S45" s="31"/>
      <c r="T45" s="31"/>
      <c r="U45" s="31">
        <f>(1 - CUSTOS!$M$28)*53.3206</f>
        <v>53.320599999999999</v>
      </c>
      <c r="V45" s="31">
        <f>(1 - CUSTOS!$M$28)*15.9651</f>
        <v>15.9651</v>
      </c>
      <c r="W45" s="31">
        <f>(1 - CUSTOS!$M$28)*5.3504</f>
        <v>5.3503999999999996</v>
      </c>
      <c r="X45" s="31">
        <f>(1 - CUSTOS!$M$28)*0.1902</f>
        <v>0.19020000000000001</v>
      </c>
      <c r="Y45" s="31">
        <f>(1 - CUSTOS!$M$28)*4.1838</f>
        <v>4.1837999999999997</v>
      </c>
      <c r="Z45" s="31">
        <v>0</v>
      </c>
      <c r="AA45" s="31">
        <v>0</v>
      </c>
      <c r="AB45" s="31"/>
      <c r="AC45" s="31">
        <f>(1 - CUSTOS!$M$28)*406.2364</f>
        <v>406.2364</v>
      </c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P45" s="31">
        <f>IF((1 - CUSTOS!$M$28)&lt;&gt;0,1/(1 - CUSTOS!$M$28),1)</f>
        <v>1</v>
      </c>
    </row>
    <row r="46" spans="1:42" ht="11.25" customHeight="1" x14ac:dyDescent="0.25">
      <c r="A46" s="97"/>
      <c r="B46" s="97"/>
      <c r="C46" s="97"/>
      <c r="D46" s="97"/>
      <c r="E46" s="97"/>
      <c r="F46" s="97"/>
      <c r="G46" s="38" t="s">
        <v>104</v>
      </c>
      <c r="H46" s="38" t="s">
        <v>102</v>
      </c>
      <c r="I46" s="38">
        <f>'MERCADO TUSD'!$U$43</f>
        <v>105.83499999999999</v>
      </c>
      <c r="J46" s="15"/>
      <c r="L46" s="31"/>
      <c r="M46" s="31"/>
      <c r="N46" s="31"/>
      <c r="O46" s="31"/>
      <c r="P46" s="31"/>
      <c r="Q46" s="31"/>
      <c r="R46" s="31"/>
      <c r="S46" s="31"/>
      <c r="T46" s="31"/>
      <c r="U46" s="31">
        <f>(1 - CUSTOS!$M$28)*17.7735</f>
        <v>17.773499999999999</v>
      </c>
      <c r="V46" s="31">
        <f>(1 - CUSTOS!$M$28)*5.3217</f>
        <v>5.3216999999999999</v>
      </c>
      <c r="W46" s="31">
        <f>(1 - CUSTOS!$M$28)*1.7835</f>
        <v>1.7835000000000001</v>
      </c>
      <c r="X46" s="31">
        <f>(1 - CUSTOS!$M$28)*0.0634</f>
        <v>6.3399999999999998E-2</v>
      </c>
      <c r="Y46" s="31">
        <f>(1 - CUSTOS!$M$28)*1.3946</f>
        <v>1.3946000000000001</v>
      </c>
      <c r="Z46" s="31">
        <v>0</v>
      </c>
      <c r="AA46" s="31">
        <v>0</v>
      </c>
      <c r="AB46" s="31"/>
      <c r="AC46" s="31">
        <f>(1 - CUSTOS!$M$28)*135.4121</f>
        <v>135.41210000000001</v>
      </c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P46" s="31">
        <f>IF((1 - CUSTOS!$M$28)&lt;&gt;0,1/(1 - CUSTOS!$M$28),1)</f>
        <v>1</v>
      </c>
    </row>
    <row r="47" spans="1:42" ht="11.25" customHeight="1" x14ac:dyDescent="0.25">
      <c r="A47" s="97"/>
      <c r="B47" s="37" t="s">
        <v>23</v>
      </c>
      <c r="C47" s="37" t="s">
        <v>45</v>
      </c>
      <c r="D47" s="37" t="s">
        <v>25</v>
      </c>
      <c r="E47" s="37" t="s">
        <v>25</v>
      </c>
      <c r="F47" s="37" t="s">
        <v>25</v>
      </c>
      <c r="G47" s="38" t="s">
        <v>108</v>
      </c>
      <c r="H47" s="38" t="s">
        <v>102</v>
      </c>
      <c r="I47" s="38">
        <f>'MERCADO TUSD'!$U$44</f>
        <v>251732.52099999998</v>
      </c>
      <c r="J47" s="15"/>
      <c r="L47" s="31"/>
      <c r="M47" s="31"/>
      <c r="N47" s="31"/>
      <c r="O47" s="31"/>
      <c r="P47" s="31"/>
      <c r="Q47" s="31"/>
      <c r="R47" s="31"/>
      <c r="S47" s="31"/>
      <c r="T47" s="31"/>
      <c r="U47" s="31">
        <f>(1 - CUSTOS!$M$28)*26.5277</f>
        <v>26.527699999999999</v>
      </c>
      <c r="V47" s="31">
        <f>(1 - CUSTOS!$M$28)*7.9428</f>
        <v>7.9428000000000001</v>
      </c>
      <c r="W47" s="31">
        <f>(1 - CUSTOS!$M$28)*2.6619</f>
        <v>2.6619000000000002</v>
      </c>
      <c r="X47" s="31">
        <f>(1 - CUSTOS!$M$28)*0.0946</f>
        <v>9.4600000000000004E-2</v>
      </c>
      <c r="Y47" s="31">
        <f>(1 - CUSTOS!$M$28)*2.0815</f>
        <v>2.0815000000000001</v>
      </c>
      <c r="Z47" s="31">
        <v>0</v>
      </c>
      <c r="AA47" s="31">
        <v>0</v>
      </c>
      <c r="AB47" s="31"/>
      <c r="AC47" s="31">
        <f>(1 - CUSTOS!$M$28)*202.1077</f>
        <v>202.10769999999999</v>
      </c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P47" s="31">
        <f>IF((1 - CUSTOS!$M$28)&lt;&gt;0,1/(1 - CUSTOS!$M$28),1)</f>
        <v>1</v>
      </c>
    </row>
    <row r="48" spans="1:42" ht="11.25" customHeight="1" x14ac:dyDescent="0.25">
      <c r="A48" s="97"/>
      <c r="B48" s="97" t="s">
        <v>33</v>
      </c>
      <c r="C48" s="97" t="s">
        <v>45</v>
      </c>
      <c r="D48" s="97" t="s">
        <v>116</v>
      </c>
      <c r="E48" s="97" t="s">
        <v>25</v>
      </c>
      <c r="F48" s="97" t="s">
        <v>25</v>
      </c>
      <c r="G48" s="38" t="s">
        <v>103</v>
      </c>
      <c r="H48" s="38" t="s">
        <v>102</v>
      </c>
      <c r="I48" s="38">
        <f>'MERCADO TUSD'!$U$45</f>
        <v>0</v>
      </c>
      <c r="J48" s="15"/>
      <c r="L48" s="31"/>
      <c r="M48" s="31"/>
      <c r="N48" s="31"/>
      <c r="O48" s="31"/>
      <c r="P48" s="31"/>
      <c r="Q48" s="31"/>
      <c r="R48" s="31"/>
      <c r="S48" s="31"/>
      <c r="T48" s="31"/>
      <c r="U48" s="31">
        <f>(1 - CUSTOS!$M$29)*88.8676</f>
        <v>88.867599999999996</v>
      </c>
      <c r="V48" s="31">
        <f>(1 - CUSTOS!$M$29)*26.6084</f>
        <v>26.6084</v>
      </c>
      <c r="W48" s="31">
        <f>(1 - CUSTOS!$M$29)*8.9173</f>
        <v>8.9172999999999991</v>
      </c>
      <c r="X48" s="31">
        <f>(1 - CUSTOS!$M$29)*0.3169</f>
        <v>0.31690000000000002</v>
      </c>
      <c r="Y48" s="31">
        <f>(1 - CUSTOS!$M$29)*6.973</f>
        <v>6.9729999999999999</v>
      </c>
      <c r="Z48" s="31">
        <v>0</v>
      </c>
      <c r="AA48" s="31">
        <v>0</v>
      </c>
      <c r="AB48" s="31"/>
      <c r="AC48" s="31">
        <f>(1 - CUSTOS!$M$29)*677.0607</f>
        <v>677.0607</v>
      </c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P48" s="31">
        <f>IF((1 - CUSTOS!$M$29)&lt;&gt;0,1/(1 - CUSTOS!$M$29),1)</f>
        <v>1</v>
      </c>
    </row>
    <row r="49" spans="1:42" ht="11.25" customHeight="1" x14ac:dyDescent="0.25">
      <c r="A49" s="97"/>
      <c r="B49" s="97"/>
      <c r="C49" s="97"/>
      <c r="D49" s="97"/>
      <c r="E49" s="97"/>
      <c r="F49" s="97"/>
      <c r="G49" s="38" t="s">
        <v>113</v>
      </c>
      <c r="H49" s="38" t="s">
        <v>102</v>
      </c>
      <c r="I49" s="38">
        <f>'MERCADO TUSD'!$U$46</f>
        <v>0</v>
      </c>
      <c r="J49" s="15"/>
      <c r="L49" s="31"/>
      <c r="M49" s="31"/>
      <c r="N49" s="31"/>
      <c r="O49" s="31"/>
      <c r="P49" s="31"/>
      <c r="Q49" s="31"/>
      <c r="R49" s="31"/>
      <c r="S49" s="31"/>
      <c r="T49" s="31"/>
      <c r="U49" s="31">
        <f>(1 - CUSTOS!$M$29)*53.3206</f>
        <v>53.320599999999999</v>
      </c>
      <c r="V49" s="31">
        <f>(1 - CUSTOS!$M$29)*15.9651</f>
        <v>15.9651</v>
      </c>
      <c r="W49" s="31">
        <f>(1 - CUSTOS!$M$29)*5.3504</f>
        <v>5.3503999999999996</v>
      </c>
      <c r="X49" s="31">
        <f>(1 - CUSTOS!$M$29)*0.1902</f>
        <v>0.19020000000000001</v>
      </c>
      <c r="Y49" s="31">
        <f>(1 - CUSTOS!$M$29)*4.1838</f>
        <v>4.1837999999999997</v>
      </c>
      <c r="Z49" s="31">
        <v>0</v>
      </c>
      <c r="AA49" s="31">
        <v>0</v>
      </c>
      <c r="AB49" s="31"/>
      <c r="AC49" s="31">
        <f>(1 - CUSTOS!$M$29)*406.2364</f>
        <v>406.2364</v>
      </c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P49" s="31">
        <f>IF((1 - CUSTOS!$M$29)&lt;&gt;0,1/(1 - CUSTOS!$M$29),1)</f>
        <v>1</v>
      </c>
    </row>
    <row r="50" spans="1:42" ht="11.25" customHeight="1" x14ac:dyDescent="0.25">
      <c r="A50" s="97"/>
      <c r="B50" s="97"/>
      <c r="C50" s="97"/>
      <c r="D50" s="97"/>
      <c r="E50" s="97"/>
      <c r="F50" s="97"/>
      <c r="G50" s="38" t="s">
        <v>104</v>
      </c>
      <c r="H50" s="38" t="s">
        <v>102</v>
      </c>
      <c r="I50" s="38">
        <f>'MERCADO TUSD'!$U$47</f>
        <v>0</v>
      </c>
      <c r="J50" s="15"/>
      <c r="L50" s="31"/>
      <c r="M50" s="31"/>
      <c r="N50" s="31"/>
      <c r="O50" s="31"/>
      <c r="P50" s="31"/>
      <c r="Q50" s="31"/>
      <c r="R50" s="31"/>
      <c r="S50" s="31"/>
      <c r="T50" s="31"/>
      <c r="U50" s="31">
        <f>(1 - CUSTOS!$M$29)*17.7735</f>
        <v>17.773499999999999</v>
      </c>
      <c r="V50" s="31">
        <f>(1 - CUSTOS!$M$29)*5.3217</f>
        <v>5.3216999999999999</v>
      </c>
      <c r="W50" s="31">
        <f>(1 - CUSTOS!$M$29)*1.7835</f>
        <v>1.7835000000000001</v>
      </c>
      <c r="X50" s="31">
        <f>(1 - CUSTOS!$M$29)*0.0634</f>
        <v>6.3399999999999998E-2</v>
      </c>
      <c r="Y50" s="31">
        <f>(1 - CUSTOS!$M$29)*1.3946</f>
        <v>1.3946000000000001</v>
      </c>
      <c r="Z50" s="31">
        <v>0</v>
      </c>
      <c r="AA50" s="31">
        <v>0</v>
      </c>
      <c r="AB50" s="31"/>
      <c r="AC50" s="31">
        <f>(1 - CUSTOS!$M$29)*135.4121</f>
        <v>135.41210000000001</v>
      </c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P50" s="31">
        <f>IF((1 - CUSTOS!$M$29)&lt;&gt;0,1/(1 - CUSTOS!$M$29),1)</f>
        <v>1</v>
      </c>
    </row>
    <row r="51" spans="1:42" ht="11.25" customHeight="1" x14ac:dyDescent="0.25">
      <c r="A51" s="97"/>
      <c r="B51" s="37" t="s">
        <v>23</v>
      </c>
      <c r="C51" s="37" t="s">
        <v>45</v>
      </c>
      <c r="D51" s="37" t="s">
        <v>116</v>
      </c>
      <c r="E51" s="37" t="s">
        <v>25</v>
      </c>
      <c r="F51" s="37" t="s">
        <v>25</v>
      </c>
      <c r="G51" s="38" t="s">
        <v>108</v>
      </c>
      <c r="H51" s="38" t="s">
        <v>102</v>
      </c>
      <c r="I51" s="38">
        <f>'MERCADO TUSD'!$U$48</f>
        <v>0</v>
      </c>
      <c r="J51" s="15"/>
      <c r="L51" s="31"/>
      <c r="M51" s="31"/>
      <c r="N51" s="31"/>
      <c r="O51" s="31"/>
      <c r="P51" s="31"/>
      <c r="Q51" s="31"/>
      <c r="R51" s="31"/>
      <c r="S51" s="31"/>
      <c r="T51" s="31"/>
      <c r="U51" s="31">
        <f>(1 - CUSTOS!$M$29)*26.5277</f>
        <v>26.527699999999999</v>
      </c>
      <c r="V51" s="31">
        <f>(1 - CUSTOS!$M$29)*7.9428</f>
        <v>7.9428000000000001</v>
      </c>
      <c r="W51" s="31">
        <f>(1 - CUSTOS!$M$29)*2.6619</f>
        <v>2.6619000000000002</v>
      </c>
      <c r="X51" s="31">
        <f>(1 - CUSTOS!$M$29)*0.0946</f>
        <v>9.4600000000000004E-2</v>
      </c>
      <c r="Y51" s="31">
        <f>(1 - CUSTOS!$M$29)*2.0815</f>
        <v>2.0815000000000001</v>
      </c>
      <c r="Z51" s="31">
        <v>0</v>
      </c>
      <c r="AA51" s="31">
        <v>0</v>
      </c>
      <c r="AB51" s="31"/>
      <c r="AC51" s="31">
        <f>(1 - CUSTOS!$M$29)*202.1077</f>
        <v>202.10769999999999</v>
      </c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P51" s="31">
        <f>IF((1 - CUSTOS!$M$29)&lt;&gt;0,1/(1 - CUSTOS!$M$29),1)</f>
        <v>1</v>
      </c>
    </row>
    <row r="52" spans="1:42" ht="11.25" customHeight="1" x14ac:dyDescent="0.25">
      <c r="A52" s="97"/>
      <c r="B52" s="97" t="s">
        <v>33</v>
      </c>
      <c r="C52" s="97" t="s">
        <v>45</v>
      </c>
      <c r="D52" s="97" t="s">
        <v>117</v>
      </c>
      <c r="E52" s="97" t="s">
        <v>25</v>
      </c>
      <c r="F52" s="97" t="s">
        <v>25</v>
      </c>
      <c r="G52" s="38" t="s">
        <v>103</v>
      </c>
      <c r="H52" s="38" t="s">
        <v>102</v>
      </c>
      <c r="I52" s="38">
        <f>'MERCADO TUSD'!$U$49</f>
        <v>0</v>
      </c>
      <c r="J52" s="15"/>
      <c r="L52" s="31"/>
      <c r="M52" s="31"/>
      <c r="N52" s="31"/>
      <c r="O52" s="31"/>
      <c r="P52" s="31"/>
      <c r="Q52" s="31"/>
      <c r="R52" s="31"/>
      <c r="S52" s="31"/>
      <c r="T52" s="31"/>
      <c r="U52" s="31">
        <f>(1 - CUSTOS!$M$30)*88.8676</f>
        <v>88.867599999999996</v>
      </c>
      <c r="V52" s="31">
        <f>(1 - CUSTOS!$M$30)*26.6084</f>
        <v>26.6084</v>
      </c>
      <c r="W52" s="31">
        <f>(1 - CUSTOS!$M$30)*8.9173</f>
        <v>8.9172999999999991</v>
      </c>
      <c r="X52" s="31">
        <f>(1 - CUSTOS!$M$30)*0.3169</f>
        <v>0.31690000000000002</v>
      </c>
      <c r="Y52" s="31">
        <f>(1 - CUSTOS!$M$30)*6.973</f>
        <v>6.9729999999999999</v>
      </c>
      <c r="Z52" s="31">
        <v>0</v>
      </c>
      <c r="AA52" s="31">
        <v>0</v>
      </c>
      <c r="AB52" s="31"/>
      <c r="AC52" s="31">
        <f>(1 - CUSTOS!$M$30)*677.0607</f>
        <v>677.0607</v>
      </c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P52" s="31">
        <f>IF((1 - CUSTOS!$M$30)&lt;&gt;0,1/(1 - CUSTOS!$M$30),1)</f>
        <v>1</v>
      </c>
    </row>
    <row r="53" spans="1:42" ht="11.25" customHeight="1" x14ac:dyDescent="0.25">
      <c r="A53" s="97"/>
      <c r="B53" s="97"/>
      <c r="C53" s="97"/>
      <c r="D53" s="97"/>
      <c r="E53" s="97"/>
      <c r="F53" s="97"/>
      <c r="G53" s="38" t="s">
        <v>113</v>
      </c>
      <c r="H53" s="38" t="s">
        <v>102</v>
      </c>
      <c r="I53" s="38">
        <f>'MERCADO TUSD'!$U$50</f>
        <v>0</v>
      </c>
      <c r="J53" s="15"/>
      <c r="L53" s="31"/>
      <c r="M53" s="31"/>
      <c r="N53" s="31"/>
      <c r="O53" s="31"/>
      <c r="P53" s="31"/>
      <c r="Q53" s="31"/>
      <c r="R53" s="31"/>
      <c r="S53" s="31"/>
      <c r="T53" s="31"/>
      <c r="U53" s="31">
        <f>(1 - CUSTOS!$M$30)*53.3206</f>
        <v>53.320599999999999</v>
      </c>
      <c r="V53" s="31">
        <f>(1 - CUSTOS!$M$30)*15.9651</f>
        <v>15.9651</v>
      </c>
      <c r="W53" s="31">
        <f>(1 - CUSTOS!$M$30)*5.3504</f>
        <v>5.3503999999999996</v>
      </c>
      <c r="X53" s="31">
        <f>(1 - CUSTOS!$M$30)*0.1902</f>
        <v>0.19020000000000001</v>
      </c>
      <c r="Y53" s="31">
        <f>(1 - CUSTOS!$M$30)*4.1838</f>
        <v>4.1837999999999997</v>
      </c>
      <c r="Z53" s="31">
        <v>0</v>
      </c>
      <c r="AA53" s="31">
        <v>0</v>
      </c>
      <c r="AB53" s="31"/>
      <c r="AC53" s="31">
        <f>(1 - CUSTOS!$M$30)*406.2364</f>
        <v>406.2364</v>
      </c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P53" s="31">
        <f>IF((1 - CUSTOS!$M$30)&lt;&gt;0,1/(1 - CUSTOS!$M$30),1)</f>
        <v>1</v>
      </c>
    </row>
    <row r="54" spans="1:42" ht="11.25" customHeight="1" x14ac:dyDescent="0.25">
      <c r="A54" s="97"/>
      <c r="B54" s="97"/>
      <c r="C54" s="97"/>
      <c r="D54" s="97"/>
      <c r="E54" s="97"/>
      <c r="F54" s="97"/>
      <c r="G54" s="38" t="s">
        <v>104</v>
      </c>
      <c r="H54" s="38" t="s">
        <v>102</v>
      </c>
      <c r="I54" s="38">
        <f>'MERCADO TUSD'!$U$51</f>
        <v>0</v>
      </c>
      <c r="J54" s="15"/>
      <c r="L54" s="31"/>
      <c r="M54" s="31"/>
      <c r="N54" s="31"/>
      <c r="O54" s="31"/>
      <c r="P54" s="31"/>
      <c r="Q54" s="31"/>
      <c r="R54" s="31"/>
      <c r="S54" s="31"/>
      <c r="T54" s="31"/>
      <c r="U54" s="31">
        <f>(1 - CUSTOS!$M$30)*17.7735</f>
        <v>17.773499999999999</v>
      </c>
      <c r="V54" s="31">
        <f>(1 - CUSTOS!$M$30)*5.3217</f>
        <v>5.3216999999999999</v>
      </c>
      <c r="W54" s="31">
        <f>(1 - CUSTOS!$M$30)*1.7835</f>
        <v>1.7835000000000001</v>
      </c>
      <c r="X54" s="31">
        <f>(1 - CUSTOS!$M$30)*0.0634</f>
        <v>6.3399999999999998E-2</v>
      </c>
      <c r="Y54" s="31">
        <f>(1 - CUSTOS!$M$30)*1.3946</f>
        <v>1.3946000000000001</v>
      </c>
      <c r="Z54" s="31">
        <v>0</v>
      </c>
      <c r="AA54" s="31">
        <v>0</v>
      </c>
      <c r="AB54" s="31"/>
      <c r="AC54" s="31">
        <f>(1 - CUSTOS!$M$30)*135.4121</f>
        <v>135.41210000000001</v>
      </c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P54" s="31">
        <f>IF((1 - CUSTOS!$M$30)&lt;&gt;0,1/(1 - CUSTOS!$M$30),1)</f>
        <v>1</v>
      </c>
    </row>
    <row r="55" spans="1:42" ht="11.25" customHeight="1" x14ac:dyDescent="0.25">
      <c r="A55" s="97"/>
      <c r="B55" s="37" t="s">
        <v>23</v>
      </c>
      <c r="C55" s="37" t="s">
        <v>45</v>
      </c>
      <c r="D55" s="37" t="s">
        <v>117</v>
      </c>
      <c r="E55" s="37" t="s">
        <v>25</v>
      </c>
      <c r="F55" s="37" t="s">
        <v>25</v>
      </c>
      <c r="G55" s="38" t="s">
        <v>108</v>
      </c>
      <c r="H55" s="38" t="s">
        <v>102</v>
      </c>
      <c r="I55" s="38">
        <f>'MERCADO TUSD'!$U$52</f>
        <v>0</v>
      </c>
      <c r="J55" s="15"/>
      <c r="L55" s="31"/>
      <c r="M55" s="31"/>
      <c r="N55" s="31"/>
      <c r="O55" s="31"/>
      <c r="P55" s="31"/>
      <c r="Q55" s="31"/>
      <c r="R55" s="31"/>
      <c r="S55" s="31"/>
      <c r="T55" s="31"/>
      <c r="U55" s="31">
        <f>(1 - CUSTOS!$M$30)*26.5277</f>
        <v>26.527699999999999</v>
      </c>
      <c r="V55" s="31">
        <f>(1 - CUSTOS!$M$30)*7.9428</f>
        <v>7.9428000000000001</v>
      </c>
      <c r="W55" s="31">
        <f>(1 - CUSTOS!$M$30)*2.6619</f>
        <v>2.6619000000000002</v>
      </c>
      <c r="X55" s="31">
        <f>(1 - CUSTOS!$M$30)*0.0946</f>
        <v>9.4600000000000004E-2</v>
      </c>
      <c r="Y55" s="31">
        <f>(1 - CUSTOS!$M$30)*2.0815</f>
        <v>2.0815000000000001</v>
      </c>
      <c r="Z55" s="31">
        <v>0</v>
      </c>
      <c r="AA55" s="31">
        <v>0</v>
      </c>
      <c r="AB55" s="31"/>
      <c r="AC55" s="31">
        <f>(1 - CUSTOS!$M$30)*202.1077</f>
        <v>202.10769999999999</v>
      </c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P55" s="31">
        <f>IF((1 - CUSTOS!$M$30)&lt;&gt;0,1/(1 - CUSTOS!$M$30),1)</f>
        <v>1</v>
      </c>
    </row>
    <row r="56" spans="1:42" ht="11.25" customHeight="1" x14ac:dyDescent="0.25">
      <c r="A56" s="97"/>
      <c r="B56" s="97" t="s">
        <v>115</v>
      </c>
      <c r="C56" s="97" t="s">
        <v>45</v>
      </c>
      <c r="D56" s="37" t="s">
        <v>25</v>
      </c>
      <c r="E56" s="37" t="s">
        <v>25</v>
      </c>
      <c r="F56" s="37" t="s">
        <v>25</v>
      </c>
      <c r="G56" s="38" t="s">
        <v>108</v>
      </c>
      <c r="H56" s="38" t="s">
        <v>102</v>
      </c>
      <c r="I56" s="38">
        <f>'MERCADO TUSD'!$U$53</f>
        <v>0</v>
      </c>
      <c r="J56" s="15"/>
      <c r="L56" s="31"/>
      <c r="M56" s="31"/>
      <c r="N56" s="31"/>
      <c r="O56" s="31"/>
      <c r="P56" s="31"/>
      <c r="Q56" s="31"/>
      <c r="R56" s="31"/>
      <c r="S56" s="31"/>
      <c r="T56" s="31"/>
      <c r="U56" s="31">
        <f>(1 - CUSTOS!$M$28)*26.5277</f>
        <v>26.527699999999999</v>
      </c>
      <c r="V56" s="31">
        <f>(1 - CUSTOS!$M$28)*7.9428</f>
        <v>7.9428000000000001</v>
      </c>
      <c r="W56" s="31">
        <f>(1 - CUSTOS!$M$28)*2.6619</f>
        <v>2.6619000000000002</v>
      </c>
      <c r="X56" s="31">
        <f>(1 - CUSTOS!$M$28)*0.0946</f>
        <v>9.4600000000000004E-2</v>
      </c>
      <c r="Y56" s="31">
        <f>(1 - CUSTOS!$M$28)*2.0815</f>
        <v>2.0815000000000001</v>
      </c>
      <c r="Z56" s="31">
        <v>0</v>
      </c>
      <c r="AA56" s="31">
        <v>0</v>
      </c>
      <c r="AB56" s="31"/>
      <c r="AC56" s="31">
        <f>(1 - CUSTOS!$M$28)*202.1077</f>
        <v>202.10769999999999</v>
      </c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P56" s="31">
        <f>IF((1 - CUSTOS!$M$28)&lt;&gt;0,1/(1 - CUSTOS!$M$28),1)</f>
        <v>1</v>
      </c>
    </row>
    <row r="57" spans="1:42" ht="11.25" customHeight="1" x14ac:dyDescent="0.25">
      <c r="A57" s="97"/>
      <c r="B57" s="97"/>
      <c r="C57" s="97"/>
      <c r="D57" s="37" t="s">
        <v>116</v>
      </c>
      <c r="E57" s="37" t="s">
        <v>25</v>
      </c>
      <c r="F57" s="37" t="s">
        <v>25</v>
      </c>
      <c r="G57" s="38" t="s">
        <v>108</v>
      </c>
      <c r="H57" s="38" t="s">
        <v>102</v>
      </c>
      <c r="I57" s="38">
        <f>'MERCADO TUSD'!$U$54</f>
        <v>0</v>
      </c>
      <c r="J57" s="15"/>
      <c r="L57" s="31"/>
      <c r="M57" s="31"/>
      <c r="N57" s="31"/>
      <c r="O57" s="31"/>
      <c r="P57" s="31"/>
      <c r="Q57" s="31"/>
      <c r="R57" s="31"/>
      <c r="S57" s="31"/>
      <c r="T57" s="31"/>
      <c r="U57" s="31">
        <f>(1 - CUSTOS!$M$29)*26.5277</f>
        <v>26.527699999999999</v>
      </c>
      <c r="V57" s="31">
        <f>(1 - CUSTOS!$M$29)*7.9428</f>
        <v>7.9428000000000001</v>
      </c>
      <c r="W57" s="31">
        <f>(1 - CUSTOS!$M$29)*2.6619</f>
        <v>2.6619000000000002</v>
      </c>
      <c r="X57" s="31">
        <f>(1 - CUSTOS!$M$29)*0.0946</f>
        <v>9.4600000000000004E-2</v>
      </c>
      <c r="Y57" s="31">
        <f>(1 - CUSTOS!$M$29)*2.0815</f>
        <v>2.0815000000000001</v>
      </c>
      <c r="Z57" s="31">
        <v>0</v>
      </c>
      <c r="AA57" s="31">
        <v>0</v>
      </c>
      <c r="AB57" s="31"/>
      <c r="AC57" s="31">
        <f>(1 - CUSTOS!$M$29)*202.1077</f>
        <v>202.10769999999999</v>
      </c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P57" s="31">
        <f>IF((1 - CUSTOS!$M$29)&lt;&gt;0,1/(1 - CUSTOS!$M$29),1)</f>
        <v>1</v>
      </c>
    </row>
    <row r="58" spans="1:42" ht="11.25" customHeight="1" x14ac:dyDescent="0.25">
      <c r="A58" s="97"/>
      <c r="B58" s="97"/>
      <c r="C58" s="97"/>
      <c r="D58" s="37" t="s">
        <v>117</v>
      </c>
      <c r="E58" s="37" t="s">
        <v>25</v>
      </c>
      <c r="F58" s="37" t="s">
        <v>25</v>
      </c>
      <c r="G58" s="38" t="s">
        <v>108</v>
      </c>
      <c r="H58" s="38" t="s">
        <v>102</v>
      </c>
      <c r="I58" s="38">
        <f>'MERCADO TUSD'!$U$55</f>
        <v>0</v>
      </c>
      <c r="J58" s="15"/>
      <c r="L58" s="31"/>
      <c r="M58" s="31"/>
      <c r="N58" s="31"/>
      <c r="O58" s="31"/>
      <c r="P58" s="31"/>
      <c r="Q58" s="31"/>
      <c r="R58" s="31"/>
      <c r="S58" s="31"/>
      <c r="T58" s="31"/>
      <c r="U58" s="31">
        <f>(1 - CUSTOS!$M$30)*26.5277</f>
        <v>26.527699999999999</v>
      </c>
      <c r="V58" s="31">
        <f>(1 - CUSTOS!$M$30)*7.9428</f>
        <v>7.9428000000000001</v>
      </c>
      <c r="W58" s="31">
        <f>(1 - CUSTOS!$M$30)*2.6619</f>
        <v>2.6619000000000002</v>
      </c>
      <c r="X58" s="31">
        <f>(1 - CUSTOS!$M$30)*0.0946</f>
        <v>9.4600000000000004E-2</v>
      </c>
      <c r="Y58" s="31">
        <f>(1 - CUSTOS!$M$30)*2.0815</f>
        <v>2.0815000000000001</v>
      </c>
      <c r="Z58" s="31">
        <v>0</v>
      </c>
      <c r="AA58" s="31">
        <v>0</v>
      </c>
      <c r="AB58" s="31"/>
      <c r="AC58" s="31">
        <f>(1 - CUSTOS!$M$30)*202.1077</f>
        <v>202.10769999999999</v>
      </c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P58" s="31">
        <f>IF((1 - CUSTOS!$M$30)&lt;&gt;0,1/(1 - CUSTOS!$M$30),1)</f>
        <v>1</v>
      </c>
    </row>
    <row r="59" spans="1:42" ht="11.25" customHeight="1" x14ac:dyDescent="0.25">
      <c r="A59" s="97" t="s">
        <v>37</v>
      </c>
      <c r="B59" s="97" t="s">
        <v>33</v>
      </c>
      <c r="C59" s="97" t="s">
        <v>25</v>
      </c>
      <c r="D59" s="97" t="s">
        <v>25</v>
      </c>
      <c r="E59" s="97" t="s">
        <v>25</v>
      </c>
      <c r="F59" s="97" t="s">
        <v>25</v>
      </c>
      <c r="G59" s="38" t="s">
        <v>103</v>
      </c>
      <c r="H59" s="38" t="s">
        <v>102</v>
      </c>
      <c r="I59" s="38">
        <f>'MERCADO TUSD'!$U$56</f>
        <v>54.588999999999999</v>
      </c>
      <c r="J59" s="15"/>
      <c r="L59" s="31"/>
      <c r="M59" s="31"/>
      <c r="N59" s="31"/>
      <c r="O59" s="31"/>
      <c r="P59" s="31"/>
      <c r="Q59" s="31"/>
      <c r="R59" s="31"/>
      <c r="S59" s="31"/>
      <c r="T59" s="31"/>
      <c r="U59" s="31">
        <f>(1 - CUSTOS!$M$31)*90.194</f>
        <v>90.194000000000003</v>
      </c>
      <c r="V59" s="31">
        <f>(1 - CUSTOS!$M$31)*27.0056</f>
        <v>27.005600000000001</v>
      </c>
      <c r="W59" s="31">
        <f>(1 - CUSTOS!$M$31)*9.0504</f>
        <v>9.0503999999999998</v>
      </c>
      <c r="X59" s="31">
        <f>(1 - CUSTOS!$M$31)*0.3216</f>
        <v>0.3216</v>
      </c>
      <c r="Y59" s="31">
        <f>(1 - CUSTOS!$M$31)*7.0771</f>
        <v>7.0770999999999997</v>
      </c>
      <c r="Z59" s="31">
        <v>0</v>
      </c>
      <c r="AA59" s="31">
        <v>0</v>
      </c>
      <c r="AB59" s="31"/>
      <c r="AC59" s="31">
        <f>(1 - CUSTOS!$M$31)*687.1661</f>
        <v>687.16610000000003</v>
      </c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P59" s="31">
        <f>IF((1 - CUSTOS!$M$31)&lt;&gt;0,1/(1 - CUSTOS!$M$31),1)</f>
        <v>1</v>
      </c>
    </row>
    <row r="60" spans="1:42" ht="11.25" customHeight="1" x14ac:dyDescent="0.25">
      <c r="A60" s="97"/>
      <c r="B60" s="97"/>
      <c r="C60" s="97"/>
      <c r="D60" s="97"/>
      <c r="E60" s="97"/>
      <c r="F60" s="97"/>
      <c r="G60" s="38" t="s">
        <v>113</v>
      </c>
      <c r="H60" s="38" t="s">
        <v>102</v>
      </c>
      <c r="I60" s="38">
        <f>'MERCADO TUSD'!$U$57</f>
        <v>66.038999999999987</v>
      </c>
      <c r="J60" s="15"/>
      <c r="L60" s="31"/>
      <c r="M60" s="31"/>
      <c r="N60" s="31"/>
      <c r="O60" s="31"/>
      <c r="P60" s="31"/>
      <c r="Q60" s="31"/>
      <c r="R60" s="31"/>
      <c r="S60" s="31"/>
      <c r="T60" s="31"/>
      <c r="U60" s="31">
        <f>(1 - CUSTOS!$M$31)*54.1164</f>
        <v>54.116399999999999</v>
      </c>
      <c r="V60" s="31">
        <f>(1 - CUSTOS!$M$31)*16.2034</f>
        <v>16.203399999999998</v>
      </c>
      <c r="W60" s="31">
        <f>(1 - CUSTOS!$M$31)*5.4303</f>
        <v>5.4302999999999999</v>
      </c>
      <c r="X60" s="31">
        <f>(1 - CUSTOS!$M$31)*0.193</f>
        <v>0.193</v>
      </c>
      <c r="Y60" s="31">
        <f>(1 - CUSTOS!$M$31)*4.2462</f>
        <v>4.2462</v>
      </c>
      <c r="Z60" s="31">
        <v>0</v>
      </c>
      <c r="AA60" s="31">
        <v>0</v>
      </c>
      <c r="AB60" s="31"/>
      <c r="AC60" s="31">
        <f>(1 - CUSTOS!$M$31)*412.2997</f>
        <v>412.29969999999997</v>
      </c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P60" s="31">
        <f>IF((1 - CUSTOS!$M$31)&lt;&gt;0,1/(1 - CUSTOS!$M$31),1)</f>
        <v>1</v>
      </c>
    </row>
    <row r="61" spans="1:42" ht="11.25" customHeight="1" x14ac:dyDescent="0.25">
      <c r="A61" s="97"/>
      <c r="B61" s="97"/>
      <c r="C61" s="97"/>
      <c r="D61" s="97"/>
      <c r="E61" s="97"/>
      <c r="F61" s="97"/>
      <c r="G61" s="38" t="s">
        <v>104</v>
      </c>
      <c r="H61" s="38" t="s">
        <v>102</v>
      </c>
      <c r="I61" s="38">
        <f>'MERCADO TUSD'!$U$58</f>
        <v>1004.5179999999999</v>
      </c>
      <c r="J61" s="15"/>
      <c r="L61" s="31"/>
      <c r="M61" s="31"/>
      <c r="N61" s="31"/>
      <c r="O61" s="31"/>
      <c r="P61" s="31"/>
      <c r="Q61" s="31"/>
      <c r="R61" s="31"/>
      <c r="S61" s="31"/>
      <c r="T61" s="31"/>
      <c r="U61" s="31">
        <f>(1 - CUSTOS!$M$31)*18.0388</f>
        <v>18.038799999999998</v>
      </c>
      <c r="V61" s="31">
        <f>(1 - CUSTOS!$M$31)*5.4011</f>
        <v>5.4010999999999996</v>
      </c>
      <c r="W61" s="31">
        <f>(1 - CUSTOS!$M$31)*1.8101</f>
        <v>1.8101</v>
      </c>
      <c r="X61" s="31">
        <f>(1 - CUSTOS!$M$31)*0.0643</f>
        <v>6.4299999999999996E-2</v>
      </c>
      <c r="Y61" s="31">
        <f>(1 - CUSTOS!$M$31)*1.4154</f>
        <v>1.4154</v>
      </c>
      <c r="Z61" s="31">
        <v>0</v>
      </c>
      <c r="AA61" s="31">
        <v>0</v>
      </c>
      <c r="AB61" s="31"/>
      <c r="AC61" s="31">
        <f>(1 - CUSTOS!$M$31)*137.4332</f>
        <v>137.4332</v>
      </c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P61" s="31">
        <f>IF((1 - CUSTOS!$M$31)&lt;&gt;0,1/(1 - CUSTOS!$M$31),1)</f>
        <v>1</v>
      </c>
    </row>
    <row r="62" spans="1:42" ht="11.25" customHeight="1" x14ac:dyDescent="0.25">
      <c r="A62" s="97"/>
      <c r="B62" s="37" t="s">
        <v>23</v>
      </c>
      <c r="C62" s="37" t="s">
        <v>25</v>
      </c>
      <c r="D62" s="37" t="s">
        <v>25</v>
      </c>
      <c r="E62" s="37" t="s">
        <v>25</v>
      </c>
      <c r="F62" s="37" t="s">
        <v>25</v>
      </c>
      <c r="G62" s="38" t="s">
        <v>108</v>
      </c>
      <c r="H62" s="38" t="s">
        <v>102</v>
      </c>
      <c r="I62" s="38">
        <f>'MERCADO TUSD'!$U$59</f>
        <v>650710.04299999995</v>
      </c>
      <c r="J62" s="15"/>
      <c r="L62" s="31"/>
      <c r="M62" s="31"/>
      <c r="N62" s="31"/>
      <c r="O62" s="31"/>
      <c r="P62" s="31"/>
      <c r="Q62" s="31"/>
      <c r="R62" s="31"/>
      <c r="S62" s="31"/>
      <c r="T62" s="31"/>
      <c r="U62" s="31">
        <f>(1 - CUSTOS!$M$31)*26.5277</f>
        <v>26.527699999999999</v>
      </c>
      <c r="V62" s="31">
        <f>(1 - CUSTOS!$M$31)*7.9428</f>
        <v>7.9428000000000001</v>
      </c>
      <c r="W62" s="31">
        <f>(1 - CUSTOS!$M$31)*2.6619</f>
        <v>2.6619000000000002</v>
      </c>
      <c r="X62" s="31">
        <f>(1 - CUSTOS!$M$31)*0.0946</f>
        <v>9.4600000000000004E-2</v>
      </c>
      <c r="Y62" s="31">
        <f>(1 - CUSTOS!$M$31)*2.0815</f>
        <v>2.0815000000000001</v>
      </c>
      <c r="Z62" s="31">
        <v>0</v>
      </c>
      <c r="AA62" s="31">
        <v>0</v>
      </c>
      <c r="AB62" s="31"/>
      <c r="AC62" s="31">
        <f>(1 - CUSTOS!$M$31)*202.1077</f>
        <v>202.10769999999999</v>
      </c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P62" s="31">
        <f>IF((1 - CUSTOS!$M$31)&lt;&gt;0,1/(1 - CUSTOS!$M$31),1)</f>
        <v>1</v>
      </c>
    </row>
    <row r="63" spans="1:42" ht="11.25" customHeight="1" x14ac:dyDescent="0.25">
      <c r="A63" s="97"/>
      <c r="B63" s="37" t="s">
        <v>115</v>
      </c>
      <c r="C63" s="37" t="s">
        <v>25</v>
      </c>
      <c r="D63" s="37" t="s">
        <v>25</v>
      </c>
      <c r="E63" s="37" t="s">
        <v>25</v>
      </c>
      <c r="F63" s="37" t="s">
        <v>25</v>
      </c>
      <c r="G63" s="38" t="s">
        <v>108</v>
      </c>
      <c r="H63" s="38" t="s">
        <v>102</v>
      </c>
      <c r="I63" s="38">
        <f>'MERCADO TUSD'!$U$60</f>
        <v>0</v>
      </c>
      <c r="J63" s="15"/>
      <c r="L63" s="31"/>
      <c r="M63" s="31"/>
      <c r="N63" s="31"/>
      <c r="O63" s="31"/>
      <c r="P63" s="31"/>
      <c r="Q63" s="31"/>
      <c r="R63" s="31"/>
      <c r="S63" s="31"/>
      <c r="T63" s="31"/>
      <c r="U63" s="31">
        <f>(1 - CUSTOS!$M$31)*26.5277</f>
        <v>26.527699999999999</v>
      </c>
      <c r="V63" s="31">
        <f>(1 - CUSTOS!$M$31)*7.9428</f>
        <v>7.9428000000000001</v>
      </c>
      <c r="W63" s="31">
        <f>(1 - CUSTOS!$M$31)*2.6619</f>
        <v>2.6619000000000002</v>
      </c>
      <c r="X63" s="31">
        <f>(1 - CUSTOS!$M$31)*0.0946</f>
        <v>9.4600000000000004E-2</v>
      </c>
      <c r="Y63" s="31">
        <f>(1 - CUSTOS!$M$31)*2.0815</f>
        <v>2.0815000000000001</v>
      </c>
      <c r="Z63" s="31">
        <v>0</v>
      </c>
      <c r="AA63" s="31">
        <v>0</v>
      </c>
      <c r="AB63" s="31"/>
      <c r="AC63" s="31">
        <f>(1 - CUSTOS!$M$31)*202.1077</f>
        <v>202.10769999999999</v>
      </c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P63" s="31">
        <f>IF((1 - CUSTOS!$M$31)&lt;&gt;0,1/(1 - CUSTOS!$M$31),1)</f>
        <v>1</v>
      </c>
    </row>
    <row r="64" spans="1:42" ht="11.25" customHeight="1" x14ac:dyDescent="0.25">
      <c r="A64" s="97" t="s">
        <v>47</v>
      </c>
      <c r="B64" s="97" t="s">
        <v>23</v>
      </c>
      <c r="C64" s="97" t="s">
        <v>48</v>
      </c>
      <c r="D64" s="37" t="s">
        <v>49</v>
      </c>
      <c r="E64" s="37" t="s">
        <v>25</v>
      </c>
      <c r="F64" s="37" t="s">
        <v>25</v>
      </c>
      <c r="G64" s="38" t="s">
        <v>108</v>
      </c>
      <c r="H64" s="38" t="s">
        <v>102</v>
      </c>
      <c r="I64" s="38">
        <f>'MERCADO TUSD'!$U$61</f>
        <v>252172.81799999997</v>
      </c>
      <c r="J64" s="15"/>
      <c r="L64" s="31"/>
      <c r="M64" s="31"/>
      <c r="N64" s="31"/>
      <c r="O64" s="31"/>
      <c r="P64" s="31"/>
      <c r="Q64" s="31"/>
      <c r="R64" s="31"/>
      <c r="S64" s="31"/>
      <c r="T64" s="31"/>
      <c r="U64" s="31">
        <f>(1 - CUSTOS!$M$32)*26.5277</f>
        <v>14.590235000000002</v>
      </c>
      <c r="V64" s="31">
        <f>(1 - CUSTOS!$M$32)*7.9428</f>
        <v>4.3685400000000003</v>
      </c>
      <c r="W64" s="31">
        <f>(1 - CUSTOS!$M$32)*2.6619</f>
        <v>1.4640450000000003</v>
      </c>
      <c r="X64" s="31">
        <f>(1 - CUSTOS!$M$32)*0.0946</f>
        <v>5.2030000000000007E-2</v>
      </c>
      <c r="Y64" s="31">
        <f>(1 - CUSTOS!$M$32)*2.0815</f>
        <v>1.1448250000000002</v>
      </c>
      <c r="Z64" s="31">
        <v>0</v>
      </c>
      <c r="AA64" s="31">
        <v>0</v>
      </c>
      <c r="AB64" s="31"/>
      <c r="AC64" s="31">
        <f>(1 - CUSTOS!$M$32)*202.1077</f>
        <v>111.15923500000001</v>
      </c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P64" s="31">
        <f>IF((1 - CUSTOS!$M$32)&lt;&gt;0,1/(1 - CUSTOS!$M$32),1)</f>
        <v>1.8181818181818181</v>
      </c>
    </row>
    <row r="65" spans="1:42" ht="11.25" customHeight="1" x14ac:dyDescent="0.25">
      <c r="A65" s="97"/>
      <c r="B65" s="97"/>
      <c r="C65" s="97"/>
      <c r="D65" s="38" t="s">
        <v>118</v>
      </c>
      <c r="E65" s="38" t="s">
        <v>25</v>
      </c>
      <c r="F65" s="38" t="s">
        <v>25</v>
      </c>
      <c r="G65" s="38" t="s">
        <v>108</v>
      </c>
      <c r="H65" s="38" t="s">
        <v>102</v>
      </c>
      <c r="I65" s="38">
        <f>'MERCADO TUSD'!$U$62</f>
        <v>0</v>
      </c>
      <c r="J65" s="15"/>
      <c r="L65" s="31"/>
      <c r="M65" s="31"/>
      <c r="N65" s="31"/>
      <c r="O65" s="31"/>
      <c r="P65" s="31"/>
      <c r="Q65" s="31"/>
      <c r="R65" s="31"/>
      <c r="S65" s="31"/>
      <c r="T65" s="31"/>
      <c r="U65" s="31">
        <f>(1 - CUSTOS!$M$33)*26.5277</f>
        <v>15.916619999999998</v>
      </c>
      <c r="V65" s="31">
        <f>(1 - CUSTOS!$M$33)*7.9428</f>
        <v>4.7656799999999997</v>
      </c>
      <c r="W65" s="31">
        <f>(1 - CUSTOS!$M$33)*2.6619</f>
        <v>1.59714</v>
      </c>
      <c r="X65" s="31">
        <f>(1 - CUSTOS!$M$33)*0.0946</f>
        <v>5.6759999999999998E-2</v>
      </c>
      <c r="Y65" s="31">
        <f>(1 - CUSTOS!$M$33)*2.0815</f>
        <v>1.2489000000000001</v>
      </c>
      <c r="Z65" s="31">
        <v>0</v>
      </c>
      <c r="AA65" s="31">
        <v>0</v>
      </c>
      <c r="AB65" s="31"/>
      <c r="AC65" s="31">
        <f>(1 - CUSTOS!$M$33)*202.1077</f>
        <v>121.26461999999999</v>
      </c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P65" s="31">
        <f>IF((1 - CUSTOS!$M$33)&lt;&gt;0,1/(1 - CUSTOS!$M$33),1)</f>
        <v>1.6666666666666667</v>
      </c>
    </row>
  </sheetData>
  <mergeCells count="90"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9:C11"/>
    <mergeCell ref="D9:D11"/>
    <mergeCell ref="E9:E11"/>
    <mergeCell ref="F9:F11"/>
    <mergeCell ref="F5:F7"/>
    <mergeCell ref="B9:B11"/>
    <mergeCell ref="A5:A12"/>
    <mergeCell ref="B5:B8"/>
    <mergeCell ref="C5:C8"/>
    <mergeCell ref="D5:D8"/>
    <mergeCell ref="E5:E7"/>
    <mergeCell ref="B1:B4"/>
    <mergeCell ref="C1:C4"/>
    <mergeCell ref="D1:D4"/>
    <mergeCell ref="E1:E4"/>
    <mergeCell ref="E17:E22"/>
    <mergeCell ref="F17:F19"/>
    <mergeCell ref="F20:F22"/>
    <mergeCell ref="B13:B16"/>
    <mergeCell ref="C13:C16"/>
    <mergeCell ref="D13:D16"/>
    <mergeCell ref="E13:E15"/>
    <mergeCell ref="F24:F26"/>
    <mergeCell ref="E27:E28"/>
    <mergeCell ref="F27:F28"/>
    <mergeCell ref="A29:A30"/>
    <mergeCell ref="B29:B30"/>
    <mergeCell ref="C29:C30"/>
    <mergeCell ref="D29:D30"/>
    <mergeCell ref="A13:A28"/>
    <mergeCell ref="B24:B28"/>
    <mergeCell ref="C24:C28"/>
    <mergeCell ref="D24:D28"/>
    <mergeCell ref="E24:E26"/>
    <mergeCell ref="F13:F15"/>
    <mergeCell ref="B17:B22"/>
    <mergeCell ref="C17:C22"/>
    <mergeCell ref="D17:D22"/>
    <mergeCell ref="A31:A43"/>
    <mergeCell ref="B31:B33"/>
    <mergeCell ref="C31:C33"/>
    <mergeCell ref="D31:D33"/>
    <mergeCell ref="E31:E33"/>
    <mergeCell ref="F31:F33"/>
    <mergeCell ref="B34:B38"/>
    <mergeCell ref="C34:C38"/>
    <mergeCell ref="B39:B43"/>
    <mergeCell ref="C39:C43"/>
    <mergeCell ref="D52:D54"/>
    <mergeCell ref="E52:E54"/>
    <mergeCell ref="F52:F54"/>
    <mergeCell ref="D44:D46"/>
    <mergeCell ref="E44:E46"/>
    <mergeCell ref="F44:F46"/>
    <mergeCell ref="D48:D50"/>
    <mergeCell ref="E48:E50"/>
    <mergeCell ref="F48:F50"/>
    <mergeCell ref="B56:B58"/>
    <mergeCell ref="C56:C58"/>
    <mergeCell ref="A59:A63"/>
    <mergeCell ref="B59:B61"/>
    <mergeCell ref="C59:C61"/>
    <mergeCell ref="A44:A58"/>
    <mergeCell ref="B44:B46"/>
    <mergeCell ref="C44:C46"/>
    <mergeCell ref="B52:B54"/>
    <mergeCell ref="C52:C54"/>
    <mergeCell ref="B48:B50"/>
    <mergeCell ref="C48:C50"/>
    <mergeCell ref="E59:E61"/>
    <mergeCell ref="F59:F61"/>
    <mergeCell ref="A64:A65"/>
    <mergeCell ref="B64:B65"/>
    <mergeCell ref="C64:C65"/>
    <mergeCell ref="D59:D6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1797A-B287-4E46-A1E8-2D6F01BA6F12}">
  <dimension ref="A1:AP85"/>
  <sheetViews>
    <sheetView showGridLines="0" topLeftCell="A43" workbookViewId="0">
      <selection activeCell="K76" sqref="K76:P76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10" style="9" bestFit="1" customWidth="1"/>
    <col min="17" max="17" width="11.7109375" style="9" bestFit="1" customWidth="1"/>
    <col min="18" max="18" width="10.85546875" style="9" bestFit="1" customWidth="1"/>
    <col min="19" max="19" width="10" style="9" bestFit="1" customWidth="1"/>
    <col min="20" max="21" width="11.7109375" style="9" bestFit="1" customWidth="1"/>
    <col min="22" max="23" width="10.85546875" style="9" bestFit="1" customWidth="1"/>
    <col min="24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12.28515625" style="9" bestFit="1" customWidth="1"/>
    <col min="32" max="32" width="7.28515625" style="9" bestFit="1" customWidth="1"/>
    <col min="33" max="33" width="12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1.7109375" style="9" bestFit="1" customWidth="1"/>
    <col min="39" max="39" width="13.1406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98" t="s">
        <v>92</v>
      </c>
      <c r="B1" s="98" t="s">
        <v>93</v>
      </c>
      <c r="C1" s="98" t="s">
        <v>94</v>
      </c>
      <c r="D1" s="98" t="s">
        <v>95</v>
      </c>
      <c r="E1" s="98" t="s">
        <v>96</v>
      </c>
      <c r="F1" s="98" t="s">
        <v>15</v>
      </c>
      <c r="G1" s="98" t="s">
        <v>98</v>
      </c>
      <c r="H1" s="98" t="s">
        <v>99</v>
      </c>
      <c r="I1" s="98" t="s">
        <v>924</v>
      </c>
      <c r="J1" s="93"/>
      <c r="L1" s="99" t="s">
        <v>925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P1" s="99" t="s">
        <v>926</v>
      </c>
    </row>
    <row r="2" spans="1:42" ht="11.25" customHeight="1" x14ac:dyDescent="0.25">
      <c r="A2" s="98"/>
      <c r="B2" s="98"/>
      <c r="C2" s="98"/>
      <c r="D2" s="98"/>
      <c r="E2" s="98"/>
      <c r="F2" s="98"/>
      <c r="G2" s="98"/>
      <c r="H2" s="98"/>
      <c r="I2" s="98"/>
      <c r="J2" s="93"/>
      <c r="L2" s="99" t="s">
        <v>834</v>
      </c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P2" s="100"/>
    </row>
    <row r="3" spans="1:42" ht="11.25" customHeight="1" x14ac:dyDescent="0.25">
      <c r="A3" s="98"/>
      <c r="B3" s="98"/>
      <c r="C3" s="98"/>
      <c r="D3" s="98"/>
      <c r="E3" s="98"/>
      <c r="F3" s="98"/>
      <c r="G3" s="98"/>
      <c r="H3" s="98"/>
      <c r="I3" s="98"/>
      <c r="J3" s="93"/>
      <c r="L3" s="99" t="s">
        <v>835</v>
      </c>
      <c r="M3" s="99"/>
      <c r="N3" s="99"/>
      <c r="O3" s="99"/>
      <c r="P3" s="99"/>
      <c r="Q3" s="99"/>
      <c r="R3" s="99"/>
      <c r="S3" s="99"/>
      <c r="T3" s="99"/>
      <c r="U3" s="99" t="s">
        <v>844</v>
      </c>
      <c r="V3" s="99"/>
      <c r="W3" s="99"/>
      <c r="X3" s="99"/>
      <c r="Y3" s="99"/>
      <c r="Z3" s="99"/>
      <c r="AA3" s="99"/>
      <c r="AB3" s="99"/>
      <c r="AC3" s="99" t="s">
        <v>852</v>
      </c>
      <c r="AD3" s="99"/>
      <c r="AE3" s="99" t="s">
        <v>854</v>
      </c>
      <c r="AF3" s="99"/>
      <c r="AG3" s="99"/>
      <c r="AH3" s="99" t="s">
        <v>857</v>
      </c>
      <c r="AI3" s="99"/>
      <c r="AJ3" s="99"/>
      <c r="AK3" s="99"/>
      <c r="AL3" s="99"/>
      <c r="AM3" s="99" t="s">
        <v>843</v>
      </c>
      <c r="AP3" s="100"/>
    </row>
    <row r="4" spans="1:42" ht="11.25" customHeight="1" x14ac:dyDescent="0.25">
      <c r="A4" s="98"/>
      <c r="B4" s="98"/>
      <c r="C4" s="98"/>
      <c r="D4" s="98"/>
      <c r="E4" s="98"/>
      <c r="F4" s="98"/>
      <c r="G4" s="98"/>
      <c r="H4" s="98"/>
      <c r="I4" s="98"/>
      <c r="J4" s="93"/>
      <c r="L4" s="32" t="s">
        <v>920</v>
      </c>
      <c r="M4" s="32" t="s">
        <v>836</v>
      </c>
      <c r="N4" s="32" t="s">
        <v>837</v>
      </c>
      <c r="O4" s="32" t="s">
        <v>838</v>
      </c>
      <c r="P4" s="32" t="s">
        <v>839</v>
      </c>
      <c r="Q4" s="32" t="s">
        <v>840</v>
      </c>
      <c r="R4" s="32" t="s">
        <v>841</v>
      </c>
      <c r="S4" s="32" t="s">
        <v>842</v>
      </c>
      <c r="T4" s="32" t="s">
        <v>843</v>
      </c>
      <c r="U4" s="32" t="s">
        <v>845</v>
      </c>
      <c r="V4" s="32" t="s">
        <v>846</v>
      </c>
      <c r="W4" s="32" t="s">
        <v>847</v>
      </c>
      <c r="X4" s="32" t="s">
        <v>848</v>
      </c>
      <c r="Y4" s="32" t="s">
        <v>849</v>
      </c>
      <c r="Z4" s="32" t="s">
        <v>850</v>
      </c>
      <c r="AA4" s="32" t="s">
        <v>851</v>
      </c>
      <c r="AB4" s="32" t="s">
        <v>843</v>
      </c>
      <c r="AC4" s="32" t="s">
        <v>853</v>
      </c>
      <c r="AD4" s="32" t="s">
        <v>843</v>
      </c>
      <c r="AE4" s="32" t="s">
        <v>855</v>
      </c>
      <c r="AF4" s="32" t="s">
        <v>856</v>
      </c>
      <c r="AG4" s="32" t="s">
        <v>843</v>
      </c>
      <c r="AH4" s="32" t="s">
        <v>858</v>
      </c>
      <c r="AI4" s="32" t="s">
        <v>859</v>
      </c>
      <c r="AJ4" s="32" t="s">
        <v>860</v>
      </c>
      <c r="AK4" s="32" t="s">
        <v>861</v>
      </c>
      <c r="AL4" s="32" t="s">
        <v>843</v>
      </c>
      <c r="AM4" s="101"/>
      <c r="AP4" s="100"/>
    </row>
    <row r="5" spans="1:42" ht="11.25" customHeight="1" x14ac:dyDescent="0.25">
      <c r="A5" s="97" t="s">
        <v>39</v>
      </c>
      <c r="B5" s="97" t="s">
        <v>40</v>
      </c>
      <c r="C5" s="97" t="s">
        <v>25</v>
      </c>
      <c r="D5" s="97" t="s">
        <v>25</v>
      </c>
      <c r="E5" s="97" t="s">
        <v>25</v>
      </c>
      <c r="F5" s="97" t="s">
        <v>25</v>
      </c>
      <c r="G5" s="38" t="s">
        <v>106</v>
      </c>
      <c r="H5" s="38" t="s">
        <v>105</v>
      </c>
      <c r="I5" s="38">
        <f>'MERCADO TUSD'!$U$2</f>
        <v>1097619</v>
      </c>
      <c r="J5" s="15"/>
      <c r="L5" s="31">
        <v>0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/>
      <c r="U5" s="31">
        <f>TRANSICAO!$U$5*CUSTOS!$P$3</f>
        <v>6.9287999999999998</v>
      </c>
      <c r="V5" s="31">
        <f>TRANSICAO!$V$5*CUSTOS!$P$3</f>
        <v>2.0851999999999999</v>
      </c>
      <c r="W5" s="31">
        <f>TRANSICAO!$W$5*CUSTOS!$P$3</f>
        <v>0.7258</v>
      </c>
      <c r="X5" s="31">
        <f>TRANSICAO!$X$5*CUSTOS!$P$3</f>
        <v>2.58E-2</v>
      </c>
      <c r="Y5" s="31">
        <f>TRANSICAO!$Y$5*CUSTOS!$P$3</f>
        <v>0.54930000000000001</v>
      </c>
      <c r="Z5" s="31">
        <f>TRANSICAO!$Z$5*CUSTOS!$P$3</f>
        <v>0</v>
      </c>
      <c r="AA5" s="31">
        <f>TRANSICAO!$AA$5*CUSTOS!$P$3</f>
        <v>0</v>
      </c>
      <c r="AB5" s="31">
        <f>TRANSICAO!$AB$5*CUSTOS!$P$3</f>
        <v>0</v>
      </c>
      <c r="AC5" s="31">
        <f>TRANSICAO!$AC$5*CUSTOS!$P$3</f>
        <v>9.4171999999999993</v>
      </c>
      <c r="AD5" s="31">
        <f>TRANSICAO!$AD$5*CUSTOS!$P$3</f>
        <v>0</v>
      </c>
      <c r="AE5" s="31">
        <v>0</v>
      </c>
      <c r="AF5" s="31">
        <v>0</v>
      </c>
      <c r="AG5" s="31"/>
      <c r="AH5" s="31">
        <v>0</v>
      </c>
      <c r="AI5" s="31">
        <v>0</v>
      </c>
      <c r="AJ5" s="31">
        <v>0</v>
      </c>
      <c r="AK5" s="31">
        <f t="shared" ref="AK5:AK36" si="0">AJ5</f>
        <v>0</v>
      </c>
      <c r="AL5" s="31"/>
      <c r="AM5" s="31"/>
      <c r="AP5" s="31">
        <v>1</v>
      </c>
    </row>
    <row r="6" spans="1:42" ht="11.25" customHeight="1" x14ac:dyDescent="0.25">
      <c r="A6" s="97"/>
      <c r="B6" s="97"/>
      <c r="C6" s="97"/>
      <c r="D6" s="97"/>
      <c r="E6" s="97"/>
      <c r="F6" s="97"/>
      <c r="G6" s="38" t="s">
        <v>107</v>
      </c>
      <c r="H6" s="38" t="s">
        <v>105</v>
      </c>
      <c r="I6" s="38">
        <f>'MERCADO TUSD'!$U$3</f>
        <v>1328173</v>
      </c>
      <c r="J6" s="15"/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/>
      <c r="U6" s="31">
        <f>TRANSICAO!$U$6*CUSTOS!$P$3</f>
        <v>5.5746000000000002</v>
      </c>
      <c r="V6" s="31">
        <f>TRANSICAO!$V$6*CUSTOS!$P$3</f>
        <v>1.6575</v>
      </c>
      <c r="W6" s="31">
        <f>TRANSICAO!$W$6*CUSTOS!$P$3</f>
        <v>0.53400000000000003</v>
      </c>
      <c r="X6" s="31">
        <f>TRANSICAO!$X$6*CUSTOS!$P$3</f>
        <v>1.9E-2</v>
      </c>
      <c r="Y6" s="31">
        <f>TRANSICAO!$Y$6*CUSTOS!$P$3</f>
        <v>0.2339</v>
      </c>
      <c r="Z6" s="31">
        <f>TRANSICAO!$Z$6*CUSTOS!$P$3</f>
        <v>0</v>
      </c>
      <c r="AA6" s="31">
        <f>TRANSICAO!$AA$6*CUSTOS!$P$3</f>
        <v>0</v>
      </c>
      <c r="AB6" s="31">
        <f>TRANSICAO!$AB$6*CUSTOS!$P$3</f>
        <v>0</v>
      </c>
      <c r="AC6" s="31">
        <f>TRANSICAO!$AC$6*CUSTOS!$P$3</f>
        <v>1.847</v>
      </c>
      <c r="AD6" s="31">
        <f>TRANSICAO!$AD$6*CUSTOS!$P$3</f>
        <v>0</v>
      </c>
      <c r="AE6" s="31">
        <v>0</v>
      </c>
      <c r="AF6" s="31">
        <v>0</v>
      </c>
      <c r="AG6" s="31"/>
      <c r="AH6" s="31">
        <v>0</v>
      </c>
      <c r="AI6" s="31">
        <v>0</v>
      </c>
      <c r="AJ6" s="31">
        <v>0</v>
      </c>
      <c r="AK6" s="31">
        <f t="shared" si="0"/>
        <v>0</v>
      </c>
      <c r="AL6" s="31"/>
      <c r="AM6" s="31"/>
      <c r="AP6" s="31">
        <v>1</v>
      </c>
    </row>
    <row r="7" spans="1:42" ht="11.25" customHeight="1" x14ac:dyDescent="0.25">
      <c r="A7" s="97"/>
      <c r="B7" s="97"/>
      <c r="C7" s="97"/>
      <c r="D7" s="97"/>
      <c r="E7" s="97"/>
      <c r="F7" s="97"/>
      <c r="G7" s="38" t="s">
        <v>108</v>
      </c>
      <c r="H7" s="38" t="s">
        <v>102</v>
      </c>
      <c r="I7" s="38">
        <f>'MERCADO TUSD'!$U$4</f>
        <v>644358.49899999984</v>
      </c>
      <c r="J7" s="15"/>
      <c r="L7" s="31">
        <f>0.62</f>
        <v>0.62</v>
      </c>
      <c r="M7" s="31">
        <f>IF(AND((+$I$7+$I$8)&lt;&gt;0,SUMPRODUCT($I$5:$I$65,$AC$5:$AC$65,$AP$5:$AP$65)&lt;&gt;0),$M$70*SUMPRODUCT($I$5:$I$12,$AC$5:$AC$12,$AP$5:$AP$12)/SUMPRODUCT($I$5:$I$65,$AC$5:$AC$65,$AP$5:$AP$65)/(+$I$7+$I$8),0)</f>
        <v>0.11032049159510146</v>
      </c>
      <c r="N7" s="31">
        <f ca="1">(+M7+O7+R7+U7+V7+W7+X7+Y7+Z7+AA7+AC7+AH7+AI7+AJ7+AK7)*CUSTOS!$M$5</f>
        <v>0.21230037348402434</v>
      </c>
      <c r="O7" s="31">
        <v>1</v>
      </c>
      <c r="P7" s="31">
        <v>1</v>
      </c>
      <c r="Q7" s="31">
        <f>0.62</f>
        <v>0.62</v>
      </c>
      <c r="R7" s="31">
        <v>1</v>
      </c>
      <c r="S7" s="31">
        <v>1</v>
      </c>
      <c r="T7" s="31"/>
      <c r="U7" s="31">
        <f>TRANSICAO!$U$7*CUSTOS!$P$3</f>
        <v>0</v>
      </c>
      <c r="V7" s="31">
        <f>TRANSICAO!$V$7*CUSTOS!$P$3</f>
        <v>0</v>
      </c>
      <c r="W7" s="31">
        <f>TRANSICAO!$W$7*CUSTOS!$P$3</f>
        <v>0</v>
      </c>
      <c r="X7" s="31">
        <f>TRANSICAO!$X$7*CUSTOS!$P$3</f>
        <v>0</v>
      </c>
      <c r="Y7" s="31">
        <f>TRANSICAO!$Y$7*CUSTOS!$P$3</f>
        <v>0</v>
      </c>
      <c r="Z7" s="31">
        <f>TRANSICAO!$Z$7*CUSTOS!$P$3</f>
        <v>0</v>
      </c>
      <c r="AA7" s="31">
        <f>TRANSICAO!$AA$7*CUSTOS!$P$3</f>
        <v>0</v>
      </c>
      <c r="AB7" s="31">
        <f>TRANSICAO!$AB$7*CUSTOS!$P$3</f>
        <v>0</v>
      </c>
      <c r="AC7" s="31">
        <f>TRANSICAO!$AC$7*CUSTOS!$P$3</f>
        <v>0</v>
      </c>
      <c r="AD7" s="31">
        <f>TRANSICAO!$AD$7*CUSTOS!$P$3</f>
        <v>0</v>
      </c>
      <c r="AE7" s="31">
        <v>0</v>
      </c>
      <c r="AF7" s="31">
        <v>0</v>
      </c>
      <c r="AG7" s="31"/>
      <c r="AH7" s="31">
        <v>6.1436000000000002</v>
      </c>
      <c r="AI7" s="31">
        <v>6.1436000000000002</v>
      </c>
      <c r="AJ7" s="31">
        <f ca="1">$N$77</f>
        <v>3.4162584284036637</v>
      </c>
      <c r="AK7" s="31">
        <f t="shared" ca="1" si="0"/>
        <v>3.4162584284036637</v>
      </c>
      <c r="AL7" s="31"/>
      <c r="AM7" s="31"/>
      <c r="AP7" s="31">
        <v>1</v>
      </c>
    </row>
    <row r="8" spans="1:42" ht="11.25" customHeight="1" x14ac:dyDescent="0.25">
      <c r="A8" s="97"/>
      <c r="B8" s="97"/>
      <c r="C8" s="97"/>
      <c r="D8" s="97"/>
      <c r="E8" s="37" t="s">
        <v>59</v>
      </c>
      <c r="F8" s="37" t="s">
        <v>25</v>
      </c>
      <c r="G8" s="38" t="s">
        <v>108</v>
      </c>
      <c r="H8" s="38" t="s">
        <v>102</v>
      </c>
      <c r="I8" s="38">
        <f>'MERCADO TUSD'!$U$5</f>
        <v>0</v>
      </c>
      <c r="J8" s="15"/>
      <c r="L8" s="31">
        <v>0</v>
      </c>
      <c r="M8" s="31">
        <f>IF(AND((+$I$7+$I$8)&lt;&gt;0,SUMPRODUCT($I$5:$I$65,$AC$5:$AC$65,$AP$5:$AP$65)&lt;&gt;0),$M$70*SUMPRODUCT($I$5:$I$12,$AC$5:$AC$12,$AP$5:$AP$12)/SUMPRODUCT($I$5:$I$65,$AC$5:$AC$65,$AP$5:$AP$65)/(+$I$7+$I$8),0)</f>
        <v>0.11032049159510146</v>
      </c>
      <c r="N8" s="31">
        <f ca="1">(+M8+O8+R8+U8+V8+W8+X8+Y8+Z8+AA8+AC8+AH8+AI8+AJ8+AK8)*CUSTOS!$M$5</f>
        <v>0.20230037348402433</v>
      </c>
      <c r="O8" s="31">
        <v>1</v>
      </c>
      <c r="P8" s="31">
        <v>0</v>
      </c>
      <c r="Q8" s="31">
        <v>0</v>
      </c>
      <c r="R8" s="31">
        <v>0</v>
      </c>
      <c r="S8" s="31">
        <v>0</v>
      </c>
      <c r="T8" s="31"/>
      <c r="U8" s="31">
        <f>TRANSICAO!$U$8*CUSTOS!$P$3</f>
        <v>0</v>
      </c>
      <c r="V8" s="31">
        <f>TRANSICAO!$V$8*CUSTOS!$P$3</f>
        <v>0</v>
      </c>
      <c r="W8" s="31">
        <f>TRANSICAO!$W$8*CUSTOS!$P$3</f>
        <v>0</v>
      </c>
      <c r="X8" s="31">
        <f>TRANSICAO!$X$8*CUSTOS!$P$3</f>
        <v>0</v>
      </c>
      <c r="Y8" s="31">
        <f>TRANSICAO!$Y$8*CUSTOS!$P$3</f>
        <v>0</v>
      </c>
      <c r="Z8" s="31">
        <f>TRANSICAO!$Z$8*CUSTOS!$P$3</f>
        <v>0</v>
      </c>
      <c r="AA8" s="31">
        <f>TRANSICAO!$AA$8*CUSTOS!$P$3</f>
        <v>0</v>
      </c>
      <c r="AB8" s="31">
        <f>TRANSICAO!$AB$8*CUSTOS!$P$3</f>
        <v>0</v>
      </c>
      <c r="AC8" s="31">
        <f>TRANSICAO!$AC$8*CUSTOS!$P$3</f>
        <v>0</v>
      </c>
      <c r="AD8" s="31">
        <f>TRANSICAO!$AD$8*CUSTOS!$P$3</f>
        <v>0</v>
      </c>
      <c r="AE8" s="31">
        <v>0</v>
      </c>
      <c r="AF8" s="31">
        <v>0</v>
      </c>
      <c r="AG8" s="31"/>
      <c r="AH8" s="31">
        <v>6.1436000000000002</v>
      </c>
      <c r="AI8" s="31">
        <v>6.1436000000000002</v>
      </c>
      <c r="AJ8" s="31">
        <f ca="1">$N$77</f>
        <v>3.4162584284036637</v>
      </c>
      <c r="AK8" s="31">
        <f t="shared" ca="1" si="0"/>
        <v>3.4162584284036637</v>
      </c>
      <c r="AL8" s="31"/>
      <c r="AM8" s="31"/>
      <c r="AP8" s="31">
        <v>1</v>
      </c>
    </row>
    <row r="9" spans="1:42" ht="11.25" customHeight="1" x14ac:dyDescent="0.25">
      <c r="A9" s="97"/>
      <c r="B9" s="97" t="s">
        <v>62</v>
      </c>
      <c r="C9" s="97" t="s">
        <v>25</v>
      </c>
      <c r="D9" s="97" t="s">
        <v>25</v>
      </c>
      <c r="E9" s="97" t="s">
        <v>25</v>
      </c>
      <c r="F9" s="97" t="s">
        <v>65</v>
      </c>
      <c r="G9" s="38" t="s">
        <v>106</v>
      </c>
      <c r="H9" s="38" t="s">
        <v>105</v>
      </c>
      <c r="I9" s="38">
        <f>'MERCADO TUSD'!$U$6</f>
        <v>344392</v>
      </c>
      <c r="J9" s="15"/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/>
      <c r="U9" s="31">
        <f>TRANSICAO!$U$9*CUSTOS!$P$3</f>
        <v>6.9287999999999998</v>
      </c>
      <c r="V9" s="31">
        <f>TRANSICAO!$V$9*CUSTOS!$P$3</f>
        <v>2.0851999999999999</v>
      </c>
      <c r="W9" s="31">
        <f>TRANSICAO!$W$9*CUSTOS!$P$3</f>
        <v>0.7258</v>
      </c>
      <c r="X9" s="31">
        <f>TRANSICAO!$X$9*CUSTOS!$P$3</f>
        <v>2.58E-2</v>
      </c>
      <c r="Y9" s="31">
        <f>TRANSICAO!$Y$9*CUSTOS!$P$3</f>
        <v>0.54930000000000001</v>
      </c>
      <c r="Z9" s="31">
        <f>TRANSICAO!$Z$9*CUSTOS!$P$3</f>
        <v>0</v>
      </c>
      <c r="AA9" s="31">
        <f>TRANSICAO!$AA$9*CUSTOS!$P$3</f>
        <v>0</v>
      </c>
      <c r="AB9" s="31">
        <f>TRANSICAO!$AB$9*CUSTOS!$P$3</f>
        <v>0</v>
      </c>
      <c r="AC9" s="31">
        <f>TRANSICAO!$AC$9*CUSTOS!$P$3</f>
        <v>9.4171999999999993</v>
      </c>
      <c r="AD9" s="31">
        <f>TRANSICAO!$AD$9*CUSTOS!$P$3</f>
        <v>0</v>
      </c>
      <c r="AE9" s="31">
        <v>0</v>
      </c>
      <c r="AF9" s="31">
        <v>0</v>
      </c>
      <c r="AG9" s="31"/>
      <c r="AH9" s="31">
        <v>0</v>
      </c>
      <c r="AI9" s="31">
        <v>0</v>
      </c>
      <c r="AJ9" s="31">
        <v>0</v>
      </c>
      <c r="AK9" s="31">
        <f t="shared" si="0"/>
        <v>0</v>
      </c>
      <c r="AL9" s="31"/>
      <c r="AM9" s="31"/>
      <c r="AP9" s="31">
        <v>1</v>
      </c>
    </row>
    <row r="10" spans="1:42" ht="11.25" customHeight="1" x14ac:dyDescent="0.25">
      <c r="A10" s="97"/>
      <c r="B10" s="97"/>
      <c r="C10" s="97"/>
      <c r="D10" s="97"/>
      <c r="E10" s="97"/>
      <c r="F10" s="97"/>
      <c r="G10" s="38" t="s">
        <v>107</v>
      </c>
      <c r="H10" s="38" t="s">
        <v>105</v>
      </c>
      <c r="I10" s="38">
        <f>'MERCADO TUSD'!$U$7</f>
        <v>351600</v>
      </c>
      <c r="J10" s="15"/>
      <c r="L10" s="31">
        <v>0</v>
      </c>
      <c r="M10" s="31">
        <v>0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/>
      <c r="U10" s="31">
        <f>TRANSICAO!$U$10*CUSTOS!$P$3</f>
        <v>5.5746000000000002</v>
      </c>
      <c r="V10" s="31">
        <f>TRANSICAO!$V$10*CUSTOS!$P$3</f>
        <v>1.6575</v>
      </c>
      <c r="W10" s="31">
        <f>TRANSICAO!$W$10*CUSTOS!$P$3</f>
        <v>0.53400000000000003</v>
      </c>
      <c r="X10" s="31">
        <f>TRANSICAO!$X$10*CUSTOS!$P$3</f>
        <v>1.9E-2</v>
      </c>
      <c r="Y10" s="31">
        <f>TRANSICAO!$Y$10*CUSTOS!$P$3</f>
        <v>0.2339</v>
      </c>
      <c r="Z10" s="31">
        <f>TRANSICAO!$Z$10*CUSTOS!$P$3</f>
        <v>0</v>
      </c>
      <c r="AA10" s="31">
        <f>TRANSICAO!$AA$10*CUSTOS!$P$3</f>
        <v>0</v>
      </c>
      <c r="AB10" s="31">
        <f>TRANSICAO!$AB$10*CUSTOS!$P$3</f>
        <v>0</v>
      </c>
      <c r="AC10" s="31">
        <f>TRANSICAO!$AC$10*CUSTOS!$P$3</f>
        <v>1.847</v>
      </c>
      <c r="AD10" s="31">
        <f>TRANSICAO!$AD$10*CUSTOS!$P$3</f>
        <v>0</v>
      </c>
      <c r="AE10" s="31">
        <v>0</v>
      </c>
      <c r="AF10" s="31">
        <v>0</v>
      </c>
      <c r="AG10" s="31"/>
      <c r="AH10" s="31">
        <v>0</v>
      </c>
      <c r="AI10" s="31">
        <v>0</v>
      </c>
      <c r="AJ10" s="31">
        <v>0</v>
      </c>
      <c r="AK10" s="31">
        <f t="shared" si="0"/>
        <v>0</v>
      </c>
      <c r="AL10" s="31"/>
      <c r="AM10" s="31"/>
      <c r="AP10" s="31">
        <v>1</v>
      </c>
    </row>
    <row r="11" spans="1:42" ht="11.25" customHeight="1" x14ac:dyDescent="0.25">
      <c r="A11" s="97"/>
      <c r="B11" s="97"/>
      <c r="C11" s="97"/>
      <c r="D11" s="97"/>
      <c r="E11" s="97"/>
      <c r="F11" s="97"/>
      <c r="G11" s="38" t="s">
        <v>108</v>
      </c>
      <c r="H11" s="38" t="s">
        <v>102</v>
      </c>
      <c r="I11" s="38">
        <f>'MERCADO TUSD'!$U$8</f>
        <v>143574.41700000002</v>
      </c>
      <c r="J11" s="15"/>
      <c r="L11" s="31">
        <v>0</v>
      </c>
      <c r="M11" s="31">
        <v>0</v>
      </c>
      <c r="N11" s="31">
        <v>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/>
      <c r="U11" s="31">
        <f>TRANSICAO!$U$11*CUSTOS!$P$3</f>
        <v>0</v>
      </c>
      <c r="V11" s="31">
        <f>TRANSICAO!$V$11*CUSTOS!$P$3</f>
        <v>0</v>
      </c>
      <c r="W11" s="31">
        <f>TRANSICAO!$W$11*CUSTOS!$P$3</f>
        <v>0</v>
      </c>
      <c r="X11" s="31">
        <f>TRANSICAO!$X$11*CUSTOS!$P$3</f>
        <v>0</v>
      </c>
      <c r="Y11" s="31">
        <f>TRANSICAO!$Y$11*CUSTOS!$P$3</f>
        <v>0</v>
      </c>
      <c r="Z11" s="31">
        <f>TRANSICAO!$Z$11*CUSTOS!$P$3</f>
        <v>0</v>
      </c>
      <c r="AA11" s="31">
        <f>TRANSICAO!$AA$11*CUSTOS!$P$3</f>
        <v>0</v>
      </c>
      <c r="AB11" s="31">
        <f>TRANSICAO!$AB$11*CUSTOS!$P$3</f>
        <v>0</v>
      </c>
      <c r="AC11" s="31">
        <f>TRANSICAO!$AC$11*CUSTOS!$P$3</f>
        <v>0</v>
      </c>
      <c r="AD11" s="31">
        <f>TRANSICAO!$AD$11*CUSTOS!$P$3</f>
        <v>0</v>
      </c>
      <c r="AE11" s="31">
        <v>0</v>
      </c>
      <c r="AF11" s="31">
        <v>0</v>
      </c>
      <c r="AG11" s="31"/>
      <c r="AH11" s="31">
        <v>6.1436000000000002</v>
      </c>
      <c r="AI11" s="31">
        <v>6.1436000000000002</v>
      </c>
      <c r="AJ11" s="31">
        <v>0</v>
      </c>
      <c r="AK11" s="31">
        <f t="shared" si="0"/>
        <v>0</v>
      </c>
      <c r="AL11" s="31"/>
      <c r="AM11" s="31"/>
      <c r="AP11" s="31">
        <v>1</v>
      </c>
    </row>
    <row r="12" spans="1:42" ht="11.25" customHeight="1" x14ac:dyDescent="0.25">
      <c r="A12" s="97"/>
      <c r="B12" s="37" t="s">
        <v>66</v>
      </c>
      <c r="C12" s="37" t="s">
        <v>25</v>
      </c>
      <c r="D12" s="37" t="s">
        <v>25</v>
      </c>
      <c r="E12" s="37" t="s">
        <v>25</v>
      </c>
      <c r="F12" s="37" t="s">
        <v>25</v>
      </c>
      <c r="G12" s="38" t="s">
        <v>9</v>
      </c>
      <c r="H12" s="38" t="s">
        <v>105</v>
      </c>
      <c r="I12" s="38">
        <f>'MERCADO TUSD'!$U$9</f>
        <v>2595530</v>
      </c>
      <c r="J12" s="15"/>
      <c r="L12" s="31">
        <v>0</v>
      </c>
      <c r="M12" s="31">
        <f>(1+CUSTOS!$M$4)*0.0565004101477278</f>
        <v>6.2193839049584268E-2</v>
      </c>
      <c r="N12" s="31">
        <f>(1+CUSTOS!$M$4)*0.129500193146989</f>
        <v>0.14254965846115739</v>
      </c>
      <c r="O12" s="31">
        <f>(1+CUSTOS!$M$4)*0.00599866090755387</f>
        <v>6.603133499774109E-3</v>
      </c>
      <c r="P12" s="31">
        <v>0</v>
      </c>
      <c r="Q12" s="31">
        <v>0</v>
      </c>
      <c r="R12" s="31">
        <v>0</v>
      </c>
      <c r="S12" s="31">
        <v>0</v>
      </c>
      <c r="T12" s="31"/>
      <c r="U12" s="31">
        <f>TRANSICAO!$U$12*CUSTOS!$P$4</f>
        <v>0</v>
      </c>
      <c r="V12" s="31">
        <f>TRANSICAO!$V$12*CUSTOS!$P$4</f>
        <v>0</v>
      </c>
      <c r="W12" s="31">
        <f>TRANSICAO!$W$12*CUSTOS!$P$4</f>
        <v>0.22727928404185052</v>
      </c>
      <c r="X12" s="31">
        <f>TRANSICAO!$X$12*CUSTOS!$P$4</f>
        <v>0</v>
      </c>
      <c r="Y12" s="31">
        <f>TRANSICAO!$Y$12*CUSTOS!$P$4</f>
        <v>0.98657512988314733</v>
      </c>
      <c r="Z12" s="31">
        <f>TRANSICAO!$Z$12*CUSTOS!$P$4</f>
        <v>0</v>
      </c>
      <c r="AA12" s="31">
        <f>TRANSICAO!$AA$12*CUSTOS!$P$4</f>
        <v>0</v>
      </c>
      <c r="AB12" s="31">
        <f>TRANSICAO!$AB$12*CUSTOS!$P$4</f>
        <v>0</v>
      </c>
      <c r="AC12" s="31">
        <f>TRANSICAO!$AC$12*CUSTOS!$P$4</f>
        <v>11.529431738320262</v>
      </c>
      <c r="AD12" s="31">
        <f>TRANSICAO!$AD$12*CUSTOS!$P$4</f>
        <v>0</v>
      </c>
      <c r="AE12" s="31">
        <v>0</v>
      </c>
      <c r="AF12" s="31">
        <v>0</v>
      </c>
      <c r="AG12" s="31"/>
      <c r="AH12" s="31">
        <f>(1+CUSTOS!$M$4)*0.902894014036151</f>
        <v>0.99387676728317931</v>
      </c>
      <c r="AI12" s="31">
        <f>(1+CUSTOS!$M$4)*0.252765300807791</f>
        <v>0.27823593483049636</v>
      </c>
      <c r="AJ12" s="31">
        <v>0</v>
      </c>
      <c r="AK12" s="31">
        <f t="shared" si="0"/>
        <v>0</v>
      </c>
      <c r="AL12" s="31"/>
      <c r="AM12" s="31"/>
      <c r="AP12" s="31"/>
    </row>
    <row r="13" spans="1:42" ht="11.25" customHeight="1" x14ac:dyDescent="0.25">
      <c r="A13" s="97" t="s">
        <v>41</v>
      </c>
      <c r="B13" s="97" t="s">
        <v>40</v>
      </c>
      <c r="C13" s="97" t="s">
        <v>25</v>
      </c>
      <c r="D13" s="97" t="s">
        <v>25</v>
      </c>
      <c r="E13" s="97" t="s">
        <v>25</v>
      </c>
      <c r="F13" s="97" t="s">
        <v>25</v>
      </c>
      <c r="G13" s="38" t="s">
        <v>106</v>
      </c>
      <c r="H13" s="38" t="s">
        <v>105</v>
      </c>
      <c r="I13" s="38">
        <f>'MERCADO TUSD'!$U$10</f>
        <v>558998</v>
      </c>
      <c r="J13" s="15"/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/>
      <c r="U13" s="31">
        <f>TRANSICAO!$U$13*CUSTOS!$R$3</f>
        <v>5.9452999999999996</v>
      </c>
      <c r="V13" s="31">
        <f>TRANSICAO!$V$13*CUSTOS!$R$3</f>
        <v>1.7891999999999999</v>
      </c>
      <c r="W13" s="31">
        <f>TRANSICAO!$W$13*CUSTOS!$R$3</f>
        <v>0.62280000000000002</v>
      </c>
      <c r="X13" s="31">
        <f>TRANSICAO!$X$13*CUSTOS!$R$3</f>
        <v>2.2100000000000002E-2</v>
      </c>
      <c r="Y13" s="31">
        <f>TRANSICAO!$Y$13*CUSTOS!$R$3</f>
        <v>0.60970000000000002</v>
      </c>
      <c r="Z13" s="31">
        <f>TRANSICAO!$Z$13*CUSTOS!$R$3</f>
        <v>0</v>
      </c>
      <c r="AA13" s="31">
        <f>TRANSICAO!$AA$13*CUSTOS!$R$3</f>
        <v>0</v>
      </c>
      <c r="AB13" s="31">
        <f>TRANSICAO!$AB$13*CUSTOS!$R$3</f>
        <v>0</v>
      </c>
      <c r="AC13" s="31">
        <f>TRANSICAO!$AC$13*CUSTOS!$R$3</f>
        <v>41.189799999999998</v>
      </c>
      <c r="AD13" s="31">
        <f>TRANSICAO!$AD$13*CUSTOS!$R$3</f>
        <v>0</v>
      </c>
      <c r="AE13" s="31">
        <v>0</v>
      </c>
      <c r="AF13" s="31">
        <v>0</v>
      </c>
      <c r="AG13" s="31"/>
      <c r="AH13" s="31">
        <v>0</v>
      </c>
      <c r="AI13" s="31">
        <v>0</v>
      </c>
      <c r="AJ13" s="31">
        <v>0</v>
      </c>
      <c r="AK13" s="31">
        <f t="shared" si="0"/>
        <v>0</v>
      </c>
      <c r="AL13" s="31"/>
      <c r="AM13" s="31"/>
      <c r="AP13" s="31">
        <v>1</v>
      </c>
    </row>
    <row r="14" spans="1:42" ht="11.25" customHeight="1" x14ac:dyDescent="0.25">
      <c r="A14" s="97"/>
      <c r="B14" s="97"/>
      <c r="C14" s="97"/>
      <c r="D14" s="97"/>
      <c r="E14" s="97"/>
      <c r="F14" s="97"/>
      <c r="G14" s="38" t="s">
        <v>107</v>
      </c>
      <c r="H14" s="38" t="s">
        <v>105</v>
      </c>
      <c r="I14" s="38">
        <f>'MERCADO TUSD'!$U$11</f>
        <v>639825</v>
      </c>
      <c r="J14" s="15"/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/>
      <c r="U14" s="31">
        <f>TRANSICAO!$U$14*CUSTOS!$R$3</f>
        <v>3.7128000000000001</v>
      </c>
      <c r="V14" s="31">
        <f>TRANSICAO!$V$14*CUSTOS!$R$3</f>
        <v>1.1115999999999999</v>
      </c>
      <c r="W14" s="31">
        <f>TRANSICAO!$W$14*CUSTOS!$R$3</f>
        <v>0.35520000000000002</v>
      </c>
      <c r="X14" s="31">
        <f>TRANSICAO!$X$14*CUSTOS!$R$3</f>
        <v>1.26E-2</v>
      </c>
      <c r="Y14" s="31">
        <f>TRANSICAO!$Y$14*CUSTOS!$R$3</f>
        <v>0.19850000000000001</v>
      </c>
      <c r="Z14" s="31">
        <f>TRANSICAO!$Z$14*CUSTOS!$R$3</f>
        <v>0</v>
      </c>
      <c r="AA14" s="31">
        <f>TRANSICAO!$AA$14*CUSTOS!$R$3</f>
        <v>0</v>
      </c>
      <c r="AB14" s="31">
        <f>TRANSICAO!$AB$14*CUSTOS!$R$3</f>
        <v>0</v>
      </c>
      <c r="AC14" s="31">
        <f>TRANSICAO!$AC$14*CUSTOS!$R$3</f>
        <v>19.698799999999999</v>
      </c>
      <c r="AD14" s="31">
        <f>TRANSICAO!$AD$14*CUSTOS!$R$3</f>
        <v>0</v>
      </c>
      <c r="AE14" s="31">
        <v>0</v>
      </c>
      <c r="AF14" s="31">
        <v>0</v>
      </c>
      <c r="AG14" s="31"/>
      <c r="AH14" s="31">
        <v>0</v>
      </c>
      <c r="AI14" s="31">
        <v>0</v>
      </c>
      <c r="AJ14" s="31">
        <v>0</v>
      </c>
      <c r="AK14" s="31">
        <f t="shared" si="0"/>
        <v>0</v>
      </c>
      <c r="AL14" s="31"/>
      <c r="AM14" s="31"/>
      <c r="AP14" s="31">
        <v>1</v>
      </c>
    </row>
    <row r="15" spans="1:42" ht="11.25" customHeight="1" x14ac:dyDescent="0.25">
      <c r="A15" s="97"/>
      <c r="B15" s="97"/>
      <c r="C15" s="97"/>
      <c r="D15" s="97"/>
      <c r="E15" s="97"/>
      <c r="F15" s="97"/>
      <c r="G15" s="38" t="s">
        <v>108</v>
      </c>
      <c r="H15" s="38" t="s">
        <v>102</v>
      </c>
      <c r="I15" s="38">
        <f>'MERCADO TUSD'!$U$12</f>
        <v>243208.54699999999</v>
      </c>
      <c r="J15" s="15"/>
      <c r="L15" s="31">
        <f>0.84</f>
        <v>0.84</v>
      </c>
      <c r="M15" s="31">
        <f>IF(AND((+$I$15+$I$16+$I$25+$I$26+$I$27+$I$28)&lt;&gt;0,SUMPRODUCT($I$5:$I$65,$AC$5:$AC$65,$AP$5:$AP$65)&lt;&gt;0),$M$70*SUMPRODUCT($I$13:$I$28,$AC$13:$AC$28,$AP$13:$AP$28)/SUMPRODUCT($I$5:$I$65,$AC$5:$AC$65,$AP$5:$AP$65)/(+$I$15+$I$16+$I$25+$I$26+$I$27+$I$28),0)</f>
        <v>0.67747213615890456</v>
      </c>
      <c r="N15" s="31">
        <f ca="1">(+M15+O15+R15+U15+V15+W15+X15+Y15+Z15+AA15+AC15+AH15+AI15+AJ15+AK15)*CUSTOS!$M$5</f>
        <v>0.46796415354021109</v>
      </c>
      <c r="O15" s="31">
        <v>1</v>
      </c>
      <c r="P15" s="31">
        <v>1</v>
      </c>
      <c r="Q15" s="31">
        <f>0.84</f>
        <v>0.84</v>
      </c>
      <c r="R15" s="31">
        <v>1</v>
      </c>
      <c r="S15" s="31">
        <v>1</v>
      </c>
      <c r="T15" s="31"/>
      <c r="U15" s="31">
        <f>TRANSICAO!$U$15*CUSTOS!$R$3</f>
        <v>0</v>
      </c>
      <c r="V15" s="31">
        <f>TRANSICAO!$V$15*CUSTOS!$R$3</f>
        <v>0</v>
      </c>
      <c r="W15" s="31">
        <f>TRANSICAO!$W$15*CUSTOS!$R$3</f>
        <v>0</v>
      </c>
      <c r="X15" s="31">
        <f>TRANSICAO!$X$15*CUSTOS!$R$3</f>
        <v>0</v>
      </c>
      <c r="Y15" s="31">
        <f>TRANSICAO!$Y$15*CUSTOS!$R$3</f>
        <v>0</v>
      </c>
      <c r="Z15" s="31">
        <f>TRANSICAO!$Z$15*CUSTOS!$R$3</f>
        <v>0</v>
      </c>
      <c r="AA15" s="31">
        <f>TRANSICAO!$AA$15*CUSTOS!$R$3</f>
        <v>0</v>
      </c>
      <c r="AB15" s="31">
        <f>TRANSICAO!$AB$15*CUSTOS!$R$3</f>
        <v>0</v>
      </c>
      <c r="AC15" s="31">
        <f>TRANSICAO!$AC$15*CUSTOS!$R$3</f>
        <v>0</v>
      </c>
      <c r="AD15" s="31">
        <f>TRANSICAO!$AD$15*CUSTOS!$R$3</f>
        <v>0</v>
      </c>
      <c r="AE15" s="31">
        <v>0</v>
      </c>
      <c r="AF15" s="31">
        <v>0</v>
      </c>
      <c r="AG15" s="31"/>
      <c r="AH15" s="31">
        <v>13.187200000000001</v>
      </c>
      <c r="AI15" s="31">
        <v>13.187200000000001</v>
      </c>
      <c r="AJ15" s="31">
        <f ca="1">$N$78</f>
        <v>8.8722716089310989</v>
      </c>
      <c r="AK15" s="31">
        <f t="shared" ca="1" si="0"/>
        <v>8.8722716089310989</v>
      </c>
      <c r="AL15" s="31"/>
      <c r="AM15" s="31"/>
      <c r="AP15" s="31">
        <v>1</v>
      </c>
    </row>
    <row r="16" spans="1:42" ht="11.25" customHeight="1" x14ac:dyDescent="0.25">
      <c r="A16" s="97"/>
      <c r="B16" s="97"/>
      <c r="C16" s="97"/>
      <c r="D16" s="97"/>
      <c r="E16" s="37" t="s">
        <v>59</v>
      </c>
      <c r="F16" s="37" t="s">
        <v>25</v>
      </c>
      <c r="G16" s="38" t="s">
        <v>108</v>
      </c>
      <c r="H16" s="38" t="s">
        <v>102</v>
      </c>
      <c r="I16" s="38">
        <f>'MERCADO TUSD'!$U$13</f>
        <v>0</v>
      </c>
      <c r="J16" s="15"/>
      <c r="L16" s="31">
        <v>0</v>
      </c>
      <c r="M16" s="31">
        <f>IF(AND((+$I$15+$I$16+$I$25+$I$26+$I$27+$I$28)&lt;&gt;0,SUMPRODUCT($I$5:$I$65,$AC$5:$AC$65,$AP$5:$AP$65)&lt;&gt;0),$M$70*SUMPRODUCT($I$13:$I$28,$AC$13:$AC$28,$AP$13:$AP$28)/SUMPRODUCT($I$5:$I$65,$AC$5:$AC$65,$AP$5:$AP$65)/(+$I$15+$I$16+$I$25+$I$26+$I$27+$I$28),0)</f>
        <v>0.67747213615890456</v>
      </c>
      <c r="N16" s="31">
        <f ca="1">(+M16+O16+R16+U16+V16+W16+X16+Y16+Z16+AA16+AC16+AH16+AI16+AJ16+AK16)*CUSTOS!$M$5</f>
        <v>0.45796415354021108</v>
      </c>
      <c r="O16" s="31">
        <v>1</v>
      </c>
      <c r="P16" s="31">
        <v>0</v>
      </c>
      <c r="Q16" s="31">
        <v>0</v>
      </c>
      <c r="R16" s="31">
        <v>0</v>
      </c>
      <c r="S16" s="31">
        <v>0</v>
      </c>
      <c r="T16" s="31"/>
      <c r="U16" s="31">
        <f>TRANSICAO!$U$16*CUSTOS!$R$3</f>
        <v>0</v>
      </c>
      <c r="V16" s="31">
        <f>TRANSICAO!$V$16*CUSTOS!$R$3</f>
        <v>0</v>
      </c>
      <c r="W16" s="31">
        <f>TRANSICAO!$W$16*CUSTOS!$R$3</f>
        <v>0</v>
      </c>
      <c r="X16" s="31">
        <f>TRANSICAO!$X$16*CUSTOS!$R$3</f>
        <v>0</v>
      </c>
      <c r="Y16" s="31">
        <f>TRANSICAO!$Y$16*CUSTOS!$R$3</f>
        <v>0</v>
      </c>
      <c r="Z16" s="31">
        <f>TRANSICAO!$Z$16*CUSTOS!$R$3</f>
        <v>0</v>
      </c>
      <c r="AA16" s="31">
        <f>TRANSICAO!$AA$16*CUSTOS!$R$3</f>
        <v>0</v>
      </c>
      <c r="AB16" s="31">
        <f>TRANSICAO!$AB$16*CUSTOS!$R$3</f>
        <v>0</v>
      </c>
      <c r="AC16" s="31">
        <f>TRANSICAO!$AC$16*CUSTOS!$R$3</f>
        <v>0</v>
      </c>
      <c r="AD16" s="31">
        <f>TRANSICAO!$AD$16*CUSTOS!$R$3</f>
        <v>0</v>
      </c>
      <c r="AE16" s="31">
        <v>0</v>
      </c>
      <c r="AF16" s="31">
        <v>0</v>
      </c>
      <c r="AG16" s="31"/>
      <c r="AH16" s="31">
        <v>13.187200000000001</v>
      </c>
      <c r="AI16" s="31">
        <v>13.187200000000001</v>
      </c>
      <c r="AJ16" s="31">
        <f ca="1">$N$78</f>
        <v>8.8722716089310989</v>
      </c>
      <c r="AK16" s="31">
        <f t="shared" ca="1" si="0"/>
        <v>8.8722716089310989</v>
      </c>
      <c r="AL16" s="31"/>
      <c r="AM16" s="31"/>
      <c r="AP16" s="31">
        <v>1</v>
      </c>
    </row>
    <row r="17" spans="1:42" ht="11.25" customHeight="1" x14ac:dyDescent="0.25">
      <c r="A17" s="97"/>
      <c r="B17" s="97" t="s">
        <v>62</v>
      </c>
      <c r="C17" s="97" t="s">
        <v>25</v>
      </c>
      <c r="D17" s="97" t="s">
        <v>25</v>
      </c>
      <c r="E17" s="97" t="s">
        <v>25</v>
      </c>
      <c r="F17" s="97" t="s">
        <v>63</v>
      </c>
      <c r="G17" s="38" t="s">
        <v>106</v>
      </c>
      <c r="H17" s="38" t="s">
        <v>105</v>
      </c>
      <c r="I17" s="38">
        <f>'MERCADO TUSD'!$U$14</f>
        <v>83572</v>
      </c>
      <c r="J17" s="15"/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/>
      <c r="U17" s="31">
        <f>TRANSICAO!$U$17*CUSTOS!$R$3</f>
        <v>5.9452999999999996</v>
      </c>
      <c r="V17" s="31">
        <f>TRANSICAO!$V$17*CUSTOS!$R$3</f>
        <v>1.7891999999999999</v>
      </c>
      <c r="W17" s="31">
        <f>TRANSICAO!$W$17*CUSTOS!$R$3</f>
        <v>0.62280000000000002</v>
      </c>
      <c r="X17" s="31">
        <f>TRANSICAO!$X$17*CUSTOS!$R$3</f>
        <v>2.2100000000000002E-2</v>
      </c>
      <c r="Y17" s="31">
        <f>TRANSICAO!$Y$17*CUSTOS!$R$3</f>
        <v>0.60970000000000002</v>
      </c>
      <c r="Z17" s="31">
        <f>TRANSICAO!$Z$17*CUSTOS!$R$3</f>
        <v>0</v>
      </c>
      <c r="AA17" s="31">
        <f>TRANSICAO!$AA$17*CUSTOS!$R$3</f>
        <v>0</v>
      </c>
      <c r="AB17" s="31">
        <f>TRANSICAO!$AB$17*CUSTOS!$R$3</f>
        <v>0</v>
      </c>
      <c r="AC17" s="31">
        <f>TRANSICAO!$AC$17*CUSTOS!$R$3</f>
        <v>14.7859</v>
      </c>
      <c r="AD17" s="31">
        <f>TRANSICAO!$AD$17*CUSTOS!$R$3</f>
        <v>0</v>
      </c>
      <c r="AE17" s="31">
        <v>0</v>
      </c>
      <c r="AF17" s="31">
        <v>0</v>
      </c>
      <c r="AG17" s="31"/>
      <c r="AH17" s="31">
        <v>0</v>
      </c>
      <c r="AI17" s="31">
        <v>0</v>
      </c>
      <c r="AJ17" s="31">
        <v>0</v>
      </c>
      <c r="AK17" s="31">
        <f t="shared" si="0"/>
        <v>0</v>
      </c>
      <c r="AL17" s="31"/>
      <c r="AM17" s="31"/>
      <c r="AP17" s="31">
        <v>1</v>
      </c>
    </row>
    <row r="18" spans="1:42" ht="11.25" customHeight="1" x14ac:dyDescent="0.25">
      <c r="A18" s="97"/>
      <c r="B18" s="97"/>
      <c r="C18" s="97"/>
      <c r="D18" s="97"/>
      <c r="E18" s="97"/>
      <c r="F18" s="97"/>
      <c r="G18" s="38" t="s">
        <v>107</v>
      </c>
      <c r="H18" s="38" t="s">
        <v>105</v>
      </c>
      <c r="I18" s="38">
        <f>'MERCADO TUSD'!$U$15</f>
        <v>86016</v>
      </c>
      <c r="J18" s="15"/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/>
      <c r="U18" s="31">
        <f>TRANSICAO!$U$18*CUSTOS!$R$3</f>
        <v>3.7128000000000001</v>
      </c>
      <c r="V18" s="31">
        <f>TRANSICAO!$V$18*CUSTOS!$R$3</f>
        <v>1.1115999999999999</v>
      </c>
      <c r="W18" s="31">
        <f>TRANSICAO!$W$18*CUSTOS!$R$3</f>
        <v>0.35520000000000002</v>
      </c>
      <c r="X18" s="31">
        <f>TRANSICAO!$X$18*CUSTOS!$R$3</f>
        <v>1.26E-2</v>
      </c>
      <c r="Y18" s="31">
        <f>TRANSICAO!$Y$18*CUSTOS!$R$3</f>
        <v>0.19850000000000001</v>
      </c>
      <c r="Z18" s="31">
        <f>TRANSICAO!$Z$18*CUSTOS!$R$3</f>
        <v>0</v>
      </c>
      <c r="AA18" s="31">
        <f>TRANSICAO!$AA$18*CUSTOS!$R$3</f>
        <v>0</v>
      </c>
      <c r="AB18" s="31">
        <f>TRANSICAO!$AB$18*CUSTOS!$R$3</f>
        <v>0</v>
      </c>
      <c r="AC18" s="31">
        <f>TRANSICAO!$AC$18*CUSTOS!$R$3</f>
        <v>7.0712999999999999</v>
      </c>
      <c r="AD18" s="31">
        <f>TRANSICAO!$AD$18*CUSTOS!$R$3</f>
        <v>0</v>
      </c>
      <c r="AE18" s="31">
        <v>0</v>
      </c>
      <c r="AF18" s="31">
        <v>0</v>
      </c>
      <c r="AG18" s="31"/>
      <c r="AH18" s="31">
        <v>0</v>
      </c>
      <c r="AI18" s="31">
        <v>0</v>
      </c>
      <c r="AJ18" s="31">
        <v>0</v>
      </c>
      <c r="AK18" s="31">
        <f t="shared" si="0"/>
        <v>0</v>
      </c>
      <c r="AL18" s="31"/>
      <c r="AM18" s="31"/>
      <c r="AP18" s="31">
        <v>1</v>
      </c>
    </row>
    <row r="19" spans="1:42" ht="11.25" customHeight="1" x14ac:dyDescent="0.25">
      <c r="A19" s="97"/>
      <c r="B19" s="97"/>
      <c r="C19" s="97"/>
      <c r="D19" s="97"/>
      <c r="E19" s="97"/>
      <c r="F19" s="97"/>
      <c r="G19" s="38" t="s">
        <v>108</v>
      </c>
      <c r="H19" s="38" t="s">
        <v>102</v>
      </c>
      <c r="I19" s="38">
        <f>'MERCADO TUSD'!$U$16</f>
        <v>43889.742999999995</v>
      </c>
      <c r="J19" s="15"/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/>
      <c r="U19" s="31">
        <f>TRANSICAO!$U$19*CUSTOS!$R$3</f>
        <v>0</v>
      </c>
      <c r="V19" s="31">
        <f>TRANSICAO!$V$19*CUSTOS!$R$3</f>
        <v>0</v>
      </c>
      <c r="W19" s="31">
        <f>TRANSICAO!$W$19*CUSTOS!$R$3</f>
        <v>0</v>
      </c>
      <c r="X19" s="31">
        <f>TRANSICAO!$X$19*CUSTOS!$R$3</f>
        <v>0</v>
      </c>
      <c r="Y19" s="31">
        <f>TRANSICAO!$Y$19*CUSTOS!$R$3</f>
        <v>0</v>
      </c>
      <c r="Z19" s="31">
        <f>TRANSICAO!$Z$19*CUSTOS!$R$3</f>
        <v>0</v>
      </c>
      <c r="AA19" s="31">
        <f>TRANSICAO!$AA$19*CUSTOS!$R$3</f>
        <v>0</v>
      </c>
      <c r="AB19" s="31">
        <f>TRANSICAO!$AB$19*CUSTOS!$R$3</f>
        <v>0</v>
      </c>
      <c r="AC19" s="31">
        <f>TRANSICAO!$AC$19*CUSTOS!$R$3</f>
        <v>0</v>
      </c>
      <c r="AD19" s="31">
        <f>TRANSICAO!$AD$19*CUSTOS!$R$3</f>
        <v>0</v>
      </c>
      <c r="AE19" s="31">
        <v>0</v>
      </c>
      <c r="AF19" s="31">
        <v>0</v>
      </c>
      <c r="AG19" s="31"/>
      <c r="AH19" s="31">
        <v>13.187200000000001</v>
      </c>
      <c r="AI19" s="31">
        <v>13.187200000000001</v>
      </c>
      <c r="AJ19" s="31">
        <v>0</v>
      </c>
      <c r="AK19" s="31">
        <f t="shared" si="0"/>
        <v>0</v>
      </c>
      <c r="AL19" s="31"/>
      <c r="AM19" s="31"/>
      <c r="AP19" s="31">
        <v>1</v>
      </c>
    </row>
    <row r="20" spans="1:42" ht="11.25" customHeight="1" x14ac:dyDescent="0.25">
      <c r="A20" s="97"/>
      <c r="B20" s="97"/>
      <c r="C20" s="97"/>
      <c r="D20" s="97"/>
      <c r="E20" s="97"/>
      <c r="F20" s="97" t="s">
        <v>65</v>
      </c>
      <c r="G20" s="38" t="s">
        <v>106</v>
      </c>
      <c r="H20" s="38" t="s">
        <v>105</v>
      </c>
      <c r="I20" s="38">
        <f>'MERCADO TUSD'!$U$17</f>
        <v>28144</v>
      </c>
      <c r="J20" s="15"/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/>
      <c r="U20" s="31">
        <f>TRANSICAO!$U$20*CUSTOS!$R$3</f>
        <v>5.9452999999999996</v>
      </c>
      <c r="V20" s="31">
        <f>TRANSICAO!$V$20*CUSTOS!$R$3</f>
        <v>1.7891999999999999</v>
      </c>
      <c r="W20" s="31">
        <f>TRANSICAO!$W$20*CUSTOS!$R$3</f>
        <v>0.62280000000000002</v>
      </c>
      <c r="X20" s="31">
        <f>TRANSICAO!$X$20*CUSTOS!$R$3</f>
        <v>2.2100000000000002E-2</v>
      </c>
      <c r="Y20" s="31">
        <f>TRANSICAO!$Y$20*CUSTOS!$R$3</f>
        <v>0.60970000000000002</v>
      </c>
      <c r="Z20" s="31">
        <f>TRANSICAO!$Z$20*CUSTOS!$R$3</f>
        <v>0</v>
      </c>
      <c r="AA20" s="31">
        <f>TRANSICAO!$AA$20*CUSTOS!$R$3</f>
        <v>0</v>
      </c>
      <c r="AB20" s="31">
        <f>TRANSICAO!$AB$20*CUSTOS!$R$3</f>
        <v>0</v>
      </c>
      <c r="AC20" s="31">
        <f>TRANSICAO!$AC$20*CUSTOS!$R$3</f>
        <v>14.7859</v>
      </c>
      <c r="AD20" s="31">
        <f>TRANSICAO!$AD$20*CUSTOS!$R$3</f>
        <v>0</v>
      </c>
      <c r="AE20" s="31">
        <v>0</v>
      </c>
      <c r="AF20" s="31">
        <v>0</v>
      </c>
      <c r="AG20" s="31"/>
      <c r="AH20" s="31">
        <v>0</v>
      </c>
      <c r="AI20" s="31">
        <v>0</v>
      </c>
      <c r="AJ20" s="31">
        <v>0</v>
      </c>
      <c r="AK20" s="31">
        <f t="shared" si="0"/>
        <v>0</v>
      </c>
      <c r="AL20" s="31"/>
      <c r="AM20" s="31"/>
      <c r="AP20" s="31">
        <v>1</v>
      </c>
    </row>
    <row r="21" spans="1:42" ht="11.25" customHeight="1" x14ac:dyDescent="0.25">
      <c r="A21" s="97"/>
      <c r="B21" s="97"/>
      <c r="C21" s="97"/>
      <c r="D21" s="97"/>
      <c r="E21" s="97"/>
      <c r="F21" s="97"/>
      <c r="G21" s="38" t="s">
        <v>107</v>
      </c>
      <c r="H21" s="38" t="s">
        <v>105</v>
      </c>
      <c r="I21" s="38">
        <f>'MERCADO TUSD'!$U$18</f>
        <v>48228</v>
      </c>
      <c r="J21" s="15"/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/>
      <c r="U21" s="31">
        <f>TRANSICAO!$U$21*CUSTOS!$R$3</f>
        <v>3.7128000000000001</v>
      </c>
      <c r="V21" s="31">
        <f>TRANSICAO!$V$21*CUSTOS!$R$3</f>
        <v>1.1115999999999999</v>
      </c>
      <c r="W21" s="31">
        <f>TRANSICAO!$W$21*CUSTOS!$R$3</f>
        <v>0.35520000000000002</v>
      </c>
      <c r="X21" s="31">
        <f>TRANSICAO!$X$21*CUSTOS!$R$3</f>
        <v>1.26E-2</v>
      </c>
      <c r="Y21" s="31">
        <f>TRANSICAO!$Y$21*CUSTOS!$R$3</f>
        <v>0.19850000000000001</v>
      </c>
      <c r="Z21" s="31">
        <f>TRANSICAO!$Z$21*CUSTOS!$R$3</f>
        <v>0</v>
      </c>
      <c r="AA21" s="31">
        <f>TRANSICAO!$AA$21*CUSTOS!$R$3</f>
        <v>0</v>
      </c>
      <c r="AB21" s="31">
        <f>TRANSICAO!$AB$21*CUSTOS!$R$3</f>
        <v>0</v>
      </c>
      <c r="AC21" s="31">
        <f>TRANSICAO!$AC$21*CUSTOS!$R$3</f>
        <v>7.0712999999999999</v>
      </c>
      <c r="AD21" s="31">
        <f>TRANSICAO!$AD$21*CUSTOS!$R$3</f>
        <v>0</v>
      </c>
      <c r="AE21" s="31">
        <v>0</v>
      </c>
      <c r="AF21" s="31">
        <v>0</v>
      </c>
      <c r="AG21" s="31"/>
      <c r="AH21" s="31">
        <v>0</v>
      </c>
      <c r="AI21" s="31">
        <v>0</v>
      </c>
      <c r="AJ21" s="31">
        <v>0</v>
      </c>
      <c r="AK21" s="31">
        <f t="shared" si="0"/>
        <v>0</v>
      </c>
      <c r="AL21" s="31"/>
      <c r="AM21" s="31"/>
      <c r="AP21" s="31">
        <v>1</v>
      </c>
    </row>
    <row r="22" spans="1:42" ht="11.25" customHeight="1" x14ac:dyDescent="0.25">
      <c r="A22" s="97"/>
      <c r="B22" s="97"/>
      <c r="C22" s="97"/>
      <c r="D22" s="97"/>
      <c r="E22" s="97"/>
      <c r="F22" s="97"/>
      <c r="G22" s="38" t="s">
        <v>108</v>
      </c>
      <c r="H22" s="38" t="s">
        <v>102</v>
      </c>
      <c r="I22" s="38">
        <f>'MERCADO TUSD'!$U$19</f>
        <v>23597.869999999995</v>
      </c>
      <c r="J22" s="15"/>
      <c r="L22" s="31">
        <v>0</v>
      </c>
      <c r="M22" s="31">
        <v>0</v>
      </c>
      <c r="N22" s="31">
        <v>0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/>
      <c r="U22" s="31">
        <f>TRANSICAO!$U$22*CUSTOS!$R$3</f>
        <v>0</v>
      </c>
      <c r="V22" s="31">
        <f>TRANSICAO!$V$22*CUSTOS!$R$3</f>
        <v>0</v>
      </c>
      <c r="W22" s="31">
        <f>TRANSICAO!$W$22*CUSTOS!$R$3</f>
        <v>0</v>
      </c>
      <c r="X22" s="31">
        <f>TRANSICAO!$X$22*CUSTOS!$R$3</f>
        <v>0</v>
      </c>
      <c r="Y22" s="31">
        <f>TRANSICAO!$Y$22*CUSTOS!$R$3</f>
        <v>0</v>
      </c>
      <c r="Z22" s="31">
        <f>TRANSICAO!$Z$22*CUSTOS!$R$3</f>
        <v>0</v>
      </c>
      <c r="AA22" s="31">
        <f>TRANSICAO!$AA$22*CUSTOS!$R$3</f>
        <v>0</v>
      </c>
      <c r="AB22" s="31">
        <f>TRANSICAO!$AB$22*CUSTOS!$R$3</f>
        <v>0</v>
      </c>
      <c r="AC22" s="31">
        <f>TRANSICAO!$AC$22*CUSTOS!$R$3</f>
        <v>0</v>
      </c>
      <c r="AD22" s="31">
        <f>TRANSICAO!$AD$22*CUSTOS!$R$3</f>
        <v>0</v>
      </c>
      <c r="AE22" s="31">
        <v>0</v>
      </c>
      <c r="AF22" s="31">
        <v>0</v>
      </c>
      <c r="AG22" s="31"/>
      <c r="AH22" s="31">
        <v>13.187200000000001</v>
      </c>
      <c r="AI22" s="31">
        <v>13.187200000000001</v>
      </c>
      <c r="AJ22" s="31">
        <v>0</v>
      </c>
      <c r="AK22" s="31">
        <f t="shared" si="0"/>
        <v>0</v>
      </c>
      <c r="AL22" s="31"/>
      <c r="AM22" s="31"/>
      <c r="AP22" s="31">
        <v>1</v>
      </c>
    </row>
    <row r="23" spans="1:42" ht="11.25" customHeight="1" x14ac:dyDescent="0.25">
      <c r="A23" s="97"/>
      <c r="B23" s="37" t="s">
        <v>66</v>
      </c>
      <c r="C23" s="37" t="s">
        <v>25</v>
      </c>
      <c r="D23" s="37" t="s">
        <v>25</v>
      </c>
      <c r="E23" s="37" t="s">
        <v>25</v>
      </c>
      <c r="F23" s="37" t="s">
        <v>25</v>
      </c>
      <c r="G23" s="38" t="s">
        <v>9</v>
      </c>
      <c r="H23" s="38" t="s">
        <v>105</v>
      </c>
      <c r="I23" s="38">
        <f>'MERCADO TUSD'!$U$20</f>
        <v>225442</v>
      </c>
      <c r="J23" s="15"/>
      <c r="L23" s="31">
        <v>0</v>
      </c>
      <c r="M23" s="31">
        <v>5.6000000000000001E-2</v>
      </c>
      <c r="N23" s="31">
        <f>0.1406</f>
        <v>0.1406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/>
      <c r="U23" s="31">
        <f>TRANSICAO!$U$23*CUSTOS!$R$4</f>
        <v>0</v>
      </c>
      <c r="V23" s="31">
        <f>TRANSICAO!$V$23*CUSTOS!$R$4</f>
        <v>0</v>
      </c>
      <c r="W23" s="31">
        <f>TRANSICAO!$W$23*CUSTOS!$R$4</f>
        <v>0</v>
      </c>
      <c r="X23" s="31">
        <f>TRANSICAO!$X$23*CUSTOS!$R$4</f>
        <v>0</v>
      </c>
      <c r="Y23" s="31">
        <f>TRANSICAO!$Y$23*CUSTOS!$R$4</f>
        <v>0</v>
      </c>
      <c r="Z23" s="31">
        <f>TRANSICAO!$Z$23*CUSTOS!$R$4</f>
        <v>0</v>
      </c>
      <c r="AA23" s="31">
        <f>TRANSICAO!$AA$23*CUSTOS!$R$4</f>
        <v>0</v>
      </c>
      <c r="AB23" s="31">
        <f>TRANSICAO!$AB$23*CUSTOS!$R$4</f>
        <v>0</v>
      </c>
      <c r="AC23" s="31">
        <f>TRANSICAO!$AC$23*CUSTOS!$R$4</f>
        <v>14.005000000000001</v>
      </c>
      <c r="AD23" s="31">
        <f>TRANSICAO!$AD$23*CUSTOS!$R$4</f>
        <v>0</v>
      </c>
      <c r="AE23" s="31">
        <v>0</v>
      </c>
      <c r="AF23" s="31">
        <v>0</v>
      </c>
      <c r="AG23" s="31"/>
      <c r="AH23" s="31">
        <v>5.9999999999999995E-4</v>
      </c>
      <c r="AI23" s="31">
        <v>0</v>
      </c>
      <c r="AJ23" s="31">
        <v>0</v>
      </c>
      <c r="AK23" s="31">
        <f t="shared" si="0"/>
        <v>0</v>
      </c>
      <c r="AL23" s="31"/>
      <c r="AM23" s="31"/>
      <c r="AP23" s="31"/>
    </row>
    <row r="24" spans="1:42" ht="11.25" customHeight="1" x14ac:dyDescent="0.25">
      <c r="A24" s="97"/>
      <c r="B24" s="97" t="s">
        <v>42</v>
      </c>
      <c r="C24" s="97" t="s">
        <v>25</v>
      </c>
      <c r="D24" s="97" t="s">
        <v>25</v>
      </c>
      <c r="E24" s="97" t="s">
        <v>25</v>
      </c>
      <c r="F24" s="97" t="s">
        <v>25</v>
      </c>
      <c r="G24" s="38" t="s">
        <v>9</v>
      </c>
      <c r="H24" s="38" t="s">
        <v>105</v>
      </c>
      <c r="I24" s="38">
        <f>'MERCADO TUSD'!$U$21</f>
        <v>2907224</v>
      </c>
      <c r="J24" s="15"/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/>
      <c r="U24" s="31">
        <f>TRANSICAO!$U$24*CUSTOS!$R$3</f>
        <v>3.7128000000000001</v>
      </c>
      <c r="V24" s="31">
        <f>TRANSICAO!$V$24*CUSTOS!$R$3</f>
        <v>1.1115999999999999</v>
      </c>
      <c r="W24" s="31">
        <f>TRANSICAO!$W$24*CUSTOS!$R$3</f>
        <v>0.35520000000000002</v>
      </c>
      <c r="X24" s="31">
        <f>TRANSICAO!$X$24*CUSTOS!$R$3</f>
        <v>1.26E-2</v>
      </c>
      <c r="Y24" s="31">
        <f>TRANSICAO!$Y$24*CUSTOS!$R$3</f>
        <v>0.19850000000000001</v>
      </c>
      <c r="Z24" s="31">
        <f>TRANSICAO!$Z$24*CUSTOS!$R$3</f>
        <v>0</v>
      </c>
      <c r="AA24" s="31">
        <f>TRANSICAO!$AA$24*CUSTOS!$R$3</f>
        <v>0</v>
      </c>
      <c r="AB24" s="31">
        <f>TRANSICAO!$AB$24*CUSTOS!$R$3</f>
        <v>0</v>
      </c>
      <c r="AC24" s="31">
        <f>TRANSICAO!$AC$24*CUSTOS!$R$3</f>
        <v>19.698799999999999</v>
      </c>
      <c r="AD24" s="31">
        <f>TRANSICAO!$AD$24*CUSTOS!$R$3</f>
        <v>0</v>
      </c>
      <c r="AE24" s="31">
        <v>0</v>
      </c>
      <c r="AF24" s="31">
        <v>0</v>
      </c>
      <c r="AG24" s="31"/>
      <c r="AH24" s="31">
        <v>0</v>
      </c>
      <c r="AI24" s="31">
        <v>0</v>
      </c>
      <c r="AJ24" s="31">
        <v>0</v>
      </c>
      <c r="AK24" s="31">
        <f t="shared" si="0"/>
        <v>0</v>
      </c>
      <c r="AL24" s="31"/>
      <c r="AM24" s="31"/>
      <c r="AP24" s="31">
        <v>1</v>
      </c>
    </row>
    <row r="25" spans="1:42" ht="11.25" customHeight="1" x14ac:dyDescent="0.25">
      <c r="A25" s="97"/>
      <c r="B25" s="97"/>
      <c r="C25" s="97"/>
      <c r="D25" s="97"/>
      <c r="E25" s="97"/>
      <c r="F25" s="97"/>
      <c r="G25" s="38" t="s">
        <v>103</v>
      </c>
      <c r="H25" s="38" t="s">
        <v>102</v>
      </c>
      <c r="I25" s="38">
        <f>'MERCADO TUSD'!$U$22</f>
        <v>35988.722999999998</v>
      </c>
      <c r="J25" s="15"/>
      <c r="L25" s="31">
        <f>0.84</f>
        <v>0.84</v>
      </c>
      <c r="M25" s="31">
        <f>IF(AND((+$I$15+$I$16+$I$25+$I$26+$I$27+$I$28)&lt;&gt;0,SUMPRODUCT($I$5:$I$65,$AC$5:$AC$65,$AP$5:$AP$65)&lt;&gt;0),$M$70*SUMPRODUCT($I$13:$I$28,$AC$13:$AC$28,$AP$13:$AP$28)/SUMPRODUCT($I$5:$I$65,$AC$5:$AC$65,$AP$5:$AP$65)/(+$I$15+$I$16+$I$25+$I$26+$I$27+$I$28),0)</f>
        <v>0.67747213615890456</v>
      </c>
      <c r="N25" s="31">
        <f ca="1">(+M25+O25+R25+U25+V25+W25+X25+Y25+Z25+AA25+AC25+AH25+AI25+AJ25+AK25)*CUSTOS!$M$5</f>
        <v>12.53600115354021</v>
      </c>
      <c r="O25" s="31">
        <v>1</v>
      </c>
      <c r="P25" s="31">
        <v>1</v>
      </c>
      <c r="Q25" s="31">
        <f>0.84</f>
        <v>0.84</v>
      </c>
      <c r="R25" s="31">
        <v>1</v>
      </c>
      <c r="S25" s="31">
        <v>1</v>
      </c>
      <c r="T25" s="31"/>
      <c r="U25" s="31">
        <f>TRANSICAO!$U$25*CUSTOS!$R$3</f>
        <v>142.98480000000001</v>
      </c>
      <c r="V25" s="31">
        <f>TRANSICAO!$V$25*CUSTOS!$R$3</f>
        <v>43.029699999999998</v>
      </c>
      <c r="W25" s="31">
        <f>TRANSICAO!$W$25*CUSTOS!$R$3</f>
        <v>14.978300000000001</v>
      </c>
      <c r="X25" s="31">
        <f>TRANSICAO!$X$25*CUSTOS!$R$3</f>
        <v>0.5323</v>
      </c>
      <c r="Y25" s="31">
        <f>TRANSICAO!$Y$25*CUSTOS!$R$3</f>
        <v>14.664099999999999</v>
      </c>
      <c r="Z25" s="31">
        <f>TRANSICAO!$Z$25*CUSTOS!$R$3</f>
        <v>0</v>
      </c>
      <c r="AA25" s="31">
        <f>TRANSICAO!$AA$25*CUSTOS!$R$3</f>
        <v>0</v>
      </c>
      <c r="AB25" s="31">
        <f>TRANSICAO!$AB$25*CUSTOS!$R$3</f>
        <v>0</v>
      </c>
      <c r="AC25" s="31">
        <f>TRANSICAO!$AC$25*CUSTOS!$R$3</f>
        <v>990.61450000000002</v>
      </c>
      <c r="AD25" s="31">
        <f>TRANSICAO!$AD$25*CUSTOS!$R$3</f>
        <v>0</v>
      </c>
      <c r="AE25" s="31">
        <v>0</v>
      </c>
      <c r="AF25" s="31">
        <v>0</v>
      </c>
      <c r="AG25" s="31"/>
      <c r="AH25" s="31">
        <v>13.187200000000001</v>
      </c>
      <c r="AI25" s="31">
        <v>13.187200000000001</v>
      </c>
      <c r="AJ25" s="31">
        <f ca="1">$N$78</f>
        <v>8.8722716089310989</v>
      </c>
      <c r="AK25" s="31">
        <f t="shared" ca="1" si="0"/>
        <v>8.8722716089310989</v>
      </c>
      <c r="AL25" s="31"/>
      <c r="AM25" s="31"/>
      <c r="AP25" s="31">
        <v>1</v>
      </c>
    </row>
    <row r="26" spans="1:42" ht="11.25" customHeight="1" x14ac:dyDescent="0.25">
      <c r="A26" s="97"/>
      <c r="B26" s="97"/>
      <c r="C26" s="97"/>
      <c r="D26" s="97"/>
      <c r="E26" s="97"/>
      <c r="F26" s="97"/>
      <c r="G26" s="38" t="s">
        <v>104</v>
      </c>
      <c r="H26" s="38" t="s">
        <v>102</v>
      </c>
      <c r="I26" s="38">
        <f>'MERCADO TUSD'!$U$23</f>
        <v>544694.34699999995</v>
      </c>
      <c r="J26" s="15"/>
      <c r="L26" s="31">
        <f>0.84</f>
        <v>0.84</v>
      </c>
      <c r="M26" s="31">
        <f>IF(AND((+$I$15+$I$16+$I$25+$I$26+$I$27+$I$28)&lt;&gt;0,SUMPRODUCT($I$5:$I$65,$AC$5:$AC$65,$AP$5:$AP$65)&lt;&gt;0),$M$70*SUMPRODUCT($I$13:$I$28,$AC$13:$AC$28,$AP$13:$AP$28)/SUMPRODUCT($I$5:$I$65,$AC$5:$AC$65,$AP$5:$AP$65)/(+$I$15+$I$16+$I$25+$I$26+$I$27+$I$28),0)</f>
        <v>0.67747213615890456</v>
      </c>
      <c r="N26" s="31">
        <f ca="1">(+M26+O26+R26+U26+V26+W26+X26+Y26+Z26+AA26+AC26+AH26+AI26+AJ26+AK26)*CUSTOS!$M$5</f>
        <v>0.46796415354021109</v>
      </c>
      <c r="O26" s="31">
        <v>1</v>
      </c>
      <c r="P26" s="31">
        <v>1</v>
      </c>
      <c r="Q26" s="31">
        <f>0.84</f>
        <v>0.84</v>
      </c>
      <c r="R26" s="31">
        <v>1</v>
      </c>
      <c r="S26" s="31">
        <v>1</v>
      </c>
      <c r="T26" s="31"/>
      <c r="U26" s="31">
        <f>TRANSICAO!$U$26*CUSTOS!$R$3</f>
        <v>0</v>
      </c>
      <c r="V26" s="31">
        <f>TRANSICAO!$V$26*CUSTOS!$R$3</f>
        <v>0</v>
      </c>
      <c r="W26" s="31">
        <f>TRANSICAO!$W$26*CUSTOS!$R$3</f>
        <v>0</v>
      </c>
      <c r="X26" s="31">
        <f>TRANSICAO!$X$26*CUSTOS!$R$3</f>
        <v>0</v>
      </c>
      <c r="Y26" s="31">
        <f>TRANSICAO!$Y$26*CUSTOS!$R$3</f>
        <v>0</v>
      </c>
      <c r="Z26" s="31">
        <f>TRANSICAO!$Z$26*CUSTOS!$R$3</f>
        <v>0</v>
      </c>
      <c r="AA26" s="31">
        <f>TRANSICAO!$AA$26*CUSTOS!$R$3</f>
        <v>0</v>
      </c>
      <c r="AB26" s="31">
        <f>TRANSICAO!$AB$26*CUSTOS!$R$3</f>
        <v>0</v>
      </c>
      <c r="AC26" s="31">
        <f>TRANSICAO!$AC$26*CUSTOS!$R$3</f>
        <v>0</v>
      </c>
      <c r="AD26" s="31">
        <f>TRANSICAO!$AD$26*CUSTOS!$R$3</f>
        <v>0</v>
      </c>
      <c r="AE26" s="31">
        <v>0</v>
      </c>
      <c r="AF26" s="31">
        <v>0</v>
      </c>
      <c r="AG26" s="31"/>
      <c r="AH26" s="31">
        <v>13.187200000000001</v>
      </c>
      <c r="AI26" s="31">
        <v>13.187200000000001</v>
      </c>
      <c r="AJ26" s="31">
        <f ca="1">$N$78</f>
        <v>8.8722716089310989</v>
      </c>
      <c r="AK26" s="31">
        <f t="shared" ca="1" si="0"/>
        <v>8.8722716089310989</v>
      </c>
      <c r="AL26" s="31"/>
      <c r="AM26" s="31"/>
      <c r="AP26" s="31">
        <v>1</v>
      </c>
    </row>
    <row r="27" spans="1:42" ht="11.25" customHeight="1" x14ac:dyDescent="0.25">
      <c r="A27" s="97"/>
      <c r="B27" s="97"/>
      <c r="C27" s="97"/>
      <c r="D27" s="97"/>
      <c r="E27" s="97" t="s">
        <v>59</v>
      </c>
      <c r="F27" s="97" t="s">
        <v>25</v>
      </c>
      <c r="G27" s="38" t="s">
        <v>103</v>
      </c>
      <c r="H27" s="38" t="s">
        <v>102</v>
      </c>
      <c r="I27" s="38">
        <f>'MERCADO TUSD'!$U$24</f>
        <v>0</v>
      </c>
      <c r="J27" s="15"/>
      <c r="L27" s="31">
        <v>0</v>
      </c>
      <c r="M27" s="31">
        <f>IF(AND((+$I$15+$I$16+$I$25+$I$26+$I$27+$I$28)&lt;&gt;0,SUMPRODUCT($I$5:$I$65,$AC$5:$AC$65,$AP$5:$AP$65)&lt;&gt;0),$M$70*SUMPRODUCT($I$13:$I$28,$AC$13:$AC$28,$AP$13:$AP$28)/SUMPRODUCT($I$5:$I$65,$AC$5:$AC$65,$AP$5:$AP$65)/(+$I$15+$I$16+$I$25+$I$26+$I$27+$I$28),0)</f>
        <v>0.67747213615890456</v>
      </c>
      <c r="N27" s="31">
        <f ca="1">(+M27+O27+R27+U27+V27+W27+X27+Y27+Z27+AA27+AC27+AH27+AI27+AJ27+AK27)*CUSTOS!$M$5</f>
        <v>12.526001153540211</v>
      </c>
      <c r="O27" s="31">
        <v>1</v>
      </c>
      <c r="P27" s="31">
        <v>0</v>
      </c>
      <c r="Q27" s="31">
        <v>0</v>
      </c>
      <c r="R27" s="31">
        <v>0</v>
      </c>
      <c r="S27" s="31">
        <v>0</v>
      </c>
      <c r="T27" s="31"/>
      <c r="U27" s="31">
        <f>TRANSICAO!$U$27*CUSTOS!$R$3</f>
        <v>142.98480000000001</v>
      </c>
      <c r="V27" s="31">
        <f>TRANSICAO!$V$27*CUSTOS!$R$3</f>
        <v>43.029699999999998</v>
      </c>
      <c r="W27" s="31">
        <f>TRANSICAO!$W$27*CUSTOS!$R$3</f>
        <v>14.978300000000001</v>
      </c>
      <c r="X27" s="31">
        <f>TRANSICAO!$X$27*CUSTOS!$R$3</f>
        <v>0.5323</v>
      </c>
      <c r="Y27" s="31">
        <f>TRANSICAO!$Y$27*CUSTOS!$R$3</f>
        <v>14.664099999999999</v>
      </c>
      <c r="Z27" s="31">
        <f>TRANSICAO!$Z$27*CUSTOS!$R$3</f>
        <v>0</v>
      </c>
      <c r="AA27" s="31">
        <f>TRANSICAO!$AA$27*CUSTOS!$R$3</f>
        <v>0</v>
      </c>
      <c r="AB27" s="31">
        <f>TRANSICAO!$AB$27*CUSTOS!$R$3</f>
        <v>0</v>
      </c>
      <c r="AC27" s="31">
        <f>TRANSICAO!$AC$27*CUSTOS!$R$3</f>
        <v>990.61450000000002</v>
      </c>
      <c r="AD27" s="31">
        <f>TRANSICAO!$AD$27*CUSTOS!$R$3</f>
        <v>0</v>
      </c>
      <c r="AE27" s="31">
        <v>0</v>
      </c>
      <c r="AF27" s="31">
        <v>0</v>
      </c>
      <c r="AG27" s="31"/>
      <c r="AH27" s="31">
        <v>13.187200000000001</v>
      </c>
      <c r="AI27" s="31">
        <v>13.187200000000001</v>
      </c>
      <c r="AJ27" s="31">
        <f ca="1">$N$78</f>
        <v>8.8722716089310989</v>
      </c>
      <c r="AK27" s="31">
        <f t="shared" ca="1" si="0"/>
        <v>8.8722716089310989</v>
      </c>
      <c r="AL27" s="31"/>
      <c r="AM27" s="31"/>
      <c r="AP27" s="31">
        <v>1</v>
      </c>
    </row>
    <row r="28" spans="1:42" ht="11.25" customHeight="1" x14ac:dyDescent="0.25">
      <c r="A28" s="97"/>
      <c r="B28" s="97"/>
      <c r="C28" s="97"/>
      <c r="D28" s="97"/>
      <c r="E28" s="97"/>
      <c r="F28" s="97"/>
      <c r="G28" s="38" t="s">
        <v>104</v>
      </c>
      <c r="H28" s="38" t="s">
        <v>102</v>
      </c>
      <c r="I28" s="38">
        <f>'MERCADO TUSD'!$U$25</f>
        <v>1015.3970000000002</v>
      </c>
      <c r="J28" s="15"/>
      <c r="L28" s="31">
        <v>0</v>
      </c>
      <c r="M28" s="31">
        <f>IF(AND((+$I$15+$I$16+$I$25+$I$26+$I$27+$I$28)&lt;&gt;0,SUMPRODUCT($I$5:$I$65,$AC$5:$AC$65,$AP$5:$AP$65)&lt;&gt;0),$M$70*SUMPRODUCT($I$13:$I$28,$AC$13:$AC$28,$AP$13:$AP$28)/SUMPRODUCT($I$5:$I$65,$AC$5:$AC$65,$AP$5:$AP$65)/(+$I$15+$I$16+$I$25+$I$26+$I$27+$I$28),0)</f>
        <v>0.67747213615890456</v>
      </c>
      <c r="N28" s="31">
        <f ca="1">(+M28+O28+R28+U28+V28+W28+X28+Y28+Z28+AA28+AC28+AH28+AI28+AJ28+AK28)*CUSTOS!$M$5</f>
        <v>0.45796415354021108</v>
      </c>
      <c r="O28" s="31">
        <v>1</v>
      </c>
      <c r="P28" s="31">
        <v>0</v>
      </c>
      <c r="Q28" s="31">
        <v>0</v>
      </c>
      <c r="R28" s="31">
        <v>0</v>
      </c>
      <c r="S28" s="31">
        <v>0</v>
      </c>
      <c r="T28" s="31"/>
      <c r="U28" s="31">
        <f>TRANSICAO!$U$28*CUSTOS!$R$3</f>
        <v>0</v>
      </c>
      <c r="V28" s="31">
        <f>TRANSICAO!$V$28*CUSTOS!$R$3</f>
        <v>0</v>
      </c>
      <c r="W28" s="31">
        <f>TRANSICAO!$W$28*CUSTOS!$R$3</f>
        <v>0</v>
      </c>
      <c r="X28" s="31">
        <f>TRANSICAO!$X$28*CUSTOS!$R$3</f>
        <v>0</v>
      </c>
      <c r="Y28" s="31">
        <f>TRANSICAO!$Y$28*CUSTOS!$R$3</f>
        <v>0</v>
      </c>
      <c r="Z28" s="31">
        <f>TRANSICAO!$Z$28*CUSTOS!$R$3</f>
        <v>0</v>
      </c>
      <c r="AA28" s="31">
        <f>TRANSICAO!$AA$28*CUSTOS!$R$3</f>
        <v>0</v>
      </c>
      <c r="AB28" s="31">
        <f>TRANSICAO!$AB$28*CUSTOS!$R$3</f>
        <v>0</v>
      </c>
      <c r="AC28" s="31">
        <f>TRANSICAO!$AC$28*CUSTOS!$R$3</f>
        <v>0</v>
      </c>
      <c r="AD28" s="31">
        <f>TRANSICAO!$AD$28*CUSTOS!$R$3</f>
        <v>0</v>
      </c>
      <c r="AE28" s="31">
        <v>0</v>
      </c>
      <c r="AF28" s="31">
        <v>0</v>
      </c>
      <c r="AG28" s="31"/>
      <c r="AH28" s="31">
        <v>13.187200000000001</v>
      </c>
      <c r="AI28" s="31">
        <v>13.187200000000001</v>
      </c>
      <c r="AJ28" s="31">
        <f ca="1">$N$78</f>
        <v>8.8722716089310989</v>
      </c>
      <c r="AK28" s="31">
        <f t="shared" ca="1" si="0"/>
        <v>8.8722716089310989</v>
      </c>
      <c r="AL28" s="31"/>
      <c r="AM28" s="31"/>
      <c r="AP28" s="31">
        <v>1</v>
      </c>
    </row>
    <row r="29" spans="1:42" ht="11.25" customHeight="1" x14ac:dyDescent="0.25">
      <c r="A29" s="97" t="s">
        <v>110</v>
      </c>
      <c r="B29" s="97" t="s">
        <v>66</v>
      </c>
      <c r="C29" s="97" t="s">
        <v>25</v>
      </c>
      <c r="D29" s="97" t="s">
        <v>25</v>
      </c>
      <c r="E29" s="37" t="s">
        <v>111</v>
      </c>
      <c r="F29" s="37" t="s">
        <v>25</v>
      </c>
      <c r="G29" s="38" t="s">
        <v>9</v>
      </c>
      <c r="H29" s="38" t="s">
        <v>105</v>
      </c>
      <c r="I29" s="38">
        <f>'MERCADO TUSD'!$U$26+0.00000001</f>
        <v>1E-8</v>
      </c>
      <c r="J29" s="15"/>
      <c r="L29" s="31">
        <v>0</v>
      </c>
      <c r="M29" s="31">
        <v>2.35E-2</v>
      </c>
      <c r="N29" s="31">
        <f>0.0589</f>
        <v>5.8900000000000001E-2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/>
      <c r="U29" s="31">
        <f>TRANSICAO!$U$29*CUSTOS!$T$4</f>
        <v>0</v>
      </c>
      <c r="V29" s="31">
        <f>TRANSICAO!$V$29*CUSTOS!$T$4</f>
        <v>0</v>
      </c>
      <c r="W29" s="31">
        <f>TRANSICAO!$W$29*CUSTOS!$T$4</f>
        <v>0</v>
      </c>
      <c r="X29" s="31">
        <f>TRANSICAO!$X$29*CUSTOS!$T$4</f>
        <v>0</v>
      </c>
      <c r="Y29" s="31">
        <f>TRANSICAO!$Y$29*CUSTOS!$T$4</f>
        <v>0</v>
      </c>
      <c r="Z29" s="31">
        <f>TRANSICAO!$Z$29*CUSTOS!$T$4</f>
        <v>0</v>
      </c>
      <c r="AA29" s="31">
        <f>TRANSICAO!$AA$29*CUSTOS!$T$4</f>
        <v>0</v>
      </c>
      <c r="AB29" s="31">
        <f>TRANSICAO!$AB$29*CUSTOS!$T$4</f>
        <v>0</v>
      </c>
      <c r="AC29" s="31">
        <f>TRANSICAO!$AC$29*CUSTOS!$T$4</f>
        <v>5.8705999999999996</v>
      </c>
      <c r="AD29" s="31">
        <f>TRANSICAO!$AD$29*CUSTOS!$T$4</f>
        <v>0</v>
      </c>
      <c r="AE29" s="31">
        <v>0</v>
      </c>
      <c r="AF29" s="31">
        <v>0</v>
      </c>
      <c r="AG29" s="31"/>
      <c r="AH29" s="31">
        <v>0</v>
      </c>
      <c r="AI29" s="31">
        <v>0</v>
      </c>
      <c r="AJ29" s="31">
        <v>0</v>
      </c>
      <c r="AK29" s="31">
        <f t="shared" si="0"/>
        <v>0</v>
      </c>
      <c r="AL29" s="31"/>
      <c r="AM29" s="31"/>
      <c r="AP29" s="31"/>
    </row>
    <row r="30" spans="1:42" ht="11.25" customHeight="1" x14ac:dyDescent="0.25">
      <c r="A30" s="97"/>
      <c r="B30" s="97"/>
      <c r="C30" s="97"/>
      <c r="D30" s="97"/>
      <c r="E30" s="37" t="s">
        <v>112</v>
      </c>
      <c r="F30" s="37" t="s">
        <v>25</v>
      </c>
      <c r="G30" s="38" t="s">
        <v>9</v>
      </c>
      <c r="H30" s="38" t="s">
        <v>105</v>
      </c>
      <c r="I30" s="38">
        <f>'MERCADO TUSD'!$U$27+0.00000001</f>
        <v>1E-8</v>
      </c>
      <c r="J30" s="15"/>
      <c r="L30" s="31">
        <v>0</v>
      </c>
      <c r="M30" s="31">
        <v>2.35E-2</v>
      </c>
      <c r="N30" s="31">
        <f>0.0589</f>
        <v>5.8900000000000001E-2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/>
      <c r="U30" s="31">
        <f>TRANSICAO!$U$30*CUSTOS!$T$4</f>
        <v>0</v>
      </c>
      <c r="V30" s="31">
        <f>TRANSICAO!$V$30*CUSTOS!$T$4</f>
        <v>0</v>
      </c>
      <c r="W30" s="31">
        <f>TRANSICAO!$W$30*CUSTOS!$T$4</f>
        <v>0</v>
      </c>
      <c r="X30" s="31">
        <f>TRANSICAO!$X$30*CUSTOS!$T$4</f>
        <v>0</v>
      </c>
      <c r="Y30" s="31">
        <f>TRANSICAO!$Y$30*CUSTOS!$T$4</f>
        <v>0</v>
      </c>
      <c r="Z30" s="31">
        <f>TRANSICAO!$Z$30*CUSTOS!$T$4</f>
        <v>0</v>
      </c>
      <c r="AA30" s="31">
        <f>TRANSICAO!$AA$30*CUSTOS!$T$4</f>
        <v>0</v>
      </c>
      <c r="AB30" s="31">
        <f>TRANSICAO!$AB$30*CUSTOS!$T$4</f>
        <v>0</v>
      </c>
      <c r="AC30" s="31">
        <f>TRANSICAO!$AC$30*CUSTOS!$T$4</f>
        <v>16.4755</v>
      </c>
      <c r="AD30" s="31">
        <f>TRANSICAO!$AD$30*CUSTOS!$T$4</f>
        <v>0</v>
      </c>
      <c r="AE30" s="31">
        <v>0</v>
      </c>
      <c r="AF30" s="31">
        <v>0</v>
      </c>
      <c r="AG30" s="31"/>
      <c r="AH30" s="31">
        <v>0</v>
      </c>
      <c r="AI30" s="31">
        <v>0</v>
      </c>
      <c r="AJ30" s="31">
        <v>0</v>
      </c>
      <c r="AK30" s="31">
        <f t="shared" si="0"/>
        <v>0</v>
      </c>
      <c r="AL30" s="31"/>
      <c r="AM30" s="31"/>
      <c r="AP30" s="31"/>
    </row>
    <row r="31" spans="1:42" ht="11.25" customHeight="1" x14ac:dyDescent="0.25">
      <c r="A31" s="97" t="s">
        <v>22</v>
      </c>
      <c r="B31" s="97" t="s">
        <v>33</v>
      </c>
      <c r="C31" s="97" t="s">
        <v>24</v>
      </c>
      <c r="D31" s="97" t="s">
        <v>24</v>
      </c>
      <c r="E31" s="97" t="s">
        <v>25</v>
      </c>
      <c r="F31" s="97" t="s">
        <v>25</v>
      </c>
      <c r="G31" s="38" t="s">
        <v>103</v>
      </c>
      <c r="H31" s="38" t="s">
        <v>102</v>
      </c>
      <c r="I31" s="38">
        <f>'MERCADO TUSD'!$U$28</f>
        <v>107.383</v>
      </c>
      <c r="J31" s="15"/>
      <c r="L31" s="31">
        <f>1</f>
        <v>1</v>
      </c>
      <c r="M31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</f>
        <v>0.86112668687503213</v>
      </c>
      <c r="N31" s="31">
        <f ca="1">(+M31+O31+R31+U31+V31+W31+X31+Y31+Z31+AA31+AC31+AH31+AI31+AJ31+AK31)*CUSTOS!$M$5</f>
        <v>8.5624091247074787</v>
      </c>
      <c r="O31" s="31">
        <v>1</v>
      </c>
      <c r="P31" s="31">
        <v>1</v>
      </c>
      <c r="Q31" s="31">
        <f>1</f>
        <v>1</v>
      </c>
      <c r="R31" s="31">
        <v>1</v>
      </c>
      <c r="S31" s="31">
        <v>1</v>
      </c>
      <c r="T31" s="31"/>
      <c r="U31" s="31">
        <f>TRANSICAO!$U$31*CUSTOS!$T$3</f>
        <v>84.888499999999993</v>
      </c>
      <c r="V31" s="31">
        <f>TRANSICAO!$V$31*CUSTOS!$T$3</f>
        <v>25.417000000000002</v>
      </c>
      <c r="W31" s="31">
        <f>TRANSICAO!$W$31*CUSTOS!$T$3</f>
        <v>8.5181000000000004</v>
      </c>
      <c r="X31" s="31">
        <f>TRANSICAO!$X$31*CUSTOS!$T$3</f>
        <v>0.30270000000000002</v>
      </c>
      <c r="Y31" s="31">
        <f>TRANSICAO!$Y$31*CUSTOS!$T$3</f>
        <v>6.6608000000000001</v>
      </c>
      <c r="Z31" s="31">
        <f>TRANSICAO!$Z$31*CUSTOS!$T$3</f>
        <v>0</v>
      </c>
      <c r="AA31" s="31">
        <f>TRANSICAO!$AA$31*CUSTOS!$T$3</f>
        <v>0</v>
      </c>
      <c r="AB31" s="31">
        <f>TRANSICAO!$AB$31*CUSTOS!$T$3</f>
        <v>0</v>
      </c>
      <c r="AC31" s="31">
        <f>TRANSICAO!$AC$31*CUSTOS!$T$3</f>
        <v>646.74459999999999</v>
      </c>
      <c r="AD31" s="31">
        <f>TRANSICAO!$AD$31*CUSTOS!$T$3</f>
        <v>0</v>
      </c>
      <c r="AE31" s="31">
        <v>0</v>
      </c>
      <c r="AF31" s="31">
        <v>0</v>
      </c>
      <c r="AG31" s="31"/>
      <c r="AH31" s="31">
        <v>29.807600000000001</v>
      </c>
      <c r="AI31" s="31">
        <v>29.807600000000001</v>
      </c>
      <c r="AJ31" s="31">
        <f ca="1">$N$79</f>
        <v>10.616442891936494</v>
      </c>
      <c r="AK31" s="31">
        <f t="shared" ca="1" si="0"/>
        <v>10.616442891936494</v>
      </c>
      <c r="AL31" s="31"/>
      <c r="AM31" s="31"/>
      <c r="AP31" s="31">
        <v>1</v>
      </c>
    </row>
    <row r="32" spans="1:42" ht="11.25" customHeight="1" x14ac:dyDescent="0.25">
      <c r="A32" s="97"/>
      <c r="B32" s="97"/>
      <c r="C32" s="97"/>
      <c r="D32" s="97"/>
      <c r="E32" s="97"/>
      <c r="F32" s="97"/>
      <c r="G32" s="38" t="s">
        <v>113</v>
      </c>
      <c r="H32" s="38" t="s">
        <v>102</v>
      </c>
      <c r="I32" s="38">
        <f>'MERCADO TUSD'!$U$29</f>
        <v>73.695000000000007</v>
      </c>
      <c r="J32" s="15"/>
      <c r="L32" s="31">
        <f>1</f>
        <v>1</v>
      </c>
      <c r="M32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</f>
        <v>0.86112668687503213</v>
      </c>
      <c r="N32" s="31">
        <f ca="1">(+M32+O32+R32+U32+V32+W32+X32+Y32+Z32+AA32+AC32+AH32+AI32+AJ32+AK32)*CUSTOS!$M$5</f>
        <v>5.4722811247074787</v>
      </c>
      <c r="O32" s="31">
        <v>1</v>
      </c>
      <c r="P32" s="31">
        <v>1</v>
      </c>
      <c r="Q32" s="31">
        <f>1</f>
        <v>1</v>
      </c>
      <c r="R32" s="31">
        <v>1</v>
      </c>
      <c r="S32" s="31">
        <v>1</v>
      </c>
      <c r="T32" s="31"/>
      <c r="U32" s="31">
        <f>TRANSICAO!$U$32*CUSTOS!$T$3</f>
        <v>50.933100000000003</v>
      </c>
      <c r="V32" s="31">
        <f>TRANSICAO!$V$32*CUSTOS!$T$3</f>
        <v>15.2502</v>
      </c>
      <c r="W32" s="31">
        <f>TRANSICAO!$W$32*CUSTOS!$T$3</f>
        <v>5.1108000000000002</v>
      </c>
      <c r="X32" s="31">
        <f>TRANSICAO!$X$32*CUSTOS!$T$3</f>
        <v>0.18160000000000001</v>
      </c>
      <c r="Y32" s="31">
        <f>TRANSICAO!$Y$32*CUSTOS!$T$3</f>
        <v>3.9965000000000002</v>
      </c>
      <c r="Z32" s="31">
        <f>TRANSICAO!$Z$32*CUSTOS!$T$3</f>
        <v>0</v>
      </c>
      <c r="AA32" s="31">
        <f>TRANSICAO!$AA$32*CUSTOS!$T$3</f>
        <v>0</v>
      </c>
      <c r="AB32" s="31">
        <f>TRANSICAO!$AB$32*CUSTOS!$T$3</f>
        <v>0</v>
      </c>
      <c r="AC32" s="31">
        <f>TRANSICAO!$AC$32*CUSTOS!$T$3</f>
        <v>388.04669999999999</v>
      </c>
      <c r="AD32" s="31">
        <f>TRANSICAO!$AD$32*CUSTOS!$T$3</f>
        <v>0</v>
      </c>
      <c r="AE32" s="31">
        <v>0</v>
      </c>
      <c r="AF32" s="31">
        <v>0</v>
      </c>
      <c r="AG32" s="31"/>
      <c r="AH32" s="31">
        <v>29.807600000000001</v>
      </c>
      <c r="AI32" s="31">
        <v>29.807600000000001</v>
      </c>
      <c r="AJ32" s="31">
        <f ca="1">$N$79</f>
        <v>10.616442891936494</v>
      </c>
      <c r="AK32" s="31">
        <f t="shared" ca="1" si="0"/>
        <v>10.616442891936494</v>
      </c>
      <c r="AL32" s="31"/>
      <c r="AM32" s="31"/>
      <c r="AP32" s="31">
        <v>1</v>
      </c>
    </row>
    <row r="33" spans="1:42" ht="11.25" customHeight="1" x14ac:dyDescent="0.25">
      <c r="A33" s="97"/>
      <c r="B33" s="97"/>
      <c r="C33" s="97"/>
      <c r="D33" s="97"/>
      <c r="E33" s="97"/>
      <c r="F33" s="97"/>
      <c r="G33" s="38" t="s">
        <v>104</v>
      </c>
      <c r="H33" s="38" t="s">
        <v>102</v>
      </c>
      <c r="I33" s="38">
        <f>'MERCADO TUSD'!$U$30</f>
        <v>1358.0870000000002</v>
      </c>
      <c r="J33" s="15"/>
      <c r="L33" s="31">
        <f>1</f>
        <v>1</v>
      </c>
      <c r="M33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</f>
        <v>0.86112668687503213</v>
      </c>
      <c r="N33" s="31">
        <f ca="1">(+M33+O33+R33+U33+V33+W33+X33+Y33+Z33+AA33+AC33+AH33+AI33+AJ33+AK33)*CUSTOS!$M$5</f>
        <v>2.3821551247074804</v>
      </c>
      <c r="O33" s="31">
        <v>1</v>
      </c>
      <c r="P33" s="31">
        <v>1</v>
      </c>
      <c r="Q33" s="31">
        <f>1</f>
        <v>1</v>
      </c>
      <c r="R33" s="31">
        <v>1</v>
      </c>
      <c r="S33" s="31">
        <v>1</v>
      </c>
      <c r="T33" s="31"/>
      <c r="U33" s="31">
        <f>TRANSICAO!$U$33*CUSTOS!$T$3</f>
        <v>16.977699999999999</v>
      </c>
      <c r="V33" s="31">
        <f>TRANSICAO!$V$33*CUSTOS!$T$3</f>
        <v>5.0834000000000001</v>
      </c>
      <c r="W33" s="31">
        <f>TRANSICAO!$W$33*CUSTOS!$T$3</f>
        <v>1.7036</v>
      </c>
      <c r="X33" s="31">
        <f>TRANSICAO!$X$33*CUSTOS!$T$3</f>
        <v>6.0499999999999998E-2</v>
      </c>
      <c r="Y33" s="31">
        <f>TRANSICAO!$Y$33*CUSTOS!$T$3</f>
        <v>1.3322000000000001</v>
      </c>
      <c r="Z33" s="31">
        <f>TRANSICAO!$Z$33*CUSTOS!$T$3</f>
        <v>0</v>
      </c>
      <c r="AA33" s="31">
        <f>TRANSICAO!$AA$33*CUSTOS!$T$3</f>
        <v>0</v>
      </c>
      <c r="AB33" s="31">
        <f>TRANSICAO!$AB$33*CUSTOS!$T$3</f>
        <v>0</v>
      </c>
      <c r="AC33" s="31">
        <f>TRANSICAO!$AC$33*CUSTOS!$T$3</f>
        <v>129.34889999999999</v>
      </c>
      <c r="AD33" s="31">
        <f>TRANSICAO!$AD$33*CUSTOS!$T$3</f>
        <v>0</v>
      </c>
      <c r="AE33" s="31">
        <v>0</v>
      </c>
      <c r="AF33" s="31">
        <v>0</v>
      </c>
      <c r="AG33" s="31"/>
      <c r="AH33" s="31">
        <v>29.807600000000001</v>
      </c>
      <c r="AI33" s="31">
        <v>29.807600000000001</v>
      </c>
      <c r="AJ33" s="31">
        <f ca="1">$N$79</f>
        <v>10.616442891936494</v>
      </c>
      <c r="AK33" s="31">
        <f t="shared" ca="1" si="0"/>
        <v>10.616442891936494</v>
      </c>
      <c r="AL33" s="31"/>
      <c r="AM33" s="31"/>
      <c r="AP33" s="31">
        <v>1</v>
      </c>
    </row>
    <row r="34" spans="1:42" ht="11.25" customHeight="1" x14ac:dyDescent="0.25">
      <c r="A34" s="97"/>
      <c r="B34" s="97" t="s">
        <v>23</v>
      </c>
      <c r="C34" s="97" t="s">
        <v>24</v>
      </c>
      <c r="D34" s="37" t="s">
        <v>24</v>
      </c>
      <c r="E34" s="37" t="s">
        <v>25</v>
      </c>
      <c r="F34" s="37" t="s">
        <v>25</v>
      </c>
      <c r="G34" s="38" t="s">
        <v>108</v>
      </c>
      <c r="H34" s="38" t="s">
        <v>102</v>
      </c>
      <c r="I34" s="38">
        <f>'MERCADO TUSD'!$U$31</f>
        <v>1398369.1870000002</v>
      </c>
      <c r="J34" s="15"/>
      <c r="L34" s="31">
        <f>1</f>
        <v>1</v>
      </c>
      <c r="M34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</f>
        <v>0.86112668687503213</v>
      </c>
      <c r="N34" s="31">
        <f ca="1">(+M34+O34+R34+U34+V34+W34+X34+Y34+Z34+AA34+AC34+AH34+AI34+AJ34+AK34)*CUSTOS!$M$5</f>
        <v>3.2512541247074802</v>
      </c>
      <c r="O34" s="31">
        <v>1</v>
      </c>
      <c r="P34" s="31">
        <v>1</v>
      </c>
      <c r="Q34" s="31">
        <f>1</f>
        <v>1</v>
      </c>
      <c r="R34" s="31">
        <v>1</v>
      </c>
      <c r="S34" s="31">
        <v>1</v>
      </c>
      <c r="T34" s="31"/>
      <c r="U34" s="31">
        <f>TRANSICAO!$U$34*CUSTOS!$T$3</f>
        <v>26.527699999999999</v>
      </c>
      <c r="V34" s="31">
        <f>TRANSICAO!$V$34*CUSTOS!$T$3</f>
        <v>7.9428000000000001</v>
      </c>
      <c r="W34" s="31">
        <f>TRANSICAO!$W$34*CUSTOS!$T$3</f>
        <v>2.6619000000000002</v>
      </c>
      <c r="X34" s="31">
        <f>TRANSICAO!$X$34*CUSTOS!$T$3</f>
        <v>9.4600000000000004E-2</v>
      </c>
      <c r="Y34" s="31">
        <f>TRANSICAO!$Y$34*CUSTOS!$T$3</f>
        <v>2.0815000000000001</v>
      </c>
      <c r="Z34" s="31">
        <f>TRANSICAO!$Z$34*CUSTOS!$T$3</f>
        <v>0</v>
      </c>
      <c r="AA34" s="31">
        <f>TRANSICAO!$AA$34*CUSTOS!$T$3</f>
        <v>0</v>
      </c>
      <c r="AB34" s="31">
        <f>TRANSICAO!$AB$34*CUSTOS!$T$3</f>
        <v>0</v>
      </c>
      <c r="AC34" s="31">
        <f>TRANSICAO!$AC$34*CUSTOS!$T$3</f>
        <v>202.10769999999999</v>
      </c>
      <c r="AD34" s="31">
        <f>TRANSICAO!$AD$34*CUSTOS!$T$3</f>
        <v>0</v>
      </c>
      <c r="AE34" s="31">
        <v>0</v>
      </c>
      <c r="AF34" s="31">
        <v>0</v>
      </c>
      <c r="AG34" s="31"/>
      <c r="AH34" s="31">
        <v>29.807600000000001</v>
      </c>
      <c r="AI34" s="31">
        <v>29.807600000000001</v>
      </c>
      <c r="AJ34" s="31">
        <f ca="1">$N$79</f>
        <v>10.616442891936494</v>
      </c>
      <c r="AK34" s="31">
        <f t="shared" ca="1" si="0"/>
        <v>10.616442891936494</v>
      </c>
      <c r="AL34" s="31"/>
      <c r="AM34" s="31"/>
      <c r="AP34" s="31">
        <v>1</v>
      </c>
    </row>
    <row r="35" spans="1:42" ht="11.25" customHeight="1" x14ac:dyDescent="0.25">
      <c r="A35" s="97"/>
      <c r="B35" s="97"/>
      <c r="C35" s="97"/>
      <c r="D35" s="37" t="s">
        <v>29</v>
      </c>
      <c r="E35" s="37" t="s">
        <v>25</v>
      </c>
      <c r="F35" s="37" t="s">
        <v>25</v>
      </c>
      <c r="G35" s="38" t="s">
        <v>108</v>
      </c>
      <c r="H35" s="38" t="s">
        <v>102</v>
      </c>
      <c r="I35" s="38">
        <f>'MERCADO TUSD'!$U$32</f>
        <v>161060.71900000001</v>
      </c>
      <c r="J35" s="15"/>
      <c r="L35" s="31">
        <v>0</v>
      </c>
      <c r="M35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CUSTOS!$M$24)</f>
        <v>0.86112668687503213</v>
      </c>
      <c r="N35" s="31">
        <f ca="1">(+M35+O35+R35+U35+V35+W35+X35+Y35+Z35+AA35+AC35+AH35+AI35+AJ35+AK35)*CUSTOS!$M$5</f>
        <v>3.2412541247074804</v>
      </c>
      <c r="O35" s="31">
        <f>1 - CUSTOS!$M$24</f>
        <v>1</v>
      </c>
      <c r="P35" s="31">
        <v>0</v>
      </c>
      <c r="Q35" s="31">
        <v>0</v>
      </c>
      <c r="R35" s="31">
        <v>0</v>
      </c>
      <c r="S35" s="31">
        <f>1 - CUSTOS!$M$24</f>
        <v>1</v>
      </c>
      <c r="T35" s="31"/>
      <c r="U35" s="31">
        <f>TRANSICAO!$U$35*CUSTOS!$T$3</f>
        <v>26.527699999999999</v>
      </c>
      <c r="V35" s="31">
        <f>TRANSICAO!$V$35*CUSTOS!$T$3</f>
        <v>7.9428000000000001</v>
      </c>
      <c r="W35" s="31">
        <f>TRANSICAO!$W$35*CUSTOS!$T$3</f>
        <v>2.6619000000000002</v>
      </c>
      <c r="X35" s="31">
        <f>TRANSICAO!$X$35*CUSTOS!$T$3</f>
        <v>9.4600000000000004E-2</v>
      </c>
      <c r="Y35" s="31">
        <f>TRANSICAO!$Y$35*CUSTOS!$T$3</f>
        <v>2.0815000000000001</v>
      </c>
      <c r="Z35" s="31">
        <f>TRANSICAO!$Z$35*CUSTOS!$T$3</f>
        <v>0</v>
      </c>
      <c r="AA35" s="31">
        <f>TRANSICAO!$AA$35*CUSTOS!$T$3</f>
        <v>0</v>
      </c>
      <c r="AB35" s="31">
        <f>TRANSICAO!$AB$35*CUSTOS!$T$3</f>
        <v>0</v>
      </c>
      <c r="AC35" s="31">
        <f>TRANSICAO!$AC$35*CUSTOS!$T$3</f>
        <v>202.10769999999999</v>
      </c>
      <c r="AD35" s="31">
        <f>TRANSICAO!$AD$35*CUSTOS!$T$3</f>
        <v>0</v>
      </c>
      <c r="AE35" s="31">
        <v>0</v>
      </c>
      <c r="AF35" s="31">
        <v>0</v>
      </c>
      <c r="AG35" s="31"/>
      <c r="AH35" s="31">
        <f>(1 - CUSTOS!$M$24)*29.8076</f>
        <v>29.807600000000001</v>
      </c>
      <c r="AI35" s="31">
        <f>(1 - CUSTOS!$M$24)*29.8076</f>
        <v>29.807600000000001</v>
      </c>
      <c r="AJ35" s="31">
        <f ca="1">$N$79*(1-CUSTOS!$M$24)</f>
        <v>10.616442891936494</v>
      </c>
      <c r="AK35" s="31">
        <f t="shared" ca="1" si="0"/>
        <v>10.616442891936494</v>
      </c>
      <c r="AL35" s="31"/>
      <c r="AM35" s="31"/>
      <c r="AP35" s="31">
        <f>IF((1 - CUSTOS!$M$24)&lt;&gt;0,1/(1 - CUSTOS!$M$24),1)</f>
        <v>1</v>
      </c>
    </row>
    <row r="36" spans="1:42" ht="11.25" customHeight="1" x14ac:dyDescent="0.25">
      <c r="A36" s="97"/>
      <c r="B36" s="97"/>
      <c r="C36" s="97"/>
      <c r="D36" s="37" t="s">
        <v>30</v>
      </c>
      <c r="E36" s="37" t="s">
        <v>25</v>
      </c>
      <c r="F36" s="37" t="s">
        <v>25</v>
      </c>
      <c r="G36" s="38" t="s">
        <v>108</v>
      </c>
      <c r="H36" s="38" t="s">
        <v>102</v>
      </c>
      <c r="I36" s="38">
        <f>'MERCADO TUSD'!$U$33</f>
        <v>267147.82800000004</v>
      </c>
      <c r="J36" s="15"/>
      <c r="L36" s="31">
        <v>0</v>
      </c>
      <c r="M36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CUSTOS!$M$25)</f>
        <v>0.86112668687503213</v>
      </c>
      <c r="N36" s="31">
        <f ca="1">(+M36+O36+R36+U36+V36+W36+X36+Y36+Z36+AA36+AC36+AH36+AI36+AJ36+AK36)*CUSTOS!$M$5</f>
        <v>3.2412541247074804</v>
      </c>
      <c r="O36" s="31">
        <f>1 - CUSTOS!$M$25</f>
        <v>1</v>
      </c>
      <c r="P36" s="31">
        <v>0</v>
      </c>
      <c r="Q36" s="31">
        <v>0</v>
      </c>
      <c r="R36" s="31">
        <v>0</v>
      </c>
      <c r="S36" s="31">
        <f>1 - CUSTOS!$M$25</f>
        <v>1</v>
      </c>
      <c r="T36" s="31"/>
      <c r="U36" s="31">
        <f>TRANSICAO!$U$36*CUSTOS!$T$3</f>
        <v>26.527699999999999</v>
      </c>
      <c r="V36" s="31">
        <f>TRANSICAO!$V$36*CUSTOS!$T$3</f>
        <v>7.9428000000000001</v>
      </c>
      <c r="W36" s="31">
        <f>TRANSICAO!$W$36*CUSTOS!$T$3</f>
        <v>2.6619000000000002</v>
      </c>
      <c r="X36" s="31">
        <f>TRANSICAO!$X$36*CUSTOS!$T$3</f>
        <v>9.4600000000000004E-2</v>
      </c>
      <c r="Y36" s="31">
        <f>TRANSICAO!$Y$36*CUSTOS!$T$3</f>
        <v>2.0815000000000001</v>
      </c>
      <c r="Z36" s="31">
        <f>TRANSICAO!$Z$36*CUSTOS!$T$3</f>
        <v>0</v>
      </c>
      <c r="AA36" s="31">
        <f>TRANSICAO!$AA$36*CUSTOS!$T$3</f>
        <v>0</v>
      </c>
      <c r="AB36" s="31">
        <f>TRANSICAO!$AB$36*CUSTOS!$T$3</f>
        <v>0</v>
      </c>
      <c r="AC36" s="31">
        <f>TRANSICAO!$AC$36*CUSTOS!$T$3</f>
        <v>202.10769999999999</v>
      </c>
      <c r="AD36" s="31">
        <f>TRANSICAO!$AD$36*CUSTOS!$T$3</f>
        <v>0</v>
      </c>
      <c r="AE36" s="31">
        <v>0</v>
      </c>
      <c r="AF36" s="31">
        <v>0</v>
      </c>
      <c r="AG36" s="31"/>
      <c r="AH36" s="31">
        <f>(1 - CUSTOS!$M$25)*29.8076</f>
        <v>29.807600000000001</v>
      </c>
      <c r="AI36" s="31">
        <f>(1 - CUSTOS!$M$25)*29.8076</f>
        <v>29.807600000000001</v>
      </c>
      <c r="AJ36" s="31">
        <f ca="1">$N$79*(1-CUSTOS!$M$25)</f>
        <v>10.616442891936494</v>
      </c>
      <c r="AK36" s="31">
        <f t="shared" ca="1" si="0"/>
        <v>10.616442891936494</v>
      </c>
      <c r="AL36" s="31"/>
      <c r="AM36" s="31"/>
      <c r="AP36" s="31">
        <f>IF((1 - CUSTOS!$M$25)&lt;&gt;0,1/(1 - CUSTOS!$M$25),1)</f>
        <v>1</v>
      </c>
    </row>
    <row r="37" spans="1:42" ht="11.25" customHeight="1" x14ac:dyDescent="0.25">
      <c r="A37" s="97"/>
      <c r="B37" s="97"/>
      <c r="C37" s="97"/>
      <c r="D37" s="37" t="s">
        <v>31</v>
      </c>
      <c r="E37" s="37" t="s">
        <v>25</v>
      </c>
      <c r="F37" s="37" t="s">
        <v>25</v>
      </c>
      <c r="G37" s="38" t="s">
        <v>108</v>
      </c>
      <c r="H37" s="38" t="s">
        <v>102</v>
      </c>
      <c r="I37" s="38">
        <f>'MERCADO TUSD'!$U$34</f>
        <v>140786.959</v>
      </c>
      <c r="J37" s="15"/>
      <c r="L37" s="31">
        <v>0</v>
      </c>
      <c r="M37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CUSTOS!$M$26)</f>
        <v>0.86112668687503213</v>
      </c>
      <c r="N37" s="31">
        <f ca="1">(+M37+O37+R37+U37+V37+W37+X37+Y37+Z37+AA37+AC37+AH37+AI37+AJ37+AK37)*CUSTOS!$M$5</f>
        <v>3.2412541247074804</v>
      </c>
      <c r="O37" s="31">
        <f>1 - CUSTOS!$M$26</f>
        <v>1</v>
      </c>
      <c r="P37" s="31">
        <v>0</v>
      </c>
      <c r="Q37" s="31">
        <v>0</v>
      </c>
      <c r="R37" s="31">
        <v>0</v>
      </c>
      <c r="S37" s="31">
        <f>1 - CUSTOS!$M$26</f>
        <v>1</v>
      </c>
      <c r="T37" s="31"/>
      <c r="U37" s="31">
        <f>TRANSICAO!$U$37*CUSTOS!$T$3</f>
        <v>26.527699999999999</v>
      </c>
      <c r="V37" s="31">
        <f>TRANSICAO!$V$37*CUSTOS!$T$3</f>
        <v>7.9428000000000001</v>
      </c>
      <c r="W37" s="31">
        <f>TRANSICAO!$W$37*CUSTOS!$T$3</f>
        <v>2.6619000000000002</v>
      </c>
      <c r="X37" s="31">
        <f>TRANSICAO!$X$37*CUSTOS!$T$3</f>
        <v>9.4600000000000004E-2</v>
      </c>
      <c r="Y37" s="31">
        <f>TRANSICAO!$Y$37*CUSTOS!$T$3</f>
        <v>2.0815000000000001</v>
      </c>
      <c r="Z37" s="31">
        <f>TRANSICAO!$Z$37*CUSTOS!$T$3</f>
        <v>0</v>
      </c>
      <c r="AA37" s="31">
        <f>TRANSICAO!$AA$37*CUSTOS!$T$3</f>
        <v>0</v>
      </c>
      <c r="AB37" s="31">
        <f>TRANSICAO!$AB$37*CUSTOS!$T$3</f>
        <v>0</v>
      </c>
      <c r="AC37" s="31">
        <f>TRANSICAO!$AC$37*CUSTOS!$T$3</f>
        <v>202.10769999999999</v>
      </c>
      <c r="AD37" s="31">
        <f>TRANSICAO!$AD$37*CUSTOS!$T$3</f>
        <v>0</v>
      </c>
      <c r="AE37" s="31">
        <v>0</v>
      </c>
      <c r="AF37" s="31">
        <v>0</v>
      </c>
      <c r="AG37" s="31"/>
      <c r="AH37" s="31">
        <f>(1 - CUSTOS!$M$26)*29.8076</f>
        <v>29.807600000000001</v>
      </c>
      <c r="AI37" s="31">
        <f>(1 - CUSTOS!$M$26)*29.8076</f>
        <v>29.807600000000001</v>
      </c>
      <c r="AJ37" s="31">
        <f ca="1">$N$79*(1-CUSTOS!$M$26)</f>
        <v>10.616442891936494</v>
      </c>
      <c r="AK37" s="31">
        <f t="shared" ref="AK37:AK65" ca="1" si="1">AJ37</f>
        <v>10.616442891936494</v>
      </c>
      <c r="AL37" s="31"/>
      <c r="AM37" s="31"/>
      <c r="AP37" s="31">
        <f>IF((1 - CUSTOS!$M$26)&lt;&gt;0,1/(1 - CUSTOS!$M$26),1)</f>
        <v>1</v>
      </c>
    </row>
    <row r="38" spans="1:42" ht="11.25" customHeight="1" x14ac:dyDescent="0.25">
      <c r="A38" s="97"/>
      <c r="B38" s="97"/>
      <c r="C38" s="97"/>
      <c r="D38" s="37" t="s">
        <v>32</v>
      </c>
      <c r="E38" s="37" t="s">
        <v>25</v>
      </c>
      <c r="F38" s="37" t="s">
        <v>25</v>
      </c>
      <c r="G38" s="38" t="s">
        <v>108</v>
      </c>
      <c r="H38" s="38" t="s">
        <v>102</v>
      </c>
      <c r="I38" s="38">
        <f>'MERCADO TUSD'!$U$35</f>
        <v>39430.460000000006</v>
      </c>
      <c r="J38" s="15"/>
      <c r="L38" s="31">
        <v>0</v>
      </c>
      <c r="M38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CUSTOS!$M$27)</f>
        <v>0.86112668687503213</v>
      </c>
      <c r="N38" s="31">
        <f ca="1">(+M38+O38+R38+U38+V38+W38+X38+Y38+Z38+AA38+AC38+AH38+AI38+AJ38+AK38)*CUSTOS!$M$5</f>
        <v>3.2412541247074804</v>
      </c>
      <c r="O38" s="31">
        <f>1 - CUSTOS!$M$27</f>
        <v>1</v>
      </c>
      <c r="P38" s="31">
        <v>0</v>
      </c>
      <c r="Q38" s="31">
        <v>0</v>
      </c>
      <c r="R38" s="31">
        <v>0</v>
      </c>
      <c r="S38" s="31">
        <f>1 - CUSTOS!$M$27</f>
        <v>1</v>
      </c>
      <c r="T38" s="31"/>
      <c r="U38" s="31">
        <f>TRANSICAO!$U$38*CUSTOS!$T$3</f>
        <v>26.527699999999999</v>
      </c>
      <c r="V38" s="31">
        <f>TRANSICAO!$V$38*CUSTOS!$T$3</f>
        <v>7.9428000000000001</v>
      </c>
      <c r="W38" s="31">
        <f>TRANSICAO!$W$38*CUSTOS!$T$3</f>
        <v>2.6619000000000002</v>
      </c>
      <c r="X38" s="31">
        <f>TRANSICAO!$X$38*CUSTOS!$T$3</f>
        <v>9.4600000000000004E-2</v>
      </c>
      <c r="Y38" s="31">
        <f>TRANSICAO!$Y$38*CUSTOS!$T$3</f>
        <v>2.0815000000000001</v>
      </c>
      <c r="Z38" s="31">
        <f>TRANSICAO!$Z$38*CUSTOS!$T$3</f>
        <v>0</v>
      </c>
      <c r="AA38" s="31">
        <f>TRANSICAO!$AA$38*CUSTOS!$T$3</f>
        <v>0</v>
      </c>
      <c r="AB38" s="31">
        <f>TRANSICAO!$AB$38*CUSTOS!$T$3</f>
        <v>0</v>
      </c>
      <c r="AC38" s="31">
        <f>TRANSICAO!$AC$38*CUSTOS!$T$3</f>
        <v>202.10769999999999</v>
      </c>
      <c r="AD38" s="31">
        <f>TRANSICAO!$AD$38*CUSTOS!$T$3</f>
        <v>0</v>
      </c>
      <c r="AE38" s="31">
        <v>0</v>
      </c>
      <c r="AF38" s="31">
        <v>0</v>
      </c>
      <c r="AG38" s="31"/>
      <c r="AH38" s="31">
        <f>(1 - CUSTOS!$M$27)*29.8076</f>
        <v>29.807600000000001</v>
      </c>
      <c r="AI38" s="31">
        <f>(1 - CUSTOS!$M$27)*29.8076</f>
        <v>29.807600000000001</v>
      </c>
      <c r="AJ38" s="31">
        <f ca="1">$N$79*(1-CUSTOS!$M$27)</f>
        <v>10.616442891936494</v>
      </c>
      <c r="AK38" s="31">
        <f t="shared" ca="1" si="1"/>
        <v>10.616442891936494</v>
      </c>
      <c r="AL38" s="31"/>
      <c r="AM38" s="31"/>
      <c r="AP38" s="31">
        <f>IF((1 - CUSTOS!$M$27)&lt;&gt;0,1/(1 - CUSTOS!$M$27),1)</f>
        <v>1</v>
      </c>
    </row>
    <row r="39" spans="1:42" ht="11.25" customHeight="1" x14ac:dyDescent="0.25">
      <c r="A39" s="97"/>
      <c r="B39" s="97" t="s">
        <v>115</v>
      </c>
      <c r="C39" s="97" t="s">
        <v>24</v>
      </c>
      <c r="D39" s="37" t="s">
        <v>24</v>
      </c>
      <c r="E39" s="37" t="s">
        <v>25</v>
      </c>
      <c r="F39" s="37" t="s">
        <v>25</v>
      </c>
      <c r="G39" s="38" t="s">
        <v>108</v>
      </c>
      <c r="H39" s="38" t="s">
        <v>102</v>
      </c>
      <c r="I39" s="38">
        <f>'MERCADO TUSD'!$U$36</f>
        <v>0</v>
      </c>
      <c r="J39" s="15"/>
      <c r="L39" s="31">
        <f>1</f>
        <v>1</v>
      </c>
      <c r="M39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</f>
        <v>0.86112668687503213</v>
      </c>
      <c r="N39" s="31">
        <f ca="1">(+M39+O39+R39+U39+V39+W39+X39+Y39+Z39+AA39+AC39+AH39+AI39+AJ39+AK39)*CUSTOS!$M$5</f>
        <v>3.2512541247074802</v>
      </c>
      <c r="O39" s="31">
        <v>1</v>
      </c>
      <c r="P39" s="31">
        <v>1</v>
      </c>
      <c r="Q39" s="31">
        <f>1</f>
        <v>1</v>
      </c>
      <c r="R39" s="31">
        <v>1</v>
      </c>
      <c r="S39" s="31">
        <v>1</v>
      </c>
      <c r="T39" s="31"/>
      <c r="U39" s="31">
        <f>TRANSICAO!$U$39*CUSTOS!$T$3</f>
        <v>26.527699999999999</v>
      </c>
      <c r="V39" s="31">
        <f>TRANSICAO!$V$39*CUSTOS!$T$3</f>
        <v>7.9428000000000001</v>
      </c>
      <c r="W39" s="31">
        <f>TRANSICAO!$W$39*CUSTOS!$T$3</f>
        <v>2.6619000000000002</v>
      </c>
      <c r="X39" s="31">
        <f>TRANSICAO!$X$39*CUSTOS!$T$3</f>
        <v>9.4600000000000004E-2</v>
      </c>
      <c r="Y39" s="31">
        <f>TRANSICAO!$Y$39*CUSTOS!$T$3</f>
        <v>2.0815000000000001</v>
      </c>
      <c r="Z39" s="31">
        <f>TRANSICAO!$Z$39*CUSTOS!$T$3</f>
        <v>0</v>
      </c>
      <c r="AA39" s="31">
        <f>TRANSICAO!$AA$39*CUSTOS!$T$3</f>
        <v>0</v>
      </c>
      <c r="AB39" s="31">
        <f>TRANSICAO!$AB$39*CUSTOS!$T$3</f>
        <v>0</v>
      </c>
      <c r="AC39" s="31">
        <f>TRANSICAO!$AC$39*CUSTOS!$T$3</f>
        <v>202.10769999999999</v>
      </c>
      <c r="AD39" s="31">
        <f>TRANSICAO!$AD$39*CUSTOS!$T$3</f>
        <v>0</v>
      </c>
      <c r="AE39" s="31">
        <v>0</v>
      </c>
      <c r="AF39" s="31">
        <v>0</v>
      </c>
      <c r="AG39" s="31"/>
      <c r="AH39" s="31">
        <v>29.807600000000001</v>
      </c>
      <c r="AI39" s="31">
        <v>29.807600000000001</v>
      </c>
      <c r="AJ39" s="31">
        <f ca="1">$N$79</f>
        <v>10.616442891936494</v>
      </c>
      <c r="AK39" s="31">
        <f t="shared" ca="1" si="1"/>
        <v>10.616442891936494</v>
      </c>
      <c r="AL39" s="31"/>
      <c r="AM39" s="31"/>
      <c r="AP39" s="31">
        <v>1</v>
      </c>
    </row>
    <row r="40" spans="1:42" ht="11.25" customHeight="1" x14ac:dyDescent="0.25">
      <c r="A40" s="97"/>
      <c r="B40" s="97"/>
      <c r="C40" s="97"/>
      <c r="D40" s="37" t="s">
        <v>29</v>
      </c>
      <c r="E40" s="37" t="s">
        <v>25</v>
      </c>
      <c r="F40" s="37" t="s">
        <v>25</v>
      </c>
      <c r="G40" s="38" t="s">
        <v>108</v>
      </c>
      <c r="H40" s="38" t="s">
        <v>102</v>
      </c>
      <c r="I40" s="38">
        <f>'MERCADO TUSD'!$U$37</f>
        <v>0</v>
      </c>
      <c r="J40" s="15"/>
      <c r="L40" s="31">
        <v>0</v>
      </c>
      <c r="M40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CUSTOS!$M$24)</f>
        <v>0.86112668687503213</v>
      </c>
      <c r="N40" s="31">
        <f ca="1">(+M40+O40+R40+U40+V40+W40+X40+Y40+Z40+AA40+AC40+AH40+AI40+AJ40+AK40)*CUSTOS!$M$5</f>
        <v>3.2412541247074804</v>
      </c>
      <c r="O40" s="31">
        <f>1 - CUSTOS!$M$24</f>
        <v>1</v>
      </c>
      <c r="P40" s="31">
        <v>0</v>
      </c>
      <c r="Q40" s="31">
        <v>0</v>
      </c>
      <c r="R40" s="31">
        <v>0</v>
      </c>
      <c r="S40" s="31">
        <f>1 - CUSTOS!$M$24</f>
        <v>1</v>
      </c>
      <c r="T40" s="31"/>
      <c r="U40" s="31">
        <f>TRANSICAO!$U$40*CUSTOS!$T$3</f>
        <v>26.527699999999999</v>
      </c>
      <c r="V40" s="31">
        <f>TRANSICAO!$V$40*CUSTOS!$T$3</f>
        <v>7.9428000000000001</v>
      </c>
      <c r="W40" s="31">
        <f>TRANSICAO!$W$40*CUSTOS!$T$3</f>
        <v>2.6619000000000002</v>
      </c>
      <c r="X40" s="31">
        <f>TRANSICAO!$X$40*CUSTOS!$T$3</f>
        <v>9.4600000000000004E-2</v>
      </c>
      <c r="Y40" s="31">
        <f>TRANSICAO!$Y$40*CUSTOS!$T$3</f>
        <v>2.0815000000000001</v>
      </c>
      <c r="Z40" s="31">
        <f>TRANSICAO!$Z$40*CUSTOS!$T$3</f>
        <v>0</v>
      </c>
      <c r="AA40" s="31">
        <f>TRANSICAO!$AA$40*CUSTOS!$T$3</f>
        <v>0</v>
      </c>
      <c r="AB40" s="31">
        <f>TRANSICAO!$AB$40*CUSTOS!$T$3</f>
        <v>0</v>
      </c>
      <c r="AC40" s="31">
        <f>TRANSICAO!$AC$40*CUSTOS!$T$3</f>
        <v>202.10769999999999</v>
      </c>
      <c r="AD40" s="31">
        <f>TRANSICAO!$AD$40*CUSTOS!$T$3</f>
        <v>0</v>
      </c>
      <c r="AE40" s="31">
        <v>0</v>
      </c>
      <c r="AF40" s="31">
        <v>0</v>
      </c>
      <c r="AG40" s="31"/>
      <c r="AH40" s="31">
        <f>(1 - CUSTOS!$M$24)*29.8076</f>
        <v>29.807600000000001</v>
      </c>
      <c r="AI40" s="31">
        <f>(1 - CUSTOS!$M$24)*29.8076</f>
        <v>29.807600000000001</v>
      </c>
      <c r="AJ40" s="31">
        <f ca="1">$N$79*(1-CUSTOS!$M$24)</f>
        <v>10.616442891936494</v>
      </c>
      <c r="AK40" s="31">
        <f t="shared" ca="1" si="1"/>
        <v>10.616442891936494</v>
      </c>
      <c r="AL40" s="31"/>
      <c r="AM40" s="31"/>
      <c r="AP40" s="31">
        <f>IF((1 - CUSTOS!$M$24)&lt;&gt;0,1/(1 - CUSTOS!$M$24),1)</f>
        <v>1</v>
      </c>
    </row>
    <row r="41" spans="1:42" ht="11.25" customHeight="1" x14ac:dyDescent="0.25">
      <c r="A41" s="97"/>
      <c r="B41" s="97"/>
      <c r="C41" s="97"/>
      <c r="D41" s="37" t="s">
        <v>30</v>
      </c>
      <c r="E41" s="37" t="s">
        <v>25</v>
      </c>
      <c r="F41" s="37" t="s">
        <v>25</v>
      </c>
      <c r="G41" s="38" t="s">
        <v>108</v>
      </c>
      <c r="H41" s="38" t="s">
        <v>102</v>
      </c>
      <c r="I41" s="38">
        <f>'MERCADO TUSD'!$U$38</f>
        <v>0</v>
      </c>
      <c r="J41" s="15"/>
      <c r="L41" s="31">
        <v>0</v>
      </c>
      <c r="M41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CUSTOS!$M$25)</f>
        <v>0.86112668687503213</v>
      </c>
      <c r="N41" s="31">
        <f ca="1">(+M41+O41+R41+U41+V41+W41+X41+Y41+Z41+AA41+AC41+AH41+AI41+AJ41+AK41)*CUSTOS!$M$5</f>
        <v>3.2412541247074804</v>
      </c>
      <c r="O41" s="31">
        <f>1 - CUSTOS!$M$25</f>
        <v>1</v>
      </c>
      <c r="P41" s="31">
        <v>0</v>
      </c>
      <c r="Q41" s="31">
        <v>0</v>
      </c>
      <c r="R41" s="31">
        <v>0</v>
      </c>
      <c r="S41" s="31">
        <f>1 - CUSTOS!$M$25</f>
        <v>1</v>
      </c>
      <c r="T41" s="31"/>
      <c r="U41" s="31">
        <f>TRANSICAO!$U$41*CUSTOS!$T$3</f>
        <v>26.527699999999999</v>
      </c>
      <c r="V41" s="31">
        <f>TRANSICAO!$V$41*CUSTOS!$T$3</f>
        <v>7.9428000000000001</v>
      </c>
      <c r="W41" s="31">
        <f>TRANSICAO!$W$41*CUSTOS!$T$3</f>
        <v>2.6619000000000002</v>
      </c>
      <c r="X41" s="31">
        <f>TRANSICAO!$X$41*CUSTOS!$T$3</f>
        <v>9.4600000000000004E-2</v>
      </c>
      <c r="Y41" s="31">
        <f>TRANSICAO!$Y$41*CUSTOS!$T$3</f>
        <v>2.0815000000000001</v>
      </c>
      <c r="Z41" s="31">
        <f>TRANSICAO!$Z$41*CUSTOS!$T$3</f>
        <v>0</v>
      </c>
      <c r="AA41" s="31">
        <f>TRANSICAO!$AA$41*CUSTOS!$T$3</f>
        <v>0</v>
      </c>
      <c r="AB41" s="31">
        <f>TRANSICAO!$AB$41*CUSTOS!$T$3</f>
        <v>0</v>
      </c>
      <c r="AC41" s="31">
        <f>TRANSICAO!$AC$41*CUSTOS!$T$3</f>
        <v>202.10769999999999</v>
      </c>
      <c r="AD41" s="31">
        <f>TRANSICAO!$AD$41*CUSTOS!$T$3</f>
        <v>0</v>
      </c>
      <c r="AE41" s="31">
        <v>0</v>
      </c>
      <c r="AF41" s="31">
        <v>0</v>
      </c>
      <c r="AG41" s="31"/>
      <c r="AH41" s="31">
        <f>(1 - CUSTOS!$M$25)*29.8076</f>
        <v>29.807600000000001</v>
      </c>
      <c r="AI41" s="31">
        <f>(1 - CUSTOS!$M$25)*29.8076</f>
        <v>29.807600000000001</v>
      </c>
      <c r="AJ41" s="31">
        <f ca="1">$N$79*(1-CUSTOS!$M$25)</f>
        <v>10.616442891936494</v>
      </c>
      <c r="AK41" s="31">
        <f t="shared" ca="1" si="1"/>
        <v>10.616442891936494</v>
      </c>
      <c r="AL41" s="31"/>
      <c r="AM41" s="31"/>
      <c r="AP41" s="31">
        <f>IF((1 - CUSTOS!$M$25)&lt;&gt;0,1/(1 - CUSTOS!$M$25),1)</f>
        <v>1</v>
      </c>
    </row>
    <row r="42" spans="1:42" ht="11.25" customHeight="1" x14ac:dyDescent="0.25">
      <c r="A42" s="97"/>
      <c r="B42" s="97"/>
      <c r="C42" s="97"/>
      <c r="D42" s="37" t="s">
        <v>31</v>
      </c>
      <c r="E42" s="37" t="s">
        <v>25</v>
      </c>
      <c r="F42" s="37" t="s">
        <v>25</v>
      </c>
      <c r="G42" s="38" t="s">
        <v>108</v>
      </c>
      <c r="H42" s="38" t="s">
        <v>102</v>
      </c>
      <c r="I42" s="38">
        <f>'MERCADO TUSD'!$U$39</f>
        <v>0</v>
      </c>
      <c r="J42" s="15"/>
      <c r="L42" s="31">
        <v>0</v>
      </c>
      <c r="M42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CUSTOS!$M$26)</f>
        <v>0.86112668687503213</v>
      </c>
      <c r="N42" s="31">
        <f ca="1">(+M42+O42+R42+U42+V42+W42+X42+Y42+Z42+AA42+AC42+AH42+AI42+AJ42+AK42)*CUSTOS!$M$5</f>
        <v>3.2412541247074804</v>
      </c>
      <c r="O42" s="31">
        <f>1 - CUSTOS!$M$26</f>
        <v>1</v>
      </c>
      <c r="P42" s="31">
        <v>0</v>
      </c>
      <c r="Q42" s="31">
        <v>0</v>
      </c>
      <c r="R42" s="31">
        <v>0</v>
      </c>
      <c r="S42" s="31">
        <f>1 - CUSTOS!$M$26</f>
        <v>1</v>
      </c>
      <c r="T42" s="31"/>
      <c r="U42" s="31">
        <f>TRANSICAO!$U$42*CUSTOS!$T$3</f>
        <v>26.527699999999999</v>
      </c>
      <c r="V42" s="31">
        <f>TRANSICAO!$V$42*CUSTOS!$T$3</f>
        <v>7.9428000000000001</v>
      </c>
      <c r="W42" s="31">
        <f>TRANSICAO!$W$42*CUSTOS!$T$3</f>
        <v>2.6619000000000002</v>
      </c>
      <c r="X42" s="31">
        <f>TRANSICAO!$X$42*CUSTOS!$T$3</f>
        <v>9.4600000000000004E-2</v>
      </c>
      <c r="Y42" s="31">
        <f>TRANSICAO!$Y$42*CUSTOS!$T$3</f>
        <v>2.0815000000000001</v>
      </c>
      <c r="Z42" s="31">
        <f>TRANSICAO!$Z$42*CUSTOS!$T$3</f>
        <v>0</v>
      </c>
      <c r="AA42" s="31">
        <f>TRANSICAO!$AA$42*CUSTOS!$T$3</f>
        <v>0</v>
      </c>
      <c r="AB42" s="31">
        <f>TRANSICAO!$AB$42*CUSTOS!$T$3</f>
        <v>0</v>
      </c>
      <c r="AC42" s="31">
        <f>TRANSICAO!$AC$42*CUSTOS!$T$3</f>
        <v>202.10769999999999</v>
      </c>
      <c r="AD42" s="31">
        <f>TRANSICAO!$AD$42*CUSTOS!$T$3</f>
        <v>0</v>
      </c>
      <c r="AE42" s="31">
        <v>0</v>
      </c>
      <c r="AF42" s="31">
        <v>0</v>
      </c>
      <c r="AG42" s="31"/>
      <c r="AH42" s="31">
        <f>(1 - CUSTOS!$M$26)*29.8076</f>
        <v>29.807600000000001</v>
      </c>
      <c r="AI42" s="31">
        <f>(1 - CUSTOS!$M$26)*29.8076</f>
        <v>29.807600000000001</v>
      </c>
      <c r="AJ42" s="31">
        <f ca="1">$N$79*(1-CUSTOS!$M$26)</f>
        <v>10.616442891936494</v>
      </c>
      <c r="AK42" s="31">
        <f t="shared" ca="1" si="1"/>
        <v>10.616442891936494</v>
      </c>
      <c r="AL42" s="31"/>
      <c r="AM42" s="31"/>
      <c r="AP42" s="31">
        <f>IF((1 - CUSTOS!$M$26)&lt;&gt;0,1/(1 - CUSTOS!$M$26),1)</f>
        <v>1</v>
      </c>
    </row>
    <row r="43" spans="1:42" ht="11.25" customHeight="1" x14ac:dyDescent="0.25">
      <c r="A43" s="97"/>
      <c r="B43" s="97"/>
      <c r="C43" s="97"/>
      <c r="D43" s="37" t="s">
        <v>32</v>
      </c>
      <c r="E43" s="37" t="s">
        <v>25</v>
      </c>
      <c r="F43" s="37" t="s">
        <v>25</v>
      </c>
      <c r="G43" s="38" t="s">
        <v>108</v>
      </c>
      <c r="H43" s="38" t="s">
        <v>102</v>
      </c>
      <c r="I43" s="38">
        <f>'MERCADO TUSD'!$U$40</f>
        <v>0</v>
      </c>
      <c r="J43" s="15"/>
      <c r="L43" s="31">
        <v>0</v>
      </c>
      <c r="M43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CUSTOS!$M$27)</f>
        <v>0.86112668687503213</v>
      </c>
      <c r="N43" s="31">
        <f ca="1">(+M43+O43+R43+U43+V43+W43+X43+Y43+Z43+AA43+AC43+AH43+AI43+AJ43+AK43)*CUSTOS!$M$5</f>
        <v>3.2412541247074804</v>
      </c>
      <c r="O43" s="31">
        <f>1 - CUSTOS!$M$27</f>
        <v>1</v>
      </c>
      <c r="P43" s="31">
        <v>0</v>
      </c>
      <c r="Q43" s="31">
        <v>0</v>
      </c>
      <c r="R43" s="31">
        <v>0</v>
      </c>
      <c r="S43" s="31">
        <f>1 - CUSTOS!$M$27</f>
        <v>1</v>
      </c>
      <c r="T43" s="31"/>
      <c r="U43" s="31">
        <f>TRANSICAO!$U$43*CUSTOS!$T$3</f>
        <v>26.527699999999999</v>
      </c>
      <c r="V43" s="31">
        <f>TRANSICAO!$V$43*CUSTOS!$T$3</f>
        <v>7.9428000000000001</v>
      </c>
      <c r="W43" s="31">
        <f>TRANSICAO!$W$43*CUSTOS!$T$3</f>
        <v>2.6619000000000002</v>
      </c>
      <c r="X43" s="31">
        <f>TRANSICAO!$X$43*CUSTOS!$T$3</f>
        <v>9.4600000000000004E-2</v>
      </c>
      <c r="Y43" s="31">
        <f>TRANSICAO!$Y$43*CUSTOS!$T$3</f>
        <v>2.0815000000000001</v>
      </c>
      <c r="Z43" s="31">
        <f>TRANSICAO!$Z$43*CUSTOS!$T$3</f>
        <v>0</v>
      </c>
      <c r="AA43" s="31">
        <f>TRANSICAO!$AA$43*CUSTOS!$T$3</f>
        <v>0</v>
      </c>
      <c r="AB43" s="31">
        <f>TRANSICAO!$AB$43*CUSTOS!$T$3</f>
        <v>0</v>
      </c>
      <c r="AC43" s="31">
        <f>TRANSICAO!$AC$43*CUSTOS!$T$3</f>
        <v>202.10769999999999</v>
      </c>
      <c r="AD43" s="31">
        <f>TRANSICAO!$AD$43*CUSTOS!$T$3</f>
        <v>0</v>
      </c>
      <c r="AE43" s="31">
        <v>0</v>
      </c>
      <c r="AF43" s="31">
        <v>0</v>
      </c>
      <c r="AG43" s="31"/>
      <c r="AH43" s="31">
        <f>(1 - CUSTOS!$M$27)*29.8076</f>
        <v>29.807600000000001</v>
      </c>
      <c r="AI43" s="31">
        <f>(1 - CUSTOS!$M$27)*29.8076</f>
        <v>29.807600000000001</v>
      </c>
      <c r="AJ43" s="31">
        <f ca="1">$N$79*(1-CUSTOS!$M$27)</f>
        <v>10.616442891936494</v>
      </c>
      <c r="AK43" s="31">
        <f t="shared" ca="1" si="1"/>
        <v>10.616442891936494</v>
      </c>
      <c r="AL43" s="31"/>
      <c r="AM43" s="31"/>
      <c r="AP43" s="31">
        <f>IF((1 - CUSTOS!$M$27)&lt;&gt;0,1/(1 - CUSTOS!$M$27),1)</f>
        <v>1</v>
      </c>
    </row>
    <row r="44" spans="1:42" ht="11.25" customHeight="1" x14ac:dyDescent="0.25">
      <c r="A44" s="97" t="s">
        <v>44</v>
      </c>
      <c r="B44" s="97" t="s">
        <v>33</v>
      </c>
      <c r="C44" s="97" t="s">
        <v>45</v>
      </c>
      <c r="D44" s="97" t="s">
        <v>25</v>
      </c>
      <c r="E44" s="97" t="s">
        <v>25</v>
      </c>
      <c r="F44" s="97" t="s">
        <v>25</v>
      </c>
      <c r="G44" s="38" t="s">
        <v>103</v>
      </c>
      <c r="H44" s="38" t="s">
        <v>102</v>
      </c>
      <c r="I44" s="38">
        <f>'MERCADO TUSD'!$U$41</f>
        <v>3.9449999999999994</v>
      </c>
      <c r="J44" s="15"/>
      <c r="L44" s="31">
        <f>1*(1 - CUSTOS!$M$28)</f>
        <v>1</v>
      </c>
      <c r="M44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CUSTOS!$M$28)</f>
        <v>0.86112668687503213</v>
      </c>
      <c r="N44" s="31">
        <f ca="1">(+M44+O44+R44+U44+V44+W44+X44+Y44+Z44+AA44+AC44+AH44+AI44+AJ44+AK44)*CUSTOS!$M$5</f>
        <v>8.9245311247074799</v>
      </c>
      <c r="O44" s="31">
        <f>1 - CUSTOS!$M$28</f>
        <v>1</v>
      </c>
      <c r="P44" s="31">
        <f>1 - CUSTOS!$M$28</f>
        <v>1</v>
      </c>
      <c r="Q44" s="31">
        <f>1*(1 - CUSTOS!$M$28)</f>
        <v>1</v>
      </c>
      <c r="R44" s="31">
        <f>1 - CUSTOS!$M$28</f>
        <v>1</v>
      </c>
      <c r="S44" s="31">
        <f>1 - CUSTOS!$M$28</f>
        <v>1</v>
      </c>
      <c r="T44" s="31"/>
      <c r="U44" s="31">
        <f>TRANSICAO!$U$44*CUSTOS!$T$3</f>
        <v>88.867599999999996</v>
      </c>
      <c r="V44" s="31">
        <f>TRANSICAO!$V$44*CUSTOS!$T$3</f>
        <v>26.6084</v>
      </c>
      <c r="W44" s="31">
        <f>TRANSICAO!$W$44*CUSTOS!$T$3</f>
        <v>8.9172999999999991</v>
      </c>
      <c r="X44" s="31">
        <f>TRANSICAO!$X$44*CUSTOS!$T$3</f>
        <v>0.31690000000000002</v>
      </c>
      <c r="Y44" s="31">
        <f>TRANSICAO!$Y$44*CUSTOS!$T$3</f>
        <v>6.9729999999999999</v>
      </c>
      <c r="Z44" s="31">
        <f>TRANSICAO!$Z$44*CUSTOS!$T$3</f>
        <v>0</v>
      </c>
      <c r="AA44" s="31">
        <f>TRANSICAO!$AA$44*CUSTOS!$T$3</f>
        <v>0</v>
      </c>
      <c r="AB44" s="31">
        <f>TRANSICAO!$AB$44*CUSTOS!$T$3</f>
        <v>0</v>
      </c>
      <c r="AC44" s="31">
        <f>TRANSICAO!$AC$44*CUSTOS!$T$3</f>
        <v>677.0607</v>
      </c>
      <c r="AD44" s="31">
        <f>TRANSICAO!$AD$44*CUSTOS!$T$3</f>
        <v>0</v>
      </c>
      <c r="AE44" s="31">
        <v>0</v>
      </c>
      <c r="AF44" s="31">
        <v>0</v>
      </c>
      <c r="AG44" s="31"/>
      <c r="AH44" s="31">
        <f>(1 - CUSTOS!$M$28)*29.8076</f>
        <v>29.807600000000001</v>
      </c>
      <c r="AI44" s="31">
        <f>(1 - CUSTOS!$M$28)*29.8076</f>
        <v>29.807600000000001</v>
      </c>
      <c r="AJ44" s="31">
        <f ca="1">$N$79*(1-CUSTOS!$M$28)</f>
        <v>10.616442891936494</v>
      </c>
      <c r="AK44" s="31">
        <f t="shared" ca="1" si="1"/>
        <v>10.616442891936494</v>
      </c>
      <c r="AL44" s="31"/>
      <c r="AM44" s="31"/>
      <c r="AP44" s="31">
        <f>IF((1 - CUSTOS!$M$28)&lt;&gt;0,1/(1 - CUSTOS!$M$28),1)</f>
        <v>1</v>
      </c>
    </row>
    <row r="45" spans="1:42" ht="11.25" customHeight="1" x14ac:dyDescent="0.25">
      <c r="A45" s="97"/>
      <c r="B45" s="97"/>
      <c r="C45" s="97"/>
      <c r="D45" s="97"/>
      <c r="E45" s="97"/>
      <c r="F45" s="97"/>
      <c r="G45" s="38" t="s">
        <v>113</v>
      </c>
      <c r="H45" s="38" t="s">
        <v>102</v>
      </c>
      <c r="I45" s="38">
        <f>'MERCADO TUSD'!$U$42</f>
        <v>4.2359999999999989</v>
      </c>
      <c r="J45" s="15"/>
      <c r="L45" s="31">
        <f>1*(1 - CUSTOS!$M$28)</f>
        <v>1</v>
      </c>
      <c r="M45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CUSTOS!$M$28)</f>
        <v>0.86112668687503213</v>
      </c>
      <c r="N45" s="31">
        <f ca="1">(+M45+O45+R45+U45+V45+W45+X45+Y45+Z45+AA45+AC45+AH45+AI45+AJ45+AK45)*CUSTOS!$M$5</f>
        <v>5.6895571247074797</v>
      </c>
      <c r="O45" s="31">
        <f>1 - CUSTOS!$M$28</f>
        <v>1</v>
      </c>
      <c r="P45" s="31">
        <f>1 - CUSTOS!$M$28</f>
        <v>1</v>
      </c>
      <c r="Q45" s="31">
        <f>1*(1 - CUSTOS!$M$28)</f>
        <v>1</v>
      </c>
      <c r="R45" s="31">
        <f>1 - CUSTOS!$M$28</f>
        <v>1</v>
      </c>
      <c r="S45" s="31">
        <f>1 - CUSTOS!$M$28</f>
        <v>1</v>
      </c>
      <c r="T45" s="31"/>
      <c r="U45" s="31">
        <f>TRANSICAO!$U$45*CUSTOS!$T$3</f>
        <v>53.320599999999999</v>
      </c>
      <c r="V45" s="31">
        <f>TRANSICAO!$V$45*CUSTOS!$T$3</f>
        <v>15.9651</v>
      </c>
      <c r="W45" s="31">
        <f>TRANSICAO!$W$45*CUSTOS!$T$3</f>
        <v>5.3503999999999996</v>
      </c>
      <c r="X45" s="31">
        <f>TRANSICAO!$X$45*CUSTOS!$T$3</f>
        <v>0.19020000000000001</v>
      </c>
      <c r="Y45" s="31">
        <f>TRANSICAO!$Y$45*CUSTOS!$T$3</f>
        <v>4.1837999999999997</v>
      </c>
      <c r="Z45" s="31">
        <f>TRANSICAO!$Z$45*CUSTOS!$T$3</f>
        <v>0</v>
      </c>
      <c r="AA45" s="31">
        <f>TRANSICAO!$AA$45*CUSTOS!$T$3</f>
        <v>0</v>
      </c>
      <c r="AB45" s="31">
        <f>TRANSICAO!$AB$45*CUSTOS!$T$3</f>
        <v>0</v>
      </c>
      <c r="AC45" s="31">
        <f>TRANSICAO!$AC$45*CUSTOS!$T$3</f>
        <v>406.2364</v>
      </c>
      <c r="AD45" s="31">
        <f>TRANSICAO!$AD$45*CUSTOS!$T$3</f>
        <v>0</v>
      </c>
      <c r="AE45" s="31">
        <v>0</v>
      </c>
      <c r="AF45" s="31">
        <v>0</v>
      </c>
      <c r="AG45" s="31"/>
      <c r="AH45" s="31">
        <f>(1 - CUSTOS!$M$28)*29.8076</f>
        <v>29.807600000000001</v>
      </c>
      <c r="AI45" s="31">
        <f>(1 - CUSTOS!$M$28)*29.8076</f>
        <v>29.807600000000001</v>
      </c>
      <c r="AJ45" s="31">
        <f ca="1">$N$79*(1-CUSTOS!$M$28)</f>
        <v>10.616442891936494</v>
      </c>
      <c r="AK45" s="31">
        <f t="shared" ca="1" si="1"/>
        <v>10.616442891936494</v>
      </c>
      <c r="AL45" s="31"/>
      <c r="AM45" s="31"/>
      <c r="AP45" s="31">
        <f>IF((1 - CUSTOS!$M$28)&lt;&gt;0,1/(1 - CUSTOS!$M$28),1)</f>
        <v>1</v>
      </c>
    </row>
    <row r="46" spans="1:42" ht="11.25" customHeight="1" x14ac:dyDescent="0.25">
      <c r="A46" s="97"/>
      <c r="B46" s="97"/>
      <c r="C46" s="97"/>
      <c r="D46" s="97"/>
      <c r="E46" s="97"/>
      <c r="F46" s="97"/>
      <c r="G46" s="38" t="s">
        <v>104</v>
      </c>
      <c r="H46" s="38" t="s">
        <v>102</v>
      </c>
      <c r="I46" s="38">
        <f>'MERCADO TUSD'!$U$43</f>
        <v>105.83499999999999</v>
      </c>
      <c r="J46" s="15"/>
      <c r="L46" s="31">
        <f>1*(1 - CUSTOS!$M$28)</f>
        <v>1</v>
      </c>
      <c r="M46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CUSTOS!$M$28)</f>
        <v>0.86112668687503213</v>
      </c>
      <c r="N46" s="31">
        <f ca="1">(+M46+O46+R46+U46+V46+W46+X46+Y46+Z46+AA46+AC46+AH46+AI46+AJ46+AK46)*CUSTOS!$M$5</f>
        <v>2.4545801247074803</v>
      </c>
      <c r="O46" s="31">
        <f>1 - CUSTOS!$M$28</f>
        <v>1</v>
      </c>
      <c r="P46" s="31">
        <f>1 - CUSTOS!$M$28</f>
        <v>1</v>
      </c>
      <c r="Q46" s="31">
        <f>1*(1 - CUSTOS!$M$28)</f>
        <v>1</v>
      </c>
      <c r="R46" s="31">
        <f>1 - CUSTOS!$M$28</f>
        <v>1</v>
      </c>
      <c r="S46" s="31">
        <f>1 - CUSTOS!$M$28</f>
        <v>1</v>
      </c>
      <c r="T46" s="31"/>
      <c r="U46" s="31">
        <f>TRANSICAO!$U$46*CUSTOS!$T$3</f>
        <v>17.773499999999999</v>
      </c>
      <c r="V46" s="31">
        <f>TRANSICAO!$V$46*CUSTOS!$T$3</f>
        <v>5.3216999999999999</v>
      </c>
      <c r="W46" s="31">
        <f>TRANSICAO!$W$46*CUSTOS!$T$3</f>
        <v>1.7835000000000001</v>
      </c>
      <c r="X46" s="31">
        <f>TRANSICAO!$X$46*CUSTOS!$T$3</f>
        <v>6.3399999999999998E-2</v>
      </c>
      <c r="Y46" s="31">
        <f>TRANSICAO!$Y$46*CUSTOS!$T$3</f>
        <v>1.3946000000000001</v>
      </c>
      <c r="Z46" s="31">
        <f>TRANSICAO!$Z$46*CUSTOS!$T$3</f>
        <v>0</v>
      </c>
      <c r="AA46" s="31">
        <f>TRANSICAO!$AA$46*CUSTOS!$T$3</f>
        <v>0</v>
      </c>
      <c r="AB46" s="31">
        <f>TRANSICAO!$AB$46*CUSTOS!$T$3</f>
        <v>0</v>
      </c>
      <c r="AC46" s="31">
        <f>TRANSICAO!$AC$46*CUSTOS!$T$3</f>
        <v>135.41210000000001</v>
      </c>
      <c r="AD46" s="31">
        <f>TRANSICAO!$AD$46*CUSTOS!$T$3</f>
        <v>0</v>
      </c>
      <c r="AE46" s="31">
        <v>0</v>
      </c>
      <c r="AF46" s="31">
        <v>0</v>
      </c>
      <c r="AG46" s="31"/>
      <c r="AH46" s="31">
        <f>(1 - CUSTOS!$M$28)*29.8076</f>
        <v>29.807600000000001</v>
      </c>
      <c r="AI46" s="31">
        <f>(1 - CUSTOS!$M$28)*29.8076</f>
        <v>29.807600000000001</v>
      </c>
      <c r="AJ46" s="31">
        <f ca="1">$N$79*(1-CUSTOS!$M$28)</f>
        <v>10.616442891936494</v>
      </c>
      <c r="AK46" s="31">
        <f t="shared" ca="1" si="1"/>
        <v>10.616442891936494</v>
      </c>
      <c r="AL46" s="31"/>
      <c r="AM46" s="31"/>
      <c r="AP46" s="31">
        <f>IF((1 - CUSTOS!$M$28)&lt;&gt;0,1/(1 - CUSTOS!$M$28),1)</f>
        <v>1</v>
      </c>
    </row>
    <row r="47" spans="1:42" ht="11.25" customHeight="1" x14ac:dyDescent="0.25">
      <c r="A47" s="97"/>
      <c r="B47" s="37" t="s">
        <v>23</v>
      </c>
      <c r="C47" s="37" t="s">
        <v>45</v>
      </c>
      <c r="D47" s="37" t="s">
        <v>25</v>
      </c>
      <c r="E47" s="37" t="s">
        <v>25</v>
      </c>
      <c r="F47" s="37" t="s">
        <v>25</v>
      </c>
      <c r="G47" s="38" t="s">
        <v>108</v>
      </c>
      <c r="H47" s="38" t="s">
        <v>102</v>
      </c>
      <c r="I47" s="38">
        <f>'MERCADO TUSD'!$U$44</f>
        <v>251732.52099999998</v>
      </c>
      <c r="J47" s="15"/>
      <c r="L47" s="31">
        <f>1*(1 - CUSTOS!$M$28)</f>
        <v>1</v>
      </c>
      <c r="M47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CUSTOS!$M$28)</f>
        <v>0.86112668687503213</v>
      </c>
      <c r="N47" s="31">
        <f ca="1">(+M47+O47+R47+U47+V47+W47+X47+Y47+Z47+AA47+AC47+AH47+AI47+AJ47+AK47)*CUSTOS!$M$5</f>
        <v>3.2512541247074802</v>
      </c>
      <c r="O47" s="31">
        <f>1 - CUSTOS!$M$28</f>
        <v>1</v>
      </c>
      <c r="P47" s="31">
        <f>1 - CUSTOS!$M$28</f>
        <v>1</v>
      </c>
      <c r="Q47" s="31">
        <f>1*(1 - CUSTOS!$M$28)</f>
        <v>1</v>
      </c>
      <c r="R47" s="31">
        <f>1 - CUSTOS!$M$28</f>
        <v>1</v>
      </c>
      <c r="S47" s="31">
        <f>1 - CUSTOS!$M$28</f>
        <v>1</v>
      </c>
      <c r="T47" s="31"/>
      <c r="U47" s="31">
        <f>TRANSICAO!$U$47*CUSTOS!$T$3</f>
        <v>26.527699999999999</v>
      </c>
      <c r="V47" s="31">
        <f>TRANSICAO!$V$47*CUSTOS!$T$3</f>
        <v>7.9428000000000001</v>
      </c>
      <c r="W47" s="31">
        <f>TRANSICAO!$W$47*CUSTOS!$T$3</f>
        <v>2.6619000000000002</v>
      </c>
      <c r="X47" s="31">
        <f>TRANSICAO!$X$47*CUSTOS!$T$3</f>
        <v>9.4600000000000004E-2</v>
      </c>
      <c r="Y47" s="31">
        <f>TRANSICAO!$Y$47*CUSTOS!$T$3</f>
        <v>2.0815000000000001</v>
      </c>
      <c r="Z47" s="31">
        <f>TRANSICAO!$Z$47*CUSTOS!$T$3</f>
        <v>0</v>
      </c>
      <c r="AA47" s="31">
        <f>TRANSICAO!$AA$47*CUSTOS!$T$3</f>
        <v>0</v>
      </c>
      <c r="AB47" s="31">
        <f>TRANSICAO!$AB$47*CUSTOS!$T$3</f>
        <v>0</v>
      </c>
      <c r="AC47" s="31">
        <f>TRANSICAO!$AC$47*CUSTOS!$T$3</f>
        <v>202.10769999999999</v>
      </c>
      <c r="AD47" s="31">
        <f>TRANSICAO!$AD$47*CUSTOS!$T$3</f>
        <v>0</v>
      </c>
      <c r="AE47" s="31">
        <v>0</v>
      </c>
      <c r="AF47" s="31">
        <v>0</v>
      </c>
      <c r="AG47" s="31"/>
      <c r="AH47" s="31">
        <f>(1 - CUSTOS!$M$28)*29.8076</f>
        <v>29.807600000000001</v>
      </c>
      <c r="AI47" s="31">
        <f>(1 - CUSTOS!$M$28)*29.8076</f>
        <v>29.807600000000001</v>
      </c>
      <c r="AJ47" s="31">
        <f ca="1">$N$79*(1-CUSTOS!$M$28)</f>
        <v>10.616442891936494</v>
      </c>
      <c r="AK47" s="31">
        <f t="shared" ca="1" si="1"/>
        <v>10.616442891936494</v>
      </c>
      <c r="AL47" s="31"/>
      <c r="AM47" s="31"/>
      <c r="AP47" s="31">
        <f>IF((1 - CUSTOS!$M$28)&lt;&gt;0,1/(1 - CUSTOS!$M$28),1)</f>
        <v>1</v>
      </c>
    </row>
    <row r="48" spans="1:42" ht="11.25" customHeight="1" x14ac:dyDescent="0.25">
      <c r="A48" s="97"/>
      <c r="B48" s="97" t="s">
        <v>33</v>
      </c>
      <c r="C48" s="97" t="s">
        <v>45</v>
      </c>
      <c r="D48" s="97" t="s">
        <v>116</v>
      </c>
      <c r="E48" s="97" t="s">
        <v>25</v>
      </c>
      <c r="F48" s="97" t="s">
        <v>25</v>
      </c>
      <c r="G48" s="38" t="s">
        <v>103</v>
      </c>
      <c r="H48" s="38" t="s">
        <v>102</v>
      </c>
      <c r="I48" s="38">
        <f>'MERCADO TUSD'!$U$45</f>
        <v>0</v>
      </c>
      <c r="J48" s="15"/>
      <c r="L48" s="31">
        <f>1*(1 - CUSTOS!$M$29)</f>
        <v>1</v>
      </c>
      <c r="M48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CUSTOS!$M$29)</f>
        <v>0.86112668687503213</v>
      </c>
      <c r="N48" s="31">
        <f ca="1">(+M48+O48+R48+U48+V48+W48+X48+Y48+Z48+AA48+AC48+AH48+AI48+AJ48+AK48)*CUSTOS!$M$5</f>
        <v>8.9245311247074799</v>
      </c>
      <c r="O48" s="31">
        <f>1 - CUSTOS!$M$29</f>
        <v>1</v>
      </c>
      <c r="P48" s="31">
        <f>1 - CUSTOS!$M$29</f>
        <v>1</v>
      </c>
      <c r="Q48" s="31">
        <f>1*(1 - CUSTOS!$M$29)</f>
        <v>1</v>
      </c>
      <c r="R48" s="31">
        <f>1 - CUSTOS!$M$29</f>
        <v>1</v>
      </c>
      <c r="S48" s="31">
        <f>1 - CUSTOS!$M$29</f>
        <v>1</v>
      </c>
      <c r="T48" s="31"/>
      <c r="U48" s="31">
        <f>TRANSICAO!$U$48*CUSTOS!$T$3</f>
        <v>88.867599999999996</v>
      </c>
      <c r="V48" s="31">
        <f>TRANSICAO!$V$48*CUSTOS!$T$3</f>
        <v>26.6084</v>
      </c>
      <c r="W48" s="31">
        <f>TRANSICAO!$W$48*CUSTOS!$T$3</f>
        <v>8.9172999999999991</v>
      </c>
      <c r="X48" s="31">
        <f>TRANSICAO!$X$48*CUSTOS!$T$3</f>
        <v>0.31690000000000002</v>
      </c>
      <c r="Y48" s="31">
        <f>TRANSICAO!$Y$48*CUSTOS!$T$3</f>
        <v>6.9729999999999999</v>
      </c>
      <c r="Z48" s="31">
        <f>TRANSICAO!$Z$48*CUSTOS!$T$3</f>
        <v>0</v>
      </c>
      <c r="AA48" s="31">
        <f>TRANSICAO!$AA$48*CUSTOS!$T$3</f>
        <v>0</v>
      </c>
      <c r="AB48" s="31">
        <f>TRANSICAO!$AB$48*CUSTOS!$T$3</f>
        <v>0</v>
      </c>
      <c r="AC48" s="31">
        <f>TRANSICAO!$AC$48*CUSTOS!$T$3</f>
        <v>677.0607</v>
      </c>
      <c r="AD48" s="31">
        <f>TRANSICAO!$AD$48*CUSTOS!$T$3</f>
        <v>0</v>
      </c>
      <c r="AE48" s="31">
        <v>0</v>
      </c>
      <c r="AF48" s="31">
        <v>0</v>
      </c>
      <c r="AG48" s="31"/>
      <c r="AH48" s="31">
        <f>(1 - CUSTOS!$M$29)*29.8076</f>
        <v>29.807600000000001</v>
      </c>
      <c r="AI48" s="31">
        <f>(1 - CUSTOS!$M$29)*29.8076</f>
        <v>29.807600000000001</v>
      </c>
      <c r="AJ48" s="31">
        <f ca="1">$N$79*(1-CUSTOS!$M$29)</f>
        <v>10.616442891936494</v>
      </c>
      <c r="AK48" s="31">
        <f t="shared" ca="1" si="1"/>
        <v>10.616442891936494</v>
      </c>
      <c r="AL48" s="31"/>
      <c r="AM48" s="31"/>
      <c r="AP48" s="31">
        <f>IF((1 - CUSTOS!$M$29)&lt;&gt;0,1/(1 - CUSTOS!$M$29),1)</f>
        <v>1</v>
      </c>
    </row>
    <row r="49" spans="1:42" ht="11.25" customHeight="1" x14ac:dyDescent="0.25">
      <c r="A49" s="97"/>
      <c r="B49" s="97"/>
      <c r="C49" s="97"/>
      <c r="D49" s="97"/>
      <c r="E49" s="97"/>
      <c r="F49" s="97"/>
      <c r="G49" s="38" t="s">
        <v>113</v>
      </c>
      <c r="H49" s="38" t="s">
        <v>102</v>
      </c>
      <c r="I49" s="38">
        <f>'MERCADO TUSD'!$U$46</f>
        <v>0</v>
      </c>
      <c r="J49" s="15"/>
      <c r="L49" s="31">
        <f>1*(1 - CUSTOS!$M$29)</f>
        <v>1</v>
      </c>
      <c r="M49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CUSTOS!$M$29)</f>
        <v>0.86112668687503213</v>
      </c>
      <c r="N49" s="31">
        <f ca="1">(+M49+O49+R49+U49+V49+W49+X49+Y49+Z49+AA49+AC49+AH49+AI49+AJ49+AK49)*CUSTOS!$M$5</f>
        <v>5.6895571247074797</v>
      </c>
      <c r="O49" s="31">
        <f>1 - CUSTOS!$M$29</f>
        <v>1</v>
      </c>
      <c r="P49" s="31">
        <f>1 - CUSTOS!$M$29</f>
        <v>1</v>
      </c>
      <c r="Q49" s="31">
        <f>1*(1 - CUSTOS!$M$29)</f>
        <v>1</v>
      </c>
      <c r="R49" s="31">
        <f>1 - CUSTOS!$M$29</f>
        <v>1</v>
      </c>
      <c r="S49" s="31">
        <f>1 - CUSTOS!$M$29</f>
        <v>1</v>
      </c>
      <c r="T49" s="31"/>
      <c r="U49" s="31">
        <f>TRANSICAO!$U$49*CUSTOS!$T$3</f>
        <v>53.320599999999999</v>
      </c>
      <c r="V49" s="31">
        <f>TRANSICAO!$V$49*CUSTOS!$T$3</f>
        <v>15.9651</v>
      </c>
      <c r="W49" s="31">
        <f>TRANSICAO!$W$49*CUSTOS!$T$3</f>
        <v>5.3503999999999996</v>
      </c>
      <c r="X49" s="31">
        <f>TRANSICAO!$X$49*CUSTOS!$T$3</f>
        <v>0.19020000000000001</v>
      </c>
      <c r="Y49" s="31">
        <f>TRANSICAO!$Y$49*CUSTOS!$T$3</f>
        <v>4.1837999999999997</v>
      </c>
      <c r="Z49" s="31">
        <f>TRANSICAO!$Z$49*CUSTOS!$T$3</f>
        <v>0</v>
      </c>
      <c r="AA49" s="31">
        <f>TRANSICAO!$AA$49*CUSTOS!$T$3</f>
        <v>0</v>
      </c>
      <c r="AB49" s="31">
        <f>TRANSICAO!$AB$49*CUSTOS!$T$3</f>
        <v>0</v>
      </c>
      <c r="AC49" s="31">
        <f>TRANSICAO!$AC$49*CUSTOS!$T$3</f>
        <v>406.2364</v>
      </c>
      <c r="AD49" s="31">
        <f>TRANSICAO!$AD$49*CUSTOS!$T$3</f>
        <v>0</v>
      </c>
      <c r="AE49" s="31">
        <v>0</v>
      </c>
      <c r="AF49" s="31">
        <v>0</v>
      </c>
      <c r="AG49" s="31"/>
      <c r="AH49" s="31">
        <f>(1 - CUSTOS!$M$29)*29.8076</f>
        <v>29.807600000000001</v>
      </c>
      <c r="AI49" s="31">
        <f>(1 - CUSTOS!$M$29)*29.8076</f>
        <v>29.807600000000001</v>
      </c>
      <c r="AJ49" s="31">
        <f ca="1">$N$79*(1-CUSTOS!$M$29)</f>
        <v>10.616442891936494</v>
      </c>
      <c r="AK49" s="31">
        <f t="shared" ca="1" si="1"/>
        <v>10.616442891936494</v>
      </c>
      <c r="AL49" s="31"/>
      <c r="AM49" s="31"/>
      <c r="AP49" s="31">
        <f>IF((1 - CUSTOS!$M$29)&lt;&gt;0,1/(1 - CUSTOS!$M$29),1)</f>
        <v>1</v>
      </c>
    </row>
    <row r="50" spans="1:42" ht="11.25" customHeight="1" x14ac:dyDescent="0.25">
      <c r="A50" s="97"/>
      <c r="B50" s="97"/>
      <c r="C50" s="97"/>
      <c r="D50" s="97"/>
      <c r="E50" s="97"/>
      <c r="F50" s="97"/>
      <c r="G50" s="38" t="s">
        <v>104</v>
      </c>
      <c r="H50" s="38" t="s">
        <v>102</v>
      </c>
      <c r="I50" s="38">
        <f>'MERCADO TUSD'!$U$47</f>
        <v>0</v>
      </c>
      <c r="J50" s="15"/>
      <c r="L50" s="31">
        <f>1*(1 - CUSTOS!$M$29)</f>
        <v>1</v>
      </c>
      <c r="M50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CUSTOS!$M$29)</f>
        <v>0.86112668687503213</v>
      </c>
      <c r="N50" s="31">
        <f ca="1">(+M50+O50+R50+U50+V50+W50+X50+Y50+Z50+AA50+AC50+AH50+AI50+AJ50+AK50)*CUSTOS!$M$5</f>
        <v>2.4545801247074803</v>
      </c>
      <c r="O50" s="31">
        <f>1 - CUSTOS!$M$29</f>
        <v>1</v>
      </c>
      <c r="P50" s="31">
        <f>1 - CUSTOS!$M$29</f>
        <v>1</v>
      </c>
      <c r="Q50" s="31">
        <f>1*(1 - CUSTOS!$M$29)</f>
        <v>1</v>
      </c>
      <c r="R50" s="31">
        <f>1 - CUSTOS!$M$29</f>
        <v>1</v>
      </c>
      <c r="S50" s="31">
        <f>1 - CUSTOS!$M$29</f>
        <v>1</v>
      </c>
      <c r="T50" s="31"/>
      <c r="U50" s="31">
        <f>TRANSICAO!$U$50*CUSTOS!$T$3</f>
        <v>17.773499999999999</v>
      </c>
      <c r="V50" s="31">
        <f>TRANSICAO!$V$50*CUSTOS!$T$3</f>
        <v>5.3216999999999999</v>
      </c>
      <c r="W50" s="31">
        <f>TRANSICAO!$W$50*CUSTOS!$T$3</f>
        <v>1.7835000000000001</v>
      </c>
      <c r="X50" s="31">
        <f>TRANSICAO!$X$50*CUSTOS!$T$3</f>
        <v>6.3399999999999998E-2</v>
      </c>
      <c r="Y50" s="31">
        <f>TRANSICAO!$Y$50*CUSTOS!$T$3</f>
        <v>1.3946000000000001</v>
      </c>
      <c r="Z50" s="31">
        <f>TRANSICAO!$Z$50*CUSTOS!$T$3</f>
        <v>0</v>
      </c>
      <c r="AA50" s="31">
        <f>TRANSICAO!$AA$50*CUSTOS!$T$3</f>
        <v>0</v>
      </c>
      <c r="AB50" s="31">
        <f>TRANSICAO!$AB$50*CUSTOS!$T$3</f>
        <v>0</v>
      </c>
      <c r="AC50" s="31">
        <f>TRANSICAO!$AC$50*CUSTOS!$T$3</f>
        <v>135.41210000000001</v>
      </c>
      <c r="AD50" s="31">
        <f>TRANSICAO!$AD$50*CUSTOS!$T$3</f>
        <v>0</v>
      </c>
      <c r="AE50" s="31">
        <v>0</v>
      </c>
      <c r="AF50" s="31">
        <v>0</v>
      </c>
      <c r="AG50" s="31"/>
      <c r="AH50" s="31">
        <f>(1 - CUSTOS!$M$29)*29.8076</f>
        <v>29.807600000000001</v>
      </c>
      <c r="AI50" s="31">
        <f>(1 - CUSTOS!$M$29)*29.8076</f>
        <v>29.807600000000001</v>
      </c>
      <c r="AJ50" s="31">
        <f ca="1">$N$79*(1-CUSTOS!$M$29)</f>
        <v>10.616442891936494</v>
      </c>
      <c r="AK50" s="31">
        <f t="shared" ca="1" si="1"/>
        <v>10.616442891936494</v>
      </c>
      <c r="AL50" s="31"/>
      <c r="AM50" s="31"/>
      <c r="AP50" s="31">
        <f>IF((1 - CUSTOS!$M$29)&lt;&gt;0,1/(1 - CUSTOS!$M$29),1)</f>
        <v>1</v>
      </c>
    </row>
    <row r="51" spans="1:42" ht="11.25" customHeight="1" x14ac:dyDescent="0.25">
      <c r="A51" s="97"/>
      <c r="B51" s="37" t="s">
        <v>23</v>
      </c>
      <c r="C51" s="37" t="s">
        <v>45</v>
      </c>
      <c r="D51" s="37" t="s">
        <v>116</v>
      </c>
      <c r="E51" s="37" t="s">
        <v>25</v>
      </c>
      <c r="F51" s="37" t="s">
        <v>25</v>
      </c>
      <c r="G51" s="38" t="s">
        <v>108</v>
      </c>
      <c r="H51" s="38" t="s">
        <v>102</v>
      </c>
      <c r="I51" s="38">
        <f>'MERCADO TUSD'!$U$48</f>
        <v>0</v>
      </c>
      <c r="J51" s="15"/>
      <c r="L51" s="31">
        <f>1*(1 - CUSTOS!$M$29)</f>
        <v>1</v>
      </c>
      <c r="M51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CUSTOS!$M$29)</f>
        <v>0.86112668687503213</v>
      </c>
      <c r="N51" s="31">
        <f ca="1">(+M51+O51+R51+U51+V51+W51+X51+Y51+Z51+AA51+AC51+AH51+AI51+AJ51+AK51)*CUSTOS!$M$5</f>
        <v>3.2512541247074802</v>
      </c>
      <c r="O51" s="31">
        <f>1 - CUSTOS!$M$29</f>
        <v>1</v>
      </c>
      <c r="P51" s="31">
        <f>1 - CUSTOS!$M$29</f>
        <v>1</v>
      </c>
      <c r="Q51" s="31">
        <f>1*(1 - CUSTOS!$M$29)</f>
        <v>1</v>
      </c>
      <c r="R51" s="31">
        <f>1 - CUSTOS!$M$29</f>
        <v>1</v>
      </c>
      <c r="S51" s="31">
        <f>1 - CUSTOS!$M$29</f>
        <v>1</v>
      </c>
      <c r="T51" s="31"/>
      <c r="U51" s="31">
        <f>TRANSICAO!$U$51*CUSTOS!$T$3</f>
        <v>26.527699999999999</v>
      </c>
      <c r="V51" s="31">
        <f>TRANSICAO!$V$51*CUSTOS!$T$3</f>
        <v>7.9428000000000001</v>
      </c>
      <c r="W51" s="31">
        <f>TRANSICAO!$W$51*CUSTOS!$T$3</f>
        <v>2.6619000000000002</v>
      </c>
      <c r="X51" s="31">
        <f>TRANSICAO!$X$51*CUSTOS!$T$3</f>
        <v>9.4600000000000004E-2</v>
      </c>
      <c r="Y51" s="31">
        <f>TRANSICAO!$Y$51*CUSTOS!$T$3</f>
        <v>2.0815000000000001</v>
      </c>
      <c r="Z51" s="31">
        <f>TRANSICAO!$Z$51*CUSTOS!$T$3</f>
        <v>0</v>
      </c>
      <c r="AA51" s="31">
        <f>TRANSICAO!$AA$51*CUSTOS!$T$3</f>
        <v>0</v>
      </c>
      <c r="AB51" s="31">
        <f>TRANSICAO!$AB$51*CUSTOS!$T$3</f>
        <v>0</v>
      </c>
      <c r="AC51" s="31">
        <f>TRANSICAO!$AC$51*CUSTOS!$T$3</f>
        <v>202.10769999999999</v>
      </c>
      <c r="AD51" s="31">
        <f>TRANSICAO!$AD$51*CUSTOS!$T$3</f>
        <v>0</v>
      </c>
      <c r="AE51" s="31">
        <v>0</v>
      </c>
      <c r="AF51" s="31">
        <v>0</v>
      </c>
      <c r="AG51" s="31"/>
      <c r="AH51" s="31">
        <f>(1 - CUSTOS!$M$29)*29.8076</f>
        <v>29.807600000000001</v>
      </c>
      <c r="AI51" s="31">
        <f>(1 - CUSTOS!$M$29)*29.8076</f>
        <v>29.807600000000001</v>
      </c>
      <c r="AJ51" s="31">
        <f ca="1">$N$79*(1-CUSTOS!$M$29)</f>
        <v>10.616442891936494</v>
      </c>
      <c r="AK51" s="31">
        <f t="shared" ca="1" si="1"/>
        <v>10.616442891936494</v>
      </c>
      <c r="AL51" s="31"/>
      <c r="AM51" s="31"/>
      <c r="AP51" s="31">
        <f>IF((1 - CUSTOS!$M$29)&lt;&gt;0,1/(1 - CUSTOS!$M$29),1)</f>
        <v>1</v>
      </c>
    </row>
    <row r="52" spans="1:42" ht="11.25" customHeight="1" x14ac:dyDescent="0.25">
      <c r="A52" s="97"/>
      <c r="B52" s="97" t="s">
        <v>33</v>
      </c>
      <c r="C52" s="97" t="s">
        <v>45</v>
      </c>
      <c r="D52" s="97" t="s">
        <v>117</v>
      </c>
      <c r="E52" s="97" t="s">
        <v>25</v>
      </c>
      <c r="F52" s="97" t="s">
        <v>25</v>
      </c>
      <c r="G52" s="38" t="s">
        <v>103</v>
      </c>
      <c r="H52" s="38" t="s">
        <v>102</v>
      </c>
      <c r="I52" s="38">
        <f>'MERCADO TUSD'!$U$49</f>
        <v>0</v>
      </c>
      <c r="J52" s="15"/>
      <c r="L52" s="31">
        <f>1*(1 - CUSTOS!$M$30)</f>
        <v>1</v>
      </c>
      <c r="M52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CUSTOS!$M$30)</f>
        <v>0.86112668687503213</v>
      </c>
      <c r="N52" s="31">
        <f ca="1">(+M52+O52+R52+U52+V52+W52+X52+Y52+Z52+AA52+AC52+AH52+AI52+AJ52+AK52)*CUSTOS!$M$5</f>
        <v>8.9245311247074799</v>
      </c>
      <c r="O52" s="31">
        <f>1 - CUSTOS!$M$30</f>
        <v>1</v>
      </c>
      <c r="P52" s="31">
        <f>1 - CUSTOS!$M$30</f>
        <v>1</v>
      </c>
      <c r="Q52" s="31">
        <f>1*(1 - CUSTOS!$M$30)</f>
        <v>1</v>
      </c>
      <c r="R52" s="31">
        <f>1 - CUSTOS!$M$30</f>
        <v>1</v>
      </c>
      <c r="S52" s="31">
        <f>1 - CUSTOS!$M$30</f>
        <v>1</v>
      </c>
      <c r="T52" s="31"/>
      <c r="U52" s="31">
        <f>TRANSICAO!$U$52*CUSTOS!$T$3</f>
        <v>88.867599999999996</v>
      </c>
      <c r="V52" s="31">
        <f>TRANSICAO!$V$52*CUSTOS!$T$3</f>
        <v>26.6084</v>
      </c>
      <c r="W52" s="31">
        <f>TRANSICAO!$W$52*CUSTOS!$T$3</f>
        <v>8.9172999999999991</v>
      </c>
      <c r="X52" s="31">
        <f>TRANSICAO!$X$52*CUSTOS!$T$3</f>
        <v>0.31690000000000002</v>
      </c>
      <c r="Y52" s="31">
        <f>TRANSICAO!$Y$52*CUSTOS!$T$3</f>
        <v>6.9729999999999999</v>
      </c>
      <c r="Z52" s="31">
        <f>TRANSICAO!$Z$52*CUSTOS!$T$3</f>
        <v>0</v>
      </c>
      <c r="AA52" s="31">
        <f>TRANSICAO!$AA$52*CUSTOS!$T$3</f>
        <v>0</v>
      </c>
      <c r="AB52" s="31">
        <f>TRANSICAO!$AB$52*CUSTOS!$T$3</f>
        <v>0</v>
      </c>
      <c r="AC52" s="31">
        <f>TRANSICAO!$AC$52*CUSTOS!$T$3</f>
        <v>677.0607</v>
      </c>
      <c r="AD52" s="31">
        <f>TRANSICAO!$AD$52*CUSTOS!$T$3</f>
        <v>0</v>
      </c>
      <c r="AE52" s="31">
        <v>0</v>
      </c>
      <c r="AF52" s="31">
        <v>0</v>
      </c>
      <c r="AG52" s="31"/>
      <c r="AH52" s="31">
        <f>(1 - CUSTOS!$M$30)*29.8076</f>
        <v>29.807600000000001</v>
      </c>
      <c r="AI52" s="31">
        <f>(1 - CUSTOS!$M$30)*29.8076</f>
        <v>29.807600000000001</v>
      </c>
      <c r="AJ52" s="31">
        <f ca="1">$N$79*(1-CUSTOS!$M$30)</f>
        <v>10.616442891936494</v>
      </c>
      <c r="AK52" s="31">
        <f t="shared" ca="1" si="1"/>
        <v>10.616442891936494</v>
      </c>
      <c r="AL52" s="31"/>
      <c r="AM52" s="31"/>
      <c r="AP52" s="31">
        <f>IF((1 - CUSTOS!$M$30)&lt;&gt;0,1/(1 - CUSTOS!$M$30),1)</f>
        <v>1</v>
      </c>
    </row>
    <row r="53" spans="1:42" ht="11.25" customHeight="1" x14ac:dyDescent="0.25">
      <c r="A53" s="97"/>
      <c r="B53" s="97"/>
      <c r="C53" s="97"/>
      <c r="D53" s="97"/>
      <c r="E53" s="97"/>
      <c r="F53" s="97"/>
      <c r="G53" s="38" t="s">
        <v>113</v>
      </c>
      <c r="H53" s="38" t="s">
        <v>102</v>
      </c>
      <c r="I53" s="38">
        <f>'MERCADO TUSD'!$U$50</f>
        <v>0</v>
      </c>
      <c r="J53" s="15"/>
      <c r="L53" s="31">
        <f>1*(1 - CUSTOS!$M$30)</f>
        <v>1</v>
      </c>
      <c r="M53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CUSTOS!$M$30)</f>
        <v>0.86112668687503213</v>
      </c>
      <c r="N53" s="31">
        <f ca="1">(+M53+O53+R53+U53+V53+W53+X53+Y53+Z53+AA53+AC53+AH53+AI53+AJ53+AK53)*CUSTOS!$M$5</f>
        <v>5.6895571247074797</v>
      </c>
      <c r="O53" s="31">
        <f>1 - CUSTOS!$M$30</f>
        <v>1</v>
      </c>
      <c r="P53" s="31">
        <f>1 - CUSTOS!$M$30</f>
        <v>1</v>
      </c>
      <c r="Q53" s="31">
        <f>1*(1 - CUSTOS!$M$30)</f>
        <v>1</v>
      </c>
      <c r="R53" s="31">
        <f>1 - CUSTOS!$M$30</f>
        <v>1</v>
      </c>
      <c r="S53" s="31">
        <f>1 - CUSTOS!$M$30</f>
        <v>1</v>
      </c>
      <c r="T53" s="31"/>
      <c r="U53" s="31">
        <f>TRANSICAO!$U$53*CUSTOS!$T$3</f>
        <v>53.320599999999999</v>
      </c>
      <c r="V53" s="31">
        <f>TRANSICAO!$V$53*CUSTOS!$T$3</f>
        <v>15.9651</v>
      </c>
      <c r="W53" s="31">
        <f>TRANSICAO!$W$53*CUSTOS!$T$3</f>
        <v>5.3503999999999996</v>
      </c>
      <c r="X53" s="31">
        <f>TRANSICAO!$X$53*CUSTOS!$T$3</f>
        <v>0.19020000000000001</v>
      </c>
      <c r="Y53" s="31">
        <f>TRANSICAO!$Y$53*CUSTOS!$T$3</f>
        <v>4.1837999999999997</v>
      </c>
      <c r="Z53" s="31">
        <f>TRANSICAO!$Z$53*CUSTOS!$T$3</f>
        <v>0</v>
      </c>
      <c r="AA53" s="31">
        <f>TRANSICAO!$AA$53*CUSTOS!$T$3</f>
        <v>0</v>
      </c>
      <c r="AB53" s="31">
        <f>TRANSICAO!$AB$53*CUSTOS!$T$3</f>
        <v>0</v>
      </c>
      <c r="AC53" s="31">
        <f>TRANSICAO!$AC$53*CUSTOS!$T$3</f>
        <v>406.2364</v>
      </c>
      <c r="AD53" s="31">
        <f>TRANSICAO!$AD$53*CUSTOS!$T$3</f>
        <v>0</v>
      </c>
      <c r="AE53" s="31">
        <v>0</v>
      </c>
      <c r="AF53" s="31">
        <v>0</v>
      </c>
      <c r="AG53" s="31"/>
      <c r="AH53" s="31">
        <f>(1 - CUSTOS!$M$30)*29.8076</f>
        <v>29.807600000000001</v>
      </c>
      <c r="AI53" s="31">
        <f>(1 - CUSTOS!$M$30)*29.8076</f>
        <v>29.807600000000001</v>
      </c>
      <c r="AJ53" s="31">
        <f ca="1">$N$79*(1-CUSTOS!$M$30)</f>
        <v>10.616442891936494</v>
      </c>
      <c r="AK53" s="31">
        <f t="shared" ca="1" si="1"/>
        <v>10.616442891936494</v>
      </c>
      <c r="AL53" s="31"/>
      <c r="AM53" s="31"/>
      <c r="AP53" s="31">
        <f>IF((1 - CUSTOS!$M$30)&lt;&gt;0,1/(1 - CUSTOS!$M$30),1)</f>
        <v>1</v>
      </c>
    </row>
    <row r="54" spans="1:42" ht="11.25" customHeight="1" x14ac:dyDescent="0.25">
      <c r="A54" s="97"/>
      <c r="B54" s="97"/>
      <c r="C54" s="97"/>
      <c r="D54" s="97"/>
      <c r="E54" s="97"/>
      <c r="F54" s="97"/>
      <c r="G54" s="38" t="s">
        <v>104</v>
      </c>
      <c r="H54" s="38" t="s">
        <v>102</v>
      </c>
      <c r="I54" s="38">
        <f>'MERCADO TUSD'!$U$51</f>
        <v>0</v>
      </c>
      <c r="J54" s="15"/>
      <c r="L54" s="31">
        <f>1*(1 - CUSTOS!$M$30)</f>
        <v>1</v>
      </c>
      <c r="M54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CUSTOS!$M$30)</f>
        <v>0.86112668687503213</v>
      </c>
      <c r="N54" s="31">
        <f ca="1">(+M54+O54+R54+U54+V54+W54+X54+Y54+Z54+AA54+AC54+AH54+AI54+AJ54+AK54)*CUSTOS!$M$5</f>
        <v>2.4545801247074803</v>
      </c>
      <c r="O54" s="31">
        <f>1 - CUSTOS!$M$30</f>
        <v>1</v>
      </c>
      <c r="P54" s="31">
        <f>1 - CUSTOS!$M$30</f>
        <v>1</v>
      </c>
      <c r="Q54" s="31">
        <f>1*(1 - CUSTOS!$M$30)</f>
        <v>1</v>
      </c>
      <c r="R54" s="31">
        <f>1 - CUSTOS!$M$30</f>
        <v>1</v>
      </c>
      <c r="S54" s="31">
        <f>1 - CUSTOS!$M$30</f>
        <v>1</v>
      </c>
      <c r="T54" s="31"/>
      <c r="U54" s="31">
        <f>TRANSICAO!$U$54*CUSTOS!$T$3</f>
        <v>17.773499999999999</v>
      </c>
      <c r="V54" s="31">
        <f>TRANSICAO!$V$54*CUSTOS!$T$3</f>
        <v>5.3216999999999999</v>
      </c>
      <c r="W54" s="31">
        <f>TRANSICAO!$W$54*CUSTOS!$T$3</f>
        <v>1.7835000000000001</v>
      </c>
      <c r="X54" s="31">
        <f>TRANSICAO!$X$54*CUSTOS!$T$3</f>
        <v>6.3399999999999998E-2</v>
      </c>
      <c r="Y54" s="31">
        <f>TRANSICAO!$Y$54*CUSTOS!$T$3</f>
        <v>1.3946000000000001</v>
      </c>
      <c r="Z54" s="31">
        <f>TRANSICAO!$Z$54*CUSTOS!$T$3</f>
        <v>0</v>
      </c>
      <c r="AA54" s="31">
        <f>TRANSICAO!$AA$54*CUSTOS!$T$3</f>
        <v>0</v>
      </c>
      <c r="AB54" s="31">
        <f>TRANSICAO!$AB$54*CUSTOS!$T$3</f>
        <v>0</v>
      </c>
      <c r="AC54" s="31">
        <f>TRANSICAO!$AC$54*CUSTOS!$T$3</f>
        <v>135.41210000000001</v>
      </c>
      <c r="AD54" s="31">
        <f>TRANSICAO!$AD$54*CUSTOS!$T$3</f>
        <v>0</v>
      </c>
      <c r="AE54" s="31">
        <v>0</v>
      </c>
      <c r="AF54" s="31">
        <v>0</v>
      </c>
      <c r="AG54" s="31"/>
      <c r="AH54" s="31">
        <f>(1 - CUSTOS!$M$30)*29.8076</f>
        <v>29.807600000000001</v>
      </c>
      <c r="AI54" s="31">
        <f>(1 - CUSTOS!$M$30)*29.8076</f>
        <v>29.807600000000001</v>
      </c>
      <c r="AJ54" s="31">
        <f ca="1">$N$79*(1-CUSTOS!$M$30)</f>
        <v>10.616442891936494</v>
      </c>
      <c r="AK54" s="31">
        <f t="shared" ca="1" si="1"/>
        <v>10.616442891936494</v>
      </c>
      <c r="AL54" s="31"/>
      <c r="AM54" s="31"/>
      <c r="AP54" s="31">
        <f>IF((1 - CUSTOS!$M$30)&lt;&gt;0,1/(1 - CUSTOS!$M$30),1)</f>
        <v>1</v>
      </c>
    </row>
    <row r="55" spans="1:42" ht="11.25" customHeight="1" x14ac:dyDescent="0.25">
      <c r="A55" s="97"/>
      <c r="B55" s="37" t="s">
        <v>23</v>
      </c>
      <c r="C55" s="37" t="s">
        <v>45</v>
      </c>
      <c r="D55" s="37" t="s">
        <v>117</v>
      </c>
      <c r="E55" s="37" t="s">
        <v>25</v>
      </c>
      <c r="F55" s="37" t="s">
        <v>25</v>
      </c>
      <c r="G55" s="38" t="s">
        <v>108</v>
      </c>
      <c r="H55" s="38" t="s">
        <v>102</v>
      </c>
      <c r="I55" s="38">
        <f>'MERCADO TUSD'!$U$52</f>
        <v>0</v>
      </c>
      <c r="J55" s="15"/>
      <c r="L55" s="31">
        <f>1*(1 - CUSTOS!$M$30)</f>
        <v>1</v>
      </c>
      <c r="M55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CUSTOS!$M$30)</f>
        <v>0.86112668687503213</v>
      </c>
      <c r="N55" s="31">
        <f ca="1">(+M55+O55+R55+U55+V55+W55+X55+Y55+Z55+AA55+AC55+AH55+AI55+AJ55+AK55)*CUSTOS!$M$5</f>
        <v>3.2512541247074802</v>
      </c>
      <c r="O55" s="31">
        <f>1 - CUSTOS!$M$30</f>
        <v>1</v>
      </c>
      <c r="P55" s="31">
        <f>1 - CUSTOS!$M$30</f>
        <v>1</v>
      </c>
      <c r="Q55" s="31">
        <f>1*(1 - CUSTOS!$M$30)</f>
        <v>1</v>
      </c>
      <c r="R55" s="31">
        <f>1 - CUSTOS!$M$30</f>
        <v>1</v>
      </c>
      <c r="S55" s="31">
        <f>1 - CUSTOS!$M$30</f>
        <v>1</v>
      </c>
      <c r="T55" s="31"/>
      <c r="U55" s="31">
        <f>TRANSICAO!$U$55*CUSTOS!$T$3</f>
        <v>26.527699999999999</v>
      </c>
      <c r="V55" s="31">
        <f>TRANSICAO!$V$55*CUSTOS!$T$3</f>
        <v>7.9428000000000001</v>
      </c>
      <c r="W55" s="31">
        <f>TRANSICAO!$W$55*CUSTOS!$T$3</f>
        <v>2.6619000000000002</v>
      </c>
      <c r="X55" s="31">
        <f>TRANSICAO!$X$55*CUSTOS!$T$3</f>
        <v>9.4600000000000004E-2</v>
      </c>
      <c r="Y55" s="31">
        <f>TRANSICAO!$Y$55*CUSTOS!$T$3</f>
        <v>2.0815000000000001</v>
      </c>
      <c r="Z55" s="31">
        <f>TRANSICAO!$Z$55*CUSTOS!$T$3</f>
        <v>0</v>
      </c>
      <c r="AA55" s="31">
        <f>TRANSICAO!$AA$55*CUSTOS!$T$3</f>
        <v>0</v>
      </c>
      <c r="AB55" s="31">
        <f>TRANSICAO!$AB$55*CUSTOS!$T$3</f>
        <v>0</v>
      </c>
      <c r="AC55" s="31">
        <f>TRANSICAO!$AC$55*CUSTOS!$T$3</f>
        <v>202.10769999999999</v>
      </c>
      <c r="AD55" s="31">
        <f>TRANSICAO!$AD$55*CUSTOS!$T$3</f>
        <v>0</v>
      </c>
      <c r="AE55" s="31">
        <v>0</v>
      </c>
      <c r="AF55" s="31">
        <v>0</v>
      </c>
      <c r="AG55" s="31"/>
      <c r="AH55" s="31">
        <f>(1 - CUSTOS!$M$30)*29.8076</f>
        <v>29.807600000000001</v>
      </c>
      <c r="AI55" s="31">
        <f>(1 - CUSTOS!$M$30)*29.8076</f>
        <v>29.807600000000001</v>
      </c>
      <c r="AJ55" s="31">
        <f ca="1">$N$79*(1-CUSTOS!$M$30)</f>
        <v>10.616442891936494</v>
      </c>
      <c r="AK55" s="31">
        <f t="shared" ca="1" si="1"/>
        <v>10.616442891936494</v>
      </c>
      <c r="AL55" s="31"/>
      <c r="AM55" s="31"/>
      <c r="AP55" s="31">
        <f>IF((1 - CUSTOS!$M$30)&lt;&gt;0,1/(1 - CUSTOS!$M$30),1)</f>
        <v>1</v>
      </c>
    </row>
    <row r="56" spans="1:42" ht="11.25" customHeight="1" x14ac:dyDescent="0.25">
      <c r="A56" s="97"/>
      <c r="B56" s="97" t="s">
        <v>115</v>
      </c>
      <c r="C56" s="97" t="s">
        <v>45</v>
      </c>
      <c r="D56" s="37" t="s">
        <v>25</v>
      </c>
      <c r="E56" s="37" t="s">
        <v>25</v>
      </c>
      <c r="F56" s="37" t="s">
        <v>25</v>
      </c>
      <c r="G56" s="38" t="s">
        <v>108</v>
      </c>
      <c r="H56" s="38" t="s">
        <v>102</v>
      </c>
      <c r="I56" s="38">
        <f>'MERCADO TUSD'!$U$53</f>
        <v>0</v>
      </c>
      <c r="J56" s="15"/>
      <c r="L56" s="31">
        <f>1*(1 - CUSTOS!$M$28)</f>
        <v>1</v>
      </c>
      <c r="M56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CUSTOS!$M$28)</f>
        <v>0.86112668687503213</v>
      </c>
      <c r="N56" s="31">
        <f ca="1">(+M56+O56+R56+U56+V56+W56+X56+Y56+Z56+AA56+AC56+AH56+AI56+AJ56+AK56)*CUSTOS!$M$5</f>
        <v>3.2512541247074802</v>
      </c>
      <c r="O56" s="31">
        <f>1 - CUSTOS!$M$28</f>
        <v>1</v>
      </c>
      <c r="P56" s="31">
        <f>1 - CUSTOS!$M$28</f>
        <v>1</v>
      </c>
      <c r="Q56" s="31">
        <f>1*(1 - CUSTOS!$M$28)</f>
        <v>1</v>
      </c>
      <c r="R56" s="31">
        <f>1 - CUSTOS!$M$28</f>
        <v>1</v>
      </c>
      <c r="S56" s="31">
        <f>1 - CUSTOS!$M$28</f>
        <v>1</v>
      </c>
      <c r="T56" s="31"/>
      <c r="U56" s="31">
        <f>TRANSICAO!$U$56*CUSTOS!$T$3</f>
        <v>26.527699999999999</v>
      </c>
      <c r="V56" s="31">
        <f>TRANSICAO!$V$56*CUSTOS!$T$3</f>
        <v>7.9428000000000001</v>
      </c>
      <c r="W56" s="31">
        <f>TRANSICAO!$W$56*CUSTOS!$T$3</f>
        <v>2.6619000000000002</v>
      </c>
      <c r="X56" s="31">
        <f>TRANSICAO!$X$56*CUSTOS!$T$3</f>
        <v>9.4600000000000004E-2</v>
      </c>
      <c r="Y56" s="31">
        <f>TRANSICAO!$Y$56*CUSTOS!$T$3</f>
        <v>2.0815000000000001</v>
      </c>
      <c r="Z56" s="31">
        <f>TRANSICAO!$Z$56*CUSTOS!$T$3</f>
        <v>0</v>
      </c>
      <c r="AA56" s="31">
        <f>TRANSICAO!$AA$56*CUSTOS!$T$3</f>
        <v>0</v>
      </c>
      <c r="AB56" s="31">
        <f>TRANSICAO!$AB$56*CUSTOS!$T$3</f>
        <v>0</v>
      </c>
      <c r="AC56" s="31">
        <f>TRANSICAO!$AC$56*CUSTOS!$T$3</f>
        <v>202.10769999999999</v>
      </c>
      <c r="AD56" s="31">
        <f>TRANSICAO!$AD$56*CUSTOS!$T$3</f>
        <v>0</v>
      </c>
      <c r="AE56" s="31">
        <v>0</v>
      </c>
      <c r="AF56" s="31">
        <v>0</v>
      </c>
      <c r="AG56" s="31"/>
      <c r="AH56" s="31">
        <f>(1 - CUSTOS!$M$28)*29.8076</f>
        <v>29.807600000000001</v>
      </c>
      <c r="AI56" s="31">
        <f>(1 - CUSTOS!$M$28)*29.8076</f>
        <v>29.807600000000001</v>
      </c>
      <c r="AJ56" s="31">
        <f ca="1">$N$79*(1-CUSTOS!$M$28)</f>
        <v>10.616442891936494</v>
      </c>
      <c r="AK56" s="31">
        <f t="shared" ca="1" si="1"/>
        <v>10.616442891936494</v>
      </c>
      <c r="AL56" s="31"/>
      <c r="AM56" s="31"/>
      <c r="AP56" s="31">
        <f>IF((1 - CUSTOS!$M$28)&lt;&gt;0,1/(1 - CUSTOS!$M$28),1)</f>
        <v>1</v>
      </c>
    </row>
    <row r="57" spans="1:42" ht="11.25" customHeight="1" x14ac:dyDescent="0.25">
      <c r="A57" s="97"/>
      <c r="B57" s="97"/>
      <c r="C57" s="97"/>
      <c r="D57" s="37" t="s">
        <v>116</v>
      </c>
      <c r="E57" s="37" t="s">
        <v>25</v>
      </c>
      <c r="F57" s="37" t="s">
        <v>25</v>
      </c>
      <c r="G57" s="38" t="s">
        <v>108</v>
      </c>
      <c r="H57" s="38" t="s">
        <v>102</v>
      </c>
      <c r="I57" s="38">
        <f>'MERCADO TUSD'!$U$54</f>
        <v>0</v>
      </c>
      <c r="J57" s="15"/>
      <c r="L57" s="31">
        <f>1*(1 - CUSTOS!$M$29)</f>
        <v>1</v>
      </c>
      <c r="M57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CUSTOS!$M$29)</f>
        <v>0.86112668687503213</v>
      </c>
      <c r="N57" s="31">
        <f ca="1">(+M57+O57+R57+U57+V57+W57+X57+Y57+Z57+AA57+AC57+AH57+AI57+AJ57+AK57)*CUSTOS!$M$5</f>
        <v>3.2512541247074802</v>
      </c>
      <c r="O57" s="31">
        <f>1 - CUSTOS!$M$29</f>
        <v>1</v>
      </c>
      <c r="P57" s="31">
        <f>1 - CUSTOS!$M$29</f>
        <v>1</v>
      </c>
      <c r="Q57" s="31">
        <f>1*(1 - CUSTOS!$M$29)</f>
        <v>1</v>
      </c>
      <c r="R57" s="31">
        <f>1 - CUSTOS!$M$29</f>
        <v>1</v>
      </c>
      <c r="S57" s="31">
        <f>1 - CUSTOS!$M$29</f>
        <v>1</v>
      </c>
      <c r="T57" s="31"/>
      <c r="U57" s="31">
        <f>TRANSICAO!$U$57*CUSTOS!$T$3</f>
        <v>26.527699999999999</v>
      </c>
      <c r="V57" s="31">
        <f>TRANSICAO!$V$57*CUSTOS!$T$3</f>
        <v>7.9428000000000001</v>
      </c>
      <c r="W57" s="31">
        <f>TRANSICAO!$W$57*CUSTOS!$T$3</f>
        <v>2.6619000000000002</v>
      </c>
      <c r="X57" s="31">
        <f>TRANSICAO!$X$57*CUSTOS!$T$3</f>
        <v>9.4600000000000004E-2</v>
      </c>
      <c r="Y57" s="31">
        <f>TRANSICAO!$Y$57*CUSTOS!$T$3</f>
        <v>2.0815000000000001</v>
      </c>
      <c r="Z57" s="31">
        <f>TRANSICAO!$Z$57*CUSTOS!$T$3</f>
        <v>0</v>
      </c>
      <c r="AA57" s="31">
        <f>TRANSICAO!$AA$57*CUSTOS!$T$3</f>
        <v>0</v>
      </c>
      <c r="AB57" s="31">
        <f>TRANSICAO!$AB$57*CUSTOS!$T$3</f>
        <v>0</v>
      </c>
      <c r="AC57" s="31">
        <f>TRANSICAO!$AC$57*CUSTOS!$T$3</f>
        <v>202.10769999999999</v>
      </c>
      <c r="AD57" s="31">
        <f>TRANSICAO!$AD$57*CUSTOS!$T$3</f>
        <v>0</v>
      </c>
      <c r="AE57" s="31">
        <v>0</v>
      </c>
      <c r="AF57" s="31">
        <v>0</v>
      </c>
      <c r="AG57" s="31"/>
      <c r="AH57" s="31">
        <f>(1 - CUSTOS!$M$29)*29.8076</f>
        <v>29.807600000000001</v>
      </c>
      <c r="AI57" s="31">
        <f>(1 - CUSTOS!$M$29)*29.8076</f>
        <v>29.807600000000001</v>
      </c>
      <c r="AJ57" s="31">
        <f ca="1">$N$79*(1-CUSTOS!$M$29)</f>
        <v>10.616442891936494</v>
      </c>
      <c r="AK57" s="31">
        <f t="shared" ca="1" si="1"/>
        <v>10.616442891936494</v>
      </c>
      <c r="AL57" s="31"/>
      <c r="AM57" s="31"/>
      <c r="AP57" s="31">
        <f>IF((1 - CUSTOS!$M$29)&lt;&gt;0,1/(1 - CUSTOS!$M$29),1)</f>
        <v>1</v>
      </c>
    </row>
    <row r="58" spans="1:42" ht="11.25" customHeight="1" x14ac:dyDescent="0.25">
      <c r="A58" s="97"/>
      <c r="B58" s="97"/>
      <c r="C58" s="97"/>
      <c r="D58" s="37" t="s">
        <v>117</v>
      </c>
      <c r="E58" s="37" t="s">
        <v>25</v>
      </c>
      <c r="F58" s="37" t="s">
        <v>25</v>
      </c>
      <c r="G58" s="38" t="s">
        <v>108</v>
      </c>
      <c r="H58" s="38" t="s">
        <v>102</v>
      </c>
      <c r="I58" s="38">
        <f>'MERCADO TUSD'!$U$55</f>
        <v>0</v>
      </c>
      <c r="J58" s="15"/>
      <c r="L58" s="31">
        <f>1*(1 - CUSTOS!$M$30)</f>
        <v>1</v>
      </c>
      <c r="M58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CUSTOS!$M$30)</f>
        <v>0.86112668687503213</v>
      </c>
      <c r="N58" s="31">
        <f ca="1">(+M58+O58+R58+U58+V58+W58+X58+Y58+Z58+AA58+AC58+AH58+AI58+AJ58+AK58)*CUSTOS!$M$5</f>
        <v>3.2512541247074802</v>
      </c>
      <c r="O58" s="31">
        <f>1 - CUSTOS!$M$30</f>
        <v>1</v>
      </c>
      <c r="P58" s="31">
        <f>1 - CUSTOS!$M$30</f>
        <v>1</v>
      </c>
      <c r="Q58" s="31">
        <f>1*(1 - CUSTOS!$M$30)</f>
        <v>1</v>
      </c>
      <c r="R58" s="31">
        <f>1 - CUSTOS!$M$30</f>
        <v>1</v>
      </c>
      <c r="S58" s="31">
        <f>1 - CUSTOS!$M$30</f>
        <v>1</v>
      </c>
      <c r="T58" s="31"/>
      <c r="U58" s="31">
        <f>TRANSICAO!$U$58*CUSTOS!$T$3</f>
        <v>26.527699999999999</v>
      </c>
      <c r="V58" s="31">
        <f>TRANSICAO!$V$58*CUSTOS!$T$3</f>
        <v>7.9428000000000001</v>
      </c>
      <c r="W58" s="31">
        <f>TRANSICAO!$W$58*CUSTOS!$T$3</f>
        <v>2.6619000000000002</v>
      </c>
      <c r="X58" s="31">
        <f>TRANSICAO!$X$58*CUSTOS!$T$3</f>
        <v>9.4600000000000004E-2</v>
      </c>
      <c r="Y58" s="31">
        <f>TRANSICAO!$Y$58*CUSTOS!$T$3</f>
        <v>2.0815000000000001</v>
      </c>
      <c r="Z58" s="31">
        <f>TRANSICAO!$Z$58*CUSTOS!$T$3</f>
        <v>0</v>
      </c>
      <c r="AA58" s="31">
        <f>TRANSICAO!$AA$58*CUSTOS!$T$3</f>
        <v>0</v>
      </c>
      <c r="AB58" s="31">
        <f>TRANSICAO!$AB$58*CUSTOS!$T$3</f>
        <v>0</v>
      </c>
      <c r="AC58" s="31">
        <f>TRANSICAO!$AC$58*CUSTOS!$T$3</f>
        <v>202.10769999999999</v>
      </c>
      <c r="AD58" s="31">
        <f>TRANSICAO!$AD$58*CUSTOS!$T$3</f>
        <v>0</v>
      </c>
      <c r="AE58" s="31">
        <v>0</v>
      </c>
      <c r="AF58" s="31">
        <v>0</v>
      </c>
      <c r="AG58" s="31"/>
      <c r="AH58" s="31">
        <f>(1 - CUSTOS!$M$30)*29.8076</f>
        <v>29.807600000000001</v>
      </c>
      <c r="AI58" s="31">
        <f>(1 - CUSTOS!$M$30)*29.8076</f>
        <v>29.807600000000001</v>
      </c>
      <c r="AJ58" s="31">
        <f ca="1">$N$79*(1-CUSTOS!$M$30)</f>
        <v>10.616442891936494</v>
      </c>
      <c r="AK58" s="31">
        <f t="shared" ca="1" si="1"/>
        <v>10.616442891936494</v>
      </c>
      <c r="AL58" s="31"/>
      <c r="AM58" s="31"/>
      <c r="AP58" s="31">
        <f>IF((1 - CUSTOS!$M$30)&lt;&gt;0,1/(1 - CUSTOS!$M$30),1)</f>
        <v>1</v>
      </c>
    </row>
    <row r="59" spans="1:42" ht="11.25" customHeight="1" x14ac:dyDescent="0.25">
      <c r="A59" s="97" t="s">
        <v>37</v>
      </c>
      <c r="B59" s="97" t="s">
        <v>33</v>
      </c>
      <c r="C59" s="97" t="s">
        <v>25</v>
      </c>
      <c r="D59" s="97" t="s">
        <v>25</v>
      </c>
      <c r="E59" s="97" t="s">
        <v>25</v>
      </c>
      <c r="F59" s="97" t="s">
        <v>25</v>
      </c>
      <c r="G59" s="38" t="s">
        <v>103</v>
      </c>
      <c r="H59" s="38" t="s">
        <v>102</v>
      </c>
      <c r="I59" s="38">
        <f>'MERCADO TUSD'!$U$56</f>
        <v>54.588999999999999</v>
      </c>
      <c r="J59" s="15"/>
      <c r="L59" s="31">
        <f>1*(1 - CUSTOS!$M$31)</f>
        <v>1</v>
      </c>
      <c r="M59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CUSTOS!$M$31)</f>
        <v>0.86112668687503213</v>
      </c>
      <c r="N59" s="31">
        <f ca="1">(+M59+O59+R59+U59+V59+W59+X59+Y59+Z59+AA59+AC59+AH59+AI59+AJ59+AK59)*CUSTOS!$M$5</f>
        <v>9.0452401247074796</v>
      </c>
      <c r="O59" s="31">
        <f>1 - CUSTOS!$M$31</f>
        <v>1</v>
      </c>
      <c r="P59" s="31">
        <f>1 - CUSTOS!$M$31</f>
        <v>1</v>
      </c>
      <c r="Q59" s="31">
        <f>1*(1 - CUSTOS!$M$31)</f>
        <v>1</v>
      </c>
      <c r="R59" s="31">
        <f>1 - CUSTOS!$M$31</f>
        <v>1</v>
      </c>
      <c r="S59" s="31">
        <f>1 - CUSTOS!$M$31</f>
        <v>1</v>
      </c>
      <c r="T59" s="31"/>
      <c r="U59" s="31">
        <f>TRANSICAO!$U$59*CUSTOS!$T$3</f>
        <v>90.194000000000003</v>
      </c>
      <c r="V59" s="31">
        <f>TRANSICAO!$V$59*CUSTOS!$T$3</f>
        <v>27.005600000000001</v>
      </c>
      <c r="W59" s="31">
        <f>TRANSICAO!$W$59*CUSTOS!$T$3</f>
        <v>9.0503999999999998</v>
      </c>
      <c r="X59" s="31">
        <f>TRANSICAO!$X$59*CUSTOS!$T$3</f>
        <v>0.3216</v>
      </c>
      <c r="Y59" s="31">
        <f>TRANSICAO!$Y$59*CUSTOS!$T$3</f>
        <v>7.0770999999999997</v>
      </c>
      <c r="Z59" s="31">
        <f>TRANSICAO!$Z$59*CUSTOS!$T$3</f>
        <v>0</v>
      </c>
      <c r="AA59" s="31">
        <f>TRANSICAO!$AA$59*CUSTOS!$T$3</f>
        <v>0</v>
      </c>
      <c r="AB59" s="31">
        <f>TRANSICAO!$AB$59*CUSTOS!$T$3</f>
        <v>0</v>
      </c>
      <c r="AC59" s="31">
        <f>TRANSICAO!$AC$59*CUSTOS!$T$3</f>
        <v>687.16610000000003</v>
      </c>
      <c r="AD59" s="31">
        <f>TRANSICAO!$AD$59*CUSTOS!$T$3</f>
        <v>0</v>
      </c>
      <c r="AE59" s="31">
        <v>0</v>
      </c>
      <c r="AF59" s="31">
        <v>0</v>
      </c>
      <c r="AG59" s="31"/>
      <c r="AH59" s="31">
        <f>(1 - CUSTOS!$M$31)*29.8076</f>
        <v>29.807600000000001</v>
      </c>
      <c r="AI59" s="31">
        <f>(1 - CUSTOS!$M$31)*29.8076</f>
        <v>29.807600000000001</v>
      </c>
      <c r="AJ59" s="31">
        <f ca="1">$N$79*(1-CUSTOS!$M$31)</f>
        <v>10.616442891936494</v>
      </c>
      <c r="AK59" s="31">
        <f t="shared" ca="1" si="1"/>
        <v>10.616442891936494</v>
      </c>
      <c r="AL59" s="31"/>
      <c r="AM59" s="31"/>
      <c r="AP59" s="31">
        <f>IF((1 - CUSTOS!$M$31)&lt;&gt;0,1/(1 - CUSTOS!$M$31),1)</f>
        <v>1</v>
      </c>
    </row>
    <row r="60" spans="1:42" ht="11.25" customHeight="1" x14ac:dyDescent="0.25">
      <c r="A60" s="97"/>
      <c r="B60" s="97"/>
      <c r="C60" s="97"/>
      <c r="D60" s="97"/>
      <c r="E60" s="97"/>
      <c r="F60" s="97"/>
      <c r="G60" s="38" t="s">
        <v>113</v>
      </c>
      <c r="H60" s="38" t="s">
        <v>102</v>
      </c>
      <c r="I60" s="38">
        <f>'MERCADO TUSD'!$U$57</f>
        <v>66.038999999999987</v>
      </c>
      <c r="J60" s="15"/>
      <c r="L60" s="31">
        <f>1*(1 - CUSTOS!$M$31)</f>
        <v>1</v>
      </c>
      <c r="M60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CUSTOS!$M$31)</f>
        <v>0.86112668687503213</v>
      </c>
      <c r="N60" s="31">
        <f ca="1">(+M60+O60+R60+U60+V60+W60+X60+Y60+Z60+AA60+AC60+AH60+AI60+AJ60+AK60)*CUSTOS!$M$5</f>
        <v>5.7619821247074787</v>
      </c>
      <c r="O60" s="31">
        <f>1 - CUSTOS!$M$31</f>
        <v>1</v>
      </c>
      <c r="P60" s="31">
        <f>1 - CUSTOS!$M$31</f>
        <v>1</v>
      </c>
      <c r="Q60" s="31">
        <f>1*(1 - CUSTOS!$M$31)</f>
        <v>1</v>
      </c>
      <c r="R60" s="31">
        <f>1 - CUSTOS!$M$31</f>
        <v>1</v>
      </c>
      <c r="S60" s="31">
        <f>1 - CUSTOS!$M$31</f>
        <v>1</v>
      </c>
      <c r="T60" s="31"/>
      <c r="U60" s="31">
        <f>TRANSICAO!$U$60*CUSTOS!$T$3</f>
        <v>54.116399999999999</v>
      </c>
      <c r="V60" s="31">
        <f>TRANSICAO!$V$60*CUSTOS!$T$3</f>
        <v>16.203399999999998</v>
      </c>
      <c r="W60" s="31">
        <f>TRANSICAO!$W$60*CUSTOS!$T$3</f>
        <v>5.4302999999999999</v>
      </c>
      <c r="X60" s="31">
        <f>TRANSICAO!$X$60*CUSTOS!$T$3</f>
        <v>0.193</v>
      </c>
      <c r="Y60" s="31">
        <f>TRANSICAO!$Y$60*CUSTOS!$T$3</f>
        <v>4.2462</v>
      </c>
      <c r="Z60" s="31">
        <f>TRANSICAO!$Z$60*CUSTOS!$T$3</f>
        <v>0</v>
      </c>
      <c r="AA60" s="31">
        <f>TRANSICAO!$AA$60*CUSTOS!$T$3</f>
        <v>0</v>
      </c>
      <c r="AB60" s="31">
        <f>TRANSICAO!$AB$60*CUSTOS!$T$3</f>
        <v>0</v>
      </c>
      <c r="AC60" s="31">
        <f>TRANSICAO!$AC$60*CUSTOS!$T$3</f>
        <v>412.29969999999997</v>
      </c>
      <c r="AD60" s="31">
        <f>TRANSICAO!$AD$60*CUSTOS!$T$3</f>
        <v>0</v>
      </c>
      <c r="AE60" s="31">
        <v>0</v>
      </c>
      <c r="AF60" s="31">
        <v>0</v>
      </c>
      <c r="AG60" s="31"/>
      <c r="AH60" s="31">
        <f>(1 - CUSTOS!$M$31)*29.8076</f>
        <v>29.807600000000001</v>
      </c>
      <c r="AI60" s="31">
        <f>(1 - CUSTOS!$M$31)*29.8076</f>
        <v>29.807600000000001</v>
      </c>
      <c r="AJ60" s="31">
        <f ca="1">$N$79*(1-CUSTOS!$M$31)</f>
        <v>10.616442891936494</v>
      </c>
      <c r="AK60" s="31">
        <f t="shared" ca="1" si="1"/>
        <v>10.616442891936494</v>
      </c>
      <c r="AL60" s="31"/>
      <c r="AM60" s="31"/>
      <c r="AP60" s="31">
        <f>IF((1 - CUSTOS!$M$31)&lt;&gt;0,1/(1 - CUSTOS!$M$31),1)</f>
        <v>1</v>
      </c>
    </row>
    <row r="61" spans="1:42" ht="11.25" customHeight="1" x14ac:dyDescent="0.25">
      <c r="A61" s="97"/>
      <c r="B61" s="97"/>
      <c r="C61" s="97"/>
      <c r="D61" s="97"/>
      <c r="E61" s="97"/>
      <c r="F61" s="97"/>
      <c r="G61" s="38" t="s">
        <v>104</v>
      </c>
      <c r="H61" s="38" t="s">
        <v>102</v>
      </c>
      <c r="I61" s="38">
        <f>'MERCADO TUSD'!$U$58</f>
        <v>1004.5179999999999</v>
      </c>
      <c r="J61" s="15"/>
      <c r="L61" s="31">
        <f>1*(1 - CUSTOS!$M$31)</f>
        <v>1</v>
      </c>
      <c r="M61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CUSTOS!$M$31)</f>
        <v>0.86112668687503213</v>
      </c>
      <c r="N61" s="31">
        <f ca="1">(+M61+O61+R61+U61+V61+W61+X61+Y61+Z61+AA61+AC61+AH61+AI61+AJ61+AK61)*CUSTOS!$M$5</f>
        <v>2.4787211247074801</v>
      </c>
      <c r="O61" s="31">
        <f>1 - CUSTOS!$M$31</f>
        <v>1</v>
      </c>
      <c r="P61" s="31">
        <f>1 - CUSTOS!$M$31</f>
        <v>1</v>
      </c>
      <c r="Q61" s="31">
        <f>1*(1 - CUSTOS!$M$31)</f>
        <v>1</v>
      </c>
      <c r="R61" s="31">
        <f>1 - CUSTOS!$M$31</f>
        <v>1</v>
      </c>
      <c r="S61" s="31">
        <f>1 - CUSTOS!$M$31</f>
        <v>1</v>
      </c>
      <c r="T61" s="31"/>
      <c r="U61" s="31">
        <f>TRANSICAO!$U$61*CUSTOS!$T$3</f>
        <v>18.038799999999998</v>
      </c>
      <c r="V61" s="31">
        <f>TRANSICAO!$V$61*CUSTOS!$T$3</f>
        <v>5.4010999999999996</v>
      </c>
      <c r="W61" s="31">
        <f>TRANSICAO!$W$61*CUSTOS!$T$3</f>
        <v>1.8101</v>
      </c>
      <c r="X61" s="31">
        <f>TRANSICAO!$X$61*CUSTOS!$T$3</f>
        <v>6.4299999999999996E-2</v>
      </c>
      <c r="Y61" s="31">
        <f>TRANSICAO!$Y$61*CUSTOS!$T$3</f>
        <v>1.4154</v>
      </c>
      <c r="Z61" s="31">
        <f>TRANSICAO!$Z$61*CUSTOS!$T$3</f>
        <v>0</v>
      </c>
      <c r="AA61" s="31">
        <f>TRANSICAO!$AA$61*CUSTOS!$T$3</f>
        <v>0</v>
      </c>
      <c r="AB61" s="31">
        <f>TRANSICAO!$AB$61*CUSTOS!$T$3</f>
        <v>0</v>
      </c>
      <c r="AC61" s="31">
        <f>TRANSICAO!$AC$61*CUSTOS!$T$3</f>
        <v>137.4332</v>
      </c>
      <c r="AD61" s="31">
        <f>TRANSICAO!$AD$61*CUSTOS!$T$3</f>
        <v>0</v>
      </c>
      <c r="AE61" s="31">
        <v>0</v>
      </c>
      <c r="AF61" s="31">
        <v>0</v>
      </c>
      <c r="AG61" s="31"/>
      <c r="AH61" s="31">
        <f>(1 - CUSTOS!$M$31)*29.8076</f>
        <v>29.807600000000001</v>
      </c>
      <c r="AI61" s="31">
        <f>(1 - CUSTOS!$M$31)*29.8076</f>
        <v>29.807600000000001</v>
      </c>
      <c r="AJ61" s="31">
        <f ca="1">$N$79*(1-CUSTOS!$M$31)</f>
        <v>10.616442891936494</v>
      </c>
      <c r="AK61" s="31">
        <f t="shared" ca="1" si="1"/>
        <v>10.616442891936494</v>
      </c>
      <c r="AL61" s="31"/>
      <c r="AM61" s="31"/>
      <c r="AP61" s="31">
        <f>IF((1 - CUSTOS!$M$31)&lt;&gt;0,1/(1 - CUSTOS!$M$31),1)</f>
        <v>1</v>
      </c>
    </row>
    <row r="62" spans="1:42" ht="11.25" customHeight="1" x14ac:dyDescent="0.25">
      <c r="A62" s="97"/>
      <c r="B62" s="37" t="s">
        <v>23</v>
      </c>
      <c r="C62" s="37" t="s">
        <v>25</v>
      </c>
      <c r="D62" s="37" t="s">
        <v>25</v>
      </c>
      <c r="E62" s="37" t="s">
        <v>25</v>
      </c>
      <c r="F62" s="37" t="s">
        <v>25</v>
      </c>
      <c r="G62" s="38" t="s">
        <v>108</v>
      </c>
      <c r="H62" s="38" t="s">
        <v>102</v>
      </c>
      <c r="I62" s="38">
        <f>'MERCADO TUSD'!$U$59</f>
        <v>650710.04299999995</v>
      </c>
      <c r="J62" s="15"/>
      <c r="L62" s="31">
        <f>1*(1 - CUSTOS!$M$31)</f>
        <v>1</v>
      </c>
      <c r="M62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CUSTOS!$M$31)</f>
        <v>0.86112668687503213</v>
      </c>
      <c r="N62" s="31">
        <f ca="1">(+M62+O62+R62+U62+V62+W62+X62+Y62+Z62+AA62+AC62+AH62+AI62+AJ62+AK62)*CUSTOS!$M$5</f>
        <v>3.2512541247074802</v>
      </c>
      <c r="O62" s="31">
        <f>1 - CUSTOS!$M$31</f>
        <v>1</v>
      </c>
      <c r="P62" s="31">
        <f>1 - CUSTOS!$M$31</f>
        <v>1</v>
      </c>
      <c r="Q62" s="31">
        <f>1*(1 - CUSTOS!$M$31)</f>
        <v>1</v>
      </c>
      <c r="R62" s="31">
        <f>1 - CUSTOS!$M$31</f>
        <v>1</v>
      </c>
      <c r="S62" s="31">
        <f>1 - CUSTOS!$M$31</f>
        <v>1</v>
      </c>
      <c r="T62" s="31"/>
      <c r="U62" s="31">
        <f>TRANSICAO!$U$62*CUSTOS!$T$3</f>
        <v>26.527699999999999</v>
      </c>
      <c r="V62" s="31">
        <f>TRANSICAO!$V$62*CUSTOS!$T$3</f>
        <v>7.9428000000000001</v>
      </c>
      <c r="W62" s="31">
        <f>TRANSICAO!$W$62*CUSTOS!$T$3</f>
        <v>2.6619000000000002</v>
      </c>
      <c r="X62" s="31">
        <f>TRANSICAO!$X$62*CUSTOS!$T$3</f>
        <v>9.4600000000000004E-2</v>
      </c>
      <c r="Y62" s="31">
        <f>TRANSICAO!$Y$62*CUSTOS!$T$3</f>
        <v>2.0815000000000001</v>
      </c>
      <c r="Z62" s="31">
        <f>TRANSICAO!$Z$62*CUSTOS!$T$3</f>
        <v>0</v>
      </c>
      <c r="AA62" s="31">
        <f>TRANSICAO!$AA$62*CUSTOS!$T$3</f>
        <v>0</v>
      </c>
      <c r="AB62" s="31">
        <f>TRANSICAO!$AB$62*CUSTOS!$T$3</f>
        <v>0</v>
      </c>
      <c r="AC62" s="31">
        <f>TRANSICAO!$AC$62*CUSTOS!$T$3</f>
        <v>202.10769999999999</v>
      </c>
      <c r="AD62" s="31">
        <f>TRANSICAO!$AD$62*CUSTOS!$T$3</f>
        <v>0</v>
      </c>
      <c r="AE62" s="31">
        <v>0</v>
      </c>
      <c r="AF62" s="31">
        <v>0</v>
      </c>
      <c r="AG62" s="31"/>
      <c r="AH62" s="31">
        <f>(1 - CUSTOS!$M$31)*29.8076</f>
        <v>29.807600000000001</v>
      </c>
      <c r="AI62" s="31">
        <f>(1 - CUSTOS!$M$31)*29.8076</f>
        <v>29.807600000000001</v>
      </c>
      <c r="AJ62" s="31">
        <f ca="1">$N$79*(1-CUSTOS!$M$31)</f>
        <v>10.616442891936494</v>
      </c>
      <c r="AK62" s="31">
        <f t="shared" ca="1" si="1"/>
        <v>10.616442891936494</v>
      </c>
      <c r="AL62" s="31"/>
      <c r="AM62" s="31"/>
      <c r="AP62" s="31">
        <f>IF((1 - CUSTOS!$M$31)&lt;&gt;0,1/(1 - CUSTOS!$M$31),1)</f>
        <v>1</v>
      </c>
    </row>
    <row r="63" spans="1:42" ht="11.25" customHeight="1" x14ac:dyDescent="0.25">
      <c r="A63" s="97"/>
      <c r="B63" s="37" t="s">
        <v>115</v>
      </c>
      <c r="C63" s="37" t="s">
        <v>25</v>
      </c>
      <c r="D63" s="37" t="s">
        <v>25</v>
      </c>
      <c r="E63" s="37" t="s">
        <v>25</v>
      </c>
      <c r="F63" s="37" t="s">
        <v>25</v>
      </c>
      <c r="G63" s="38" t="s">
        <v>108</v>
      </c>
      <c r="H63" s="38" t="s">
        <v>102</v>
      </c>
      <c r="I63" s="38">
        <f>'MERCADO TUSD'!$U$60</f>
        <v>0</v>
      </c>
      <c r="J63" s="15"/>
      <c r="L63" s="31">
        <f>1*(1 - CUSTOS!$M$31)</f>
        <v>1</v>
      </c>
      <c r="M63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CUSTOS!$M$31)</f>
        <v>0.86112668687503213</v>
      </c>
      <c r="N63" s="31">
        <f ca="1">(+M63+O63+R63+U63+V63+W63+X63+Y63+Z63+AA63+AC63+AH63+AI63+AJ63+AK63)*CUSTOS!$M$5</f>
        <v>3.2512541247074802</v>
      </c>
      <c r="O63" s="31">
        <f>1 - CUSTOS!$M$31</f>
        <v>1</v>
      </c>
      <c r="P63" s="31">
        <f>1 - CUSTOS!$M$31</f>
        <v>1</v>
      </c>
      <c r="Q63" s="31">
        <f>1*(1 - CUSTOS!$M$31)</f>
        <v>1</v>
      </c>
      <c r="R63" s="31">
        <f>1 - CUSTOS!$M$31</f>
        <v>1</v>
      </c>
      <c r="S63" s="31">
        <f>1 - CUSTOS!$M$31</f>
        <v>1</v>
      </c>
      <c r="T63" s="31"/>
      <c r="U63" s="31">
        <f>TRANSICAO!$U$63*CUSTOS!$T$3</f>
        <v>26.527699999999999</v>
      </c>
      <c r="V63" s="31">
        <f>TRANSICAO!$V$63*CUSTOS!$T$3</f>
        <v>7.9428000000000001</v>
      </c>
      <c r="W63" s="31">
        <f>TRANSICAO!$W$63*CUSTOS!$T$3</f>
        <v>2.6619000000000002</v>
      </c>
      <c r="X63" s="31">
        <f>TRANSICAO!$X$63*CUSTOS!$T$3</f>
        <v>9.4600000000000004E-2</v>
      </c>
      <c r="Y63" s="31">
        <f>TRANSICAO!$Y$63*CUSTOS!$T$3</f>
        <v>2.0815000000000001</v>
      </c>
      <c r="Z63" s="31">
        <f>TRANSICAO!$Z$63*CUSTOS!$T$3</f>
        <v>0</v>
      </c>
      <c r="AA63" s="31">
        <f>TRANSICAO!$AA$63*CUSTOS!$T$3</f>
        <v>0</v>
      </c>
      <c r="AB63" s="31">
        <f>TRANSICAO!$AB$63*CUSTOS!$T$3</f>
        <v>0</v>
      </c>
      <c r="AC63" s="31">
        <f>TRANSICAO!$AC$63*CUSTOS!$T$3</f>
        <v>202.10769999999999</v>
      </c>
      <c r="AD63" s="31">
        <f>TRANSICAO!$AD$63*CUSTOS!$T$3</f>
        <v>0</v>
      </c>
      <c r="AE63" s="31">
        <v>0</v>
      </c>
      <c r="AF63" s="31">
        <v>0</v>
      </c>
      <c r="AG63" s="31"/>
      <c r="AH63" s="31">
        <f>(1 - CUSTOS!$M$31)*29.8076</f>
        <v>29.807600000000001</v>
      </c>
      <c r="AI63" s="31">
        <f>(1 - CUSTOS!$M$31)*29.8076</f>
        <v>29.807600000000001</v>
      </c>
      <c r="AJ63" s="31">
        <f ca="1">$N$79*(1-CUSTOS!$M$31)</f>
        <v>10.616442891936494</v>
      </c>
      <c r="AK63" s="31">
        <f t="shared" ca="1" si="1"/>
        <v>10.616442891936494</v>
      </c>
      <c r="AL63" s="31"/>
      <c r="AM63" s="31"/>
      <c r="AP63" s="31">
        <f>IF((1 - CUSTOS!$M$31)&lt;&gt;0,1/(1 - CUSTOS!$M$31),1)</f>
        <v>1</v>
      </c>
    </row>
    <row r="64" spans="1:42" ht="11.25" customHeight="1" x14ac:dyDescent="0.25">
      <c r="A64" s="97" t="s">
        <v>47</v>
      </c>
      <c r="B64" s="97" t="s">
        <v>23</v>
      </c>
      <c r="C64" s="97" t="s">
        <v>48</v>
      </c>
      <c r="D64" s="37" t="s">
        <v>49</v>
      </c>
      <c r="E64" s="37" t="s">
        <v>25</v>
      </c>
      <c r="F64" s="37" t="s">
        <v>25</v>
      </c>
      <c r="G64" s="38" t="s">
        <v>108</v>
      </c>
      <c r="H64" s="38" t="s">
        <v>102</v>
      </c>
      <c r="I64" s="38">
        <f>'MERCADO TUSD'!$U$61</f>
        <v>252172.81799999997</v>
      </c>
      <c r="J64" s="15"/>
      <c r="L64" s="31">
        <f>1*(1 - CUSTOS!$M$32)</f>
        <v>0.55000000000000004</v>
      </c>
      <c r="M64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CUSTOS!$M$32)</f>
        <v>0.47361967778126773</v>
      </c>
      <c r="N64" s="31">
        <f ca="1">(+M64+O64+R64+U64+V64+W64+X64+Y64+Z64+AA64+AC64+AH64+AI64+AJ64+AK64)*CUSTOS!$M$5</f>
        <v>1.7881897685891142</v>
      </c>
      <c r="O64" s="31">
        <f>1 - CUSTOS!$M$32</f>
        <v>0.55000000000000004</v>
      </c>
      <c r="P64" s="31">
        <f>1 - CUSTOS!$M$32</f>
        <v>0.55000000000000004</v>
      </c>
      <c r="Q64" s="31">
        <f>1*(1 - CUSTOS!$M$32)</f>
        <v>0.55000000000000004</v>
      </c>
      <c r="R64" s="31">
        <f>1 - CUSTOS!$M$32</f>
        <v>0.55000000000000004</v>
      </c>
      <c r="S64" s="31">
        <f>1 - CUSTOS!$M$32</f>
        <v>0.55000000000000004</v>
      </c>
      <c r="T64" s="31"/>
      <c r="U64" s="31">
        <f>TRANSICAO!$U$64*CUSTOS!$T$3</f>
        <v>14.590235000000002</v>
      </c>
      <c r="V64" s="31">
        <f>TRANSICAO!$V$64*CUSTOS!$T$3</f>
        <v>4.3685400000000003</v>
      </c>
      <c r="W64" s="31">
        <f>TRANSICAO!$W$64*CUSTOS!$T$3</f>
        <v>1.4640450000000003</v>
      </c>
      <c r="X64" s="31">
        <f>TRANSICAO!$X$64*CUSTOS!$T$3</f>
        <v>5.2030000000000007E-2</v>
      </c>
      <c r="Y64" s="31">
        <f>TRANSICAO!$Y$64*CUSTOS!$T$3</f>
        <v>1.1448250000000002</v>
      </c>
      <c r="Z64" s="31">
        <f>TRANSICAO!$Z$64*CUSTOS!$T$3</f>
        <v>0</v>
      </c>
      <c r="AA64" s="31">
        <f>TRANSICAO!$AA$64*CUSTOS!$T$3</f>
        <v>0</v>
      </c>
      <c r="AB64" s="31">
        <f>TRANSICAO!$AB$64*CUSTOS!$T$3</f>
        <v>0</v>
      </c>
      <c r="AC64" s="31">
        <f>TRANSICAO!$AC$64*CUSTOS!$T$3</f>
        <v>111.15923500000001</v>
      </c>
      <c r="AD64" s="31">
        <f>TRANSICAO!$AD$64*CUSTOS!$T$3</f>
        <v>0</v>
      </c>
      <c r="AE64" s="31">
        <v>0</v>
      </c>
      <c r="AF64" s="31">
        <v>0</v>
      </c>
      <c r="AG64" s="31"/>
      <c r="AH64" s="31">
        <f>(1 - CUSTOS!$M$32)*29.8076</f>
        <v>16.394180000000002</v>
      </c>
      <c r="AI64" s="31">
        <f>(1 - CUSTOS!$M$32)*29.8076</f>
        <v>16.394180000000002</v>
      </c>
      <c r="AJ64" s="31">
        <f ca="1">$N$79*(1-CUSTOS!$M$32)</f>
        <v>5.8390435905650717</v>
      </c>
      <c r="AK64" s="31">
        <f t="shared" ca="1" si="1"/>
        <v>5.8390435905650717</v>
      </c>
      <c r="AL64" s="31"/>
      <c r="AM64" s="31"/>
      <c r="AP64" s="31">
        <f>IF((1 - CUSTOS!$M$32)&lt;&gt;0,1/(1 - CUSTOS!$M$32),1)</f>
        <v>1.8181818181818181</v>
      </c>
    </row>
    <row r="65" spans="1:42" ht="11.25" customHeight="1" x14ac:dyDescent="0.25">
      <c r="A65" s="97"/>
      <c r="B65" s="97"/>
      <c r="C65" s="97"/>
      <c r="D65" s="38" t="s">
        <v>118</v>
      </c>
      <c r="E65" s="38" t="s">
        <v>25</v>
      </c>
      <c r="F65" s="38" t="s">
        <v>25</v>
      </c>
      <c r="G65" s="38" t="s">
        <v>108</v>
      </c>
      <c r="H65" s="38" t="s">
        <v>102</v>
      </c>
      <c r="I65" s="38">
        <f>'MERCADO TUSD'!$U$62</f>
        <v>0</v>
      </c>
      <c r="J65" s="15"/>
      <c r="L65" s="31">
        <f>1*(1 - CUSTOS!$M$33)</f>
        <v>0.6</v>
      </c>
      <c r="M65" s="31">
        <f>IF(AND((+$I$31+$I$32+$I$33+$I$34+$I$35+$I$36+$I$37+$I$38+$I$39+$I$40+$I$41+$I$42+$I$43+$I$44+$I$45+$I$46+$I$47+$I$48+$I$49+$I$50+$I$51+$I$52+$I$53+$I$54+$I$55+$I$56+$I$57+$I$58+$I$59+$I$60+$I$61+$I$62+$I$63+$I$64+$I$65)&lt;&gt;0,SUMPRODUCT($I$5:$I$65,$AC$5:$AC$65,$AP$5:$AP$65)&lt;&gt;0),$M$70*SUMPRODUCT($I$31:$I$65,$AC$31:$AC$65,$AP$31:$AP$65)/SUMPRODUCT($I$5:$I$65,$AC$5:$AC$65,$AP$5:$AP$65)/(+$I$31+$I$32+$I$33+$I$34+$I$35+$I$36+$I$37+$I$38+$I$39+$I$40+$I$41+$I$42+$I$43+$I$44+$I$45+$I$46+$I$47+$I$48+$I$49+$I$50+$I$51+$I$52+$I$53+$I$54+$I$55+$I$56+$I$57+$I$58+$I$59+$I$60+$I$61+$I$62+$I$63+$I$64+$I$65),0)*(1 - CUSTOS!$M$33)</f>
        <v>0.51667601212501924</v>
      </c>
      <c r="N65" s="31">
        <f ca="1">(+M65+O65+R65+U65+V65+W65+X65+Y65+Z65+AA65+AC65+AH65+AI65+AJ65+AK65)*CUSTOS!$M$5</f>
        <v>1.9507524748244882</v>
      </c>
      <c r="O65" s="31">
        <f>1 - CUSTOS!$M$33</f>
        <v>0.6</v>
      </c>
      <c r="P65" s="31">
        <f>1 - CUSTOS!$M$33</f>
        <v>0.6</v>
      </c>
      <c r="Q65" s="31">
        <f>1*(1 - CUSTOS!$M$33)</f>
        <v>0.6</v>
      </c>
      <c r="R65" s="31">
        <f>1 - CUSTOS!$M$33</f>
        <v>0.6</v>
      </c>
      <c r="S65" s="31">
        <f>1 - CUSTOS!$M$33</f>
        <v>0.6</v>
      </c>
      <c r="T65" s="31"/>
      <c r="U65" s="31">
        <f>TRANSICAO!$U$65*CUSTOS!$T$3</f>
        <v>15.916619999999998</v>
      </c>
      <c r="V65" s="31">
        <f>TRANSICAO!$V$65*CUSTOS!$T$3</f>
        <v>4.7656799999999997</v>
      </c>
      <c r="W65" s="31">
        <f>TRANSICAO!$W$65*CUSTOS!$T$3</f>
        <v>1.59714</v>
      </c>
      <c r="X65" s="31">
        <f>TRANSICAO!$X$65*CUSTOS!$T$3</f>
        <v>5.6759999999999998E-2</v>
      </c>
      <c r="Y65" s="31">
        <f>TRANSICAO!$Y$65*CUSTOS!$T$3</f>
        <v>1.2489000000000001</v>
      </c>
      <c r="Z65" s="31">
        <f>TRANSICAO!$Z$65*CUSTOS!$T$3</f>
        <v>0</v>
      </c>
      <c r="AA65" s="31">
        <f>TRANSICAO!$AA$65*CUSTOS!$T$3</f>
        <v>0</v>
      </c>
      <c r="AB65" s="31">
        <f>TRANSICAO!$AB$65*CUSTOS!$T$3</f>
        <v>0</v>
      </c>
      <c r="AC65" s="31">
        <f>TRANSICAO!$AC$65*CUSTOS!$T$3</f>
        <v>121.26461999999999</v>
      </c>
      <c r="AD65" s="31">
        <f>TRANSICAO!$AD$65*CUSTOS!$T$3</f>
        <v>0</v>
      </c>
      <c r="AE65" s="31">
        <v>0</v>
      </c>
      <c r="AF65" s="31">
        <v>0</v>
      </c>
      <c r="AG65" s="31"/>
      <c r="AH65" s="31">
        <f>(1 - CUSTOS!$M$33)*29.8076</f>
        <v>17.88456</v>
      </c>
      <c r="AI65" s="31">
        <f>(1 - CUSTOS!$M$33)*29.8076</f>
        <v>17.88456</v>
      </c>
      <c r="AJ65" s="31">
        <f ca="1">$N$79*(1-CUSTOS!$M$33)</f>
        <v>6.3698657351618957</v>
      </c>
      <c r="AK65" s="31">
        <f t="shared" ca="1" si="1"/>
        <v>6.3698657351618957</v>
      </c>
      <c r="AL65" s="31"/>
      <c r="AM65" s="31"/>
      <c r="AP65" s="31">
        <f>IF((1 - CUSTOS!$M$33)&lt;&gt;0,1/(1 - CUSTOS!$M$33),1)</f>
        <v>1.6666666666666667</v>
      </c>
    </row>
    <row r="67" spans="1:42" ht="11.25" customHeight="1" x14ac:dyDescent="0.25">
      <c r="K67" s="34" t="s">
        <v>927</v>
      </c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</row>
    <row r="68" spans="1:42" ht="11.25" customHeight="1" x14ac:dyDescent="0.25">
      <c r="K68" s="34" t="s">
        <v>928</v>
      </c>
      <c r="L68" s="31">
        <f>IF(ISERROR(+SUMPRODUCT($L$12:$L$12,$I$12:$I$12)),0,+SUMPRODUCT($L$12:$L$12,$I$12:$I$12))</f>
        <v>0</v>
      </c>
      <c r="M68" s="31">
        <f>IF(ISERROR(+SUMPRODUCT($M$12:$M$12,$I$12:$I$12)),0,+SUMPRODUCT($M$12:$M$12,$I$12:$I$12))</f>
        <v>161425.97506836746</v>
      </c>
      <c r="N68" s="31">
        <f>IF(ISERROR(+SUMPRODUCT($N$12:$N$12,$I$12:$I$12)),0,+SUMPRODUCT($N$12:$N$12,$I$12:$I$12))</f>
        <v>369991.91502568783</v>
      </c>
      <c r="O68" s="31">
        <f>IF(ISERROR(+SUMPRODUCT($O$12:$O$12,$I$12:$I$12)),0,+SUMPRODUCT($O$12:$O$12,$I$12:$I$12))</f>
        <v>17138.631092668693</v>
      </c>
      <c r="P68" s="31">
        <f>IF(ISERROR(+SUMPRODUCT($P$12:$P$12,$I$12:$I$12)),0,+SUMPRODUCT($P$12:$P$12,$I$12:$I$12))</f>
        <v>0</v>
      </c>
      <c r="Q68" s="31">
        <f>IF(ISERROR(+SUMPRODUCT($Q$12:$Q$12,$I$12:$I$12)),0,+SUMPRODUCT($Q$12:$Q$12,$I$12:$I$12))</f>
        <v>0</v>
      </c>
      <c r="R68" s="31">
        <f>IF(ISERROR(+SUMPRODUCT($R$12:$R$12,$I$12:$I$12)),0,+SUMPRODUCT($R$12:$R$12,$I$12:$I$12))</f>
        <v>0</v>
      </c>
      <c r="S68" s="31">
        <f>IF(ISERROR(+SUMPRODUCT($S$12:$S$12,$I$12:$I$12)),0,+SUMPRODUCT($S$12:$S$12,$I$12:$I$12))</f>
        <v>0</v>
      </c>
      <c r="T68" s="31"/>
      <c r="U68" s="31">
        <f>IF(ISERROR(+SUMPRODUCT($U$12:$U$12,$I$12:$I$12)),0,+SUMPRODUCT($U$12:$U$12,$I$12:$I$12))</f>
        <v>0</v>
      </c>
      <c r="V68" s="31">
        <f>IF(ISERROR(+SUMPRODUCT($V$12:$V$12,$I$12:$I$12)),0,+SUMPRODUCT($V$12:$V$12,$I$12:$I$12))</f>
        <v>0</v>
      </c>
      <c r="W68" s="31">
        <f>IF(ISERROR(+SUMPRODUCT($W$12:$W$12,$I$12:$I$12)),0,+SUMPRODUCT($W$12:$W$12,$I$12:$I$12))</f>
        <v>589910.20010914432</v>
      </c>
      <c r="X68" s="31">
        <f>IF(ISERROR(+SUMPRODUCT($X$12:$X$12,$I$12:$I$12)),0,+SUMPRODUCT($X$12:$X$12,$I$12:$I$12))</f>
        <v>0</v>
      </c>
      <c r="Y68" s="31">
        <f>IF(ISERROR(+SUMPRODUCT($Y$12:$Y$12,$I$12:$I$12)),0,+SUMPRODUCT($Y$12:$Y$12,$I$12:$I$12))</f>
        <v>2560685.3468656056</v>
      </c>
      <c r="Z68" s="31">
        <f>IF(ISERROR(+SUMPRODUCT($Z$12:$Z$12,$I$12:$I$12)),0,+SUMPRODUCT($Z$12:$Z$12,$I$12:$I$12))</f>
        <v>0</v>
      </c>
      <c r="AA68" s="31">
        <f>IF(ISERROR(+SUMPRODUCT($AA$12:$AA$12,$I$12:$I$12)),0,+SUMPRODUCT($AA$12:$AA$12,$I$12:$I$12))</f>
        <v>0</v>
      </c>
      <c r="AB68" s="31"/>
      <c r="AC68" s="31">
        <f>IF(ISERROR(+SUMPRODUCT($AC$12:$AC$12,$I$12:$I$12)),0,+SUMPRODUCT($AC$12:$AC$12,$I$12:$I$12))</f>
        <v>29924985.959762391</v>
      </c>
      <c r="AD68" s="31"/>
      <c r="AE68" s="31">
        <f>IF(ISERROR(+SUMPRODUCT($AE$12:$AE$12,$I$12:$I$12)),0,+SUMPRODUCT($AE$12:$AE$12,$I$12:$I$12))</f>
        <v>0</v>
      </c>
      <c r="AF68" s="31">
        <f>IF(ISERROR(+SUMPRODUCT($AF$12:$AF$12,$I$12:$I$12)),0,+SUMPRODUCT($AF$12:$AF$12,$I$12:$I$12))</f>
        <v>0</v>
      </c>
      <c r="AG68" s="31"/>
      <c r="AH68" s="31">
        <f>IF(ISERROR(+SUMPRODUCT($AH$12:$AH$12,$I$12:$I$12)),0,+SUMPRODUCT($AH$12:$AH$12,$I$12:$I$12))</f>
        <v>2579636.9657865106</v>
      </c>
      <c r="AI68" s="31">
        <f>IF(ISERROR(+SUMPRODUCT($AI$12:$AI$12,$I$12:$I$12)),0,+SUMPRODUCT($AI$12:$AI$12,$I$12:$I$12))</f>
        <v>722169.71593059821</v>
      </c>
      <c r="AJ68" s="31">
        <f>IF(ISERROR(+SUMPRODUCT($AJ$12:$AJ$12,$I$12:$I$12)),0,+SUMPRODUCT($AJ$12:$AJ$12,$I$12:$I$12))</f>
        <v>0</v>
      </c>
      <c r="AK68" s="31">
        <f>IF(ISERROR(+SUMPRODUCT($AK$12:$AK$12,$I$12:$I$12)),0,+SUMPRODUCT($AK$12:$AK$12,$I$12:$I$12))</f>
        <v>0</v>
      </c>
      <c r="AL68" s="31"/>
      <c r="AM68" s="31"/>
    </row>
    <row r="69" spans="1:42" ht="11.25" customHeight="1" x14ac:dyDescent="0.25">
      <c r="K69" s="34" t="s">
        <v>929</v>
      </c>
      <c r="L69" s="31">
        <f>IF(ISERROR(+SUMPRODUCT($L$5:$L$8,$I$5:$I$8)+SUMPRODUCT($L$9:$L$11,$I$9:$I$11)+SUMPRODUCT($L$13:$L$16,$I$13:$I$16)+SUMPRODUCT($L$17:$L$19,$I$17:$I$19)+SUMPRODUCT($L$20:$L$22,$I$20:$I$22)+SUMPRODUCT($L$23:$L$23,$I$23:$I$23)+SUMPRODUCT($L$24:$L$28,$I$24:$I$28)+SUMPRODUCT($L$29:$L$30,$I$29:$I$30)+SUMPRODUCT($L$31:$L$33,$I$31:$I$33)+SUMPRODUCT($L$34:$L$38,$I$34:$I$38)+SUMPRODUCT($L$39:$L$43,$I$39:$I$43)+SUMPRODUCT($L$44:$L$46,$I$44:$I$46)+SUMPRODUCT($L$47:$L$47,$I$47:$I$47)+SUMPRODUCT($L$48:$L$50,$I$48:$I$50)+SUMPRODUCT($L$51:$L$51,$I$51:$I$51)+SUMPRODUCT($L$52:$L$54,$I$52:$I$54)+SUMPRODUCT($L$55:$L$55,$I$55:$I$55)+SUMPRODUCT($L$56:$L$58,$I$56:$I$58)+SUMPRODUCT($L$59:$L$61,$I$59:$I$61)+SUMPRODUCT($L$62:$L$62,$I$62:$I$62)+SUMPRODUCT($L$63:$L$63,$I$63:$I$63)+SUMPRODUCT($L$64:$L$65,$I$64:$I$65)),0,+SUMPRODUCT($L$5:$L$8,$I$5:$I$8)+SUMPRODUCT($L$9:$L$11,$I$9:$I$11)+SUMPRODUCT($L$13:$L$16,$I$13:$I$16)+SUMPRODUCT($L$17:$L$19,$I$17:$I$19)+SUMPRODUCT($L$20:$L$22,$I$20:$I$22)+SUMPRODUCT($L$23:$L$23,$I$23:$I$23)+SUMPRODUCT($L$24:$L$28,$I$24:$I$28)+SUMPRODUCT($L$29:$L$30,$I$29:$I$30)+SUMPRODUCT($L$31:$L$33,$I$31:$I$33)+SUMPRODUCT($L$34:$L$38,$I$34:$I$38)+SUMPRODUCT($L$39:$L$43,$I$39:$I$43)+SUMPRODUCT($L$44:$L$46,$I$44:$I$46)+SUMPRODUCT($L$47:$L$47,$I$47:$I$47)+SUMPRODUCT($L$48:$L$50,$I$48:$I$50)+SUMPRODUCT($L$51:$L$51,$I$51:$I$51)+SUMPRODUCT($L$52:$L$54,$I$52:$I$54)+SUMPRODUCT($L$55:$L$55,$I$55:$I$55)+SUMPRODUCT($L$56:$L$58,$I$56:$I$58)+SUMPRODUCT($L$59:$L$61,$I$59:$I$61)+SUMPRODUCT($L$62:$L$62,$I$62:$I$62)+SUMPRODUCT($L$63:$L$63,$I$63:$I$63)+SUMPRODUCT($L$64:$L$65,$I$64:$I$65))</f>
        <v>3533856.3555600005</v>
      </c>
      <c r="M69" s="31">
        <f>IF(ISERROR(+SUMPRODUCT($M$5:$M$8,$I$5:$I$8)+SUMPRODUCT($M$9:$M$11,$I$9:$I$11)+SUMPRODUCT($M$13:$M$16,$I$13:$I$16)+SUMPRODUCT($M$17:$M$19,$I$17:$I$19)+SUMPRODUCT($M$20:$M$22,$I$20:$I$22)+SUMPRODUCT($M$23:$M$23,$I$23:$I$23)+SUMPRODUCT($M$24:$M$28,$I$24:$I$28)+SUMPRODUCT($M$29:$M$30,$I$29:$I$30)+SUMPRODUCT($M$31:$M$33,$I$31:$I$33)+SUMPRODUCT($M$34:$M$38,$I$34:$I$38)+SUMPRODUCT($M$39:$M$43,$I$39:$I$43)+SUMPRODUCT($M$44:$M$46,$I$44:$I$46)+SUMPRODUCT($M$47:$M$47,$I$47:$I$47)+SUMPRODUCT($M$48:$M$50,$I$48:$I$50)+SUMPRODUCT($M$51:$M$51,$I$51:$I$51)+SUMPRODUCT($M$52:$M$54,$I$52:$I$54)+SUMPRODUCT($M$55:$M$55,$I$55:$I$55)+SUMPRODUCT($M$56:$M$58,$I$56:$I$58)+SUMPRODUCT($M$59:$M$61,$I$59:$I$61)+SUMPRODUCT($M$62:$M$62,$I$62:$I$62)+SUMPRODUCT($M$63:$M$63,$I$63:$I$63)+SUMPRODUCT($M$64:$M$65,$I$64:$I$65)),0,+SUMPRODUCT($M$5:$M$8,$I$5:$I$8)+SUMPRODUCT($M$9:$M$11,$I$9:$I$11)+SUMPRODUCT($M$13:$M$16,$I$13:$I$16)+SUMPRODUCT($M$17:$M$19,$I$17:$I$19)+SUMPRODUCT($M$20:$M$22,$I$20:$I$22)+SUMPRODUCT($M$23:$M$23,$I$23:$I$23)+SUMPRODUCT($M$24:$M$28,$I$24:$I$28)+SUMPRODUCT($M$29:$M$30,$I$29:$I$30)+SUMPRODUCT($M$31:$M$33,$I$31:$I$33)+SUMPRODUCT($M$34:$M$38,$I$34:$I$38)+SUMPRODUCT($M$39:$M$43,$I$39:$I$43)+SUMPRODUCT($M$44:$M$46,$I$44:$I$46)+SUMPRODUCT($M$47:$M$47,$I$47:$I$47)+SUMPRODUCT($M$48:$M$50,$I$48:$I$50)+SUMPRODUCT($M$51:$M$51,$I$51:$I$51)+SUMPRODUCT($M$52:$M$54,$I$52:$I$54)+SUMPRODUCT($M$55:$M$55,$I$55:$I$55)+SUMPRODUCT($M$56:$M$58,$I$56:$I$58)+SUMPRODUCT($M$59:$M$61,$I$59:$I$61)+SUMPRODUCT($M$62:$M$62,$I$62:$I$62)+SUMPRODUCT($M$63:$M$63,$I$63:$I$63)+SUMPRODUCT($M$64:$M$65,$I$64:$I$65))</f>
        <v>3269610.9521832182</v>
      </c>
      <c r="N69" s="31">
        <f ca="1">IF(ISERROR(+SUMPRODUCT($N$5:$N$8,$I$5:$I$8)+SUMPRODUCT($N$9:$N$11,$I$9:$I$11)+SUMPRODUCT($N$13:$N$16,$I$13:$I$16)+SUMPRODUCT($N$17:$N$19,$I$17:$I$19)+SUMPRODUCT($N$20:$N$22,$I$20:$I$22)+SUMPRODUCT($N$23:$N$23,$I$23:$I$23)+SUMPRODUCT($N$24:$N$28,$I$24:$I$28)+SUMPRODUCT($N$29:$N$30,$I$29:$I$30)+SUMPRODUCT($N$31:$N$33,$I$31:$I$33)+SUMPRODUCT($N$34:$N$38,$I$34:$I$38)+SUMPRODUCT($N$39:$N$43,$I$39:$I$43)+SUMPRODUCT($N$44:$N$46,$I$44:$I$46)+SUMPRODUCT($N$47:$N$47,$I$47:$I$47)+SUMPRODUCT($N$48:$N$50,$I$48:$I$50)+SUMPRODUCT($N$51:$N$51,$I$51:$I$51)+SUMPRODUCT($N$52:$N$54,$I$52:$I$54)+SUMPRODUCT($N$55:$N$55,$I$55:$I$55)+SUMPRODUCT($N$56:$N$58,$I$56:$I$58)+SUMPRODUCT($N$59:$N$61,$I$59:$I$61)+SUMPRODUCT($N$62:$N$62,$I$62:$I$62)+SUMPRODUCT($N$63:$N$63,$I$63:$I$63)+SUMPRODUCT($N$64:$N$65,$I$64:$I$65)),0,+SUMPRODUCT($N$5:$N$8,$I$5:$I$8)+SUMPRODUCT($N$9:$N$11,$I$9:$I$11)+SUMPRODUCT($N$13:$N$16,$I$13:$I$16)+SUMPRODUCT($N$17:$N$19,$I$17:$I$19)+SUMPRODUCT($N$20:$N$22,$I$20:$I$22)+SUMPRODUCT($N$23:$N$23,$I$23:$I$23)+SUMPRODUCT($N$24:$N$28,$I$24:$I$28)+SUMPRODUCT($N$29:$N$30,$I$29:$I$30)+SUMPRODUCT($N$31:$N$33,$I$31:$I$33)+SUMPRODUCT($N$34:$N$38,$I$34:$I$38)+SUMPRODUCT($N$39:$N$43,$I$39:$I$43)+SUMPRODUCT($N$44:$N$46,$I$44:$I$46)+SUMPRODUCT($N$47:$N$47,$I$47:$I$47)+SUMPRODUCT($N$48:$N$50,$I$48:$I$50)+SUMPRODUCT($N$51:$N$51,$I$51:$I$51)+SUMPRODUCT($N$52:$N$54,$I$52:$I$54)+SUMPRODUCT($N$55:$N$55,$I$55:$I$55)+SUMPRODUCT($N$56:$N$58,$I$56:$I$58)+SUMPRODUCT($N$59:$N$61,$I$59:$I$61)+SUMPRODUCT($N$62:$N$62,$I$62:$I$62)+SUMPRODUCT($N$63:$N$63,$I$63:$I$63)+SUMPRODUCT($N$64:$N$65,$I$64:$I$65))</f>
        <v>10900585.620790247</v>
      </c>
      <c r="O69" s="31">
        <f>IF(ISERROR(+SUMPRODUCT($O$5:$O$8,$I$5:$I$8)+SUMPRODUCT($O$9:$O$11,$I$9:$I$11)+SUMPRODUCT($O$13:$O$16,$I$13:$I$16)+SUMPRODUCT($O$17:$O$19,$I$17:$I$19)+SUMPRODUCT($O$20:$O$22,$I$20:$I$22)+SUMPRODUCT($O$23:$O$23,$I$23:$I$23)+SUMPRODUCT($O$24:$O$28,$I$24:$I$28)+SUMPRODUCT($O$29:$O$30,$I$29:$I$30)+SUMPRODUCT($O$31:$O$33,$I$31:$I$33)+SUMPRODUCT($O$34:$O$38,$I$34:$I$38)+SUMPRODUCT($O$39:$O$43,$I$39:$I$43)+SUMPRODUCT($O$44:$O$46,$I$44:$I$46)+SUMPRODUCT($O$47:$O$47,$I$47:$I$47)+SUMPRODUCT($O$48:$O$50,$I$48:$I$50)+SUMPRODUCT($O$51:$O$51,$I$51:$I$51)+SUMPRODUCT($O$52:$O$54,$I$52:$I$54)+SUMPRODUCT($O$55:$O$55,$I$55:$I$55)+SUMPRODUCT($O$56:$O$58,$I$56:$I$58)+SUMPRODUCT($O$59:$O$61,$I$59:$I$61)+SUMPRODUCT($O$62:$O$62,$I$62:$I$62)+SUMPRODUCT($O$63:$O$63,$I$63:$I$63)+SUMPRODUCT($O$64:$O$65,$I$64:$I$65)),0,+SUMPRODUCT($O$5:$O$8,$I$5:$I$8)+SUMPRODUCT($O$9:$O$11,$I$9:$I$11)+SUMPRODUCT($O$13:$O$16,$I$13:$I$16)+SUMPRODUCT($O$17:$O$19,$I$17:$I$19)+SUMPRODUCT($O$20:$O$22,$I$20:$I$22)+SUMPRODUCT($O$23:$O$23,$I$23:$I$23)+SUMPRODUCT($O$24:$O$28,$I$24:$I$28)+SUMPRODUCT($O$29:$O$30,$I$29:$I$30)+SUMPRODUCT($O$31:$O$33,$I$31:$I$33)+SUMPRODUCT($O$34:$O$38,$I$34:$I$38)+SUMPRODUCT($O$39:$O$43,$I$39:$I$43)+SUMPRODUCT($O$44:$O$46,$I$44:$I$46)+SUMPRODUCT($O$47:$O$47,$I$47:$I$47)+SUMPRODUCT($O$48:$O$50,$I$48:$I$50)+SUMPRODUCT($O$51:$O$51,$I$51:$I$51)+SUMPRODUCT($O$52:$O$54,$I$52:$I$54)+SUMPRODUCT($O$55:$O$55,$I$55:$I$55)+SUMPRODUCT($O$56:$O$58,$I$56:$I$58)+SUMPRODUCT($O$59:$O$61,$I$59:$I$61)+SUMPRODUCT($O$62:$O$62,$I$62:$I$62)+SUMPRODUCT($O$63:$O$63,$I$63:$I$63)+SUMPRODUCT($O$64:$O$65,$I$64:$I$65))</f>
        <v>4519976.6069</v>
      </c>
      <c r="P69" s="31">
        <f>IF(ISERROR(+SUMPRODUCT($P$5:$P$8,$I$5:$I$8)+SUMPRODUCT($P$9:$P$11,$I$9:$I$11)+SUMPRODUCT($P$13:$P$16,$I$13:$I$16)+SUMPRODUCT($P$17:$P$19,$I$17:$I$19)+SUMPRODUCT($P$20:$P$22,$I$20:$I$22)+SUMPRODUCT($P$23:$P$23,$I$23:$I$23)+SUMPRODUCT($P$24:$P$28,$I$24:$I$28)+SUMPRODUCT($P$29:$P$30,$I$29:$I$30)+SUMPRODUCT($P$31:$P$33,$I$31:$I$33)+SUMPRODUCT($P$34:$P$38,$I$34:$I$38)+SUMPRODUCT($P$39:$P$43,$I$39:$I$43)+SUMPRODUCT($P$44:$P$46,$I$44:$I$46)+SUMPRODUCT($P$47:$P$47,$I$47:$I$47)+SUMPRODUCT($P$48:$P$50,$I$48:$I$50)+SUMPRODUCT($P$51:$P$51,$I$51:$I$51)+SUMPRODUCT($P$52:$P$54,$I$52:$I$54)+SUMPRODUCT($P$55:$P$55,$I$55:$I$55)+SUMPRODUCT($P$56:$P$58,$I$56:$I$58)+SUMPRODUCT($P$59:$P$61,$I$59:$I$61)+SUMPRODUCT($P$62:$P$62,$I$62:$I$62)+SUMPRODUCT($P$63:$P$63,$I$63:$I$63)+SUMPRODUCT($P$64:$P$65,$I$64:$I$65)),0,+SUMPRODUCT($P$5:$P$8,$I$5:$I$8)+SUMPRODUCT($P$9:$P$11,$I$9:$I$11)+SUMPRODUCT($P$13:$P$16,$I$13:$I$16)+SUMPRODUCT($P$17:$P$19,$I$17:$I$19)+SUMPRODUCT($P$20:$P$22,$I$20:$I$22)+SUMPRODUCT($P$23:$P$23,$I$23:$I$23)+SUMPRODUCT($P$24:$P$28,$I$24:$I$28)+SUMPRODUCT($P$29:$P$30,$I$29:$I$30)+SUMPRODUCT($P$31:$P$33,$I$31:$I$33)+SUMPRODUCT($P$34:$P$38,$I$34:$I$38)+SUMPRODUCT($P$39:$P$43,$I$39:$I$43)+SUMPRODUCT($P$44:$P$46,$I$44:$I$46)+SUMPRODUCT($P$47:$P$47,$I$47:$I$47)+SUMPRODUCT($P$48:$P$50,$I$48:$I$50)+SUMPRODUCT($P$51:$P$51,$I$51:$I$51)+SUMPRODUCT($P$52:$P$54,$I$52:$I$54)+SUMPRODUCT($P$55:$P$55,$I$55:$I$55)+SUMPRODUCT($P$56:$P$58,$I$56:$I$58)+SUMPRODUCT($P$59:$P$61,$I$59:$I$61)+SUMPRODUCT($P$62:$P$62,$I$62:$I$62)+SUMPRODUCT($P$63:$P$63,$I$63:$I$63)+SUMPRODUCT($P$64:$P$65,$I$64:$I$65))</f>
        <v>3910535.2439000006</v>
      </c>
      <c r="Q69" s="31">
        <f>IF(ISERROR(+SUMPRODUCT($Q$5:$Q$8,$I$5:$I$8)+SUMPRODUCT($Q$9:$Q$11,$I$9:$I$11)+SUMPRODUCT($Q$13:$Q$16,$I$13:$I$16)+SUMPRODUCT($Q$17:$Q$19,$I$17:$I$19)+SUMPRODUCT($Q$20:$Q$22,$I$20:$I$22)+SUMPRODUCT($Q$23:$Q$23,$I$23:$I$23)+SUMPRODUCT($Q$24:$Q$28,$I$24:$I$28)+SUMPRODUCT($Q$29:$Q$30,$I$29:$I$30)+SUMPRODUCT($Q$31:$Q$33,$I$31:$I$33)+SUMPRODUCT($Q$34:$Q$38,$I$34:$I$38)+SUMPRODUCT($Q$39:$Q$43,$I$39:$I$43)+SUMPRODUCT($Q$44:$Q$46,$I$44:$I$46)+SUMPRODUCT($Q$47:$Q$47,$I$47:$I$47)+SUMPRODUCT($Q$48:$Q$50,$I$48:$I$50)+SUMPRODUCT($Q$51:$Q$51,$I$51:$I$51)+SUMPRODUCT($Q$52:$Q$54,$I$52:$I$54)+SUMPRODUCT($Q$55:$Q$55,$I$55:$I$55)+SUMPRODUCT($Q$56:$Q$58,$I$56:$I$58)+SUMPRODUCT($Q$59:$Q$61,$I$59:$I$61)+SUMPRODUCT($Q$62:$Q$62,$I$62:$I$62)+SUMPRODUCT($Q$63:$Q$63,$I$63:$I$63)+SUMPRODUCT($Q$64:$Q$65,$I$64:$I$65)),0,+SUMPRODUCT($Q$5:$Q$8,$I$5:$I$8)+SUMPRODUCT($Q$9:$Q$11,$I$9:$I$11)+SUMPRODUCT($Q$13:$Q$16,$I$13:$I$16)+SUMPRODUCT($Q$17:$Q$19,$I$17:$I$19)+SUMPRODUCT($Q$20:$Q$22,$I$20:$I$22)+SUMPRODUCT($Q$23:$Q$23,$I$23:$I$23)+SUMPRODUCT($Q$24:$Q$28,$I$24:$I$28)+SUMPRODUCT($Q$29:$Q$30,$I$29:$I$30)+SUMPRODUCT($Q$31:$Q$33,$I$31:$I$33)+SUMPRODUCT($Q$34:$Q$38,$I$34:$I$38)+SUMPRODUCT($Q$39:$Q$43,$I$39:$I$43)+SUMPRODUCT($Q$44:$Q$46,$I$44:$I$46)+SUMPRODUCT($Q$47:$Q$47,$I$47:$I$47)+SUMPRODUCT($Q$48:$Q$50,$I$48:$I$50)+SUMPRODUCT($Q$51:$Q$51,$I$51:$I$51)+SUMPRODUCT($Q$52:$Q$54,$I$52:$I$54)+SUMPRODUCT($Q$55:$Q$55,$I$55:$I$55)+SUMPRODUCT($Q$56:$Q$58,$I$56:$I$58)+SUMPRODUCT($Q$59:$Q$61,$I$59:$I$61)+SUMPRODUCT($Q$62:$Q$62,$I$62:$I$62)+SUMPRODUCT($Q$63:$Q$63,$I$63:$I$63)+SUMPRODUCT($Q$64:$Q$65,$I$64:$I$65))</f>
        <v>3533856.3555600005</v>
      </c>
      <c r="R69" s="31">
        <f>IF(ISERROR(+SUMPRODUCT($R$5:$R$8,$I$5:$I$8)+SUMPRODUCT($R$9:$R$11,$I$9:$I$11)+SUMPRODUCT($R$13:$R$16,$I$13:$I$16)+SUMPRODUCT($R$17:$R$19,$I$17:$I$19)+SUMPRODUCT($R$20:$R$22,$I$20:$I$22)+SUMPRODUCT($R$23:$R$23,$I$23:$I$23)+SUMPRODUCT($R$24:$R$28,$I$24:$I$28)+SUMPRODUCT($R$29:$R$30,$I$29:$I$30)+SUMPRODUCT($R$31:$R$33,$I$31:$I$33)+SUMPRODUCT($R$34:$R$38,$I$34:$I$38)+SUMPRODUCT($R$39:$R$43,$I$39:$I$43)+SUMPRODUCT($R$44:$R$46,$I$44:$I$46)+SUMPRODUCT($R$47:$R$47,$I$47:$I$47)+SUMPRODUCT($R$48:$R$50,$I$48:$I$50)+SUMPRODUCT($R$51:$R$51,$I$51:$I$51)+SUMPRODUCT($R$52:$R$54,$I$52:$I$54)+SUMPRODUCT($R$55:$R$55,$I$55:$I$55)+SUMPRODUCT($R$56:$R$58,$I$56:$I$58)+SUMPRODUCT($R$59:$R$61,$I$59:$I$61)+SUMPRODUCT($R$62:$R$62,$I$62:$I$62)+SUMPRODUCT($R$63:$R$63,$I$63:$I$63)+SUMPRODUCT($R$64:$R$65,$I$64:$I$65)),0,+SUMPRODUCT($R$5:$R$8,$I$5:$I$8)+SUMPRODUCT($R$9:$R$11,$I$9:$I$11)+SUMPRODUCT($R$13:$R$16,$I$13:$I$16)+SUMPRODUCT($R$17:$R$19,$I$17:$I$19)+SUMPRODUCT($R$20:$R$22,$I$20:$I$22)+SUMPRODUCT($R$23:$R$23,$I$23:$I$23)+SUMPRODUCT($R$24:$R$28,$I$24:$I$28)+SUMPRODUCT($R$29:$R$30,$I$29:$I$30)+SUMPRODUCT($R$31:$R$33,$I$31:$I$33)+SUMPRODUCT($R$34:$R$38,$I$34:$I$38)+SUMPRODUCT($R$39:$R$43,$I$39:$I$43)+SUMPRODUCT($R$44:$R$46,$I$44:$I$46)+SUMPRODUCT($R$47:$R$47,$I$47:$I$47)+SUMPRODUCT($R$48:$R$50,$I$48:$I$50)+SUMPRODUCT($R$51:$R$51,$I$51:$I$51)+SUMPRODUCT($R$52:$R$54,$I$52:$I$54)+SUMPRODUCT($R$55:$R$55,$I$55:$I$55)+SUMPRODUCT($R$56:$R$58,$I$56:$I$58)+SUMPRODUCT($R$59:$R$61,$I$59:$I$61)+SUMPRODUCT($R$62:$R$62,$I$62:$I$62)+SUMPRODUCT($R$63:$R$63,$I$63:$I$63)+SUMPRODUCT($R$64:$R$65,$I$64:$I$65))</f>
        <v>3910535.2439000006</v>
      </c>
      <c r="S69" s="31">
        <f>IF(ISERROR(+SUMPRODUCT($S$5:$S$8,$I$5:$I$8)+SUMPRODUCT($S$9:$S$11,$I$9:$I$11)+SUMPRODUCT($S$13:$S$16,$I$13:$I$16)+SUMPRODUCT($S$17:$S$19,$I$17:$I$19)+SUMPRODUCT($S$20:$S$22,$I$20:$I$22)+SUMPRODUCT($S$23:$S$23,$I$23:$I$23)+SUMPRODUCT($S$24:$S$28,$I$24:$I$28)+SUMPRODUCT($S$29:$S$30,$I$29:$I$30)+SUMPRODUCT($S$31:$S$33,$I$31:$I$33)+SUMPRODUCT($S$34:$S$38,$I$34:$I$38)+SUMPRODUCT($S$39:$S$43,$I$39:$I$43)+SUMPRODUCT($S$44:$S$46,$I$44:$I$46)+SUMPRODUCT($S$47:$S$47,$I$47:$I$47)+SUMPRODUCT($S$48:$S$50,$I$48:$I$50)+SUMPRODUCT($S$51:$S$51,$I$51:$I$51)+SUMPRODUCT($S$52:$S$54,$I$52:$I$54)+SUMPRODUCT($S$55:$S$55,$I$55:$I$55)+SUMPRODUCT($S$56:$S$58,$I$56:$I$58)+SUMPRODUCT($S$59:$S$61,$I$59:$I$61)+SUMPRODUCT($S$62:$S$62,$I$62:$I$62)+SUMPRODUCT($S$63:$S$63,$I$63:$I$63)+SUMPRODUCT($S$64:$S$65,$I$64:$I$65)),0,+SUMPRODUCT($S$5:$S$8,$I$5:$I$8)+SUMPRODUCT($S$9:$S$11,$I$9:$I$11)+SUMPRODUCT($S$13:$S$16,$I$13:$I$16)+SUMPRODUCT($S$17:$S$19,$I$17:$I$19)+SUMPRODUCT($S$20:$S$22,$I$20:$I$22)+SUMPRODUCT($S$23:$S$23,$I$23:$I$23)+SUMPRODUCT($S$24:$S$28,$I$24:$I$28)+SUMPRODUCT($S$29:$S$30,$I$29:$I$30)+SUMPRODUCT($S$31:$S$33,$I$31:$I$33)+SUMPRODUCT($S$34:$S$38,$I$34:$I$38)+SUMPRODUCT($S$39:$S$43,$I$39:$I$43)+SUMPRODUCT($S$44:$S$46,$I$44:$I$46)+SUMPRODUCT($S$47:$S$47,$I$47:$I$47)+SUMPRODUCT($S$48:$S$50,$I$48:$I$50)+SUMPRODUCT($S$51:$S$51,$I$51:$I$51)+SUMPRODUCT($S$52:$S$54,$I$52:$I$54)+SUMPRODUCT($S$55:$S$55,$I$55:$I$55)+SUMPRODUCT($S$56:$S$58,$I$56:$I$58)+SUMPRODUCT($S$59:$S$61,$I$59:$I$61)+SUMPRODUCT($S$62:$S$62,$I$62:$I$62)+SUMPRODUCT($S$63:$S$63,$I$63:$I$63)+SUMPRODUCT($S$64:$S$65,$I$64:$I$65))</f>
        <v>4518961.2099000001</v>
      </c>
      <c r="T69" s="31"/>
      <c r="U69" s="31">
        <f>IF(ISERROR(+SUMPRODUCT($U$5:$U$8,$I$5:$I$8)+SUMPRODUCT($U$9:$U$11,$I$9:$I$11)+SUMPRODUCT($U$13:$U$16,$I$13:$I$16)+SUMPRODUCT($U$17:$U$19,$I$17:$I$19)+SUMPRODUCT($U$20:$U$22,$I$20:$I$22)+SUMPRODUCT($U$23:$U$23,$I$23:$I$23)+SUMPRODUCT($U$24:$U$28,$I$24:$I$28)+SUMPRODUCT($U$29:$U$30,$I$29:$I$30)+SUMPRODUCT($U$31:$U$33,$I$31:$I$33)+SUMPRODUCT($U$34:$U$38,$I$34:$I$38)+SUMPRODUCT($U$39:$U$43,$I$39:$I$43)+SUMPRODUCT($U$44:$U$46,$I$44:$I$46)+SUMPRODUCT($U$47:$U$47,$I$47:$I$47)+SUMPRODUCT($U$48:$U$50,$I$48:$I$50)+SUMPRODUCT($U$51:$U$51,$I$51:$I$51)+SUMPRODUCT($U$52:$U$54,$I$52:$I$54)+SUMPRODUCT($U$55:$U$55,$I$55:$I$55)+SUMPRODUCT($U$56:$U$58,$I$56:$I$58)+SUMPRODUCT($U$59:$U$61,$I$59:$I$61)+SUMPRODUCT($U$62:$U$62,$I$62:$I$62)+SUMPRODUCT($U$63:$U$63,$I$63:$I$63)+SUMPRODUCT($U$64:$U$65,$I$64:$I$65)),0,+SUMPRODUCT($U$5:$U$8,$I$5:$I$8)+SUMPRODUCT($U$9:$U$11,$I$9:$I$11)+SUMPRODUCT($U$13:$U$16,$I$13:$I$16)+SUMPRODUCT($U$17:$U$19,$I$17:$I$19)+SUMPRODUCT($U$20:$U$22,$I$20:$I$22)+SUMPRODUCT($U$23:$U$23,$I$23:$I$23)+SUMPRODUCT($U$24:$U$28,$I$24:$I$28)+SUMPRODUCT($U$29:$U$30,$I$29:$I$30)+SUMPRODUCT($U$31:$U$33,$I$31:$I$33)+SUMPRODUCT($U$34:$U$38,$I$34:$I$38)+SUMPRODUCT($U$39:$U$43,$I$39:$I$43)+SUMPRODUCT($U$44:$U$46,$I$44:$I$46)+SUMPRODUCT($U$47:$U$47,$I$47:$I$47)+SUMPRODUCT($U$48:$U$50,$I$48:$I$50)+SUMPRODUCT($U$51:$U$51,$I$51:$I$51)+SUMPRODUCT($U$52:$U$54,$I$52:$I$54)+SUMPRODUCT($U$55:$U$55,$I$55:$I$55)+SUMPRODUCT($U$56:$U$58,$I$56:$I$58)+SUMPRODUCT($U$59:$U$61,$I$59:$I$61)+SUMPRODUCT($U$62:$U$62,$I$62:$I$62)+SUMPRODUCT($U$63:$U$63,$I$63:$I$63)+SUMPRODUCT($U$64:$U$65,$I$64:$I$65))</f>
        <v>123076456.88798352</v>
      </c>
      <c r="V69" s="31">
        <f>IF(ISERROR(+SUMPRODUCT($V$5:$V$8,$I$5:$I$8)+SUMPRODUCT($V$9:$V$11,$I$9:$I$11)+SUMPRODUCT($V$13:$V$16,$I$13:$I$16)+SUMPRODUCT($V$17:$V$19,$I$17:$I$19)+SUMPRODUCT($V$20:$V$22,$I$20:$I$22)+SUMPRODUCT($V$23:$V$23,$I$23:$I$23)+SUMPRODUCT($V$24:$V$28,$I$24:$I$28)+SUMPRODUCT($V$29:$V$30,$I$29:$I$30)+SUMPRODUCT($V$31:$V$33,$I$31:$I$33)+SUMPRODUCT($V$34:$V$38,$I$34:$I$38)+SUMPRODUCT($V$39:$V$43,$I$39:$I$43)+SUMPRODUCT($V$44:$V$46,$I$44:$I$46)+SUMPRODUCT($V$47:$V$47,$I$47:$I$47)+SUMPRODUCT($V$48:$V$50,$I$48:$I$50)+SUMPRODUCT($V$51:$V$51,$I$51:$I$51)+SUMPRODUCT($V$52:$V$54,$I$52:$I$54)+SUMPRODUCT($V$55:$V$55,$I$55:$I$55)+SUMPRODUCT($V$56:$V$58,$I$56:$I$58)+SUMPRODUCT($V$59:$V$61,$I$59:$I$61)+SUMPRODUCT($V$62:$V$62,$I$62:$I$62)+SUMPRODUCT($V$63:$V$63,$I$63:$I$63)+SUMPRODUCT($V$64:$V$65,$I$64:$I$65)),0,+SUMPRODUCT($V$5:$V$8,$I$5:$I$8)+SUMPRODUCT($V$9:$V$11,$I$9:$I$11)+SUMPRODUCT($V$13:$V$16,$I$13:$I$16)+SUMPRODUCT($V$17:$V$19,$I$17:$I$19)+SUMPRODUCT($V$20:$V$22,$I$20:$I$22)+SUMPRODUCT($V$23:$V$23,$I$23:$I$23)+SUMPRODUCT($V$24:$V$28,$I$24:$I$28)+SUMPRODUCT($V$29:$V$30,$I$29:$I$30)+SUMPRODUCT($V$31:$V$33,$I$31:$I$33)+SUMPRODUCT($V$34:$V$38,$I$34:$I$38)+SUMPRODUCT($V$39:$V$43,$I$39:$I$43)+SUMPRODUCT($V$44:$V$46,$I$44:$I$46)+SUMPRODUCT($V$47:$V$47,$I$47:$I$47)+SUMPRODUCT($V$48:$V$50,$I$48:$I$50)+SUMPRODUCT($V$51:$V$51,$I$51:$I$51)+SUMPRODUCT($V$52:$V$54,$I$52:$I$54)+SUMPRODUCT($V$55:$V$55,$I$55:$I$55)+SUMPRODUCT($V$56:$V$58,$I$56:$I$58)+SUMPRODUCT($V$59:$V$61,$I$59:$I$61)+SUMPRODUCT($V$62:$V$62,$I$62:$I$62)+SUMPRODUCT($V$63:$V$63,$I$63:$I$63)+SUMPRODUCT($V$64:$V$65,$I$64:$I$65))</f>
        <v>36860438.711584121</v>
      </c>
      <c r="W69" s="31">
        <f>IF(ISERROR(+SUMPRODUCT($W$5:$W$8,$I$5:$I$8)+SUMPRODUCT($W$9:$W$11,$I$9:$I$11)+SUMPRODUCT($W$13:$W$16,$I$13:$I$16)+SUMPRODUCT($W$17:$W$19,$I$17:$I$19)+SUMPRODUCT($W$20:$W$22,$I$20:$I$22)+SUMPRODUCT($W$23:$W$23,$I$23:$I$23)+SUMPRODUCT($W$24:$W$28,$I$24:$I$28)+SUMPRODUCT($W$29:$W$30,$I$29:$I$30)+SUMPRODUCT($W$31:$W$33,$I$31:$I$33)+SUMPRODUCT($W$34:$W$38,$I$34:$I$38)+SUMPRODUCT($W$39:$W$43,$I$39:$I$43)+SUMPRODUCT($W$44:$W$46,$I$44:$I$46)+SUMPRODUCT($W$47:$W$47,$I$47:$I$47)+SUMPRODUCT($W$48:$W$50,$I$48:$I$50)+SUMPRODUCT($W$51:$W$51,$I$51:$I$51)+SUMPRODUCT($W$52:$W$54,$I$52:$I$54)+SUMPRODUCT($W$55:$W$55,$I$55:$I$55)+SUMPRODUCT($W$56:$W$58,$I$56:$I$58)+SUMPRODUCT($W$59:$W$61,$I$59:$I$61)+SUMPRODUCT($W$62:$W$62,$I$62:$I$62)+SUMPRODUCT($W$63:$W$63,$I$63:$I$63)+SUMPRODUCT($W$64:$W$65,$I$64:$I$65)),0,+SUMPRODUCT($W$5:$W$8,$I$5:$I$8)+SUMPRODUCT($W$9:$W$11,$I$9:$I$11)+SUMPRODUCT($W$13:$W$16,$I$13:$I$16)+SUMPRODUCT($W$17:$W$19,$I$17:$I$19)+SUMPRODUCT($W$20:$W$22,$I$20:$I$22)+SUMPRODUCT($W$23:$W$23,$I$23:$I$23)+SUMPRODUCT($W$24:$W$28,$I$24:$I$28)+SUMPRODUCT($W$29:$W$30,$I$29:$I$30)+SUMPRODUCT($W$31:$W$33,$I$31:$I$33)+SUMPRODUCT($W$34:$W$38,$I$34:$I$38)+SUMPRODUCT($W$39:$W$43,$I$39:$I$43)+SUMPRODUCT($W$44:$W$46,$I$44:$I$46)+SUMPRODUCT($W$47:$W$47,$I$47:$I$47)+SUMPRODUCT($W$48:$W$50,$I$48:$I$50)+SUMPRODUCT($W$51:$W$51,$I$51:$I$51)+SUMPRODUCT($W$52:$W$54,$I$52:$I$54)+SUMPRODUCT($W$55:$W$55,$I$55:$I$55)+SUMPRODUCT($W$56:$W$58,$I$56:$I$58)+SUMPRODUCT($W$59:$W$61,$I$59:$I$61)+SUMPRODUCT($W$62:$W$62,$I$62:$I$62)+SUMPRODUCT($W$63:$W$63,$I$63:$I$63)+SUMPRODUCT($W$64:$W$65,$I$64:$I$65))</f>
        <v>12327790.95873801</v>
      </c>
      <c r="X69" s="31">
        <f>IF(ISERROR(+SUMPRODUCT($X$5:$X$8,$I$5:$I$8)+SUMPRODUCT($X$9:$X$11,$I$9:$I$11)+SUMPRODUCT($X$13:$X$16,$I$13:$I$16)+SUMPRODUCT($X$17:$X$19,$I$17:$I$19)+SUMPRODUCT($X$20:$X$22,$I$20:$I$22)+SUMPRODUCT($X$23:$X$23,$I$23:$I$23)+SUMPRODUCT($X$24:$X$28,$I$24:$I$28)+SUMPRODUCT($X$29:$X$30,$I$29:$I$30)+SUMPRODUCT($X$31:$X$33,$I$31:$I$33)+SUMPRODUCT($X$34:$X$38,$I$34:$I$38)+SUMPRODUCT($X$39:$X$43,$I$39:$I$43)+SUMPRODUCT($X$44:$X$46,$I$44:$I$46)+SUMPRODUCT($X$47:$X$47,$I$47:$I$47)+SUMPRODUCT($X$48:$X$50,$I$48:$I$50)+SUMPRODUCT($X$51:$X$51,$I$51:$I$51)+SUMPRODUCT($X$52:$X$54,$I$52:$I$54)+SUMPRODUCT($X$55:$X$55,$I$55:$I$55)+SUMPRODUCT($X$56:$X$58,$I$56:$I$58)+SUMPRODUCT($X$59:$X$61,$I$59:$I$61)+SUMPRODUCT($X$62:$X$62,$I$62:$I$62)+SUMPRODUCT($X$63:$X$63,$I$63:$I$63)+SUMPRODUCT($X$64:$X$65,$I$64:$I$65)),0,+SUMPRODUCT($X$5:$X$8,$I$5:$I$8)+SUMPRODUCT($X$9:$X$11,$I$9:$I$11)+SUMPRODUCT($X$13:$X$16,$I$13:$I$16)+SUMPRODUCT($X$17:$X$19,$I$17:$I$19)+SUMPRODUCT($X$20:$X$22,$I$20:$I$22)+SUMPRODUCT($X$23:$X$23,$I$23:$I$23)+SUMPRODUCT($X$24:$X$28,$I$24:$I$28)+SUMPRODUCT($X$29:$X$30,$I$29:$I$30)+SUMPRODUCT($X$31:$X$33,$I$31:$I$33)+SUMPRODUCT($X$34:$X$38,$I$34:$I$38)+SUMPRODUCT($X$39:$X$43,$I$39:$I$43)+SUMPRODUCT($X$44:$X$46,$I$44:$I$46)+SUMPRODUCT($X$47:$X$47,$I$47:$I$47)+SUMPRODUCT($X$48:$X$50,$I$48:$I$50)+SUMPRODUCT($X$51:$X$51,$I$51:$I$51)+SUMPRODUCT($X$52:$X$54,$I$52:$I$54)+SUMPRODUCT($X$55:$X$55,$I$55:$I$55)+SUMPRODUCT($X$56:$X$58,$I$56:$I$58)+SUMPRODUCT($X$59:$X$61,$I$59:$I$61)+SUMPRODUCT($X$62:$X$62,$I$62:$I$62)+SUMPRODUCT($X$63:$X$63,$I$63:$I$63)+SUMPRODUCT($X$64:$X$65,$I$64:$I$65))</f>
        <v>438049.58876473998</v>
      </c>
      <c r="Y69" s="31">
        <f>IF(ISERROR(+SUMPRODUCT($Y$5:$Y$8,$I$5:$I$8)+SUMPRODUCT($Y$9:$Y$11,$I$9:$I$11)+SUMPRODUCT($Y$13:$Y$16,$I$13:$I$16)+SUMPRODUCT($Y$17:$Y$19,$I$17:$I$19)+SUMPRODUCT($Y$20:$Y$22,$I$20:$I$22)+SUMPRODUCT($Y$23:$Y$23,$I$23:$I$23)+SUMPRODUCT($Y$24:$Y$28,$I$24:$I$28)+SUMPRODUCT($Y$29:$Y$30,$I$29:$I$30)+SUMPRODUCT($Y$31:$Y$33,$I$31:$I$33)+SUMPRODUCT($Y$34:$Y$38,$I$34:$I$38)+SUMPRODUCT($Y$39:$Y$43,$I$39:$I$43)+SUMPRODUCT($Y$44:$Y$46,$I$44:$I$46)+SUMPRODUCT($Y$47:$Y$47,$I$47:$I$47)+SUMPRODUCT($Y$48:$Y$50,$I$48:$I$50)+SUMPRODUCT($Y$51:$Y$51,$I$51:$I$51)+SUMPRODUCT($Y$52:$Y$54,$I$52:$I$54)+SUMPRODUCT($Y$55:$Y$55,$I$55:$I$55)+SUMPRODUCT($Y$56:$Y$58,$I$56:$I$58)+SUMPRODUCT($Y$59:$Y$61,$I$59:$I$61)+SUMPRODUCT($Y$62:$Y$62,$I$62:$I$62)+SUMPRODUCT($Y$63:$Y$63,$I$63:$I$63)+SUMPRODUCT($Y$64:$Y$65,$I$64:$I$65)),0,+SUMPRODUCT($Y$5:$Y$8,$I$5:$I$8)+SUMPRODUCT($Y$9:$Y$11,$I$9:$I$11)+SUMPRODUCT($Y$13:$Y$16,$I$13:$I$16)+SUMPRODUCT($Y$17:$Y$19,$I$17:$I$19)+SUMPRODUCT($Y$20:$Y$22,$I$20:$I$22)+SUMPRODUCT($Y$23:$Y$23,$I$23:$I$23)+SUMPRODUCT($Y$24:$Y$28,$I$24:$I$28)+SUMPRODUCT($Y$29:$Y$30,$I$29:$I$30)+SUMPRODUCT($Y$31:$Y$33,$I$31:$I$33)+SUMPRODUCT($Y$34:$Y$38,$I$34:$I$38)+SUMPRODUCT($Y$39:$Y$43,$I$39:$I$43)+SUMPRODUCT($Y$44:$Y$46,$I$44:$I$46)+SUMPRODUCT($Y$47:$Y$47,$I$47:$I$47)+SUMPRODUCT($Y$48:$Y$50,$I$48:$I$50)+SUMPRODUCT($Y$51:$Y$51,$I$51:$I$51)+SUMPRODUCT($Y$52:$Y$54,$I$52:$I$54)+SUMPRODUCT($Y$55:$Y$55,$I$55:$I$55)+SUMPRODUCT($Y$56:$Y$58,$I$56:$I$58)+SUMPRODUCT($Y$59:$Y$61,$I$59:$I$61)+SUMPRODUCT($Y$62:$Y$62,$I$62:$I$62)+SUMPRODUCT($Y$63:$Y$63,$I$63:$I$63)+SUMPRODUCT($Y$64:$Y$65,$I$64:$I$65))</f>
        <v>9201781.2127456479</v>
      </c>
      <c r="Z69" s="31">
        <f>IF(ISERROR(+SUMPRODUCT($Z$5:$Z$8,$I$5:$I$8)+SUMPRODUCT($Z$9:$Z$11,$I$9:$I$11)+SUMPRODUCT($Z$13:$Z$16,$I$13:$I$16)+SUMPRODUCT($Z$17:$Z$19,$I$17:$I$19)+SUMPRODUCT($Z$20:$Z$22,$I$20:$I$22)+SUMPRODUCT($Z$23:$Z$23,$I$23:$I$23)+SUMPRODUCT($Z$24:$Z$28,$I$24:$I$28)+SUMPRODUCT($Z$29:$Z$30,$I$29:$I$30)+SUMPRODUCT($Z$31:$Z$33,$I$31:$I$33)+SUMPRODUCT($Z$34:$Z$38,$I$34:$I$38)+SUMPRODUCT($Z$39:$Z$43,$I$39:$I$43)+SUMPRODUCT($Z$44:$Z$46,$I$44:$I$46)+SUMPRODUCT($Z$47:$Z$47,$I$47:$I$47)+SUMPRODUCT($Z$48:$Z$50,$I$48:$I$50)+SUMPRODUCT($Z$51:$Z$51,$I$51:$I$51)+SUMPRODUCT($Z$52:$Z$54,$I$52:$I$54)+SUMPRODUCT($Z$55:$Z$55,$I$55:$I$55)+SUMPRODUCT($Z$56:$Z$58,$I$56:$I$58)+SUMPRODUCT($Z$59:$Z$61,$I$59:$I$61)+SUMPRODUCT($Z$62:$Z$62,$I$62:$I$62)+SUMPRODUCT($Z$63:$Z$63,$I$63:$I$63)+SUMPRODUCT($Z$64:$Z$65,$I$64:$I$65)),0,+SUMPRODUCT($Z$5:$Z$8,$I$5:$I$8)+SUMPRODUCT($Z$9:$Z$11,$I$9:$I$11)+SUMPRODUCT($Z$13:$Z$16,$I$13:$I$16)+SUMPRODUCT($Z$17:$Z$19,$I$17:$I$19)+SUMPRODUCT($Z$20:$Z$22,$I$20:$I$22)+SUMPRODUCT($Z$23:$Z$23,$I$23:$I$23)+SUMPRODUCT($Z$24:$Z$28,$I$24:$I$28)+SUMPRODUCT($Z$29:$Z$30,$I$29:$I$30)+SUMPRODUCT($Z$31:$Z$33,$I$31:$I$33)+SUMPRODUCT($Z$34:$Z$38,$I$34:$I$38)+SUMPRODUCT($Z$39:$Z$43,$I$39:$I$43)+SUMPRODUCT($Z$44:$Z$46,$I$44:$I$46)+SUMPRODUCT($Z$47:$Z$47,$I$47:$I$47)+SUMPRODUCT($Z$48:$Z$50,$I$48:$I$50)+SUMPRODUCT($Z$51:$Z$51,$I$51:$I$51)+SUMPRODUCT($Z$52:$Z$54,$I$52:$I$54)+SUMPRODUCT($Z$55:$Z$55,$I$55:$I$55)+SUMPRODUCT($Z$56:$Z$58,$I$56:$I$58)+SUMPRODUCT($Z$59:$Z$61,$I$59:$I$61)+SUMPRODUCT($Z$62:$Z$62,$I$62:$I$62)+SUMPRODUCT($Z$63:$Z$63,$I$63:$I$63)+SUMPRODUCT($Z$64:$Z$65,$I$64:$I$65))</f>
        <v>0</v>
      </c>
      <c r="AA69" s="31">
        <f>IF(ISERROR(+SUMPRODUCT($AA$5:$AA$8,$I$5:$I$8)+SUMPRODUCT($AA$9:$AA$11,$I$9:$I$11)+SUMPRODUCT($AA$13:$AA$16,$I$13:$I$16)+SUMPRODUCT($AA$17:$AA$19,$I$17:$I$19)+SUMPRODUCT($AA$20:$AA$22,$I$20:$I$22)+SUMPRODUCT($AA$23:$AA$23,$I$23:$I$23)+SUMPRODUCT($AA$24:$AA$28,$I$24:$I$28)+SUMPRODUCT($AA$29:$AA$30,$I$29:$I$30)+SUMPRODUCT($AA$31:$AA$33,$I$31:$I$33)+SUMPRODUCT($AA$34:$AA$38,$I$34:$I$38)+SUMPRODUCT($AA$39:$AA$43,$I$39:$I$43)+SUMPRODUCT($AA$44:$AA$46,$I$44:$I$46)+SUMPRODUCT($AA$47:$AA$47,$I$47:$I$47)+SUMPRODUCT($AA$48:$AA$50,$I$48:$I$50)+SUMPRODUCT($AA$51:$AA$51,$I$51:$I$51)+SUMPRODUCT($AA$52:$AA$54,$I$52:$I$54)+SUMPRODUCT($AA$55:$AA$55,$I$55:$I$55)+SUMPRODUCT($AA$56:$AA$58,$I$56:$I$58)+SUMPRODUCT($AA$59:$AA$61,$I$59:$I$61)+SUMPRODUCT($AA$62:$AA$62,$I$62:$I$62)+SUMPRODUCT($AA$63:$AA$63,$I$63:$I$63)+SUMPRODUCT($AA$64:$AA$65,$I$64:$I$65)),0,+SUMPRODUCT($AA$5:$AA$8,$I$5:$I$8)+SUMPRODUCT($AA$9:$AA$11,$I$9:$I$11)+SUMPRODUCT($AA$13:$AA$16,$I$13:$I$16)+SUMPRODUCT($AA$17:$AA$19,$I$17:$I$19)+SUMPRODUCT($AA$20:$AA$22,$I$20:$I$22)+SUMPRODUCT($AA$23:$AA$23,$I$23:$I$23)+SUMPRODUCT($AA$24:$AA$28,$I$24:$I$28)+SUMPRODUCT($AA$29:$AA$30,$I$29:$I$30)+SUMPRODUCT($AA$31:$AA$33,$I$31:$I$33)+SUMPRODUCT($AA$34:$AA$38,$I$34:$I$38)+SUMPRODUCT($AA$39:$AA$43,$I$39:$I$43)+SUMPRODUCT($AA$44:$AA$46,$I$44:$I$46)+SUMPRODUCT($AA$47:$AA$47,$I$47:$I$47)+SUMPRODUCT($AA$48:$AA$50,$I$48:$I$50)+SUMPRODUCT($AA$51:$AA$51,$I$51:$I$51)+SUMPRODUCT($AA$52:$AA$54,$I$52:$I$54)+SUMPRODUCT($AA$55:$AA$55,$I$55:$I$55)+SUMPRODUCT($AA$56:$AA$58,$I$56:$I$58)+SUMPRODUCT($AA$59:$AA$61,$I$59:$I$61)+SUMPRODUCT($AA$62:$AA$62,$I$62:$I$62)+SUMPRODUCT($AA$63:$AA$63,$I$63:$I$63)+SUMPRODUCT($AA$64:$AA$65,$I$64:$I$65))</f>
        <v>0</v>
      </c>
      <c r="AB69" s="31"/>
      <c r="AC69" s="31">
        <f>IF(ISERROR(+SUMPRODUCT($AC$5:$AC$8,$I$5:$I$8)+SUMPRODUCT($AC$9:$AC$11,$I$9:$I$11)+SUMPRODUCT($AC$13:$AC$16,$I$13:$I$16)+SUMPRODUCT($AC$17:$AC$19,$I$17:$I$19)+SUMPRODUCT($AC$20:$AC$22,$I$20:$I$22)+SUMPRODUCT($AC$23:$AC$23,$I$23:$I$23)+SUMPRODUCT($AC$24:$AC$28,$I$24:$I$28)+SUMPRODUCT($AC$29:$AC$30,$I$29:$I$30)+SUMPRODUCT($AC$31:$AC$33,$I$31:$I$33)+SUMPRODUCT($AC$34:$AC$38,$I$34:$I$38)+SUMPRODUCT($AC$39:$AC$43,$I$39:$I$43)+SUMPRODUCT($AC$44:$AC$46,$I$44:$I$46)+SUMPRODUCT($AC$47:$AC$47,$I$47:$I$47)+SUMPRODUCT($AC$48:$AC$50,$I$48:$I$50)+SUMPRODUCT($AC$51:$AC$51,$I$51:$I$51)+SUMPRODUCT($AC$52:$AC$54,$I$52:$I$54)+SUMPRODUCT($AC$55:$AC$55,$I$55:$I$55)+SUMPRODUCT($AC$56:$AC$58,$I$56:$I$58)+SUMPRODUCT($AC$59:$AC$61,$I$59:$I$61)+SUMPRODUCT($AC$62:$AC$62,$I$62:$I$62)+SUMPRODUCT($AC$63:$AC$63,$I$63:$I$63)+SUMPRODUCT($AC$64:$AC$65,$I$64:$I$65)),0,+SUMPRODUCT($AC$5:$AC$8,$I$5:$I$8)+SUMPRODUCT($AC$9:$AC$11,$I$9:$I$11)+SUMPRODUCT($AC$13:$AC$16,$I$13:$I$16)+SUMPRODUCT($AC$17:$AC$19,$I$17:$I$19)+SUMPRODUCT($AC$20:$AC$22,$I$20:$I$22)+SUMPRODUCT($AC$23:$AC$23,$I$23:$I$23)+SUMPRODUCT($AC$24:$AC$28,$I$24:$I$28)+SUMPRODUCT($AC$29:$AC$30,$I$29:$I$30)+SUMPRODUCT($AC$31:$AC$33,$I$31:$I$33)+SUMPRODUCT($AC$34:$AC$38,$I$34:$I$38)+SUMPRODUCT($AC$39:$AC$43,$I$39:$I$43)+SUMPRODUCT($AC$44:$AC$46,$I$44:$I$46)+SUMPRODUCT($AC$47:$AC$47,$I$47:$I$47)+SUMPRODUCT($AC$48:$AC$50,$I$48:$I$50)+SUMPRODUCT($AC$51:$AC$51,$I$51:$I$51)+SUMPRODUCT($AC$52:$AC$54,$I$52:$I$54)+SUMPRODUCT($AC$55:$AC$55,$I$55:$I$55)+SUMPRODUCT($AC$56:$AC$58,$I$56:$I$58)+SUMPRODUCT($AC$59:$AC$61,$I$59:$I$61)+SUMPRODUCT($AC$62:$AC$62,$I$62:$I$62)+SUMPRODUCT($AC$63:$AC$63,$I$63:$I$63)+SUMPRODUCT($AC$64:$AC$65,$I$64:$I$65))</f>
        <v>767495150.29774559</v>
      </c>
      <c r="AD69" s="31"/>
      <c r="AE69" s="31">
        <f>IF(ISERROR(+SUMPRODUCT($AE$5:$AE$8,$I$5:$I$8)+SUMPRODUCT($AE$9:$AE$11,$I$9:$I$11)+SUMPRODUCT($AE$13:$AE$16,$I$13:$I$16)+SUMPRODUCT($AE$17:$AE$19,$I$17:$I$19)+SUMPRODUCT($AE$20:$AE$22,$I$20:$I$22)+SUMPRODUCT($AE$23:$AE$23,$I$23:$I$23)+SUMPRODUCT($AE$24:$AE$28,$I$24:$I$28)+SUMPRODUCT($AE$29:$AE$30,$I$29:$I$30)+SUMPRODUCT($AE$31:$AE$33,$I$31:$I$33)+SUMPRODUCT($AE$34:$AE$38,$I$34:$I$38)+SUMPRODUCT($AE$39:$AE$43,$I$39:$I$43)+SUMPRODUCT($AE$44:$AE$46,$I$44:$I$46)+SUMPRODUCT($AE$47:$AE$47,$I$47:$I$47)+SUMPRODUCT($AE$48:$AE$50,$I$48:$I$50)+SUMPRODUCT($AE$51:$AE$51,$I$51:$I$51)+SUMPRODUCT($AE$52:$AE$54,$I$52:$I$54)+SUMPRODUCT($AE$55:$AE$55,$I$55:$I$55)+SUMPRODUCT($AE$56:$AE$58,$I$56:$I$58)+SUMPRODUCT($AE$59:$AE$61,$I$59:$I$61)+SUMPRODUCT($AE$62:$AE$62,$I$62:$I$62)+SUMPRODUCT($AE$63:$AE$63,$I$63:$I$63)+SUMPRODUCT($AE$64:$AE$65,$I$64:$I$65)),0,+SUMPRODUCT($AE$5:$AE$8,$I$5:$I$8)+SUMPRODUCT($AE$9:$AE$11,$I$9:$I$11)+SUMPRODUCT($AE$13:$AE$16,$I$13:$I$16)+SUMPRODUCT($AE$17:$AE$19,$I$17:$I$19)+SUMPRODUCT($AE$20:$AE$22,$I$20:$I$22)+SUMPRODUCT($AE$23:$AE$23,$I$23:$I$23)+SUMPRODUCT($AE$24:$AE$28,$I$24:$I$28)+SUMPRODUCT($AE$29:$AE$30,$I$29:$I$30)+SUMPRODUCT($AE$31:$AE$33,$I$31:$I$33)+SUMPRODUCT($AE$34:$AE$38,$I$34:$I$38)+SUMPRODUCT($AE$39:$AE$43,$I$39:$I$43)+SUMPRODUCT($AE$44:$AE$46,$I$44:$I$46)+SUMPRODUCT($AE$47:$AE$47,$I$47:$I$47)+SUMPRODUCT($AE$48:$AE$50,$I$48:$I$50)+SUMPRODUCT($AE$51:$AE$51,$I$51:$I$51)+SUMPRODUCT($AE$52:$AE$54,$I$52:$I$54)+SUMPRODUCT($AE$55:$AE$55,$I$55:$I$55)+SUMPRODUCT($AE$56:$AE$58,$I$56:$I$58)+SUMPRODUCT($AE$59:$AE$61,$I$59:$I$61)+SUMPRODUCT($AE$62:$AE$62,$I$62:$I$62)+SUMPRODUCT($AE$63:$AE$63,$I$63:$I$63)+SUMPRODUCT($AE$64:$AE$65,$I$64:$I$65))</f>
        <v>0</v>
      </c>
      <c r="AF69" s="31">
        <f>IF(ISERROR(+SUMPRODUCT($AF$5:$AF$8,$I$5:$I$8)+SUMPRODUCT($AF$9:$AF$11,$I$9:$I$11)+SUMPRODUCT($AF$13:$AF$16,$I$13:$I$16)+SUMPRODUCT($AF$17:$AF$19,$I$17:$I$19)+SUMPRODUCT($AF$20:$AF$22,$I$20:$I$22)+SUMPRODUCT($AF$23:$AF$23,$I$23:$I$23)+SUMPRODUCT($AF$24:$AF$28,$I$24:$I$28)+SUMPRODUCT($AF$29:$AF$30,$I$29:$I$30)+SUMPRODUCT($AF$31:$AF$33,$I$31:$I$33)+SUMPRODUCT($AF$34:$AF$38,$I$34:$I$38)+SUMPRODUCT($AF$39:$AF$43,$I$39:$I$43)+SUMPRODUCT($AF$44:$AF$46,$I$44:$I$46)+SUMPRODUCT($AF$47:$AF$47,$I$47:$I$47)+SUMPRODUCT($AF$48:$AF$50,$I$48:$I$50)+SUMPRODUCT($AF$51:$AF$51,$I$51:$I$51)+SUMPRODUCT($AF$52:$AF$54,$I$52:$I$54)+SUMPRODUCT($AF$55:$AF$55,$I$55:$I$55)+SUMPRODUCT($AF$56:$AF$58,$I$56:$I$58)+SUMPRODUCT($AF$59:$AF$61,$I$59:$I$61)+SUMPRODUCT($AF$62:$AF$62,$I$62:$I$62)+SUMPRODUCT($AF$63:$AF$63,$I$63:$I$63)+SUMPRODUCT($AF$64:$AF$65,$I$64:$I$65)),0,+SUMPRODUCT($AF$5:$AF$8,$I$5:$I$8)+SUMPRODUCT($AF$9:$AF$11,$I$9:$I$11)+SUMPRODUCT($AF$13:$AF$16,$I$13:$I$16)+SUMPRODUCT($AF$17:$AF$19,$I$17:$I$19)+SUMPRODUCT($AF$20:$AF$22,$I$20:$I$22)+SUMPRODUCT($AF$23:$AF$23,$I$23:$I$23)+SUMPRODUCT($AF$24:$AF$28,$I$24:$I$28)+SUMPRODUCT($AF$29:$AF$30,$I$29:$I$30)+SUMPRODUCT($AF$31:$AF$33,$I$31:$I$33)+SUMPRODUCT($AF$34:$AF$38,$I$34:$I$38)+SUMPRODUCT($AF$39:$AF$43,$I$39:$I$43)+SUMPRODUCT($AF$44:$AF$46,$I$44:$I$46)+SUMPRODUCT($AF$47:$AF$47,$I$47:$I$47)+SUMPRODUCT($AF$48:$AF$50,$I$48:$I$50)+SUMPRODUCT($AF$51:$AF$51,$I$51:$I$51)+SUMPRODUCT($AF$52:$AF$54,$I$52:$I$54)+SUMPRODUCT($AF$55:$AF$55,$I$55:$I$55)+SUMPRODUCT($AF$56:$AF$58,$I$56:$I$58)+SUMPRODUCT($AF$59:$AF$61,$I$59:$I$61)+SUMPRODUCT($AF$62:$AF$62,$I$62:$I$62)+SUMPRODUCT($AF$63:$AF$63,$I$63:$I$63)+SUMPRODUCT($AF$64:$AF$65,$I$64:$I$65))</f>
        <v>0</v>
      </c>
      <c r="AG69" s="31"/>
      <c r="AH69" s="31">
        <f>IF(ISERROR(+SUMPRODUCT($AH$5:$AH$8,$I$5:$I$8)+SUMPRODUCT($AH$9:$AH$11,$I$9:$I$11)+SUMPRODUCT($AH$13:$AH$16,$I$13:$I$16)+SUMPRODUCT($AH$17:$AH$19,$I$17:$I$19)+SUMPRODUCT($AH$20:$AH$22,$I$20:$I$22)+SUMPRODUCT($AH$23:$AH$23,$I$23:$I$23)+SUMPRODUCT($AH$24:$AH$28,$I$24:$I$28)+SUMPRODUCT($AH$29:$AH$30,$I$29:$I$30)+SUMPRODUCT($AH$31:$AH$33,$I$31:$I$33)+SUMPRODUCT($AH$34:$AH$38,$I$34:$I$38)+SUMPRODUCT($AH$39:$AH$43,$I$39:$I$43)+SUMPRODUCT($AH$44:$AH$46,$I$44:$I$46)+SUMPRODUCT($AH$47:$AH$47,$I$47:$I$47)+SUMPRODUCT($AH$48:$AH$50,$I$48:$I$50)+SUMPRODUCT($AH$51:$AH$51,$I$51:$I$51)+SUMPRODUCT($AH$52:$AH$54,$I$52:$I$54)+SUMPRODUCT($AH$55:$AH$55,$I$55:$I$55)+SUMPRODUCT($AH$56:$AH$58,$I$56:$I$58)+SUMPRODUCT($AH$59:$AH$61,$I$59:$I$61)+SUMPRODUCT($AH$62:$AH$62,$I$62:$I$62)+SUMPRODUCT($AH$63:$AH$63,$I$63:$I$63)+SUMPRODUCT($AH$64:$AH$65,$I$64:$I$65)),0,+SUMPRODUCT($AH$5:$AH$8,$I$5:$I$8)+SUMPRODUCT($AH$9:$AH$11,$I$9:$I$11)+SUMPRODUCT($AH$13:$AH$16,$I$13:$I$16)+SUMPRODUCT($AH$17:$AH$19,$I$17:$I$19)+SUMPRODUCT($AH$20:$AH$22,$I$20:$I$22)+SUMPRODUCT($AH$23:$AH$23,$I$23:$I$23)+SUMPRODUCT($AH$24:$AH$28,$I$24:$I$28)+SUMPRODUCT($AH$29:$AH$30,$I$29:$I$30)+SUMPRODUCT($AH$31:$AH$33,$I$31:$I$33)+SUMPRODUCT($AH$34:$AH$38,$I$34:$I$38)+SUMPRODUCT($AH$39:$AH$43,$I$39:$I$43)+SUMPRODUCT($AH$44:$AH$46,$I$44:$I$46)+SUMPRODUCT($AH$47:$AH$47,$I$47:$I$47)+SUMPRODUCT($AH$48:$AH$50,$I$48:$I$50)+SUMPRODUCT($AH$51:$AH$51,$I$51:$I$51)+SUMPRODUCT($AH$52:$AH$54,$I$52:$I$54)+SUMPRODUCT($AH$55:$AH$55,$I$55:$I$55)+SUMPRODUCT($AH$56:$AH$58,$I$56:$I$58)+SUMPRODUCT($AH$59:$AH$61,$I$59:$I$61)+SUMPRODUCT($AH$62:$AH$62,$I$62:$I$62)+SUMPRODUCT($AH$63:$AH$63,$I$63:$I$63)+SUMPRODUCT($AH$64:$AH$65,$I$64:$I$65))</f>
        <v>107543442.35564563</v>
      </c>
      <c r="AI69" s="31">
        <f>IF(ISERROR(+SUMPRODUCT($AI$5:$AI$8,$I$5:$I$8)+SUMPRODUCT($AI$9:$AI$11,$I$9:$I$11)+SUMPRODUCT($AI$13:$AI$16,$I$13:$I$16)+SUMPRODUCT($AI$17:$AI$19,$I$17:$I$19)+SUMPRODUCT($AI$20:$AI$22,$I$20:$I$22)+SUMPRODUCT($AI$23:$AI$23,$I$23:$I$23)+SUMPRODUCT($AI$24:$AI$28,$I$24:$I$28)+SUMPRODUCT($AI$29:$AI$30,$I$29:$I$30)+SUMPRODUCT($AI$31:$AI$33,$I$31:$I$33)+SUMPRODUCT($AI$34:$AI$38,$I$34:$I$38)+SUMPRODUCT($AI$39:$AI$43,$I$39:$I$43)+SUMPRODUCT($AI$44:$AI$46,$I$44:$I$46)+SUMPRODUCT($AI$47:$AI$47,$I$47:$I$47)+SUMPRODUCT($AI$48:$AI$50,$I$48:$I$50)+SUMPRODUCT($AI$51:$AI$51,$I$51:$I$51)+SUMPRODUCT($AI$52:$AI$54,$I$52:$I$54)+SUMPRODUCT($AI$55:$AI$55,$I$55:$I$55)+SUMPRODUCT($AI$56:$AI$58,$I$56:$I$58)+SUMPRODUCT($AI$59:$AI$61,$I$59:$I$61)+SUMPRODUCT($AI$62:$AI$62,$I$62:$I$62)+SUMPRODUCT($AI$63:$AI$63,$I$63:$I$63)+SUMPRODUCT($AI$64:$AI$65,$I$64:$I$65)),0,+SUMPRODUCT($AI$5:$AI$8,$I$5:$I$8)+SUMPRODUCT($AI$9:$AI$11,$I$9:$I$11)+SUMPRODUCT($AI$13:$AI$16,$I$13:$I$16)+SUMPRODUCT($AI$17:$AI$19,$I$17:$I$19)+SUMPRODUCT($AI$20:$AI$22,$I$20:$I$22)+SUMPRODUCT($AI$23:$AI$23,$I$23:$I$23)+SUMPRODUCT($AI$24:$AI$28,$I$24:$I$28)+SUMPRODUCT($AI$29:$AI$30,$I$29:$I$30)+SUMPRODUCT($AI$31:$AI$33,$I$31:$I$33)+SUMPRODUCT($AI$34:$AI$38,$I$34:$I$38)+SUMPRODUCT($AI$39:$AI$43,$I$39:$I$43)+SUMPRODUCT($AI$44:$AI$46,$I$44:$I$46)+SUMPRODUCT($AI$47:$AI$47,$I$47:$I$47)+SUMPRODUCT($AI$48:$AI$50,$I$48:$I$50)+SUMPRODUCT($AI$51:$AI$51,$I$51:$I$51)+SUMPRODUCT($AI$52:$AI$54,$I$52:$I$54)+SUMPRODUCT($AI$55:$AI$55,$I$55:$I$55)+SUMPRODUCT($AI$56:$AI$58,$I$56:$I$58)+SUMPRODUCT($AI$59:$AI$61,$I$59:$I$61)+SUMPRODUCT($AI$62:$AI$62,$I$62:$I$62)+SUMPRODUCT($AI$63:$AI$63,$I$63:$I$63)+SUMPRODUCT($AI$64:$AI$65,$I$64:$I$65))</f>
        <v>107543307.09044564</v>
      </c>
      <c r="AJ69" s="31">
        <f ca="1">IF(ISERROR(+SUMPRODUCT($AJ$5:$AJ$8,$I$5:$I$8)+SUMPRODUCT($AJ$9:$AJ$11,$I$9:$I$11)+SUMPRODUCT($AJ$13:$AJ$16,$I$13:$I$16)+SUMPRODUCT($AJ$17:$AJ$19,$I$17:$I$19)+SUMPRODUCT($AJ$20:$AJ$22,$I$20:$I$22)+SUMPRODUCT($AJ$23:$AJ$23,$I$23:$I$23)+SUMPRODUCT($AJ$24:$AJ$28,$I$24:$I$28)+SUMPRODUCT($AJ$29:$AJ$30,$I$29:$I$30)+SUMPRODUCT($AJ$31:$AJ$33,$I$31:$I$33)+SUMPRODUCT($AJ$34:$AJ$38,$I$34:$I$38)+SUMPRODUCT($AJ$39:$AJ$43,$I$39:$I$43)+SUMPRODUCT($AJ$44:$AJ$46,$I$44:$I$46)+SUMPRODUCT($AJ$47:$AJ$47,$I$47:$I$47)+SUMPRODUCT($AJ$48:$AJ$50,$I$48:$I$50)+SUMPRODUCT($AJ$51:$AJ$51,$I$51:$I$51)+SUMPRODUCT($AJ$52:$AJ$54,$I$52:$I$54)+SUMPRODUCT($AJ$55:$AJ$55,$I$55:$I$55)+SUMPRODUCT($AJ$56:$AJ$58,$I$56:$I$58)+SUMPRODUCT($AJ$59:$AJ$61,$I$59:$I$61)+SUMPRODUCT($AJ$62:$AJ$62,$I$62:$I$62)+SUMPRODUCT($AJ$63:$AJ$63,$I$63:$I$63)+SUMPRODUCT($AJ$64:$AJ$65,$I$64:$I$65)),0,+SUMPRODUCT($AJ$5:$AJ$8,$I$5:$I$8)+SUMPRODUCT($AJ$9:$AJ$11,$I$9:$I$11)+SUMPRODUCT($AJ$13:$AJ$16,$I$13:$I$16)+SUMPRODUCT($AJ$17:$AJ$19,$I$17:$I$19)+SUMPRODUCT($AJ$20:$AJ$22,$I$20:$I$22)+SUMPRODUCT($AJ$23:$AJ$23,$I$23:$I$23)+SUMPRODUCT($AJ$24:$AJ$28,$I$24:$I$28)+SUMPRODUCT($AJ$29:$AJ$30,$I$29:$I$30)+SUMPRODUCT($AJ$31:$AJ$33,$I$31:$I$33)+SUMPRODUCT($AJ$34:$AJ$38,$I$34:$I$38)+SUMPRODUCT($AJ$39:$AJ$43,$I$39:$I$43)+SUMPRODUCT($AJ$44:$AJ$46,$I$44:$I$46)+SUMPRODUCT($AJ$47:$AJ$47,$I$47:$I$47)+SUMPRODUCT($AJ$48:$AJ$50,$I$48:$I$50)+SUMPRODUCT($AJ$51:$AJ$51,$I$51:$I$51)+SUMPRODUCT($AJ$52:$AJ$54,$I$52:$I$54)+SUMPRODUCT($AJ$55:$AJ$55,$I$55:$I$55)+SUMPRODUCT($AJ$56:$AJ$58,$I$56:$I$58)+SUMPRODUCT($AJ$59:$AJ$61,$I$59:$I$61)+SUMPRODUCT($AJ$62:$AJ$62,$I$62:$I$62)+SUMPRODUCT($AJ$63:$AJ$63,$I$63:$I$63)+SUMPRODUCT($AJ$64:$AJ$65,$I$64:$I$65))</f>
        <v>41907794.34162908</v>
      </c>
      <c r="AK69" s="31">
        <f ca="1">IF(ISERROR(+SUMPRODUCT($AK$5:$AK$8,$I$5:$I$8)+SUMPRODUCT($AK$9:$AK$11,$I$9:$I$11)+SUMPRODUCT($AK$13:$AK$16,$I$13:$I$16)+SUMPRODUCT($AK$17:$AK$19,$I$17:$I$19)+SUMPRODUCT($AK$20:$AK$22,$I$20:$I$22)+SUMPRODUCT($AK$23:$AK$23,$I$23:$I$23)+SUMPRODUCT($AK$24:$AK$28,$I$24:$I$28)+SUMPRODUCT($AK$29:$AK$30,$I$29:$I$30)+SUMPRODUCT($AK$31:$AK$33,$I$31:$I$33)+SUMPRODUCT($AK$34:$AK$38,$I$34:$I$38)+SUMPRODUCT($AK$39:$AK$43,$I$39:$I$43)+SUMPRODUCT($AK$44:$AK$46,$I$44:$I$46)+SUMPRODUCT($AK$47:$AK$47,$I$47:$I$47)+SUMPRODUCT($AK$48:$AK$50,$I$48:$I$50)+SUMPRODUCT($AK$51:$AK$51,$I$51:$I$51)+SUMPRODUCT($AK$52:$AK$54,$I$52:$I$54)+SUMPRODUCT($AK$55:$AK$55,$I$55:$I$55)+SUMPRODUCT($AK$56:$AK$58,$I$56:$I$58)+SUMPRODUCT($AK$59:$AK$61,$I$59:$I$61)+SUMPRODUCT($AK$62:$AK$62,$I$62:$I$62)+SUMPRODUCT($AK$63:$AK$63,$I$63:$I$63)+SUMPRODUCT($AK$64:$AK$65,$I$64:$I$65)),0,+SUMPRODUCT($AK$5:$AK$8,$I$5:$I$8)+SUMPRODUCT($AK$9:$AK$11,$I$9:$I$11)+SUMPRODUCT($AK$13:$AK$16,$I$13:$I$16)+SUMPRODUCT($AK$17:$AK$19,$I$17:$I$19)+SUMPRODUCT($AK$20:$AK$22,$I$20:$I$22)+SUMPRODUCT($AK$23:$AK$23,$I$23:$I$23)+SUMPRODUCT($AK$24:$AK$28,$I$24:$I$28)+SUMPRODUCT($AK$29:$AK$30,$I$29:$I$30)+SUMPRODUCT($AK$31:$AK$33,$I$31:$I$33)+SUMPRODUCT($AK$34:$AK$38,$I$34:$I$38)+SUMPRODUCT($AK$39:$AK$43,$I$39:$I$43)+SUMPRODUCT($AK$44:$AK$46,$I$44:$I$46)+SUMPRODUCT($AK$47:$AK$47,$I$47:$I$47)+SUMPRODUCT($AK$48:$AK$50,$I$48:$I$50)+SUMPRODUCT($AK$51:$AK$51,$I$51:$I$51)+SUMPRODUCT($AK$52:$AK$54,$I$52:$I$54)+SUMPRODUCT($AK$55:$AK$55,$I$55:$I$55)+SUMPRODUCT($AK$56:$AK$58,$I$56:$I$58)+SUMPRODUCT($AK$59:$AK$61,$I$59:$I$61)+SUMPRODUCT($AK$62:$AK$62,$I$62:$I$62)+SUMPRODUCT($AK$63:$AK$63,$I$63:$I$63)+SUMPRODUCT($AK$64:$AK$65,$I$64:$I$65))</f>
        <v>41907794.34162908</v>
      </c>
      <c r="AL69" s="31"/>
      <c r="AM69" s="31"/>
    </row>
    <row r="70" spans="1:42" ht="11.25" customHeight="1" x14ac:dyDescent="0.25">
      <c r="K70" s="34" t="s">
        <v>876</v>
      </c>
      <c r="L70" s="31">
        <f>CUSTOS!$D$2</f>
        <v>14228608.829814913</v>
      </c>
      <c r="M70" s="31">
        <f>CUSTOS!$D$3</f>
        <v>3354704.9346611435</v>
      </c>
      <c r="N70" s="31">
        <f>CUSTOS!$D$4</f>
        <v>12061233.936620025</v>
      </c>
      <c r="O70" s="31">
        <f>CUSTOS!$D$5</f>
        <v>103880.89285714286</v>
      </c>
      <c r="P70" s="31">
        <f>CUSTOS!$D$6</f>
        <v>0</v>
      </c>
      <c r="Q70" s="31">
        <f>CUSTOS!$D$7</f>
        <v>134931229.09243637</v>
      </c>
      <c r="R70" s="31">
        <f>CUSTOS!$D$8</f>
        <v>56366862.730122909</v>
      </c>
      <c r="S70" s="31">
        <f>CUSTOS!$D$9</f>
        <v>0</v>
      </c>
      <c r="T70" s="31">
        <f>CUSTOS!$D$10</f>
        <v>221046520.41651249</v>
      </c>
      <c r="U70" s="31">
        <f>CUSTOS!$D$11</f>
        <v>151911378.442</v>
      </c>
      <c r="V70" s="31">
        <f>IF(SUM(V67:V69)&lt;&gt;0,CUSTOS!$D$12+CUSTOS!$D$16+CUSTOS!$D$17-'TR TUSD'!$Z$68-'TR TUSD'!$AA$68,0)</f>
        <v>47135250.177000001</v>
      </c>
      <c r="W70" s="31">
        <f>CUSTOS!$D$13</f>
        <v>8156972.5290007796</v>
      </c>
      <c r="X70" s="31">
        <f>CUSTOS!$D$14</f>
        <v>440091.12</v>
      </c>
      <c r="Y70" s="31">
        <f>IF(SUM(V67:V69)=0,CUSTOS!$D$15+CUSTOS!$D$16+CUSTOS!$D$17-'TR TUSD'!$Z$68-'TR TUSD'!$AA$68,CUSTOS!$D$15)</f>
        <v>11815920.792903904</v>
      </c>
      <c r="Z70" s="31">
        <f>Z68</f>
        <v>0</v>
      </c>
      <c r="AA70" s="31">
        <f>AA68</f>
        <v>0</v>
      </c>
      <c r="AB70" s="31">
        <f>CUSTOS!$D$18</f>
        <v>219459613.06090471</v>
      </c>
      <c r="AC70" s="31">
        <f>CUSTOS!$D$19</f>
        <v>892880835.41836596</v>
      </c>
      <c r="AD70" s="31">
        <f>CUSTOS!$D$20</f>
        <v>892880835.41836596</v>
      </c>
      <c r="AE70" s="31">
        <f>CUSTOS!$D$21</f>
        <v>0</v>
      </c>
      <c r="AF70" s="31">
        <f>CUSTOS!$D$22</f>
        <v>0</v>
      </c>
      <c r="AG70" s="31">
        <f>CUSTOS!$D$23</f>
        <v>0</v>
      </c>
      <c r="AH70" s="31">
        <f>CUSTOS!$D$24</f>
        <v>118936426.00091825</v>
      </c>
      <c r="AI70" s="31">
        <f>CUSTOS!$D$25</f>
        <v>4249126.5878501628</v>
      </c>
      <c r="AJ70" s="31">
        <f>CUSTOS!$D$26</f>
        <v>43112524.586167142</v>
      </c>
      <c r="AK70" s="31">
        <f>CUSTOS!$D$27</f>
        <v>0</v>
      </c>
      <c r="AL70" s="31">
        <f>CUSTOS!$D$28</f>
        <v>166298077.17493558</v>
      </c>
      <c r="AM70" s="31">
        <f>CUSTOS!$D$29</f>
        <v>1499685046.0707188</v>
      </c>
    </row>
    <row r="71" spans="1:42" ht="11.25" customHeight="1" x14ac:dyDescent="0.25">
      <c r="K71" s="34" t="s">
        <v>877</v>
      </c>
      <c r="L71" s="31">
        <f>CUSTOS!$E$2</f>
        <v>-354639.46393461735</v>
      </c>
      <c r="M71" s="31">
        <f>CUSTOS!$E$3</f>
        <v>-70760.489781174329</v>
      </c>
      <c r="N71" s="31">
        <f>CUSTOS!$E$4</f>
        <v>0</v>
      </c>
      <c r="O71" s="31">
        <f>CUSTOS!$E$5</f>
        <v>-2504.5058717452998</v>
      </c>
      <c r="P71" s="31">
        <f>CUSTOS!$E$6</f>
        <v>0</v>
      </c>
      <c r="Q71" s="31">
        <f>CUSTOS!$E$7</f>
        <v>-567230.78606959688</v>
      </c>
      <c r="R71" s="31">
        <f>CUSTOS!$E$8</f>
        <v>-502190.41248689161</v>
      </c>
      <c r="S71" s="31">
        <f>CUSTOS!$E$9</f>
        <v>0</v>
      </c>
      <c r="T71" s="31">
        <f>CUSTOS!$E$10</f>
        <v>-1497325.6581440256</v>
      </c>
      <c r="U71" s="31">
        <f>CUSTOS!$E$11</f>
        <v>834158.35808967892</v>
      </c>
      <c r="V71" s="31">
        <f>CUSTOS!$E$12</f>
        <v>0</v>
      </c>
      <c r="W71" s="31">
        <f>CUSTOS!$E$13</f>
        <v>0</v>
      </c>
      <c r="X71" s="31">
        <f>CUSTOS!$E$14</f>
        <v>0</v>
      </c>
      <c r="Y71" s="31">
        <f>CUSTOS!$E$15</f>
        <v>-544707.03299491131</v>
      </c>
      <c r="Z71" s="31">
        <f>CUSTOS!$E$16</f>
        <v>0</v>
      </c>
      <c r="AA71" s="31">
        <f>CUSTOS!$E$17</f>
        <v>0</v>
      </c>
      <c r="AB71" s="31">
        <f>CUSTOS!$E$18</f>
        <v>289451.32509476761</v>
      </c>
      <c r="AC71" s="31">
        <f>CUSTOS!$E$19</f>
        <v>0</v>
      </c>
      <c r="AD71" s="31">
        <f>CUSTOS!$E$20</f>
        <v>0</v>
      </c>
      <c r="AE71" s="31">
        <f>CUSTOS!$E$21</f>
        <v>-135294318.49511474</v>
      </c>
      <c r="AF71" s="31">
        <f>CUSTOS!$E$22</f>
        <v>0</v>
      </c>
      <c r="AG71" s="31">
        <f>CUSTOS!$E$23</f>
        <v>-135294318.49511474</v>
      </c>
      <c r="AH71" s="31">
        <f>CUSTOS!$E$24</f>
        <v>-13853613.397409128</v>
      </c>
      <c r="AI71" s="31">
        <f>CUSTOS!$E$25</f>
        <v>-494934.638646985</v>
      </c>
      <c r="AJ71" s="31">
        <f>CUSTOS!$E$26</f>
        <v>-5021710.0705417553</v>
      </c>
      <c r="AK71" s="31">
        <f>CUSTOS!$E$27</f>
        <v>0</v>
      </c>
      <c r="AL71" s="31">
        <f>CUSTOS!$E$28</f>
        <v>-19370258.106597867</v>
      </c>
      <c r="AM71" s="31">
        <f>CUSTOS!$E$29</f>
        <v>-155872450.93476188</v>
      </c>
    </row>
    <row r="72" spans="1:42" ht="11.25" customHeight="1" x14ac:dyDescent="0.25">
      <c r="K72" s="34" t="s">
        <v>878</v>
      </c>
      <c r="L72" s="31">
        <f>CUSTOS!$F$2</f>
        <v>1183799.6534256104</v>
      </c>
      <c r="M72" s="31">
        <f>CUSTOS!$F$3</f>
        <v>0</v>
      </c>
      <c r="N72" s="31">
        <f>CUSTOS!$F$4</f>
        <v>0</v>
      </c>
      <c r="O72" s="31">
        <f>CUSTOS!$F$5</f>
        <v>0</v>
      </c>
      <c r="P72" s="31">
        <f>CUSTOS!$F$6</f>
        <v>0</v>
      </c>
      <c r="Q72" s="31">
        <f>CUSTOS!$F$7</f>
        <v>32435106.428576518</v>
      </c>
      <c r="R72" s="31">
        <f>CUSTOS!$F$8</f>
        <v>14727666.253347442</v>
      </c>
      <c r="S72" s="31">
        <f>CUSTOS!$F$9</f>
        <v>0</v>
      </c>
      <c r="T72" s="31">
        <f>CUSTOS!$F$10</f>
        <v>48346572.335349567</v>
      </c>
      <c r="U72" s="31">
        <f>CUSTOS!$F$11</f>
        <v>7398562.6477510631</v>
      </c>
      <c r="V72" s="31">
        <f>CUSTOS!$F$12</f>
        <v>2295635.1586599601</v>
      </c>
      <c r="W72" s="31">
        <f>CUSTOS!$F$13</f>
        <v>0</v>
      </c>
      <c r="X72" s="31">
        <f>CUSTOS!$F$14</f>
        <v>0</v>
      </c>
      <c r="Y72" s="31">
        <f>CUSTOS!$F$15</f>
        <v>0</v>
      </c>
      <c r="Z72" s="31">
        <f>CUSTOS!$F$16</f>
        <v>0</v>
      </c>
      <c r="AA72" s="31">
        <f>CUSTOS!$F$17</f>
        <v>0</v>
      </c>
      <c r="AB72" s="31">
        <f>CUSTOS!$F$18</f>
        <v>9694197.8064110242</v>
      </c>
      <c r="AC72" s="31">
        <f>CUSTOS!$F$19</f>
        <v>0</v>
      </c>
      <c r="AD72" s="31">
        <f>CUSTOS!$F$20</f>
        <v>0</v>
      </c>
      <c r="AE72" s="31">
        <f>CUSTOS!$F$21</f>
        <v>0</v>
      </c>
      <c r="AF72" s="31">
        <f>CUSTOS!$F$22</f>
        <v>0</v>
      </c>
      <c r="AG72" s="31">
        <f>CUSTOS!$F$23</f>
        <v>0</v>
      </c>
      <c r="AH72" s="31">
        <f>CUSTOS!$F$24</f>
        <v>6078889.7822317462</v>
      </c>
      <c r="AI72" s="31">
        <f>CUSTOS!$F$25</f>
        <v>217174.61224278065</v>
      </c>
      <c r="AJ72" s="31">
        <f>CUSTOS!$F$26</f>
        <v>2203498.9111833824</v>
      </c>
      <c r="AK72" s="31">
        <f>CUSTOS!$F$27</f>
        <v>0</v>
      </c>
      <c r="AL72" s="31">
        <f>CUSTOS!$F$28</f>
        <v>8499563.3056579083</v>
      </c>
      <c r="AM72" s="31">
        <f>CUSTOS!$F$29</f>
        <v>66540333.447418496</v>
      </c>
    </row>
    <row r="73" spans="1:42" ht="11.25" customHeight="1" x14ac:dyDescent="0.25">
      <c r="K73" s="34" t="s">
        <v>930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/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/>
      <c r="AC73" s="31">
        <v>0</v>
      </c>
      <c r="AD73" s="31"/>
      <c r="AE73" s="31">
        <v>0</v>
      </c>
      <c r="AF73" s="31">
        <v>0</v>
      </c>
      <c r="AG73" s="31"/>
      <c r="AH73" s="31">
        <v>0</v>
      </c>
      <c r="AI73" s="31">
        <v>0</v>
      </c>
      <c r="AJ73" s="31">
        <v>0</v>
      </c>
      <c r="AK73" s="31">
        <v>0</v>
      </c>
      <c r="AL73" s="31"/>
      <c r="AM73" s="31"/>
    </row>
    <row r="74" spans="1:42" ht="11.25" customHeight="1" x14ac:dyDescent="0.25">
      <c r="K74" s="34" t="s">
        <v>931</v>
      </c>
      <c r="L74" s="31">
        <f t="shared" ref="L74:S74" si="2">IF((L69+L67)&lt;&gt;0,(L70-L68-L73)/(L69+L67),0)</f>
        <v>4.0263687592814295</v>
      </c>
      <c r="M74" s="31">
        <f t="shared" si="2"/>
        <v>0.97665410542515063</v>
      </c>
      <c r="N74" s="31">
        <f t="shared" ca="1" si="2"/>
        <v>1.0725333874994847</v>
      </c>
      <c r="O74" s="31">
        <f t="shared" si="2"/>
        <v>1.9190865198739564E-2</v>
      </c>
      <c r="P74" s="31">
        <f t="shared" si="2"/>
        <v>0</v>
      </c>
      <c r="Q74" s="31">
        <f t="shared" si="2"/>
        <v>38.182431744895922</v>
      </c>
      <c r="R74" s="31">
        <f t="shared" si="2"/>
        <v>14.414104263105399</v>
      </c>
      <c r="S74" s="31">
        <f t="shared" si="2"/>
        <v>0</v>
      </c>
      <c r="T74" s="31"/>
      <c r="U74" s="31">
        <f>IF(U69&lt;&gt;0,(U70-U68-U67-U73)/U69,0)</f>
        <v>1.2342846250462038</v>
      </c>
      <c r="V74" s="31">
        <f>IF(V69&lt;&gt;0,(V70-V68-V67-V73)/V69,0)</f>
        <v>1.2787490280788985</v>
      </c>
      <c r="W74" s="31">
        <f>IF(W69&lt;&gt;0,(W70-W68-W67-W73)/W69,0)</f>
        <v>0.61382143436882797</v>
      </c>
      <c r="X74" s="31">
        <f>IF(X69&lt;&gt;0,(X70-X68-X67-X73)/X69,0)</f>
        <v>1.0046605025723616</v>
      </c>
      <c r="Y74" s="31">
        <f>IF(Y69&lt;&gt;0,(Y70-Y68-Y67-Y73)/Y69,0)</f>
        <v>1.0058091180453856</v>
      </c>
      <c r="Z74" s="31"/>
      <c r="AA74" s="31"/>
      <c r="AB74" s="31"/>
      <c r="AC74" s="31">
        <f>IF(AC69&lt;&gt;0,(AC70-AC68-AC67-AC73)/AC69,0)</f>
        <v>1.1243795470548896</v>
      </c>
      <c r="AD74" s="31"/>
      <c r="AE74" s="31">
        <f>IF((AE69+AE67)&lt;&gt;0,(AE70-AE68-AE73)/(AE69+AE67),0)</f>
        <v>0</v>
      </c>
      <c r="AF74" s="31">
        <f>IF((AF69+AF67)&lt;&gt;0,(AF70-AF68-AF73)/(AF69+AF67),0)</f>
        <v>0</v>
      </c>
      <c r="AG74" s="31"/>
      <c r="AH74" s="31">
        <f>IF(AH69&lt;&gt;0,(AH70-AH68-AH67-AH73)/AH69,0)</f>
        <v>1.081951502448103</v>
      </c>
      <c r="AI74" s="31">
        <f>IF(AI69&lt;&gt;0,(AI70-AI68-AI67-AI73)/AI69,0)</f>
        <v>3.2795689172486923E-2</v>
      </c>
      <c r="AJ74" s="31">
        <f ca="1">IF((AJ69+AJ67)&lt;&gt;0,(AJ70-AJ68-AJ73)/(AJ69+AJ67),0)</f>
        <v>1.0287471641842372</v>
      </c>
      <c r="AK74" s="31">
        <f ca="1">IF((AK69+AK67)&lt;&gt;0,(AK70-AK68-AK73)/(AK69+AK67),0)</f>
        <v>0</v>
      </c>
      <c r="AL74" s="31"/>
      <c r="AM74" s="31"/>
    </row>
    <row r="76" spans="1:42" ht="11.25" customHeight="1" x14ac:dyDescent="0.25">
      <c r="K76" s="39" t="s">
        <v>1504</v>
      </c>
      <c r="L76" s="39" t="s">
        <v>1505</v>
      </c>
      <c r="M76" s="39" t="s">
        <v>1506</v>
      </c>
      <c r="N76" s="39" t="s">
        <v>1507</v>
      </c>
      <c r="O76" s="39" t="s">
        <v>1508</v>
      </c>
      <c r="P76" s="39" t="s">
        <v>1509</v>
      </c>
    </row>
    <row r="77" spans="1:42" ht="11.25" customHeight="1" x14ac:dyDescent="0.25">
      <c r="K77" s="38" t="s">
        <v>39</v>
      </c>
      <c r="L77" s="38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</f>
        <v>71336733.881226644</v>
      </c>
      <c r="M77" s="38">
        <f>+'TUSD BE'!$I$7+'TUSD BE'!$I$8</f>
        <v>644358.49899999984</v>
      </c>
      <c r="N77" s="38">
        <f ca="1">IF(AND($L$85&lt;&gt;0,M77&lt;&gt;0),(L77/$L$85*$AJ$70)/M77,0)</f>
        <v>3.4162584284036637</v>
      </c>
      <c r="O77" s="38"/>
      <c r="P77" s="38"/>
    </row>
    <row r="78" spans="1:42" ht="11.25" customHeight="1" x14ac:dyDescent="0.25">
      <c r="K78" s="38" t="s">
        <v>41</v>
      </c>
      <c r="L78" s="38">
        <f ca="1">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</f>
        <v>237178200.1075322</v>
      </c>
      <c r="M78" s="38">
        <f>+'TUSD BE'!$I$15+'TUSD BE'!$I$16+'TUSD BE'!$I$25+'TUSD BE'!$I$26+'TUSD BE'!$I$27+'TUSD BE'!$I$28</f>
        <v>824907.01399999997</v>
      </c>
      <c r="N78" s="38">
        <f ca="1">IF(AND($L$85&lt;&gt;0,M78&lt;&gt;0),(L78/$L$85*$AJ$70)/M78,0)</f>
        <v>8.8722716089310989</v>
      </c>
      <c r="O78" s="38"/>
      <c r="P78" s="38"/>
    </row>
    <row r="79" spans="1:42" ht="11.25" customHeight="1" x14ac:dyDescent="0.25">
      <c r="K79" s="38" t="s">
        <v>110</v>
      </c>
      <c r="L79" s="38">
        <f ca="1">+$L$80+$L$81+$L$82+$L$83+$L$84</f>
        <v>1088620152.1395118</v>
      </c>
      <c r="M79" s="38">
        <f>+$M$80+$M$81+$M$82+$M$83+$M$84</f>
        <v>3164188.8619999997</v>
      </c>
      <c r="N79" s="38">
        <f ca="1">IF(AND($L$85&lt;&gt;0,M79&lt;&gt;0),(L79/$L$85*$AJ$70)/M79,0)</f>
        <v>10.616442891936494</v>
      </c>
      <c r="O79" s="38"/>
      <c r="P79" s="38"/>
    </row>
    <row r="80" spans="1:42" ht="11.25" customHeight="1" x14ac:dyDescent="0.25">
      <c r="K80" s="38" t="s">
        <v>110</v>
      </c>
      <c r="L80" s="38"/>
      <c r="M80" s="38"/>
      <c r="N80" s="38">
        <f ca="1">IF(AND($L$85&lt;&gt;0,M80&lt;&gt;0),(L80/$L$85*$AJ$70)/M80,0)</f>
        <v>0</v>
      </c>
      <c r="O80" s="38"/>
      <c r="P80" s="38"/>
    </row>
    <row r="81" spans="11:16" ht="11.25" customHeight="1" x14ac:dyDescent="0.25">
      <c r="K81" s="38" t="s">
        <v>22</v>
      </c>
      <c r="L81" s="38">
        <f ca="1">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</f>
        <v>704892001.88379931</v>
      </c>
      <c r="M81" s="38">
        <f>+'TUSD BE'!$I$31+'TUSD BE'!$I$32+'TUSD BE'!$I$33+'TUSD BE'!$I$34+'TUSD BE'!$I$35+'TUSD BE'!$I$36+'TUSD BE'!$I$37+'TUSD BE'!$I$38+'TUSD BE'!$I$39+'TUSD BE'!$I$40+'TUSD BE'!$I$41+'TUSD BE'!$I$42+'TUSD BE'!$I$43</f>
        <v>2008334.3180000002</v>
      </c>
      <c r="N81" s="38"/>
      <c r="O81" s="38"/>
      <c r="P81" s="38"/>
    </row>
    <row r="82" spans="11:16" ht="11.25" customHeight="1" x14ac:dyDescent="0.25">
      <c r="K82" s="38" t="s">
        <v>44</v>
      </c>
      <c r="L82" s="38">
        <f ca="1">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BE'!$I$55+(+'TUSD BE'!$L$56+'TUSD BE'!$M$56+'TUSD BE'!$N$56+'TUSD BE'!$O$56+'TUSD BE'!$P$56+'TUSD BE'!$Q$56+'TUSD BE'!$R$56+'TUSD BE'!$S$56+'TUSD BE'!$U$56+'TUSD BE'!$V$56+'TUSD BE'!$W$56+'TUSD BE'!$X$56+'TUSD BE'!$Y$56+'TUSD BE'!$Z$56+'TUSD BE'!$AA$56+'TUSD BE'!$AC$56+'TUSD BE'!$AH$56+'TUSD BE'!$AI$56)*'TUSD BE'!$I$56+(+'TUSD BE'!$L$57+'TUSD BE'!$M$57+'TUSD BE'!$N$57+'TUSD BE'!$O$57+'TUSD BE'!$P$57+'TUSD BE'!$Q$57+'TUSD BE'!$R$57+'TUSD BE'!$S$57+'TUSD BE'!$U$57+'TUSD BE'!$V$57+'TUSD BE'!$W$57+'TUSD BE'!$X$57+'TUSD BE'!$Y$57+'TUSD BE'!$Z$57+'TUSD BE'!$AA$57+'TUSD BE'!$AC$57+'TUSD BE'!$AH$57+'TUSD BE'!$AI$57)*'TUSD BE'!$I$57+(+'TUSD BE'!$L$58+'TUSD BE'!$M$58+'TUSD BE'!$N$58+'TUSD BE'!$O$58+'TUSD BE'!$P$58+'TUSD BE'!$Q$58+'TUSD BE'!$R$58+'TUSD BE'!$S$58+'TUSD BE'!$U$58+'TUSD BE'!$V$58+'TUSD BE'!$W$58+'TUSD BE'!$X$58+'TUSD BE'!$Y$58+'TUSD BE'!$Z$58+'TUSD BE'!$AA$58+'TUSD BE'!$AC$58+'TUSD BE'!$AH$58+'TUSD BE'!$AI$58)*'TUSD BE'!$I$58</f>
        <v>92715431.299641222</v>
      </c>
      <c r="M82" s="38">
        <f>+'TUSD BE'!$I$44+'TUSD BE'!$I$45+'TUSD BE'!$I$46+'TUSD BE'!$I$47+'TUSD BE'!$I$48+'TUSD BE'!$I$49+'TUSD BE'!$I$50+'TUSD BE'!$I$51+'TUSD BE'!$I$52+'TUSD BE'!$I$53+'TUSD BE'!$I$54+'TUSD BE'!$I$55+'TUSD BE'!$I$56+'TUSD BE'!$I$57+'TUSD BE'!$I$58</f>
        <v>251846.53699999998</v>
      </c>
      <c r="N82" s="38"/>
      <c r="O82" s="38"/>
      <c r="P82" s="38"/>
    </row>
    <row r="83" spans="11:16" ht="11.25" customHeight="1" x14ac:dyDescent="0.25">
      <c r="K83" s="38" t="s">
        <v>37</v>
      </c>
      <c r="L83" s="38">
        <f ca="1">+(+'TUSD BE'!$L$59+'TUSD BE'!$M$59+'TUSD BE'!$N$59+'TUSD BE'!$O$59+'TUSD BE'!$P$59+'TUSD BE'!$Q$59+'TUSD BE'!$R$59+'TUSD BE'!$S$59+'TUSD BE'!$U$59+'TUSD BE'!$V$59+'TUSD BE'!$W$59+'TUSD BE'!$X$59+'TUSD BE'!$Y$59+'TUSD BE'!$Z$59+'TUSD BE'!$AA$59+'TUSD BE'!$AC$59+'TUSD BE'!$AH$59+'TUSD BE'!$AI$59)*'TUSD BE'!$I$59+(+'TUSD BE'!$L$60+'TUSD BE'!$M$60+'TUSD BE'!$N$60+'TUSD BE'!$O$60+'TUSD BE'!$P$60+'TUSD BE'!$Q$60+'TUSD BE'!$R$60+'TUSD BE'!$S$60+'TUSD BE'!$U$60+'TUSD BE'!$V$60+'TUSD BE'!$W$60+'TUSD BE'!$X$60+'TUSD BE'!$Y$60+'TUSD BE'!$Z$60+'TUSD BE'!$AA$60+'TUSD BE'!$AC$60+'TUSD BE'!$AH$60+'TUSD BE'!$AI$60)*'TUSD BE'!$I$60+(+'TUSD BE'!$L$61+'TUSD BE'!$M$61+'TUSD BE'!$N$61+'TUSD BE'!$O$61+'TUSD BE'!$P$61+'TUSD BE'!$Q$61+'TUSD BE'!$R$61+'TUSD BE'!$S$61+'TUSD BE'!$U$61+'TUSD BE'!$V$61+'TUSD BE'!$W$61+'TUSD BE'!$X$61+'TUSD BE'!$Y$61+'TUSD BE'!$Z$61+'TUSD BE'!$AA$61+'TUSD BE'!$AC$61+'TUSD BE'!$AH$61+'TUSD BE'!$AI$61)*'TUSD BE'!$I$61+(+'TUSD BE'!$L$62+'TUSD BE'!$M$62+'TUSD BE'!$N$62+'TUSD BE'!$O$62+'TUSD BE'!$P$62+'TUSD BE'!$Q$62+'TUSD BE'!$R$62+'TUSD BE'!$S$62+'TUSD BE'!$U$62+'TUSD BE'!$V$62+'TUSD BE'!$W$62+'TUSD BE'!$X$62+'TUSD BE'!$Y$62+'TUSD BE'!$Z$62+'TUSD BE'!$AA$62+'TUSD BE'!$AC$62+'TUSD BE'!$AH$62+'TUSD BE'!$AI$62)*'TUSD BE'!$I$62+(+'TUSD BE'!$L$63+'TUSD BE'!$M$63+'TUSD BE'!$N$63+'TUSD BE'!$O$63+'TUSD BE'!$P$63+'TUSD BE'!$Q$63+'TUSD BE'!$R$63+'TUSD BE'!$S$63+'TUSD BE'!$U$63+'TUSD BE'!$V$63+'TUSD BE'!$W$63+'TUSD BE'!$X$63+'TUSD BE'!$Y$63+'TUSD BE'!$Z$63+'TUSD BE'!$AA$63+'TUSD BE'!$AC$63+'TUSD BE'!$AH$63+'TUSD BE'!$AI$63)*'TUSD BE'!$I$63</f>
        <v>239949911.16960251</v>
      </c>
      <c r="M83" s="38">
        <f>+'TUSD BE'!$I$59+'TUSD BE'!$I$60+'TUSD BE'!$I$61+'TUSD BE'!$I$62+'TUSD BE'!$I$63</f>
        <v>651835.1889999999</v>
      </c>
      <c r="N83" s="38"/>
      <c r="O83" s="38"/>
      <c r="P83" s="38"/>
    </row>
    <row r="84" spans="11:16" ht="11.25" customHeight="1" x14ac:dyDescent="0.25">
      <c r="K84" s="38" t="s">
        <v>47</v>
      </c>
      <c r="L84" s="38">
        <f ca="1">+(+'TUSD BE'!$L$64+'TUSD BE'!$M$64+'TUSD BE'!$N$64+'TUSD BE'!$O$64+'TUSD BE'!$P$64+'TUSD BE'!$Q$64+'TUSD BE'!$R$64+'TUSD BE'!$S$64+'TUSD BE'!$U$64+'TUSD BE'!$V$64+'TUSD BE'!$W$64+'TUSD BE'!$X$64+'TUSD BE'!$Y$64+'TUSD BE'!$Z$64+'TUSD BE'!$AA$64+'TUSD BE'!$AC$64+'TUSD BE'!$AH$64+'TUSD BE'!$AI$64)*'TUSD BE'!$I$64+(+'TUSD BE'!$L$65+'TUSD BE'!$M$65+'TUSD BE'!$N$65+'TUSD BE'!$O$65+'TUSD BE'!$P$65+'TUSD BE'!$Q$65+'TUSD BE'!$R$65+'TUSD BE'!$S$65+'TUSD BE'!$U$65+'TUSD BE'!$V$65+'TUSD BE'!$W$65+'TUSD BE'!$X$65+'TUSD BE'!$Y$65+'TUSD BE'!$Z$65+'TUSD BE'!$AA$65+'TUSD BE'!$AC$65+'TUSD BE'!$AH$65+'TUSD BE'!$AI$65)*'TUSD BE'!$I$65</f>
        <v>51062807.786468759</v>
      </c>
      <c r="M84" s="38">
        <f>+'TUSD BE'!$I$64+'TUSD BE'!$I$65</f>
        <v>252172.81799999997</v>
      </c>
      <c r="N84" s="38"/>
      <c r="O84" s="38"/>
      <c r="P84" s="38"/>
    </row>
    <row r="85" spans="11:16" ht="11.25" customHeight="1" x14ac:dyDescent="0.25">
      <c r="K85" s="38"/>
      <c r="L85" s="38">
        <f ca="1">SUM($L$77:$L$84,-$L$79)</f>
        <v>1397135086.1282709</v>
      </c>
      <c r="M85" s="38">
        <f>SUM($M$77:$M$84,-$M$79)</f>
        <v>4633454.375</v>
      </c>
      <c r="N85" s="38"/>
      <c r="O85" s="38"/>
      <c r="P85" s="38"/>
    </row>
  </sheetData>
  <mergeCells count="90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59:E61"/>
    <mergeCell ref="F59:F61"/>
    <mergeCell ref="A64:A65"/>
    <mergeCell ref="B64:B65"/>
    <mergeCell ref="C64:C65"/>
    <mergeCell ref="B56:B58"/>
    <mergeCell ref="C56:C58"/>
    <mergeCell ref="A59:A63"/>
    <mergeCell ref="B59:B61"/>
    <mergeCell ref="C59:C61"/>
    <mergeCell ref="D59:D61"/>
    <mergeCell ref="F48:F50"/>
    <mergeCell ref="B52:B54"/>
    <mergeCell ref="C52:C54"/>
    <mergeCell ref="D52:D54"/>
    <mergeCell ref="E52:E54"/>
    <mergeCell ref="F52:F54"/>
    <mergeCell ref="A44:A58"/>
    <mergeCell ref="B44:B46"/>
    <mergeCell ref="C44:C46"/>
    <mergeCell ref="D44:D46"/>
    <mergeCell ref="E44:E46"/>
    <mergeCell ref="F44:F46"/>
    <mergeCell ref="B48:B50"/>
    <mergeCell ref="C48:C50"/>
    <mergeCell ref="D48:D50"/>
    <mergeCell ref="E48:E50"/>
    <mergeCell ref="F31:F33"/>
    <mergeCell ref="B34:B38"/>
    <mergeCell ref="C34:C38"/>
    <mergeCell ref="B39:B43"/>
    <mergeCell ref="C39:C43"/>
    <mergeCell ref="A31:A43"/>
    <mergeCell ref="B31:B33"/>
    <mergeCell ref="C31:C33"/>
    <mergeCell ref="D31:D33"/>
    <mergeCell ref="E31:E33"/>
    <mergeCell ref="F24:F26"/>
    <mergeCell ref="E27:E28"/>
    <mergeCell ref="F27:F28"/>
    <mergeCell ref="A29:A30"/>
    <mergeCell ref="B29:B30"/>
    <mergeCell ref="C29:C30"/>
    <mergeCell ref="D29:D30"/>
    <mergeCell ref="F13:F15"/>
    <mergeCell ref="B17:B22"/>
    <mergeCell ref="C17:C22"/>
    <mergeCell ref="D17:D22"/>
    <mergeCell ref="A5:A12"/>
    <mergeCell ref="B5:B8"/>
    <mergeCell ref="C5:C8"/>
    <mergeCell ref="D5:D8"/>
    <mergeCell ref="E5:E7"/>
    <mergeCell ref="F5:F7"/>
    <mergeCell ref="E17:E22"/>
    <mergeCell ref="F17:F19"/>
    <mergeCell ref="F20:F22"/>
    <mergeCell ref="A13:A28"/>
    <mergeCell ref="B13:B16"/>
    <mergeCell ref="C13:C16"/>
    <mergeCell ref="D13:D16"/>
    <mergeCell ref="E13:E15"/>
    <mergeCell ref="B24:B28"/>
    <mergeCell ref="C24:C28"/>
    <mergeCell ref="D24:D28"/>
    <mergeCell ref="E24:E26"/>
    <mergeCell ref="B9:B11"/>
    <mergeCell ref="C9:C11"/>
    <mergeCell ref="D9:D11"/>
    <mergeCell ref="E9:E11"/>
    <mergeCell ref="F9:F1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AA252-2FC2-4C0F-8EA0-4ED3E865F263}">
  <dimension ref="A1:AP72"/>
  <sheetViews>
    <sheetView showGridLines="0" topLeftCell="Y43" workbookViewId="0">
      <selection activeCell="AM67" sqref="AM67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" style="9" bestFit="1" customWidth="1"/>
    <col min="14" max="14" width="10.85546875" style="9" bestFit="1" customWidth="1"/>
    <col min="15" max="15" width="8.7109375" style="9" bestFit="1" customWidth="1"/>
    <col min="16" max="16" width="4.42578125" style="9" bestFit="1" customWidth="1"/>
    <col min="17" max="17" width="11.7109375" style="9" bestFit="1" customWidth="1"/>
    <col min="18" max="18" width="10.85546875" style="9" bestFit="1" customWidth="1"/>
    <col min="19" max="19" width="8.7109375" style="9" bestFit="1" customWidth="1"/>
    <col min="20" max="21" width="11.7109375" style="9" bestFit="1" customWidth="1"/>
    <col min="22" max="22" width="10.85546875" style="9" bestFit="1" customWidth="1"/>
    <col min="23" max="23" width="10" style="9" bestFit="1" customWidth="1"/>
    <col min="24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12.28515625" style="9" bestFit="1" customWidth="1"/>
    <col min="32" max="32" width="7.28515625" style="9" bestFit="1" customWidth="1"/>
    <col min="33" max="33" width="12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1.7109375" style="9" bestFit="1" customWidth="1"/>
    <col min="39" max="39" width="13.1406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98" t="s">
        <v>92</v>
      </c>
      <c r="B1" s="98" t="s">
        <v>93</v>
      </c>
      <c r="C1" s="98" t="s">
        <v>94</v>
      </c>
      <c r="D1" s="98" t="s">
        <v>95</v>
      </c>
      <c r="E1" s="98" t="s">
        <v>96</v>
      </c>
      <c r="F1" s="98" t="s">
        <v>15</v>
      </c>
      <c r="G1" s="98" t="s">
        <v>98</v>
      </c>
      <c r="H1" s="98" t="s">
        <v>99</v>
      </c>
      <c r="I1" s="98" t="s">
        <v>924</v>
      </c>
      <c r="J1" s="93"/>
      <c r="L1" s="99" t="s">
        <v>932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P1" s="99" t="s">
        <v>926</v>
      </c>
    </row>
    <row r="2" spans="1:42" ht="11.25" customHeight="1" x14ac:dyDescent="0.25">
      <c r="A2" s="98"/>
      <c r="B2" s="98"/>
      <c r="C2" s="98"/>
      <c r="D2" s="98"/>
      <c r="E2" s="98"/>
      <c r="F2" s="98"/>
      <c r="G2" s="98"/>
      <c r="H2" s="98"/>
      <c r="I2" s="98"/>
      <c r="J2" s="93"/>
      <c r="L2" s="99" t="s">
        <v>834</v>
      </c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P2" s="100"/>
    </row>
    <row r="3" spans="1:42" ht="11.25" customHeight="1" x14ac:dyDescent="0.25">
      <c r="A3" s="98"/>
      <c r="B3" s="98"/>
      <c r="C3" s="98"/>
      <c r="D3" s="98"/>
      <c r="E3" s="98"/>
      <c r="F3" s="98"/>
      <c r="G3" s="98"/>
      <c r="H3" s="98"/>
      <c r="I3" s="98"/>
      <c r="J3" s="93"/>
      <c r="L3" s="99" t="s">
        <v>835</v>
      </c>
      <c r="M3" s="99"/>
      <c r="N3" s="99"/>
      <c r="O3" s="99"/>
      <c r="P3" s="99"/>
      <c r="Q3" s="99"/>
      <c r="R3" s="99"/>
      <c r="S3" s="99"/>
      <c r="T3" s="99"/>
      <c r="U3" s="99" t="s">
        <v>844</v>
      </c>
      <c r="V3" s="99"/>
      <c r="W3" s="99"/>
      <c r="X3" s="99"/>
      <c r="Y3" s="99"/>
      <c r="Z3" s="99"/>
      <c r="AA3" s="99"/>
      <c r="AB3" s="99"/>
      <c r="AC3" s="99" t="s">
        <v>852</v>
      </c>
      <c r="AD3" s="99"/>
      <c r="AE3" s="99" t="s">
        <v>854</v>
      </c>
      <c r="AF3" s="99"/>
      <c r="AG3" s="99"/>
      <c r="AH3" s="99" t="s">
        <v>857</v>
      </c>
      <c r="AI3" s="99"/>
      <c r="AJ3" s="99"/>
      <c r="AK3" s="99"/>
      <c r="AL3" s="99"/>
      <c r="AM3" s="99" t="s">
        <v>843</v>
      </c>
      <c r="AP3" s="100"/>
    </row>
    <row r="4" spans="1:42" ht="11.25" customHeight="1" x14ac:dyDescent="0.25">
      <c r="A4" s="98"/>
      <c r="B4" s="98"/>
      <c r="C4" s="98"/>
      <c r="D4" s="98"/>
      <c r="E4" s="98"/>
      <c r="F4" s="98"/>
      <c r="G4" s="98"/>
      <c r="H4" s="98"/>
      <c r="I4" s="98"/>
      <c r="J4" s="93"/>
      <c r="L4" s="32" t="s">
        <v>920</v>
      </c>
      <c r="M4" s="32" t="s">
        <v>836</v>
      </c>
      <c r="N4" s="32" t="s">
        <v>837</v>
      </c>
      <c r="O4" s="32" t="s">
        <v>838</v>
      </c>
      <c r="P4" s="32" t="s">
        <v>839</v>
      </c>
      <c r="Q4" s="32" t="s">
        <v>840</v>
      </c>
      <c r="R4" s="32" t="s">
        <v>841</v>
      </c>
      <c r="S4" s="32" t="s">
        <v>842</v>
      </c>
      <c r="T4" s="32" t="s">
        <v>843</v>
      </c>
      <c r="U4" s="32" t="s">
        <v>845</v>
      </c>
      <c r="V4" s="32" t="s">
        <v>846</v>
      </c>
      <c r="W4" s="32" t="s">
        <v>847</v>
      </c>
      <c r="X4" s="32" t="s">
        <v>848</v>
      </c>
      <c r="Y4" s="32" t="s">
        <v>849</v>
      </c>
      <c r="Z4" s="32" t="s">
        <v>850</v>
      </c>
      <c r="AA4" s="32" t="s">
        <v>851</v>
      </c>
      <c r="AB4" s="32" t="s">
        <v>843</v>
      </c>
      <c r="AC4" s="32" t="s">
        <v>853</v>
      </c>
      <c r="AD4" s="32" t="s">
        <v>843</v>
      </c>
      <c r="AE4" s="32" t="s">
        <v>855</v>
      </c>
      <c r="AF4" s="32" t="s">
        <v>856</v>
      </c>
      <c r="AG4" s="32" t="s">
        <v>843</v>
      </c>
      <c r="AH4" s="32" t="s">
        <v>858</v>
      </c>
      <c r="AI4" s="32" t="s">
        <v>859</v>
      </c>
      <c r="AJ4" s="32" t="s">
        <v>860</v>
      </c>
      <c r="AK4" s="32" t="s">
        <v>861</v>
      </c>
      <c r="AL4" s="32" t="s">
        <v>843</v>
      </c>
      <c r="AM4" s="101"/>
      <c r="AP4" s="100"/>
    </row>
    <row r="5" spans="1:42" ht="11.25" customHeight="1" x14ac:dyDescent="0.25">
      <c r="A5" s="97" t="s">
        <v>39</v>
      </c>
      <c r="B5" s="97" t="s">
        <v>40</v>
      </c>
      <c r="C5" s="97" t="s">
        <v>25</v>
      </c>
      <c r="D5" s="97" t="s">
        <v>25</v>
      </c>
      <c r="E5" s="97" t="s">
        <v>25</v>
      </c>
      <c r="F5" s="97" t="s">
        <v>25</v>
      </c>
      <c r="G5" s="38" t="s">
        <v>106</v>
      </c>
      <c r="H5" s="38" t="s">
        <v>105</v>
      </c>
      <c r="I5" s="38">
        <f>'MERCADO TUSD'!$U$2</f>
        <v>1097619</v>
      </c>
      <c r="J5" s="15"/>
      <c r="L5" s="31">
        <f>'TR TUSD'!$L$5*'TR TUSD'!$L$74</f>
        <v>0</v>
      </c>
      <c r="M5" s="31">
        <f>'TR TUSD'!$M$5*'TR TUSD'!$M$74</f>
        <v>0</v>
      </c>
      <c r="N5" s="31">
        <f ca="1">'TR TUSD'!$N$5*'TR TUSD'!$N$74</f>
        <v>0</v>
      </c>
      <c r="O5" s="31">
        <f>'TR TUSD'!$O$5*'TR TUSD'!$O$74</f>
        <v>0</v>
      </c>
      <c r="P5" s="31">
        <f>'TR TUSD'!$P$5*'TR TUSD'!$P$74</f>
        <v>0</v>
      </c>
      <c r="Q5" s="31">
        <f>'TR TUSD'!$Q$5*'TR TUSD'!$Q$74</f>
        <v>0</v>
      </c>
      <c r="R5" s="31">
        <f>'TR TUSD'!$R$5*'TR TUSD'!$R$74</f>
        <v>0</v>
      </c>
      <c r="S5" s="31">
        <f>'TR TUSD'!$S$5*'TR TUSD'!$S$74</f>
        <v>0</v>
      </c>
      <c r="T5" s="31">
        <f ca="1">SUM($L$5:$S$5)</f>
        <v>0</v>
      </c>
      <c r="U5" s="31">
        <f>'TR TUSD'!$U$5*'TR TUSD'!$U$74</f>
        <v>8.5521113100201376</v>
      </c>
      <c r="V5" s="31">
        <f>'TR TUSD'!$V$5*'TR TUSD'!$V$74</f>
        <v>2.6664474733501189</v>
      </c>
      <c r="W5" s="31">
        <f>'TR TUSD'!$W$5*'TR TUSD'!$W$74</f>
        <v>0.44551159706489535</v>
      </c>
      <c r="X5" s="31">
        <f>'TR TUSD'!$X$5*'TR TUSD'!$X$74</f>
        <v>2.5920240966366928E-2</v>
      </c>
      <c r="Y5" s="31">
        <f>'TR TUSD'!$Y$5*'TR TUSD'!$Y$74</f>
        <v>0.55249094854233038</v>
      </c>
      <c r="Z5" s="31">
        <f>'TR TUSD'!$Z$5</f>
        <v>0</v>
      </c>
      <c r="AA5" s="31">
        <f>'TR TUSD'!$AA$5</f>
        <v>0</v>
      </c>
      <c r="AB5" s="31">
        <f>SUM($U$5:$AA$5)</f>
        <v>12.242481569943847</v>
      </c>
      <c r="AC5" s="31">
        <f>'TR TUSD'!$AC$5*'TR TUSD'!$AC$74</f>
        <v>10.588507070525306</v>
      </c>
      <c r="AD5" s="31">
        <f>SUM($AC$5:$AC$5)</f>
        <v>10.588507070525306</v>
      </c>
      <c r="AE5" s="31">
        <v>0</v>
      </c>
      <c r="AF5" s="31">
        <v>0</v>
      </c>
      <c r="AG5" s="31">
        <f>SUM($AE$5:$AF$5)</f>
        <v>0</v>
      </c>
      <c r="AH5" s="31">
        <f>'TR TUSD'!$AH$5*'TR TUSD'!$AH$74</f>
        <v>0</v>
      </c>
      <c r="AI5" s="31">
        <f>'TR TUSD'!$AI$5*'TR TUSD'!$AI$74</f>
        <v>0</v>
      </c>
      <c r="AJ5" s="31">
        <f ca="1">'TR TUSD'!$AJ$5*'TR TUSD'!$AJ$74</f>
        <v>0</v>
      </c>
      <c r="AK5" s="31">
        <f ca="1">'TR TUSD'!$AK$5*'TR TUSD'!$AK$74</f>
        <v>0</v>
      </c>
      <c r="AL5" s="31">
        <f ca="1">SUM($AH$5:$AK$5)</f>
        <v>0</v>
      </c>
      <c r="AM5" s="31">
        <f ca="1">SUMIF($L$4:$AL$4,"SUBTOTAL",$L$5:$AL$5)</f>
        <v>22.830988640469151</v>
      </c>
      <c r="AP5" s="31">
        <v>1</v>
      </c>
    </row>
    <row r="6" spans="1:42" ht="11.25" customHeight="1" x14ac:dyDescent="0.25">
      <c r="A6" s="97"/>
      <c r="B6" s="97"/>
      <c r="C6" s="97"/>
      <c r="D6" s="97"/>
      <c r="E6" s="97"/>
      <c r="F6" s="97"/>
      <c r="G6" s="38" t="s">
        <v>107</v>
      </c>
      <c r="H6" s="38" t="s">
        <v>105</v>
      </c>
      <c r="I6" s="38">
        <f>'MERCADO TUSD'!$U$3</f>
        <v>1328173</v>
      </c>
      <c r="J6" s="15"/>
      <c r="L6" s="31">
        <f>'TR TUSD'!$L$6*'TR TUSD'!$L$74</f>
        <v>0</v>
      </c>
      <c r="M6" s="31">
        <f>'TR TUSD'!$M$6*'TR TUSD'!$M$74</f>
        <v>0</v>
      </c>
      <c r="N6" s="31">
        <f ca="1">'TR TUSD'!$N$6*'TR TUSD'!$N$74</f>
        <v>0</v>
      </c>
      <c r="O6" s="31">
        <f>'TR TUSD'!$O$6*'TR TUSD'!$O$74</f>
        <v>0</v>
      </c>
      <c r="P6" s="31">
        <f>'TR TUSD'!$P$6*'TR TUSD'!$P$74</f>
        <v>0</v>
      </c>
      <c r="Q6" s="31">
        <f>'TR TUSD'!$Q$6*'TR TUSD'!$Q$74</f>
        <v>0</v>
      </c>
      <c r="R6" s="31">
        <f>'TR TUSD'!$R$6*'TR TUSD'!$R$74</f>
        <v>0</v>
      </c>
      <c r="S6" s="31">
        <f>'TR TUSD'!$S$6*'TR TUSD'!$S$74</f>
        <v>0</v>
      </c>
      <c r="T6" s="31">
        <f ca="1">SUM($L$6:$S$6)</f>
        <v>0</v>
      </c>
      <c r="U6" s="31">
        <f>'TR TUSD'!$U$6*'TR TUSD'!$U$74</f>
        <v>6.8806430707825683</v>
      </c>
      <c r="V6" s="31">
        <f>'TR TUSD'!$V$6*'TR TUSD'!$V$74</f>
        <v>2.119526514040774</v>
      </c>
      <c r="W6" s="31">
        <f>'TR TUSD'!$W$6*'TR TUSD'!$W$74</f>
        <v>0.32778064595295414</v>
      </c>
      <c r="X6" s="31">
        <f>'TR TUSD'!$X$6*'TR TUSD'!$X$74</f>
        <v>1.9088549548874869E-2</v>
      </c>
      <c r="Y6" s="31">
        <f>'TR TUSD'!$Y$6*'TR TUSD'!$Y$74</f>
        <v>0.2352587527108157</v>
      </c>
      <c r="Z6" s="31">
        <f>'TR TUSD'!$Z$6</f>
        <v>0</v>
      </c>
      <c r="AA6" s="31">
        <f>'TR TUSD'!$AA$6</f>
        <v>0</v>
      </c>
      <c r="AB6" s="31">
        <f>SUM($U$6:$AA$6)</f>
        <v>9.5822975330359892</v>
      </c>
      <c r="AC6" s="31">
        <f>'TR TUSD'!$AC$6*'TR TUSD'!$AC$74</f>
        <v>2.076729023410381</v>
      </c>
      <c r="AD6" s="31">
        <f>SUM($AC$6:$AC$6)</f>
        <v>2.076729023410381</v>
      </c>
      <c r="AE6" s="31">
        <v>0</v>
      </c>
      <c r="AF6" s="31">
        <v>0</v>
      </c>
      <c r="AG6" s="31">
        <f>SUM($AE$6:$AF$6)</f>
        <v>0</v>
      </c>
      <c r="AH6" s="31">
        <f>'TR TUSD'!$AH$6*'TR TUSD'!$AH$74</f>
        <v>0</v>
      </c>
      <c r="AI6" s="31">
        <f>'TR TUSD'!$AI$6*'TR TUSD'!$AI$74</f>
        <v>0</v>
      </c>
      <c r="AJ6" s="31">
        <f ca="1">'TR TUSD'!$AJ$6*'TR TUSD'!$AJ$74</f>
        <v>0</v>
      </c>
      <c r="AK6" s="31">
        <f ca="1">'TR TUSD'!$AK$6*'TR TUSD'!$AK$74</f>
        <v>0</v>
      </c>
      <c r="AL6" s="31">
        <f ca="1">SUM($AH$6:$AK$6)</f>
        <v>0</v>
      </c>
      <c r="AM6" s="31">
        <f ca="1">SUMIF($L$4:$AL$4,"SUBTOTAL",$L$6:$AL$6)</f>
        <v>11.659026556446371</v>
      </c>
      <c r="AP6" s="31">
        <v>1</v>
      </c>
    </row>
    <row r="7" spans="1:42" ht="11.25" customHeight="1" x14ac:dyDescent="0.25">
      <c r="A7" s="97"/>
      <c r="B7" s="97"/>
      <c r="C7" s="97"/>
      <c r="D7" s="97"/>
      <c r="E7" s="97"/>
      <c r="F7" s="97"/>
      <c r="G7" s="38" t="s">
        <v>108</v>
      </c>
      <c r="H7" s="38" t="s">
        <v>102</v>
      </c>
      <c r="I7" s="38">
        <f>'MERCADO TUSD'!$U$4</f>
        <v>644358.49899999984</v>
      </c>
      <c r="J7" s="15"/>
      <c r="L7" s="31">
        <f>'TR TUSD'!$L$7*'TR TUSD'!$L$74</f>
        <v>2.4963486307544862</v>
      </c>
      <c r="M7" s="31">
        <f>'TR TUSD'!$M$7*'TR TUSD'!$M$74</f>
        <v>0.10774496102887667</v>
      </c>
      <c r="N7" s="31">
        <f ca="1">'TR TUSD'!$N$7*'TR TUSD'!$N$74</f>
        <v>0.22769923874022641</v>
      </c>
      <c r="O7" s="31">
        <f>'TR TUSD'!$O$7*'TR TUSD'!$O$74</f>
        <v>1.9190865198739564E-2</v>
      </c>
      <c r="P7" s="31">
        <f>'TR TUSD'!$P$7*'TR TUSD'!$P$74</f>
        <v>0</v>
      </c>
      <c r="Q7" s="31">
        <f>'TR TUSD'!$Q$7*'TR TUSD'!$Q$74</f>
        <v>23.673107681835472</v>
      </c>
      <c r="R7" s="31">
        <f>'TR TUSD'!$R$7*'TR TUSD'!$R$74</f>
        <v>14.414104263105399</v>
      </c>
      <c r="S7" s="31">
        <f>'TR TUSD'!$S$7*'TR TUSD'!$S$74</f>
        <v>0</v>
      </c>
      <c r="T7" s="31">
        <f ca="1">SUM($L$7:$S$7)</f>
        <v>40.938195640663203</v>
      </c>
      <c r="U7" s="31">
        <f>'TR TUSD'!$U$7*'TR TUSD'!$U$74</f>
        <v>0</v>
      </c>
      <c r="V7" s="31">
        <f>'TR TUSD'!$V$7*'TR TUSD'!$V$74</f>
        <v>0</v>
      </c>
      <c r="W7" s="31">
        <f>'TR TUSD'!$W$7*'TR TUSD'!$W$74</f>
        <v>0</v>
      </c>
      <c r="X7" s="31">
        <f>'TR TUSD'!$X$7*'TR TUSD'!$X$74</f>
        <v>0</v>
      </c>
      <c r="Y7" s="31">
        <f>'TR TUSD'!$Y$7*'TR TUSD'!$Y$74</f>
        <v>0</v>
      </c>
      <c r="Z7" s="31">
        <f>'TR TUSD'!$Z$7</f>
        <v>0</v>
      </c>
      <c r="AA7" s="31">
        <f>'TR TUSD'!$AA$7</f>
        <v>0</v>
      </c>
      <c r="AB7" s="31">
        <f>SUM($U$7:$AA$7)</f>
        <v>0</v>
      </c>
      <c r="AC7" s="31">
        <f>'TR TUSD'!$AC$7*'TR TUSD'!$AC$74</f>
        <v>0</v>
      </c>
      <c r="AD7" s="31">
        <f>SUM($AC$7:$AC$7)</f>
        <v>0</v>
      </c>
      <c r="AE7" s="31">
        <v>0</v>
      </c>
      <c r="AF7" s="31">
        <v>0</v>
      </c>
      <c r="AG7" s="31">
        <f>SUM($AE$7:$AF$7)</f>
        <v>0</v>
      </c>
      <c r="AH7" s="31">
        <f>'TR TUSD'!$AH$7*'TR TUSD'!$AH$74</f>
        <v>6.6470772504401658</v>
      </c>
      <c r="AI7" s="31">
        <f>'TR TUSD'!$AI$7*'TR TUSD'!$AI$74</f>
        <v>0.20148359600009066</v>
      </c>
      <c r="AJ7" s="31">
        <f ca="1">'TR TUSD'!$AJ$7*'TR TUSD'!$AJ$74</f>
        <v>3.5144661703407678</v>
      </c>
      <c r="AK7" s="31">
        <f ca="1">'TR TUSD'!$AK$7*'TR TUSD'!$AK$74</f>
        <v>0</v>
      </c>
      <c r="AL7" s="31">
        <f ca="1">SUM($AH$7:$AK$7)</f>
        <v>10.363027016781025</v>
      </c>
      <c r="AM7" s="31">
        <f ca="1">SUMIF($L$4:$AL$4,"SUBTOTAL",$L$7:$AL$7)</f>
        <v>51.301222657444228</v>
      </c>
      <c r="AP7" s="31">
        <v>1</v>
      </c>
    </row>
    <row r="8" spans="1:42" ht="11.25" customHeight="1" x14ac:dyDescent="0.25">
      <c r="A8" s="97"/>
      <c r="B8" s="97"/>
      <c r="C8" s="97"/>
      <c r="D8" s="97"/>
      <c r="E8" s="37" t="s">
        <v>59</v>
      </c>
      <c r="F8" s="37" t="s">
        <v>25</v>
      </c>
      <c r="G8" s="38" t="s">
        <v>108</v>
      </c>
      <c r="H8" s="38" t="s">
        <v>102</v>
      </c>
      <c r="I8" s="38">
        <f>'MERCADO TUSD'!$U$5</f>
        <v>0</v>
      </c>
      <c r="J8" s="15"/>
      <c r="L8" s="31">
        <f>'TR TUSD'!$L$8*'TR TUSD'!$L$74</f>
        <v>0</v>
      </c>
      <c r="M8" s="31">
        <f>'TR TUSD'!$M$8*'TR TUSD'!$M$74</f>
        <v>0.10774496102887667</v>
      </c>
      <c r="N8" s="31">
        <f ca="1">'TR TUSD'!$N$8*'TR TUSD'!$N$74</f>
        <v>0.21697390486523155</v>
      </c>
      <c r="O8" s="31">
        <f>'TR TUSD'!$O$8*'TR TUSD'!$O$74</f>
        <v>1.9190865198739564E-2</v>
      </c>
      <c r="P8" s="31">
        <f>'TR TUSD'!$P$8*'TR TUSD'!$P$74</f>
        <v>0</v>
      </c>
      <c r="Q8" s="31">
        <f>'TR TUSD'!$Q$8*'TR TUSD'!$Q$74</f>
        <v>0</v>
      </c>
      <c r="R8" s="31">
        <f>'TR TUSD'!$R$8*'TR TUSD'!$R$74</f>
        <v>0</v>
      </c>
      <c r="S8" s="31">
        <f>'TR TUSD'!$S$8*'TR TUSD'!$S$74</f>
        <v>0</v>
      </c>
      <c r="T8" s="31">
        <f ca="1">SUM($L$8:$S$8)</f>
        <v>0.34390973109284778</v>
      </c>
      <c r="U8" s="31">
        <f>'TR TUSD'!$U$8*'TR TUSD'!$U$74</f>
        <v>0</v>
      </c>
      <c r="V8" s="31">
        <f>'TR TUSD'!$V$8*'TR TUSD'!$V$74</f>
        <v>0</v>
      </c>
      <c r="W8" s="31">
        <f>'TR TUSD'!$W$8*'TR TUSD'!$W$74</f>
        <v>0</v>
      </c>
      <c r="X8" s="31">
        <f>'TR TUSD'!$X$8*'TR TUSD'!$X$74</f>
        <v>0</v>
      </c>
      <c r="Y8" s="31">
        <f>'TR TUSD'!$Y$8*'TR TUSD'!$Y$74</f>
        <v>0</v>
      </c>
      <c r="Z8" s="31">
        <f>'TR TUSD'!$Z$8</f>
        <v>0</v>
      </c>
      <c r="AA8" s="31">
        <f>'TR TUSD'!$AA$8</f>
        <v>0</v>
      </c>
      <c r="AB8" s="31">
        <f>SUM($U$8:$AA$8)</f>
        <v>0</v>
      </c>
      <c r="AC8" s="31">
        <f>'TR TUSD'!$AC$8*'TR TUSD'!$AC$74</f>
        <v>0</v>
      </c>
      <c r="AD8" s="31">
        <f>SUM($AC$8:$AC$8)</f>
        <v>0</v>
      </c>
      <c r="AE8" s="31">
        <v>0</v>
      </c>
      <c r="AF8" s="31">
        <v>0</v>
      </c>
      <c r="AG8" s="31">
        <f>SUM($AE$8:$AF$8)</f>
        <v>0</v>
      </c>
      <c r="AH8" s="31">
        <f>'TR TUSD'!$AH$8*'TR TUSD'!$AH$74</f>
        <v>6.6470772504401658</v>
      </c>
      <c r="AI8" s="31">
        <f>'TR TUSD'!$AI$8*'TR TUSD'!$AI$74</f>
        <v>0.20148359600009066</v>
      </c>
      <c r="AJ8" s="31">
        <f ca="1">'TR TUSD'!$AJ$8*'TR TUSD'!$AJ$74</f>
        <v>3.5144661703407678</v>
      </c>
      <c r="AK8" s="31">
        <f ca="1">'TR TUSD'!$AK$8*'TR TUSD'!$AK$74</f>
        <v>0</v>
      </c>
      <c r="AL8" s="31">
        <f ca="1">SUM($AH$8:$AK$8)</f>
        <v>10.363027016781025</v>
      </c>
      <c r="AM8" s="31">
        <f ca="1">SUMIF($L$4:$AL$4,"SUBTOTAL",$L$8:$AL$8)</f>
        <v>10.706936747873874</v>
      </c>
      <c r="AP8" s="31">
        <v>1</v>
      </c>
    </row>
    <row r="9" spans="1:42" ht="11.25" customHeight="1" x14ac:dyDescent="0.25">
      <c r="A9" s="97"/>
      <c r="B9" s="97" t="s">
        <v>62</v>
      </c>
      <c r="C9" s="97" t="s">
        <v>25</v>
      </c>
      <c r="D9" s="97" t="s">
        <v>25</v>
      </c>
      <c r="E9" s="97" t="s">
        <v>25</v>
      </c>
      <c r="F9" s="97" t="s">
        <v>65</v>
      </c>
      <c r="G9" s="38" t="s">
        <v>106</v>
      </c>
      <c r="H9" s="38" t="s">
        <v>105</v>
      </c>
      <c r="I9" s="38">
        <f>'MERCADO TUSD'!$U$6</f>
        <v>344392</v>
      </c>
      <c r="J9" s="15"/>
      <c r="L9" s="31">
        <f>'TR TUSD'!$L$9*'TR TUSD'!$L$74</f>
        <v>0</v>
      </c>
      <c r="M9" s="31">
        <f>'TR TUSD'!$M$9*'TR TUSD'!$M$74</f>
        <v>0</v>
      </c>
      <c r="N9" s="31">
        <f ca="1">'TR TUSD'!$N$9*'TR TUSD'!$N$74</f>
        <v>0</v>
      </c>
      <c r="O9" s="31">
        <f>'TR TUSD'!$O$9*'TR TUSD'!$O$74</f>
        <v>0</v>
      </c>
      <c r="P9" s="31">
        <f>'TR TUSD'!$P$9*'TR TUSD'!$P$74</f>
        <v>0</v>
      </c>
      <c r="Q9" s="31">
        <f>'TR TUSD'!$Q$9*'TR TUSD'!$Q$74</f>
        <v>0</v>
      </c>
      <c r="R9" s="31">
        <f>'TR TUSD'!$R$9*'TR TUSD'!$R$74</f>
        <v>0</v>
      </c>
      <c r="S9" s="31">
        <f>'TR TUSD'!$S$9*'TR TUSD'!$S$74</f>
        <v>0</v>
      </c>
      <c r="T9" s="31">
        <f ca="1">SUM($L$9:$S$9)</f>
        <v>0</v>
      </c>
      <c r="U9" s="31">
        <f>'TR TUSD'!$U$9*'TR TUSD'!$U$74</f>
        <v>8.5521113100201376</v>
      </c>
      <c r="V9" s="31">
        <f>'TR TUSD'!$V$9*'TR TUSD'!$V$74</f>
        <v>2.6664474733501189</v>
      </c>
      <c r="W9" s="31">
        <f>'TR TUSD'!$W$9*'TR TUSD'!$W$74</f>
        <v>0.44551159706489535</v>
      </c>
      <c r="X9" s="31">
        <f>'TR TUSD'!$X$9*'TR TUSD'!$X$74</f>
        <v>2.5920240966366928E-2</v>
      </c>
      <c r="Y9" s="31">
        <f>'TR TUSD'!$Y$9*'TR TUSD'!$Y$74</f>
        <v>0.55249094854233038</v>
      </c>
      <c r="Z9" s="31">
        <f>'TR TUSD'!$Z$9</f>
        <v>0</v>
      </c>
      <c r="AA9" s="31">
        <f>'TR TUSD'!$AA$9</f>
        <v>0</v>
      </c>
      <c r="AB9" s="31">
        <f>SUM($U$9:$AA$9)</f>
        <v>12.242481569943847</v>
      </c>
      <c r="AC9" s="31">
        <f>'TR TUSD'!$AC$9*'TR TUSD'!$AC$74</f>
        <v>10.588507070525306</v>
      </c>
      <c r="AD9" s="31">
        <f>SUM($AC$9:$AC$9)</f>
        <v>10.588507070525306</v>
      </c>
      <c r="AE9" s="31">
        <v>0</v>
      </c>
      <c r="AF9" s="31">
        <v>0</v>
      </c>
      <c r="AG9" s="31">
        <f>SUM($AE$9:$AF$9)</f>
        <v>0</v>
      </c>
      <c r="AH9" s="31">
        <f>'TR TUSD'!$AH$9*'TR TUSD'!$AH$74</f>
        <v>0</v>
      </c>
      <c r="AI9" s="31">
        <f>'TR TUSD'!$AI$9*'TR TUSD'!$AI$74</f>
        <v>0</v>
      </c>
      <c r="AJ9" s="31">
        <f ca="1">'TR TUSD'!$AJ$9*'TR TUSD'!$AJ$74</f>
        <v>0</v>
      </c>
      <c r="AK9" s="31">
        <f ca="1">'TR TUSD'!$AK$9*'TR TUSD'!$AK$74</f>
        <v>0</v>
      </c>
      <c r="AL9" s="31">
        <f ca="1">SUM($AH$9:$AK$9)</f>
        <v>0</v>
      </c>
      <c r="AM9" s="31">
        <f ca="1">SUMIF($L$4:$AL$4,"SUBTOTAL",$L$9:$AL$9)</f>
        <v>22.830988640469151</v>
      </c>
      <c r="AP9" s="31">
        <v>1</v>
      </c>
    </row>
    <row r="10" spans="1:42" ht="11.25" customHeight="1" x14ac:dyDescent="0.25">
      <c r="A10" s="97"/>
      <c r="B10" s="97"/>
      <c r="C10" s="97"/>
      <c r="D10" s="97"/>
      <c r="E10" s="97"/>
      <c r="F10" s="97"/>
      <c r="G10" s="38" t="s">
        <v>107</v>
      </c>
      <c r="H10" s="38" t="s">
        <v>105</v>
      </c>
      <c r="I10" s="38">
        <f>'MERCADO TUSD'!$U$7</f>
        <v>351600</v>
      </c>
      <c r="J10" s="15"/>
      <c r="L10" s="31">
        <f>'TR TUSD'!$L$10*'TR TUSD'!$L$74</f>
        <v>0</v>
      </c>
      <c r="M10" s="31">
        <f>'TR TUSD'!$M$10*'TR TUSD'!$M$74</f>
        <v>0</v>
      </c>
      <c r="N10" s="31">
        <f ca="1">'TR TUSD'!$N$10*'TR TUSD'!$N$74</f>
        <v>0</v>
      </c>
      <c r="O10" s="31">
        <f>'TR TUSD'!$O$10*'TR TUSD'!$O$74</f>
        <v>0</v>
      </c>
      <c r="P10" s="31">
        <f>'TR TUSD'!$P$10*'TR TUSD'!$P$74</f>
        <v>0</v>
      </c>
      <c r="Q10" s="31">
        <f>'TR TUSD'!$Q$10*'TR TUSD'!$Q$74</f>
        <v>0</v>
      </c>
      <c r="R10" s="31">
        <f>'TR TUSD'!$R$10*'TR TUSD'!$R$74</f>
        <v>0</v>
      </c>
      <c r="S10" s="31">
        <f>'TR TUSD'!$S$10*'TR TUSD'!$S$74</f>
        <v>0</v>
      </c>
      <c r="T10" s="31">
        <f ca="1">SUM($L$10:$S$10)</f>
        <v>0</v>
      </c>
      <c r="U10" s="31">
        <f>'TR TUSD'!$U$10*'TR TUSD'!$U$74</f>
        <v>6.8806430707825683</v>
      </c>
      <c r="V10" s="31">
        <f>'TR TUSD'!$V$10*'TR TUSD'!$V$74</f>
        <v>2.119526514040774</v>
      </c>
      <c r="W10" s="31">
        <f>'TR TUSD'!$W$10*'TR TUSD'!$W$74</f>
        <v>0.32778064595295414</v>
      </c>
      <c r="X10" s="31">
        <f>'TR TUSD'!$X$10*'TR TUSD'!$X$74</f>
        <v>1.9088549548874869E-2</v>
      </c>
      <c r="Y10" s="31">
        <f>'TR TUSD'!$Y$10*'TR TUSD'!$Y$74</f>
        <v>0.2352587527108157</v>
      </c>
      <c r="Z10" s="31">
        <f>'TR TUSD'!$Z$10</f>
        <v>0</v>
      </c>
      <c r="AA10" s="31">
        <f>'TR TUSD'!$AA$10</f>
        <v>0</v>
      </c>
      <c r="AB10" s="31">
        <f>SUM($U$10:$AA$10)</f>
        <v>9.5822975330359892</v>
      </c>
      <c r="AC10" s="31">
        <f>'TR TUSD'!$AC$10*'TR TUSD'!$AC$74</f>
        <v>2.076729023410381</v>
      </c>
      <c r="AD10" s="31">
        <f>SUM($AC$10:$AC$10)</f>
        <v>2.076729023410381</v>
      </c>
      <c r="AE10" s="31">
        <v>0</v>
      </c>
      <c r="AF10" s="31">
        <v>0</v>
      </c>
      <c r="AG10" s="31">
        <f>SUM($AE$10:$AF$10)</f>
        <v>0</v>
      </c>
      <c r="AH10" s="31">
        <f>'TR TUSD'!$AH$10*'TR TUSD'!$AH$74</f>
        <v>0</v>
      </c>
      <c r="AI10" s="31">
        <f>'TR TUSD'!$AI$10*'TR TUSD'!$AI$74</f>
        <v>0</v>
      </c>
      <c r="AJ10" s="31">
        <f ca="1">'TR TUSD'!$AJ$10*'TR TUSD'!$AJ$74</f>
        <v>0</v>
      </c>
      <c r="AK10" s="31">
        <f ca="1">'TR TUSD'!$AK$10*'TR TUSD'!$AK$74</f>
        <v>0</v>
      </c>
      <c r="AL10" s="31">
        <f ca="1">SUM($AH$10:$AK$10)</f>
        <v>0</v>
      </c>
      <c r="AM10" s="31">
        <f ca="1">SUMIF($L$4:$AL$4,"SUBTOTAL",$L$10:$AL$10)</f>
        <v>11.659026556446371</v>
      </c>
      <c r="AP10" s="31">
        <v>1</v>
      </c>
    </row>
    <row r="11" spans="1:42" ht="11.25" customHeight="1" x14ac:dyDescent="0.25">
      <c r="A11" s="97"/>
      <c r="B11" s="97"/>
      <c r="C11" s="97"/>
      <c r="D11" s="97"/>
      <c r="E11" s="97"/>
      <c r="F11" s="97"/>
      <c r="G11" s="38" t="s">
        <v>108</v>
      </c>
      <c r="H11" s="38" t="s">
        <v>102</v>
      </c>
      <c r="I11" s="38">
        <f>'MERCADO TUSD'!$U$8</f>
        <v>143574.41700000002</v>
      </c>
      <c r="J11" s="15"/>
      <c r="L11" s="31">
        <f>'TR TUSD'!$L$11*'TR TUSD'!$L$74</f>
        <v>0</v>
      </c>
      <c r="M11" s="31">
        <f>'TR TUSD'!$M$11*'TR TUSD'!$M$74</f>
        <v>0</v>
      </c>
      <c r="N11" s="31">
        <f ca="1">'TR TUSD'!$N$11*'TR TUSD'!$N$74</f>
        <v>0</v>
      </c>
      <c r="O11" s="31">
        <f>'TR TUSD'!$O$11*'TR TUSD'!$O$74</f>
        <v>0</v>
      </c>
      <c r="P11" s="31">
        <f>'TR TUSD'!$P$11*'TR TUSD'!$P$74</f>
        <v>0</v>
      </c>
      <c r="Q11" s="31">
        <f>'TR TUSD'!$Q$11*'TR TUSD'!$Q$74</f>
        <v>0</v>
      </c>
      <c r="R11" s="31">
        <f>'TR TUSD'!$R$11*'TR TUSD'!$R$74</f>
        <v>0</v>
      </c>
      <c r="S11" s="31">
        <f>'TR TUSD'!$S$11*'TR TUSD'!$S$74</f>
        <v>0</v>
      </c>
      <c r="T11" s="31">
        <f ca="1">SUM($L$11:$S$11)</f>
        <v>0</v>
      </c>
      <c r="U11" s="31">
        <f>'TR TUSD'!$U$11*'TR TUSD'!$U$74</f>
        <v>0</v>
      </c>
      <c r="V11" s="31">
        <f>'TR TUSD'!$V$11*'TR TUSD'!$V$74</f>
        <v>0</v>
      </c>
      <c r="W11" s="31">
        <f>'TR TUSD'!$W$11*'TR TUSD'!$W$74</f>
        <v>0</v>
      </c>
      <c r="X11" s="31">
        <f>'TR TUSD'!$X$11*'TR TUSD'!$X$74</f>
        <v>0</v>
      </c>
      <c r="Y11" s="31">
        <f>'TR TUSD'!$Y$11*'TR TUSD'!$Y$74</f>
        <v>0</v>
      </c>
      <c r="Z11" s="31">
        <f>'TR TUSD'!$Z$11</f>
        <v>0</v>
      </c>
      <c r="AA11" s="31">
        <f>'TR TUSD'!$AA$11</f>
        <v>0</v>
      </c>
      <c r="AB11" s="31">
        <f>SUM($U$11:$AA$11)</f>
        <v>0</v>
      </c>
      <c r="AC11" s="31">
        <f>'TR TUSD'!$AC$11*'TR TUSD'!$AC$74</f>
        <v>0</v>
      </c>
      <c r="AD11" s="31">
        <f>SUM($AC$11:$AC$11)</f>
        <v>0</v>
      </c>
      <c r="AE11" s="31">
        <v>0</v>
      </c>
      <c r="AF11" s="31">
        <v>0</v>
      </c>
      <c r="AG11" s="31">
        <f>SUM($AE$11:$AF$11)</f>
        <v>0</v>
      </c>
      <c r="AH11" s="31">
        <f>'TR TUSD'!$AH$11*'TR TUSD'!$AH$74</f>
        <v>6.6470772504401658</v>
      </c>
      <c r="AI11" s="31">
        <f>'TR TUSD'!$AI$11*'TR TUSD'!$AI$74</f>
        <v>0.20148359600009066</v>
      </c>
      <c r="AJ11" s="31">
        <f ca="1">'TR TUSD'!$AJ$11*'TR TUSD'!$AJ$74</f>
        <v>0</v>
      </c>
      <c r="AK11" s="31">
        <f ca="1">'TR TUSD'!$AK$11*'TR TUSD'!$AK$74</f>
        <v>0</v>
      </c>
      <c r="AL11" s="31">
        <f ca="1">SUM($AH$11:$AK$11)</f>
        <v>6.8485608464402565</v>
      </c>
      <c r="AM11" s="31">
        <f ca="1">SUMIF($L$4:$AL$4,"SUBTOTAL",$L$11:$AL$11)</f>
        <v>6.8485608464402565</v>
      </c>
      <c r="AP11" s="31">
        <v>1</v>
      </c>
    </row>
    <row r="12" spans="1:42" ht="11.25" customHeight="1" x14ac:dyDescent="0.25">
      <c r="A12" s="97"/>
      <c r="B12" s="37" t="s">
        <v>66</v>
      </c>
      <c r="C12" s="37" t="s">
        <v>25</v>
      </c>
      <c r="D12" s="37" t="s">
        <v>25</v>
      </c>
      <c r="E12" s="37" t="s">
        <v>25</v>
      </c>
      <c r="F12" s="37" t="s">
        <v>25</v>
      </c>
      <c r="G12" s="38" t="s">
        <v>9</v>
      </c>
      <c r="H12" s="38" t="s">
        <v>105</v>
      </c>
      <c r="I12" s="38">
        <f>'MERCADO TUSD'!$U$9</f>
        <v>2595530</v>
      </c>
      <c r="J12" s="15"/>
      <c r="L12" s="31">
        <f>'TR TUSD'!$L$12</f>
        <v>0</v>
      </c>
      <c r="M12" s="31">
        <f>'TR TUSD'!$M$12</f>
        <v>6.2193839049584268E-2</v>
      </c>
      <c r="N12" s="31">
        <f>'TR TUSD'!$N$12</f>
        <v>0.14254965846115739</v>
      </c>
      <c r="O12" s="31">
        <f>'TR TUSD'!$O$12</f>
        <v>6.603133499774109E-3</v>
      </c>
      <c r="P12" s="31">
        <f>'TR TUSD'!$P$12</f>
        <v>0</v>
      </c>
      <c r="Q12" s="31">
        <f>'TR TUSD'!$Q$12</f>
        <v>0</v>
      </c>
      <c r="R12" s="31">
        <f>'TR TUSD'!$R$12</f>
        <v>0</v>
      </c>
      <c r="S12" s="31">
        <f>'TR TUSD'!$S$12</f>
        <v>0</v>
      </c>
      <c r="T12" s="31">
        <f>SUM($L$12:$S$12)</f>
        <v>0.21134663101051579</v>
      </c>
      <c r="U12" s="31">
        <f>'TR TUSD'!$U$12</f>
        <v>0</v>
      </c>
      <c r="V12" s="31">
        <f>'TR TUSD'!$V$12</f>
        <v>0</v>
      </c>
      <c r="W12" s="31">
        <f>'TR TUSD'!$W$12</f>
        <v>0.22727928404185052</v>
      </c>
      <c r="X12" s="31">
        <f>'TR TUSD'!$X$12</f>
        <v>0</v>
      </c>
      <c r="Y12" s="31">
        <f>'TR TUSD'!$Y$12</f>
        <v>0.98657512988314733</v>
      </c>
      <c r="Z12" s="31">
        <f>'TR TUSD'!$Z$12</f>
        <v>0</v>
      </c>
      <c r="AA12" s="31">
        <f>'TR TUSD'!$AA$12</f>
        <v>0</v>
      </c>
      <c r="AB12" s="31">
        <f>SUM($U$12:$AA$12)</f>
        <v>1.2138544139249978</v>
      </c>
      <c r="AC12" s="31">
        <f>'TR TUSD'!$AC$12</f>
        <v>11.529431738320262</v>
      </c>
      <c r="AD12" s="31">
        <f>SUM($AC$12:$AC$12)</f>
        <v>11.529431738320262</v>
      </c>
      <c r="AE12" s="31">
        <v>0</v>
      </c>
      <c r="AF12" s="31">
        <v>0</v>
      </c>
      <c r="AG12" s="31">
        <f>SUM($AE$12:$AF$12)</f>
        <v>0</v>
      </c>
      <c r="AH12" s="31">
        <f>'TR TUSD'!$AH$12</f>
        <v>0.99387676728317931</v>
      </c>
      <c r="AI12" s="31">
        <f>'TR TUSD'!$AI$12</f>
        <v>0.27823593483049636</v>
      </c>
      <c r="AJ12" s="31">
        <f>'TR TUSD'!$AJ$12</f>
        <v>0</v>
      </c>
      <c r="AK12" s="31">
        <f>'TR TUSD'!$AK$12</f>
        <v>0</v>
      </c>
      <c r="AL12" s="31">
        <f>SUM($AH$12:$AK$12)</f>
        <v>1.2721127021136756</v>
      </c>
      <c r="AM12" s="31">
        <f>SUMIF($L$4:$AL$4,"SUBTOTAL",$L$12:$AL$12)</f>
        <v>14.226745485369452</v>
      </c>
      <c r="AP12" s="31"/>
    </row>
    <row r="13" spans="1:42" ht="11.25" customHeight="1" x14ac:dyDescent="0.25">
      <c r="A13" s="97" t="s">
        <v>41</v>
      </c>
      <c r="B13" s="97" t="s">
        <v>40</v>
      </c>
      <c r="C13" s="97" t="s">
        <v>25</v>
      </c>
      <c r="D13" s="97" t="s">
        <v>25</v>
      </c>
      <c r="E13" s="97" t="s">
        <v>25</v>
      </c>
      <c r="F13" s="97" t="s">
        <v>25</v>
      </c>
      <c r="G13" s="38" t="s">
        <v>106</v>
      </c>
      <c r="H13" s="38" t="s">
        <v>105</v>
      </c>
      <c r="I13" s="38">
        <f>'MERCADO TUSD'!$U$10</f>
        <v>558998</v>
      </c>
      <c r="J13" s="15"/>
      <c r="L13" s="31">
        <f>'TR TUSD'!$L$13*'TR TUSD'!$L$74</f>
        <v>0</v>
      </c>
      <c r="M13" s="31">
        <f>'TR TUSD'!$M$13*'TR TUSD'!$M$74</f>
        <v>0</v>
      </c>
      <c r="N13" s="31">
        <f ca="1">'TR TUSD'!$N$13*'TR TUSD'!$N$74</f>
        <v>0</v>
      </c>
      <c r="O13" s="31">
        <f>'TR TUSD'!$O$13*'TR TUSD'!$O$74</f>
        <v>0</v>
      </c>
      <c r="P13" s="31">
        <f>'TR TUSD'!$P$13*'TR TUSD'!$P$74</f>
        <v>0</v>
      </c>
      <c r="Q13" s="31">
        <f>'TR TUSD'!$Q$13*'TR TUSD'!$Q$74</f>
        <v>0</v>
      </c>
      <c r="R13" s="31">
        <f>'TR TUSD'!$R$13*'TR TUSD'!$R$74</f>
        <v>0</v>
      </c>
      <c r="S13" s="31">
        <f>'TR TUSD'!$S$13*'TR TUSD'!$S$74</f>
        <v>0</v>
      </c>
      <c r="T13" s="31">
        <f ca="1">SUM($L$13:$S$13)</f>
        <v>0</v>
      </c>
      <c r="U13" s="31">
        <f>'TR TUSD'!$U$13*'TR TUSD'!$U$74</f>
        <v>7.338192381287195</v>
      </c>
      <c r="V13" s="31">
        <f>'TR TUSD'!$V$13*'TR TUSD'!$V$74</f>
        <v>2.2879377610387648</v>
      </c>
      <c r="W13" s="31">
        <f>'TR TUSD'!$W$13*'TR TUSD'!$W$74</f>
        <v>0.3822879893249061</v>
      </c>
      <c r="X13" s="31">
        <f>'TR TUSD'!$X$13*'TR TUSD'!$X$74</f>
        <v>2.2202997106849195E-2</v>
      </c>
      <c r="Y13" s="31">
        <f>'TR TUSD'!$Y$13*'TR TUSD'!$Y$74</f>
        <v>0.61324181927227162</v>
      </c>
      <c r="Z13" s="31">
        <f>'TR TUSD'!$Z$13</f>
        <v>0</v>
      </c>
      <c r="AA13" s="31">
        <f>'TR TUSD'!$AA$13</f>
        <v>0</v>
      </c>
      <c r="AB13" s="31">
        <f>SUM($U$13:$AA$13)</f>
        <v>10.643862948029986</v>
      </c>
      <c r="AC13" s="31">
        <f>'TR TUSD'!$AC$13*'TR TUSD'!$AC$74</f>
        <v>46.312968667281488</v>
      </c>
      <c r="AD13" s="31">
        <f>SUM($AC$13:$AC$13)</f>
        <v>46.312968667281488</v>
      </c>
      <c r="AE13" s="31">
        <v>0</v>
      </c>
      <c r="AF13" s="31">
        <v>0</v>
      </c>
      <c r="AG13" s="31">
        <f>SUM($AE$13:$AF$13)</f>
        <v>0</v>
      </c>
      <c r="AH13" s="31">
        <f>'TR TUSD'!$AH$13*'TR TUSD'!$AH$74</f>
        <v>0</v>
      </c>
      <c r="AI13" s="31">
        <f>'TR TUSD'!$AI$13*'TR TUSD'!$AI$74</f>
        <v>0</v>
      </c>
      <c r="AJ13" s="31">
        <f ca="1">'TR TUSD'!$AJ$13*'TR TUSD'!$AJ$74</f>
        <v>0</v>
      </c>
      <c r="AK13" s="31">
        <f ca="1">'TR TUSD'!$AK$13*'TR TUSD'!$AK$74</f>
        <v>0</v>
      </c>
      <c r="AL13" s="31">
        <f ca="1">SUM($AH$13:$AK$13)</f>
        <v>0</v>
      </c>
      <c r="AM13" s="31">
        <f ca="1">SUMIF($L$4:$AL$4,"SUBTOTAL",$L$13:$AL$13)</f>
        <v>56.956831615311472</v>
      </c>
      <c r="AP13" s="31">
        <v>1</v>
      </c>
    </row>
    <row r="14" spans="1:42" ht="11.25" customHeight="1" x14ac:dyDescent="0.25">
      <c r="A14" s="97"/>
      <c r="B14" s="97"/>
      <c r="C14" s="97"/>
      <c r="D14" s="97"/>
      <c r="E14" s="97"/>
      <c r="F14" s="97"/>
      <c r="G14" s="38" t="s">
        <v>107</v>
      </c>
      <c r="H14" s="38" t="s">
        <v>105</v>
      </c>
      <c r="I14" s="38">
        <f>'MERCADO TUSD'!$U$11</f>
        <v>639825</v>
      </c>
      <c r="J14" s="15"/>
      <c r="L14" s="31">
        <f>'TR TUSD'!$L$14*'TR TUSD'!$L$74</f>
        <v>0</v>
      </c>
      <c r="M14" s="31">
        <f>'TR TUSD'!$M$14*'TR TUSD'!$M$74</f>
        <v>0</v>
      </c>
      <c r="N14" s="31">
        <f ca="1">'TR TUSD'!$N$14*'TR TUSD'!$N$74</f>
        <v>0</v>
      </c>
      <c r="O14" s="31">
        <f>'TR TUSD'!$O$14*'TR TUSD'!$O$74</f>
        <v>0</v>
      </c>
      <c r="P14" s="31">
        <f>'TR TUSD'!$P$14*'TR TUSD'!$P$74</f>
        <v>0</v>
      </c>
      <c r="Q14" s="31">
        <f>'TR TUSD'!$Q$14*'TR TUSD'!$Q$74</f>
        <v>0</v>
      </c>
      <c r="R14" s="31">
        <f>'TR TUSD'!$R$14*'TR TUSD'!$R$74</f>
        <v>0</v>
      </c>
      <c r="S14" s="31">
        <f>'TR TUSD'!$S$14*'TR TUSD'!$S$74</f>
        <v>0</v>
      </c>
      <c r="T14" s="31">
        <f ca="1">SUM($L$14:$S$14)</f>
        <v>0</v>
      </c>
      <c r="U14" s="31">
        <f>'TR TUSD'!$U$14*'TR TUSD'!$U$74</f>
        <v>4.5826519558715457</v>
      </c>
      <c r="V14" s="31">
        <f>'TR TUSD'!$V$14*'TR TUSD'!$V$74</f>
        <v>1.4214574196125034</v>
      </c>
      <c r="W14" s="31">
        <f>'TR TUSD'!$W$14*'TR TUSD'!$W$74</f>
        <v>0.21802937348780771</v>
      </c>
      <c r="X14" s="31">
        <f>'TR TUSD'!$X$14*'TR TUSD'!$X$74</f>
        <v>1.2658722332411757E-2</v>
      </c>
      <c r="Y14" s="31">
        <f>'TR TUSD'!$Y$14*'TR TUSD'!$Y$74</f>
        <v>0.19965310993200905</v>
      </c>
      <c r="Z14" s="31">
        <f>'TR TUSD'!$Z$14</f>
        <v>0</v>
      </c>
      <c r="AA14" s="31">
        <f>'TR TUSD'!$AA$14</f>
        <v>0</v>
      </c>
      <c r="AB14" s="31">
        <f>SUM($U$14:$AA$14)</f>
        <v>6.4344505812362769</v>
      </c>
      <c r="AC14" s="31">
        <f>'TR TUSD'!$AC$14*'TR TUSD'!$AC$74</f>
        <v>22.148927821524858</v>
      </c>
      <c r="AD14" s="31">
        <f>SUM($AC$14:$AC$14)</f>
        <v>22.148927821524858</v>
      </c>
      <c r="AE14" s="31">
        <v>0</v>
      </c>
      <c r="AF14" s="31">
        <v>0</v>
      </c>
      <c r="AG14" s="31">
        <f>SUM($AE$14:$AF$14)</f>
        <v>0</v>
      </c>
      <c r="AH14" s="31">
        <f>'TR TUSD'!$AH$14*'TR TUSD'!$AH$74</f>
        <v>0</v>
      </c>
      <c r="AI14" s="31">
        <f>'TR TUSD'!$AI$14*'TR TUSD'!$AI$74</f>
        <v>0</v>
      </c>
      <c r="AJ14" s="31">
        <f ca="1">'TR TUSD'!$AJ$14*'TR TUSD'!$AJ$74</f>
        <v>0</v>
      </c>
      <c r="AK14" s="31">
        <f ca="1">'TR TUSD'!$AK$14*'TR TUSD'!$AK$74</f>
        <v>0</v>
      </c>
      <c r="AL14" s="31">
        <f ca="1">SUM($AH$14:$AK$14)</f>
        <v>0</v>
      </c>
      <c r="AM14" s="31">
        <f ca="1">SUMIF($L$4:$AL$4,"SUBTOTAL",$L$14:$AL$14)</f>
        <v>28.583378402761134</v>
      </c>
      <c r="AP14" s="31">
        <v>1</v>
      </c>
    </row>
    <row r="15" spans="1:42" ht="11.25" customHeight="1" x14ac:dyDescent="0.25">
      <c r="A15" s="97"/>
      <c r="B15" s="97"/>
      <c r="C15" s="97"/>
      <c r="D15" s="97"/>
      <c r="E15" s="97"/>
      <c r="F15" s="97"/>
      <c r="G15" s="38" t="s">
        <v>108</v>
      </c>
      <c r="H15" s="38" t="s">
        <v>102</v>
      </c>
      <c r="I15" s="38">
        <f>'MERCADO TUSD'!$U$12</f>
        <v>243208.54699999999</v>
      </c>
      <c r="J15" s="15"/>
      <c r="L15" s="31">
        <f>'TR TUSD'!$L$15*'TR TUSD'!$L$74</f>
        <v>3.3821497577964008</v>
      </c>
      <c r="M15" s="31">
        <f>'TR TUSD'!$M$15*'TR TUSD'!$M$74</f>
        <v>0.66165594309074083</v>
      </c>
      <c r="N15" s="31">
        <f ca="1">'TR TUSD'!$N$15*'TR TUSD'!$N$74</f>
        <v>0.50190717882481162</v>
      </c>
      <c r="O15" s="31">
        <f>'TR TUSD'!$O$15*'TR TUSD'!$O$74</f>
        <v>1.9190865198739564E-2</v>
      </c>
      <c r="P15" s="31">
        <f>'TR TUSD'!$P$15*'TR TUSD'!$P$74</f>
        <v>0</v>
      </c>
      <c r="Q15" s="31">
        <f>'TR TUSD'!$Q$15*'TR TUSD'!$Q$74</f>
        <v>32.07324266571257</v>
      </c>
      <c r="R15" s="31">
        <f>'TR TUSD'!$R$15*'TR TUSD'!$R$74</f>
        <v>14.414104263105399</v>
      </c>
      <c r="S15" s="31">
        <f>'TR TUSD'!$S$15*'TR TUSD'!$S$74</f>
        <v>0</v>
      </c>
      <c r="T15" s="31">
        <f ca="1">SUM($L$15:$S$15)</f>
        <v>51.052250673728665</v>
      </c>
      <c r="U15" s="31">
        <f>'TR TUSD'!$U$15*'TR TUSD'!$U$74</f>
        <v>0</v>
      </c>
      <c r="V15" s="31">
        <f>'TR TUSD'!$V$15*'TR TUSD'!$V$74</f>
        <v>0</v>
      </c>
      <c r="W15" s="31">
        <f>'TR TUSD'!$W$15*'TR TUSD'!$W$74</f>
        <v>0</v>
      </c>
      <c r="X15" s="31">
        <f>'TR TUSD'!$X$15*'TR TUSD'!$X$74</f>
        <v>0</v>
      </c>
      <c r="Y15" s="31">
        <f>'TR TUSD'!$Y$15*'TR TUSD'!$Y$74</f>
        <v>0</v>
      </c>
      <c r="Z15" s="31">
        <f>'TR TUSD'!$Z$15</f>
        <v>0</v>
      </c>
      <c r="AA15" s="31">
        <f>'TR TUSD'!$AA$15</f>
        <v>0</v>
      </c>
      <c r="AB15" s="31">
        <f>SUM($U$15:$AA$15)</f>
        <v>0</v>
      </c>
      <c r="AC15" s="31">
        <f>'TR TUSD'!$AC$15*'TR TUSD'!$AC$74</f>
        <v>0</v>
      </c>
      <c r="AD15" s="31">
        <f>SUM($AC$15:$AC$15)</f>
        <v>0</v>
      </c>
      <c r="AE15" s="31">
        <v>0</v>
      </c>
      <c r="AF15" s="31">
        <v>0</v>
      </c>
      <c r="AG15" s="31">
        <f>SUM($AE$15:$AF$15)</f>
        <v>0</v>
      </c>
      <c r="AH15" s="31">
        <f>'TR TUSD'!$AH$15*'TR TUSD'!$AH$74</f>
        <v>14.267910853083626</v>
      </c>
      <c r="AI15" s="31">
        <f>'TR TUSD'!$AI$15*'TR TUSD'!$AI$74</f>
        <v>0.43248331225541958</v>
      </c>
      <c r="AJ15" s="31">
        <f ca="1">'TR TUSD'!$AJ$15*'TR TUSD'!$AJ$74</f>
        <v>9.1273242575601881</v>
      </c>
      <c r="AK15" s="31">
        <f ca="1">'TR TUSD'!$AK$15*'TR TUSD'!$AK$74</f>
        <v>0</v>
      </c>
      <c r="AL15" s="31">
        <f ca="1">SUM($AH$15:$AK$15)</f>
        <v>23.827718422899231</v>
      </c>
      <c r="AM15" s="31">
        <f ca="1">SUMIF($L$4:$AL$4,"SUBTOTAL",$L$15:$AL$15)</f>
        <v>74.879969096627889</v>
      </c>
      <c r="AP15" s="31">
        <v>1</v>
      </c>
    </row>
    <row r="16" spans="1:42" ht="11.25" customHeight="1" x14ac:dyDescent="0.25">
      <c r="A16" s="97"/>
      <c r="B16" s="97"/>
      <c r="C16" s="97"/>
      <c r="D16" s="97"/>
      <c r="E16" s="37" t="s">
        <v>59</v>
      </c>
      <c r="F16" s="37" t="s">
        <v>25</v>
      </c>
      <c r="G16" s="38" t="s">
        <v>108</v>
      </c>
      <c r="H16" s="38" t="s">
        <v>102</v>
      </c>
      <c r="I16" s="38">
        <f>'MERCADO TUSD'!$U$13</f>
        <v>0</v>
      </c>
      <c r="J16" s="15"/>
      <c r="L16" s="31">
        <f>'TR TUSD'!$L$16*'TR TUSD'!$L$74</f>
        <v>0</v>
      </c>
      <c r="M16" s="31">
        <f>'TR TUSD'!$M$16*'TR TUSD'!$M$74</f>
        <v>0.66165594309074083</v>
      </c>
      <c r="N16" s="31">
        <f ca="1">'TR TUSD'!$N$16*'TR TUSD'!$N$74</f>
        <v>0.4911818449498167</v>
      </c>
      <c r="O16" s="31">
        <f>'TR TUSD'!$O$16*'TR TUSD'!$O$74</f>
        <v>1.9190865198739564E-2</v>
      </c>
      <c r="P16" s="31">
        <f>'TR TUSD'!$P$16*'TR TUSD'!$P$74</f>
        <v>0</v>
      </c>
      <c r="Q16" s="31">
        <f>'TR TUSD'!$Q$16*'TR TUSD'!$Q$74</f>
        <v>0</v>
      </c>
      <c r="R16" s="31">
        <f>'TR TUSD'!$R$16*'TR TUSD'!$R$74</f>
        <v>0</v>
      </c>
      <c r="S16" s="31">
        <f>'TR TUSD'!$S$16*'TR TUSD'!$S$74</f>
        <v>0</v>
      </c>
      <c r="T16" s="31">
        <f ca="1">SUM($L$16:$S$16)</f>
        <v>1.1720286532392972</v>
      </c>
      <c r="U16" s="31">
        <f>'TR TUSD'!$U$16*'TR TUSD'!$U$74</f>
        <v>0</v>
      </c>
      <c r="V16" s="31">
        <f>'TR TUSD'!$V$16*'TR TUSD'!$V$74</f>
        <v>0</v>
      </c>
      <c r="W16" s="31">
        <f>'TR TUSD'!$W$16*'TR TUSD'!$W$74</f>
        <v>0</v>
      </c>
      <c r="X16" s="31">
        <f>'TR TUSD'!$X$16*'TR TUSD'!$X$74</f>
        <v>0</v>
      </c>
      <c r="Y16" s="31">
        <f>'TR TUSD'!$Y$16*'TR TUSD'!$Y$74</f>
        <v>0</v>
      </c>
      <c r="Z16" s="31">
        <f>'TR TUSD'!$Z$16</f>
        <v>0</v>
      </c>
      <c r="AA16" s="31">
        <f>'TR TUSD'!$AA$16</f>
        <v>0</v>
      </c>
      <c r="AB16" s="31">
        <f>SUM($U$16:$AA$16)</f>
        <v>0</v>
      </c>
      <c r="AC16" s="31">
        <f>'TR TUSD'!$AC$16*'TR TUSD'!$AC$74</f>
        <v>0</v>
      </c>
      <c r="AD16" s="31">
        <f>SUM($AC$16:$AC$16)</f>
        <v>0</v>
      </c>
      <c r="AE16" s="31">
        <v>0</v>
      </c>
      <c r="AF16" s="31">
        <v>0</v>
      </c>
      <c r="AG16" s="31">
        <f>SUM($AE$16:$AF$16)</f>
        <v>0</v>
      </c>
      <c r="AH16" s="31">
        <f>'TR TUSD'!$AH$16*'TR TUSD'!$AH$74</f>
        <v>14.267910853083626</v>
      </c>
      <c r="AI16" s="31">
        <f>'TR TUSD'!$AI$16*'TR TUSD'!$AI$74</f>
        <v>0.43248331225541958</v>
      </c>
      <c r="AJ16" s="31">
        <f ca="1">'TR TUSD'!$AJ$16*'TR TUSD'!$AJ$74</f>
        <v>9.1273242575601881</v>
      </c>
      <c r="AK16" s="31">
        <f ca="1">'TR TUSD'!$AK$16*'TR TUSD'!$AK$74</f>
        <v>0</v>
      </c>
      <c r="AL16" s="31">
        <f ca="1">SUM($AH$16:$AK$16)</f>
        <v>23.827718422899231</v>
      </c>
      <c r="AM16" s="31">
        <f ca="1">SUMIF($L$4:$AL$4,"SUBTOTAL",$L$16:$AL$16)</f>
        <v>24.999747076138529</v>
      </c>
      <c r="AP16" s="31">
        <v>1</v>
      </c>
    </row>
    <row r="17" spans="1:42" ht="11.25" customHeight="1" x14ac:dyDescent="0.25">
      <c r="A17" s="97"/>
      <c r="B17" s="97" t="s">
        <v>62</v>
      </c>
      <c r="C17" s="97" t="s">
        <v>25</v>
      </c>
      <c r="D17" s="97" t="s">
        <v>25</v>
      </c>
      <c r="E17" s="97" t="s">
        <v>25</v>
      </c>
      <c r="F17" s="97" t="s">
        <v>63</v>
      </c>
      <c r="G17" s="38" t="s">
        <v>106</v>
      </c>
      <c r="H17" s="38" t="s">
        <v>105</v>
      </c>
      <c r="I17" s="38">
        <f>'MERCADO TUSD'!$U$14</f>
        <v>83572</v>
      </c>
      <c r="J17" s="15"/>
      <c r="L17" s="31">
        <f>'TR TUSD'!$L$17*'TR TUSD'!$L$74</f>
        <v>0</v>
      </c>
      <c r="M17" s="31">
        <f>'TR TUSD'!$M$17*'TR TUSD'!$M$74</f>
        <v>0</v>
      </c>
      <c r="N17" s="31">
        <f ca="1">'TR TUSD'!$N$17*'TR TUSD'!$N$74</f>
        <v>0</v>
      </c>
      <c r="O17" s="31">
        <f>'TR TUSD'!$O$17*'TR TUSD'!$O$74</f>
        <v>0</v>
      </c>
      <c r="P17" s="31">
        <f>'TR TUSD'!$P$17*'TR TUSD'!$P$74</f>
        <v>0</v>
      </c>
      <c r="Q17" s="31">
        <f>'TR TUSD'!$Q$17*'TR TUSD'!$Q$74</f>
        <v>0</v>
      </c>
      <c r="R17" s="31">
        <f>'TR TUSD'!$R$17*'TR TUSD'!$R$74</f>
        <v>0</v>
      </c>
      <c r="S17" s="31">
        <f>'TR TUSD'!$S$17*'TR TUSD'!$S$74</f>
        <v>0</v>
      </c>
      <c r="T17" s="31">
        <f ca="1">SUM($L$17:$S$17)</f>
        <v>0</v>
      </c>
      <c r="U17" s="31">
        <f>'TR TUSD'!$U$17*'TR TUSD'!$U$74</f>
        <v>7.338192381287195</v>
      </c>
      <c r="V17" s="31">
        <f>'TR TUSD'!$V$17*'TR TUSD'!$V$74</f>
        <v>2.2879377610387648</v>
      </c>
      <c r="W17" s="31">
        <f>'TR TUSD'!$W$17*'TR TUSD'!$W$74</f>
        <v>0.3822879893249061</v>
      </c>
      <c r="X17" s="31">
        <f>'TR TUSD'!$X$17*'TR TUSD'!$X$74</f>
        <v>2.2202997106849195E-2</v>
      </c>
      <c r="Y17" s="31">
        <f>'TR TUSD'!$Y$17*'TR TUSD'!$Y$74</f>
        <v>0.61324181927227162</v>
      </c>
      <c r="Z17" s="31">
        <f>'TR TUSD'!$Z$17</f>
        <v>0</v>
      </c>
      <c r="AA17" s="31">
        <f>'TR TUSD'!$AA$17</f>
        <v>0</v>
      </c>
      <c r="AB17" s="31">
        <f>SUM($U$17:$AA$17)</f>
        <v>10.643862948029986</v>
      </c>
      <c r="AC17" s="31">
        <f>'TR TUSD'!$AC$17*'TR TUSD'!$AC$74</f>
        <v>16.624963544798891</v>
      </c>
      <c r="AD17" s="31">
        <f>SUM($AC$17:$AC$17)</f>
        <v>16.624963544798891</v>
      </c>
      <c r="AE17" s="31">
        <v>0</v>
      </c>
      <c r="AF17" s="31">
        <v>0</v>
      </c>
      <c r="AG17" s="31">
        <f>SUM($AE$17:$AF$17)</f>
        <v>0</v>
      </c>
      <c r="AH17" s="31">
        <f>'TR TUSD'!$AH$17*'TR TUSD'!$AH$74</f>
        <v>0</v>
      </c>
      <c r="AI17" s="31">
        <f>'TR TUSD'!$AI$17*'TR TUSD'!$AI$74</f>
        <v>0</v>
      </c>
      <c r="AJ17" s="31">
        <f ca="1">'TR TUSD'!$AJ$17*'TR TUSD'!$AJ$74</f>
        <v>0</v>
      </c>
      <c r="AK17" s="31">
        <f ca="1">'TR TUSD'!$AK$17*'TR TUSD'!$AK$74</f>
        <v>0</v>
      </c>
      <c r="AL17" s="31">
        <f ca="1">SUM($AH$17:$AK$17)</f>
        <v>0</v>
      </c>
      <c r="AM17" s="31">
        <f ca="1">SUMIF($L$4:$AL$4,"SUBTOTAL",$L$17:$AL$17)</f>
        <v>27.268826492828879</v>
      </c>
      <c r="AP17" s="31">
        <v>1</v>
      </c>
    </row>
    <row r="18" spans="1:42" ht="11.25" customHeight="1" x14ac:dyDescent="0.25">
      <c r="A18" s="97"/>
      <c r="B18" s="97"/>
      <c r="C18" s="97"/>
      <c r="D18" s="97"/>
      <c r="E18" s="97"/>
      <c r="F18" s="97"/>
      <c r="G18" s="38" t="s">
        <v>107</v>
      </c>
      <c r="H18" s="38" t="s">
        <v>105</v>
      </c>
      <c r="I18" s="38">
        <f>'MERCADO TUSD'!$U$15</f>
        <v>86016</v>
      </c>
      <c r="J18" s="15"/>
      <c r="L18" s="31">
        <f>'TR TUSD'!$L$18*'TR TUSD'!$L$74</f>
        <v>0</v>
      </c>
      <c r="M18" s="31">
        <f>'TR TUSD'!$M$18*'TR TUSD'!$M$74</f>
        <v>0</v>
      </c>
      <c r="N18" s="31">
        <f ca="1">'TR TUSD'!$N$18*'TR TUSD'!$N$74</f>
        <v>0</v>
      </c>
      <c r="O18" s="31">
        <f>'TR TUSD'!$O$18*'TR TUSD'!$O$74</f>
        <v>0</v>
      </c>
      <c r="P18" s="31">
        <f>'TR TUSD'!$P$18*'TR TUSD'!$P$74</f>
        <v>0</v>
      </c>
      <c r="Q18" s="31">
        <f>'TR TUSD'!$Q$18*'TR TUSD'!$Q$74</f>
        <v>0</v>
      </c>
      <c r="R18" s="31">
        <f>'TR TUSD'!$R$18*'TR TUSD'!$R$74</f>
        <v>0</v>
      </c>
      <c r="S18" s="31">
        <f>'TR TUSD'!$S$18*'TR TUSD'!$S$74</f>
        <v>0</v>
      </c>
      <c r="T18" s="31">
        <f ca="1">SUM($L$18:$S$18)</f>
        <v>0</v>
      </c>
      <c r="U18" s="31">
        <f>'TR TUSD'!$U$18*'TR TUSD'!$U$74</f>
        <v>4.5826519558715457</v>
      </c>
      <c r="V18" s="31">
        <f>'TR TUSD'!$V$18*'TR TUSD'!$V$74</f>
        <v>1.4214574196125034</v>
      </c>
      <c r="W18" s="31">
        <f>'TR TUSD'!$W$18*'TR TUSD'!$W$74</f>
        <v>0.21802937348780771</v>
      </c>
      <c r="X18" s="31">
        <f>'TR TUSD'!$X$18*'TR TUSD'!$X$74</f>
        <v>1.2658722332411757E-2</v>
      </c>
      <c r="Y18" s="31">
        <f>'TR TUSD'!$Y$18*'TR TUSD'!$Y$74</f>
        <v>0.19965310993200905</v>
      </c>
      <c r="Z18" s="31">
        <f>'TR TUSD'!$Z$18</f>
        <v>0</v>
      </c>
      <c r="AA18" s="31">
        <f>'TR TUSD'!$AA$18</f>
        <v>0</v>
      </c>
      <c r="AB18" s="31">
        <f>SUM($U$18:$AA$18)</f>
        <v>6.4344505812362769</v>
      </c>
      <c r="AC18" s="31">
        <f>'TR TUSD'!$AC$18*'TR TUSD'!$AC$74</f>
        <v>7.9508250910892411</v>
      </c>
      <c r="AD18" s="31">
        <f>SUM($AC$18:$AC$18)</f>
        <v>7.9508250910892411</v>
      </c>
      <c r="AE18" s="31">
        <v>0</v>
      </c>
      <c r="AF18" s="31">
        <v>0</v>
      </c>
      <c r="AG18" s="31">
        <f>SUM($AE$18:$AF$18)</f>
        <v>0</v>
      </c>
      <c r="AH18" s="31">
        <f>'TR TUSD'!$AH$18*'TR TUSD'!$AH$74</f>
        <v>0</v>
      </c>
      <c r="AI18" s="31">
        <f>'TR TUSD'!$AI$18*'TR TUSD'!$AI$74</f>
        <v>0</v>
      </c>
      <c r="AJ18" s="31">
        <f ca="1">'TR TUSD'!$AJ$18*'TR TUSD'!$AJ$74</f>
        <v>0</v>
      </c>
      <c r="AK18" s="31">
        <f ca="1">'TR TUSD'!$AK$18*'TR TUSD'!$AK$74</f>
        <v>0</v>
      </c>
      <c r="AL18" s="31">
        <f ca="1">SUM($AH$18:$AK$18)</f>
        <v>0</v>
      </c>
      <c r="AM18" s="31">
        <f ca="1">SUMIF($L$4:$AL$4,"SUBTOTAL",$L$18:$AL$18)</f>
        <v>14.385275672325518</v>
      </c>
      <c r="AP18" s="31">
        <v>1</v>
      </c>
    </row>
    <row r="19" spans="1:42" ht="11.25" customHeight="1" x14ac:dyDescent="0.25">
      <c r="A19" s="97"/>
      <c r="B19" s="97"/>
      <c r="C19" s="97"/>
      <c r="D19" s="97"/>
      <c r="E19" s="97"/>
      <c r="F19" s="97"/>
      <c r="G19" s="38" t="s">
        <v>108</v>
      </c>
      <c r="H19" s="38" t="s">
        <v>102</v>
      </c>
      <c r="I19" s="38">
        <f>'MERCADO TUSD'!$U$16</f>
        <v>43889.742999999995</v>
      </c>
      <c r="J19" s="15"/>
      <c r="L19" s="31">
        <f>'TR TUSD'!$L$19*'TR TUSD'!$L$74</f>
        <v>0</v>
      </c>
      <c r="M19" s="31">
        <f>'TR TUSD'!$M$19*'TR TUSD'!$M$74</f>
        <v>0</v>
      </c>
      <c r="N19" s="31">
        <f ca="1">'TR TUSD'!$N$19*'TR TUSD'!$N$74</f>
        <v>0</v>
      </c>
      <c r="O19" s="31">
        <f>'TR TUSD'!$O$19*'TR TUSD'!$O$74</f>
        <v>0</v>
      </c>
      <c r="P19" s="31">
        <f>'TR TUSD'!$P$19*'TR TUSD'!$P$74</f>
        <v>0</v>
      </c>
      <c r="Q19" s="31">
        <f>'TR TUSD'!$Q$19*'TR TUSD'!$Q$74</f>
        <v>0</v>
      </c>
      <c r="R19" s="31">
        <f>'TR TUSD'!$R$19*'TR TUSD'!$R$74</f>
        <v>0</v>
      </c>
      <c r="S19" s="31">
        <f>'TR TUSD'!$S$19*'TR TUSD'!$S$74</f>
        <v>0</v>
      </c>
      <c r="T19" s="31">
        <f ca="1">SUM($L$19:$S$19)</f>
        <v>0</v>
      </c>
      <c r="U19" s="31">
        <f>'TR TUSD'!$U$19*'TR TUSD'!$U$74</f>
        <v>0</v>
      </c>
      <c r="V19" s="31">
        <f>'TR TUSD'!$V$19*'TR TUSD'!$V$74</f>
        <v>0</v>
      </c>
      <c r="W19" s="31">
        <f>'TR TUSD'!$W$19*'TR TUSD'!$W$74</f>
        <v>0</v>
      </c>
      <c r="X19" s="31">
        <f>'TR TUSD'!$X$19*'TR TUSD'!$X$74</f>
        <v>0</v>
      </c>
      <c r="Y19" s="31">
        <f>'TR TUSD'!$Y$19*'TR TUSD'!$Y$74</f>
        <v>0</v>
      </c>
      <c r="Z19" s="31">
        <f>'TR TUSD'!$Z$19</f>
        <v>0</v>
      </c>
      <c r="AA19" s="31">
        <f>'TR TUSD'!$AA$19</f>
        <v>0</v>
      </c>
      <c r="AB19" s="31">
        <f>SUM($U$19:$AA$19)</f>
        <v>0</v>
      </c>
      <c r="AC19" s="31">
        <f>'TR TUSD'!$AC$19*'TR TUSD'!$AC$74</f>
        <v>0</v>
      </c>
      <c r="AD19" s="31">
        <f>SUM($AC$19:$AC$19)</f>
        <v>0</v>
      </c>
      <c r="AE19" s="31">
        <v>0</v>
      </c>
      <c r="AF19" s="31">
        <v>0</v>
      </c>
      <c r="AG19" s="31">
        <f>SUM($AE$19:$AF$19)</f>
        <v>0</v>
      </c>
      <c r="AH19" s="31">
        <f>'TR TUSD'!$AH$19*'TR TUSD'!$AH$74</f>
        <v>14.267910853083626</v>
      </c>
      <c r="AI19" s="31">
        <f>'TR TUSD'!$AI$19*'TR TUSD'!$AI$74</f>
        <v>0.43248331225541958</v>
      </c>
      <c r="AJ19" s="31">
        <f ca="1">'TR TUSD'!$AJ$19*'TR TUSD'!$AJ$74</f>
        <v>0</v>
      </c>
      <c r="AK19" s="31">
        <f ca="1">'TR TUSD'!$AK$19*'TR TUSD'!$AK$74</f>
        <v>0</v>
      </c>
      <c r="AL19" s="31">
        <f ca="1">SUM($AH$19:$AK$19)</f>
        <v>14.700394165339045</v>
      </c>
      <c r="AM19" s="31">
        <f ca="1">SUMIF($L$4:$AL$4,"SUBTOTAL",$L$19:$AL$19)</f>
        <v>14.700394165339045</v>
      </c>
      <c r="AP19" s="31">
        <v>1</v>
      </c>
    </row>
    <row r="20" spans="1:42" ht="11.25" customHeight="1" x14ac:dyDescent="0.25">
      <c r="A20" s="97"/>
      <c r="B20" s="97"/>
      <c r="C20" s="97"/>
      <c r="D20" s="97"/>
      <c r="E20" s="97"/>
      <c r="F20" s="97" t="s">
        <v>65</v>
      </c>
      <c r="G20" s="38" t="s">
        <v>106</v>
      </c>
      <c r="H20" s="38" t="s">
        <v>105</v>
      </c>
      <c r="I20" s="38">
        <f>'MERCADO TUSD'!$U$17</f>
        <v>28144</v>
      </c>
      <c r="J20" s="15"/>
      <c r="L20" s="31">
        <f>'TR TUSD'!$L$20*'TR TUSD'!$L$74</f>
        <v>0</v>
      </c>
      <c r="M20" s="31">
        <f>'TR TUSD'!$M$20*'TR TUSD'!$M$74</f>
        <v>0</v>
      </c>
      <c r="N20" s="31">
        <f ca="1">'TR TUSD'!$N$20*'TR TUSD'!$N$74</f>
        <v>0</v>
      </c>
      <c r="O20" s="31">
        <f>'TR TUSD'!$O$20*'TR TUSD'!$O$74</f>
        <v>0</v>
      </c>
      <c r="P20" s="31">
        <f>'TR TUSD'!$P$20*'TR TUSD'!$P$74</f>
        <v>0</v>
      </c>
      <c r="Q20" s="31">
        <f>'TR TUSD'!$Q$20*'TR TUSD'!$Q$74</f>
        <v>0</v>
      </c>
      <c r="R20" s="31">
        <f>'TR TUSD'!$R$20*'TR TUSD'!$R$74</f>
        <v>0</v>
      </c>
      <c r="S20" s="31">
        <f>'TR TUSD'!$S$20*'TR TUSD'!$S$74</f>
        <v>0</v>
      </c>
      <c r="T20" s="31">
        <f ca="1">SUM($L$20:$S$20)</f>
        <v>0</v>
      </c>
      <c r="U20" s="31">
        <f>'TR TUSD'!$U$20*'TR TUSD'!$U$74</f>
        <v>7.338192381287195</v>
      </c>
      <c r="V20" s="31">
        <f>'TR TUSD'!$V$20*'TR TUSD'!$V$74</f>
        <v>2.2879377610387648</v>
      </c>
      <c r="W20" s="31">
        <f>'TR TUSD'!$W$20*'TR TUSD'!$W$74</f>
        <v>0.3822879893249061</v>
      </c>
      <c r="X20" s="31">
        <f>'TR TUSD'!$X$20*'TR TUSD'!$X$74</f>
        <v>2.2202997106849195E-2</v>
      </c>
      <c r="Y20" s="31">
        <f>'TR TUSD'!$Y$20*'TR TUSD'!$Y$74</f>
        <v>0.61324181927227162</v>
      </c>
      <c r="Z20" s="31">
        <f>'TR TUSD'!$Z$20</f>
        <v>0</v>
      </c>
      <c r="AA20" s="31">
        <f>'TR TUSD'!$AA$20</f>
        <v>0</v>
      </c>
      <c r="AB20" s="31">
        <f>SUM($U$20:$AA$20)</f>
        <v>10.643862948029986</v>
      </c>
      <c r="AC20" s="31">
        <f>'TR TUSD'!$AC$20*'TR TUSD'!$AC$74</f>
        <v>16.624963544798891</v>
      </c>
      <c r="AD20" s="31">
        <f>SUM($AC$20:$AC$20)</f>
        <v>16.624963544798891</v>
      </c>
      <c r="AE20" s="31">
        <v>0</v>
      </c>
      <c r="AF20" s="31">
        <v>0</v>
      </c>
      <c r="AG20" s="31">
        <f>SUM($AE$20:$AF$20)</f>
        <v>0</v>
      </c>
      <c r="AH20" s="31">
        <f>'TR TUSD'!$AH$20*'TR TUSD'!$AH$74</f>
        <v>0</v>
      </c>
      <c r="AI20" s="31">
        <f>'TR TUSD'!$AI$20*'TR TUSD'!$AI$74</f>
        <v>0</v>
      </c>
      <c r="AJ20" s="31">
        <f ca="1">'TR TUSD'!$AJ$20*'TR TUSD'!$AJ$74</f>
        <v>0</v>
      </c>
      <c r="AK20" s="31">
        <f ca="1">'TR TUSD'!$AK$20*'TR TUSD'!$AK$74</f>
        <v>0</v>
      </c>
      <c r="AL20" s="31">
        <f ca="1">SUM($AH$20:$AK$20)</f>
        <v>0</v>
      </c>
      <c r="AM20" s="31">
        <f ca="1">SUMIF($L$4:$AL$4,"SUBTOTAL",$L$20:$AL$20)</f>
        <v>27.268826492828879</v>
      </c>
      <c r="AP20" s="31">
        <v>1</v>
      </c>
    </row>
    <row r="21" spans="1:42" ht="11.25" customHeight="1" x14ac:dyDescent="0.25">
      <c r="A21" s="97"/>
      <c r="B21" s="97"/>
      <c r="C21" s="97"/>
      <c r="D21" s="97"/>
      <c r="E21" s="97"/>
      <c r="F21" s="97"/>
      <c r="G21" s="38" t="s">
        <v>107</v>
      </c>
      <c r="H21" s="38" t="s">
        <v>105</v>
      </c>
      <c r="I21" s="38">
        <f>'MERCADO TUSD'!$U$18</f>
        <v>48228</v>
      </c>
      <c r="J21" s="15"/>
      <c r="L21" s="31">
        <f>'TR TUSD'!$L$21*'TR TUSD'!$L$74</f>
        <v>0</v>
      </c>
      <c r="M21" s="31">
        <f>'TR TUSD'!$M$21*'TR TUSD'!$M$74</f>
        <v>0</v>
      </c>
      <c r="N21" s="31">
        <f ca="1">'TR TUSD'!$N$21*'TR TUSD'!$N$74</f>
        <v>0</v>
      </c>
      <c r="O21" s="31">
        <f>'TR TUSD'!$O$21*'TR TUSD'!$O$74</f>
        <v>0</v>
      </c>
      <c r="P21" s="31">
        <f>'TR TUSD'!$P$21*'TR TUSD'!$P$74</f>
        <v>0</v>
      </c>
      <c r="Q21" s="31">
        <f>'TR TUSD'!$Q$21*'TR TUSD'!$Q$74</f>
        <v>0</v>
      </c>
      <c r="R21" s="31">
        <f>'TR TUSD'!$R$21*'TR TUSD'!$R$74</f>
        <v>0</v>
      </c>
      <c r="S21" s="31">
        <f>'TR TUSD'!$S$21*'TR TUSD'!$S$74</f>
        <v>0</v>
      </c>
      <c r="T21" s="31">
        <f ca="1">SUM($L$21:$S$21)</f>
        <v>0</v>
      </c>
      <c r="U21" s="31">
        <f>'TR TUSD'!$U$21*'TR TUSD'!$U$74</f>
        <v>4.5826519558715457</v>
      </c>
      <c r="V21" s="31">
        <f>'TR TUSD'!$V$21*'TR TUSD'!$V$74</f>
        <v>1.4214574196125034</v>
      </c>
      <c r="W21" s="31">
        <f>'TR TUSD'!$W$21*'TR TUSD'!$W$74</f>
        <v>0.21802937348780771</v>
      </c>
      <c r="X21" s="31">
        <f>'TR TUSD'!$X$21*'TR TUSD'!$X$74</f>
        <v>1.2658722332411757E-2</v>
      </c>
      <c r="Y21" s="31">
        <f>'TR TUSD'!$Y$21*'TR TUSD'!$Y$74</f>
        <v>0.19965310993200905</v>
      </c>
      <c r="Z21" s="31">
        <f>'TR TUSD'!$Z$21</f>
        <v>0</v>
      </c>
      <c r="AA21" s="31">
        <f>'TR TUSD'!$AA$21</f>
        <v>0</v>
      </c>
      <c r="AB21" s="31">
        <f>SUM($U$21:$AA$21)</f>
        <v>6.4344505812362769</v>
      </c>
      <c r="AC21" s="31">
        <f>'TR TUSD'!$AC$21*'TR TUSD'!$AC$74</f>
        <v>7.9508250910892411</v>
      </c>
      <c r="AD21" s="31">
        <f>SUM($AC$21:$AC$21)</f>
        <v>7.9508250910892411</v>
      </c>
      <c r="AE21" s="31">
        <v>0</v>
      </c>
      <c r="AF21" s="31">
        <v>0</v>
      </c>
      <c r="AG21" s="31">
        <f>SUM($AE$21:$AF$21)</f>
        <v>0</v>
      </c>
      <c r="AH21" s="31">
        <f>'TR TUSD'!$AH$21*'TR TUSD'!$AH$74</f>
        <v>0</v>
      </c>
      <c r="AI21" s="31">
        <f>'TR TUSD'!$AI$21*'TR TUSD'!$AI$74</f>
        <v>0</v>
      </c>
      <c r="AJ21" s="31">
        <f ca="1">'TR TUSD'!$AJ$21*'TR TUSD'!$AJ$74</f>
        <v>0</v>
      </c>
      <c r="AK21" s="31">
        <f ca="1">'TR TUSD'!$AK$21*'TR TUSD'!$AK$74</f>
        <v>0</v>
      </c>
      <c r="AL21" s="31">
        <f ca="1">SUM($AH$21:$AK$21)</f>
        <v>0</v>
      </c>
      <c r="AM21" s="31">
        <f ca="1">SUMIF($L$4:$AL$4,"SUBTOTAL",$L$21:$AL$21)</f>
        <v>14.385275672325518</v>
      </c>
      <c r="AP21" s="31">
        <v>1</v>
      </c>
    </row>
    <row r="22" spans="1:42" ht="11.25" customHeight="1" x14ac:dyDescent="0.25">
      <c r="A22" s="97"/>
      <c r="B22" s="97"/>
      <c r="C22" s="97"/>
      <c r="D22" s="97"/>
      <c r="E22" s="97"/>
      <c r="F22" s="97"/>
      <c r="G22" s="38" t="s">
        <v>108</v>
      </c>
      <c r="H22" s="38" t="s">
        <v>102</v>
      </c>
      <c r="I22" s="38">
        <f>'MERCADO TUSD'!$U$19</f>
        <v>23597.869999999995</v>
      </c>
      <c r="J22" s="15"/>
      <c r="L22" s="31">
        <f>'TR TUSD'!$L$22*'TR TUSD'!$L$74</f>
        <v>0</v>
      </c>
      <c r="M22" s="31">
        <f>'TR TUSD'!$M$22*'TR TUSD'!$M$74</f>
        <v>0</v>
      </c>
      <c r="N22" s="31">
        <f ca="1">'TR TUSD'!$N$22*'TR TUSD'!$N$74</f>
        <v>0</v>
      </c>
      <c r="O22" s="31">
        <f>'TR TUSD'!$O$22*'TR TUSD'!$O$74</f>
        <v>0</v>
      </c>
      <c r="P22" s="31">
        <f>'TR TUSD'!$P$22*'TR TUSD'!$P$74</f>
        <v>0</v>
      </c>
      <c r="Q22" s="31">
        <f>'TR TUSD'!$Q$22*'TR TUSD'!$Q$74</f>
        <v>0</v>
      </c>
      <c r="R22" s="31">
        <f>'TR TUSD'!$R$22*'TR TUSD'!$R$74</f>
        <v>0</v>
      </c>
      <c r="S22" s="31">
        <f>'TR TUSD'!$S$22*'TR TUSD'!$S$74</f>
        <v>0</v>
      </c>
      <c r="T22" s="31">
        <f ca="1">SUM($L$22:$S$22)</f>
        <v>0</v>
      </c>
      <c r="U22" s="31">
        <f>'TR TUSD'!$U$22*'TR TUSD'!$U$74</f>
        <v>0</v>
      </c>
      <c r="V22" s="31">
        <f>'TR TUSD'!$V$22*'TR TUSD'!$V$74</f>
        <v>0</v>
      </c>
      <c r="W22" s="31">
        <f>'TR TUSD'!$W$22*'TR TUSD'!$W$74</f>
        <v>0</v>
      </c>
      <c r="X22" s="31">
        <f>'TR TUSD'!$X$22*'TR TUSD'!$X$74</f>
        <v>0</v>
      </c>
      <c r="Y22" s="31">
        <f>'TR TUSD'!$Y$22*'TR TUSD'!$Y$74</f>
        <v>0</v>
      </c>
      <c r="Z22" s="31">
        <f>'TR TUSD'!$Z$22</f>
        <v>0</v>
      </c>
      <c r="AA22" s="31">
        <f>'TR TUSD'!$AA$22</f>
        <v>0</v>
      </c>
      <c r="AB22" s="31">
        <f>SUM($U$22:$AA$22)</f>
        <v>0</v>
      </c>
      <c r="AC22" s="31">
        <f>'TR TUSD'!$AC$22*'TR TUSD'!$AC$74</f>
        <v>0</v>
      </c>
      <c r="AD22" s="31">
        <f>SUM($AC$22:$AC$22)</f>
        <v>0</v>
      </c>
      <c r="AE22" s="31">
        <v>0</v>
      </c>
      <c r="AF22" s="31">
        <v>0</v>
      </c>
      <c r="AG22" s="31">
        <f>SUM($AE$22:$AF$22)</f>
        <v>0</v>
      </c>
      <c r="AH22" s="31">
        <f>'TR TUSD'!$AH$22*'TR TUSD'!$AH$74</f>
        <v>14.267910853083626</v>
      </c>
      <c r="AI22" s="31">
        <f>'TR TUSD'!$AI$22*'TR TUSD'!$AI$74</f>
        <v>0.43248331225541958</v>
      </c>
      <c r="AJ22" s="31">
        <f ca="1">'TR TUSD'!$AJ$22*'TR TUSD'!$AJ$74</f>
        <v>0</v>
      </c>
      <c r="AK22" s="31">
        <f ca="1">'TR TUSD'!$AK$22*'TR TUSD'!$AK$74</f>
        <v>0</v>
      </c>
      <c r="AL22" s="31">
        <f ca="1">SUM($AH$22:$AK$22)</f>
        <v>14.700394165339045</v>
      </c>
      <c r="AM22" s="31">
        <f ca="1">SUMIF($L$4:$AL$4,"SUBTOTAL",$L$22:$AL$22)</f>
        <v>14.700394165339045</v>
      </c>
      <c r="AP22" s="31">
        <v>1</v>
      </c>
    </row>
    <row r="23" spans="1:42" ht="11.25" customHeight="1" x14ac:dyDescent="0.25">
      <c r="A23" s="97"/>
      <c r="B23" s="37" t="s">
        <v>66</v>
      </c>
      <c r="C23" s="37" t="s">
        <v>25</v>
      </c>
      <c r="D23" s="37" t="s">
        <v>25</v>
      </c>
      <c r="E23" s="37" t="s">
        <v>25</v>
      </c>
      <c r="F23" s="37" t="s">
        <v>25</v>
      </c>
      <c r="G23" s="38" t="s">
        <v>9</v>
      </c>
      <c r="H23" s="38" t="s">
        <v>105</v>
      </c>
      <c r="I23" s="38">
        <f>'MERCADO TUSD'!$U$20</f>
        <v>225442</v>
      </c>
      <c r="J23" s="15"/>
      <c r="L23" s="31">
        <f>'TR TUSD'!$L$23*'TR TUSD'!$L$74</f>
        <v>0</v>
      </c>
      <c r="M23" s="31">
        <f>'TR TUSD'!$M$23*'TR TUSD'!$M$74</f>
        <v>5.4692629903808437E-2</v>
      </c>
      <c r="N23" s="31">
        <f ca="1">'TR TUSD'!$N$23*'TR TUSD'!$N$74</f>
        <v>0.15079819428242755</v>
      </c>
      <c r="O23" s="31">
        <f>'TR TUSD'!$O$23*'TR TUSD'!$O$74</f>
        <v>0</v>
      </c>
      <c r="P23" s="31">
        <f>'TR TUSD'!$P$23*'TR TUSD'!$P$74</f>
        <v>0</v>
      </c>
      <c r="Q23" s="31">
        <f>'TR TUSD'!$Q$23*'TR TUSD'!$Q$74</f>
        <v>0</v>
      </c>
      <c r="R23" s="31">
        <f>'TR TUSD'!$R$23*'TR TUSD'!$R$74</f>
        <v>0</v>
      </c>
      <c r="S23" s="31">
        <f>'TR TUSD'!$S$23*'TR TUSD'!$S$74</f>
        <v>0</v>
      </c>
      <c r="T23" s="31">
        <f ca="1">SUM($L$23:$S$23)</f>
        <v>0.20549082418623599</v>
      </c>
      <c r="U23" s="31">
        <f>'TR TUSD'!$U$23*'TR TUSD'!$U$74</f>
        <v>0</v>
      </c>
      <c r="V23" s="31">
        <f>'TR TUSD'!$V$23*'TR TUSD'!$V$74</f>
        <v>0</v>
      </c>
      <c r="W23" s="31">
        <f>'TR TUSD'!$W$23*'TR TUSD'!$W$74</f>
        <v>0</v>
      </c>
      <c r="X23" s="31">
        <f>'TR TUSD'!$X$23*'TR TUSD'!$X$74</f>
        <v>0</v>
      </c>
      <c r="Y23" s="31">
        <f>'TR TUSD'!$Y$23*'TR TUSD'!$Y$74</f>
        <v>0</v>
      </c>
      <c r="Z23" s="31">
        <f>'TR TUSD'!$Z$23*'TR TUSD'!$Z$74</f>
        <v>0</v>
      </c>
      <c r="AA23" s="31">
        <f>'TR TUSD'!$AA$23*'TR TUSD'!$AA$74</f>
        <v>0</v>
      </c>
      <c r="AB23" s="31">
        <f>SUM($U$23:$AA$23)</f>
        <v>0</v>
      </c>
      <c r="AC23" s="31">
        <f>'TR TUSD'!$AC$23*'TR TUSD'!$AC$74</f>
        <v>15.746935556503731</v>
      </c>
      <c r="AD23" s="31">
        <f>SUM($AC$23:$AC$23)</f>
        <v>15.746935556503731</v>
      </c>
      <c r="AE23" s="31">
        <v>0</v>
      </c>
      <c r="AF23" s="31">
        <v>0</v>
      </c>
      <c r="AG23" s="31">
        <f>SUM($AE$23:$AF$23)</f>
        <v>0</v>
      </c>
      <c r="AH23" s="31">
        <f>'TR TUSD'!$AH$23*'TR TUSD'!$AH$74</f>
        <v>6.4917090146886171E-4</v>
      </c>
      <c r="AI23" s="31">
        <f>'TR TUSD'!$AI$23*'TR TUSD'!$AI$74</f>
        <v>0</v>
      </c>
      <c r="AJ23" s="31">
        <f ca="1">'TR TUSD'!$AJ$23*'TR TUSD'!$AJ$74</f>
        <v>0</v>
      </c>
      <c r="AK23" s="31">
        <f ca="1">'TR TUSD'!$AK$23*'TR TUSD'!$AK$74</f>
        <v>0</v>
      </c>
      <c r="AL23" s="31">
        <f ca="1">SUM($AH$23:$AK$23)</f>
        <v>6.4917090146886171E-4</v>
      </c>
      <c r="AM23" s="31">
        <f ca="1">SUMIF($L$4:$AL$4,"SUBTOTAL",$L$23:$AL$23)</f>
        <v>15.953075551591436</v>
      </c>
      <c r="AP23" s="31"/>
    </row>
    <row r="24" spans="1:42" ht="11.25" customHeight="1" x14ac:dyDescent="0.25">
      <c r="A24" s="97"/>
      <c r="B24" s="97" t="s">
        <v>42</v>
      </c>
      <c r="C24" s="97" t="s">
        <v>25</v>
      </c>
      <c r="D24" s="97" t="s">
        <v>25</v>
      </c>
      <c r="E24" s="97" t="s">
        <v>25</v>
      </c>
      <c r="F24" s="97" t="s">
        <v>25</v>
      </c>
      <c r="G24" s="38" t="s">
        <v>9</v>
      </c>
      <c r="H24" s="38" t="s">
        <v>105</v>
      </c>
      <c r="I24" s="38">
        <f>'MERCADO TUSD'!$U$21</f>
        <v>2907224</v>
      </c>
      <c r="J24" s="15"/>
      <c r="L24" s="31">
        <f>'TR TUSD'!$L$24*'TR TUSD'!$L$74</f>
        <v>0</v>
      </c>
      <c r="M24" s="31">
        <f>'TR TUSD'!$M$24*'TR TUSD'!$M$74</f>
        <v>0</v>
      </c>
      <c r="N24" s="31">
        <f ca="1">'TR TUSD'!$N$24*'TR TUSD'!$N$74</f>
        <v>0</v>
      </c>
      <c r="O24" s="31">
        <f>'TR TUSD'!$O$24*'TR TUSD'!$O$74</f>
        <v>0</v>
      </c>
      <c r="P24" s="31">
        <f>'TR TUSD'!$P$24*'TR TUSD'!$P$74</f>
        <v>0</v>
      </c>
      <c r="Q24" s="31">
        <f>'TR TUSD'!$Q$24*'TR TUSD'!$Q$74</f>
        <v>0</v>
      </c>
      <c r="R24" s="31">
        <f>'TR TUSD'!$R$24*'TR TUSD'!$R$74</f>
        <v>0</v>
      </c>
      <c r="S24" s="31">
        <f>'TR TUSD'!$S$24*'TR TUSD'!$S$74</f>
        <v>0</v>
      </c>
      <c r="T24" s="31">
        <f ca="1">SUM($L$24:$S$24)</f>
        <v>0</v>
      </c>
      <c r="U24" s="31">
        <f>'TR TUSD'!$U$24*'TR TUSD'!$U$74</f>
        <v>4.5826519558715457</v>
      </c>
      <c r="V24" s="31">
        <f>'TR TUSD'!$V$24*'TR TUSD'!$V$74</f>
        <v>1.4214574196125034</v>
      </c>
      <c r="W24" s="31">
        <f>'TR TUSD'!$W$24*'TR TUSD'!$W$74</f>
        <v>0.21802937348780771</v>
      </c>
      <c r="X24" s="31">
        <f>'TR TUSD'!$X$24*'TR TUSD'!$X$74</f>
        <v>1.2658722332411757E-2</v>
      </c>
      <c r="Y24" s="31">
        <f>'TR TUSD'!$Y$24*'TR TUSD'!$Y$74</f>
        <v>0.19965310993200905</v>
      </c>
      <c r="Z24" s="31">
        <f>'TR TUSD'!$Z$24</f>
        <v>0</v>
      </c>
      <c r="AA24" s="31">
        <f>'TR TUSD'!$AA$24</f>
        <v>0</v>
      </c>
      <c r="AB24" s="31">
        <f>SUM($U$24:$AA$24)</f>
        <v>6.4344505812362769</v>
      </c>
      <c r="AC24" s="31">
        <f>'TR TUSD'!$AC$24*'TR TUSD'!$AC$74</f>
        <v>22.148927821524858</v>
      </c>
      <c r="AD24" s="31">
        <f>SUM($AC$24:$AC$24)</f>
        <v>22.148927821524858</v>
      </c>
      <c r="AE24" s="31">
        <v>0</v>
      </c>
      <c r="AF24" s="31">
        <v>0</v>
      </c>
      <c r="AG24" s="31">
        <f>SUM($AE$24:$AF$24)</f>
        <v>0</v>
      </c>
      <c r="AH24" s="31">
        <f>'TR TUSD'!$AH$24*'TR TUSD'!$AH$74</f>
        <v>0</v>
      </c>
      <c r="AI24" s="31">
        <f>'TR TUSD'!$AI$24*'TR TUSD'!$AI$74</f>
        <v>0</v>
      </c>
      <c r="AJ24" s="31">
        <f ca="1">'TR TUSD'!$AJ$24*'TR TUSD'!$AJ$74</f>
        <v>0</v>
      </c>
      <c r="AK24" s="31">
        <f ca="1">'TR TUSD'!$AK$24*'TR TUSD'!$AK$74</f>
        <v>0</v>
      </c>
      <c r="AL24" s="31">
        <f ca="1">SUM($AH$24:$AK$24)</f>
        <v>0</v>
      </c>
      <c r="AM24" s="31">
        <f ca="1">SUMIF($L$4:$AL$4,"SUBTOTAL",$L$24:$AL$24)</f>
        <v>28.583378402761134</v>
      </c>
      <c r="AP24" s="31">
        <v>1</v>
      </c>
    </row>
    <row r="25" spans="1:42" ht="11.25" customHeight="1" x14ac:dyDescent="0.25">
      <c r="A25" s="97"/>
      <c r="B25" s="97"/>
      <c r="C25" s="97"/>
      <c r="D25" s="97"/>
      <c r="E25" s="97"/>
      <c r="F25" s="97"/>
      <c r="G25" s="38" t="s">
        <v>103</v>
      </c>
      <c r="H25" s="38" t="s">
        <v>102</v>
      </c>
      <c r="I25" s="38">
        <f>'MERCADO TUSD'!$U$22</f>
        <v>35988.722999999998</v>
      </c>
      <c r="J25" s="15"/>
      <c r="L25" s="31">
        <f>'TR TUSD'!$L$25*'TR TUSD'!$L$74</f>
        <v>3.3821497577964008</v>
      </c>
      <c r="M25" s="31">
        <f>'TR TUSD'!$M$25*'TR TUSD'!$M$74</f>
        <v>0.66165594309074083</v>
      </c>
      <c r="N25" s="31">
        <f ca="1">'TR TUSD'!$N$25*'TR TUSD'!$N$74</f>
        <v>13.445279782903929</v>
      </c>
      <c r="O25" s="31">
        <f>'TR TUSD'!$O$25*'TR TUSD'!$O$74</f>
        <v>1.9190865198739564E-2</v>
      </c>
      <c r="P25" s="31">
        <f>'TR TUSD'!$P$25*'TR TUSD'!$P$74</f>
        <v>0</v>
      </c>
      <c r="Q25" s="31">
        <f>'TR TUSD'!$Q$25*'TR TUSD'!$Q$74</f>
        <v>32.07324266571257</v>
      </c>
      <c r="R25" s="31">
        <f>'TR TUSD'!$R$25*'TR TUSD'!$R$74</f>
        <v>14.414104263105399</v>
      </c>
      <c r="S25" s="31">
        <f>'TR TUSD'!$S$25*'TR TUSD'!$S$74</f>
        <v>0</v>
      </c>
      <c r="T25" s="31">
        <f ca="1">SUM($L$25:$S$25)</f>
        <v>63.99562327780778</v>
      </c>
      <c r="U25" s="31">
        <f>'TR TUSD'!$U$25*'TR TUSD'!$U$74</f>
        <v>176.48394025530646</v>
      </c>
      <c r="V25" s="31">
        <f>'TR TUSD'!$V$25*'TR TUSD'!$V$74</f>
        <v>55.024187053526575</v>
      </c>
      <c r="W25" s="31">
        <f>'TR TUSD'!$W$25*'TR TUSD'!$W$74</f>
        <v>9.1940015904066161</v>
      </c>
      <c r="X25" s="31">
        <f>'TR TUSD'!$X$25*'TR TUSD'!$X$74</f>
        <v>0.53478078551926811</v>
      </c>
      <c r="Y25" s="31">
        <f>'TR TUSD'!$Y$25*'TR TUSD'!$Y$74</f>
        <v>14.749285487929338</v>
      </c>
      <c r="Z25" s="31">
        <f>'TR TUSD'!$Z$25</f>
        <v>0</v>
      </c>
      <c r="AA25" s="31">
        <f>'TR TUSD'!$AA$25</f>
        <v>0</v>
      </c>
      <c r="AB25" s="31">
        <f>SUM($U$25:$AA$25)</f>
        <v>255.98619517268827</v>
      </c>
      <c r="AC25" s="31">
        <f>'TR TUSD'!$AC$25*'TR TUSD'!$AC$74</f>
        <v>1113.826682816006</v>
      </c>
      <c r="AD25" s="31">
        <f>SUM($AC$25:$AC$25)</f>
        <v>1113.826682816006</v>
      </c>
      <c r="AE25" s="31">
        <v>0</v>
      </c>
      <c r="AF25" s="31">
        <v>0</v>
      </c>
      <c r="AG25" s="31">
        <f>SUM($AE$25:$AF$25)</f>
        <v>0</v>
      </c>
      <c r="AH25" s="31">
        <f>'TR TUSD'!$AH$25*'TR TUSD'!$AH$74</f>
        <v>14.267910853083626</v>
      </c>
      <c r="AI25" s="31">
        <f>'TR TUSD'!$AI$25*'TR TUSD'!$AI$74</f>
        <v>0.43248331225541958</v>
      </c>
      <c r="AJ25" s="31">
        <f ca="1">'TR TUSD'!$AJ$25*'TR TUSD'!$AJ$74</f>
        <v>9.1273242575601881</v>
      </c>
      <c r="AK25" s="31">
        <f ca="1">'TR TUSD'!$AK$25*'TR TUSD'!$AK$74</f>
        <v>0</v>
      </c>
      <c r="AL25" s="31">
        <f ca="1">SUM($AH$25:$AK$25)</f>
        <v>23.827718422899231</v>
      </c>
      <c r="AM25" s="31">
        <f ca="1">SUMIF($L$4:$AL$4,"SUBTOTAL",$L$25:$AL$25)</f>
        <v>1457.6362196894013</v>
      </c>
      <c r="AP25" s="31">
        <v>1</v>
      </c>
    </row>
    <row r="26" spans="1:42" ht="11.25" customHeight="1" x14ac:dyDescent="0.25">
      <c r="A26" s="97"/>
      <c r="B26" s="97"/>
      <c r="C26" s="97"/>
      <c r="D26" s="97"/>
      <c r="E26" s="97"/>
      <c r="F26" s="97"/>
      <c r="G26" s="38" t="s">
        <v>104</v>
      </c>
      <c r="H26" s="38" t="s">
        <v>102</v>
      </c>
      <c r="I26" s="38">
        <f>'MERCADO TUSD'!$U$23</f>
        <v>544694.34699999995</v>
      </c>
      <c r="J26" s="15"/>
      <c r="L26" s="31">
        <f>'TR TUSD'!$L$26*'TR TUSD'!$L$74</f>
        <v>3.3821497577964008</v>
      </c>
      <c r="M26" s="31">
        <f>'TR TUSD'!$M$26*'TR TUSD'!$M$74</f>
        <v>0.66165594309074083</v>
      </c>
      <c r="N26" s="31">
        <f ca="1">'TR TUSD'!$N$26*'TR TUSD'!$N$74</f>
        <v>0.50190717882481162</v>
      </c>
      <c r="O26" s="31">
        <f>'TR TUSD'!$O$26*'TR TUSD'!$O$74</f>
        <v>1.9190865198739564E-2</v>
      </c>
      <c r="P26" s="31">
        <f>'TR TUSD'!$P$26*'TR TUSD'!$P$74</f>
        <v>0</v>
      </c>
      <c r="Q26" s="31">
        <f>'TR TUSD'!$Q$26*'TR TUSD'!$Q$74</f>
        <v>32.07324266571257</v>
      </c>
      <c r="R26" s="31">
        <f>'TR TUSD'!$R$26*'TR TUSD'!$R$74</f>
        <v>14.414104263105399</v>
      </c>
      <c r="S26" s="31">
        <f>'TR TUSD'!$S$26*'TR TUSD'!$S$74</f>
        <v>0</v>
      </c>
      <c r="T26" s="31">
        <f ca="1">SUM($L$26:$S$26)</f>
        <v>51.052250673728665</v>
      </c>
      <c r="U26" s="31">
        <f>'TR TUSD'!$U$26*'TR TUSD'!$U$74</f>
        <v>0</v>
      </c>
      <c r="V26" s="31">
        <f>'TR TUSD'!$V$26*'TR TUSD'!$V$74</f>
        <v>0</v>
      </c>
      <c r="W26" s="31">
        <f>'TR TUSD'!$W$26*'TR TUSD'!$W$74</f>
        <v>0</v>
      </c>
      <c r="X26" s="31">
        <f>'TR TUSD'!$X$26*'TR TUSD'!$X$74</f>
        <v>0</v>
      </c>
      <c r="Y26" s="31">
        <f>'TR TUSD'!$Y$26*'TR TUSD'!$Y$74</f>
        <v>0</v>
      </c>
      <c r="Z26" s="31">
        <f>'TR TUSD'!$Z$26</f>
        <v>0</v>
      </c>
      <c r="AA26" s="31">
        <f>'TR TUSD'!$AA$26</f>
        <v>0</v>
      </c>
      <c r="AB26" s="31">
        <f>SUM($U$26:$AA$26)</f>
        <v>0</v>
      </c>
      <c r="AC26" s="31">
        <f>'TR TUSD'!$AC$26*'TR TUSD'!$AC$74</f>
        <v>0</v>
      </c>
      <c r="AD26" s="31">
        <f>SUM($AC$26:$AC$26)</f>
        <v>0</v>
      </c>
      <c r="AE26" s="31">
        <v>0</v>
      </c>
      <c r="AF26" s="31">
        <v>0</v>
      </c>
      <c r="AG26" s="31">
        <f>SUM($AE$26:$AF$26)</f>
        <v>0</v>
      </c>
      <c r="AH26" s="31">
        <f>'TR TUSD'!$AH$26*'TR TUSD'!$AH$74</f>
        <v>14.267910853083626</v>
      </c>
      <c r="AI26" s="31">
        <f>'TR TUSD'!$AI$26*'TR TUSD'!$AI$74</f>
        <v>0.43248331225541958</v>
      </c>
      <c r="AJ26" s="31">
        <f ca="1">'TR TUSD'!$AJ$26*'TR TUSD'!$AJ$74</f>
        <v>9.1273242575601881</v>
      </c>
      <c r="AK26" s="31">
        <f ca="1">'TR TUSD'!$AK$26*'TR TUSD'!$AK$74</f>
        <v>0</v>
      </c>
      <c r="AL26" s="31">
        <f ca="1">SUM($AH$26:$AK$26)</f>
        <v>23.827718422899231</v>
      </c>
      <c r="AM26" s="31">
        <f ca="1">SUMIF($L$4:$AL$4,"SUBTOTAL",$L$26:$AL$26)</f>
        <v>74.879969096627889</v>
      </c>
      <c r="AP26" s="31">
        <v>1</v>
      </c>
    </row>
    <row r="27" spans="1:42" ht="11.25" customHeight="1" x14ac:dyDescent="0.25">
      <c r="A27" s="97"/>
      <c r="B27" s="97"/>
      <c r="C27" s="97"/>
      <c r="D27" s="97"/>
      <c r="E27" s="97" t="s">
        <v>59</v>
      </c>
      <c r="F27" s="97" t="s">
        <v>25</v>
      </c>
      <c r="G27" s="38" t="s">
        <v>103</v>
      </c>
      <c r="H27" s="38" t="s">
        <v>102</v>
      </c>
      <c r="I27" s="38">
        <f>'MERCADO TUSD'!$U$24</f>
        <v>0</v>
      </c>
      <c r="J27" s="15"/>
      <c r="L27" s="31">
        <f>'TR TUSD'!$L$27*'TR TUSD'!$L$74</f>
        <v>0</v>
      </c>
      <c r="M27" s="31">
        <f>'TR TUSD'!$M$27*'TR TUSD'!$M$74</f>
        <v>0.66165594309074083</v>
      </c>
      <c r="N27" s="31">
        <f ca="1">'TR TUSD'!$N$27*'TR TUSD'!$N$74</f>
        <v>13.434554449028935</v>
      </c>
      <c r="O27" s="31">
        <f>'TR TUSD'!$O$27*'TR TUSD'!$O$74</f>
        <v>1.9190865198739564E-2</v>
      </c>
      <c r="P27" s="31">
        <f>'TR TUSD'!$P$27*'TR TUSD'!$P$74</f>
        <v>0</v>
      </c>
      <c r="Q27" s="31">
        <f>'TR TUSD'!$Q$27*'TR TUSD'!$Q$74</f>
        <v>0</v>
      </c>
      <c r="R27" s="31">
        <f>'TR TUSD'!$R$27*'TR TUSD'!$R$74</f>
        <v>0</v>
      </c>
      <c r="S27" s="31">
        <f>'TR TUSD'!$S$27*'TR TUSD'!$S$74</f>
        <v>0</v>
      </c>
      <c r="T27" s="31">
        <f ca="1">SUM($L$27:$S$27)</f>
        <v>14.115401257318416</v>
      </c>
      <c r="U27" s="31">
        <f>'TR TUSD'!$U$27*'TR TUSD'!$U$74</f>
        <v>176.48394025530646</v>
      </c>
      <c r="V27" s="31">
        <f>'TR TUSD'!$V$27*'TR TUSD'!$V$74</f>
        <v>55.024187053526575</v>
      </c>
      <c r="W27" s="31">
        <f>'TR TUSD'!$W$27*'TR TUSD'!$W$74</f>
        <v>9.1940015904066161</v>
      </c>
      <c r="X27" s="31">
        <f>'TR TUSD'!$X$27*'TR TUSD'!$X$74</f>
        <v>0.53478078551926811</v>
      </c>
      <c r="Y27" s="31">
        <f>'TR TUSD'!$Y$27*'TR TUSD'!$Y$74</f>
        <v>14.749285487929338</v>
      </c>
      <c r="Z27" s="31">
        <f>'TR TUSD'!$Z$27</f>
        <v>0</v>
      </c>
      <c r="AA27" s="31">
        <f>'TR TUSD'!$AA$27</f>
        <v>0</v>
      </c>
      <c r="AB27" s="31">
        <f>SUM($U$27:$AA$27)</f>
        <v>255.98619517268827</v>
      </c>
      <c r="AC27" s="31">
        <f>'TR TUSD'!$AC$27*'TR TUSD'!$AC$74</f>
        <v>1113.826682816006</v>
      </c>
      <c r="AD27" s="31">
        <f>SUM($AC$27:$AC$27)</f>
        <v>1113.826682816006</v>
      </c>
      <c r="AE27" s="31">
        <v>0</v>
      </c>
      <c r="AF27" s="31">
        <v>0</v>
      </c>
      <c r="AG27" s="31">
        <f>SUM($AE$27:$AF$27)</f>
        <v>0</v>
      </c>
      <c r="AH27" s="31">
        <f>'TR TUSD'!$AH$27*'TR TUSD'!$AH$74</f>
        <v>14.267910853083626</v>
      </c>
      <c r="AI27" s="31">
        <f>'TR TUSD'!$AI$27*'TR TUSD'!$AI$74</f>
        <v>0.43248331225541958</v>
      </c>
      <c r="AJ27" s="31">
        <f ca="1">'TR TUSD'!$AJ$27*'TR TUSD'!$AJ$74</f>
        <v>9.1273242575601881</v>
      </c>
      <c r="AK27" s="31">
        <f ca="1">'TR TUSD'!$AK$27*'TR TUSD'!$AK$74</f>
        <v>0</v>
      </c>
      <c r="AL27" s="31">
        <f ca="1">SUM($AH$27:$AK$27)</f>
        <v>23.827718422899231</v>
      </c>
      <c r="AM27" s="31">
        <f ca="1">SUMIF($L$4:$AL$4,"SUBTOTAL",$L$27:$AL$27)</f>
        <v>1407.7559976689117</v>
      </c>
      <c r="AP27" s="31">
        <v>1</v>
      </c>
    </row>
    <row r="28" spans="1:42" ht="11.25" customHeight="1" x14ac:dyDescent="0.25">
      <c r="A28" s="97"/>
      <c r="B28" s="97"/>
      <c r="C28" s="97"/>
      <c r="D28" s="97"/>
      <c r="E28" s="97"/>
      <c r="F28" s="97"/>
      <c r="G28" s="38" t="s">
        <v>104</v>
      </c>
      <c r="H28" s="38" t="s">
        <v>102</v>
      </c>
      <c r="I28" s="38">
        <f>'MERCADO TUSD'!$U$25</f>
        <v>1015.3970000000002</v>
      </c>
      <c r="J28" s="15"/>
      <c r="L28" s="31">
        <f>'TR TUSD'!$L$28*'TR TUSD'!$L$74</f>
        <v>0</v>
      </c>
      <c r="M28" s="31">
        <f>'TR TUSD'!$M$28*'TR TUSD'!$M$74</f>
        <v>0.66165594309074083</v>
      </c>
      <c r="N28" s="31">
        <f ca="1">'TR TUSD'!$N$28*'TR TUSD'!$N$74</f>
        <v>0.4911818449498167</v>
      </c>
      <c r="O28" s="31">
        <f>'TR TUSD'!$O$28*'TR TUSD'!$O$74</f>
        <v>1.9190865198739564E-2</v>
      </c>
      <c r="P28" s="31">
        <f>'TR TUSD'!$P$28*'TR TUSD'!$P$74</f>
        <v>0</v>
      </c>
      <c r="Q28" s="31">
        <f>'TR TUSD'!$Q$28*'TR TUSD'!$Q$74</f>
        <v>0</v>
      </c>
      <c r="R28" s="31">
        <f>'TR TUSD'!$R$28*'TR TUSD'!$R$74</f>
        <v>0</v>
      </c>
      <c r="S28" s="31">
        <f>'TR TUSD'!$S$28*'TR TUSD'!$S$74</f>
        <v>0</v>
      </c>
      <c r="T28" s="31">
        <f ca="1">SUM($L$28:$S$28)</f>
        <v>1.1720286532392972</v>
      </c>
      <c r="U28" s="31">
        <f>'TR TUSD'!$U$28*'TR TUSD'!$U$74</f>
        <v>0</v>
      </c>
      <c r="V28" s="31">
        <f>'TR TUSD'!$V$28*'TR TUSD'!$V$74</f>
        <v>0</v>
      </c>
      <c r="W28" s="31">
        <f>'TR TUSD'!$W$28*'TR TUSD'!$W$74</f>
        <v>0</v>
      </c>
      <c r="X28" s="31">
        <f>'TR TUSD'!$X$28*'TR TUSD'!$X$74</f>
        <v>0</v>
      </c>
      <c r="Y28" s="31">
        <f>'TR TUSD'!$Y$28*'TR TUSD'!$Y$74</f>
        <v>0</v>
      </c>
      <c r="Z28" s="31">
        <f>'TR TUSD'!$Z$28</f>
        <v>0</v>
      </c>
      <c r="AA28" s="31">
        <f>'TR TUSD'!$AA$28</f>
        <v>0</v>
      </c>
      <c r="AB28" s="31">
        <f>SUM($U$28:$AA$28)</f>
        <v>0</v>
      </c>
      <c r="AC28" s="31">
        <f>'TR TUSD'!$AC$28*'TR TUSD'!$AC$74</f>
        <v>0</v>
      </c>
      <c r="AD28" s="31">
        <f>SUM($AC$28:$AC$28)</f>
        <v>0</v>
      </c>
      <c r="AE28" s="31">
        <v>0</v>
      </c>
      <c r="AF28" s="31">
        <v>0</v>
      </c>
      <c r="AG28" s="31">
        <f>SUM($AE$28:$AF$28)</f>
        <v>0</v>
      </c>
      <c r="AH28" s="31">
        <f>'TR TUSD'!$AH$28*'TR TUSD'!$AH$74</f>
        <v>14.267910853083626</v>
      </c>
      <c r="AI28" s="31">
        <f>'TR TUSD'!$AI$28*'TR TUSD'!$AI$74</f>
        <v>0.43248331225541958</v>
      </c>
      <c r="AJ28" s="31">
        <f ca="1">'TR TUSD'!$AJ$28*'TR TUSD'!$AJ$74</f>
        <v>9.1273242575601881</v>
      </c>
      <c r="AK28" s="31">
        <f ca="1">'TR TUSD'!$AK$28*'TR TUSD'!$AK$74</f>
        <v>0</v>
      </c>
      <c r="AL28" s="31">
        <f ca="1">SUM($AH$28:$AK$28)</f>
        <v>23.827718422899231</v>
      </c>
      <c r="AM28" s="31">
        <f ca="1">SUMIF($L$4:$AL$4,"SUBTOTAL",$L$28:$AL$28)</f>
        <v>24.999747076138529</v>
      </c>
      <c r="AP28" s="31">
        <v>1</v>
      </c>
    </row>
    <row r="29" spans="1:42" ht="11.25" customHeight="1" x14ac:dyDescent="0.25">
      <c r="A29" s="97" t="s">
        <v>110</v>
      </c>
      <c r="B29" s="97" t="s">
        <v>66</v>
      </c>
      <c r="C29" s="97" t="s">
        <v>25</v>
      </c>
      <c r="D29" s="97" t="s">
        <v>25</v>
      </c>
      <c r="E29" s="37" t="s">
        <v>111</v>
      </c>
      <c r="F29" s="37" t="s">
        <v>25</v>
      </c>
      <c r="G29" s="38" t="s">
        <v>9</v>
      </c>
      <c r="H29" s="38" t="s">
        <v>105</v>
      </c>
      <c r="I29" s="38">
        <f>'MERCADO TUSD'!$U$26+0.00000001</f>
        <v>1E-8</v>
      </c>
      <c r="J29" s="15"/>
      <c r="L29" s="31">
        <f>'TR TUSD'!$L$29*'TR TUSD'!$L$74</f>
        <v>0</v>
      </c>
      <c r="M29" s="31">
        <f>'TR TUSD'!$M$29*'TR TUSD'!$M$74</f>
        <v>2.2951371477491041E-2</v>
      </c>
      <c r="N29" s="31">
        <f ca="1">'TR TUSD'!$N$29*'TR TUSD'!$N$74</f>
        <v>6.3172216523719654E-2</v>
      </c>
      <c r="O29" s="31">
        <f>'TR TUSD'!$O$29*'TR TUSD'!$O$74</f>
        <v>0</v>
      </c>
      <c r="P29" s="31">
        <f>'TR TUSD'!$P$29*'TR TUSD'!$P$74</f>
        <v>0</v>
      </c>
      <c r="Q29" s="31">
        <f>'TR TUSD'!$Q$29*'TR TUSD'!$Q$74</f>
        <v>0</v>
      </c>
      <c r="R29" s="31">
        <f>'TR TUSD'!$R$29*'TR TUSD'!$R$74</f>
        <v>0</v>
      </c>
      <c r="S29" s="31">
        <f>'TR TUSD'!$S$29*'TR TUSD'!$S$74</f>
        <v>0</v>
      </c>
      <c r="T29" s="31">
        <f ca="1">SUM($L$29:$S$29)</f>
        <v>8.6123588001210699E-2</v>
      </c>
      <c r="U29" s="31">
        <f>'TR TUSD'!$U$29*'TR TUSD'!$U$74</f>
        <v>0</v>
      </c>
      <c r="V29" s="31">
        <f>'TR TUSD'!$V$29*'TR TUSD'!$V$74</f>
        <v>0</v>
      </c>
      <c r="W29" s="31">
        <f>'TR TUSD'!$W$29*'TR TUSD'!$W$74</f>
        <v>0</v>
      </c>
      <c r="X29" s="31">
        <f>'TR TUSD'!$X$29*'TR TUSD'!$X$74</f>
        <v>0</v>
      </c>
      <c r="Y29" s="31">
        <f>'TR TUSD'!$Y$29*'TR TUSD'!$Y$74</f>
        <v>0</v>
      </c>
      <c r="Z29" s="31">
        <f>'TR TUSD'!$Z$29*'TR TUSD'!$Z$74</f>
        <v>0</v>
      </c>
      <c r="AA29" s="31">
        <f>'TR TUSD'!$AA$29*'TR TUSD'!$AA$74</f>
        <v>0</v>
      </c>
      <c r="AB29" s="31">
        <f>SUM($U$29:$AA$29)</f>
        <v>0</v>
      </c>
      <c r="AC29" s="31">
        <f>'TR TUSD'!$AC$29*'TR TUSD'!$AC$74</f>
        <v>6.6007825689404349</v>
      </c>
      <c r="AD29" s="31">
        <f>SUM($AC$29:$AC$29)</f>
        <v>6.6007825689404349</v>
      </c>
      <c r="AE29" s="31">
        <v>0</v>
      </c>
      <c r="AF29" s="31">
        <v>0</v>
      </c>
      <c r="AG29" s="31">
        <f>SUM($AE$29:$AF$29)</f>
        <v>0</v>
      </c>
      <c r="AH29" s="31">
        <f>'TR TUSD'!$AH$29*'TR TUSD'!$AH$74</f>
        <v>0</v>
      </c>
      <c r="AI29" s="31">
        <f>'TR TUSD'!$AI$29*'TR TUSD'!$AI$74</f>
        <v>0</v>
      </c>
      <c r="AJ29" s="31">
        <f ca="1">'TR TUSD'!$AJ$29*'TR TUSD'!$AJ$74</f>
        <v>0</v>
      </c>
      <c r="AK29" s="31">
        <f ca="1">'TR TUSD'!$AK$29*'TR TUSD'!$AK$74</f>
        <v>0</v>
      </c>
      <c r="AL29" s="31">
        <f ca="1">SUM($AH$29:$AK$29)</f>
        <v>0</v>
      </c>
      <c r="AM29" s="31">
        <f ca="1">SUMIF($L$4:$AL$4,"SUBTOTAL",$L$29:$AL$29)</f>
        <v>6.6869061569416459</v>
      </c>
      <c r="AP29" s="31"/>
    </row>
    <row r="30" spans="1:42" ht="11.25" customHeight="1" x14ac:dyDescent="0.25">
      <c r="A30" s="97"/>
      <c r="B30" s="97"/>
      <c r="C30" s="97"/>
      <c r="D30" s="97"/>
      <c r="E30" s="37" t="s">
        <v>112</v>
      </c>
      <c r="F30" s="37" t="s">
        <v>25</v>
      </c>
      <c r="G30" s="38" t="s">
        <v>9</v>
      </c>
      <c r="H30" s="38" t="s">
        <v>105</v>
      </c>
      <c r="I30" s="38">
        <f>'MERCADO TUSD'!$U$27+0.00000001</f>
        <v>1E-8</v>
      </c>
      <c r="J30" s="15"/>
      <c r="L30" s="31">
        <f>'TR TUSD'!$L$30*'TR TUSD'!$L$74</f>
        <v>0</v>
      </c>
      <c r="M30" s="31">
        <f>'TR TUSD'!$M$30*'TR TUSD'!$M$74</f>
        <v>2.2951371477491041E-2</v>
      </c>
      <c r="N30" s="31">
        <f ca="1">'TR TUSD'!$N$30*'TR TUSD'!$N$74</f>
        <v>6.3172216523719654E-2</v>
      </c>
      <c r="O30" s="31">
        <f>'TR TUSD'!$O$30*'TR TUSD'!$O$74</f>
        <v>0</v>
      </c>
      <c r="P30" s="31">
        <f>'TR TUSD'!$P$30*'TR TUSD'!$P$74</f>
        <v>0</v>
      </c>
      <c r="Q30" s="31">
        <f>'TR TUSD'!$Q$30*'TR TUSD'!$Q$74</f>
        <v>0</v>
      </c>
      <c r="R30" s="31">
        <f>'TR TUSD'!$R$30*'TR TUSD'!$R$74</f>
        <v>0</v>
      </c>
      <c r="S30" s="31">
        <f>'TR TUSD'!$S$30*'TR TUSD'!$S$74</f>
        <v>0</v>
      </c>
      <c r="T30" s="31">
        <f ca="1">SUM($L$30:$S$30)</f>
        <v>8.6123588001210699E-2</v>
      </c>
      <c r="U30" s="31">
        <f>'TR TUSD'!$U$30*'TR TUSD'!$U$74</f>
        <v>0</v>
      </c>
      <c r="V30" s="31">
        <f>'TR TUSD'!$V$30*'TR TUSD'!$V$74</f>
        <v>0</v>
      </c>
      <c r="W30" s="31">
        <f>'TR TUSD'!$W$30*'TR TUSD'!$W$74</f>
        <v>0</v>
      </c>
      <c r="X30" s="31">
        <f>'TR TUSD'!$X$30*'TR TUSD'!$X$74</f>
        <v>0</v>
      </c>
      <c r="Y30" s="31">
        <f>'TR TUSD'!$Y$30*'TR TUSD'!$Y$74</f>
        <v>0</v>
      </c>
      <c r="Z30" s="31">
        <f>'TR TUSD'!$Z$30*'TR TUSD'!$Z$74</f>
        <v>0</v>
      </c>
      <c r="AA30" s="31">
        <f>'TR TUSD'!$AA$30*'TR TUSD'!$AA$74</f>
        <v>0</v>
      </c>
      <c r="AB30" s="31">
        <f>SUM($U$30:$AA$30)</f>
        <v>0</v>
      </c>
      <c r="AC30" s="31">
        <f>'TR TUSD'!$AC$30*'TR TUSD'!$AC$74</f>
        <v>18.524715227502835</v>
      </c>
      <c r="AD30" s="31">
        <f>SUM($AC$30:$AC$30)</f>
        <v>18.524715227502835</v>
      </c>
      <c r="AE30" s="31">
        <v>0</v>
      </c>
      <c r="AF30" s="31">
        <v>0</v>
      </c>
      <c r="AG30" s="31">
        <f>SUM($AE$30:$AF$30)</f>
        <v>0</v>
      </c>
      <c r="AH30" s="31">
        <f>'TR TUSD'!$AH$30*'TR TUSD'!$AH$74</f>
        <v>0</v>
      </c>
      <c r="AI30" s="31">
        <f>'TR TUSD'!$AI$30*'TR TUSD'!$AI$74</f>
        <v>0</v>
      </c>
      <c r="AJ30" s="31">
        <f ca="1">'TR TUSD'!$AJ$30*'TR TUSD'!$AJ$74</f>
        <v>0</v>
      </c>
      <c r="AK30" s="31">
        <f ca="1">'TR TUSD'!$AK$30*'TR TUSD'!$AK$74</f>
        <v>0</v>
      </c>
      <c r="AL30" s="31">
        <f ca="1">SUM($AH$30:$AK$30)</f>
        <v>0</v>
      </c>
      <c r="AM30" s="31">
        <f ca="1">SUMIF($L$4:$AL$4,"SUBTOTAL",$L$30:$AL$30)</f>
        <v>18.610838815504046</v>
      </c>
      <c r="AP30" s="31"/>
    </row>
    <row r="31" spans="1:42" ht="11.25" customHeight="1" x14ac:dyDescent="0.25">
      <c r="A31" s="97" t="s">
        <v>22</v>
      </c>
      <c r="B31" s="97" t="s">
        <v>33</v>
      </c>
      <c r="C31" s="97" t="s">
        <v>24</v>
      </c>
      <c r="D31" s="97" t="s">
        <v>24</v>
      </c>
      <c r="E31" s="97" t="s">
        <v>25</v>
      </c>
      <c r="F31" s="97" t="s">
        <v>25</v>
      </c>
      <c r="G31" s="38" t="s">
        <v>103</v>
      </c>
      <c r="H31" s="38" t="s">
        <v>102</v>
      </c>
      <c r="I31" s="38">
        <f>'MERCADO TUSD'!$U$28</f>
        <v>107.383</v>
      </c>
      <c r="J31" s="15"/>
      <c r="L31" s="31">
        <f>'TR TUSD'!$L$31*'TR TUSD'!$L$74</f>
        <v>4.0263687592814295</v>
      </c>
      <c r="M31" s="31">
        <f>'TR TUSD'!$M$31*'TR TUSD'!$M$74</f>
        <v>0.84102291402765827</v>
      </c>
      <c r="N31" s="31">
        <f ca="1">'TR TUSD'!$N$31*'TR TUSD'!$N$74</f>
        <v>9.1834696636790092</v>
      </c>
      <c r="O31" s="31">
        <f>'TR TUSD'!$O$31*'TR TUSD'!$O$74</f>
        <v>1.9190865198739564E-2</v>
      </c>
      <c r="P31" s="31">
        <f>'TR TUSD'!$P$31*'TR TUSD'!$P$74</f>
        <v>0</v>
      </c>
      <c r="Q31" s="31">
        <f>'TR TUSD'!$Q$31*'TR TUSD'!$Q$74</f>
        <v>38.182431744895922</v>
      </c>
      <c r="R31" s="31">
        <f>'TR TUSD'!$R$31*'TR TUSD'!$R$74</f>
        <v>14.414104263105399</v>
      </c>
      <c r="S31" s="31">
        <f>'TR TUSD'!$S$31*'TR TUSD'!$S$74</f>
        <v>0</v>
      </c>
      <c r="T31" s="31">
        <f ca="1">SUM($L$31:$S$31)</f>
        <v>66.666588210188152</v>
      </c>
      <c r="U31" s="31">
        <f>'TR TUSD'!$U$31*'TR TUSD'!$U$74</f>
        <v>104.77657039323466</v>
      </c>
      <c r="V31" s="31">
        <f>'TR TUSD'!$V$31*'TR TUSD'!$V$74</f>
        <v>32.501964046681366</v>
      </c>
      <c r="W31" s="31">
        <f>'TR TUSD'!$W$31*'TR TUSD'!$W$74</f>
        <v>5.2285923600971138</v>
      </c>
      <c r="X31" s="31">
        <f>'TR TUSD'!$X$31*'TR TUSD'!$X$74</f>
        <v>0.30411073412865386</v>
      </c>
      <c r="Y31" s="31">
        <f>'TR TUSD'!$Y$31*'TR TUSD'!$Y$74</f>
        <v>6.699493373476705</v>
      </c>
      <c r="Z31" s="31">
        <f>'TR TUSD'!$Z$31</f>
        <v>0</v>
      </c>
      <c r="AA31" s="31">
        <f>'TR TUSD'!$AA$31</f>
        <v>0</v>
      </c>
      <c r="AB31" s="31">
        <f>SUM($U$31:$AA$31)</f>
        <v>149.51073090761849</v>
      </c>
      <c r="AC31" s="31">
        <f>'TR TUSD'!$AC$31*'TR TUSD'!$AC$74</f>
        <v>727.18640040819571</v>
      </c>
      <c r="AD31" s="31">
        <f>SUM($AC$31:$AC$31)</f>
        <v>727.18640040819571</v>
      </c>
      <c r="AE31" s="31">
        <v>0</v>
      </c>
      <c r="AF31" s="31">
        <v>0</v>
      </c>
      <c r="AG31" s="31">
        <f>SUM($AE$31:$AF$31)</f>
        <v>0</v>
      </c>
      <c r="AH31" s="31">
        <f>'TR TUSD'!$AH$31*'TR TUSD'!$AH$74</f>
        <v>32.250377604372076</v>
      </c>
      <c r="AI31" s="31">
        <f>'TR TUSD'!$AI$31*'TR TUSD'!$AI$74</f>
        <v>0.97756078457782125</v>
      </c>
      <c r="AJ31" s="31">
        <f ca="1">'TR TUSD'!$AJ$31*'TR TUSD'!$AJ$74</f>
        <v>10.921635518803569</v>
      </c>
      <c r="AK31" s="31">
        <f ca="1">'TR TUSD'!$AK$31*'TR TUSD'!$AK$74</f>
        <v>0</v>
      </c>
      <c r="AL31" s="31">
        <f ca="1">SUM($AH$31:$AK$31)</f>
        <v>44.149573907753464</v>
      </c>
      <c r="AM31" s="31">
        <f ca="1">SUMIF($L$4:$AL$4,"SUBTOTAL",$L$31:$AL$31)</f>
        <v>987.51329343375585</v>
      </c>
      <c r="AP31" s="31">
        <v>1</v>
      </c>
    </row>
    <row r="32" spans="1:42" ht="11.25" customHeight="1" x14ac:dyDescent="0.25">
      <c r="A32" s="97"/>
      <c r="B32" s="97"/>
      <c r="C32" s="97"/>
      <c r="D32" s="97"/>
      <c r="E32" s="97"/>
      <c r="F32" s="97"/>
      <c r="G32" s="38" t="s">
        <v>113</v>
      </c>
      <c r="H32" s="38" t="s">
        <v>102</v>
      </c>
      <c r="I32" s="38">
        <f>'MERCADO TUSD'!$U$29</f>
        <v>73.695000000000007</v>
      </c>
      <c r="J32" s="15"/>
      <c r="L32" s="31">
        <f>'TR TUSD'!$L$32*'TR TUSD'!$L$74</f>
        <v>4.0263687592814295</v>
      </c>
      <c r="M32" s="31">
        <f>'TR TUSD'!$M$32*'TR TUSD'!$M$74</f>
        <v>0.84102291402765827</v>
      </c>
      <c r="N32" s="31">
        <f ca="1">'TR TUSD'!$N$32*'TR TUSD'!$N$74</f>
        <v>5.8692042120320025</v>
      </c>
      <c r="O32" s="31">
        <f>'TR TUSD'!$O$32*'TR TUSD'!$O$74</f>
        <v>1.9190865198739564E-2</v>
      </c>
      <c r="P32" s="31">
        <f>'TR TUSD'!$P$32*'TR TUSD'!$P$74</f>
        <v>0</v>
      </c>
      <c r="Q32" s="31">
        <f>'TR TUSD'!$Q$32*'TR TUSD'!$Q$74</f>
        <v>38.182431744895922</v>
      </c>
      <c r="R32" s="31">
        <f>'TR TUSD'!$R$32*'TR TUSD'!$R$74</f>
        <v>14.414104263105399</v>
      </c>
      <c r="S32" s="31">
        <f>'TR TUSD'!$S$32*'TR TUSD'!$S$74</f>
        <v>0</v>
      </c>
      <c r="T32" s="31">
        <f ca="1">SUM($L$32:$S$32)</f>
        <v>63.352322758541149</v>
      </c>
      <c r="U32" s="31">
        <f>'TR TUSD'!$U$32*'TR TUSD'!$U$74</f>
        <v>62.865942235940807</v>
      </c>
      <c r="V32" s="31">
        <f>'TR TUSD'!$V$32*'TR TUSD'!$V$74</f>
        <v>19.501178428008817</v>
      </c>
      <c r="W32" s="31">
        <f>'TR TUSD'!$W$32*'TR TUSD'!$W$74</f>
        <v>3.137118586772206</v>
      </c>
      <c r="X32" s="31">
        <f>'TR TUSD'!$X$32*'TR TUSD'!$X$74</f>
        <v>0.18244634726714087</v>
      </c>
      <c r="Y32" s="31">
        <f>'TR TUSD'!$Y$32*'TR TUSD'!$Y$74</f>
        <v>4.0197161402683843</v>
      </c>
      <c r="Z32" s="31">
        <f>'TR TUSD'!$Z$32</f>
        <v>0</v>
      </c>
      <c r="AA32" s="31">
        <f>'TR TUSD'!$AA$32</f>
        <v>0</v>
      </c>
      <c r="AB32" s="31">
        <f>SUM($U$32:$AA$32)</f>
        <v>89.706401738257355</v>
      </c>
      <c r="AC32" s="31">
        <f>'TR TUSD'!$AC$32*'TR TUSD'!$AC$74</f>
        <v>436.3117727821446</v>
      </c>
      <c r="AD32" s="31">
        <f>SUM($AC$32:$AC$32)</f>
        <v>436.3117727821446</v>
      </c>
      <c r="AE32" s="31">
        <v>0</v>
      </c>
      <c r="AF32" s="31">
        <v>0</v>
      </c>
      <c r="AG32" s="31">
        <f>SUM($AE$32:$AF$32)</f>
        <v>0</v>
      </c>
      <c r="AH32" s="31">
        <f>'TR TUSD'!$AH$32*'TR TUSD'!$AH$74</f>
        <v>32.250377604372076</v>
      </c>
      <c r="AI32" s="31">
        <f>'TR TUSD'!$AI$32*'TR TUSD'!$AI$74</f>
        <v>0.97756078457782125</v>
      </c>
      <c r="AJ32" s="31">
        <f ca="1">'TR TUSD'!$AJ$32*'TR TUSD'!$AJ$74</f>
        <v>10.921635518803569</v>
      </c>
      <c r="AK32" s="31">
        <f ca="1">'TR TUSD'!$AK$32*'TR TUSD'!$AK$74</f>
        <v>0</v>
      </c>
      <c r="AL32" s="31">
        <f ca="1">SUM($AH$32:$AK$32)</f>
        <v>44.149573907753464</v>
      </c>
      <c r="AM32" s="31">
        <f ca="1">SUMIF($L$4:$AL$4,"SUBTOTAL",$L$32:$AL$32)</f>
        <v>633.52007118669655</v>
      </c>
      <c r="AP32" s="31">
        <v>1</v>
      </c>
    </row>
    <row r="33" spans="1:42" ht="11.25" customHeight="1" x14ac:dyDescent="0.25">
      <c r="A33" s="97"/>
      <c r="B33" s="97"/>
      <c r="C33" s="97"/>
      <c r="D33" s="97"/>
      <c r="E33" s="97"/>
      <c r="F33" s="97"/>
      <c r="G33" s="38" t="s">
        <v>104</v>
      </c>
      <c r="H33" s="38" t="s">
        <v>102</v>
      </c>
      <c r="I33" s="38">
        <f>'MERCADO TUSD'!$U$30</f>
        <v>1358.0870000000002</v>
      </c>
      <c r="J33" s="15"/>
      <c r="L33" s="31">
        <f>'TR TUSD'!$L$33*'TR TUSD'!$L$74</f>
        <v>4.0263687592814295</v>
      </c>
      <c r="M33" s="31">
        <f>'TR TUSD'!$M$33*'TR TUSD'!$M$74</f>
        <v>0.84102291402765827</v>
      </c>
      <c r="N33" s="31">
        <f ca="1">'TR TUSD'!$N$33*'TR TUSD'!$N$74</f>
        <v>2.5549409054517711</v>
      </c>
      <c r="O33" s="31">
        <f>'TR TUSD'!$O$33*'TR TUSD'!$O$74</f>
        <v>1.9190865198739564E-2</v>
      </c>
      <c r="P33" s="31">
        <f>'TR TUSD'!$P$33*'TR TUSD'!$P$74</f>
        <v>0</v>
      </c>
      <c r="Q33" s="31">
        <f>'TR TUSD'!$Q$33*'TR TUSD'!$Q$74</f>
        <v>38.182431744895922</v>
      </c>
      <c r="R33" s="31">
        <f>'TR TUSD'!$R$33*'TR TUSD'!$R$74</f>
        <v>14.414104263105399</v>
      </c>
      <c r="S33" s="31">
        <f>'TR TUSD'!$S$33*'TR TUSD'!$S$74</f>
        <v>0</v>
      </c>
      <c r="T33" s="31">
        <f ca="1">SUM($L$33:$S$33)</f>
        <v>60.038059451960919</v>
      </c>
      <c r="U33" s="31">
        <f>'TR TUSD'!$U$33*'TR TUSD'!$U$74</f>
        <v>20.955314078646932</v>
      </c>
      <c r="V33" s="31">
        <f>'TR TUSD'!$V$33*'TR TUSD'!$V$74</f>
        <v>6.5003928093362724</v>
      </c>
      <c r="W33" s="31">
        <f>'TR TUSD'!$W$33*'TR TUSD'!$W$74</f>
        <v>1.0457061955907354</v>
      </c>
      <c r="X33" s="31">
        <f>'TR TUSD'!$X$33*'TR TUSD'!$X$74</f>
        <v>6.0781960405627874E-2</v>
      </c>
      <c r="Y33" s="31">
        <f>'TR TUSD'!$Y$33*'TR TUSD'!$Y$74</f>
        <v>1.3399389070600629</v>
      </c>
      <c r="Z33" s="31">
        <f>'TR TUSD'!$Z$33</f>
        <v>0</v>
      </c>
      <c r="AA33" s="31">
        <f>'TR TUSD'!$AA$33</f>
        <v>0</v>
      </c>
      <c r="AB33" s="31">
        <f>SUM($U$33:$AA$33)</f>
        <v>29.90213395103963</v>
      </c>
      <c r="AC33" s="31">
        <f>'TR TUSD'!$AC$33*'TR TUSD'!$AC$74</f>
        <v>145.43725759404819</v>
      </c>
      <c r="AD33" s="31">
        <f>SUM($AC$33:$AC$33)</f>
        <v>145.43725759404819</v>
      </c>
      <c r="AE33" s="31">
        <v>0</v>
      </c>
      <c r="AF33" s="31">
        <v>0</v>
      </c>
      <c r="AG33" s="31">
        <f>SUM($AE$33:$AF$33)</f>
        <v>0</v>
      </c>
      <c r="AH33" s="31">
        <f>'TR TUSD'!$AH$33*'TR TUSD'!$AH$74</f>
        <v>32.250377604372076</v>
      </c>
      <c r="AI33" s="31">
        <f>'TR TUSD'!$AI$33*'TR TUSD'!$AI$74</f>
        <v>0.97756078457782125</v>
      </c>
      <c r="AJ33" s="31">
        <f ca="1">'TR TUSD'!$AJ$33*'TR TUSD'!$AJ$74</f>
        <v>10.921635518803569</v>
      </c>
      <c r="AK33" s="31">
        <f ca="1">'TR TUSD'!$AK$33*'TR TUSD'!$AK$74</f>
        <v>0</v>
      </c>
      <c r="AL33" s="31">
        <f ca="1">SUM($AH$33:$AK$33)</f>
        <v>44.149573907753464</v>
      </c>
      <c r="AM33" s="31">
        <f ca="1">SUMIF($L$4:$AL$4,"SUBTOTAL",$L$33:$AL$33)</f>
        <v>279.5270249048022</v>
      </c>
      <c r="AP33" s="31">
        <v>1</v>
      </c>
    </row>
    <row r="34" spans="1:42" ht="11.25" customHeight="1" x14ac:dyDescent="0.25">
      <c r="A34" s="97"/>
      <c r="B34" s="97" t="s">
        <v>23</v>
      </c>
      <c r="C34" s="97" t="s">
        <v>24</v>
      </c>
      <c r="D34" s="37" t="s">
        <v>24</v>
      </c>
      <c r="E34" s="37" t="s">
        <v>25</v>
      </c>
      <c r="F34" s="37" t="s">
        <v>25</v>
      </c>
      <c r="G34" s="38" t="s">
        <v>108</v>
      </c>
      <c r="H34" s="38" t="s">
        <v>102</v>
      </c>
      <c r="I34" s="38">
        <f>'MERCADO TUSD'!$U$31</f>
        <v>1398369.1870000002</v>
      </c>
      <c r="J34" s="15"/>
      <c r="L34" s="31">
        <f>'TR TUSD'!$L$34*'TR TUSD'!$L$74</f>
        <v>4.0263687592814295</v>
      </c>
      <c r="M34" s="31">
        <f>'TR TUSD'!$M$34*'TR TUSD'!$M$74</f>
        <v>0.84102291402765827</v>
      </c>
      <c r="N34" s="31">
        <f ca="1">'TR TUSD'!$N$34*'TR TUSD'!$N$74</f>
        <v>3.4870785999941858</v>
      </c>
      <c r="O34" s="31">
        <f>'TR TUSD'!$O$34*'TR TUSD'!$O$74</f>
        <v>1.9190865198739564E-2</v>
      </c>
      <c r="P34" s="31">
        <f>'TR TUSD'!$P$34*'TR TUSD'!$P$74</f>
        <v>0</v>
      </c>
      <c r="Q34" s="31">
        <f>'TR TUSD'!$Q$34*'TR TUSD'!$Q$74</f>
        <v>38.182431744895922</v>
      </c>
      <c r="R34" s="31">
        <f>'TR TUSD'!$R$34*'TR TUSD'!$R$74</f>
        <v>14.414104263105399</v>
      </c>
      <c r="S34" s="31">
        <f>'TR TUSD'!$S$34*'TR TUSD'!$S$74</f>
        <v>0</v>
      </c>
      <c r="T34" s="31">
        <f ca="1">SUM($L$34:$S$34)</f>
        <v>60.970197146503338</v>
      </c>
      <c r="U34" s="31">
        <f>'TR TUSD'!$U$34*'TR TUSD'!$U$74</f>
        <v>32.742732247838184</v>
      </c>
      <c r="V34" s="31">
        <f>'TR TUSD'!$V$34*'TR TUSD'!$V$74</f>
        <v>10.156847780225075</v>
      </c>
      <c r="W34" s="31">
        <f>'TR TUSD'!$W$34*'TR TUSD'!$W$74</f>
        <v>1.6339312761463833</v>
      </c>
      <c r="X34" s="31">
        <f>'TR TUSD'!$X$34*'TR TUSD'!$X$74</f>
        <v>9.5040883543345417E-2</v>
      </c>
      <c r="Y34" s="31">
        <f>'TR TUSD'!$Y$34*'TR TUSD'!$Y$74</f>
        <v>2.0935916792114702</v>
      </c>
      <c r="Z34" s="31">
        <f>'TR TUSD'!$Z$34</f>
        <v>0</v>
      </c>
      <c r="AA34" s="31">
        <f>'TR TUSD'!$AA$34</f>
        <v>0</v>
      </c>
      <c r="AB34" s="31">
        <f>SUM($U$34:$AA$34)</f>
        <v>46.722143866964458</v>
      </c>
      <c r="AC34" s="31">
        <f>'TR TUSD'!$AC$34*'TR TUSD'!$AC$74</f>
        <v>227.24576418230552</v>
      </c>
      <c r="AD34" s="31">
        <f>SUM($AC$34:$AC$34)</f>
        <v>227.24576418230552</v>
      </c>
      <c r="AE34" s="31">
        <v>0</v>
      </c>
      <c r="AF34" s="31">
        <v>0</v>
      </c>
      <c r="AG34" s="31">
        <f>SUM($AE$34:$AF$34)</f>
        <v>0</v>
      </c>
      <c r="AH34" s="31">
        <f>'TR TUSD'!$AH$34*'TR TUSD'!$AH$74</f>
        <v>32.250377604372076</v>
      </c>
      <c r="AI34" s="31">
        <f>'TR TUSD'!$AI$34*'TR TUSD'!$AI$74</f>
        <v>0.97756078457782125</v>
      </c>
      <c r="AJ34" s="31">
        <f ca="1">'TR TUSD'!$AJ$34*'TR TUSD'!$AJ$74</f>
        <v>10.921635518803569</v>
      </c>
      <c r="AK34" s="31">
        <f ca="1">'TR TUSD'!$AK$34*'TR TUSD'!$AK$74</f>
        <v>0</v>
      </c>
      <c r="AL34" s="31">
        <f ca="1">SUM($AH$34:$AK$34)</f>
        <v>44.149573907753464</v>
      </c>
      <c r="AM34" s="31">
        <f ca="1">SUMIF($L$4:$AL$4,"SUBTOTAL",$L$34:$AL$34)</f>
        <v>379.0876791035268</v>
      </c>
      <c r="AP34" s="31">
        <v>1</v>
      </c>
    </row>
    <row r="35" spans="1:42" ht="11.25" customHeight="1" x14ac:dyDescent="0.25">
      <c r="A35" s="97"/>
      <c r="B35" s="97"/>
      <c r="C35" s="97"/>
      <c r="D35" s="37" t="s">
        <v>29</v>
      </c>
      <c r="E35" s="37" t="s">
        <v>25</v>
      </c>
      <c r="F35" s="37" t="s">
        <v>25</v>
      </c>
      <c r="G35" s="38" t="s">
        <v>108</v>
      </c>
      <c r="H35" s="38" t="s">
        <v>102</v>
      </c>
      <c r="I35" s="38">
        <f>'MERCADO TUSD'!$U$32</f>
        <v>161060.71900000001</v>
      </c>
      <c r="J35" s="15"/>
      <c r="L35" s="31">
        <f>'TR TUSD'!$L$35*'TR TUSD'!$L$74</f>
        <v>0</v>
      </c>
      <c r="M35" s="31">
        <f>'TR TUSD'!$M$35*'TR TUSD'!$M$74</f>
        <v>0.84102291402765827</v>
      </c>
      <c r="N35" s="31">
        <f ca="1">'TR TUSD'!$N$35*'TR TUSD'!$N$74</f>
        <v>3.4763532661191912</v>
      </c>
      <c r="O35" s="31">
        <f>'TR TUSD'!$O$35*'TR TUSD'!$O$74</f>
        <v>1.9190865198739564E-2</v>
      </c>
      <c r="P35" s="31">
        <f>'TR TUSD'!$P$35*'TR TUSD'!$P$74</f>
        <v>0</v>
      </c>
      <c r="Q35" s="31">
        <f>'TR TUSD'!$Q$35*'TR TUSD'!$Q$74</f>
        <v>0</v>
      </c>
      <c r="R35" s="31">
        <f>'TR TUSD'!$R$35*'TR TUSD'!$R$74</f>
        <v>0</v>
      </c>
      <c r="S35" s="31">
        <f>'TR TUSD'!$S$35*'TR TUSD'!$S$74</f>
        <v>0</v>
      </c>
      <c r="T35" s="31">
        <f ca="1">SUM($L$35:$S$35)</f>
        <v>4.3365670453455891</v>
      </c>
      <c r="U35" s="31">
        <f>'TR TUSD'!$U$35*'TR TUSD'!$U$74</f>
        <v>32.742732247838184</v>
      </c>
      <c r="V35" s="31">
        <f>'TR TUSD'!$V$35*'TR TUSD'!$V$74</f>
        <v>10.156847780225075</v>
      </c>
      <c r="W35" s="31">
        <f>'TR TUSD'!$W$35*'TR TUSD'!$W$74</f>
        <v>1.6339312761463833</v>
      </c>
      <c r="X35" s="31">
        <f>'TR TUSD'!$X$35*'TR TUSD'!$X$74</f>
        <v>9.5040883543345417E-2</v>
      </c>
      <c r="Y35" s="31">
        <f>'TR TUSD'!$Y$35*'TR TUSD'!$Y$74</f>
        <v>2.0935916792114702</v>
      </c>
      <c r="Z35" s="31">
        <f>'TR TUSD'!$Z$35</f>
        <v>0</v>
      </c>
      <c r="AA35" s="31">
        <f>'TR TUSD'!$AA$35</f>
        <v>0</v>
      </c>
      <c r="AB35" s="31">
        <f>SUM($U$35:$AA$35)</f>
        <v>46.722143866964458</v>
      </c>
      <c r="AC35" s="31">
        <f>'TR TUSD'!$AC$35*'TR TUSD'!$AC$74</f>
        <v>227.24576418230552</v>
      </c>
      <c r="AD35" s="31">
        <f>SUM($AC$35:$AC$35)</f>
        <v>227.24576418230552</v>
      </c>
      <c r="AE35" s="31">
        <v>0</v>
      </c>
      <c r="AF35" s="31">
        <v>0</v>
      </c>
      <c r="AG35" s="31">
        <f>SUM($AE$35:$AF$35)</f>
        <v>0</v>
      </c>
      <c r="AH35" s="31">
        <f>'TR TUSD'!$AH$35*'TR TUSD'!$AH$74</f>
        <v>32.250377604372076</v>
      </c>
      <c r="AI35" s="31">
        <f>'TR TUSD'!$AI$35*'TR TUSD'!$AI$74</f>
        <v>0.97756078457782125</v>
      </c>
      <c r="AJ35" s="31">
        <f ca="1">'TR TUSD'!$AJ$35*'TR TUSD'!$AJ$74</f>
        <v>10.921635518803569</v>
      </c>
      <c r="AK35" s="31">
        <f ca="1">'TR TUSD'!$AK$35*'TR TUSD'!$AK$74</f>
        <v>0</v>
      </c>
      <c r="AL35" s="31">
        <f ca="1">SUM($AH$35:$AK$35)</f>
        <v>44.149573907753464</v>
      </c>
      <c r="AM35" s="31">
        <f ca="1">SUMIF($L$4:$AL$4,"SUBTOTAL",$L$35:$AL$35)</f>
        <v>322.454049002369</v>
      </c>
      <c r="AP35" s="31">
        <f>IF((1 - CUSTOS!$M$24)&lt;&gt;0,1/(1 - CUSTOS!$M$24),1)</f>
        <v>1</v>
      </c>
    </row>
    <row r="36" spans="1:42" ht="11.25" customHeight="1" x14ac:dyDescent="0.25">
      <c r="A36" s="97"/>
      <c r="B36" s="97"/>
      <c r="C36" s="97"/>
      <c r="D36" s="37" t="s">
        <v>30</v>
      </c>
      <c r="E36" s="37" t="s">
        <v>25</v>
      </c>
      <c r="F36" s="37" t="s">
        <v>25</v>
      </c>
      <c r="G36" s="38" t="s">
        <v>108</v>
      </c>
      <c r="H36" s="38" t="s">
        <v>102</v>
      </c>
      <c r="I36" s="38">
        <f>'MERCADO TUSD'!$U$33</f>
        <v>267147.82800000004</v>
      </c>
      <c r="J36" s="15"/>
      <c r="L36" s="31">
        <f>'TR TUSD'!$L$36*'TR TUSD'!$L$74</f>
        <v>0</v>
      </c>
      <c r="M36" s="31">
        <f>'TR TUSD'!$M$36*'TR TUSD'!$M$74</f>
        <v>0.84102291402765827</v>
      </c>
      <c r="N36" s="31">
        <f ca="1">'TR TUSD'!$N$36*'TR TUSD'!$N$74</f>
        <v>3.4763532661191912</v>
      </c>
      <c r="O36" s="31">
        <f>'TR TUSD'!$O$36*'TR TUSD'!$O$74</f>
        <v>1.9190865198739564E-2</v>
      </c>
      <c r="P36" s="31">
        <f>'TR TUSD'!$P$36*'TR TUSD'!$P$74</f>
        <v>0</v>
      </c>
      <c r="Q36" s="31">
        <f>'TR TUSD'!$Q$36*'TR TUSD'!$Q$74</f>
        <v>0</v>
      </c>
      <c r="R36" s="31">
        <f>'TR TUSD'!$R$36*'TR TUSD'!$R$74</f>
        <v>0</v>
      </c>
      <c r="S36" s="31">
        <f>'TR TUSD'!$S$36*'TR TUSD'!$S$74</f>
        <v>0</v>
      </c>
      <c r="T36" s="31">
        <f ca="1">SUM($L$36:$S$36)</f>
        <v>4.3365670453455891</v>
      </c>
      <c r="U36" s="31">
        <f>'TR TUSD'!$U$36*'TR TUSD'!$U$74</f>
        <v>32.742732247838184</v>
      </c>
      <c r="V36" s="31">
        <f>'TR TUSD'!$V$36*'TR TUSD'!$V$74</f>
        <v>10.156847780225075</v>
      </c>
      <c r="W36" s="31">
        <f>'TR TUSD'!$W$36*'TR TUSD'!$W$74</f>
        <v>1.6339312761463833</v>
      </c>
      <c r="X36" s="31">
        <f>'TR TUSD'!$X$36*'TR TUSD'!$X$74</f>
        <v>9.5040883543345417E-2</v>
      </c>
      <c r="Y36" s="31">
        <f>'TR TUSD'!$Y$36*'TR TUSD'!$Y$74</f>
        <v>2.0935916792114702</v>
      </c>
      <c r="Z36" s="31">
        <f>'TR TUSD'!$Z$36</f>
        <v>0</v>
      </c>
      <c r="AA36" s="31">
        <f>'TR TUSD'!$AA$36</f>
        <v>0</v>
      </c>
      <c r="AB36" s="31">
        <f>SUM($U$36:$AA$36)</f>
        <v>46.722143866964458</v>
      </c>
      <c r="AC36" s="31">
        <f>'TR TUSD'!$AC$36*'TR TUSD'!$AC$74</f>
        <v>227.24576418230552</v>
      </c>
      <c r="AD36" s="31">
        <f>SUM($AC$36:$AC$36)</f>
        <v>227.24576418230552</v>
      </c>
      <c r="AE36" s="31">
        <v>0</v>
      </c>
      <c r="AF36" s="31">
        <v>0</v>
      </c>
      <c r="AG36" s="31">
        <f>SUM($AE$36:$AF$36)</f>
        <v>0</v>
      </c>
      <c r="AH36" s="31">
        <f>'TR TUSD'!$AH$36*'TR TUSD'!$AH$74</f>
        <v>32.250377604372076</v>
      </c>
      <c r="AI36" s="31">
        <f>'TR TUSD'!$AI$36*'TR TUSD'!$AI$74</f>
        <v>0.97756078457782125</v>
      </c>
      <c r="AJ36" s="31">
        <f ca="1">'TR TUSD'!$AJ$36*'TR TUSD'!$AJ$74</f>
        <v>10.921635518803569</v>
      </c>
      <c r="AK36" s="31">
        <f ca="1">'TR TUSD'!$AK$36*'TR TUSD'!$AK$74</f>
        <v>0</v>
      </c>
      <c r="AL36" s="31">
        <f ca="1">SUM($AH$36:$AK$36)</f>
        <v>44.149573907753464</v>
      </c>
      <c r="AM36" s="31">
        <f ca="1">SUMIF($L$4:$AL$4,"SUBTOTAL",$L$36:$AL$36)</f>
        <v>322.454049002369</v>
      </c>
      <c r="AP36" s="31">
        <f>IF((1 - CUSTOS!$M$25)&lt;&gt;0,1/(1 - CUSTOS!$M$25),1)</f>
        <v>1</v>
      </c>
    </row>
    <row r="37" spans="1:42" ht="11.25" customHeight="1" x14ac:dyDescent="0.25">
      <c r="A37" s="97"/>
      <c r="B37" s="97"/>
      <c r="C37" s="97"/>
      <c r="D37" s="37" t="s">
        <v>31</v>
      </c>
      <c r="E37" s="37" t="s">
        <v>25</v>
      </c>
      <c r="F37" s="37" t="s">
        <v>25</v>
      </c>
      <c r="G37" s="38" t="s">
        <v>108</v>
      </c>
      <c r="H37" s="38" t="s">
        <v>102</v>
      </c>
      <c r="I37" s="38">
        <f>'MERCADO TUSD'!$U$34</f>
        <v>140786.959</v>
      </c>
      <c r="J37" s="15"/>
      <c r="L37" s="31">
        <f>'TR TUSD'!$L$37*'TR TUSD'!$L$74</f>
        <v>0</v>
      </c>
      <c r="M37" s="31">
        <f>'TR TUSD'!$M$37*'TR TUSD'!$M$74</f>
        <v>0.84102291402765827</v>
      </c>
      <c r="N37" s="31">
        <f ca="1">'TR TUSD'!$N$37*'TR TUSD'!$N$74</f>
        <v>3.4763532661191912</v>
      </c>
      <c r="O37" s="31">
        <f>'TR TUSD'!$O$37*'TR TUSD'!$O$74</f>
        <v>1.9190865198739564E-2</v>
      </c>
      <c r="P37" s="31">
        <f>'TR TUSD'!$P$37*'TR TUSD'!$P$74</f>
        <v>0</v>
      </c>
      <c r="Q37" s="31">
        <f>'TR TUSD'!$Q$37*'TR TUSD'!$Q$74</f>
        <v>0</v>
      </c>
      <c r="R37" s="31">
        <f>'TR TUSD'!$R$37*'TR TUSD'!$R$74</f>
        <v>0</v>
      </c>
      <c r="S37" s="31">
        <f>'TR TUSD'!$S$37*'TR TUSD'!$S$74</f>
        <v>0</v>
      </c>
      <c r="T37" s="31">
        <f ca="1">SUM($L$37:$S$37)</f>
        <v>4.3365670453455891</v>
      </c>
      <c r="U37" s="31">
        <f>'TR TUSD'!$U$37*'TR TUSD'!$U$74</f>
        <v>32.742732247838184</v>
      </c>
      <c r="V37" s="31">
        <f>'TR TUSD'!$V$37*'TR TUSD'!$V$74</f>
        <v>10.156847780225075</v>
      </c>
      <c r="W37" s="31">
        <f>'TR TUSD'!$W$37*'TR TUSD'!$W$74</f>
        <v>1.6339312761463833</v>
      </c>
      <c r="X37" s="31">
        <f>'TR TUSD'!$X$37*'TR TUSD'!$X$74</f>
        <v>9.5040883543345417E-2</v>
      </c>
      <c r="Y37" s="31">
        <f>'TR TUSD'!$Y$37*'TR TUSD'!$Y$74</f>
        <v>2.0935916792114702</v>
      </c>
      <c r="Z37" s="31">
        <f>'TR TUSD'!$Z$37</f>
        <v>0</v>
      </c>
      <c r="AA37" s="31">
        <f>'TR TUSD'!$AA$37</f>
        <v>0</v>
      </c>
      <c r="AB37" s="31">
        <f>SUM($U$37:$AA$37)</f>
        <v>46.722143866964458</v>
      </c>
      <c r="AC37" s="31">
        <f>'TR TUSD'!$AC$37*'TR TUSD'!$AC$74</f>
        <v>227.24576418230552</v>
      </c>
      <c r="AD37" s="31">
        <f>SUM($AC$37:$AC$37)</f>
        <v>227.24576418230552</v>
      </c>
      <c r="AE37" s="31">
        <v>0</v>
      </c>
      <c r="AF37" s="31">
        <v>0</v>
      </c>
      <c r="AG37" s="31">
        <f>SUM($AE$37:$AF$37)</f>
        <v>0</v>
      </c>
      <c r="AH37" s="31">
        <f>'TR TUSD'!$AH$37*'TR TUSD'!$AH$74</f>
        <v>32.250377604372076</v>
      </c>
      <c r="AI37" s="31">
        <f>'TR TUSD'!$AI$37*'TR TUSD'!$AI$74</f>
        <v>0.97756078457782125</v>
      </c>
      <c r="AJ37" s="31">
        <f ca="1">'TR TUSD'!$AJ$37*'TR TUSD'!$AJ$74</f>
        <v>10.921635518803569</v>
      </c>
      <c r="AK37" s="31">
        <f ca="1">'TR TUSD'!$AK$37*'TR TUSD'!$AK$74</f>
        <v>0</v>
      </c>
      <c r="AL37" s="31">
        <f ca="1">SUM($AH$37:$AK$37)</f>
        <v>44.149573907753464</v>
      </c>
      <c r="AM37" s="31">
        <f ca="1">SUMIF($L$4:$AL$4,"SUBTOTAL",$L$37:$AL$37)</f>
        <v>322.454049002369</v>
      </c>
      <c r="AP37" s="31">
        <f>IF((1 - CUSTOS!$M$26)&lt;&gt;0,1/(1 - CUSTOS!$M$26),1)</f>
        <v>1</v>
      </c>
    </row>
    <row r="38" spans="1:42" ht="11.25" customHeight="1" x14ac:dyDescent="0.25">
      <c r="A38" s="97"/>
      <c r="B38" s="97"/>
      <c r="C38" s="97"/>
      <c r="D38" s="37" t="s">
        <v>32</v>
      </c>
      <c r="E38" s="37" t="s">
        <v>25</v>
      </c>
      <c r="F38" s="37" t="s">
        <v>25</v>
      </c>
      <c r="G38" s="38" t="s">
        <v>108</v>
      </c>
      <c r="H38" s="38" t="s">
        <v>102</v>
      </c>
      <c r="I38" s="38">
        <f>'MERCADO TUSD'!$U$35</f>
        <v>39430.460000000006</v>
      </c>
      <c r="J38" s="15"/>
      <c r="L38" s="31">
        <f>'TR TUSD'!$L$38*'TR TUSD'!$L$74</f>
        <v>0</v>
      </c>
      <c r="M38" s="31">
        <f>'TR TUSD'!$M$38*'TR TUSD'!$M$74</f>
        <v>0.84102291402765827</v>
      </c>
      <c r="N38" s="31">
        <f ca="1">'TR TUSD'!$N$38*'TR TUSD'!$N$74</f>
        <v>3.4763532661191912</v>
      </c>
      <c r="O38" s="31">
        <f>'TR TUSD'!$O$38*'TR TUSD'!$O$74</f>
        <v>1.9190865198739564E-2</v>
      </c>
      <c r="P38" s="31">
        <f>'TR TUSD'!$P$38*'TR TUSD'!$P$74</f>
        <v>0</v>
      </c>
      <c r="Q38" s="31">
        <f>'TR TUSD'!$Q$38*'TR TUSD'!$Q$74</f>
        <v>0</v>
      </c>
      <c r="R38" s="31">
        <f>'TR TUSD'!$R$38*'TR TUSD'!$R$74</f>
        <v>0</v>
      </c>
      <c r="S38" s="31">
        <f>'TR TUSD'!$S$38*'TR TUSD'!$S$74</f>
        <v>0</v>
      </c>
      <c r="T38" s="31">
        <f ca="1">SUM($L$38:$S$38)</f>
        <v>4.3365670453455891</v>
      </c>
      <c r="U38" s="31">
        <f>'TR TUSD'!$U$38*'TR TUSD'!$U$74</f>
        <v>32.742732247838184</v>
      </c>
      <c r="V38" s="31">
        <f>'TR TUSD'!$V$38*'TR TUSD'!$V$74</f>
        <v>10.156847780225075</v>
      </c>
      <c r="W38" s="31">
        <f>'TR TUSD'!$W$38*'TR TUSD'!$W$74</f>
        <v>1.6339312761463833</v>
      </c>
      <c r="X38" s="31">
        <f>'TR TUSD'!$X$38*'TR TUSD'!$X$74</f>
        <v>9.5040883543345417E-2</v>
      </c>
      <c r="Y38" s="31">
        <f>'TR TUSD'!$Y$38*'TR TUSD'!$Y$74</f>
        <v>2.0935916792114702</v>
      </c>
      <c r="Z38" s="31">
        <f>'TR TUSD'!$Z$38</f>
        <v>0</v>
      </c>
      <c r="AA38" s="31">
        <f>'TR TUSD'!$AA$38</f>
        <v>0</v>
      </c>
      <c r="AB38" s="31">
        <f>SUM($U$38:$AA$38)</f>
        <v>46.722143866964458</v>
      </c>
      <c r="AC38" s="31">
        <f>'TR TUSD'!$AC$38*'TR TUSD'!$AC$74</f>
        <v>227.24576418230552</v>
      </c>
      <c r="AD38" s="31">
        <f>SUM($AC$38:$AC$38)</f>
        <v>227.24576418230552</v>
      </c>
      <c r="AE38" s="31">
        <v>0</v>
      </c>
      <c r="AF38" s="31">
        <v>0</v>
      </c>
      <c r="AG38" s="31">
        <f>SUM($AE$38:$AF$38)</f>
        <v>0</v>
      </c>
      <c r="AH38" s="31">
        <f>'TR TUSD'!$AH$38*'TR TUSD'!$AH$74</f>
        <v>32.250377604372076</v>
      </c>
      <c r="AI38" s="31">
        <f>'TR TUSD'!$AI$38*'TR TUSD'!$AI$74</f>
        <v>0.97756078457782125</v>
      </c>
      <c r="AJ38" s="31">
        <f ca="1">'TR TUSD'!$AJ$38*'TR TUSD'!$AJ$74</f>
        <v>10.921635518803569</v>
      </c>
      <c r="AK38" s="31">
        <f ca="1">'TR TUSD'!$AK$38*'TR TUSD'!$AK$74</f>
        <v>0</v>
      </c>
      <c r="AL38" s="31">
        <f ca="1">SUM($AH$38:$AK$38)</f>
        <v>44.149573907753464</v>
      </c>
      <c r="AM38" s="31">
        <f ca="1">SUMIF($L$4:$AL$4,"SUBTOTAL",$L$38:$AL$38)</f>
        <v>322.454049002369</v>
      </c>
      <c r="AP38" s="31">
        <f>IF((1 - CUSTOS!$M$27)&lt;&gt;0,1/(1 - CUSTOS!$M$27),1)</f>
        <v>1</v>
      </c>
    </row>
    <row r="39" spans="1:42" ht="11.25" customHeight="1" x14ac:dyDescent="0.25">
      <c r="A39" s="97"/>
      <c r="B39" s="97" t="s">
        <v>115</v>
      </c>
      <c r="C39" s="97" t="s">
        <v>24</v>
      </c>
      <c r="D39" s="37" t="s">
        <v>24</v>
      </c>
      <c r="E39" s="37" t="s">
        <v>25</v>
      </c>
      <c r="F39" s="37" t="s">
        <v>25</v>
      </c>
      <c r="G39" s="38" t="s">
        <v>108</v>
      </c>
      <c r="H39" s="38" t="s">
        <v>102</v>
      </c>
      <c r="I39" s="38">
        <f>'MERCADO TUSD'!$U$36</f>
        <v>0</v>
      </c>
      <c r="J39" s="15"/>
      <c r="L39" s="31">
        <f>'TR TUSD'!$L$39*'TR TUSD'!$L$74</f>
        <v>4.0263687592814295</v>
      </c>
      <c r="M39" s="31">
        <f>'TR TUSD'!$M$39*'TR TUSD'!$M$74</f>
        <v>0.84102291402765827</v>
      </c>
      <c r="N39" s="31">
        <f ca="1">'TR TUSD'!$N$39*'TR TUSD'!$N$74</f>
        <v>3.4870785999941858</v>
      </c>
      <c r="O39" s="31">
        <f>'TR TUSD'!$O$39*'TR TUSD'!$O$74</f>
        <v>1.9190865198739564E-2</v>
      </c>
      <c r="P39" s="31">
        <f>'TR TUSD'!$P$39*'TR TUSD'!$P$74</f>
        <v>0</v>
      </c>
      <c r="Q39" s="31">
        <f>'TR TUSD'!$Q$39*'TR TUSD'!$Q$74</f>
        <v>38.182431744895922</v>
      </c>
      <c r="R39" s="31">
        <f>'TR TUSD'!$R$39*'TR TUSD'!$R$74</f>
        <v>14.414104263105399</v>
      </c>
      <c r="S39" s="31">
        <f>'TR TUSD'!$S$39*'TR TUSD'!$S$74</f>
        <v>0</v>
      </c>
      <c r="T39" s="31">
        <f ca="1">SUM($L$39:$S$39)</f>
        <v>60.970197146503338</v>
      </c>
      <c r="U39" s="31">
        <f>'TR TUSD'!$U$39*'TR TUSD'!$U$74</f>
        <v>32.742732247838184</v>
      </c>
      <c r="V39" s="31">
        <f>'TR TUSD'!$V$39*'TR TUSD'!$V$74</f>
        <v>10.156847780225075</v>
      </c>
      <c r="W39" s="31">
        <f>'TR TUSD'!$W$39*'TR TUSD'!$W$74</f>
        <v>1.6339312761463833</v>
      </c>
      <c r="X39" s="31">
        <f>'TR TUSD'!$X$39*'TR TUSD'!$X$74</f>
        <v>9.5040883543345417E-2</v>
      </c>
      <c r="Y39" s="31">
        <f>'TR TUSD'!$Y$39*'TR TUSD'!$Y$74</f>
        <v>2.0935916792114702</v>
      </c>
      <c r="Z39" s="31">
        <f>'TR TUSD'!$Z$39</f>
        <v>0</v>
      </c>
      <c r="AA39" s="31">
        <f>'TR TUSD'!$AA$39</f>
        <v>0</v>
      </c>
      <c r="AB39" s="31">
        <f>SUM($U$39:$AA$39)</f>
        <v>46.722143866964458</v>
      </c>
      <c r="AC39" s="31">
        <f>'TR TUSD'!$AC$39*'TR TUSD'!$AC$74</f>
        <v>227.24576418230552</v>
      </c>
      <c r="AD39" s="31">
        <f>SUM($AC$39:$AC$39)</f>
        <v>227.24576418230552</v>
      </c>
      <c r="AE39" s="31">
        <v>0</v>
      </c>
      <c r="AF39" s="31">
        <v>0</v>
      </c>
      <c r="AG39" s="31">
        <f>SUM($AE$39:$AF$39)</f>
        <v>0</v>
      </c>
      <c r="AH39" s="31">
        <f>'TR TUSD'!$AH$39*'TR TUSD'!$AH$74</f>
        <v>32.250377604372076</v>
      </c>
      <c r="AI39" s="31">
        <f>'TR TUSD'!$AI$39*'TR TUSD'!$AI$74</f>
        <v>0.97756078457782125</v>
      </c>
      <c r="AJ39" s="31">
        <f ca="1">'TR TUSD'!$AJ$39*'TR TUSD'!$AJ$74</f>
        <v>10.921635518803569</v>
      </c>
      <c r="AK39" s="31">
        <f ca="1">'TR TUSD'!$AK$39*'TR TUSD'!$AK$74</f>
        <v>0</v>
      </c>
      <c r="AL39" s="31">
        <f ca="1">SUM($AH$39:$AK$39)</f>
        <v>44.149573907753464</v>
      </c>
      <c r="AM39" s="31">
        <f ca="1">SUMIF($L$4:$AL$4,"SUBTOTAL",$L$39:$AL$39)</f>
        <v>379.0876791035268</v>
      </c>
      <c r="AP39" s="31">
        <v>1</v>
      </c>
    </row>
    <row r="40" spans="1:42" ht="11.25" customHeight="1" x14ac:dyDescent="0.25">
      <c r="A40" s="97"/>
      <c r="B40" s="97"/>
      <c r="C40" s="97"/>
      <c r="D40" s="37" t="s">
        <v>29</v>
      </c>
      <c r="E40" s="37" t="s">
        <v>25</v>
      </c>
      <c r="F40" s="37" t="s">
        <v>25</v>
      </c>
      <c r="G40" s="38" t="s">
        <v>108</v>
      </c>
      <c r="H40" s="38" t="s">
        <v>102</v>
      </c>
      <c r="I40" s="38">
        <f>'MERCADO TUSD'!$U$37</f>
        <v>0</v>
      </c>
      <c r="J40" s="15"/>
      <c r="L40" s="31">
        <f>'TR TUSD'!$L$40*'TR TUSD'!$L$74</f>
        <v>0</v>
      </c>
      <c r="M40" s="31">
        <f>'TR TUSD'!$M$40*'TR TUSD'!$M$74</f>
        <v>0.84102291402765827</v>
      </c>
      <c r="N40" s="31">
        <f ca="1">'TR TUSD'!$N$40*'TR TUSD'!$N$74</f>
        <v>3.4763532661191912</v>
      </c>
      <c r="O40" s="31">
        <f>'TR TUSD'!$O$40*'TR TUSD'!$O$74</f>
        <v>1.9190865198739564E-2</v>
      </c>
      <c r="P40" s="31">
        <f>'TR TUSD'!$P$40*'TR TUSD'!$P$74</f>
        <v>0</v>
      </c>
      <c r="Q40" s="31">
        <f>'TR TUSD'!$Q$40*'TR TUSD'!$Q$74</f>
        <v>0</v>
      </c>
      <c r="R40" s="31">
        <f>'TR TUSD'!$R$40*'TR TUSD'!$R$74</f>
        <v>0</v>
      </c>
      <c r="S40" s="31">
        <f>'TR TUSD'!$S$40*'TR TUSD'!$S$74</f>
        <v>0</v>
      </c>
      <c r="T40" s="31">
        <f ca="1">SUM($L$40:$S$40)</f>
        <v>4.3365670453455891</v>
      </c>
      <c r="U40" s="31">
        <f>'TR TUSD'!$U$40*'TR TUSD'!$U$74</f>
        <v>32.742732247838184</v>
      </c>
      <c r="V40" s="31">
        <f>'TR TUSD'!$V$40*'TR TUSD'!$V$74</f>
        <v>10.156847780225075</v>
      </c>
      <c r="W40" s="31">
        <f>'TR TUSD'!$W$40*'TR TUSD'!$W$74</f>
        <v>1.6339312761463833</v>
      </c>
      <c r="X40" s="31">
        <f>'TR TUSD'!$X$40*'TR TUSD'!$X$74</f>
        <v>9.5040883543345417E-2</v>
      </c>
      <c r="Y40" s="31">
        <f>'TR TUSD'!$Y$40*'TR TUSD'!$Y$74</f>
        <v>2.0935916792114702</v>
      </c>
      <c r="Z40" s="31">
        <f>'TR TUSD'!$Z$40</f>
        <v>0</v>
      </c>
      <c r="AA40" s="31">
        <f>'TR TUSD'!$AA$40</f>
        <v>0</v>
      </c>
      <c r="AB40" s="31">
        <f>SUM($U$40:$AA$40)</f>
        <v>46.722143866964458</v>
      </c>
      <c r="AC40" s="31">
        <f>'TR TUSD'!$AC$40*'TR TUSD'!$AC$74</f>
        <v>227.24576418230552</v>
      </c>
      <c r="AD40" s="31">
        <f>SUM($AC$40:$AC$40)</f>
        <v>227.24576418230552</v>
      </c>
      <c r="AE40" s="31">
        <v>0</v>
      </c>
      <c r="AF40" s="31">
        <v>0</v>
      </c>
      <c r="AG40" s="31">
        <f>SUM($AE$40:$AF$40)</f>
        <v>0</v>
      </c>
      <c r="AH40" s="31">
        <f>'TR TUSD'!$AH$40*'TR TUSD'!$AH$74</f>
        <v>32.250377604372076</v>
      </c>
      <c r="AI40" s="31">
        <f>'TR TUSD'!$AI$40*'TR TUSD'!$AI$74</f>
        <v>0.97756078457782125</v>
      </c>
      <c r="AJ40" s="31">
        <f ca="1">'TR TUSD'!$AJ$40*'TR TUSD'!$AJ$74</f>
        <v>10.921635518803569</v>
      </c>
      <c r="AK40" s="31">
        <f ca="1">'TR TUSD'!$AK$40*'TR TUSD'!$AK$74</f>
        <v>0</v>
      </c>
      <c r="AL40" s="31">
        <f ca="1">SUM($AH$40:$AK$40)</f>
        <v>44.149573907753464</v>
      </c>
      <c r="AM40" s="31">
        <f ca="1">SUMIF($L$4:$AL$4,"SUBTOTAL",$L$40:$AL$40)</f>
        <v>322.454049002369</v>
      </c>
      <c r="AP40" s="31">
        <f>IF((1 - CUSTOS!$M$24)&lt;&gt;0,1/(1 - CUSTOS!$M$24),1)</f>
        <v>1</v>
      </c>
    </row>
    <row r="41" spans="1:42" ht="11.25" customHeight="1" x14ac:dyDescent="0.25">
      <c r="A41" s="97"/>
      <c r="B41" s="97"/>
      <c r="C41" s="97"/>
      <c r="D41" s="37" t="s">
        <v>30</v>
      </c>
      <c r="E41" s="37" t="s">
        <v>25</v>
      </c>
      <c r="F41" s="37" t="s">
        <v>25</v>
      </c>
      <c r="G41" s="38" t="s">
        <v>108</v>
      </c>
      <c r="H41" s="38" t="s">
        <v>102</v>
      </c>
      <c r="I41" s="38">
        <f>'MERCADO TUSD'!$U$38</f>
        <v>0</v>
      </c>
      <c r="J41" s="15"/>
      <c r="L41" s="31">
        <f>'TR TUSD'!$L$41*'TR TUSD'!$L$74</f>
        <v>0</v>
      </c>
      <c r="M41" s="31">
        <f>'TR TUSD'!$M$41*'TR TUSD'!$M$74</f>
        <v>0.84102291402765827</v>
      </c>
      <c r="N41" s="31">
        <f ca="1">'TR TUSD'!$N$41*'TR TUSD'!$N$74</f>
        <v>3.4763532661191912</v>
      </c>
      <c r="O41" s="31">
        <f>'TR TUSD'!$O$41*'TR TUSD'!$O$74</f>
        <v>1.9190865198739564E-2</v>
      </c>
      <c r="P41" s="31">
        <f>'TR TUSD'!$P$41*'TR TUSD'!$P$74</f>
        <v>0</v>
      </c>
      <c r="Q41" s="31">
        <f>'TR TUSD'!$Q$41*'TR TUSD'!$Q$74</f>
        <v>0</v>
      </c>
      <c r="R41" s="31">
        <f>'TR TUSD'!$R$41*'TR TUSD'!$R$74</f>
        <v>0</v>
      </c>
      <c r="S41" s="31">
        <f>'TR TUSD'!$S$41*'TR TUSD'!$S$74</f>
        <v>0</v>
      </c>
      <c r="T41" s="31">
        <f ca="1">SUM($L$41:$S$41)</f>
        <v>4.3365670453455891</v>
      </c>
      <c r="U41" s="31">
        <f>'TR TUSD'!$U$41*'TR TUSD'!$U$74</f>
        <v>32.742732247838184</v>
      </c>
      <c r="V41" s="31">
        <f>'TR TUSD'!$V$41*'TR TUSD'!$V$74</f>
        <v>10.156847780225075</v>
      </c>
      <c r="W41" s="31">
        <f>'TR TUSD'!$W$41*'TR TUSD'!$W$74</f>
        <v>1.6339312761463833</v>
      </c>
      <c r="X41" s="31">
        <f>'TR TUSD'!$X$41*'TR TUSD'!$X$74</f>
        <v>9.5040883543345417E-2</v>
      </c>
      <c r="Y41" s="31">
        <f>'TR TUSD'!$Y$41*'TR TUSD'!$Y$74</f>
        <v>2.0935916792114702</v>
      </c>
      <c r="Z41" s="31">
        <f>'TR TUSD'!$Z$41</f>
        <v>0</v>
      </c>
      <c r="AA41" s="31">
        <f>'TR TUSD'!$AA$41</f>
        <v>0</v>
      </c>
      <c r="AB41" s="31">
        <f>SUM($U$41:$AA$41)</f>
        <v>46.722143866964458</v>
      </c>
      <c r="AC41" s="31">
        <f>'TR TUSD'!$AC$41*'TR TUSD'!$AC$74</f>
        <v>227.24576418230552</v>
      </c>
      <c r="AD41" s="31">
        <f>SUM($AC$41:$AC$41)</f>
        <v>227.24576418230552</v>
      </c>
      <c r="AE41" s="31">
        <v>0</v>
      </c>
      <c r="AF41" s="31">
        <v>0</v>
      </c>
      <c r="AG41" s="31">
        <f>SUM($AE$41:$AF$41)</f>
        <v>0</v>
      </c>
      <c r="AH41" s="31">
        <f>'TR TUSD'!$AH$41*'TR TUSD'!$AH$74</f>
        <v>32.250377604372076</v>
      </c>
      <c r="AI41" s="31">
        <f>'TR TUSD'!$AI$41*'TR TUSD'!$AI$74</f>
        <v>0.97756078457782125</v>
      </c>
      <c r="AJ41" s="31">
        <f ca="1">'TR TUSD'!$AJ$41*'TR TUSD'!$AJ$74</f>
        <v>10.921635518803569</v>
      </c>
      <c r="AK41" s="31">
        <f ca="1">'TR TUSD'!$AK$41*'TR TUSD'!$AK$74</f>
        <v>0</v>
      </c>
      <c r="AL41" s="31">
        <f ca="1">SUM($AH$41:$AK$41)</f>
        <v>44.149573907753464</v>
      </c>
      <c r="AM41" s="31">
        <f ca="1">SUMIF($L$4:$AL$4,"SUBTOTAL",$L$41:$AL$41)</f>
        <v>322.454049002369</v>
      </c>
      <c r="AP41" s="31">
        <f>IF((1 - CUSTOS!$M$25)&lt;&gt;0,1/(1 - CUSTOS!$M$25),1)</f>
        <v>1</v>
      </c>
    </row>
    <row r="42" spans="1:42" ht="11.25" customHeight="1" x14ac:dyDescent="0.25">
      <c r="A42" s="97"/>
      <c r="B42" s="97"/>
      <c r="C42" s="97"/>
      <c r="D42" s="37" t="s">
        <v>31</v>
      </c>
      <c r="E42" s="37" t="s">
        <v>25</v>
      </c>
      <c r="F42" s="37" t="s">
        <v>25</v>
      </c>
      <c r="G42" s="38" t="s">
        <v>108</v>
      </c>
      <c r="H42" s="38" t="s">
        <v>102</v>
      </c>
      <c r="I42" s="38">
        <f>'MERCADO TUSD'!$U$39</f>
        <v>0</v>
      </c>
      <c r="J42" s="15"/>
      <c r="L42" s="31">
        <f>'TR TUSD'!$L$42*'TR TUSD'!$L$74</f>
        <v>0</v>
      </c>
      <c r="M42" s="31">
        <f>'TR TUSD'!$M$42*'TR TUSD'!$M$74</f>
        <v>0.84102291402765827</v>
      </c>
      <c r="N42" s="31">
        <f ca="1">'TR TUSD'!$N$42*'TR TUSD'!$N$74</f>
        <v>3.4763532661191912</v>
      </c>
      <c r="O42" s="31">
        <f>'TR TUSD'!$O$42*'TR TUSD'!$O$74</f>
        <v>1.9190865198739564E-2</v>
      </c>
      <c r="P42" s="31">
        <f>'TR TUSD'!$P$42*'TR TUSD'!$P$74</f>
        <v>0</v>
      </c>
      <c r="Q42" s="31">
        <f>'TR TUSD'!$Q$42*'TR TUSD'!$Q$74</f>
        <v>0</v>
      </c>
      <c r="R42" s="31">
        <f>'TR TUSD'!$R$42*'TR TUSD'!$R$74</f>
        <v>0</v>
      </c>
      <c r="S42" s="31">
        <f>'TR TUSD'!$S$42*'TR TUSD'!$S$74</f>
        <v>0</v>
      </c>
      <c r="T42" s="31">
        <f ca="1">SUM($L$42:$S$42)</f>
        <v>4.3365670453455891</v>
      </c>
      <c r="U42" s="31">
        <f>'TR TUSD'!$U$42*'TR TUSD'!$U$74</f>
        <v>32.742732247838184</v>
      </c>
      <c r="V42" s="31">
        <f>'TR TUSD'!$V$42*'TR TUSD'!$V$74</f>
        <v>10.156847780225075</v>
      </c>
      <c r="W42" s="31">
        <f>'TR TUSD'!$W$42*'TR TUSD'!$W$74</f>
        <v>1.6339312761463833</v>
      </c>
      <c r="X42" s="31">
        <f>'TR TUSD'!$X$42*'TR TUSD'!$X$74</f>
        <v>9.5040883543345417E-2</v>
      </c>
      <c r="Y42" s="31">
        <f>'TR TUSD'!$Y$42*'TR TUSD'!$Y$74</f>
        <v>2.0935916792114702</v>
      </c>
      <c r="Z42" s="31">
        <f>'TR TUSD'!$Z$42</f>
        <v>0</v>
      </c>
      <c r="AA42" s="31">
        <f>'TR TUSD'!$AA$42</f>
        <v>0</v>
      </c>
      <c r="AB42" s="31">
        <f>SUM($U$42:$AA$42)</f>
        <v>46.722143866964458</v>
      </c>
      <c r="AC42" s="31">
        <f>'TR TUSD'!$AC$42*'TR TUSD'!$AC$74</f>
        <v>227.24576418230552</v>
      </c>
      <c r="AD42" s="31">
        <f>SUM($AC$42:$AC$42)</f>
        <v>227.24576418230552</v>
      </c>
      <c r="AE42" s="31">
        <v>0</v>
      </c>
      <c r="AF42" s="31">
        <v>0</v>
      </c>
      <c r="AG42" s="31">
        <f>SUM($AE$42:$AF$42)</f>
        <v>0</v>
      </c>
      <c r="AH42" s="31">
        <f>'TR TUSD'!$AH$42*'TR TUSD'!$AH$74</f>
        <v>32.250377604372076</v>
      </c>
      <c r="AI42" s="31">
        <f>'TR TUSD'!$AI$42*'TR TUSD'!$AI$74</f>
        <v>0.97756078457782125</v>
      </c>
      <c r="AJ42" s="31">
        <f ca="1">'TR TUSD'!$AJ$42*'TR TUSD'!$AJ$74</f>
        <v>10.921635518803569</v>
      </c>
      <c r="AK42" s="31">
        <f ca="1">'TR TUSD'!$AK$42*'TR TUSD'!$AK$74</f>
        <v>0</v>
      </c>
      <c r="AL42" s="31">
        <f ca="1">SUM($AH$42:$AK$42)</f>
        <v>44.149573907753464</v>
      </c>
      <c r="AM42" s="31">
        <f ca="1">SUMIF($L$4:$AL$4,"SUBTOTAL",$L$42:$AL$42)</f>
        <v>322.454049002369</v>
      </c>
      <c r="AP42" s="31">
        <f>IF((1 - CUSTOS!$M$26)&lt;&gt;0,1/(1 - CUSTOS!$M$26),1)</f>
        <v>1</v>
      </c>
    </row>
    <row r="43" spans="1:42" ht="11.25" customHeight="1" x14ac:dyDescent="0.25">
      <c r="A43" s="97"/>
      <c r="B43" s="97"/>
      <c r="C43" s="97"/>
      <c r="D43" s="37" t="s">
        <v>32</v>
      </c>
      <c r="E43" s="37" t="s">
        <v>25</v>
      </c>
      <c r="F43" s="37" t="s">
        <v>25</v>
      </c>
      <c r="G43" s="38" t="s">
        <v>108</v>
      </c>
      <c r="H43" s="38" t="s">
        <v>102</v>
      </c>
      <c r="I43" s="38">
        <f>'MERCADO TUSD'!$U$40</f>
        <v>0</v>
      </c>
      <c r="J43" s="15"/>
      <c r="L43" s="31">
        <f>'TR TUSD'!$L$43*'TR TUSD'!$L$74</f>
        <v>0</v>
      </c>
      <c r="M43" s="31">
        <f>'TR TUSD'!$M$43*'TR TUSD'!$M$74</f>
        <v>0.84102291402765827</v>
      </c>
      <c r="N43" s="31">
        <f ca="1">'TR TUSD'!$N$43*'TR TUSD'!$N$74</f>
        <v>3.4763532661191912</v>
      </c>
      <c r="O43" s="31">
        <f>'TR TUSD'!$O$43*'TR TUSD'!$O$74</f>
        <v>1.9190865198739564E-2</v>
      </c>
      <c r="P43" s="31">
        <f>'TR TUSD'!$P$43*'TR TUSD'!$P$74</f>
        <v>0</v>
      </c>
      <c r="Q43" s="31">
        <f>'TR TUSD'!$Q$43*'TR TUSD'!$Q$74</f>
        <v>0</v>
      </c>
      <c r="R43" s="31">
        <f>'TR TUSD'!$R$43*'TR TUSD'!$R$74</f>
        <v>0</v>
      </c>
      <c r="S43" s="31">
        <f>'TR TUSD'!$S$43*'TR TUSD'!$S$74</f>
        <v>0</v>
      </c>
      <c r="T43" s="31">
        <f ca="1">SUM($L$43:$S$43)</f>
        <v>4.3365670453455891</v>
      </c>
      <c r="U43" s="31">
        <f>'TR TUSD'!$U$43*'TR TUSD'!$U$74</f>
        <v>32.742732247838184</v>
      </c>
      <c r="V43" s="31">
        <f>'TR TUSD'!$V$43*'TR TUSD'!$V$74</f>
        <v>10.156847780225075</v>
      </c>
      <c r="W43" s="31">
        <f>'TR TUSD'!$W$43*'TR TUSD'!$W$74</f>
        <v>1.6339312761463833</v>
      </c>
      <c r="X43" s="31">
        <f>'TR TUSD'!$X$43*'TR TUSD'!$X$74</f>
        <v>9.5040883543345417E-2</v>
      </c>
      <c r="Y43" s="31">
        <f>'TR TUSD'!$Y$43*'TR TUSD'!$Y$74</f>
        <v>2.0935916792114702</v>
      </c>
      <c r="Z43" s="31">
        <f>'TR TUSD'!$Z$43</f>
        <v>0</v>
      </c>
      <c r="AA43" s="31">
        <f>'TR TUSD'!$AA$43</f>
        <v>0</v>
      </c>
      <c r="AB43" s="31">
        <f>SUM($U$43:$AA$43)</f>
        <v>46.722143866964458</v>
      </c>
      <c r="AC43" s="31">
        <f>'TR TUSD'!$AC$43*'TR TUSD'!$AC$74</f>
        <v>227.24576418230552</v>
      </c>
      <c r="AD43" s="31">
        <f>SUM($AC$43:$AC$43)</f>
        <v>227.24576418230552</v>
      </c>
      <c r="AE43" s="31">
        <v>0</v>
      </c>
      <c r="AF43" s="31">
        <v>0</v>
      </c>
      <c r="AG43" s="31">
        <f>SUM($AE$43:$AF$43)</f>
        <v>0</v>
      </c>
      <c r="AH43" s="31">
        <f>'TR TUSD'!$AH$43*'TR TUSD'!$AH$74</f>
        <v>32.250377604372076</v>
      </c>
      <c r="AI43" s="31">
        <f>'TR TUSD'!$AI$43*'TR TUSD'!$AI$74</f>
        <v>0.97756078457782125</v>
      </c>
      <c r="AJ43" s="31">
        <f ca="1">'TR TUSD'!$AJ$43*'TR TUSD'!$AJ$74</f>
        <v>10.921635518803569</v>
      </c>
      <c r="AK43" s="31">
        <f ca="1">'TR TUSD'!$AK$43*'TR TUSD'!$AK$74</f>
        <v>0</v>
      </c>
      <c r="AL43" s="31">
        <f ca="1">SUM($AH$43:$AK$43)</f>
        <v>44.149573907753464</v>
      </c>
      <c r="AM43" s="31">
        <f ca="1">SUMIF($L$4:$AL$4,"SUBTOTAL",$L$43:$AL$43)</f>
        <v>322.454049002369</v>
      </c>
      <c r="AP43" s="31">
        <f>IF((1 - CUSTOS!$M$27)&lt;&gt;0,1/(1 - CUSTOS!$M$27),1)</f>
        <v>1</v>
      </c>
    </row>
    <row r="44" spans="1:42" ht="11.25" customHeight="1" x14ac:dyDescent="0.25">
      <c r="A44" s="97" t="s">
        <v>44</v>
      </c>
      <c r="B44" s="97" t="s">
        <v>33</v>
      </c>
      <c r="C44" s="97" t="s">
        <v>45</v>
      </c>
      <c r="D44" s="97" t="s">
        <v>25</v>
      </c>
      <c r="E44" s="97" t="s">
        <v>25</v>
      </c>
      <c r="F44" s="97" t="s">
        <v>25</v>
      </c>
      <c r="G44" s="38" t="s">
        <v>103</v>
      </c>
      <c r="H44" s="38" t="s">
        <v>102</v>
      </c>
      <c r="I44" s="38">
        <f>'MERCADO TUSD'!$U$41</f>
        <v>3.9449999999999994</v>
      </c>
      <c r="J44" s="15"/>
      <c r="L44" s="31">
        <f>'TR TUSD'!$L$44*'TR TUSD'!$L$74</f>
        <v>4.0263687592814295</v>
      </c>
      <c r="M44" s="31">
        <f>'TR TUSD'!$M$44*'TR TUSD'!$M$74</f>
        <v>0.84102291402765827</v>
      </c>
      <c r="N44" s="31">
        <f ca="1">'TR TUSD'!$N$44*'TR TUSD'!$N$74</f>
        <v>9.5718575990270995</v>
      </c>
      <c r="O44" s="31">
        <f>'TR TUSD'!$O$44*'TR TUSD'!$O$74</f>
        <v>1.9190865198739564E-2</v>
      </c>
      <c r="P44" s="31">
        <f>'TR TUSD'!$P$44*'TR TUSD'!$P$74</f>
        <v>0</v>
      </c>
      <c r="Q44" s="31">
        <f>'TR TUSD'!$Q$44*'TR TUSD'!$Q$74</f>
        <v>38.182431744895922</v>
      </c>
      <c r="R44" s="31">
        <f>'TR TUSD'!$R$44*'TR TUSD'!$R$74</f>
        <v>14.414104263105399</v>
      </c>
      <c r="S44" s="31">
        <f>'TR TUSD'!$S$44*'TR TUSD'!$S$74</f>
        <v>0</v>
      </c>
      <c r="T44" s="31">
        <f ca="1">SUM($L$44:$S$44)</f>
        <v>67.054976145536244</v>
      </c>
      <c r="U44" s="31">
        <f>'TR TUSD'!$U$44*'TR TUSD'!$U$74</f>
        <v>109.68791234475601</v>
      </c>
      <c r="V44" s="31">
        <f>'TR TUSD'!$V$44*'TR TUSD'!$V$74</f>
        <v>34.025465638734559</v>
      </c>
      <c r="W44" s="31">
        <f>'TR TUSD'!$W$44*'TR TUSD'!$W$74</f>
        <v>5.4736298766971494</v>
      </c>
      <c r="X44" s="31">
        <f>'TR TUSD'!$X$44*'TR TUSD'!$X$74</f>
        <v>0.31837691326518142</v>
      </c>
      <c r="Y44" s="31">
        <f>'TR TUSD'!$Y$44*'TR TUSD'!$Y$74</f>
        <v>7.0135069801304741</v>
      </c>
      <c r="Z44" s="31">
        <f>'TR TUSD'!$Z$44</f>
        <v>0</v>
      </c>
      <c r="AA44" s="31">
        <f>'TR TUSD'!$AA$44</f>
        <v>0</v>
      </c>
      <c r="AB44" s="31">
        <f>SUM($U$44:$AA$44)</f>
        <v>156.51889175358338</v>
      </c>
      <c r="AC44" s="31">
        <f>'TR TUSD'!$AC$44*'TR TUSD'!$AC$74</f>
        <v>761.27320319466651</v>
      </c>
      <c r="AD44" s="31">
        <f>SUM($AC$44:$AC$44)</f>
        <v>761.27320319466651</v>
      </c>
      <c r="AE44" s="31">
        <v>0</v>
      </c>
      <c r="AF44" s="31">
        <v>0</v>
      </c>
      <c r="AG44" s="31">
        <f>SUM($AE$44:$AF$44)</f>
        <v>0</v>
      </c>
      <c r="AH44" s="31">
        <f>'TR TUSD'!$AH$44*'TR TUSD'!$AH$74</f>
        <v>32.250377604372076</v>
      </c>
      <c r="AI44" s="31">
        <f>'TR TUSD'!$AI$44*'TR TUSD'!$AI$74</f>
        <v>0.97756078457782125</v>
      </c>
      <c r="AJ44" s="31">
        <f ca="1">'TR TUSD'!$AJ$44*'TR TUSD'!$AJ$74</f>
        <v>10.921635518803569</v>
      </c>
      <c r="AK44" s="31">
        <f ca="1">'TR TUSD'!$AK$44*'TR TUSD'!$AK$74</f>
        <v>0</v>
      </c>
      <c r="AL44" s="31">
        <f ca="1">SUM($AH$44:$AK$44)</f>
        <v>44.149573907753464</v>
      </c>
      <c r="AM44" s="31">
        <f ca="1">SUMIF($L$4:$AL$4,"SUBTOTAL",$L$44:$AL$44)</f>
        <v>1028.9966450015395</v>
      </c>
      <c r="AP44" s="31">
        <f>IF((1 - CUSTOS!$M$28)&lt;&gt;0,1/(1 - CUSTOS!$M$28),1)</f>
        <v>1</v>
      </c>
    </row>
    <row r="45" spans="1:42" ht="11.25" customHeight="1" x14ac:dyDescent="0.25">
      <c r="A45" s="97"/>
      <c r="B45" s="97"/>
      <c r="C45" s="97"/>
      <c r="D45" s="97"/>
      <c r="E45" s="97"/>
      <c r="F45" s="97"/>
      <c r="G45" s="38" t="s">
        <v>113</v>
      </c>
      <c r="H45" s="38" t="s">
        <v>102</v>
      </c>
      <c r="I45" s="38">
        <f>'MERCADO TUSD'!$U$42</f>
        <v>4.2359999999999989</v>
      </c>
      <c r="J45" s="15"/>
      <c r="L45" s="31">
        <f>'TR TUSD'!$L$45*'TR TUSD'!$L$74</f>
        <v>4.0263687592814295</v>
      </c>
      <c r="M45" s="31">
        <f>'TR TUSD'!$M$45*'TR TUSD'!$M$74</f>
        <v>0.84102291402765827</v>
      </c>
      <c r="N45" s="31">
        <f ca="1">'TR TUSD'!$N$45*'TR TUSD'!$N$74</f>
        <v>6.1022399763343413</v>
      </c>
      <c r="O45" s="31">
        <f>'TR TUSD'!$O$45*'TR TUSD'!$O$74</f>
        <v>1.9190865198739564E-2</v>
      </c>
      <c r="P45" s="31">
        <f>'TR TUSD'!$P$45*'TR TUSD'!$P$74</f>
        <v>0</v>
      </c>
      <c r="Q45" s="31">
        <f>'TR TUSD'!$Q$45*'TR TUSD'!$Q$74</f>
        <v>38.182431744895922</v>
      </c>
      <c r="R45" s="31">
        <f>'TR TUSD'!$R$45*'TR TUSD'!$R$74</f>
        <v>14.414104263105399</v>
      </c>
      <c r="S45" s="31">
        <f>'TR TUSD'!$S$45*'TR TUSD'!$S$74</f>
        <v>0</v>
      </c>
      <c r="T45" s="31">
        <f ca="1">SUM($L$45:$S$45)</f>
        <v>63.585358522843492</v>
      </c>
      <c r="U45" s="31">
        <f>'TR TUSD'!$U$45*'TR TUSD'!$U$74</f>
        <v>65.812796778238621</v>
      </c>
      <c r="V45" s="31">
        <f>'TR TUSD'!$V$45*'TR TUSD'!$V$74</f>
        <v>20.415356108182422</v>
      </c>
      <c r="W45" s="31">
        <f>'TR TUSD'!$W$45*'TR TUSD'!$W$74</f>
        <v>3.2841902024469771</v>
      </c>
      <c r="X45" s="31">
        <f>'TR TUSD'!$X$45*'TR TUSD'!$X$74</f>
        <v>0.1910864275892632</v>
      </c>
      <c r="Y45" s="31">
        <f>'TR TUSD'!$Y$45*'TR TUSD'!$Y$74</f>
        <v>4.2081041880782841</v>
      </c>
      <c r="Z45" s="31">
        <f>'TR TUSD'!$Z$45</f>
        <v>0</v>
      </c>
      <c r="AA45" s="31">
        <f>'TR TUSD'!$AA$45</f>
        <v>0</v>
      </c>
      <c r="AB45" s="31">
        <f>SUM($U$45:$AA$45)</f>
        <v>93.911533704535572</v>
      </c>
      <c r="AC45" s="31">
        <f>'TR TUSD'!$AC$45*'TR TUSD'!$AC$74</f>
        <v>456.76389942920895</v>
      </c>
      <c r="AD45" s="31">
        <f>SUM($AC$45:$AC$45)</f>
        <v>456.76389942920895</v>
      </c>
      <c r="AE45" s="31">
        <v>0</v>
      </c>
      <c r="AF45" s="31">
        <v>0</v>
      </c>
      <c r="AG45" s="31">
        <f>SUM($AE$45:$AF$45)</f>
        <v>0</v>
      </c>
      <c r="AH45" s="31">
        <f>'TR TUSD'!$AH$45*'TR TUSD'!$AH$74</f>
        <v>32.250377604372076</v>
      </c>
      <c r="AI45" s="31">
        <f>'TR TUSD'!$AI$45*'TR TUSD'!$AI$74</f>
        <v>0.97756078457782125</v>
      </c>
      <c r="AJ45" s="31">
        <f ca="1">'TR TUSD'!$AJ$45*'TR TUSD'!$AJ$74</f>
        <v>10.921635518803569</v>
      </c>
      <c r="AK45" s="31">
        <f ca="1">'TR TUSD'!$AK$45*'TR TUSD'!$AK$74</f>
        <v>0</v>
      </c>
      <c r="AL45" s="31">
        <f ca="1">SUM($AH$45:$AK$45)</f>
        <v>44.149573907753464</v>
      </c>
      <c r="AM45" s="31">
        <f ca="1">SUMIF($L$4:$AL$4,"SUBTOTAL",$L$45:$AL$45)</f>
        <v>658.41036556434153</v>
      </c>
      <c r="AP45" s="31">
        <f>IF((1 - CUSTOS!$M$28)&lt;&gt;0,1/(1 - CUSTOS!$M$28),1)</f>
        <v>1</v>
      </c>
    </row>
    <row r="46" spans="1:42" ht="11.25" customHeight="1" x14ac:dyDescent="0.25">
      <c r="A46" s="97"/>
      <c r="B46" s="97"/>
      <c r="C46" s="97"/>
      <c r="D46" s="97"/>
      <c r="E46" s="97"/>
      <c r="F46" s="97"/>
      <c r="G46" s="38" t="s">
        <v>104</v>
      </c>
      <c r="H46" s="38" t="s">
        <v>102</v>
      </c>
      <c r="I46" s="38">
        <f>'MERCADO TUSD'!$U$43</f>
        <v>105.83499999999999</v>
      </c>
      <c r="J46" s="15"/>
      <c r="L46" s="31">
        <f>'TR TUSD'!$L$46*'TR TUSD'!$L$74</f>
        <v>4.0263687592814295</v>
      </c>
      <c r="M46" s="31">
        <f>'TR TUSD'!$M$46*'TR TUSD'!$M$74</f>
        <v>0.84102291402765827</v>
      </c>
      <c r="N46" s="31">
        <f ca="1">'TR TUSD'!$N$46*'TR TUSD'!$N$74</f>
        <v>2.6326191360414213</v>
      </c>
      <c r="O46" s="31">
        <f>'TR TUSD'!$O$46*'TR TUSD'!$O$74</f>
        <v>1.9190865198739564E-2</v>
      </c>
      <c r="P46" s="31">
        <f>'TR TUSD'!$P$46*'TR TUSD'!$P$74</f>
        <v>0</v>
      </c>
      <c r="Q46" s="31">
        <f>'TR TUSD'!$Q$46*'TR TUSD'!$Q$74</f>
        <v>38.182431744895922</v>
      </c>
      <c r="R46" s="31">
        <f>'TR TUSD'!$R$46*'TR TUSD'!$R$74</f>
        <v>14.414104263105399</v>
      </c>
      <c r="S46" s="31">
        <f>'TR TUSD'!$S$46*'TR TUSD'!$S$74</f>
        <v>0</v>
      </c>
      <c r="T46" s="31">
        <f ca="1">SUM($L$46:$S$46)</f>
        <v>60.115737682550574</v>
      </c>
      <c r="U46" s="31">
        <f>'TR TUSD'!$U$46*'TR TUSD'!$U$74</f>
        <v>21.937557783258701</v>
      </c>
      <c r="V46" s="31">
        <f>'TR TUSD'!$V$46*'TR TUSD'!$V$74</f>
        <v>6.8051187027274738</v>
      </c>
      <c r="W46" s="31">
        <f>'TR TUSD'!$W$46*'TR TUSD'!$W$74</f>
        <v>1.0947505281968046</v>
      </c>
      <c r="X46" s="31">
        <f>'TR TUSD'!$X$46*'TR TUSD'!$X$74</f>
        <v>6.3695475863087728E-2</v>
      </c>
      <c r="Y46" s="31">
        <f>'TR TUSD'!$Y$46*'TR TUSD'!$Y$74</f>
        <v>1.4027013960260948</v>
      </c>
      <c r="Z46" s="31">
        <f>'TR TUSD'!$Z$46</f>
        <v>0</v>
      </c>
      <c r="AA46" s="31">
        <f>'TR TUSD'!$AA$46</f>
        <v>0</v>
      </c>
      <c r="AB46" s="31">
        <f>SUM($U$46:$AA$46)</f>
        <v>31.303823886072163</v>
      </c>
      <c r="AC46" s="31">
        <f>'TR TUSD'!$AC$46*'TR TUSD'!$AC$74</f>
        <v>152.25459566375142</v>
      </c>
      <c r="AD46" s="31">
        <f>SUM($AC$46:$AC$46)</f>
        <v>152.25459566375142</v>
      </c>
      <c r="AE46" s="31">
        <v>0</v>
      </c>
      <c r="AF46" s="31">
        <v>0</v>
      </c>
      <c r="AG46" s="31">
        <f>SUM($AE$46:$AF$46)</f>
        <v>0</v>
      </c>
      <c r="AH46" s="31">
        <f>'TR TUSD'!$AH$46*'TR TUSD'!$AH$74</f>
        <v>32.250377604372076</v>
      </c>
      <c r="AI46" s="31">
        <f>'TR TUSD'!$AI$46*'TR TUSD'!$AI$74</f>
        <v>0.97756078457782125</v>
      </c>
      <c r="AJ46" s="31">
        <f ca="1">'TR TUSD'!$AJ$46*'TR TUSD'!$AJ$74</f>
        <v>10.921635518803569</v>
      </c>
      <c r="AK46" s="31">
        <f ca="1">'TR TUSD'!$AK$46*'TR TUSD'!$AK$74</f>
        <v>0</v>
      </c>
      <c r="AL46" s="31">
        <f ca="1">SUM($AH$46:$AK$46)</f>
        <v>44.149573907753464</v>
      </c>
      <c r="AM46" s="31">
        <f ca="1">SUMIF($L$4:$AL$4,"SUBTOTAL",$L$46:$AL$46)</f>
        <v>287.82373114012762</v>
      </c>
      <c r="AP46" s="31">
        <f>IF((1 - CUSTOS!$M$28)&lt;&gt;0,1/(1 - CUSTOS!$M$28),1)</f>
        <v>1</v>
      </c>
    </row>
    <row r="47" spans="1:42" ht="11.25" customHeight="1" x14ac:dyDescent="0.25">
      <c r="A47" s="97"/>
      <c r="B47" s="37" t="s">
        <v>23</v>
      </c>
      <c r="C47" s="37" t="s">
        <v>45</v>
      </c>
      <c r="D47" s="37" t="s">
        <v>25</v>
      </c>
      <c r="E47" s="37" t="s">
        <v>25</v>
      </c>
      <c r="F47" s="37" t="s">
        <v>25</v>
      </c>
      <c r="G47" s="38" t="s">
        <v>108</v>
      </c>
      <c r="H47" s="38" t="s">
        <v>102</v>
      </c>
      <c r="I47" s="38">
        <f>'MERCADO TUSD'!$U$44</f>
        <v>251732.52099999998</v>
      </c>
      <c r="J47" s="15"/>
      <c r="L47" s="31">
        <f>'TR TUSD'!$L$47*'TR TUSD'!$L$74</f>
        <v>4.0263687592814295</v>
      </c>
      <c r="M47" s="31">
        <f>'TR TUSD'!$M$47*'TR TUSD'!$M$74</f>
        <v>0.84102291402765827</v>
      </c>
      <c r="N47" s="31">
        <f ca="1">'TR TUSD'!$N$47*'TR TUSD'!$N$74</f>
        <v>3.4870785999941858</v>
      </c>
      <c r="O47" s="31">
        <f>'TR TUSD'!$O$47*'TR TUSD'!$O$74</f>
        <v>1.9190865198739564E-2</v>
      </c>
      <c r="P47" s="31">
        <f>'TR TUSD'!$P$47*'TR TUSD'!$P$74</f>
        <v>0</v>
      </c>
      <c r="Q47" s="31">
        <f>'TR TUSD'!$Q$47*'TR TUSD'!$Q$74</f>
        <v>38.182431744895922</v>
      </c>
      <c r="R47" s="31">
        <f>'TR TUSD'!$R$47*'TR TUSD'!$R$74</f>
        <v>14.414104263105399</v>
      </c>
      <c r="S47" s="31">
        <f>'TR TUSD'!$S$47*'TR TUSD'!$S$74</f>
        <v>0</v>
      </c>
      <c r="T47" s="31">
        <f ca="1">SUM($L$47:$S$47)</f>
        <v>60.970197146503338</v>
      </c>
      <c r="U47" s="31">
        <f>'TR TUSD'!$U$47*'TR TUSD'!$U$74</f>
        <v>32.742732247838184</v>
      </c>
      <c r="V47" s="31">
        <f>'TR TUSD'!$V$47*'TR TUSD'!$V$74</f>
        <v>10.156847780225075</v>
      </c>
      <c r="W47" s="31">
        <f>'TR TUSD'!$W$47*'TR TUSD'!$W$74</f>
        <v>1.6339312761463833</v>
      </c>
      <c r="X47" s="31">
        <f>'TR TUSD'!$X$47*'TR TUSD'!$X$74</f>
        <v>9.5040883543345417E-2</v>
      </c>
      <c r="Y47" s="31">
        <f>'TR TUSD'!$Y$47*'TR TUSD'!$Y$74</f>
        <v>2.0935916792114702</v>
      </c>
      <c r="Z47" s="31">
        <f>'TR TUSD'!$Z$47</f>
        <v>0</v>
      </c>
      <c r="AA47" s="31">
        <f>'TR TUSD'!$AA$47</f>
        <v>0</v>
      </c>
      <c r="AB47" s="31">
        <f>SUM($U$47:$AA$47)</f>
        <v>46.722143866964458</v>
      </c>
      <c r="AC47" s="31">
        <f>'TR TUSD'!$AC$47*'TR TUSD'!$AC$74</f>
        <v>227.24576418230552</v>
      </c>
      <c r="AD47" s="31">
        <f>SUM($AC$47:$AC$47)</f>
        <v>227.24576418230552</v>
      </c>
      <c r="AE47" s="31">
        <v>0</v>
      </c>
      <c r="AF47" s="31">
        <v>0</v>
      </c>
      <c r="AG47" s="31">
        <f>SUM($AE$47:$AF$47)</f>
        <v>0</v>
      </c>
      <c r="AH47" s="31">
        <f>'TR TUSD'!$AH$47*'TR TUSD'!$AH$74</f>
        <v>32.250377604372076</v>
      </c>
      <c r="AI47" s="31">
        <f>'TR TUSD'!$AI$47*'TR TUSD'!$AI$74</f>
        <v>0.97756078457782125</v>
      </c>
      <c r="AJ47" s="31">
        <f ca="1">'TR TUSD'!$AJ$47*'TR TUSD'!$AJ$74</f>
        <v>10.921635518803569</v>
      </c>
      <c r="AK47" s="31">
        <f ca="1">'TR TUSD'!$AK$47*'TR TUSD'!$AK$74</f>
        <v>0</v>
      </c>
      <c r="AL47" s="31">
        <f ca="1">SUM($AH$47:$AK$47)</f>
        <v>44.149573907753464</v>
      </c>
      <c r="AM47" s="31">
        <f ca="1">SUMIF($L$4:$AL$4,"SUBTOTAL",$L$47:$AL$47)</f>
        <v>379.0876791035268</v>
      </c>
      <c r="AP47" s="31">
        <f>IF((1 - CUSTOS!$M$28)&lt;&gt;0,1/(1 - CUSTOS!$M$28),1)</f>
        <v>1</v>
      </c>
    </row>
    <row r="48" spans="1:42" ht="11.25" customHeight="1" x14ac:dyDescent="0.25">
      <c r="A48" s="97"/>
      <c r="B48" s="97" t="s">
        <v>33</v>
      </c>
      <c r="C48" s="97" t="s">
        <v>45</v>
      </c>
      <c r="D48" s="97" t="s">
        <v>116</v>
      </c>
      <c r="E48" s="97" t="s">
        <v>25</v>
      </c>
      <c r="F48" s="97" t="s">
        <v>25</v>
      </c>
      <c r="G48" s="38" t="s">
        <v>103</v>
      </c>
      <c r="H48" s="38" t="s">
        <v>102</v>
      </c>
      <c r="I48" s="38">
        <f>'MERCADO TUSD'!$U$45</f>
        <v>0</v>
      </c>
      <c r="J48" s="15"/>
      <c r="L48" s="31">
        <f>'TR TUSD'!$L$48*'TR TUSD'!$L$74</f>
        <v>4.0263687592814295</v>
      </c>
      <c r="M48" s="31">
        <f>'TR TUSD'!$M$48*'TR TUSD'!$M$74</f>
        <v>0.84102291402765827</v>
      </c>
      <c r="N48" s="31">
        <f ca="1">'TR TUSD'!$N$48*'TR TUSD'!$N$74</f>
        <v>9.5718575990270995</v>
      </c>
      <c r="O48" s="31">
        <f>'TR TUSD'!$O$48*'TR TUSD'!$O$74</f>
        <v>1.9190865198739564E-2</v>
      </c>
      <c r="P48" s="31">
        <f>'TR TUSD'!$P$48*'TR TUSD'!$P$74</f>
        <v>0</v>
      </c>
      <c r="Q48" s="31">
        <f>'TR TUSD'!$Q$48*'TR TUSD'!$Q$74</f>
        <v>38.182431744895922</v>
      </c>
      <c r="R48" s="31">
        <f>'TR TUSD'!$R$48*'TR TUSD'!$R$74</f>
        <v>14.414104263105399</v>
      </c>
      <c r="S48" s="31">
        <f>'TR TUSD'!$S$48*'TR TUSD'!$S$74</f>
        <v>0</v>
      </c>
      <c r="T48" s="31">
        <f ca="1">SUM($L$48:$S$48)</f>
        <v>67.054976145536244</v>
      </c>
      <c r="U48" s="31">
        <f>'TR TUSD'!$U$48*'TR TUSD'!$U$74</f>
        <v>109.68791234475601</v>
      </c>
      <c r="V48" s="31">
        <f>'TR TUSD'!$V$48*'TR TUSD'!$V$74</f>
        <v>34.025465638734559</v>
      </c>
      <c r="W48" s="31">
        <f>'TR TUSD'!$W$48*'TR TUSD'!$W$74</f>
        <v>5.4736298766971494</v>
      </c>
      <c r="X48" s="31">
        <f>'TR TUSD'!$X$48*'TR TUSD'!$X$74</f>
        <v>0.31837691326518142</v>
      </c>
      <c r="Y48" s="31">
        <f>'TR TUSD'!$Y$48*'TR TUSD'!$Y$74</f>
        <v>7.0135069801304741</v>
      </c>
      <c r="Z48" s="31">
        <f>'TR TUSD'!$Z$48</f>
        <v>0</v>
      </c>
      <c r="AA48" s="31">
        <f>'TR TUSD'!$AA$48</f>
        <v>0</v>
      </c>
      <c r="AB48" s="31">
        <f>SUM($U$48:$AA$48)</f>
        <v>156.51889175358338</v>
      </c>
      <c r="AC48" s="31">
        <f>'TR TUSD'!$AC$48*'TR TUSD'!$AC$74</f>
        <v>761.27320319466651</v>
      </c>
      <c r="AD48" s="31">
        <f>SUM($AC$48:$AC$48)</f>
        <v>761.27320319466651</v>
      </c>
      <c r="AE48" s="31">
        <v>0</v>
      </c>
      <c r="AF48" s="31">
        <v>0</v>
      </c>
      <c r="AG48" s="31">
        <f>SUM($AE$48:$AF$48)</f>
        <v>0</v>
      </c>
      <c r="AH48" s="31">
        <f>'TR TUSD'!$AH$48*'TR TUSD'!$AH$74</f>
        <v>32.250377604372076</v>
      </c>
      <c r="AI48" s="31">
        <f>'TR TUSD'!$AI$48*'TR TUSD'!$AI$74</f>
        <v>0.97756078457782125</v>
      </c>
      <c r="AJ48" s="31">
        <f ca="1">'TR TUSD'!$AJ$48*'TR TUSD'!$AJ$74</f>
        <v>10.921635518803569</v>
      </c>
      <c r="AK48" s="31">
        <f ca="1">'TR TUSD'!$AK$48*'TR TUSD'!$AK$74</f>
        <v>0</v>
      </c>
      <c r="AL48" s="31">
        <f ca="1">SUM($AH$48:$AK$48)</f>
        <v>44.149573907753464</v>
      </c>
      <c r="AM48" s="31">
        <f ca="1">SUMIF($L$4:$AL$4,"SUBTOTAL",$L$48:$AL$48)</f>
        <v>1028.9966450015395</v>
      </c>
      <c r="AP48" s="31">
        <f>IF((1 - CUSTOS!$M$29)&lt;&gt;0,1/(1 - CUSTOS!$M$29),1)</f>
        <v>1</v>
      </c>
    </row>
    <row r="49" spans="1:42" ht="11.25" customHeight="1" x14ac:dyDescent="0.25">
      <c r="A49" s="97"/>
      <c r="B49" s="97"/>
      <c r="C49" s="97"/>
      <c r="D49" s="97"/>
      <c r="E49" s="97"/>
      <c r="F49" s="97"/>
      <c r="G49" s="38" t="s">
        <v>113</v>
      </c>
      <c r="H49" s="38" t="s">
        <v>102</v>
      </c>
      <c r="I49" s="38">
        <f>'MERCADO TUSD'!$U$46</f>
        <v>0</v>
      </c>
      <c r="J49" s="15"/>
      <c r="L49" s="31">
        <f>'TR TUSD'!$L$49*'TR TUSD'!$L$74</f>
        <v>4.0263687592814295</v>
      </c>
      <c r="M49" s="31">
        <f>'TR TUSD'!$M$49*'TR TUSD'!$M$74</f>
        <v>0.84102291402765827</v>
      </c>
      <c r="N49" s="31">
        <f ca="1">'TR TUSD'!$N$49*'TR TUSD'!$N$74</f>
        <v>6.1022399763343413</v>
      </c>
      <c r="O49" s="31">
        <f>'TR TUSD'!$O$49*'TR TUSD'!$O$74</f>
        <v>1.9190865198739564E-2</v>
      </c>
      <c r="P49" s="31">
        <f>'TR TUSD'!$P$49*'TR TUSD'!$P$74</f>
        <v>0</v>
      </c>
      <c r="Q49" s="31">
        <f>'TR TUSD'!$Q$49*'TR TUSD'!$Q$74</f>
        <v>38.182431744895922</v>
      </c>
      <c r="R49" s="31">
        <f>'TR TUSD'!$R$49*'TR TUSD'!$R$74</f>
        <v>14.414104263105399</v>
      </c>
      <c r="S49" s="31">
        <f>'TR TUSD'!$S$49*'TR TUSD'!$S$74</f>
        <v>0</v>
      </c>
      <c r="T49" s="31">
        <f ca="1">SUM($L$49:$S$49)</f>
        <v>63.585358522843492</v>
      </c>
      <c r="U49" s="31">
        <f>'TR TUSD'!$U$49*'TR TUSD'!$U$74</f>
        <v>65.812796778238621</v>
      </c>
      <c r="V49" s="31">
        <f>'TR TUSD'!$V$49*'TR TUSD'!$V$74</f>
        <v>20.415356108182422</v>
      </c>
      <c r="W49" s="31">
        <f>'TR TUSD'!$W$49*'TR TUSD'!$W$74</f>
        <v>3.2841902024469771</v>
      </c>
      <c r="X49" s="31">
        <f>'TR TUSD'!$X$49*'TR TUSD'!$X$74</f>
        <v>0.1910864275892632</v>
      </c>
      <c r="Y49" s="31">
        <f>'TR TUSD'!$Y$49*'TR TUSD'!$Y$74</f>
        <v>4.2081041880782841</v>
      </c>
      <c r="Z49" s="31">
        <f>'TR TUSD'!$Z$49</f>
        <v>0</v>
      </c>
      <c r="AA49" s="31">
        <f>'TR TUSD'!$AA$49</f>
        <v>0</v>
      </c>
      <c r="AB49" s="31">
        <f>SUM($U$49:$AA$49)</f>
        <v>93.911533704535572</v>
      </c>
      <c r="AC49" s="31">
        <f>'TR TUSD'!$AC$49*'TR TUSD'!$AC$74</f>
        <v>456.76389942920895</v>
      </c>
      <c r="AD49" s="31">
        <f>SUM($AC$49:$AC$49)</f>
        <v>456.76389942920895</v>
      </c>
      <c r="AE49" s="31">
        <v>0</v>
      </c>
      <c r="AF49" s="31">
        <v>0</v>
      </c>
      <c r="AG49" s="31">
        <f>SUM($AE$49:$AF$49)</f>
        <v>0</v>
      </c>
      <c r="AH49" s="31">
        <f>'TR TUSD'!$AH$49*'TR TUSD'!$AH$74</f>
        <v>32.250377604372076</v>
      </c>
      <c r="AI49" s="31">
        <f>'TR TUSD'!$AI$49*'TR TUSD'!$AI$74</f>
        <v>0.97756078457782125</v>
      </c>
      <c r="AJ49" s="31">
        <f ca="1">'TR TUSD'!$AJ$49*'TR TUSD'!$AJ$74</f>
        <v>10.921635518803569</v>
      </c>
      <c r="AK49" s="31">
        <f ca="1">'TR TUSD'!$AK$49*'TR TUSD'!$AK$74</f>
        <v>0</v>
      </c>
      <c r="AL49" s="31">
        <f ca="1">SUM($AH$49:$AK$49)</f>
        <v>44.149573907753464</v>
      </c>
      <c r="AM49" s="31">
        <f ca="1">SUMIF($L$4:$AL$4,"SUBTOTAL",$L$49:$AL$49)</f>
        <v>658.41036556434153</v>
      </c>
      <c r="AP49" s="31">
        <f>IF((1 - CUSTOS!$M$29)&lt;&gt;0,1/(1 - CUSTOS!$M$29),1)</f>
        <v>1</v>
      </c>
    </row>
    <row r="50" spans="1:42" ht="11.25" customHeight="1" x14ac:dyDescent="0.25">
      <c r="A50" s="97"/>
      <c r="B50" s="97"/>
      <c r="C50" s="97"/>
      <c r="D50" s="97"/>
      <c r="E50" s="97"/>
      <c r="F50" s="97"/>
      <c r="G50" s="38" t="s">
        <v>104</v>
      </c>
      <c r="H50" s="38" t="s">
        <v>102</v>
      </c>
      <c r="I50" s="38">
        <f>'MERCADO TUSD'!$U$47</f>
        <v>0</v>
      </c>
      <c r="J50" s="15"/>
      <c r="L50" s="31">
        <f>'TR TUSD'!$L$50*'TR TUSD'!$L$74</f>
        <v>4.0263687592814295</v>
      </c>
      <c r="M50" s="31">
        <f>'TR TUSD'!$M$50*'TR TUSD'!$M$74</f>
        <v>0.84102291402765827</v>
      </c>
      <c r="N50" s="31">
        <f ca="1">'TR TUSD'!$N$50*'TR TUSD'!$N$74</f>
        <v>2.6326191360414213</v>
      </c>
      <c r="O50" s="31">
        <f>'TR TUSD'!$O$50*'TR TUSD'!$O$74</f>
        <v>1.9190865198739564E-2</v>
      </c>
      <c r="P50" s="31">
        <f>'TR TUSD'!$P$50*'TR TUSD'!$P$74</f>
        <v>0</v>
      </c>
      <c r="Q50" s="31">
        <f>'TR TUSD'!$Q$50*'TR TUSD'!$Q$74</f>
        <v>38.182431744895922</v>
      </c>
      <c r="R50" s="31">
        <f>'TR TUSD'!$R$50*'TR TUSD'!$R$74</f>
        <v>14.414104263105399</v>
      </c>
      <c r="S50" s="31">
        <f>'TR TUSD'!$S$50*'TR TUSD'!$S$74</f>
        <v>0</v>
      </c>
      <c r="T50" s="31">
        <f ca="1">SUM($L$50:$S$50)</f>
        <v>60.115737682550574</v>
      </c>
      <c r="U50" s="31">
        <f>'TR TUSD'!$U$50*'TR TUSD'!$U$74</f>
        <v>21.937557783258701</v>
      </c>
      <c r="V50" s="31">
        <f>'TR TUSD'!$V$50*'TR TUSD'!$V$74</f>
        <v>6.8051187027274738</v>
      </c>
      <c r="W50" s="31">
        <f>'TR TUSD'!$W$50*'TR TUSD'!$W$74</f>
        <v>1.0947505281968046</v>
      </c>
      <c r="X50" s="31">
        <f>'TR TUSD'!$X$50*'TR TUSD'!$X$74</f>
        <v>6.3695475863087728E-2</v>
      </c>
      <c r="Y50" s="31">
        <f>'TR TUSD'!$Y$50*'TR TUSD'!$Y$74</f>
        <v>1.4027013960260948</v>
      </c>
      <c r="Z50" s="31">
        <f>'TR TUSD'!$Z$50</f>
        <v>0</v>
      </c>
      <c r="AA50" s="31">
        <f>'TR TUSD'!$AA$50</f>
        <v>0</v>
      </c>
      <c r="AB50" s="31">
        <f>SUM($U$50:$AA$50)</f>
        <v>31.303823886072163</v>
      </c>
      <c r="AC50" s="31">
        <f>'TR TUSD'!$AC$50*'TR TUSD'!$AC$74</f>
        <v>152.25459566375142</v>
      </c>
      <c r="AD50" s="31">
        <f>SUM($AC$50:$AC$50)</f>
        <v>152.25459566375142</v>
      </c>
      <c r="AE50" s="31">
        <v>0</v>
      </c>
      <c r="AF50" s="31">
        <v>0</v>
      </c>
      <c r="AG50" s="31">
        <f>SUM($AE$50:$AF$50)</f>
        <v>0</v>
      </c>
      <c r="AH50" s="31">
        <f>'TR TUSD'!$AH$50*'TR TUSD'!$AH$74</f>
        <v>32.250377604372076</v>
      </c>
      <c r="AI50" s="31">
        <f>'TR TUSD'!$AI$50*'TR TUSD'!$AI$74</f>
        <v>0.97756078457782125</v>
      </c>
      <c r="AJ50" s="31">
        <f ca="1">'TR TUSD'!$AJ$50*'TR TUSD'!$AJ$74</f>
        <v>10.921635518803569</v>
      </c>
      <c r="AK50" s="31">
        <f ca="1">'TR TUSD'!$AK$50*'TR TUSD'!$AK$74</f>
        <v>0</v>
      </c>
      <c r="AL50" s="31">
        <f ca="1">SUM($AH$50:$AK$50)</f>
        <v>44.149573907753464</v>
      </c>
      <c r="AM50" s="31">
        <f ca="1">SUMIF($L$4:$AL$4,"SUBTOTAL",$L$50:$AL$50)</f>
        <v>287.82373114012762</v>
      </c>
      <c r="AP50" s="31">
        <f>IF((1 - CUSTOS!$M$29)&lt;&gt;0,1/(1 - CUSTOS!$M$29),1)</f>
        <v>1</v>
      </c>
    </row>
    <row r="51" spans="1:42" ht="11.25" customHeight="1" x14ac:dyDescent="0.25">
      <c r="A51" s="97"/>
      <c r="B51" s="37" t="s">
        <v>23</v>
      </c>
      <c r="C51" s="37" t="s">
        <v>45</v>
      </c>
      <c r="D51" s="37" t="s">
        <v>116</v>
      </c>
      <c r="E51" s="37" t="s">
        <v>25</v>
      </c>
      <c r="F51" s="37" t="s">
        <v>25</v>
      </c>
      <c r="G51" s="38" t="s">
        <v>108</v>
      </c>
      <c r="H51" s="38" t="s">
        <v>102</v>
      </c>
      <c r="I51" s="38">
        <f>'MERCADO TUSD'!$U$48</f>
        <v>0</v>
      </c>
      <c r="J51" s="15"/>
      <c r="L51" s="31">
        <f>'TR TUSD'!$L$51*'TR TUSD'!$L$74</f>
        <v>4.0263687592814295</v>
      </c>
      <c r="M51" s="31">
        <f>'TR TUSD'!$M$51*'TR TUSD'!$M$74</f>
        <v>0.84102291402765827</v>
      </c>
      <c r="N51" s="31">
        <f ca="1">'TR TUSD'!$N$51*'TR TUSD'!$N$74</f>
        <v>3.4870785999941858</v>
      </c>
      <c r="O51" s="31">
        <f>'TR TUSD'!$O$51*'TR TUSD'!$O$74</f>
        <v>1.9190865198739564E-2</v>
      </c>
      <c r="P51" s="31">
        <f>'TR TUSD'!$P$51*'TR TUSD'!$P$74</f>
        <v>0</v>
      </c>
      <c r="Q51" s="31">
        <f>'TR TUSD'!$Q$51*'TR TUSD'!$Q$74</f>
        <v>38.182431744895922</v>
      </c>
      <c r="R51" s="31">
        <f>'TR TUSD'!$R$51*'TR TUSD'!$R$74</f>
        <v>14.414104263105399</v>
      </c>
      <c r="S51" s="31">
        <f>'TR TUSD'!$S$51*'TR TUSD'!$S$74</f>
        <v>0</v>
      </c>
      <c r="T51" s="31">
        <f ca="1">SUM($L$51:$S$51)</f>
        <v>60.970197146503338</v>
      </c>
      <c r="U51" s="31">
        <f>'TR TUSD'!$U$51*'TR TUSD'!$U$74</f>
        <v>32.742732247838184</v>
      </c>
      <c r="V51" s="31">
        <f>'TR TUSD'!$V$51*'TR TUSD'!$V$74</f>
        <v>10.156847780225075</v>
      </c>
      <c r="W51" s="31">
        <f>'TR TUSD'!$W$51*'TR TUSD'!$W$74</f>
        <v>1.6339312761463833</v>
      </c>
      <c r="X51" s="31">
        <f>'TR TUSD'!$X$51*'TR TUSD'!$X$74</f>
        <v>9.5040883543345417E-2</v>
      </c>
      <c r="Y51" s="31">
        <f>'TR TUSD'!$Y$51*'TR TUSD'!$Y$74</f>
        <v>2.0935916792114702</v>
      </c>
      <c r="Z51" s="31">
        <f>'TR TUSD'!$Z$51</f>
        <v>0</v>
      </c>
      <c r="AA51" s="31">
        <f>'TR TUSD'!$AA$51</f>
        <v>0</v>
      </c>
      <c r="AB51" s="31">
        <f>SUM($U$51:$AA$51)</f>
        <v>46.722143866964458</v>
      </c>
      <c r="AC51" s="31">
        <f>'TR TUSD'!$AC$51*'TR TUSD'!$AC$74</f>
        <v>227.24576418230552</v>
      </c>
      <c r="AD51" s="31">
        <f>SUM($AC$51:$AC$51)</f>
        <v>227.24576418230552</v>
      </c>
      <c r="AE51" s="31">
        <v>0</v>
      </c>
      <c r="AF51" s="31">
        <v>0</v>
      </c>
      <c r="AG51" s="31">
        <f>SUM($AE$51:$AF$51)</f>
        <v>0</v>
      </c>
      <c r="AH51" s="31">
        <f>'TR TUSD'!$AH$51*'TR TUSD'!$AH$74</f>
        <v>32.250377604372076</v>
      </c>
      <c r="AI51" s="31">
        <f>'TR TUSD'!$AI$51*'TR TUSD'!$AI$74</f>
        <v>0.97756078457782125</v>
      </c>
      <c r="AJ51" s="31">
        <f ca="1">'TR TUSD'!$AJ$51*'TR TUSD'!$AJ$74</f>
        <v>10.921635518803569</v>
      </c>
      <c r="AK51" s="31">
        <f ca="1">'TR TUSD'!$AK$51*'TR TUSD'!$AK$74</f>
        <v>0</v>
      </c>
      <c r="AL51" s="31">
        <f ca="1">SUM($AH$51:$AK$51)</f>
        <v>44.149573907753464</v>
      </c>
      <c r="AM51" s="31">
        <f ca="1">SUMIF($L$4:$AL$4,"SUBTOTAL",$L$51:$AL$51)</f>
        <v>379.0876791035268</v>
      </c>
      <c r="AP51" s="31">
        <f>IF((1 - CUSTOS!$M$29)&lt;&gt;0,1/(1 - CUSTOS!$M$29),1)</f>
        <v>1</v>
      </c>
    </row>
    <row r="52" spans="1:42" ht="11.25" customHeight="1" x14ac:dyDescent="0.25">
      <c r="A52" s="97"/>
      <c r="B52" s="97" t="s">
        <v>33</v>
      </c>
      <c r="C52" s="97" t="s">
        <v>45</v>
      </c>
      <c r="D52" s="97" t="s">
        <v>117</v>
      </c>
      <c r="E52" s="97" t="s">
        <v>25</v>
      </c>
      <c r="F52" s="97" t="s">
        <v>25</v>
      </c>
      <c r="G52" s="38" t="s">
        <v>103</v>
      </c>
      <c r="H52" s="38" t="s">
        <v>102</v>
      </c>
      <c r="I52" s="38">
        <f>'MERCADO TUSD'!$U$49</f>
        <v>0</v>
      </c>
      <c r="J52" s="15"/>
      <c r="L52" s="31">
        <f>'TR TUSD'!$L$52*'TR TUSD'!$L$74</f>
        <v>4.0263687592814295</v>
      </c>
      <c r="M52" s="31">
        <f>'TR TUSD'!$M$52*'TR TUSD'!$M$74</f>
        <v>0.84102291402765827</v>
      </c>
      <c r="N52" s="31">
        <f ca="1">'TR TUSD'!$N$52*'TR TUSD'!$N$74</f>
        <v>9.5718575990270995</v>
      </c>
      <c r="O52" s="31">
        <f>'TR TUSD'!$O$52*'TR TUSD'!$O$74</f>
        <v>1.9190865198739564E-2</v>
      </c>
      <c r="P52" s="31">
        <f>'TR TUSD'!$P$52*'TR TUSD'!$P$74</f>
        <v>0</v>
      </c>
      <c r="Q52" s="31">
        <f>'TR TUSD'!$Q$52*'TR TUSD'!$Q$74</f>
        <v>38.182431744895922</v>
      </c>
      <c r="R52" s="31">
        <f>'TR TUSD'!$R$52*'TR TUSD'!$R$74</f>
        <v>14.414104263105399</v>
      </c>
      <c r="S52" s="31">
        <f>'TR TUSD'!$S$52*'TR TUSD'!$S$74</f>
        <v>0</v>
      </c>
      <c r="T52" s="31">
        <f ca="1">SUM($L$52:$S$52)</f>
        <v>67.054976145536244</v>
      </c>
      <c r="U52" s="31">
        <f>'TR TUSD'!$U$52*'TR TUSD'!$U$74</f>
        <v>109.68791234475601</v>
      </c>
      <c r="V52" s="31">
        <f>'TR TUSD'!$V$52*'TR TUSD'!$V$74</f>
        <v>34.025465638734559</v>
      </c>
      <c r="W52" s="31">
        <f>'TR TUSD'!$W$52*'TR TUSD'!$W$74</f>
        <v>5.4736298766971494</v>
      </c>
      <c r="X52" s="31">
        <f>'TR TUSD'!$X$52*'TR TUSD'!$X$74</f>
        <v>0.31837691326518142</v>
      </c>
      <c r="Y52" s="31">
        <f>'TR TUSD'!$Y$52*'TR TUSD'!$Y$74</f>
        <v>7.0135069801304741</v>
      </c>
      <c r="Z52" s="31">
        <f>'TR TUSD'!$Z$52</f>
        <v>0</v>
      </c>
      <c r="AA52" s="31">
        <f>'TR TUSD'!$AA$52</f>
        <v>0</v>
      </c>
      <c r="AB52" s="31">
        <f>SUM($U$52:$AA$52)</f>
        <v>156.51889175358338</v>
      </c>
      <c r="AC52" s="31">
        <f>'TR TUSD'!$AC$52*'TR TUSD'!$AC$74</f>
        <v>761.27320319466651</v>
      </c>
      <c r="AD52" s="31">
        <f>SUM($AC$52:$AC$52)</f>
        <v>761.27320319466651</v>
      </c>
      <c r="AE52" s="31">
        <v>0</v>
      </c>
      <c r="AF52" s="31">
        <v>0</v>
      </c>
      <c r="AG52" s="31">
        <f>SUM($AE$52:$AF$52)</f>
        <v>0</v>
      </c>
      <c r="AH52" s="31">
        <f>'TR TUSD'!$AH$52*'TR TUSD'!$AH$74</f>
        <v>32.250377604372076</v>
      </c>
      <c r="AI52" s="31">
        <f>'TR TUSD'!$AI$52*'TR TUSD'!$AI$74</f>
        <v>0.97756078457782125</v>
      </c>
      <c r="AJ52" s="31">
        <f ca="1">'TR TUSD'!$AJ$52*'TR TUSD'!$AJ$74</f>
        <v>10.921635518803569</v>
      </c>
      <c r="AK52" s="31">
        <f ca="1">'TR TUSD'!$AK$52*'TR TUSD'!$AK$74</f>
        <v>0</v>
      </c>
      <c r="AL52" s="31">
        <f ca="1">SUM($AH$52:$AK$52)</f>
        <v>44.149573907753464</v>
      </c>
      <c r="AM52" s="31">
        <f ca="1">SUMIF($L$4:$AL$4,"SUBTOTAL",$L$52:$AL$52)</f>
        <v>1028.9966450015395</v>
      </c>
      <c r="AP52" s="31">
        <f>IF((1 - CUSTOS!$M$30)&lt;&gt;0,1/(1 - CUSTOS!$M$30),1)</f>
        <v>1</v>
      </c>
    </row>
    <row r="53" spans="1:42" ht="11.25" customHeight="1" x14ac:dyDescent="0.25">
      <c r="A53" s="97"/>
      <c r="B53" s="97"/>
      <c r="C53" s="97"/>
      <c r="D53" s="97"/>
      <c r="E53" s="97"/>
      <c r="F53" s="97"/>
      <c r="G53" s="38" t="s">
        <v>113</v>
      </c>
      <c r="H53" s="38" t="s">
        <v>102</v>
      </c>
      <c r="I53" s="38">
        <f>'MERCADO TUSD'!$U$50</f>
        <v>0</v>
      </c>
      <c r="J53" s="15"/>
      <c r="L53" s="31">
        <f>'TR TUSD'!$L$53*'TR TUSD'!$L$74</f>
        <v>4.0263687592814295</v>
      </c>
      <c r="M53" s="31">
        <f>'TR TUSD'!$M$53*'TR TUSD'!$M$74</f>
        <v>0.84102291402765827</v>
      </c>
      <c r="N53" s="31">
        <f ca="1">'TR TUSD'!$N$53*'TR TUSD'!$N$74</f>
        <v>6.1022399763343413</v>
      </c>
      <c r="O53" s="31">
        <f>'TR TUSD'!$O$53*'TR TUSD'!$O$74</f>
        <v>1.9190865198739564E-2</v>
      </c>
      <c r="P53" s="31">
        <f>'TR TUSD'!$P$53*'TR TUSD'!$P$74</f>
        <v>0</v>
      </c>
      <c r="Q53" s="31">
        <f>'TR TUSD'!$Q$53*'TR TUSD'!$Q$74</f>
        <v>38.182431744895922</v>
      </c>
      <c r="R53" s="31">
        <f>'TR TUSD'!$R$53*'TR TUSD'!$R$74</f>
        <v>14.414104263105399</v>
      </c>
      <c r="S53" s="31">
        <f>'TR TUSD'!$S$53*'TR TUSD'!$S$74</f>
        <v>0</v>
      </c>
      <c r="T53" s="31">
        <f ca="1">SUM($L$53:$S$53)</f>
        <v>63.585358522843492</v>
      </c>
      <c r="U53" s="31">
        <f>'TR TUSD'!$U$53*'TR TUSD'!$U$74</f>
        <v>65.812796778238621</v>
      </c>
      <c r="V53" s="31">
        <f>'TR TUSD'!$V$53*'TR TUSD'!$V$74</f>
        <v>20.415356108182422</v>
      </c>
      <c r="W53" s="31">
        <f>'TR TUSD'!$W$53*'TR TUSD'!$W$74</f>
        <v>3.2841902024469771</v>
      </c>
      <c r="X53" s="31">
        <f>'TR TUSD'!$X$53*'TR TUSD'!$X$74</f>
        <v>0.1910864275892632</v>
      </c>
      <c r="Y53" s="31">
        <f>'TR TUSD'!$Y$53*'TR TUSD'!$Y$74</f>
        <v>4.2081041880782841</v>
      </c>
      <c r="Z53" s="31">
        <f>'TR TUSD'!$Z$53</f>
        <v>0</v>
      </c>
      <c r="AA53" s="31">
        <f>'TR TUSD'!$AA$53</f>
        <v>0</v>
      </c>
      <c r="AB53" s="31">
        <f>SUM($U$53:$AA$53)</f>
        <v>93.911533704535572</v>
      </c>
      <c r="AC53" s="31">
        <f>'TR TUSD'!$AC$53*'TR TUSD'!$AC$74</f>
        <v>456.76389942920895</v>
      </c>
      <c r="AD53" s="31">
        <f>SUM($AC$53:$AC$53)</f>
        <v>456.76389942920895</v>
      </c>
      <c r="AE53" s="31">
        <v>0</v>
      </c>
      <c r="AF53" s="31">
        <v>0</v>
      </c>
      <c r="AG53" s="31">
        <f>SUM($AE$53:$AF$53)</f>
        <v>0</v>
      </c>
      <c r="AH53" s="31">
        <f>'TR TUSD'!$AH$53*'TR TUSD'!$AH$74</f>
        <v>32.250377604372076</v>
      </c>
      <c r="AI53" s="31">
        <f>'TR TUSD'!$AI$53*'TR TUSD'!$AI$74</f>
        <v>0.97756078457782125</v>
      </c>
      <c r="AJ53" s="31">
        <f ca="1">'TR TUSD'!$AJ$53*'TR TUSD'!$AJ$74</f>
        <v>10.921635518803569</v>
      </c>
      <c r="AK53" s="31">
        <f ca="1">'TR TUSD'!$AK$53*'TR TUSD'!$AK$74</f>
        <v>0</v>
      </c>
      <c r="AL53" s="31">
        <f ca="1">SUM($AH$53:$AK$53)</f>
        <v>44.149573907753464</v>
      </c>
      <c r="AM53" s="31">
        <f ca="1">SUMIF($L$4:$AL$4,"SUBTOTAL",$L$53:$AL$53)</f>
        <v>658.41036556434153</v>
      </c>
      <c r="AP53" s="31">
        <f>IF((1 - CUSTOS!$M$30)&lt;&gt;0,1/(1 - CUSTOS!$M$30),1)</f>
        <v>1</v>
      </c>
    </row>
    <row r="54" spans="1:42" ht="11.25" customHeight="1" x14ac:dyDescent="0.25">
      <c r="A54" s="97"/>
      <c r="B54" s="97"/>
      <c r="C54" s="97"/>
      <c r="D54" s="97"/>
      <c r="E54" s="97"/>
      <c r="F54" s="97"/>
      <c r="G54" s="38" t="s">
        <v>104</v>
      </c>
      <c r="H54" s="38" t="s">
        <v>102</v>
      </c>
      <c r="I54" s="38">
        <f>'MERCADO TUSD'!$U$51</f>
        <v>0</v>
      </c>
      <c r="J54" s="15"/>
      <c r="L54" s="31">
        <f>'TR TUSD'!$L$54*'TR TUSD'!$L$74</f>
        <v>4.0263687592814295</v>
      </c>
      <c r="M54" s="31">
        <f>'TR TUSD'!$M$54*'TR TUSD'!$M$74</f>
        <v>0.84102291402765827</v>
      </c>
      <c r="N54" s="31">
        <f ca="1">'TR TUSD'!$N$54*'TR TUSD'!$N$74</f>
        <v>2.6326191360414213</v>
      </c>
      <c r="O54" s="31">
        <f>'TR TUSD'!$O$54*'TR TUSD'!$O$74</f>
        <v>1.9190865198739564E-2</v>
      </c>
      <c r="P54" s="31">
        <f>'TR TUSD'!$P$54*'TR TUSD'!$P$74</f>
        <v>0</v>
      </c>
      <c r="Q54" s="31">
        <f>'TR TUSD'!$Q$54*'TR TUSD'!$Q$74</f>
        <v>38.182431744895922</v>
      </c>
      <c r="R54" s="31">
        <f>'TR TUSD'!$R$54*'TR TUSD'!$R$74</f>
        <v>14.414104263105399</v>
      </c>
      <c r="S54" s="31">
        <f>'TR TUSD'!$S$54*'TR TUSD'!$S$74</f>
        <v>0</v>
      </c>
      <c r="T54" s="31">
        <f ca="1">SUM($L$54:$S$54)</f>
        <v>60.115737682550574</v>
      </c>
      <c r="U54" s="31">
        <f>'TR TUSD'!$U$54*'TR TUSD'!$U$74</f>
        <v>21.937557783258701</v>
      </c>
      <c r="V54" s="31">
        <f>'TR TUSD'!$V$54*'TR TUSD'!$V$74</f>
        <v>6.8051187027274738</v>
      </c>
      <c r="W54" s="31">
        <f>'TR TUSD'!$W$54*'TR TUSD'!$W$74</f>
        <v>1.0947505281968046</v>
      </c>
      <c r="X54" s="31">
        <f>'TR TUSD'!$X$54*'TR TUSD'!$X$74</f>
        <v>6.3695475863087728E-2</v>
      </c>
      <c r="Y54" s="31">
        <f>'TR TUSD'!$Y$54*'TR TUSD'!$Y$74</f>
        <v>1.4027013960260948</v>
      </c>
      <c r="Z54" s="31">
        <f>'TR TUSD'!$Z$54</f>
        <v>0</v>
      </c>
      <c r="AA54" s="31">
        <f>'TR TUSD'!$AA$54</f>
        <v>0</v>
      </c>
      <c r="AB54" s="31">
        <f>SUM($U$54:$AA$54)</f>
        <v>31.303823886072163</v>
      </c>
      <c r="AC54" s="31">
        <f>'TR TUSD'!$AC$54*'TR TUSD'!$AC$74</f>
        <v>152.25459566375142</v>
      </c>
      <c r="AD54" s="31">
        <f>SUM($AC$54:$AC$54)</f>
        <v>152.25459566375142</v>
      </c>
      <c r="AE54" s="31">
        <v>0</v>
      </c>
      <c r="AF54" s="31">
        <v>0</v>
      </c>
      <c r="AG54" s="31">
        <f>SUM($AE$54:$AF$54)</f>
        <v>0</v>
      </c>
      <c r="AH54" s="31">
        <f>'TR TUSD'!$AH$54*'TR TUSD'!$AH$74</f>
        <v>32.250377604372076</v>
      </c>
      <c r="AI54" s="31">
        <f>'TR TUSD'!$AI$54*'TR TUSD'!$AI$74</f>
        <v>0.97756078457782125</v>
      </c>
      <c r="AJ54" s="31">
        <f ca="1">'TR TUSD'!$AJ$54*'TR TUSD'!$AJ$74</f>
        <v>10.921635518803569</v>
      </c>
      <c r="AK54" s="31">
        <f ca="1">'TR TUSD'!$AK$54*'TR TUSD'!$AK$74</f>
        <v>0</v>
      </c>
      <c r="AL54" s="31">
        <f ca="1">SUM($AH$54:$AK$54)</f>
        <v>44.149573907753464</v>
      </c>
      <c r="AM54" s="31">
        <f ca="1">SUMIF($L$4:$AL$4,"SUBTOTAL",$L$54:$AL$54)</f>
        <v>287.82373114012762</v>
      </c>
      <c r="AP54" s="31">
        <f>IF((1 - CUSTOS!$M$30)&lt;&gt;0,1/(1 - CUSTOS!$M$30),1)</f>
        <v>1</v>
      </c>
    </row>
    <row r="55" spans="1:42" ht="11.25" customHeight="1" x14ac:dyDescent="0.25">
      <c r="A55" s="97"/>
      <c r="B55" s="37" t="s">
        <v>23</v>
      </c>
      <c r="C55" s="37" t="s">
        <v>45</v>
      </c>
      <c r="D55" s="37" t="s">
        <v>117</v>
      </c>
      <c r="E55" s="37" t="s">
        <v>25</v>
      </c>
      <c r="F55" s="37" t="s">
        <v>25</v>
      </c>
      <c r="G55" s="38" t="s">
        <v>108</v>
      </c>
      <c r="H55" s="38" t="s">
        <v>102</v>
      </c>
      <c r="I55" s="38">
        <f>'MERCADO TUSD'!$U$52</f>
        <v>0</v>
      </c>
      <c r="J55" s="15"/>
      <c r="L55" s="31">
        <f>'TR TUSD'!$L$55*'TR TUSD'!$L$74</f>
        <v>4.0263687592814295</v>
      </c>
      <c r="M55" s="31">
        <f>'TR TUSD'!$M$55*'TR TUSD'!$M$74</f>
        <v>0.84102291402765827</v>
      </c>
      <c r="N55" s="31">
        <f ca="1">'TR TUSD'!$N$55*'TR TUSD'!$N$74</f>
        <v>3.4870785999941858</v>
      </c>
      <c r="O55" s="31">
        <f>'TR TUSD'!$O$55*'TR TUSD'!$O$74</f>
        <v>1.9190865198739564E-2</v>
      </c>
      <c r="P55" s="31">
        <f>'TR TUSD'!$P$55*'TR TUSD'!$P$74</f>
        <v>0</v>
      </c>
      <c r="Q55" s="31">
        <f>'TR TUSD'!$Q$55*'TR TUSD'!$Q$74</f>
        <v>38.182431744895922</v>
      </c>
      <c r="R55" s="31">
        <f>'TR TUSD'!$R$55*'TR TUSD'!$R$74</f>
        <v>14.414104263105399</v>
      </c>
      <c r="S55" s="31">
        <f>'TR TUSD'!$S$55*'TR TUSD'!$S$74</f>
        <v>0</v>
      </c>
      <c r="T55" s="31">
        <f ca="1">SUM($L$55:$S$55)</f>
        <v>60.970197146503338</v>
      </c>
      <c r="U55" s="31">
        <f>'TR TUSD'!$U$55*'TR TUSD'!$U$74</f>
        <v>32.742732247838184</v>
      </c>
      <c r="V55" s="31">
        <f>'TR TUSD'!$V$55*'TR TUSD'!$V$74</f>
        <v>10.156847780225075</v>
      </c>
      <c r="W55" s="31">
        <f>'TR TUSD'!$W$55*'TR TUSD'!$W$74</f>
        <v>1.6339312761463833</v>
      </c>
      <c r="X55" s="31">
        <f>'TR TUSD'!$X$55*'TR TUSD'!$X$74</f>
        <v>9.5040883543345417E-2</v>
      </c>
      <c r="Y55" s="31">
        <f>'TR TUSD'!$Y$55*'TR TUSD'!$Y$74</f>
        <v>2.0935916792114702</v>
      </c>
      <c r="Z55" s="31">
        <f>'TR TUSD'!$Z$55</f>
        <v>0</v>
      </c>
      <c r="AA55" s="31">
        <f>'TR TUSD'!$AA$55</f>
        <v>0</v>
      </c>
      <c r="AB55" s="31">
        <f>SUM($U$55:$AA$55)</f>
        <v>46.722143866964458</v>
      </c>
      <c r="AC55" s="31">
        <f>'TR TUSD'!$AC$55*'TR TUSD'!$AC$74</f>
        <v>227.24576418230552</v>
      </c>
      <c r="AD55" s="31">
        <f>SUM($AC$55:$AC$55)</f>
        <v>227.24576418230552</v>
      </c>
      <c r="AE55" s="31">
        <v>0</v>
      </c>
      <c r="AF55" s="31">
        <v>0</v>
      </c>
      <c r="AG55" s="31">
        <f>SUM($AE$55:$AF$55)</f>
        <v>0</v>
      </c>
      <c r="AH55" s="31">
        <f>'TR TUSD'!$AH$55*'TR TUSD'!$AH$74</f>
        <v>32.250377604372076</v>
      </c>
      <c r="AI55" s="31">
        <f>'TR TUSD'!$AI$55*'TR TUSD'!$AI$74</f>
        <v>0.97756078457782125</v>
      </c>
      <c r="AJ55" s="31">
        <f ca="1">'TR TUSD'!$AJ$55*'TR TUSD'!$AJ$74</f>
        <v>10.921635518803569</v>
      </c>
      <c r="AK55" s="31">
        <f ca="1">'TR TUSD'!$AK$55*'TR TUSD'!$AK$74</f>
        <v>0</v>
      </c>
      <c r="AL55" s="31">
        <f ca="1">SUM($AH$55:$AK$55)</f>
        <v>44.149573907753464</v>
      </c>
      <c r="AM55" s="31">
        <f ca="1">SUMIF($L$4:$AL$4,"SUBTOTAL",$L$55:$AL$55)</f>
        <v>379.0876791035268</v>
      </c>
      <c r="AP55" s="31">
        <f>IF((1 - CUSTOS!$M$30)&lt;&gt;0,1/(1 - CUSTOS!$M$30),1)</f>
        <v>1</v>
      </c>
    </row>
    <row r="56" spans="1:42" ht="11.25" customHeight="1" x14ac:dyDescent="0.25">
      <c r="A56" s="97"/>
      <c r="B56" s="97" t="s">
        <v>115</v>
      </c>
      <c r="C56" s="97" t="s">
        <v>45</v>
      </c>
      <c r="D56" s="37" t="s">
        <v>25</v>
      </c>
      <c r="E56" s="37" t="s">
        <v>25</v>
      </c>
      <c r="F56" s="37" t="s">
        <v>25</v>
      </c>
      <c r="G56" s="38" t="s">
        <v>108</v>
      </c>
      <c r="H56" s="38" t="s">
        <v>102</v>
      </c>
      <c r="I56" s="38">
        <f>'MERCADO TUSD'!$U$53</f>
        <v>0</v>
      </c>
      <c r="J56" s="15"/>
      <c r="L56" s="31">
        <f>'TR TUSD'!$L$56*'TR TUSD'!$L$74</f>
        <v>4.0263687592814295</v>
      </c>
      <c r="M56" s="31">
        <f>'TR TUSD'!$M$56*'TR TUSD'!$M$74</f>
        <v>0.84102291402765827</v>
      </c>
      <c r="N56" s="31">
        <f ca="1">'TR TUSD'!$N$56*'TR TUSD'!$N$74</f>
        <v>3.4870785999941858</v>
      </c>
      <c r="O56" s="31">
        <f>'TR TUSD'!$O$56*'TR TUSD'!$O$74</f>
        <v>1.9190865198739564E-2</v>
      </c>
      <c r="P56" s="31">
        <f>'TR TUSD'!$P$56*'TR TUSD'!$P$74</f>
        <v>0</v>
      </c>
      <c r="Q56" s="31">
        <f>'TR TUSD'!$Q$56*'TR TUSD'!$Q$74</f>
        <v>38.182431744895922</v>
      </c>
      <c r="R56" s="31">
        <f>'TR TUSD'!$R$56*'TR TUSD'!$R$74</f>
        <v>14.414104263105399</v>
      </c>
      <c r="S56" s="31">
        <f>'TR TUSD'!$S$56*'TR TUSD'!$S$74</f>
        <v>0</v>
      </c>
      <c r="T56" s="31">
        <f ca="1">SUM($L$56:$S$56)</f>
        <v>60.970197146503338</v>
      </c>
      <c r="U56" s="31">
        <f>'TR TUSD'!$U$56*'TR TUSD'!$U$74</f>
        <v>32.742732247838184</v>
      </c>
      <c r="V56" s="31">
        <f>'TR TUSD'!$V$56*'TR TUSD'!$V$74</f>
        <v>10.156847780225075</v>
      </c>
      <c r="W56" s="31">
        <f>'TR TUSD'!$W$56*'TR TUSD'!$W$74</f>
        <v>1.6339312761463833</v>
      </c>
      <c r="X56" s="31">
        <f>'TR TUSD'!$X$56*'TR TUSD'!$X$74</f>
        <v>9.5040883543345417E-2</v>
      </c>
      <c r="Y56" s="31">
        <f>'TR TUSD'!$Y$56*'TR TUSD'!$Y$74</f>
        <v>2.0935916792114702</v>
      </c>
      <c r="Z56" s="31">
        <f>'TR TUSD'!$Z$56</f>
        <v>0</v>
      </c>
      <c r="AA56" s="31">
        <f>'TR TUSD'!$AA$56</f>
        <v>0</v>
      </c>
      <c r="AB56" s="31">
        <f>SUM($U$56:$AA$56)</f>
        <v>46.722143866964458</v>
      </c>
      <c r="AC56" s="31">
        <f>'TR TUSD'!$AC$56*'TR TUSD'!$AC$74</f>
        <v>227.24576418230552</v>
      </c>
      <c r="AD56" s="31">
        <f>SUM($AC$56:$AC$56)</f>
        <v>227.24576418230552</v>
      </c>
      <c r="AE56" s="31">
        <v>0</v>
      </c>
      <c r="AF56" s="31">
        <v>0</v>
      </c>
      <c r="AG56" s="31">
        <f>SUM($AE$56:$AF$56)</f>
        <v>0</v>
      </c>
      <c r="AH56" s="31">
        <f>'TR TUSD'!$AH$56*'TR TUSD'!$AH$74</f>
        <v>32.250377604372076</v>
      </c>
      <c r="AI56" s="31">
        <f>'TR TUSD'!$AI$56*'TR TUSD'!$AI$74</f>
        <v>0.97756078457782125</v>
      </c>
      <c r="AJ56" s="31">
        <f ca="1">'TR TUSD'!$AJ$56*'TR TUSD'!$AJ$74</f>
        <v>10.921635518803569</v>
      </c>
      <c r="AK56" s="31">
        <f ca="1">'TR TUSD'!$AK$56*'TR TUSD'!$AK$74</f>
        <v>0</v>
      </c>
      <c r="AL56" s="31">
        <f ca="1">SUM($AH$56:$AK$56)</f>
        <v>44.149573907753464</v>
      </c>
      <c r="AM56" s="31">
        <f ca="1">SUMIF($L$4:$AL$4,"SUBTOTAL",$L$56:$AL$56)</f>
        <v>379.0876791035268</v>
      </c>
      <c r="AP56" s="31">
        <f>IF((1 - CUSTOS!$M$28)&lt;&gt;0,1/(1 - CUSTOS!$M$28),1)</f>
        <v>1</v>
      </c>
    </row>
    <row r="57" spans="1:42" ht="11.25" customHeight="1" x14ac:dyDescent="0.25">
      <c r="A57" s="97"/>
      <c r="B57" s="97"/>
      <c r="C57" s="97"/>
      <c r="D57" s="37" t="s">
        <v>116</v>
      </c>
      <c r="E57" s="37" t="s">
        <v>25</v>
      </c>
      <c r="F57" s="37" t="s">
        <v>25</v>
      </c>
      <c r="G57" s="38" t="s">
        <v>108</v>
      </c>
      <c r="H57" s="38" t="s">
        <v>102</v>
      </c>
      <c r="I57" s="38">
        <f>'MERCADO TUSD'!$U$54</f>
        <v>0</v>
      </c>
      <c r="J57" s="15"/>
      <c r="L57" s="31">
        <f>'TR TUSD'!$L$57*'TR TUSD'!$L$74</f>
        <v>4.0263687592814295</v>
      </c>
      <c r="M57" s="31">
        <f>'TR TUSD'!$M$57*'TR TUSD'!$M$74</f>
        <v>0.84102291402765827</v>
      </c>
      <c r="N57" s="31">
        <f ca="1">'TR TUSD'!$N$57*'TR TUSD'!$N$74</f>
        <v>3.4870785999941858</v>
      </c>
      <c r="O57" s="31">
        <f>'TR TUSD'!$O$57*'TR TUSD'!$O$74</f>
        <v>1.9190865198739564E-2</v>
      </c>
      <c r="P57" s="31">
        <f>'TR TUSD'!$P$57*'TR TUSD'!$P$74</f>
        <v>0</v>
      </c>
      <c r="Q57" s="31">
        <f>'TR TUSD'!$Q$57*'TR TUSD'!$Q$74</f>
        <v>38.182431744895922</v>
      </c>
      <c r="R57" s="31">
        <f>'TR TUSD'!$R$57*'TR TUSD'!$R$74</f>
        <v>14.414104263105399</v>
      </c>
      <c r="S57" s="31">
        <f>'TR TUSD'!$S$57*'TR TUSD'!$S$74</f>
        <v>0</v>
      </c>
      <c r="T57" s="31">
        <f ca="1">SUM($L$57:$S$57)</f>
        <v>60.970197146503338</v>
      </c>
      <c r="U57" s="31">
        <f>'TR TUSD'!$U$57*'TR TUSD'!$U$74</f>
        <v>32.742732247838184</v>
      </c>
      <c r="V57" s="31">
        <f>'TR TUSD'!$V$57*'TR TUSD'!$V$74</f>
        <v>10.156847780225075</v>
      </c>
      <c r="W57" s="31">
        <f>'TR TUSD'!$W$57*'TR TUSD'!$W$74</f>
        <v>1.6339312761463833</v>
      </c>
      <c r="X57" s="31">
        <f>'TR TUSD'!$X$57*'TR TUSD'!$X$74</f>
        <v>9.5040883543345417E-2</v>
      </c>
      <c r="Y57" s="31">
        <f>'TR TUSD'!$Y$57*'TR TUSD'!$Y$74</f>
        <v>2.0935916792114702</v>
      </c>
      <c r="Z57" s="31">
        <f>'TR TUSD'!$Z$57</f>
        <v>0</v>
      </c>
      <c r="AA57" s="31">
        <f>'TR TUSD'!$AA$57</f>
        <v>0</v>
      </c>
      <c r="AB57" s="31">
        <f>SUM($U$57:$AA$57)</f>
        <v>46.722143866964458</v>
      </c>
      <c r="AC57" s="31">
        <f>'TR TUSD'!$AC$57*'TR TUSD'!$AC$74</f>
        <v>227.24576418230552</v>
      </c>
      <c r="AD57" s="31">
        <f>SUM($AC$57:$AC$57)</f>
        <v>227.24576418230552</v>
      </c>
      <c r="AE57" s="31">
        <v>0</v>
      </c>
      <c r="AF57" s="31">
        <v>0</v>
      </c>
      <c r="AG57" s="31">
        <f>SUM($AE$57:$AF$57)</f>
        <v>0</v>
      </c>
      <c r="AH57" s="31">
        <f>'TR TUSD'!$AH$57*'TR TUSD'!$AH$74</f>
        <v>32.250377604372076</v>
      </c>
      <c r="AI57" s="31">
        <f>'TR TUSD'!$AI$57*'TR TUSD'!$AI$74</f>
        <v>0.97756078457782125</v>
      </c>
      <c r="AJ57" s="31">
        <f ca="1">'TR TUSD'!$AJ$57*'TR TUSD'!$AJ$74</f>
        <v>10.921635518803569</v>
      </c>
      <c r="AK57" s="31">
        <f ca="1">'TR TUSD'!$AK$57*'TR TUSD'!$AK$74</f>
        <v>0</v>
      </c>
      <c r="AL57" s="31">
        <f ca="1">SUM($AH$57:$AK$57)</f>
        <v>44.149573907753464</v>
      </c>
      <c r="AM57" s="31">
        <f ca="1">SUMIF($L$4:$AL$4,"SUBTOTAL",$L$57:$AL$57)</f>
        <v>379.0876791035268</v>
      </c>
      <c r="AP57" s="31">
        <f>IF((1 - CUSTOS!$M$29)&lt;&gt;0,1/(1 - CUSTOS!$M$29),1)</f>
        <v>1</v>
      </c>
    </row>
    <row r="58" spans="1:42" ht="11.25" customHeight="1" x14ac:dyDescent="0.25">
      <c r="A58" s="97"/>
      <c r="B58" s="97"/>
      <c r="C58" s="97"/>
      <c r="D58" s="37" t="s">
        <v>117</v>
      </c>
      <c r="E58" s="37" t="s">
        <v>25</v>
      </c>
      <c r="F58" s="37" t="s">
        <v>25</v>
      </c>
      <c r="G58" s="38" t="s">
        <v>108</v>
      </c>
      <c r="H58" s="38" t="s">
        <v>102</v>
      </c>
      <c r="I58" s="38">
        <f>'MERCADO TUSD'!$U$55</f>
        <v>0</v>
      </c>
      <c r="J58" s="15"/>
      <c r="L58" s="31">
        <f>'TR TUSD'!$L$58*'TR TUSD'!$L$74</f>
        <v>4.0263687592814295</v>
      </c>
      <c r="M58" s="31">
        <f>'TR TUSD'!$M$58*'TR TUSD'!$M$74</f>
        <v>0.84102291402765827</v>
      </c>
      <c r="N58" s="31">
        <f ca="1">'TR TUSD'!$N$58*'TR TUSD'!$N$74</f>
        <v>3.4870785999941858</v>
      </c>
      <c r="O58" s="31">
        <f>'TR TUSD'!$O$58*'TR TUSD'!$O$74</f>
        <v>1.9190865198739564E-2</v>
      </c>
      <c r="P58" s="31">
        <f>'TR TUSD'!$P$58*'TR TUSD'!$P$74</f>
        <v>0</v>
      </c>
      <c r="Q58" s="31">
        <f>'TR TUSD'!$Q$58*'TR TUSD'!$Q$74</f>
        <v>38.182431744895922</v>
      </c>
      <c r="R58" s="31">
        <f>'TR TUSD'!$R$58*'TR TUSD'!$R$74</f>
        <v>14.414104263105399</v>
      </c>
      <c r="S58" s="31">
        <f>'TR TUSD'!$S$58*'TR TUSD'!$S$74</f>
        <v>0</v>
      </c>
      <c r="T58" s="31">
        <f ca="1">SUM($L$58:$S$58)</f>
        <v>60.970197146503338</v>
      </c>
      <c r="U58" s="31">
        <f>'TR TUSD'!$U$58*'TR TUSD'!$U$74</f>
        <v>32.742732247838184</v>
      </c>
      <c r="V58" s="31">
        <f>'TR TUSD'!$V$58*'TR TUSD'!$V$74</f>
        <v>10.156847780225075</v>
      </c>
      <c r="W58" s="31">
        <f>'TR TUSD'!$W$58*'TR TUSD'!$W$74</f>
        <v>1.6339312761463833</v>
      </c>
      <c r="X58" s="31">
        <f>'TR TUSD'!$X$58*'TR TUSD'!$X$74</f>
        <v>9.5040883543345417E-2</v>
      </c>
      <c r="Y58" s="31">
        <f>'TR TUSD'!$Y$58*'TR TUSD'!$Y$74</f>
        <v>2.0935916792114702</v>
      </c>
      <c r="Z58" s="31">
        <f>'TR TUSD'!$Z$58</f>
        <v>0</v>
      </c>
      <c r="AA58" s="31">
        <f>'TR TUSD'!$AA$58</f>
        <v>0</v>
      </c>
      <c r="AB58" s="31">
        <f>SUM($U$58:$AA$58)</f>
        <v>46.722143866964458</v>
      </c>
      <c r="AC58" s="31">
        <f>'TR TUSD'!$AC$58*'TR TUSD'!$AC$74</f>
        <v>227.24576418230552</v>
      </c>
      <c r="AD58" s="31">
        <f>SUM($AC$58:$AC$58)</f>
        <v>227.24576418230552</v>
      </c>
      <c r="AE58" s="31">
        <v>0</v>
      </c>
      <c r="AF58" s="31">
        <v>0</v>
      </c>
      <c r="AG58" s="31">
        <f>SUM($AE$58:$AF$58)</f>
        <v>0</v>
      </c>
      <c r="AH58" s="31">
        <f>'TR TUSD'!$AH$58*'TR TUSD'!$AH$74</f>
        <v>32.250377604372076</v>
      </c>
      <c r="AI58" s="31">
        <f>'TR TUSD'!$AI$58*'TR TUSD'!$AI$74</f>
        <v>0.97756078457782125</v>
      </c>
      <c r="AJ58" s="31">
        <f ca="1">'TR TUSD'!$AJ$58*'TR TUSD'!$AJ$74</f>
        <v>10.921635518803569</v>
      </c>
      <c r="AK58" s="31">
        <f ca="1">'TR TUSD'!$AK$58*'TR TUSD'!$AK$74</f>
        <v>0</v>
      </c>
      <c r="AL58" s="31">
        <f ca="1">SUM($AH$58:$AK$58)</f>
        <v>44.149573907753464</v>
      </c>
      <c r="AM58" s="31">
        <f ca="1">SUMIF($L$4:$AL$4,"SUBTOTAL",$L$58:$AL$58)</f>
        <v>379.0876791035268</v>
      </c>
      <c r="AP58" s="31">
        <f>IF((1 - CUSTOS!$M$30)&lt;&gt;0,1/(1 - CUSTOS!$M$30),1)</f>
        <v>1</v>
      </c>
    </row>
    <row r="59" spans="1:42" ht="11.25" customHeight="1" x14ac:dyDescent="0.25">
      <c r="A59" s="97" t="s">
        <v>37</v>
      </c>
      <c r="B59" s="97" t="s">
        <v>33</v>
      </c>
      <c r="C59" s="97" t="s">
        <v>25</v>
      </c>
      <c r="D59" s="97" t="s">
        <v>25</v>
      </c>
      <c r="E59" s="97" t="s">
        <v>25</v>
      </c>
      <c r="F59" s="97" t="s">
        <v>25</v>
      </c>
      <c r="G59" s="38" t="s">
        <v>103</v>
      </c>
      <c r="H59" s="38" t="s">
        <v>102</v>
      </c>
      <c r="I59" s="38">
        <f>'MERCADO TUSD'!$U$56</f>
        <v>54.588999999999999</v>
      </c>
      <c r="J59" s="15"/>
      <c r="L59" s="31">
        <f>'TR TUSD'!$L$59*'TR TUSD'!$L$74</f>
        <v>4.0263687592814295</v>
      </c>
      <c r="M59" s="31">
        <f>'TR TUSD'!$M$59*'TR TUSD'!$M$74</f>
        <v>0.84102291402765827</v>
      </c>
      <c r="N59" s="31">
        <f ca="1">'TR TUSD'!$N$59*'TR TUSD'!$N$74</f>
        <v>9.7013220316987745</v>
      </c>
      <c r="O59" s="31">
        <f>'TR TUSD'!$O$59*'TR TUSD'!$O$74</f>
        <v>1.9190865198739564E-2</v>
      </c>
      <c r="P59" s="31">
        <f>'TR TUSD'!$P$59*'TR TUSD'!$P$74</f>
        <v>0</v>
      </c>
      <c r="Q59" s="31">
        <f>'TR TUSD'!$Q$59*'TR TUSD'!$Q$74</f>
        <v>38.182431744895922</v>
      </c>
      <c r="R59" s="31">
        <f>'TR TUSD'!$R$59*'TR TUSD'!$R$74</f>
        <v>14.414104263105399</v>
      </c>
      <c r="S59" s="31">
        <f>'TR TUSD'!$S$59*'TR TUSD'!$S$74</f>
        <v>0</v>
      </c>
      <c r="T59" s="31">
        <f ca="1">SUM($L$59:$S$59)</f>
        <v>67.184440578207926</v>
      </c>
      <c r="U59" s="31">
        <f>'TR TUSD'!$U$59*'TR TUSD'!$U$74</f>
        <v>111.32506747141731</v>
      </c>
      <c r="V59" s="31">
        <f>'TR TUSD'!$V$59*'TR TUSD'!$V$74</f>
        <v>34.533384752687503</v>
      </c>
      <c r="W59" s="31">
        <f>'TR TUSD'!$W$59*'TR TUSD'!$W$74</f>
        <v>5.5553295096116404</v>
      </c>
      <c r="X59" s="31">
        <f>'TR TUSD'!$X$59*'TR TUSD'!$X$74</f>
        <v>0.3230988176272715</v>
      </c>
      <c r="Y59" s="31">
        <f>'TR TUSD'!$Y$59*'TR TUSD'!$Y$74</f>
        <v>7.1182117093189987</v>
      </c>
      <c r="Z59" s="31">
        <f>'TR TUSD'!$Z$59</f>
        <v>0</v>
      </c>
      <c r="AA59" s="31">
        <f>'TR TUSD'!$AA$59</f>
        <v>0</v>
      </c>
      <c r="AB59" s="31">
        <f>SUM($U$59:$AA$59)</f>
        <v>158.85509226066273</v>
      </c>
      <c r="AC59" s="31">
        <f>'TR TUSD'!$AC$59*'TR TUSD'!$AC$74</f>
        <v>772.63550826947505</v>
      </c>
      <c r="AD59" s="31">
        <f>SUM($AC$59:$AC$59)</f>
        <v>772.63550826947505</v>
      </c>
      <c r="AE59" s="31">
        <v>0</v>
      </c>
      <c r="AF59" s="31">
        <v>0</v>
      </c>
      <c r="AG59" s="31">
        <f>SUM($AE$59:$AF$59)</f>
        <v>0</v>
      </c>
      <c r="AH59" s="31">
        <f>'TR TUSD'!$AH$59*'TR TUSD'!$AH$74</f>
        <v>32.250377604372076</v>
      </c>
      <c r="AI59" s="31">
        <f>'TR TUSD'!$AI$59*'TR TUSD'!$AI$74</f>
        <v>0.97756078457782125</v>
      </c>
      <c r="AJ59" s="31">
        <f ca="1">'TR TUSD'!$AJ$59*'TR TUSD'!$AJ$74</f>
        <v>10.921635518803569</v>
      </c>
      <c r="AK59" s="31">
        <f ca="1">'TR TUSD'!$AK$59*'TR TUSD'!$AK$74</f>
        <v>0</v>
      </c>
      <c r="AL59" s="31">
        <f ca="1">SUM($AH$59:$AK$59)</f>
        <v>44.149573907753464</v>
      </c>
      <c r="AM59" s="31">
        <f ca="1">SUMIF($L$4:$AL$4,"SUBTOTAL",$L$59:$AL$59)</f>
        <v>1042.8246150160992</v>
      </c>
      <c r="AP59" s="31">
        <f>IF((1 - CUSTOS!$M$31)&lt;&gt;0,1/(1 - CUSTOS!$M$31),1)</f>
        <v>1</v>
      </c>
    </row>
    <row r="60" spans="1:42" ht="11.25" customHeight="1" x14ac:dyDescent="0.25">
      <c r="A60" s="97"/>
      <c r="B60" s="97"/>
      <c r="C60" s="97"/>
      <c r="D60" s="97"/>
      <c r="E60" s="97"/>
      <c r="F60" s="97"/>
      <c r="G60" s="38" t="s">
        <v>113</v>
      </c>
      <c r="H60" s="38" t="s">
        <v>102</v>
      </c>
      <c r="I60" s="38">
        <f>'MERCADO TUSD'!$U$57</f>
        <v>66.038999999999987</v>
      </c>
      <c r="J60" s="15"/>
      <c r="L60" s="31">
        <f>'TR TUSD'!$L$60*'TR TUSD'!$L$74</f>
        <v>4.0263687592814295</v>
      </c>
      <c r="M60" s="31">
        <f>'TR TUSD'!$M$60*'TR TUSD'!$M$74</f>
        <v>0.84102291402765827</v>
      </c>
      <c r="N60" s="31">
        <f ca="1">'TR TUSD'!$N$60*'TR TUSD'!$N$74</f>
        <v>6.1799182069239906</v>
      </c>
      <c r="O60" s="31">
        <f>'TR TUSD'!$O$60*'TR TUSD'!$O$74</f>
        <v>1.9190865198739564E-2</v>
      </c>
      <c r="P60" s="31">
        <f>'TR TUSD'!$P$60*'TR TUSD'!$P$74</f>
        <v>0</v>
      </c>
      <c r="Q60" s="31">
        <f>'TR TUSD'!$Q$60*'TR TUSD'!$Q$74</f>
        <v>38.182431744895922</v>
      </c>
      <c r="R60" s="31">
        <f>'TR TUSD'!$R$60*'TR TUSD'!$R$74</f>
        <v>14.414104263105399</v>
      </c>
      <c r="S60" s="31">
        <f>'TR TUSD'!$S$60*'TR TUSD'!$S$74</f>
        <v>0</v>
      </c>
      <c r="T60" s="31">
        <f ca="1">SUM($L$60:$S$60)</f>
        <v>63.66303675343314</v>
      </c>
      <c r="U60" s="31">
        <f>'TR TUSD'!$U$60*'TR TUSD'!$U$74</f>
        <v>66.795040482850382</v>
      </c>
      <c r="V60" s="31">
        <f>'TR TUSD'!$V$60*'TR TUSD'!$V$74</f>
        <v>20.720082001573623</v>
      </c>
      <c r="W60" s="31">
        <f>'TR TUSD'!$W$60*'TR TUSD'!$W$74</f>
        <v>3.3332345350530463</v>
      </c>
      <c r="X60" s="31">
        <f>'TR TUSD'!$X$60*'TR TUSD'!$X$74</f>
        <v>0.19389947699646579</v>
      </c>
      <c r="Y60" s="31">
        <f>'TR TUSD'!$Y$60*'TR TUSD'!$Y$74</f>
        <v>4.2708666770443164</v>
      </c>
      <c r="Z60" s="31">
        <f>'TR TUSD'!$Z$60</f>
        <v>0</v>
      </c>
      <c r="AA60" s="31">
        <f>'TR TUSD'!$AA$60</f>
        <v>0</v>
      </c>
      <c r="AB60" s="31">
        <f>SUM($U$60:$AA$60)</f>
        <v>95.313123173517837</v>
      </c>
      <c r="AC60" s="31">
        <f>'TR TUSD'!$AC$60*'TR TUSD'!$AC$74</f>
        <v>463.58134993686684</v>
      </c>
      <c r="AD60" s="31">
        <f>SUM($AC$60:$AC$60)</f>
        <v>463.58134993686684</v>
      </c>
      <c r="AE60" s="31">
        <v>0</v>
      </c>
      <c r="AF60" s="31">
        <v>0</v>
      </c>
      <c r="AG60" s="31">
        <f>SUM($AE$60:$AF$60)</f>
        <v>0</v>
      </c>
      <c r="AH60" s="31">
        <f>'TR TUSD'!$AH$60*'TR TUSD'!$AH$74</f>
        <v>32.250377604372076</v>
      </c>
      <c r="AI60" s="31">
        <f>'TR TUSD'!$AI$60*'TR TUSD'!$AI$74</f>
        <v>0.97756078457782125</v>
      </c>
      <c r="AJ60" s="31">
        <f ca="1">'TR TUSD'!$AJ$60*'TR TUSD'!$AJ$74</f>
        <v>10.921635518803569</v>
      </c>
      <c r="AK60" s="31">
        <f ca="1">'TR TUSD'!$AK$60*'TR TUSD'!$AK$74</f>
        <v>0</v>
      </c>
      <c r="AL60" s="31">
        <f ca="1">SUM($AH$60:$AK$60)</f>
        <v>44.149573907753464</v>
      </c>
      <c r="AM60" s="31">
        <f ca="1">SUMIF($L$4:$AL$4,"SUBTOTAL",$L$60:$AL$60)</f>
        <v>666.70708377157132</v>
      </c>
      <c r="AP60" s="31">
        <f>IF((1 - CUSTOS!$M$31)&lt;&gt;0,1/(1 - CUSTOS!$M$31),1)</f>
        <v>1</v>
      </c>
    </row>
    <row r="61" spans="1:42" ht="11.25" customHeight="1" x14ac:dyDescent="0.25">
      <c r="A61" s="97"/>
      <c r="B61" s="97"/>
      <c r="C61" s="97"/>
      <c r="D61" s="97"/>
      <c r="E61" s="97"/>
      <c r="F61" s="97"/>
      <c r="G61" s="38" t="s">
        <v>104</v>
      </c>
      <c r="H61" s="38" t="s">
        <v>102</v>
      </c>
      <c r="I61" s="38">
        <f>'MERCADO TUSD'!$U$58</f>
        <v>1004.5179999999999</v>
      </c>
      <c r="J61" s="15"/>
      <c r="L61" s="31">
        <f>'TR TUSD'!$L$61*'TR TUSD'!$L$74</f>
        <v>4.0263687592814295</v>
      </c>
      <c r="M61" s="31">
        <f>'TR TUSD'!$M$61*'TR TUSD'!$M$74</f>
        <v>0.84102291402765827</v>
      </c>
      <c r="N61" s="31">
        <f ca="1">'TR TUSD'!$N$61*'TR TUSD'!$N$74</f>
        <v>2.6585111645490462</v>
      </c>
      <c r="O61" s="31">
        <f>'TR TUSD'!$O$61*'TR TUSD'!$O$74</f>
        <v>1.9190865198739564E-2</v>
      </c>
      <c r="P61" s="31">
        <f>'TR TUSD'!$P$61*'TR TUSD'!$P$74</f>
        <v>0</v>
      </c>
      <c r="Q61" s="31">
        <f>'TR TUSD'!$Q$61*'TR TUSD'!$Q$74</f>
        <v>38.182431744895922</v>
      </c>
      <c r="R61" s="31">
        <f>'TR TUSD'!$R$61*'TR TUSD'!$R$74</f>
        <v>14.414104263105399</v>
      </c>
      <c r="S61" s="31">
        <f>'TR TUSD'!$S$61*'TR TUSD'!$S$74</f>
        <v>0</v>
      </c>
      <c r="T61" s="31">
        <f ca="1">SUM($L$61:$S$61)</f>
        <v>60.141629711058194</v>
      </c>
      <c r="U61" s="31">
        <f>'TR TUSD'!$U$61*'TR TUSD'!$U$74</f>
        <v>22.265013494283458</v>
      </c>
      <c r="V61" s="31">
        <f>'TR TUSD'!$V$61*'TR TUSD'!$V$74</f>
        <v>6.9066513755569376</v>
      </c>
      <c r="W61" s="31">
        <f>'TR TUSD'!$W$61*'TR TUSD'!$W$74</f>
        <v>1.1110781783510155</v>
      </c>
      <c r="X61" s="31">
        <f>'TR TUSD'!$X$61*'TR TUSD'!$X$74</f>
        <v>6.4599670315402855E-2</v>
      </c>
      <c r="Y61" s="31">
        <f>'TR TUSD'!$Y$61*'TR TUSD'!$Y$74</f>
        <v>1.4236222256814388</v>
      </c>
      <c r="Z61" s="31">
        <f>'TR TUSD'!$Z$61</f>
        <v>0</v>
      </c>
      <c r="AA61" s="31">
        <f>'TR TUSD'!$AA$61</f>
        <v>0</v>
      </c>
      <c r="AB61" s="31">
        <f>SUM($U$61:$AA$61)</f>
        <v>31.77096494418825</v>
      </c>
      <c r="AC61" s="31">
        <f>'TR TUSD'!$AC$61*'TR TUSD'!$AC$74</f>
        <v>154.52707916630405</v>
      </c>
      <c r="AD61" s="31">
        <f>SUM($AC$61:$AC$61)</f>
        <v>154.52707916630405</v>
      </c>
      <c r="AE61" s="31">
        <v>0</v>
      </c>
      <c r="AF61" s="31">
        <v>0</v>
      </c>
      <c r="AG61" s="31">
        <f>SUM($AE$61:$AF$61)</f>
        <v>0</v>
      </c>
      <c r="AH61" s="31">
        <f>'TR TUSD'!$AH$61*'TR TUSD'!$AH$74</f>
        <v>32.250377604372076</v>
      </c>
      <c r="AI61" s="31">
        <f>'TR TUSD'!$AI$61*'TR TUSD'!$AI$74</f>
        <v>0.97756078457782125</v>
      </c>
      <c r="AJ61" s="31">
        <f ca="1">'TR TUSD'!$AJ$61*'TR TUSD'!$AJ$74</f>
        <v>10.921635518803569</v>
      </c>
      <c r="AK61" s="31">
        <f ca="1">'TR TUSD'!$AK$61*'TR TUSD'!$AK$74</f>
        <v>0</v>
      </c>
      <c r="AL61" s="31">
        <f ca="1">SUM($AH$61:$AK$61)</f>
        <v>44.149573907753464</v>
      </c>
      <c r="AM61" s="31">
        <f ca="1">SUMIF($L$4:$AL$4,"SUBTOTAL",$L$61:$AL$61)</f>
        <v>290.58924772930396</v>
      </c>
      <c r="AP61" s="31">
        <f>IF((1 - CUSTOS!$M$31)&lt;&gt;0,1/(1 - CUSTOS!$M$31),1)</f>
        <v>1</v>
      </c>
    </row>
    <row r="62" spans="1:42" ht="11.25" customHeight="1" x14ac:dyDescent="0.25">
      <c r="A62" s="97"/>
      <c r="B62" s="37" t="s">
        <v>23</v>
      </c>
      <c r="C62" s="37" t="s">
        <v>25</v>
      </c>
      <c r="D62" s="37" t="s">
        <v>25</v>
      </c>
      <c r="E62" s="37" t="s">
        <v>25</v>
      </c>
      <c r="F62" s="37" t="s">
        <v>25</v>
      </c>
      <c r="G62" s="38" t="s">
        <v>108</v>
      </c>
      <c r="H62" s="38" t="s">
        <v>102</v>
      </c>
      <c r="I62" s="38">
        <f>'MERCADO TUSD'!$U$59</f>
        <v>650710.04299999995</v>
      </c>
      <c r="J62" s="15"/>
      <c r="L62" s="31">
        <f>'TR TUSD'!$L$62*'TR TUSD'!$L$74</f>
        <v>4.0263687592814295</v>
      </c>
      <c r="M62" s="31">
        <f>'TR TUSD'!$M$62*'TR TUSD'!$M$74</f>
        <v>0.84102291402765827</v>
      </c>
      <c r="N62" s="31">
        <f ca="1">'TR TUSD'!$N$62*'TR TUSD'!$N$74</f>
        <v>3.4870785999941858</v>
      </c>
      <c r="O62" s="31">
        <f>'TR TUSD'!$O$62*'TR TUSD'!$O$74</f>
        <v>1.9190865198739564E-2</v>
      </c>
      <c r="P62" s="31">
        <f>'TR TUSD'!$P$62*'TR TUSD'!$P$74</f>
        <v>0</v>
      </c>
      <c r="Q62" s="31">
        <f>'TR TUSD'!$Q$62*'TR TUSD'!$Q$74</f>
        <v>38.182431744895922</v>
      </c>
      <c r="R62" s="31">
        <f>'TR TUSD'!$R$62*'TR TUSD'!$R$74</f>
        <v>14.414104263105399</v>
      </c>
      <c r="S62" s="31">
        <f>'TR TUSD'!$S$62*'TR TUSD'!$S$74</f>
        <v>0</v>
      </c>
      <c r="T62" s="31">
        <f ca="1">SUM($L$62:$S$62)</f>
        <v>60.970197146503338</v>
      </c>
      <c r="U62" s="31">
        <f>'TR TUSD'!$U$62*'TR TUSD'!$U$74</f>
        <v>32.742732247838184</v>
      </c>
      <c r="V62" s="31">
        <f>'TR TUSD'!$V$62*'TR TUSD'!$V$74</f>
        <v>10.156847780225075</v>
      </c>
      <c r="W62" s="31">
        <f>'TR TUSD'!$W$62*'TR TUSD'!$W$74</f>
        <v>1.6339312761463833</v>
      </c>
      <c r="X62" s="31">
        <f>'TR TUSD'!$X$62*'TR TUSD'!$X$74</f>
        <v>9.5040883543345417E-2</v>
      </c>
      <c r="Y62" s="31">
        <f>'TR TUSD'!$Y$62*'TR TUSD'!$Y$74</f>
        <v>2.0935916792114702</v>
      </c>
      <c r="Z62" s="31">
        <f>'TR TUSD'!$Z$62</f>
        <v>0</v>
      </c>
      <c r="AA62" s="31">
        <f>'TR TUSD'!$AA$62</f>
        <v>0</v>
      </c>
      <c r="AB62" s="31">
        <f>SUM($U$62:$AA$62)</f>
        <v>46.722143866964458</v>
      </c>
      <c r="AC62" s="31">
        <f>'TR TUSD'!$AC$62*'TR TUSD'!$AC$74</f>
        <v>227.24576418230552</v>
      </c>
      <c r="AD62" s="31">
        <f>SUM($AC$62:$AC$62)</f>
        <v>227.24576418230552</v>
      </c>
      <c r="AE62" s="31">
        <v>0</v>
      </c>
      <c r="AF62" s="31">
        <v>0</v>
      </c>
      <c r="AG62" s="31">
        <f>SUM($AE$62:$AF$62)</f>
        <v>0</v>
      </c>
      <c r="AH62" s="31">
        <f>'TR TUSD'!$AH$62*'TR TUSD'!$AH$74</f>
        <v>32.250377604372076</v>
      </c>
      <c r="AI62" s="31">
        <f>'TR TUSD'!$AI$62*'TR TUSD'!$AI$74</f>
        <v>0.97756078457782125</v>
      </c>
      <c r="AJ62" s="31">
        <f ca="1">'TR TUSD'!$AJ$62*'TR TUSD'!$AJ$74</f>
        <v>10.921635518803569</v>
      </c>
      <c r="AK62" s="31">
        <f ca="1">'TR TUSD'!$AK$62*'TR TUSD'!$AK$74</f>
        <v>0</v>
      </c>
      <c r="AL62" s="31">
        <f ca="1">SUM($AH$62:$AK$62)</f>
        <v>44.149573907753464</v>
      </c>
      <c r="AM62" s="31">
        <f ca="1">SUMIF($L$4:$AL$4,"SUBTOTAL",$L$62:$AL$62)</f>
        <v>379.0876791035268</v>
      </c>
      <c r="AP62" s="31">
        <f>IF((1 - CUSTOS!$M$31)&lt;&gt;0,1/(1 - CUSTOS!$M$31),1)</f>
        <v>1</v>
      </c>
    </row>
    <row r="63" spans="1:42" ht="11.25" customHeight="1" x14ac:dyDescent="0.25">
      <c r="A63" s="97"/>
      <c r="B63" s="37" t="s">
        <v>115</v>
      </c>
      <c r="C63" s="37" t="s">
        <v>25</v>
      </c>
      <c r="D63" s="37" t="s">
        <v>25</v>
      </c>
      <c r="E63" s="37" t="s">
        <v>25</v>
      </c>
      <c r="F63" s="37" t="s">
        <v>25</v>
      </c>
      <c r="G63" s="38" t="s">
        <v>108</v>
      </c>
      <c r="H63" s="38" t="s">
        <v>102</v>
      </c>
      <c r="I63" s="38">
        <f>'MERCADO TUSD'!$U$60</f>
        <v>0</v>
      </c>
      <c r="J63" s="15"/>
      <c r="L63" s="31">
        <f>'TR TUSD'!$L$63*'TR TUSD'!$L$74</f>
        <v>4.0263687592814295</v>
      </c>
      <c r="M63" s="31">
        <f>'TR TUSD'!$M$63*'TR TUSD'!$M$74</f>
        <v>0.84102291402765827</v>
      </c>
      <c r="N63" s="31">
        <f ca="1">'TR TUSD'!$N$63*'TR TUSD'!$N$74</f>
        <v>3.4870785999941858</v>
      </c>
      <c r="O63" s="31">
        <f>'TR TUSD'!$O$63*'TR TUSD'!$O$74</f>
        <v>1.9190865198739564E-2</v>
      </c>
      <c r="P63" s="31">
        <f>'TR TUSD'!$P$63*'TR TUSD'!$P$74</f>
        <v>0</v>
      </c>
      <c r="Q63" s="31">
        <f>'TR TUSD'!$Q$63*'TR TUSD'!$Q$74</f>
        <v>38.182431744895922</v>
      </c>
      <c r="R63" s="31">
        <f>'TR TUSD'!$R$63*'TR TUSD'!$R$74</f>
        <v>14.414104263105399</v>
      </c>
      <c r="S63" s="31">
        <f>'TR TUSD'!$S$63*'TR TUSD'!$S$74</f>
        <v>0</v>
      </c>
      <c r="T63" s="31">
        <f ca="1">SUM($L$63:$S$63)</f>
        <v>60.970197146503338</v>
      </c>
      <c r="U63" s="31">
        <f>'TR TUSD'!$U$63*'TR TUSD'!$U$74</f>
        <v>32.742732247838184</v>
      </c>
      <c r="V63" s="31">
        <f>'TR TUSD'!$V$63*'TR TUSD'!$V$74</f>
        <v>10.156847780225075</v>
      </c>
      <c r="W63" s="31">
        <f>'TR TUSD'!$W$63*'TR TUSD'!$W$74</f>
        <v>1.6339312761463833</v>
      </c>
      <c r="X63" s="31">
        <f>'TR TUSD'!$X$63*'TR TUSD'!$X$74</f>
        <v>9.5040883543345417E-2</v>
      </c>
      <c r="Y63" s="31">
        <f>'TR TUSD'!$Y$63*'TR TUSD'!$Y$74</f>
        <v>2.0935916792114702</v>
      </c>
      <c r="Z63" s="31">
        <f>'TR TUSD'!$Z$63</f>
        <v>0</v>
      </c>
      <c r="AA63" s="31">
        <f>'TR TUSD'!$AA$63</f>
        <v>0</v>
      </c>
      <c r="AB63" s="31">
        <f>SUM($U$63:$AA$63)</f>
        <v>46.722143866964458</v>
      </c>
      <c r="AC63" s="31">
        <f>'TR TUSD'!$AC$63*'TR TUSD'!$AC$74</f>
        <v>227.24576418230552</v>
      </c>
      <c r="AD63" s="31">
        <f>SUM($AC$63:$AC$63)</f>
        <v>227.24576418230552</v>
      </c>
      <c r="AE63" s="31">
        <v>0</v>
      </c>
      <c r="AF63" s="31">
        <v>0</v>
      </c>
      <c r="AG63" s="31">
        <f>SUM($AE$63:$AF$63)</f>
        <v>0</v>
      </c>
      <c r="AH63" s="31">
        <f>'TR TUSD'!$AH$63*'TR TUSD'!$AH$74</f>
        <v>32.250377604372076</v>
      </c>
      <c r="AI63" s="31">
        <f>'TR TUSD'!$AI$63*'TR TUSD'!$AI$74</f>
        <v>0.97756078457782125</v>
      </c>
      <c r="AJ63" s="31">
        <f ca="1">'TR TUSD'!$AJ$63*'TR TUSD'!$AJ$74</f>
        <v>10.921635518803569</v>
      </c>
      <c r="AK63" s="31">
        <f ca="1">'TR TUSD'!$AK$63*'TR TUSD'!$AK$74</f>
        <v>0</v>
      </c>
      <c r="AL63" s="31">
        <f ca="1">SUM($AH$63:$AK$63)</f>
        <v>44.149573907753464</v>
      </c>
      <c r="AM63" s="31">
        <f ca="1">SUMIF($L$4:$AL$4,"SUBTOTAL",$L$63:$AL$63)</f>
        <v>379.0876791035268</v>
      </c>
      <c r="AP63" s="31">
        <f>IF((1 - CUSTOS!$M$31)&lt;&gt;0,1/(1 - CUSTOS!$M$31),1)</f>
        <v>1</v>
      </c>
    </row>
    <row r="64" spans="1:42" ht="11.25" customHeight="1" x14ac:dyDescent="0.25">
      <c r="A64" s="97" t="s">
        <v>47</v>
      </c>
      <c r="B64" s="97" t="s">
        <v>23</v>
      </c>
      <c r="C64" s="97" t="s">
        <v>48</v>
      </c>
      <c r="D64" s="37" t="s">
        <v>49</v>
      </c>
      <c r="E64" s="37" t="s">
        <v>25</v>
      </c>
      <c r="F64" s="37" t="s">
        <v>25</v>
      </c>
      <c r="G64" s="38" t="s">
        <v>108</v>
      </c>
      <c r="H64" s="38" t="s">
        <v>102</v>
      </c>
      <c r="I64" s="38">
        <f>'MERCADO TUSD'!$U$61</f>
        <v>252172.81799999997</v>
      </c>
      <c r="J64" s="15"/>
      <c r="L64" s="31">
        <f>'TR TUSD'!$L$64*'TR TUSD'!$L$74</f>
        <v>2.2145028176047865</v>
      </c>
      <c r="M64" s="31">
        <f>'TR TUSD'!$M$64*'TR TUSD'!$M$74</f>
        <v>0.46256260271521216</v>
      </c>
      <c r="N64" s="31">
        <f ca="1">'TR TUSD'!$N$64*'TR TUSD'!$N$74</f>
        <v>1.9178932299968021</v>
      </c>
      <c r="O64" s="31">
        <f>'TR TUSD'!$O$64*'TR TUSD'!$O$74</f>
        <v>1.0554975859306761E-2</v>
      </c>
      <c r="P64" s="31">
        <f>'TR TUSD'!$P$64*'TR TUSD'!$P$74</f>
        <v>0</v>
      </c>
      <c r="Q64" s="31">
        <f>'TR TUSD'!$Q$64*'TR TUSD'!$Q$74</f>
        <v>21.000337459692759</v>
      </c>
      <c r="R64" s="31">
        <f>'TR TUSD'!$R$64*'TR TUSD'!$R$74</f>
        <v>7.9277573447079703</v>
      </c>
      <c r="S64" s="31">
        <f>'TR TUSD'!$S$64*'TR TUSD'!$S$74</f>
        <v>0</v>
      </c>
      <c r="T64" s="31">
        <f ca="1">SUM($L$64:$S$64)</f>
        <v>33.533608430576834</v>
      </c>
      <c r="U64" s="31">
        <f>'TR TUSD'!$U$64*'TR TUSD'!$U$74</f>
        <v>18.008502736311002</v>
      </c>
      <c r="V64" s="31">
        <f>'TR TUSD'!$V$64*'TR TUSD'!$V$74</f>
        <v>5.5862662791237918</v>
      </c>
      <c r="W64" s="31">
        <f>'TR TUSD'!$W$64*'TR TUSD'!$W$74</f>
        <v>0.89866220188051094</v>
      </c>
      <c r="X64" s="31">
        <f>'TR TUSD'!$X$64*'TR TUSD'!$X$74</f>
        <v>5.2272485948839979E-2</v>
      </c>
      <c r="Y64" s="31">
        <f>'TR TUSD'!$Y$64*'TR TUSD'!$Y$74</f>
        <v>1.1514754235663087</v>
      </c>
      <c r="Z64" s="31">
        <f>'TR TUSD'!$Z$64</f>
        <v>0</v>
      </c>
      <c r="AA64" s="31">
        <f>'TR TUSD'!$AA$64</f>
        <v>0</v>
      </c>
      <c r="AB64" s="31">
        <f>SUM($U$64:$AA$64)</f>
        <v>25.697179126830456</v>
      </c>
      <c r="AC64" s="31">
        <f>'TR TUSD'!$AC$64*'TR TUSD'!$AC$74</f>
        <v>124.98517030026804</v>
      </c>
      <c r="AD64" s="31">
        <f>SUM($AC$64:$AC$64)</f>
        <v>124.98517030026804</v>
      </c>
      <c r="AE64" s="31">
        <v>0</v>
      </c>
      <c r="AF64" s="31">
        <v>0</v>
      </c>
      <c r="AG64" s="31">
        <f>SUM($AE$64:$AF$64)</f>
        <v>0</v>
      </c>
      <c r="AH64" s="31">
        <f>'TR TUSD'!$AH$64*'TR TUSD'!$AH$74</f>
        <v>17.737707682404643</v>
      </c>
      <c r="AI64" s="31">
        <f>'TR TUSD'!$AI$64*'TR TUSD'!$AI$74</f>
        <v>0.53765843151780179</v>
      </c>
      <c r="AJ64" s="31">
        <f ca="1">'TR TUSD'!$AJ$64*'TR TUSD'!$AJ$74</f>
        <v>6.0068995353419634</v>
      </c>
      <c r="AK64" s="31">
        <f ca="1">'TR TUSD'!$AK$64*'TR TUSD'!$AK$74</f>
        <v>0</v>
      </c>
      <c r="AL64" s="31">
        <f ca="1">SUM($AH$64:$AK$64)</f>
        <v>24.28226564926441</v>
      </c>
      <c r="AM64" s="31">
        <f ca="1">SUMIF($L$4:$AL$4,"SUBTOTAL",$L$64:$AL$64)</f>
        <v>208.49822350693975</v>
      </c>
      <c r="AP64" s="31">
        <f>IF((1 - CUSTOS!$M$32)&lt;&gt;0,1/(1 - CUSTOS!$M$32),1)</f>
        <v>1.8181818181818181</v>
      </c>
    </row>
    <row r="65" spans="1:42" ht="11.25" customHeight="1" x14ac:dyDescent="0.25">
      <c r="A65" s="97"/>
      <c r="B65" s="97"/>
      <c r="C65" s="97"/>
      <c r="D65" s="38" t="s">
        <v>118</v>
      </c>
      <c r="E65" s="38" t="s">
        <v>25</v>
      </c>
      <c r="F65" s="38" t="s">
        <v>25</v>
      </c>
      <c r="G65" s="38" t="s">
        <v>108</v>
      </c>
      <c r="H65" s="38" t="s">
        <v>102</v>
      </c>
      <c r="I65" s="38">
        <f>'MERCADO TUSD'!$U$62</f>
        <v>0</v>
      </c>
      <c r="J65" s="15"/>
      <c r="L65" s="31">
        <f>'TR TUSD'!$L$65*'TR TUSD'!$L$74</f>
        <v>2.4158212555688574</v>
      </c>
      <c r="M65" s="31">
        <f>'TR TUSD'!$M$65*'TR TUSD'!$M$74</f>
        <v>0.5046137484165949</v>
      </c>
      <c r="N65" s="31">
        <f ca="1">'TR TUSD'!$N$65*'TR TUSD'!$N$74</f>
        <v>2.0922471599965116</v>
      </c>
      <c r="O65" s="31">
        <f>'TR TUSD'!$O$65*'TR TUSD'!$O$74</f>
        <v>1.1514519119243739E-2</v>
      </c>
      <c r="P65" s="31">
        <f>'TR TUSD'!$P$65*'TR TUSD'!$P$74</f>
        <v>0</v>
      </c>
      <c r="Q65" s="31">
        <f>'TR TUSD'!$Q$65*'TR TUSD'!$Q$74</f>
        <v>22.909459046937553</v>
      </c>
      <c r="R65" s="31">
        <f>'TR TUSD'!$R$65*'TR TUSD'!$R$74</f>
        <v>8.6484625578632386</v>
      </c>
      <c r="S65" s="31">
        <f>'TR TUSD'!$S$65*'TR TUSD'!$S$74</f>
        <v>0</v>
      </c>
      <c r="T65" s="31">
        <f ca="1">SUM($L$65:$S$65)</f>
        <v>36.582118287901999</v>
      </c>
      <c r="U65" s="31">
        <f>'TR TUSD'!$U$65*'TR TUSD'!$U$74</f>
        <v>19.645639348702908</v>
      </c>
      <c r="V65" s="31">
        <f>'TR TUSD'!$V$65*'TR TUSD'!$V$74</f>
        <v>6.0941086681350445</v>
      </c>
      <c r="W65" s="31">
        <f>'TR TUSD'!$W$65*'TR TUSD'!$W$74</f>
        <v>0.98035876568782987</v>
      </c>
      <c r="X65" s="31">
        <f>'TR TUSD'!$X$65*'TR TUSD'!$X$74</f>
        <v>5.7024530126007243E-2</v>
      </c>
      <c r="Y65" s="31">
        <f>'TR TUSD'!$Y$65*'TR TUSD'!$Y$74</f>
        <v>1.2561550075268821</v>
      </c>
      <c r="Z65" s="31">
        <f>'TR TUSD'!$Z$65</f>
        <v>0</v>
      </c>
      <c r="AA65" s="31">
        <f>'TR TUSD'!$AA$65</f>
        <v>0</v>
      </c>
      <c r="AB65" s="31">
        <f>SUM($U$65:$AA$65)</f>
        <v>28.033286320178668</v>
      </c>
      <c r="AC65" s="31">
        <f>'TR TUSD'!$AC$65*'TR TUSD'!$AC$74</f>
        <v>136.3474585093833</v>
      </c>
      <c r="AD65" s="31">
        <f>SUM($AC$65:$AC$65)</f>
        <v>136.3474585093833</v>
      </c>
      <c r="AE65" s="31">
        <v>0</v>
      </c>
      <c r="AF65" s="31">
        <v>0</v>
      </c>
      <c r="AG65" s="31">
        <f>SUM($AE$65:$AF$65)</f>
        <v>0</v>
      </c>
      <c r="AH65" s="31">
        <f>'TR TUSD'!$AH$65*'TR TUSD'!$AH$74</f>
        <v>19.350226562623245</v>
      </c>
      <c r="AI65" s="31">
        <f>'TR TUSD'!$AI$65*'TR TUSD'!$AI$74</f>
        <v>0.5865364707466928</v>
      </c>
      <c r="AJ65" s="31">
        <f ca="1">'TR TUSD'!$AJ$65*'TR TUSD'!$AJ$74</f>
        <v>6.5529813112821413</v>
      </c>
      <c r="AK65" s="31">
        <f ca="1">'TR TUSD'!$AK$65*'TR TUSD'!$AK$74</f>
        <v>0</v>
      </c>
      <c r="AL65" s="31">
        <f ca="1">SUM($AH$65:$AK$65)</f>
        <v>26.489744344652081</v>
      </c>
      <c r="AM65" s="31">
        <f ca="1">SUMIF($L$4:$AL$4,"SUBTOTAL",$L$65:$AL$65)</f>
        <v>227.45260746211605</v>
      </c>
      <c r="AP65" s="31">
        <f>IF((1 - CUSTOS!$M$33)&lt;&gt;0,1/(1 - CUSTOS!$M$33),1)</f>
        <v>1.6666666666666667</v>
      </c>
    </row>
    <row r="67" spans="1:42" ht="11.25" customHeight="1" x14ac:dyDescent="0.25">
      <c r="K67" s="34" t="s">
        <v>933</v>
      </c>
      <c r="L67" s="31">
        <f>SUMPRODUCT($I$5:$I65,$L$5:$L65)</f>
        <v>14228608.829814909</v>
      </c>
      <c r="M67" s="31">
        <f>SUMPRODUCT($I$5:$I65,$M$5:$M65)</f>
        <v>3354704.9346611425</v>
      </c>
      <c r="N67" s="31">
        <f ca="1">SUMPRODUCT($I$5:$I65,$N$5:$N65)</f>
        <v>12061233.936620025</v>
      </c>
      <c r="O67" s="31">
        <f>SUMPRODUCT($I$5:$I65,$O$5:$O65)</f>
        <v>103880.89285714283</v>
      </c>
      <c r="P67" s="31">
        <f>SUMPRODUCT($I$5:$I65,$P$5:$P65)</f>
        <v>0</v>
      </c>
      <c r="Q67" s="31">
        <f>SUMPRODUCT($I$5:$I65,$Q$5:$Q65)</f>
        <v>134931229.09243634</v>
      </c>
      <c r="R67" s="31">
        <f>SUMPRODUCT($I$5:$I65,$R$5:$R65)</f>
        <v>56366862.730122894</v>
      </c>
      <c r="S67" s="31">
        <f>SUMPRODUCT($I$5:$I65,$S$5:$S65)</f>
        <v>0</v>
      </c>
      <c r="T67" s="31">
        <f ca="1">SUMPRODUCT($I$5:$I65,$T$5:$T65)</f>
        <v>221046520.41651252</v>
      </c>
      <c r="U67" s="31">
        <f>SUMPRODUCT($I$5:$I65,$U$5:$U65)</f>
        <v>151911378.44200006</v>
      </c>
      <c r="V67" s="31">
        <f>SUMPRODUCT($I$5:$I65,$V$5:$V65)</f>
        <v>47135250.177000001</v>
      </c>
      <c r="W67" s="31">
        <f>SUMPRODUCT($I$5:$I65,$W$5:$W65)</f>
        <v>8156972.5290007787</v>
      </c>
      <c r="X67" s="31">
        <f>SUMPRODUCT($I$5:$I65,$X$5:$X65)</f>
        <v>440091.12</v>
      </c>
      <c r="Y67" s="31">
        <f>SUMPRODUCT($I$5:$I65,$Y$5:$Y65)</f>
        <v>11815920.792903904</v>
      </c>
      <c r="Z67" s="31">
        <f>SUMPRODUCT($I$5:$I65,$Z$5:$Z65)</f>
        <v>0</v>
      </c>
      <c r="AA67" s="31">
        <f>SUMPRODUCT($I$5:$I65,$AA$5:$AA65)</f>
        <v>0</v>
      </c>
      <c r="AB67" s="31">
        <f>SUMPRODUCT($I$5:$I65,$AB$5:$AB65)</f>
        <v>219459613.06090474</v>
      </c>
      <c r="AC67" s="31">
        <f>SUMPRODUCT($I$5:$I65,$AC$5:$AC65)</f>
        <v>892880835.41836607</v>
      </c>
      <c r="AD67" s="31">
        <f>SUMPRODUCT($I$5:$I65,$AD$5:$AD65)</f>
        <v>892880835.41836607</v>
      </c>
      <c r="AE67" s="31">
        <f>SUMPRODUCT($I$5:$I65,$AE$5:$AE65)</f>
        <v>0</v>
      </c>
      <c r="AF67" s="31">
        <f>SUMPRODUCT($I$5:$I65,$AF$5:$AF65)</f>
        <v>0</v>
      </c>
      <c r="AG67" s="31">
        <f>SUMPRODUCT($I$5:$I65,$AG$5:$AG65)</f>
        <v>0</v>
      </c>
      <c r="AH67" s="31">
        <f>SUMPRODUCT($I$5:$I65,$AH$5:$AH65)</f>
        <v>118936426.00091828</v>
      </c>
      <c r="AI67" s="31">
        <f>SUMPRODUCT($I$5:$I65,$AI$5:$AI65)</f>
        <v>4249126.5878501628</v>
      </c>
      <c r="AJ67" s="31">
        <f ca="1">SUMPRODUCT($I$5:$I65,$AJ$5:$AJ65)</f>
        <v>43112524.586167127</v>
      </c>
      <c r="AK67" s="31">
        <f ca="1">SUMPRODUCT($I$5:$I65,$AK$5:$AK65)</f>
        <v>0</v>
      </c>
      <c r="AL67" s="31">
        <f ca="1">SUMPRODUCT($I$5:$I65,$AL$5:$AL65)</f>
        <v>166298077.17493555</v>
      </c>
      <c r="AM67" s="31">
        <f ca="1">SUMPRODUCT($I$5:$I65,$AM$5:$AM65)</f>
        <v>1499685046.070719</v>
      </c>
    </row>
    <row r="68" spans="1:42" ht="11.25" customHeight="1" x14ac:dyDescent="0.25">
      <c r="K68" s="34" t="s">
        <v>876</v>
      </c>
      <c r="L68" s="31">
        <f>'TR TUSD'!$L$70</f>
        <v>14228608.829814913</v>
      </c>
      <c r="M68" s="31">
        <f>'TR TUSD'!$M$70</f>
        <v>3354704.9346611435</v>
      </c>
      <c r="N68" s="31">
        <f>'TR TUSD'!$N$70</f>
        <v>12061233.936620025</v>
      </c>
      <c r="O68" s="31">
        <f>'TR TUSD'!$O$70</f>
        <v>103880.89285714286</v>
      </c>
      <c r="P68" s="31">
        <f>'TR TUSD'!$P$70</f>
        <v>0</v>
      </c>
      <c r="Q68" s="31">
        <f>'TR TUSD'!$Q$70</f>
        <v>134931229.09243637</v>
      </c>
      <c r="R68" s="31">
        <f>'TR TUSD'!$R$70</f>
        <v>56366862.730122909</v>
      </c>
      <c r="S68" s="31">
        <f>'TR TUSD'!$S$70</f>
        <v>0</v>
      </c>
      <c r="T68" s="31">
        <f>'TR TUSD'!$T$70</f>
        <v>221046520.41651249</v>
      </c>
      <c r="U68" s="31">
        <f>'TR TUSD'!$U$70</f>
        <v>151911378.442</v>
      </c>
      <c r="V68" s="31">
        <f>'TR TUSD'!$V$70</f>
        <v>47135250.177000001</v>
      </c>
      <c r="W68" s="31">
        <f>'TR TUSD'!$W$70</f>
        <v>8156972.5290007796</v>
      </c>
      <c r="X68" s="31">
        <f>'TR TUSD'!$X$70</f>
        <v>440091.12</v>
      </c>
      <c r="Y68" s="31">
        <f>'TR TUSD'!$Y$70</f>
        <v>11815920.792903904</v>
      </c>
      <c r="Z68" s="31">
        <f>'TR TUSD'!$Z$70</f>
        <v>0</v>
      </c>
      <c r="AA68" s="31">
        <f>'TR TUSD'!$AA$70</f>
        <v>0</v>
      </c>
      <c r="AB68" s="31">
        <f>'TR TUSD'!$AB$70</f>
        <v>219459613.06090471</v>
      </c>
      <c r="AC68" s="31">
        <f>'TR TUSD'!$AC$70</f>
        <v>892880835.41836596</v>
      </c>
      <c r="AD68" s="31">
        <f>'TR TUSD'!$AD$70</f>
        <v>892880835.41836596</v>
      </c>
      <c r="AE68" s="31">
        <f>'TR TUSD'!$AE$70</f>
        <v>0</v>
      </c>
      <c r="AF68" s="31">
        <f>'TR TUSD'!$AF$70</f>
        <v>0</v>
      </c>
      <c r="AG68" s="31">
        <f>'TR TUSD'!$AG$70</f>
        <v>0</v>
      </c>
      <c r="AH68" s="31">
        <f>'TR TUSD'!$AH$70</f>
        <v>118936426.00091825</v>
      </c>
      <c r="AI68" s="31">
        <f>'TR TUSD'!$AI$70</f>
        <v>4249126.5878501628</v>
      </c>
      <c r="AJ68" s="31">
        <f>'TR TUSD'!$AJ$70</f>
        <v>43112524.586167142</v>
      </c>
      <c r="AK68" s="31">
        <f>'TR TUSD'!$AK$70</f>
        <v>0</v>
      </c>
      <c r="AL68" s="31">
        <f>'TR TUSD'!$AL$70</f>
        <v>166298077.17493558</v>
      </c>
      <c r="AM68" s="31">
        <f>CUSTOS!$D$29</f>
        <v>1499685046.0707188</v>
      </c>
    </row>
    <row r="69" spans="1:42" ht="11.25" customHeight="1" x14ac:dyDescent="0.25">
      <c r="K69" s="34" t="s">
        <v>877</v>
      </c>
      <c r="L69" s="31">
        <f>CUSTOS!$E$2</f>
        <v>-354639.46393461735</v>
      </c>
      <c r="M69" s="31">
        <f>CUSTOS!$E$3</f>
        <v>-70760.489781174329</v>
      </c>
      <c r="N69" s="31">
        <f>CUSTOS!$E$4</f>
        <v>0</v>
      </c>
      <c r="O69" s="31">
        <f>CUSTOS!$E$5</f>
        <v>-2504.5058717452998</v>
      </c>
      <c r="P69" s="31">
        <f>CUSTOS!$E$6</f>
        <v>0</v>
      </c>
      <c r="Q69" s="31">
        <f>CUSTOS!$E$7</f>
        <v>-567230.78606959688</v>
      </c>
      <c r="R69" s="31">
        <f>CUSTOS!$E$8</f>
        <v>-502190.41248689161</v>
      </c>
      <c r="S69" s="31">
        <f>CUSTOS!$E$9</f>
        <v>0</v>
      </c>
      <c r="T69" s="31">
        <f>CUSTOS!$E$10</f>
        <v>-1497325.6581440256</v>
      </c>
      <c r="U69" s="31">
        <f>CUSTOS!$E$11</f>
        <v>834158.35808967892</v>
      </c>
      <c r="V69" s="31">
        <f>CUSTOS!$E$12</f>
        <v>0</v>
      </c>
      <c r="W69" s="31">
        <f>CUSTOS!$E$13</f>
        <v>0</v>
      </c>
      <c r="X69" s="31">
        <f>CUSTOS!$E$14</f>
        <v>0</v>
      </c>
      <c r="Y69" s="31">
        <f>CUSTOS!$E$15</f>
        <v>-544707.03299491131</v>
      </c>
      <c r="Z69" s="31">
        <f>CUSTOS!$E$16</f>
        <v>0</v>
      </c>
      <c r="AA69" s="31">
        <f>CUSTOS!$E$17</f>
        <v>0</v>
      </c>
      <c r="AB69" s="31">
        <f>CUSTOS!$E$18</f>
        <v>289451.32509476761</v>
      </c>
      <c r="AC69" s="31">
        <f>CUSTOS!$E$19</f>
        <v>0</v>
      </c>
      <c r="AD69" s="31">
        <f>CUSTOS!$E$20</f>
        <v>0</v>
      </c>
      <c r="AE69" s="31">
        <f>CUSTOS!$E$21</f>
        <v>-135294318.49511474</v>
      </c>
      <c r="AF69" s="31">
        <f>CUSTOS!$E$22</f>
        <v>0</v>
      </c>
      <c r="AG69" s="31">
        <f>CUSTOS!$E$23</f>
        <v>-135294318.49511474</v>
      </c>
      <c r="AH69" s="31">
        <f>CUSTOS!$E$24</f>
        <v>-13853613.397409128</v>
      </c>
      <c r="AI69" s="31">
        <f>CUSTOS!$E$25</f>
        <v>-494934.638646985</v>
      </c>
      <c r="AJ69" s="31">
        <f>CUSTOS!$E$26</f>
        <v>-5021710.0705417553</v>
      </c>
      <c r="AK69" s="31">
        <f>CUSTOS!$E$27</f>
        <v>0</v>
      </c>
      <c r="AL69" s="31">
        <f>CUSTOS!$E$28</f>
        <v>-19370258.106597867</v>
      </c>
      <c r="AM69" s="31">
        <f>CUSTOS!$E$29</f>
        <v>-155872450.93476188</v>
      </c>
    </row>
    <row r="70" spans="1:42" ht="11.25" customHeight="1" x14ac:dyDescent="0.25">
      <c r="K70" s="34" t="s">
        <v>878</v>
      </c>
      <c r="L70" s="31">
        <f>CUSTOS!$F$2</f>
        <v>1183799.6534256104</v>
      </c>
      <c r="M70" s="31">
        <f>CUSTOS!$F$3</f>
        <v>0</v>
      </c>
      <c r="N70" s="31">
        <f>CUSTOS!$F$4</f>
        <v>0</v>
      </c>
      <c r="O70" s="31">
        <f>CUSTOS!$F$5</f>
        <v>0</v>
      </c>
      <c r="P70" s="31">
        <f>CUSTOS!$F$6</f>
        <v>0</v>
      </c>
      <c r="Q70" s="31">
        <f>CUSTOS!$F$7</f>
        <v>32435106.428576518</v>
      </c>
      <c r="R70" s="31">
        <f>CUSTOS!$F$8</f>
        <v>14727666.253347442</v>
      </c>
      <c r="S70" s="31">
        <f>CUSTOS!$F$9</f>
        <v>0</v>
      </c>
      <c r="T70" s="31">
        <f>CUSTOS!$F$10</f>
        <v>48346572.335349567</v>
      </c>
      <c r="U70" s="31">
        <f>CUSTOS!$F$11</f>
        <v>7398562.6477510631</v>
      </c>
      <c r="V70" s="31">
        <f>CUSTOS!$F$12</f>
        <v>2295635.1586599601</v>
      </c>
      <c r="W70" s="31">
        <f>CUSTOS!$F$13</f>
        <v>0</v>
      </c>
      <c r="X70" s="31">
        <f>CUSTOS!$F$14</f>
        <v>0</v>
      </c>
      <c r="Y70" s="31">
        <f>CUSTOS!$F$15</f>
        <v>0</v>
      </c>
      <c r="Z70" s="31">
        <f>CUSTOS!$F$16</f>
        <v>0</v>
      </c>
      <c r="AA70" s="31">
        <f>CUSTOS!$F$17</f>
        <v>0</v>
      </c>
      <c r="AB70" s="31">
        <f>CUSTOS!$F$18</f>
        <v>9694197.8064110242</v>
      </c>
      <c r="AC70" s="31">
        <f>CUSTOS!$F$19</f>
        <v>0</v>
      </c>
      <c r="AD70" s="31">
        <f>CUSTOS!$F$20</f>
        <v>0</v>
      </c>
      <c r="AE70" s="31">
        <f>CUSTOS!$F$21</f>
        <v>0</v>
      </c>
      <c r="AF70" s="31">
        <f>CUSTOS!$F$22</f>
        <v>0</v>
      </c>
      <c r="AG70" s="31">
        <f>CUSTOS!$F$23</f>
        <v>0</v>
      </c>
      <c r="AH70" s="31">
        <f>CUSTOS!$F$24</f>
        <v>6078889.7822317462</v>
      </c>
      <c r="AI70" s="31">
        <f>CUSTOS!$F$25</f>
        <v>217174.61224278065</v>
      </c>
      <c r="AJ70" s="31">
        <f>CUSTOS!$F$26</f>
        <v>2203498.9111833824</v>
      </c>
      <c r="AK70" s="31">
        <f>CUSTOS!$F$27</f>
        <v>0</v>
      </c>
      <c r="AL70" s="31">
        <f>CUSTOS!$F$28</f>
        <v>8499563.3056579083</v>
      </c>
      <c r="AM70" s="31">
        <f>CUSTOS!$F$29</f>
        <v>66540333.447418496</v>
      </c>
    </row>
    <row r="71" spans="1:42" ht="11.25" customHeight="1" x14ac:dyDescent="0.25">
      <c r="K71" s="34" t="s">
        <v>930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f>SUM($L$71:$S$71)</f>
        <v>0</v>
      </c>
      <c r="U71" s="31">
        <v>0</v>
      </c>
      <c r="V71" s="31">
        <v>0</v>
      </c>
      <c r="W71" s="31">
        <v>0</v>
      </c>
      <c r="X71" s="31">
        <v>0</v>
      </c>
      <c r="Y71" s="31">
        <v>0</v>
      </c>
      <c r="Z71" s="31">
        <v>0</v>
      </c>
      <c r="AA71" s="31">
        <v>0</v>
      </c>
      <c r="AB71" s="31">
        <f>SUM($U$71:$AA$71)</f>
        <v>0</v>
      </c>
      <c r="AC71" s="31">
        <v>0</v>
      </c>
      <c r="AD71" s="31">
        <f>SUM($AC$71:$AC$71)</f>
        <v>0</v>
      </c>
      <c r="AE71" s="31">
        <v>0</v>
      </c>
      <c r="AF71" s="31">
        <v>0</v>
      </c>
      <c r="AG71" s="31">
        <f>SUM($AE$71:$AF$71)</f>
        <v>0</v>
      </c>
      <c r="AH71" s="31">
        <v>0</v>
      </c>
      <c r="AI71" s="31">
        <v>0</v>
      </c>
      <c r="AJ71" s="31">
        <v>0</v>
      </c>
      <c r="AK71" s="31">
        <v>0</v>
      </c>
      <c r="AL71" s="31">
        <f>SUM($AH$71:$AK$71)</f>
        <v>0</v>
      </c>
      <c r="AM71" s="31">
        <f>SUMIF($L$4:$AL$4,"SUBTOTAL",$L$71:$AL$71)</f>
        <v>0</v>
      </c>
    </row>
    <row r="72" spans="1:42" ht="11.25" customHeight="1" x14ac:dyDescent="0.25">
      <c r="K72" s="34" t="s">
        <v>934</v>
      </c>
      <c r="L72" s="31">
        <f t="shared" ref="L72:R72" si="0">IF((L67-(0))&lt;&gt;0,(L69)/(L67-(0)),0)</f>
        <v>-2.4924394800389677E-2</v>
      </c>
      <c r="M72" s="31">
        <f t="shared" si="0"/>
        <v>-2.1092910154353654E-2</v>
      </c>
      <c r="N72" s="31">
        <f t="shared" ca="1" si="0"/>
        <v>0</v>
      </c>
      <c r="O72" s="31">
        <f t="shared" si="0"/>
        <v>-2.4109398782213978E-2</v>
      </c>
      <c r="P72" s="31">
        <f t="shared" si="0"/>
        <v>0</v>
      </c>
      <c r="Q72" s="31">
        <f t="shared" si="0"/>
        <v>-4.2038510275557352E-3</v>
      </c>
      <c r="R72" s="31">
        <f t="shared" si="0"/>
        <v>-8.9093199117948624E-3</v>
      </c>
      <c r="S72" s="31">
        <f>IF((R67-(0)&lt;&gt;0),(S69)/(R67-(0)),0)</f>
        <v>0</v>
      </c>
      <c r="T72" s="31"/>
      <c r="U72" s="31">
        <f t="shared" ref="U72:AA72" si="1">IF((U67-(0))&lt;&gt;0,(U69)/(U67-(0)),0)</f>
        <v>5.4910854383969764E-3</v>
      </c>
      <c r="V72" s="31">
        <f t="shared" si="1"/>
        <v>0</v>
      </c>
      <c r="W72" s="31">
        <f t="shared" si="1"/>
        <v>0</v>
      </c>
      <c r="X72" s="31">
        <f t="shared" si="1"/>
        <v>0</v>
      </c>
      <c r="Y72" s="31">
        <f t="shared" si="1"/>
        <v>-4.6099414725430214E-2</v>
      </c>
      <c r="Z72" s="31">
        <f t="shared" si="1"/>
        <v>0</v>
      </c>
      <c r="AA72" s="31">
        <f t="shared" si="1"/>
        <v>0</v>
      </c>
      <c r="AB72" s="31"/>
      <c r="AC72" s="31">
        <f>IF((AC67-(0))&lt;&gt;0,(AC69)/(AC67-(0)),0)</f>
        <v>0</v>
      </c>
      <c r="AD72" s="31"/>
      <c r="AE72" s="31">
        <f ca="1">IF(($AM67-(0))&lt;&gt;0,(AE69)/($AM67-(0)),0)</f>
        <v>-9.0215154741720899E-2</v>
      </c>
      <c r="AF72" s="31">
        <f ca="1">IF(($AM67-(0))&lt;&gt;0,(AF69)/($AM67-(0)),0)</f>
        <v>0</v>
      </c>
      <c r="AG72" s="31"/>
      <c r="AH72" s="31">
        <f>IF((AH67-(0))&lt;&gt;0,(AH69)/(AH67-(0)),0)</f>
        <v>-0.11647914657618993</v>
      </c>
      <c r="AI72" s="31">
        <f>IF((AI67-(0))&lt;&gt;0,(AI69)/(AI67-(0)),0)</f>
        <v>-0.11647914657618996</v>
      </c>
      <c r="AJ72" s="31">
        <f ca="1">IF((AJ67-(0))&lt;&gt;0,(AJ69)/(AJ67-(0)),0)</f>
        <v>-0.11647914657618999</v>
      </c>
      <c r="AK72" s="31">
        <f ca="1">IF((AK67-(0))&lt;&gt;0,(AK69)/(AK67-(0)),0)</f>
        <v>0</v>
      </c>
      <c r="AL72" s="31"/>
      <c r="AM72" s="31"/>
    </row>
  </sheetData>
  <mergeCells count="90"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9:C11"/>
    <mergeCell ref="D9:D11"/>
    <mergeCell ref="E9:E11"/>
    <mergeCell ref="F9:F11"/>
    <mergeCell ref="F5:F7"/>
    <mergeCell ref="B9:B11"/>
    <mergeCell ref="A5:A12"/>
    <mergeCell ref="B5:B8"/>
    <mergeCell ref="C5:C8"/>
    <mergeCell ref="D5:D8"/>
    <mergeCell ref="E5:E7"/>
    <mergeCell ref="B1:B4"/>
    <mergeCell ref="C1:C4"/>
    <mergeCell ref="D1:D4"/>
    <mergeCell ref="E1:E4"/>
    <mergeCell ref="E17:E22"/>
    <mergeCell ref="F17:F19"/>
    <mergeCell ref="F20:F22"/>
    <mergeCell ref="B13:B16"/>
    <mergeCell ref="C13:C16"/>
    <mergeCell ref="D13:D16"/>
    <mergeCell ref="E13:E15"/>
    <mergeCell ref="F24:F26"/>
    <mergeCell ref="E27:E28"/>
    <mergeCell ref="F27:F28"/>
    <mergeCell ref="A29:A30"/>
    <mergeCell ref="B29:B30"/>
    <mergeCell ref="C29:C30"/>
    <mergeCell ref="D29:D30"/>
    <mergeCell ref="A13:A28"/>
    <mergeCell ref="B24:B28"/>
    <mergeCell ref="C24:C28"/>
    <mergeCell ref="D24:D28"/>
    <mergeCell ref="E24:E26"/>
    <mergeCell ref="F13:F15"/>
    <mergeCell ref="B17:B22"/>
    <mergeCell ref="C17:C22"/>
    <mergeCell ref="D17:D22"/>
    <mergeCell ref="A31:A43"/>
    <mergeCell ref="B31:B33"/>
    <mergeCell ref="C31:C33"/>
    <mergeCell ref="D31:D33"/>
    <mergeCell ref="E31:E33"/>
    <mergeCell ref="F31:F33"/>
    <mergeCell ref="B34:B38"/>
    <mergeCell ref="C34:C38"/>
    <mergeCell ref="B39:B43"/>
    <mergeCell ref="C39:C43"/>
    <mergeCell ref="D52:D54"/>
    <mergeCell ref="E52:E54"/>
    <mergeCell ref="F52:F54"/>
    <mergeCell ref="D44:D46"/>
    <mergeCell ref="E44:E46"/>
    <mergeCell ref="F44:F46"/>
    <mergeCell ref="D48:D50"/>
    <mergeCell ref="E48:E50"/>
    <mergeCell ref="F48:F50"/>
    <mergeCell ref="B56:B58"/>
    <mergeCell ref="C56:C58"/>
    <mergeCell ref="A59:A63"/>
    <mergeCell ref="B59:B61"/>
    <mergeCell ref="C59:C61"/>
    <mergeCell ref="A44:A58"/>
    <mergeCell ref="B44:B46"/>
    <mergeCell ref="C44:C46"/>
    <mergeCell ref="B52:B54"/>
    <mergeCell ref="C52:C54"/>
    <mergeCell ref="B48:B50"/>
    <mergeCell ref="C48:C50"/>
    <mergeCell ref="E59:E61"/>
    <mergeCell ref="F59:F61"/>
    <mergeCell ref="A64:A65"/>
    <mergeCell ref="B64:B65"/>
    <mergeCell ref="C64:C65"/>
    <mergeCell ref="D59:D61"/>
  </mergeCells>
  <conditionalFormatting sqref="L67">
    <cfRule type="cellIs" dxfId="1636" priority="55" operator="notEqual">
      <formula>$L$68-$L$71</formula>
    </cfRule>
    <cfRule type="cellIs" dxfId="1635" priority="56" operator="equal">
      <formula>$L$68-$L$71</formula>
    </cfRule>
  </conditionalFormatting>
  <conditionalFormatting sqref="M67">
    <cfRule type="cellIs" dxfId="1634" priority="53" operator="notEqual">
      <formula>$M$68-$M$71</formula>
    </cfRule>
    <cfRule type="cellIs" dxfId="1633" priority="54" operator="equal">
      <formula>$M$68-$M$71</formula>
    </cfRule>
  </conditionalFormatting>
  <conditionalFormatting sqref="N67">
    <cfRule type="cellIs" dxfId="1632" priority="51" operator="notEqual">
      <formula>$N$68-$N$71</formula>
    </cfRule>
    <cfRule type="cellIs" dxfId="1631" priority="52" operator="equal">
      <formula>$N$68-$N$71</formula>
    </cfRule>
  </conditionalFormatting>
  <conditionalFormatting sqref="O67">
    <cfRule type="cellIs" dxfId="1630" priority="49" operator="notEqual">
      <formula>$O$68-$O$71</formula>
    </cfRule>
    <cfRule type="cellIs" dxfId="1629" priority="50" operator="equal">
      <formula>$O$68-$O$71</formula>
    </cfRule>
  </conditionalFormatting>
  <conditionalFormatting sqref="P67">
    <cfRule type="cellIs" dxfId="1628" priority="47" operator="notEqual">
      <formula>$P$68-$P$71</formula>
    </cfRule>
    <cfRule type="cellIs" dxfId="1627" priority="48" operator="equal">
      <formula>$P$68-$P$71</formula>
    </cfRule>
  </conditionalFormatting>
  <conditionalFormatting sqref="Q67">
    <cfRule type="cellIs" dxfId="1626" priority="45" operator="notEqual">
      <formula>$Q$68-$Q$71</formula>
    </cfRule>
    <cfRule type="cellIs" dxfId="1625" priority="46" operator="equal">
      <formula>$Q$68-$Q$71</formula>
    </cfRule>
  </conditionalFormatting>
  <conditionalFormatting sqref="R67">
    <cfRule type="cellIs" dxfId="1624" priority="43" operator="notEqual">
      <formula>$R$68-$R$71</formula>
    </cfRule>
    <cfRule type="cellIs" dxfId="1623" priority="44" operator="equal">
      <formula>$R$68-$R$71</formula>
    </cfRule>
  </conditionalFormatting>
  <conditionalFormatting sqref="S67">
    <cfRule type="cellIs" dxfId="1622" priority="41" operator="notEqual">
      <formula>$S$68-$S$71</formula>
    </cfRule>
    <cfRule type="cellIs" dxfId="1621" priority="42" operator="equal">
      <formula>$S$68-$S$71</formula>
    </cfRule>
  </conditionalFormatting>
  <conditionalFormatting sqref="T67">
    <cfRule type="cellIs" dxfId="1620" priority="39" operator="notEqual">
      <formula>$T$68-$T$71</formula>
    </cfRule>
    <cfRule type="cellIs" dxfId="1619" priority="40" operator="equal">
      <formula>$T$68-$T$71</formula>
    </cfRule>
  </conditionalFormatting>
  <conditionalFormatting sqref="U67">
    <cfRule type="cellIs" dxfId="1618" priority="37" operator="notEqual">
      <formula>$U$68-$U$71</formula>
    </cfRule>
    <cfRule type="cellIs" dxfId="1617" priority="38" operator="equal">
      <formula>$U$68-$U$71</formula>
    </cfRule>
  </conditionalFormatting>
  <conditionalFormatting sqref="V67">
    <cfRule type="cellIs" dxfId="1616" priority="35" operator="notEqual">
      <formula>$V$68-$V$71</formula>
    </cfRule>
    <cfRule type="cellIs" dxfId="1615" priority="36" operator="equal">
      <formula>$V$68-$V$71</formula>
    </cfRule>
  </conditionalFormatting>
  <conditionalFormatting sqref="W67">
    <cfRule type="cellIs" dxfId="1614" priority="33" operator="notEqual">
      <formula>$W$68-$W$71</formula>
    </cfRule>
    <cfRule type="cellIs" dxfId="1613" priority="34" operator="equal">
      <formula>$W$68-$W$71</formula>
    </cfRule>
  </conditionalFormatting>
  <conditionalFormatting sqref="X67">
    <cfRule type="cellIs" dxfId="1612" priority="31" operator="notEqual">
      <formula>$X$68-$X$71</formula>
    </cfRule>
    <cfRule type="cellIs" dxfId="1611" priority="32" operator="equal">
      <formula>$X$68-$X$71</formula>
    </cfRule>
  </conditionalFormatting>
  <conditionalFormatting sqref="Y67">
    <cfRule type="cellIs" dxfId="1610" priority="29" operator="notEqual">
      <formula>$Y$68-$Y$71</formula>
    </cfRule>
    <cfRule type="cellIs" dxfId="1609" priority="30" operator="equal">
      <formula>$Y$68-$Y$71</formula>
    </cfRule>
  </conditionalFormatting>
  <conditionalFormatting sqref="Z67">
    <cfRule type="cellIs" dxfId="1608" priority="27" operator="notEqual">
      <formula>$Z$68-$Z$71</formula>
    </cfRule>
    <cfRule type="cellIs" dxfId="1607" priority="28" operator="equal">
      <formula>$Z$68-$Z$71</formula>
    </cfRule>
  </conditionalFormatting>
  <conditionalFormatting sqref="AA67">
    <cfRule type="cellIs" dxfId="1606" priority="25" operator="notEqual">
      <formula>$AA$68-$AA$71</formula>
    </cfRule>
    <cfRule type="cellIs" dxfId="1605" priority="26" operator="equal">
      <formula>$AA$68-$AA$71</formula>
    </cfRule>
  </conditionalFormatting>
  <conditionalFormatting sqref="AB67">
    <cfRule type="cellIs" dxfId="1604" priority="23" operator="notEqual">
      <formula>$AB$68-$AB$71</formula>
    </cfRule>
    <cfRule type="cellIs" dxfId="1603" priority="24" operator="equal">
      <formula>$AB$68-$AB$71</formula>
    </cfRule>
  </conditionalFormatting>
  <conditionalFormatting sqref="AC67">
    <cfRule type="cellIs" dxfId="1602" priority="21" operator="notEqual">
      <formula>$AC$68-$AC$71</formula>
    </cfRule>
    <cfRule type="cellIs" dxfId="1601" priority="22" operator="equal">
      <formula>$AC$68-$AC$71</formula>
    </cfRule>
  </conditionalFormatting>
  <conditionalFormatting sqref="AD67">
    <cfRule type="cellIs" dxfId="1600" priority="19" operator="notEqual">
      <formula>$AD$68-$AD$71</formula>
    </cfRule>
    <cfRule type="cellIs" dxfId="1599" priority="20" operator="equal">
      <formula>$AD$68-$AD$71</formula>
    </cfRule>
  </conditionalFormatting>
  <conditionalFormatting sqref="AE67">
    <cfRule type="cellIs" dxfId="1598" priority="17" operator="notEqual">
      <formula>$AE$68-$AE$71</formula>
    </cfRule>
    <cfRule type="cellIs" dxfId="1597" priority="18" operator="equal">
      <formula>$AE$68-$AE$71</formula>
    </cfRule>
  </conditionalFormatting>
  <conditionalFormatting sqref="AF67">
    <cfRule type="cellIs" dxfId="1596" priority="16" operator="equal">
      <formula>$AF$68-$AF$71</formula>
    </cfRule>
  </conditionalFormatting>
  <conditionalFormatting sqref="AF67">
    <cfRule type="cellIs" dxfId="1595" priority="15" operator="notEqual">
      <formula>$AF$68-$AF$71</formula>
    </cfRule>
  </conditionalFormatting>
  <conditionalFormatting sqref="AG67">
    <cfRule type="cellIs" dxfId="1594" priority="14" operator="equal">
      <formula>$AG$68-$AG$71</formula>
    </cfRule>
  </conditionalFormatting>
  <conditionalFormatting sqref="AG67">
    <cfRule type="cellIs" dxfId="1593" priority="13" operator="notEqual">
      <formula>$AG$68-$AG$71</formula>
    </cfRule>
  </conditionalFormatting>
  <conditionalFormatting sqref="AH67">
    <cfRule type="cellIs" dxfId="1592" priority="12" operator="equal">
      <formula>$AH$68-$AH$71</formula>
    </cfRule>
  </conditionalFormatting>
  <conditionalFormatting sqref="AH67">
    <cfRule type="cellIs" dxfId="1591" priority="11" operator="notEqual">
      <formula>$AH$68-$AH$71</formula>
    </cfRule>
  </conditionalFormatting>
  <conditionalFormatting sqref="AI67">
    <cfRule type="cellIs" dxfId="1590" priority="10" operator="equal">
      <formula>$AI$68-$AI$71</formula>
    </cfRule>
  </conditionalFormatting>
  <conditionalFormatting sqref="AI67">
    <cfRule type="cellIs" dxfId="1589" priority="9" operator="notEqual">
      <formula>$AI$68-$AI$71</formula>
    </cfRule>
  </conditionalFormatting>
  <conditionalFormatting sqref="AJ67">
    <cfRule type="cellIs" dxfId="1588" priority="8" operator="equal">
      <formula>$AJ$68-$AJ$71</formula>
    </cfRule>
  </conditionalFormatting>
  <conditionalFormatting sqref="AJ67">
    <cfRule type="cellIs" dxfId="1587" priority="7" operator="notEqual">
      <formula>$AJ$68-$AJ$71</formula>
    </cfRule>
  </conditionalFormatting>
  <conditionalFormatting sqref="AK67">
    <cfRule type="cellIs" dxfId="1586" priority="6" operator="equal">
      <formula>$AK$68-$AK$71</formula>
    </cfRule>
  </conditionalFormatting>
  <conditionalFormatting sqref="AK67">
    <cfRule type="cellIs" dxfId="1585" priority="5" operator="notEqual">
      <formula>$AK$68-$AK$71</formula>
    </cfRule>
  </conditionalFormatting>
  <conditionalFormatting sqref="AL67">
    <cfRule type="cellIs" dxfId="1584" priority="4" operator="equal">
      <formula>$AL$68-$AL$71</formula>
    </cfRule>
  </conditionalFormatting>
  <conditionalFormatting sqref="AL67">
    <cfRule type="cellIs" dxfId="1583" priority="3" operator="notEqual">
      <formula>$AL$68-$AL$71</formula>
    </cfRule>
  </conditionalFormatting>
  <conditionalFormatting sqref="AM67">
    <cfRule type="cellIs" dxfId="1582" priority="2" operator="equal">
      <formula>$AM$68-$AM$71</formula>
    </cfRule>
  </conditionalFormatting>
  <conditionalFormatting sqref="AM67">
    <cfRule type="cellIs" dxfId="1581" priority="1" operator="notEqual">
      <formula>$AM$68-$AM$71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3EE93-30E1-4481-9F71-0FFC5A78A429}">
  <dimension ref="A1:AP72"/>
  <sheetViews>
    <sheetView showGridLines="0" topLeftCell="Y43" workbookViewId="0">
      <selection activeCell="AO67" sqref="AO67:AP6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" style="9" bestFit="1" customWidth="1"/>
    <col min="14" max="14" width="10.85546875" style="9" bestFit="1" customWidth="1"/>
    <col min="15" max="15" width="8.7109375" style="9" bestFit="1" customWidth="1"/>
    <col min="16" max="16" width="4.42578125" style="9" bestFit="1" customWidth="1"/>
    <col min="17" max="17" width="11.7109375" style="9" bestFit="1" customWidth="1"/>
    <col min="18" max="18" width="10.85546875" style="9" bestFit="1" customWidth="1"/>
    <col min="19" max="19" width="8.7109375" style="9" bestFit="1" customWidth="1"/>
    <col min="20" max="21" width="11.7109375" style="9" bestFit="1" customWidth="1"/>
    <col min="22" max="22" width="10.85546875" style="9" bestFit="1" customWidth="1"/>
    <col min="23" max="23" width="10" style="9" bestFit="1" customWidth="1"/>
    <col min="24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12.28515625" style="9" bestFit="1" customWidth="1"/>
    <col min="32" max="32" width="7.28515625" style="9" bestFit="1" customWidth="1"/>
    <col min="33" max="33" width="12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1.7109375" style="9" bestFit="1" customWidth="1"/>
    <col min="39" max="39" width="13.140625" style="9" bestFit="1" customWidth="1"/>
    <col min="40" max="40" width="9.140625" style="9"/>
    <col min="41" max="42" width="13.140625" style="9" bestFit="1" customWidth="1"/>
    <col min="43" max="16384" width="9.140625" style="9"/>
  </cols>
  <sheetData>
    <row r="1" spans="1:42" ht="11.25" customHeight="1" x14ac:dyDescent="0.25">
      <c r="A1" s="98" t="s">
        <v>92</v>
      </c>
      <c r="B1" s="98" t="s">
        <v>93</v>
      </c>
      <c r="C1" s="98" t="s">
        <v>94</v>
      </c>
      <c r="D1" s="98" t="s">
        <v>95</v>
      </c>
      <c r="E1" s="98" t="s">
        <v>96</v>
      </c>
      <c r="F1" s="98" t="s">
        <v>15</v>
      </c>
      <c r="G1" s="98" t="s">
        <v>98</v>
      </c>
      <c r="H1" s="98" t="s">
        <v>99</v>
      </c>
      <c r="I1" s="98" t="s">
        <v>924</v>
      </c>
      <c r="J1" s="93"/>
      <c r="L1" s="99" t="s">
        <v>935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O1" s="40"/>
      <c r="AP1" s="102" t="s">
        <v>926</v>
      </c>
    </row>
    <row r="2" spans="1:42" ht="11.25" customHeight="1" x14ac:dyDescent="0.25">
      <c r="A2" s="98"/>
      <c r="B2" s="98"/>
      <c r="C2" s="98"/>
      <c r="D2" s="98"/>
      <c r="E2" s="98"/>
      <c r="F2" s="98"/>
      <c r="G2" s="98"/>
      <c r="H2" s="98"/>
      <c r="I2" s="98"/>
      <c r="J2" s="93"/>
      <c r="L2" s="99" t="s">
        <v>834</v>
      </c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O2" s="40"/>
      <c r="AP2" s="103"/>
    </row>
    <row r="3" spans="1:42" ht="11.25" customHeight="1" x14ac:dyDescent="0.25">
      <c r="A3" s="98"/>
      <c r="B3" s="98"/>
      <c r="C3" s="98"/>
      <c r="D3" s="98"/>
      <c r="E3" s="98"/>
      <c r="F3" s="98"/>
      <c r="G3" s="98"/>
      <c r="H3" s="98"/>
      <c r="I3" s="98"/>
      <c r="J3" s="93"/>
      <c r="L3" s="99" t="s">
        <v>835</v>
      </c>
      <c r="M3" s="99"/>
      <c r="N3" s="99"/>
      <c r="O3" s="99"/>
      <c r="P3" s="99"/>
      <c r="Q3" s="99"/>
      <c r="R3" s="99"/>
      <c r="S3" s="99"/>
      <c r="T3" s="99"/>
      <c r="U3" s="99" t="s">
        <v>844</v>
      </c>
      <c r="V3" s="99"/>
      <c r="W3" s="99"/>
      <c r="X3" s="99"/>
      <c r="Y3" s="99"/>
      <c r="Z3" s="99"/>
      <c r="AA3" s="99"/>
      <c r="AB3" s="99"/>
      <c r="AC3" s="99" t="s">
        <v>852</v>
      </c>
      <c r="AD3" s="99"/>
      <c r="AE3" s="99" t="s">
        <v>854</v>
      </c>
      <c r="AF3" s="99"/>
      <c r="AG3" s="99"/>
      <c r="AH3" s="99" t="s">
        <v>857</v>
      </c>
      <c r="AI3" s="99"/>
      <c r="AJ3" s="99"/>
      <c r="AK3" s="99"/>
      <c r="AL3" s="99"/>
      <c r="AM3" s="99" t="s">
        <v>843</v>
      </c>
      <c r="AO3" s="40"/>
      <c r="AP3" s="103"/>
    </row>
    <row r="4" spans="1:42" ht="11.25" customHeight="1" x14ac:dyDescent="0.25">
      <c r="A4" s="98"/>
      <c r="B4" s="98"/>
      <c r="C4" s="98"/>
      <c r="D4" s="98"/>
      <c r="E4" s="98"/>
      <c r="F4" s="98"/>
      <c r="G4" s="98"/>
      <c r="H4" s="98"/>
      <c r="I4" s="98"/>
      <c r="J4" s="93"/>
      <c r="L4" s="32" t="s">
        <v>920</v>
      </c>
      <c r="M4" s="32" t="s">
        <v>836</v>
      </c>
      <c r="N4" s="32" t="s">
        <v>837</v>
      </c>
      <c r="O4" s="32" t="s">
        <v>838</v>
      </c>
      <c r="P4" s="32" t="s">
        <v>839</v>
      </c>
      <c r="Q4" s="32" t="s">
        <v>840</v>
      </c>
      <c r="R4" s="32" t="s">
        <v>841</v>
      </c>
      <c r="S4" s="32" t="s">
        <v>842</v>
      </c>
      <c r="T4" s="32" t="s">
        <v>843</v>
      </c>
      <c r="U4" s="32" t="s">
        <v>845</v>
      </c>
      <c r="V4" s="32" t="s">
        <v>846</v>
      </c>
      <c r="W4" s="32" t="s">
        <v>847</v>
      </c>
      <c r="X4" s="32" t="s">
        <v>848</v>
      </c>
      <c r="Y4" s="32" t="s">
        <v>849</v>
      </c>
      <c r="Z4" s="32" t="s">
        <v>850</v>
      </c>
      <c r="AA4" s="32" t="s">
        <v>851</v>
      </c>
      <c r="AB4" s="32" t="s">
        <v>843</v>
      </c>
      <c r="AC4" s="32" t="s">
        <v>853</v>
      </c>
      <c r="AD4" s="32" t="s">
        <v>843</v>
      </c>
      <c r="AE4" s="32" t="s">
        <v>855</v>
      </c>
      <c r="AF4" s="32" t="s">
        <v>856</v>
      </c>
      <c r="AG4" s="32" t="s">
        <v>843</v>
      </c>
      <c r="AH4" s="32" t="s">
        <v>858</v>
      </c>
      <c r="AI4" s="32" t="s">
        <v>859</v>
      </c>
      <c r="AJ4" s="32" t="s">
        <v>860</v>
      </c>
      <c r="AK4" s="32" t="s">
        <v>861</v>
      </c>
      <c r="AL4" s="32" t="s">
        <v>843</v>
      </c>
      <c r="AM4" s="101"/>
      <c r="AO4" s="41" t="s">
        <v>937</v>
      </c>
      <c r="AP4" s="104"/>
    </row>
    <row r="5" spans="1:42" ht="11.25" customHeight="1" x14ac:dyDescent="0.25">
      <c r="A5" s="97" t="s">
        <v>39</v>
      </c>
      <c r="B5" s="97" t="s">
        <v>40</v>
      </c>
      <c r="C5" s="97" t="s">
        <v>25</v>
      </c>
      <c r="D5" s="97" t="s">
        <v>25</v>
      </c>
      <c r="E5" s="97" t="s">
        <v>25</v>
      </c>
      <c r="F5" s="97" t="s">
        <v>25</v>
      </c>
      <c r="G5" s="38" t="s">
        <v>106</v>
      </c>
      <c r="H5" s="38" t="s">
        <v>105</v>
      </c>
      <c r="I5" s="38">
        <f>'MERCADO TUSD'!$U$2</f>
        <v>1097619</v>
      </c>
      <c r="J5" s="15"/>
      <c r="L5" s="31">
        <f>'TUSD BE'!$L$5*'TUSD BE'!$L$72</f>
        <v>0</v>
      </c>
      <c r="M5" s="31">
        <f>'TUSD BE'!$M$5*'TUSD BE'!$M$72</f>
        <v>0</v>
      </c>
      <c r="N5" s="31">
        <f ca="1">'TUSD BE'!$N$5*'TUSD BE'!$N$72</f>
        <v>0</v>
      </c>
      <c r="O5" s="31">
        <f>'TUSD BE'!$O$5*'TUSD BE'!$O$72</f>
        <v>0</v>
      </c>
      <c r="P5" s="31">
        <f>'TUSD BE'!$P$5*'TUSD BE'!$P$72</f>
        <v>0</v>
      </c>
      <c r="Q5" s="31">
        <f>'TUSD BE'!$Q$5*'TUSD BE'!$Q$72</f>
        <v>0</v>
      </c>
      <c r="R5" s="31">
        <f>'TUSD BE'!$R$5*'TUSD BE'!$R$72</f>
        <v>0</v>
      </c>
      <c r="S5" s="31">
        <f>'TUSD BE'!$R$5*'TUSD BE'!$S$72</f>
        <v>0</v>
      </c>
      <c r="T5" s="31">
        <f ca="1">SUM($L$5:$S$5)</f>
        <v>0</v>
      </c>
      <c r="U5" s="31">
        <f>'TUSD BE'!$U$5*'TUSD BE'!$U$72</f>
        <v>4.6960373882001666E-2</v>
      </c>
      <c r="V5" s="31">
        <f>'TUSD BE'!$V$5*'TUSD BE'!$V$72</f>
        <v>0</v>
      </c>
      <c r="W5" s="31">
        <f>'TUSD BE'!$W$5*'TUSD BE'!$W$72</f>
        <v>0</v>
      </c>
      <c r="X5" s="31">
        <f>'TUSD BE'!$X$5*'TUSD BE'!$X$72</f>
        <v>0</v>
      </c>
      <c r="Y5" s="31">
        <f>'TUSD BE'!$Y$5*'TUSD BE'!$Y$72</f>
        <v>-2.5469509368899211E-2</v>
      </c>
      <c r="Z5" s="31">
        <f>'TUSD BE'!$Z$5*'TUSD BE'!$Z$72</f>
        <v>0</v>
      </c>
      <c r="AA5" s="31">
        <f>'TUSD BE'!$AA$5*'TUSD BE'!$AA$72</f>
        <v>0</v>
      </c>
      <c r="AB5" s="31">
        <f>SUM($U$5:$AA$5)</f>
        <v>2.1490864513102455E-2</v>
      </c>
      <c r="AC5" s="31">
        <f>'TUSD BE'!$AC$5*'TUSD BE'!$AC$72</f>
        <v>0</v>
      </c>
      <c r="AD5" s="31">
        <f>SUM($AC$5:$AC$5)</f>
        <v>0</v>
      </c>
      <c r="AE5" s="31">
        <f ca="1">$AO$5*$AO$69</f>
        <v>-2.0860112962374751</v>
      </c>
      <c r="AF5" s="31">
        <f ca="1">$AP$5*$AP$69</f>
        <v>0</v>
      </c>
      <c r="AG5" s="31">
        <f ca="1">SUM($AE$5:$AF$5)</f>
        <v>-2.0860112962374751</v>
      </c>
      <c r="AH5" s="31">
        <f>'TUSD BE'!$AH$5*'TUSD BE'!$AH$72</f>
        <v>0</v>
      </c>
      <c r="AI5" s="31">
        <f>'TUSD BE'!$AI$5*'TUSD BE'!$AI$72</f>
        <v>0</v>
      </c>
      <c r="AJ5" s="31">
        <f ca="1">'TUSD BE'!$AJ$5*'TUSD BE'!$AJ$72</f>
        <v>0</v>
      </c>
      <c r="AK5" s="31">
        <f ca="1">'TUSD BE'!$AK$5*'TUSD BE'!$AK$72</f>
        <v>0</v>
      </c>
      <c r="AL5" s="31">
        <f ca="1">SUM($AH$5:$AK$5)</f>
        <v>0</v>
      </c>
      <c r="AM5" s="31">
        <f ca="1">SUMIF($L$4:$AL$4,"SUBTOTAL",$L$5:$AL$5)</f>
        <v>-2.0645204317243726</v>
      </c>
      <c r="AO5" s="40">
        <f ca="1">+'TUSD BE'!$T$5+'TUSD BE'!$AB$5+'TUSD BE'!$AD$5+'TUSD BE'!$AL$5</f>
        <v>22.830988640469151</v>
      </c>
      <c r="AP5" s="40">
        <f ca="1">+'TUSD BE'!$T$5+'TUSD BE'!$AB$5+'TUSD BE'!$AD$5+'TUSD BE'!$AL$5</f>
        <v>22.830988640469151</v>
      </c>
    </row>
    <row r="6" spans="1:42" ht="11.25" customHeight="1" x14ac:dyDescent="0.25">
      <c r="A6" s="97"/>
      <c r="B6" s="97"/>
      <c r="C6" s="97"/>
      <c r="D6" s="97"/>
      <c r="E6" s="97"/>
      <c r="F6" s="97"/>
      <c r="G6" s="38" t="s">
        <v>107</v>
      </c>
      <c r="H6" s="38" t="s">
        <v>105</v>
      </c>
      <c r="I6" s="38">
        <f>'MERCADO TUSD'!$U$3</f>
        <v>1328173</v>
      </c>
      <c r="J6" s="15"/>
      <c r="L6" s="31">
        <f>'TUSD BE'!$L$6*'TUSD BE'!$L$72</f>
        <v>0</v>
      </c>
      <c r="M6" s="31">
        <f>'TUSD BE'!$M$6*'TUSD BE'!$M$72</f>
        <v>0</v>
      </c>
      <c r="N6" s="31">
        <f ca="1">'TUSD BE'!$N$6*'TUSD BE'!$N$72</f>
        <v>0</v>
      </c>
      <c r="O6" s="31">
        <f>'TUSD BE'!$O$6*'TUSD BE'!$O$72</f>
        <v>0</v>
      </c>
      <c r="P6" s="31">
        <f>'TUSD BE'!$P$6*'TUSD BE'!$P$72</f>
        <v>0</v>
      </c>
      <c r="Q6" s="31">
        <f>'TUSD BE'!$Q$6*'TUSD BE'!$Q$72</f>
        <v>0</v>
      </c>
      <c r="R6" s="31">
        <f>'TUSD BE'!$R$6*'TUSD BE'!$R$72</f>
        <v>0</v>
      </c>
      <c r="S6" s="31">
        <f>'TUSD BE'!$R$6*'TUSD BE'!$S$72</f>
        <v>0</v>
      </c>
      <c r="T6" s="31">
        <f ca="1">SUM($L$6:$S$6)</f>
        <v>0</v>
      </c>
      <c r="U6" s="31">
        <f>'TUSD BE'!$U$6*'TUSD BE'!$U$72</f>
        <v>3.778219897278122E-2</v>
      </c>
      <c r="V6" s="31">
        <f>'TUSD BE'!$V$6*'TUSD BE'!$V$72</f>
        <v>0</v>
      </c>
      <c r="W6" s="31">
        <f>'TUSD BE'!$W$6*'TUSD BE'!$W$72</f>
        <v>0</v>
      </c>
      <c r="X6" s="31">
        <f>'TUSD BE'!$X$6*'TUSD BE'!$X$72</f>
        <v>0</v>
      </c>
      <c r="Y6" s="31">
        <f>'TUSD BE'!$Y$6*'TUSD BE'!$Y$72</f>
        <v>-1.0845290809003323E-2</v>
      </c>
      <c r="Z6" s="31">
        <f>'TUSD BE'!$Z$6*'TUSD BE'!$Z$72</f>
        <v>0</v>
      </c>
      <c r="AA6" s="31">
        <f>'TUSD BE'!$AA$6*'TUSD BE'!$AA$72</f>
        <v>0</v>
      </c>
      <c r="AB6" s="31">
        <f>SUM($U$6:$AA$6)</f>
        <v>2.6936908163777896E-2</v>
      </c>
      <c r="AC6" s="31">
        <f>'TUSD BE'!$AC$6*'TUSD BE'!$AC$72</f>
        <v>0</v>
      </c>
      <c r="AD6" s="31">
        <f>SUM($AC$6:$AC$6)</f>
        <v>0</v>
      </c>
      <c r="AE6" s="31">
        <f ca="1">$AO$6*$AO$69</f>
        <v>-1.0652565897549353</v>
      </c>
      <c r="AF6" s="31">
        <f ca="1">$AP$6*$AP$69</f>
        <v>0</v>
      </c>
      <c r="AG6" s="31">
        <f ca="1">SUM($AE$6:$AF$6)</f>
        <v>-1.0652565897549353</v>
      </c>
      <c r="AH6" s="31">
        <f>'TUSD BE'!$AH$6*'TUSD BE'!$AH$72</f>
        <v>0</v>
      </c>
      <c r="AI6" s="31">
        <f>'TUSD BE'!$AI$6*'TUSD BE'!$AI$72</f>
        <v>0</v>
      </c>
      <c r="AJ6" s="31">
        <f ca="1">'TUSD BE'!$AJ$6*'TUSD BE'!$AJ$72</f>
        <v>0</v>
      </c>
      <c r="AK6" s="31">
        <f ca="1">'TUSD BE'!$AK$6*'TUSD BE'!$AK$72</f>
        <v>0</v>
      </c>
      <c r="AL6" s="31">
        <f ca="1">SUM($AH$6:$AK$6)</f>
        <v>0</v>
      </c>
      <c r="AM6" s="31">
        <f ca="1">SUMIF($L$4:$AL$4,"SUBTOTAL",$L$6:$AL$6)</f>
        <v>-1.0383196815911575</v>
      </c>
      <c r="AO6" s="40">
        <f ca="1">+'TUSD BE'!$T$6+'TUSD BE'!$AB$6+'TUSD BE'!$AD$6+'TUSD BE'!$AL$6</f>
        <v>11.659026556446371</v>
      </c>
      <c r="AP6" s="40">
        <f ca="1">+'TUSD BE'!$T$6+'TUSD BE'!$AB$6+'TUSD BE'!$AD$6+'TUSD BE'!$AL$6</f>
        <v>11.659026556446371</v>
      </c>
    </row>
    <row r="7" spans="1:42" ht="11.25" customHeight="1" x14ac:dyDescent="0.25">
      <c r="A7" s="97"/>
      <c r="B7" s="97"/>
      <c r="C7" s="97"/>
      <c r="D7" s="97"/>
      <c r="E7" s="97"/>
      <c r="F7" s="97"/>
      <c r="G7" s="38" t="s">
        <v>108</v>
      </c>
      <c r="H7" s="38" t="s">
        <v>102</v>
      </c>
      <c r="I7" s="38">
        <f>'MERCADO TUSD'!$U$4</f>
        <v>644358.49899999984</v>
      </c>
      <c r="J7" s="15"/>
      <c r="L7" s="31">
        <f>'TUSD BE'!$L$7*'TUSD BE'!$L$72</f>
        <v>-6.2219978832337007E-2</v>
      </c>
      <c r="M7" s="31">
        <f>'TUSD BE'!$M$7*'TUSD BE'!$M$72</f>
        <v>-2.2726547825664312E-3</v>
      </c>
      <c r="N7" s="31">
        <f ca="1">'TUSD BE'!$N$7*'TUSD BE'!$N$72</f>
        <v>0</v>
      </c>
      <c r="O7" s="31">
        <f>'TUSD BE'!$O$7*'TUSD BE'!$O$72</f>
        <v>-4.6268022205212428E-4</v>
      </c>
      <c r="P7" s="31">
        <f>'TUSD BE'!$P$7*'TUSD BE'!$P$72</f>
        <v>0</v>
      </c>
      <c r="Q7" s="31">
        <f>'TUSD BE'!$Q$7*'TUSD BE'!$Q$72</f>
        <v>-9.9518218053721616E-2</v>
      </c>
      <c r="R7" s="31">
        <f>'TUSD BE'!$R$7*'TUSD BE'!$R$72</f>
        <v>-0.12841986612197215</v>
      </c>
      <c r="S7" s="31">
        <f>'TUSD BE'!$R$7*'TUSD BE'!$S$72</f>
        <v>0</v>
      </c>
      <c r="T7" s="31">
        <f ca="1">SUM($L$7:$S$7)</f>
        <v>-0.29289339801264935</v>
      </c>
      <c r="U7" s="31">
        <f>'TUSD BE'!$U$7*'TUSD BE'!$U$72</f>
        <v>0</v>
      </c>
      <c r="V7" s="31">
        <f>'TUSD BE'!$V$7*'TUSD BE'!$V$72</f>
        <v>0</v>
      </c>
      <c r="W7" s="31">
        <f>'TUSD BE'!$W$7*'TUSD BE'!$W$72</f>
        <v>0</v>
      </c>
      <c r="X7" s="31">
        <f>'TUSD BE'!$X$7*'TUSD BE'!$X$72</f>
        <v>0</v>
      </c>
      <c r="Y7" s="31">
        <f>'TUSD BE'!$Y$7*'TUSD BE'!$Y$72</f>
        <v>0</v>
      </c>
      <c r="Z7" s="31">
        <f>'TUSD BE'!$Z$7*'TUSD BE'!$Z$72</f>
        <v>0</v>
      </c>
      <c r="AA7" s="31">
        <f>'TUSD BE'!$AA$7*'TUSD BE'!$AA$72</f>
        <v>0</v>
      </c>
      <c r="AB7" s="31">
        <f>SUM($U$7:$AA$7)</f>
        <v>0</v>
      </c>
      <c r="AC7" s="31">
        <f>'TUSD BE'!$AC$7*'TUSD BE'!$AC$72</f>
        <v>0</v>
      </c>
      <c r="AD7" s="31">
        <f>SUM($AC$7:$AC$7)</f>
        <v>0</v>
      </c>
      <c r="AE7" s="31">
        <f ca="1">$AO$7*$AO$69</f>
        <v>-4.6872665769949551</v>
      </c>
      <c r="AF7" s="31">
        <f ca="1">$AP$7*$AP$69</f>
        <v>0</v>
      </c>
      <c r="AG7" s="31">
        <f ca="1">SUM($AE$7:$AF$7)</f>
        <v>-4.6872665769949551</v>
      </c>
      <c r="AH7" s="31">
        <f>'TUSD BE'!$AH$7*'TUSD BE'!$AH$72</f>
        <v>-0.77424588535727767</v>
      </c>
      <c r="AI7" s="31">
        <f>'TUSD BE'!$AI$7*'TUSD BE'!$AI$72</f>
        <v>-2.3468637311192402E-2</v>
      </c>
      <c r="AJ7" s="31">
        <f ca="1">'TUSD BE'!$AJ$7*'TUSD BE'!$AJ$72</f>
        <v>-0.40936202019218337</v>
      </c>
      <c r="AK7" s="31">
        <f ca="1">'TUSD BE'!$AK$7*'TUSD BE'!$AK$72</f>
        <v>0</v>
      </c>
      <c r="AL7" s="31">
        <f ca="1">SUM($AH$7:$AK$7)</f>
        <v>-1.2070765428606536</v>
      </c>
      <c r="AM7" s="31">
        <f ca="1">SUMIF($L$4:$AL$4,"SUBTOTAL",$L$7:$AL$7)</f>
        <v>-6.1872365178682571</v>
      </c>
      <c r="AO7" s="40">
        <f ca="1">+'TUSD BE'!$T$7+'TUSD BE'!$AB$7+'TUSD BE'!$AD$7+'TUSD BE'!$AL$7</f>
        <v>51.301222657444228</v>
      </c>
      <c r="AP7" s="40">
        <f ca="1">+'TUSD BE'!$T$7+'TUSD BE'!$AB$7+'TUSD BE'!$AD$7+'TUSD BE'!$AL$7</f>
        <v>51.301222657444228</v>
      </c>
    </row>
    <row r="8" spans="1:42" ht="11.25" customHeight="1" x14ac:dyDescent="0.25">
      <c r="A8" s="97"/>
      <c r="B8" s="97"/>
      <c r="C8" s="97"/>
      <c r="D8" s="97"/>
      <c r="E8" s="37" t="s">
        <v>59</v>
      </c>
      <c r="F8" s="37" t="s">
        <v>25</v>
      </c>
      <c r="G8" s="38" t="s">
        <v>108</v>
      </c>
      <c r="H8" s="38" t="s">
        <v>102</v>
      </c>
      <c r="I8" s="38">
        <f>'MERCADO TUSD'!$U$5</f>
        <v>0</v>
      </c>
      <c r="J8" s="15"/>
      <c r="L8" s="31">
        <f>'TUSD BE'!$L$8*'TUSD BE'!$L$72</f>
        <v>0</v>
      </c>
      <c r="M8" s="31">
        <f>'TUSD BE'!$M$8*'TUSD BE'!$M$72</f>
        <v>-2.2726547825664312E-3</v>
      </c>
      <c r="N8" s="31">
        <f ca="1">'TUSD BE'!$N$8*'TUSD BE'!$N$72</f>
        <v>0</v>
      </c>
      <c r="O8" s="31">
        <f>'TUSD BE'!$O$8*'TUSD BE'!$O$72</f>
        <v>-4.6268022205212428E-4</v>
      </c>
      <c r="P8" s="31">
        <f>'TUSD BE'!$P$8*'TUSD BE'!$P$72</f>
        <v>0</v>
      </c>
      <c r="Q8" s="31">
        <f>'TUSD BE'!$Q$8*'TUSD BE'!$Q$72</f>
        <v>0</v>
      </c>
      <c r="R8" s="31">
        <f>'TUSD BE'!$R$8*'TUSD BE'!$R$72</f>
        <v>0</v>
      </c>
      <c r="S8" s="31">
        <f>'TUSD BE'!$R$8*'TUSD BE'!$S$72</f>
        <v>0</v>
      </c>
      <c r="T8" s="31">
        <f ca="1">SUM($L$8:$S$8)</f>
        <v>-2.7353350046185553E-3</v>
      </c>
      <c r="U8" s="31">
        <f>'TUSD BE'!$U$8*'TUSD BE'!$U$72</f>
        <v>0</v>
      </c>
      <c r="V8" s="31">
        <f>'TUSD BE'!$V$8*'TUSD BE'!$V$72</f>
        <v>0</v>
      </c>
      <c r="W8" s="31">
        <f>'TUSD BE'!$W$8*'TUSD BE'!$W$72</f>
        <v>0</v>
      </c>
      <c r="X8" s="31">
        <f>'TUSD BE'!$X$8*'TUSD BE'!$X$72</f>
        <v>0</v>
      </c>
      <c r="Y8" s="31">
        <f>'TUSD BE'!$Y$8*'TUSD BE'!$Y$72</f>
        <v>0</v>
      </c>
      <c r="Z8" s="31">
        <f>'TUSD BE'!$Z$8*'TUSD BE'!$Z$72</f>
        <v>0</v>
      </c>
      <c r="AA8" s="31">
        <f>'TUSD BE'!$AA$8*'TUSD BE'!$AA$72</f>
        <v>0</v>
      </c>
      <c r="AB8" s="31">
        <f>SUM($U$8:$AA$8)</f>
        <v>0</v>
      </c>
      <c r="AC8" s="31">
        <f>'TUSD BE'!$AC$8*'TUSD BE'!$AC$72</f>
        <v>0</v>
      </c>
      <c r="AD8" s="31">
        <f>SUM($AC$8:$AC$8)</f>
        <v>0</v>
      </c>
      <c r="AE8" s="31">
        <f ca="1">$AO$8*$AO$69</f>
        <v>-0.9782664849026913</v>
      </c>
      <c r="AF8" s="31">
        <f ca="1">$AP$8*$AP$69</f>
        <v>0</v>
      </c>
      <c r="AG8" s="31">
        <f ca="1">SUM($AE$8:$AF$8)</f>
        <v>-0.9782664849026913</v>
      </c>
      <c r="AH8" s="31">
        <f>'TUSD BE'!$AH$8*'TUSD BE'!$AH$72</f>
        <v>-0.77424588535727767</v>
      </c>
      <c r="AI8" s="31">
        <f>'TUSD BE'!$AI$8*'TUSD BE'!$AI$72</f>
        <v>-2.3468637311192402E-2</v>
      </c>
      <c r="AJ8" s="31">
        <f ca="1">'TUSD BE'!$AJ$8*'TUSD BE'!$AJ$72</f>
        <v>-0.40936202019218337</v>
      </c>
      <c r="AK8" s="31">
        <f ca="1">'TUSD BE'!$AK$8*'TUSD BE'!$AK$72</f>
        <v>0</v>
      </c>
      <c r="AL8" s="31">
        <f ca="1">SUM($AH$8:$AK$8)</f>
        <v>-1.2070765428606536</v>
      </c>
      <c r="AM8" s="31">
        <f ca="1">SUMIF($L$4:$AL$4,"SUBTOTAL",$L$8:$AL$8)</f>
        <v>-2.1880783627679632</v>
      </c>
      <c r="AO8" s="40">
        <f ca="1">+'TUSD BE'!$T$8+'TUSD BE'!$AB$8+'TUSD BE'!$AD$8+'TUSD BE'!$AL$8</f>
        <v>10.706936747873874</v>
      </c>
      <c r="AP8" s="40">
        <f ca="1">+'TUSD BE'!$T$8+'TUSD BE'!$AB$8+'TUSD BE'!$AD$8+'TUSD BE'!$AL$8</f>
        <v>10.706936747873874</v>
      </c>
    </row>
    <row r="9" spans="1:42" ht="11.25" customHeight="1" x14ac:dyDescent="0.25">
      <c r="A9" s="97"/>
      <c r="B9" s="97" t="s">
        <v>62</v>
      </c>
      <c r="C9" s="97" t="s">
        <v>25</v>
      </c>
      <c r="D9" s="97" t="s">
        <v>25</v>
      </c>
      <c r="E9" s="97" t="s">
        <v>25</v>
      </c>
      <c r="F9" s="97" t="s">
        <v>65</v>
      </c>
      <c r="G9" s="38" t="s">
        <v>106</v>
      </c>
      <c r="H9" s="38" t="s">
        <v>105</v>
      </c>
      <c r="I9" s="38">
        <f>'MERCADO TUSD'!$U$6</f>
        <v>344392</v>
      </c>
      <c r="J9" s="15"/>
      <c r="L9" s="31">
        <f>'TUSD BE'!$L$9*'TUSD BE'!$L$72</f>
        <v>0</v>
      </c>
      <c r="M9" s="31">
        <f>'TUSD BE'!$M$9*'TUSD BE'!$M$72</f>
        <v>0</v>
      </c>
      <c r="N9" s="31">
        <f ca="1">'TUSD BE'!$N$9*'TUSD BE'!$N$72</f>
        <v>0</v>
      </c>
      <c r="O9" s="31">
        <f>'TUSD BE'!$O$9*'TUSD BE'!$O$72</f>
        <v>0</v>
      </c>
      <c r="P9" s="31">
        <f>'TUSD BE'!$P$9*'TUSD BE'!$P$72</f>
        <v>0</v>
      </c>
      <c r="Q9" s="31">
        <f>'TUSD BE'!$Q$9*'TUSD BE'!$Q$72</f>
        <v>0</v>
      </c>
      <c r="R9" s="31">
        <f>'TUSD BE'!$R$9*'TUSD BE'!$R$72</f>
        <v>0</v>
      </c>
      <c r="S9" s="31">
        <f>'TUSD BE'!$R$9*'TUSD BE'!$S$72</f>
        <v>0</v>
      </c>
      <c r="T9" s="31">
        <f ca="1">SUM($L$9:$S$9)</f>
        <v>0</v>
      </c>
      <c r="U9" s="31">
        <f>'TUSD BE'!$U$9*'TUSD BE'!$U$72</f>
        <v>4.6960373882001666E-2</v>
      </c>
      <c r="V9" s="31">
        <f>'TUSD BE'!$V$9*'TUSD BE'!$V$72</f>
        <v>0</v>
      </c>
      <c r="W9" s="31">
        <f>'TUSD BE'!$W$9*'TUSD BE'!$W$72</f>
        <v>0</v>
      </c>
      <c r="X9" s="31">
        <f>'TUSD BE'!$X$9*'TUSD BE'!$X$72</f>
        <v>0</v>
      </c>
      <c r="Y9" s="31">
        <f>'TUSD BE'!$Y$9*'TUSD BE'!$Y$72</f>
        <v>-2.5469509368899211E-2</v>
      </c>
      <c r="Z9" s="31">
        <f>'TUSD BE'!$Z$9*'TUSD BE'!$Z$72</f>
        <v>0</v>
      </c>
      <c r="AA9" s="31">
        <f>'TUSD BE'!$AA$9*'TUSD BE'!$AA$72</f>
        <v>0</v>
      </c>
      <c r="AB9" s="31">
        <f>SUM($U$9:$AA$9)</f>
        <v>2.1490864513102455E-2</v>
      </c>
      <c r="AC9" s="31">
        <f>'TUSD BE'!$AC$9*'TUSD BE'!$AC$72</f>
        <v>0</v>
      </c>
      <c r="AD9" s="31">
        <f>SUM($AC$9:$AC$9)</f>
        <v>0</v>
      </c>
      <c r="AE9" s="31">
        <v>0</v>
      </c>
      <c r="AF9" s="31">
        <f ca="1">$AP$9*$AP$69</f>
        <v>0</v>
      </c>
      <c r="AG9" s="31">
        <f ca="1">SUM($AE$9:$AF$9)</f>
        <v>0</v>
      </c>
      <c r="AH9" s="31">
        <f>'TUSD BE'!$AH$9*'TUSD BE'!$AH$72</f>
        <v>0</v>
      </c>
      <c r="AI9" s="31">
        <f>'TUSD BE'!$AI$9*'TUSD BE'!$AI$72</f>
        <v>0</v>
      </c>
      <c r="AJ9" s="31">
        <f ca="1">'TUSD BE'!$AJ$9*'TUSD BE'!$AJ$72</f>
        <v>0</v>
      </c>
      <c r="AK9" s="31">
        <f ca="1">'TUSD BE'!$AK$9*'TUSD BE'!$AK$72</f>
        <v>0</v>
      </c>
      <c r="AL9" s="31">
        <f ca="1">SUM($AH$9:$AK$9)</f>
        <v>0</v>
      </c>
      <c r="AM9" s="31">
        <f ca="1">SUMIF($L$4:$AL$4,"SUBTOTAL",$L$9:$AL$9)</f>
        <v>2.1490864513102455E-2</v>
      </c>
      <c r="AO9" s="40"/>
      <c r="AP9" s="40">
        <f ca="1">+'TUSD BE'!$T$9+'TUSD BE'!$AB$9+'TUSD BE'!$AD$9+'TUSD BE'!$AL$9</f>
        <v>22.830988640469151</v>
      </c>
    </row>
    <row r="10" spans="1:42" ht="11.25" customHeight="1" x14ac:dyDescent="0.25">
      <c r="A10" s="97"/>
      <c r="B10" s="97"/>
      <c r="C10" s="97"/>
      <c r="D10" s="97"/>
      <c r="E10" s="97"/>
      <c r="F10" s="97"/>
      <c r="G10" s="38" t="s">
        <v>107</v>
      </c>
      <c r="H10" s="38" t="s">
        <v>105</v>
      </c>
      <c r="I10" s="38">
        <f>'MERCADO TUSD'!$U$7</f>
        <v>351600</v>
      </c>
      <c r="J10" s="15"/>
      <c r="L10" s="31">
        <f>'TUSD BE'!$L$10*'TUSD BE'!$L$72</f>
        <v>0</v>
      </c>
      <c r="M10" s="31">
        <f>'TUSD BE'!$M$10*'TUSD BE'!$M$72</f>
        <v>0</v>
      </c>
      <c r="N10" s="31">
        <f ca="1">'TUSD BE'!$N$10*'TUSD BE'!$N$72</f>
        <v>0</v>
      </c>
      <c r="O10" s="31">
        <f>'TUSD BE'!$O$10*'TUSD BE'!$O$72</f>
        <v>0</v>
      </c>
      <c r="P10" s="31">
        <f>'TUSD BE'!$P$10*'TUSD BE'!$P$72</f>
        <v>0</v>
      </c>
      <c r="Q10" s="31">
        <f>'TUSD BE'!$Q$10*'TUSD BE'!$Q$72</f>
        <v>0</v>
      </c>
      <c r="R10" s="31">
        <f>'TUSD BE'!$R$10*'TUSD BE'!$R$72</f>
        <v>0</v>
      </c>
      <c r="S10" s="31">
        <f>'TUSD BE'!$R$10*'TUSD BE'!$S$72</f>
        <v>0</v>
      </c>
      <c r="T10" s="31">
        <f ca="1">SUM($L$10:$S$10)</f>
        <v>0</v>
      </c>
      <c r="U10" s="31">
        <f>'TUSD BE'!$U$10*'TUSD BE'!$U$72</f>
        <v>3.778219897278122E-2</v>
      </c>
      <c r="V10" s="31">
        <f>'TUSD BE'!$V$10*'TUSD BE'!$V$72</f>
        <v>0</v>
      </c>
      <c r="W10" s="31">
        <f>'TUSD BE'!$W$10*'TUSD BE'!$W$72</f>
        <v>0</v>
      </c>
      <c r="X10" s="31">
        <f>'TUSD BE'!$X$10*'TUSD BE'!$X$72</f>
        <v>0</v>
      </c>
      <c r="Y10" s="31">
        <f>'TUSD BE'!$Y$10*'TUSD BE'!$Y$72</f>
        <v>-1.0845290809003323E-2</v>
      </c>
      <c r="Z10" s="31">
        <f>'TUSD BE'!$Z$10*'TUSD BE'!$Z$72</f>
        <v>0</v>
      </c>
      <c r="AA10" s="31">
        <f>'TUSD BE'!$AA$10*'TUSD BE'!$AA$72</f>
        <v>0</v>
      </c>
      <c r="AB10" s="31">
        <f>SUM($U$10:$AA$10)</f>
        <v>2.6936908163777896E-2</v>
      </c>
      <c r="AC10" s="31">
        <f>'TUSD BE'!$AC$10*'TUSD BE'!$AC$72</f>
        <v>0</v>
      </c>
      <c r="AD10" s="31">
        <f>SUM($AC$10:$AC$10)</f>
        <v>0</v>
      </c>
      <c r="AE10" s="31">
        <v>0</v>
      </c>
      <c r="AF10" s="31">
        <f ca="1">$AP$10*$AP$69</f>
        <v>0</v>
      </c>
      <c r="AG10" s="31">
        <f ca="1">SUM($AE$10:$AF$10)</f>
        <v>0</v>
      </c>
      <c r="AH10" s="31">
        <f>'TUSD BE'!$AH$10*'TUSD BE'!$AH$72</f>
        <v>0</v>
      </c>
      <c r="AI10" s="31">
        <f>'TUSD BE'!$AI$10*'TUSD BE'!$AI$72</f>
        <v>0</v>
      </c>
      <c r="AJ10" s="31">
        <f ca="1">'TUSD BE'!$AJ$10*'TUSD BE'!$AJ$72</f>
        <v>0</v>
      </c>
      <c r="AK10" s="31">
        <f ca="1">'TUSD BE'!$AK$10*'TUSD BE'!$AK$72</f>
        <v>0</v>
      </c>
      <c r="AL10" s="31">
        <f ca="1">SUM($AH$10:$AK$10)</f>
        <v>0</v>
      </c>
      <c r="AM10" s="31">
        <f ca="1">SUMIF($L$4:$AL$4,"SUBTOTAL",$L$10:$AL$10)</f>
        <v>2.6936908163777896E-2</v>
      </c>
      <c r="AO10" s="40"/>
      <c r="AP10" s="40">
        <f ca="1">+'TUSD BE'!$T$10+'TUSD BE'!$AB$10+'TUSD BE'!$AD$10+'TUSD BE'!$AL$10</f>
        <v>11.659026556446371</v>
      </c>
    </row>
    <row r="11" spans="1:42" ht="11.25" customHeight="1" x14ac:dyDescent="0.25">
      <c r="A11" s="97"/>
      <c r="B11" s="97"/>
      <c r="C11" s="97"/>
      <c r="D11" s="97"/>
      <c r="E11" s="97"/>
      <c r="F11" s="97"/>
      <c r="G11" s="38" t="s">
        <v>108</v>
      </c>
      <c r="H11" s="38" t="s">
        <v>102</v>
      </c>
      <c r="I11" s="38">
        <f>'MERCADO TUSD'!$U$8</f>
        <v>143574.41700000002</v>
      </c>
      <c r="J11" s="15"/>
      <c r="L11" s="31">
        <f>'TUSD BE'!$L$11*'TUSD BE'!$L$72</f>
        <v>0</v>
      </c>
      <c r="M11" s="31">
        <f>'TUSD BE'!$M$11*'TUSD BE'!$M$72</f>
        <v>0</v>
      </c>
      <c r="N11" s="31">
        <f ca="1">'TUSD BE'!$N$11*'TUSD BE'!$N$72</f>
        <v>0</v>
      </c>
      <c r="O11" s="31">
        <f>'TUSD BE'!$O$11*'TUSD BE'!$O$72</f>
        <v>0</v>
      </c>
      <c r="P11" s="31">
        <f>'TUSD BE'!$P$11*'TUSD BE'!$P$72</f>
        <v>0</v>
      </c>
      <c r="Q11" s="31">
        <f>'TUSD BE'!$Q$11*'TUSD BE'!$Q$72</f>
        <v>0</v>
      </c>
      <c r="R11" s="31">
        <f>'TUSD BE'!$R$11*'TUSD BE'!$R$72</f>
        <v>0</v>
      </c>
      <c r="S11" s="31">
        <f>'TUSD BE'!$R$11*'TUSD BE'!$S$72</f>
        <v>0</v>
      </c>
      <c r="T11" s="31">
        <f ca="1">SUM($L$11:$S$11)</f>
        <v>0</v>
      </c>
      <c r="U11" s="31">
        <f>'TUSD BE'!$U$11*'TUSD BE'!$U$72</f>
        <v>0</v>
      </c>
      <c r="V11" s="31">
        <f>'TUSD BE'!$V$11*'TUSD BE'!$V$72</f>
        <v>0</v>
      </c>
      <c r="W11" s="31">
        <f>'TUSD BE'!$W$11*'TUSD BE'!$W$72</f>
        <v>0</v>
      </c>
      <c r="X11" s="31">
        <f>'TUSD BE'!$X$11*'TUSD BE'!$X$72</f>
        <v>0</v>
      </c>
      <c r="Y11" s="31">
        <f>'TUSD BE'!$Y$11*'TUSD BE'!$Y$72</f>
        <v>0</v>
      </c>
      <c r="Z11" s="31">
        <f>'TUSD BE'!$Z$11*'TUSD BE'!$Z$72</f>
        <v>0</v>
      </c>
      <c r="AA11" s="31">
        <f>'TUSD BE'!$AA$11*'TUSD BE'!$AA$72</f>
        <v>0</v>
      </c>
      <c r="AB11" s="31">
        <f>SUM($U$11:$AA$11)</f>
        <v>0</v>
      </c>
      <c r="AC11" s="31">
        <f>'TUSD BE'!$AC$11*'TUSD BE'!$AC$72</f>
        <v>0</v>
      </c>
      <c r="AD11" s="31">
        <f>SUM($AC$11:$AC$11)</f>
        <v>0</v>
      </c>
      <c r="AE11" s="31">
        <v>0</v>
      </c>
      <c r="AF11" s="31">
        <f ca="1">$AP$11*$AP$69</f>
        <v>0</v>
      </c>
      <c r="AG11" s="31">
        <f ca="1">SUM($AE$11:$AF$11)</f>
        <v>0</v>
      </c>
      <c r="AH11" s="31">
        <f>'TUSD BE'!$AH$11*'TUSD BE'!$AH$72</f>
        <v>-0.77424588535727767</v>
      </c>
      <c r="AI11" s="31">
        <f>'TUSD BE'!$AI$11*'TUSD BE'!$AI$72</f>
        <v>-2.3468637311192402E-2</v>
      </c>
      <c r="AJ11" s="31">
        <f ca="1">'TUSD BE'!$AJ$11*'TUSD BE'!$AJ$72</f>
        <v>0</v>
      </c>
      <c r="AK11" s="31">
        <f ca="1">'TUSD BE'!$AK$11*'TUSD BE'!$AK$72</f>
        <v>0</v>
      </c>
      <c r="AL11" s="31">
        <f ca="1">SUM($AH$11:$AK$11)</f>
        <v>-0.79771452266847009</v>
      </c>
      <c r="AM11" s="31">
        <f ca="1">SUMIF($L$4:$AL$4,"SUBTOTAL",$L$11:$AL$11)</f>
        <v>-0.79771452266847009</v>
      </c>
      <c r="AO11" s="40"/>
      <c r="AP11" s="40">
        <f ca="1">+'TUSD BE'!$T$11+'TUSD BE'!$AB$11+'TUSD BE'!$AD$11+'TUSD BE'!$AL$11</f>
        <v>6.8485608464402565</v>
      </c>
    </row>
    <row r="12" spans="1:42" ht="11.25" customHeight="1" x14ac:dyDescent="0.25">
      <c r="A12" s="97"/>
      <c r="B12" s="37" t="s">
        <v>66</v>
      </c>
      <c r="C12" s="37" t="s">
        <v>25</v>
      </c>
      <c r="D12" s="37" t="s">
        <v>25</v>
      </c>
      <c r="E12" s="37" t="s">
        <v>25</v>
      </c>
      <c r="F12" s="37" t="s">
        <v>25</v>
      </c>
      <c r="G12" s="38" t="s">
        <v>9</v>
      </c>
      <c r="H12" s="38" t="s">
        <v>105</v>
      </c>
      <c r="I12" s="38">
        <f>'MERCADO TUSD'!$U$9</f>
        <v>2595530</v>
      </c>
      <c r="J12" s="15"/>
      <c r="L12" s="31">
        <f>'TUSD BE'!$L$12*'TUSD BE'!$L$72</f>
        <v>0</v>
      </c>
      <c r="M12" s="31">
        <f>'TUSD BE'!$M$12*'TUSD BE'!$M$72</f>
        <v>-1.3118490592272129E-3</v>
      </c>
      <c r="N12" s="31">
        <f ca="1">'TUSD BE'!$N$12*'TUSD BE'!$N$72</f>
        <v>0</v>
      </c>
      <c r="O12" s="31">
        <f>'TUSD BE'!$O$12*'TUSD BE'!$O$72</f>
        <v>-1.5919757875825023E-4</v>
      </c>
      <c r="P12" s="31">
        <f>'TUSD BE'!$P$12*'TUSD BE'!$P$72</f>
        <v>0</v>
      </c>
      <c r="Q12" s="31">
        <f>'TUSD BE'!$Q$12*'TUSD BE'!$Q$72</f>
        <v>0</v>
      </c>
      <c r="R12" s="31">
        <f>'TUSD BE'!$R$12*'TUSD BE'!$R$72</f>
        <v>0</v>
      </c>
      <c r="S12" s="31">
        <f>'TUSD BE'!$R$12*'TUSD BE'!$S$72</f>
        <v>0</v>
      </c>
      <c r="T12" s="31">
        <f ca="1">SUM($L$12:$S$12)</f>
        <v>-1.4710466379854632E-3</v>
      </c>
      <c r="U12" s="31">
        <f>'TUSD BE'!$U$12*'TUSD BE'!$U$72</f>
        <v>0</v>
      </c>
      <c r="V12" s="31">
        <f>'TUSD BE'!$V$12*'TUSD BE'!$V$72</f>
        <v>0</v>
      </c>
      <c r="W12" s="31">
        <f>'TUSD BE'!$W$12*'TUSD BE'!$W$72</f>
        <v>0</v>
      </c>
      <c r="X12" s="31">
        <f>'TUSD BE'!$X$12*'TUSD BE'!$X$72</f>
        <v>0</v>
      </c>
      <c r="Y12" s="31">
        <f>'TUSD BE'!$Y$12*'TUSD BE'!$Y$72</f>
        <v>-4.5480536070278389E-2</v>
      </c>
      <c r="Z12" s="31">
        <f>'TUSD BE'!$Z$12*'TUSD BE'!$Z$72</f>
        <v>0</v>
      </c>
      <c r="AA12" s="31">
        <f>'TUSD BE'!$AA$12*'TUSD BE'!$AA$72</f>
        <v>0</v>
      </c>
      <c r="AB12" s="31">
        <f>SUM($U$12:$AA$12)</f>
        <v>-4.5480536070278389E-2</v>
      </c>
      <c r="AC12" s="31">
        <f>'TUSD BE'!$AC$12*'TUSD BE'!$AC$72</f>
        <v>0</v>
      </c>
      <c r="AD12" s="31">
        <f>SUM($AC$12:$AC$12)</f>
        <v>0</v>
      </c>
      <c r="AE12" s="31">
        <f ca="1">$AO$12*$AO$69</f>
        <v>-1.2998627548949777</v>
      </c>
      <c r="AF12" s="31">
        <f ca="1">$AP$12*$AP$69</f>
        <v>0</v>
      </c>
      <c r="AG12" s="31">
        <f ca="1">SUM($AE$12:$AF$12)</f>
        <v>-1.2998627548949777</v>
      </c>
      <c r="AH12" s="31">
        <f>'TUSD BE'!$AH$12*'TUSD BE'!$AH$72</f>
        <v>-0.11576591765504726</v>
      </c>
      <c r="AI12" s="31">
        <f>'TUSD BE'!$AI$12*'TUSD BE'!$AI$72</f>
        <v>-3.2408684235884624E-2</v>
      </c>
      <c r="AJ12" s="31">
        <f ca="1">'TUSD BE'!$AJ$12*'TUSD BE'!$AJ$72</f>
        <v>0</v>
      </c>
      <c r="AK12" s="31">
        <f ca="1">'TUSD BE'!$AK$12*'TUSD BE'!$AK$72</f>
        <v>0</v>
      </c>
      <c r="AL12" s="31">
        <f ca="1">SUM($AH$12:$AK$12)</f>
        <v>-0.1481746018909319</v>
      </c>
      <c r="AM12" s="31">
        <f ca="1">SUMIF($L$4:$AL$4,"SUBTOTAL",$L$12:$AL$12)</f>
        <v>-1.4949889394941733</v>
      </c>
      <c r="AO12" s="40">
        <f>+'TUSD BE'!$T$12+'TUSD BE'!$AB$12+'TUSD BE'!$AD$12+'TUSD BE'!$AL$12</f>
        <v>14.226745485369452</v>
      </c>
      <c r="AP12" s="40">
        <f>+'TUSD BE'!$T$12+'TUSD BE'!$AB$12+'TUSD BE'!$AD$12+'TUSD BE'!$AL$12</f>
        <v>14.226745485369452</v>
      </c>
    </row>
    <row r="13" spans="1:42" ht="11.25" customHeight="1" x14ac:dyDescent="0.25">
      <c r="A13" s="97" t="s">
        <v>41</v>
      </c>
      <c r="B13" s="97" t="s">
        <v>40</v>
      </c>
      <c r="C13" s="97" t="s">
        <v>25</v>
      </c>
      <c r="D13" s="97" t="s">
        <v>25</v>
      </c>
      <c r="E13" s="97" t="s">
        <v>25</v>
      </c>
      <c r="F13" s="97" t="s">
        <v>25</v>
      </c>
      <c r="G13" s="38" t="s">
        <v>106</v>
      </c>
      <c r="H13" s="38" t="s">
        <v>105</v>
      </c>
      <c r="I13" s="38">
        <f>'MERCADO TUSD'!$U$10</f>
        <v>558998</v>
      </c>
      <c r="J13" s="15"/>
      <c r="L13" s="31">
        <f>'TUSD BE'!$L$13*'TUSD BE'!$L$72</f>
        <v>0</v>
      </c>
      <c r="M13" s="31">
        <f>'TUSD BE'!$M$13*'TUSD BE'!$M$72</f>
        <v>0</v>
      </c>
      <c r="N13" s="31">
        <f ca="1">'TUSD BE'!$N$13*'TUSD BE'!$N$72</f>
        <v>0</v>
      </c>
      <c r="O13" s="31">
        <f>'TUSD BE'!$O$13*'TUSD BE'!$O$72</f>
        <v>0</v>
      </c>
      <c r="P13" s="31">
        <f>'TUSD BE'!$P$13*'TUSD BE'!$P$72</f>
        <v>0</v>
      </c>
      <c r="Q13" s="31">
        <f>'TUSD BE'!$Q$13*'TUSD BE'!$Q$72</f>
        <v>0</v>
      </c>
      <c r="R13" s="31">
        <f>'TUSD BE'!$R$13*'TUSD BE'!$R$72</f>
        <v>0</v>
      </c>
      <c r="S13" s="31">
        <f>'TUSD BE'!$R$13*'TUSD BE'!$S$72</f>
        <v>0</v>
      </c>
      <c r="T13" s="31">
        <f ca="1">SUM($L$13:$S$13)</f>
        <v>0</v>
      </c>
      <c r="U13" s="31">
        <f>'TUSD BE'!$U$13*'TUSD BE'!$U$72</f>
        <v>4.0294641329041751E-2</v>
      </c>
      <c r="V13" s="31">
        <f>'TUSD BE'!$V$13*'TUSD BE'!$V$72</f>
        <v>0</v>
      </c>
      <c r="W13" s="31">
        <f>'TUSD BE'!$W$13*'TUSD BE'!$W$72</f>
        <v>0</v>
      </c>
      <c r="X13" s="31">
        <f>'TUSD BE'!$X$13*'TUSD BE'!$X$72</f>
        <v>0</v>
      </c>
      <c r="Y13" s="31">
        <f>'TUSD BE'!$Y$13*'TUSD BE'!$Y$72</f>
        <v>-2.8270088953609773E-2</v>
      </c>
      <c r="Z13" s="31">
        <f>'TUSD BE'!$Z$13*'TUSD BE'!$Z$72</f>
        <v>0</v>
      </c>
      <c r="AA13" s="31">
        <f>'TUSD BE'!$AA$13*'TUSD BE'!$AA$72</f>
        <v>0</v>
      </c>
      <c r="AB13" s="31">
        <f>SUM($U$13:$AA$13)</f>
        <v>1.2024552375431978E-2</v>
      </c>
      <c r="AC13" s="31">
        <f>'TUSD BE'!$AC$13*'TUSD BE'!$AC$72</f>
        <v>0</v>
      </c>
      <c r="AD13" s="31">
        <f>SUM($AC$13:$AC$13)</f>
        <v>0</v>
      </c>
      <c r="AE13" s="31">
        <f ca="1">$AO$13*$AO$69</f>
        <v>-5.204005661709882</v>
      </c>
      <c r="AF13" s="31">
        <f ca="1">$AP$13*$AP$69</f>
        <v>0</v>
      </c>
      <c r="AG13" s="31">
        <f ca="1">SUM($AE$13:$AF$13)</f>
        <v>-5.204005661709882</v>
      </c>
      <c r="AH13" s="31">
        <f>'TUSD BE'!$AH$13*'TUSD BE'!$AH$72</f>
        <v>0</v>
      </c>
      <c r="AI13" s="31">
        <f>'TUSD BE'!$AI$13*'TUSD BE'!$AI$72</f>
        <v>0</v>
      </c>
      <c r="AJ13" s="31">
        <f ca="1">'TUSD BE'!$AJ$13*'TUSD BE'!$AJ$72</f>
        <v>0</v>
      </c>
      <c r="AK13" s="31">
        <f ca="1">'TUSD BE'!$AK$13*'TUSD BE'!$AK$72</f>
        <v>0</v>
      </c>
      <c r="AL13" s="31">
        <f ca="1">SUM($AH$13:$AK$13)</f>
        <v>0</v>
      </c>
      <c r="AM13" s="31">
        <f ca="1">SUMIF($L$4:$AL$4,"SUBTOTAL",$L$13:$AL$13)</f>
        <v>-5.1919811093344501</v>
      </c>
      <c r="AO13" s="40">
        <f ca="1">+'TUSD BE'!$T$13+'TUSD BE'!$AB$13+'TUSD BE'!$AD$13+'TUSD BE'!$AL$13</f>
        <v>56.956831615311472</v>
      </c>
      <c r="AP13" s="40">
        <f ca="1">+'TUSD BE'!$T$13+'TUSD BE'!$AB$13+'TUSD BE'!$AD$13+'TUSD BE'!$AL$13</f>
        <v>56.956831615311472</v>
      </c>
    </row>
    <row r="14" spans="1:42" ht="11.25" customHeight="1" x14ac:dyDescent="0.25">
      <c r="A14" s="97"/>
      <c r="B14" s="97"/>
      <c r="C14" s="97"/>
      <c r="D14" s="97"/>
      <c r="E14" s="97"/>
      <c r="F14" s="97"/>
      <c r="G14" s="38" t="s">
        <v>107</v>
      </c>
      <c r="H14" s="38" t="s">
        <v>105</v>
      </c>
      <c r="I14" s="38">
        <f>'MERCADO TUSD'!$U$11</f>
        <v>639825</v>
      </c>
      <c r="J14" s="15"/>
      <c r="L14" s="31">
        <f>'TUSD BE'!$L$14*'TUSD BE'!$L$72</f>
        <v>0</v>
      </c>
      <c r="M14" s="31">
        <f>'TUSD BE'!$M$14*'TUSD BE'!$M$72</f>
        <v>0</v>
      </c>
      <c r="N14" s="31">
        <f ca="1">'TUSD BE'!$N$14*'TUSD BE'!$N$72</f>
        <v>0</v>
      </c>
      <c r="O14" s="31">
        <f>'TUSD BE'!$O$14*'TUSD BE'!$O$72</f>
        <v>0</v>
      </c>
      <c r="P14" s="31">
        <f>'TUSD BE'!$P$14*'TUSD BE'!$P$72</f>
        <v>0</v>
      </c>
      <c r="Q14" s="31">
        <f>'TUSD BE'!$Q$14*'TUSD BE'!$Q$72</f>
        <v>0</v>
      </c>
      <c r="R14" s="31">
        <f>'TUSD BE'!$R$14*'TUSD BE'!$R$72</f>
        <v>0</v>
      </c>
      <c r="S14" s="31">
        <f>'TUSD BE'!$R$14*'TUSD BE'!$S$72</f>
        <v>0</v>
      </c>
      <c r="T14" s="31">
        <f ca="1">SUM($L$14:$S$14)</f>
        <v>0</v>
      </c>
      <c r="U14" s="31">
        <f>'TUSD BE'!$U$14*'TUSD BE'!$U$72</f>
        <v>2.5163733424127668E-2</v>
      </c>
      <c r="V14" s="31">
        <f>'TUSD BE'!$V$14*'TUSD BE'!$V$72</f>
        <v>0</v>
      </c>
      <c r="W14" s="31">
        <f>'TUSD BE'!$W$14*'TUSD BE'!$W$72</f>
        <v>0</v>
      </c>
      <c r="X14" s="31">
        <f>'TUSD BE'!$X$14*'TUSD BE'!$X$72</f>
        <v>0</v>
      </c>
      <c r="Y14" s="31">
        <f>'TUSD BE'!$Y$14*'TUSD BE'!$Y$72</f>
        <v>-9.2038915159775945E-3</v>
      </c>
      <c r="Z14" s="31">
        <f>'TUSD BE'!$Z$14*'TUSD BE'!$Z$72</f>
        <v>0</v>
      </c>
      <c r="AA14" s="31">
        <f>'TUSD BE'!$AA$14*'TUSD BE'!$AA$72</f>
        <v>0</v>
      </c>
      <c r="AB14" s="31">
        <f>SUM($U$14:$AA$14)</f>
        <v>1.5959841908150071E-2</v>
      </c>
      <c r="AC14" s="31">
        <f>'TUSD BE'!$AC$14*'TUSD BE'!$AC$72</f>
        <v>0</v>
      </c>
      <c r="AD14" s="31">
        <f>SUM($AC$14:$AC$14)</f>
        <v>0</v>
      </c>
      <c r="AE14" s="31">
        <f ca="1">$AO$14*$AO$69</f>
        <v>-2.6115930050922564</v>
      </c>
      <c r="AF14" s="31">
        <f ca="1">$AP$14*$AP$69</f>
        <v>0</v>
      </c>
      <c r="AG14" s="31">
        <f ca="1">SUM($AE$14:$AF$14)</f>
        <v>-2.6115930050922564</v>
      </c>
      <c r="AH14" s="31">
        <f>'TUSD BE'!$AH$14*'TUSD BE'!$AH$72</f>
        <v>0</v>
      </c>
      <c r="AI14" s="31">
        <f>'TUSD BE'!$AI$14*'TUSD BE'!$AI$72</f>
        <v>0</v>
      </c>
      <c r="AJ14" s="31">
        <f ca="1">'TUSD BE'!$AJ$14*'TUSD BE'!$AJ$72</f>
        <v>0</v>
      </c>
      <c r="AK14" s="31">
        <f ca="1">'TUSD BE'!$AK$14*'TUSD BE'!$AK$72</f>
        <v>0</v>
      </c>
      <c r="AL14" s="31">
        <f ca="1">SUM($AH$14:$AK$14)</f>
        <v>0</v>
      </c>
      <c r="AM14" s="31">
        <f ca="1">SUMIF($L$4:$AL$4,"SUBTOTAL",$L$14:$AL$14)</f>
        <v>-2.5956331631841065</v>
      </c>
      <c r="AO14" s="40">
        <f ca="1">+'TUSD BE'!$T$14+'TUSD BE'!$AB$14+'TUSD BE'!$AD$14+'TUSD BE'!$AL$14</f>
        <v>28.583378402761134</v>
      </c>
      <c r="AP14" s="40">
        <f ca="1">+'TUSD BE'!$T$14+'TUSD BE'!$AB$14+'TUSD BE'!$AD$14+'TUSD BE'!$AL$14</f>
        <v>28.583378402761134</v>
      </c>
    </row>
    <row r="15" spans="1:42" ht="11.25" customHeight="1" x14ac:dyDescent="0.25">
      <c r="A15" s="97"/>
      <c r="B15" s="97"/>
      <c r="C15" s="97"/>
      <c r="D15" s="97"/>
      <c r="E15" s="97"/>
      <c r="F15" s="97"/>
      <c r="G15" s="38" t="s">
        <v>108</v>
      </c>
      <c r="H15" s="38" t="s">
        <v>102</v>
      </c>
      <c r="I15" s="38">
        <f>'MERCADO TUSD'!$U$12</f>
        <v>243208.54699999999</v>
      </c>
      <c r="J15" s="15"/>
      <c r="L15" s="31">
        <f>'TUSD BE'!$L$15*'TUSD BE'!$L$72</f>
        <v>-8.4298035837359814E-2</v>
      </c>
      <c r="M15" s="31">
        <f>'TUSD BE'!$M$15*'TUSD BE'!$M$72</f>
        <v>-1.3956249360707131E-2</v>
      </c>
      <c r="N15" s="31">
        <f ca="1">'TUSD BE'!$N$15*'TUSD BE'!$N$72</f>
        <v>0</v>
      </c>
      <c r="O15" s="31">
        <f>'TUSD BE'!$O$15*'TUSD BE'!$O$72</f>
        <v>-4.6268022205212428E-4</v>
      </c>
      <c r="P15" s="31">
        <f>'TUSD BE'!$P$15*'TUSD BE'!$P$72</f>
        <v>0</v>
      </c>
      <c r="Q15" s="31">
        <f>'TUSD BE'!$Q$15*'TUSD BE'!$Q$72</f>
        <v>-0.13483113413730025</v>
      </c>
      <c r="R15" s="31">
        <f>'TUSD BE'!$R$15*'TUSD BE'!$R$72</f>
        <v>-0.12841986612197215</v>
      </c>
      <c r="S15" s="31">
        <f>'TUSD BE'!$R$15*'TUSD BE'!$S$72</f>
        <v>0</v>
      </c>
      <c r="T15" s="31">
        <f ca="1">SUM($L$15:$S$15)</f>
        <v>-0.36196796567939149</v>
      </c>
      <c r="U15" s="31">
        <f>'TUSD BE'!$U$15*'TUSD BE'!$U$72</f>
        <v>0</v>
      </c>
      <c r="V15" s="31">
        <f>'TUSD BE'!$V$15*'TUSD BE'!$V$72</f>
        <v>0</v>
      </c>
      <c r="W15" s="31">
        <f>'TUSD BE'!$W$15*'TUSD BE'!$W$72</f>
        <v>0</v>
      </c>
      <c r="X15" s="31">
        <f>'TUSD BE'!$X$15*'TUSD BE'!$X$72</f>
        <v>0</v>
      </c>
      <c r="Y15" s="31">
        <f>'TUSD BE'!$Y$15*'TUSD BE'!$Y$72</f>
        <v>0</v>
      </c>
      <c r="Z15" s="31">
        <f>'TUSD BE'!$Z$15*'TUSD BE'!$Z$72</f>
        <v>0</v>
      </c>
      <c r="AA15" s="31">
        <f>'TUSD BE'!$AA$15*'TUSD BE'!$AA$72</f>
        <v>0</v>
      </c>
      <c r="AB15" s="31">
        <f>SUM($U$15:$AA$15)</f>
        <v>0</v>
      </c>
      <c r="AC15" s="31">
        <f>'TUSD BE'!$AC$15*'TUSD BE'!$AC$72</f>
        <v>0</v>
      </c>
      <c r="AD15" s="31">
        <f>SUM($AC$15:$AC$15)</f>
        <v>0</v>
      </c>
      <c r="AE15" s="31">
        <f ca="1">$AO$15*$AO$69</f>
        <v>-6.8415986647466118</v>
      </c>
      <c r="AF15" s="31">
        <f ca="1">$AP$15*$AP$69</f>
        <v>0</v>
      </c>
      <c r="AG15" s="31">
        <f ca="1">SUM($AE$15:$AF$15)</f>
        <v>-6.8415986647466118</v>
      </c>
      <c r="AH15" s="31">
        <f>'TUSD BE'!$AH$15*'TUSD BE'!$AH$72</f>
        <v>-1.6619140795923388</v>
      </c>
      <c r="AI15" s="31">
        <f>'TUSD BE'!$AI$15*'TUSD BE'!$AI$72</f>
        <v>-5.0375287119955148E-2</v>
      </c>
      <c r="AJ15" s="31">
        <f ca="1">'TUSD BE'!$AJ$15*'TUSD BE'!$AJ$72</f>
        <v>-1.0631429400447676</v>
      </c>
      <c r="AK15" s="31">
        <f ca="1">'TUSD BE'!$AK$15*'TUSD BE'!$AK$72</f>
        <v>0</v>
      </c>
      <c r="AL15" s="31">
        <f ca="1">SUM($AH$15:$AK$15)</f>
        <v>-2.7754323067570619</v>
      </c>
      <c r="AM15" s="31">
        <f ca="1">SUMIF($L$4:$AL$4,"SUBTOTAL",$L$15:$AL$15)</f>
        <v>-9.9789989371830643</v>
      </c>
      <c r="AO15" s="40">
        <f ca="1">+'TUSD BE'!$T$15+'TUSD BE'!$AB$15+'TUSD BE'!$AD$15+'TUSD BE'!$AL$15</f>
        <v>74.879969096627889</v>
      </c>
      <c r="AP15" s="40">
        <f ca="1">+'TUSD BE'!$T$15+'TUSD BE'!$AB$15+'TUSD BE'!$AD$15+'TUSD BE'!$AL$15</f>
        <v>74.879969096627889</v>
      </c>
    </row>
    <row r="16" spans="1:42" ht="11.25" customHeight="1" x14ac:dyDescent="0.25">
      <c r="A16" s="97"/>
      <c r="B16" s="97"/>
      <c r="C16" s="97"/>
      <c r="D16" s="97"/>
      <c r="E16" s="37" t="s">
        <v>59</v>
      </c>
      <c r="F16" s="37" t="s">
        <v>25</v>
      </c>
      <c r="G16" s="38" t="s">
        <v>108</v>
      </c>
      <c r="H16" s="38" t="s">
        <v>102</v>
      </c>
      <c r="I16" s="38">
        <f>'MERCADO TUSD'!$U$13</f>
        <v>0</v>
      </c>
      <c r="J16" s="15"/>
      <c r="L16" s="31">
        <f>'TUSD BE'!$L$16*'TUSD BE'!$L$72</f>
        <v>0</v>
      </c>
      <c r="M16" s="31">
        <f>'TUSD BE'!$M$16*'TUSD BE'!$M$72</f>
        <v>-1.3956249360707131E-2</v>
      </c>
      <c r="N16" s="31">
        <f ca="1">'TUSD BE'!$N$16*'TUSD BE'!$N$72</f>
        <v>0</v>
      </c>
      <c r="O16" s="31">
        <f>'TUSD BE'!$O$16*'TUSD BE'!$O$72</f>
        <v>-4.6268022205212428E-4</v>
      </c>
      <c r="P16" s="31">
        <f>'TUSD BE'!$P$16*'TUSD BE'!$P$72</f>
        <v>0</v>
      </c>
      <c r="Q16" s="31">
        <f>'TUSD BE'!$Q$16*'TUSD BE'!$Q$72</f>
        <v>0</v>
      </c>
      <c r="R16" s="31">
        <f>'TUSD BE'!$R$16*'TUSD BE'!$R$72</f>
        <v>0</v>
      </c>
      <c r="S16" s="31">
        <f>'TUSD BE'!$R$16*'TUSD BE'!$S$72</f>
        <v>0</v>
      </c>
      <c r="T16" s="31">
        <f ca="1">SUM($L$16:$S$16)</f>
        <v>-1.4418929582759256E-2</v>
      </c>
      <c r="U16" s="31">
        <f>'TUSD BE'!$U$16*'TUSD BE'!$U$72</f>
        <v>0</v>
      </c>
      <c r="V16" s="31">
        <f>'TUSD BE'!$V$16*'TUSD BE'!$V$72</f>
        <v>0</v>
      </c>
      <c r="W16" s="31">
        <f>'TUSD BE'!$W$16*'TUSD BE'!$W$72</f>
        <v>0</v>
      </c>
      <c r="X16" s="31">
        <f>'TUSD BE'!$X$16*'TUSD BE'!$X$72</f>
        <v>0</v>
      </c>
      <c r="Y16" s="31">
        <f>'TUSD BE'!$Y$16*'TUSD BE'!$Y$72</f>
        <v>0</v>
      </c>
      <c r="Z16" s="31">
        <f>'TUSD BE'!$Z$16*'TUSD BE'!$Z$72</f>
        <v>0</v>
      </c>
      <c r="AA16" s="31">
        <f>'TUSD BE'!$AA$16*'TUSD BE'!$AA$72</f>
        <v>0</v>
      </c>
      <c r="AB16" s="31">
        <f>SUM($U$16:$AA$16)</f>
        <v>0</v>
      </c>
      <c r="AC16" s="31">
        <f>'TUSD BE'!$AC$16*'TUSD BE'!$AC$72</f>
        <v>0</v>
      </c>
      <c r="AD16" s="31">
        <f>SUM($AC$16:$AC$16)</f>
        <v>0</v>
      </c>
      <c r="AE16" s="31">
        <f ca="1">$AO$16*$AO$69</f>
        <v>-2.2841654220556404</v>
      </c>
      <c r="AF16" s="31">
        <f ca="1">$AP$16*$AP$69</f>
        <v>0</v>
      </c>
      <c r="AG16" s="31">
        <f ca="1">SUM($AE$16:$AF$16)</f>
        <v>-2.2841654220556404</v>
      </c>
      <c r="AH16" s="31">
        <f>'TUSD BE'!$AH$16*'TUSD BE'!$AH$72</f>
        <v>-1.6619140795923388</v>
      </c>
      <c r="AI16" s="31">
        <f>'TUSD BE'!$AI$16*'TUSD BE'!$AI$72</f>
        <v>-5.0375287119955148E-2</v>
      </c>
      <c r="AJ16" s="31">
        <f ca="1">'TUSD BE'!$AJ$16*'TUSD BE'!$AJ$72</f>
        <v>-1.0631429400447676</v>
      </c>
      <c r="AK16" s="31">
        <f ca="1">'TUSD BE'!$AK$16*'TUSD BE'!$AK$72</f>
        <v>0</v>
      </c>
      <c r="AL16" s="31">
        <f ca="1">SUM($AH$16:$AK$16)</f>
        <v>-2.7754323067570619</v>
      </c>
      <c r="AM16" s="31">
        <f ca="1">SUMIF($L$4:$AL$4,"SUBTOTAL",$L$16:$AL$16)</f>
        <v>-5.0740166583954611</v>
      </c>
      <c r="AO16" s="40">
        <f ca="1">+'TUSD BE'!$T$16+'TUSD BE'!$AB$16+'TUSD BE'!$AD$16+'TUSD BE'!$AL$16</f>
        <v>24.999747076138529</v>
      </c>
      <c r="AP16" s="40">
        <f ca="1">+'TUSD BE'!$T$16+'TUSD BE'!$AB$16+'TUSD BE'!$AD$16+'TUSD BE'!$AL$16</f>
        <v>24.999747076138529</v>
      </c>
    </row>
    <row r="17" spans="1:42" ht="11.25" customHeight="1" x14ac:dyDescent="0.25">
      <c r="A17" s="97"/>
      <c r="B17" s="97" t="s">
        <v>62</v>
      </c>
      <c r="C17" s="97" t="s">
        <v>25</v>
      </c>
      <c r="D17" s="97" t="s">
        <v>25</v>
      </c>
      <c r="E17" s="97" t="s">
        <v>25</v>
      </c>
      <c r="F17" s="97" t="s">
        <v>63</v>
      </c>
      <c r="G17" s="38" t="s">
        <v>106</v>
      </c>
      <c r="H17" s="38" t="s">
        <v>105</v>
      </c>
      <c r="I17" s="38">
        <f>'MERCADO TUSD'!$U$14</f>
        <v>83572</v>
      </c>
      <c r="J17" s="15"/>
      <c r="L17" s="31">
        <f>'TUSD BE'!$L$17*'TUSD BE'!$L$72</f>
        <v>0</v>
      </c>
      <c r="M17" s="31">
        <f>'TUSD BE'!$M$17*'TUSD BE'!$M$72</f>
        <v>0</v>
      </c>
      <c r="N17" s="31">
        <f ca="1">'TUSD BE'!$N$17*'TUSD BE'!$N$72</f>
        <v>0</v>
      </c>
      <c r="O17" s="31">
        <f>'TUSD BE'!$O$17*'TUSD BE'!$O$72</f>
        <v>0</v>
      </c>
      <c r="P17" s="31">
        <f>'TUSD BE'!$P$17*'TUSD BE'!$P$72</f>
        <v>0</v>
      </c>
      <c r="Q17" s="31">
        <f>'TUSD BE'!$Q$17*'TUSD BE'!$Q$72</f>
        <v>0</v>
      </c>
      <c r="R17" s="31">
        <f>'TUSD BE'!$R$17*'TUSD BE'!$R$72</f>
        <v>0</v>
      </c>
      <c r="S17" s="31">
        <f>'TUSD BE'!$R$17*'TUSD BE'!$S$72</f>
        <v>0</v>
      </c>
      <c r="T17" s="31">
        <f ca="1">SUM($L$17:$S$17)</f>
        <v>0</v>
      </c>
      <c r="U17" s="31">
        <f>'TUSD BE'!$U$17*'TUSD BE'!$U$72</f>
        <v>4.0294641329041751E-2</v>
      </c>
      <c r="V17" s="31">
        <f>'TUSD BE'!$V$17*'TUSD BE'!$V$72</f>
        <v>0</v>
      </c>
      <c r="W17" s="31">
        <f>'TUSD BE'!$W$17*'TUSD BE'!$W$72</f>
        <v>0</v>
      </c>
      <c r="X17" s="31">
        <f>'TUSD BE'!$X$17*'TUSD BE'!$X$72</f>
        <v>0</v>
      </c>
      <c r="Y17" s="31">
        <f>'TUSD BE'!$Y$17*'TUSD BE'!$Y$72</f>
        <v>-2.8270088953609773E-2</v>
      </c>
      <c r="Z17" s="31">
        <f>'TUSD BE'!$Z$17*'TUSD BE'!$Z$72</f>
        <v>0</v>
      </c>
      <c r="AA17" s="31">
        <f>'TUSD BE'!$AA$17*'TUSD BE'!$AA$72</f>
        <v>0</v>
      </c>
      <c r="AB17" s="31">
        <f>SUM($U$17:$AA$17)</f>
        <v>1.2024552375431978E-2</v>
      </c>
      <c r="AC17" s="31">
        <f>'TUSD BE'!$AC$17*'TUSD BE'!$AC$72</f>
        <v>0</v>
      </c>
      <c r="AD17" s="31">
        <f>SUM($AC$17:$AC$17)</f>
        <v>0</v>
      </c>
      <c r="AE17" s="31">
        <v>0</v>
      </c>
      <c r="AF17" s="31">
        <f ca="1">$AP$17*$AP$69</f>
        <v>0</v>
      </c>
      <c r="AG17" s="31">
        <f ca="1">SUM($AE$17:$AF$17)</f>
        <v>0</v>
      </c>
      <c r="AH17" s="31">
        <f>'TUSD BE'!$AH$17*'TUSD BE'!$AH$72</f>
        <v>0</v>
      </c>
      <c r="AI17" s="31">
        <f>'TUSD BE'!$AI$17*'TUSD BE'!$AI$72</f>
        <v>0</v>
      </c>
      <c r="AJ17" s="31">
        <f ca="1">'TUSD BE'!$AJ$17*'TUSD BE'!$AJ$72</f>
        <v>0</v>
      </c>
      <c r="AK17" s="31">
        <f ca="1">'TUSD BE'!$AK$17*'TUSD BE'!$AK$72</f>
        <v>0</v>
      </c>
      <c r="AL17" s="31">
        <f ca="1">SUM($AH$17:$AK$17)</f>
        <v>0</v>
      </c>
      <c r="AM17" s="31">
        <f ca="1">SUMIF($L$4:$AL$4,"SUBTOTAL",$L$17:$AL$17)</f>
        <v>1.2024552375431978E-2</v>
      </c>
      <c r="AO17" s="40"/>
      <c r="AP17" s="40">
        <f ca="1">+'TUSD BE'!$T$17+'TUSD BE'!$AB$17+'TUSD BE'!$AD$17+'TUSD BE'!$AL$17</f>
        <v>27.268826492828879</v>
      </c>
    </row>
    <row r="18" spans="1:42" ht="11.25" customHeight="1" x14ac:dyDescent="0.25">
      <c r="A18" s="97"/>
      <c r="B18" s="97"/>
      <c r="C18" s="97"/>
      <c r="D18" s="97"/>
      <c r="E18" s="97"/>
      <c r="F18" s="97"/>
      <c r="G18" s="38" t="s">
        <v>107</v>
      </c>
      <c r="H18" s="38" t="s">
        <v>105</v>
      </c>
      <c r="I18" s="38">
        <f>'MERCADO TUSD'!$U$15</f>
        <v>86016</v>
      </c>
      <c r="J18" s="15"/>
      <c r="L18" s="31">
        <f>'TUSD BE'!$L$18*'TUSD BE'!$L$72</f>
        <v>0</v>
      </c>
      <c r="M18" s="31">
        <f>'TUSD BE'!$M$18*'TUSD BE'!$M$72</f>
        <v>0</v>
      </c>
      <c r="N18" s="31">
        <f ca="1">'TUSD BE'!$N$18*'TUSD BE'!$N$72</f>
        <v>0</v>
      </c>
      <c r="O18" s="31">
        <f>'TUSD BE'!$O$18*'TUSD BE'!$O$72</f>
        <v>0</v>
      </c>
      <c r="P18" s="31">
        <f>'TUSD BE'!$P$18*'TUSD BE'!$P$72</f>
        <v>0</v>
      </c>
      <c r="Q18" s="31">
        <f>'TUSD BE'!$Q$18*'TUSD BE'!$Q$72</f>
        <v>0</v>
      </c>
      <c r="R18" s="31">
        <f>'TUSD BE'!$R$18*'TUSD BE'!$R$72</f>
        <v>0</v>
      </c>
      <c r="S18" s="31">
        <f>'TUSD BE'!$R$18*'TUSD BE'!$S$72</f>
        <v>0</v>
      </c>
      <c r="T18" s="31">
        <f ca="1">SUM($L$18:$S$18)</f>
        <v>0</v>
      </c>
      <c r="U18" s="31">
        <f>'TUSD BE'!$U$18*'TUSD BE'!$U$72</f>
        <v>2.5163733424127668E-2</v>
      </c>
      <c r="V18" s="31">
        <f>'TUSD BE'!$V$18*'TUSD BE'!$V$72</f>
        <v>0</v>
      </c>
      <c r="W18" s="31">
        <f>'TUSD BE'!$W$18*'TUSD BE'!$W$72</f>
        <v>0</v>
      </c>
      <c r="X18" s="31">
        <f>'TUSD BE'!$X$18*'TUSD BE'!$X$72</f>
        <v>0</v>
      </c>
      <c r="Y18" s="31">
        <f>'TUSD BE'!$Y$18*'TUSD BE'!$Y$72</f>
        <v>-9.2038915159775945E-3</v>
      </c>
      <c r="Z18" s="31">
        <f>'TUSD BE'!$Z$18*'TUSD BE'!$Z$72</f>
        <v>0</v>
      </c>
      <c r="AA18" s="31">
        <f>'TUSD BE'!$AA$18*'TUSD BE'!$AA$72</f>
        <v>0</v>
      </c>
      <c r="AB18" s="31">
        <f>SUM($U$18:$AA$18)</f>
        <v>1.5959841908150071E-2</v>
      </c>
      <c r="AC18" s="31">
        <f>'TUSD BE'!$AC$18*'TUSD BE'!$AC$72</f>
        <v>0</v>
      </c>
      <c r="AD18" s="31">
        <f>SUM($AC$18:$AC$18)</f>
        <v>0</v>
      </c>
      <c r="AE18" s="31">
        <v>0</v>
      </c>
      <c r="AF18" s="31">
        <f ca="1">$AP$18*$AP$69</f>
        <v>0</v>
      </c>
      <c r="AG18" s="31">
        <f ca="1">SUM($AE$18:$AF$18)</f>
        <v>0</v>
      </c>
      <c r="AH18" s="31">
        <f>'TUSD BE'!$AH$18*'TUSD BE'!$AH$72</f>
        <v>0</v>
      </c>
      <c r="AI18" s="31">
        <f>'TUSD BE'!$AI$18*'TUSD BE'!$AI$72</f>
        <v>0</v>
      </c>
      <c r="AJ18" s="31">
        <f ca="1">'TUSD BE'!$AJ$18*'TUSD BE'!$AJ$72</f>
        <v>0</v>
      </c>
      <c r="AK18" s="31">
        <f ca="1">'TUSD BE'!$AK$18*'TUSD BE'!$AK$72</f>
        <v>0</v>
      </c>
      <c r="AL18" s="31">
        <f ca="1">SUM($AH$18:$AK$18)</f>
        <v>0</v>
      </c>
      <c r="AM18" s="31">
        <f ca="1">SUMIF($L$4:$AL$4,"SUBTOTAL",$L$18:$AL$18)</f>
        <v>1.5959841908150071E-2</v>
      </c>
      <c r="AO18" s="40"/>
      <c r="AP18" s="40">
        <f ca="1">+'TUSD BE'!$T$18+'TUSD BE'!$AB$18+'TUSD BE'!$AD$18+'TUSD BE'!$AL$18</f>
        <v>14.385275672325518</v>
      </c>
    </row>
    <row r="19" spans="1:42" ht="11.25" customHeight="1" x14ac:dyDescent="0.25">
      <c r="A19" s="97"/>
      <c r="B19" s="97"/>
      <c r="C19" s="97"/>
      <c r="D19" s="97"/>
      <c r="E19" s="97"/>
      <c r="F19" s="97"/>
      <c r="G19" s="38" t="s">
        <v>108</v>
      </c>
      <c r="H19" s="38" t="s">
        <v>102</v>
      </c>
      <c r="I19" s="38">
        <f>'MERCADO TUSD'!$U$16</f>
        <v>43889.742999999995</v>
      </c>
      <c r="J19" s="15"/>
      <c r="L19" s="31">
        <f>'TUSD BE'!$L$19*'TUSD BE'!$L$72</f>
        <v>0</v>
      </c>
      <c r="M19" s="31">
        <f>'TUSD BE'!$M$19*'TUSD BE'!$M$72</f>
        <v>0</v>
      </c>
      <c r="N19" s="31">
        <f ca="1">'TUSD BE'!$N$19*'TUSD BE'!$N$72</f>
        <v>0</v>
      </c>
      <c r="O19" s="31">
        <f>'TUSD BE'!$O$19*'TUSD BE'!$O$72</f>
        <v>0</v>
      </c>
      <c r="P19" s="31">
        <f>'TUSD BE'!$P$19*'TUSD BE'!$P$72</f>
        <v>0</v>
      </c>
      <c r="Q19" s="31">
        <f>'TUSD BE'!$Q$19*'TUSD BE'!$Q$72</f>
        <v>0</v>
      </c>
      <c r="R19" s="31">
        <f>'TUSD BE'!$R$19*'TUSD BE'!$R$72</f>
        <v>0</v>
      </c>
      <c r="S19" s="31">
        <f>'TUSD BE'!$R$19*'TUSD BE'!$S$72</f>
        <v>0</v>
      </c>
      <c r="T19" s="31">
        <f ca="1">SUM($L$19:$S$19)</f>
        <v>0</v>
      </c>
      <c r="U19" s="31">
        <f>'TUSD BE'!$U$19*'TUSD BE'!$U$72</f>
        <v>0</v>
      </c>
      <c r="V19" s="31">
        <f>'TUSD BE'!$V$19*'TUSD BE'!$V$72</f>
        <v>0</v>
      </c>
      <c r="W19" s="31">
        <f>'TUSD BE'!$W$19*'TUSD BE'!$W$72</f>
        <v>0</v>
      </c>
      <c r="X19" s="31">
        <f>'TUSD BE'!$X$19*'TUSD BE'!$X$72</f>
        <v>0</v>
      </c>
      <c r="Y19" s="31">
        <f>'TUSD BE'!$Y$19*'TUSD BE'!$Y$72</f>
        <v>0</v>
      </c>
      <c r="Z19" s="31">
        <f>'TUSD BE'!$Z$19*'TUSD BE'!$Z$72</f>
        <v>0</v>
      </c>
      <c r="AA19" s="31">
        <f>'TUSD BE'!$AA$19*'TUSD BE'!$AA$72</f>
        <v>0</v>
      </c>
      <c r="AB19" s="31">
        <f>SUM($U$19:$AA$19)</f>
        <v>0</v>
      </c>
      <c r="AC19" s="31">
        <f>'TUSD BE'!$AC$19*'TUSD BE'!$AC$72</f>
        <v>0</v>
      </c>
      <c r="AD19" s="31">
        <f>SUM($AC$19:$AC$19)</f>
        <v>0</v>
      </c>
      <c r="AE19" s="31">
        <v>0</v>
      </c>
      <c r="AF19" s="31">
        <f ca="1">$AP$19*$AP$69</f>
        <v>0</v>
      </c>
      <c r="AG19" s="31">
        <f ca="1">SUM($AE$19:$AF$19)</f>
        <v>0</v>
      </c>
      <c r="AH19" s="31">
        <f>'TUSD BE'!$AH$19*'TUSD BE'!$AH$72</f>
        <v>-1.6619140795923388</v>
      </c>
      <c r="AI19" s="31">
        <f>'TUSD BE'!$AI$19*'TUSD BE'!$AI$72</f>
        <v>-5.0375287119955148E-2</v>
      </c>
      <c r="AJ19" s="31">
        <f ca="1">'TUSD BE'!$AJ$19*'TUSD BE'!$AJ$72</f>
        <v>0</v>
      </c>
      <c r="AK19" s="31">
        <f ca="1">'TUSD BE'!$AK$19*'TUSD BE'!$AK$72</f>
        <v>0</v>
      </c>
      <c r="AL19" s="31">
        <f ca="1">SUM($AH$19:$AK$19)</f>
        <v>-1.712289366712294</v>
      </c>
      <c r="AM19" s="31">
        <f ca="1">SUMIF($L$4:$AL$4,"SUBTOTAL",$L$19:$AL$19)</f>
        <v>-1.712289366712294</v>
      </c>
      <c r="AO19" s="40"/>
      <c r="AP19" s="40">
        <f ca="1">+'TUSD BE'!$T$19+'TUSD BE'!$AB$19+'TUSD BE'!$AD$19+'TUSD BE'!$AL$19</f>
        <v>14.700394165339045</v>
      </c>
    </row>
    <row r="20" spans="1:42" ht="11.25" customHeight="1" x14ac:dyDescent="0.25">
      <c r="A20" s="97"/>
      <c r="B20" s="97"/>
      <c r="C20" s="97"/>
      <c r="D20" s="97"/>
      <c r="E20" s="97"/>
      <c r="F20" s="97" t="s">
        <v>65</v>
      </c>
      <c r="G20" s="38" t="s">
        <v>106</v>
      </c>
      <c r="H20" s="38" t="s">
        <v>105</v>
      </c>
      <c r="I20" s="38">
        <f>'MERCADO TUSD'!$U$17</f>
        <v>28144</v>
      </c>
      <c r="J20" s="15"/>
      <c r="L20" s="31">
        <f>'TUSD BE'!$L$20*'TUSD BE'!$L$72</f>
        <v>0</v>
      </c>
      <c r="M20" s="31">
        <f>'TUSD BE'!$M$20*'TUSD BE'!$M$72</f>
        <v>0</v>
      </c>
      <c r="N20" s="31">
        <f ca="1">'TUSD BE'!$N$20*'TUSD BE'!$N$72</f>
        <v>0</v>
      </c>
      <c r="O20" s="31">
        <f>'TUSD BE'!$O$20*'TUSD BE'!$O$72</f>
        <v>0</v>
      </c>
      <c r="P20" s="31">
        <f>'TUSD BE'!$P$20*'TUSD BE'!$P$72</f>
        <v>0</v>
      </c>
      <c r="Q20" s="31">
        <f>'TUSD BE'!$Q$20*'TUSD BE'!$Q$72</f>
        <v>0</v>
      </c>
      <c r="R20" s="31">
        <f>'TUSD BE'!$R$20*'TUSD BE'!$R$72</f>
        <v>0</v>
      </c>
      <c r="S20" s="31">
        <f>'TUSD BE'!$R$20*'TUSD BE'!$S$72</f>
        <v>0</v>
      </c>
      <c r="T20" s="31">
        <f ca="1">SUM($L$20:$S$20)</f>
        <v>0</v>
      </c>
      <c r="U20" s="31">
        <f>'TUSD BE'!$U$20*'TUSD BE'!$U$72</f>
        <v>4.0294641329041751E-2</v>
      </c>
      <c r="V20" s="31">
        <f>'TUSD BE'!$V$20*'TUSD BE'!$V$72</f>
        <v>0</v>
      </c>
      <c r="W20" s="31">
        <f>'TUSD BE'!$W$20*'TUSD BE'!$W$72</f>
        <v>0</v>
      </c>
      <c r="X20" s="31">
        <f>'TUSD BE'!$X$20*'TUSD BE'!$X$72</f>
        <v>0</v>
      </c>
      <c r="Y20" s="31">
        <f>'TUSD BE'!$Y$20*'TUSD BE'!$Y$72</f>
        <v>-2.8270088953609773E-2</v>
      </c>
      <c r="Z20" s="31">
        <f>'TUSD BE'!$Z$20*'TUSD BE'!$Z$72</f>
        <v>0</v>
      </c>
      <c r="AA20" s="31">
        <f>'TUSD BE'!$AA$20*'TUSD BE'!$AA$72</f>
        <v>0</v>
      </c>
      <c r="AB20" s="31">
        <f>SUM($U$20:$AA$20)</f>
        <v>1.2024552375431978E-2</v>
      </c>
      <c r="AC20" s="31">
        <f>'TUSD BE'!$AC$20*'TUSD BE'!$AC$72</f>
        <v>0</v>
      </c>
      <c r="AD20" s="31">
        <f>SUM($AC$20:$AC$20)</f>
        <v>0</v>
      </c>
      <c r="AE20" s="31">
        <v>0</v>
      </c>
      <c r="AF20" s="31">
        <f ca="1">$AP$20*$AP$69</f>
        <v>0</v>
      </c>
      <c r="AG20" s="31">
        <f ca="1">SUM($AE$20:$AF$20)</f>
        <v>0</v>
      </c>
      <c r="AH20" s="31">
        <f>'TUSD BE'!$AH$20*'TUSD BE'!$AH$72</f>
        <v>0</v>
      </c>
      <c r="AI20" s="31">
        <f>'TUSD BE'!$AI$20*'TUSD BE'!$AI$72</f>
        <v>0</v>
      </c>
      <c r="AJ20" s="31">
        <f ca="1">'TUSD BE'!$AJ$20*'TUSD BE'!$AJ$72</f>
        <v>0</v>
      </c>
      <c r="AK20" s="31">
        <f ca="1">'TUSD BE'!$AK$20*'TUSD BE'!$AK$72</f>
        <v>0</v>
      </c>
      <c r="AL20" s="31">
        <f ca="1">SUM($AH$20:$AK$20)</f>
        <v>0</v>
      </c>
      <c r="AM20" s="31">
        <f ca="1">SUMIF($L$4:$AL$4,"SUBTOTAL",$L$20:$AL$20)</f>
        <v>1.2024552375431978E-2</v>
      </c>
      <c r="AO20" s="40"/>
      <c r="AP20" s="40">
        <f ca="1">+'TUSD BE'!$T$20+'TUSD BE'!$AB$20+'TUSD BE'!$AD$20+'TUSD BE'!$AL$20</f>
        <v>27.268826492828879</v>
      </c>
    </row>
    <row r="21" spans="1:42" ht="11.25" customHeight="1" x14ac:dyDescent="0.25">
      <c r="A21" s="97"/>
      <c r="B21" s="97"/>
      <c r="C21" s="97"/>
      <c r="D21" s="97"/>
      <c r="E21" s="97"/>
      <c r="F21" s="97"/>
      <c r="G21" s="38" t="s">
        <v>107</v>
      </c>
      <c r="H21" s="38" t="s">
        <v>105</v>
      </c>
      <c r="I21" s="38">
        <f>'MERCADO TUSD'!$U$18</f>
        <v>48228</v>
      </c>
      <c r="J21" s="15"/>
      <c r="L21" s="31">
        <f>'TUSD BE'!$L$21*'TUSD BE'!$L$72</f>
        <v>0</v>
      </c>
      <c r="M21" s="31">
        <f>'TUSD BE'!$M$21*'TUSD BE'!$M$72</f>
        <v>0</v>
      </c>
      <c r="N21" s="31">
        <f ca="1">'TUSD BE'!$N$21*'TUSD BE'!$N$72</f>
        <v>0</v>
      </c>
      <c r="O21" s="31">
        <f>'TUSD BE'!$O$21*'TUSD BE'!$O$72</f>
        <v>0</v>
      </c>
      <c r="P21" s="31">
        <f>'TUSD BE'!$P$21*'TUSD BE'!$P$72</f>
        <v>0</v>
      </c>
      <c r="Q21" s="31">
        <f>'TUSD BE'!$Q$21*'TUSD BE'!$Q$72</f>
        <v>0</v>
      </c>
      <c r="R21" s="31">
        <f>'TUSD BE'!$R$21*'TUSD BE'!$R$72</f>
        <v>0</v>
      </c>
      <c r="S21" s="31">
        <f>'TUSD BE'!$R$21*'TUSD BE'!$S$72</f>
        <v>0</v>
      </c>
      <c r="T21" s="31">
        <f ca="1">SUM($L$21:$S$21)</f>
        <v>0</v>
      </c>
      <c r="U21" s="31">
        <f>'TUSD BE'!$U$21*'TUSD BE'!$U$72</f>
        <v>2.5163733424127668E-2</v>
      </c>
      <c r="V21" s="31">
        <f>'TUSD BE'!$V$21*'TUSD BE'!$V$72</f>
        <v>0</v>
      </c>
      <c r="W21" s="31">
        <f>'TUSD BE'!$W$21*'TUSD BE'!$W$72</f>
        <v>0</v>
      </c>
      <c r="X21" s="31">
        <f>'TUSD BE'!$X$21*'TUSD BE'!$X$72</f>
        <v>0</v>
      </c>
      <c r="Y21" s="31">
        <f>'TUSD BE'!$Y$21*'TUSD BE'!$Y$72</f>
        <v>-9.2038915159775945E-3</v>
      </c>
      <c r="Z21" s="31">
        <f>'TUSD BE'!$Z$21*'TUSD BE'!$Z$72</f>
        <v>0</v>
      </c>
      <c r="AA21" s="31">
        <f>'TUSD BE'!$AA$21*'TUSD BE'!$AA$72</f>
        <v>0</v>
      </c>
      <c r="AB21" s="31">
        <f>SUM($U$21:$AA$21)</f>
        <v>1.5959841908150071E-2</v>
      </c>
      <c r="AC21" s="31">
        <f>'TUSD BE'!$AC$21*'TUSD BE'!$AC$72</f>
        <v>0</v>
      </c>
      <c r="AD21" s="31">
        <f>SUM($AC$21:$AC$21)</f>
        <v>0</v>
      </c>
      <c r="AE21" s="31">
        <v>0</v>
      </c>
      <c r="AF21" s="31">
        <f ca="1">$AP$21*$AP$69</f>
        <v>0</v>
      </c>
      <c r="AG21" s="31">
        <f ca="1">SUM($AE$21:$AF$21)</f>
        <v>0</v>
      </c>
      <c r="AH21" s="31">
        <f>'TUSD BE'!$AH$21*'TUSD BE'!$AH$72</f>
        <v>0</v>
      </c>
      <c r="AI21" s="31">
        <f>'TUSD BE'!$AI$21*'TUSD BE'!$AI$72</f>
        <v>0</v>
      </c>
      <c r="AJ21" s="31">
        <f ca="1">'TUSD BE'!$AJ$21*'TUSD BE'!$AJ$72</f>
        <v>0</v>
      </c>
      <c r="AK21" s="31">
        <f ca="1">'TUSD BE'!$AK$21*'TUSD BE'!$AK$72</f>
        <v>0</v>
      </c>
      <c r="AL21" s="31">
        <f ca="1">SUM($AH$21:$AK$21)</f>
        <v>0</v>
      </c>
      <c r="AM21" s="31">
        <f ca="1">SUMIF($L$4:$AL$4,"SUBTOTAL",$L$21:$AL$21)</f>
        <v>1.5959841908150071E-2</v>
      </c>
      <c r="AO21" s="40"/>
      <c r="AP21" s="40">
        <f ca="1">+'TUSD BE'!$T$21+'TUSD BE'!$AB$21+'TUSD BE'!$AD$21+'TUSD BE'!$AL$21</f>
        <v>14.385275672325518</v>
      </c>
    </row>
    <row r="22" spans="1:42" ht="11.25" customHeight="1" x14ac:dyDescent="0.25">
      <c r="A22" s="97"/>
      <c r="B22" s="97"/>
      <c r="C22" s="97"/>
      <c r="D22" s="97"/>
      <c r="E22" s="97"/>
      <c r="F22" s="97"/>
      <c r="G22" s="38" t="s">
        <v>108</v>
      </c>
      <c r="H22" s="38" t="s">
        <v>102</v>
      </c>
      <c r="I22" s="38">
        <f>'MERCADO TUSD'!$U$19</f>
        <v>23597.869999999995</v>
      </c>
      <c r="J22" s="15"/>
      <c r="L22" s="31">
        <f>'TUSD BE'!$L$22*'TUSD BE'!$L$72</f>
        <v>0</v>
      </c>
      <c r="M22" s="31">
        <f>'TUSD BE'!$M$22*'TUSD BE'!$M$72</f>
        <v>0</v>
      </c>
      <c r="N22" s="31">
        <f ca="1">'TUSD BE'!$N$22*'TUSD BE'!$N$72</f>
        <v>0</v>
      </c>
      <c r="O22" s="31">
        <f>'TUSD BE'!$O$22*'TUSD BE'!$O$72</f>
        <v>0</v>
      </c>
      <c r="P22" s="31">
        <f>'TUSD BE'!$P$22*'TUSD BE'!$P$72</f>
        <v>0</v>
      </c>
      <c r="Q22" s="31">
        <f>'TUSD BE'!$Q$22*'TUSD BE'!$Q$72</f>
        <v>0</v>
      </c>
      <c r="R22" s="31">
        <f>'TUSD BE'!$R$22*'TUSD BE'!$R$72</f>
        <v>0</v>
      </c>
      <c r="S22" s="31">
        <f>'TUSD BE'!$R$22*'TUSD BE'!$S$72</f>
        <v>0</v>
      </c>
      <c r="T22" s="31">
        <f ca="1">SUM($L$22:$S$22)</f>
        <v>0</v>
      </c>
      <c r="U22" s="31">
        <f>'TUSD BE'!$U$22*'TUSD BE'!$U$72</f>
        <v>0</v>
      </c>
      <c r="V22" s="31">
        <f>'TUSD BE'!$V$22*'TUSD BE'!$V$72</f>
        <v>0</v>
      </c>
      <c r="W22" s="31">
        <f>'TUSD BE'!$W$22*'TUSD BE'!$W$72</f>
        <v>0</v>
      </c>
      <c r="X22" s="31">
        <f>'TUSD BE'!$X$22*'TUSD BE'!$X$72</f>
        <v>0</v>
      </c>
      <c r="Y22" s="31">
        <f>'TUSD BE'!$Y$22*'TUSD BE'!$Y$72</f>
        <v>0</v>
      </c>
      <c r="Z22" s="31">
        <f>'TUSD BE'!$Z$22*'TUSD BE'!$Z$72</f>
        <v>0</v>
      </c>
      <c r="AA22" s="31">
        <f>'TUSD BE'!$AA$22*'TUSD BE'!$AA$72</f>
        <v>0</v>
      </c>
      <c r="AB22" s="31">
        <f>SUM($U$22:$AA$22)</f>
        <v>0</v>
      </c>
      <c r="AC22" s="31">
        <f>'TUSD BE'!$AC$22*'TUSD BE'!$AC$72</f>
        <v>0</v>
      </c>
      <c r="AD22" s="31">
        <f>SUM($AC$22:$AC$22)</f>
        <v>0</v>
      </c>
      <c r="AE22" s="31">
        <v>0</v>
      </c>
      <c r="AF22" s="31">
        <f ca="1">$AP$22*$AP$69</f>
        <v>0</v>
      </c>
      <c r="AG22" s="31">
        <f ca="1">SUM($AE$22:$AF$22)</f>
        <v>0</v>
      </c>
      <c r="AH22" s="31">
        <f>'TUSD BE'!$AH$22*'TUSD BE'!$AH$72</f>
        <v>-1.6619140795923388</v>
      </c>
      <c r="AI22" s="31">
        <f>'TUSD BE'!$AI$22*'TUSD BE'!$AI$72</f>
        <v>-5.0375287119955148E-2</v>
      </c>
      <c r="AJ22" s="31">
        <f ca="1">'TUSD BE'!$AJ$22*'TUSD BE'!$AJ$72</f>
        <v>0</v>
      </c>
      <c r="AK22" s="31">
        <f ca="1">'TUSD BE'!$AK$22*'TUSD BE'!$AK$72</f>
        <v>0</v>
      </c>
      <c r="AL22" s="31">
        <f ca="1">SUM($AH$22:$AK$22)</f>
        <v>-1.712289366712294</v>
      </c>
      <c r="AM22" s="31">
        <f ca="1">SUMIF($L$4:$AL$4,"SUBTOTAL",$L$22:$AL$22)</f>
        <v>-1.712289366712294</v>
      </c>
      <c r="AO22" s="40"/>
      <c r="AP22" s="40">
        <f ca="1">+'TUSD BE'!$T$22+'TUSD BE'!$AB$22+'TUSD BE'!$AD$22+'TUSD BE'!$AL$22</f>
        <v>14.700394165339045</v>
      </c>
    </row>
    <row r="23" spans="1:42" ht="11.25" customHeight="1" x14ac:dyDescent="0.25">
      <c r="A23" s="97"/>
      <c r="B23" s="37" t="s">
        <v>66</v>
      </c>
      <c r="C23" s="37" t="s">
        <v>25</v>
      </c>
      <c r="D23" s="37" t="s">
        <v>25</v>
      </c>
      <c r="E23" s="37" t="s">
        <v>25</v>
      </c>
      <c r="F23" s="37" t="s">
        <v>25</v>
      </c>
      <c r="G23" s="38" t="s">
        <v>9</v>
      </c>
      <c r="H23" s="38" t="s">
        <v>105</v>
      </c>
      <c r="I23" s="38">
        <f>'MERCADO TUSD'!$U$20</f>
        <v>225442</v>
      </c>
      <c r="J23" s="15"/>
      <c r="L23" s="31">
        <f>'TUSD BE'!$L$23*'TUSD BE'!$L$72</f>
        <v>0</v>
      </c>
      <c r="M23" s="31">
        <f>'TUSD BE'!$M$23*'TUSD BE'!$M$72</f>
        <v>-1.1536267286663474E-3</v>
      </c>
      <c r="N23" s="31">
        <f ca="1">'TUSD BE'!$N$23*'TUSD BE'!$N$72</f>
        <v>0</v>
      </c>
      <c r="O23" s="31">
        <f>'TUSD BE'!$O$23*'TUSD BE'!$O$72</f>
        <v>0</v>
      </c>
      <c r="P23" s="31">
        <f>'TUSD BE'!$P$23*'TUSD BE'!$P$72</f>
        <v>0</v>
      </c>
      <c r="Q23" s="31">
        <f>'TUSD BE'!$Q$23*'TUSD BE'!$Q$72</f>
        <v>0</v>
      </c>
      <c r="R23" s="31">
        <f>'TUSD BE'!$R$23*'TUSD BE'!$R$72</f>
        <v>0</v>
      </c>
      <c r="S23" s="31">
        <f>'TUSD BE'!$R$23*'TUSD BE'!$S$72</f>
        <v>0</v>
      </c>
      <c r="T23" s="31">
        <f ca="1">SUM($L$23:$S$23)</f>
        <v>-1.1536267286663474E-3</v>
      </c>
      <c r="U23" s="31">
        <f>'TUSD BE'!$U$23*'TUSD BE'!$U$72</f>
        <v>0</v>
      </c>
      <c r="V23" s="31">
        <f>'TUSD BE'!$V$23*'TUSD BE'!$V$72</f>
        <v>0</v>
      </c>
      <c r="W23" s="31">
        <f>'TUSD BE'!$W$23*'TUSD BE'!$W$72</f>
        <v>0</v>
      </c>
      <c r="X23" s="31">
        <f>'TUSD BE'!$X$23*'TUSD BE'!$X$72</f>
        <v>0</v>
      </c>
      <c r="Y23" s="31">
        <f>'TUSD BE'!$Y$23*'TUSD BE'!$Y$72</f>
        <v>0</v>
      </c>
      <c r="Z23" s="31">
        <f>'TUSD BE'!$Z$23*'TUSD BE'!$Z$72</f>
        <v>0</v>
      </c>
      <c r="AA23" s="31">
        <f>'TUSD BE'!$AA$23*'TUSD BE'!$AA$72</f>
        <v>0</v>
      </c>
      <c r="AB23" s="31">
        <f>SUM($U$23:$AA$23)</f>
        <v>0</v>
      </c>
      <c r="AC23" s="31">
        <f>'TUSD BE'!$AC$23*'TUSD BE'!$AC$72</f>
        <v>0</v>
      </c>
      <c r="AD23" s="31">
        <f>SUM($AC$23:$AC$23)</f>
        <v>0</v>
      </c>
      <c r="AE23" s="31">
        <f ca="1">$AO$23*$AO$69</f>
        <v>-1.4575932884203733</v>
      </c>
      <c r="AF23" s="31">
        <f ca="1">$AP$23*$AP$69</f>
        <v>0</v>
      </c>
      <c r="AG23" s="31">
        <f ca="1">SUM($AE$23:$AF$23)</f>
        <v>-1.4575932884203733</v>
      </c>
      <c r="AH23" s="31">
        <f>'TUSD BE'!$AH$23*'TUSD BE'!$AH$72</f>
        <v>-7.5614872585188904E-5</v>
      </c>
      <c r="AI23" s="31">
        <f>'TUSD BE'!$AI$23*'TUSD BE'!$AI$72</f>
        <v>0</v>
      </c>
      <c r="AJ23" s="31">
        <f ca="1">'TUSD BE'!$AJ$23*'TUSD BE'!$AJ$72</f>
        <v>0</v>
      </c>
      <c r="AK23" s="31">
        <f ca="1">'TUSD BE'!$AK$23*'TUSD BE'!$AK$72</f>
        <v>0</v>
      </c>
      <c r="AL23" s="31">
        <f ca="1">SUM($AH$23:$AK$23)</f>
        <v>-7.5614872585188904E-5</v>
      </c>
      <c r="AM23" s="31">
        <f ca="1">SUMIF($L$4:$AL$4,"SUBTOTAL",$L$23:$AL$23)</f>
        <v>-1.4588225300216247</v>
      </c>
      <c r="AO23" s="40">
        <f ca="1">+'TUSD BE'!$T$23+'TUSD BE'!$AB$23+'TUSD BE'!$AD$23+'TUSD BE'!$AL$23</f>
        <v>15.953075551591436</v>
      </c>
      <c r="AP23" s="40">
        <f ca="1">+'TUSD BE'!$T$23+'TUSD BE'!$AB$23+'TUSD BE'!$AD$23+'TUSD BE'!$AL$23</f>
        <v>15.953075551591436</v>
      </c>
    </row>
    <row r="24" spans="1:42" ht="11.25" customHeight="1" x14ac:dyDescent="0.25">
      <c r="A24" s="97"/>
      <c r="B24" s="97" t="s">
        <v>42</v>
      </c>
      <c r="C24" s="97" t="s">
        <v>25</v>
      </c>
      <c r="D24" s="97" t="s">
        <v>25</v>
      </c>
      <c r="E24" s="97" t="s">
        <v>25</v>
      </c>
      <c r="F24" s="97" t="s">
        <v>25</v>
      </c>
      <c r="G24" s="38" t="s">
        <v>9</v>
      </c>
      <c r="H24" s="38" t="s">
        <v>105</v>
      </c>
      <c r="I24" s="38">
        <f>'MERCADO TUSD'!$U$21</f>
        <v>2907224</v>
      </c>
      <c r="J24" s="15"/>
      <c r="L24" s="31">
        <f>'TUSD BE'!$L$24*'TUSD BE'!$L$72</f>
        <v>0</v>
      </c>
      <c r="M24" s="31">
        <f>'TUSD BE'!$M$24*'TUSD BE'!$M$72</f>
        <v>0</v>
      </c>
      <c r="N24" s="31">
        <f ca="1">'TUSD BE'!$N$24*'TUSD BE'!$N$72</f>
        <v>0</v>
      </c>
      <c r="O24" s="31">
        <f>'TUSD BE'!$O$24*'TUSD BE'!$O$72</f>
        <v>0</v>
      </c>
      <c r="P24" s="31">
        <f>'TUSD BE'!$P$24*'TUSD BE'!$P$72</f>
        <v>0</v>
      </c>
      <c r="Q24" s="31">
        <f>'TUSD BE'!$Q$24*'TUSD BE'!$Q$72</f>
        <v>0</v>
      </c>
      <c r="R24" s="31">
        <f>'TUSD BE'!$R$24*'TUSD BE'!$R$72</f>
        <v>0</v>
      </c>
      <c r="S24" s="31">
        <f>'TUSD BE'!$R$24*'TUSD BE'!$S$72</f>
        <v>0</v>
      </c>
      <c r="T24" s="31">
        <f ca="1">SUM($L$24:$S$24)</f>
        <v>0</v>
      </c>
      <c r="U24" s="31">
        <f>'TUSD BE'!$U$24*'TUSD BE'!$U$72</f>
        <v>2.5163733424127668E-2</v>
      </c>
      <c r="V24" s="31">
        <f>'TUSD BE'!$V$24*'TUSD BE'!$V$72</f>
        <v>0</v>
      </c>
      <c r="W24" s="31">
        <f>'TUSD BE'!$W$24*'TUSD BE'!$W$72</f>
        <v>0</v>
      </c>
      <c r="X24" s="31">
        <f>'TUSD BE'!$X$24*'TUSD BE'!$X$72</f>
        <v>0</v>
      </c>
      <c r="Y24" s="31">
        <f>'TUSD BE'!$Y$24*'TUSD BE'!$Y$72</f>
        <v>-9.2038915159775945E-3</v>
      </c>
      <c r="Z24" s="31">
        <f>'TUSD BE'!$Z$24*'TUSD BE'!$Z$72</f>
        <v>0</v>
      </c>
      <c r="AA24" s="31">
        <f>'TUSD BE'!$AA$24*'TUSD BE'!$AA$72</f>
        <v>0</v>
      </c>
      <c r="AB24" s="31">
        <f>SUM($U$24:$AA$24)</f>
        <v>1.5959841908150071E-2</v>
      </c>
      <c r="AC24" s="31">
        <f>'TUSD BE'!$AC$24*'TUSD BE'!$AC$72</f>
        <v>0</v>
      </c>
      <c r="AD24" s="31">
        <f>SUM($AC$24:$AC$24)</f>
        <v>0</v>
      </c>
      <c r="AE24" s="31">
        <f ca="1">$AO$24*$AO$69</f>
        <v>-2.6115930050922564</v>
      </c>
      <c r="AF24" s="31">
        <f ca="1">$AP$24*$AP$69</f>
        <v>0</v>
      </c>
      <c r="AG24" s="31">
        <f ca="1">SUM($AE$24:$AF$24)</f>
        <v>-2.6115930050922564</v>
      </c>
      <c r="AH24" s="31">
        <f>'TUSD BE'!$AH$24*'TUSD BE'!$AH$72</f>
        <v>0</v>
      </c>
      <c r="AI24" s="31">
        <f>'TUSD BE'!$AI$24*'TUSD BE'!$AI$72</f>
        <v>0</v>
      </c>
      <c r="AJ24" s="31">
        <f ca="1">'TUSD BE'!$AJ$24*'TUSD BE'!$AJ$72</f>
        <v>0</v>
      </c>
      <c r="AK24" s="31">
        <f ca="1">'TUSD BE'!$AK$24*'TUSD BE'!$AK$72</f>
        <v>0</v>
      </c>
      <c r="AL24" s="31">
        <f ca="1">SUM($AH$24:$AK$24)</f>
        <v>0</v>
      </c>
      <c r="AM24" s="31">
        <f ca="1">SUMIF($L$4:$AL$4,"SUBTOTAL",$L$24:$AL$24)</f>
        <v>-2.5956331631841065</v>
      </c>
      <c r="AO24" s="40">
        <f ca="1">+'TUSD BE'!$T$24+'TUSD BE'!$AB$24+'TUSD BE'!$AD$24+'TUSD BE'!$AL$24</f>
        <v>28.583378402761134</v>
      </c>
      <c r="AP24" s="40">
        <f ca="1">+'TUSD BE'!$T$24+'TUSD BE'!$AB$24+'TUSD BE'!$AD$24+'TUSD BE'!$AL$24</f>
        <v>28.583378402761134</v>
      </c>
    </row>
    <row r="25" spans="1:42" ht="11.25" customHeight="1" x14ac:dyDescent="0.25">
      <c r="A25" s="97"/>
      <c r="B25" s="97"/>
      <c r="C25" s="97"/>
      <c r="D25" s="97"/>
      <c r="E25" s="97"/>
      <c r="F25" s="97"/>
      <c r="G25" s="38" t="s">
        <v>103</v>
      </c>
      <c r="H25" s="38" t="s">
        <v>102</v>
      </c>
      <c r="I25" s="38">
        <f>'MERCADO TUSD'!$U$22</f>
        <v>35988.722999999998</v>
      </c>
      <c r="J25" s="15"/>
      <c r="L25" s="31">
        <f>'TUSD BE'!$L$25*'TUSD BE'!$L$72</f>
        <v>-8.4298035837359814E-2</v>
      </c>
      <c r="M25" s="31">
        <f>'TUSD BE'!$M$25*'TUSD BE'!$M$72</f>
        <v>-1.3956249360707131E-2</v>
      </c>
      <c r="N25" s="31">
        <f ca="1">'TUSD BE'!$N$25*'TUSD BE'!$N$72</f>
        <v>0</v>
      </c>
      <c r="O25" s="31">
        <f>'TUSD BE'!$O$25*'TUSD BE'!$O$72</f>
        <v>-4.6268022205212428E-4</v>
      </c>
      <c r="P25" s="31">
        <f>'TUSD BE'!$P$25*'TUSD BE'!$P$72</f>
        <v>0</v>
      </c>
      <c r="Q25" s="31">
        <f>'TUSD BE'!$Q$25*'TUSD BE'!$Q$72</f>
        <v>-0.13483113413730025</v>
      </c>
      <c r="R25" s="31">
        <f>'TUSD BE'!$R$25*'TUSD BE'!$R$72</f>
        <v>-0.12841986612197215</v>
      </c>
      <c r="S25" s="31">
        <f>'TUSD BE'!$R$25*'TUSD BE'!$S$72</f>
        <v>0</v>
      </c>
      <c r="T25" s="31">
        <f ca="1">SUM($L$25:$S$25)</f>
        <v>-0.36196796567939149</v>
      </c>
      <c r="U25" s="31">
        <f>'TUSD BE'!$U$25*'TUSD BE'!$U$72</f>
        <v>0.96908839444683526</v>
      </c>
      <c r="V25" s="31">
        <f>'TUSD BE'!$V$25*'TUSD BE'!$V$72</f>
        <v>0</v>
      </c>
      <c r="W25" s="31">
        <f>'TUSD BE'!$W$25*'TUSD BE'!$W$72</f>
        <v>0</v>
      </c>
      <c r="X25" s="31">
        <f>'TUSD BE'!$X$25*'TUSD BE'!$X$72</f>
        <v>0</v>
      </c>
      <c r="Y25" s="31">
        <f>'TUSD BE'!$Y$25*'TUSD BE'!$Y$72</f>
        <v>-0.67993342861182393</v>
      </c>
      <c r="Z25" s="31">
        <f>'TUSD BE'!$Z$25*'TUSD BE'!$Z$72</f>
        <v>0</v>
      </c>
      <c r="AA25" s="31">
        <f>'TUSD BE'!$AA$25*'TUSD BE'!$AA$72</f>
        <v>0</v>
      </c>
      <c r="AB25" s="31">
        <f>SUM($U$25:$AA$25)</f>
        <v>0.28915496583501132</v>
      </c>
      <c r="AC25" s="31">
        <f>'TUSD BE'!$AC$25*'TUSD BE'!$AC$72</f>
        <v>0</v>
      </c>
      <c r="AD25" s="31">
        <f>SUM($AC$25:$AC$25)</f>
        <v>0</v>
      </c>
      <c r="AE25" s="31">
        <f ca="1">$AO$25*$AO$69</f>
        <v>-133.18063742046078</v>
      </c>
      <c r="AF25" s="31">
        <f ca="1">$AP$25*$AP$69</f>
        <v>0</v>
      </c>
      <c r="AG25" s="31">
        <f ca="1">SUM($AE$25:$AF$25)</f>
        <v>-133.18063742046078</v>
      </c>
      <c r="AH25" s="31">
        <f>'TUSD BE'!$AH$25*'TUSD BE'!$AH$72</f>
        <v>-1.6619140795923388</v>
      </c>
      <c r="AI25" s="31">
        <f>'TUSD BE'!$AI$25*'TUSD BE'!$AI$72</f>
        <v>-5.0375287119955148E-2</v>
      </c>
      <c r="AJ25" s="31">
        <f ca="1">'TUSD BE'!$AJ$25*'TUSD BE'!$AJ$72</f>
        <v>-1.0631429400447676</v>
      </c>
      <c r="AK25" s="31">
        <f ca="1">'TUSD BE'!$AK$25*'TUSD BE'!$AK$72</f>
        <v>0</v>
      </c>
      <c r="AL25" s="31">
        <f ca="1">SUM($AH$25:$AK$25)</f>
        <v>-2.7754323067570619</v>
      </c>
      <c r="AM25" s="31">
        <f ca="1">SUMIF($L$4:$AL$4,"SUBTOTAL",$L$25:$AL$25)</f>
        <v>-136.02888272706224</v>
      </c>
      <c r="AO25" s="40">
        <f ca="1">+'TUSD BE'!$T$25+'TUSD BE'!$AB$25+'TUSD BE'!$AD$25+'TUSD BE'!$AL$25</f>
        <v>1457.6362196894013</v>
      </c>
      <c r="AP25" s="40">
        <f ca="1">+'TUSD BE'!$T$25+'TUSD BE'!$AB$25+'TUSD BE'!$AD$25+'TUSD BE'!$AL$25</f>
        <v>1457.6362196894013</v>
      </c>
    </row>
    <row r="26" spans="1:42" ht="11.25" customHeight="1" x14ac:dyDescent="0.25">
      <c r="A26" s="97"/>
      <c r="B26" s="97"/>
      <c r="C26" s="97"/>
      <c r="D26" s="97"/>
      <c r="E26" s="97"/>
      <c r="F26" s="97"/>
      <c r="G26" s="38" t="s">
        <v>104</v>
      </c>
      <c r="H26" s="38" t="s">
        <v>102</v>
      </c>
      <c r="I26" s="38">
        <f>'MERCADO TUSD'!$U$23</f>
        <v>544694.34699999995</v>
      </c>
      <c r="J26" s="15"/>
      <c r="L26" s="31">
        <f>'TUSD BE'!$L$26*'TUSD BE'!$L$72</f>
        <v>-8.4298035837359814E-2</v>
      </c>
      <c r="M26" s="31">
        <f>'TUSD BE'!$M$26*'TUSD BE'!$M$72</f>
        <v>-1.3956249360707131E-2</v>
      </c>
      <c r="N26" s="31">
        <f ca="1">'TUSD BE'!$N$26*'TUSD BE'!$N$72</f>
        <v>0</v>
      </c>
      <c r="O26" s="31">
        <f>'TUSD BE'!$O$26*'TUSD BE'!$O$72</f>
        <v>-4.6268022205212428E-4</v>
      </c>
      <c r="P26" s="31">
        <f>'TUSD BE'!$P$26*'TUSD BE'!$P$72</f>
        <v>0</v>
      </c>
      <c r="Q26" s="31">
        <f>'TUSD BE'!$Q$26*'TUSD BE'!$Q$72</f>
        <v>-0.13483113413730025</v>
      </c>
      <c r="R26" s="31">
        <f>'TUSD BE'!$R$26*'TUSD BE'!$R$72</f>
        <v>-0.12841986612197215</v>
      </c>
      <c r="S26" s="31">
        <f>'TUSD BE'!$R$26*'TUSD BE'!$S$72</f>
        <v>0</v>
      </c>
      <c r="T26" s="31">
        <f ca="1">SUM($L$26:$S$26)</f>
        <v>-0.36196796567939149</v>
      </c>
      <c r="U26" s="31">
        <f>'TUSD BE'!$U$26*'TUSD BE'!$U$72</f>
        <v>0</v>
      </c>
      <c r="V26" s="31">
        <f>'TUSD BE'!$V$26*'TUSD BE'!$V$72</f>
        <v>0</v>
      </c>
      <c r="W26" s="31">
        <f>'TUSD BE'!$W$26*'TUSD BE'!$W$72</f>
        <v>0</v>
      </c>
      <c r="X26" s="31">
        <f>'TUSD BE'!$X$26*'TUSD BE'!$X$72</f>
        <v>0</v>
      </c>
      <c r="Y26" s="31">
        <f>'TUSD BE'!$Y$26*'TUSD BE'!$Y$72</f>
        <v>0</v>
      </c>
      <c r="Z26" s="31">
        <f>'TUSD BE'!$Z$26*'TUSD BE'!$Z$72</f>
        <v>0</v>
      </c>
      <c r="AA26" s="31">
        <f>'TUSD BE'!$AA$26*'TUSD BE'!$AA$72</f>
        <v>0</v>
      </c>
      <c r="AB26" s="31">
        <f>SUM($U$26:$AA$26)</f>
        <v>0</v>
      </c>
      <c r="AC26" s="31">
        <f>'TUSD BE'!$AC$26*'TUSD BE'!$AC$72</f>
        <v>0</v>
      </c>
      <c r="AD26" s="31">
        <f>SUM($AC$26:$AC$26)</f>
        <v>0</v>
      </c>
      <c r="AE26" s="31">
        <f ca="1">$AO$26*$AO$69</f>
        <v>-6.8415986647466118</v>
      </c>
      <c r="AF26" s="31">
        <f ca="1">$AP$26*$AP$69</f>
        <v>0</v>
      </c>
      <c r="AG26" s="31">
        <f ca="1">SUM($AE$26:$AF$26)</f>
        <v>-6.8415986647466118</v>
      </c>
      <c r="AH26" s="31">
        <f>'TUSD BE'!$AH$26*'TUSD BE'!$AH$72</f>
        <v>-1.6619140795923388</v>
      </c>
      <c r="AI26" s="31">
        <f>'TUSD BE'!$AI$26*'TUSD BE'!$AI$72</f>
        <v>-5.0375287119955148E-2</v>
      </c>
      <c r="AJ26" s="31">
        <f ca="1">'TUSD BE'!$AJ$26*'TUSD BE'!$AJ$72</f>
        <v>-1.0631429400447676</v>
      </c>
      <c r="AK26" s="31">
        <f ca="1">'TUSD BE'!$AK$26*'TUSD BE'!$AK$72</f>
        <v>0</v>
      </c>
      <c r="AL26" s="31">
        <f ca="1">SUM($AH$26:$AK$26)</f>
        <v>-2.7754323067570619</v>
      </c>
      <c r="AM26" s="31">
        <f ca="1">SUMIF($L$4:$AL$4,"SUBTOTAL",$L$26:$AL$26)</f>
        <v>-9.9789989371830643</v>
      </c>
      <c r="AO26" s="40">
        <f ca="1">+'TUSD BE'!$T$26+'TUSD BE'!$AB$26+'TUSD BE'!$AD$26+'TUSD BE'!$AL$26</f>
        <v>74.879969096627889</v>
      </c>
      <c r="AP26" s="40">
        <f ca="1">+'TUSD BE'!$T$26+'TUSD BE'!$AB$26+'TUSD BE'!$AD$26+'TUSD BE'!$AL$26</f>
        <v>74.879969096627889</v>
      </c>
    </row>
    <row r="27" spans="1:42" ht="11.25" customHeight="1" x14ac:dyDescent="0.25">
      <c r="A27" s="97"/>
      <c r="B27" s="97"/>
      <c r="C27" s="97"/>
      <c r="D27" s="97"/>
      <c r="E27" s="97" t="s">
        <v>59</v>
      </c>
      <c r="F27" s="97" t="s">
        <v>25</v>
      </c>
      <c r="G27" s="38" t="s">
        <v>103</v>
      </c>
      <c r="H27" s="38" t="s">
        <v>102</v>
      </c>
      <c r="I27" s="38">
        <f>'MERCADO TUSD'!$U$24</f>
        <v>0</v>
      </c>
      <c r="J27" s="15"/>
      <c r="L27" s="31">
        <f>'TUSD BE'!$L$27*'TUSD BE'!$L$72</f>
        <v>0</v>
      </c>
      <c r="M27" s="31">
        <f>'TUSD BE'!$M$27*'TUSD BE'!$M$72</f>
        <v>-1.3956249360707131E-2</v>
      </c>
      <c r="N27" s="31">
        <f ca="1">'TUSD BE'!$N$27*'TUSD BE'!$N$72</f>
        <v>0</v>
      </c>
      <c r="O27" s="31">
        <f>'TUSD BE'!$O$27*'TUSD BE'!$O$72</f>
        <v>-4.6268022205212428E-4</v>
      </c>
      <c r="P27" s="31">
        <f>'TUSD BE'!$P$27*'TUSD BE'!$P$72</f>
        <v>0</v>
      </c>
      <c r="Q27" s="31">
        <f>'TUSD BE'!$Q$27*'TUSD BE'!$Q$72</f>
        <v>0</v>
      </c>
      <c r="R27" s="31">
        <f>'TUSD BE'!$R$27*'TUSD BE'!$R$72</f>
        <v>0</v>
      </c>
      <c r="S27" s="31">
        <f>'TUSD BE'!$R$27*'TUSD BE'!$S$72</f>
        <v>0</v>
      </c>
      <c r="T27" s="31">
        <f ca="1">SUM($L$27:$S$27)</f>
        <v>-1.4418929582759256E-2</v>
      </c>
      <c r="U27" s="31">
        <f>'TUSD BE'!$U$27*'TUSD BE'!$U$72</f>
        <v>0.96908839444683526</v>
      </c>
      <c r="V27" s="31">
        <f>'TUSD BE'!$V$27*'TUSD BE'!$V$72</f>
        <v>0</v>
      </c>
      <c r="W27" s="31">
        <f>'TUSD BE'!$W$27*'TUSD BE'!$W$72</f>
        <v>0</v>
      </c>
      <c r="X27" s="31">
        <f>'TUSD BE'!$X$27*'TUSD BE'!$X$72</f>
        <v>0</v>
      </c>
      <c r="Y27" s="31">
        <f>'TUSD BE'!$Y$27*'TUSD BE'!$Y$72</f>
        <v>-0.67993342861182393</v>
      </c>
      <c r="Z27" s="31">
        <f>'TUSD BE'!$Z$27*'TUSD BE'!$Z$72</f>
        <v>0</v>
      </c>
      <c r="AA27" s="31">
        <f>'TUSD BE'!$AA$27*'TUSD BE'!$AA$72</f>
        <v>0</v>
      </c>
      <c r="AB27" s="31">
        <f>SUM($U$27:$AA$27)</f>
        <v>0.28915496583501132</v>
      </c>
      <c r="AC27" s="31">
        <f>'TUSD BE'!$AC$27*'TUSD BE'!$AC$72</f>
        <v>0</v>
      </c>
      <c r="AD27" s="31">
        <f>SUM($AC$27:$AC$27)</f>
        <v>0</v>
      </c>
      <c r="AE27" s="31">
        <f ca="1">$AO$27*$AO$69</f>
        <v>-128.62320417776979</v>
      </c>
      <c r="AF27" s="31">
        <f ca="1">$AP$27*$AP$69</f>
        <v>0</v>
      </c>
      <c r="AG27" s="31">
        <f ca="1">SUM($AE$27:$AF$27)</f>
        <v>-128.62320417776979</v>
      </c>
      <c r="AH27" s="31">
        <f>'TUSD BE'!$AH$27*'TUSD BE'!$AH$72</f>
        <v>-1.6619140795923388</v>
      </c>
      <c r="AI27" s="31">
        <f>'TUSD BE'!$AI$27*'TUSD BE'!$AI$72</f>
        <v>-5.0375287119955148E-2</v>
      </c>
      <c r="AJ27" s="31">
        <f ca="1">'TUSD BE'!$AJ$27*'TUSD BE'!$AJ$72</f>
        <v>-1.0631429400447676</v>
      </c>
      <c r="AK27" s="31">
        <f ca="1">'TUSD BE'!$AK$27*'TUSD BE'!$AK$72</f>
        <v>0</v>
      </c>
      <c r="AL27" s="31">
        <f ca="1">SUM($AH$27:$AK$27)</f>
        <v>-2.7754323067570619</v>
      </c>
      <c r="AM27" s="31">
        <f ca="1">SUMIF($L$4:$AL$4,"SUBTOTAL",$L$27:$AL$27)</f>
        <v>-131.12390044827461</v>
      </c>
      <c r="AO27" s="40">
        <f ca="1">+'TUSD BE'!$T$27+'TUSD BE'!$AB$27+'TUSD BE'!$AD$27+'TUSD BE'!$AL$27</f>
        <v>1407.7559976689117</v>
      </c>
      <c r="AP27" s="40">
        <f ca="1">+'TUSD BE'!$T$27+'TUSD BE'!$AB$27+'TUSD BE'!$AD$27+'TUSD BE'!$AL$27</f>
        <v>1407.7559976689117</v>
      </c>
    </row>
    <row r="28" spans="1:42" ht="11.25" customHeight="1" x14ac:dyDescent="0.25">
      <c r="A28" s="97"/>
      <c r="B28" s="97"/>
      <c r="C28" s="97"/>
      <c r="D28" s="97"/>
      <c r="E28" s="97"/>
      <c r="F28" s="97"/>
      <c r="G28" s="38" t="s">
        <v>104</v>
      </c>
      <c r="H28" s="38" t="s">
        <v>102</v>
      </c>
      <c r="I28" s="38">
        <f>'MERCADO TUSD'!$U$25</f>
        <v>1015.3970000000002</v>
      </c>
      <c r="J28" s="15"/>
      <c r="L28" s="31">
        <f>'TUSD BE'!$L$28*'TUSD BE'!$L$72</f>
        <v>0</v>
      </c>
      <c r="M28" s="31">
        <f>'TUSD BE'!$M$28*'TUSD BE'!$M$72</f>
        <v>-1.3956249360707131E-2</v>
      </c>
      <c r="N28" s="31">
        <f ca="1">'TUSD BE'!$N$28*'TUSD BE'!$N$72</f>
        <v>0</v>
      </c>
      <c r="O28" s="31">
        <f>'TUSD BE'!$O$28*'TUSD BE'!$O$72</f>
        <v>-4.6268022205212428E-4</v>
      </c>
      <c r="P28" s="31">
        <f>'TUSD BE'!$P$28*'TUSD BE'!$P$72</f>
        <v>0</v>
      </c>
      <c r="Q28" s="31">
        <f>'TUSD BE'!$Q$28*'TUSD BE'!$Q$72</f>
        <v>0</v>
      </c>
      <c r="R28" s="31">
        <f>'TUSD BE'!$R$28*'TUSD BE'!$R$72</f>
        <v>0</v>
      </c>
      <c r="S28" s="31">
        <f>'TUSD BE'!$R$28*'TUSD BE'!$S$72</f>
        <v>0</v>
      </c>
      <c r="T28" s="31">
        <f ca="1">SUM($L$28:$S$28)</f>
        <v>-1.4418929582759256E-2</v>
      </c>
      <c r="U28" s="31">
        <f>'TUSD BE'!$U$28*'TUSD BE'!$U$72</f>
        <v>0</v>
      </c>
      <c r="V28" s="31">
        <f>'TUSD BE'!$V$28*'TUSD BE'!$V$72</f>
        <v>0</v>
      </c>
      <c r="W28" s="31">
        <f>'TUSD BE'!$W$28*'TUSD BE'!$W$72</f>
        <v>0</v>
      </c>
      <c r="X28" s="31">
        <f>'TUSD BE'!$X$28*'TUSD BE'!$X$72</f>
        <v>0</v>
      </c>
      <c r="Y28" s="31">
        <f>'TUSD BE'!$Y$28*'TUSD BE'!$Y$72</f>
        <v>0</v>
      </c>
      <c r="Z28" s="31">
        <f>'TUSD BE'!$Z$28*'TUSD BE'!$Z$72</f>
        <v>0</v>
      </c>
      <c r="AA28" s="31">
        <f>'TUSD BE'!$AA$28*'TUSD BE'!$AA$72</f>
        <v>0</v>
      </c>
      <c r="AB28" s="31">
        <f>SUM($U$28:$AA$28)</f>
        <v>0</v>
      </c>
      <c r="AC28" s="31">
        <f>'TUSD BE'!$AC$28*'TUSD BE'!$AC$72</f>
        <v>0</v>
      </c>
      <c r="AD28" s="31">
        <f>SUM($AC$28:$AC$28)</f>
        <v>0</v>
      </c>
      <c r="AE28" s="31">
        <f ca="1">$AO$28*$AO$69</f>
        <v>-2.2841654220556404</v>
      </c>
      <c r="AF28" s="31">
        <f ca="1">$AP$28*$AP$69</f>
        <v>0</v>
      </c>
      <c r="AG28" s="31">
        <f ca="1">SUM($AE$28:$AF$28)</f>
        <v>-2.2841654220556404</v>
      </c>
      <c r="AH28" s="31">
        <f>'TUSD BE'!$AH$28*'TUSD BE'!$AH$72</f>
        <v>-1.6619140795923388</v>
      </c>
      <c r="AI28" s="31">
        <f>'TUSD BE'!$AI$28*'TUSD BE'!$AI$72</f>
        <v>-5.0375287119955148E-2</v>
      </c>
      <c r="AJ28" s="31">
        <f ca="1">'TUSD BE'!$AJ$28*'TUSD BE'!$AJ$72</f>
        <v>-1.0631429400447676</v>
      </c>
      <c r="AK28" s="31">
        <f ca="1">'TUSD BE'!$AK$28*'TUSD BE'!$AK$72</f>
        <v>0</v>
      </c>
      <c r="AL28" s="31">
        <f ca="1">SUM($AH$28:$AK$28)</f>
        <v>-2.7754323067570619</v>
      </c>
      <c r="AM28" s="31">
        <f ca="1">SUMIF($L$4:$AL$4,"SUBTOTAL",$L$28:$AL$28)</f>
        <v>-5.0740166583954611</v>
      </c>
      <c r="AO28" s="40">
        <f ca="1">+'TUSD BE'!$T$28+'TUSD BE'!$AB$28+'TUSD BE'!$AD$28+'TUSD BE'!$AL$28</f>
        <v>24.999747076138529</v>
      </c>
      <c r="AP28" s="40">
        <f ca="1">+'TUSD BE'!$T$28+'TUSD BE'!$AB$28+'TUSD BE'!$AD$28+'TUSD BE'!$AL$28</f>
        <v>24.999747076138529</v>
      </c>
    </row>
    <row r="29" spans="1:42" ht="11.25" customHeight="1" x14ac:dyDescent="0.25">
      <c r="A29" s="97" t="s">
        <v>110</v>
      </c>
      <c r="B29" s="97" t="s">
        <v>66</v>
      </c>
      <c r="C29" s="97" t="s">
        <v>25</v>
      </c>
      <c r="D29" s="97" t="s">
        <v>25</v>
      </c>
      <c r="E29" s="37" t="s">
        <v>111</v>
      </c>
      <c r="F29" s="37" t="s">
        <v>25</v>
      </c>
      <c r="G29" s="38" t="s">
        <v>9</v>
      </c>
      <c r="H29" s="38" t="s">
        <v>105</v>
      </c>
      <c r="I29" s="38">
        <f>'MERCADO TUSD'!$U$26+0.00000001</f>
        <v>1E-8</v>
      </c>
      <c r="J29" s="15"/>
      <c r="L29" s="31">
        <f>'TUSD BE'!$L$29*'TUSD BE'!$L$72</f>
        <v>0</v>
      </c>
      <c r="M29" s="31">
        <f>'TUSD BE'!$M$29*'TUSD BE'!$M$72</f>
        <v>-4.8411121649391363E-4</v>
      </c>
      <c r="N29" s="31">
        <f ca="1">'TUSD BE'!$N$29*'TUSD BE'!$N$72</f>
        <v>0</v>
      </c>
      <c r="O29" s="31">
        <f>'TUSD BE'!$O$29*'TUSD BE'!$O$72</f>
        <v>0</v>
      </c>
      <c r="P29" s="31">
        <f>'TUSD BE'!$P$29*'TUSD BE'!$P$72</f>
        <v>0</v>
      </c>
      <c r="Q29" s="31">
        <f>'TUSD BE'!$Q$29*'TUSD BE'!$Q$72</f>
        <v>0</v>
      </c>
      <c r="R29" s="31">
        <f>'TUSD BE'!$R$29*'TUSD BE'!$R$72</f>
        <v>0</v>
      </c>
      <c r="S29" s="31">
        <f>'TUSD BE'!$R$29*'TUSD BE'!$S$72</f>
        <v>0</v>
      </c>
      <c r="T29" s="31">
        <f ca="1">SUM($L$29:$S$29)</f>
        <v>-4.8411121649391363E-4</v>
      </c>
      <c r="U29" s="31">
        <f>'TUSD BE'!$U$29*'TUSD BE'!$U$72</f>
        <v>0</v>
      </c>
      <c r="V29" s="31">
        <f>'TUSD BE'!$V$29*'TUSD BE'!$V$72</f>
        <v>0</v>
      </c>
      <c r="W29" s="31">
        <f>'TUSD BE'!$W$29*'TUSD BE'!$W$72</f>
        <v>0</v>
      </c>
      <c r="X29" s="31">
        <f>'TUSD BE'!$X$29*'TUSD BE'!$X$72</f>
        <v>0</v>
      </c>
      <c r="Y29" s="31">
        <f>'TUSD BE'!$Y$29*'TUSD BE'!$Y$72</f>
        <v>0</v>
      </c>
      <c r="Z29" s="31">
        <f>'TUSD BE'!$Z$29*'TUSD BE'!$Z$72</f>
        <v>0</v>
      </c>
      <c r="AA29" s="31">
        <f>'TUSD BE'!$AA$29*'TUSD BE'!$AA$72</f>
        <v>0</v>
      </c>
      <c r="AB29" s="31">
        <f>SUM($U$29:$AA$29)</f>
        <v>0</v>
      </c>
      <c r="AC29" s="31">
        <f>'TUSD BE'!$AC$29*'TUSD BE'!$AC$72</f>
        <v>0</v>
      </c>
      <c r="AD29" s="31">
        <f>SUM($AC$29:$AC$29)</f>
        <v>0</v>
      </c>
      <c r="AE29" s="31">
        <f ca="1">$AO$29*$AO$69</f>
        <v>-0.61096617408564213</v>
      </c>
      <c r="AF29" s="31">
        <f ca="1">$AP$29*$AP$69</f>
        <v>0</v>
      </c>
      <c r="AG29" s="31">
        <f ca="1">SUM($AE$29:$AF$29)</f>
        <v>-0.61096617408564213</v>
      </c>
      <c r="AH29" s="31">
        <f>'TUSD BE'!$AH$29*'TUSD BE'!$AH$72</f>
        <v>0</v>
      </c>
      <c r="AI29" s="31">
        <f>'TUSD BE'!$AI$29*'TUSD BE'!$AI$72</f>
        <v>0</v>
      </c>
      <c r="AJ29" s="31">
        <f ca="1">'TUSD BE'!$AJ$29*'TUSD BE'!$AJ$72</f>
        <v>0</v>
      </c>
      <c r="AK29" s="31">
        <f ca="1">'TUSD BE'!$AK$29*'TUSD BE'!$AK$72</f>
        <v>0</v>
      </c>
      <c r="AL29" s="31">
        <f ca="1">SUM($AH$29:$AK$29)</f>
        <v>0</v>
      </c>
      <c r="AM29" s="31">
        <f ca="1">SUMIF($L$4:$AL$4,"SUBTOTAL",$L$29:$AL$29)</f>
        <v>-0.61145028530213608</v>
      </c>
      <c r="AO29" s="40">
        <f ca="1">+'TUSD BE'!$T$29+'TUSD BE'!$AB$29+'TUSD BE'!$AD$29+'TUSD BE'!$AL$29</f>
        <v>6.6869061569416459</v>
      </c>
      <c r="AP29" s="40">
        <f ca="1">+'TUSD BE'!$T$29+'TUSD BE'!$AB$29+'TUSD BE'!$AD$29+'TUSD BE'!$AL$29</f>
        <v>6.6869061569416459</v>
      </c>
    </row>
    <row r="30" spans="1:42" ht="11.25" customHeight="1" x14ac:dyDescent="0.25">
      <c r="A30" s="97"/>
      <c r="B30" s="97"/>
      <c r="C30" s="97"/>
      <c r="D30" s="97"/>
      <c r="E30" s="37" t="s">
        <v>112</v>
      </c>
      <c r="F30" s="37" t="s">
        <v>25</v>
      </c>
      <c r="G30" s="38" t="s">
        <v>9</v>
      </c>
      <c r="H30" s="38" t="s">
        <v>105</v>
      </c>
      <c r="I30" s="38">
        <f>'MERCADO TUSD'!$U$27+0.00000001</f>
        <v>1E-8</v>
      </c>
      <c r="J30" s="15"/>
      <c r="L30" s="31">
        <f>'TUSD BE'!$L$30*'TUSD BE'!$L$72</f>
        <v>0</v>
      </c>
      <c r="M30" s="31">
        <f>'TUSD BE'!$M$30*'TUSD BE'!$M$72</f>
        <v>-4.8411121649391363E-4</v>
      </c>
      <c r="N30" s="31">
        <f ca="1">'TUSD BE'!$N$30*'TUSD BE'!$N$72</f>
        <v>0</v>
      </c>
      <c r="O30" s="31">
        <f>'TUSD BE'!$O$30*'TUSD BE'!$O$72</f>
        <v>0</v>
      </c>
      <c r="P30" s="31">
        <f>'TUSD BE'!$P$30*'TUSD BE'!$P$72</f>
        <v>0</v>
      </c>
      <c r="Q30" s="31">
        <f>'TUSD BE'!$Q$30*'TUSD BE'!$Q$72</f>
        <v>0</v>
      </c>
      <c r="R30" s="31">
        <f>'TUSD BE'!$R$30*'TUSD BE'!$R$72</f>
        <v>0</v>
      </c>
      <c r="S30" s="31">
        <f>'TUSD BE'!$R$30*'TUSD BE'!$S$72</f>
        <v>0</v>
      </c>
      <c r="T30" s="31">
        <f ca="1">SUM($L$30:$S$30)</f>
        <v>-4.8411121649391363E-4</v>
      </c>
      <c r="U30" s="31">
        <f>'TUSD BE'!$U$30*'TUSD BE'!$U$72</f>
        <v>0</v>
      </c>
      <c r="V30" s="31">
        <f>'TUSD BE'!$V$30*'TUSD BE'!$V$72</f>
        <v>0</v>
      </c>
      <c r="W30" s="31">
        <f>'TUSD BE'!$W$30*'TUSD BE'!$W$72</f>
        <v>0</v>
      </c>
      <c r="X30" s="31">
        <f>'TUSD BE'!$X$30*'TUSD BE'!$X$72</f>
        <v>0</v>
      </c>
      <c r="Y30" s="31">
        <f>'TUSD BE'!$Y$30*'TUSD BE'!$Y$72</f>
        <v>0</v>
      </c>
      <c r="Z30" s="31">
        <f>'TUSD BE'!$Z$30*'TUSD BE'!$Z$72</f>
        <v>0</v>
      </c>
      <c r="AA30" s="31">
        <f>'TUSD BE'!$AA$30*'TUSD BE'!$AA$72</f>
        <v>0</v>
      </c>
      <c r="AB30" s="31">
        <f>SUM($U$30:$AA$30)</f>
        <v>0</v>
      </c>
      <c r="AC30" s="31">
        <f>'TUSD BE'!$AC$30*'TUSD BE'!$AC$72</f>
        <v>0</v>
      </c>
      <c r="AD30" s="31">
        <f>SUM($AC$30:$AC$30)</f>
        <v>0</v>
      </c>
      <c r="AE30" s="31">
        <f ca="1">$AO$30*$AO$69</f>
        <v>-1.7004265830513132</v>
      </c>
      <c r="AF30" s="31">
        <f ca="1">$AP$30*$AP$69</f>
        <v>0</v>
      </c>
      <c r="AG30" s="31">
        <f ca="1">SUM($AE$30:$AF$30)</f>
        <v>-1.7004265830513132</v>
      </c>
      <c r="AH30" s="31">
        <f>'TUSD BE'!$AH$30*'TUSD BE'!$AH$72</f>
        <v>0</v>
      </c>
      <c r="AI30" s="31">
        <f>'TUSD BE'!$AI$30*'TUSD BE'!$AI$72</f>
        <v>0</v>
      </c>
      <c r="AJ30" s="31">
        <f ca="1">'TUSD BE'!$AJ$30*'TUSD BE'!$AJ$72</f>
        <v>0</v>
      </c>
      <c r="AK30" s="31">
        <f ca="1">'TUSD BE'!$AK$30*'TUSD BE'!$AK$72</f>
        <v>0</v>
      </c>
      <c r="AL30" s="31">
        <f ca="1">SUM($AH$30:$AK$30)</f>
        <v>0</v>
      </c>
      <c r="AM30" s="31">
        <f ca="1">SUMIF($L$4:$AL$4,"SUBTOTAL",$L$30:$AL$30)</f>
        <v>-1.7009106942678072</v>
      </c>
      <c r="AO30" s="40">
        <f ca="1">+'TUSD BE'!$T$30+'TUSD BE'!$AB$30+'TUSD BE'!$AD$30+'TUSD BE'!$AL$30</f>
        <v>18.610838815504046</v>
      </c>
      <c r="AP30" s="40">
        <f ca="1">+'TUSD BE'!$T$30+'TUSD BE'!$AB$30+'TUSD BE'!$AD$30+'TUSD BE'!$AL$30</f>
        <v>18.610838815504046</v>
      </c>
    </row>
    <row r="31" spans="1:42" ht="11.25" customHeight="1" x14ac:dyDescent="0.25">
      <c r="A31" s="97" t="s">
        <v>22</v>
      </c>
      <c r="B31" s="97" t="s">
        <v>33</v>
      </c>
      <c r="C31" s="97" t="s">
        <v>24</v>
      </c>
      <c r="D31" s="97" t="s">
        <v>24</v>
      </c>
      <c r="E31" s="97" t="s">
        <v>25</v>
      </c>
      <c r="F31" s="97" t="s">
        <v>25</v>
      </c>
      <c r="G31" s="38" t="s">
        <v>103</v>
      </c>
      <c r="H31" s="38" t="s">
        <v>102</v>
      </c>
      <c r="I31" s="38">
        <f>'MERCADO TUSD'!$U$28</f>
        <v>107.383</v>
      </c>
      <c r="J31" s="15"/>
      <c r="L31" s="31">
        <f>'TUSD BE'!$L$31*'TUSD BE'!$L$72</f>
        <v>-0.10035480456828549</v>
      </c>
      <c r="M31" s="31">
        <f>'TUSD BE'!$M$31*'TUSD BE'!$M$72</f>
        <v>-1.7739620763338095E-2</v>
      </c>
      <c r="N31" s="31">
        <f ca="1">'TUSD BE'!$N$31*'TUSD BE'!$N$72</f>
        <v>0</v>
      </c>
      <c r="O31" s="31">
        <f>'TUSD BE'!$O$31*'TUSD BE'!$O$72</f>
        <v>-4.6268022205212428E-4</v>
      </c>
      <c r="P31" s="31">
        <f>'TUSD BE'!$P$31*'TUSD BE'!$P$72</f>
        <v>0</v>
      </c>
      <c r="Q31" s="31">
        <f>'TUSD BE'!$Q$31*'TUSD BE'!$Q$72</f>
        <v>-0.16051325492535745</v>
      </c>
      <c r="R31" s="31">
        <f>'TUSD BE'!$R$31*'TUSD BE'!$R$72</f>
        <v>-0.12841986612197215</v>
      </c>
      <c r="S31" s="31">
        <f>'TUSD BE'!$R$31*'TUSD BE'!$S$72</f>
        <v>0</v>
      </c>
      <c r="T31" s="31">
        <f ca="1">SUM($L$31:$S$31)</f>
        <v>-0.40749022660100531</v>
      </c>
      <c r="U31" s="31">
        <f>'TUSD BE'!$U$31*'TUSD BE'!$U$72</f>
        <v>0.57533709997146665</v>
      </c>
      <c r="V31" s="31">
        <f>'TUSD BE'!$V$31*'TUSD BE'!$V$72</f>
        <v>0</v>
      </c>
      <c r="W31" s="31">
        <f>'TUSD BE'!$W$31*'TUSD BE'!$W$72</f>
        <v>0</v>
      </c>
      <c r="X31" s="31">
        <f>'TUSD BE'!$X$31*'TUSD BE'!$X$72</f>
        <v>0</v>
      </c>
      <c r="Y31" s="31">
        <f>'TUSD BE'!$Y$31*'TUSD BE'!$Y$72</f>
        <v>-0.30884272347417413</v>
      </c>
      <c r="Z31" s="31">
        <f>'TUSD BE'!$Z$31*'TUSD BE'!$Z$72</f>
        <v>0</v>
      </c>
      <c r="AA31" s="31">
        <f>'TUSD BE'!$AA$31*'TUSD BE'!$AA$72</f>
        <v>0</v>
      </c>
      <c r="AB31" s="31">
        <f>SUM($U$31:$AA$31)</f>
        <v>0.26649437649729252</v>
      </c>
      <c r="AC31" s="31">
        <f>'TUSD BE'!$AC$31*'TUSD BE'!$AC$72</f>
        <v>0</v>
      </c>
      <c r="AD31" s="31">
        <f>SUM($AC$31:$AC$31)</f>
        <v>0</v>
      </c>
      <c r="AE31" s="31">
        <f ca="1">$AO$31*$AO$69</f>
        <v>-90.226661566292861</v>
      </c>
      <c r="AF31" s="31">
        <f ca="1">$AP$31*$AP$69</f>
        <v>0</v>
      </c>
      <c r="AG31" s="31">
        <f ca="1">SUM($AE$31:$AF$31)</f>
        <v>-90.226661566292861</v>
      </c>
      <c r="AH31" s="31">
        <f>'TUSD BE'!$AH$31*'TUSD BE'!$AH$72</f>
        <v>-3.7564964601171282</v>
      </c>
      <c r="AI31" s="31">
        <f>'TUSD BE'!$AI$31*'TUSD BE'!$AI$72</f>
        <v>-0.11386544591397531</v>
      </c>
      <c r="AJ31" s="31">
        <f ca="1">'TUSD BE'!$AJ$31*'TUSD BE'!$AJ$72</f>
        <v>-1.2721427844464437</v>
      </c>
      <c r="AK31" s="31">
        <f ca="1">'TUSD BE'!$AK$31*'TUSD BE'!$AK$72</f>
        <v>0</v>
      </c>
      <c r="AL31" s="31">
        <f ca="1">SUM($AH$31:$AK$31)</f>
        <v>-5.1425046904775469</v>
      </c>
      <c r="AM31" s="31">
        <f ca="1">SUMIF($L$4:$AL$4,"SUBTOTAL",$L$31:$AL$31)</f>
        <v>-95.51016210687412</v>
      </c>
      <c r="AO31" s="40">
        <f ca="1">+'TUSD BE'!$T$31+'TUSD BE'!$AB$31+'TUSD BE'!$AD$31+'TUSD BE'!$AL$31</f>
        <v>987.51329343375585</v>
      </c>
      <c r="AP31" s="40">
        <f ca="1">+'TUSD BE'!$T$31+'TUSD BE'!$AB$31+'TUSD BE'!$AD$31+'TUSD BE'!$AL$31</f>
        <v>987.51329343375585</v>
      </c>
    </row>
    <row r="32" spans="1:42" ht="11.25" customHeight="1" x14ac:dyDescent="0.25">
      <c r="A32" s="97"/>
      <c r="B32" s="97"/>
      <c r="C32" s="97"/>
      <c r="D32" s="97"/>
      <c r="E32" s="97"/>
      <c r="F32" s="97"/>
      <c r="G32" s="38" t="s">
        <v>113</v>
      </c>
      <c r="H32" s="38" t="s">
        <v>102</v>
      </c>
      <c r="I32" s="38">
        <f>'MERCADO TUSD'!$U$29</f>
        <v>73.695000000000007</v>
      </c>
      <c r="J32" s="15"/>
      <c r="L32" s="31">
        <f>'TUSD BE'!$L$32*'TUSD BE'!$L$72</f>
        <v>-0.10035480456828549</v>
      </c>
      <c r="M32" s="31">
        <f>'TUSD BE'!$M$32*'TUSD BE'!$M$72</f>
        <v>-1.7739620763338095E-2</v>
      </c>
      <c r="N32" s="31">
        <f ca="1">'TUSD BE'!$N$32*'TUSD BE'!$N$72</f>
        <v>0</v>
      </c>
      <c r="O32" s="31">
        <f>'TUSD BE'!$O$32*'TUSD BE'!$O$72</f>
        <v>-4.6268022205212428E-4</v>
      </c>
      <c r="P32" s="31">
        <f>'TUSD BE'!$P$32*'TUSD BE'!$P$72</f>
        <v>0</v>
      </c>
      <c r="Q32" s="31">
        <f>'TUSD BE'!$Q$32*'TUSD BE'!$Q$72</f>
        <v>-0.16051325492535745</v>
      </c>
      <c r="R32" s="31">
        <f>'TUSD BE'!$R$32*'TUSD BE'!$R$72</f>
        <v>-0.12841986612197215</v>
      </c>
      <c r="S32" s="31">
        <f>'TUSD BE'!$R$32*'TUSD BE'!$S$72</f>
        <v>0</v>
      </c>
      <c r="T32" s="31">
        <f ca="1">SUM($L$32:$S$32)</f>
        <v>-0.40749022660100531</v>
      </c>
      <c r="U32" s="31">
        <f>'TUSD BE'!$U$32*'TUSD BE'!$U$72</f>
        <v>0.34520225998288001</v>
      </c>
      <c r="V32" s="31">
        <f>'TUSD BE'!$V$32*'TUSD BE'!$V$72</f>
        <v>0</v>
      </c>
      <c r="W32" s="31">
        <f>'TUSD BE'!$W$32*'TUSD BE'!$W$72</f>
        <v>0</v>
      </c>
      <c r="X32" s="31">
        <f>'TUSD BE'!$X$32*'TUSD BE'!$X$72</f>
        <v>0</v>
      </c>
      <c r="Y32" s="31">
        <f>'TUSD BE'!$Y$32*'TUSD BE'!$Y$72</f>
        <v>-0.18530656142873786</v>
      </c>
      <c r="Z32" s="31">
        <f>'TUSD BE'!$Z$32*'TUSD BE'!$Z$72</f>
        <v>0</v>
      </c>
      <c r="AA32" s="31">
        <f>'TUSD BE'!$AA$32*'TUSD BE'!$AA$72</f>
        <v>0</v>
      </c>
      <c r="AB32" s="31">
        <f>SUM($U$32:$AA$32)</f>
        <v>0.15989569855414215</v>
      </c>
      <c r="AC32" s="31">
        <f>'TUSD BE'!$AC$32*'TUSD BE'!$AC$72</f>
        <v>0</v>
      </c>
      <c r="AD32" s="31">
        <f>SUM($AC$32:$AC$32)</f>
        <v>0</v>
      </c>
      <c r="AE32" s="31">
        <f ca="1">$AO$32*$AO$69</f>
        <v>-57.883171232722503</v>
      </c>
      <c r="AF32" s="31">
        <f ca="1">$AP$32*$AP$69</f>
        <v>0</v>
      </c>
      <c r="AG32" s="31">
        <f ca="1">SUM($AE$32:$AF$32)</f>
        <v>-57.883171232722503</v>
      </c>
      <c r="AH32" s="31">
        <f>'TUSD BE'!$AH$32*'TUSD BE'!$AH$72</f>
        <v>-3.7564964601171282</v>
      </c>
      <c r="AI32" s="31">
        <f>'TUSD BE'!$AI$32*'TUSD BE'!$AI$72</f>
        <v>-0.11386544591397531</v>
      </c>
      <c r="AJ32" s="31">
        <f ca="1">'TUSD BE'!$AJ$32*'TUSD BE'!$AJ$72</f>
        <v>-1.2721427844464437</v>
      </c>
      <c r="AK32" s="31">
        <f ca="1">'TUSD BE'!$AK$32*'TUSD BE'!$AK$72</f>
        <v>0</v>
      </c>
      <c r="AL32" s="31">
        <f ca="1">SUM($AH$32:$AK$32)</f>
        <v>-5.1425046904775469</v>
      </c>
      <c r="AM32" s="31">
        <f ca="1">SUMIF($L$4:$AL$4,"SUBTOTAL",$L$32:$AL$32)</f>
        <v>-63.273270451246908</v>
      </c>
      <c r="AO32" s="40">
        <f ca="1">+'TUSD BE'!$T$32+'TUSD BE'!$AB$32+'TUSD BE'!$AD$32+'TUSD BE'!$AL$32</f>
        <v>633.52007118669655</v>
      </c>
      <c r="AP32" s="40">
        <f ca="1">+'TUSD BE'!$T$32+'TUSD BE'!$AB$32+'TUSD BE'!$AD$32+'TUSD BE'!$AL$32</f>
        <v>633.52007118669655</v>
      </c>
    </row>
    <row r="33" spans="1:42" ht="11.25" customHeight="1" x14ac:dyDescent="0.25">
      <c r="A33" s="97"/>
      <c r="B33" s="97"/>
      <c r="C33" s="97"/>
      <c r="D33" s="97"/>
      <c r="E33" s="97"/>
      <c r="F33" s="97"/>
      <c r="G33" s="38" t="s">
        <v>104</v>
      </c>
      <c r="H33" s="38" t="s">
        <v>102</v>
      </c>
      <c r="I33" s="38">
        <f>'MERCADO TUSD'!$U$30</f>
        <v>1358.0870000000002</v>
      </c>
      <c r="J33" s="15"/>
      <c r="L33" s="31">
        <f>'TUSD BE'!$L$33*'TUSD BE'!$L$72</f>
        <v>-0.10035480456828549</v>
      </c>
      <c r="M33" s="31">
        <f>'TUSD BE'!$M$33*'TUSD BE'!$M$72</f>
        <v>-1.7739620763338095E-2</v>
      </c>
      <c r="N33" s="31">
        <f ca="1">'TUSD BE'!$N$33*'TUSD BE'!$N$72</f>
        <v>0</v>
      </c>
      <c r="O33" s="31">
        <f>'TUSD BE'!$O$33*'TUSD BE'!$O$72</f>
        <v>-4.6268022205212428E-4</v>
      </c>
      <c r="P33" s="31">
        <f>'TUSD BE'!$P$33*'TUSD BE'!$P$72</f>
        <v>0</v>
      </c>
      <c r="Q33" s="31">
        <f>'TUSD BE'!$Q$33*'TUSD BE'!$Q$72</f>
        <v>-0.16051325492535745</v>
      </c>
      <c r="R33" s="31">
        <f>'TUSD BE'!$R$33*'TUSD BE'!$R$72</f>
        <v>-0.12841986612197215</v>
      </c>
      <c r="S33" s="31">
        <f>'TUSD BE'!$R$33*'TUSD BE'!$S$72</f>
        <v>0</v>
      </c>
      <c r="T33" s="31">
        <f ca="1">SUM($L$33:$S$33)</f>
        <v>-0.40749022660100531</v>
      </c>
      <c r="U33" s="31">
        <f>'TUSD BE'!$U$33*'TUSD BE'!$U$72</f>
        <v>0.11506741999429332</v>
      </c>
      <c r="V33" s="31">
        <f>'TUSD BE'!$V$33*'TUSD BE'!$V$72</f>
        <v>0</v>
      </c>
      <c r="W33" s="31">
        <f>'TUSD BE'!$W$33*'TUSD BE'!$W$72</f>
        <v>0</v>
      </c>
      <c r="X33" s="31">
        <f>'TUSD BE'!$X$33*'TUSD BE'!$X$72</f>
        <v>0</v>
      </c>
      <c r="Y33" s="31">
        <f>'TUSD BE'!$Y$33*'TUSD BE'!$Y$72</f>
        <v>-6.1770399383301533E-2</v>
      </c>
      <c r="Z33" s="31">
        <f>'TUSD BE'!$Z$33*'TUSD BE'!$Z$72</f>
        <v>0</v>
      </c>
      <c r="AA33" s="31">
        <f>'TUSD BE'!$AA$33*'TUSD BE'!$AA$72</f>
        <v>0</v>
      </c>
      <c r="AB33" s="31">
        <f>SUM($U$33:$AA$33)</f>
        <v>5.3297020610991785E-2</v>
      </c>
      <c r="AC33" s="31">
        <f>'TUSD BE'!$AC$33*'TUSD BE'!$AC$72</f>
        <v>0</v>
      </c>
      <c r="AD33" s="31">
        <f>SUM($AC$33:$AC$33)</f>
        <v>0</v>
      </c>
      <c r="AE33" s="31">
        <f ca="1">$AO$33*$AO$69</f>
        <v>-25.539696976656607</v>
      </c>
      <c r="AF33" s="31">
        <f ca="1">$AP$33*$AP$69</f>
        <v>0</v>
      </c>
      <c r="AG33" s="31">
        <f ca="1">SUM($AE$33:$AF$33)</f>
        <v>-25.539696976656607</v>
      </c>
      <c r="AH33" s="31">
        <f>'TUSD BE'!$AH$33*'TUSD BE'!$AH$72</f>
        <v>-3.7564964601171282</v>
      </c>
      <c r="AI33" s="31">
        <f>'TUSD BE'!$AI$33*'TUSD BE'!$AI$72</f>
        <v>-0.11386544591397531</v>
      </c>
      <c r="AJ33" s="31">
        <f ca="1">'TUSD BE'!$AJ$33*'TUSD BE'!$AJ$72</f>
        <v>-1.2721427844464437</v>
      </c>
      <c r="AK33" s="31">
        <f ca="1">'TUSD BE'!$AK$33*'TUSD BE'!$AK$72</f>
        <v>0</v>
      </c>
      <c r="AL33" s="31">
        <f ca="1">SUM($AH$33:$AK$33)</f>
        <v>-5.1425046904775469</v>
      </c>
      <c r="AM33" s="31">
        <f ca="1">SUMIF($L$4:$AL$4,"SUBTOTAL",$L$33:$AL$33)</f>
        <v>-31.03639487312417</v>
      </c>
      <c r="AO33" s="40">
        <f ca="1">+'TUSD BE'!$T$33+'TUSD BE'!$AB$33+'TUSD BE'!$AD$33+'TUSD BE'!$AL$33</f>
        <v>279.5270249048022</v>
      </c>
      <c r="AP33" s="40">
        <f ca="1">+'TUSD BE'!$T$33+'TUSD BE'!$AB$33+'TUSD BE'!$AD$33+'TUSD BE'!$AL$33</f>
        <v>279.5270249048022</v>
      </c>
    </row>
    <row r="34" spans="1:42" ht="11.25" customHeight="1" x14ac:dyDescent="0.25">
      <c r="A34" s="97"/>
      <c r="B34" s="97" t="s">
        <v>23</v>
      </c>
      <c r="C34" s="97" t="s">
        <v>24</v>
      </c>
      <c r="D34" s="37" t="s">
        <v>24</v>
      </c>
      <c r="E34" s="37" t="s">
        <v>25</v>
      </c>
      <c r="F34" s="37" t="s">
        <v>25</v>
      </c>
      <c r="G34" s="38" t="s">
        <v>108</v>
      </c>
      <c r="H34" s="38" t="s">
        <v>102</v>
      </c>
      <c r="I34" s="38">
        <f>'MERCADO TUSD'!$U$31</f>
        <v>1398369.1870000002</v>
      </c>
      <c r="J34" s="15"/>
      <c r="L34" s="31">
        <f>'TUSD BE'!$L$34*'TUSD BE'!$L$72</f>
        <v>-0.10035480456828549</v>
      </c>
      <c r="M34" s="31">
        <f>'TUSD BE'!$M$34*'TUSD BE'!$M$72</f>
        <v>-1.7739620763338095E-2</v>
      </c>
      <c r="N34" s="31">
        <f ca="1">'TUSD BE'!$N$34*'TUSD BE'!$N$72</f>
        <v>0</v>
      </c>
      <c r="O34" s="31">
        <f>'TUSD BE'!$O$34*'TUSD BE'!$O$72</f>
        <v>-4.6268022205212428E-4</v>
      </c>
      <c r="P34" s="31">
        <f>'TUSD BE'!$P$34*'TUSD BE'!$P$72</f>
        <v>0</v>
      </c>
      <c r="Q34" s="31">
        <f>'TUSD BE'!$Q$34*'TUSD BE'!$Q$72</f>
        <v>-0.16051325492535745</v>
      </c>
      <c r="R34" s="31">
        <f>'TUSD BE'!$R$34*'TUSD BE'!$R$72</f>
        <v>-0.12841986612197215</v>
      </c>
      <c r="S34" s="31">
        <f>'TUSD BE'!$R$34*'TUSD BE'!$S$72</f>
        <v>0</v>
      </c>
      <c r="T34" s="31">
        <f ca="1">SUM($L$34:$S$34)</f>
        <v>-0.40749022660100531</v>
      </c>
      <c r="U34" s="31">
        <f>'TUSD BE'!$U$34*'TUSD BE'!$U$72</f>
        <v>0.17979314025943535</v>
      </c>
      <c r="V34" s="31">
        <f>'TUSD BE'!$V$34*'TUSD BE'!$V$72</f>
        <v>0</v>
      </c>
      <c r="W34" s="31">
        <f>'TUSD BE'!$W$34*'TUSD BE'!$W$72</f>
        <v>0</v>
      </c>
      <c r="X34" s="31">
        <f>'TUSD BE'!$X$34*'TUSD BE'!$X$72</f>
        <v>0</v>
      </c>
      <c r="Y34" s="31">
        <f>'TUSD BE'!$Y$34*'TUSD BE'!$Y$72</f>
        <v>-9.6513351085679419E-2</v>
      </c>
      <c r="Z34" s="31">
        <f>'TUSD BE'!$Z$34*'TUSD BE'!$Z$72</f>
        <v>0</v>
      </c>
      <c r="AA34" s="31">
        <f>'TUSD BE'!$AA$34*'TUSD BE'!$AA$72</f>
        <v>0</v>
      </c>
      <c r="AB34" s="31">
        <f>SUM($U$34:$AA$34)</f>
        <v>8.3279789173755933E-2</v>
      </c>
      <c r="AC34" s="31">
        <f>'TUSD BE'!$AC$34*'TUSD BE'!$AC$72</f>
        <v>0</v>
      </c>
      <c r="AD34" s="31">
        <f>SUM($AC$34:$AC$34)</f>
        <v>0</v>
      </c>
      <c r="AE34" s="31">
        <f ca="1">$AO$34*$AO$69</f>
        <v>-34.636309155386371</v>
      </c>
      <c r="AF34" s="31">
        <f ca="1">$AP$34*$AP$69</f>
        <v>0</v>
      </c>
      <c r="AG34" s="31">
        <f ca="1">SUM($AE$34:$AF$34)</f>
        <v>-34.636309155386371</v>
      </c>
      <c r="AH34" s="31">
        <f>'TUSD BE'!$AH$34*'TUSD BE'!$AH$72</f>
        <v>-3.7564964601171282</v>
      </c>
      <c r="AI34" s="31">
        <f>'TUSD BE'!$AI$34*'TUSD BE'!$AI$72</f>
        <v>-0.11386544591397531</v>
      </c>
      <c r="AJ34" s="31">
        <f ca="1">'TUSD BE'!$AJ$34*'TUSD BE'!$AJ$72</f>
        <v>-1.2721427844464437</v>
      </c>
      <c r="AK34" s="31">
        <f ca="1">'TUSD BE'!$AK$34*'TUSD BE'!$AK$72</f>
        <v>0</v>
      </c>
      <c r="AL34" s="31">
        <f ca="1">SUM($AH$34:$AK$34)</f>
        <v>-5.1425046904775469</v>
      </c>
      <c r="AM34" s="31">
        <f ca="1">SUMIF($L$4:$AL$4,"SUBTOTAL",$L$34:$AL$34)</f>
        <v>-40.103024283291163</v>
      </c>
      <c r="AO34" s="40">
        <f ca="1">+'TUSD BE'!$T$34+'TUSD BE'!$AB$34+'TUSD BE'!$AD$34+'TUSD BE'!$AL$34</f>
        <v>379.0876791035268</v>
      </c>
      <c r="AP34" s="40">
        <f ca="1">+'TUSD BE'!$T$34+'TUSD BE'!$AB$34+'TUSD BE'!$AD$34+'TUSD BE'!$AL$34</f>
        <v>379.0876791035268</v>
      </c>
    </row>
    <row r="35" spans="1:42" ht="11.25" customHeight="1" x14ac:dyDescent="0.25">
      <c r="A35" s="97"/>
      <c r="B35" s="97"/>
      <c r="C35" s="97"/>
      <c r="D35" s="37" t="s">
        <v>29</v>
      </c>
      <c r="E35" s="37" t="s">
        <v>25</v>
      </c>
      <c r="F35" s="37" t="s">
        <v>25</v>
      </c>
      <c r="G35" s="38" t="s">
        <v>108</v>
      </c>
      <c r="H35" s="38" t="s">
        <v>102</v>
      </c>
      <c r="I35" s="38">
        <f>'MERCADO TUSD'!$U$32</f>
        <v>161060.71900000001</v>
      </c>
      <c r="J35" s="15"/>
      <c r="L35" s="31">
        <f>'TUSD BE'!$L$35*'TUSD BE'!$L$72</f>
        <v>0</v>
      </c>
      <c r="M35" s="31">
        <f>'TUSD BE'!$M$35*'TUSD BE'!$M$72</f>
        <v>-1.7739620763338095E-2</v>
      </c>
      <c r="N35" s="31">
        <f ca="1">'TUSD BE'!$N$35*'TUSD BE'!$N$72</f>
        <v>0</v>
      </c>
      <c r="O35" s="31">
        <f>'TUSD BE'!$O$35*'TUSD BE'!$O$72</f>
        <v>-4.6268022205212428E-4</v>
      </c>
      <c r="P35" s="31">
        <f>'TUSD BE'!$P$35*'TUSD BE'!$P$72</f>
        <v>0</v>
      </c>
      <c r="Q35" s="31">
        <f>'TUSD BE'!$Q$35*'TUSD BE'!$Q$72</f>
        <v>0</v>
      </c>
      <c r="R35" s="31">
        <f>'TUSD BE'!$R$35*'TUSD BE'!$R$72</f>
        <v>0</v>
      </c>
      <c r="S35" s="31">
        <f>'TUSD BE'!$R$35*'TUSD BE'!$S$72</f>
        <v>0</v>
      </c>
      <c r="T35" s="31">
        <f ca="1">SUM($L$35:$S$35)</f>
        <v>-1.8202300985390218E-2</v>
      </c>
      <c r="U35" s="31">
        <f>'TUSD BE'!$U$35*'TUSD BE'!$U$72</f>
        <v>0.17979314025943535</v>
      </c>
      <c r="V35" s="31">
        <f>'TUSD BE'!$V$35*'TUSD BE'!$V$72</f>
        <v>0</v>
      </c>
      <c r="W35" s="31">
        <f>'TUSD BE'!$W$35*'TUSD BE'!$W$72</f>
        <v>0</v>
      </c>
      <c r="X35" s="31">
        <f>'TUSD BE'!$X$35*'TUSD BE'!$X$72</f>
        <v>0</v>
      </c>
      <c r="Y35" s="31">
        <f>'TUSD BE'!$Y$35*'TUSD BE'!$Y$72</f>
        <v>-9.6513351085679419E-2</v>
      </c>
      <c r="Z35" s="31">
        <f>'TUSD BE'!$Z$35*'TUSD BE'!$Z$72</f>
        <v>0</v>
      </c>
      <c r="AA35" s="31">
        <f>'TUSD BE'!$AA$35*'TUSD BE'!$AA$72</f>
        <v>0</v>
      </c>
      <c r="AB35" s="31">
        <f>SUM($U$35:$AA$35)</f>
        <v>8.3279789173755933E-2</v>
      </c>
      <c r="AC35" s="31">
        <f>'TUSD BE'!$AC$35*'TUSD BE'!$AC$72</f>
        <v>0</v>
      </c>
      <c r="AD35" s="31">
        <f>SUM($AC$35:$AC$35)</f>
        <v>0</v>
      </c>
      <c r="AE35" s="31">
        <f ca="1">$AO$35*$AO$69</f>
        <v>-29.461833621350877</v>
      </c>
      <c r="AF35" s="31">
        <f ca="1">$AP$35*$AP$69</f>
        <v>0</v>
      </c>
      <c r="AG35" s="31">
        <f ca="1">SUM($AE$35:$AF$35)</f>
        <v>-29.461833621350877</v>
      </c>
      <c r="AH35" s="31">
        <f>'TUSD BE'!$AH$35*'TUSD BE'!$AH$72</f>
        <v>-3.7564964601171282</v>
      </c>
      <c r="AI35" s="31">
        <f>'TUSD BE'!$AI$35*'TUSD BE'!$AI$72</f>
        <v>-0.11386544591397531</v>
      </c>
      <c r="AJ35" s="31">
        <f ca="1">'TUSD BE'!$AJ$35*'TUSD BE'!$AJ$72</f>
        <v>-1.2721427844464437</v>
      </c>
      <c r="AK35" s="31">
        <f ca="1">'TUSD BE'!$AK$35*'TUSD BE'!$AK$72</f>
        <v>0</v>
      </c>
      <c r="AL35" s="31">
        <f ca="1">SUM($AH$35:$AK$35)</f>
        <v>-5.1425046904775469</v>
      </c>
      <c r="AM35" s="31">
        <f ca="1">SUMIF($L$4:$AL$4,"SUBTOTAL",$L$35:$AL$35)</f>
        <v>-34.539260823640056</v>
      </c>
      <c r="AO35" s="40">
        <f ca="1">+'TUSD BE'!$T$35+'TUSD BE'!$AB$35+'TUSD BE'!$AD$35+'TUSD BE'!$AL$35</f>
        <v>322.454049002369</v>
      </c>
      <c r="AP35" s="40">
        <f ca="1">+'TUSD BE'!$T$35+'TUSD BE'!$AB$35+'TUSD BE'!$AD$35+'TUSD BE'!$AL$35</f>
        <v>322.454049002369</v>
      </c>
    </row>
    <row r="36" spans="1:42" ht="11.25" customHeight="1" x14ac:dyDescent="0.25">
      <c r="A36" s="97"/>
      <c r="B36" s="97"/>
      <c r="C36" s="97"/>
      <c r="D36" s="37" t="s">
        <v>30</v>
      </c>
      <c r="E36" s="37" t="s">
        <v>25</v>
      </c>
      <c r="F36" s="37" t="s">
        <v>25</v>
      </c>
      <c r="G36" s="38" t="s">
        <v>108</v>
      </c>
      <c r="H36" s="38" t="s">
        <v>102</v>
      </c>
      <c r="I36" s="38">
        <f>'MERCADO TUSD'!$U$33</f>
        <v>267147.82800000004</v>
      </c>
      <c r="J36" s="15"/>
      <c r="L36" s="31">
        <f>'TUSD BE'!$L$36*'TUSD BE'!$L$72</f>
        <v>0</v>
      </c>
      <c r="M36" s="31">
        <f>'TUSD BE'!$M$36*'TUSD BE'!$M$72</f>
        <v>-1.7739620763338095E-2</v>
      </c>
      <c r="N36" s="31">
        <f ca="1">'TUSD BE'!$N$36*'TUSD BE'!$N$72</f>
        <v>0</v>
      </c>
      <c r="O36" s="31">
        <f>'TUSD BE'!$O$36*'TUSD BE'!$O$72</f>
        <v>-4.6268022205212428E-4</v>
      </c>
      <c r="P36" s="31">
        <f>'TUSD BE'!$P$36*'TUSD BE'!$P$72</f>
        <v>0</v>
      </c>
      <c r="Q36" s="31">
        <f>'TUSD BE'!$Q$36*'TUSD BE'!$Q$72</f>
        <v>0</v>
      </c>
      <c r="R36" s="31">
        <f>'TUSD BE'!$R$36*'TUSD BE'!$R$72</f>
        <v>0</v>
      </c>
      <c r="S36" s="31">
        <f>'TUSD BE'!$R$36*'TUSD BE'!$S$72</f>
        <v>0</v>
      </c>
      <c r="T36" s="31">
        <f ca="1">SUM($L$36:$S$36)</f>
        <v>-1.8202300985390218E-2</v>
      </c>
      <c r="U36" s="31">
        <f>'TUSD BE'!$U$36*'TUSD BE'!$U$72</f>
        <v>0.17979314025943535</v>
      </c>
      <c r="V36" s="31">
        <f>'TUSD BE'!$V$36*'TUSD BE'!$V$72</f>
        <v>0</v>
      </c>
      <c r="W36" s="31">
        <f>'TUSD BE'!$W$36*'TUSD BE'!$W$72</f>
        <v>0</v>
      </c>
      <c r="X36" s="31">
        <f>'TUSD BE'!$X$36*'TUSD BE'!$X$72</f>
        <v>0</v>
      </c>
      <c r="Y36" s="31">
        <f>'TUSD BE'!$Y$36*'TUSD BE'!$Y$72</f>
        <v>-9.6513351085679419E-2</v>
      </c>
      <c r="Z36" s="31">
        <f>'TUSD BE'!$Z$36*'TUSD BE'!$Z$72</f>
        <v>0</v>
      </c>
      <c r="AA36" s="31">
        <f>'TUSD BE'!$AA$36*'TUSD BE'!$AA$72</f>
        <v>0</v>
      </c>
      <c r="AB36" s="31">
        <f>SUM($U$36:$AA$36)</f>
        <v>8.3279789173755933E-2</v>
      </c>
      <c r="AC36" s="31">
        <f>'TUSD BE'!$AC$36*'TUSD BE'!$AC$72</f>
        <v>0</v>
      </c>
      <c r="AD36" s="31">
        <f>SUM($AC$36:$AC$36)</f>
        <v>0</v>
      </c>
      <c r="AE36" s="31">
        <f ca="1">$AO$36*$AO$69</f>
        <v>-29.461833621350877</v>
      </c>
      <c r="AF36" s="31">
        <f ca="1">$AP$36*$AP$69</f>
        <v>0</v>
      </c>
      <c r="AG36" s="31">
        <f ca="1">SUM($AE$36:$AF$36)</f>
        <v>-29.461833621350877</v>
      </c>
      <c r="AH36" s="31">
        <f>'TUSD BE'!$AH$36*'TUSD BE'!$AH$72</f>
        <v>-3.7564964601171282</v>
      </c>
      <c r="AI36" s="31">
        <f>'TUSD BE'!$AI$36*'TUSD BE'!$AI$72</f>
        <v>-0.11386544591397531</v>
      </c>
      <c r="AJ36" s="31">
        <f ca="1">'TUSD BE'!$AJ$36*'TUSD BE'!$AJ$72</f>
        <v>-1.2721427844464437</v>
      </c>
      <c r="AK36" s="31">
        <f ca="1">'TUSD BE'!$AK$36*'TUSD BE'!$AK$72</f>
        <v>0</v>
      </c>
      <c r="AL36" s="31">
        <f ca="1">SUM($AH$36:$AK$36)</f>
        <v>-5.1425046904775469</v>
      </c>
      <c r="AM36" s="31">
        <f ca="1">SUMIF($L$4:$AL$4,"SUBTOTAL",$L$36:$AL$36)</f>
        <v>-34.539260823640056</v>
      </c>
      <c r="AO36" s="40">
        <f ca="1">+'TUSD BE'!$T$36+'TUSD BE'!$AB$36+'TUSD BE'!$AD$36+'TUSD BE'!$AL$36</f>
        <v>322.454049002369</v>
      </c>
      <c r="AP36" s="40">
        <f ca="1">+'TUSD BE'!$T$36+'TUSD BE'!$AB$36+'TUSD BE'!$AD$36+'TUSD BE'!$AL$36</f>
        <v>322.454049002369</v>
      </c>
    </row>
    <row r="37" spans="1:42" ht="11.25" customHeight="1" x14ac:dyDescent="0.25">
      <c r="A37" s="97"/>
      <c r="B37" s="97"/>
      <c r="C37" s="97"/>
      <c r="D37" s="37" t="s">
        <v>31</v>
      </c>
      <c r="E37" s="37" t="s">
        <v>25</v>
      </c>
      <c r="F37" s="37" t="s">
        <v>25</v>
      </c>
      <c r="G37" s="38" t="s">
        <v>108</v>
      </c>
      <c r="H37" s="38" t="s">
        <v>102</v>
      </c>
      <c r="I37" s="38">
        <f>'MERCADO TUSD'!$U$34</f>
        <v>140786.959</v>
      </c>
      <c r="J37" s="15"/>
      <c r="L37" s="31">
        <f>'TUSD BE'!$L$37*'TUSD BE'!$L$72</f>
        <v>0</v>
      </c>
      <c r="M37" s="31">
        <f>'TUSD BE'!$M$37*'TUSD BE'!$M$72</f>
        <v>-1.7739620763338095E-2</v>
      </c>
      <c r="N37" s="31">
        <f ca="1">'TUSD BE'!$N$37*'TUSD BE'!$N$72</f>
        <v>0</v>
      </c>
      <c r="O37" s="31">
        <f>'TUSD BE'!$O$37*'TUSD BE'!$O$72</f>
        <v>-4.6268022205212428E-4</v>
      </c>
      <c r="P37" s="31">
        <f>'TUSD BE'!$P$37*'TUSD BE'!$P$72</f>
        <v>0</v>
      </c>
      <c r="Q37" s="31">
        <f>'TUSD BE'!$Q$37*'TUSD BE'!$Q$72</f>
        <v>0</v>
      </c>
      <c r="R37" s="31">
        <f>'TUSD BE'!$R$37*'TUSD BE'!$R$72</f>
        <v>0</v>
      </c>
      <c r="S37" s="31">
        <f>'TUSD BE'!$R$37*'TUSD BE'!$S$72</f>
        <v>0</v>
      </c>
      <c r="T37" s="31">
        <f ca="1">SUM($L$37:$S$37)</f>
        <v>-1.8202300985390218E-2</v>
      </c>
      <c r="U37" s="31">
        <f>'TUSD BE'!$U$37*'TUSD BE'!$U$72</f>
        <v>0.17979314025943535</v>
      </c>
      <c r="V37" s="31">
        <f>'TUSD BE'!$V$37*'TUSD BE'!$V$72</f>
        <v>0</v>
      </c>
      <c r="W37" s="31">
        <f>'TUSD BE'!$W$37*'TUSD BE'!$W$72</f>
        <v>0</v>
      </c>
      <c r="X37" s="31">
        <f>'TUSD BE'!$X$37*'TUSD BE'!$X$72</f>
        <v>0</v>
      </c>
      <c r="Y37" s="31">
        <f>'TUSD BE'!$Y$37*'TUSD BE'!$Y$72</f>
        <v>-9.6513351085679419E-2</v>
      </c>
      <c r="Z37" s="31">
        <f>'TUSD BE'!$Z$37*'TUSD BE'!$Z$72</f>
        <v>0</v>
      </c>
      <c r="AA37" s="31">
        <f>'TUSD BE'!$AA$37*'TUSD BE'!$AA$72</f>
        <v>0</v>
      </c>
      <c r="AB37" s="31">
        <f>SUM($U$37:$AA$37)</f>
        <v>8.3279789173755933E-2</v>
      </c>
      <c r="AC37" s="31">
        <f>'TUSD BE'!$AC$37*'TUSD BE'!$AC$72</f>
        <v>0</v>
      </c>
      <c r="AD37" s="31">
        <f>SUM($AC$37:$AC$37)</f>
        <v>0</v>
      </c>
      <c r="AE37" s="31">
        <f ca="1">$AO$37*$AO$69</f>
        <v>-29.461833621350877</v>
      </c>
      <c r="AF37" s="31">
        <f ca="1">$AP$37*$AP$69</f>
        <v>0</v>
      </c>
      <c r="AG37" s="31">
        <f ca="1">SUM($AE$37:$AF$37)</f>
        <v>-29.461833621350877</v>
      </c>
      <c r="AH37" s="31">
        <f>'TUSD BE'!$AH$37*'TUSD BE'!$AH$72</f>
        <v>-3.7564964601171282</v>
      </c>
      <c r="AI37" s="31">
        <f>'TUSD BE'!$AI$37*'TUSD BE'!$AI$72</f>
        <v>-0.11386544591397531</v>
      </c>
      <c r="AJ37" s="31">
        <f ca="1">'TUSD BE'!$AJ$37*'TUSD BE'!$AJ$72</f>
        <v>-1.2721427844464437</v>
      </c>
      <c r="AK37" s="31">
        <f ca="1">'TUSD BE'!$AK$37*'TUSD BE'!$AK$72</f>
        <v>0</v>
      </c>
      <c r="AL37" s="31">
        <f ca="1">SUM($AH$37:$AK$37)</f>
        <v>-5.1425046904775469</v>
      </c>
      <c r="AM37" s="31">
        <f ca="1">SUMIF($L$4:$AL$4,"SUBTOTAL",$L$37:$AL$37)</f>
        <v>-34.539260823640056</v>
      </c>
      <c r="AO37" s="40">
        <f ca="1">+'TUSD BE'!$T$37+'TUSD BE'!$AB$37+'TUSD BE'!$AD$37+'TUSD BE'!$AL$37</f>
        <v>322.454049002369</v>
      </c>
      <c r="AP37" s="40">
        <f ca="1">+'TUSD BE'!$T$37+'TUSD BE'!$AB$37+'TUSD BE'!$AD$37+'TUSD BE'!$AL$37</f>
        <v>322.454049002369</v>
      </c>
    </row>
    <row r="38" spans="1:42" ht="11.25" customHeight="1" x14ac:dyDescent="0.25">
      <c r="A38" s="97"/>
      <c r="B38" s="97"/>
      <c r="C38" s="97"/>
      <c r="D38" s="37" t="s">
        <v>32</v>
      </c>
      <c r="E38" s="37" t="s">
        <v>25</v>
      </c>
      <c r="F38" s="37" t="s">
        <v>25</v>
      </c>
      <c r="G38" s="38" t="s">
        <v>108</v>
      </c>
      <c r="H38" s="38" t="s">
        <v>102</v>
      </c>
      <c r="I38" s="38">
        <f>'MERCADO TUSD'!$U$35</f>
        <v>39430.460000000006</v>
      </c>
      <c r="J38" s="15"/>
      <c r="L38" s="31">
        <f>'TUSD BE'!$L$38*'TUSD BE'!$L$72</f>
        <v>0</v>
      </c>
      <c r="M38" s="31">
        <f>'TUSD BE'!$M$38*'TUSD BE'!$M$72</f>
        <v>-1.7739620763338095E-2</v>
      </c>
      <c r="N38" s="31">
        <f ca="1">'TUSD BE'!$N$38*'TUSD BE'!$N$72</f>
        <v>0</v>
      </c>
      <c r="O38" s="31">
        <f>'TUSD BE'!$O$38*'TUSD BE'!$O$72</f>
        <v>-4.6268022205212428E-4</v>
      </c>
      <c r="P38" s="31">
        <f>'TUSD BE'!$P$38*'TUSD BE'!$P$72</f>
        <v>0</v>
      </c>
      <c r="Q38" s="31">
        <f>'TUSD BE'!$Q$38*'TUSD BE'!$Q$72</f>
        <v>0</v>
      </c>
      <c r="R38" s="31">
        <f>'TUSD BE'!$R$38*'TUSD BE'!$R$72</f>
        <v>0</v>
      </c>
      <c r="S38" s="31">
        <f>'TUSD BE'!$R$38*'TUSD BE'!$S$72</f>
        <v>0</v>
      </c>
      <c r="T38" s="31">
        <f ca="1">SUM($L$38:$S$38)</f>
        <v>-1.8202300985390218E-2</v>
      </c>
      <c r="U38" s="31">
        <f>'TUSD BE'!$U$38*'TUSD BE'!$U$72</f>
        <v>0.17979314025943535</v>
      </c>
      <c r="V38" s="31">
        <f>'TUSD BE'!$V$38*'TUSD BE'!$V$72</f>
        <v>0</v>
      </c>
      <c r="W38" s="31">
        <f>'TUSD BE'!$W$38*'TUSD BE'!$W$72</f>
        <v>0</v>
      </c>
      <c r="X38" s="31">
        <f>'TUSD BE'!$X$38*'TUSD BE'!$X$72</f>
        <v>0</v>
      </c>
      <c r="Y38" s="31">
        <f>'TUSD BE'!$Y$38*'TUSD BE'!$Y$72</f>
        <v>-9.6513351085679419E-2</v>
      </c>
      <c r="Z38" s="31">
        <f>'TUSD BE'!$Z$38*'TUSD BE'!$Z$72</f>
        <v>0</v>
      </c>
      <c r="AA38" s="31">
        <f>'TUSD BE'!$AA$38*'TUSD BE'!$AA$72</f>
        <v>0</v>
      </c>
      <c r="AB38" s="31">
        <f>SUM($U$38:$AA$38)</f>
        <v>8.3279789173755933E-2</v>
      </c>
      <c r="AC38" s="31">
        <f>'TUSD BE'!$AC$38*'TUSD BE'!$AC$72</f>
        <v>0</v>
      </c>
      <c r="AD38" s="31">
        <f>SUM($AC$38:$AC$38)</f>
        <v>0</v>
      </c>
      <c r="AE38" s="31">
        <f ca="1">$AO$38*$AO$69</f>
        <v>-29.461833621350877</v>
      </c>
      <c r="AF38" s="31">
        <f ca="1">$AP$38*$AP$69</f>
        <v>0</v>
      </c>
      <c r="AG38" s="31">
        <f ca="1">SUM($AE$38:$AF$38)</f>
        <v>-29.461833621350877</v>
      </c>
      <c r="AH38" s="31">
        <f>'TUSD BE'!$AH$38*'TUSD BE'!$AH$72</f>
        <v>-3.7564964601171282</v>
      </c>
      <c r="AI38" s="31">
        <f>'TUSD BE'!$AI$38*'TUSD BE'!$AI$72</f>
        <v>-0.11386544591397531</v>
      </c>
      <c r="AJ38" s="31">
        <f ca="1">'TUSD BE'!$AJ$38*'TUSD BE'!$AJ$72</f>
        <v>-1.2721427844464437</v>
      </c>
      <c r="AK38" s="31">
        <f ca="1">'TUSD BE'!$AK$38*'TUSD BE'!$AK$72</f>
        <v>0</v>
      </c>
      <c r="AL38" s="31">
        <f ca="1">SUM($AH$38:$AK$38)</f>
        <v>-5.1425046904775469</v>
      </c>
      <c r="AM38" s="31">
        <f ca="1">SUMIF($L$4:$AL$4,"SUBTOTAL",$L$38:$AL$38)</f>
        <v>-34.539260823640056</v>
      </c>
      <c r="AO38" s="40">
        <f ca="1">+'TUSD BE'!$T$38+'TUSD BE'!$AB$38+'TUSD BE'!$AD$38+'TUSD BE'!$AL$38</f>
        <v>322.454049002369</v>
      </c>
      <c r="AP38" s="40">
        <f ca="1">+'TUSD BE'!$T$38+'TUSD BE'!$AB$38+'TUSD BE'!$AD$38+'TUSD BE'!$AL$38</f>
        <v>322.454049002369</v>
      </c>
    </row>
    <row r="39" spans="1:42" ht="11.25" customHeight="1" x14ac:dyDescent="0.25">
      <c r="A39" s="97"/>
      <c r="B39" s="97" t="s">
        <v>115</v>
      </c>
      <c r="C39" s="97" t="s">
        <v>24</v>
      </c>
      <c r="D39" s="37" t="s">
        <v>24</v>
      </c>
      <c r="E39" s="37" t="s">
        <v>25</v>
      </c>
      <c r="F39" s="37" t="s">
        <v>25</v>
      </c>
      <c r="G39" s="38" t="s">
        <v>108</v>
      </c>
      <c r="H39" s="38" t="s">
        <v>102</v>
      </c>
      <c r="I39" s="38">
        <f>'MERCADO TUSD'!$U$36</f>
        <v>0</v>
      </c>
      <c r="J39" s="15"/>
      <c r="L39" s="31">
        <f>'TUSD BE'!$L$39*'TUSD BE'!$L$72</f>
        <v>-0.10035480456828549</v>
      </c>
      <c r="M39" s="31">
        <f>'TUSD BE'!$M$39*'TUSD BE'!$M$72</f>
        <v>-1.7739620763338095E-2</v>
      </c>
      <c r="N39" s="31">
        <f ca="1">'TUSD BE'!$N$39*'TUSD BE'!$N$72</f>
        <v>0</v>
      </c>
      <c r="O39" s="31">
        <f>'TUSD BE'!$O$39*'TUSD BE'!$O$72</f>
        <v>-4.6268022205212428E-4</v>
      </c>
      <c r="P39" s="31">
        <f>'TUSD BE'!$P$39*'TUSD BE'!$P$72</f>
        <v>0</v>
      </c>
      <c r="Q39" s="31">
        <f>'TUSD BE'!$Q$39*'TUSD BE'!$Q$72</f>
        <v>-0.16051325492535745</v>
      </c>
      <c r="R39" s="31">
        <f>'TUSD BE'!$R$39*'TUSD BE'!$R$72</f>
        <v>-0.12841986612197215</v>
      </c>
      <c r="S39" s="31">
        <f>'TUSD BE'!$R$39*'TUSD BE'!$S$72</f>
        <v>0</v>
      </c>
      <c r="T39" s="31">
        <f ca="1">SUM($L$39:$S$39)</f>
        <v>-0.40749022660100531</v>
      </c>
      <c r="U39" s="31">
        <f>'TUSD BE'!$U$39*'TUSD BE'!$U$72</f>
        <v>0.17979314025943535</v>
      </c>
      <c r="V39" s="31">
        <f>'TUSD BE'!$V$39*'TUSD BE'!$V$72</f>
        <v>0</v>
      </c>
      <c r="W39" s="31">
        <f>'TUSD BE'!$W$39*'TUSD BE'!$W$72</f>
        <v>0</v>
      </c>
      <c r="X39" s="31">
        <f>'TUSD BE'!$X$39*'TUSD BE'!$X$72</f>
        <v>0</v>
      </c>
      <c r="Y39" s="31">
        <f>'TUSD BE'!$Y$39*'TUSD BE'!$Y$72</f>
        <v>-9.6513351085679419E-2</v>
      </c>
      <c r="Z39" s="31">
        <f>'TUSD BE'!$Z$39*'TUSD BE'!$Z$72</f>
        <v>0</v>
      </c>
      <c r="AA39" s="31">
        <f>'TUSD BE'!$AA$39*'TUSD BE'!$AA$72</f>
        <v>0</v>
      </c>
      <c r="AB39" s="31">
        <f>SUM($U$39:$AA$39)</f>
        <v>8.3279789173755933E-2</v>
      </c>
      <c r="AC39" s="31">
        <f>'TUSD BE'!$AC$39*'TUSD BE'!$AC$72</f>
        <v>0</v>
      </c>
      <c r="AD39" s="31">
        <f>SUM($AC$39:$AC$39)</f>
        <v>0</v>
      </c>
      <c r="AE39" s="31">
        <f ca="1">$AO$39*$AO$69</f>
        <v>-34.636309155386371</v>
      </c>
      <c r="AF39" s="31">
        <f ca="1">$AP$39*$AP$69</f>
        <v>0</v>
      </c>
      <c r="AG39" s="31">
        <f ca="1">SUM($AE$39:$AF$39)</f>
        <v>-34.636309155386371</v>
      </c>
      <c r="AH39" s="31">
        <f>'TUSD BE'!$AH$39*'TUSD BE'!$AH$72</f>
        <v>-3.7564964601171282</v>
      </c>
      <c r="AI39" s="31">
        <f>'TUSD BE'!$AI$39*'TUSD BE'!$AI$72</f>
        <v>-0.11386544591397531</v>
      </c>
      <c r="AJ39" s="31">
        <f ca="1">'TUSD BE'!$AJ$39*'TUSD BE'!$AJ$72</f>
        <v>-1.2721427844464437</v>
      </c>
      <c r="AK39" s="31">
        <f ca="1">'TUSD BE'!$AK$39*'TUSD BE'!$AK$72</f>
        <v>0</v>
      </c>
      <c r="AL39" s="31">
        <f ca="1">SUM($AH$39:$AK$39)</f>
        <v>-5.1425046904775469</v>
      </c>
      <c r="AM39" s="31">
        <f ca="1">SUMIF($L$4:$AL$4,"SUBTOTAL",$L$39:$AL$39)</f>
        <v>-40.103024283291163</v>
      </c>
      <c r="AO39" s="40">
        <f ca="1">+'TUSD BE'!$T$39+'TUSD BE'!$AB$39+'TUSD BE'!$AD$39+'TUSD BE'!$AL$39</f>
        <v>379.0876791035268</v>
      </c>
      <c r="AP39" s="40">
        <f ca="1">+'TUSD BE'!$T$39+'TUSD BE'!$AB$39+'TUSD BE'!$AD$39+'TUSD BE'!$AL$39</f>
        <v>379.0876791035268</v>
      </c>
    </row>
    <row r="40" spans="1:42" ht="11.25" customHeight="1" x14ac:dyDescent="0.25">
      <c r="A40" s="97"/>
      <c r="B40" s="97"/>
      <c r="C40" s="97"/>
      <c r="D40" s="37" t="s">
        <v>29</v>
      </c>
      <c r="E40" s="37" t="s">
        <v>25</v>
      </c>
      <c r="F40" s="37" t="s">
        <v>25</v>
      </c>
      <c r="G40" s="38" t="s">
        <v>108</v>
      </c>
      <c r="H40" s="38" t="s">
        <v>102</v>
      </c>
      <c r="I40" s="38">
        <f>'MERCADO TUSD'!$U$37</f>
        <v>0</v>
      </c>
      <c r="J40" s="15"/>
      <c r="L40" s="31">
        <f>'TUSD BE'!$L$40*'TUSD BE'!$L$72</f>
        <v>0</v>
      </c>
      <c r="M40" s="31">
        <f>'TUSD BE'!$M$40*'TUSD BE'!$M$72</f>
        <v>-1.7739620763338095E-2</v>
      </c>
      <c r="N40" s="31">
        <f ca="1">'TUSD BE'!$N$40*'TUSD BE'!$N$72</f>
        <v>0</v>
      </c>
      <c r="O40" s="31">
        <f>'TUSD BE'!$O$40*'TUSD BE'!$O$72</f>
        <v>-4.6268022205212428E-4</v>
      </c>
      <c r="P40" s="31">
        <f>'TUSD BE'!$P$40*'TUSD BE'!$P$72</f>
        <v>0</v>
      </c>
      <c r="Q40" s="31">
        <f>'TUSD BE'!$Q$40*'TUSD BE'!$Q$72</f>
        <v>0</v>
      </c>
      <c r="R40" s="31">
        <f>'TUSD BE'!$R$40*'TUSD BE'!$R$72</f>
        <v>0</v>
      </c>
      <c r="S40" s="31">
        <f>'TUSD BE'!$R$40*'TUSD BE'!$S$72</f>
        <v>0</v>
      </c>
      <c r="T40" s="31">
        <f ca="1">SUM($L$40:$S$40)</f>
        <v>-1.8202300985390218E-2</v>
      </c>
      <c r="U40" s="31">
        <f>'TUSD BE'!$U$40*'TUSD BE'!$U$72</f>
        <v>0.17979314025943535</v>
      </c>
      <c r="V40" s="31">
        <f>'TUSD BE'!$V$40*'TUSD BE'!$V$72</f>
        <v>0</v>
      </c>
      <c r="W40" s="31">
        <f>'TUSD BE'!$W$40*'TUSD BE'!$W$72</f>
        <v>0</v>
      </c>
      <c r="X40" s="31">
        <f>'TUSD BE'!$X$40*'TUSD BE'!$X$72</f>
        <v>0</v>
      </c>
      <c r="Y40" s="31">
        <f>'TUSD BE'!$Y$40*'TUSD BE'!$Y$72</f>
        <v>-9.6513351085679419E-2</v>
      </c>
      <c r="Z40" s="31">
        <f>'TUSD BE'!$Z$40*'TUSD BE'!$Z$72</f>
        <v>0</v>
      </c>
      <c r="AA40" s="31">
        <f>'TUSD BE'!$AA$40*'TUSD BE'!$AA$72</f>
        <v>0</v>
      </c>
      <c r="AB40" s="31">
        <f>SUM($U$40:$AA$40)</f>
        <v>8.3279789173755933E-2</v>
      </c>
      <c r="AC40" s="31">
        <f>'TUSD BE'!$AC$40*'TUSD BE'!$AC$72</f>
        <v>0</v>
      </c>
      <c r="AD40" s="31">
        <f>SUM($AC$40:$AC$40)</f>
        <v>0</v>
      </c>
      <c r="AE40" s="31">
        <f ca="1">$AO$40*$AO$69</f>
        <v>-29.461833621350877</v>
      </c>
      <c r="AF40" s="31">
        <f ca="1">$AP$40*$AP$69</f>
        <v>0</v>
      </c>
      <c r="AG40" s="31">
        <f ca="1">SUM($AE$40:$AF$40)</f>
        <v>-29.461833621350877</v>
      </c>
      <c r="AH40" s="31">
        <f>'TUSD BE'!$AH$40*'TUSD BE'!$AH$72</f>
        <v>-3.7564964601171282</v>
      </c>
      <c r="AI40" s="31">
        <f>'TUSD BE'!$AI$40*'TUSD BE'!$AI$72</f>
        <v>-0.11386544591397531</v>
      </c>
      <c r="AJ40" s="31">
        <f ca="1">'TUSD BE'!$AJ$40*'TUSD BE'!$AJ$72</f>
        <v>-1.2721427844464437</v>
      </c>
      <c r="AK40" s="31">
        <f ca="1">'TUSD BE'!$AK$40*'TUSD BE'!$AK$72</f>
        <v>0</v>
      </c>
      <c r="AL40" s="31">
        <f ca="1">SUM($AH$40:$AK$40)</f>
        <v>-5.1425046904775469</v>
      </c>
      <c r="AM40" s="31">
        <f ca="1">SUMIF($L$4:$AL$4,"SUBTOTAL",$L$40:$AL$40)</f>
        <v>-34.539260823640056</v>
      </c>
      <c r="AO40" s="40">
        <f ca="1">+'TUSD BE'!$T$40+'TUSD BE'!$AB$40+'TUSD BE'!$AD$40+'TUSD BE'!$AL$40</f>
        <v>322.454049002369</v>
      </c>
      <c r="AP40" s="40">
        <f ca="1">+'TUSD BE'!$T$40+'TUSD BE'!$AB$40+'TUSD BE'!$AD$40+'TUSD BE'!$AL$40</f>
        <v>322.454049002369</v>
      </c>
    </row>
    <row r="41" spans="1:42" ht="11.25" customHeight="1" x14ac:dyDescent="0.25">
      <c r="A41" s="97"/>
      <c r="B41" s="97"/>
      <c r="C41" s="97"/>
      <c r="D41" s="37" t="s">
        <v>30</v>
      </c>
      <c r="E41" s="37" t="s">
        <v>25</v>
      </c>
      <c r="F41" s="37" t="s">
        <v>25</v>
      </c>
      <c r="G41" s="38" t="s">
        <v>108</v>
      </c>
      <c r="H41" s="38" t="s">
        <v>102</v>
      </c>
      <c r="I41" s="38">
        <f>'MERCADO TUSD'!$U$38</f>
        <v>0</v>
      </c>
      <c r="J41" s="15"/>
      <c r="L41" s="31">
        <f>'TUSD BE'!$L$41*'TUSD BE'!$L$72</f>
        <v>0</v>
      </c>
      <c r="M41" s="31">
        <f>'TUSD BE'!$M$41*'TUSD BE'!$M$72</f>
        <v>-1.7739620763338095E-2</v>
      </c>
      <c r="N41" s="31">
        <f ca="1">'TUSD BE'!$N$41*'TUSD BE'!$N$72</f>
        <v>0</v>
      </c>
      <c r="O41" s="31">
        <f>'TUSD BE'!$O$41*'TUSD BE'!$O$72</f>
        <v>-4.6268022205212428E-4</v>
      </c>
      <c r="P41" s="31">
        <f>'TUSD BE'!$P$41*'TUSD BE'!$P$72</f>
        <v>0</v>
      </c>
      <c r="Q41" s="31">
        <f>'TUSD BE'!$Q$41*'TUSD BE'!$Q$72</f>
        <v>0</v>
      </c>
      <c r="R41" s="31">
        <f>'TUSD BE'!$R$41*'TUSD BE'!$R$72</f>
        <v>0</v>
      </c>
      <c r="S41" s="31">
        <f>'TUSD BE'!$R$41*'TUSD BE'!$S$72</f>
        <v>0</v>
      </c>
      <c r="T41" s="31">
        <f ca="1">SUM($L$41:$S$41)</f>
        <v>-1.8202300985390218E-2</v>
      </c>
      <c r="U41" s="31">
        <f>'TUSD BE'!$U$41*'TUSD BE'!$U$72</f>
        <v>0.17979314025943535</v>
      </c>
      <c r="V41" s="31">
        <f>'TUSD BE'!$V$41*'TUSD BE'!$V$72</f>
        <v>0</v>
      </c>
      <c r="W41" s="31">
        <f>'TUSD BE'!$W$41*'TUSD BE'!$W$72</f>
        <v>0</v>
      </c>
      <c r="X41" s="31">
        <f>'TUSD BE'!$X$41*'TUSD BE'!$X$72</f>
        <v>0</v>
      </c>
      <c r="Y41" s="31">
        <f>'TUSD BE'!$Y$41*'TUSD BE'!$Y$72</f>
        <v>-9.6513351085679419E-2</v>
      </c>
      <c r="Z41" s="31">
        <f>'TUSD BE'!$Z$41*'TUSD BE'!$Z$72</f>
        <v>0</v>
      </c>
      <c r="AA41" s="31">
        <f>'TUSD BE'!$AA$41*'TUSD BE'!$AA$72</f>
        <v>0</v>
      </c>
      <c r="AB41" s="31">
        <f>SUM($U$41:$AA$41)</f>
        <v>8.3279789173755933E-2</v>
      </c>
      <c r="AC41" s="31">
        <f>'TUSD BE'!$AC$41*'TUSD BE'!$AC$72</f>
        <v>0</v>
      </c>
      <c r="AD41" s="31">
        <f>SUM($AC$41:$AC$41)</f>
        <v>0</v>
      </c>
      <c r="AE41" s="31">
        <f ca="1">$AO$41*$AO$69</f>
        <v>-29.461833621350877</v>
      </c>
      <c r="AF41" s="31">
        <f ca="1">$AP$41*$AP$69</f>
        <v>0</v>
      </c>
      <c r="AG41" s="31">
        <f ca="1">SUM($AE$41:$AF$41)</f>
        <v>-29.461833621350877</v>
      </c>
      <c r="AH41" s="31">
        <f>'TUSD BE'!$AH$41*'TUSD BE'!$AH$72</f>
        <v>-3.7564964601171282</v>
      </c>
      <c r="AI41" s="31">
        <f>'TUSD BE'!$AI$41*'TUSD BE'!$AI$72</f>
        <v>-0.11386544591397531</v>
      </c>
      <c r="AJ41" s="31">
        <f ca="1">'TUSD BE'!$AJ$41*'TUSD BE'!$AJ$72</f>
        <v>-1.2721427844464437</v>
      </c>
      <c r="AK41" s="31">
        <f ca="1">'TUSD BE'!$AK$41*'TUSD BE'!$AK$72</f>
        <v>0</v>
      </c>
      <c r="AL41" s="31">
        <f ca="1">SUM($AH$41:$AK$41)</f>
        <v>-5.1425046904775469</v>
      </c>
      <c r="AM41" s="31">
        <f ca="1">SUMIF($L$4:$AL$4,"SUBTOTAL",$L$41:$AL$41)</f>
        <v>-34.539260823640056</v>
      </c>
      <c r="AO41" s="40">
        <f ca="1">+'TUSD BE'!$T$41+'TUSD BE'!$AB$41+'TUSD BE'!$AD$41+'TUSD BE'!$AL$41</f>
        <v>322.454049002369</v>
      </c>
      <c r="AP41" s="40">
        <f ca="1">+'TUSD BE'!$T$41+'TUSD BE'!$AB$41+'TUSD BE'!$AD$41+'TUSD BE'!$AL$41</f>
        <v>322.454049002369</v>
      </c>
    </row>
    <row r="42" spans="1:42" ht="11.25" customHeight="1" x14ac:dyDescent="0.25">
      <c r="A42" s="97"/>
      <c r="B42" s="97"/>
      <c r="C42" s="97"/>
      <c r="D42" s="37" t="s">
        <v>31</v>
      </c>
      <c r="E42" s="37" t="s">
        <v>25</v>
      </c>
      <c r="F42" s="37" t="s">
        <v>25</v>
      </c>
      <c r="G42" s="38" t="s">
        <v>108</v>
      </c>
      <c r="H42" s="38" t="s">
        <v>102</v>
      </c>
      <c r="I42" s="38">
        <f>'MERCADO TUSD'!$U$39</f>
        <v>0</v>
      </c>
      <c r="J42" s="15"/>
      <c r="L42" s="31">
        <f>'TUSD BE'!$L$42*'TUSD BE'!$L$72</f>
        <v>0</v>
      </c>
      <c r="M42" s="31">
        <f>'TUSD BE'!$M$42*'TUSD BE'!$M$72</f>
        <v>-1.7739620763338095E-2</v>
      </c>
      <c r="N42" s="31">
        <f ca="1">'TUSD BE'!$N$42*'TUSD BE'!$N$72</f>
        <v>0</v>
      </c>
      <c r="O42" s="31">
        <f>'TUSD BE'!$O$42*'TUSD BE'!$O$72</f>
        <v>-4.6268022205212428E-4</v>
      </c>
      <c r="P42" s="31">
        <f>'TUSD BE'!$P$42*'TUSD BE'!$P$72</f>
        <v>0</v>
      </c>
      <c r="Q42" s="31">
        <f>'TUSD BE'!$Q$42*'TUSD BE'!$Q$72</f>
        <v>0</v>
      </c>
      <c r="R42" s="31">
        <f>'TUSD BE'!$R$42*'TUSD BE'!$R$72</f>
        <v>0</v>
      </c>
      <c r="S42" s="31">
        <f>'TUSD BE'!$R$42*'TUSD BE'!$S$72</f>
        <v>0</v>
      </c>
      <c r="T42" s="31">
        <f ca="1">SUM($L$42:$S$42)</f>
        <v>-1.8202300985390218E-2</v>
      </c>
      <c r="U42" s="31">
        <f>'TUSD BE'!$U$42*'TUSD BE'!$U$72</f>
        <v>0.17979314025943535</v>
      </c>
      <c r="V42" s="31">
        <f>'TUSD BE'!$V$42*'TUSD BE'!$V$72</f>
        <v>0</v>
      </c>
      <c r="W42" s="31">
        <f>'TUSD BE'!$W$42*'TUSD BE'!$W$72</f>
        <v>0</v>
      </c>
      <c r="X42" s="31">
        <f>'TUSD BE'!$X$42*'TUSD BE'!$X$72</f>
        <v>0</v>
      </c>
      <c r="Y42" s="31">
        <f>'TUSD BE'!$Y$42*'TUSD BE'!$Y$72</f>
        <v>-9.6513351085679419E-2</v>
      </c>
      <c r="Z42" s="31">
        <f>'TUSD BE'!$Z$42*'TUSD BE'!$Z$72</f>
        <v>0</v>
      </c>
      <c r="AA42" s="31">
        <f>'TUSD BE'!$AA$42*'TUSD BE'!$AA$72</f>
        <v>0</v>
      </c>
      <c r="AB42" s="31">
        <f>SUM($U$42:$AA$42)</f>
        <v>8.3279789173755933E-2</v>
      </c>
      <c r="AC42" s="31">
        <f>'TUSD BE'!$AC$42*'TUSD BE'!$AC$72</f>
        <v>0</v>
      </c>
      <c r="AD42" s="31">
        <f>SUM($AC$42:$AC$42)</f>
        <v>0</v>
      </c>
      <c r="AE42" s="31">
        <f ca="1">$AO$42*$AO$69</f>
        <v>-29.461833621350877</v>
      </c>
      <c r="AF42" s="31">
        <f ca="1">$AP$42*$AP$69</f>
        <v>0</v>
      </c>
      <c r="AG42" s="31">
        <f ca="1">SUM($AE$42:$AF$42)</f>
        <v>-29.461833621350877</v>
      </c>
      <c r="AH42" s="31">
        <f>'TUSD BE'!$AH$42*'TUSD BE'!$AH$72</f>
        <v>-3.7564964601171282</v>
      </c>
      <c r="AI42" s="31">
        <f>'TUSD BE'!$AI$42*'TUSD BE'!$AI$72</f>
        <v>-0.11386544591397531</v>
      </c>
      <c r="AJ42" s="31">
        <f ca="1">'TUSD BE'!$AJ$42*'TUSD BE'!$AJ$72</f>
        <v>-1.2721427844464437</v>
      </c>
      <c r="AK42" s="31">
        <f ca="1">'TUSD BE'!$AK$42*'TUSD BE'!$AK$72</f>
        <v>0</v>
      </c>
      <c r="AL42" s="31">
        <f ca="1">SUM($AH$42:$AK$42)</f>
        <v>-5.1425046904775469</v>
      </c>
      <c r="AM42" s="31">
        <f ca="1">SUMIF($L$4:$AL$4,"SUBTOTAL",$L$42:$AL$42)</f>
        <v>-34.539260823640056</v>
      </c>
      <c r="AO42" s="40">
        <f ca="1">+'TUSD BE'!$T$42+'TUSD BE'!$AB$42+'TUSD BE'!$AD$42+'TUSD BE'!$AL$42</f>
        <v>322.454049002369</v>
      </c>
      <c r="AP42" s="40">
        <f ca="1">+'TUSD BE'!$T$42+'TUSD BE'!$AB$42+'TUSD BE'!$AD$42+'TUSD BE'!$AL$42</f>
        <v>322.454049002369</v>
      </c>
    </row>
    <row r="43" spans="1:42" ht="11.25" customHeight="1" x14ac:dyDescent="0.25">
      <c r="A43" s="97"/>
      <c r="B43" s="97"/>
      <c r="C43" s="97"/>
      <c r="D43" s="37" t="s">
        <v>32</v>
      </c>
      <c r="E43" s="37" t="s">
        <v>25</v>
      </c>
      <c r="F43" s="37" t="s">
        <v>25</v>
      </c>
      <c r="G43" s="38" t="s">
        <v>108</v>
      </c>
      <c r="H43" s="38" t="s">
        <v>102</v>
      </c>
      <c r="I43" s="38">
        <f>'MERCADO TUSD'!$U$40</f>
        <v>0</v>
      </c>
      <c r="J43" s="15"/>
      <c r="L43" s="31">
        <f>'TUSD BE'!$L$43*'TUSD BE'!$L$72</f>
        <v>0</v>
      </c>
      <c r="M43" s="31">
        <f>'TUSD BE'!$M$43*'TUSD BE'!$M$72</f>
        <v>-1.7739620763338095E-2</v>
      </c>
      <c r="N43" s="31">
        <f ca="1">'TUSD BE'!$N$43*'TUSD BE'!$N$72</f>
        <v>0</v>
      </c>
      <c r="O43" s="31">
        <f>'TUSD BE'!$O$43*'TUSD BE'!$O$72</f>
        <v>-4.6268022205212428E-4</v>
      </c>
      <c r="P43" s="31">
        <f>'TUSD BE'!$P$43*'TUSD BE'!$P$72</f>
        <v>0</v>
      </c>
      <c r="Q43" s="31">
        <f>'TUSD BE'!$Q$43*'TUSD BE'!$Q$72</f>
        <v>0</v>
      </c>
      <c r="R43" s="31">
        <f>'TUSD BE'!$R$43*'TUSD BE'!$R$72</f>
        <v>0</v>
      </c>
      <c r="S43" s="31">
        <f>'TUSD BE'!$R$43*'TUSD BE'!$S$72</f>
        <v>0</v>
      </c>
      <c r="T43" s="31">
        <f ca="1">SUM($L$43:$S$43)</f>
        <v>-1.8202300985390218E-2</v>
      </c>
      <c r="U43" s="31">
        <f>'TUSD BE'!$U$43*'TUSD BE'!$U$72</f>
        <v>0.17979314025943535</v>
      </c>
      <c r="V43" s="31">
        <f>'TUSD BE'!$V$43*'TUSD BE'!$V$72</f>
        <v>0</v>
      </c>
      <c r="W43" s="31">
        <f>'TUSD BE'!$W$43*'TUSD BE'!$W$72</f>
        <v>0</v>
      </c>
      <c r="X43" s="31">
        <f>'TUSD BE'!$X$43*'TUSD BE'!$X$72</f>
        <v>0</v>
      </c>
      <c r="Y43" s="31">
        <f>'TUSD BE'!$Y$43*'TUSD BE'!$Y$72</f>
        <v>-9.6513351085679419E-2</v>
      </c>
      <c r="Z43" s="31">
        <f>'TUSD BE'!$Z$43*'TUSD BE'!$Z$72</f>
        <v>0</v>
      </c>
      <c r="AA43" s="31">
        <f>'TUSD BE'!$AA$43*'TUSD BE'!$AA$72</f>
        <v>0</v>
      </c>
      <c r="AB43" s="31">
        <f>SUM($U$43:$AA$43)</f>
        <v>8.3279789173755933E-2</v>
      </c>
      <c r="AC43" s="31">
        <f>'TUSD BE'!$AC$43*'TUSD BE'!$AC$72</f>
        <v>0</v>
      </c>
      <c r="AD43" s="31">
        <f>SUM($AC$43:$AC$43)</f>
        <v>0</v>
      </c>
      <c r="AE43" s="31">
        <f ca="1">$AO$43*$AO$69</f>
        <v>-29.461833621350877</v>
      </c>
      <c r="AF43" s="31">
        <f ca="1">$AP$43*$AP$69</f>
        <v>0</v>
      </c>
      <c r="AG43" s="31">
        <f ca="1">SUM($AE$43:$AF$43)</f>
        <v>-29.461833621350877</v>
      </c>
      <c r="AH43" s="31">
        <f>'TUSD BE'!$AH$43*'TUSD BE'!$AH$72</f>
        <v>-3.7564964601171282</v>
      </c>
      <c r="AI43" s="31">
        <f>'TUSD BE'!$AI$43*'TUSD BE'!$AI$72</f>
        <v>-0.11386544591397531</v>
      </c>
      <c r="AJ43" s="31">
        <f ca="1">'TUSD BE'!$AJ$43*'TUSD BE'!$AJ$72</f>
        <v>-1.2721427844464437</v>
      </c>
      <c r="AK43" s="31">
        <f ca="1">'TUSD BE'!$AK$43*'TUSD BE'!$AK$72</f>
        <v>0</v>
      </c>
      <c r="AL43" s="31">
        <f ca="1">SUM($AH$43:$AK$43)</f>
        <v>-5.1425046904775469</v>
      </c>
      <c r="AM43" s="31">
        <f ca="1">SUMIF($L$4:$AL$4,"SUBTOTAL",$L$43:$AL$43)</f>
        <v>-34.539260823640056</v>
      </c>
      <c r="AO43" s="40">
        <f ca="1">+'TUSD BE'!$T$43+'TUSD BE'!$AB$43+'TUSD BE'!$AD$43+'TUSD BE'!$AL$43</f>
        <v>322.454049002369</v>
      </c>
      <c r="AP43" s="40">
        <f ca="1">+'TUSD BE'!$T$43+'TUSD BE'!$AB$43+'TUSD BE'!$AD$43+'TUSD BE'!$AL$43</f>
        <v>322.454049002369</v>
      </c>
    </row>
    <row r="44" spans="1:42" ht="11.25" customHeight="1" x14ac:dyDescent="0.25">
      <c r="A44" s="97" t="s">
        <v>44</v>
      </c>
      <c r="B44" s="97" t="s">
        <v>33</v>
      </c>
      <c r="C44" s="97" t="s">
        <v>45</v>
      </c>
      <c r="D44" s="97" t="s">
        <v>25</v>
      </c>
      <c r="E44" s="97" t="s">
        <v>25</v>
      </c>
      <c r="F44" s="97" t="s">
        <v>25</v>
      </c>
      <c r="G44" s="38" t="s">
        <v>103</v>
      </c>
      <c r="H44" s="38" t="s">
        <v>102</v>
      </c>
      <c r="I44" s="38">
        <f>'MERCADO TUSD'!$U$41</f>
        <v>3.9449999999999994</v>
      </c>
      <c r="J44" s="15"/>
      <c r="L44" s="31">
        <f>'TUSD BE'!$L$44*'TUSD BE'!$L$72</f>
        <v>-0.10035480456828549</v>
      </c>
      <c r="M44" s="31">
        <f>'TUSD BE'!$M$44*'TUSD BE'!$M$72</f>
        <v>-1.7739620763338095E-2</v>
      </c>
      <c r="N44" s="31">
        <f ca="1">'TUSD BE'!$N$44*'TUSD BE'!$N$72</f>
        <v>0</v>
      </c>
      <c r="O44" s="31">
        <f>'TUSD BE'!$O$44*'TUSD BE'!$O$72</f>
        <v>-4.6268022205212428E-4</v>
      </c>
      <c r="P44" s="31">
        <f>'TUSD BE'!$P$44*'TUSD BE'!$P$72</f>
        <v>0</v>
      </c>
      <c r="Q44" s="31">
        <f>'TUSD BE'!$Q$44*'TUSD BE'!$Q$72</f>
        <v>-0.16051325492535745</v>
      </c>
      <c r="R44" s="31">
        <f>'TUSD BE'!$R$44*'TUSD BE'!$R$72</f>
        <v>-0.12841986612197215</v>
      </c>
      <c r="S44" s="31">
        <f>'TUSD BE'!$R$44*'TUSD BE'!$S$72</f>
        <v>0</v>
      </c>
      <c r="T44" s="31">
        <f ca="1">SUM($L$44:$S$44)</f>
        <v>-0.40749022660100531</v>
      </c>
      <c r="U44" s="31">
        <f>'TUSD BE'!$U$44*'TUSD BE'!$U$72</f>
        <v>0.60230569824445368</v>
      </c>
      <c r="V44" s="31">
        <f>'TUSD BE'!$V$44*'TUSD BE'!$V$72</f>
        <v>0</v>
      </c>
      <c r="W44" s="31">
        <f>'TUSD BE'!$W$44*'TUSD BE'!$W$72</f>
        <v>0</v>
      </c>
      <c r="X44" s="31">
        <f>'TUSD BE'!$X$44*'TUSD BE'!$X$72</f>
        <v>0</v>
      </c>
      <c r="Y44" s="31">
        <f>'TUSD BE'!$Y$44*'TUSD BE'!$Y$72</f>
        <v>-0.32331856695673439</v>
      </c>
      <c r="Z44" s="31">
        <f>'TUSD BE'!$Z$44*'TUSD BE'!$Z$72</f>
        <v>0</v>
      </c>
      <c r="AA44" s="31">
        <f>'TUSD BE'!$AA$44*'TUSD BE'!$AA$72</f>
        <v>0</v>
      </c>
      <c r="AB44" s="31">
        <f>SUM($U$44:$AA$44)</f>
        <v>0.27898713128771929</v>
      </c>
      <c r="AC44" s="31">
        <f>'TUSD BE'!$AC$44*'TUSD BE'!$AC$72</f>
        <v>0</v>
      </c>
      <c r="AD44" s="31">
        <f>SUM($AC$44:$AC$44)</f>
        <v>0</v>
      </c>
      <c r="AE44" s="31">
        <f ca="1">$AO$44*$AO$69</f>
        <v>-94.016893401580091</v>
      </c>
      <c r="AF44" s="31">
        <f ca="1">$AP$44*$AP$69</f>
        <v>0</v>
      </c>
      <c r="AG44" s="31">
        <f ca="1">SUM($AE$44:$AF$44)</f>
        <v>-94.016893401580091</v>
      </c>
      <c r="AH44" s="31">
        <f>'TUSD BE'!$AH$44*'TUSD BE'!$AH$72</f>
        <v>-3.7564964601171282</v>
      </c>
      <c r="AI44" s="31">
        <f>'TUSD BE'!$AI$44*'TUSD BE'!$AI$72</f>
        <v>-0.11386544591397531</v>
      </c>
      <c r="AJ44" s="31">
        <f ca="1">'TUSD BE'!$AJ$44*'TUSD BE'!$AJ$72</f>
        <v>-1.2721427844464437</v>
      </c>
      <c r="AK44" s="31">
        <f ca="1">'TUSD BE'!$AK$44*'TUSD BE'!$AK$72</f>
        <v>0</v>
      </c>
      <c r="AL44" s="31">
        <f ca="1">SUM($AH$44:$AK$44)</f>
        <v>-5.1425046904775469</v>
      </c>
      <c r="AM44" s="31">
        <f ca="1">SUMIF($L$4:$AL$4,"SUBTOTAL",$L$44:$AL$44)</f>
        <v>-99.287901187370935</v>
      </c>
      <c r="AO44" s="40">
        <f ca="1">+'TUSD BE'!$T$44+'TUSD BE'!$AB$44+'TUSD BE'!$AD$44+'TUSD BE'!$AL$44</f>
        <v>1028.9966450015395</v>
      </c>
      <c r="AP44" s="40">
        <f ca="1">+'TUSD BE'!$T$44+'TUSD BE'!$AB$44+'TUSD BE'!$AD$44+'TUSD BE'!$AL$44</f>
        <v>1028.9966450015395</v>
      </c>
    </row>
    <row r="45" spans="1:42" ht="11.25" customHeight="1" x14ac:dyDescent="0.25">
      <c r="A45" s="97"/>
      <c r="B45" s="97"/>
      <c r="C45" s="97"/>
      <c r="D45" s="97"/>
      <c r="E45" s="97"/>
      <c r="F45" s="97"/>
      <c r="G45" s="38" t="s">
        <v>113</v>
      </c>
      <c r="H45" s="38" t="s">
        <v>102</v>
      </c>
      <c r="I45" s="38">
        <f>'MERCADO TUSD'!$U$42</f>
        <v>4.2359999999999989</v>
      </c>
      <c r="J45" s="15"/>
      <c r="L45" s="31">
        <f>'TUSD BE'!$L$45*'TUSD BE'!$L$72</f>
        <v>-0.10035480456828549</v>
      </c>
      <c r="M45" s="31">
        <f>'TUSD BE'!$M$45*'TUSD BE'!$M$72</f>
        <v>-1.7739620763338095E-2</v>
      </c>
      <c r="N45" s="31">
        <f ca="1">'TUSD BE'!$N$45*'TUSD BE'!$N$72</f>
        <v>0</v>
      </c>
      <c r="O45" s="31">
        <f>'TUSD BE'!$O$45*'TUSD BE'!$O$72</f>
        <v>-4.6268022205212428E-4</v>
      </c>
      <c r="P45" s="31">
        <f>'TUSD BE'!$P$45*'TUSD BE'!$P$72</f>
        <v>0</v>
      </c>
      <c r="Q45" s="31">
        <f>'TUSD BE'!$Q$45*'TUSD BE'!$Q$72</f>
        <v>-0.16051325492535745</v>
      </c>
      <c r="R45" s="31">
        <f>'TUSD BE'!$R$45*'TUSD BE'!$R$72</f>
        <v>-0.12841986612197215</v>
      </c>
      <c r="S45" s="31">
        <f>'TUSD BE'!$R$45*'TUSD BE'!$S$72</f>
        <v>0</v>
      </c>
      <c r="T45" s="31">
        <f ca="1">SUM($L$45:$S$45)</f>
        <v>-0.40749022660100531</v>
      </c>
      <c r="U45" s="31">
        <f>'TUSD BE'!$U$45*'TUSD BE'!$U$72</f>
        <v>0.36138369004916554</v>
      </c>
      <c r="V45" s="31">
        <f>'TUSD BE'!$V$45*'TUSD BE'!$V$72</f>
        <v>0</v>
      </c>
      <c r="W45" s="31">
        <f>'TUSD BE'!$W$45*'TUSD BE'!$W$72</f>
        <v>0</v>
      </c>
      <c r="X45" s="31">
        <f>'TUSD BE'!$X$45*'TUSD BE'!$X$72</f>
        <v>0</v>
      </c>
      <c r="Y45" s="31">
        <f>'TUSD BE'!$Y$45*'TUSD BE'!$Y$72</f>
        <v>-0.19399114017404059</v>
      </c>
      <c r="Z45" s="31">
        <f>'TUSD BE'!$Z$45*'TUSD BE'!$Z$72</f>
        <v>0</v>
      </c>
      <c r="AA45" s="31">
        <f>'TUSD BE'!$AA$45*'TUSD BE'!$AA$72</f>
        <v>0</v>
      </c>
      <c r="AB45" s="31">
        <f>SUM($U$45:$AA$45)</f>
        <v>0.16739254987512495</v>
      </c>
      <c r="AC45" s="31">
        <f>'TUSD BE'!$AC$45*'TUSD BE'!$AC$72</f>
        <v>0</v>
      </c>
      <c r="AD45" s="31">
        <f>SUM($AC$45:$AC$45)</f>
        <v>0</v>
      </c>
      <c r="AE45" s="31">
        <f ca="1">$AO$45*$AO$69</f>
        <v>-60.157336230834325</v>
      </c>
      <c r="AF45" s="31">
        <f ca="1">$AP$45*$AP$69</f>
        <v>0</v>
      </c>
      <c r="AG45" s="31">
        <f ca="1">SUM($AE$45:$AF$45)</f>
        <v>-60.157336230834325</v>
      </c>
      <c r="AH45" s="31">
        <f>'TUSD BE'!$AH$45*'TUSD BE'!$AH$72</f>
        <v>-3.7564964601171282</v>
      </c>
      <c r="AI45" s="31">
        <f>'TUSD BE'!$AI$45*'TUSD BE'!$AI$72</f>
        <v>-0.11386544591397531</v>
      </c>
      <c r="AJ45" s="31">
        <f ca="1">'TUSD BE'!$AJ$45*'TUSD BE'!$AJ$72</f>
        <v>-1.2721427844464437</v>
      </c>
      <c r="AK45" s="31">
        <f ca="1">'TUSD BE'!$AK$45*'TUSD BE'!$AK$72</f>
        <v>0</v>
      </c>
      <c r="AL45" s="31">
        <f ca="1">SUM($AH$45:$AK$45)</f>
        <v>-5.1425046904775469</v>
      </c>
      <c r="AM45" s="31">
        <f ca="1">SUMIF($L$4:$AL$4,"SUBTOTAL",$L$45:$AL$45)</f>
        <v>-65.53993859803775</v>
      </c>
      <c r="AO45" s="40">
        <f ca="1">+'TUSD BE'!$T$45+'TUSD BE'!$AB$45+'TUSD BE'!$AD$45+'TUSD BE'!$AL$45</f>
        <v>658.41036556434153</v>
      </c>
      <c r="AP45" s="40">
        <f ca="1">+'TUSD BE'!$T$45+'TUSD BE'!$AB$45+'TUSD BE'!$AD$45+'TUSD BE'!$AL$45</f>
        <v>658.41036556434153</v>
      </c>
    </row>
    <row r="46" spans="1:42" ht="11.25" customHeight="1" x14ac:dyDescent="0.25">
      <c r="A46" s="97"/>
      <c r="B46" s="97"/>
      <c r="C46" s="97"/>
      <c r="D46" s="97"/>
      <c r="E46" s="97"/>
      <c r="F46" s="97"/>
      <c r="G46" s="38" t="s">
        <v>104</v>
      </c>
      <c r="H46" s="38" t="s">
        <v>102</v>
      </c>
      <c r="I46" s="38">
        <f>'MERCADO TUSD'!$U$43</f>
        <v>105.83499999999999</v>
      </c>
      <c r="J46" s="15"/>
      <c r="L46" s="31">
        <f>'TUSD BE'!$L$46*'TUSD BE'!$L$72</f>
        <v>-0.10035480456828549</v>
      </c>
      <c r="M46" s="31">
        <f>'TUSD BE'!$M$46*'TUSD BE'!$M$72</f>
        <v>-1.7739620763338095E-2</v>
      </c>
      <c r="N46" s="31">
        <f ca="1">'TUSD BE'!$N$46*'TUSD BE'!$N$72</f>
        <v>0</v>
      </c>
      <c r="O46" s="31">
        <f>'TUSD BE'!$O$46*'TUSD BE'!$O$72</f>
        <v>-4.6268022205212428E-4</v>
      </c>
      <c r="P46" s="31">
        <f>'TUSD BE'!$P$46*'TUSD BE'!$P$72</f>
        <v>0</v>
      </c>
      <c r="Q46" s="31">
        <f>'TUSD BE'!$Q$46*'TUSD BE'!$Q$72</f>
        <v>-0.16051325492535745</v>
      </c>
      <c r="R46" s="31">
        <f>'TUSD BE'!$R$46*'TUSD BE'!$R$72</f>
        <v>-0.12841986612197215</v>
      </c>
      <c r="S46" s="31">
        <f>'TUSD BE'!$R$46*'TUSD BE'!$S$72</f>
        <v>0</v>
      </c>
      <c r="T46" s="31">
        <f ca="1">SUM($L$46:$S$46)</f>
        <v>-0.40749022660100531</v>
      </c>
      <c r="U46" s="31">
        <f>'TUSD BE'!$U$46*'TUSD BE'!$U$72</f>
        <v>0.1204610040976441</v>
      </c>
      <c r="V46" s="31">
        <f>'TUSD BE'!$V$46*'TUSD BE'!$V$72</f>
        <v>0</v>
      </c>
      <c r="W46" s="31">
        <f>'TUSD BE'!$W$46*'TUSD BE'!$W$72</f>
        <v>0</v>
      </c>
      <c r="X46" s="31">
        <f>'TUSD BE'!$X$46*'TUSD BE'!$X$72</f>
        <v>0</v>
      </c>
      <c r="Y46" s="31">
        <f>'TUSD BE'!$Y$46*'TUSD BE'!$Y$72</f>
        <v>-6.4663713391346869E-2</v>
      </c>
      <c r="Z46" s="31">
        <f>'TUSD BE'!$Z$46*'TUSD BE'!$Z$72</f>
        <v>0</v>
      </c>
      <c r="AA46" s="31">
        <f>'TUSD BE'!$AA$46*'TUSD BE'!$AA$72</f>
        <v>0</v>
      </c>
      <c r="AB46" s="31">
        <f>SUM($U$46:$AA$46)</f>
        <v>5.5797290706297228E-2</v>
      </c>
      <c r="AC46" s="31">
        <f>'TUSD BE'!$AC$46*'TUSD BE'!$AC$72</f>
        <v>0</v>
      </c>
      <c r="AD46" s="31">
        <f>SUM($AC$46:$AC$46)</f>
        <v>0</v>
      </c>
      <c r="AE46" s="31">
        <f ca="1">$AO$46*$AO$69</f>
        <v>-26.297746625797735</v>
      </c>
      <c r="AF46" s="31">
        <f ca="1">$AP$46*$AP$69</f>
        <v>0</v>
      </c>
      <c r="AG46" s="31">
        <f ca="1">SUM($AE$46:$AF$46)</f>
        <v>-26.297746625797735</v>
      </c>
      <c r="AH46" s="31">
        <f>'TUSD BE'!$AH$46*'TUSD BE'!$AH$72</f>
        <v>-3.7564964601171282</v>
      </c>
      <c r="AI46" s="31">
        <f>'TUSD BE'!$AI$46*'TUSD BE'!$AI$72</f>
        <v>-0.11386544591397531</v>
      </c>
      <c r="AJ46" s="31">
        <f ca="1">'TUSD BE'!$AJ$46*'TUSD BE'!$AJ$72</f>
        <v>-1.2721427844464437</v>
      </c>
      <c r="AK46" s="31">
        <f ca="1">'TUSD BE'!$AK$46*'TUSD BE'!$AK$72</f>
        <v>0</v>
      </c>
      <c r="AL46" s="31">
        <f ca="1">SUM($AH$46:$AK$46)</f>
        <v>-5.1425046904775469</v>
      </c>
      <c r="AM46" s="31">
        <f ca="1">SUMIF($L$4:$AL$4,"SUBTOTAL",$L$46:$AL$46)</f>
        <v>-31.791944252169991</v>
      </c>
      <c r="AO46" s="40">
        <f ca="1">+'TUSD BE'!$T$46+'TUSD BE'!$AB$46+'TUSD BE'!$AD$46+'TUSD BE'!$AL$46</f>
        <v>287.82373114012762</v>
      </c>
      <c r="AP46" s="40">
        <f ca="1">+'TUSD BE'!$T$46+'TUSD BE'!$AB$46+'TUSD BE'!$AD$46+'TUSD BE'!$AL$46</f>
        <v>287.82373114012762</v>
      </c>
    </row>
    <row r="47" spans="1:42" ht="11.25" customHeight="1" x14ac:dyDescent="0.25">
      <c r="A47" s="97"/>
      <c r="B47" s="37" t="s">
        <v>23</v>
      </c>
      <c r="C47" s="37" t="s">
        <v>45</v>
      </c>
      <c r="D47" s="37" t="s">
        <v>25</v>
      </c>
      <c r="E47" s="37" t="s">
        <v>25</v>
      </c>
      <c r="F47" s="37" t="s">
        <v>25</v>
      </c>
      <c r="G47" s="38" t="s">
        <v>108</v>
      </c>
      <c r="H47" s="38" t="s">
        <v>102</v>
      </c>
      <c r="I47" s="38">
        <f>'MERCADO TUSD'!$U$44</f>
        <v>251732.52099999998</v>
      </c>
      <c r="J47" s="15"/>
      <c r="L47" s="31">
        <f>'TUSD BE'!$L$47*'TUSD BE'!$L$72</f>
        <v>-0.10035480456828549</v>
      </c>
      <c r="M47" s="31">
        <f>'TUSD BE'!$M$47*'TUSD BE'!$M$72</f>
        <v>-1.7739620763338095E-2</v>
      </c>
      <c r="N47" s="31">
        <f ca="1">'TUSD BE'!$N$47*'TUSD BE'!$N$72</f>
        <v>0</v>
      </c>
      <c r="O47" s="31">
        <f>'TUSD BE'!$O$47*'TUSD BE'!$O$72</f>
        <v>-4.6268022205212428E-4</v>
      </c>
      <c r="P47" s="31">
        <f>'TUSD BE'!$P$47*'TUSD BE'!$P$72</f>
        <v>0</v>
      </c>
      <c r="Q47" s="31">
        <f>'TUSD BE'!$Q$47*'TUSD BE'!$Q$72</f>
        <v>-0.16051325492535745</v>
      </c>
      <c r="R47" s="31">
        <f>'TUSD BE'!$R$47*'TUSD BE'!$R$72</f>
        <v>-0.12841986612197215</v>
      </c>
      <c r="S47" s="31">
        <f>'TUSD BE'!$R$47*'TUSD BE'!$S$72</f>
        <v>0</v>
      </c>
      <c r="T47" s="31">
        <f ca="1">SUM($L$47:$S$47)</f>
        <v>-0.40749022660100531</v>
      </c>
      <c r="U47" s="31">
        <f>'TUSD BE'!$U$47*'TUSD BE'!$U$72</f>
        <v>0.17979314025943535</v>
      </c>
      <c r="V47" s="31">
        <f>'TUSD BE'!$V$47*'TUSD BE'!$V$72</f>
        <v>0</v>
      </c>
      <c r="W47" s="31">
        <f>'TUSD BE'!$W$47*'TUSD BE'!$W$72</f>
        <v>0</v>
      </c>
      <c r="X47" s="31">
        <f>'TUSD BE'!$X$47*'TUSD BE'!$X$72</f>
        <v>0</v>
      </c>
      <c r="Y47" s="31">
        <f>'TUSD BE'!$Y$47*'TUSD BE'!$Y$72</f>
        <v>-9.6513351085679419E-2</v>
      </c>
      <c r="Z47" s="31">
        <f>'TUSD BE'!$Z$47*'TUSD BE'!$Z$72</f>
        <v>0</v>
      </c>
      <c r="AA47" s="31">
        <f>'TUSD BE'!$AA$47*'TUSD BE'!$AA$72</f>
        <v>0</v>
      </c>
      <c r="AB47" s="31">
        <f>SUM($U$47:$AA$47)</f>
        <v>8.3279789173755933E-2</v>
      </c>
      <c r="AC47" s="31">
        <f>'TUSD BE'!$AC$47*'TUSD BE'!$AC$72</f>
        <v>0</v>
      </c>
      <c r="AD47" s="31">
        <f>SUM($AC$47:$AC$47)</f>
        <v>0</v>
      </c>
      <c r="AE47" s="31">
        <f ca="1">$AO$47*$AO$69</f>
        <v>-34.636309155386371</v>
      </c>
      <c r="AF47" s="31">
        <f ca="1">$AP$47*$AP$69</f>
        <v>0</v>
      </c>
      <c r="AG47" s="31">
        <f ca="1">SUM($AE$47:$AF$47)</f>
        <v>-34.636309155386371</v>
      </c>
      <c r="AH47" s="31">
        <f>'TUSD BE'!$AH$47*'TUSD BE'!$AH$72</f>
        <v>-3.7564964601171282</v>
      </c>
      <c r="AI47" s="31">
        <f>'TUSD BE'!$AI$47*'TUSD BE'!$AI$72</f>
        <v>-0.11386544591397531</v>
      </c>
      <c r="AJ47" s="31">
        <f ca="1">'TUSD BE'!$AJ$47*'TUSD BE'!$AJ$72</f>
        <v>-1.2721427844464437</v>
      </c>
      <c r="AK47" s="31">
        <f ca="1">'TUSD BE'!$AK$47*'TUSD BE'!$AK$72</f>
        <v>0</v>
      </c>
      <c r="AL47" s="31">
        <f ca="1">SUM($AH$47:$AK$47)</f>
        <v>-5.1425046904775469</v>
      </c>
      <c r="AM47" s="31">
        <f ca="1">SUMIF($L$4:$AL$4,"SUBTOTAL",$L$47:$AL$47)</f>
        <v>-40.103024283291163</v>
      </c>
      <c r="AO47" s="40">
        <f ca="1">+'TUSD BE'!$T$47+'TUSD BE'!$AB$47+'TUSD BE'!$AD$47+'TUSD BE'!$AL$47</f>
        <v>379.0876791035268</v>
      </c>
      <c r="AP47" s="40">
        <f ca="1">+'TUSD BE'!$T$47+'TUSD BE'!$AB$47+'TUSD BE'!$AD$47+'TUSD BE'!$AL$47</f>
        <v>379.0876791035268</v>
      </c>
    </row>
    <row r="48" spans="1:42" ht="11.25" customHeight="1" x14ac:dyDescent="0.25">
      <c r="A48" s="97"/>
      <c r="B48" s="97" t="s">
        <v>33</v>
      </c>
      <c r="C48" s="97" t="s">
        <v>45</v>
      </c>
      <c r="D48" s="97" t="s">
        <v>116</v>
      </c>
      <c r="E48" s="97" t="s">
        <v>25</v>
      </c>
      <c r="F48" s="97" t="s">
        <v>25</v>
      </c>
      <c r="G48" s="38" t="s">
        <v>103</v>
      </c>
      <c r="H48" s="38" t="s">
        <v>102</v>
      </c>
      <c r="I48" s="38">
        <f>'MERCADO TUSD'!$U$45</f>
        <v>0</v>
      </c>
      <c r="J48" s="15"/>
      <c r="L48" s="31">
        <f>'TUSD BE'!$L$48*'TUSD BE'!$L$72</f>
        <v>-0.10035480456828549</v>
      </c>
      <c r="M48" s="31">
        <f>'TUSD BE'!$M$48*'TUSD BE'!$M$72</f>
        <v>-1.7739620763338095E-2</v>
      </c>
      <c r="N48" s="31">
        <f ca="1">'TUSD BE'!$N$48*'TUSD BE'!$N$72</f>
        <v>0</v>
      </c>
      <c r="O48" s="31">
        <f>'TUSD BE'!$O$48*'TUSD BE'!$O$72</f>
        <v>-4.6268022205212428E-4</v>
      </c>
      <c r="P48" s="31">
        <f>'TUSD BE'!$P$48*'TUSD BE'!$P$72</f>
        <v>0</v>
      </c>
      <c r="Q48" s="31">
        <f>'TUSD BE'!$Q$48*'TUSD BE'!$Q$72</f>
        <v>-0.16051325492535745</v>
      </c>
      <c r="R48" s="31">
        <f>'TUSD BE'!$R$48*'TUSD BE'!$R$72</f>
        <v>-0.12841986612197215</v>
      </c>
      <c r="S48" s="31">
        <f>'TUSD BE'!$R$48*'TUSD BE'!$S$72</f>
        <v>0</v>
      </c>
      <c r="T48" s="31">
        <f ca="1">SUM($L$48:$S$48)</f>
        <v>-0.40749022660100531</v>
      </c>
      <c r="U48" s="31">
        <f>'TUSD BE'!$U$48*'TUSD BE'!$U$72</f>
        <v>0.60230569824445368</v>
      </c>
      <c r="V48" s="31">
        <f>'TUSD BE'!$V$48*'TUSD BE'!$V$72</f>
        <v>0</v>
      </c>
      <c r="W48" s="31">
        <f>'TUSD BE'!$W$48*'TUSD BE'!$W$72</f>
        <v>0</v>
      </c>
      <c r="X48" s="31">
        <f>'TUSD BE'!$X$48*'TUSD BE'!$X$72</f>
        <v>0</v>
      </c>
      <c r="Y48" s="31">
        <f>'TUSD BE'!$Y$48*'TUSD BE'!$Y$72</f>
        <v>-0.32331856695673439</v>
      </c>
      <c r="Z48" s="31">
        <f>'TUSD BE'!$Z$48*'TUSD BE'!$Z$72</f>
        <v>0</v>
      </c>
      <c r="AA48" s="31">
        <f>'TUSD BE'!$AA$48*'TUSD BE'!$AA$72</f>
        <v>0</v>
      </c>
      <c r="AB48" s="31">
        <f>SUM($U$48:$AA$48)</f>
        <v>0.27898713128771929</v>
      </c>
      <c r="AC48" s="31">
        <f>'TUSD BE'!$AC$48*'TUSD BE'!$AC$72</f>
        <v>0</v>
      </c>
      <c r="AD48" s="31">
        <f>SUM($AC$48:$AC$48)</f>
        <v>0</v>
      </c>
      <c r="AE48" s="31">
        <f ca="1">$AO$48*$AO$69</f>
        <v>-94.016893401580091</v>
      </c>
      <c r="AF48" s="31">
        <f ca="1">$AP$48*$AP$69</f>
        <v>0</v>
      </c>
      <c r="AG48" s="31">
        <f ca="1">SUM($AE$48:$AF$48)</f>
        <v>-94.016893401580091</v>
      </c>
      <c r="AH48" s="31">
        <f>'TUSD BE'!$AH$48*'TUSD BE'!$AH$72</f>
        <v>-3.7564964601171282</v>
      </c>
      <c r="AI48" s="31">
        <f>'TUSD BE'!$AI$48*'TUSD BE'!$AI$72</f>
        <v>-0.11386544591397531</v>
      </c>
      <c r="AJ48" s="31">
        <f ca="1">'TUSD BE'!$AJ$48*'TUSD BE'!$AJ$72</f>
        <v>-1.2721427844464437</v>
      </c>
      <c r="AK48" s="31">
        <f ca="1">'TUSD BE'!$AK$48*'TUSD BE'!$AK$72</f>
        <v>0</v>
      </c>
      <c r="AL48" s="31">
        <f ca="1">SUM($AH$48:$AK$48)</f>
        <v>-5.1425046904775469</v>
      </c>
      <c r="AM48" s="31">
        <f ca="1">SUMIF($L$4:$AL$4,"SUBTOTAL",$L$48:$AL$48)</f>
        <v>-99.287901187370935</v>
      </c>
      <c r="AO48" s="40">
        <f ca="1">+'TUSD BE'!$T$48+'TUSD BE'!$AB$48+'TUSD BE'!$AD$48+'TUSD BE'!$AL$48</f>
        <v>1028.9966450015395</v>
      </c>
      <c r="AP48" s="40">
        <f ca="1">+'TUSD BE'!$T$48+'TUSD BE'!$AB$48+'TUSD BE'!$AD$48+'TUSD BE'!$AL$48</f>
        <v>1028.9966450015395</v>
      </c>
    </row>
    <row r="49" spans="1:42" ht="11.25" customHeight="1" x14ac:dyDescent="0.25">
      <c r="A49" s="97"/>
      <c r="B49" s="97"/>
      <c r="C49" s="97"/>
      <c r="D49" s="97"/>
      <c r="E49" s="97"/>
      <c r="F49" s="97"/>
      <c r="G49" s="38" t="s">
        <v>113</v>
      </c>
      <c r="H49" s="38" t="s">
        <v>102</v>
      </c>
      <c r="I49" s="38">
        <f>'MERCADO TUSD'!$U$46</f>
        <v>0</v>
      </c>
      <c r="J49" s="15"/>
      <c r="L49" s="31">
        <f>'TUSD BE'!$L$49*'TUSD BE'!$L$72</f>
        <v>-0.10035480456828549</v>
      </c>
      <c r="M49" s="31">
        <f>'TUSD BE'!$M$49*'TUSD BE'!$M$72</f>
        <v>-1.7739620763338095E-2</v>
      </c>
      <c r="N49" s="31">
        <f ca="1">'TUSD BE'!$N$49*'TUSD BE'!$N$72</f>
        <v>0</v>
      </c>
      <c r="O49" s="31">
        <f>'TUSD BE'!$O$49*'TUSD BE'!$O$72</f>
        <v>-4.6268022205212428E-4</v>
      </c>
      <c r="P49" s="31">
        <f>'TUSD BE'!$P$49*'TUSD BE'!$P$72</f>
        <v>0</v>
      </c>
      <c r="Q49" s="31">
        <f>'TUSD BE'!$Q$49*'TUSD BE'!$Q$72</f>
        <v>-0.16051325492535745</v>
      </c>
      <c r="R49" s="31">
        <f>'TUSD BE'!$R$49*'TUSD BE'!$R$72</f>
        <v>-0.12841986612197215</v>
      </c>
      <c r="S49" s="31">
        <f>'TUSD BE'!$R$49*'TUSD BE'!$S$72</f>
        <v>0</v>
      </c>
      <c r="T49" s="31">
        <f ca="1">SUM($L$49:$S$49)</f>
        <v>-0.40749022660100531</v>
      </c>
      <c r="U49" s="31">
        <f>'TUSD BE'!$U$49*'TUSD BE'!$U$72</f>
        <v>0.36138369004916554</v>
      </c>
      <c r="V49" s="31">
        <f>'TUSD BE'!$V$49*'TUSD BE'!$V$72</f>
        <v>0</v>
      </c>
      <c r="W49" s="31">
        <f>'TUSD BE'!$W$49*'TUSD BE'!$W$72</f>
        <v>0</v>
      </c>
      <c r="X49" s="31">
        <f>'TUSD BE'!$X$49*'TUSD BE'!$X$72</f>
        <v>0</v>
      </c>
      <c r="Y49" s="31">
        <f>'TUSD BE'!$Y$49*'TUSD BE'!$Y$72</f>
        <v>-0.19399114017404059</v>
      </c>
      <c r="Z49" s="31">
        <f>'TUSD BE'!$Z$49*'TUSD BE'!$Z$72</f>
        <v>0</v>
      </c>
      <c r="AA49" s="31">
        <f>'TUSD BE'!$AA$49*'TUSD BE'!$AA$72</f>
        <v>0</v>
      </c>
      <c r="AB49" s="31">
        <f>SUM($U$49:$AA$49)</f>
        <v>0.16739254987512495</v>
      </c>
      <c r="AC49" s="31">
        <f>'TUSD BE'!$AC$49*'TUSD BE'!$AC$72</f>
        <v>0</v>
      </c>
      <c r="AD49" s="31">
        <f>SUM($AC$49:$AC$49)</f>
        <v>0</v>
      </c>
      <c r="AE49" s="31">
        <f ca="1">$AO$49*$AO$69</f>
        <v>-60.157336230834325</v>
      </c>
      <c r="AF49" s="31">
        <f ca="1">$AP$49*$AP$69</f>
        <v>0</v>
      </c>
      <c r="AG49" s="31">
        <f ca="1">SUM($AE$49:$AF$49)</f>
        <v>-60.157336230834325</v>
      </c>
      <c r="AH49" s="31">
        <f>'TUSD BE'!$AH$49*'TUSD BE'!$AH$72</f>
        <v>-3.7564964601171282</v>
      </c>
      <c r="AI49" s="31">
        <f>'TUSD BE'!$AI$49*'TUSD BE'!$AI$72</f>
        <v>-0.11386544591397531</v>
      </c>
      <c r="AJ49" s="31">
        <f ca="1">'TUSD BE'!$AJ$49*'TUSD BE'!$AJ$72</f>
        <v>-1.2721427844464437</v>
      </c>
      <c r="AK49" s="31">
        <f ca="1">'TUSD BE'!$AK$49*'TUSD BE'!$AK$72</f>
        <v>0</v>
      </c>
      <c r="AL49" s="31">
        <f ca="1">SUM($AH$49:$AK$49)</f>
        <v>-5.1425046904775469</v>
      </c>
      <c r="AM49" s="31">
        <f ca="1">SUMIF($L$4:$AL$4,"SUBTOTAL",$L$49:$AL$49)</f>
        <v>-65.53993859803775</v>
      </c>
      <c r="AO49" s="40">
        <f ca="1">+'TUSD BE'!$T$49+'TUSD BE'!$AB$49+'TUSD BE'!$AD$49+'TUSD BE'!$AL$49</f>
        <v>658.41036556434153</v>
      </c>
      <c r="AP49" s="40">
        <f ca="1">+'TUSD BE'!$T$49+'TUSD BE'!$AB$49+'TUSD BE'!$AD$49+'TUSD BE'!$AL$49</f>
        <v>658.41036556434153</v>
      </c>
    </row>
    <row r="50" spans="1:42" ht="11.25" customHeight="1" x14ac:dyDescent="0.25">
      <c r="A50" s="97"/>
      <c r="B50" s="97"/>
      <c r="C50" s="97"/>
      <c r="D50" s="97"/>
      <c r="E50" s="97"/>
      <c r="F50" s="97"/>
      <c r="G50" s="38" t="s">
        <v>104</v>
      </c>
      <c r="H50" s="38" t="s">
        <v>102</v>
      </c>
      <c r="I50" s="38">
        <f>'MERCADO TUSD'!$U$47</f>
        <v>0</v>
      </c>
      <c r="J50" s="15"/>
      <c r="L50" s="31">
        <f>'TUSD BE'!$L$50*'TUSD BE'!$L$72</f>
        <v>-0.10035480456828549</v>
      </c>
      <c r="M50" s="31">
        <f>'TUSD BE'!$M$50*'TUSD BE'!$M$72</f>
        <v>-1.7739620763338095E-2</v>
      </c>
      <c r="N50" s="31">
        <f ca="1">'TUSD BE'!$N$50*'TUSD BE'!$N$72</f>
        <v>0</v>
      </c>
      <c r="O50" s="31">
        <f>'TUSD BE'!$O$50*'TUSD BE'!$O$72</f>
        <v>-4.6268022205212428E-4</v>
      </c>
      <c r="P50" s="31">
        <f>'TUSD BE'!$P$50*'TUSD BE'!$P$72</f>
        <v>0</v>
      </c>
      <c r="Q50" s="31">
        <f>'TUSD BE'!$Q$50*'TUSD BE'!$Q$72</f>
        <v>-0.16051325492535745</v>
      </c>
      <c r="R50" s="31">
        <f>'TUSD BE'!$R$50*'TUSD BE'!$R$72</f>
        <v>-0.12841986612197215</v>
      </c>
      <c r="S50" s="31">
        <f>'TUSD BE'!$R$50*'TUSD BE'!$S$72</f>
        <v>0</v>
      </c>
      <c r="T50" s="31">
        <f ca="1">SUM($L$50:$S$50)</f>
        <v>-0.40749022660100531</v>
      </c>
      <c r="U50" s="31">
        <f>'TUSD BE'!$U$50*'TUSD BE'!$U$72</f>
        <v>0.1204610040976441</v>
      </c>
      <c r="V50" s="31">
        <f>'TUSD BE'!$V$50*'TUSD BE'!$V$72</f>
        <v>0</v>
      </c>
      <c r="W50" s="31">
        <f>'TUSD BE'!$W$50*'TUSD BE'!$W$72</f>
        <v>0</v>
      </c>
      <c r="X50" s="31">
        <f>'TUSD BE'!$X$50*'TUSD BE'!$X$72</f>
        <v>0</v>
      </c>
      <c r="Y50" s="31">
        <f>'TUSD BE'!$Y$50*'TUSD BE'!$Y$72</f>
        <v>-6.4663713391346869E-2</v>
      </c>
      <c r="Z50" s="31">
        <f>'TUSD BE'!$Z$50*'TUSD BE'!$Z$72</f>
        <v>0</v>
      </c>
      <c r="AA50" s="31">
        <f>'TUSD BE'!$AA$50*'TUSD BE'!$AA$72</f>
        <v>0</v>
      </c>
      <c r="AB50" s="31">
        <f>SUM($U$50:$AA$50)</f>
        <v>5.5797290706297228E-2</v>
      </c>
      <c r="AC50" s="31">
        <f>'TUSD BE'!$AC$50*'TUSD BE'!$AC$72</f>
        <v>0</v>
      </c>
      <c r="AD50" s="31">
        <f>SUM($AC$50:$AC$50)</f>
        <v>0</v>
      </c>
      <c r="AE50" s="31">
        <f ca="1">$AO$50*$AO$69</f>
        <v>-26.297746625797735</v>
      </c>
      <c r="AF50" s="31">
        <f ca="1">$AP$50*$AP$69</f>
        <v>0</v>
      </c>
      <c r="AG50" s="31">
        <f ca="1">SUM($AE$50:$AF$50)</f>
        <v>-26.297746625797735</v>
      </c>
      <c r="AH50" s="31">
        <f>'TUSD BE'!$AH$50*'TUSD BE'!$AH$72</f>
        <v>-3.7564964601171282</v>
      </c>
      <c r="AI50" s="31">
        <f>'TUSD BE'!$AI$50*'TUSD BE'!$AI$72</f>
        <v>-0.11386544591397531</v>
      </c>
      <c r="AJ50" s="31">
        <f ca="1">'TUSD BE'!$AJ$50*'TUSD BE'!$AJ$72</f>
        <v>-1.2721427844464437</v>
      </c>
      <c r="AK50" s="31">
        <f ca="1">'TUSD BE'!$AK$50*'TUSD BE'!$AK$72</f>
        <v>0</v>
      </c>
      <c r="AL50" s="31">
        <f ca="1">SUM($AH$50:$AK$50)</f>
        <v>-5.1425046904775469</v>
      </c>
      <c r="AM50" s="31">
        <f ca="1">SUMIF($L$4:$AL$4,"SUBTOTAL",$L$50:$AL$50)</f>
        <v>-31.791944252169991</v>
      </c>
      <c r="AO50" s="40">
        <f ca="1">+'TUSD BE'!$T$50+'TUSD BE'!$AB$50+'TUSD BE'!$AD$50+'TUSD BE'!$AL$50</f>
        <v>287.82373114012762</v>
      </c>
      <c r="AP50" s="40">
        <f ca="1">+'TUSD BE'!$T$50+'TUSD BE'!$AB$50+'TUSD BE'!$AD$50+'TUSD BE'!$AL$50</f>
        <v>287.82373114012762</v>
      </c>
    </row>
    <row r="51" spans="1:42" ht="11.25" customHeight="1" x14ac:dyDescent="0.25">
      <c r="A51" s="97"/>
      <c r="B51" s="37" t="s">
        <v>23</v>
      </c>
      <c r="C51" s="37" t="s">
        <v>45</v>
      </c>
      <c r="D51" s="37" t="s">
        <v>116</v>
      </c>
      <c r="E51" s="37" t="s">
        <v>25</v>
      </c>
      <c r="F51" s="37" t="s">
        <v>25</v>
      </c>
      <c r="G51" s="38" t="s">
        <v>108</v>
      </c>
      <c r="H51" s="38" t="s">
        <v>102</v>
      </c>
      <c r="I51" s="38">
        <f>'MERCADO TUSD'!$U$48</f>
        <v>0</v>
      </c>
      <c r="J51" s="15"/>
      <c r="L51" s="31">
        <f>'TUSD BE'!$L$51*'TUSD BE'!$L$72</f>
        <v>-0.10035480456828549</v>
      </c>
      <c r="M51" s="31">
        <f>'TUSD BE'!$M$51*'TUSD BE'!$M$72</f>
        <v>-1.7739620763338095E-2</v>
      </c>
      <c r="N51" s="31">
        <f ca="1">'TUSD BE'!$N$51*'TUSD BE'!$N$72</f>
        <v>0</v>
      </c>
      <c r="O51" s="31">
        <f>'TUSD BE'!$O$51*'TUSD BE'!$O$72</f>
        <v>-4.6268022205212428E-4</v>
      </c>
      <c r="P51" s="31">
        <f>'TUSD BE'!$P$51*'TUSD BE'!$P$72</f>
        <v>0</v>
      </c>
      <c r="Q51" s="31">
        <f>'TUSD BE'!$Q$51*'TUSD BE'!$Q$72</f>
        <v>-0.16051325492535745</v>
      </c>
      <c r="R51" s="31">
        <f>'TUSD BE'!$R$51*'TUSD BE'!$R$72</f>
        <v>-0.12841986612197215</v>
      </c>
      <c r="S51" s="31">
        <f>'TUSD BE'!$R$51*'TUSD BE'!$S$72</f>
        <v>0</v>
      </c>
      <c r="T51" s="31">
        <f ca="1">SUM($L$51:$S$51)</f>
        <v>-0.40749022660100531</v>
      </c>
      <c r="U51" s="31">
        <f>'TUSD BE'!$U$51*'TUSD BE'!$U$72</f>
        <v>0.17979314025943535</v>
      </c>
      <c r="V51" s="31">
        <f>'TUSD BE'!$V$51*'TUSD BE'!$V$72</f>
        <v>0</v>
      </c>
      <c r="W51" s="31">
        <f>'TUSD BE'!$W$51*'TUSD BE'!$W$72</f>
        <v>0</v>
      </c>
      <c r="X51" s="31">
        <f>'TUSD BE'!$X$51*'TUSD BE'!$X$72</f>
        <v>0</v>
      </c>
      <c r="Y51" s="31">
        <f>'TUSD BE'!$Y$51*'TUSD BE'!$Y$72</f>
        <v>-9.6513351085679419E-2</v>
      </c>
      <c r="Z51" s="31">
        <f>'TUSD BE'!$Z$51*'TUSD BE'!$Z$72</f>
        <v>0</v>
      </c>
      <c r="AA51" s="31">
        <f>'TUSD BE'!$AA$51*'TUSD BE'!$AA$72</f>
        <v>0</v>
      </c>
      <c r="AB51" s="31">
        <f>SUM($U$51:$AA$51)</f>
        <v>8.3279789173755933E-2</v>
      </c>
      <c r="AC51" s="31">
        <f>'TUSD BE'!$AC$51*'TUSD BE'!$AC$72</f>
        <v>0</v>
      </c>
      <c r="AD51" s="31">
        <f>SUM($AC$51:$AC$51)</f>
        <v>0</v>
      </c>
      <c r="AE51" s="31">
        <f ca="1">$AO$51*$AO$69</f>
        <v>-34.636309155386371</v>
      </c>
      <c r="AF51" s="31">
        <f ca="1">$AP$51*$AP$69</f>
        <v>0</v>
      </c>
      <c r="AG51" s="31">
        <f ca="1">SUM($AE$51:$AF$51)</f>
        <v>-34.636309155386371</v>
      </c>
      <c r="AH51" s="31">
        <f>'TUSD BE'!$AH$51*'TUSD BE'!$AH$72</f>
        <v>-3.7564964601171282</v>
      </c>
      <c r="AI51" s="31">
        <f>'TUSD BE'!$AI$51*'TUSD BE'!$AI$72</f>
        <v>-0.11386544591397531</v>
      </c>
      <c r="AJ51" s="31">
        <f ca="1">'TUSD BE'!$AJ$51*'TUSD BE'!$AJ$72</f>
        <v>-1.2721427844464437</v>
      </c>
      <c r="AK51" s="31">
        <f ca="1">'TUSD BE'!$AK$51*'TUSD BE'!$AK$72</f>
        <v>0</v>
      </c>
      <c r="AL51" s="31">
        <f ca="1">SUM($AH$51:$AK$51)</f>
        <v>-5.1425046904775469</v>
      </c>
      <c r="AM51" s="31">
        <f ca="1">SUMIF($L$4:$AL$4,"SUBTOTAL",$L$51:$AL$51)</f>
        <v>-40.103024283291163</v>
      </c>
      <c r="AO51" s="40">
        <f ca="1">+'TUSD BE'!$T$51+'TUSD BE'!$AB$51+'TUSD BE'!$AD$51+'TUSD BE'!$AL$51</f>
        <v>379.0876791035268</v>
      </c>
      <c r="AP51" s="40">
        <f ca="1">+'TUSD BE'!$T$51+'TUSD BE'!$AB$51+'TUSD BE'!$AD$51+'TUSD BE'!$AL$51</f>
        <v>379.0876791035268</v>
      </c>
    </row>
    <row r="52" spans="1:42" ht="11.25" customHeight="1" x14ac:dyDescent="0.25">
      <c r="A52" s="97"/>
      <c r="B52" s="97" t="s">
        <v>33</v>
      </c>
      <c r="C52" s="97" t="s">
        <v>45</v>
      </c>
      <c r="D52" s="97" t="s">
        <v>117</v>
      </c>
      <c r="E52" s="97" t="s">
        <v>25</v>
      </c>
      <c r="F52" s="97" t="s">
        <v>25</v>
      </c>
      <c r="G52" s="38" t="s">
        <v>103</v>
      </c>
      <c r="H52" s="38" t="s">
        <v>102</v>
      </c>
      <c r="I52" s="38">
        <f>'MERCADO TUSD'!$U$49</f>
        <v>0</v>
      </c>
      <c r="J52" s="15"/>
      <c r="L52" s="31">
        <f>'TUSD BE'!$L$52*'TUSD BE'!$L$72</f>
        <v>-0.10035480456828549</v>
      </c>
      <c r="M52" s="31">
        <f>'TUSD BE'!$M$52*'TUSD BE'!$M$72</f>
        <v>-1.7739620763338095E-2</v>
      </c>
      <c r="N52" s="31">
        <f ca="1">'TUSD BE'!$N$52*'TUSD BE'!$N$72</f>
        <v>0</v>
      </c>
      <c r="O52" s="31">
        <f>'TUSD BE'!$O$52*'TUSD BE'!$O$72</f>
        <v>-4.6268022205212428E-4</v>
      </c>
      <c r="P52" s="31">
        <f>'TUSD BE'!$P$52*'TUSD BE'!$P$72</f>
        <v>0</v>
      </c>
      <c r="Q52" s="31">
        <f>'TUSD BE'!$Q$52*'TUSD BE'!$Q$72</f>
        <v>-0.16051325492535745</v>
      </c>
      <c r="R52" s="31">
        <f>'TUSD BE'!$R$52*'TUSD BE'!$R$72</f>
        <v>-0.12841986612197215</v>
      </c>
      <c r="S52" s="31">
        <f>'TUSD BE'!$R$52*'TUSD BE'!$S$72</f>
        <v>0</v>
      </c>
      <c r="T52" s="31">
        <f ca="1">SUM($L$52:$S$52)</f>
        <v>-0.40749022660100531</v>
      </c>
      <c r="U52" s="31">
        <f>'TUSD BE'!$U$52*'TUSD BE'!$U$72</f>
        <v>0.60230569824445368</v>
      </c>
      <c r="V52" s="31">
        <f>'TUSD BE'!$V$52*'TUSD BE'!$V$72</f>
        <v>0</v>
      </c>
      <c r="W52" s="31">
        <f>'TUSD BE'!$W$52*'TUSD BE'!$W$72</f>
        <v>0</v>
      </c>
      <c r="X52" s="31">
        <f>'TUSD BE'!$X$52*'TUSD BE'!$X$72</f>
        <v>0</v>
      </c>
      <c r="Y52" s="31">
        <f>'TUSD BE'!$Y$52*'TUSD BE'!$Y$72</f>
        <v>-0.32331856695673439</v>
      </c>
      <c r="Z52" s="31">
        <f>'TUSD BE'!$Z$52*'TUSD BE'!$Z$72</f>
        <v>0</v>
      </c>
      <c r="AA52" s="31">
        <f>'TUSD BE'!$AA$52*'TUSD BE'!$AA$72</f>
        <v>0</v>
      </c>
      <c r="AB52" s="31">
        <f>SUM($U$52:$AA$52)</f>
        <v>0.27898713128771929</v>
      </c>
      <c r="AC52" s="31">
        <f>'TUSD BE'!$AC$52*'TUSD BE'!$AC$72</f>
        <v>0</v>
      </c>
      <c r="AD52" s="31">
        <f>SUM($AC$52:$AC$52)</f>
        <v>0</v>
      </c>
      <c r="AE52" s="31">
        <f ca="1">$AO$52*$AO$69</f>
        <v>-94.016893401580091</v>
      </c>
      <c r="AF52" s="31">
        <f ca="1">$AP$52*$AP$69</f>
        <v>0</v>
      </c>
      <c r="AG52" s="31">
        <f ca="1">SUM($AE$52:$AF$52)</f>
        <v>-94.016893401580091</v>
      </c>
      <c r="AH52" s="31">
        <f>'TUSD BE'!$AH$52*'TUSD BE'!$AH$72</f>
        <v>-3.7564964601171282</v>
      </c>
      <c r="AI52" s="31">
        <f>'TUSD BE'!$AI$52*'TUSD BE'!$AI$72</f>
        <v>-0.11386544591397531</v>
      </c>
      <c r="AJ52" s="31">
        <f ca="1">'TUSD BE'!$AJ$52*'TUSD BE'!$AJ$72</f>
        <v>-1.2721427844464437</v>
      </c>
      <c r="AK52" s="31">
        <f ca="1">'TUSD BE'!$AK$52*'TUSD BE'!$AK$72</f>
        <v>0</v>
      </c>
      <c r="AL52" s="31">
        <f ca="1">SUM($AH$52:$AK$52)</f>
        <v>-5.1425046904775469</v>
      </c>
      <c r="AM52" s="31">
        <f ca="1">SUMIF($L$4:$AL$4,"SUBTOTAL",$L$52:$AL$52)</f>
        <v>-99.287901187370935</v>
      </c>
      <c r="AO52" s="40">
        <f ca="1">+'TUSD BE'!$T$52+'TUSD BE'!$AB$52+'TUSD BE'!$AD$52+'TUSD BE'!$AL$52</f>
        <v>1028.9966450015395</v>
      </c>
      <c r="AP52" s="40">
        <f ca="1">+'TUSD BE'!$T$52+'TUSD BE'!$AB$52+'TUSD BE'!$AD$52+'TUSD BE'!$AL$52</f>
        <v>1028.9966450015395</v>
      </c>
    </row>
    <row r="53" spans="1:42" ht="11.25" customHeight="1" x14ac:dyDescent="0.25">
      <c r="A53" s="97"/>
      <c r="B53" s="97"/>
      <c r="C53" s="97"/>
      <c r="D53" s="97"/>
      <c r="E53" s="97"/>
      <c r="F53" s="97"/>
      <c r="G53" s="38" t="s">
        <v>113</v>
      </c>
      <c r="H53" s="38" t="s">
        <v>102</v>
      </c>
      <c r="I53" s="38">
        <f>'MERCADO TUSD'!$U$50</f>
        <v>0</v>
      </c>
      <c r="J53" s="15"/>
      <c r="L53" s="31">
        <f>'TUSD BE'!$L$53*'TUSD BE'!$L$72</f>
        <v>-0.10035480456828549</v>
      </c>
      <c r="M53" s="31">
        <f>'TUSD BE'!$M$53*'TUSD BE'!$M$72</f>
        <v>-1.7739620763338095E-2</v>
      </c>
      <c r="N53" s="31">
        <f ca="1">'TUSD BE'!$N$53*'TUSD BE'!$N$72</f>
        <v>0</v>
      </c>
      <c r="O53" s="31">
        <f>'TUSD BE'!$O$53*'TUSD BE'!$O$72</f>
        <v>-4.6268022205212428E-4</v>
      </c>
      <c r="P53" s="31">
        <f>'TUSD BE'!$P$53*'TUSD BE'!$P$72</f>
        <v>0</v>
      </c>
      <c r="Q53" s="31">
        <f>'TUSD BE'!$Q$53*'TUSD BE'!$Q$72</f>
        <v>-0.16051325492535745</v>
      </c>
      <c r="R53" s="31">
        <f>'TUSD BE'!$R$53*'TUSD BE'!$R$72</f>
        <v>-0.12841986612197215</v>
      </c>
      <c r="S53" s="31">
        <f>'TUSD BE'!$R$53*'TUSD BE'!$S$72</f>
        <v>0</v>
      </c>
      <c r="T53" s="31">
        <f ca="1">SUM($L$53:$S$53)</f>
        <v>-0.40749022660100531</v>
      </c>
      <c r="U53" s="31">
        <f>'TUSD BE'!$U$53*'TUSD BE'!$U$72</f>
        <v>0.36138369004916554</v>
      </c>
      <c r="V53" s="31">
        <f>'TUSD BE'!$V$53*'TUSD BE'!$V$72</f>
        <v>0</v>
      </c>
      <c r="W53" s="31">
        <f>'TUSD BE'!$W$53*'TUSD BE'!$W$72</f>
        <v>0</v>
      </c>
      <c r="X53" s="31">
        <f>'TUSD BE'!$X$53*'TUSD BE'!$X$72</f>
        <v>0</v>
      </c>
      <c r="Y53" s="31">
        <f>'TUSD BE'!$Y$53*'TUSD BE'!$Y$72</f>
        <v>-0.19399114017404059</v>
      </c>
      <c r="Z53" s="31">
        <f>'TUSD BE'!$Z$53*'TUSD BE'!$Z$72</f>
        <v>0</v>
      </c>
      <c r="AA53" s="31">
        <f>'TUSD BE'!$AA$53*'TUSD BE'!$AA$72</f>
        <v>0</v>
      </c>
      <c r="AB53" s="31">
        <f>SUM($U$53:$AA$53)</f>
        <v>0.16739254987512495</v>
      </c>
      <c r="AC53" s="31">
        <f>'TUSD BE'!$AC$53*'TUSD BE'!$AC$72</f>
        <v>0</v>
      </c>
      <c r="AD53" s="31">
        <f>SUM($AC$53:$AC$53)</f>
        <v>0</v>
      </c>
      <c r="AE53" s="31">
        <f ca="1">$AO$53*$AO$69</f>
        <v>-60.157336230834325</v>
      </c>
      <c r="AF53" s="31">
        <f ca="1">$AP$53*$AP$69</f>
        <v>0</v>
      </c>
      <c r="AG53" s="31">
        <f ca="1">SUM($AE$53:$AF$53)</f>
        <v>-60.157336230834325</v>
      </c>
      <c r="AH53" s="31">
        <f>'TUSD BE'!$AH$53*'TUSD BE'!$AH$72</f>
        <v>-3.7564964601171282</v>
      </c>
      <c r="AI53" s="31">
        <f>'TUSD BE'!$AI$53*'TUSD BE'!$AI$72</f>
        <v>-0.11386544591397531</v>
      </c>
      <c r="AJ53" s="31">
        <f ca="1">'TUSD BE'!$AJ$53*'TUSD BE'!$AJ$72</f>
        <v>-1.2721427844464437</v>
      </c>
      <c r="AK53" s="31">
        <f ca="1">'TUSD BE'!$AK$53*'TUSD BE'!$AK$72</f>
        <v>0</v>
      </c>
      <c r="AL53" s="31">
        <f ca="1">SUM($AH$53:$AK$53)</f>
        <v>-5.1425046904775469</v>
      </c>
      <c r="AM53" s="31">
        <f ca="1">SUMIF($L$4:$AL$4,"SUBTOTAL",$L$53:$AL$53)</f>
        <v>-65.53993859803775</v>
      </c>
      <c r="AO53" s="40">
        <f ca="1">+'TUSD BE'!$T$53+'TUSD BE'!$AB$53+'TUSD BE'!$AD$53+'TUSD BE'!$AL$53</f>
        <v>658.41036556434153</v>
      </c>
      <c r="AP53" s="40">
        <f ca="1">+'TUSD BE'!$T$53+'TUSD BE'!$AB$53+'TUSD BE'!$AD$53+'TUSD BE'!$AL$53</f>
        <v>658.41036556434153</v>
      </c>
    </row>
    <row r="54" spans="1:42" ht="11.25" customHeight="1" x14ac:dyDescent="0.25">
      <c r="A54" s="97"/>
      <c r="B54" s="97"/>
      <c r="C54" s="97"/>
      <c r="D54" s="97"/>
      <c r="E54" s="97"/>
      <c r="F54" s="97"/>
      <c r="G54" s="38" t="s">
        <v>104</v>
      </c>
      <c r="H54" s="38" t="s">
        <v>102</v>
      </c>
      <c r="I54" s="38">
        <f>'MERCADO TUSD'!$U$51</f>
        <v>0</v>
      </c>
      <c r="J54" s="15"/>
      <c r="L54" s="31">
        <f>'TUSD BE'!$L$54*'TUSD BE'!$L$72</f>
        <v>-0.10035480456828549</v>
      </c>
      <c r="M54" s="31">
        <f>'TUSD BE'!$M$54*'TUSD BE'!$M$72</f>
        <v>-1.7739620763338095E-2</v>
      </c>
      <c r="N54" s="31">
        <f ca="1">'TUSD BE'!$N$54*'TUSD BE'!$N$72</f>
        <v>0</v>
      </c>
      <c r="O54" s="31">
        <f>'TUSD BE'!$O$54*'TUSD BE'!$O$72</f>
        <v>-4.6268022205212428E-4</v>
      </c>
      <c r="P54" s="31">
        <f>'TUSD BE'!$P$54*'TUSD BE'!$P$72</f>
        <v>0</v>
      </c>
      <c r="Q54" s="31">
        <f>'TUSD BE'!$Q$54*'TUSD BE'!$Q$72</f>
        <v>-0.16051325492535745</v>
      </c>
      <c r="R54" s="31">
        <f>'TUSD BE'!$R$54*'TUSD BE'!$R$72</f>
        <v>-0.12841986612197215</v>
      </c>
      <c r="S54" s="31">
        <f>'TUSD BE'!$R$54*'TUSD BE'!$S$72</f>
        <v>0</v>
      </c>
      <c r="T54" s="31">
        <f ca="1">SUM($L$54:$S$54)</f>
        <v>-0.40749022660100531</v>
      </c>
      <c r="U54" s="31">
        <f>'TUSD BE'!$U$54*'TUSD BE'!$U$72</f>
        <v>0.1204610040976441</v>
      </c>
      <c r="V54" s="31">
        <f>'TUSD BE'!$V$54*'TUSD BE'!$V$72</f>
        <v>0</v>
      </c>
      <c r="W54" s="31">
        <f>'TUSD BE'!$W$54*'TUSD BE'!$W$72</f>
        <v>0</v>
      </c>
      <c r="X54" s="31">
        <f>'TUSD BE'!$X$54*'TUSD BE'!$X$72</f>
        <v>0</v>
      </c>
      <c r="Y54" s="31">
        <f>'TUSD BE'!$Y$54*'TUSD BE'!$Y$72</f>
        <v>-6.4663713391346869E-2</v>
      </c>
      <c r="Z54" s="31">
        <f>'TUSD BE'!$Z$54*'TUSD BE'!$Z$72</f>
        <v>0</v>
      </c>
      <c r="AA54" s="31">
        <f>'TUSD BE'!$AA$54*'TUSD BE'!$AA$72</f>
        <v>0</v>
      </c>
      <c r="AB54" s="31">
        <f>SUM($U$54:$AA$54)</f>
        <v>5.5797290706297228E-2</v>
      </c>
      <c r="AC54" s="31">
        <f>'TUSD BE'!$AC$54*'TUSD BE'!$AC$72</f>
        <v>0</v>
      </c>
      <c r="AD54" s="31">
        <f>SUM($AC$54:$AC$54)</f>
        <v>0</v>
      </c>
      <c r="AE54" s="31">
        <f ca="1">$AO$54*$AO$69</f>
        <v>-26.297746625797735</v>
      </c>
      <c r="AF54" s="31">
        <f ca="1">$AP$54*$AP$69</f>
        <v>0</v>
      </c>
      <c r="AG54" s="31">
        <f ca="1">SUM($AE$54:$AF$54)</f>
        <v>-26.297746625797735</v>
      </c>
      <c r="AH54" s="31">
        <f>'TUSD BE'!$AH$54*'TUSD BE'!$AH$72</f>
        <v>-3.7564964601171282</v>
      </c>
      <c r="AI54" s="31">
        <f>'TUSD BE'!$AI$54*'TUSD BE'!$AI$72</f>
        <v>-0.11386544591397531</v>
      </c>
      <c r="AJ54" s="31">
        <f ca="1">'TUSD BE'!$AJ$54*'TUSD BE'!$AJ$72</f>
        <v>-1.2721427844464437</v>
      </c>
      <c r="AK54" s="31">
        <f ca="1">'TUSD BE'!$AK$54*'TUSD BE'!$AK$72</f>
        <v>0</v>
      </c>
      <c r="AL54" s="31">
        <f ca="1">SUM($AH$54:$AK$54)</f>
        <v>-5.1425046904775469</v>
      </c>
      <c r="AM54" s="31">
        <f ca="1">SUMIF($L$4:$AL$4,"SUBTOTAL",$L$54:$AL$54)</f>
        <v>-31.791944252169991</v>
      </c>
      <c r="AO54" s="40">
        <f ca="1">+'TUSD BE'!$T$54+'TUSD BE'!$AB$54+'TUSD BE'!$AD$54+'TUSD BE'!$AL$54</f>
        <v>287.82373114012762</v>
      </c>
      <c r="AP54" s="40">
        <f ca="1">+'TUSD BE'!$T$54+'TUSD BE'!$AB$54+'TUSD BE'!$AD$54+'TUSD BE'!$AL$54</f>
        <v>287.82373114012762</v>
      </c>
    </row>
    <row r="55" spans="1:42" ht="11.25" customHeight="1" x14ac:dyDescent="0.25">
      <c r="A55" s="97"/>
      <c r="B55" s="37" t="s">
        <v>23</v>
      </c>
      <c r="C55" s="37" t="s">
        <v>45</v>
      </c>
      <c r="D55" s="37" t="s">
        <v>117</v>
      </c>
      <c r="E55" s="37" t="s">
        <v>25</v>
      </c>
      <c r="F55" s="37" t="s">
        <v>25</v>
      </c>
      <c r="G55" s="38" t="s">
        <v>108</v>
      </c>
      <c r="H55" s="38" t="s">
        <v>102</v>
      </c>
      <c r="I55" s="38">
        <f>'MERCADO TUSD'!$U$52</f>
        <v>0</v>
      </c>
      <c r="J55" s="15"/>
      <c r="L55" s="31">
        <f>'TUSD BE'!$L$55*'TUSD BE'!$L$72</f>
        <v>-0.10035480456828549</v>
      </c>
      <c r="M55" s="31">
        <f>'TUSD BE'!$M$55*'TUSD BE'!$M$72</f>
        <v>-1.7739620763338095E-2</v>
      </c>
      <c r="N55" s="31">
        <f ca="1">'TUSD BE'!$N$55*'TUSD BE'!$N$72</f>
        <v>0</v>
      </c>
      <c r="O55" s="31">
        <f>'TUSD BE'!$O$55*'TUSD BE'!$O$72</f>
        <v>-4.6268022205212428E-4</v>
      </c>
      <c r="P55" s="31">
        <f>'TUSD BE'!$P$55*'TUSD BE'!$P$72</f>
        <v>0</v>
      </c>
      <c r="Q55" s="31">
        <f>'TUSD BE'!$Q$55*'TUSD BE'!$Q$72</f>
        <v>-0.16051325492535745</v>
      </c>
      <c r="R55" s="31">
        <f>'TUSD BE'!$R$55*'TUSD BE'!$R$72</f>
        <v>-0.12841986612197215</v>
      </c>
      <c r="S55" s="31">
        <f>'TUSD BE'!$R$55*'TUSD BE'!$S$72</f>
        <v>0</v>
      </c>
      <c r="T55" s="31">
        <f ca="1">SUM($L$55:$S$55)</f>
        <v>-0.40749022660100531</v>
      </c>
      <c r="U55" s="31">
        <f>'TUSD BE'!$U$55*'TUSD BE'!$U$72</f>
        <v>0.17979314025943535</v>
      </c>
      <c r="V55" s="31">
        <f>'TUSD BE'!$V$55*'TUSD BE'!$V$72</f>
        <v>0</v>
      </c>
      <c r="W55" s="31">
        <f>'TUSD BE'!$W$55*'TUSD BE'!$W$72</f>
        <v>0</v>
      </c>
      <c r="X55" s="31">
        <f>'TUSD BE'!$X$55*'TUSD BE'!$X$72</f>
        <v>0</v>
      </c>
      <c r="Y55" s="31">
        <f>'TUSD BE'!$Y$55*'TUSD BE'!$Y$72</f>
        <v>-9.6513351085679419E-2</v>
      </c>
      <c r="Z55" s="31">
        <f>'TUSD BE'!$Z$55*'TUSD BE'!$Z$72</f>
        <v>0</v>
      </c>
      <c r="AA55" s="31">
        <f>'TUSD BE'!$AA$55*'TUSD BE'!$AA$72</f>
        <v>0</v>
      </c>
      <c r="AB55" s="31">
        <f>SUM($U$55:$AA$55)</f>
        <v>8.3279789173755933E-2</v>
      </c>
      <c r="AC55" s="31">
        <f>'TUSD BE'!$AC$55*'TUSD BE'!$AC$72</f>
        <v>0</v>
      </c>
      <c r="AD55" s="31">
        <f>SUM($AC$55:$AC$55)</f>
        <v>0</v>
      </c>
      <c r="AE55" s="31">
        <f ca="1">$AO$55*$AO$69</f>
        <v>-34.636309155386371</v>
      </c>
      <c r="AF55" s="31">
        <f ca="1">$AP$55*$AP$69</f>
        <v>0</v>
      </c>
      <c r="AG55" s="31">
        <f ca="1">SUM($AE$55:$AF$55)</f>
        <v>-34.636309155386371</v>
      </c>
      <c r="AH55" s="31">
        <f>'TUSD BE'!$AH$55*'TUSD BE'!$AH$72</f>
        <v>-3.7564964601171282</v>
      </c>
      <c r="AI55" s="31">
        <f>'TUSD BE'!$AI$55*'TUSD BE'!$AI$72</f>
        <v>-0.11386544591397531</v>
      </c>
      <c r="AJ55" s="31">
        <f ca="1">'TUSD BE'!$AJ$55*'TUSD BE'!$AJ$72</f>
        <v>-1.2721427844464437</v>
      </c>
      <c r="AK55" s="31">
        <f ca="1">'TUSD BE'!$AK$55*'TUSD BE'!$AK$72</f>
        <v>0</v>
      </c>
      <c r="AL55" s="31">
        <f ca="1">SUM($AH$55:$AK$55)</f>
        <v>-5.1425046904775469</v>
      </c>
      <c r="AM55" s="31">
        <f ca="1">SUMIF($L$4:$AL$4,"SUBTOTAL",$L$55:$AL$55)</f>
        <v>-40.103024283291163</v>
      </c>
      <c r="AO55" s="40">
        <f ca="1">+'TUSD BE'!$T$55+'TUSD BE'!$AB$55+'TUSD BE'!$AD$55+'TUSD BE'!$AL$55</f>
        <v>379.0876791035268</v>
      </c>
      <c r="AP55" s="40">
        <f ca="1">+'TUSD BE'!$T$55+'TUSD BE'!$AB$55+'TUSD BE'!$AD$55+'TUSD BE'!$AL$55</f>
        <v>379.0876791035268</v>
      </c>
    </row>
    <row r="56" spans="1:42" ht="11.25" customHeight="1" x14ac:dyDescent="0.25">
      <c r="A56" s="97"/>
      <c r="B56" s="97" t="s">
        <v>115</v>
      </c>
      <c r="C56" s="97" t="s">
        <v>45</v>
      </c>
      <c r="D56" s="37" t="s">
        <v>25</v>
      </c>
      <c r="E56" s="37" t="s">
        <v>25</v>
      </c>
      <c r="F56" s="37" t="s">
        <v>25</v>
      </c>
      <c r="G56" s="38" t="s">
        <v>108</v>
      </c>
      <c r="H56" s="38" t="s">
        <v>102</v>
      </c>
      <c r="I56" s="38">
        <f>'MERCADO TUSD'!$U$53</f>
        <v>0</v>
      </c>
      <c r="J56" s="15"/>
      <c r="L56" s="31">
        <f>'TUSD BE'!$L$56*'TUSD BE'!$L$72</f>
        <v>-0.10035480456828549</v>
      </c>
      <c r="M56" s="31">
        <f>'TUSD BE'!$M$56*'TUSD BE'!$M$72</f>
        <v>-1.7739620763338095E-2</v>
      </c>
      <c r="N56" s="31">
        <f ca="1">'TUSD BE'!$N$56*'TUSD BE'!$N$72</f>
        <v>0</v>
      </c>
      <c r="O56" s="31">
        <f>'TUSD BE'!$O$56*'TUSD BE'!$O$72</f>
        <v>-4.6268022205212428E-4</v>
      </c>
      <c r="P56" s="31">
        <f>'TUSD BE'!$P$56*'TUSD BE'!$P$72</f>
        <v>0</v>
      </c>
      <c r="Q56" s="31">
        <f>'TUSD BE'!$Q$56*'TUSD BE'!$Q$72</f>
        <v>-0.16051325492535745</v>
      </c>
      <c r="R56" s="31">
        <f>'TUSD BE'!$R$56*'TUSD BE'!$R$72</f>
        <v>-0.12841986612197215</v>
      </c>
      <c r="S56" s="31">
        <f>'TUSD BE'!$R$56*'TUSD BE'!$S$72</f>
        <v>0</v>
      </c>
      <c r="T56" s="31">
        <f ca="1">SUM($L$56:$S$56)</f>
        <v>-0.40749022660100531</v>
      </c>
      <c r="U56" s="31">
        <f>'TUSD BE'!$U$56*'TUSD BE'!$U$72</f>
        <v>0.17979314025943535</v>
      </c>
      <c r="V56" s="31">
        <f>'TUSD BE'!$V$56*'TUSD BE'!$V$72</f>
        <v>0</v>
      </c>
      <c r="W56" s="31">
        <f>'TUSD BE'!$W$56*'TUSD BE'!$W$72</f>
        <v>0</v>
      </c>
      <c r="X56" s="31">
        <f>'TUSD BE'!$X$56*'TUSD BE'!$X$72</f>
        <v>0</v>
      </c>
      <c r="Y56" s="31">
        <f>'TUSD BE'!$Y$56*'TUSD BE'!$Y$72</f>
        <v>-9.6513351085679419E-2</v>
      </c>
      <c r="Z56" s="31">
        <f>'TUSD BE'!$Z$56*'TUSD BE'!$Z$72</f>
        <v>0</v>
      </c>
      <c r="AA56" s="31">
        <f>'TUSD BE'!$AA$56*'TUSD BE'!$AA$72</f>
        <v>0</v>
      </c>
      <c r="AB56" s="31">
        <f>SUM($U$56:$AA$56)</f>
        <v>8.3279789173755933E-2</v>
      </c>
      <c r="AC56" s="31">
        <f>'TUSD BE'!$AC$56*'TUSD BE'!$AC$72</f>
        <v>0</v>
      </c>
      <c r="AD56" s="31">
        <f>SUM($AC$56:$AC$56)</f>
        <v>0</v>
      </c>
      <c r="AE56" s="31">
        <f ca="1">$AO$56*$AO$69</f>
        <v>-34.636309155386371</v>
      </c>
      <c r="AF56" s="31">
        <f ca="1">$AP$56*$AP$69</f>
        <v>0</v>
      </c>
      <c r="AG56" s="31">
        <f ca="1">SUM($AE$56:$AF$56)</f>
        <v>-34.636309155386371</v>
      </c>
      <c r="AH56" s="31">
        <f>'TUSD BE'!$AH$56*'TUSD BE'!$AH$72</f>
        <v>-3.7564964601171282</v>
      </c>
      <c r="AI56" s="31">
        <f>'TUSD BE'!$AI$56*'TUSD BE'!$AI$72</f>
        <v>-0.11386544591397531</v>
      </c>
      <c r="AJ56" s="31">
        <f ca="1">'TUSD BE'!$AJ$56*'TUSD BE'!$AJ$72</f>
        <v>-1.2721427844464437</v>
      </c>
      <c r="AK56" s="31">
        <f ca="1">'TUSD BE'!$AK$56*'TUSD BE'!$AK$72</f>
        <v>0</v>
      </c>
      <c r="AL56" s="31">
        <f ca="1">SUM($AH$56:$AK$56)</f>
        <v>-5.1425046904775469</v>
      </c>
      <c r="AM56" s="31">
        <f ca="1">SUMIF($L$4:$AL$4,"SUBTOTAL",$L$56:$AL$56)</f>
        <v>-40.103024283291163</v>
      </c>
      <c r="AO56" s="40">
        <f ca="1">+'TUSD BE'!$T$56+'TUSD BE'!$AB$56+'TUSD BE'!$AD$56+'TUSD BE'!$AL$56</f>
        <v>379.0876791035268</v>
      </c>
      <c r="AP56" s="40">
        <f ca="1">+'TUSD BE'!$T$56+'TUSD BE'!$AB$56+'TUSD BE'!$AD$56+'TUSD BE'!$AL$56</f>
        <v>379.0876791035268</v>
      </c>
    </row>
    <row r="57" spans="1:42" ht="11.25" customHeight="1" x14ac:dyDescent="0.25">
      <c r="A57" s="97"/>
      <c r="B57" s="97"/>
      <c r="C57" s="97"/>
      <c r="D57" s="37" t="s">
        <v>116</v>
      </c>
      <c r="E57" s="37" t="s">
        <v>25</v>
      </c>
      <c r="F57" s="37" t="s">
        <v>25</v>
      </c>
      <c r="G57" s="38" t="s">
        <v>108</v>
      </c>
      <c r="H57" s="38" t="s">
        <v>102</v>
      </c>
      <c r="I57" s="38">
        <f>'MERCADO TUSD'!$U$54</f>
        <v>0</v>
      </c>
      <c r="J57" s="15"/>
      <c r="L57" s="31">
        <f>'TUSD BE'!$L$57*'TUSD BE'!$L$72</f>
        <v>-0.10035480456828549</v>
      </c>
      <c r="M57" s="31">
        <f>'TUSD BE'!$M$57*'TUSD BE'!$M$72</f>
        <v>-1.7739620763338095E-2</v>
      </c>
      <c r="N57" s="31">
        <f ca="1">'TUSD BE'!$N$57*'TUSD BE'!$N$72</f>
        <v>0</v>
      </c>
      <c r="O57" s="31">
        <f>'TUSD BE'!$O$57*'TUSD BE'!$O$72</f>
        <v>-4.6268022205212428E-4</v>
      </c>
      <c r="P57" s="31">
        <f>'TUSD BE'!$P$57*'TUSD BE'!$P$72</f>
        <v>0</v>
      </c>
      <c r="Q57" s="31">
        <f>'TUSD BE'!$Q$57*'TUSD BE'!$Q$72</f>
        <v>-0.16051325492535745</v>
      </c>
      <c r="R57" s="31">
        <f>'TUSD BE'!$R$57*'TUSD BE'!$R$72</f>
        <v>-0.12841986612197215</v>
      </c>
      <c r="S57" s="31">
        <f>'TUSD BE'!$R$57*'TUSD BE'!$S$72</f>
        <v>0</v>
      </c>
      <c r="T57" s="31">
        <f ca="1">SUM($L$57:$S$57)</f>
        <v>-0.40749022660100531</v>
      </c>
      <c r="U57" s="31">
        <f>'TUSD BE'!$U$57*'TUSD BE'!$U$72</f>
        <v>0.17979314025943535</v>
      </c>
      <c r="V57" s="31">
        <f>'TUSD BE'!$V$57*'TUSD BE'!$V$72</f>
        <v>0</v>
      </c>
      <c r="W57" s="31">
        <f>'TUSD BE'!$W$57*'TUSD BE'!$W$72</f>
        <v>0</v>
      </c>
      <c r="X57" s="31">
        <f>'TUSD BE'!$X$57*'TUSD BE'!$X$72</f>
        <v>0</v>
      </c>
      <c r="Y57" s="31">
        <f>'TUSD BE'!$Y$57*'TUSD BE'!$Y$72</f>
        <v>-9.6513351085679419E-2</v>
      </c>
      <c r="Z57" s="31">
        <f>'TUSD BE'!$Z$57*'TUSD BE'!$Z$72</f>
        <v>0</v>
      </c>
      <c r="AA57" s="31">
        <f>'TUSD BE'!$AA$57*'TUSD BE'!$AA$72</f>
        <v>0</v>
      </c>
      <c r="AB57" s="31">
        <f>SUM($U$57:$AA$57)</f>
        <v>8.3279789173755933E-2</v>
      </c>
      <c r="AC57" s="31">
        <f>'TUSD BE'!$AC$57*'TUSD BE'!$AC$72</f>
        <v>0</v>
      </c>
      <c r="AD57" s="31">
        <f>SUM($AC$57:$AC$57)</f>
        <v>0</v>
      </c>
      <c r="AE57" s="31">
        <f ca="1">$AO$57*$AO$69</f>
        <v>-34.636309155386371</v>
      </c>
      <c r="AF57" s="31">
        <f ca="1">$AP$57*$AP$69</f>
        <v>0</v>
      </c>
      <c r="AG57" s="31">
        <f ca="1">SUM($AE$57:$AF$57)</f>
        <v>-34.636309155386371</v>
      </c>
      <c r="AH57" s="31">
        <f>'TUSD BE'!$AH$57*'TUSD BE'!$AH$72</f>
        <v>-3.7564964601171282</v>
      </c>
      <c r="AI57" s="31">
        <f>'TUSD BE'!$AI$57*'TUSD BE'!$AI$72</f>
        <v>-0.11386544591397531</v>
      </c>
      <c r="AJ57" s="31">
        <f ca="1">'TUSD BE'!$AJ$57*'TUSD BE'!$AJ$72</f>
        <v>-1.2721427844464437</v>
      </c>
      <c r="AK57" s="31">
        <f ca="1">'TUSD BE'!$AK$57*'TUSD BE'!$AK$72</f>
        <v>0</v>
      </c>
      <c r="AL57" s="31">
        <f ca="1">SUM($AH$57:$AK$57)</f>
        <v>-5.1425046904775469</v>
      </c>
      <c r="AM57" s="31">
        <f ca="1">SUMIF($L$4:$AL$4,"SUBTOTAL",$L$57:$AL$57)</f>
        <v>-40.103024283291163</v>
      </c>
      <c r="AO57" s="40">
        <f ca="1">+'TUSD BE'!$T$57+'TUSD BE'!$AB$57+'TUSD BE'!$AD$57+'TUSD BE'!$AL$57</f>
        <v>379.0876791035268</v>
      </c>
      <c r="AP57" s="40">
        <f ca="1">+'TUSD BE'!$T$57+'TUSD BE'!$AB$57+'TUSD BE'!$AD$57+'TUSD BE'!$AL$57</f>
        <v>379.0876791035268</v>
      </c>
    </row>
    <row r="58" spans="1:42" ht="11.25" customHeight="1" x14ac:dyDescent="0.25">
      <c r="A58" s="97"/>
      <c r="B58" s="97"/>
      <c r="C58" s="97"/>
      <c r="D58" s="37" t="s">
        <v>117</v>
      </c>
      <c r="E58" s="37" t="s">
        <v>25</v>
      </c>
      <c r="F58" s="37" t="s">
        <v>25</v>
      </c>
      <c r="G58" s="38" t="s">
        <v>108</v>
      </c>
      <c r="H58" s="38" t="s">
        <v>102</v>
      </c>
      <c r="I58" s="38">
        <f>'MERCADO TUSD'!$U$55</f>
        <v>0</v>
      </c>
      <c r="J58" s="15"/>
      <c r="L58" s="31">
        <f>'TUSD BE'!$L$58*'TUSD BE'!$L$72</f>
        <v>-0.10035480456828549</v>
      </c>
      <c r="M58" s="31">
        <f>'TUSD BE'!$M$58*'TUSD BE'!$M$72</f>
        <v>-1.7739620763338095E-2</v>
      </c>
      <c r="N58" s="31">
        <f ca="1">'TUSD BE'!$N$58*'TUSD BE'!$N$72</f>
        <v>0</v>
      </c>
      <c r="O58" s="31">
        <f>'TUSD BE'!$O$58*'TUSD BE'!$O$72</f>
        <v>-4.6268022205212428E-4</v>
      </c>
      <c r="P58" s="31">
        <f>'TUSD BE'!$P$58*'TUSD BE'!$P$72</f>
        <v>0</v>
      </c>
      <c r="Q58" s="31">
        <f>'TUSD BE'!$Q$58*'TUSD BE'!$Q$72</f>
        <v>-0.16051325492535745</v>
      </c>
      <c r="R58" s="31">
        <f>'TUSD BE'!$R$58*'TUSD BE'!$R$72</f>
        <v>-0.12841986612197215</v>
      </c>
      <c r="S58" s="31">
        <f>'TUSD BE'!$R$58*'TUSD BE'!$S$72</f>
        <v>0</v>
      </c>
      <c r="T58" s="31">
        <f ca="1">SUM($L$58:$S$58)</f>
        <v>-0.40749022660100531</v>
      </c>
      <c r="U58" s="31">
        <f>'TUSD BE'!$U$58*'TUSD BE'!$U$72</f>
        <v>0.17979314025943535</v>
      </c>
      <c r="V58" s="31">
        <f>'TUSD BE'!$V$58*'TUSD BE'!$V$72</f>
        <v>0</v>
      </c>
      <c r="W58" s="31">
        <f>'TUSD BE'!$W$58*'TUSD BE'!$W$72</f>
        <v>0</v>
      </c>
      <c r="X58" s="31">
        <f>'TUSD BE'!$X$58*'TUSD BE'!$X$72</f>
        <v>0</v>
      </c>
      <c r="Y58" s="31">
        <f>'TUSD BE'!$Y$58*'TUSD BE'!$Y$72</f>
        <v>-9.6513351085679419E-2</v>
      </c>
      <c r="Z58" s="31">
        <f>'TUSD BE'!$Z$58*'TUSD BE'!$Z$72</f>
        <v>0</v>
      </c>
      <c r="AA58" s="31">
        <f>'TUSD BE'!$AA$58*'TUSD BE'!$AA$72</f>
        <v>0</v>
      </c>
      <c r="AB58" s="31">
        <f>SUM($U$58:$AA$58)</f>
        <v>8.3279789173755933E-2</v>
      </c>
      <c r="AC58" s="31">
        <f>'TUSD BE'!$AC$58*'TUSD BE'!$AC$72</f>
        <v>0</v>
      </c>
      <c r="AD58" s="31">
        <f>SUM($AC$58:$AC$58)</f>
        <v>0</v>
      </c>
      <c r="AE58" s="31">
        <f ca="1">$AO$58*$AO$69</f>
        <v>-34.636309155386371</v>
      </c>
      <c r="AF58" s="31">
        <f ca="1">$AP$58*$AP$69</f>
        <v>0</v>
      </c>
      <c r="AG58" s="31">
        <f ca="1">SUM($AE$58:$AF$58)</f>
        <v>-34.636309155386371</v>
      </c>
      <c r="AH58" s="31">
        <f>'TUSD BE'!$AH$58*'TUSD BE'!$AH$72</f>
        <v>-3.7564964601171282</v>
      </c>
      <c r="AI58" s="31">
        <f>'TUSD BE'!$AI$58*'TUSD BE'!$AI$72</f>
        <v>-0.11386544591397531</v>
      </c>
      <c r="AJ58" s="31">
        <f ca="1">'TUSD BE'!$AJ$58*'TUSD BE'!$AJ$72</f>
        <v>-1.2721427844464437</v>
      </c>
      <c r="AK58" s="31">
        <f ca="1">'TUSD BE'!$AK$58*'TUSD BE'!$AK$72</f>
        <v>0</v>
      </c>
      <c r="AL58" s="31">
        <f ca="1">SUM($AH$58:$AK$58)</f>
        <v>-5.1425046904775469</v>
      </c>
      <c r="AM58" s="31">
        <f ca="1">SUMIF($L$4:$AL$4,"SUBTOTAL",$L$58:$AL$58)</f>
        <v>-40.103024283291163</v>
      </c>
      <c r="AO58" s="40">
        <f ca="1">+'TUSD BE'!$T$58+'TUSD BE'!$AB$58+'TUSD BE'!$AD$58+'TUSD BE'!$AL$58</f>
        <v>379.0876791035268</v>
      </c>
      <c r="AP58" s="40">
        <f ca="1">+'TUSD BE'!$T$58+'TUSD BE'!$AB$58+'TUSD BE'!$AD$58+'TUSD BE'!$AL$58</f>
        <v>379.0876791035268</v>
      </c>
    </row>
    <row r="59" spans="1:42" ht="11.25" customHeight="1" x14ac:dyDescent="0.25">
      <c r="A59" s="97" t="s">
        <v>37</v>
      </c>
      <c r="B59" s="97" t="s">
        <v>33</v>
      </c>
      <c r="C59" s="97" t="s">
        <v>25</v>
      </c>
      <c r="D59" s="97" t="s">
        <v>25</v>
      </c>
      <c r="E59" s="97" t="s">
        <v>25</v>
      </c>
      <c r="F59" s="97" t="s">
        <v>25</v>
      </c>
      <c r="G59" s="38" t="s">
        <v>103</v>
      </c>
      <c r="H59" s="38" t="s">
        <v>102</v>
      </c>
      <c r="I59" s="38">
        <f>'MERCADO TUSD'!$U$56</f>
        <v>54.588999999999999</v>
      </c>
      <c r="J59" s="15"/>
      <c r="L59" s="31">
        <f>'TUSD BE'!$L$59*'TUSD BE'!$L$72</f>
        <v>-0.10035480456828549</v>
      </c>
      <c r="M59" s="31">
        <f>'TUSD BE'!$M$59*'TUSD BE'!$M$72</f>
        <v>-1.7739620763338095E-2</v>
      </c>
      <c r="N59" s="31">
        <f ca="1">'TUSD BE'!$N$59*'TUSD BE'!$N$72</f>
        <v>0</v>
      </c>
      <c r="O59" s="31">
        <f>'TUSD BE'!$O$59*'TUSD BE'!$O$72</f>
        <v>-4.6268022205212428E-4</v>
      </c>
      <c r="P59" s="31">
        <f>'TUSD BE'!$P$59*'TUSD BE'!$P$72</f>
        <v>0</v>
      </c>
      <c r="Q59" s="31">
        <f>'TUSD BE'!$Q$59*'TUSD BE'!$Q$72</f>
        <v>-0.16051325492535745</v>
      </c>
      <c r="R59" s="31">
        <f>'TUSD BE'!$R$59*'TUSD BE'!$R$72</f>
        <v>-0.12841986612197215</v>
      </c>
      <c r="S59" s="31">
        <f>'TUSD BE'!$R$59*'TUSD BE'!$S$72</f>
        <v>0</v>
      </c>
      <c r="T59" s="31">
        <f ca="1">SUM($L$59:$S$59)</f>
        <v>-0.40749022660100531</v>
      </c>
      <c r="U59" s="31">
        <f>'TUSD BE'!$U$59*'TUSD BE'!$U$72</f>
        <v>0.61129545692086051</v>
      </c>
      <c r="V59" s="31">
        <f>'TUSD BE'!$V$59*'TUSD BE'!$V$72</f>
        <v>0</v>
      </c>
      <c r="W59" s="31">
        <f>'TUSD BE'!$W$59*'TUSD BE'!$W$72</f>
        <v>0</v>
      </c>
      <c r="X59" s="31">
        <f>'TUSD BE'!$X$59*'TUSD BE'!$X$72</f>
        <v>0</v>
      </c>
      <c r="Y59" s="31">
        <f>'TUSD BE'!$Y$59*'TUSD BE'!$Y$72</f>
        <v>-0.32814539369131002</v>
      </c>
      <c r="Z59" s="31">
        <f>'TUSD BE'!$Z$59*'TUSD BE'!$Z$72</f>
        <v>0</v>
      </c>
      <c r="AA59" s="31">
        <f>'TUSD BE'!$AA$59*'TUSD BE'!$AA$72</f>
        <v>0</v>
      </c>
      <c r="AB59" s="31">
        <f>SUM($U$59:$AA$59)</f>
        <v>0.2831500632295505</v>
      </c>
      <c r="AC59" s="31">
        <f>'TUSD BE'!$AC$59*'TUSD BE'!$AC$72</f>
        <v>0</v>
      </c>
      <c r="AD59" s="31">
        <f>SUM($AC$59:$AC$59)</f>
        <v>0</v>
      </c>
      <c r="AE59" s="31">
        <f ca="1">$AO$59*$AO$69</f>
        <v>-95.280321022198976</v>
      </c>
      <c r="AF59" s="31">
        <f ca="1">$AP$59*$AP$69</f>
        <v>0</v>
      </c>
      <c r="AG59" s="31">
        <f ca="1">SUM($AE$59:$AF$59)</f>
        <v>-95.280321022198976</v>
      </c>
      <c r="AH59" s="31">
        <f>'TUSD BE'!$AH$59*'TUSD BE'!$AH$72</f>
        <v>-3.7564964601171282</v>
      </c>
      <c r="AI59" s="31">
        <f>'TUSD BE'!$AI$59*'TUSD BE'!$AI$72</f>
        <v>-0.11386544591397531</v>
      </c>
      <c r="AJ59" s="31">
        <f ca="1">'TUSD BE'!$AJ$59*'TUSD BE'!$AJ$72</f>
        <v>-1.2721427844464437</v>
      </c>
      <c r="AK59" s="31">
        <f ca="1">'TUSD BE'!$AK$59*'TUSD BE'!$AK$72</f>
        <v>0</v>
      </c>
      <c r="AL59" s="31">
        <f ca="1">SUM($AH$59:$AK$59)</f>
        <v>-5.1425046904775469</v>
      </c>
      <c r="AM59" s="31">
        <f ca="1">SUMIF($L$4:$AL$4,"SUBTOTAL",$L$59:$AL$59)</f>
        <v>-100.54716587604798</v>
      </c>
      <c r="AO59" s="40">
        <f ca="1">+'TUSD BE'!$T$59+'TUSD BE'!$AB$59+'TUSD BE'!$AD$59+'TUSD BE'!$AL$59</f>
        <v>1042.8246150160992</v>
      </c>
      <c r="AP59" s="40">
        <f ca="1">+'TUSD BE'!$T$59+'TUSD BE'!$AB$59+'TUSD BE'!$AD$59+'TUSD BE'!$AL$59</f>
        <v>1042.8246150160992</v>
      </c>
    </row>
    <row r="60" spans="1:42" ht="11.25" customHeight="1" x14ac:dyDescent="0.25">
      <c r="A60" s="97"/>
      <c r="B60" s="97"/>
      <c r="C60" s="97"/>
      <c r="D60" s="97"/>
      <c r="E60" s="97"/>
      <c r="F60" s="97"/>
      <c r="G60" s="38" t="s">
        <v>113</v>
      </c>
      <c r="H60" s="38" t="s">
        <v>102</v>
      </c>
      <c r="I60" s="38">
        <f>'MERCADO TUSD'!$U$57</f>
        <v>66.038999999999987</v>
      </c>
      <c r="J60" s="15"/>
      <c r="L60" s="31">
        <f>'TUSD BE'!$L$60*'TUSD BE'!$L$72</f>
        <v>-0.10035480456828549</v>
      </c>
      <c r="M60" s="31">
        <f>'TUSD BE'!$M$60*'TUSD BE'!$M$72</f>
        <v>-1.7739620763338095E-2</v>
      </c>
      <c r="N60" s="31">
        <f ca="1">'TUSD BE'!$N$60*'TUSD BE'!$N$72</f>
        <v>0</v>
      </c>
      <c r="O60" s="31">
        <f>'TUSD BE'!$O$60*'TUSD BE'!$O$72</f>
        <v>-4.6268022205212428E-4</v>
      </c>
      <c r="P60" s="31">
        <f>'TUSD BE'!$P$60*'TUSD BE'!$P$72</f>
        <v>0</v>
      </c>
      <c r="Q60" s="31">
        <f>'TUSD BE'!$Q$60*'TUSD BE'!$Q$72</f>
        <v>-0.16051325492535745</v>
      </c>
      <c r="R60" s="31">
        <f>'TUSD BE'!$R$60*'TUSD BE'!$R$72</f>
        <v>-0.12841986612197215</v>
      </c>
      <c r="S60" s="31">
        <f>'TUSD BE'!$R$60*'TUSD BE'!$S$72</f>
        <v>0</v>
      </c>
      <c r="T60" s="31">
        <f ca="1">SUM($L$60:$S$60)</f>
        <v>-0.40749022660100531</v>
      </c>
      <c r="U60" s="31">
        <f>'TUSD BE'!$U$60*'TUSD BE'!$U$72</f>
        <v>0.36677727415251626</v>
      </c>
      <c r="V60" s="31">
        <f>'TUSD BE'!$V$60*'TUSD BE'!$V$72</f>
        <v>0</v>
      </c>
      <c r="W60" s="31">
        <f>'TUSD BE'!$W$60*'TUSD BE'!$W$72</f>
        <v>0</v>
      </c>
      <c r="X60" s="31">
        <f>'TUSD BE'!$X$60*'TUSD BE'!$X$72</f>
        <v>0</v>
      </c>
      <c r="Y60" s="31">
        <f>'TUSD BE'!$Y$60*'TUSD BE'!$Y$72</f>
        <v>-0.19688445418208597</v>
      </c>
      <c r="Z60" s="31">
        <f>'TUSD BE'!$Z$60*'TUSD BE'!$Z$72</f>
        <v>0</v>
      </c>
      <c r="AA60" s="31">
        <f>'TUSD BE'!$AA$60*'TUSD BE'!$AA$72</f>
        <v>0</v>
      </c>
      <c r="AB60" s="31">
        <f>SUM($U$60:$AA$60)</f>
        <v>0.16989281997043029</v>
      </c>
      <c r="AC60" s="31">
        <f>'TUSD BE'!$AC$60*'TUSD BE'!$AC$72</f>
        <v>0</v>
      </c>
      <c r="AD60" s="31">
        <f>SUM($AC$60:$AC$60)</f>
        <v>0</v>
      </c>
      <c r="AE60" s="31">
        <f ca="1">$AO$60*$AO$69</f>
        <v>-60.915386973818919</v>
      </c>
      <c r="AF60" s="31">
        <f ca="1">$AP$60*$AP$69</f>
        <v>0</v>
      </c>
      <c r="AG60" s="31">
        <f ca="1">SUM($AE$60:$AF$60)</f>
        <v>-60.915386973818919</v>
      </c>
      <c r="AH60" s="31">
        <f>'TUSD BE'!$AH$60*'TUSD BE'!$AH$72</f>
        <v>-3.7564964601171282</v>
      </c>
      <c r="AI60" s="31">
        <f>'TUSD BE'!$AI$60*'TUSD BE'!$AI$72</f>
        <v>-0.11386544591397531</v>
      </c>
      <c r="AJ60" s="31">
        <f ca="1">'TUSD BE'!$AJ$60*'TUSD BE'!$AJ$72</f>
        <v>-1.2721427844464437</v>
      </c>
      <c r="AK60" s="31">
        <f ca="1">'TUSD BE'!$AK$60*'TUSD BE'!$AK$72</f>
        <v>0</v>
      </c>
      <c r="AL60" s="31">
        <f ca="1">SUM($AH$60:$AK$60)</f>
        <v>-5.1425046904775469</v>
      </c>
      <c r="AM60" s="31">
        <f ca="1">SUMIF($L$4:$AL$4,"SUBTOTAL",$L$60:$AL$60)</f>
        <v>-66.295489070927047</v>
      </c>
      <c r="AO60" s="40">
        <f ca="1">+'TUSD BE'!$T$60+'TUSD BE'!$AB$60+'TUSD BE'!$AD$60+'TUSD BE'!$AL$60</f>
        <v>666.70708377157132</v>
      </c>
      <c r="AP60" s="40">
        <f ca="1">+'TUSD BE'!$T$60+'TUSD BE'!$AB$60+'TUSD BE'!$AD$60+'TUSD BE'!$AL$60</f>
        <v>666.70708377157132</v>
      </c>
    </row>
    <row r="61" spans="1:42" ht="11.25" customHeight="1" x14ac:dyDescent="0.25">
      <c r="A61" s="97"/>
      <c r="B61" s="97"/>
      <c r="C61" s="97"/>
      <c r="D61" s="97"/>
      <c r="E61" s="97"/>
      <c r="F61" s="97"/>
      <c r="G61" s="38" t="s">
        <v>104</v>
      </c>
      <c r="H61" s="38" t="s">
        <v>102</v>
      </c>
      <c r="I61" s="38">
        <f>'MERCADO TUSD'!$U$58</f>
        <v>1004.5179999999999</v>
      </c>
      <c r="J61" s="15"/>
      <c r="L61" s="31">
        <f>'TUSD BE'!$L$61*'TUSD BE'!$L$72</f>
        <v>-0.10035480456828549</v>
      </c>
      <c r="M61" s="31">
        <f>'TUSD BE'!$M$61*'TUSD BE'!$M$72</f>
        <v>-1.7739620763338095E-2</v>
      </c>
      <c r="N61" s="31">
        <f ca="1">'TUSD BE'!$N$61*'TUSD BE'!$N$72</f>
        <v>0</v>
      </c>
      <c r="O61" s="31">
        <f>'TUSD BE'!$O$61*'TUSD BE'!$O$72</f>
        <v>-4.6268022205212428E-4</v>
      </c>
      <c r="P61" s="31">
        <f>'TUSD BE'!$P$61*'TUSD BE'!$P$72</f>
        <v>0</v>
      </c>
      <c r="Q61" s="31">
        <f>'TUSD BE'!$Q$61*'TUSD BE'!$Q$72</f>
        <v>-0.16051325492535745</v>
      </c>
      <c r="R61" s="31">
        <f>'TUSD BE'!$R$61*'TUSD BE'!$R$72</f>
        <v>-0.12841986612197215</v>
      </c>
      <c r="S61" s="31">
        <f>'TUSD BE'!$R$61*'TUSD BE'!$S$72</f>
        <v>0</v>
      </c>
      <c r="T61" s="31">
        <f ca="1">SUM($L$61:$S$61)</f>
        <v>-0.40749022660100531</v>
      </c>
      <c r="U61" s="31">
        <f>'TUSD BE'!$U$61*'TUSD BE'!$U$72</f>
        <v>0.12225909138417208</v>
      </c>
      <c r="V61" s="31">
        <f>'TUSD BE'!$V$61*'TUSD BE'!$V$72</f>
        <v>0</v>
      </c>
      <c r="W61" s="31">
        <f>'TUSD BE'!$W$61*'TUSD BE'!$W$72</f>
        <v>0</v>
      </c>
      <c r="X61" s="31">
        <f>'TUSD BE'!$X$61*'TUSD BE'!$X$72</f>
        <v>0</v>
      </c>
      <c r="Y61" s="31">
        <f>'TUSD BE'!$Y$61*'TUSD BE'!$Y$72</f>
        <v>-6.5628151394028653E-2</v>
      </c>
      <c r="Z61" s="31">
        <f>'TUSD BE'!$Z$61*'TUSD BE'!$Z$72</f>
        <v>0</v>
      </c>
      <c r="AA61" s="31">
        <f>'TUSD BE'!$AA$61*'TUSD BE'!$AA$72</f>
        <v>0</v>
      </c>
      <c r="AB61" s="31">
        <f>SUM($U$61:$AA$61)</f>
        <v>5.6630939990143431E-2</v>
      </c>
      <c r="AC61" s="31">
        <f>'TUSD BE'!$AC$61*'TUSD BE'!$AC$72</f>
        <v>0</v>
      </c>
      <c r="AD61" s="31">
        <f>SUM($AC$61:$AC$61)</f>
        <v>0</v>
      </c>
      <c r="AE61" s="31">
        <f ca="1">$AO$61*$AO$69</f>
        <v>-26.550425076818833</v>
      </c>
      <c r="AF61" s="31">
        <f ca="1">$AP$61*$AP$69</f>
        <v>0</v>
      </c>
      <c r="AG61" s="31">
        <f ca="1">SUM($AE$61:$AF$61)</f>
        <v>-26.550425076818833</v>
      </c>
      <c r="AH61" s="31">
        <f>'TUSD BE'!$AH$61*'TUSD BE'!$AH$72</f>
        <v>-3.7564964601171282</v>
      </c>
      <c r="AI61" s="31">
        <f>'TUSD BE'!$AI$61*'TUSD BE'!$AI$72</f>
        <v>-0.11386544591397531</v>
      </c>
      <c r="AJ61" s="31">
        <f ca="1">'TUSD BE'!$AJ$61*'TUSD BE'!$AJ$72</f>
        <v>-1.2721427844464437</v>
      </c>
      <c r="AK61" s="31">
        <f ca="1">'TUSD BE'!$AK$61*'TUSD BE'!$AK$72</f>
        <v>0</v>
      </c>
      <c r="AL61" s="31">
        <f ca="1">SUM($AH$61:$AK$61)</f>
        <v>-5.1425046904775469</v>
      </c>
      <c r="AM61" s="31">
        <f ca="1">SUMIF($L$4:$AL$4,"SUBTOTAL",$L$61:$AL$61)</f>
        <v>-32.04378905390724</v>
      </c>
      <c r="AO61" s="40">
        <f ca="1">+'TUSD BE'!$T$61+'TUSD BE'!$AB$61+'TUSD BE'!$AD$61+'TUSD BE'!$AL$61</f>
        <v>290.58924772930396</v>
      </c>
      <c r="AP61" s="40">
        <f ca="1">+'TUSD BE'!$T$61+'TUSD BE'!$AB$61+'TUSD BE'!$AD$61+'TUSD BE'!$AL$61</f>
        <v>290.58924772930396</v>
      </c>
    </row>
    <row r="62" spans="1:42" ht="11.25" customHeight="1" x14ac:dyDescent="0.25">
      <c r="A62" s="97"/>
      <c r="B62" s="37" t="s">
        <v>23</v>
      </c>
      <c r="C62" s="37" t="s">
        <v>25</v>
      </c>
      <c r="D62" s="37" t="s">
        <v>25</v>
      </c>
      <c r="E62" s="37" t="s">
        <v>25</v>
      </c>
      <c r="F62" s="37" t="s">
        <v>25</v>
      </c>
      <c r="G62" s="38" t="s">
        <v>108</v>
      </c>
      <c r="H62" s="38" t="s">
        <v>102</v>
      </c>
      <c r="I62" s="38">
        <f>'MERCADO TUSD'!$U$59</f>
        <v>650710.04299999995</v>
      </c>
      <c r="J62" s="15"/>
      <c r="L62" s="31">
        <f>'TUSD BE'!$L$62*'TUSD BE'!$L$72</f>
        <v>-0.10035480456828549</v>
      </c>
      <c r="M62" s="31">
        <f>'TUSD BE'!$M$62*'TUSD BE'!$M$72</f>
        <v>-1.7739620763338095E-2</v>
      </c>
      <c r="N62" s="31">
        <f ca="1">'TUSD BE'!$N$62*'TUSD BE'!$N$72</f>
        <v>0</v>
      </c>
      <c r="O62" s="31">
        <f>'TUSD BE'!$O$62*'TUSD BE'!$O$72</f>
        <v>-4.6268022205212428E-4</v>
      </c>
      <c r="P62" s="31">
        <f>'TUSD BE'!$P$62*'TUSD BE'!$P$72</f>
        <v>0</v>
      </c>
      <c r="Q62" s="31">
        <f>'TUSD BE'!$Q$62*'TUSD BE'!$Q$72</f>
        <v>-0.16051325492535745</v>
      </c>
      <c r="R62" s="31">
        <f>'TUSD BE'!$R$62*'TUSD BE'!$R$72</f>
        <v>-0.12841986612197215</v>
      </c>
      <c r="S62" s="31">
        <f>'TUSD BE'!$R$62*'TUSD BE'!$S$72</f>
        <v>0</v>
      </c>
      <c r="T62" s="31">
        <f ca="1">SUM($L$62:$S$62)</f>
        <v>-0.40749022660100531</v>
      </c>
      <c r="U62" s="31">
        <f>'TUSD BE'!$U$62*'TUSD BE'!$U$72</f>
        <v>0.17979314025943535</v>
      </c>
      <c r="V62" s="31">
        <f>'TUSD BE'!$V$62*'TUSD BE'!$V$72</f>
        <v>0</v>
      </c>
      <c r="W62" s="31">
        <f>'TUSD BE'!$W$62*'TUSD BE'!$W$72</f>
        <v>0</v>
      </c>
      <c r="X62" s="31">
        <f>'TUSD BE'!$X$62*'TUSD BE'!$X$72</f>
        <v>0</v>
      </c>
      <c r="Y62" s="31">
        <f>'TUSD BE'!$Y$62*'TUSD BE'!$Y$72</f>
        <v>-9.6513351085679419E-2</v>
      </c>
      <c r="Z62" s="31">
        <f>'TUSD BE'!$Z$62*'TUSD BE'!$Z$72</f>
        <v>0</v>
      </c>
      <c r="AA62" s="31">
        <f>'TUSD BE'!$AA$62*'TUSD BE'!$AA$72</f>
        <v>0</v>
      </c>
      <c r="AB62" s="31">
        <f>SUM($U$62:$AA$62)</f>
        <v>8.3279789173755933E-2</v>
      </c>
      <c r="AC62" s="31">
        <f>'TUSD BE'!$AC$62*'TUSD BE'!$AC$72</f>
        <v>0</v>
      </c>
      <c r="AD62" s="31">
        <f>SUM($AC$62:$AC$62)</f>
        <v>0</v>
      </c>
      <c r="AE62" s="31">
        <f ca="1">$AO$62*$AO$69</f>
        <v>-34.636309155386371</v>
      </c>
      <c r="AF62" s="31">
        <f ca="1">$AP$62*$AP$69</f>
        <v>0</v>
      </c>
      <c r="AG62" s="31">
        <f ca="1">SUM($AE$62:$AF$62)</f>
        <v>-34.636309155386371</v>
      </c>
      <c r="AH62" s="31">
        <f>'TUSD BE'!$AH$62*'TUSD BE'!$AH$72</f>
        <v>-3.7564964601171282</v>
      </c>
      <c r="AI62" s="31">
        <f>'TUSD BE'!$AI$62*'TUSD BE'!$AI$72</f>
        <v>-0.11386544591397531</v>
      </c>
      <c r="AJ62" s="31">
        <f ca="1">'TUSD BE'!$AJ$62*'TUSD BE'!$AJ$72</f>
        <v>-1.2721427844464437</v>
      </c>
      <c r="AK62" s="31">
        <f ca="1">'TUSD BE'!$AK$62*'TUSD BE'!$AK$72</f>
        <v>0</v>
      </c>
      <c r="AL62" s="31">
        <f ca="1">SUM($AH$62:$AK$62)</f>
        <v>-5.1425046904775469</v>
      </c>
      <c r="AM62" s="31">
        <f ca="1">SUMIF($L$4:$AL$4,"SUBTOTAL",$L$62:$AL$62)</f>
        <v>-40.103024283291163</v>
      </c>
      <c r="AO62" s="40">
        <f ca="1">+'TUSD BE'!$T$62+'TUSD BE'!$AB$62+'TUSD BE'!$AD$62+'TUSD BE'!$AL$62</f>
        <v>379.0876791035268</v>
      </c>
      <c r="AP62" s="40">
        <f ca="1">+'TUSD BE'!$T$62+'TUSD BE'!$AB$62+'TUSD BE'!$AD$62+'TUSD BE'!$AL$62</f>
        <v>379.0876791035268</v>
      </c>
    </row>
    <row r="63" spans="1:42" ht="11.25" customHeight="1" x14ac:dyDescent="0.25">
      <c r="A63" s="97"/>
      <c r="B63" s="37" t="s">
        <v>115</v>
      </c>
      <c r="C63" s="37" t="s">
        <v>25</v>
      </c>
      <c r="D63" s="37" t="s">
        <v>25</v>
      </c>
      <c r="E63" s="37" t="s">
        <v>25</v>
      </c>
      <c r="F63" s="37" t="s">
        <v>25</v>
      </c>
      <c r="G63" s="38" t="s">
        <v>108</v>
      </c>
      <c r="H63" s="38" t="s">
        <v>102</v>
      </c>
      <c r="I63" s="38">
        <f>'MERCADO TUSD'!$U$60</f>
        <v>0</v>
      </c>
      <c r="J63" s="15"/>
      <c r="L63" s="31">
        <f>'TUSD BE'!$L$63*'TUSD BE'!$L$72</f>
        <v>-0.10035480456828549</v>
      </c>
      <c r="M63" s="31">
        <f>'TUSD BE'!$M$63*'TUSD BE'!$M$72</f>
        <v>-1.7739620763338095E-2</v>
      </c>
      <c r="N63" s="31">
        <f ca="1">'TUSD BE'!$N$63*'TUSD BE'!$N$72</f>
        <v>0</v>
      </c>
      <c r="O63" s="31">
        <f>'TUSD BE'!$O$63*'TUSD BE'!$O$72</f>
        <v>-4.6268022205212428E-4</v>
      </c>
      <c r="P63" s="31">
        <f>'TUSD BE'!$P$63*'TUSD BE'!$P$72</f>
        <v>0</v>
      </c>
      <c r="Q63" s="31">
        <f>'TUSD BE'!$Q$63*'TUSD BE'!$Q$72</f>
        <v>-0.16051325492535745</v>
      </c>
      <c r="R63" s="31">
        <f>'TUSD BE'!$R$63*'TUSD BE'!$R$72</f>
        <v>-0.12841986612197215</v>
      </c>
      <c r="S63" s="31">
        <f>'TUSD BE'!$R$63*'TUSD BE'!$S$72</f>
        <v>0</v>
      </c>
      <c r="T63" s="31">
        <f ca="1">SUM($L$63:$S$63)</f>
        <v>-0.40749022660100531</v>
      </c>
      <c r="U63" s="31">
        <f>'TUSD BE'!$U$63*'TUSD BE'!$U$72</f>
        <v>0.17979314025943535</v>
      </c>
      <c r="V63" s="31">
        <f>'TUSD BE'!$V$63*'TUSD BE'!$V$72</f>
        <v>0</v>
      </c>
      <c r="W63" s="31">
        <f>'TUSD BE'!$W$63*'TUSD BE'!$W$72</f>
        <v>0</v>
      </c>
      <c r="X63" s="31">
        <f>'TUSD BE'!$X$63*'TUSD BE'!$X$72</f>
        <v>0</v>
      </c>
      <c r="Y63" s="31">
        <f>'TUSD BE'!$Y$63*'TUSD BE'!$Y$72</f>
        <v>-9.6513351085679419E-2</v>
      </c>
      <c r="Z63" s="31">
        <f>'TUSD BE'!$Z$63*'TUSD BE'!$Z$72</f>
        <v>0</v>
      </c>
      <c r="AA63" s="31">
        <f>'TUSD BE'!$AA$63*'TUSD BE'!$AA$72</f>
        <v>0</v>
      </c>
      <c r="AB63" s="31">
        <f>SUM($U$63:$AA$63)</f>
        <v>8.3279789173755933E-2</v>
      </c>
      <c r="AC63" s="31">
        <f>'TUSD BE'!$AC$63*'TUSD BE'!$AC$72</f>
        <v>0</v>
      </c>
      <c r="AD63" s="31">
        <f>SUM($AC$63:$AC$63)</f>
        <v>0</v>
      </c>
      <c r="AE63" s="31">
        <f ca="1">$AO$63*$AO$69</f>
        <v>-34.636309155386371</v>
      </c>
      <c r="AF63" s="31">
        <f ca="1">$AP$63*$AP$69</f>
        <v>0</v>
      </c>
      <c r="AG63" s="31">
        <f ca="1">SUM($AE$63:$AF$63)</f>
        <v>-34.636309155386371</v>
      </c>
      <c r="AH63" s="31">
        <f>'TUSD BE'!$AH$63*'TUSD BE'!$AH$72</f>
        <v>-3.7564964601171282</v>
      </c>
      <c r="AI63" s="31">
        <f>'TUSD BE'!$AI$63*'TUSD BE'!$AI$72</f>
        <v>-0.11386544591397531</v>
      </c>
      <c r="AJ63" s="31">
        <f ca="1">'TUSD BE'!$AJ$63*'TUSD BE'!$AJ$72</f>
        <v>-1.2721427844464437</v>
      </c>
      <c r="AK63" s="31">
        <f ca="1">'TUSD BE'!$AK$63*'TUSD BE'!$AK$72</f>
        <v>0</v>
      </c>
      <c r="AL63" s="31">
        <f ca="1">SUM($AH$63:$AK$63)</f>
        <v>-5.1425046904775469</v>
      </c>
      <c r="AM63" s="31">
        <f ca="1">SUMIF($L$4:$AL$4,"SUBTOTAL",$L$63:$AL$63)</f>
        <v>-40.103024283291163</v>
      </c>
      <c r="AO63" s="40">
        <f ca="1">+'TUSD BE'!$T$63+'TUSD BE'!$AB$63+'TUSD BE'!$AD$63+'TUSD BE'!$AL$63</f>
        <v>379.0876791035268</v>
      </c>
      <c r="AP63" s="40">
        <f ca="1">+'TUSD BE'!$T$63+'TUSD BE'!$AB$63+'TUSD BE'!$AD$63+'TUSD BE'!$AL$63</f>
        <v>379.0876791035268</v>
      </c>
    </row>
    <row r="64" spans="1:42" ht="11.25" customHeight="1" x14ac:dyDescent="0.25">
      <c r="A64" s="97" t="s">
        <v>47</v>
      </c>
      <c r="B64" s="97" t="s">
        <v>23</v>
      </c>
      <c r="C64" s="97" t="s">
        <v>48</v>
      </c>
      <c r="D64" s="37" t="s">
        <v>49</v>
      </c>
      <c r="E64" s="37" t="s">
        <v>25</v>
      </c>
      <c r="F64" s="37" t="s">
        <v>25</v>
      </c>
      <c r="G64" s="38" t="s">
        <v>108</v>
      </c>
      <c r="H64" s="38" t="s">
        <v>102</v>
      </c>
      <c r="I64" s="38">
        <f>'MERCADO TUSD'!$U$61</f>
        <v>252172.81799999997</v>
      </c>
      <c r="J64" s="15"/>
      <c r="L64" s="31">
        <f>'TUSD BE'!$L$64*'TUSD BE'!$L$72</f>
        <v>-5.5195142512557027E-2</v>
      </c>
      <c r="M64" s="31">
        <f>'TUSD BE'!$M$64*'TUSD BE'!$M$72</f>
        <v>-9.7567914198359532E-3</v>
      </c>
      <c r="N64" s="31">
        <f ca="1">'TUSD BE'!$N$64*'TUSD BE'!$N$72</f>
        <v>0</v>
      </c>
      <c r="O64" s="31">
        <f>'TUSD BE'!$O$64*'TUSD BE'!$O$72</f>
        <v>-2.5447412212866837E-4</v>
      </c>
      <c r="P64" s="31">
        <f>'TUSD BE'!$P$64*'TUSD BE'!$P$72</f>
        <v>0</v>
      </c>
      <c r="Q64" s="31">
        <f>'TUSD BE'!$Q$64*'TUSD BE'!$Q$72</f>
        <v>-8.8282290208946596E-2</v>
      </c>
      <c r="R64" s="31">
        <f>'TUSD BE'!$R$64*'TUSD BE'!$R$72</f>
        <v>-7.0630926367084693E-2</v>
      </c>
      <c r="S64" s="31">
        <f>'TUSD BE'!$R$64*'TUSD BE'!$S$72</f>
        <v>0</v>
      </c>
      <c r="T64" s="31">
        <f ca="1">SUM($L$64:$S$64)</f>
        <v>-0.22411962463055296</v>
      </c>
      <c r="U64" s="31">
        <f>'TUSD BE'!$U$64*'TUSD BE'!$U$72</f>
        <v>9.8886227142689451E-2</v>
      </c>
      <c r="V64" s="31">
        <f>'TUSD BE'!$V$64*'TUSD BE'!$V$72</f>
        <v>0</v>
      </c>
      <c r="W64" s="31">
        <f>'TUSD BE'!$W$64*'TUSD BE'!$W$72</f>
        <v>0</v>
      </c>
      <c r="X64" s="31">
        <f>'TUSD BE'!$X$64*'TUSD BE'!$X$72</f>
        <v>0</v>
      </c>
      <c r="Y64" s="31">
        <f>'TUSD BE'!$Y$64*'TUSD BE'!$Y$72</f>
        <v>-5.3082343097123688E-2</v>
      </c>
      <c r="Z64" s="31">
        <f>'TUSD BE'!$Z$64*'TUSD BE'!$Z$72</f>
        <v>0</v>
      </c>
      <c r="AA64" s="31">
        <f>'TUSD BE'!$AA$64*'TUSD BE'!$AA$72</f>
        <v>0</v>
      </c>
      <c r="AB64" s="31">
        <f>SUM($U$64:$AA$64)</f>
        <v>4.5803884045565763E-2</v>
      </c>
      <c r="AC64" s="31">
        <f>'TUSD BE'!$AC$64*'TUSD BE'!$AC$72</f>
        <v>0</v>
      </c>
      <c r="AD64" s="31">
        <f>SUM($AC$64:$AC$64)</f>
        <v>0</v>
      </c>
      <c r="AE64" s="31">
        <f ca="1">$AO$64*$AO$69</f>
        <v>-19.049970035462504</v>
      </c>
      <c r="AF64" s="31">
        <f ca="1">$AP$64*$AP$69</f>
        <v>0</v>
      </c>
      <c r="AG64" s="31">
        <f ca="1">SUM($AE$64:$AF$64)</f>
        <v>-19.049970035462504</v>
      </c>
      <c r="AH64" s="31">
        <f>'TUSD BE'!$AH$64*'TUSD BE'!$AH$72</f>
        <v>-2.0660730530644207</v>
      </c>
      <c r="AI64" s="31">
        <f>'TUSD BE'!$AI$64*'TUSD BE'!$AI$72</f>
        <v>-6.2625995252686431E-2</v>
      </c>
      <c r="AJ64" s="31">
        <f ca="1">'TUSD BE'!$AJ$64*'TUSD BE'!$AJ$72</f>
        <v>-0.69967853144554415</v>
      </c>
      <c r="AK64" s="31">
        <f ca="1">'TUSD BE'!$AK$64*'TUSD BE'!$AK$72</f>
        <v>0</v>
      </c>
      <c r="AL64" s="31">
        <f ca="1">SUM($AH$64:$AK$64)</f>
        <v>-2.8283775797626514</v>
      </c>
      <c r="AM64" s="31">
        <f ca="1">SUMIF($L$4:$AL$4,"SUBTOTAL",$L$64:$AL$64)</f>
        <v>-22.056663355810144</v>
      </c>
      <c r="AO64" s="40">
        <f ca="1">+'TUSD BE'!$T$64+'TUSD BE'!$AB$64+'TUSD BE'!$AD$64+'TUSD BE'!$AL$64</f>
        <v>208.49822350693975</v>
      </c>
      <c r="AP64" s="40">
        <f ca="1">+'TUSD BE'!$T$64+'TUSD BE'!$AB$64+'TUSD BE'!$AD$64+'TUSD BE'!$AL$64</f>
        <v>208.49822350693975</v>
      </c>
    </row>
    <row r="65" spans="1:42" ht="11.25" customHeight="1" x14ac:dyDescent="0.25">
      <c r="A65" s="97"/>
      <c r="B65" s="97"/>
      <c r="C65" s="97"/>
      <c r="D65" s="38" t="s">
        <v>118</v>
      </c>
      <c r="E65" s="38" t="s">
        <v>25</v>
      </c>
      <c r="F65" s="38" t="s">
        <v>25</v>
      </c>
      <c r="G65" s="38" t="s">
        <v>108</v>
      </c>
      <c r="H65" s="38" t="s">
        <v>102</v>
      </c>
      <c r="I65" s="38">
        <f>'MERCADO TUSD'!$U$62</f>
        <v>0</v>
      </c>
      <c r="J65" s="15"/>
      <c r="L65" s="31">
        <f>'TUSD BE'!$L$65*'TUSD BE'!$L$72</f>
        <v>-6.0212882740971294E-2</v>
      </c>
      <c r="M65" s="31">
        <f>'TUSD BE'!$M$65*'TUSD BE'!$M$72</f>
        <v>-1.0643772458002855E-2</v>
      </c>
      <c r="N65" s="31">
        <f ca="1">'TUSD BE'!$N$65*'TUSD BE'!$N$72</f>
        <v>0</v>
      </c>
      <c r="O65" s="31">
        <f>'TUSD BE'!$O$65*'TUSD BE'!$O$72</f>
        <v>-2.7760813323127458E-4</v>
      </c>
      <c r="P65" s="31">
        <f>'TUSD BE'!$P$65*'TUSD BE'!$P$72</f>
        <v>0</v>
      </c>
      <c r="Q65" s="31">
        <f>'TUSD BE'!$Q$65*'TUSD BE'!$Q$72</f>
        <v>-9.6307952955214465E-2</v>
      </c>
      <c r="R65" s="31">
        <f>'TUSD BE'!$R$65*'TUSD BE'!$R$72</f>
        <v>-7.7051919673183283E-2</v>
      </c>
      <c r="S65" s="31">
        <f>'TUSD BE'!$R$65*'TUSD BE'!$S$72</f>
        <v>0</v>
      </c>
      <c r="T65" s="31">
        <f ca="1">SUM($L$65:$S$65)</f>
        <v>-0.24449413596060318</v>
      </c>
      <c r="U65" s="31">
        <f>'TUSD BE'!$U$65*'TUSD BE'!$U$72</f>
        <v>0.1078758841556612</v>
      </c>
      <c r="V65" s="31">
        <f>'TUSD BE'!$V$65*'TUSD BE'!$V$72</f>
        <v>0</v>
      </c>
      <c r="W65" s="31">
        <f>'TUSD BE'!$W$65*'TUSD BE'!$W$72</f>
        <v>0</v>
      </c>
      <c r="X65" s="31">
        <f>'TUSD BE'!$X$65*'TUSD BE'!$X$72</f>
        <v>0</v>
      </c>
      <c r="Y65" s="31">
        <f>'TUSD BE'!$Y$65*'TUSD BE'!$Y$72</f>
        <v>-5.7908010651407653E-2</v>
      </c>
      <c r="Z65" s="31">
        <f>'TUSD BE'!$Z$65*'TUSD BE'!$Z$72</f>
        <v>0</v>
      </c>
      <c r="AA65" s="31">
        <f>'TUSD BE'!$AA$65*'TUSD BE'!$AA$72</f>
        <v>0</v>
      </c>
      <c r="AB65" s="31">
        <f>SUM($U$65:$AA$65)</f>
        <v>4.9967873504253545E-2</v>
      </c>
      <c r="AC65" s="31">
        <f>'TUSD BE'!$AC$65*'TUSD BE'!$AC$72</f>
        <v>0</v>
      </c>
      <c r="AD65" s="31">
        <f>SUM($AC$65:$AC$65)</f>
        <v>0</v>
      </c>
      <c r="AE65" s="31">
        <f ca="1">$AO$65*$AO$69</f>
        <v>-20.781785493231819</v>
      </c>
      <c r="AF65" s="31">
        <f ca="1">$AP$65*$AP$69</f>
        <v>0</v>
      </c>
      <c r="AG65" s="31">
        <f ca="1">SUM($AE$65:$AF$65)</f>
        <v>-20.781785493231819</v>
      </c>
      <c r="AH65" s="31">
        <f>'TUSD BE'!$AH$65*'TUSD BE'!$AH$72</f>
        <v>-2.253897876070277</v>
      </c>
      <c r="AI65" s="31">
        <f>'TUSD BE'!$AI$65*'TUSD BE'!$AI$72</f>
        <v>-6.8319267548385187E-2</v>
      </c>
      <c r="AJ65" s="31">
        <f ca="1">'TUSD BE'!$AJ$65*'TUSD BE'!$AJ$72</f>
        <v>-0.76328567066786623</v>
      </c>
      <c r="AK65" s="31">
        <f ca="1">'TUSD BE'!$AK$65*'TUSD BE'!$AK$72</f>
        <v>0</v>
      </c>
      <c r="AL65" s="31">
        <f ca="1">SUM($AH$65:$AK$65)</f>
        <v>-3.0855028142865284</v>
      </c>
      <c r="AM65" s="31">
        <f ca="1">SUMIF($L$4:$AL$4,"SUBTOTAL",$L$65:$AL$65)</f>
        <v>-24.061814569974697</v>
      </c>
      <c r="AO65" s="40">
        <f ca="1">+'TUSD BE'!$T$65+'TUSD BE'!$AB$65+'TUSD BE'!$AD$65+'TUSD BE'!$AL$65</f>
        <v>227.45260746211605</v>
      </c>
      <c r="AP65" s="40">
        <f ca="1">+'TUSD BE'!$T$65+'TUSD BE'!$AB$65+'TUSD BE'!$AD$65+'TUSD BE'!$AL$65</f>
        <v>227.45260746211605</v>
      </c>
    </row>
    <row r="67" spans="1:42" ht="11.25" customHeight="1" x14ac:dyDescent="0.25">
      <c r="K67" s="34" t="s">
        <v>933</v>
      </c>
      <c r="L67" s="31">
        <f>SUMPRODUCT($I$5:$I65,$L$5:$L65)</f>
        <v>-354639.46393461741</v>
      </c>
      <c r="M67" s="31">
        <f>SUMPRODUCT($I$5:$I65,$M$5:$M65)</f>
        <v>-70760.489781174343</v>
      </c>
      <c r="N67" s="31">
        <f ca="1">SUMPRODUCT($I$5:$I65,$N$5:$N65)</f>
        <v>0</v>
      </c>
      <c r="O67" s="31">
        <f>SUMPRODUCT($I$5:$I65,$O$5:$O65)</f>
        <v>-2504.5058717453007</v>
      </c>
      <c r="P67" s="31">
        <f>SUMPRODUCT($I$5:$I65,$P$5:$P65)</f>
        <v>0</v>
      </c>
      <c r="Q67" s="31">
        <f>SUMPRODUCT($I$5:$I65,$Q$5:$Q65)</f>
        <v>-567230.78606959688</v>
      </c>
      <c r="R67" s="31">
        <f>SUMPRODUCT($I$5:$I65,$R$5:$R65)</f>
        <v>-502190.41248689173</v>
      </c>
      <c r="S67" s="31">
        <f>SUMPRODUCT($I$5:$I65,$S$5:$S65)</f>
        <v>0</v>
      </c>
      <c r="T67" s="31">
        <f ca="1">SUMPRODUCT($I$5:$I65,$T$5:$T65)</f>
        <v>-1497325.6581440258</v>
      </c>
      <c r="U67" s="31">
        <f>SUMPRODUCT($I$5:$I65,$U$5:$U65)</f>
        <v>834158.35808967857</v>
      </c>
      <c r="V67" s="31">
        <f>SUMPRODUCT($I$5:$I65,$V$5:$V65)</f>
        <v>0</v>
      </c>
      <c r="W67" s="31">
        <f>SUMPRODUCT($I$5:$I65,$W$5:$W65)</f>
        <v>0</v>
      </c>
      <c r="X67" s="31">
        <f>SUMPRODUCT($I$5:$I65,$X$5:$X65)</f>
        <v>0</v>
      </c>
      <c r="Y67" s="31">
        <f>SUMPRODUCT($I$5:$I65,$Y$5:$Y65)</f>
        <v>-544707.03299491154</v>
      </c>
      <c r="Z67" s="31">
        <f>SUMPRODUCT($I$5:$I65,$Z$5:$Z65)</f>
        <v>0</v>
      </c>
      <c r="AA67" s="31">
        <f>SUMPRODUCT($I$5:$I65,$AA$5:$AA65)</f>
        <v>0</v>
      </c>
      <c r="AB67" s="31">
        <f>SUMPRODUCT($I$5:$I65,$AB$5:$AB65)</f>
        <v>289451.32509476732</v>
      </c>
      <c r="AC67" s="31">
        <f>SUMPRODUCT($I$5:$I65,$AC$5:$AC65)</f>
        <v>0</v>
      </c>
      <c r="AD67" s="31">
        <f>SUMPRODUCT($I$5:$I65,$AD$5:$AD65)</f>
        <v>0</v>
      </c>
      <c r="AE67" s="31">
        <f ca="1">SUMPRODUCT($I$5:$I65,$AE$5:$AE65)</f>
        <v>-135294318.49511471</v>
      </c>
      <c r="AF67" s="31">
        <f ca="1">SUMPRODUCT($I$5:$I65,$AF$5:$AF65)</f>
        <v>0</v>
      </c>
      <c r="AG67" s="31">
        <f ca="1">SUMPRODUCT($I$5:$I65,$AG$5:$AG65)</f>
        <v>-135294318.49511471</v>
      </c>
      <c r="AH67" s="31">
        <f>SUMPRODUCT($I$5:$I65,$AH$5:$AH65)</f>
        <v>-13853613.397409126</v>
      </c>
      <c r="AI67" s="31">
        <f>SUMPRODUCT($I$5:$I65,$AI$5:$AI65)</f>
        <v>-494934.638646985</v>
      </c>
      <c r="AJ67" s="31">
        <f ca="1">SUMPRODUCT($I$5:$I65,$AJ$5:$AJ65)</f>
        <v>-5021710.0705417544</v>
      </c>
      <c r="AK67" s="31">
        <f ca="1">SUMPRODUCT($I$5:$I65,$AK$5:$AK65)</f>
        <v>0</v>
      </c>
      <c r="AL67" s="31">
        <f ca="1">SUMPRODUCT($I$5:$I65,$AL$5:$AL65)</f>
        <v>-19370258.106597863</v>
      </c>
      <c r="AM67" s="31">
        <f ca="1">SUMPRODUCT($I$5:$I65,$AM$5:$AM65)</f>
        <v>-155872450.93476185</v>
      </c>
      <c r="AO67" s="38">
        <f ca="1">SUMPRODUCT($I$5:$I65,$AO$5:$AO65)</f>
        <v>1480770048.6825812</v>
      </c>
      <c r="AP67" s="38">
        <f ca="1">SUMPRODUCT($I$5:$I65,$AP$5:$AP65)</f>
        <v>1499685046.070719</v>
      </c>
    </row>
    <row r="68" spans="1:42" ht="11.25" customHeight="1" x14ac:dyDescent="0.25">
      <c r="K68" s="34" t="s">
        <v>876</v>
      </c>
      <c r="L68" s="31">
        <f>'TR TUSD'!$L$70</f>
        <v>14228608.829814913</v>
      </c>
      <c r="M68" s="31">
        <f>'TR TUSD'!$M$70</f>
        <v>3354704.9346611435</v>
      </c>
      <c r="N68" s="31">
        <f>'TR TUSD'!$N$70</f>
        <v>12061233.936620025</v>
      </c>
      <c r="O68" s="31">
        <f>'TR TUSD'!$O$70</f>
        <v>103880.89285714286</v>
      </c>
      <c r="P68" s="31">
        <f>'TR TUSD'!$P$70</f>
        <v>0</v>
      </c>
      <c r="Q68" s="31">
        <f>'TR TUSD'!$Q$70</f>
        <v>134931229.09243637</v>
      </c>
      <c r="R68" s="31">
        <f>'TR TUSD'!$R$70</f>
        <v>56366862.730122909</v>
      </c>
      <c r="S68" s="31">
        <f>'TR TUSD'!$S$70</f>
        <v>0</v>
      </c>
      <c r="T68" s="31">
        <f>'TR TUSD'!$T$70</f>
        <v>221046520.41651249</v>
      </c>
      <c r="U68" s="31">
        <f>'TR TUSD'!$U$70</f>
        <v>151911378.442</v>
      </c>
      <c r="V68" s="31">
        <f>'TR TUSD'!$V$70</f>
        <v>47135250.177000001</v>
      </c>
      <c r="W68" s="31">
        <f>'TR TUSD'!$W$70</f>
        <v>8156972.5290007796</v>
      </c>
      <c r="X68" s="31">
        <f>'TR TUSD'!$X$70</f>
        <v>440091.12</v>
      </c>
      <c r="Y68" s="31">
        <f>'TR TUSD'!$Y$70</f>
        <v>11815920.792903904</v>
      </c>
      <c r="Z68" s="31">
        <f>'TR TUSD'!$Z$70</f>
        <v>0</v>
      </c>
      <c r="AA68" s="31">
        <f>'TR TUSD'!$AA$70</f>
        <v>0</v>
      </c>
      <c r="AB68" s="31">
        <f>'TR TUSD'!$AB$70</f>
        <v>219459613.06090471</v>
      </c>
      <c r="AC68" s="31">
        <f>'TR TUSD'!$AC$70</f>
        <v>892880835.41836596</v>
      </c>
      <c r="AD68" s="31">
        <f>'TR TUSD'!$AD$70</f>
        <v>892880835.41836596</v>
      </c>
      <c r="AE68" s="31">
        <f>'TR TUSD'!$AE$70</f>
        <v>0</v>
      </c>
      <c r="AF68" s="31">
        <f>'TR TUSD'!$AF$70</f>
        <v>0</v>
      </c>
      <c r="AG68" s="31">
        <f>'TR TUSD'!$AG$70</f>
        <v>0</v>
      </c>
      <c r="AH68" s="31">
        <f>'TR TUSD'!$AH$70</f>
        <v>118936426.00091825</v>
      </c>
      <c r="AI68" s="31">
        <f>'TR TUSD'!$AI$70</f>
        <v>4249126.5878501628</v>
      </c>
      <c r="AJ68" s="31">
        <f>'TR TUSD'!$AJ$70</f>
        <v>43112524.586167142</v>
      </c>
      <c r="AK68" s="31">
        <f>'TR TUSD'!$AK$70</f>
        <v>0</v>
      </c>
      <c r="AL68" s="31">
        <f>'TR TUSD'!$AL$70</f>
        <v>166298077.17493558</v>
      </c>
      <c r="AM68" s="31">
        <f>'TUSD BE'!$AM$68</f>
        <v>1499685046.0707188</v>
      </c>
      <c r="AO68" s="38">
        <f>$AE$69</f>
        <v>-135294318.49511474</v>
      </c>
      <c r="AP68" s="38">
        <f>$AF$69</f>
        <v>0</v>
      </c>
    </row>
    <row r="69" spans="1:42" ht="11.25" customHeight="1" x14ac:dyDescent="0.25">
      <c r="K69" s="34" t="s">
        <v>877</v>
      </c>
      <c r="L69" s="31">
        <f>CUSTOS!$E$2</f>
        <v>-354639.46393461735</v>
      </c>
      <c r="M69" s="31">
        <f>CUSTOS!$E$3</f>
        <v>-70760.489781174329</v>
      </c>
      <c r="N69" s="31">
        <f>CUSTOS!$E$4</f>
        <v>0</v>
      </c>
      <c r="O69" s="31">
        <f>CUSTOS!$E$5</f>
        <v>-2504.5058717452998</v>
      </c>
      <c r="P69" s="31">
        <f>CUSTOS!$E$6</f>
        <v>0</v>
      </c>
      <c r="Q69" s="31">
        <f>CUSTOS!$E$7</f>
        <v>-567230.78606959688</v>
      </c>
      <c r="R69" s="31">
        <f>CUSTOS!$E$8</f>
        <v>-502190.41248689161</v>
      </c>
      <c r="S69" s="31">
        <f>CUSTOS!$E$9</f>
        <v>0</v>
      </c>
      <c r="T69" s="31">
        <f>CUSTOS!$E$10</f>
        <v>-1497325.6581440256</v>
      </c>
      <c r="U69" s="31">
        <f>CUSTOS!$E$11</f>
        <v>834158.35808967892</v>
      </c>
      <c r="V69" s="31">
        <f>CUSTOS!$E$12</f>
        <v>0</v>
      </c>
      <c r="W69" s="31">
        <f>CUSTOS!$E$13</f>
        <v>0</v>
      </c>
      <c r="X69" s="31">
        <f>CUSTOS!$E$14</f>
        <v>0</v>
      </c>
      <c r="Y69" s="31">
        <f>CUSTOS!$E$15</f>
        <v>-544707.03299491131</v>
      </c>
      <c r="Z69" s="31">
        <f>CUSTOS!$E$16</f>
        <v>0</v>
      </c>
      <c r="AA69" s="31">
        <f>CUSTOS!$E$17</f>
        <v>0</v>
      </c>
      <c r="AB69" s="31">
        <f>CUSTOS!$E$18</f>
        <v>289451.32509476761</v>
      </c>
      <c r="AC69" s="31">
        <f>CUSTOS!$E$19</f>
        <v>0</v>
      </c>
      <c r="AD69" s="31">
        <f>CUSTOS!$E$20</f>
        <v>0</v>
      </c>
      <c r="AE69" s="31">
        <f>CUSTOS!$E$21</f>
        <v>-135294318.49511474</v>
      </c>
      <c r="AF69" s="31">
        <f>CUSTOS!$E$22</f>
        <v>0</v>
      </c>
      <c r="AG69" s="31">
        <f>CUSTOS!$E$23</f>
        <v>-135294318.49511474</v>
      </c>
      <c r="AH69" s="31">
        <f>CUSTOS!$E$24</f>
        <v>-13853613.397409128</v>
      </c>
      <c r="AI69" s="31">
        <f>CUSTOS!$E$25</f>
        <v>-494934.638646985</v>
      </c>
      <c r="AJ69" s="31">
        <f>CUSTOS!$E$26</f>
        <v>-5021710.0705417553</v>
      </c>
      <c r="AK69" s="31">
        <f>CUSTOS!$E$27</f>
        <v>0</v>
      </c>
      <c r="AL69" s="31">
        <f>CUSTOS!$E$28</f>
        <v>-19370258.106597867</v>
      </c>
      <c r="AM69" s="31">
        <f>CUSTOS!$E$29</f>
        <v>-155872450.93476188</v>
      </c>
      <c r="AO69" s="38">
        <f ca="1">IF(AO67&lt;&gt;0,AO68/AO67,0)</f>
        <v>-9.13675412434794E-2</v>
      </c>
      <c r="AP69" s="38">
        <f ca="1">IF(AP67&lt;&gt;0,AP68/AP67,0)</f>
        <v>0</v>
      </c>
    </row>
    <row r="70" spans="1:42" ht="11.25" customHeight="1" x14ac:dyDescent="0.25">
      <c r="K70" s="34" t="s">
        <v>878</v>
      </c>
      <c r="L70" s="31">
        <f>CUSTOS!$F$2</f>
        <v>1183799.6534256104</v>
      </c>
      <c r="M70" s="31">
        <f>CUSTOS!$F$3</f>
        <v>0</v>
      </c>
      <c r="N70" s="31">
        <f>CUSTOS!$F$4</f>
        <v>0</v>
      </c>
      <c r="O70" s="31">
        <f>CUSTOS!$F$5</f>
        <v>0</v>
      </c>
      <c r="P70" s="31">
        <f>CUSTOS!$F$6</f>
        <v>0</v>
      </c>
      <c r="Q70" s="31">
        <f>CUSTOS!$F$7</f>
        <v>32435106.428576518</v>
      </c>
      <c r="R70" s="31">
        <f>CUSTOS!$F$8</f>
        <v>14727666.253347442</v>
      </c>
      <c r="S70" s="31">
        <f>CUSTOS!$F$9</f>
        <v>0</v>
      </c>
      <c r="T70" s="31">
        <f>CUSTOS!$F$10</f>
        <v>48346572.335349567</v>
      </c>
      <c r="U70" s="31">
        <f>CUSTOS!$F$11</f>
        <v>7398562.6477510631</v>
      </c>
      <c r="V70" s="31">
        <f>CUSTOS!$F$12</f>
        <v>2295635.1586599601</v>
      </c>
      <c r="W70" s="31">
        <f>CUSTOS!$F$13</f>
        <v>0</v>
      </c>
      <c r="X70" s="31">
        <f>CUSTOS!$F$14</f>
        <v>0</v>
      </c>
      <c r="Y70" s="31">
        <f>CUSTOS!$F$15</f>
        <v>0</v>
      </c>
      <c r="Z70" s="31">
        <f>CUSTOS!$F$16</f>
        <v>0</v>
      </c>
      <c r="AA70" s="31">
        <f>CUSTOS!$F$17</f>
        <v>0</v>
      </c>
      <c r="AB70" s="31">
        <f>CUSTOS!$F$18</f>
        <v>9694197.8064110242</v>
      </c>
      <c r="AC70" s="31">
        <f>CUSTOS!$F$19</f>
        <v>0</v>
      </c>
      <c r="AD70" s="31">
        <f>CUSTOS!$F$20</f>
        <v>0</v>
      </c>
      <c r="AE70" s="31">
        <f>CUSTOS!$F$21</f>
        <v>0</v>
      </c>
      <c r="AF70" s="31">
        <f>CUSTOS!$F$22</f>
        <v>0</v>
      </c>
      <c r="AG70" s="31">
        <f>CUSTOS!$F$23</f>
        <v>0</v>
      </c>
      <c r="AH70" s="31">
        <f>CUSTOS!$F$24</f>
        <v>6078889.7822317462</v>
      </c>
      <c r="AI70" s="31">
        <f>CUSTOS!$F$25</f>
        <v>217174.61224278065</v>
      </c>
      <c r="AJ70" s="31">
        <f>CUSTOS!$F$26</f>
        <v>2203498.9111833824</v>
      </c>
      <c r="AK70" s="31">
        <f>CUSTOS!$F$27</f>
        <v>0</v>
      </c>
      <c r="AL70" s="31">
        <f>CUSTOS!$F$28</f>
        <v>8499563.3056579083</v>
      </c>
      <c r="AM70" s="31">
        <f>CUSTOS!$F$29</f>
        <v>66540333.447418496</v>
      </c>
    </row>
    <row r="71" spans="1:42" ht="11.25" customHeight="1" x14ac:dyDescent="0.25">
      <c r="K71" s="34" t="s">
        <v>930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f>SUM($L$71:$S$71)</f>
        <v>0</v>
      </c>
      <c r="U71" s="31">
        <v>0</v>
      </c>
      <c r="V71" s="31">
        <v>0</v>
      </c>
      <c r="W71" s="31">
        <v>0</v>
      </c>
      <c r="X71" s="31">
        <v>0</v>
      </c>
      <c r="Y71" s="31">
        <v>0</v>
      </c>
      <c r="Z71" s="31">
        <v>0</v>
      </c>
      <c r="AA71" s="31">
        <v>0</v>
      </c>
      <c r="AB71" s="31">
        <f>SUM($U$71:$AA$71)</f>
        <v>0</v>
      </c>
      <c r="AC71" s="31">
        <v>0</v>
      </c>
      <c r="AD71" s="31">
        <f>SUM($AC$71:$AC$71)</f>
        <v>0</v>
      </c>
      <c r="AE71" s="31">
        <v>0</v>
      </c>
      <c r="AF71" s="31">
        <v>0</v>
      </c>
      <c r="AG71" s="31">
        <f>SUM($AE$71:$AF$71)</f>
        <v>0</v>
      </c>
      <c r="AH71" s="31">
        <v>0</v>
      </c>
      <c r="AI71" s="31">
        <v>0</v>
      </c>
      <c r="AJ71" s="31">
        <v>0</v>
      </c>
      <c r="AK71" s="31">
        <v>0</v>
      </c>
      <c r="AL71" s="31">
        <f>SUM($AH$71:$AK$71)</f>
        <v>0</v>
      </c>
      <c r="AM71" s="31"/>
    </row>
    <row r="72" spans="1:42" ht="11.25" customHeight="1" x14ac:dyDescent="0.25">
      <c r="K72" s="34" t="s">
        <v>936</v>
      </c>
      <c r="L72" s="31">
        <f t="shared" ref="L72:R72" si="0">IF((L68-(0))&lt;&gt;0,(L70)/(L68-(0)),0)</f>
        <v>8.319855212725033E-2</v>
      </c>
      <c r="M72" s="31">
        <f t="shared" si="0"/>
        <v>0</v>
      </c>
      <c r="N72" s="31">
        <f t="shared" si="0"/>
        <v>0</v>
      </c>
      <c r="O72" s="31">
        <f t="shared" si="0"/>
        <v>0</v>
      </c>
      <c r="P72" s="31">
        <f t="shared" si="0"/>
        <v>0</v>
      </c>
      <c r="Q72" s="31">
        <f t="shared" si="0"/>
        <v>0.24038250186216292</v>
      </c>
      <c r="R72" s="31">
        <f t="shared" si="0"/>
        <v>0.26128234817434426</v>
      </c>
      <c r="S72" s="31">
        <f>IF((R67-(0)&lt;&gt;0),(S69)/(R67-(0)),0)</f>
        <v>0</v>
      </c>
      <c r="T72" s="31"/>
      <c r="U72" s="31">
        <f t="shared" ref="U72:AA72" si="1">IF((U68-(0))&lt;&gt;0,(U70)/(U68-(0)),0)</f>
        <v>4.8703149978826937E-2</v>
      </c>
      <c r="V72" s="31">
        <f t="shared" si="1"/>
        <v>4.8703149978826937E-2</v>
      </c>
      <c r="W72" s="31">
        <f t="shared" si="1"/>
        <v>0</v>
      </c>
      <c r="X72" s="31">
        <f t="shared" si="1"/>
        <v>0</v>
      </c>
      <c r="Y72" s="31">
        <f t="shared" si="1"/>
        <v>0</v>
      </c>
      <c r="Z72" s="31">
        <f t="shared" si="1"/>
        <v>0</v>
      </c>
      <c r="AA72" s="31">
        <f t="shared" si="1"/>
        <v>0</v>
      </c>
      <c r="AB72" s="31"/>
      <c r="AC72" s="31">
        <f>IF((AC68-(0))&lt;&gt;0,(AC70)/(AC68-(0)),0)</f>
        <v>0</v>
      </c>
      <c r="AD72" s="31"/>
      <c r="AE72" s="31">
        <f ca="1">IF(($AM67-(0))&lt;&gt;0,(AE69)/($AM67-(0)),0)</f>
        <v>0.86798095291220012</v>
      </c>
      <c r="AF72" s="31">
        <f ca="1">IF(($AM67-(0))&lt;&gt;0,(AF69)/($AM67-(0)),0)</f>
        <v>0</v>
      </c>
      <c r="AG72" s="31"/>
      <c r="AH72" s="31">
        <f>IF((AH68-(0))&lt;&gt;0,(AH70)/(AH68-(0)),0)</f>
        <v>5.1110412399518496E-2</v>
      </c>
      <c r="AI72" s="31">
        <f>IF((AI68-(0))&lt;&gt;0,(AI70)/(AI68-(0)),0)</f>
        <v>5.1110412399518489E-2</v>
      </c>
      <c r="AJ72" s="31">
        <f>IF((AJ68-(0))&lt;&gt;0,(AJ70)/(AJ68-(0)),0)</f>
        <v>5.1110412399518482E-2</v>
      </c>
      <c r="AK72" s="31">
        <f>IF((AK68-(0))&lt;&gt;0,(AK70)/(AK68-(0)),0)</f>
        <v>0</v>
      </c>
      <c r="AL72" s="31"/>
      <c r="AM72" s="31"/>
    </row>
  </sheetData>
  <mergeCells count="90">
    <mergeCell ref="E59:E61"/>
    <mergeCell ref="F59:F61"/>
    <mergeCell ref="A64:A65"/>
    <mergeCell ref="B64:B65"/>
    <mergeCell ref="C64:C65"/>
    <mergeCell ref="D59:D61"/>
    <mergeCell ref="B56:B58"/>
    <mergeCell ref="C56:C58"/>
    <mergeCell ref="A59:A63"/>
    <mergeCell ref="B59:B61"/>
    <mergeCell ref="C59:C61"/>
    <mergeCell ref="A44:A58"/>
    <mergeCell ref="B44:B46"/>
    <mergeCell ref="C44:C46"/>
    <mergeCell ref="B52:B54"/>
    <mergeCell ref="C52:C54"/>
    <mergeCell ref="B48:B50"/>
    <mergeCell ref="C48:C50"/>
    <mergeCell ref="D52:D54"/>
    <mergeCell ref="E52:E54"/>
    <mergeCell ref="F52:F54"/>
    <mergeCell ref="D44:D46"/>
    <mergeCell ref="E44:E46"/>
    <mergeCell ref="F44:F46"/>
    <mergeCell ref="D48:D50"/>
    <mergeCell ref="E48:E50"/>
    <mergeCell ref="F48:F50"/>
    <mergeCell ref="F31:F33"/>
    <mergeCell ref="B34:B38"/>
    <mergeCell ref="C34:C38"/>
    <mergeCell ref="B39:B43"/>
    <mergeCell ref="C39:C43"/>
    <mergeCell ref="A31:A43"/>
    <mergeCell ref="B31:B33"/>
    <mergeCell ref="C31:C33"/>
    <mergeCell ref="D31:D33"/>
    <mergeCell ref="E31:E33"/>
    <mergeCell ref="F24:F26"/>
    <mergeCell ref="E27:E28"/>
    <mergeCell ref="F27:F28"/>
    <mergeCell ref="A29:A30"/>
    <mergeCell ref="B29:B30"/>
    <mergeCell ref="C29:C30"/>
    <mergeCell ref="D29:D30"/>
    <mergeCell ref="A13:A28"/>
    <mergeCell ref="B24:B28"/>
    <mergeCell ref="C24:C28"/>
    <mergeCell ref="D24:D28"/>
    <mergeCell ref="E24:E26"/>
    <mergeCell ref="F13:F15"/>
    <mergeCell ref="B17:B22"/>
    <mergeCell ref="C17:C22"/>
    <mergeCell ref="D17:D22"/>
    <mergeCell ref="E17:E22"/>
    <mergeCell ref="F17:F19"/>
    <mergeCell ref="F20:F22"/>
    <mergeCell ref="B13:B16"/>
    <mergeCell ref="C13:C16"/>
    <mergeCell ref="D13:D16"/>
    <mergeCell ref="E13:E15"/>
    <mergeCell ref="A1:A4"/>
    <mergeCell ref="C9:C11"/>
    <mergeCell ref="D9:D11"/>
    <mergeCell ref="E9:E11"/>
    <mergeCell ref="F9:F11"/>
    <mergeCell ref="F5:F7"/>
    <mergeCell ref="B9:B11"/>
    <mergeCell ref="A5:A12"/>
    <mergeCell ref="B5:B8"/>
    <mergeCell ref="C5:C8"/>
    <mergeCell ref="D5:D8"/>
    <mergeCell ref="E5:E7"/>
    <mergeCell ref="B1:B4"/>
    <mergeCell ref="C1:C4"/>
    <mergeCell ref="D1:D4"/>
    <mergeCell ref="E1:E4"/>
    <mergeCell ref="AP1:AP4"/>
    <mergeCell ref="L2:AM2"/>
    <mergeCell ref="L3:T3"/>
    <mergeCell ref="U3:AB3"/>
    <mergeCell ref="AC3:AD3"/>
    <mergeCell ref="AE3:AG3"/>
    <mergeCell ref="AH3:AL3"/>
    <mergeCell ref="AM3:AM4"/>
    <mergeCell ref="F1:F4"/>
    <mergeCell ref="J1:J4"/>
    <mergeCell ref="L1:AM1"/>
    <mergeCell ref="G1:G4"/>
    <mergeCell ref="H1:H4"/>
    <mergeCell ref="I1:I4"/>
  </mergeCells>
  <conditionalFormatting sqref="L67">
    <cfRule type="cellIs" dxfId="1580" priority="55" operator="notEqual">
      <formula>$L$69</formula>
    </cfRule>
    <cfRule type="cellIs" dxfId="1579" priority="56" operator="equal">
      <formula>$L$69</formula>
    </cfRule>
  </conditionalFormatting>
  <conditionalFormatting sqref="M67">
    <cfRule type="cellIs" dxfId="1578" priority="53" operator="notEqual">
      <formula>$M$69</formula>
    </cfRule>
    <cfRule type="cellIs" dxfId="1577" priority="54" operator="equal">
      <formula>$M$69</formula>
    </cfRule>
  </conditionalFormatting>
  <conditionalFormatting sqref="N67">
    <cfRule type="cellIs" dxfId="1576" priority="51" operator="notEqual">
      <formula>$N$69</formula>
    </cfRule>
    <cfRule type="cellIs" dxfId="1575" priority="52" operator="equal">
      <formula>$N$69</formula>
    </cfRule>
  </conditionalFormatting>
  <conditionalFormatting sqref="O67">
    <cfRule type="cellIs" dxfId="1574" priority="49" operator="notEqual">
      <formula>$O$69</formula>
    </cfRule>
    <cfRule type="cellIs" dxfId="1573" priority="50" operator="equal">
      <formula>$O$69</formula>
    </cfRule>
  </conditionalFormatting>
  <conditionalFormatting sqref="P67">
    <cfRule type="cellIs" dxfId="1572" priority="47" operator="notEqual">
      <formula>$P$69</formula>
    </cfRule>
    <cfRule type="cellIs" dxfId="1571" priority="48" operator="equal">
      <formula>$P$69</formula>
    </cfRule>
  </conditionalFormatting>
  <conditionalFormatting sqref="Q67">
    <cfRule type="cellIs" dxfId="1570" priority="45" operator="notEqual">
      <formula>$Q$69</formula>
    </cfRule>
    <cfRule type="cellIs" dxfId="1569" priority="46" operator="equal">
      <formula>$Q$69</formula>
    </cfRule>
  </conditionalFormatting>
  <conditionalFormatting sqref="R67">
    <cfRule type="cellIs" dxfId="1568" priority="43" operator="notEqual">
      <formula>$R$69</formula>
    </cfRule>
    <cfRule type="cellIs" dxfId="1567" priority="44" operator="equal">
      <formula>$R$69</formula>
    </cfRule>
  </conditionalFormatting>
  <conditionalFormatting sqref="S67">
    <cfRule type="cellIs" dxfId="1566" priority="41" operator="notEqual">
      <formula>$S$69</formula>
    </cfRule>
    <cfRule type="cellIs" dxfId="1565" priority="42" operator="equal">
      <formula>$S$69</formula>
    </cfRule>
  </conditionalFormatting>
  <conditionalFormatting sqref="T67">
    <cfRule type="cellIs" dxfId="1564" priority="39" operator="notEqual">
      <formula>$T$69</formula>
    </cfRule>
    <cfRule type="cellIs" dxfId="1563" priority="40" operator="equal">
      <formula>$T$69</formula>
    </cfRule>
  </conditionalFormatting>
  <conditionalFormatting sqref="U67">
    <cfRule type="cellIs" dxfId="1562" priority="37" operator="notEqual">
      <formula>$U$69</formula>
    </cfRule>
    <cfRule type="cellIs" dxfId="1561" priority="38" operator="equal">
      <formula>$U$69</formula>
    </cfRule>
  </conditionalFormatting>
  <conditionalFormatting sqref="V67">
    <cfRule type="cellIs" dxfId="1560" priority="35" operator="notEqual">
      <formula>$V$69</formula>
    </cfRule>
    <cfRule type="cellIs" dxfId="1559" priority="36" operator="equal">
      <formula>$V$69</formula>
    </cfRule>
  </conditionalFormatting>
  <conditionalFormatting sqref="W67">
    <cfRule type="cellIs" dxfId="1558" priority="33" operator="notEqual">
      <formula>$W$69</formula>
    </cfRule>
    <cfRule type="cellIs" dxfId="1557" priority="34" operator="equal">
      <formula>$W$69</formula>
    </cfRule>
  </conditionalFormatting>
  <conditionalFormatting sqref="X67">
    <cfRule type="cellIs" dxfId="1556" priority="31" operator="notEqual">
      <formula>$X$69</formula>
    </cfRule>
    <cfRule type="cellIs" dxfId="1555" priority="32" operator="equal">
      <formula>$X$69</formula>
    </cfRule>
  </conditionalFormatting>
  <conditionalFormatting sqref="Y67">
    <cfRule type="cellIs" dxfId="1554" priority="29" operator="notEqual">
      <formula>$Y$69</formula>
    </cfRule>
    <cfRule type="cellIs" dxfId="1553" priority="30" operator="equal">
      <formula>$Y$69</formula>
    </cfRule>
  </conditionalFormatting>
  <conditionalFormatting sqref="Z67">
    <cfRule type="cellIs" dxfId="1552" priority="27" operator="notEqual">
      <formula>$Z$69</formula>
    </cfRule>
    <cfRule type="cellIs" dxfId="1551" priority="28" operator="equal">
      <formula>$Z$69</formula>
    </cfRule>
  </conditionalFormatting>
  <conditionalFormatting sqref="AA67">
    <cfRule type="cellIs" dxfId="1550" priority="25" operator="notEqual">
      <formula>$AA$69</formula>
    </cfRule>
    <cfRule type="cellIs" dxfId="1549" priority="26" operator="equal">
      <formula>$AA$69</formula>
    </cfRule>
  </conditionalFormatting>
  <conditionalFormatting sqref="AB67">
    <cfRule type="cellIs" dxfId="1548" priority="23" operator="notEqual">
      <formula>$AB$69</formula>
    </cfRule>
    <cfRule type="cellIs" dxfId="1547" priority="24" operator="equal">
      <formula>$AB$69</formula>
    </cfRule>
  </conditionalFormatting>
  <conditionalFormatting sqref="AC67">
    <cfRule type="cellIs" dxfId="1546" priority="21" operator="notEqual">
      <formula>$AC$69</formula>
    </cfRule>
    <cfRule type="cellIs" dxfId="1545" priority="22" operator="equal">
      <formula>$AC$69</formula>
    </cfRule>
  </conditionalFormatting>
  <conditionalFormatting sqref="AD67">
    <cfRule type="cellIs" dxfId="1544" priority="19" operator="notEqual">
      <formula>$AD$69</formula>
    </cfRule>
    <cfRule type="cellIs" dxfId="1543" priority="20" operator="equal">
      <formula>$AD$69</formula>
    </cfRule>
  </conditionalFormatting>
  <conditionalFormatting sqref="AE67">
    <cfRule type="cellIs" dxfId="1542" priority="17" operator="notEqual">
      <formula>$AE$69</formula>
    </cfRule>
    <cfRule type="cellIs" dxfId="1541" priority="18" operator="equal">
      <formula>$AE$69</formula>
    </cfRule>
  </conditionalFormatting>
  <conditionalFormatting sqref="AF67">
    <cfRule type="cellIs" dxfId="1540" priority="16" operator="equal">
      <formula>$AF$69</formula>
    </cfRule>
  </conditionalFormatting>
  <conditionalFormatting sqref="AF67">
    <cfRule type="cellIs" dxfId="1539" priority="15" operator="notEqual">
      <formula>$AF$69</formula>
    </cfRule>
  </conditionalFormatting>
  <conditionalFormatting sqref="AG67">
    <cfRule type="cellIs" dxfId="1538" priority="14" operator="equal">
      <formula>$AG$69</formula>
    </cfRule>
  </conditionalFormatting>
  <conditionalFormatting sqref="AG67">
    <cfRule type="cellIs" dxfId="1537" priority="13" operator="notEqual">
      <formula>$AG$69</formula>
    </cfRule>
  </conditionalFormatting>
  <conditionalFormatting sqref="AH67">
    <cfRule type="cellIs" dxfId="1536" priority="12" operator="equal">
      <formula>$AH$69</formula>
    </cfRule>
  </conditionalFormatting>
  <conditionalFormatting sqref="AH67">
    <cfRule type="cellIs" dxfId="1535" priority="11" operator="notEqual">
      <formula>$AH$69</formula>
    </cfRule>
  </conditionalFormatting>
  <conditionalFormatting sqref="AI67">
    <cfRule type="cellIs" dxfId="1534" priority="10" operator="equal">
      <formula>$AI$69</formula>
    </cfRule>
  </conditionalFormatting>
  <conditionalFormatting sqref="AI67">
    <cfRule type="cellIs" dxfId="1533" priority="9" operator="notEqual">
      <formula>$AI$69</formula>
    </cfRule>
  </conditionalFormatting>
  <conditionalFormatting sqref="AJ67">
    <cfRule type="cellIs" dxfId="1532" priority="8" operator="equal">
      <formula>$AJ$69</formula>
    </cfRule>
  </conditionalFormatting>
  <conditionalFormatting sqref="AJ67">
    <cfRule type="cellIs" dxfId="1531" priority="7" operator="notEqual">
      <formula>$AJ$69</formula>
    </cfRule>
  </conditionalFormatting>
  <conditionalFormatting sqref="AK67">
    <cfRule type="cellIs" dxfId="1530" priority="6" operator="equal">
      <formula>$AK$69</formula>
    </cfRule>
  </conditionalFormatting>
  <conditionalFormatting sqref="AK67">
    <cfRule type="cellIs" dxfId="1529" priority="5" operator="notEqual">
      <formula>$AK$69</formula>
    </cfRule>
  </conditionalFormatting>
  <conditionalFormatting sqref="AL67">
    <cfRule type="cellIs" dxfId="1528" priority="4" operator="equal">
      <formula>$AL$69</formula>
    </cfRule>
  </conditionalFormatting>
  <conditionalFormatting sqref="AL67">
    <cfRule type="cellIs" dxfId="1527" priority="3" operator="notEqual">
      <formula>$AL$69</formula>
    </cfRule>
  </conditionalFormatting>
  <conditionalFormatting sqref="AM67">
    <cfRule type="cellIs" dxfId="1526" priority="2" operator="equal">
      <formula>$AM$69</formula>
    </cfRule>
  </conditionalFormatting>
  <conditionalFormatting sqref="AM67">
    <cfRule type="cellIs" dxfId="1525" priority="1" operator="notEqual">
      <formula>$AM$69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597B-3B45-4EDB-80EE-3F1A50ED1875}">
  <dimension ref="A1:AP71"/>
  <sheetViews>
    <sheetView showGridLines="0" topLeftCell="Y43" workbookViewId="0">
      <selection activeCell="AO67" sqref="AO67:AP6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" style="9" bestFit="1" customWidth="1"/>
    <col min="14" max="14" width="10.85546875" style="9" bestFit="1" customWidth="1"/>
    <col min="15" max="15" width="8.7109375" style="9" bestFit="1" customWidth="1"/>
    <col min="16" max="16" width="4.85546875" style="9" bestFit="1" customWidth="1"/>
    <col min="17" max="17" width="11.7109375" style="9" bestFit="1" customWidth="1"/>
    <col min="18" max="18" width="10.85546875" style="9" bestFit="1" customWidth="1"/>
    <col min="19" max="19" width="8.7109375" style="9" bestFit="1" customWidth="1"/>
    <col min="20" max="21" width="11.7109375" style="9" bestFit="1" customWidth="1"/>
    <col min="22" max="23" width="10" style="9" bestFit="1" customWidth="1"/>
    <col min="24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12.28515625" style="9" bestFit="1" customWidth="1"/>
    <col min="32" max="32" width="7.28515625" style="9" bestFit="1" customWidth="1"/>
    <col min="33" max="33" width="12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1.7109375" style="9" bestFit="1" customWidth="1"/>
    <col min="39" max="39" width="13.140625" style="9" bestFit="1" customWidth="1"/>
    <col min="40" max="40" width="9.140625" style="9"/>
    <col min="41" max="42" width="13.140625" style="9" bestFit="1" customWidth="1"/>
    <col min="43" max="16384" width="9.140625" style="9"/>
  </cols>
  <sheetData>
    <row r="1" spans="1:42" ht="11.25" customHeight="1" x14ac:dyDescent="0.25">
      <c r="A1" s="98" t="s">
        <v>92</v>
      </c>
      <c r="B1" s="98" t="s">
        <v>93</v>
      </c>
      <c r="C1" s="98" t="s">
        <v>94</v>
      </c>
      <c r="D1" s="98" t="s">
        <v>95</v>
      </c>
      <c r="E1" s="98" t="s">
        <v>96</v>
      </c>
      <c r="F1" s="98" t="s">
        <v>15</v>
      </c>
      <c r="G1" s="98" t="s">
        <v>98</v>
      </c>
      <c r="H1" s="98" t="s">
        <v>99</v>
      </c>
      <c r="I1" s="98" t="s">
        <v>924</v>
      </c>
      <c r="J1" s="93"/>
      <c r="L1" s="99" t="s">
        <v>938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O1" s="40"/>
      <c r="AP1" s="102" t="s">
        <v>926</v>
      </c>
    </row>
    <row r="2" spans="1:42" ht="11.25" customHeight="1" x14ac:dyDescent="0.25">
      <c r="A2" s="98"/>
      <c r="B2" s="98"/>
      <c r="C2" s="98"/>
      <c r="D2" s="98"/>
      <c r="E2" s="98"/>
      <c r="F2" s="98"/>
      <c r="G2" s="98"/>
      <c r="H2" s="98"/>
      <c r="I2" s="98"/>
      <c r="J2" s="93"/>
      <c r="L2" s="99" t="s">
        <v>834</v>
      </c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O2" s="40"/>
      <c r="AP2" s="103"/>
    </row>
    <row r="3" spans="1:42" ht="11.25" customHeight="1" x14ac:dyDescent="0.25">
      <c r="A3" s="98"/>
      <c r="B3" s="98"/>
      <c r="C3" s="98"/>
      <c r="D3" s="98"/>
      <c r="E3" s="98"/>
      <c r="F3" s="98"/>
      <c r="G3" s="98"/>
      <c r="H3" s="98"/>
      <c r="I3" s="98"/>
      <c r="J3" s="93"/>
      <c r="L3" s="99" t="s">
        <v>835</v>
      </c>
      <c r="M3" s="99"/>
      <c r="N3" s="99"/>
      <c r="O3" s="99"/>
      <c r="P3" s="99"/>
      <c r="Q3" s="99"/>
      <c r="R3" s="99"/>
      <c r="S3" s="99"/>
      <c r="T3" s="99"/>
      <c r="U3" s="99" t="s">
        <v>844</v>
      </c>
      <c r="V3" s="99"/>
      <c r="W3" s="99"/>
      <c r="X3" s="99"/>
      <c r="Y3" s="99"/>
      <c r="Z3" s="99"/>
      <c r="AA3" s="99"/>
      <c r="AB3" s="99"/>
      <c r="AC3" s="99" t="s">
        <v>852</v>
      </c>
      <c r="AD3" s="99"/>
      <c r="AE3" s="99" t="s">
        <v>854</v>
      </c>
      <c r="AF3" s="99"/>
      <c r="AG3" s="99"/>
      <c r="AH3" s="99" t="s">
        <v>857</v>
      </c>
      <c r="AI3" s="99"/>
      <c r="AJ3" s="99"/>
      <c r="AK3" s="99"/>
      <c r="AL3" s="99"/>
      <c r="AM3" s="99" t="s">
        <v>843</v>
      </c>
      <c r="AO3" s="40"/>
      <c r="AP3" s="103"/>
    </row>
    <row r="4" spans="1:42" ht="11.25" customHeight="1" x14ac:dyDescent="0.25">
      <c r="A4" s="98"/>
      <c r="B4" s="98"/>
      <c r="C4" s="98"/>
      <c r="D4" s="98"/>
      <c r="E4" s="98"/>
      <c r="F4" s="98"/>
      <c r="G4" s="98"/>
      <c r="H4" s="98"/>
      <c r="I4" s="98"/>
      <c r="J4" s="93"/>
      <c r="L4" s="32" t="s">
        <v>920</v>
      </c>
      <c r="M4" s="32" t="s">
        <v>836</v>
      </c>
      <c r="N4" s="32" t="s">
        <v>837</v>
      </c>
      <c r="O4" s="32" t="s">
        <v>838</v>
      </c>
      <c r="P4" s="32" t="s">
        <v>839</v>
      </c>
      <c r="Q4" s="32" t="s">
        <v>840</v>
      </c>
      <c r="R4" s="32" t="s">
        <v>841</v>
      </c>
      <c r="S4" s="32" t="s">
        <v>842</v>
      </c>
      <c r="T4" s="32" t="s">
        <v>843</v>
      </c>
      <c r="U4" s="32" t="s">
        <v>845</v>
      </c>
      <c r="V4" s="32" t="s">
        <v>846</v>
      </c>
      <c r="W4" s="32" t="s">
        <v>847</v>
      </c>
      <c r="X4" s="32" t="s">
        <v>848</v>
      </c>
      <c r="Y4" s="32" t="s">
        <v>849</v>
      </c>
      <c r="Z4" s="32" t="s">
        <v>850</v>
      </c>
      <c r="AA4" s="32" t="s">
        <v>851</v>
      </c>
      <c r="AB4" s="32" t="s">
        <v>843</v>
      </c>
      <c r="AC4" s="32" t="s">
        <v>853</v>
      </c>
      <c r="AD4" s="32" t="s">
        <v>843</v>
      </c>
      <c r="AE4" s="32" t="s">
        <v>855</v>
      </c>
      <c r="AF4" s="32" t="s">
        <v>856</v>
      </c>
      <c r="AG4" s="32" t="s">
        <v>843</v>
      </c>
      <c r="AH4" s="32" t="s">
        <v>858</v>
      </c>
      <c r="AI4" s="32" t="s">
        <v>859</v>
      </c>
      <c r="AJ4" s="32" t="s">
        <v>860</v>
      </c>
      <c r="AK4" s="32" t="s">
        <v>861</v>
      </c>
      <c r="AL4" s="32" t="s">
        <v>843</v>
      </c>
      <c r="AM4" s="101"/>
      <c r="AO4" s="41" t="s">
        <v>937</v>
      </c>
      <c r="AP4" s="104"/>
    </row>
    <row r="5" spans="1:42" ht="11.25" customHeight="1" x14ac:dyDescent="0.25">
      <c r="A5" s="97" t="s">
        <v>39</v>
      </c>
      <c r="B5" s="97" t="s">
        <v>40</v>
      </c>
      <c r="C5" s="97" t="s">
        <v>25</v>
      </c>
      <c r="D5" s="97" t="s">
        <v>25</v>
      </c>
      <c r="E5" s="97" t="s">
        <v>25</v>
      </c>
      <c r="F5" s="97" t="s">
        <v>25</v>
      </c>
      <c r="G5" s="38" t="s">
        <v>106</v>
      </c>
      <c r="H5" s="38" t="s">
        <v>105</v>
      </c>
      <c r="I5" s="38">
        <f>'MERCADO TUSD'!$U$2</f>
        <v>1097619</v>
      </c>
      <c r="J5" s="15"/>
      <c r="L5" s="31">
        <f>'TUSD BE'!$L$5*'TUSD BF'!$L$72</f>
        <v>0</v>
      </c>
      <c r="M5" s="31">
        <f>'TUSD BE'!$M$5*'TUSD BF'!$M$72</f>
        <v>0</v>
      </c>
      <c r="N5" s="31">
        <f ca="1">'TUSD BE'!$N$5*'TUSD BF'!$N$72</f>
        <v>0</v>
      </c>
      <c r="O5" s="31">
        <f>'TUSD BE'!$O$5*'TUSD BF'!$O$72</f>
        <v>0</v>
      </c>
      <c r="P5" s="31">
        <f>'TUSD BE'!$P$5*'TUSD BF'!$P$72</f>
        <v>0</v>
      </c>
      <c r="Q5" s="31">
        <f>'TUSD BE'!$Q$5*'TUSD BF'!$Q$72</f>
        <v>0</v>
      </c>
      <c r="R5" s="31">
        <f>'TUSD BE'!$R$5*'TUSD BF'!$R$72</f>
        <v>0</v>
      </c>
      <c r="S5" s="31">
        <f>'TUSD BE'!$R$5*'TUSD BF'!$S$72</f>
        <v>0</v>
      </c>
      <c r="T5" s="31">
        <f ca="1">SUM($L$5:$S$5)</f>
        <v>0</v>
      </c>
      <c r="U5" s="31">
        <f>'TUSD BE'!$U$5*'TUSD BF'!$U$72</f>
        <v>0.41651475976753288</v>
      </c>
      <c r="V5" s="31">
        <f>'TUSD BE'!$V$5*'TUSD BF'!$V$72</f>
        <v>0.12986439120523499</v>
      </c>
      <c r="W5" s="31">
        <f>'TUSD BE'!$W$5*'TUSD BF'!$W$72</f>
        <v>0</v>
      </c>
      <c r="X5" s="31">
        <f>'TUSD BE'!$X$5*'TUSD BF'!$X$72</f>
        <v>0</v>
      </c>
      <c r="Y5" s="31">
        <f>'TUSD BE'!$Y$5*'TUSD BF'!$Y$72</f>
        <v>0</v>
      </c>
      <c r="Z5" s="31">
        <f>'TUSD BE'!$Z$5*'TUSD BF'!$Z$72</f>
        <v>0</v>
      </c>
      <c r="AA5" s="31">
        <f>'TUSD BE'!$AA$5*'TUSD BF'!$AA$72</f>
        <v>0</v>
      </c>
      <c r="AB5" s="31">
        <f>SUM($U$5:$AA$5)</f>
        <v>0.5463791509727679</v>
      </c>
      <c r="AC5" s="31">
        <f>'TUSD BE'!$AC$5*'TUSD BF'!$AC$72</f>
        <v>0</v>
      </c>
      <c r="AD5" s="31">
        <f>SUM($AC$5:$AC$5)</f>
        <v>0</v>
      </c>
      <c r="AE5" s="31">
        <f ca="1">$AO$5*$AO$69</f>
        <v>0</v>
      </c>
      <c r="AF5" s="31">
        <f ca="1">$AP$5*$AP$69</f>
        <v>0</v>
      </c>
      <c r="AG5" s="31">
        <f ca="1">SUM($AE$5:$AF$5)</f>
        <v>0</v>
      </c>
      <c r="AH5" s="31">
        <f>'TUSD BE'!$AH$5*'TUSD BF'!$AH$72</f>
        <v>0</v>
      </c>
      <c r="AI5" s="31">
        <f>'TUSD BE'!$AI$5*'TUSD BF'!$AI$72</f>
        <v>0</v>
      </c>
      <c r="AJ5" s="31">
        <f ca="1">'TUSD BE'!$AJ$5*'TUSD BF'!$AJ$72</f>
        <v>0</v>
      </c>
      <c r="AK5" s="31">
        <f ca="1">'TUSD BE'!$AK$5*'TUSD BF'!$AK$72</f>
        <v>0</v>
      </c>
      <c r="AL5" s="31">
        <f ca="1">SUM($AH$5:$AK$5)</f>
        <v>0</v>
      </c>
      <c r="AM5" s="31">
        <f ca="1">SUMIF($L$4:$AL$4,"SUBTOTAL",$L$5:$AL$5)</f>
        <v>0.5463791509727679</v>
      </c>
      <c r="AO5" s="40">
        <f ca="1">+'TUSD BE'!$T$5+'TUSD BE'!$AB$5+'TUSD BE'!$AD$5+'TUSD BE'!$AL$5</f>
        <v>22.830988640469151</v>
      </c>
      <c r="AP5" s="40">
        <f ca="1">+'TUSD BE'!$T$5+'TUSD BE'!$AB$5+'TUSD BE'!$AD$5+'TUSD BE'!$AL$5</f>
        <v>22.830988640469151</v>
      </c>
    </row>
    <row r="6" spans="1:42" ht="11.25" customHeight="1" x14ac:dyDescent="0.25">
      <c r="A6" s="97"/>
      <c r="B6" s="97"/>
      <c r="C6" s="97"/>
      <c r="D6" s="97"/>
      <c r="E6" s="97"/>
      <c r="F6" s="97"/>
      <c r="G6" s="38" t="s">
        <v>107</v>
      </c>
      <c r="H6" s="38" t="s">
        <v>105</v>
      </c>
      <c r="I6" s="38">
        <f>'MERCADO TUSD'!$U$3</f>
        <v>1328173</v>
      </c>
      <c r="J6" s="15"/>
      <c r="L6" s="31">
        <f>'TUSD BE'!$L$6*'TUSD BF'!$L$72</f>
        <v>0</v>
      </c>
      <c r="M6" s="31">
        <f>'TUSD BE'!$M$6*'TUSD BF'!$M$72</f>
        <v>0</v>
      </c>
      <c r="N6" s="31">
        <f ca="1">'TUSD BE'!$N$6*'TUSD BF'!$N$72</f>
        <v>0</v>
      </c>
      <c r="O6" s="31">
        <f>'TUSD BE'!$O$6*'TUSD BF'!$O$72</f>
        <v>0</v>
      </c>
      <c r="P6" s="31">
        <f>'TUSD BE'!$P$6*'TUSD BF'!$P$72</f>
        <v>0</v>
      </c>
      <c r="Q6" s="31">
        <f>'TUSD BE'!$Q$6*'TUSD BF'!$Q$72</f>
        <v>0</v>
      </c>
      <c r="R6" s="31">
        <f>'TUSD BE'!$R$6*'TUSD BF'!$R$72</f>
        <v>0</v>
      </c>
      <c r="S6" s="31">
        <f>'TUSD BE'!$R$6*'TUSD BF'!$S$72</f>
        <v>0</v>
      </c>
      <c r="T6" s="31">
        <f ca="1">SUM($L$6:$S$6)</f>
        <v>0</v>
      </c>
      <c r="U6" s="31">
        <f>'TUSD BE'!$U$6*'TUSD BF'!$U$72</f>
        <v>0.33510899142709977</v>
      </c>
      <c r="V6" s="31">
        <f>'TUSD BE'!$V$6*'TUSD BF'!$V$72</f>
        <v>0.10322761769742805</v>
      </c>
      <c r="W6" s="31">
        <f>'TUSD BE'!$W$6*'TUSD BF'!$W$72</f>
        <v>0</v>
      </c>
      <c r="X6" s="31">
        <f>'TUSD BE'!$X$6*'TUSD BF'!$X$72</f>
        <v>0</v>
      </c>
      <c r="Y6" s="31">
        <f>'TUSD BE'!$Y$6*'TUSD BF'!$Y$72</f>
        <v>0</v>
      </c>
      <c r="Z6" s="31">
        <f>'TUSD BE'!$Z$6*'TUSD BF'!$Z$72</f>
        <v>0</v>
      </c>
      <c r="AA6" s="31">
        <f>'TUSD BE'!$AA$6*'TUSD BF'!$AA$72</f>
        <v>0</v>
      </c>
      <c r="AB6" s="31">
        <f>SUM($U$6:$AA$6)</f>
        <v>0.43833660912452782</v>
      </c>
      <c r="AC6" s="31">
        <f>'TUSD BE'!$AC$6*'TUSD BF'!$AC$72</f>
        <v>0</v>
      </c>
      <c r="AD6" s="31">
        <f>SUM($AC$6:$AC$6)</f>
        <v>0</v>
      </c>
      <c r="AE6" s="31">
        <f ca="1">$AO$6*$AO$69</f>
        <v>0</v>
      </c>
      <c r="AF6" s="31">
        <f ca="1">$AP$6*$AP$69</f>
        <v>0</v>
      </c>
      <c r="AG6" s="31">
        <f ca="1">SUM($AE$6:$AF$6)</f>
        <v>0</v>
      </c>
      <c r="AH6" s="31">
        <f>'TUSD BE'!$AH$6*'TUSD BF'!$AH$72</f>
        <v>0</v>
      </c>
      <c r="AI6" s="31">
        <f>'TUSD BE'!$AI$6*'TUSD BF'!$AI$72</f>
        <v>0</v>
      </c>
      <c r="AJ6" s="31">
        <f ca="1">'TUSD BE'!$AJ$6*'TUSD BF'!$AJ$72</f>
        <v>0</v>
      </c>
      <c r="AK6" s="31">
        <f ca="1">'TUSD BE'!$AK$6*'TUSD BF'!$AK$72</f>
        <v>0</v>
      </c>
      <c r="AL6" s="31">
        <f ca="1">SUM($AH$6:$AK$6)</f>
        <v>0</v>
      </c>
      <c r="AM6" s="31">
        <f ca="1">SUMIF($L$4:$AL$4,"SUBTOTAL",$L$6:$AL$6)</f>
        <v>0.43833660912452782</v>
      </c>
      <c r="AO6" s="40">
        <f ca="1">+'TUSD BE'!$T$6+'TUSD BE'!$AB$6+'TUSD BE'!$AD$6+'TUSD BE'!$AL$6</f>
        <v>11.659026556446371</v>
      </c>
      <c r="AP6" s="40">
        <f ca="1">+'TUSD BE'!$T$6+'TUSD BE'!$AB$6+'TUSD BE'!$AD$6+'TUSD BE'!$AL$6</f>
        <v>11.659026556446371</v>
      </c>
    </row>
    <row r="7" spans="1:42" ht="11.25" customHeight="1" x14ac:dyDescent="0.25">
      <c r="A7" s="97"/>
      <c r="B7" s="97"/>
      <c r="C7" s="97"/>
      <c r="D7" s="97"/>
      <c r="E7" s="97"/>
      <c r="F7" s="97"/>
      <c r="G7" s="38" t="s">
        <v>108</v>
      </c>
      <c r="H7" s="38" t="s">
        <v>102</v>
      </c>
      <c r="I7" s="38">
        <f>'MERCADO TUSD'!$U$4</f>
        <v>644358.49899999984</v>
      </c>
      <c r="J7" s="15"/>
      <c r="L7" s="31">
        <f>'TUSD BE'!$L$7*'TUSD BF'!$L$72</f>
        <v>0.20769259168361712</v>
      </c>
      <c r="M7" s="31">
        <f>'TUSD BE'!$M$7*'TUSD BF'!$M$72</f>
        <v>0</v>
      </c>
      <c r="N7" s="31">
        <f ca="1">'TUSD BE'!$N$7*'TUSD BF'!$N$72</f>
        <v>0</v>
      </c>
      <c r="O7" s="31">
        <f>'TUSD BE'!$O$7*'TUSD BF'!$O$72</f>
        <v>0</v>
      </c>
      <c r="P7" s="31">
        <f>'TUSD BE'!$P$7*'TUSD BF'!$P$72</f>
        <v>0</v>
      </c>
      <c r="Q7" s="31">
        <f>'TUSD BE'!$Q$7*'TUSD BF'!$Q$72</f>
        <v>5.6906008514119986</v>
      </c>
      <c r="R7" s="31">
        <f>'TUSD BE'!$R$7*'TUSD BF'!$R$72</f>
        <v>3.7661510086940049</v>
      </c>
      <c r="S7" s="31">
        <f>'TUSD BE'!$R$7*'TUSD BF'!$S$72</f>
        <v>0</v>
      </c>
      <c r="T7" s="31">
        <f ca="1">SUM($L$7:$S$7)</f>
        <v>9.6644444517896204</v>
      </c>
      <c r="U7" s="31">
        <f>'TUSD BE'!$U$7*'TUSD BF'!$U$72</f>
        <v>0</v>
      </c>
      <c r="V7" s="31">
        <f>'TUSD BE'!$V$7*'TUSD BF'!$V$72</f>
        <v>0</v>
      </c>
      <c r="W7" s="31">
        <f>'TUSD BE'!$W$7*'TUSD BF'!$W$72</f>
        <v>0</v>
      </c>
      <c r="X7" s="31">
        <f>'TUSD BE'!$X$7*'TUSD BF'!$X$72</f>
        <v>0</v>
      </c>
      <c r="Y7" s="31">
        <f>'TUSD BE'!$Y$7*'TUSD BF'!$Y$72</f>
        <v>0</v>
      </c>
      <c r="Z7" s="31">
        <f>'TUSD BE'!$Z$7*'TUSD BF'!$Z$72</f>
        <v>0</v>
      </c>
      <c r="AA7" s="31">
        <f>'TUSD BE'!$AA$7*'TUSD BF'!$AA$72</f>
        <v>0</v>
      </c>
      <c r="AB7" s="31">
        <f>SUM($U$7:$AA$7)</f>
        <v>0</v>
      </c>
      <c r="AC7" s="31">
        <f>'TUSD BE'!$AC$7*'TUSD BF'!$AC$72</f>
        <v>0</v>
      </c>
      <c r="AD7" s="31">
        <f>SUM($AC$7:$AC$7)</f>
        <v>0</v>
      </c>
      <c r="AE7" s="31">
        <f ca="1">$AO$7*$AO$69</f>
        <v>0</v>
      </c>
      <c r="AF7" s="31">
        <f ca="1">$AP$7*$AP$69</f>
        <v>0</v>
      </c>
      <c r="AG7" s="31">
        <f ca="1">SUM($AE$7:$AF$7)</f>
        <v>0</v>
      </c>
      <c r="AH7" s="31">
        <f>'TUSD BE'!$AH$7*'TUSD BF'!$AH$72</f>
        <v>0.33973485952145438</v>
      </c>
      <c r="AI7" s="31">
        <f>'TUSD BE'!$AI$7*'TUSD BF'!$AI$72</f>
        <v>1.0297909683302608E-2</v>
      </c>
      <c r="AJ7" s="31">
        <f ca="1">'TUSD BE'!$AJ$7*'TUSD BF'!$AJ$72</f>
        <v>0.179625815330273</v>
      </c>
      <c r="AK7" s="31">
        <f ca="1">'TUSD BE'!$AK$7*'TUSD BF'!$AK$72</f>
        <v>0</v>
      </c>
      <c r="AL7" s="31">
        <f ca="1">SUM($AH$7:$AK$7)</f>
        <v>0.52965858453503001</v>
      </c>
      <c r="AM7" s="31">
        <f ca="1">SUMIF($L$4:$AL$4,"SUBTOTAL",$L$7:$AL$7)</f>
        <v>10.19410303632465</v>
      </c>
      <c r="AO7" s="40">
        <f ca="1">+'TUSD BE'!$T$7+'TUSD BE'!$AB$7+'TUSD BE'!$AD$7+'TUSD BE'!$AL$7</f>
        <v>51.301222657444228</v>
      </c>
      <c r="AP7" s="40">
        <f ca="1">+'TUSD BE'!$T$7+'TUSD BE'!$AB$7+'TUSD BE'!$AD$7+'TUSD BE'!$AL$7</f>
        <v>51.301222657444228</v>
      </c>
    </row>
    <row r="8" spans="1:42" ht="11.25" customHeight="1" x14ac:dyDescent="0.25">
      <c r="A8" s="97"/>
      <c r="B8" s="97"/>
      <c r="C8" s="97"/>
      <c r="D8" s="97"/>
      <c r="E8" s="37" t="s">
        <v>59</v>
      </c>
      <c r="F8" s="37" t="s">
        <v>25</v>
      </c>
      <c r="G8" s="38" t="s">
        <v>108</v>
      </c>
      <c r="H8" s="38" t="s">
        <v>102</v>
      </c>
      <c r="I8" s="38">
        <f>'MERCADO TUSD'!$U$5</f>
        <v>0</v>
      </c>
      <c r="J8" s="15"/>
      <c r="L8" s="31">
        <f>'TUSD BE'!$L$8*'TUSD BF'!$L$72</f>
        <v>0</v>
      </c>
      <c r="M8" s="31">
        <f>'TUSD BE'!$M$8*'TUSD BF'!$M$72</f>
        <v>0</v>
      </c>
      <c r="N8" s="31">
        <f ca="1">'TUSD BE'!$N$8*'TUSD BF'!$N$72</f>
        <v>0</v>
      </c>
      <c r="O8" s="31">
        <f>'TUSD BE'!$O$8*'TUSD BF'!$O$72</f>
        <v>0</v>
      </c>
      <c r="P8" s="31">
        <f>'TUSD BE'!$P$8*'TUSD BF'!$P$72</f>
        <v>0</v>
      </c>
      <c r="Q8" s="31">
        <f>'TUSD BE'!$Q$8*'TUSD BF'!$Q$72</f>
        <v>0</v>
      </c>
      <c r="R8" s="31">
        <f>'TUSD BE'!$R$8*'TUSD BF'!$R$72</f>
        <v>0</v>
      </c>
      <c r="S8" s="31">
        <f>'TUSD BE'!$R$8*'TUSD BF'!$S$72</f>
        <v>0</v>
      </c>
      <c r="T8" s="31">
        <f ca="1">SUM($L$8:$S$8)</f>
        <v>0</v>
      </c>
      <c r="U8" s="31">
        <f>'TUSD BE'!$U$8*'TUSD BF'!$U$72</f>
        <v>0</v>
      </c>
      <c r="V8" s="31">
        <f>'TUSD BE'!$V$8*'TUSD BF'!$V$72</f>
        <v>0</v>
      </c>
      <c r="W8" s="31">
        <f>'TUSD BE'!$W$8*'TUSD BF'!$W$72</f>
        <v>0</v>
      </c>
      <c r="X8" s="31">
        <f>'TUSD BE'!$X$8*'TUSD BF'!$X$72</f>
        <v>0</v>
      </c>
      <c r="Y8" s="31">
        <f>'TUSD BE'!$Y$8*'TUSD BF'!$Y$72</f>
        <v>0</v>
      </c>
      <c r="Z8" s="31">
        <f>'TUSD BE'!$Z$8*'TUSD BF'!$Z$72</f>
        <v>0</v>
      </c>
      <c r="AA8" s="31">
        <f>'TUSD BE'!$AA$8*'TUSD BF'!$AA$72</f>
        <v>0</v>
      </c>
      <c r="AB8" s="31">
        <f>SUM($U$8:$AA$8)</f>
        <v>0</v>
      </c>
      <c r="AC8" s="31">
        <f>'TUSD BE'!$AC$8*'TUSD BF'!$AC$72</f>
        <v>0</v>
      </c>
      <c r="AD8" s="31">
        <f>SUM($AC$8:$AC$8)</f>
        <v>0</v>
      </c>
      <c r="AE8" s="31">
        <f ca="1">$AO$8*$AO$69</f>
        <v>0</v>
      </c>
      <c r="AF8" s="31">
        <f ca="1">$AP$8*$AP$69</f>
        <v>0</v>
      </c>
      <c r="AG8" s="31">
        <f ca="1">SUM($AE$8:$AF$8)</f>
        <v>0</v>
      </c>
      <c r="AH8" s="31">
        <f>'TUSD BE'!$AH$8*'TUSD BF'!$AH$72</f>
        <v>0.33973485952145438</v>
      </c>
      <c r="AI8" s="31">
        <f>'TUSD BE'!$AI$8*'TUSD BF'!$AI$72</f>
        <v>1.0297909683302608E-2</v>
      </c>
      <c r="AJ8" s="31">
        <f ca="1">'TUSD BE'!$AJ$8*'TUSD BF'!$AJ$72</f>
        <v>0.179625815330273</v>
      </c>
      <c r="AK8" s="31">
        <f ca="1">'TUSD BE'!$AK$8*'TUSD BF'!$AK$72</f>
        <v>0</v>
      </c>
      <c r="AL8" s="31">
        <f ca="1">SUM($AH$8:$AK$8)</f>
        <v>0.52965858453503001</v>
      </c>
      <c r="AM8" s="31">
        <f ca="1">SUMIF($L$4:$AL$4,"SUBTOTAL",$L$8:$AL$8)</f>
        <v>0.52965858453503001</v>
      </c>
      <c r="AO8" s="40">
        <f ca="1">+'TUSD BE'!$T$8+'TUSD BE'!$AB$8+'TUSD BE'!$AD$8+'TUSD BE'!$AL$8</f>
        <v>10.706936747873874</v>
      </c>
      <c r="AP8" s="40">
        <f ca="1">+'TUSD BE'!$T$8+'TUSD BE'!$AB$8+'TUSD BE'!$AD$8+'TUSD BE'!$AL$8</f>
        <v>10.706936747873874</v>
      </c>
    </row>
    <row r="9" spans="1:42" ht="11.25" customHeight="1" x14ac:dyDescent="0.25">
      <c r="A9" s="97"/>
      <c r="B9" s="97" t="s">
        <v>62</v>
      </c>
      <c r="C9" s="97" t="s">
        <v>25</v>
      </c>
      <c r="D9" s="97" t="s">
        <v>25</v>
      </c>
      <c r="E9" s="97" t="s">
        <v>25</v>
      </c>
      <c r="F9" s="97" t="s">
        <v>65</v>
      </c>
      <c r="G9" s="38" t="s">
        <v>106</v>
      </c>
      <c r="H9" s="38" t="s">
        <v>105</v>
      </c>
      <c r="I9" s="38">
        <f>'MERCADO TUSD'!$U$6</f>
        <v>344392</v>
      </c>
      <c r="J9" s="15"/>
      <c r="L9" s="31">
        <f>'TUSD BE'!$L$9*'TUSD BF'!$L$72</f>
        <v>0</v>
      </c>
      <c r="M9" s="31">
        <f>'TUSD BE'!$M$9*'TUSD BF'!$M$72</f>
        <v>0</v>
      </c>
      <c r="N9" s="31">
        <f ca="1">'TUSD BE'!$N$9*'TUSD BF'!$N$72</f>
        <v>0</v>
      </c>
      <c r="O9" s="31">
        <f>'TUSD BE'!$O$9*'TUSD BF'!$O$72</f>
        <v>0</v>
      </c>
      <c r="P9" s="31">
        <f>'TUSD BE'!$P$9*'TUSD BF'!$P$72</f>
        <v>0</v>
      </c>
      <c r="Q9" s="31">
        <f>'TUSD BE'!$Q$9*'TUSD BF'!$Q$72</f>
        <v>0</v>
      </c>
      <c r="R9" s="31">
        <f>'TUSD BE'!$R$9*'TUSD BF'!$R$72</f>
        <v>0</v>
      </c>
      <c r="S9" s="31">
        <f>'TUSD BE'!$R$9*'TUSD BF'!$S$72</f>
        <v>0</v>
      </c>
      <c r="T9" s="31">
        <f ca="1">SUM($L$9:$S$9)</f>
        <v>0</v>
      </c>
      <c r="U9" s="31">
        <f>'TUSD BE'!$U$9*'TUSD BF'!$U$72</f>
        <v>0.41651475976753288</v>
      </c>
      <c r="V9" s="31">
        <f>'TUSD BE'!$V$9*'TUSD BF'!$V$72</f>
        <v>0.12986439120523499</v>
      </c>
      <c r="W9" s="31">
        <f>'TUSD BE'!$W$9*'TUSD BF'!$W$72</f>
        <v>0</v>
      </c>
      <c r="X9" s="31">
        <f>'TUSD BE'!$X$9*'TUSD BF'!$X$72</f>
        <v>0</v>
      </c>
      <c r="Y9" s="31">
        <f>'TUSD BE'!$Y$9*'TUSD BF'!$Y$72</f>
        <v>0</v>
      </c>
      <c r="Z9" s="31">
        <f>'TUSD BE'!$Z$9*'TUSD BF'!$Z$72</f>
        <v>0</v>
      </c>
      <c r="AA9" s="31">
        <f>'TUSD BE'!$AA$9*'TUSD BF'!$AA$72</f>
        <v>0</v>
      </c>
      <c r="AB9" s="31">
        <f>SUM($U$9:$AA$9)</f>
        <v>0.5463791509727679</v>
      </c>
      <c r="AC9" s="31">
        <f>'TUSD BE'!$AC$9*'TUSD BF'!$AC$72</f>
        <v>0</v>
      </c>
      <c r="AD9" s="31">
        <f>SUM($AC$9:$AC$9)</f>
        <v>0</v>
      </c>
      <c r="AE9" s="31">
        <v>0</v>
      </c>
      <c r="AF9" s="31">
        <f ca="1">$AP$9*$AP$69</f>
        <v>0</v>
      </c>
      <c r="AG9" s="31">
        <f ca="1">SUM($AE$9:$AF$9)</f>
        <v>0</v>
      </c>
      <c r="AH9" s="31">
        <f>'TUSD BE'!$AH$9*'TUSD BF'!$AH$72</f>
        <v>0</v>
      </c>
      <c r="AI9" s="31">
        <f>'TUSD BE'!$AI$9*'TUSD BF'!$AI$72</f>
        <v>0</v>
      </c>
      <c r="AJ9" s="31">
        <f ca="1">'TUSD BE'!$AJ$9*'TUSD BF'!$AJ$72</f>
        <v>0</v>
      </c>
      <c r="AK9" s="31">
        <f ca="1">'TUSD BE'!$AK$9*'TUSD BF'!$AK$72</f>
        <v>0</v>
      </c>
      <c r="AL9" s="31">
        <f ca="1">SUM($AH$9:$AK$9)</f>
        <v>0</v>
      </c>
      <c r="AM9" s="31">
        <f ca="1">SUMIF($L$4:$AL$4,"SUBTOTAL",$L$9:$AL$9)</f>
        <v>0.5463791509727679</v>
      </c>
      <c r="AO9" s="40"/>
      <c r="AP9" s="40">
        <f ca="1">+'TUSD BE'!$T$9+'TUSD BE'!$AB$9+'TUSD BE'!$AD$9+'TUSD BE'!$AL$9</f>
        <v>22.830988640469151</v>
      </c>
    </row>
    <row r="10" spans="1:42" ht="11.25" customHeight="1" x14ac:dyDescent="0.25">
      <c r="A10" s="97"/>
      <c r="B10" s="97"/>
      <c r="C10" s="97"/>
      <c r="D10" s="97"/>
      <c r="E10" s="97"/>
      <c r="F10" s="97"/>
      <c r="G10" s="38" t="s">
        <v>107</v>
      </c>
      <c r="H10" s="38" t="s">
        <v>105</v>
      </c>
      <c r="I10" s="38">
        <f>'MERCADO TUSD'!$U$7</f>
        <v>351600</v>
      </c>
      <c r="J10" s="15"/>
      <c r="L10" s="31">
        <f>'TUSD BE'!$L$10*'TUSD BF'!$L$72</f>
        <v>0</v>
      </c>
      <c r="M10" s="31">
        <f>'TUSD BE'!$M$10*'TUSD BF'!$M$72</f>
        <v>0</v>
      </c>
      <c r="N10" s="31">
        <f ca="1">'TUSD BE'!$N$10*'TUSD BF'!$N$72</f>
        <v>0</v>
      </c>
      <c r="O10" s="31">
        <f>'TUSD BE'!$O$10*'TUSD BF'!$O$72</f>
        <v>0</v>
      </c>
      <c r="P10" s="31">
        <f>'TUSD BE'!$P$10*'TUSD BF'!$P$72</f>
        <v>0</v>
      </c>
      <c r="Q10" s="31">
        <f>'TUSD BE'!$Q$10*'TUSD BF'!$Q$72</f>
        <v>0</v>
      </c>
      <c r="R10" s="31">
        <f>'TUSD BE'!$R$10*'TUSD BF'!$R$72</f>
        <v>0</v>
      </c>
      <c r="S10" s="31">
        <f>'TUSD BE'!$R$10*'TUSD BF'!$S$72</f>
        <v>0</v>
      </c>
      <c r="T10" s="31">
        <f ca="1">SUM($L$10:$S$10)</f>
        <v>0</v>
      </c>
      <c r="U10" s="31">
        <f>'TUSD BE'!$U$10*'TUSD BF'!$U$72</f>
        <v>0.33510899142709977</v>
      </c>
      <c r="V10" s="31">
        <f>'TUSD BE'!$V$10*'TUSD BF'!$V$72</f>
        <v>0.10322761769742805</v>
      </c>
      <c r="W10" s="31">
        <f>'TUSD BE'!$W$10*'TUSD BF'!$W$72</f>
        <v>0</v>
      </c>
      <c r="X10" s="31">
        <f>'TUSD BE'!$X$10*'TUSD BF'!$X$72</f>
        <v>0</v>
      </c>
      <c r="Y10" s="31">
        <f>'TUSD BE'!$Y$10*'TUSD BF'!$Y$72</f>
        <v>0</v>
      </c>
      <c r="Z10" s="31">
        <f>'TUSD BE'!$Z$10*'TUSD BF'!$Z$72</f>
        <v>0</v>
      </c>
      <c r="AA10" s="31">
        <f>'TUSD BE'!$AA$10*'TUSD BF'!$AA$72</f>
        <v>0</v>
      </c>
      <c r="AB10" s="31">
        <f>SUM($U$10:$AA$10)</f>
        <v>0.43833660912452782</v>
      </c>
      <c r="AC10" s="31">
        <f>'TUSD BE'!$AC$10*'TUSD BF'!$AC$72</f>
        <v>0</v>
      </c>
      <c r="AD10" s="31">
        <f>SUM($AC$10:$AC$10)</f>
        <v>0</v>
      </c>
      <c r="AE10" s="31">
        <v>0</v>
      </c>
      <c r="AF10" s="31">
        <f ca="1">$AP$10*$AP$69</f>
        <v>0</v>
      </c>
      <c r="AG10" s="31">
        <f ca="1">SUM($AE$10:$AF$10)</f>
        <v>0</v>
      </c>
      <c r="AH10" s="31">
        <f>'TUSD BE'!$AH$10*'TUSD BF'!$AH$72</f>
        <v>0</v>
      </c>
      <c r="AI10" s="31">
        <f>'TUSD BE'!$AI$10*'TUSD BF'!$AI$72</f>
        <v>0</v>
      </c>
      <c r="AJ10" s="31">
        <f ca="1">'TUSD BE'!$AJ$10*'TUSD BF'!$AJ$72</f>
        <v>0</v>
      </c>
      <c r="AK10" s="31">
        <f ca="1">'TUSD BE'!$AK$10*'TUSD BF'!$AK$72</f>
        <v>0</v>
      </c>
      <c r="AL10" s="31">
        <f ca="1">SUM($AH$10:$AK$10)</f>
        <v>0</v>
      </c>
      <c r="AM10" s="31">
        <f ca="1">SUMIF($L$4:$AL$4,"SUBTOTAL",$L$10:$AL$10)</f>
        <v>0.43833660912452782</v>
      </c>
      <c r="AO10" s="40"/>
      <c r="AP10" s="40">
        <f ca="1">+'TUSD BE'!$T$10+'TUSD BE'!$AB$10+'TUSD BE'!$AD$10+'TUSD BE'!$AL$10</f>
        <v>11.659026556446371</v>
      </c>
    </row>
    <row r="11" spans="1:42" ht="11.25" customHeight="1" x14ac:dyDescent="0.25">
      <c r="A11" s="97"/>
      <c r="B11" s="97"/>
      <c r="C11" s="97"/>
      <c r="D11" s="97"/>
      <c r="E11" s="97"/>
      <c r="F11" s="97"/>
      <c r="G11" s="38" t="s">
        <v>108</v>
      </c>
      <c r="H11" s="38" t="s">
        <v>102</v>
      </c>
      <c r="I11" s="38">
        <f>'MERCADO TUSD'!$U$8</f>
        <v>143574.41700000002</v>
      </c>
      <c r="J11" s="15"/>
      <c r="L11" s="31">
        <f>'TUSD BE'!$L$11*'TUSD BF'!$L$72</f>
        <v>0</v>
      </c>
      <c r="M11" s="31">
        <f>'TUSD BE'!$M$11*'TUSD BF'!$M$72</f>
        <v>0</v>
      </c>
      <c r="N11" s="31">
        <f ca="1">'TUSD BE'!$N$11*'TUSD BF'!$N$72</f>
        <v>0</v>
      </c>
      <c r="O11" s="31">
        <f>'TUSD BE'!$O$11*'TUSD BF'!$O$72</f>
        <v>0</v>
      </c>
      <c r="P11" s="31">
        <f>'TUSD BE'!$P$11*'TUSD BF'!$P$72</f>
        <v>0</v>
      </c>
      <c r="Q11" s="31">
        <f>'TUSD BE'!$Q$11*'TUSD BF'!$Q$72</f>
        <v>0</v>
      </c>
      <c r="R11" s="31">
        <f>'TUSD BE'!$R$11*'TUSD BF'!$R$72</f>
        <v>0</v>
      </c>
      <c r="S11" s="31">
        <f>'TUSD BE'!$R$11*'TUSD BF'!$S$72</f>
        <v>0</v>
      </c>
      <c r="T11" s="31">
        <f ca="1">SUM($L$11:$S$11)</f>
        <v>0</v>
      </c>
      <c r="U11" s="31">
        <f>'TUSD BE'!$U$11*'TUSD BF'!$U$72</f>
        <v>0</v>
      </c>
      <c r="V11" s="31">
        <f>'TUSD BE'!$V$11*'TUSD BF'!$V$72</f>
        <v>0</v>
      </c>
      <c r="W11" s="31">
        <f>'TUSD BE'!$W$11*'TUSD BF'!$W$72</f>
        <v>0</v>
      </c>
      <c r="X11" s="31">
        <f>'TUSD BE'!$X$11*'TUSD BF'!$X$72</f>
        <v>0</v>
      </c>
      <c r="Y11" s="31">
        <f>'TUSD BE'!$Y$11*'TUSD BF'!$Y$72</f>
        <v>0</v>
      </c>
      <c r="Z11" s="31">
        <f>'TUSD BE'!$Z$11*'TUSD BF'!$Z$72</f>
        <v>0</v>
      </c>
      <c r="AA11" s="31">
        <f>'TUSD BE'!$AA$11*'TUSD BF'!$AA$72</f>
        <v>0</v>
      </c>
      <c r="AB11" s="31">
        <f>SUM($U$11:$AA$11)</f>
        <v>0</v>
      </c>
      <c r="AC11" s="31">
        <f>'TUSD BE'!$AC$11*'TUSD BF'!$AC$72</f>
        <v>0</v>
      </c>
      <c r="AD11" s="31">
        <f>SUM($AC$11:$AC$11)</f>
        <v>0</v>
      </c>
      <c r="AE11" s="31">
        <v>0</v>
      </c>
      <c r="AF11" s="31">
        <f ca="1">$AP$11*$AP$69</f>
        <v>0</v>
      </c>
      <c r="AG11" s="31">
        <f ca="1">SUM($AE$11:$AF$11)</f>
        <v>0</v>
      </c>
      <c r="AH11" s="31">
        <f>'TUSD BE'!$AH$11*'TUSD BF'!$AH$72</f>
        <v>0.33973485952145438</v>
      </c>
      <c r="AI11" s="31">
        <f>'TUSD BE'!$AI$11*'TUSD BF'!$AI$72</f>
        <v>1.0297909683302608E-2</v>
      </c>
      <c r="AJ11" s="31">
        <f ca="1">'TUSD BE'!$AJ$11*'TUSD BF'!$AJ$72</f>
        <v>0</v>
      </c>
      <c r="AK11" s="31">
        <f ca="1">'TUSD BE'!$AK$11*'TUSD BF'!$AK$72</f>
        <v>0</v>
      </c>
      <c r="AL11" s="31">
        <f ca="1">SUM($AH$11:$AK$11)</f>
        <v>0.35003276920475701</v>
      </c>
      <c r="AM11" s="31">
        <f ca="1">SUMIF($L$4:$AL$4,"SUBTOTAL",$L$11:$AL$11)</f>
        <v>0.35003276920475701</v>
      </c>
      <c r="AO11" s="40"/>
      <c r="AP11" s="40">
        <f ca="1">+'TUSD BE'!$T$11+'TUSD BE'!$AB$11+'TUSD BE'!$AD$11+'TUSD BE'!$AL$11</f>
        <v>6.8485608464402565</v>
      </c>
    </row>
    <row r="12" spans="1:42" ht="11.25" customHeight="1" x14ac:dyDescent="0.25">
      <c r="A12" s="97"/>
      <c r="B12" s="37" t="s">
        <v>66</v>
      </c>
      <c r="C12" s="37" t="s">
        <v>25</v>
      </c>
      <c r="D12" s="37" t="s">
        <v>25</v>
      </c>
      <c r="E12" s="37" t="s">
        <v>25</v>
      </c>
      <c r="F12" s="37" t="s">
        <v>25</v>
      </c>
      <c r="G12" s="38" t="s">
        <v>9</v>
      </c>
      <c r="H12" s="38" t="s">
        <v>105</v>
      </c>
      <c r="I12" s="38">
        <f>'MERCADO TUSD'!$U$9</f>
        <v>2595530</v>
      </c>
      <c r="J12" s="15"/>
      <c r="L12" s="31">
        <f>'TUSD BE'!$L$12*'TUSD BF'!$L$72</f>
        <v>0</v>
      </c>
      <c r="M12" s="31">
        <f>'TUSD BE'!$M$12*'TUSD BF'!$M$72</f>
        <v>0</v>
      </c>
      <c r="N12" s="31">
        <f>'TUSD BE'!$N$12*'TUSD BF'!$N$72</f>
        <v>0</v>
      </c>
      <c r="O12" s="31">
        <f>'TUSD BE'!$O$12*'TUSD BF'!$O$72</f>
        <v>0</v>
      </c>
      <c r="P12" s="31">
        <f>'TUSD BE'!$P$12*'TUSD BF'!$P$72</f>
        <v>0</v>
      </c>
      <c r="Q12" s="31">
        <f>'TUSD BE'!$Q$12*'TUSD BF'!$Q$72</f>
        <v>0</v>
      </c>
      <c r="R12" s="31">
        <f>'TUSD BE'!$R$12*'TUSD BF'!$R$72</f>
        <v>0</v>
      </c>
      <c r="S12" s="31">
        <f>'TUSD BE'!$R$12*'TUSD BF'!$S$72</f>
        <v>0</v>
      </c>
      <c r="T12" s="31">
        <f>SUM($L$12:$S$12)</f>
        <v>0</v>
      </c>
      <c r="U12" s="31">
        <f>'TUSD BE'!$U$12*'TUSD BF'!$U$72</f>
        <v>0</v>
      </c>
      <c r="V12" s="31">
        <f>'TUSD BE'!$V$12*'TUSD BF'!$V$72</f>
        <v>0</v>
      </c>
      <c r="W12" s="31">
        <f>'TUSD BE'!$W$12*'TUSD BF'!$W$72</f>
        <v>0</v>
      </c>
      <c r="X12" s="31">
        <f>'TUSD BE'!$X$12*'TUSD BF'!$X$72</f>
        <v>0</v>
      </c>
      <c r="Y12" s="31">
        <f>'TUSD BE'!$Y$12*'TUSD BF'!$Y$72</f>
        <v>0</v>
      </c>
      <c r="Z12" s="31">
        <f>'TUSD BE'!$Z$12*'TUSD BF'!$Z$72</f>
        <v>0</v>
      </c>
      <c r="AA12" s="31">
        <f>'TUSD BE'!$AA$12*'TUSD BF'!$AA$72</f>
        <v>0</v>
      </c>
      <c r="AB12" s="31">
        <f>SUM($U$12:$AA$12)</f>
        <v>0</v>
      </c>
      <c r="AC12" s="31">
        <f>'TUSD BE'!$AC$12*'TUSD BF'!$AC$72</f>
        <v>0</v>
      </c>
      <c r="AD12" s="31">
        <f>SUM($AC$12:$AC$12)</f>
        <v>0</v>
      </c>
      <c r="AE12" s="31">
        <f ca="1">$AO$12*$AO$69</f>
        <v>0</v>
      </c>
      <c r="AF12" s="31">
        <f ca="1">$AP$12*$AP$69</f>
        <v>0</v>
      </c>
      <c r="AG12" s="31">
        <f ca="1">SUM($AE$12:$AF$12)</f>
        <v>0</v>
      </c>
      <c r="AH12" s="31">
        <f>'TUSD BE'!$AH$12*'TUSD BF'!$AH$72</f>
        <v>5.0797451450143569E-2</v>
      </c>
      <c r="AI12" s="31">
        <f>'TUSD BE'!$AI$12*'TUSD BF'!$AI$72</f>
        <v>1.422075337355222E-2</v>
      </c>
      <c r="AJ12" s="31">
        <f>'TUSD BE'!$AJ$12*'TUSD BF'!$AJ$72</f>
        <v>0</v>
      </c>
      <c r="AK12" s="31">
        <f>'TUSD BE'!$AK$12*'TUSD BF'!$AK$72</f>
        <v>0</v>
      </c>
      <c r="AL12" s="31">
        <f>SUM($AH$12:$AK$12)</f>
        <v>6.5018204823695788E-2</v>
      </c>
      <c r="AM12" s="31">
        <f ca="1">SUMIF($L$4:$AL$4,"SUBTOTAL",$L$12:$AL$12)</f>
        <v>6.5018204823695788E-2</v>
      </c>
      <c r="AO12" s="40">
        <f>+'TUSD BE'!$T$12+'TUSD BE'!$AB$12+'TUSD BE'!$AD$12+'TUSD BE'!$AL$12</f>
        <v>14.226745485369452</v>
      </c>
      <c r="AP12" s="40">
        <f>+'TUSD BE'!$T$12+'TUSD BE'!$AB$12+'TUSD BE'!$AD$12+'TUSD BE'!$AL$12</f>
        <v>14.226745485369452</v>
      </c>
    </row>
    <row r="13" spans="1:42" ht="11.25" customHeight="1" x14ac:dyDescent="0.25">
      <c r="A13" s="97" t="s">
        <v>41</v>
      </c>
      <c r="B13" s="97" t="s">
        <v>40</v>
      </c>
      <c r="C13" s="97" t="s">
        <v>25</v>
      </c>
      <c r="D13" s="97" t="s">
        <v>25</v>
      </c>
      <c r="E13" s="97" t="s">
        <v>25</v>
      </c>
      <c r="F13" s="97" t="s">
        <v>25</v>
      </c>
      <c r="G13" s="38" t="s">
        <v>106</v>
      </c>
      <c r="H13" s="38" t="s">
        <v>105</v>
      </c>
      <c r="I13" s="38">
        <f>'MERCADO TUSD'!$U$10</f>
        <v>558998</v>
      </c>
      <c r="J13" s="15"/>
      <c r="L13" s="31">
        <f>'TUSD BE'!$L$13*'TUSD BF'!$L$72</f>
        <v>0</v>
      </c>
      <c r="M13" s="31">
        <f>'TUSD BE'!$M$13*'TUSD BF'!$M$72</f>
        <v>0</v>
      </c>
      <c r="N13" s="31">
        <f ca="1">'TUSD BE'!$N$13*'TUSD BF'!$N$72</f>
        <v>0</v>
      </c>
      <c r="O13" s="31">
        <f>'TUSD BE'!$O$13*'TUSD BF'!$O$72</f>
        <v>0</v>
      </c>
      <c r="P13" s="31">
        <f>'TUSD BE'!$P$13*'TUSD BF'!$P$72</f>
        <v>0</v>
      </c>
      <c r="Q13" s="31">
        <f>'TUSD BE'!$Q$13*'TUSD BF'!$Q$72</f>
        <v>0</v>
      </c>
      <c r="R13" s="31">
        <f>'TUSD BE'!$R$13*'TUSD BF'!$R$72</f>
        <v>0</v>
      </c>
      <c r="S13" s="31">
        <f>'TUSD BE'!$R$13*'TUSD BF'!$S$72</f>
        <v>0</v>
      </c>
      <c r="T13" s="31">
        <f ca="1">SUM($L$13:$S$13)</f>
        <v>0</v>
      </c>
      <c r="U13" s="31">
        <f>'TUSD BE'!$U$13*'TUSD BF'!$U$72</f>
        <v>0.35739308411931542</v>
      </c>
      <c r="V13" s="31">
        <f>'TUSD BE'!$V$13*'TUSD BF'!$V$72</f>
        <v>0.11142977591809247</v>
      </c>
      <c r="W13" s="31">
        <f>'TUSD BE'!$W$13*'TUSD BF'!$W$72</f>
        <v>0</v>
      </c>
      <c r="X13" s="31">
        <f>'TUSD BE'!$X$13*'TUSD BF'!$X$72</f>
        <v>0</v>
      </c>
      <c r="Y13" s="31">
        <f>'TUSD BE'!$Y$13*'TUSD BF'!$Y$72</f>
        <v>0</v>
      </c>
      <c r="Z13" s="31">
        <f>'TUSD BE'!$Z$13*'TUSD BF'!$Z$72</f>
        <v>0</v>
      </c>
      <c r="AA13" s="31">
        <f>'TUSD BE'!$AA$13*'TUSD BF'!$AA$72</f>
        <v>0</v>
      </c>
      <c r="AB13" s="31">
        <f>SUM($U$13:$AA$13)</f>
        <v>0.46882286003740792</v>
      </c>
      <c r="AC13" s="31">
        <f>'TUSD BE'!$AC$13*'TUSD BF'!$AC$72</f>
        <v>0</v>
      </c>
      <c r="AD13" s="31">
        <f>SUM($AC$13:$AC$13)</f>
        <v>0</v>
      </c>
      <c r="AE13" s="31">
        <f ca="1">$AO$13*$AO$69</f>
        <v>0</v>
      </c>
      <c r="AF13" s="31">
        <f ca="1">$AP$13*$AP$69</f>
        <v>0</v>
      </c>
      <c r="AG13" s="31">
        <f ca="1">SUM($AE$13:$AF$13)</f>
        <v>0</v>
      </c>
      <c r="AH13" s="31">
        <f>'TUSD BE'!$AH$13*'TUSD BF'!$AH$72</f>
        <v>0</v>
      </c>
      <c r="AI13" s="31">
        <f>'TUSD BE'!$AI$13*'TUSD BF'!$AI$72</f>
        <v>0</v>
      </c>
      <c r="AJ13" s="31">
        <f ca="1">'TUSD BE'!$AJ$13*'TUSD BF'!$AJ$72</f>
        <v>0</v>
      </c>
      <c r="AK13" s="31">
        <f ca="1">'TUSD BE'!$AK$13*'TUSD BF'!$AK$72</f>
        <v>0</v>
      </c>
      <c r="AL13" s="31">
        <f ca="1">SUM($AH$13:$AK$13)</f>
        <v>0</v>
      </c>
      <c r="AM13" s="31">
        <f ca="1">SUMIF($L$4:$AL$4,"SUBTOTAL",$L$13:$AL$13)</f>
        <v>0.46882286003740792</v>
      </c>
      <c r="AO13" s="40">
        <f ca="1">+'TUSD BE'!$T$13+'TUSD BE'!$AB$13+'TUSD BE'!$AD$13+'TUSD BE'!$AL$13</f>
        <v>56.956831615311472</v>
      </c>
      <c r="AP13" s="40">
        <f ca="1">+'TUSD BE'!$T$13+'TUSD BE'!$AB$13+'TUSD BE'!$AD$13+'TUSD BE'!$AL$13</f>
        <v>56.956831615311472</v>
      </c>
    </row>
    <row r="14" spans="1:42" ht="11.25" customHeight="1" x14ac:dyDescent="0.25">
      <c r="A14" s="97"/>
      <c r="B14" s="97"/>
      <c r="C14" s="97"/>
      <c r="D14" s="97"/>
      <c r="E14" s="97"/>
      <c r="F14" s="97"/>
      <c r="G14" s="38" t="s">
        <v>107</v>
      </c>
      <c r="H14" s="38" t="s">
        <v>105</v>
      </c>
      <c r="I14" s="38">
        <f>'MERCADO TUSD'!$U$11</f>
        <v>639825</v>
      </c>
      <c r="J14" s="15"/>
      <c r="L14" s="31">
        <f>'TUSD BE'!$L$14*'TUSD BF'!$L$72</f>
        <v>0</v>
      </c>
      <c r="M14" s="31">
        <f>'TUSD BE'!$M$14*'TUSD BF'!$M$72</f>
        <v>0</v>
      </c>
      <c r="N14" s="31">
        <f ca="1">'TUSD BE'!$N$14*'TUSD BF'!$N$72</f>
        <v>0</v>
      </c>
      <c r="O14" s="31">
        <f>'TUSD BE'!$O$14*'TUSD BF'!$O$72</f>
        <v>0</v>
      </c>
      <c r="P14" s="31">
        <f>'TUSD BE'!$P$14*'TUSD BF'!$P$72</f>
        <v>0</v>
      </c>
      <c r="Q14" s="31">
        <f>'TUSD BE'!$Q$14*'TUSD BF'!$Q$72</f>
        <v>0</v>
      </c>
      <c r="R14" s="31">
        <f>'TUSD BE'!$R$14*'TUSD BF'!$R$72</f>
        <v>0</v>
      </c>
      <c r="S14" s="31">
        <f>'TUSD BE'!$R$14*'TUSD BF'!$S$72</f>
        <v>0</v>
      </c>
      <c r="T14" s="31">
        <f ca="1">SUM($L$14:$S$14)</f>
        <v>0</v>
      </c>
      <c r="U14" s="31">
        <f>'TUSD BE'!$U$14*'TUSD BF'!$U$72</f>
        <v>0.2231895855075765</v>
      </c>
      <c r="V14" s="31">
        <f>'TUSD BE'!$V$14*'TUSD BF'!$V$72</f>
        <v>6.9229453895904083E-2</v>
      </c>
      <c r="W14" s="31">
        <f>'TUSD BE'!$W$14*'TUSD BF'!$W$72</f>
        <v>0</v>
      </c>
      <c r="X14" s="31">
        <f>'TUSD BE'!$X$14*'TUSD BF'!$X$72</f>
        <v>0</v>
      </c>
      <c r="Y14" s="31">
        <f>'TUSD BE'!$Y$14*'TUSD BF'!$Y$72</f>
        <v>0</v>
      </c>
      <c r="Z14" s="31">
        <f>'TUSD BE'!$Z$14*'TUSD BF'!$Z$72</f>
        <v>0</v>
      </c>
      <c r="AA14" s="31">
        <f>'TUSD BE'!$AA$14*'TUSD BF'!$AA$72</f>
        <v>0</v>
      </c>
      <c r="AB14" s="31">
        <f>SUM($U$14:$AA$14)</f>
        <v>0.29241903940348057</v>
      </c>
      <c r="AC14" s="31">
        <f>'TUSD BE'!$AC$14*'TUSD BF'!$AC$72</f>
        <v>0</v>
      </c>
      <c r="AD14" s="31">
        <f>SUM($AC$14:$AC$14)</f>
        <v>0</v>
      </c>
      <c r="AE14" s="31">
        <f ca="1">$AO$14*$AO$69</f>
        <v>0</v>
      </c>
      <c r="AF14" s="31">
        <f ca="1">$AP$14*$AP$69</f>
        <v>0</v>
      </c>
      <c r="AG14" s="31">
        <f ca="1">SUM($AE$14:$AF$14)</f>
        <v>0</v>
      </c>
      <c r="AH14" s="31">
        <f>'TUSD BE'!$AH$14*'TUSD BF'!$AH$72</f>
        <v>0</v>
      </c>
      <c r="AI14" s="31">
        <f>'TUSD BE'!$AI$14*'TUSD BF'!$AI$72</f>
        <v>0</v>
      </c>
      <c r="AJ14" s="31">
        <f ca="1">'TUSD BE'!$AJ$14*'TUSD BF'!$AJ$72</f>
        <v>0</v>
      </c>
      <c r="AK14" s="31">
        <f ca="1">'TUSD BE'!$AK$14*'TUSD BF'!$AK$72</f>
        <v>0</v>
      </c>
      <c r="AL14" s="31">
        <f ca="1">SUM($AH$14:$AK$14)</f>
        <v>0</v>
      </c>
      <c r="AM14" s="31">
        <f ca="1">SUMIF($L$4:$AL$4,"SUBTOTAL",$L$14:$AL$14)</f>
        <v>0.29241903940348057</v>
      </c>
      <c r="AO14" s="40">
        <f ca="1">+'TUSD BE'!$T$14+'TUSD BE'!$AB$14+'TUSD BE'!$AD$14+'TUSD BE'!$AL$14</f>
        <v>28.583378402761134</v>
      </c>
      <c r="AP14" s="40">
        <f ca="1">+'TUSD BE'!$T$14+'TUSD BE'!$AB$14+'TUSD BE'!$AD$14+'TUSD BE'!$AL$14</f>
        <v>28.583378402761134</v>
      </c>
    </row>
    <row r="15" spans="1:42" ht="11.25" customHeight="1" x14ac:dyDescent="0.25">
      <c r="A15" s="97"/>
      <c r="B15" s="97"/>
      <c r="C15" s="97"/>
      <c r="D15" s="97"/>
      <c r="E15" s="97"/>
      <c r="F15" s="97"/>
      <c r="G15" s="38" t="s">
        <v>108</v>
      </c>
      <c r="H15" s="38" t="s">
        <v>102</v>
      </c>
      <c r="I15" s="38">
        <f>'MERCADO TUSD'!$U$12</f>
        <v>243208.54699999999</v>
      </c>
      <c r="J15" s="15"/>
      <c r="L15" s="31">
        <f>'TUSD BE'!$L$15*'TUSD BF'!$L$72</f>
        <v>0.28138996292619095</v>
      </c>
      <c r="M15" s="31">
        <f>'TUSD BE'!$M$15*'TUSD BF'!$M$72</f>
        <v>0</v>
      </c>
      <c r="N15" s="31">
        <f ca="1">'TUSD BE'!$N$15*'TUSD BF'!$N$72</f>
        <v>0</v>
      </c>
      <c r="O15" s="31">
        <f>'TUSD BE'!$O$15*'TUSD BF'!$O$72</f>
        <v>0</v>
      </c>
      <c r="P15" s="31">
        <f>'TUSD BE'!$P$15*'TUSD BF'!$P$72</f>
        <v>0</v>
      </c>
      <c r="Q15" s="31">
        <f>'TUSD BE'!$Q$15*'TUSD BF'!$Q$72</f>
        <v>7.7098463148162555</v>
      </c>
      <c r="R15" s="31">
        <f>'TUSD BE'!$R$15*'TUSD BF'!$R$72</f>
        <v>3.7661510086940049</v>
      </c>
      <c r="S15" s="31">
        <f>'TUSD BE'!$R$15*'TUSD BF'!$S$72</f>
        <v>0</v>
      </c>
      <c r="T15" s="31">
        <f ca="1">SUM($L$15:$S$15)</f>
        <v>11.757387286436451</v>
      </c>
      <c r="U15" s="31">
        <f>'TUSD BE'!$U$15*'TUSD BF'!$U$72</f>
        <v>0</v>
      </c>
      <c r="V15" s="31">
        <f>'TUSD BE'!$V$15*'TUSD BF'!$V$72</f>
        <v>0</v>
      </c>
      <c r="W15" s="31">
        <f>'TUSD BE'!$W$15*'TUSD BF'!$W$72</f>
        <v>0</v>
      </c>
      <c r="X15" s="31">
        <f>'TUSD BE'!$X$15*'TUSD BF'!$X$72</f>
        <v>0</v>
      </c>
      <c r="Y15" s="31">
        <f>'TUSD BE'!$Y$15*'TUSD BF'!$Y$72</f>
        <v>0</v>
      </c>
      <c r="Z15" s="31">
        <f>'TUSD BE'!$Z$15*'TUSD BF'!$Z$72</f>
        <v>0</v>
      </c>
      <c r="AA15" s="31">
        <f>'TUSD BE'!$AA$15*'TUSD BF'!$AA$72</f>
        <v>0</v>
      </c>
      <c r="AB15" s="31">
        <f>SUM($U$15:$AA$15)</f>
        <v>0</v>
      </c>
      <c r="AC15" s="31">
        <f>'TUSD BE'!$AC$15*'TUSD BF'!$AC$72</f>
        <v>0</v>
      </c>
      <c r="AD15" s="31">
        <f>SUM($AC$15:$AC$15)</f>
        <v>0</v>
      </c>
      <c r="AE15" s="31">
        <f ca="1">$AO$15*$AO$69</f>
        <v>0</v>
      </c>
      <c r="AF15" s="31">
        <f ca="1">$AP$15*$AP$69</f>
        <v>0</v>
      </c>
      <c r="AG15" s="31">
        <f ca="1">SUM($AE$15:$AF$15)</f>
        <v>0</v>
      </c>
      <c r="AH15" s="31">
        <f>'TUSD BE'!$AH$15*'TUSD BF'!$AH$72</f>
        <v>0.72923880778066985</v>
      </c>
      <c r="AI15" s="31">
        <f>'TUSD BE'!$AI$15*'TUSD BF'!$AI$72</f>
        <v>2.2104400445284222E-2</v>
      </c>
      <c r="AJ15" s="31">
        <f ca="1">'TUSD BE'!$AJ$15*'TUSD BF'!$AJ$72</f>
        <v>0.46650130690803004</v>
      </c>
      <c r="AK15" s="31">
        <f ca="1">'TUSD BE'!$AK$15*'TUSD BF'!$AK$72</f>
        <v>0</v>
      </c>
      <c r="AL15" s="31">
        <f ca="1">SUM($AH$15:$AK$15)</f>
        <v>1.2178445151339843</v>
      </c>
      <c r="AM15" s="31">
        <f ca="1">SUMIF($L$4:$AL$4,"SUBTOTAL",$L$15:$AL$15)</f>
        <v>12.975231801570436</v>
      </c>
      <c r="AO15" s="40">
        <f ca="1">+'TUSD BE'!$T$15+'TUSD BE'!$AB$15+'TUSD BE'!$AD$15+'TUSD BE'!$AL$15</f>
        <v>74.879969096627889</v>
      </c>
      <c r="AP15" s="40">
        <f ca="1">+'TUSD BE'!$T$15+'TUSD BE'!$AB$15+'TUSD BE'!$AD$15+'TUSD BE'!$AL$15</f>
        <v>74.879969096627889</v>
      </c>
    </row>
    <row r="16" spans="1:42" ht="11.25" customHeight="1" x14ac:dyDescent="0.25">
      <c r="A16" s="97"/>
      <c r="B16" s="97"/>
      <c r="C16" s="97"/>
      <c r="D16" s="97"/>
      <c r="E16" s="37" t="s">
        <v>59</v>
      </c>
      <c r="F16" s="37" t="s">
        <v>25</v>
      </c>
      <c r="G16" s="38" t="s">
        <v>108</v>
      </c>
      <c r="H16" s="38" t="s">
        <v>102</v>
      </c>
      <c r="I16" s="38">
        <f>'MERCADO TUSD'!$U$13</f>
        <v>0</v>
      </c>
      <c r="J16" s="15"/>
      <c r="L16" s="31">
        <f>'TUSD BE'!$L$16*'TUSD BF'!$L$72</f>
        <v>0</v>
      </c>
      <c r="M16" s="31">
        <f>'TUSD BE'!$M$16*'TUSD BF'!$M$72</f>
        <v>0</v>
      </c>
      <c r="N16" s="31">
        <f ca="1">'TUSD BE'!$N$16*'TUSD BF'!$N$72</f>
        <v>0</v>
      </c>
      <c r="O16" s="31">
        <f>'TUSD BE'!$O$16*'TUSD BF'!$O$72</f>
        <v>0</v>
      </c>
      <c r="P16" s="31">
        <f>'TUSD BE'!$P$16*'TUSD BF'!$P$72</f>
        <v>0</v>
      </c>
      <c r="Q16" s="31">
        <f>'TUSD BE'!$Q$16*'TUSD BF'!$Q$72</f>
        <v>0</v>
      </c>
      <c r="R16" s="31">
        <f>'TUSD BE'!$R$16*'TUSD BF'!$R$72</f>
        <v>0</v>
      </c>
      <c r="S16" s="31">
        <f>'TUSD BE'!$R$16*'TUSD BF'!$S$72</f>
        <v>0</v>
      </c>
      <c r="T16" s="31">
        <f ca="1">SUM($L$16:$S$16)</f>
        <v>0</v>
      </c>
      <c r="U16" s="31">
        <f>'TUSD BE'!$U$16*'TUSD BF'!$U$72</f>
        <v>0</v>
      </c>
      <c r="V16" s="31">
        <f>'TUSD BE'!$V$16*'TUSD BF'!$V$72</f>
        <v>0</v>
      </c>
      <c r="W16" s="31">
        <f>'TUSD BE'!$W$16*'TUSD BF'!$W$72</f>
        <v>0</v>
      </c>
      <c r="X16" s="31">
        <f>'TUSD BE'!$X$16*'TUSD BF'!$X$72</f>
        <v>0</v>
      </c>
      <c r="Y16" s="31">
        <f>'TUSD BE'!$Y$16*'TUSD BF'!$Y$72</f>
        <v>0</v>
      </c>
      <c r="Z16" s="31">
        <f>'TUSD BE'!$Z$16*'TUSD BF'!$Z$72</f>
        <v>0</v>
      </c>
      <c r="AA16" s="31">
        <f>'TUSD BE'!$AA$16*'TUSD BF'!$AA$72</f>
        <v>0</v>
      </c>
      <c r="AB16" s="31">
        <f>SUM($U$16:$AA$16)</f>
        <v>0</v>
      </c>
      <c r="AC16" s="31">
        <f>'TUSD BE'!$AC$16*'TUSD BF'!$AC$72</f>
        <v>0</v>
      </c>
      <c r="AD16" s="31">
        <f>SUM($AC$16:$AC$16)</f>
        <v>0</v>
      </c>
      <c r="AE16" s="31">
        <f ca="1">$AO$16*$AO$69</f>
        <v>0</v>
      </c>
      <c r="AF16" s="31">
        <f ca="1">$AP$16*$AP$69</f>
        <v>0</v>
      </c>
      <c r="AG16" s="31">
        <f ca="1">SUM($AE$16:$AF$16)</f>
        <v>0</v>
      </c>
      <c r="AH16" s="31">
        <f>'TUSD BE'!$AH$16*'TUSD BF'!$AH$72</f>
        <v>0.72923880778066985</v>
      </c>
      <c r="AI16" s="31">
        <f>'TUSD BE'!$AI$16*'TUSD BF'!$AI$72</f>
        <v>2.2104400445284222E-2</v>
      </c>
      <c r="AJ16" s="31">
        <f ca="1">'TUSD BE'!$AJ$16*'TUSD BF'!$AJ$72</f>
        <v>0.46650130690803004</v>
      </c>
      <c r="AK16" s="31">
        <f ca="1">'TUSD BE'!$AK$16*'TUSD BF'!$AK$72</f>
        <v>0</v>
      </c>
      <c r="AL16" s="31">
        <f ca="1">SUM($AH$16:$AK$16)</f>
        <v>1.2178445151339843</v>
      </c>
      <c r="AM16" s="31">
        <f ca="1">SUMIF($L$4:$AL$4,"SUBTOTAL",$L$16:$AL$16)</f>
        <v>1.2178445151339843</v>
      </c>
      <c r="AO16" s="40">
        <f ca="1">+'TUSD BE'!$T$16+'TUSD BE'!$AB$16+'TUSD BE'!$AD$16+'TUSD BE'!$AL$16</f>
        <v>24.999747076138529</v>
      </c>
      <c r="AP16" s="40">
        <f ca="1">+'TUSD BE'!$T$16+'TUSD BE'!$AB$16+'TUSD BE'!$AD$16+'TUSD BE'!$AL$16</f>
        <v>24.999747076138529</v>
      </c>
    </row>
    <row r="17" spans="1:42" ht="11.25" customHeight="1" x14ac:dyDescent="0.25">
      <c r="A17" s="97"/>
      <c r="B17" s="97" t="s">
        <v>62</v>
      </c>
      <c r="C17" s="97" t="s">
        <v>25</v>
      </c>
      <c r="D17" s="97" t="s">
        <v>25</v>
      </c>
      <c r="E17" s="97" t="s">
        <v>25</v>
      </c>
      <c r="F17" s="97" t="s">
        <v>63</v>
      </c>
      <c r="G17" s="38" t="s">
        <v>106</v>
      </c>
      <c r="H17" s="38" t="s">
        <v>105</v>
      </c>
      <c r="I17" s="38">
        <f>'MERCADO TUSD'!$U$14</f>
        <v>83572</v>
      </c>
      <c r="J17" s="15"/>
      <c r="L17" s="31">
        <f>'TUSD BE'!$L$17*'TUSD BF'!$L$72</f>
        <v>0</v>
      </c>
      <c r="M17" s="31">
        <f>'TUSD BE'!$M$17*'TUSD BF'!$M$72</f>
        <v>0</v>
      </c>
      <c r="N17" s="31">
        <f ca="1">'TUSD BE'!$N$17*'TUSD BF'!$N$72</f>
        <v>0</v>
      </c>
      <c r="O17" s="31">
        <f>'TUSD BE'!$O$17*'TUSD BF'!$O$72</f>
        <v>0</v>
      </c>
      <c r="P17" s="31">
        <f>'TUSD BE'!$P$17*'TUSD BF'!$P$72</f>
        <v>0</v>
      </c>
      <c r="Q17" s="31">
        <f>'TUSD BE'!$Q$17*'TUSD BF'!$Q$72</f>
        <v>0</v>
      </c>
      <c r="R17" s="31">
        <f>'TUSD BE'!$R$17*'TUSD BF'!$R$72</f>
        <v>0</v>
      </c>
      <c r="S17" s="31">
        <f>'TUSD BE'!$R$17*'TUSD BF'!$S$72</f>
        <v>0</v>
      </c>
      <c r="T17" s="31">
        <f ca="1">SUM($L$17:$S$17)</f>
        <v>0</v>
      </c>
      <c r="U17" s="31">
        <f>'TUSD BE'!$U$17*'TUSD BF'!$U$72</f>
        <v>0.35739308411931542</v>
      </c>
      <c r="V17" s="31">
        <f>'TUSD BE'!$V$17*'TUSD BF'!$V$72</f>
        <v>0.11142977591809247</v>
      </c>
      <c r="W17" s="31">
        <f>'TUSD BE'!$W$17*'TUSD BF'!$W$72</f>
        <v>0</v>
      </c>
      <c r="X17" s="31">
        <f>'TUSD BE'!$X$17*'TUSD BF'!$X$72</f>
        <v>0</v>
      </c>
      <c r="Y17" s="31">
        <f>'TUSD BE'!$Y$17*'TUSD BF'!$Y$72</f>
        <v>0</v>
      </c>
      <c r="Z17" s="31">
        <f>'TUSD BE'!$Z$17*'TUSD BF'!$Z$72</f>
        <v>0</v>
      </c>
      <c r="AA17" s="31">
        <f>'TUSD BE'!$AA$17*'TUSD BF'!$AA$72</f>
        <v>0</v>
      </c>
      <c r="AB17" s="31">
        <f>SUM($U$17:$AA$17)</f>
        <v>0.46882286003740792</v>
      </c>
      <c r="AC17" s="31">
        <f>'TUSD BE'!$AC$17*'TUSD BF'!$AC$72</f>
        <v>0</v>
      </c>
      <c r="AD17" s="31">
        <f>SUM($AC$17:$AC$17)</f>
        <v>0</v>
      </c>
      <c r="AE17" s="31">
        <v>0</v>
      </c>
      <c r="AF17" s="31">
        <f ca="1">$AP$17*$AP$69</f>
        <v>0</v>
      </c>
      <c r="AG17" s="31">
        <f ca="1">SUM($AE$17:$AF$17)</f>
        <v>0</v>
      </c>
      <c r="AH17" s="31">
        <f>'TUSD BE'!$AH$17*'TUSD BF'!$AH$72</f>
        <v>0</v>
      </c>
      <c r="AI17" s="31">
        <f>'TUSD BE'!$AI$17*'TUSD BF'!$AI$72</f>
        <v>0</v>
      </c>
      <c r="AJ17" s="31">
        <f ca="1">'TUSD BE'!$AJ$17*'TUSD BF'!$AJ$72</f>
        <v>0</v>
      </c>
      <c r="AK17" s="31">
        <f ca="1">'TUSD BE'!$AK$17*'TUSD BF'!$AK$72</f>
        <v>0</v>
      </c>
      <c r="AL17" s="31">
        <f ca="1">SUM($AH$17:$AK$17)</f>
        <v>0</v>
      </c>
      <c r="AM17" s="31">
        <f ca="1">SUMIF($L$4:$AL$4,"SUBTOTAL",$L$17:$AL$17)</f>
        <v>0.46882286003740792</v>
      </c>
      <c r="AO17" s="40"/>
      <c r="AP17" s="40">
        <f ca="1">+'TUSD BE'!$T$17+'TUSD BE'!$AB$17+'TUSD BE'!$AD$17+'TUSD BE'!$AL$17</f>
        <v>27.268826492828879</v>
      </c>
    </row>
    <row r="18" spans="1:42" ht="11.25" customHeight="1" x14ac:dyDescent="0.25">
      <c r="A18" s="97"/>
      <c r="B18" s="97"/>
      <c r="C18" s="97"/>
      <c r="D18" s="97"/>
      <c r="E18" s="97"/>
      <c r="F18" s="97"/>
      <c r="G18" s="38" t="s">
        <v>107</v>
      </c>
      <c r="H18" s="38" t="s">
        <v>105</v>
      </c>
      <c r="I18" s="38">
        <f>'MERCADO TUSD'!$U$15</f>
        <v>86016</v>
      </c>
      <c r="J18" s="15"/>
      <c r="L18" s="31">
        <f>'TUSD BE'!$L$18*'TUSD BF'!$L$72</f>
        <v>0</v>
      </c>
      <c r="M18" s="31">
        <f>'TUSD BE'!$M$18*'TUSD BF'!$M$72</f>
        <v>0</v>
      </c>
      <c r="N18" s="31">
        <f ca="1">'TUSD BE'!$N$18*'TUSD BF'!$N$72</f>
        <v>0</v>
      </c>
      <c r="O18" s="31">
        <f>'TUSD BE'!$O$18*'TUSD BF'!$O$72</f>
        <v>0</v>
      </c>
      <c r="P18" s="31">
        <f>'TUSD BE'!$P$18*'TUSD BF'!$P$72</f>
        <v>0</v>
      </c>
      <c r="Q18" s="31">
        <f>'TUSD BE'!$Q$18*'TUSD BF'!$Q$72</f>
        <v>0</v>
      </c>
      <c r="R18" s="31">
        <f>'TUSD BE'!$R$18*'TUSD BF'!$R$72</f>
        <v>0</v>
      </c>
      <c r="S18" s="31">
        <f>'TUSD BE'!$R$18*'TUSD BF'!$S$72</f>
        <v>0</v>
      </c>
      <c r="T18" s="31">
        <f ca="1">SUM($L$18:$S$18)</f>
        <v>0</v>
      </c>
      <c r="U18" s="31">
        <f>'TUSD BE'!$U$18*'TUSD BF'!$U$72</f>
        <v>0.2231895855075765</v>
      </c>
      <c r="V18" s="31">
        <f>'TUSD BE'!$V$18*'TUSD BF'!$V$72</f>
        <v>6.9229453895904083E-2</v>
      </c>
      <c r="W18" s="31">
        <f>'TUSD BE'!$W$18*'TUSD BF'!$W$72</f>
        <v>0</v>
      </c>
      <c r="X18" s="31">
        <f>'TUSD BE'!$X$18*'TUSD BF'!$X$72</f>
        <v>0</v>
      </c>
      <c r="Y18" s="31">
        <f>'TUSD BE'!$Y$18*'TUSD BF'!$Y$72</f>
        <v>0</v>
      </c>
      <c r="Z18" s="31">
        <f>'TUSD BE'!$Z$18*'TUSD BF'!$Z$72</f>
        <v>0</v>
      </c>
      <c r="AA18" s="31">
        <f>'TUSD BE'!$AA$18*'TUSD BF'!$AA$72</f>
        <v>0</v>
      </c>
      <c r="AB18" s="31">
        <f>SUM($U$18:$AA$18)</f>
        <v>0.29241903940348057</v>
      </c>
      <c r="AC18" s="31">
        <f>'TUSD BE'!$AC$18*'TUSD BF'!$AC$72</f>
        <v>0</v>
      </c>
      <c r="AD18" s="31">
        <f>SUM($AC$18:$AC$18)</f>
        <v>0</v>
      </c>
      <c r="AE18" s="31">
        <v>0</v>
      </c>
      <c r="AF18" s="31">
        <f ca="1">$AP$18*$AP$69</f>
        <v>0</v>
      </c>
      <c r="AG18" s="31">
        <f ca="1">SUM($AE$18:$AF$18)</f>
        <v>0</v>
      </c>
      <c r="AH18" s="31">
        <f>'TUSD BE'!$AH$18*'TUSD BF'!$AH$72</f>
        <v>0</v>
      </c>
      <c r="AI18" s="31">
        <f>'TUSD BE'!$AI$18*'TUSD BF'!$AI$72</f>
        <v>0</v>
      </c>
      <c r="AJ18" s="31">
        <f ca="1">'TUSD BE'!$AJ$18*'TUSD BF'!$AJ$72</f>
        <v>0</v>
      </c>
      <c r="AK18" s="31">
        <f ca="1">'TUSD BE'!$AK$18*'TUSD BF'!$AK$72</f>
        <v>0</v>
      </c>
      <c r="AL18" s="31">
        <f ca="1">SUM($AH$18:$AK$18)</f>
        <v>0</v>
      </c>
      <c r="AM18" s="31">
        <f ca="1">SUMIF($L$4:$AL$4,"SUBTOTAL",$L$18:$AL$18)</f>
        <v>0.29241903940348057</v>
      </c>
      <c r="AO18" s="40"/>
      <c r="AP18" s="40">
        <f ca="1">+'TUSD BE'!$T$18+'TUSD BE'!$AB$18+'TUSD BE'!$AD$18+'TUSD BE'!$AL$18</f>
        <v>14.385275672325518</v>
      </c>
    </row>
    <row r="19" spans="1:42" ht="11.25" customHeight="1" x14ac:dyDescent="0.25">
      <c r="A19" s="97"/>
      <c r="B19" s="97"/>
      <c r="C19" s="97"/>
      <c r="D19" s="97"/>
      <c r="E19" s="97"/>
      <c r="F19" s="97"/>
      <c r="G19" s="38" t="s">
        <v>108</v>
      </c>
      <c r="H19" s="38" t="s">
        <v>102</v>
      </c>
      <c r="I19" s="38">
        <f>'MERCADO TUSD'!$U$16</f>
        <v>43889.742999999995</v>
      </c>
      <c r="J19" s="15"/>
      <c r="L19" s="31">
        <f>'TUSD BE'!$L$19*'TUSD BF'!$L$72</f>
        <v>0</v>
      </c>
      <c r="M19" s="31">
        <f>'TUSD BE'!$M$19*'TUSD BF'!$M$72</f>
        <v>0</v>
      </c>
      <c r="N19" s="31">
        <f ca="1">'TUSD BE'!$N$19*'TUSD BF'!$N$72</f>
        <v>0</v>
      </c>
      <c r="O19" s="31">
        <f>'TUSD BE'!$O$19*'TUSD BF'!$O$72</f>
        <v>0</v>
      </c>
      <c r="P19" s="31">
        <f>'TUSD BE'!$P$19*'TUSD BF'!$P$72</f>
        <v>0</v>
      </c>
      <c r="Q19" s="31">
        <f>'TUSD BE'!$Q$19*'TUSD BF'!$Q$72</f>
        <v>0</v>
      </c>
      <c r="R19" s="31">
        <f>'TUSD BE'!$R$19*'TUSD BF'!$R$72</f>
        <v>0</v>
      </c>
      <c r="S19" s="31">
        <f>'TUSD BE'!$R$19*'TUSD BF'!$S$72</f>
        <v>0</v>
      </c>
      <c r="T19" s="31">
        <f ca="1">SUM($L$19:$S$19)</f>
        <v>0</v>
      </c>
      <c r="U19" s="31">
        <f>'TUSD BE'!$U$19*'TUSD BF'!$U$72</f>
        <v>0</v>
      </c>
      <c r="V19" s="31">
        <f>'TUSD BE'!$V$19*'TUSD BF'!$V$72</f>
        <v>0</v>
      </c>
      <c r="W19" s="31">
        <f>'TUSD BE'!$W$19*'TUSD BF'!$W$72</f>
        <v>0</v>
      </c>
      <c r="X19" s="31">
        <f>'TUSD BE'!$X$19*'TUSD BF'!$X$72</f>
        <v>0</v>
      </c>
      <c r="Y19" s="31">
        <f>'TUSD BE'!$Y$19*'TUSD BF'!$Y$72</f>
        <v>0</v>
      </c>
      <c r="Z19" s="31">
        <f>'TUSD BE'!$Z$19*'TUSD BF'!$Z$72</f>
        <v>0</v>
      </c>
      <c r="AA19" s="31">
        <f>'TUSD BE'!$AA$19*'TUSD BF'!$AA$72</f>
        <v>0</v>
      </c>
      <c r="AB19" s="31">
        <f>SUM($U$19:$AA$19)</f>
        <v>0</v>
      </c>
      <c r="AC19" s="31">
        <f>'TUSD BE'!$AC$19*'TUSD BF'!$AC$72</f>
        <v>0</v>
      </c>
      <c r="AD19" s="31">
        <f>SUM($AC$19:$AC$19)</f>
        <v>0</v>
      </c>
      <c r="AE19" s="31">
        <v>0</v>
      </c>
      <c r="AF19" s="31">
        <f ca="1">$AP$19*$AP$69</f>
        <v>0</v>
      </c>
      <c r="AG19" s="31">
        <f ca="1">SUM($AE$19:$AF$19)</f>
        <v>0</v>
      </c>
      <c r="AH19" s="31">
        <f>'TUSD BE'!$AH$19*'TUSD BF'!$AH$72</f>
        <v>0.72923880778066985</v>
      </c>
      <c r="AI19" s="31">
        <f>'TUSD BE'!$AI$19*'TUSD BF'!$AI$72</f>
        <v>2.2104400445284222E-2</v>
      </c>
      <c r="AJ19" s="31">
        <f ca="1">'TUSD BE'!$AJ$19*'TUSD BF'!$AJ$72</f>
        <v>0</v>
      </c>
      <c r="AK19" s="31">
        <f ca="1">'TUSD BE'!$AK$19*'TUSD BF'!$AK$72</f>
        <v>0</v>
      </c>
      <c r="AL19" s="31">
        <f ca="1">SUM($AH$19:$AK$19)</f>
        <v>0.75134320822595413</v>
      </c>
      <c r="AM19" s="31">
        <f ca="1">SUMIF($L$4:$AL$4,"SUBTOTAL",$L$19:$AL$19)</f>
        <v>0.75134320822595413</v>
      </c>
      <c r="AO19" s="40"/>
      <c r="AP19" s="40">
        <f ca="1">+'TUSD BE'!$T$19+'TUSD BE'!$AB$19+'TUSD BE'!$AD$19+'TUSD BE'!$AL$19</f>
        <v>14.700394165339045</v>
      </c>
    </row>
    <row r="20" spans="1:42" ht="11.25" customHeight="1" x14ac:dyDescent="0.25">
      <c r="A20" s="97"/>
      <c r="B20" s="97"/>
      <c r="C20" s="97"/>
      <c r="D20" s="97"/>
      <c r="E20" s="97"/>
      <c r="F20" s="97" t="s">
        <v>65</v>
      </c>
      <c r="G20" s="38" t="s">
        <v>106</v>
      </c>
      <c r="H20" s="38" t="s">
        <v>105</v>
      </c>
      <c r="I20" s="38">
        <f>'MERCADO TUSD'!$U$17</f>
        <v>28144</v>
      </c>
      <c r="J20" s="15"/>
      <c r="L20" s="31">
        <f>'TUSD BE'!$L$20*'TUSD BF'!$L$72</f>
        <v>0</v>
      </c>
      <c r="M20" s="31">
        <f>'TUSD BE'!$M$20*'TUSD BF'!$M$72</f>
        <v>0</v>
      </c>
      <c r="N20" s="31">
        <f ca="1">'TUSD BE'!$N$20*'TUSD BF'!$N$72</f>
        <v>0</v>
      </c>
      <c r="O20" s="31">
        <f>'TUSD BE'!$O$20*'TUSD BF'!$O$72</f>
        <v>0</v>
      </c>
      <c r="P20" s="31">
        <f>'TUSD BE'!$P$20*'TUSD BF'!$P$72</f>
        <v>0</v>
      </c>
      <c r="Q20" s="31">
        <f>'TUSD BE'!$Q$20*'TUSD BF'!$Q$72</f>
        <v>0</v>
      </c>
      <c r="R20" s="31">
        <f>'TUSD BE'!$R$20*'TUSD BF'!$R$72</f>
        <v>0</v>
      </c>
      <c r="S20" s="31">
        <f>'TUSD BE'!$R$20*'TUSD BF'!$S$72</f>
        <v>0</v>
      </c>
      <c r="T20" s="31">
        <f ca="1">SUM($L$20:$S$20)</f>
        <v>0</v>
      </c>
      <c r="U20" s="31">
        <f>'TUSD BE'!$U$20*'TUSD BF'!$U$72</f>
        <v>0.35739308411931542</v>
      </c>
      <c r="V20" s="31">
        <f>'TUSD BE'!$V$20*'TUSD BF'!$V$72</f>
        <v>0.11142977591809247</v>
      </c>
      <c r="W20" s="31">
        <f>'TUSD BE'!$W$20*'TUSD BF'!$W$72</f>
        <v>0</v>
      </c>
      <c r="X20" s="31">
        <f>'TUSD BE'!$X$20*'TUSD BF'!$X$72</f>
        <v>0</v>
      </c>
      <c r="Y20" s="31">
        <f>'TUSD BE'!$Y$20*'TUSD BF'!$Y$72</f>
        <v>0</v>
      </c>
      <c r="Z20" s="31">
        <f>'TUSD BE'!$Z$20*'TUSD BF'!$Z$72</f>
        <v>0</v>
      </c>
      <c r="AA20" s="31">
        <f>'TUSD BE'!$AA$20*'TUSD BF'!$AA$72</f>
        <v>0</v>
      </c>
      <c r="AB20" s="31">
        <f>SUM($U$20:$AA$20)</f>
        <v>0.46882286003740792</v>
      </c>
      <c r="AC20" s="31">
        <f>'TUSD BE'!$AC$20*'TUSD BF'!$AC$72</f>
        <v>0</v>
      </c>
      <c r="AD20" s="31">
        <f>SUM($AC$20:$AC$20)</f>
        <v>0</v>
      </c>
      <c r="AE20" s="31">
        <v>0</v>
      </c>
      <c r="AF20" s="31">
        <f ca="1">$AP$20*$AP$69</f>
        <v>0</v>
      </c>
      <c r="AG20" s="31">
        <f ca="1">SUM($AE$20:$AF$20)</f>
        <v>0</v>
      </c>
      <c r="AH20" s="31">
        <f>'TUSD BE'!$AH$20*'TUSD BF'!$AH$72</f>
        <v>0</v>
      </c>
      <c r="AI20" s="31">
        <f>'TUSD BE'!$AI$20*'TUSD BF'!$AI$72</f>
        <v>0</v>
      </c>
      <c r="AJ20" s="31">
        <f ca="1">'TUSD BE'!$AJ$20*'TUSD BF'!$AJ$72</f>
        <v>0</v>
      </c>
      <c r="AK20" s="31">
        <f ca="1">'TUSD BE'!$AK$20*'TUSD BF'!$AK$72</f>
        <v>0</v>
      </c>
      <c r="AL20" s="31">
        <f ca="1">SUM($AH$20:$AK$20)</f>
        <v>0</v>
      </c>
      <c r="AM20" s="31">
        <f ca="1">SUMIF($L$4:$AL$4,"SUBTOTAL",$L$20:$AL$20)</f>
        <v>0.46882286003740792</v>
      </c>
      <c r="AO20" s="40"/>
      <c r="AP20" s="40">
        <f ca="1">+'TUSD BE'!$T$20+'TUSD BE'!$AB$20+'TUSD BE'!$AD$20+'TUSD BE'!$AL$20</f>
        <v>27.268826492828879</v>
      </c>
    </row>
    <row r="21" spans="1:42" ht="11.25" customHeight="1" x14ac:dyDescent="0.25">
      <c r="A21" s="97"/>
      <c r="B21" s="97"/>
      <c r="C21" s="97"/>
      <c r="D21" s="97"/>
      <c r="E21" s="97"/>
      <c r="F21" s="97"/>
      <c r="G21" s="38" t="s">
        <v>107</v>
      </c>
      <c r="H21" s="38" t="s">
        <v>105</v>
      </c>
      <c r="I21" s="38">
        <f>'MERCADO TUSD'!$U$18</f>
        <v>48228</v>
      </c>
      <c r="J21" s="15"/>
      <c r="L21" s="31">
        <f>'TUSD BE'!$L$21*'TUSD BF'!$L$72</f>
        <v>0</v>
      </c>
      <c r="M21" s="31">
        <f>'TUSD BE'!$M$21*'TUSD BF'!$M$72</f>
        <v>0</v>
      </c>
      <c r="N21" s="31">
        <f ca="1">'TUSD BE'!$N$21*'TUSD BF'!$N$72</f>
        <v>0</v>
      </c>
      <c r="O21" s="31">
        <f>'TUSD BE'!$O$21*'TUSD BF'!$O$72</f>
        <v>0</v>
      </c>
      <c r="P21" s="31">
        <f>'TUSD BE'!$P$21*'TUSD BF'!$P$72</f>
        <v>0</v>
      </c>
      <c r="Q21" s="31">
        <f>'TUSD BE'!$Q$21*'TUSD BF'!$Q$72</f>
        <v>0</v>
      </c>
      <c r="R21" s="31">
        <f>'TUSD BE'!$R$21*'TUSD BF'!$R$72</f>
        <v>0</v>
      </c>
      <c r="S21" s="31">
        <f>'TUSD BE'!$R$21*'TUSD BF'!$S$72</f>
        <v>0</v>
      </c>
      <c r="T21" s="31">
        <f ca="1">SUM($L$21:$S$21)</f>
        <v>0</v>
      </c>
      <c r="U21" s="31">
        <f>'TUSD BE'!$U$21*'TUSD BF'!$U$72</f>
        <v>0.2231895855075765</v>
      </c>
      <c r="V21" s="31">
        <f>'TUSD BE'!$V$21*'TUSD BF'!$V$72</f>
        <v>6.9229453895904083E-2</v>
      </c>
      <c r="W21" s="31">
        <f>'TUSD BE'!$W$21*'TUSD BF'!$W$72</f>
        <v>0</v>
      </c>
      <c r="X21" s="31">
        <f>'TUSD BE'!$X$21*'TUSD BF'!$X$72</f>
        <v>0</v>
      </c>
      <c r="Y21" s="31">
        <f>'TUSD BE'!$Y$21*'TUSD BF'!$Y$72</f>
        <v>0</v>
      </c>
      <c r="Z21" s="31">
        <f>'TUSD BE'!$Z$21*'TUSD BF'!$Z$72</f>
        <v>0</v>
      </c>
      <c r="AA21" s="31">
        <f>'TUSD BE'!$AA$21*'TUSD BF'!$AA$72</f>
        <v>0</v>
      </c>
      <c r="AB21" s="31">
        <f>SUM($U$21:$AA$21)</f>
        <v>0.29241903940348057</v>
      </c>
      <c r="AC21" s="31">
        <f>'TUSD BE'!$AC$21*'TUSD BF'!$AC$72</f>
        <v>0</v>
      </c>
      <c r="AD21" s="31">
        <f>SUM($AC$21:$AC$21)</f>
        <v>0</v>
      </c>
      <c r="AE21" s="31">
        <v>0</v>
      </c>
      <c r="AF21" s="31">
        <f ca="1">$AP$21*$AP$69</f>
        <v>0</v>
      </c>
      <c r="AG21" s="31">
        <f ca="1">SUM($AE$21:$AF$21)</f>
        <v>0</v>
      </c>
      <c r="AH21" s="31">
        <f>'TUSD BE'!$AH$21*'TUSD BF'!$AH$72</f>
        <v>0</v>
      </c>
      <c r="AI21" s="31">
        <f>'TUSD BE'!$AI$21*'TUSD BF'!$AI$72</f>
        <v>0</v>
      </c>
      <c r="AJ21" s="31">
        <f ca="1">'TUSD BE'!$AJ$21*'TUSD BF'!$AJ$72</f>
        <v>0</v>
      </c>
      <c r="AK21" s="31">
        <f ca="1">'TUSD BE'!$AK$21*'TUSD BF'!$AK$72</f>
        <v>0</v>
      </c>
      <c r="AL21" s="31">
        <f ca="1">SUM($AH$21:$AK$21)</f>
        <v>0</v>
      </c>
      <c r="AM21" s="31">
        <f ca="1">SUMIF($L$4:$AL$4,"SUBTOTAL",$L$21:$AL$21)</f>
        <v>0.29241903940348057</v>
      </c>
      <c r="AO21" s="40"/>
      <c r="AP21" s="40">
        <f ca="1">+'TUSD BE'!$T$21+'TUSD BE'!$AB$21+'TUSD BE'!$AD$21+'TUSD BE'!$AL$21</f>
        <v>14.385275672325518</v>
      </c>
    </row>
    <row r="22" spans="1:42" ht="11.25" customHeight="1" x14ac:dyDescent="0.25">
      <c r="A22" s="97"/>
      <c r="B22" s="97"/>
      <c r="C22" s="97"/>
      <c r="D22" s="97"/>
      <c r="E22" s="97"/>
      <c r="F22" s="97"/>
      <c r="G22" s="38" t="s">
        <v>108</v>
      </c>
      <c r="H22" s="38" t="s">
        <v>102</v>
      </c>
      <c r="I22" s="38">
        <f>'MERCADO TUSD'!$U$19</f>
        <v>23597.869999999995</v>
      </c>
      <c r="J22" s="15"/>
      <c r="L22" s="31">
        <f>'TUSD BE'!$L$22*'TUSD BF'!$L$72</f>
        <v>0</v>
      </c>
      <c r="M22" s="31">
        <f>'TUSD BE'!$M$22*'TUSD BF'!$M$72</f>
        <v>0</v>
      </c>
      <c r="N22" s="31">
        <f ca="1">'TUSD BE'!$N$22*'TUSD BF'!$N$72</f>
        <v>0</v>
      </c>
      <c r="O22" s="31">
        <f>'TUSD BE'!$O$22*'TUSD BF'!$O$72</f>
        <v>0</v>
      </c>
      <c r="P22" s="31">
        <f>'TUSD BE'!$P$22*'TUSD BF'!$P$72</f>
        <v>0</v>
      </c>
      <c r="Q22" s="31">
        <f>'TUSD BE'!$Q$22*'TUSD BF'!$Q$72</f>
        <v>0</v>
      </c>
      <c r="R22" s="31">
        <f>'TUSD BE'!$R$22*'TUSD BF'!$R$72</f>
        <v>0</v>
      </c>
      <c r="S22" s="31">
        <f>'TUSD BE'!$R$22*'TUSD BF'!$S$72</f>
        <v>0</v>
      </c>
      <c r="T22" s="31">
        <f ca="1">SUM($L$22:$S$22)</f>
        <v>0</v>
      </c>
      <c r="U22" s="31">
        <f>'TUSD BE'!$U$22*'TUSD BF'!$U$72</f>
        <v>0</v>
      </c>
      <c r="V22" s="31">
        <f>'TUSD BE'!$V$22*'TUSD BF'!$V$72</f>
        <v>0</v>
      </c>
      <c r="W22" s="31">
        <f>'TUSD BE'!$W$22*'TUSD BF'!$W$72</f>
        <v>0</v>
      </c>
      <c r="X22" s="31">
        <f>'TUSD BE'!$X$22*'TUSD BF'!$X$72</f>
        <v>0</v>
      </c>
      <c r="Y22" s="31">
        <f>'TUSD BE'!$Y$22*'TUSD BF'!$Y$72</f>
        <v>0</v>
      </c>
      <c r="Z22" s="31">
        <f>'TUSD BE'!$Z$22*'TUSD BF'!$Z$72</f>
        <v>0</v>
      </c>
      <c r="AA22" s="31">
        <f>'TUSD BE'!$AA$22*'TUSD BF'!$AA$72</f>
        <v>0</v>
      </c>
      <c r="AB22" s="31">
        <f>SUM($U$22:$AA$22)</f>
        <v>0</v>
      </c>
      <c r="AC22" s="31">
        <f>'TUSD BE'!$AC$22*'TUSD BF'!$AC$72</f>
        <v>0</v>
      </c>
      <c r="AD22" s="31">
        <f>SUM($AC$22:$AC$22)</f>
        <v>0</v>
      </c>
      <c r="AE22" s="31">
        <v>0</v>
      </c>
      <c r="AF22" s="31">
        <f ca="1">$AP$22*$AP$69</f>
        <v>0</v>
      </c>
      <c r="AG22" s="31">
        <f ca="1">SUM($AE$22:$AF$22)</f>
        <v>0</v>
      </c>
      <c r="AH22" s="31">
        <f>'TUSD BE'!$AH$22*'TUSD BF'!$AH$72</f>
        <v>0.72923880778066985</v>
      </c>
      <c r="AI22" s="31">
        <f>'TUSD BE'!$AI$22*'TUSD BF'!$AI$72</f>
        <v>2.2104400445284222E-2</v>
      </c>
      <c r="AJ22" s="31">
        <f ca="1">'TUSD BE'!$AJ$22*'TUSD BF'!$AJ$72</f>
        <v>0</v>
      </c>
      <c r="AK22" s="31">
        <f ca="1">'TUSD BE'!$AK$22*'TUSD BF'!$AK$72</f>
        <v>0</v>
      </c>
      <c r="AL22" s="31">
        <f ca="1">SUM($AH$22:$AK$22)</f>
        <v>0.75134320822595413</v>
      </c>
      <c r="AM22" s="31">
        <f ca="1">SUMIF($L$4:$AL$4,"SUBTOTAL",$L$22:$AL$22)</f>
        <v>0.75134320822595413</v>
      </c>
      <c r="AO22" s="40"/>
      <c r="AP22" s="40">
        <f ca="1">+'TUSD BE'!$T$22+'TUSD BE'!$AB$22+'TUSD BE'!$AD$22+'TUSD BE'!$AL$22</f>
        <v>14.700394165339045</v>
      </c>
    </row>
    <row r="23" spans="1:42" ht="11.25" customHeight="1" x14ac:dyDescent="0.25">
      <c r="A23" s="97"/>
      <c r="B23" s="37" t="s">
        <v>66</v>
      </c>
      <c r="C23" s="37" t="s">
        <v>25</v>
      </c>
      <c r="D23" s="37" t="s">
        <v>25</v>
      </c>
      <c r="E23" s="37" t="s">
        <v>25</v>
      </c>
      <c r="F23" s="37" t="s">
        <v>25</v>
      </c>
      <c r="G23" s="38" t="s">
        <v>9</v>
      </c>
      <c r="H23" s="38" t="s">
        <v>105</v>
      </c>
      <c r="I23" s="38">
        <f>'MERCADO TUSD'!$U$20</f>
        <v>225442</v>
      </c>
      <c r="J23" s="15"/>
      <c r="L23" s="31">
        <f>'TUSD BE'!$L$23*'TUSD BF'!$L$72</f>
        <v>0</v>
      </c>
      <c r="M23" s="31">
        <f>'TUSD BE'!$M$23*'TUSD BF'!$M$72</f>
        <v>0</v>
      </c>
      <c r="N23" s="31">
        <f ca="1">'TUSD BE'!$N$23*'TUSD BF'!$N$72</f>
        <v>0</v>
      </c>
      <c r="O23" s="31">
        <f>'TUSD BE'!$O$23*'TUSD BF'!$O$72</f>
        <v>0</v>
      </c>
      <c r="P23" s="31">
        <f>'TUSD BE'!$P$23*'TUSD BF'!$P$72</f>
        <v>0</v>
      </c>
      <c r="Q23" s="31">
        <f>'TUSD BE'!$Q$23*'TUSD BF'!$Q$72</f>
        <v>0</v>
      </c>
      <c r="R23" s="31">
        <f>'TUSD BE'!$R$23*'TUSD BF'!$R$72</f>
        <v>0</v>
      </c>
      <c r="S23" s="31">
        <f>'TUSD BE'!$R$23*'TUSD BF'!$S$72</f>
        <v>0</v>
      </c>
      <c r="T23" s="31">
        <f ca="1">SUM($L$23:$S$23)</f>
        <v>0</v>
      </c>
      <c r="U23" s="31">
        <f>'TUSD BE'!$U$23*'TUSD BF'!$U$72</f>
        <v>0</v>
      </c>
      <c r="V23" s="31">
        <f>'TUSD BE'!$V$23*'TUSD BF'!$V$72</f>
        <v>0</v>
      </c>
      <c r="W23" s="31">
        <f>'TUSD BE'!$W$23*'TUSD BF'!$W$72</f>
        <v>0</v>
      </c>
      <c r="X23" s="31">
        <f>'TUSD BE'!$X$23*'TUSD BF'!$X$72</f>
        <v>0</v>
      </c>
      <c r="Y23" s="31">
        <f>'TUSD BE'!$Y$23*'TUSD BF'!$Y$72</f>
        <v>0</v>
      </c>
      <c r="Z23" s="31">
        <f>'TUSD BE'!$Z$23*'TUSD BF'!$Z$72</f>
        <v>0</v>
      </c>
      <c r="AA23" s="31">
        <f>'TUSD BE'!$AA$23*'TUSD BF'!$AA$72</f>
        <v>0</v>
      </c>
      <c r="AB23" s="31">
        <f>SUM($U$23:$AA$23)</f>
        <v>0</v>
      </c>
      <c r="AC23" s="31">
        <f>'TUSD BE'!$AC$23*'TUSD BF'!$AC$72</f>
        <v>0</v>
      </c>
      <c r="AD23" s="31">
        <f>SUM($AC$23:$AC$23)</f>
        <v>0</v>
      </c>
      <c r="AE23" s="31">
        <f ca="1">$AO$23*$AO$69</f>
        <v>0</v>
      </c>
      <c r="AF23" s="31">
        <f ca="1">$AP$23*$AP$69</f>
        <v>0</v>
      </c>
      <c r="AG23" s="31">
        <f ca="1">SUM($AE$23:$AF$23)</f>
        <v>0</v>
      </c>
      <c r="AH23" s="31">
        <f>'TUSD BE'!$AH$23*'TUSD BF'!$AH$72</f>
        <v>3.3179392491840707E-5</v>
      </c>
      <c r="AI23" s="31">
        <f>'TUSD BE'!$AI$23*'TUSD BF'!$AI$72</f>
        <v>0</v>
      </c>
      <c r="AJ23" s="31">
        <f ca="1">'TUSD BE'!$AJ$23*'TUSD BF'!$AJ$72</f>
        <v>0</v>
      </c>
      <c r="AK23" s="31">
        <f ca="1">'TUSD BE'!$AK$23*'TUSD BF'!$AK$72</f>
        <v>0</v>
      </c>
      <c r="AL23" s="31">
        <f ca="1">SUM($AH$23:$AK$23)</f>
        <v>3.3179392491840707E-5</v>
      </c>
      <c r="AM23" s="31">
        <f ca="1">SUMIF($L$4:$AL$4,"SUBTOTAL",$L$23:$AL$23)</f>
        <v>3.3179392491840707E-5</v>
      </c>
      <c r="AO23" s="40">
        <f ca="1">+'TUSD BE'!$T$23+'TUSD BE'!$AB$23+'TUSD BE'!$AD$23+'TUSD BE'!$AL$23</f>
        <v>15.953075551591436</v>
      </c>
      <c r="AP23" s="40">
        <f ca="1">+'TUSD BE'!$T$23+'TUSD BE'!$AB$23+'TUSD BE'!$AD$23+'TUSD BE'!$AL$23</f>
        <v>15.953075551591436</v>
      </c>
    </row>
    <row r="24" spans="1:42" ht="11.25" customHeight="1" x14ac:dyDescent="0.25">
      <c r="A24" s="97"/>
      <c r="B24" s="97" t="s">
        <v>42</v>
      </c>
      <c r="C24" s="97" t="s">
        <v>25</v>
      </c>
      <c r="D24" s="97" t="s">
        <v>25</v>
      </c>
      <c r="E24" s="97" t="s">
        <v>25</v>
      </c>
      <c r="F24" s="97" t="s">
        <v>25</v>
      </c>
      <c r="G24" s="38" t="s">
        <v>9</v>
      </c>
      <c r="H24" s="38" t="s">
        <v>105</v>
      </c>
      <c r="I24" s="38">
        <f>'MERCADO TUSD'!$U$21</f>
        <v>2907224</v>
      </c>
      <c r="J24" s="15"/>
      <c r="L24" s="31">
        <f>'TUSD BE'!$L$24*'TUSD BF'!$L$72</f>
        <v>0</v>
      </c>
      <c r="M24" s="31">
        <f>'TUSD BE'!$M$24*'TUSD BF'!$M$72</f>
        <v>0</v>
      </c>
      <c r="N24" s="31">
        <f ca="1">'TUSD BE'!$N$24*'TUSD BF'!$N$72</f>
        <v>0</v>
      </c>
      <c r="O24" s="31">
        <f>'TUSD BE'!$O$24*'TUSD BF'!$O$72</f>
        <v>0</v>
      </c>
      <c r="P24" s="31">
        <f>'TUSD BE'!$P$24*'TUSD BF'!$P$72</f>
        <v>0</v>
      </c>
      <c r="Q24" s="31">
        <f>'TUSD BE'!$Q$24*'TUSD BF'!$Q$72</f>
        <v>0</v>
      </c>
      <c r="R24" s="31">
        <f>'TUSD BE'!$R$24*'TUSD BF'!$R$72</f>
        <v>0</v>
      </c>
      <c r="S24" s="31">
        <f>'TUSD BE'!$R$24*'TUSD BF'!$S$72</f>
        <v>0</v>
      </c>
      <c r="T24" s="31">
        <f ca="1">SUM($L$24:$S$24)</f>
        <v>0</v>
      </c>
      <c r="U24" s="31">
        <f>'TUSD BE'!$U$24*'TUSD BF'!$U$72</f>
        <v>0.2231895855075765</v>
      </c>
      <c r="V24" s="31">
        <f>'TUSD BE'!$V$24*'TUSD BF'!$V$72</f>
        <v>6.9229453895904083E-2</v>
      </c>
      <c r="W24" s="31">
        <f>'TUSD BE'!$W$24*'TUSD BF'!$W$72</f>
        <v>0</v>
      </c>
      <c r="X24" s="31">
        <f>'TUSD BE'!$X$24*'TUSD BF'!$X$72</f>
        <v>0</v>
      </c>
      <c r="Y24" s="31">
        <f>'TUSD BE'!$Y$24*'TUSD BF'!$Y$72</f>
        <v>0</v>
      </c>
      <c r="Z24" s="31">
        <f>'TUSD BE'!$Z$24*'TUSD BF'!$Z$72</f>
        <v>0</v>
      </c>
      <c r="AA24" s="31">
        <f>'TUSD BE'!$AA$24*'TUSD BF'!$AA$72</f>
        <v>0</v>
      </c>
      <c r="AB24" s="31">
        <f>SUM($U$24:$AA$24)</f>
        <v>0.29241903940348057</v>
      </c>
      <c r="AC24" s="31">
        <f>'TUSD BE'!$AC$24*'TUSD BF'!$AC$72</f>
        <v>0</v>
      </c>
      <c r="AD24" s="31">
        <f>SUM($AC$24:$AC$24)</f>
        <v>0</v>
      </c>
      <c r="AE24" s="31">
        <f ca="1">$AO$24*$AO$69</f>
        <v>0</v>
      </c>
      <c r="AF24" s="31">
        <f ca="1">$AP$24*$AP$69</f>
        <v>0</v>
      </c>
      <c r="AG24" s="31">
        <f ca="1">SUM($AE$24:$AF$24)</f>
        <v>0</v>
      </c>
      <c r="AH24" s="31">
        <f>'TUSD BE'!$AH$24*'TUSD BF'!$AH$72</f>
        <v>0</v>
      </c>
      <c r="AI24" s="31">
        <f>'TUSD BE'!$AI$24*'TUSD BF'!$AI$72</f>
        <v>0</v>
      </c>
      <c r="AJ24" s="31">
        <f ca="1">'TUSD BE'!$AJ$24*'TUSD BF'!$AJ$72</f>
        <v>0</v>
      </c>
      <c r="AK24" s="31">
        <f ca="1">'TUSD BE'!$AK$24*'TUSD BF'!$AK$72</f>
        <v>0</v>
      </c>
      <c r="AL24" s="31">
        <f ca="1">SUM($AH$24:$AK$24)</f>
        <v>0</v>
      </c>
      <c r="AM24" s="31">
        <f ca="1">SUMIF($L$4:$AL$4,"SUBTOTAL",$L$24:$AL$24)</f>
        <v>0.29241903940348057</v>
      </c>
      <c r="AO24" s="40">
        <f ca="1">+'TUSD BE'!$T$24+'TUSD BE'!$AB$24+'TUSD BE'!$AD$24+'TUSD BE'!$AL$24</f>
        <v>28.583378402761134</v>
      </c>
      <c r="AP24" s="40">
        <f ca="1">+'TUSD BE'!$T$24+'TUSD BE'!$AB$24+'TUSD BE'!$AD$24+'TUSD BE'!$AL$24</f>
        <v>28.583378402761134</v>
      </c>
    </row>
    <row r="25" spans="1:42" ht="11.25" customHeight="1" x14ac:dyDescent="0.25">
      <c r="A25" s="97"/>
      <c r="B25" s="97"/>
      <c r="C25" s="97"/>
      <c r="D25" s="97"/>
      <c r="E25" s="97"/>
      <c r="F25" s="97"/>
      <c r="G25" s="38" t="s">
        <v>103</v>
      </c>
      <c r="H25" s="38" t="s">
        <v>102</v>
      </c>
      <c r="I25" s="38">
        <f>'MERCADO TUSD'!$U$22</f>
        <v>35988.722999999998</v>
      </c>
      <c r="J25" s="15"/>
      <c r="L25" s="31">
        <f>'TUSD BE'!$L$25*'TUSD BF'!$L$72</f>
        <v>0.28138996292619095</v>
      </c>
      <c r="M25" s="31">
        <f>'TUSD BE'!$M$25*'TUSD BF'!$M$72</f>
        <v>0</v>
      </c>
      <c r="N25" s="31">
        <f ca="1">'TUSD BE'!$N$25*'TUSD BF'!$N$72</f>
        <v>0</v>
      </c>
      <c r="O25" s="31">
        <f>'TUSD BE'!$O$25*'TUSD BF'!$O$72</f>
        <v>0</v>
      </c>
      <c r="P25" s="31">
        <f>'TUSD BE'!$P$25*'TUSD BF'!$P$72</f>
        <v>0</v>
      </c>
      <c r="Q25" s="31">
        <f>'TUSD BE'!$Q$25*'TUSD BF'!$Q$72</f>
        <v>7.7098463148162555</v>
      </c>
      <c r="R25" s="31">
        <f>'TUSD BE'!$R$25*'TUSD BF'!$R$72</f>
        <v>3.7661510086940049</v>
      </c>
      <c r="S25" s="31">
        <f>'TUSD BE'!$R$25*'TUSD BF'!$S$72</f>
        <v>0</v>
      </c>
      <c r="T25" s="31">
        <f ca="1">SUM($L$25:$S$25)</f>
        <v>11.757387286436451</v>
      </c>
      <c r="U25" s="31">
        <f>'TUSD BE'!$U$25*'TUSD BF'!$U$72</f>
        <v>8.5953238111085231</v>
      </c>
      <c r="V25" s="31">
        <f>'TUSD BE'!$V$25*'TUSD BF'!$V$72</f>
        <v>2.6798512345309322</v>
      </c>
      <c r="W25" s="31">
        <f>'TUSD BE'!$W$25*'TUSD BF'!$W$72</f>
        <v>0</v>
      </c>
      <c r="X25" s="31">
        <f>'TUSD BE'!$X$25*'TUSD BF'!$X$72</f>
        <v>0</v>
      </c>
      <c r="Y25" s="31">
        <f>'TUSD BE'!$Y$25*'TUSD BF'!$Y$72</f>
        <v>0</v>
      </c>
      <c r="Z25" s="31">
        <f>'TUSD BE'!$Z$25*'TUSD BF'!$Z$72</f>
        <v>0</v>
      </c>
      <c r="AA25" s="31">
        <f>'TUSD BE'!$AA$25*'TUSD BF'!$AA$72</f>
        <v>0</v>
      </c>
      <c r="AB25" s="31">
        <f>SUM($U$25:$AA$25)</f>
        <v>11.275175045639456</v>
      </c>
      <c r="AC25" s="31">
        <f>'TUSD BE'!$AC$25*'TUSD BF'!$AC$72</f>
        <v>0</v>
      </c>
      <c r="AD25" s="31">
        <f>SUM($AC$25:$AC$25)</f>
        <v>0</v>
      </c>
      <c r="AE25" s="31">
        <f ca="1">$AO$25*$AO$69</f>
        <v>0</v>
      </c>
      <c r="AF25" s="31">
        <f ca="1">$AP$25*$AP$69</f>
        <v>0</v>
      </c>
      <c r="AG25" s="31">
        <f ca="1">SUM($AE$25:$AF$25)</f>
        <v>0</v>
      </c>
      <c r="AH25" s="31">
        <f>'TUSD BE'!$AH$25*'TUSD BF'!$AH$72</f>
        <v>0.72923880778066985</v>
      </c>
      <c r="AI25" s="31">
        <f>'TUSD BE'!$AI$25*'TUSD BF'!$AI$72</f>
        <v>2.2104400445284222E-2</v>
      </c>
      <c r="AJ25" s="31">
        <f ca="1">'TUSD BE'!$AJ$25*'TUSD BF'!$AJ$72</f>
        <v>0.46650130690803004</v>
      </c>
      <c r="AK25" s="31">
        <f ca="1">'TUSD BE'!$AK$25*'TUSD BF'!$AK$72</f>
        <v>0</v>
      </c>
      <c r="AL25" s="31">
        <f ca="1">SUM($AH$25:$AK$25)</f>
        <v>1.2178445151339843</v>
      </c>
      <c r="AM25" s="31">
        <f ca="1">SUMIF($L$4:$AL$4,"SUBTOTAL",$L$25:$AL$25)</f>
        <v>24.250406847209888</v>
      </c>
      <c r="AO25" s="40">
        <f ca="1">+'TUSD BE'!$T$25+'TUSD BE'!$AB$25+'TUSD BE'!$AD$25+'TUSD BE'!$AL$25</f>
        <v>1457.6362196894013</v>
      </c>
      <c r="AP25" s="40">
        <f ca="1">+'TUSD BE'!$T$25+'TUSD BE'!$AB$25+'TUSD BE'!$AD$25+'TUSD BE'!$AL$25</f>
        <v>1457.6362196894013</v>
      </c>
    </row>
    <row r="26" spans="1:42" ht="11.25" customHeight="1" x14ac:dyDescent="0.25">
      <c r="A26" s="97"/>
      <c r="B26" s="97"/>
      <c r="C26" s="97"/>
      <c r="D26" s="97"/>
      <c r="E26" s="97"/>
      <c r="F26" s="97"/>
      <c r="G26" s="38" t="s">
        <v>104</v>
      </c>
      <c r="H26" s="38" t="s">
        <v>102</v>
      </c>
      <c r="I26" s="38">
        <f>'MERCADO TUSD'!$U$23</f>
        <v>544694.34699999995</v>
      </c>
      <c r="J26" s="15"/>
      <c r="L26" s="31">
        <f>'TUSD BE'!$L$26*'TUSD BF'!$L$72</f>
        <v>0.28138996292619095</v>
      </c>
      <c r="M26" s="31">
        <f>'TUSD BE'!$M$26*'TUSD BF'!$M$72</f>
        <v>0</v>
      </c>
      <c r="N26" s="31">
        <f ca="1">'TUSD BE'!$N$26*'TUSD BF'!$N$72</f>
        <v>0</v>
      </c>
      <c r="O26" s="31">
        <f>'TUSD BE'!$O$26*'TUSD BF'!$O$72</f>
        <v>0</v>
      </c>
      <c r="P26" s="31">
        <f>'TUSD BE'!$P$26*'TUSD BF'!$P$72</f>
        <v>0</v>
      </c>
      <c r="Q26" s="31">
        <f>'TUSD BE'!$Q$26*'TUSD BF'!$Q$72</f>
        <v>7.7098463148162555</v>
      </c>
      <c r="R26" s="31">
        <f>'TUSD BE'!$R$26*'TUSD BF'!$R$72</f>
        <v>3.7661510086940049</v>
      </c>
      <c r="S26" s="31">
        <f>'TUSD BE'!$R$26*'TUSD BF'!$S$72</f>
        <v>0</v>
      </c>
      <c r="T26" s="31">
        <f ca="1">SUM($L$26:$S$26)</f>
        <v>11.757387286436451</v>
      </c>
      <c r="U26" s="31">
        <f>'TUSD BE'!$U$26*'TUSD BF'!$U$72</f>
        <v>0</v>
      </c>
      <c r="V26" s="31">
        <f>'TUSD BE'!$V$26*'TUSD BF'!$V$72</f>
        <v>0</v>
      </c>
      <c r="W26" s="31">
        <f>'TUSD BE'!$W$26*'TUSD BF'!$W$72</f>
        <v>0</v>
      </c>
      <c r="X26" s="31">
        <f>'TUSD BE'!$X$26*'TUSD BF'!$X$72</f>
        <v>0</v>
      </c>
      <c r="Y26" s="31">
        <f>'TUSD BE'!$Y$26*'TUSD BF'!$Y$72</f>
        <v>0</v>
      </c>
      <c r="Z26" s="31">
        <f>'TUSD BE'!$Z$26*'TUSD BF'!$Z$72</f>
        <v>0</v>
      </c>
      <c r="AA26" s="31">
        <f>'TUSD BE'!$AA$26*'TUSD BF'!$AA$72</f>
        <v>0</v>
      </c>
      <c r="AB26" s="31">
        <f>SUM($U$26:$AA$26)</f>
        <v>0</v>
      </c>
      <c r="AC26" s="31">
        <f>'TUSD BE'!$AC$26*'TUSD BF'!$AC$72</f>
        <v>0</v>
      </c>
      <c r="AD26" s="31">
        <f>SUM($AC$26:$AC$26)</f>
        <v>0</v>
      </c>
      <c r="AE26" s="31">
        <f ca="1">$AO$26*$AO$69</f>
        <v>0</v>
      </c>
      <c r="AF26" s="31">
        <f ca="1">$AP$26*$AP$69</f>
        <v>0</v>
      </c>
      <c r="AG26" s="31">
        <f ca="1">SUM($AE$26:$AF$26)</f>
        <v>0</v>
      </c>
      <c r="AH26" s="31">
        <f>'TUSD BE'!$AH$26*'TUSD BF'!$AH$72</f>
        <v>0.72923880778066985</v>
      </c>
      <c r="AI26" s="31">
        <f>'TUSD BE'!$AI$26*'TUSD BF'!$AI$72</f>
        <v>2.2104400445284222E-2</v>
      </c>
      <c r="AJ26" s="31">
        <f ca="1">'TUSD BE'!$AJ$26*'TUSD BF'!$AJ$72</f>
        <v>0.46650130690803004</v>
      </c>
      <c r="AK26" s="31">
        <f ca="1">'TUSD BE'!$AK$26*'TUSD BF'!$AK$72</f>
        <v>0</v>
      </c>
      <c r="AL26" s="31">
        <f ca="1">SUM($AH$26:$AK$26)</f>
        <v>1.2178445151339843</v>
      </c>
      <c r="AM26" s="31">
        <f ca="1">SUMIF($L$4:$AL$4,"SUBTOTAL",$L$26:$AL$26)</f>
        <v>12.975231801570436</v>
      </c>
      <c r="AO26" s="40">
        <f ca="1">+'TUSD BE'!$T$26+'TUSD BE'!$AB$26+'TUSD BE'!$AD$26+'TUSD BE'!$AL$26</f>
        <v>74.879969096627889</v>
      </c>
      <c r="AP26" s="40">
        <f ca="1">+'TUSD BE'!$T$26+'TUSD BE'!$AB$26+'TUSD BE'!$AD$26+'TUSD BE'!$AL$26</f>
        <v>74.879969096627889</v>
      </c>
    </row>
    <row r="27" spans="1:42" ht="11.25" customHeight="1" x14ac:dyDescent="0.25">
      <c r="A27" s="97"/>
      <c r="B27" s="97"/>
      <c r="C27" s="97"/>
      <c r="D27" s="97"/>
      <c r="E27" s="97" t="s">
        <v>59</v>
      </c>
      <c r="F27" s="97" t="s">
        <v>25</v>
      </c>
      <c r="G27" s="38" t="s">
        <v>103</v>
      </c>
      <c r="H27" s="38" t="s">
        <v>102</v>
      </c>
      <c r="I27" s="38">
        <f>'MERCADO TUSD'!$U$24</f>
        <v>0</v>
      </c>
      <c r="J27" s="15"/>
      <c r="L27" s="31">
        <f>'TUSD BE'!$L$27*'TUSD BF'!$L$72</f>
        <v>0</v>
      </c>
      <c r="M27" s="31">
        <f>'TUSD BE'!$M$27*'TUSD BF'!$M$72</f>
        <v>0</v>
      </c>
      <c r="N27" s="31">
        <f ca="1">'TUSD BE'!$N$27*'TUSD BF'!$N$72</f>
        <v>0</v>
      </c>
      <c r="O27" s="31">
        <f>'TUSD BE'!$O$27*'TUSD BF'!$O$72</f>
        <v>0</v>
      </c>
      <c r="P27" s="31">
        <f>'TUSD BE'!$P$27*'TUSD BF'!$P$72</f>
        <v>0</v>
      </c>
      <c r="Q27" s="31">
        <f>'TUSD BE'!$Q$27*'TUSD BF'!$Q$72</f>
        <v>0</v>
      </c>
      <c r="R27" s="31">
        <f>'TUSD BE'!$R$27*'TUSD BF'!$R$72</f>
        <v>0</v>
      </c>
      <c r="S27" s="31">
        <f>'TUSD BE'!$R$27*'TUSD BF'!$S$72</f>
        <v>0</v>
      </c>
      <c r="T27" s="31">
        <f ca="1">SUM($L$27:$S$27)</f>
        <v>0</v>
      </c>
      <c r="U27" s="31">
        <f>'TUSD BE'!$U$27*'TUSD BF'!$U$72</f>
        <v>8.5953238111085231</v>
      </c>
      <c r="V27" s="31">
        <f>'TUSD BE'!$V$27*'TUSD BF'!$V$72</f>
        <v>2.6798512345309322</v>
      </c>
      <c r="W27" s="31">
        <f>'TUSD BE'!$W$27*'TUSD BF'!$W$72</f>
        <v>0</v>
      </c>
      <c r="X27" s="31">
        <f>'TUSD BE'!$X$27*'TUSD BF'!$X$72</f>
        <v>0</v>
      </c>
      <c r="Y27" s="31">
        <f>'TUSD BE'!$Y$27*'TUSD BF'!$Y$72</f>
        <v>0</v>
      </c>
      <c r="Z27" s="31">
        <f>'TUSD BE'!$Z$27*'TUSD BF'!$Z$72</f>
        <v>0</v>
      </c>
      <c r="AA27" s="31">
        <f>'TUSD BE'!$AA$27*'TUSD BF'!$AA$72</f>
        <v>0</v>
      </c>
      <c r="AB27" s="31">
        <f>SUM($U$27:$AA$27)</f>
        <v>11.275175045639456</v>
      </c>
      <c r="AC27" s="31">
        <f>'TUSD BE'!$AC$27*'TUSD BF'!$AC$72</f>
        <v>0</v>
      </c>
      <c r="AD27" s="31">
        <f>SUM($AC$27:$AC$27)</f>
        <v>0</v>
      </c>
      <c r="AE27" s="31">
        <f ca="1">$AO$27*$AO$69</f>
        <v>0</v>
      </c>
      <c r="AF27" s="31">
        <f ca="1">$AP$27*$AP$69</f>
        <v>0</v>
      </c>
      <c r="AG27" s="31">
        <f ca="1">SUM($AE$27:$AF$27)</f>
        <v>0</v>
      </c>
      <c r="AH27" s="31">
        <f>'TUSD BE'!$AH$27*'TUSD BF'!$AH$72</f>
        <v>0.72923880778066985</v>
      </c>
      <c r="AI27" s="31">
        <f>'TUSD BE'!$AI$27*'TUSD BF'!$AI$72</f>
        <v>2.2104400445284222E-2</v>
      </c>
      <c r="AJ27" s="31">
        <f ca="1">'TUSD BE'!$AJ$27*'TUSD BF'!$AJ$72</f>
        <v>0.46650130690803004</v>
      </c>
      <c r="AK27" s="31">
        <f ca="1">'TUSD BE'!$AK$27*'TUSD BF'!$AK$72</f>
        <v>0</v>
      </c>
      <c r="AL27" s="31">
        <f ca="1">SUM($AH$27:$AK$27)</f>
        <v>1.2178445151339843</v>
      </c>
      <c r="AM27" s="31">
        <f ca="1">SUMIF($L$4:$AL$4,"SUBTOTAL",$L$27:$AL$27)</f>
        <v>12.49301956077344</v>
      </c>
      <c r="AO27" s="40">
        <f ca="1">+'TUSD BE'!$T$27+'TUSD BE'!$AB$27+'TUSD BE'!$AD$27+'TUSD BE'!$AL$27</f>
        <v>1407.7559976689117</v>
      </c>
      <c r="AP27" s="40">
        <f ca="1">+'TUSD BE'!$T$27+'TUSD BE'!$AB$27+'TUSD BE'!$AD$27+'TUSD BE'!$AL$27</f>
        <v>1407.7559976689117</v>
      </c>
    </row>
    <row r="28" spans="1:42" ht="11.25" customHeight="1" x14ac:dyDescent="0.25">
      <c r="A28" s="97"/>
      <c r="B28" s="97"/>
      <c r="C28" s="97"/>
      <c r="D28" s="97"/>
      <c r="E28" s="97"/>
      <c r="F28" s="97"/>
      <c r="G28" s="38" t="s">
        <v>104</v>
      </c>
      <c r="H28" s="38" t="s">
        <v>102</v>
      </c>
      <c r="I28" s="38">
        <f>'MERCADO TUSD'!$U$25</f>
        <v>1015.3970000000002</v>
      </c>
      <c r="J28" s="15"/>
      <c r="L28" s="31">
        <f>'TUSD BE'!$L$28*'TUSD BF'!$L$72</f>
        <v>0</v>
      </c>
      <c r="M28" s="31">
        <f>'TUSD BE'!$M$28*'TUSD BF'!$M$72</f>
        <v>0</v>
      </c>
      <c r="N28" s="31">
        <f ca="1">'TUSD BE'!$N$28*'TUSD BF'!$N$72</f>
        <v>0</v>
      </c>
      <c r="O28" s="31">
        <f>'TUSD BE'!$O$28*'TUSD BF'!$O$72</f>
        <v>0</v>
      </c>
      <c r="P28" s="31">
        <f>'TUSD BE'!$P$28*'TUSD BF'!$P$72</f>
        <v>0</v>
      </c>
      <c r="Q28" s="31">
        <f>'TUSD BE'!$Q$28*'TUSD BF'!$Q$72</f>
        <v>0</v>
      </c>
      <c r="R28" s="31">
        <f>'TUSD BE'!$R$28*'TUSD BF'!$R$72</f>
        <v>0</v>
      </c>
      <c r="S28" s="31">
        <f>'TUSD BE'!$R$28*'TUSD BF'!$S$72</f>
        <v>0</v>
      </c>
      <c r="T28" s="31">
        <f ca="1">SUM($L$28:$S$28)</f>
        <v>0</v>
      </c>
      <c r="U28" s="31">
        <f>'TUSD BE'!$U$28*'TUSD BF'!$U$72</f>
        <v>0</v>
      </c>
      <c r="V28" s="31">
        <f>'TUSD BE'!$V$28*'TUSD BF'!$V$72</f>
        <v>0</v>
      </c>
      <c r="W28" s="31">
        <f>'TUSD BE'!$W$28*'TUSD BF'!$W$72</f>
        <v>0</v>
      </c>
      <c r="X28" s="31">
        <f>'TUSD BE'!$X$28*'TUSD BF'!$X$72</f>
        <v>0</v>
      </c>
      <c r="Y28" s="31">
        <f>'TUSD BE'!$Y$28*'TUSD BF'!$Y$72</f>
        <v>0</v>
      </c>
      <c r="Z28" s="31">
        <f>'TUSD BE'!$Z$28*'TUSD BF'!$Z$72</f>
        <v>0</v>
      </c>
      <c r="AA28" s="31">
        <f>'TUSD BE'!$AA$28*'TUSD BF'!$AA$72</f>
        <v>0</v>
      </c>
      <c r="AB28" s="31">
        <f>SUM($U$28:$AA$28)</f>
        <v>0</v>
      </c>
      <c r="AC28" s="31">
        <f>'TUSD BE'!$AC$28*'TUSD BF'!$AC$72</f>
        <v>0</v>
      </c>
      <c r="AD28" s="31">
        <f>SUM($AC$28:$AC$28)</f>
        <v>0</v>
      </c>
      <c r="AE28" s="31">
        <f ca="1">$AO$28*$AO$69</f>
        <v>0</v>
      </c>
      <c r="AF28" s="31">
        <f ca="1">$AP$28*$AP$69</f>
        <v>0</v>
      </c>
      <c r="AG28" s="31">
        <f ca="1">SUM($AE$28:$AF$28)</f>
        <v>0</v>
      </c>
      <c r="AH28" s="31">
        <f>'TUSD BE'!$AH$28*'TUSD BF'!$AH$72</f>
        <v>0.72923880778066985</v>
      </c>
      <c r="AI28" s="31">
        <f>'TUSD BE'!$AI$28*'TUSD BF'!$AI$72</f>
        <v>2.2104400445284222E-2</v>
      </c>
      <c r="AJ28" s="31">
        <f ca="1">'TUSD BE'!$AJ$28*'TUSD BF'!$AJ$72</f>
        <v>0.46650130690803004</v>
      </c>
      <c r="AK28" s="31">
        <f ca="1">'TUSD BE'!$AK$28*'TUSD BF'!$AK$72</f>
        <v>0</v>
      </c>
      <c r="AL28" s="31">
        <f ca="1">SUM($AH$28:$AK$28)</f>
        <v>1.2178445151339843</v>
      </c>
      <c r="AM28" s="31">
        <f ca="1">SUMIF($L$4:$AL$4,"SUBTOTAL",$L$28:$AL$28)</f>
        <v>1.2178445151339843</v>
      </c>
      <c r="AO28" s="40">
        <f ca="1">+'TUSD BE'!$T$28+'TUSD BE'!$AB$28+'TUSD BE'!$AD$28+'TUSD BE'!$AL$28</f>
        <v>24.999747076138529</v>
      </c>
      <c r="AP28" s="40">
        <f ca="1">+'TUSD BE'!$T$28+'TUSD BE'!$AB$28+'TUSD BE'!$AD$28+'TUSD BE'!$AL$28</f>
        <v>24.999747076138529</v>
      </c>
    </row>
    <row r="29" spans="1:42" ht="11.25" customHeight="1" x14ac:dyDescent="0.25">
      <c r="A29" s="97" t="s">
        <v>110</v>
      </c>
      <c r="B29" s="97" t="s">
        <v>66</v>
      </c>
      <c r="C29" s="97" t="s">
        <v>25</v>
      </c>
      <c r="D29" s="97" t="s">
        <v>25</v>
      </c>
      <c r="E29" s="37" t="s">
        <v>111</v>
      </c>
      <c r="F29" s="37" t="s">
        <v>25</v>
      </c>
      <c r="G29" s="38" t="s">
        <v>9</v>
      </c>
      <c r="H29" s="38" t="s">
        <v>105</v>
      </c>
      <c r="I29" s="38">
        <f>'MERCADO TUSD'!$U$26+0.00000001</f>
        <v>1E-8</v>
      </c>
      <c r="J29" s="15"/>
      <c r="L29" s="31">
        <f>'TUSD BE'!$L$29*'TUSD BF'!$L$72</f>
        <v>0</v>
      </c>
      <c r="M29" s="31">
        <f>'TUSD BE'!$M$29*'TUSD BF'!$M$72</f>
        <v>0</v>
      </c>
      <c r="N29" s="31">
        <f ca="1">'TUSD BE'!$N$29*'TUSD BF'!$N$72</f>
        <v>0</v>
      </c>
      <c r="O29" s="31">
        <f>'TUSD BE'!$O$29*'TUSD BF'!$O$72</f>
        <v>0</v>
      </c>
      <c r="P29" s="31">
        <f>'TUSD BE'!$P$29*'TUSD BF'!$P$72</f>
        <v>0</v>
      </c>
      <c r="Q29" s="31">
        <f>'TUSD BE'!$Q$29*'TUSD BF'!$Q$72</f>
        <v>0</v>
      </c>
      <c r="R29" s="31">
        <f>'TUSD BE'!$R$29*'TUSD BF'!$R$72</f>
        <v>0</v>
      </c>
      <c r="S29" s="31">
        <f>'TUSD BE'!$R$29*'TUSD BF'!$S$72</f>
        <v>0</v>
      </c>
      <c r="T29" s="31">
        <f ca="1">SUM($L$29:$S$29)</f>
        <v>0</v>
      </c>
      <c r="U29" s="31">
        <f>'TUSD BE'!$U$29*'TUSD BF'!$U$72</f>
        <v>0</v>
      </c>
      <c r="V29" s="31">
        <f>'TUSD BE'!$V$29*'TUSD BF'!$V$72</f>
        <v>0</v>
      </c>
      <c r="W29" s="31">
        <f>'TUSD BE'!$W$29*'TUSD BF'!$W$72</f>
        <v>0</v>
      </c>
      <c r="X29" s="31">
        <f>'TUSD BE'!$X$29*'TUSD BF'!$X$72</f>
        <v>0</v>
      </c>
      <c r="Y29" s="31">
        <f>'TUSD BE'!$Y$29*'TUSD BF'!$Y$72</f>
        <v>0</v>
      </c>
      <c r="Z29" s="31">
        <f>'TUSD BE'!$Z$29*'TUSD BF'!$Z$72</f>
        <v>0</v>
      </c>
      <c r="AA29" s="31">
        <f>'TUSD BE'!$AA$29*'TUSD BF'!$AA$72</f>
        <v>0</v>
      </c>
      <c r="AB29" s="31">
        <f>SUM($U$29:$AA$29)</f>
        <v>0</v>
      </c>
      <c r="AC29" s="31">
        <f>'TUSD BE'!$AC$29*'TUSD BF'!$AC$72</f>
        <v>0</v>
      </c>
      <c r="AD29" s="31">
        <f>SUM($AC$29:$AC$29)</f>
        <v>0</v>
      </c>
      <c r="AE29" s="31">
        <f ca="1">$AO$29*$AO$69</f>
        <v>0</v>
      </c>
      <c r="AF29" s="31">
        <f ca="1">$AP$29*$AP$69</f>
        <v>0</v>
      </c>
      <c r="AG29" s="31">
        <f ca="1">SUM($AE$29:$AF$29)</f>
        <v>0</v>
      </c>
      <c r="AH29" s="31">
        <f>'TUSD BE'!$AH$29*'TUSD BF'!$AH$72</f>
        <v>0</v>
      </c>
      <c r="AI29" s="31">
        <f>'TUSD BE'!$AI$29*'TUSD BF'!$AI$72</f>
        <v>0</v>
      </c>
      <c r="AJ29" s="31">
        <f ca="1">'TUSD BE'!$AJ$29*'TUSD BF'!$AJ$72</f>
        <v>0</v>
      </c>
      <c r="AK29" s="31">
        <f ca="1">'TUSD BE'!$AK$29*'TUSD BF'!$AK$72</f>
        <v>0</v>
      </c>
      <c r="AL29" s="31">
        <f ca="1">SUM($AH$29:$AK$29)</f>
        <v>0</v>
      </c>
      <c r="AM29" s="31">
        <f ca="1">SUMIF($L$4:$AL$4,"SUBTOTAL",$L$29:$AL$29)</f>
        <v>0</v>
      </c>
      <c r="AO29" s="40">
        <f ca="1">+'TUSD BE'!$T$29+'TUSD BE'!$AB$29+'TUSD BE'!$AD$29+'TUSD BE'!$AL$29</f>
        <v>6.6869061569416459</v>
      </c>
      <c r="AP29" s="40">
        <f ca="1">+'TUSD BE'!$T$29+'TUSD BE'!$AB$29+'TUSD BE'!$AD$29+'TUSD BE'!$AL$29</f>
        <v>6.6869061569416459</v>
      </c>
    </row>
    <row r="30" spans="1:42" ht="11.25" customHeight="1" x14ac:dyDescent="0.25">
      <c r="A30" s="97"/>
      <c r="B30" s="97"/>
      <c r="C30" s="97"/>
      <c r="D30" s="97"/>
      <c r="E30" s="37" t="s">
        <v>112</v>
      </c>
      <c r="F30" s="37" t="s">
        <v>25</v>
      </c>
      <c r="G30" s="38" t="s">
        <v>9</v>
      </c>
      <c r="H30" s="38" t="s">
        <v>105</v>
      </c>
      <c r="I30" s="38">
        <f>'MERCADO TUSD'!$U$27+0.00000001</f>
        <v>1E-8</v>
      </c>
      <c r="J30" s="15"/>
      <c r="L30" s="31">
        <f>'TUSD BE'!$L$30*'TUSD BF'!$L$72</f>
        <v>0</v>
      </c>
      <c r="M30" s="31">
        <f>'TUSD BE'!$M$30*'TUSD BF'!$M$72</f>
        <v>0</v>
      </c>
      <c r="N30" s="31">
        <f ca="1">'TUSD BE'!$N$30*'TUSD BF'!$N$72</f>
        <v>0</v>
      </c>
      <c r="O30" s="31">
        <f>'TUSD BE'!$O$30*'TUSD BF'!$O$72</f>
        <v>0</v>
      </c>
      <c r="P30" s="31">
        <f>'TUSD BE'!$P$30*'TUSD BF'!$P$72</f>
        <v>0</v>
      </c>
      <c r="Q30" s="31">
        <f>'TUSD BE'!$Q$30*'TUSD BF'!$Q$72</f>
        <v>0</v>
      </c>
      <c r="R30" s="31">
        <f>'TUSD BE'!$R$30*'TUSD BF'!$R$72</f>
        <v>0</v>
      </c>
      <c r="S30" s="31">
        <f>'TUSD BE'!$R$30*'TUSD BF'!$S$72</f>
        <v>0</v>
      </c>
      <c r="T30" s="31">
        <f ca="1">SUM($L$30:$S$30)</f>
        <v>0</v>
      </c>
      <c r="U30" s="31">
        <f>'TUSD BE'!$U$30*'TUSD BF'!$U$72</f>
        <v>0</v>
      </c>
      <c r="V30" s="31">
        <f>'TUSD BE'!$V$30*'TUSD BF'!$V$72</f>
        <v>0</v>
      </c>
      <c r="W30" s="31">
        <f>'TUSD BE'!$W$30*'TUSD BF'!$W$72</f>
        <v>0</v>
      </c>
      <c r="X30" s="31">
        <f>'TUSD BE'!$X$30*'TUSD BF'!$X$72</f>
        <v>0</v>
      </c>
      <c r="Y30" s="31">
        <f>'TUSD BE'!$Y$30*'TUSD BF'!$Y$72</f>
        <v>0</v>
      </c>
      <c r="Z30" s="31">
        <f>'TUSD BE'!$Z$30*'TUSD BF'!$Z$72</f>
        <v>0</v>
      </c>
      <c r="AA30" s="31">
        <f>'TUSD BE'!$AA$30*'TUSD BF'!$AA$72</f>
        <v>0</v>
      </c>
      <c r="AB30" s="31">
        <f>SUM($U$30:$AA$30)</f>
        <v>0</v>
      </c>
      <c r="AC30" s="31">
        <f>'TUSD BE'!$AC$30*'TUSD BF'!$AC$72</f>
        <v>0</v>
      </c>
      <c r="AD30" s="31">
        <f>SUM($AC$30:$AC$30)</f>
        <v>0</v>
      </c>
      <c r="AE30" s="31">
        <f ca="1">$AO$30*$AO$69</f>
        <v>0</v>
      </c>
      <c r="AF30" s="31">
        <f ca="1">$AP$30*$AP$69</f>
        <v>0</v>
      </c>
      <c r="AG30" s="31">
        <f ca="1">SUM($AE$30:$AF$30)</f>
        <v>0</v>
      </c>
      <c r="AH30" s="31">
        <f>'TUSD BE'!$AH$30*'TUSD BF'!$AH$72</f>
        <v>0</v>
      </c>
      <c r="AI30" s="31">
        <f>'TUSD BE'!$AI$30*'TUSD BF'!$AI$72</f>
        <v>0</v>
      </c>
      <c r="AJ30" s="31">
        <f ca="1">'TUSD BE'!$AJ$30*'TUSD BF'!$AJ$72</f>
        <v>0</v>
      </c>
      <c r="AK30" s="31">
        <f ca="1">'TUSD BE'!$AK$30*'TUSD BF'!$AK$72</f>
        <v>0</v>
      </c>
      <c r="AL30" s="31">
        <f ca="1">SUM($AH$30:$AK$30)</f>
        <v>0</v>
      </c>
      <c r="AM30" s="31">
        <f ca="1">SUMIF($L$4:$AL$4,"SUBTOTAL",$L$30:$AL$30)</f>
        <v>0</v>
      </c>
      <c r="AO30" s="40">
        <f ca="1">+'TUSD BE'!$T$30+'TUSD BE'!$AB$30+'TUSD BE'!$AD$30+'TUSD BE'!$AL$30</f>
        <v>18.610838815504046</v>
      </c>
      <c r="AP30" s="40">
        <f ca="1">+'TUSD BE'!$T$30+'TUSD BE'!$AB$30+'TUSD BE'!$AD$30+'TUSD BE'!$AL$30</f>
        <v>18.610838815504046</v>
      </c>
    </row>
    <row r="31" spans="1:42" ht="11.25" customHeight="1" x14ac:dyDescent="0.25">
      <c r="A31" s="97" t="s">
        <v>22</v>
      </c>
      <c r="B31" s="97" t="s">
        <v>33</v>
      </c>
      <c r="C31" s="97" t="s">
        <v>24</v>
      </c>
      <c r="D31" s="97" t="s">
        <v>24</v>
      </c>
      <c r="E31" s="97" t="s">
        <v>25</v>
      </c>
      <c r="F31" s="97" t="s">
        <v>25</v>
      </c>
      <c r="G31" s="38" t="s">
        <v>103</v>
      </c>
      <c r="H31" s="38" t="s">
        <v>102</v>
      </c>
      <c r="I31" s="38">
        <f>'MERCADO TUSD'!$U$28</f>
        <v>107.383</v>
      </c>
      <c r="J31" s="15"/>
      <c r="L31" s="31">
        <f>'TUSD BE'!$L$31*'TUSD BF'!$L$72</f>
        <v>0.33498805110260826</v>
      </c>
      <c r="M31" s="31">
        <f>'TUSD BE'!$M$31*'TUSD BF'!$M$72</f>
        <v>0</v>
      </c>
      <c r="N31" s="31">
        <f ca="1">'TUSD BE'!$N$31*'TUSD BF'!$N$72</f>
        <v>0</v>
      </c>
      <c r="O31" s="31">
        <f>'TUSD BE'!$O$31*'TUSD BF'!$O$72</f>
        <v>0</v>
      </c>
      <c r="P31" s="31">
        <f>'TUSD BE'!$P$31*'TUSD BF'!$P$72</f>
        <v>0</v>
      </c>
      <c r="Q31" s="31">
        <f>'TUSD BE'!$Q$31*'TUSD BF'!$Q$72</f>
        <v>9.1783884700193532</v>
      </c>
      <c r="R31" s="31">
        <f>'TUSD BE'!$R$31*'TUSD BF'!$R$72</f>
        <v>3.7661510086940049</v>
      </c>
      <c r="S31" s="31">
        <f>'TUSD BE'!$R$31*'TUSD BF'!$S$72</f>
        <v>0</v>
      </c>
      <c r="T31" s="31">
        <f ca="1">SUM($L$31:$S$31)</f>
        <v>13.279527529815965</v>
      </c>
      <c r="U31" s="31">
        <f>'TUSD BE'!$U$31*'TUSD BF'!$U$72</f>
        <v>5.1029490221288256</v>
      </c>
      <c r="V31" s="31">
        <f>'TUSD BE'!$V$31*'TUSD BF'!$V$72</f>
        <v>1.5829480295719633</v>
      </c>
      <c r="W31" s="31">
        <f>'TUSD BE'!$W$31*'TUSD BF'!$W$72</f>
        <v>0</v>
      </c>
      <c r="X31" s="31">
        <f>'TUSD BE'!$X$31*'TUSD BF'!$X$72</f>
        <v>0</v>
      </c>
      <c r="Y31" s="31">
        <f>'TUSD BE'!$Y$31*'TUSD BF'!$Y$72</f>
        <v>0</v>
      </c>
      <c r="Z31" s="31">
        <f>'TUSD BE'!$Z$31*'TUSD BF'!$Z$72</f>
        <v>0</v>
      </c>
      <c r="AA31" s="31">
        <f>'TUSD BE'!$AA$31*'TUSD BF'!$AA$72</f>
        <v>0</v>
      </c>
      <c r="AB31" s="31">
        <f>SUM($U$31:$AA$31)</f>
        <v>6.6858970517007892</v>
      </c>
      <c r="AC31" s="31">
        <f>'TUSD BE'!$AC$31*'TUSD BF'!$AC$72</f>
        <v>0</v>
      </c>
      <c r="AD31" s="31">
        <f>SUM($AC$31:$AC$31)</f>
        <v>0</v>
      </c>
      <c r="AE31" s="31">
        <f ca="1">$AO$31*$AO$69</f>
        <v>0</v>
      </c>
      <c r="AF31" s="31">
        <f ca="1">$AP$31*$AP$69</f>
        <v>0</v>
      </c>
      <c r="AG31" s="31">
        <f ca="1">SUM($AE$31:$AF$31)</f>
        <v>0</v>
      </c>
      <c r="AH31" s="31">
        <f>'TUSD BE'!$AH$31*'TUSD BF'!$AH$72</f>
        <v>1.6483300993996521</v>
      </c>
      <c r="AI31" s="31">
        <f>'TUSD BE'!$AI$31*'TUSD BF'!$AI$72</f>
        <v>4.9963534845369299E-2</v>
      </c>
      <c r="AJ31" s="31">
        <f ca="1">'TUSD BE'!$AJ$31*'TUSD BF'!$AJ$72</f>
        <v>0.55820929544327946</v>
      </c>
      <c r="AK31" s="31">
        <f ca="1">'TUSD BE'!$AK$31*'TUSD BF'!$AK$72</f>
        <v>0</v>
      </c>
      <c r="AL31" s="31">
        <f ca="1">SUM($AH$31:$AK$31)</f>
        <v>2.2565029296883008</v>
      </c>
      <c r="AM31" s="31">
        <f ca="1">SUMIF($L$4:$AL$4,"SUBTOTAL",$L$31:$AL$31)</f>
        <v>22.221927511205052</v>
      </c>
      <c r="AO31" s="40">
        <f ca="1">+'TUSD BE'!$T$31+'TUSD BE'!$AB$31+'TUSD BE'!$AD$31+'TUSD BE'!$AL$31</f>
        <v>987.51329343375585</v>
      </c>
      <c r="AP31" s="40">
        <f ca="1">+'TUSD BE'!$T$31+'TUSD BE'!$AB$31+'TUSD BE'!$AD$31+'TUSD BE'!$AL$31</f>
        <v>987.51329343375585</v>
      </c>
    </row>
    <row r="32" spans="1:42" ht="11.25" customHeight="1" x14ac:dyDescent="0.25">
      <c r="A32" s="97"/>
      <c r="B32" s="97"/>
      <c r="C32" s="97"/>
      <c r="D32" s="97"/>
      <c r="E32" s="97"/>
      <c r="F32" s="97"/>
      <c r="G32" s="38" t="s">
        <v>113</v>
      </c>
      <c r="H32" s="38" t="s">
        <v>102</v>
      </c>
      <c r="I32" s="38">
        <f>'MERCADO TUSD'!$U$29</f>
        <v>73.695000000000007</v>
      </c>
      <c r="J32" s="15"/>
      <c r="L32" s="31">
        <f>'TUSD BE'!$L$32*'TUSD BF'!$L$72</f>
        <v>0.33498805110260826</v>
      </c>
      <c r="M32" s="31">
        <f>'TUSD BE'!$M$32*'TUSD BF'!$M$72</f>
        <v>0</v>
      </c>
      <c r="N32" s="31">
        <f ca="1">'TUSD BE'!$N$32*'TUSD BF'!$N$72</f>
        <v>0</v>
      </c>
      <c r="O32" s="31">
        <f>'TUSD BE'!$O$32*'TUSD BF'!$O$72</f>
        <v>0</v>
      </c>
      <c r="P32" s="31">
        <f>'TUSD BE'!$P$32*'TUSD BF'!$P$72</f>
        <v>0</v>
      </c>
      <c r="Q32" s="31">
        <f>'TUSD BE'!$Q$32*'TUSD BF'!$Q$72</f>
        <v>9.1783884700193532</v>
      </c>
      <c r="R32" s="31">
        <f>'TUSD BE'!$R$32*'TUSD BF'!$R$72</f>
        <v>3.7661510086940049</v>
      </c>
      <c r="S32" s="31">
        <f>'TUSD BE'!$R$32*'TUSD BF'!$S$72</f>
        <v>0</v>
      </c>
      <c r="T32" s="31">
        <f ca="1">SUM($L$32:$S$32)</f>
        <v>13.279527529815965</v>
      </c>
      <c r="U32" s="31">
        <f>'TUSD BE'!$U$32*'TUSD BF'!$U$72</f>
        <v>3.0617694132772959</v>
      </c>
      <c r="V32" s="31">
        <f>'TUSD BE'!$V$32*'TUSD BF'!$V$72</f>
        <v>0.9497688177431779</v>
      </c>
      <c r="W32" s="31">
        <f>'TUSD BE'!$W$32*'TUSD BF'!$W$72</f>
        <v>0</v>
      </c>
      <c r="X32" s="31">
        <f>'TUSD BE'!$X$32*'TUSD BF'!$X$72</f>
        <v>0</v>
      </c>
      <c r="Y32" s="31">
        <f>'TUSD BE'!$Y$32*'TUSD BF'!$Y$72</f>
        <v>0</v>
      </c>
      <c r="Z32" s="31">
        <f>'TUSD BE'!$Z$32*'TUSD BF'!$Z$72</f>
        <v>0</v>
      </c>
      <c r="AA32" s="31">
        <f>'TUSD BE'!$AA$32*'TUSD BF'!$AA$72</f>
        <v>0</v>
      </c>
      <c r="AB32" s="31">
        <f>SUM($U$32:$AA$32)</f>
        <v>4.0115382310204737</v>
      </c>
      <c r="AC32" s="31">
        <f>'TUSD BE'!$AC$32*'TUSD BF'!$AC$72</f>
        <v>0</v>
      </c>
      <c r="AD32" s="31">
        <f>SUM($AC$32:$AC$32)</f>
        <v>0</v>
      </c>
      <c r="AE32" s="31">
        <f ca="1">$AO$32*$AO$69</f>
        <v>0</v>
      </c>
      <c r="AF32" s="31">
        <f ca="1">$AP$32*$AP$69</f>
        <v>0</v>
      </c>
      <c r="AG32" s="31">
        <f ca="1">SUM($AE$32:$AF$32)</f>
        <v>0</v>
      </c>
      <c r="AH32" s="31">
        <f>'TUSD BE'!$AH$32*'TUSD BF'!$AH$72</f>
        <v>1.6483300993996521</v>
      </c>
      <c r="AI32" s="31">
        <f>'TUSD BE'!$AI$32*'TUSD BF'!$AI$72</f>
        <v>4.9963534845369299E-2</v>
      </c>
      <c r="AJ32" s="31">
        <f ca="1">'TUSD BE'!$AJ$32*'TUSD BF'!$AJ$72</f>
        <v>0.55820929544327946</v>
      </c>
      <c r="AK32" s="31">
        <f ca="1">'TUSD BE'!$AK$32*'TUSD BF'!$AK$72</f>
        <v>0</v>
      </c>
      <c r="AL32" s="31">
        <f ca="1">SUM($AH$32:$AK$32)</f>
        <v>2.2565029296883008</v>
      </c>
      <c r="AM32" s="31">
        <f ca="1">SUMIF($L$4:$AL$4,"SUBTOTAL",$L$32:$AL$32)</f>
        <v>19.547568690524741</v>
      </c>
      <c r="AO32" s="40">
        <f ca="1">+'TUSD BE'!$T$32+'TUSD BE'!$AB$32+'TUSD BE'!$AD$32+'TUSD BE'!$AL$32</f>
        <v>633.52007118669655</v>
      </c>
      <c r="AP32" s="40">
        <f ca="1">+'TUSD BE'!$T$32+'TUSD BE'!$AB$32+'TUSD BE'!$AD$32+'TUSD BE'!$AL$32</f>
        <v>633.52007118669655</v>
      </c>
    </row>
    <row r="33" spans="1:42" ht="11.25" customHeight="1" x14ac:dyDescent="0.25">
      <c r="A33" s="97"/>
      <c r="B33" s="97"/>
      <c r="C33" s="97"/>
      <c r="D33" s="97"/>
      <c r="E33" s="97"/>
      <c r="F33" s="97"/>
      <c r="G33" s="38" t="s">
        <v>104</v>
      </c>
      <c r="H33" s="38" t="s">
        <v>102</v>
      </c>
      <c r="I33" s="38">
        <f>'MERCADO TUSD'!$U$30</f>
        <v>1358.0870000000002</v>
      </c>
      <c r="J33" s="15"/>
      <c r="L33" s="31">
        <f>'TUSD BE'!$L$33*'TUSD BF'!$L$72</f>
        <v>0.33498805110260826</v>
      </c>
      <c r="M33" s="31">
        <f>'TUSD BE'!$M$33*'TUSD BF'!$M$72</f>
        <v>0</v>
      </c>
      <c r="N33" s="31">
        <f ca="1">'TUSD BE'!$N$33*'TUSD BF'!$N$72</f>
        <v>0</v>
      </c>
      <c r="O33" s="31">
        <f>'TUSD BE'!$O$33*'TUSD BF'!$O$72</f>
        <v>0</v>
      </c>
      <c r="P33" s="31">
        <f>'TUSD BE'!$P$33*'TUSD BF'!$P$72</f>
        <v>0</v>
      </c>
      <c r="Q33" s="31">
        <f>'TUSD BE'!$Q$33*'TUSD BF'!$Q$72</f>
        <v>9.1783884700193532</v>
      </c>
      <c r="R33" s="31">
        <f>'TUSD BE'!$R$33*'TUSD BF'!$R$72</f>
        <v>3.7661510086940049</v>
      </c>
      <c r="S33" s="31">
        <f>'TUSD BE'!$R$33*'TUSD BF'!$S$72</f>
        <v>0</v>
      </c>
      <c r="T33" s="31">
        <f ca="1">SUM($L$33:$S$33)</f>
        <v>13.279527529815965</v>
      </c>
      <c r="U33" s="31">
        <f>'TUSD BE'!$U$33*'TUSD BF'!$U$72</f>
        <v>1.0205898044257651</v>
      </c>
      <c r="V33" s="31">
        <f>'TUSD BE'!$V$33*'TUSD BF'!$V$72</f>
        <v>0.31658960591439267</v>
      </c>
      <c r="W33" s="31">
        <f>'TUSD BE'!$W$33*'TUSD BF'!$W$72</f>
        <v>0</v>
      </c>
      <c r="X33" s="31">
        <f>'TUSD BE'!$X$33*'TUSD BF'!$X$72</f>
        <v>0</v>
      </c>
      <c r="Y33" s="31">
        <f>'TUSD BE'!$Y$33*'TUSD BF'!$Y$72</f>
        <v>0</v>
      </c>
      <c r="Z33" s="31">
        <f>'TUSD BE'!$Z$33*'TUSD BF'!$Z$72</f>
        <v>0</v>
      </c>
      <c r="AA33" s="31">
        <f>'TUSD BE'!$AA$33*'TUSD BF'!$AA$72</f>
        <v>0</v>
      </c>
      <c r="AB33" s="31">
        <f>SUM($U$33:$AA$33)</f>
        <v>1.3371794103401577</v>
      </c>
      <c r="AC33" s="31">
        <f>'TUSD BE'!$AC$33*'TUSD BF'!$AC$72</f>
        <v>0</v>
      </c>
      <c r="AD33" s="31">
        <f>SUM($AC$33:$AC$33)</f>
        <v>0</v>
      </c>
      <c r="AE33" s="31">
        <f ca="1">$AO$33*$AO$69</f>
        <v>0</v>
      </c>
      <c r="AF33" s="31">
        <f ca="1">$AP$33*$AP$69</f>
        <v>0</v>
      </c>
      <c r="AG33" s="31">
        <f ca="1">SUM($AE$33:$AF$33)</f>
        <v>0</v>
      </c>
      <c r="AH33" s="31">
        <f>'TUSD BE'!$AH$33*'TUSD BF'!$AH$72</f>
        <v>1.6483300993996521</v>
      </c>
      <c r="AI33" s="31">
        <f>'TUSD BE'!$AI$33*'TUSD BF'!$AI$72</f>
        <v>4.9963534845369299E-2</v>
      </c>
      <c r="AJ33" s="31">
        <f ca="1">'TUSD BE'!$AJ$33*'TUSD BF'!$AJ$72</f>
        <v>0.55820929544327946</v>
      </c>
      <c r="AK33" s="31">
        <f ca="1">'TUSD BE'!$AK$33*'TUSD BF'!$AK$72</f>
        <v>0</v>
      </c>
      <c r="AL33" s="31">
        <f ca="1">SUM($AH$33:$AK$33)</f>
        <v>2.2565029296883008</v>
      </c>
      <c r="AM33" s="31">
        <f ca="1">SUMIF($L$4:$AL$4,"SUBTOTAL",$L$33:$AL$33)</f>
        <v>16.873209869844423</v>
      </c>
      <c r="AO33" s="40">
        <f ca="1">+'TUSD BE'!$T$33+'TUSD BE'!$AB$33+'TUSD BE'!$AD$33+'TUSD BE'!$AL$33</f>
        <v>279.5270249048022</v>
      </c>
      <c r="AP33" s="40">
        <f ca="1">+'TUSD BE'!$T$33+'TUSD BE'!$AB$33+'TUSD BE'!$AD$33+'TUSD BE'!$AL$33</f>
        <v>279.5270249048022</v>
      </c>
    </row>
    <row r="34" spans="1:42" ht="11.25" customHeight="1" x14ac:dyDescent="0.25">
      <c r="A34" s="97"/>
      <c r="B34" s="97" t="s">
        <v>23</v>
      </c>
      <c r="C34" s="97" t="s">
        <v>24</v>
      </c>
      <c r="D34" s="37" t="s">
        <v>24</v>
      </c>
      <c r="E34" s="37" t="s">
        <v>25</v>
      </c>
      <c r="F34" s="37" t="s">
        <v>25</v>
      </c>
      <c r="G34" s="38" t="s">
        <v>108</v>
      </c>
      <c r="H34" s="38" t="s">
        <v>102</v>
      </c>
      <c r="I34" s="38">
        <f>'MERCADO TUSD'!$U$31</f>
        <v>1398369.1870000002</v>
      </c>
      <c r="J34" s="15"/>
      <c r="L34" s="31">
        <f>'TUSD BE'!$L$34*'TUSD BF'!$L$72</f>
        <v>0.33498805110260826</v>
      </c>
      <c r="M34" s="31">
        <f>'TUSD BE'!$M$34*'TUSD BF'!$M$72</f>
        <v>0</v>
      </c>
      <c r="N34" s="31">
        <f ca="1">'TUSD BE'!$N$34*'TUSD BF'!$N$72</f>
        <v>0</v>
      </c>
      <c r="O34" s="31">
        <f>'TUSD BE'!$O$34*'TUSD BF'!$O$72</f>
        <v>0</v>
      </c>
      <c r="P34" s="31">
        <f>'TUSD BE'!$P$34*'TUSD BF'!$P$72</f>
        <v>0</v>
      </c>
      <c r="Q34" s="31">
        <f>'TUSD BE'!$Q$34*'TUSD BF'!$Q$72</f>
        <v>9.1783884700193532</v>
      </c>
      <c r="R34" s="31">
        <f>'TUSD BE'!$R$34*'TUSD BF'!$R$72</f>
        <v>3.7661510086940049</v>
      </c>
      <c r="S34" s="31">
        <f>'TUSD BE'!$R$34*'TUSD BF'!$S$72</f>
        <v>0</v>
      </c>
      <c r="T34" s="31">
        <f ca="1">SUM($L$34:$S$34)</f>
        <v>13.279527529815965</v>
      </c>
      <c r="U34" s="31">
        <f>'TUSD BE'!$U$34*'TUSD BF'!$U$72</f>
        <v>1.5946741993830362</v>
      </c>
      <c r="V34" s="31">
        <f>'TUSD BE'!$V$34*'TUSD BF'!$V$72</f>
        <v>0.49467048075241726</v>
      </c>
      <c r="W34" s="31">
        <f>'TUSD BE'!$W$34*'TUSD BF'!$W$72</f>
        <v>0</v>
      </c>
      <c r="X34" s="31">
        <f>'TUSD BE'!$X$34*'TUSD BF'!$X$72</f>
        <v>0</v>
      </c>
      <c r="Y34" s="31">
        <f>'TUSD BE'!$Y$34*'TUSD BF'!$Y$72</f>
        <v>0</v>
      </c>
      <c r="Z34" s="31">
        <f>'TUSD BE'!$Z$34*'TUSD BF'!$Z$72</f>
        <v>0</v>
      </c>
      <c r="AA34" s="31">
        <f>'TUSD BE'!$AA$34*'TUSD BF'!$AA$72</f>
        <v>0</v>
      </c>
      <c r="AB34" s="31">
        <f>SUM($U$34:$AA$34)</f>
        <v>2.0893446801354534</v>
      </c>
      <c r="AC34" s="31">
        <f>'TUSD BE'!$AC$34*'TUSD BF'!$AC$72</f>
        <v>0</v>
      </c>
      <c r="AD34" s="31">
        <f>SUM($AC$34:$AC$34)</f>
        <v>0</v>
      </c>
      <c r="AE34" s="31">
        <f ca="1">$AO$34*$AO$69</f>
        <v>0</v>
      </c>
      <c r="AF34" s="31">
        <f ca="1">$AP$34*$AP$69</f>
        <v>0</v>
      </c>
      <c r="AG34" s="31">
        <f ca="1">SUM($AE$34:$AF$34)</f>
        <v>0</v>
      </c>
      <c r="AH34" s="31">
        <f>'TUSD BE'!$AH$34*'TUSD BF'!$AH$72</f>
        <v>1.6483300993996521</v>
      </c>
      <c r="AI34" s="31">
        <f>'TUSD BE'!$AI$34*'TUSD BF'!$AI$72</f>
        <v>4.9963534845369299E-2</v>
      </c>
      <c r="AJ34" s="31">
        <f ca="1">'TUSD BE'!$AJ$34*'TUSD BF'!$AJ$72</f>
        <v>0.55820929544327946</v>
      </c>
      <c r="AK34" s="31">
        <f ca="1">'TUSD BE'!$AK$34*'TUSD BF'!$AK$72</f>
        <v>0</v>
      </c>
      <c r="AL34" s="31">
        <f ca="1">SUM($AH$34:$AK$34)</f>
        <v>2.2565029296883008</v>
      </c>
      <c r="AM34" s="31">
        <f ca="1">SUMIF($L$4:$AL$4,"SUBTOTAL",$L$34:$AL$34)</f>
        <v>17.625375139639722</v>
      </c>
      <c r="AO34" s="40">
        <f ca="1">+'TUSD BE'!$T$34+'TUSD BE'!$AB$34+'TUSD BE'!$AD$34+'TUSD BE'!$AL$34</f>
        <v>379.0876791035268</v>
      </c>
      <c r="AP34" s="40">
        <f ca="1">+'TUSD BE'!$T$34+'TUSD BE'!$AB$34+'TUSD BE'!$AD$34+'TUSD BE'!$AL$34</f>
        <v>379.0876791035268</v>
      </c>
    </row>
    <row r="35" spans="1:42" ht="11.25" customHeight="1" x14ac:dyDescent="0.25">
      <c r="A35" s="97"/>
      <c r="B35" s="97"/>
      <c r="C35" s="97"/>
      <c r="D35" s="37" t="s">
        <v>29</v>
      </c>
      <c r="E35" s="37" t="s">
        <v>25</v>
      </c>
      <c r="F35" s="37" t="s">
        <v>25</v>
      </c>
      <c r="G35" s="38" t="s">
        <v>108</v>
      </c>
      <c r="H35" s="38" t="s">
        <v>102</v>
      </c>
      <c r="I35" s="38">
        <f>'MERCADO TUSD'!$U$32</f>
        <v>161060.71900000001</v>
      </c>
      <c r="J35" s="15"/>
      <c r="L35" s="31">
        <f>'TUSD BE'!$L$35*'TUSD BF'!$L$72</f>
        <v>0</v>
      </c>
      <c r="M35" s="31">
        <f>'TUSD BE'!$M$35*'TUSD BF'!$M$72</f>
        <v>0</v>
      </c>
      <c r="N35" s="31">
        <f ca="1">'TUSD BE'!$N$35*'TUSD BF'!$N$72</f>
        <v>0</v>
      </c>
      <c r="O35" s="31">
        <f>'TUSD BE'!$O$35*'TUSD BF'!$O$72</f>
        <v>0</v>
      </c>
      <c r="P35" s="31">
        <f>'TUSD BE'!$P$35*'TUSD BF'!$P$72</f>
        <v>0</v>
      </c>
      <c r="Q35" s="31">
        <f>'TUSD BE'!$Q$35*'TUSD BF'!$Q$72</f>
        <v>0</v>
      </c>
      <c r="R35" s="31">
        <f>'TUSD BE'!$R$35*'TUSD BF'!$R$72</f>
        <v>0</v>
      </c>
      <c r="S35" s="31">
        <f>'TUSD BE'!$R$35*'TUSD BF'!$S$72</f>
        <v>0</v>
      </c>
      <c r="T35" s="31">
        <f ca="1">SUM($L$35:$S$35)</f>
        <v>0</v>
      </c>
      <c r="U35" s="31">
        <f>'TUSD BE'!$U$35*'TUSD BF'!$U$72</f>
        <v>1.5946741993830362</v>
      </c>
      <c r="V35" s="31">
        <f>'TUSD BE'!$V$35*'TUSD BF'!$V$72</f>
        <v>0.49467048075241726</v>
      </c>
      <c r="W35" s="31">
        <f>'TUSD BE'!$W$35*'TUSD BF'!$W$72</f>
        <v>0</v>
      </c>
      <c r="X35" s="31">
        <f>'TUSD BE'!$X$35*'TUSD BF'!$X$72</f>
        <v>0</v>
      </c>
      <c r="Y35" s="31">
        <f>'TUSD BE'!$Y$35*'TUSD BF'!$Y$72</f>
        <v>0</v>
      </c>
      <c r="Z35" s="31">
        <f>'TUSD BE'!$Z$35*'TUSD BF'!$Z$72</f>
        <v>0</v>
      </c>
      <c r="AA35" s="31">
        <f>'TUSD BE'!$AA$35*'TUSD BF'!$AA$72</f>
        <v>0</v>
      </c>
      <c r="AB35" s="31">
        <f>SUM($U$35:$AA$35)</f>
        <v>2.0893446801354534</v>
      </c>
      <c r="AC35" s="31">
        <f>'TUSD BE'!$AC$35*'TUSD BF'!$AC$72</f>
        <v>0</v>
      </c>
      <c r="AD35" s="31">
        <f>SUM($AC$35:$AC$35)</f>
        <v>0</v>
      </c>
      <c r="AE35" s="31">
        <f ca="1">$AO$35*$AO$69</f>
        <v>0</v>
      </c>
      <c r="AF35" s="31">
        <f ca="1">$AP$35*$AP$69</f>
        <v>0</v>
      </c>
      <c r="AG35" s="31">
        <f ca="1">SUM($AE$35:$AF$35)</f>
        <v>0</v>
      </c>
      <c r="AH35" s="31">
        <f>'TUSD BE'!$AH$35*'TUSD BF'!$AH$72</f>
        <v>1.6483300993996521</v>
      </c>
      <c r="AI35" s="31">
        <f>'TUSD BE'!$AI$35*'TUSD BF'!$AI$72</f>
        <v>4.9963534845369299E-2</v>
      </c>
      <c r="AJ35" s="31">
        <f ca="1">'TUSD BE'!$AJ$35*'TUSD BF'!$AJ$72</f>
        <v>0.55820929544327946</v>
      </c>
      <c r="AK35" s="31">
        <f ca="1">'TUSD BE'!$AK$35*'TUSD BF'!$AK$72</f>
        <v>0</v>
      </c>
      <c r="AL35" s="31">
        <f ca="1">SUM($AH$35:$AK$35)</f>
        <v>2.2565029296883008</v>
      </c>
      <c r="AM35" s="31">
        <f ca="1">SUMIF($L$4:$AL$4,"SUBTOTAL",$L$35:$AL$35)</f>
        <v>4.3458476098237542</v>
      </c>
      <c r="AO35" s="40">
        <f ca="1">+'TUSD BE'!$T$35+'TUSD BE'!$AB$35+'TUSD BE'!$AD$35+'TUSD BE'!$AL$35</f>
        <v>322.454049002369</v>
      </c>
      <c r="AP35" s="40">
        <f ca="1">+'TUSD BE'!$T$35+'TUSD BE'!$AB$35+'TUSD BE'!$AD$35+'TUSD BE'!$AL$35</f>
        <v>322.454049002369</v>
      </c>
    </row>
    <row r="36" spans="1:42" ht="11.25" customHeight="1" x14ac:dyDescent="0.25">
      <c r="A36" s="97"/>
      <c r="B36" s="97"/>
      <c r="C36" s="97"/>
      <c r="D36" s="37" t="s">
        <v>30</v>
      </c>
      <c r="E36" s="37" t="s">
        <v>25</v>
      </c>
      <c r="F36" s="37" t="s">
        <v>25</v>
      </c>
      <c r="G36" s="38" t="s">
        <v>108</v>
      </c>
      <c r="H36" s="38" t="s">
        <v>102</v>
      </c>
      <c r="I36" s="38">
        <f>'MERCADO TUSD'!$U$33</f>
        <v>267147.82800000004</v>
      </c>
      <c r="J36" s="15"/>
      <c r="L36" s="31">
        <f>'TUSD BE'!$L$36*'TUSD BF'!$L$72</f>
        <v>0</v>
      </c>
      <c r="M36" s="31">
        <f>'TUSD BE'!$M$36*'TUSD BF'!$M$72</f>
        <v>0</v>
      </c>
      <c r="N36" s="31">
        <f ca="1">'TUSD BE'!$N$36*'TUSD BF'!$N$72</f>
        <v>0</v>
      </c>
      <c r="O36" s="31">
        <f>'TUSD BE'!$O$36*'TUSD BF'!$O$72</f>
        <v>0</v>
      </c>
      <c r="P36" s="31">
        <f>'TUSD BE'!$P$36*'TUSD BF'!$P$72</f>
        <v>0</v>
      </c>
      <c r="Q36" s="31">
        <f>'TUSD BE'!$Q$36*'TUSD BF'!$Q$72</f>
        <v>0</v>
      </c>
      <c r="R36" s="31">
        <f>'TUSD BE'!$R$36*'TUSD BF'!$R$72</f>
        <v>0</v>
      </c>
      <c r="S36" s="31">
        <f>'TUSD BE'!$R$36*'TUSD BF'!$S$72</f>
        <v>0</v>
      </c>
      <c r="T36" s="31">
        <f ca="1">SUM($L$36:$S$36)</f>
        <v>0</v>
      </c>
      <c r="U36" s="31">
        <f>'TUSD BE'!$U$36*'TUSD BF'!$U$72</f>
        <v>1.5946741993830362</v>
      </c>
      <c r="V36" s="31">
        <f>'TUSD BE'!$V$36*'TUSD BF'!$V$72</f>
        <v>0.49467048075241726</v>
      </c>
      <c r="W36" s="31">
        <f>'TUSD BE'!$W$36*'TUSD BF'!$W$72</f>
        <v>0</v>
      </c>
      <c r="X36" s="31">
        <f>'TUSD BE'!$X$36*'TUSD BF'!$X$72</f>
        <v>0</v>
      </c>
      <c r="Y36" s="31">
        <f>'TUSD BE'!$Y$36*'TUSD BF'!$Y$72</f>
        <v>0</v>
      </c>
      <c r="Z36" s="31">
        <f>'TUSD BE'!$Z$36*'TUSD BF'!$Z$72</f>
        <v>0</v>
      </c>
      <c r="AA36" s="31">
        <f>'TUSD BE'!$AA$36*'TUSD BF'!$AA$72</f>
        <v>0</v>
      </c>
      <c r="AB36" s="31">
        <f>SUM($U$36:$AA$36)</f>
        <v>2.0893446801354534</v>
      </c>
      <c r="AC36" s="31">
        <f>'TUSD BE'!$AC$36*'TUSD BF'!$AC$72</f>
        <v>0</v>
      </c>
      <c r="AD36" s="31">
        <f>SUM($AC$36:$AC$36)</f>
        <v>0</v>
      </c>
      <c r="AE36" s="31">
        <f ca="1">$AO$36*$AO$69</f>
        <v>0</v>
      </c>
      <c r="AF36" s="31">
        <f ca="1">$AP$36*$AP$69</f>
        <v>0</v>
      </c>
      <c r="AG36" s="31">
        <f ca="1">SUM($AE$36:$AF$36)</f>
        <v>0</v>
      </c>
      <c r="AH36" s="31">
        <f>'TUSD BE'!$AH$36*'TUSD BF'!$AH$72</f>
        <v>1.6483300993996521</v>
      </c>
      <c r="AI36" s="31">
        <f>'TUSD BE'!$AI$36*'TUSD BF'!$AI$72</f>
        <v>4.9963534845369299E-2</v>
      </c>
      <c r="AJ36" s="31">
        <f ca="1">'TUSD BE'!$AJ$36*'TUSD BF'!$AJ$72</f>
        <v>0.55820929544327946</v>
      </c>
      <c r="AK36" s="31">
        <f ca="1">'TUSD BE'!$AK$36*'TUSD BF'!$AK$72</f>
        <v>0</v>
      </c>
      <c r="AL36" s="31">
        <f ca="1">SUM($AH$36:$AK$36)</f>
        <v>2.2565029296883008</v>
      </c>
      <c r="AM36" s="31">
        <f ca="1">SUMIF($L$4:$AL$4,"SUBTOTAL",$L$36:$AL$36)</f>
        <v>4.3458476098237542</v>
      </c>
      <c r="AO36" s="40">
        <f ca="1">+'TUSD BE'!$T$36+'TUSD BE'!$AB$36+'TUSD BE'!$AD$36+'TUSD BE'!$AL$36</f>
        <v>322.454049002369</v>
      </c>
      <c r="AP36" s="40">
        <f ca="1">+'TUSD BE'!$T$36+'TUSD BE'!$AB$36+'TUSD BE'!$AD$36+'TUSD BE'!$AL$36</f>
        <v>322.454049002369</v>
      </c>
    </row>
    <row r="37" spans="1:42" ht="11.25" customHeight="1" x14ac:dyDescent="0.25">
      <c r="A37" s="97"/>
      <c r="B37" s="97"/>
      <c r="C37" s="97"/>
      <c r="D37" s="37" t="s">
        <v>31</v>
      </c>
      <c r="E37" s="37" t="s">
        <v>25</v>
      </c>
      <c r="F37" s="37" t="s">
        <v>25</v>
      </c>
      <c r="G37" s="38" t="s">
        <v>108</v>
      </c>
      <c r="H37" s="38" t="s">
        <v>102</v>
      </c>
      <c r="I37" s="38">
        <f>'MERCADO TUSD'!$U$34</f>
        <v>140786.959</v>
      </c>
      <c r="J37" s="15"/>
      <c r="L37" s="31">
        <f>'TUSD BE'!$L$37*'TUSD BF'!$L$72</f>
        <v>0</v>
      </c>
      <c r="M37" s="31">
        <f>'TUSD BE'!$M$37*'TUSD BF'!$M$72</f>
        <v>0</v>
      </c>
      <c r="N37" s="31">
        <f ca="1">'TUSD BE'!$N$37*'TUSD BF'!$N$72</f>
        <v>0</v>
      </c>
      <c r="O37" s="31">
        <f>'TUSD BE'!$O$37*'TUSD BF'!$O$72</f>
        <v>0</v>
      </c>
      <c r="P37" s="31">
        <f>'TUSD BE'!$P$37*'TUSD BF'!$P$72</f>
        <v>0</v>
      </c>
      <c r="Q37" s="31">
        <f>'TUSD BE'!$Q$37*'TUSD BF'!$Q$72</f>
        <v>0</v>
      </c>
      <c r="R37" s="31">
        <f>'TUSD BE'!$R$37*'TUSD BF'!$R$72</f>
        <v>0</v>
      </c>
      <c r="S37" s="31">
        <f>'TUSD BE'!$R$37*'TUSD BF'!$S$72</f>
        <v>0</v>
      </c>
      <c r="T37" s="31">
        <f ca="1">SUM($L$37:$S$37)</f>
        <v>0</v>
      </c>
      <c r="U37" s="31">
        <f>'TUSD BE'!$U$37*'TUSD BF'!$U$72</f>
        <v>1.5946741993830362</v>
      </c>
      <c r="V37" s="31">
        <f>'TUSD BE'!$V$37*'TUSD BF'!$V$72</f>
        <v>0.49467048075241726</v>
      </c>
      <c r="W37" s="31">
        <f>'TUSD BE'!$W$37*'TUSD BF'!$W$72</f>
        <v>0</v>
      </c>
      <c r="X37" s="31">
        <f>'TUSD BE'!$X$37*'TUSD BF'!$X$72</f>
        <v>0</v>
      </c>
      <c r="Y37" s="31">
        <f>'TUSD BE'!$Y$37*'TUSD BF'!$Y$72</f>
        <v>0</v>
      </c>
      <c r="Z37" s="31">
        <f>'TUSD BE'!$Z$37*'TUSD BF'!$Z$72</f>
        <v>0</v>
      </c>
      <c r="AA37" s="31">
        <f>'TUSD BE'!$AA$37*'TUSD BF'!$AA$72</f>
        <v>0</v>
      </c>
      <c r="AB37" s="31">
        <f>SUM($U$37:$AA$37)</f>
        <v>2.0893446801354534</v>
      </c>
      <c r="AC37" s="31">
        <f>'TUSD BE'!$AC$37*'TUSD BF'!$AC$72</f>
        <v>0</v>
      </c>
      <c r="AD37" s="31">
        <f>SUM($AC$37:$AC$37)</f>
        <v>0</v>
      </c>
      <c r="AE37" s="31">
        <f ca="1">$AO$37*$AO$69</f>
        <v>0</v>
      </c>
      <c r="AF37" s="31">
        <f ca="1">$AP$37*$AP$69</f>
        <v>0</v>
      </c>
      <c r="AG37" s="31">
        <f ca="1">SUM($AE$37:$AF$37)</f>
        <v>0</v>
      </c>
      <c r="AH37" s="31">
        <f>'TUSD BE'!$AH$37*'TUSD BF'!$AH$72</f>
        <v>1.6483300993996521</v>
      </c>
      <c r="AI37" s="31">
        <f>'TUSD BE'!$AI$37*'TUSD BF'!$AI$72</f>
        <v>4.9963534845369299E-2</v>
      </c>
      <c r="AJ37" s="31">
        <f ca="1">'TUSD BE'!$AJ$37*'TUSD BF'!$AJ$72</f>
        <v>0.55820929544327946</v>
      </c>
      <c r="AK37" s="31">
        <f ca="1">'TUSD BE'!$AK$37*'TUSD BF'!$AK$72</f>
        <v>0</v>
      </c>
      <c r="AL37" s="31">
        <f ca="1">SUM($AH$37:$AK$37)</f>
        <v>2.2565029296883008</v>
      </c>
      <c r="AM37" s="31">
        <f ca="1">SUMIF($L$4:$AL$4,"SUBTOTAL",$L$37:$AL$37)</f>
        <v>4.3458476098237542</v>
      </c>
      <c r="AO37" s="40">
        <f ca="1">+'TUSD BE'!$T$37+'TUSD BE'!$AB$37+'TUSD BE'!$AD$37+'TUSD BE'!$AL$37</f>
        <v>322.454049002369</v>
      </c>
      <c r="AP37" s="40">
        <f ca="1">+'TUSD BE'!$T$37+'TUSD BE'!$AB$37+'TUSD BE'!$AD$37+'TUSD BE'!$AL$37</f>
        <v>322.454049002369</v>
      </c>
    </row>
    <row r="38" spans="1:42" ht="11.25" customHeight="1" x14ac:dyDescent="0.25">
      <c r="A38" s="97"/>
      <c r="B38" s="97"/>
      <c r="C38" s="97"/>
      <c r="D38" s="37" t="s">
        <v>32</v>
      </c>
      <c r="E38" s="37" t="s">
        <v>25</v>
      </c>
      <c r="F38" s="37" t="s">
        <v>25</v>
      </c>
      <c r="G38" s="38" t="s">
        <v>108</v>
      </c>
      <c r="H38" s="38" t="s">
        <v>102</v>
      </c>
      <c r="I38" s="38">
        <f>'MERCADO TUSD'!$U$35</f>
        <v>39430.460000000006</v>
      </c>
      <c r="J38" s="15"/>
      <c r="L38" s="31">
        <f>'TUSD BE'!$L$38*'TUSD BF'!$L$72</f>
        <v>0</v>
      </c>
      <c r="M38" s="31">
        <f>'TUSD BE'!$M$38*'TUSD BF'!$M$72</f>
        <v>0</v>
      </c>
      <c r="N38" s="31">
        <f ca="1">'TUSD BE'!$N$38*'TUSD BF'!$N$72</f>
        <v>0</v>
      </c>
      <c r="O38" s="31">
        <f>'TUSD BE'!$O$38*'TUSD BF'!$O$72</f>
        <v>0</v>
      </c>
      <c r="P38" s="31">
        <f>'TUSD BE'!$P$38*'TUSD BF'!$P$72</f>
        <v>0</v>
      </c>
      <c r="Q38" s="31">
        <f>'TUSD BE'!$Q$38*'TUSD BF'!$Q$72</f>
        <v>0</v>
      </c>
      <c r="R38" s="31">
        <f>'TUSD BE'!$R$38*'TUSD BF'!$R$72</f>
        <v>0</v>
      </c>
      <c r="S38" s="31">
        <f>'TUSD BE'!$R$38*'TUSD BF'!$S$72</f>
        <v>0</v>
      </c>
      <c r="T38" s="31">
        <f ca="1">SUM($L$38:$S$38)</f>
        <v>0</v>
      </c>
      <c r="U38" s="31">
        <f>'TUSD BE'!$U$38*'TUSD BF'!$U$72</f>
        <v>1.5946741993830362</v>
      </c>
      <c r="V38" s="31">
        <f>'TUSD BE'!$V$38*'TUSD BF'!$V$72</f>
        <v>0.49467048075241726</v>
      </c>
      <c r="W38" s="31">
        <f>'TUSD BE'!$W$38*'TUSD BF'!$W$72</f>
        <v>0</v>
      </c>
      <c r="X38" s="31">
        <f>'TUSD BE'!$X$38*'TUSD BF'!$X$72</f>
        <v>0</v>
      </c>
      <c r="Y38" s="31">
        <f>'TUSD BE'!$Y$38*'TUSD BF'!$Y$72</f>
        <v>0</v>
      </c>
      <c r="Z38" s="31">
        <f>'TUSD BE'!$Z$38*'TUSD BF'!$Z$72</f>
        <v>0</v>
      </c>
      <c r="AA38" s="31">
        <f>'TUSD BE'!$AA$38*'TUSD BF'!$AA$72</f>
        <v>0</v>
      </c>
      <c r="AB38" s="31">
        <f>SUM($U$38:$AA$38)</f>
        <v>2.0893446801354534</v>
      </c>
      <c r="AC38" s="31">
        <f>'TUSD BE'!$AC$38*'TUSD BF'!$AC$72</f>
        <v>0</v>
      </c>
      <c r="AD38" s="31">
        <f>SUM($AC$38:$AC$38)</f>
        <v>0</v>
      </c>
      <c r="AE38" s="31">
        <f ca="1">$AO$38*$AO$69</f>
        <v>0</v>
      </c>
      <c r="AF38" s="31">
        <f ca="1">$AP$38*$AP$69</f>
        <v>0</v>
      </c>
      <c r="AG38" s="31">
        <f ca="1">SUM($AE$38:$AF$38)</f>
        <v>0</v>
      </c>
      <c r="AH38" s="31">
        <f>'TUSD BE'!$AH$38*'TUSD BF'!$AH$72</f>
        <v>1.6483300993996521</v>
      </c>
      <c r="AI38" s="31">
        <f>'TUSD BE'!$AI$38*'TUSD BF'!$AI$72</f>
        <v>4.9963534845369299E-2</v>
      </c>
      <c r="AJ38" s="31">
        <f ca="1">'TUSD BE'!$AJ$38*'TUSD BF'!$AJ$72</f>
        <v>0.55820929544327946</v>
      </c>
      <c r="AK38" s="31">
        <f ca="1">'TUSD BE'!$AK$38*'TUSD BF'!$AK$72</f>
        <v>0</v>
      </c>
      <c r="AL38" s="31">
        <f ca="1">SUM($AH$38:$AK$38)</f>
        <v>2.2565029296883008</v>
      </c>
      <c r="AM38" s="31">
        <f ca="1">SUMIF($L$4:$AL$4,"SUBTOTAL",$L$38:$AL$38)</f>
        <v>4.3458476098237542</v>
      </c>
      <c r="AO38" s="40">
        <f ca="1">+'TUSD BE'!$T$38+'TUSD BE'!$AB$38+'TUSD BE'!$AD$38+'TUSD BE'!$AL$38</f>
        <v>322.454049002369</v>
      </c>
      <c r="AP38" s="40">
        <f ca="1">+'TUSD BE'!$T$38+'TUSD BE'!$AB$38+'TUSD BE'!$AD$38+'TUSD BE'!$AL$38</f>
        <v>322.454049002369</v>
      </c>
    </row>
    <row r="39" spans="1:42" ht="11.25" customHeight="1" x14ac:dyDescent="0.25">
      <c r="A39" s="97"/>
      <c r="B39" s="97" t="s">
        <v>115</v>
      </c>
      <c r="C39" s="97" t="s">
        <v>24</v>
      </c>
      <c r="D39" s="37" t="s">
        <v>24</v>
      </c>
      <c r="E39" s="37" t="s">
        <v>25</v>
      </c>
      <c r="F39" s="37" t="s">
        <v>25</v>
      </c>
      <c r="G39" s="38" t="s">
        <v>108</v>
      </c>
      <c r="H39" s="38" t="s">
        <v>102</v>
      </c>
      <c r="I39" s="38">
        <f>'MERCADO TUSD'!$U$36</f>
        <v>0</v>
      </c>
      <c r="J39" s="15"/>
      <c r="L39" s="31">
        <f>'TUSD BE'!$L$39*'TUSD BF'!$L$72</f>
        <v>0.33498805110260826</v>
      </c>
      <c r="M39" s="31">
        <f>'TUSD BE'!$M$39*'TUSD BF'!$M$72</f>
        <v>0</v>
      </c>
      <c r="N39" s="31">
        <f ca="1">'TUSD BE'!$N$39*'TUSD BF'!$N$72</f>
        <v>0</v>
      </c>
      <c r="O39" s="31">
        <f>'TUSD BE'!$O$39*'TUSD BF'!$O$72</f>
        <v>0</v>
      </c>
      <c r="P39" s="31">
        <f>'TUSD BE'!$P$39*'TUSD BF'!$P$72</f>
        <v>0</v>
      </c>
      <c r="Q39" s="31">
        <f>'TUSD BE'!$Q$39*'TUSD BF'!$Q$72</f>
        <v>9.1783884700193532</v>
      </c>
      <c r="R39" s="31">
        <f>'TUSD BE'!$R$39*'TUSD BF'!$R$72</f>
        <v>3.7661510086940049</v>
      </c>
      <c r="S39" s="31">
        <f>'TUSD BE'!$R$39*'TUSD BF'!$S$72</f>
        <v>0</v>
      </c>
      <c r="T39" s="31">
        <f ca="1">SUM($L$39:$S$39)</f>
        <v>13.279527529815965</v>
      </c>
      <c r="U39" s="31">
        <f>'TUSD BE'!$U$39*'TUSD BF'!$U$72</f>
        <v>1.5946741993830362</v>
      </c>
      <c r="V39" s="31">
        <f>'TUSD BE'!$V$39*'TUSD BF'!$V$72</f>
        <v>0.49467048075241726</v>
      </c>
      <c r="W39" s="31">
        <f>'TUSD BE'!$W$39*'TUSD BF'!$W$72</f>
        <v>0</v>
      </c>
      <c r="X39" s="31">
        <f>'TUSD BE'!$X$39*'TUSD BF'!$X$72</f>
        <v>0</v>
      </c>
      <c r="Y39" s="31">
        <f>'TUSD BE'!$Y$39*'TUSD BF'!$Y$72</f>
        <v>0</v>
      </c>
      <c r="Z39" s="31">
        <f>'TUSD BE'!$Z$39*'TUSD BF'!$Z$72</f>
        <v>0</v>
      </c>
      <c r="AA39" s="31">
        <f>'TUSD BE'!$AA$39*'TUSD BF'!$AA$72</f>
        <v>0</v>
      </c>
      <c r="AB39" s="31">
        <f>SUM($U$39:$AA$39)</f>
        <v>2.0893446801354534</v>
      </c>
      <c r="AC39" s="31">
        <f>'TUSD BE'!$AC$39*'TUSD BF'!$AC$72</f>
        <v>0</v>
      </c>
      <c r="AD39" s="31">
        <f>SUM($AC$39:$AC$39)</f>
        <v>0</v>
      </c>
      <c r="AE39" s="31">
        <f ca="1">$AO$39*$AO$69</f>
        <v>0</v>
      </c>
      <c r="AF39" s="31">
        <f ca="1">$AP$39*$AP$69</f>
        <v>0</v>
      </c>
      <c r="AG39" s="31">
        <f ca="1">SUM($AE$39:$AF$39)</f>
        <v>0</v>
      </c>
      <c r="AH39" s="31">
        <f>'TUSD BE'!$AH$39*'TUSD BF'!$AH$72</f>
        <v>1.6483300993996521</v>
      </c>
      <c r="AI39" s="31">
        <f>'TUSD BE'!$AI$39*'TUSD BF'!$AI$72</f>
        <v>4.9963534845369299E-2</v>
      </c>
      <c r="AJ39" s="31">
        <f ca="1">'TUSD BE'!$AJ$39*'TUSD BF'!$AJ$72</f>
        <v>0.55820929544327946</v>
      </c>
      <c r="AK39" s="31">
        <f ca="1">'TUSD BE'!$AK$39*'TUSD BF'!$AK$72</f>
        <v>0</v>
      </c>
      <c r="AL39" s="31">
        <f ca="1">SUM($AH$39:$AK$39)</f>
        <v>2.2565029296883008</v>
      </c>
      <c r="AM39" s="31">
        <f ca="1">SUMIF($L$4:$AL$4,"SUBTOTAL",$L$39:$AL$39)</f>
        <v>17.625375139639722</v>
      </c>
      <c r="AO39" s="40">
        <f ca="1">+'TUSD BE'!$T$39+'TUSD BE'!$AB$39+'TUSD BE'!$AD$39+'TUSD BE'!$AL$39</f>
        <v>379.0876791035268</v>
      </c>
      <c r="AP39" s="40">
        <f ca="1">+'TUSD BE'!$T$39+'TUSD BE'!$AB$39+'TUSD BE'!$AD$39+'TUSD BE'!$AL$39</f>
        <v>379.0876791035268</v>
      </c>
    </row>
    <row r="40" spans="1:42" ht="11.25" customHeight="1" x14ac:dyDescent="0.25">
      <c r="A40" s="97"/>
      <c r="B40" s="97"/>
      <c r="C40" s="97"/>
      <c r="D40" s="37" t="s">
        <v>29</v>
      </c>
      <c r="E40" s="37" t="s">
        <v>25</v>
      </c>
      <c r="F40" s="37" t="s">
        <v>25</v>
      </c>
      <c r="G40" s="38" t="s">
        <v>108</v>
      </c>
      <c r="H40" s="38" t="s">
        <v>102</v>
      </c>
      <c r="I40" s="38">
        <f>'MERCADO TUSD'!$U$37</f>
        <v>0</v>
      </c>
      <c r="J40" s="15"/>
      <c r="L40" s="31">
        <f>'TUSD BE'!$L$40*'TUSD BF'!$L$72</f>
        <v>0</v>
      </c>
      <c r="M40" s="31">
        <f>'TUSD BE'!$M$40*'TUSD BF'!$M$72</f>
        <v>0</v>
      </c>
      <c r="N40" s="31">
        <f ca="1">'TUSD BE'!$N$40*'TUSD BF'!$N$72</f>
        <v>0</v>
      </c>
      <c r="O40" s="31">
        <f>'TUSD BE'!$O$40*'TUSD BF'!$O$72</f>
        <v>0</v>
      </c>
      <c r="P40" s="31">
        <f>'TUSD BE'!$P$40*'TUSD BF'!$P$72</f>
        <v>0</v>
      </c>
      <c r="Q40" s="31">
        <f>'TUSD BE'!$Q$40*'TUSD BF'!$Q$72</f>
        <v>0</v>
      </c>
      <c r="R40" s="31">
        <f>'TUSD BE'!$R$40*'TUSD BF'!$R$72</f>
        <v>0</v>
      </c>
      <c r="S40" s="31">
        <f>'TUSD BE'!$R$40*'TUSD BF'!$S$72</f>
        <v>0</v>
      </c>
      <c r="T40" s="31">
        <f ca="1">SUM($L$40:$S$40)</f>
        <v>0</v>
      </c>
      <c r="U40" s="31">
        <f>'TUSD BE'!$U$40*'TUSD BF'!$U$72</f>
        <v>1.5946741993830362</v>
      </c>
      <c r="V40" s="31">
        <f>'TUSD BE'!$V$40*'TUSD BF'!$V$72</f>
        <v>0.49467048075241726</v>
      </c>
      <c r="W40" s="31">
        <f>'TUSD BE'!$W$40*'TUSD BF'!$W$72</f>
        <v>0</v>
      </c>
      <c r="X40" s="31">
        <f>'TUSD BE'!$X$40*'TUSD BF'!$X$72</f>
        <v>0</v>
      </c>
      <c r="Y40" s="31">
        <f>'TUSD BE'!$Y$40*'TUSD BF'!$Y$72</f>
        <v>0</v>
      </c>
      <c r="Z40" s="31">
        <f>'TUSD BE'!$Z$40*'TUSD BF'!$Z$72</f>
        <v>0</v>
      </c>
      <c r="AA40" s="31">
        <f>'TUSD BE'!$AA$40*'TUSD BF'!$AA$72</f>
        <v>0</v>
      </c>
      <c r="AB40" s="31">
        <f>SUM($U$40:$AA$40)</f>
        <v>2.0893446801354534</v>
      </c>
      <c r="AC40" s="31">
        <f>'TUSD BE'!$AC$40*'TUSD BF'!$AC$72</f>
        <v>0</v>
      </c>
      <c r="AD40" s="31">
        <f>SUM($AC$40:$AC$40)</f>
        <v>0</v>
      </c>
      <c r="AE40" s="31">
        <f ca="1">$AO$40*$AO$69</f>
        <v>0</v>
      </c>
      <c r="AF40" s="31">
        <f ca="1">$AP$40*$AP$69</f>
        <v>0</v>
      </c>
      <c r="AG40" s="31">
        <f ca="1">SUM($AE$40:$AF$40)</f>
        <v>0</v>
      </c>
      <c r="AH40" s="31">
        <f>'TUSD BE'!$AH$40*'TUSD BF'!$AH$72</f>
        <v>1.6483300993996521</v>
      </c>
      <c r="AI40" s="31">
        <f>'TUSD BE'!$AI$40*'TUSD BF'!$AI$72</f>
        <v>4.9963534845369299E-2</v>
      </c>
      <c r="AJ40" s="31">
        <f ca="1">'TUSD BE'!$AJ$40*'TUSD BF'!$AJ$72</f>
        <v>0.55820929544327946</v>
      </c>
      <c r="AK40" s="31">
        <f ca="1">'TUSD BE'!$AK$40*'TUSD BF'!$AK$72</f>
        <v>0</v>
      </c>
      <c r="AL40" s="31">
        <f ca="1">SUM($AH$40:$AK$40)</f>
        <v>2.2565029296883008</v>
      </c>
      <c r="AM40" s="31">
        <f ca="1">SUMIF($L$4:$AL$4,"SUBTOTAL",$L$40:$AL$40)</f>
        <v>4.3458476098237542</v>
      </c>
      <c r="AO40" s="40">
        <f ca="1">+'TUSD BE'!$T$40+'TUSD BE'!$AB$40+'TUSD BE'!$AD$40+'TUSD BE'!$AL$40</f>
        <v>322.454049002369</v>
      </c>
      <c r="AP40" s="40">
        <f ca="1">+'TUSD BE'!$T$40+'TUSD BE'!$AB$40+'TUSD BE'!$AD$40+'TUSD BE'!$AL$40</f>
        <v>322.454049002369</v>
      </c>
    </row>
    <row r="41" spans="1:42" ht="11.25" customHeight="1" x14ac:dyDescent="0.25">
      <c r="A41" s="97"/>
      <c r="B41" s="97"/>
      <c r="C41" s="97"/>
      <c r="D41" s="37" t="s">
        <v>30</v>
      </c>
      <c r="E41" s="37" t="s">
        <v>25</v>
      </c>
      <c r="F41" s="37" t="s">
        <v>25</v>
      </c>
      <c r="G41" s="38" t="s">
        <v>108</v>
      </c>
      <c r="H41" s="38" t="s">
        <v>102</v>
      </c>
      <c r="I41" s="38">
        <f>'MERCADO TUSD'!$U$38</f>
        <v>0</v>
      </c>
      <c r="J41" s="15"/>
      <c r="L41" s="31">
        <f>'TUSD BE'!$L$41*'TUSD BF'!$L$72</f>
        <v>0</v>
      </c>
      <c r="M41" s="31">
        <f>'TUSD BE'!$M$41*'TUSD BF'!$M$72</f>
        <v>0</v>
      </c>
      <c r="N41" s="31">
        <f ca="1">'TUSD BE'!$N$41*'TUSD BF'!$N$72</f>
        <v>0</v>
      </c>
      <c r="O41" s="31">
        <f>'TUSD BE'!$O$41*'TUSD BF'!$O$72</f>
        <v>0</v>
      </c>
      <c r="P41" s="31">
        <f>'TUSD BE'!$P$41*'TUSD BF'!$P$72</f>
        <v>0</v>
      </c>
      <c r="Q41" s="31">
        <f>'TUSD BE'!$Q$41*'TUSD BF'!$Q$72</f>
        <v>0</v>
      </c>
      <c r="R41" s="31">
        <f>'TUSD BE'!$R$41*'TUSD BF'!$R$72</f>
        <v>0</v>
      </c>
      <c r="S41" s="31">
        <f>'TUSD BE'!$R$41*'TUSD BF'!$S$72</f>
        <v>0</v>
      </c>
      <c r="T41" s="31">
        <f ca="1">SUM($L$41:$S$41)</f>
        <v>0</v>
      </c>
      <c r="U41" s="31">
        <f>'TUSD BE'!$U$41*'TUSD BF'!$U$72</f>
        <v>1.5946741993830362</v>
      </c>
      <c r="V41" s="31">
        <f>'TUSD BE'!$V$41*'TUSD BF'!$V$72</f>
        <v>0.49467048075241726</v>
      </c>
      <c r="W41" s="31">
        <f>'TUSD BE'!$W$41*'TUSD BF'!$W$72</f>
        <v>0</v>
      </c>
      <c r="X41" s="31">
        <f>'TUSD BE'!$X$41*'TUSD BF'!$X$72</f>
        <v>0</v>
      </c>
      <c r="Y41" s="31">
        <f>'TUSD BE'!$Y$41*'TUSD BF'!$Y$72</f>
        <v>0</v>
      </c>
      <c r="Z41" s="31">
        <f>'TUSD BE'!$Z$41*'TUSD BF'!$Z$72</f>
        <v>0</v>
      </c>
      <c r="AA41" s="31">
        <f>'TUSD BE'!$AA$41*'TUSD BF'!$AA$72</f>
        <v>0</v>
      </c>
      <c r="AB41" s="31">
        <f>SUM($U$41:$AA$41)</f>
        <v>2.0893446801354534</v>
      </c>
      <c r="AC41" s="31">
        <f>'TUSD BE'!$AC$41*'TUSD BF'!$AC$72</f>
        <v>0</v>
      </c>
      <c r="AD41" s="31">
        <f>SUM($AC$41:$AC$41)</f>
        <v>0</v>
      </c>
      <c r="AE41" s="31">
        <f ca="1">$AO$41*$AO$69</f>
        <v>0</v>
      </c>
      <c r="AF41" s="31">
        <f ca="1">$AP$41*$AP$69</f>
        <v>0</v>
      </c>
      <c r="AG41" s="31">
        <f ca="1">SUM($AE$41:$AF$41)</f>
        <v>0</v>
      </c>
      <c r="AH41" s="31">
        <f>'TUSD BE'!$AH$41*'TUSD BF'!$AH$72</f>
        <v>1.6483300993996521</v>
      </c>
      <c r="AI41" s="31">
        <f>'TUSD BE'!$AI$41*'TUSD BF'!$AI$72</f>
        <v>4.9963534845369299E-2</v>
      </c>
      <c r="AJ41" s="31">
        <f ca="1">'TUSD BE'!$AJ$41*'TUSD BF'!$AJ$72</f>
        <v>0.55820929544327946</v>
      </c>
      <c r="AK41" s="31">
        <f ca="1">'TUSD BE'!$AK$41*'TUSD BF'!$AK$72</f>
        <v>0</v>
      </c>
      <c r="AL41" s="31">
        <f ca="1">SUM($AH$41:$AK$41)</f>
        <v>2.2565029296883008</v>
      </c>
      <c r="AM41" s="31">
        <f ca="1">SUMIF($L$4:$AL$4,"SUBTOTAL",$L$41:$AL$41)</f>
        <v>4.3458476098237542</v>
      </c>
      <c r="AO41" s="40">
        <f ca="1">+'TUSD BE'!$T$41+'TUSD BE'!$AB$41+'TUSD BE'!$AD$41+'TUSD BE'!$AL$41</f>
        <v>322.454049002369</v>
      </c>
      <c r="AP41" s="40">
        <f ca="1">+'TUSD BE'!$T$41+'TUSD BE'!$AB$41+'TUSD BE'!$AD$41+'TUSD BE'!$AL$41</f>
        <v>322.454049002369</v>
      </c>
    </row>
    <row r="42" spans="1:42" ht="11.25" customHeight="1" x14ac:dyDescent="0.25">
      <c r="A42" s="97"/>
      <c r="B42" s="97"/>
      <c r="C42" s="97"/>
      <c r="D42" s="37" t="s">
        <v>31</v>
      </c>
      <c r="E42" s="37" t="s">
        <v>25</v>
      </c>
      <c r="F42" s="37" t="s">
        <v>25</v>
      </c>
      <c r="G42" s="38" t="s">
        <v>108</v>
      </c>
      <c r="H42" s="38" t="s">
        <v>102</v>
      </c>
      <c r="I42" s="38">
        <f>'MERCADO TUSD'!$U$39</f>
        <v>0</v>
      </c>
      <c r="J42" s="15"/>
      <c r="L42" s="31">
        <f>'TUSD BE'!$L$42*'TUSD BF'!$L$72</f>
        <v>0</v>
      </c>
      <c r="M42" s="31">
        <f>'TUSD BE'!$M$42*'TUSD BF'!$M$72</f>
        <v>0</v>
      </c>
      <c r="N42" s="31">
        <f ca="1">'TUSD BE'!$N$42*'TUSD BF'!$N$72</f>
        <v>0</v>
      </c>
      <c r="O42" s="31">
        <f>'TUSD BE'!$O$42*'TUSD BF'!$O$72</f>
        <v>0</v>
      </c>
      <c r="P42" s="31">
        <f>'TUSD BE'!$P$42*'TUSD BF'!$P$72</f>
        <v>0</v>
      </c>
      <c r="Q42" s="31">
        <f>'TUSD BE'!$Q$42*'TUSD BF'!$Q$72</f>
        <v>0</v>
      </c>
      <c r="R42" s="31">
        <f>'TUSD BE'!$R$42*'TUSD BF'!$R$72</f>
        <v>0</v>
      </c>
      <c r="S42" s="31">
        <f>'TUSD BE'!$R$42*'TUSD BF'!$S$72</f>
        <v>0</v>
      </c>
      <c r="T42" s="31">
        <f ca="1">SUM($L$42:$S$42)</f>
        <v>0</v>
      </c>
      <c r="U42" s="31">
        <f>'TUSD BE'!$U$42*'TUSD BF'!$U$72</f>
        <v>1.5946741993830362</v>
      </c>
      <c r="V42" s="31">
        <f>'TUSD BE'!$V$42*'TUSD BF'!$V$72</f>
        <v>0.49467048075241726</v>
      </c>
      <c r="W42" s="31">
        <f>'TUSD BE'!$W$42*'TUSD BF'!$W$72</f>
        <v>0</v>
      </c>
      <c r="X42" s="31">
        <f>'TUSD BE'!$X$42*'TUSD BF'!$X$72</f>
        <v>0</v>
      </c>
      <c r="Y42" s="31">
        <f>'TUSD BE'!$Y$42*'TUSD BF'!$Y$72</f>
        <v>0</v>
      </c>
      <c r="Z42" s="31">
        <f>'TUSD BE'!$Z$42*'TUSD BF'!$Z$72</f>
        <v>0</v>
      </c>
      <c r="AA42" s="31">
        <f>'TUSD BE'!$AA$42*'TUSD BF'!$AA$72</f>
        <v>0</v>
      </c>
      <c r="AB42" s="31">
        <f>SUM($U$42:$AA$42)</f>
        <v>2.0893446801354534</v>
      </c>
      <c r="AC42" s="31">
        <f>'TUSD BE'!$AC$42*'TUSD BF'!$AC$72</f>
        <v>0</v>
      </c>
      <c r="AD42" s="31">
        <f>SUM($AC$42:$AC$42)</f>
        <v>0</v>
      </c>
      <c r="AE42" s="31">
        <f ca="1">$AO$42*$AO$69</f>
        <v>0</v>
      </c>
      <c r="AF42" s="31">
        <f ca="1">$AP$42*$AP$69</f>
        <v>0</v>
      </c>
      <c r="AG42" s="31">
        <f ca="1">SUM($AE$42:$AF$42)</f>
        <v>0</v>
      </c>
      <c r="AH42" s="31">
        <f>'TUSD BE'!$AH$42*'TUSD BF'!$AH$72</f>
        <v>1.6483300993996521</v>
      </c>
      <c r="AI42" s="31">
        <f>'TUSD BE'!$AI$42*'TUSD BF'!$AI$72</f>
        <v>4.9963534845369299E-2</v>
      </c>
      <c r="AJ42" s="31">
        <f ca="1">'TUSD BE'!$AJ$42*'TUSD BF'!$AJ$72</f>
        <v>0.55820929544327946</v>
      </c>
      <c r="AK42" s="31">
        <f ca="1">'TUSD BE'!$AK$42*'TUSD BF'!$AK$72</f>
        <v>0</v>
      </c>
      <c r="AL42" s="31">
        <f ca="1">SUM($AH$42:$AK$42)</f>
        <v>2.2565029296883008</v>
      </c>
      <c r="AM42" s="31">
        <f ca="1">SUMIF($L$4:$AL$4,"SUBTOTAL",$L$42:$AL$42)</f>
        <v>4.3458476098237542</v>
      </c>
      <c r="AO42" s="40">
        <f ca="1">+'TUSD BE'!$T$42+'TUSD BE'!$AB$42+'TUSD BE'!$AD$42+'TUSD BE'!$AL$42</f>
        <v>322.454049002369</v>
      </c>
      <c r="AP42" s="40">
        <f ca="1">+'TUSD BE'!$T$42+'TUSD BE'!$AB$42+'TUSD BE'!$AD$42+'TUSD BE'!$AL$42</f>
        <v>322.454049002369</v>
      </c>
    </row>
    <row r="43" spans="1:42" ht="11.25" customHeight="1" x14ac:dyDescent="0.25">
      <c r="A43" s="97"/>
      <c r="B43" s="97"/>
      <c r="C43" s="97"/>
      <c r="D43" s="37" t="s">
        <v>32</v>
      </c>
      <c r="E43" s="37" t="s">
        <v>25</v>
      </c>
      <c r="F43" s="37" t="s">
        <v>25</v>
      </c>
      <c r="G43" s="38" t="s">
        <v>108</v>
      </c>
      <c r="H43" s="38" t="s">
        <v>102</v>
      </c>
      <c r="I43" s="38">
        <f>'MERCADO TUSD'!$U$40</f>
        <v>0</v>
      </c>
      <c r="J43" s="15"/>
      <c r="L43" s="31">
        <f>'TUSD BE'!$L$43*'TUSD BF'!$L$72</f>
        <v>0</v>
      </c>
      <c r="M43" s="31">
        <f>'TUSD BE'!$M$43*'TUSD BF'!$M$72</f>
        <v>0</v>
      </c>
      <c r="N43" s="31">
        <f ca="1">'TUSD BE'!$N$43*'TUSD BF'!$N$72</f>
        <v>0</v>
      </c>
      <c r="O43" s="31">
        <f>'TUSD BE'!$O$43*'TUSD BF'!$O$72</f>
        <v>0</v>
      </c>
      <c r="P43" s="31">
        <f>'TUSD BE'!$P$43*'TUSD BF'!$P$72</f>
        <v>0</v>
      </c>
      <c r="Q43" s="31">
        <f>'TUSD BE'!$Q$43*'TUSD BF'!$Q$72</f>
        <v>0</v>
      </c>
      <c r="R43" s="31">
        <f>'TUSD BE'!$R$43*'TUSD BF'!$R$72</f>
        <v>0</v>
      </c>
      <c r="S43" s="31">
        <f>'TUSD BE'!$R$43*'TUSD BF'!$S$72</f>
        <v>0</v>
      </c>
      <c r="T43" s="31">
        <f ca="1">SUM($L$43:$S$43)</f>
        <v>0</v>
      </c>
      <c r="U43" s="31">
        <f>'TUSD BE'!$U$43*'TUSD BF'!$U$72</f>
        <v>1.5946741993830362</v>
      </c>
      <c r="V43" s="31">
        <f>'TUSD BE'!$V$43*'TUSD BF'!$V$72</f>
        <v>0.49467048075241726</v>
      </c>
      <c r="W43" s="31">
        <f>'TUSD BE'!$W$43*'TUSD BF'!$W$72</f>
        <v>0</v>
      </c>
      <c r="X43" s="31">
        <f>'TUSD BE'!$X$43*'TUSD BF'!$X$72</f>
        <v>0</v>
      </c>
      <c r="Y43" s="31">
        <f>'TUSD BE'!$Y$43*'TUSD BF'!$Y$72</f>
        <v>0</v>
      </c>
      <c r="Z43" s="31">
        <f>'TUSD BE'!$Z$43*'TUSD BF'!$Z$72</f>
        <v>0</v>
      </c>
      <c r="AA43" s="31">
        <f>'TUSD BE'!$AA$43*'TUSD BF'!$AA$72</f>
        <v>0</v>
      </c>
      <c r="AB43" s="31">
        <f>SUM($U$43:$AA$43)</f>
        <v>2.0893446801354534</v>
      </c>
      <c r="AC43" s="31">
        <f>'TUSD BE'!$AC$43*'TUSD BF'!$AC$72</f>
        <v>0</v>
      </c>
      <c r="AD43" s="31">
        <f>SUM($AC$43:$AC$43)</f>
        <v>0</v>
      </c>
      <c r="AE43" s="31">
        <f ca="1">$AO$43*$AO$69</f>
        <v>0</v>
      </c>
      <c r="AF43" s="31">
        <f ca="1">$AP$43*$AP$69</f>
        <v>0</v>
      </c>
      <c r="AG43" s="31">
        <f ca="1">SUM($AE$43:$AF$43)</f>
        <v>0</v>
      </c>
      <c r="AH43" s="31">
        <f>'TUSD BE'!$AH$43*'TUSD BF'!$AH$72</f>
        <v>1.6483300993996521</v>
      </c>
      <c r="AI43" s="31">
        <f>'TUSD BE'!$AI$43*'TUSD BF'!$AI$72</f>
        <v>4.9963534845369299E-2</v>
      </c>
      <c r="AJ43" s="31">
        <f ca="1">'TUSD BE'!$AJ$43*'TUSD BF'!$AJ$72</f>
        <v>0.55820929544327946</v>
      </c>
      <c r="AK43" s="31">
        <f ca="1">'TUSD BE'!$AK$43*'TUSD BF'!$AK$72</f>
        <v>0</v>
      </c>
      <c r="AL43" s="31">
        <f ca="1">SUM($AH$43:$AK$43)</f>
        <v>2.2565029296883008</v>
      </c>
      <c r="AM43" s="31">
        <f ca="1">SUMIF($L$4:$AL$4,"SUBTOTAL",$L$43:$AL$43)</f>
        <v>4.3458476098237542</v>
      </c>
      <c r="AO43" s="40">
        <f ca="1">+'TUSD BE'!$T$43+'TUSD BE'!$AB$43+'TUSD BE'!$AD$43+'TUSD BE'!$AL$43</f>
        <v>322.454049002369</v>
      </c>
      <c r="AP43" s="40">
        <f ca="1">+'TUSD BE'!$T$43+'TUSD BE'!$AB$43+'TUSD BE'!$AD$43+'TUSD BE'!$AL$43</f>
        <v>322.454049002369</v>
      </c>
    </row>
    <row r="44" spans="1:42" ht="11.25" customHeight="1" x14ac:dyDescent="0.25">
      <c r="A44" s="97" t="s">
        <v>44</v>
      </c>
      <c r="B44" s="97" t="s">
        <v>33</v>
      </c>
      <c r="C44" s="97" t="s">
        <v>45</v>
      </c>
      <c r="D44" s="97" t="s">
        <v>25</v>
      </c>
      <c r="E44" s="97" t="s">
        <v>25</v>
      </c>
      <c r="F44" s="97" t="s">
        <v>25</v>
      </c>
      <c r="G44" s="38" t="s">
        <v>103</v>
      </c>
      <c r="H44" s="38" t="s">
        <v>102</v>
      </c>
      <c r="I44" s="38">
        <f>'MERCADO TUSD'!$U$41</f>
        <v>3.9449999999999994</v>
      </c>
      <c r="J44" s="15"/>
      <c r="L44" s="31">
        <f>'TUSD BE'!$L$44*'TUSD BF'!$L$72</f>
        <v>0.33498805110260826</v>
      </c>
      <c r="M44" s="31">
        <f>'TUSD BE'!$M$44*'TUSD BF'!$M$72</f>
        <v>0</v>
      </c>
      <c r="N44" s="31">
        <f ca="1">'TUSD BE'!$N$44*'TUSD BF'!$N$72</f>
        <v>0</v>
      </c>
      <c r="O44" s="31">
        <f>'TUSD BE'!$O$44*'TUSD BF'!$O$72</f>
        <v>0</v>
      </c>
      <c r="P44" s="31">
        <f>'TUSD BE'!$P$44*'TUSD BF'!$P$72</f>
        <v>0</v>
      </c>
      <c r="Q44" s="31">
        <f>'TUSD BE'!$Q$44*'TUSD BF'!$Q$72</f>
        <v>9.1783884700193532</v>
      </c>
      <c r="R44" s="31">
        <f>'TUSD BE'!$R$44*'TUSD BF'!$R$72</f>
        <v>3.7661510086940049</v>
      </c>
      <c r="S44" s="31">
        <f>'TUSD BE'!$R$44*'TUSD BF'!$S$72</f>
        <v>0</v>
      </c>
      <c r="T44" s="31">
        <f ca="1">SUM($L$44:$S$44)</f>
        <v>13.279527529815965</v>
      </c>
      <c r="U44" s="31">
        <f>'TUSD BE'!$U$44*'TUSD BF'!$U$72</f>
        <v>5.342146845791075</v>
      </c>
      <c r="V44" s="31">
        <f>'TUSD BE'!$V$44*'TUSD BF'!$V$72</f>
        <v>1.6571473561027117</v>
      </c>
      <c r="W44" s="31">
        <f>'TUSD BE'!$W$44*'TUSD BF'!$W$72</f>
        <v>0</v>
      </c>
      <c r="X44" s="31">
        <f>'TUSD BE'!$X$44*'TUSD BF'!$X$72</f>
        <v>0</v>
      </c>
      <c r="Y44" s="31">
        <f>'TUSD BE'!$Y$44*'TUSD BF'!$Y$72</f>
        <v>0</v>
      </c>
      <c r="Z44" s="31">
        <f>'TUSD BE'!$Z$44*'TUSD BF'!$Z$72</f>
        <v>0</v>
      </c>
      <c r="AA44" s="31">
        <f>'TUSD BE'!$AA$44*'TUSD BF'!$AA$72</f>
        <v>0</v>
      </c>
      <c r="AB44" s="31">
        <f>SUM($U$44:$AA$44)</f>
        <v>6.9992942018937869</v>
      </c>
      <c r="AC44" s="31">
        <f>'TUSD BE'!$AC$44*'TUSD BF'!$AC$72</f>
        <v>0</v>
      </c>
      <c r="AD44" s="31">
        <f>SUM($AC$44:$AC$44)</f>
        <v>0</v>
      </c>
      <c r="AE44" s="31">
        <f ca="1">$AO$44*$AO$69</f>
        <v>0</v>
      </c>
      <c r="AF44" s="31">
        <f ca="1">$AP$44*$AP$69</f>
        <v>0</v>
      </c>
      <c r="AG44" s="31">
        <f ca="1">SUM($AE$44:$AF$44)</f>
        <v>0</v>
      </c>
      <c r="AH44" s="31">
        <f>'TUSD BE'!$AH$44*'TUSD BF'!$AH$72</f>
        <v>1.6483300993996521</v>
      </c>
      <c r="AI44" s="31">
        <f>'TUSD BE'!$AI$44*'TUSD BF'!$AI$72</f>
        <v>4.9963534845369299E-2</v>
      </c>
      <c r="AJ44" s="31">
        <f ca="1">'TUSD BE'!$AJ$44*'TUSD BF'!$AJ$72</f>
        <v>0.55820929544327946</v>
      </c>
      <c r="AK44" s="31">
        <f ca="1">'TUSD BE'!$AK$44*'TUSD BF'!$AK$72</f>
        <v>0</v>
      </c>
      <c r="AL44" s="31">
        <f ca="1">SUM($AH$44:$AK$44)</f>
        <v>2.2565029296883008</v>
      </c>
      <c r="AM44" s="31">
        <f ca="1">SUMIF($L$4:$AL$4,"SUBTOTAL",$L$44:$AL$44)</f>
        <v>22.53532466139805</v>
      </c>
      <c r="AO44" s="40">
        <f ca="1">+'TUSD BE'!$T$44+'TUSD BE'!$AB$44+'TUSD BE'!$AD$44+'TUSD BE'!$AL$44</f>
        <v>1028.9966450015395</v>
      </c>
      <c r="AP44" s="40">
        <f ca="1">+'TUSD BE'!$T$44+'TUSD BE'!$AB$44+'TUSD BE'!$AD$44+'TUSD BE'!$AL$44</f>
        <v>1028.9966450015395</v>
      </c>
    </row>
    <row r="45" spans="1:42" ht="11.25" customHeight="1" x14ac:dyDescent="0.25">
      <c r="A45" s="97"/>
      <c r="B45" s="97"/>
      <c r="C45" s="97"/>
      <c r="D45" s="97"/>
      <c r="E45" s="97"/>
      <c r="F45" s="97"/>
      <c r="G45" s="38" t="s">
        <v>113</v>
      </c>
      <c r="H45" s="38" t="s">
        <v>102</v>
      </c>
      <c r="I45" s="38">
        <f>'MERCADO TUSD'!$U$42</f>
        <v>4.2359999999999989</v>
      </c>
      <c r="J45" s="15"/>
      <c r="L45" s="31">
        <f>'TUSD BE'!$L$45*'TUSD BF'!$L$72</f>
        <v>0.33498805110260826</v>
      </c>
      <c r="M45" s="31">
        <f>'TUSD BE'!$M$45*'TUSD BF'!$M$72</f>
        <v>0</v>
      </c>
      <c r="N45" s="31">
        <f ca="1">'TUSD BE'!$N$45*'TUSD BF'!$N$72</f>
        <v>0</v>
      </c>
      <c r="O45" s="31">
        <f>'TUSD BE'!$O$45*'TUSD BF'!$O$72</f>
        <v>0</v>
      </c>
      <c r="P45" s="31">
        <f>'TUSD BE'!$P$45*'TUSD BF'!$P$72</f>
        <v>0</v>
      </c>
      <c r="Q45" s="31">
        <f>'TUSD BE'!$Q$45*'TUSD BF'!$Q$72</f>
        <v>9.1783884700193532</v>
      </c>
      <c r="R45" s="31">
        <f>'TUSD BE'!$R$45*'TUSD BF'!$R$72</f>
        <v>3.7661510086940049</v>
      </c>
      <c r="S45" s="31">
        <f>'TUSD BE'!$R$45*'TUSD BF'!$S$72</f>
        <v>0</v>
      </c>
      <c r="T45" s="31">
        <f ca="1">SUM($L$45:$S$45)</f>
        <v>13.279527529815965</v>
      </c>
      <c r="U45" s="31">
        <f>'TUSD BE'!$U$45*'TUSD BF'!$U$72</f>
        <v>3.2052905120166137</v>
      </c>
      <c r="V45" s="31">
        <f>'TUSD BE'!$V$45*'TUSD BF'!$V$72</f>
        <v>0.99429215040796914</v>
      </c>
      <c r="W45" s="31">
        <f>'TUSD BE'!$W$45*'TUSD BF'!$W$72</f>
        <v>0</v>
      </c>
      <c r="X45" s="31">
        <f>'TUSD BE'!$X$45*'TUSD BF'!$X$72</f>
        <v>0</v>
      </c>
      <c r="Y45" s="31">
        <f>'TUSD BE'!$Y$45*'TUSD BF'!$Y$72</f>
        <v>0</v>
      </c>
      <c r="Z45" s="31">
        <f>'TUSD BE'!$Z$45*'TUSD BF'!$Z$72</f>
        <v>0</v>
      </c>
      <c r="AA45" s="31">
        <f>'TUSD BE'!$AA$45*'TUSD BF'!$AA$72</f>
        <v>0</v>
      </c>
      <c r="AB45" s="31">
        <f>SUM($U$45:$AA$45)</f>
        <v>4.1995826624245831</v>
      </c>
      <c r="AC45" s="31">
        <f>'TUSD BE'!$AC$45*'TUSD BF'!$AC$72</f>
        <v>0</v>
      </c>
      <c r="AD45" s="31">
        <f>SUM($AC$45:$AC$45)</f>
        <v>0</v>
      </c>
      <c r="AE45" s="31">
        <f ca="1">$AO$45*$AO$69</f>
        <v>0</v>
      </c>
      <c r="AF45" s="31">
        <f ca="1">$AP$45*$AP$69</f>
        <v>0</v>
      </c>
      <c r="AG45" s="31">
        <f ca="1">SUM($AE$45:$AF$45)</f>
        <v>0</v>
      </c>
      <c r="AH45" s="31">
        <f>'TUSD BE'!$AH$45*'TUSD BF'!$AH$72</f>
        <v>1.6483300993996521</v>
      </c>
      <c r="AI45" s="31">
        <f>'TUSD BE'!$AI$45*'TUSD BF'!$AI$72</f>
        <v>4.9963534845369299E-2</v>
      </c>
      <c r="AJ45" s="31">
        <f ca="1">'TUSD BE'!$AJ$45*'TUSD BF'!$AJ$72</f>
        <v>0.55820929544327946</v>
      </c>
      <c r="AK45" s="31">
        <f ca="1">'TUSD BE'!$AK$45*'TUSD BF'!$AK$72</f>
        <v>0</v>
      </c>
      <c r="AL45" s="31">
        <f ca="1">SUM($AH$45:$AK$45)</f>
        <v>2.2565029296883008</v>
      </c>
      <c r="AM45" s="31">
        <f ca="1">SUMIF($L$4:$AL$4,"SUBTOTAL",$L$45:$AL$45)</f>
        <v>19.73561312192885</v>
      </c>
      <c r="AO45" s="40">
        <f ca="1">+'TUSD BE'!$T$45+'TUSD BE'!$AB$45+'TUSD BE'!$AD$45+'TUSD BE'!$AL$45</f>
        <v>658.41036556434153</v>
      </c>
      <c r="AP45" s="40">
        <f ca="1">+'TUSD BE'!$T$45+'TUSD BE'!$AB$45+'TUSD BE'!$AD$45+'TUSD BE'!$AL$45</f>
        <v>658.41036556434153</v>
      </c>
    </row>
    <row r="46" spans="1:42" ht="11.25" customHeight="1" x14ac:dyDescent="0.25">
      <c r="A46" s="97"/>
      <c r="B46" s="97"/>
      <c r="C46" s="97"/>
      <c r="D46" s="97"/>
      <c r="E46" s="97"/>
      <c r="F46" s="97"/>
      <c r="G46" s="38" t="s">
        <v>104</v>
      </c>
      <c r="H46" s="38" t="s">
        <v>102</v>
      </c>
      <c r="I46" s="38">
        <f>'MERCADO TUSD'!$U$43</f>
        <v>105.83499999999999</v>
      </c>
      <c r="J46" s="15"/>
      <c r="L46" s="31">
        <f>'TUSD BE'!$L$46*'TUSD BF'!$L$72</f>
        <v>0.33498805110260826</v>
      </c>
      <c r="M46" s="31">
        <f>'TUSD BE'!$M$46*'TUSD BF'!$M$72</f>
        <v>0</v>
      </c>
      <c r="N46" s="31">
        <f ca="1">'TUSD BE'!$N$46*'TUSD BF'!$N$72</f>
        <v>0</v>
      </c>
      <c r="O46" s="31">
        <f>'TUSD BE'!$O$46*'TUSD BF'!$O$72</f>
        <v>0</v>
      </c>
      <c r="P46" s="31">
        <f>'TUSD BE'!$P$46*'TUSD BF'!$P$72</f>
        <v>0</v>
      </c>
      <c r="Q46" s="31">
        <f>'TUSD BE'!$Q$46*'TUSD BF'!$Q$72</f>
        <v>9.1783884700193532</v>
      </c>
      <c r="R46" s="31">
        <f>'TUSD BE'!$R$46*'TUSD BF'!$R$72</f>
        <v>3.7661510086940049</v>
      </c>
      <c r="S46" s="31">
        <f>'TUSD BE'!$R$46*'TUSD BF'!$S$72</f>
        <v>0</v>
      </c>
      <c r="T46" s="31">
        <f ca="1">SUM($L$46:$S$46)</f>
        <v>13.279527529815965</v>
      </c>
      <c r="U46" s="31">
        <f>'TUSD BE'!$U$46*'TUSD BF'!$U$72</f>
        <v>1.0684281668872306</v>
      </c>
      <c r="V46" s="31">
        <f>'TUSD BE'!$V$46*'TUSD BF'!$V$72</f>
        <v>0.33143071680265634</v>
      </c>
      <c r="W46" s="31">
        <f>'TUSD BE'!$W$46*'TUSD BF'!$W$72</f>
        <v>0</v>
      </c>
      <c r="X46" s="31">
        <f>'TUSD BE'!$X$46*'TUSD BF'!$X$72</f>
        <v>0</v>
      </c>
      <c r="Y46" s="31">
        <f>'TUSD BE'!$Y$46*'TUSD BF'!$Y$72</f>
        <v>0</v>
      </c>
      <c r="Z46" s="31">
        <f>'TUSD BE'!$Z$46*'TUSD BF'!$Z$72</f>
        <v>0</v>
      </c>
      <c r="AA46" s="31">
        <f>'TUSD BE'!$AA$46*'TUSD BF'!$AA$72</f>
        <v>0</v>
      </c>
      <c r="AB46" s="31">
        <f>SUM($U$46:$AA$46)</f>
        <v>1.3998588836898871</v>
      </c>
      <c r="AC46" s="31">
        <f>'TUSD BE'!$AC$46*'TUSD BF'!$AC$72</f>
        <v>0</v>
      </c>
      <c r="AD46" s="31">
        <f>SUM($AC$46:$AC$46)</f>
        <v>0</v>
      </c>
      <c r="AE46" s="31">
        <f ca="1">$AO$46*$AO$69</f>
        <v>0</v>
      </c>
      <c r="AF46" s="31">
        <f ca="1">$AP$46*$AP$69</f>
        <v>0</v>
      </c>
      <c r="AG46" s="31">
        <f ca="1">SUM($AE$46:$AF$46)</f>
        <v>0</v>
      </c>
      <c r="AH46" s="31">
        <f>'TUSD BE'!$AH$46*'TUSD BF'!$AH$72</f>
        <v>1.6483300993996521</v>
      </c>
      <c r="AI46" s="31">
        <f>'TUSD BE'!$AI$46*'TUSD BF'!$AI$72</f>
        <v>4.9963534845369299E-2</v>
      </c>
      <c r="AJ46" s="31">
        <f ca="1">'TUSD BE'!$AJ$46*'TUSD BF'!$AJ$72</f>
        <v>0.55820929544327946</v>
      </c>
      <c r="AK46" s="31">
        <f ca="1">'TUSD BE'!$AK$46*'TUSD BF'!$AK$72</f>
        <v>0</v>
      </c>
      <c r="AL46" s="31">
        <f ca="1">SUM($AH$46:$AK$46)</f>
        <v>2.2565029296883008</v>
      </c>
      <c r="AM46" s="31">
        <f ca="1">SUMIF($L$4:$AL$4,"SUBTOTAL",$L$46:$AL$46)</f>
        <v>16.935889343194155</v>
      </c>
      <c r="AO46" s="40">
        <f ca="1">+'TUSD BE'!$T$46+'TUSD BE'!$AB$46+'TUSD BE'!$AD$46+'TUSD BE'!$AL$46</f>
        <v>287.82373114012762</v>
      </c>
      <c r="AP46" s="40">
        <f ca="1">+'TUSD BE'!$T$46+'TUSD BE'!$AB$46+'TUSD BE'!$AD$46+'TUSD BE'!$AL$46</f>
        <v>287.82373114012762</v>
      </c>
    </row>
    <row r="47" spans="1:42" ht="11.25" customHeight="1" x14ac:dyDescent="0.25">
      <c r="A47" s="97"/>
      <c r="B47" s="37" t="s">
        <v>23</v>
      </c>
      <c r="C47" s="37" t="s">
        <v>45</v>
      </c>
      <c r="D47" s="37" t="s">
        <v>25</v>
      </c>
      <c r="E47" s="37" t="s">
        <v>25</v>
      </c>
      <c r="F47" s="37" t="s">
        <v>25</v>
      </c>
      <c r="G47" s="38" t="s">
        <v>108</v>
      </c>
      <c r="H47" s="38" t="s">
        <v>102</v>
      </c>
      <c r="I47" s="38">
        <f>'MERCADO TUSD'!$U$44</f>
        <v>251732.52099999998</v>
      </c>
      <c r="J47" s="15"/>
      <c r="L47" s="31">
        <f>'TUSD BE'!$L$47*'TUSD BF'!$L$72</f>
        <v>0.33498805110260826</v>
      </c>
      <c r="M47" s="31">
        <f>'TUSD BE'!$M$47*'TUSD BF'!$M$72</f>
        <v>0</v>
      </c>
      <c r="N47" s="31">
        <f ca="1">'TUSD BE'!$N$47*'TUSD BF'!$N$72</f>
        <v>0</v>
      </c>
      <c r="O47" s="31">
        <f>'TUSD BE'!$O$47*'TUSD BF'!$O$72</f>
        <v>0</v>
      </c>
      <c r="P47" s="31">
        <f>'TUSD BE'!$P$47*'TUSD BF'!$P$72</f>
        <v>0</v>
      </c>
      <c r="Q47" s="31">
        <f>'TUSD BE'!$Q$47*'TUSD BF'!$Q$72</f>
        <v>9.1783884700193532</v>
      </c>
      <c r="R47" s="31">
        <f>'TUSD BE'!$R$47*'TUSD BF'!$R$72</f>
        <v>3.7661510086940049</v>
      </c>
      <c r="S47" s="31">
        <f>'TUSD BE'!$R$47*'TUSD BF'!$S$72</f>
        <v>0</v>
      </c>
      <c r="T47" s="31">
        <f ca="1">SUM($L$47:$S$47)</f>
        <v>13.279527529815965</v>
      </c>
      <c r="U47" s="31">
        <f>'TUSD BE'!$U$47*'TUSD BF'!$U$72</f>
        <v>1.5946741993830362</v>
      </c>
      <c r="V47" s="31">
        <f>'TUSD BE'!$V$47*'TUSD BF'!$V$72</f>
        <v>0.49467048075241726</v>
      </c>
      <c r="W47" s="31">
        <f>'TUSD BE'!$W$47*'TUSD BF'!$W$72</f>
        <v>0</v>
      </c>
      <c r="X47" s="31">
        <f>'TUSD BE'!$X$47*'TUSD BF'!$X$72</f>
        <v>0</v>
      </c>
      <c r="Y47" s="31">
        <f>'TUSD BE'!$Y$47*'TUSD BF'!$Y$72</f>
        <v>0</v>
      </c>
      <c r="Z47" s="31">
        <f>'TUSD BE'!$Z$47*'TUSD BF'!$Z$72</f>
        <v>0</v>
      </c>
      <c r="AA47" s="31">
        <f>'TUSD BE'!$AA$47*'TUSD BF'!$AA$72</f>
        <v>0</v>
      </c>
      <c r="AB47" s="31">
        <f>SUM($U$47:$AA$47)</f>
        <v>2.0893446801354534</v>
      </c>
      <c r="AC47" s="31">
        <f>'TUSD BE'!$AC$47*'TUSD BF'!$AC$72</f>
        <v>0</v>
      </c>
      <c r="AD47" s="31">
        <f>SUM($AC$47:$AC$47)</f>
        <v>0</v>
      </c>
      <c r="AE47" s="31">
        <f ca="1">$AO$47*$AO$69</f>
        <v>0</v>
      </c>
      <c r="AF47" s="31">
        <f ca="1">$AP$47*$AP$69</f>
        <v>0</v>
      </c>
      <c r="AG47" s="31">
        <f ca="1">SUM($AE$47:$AF$47)</f>
        <v>0</v>
      </c>
      <c r="AH47" s="31">
        <f>'TUSD BE'!$AH$47*'TUSD BF'!$AH$72</f>
        <v>1.6483300993996521</v>
      </c>
      <c r="AI47" s="31">
        <f>'TUSD BE'!$AI$47*'TUSD BF'!$AI$72</f>
        <v>4.9963534845369299E-2</v>
      </c>
      <c r="AJ47" s="31">
        <f ca="1">'TUSD BE'!$AJ$47*'TUSD BF'!$AJ$72</f>
        <v>0.55820929544327946</v>
      </c>
      <c r="AK47" s="31">
        <f ca="1">'TUSD BE'!$AK$47*'TUSD BF'!$AK$72</f>
        <v>0</v>
      </c>
      <c r="AL47" s="31">
        <f ca="1">SUM($AH$47:$AK$47)</f>
        <v>2.2565029296883008</v>
      </c>
      <c r="AM47" s="31">
        <f ca="1">SUMIF($L$4:$AL$4,"SUBTOTAL",$L$47:$AL$47)</f>
        <v>17.625375139639722</v>
      </c>
      <c r="AO47" s="40">
        <f ca="1">+'TUSD BE'!$T$47+'TUSD BE'!$AB$47+'TUSD BE'!$AD$47+'TUSD BE'!$AL$47</f>
        <v>379.0876791035268</v>
      </c>
      <c r="AP47" s="40">
        <f ca="1">+'TUSD BE'!$T$47+'TUSD BE'!$AB$47+'TUSD BE'!$AD$47+'TUSD BE'!$AL$47</f>
        <v>379.0876791035268</v>
      </c>
    </row>
    <row r="48" spans="1:42" ht="11.25" customHeight="1" x14ac:dyDescent="0.25">
      <c r="A48" s="97"/>
      <c r="B48" s="97" t="s">
        <v>33</v>
      </c>
      <c r="C48" s="97" t="s">
        <v>45</v>
      </c>
      <c r="D48" s="97" t="s">
        <v>116</v>
      </c>
      <c r="E48" s="97" t="s">
        <v>25</v>
      </c>
      <c r="F48" s="97" t="s">
        <v>25</v>
      </c>
      <c r="G48" s="38" t="s">
        <v>103</v>
      </c>
      <c r="H48" s="38" t="s">
        <v>102</v>
      </c>
      <c r="I48" s="38">
        <f>'MERCADO TUSD'!$U$45</f>
        <v>0</v>
      </c>
      <c r="J48" s="15"/>
      <c r="L48" s="31">
        <f>'TUSD BE'!$L$48*'TUSD BF'!$L$72</f>
        <v>0.33498805110260826</v>
      </c>
      <c r="M48" s="31">
        <f>'TUSD BE'!$M$48*'TUSD BF'!$M$72</f>
        <v>0</v>
      </c>
      <c r="N48" s="31">
        <f ca="1">'TUSD BE'!$N$48*'TUSD BF'!$N$72</f>
        <v>0</v>
      </c>
      <c r="O48" s="31">
        <f>'TUSD BE'!$O$48*'TUSD BF'!$O$72</f>
        <v>0</v>
      </c>
      <c r="P48" s="31">
        <f>'TUSD BE'!$P$48*'TUSD BF'!$P$72</f>
        <v>0</v>
      </c>
      <c r="Q48" s="31">
        <f>'TUSD BE'!$Q$48*'TUSD BF'!$Q$72</f>
        <v>9.1783884700193532</v>
      </c>
      <c r="R48" s="31">
        <f>'TUSD BE'!$R$48*'TUSD BF'!$R$72</f>
        <v>3.7661510086940049</v>
      </c>
      <c r="S48" s="31">
        <f>'TUSD BE'!$R$48*'TUSD BF'!$S$72</f>
        <v>0</v>
      </c>
      <c r="T48" s="31">
        <f ca="1">SUM($L$48:$S$48)</f>
        <v>13.279527529815965</v>
      </c>
      <c r="U48" s="31">
        <f>'TUSD BE'!$U$48*'TUSD BF'!$U$72</f>
        <v>5.342146845791075</v>
      </c>
      <c r="V48" s="31">
        <f>'TUSD BE'!$V$48*'TUSD BF'!$V$72</f>
        <v>1.6571473561027117</v>
      </c>
      <c r="W48" s="31">
        <f>'TUSD BE'!$W$48*'TUSD BF'!$W$72</f>
        <v>0</v>
      </c>
      <c r="X48" s="31">
        <f>'TUSD BE'!$X$48*'TUSD BF'!$X$72</f>
        <v>0</v>
      </c>
      <c r="Y48" s="31">
        <f>'TUSD BE'!$Y$48*'TUSD BF'!$Y$72</f>
        <v>0</v>
      </c>
      <c r="Z48" s="31">
        <f>'TUSD BE'!$Z$48*'TUSD BF'!$Z$72</f>
        <v>0</v>
      </c>
      <c r="AA48" s="31">
        <f>'TUSD BE'!$AA$48*'TUSD BF'!$AA$72</f>
        <v>0</v>
      </c>
      <c r="AB48" s="31">
        <f>SUM($U$48:$AA$48)</f>
        <v>6.9992942018937869</v>
      </c>
      <c r="AC48" s="31">
        <f>'TUSD BE'!$AC$48*'TUSD BF'!$AC$72</f>
        <v>0</v>
      </c>
      <c r="AD48" s="31">
        <f>SUM($AC$48:$AC$48)</f>
        <v>0</v>
      </c>
      <c r="AE48" s="31">
        <f ca="1">$AO$48*$AO$69</f>
        <v>0</v>
      </c>
      <c r="AF48" s="31">
        <f ca="1">$AP$48*$AP$69</f>
        <v>0</v>
      </c>
      <c r="AG48" s="31">
        <f ca="1">SUM($AE$48:$AF$48)</f>
        <v>0</v>
      </c>
      <c r="AH48" s="31">
        <f>'TUSD BE'!$AH$48*'TUSD BF'!$AH$72</f>
        <v>1.6483300993996521</v>
      </c>
      <c r="AI48" s="31">
        <f>'TUSD BE'!$AI$48*'TUSD BF'!$AI$72</f>
        <v>4.9963534845369299E-2</v>
      </c>
      <c r="AJ48" s="31">
        <f ca="1">'TUSD BE'!$AJ$48*'TUSD BF'!$AJ$72</f>
        <v>0.55820929544327946</v>
      </c>
      <c r="AK48" s="31">
        <f ca="1">'TUSD BE'!$AK$48*'TUSD BF'!$AK$72</f>
        <v>0</v>
      </c>
      <c r="AL48" s="31">
        <f ca="1">SUM($AH$48:$AK$48)</f>
        <v>2.2565029296883008</v>
      </c>
      <c r="AM48" s="31">
        <f ca="1">SUMIF($L$4:$AL$4,"SUBTOTAL",$L$48:$AL$48)</f>
        <v>22.53532466139805</v>
      </c>
      <c r="AO48" s="40">
        <f ca="1">+'TUSD BE'!$T$48+'TUSD BE'!$AB$48+'TUSD BE'!$AD$48+'TUSD BE'!$AL$48</f>
        <v>1028.9966450015395</v>
      </c>
      <c r="AP48" s="40">
        <f ca="1">+'TUSD BE'!$T$48+'TUSD BE'!$AB$48+'TUSD BE'!$AD$48+'TUSD BE'!$AL$48</f>
        <v>1028.9966450015395</v>
      </c>
    </row>
    <row r="49" spans="1:42" ht="11.25" customHeight="1" x14ac:dyDescent="0.25">
      <c r="A49" s="97"/>
      <c r="B49" s="97"/>
      <c r="C49" s="97"/>
      <c r="D49" s="97"/>
      <c r="E49" s="97"/>
      <c r="F49" s="97"/>
      <c r="G49" s="38" t="s">
        <v>113</v>
      </c>
      <c r="H49" s="38" t="s">
        <v>102</v>
      </c>
      <c r="I49" s="38">
        <f>'MERCADO TUSD'!$U$46</f>
        <v>0</v>
      </c>
      <c r="J49" s="15"/>
      <c r="L49" s="31">
        <f>'TUSD BE'!$L$49*'TUSD BF'!$L$72</f>
        <v>0.33498805110260826</v>
      </c>
      <c r="M49" s="31">
        <f>'TUSD BE'!$M$49*'TUSD BF'!$M$72</f>
        <v>0</v>
      </c>
      <c r="N49" s="31">
        <f ca="1">'TUSD BE'!$N$49*'TUSD BF'!$N$72</f>
        <v>0</v>
      </c>
      <c r="O49" s="31">
        <f>'TUSD BE'!$O$49*'TUSD BF'!$O$72</f>
        <v>0</v>
      </c>
      <c r="P49" s="31">
        <f>'TUSD BE'!$P$49*'TUSD BF'!$P$72</f>
        <v>0</v>
      </c>
      <c r="Q49" s="31">
        <f>'TUSD BE'!$Q$49*'TUSD BF'!$Q$72</f>
        <v>9.1783884700193532</v>
      </c>
      <c r="R49" s="31">
        <f>'TUSD BE'!$R$49*'TUSD BF'!$R$72</f>
        <v>3.7661510086940049</v>
      </c>
      <c r="S49" s="31">
        <f>'TUSD BE'!$R$49*'TUSD BF'!$S$72</f>
        <v>0</v>
      </c>
      <c r="T49" s="31">
        <f ca="1">SUM($L$49:$S$49)</f>
        <v>13.279527529815965</v>
      </c>
      <c r="U49" s="31">
        <f>'TUSD BE'!$U$49*'TUSD BF'!$U$72</f>
        <v>3.2052905120166137</v>
      </c>
      <c r="V49" s="31">
        <f>'TUSD BE'!$V$49*'TUSD BF'!$V$72</f>
        <v>0.99429215040796914</v>
      </c>
      <c r="W49" s="31">
        <f>'TUSD BE'!$W$49*'TUSD BF'!$W$72</f>
        <v>0</v>
      </c>
      <c r="X49" s="31">
        <f>'TUSD BE'!$X$49*'TUSD BF'!$X$72</f>
        <v>0</v>
      </c>
      <c r="Y49" s="31">
        <f>'TUSD BE'!$Y$49*'TUSD BF'!$Y$72</f>
        <v>0</v>
      </c>
      <c r="Z49" s="31">
        <f>'TUSD BE'!$Z$49*'TUSD BF'!$Z$72</f>
        <v>0</v>
      </c>
      <c r="AA49" s="31">
        <f>'TUSD BE'!$AA$49*'TUSD BF'!$AA$72</f>
        <v>0</v>
      </c>
      <c r="AB49" s="31">
        <f>SUM($U$49:$AA$49)</f>
        <v>4.1995826624245831</v>
      </c>
      <c r="AC49" s="31">
        <f>'TUSD BE'!$AC$49*'TUSD BF'!$AC$72</f>
        <v>0</v>
      </c>
      <c r="AD49" s="31">
        <f>SUM($AC$49:$AC$49)</f>
        <v>0</v>
      </c>
      <c r="AE49" s="31">
        <f ca="1">$AO$49*$AO$69</f>
        <v>0</v>
      </c>
      <c r="AF49" s="31">
        <f ca="1">$AP$49*$AP$69</f>
        <v>0</v>
      </c>
      <c r="AG49" s="31">
        <f ca="1">SUM($AE$49:$AF$49)</f>
        <v>0</v>
      </c>
      <c r="AH49" s="31">
        <f>'TUSD BE'!$AH$49*'TUSD BF'!$AH$72</f>
        <v>1.6483300993996521</v>
      </c>
      <c r="AI49" s="31">
        <f>'TUSD BE'!$AI$49*'TUSD BF'!$AI$72</f>
        <v>4.9963534845369299E-2</v>
      </c>
      <c r="AJ49" s="31">
        <f ca="1">'TUSD BE'!$AJ$49*'TUSD BF'!$AJ$72</f>
        <v>0.55820929544327946</v>
      </c>
      <c r="AK49" s="31">
        <f ca="1">'TUSD BE'!$AK$49*'TUSD BF'!$AK$72</f>
        <v>0</v>
      </c>
      <c r="AL49" s="31">
        <f ca="1">SUM($AH$49:$AK$49)</f>
        <v>2.2565029296883008</v>
      </c>
      <c r="AM49" s="31">
        <f ca="1">SUMIF($L$4:$AL$4,"SUBTOTAL",$L$49:$AL$49)</f>
        <v>19.73561312192885</v>
      </c>
      <c r="AO49" s="40">
        <f ca="1">+'TUSD BE'!$T$49+'TUSD BE'!$AB$49+'TUSD BE'!$AD$49+'TUSD BE'!$AL$49</f>
        <v>658.41036556434153</v>
      </c>
      <c r="AP49" s="40">
        <f ca="1">+'TUSD BE'!$T$49+'TUSD BE'!$AB$49+'TUSD BE'!$AD$49+'TUSD BE'!$AL$49</f>
        <v>658.41036556434153</v>
      </c>
    </row>
    <row r="50" spans="1:42" ht="11.25" customHeight="1" x14ac:dyDescent="0.25">
      <c r="A50" s="97"/>
      <c r="B50" s="97"/>
      <c r="C50" s="97"/>
      <c r="D50" s="97"/>
      <c r="E50" s="97"/>
      <c r="F50" s="97"/>
      <c r="G50" s="38" t="s">
        <v>104</v>
      </c>
      <c r="H50" s="38" t="s">
        <v>102</v>
      </c>
      <c r="I50" s="38">
        <f>'MERCADO TUSD'!$U$47</f>
        <v>0</v>
      </c>
      <c r="J50" s="15"/>
      <c r="L50" s="31">
        <f>'TUSD BE'!$L$50*'TUSD BF'!$L$72</f>
        <v>0.33498805110260826</v>
      </c>
      <c r="M50" s="31">
        <f>'TUSD BE'!$M$50*'TUSD BF'!$M$72</f>
        <v>0</v>
      </c>
      <c r="N50" s="31">
        <f ca="1">'TUSD BE'!$N$50*'TUSD BF'!$N$72</f>
        <v>0</v>
      </c>
      <c r="O50" s="31">
        <f>'TUSD BE'!$O$50*'TUSD BF'!$O$72</f>
        <v>0</v>
      </c>
      <c r="P50" s="31">
        <f>'TUSD BE'!$P$50*'TUSD BF'!$P$72</f>
        <v>0</v>
      </c>
      <c r="Q50" s="31">
        <f>'TUSD BE'!$Q$50*'TUSD BF'!$Q$72</f>
        <v>9.1783884700193532</v>
      </c>
      <c r="R50" s="31">
        <f>'TUSD BE'!$R$50*'TUSD BF'!$R$72</f>
        <v>3.7661510086940049</v>
      </c>
      <c r="S50" s="31">
        <f>'TUSD BE'!$R$50*'TUSD BF'!$S$72</f>
        <v>0</v>
      </c>
      <c r="T50" s="31">
        <f ca="1">SUM($L$50:$S$50)</f>
        <v>13.279527529815965</v>
      </c>
      <c r="U50" s="31">
        <f>'TUSD BE'!$U$50*'TUSD BF'!$U$72</f>
        <v>1.0684281668872306</v>
      </c>
      <c r="V50" s="31">
        <f>'TUSD BE'!$V$50*'TUSD BF'!$V$72</f>
        <v>0.33143071680265634</v>
      </c>
      <c r="W50" s="31">
        <f>'TUSD BE'!$W$50*'TUSD BF'!$W$72</f>
        <v>0</v>
      </c>
      <c r="X50" s="31">
        <f>'TUSD BE'!$X$50*'TUSD BF'!$X$72</f>
        <v>0</v>
      </c>
      <c r="Y50" s="31">
        <f>'TUSD BE'!$Y$50*'TUSD BF'!$Y$72</f>
        <v>0</v>
      </c>
      <c r="Z50" s="31">
        <f>'TUSD BE'!$Z$50*'TUSD BF'!$Z$72</f>
        <v>0</v>
      </c>
      <c r="AA50" s="31">
        <f>'TUSD BE'!$AA$50*'TUSD BF'!$AA$72</f>
        <v>0</v>
      </c>
      <c r="AB50" s="31">
        <f>SUM($U$50:$AA$50)</f>
        <v>1.3998588836898871</v>
      </c>
      <c r="AC50" s="31">
        <f>'TUSD BE'!$AC$50*'TUSD BF'!$AC$72</f>
        <v>0</v>
      </c>
      <c r="AD50" s="31">
        <f>SUM($AC$50:$AC$50)</f>
        <v>0</v>
      </c>
      <c r="AE50" s="31">
        <f ca="1">$AO$50*$AO$69</f>
        <v>0</v>
      </c>
      <c r="AF50" s="31">
        <f ca="1">$AP$50*$AP$69</f>
        <v>0</v>
      </c>
      <c r="AG50" s="31">
        <f ca="1">SUM($AE$50:$AF$50)</f>
        <v>0</v>
      </c>
      <c r="AH50" s="31">
        <f>'TUSD BE'!$AH$50*'TUSD BF'!$AH$72</f>
        <v>1.6483300993996521</v>
      </c>
      <c r="AI50" s="31">
        <f>'TUSD BE'!$AI$50*'TUSD BF'!$AI$72</f>
        <v>4.9963534845369299E-2</v>
      </c>
      <c r="AJ50" s="31">
        <f ca="1">'TUSD BE'!$AJ$50*'TUSD BF'!$AJ$72</f>
        <v>0.55820929544327946</v>
      </c>
      <c r="AK50" s="31">
        <f ca="1">'TUSD BE'!$AK$50*'TUSD BF'!$AK$72</f>
        <v>0</v>
      </c>
      <c r="AL50" s="31">
        <f ca="1">SUM($AH$50:$AK$50)</f>
        <v>2.2565029296883008</v>
      </c>
      <c r="AM50" s="31">
        <f ca="1">SUMIF($L$4:$AL$4,"SUBTOTAL",$L$50:$AL$50)</f>
        <v>16.935889343194155</v>
      </c>
      <c r="AO50" s="40">
        <f ca="1">+'TUSD BE'!$T$50+'TUSD BE'!$AB$50+'TUSD BE'!$AD$50+'TUSD BE'!$AL$50</f>
        <v>287.82373114012762</v>
      </c>
      <c r="AP50" s="40">
        <f ca="1">+'TUSD BE'!$T$50+'TUSD BE'!$AB$50+'TUSD BE'!$AD$50+'TUSD BE'!$AL$50</f>
        <v>287.82373114012762</v>
      </c>
    </row>
    <row r="51" spans="1:42" ht="11.25" customHeight="1" x14ac:dyDescent="0.25">
      <c r="A51" s="97"/>
      <c r="B51" s="37" t="s">
        <v>23</v>
      </c>
      <c r="C51" s="37" t="s">
        <v>45</v>
      </c>
      <c r="D51" s="37" t="s">
        <v>116</v>
      </c>
      <c r="E51" s="37" t="s">
        <v>25</v>
      </c>
      <c r="F51" s="37" t="s">
        <v>25</v>
      </c>
      <c r="G51" s="38" t="s">
        <v>108</v>
      </c>
      <c r="H51" s="38" t="s">
        <v>102</v>
      </c>
      <c r="I51" s="38">
        <f>'MERCADO TUSD'!$U$48</f>
        <v>0</v>
      </c>
      <c r="J51" s="15"/>
      <c r="L51" s="31">
        <f>'TUSD BE'!$L$51*'TUSD BF'!$L$72</f>
        <v>0.33498805110260826</v>
      </c>
      <c r="M51" s="31">
        <f>'TUSD BE'!$M$51*'TUSD BF'!$M$72</f>
        <v>0</v>
      </c>
      <c r="N51" s="31">
        <f ca="1">'TUSD BE'!$N$51*'TUSD BF'!$N$72</f>
        <v>0</v>
      </c>
      <c r="O51" s="31">
        <f>'TUSD BE'!$O$51*'TUSD BF'!$O$72</f>
        <v>0</v>
      </c>
      <c r="P51" s="31">
        <f>'TUSD BE'!$P$51*'TUSD BF'!$P$72</f>
        <v>0</v>
      </c>
      <c r="Q51" s="31">
        <f>'TUSD BE'!$Q$51*'TUSD BF'!$Q$72</f>
        <v>9.1783884700193532</v>
      </c>
      <c r="R51" s="31">
        <f>'TUSD BE'!$R$51*'TUSD BF'!$R$72</f>
        <v>3.7661510086940049</v>
      </c>
      <c r="S51" s="31">
        <f>'TUSD BE'!$R$51*'TUSD BF'!$S$72</f>
        <v>0</v>
      </c>
      <c r="T51" s="31">
        <f ca="1">SUM($L$51:$S$51)</f>
        <v>13.279527529815965</v>
      </c>
      <c r="U51" s="31">
        <f>'TUSD BE'!$U$51*'TUSD BF'!$U$72</f>
        <v>1.5946741993830362</v>
      </c>
      <c r="V51" s="31">
        <f>'TUSD BE'!$V$51*'TUSD BF'!$V$72</f>
        <v>0.49467048075241726</v>
      </c>
      <c r="W51" s="31">
        <f>'TUSD BE'!$W$51*'TUSD BF'!$W$72</f>
        <v>0</v>
      </c>
      <c r="X51" s="31">
        <f>'TUSD BE'!$X$51*'TUSD BF'!$X$72</f>
        <v>0</v>
      </c>
      <c r="Y51" s="31">
        <f>'TUSD BE'!$Y$51*'TUSD BF'!$Y$72</f>
        <v>0</v>
      </c>
      <c r="Z51" s="31">
        <f>'TUSD BE'!$Z$51*'TUSD BF'!$Z$72</f>
        <v>0</v>
      </c>
      <c r="AA51" s="31">
        <f>'TUSD BE'!$AA$51*'TUSD BF'!$AA$72</f>
        <v>0</v>
      </c>
      <c r="AB51" s="31">
        <f>SUM($U$51:$AA$51)</f>
        <v>2.0893446801354534</v>
      </c>
      <c r="AC51" s="31">
        <f>'TUSD BE'!$AC$51*'TUSD BF'!$AC$72</f>
        <v>0</v>
      </c>
      <c r="AD51" s="31">
        <f>SUM($AC$51:$AC$51)</f>
        <v>0</v>
      </c>
      <c r="AE51" s="31">
        <f ca="1">$AO$51*$AO$69</f>
        <v>0</v>
      </c>
      <c r="AF51" s="31">
        <f ca="1">$AP$51*$AP$69</f>
        <v>0</v>
      </c>
      <c r="AG51" s="31">
        <f ca="1">SUM($AE$51:$AF$51)</f>
        <v>0</v>
      </c>
      <c r="AH51" s="31">
        <f>'TUSD BE'!$AH$51*'TUSD BF'!$AH$72</f>
        <v>1.6483300993996521</v>
      </c>
      <c r="AI51" s="31">
        <f>'TUSD BE'!$AI$51*'TUSD BF'!$AI$72</f>
        <v>4.9963534845369299E-2</v>
      </c>
      <c r="AJ51" s="31">
        <f ca="1">'TUSD BE'!$AJ$51*'TUSD BF'!$AJ$72</f>
        <v>0.55820929544327946</v>
      </c>
      <c r="AK51" s="31">
        <f ca="1">'TUSD BE'!$AK$51*'TUSD BF'!$AK$72</f>
        <v>0</v>
      </c>
      <c r="AL51" s="31">
        <f ca="1">SUM($AH$51:$AK$51)</f>
        <v>2.2565029296883008</v>
      </c>
      <c r="AM51" s="31">
        <f ca="1">SUMIF($L$4:$AL$4,"SUBTOTAL",$L$51:$AL$51)</f>
        <v>17.625375139639722</v>
      </c>
      <c r="AO51" s="40">
        <f ca="1">+'TUSD BE'!$T$51+'TUSD BE'!$AB$51+'TUSD BE'!$AD$51+'TUSD BE'!$AL$51</f>
        <v>379.0876791035268</v>
      </c>
      <c r="AP51" s="40">
        <f ca="1">+'TUSD BE'!$T$51+'TUSD BE'!$AB$51+'TUSD BE'!$AD$51+'TUSD BE'!$AL$51</f>
        <v>379.0876791035268</v>
      </c>
    </row>
    <row r="52" spans="1:42" ht="11.25" customHeight="1" x14ac:dyDescent="0.25">
      <c r="A52" s="97"/>
      <c r="B52" s="97" t="s">
        <v>33</v>
      </c>
      <c r="C52" s="97" t="s">
        <v>45</v>
      </c>
      <c r="D52" s="97" t="s">
        <v>117</v>
      </c>
      <c r="E52" s="97" t="s">
        <v>25</v>
      </c>
      <c r="F52" s="97" t="s">
        <v>25</v>
      </c>
      <c r="G52" s="38" t="s">
        <v>103</v>
      </c>
      <c r="H52" s="38" t="s">
        <v>102</v>
      </c>
      <c r="I52" s="38">
        <f>'MERCADO TUSD'!$U$49</f>
        <v>0</v>
      </c>
      <c r="J52" s="15"/>
      <c r="L52" s="31">
        <f>'TUSD BE'!$L$52*'TUSD BF'!$L$72</f>
        <v>0.33498805110260826</v>
      </c>
      <c r="M52" s="31">
        <f>'TUSD BE'!$M$52*'TUSD BF'!$M$72</f>
        <v>0</v>
      </c>
      <c r="N52" s="31">
        <f ca="1">'TUSD BE'!$N$52*'TUSD BF'!$N$72</f>
        <v>0</v>
      </c>
      <c r="O52" s="31">
        <f>'TUSD BE'!$O$52*'TUSD BF'!$O$72</f>
        <v>0</v>
      </c>
      <c r="P52" s="31">
        <f>'TUSD BE'!$P$52*'TUSD BF'!$P$72</f>
        <v>0</v>
      </c>
      <c r="Q52" s="31">
        <f>'TUSD BE'!$Q$52*'TUSD BF'!$Q$72</f>
        <v>9.1783884700193532</v>
      </c>
      <c r="R52" s="31">
        <f>'TUSD BE'!$R$52*'TUSD BF'!$R$72</f>
        <v>3.7661510086940049</v>
      </c>
      <c r="S52" s="31">
        <f>'TUSD BE'!$R$52*'TUSD BF'!$S$72</f>
        <v>0</v>
      </c>
      <c r="T52" s="31">
        <f ca="1">SUM($L$52:$S$52)</f>
        <v>13.279527529815965</v>
      </c>
      <c r="U52" s="31">
        <f>'TUSD BE'!$U$52*'TUSD BF'!$U$72</f>
        <v>5.342146845791075</v>
      </c>
      <c r="V52" s="31">
        <f>'TUSD BE'!$V$52*'TUSD BF'!$V$72</f>
        <v>1.6571473561027117</v>
      </c>
      <c r="W52" s="31">
        <f>'TUSD BE'!$W$52*'TUSD BF'!$W$72</f>
        <v>0</v>
      </c>
      <c r="X52" s="31">
        <f>'TUSD BE'!$X$52*'TUSD BF'!$X$72</f>
        <v>0</v>
      </c>
      <c r="Y52" s="31">
        <f>'TUSD BE'!$Y$52*'TUSD BF'!$Y$72</f>
        <v>0</v>
      </c>
      <c r="Z52" s="31">
        <f>'TUSD BE'!$Z$52*'TUSD BF'!$Z$72</f>
        <v>0</v>
      </c>
      <c r="AA52" s="31">
        <f>'TUSD BE'!$AA$52*'TUSD BF'!$AA$72</f>
        <v>0</v>
      </c>
      <c r="AB52" s="31">
        <f>SUM($U$52:$AA$52)</f>
        <v>6.9992942018937869</v>
      </c>
      <c r="AC52" s="31">
        <f>'TUSD BE'!$AC$52*'TUSD BF'!$AC$72</f>
        <v>0</v>
      </c>
      <c r="AD52" s="31">
        <f>SUM($AC$52:$AC$52)</f>
        <v>0</v>
      </c>
      <c r="AE52" s="31">
        <f ca="1">$AO$52*$AO$69</f>
        <v>0</v>
      </c>
      <c r="AF52" s="31">
        <f ca="1">$AP$52*$AP$69</f>
        <v>0</v>
      </c>
      <c r="AG52" s="31">
        <f ca="1">SUM($AE$52:$AF$52)</f>
        <v>0</v>
      </c>
      <c r="AH52" s="31">
        <f>'TUSD BE'!$AH$52*'TUSD BF'!$AH$72</f>
        <v>1.6483300993996521</v>
      </c>
      <c r="AI52" s="31">
        <f>'TUSD BE'!$AI$52*'TUSD BF'!$AI$72</f>
        <v>4.9963534845369299E-2</v>
      </c>
      <c r="AJ52" s="31">
        <f ca="1">'TUSD BE'!$AJ$52*'TUSD BF'!$AJ$72</f>
        <v>0.55820929544327946</v>
      </c>
      <c r="AK52" s="31">
        <f ca="1">'TUSD BE'!$AK$52*'TUSD BF'!$AK$72</f>
        <v>0</v>
      </c>
      <c r="AL52" s="31">
        <f ca="1">SUM($AH$52:$AK$52)</f>
        <v>2.2565029296883008</v>
      </c>
      <c r="AM52" s="31">
        <f ca="1">SUMIF($L$4:$AL$4,"SUBTOTAL",$L$52:$AL$52)</f>
        <v>22.53532466139805</v>
      </c>
      <c r="AO52" s="40">
        <f ca="1">+'TUSD BE'!$T$52+'TUSD BE'!$AB$52+'TUSD BE'!$AD$52+'TUSD BE'!$AL$52</f>
        <v>1028.9966450015395</v>
      </c>
      <c r="AP52" s="40">
        <f ca="1">+'TUSD BE'!$T$52+'TUSD BE'!$AB$52+'TUSD BE'!$AD$52+'TUSD BE'!$AL$52</f>
        <v>1028.9966450015395</v>
      </c>
    </row>
    <row r="53" spans="1:42" ht="11.25" customHeight="1" x14ac:dyDescent="0.25">
      <c r="A53" s="97"/>
      <c r="B53" s="97"/>
      <c r="C53" s="97"/>
      <c r="D53" s="97"/>
      <c r="E53" s="97"/>
      <c r="F53" s="97"/>
      <c r="G53" s="38" t="s">
        <v>113</v>
      </c>
      <c r="H53" s="38" t="s">
        <v>102</v>
      </c>
      <c r="I53" s="38">
        <f>'MERCADO TUSD'!$U$50</f>
        <v>0</v>
      </c>
      <c r="J53" s="15"/>
      <c r="L53" s="31">
        <f>'TUSD BE'!$L$53*'TUSD BF'!$L$72</f>
        <v>0.33498805110260826</v>
      </c>
      <c r="M53" s="31">
        <f>'TUSD BE'!$M$53*'TUSD BF'!$M$72</f>
        <v>0</v>
      </c>
      <c r="N53" s="31">
        <f ca="1">'TUSD BE'!$N$53*'TUSD BF'!$N$72</f>
        <v>0</v>
      </c>
      <c r="O53" s="31">
        <f>'TUSD BE'!$O$53*'TUSD BF'!$O$72</f>
        <v>0</v>
      </c>
      <c r="P53" s="31">
        <f>'TUSD BE'!$P$53*'TUSD BF'!$P$72</f>
        <v>0</v>
      </c>
      <c r="Q53" s="31">
        <f>'TUSD BE'!$Q$53*'TUSD BF'!$Q$72</f>
        <v>9.1783884700193532</v>
      </c>
      <c r="R53" s="31">
        <f>'TUSD BE'!$R$53*'TUSD BF'!$R$72</f>
        <v>3.7661510086940049</v>
      </c>
      <c r="S53" s="31">
        <f>'TUSD BE'!$R$53*'TUSD BF'!$S$72</f>
        <v>0</v>
      </c>
      <c r="T53" s="31">
        <f ca="1">SUM($L$53:$S$53)</f>
        <v>13.279527529815965</v>
      </c>
      <c r="U53" s="31">
        <f>'TUSD BE'!$U$53*'TUSD BF'!$U$72</f>
        <v>3.2052905120166137</v>
      </c>
      <c r="V53" s="31">
        <f>'TUSD BE'!$V$53*'TUSD BF'!$V$72</f>
        <v>0.99429215040796914</v>
      </c>
      <c r="W53" s="31">
        <f>'TUSD BE'!$W$53*'TUSD BF'!$W$72</f>
        <v>0</v>
      </c>
      <c r="X53" s="31">
        <f>'TUSD BE'!$X$53*'TUSD BF'!$X$72</f>
        <v>0</v>
      </c>
      <c r="Y53" s="31">
        <f>'TUSD BE'!$Y$53*'TUSD BF'!$Y$72</f>
        <v>0</v>
      </c>
      <c r="Z53" s="31">
        <f>'TUSD BE'!$Z$53*'TUSD BF'!$Z$72</f>
        <v>0</v>
      </c>
      <c r="AA53" s="31">
        <f>'TUSD BE'!$AA$53*'TUSD BF'!$AA$72</f>
        <v>0</v>
      </c>
      <c r="AB53" s="31">
        <f>SUM($U$53:$AA$53)</f>
        <v>4.1995826624245831</v>
      </c>
      <c r="AC53" s="31">
        <f>'TUSD BE'!$AC$53*'TUSD BF'!$AC$72</f>
        <v>0</v>
      </c>
      <c r="AD53" s="31">
        <f>SUM($AC$53:$AC$53)</f>
        <v>0</v>
      </c>
      <c r="AE53" s="31">
        <f ca="1">$AO$53*$AO$69</f>
        <v>0</v>
      </c>
      <c r="AF53" s="31">
        <f ca="1">$AP$53*$AP$69</f>
        <v>0</v>
      </c>
      <c r="AG53" s="31">
        <f ca="1">SUM($AE$53:$AF$53)</f>
        <v>0</v>
      </c>
      <c r="AH53" s="31">
        <f>'TUSD BE'!$AH$53*'TUSD BF'!$AH$72</f>
        <v>1.6483300993996521</v>
      </c>
      <c r="AI53" s="31">
        <f>'TUSD BE'!$AI$53*'TUSD BF'!$AI$72</f>
        <v>4.9963534845369299E-2</v>
      </c>
      <c r="AJ53" s="31">
        <f ca="1">'TUSD BE'!$AJ$53*'TUSD BF'!$AJ$72</f>
        <v>0.55820929544327946</v>
      </c>
      <c r="AK53" s="31">
        <f ca="1">'TUSD BE'!$AK$53*'TUSD BF'!$AK$72</f>
        <v>0</v>
      </c>
      <c r="AL53" s="31">
        <f ca="1">SUM($AH$53:$AK$53)</f>
        <v>2.2565029296883008</v>
      </c>
      <c r="AM53" s="31">
        <f ca="1">SUMIF($L$4:$AL$4,"SUBTOTAL",$L$53:$AL$53)</f>
        <v>19.73561312192885</v>
      </c>
      <c r="AO53" s="40">
        <f ca="1">+'TUSD BE'!$T$53+'TUSD BE'!$AB$53+'TUSD BE'!$AD$53+'TUSD BE'!$AL$53</f>
        <v>658.41036556434153</v>
      </c>
      <c r="AP53" s="40">
        <f ca="1">+'TUSD BE'!$T$53+'TUSD BE'!$AB$53+'TUSD BE'!$AD$53+'TUSD BE'!$AL$53</f>
        <v>658.41036556434153</v>
      </c>
    </row>
    <row r="54" spans="1:42" ht="11.25" customHeight="1" x14ac:dyDescent="0.25">
      <c r="A54" s="97"/>
      <c r="B54" s="97"/>
      <c r="C54" s="97"/>
      <c r="D54" s="97"/>
      <c r="E54" s="97"/>
      <c r="F54" s="97"/>
      <c r="G54" s="38" t="s">
        <v>104</v>
      </c>
      <c r="H54" s="38" t="s">
        <v>102</v>
      </c>
      <c r="I54" s="38">
        <f>'MERCADO TUSD'!$U$51</f>
        <v>0</v>
      </c>
      <c r="J54" s="15"/>
      <c r="L54" s="31">
        <f>'TUSD BE'!$L$54*'TUSD BF'!$L$72</f>
        <v>0.33498805110260826</v>
      </c>
      <c r="M54" s="31">
        <f>'TUSD BE'!$M$54*'TUSD BF'!$M$72</f>
        <v>0</v>
      </c>
      <c r="N54" s="31">
        <f ca="1">'TUSD BE'!$N$54*'TUSD BF'!$N$72</f>
        <v>0</v>
      </c>
      <c r="O54" s="31">
        <f>'TUSD BE'!$O$54*'TUSD BF'!$O$72</f>
        <v>0</v>
      </c>
      <c r="P54" s="31">
        <f>'TUSD BE'!$P$54*'TUSD BF'!$P$72</f>
        <v>0</v>
      </c>
      <c r="Q54" s="31">
        <f>'TUSD BE'!$Q$54*'TUSD BF'!$Q$72</f>
        <v>9.1783884700193532</v>
      </c>
      <c r="R54" s="31">
        <f>'TUSD BE'!$R$54*'TUSD BF'!$R$72</f>
        <v>3.7661510086940049</v>
      </c>
      <c r="S54" s="31">
        <f>'TUSD BE'!$R$54*'TUSD BF'!$S$72</f>
        <v>0</v>
      </c>
      <c r="T54" s="31">
        <f ca="1">SUM($L$54:$S$54)</f>
        <v>13.279527529815965</v>
      </c>
      <c r="U54" s="31">
        <f>'TUSD BE'!$U$54*'TUSD BF'!$U$72</f>
        <v>1.0684281668872306</v>
      </c>
      <c r="V54" s="31">
        <f>'TUSD BE'!$V$54*'TUSD BF'!$V$72</f>
        <v>0.33143071680265634</v>
      </c>
      <c r="W54" s="31">
        <f>'TUSD BE'!$W$54*'TUSD BF'!$W$72</f>
        <v>0</v>
      </c>
      <c r="X54" s="31">
        <f>'TUSD BE'!$X$54*'TUSD BF'!$X$72</f>
        <v>0</v>
      </c>
      <c r="Y54" s="31">
        <f>'TUSD BE'!$Y$54*'TUSD BF'!$Y$72</f>
        <v>0</v>
      </c>
      <c r="Z54" s="31">
        <f>'TUSD BE'!$Z$54*'TUSD BF'!$Z$72</f>
        <v>0</v>
      </c>
      <c r="AA54" s="31">
        <f>'TUSD BE'!$AA$54*'TUSD BF'!$AA$72</f>
        <v>0</v>
      </c>
      <c r="AB54" s="31">
        <f>SUM($U$54:$AA$54)</f>
        <v>1.3998588836898871</v>
      </c>
      <c r="AC54" s="31">
        <f>'TUSD BE'!$AC$54*'TUSD BF'!$AC$72</f>
        <v>0</v>
      </c>
      <c r="AD54" s="31">
        <f>SUM($AC$54:$AC$54)</f>
        <v>0</v>
      </c>
      <c r="AE54" s="31">
        <f ca="1">$AO$54*$AO$69</f>
        <v>0</v>
      </c>
      <c r="AF54" s="31">
        <f ca="1">$AP$54*$AP$69</f>
        <v>0</v>
      </c>
      <c r="AG54" s="31">
        <f ca="1">SUM($AE$54:$AF$54)</f>
        <v>0</v>
      </c>
      <c r="AH54" s="31">
        <f>'TUSD BE'!$AH$54*'TUSD BF'!$AH$72</f>
        <v>1.6483300993996521</v>
      </c>
      <c r="AI54" s="31">
        <f>'TUSD BE'!$AI$54*'TUSD BF'!$AI$72</f>
        <v>4.9963534845369299E-2</v>
      </c>
      <c r="AJ54" s="31">
        <f ca="1">'TUSD BE'!$AJ$54*'TUSD BF'!$AJ$72</f>
        <v>0.55820929544327946</v>
      </c>
      <c r="AK54" s="31">
        <f ca="1">'TUSD BE'!$AK$54*'TUSD BF'!$AK$72</f>
        <v>0</v>
      </c>
      <c r="AL54" s="31">
        <f ca="1">SUM($AH$54:$AK$54)</f>
        <v>2.2565029296883008</v>
      </c>
      <c r="AM54" s="31">
        <f ca="1">SUMIF($L$4:$AL$4,"SUBTOTAL",$L$54:$AL$54)</f>
        <v>16.935889343194155</v>
      </c>
      <c r="AO54" s="40">
        <f ca="1">+'TUSD BE'!$T$54+'TUSD BE'!$AB$54+'TUSD BE'!$AD$54+'TUSD BE'!$AL$54</f>
        <v>287.82373114012762</v>
      </c>
      <c r="AP54" s="40">
        <f ca="1">+'TUSD BE'!$T$54+'TUSD BE'!$AB$54+'TUSD BE'!$AD$54+'TUSD BE'!$AL$54</f>
        <v>287.82373114012762</v>
      </c>
    </row>
    <row r="55" spans="1:42" ht="11.25" customHeight="1" x14ac:dyDescent="0.25">
      <c r="A55" s="97"/>
      <c r="B55" s="37" t="s">
        <v>23</v>
      </c>
      <c r="C55" s="37" t="s">
        <v>45</v>
      </c>
      <c r="D55" s="37" t="s">
        <v>117</v>
      </c>
      <c r="E55" s="37" t="s">
        <v>25</v>
      </c>
      <c r="F55" s="37" t="s">
        <v>25</v>
      </c>
      <c r="G55" s="38" t="s">
        <v>108</v>
      </c>
      <c r="H55" s="38" t="s">
        <v>102</v>
      </c>
      <c r="I55" s="38">
        <f>'MERCADO TUSD'!$U$52</f>
        <v>0</v>
      </c>
      <c r="J55" s="15"/>
      <c r="L55" s="31">
        <f>'TUSD BE'!$L$55*'TUSD BF'!$L$72</f>
        <v>0.33498805110260826</v>
      </c>
      <c r="M55" s="31">
        <f>'TUSD BE'!$M$55*'TUSD BF'!$M$72</f>
        <v>0</v>
      </c>
      <c r="N55" s="31">
        <f ca="1">'TUSD BE'!$N$55*'TUSD BF'!$N$72</f>
        <v>0</v>
      </c>
      <c r="O55" s="31">
        <f>'TUSD BE'!$O$55*'TUSD BF'!$O$72</f>
        <v>0</v>
      </c>
      <c r="P55" s="31">
        <f>'TUSD BE'!$P$55*'TUSD BF'!$P$72</f>
        <v>0</v>
      </c>
      <c r="Q55" s="31">
        <f>'TUSD BE'!$Q$55*'TUSD BF'!$Q$72</f>
        <v>9.1783884700193532</v>
      </c>
      <c r="R55" s="31">
        <f>'TUSD BE'!$R$55*'TUSD BF'!$R$72</f>
        <v>3.7661510086940049</v>
      </c>
      <c r="S55" s="31">
        <f>'TUSD BE'!$R$55*'TUSD BF'!$S$72</f>
        <v>0</v>
      </c>
      <c r="T55" s="31">
        <f ca="1">SUM($L$55:$S$55)</f>
        <v>13.279527529815965</v>
      </c>
      <c r="U55" s="31">
        <f>'TUSD BE'!$U$55*'TUSD BF'!$U$72</f>
        <v>1.5946741993830362</v>
      </c>
      <c r="V55" s="31">
        <f>'TUSD BE'!$V$55*'TUSD BF'!$V$72</f>
        <v>0.49467048075241726</v>
      </c>
      <c r="W55" s="31">
        <f>'TUSD BE'!$W$55*'TUSD BF'!$W$72</f>
        <v>0</v>
      </c>
      <c r="X55" s="31">
        <f>'TUSD BE'!$X$55*'TUSD BF'!$X$72</f>
        <v>0</v>
      </c>
      <c r="Y55" s="31">
        <f>'TUSD BE'!$Y$55*'TUSD BF'!$Y$72</f>
        <v>0</v>
      </c>
      <c r="Z55" s="31">
        <f>'TUSD BE'!$Z$55*'TUSD BF'!$Z$72</f>
        <v>0</v>
      </c>
      <c r="AA55" s="31">
        <f>'TUSD BE'!$AA$55*'TUSD BF'!$AA$72</f>
        <v>0</v>
      </c>
      <c r="AB55" s="31">
        <f>SUM($U$55:$AA$55)</f>
        <v>2.0893446801354534</v>
      </c>
      <c r="AC55" s="31">
        <f>'TUSD BE'!$AC$55*'TUSD BF'!$AC$72</f>
        <v>0</v>
      </c>
      <c r="AD55" s="31">
        <f>SUM($AC$55:$AC$55)</f>
        <v>0</v>
      </c>
      <c r="AE55" s="31">
        <f ca="1">$AO$55*$AO$69</f>
        <v>0</v>
      </c>
      <c r="AF55" s="31">
        <f ca="1">$AP$55*$AP$69</f>
        <v>0</v>
      </c>
      <c r="AG55" s="31">
        <f ca="1">SUM($AE$55:$AF$55)</f>
        <v>0</v>
      </c>
      <c r="AH55" s="31">
        <f>'TUSD BE'!$AH$55*'TUSD BF'!$AH$72</f>
        <v>1.6483300993996521</v>
      </c>
      <c r="AI55" s="31">
        <f>'TUSD BE'!$AI$55*'TUSD BF'!$AI$72</f>
        <v>4.9963534845369299E-2</v>
      </c>
      <c r="AJ55" s="31">
        <f ca="1">'TUSD BE'!$AJ$55*'TUSD BF'!$AJ$72</f>
        <v>0.55820929544327946</v>
      </c>
      <c r="AK55" s="31">
        <f ca="1">'TUSD BE'!$AK$55*'TUSD BF'!$AK$72</f>
        <v>0</v>
      </c>
      <c r="AL55" s="31">
        <f ca="1">SUM($AH$55:$AK$55)</f>
        <v>2.2565029296883008</v>
      </c>
      <c r="AM55" s="31">
        <f ca="1">SUMIF($L$4:$AL$4,"SUBTOTAL",$L$55:$AL$55)</f>
        <v>17.625375139639722</v>
      </c>
      <c r="AO55" s="40">
        <f ca="1">+'TUSD BE'!$T$55+'TUSD BE'!$AB$55+'TUSD BE'!$AD$55+'TUSD BE'!$AL$55</f>
        <v>379.0876791035268</v>
      </c>
      <c r="AP55" s="40">
        <f ca="1">+'TUSD BE'!$T$55+'TUSD BE'!$AB$55+'TUSD BE'!$AD$55+'TUSD BE'!$AL$55</f>
        <v>379.0876791035268</v>
      </c>
    </row>
    <row r="56" spans="1:42" ht="11.25" customHeight="1" x14ac:dyDescent="0.25">
      <c r="A56" s="97"/>
      <c r="B56" s="97" t="s">
        <v>115</v>
      </c>
      <c r="C56" s="97" t="s">
        <v>45</v>
      </c>
      <c r="D56" s="37" t="s">
        <v>25</v>
      </c>
      <c r="E56" s="37" t="s">
        <v>25</v>
      </c>
      <c r="F56" s="37" t="s">
        <v>25</v>
      </c>
      <c r="G56" s="38" t="s">
        <v>108</v>
      </c>
      <c r="H56" s="38" t="s">
        <v>102</v>
      </c>
      <c r="I56" s="38">
        <f>'MERCADO TUSD'!$U$53</f>
        <v>0</v>
      </c>
      <c r="J56" s="15"/>
      <c r="L56" s="31">
        <f>'TUSD BE'!$L$56*'TUSD BF'!$L$72</f>
        <v>0.33498805110260826</v>
      </c>
      <c r="M56" s="31">
        <f>'TUSD BE'!$M$56*'TUSD BF'!$M$72</f>
        <v>0</v>
      </c>
      <c r="N56" s="31">
        <f ca="1">'TUSD BE'!$N$56*'TUSD BF'!$N$72</f>
        <v>0</v>
      </c>
      <c r="O56" s="31">
        <f>'TUSD BE'!$O$56*'TUSD BF'!$O$72</f>
        <v>0</v>
      </c>
      <c r="P56" s="31">
        <f>'TUSD BE'!$P$56*'TUSD BF'!$P$72</f>
        <v>0</v>
      </c>
      <c r="Q56" s="31">
        <f>'TUSD BE'!$Q$56*'TUSD BF'!$Q$72</f>
        <v>9.1783884700193532</v>
      </c>
      <c r="R56" s="31">
        <f>'TUSD BE'!$R$56*'TUSD BF'!$R$72</f>
        <v>3.7661510086940049</v>
      </c>
      <c r="S56" s="31">
        <f>'TUSD BE'!$R$56*'TUSD BF'!$S$72</f>
        <v>0</v>
      </c>
      <c r="T56" s="31">
        <f ca="1">SUM($L$56:$S$56)</f>
        <v>13.279527529815965</v>
      </c>
      <c r="U56" s="31">
        <f>'TUSD BE'!$U$56*'TUSD BF'!$U$72</f>
        <v>1.5946741993830362</v>
      </c>
      <c r="V56" s="31">
        <f>'TUSD BE'!$V$56*'TUSD BF'!$V$72</f>
        <v>0.49467048075241726</v>
      </c>
      <c r="W56" s="31">
        <f>'TUSD BE'!$W$56*'TUSD BF'!$W$72</f>
        <v>0</v>
      </c>
      <c r="X56" s="31">
        <f>'TUSD BE'!$X$56*'TUSD BF'!$X$72</f>
        <v>0</v>
      </c>
      <c r="Y56" s="31">
        <f>'TUSD BE'!$Y$56*'TUSD BF'!$Y$72</f>
        <v>0</v>
      </c>
      <c r="Z56" s="31">
        <f>'TUSD BE'!$Z$56*'TUSD BF'!$Z$72</f>
        <v>0</v>
      </c>
      <c r="AA56" s="31">
        <f>'TUSD BE'!$AA$56*'TUSD BF'!$AA$72</f>
        <v>0</v>
      </c>
      <c r="AB56" s="31">
        <f>SUM($U$56:$AA$56)</f>
        <v>2.0893446801354534</v>
      </c>
      <c r="AC56" s="31">
        <f>'TUSD BE'!$AC$56*'TUSD BF'!$AC$72</f>
        <v>0</v>
      </c>
      <c r="AD56" s="31">
        <f>SUM($AC$56:$AC$56)</f>
        <v>0</v>
      </c>
      <c r="AE56" s="31">
        <f ca="1">$AO$56*$AO$69</f>
        <v>0</v>
      </c>
      <c r="AF56" s="31">
        <f ca="1">$AP$56*$AP$69</f>
        <v>0</v>
      </c>
      <c r="AG56" s="31">
        <f ca="1">SUM($AE$56:$AF$56)</f>
        <v>0</v>
      </c>
      <c r="AH56" s="31">
        <f>'TUSD BE'!$AH$56*'TUSD BF'!$AH$72</f>
        <v>1.6483300993996521</v>
      </c>
      <c r="AI56" s="31">
        <f>'TUSD BE'!$AI$56*'TUSD BF'!$AI$72</f>
        <v>4.9963534845369299E-2</v>
      </c>
      <c r="AJ56" s="31">
        <f ca="1">'TUSD BE'!$AJ$56*'TUSD BF'!$AJ$72</f>
        <v>0.55820929544327946</v>
      </c>
      <c r="AK56" s="31">
        <f ca="1">'TUSD BE'!$AK$56*'TUSD BF'!$AK$72</f>
        <v>0</v>
      </c>
      <c r="AL56" s="31">
        <f ca="1">SUM($AH$56:$AK$56)</f>
        <v>2.2565029296883008</v>
      </c>
      <c r="AM56" s="31">
        <f ca="1">SUMIF($L$4:$AL$4,"SUBTOTAL",$L$56:$AL$56)</f>
        <v>17.625375139639722</v>
      </c>
      <c r="AO56" s="40">
        <f ca="1">+'TUSD BE'!$T$56+'TUSD BE'!$AB$56+'TUSD BE'!$AD$56+'TUSD BE'!$AL$56</f>
        <v>379.0876791035268</v>
      </c>
      <c r="AP56" s="40">
        <f ca="1">+'TUSD BE'!$T$56+'TUSD BE'!$AB$56+'TUSD BE'!$AD$56+'TUSD BE'!$AL$56</f>
        <v>379.0876791035268</v>
      </c>
    </row>
    <row r="57" spans="1:42" ht="11.25" customHeight="1" x14ac:dyDescent="0.25">
      <c r="A57" s="97"/>
      <c r="B57" s="97"/>
      <c r="C57" s="97"/>
      <c r="D57" s="37" t="s">
        <v>116</v>
      </c>
      <c r="E57" s="37" t="s">
        <v>25</v>
      </c>
      <c r="F57" s="37" t="s">
        <v>25</v>
      </c>
      <c r="G57" s="38" t="s">
        <v>108</v>
      </c>
      <c r="H57" s="38" t="s">
        <v>102</v>
      </c>
      <c r="I57" s="38">
        <f>'MERCADO TUSD'!$U$54</f>
        <v>0</v>
      </c>
      <c r="J57" s="15"/>
      <c r="L57" s="31">
        <f>'TUSD BE'!$L$57*'TUSD BF'!$L$72</f>
        <v>0.33498805110260826</v>
      </c>
      <c r="M57" s="31">
        <f>'TUSD BE'!$M$57*'TUSD BF'!$M$72</f>
        <v>0</v>
      </c>
      <c r="N57" s="31">
        <f ca="1">'TUSD BE'!$N$57*'TUSD BF'!$N$72</f>
        <v>0</v>
      </c>
      <c r="O57" s="31">
        <f>'TUSD BE'!$O$57*'TUSD BF'!$O$72</f>
        <v>0</v>
      </c>
      <c r="P57" s="31">
        <f>'TUSD BE'!$P$57*'TUSD BF'!$P$72</f>
        <v>0</v>
      </c>
      <c r="Q57" s="31">
        <f>'TUSD BE'!$Q$57*'TUSD BF'!$Q$72</f>
        <v>9.1783884700193532</v>
      </c>
      <c r="R57" s="31">
        <f>'TUSD BE'!$R$57*'TUSD BF'!$R$72</f>
        <v>3.7661510086940049</v>
      </c>
      <c r="S57" s="31">
        <f>'TUSD BE'!$R$57*'TUSD BF'!$S$72</f>
        <v>0</v>
      </c>
      <c r="T57" s="31">
        <f ca="1">SUM($L$57:$S$57)</f>
        <v>13.279527529815965</v>
      </c>
      <c r="U57" s="31">
        <f>'TUSD BE'!$U$57*'TUSD BF'!$U$72</f>
        <v>1.5946741993830362</v>
      </c>
      <c r="V57" s="31">
        <f>'TUSD BE'!$V$57*'TUSD BF'!$V$72</f>
        <v>0.49467048075241726</v>
      </c>
      <c r="W57" s="31">
        <f>'TUSD BE'!$W$57*'TUSD BF'!$W$72</f>
        <v>0</v>
      </c>
      <c r="X57" s="31">
        <f>'TUSD BE'!$X$57*'TUSD BF'!$X$72</f>
        <v>0</v>
      </c>
      <c r="Y57" s="31">
        <f>'TUSD BE'!$Y$57*'TUSD BF'!$Y$72</f>
        <v>0</v>
      </c>
      <c r="Z57" s="31">
        <f>'TUSD BE'!$Z$57*'TUSD BF'!$Z$72</f>
        <v>0</v>
      </c>
      <c r="AA57" s="31">
        <f>'TUSD BE'!$AA$57*'TUSD BF'!$AA$72</f>
        <v>0</v>
      </c>
      <c r="AB57" s="31">
        <f>SUM($U$57:$AA$57)</f>
        <v>2.0893446801354534</v>
      </c>
      <c r="AC57" s="31">
        <f>'TUSD BE'!$AC$57*'TUSD BF'!$AC$72</f>
        <v>0</v>
      </c>
      <c r="AD57" s="31">
        <f>SUM($AC$57:$AC$57)</f>
        <v>0</v>
      </c>
      <c r="AE57" s="31">
        <f ca="1">$AO$57*$AO$69</f>
        <v>0</v>
      </c>
      <c r="AF57" s="31">
        <f ca="1">$AP$57*$AP$69</f>
        <v>0</v>
      </c>
      <c r="AG57" s="31">
        <f ca="1">SUM($AE$57:$AF$57)</f>
        <v>0</v>
      </c>
      <c r="AH57" s="31">
        <f>'TUSD BE'!$AH$57*'TUSD BF'!$AH$72</f>
        <v>1.6483300993996521</v>
      </c>
      <c r="AI57" s="31">
        <f>'TUSD BE'!$AI$57*'TUSD BF'!$AI$72</f>
        <v>4.9963534845369299E-2</v>
      </c>
      <c r="AJ57" s="31">
        <f ca="1">'TUSD BE'!$AJ$57*'TUSD BF'!$AJ$72</f>
        <v>0.55820929544327946</v>
      </c>
      <c r="AK57" s="31">
        <f ca="1">'TUSD BE'!$AK$57*'TUSD BF'!$AK$72</f>
        <v>0</v>
      </c>
      <c r="AL57" s="31">
        <f ca="1">SUM($AH$57:$AK$57)</f>
        <v>2.2565029296883008</v>
      </c>
      <c r="AM57" s="31">
        <f ca="1">SUMIF($L$4:$AL$4,"SUBTOTAL",$L$57:$AL$57)</f>
        <v>17.625375139639722</v>
      </c>
      <c r="AO57" s="40">
        <f ca="1">+'TUSD BE'!$T$57+'TUSD BE'!$AB$57+'TUSD BE'!$AD$57+'TUSD BE'!$AL$57</f>
        <v>379.0876791035268</v>
      </c>
      <c r="AP57" s="40">
        <f ca="1">+'TUSD BE'!$T$57+'TUSD BE'!$AB$57+'TUSD BE'!$AD$57+'TUSD BE'!$AL$57</f>
        <v>379.0876791035268</v>
      </c>
    </row>
    <row r="58" spans="1:42" ht="11.25" customHeight="1" x14ac:dyDescent="0.25">
      <c r="A58" s="97"/>
      <c r="B58" s="97"/>
      <c r="C58" s="97"/>
      <c r="D58" s="37" t="s">
        <v>117</v>
      </c>
      <c r="E58" s="37" t="s">
        <v>25</v>
      </c>
      <c r="F58" s="37" t="s">
        <v>25</v>
      </c>
      <c r="G58" s="38" t="s">
        <v>108</v>
      </c>
      <c r="H58" s="38" t="s">
        <v>102</v>
      </c>
      <c r="I58" s="38">
        <f>'MERCADO TUSD'!$U$55</f>
        <v>0</v>
      </c>
      <c r="J58" s="15"/>
      <c r="L58" s="31">
        <f>'TUSD BE'!$L$58*'TUSD BF'!$L$72</f>
        <v>0.33498805110260826</v>
      </c>
      <c r="M58" s="31">
        <f>'TUSD BE'!$M$58*'TUSD BF'!$M$72</f>
        <v>0</v>
      </c>
      <c r="N58" s="31">
        <f ca="1">'TUSD BE'!$N$58*'TUSD BF'!$N$72</f>
        <v>0</v>
      </c>
      <c r="O58" s="31">
        <f>'TUSD BE'!$O$58*'TUSD BF'!$O$72</f>
        <v>0</v>
      </c>
      <c r="P58" s="31">
        <f>'TUSD BE'!$P$58*'TUSD BF'!$P$72</f>
        <v>0</v>
      </c>
      <c r="Q58" s="31">
        <f>'TUSD BE'!$Q$58*'TUSD BF'!$Q$72</f>
        <v>9.1783884700193532</v>
      </c>
      <c r="R58" s="31">
        <f>'TUSD BE'!$R$58*'TUSD BF'!$R$72</f>
        <v>3.7661510086940049</v>
      </c>
      <c r="S58" s="31">
        <f>'TUSD BE'!$R$58*'TUSD BF'!$S$72</f>
        <v>0</v>
      </c>
      <c r="T58" s="31">
        <f ca="1">SUM($L$58:$S$58)</f>
        <v>13.279527529815965</v>
      </c>
      <c r="U58" s="31">
        <f>'TUSD BE'!$U$58*'TUSD BF'!$U$72</f>
        <v>1.5946741993830362</v>
      </c>
      <c r="V58" s="31">
        <f>'TUSD BE'!$V$58*'TUSD BF'!$V$72</f>
        <v>0.49467048075241726</v>
      </c>
      <c r="W58" s="31">
        <f>'TUSD BE'!$W$58*'TUSD BF'!$W$72</f>
        <v>0</v>
      </c>
      <c r="X58" s="31">
        <f>'TUSD BE'!$X$58*'TUSD BF'!$X$72</f>
        <v>0</v>
      </c>
      <c r="Y58" s="31">
        <f>'TUSD BE'!$Y$58*'TUSD BF'!$Y$72</f>
        <v>0</v>
      </c>
      <c r="Z58" s="31">
        <f>'TUSD BE'!$Z$58*'TUSD BF'!$Z$72</f>
        <v>0</v>
      </c>
      <c r="AA58" s="31">
        <f>'TUSD BE'!$AA$58*'TUSD BF'!$AA$72</f>
        <v>0</v>
      </c>
      <c r="AB58" s="31">
        <f>SUM($U$58:$AA$58)</f>
        <v>2.0893446801354534</v>
      </c>
      <c r="AC58" s="31">
        <f>'TUSD BE'!$AC$58*'TUSD BF'!$AC$72</f>
        <v>0</v>
      </c>
      <c r="AD58" s="31">
        <f>SUM($AC$58:$AC$58)</f>
        <v>0</v>
      </c>
      <c r="AE58" s="31">
        <f ca="1">$AO$58*$AO$69</f>
        <v>0</v>
      </c>
      <c r="AF58" s="31">
        <f ca="1">$AP$58*$AP$69</f>
        <v>0</v>
      </c>
      <c r="AG58" s="31">
        <f ca="1">SUM($AE$58:$AF$58)</f>
        <v>0</v>
      </c>
      <c r="AH58" s="31">
        <f>'TUSD BE'!$AH$58*'TUSD BF'!$AH$72</f>
        <v>1.6483300993996521</v>
      </c>
      <c r="AI58" s="31">
        <f>'TUSD BE'!$AI$58*'TUSD BF'!$AI$72</f>
        <v>4.9963534845369299E-2</v>
      </c>
      <c r="AJ58" s="31">
        <f ca="1">'TUSD BE'!$AJ$58*'TUSD BF'!$AJ$72</f>
        <v>0.55820929544327946</v>
      </c>
      <c r="AK58" s="31">
        <f ca="1">'TUSD BE'!$AK$58*'TUSD BF'!$AK$72</f>
        <v>0</v>
      </c>
      <c r="AL58" s="31">
        <f ca="1">SUM($AH$58:$AK$58)</f>
        <v>2.2565029296883008</v>
      </c>
      <c r="AM58" s="31">
        <f ca="1">SUMIF($L$4:$AL$4,"SUBTOTAL",$L$58:$AL$58)</f>
        <v>17.625375139639722</v>
      </c>
      <c r="AO58" s="40">
        <f ca="1">+'TUSD BE'!$T$58+'TUSD BE'!$AB$58+'TUSD BE'!$AD$58+'TUSD BE'!$AL$58</f>
        <v>379.0876791035268</v>
      </c>
      <c r="AP58" s="40">
        <f ca="1">+'TUSD BE'!$T$58+'TUSD BE'!$AB$58+'TUSD BE'!$AD$58+'TUSD BE'!$AL$58</f>
        <v>379.0876791035268</v>
      </c>
    </row>
    <row r="59" spans="1:42" ht="11.25" customHeight="1" x14ac:dyDescent="0.25">
      <c r="A59" s="97" t="s">
        <v>37</v>
      </c>
      <c r="B59" s="97" t="s">
        <v>33</v>
      </c>
      <c r="C59" s="97" t="s">
        <v>25</v>
      </c>
      <c r="D59" s="97" t="s">
        <v>25</v>
      </c>
      <c r="E59" s="97" t="s">
        <v>25</v>
      </c>
      <c r="F59" s="97" t="s">
        <v>25</v>
      </c>
      <c r="G59" s="38" t="s">
        <v>103</v>
      </c>
      <c r="H59" s="38" t="s">
        <v>102</v>
      </c>
      <c r="I59" s="38">
        <f>'MERCADO TUSD'!$U$56</f>
        <v>54.588999999999999</v>
      </c>
      <c r="J59" s="15"/>
      <c r="L59" s="31">
        <f>'TUSD BE'!$L$59*'TUSD BF'!$L$72</f>
        <v>0.33498805110260826</v>
      </c>
      <c r="M59" s="31">
        <f>'TUSD BE'!$M$59*'TUSD BF'!$M$72</f>
        <v>0</v>
      </c>
      <c r="N59" s="31">
        <f ca="1">'TUSD BE'!$N$59*'TUSD BF'!$N$72</f>
        <v>0</v>
      </c>
      <c r="O59" s="31">
        <f>'TUSD BE'!$O$59*'TUSD BF'!$O$72</f>
        <v>0</v>
      </c>
      <c r="P59" s="31">
        <f>'TUSD BE'!$P$59*'TUSD BF'!$P$72</f>
        <v>0</v>
      </c>
      <c r="Q59" s="31">
        <f>'TUSD BE'!$Q$59*'TUSD BF'!$Q$72</f>
        <v>9.1783884700193532</v>
      </c>
      <c r="R59" s="31">
        <f>'TUSD BE'!$R$59*'TUSD BF'!$R$72</f>
        <v>3.7661510086940049</v>
      </c>
      <c r="S59" s="31">
        <f>'TUSD BE'!$R$59*'TUSD BF'!$S$72</f>
        <v>0</v>
      </c>
      <c r="T59" s="31">
        <f ca="1">SUM($L$59:$S$59)</f>
        <v>13.279527529815965</v>
      </c>
      <c r="U59" s="31">
        <f>'TUSD BE'!$U$59*'TUSD BF'!$U$72</f>
        <v>5.4218814574634653</v>
      </c>
      <c r="V59" s="31">
        <f>'TUSD BE'!$V$59*'TUSD BF'!$V$72</f>
        <v>1.6818846168866748</v>
      </c>
      <c r="W59" s="31">
        <f>'TUSD BE'!$W$59*'TUSD BF'!$W$72</f>
        <v>0</v>
      </c>
      <c r="X59" s="31">
        <f>'TUSD BE'!$X$59*'TUSD BF'!$X$72</f>
        <v>0</v>
      </c>
      <c r="Y59" s="31">
        <f>'TUSD BE'!$Y$59*'TUSD BF'!$Y$72</f>
        <v>0</v>
      </c>
      <c r="Z59" s="31">
        <f>'TUSD BE'!$Z$59*'TUSD BF'!$Z$72</f>
        <v>0</v>
      </c>
      <c r="AA59" s="31">
        <f>'TUSD BE'!$AA$59*'TUSD BF'!$AA$72</f>
        <v>0</v>
      </c>
      <c r="AB59" s="31">
        <f>SUM($U$59:$AA$59)</f>
        <v>7.1037660743501405</v>
      </c>
      <c r="AC59" s="31">
        <f>'TUSD BE'!$AC$59*'TUSD BF'!$AC$72</f>
        <v>0</v>
      </c>
      <c r="AD59" s="31">
        <f>SUM($AC$59:$AC$59)</f>
        <v>0</v>
      </c>
      <c r="AE59" s="31">
        <f ca="1">$AO$59*$AO$69</f>
        <v>0</v>
      </c>
      <c r="AF59" s="31">
        <f ca="1">$AP$59*$AP$69</f>
        <v>0</v>
      </c>
      <c r="AG59" s="31">
        <f ca="1">SUM($AE$59:$AF$59)</f>
        <v>0</v>
      </c>
      <c r="AH59" s="31">
        <f>'TUSD BE'!$AH$59*'TUSD BF'!$AH$72</f>
        <v>1.6483300993996521</v>
      </c>
      <c r="AI59" s="31">
        <f>'TUSD BE'!$AI$59*'TUSD BF'!$AI$72</f>
        <v>4.9963534845369299E-2</v>
      </c>
      <c r="AJ59" s="31">
        <f ca="1">'TUSD BE'!$AJ$59*'TUSD BF'!$AJ$72</f>
        <v>0.55820929544327946</v>
      </c>
      <c r="AK59" s="31">
        <f ca="1">'TUSD BE'!$AK$59*'TUSD BF'!$AK$72</f>
        <v>0</v>
      </c>
      <c r="AL59" s="31">
        <f ca="1">SUM($AH$59:$AK$59)</f>
        <v>2.2565029296883008</v>
      </c>
      <c r="AM59" s="31">
        <f ca="1">SUMIF($L$4:$AL$4,"SUBTOTAL",$L$59:$AL$59)</f>
        <v>22.639796533854408</v>
      </c>
      <c r="AO59" s="40">
        <f ca="1">+'TUSD BE'!$T$59+'TUSD BE'!$AB$59+'TUSD BE'!$AD$59+'TUSD BE'!$AL$59</f>
        <v>1042.8246150160992</v>
      </c>
      <c r="AP59" s="40">
        <f ca="1">+'TUSD BE'!$T$59+'TUSD BE'!$AB$59+'TUSD BE'!$AD$59+'TUSD BE'!$AL$59</f>
        <v>1042.8246150160992</v>
      </c>
    </row>
    <row r="60" spans="1:42" ht="11.25" customHeight="1" x14ac:dyDescent="0.25">
      <c r="A60" s="97"/>
      <c r="B60" s="97"/>
      <c r="C60" s="97"/>
      <c r="D60" s="97"/>
      <c r="E60" s="97"/>
      <c r="F60" s="97"/>
      <c r="G60" s="38" t="s">
        <v>113</v>
      </c>
      <c r="H60" s="38" t="s">
        <v>102</v>
      </c>
      <c r="I60" s="38">
        <f>'MERCADO TUSD'!$U$57</f>
        <v>66.038999999999987</v>
      </c>
      <c r="J60" s="15"/>
      <c r="L60" s="31">
        <f>'TUSD BE'!$L$60*'TUSD BF'!$L$72</f>
        <v>0.33498805110260826</v>
      </c>
      <c r="M60" s="31">
        <f>'TUSD BE'!$M$60*'TUSD BF'!$M$72</f>
        <v>0</v>
      </c>
      <c r="N60" s="31">
        <f ca="1">'TUSD BE'!$N$60*'TUSD BF'!$N$72</f>
        <v>0</v>
      </c>
      <c r="O60" s="31">
        <f>'TUSD BE'!$O$60*'TUSD BF'!$O$72</f>
        <v>0</v>
      </c>
      <c r="P60" s="31">
        <f>'TUSD BE'!$P$60*'TUSD BF'!$P$72</f>
        <v>0</v>
      </c>
      <c r="Q60" s="31">
        <f>'TUSD BE'!$Q$60*'TUSD BF'!$Q$72</f>
        <v>9.1783884700193532</v>
      </c>
      <c r="R60" s="31">
        <f>'TUSD BE'!$R$60*'TUSD BF'!$R$72</f>
        <v>3.7661510086940049</v>
      </c>
      <c r="S60" s="31">
        <f>'TUSD BE'!$R$60*'TUSD BF'!$S$72</f>
        <v>0</v>
      </c>
      <c r="T60" s="31">
        <f ca="1">SUM($L$60:$S$60)</f>
        <v>13.279527529815965</v>
      </c>
      <c r="U60" s="31">
        <f>'TUSD BE'!$U$60*'TUSD BF'!$U$72</f>
        <v>3.2531288744780791</v>
      </c>
      <c r="V60" s="31">
        <f>'TUSD BE'!$V$60*'TUSD BF'!$V$72</f>
        <v>1.0091332612962327</v>
      </c>
      <c r="W60" s="31">
        <f>'TUSD BE'!$W$60*'TUSD BF'!$W$72</f>
        <v>0</v>
      </c>
      <c r="X60" s="31">
        <f>'TUSD BE'!$X$60*'TUSD BF'!$X$72</f>
        <v>0</v>
      </c>
      <c r="Y60" s="31">
        <f>'TUSD BE'!$Y$60*'TUSD BF'!$Y$72</f>
        <v>0</v>
      </c>
      <c r="Z60" s="31">
        <f>'TUSD BE'!$Z$60*'TUSD BF'!$Z$72</f>
        <v>0</v>
      </c>
      <c r="AA60" s="31">
        <f>'TUSD BE'!$AA$60*'TUSD BF'!$AA$72</f>
        <v>0</v>
      </c>
      <c r="AB60" s="31">
        <f>SUM($U$60:$AA$60)</f>
        <v>4.2622621357743116</v>
      </c>
      <c r="AC60" s="31">
        <f>'TUSD BE'!$AC$60*'TUSD BF'!$AC$72</f>
        <v>0</v>
      </c>
      <c r="AD60" s="31">
        <f>SUM($AC$60:$AC$60)</f>
        <v>0</v>
      </c>
      <c r="AE60" s="31">
        <f ca="1">$AO$60*$AO$69</f>
        <v>0</v>
      </c>
      <c r="AF60" s="31">
        <f ca="1">$AP$60*$AP$69</f>
        <v>0</v>
      </c>
      <c r="AG60" s="31">
        <f ca="1">SUM($AE$60:$AF$60)</f>
        <v>0</v>
      </c>
      <c r="AH60" s="31">
        <f>'TUSD BE'!$AH$60*'TUSD BF'!$AH$72</f>
        <v>1.6483300993996521</v>
      </c>
      <c r="AI60" s="31">
        <f>'TUSD BE'!$AI$60*'TUSD BF'!$AI$72</f>
        <v>4.9963534845369299E-2</v>
      </c>
      <c r="AJ60" s="31">
        <f ca="1">'TUSD BE'!$AJ$60*'TUSD BF'!$AJ$72</f>
        <v>0.55820929544327946</v>
      </c>
      <c r="AK60" s="31">
        <f ca="1">'TUSD BE'!$AK$60*'TUSD BF'!$AK$72</f>
        <v>0</v>
      </c>
      <c r="AL60" s="31">
        <f ca="1">SUM($AH$60:$AK$60)</f>
        <v>2.2565029296883008</v>
      </c>
      <c r="AM60" s="31">
        <f ca="1">SUMIF($L$4:$AL$4,"SUBTOTAL",$L$60:$AL$60)</f>
        <v>19.798292595278575</v>
      </c>
      <c r="AO60" s="40">
        <f ca="1">+'TUSD BE'!$T$60+'TUSD BE'!$AB$60+'TUSD BE'!$AD$60+'TUSD BE'!$AL$60</f>
        <v>666.70708377157132</v>
      </c>
      <c r="AP60" s="40">
        <f ca="1">+'TUSD BE'!$T$60+'TUSD BE'!$AB$60+'TUSD BE'!$AD$60+'TUSD BE'!$AL$60</f>
        <v>666.70708377157132</v>
      </c>
    </row>
    <row r="61" spans="1:42" ht="11.25" customHeight="1" x14ac:dyDescent="0.25">
      <c r="A61" s="97"/>
      <c r="B61" s="97"/>
      <c r="C61" s="97"/>
      <c r="D61" s="97"/>
      <c r="E61" s="97"/>
      <c r="F61" s="97"/>
      <c r="G61" s="38" t="s">
        <v>104</v>
      </c>
      <c r="H61" s="38" t="s">
        <v>102</v>
      </c>
      <c r="I61" s="38">
        <f>'MERCADO TUSD'!$U$58</f>
        <v>1004.5179999999999</v>
      </c>
      <c r="J61" s="15"/>
      <c r="L61" s="31">
        <f>'TUSD BE'!$L$61*'TUSD BF'!$L$72</f>
        <v>0.33498805110260826</v>
      </c>
      <c r="M61" s="31">
        <f>'TUSD BE'!$M$61*'TUSD BF'!$M$72</f>
        <v>0</v>
      </c>
      <c r="N61" s="31">
        <f ca="1">'TUSD BE'!$N$61*'TUSD BF'!$N$72</f>
        <v>0</v>
      </c>
      <c r="O61" s="31">
        <f>'TUSD BE'!$O$61*'TUSD BF'!$O$72</f>
        <v>0</v>
      </c>
      <c r="P61" s="31">
        <f>'TUSD BE'!$P$61*'TUSD BF'!$P$72</f>
        <v>0</v>
      </c>
      <c r="Q61" s="31">
        <f>'TUSD BE'!$Q$61*'TUSD BF'!$Q$72</f>
        <v>9.1783884700193532</v>
      </c>
      <c r="R61" s="31">
        <f>'TUSD BE'!$R$61*'TUSD BF'!$R$72</f>
        <v>3.7661510086940049</v>
      </c>
      <c r="S61" s="31">
        <f>'TUSD BE'!$R$61*'TUSD BF'!$S$72</f>
        <v>0</v>
      </c>
      <c r="T61" s="31">
        <f ca="1">SUM($L$61:$S$61)</f>
        <v>13.279527529815965</v>
      </c>
      <c r="U61" s="31">
        <f>'TUSD BE'!$U$61*'TUSD BF'!$U$72</f>
        <v>1.0843762914926929</v>
      </c>
      <c r="V61" s="31">
        <f>'TUSD BE'!$V$61*'TUSD BF'!$V$72</f>
        <v>0.33637567779522093</v>
      </c>
      <c r="W61" s="31">
        <f>'TUSD BE'!$W$61*'TUSD BF'!$W$72</f>
        <v>0</v>
      </c>
      <c r="X61" s="31">
        <f>'TUSD BE'!$X$61*'TUSD BF'!$X$72</f>
        <v>0</v>
      </c>
      <c r="Y61" s="31">
        <f>'TUSD BE'!$Y$61*'TUSD BF'!$Y$72</f>
        <v>0</v>
      </c>
      <c r="Z61" s="31">
        <f>'TUSD BE'!$Z$61*'TUSD BF'!$Z$72</f>
        <v>0</v>
      </c>
      <c r="AA61" s="31">
        <f>'TUSD BE'!$AA$61*'TUSD BF'!$AA$72</f>
        <v>0</v>
      </c>
      <c r="AB61" s="31">
        <f>SUM($U$61:$AA$61)</f>
        <v>1.4207519692879138</v>
      </c>
      <c r="AC61" s="31">
        <f>'TUSD BE'!$AC$61*'TUSD BF'!$AC$72</f>
        <v>0</v>
      </c>
      <c r="AD61" s="31">
        <f>SUM($AC$61:$AC$61)</f>
        <v>0</v>
      </c>
      <c r="AE61" s="31">
        <f ca="1">$AO$61*$AO$69</f>
        <v>0</v>
      </c>
      <c r="AF61" s="31">
        <f ca="1">$AP$61*$AP$69</f>
        <v>0</v>
      </c>
      <c r="AG61" s="31">
        <f ca="1">SUM($AE$61:$AF$61)</f>
        <v>0</v>
      </c>
      <c r="AH61" s="31">
        <f>'TUSD BE'!$AH$61*'TUSD BF'!$AH$72</f>
        <v>1.6483300993996521</v>
      </c>
      <c r="AI61" s="31">
        <f>'TUSD BE'!$AI$61*'TUSD BF'!$AI$72</f>
        <v>4.9963534845369299E-2</v>
      </c>
      <c r="AJ61" s="31">
        <f ca="1">'TUSD BE'!$AJ$61*'TUSD BF'!$AJ$72</f>
        <v>0.55820929544327946</v>
      </c>
      <c r="AK61" s="31">
        <f ca="1">'TUSD BE'!$AK$61*'TUSD BF'!$AK$72</f>
        <v>0</v>
      </c>
      <c r="AL61" s="31">
        <f ca="1">SUM($AH$61:$AK$61)</f>
        <v>2.2565029296883008</v>
      </c>
      <c r="AM61" s="31">
        <f ca="1">SUMIF($L$4:$AL$4,"SUBTOTAL",$L$61:$AL$61)</f>
        <v>16.956782428792181</v>
      </c>
      <c r="AO61" s="40">
        <f ca="1">+'TUSD BE'!$T$61+'TUSD BE'!$AB$61+'TUSD BE'!$AD$61+'TUSD BE'!$AL$61</f>
        <v>290.58924772930396</v>
      </c>
      <c r="AP61" s="40">
        <f ca="1">+'TUSD BE'!$T$61+'TUSD BE'!$AB$61+'TUSD BE'!$AD$61+'TUSD BE'!$AL$61</f>
        <v>290.58924772930396</v>
      </c>
    </row>
    <row r="62" spans="1:42" ht="11.25" customHeight="1" x14ac:dyDescent="0.25">
      <c r="A62" s="97"/>
      <c r="B62" s="37" t="s">
        <v>23</v>
      </c>
      <c r="C62" s="37" t="s">
        <v>25</v>
      </c>
      <c r="D62" s="37" t="s">
        <v>25</v>
      </c>
      <c r="E62" s="37" t="s">
        <v>25</v>
      </c>
      <c r="F62" s="37" t="s">
        <v>25</v>
      </c>
      <c r="G62" s="38" t="s">
        <v>108</v>
      </c>
      <c r="H62" s="38" t="s">
        <v>102</v>
      </c>
      <c r="I62" s="38">
        <f>'MERCADO TUSD'!$U$59</f>
        <v>650710.04299999995</v>
      </c>
      <c r="J62" s="15"/>
      <c r="L62" s="31">
        <f>'TUSD BE'!$L$62*'TUSD BF'!$L$72</f>
        <v>0.33498805110260826</v>
      </c>
      <c r="M62" s="31">
        <f>'TUSD BE'!$M$62*'TUSD BF'!$M$72</f>
        <v>0</v>
      </c>
      <c r="N62" s="31">
        <f ca="1">'TUSD BE'!$N$62*'TUSD BF'!$N$72</f>
        <v>0</v>
      </c>
      <c r="O62" s="31">
        <f>'TUSD BE'!$O$62*'TUSD BF'!$O$72</f>
        <v>0</v>
      </c>
      <c r="P62" s="31">
        <f>'TUSD BE'!$P$62*'TUSD BF'!$P$72</f>
        <v>0</v>
      </c>
      <c r="Q62" s="31">
        <f>'TUSD BE'!$Q$62*'TUSD BF'!$Q$72</f>
        <v>9.1783884700193532</v>
      </c>
      <c r="R62" s="31">
        <f>'TUSD BE'!$R$62*'TUSD BF'!$R$72</f>
        <v>3.7661510086940049</v>
      </c>
      <c r="S62" s="31">
        <f>'TUSD BE'!$R$62*'TUSD BF'!$S$72</f>
        <v>0</v>
      </c>
      <c r="T62" s="31">
        <f ca="1">SUM($L$62:$S$62)</f>
        <v>13.279527529815965</v>
      </c>
      <c r="U62" s="31">
        <f>'TUSD BE'!$U$62*'TUSD BF'!$U$72</f>
        <v>1.5946741993830362</v>
      </c>
      <c r="V62" s="31">
        <f>'TUSD BE'!$V$62*'TUSD BF'!$V$72</f>
        <v>0.49467048075241726</v>
      </c>
      <c r="W62" s="31">
        <f>'TUSD BE'!$W$62*'TUSD BF'!$W$72</f>
        <v>0</v>
      </c>
      <c r="X62" s="31">
        <f>'TUSD BE'!$X$62*'TUSD BF'!$X$72</f>
        <v>0</v>
      </c>
      <c r="Y62" s="31">
        <f>'TUSD BE'!$Y$62*'TUSD BF'!$Y$72</f>
        <v>0</v>
      </c>
      <c r="Z62" s="31">
        <f>'TUSD BE'!$Z$62*'TUSD BF'!$Z$72</f>
        <v>0</v>
      </c>
      <c r="AA62" s="31">
        <f>'TUSD BE'!$AA$62*'TUSD BF'!$AA$72</f>
        <v>0</v>
      </c>
      <c r="AB62" s="31">
        <f>SUM($U$62:$AA$62)</f>
        <v>2.0893446801354534</v>
      </c>
      <c r="AC62" s="31">
        <f>'TUSD BE'!$AC$62*'TUSD BF'!$AC$72</f>
        <v>0</v>
      </c>
      <c r="AD62" s="31">
        <f>SUM($AC$62:$AC$62)</f>
        <v>0</v>
      </c>
      <c r="AE62" s="31">
        <f ca="1">$AO$62*$AO$69</f>
        <v>0</v>
      </c>
      <c r="AF62" s="31">
        <f ca="1">$AP$62*$AP$69</f>
        <v>0</v>
      </c>
      <c r="AG62" s="31">
        <f ca="1">SUM($AE$62:$AF$62)</f>
        <v>0</v>
      </c>
      <c r="AH62" s="31">
        <f>'TUSD BE'!$AH$62*'TUSD BF'!$AH$72</f>
        <v>1.6483300993996521</v>
      </c>
      <c r="AI62" s="31">
        <f>'TUSD BE'!$AI$62*'TUSD BF'!$AI$72</f>
        <v>4.9963534845369299E-2</v>
      </c>
      <c r="AJ62" s="31">
        <f ca="1">'TUSD BE'!$AJ$62*'TUSD BF'!$AJ$72</f>
        <v>0.55820929544327946</v>
      </c>
      <c r="AK62" s="31">
        <f ca="1">'TUSD BE'!$AK$62*'TUSD BF'!$AK$72</f>
        <v>0</v>
      </c>
      <c r="AL62" s="31">
        <f ca="1">SUM($AH$62:$AK$62)</f>
        <v>2.2565029296883008</v>
      </c>
      <c r="AM62" s="31">
        <f ca="1">SUMIF($L$4:$AL$4,"SUBTOTAL",$L$62:$AL$62)</f>
        <v>17.625375139639722</v>
      </c>
      <c r="AO62" s="40">
        <f ca="1">+'TUSD BE'!$T$62+'TUSD BE'!$AB$62+'TUSD BE'!$AD$62+'TUSD BE'!$AL$62</f>
        <v>379.0876791035268</v>
      </c>
      <c r="AP62" s="40">
        <f ca="1">+'TUSD BE'!$T$62+'TUSD BE'!$AB$62+'TUSD BE'!$AD$62+'TUSD BE'!$AL$62</f>
        <v>379.0876791035268</v>
      </c>
    </row>
    <row r="63" spans="1:42" ht="11.25" customHeight="1" x14ac:dyDescent="0.25">
      <c r="A63" s="97"/>
      <c r="B63" s="37" t="s">
        <v>115</v>
      </c>
      <c r="C63" s="37" t="s">
        <v>25</v>
      </c>
      <c r="D63" s="37" t="s">
        <v>25</v>
      </c>
      <c r="E63" s="37" t="s">
        <v>25</v>
      </c>
      <c r="F63" s="37" t="s">
        <v>25</v>
      </c>
      <c r="G63" s="38" t="s">
        <v>108</v>
      </c>
      <c r="H63" s="38" t="s">
        <v>102</v>
      </c>
      <c r="I63" s="38">
        <f>'MERCADO TUSD'!$U$60</f>
        <v>0</v>
      </c>
      <c r="J63" s="15"/>
      <c r="L63" s="31">
        <f>'TUSD BE'!$L$63*'TUSD BF'!$L$72</f>
        <v>0.33498805110260826</v>
      </c>
      <c r="M63" s="31">
        <f>'TUSD BE'!$M$63*'TUSD BF'!$M$72</f>
        <v>0</v>
      </c>
      <c r="N63" s="31">
        <f ca="1">'TUSD BE'!$N$63*'TUSD BF'!$N$72</f>
        <v>0</v>
      </c>
      <c r="O63" s="31">
        <f>'TUSD BE'!$O$63*'TUSD BF'!$O$72</f>
        <v>0</v>
      </c>
      <c r="P63" s="31">
        <f>'TUSD BE'!$P$63*'TUSD BF'!$P$72</f>
        <v>0</v>
      </c>
      <c r="Q63" s="31">
        <f>'TUSD BE'!$Q$63*'TUSD BF'!$Q$72</f>
        <v>9.1783884700193532</v>
      </c>
      <c r="R63" s="31">
        <f>'TUSD BE'!$R$63*'TUSD BF'!$R$72</f>
        <v>3.7661510086940049</v>
      </c>
      <c r="S63" s="31">
        <f>'TUSD BE'!$R$63*'TUSD BF'!$S$72</f>
        <v>0</v>
      </c>
      <c r="T63" s="31">
        <f ca="1">SUM($L$63:$S$63)</f>
        <v>13.279527529815965</v>
      </c>
      <c r="U63" s="31">
        <f>'TUSD BE'!$U$63*'TUSD BF'!$U$72</f>
        <v>1.5946741993830362</v>
      </c>
      <c r="V63" s="31">
        <f>'TUSD BE'!$V$63*'TUSD BF'!$V$72</f>
        <v>0.49467048075241726</v>
      </c>
      <c r="W63" s="31">
        <f>'TUSD BE'!$W$63*'TUSD BF'!$W$72</f>
        <v>0</v>
      </c>
      <c r="X63" s="31">
        <f>'TUSD BE'!$X$63*'TUSD BF'!$X$72</f>
        <v>0</v>
      </c>
      <c r="Y63" s="31">
        <f>'TUSD BE'!$Y$63*'TUSD BF'!$Y$72</f>
        <v>0</v>
      </c>
      <c r="Z63" s="31">
        <f>'TUSD BE'!$Z$63*'TUSD BF'!$Z$72</f>
        <v>0</v>
      </c>
      <c r="AA63" s="31">
        <f>'TUSD BE'!$AA$63*'TUSD BF'!$AA$72</f>
        <v>0</v>
      </c>
      <c r="AB63" s="31">
        <f>SUM($U$63:$AA$63)</f>
        <v>2.0893446801354534</v>
      </c>
      <c r="AC63" s="31">
        <f>'TUSD BE'!$AC$63*'TUSD BF'!$AC$72</f>
        <v>0</v>
      </c>
      <c r="AD63" s="31">
        <f>SUM($AC$63:$AC$63)</f>
        <v>0</v>
      </c>
      <c r="AE63" s="31">
        <f ca="1">$AO$63*$AO$69</f>
        <v>0</v>
      </c>
      <c r="AF63" s="31">
        <f ca="1">$AP$63*$AP$69</f>
        <v>0</v>
      </c>
      <c r="AG63" s="31">
        <f ca="1">SUM($AE$63:$AF$63)</f>
        <v>0</v>
      </c>
      <c r="AH63" s="31">
        <f>'TUSD BE'!$AH$63*'TUSD BF'!$AH$72</f>
        <v>1.6483300993996521</v>
      </c>
      <c r="AI63" s="31">
        <f>'TUSD BE'!$AI$63*'TUSD BF'!$AI$72</f>
        <v>4.9963534845369299E-2</v>
      </c>
      <c r="AJ63" s="31">
        <f ca="1">'TUSD BE'!$AJ$63*'TUSD BF'!$AJ$72</f>
        <v>0.55820929544327946</v>
      </c>
      <c r="AK63" s="31">
        <f ca="1">'TUSD BE'!$AK$63*'TUSD BF'!$AK$72</f>
        <v>0</v>
      </c>
      <c r="AL63" s="31">
        <f ca="1">SUM($AH$63:$AK$63)</f>
        <v>2.2565029296883008</v>
      </c>
      <c r="AM63" s="31">
        <f ca="1">SUMIF($L$4:$AL$4,"SUBTOTAL",$L$63:$AL$63)</f>
        <v>17.625375139639722</v>
      </c>
      <c r="AO63" s="40">
        <f ca="1">+'TUSD BE'!$T$63+'TUSD BE'!$AB$63+'TUSD BE'!$AD$63+'TUSD BE'!$AL$63</f>
        <v>379.0876791035268</v>
      </c>
      <c r="AP63" s="40">
        <f ca="1">+'TUSD BE'!$T$63+'TUSD BE'!$AB$63+'TUSD BE'!$AD$63+'TUSD BE'!$AL$63</f>
        <v>379.0876791035268</v>
      </c>
    </row>
    <row r="64" spans="1:42" ht="11.25" customHeight="1" x14ac:dyDescent="0.25">
      <c r="A64" s="97" t="s">
        <v>47</v>
      </c>
      <c r="B64" s="97" t="s">
        <v>23</v>
      </c>
      <c r="C64" s="97" t="s">
        <v>48</v>
      </c>
      <c r="D64" s="37" t="s">
        <v>49</v>
      </c>
      <c r="E64" s="37" t="s">
        <v>25</v>
      </c>
      <c r="F64" s="37" t="s">
        <v>25</v>
      </c>
      <c r="G64" s="38" t="s">
        <v>108</v>
      </c>
      <c r="H64" s="38" t="s">
        <v>102</v>
      </c>
      <c r="I64" s="38">
        <f>'MERCADO TUSD'!$U$61</f>
        <v>252172.81799999997</v>
      </c>
      <c r="J64" s="15"/>
      <c r="L64" s="31">
        <f>'TUSD BE'!$L$64*'TUSD BF'!$L$72</f>
        <v>0.18424342810643457</v>
      </c>
      <c r="M64" s="31">
        <f>'TUSD BE'!$M$64*'TUSD BF'!$M$72</f>
        <v>0</v>
      </c>
      <c r="N64" s="31">
        <f ca="1">'TUSD BE'!$N$64*'TUSD BF'!$N$72</f>
        <v>0</v>
      </c>
      <c r="O64" s="31">
        <f>'TUSD BE'!$O$64*'TUSD BF'!$O$72</f>
        <v>0</v>
      </c>
      <c r="P64" s="31">
        <f>'TUSD BE'!$P$64*'TUSD BF'!$P$72</f>
        <v>0</v>
      </c>
      <c r="Q64" s="31">
        <f>'TUSD BE'!$Q$64*'TUSD BF'!$Q$72</f>
        <v>5.0481136585106441</v>
      </c>
      <c r="R64" s="31">
        <f>'TUSD BE'!$R$64*'TUSD BF'!$R$72</f>
        <v>2.0713830547817027</v>
      </c>
      <c r="S64" s="31">
        <f>'TUSD BE'!$R$64*'TUSD BF'!$S$72</f>
        <v>0</v>
      </c>
      <c r="T64" s="31">
        <f ca="1">SUM($L$64:$S$64)</f>
        <v>7.303740141398781</v>
      </c>
      <c r="U64" s="31">
        <f>'TUSD BE'!$U$64*'TUSD BF'!$U$72</f>
        <v>0.87707080966066997</v>
      </c>
      <c r="V64" s="31">
        <f>'TUSD BE'!$V$64*'TUSD BF'!$V$72</f>
        <v>0.27206876441382954</v>
      </c>
      <c r="W64" s="31">
        <f>'TUSD BE'!$W$64*'TUSD BF'!$W$72</f>
        <v>0</v>
      </c>
      <c r="X64" s="31">
        <f>'TUSD BE'!$X$64*'TUSD BF'!$X$72</f>
        <v>0</v>
      </c>
      <c r="Y64" s="31">
        <f>'TUSD BE'!$Y$64*'TUSD BF'!$Y$72</f>
        <v>0</v>
      </c>
      <c r="Z64" s="31">
        <f>'TUSD BE'!$Z$64*'TUSD BF'!$Z$72</f>
        <v>0</v>
      </c>
      <c r="AA64" s="31">
        <f>'TUSD BE'!$AA$64*'TUSD BF'!$AA$72</f>
        <v>0</v>
      </c>
      <c r="AB64" s="31">
        <f>SUM($U$64:$AA$64)</f>
        <v>1.1491395740744994</v>
      </c>
      <c r="AC64" s="31">
        <f>'TUSD BE'!$AC$64*'TUSD BF'!$AC$72</f>
        <v>0</v>
      </c>
      <c r="AD64" s="31">
        <f>SUM($AC$64:$AC$64)</f>
        <v>0</v>
      </c>
      <c r="AE64" s="31">
        <f ca="1">$AO$64*$AO$69</f>
        <v>0</v>
      </c>
      <c r="AF64" s="31">
        <f ca="1">$AP$64*$AP$69</f>
        <v>0</v>
      </c>
      <c r="AG64" s="31">
        <f ca="1">SUM($AE$64:$AF$64)</f>
        <v>0</v>
      </c>
      <c r="AH64" s="31">
        <f>'TUSD BE'!$AH$64*'TUSD BF'!$AH$72</f>
        <v>0.90658155466980872</v>
      </c>
      <c r="AI64" s="31">
        <f>'TUSD BE'!$AI$64*'TUSD BF'!$AI$72</f>
        <v>2.747994416495312E-2</v>
      </c>
      <c r="AJ64" s="31">
        <f ca="1">'TUSD BE'!$AJ$64*'TUSD BF'!$AJ$72</f>
        <v>0.3070151124938037</v>
      </c>
      <c r="AK64" s="31">
        <f ca="1">'TUSD BE'!$AK$64*'TUSD BF'!$AK$72</f>
        <v>0</v>
      </c>
      <c r="AL64" s="31">
        <f ca="1">SUM($AH$64:$AK$64)</f>
        <v>1.2410766113285656</v>
      </c>
      <c r="AM64" s="31">
        <f ca="1">SUMIF($L$4:$AL$4,"SUBTOTAL",$L$64:$AL$64)</f>
        <v>9.693956326801846</v>
      </c>
      <c r="AO64" s="40">
        <f ca="1">+'TUSD BE'!$T$64+'TUSD BE'!$AB$64+'TUSD BE'!$AD$64+'TUSD BE'!$AL$64</f>
        <v>208.49822350693975</v>
      </c>
      <c r="AP64" s="40">
        <f ca="1">+'TUSD BE'!$T$64+'TUSD BE'!$AB$64+'TUSD BE'!$AD$64+'TUSD BE'!$AL$64</f>
        <v>208.49822350693975</v>
      </c>
    </row>
    <row r="65" spans="1:42" ht="11.25" customHeight="1" x14ac:dyDescent="0.25">
      <c r="A65" s="97"/>
      <c r="B65" s="97"/>
      <c r="C65" s="97"/>
      <c r="D65" s="38" t="s">
        <v>118</v>
      </c>
      <c r="E65" s="38" t="s">
        <v>25</v>
      </c>
      <c r="F65" s="38" t="s">
        <v>25</v>
      </c>
      <c r="G65" s="38" t="s">
        <v>108</v>
      </c>
      <c r="H65" s="38" t="s">
        <v>102</v>
      </c>
      <c r="I65" s="38">
        <f>'MERCADO TUSD'!$U$62</f>
        <v>0</v>
      </c>
      <c r="J65" s="15"/>
      <c r="L65" s="31">
        <f>'TUSD BE'!$L$65*'TUSD BF'!$L$72</f>
        <v>0.20099283066156493</v>
      </c>
      <c r="M65" s="31">
        <f>'TUSD BE'!$M$65*'TUSD BF'!$M$72</f>
        <v>0</v>
      </c>
      <c r="N65" s="31">
        <f ca="1">'TUSD BE'!$N$65*'TUSD BF'!$N$72</f>
        <v>0</v>
      </c>
      <c r="O65" s="31">
        <f>'TUSD BE'!$O$65*'TUSD BF'!$O$72</f>
        <v>0</v>
      </c>
      <c r="P65" s="31">
        <f>'TUSD BE'!$P$65*'TUSD BF'!$P$72</f>
        <v>0</v>
      </c>
      <c r="Q65" s="31">
        <f>'TUSD BE'!$Q$65*'TUSD BF'!$Q$72</f>
        <v>5.5070330820116116</v>
      </c>
      <c r="R65" s="31">
        <f>'TUSD BE'!$R$65*'TUSD BF'!$R$72</f>
        <v>2.2596906052164027</v>
      </c>
      <c r="S65" s="31">
        <f>'TUSD BE'!$R$65*'TUSD BF'!$S$72</f>
        <v>0</v>
      </c>
      <c r="T65" s="31">
        <f ca="1">SUM($L$65:$S$65)</f>
        <v>7.9677165178895795</v>
      </c>
      <c r="U65" s="31">
        <f>'TUSD BE'!$U$65*'TUSD BF'!$U$72</f>
        <v>0.9568045196298216</v>
      </c>
      <c r="V65" s="31">
        <f>'TUSD BE'!$V$65*'TUSD BF'!$V$72</f>
        <v>0.29680228845145035</v>
      </c>
      <c r="W65" s="31">
        <f>'TUSD BE'!$W$65*'TUSD BF'!$W$72</f>
        <v>0</v>
      </c>
      <c r="X65" s="31">
        <f>'TUSD BE'!$X$65*'TUSD BF'!$X$72</f>
        <v>0</v>
      </c>
      <c r="Y65" s="31">
        <f>'TUSD BE'!$Y$65*'TUSD BF'!$Y$72</f>
        <v>0</v>
      </c>
      <c r="Z65" s="31">
        <f>'TUSD BE'!$Z$65*'TUSD BF'!$Z$72</f>
        <v>0</v>
      </c>
      <c r="AA65" s="31">
        <f>'TUSD BE'!$AA$65*'TUSD BF'!$AA$72</f>
        <v>0</v>
      </c>
      <c r="AB65" s="31">
        <f>SUM($U$65:$AA$65)</f>
        <v>1.2536068080812719</v>
      </c>
      <c r="AC65" s="31">
        <f>'TUSD BE'!$AC$65*'TUSD BF'!$AC$72</f>
        <v>0</v>
      </c>
      <c r="AD65" s="31">
        <f>SUM($AC$65:$AC$65)</f>
        <v>0</v>
      </c>
      <c r="AE65" s="31">
        <f ca="1">$AO$65*$AO$69</f>
        <v>0</v>
      </c>
      <c r="AF65" s="31">
        <f ca="1">$AP$65*$AP$69</f>
        <v>0</v>
      </c>
      <c r="AG65" s="31">
        <f ca="1">SUM($AE$65:$AF$65)</f>
        <v>0</v>
      </c>
      <c r="AH65" s="31">
        <f>'TUSD BE'!$AH$65*'TUSD BF'!$AH$72</f>
        <v>0.98899805963979126</v>
      </c>
      <c r="AI65" s="31">
        <f>'TUSD BE'!$AI$65*'TUSD BF'!$AI$72</f>
        <v>2.997812090722158E-2</v>
      </c>
      <c r="AJ65" s="31">
        <f ca="1">'TUSD BE'!$AJ$65*'TUSD BF'!$AJ$72</f>
        <v>0.33492557726596761</v>
      </c>
      <c r="AK65" s="31">
        <f ca="1">'TUSD BE'!$AK$65*'TUSD BF'!$AK$72</f>
        <v>0</v>
      </c>
      <c r="AL65" s="31">
        <f ca="1">SUM($AH$65:$AK$65)</f>
        <v>1.3539017578129804</v>
      </c>
      <c r="AM65" s="31">
        <f ca="1">SUMIF($L$4:$AL$4,"SUBTOTAL",$L$65:$AL$65)</f>
        <v>10.575225083783833</v>
      </c>
      <c r="AO65" s="40">
        <f ca="1">+'TUSD BE'!$T$65+'TUSD BE'!$AB$65+'TUSD BE'!$AD$65+'TUSD BE'!$AL$65</f>
        <v>227.45260746211605</v>
      </c>
      <c r="AP65" s="40">
        <f ca="1">+'TUSD BE'!$T$65+'TUSD BE'!$AB$65+'TUSD BE'!$AD$65+'TUSD BE'!$AL$65</f>
        <v>227.45260746211605</v>
      </c>
    </row>
    <row r="67" spans="1:42" ht="11.25" customHeight="1" x14ac:dyDescent="0.25">
      <c r="K67" s="34" t="s">
        <v>933</v>
      </c>
      <c r="L67" s="31">
        <f>SUMPRODUCT($I$5:$I65,$L$5:$L65)</f>
        <v>1183799.6534256102</v>
      </c>
      <c r="M67" s="31">
        <f>SUMPRODUCT($I$5:$I65,$M$5:$M65)</f>
        <v>0</v>
      </c>
      <c r="N67" s="31">
        <f ca="1">SUMPRODUCT($I$5:$I65,$N$5:$N65)</f>
        <v>0</v>
      </c>
      <c r="O67" s="31">
        <f>SUMPRODUCT($I$5:$I65,$O$5:$O65)</f>
        <v>0</v>
      </c>
      <c r="P67" s="31">
        <f>SUMPRODUCT($I$5:$I65,$P$5:$P65)</f>
        <v>0</v>
      </c>
      <c r="Q67" s="31">
        <f>SUMPRODUCT($I$5:$I65,$Q$5:$Q65)</f>
        <v>32435106.428576514</v>
      </c>
      <c r="R67" s="31">
        <f>SUMPRODUCT($I$5:$I65,$R$5:$R65)</f>
        <v>14727666.253347438</v>
      </c>
      <c r="S67" s="31">
        <f>SUMPRODUCT($I$5:$I65,$S$5:$S65)</f>
        <v>0</v>
      </c>
      <c r="T67" s="31">
        <f ca="1">SUMPRODUCT($I$5:$I65,$T$5:$T65)</f>
        <v>48346572.335349552</v>
      </c>
      <c r="U67" s="31">
        <f>SUMPRODUCT($I$5:$I65,$U$5:$U65)</f>
        <v>7398562.647751065</v>
      </c>
      <c r="V67" s="31">
        <f>SUMPRODUCT($I$5:$I65,$V$5:$V65)</f>
        <v>2295635.1586599601</v>
      </c>
      <c r="W67" s="31">
        <f>SUMPRODUCT($I$5:$I65,$W$5:$W65)</f>
        <v>0</v>
      </c>
      <c r="X67" s="31">
        <f>SUMPRODUCT($I$5:$I65,$X$5:$X65)</f>
        <v>0</v>
      </c>
      <c r="Y67" s="31">
        <f>SUMPRODUCT($I$5:$I65,$Y$5:$Y65)</f>
        <v>0</v>
      </c>
      <c r="Z67" s="31">
        <f>SUMPRODUCT($I$5:$I65,$Z$5:$Z65)</f>
        <v>0</v>
      </c>
      <c r="AA67" s="31">
        <f>SUMPRODUCT($I$5:$I65,$AA$5:$AA65)</f>
        <v>0</v>
      </c>
      <c r="AB67" s="31">
        <f>SUMPRODUCT($I$5:$I65,$AB$5:$AB65)</f>
        <v>9694197.8064110242</v>
      </c>
      <c r="AC67" s="31">
        <f>SUMPRODUCT($I$5:$I65,$AC$5:$AC65)</f>
        <v>0</v>
      </c>
      <c r="AD67" s="31">
        <f>SUMPRODUCT($I$5:$I65,$AD$5:$AD65)</f>
        <v>0</v>
      </c>
      <c r="AE67" s="31">
        <f ca="1">SUMPRODUCT($I$5:$I65,$AE$5:$AE65)</f>
        <v>0</v>
      </c>
      <c r="AF67" s="31">
        <f ca="1">SUMPRODUCT($I$5:$I65,$AF$5:$AF65)</f>
        <v>0</v>
      </c>
      <c r="AG67" s="31">
        <f ca="1">SUMPRODUCT($I$5:$I65,$AG$5:$AG65)</f>
        <v>0</v>
      </c>
      <c r="AH67" s="31">
        <f>SUMPRODUCT($I$5:$I65,$AH$5:$AH65)</f>
        <v>6078889.782231749</v>
      </c>
      <c r="AI67" s="31">
        <f>SUMPRODUCT($I$5:$I65,$AI$5:$AI65)</f>
        <v>217174.61224278068</v>
      </c>
      <c r="AJ67" s="31">
        <f ca="1">SUMPRODUCT($I$5:$I65,$AJ$5:$AJ65)</f>
        <v>2203498.9111833819</v>
      </c>
      <c r="AK67" s="31">
        <f ca="1">SUMPRODUCT($I$5:$I65,$AK$5:$AK65)</f>
        <v>0</v>
      </c>
      <c r="AL67" s="31">
        <f ca="1">SUMPRODUCT($I$5:$I65,$AL$5:$AL65)</f>
        <v>8499563.3056579102</v>
      </c>
      <c r="AM67" s="31">
        <f ca="1">SUMPRODUCT($I$5:$I65,$AM$5:$AM65)</f>
        <v>66540333.447418489</v>
      </c>
      <c r="AO67" s="38">
        <f ca="1">SUMPRODUCT($I$5:$I65,$AO$5:$AO65)</f>
        <v>1480770048.6825812</v>
      </c>
      <c r="AP67" s="38">
        <f ca="1">SUMPRODUCT($I$5:$I65,$AP$5:$AP65)</f>
        <v>1499685046.070719</v>
      </c>
    </row>
    <row r="68" spans="1:42" ht="11.25" customHeight="1" x14ac:dyDescent="0.25">
      <c r="K68" s="34" t="s">
        <v>876</v>
      </c>
      <c r="L68" s="31">
        <f>'TR TUSD'!$L$70</f>
        <v>14228608.829814913</v>
      </c>
      <c r="M68" s="31">
        <f>'TR TUSD'!$M$70</f>
        <v>3354704.9346611435</v>
      </c>
      <c r="N68" s="31">
        <f>'TR TUSD'!$N$70</f>
        <v>12061233.936620025</v>
      </c>
      <c r="O68" s="31">
        <f>'TR TUSD'!$O$70</f>
        <v>103880.89285714286</v>
      </c>
      <c r="P68" s="31">
        <f>'TR TUSD'!$P$70</f>
        <v>0</v>
      </c>
      <c r="Q68" s="31">
        <f>'TR TUSD'!$Q$70</f>
        <v>134931229.09243637</v>
      </c>
      <c r="R68" s="31">
        <f>'TR TUSD'!$R$70</f>
        <v>56366862.730122909</v>
      </c>
      <c r="S68" s="31">
        <f>'TR TUSD'!$S$70</f>
        <v>0</v>
      </c>
      <c r="T68" s="31">
        <f>'TR TUSD'!$T$70</f>
        <v>221046520.41651249</v>
      </c>
      <c r="U68" s="31">
        <f>'TR TUSD'!$U$70</f>
        <v>151911378.442</v>
      </c>
      <c r="V68" s="31">
        <f>'TR TUSD'!$V$70</f>
        <v>47135250.177000001</v>
      </c>
      <c r="W68" s="31">
        <f>'TR TUSD'!$W$70</f>
        <v>8156972.5290007796</v>
      </c>
      <c r="X68" s="31">
        <f>'TR TUSD'!$X$70</f>
        <v>440091.12</v>
      </c>
      <c r="Y68" s="31">
        <f>'TR TUSD'!$Y$70</f>
        <v>11815920.792903904</v>
      </c>
      <c r="Z68" s="31">
        <f>'TR TUSD'!$Z$70</f>
        <v>0</v>
      </c>
      <c r="AA68" s="31">
        <f>'TR TUSD'!$AA$70</f>
        <v>0</v>
      </c>
      <c r="AB68" s="31">
        <f>'TR TUSD'!$AB$70</f>
        <v>219459613.06090471</v>
      </c>
      <c r="AC68" s="31">
        <f>'TR TUSD'!$AC$70</f>
        <v>892880835.41836596</v>
      </c>
      <c r="AD68" s="31">
        <f>'TR TUSD'!$AD$70</f>
        <v>892880835.41836596</v>
      </c>
      <c r="AE68" s="31">
        <f>'TR TUSD'!$AE$70</f>
        <v>0</v>
      </c>
      <c r="AF68" s="31">
        <f>'TR TUSD'!$AF$70</f>
        <v>0</v>
      </c>
      <c r="AG68" s="31">
        <f>'TR TUSD'!$AG$70</f>
        <v>0</v>
      </c>
      <c r="AH68" s="31">
        <f>'TR TUSD'!$AH$70</f>
        <v>118936426.00091825</v>
      </c>
      <c r="AI68" s="31">
        <f>'TR TUSD'!$AI$70</f>
        <v>4249126.5878501628</v>
      </c>
      <c r="AJ68" s="31">
        <f>'TR TUSD'!$AJ$70</f>
        <v>43112524.586167142</v>
      </c>
      <c r="AK68" s="31">
        <f>'TR TUSD'!$AK$70</f>
        <v>0</v>
      </c>
      <c r="AL68" s="31">
        <f>'TR TUSD'!$AL$70</f>
        <v>166298077.17493558</v>
      </c>
      <c r="AM68" s="31">
        <f>CUSTOS!$D$29</f>
        <v>1499685046.0707188</v>
      </c>
      <c r="AO68" s="38">
        <f>$AE$70</f>
        <v>0</v>
      </c>
      <c r="AP68" s="38">
        <f>$AF$70</f>
        <v>0</v>
      </c>
    </row>
    <row r="69" spans="1:42" ht="11.25" customHeight="1" x14ac:dyDescent="0.25">
      <c r="K69" s="34" t="s">
        <v>877</v>
      </c>
      <c r="L69" s="31">
        <f>CUSTOS!$E$2</f>
        <v>-354639.46393461735</v>
      </c>
      <c r="M69" s="31">
        <f>CUSTOS!$E$3</f>
        <v>-70760.489781174329</v>
      </c>
      <c r="N69" s="31">
        <f>CUSTOS!$E$4</f>
        <v>0</v>
      </c>
      <c r="O69" s="31">
        <f>CUSTOS!$E$5</f>
        <v>-2504.5058717452998</v>
      </c>
      <c r="P69" s="31">
        <f>CUSTOS!$E$6</f>
        <v>0</v>
      </c>
      <c r="Q69" s="31">
        <f>CUSTOS!$E$7</f>
        <v>-567230.78606959688</v>
      </c>
      <c r="R69" s="31">
        <f>CUSTOS!$E$8</f>
        <v>-502190.41248689161</v>
      </c>
      <c r="S69" s="31">
        <f>CUSTOS!$E$9</f>
        <v>0</v>
      </c>
      <c r="T69" s="31">
        <f>CUSTOS!$E$10</f>
        <v>-1497325.6581440256</v>
      </c>
      <c r="U69" s="31">
        <f>CUSTOS!$E$11</f>
        <v>834158.35808967892</v>
      </c>
      <c r="V69" s="31">
        <f>CUSTOS!$E$12</f>
        <v>0</v>
      </c>
      <c r="W69" s="31">
        <f>CUSTOS!$E$13</f>
        <v>0</v>
      </c>
      <c r="X69" s="31">
        <f>CUSTOS!$E$14</f>
        <v>0</v>
      </c>
      <c r="Y69" s="31">
        <f>CUSTOS!$E$15</f>
        <v>-544707.03299491131</v>
      </c>
      <c r="Z69" s="31">
        <f>CUSTOS!$E$16</f>
        <v>0</v>
      </c>
      <c r="AA69" s="31">
        <f>CUSTOS!$E$17</f>
        <v>0</v>
      </c>
      <c r="AB69" s="31">
        <f>CUSTOS!$E$18</f>
        <v>289451.32509476761</v>
      </c>
      <c r="AC69" s="31">
        <f>CUSTOS!$E$19</f>
        <v>0</v>
      </c>
      <c r="AD69" s="31">
        <f>CUSTOS!$E$20</f>
        <v>0</v>
      </c>
      <c r="AE69" s="31">
        <f>CUSTOS!$E$21</f>
        <v>-135294318.49511474</v>
      </c>
      <c r="AF69" s="31">
        <f>CUSTOS!$E$22</f>
        <v>0</v>
      </c>
      <c r="AG69" s="31">
        <f>CUSTOS!$E$23</f>
        <v>-135294318.49511474</v>
      </c>
      <c r="AH69" s="31">
        <f>CUSTOS!$E$24</f>
        <v>-13853613.397409128</v>
      </c>
      <c r="AI69" s="31">
        <f>CUSTOS!$E$25</f>
        <v>-494934.638646985</v>
      </c>
      <c r="AJ69" s="31">
        <f>CUSTOS!$E$26</f>
        <v>-5021710.0705417553</v>
      </c>
      <c r="AK69" s="31">
        <f>CUSTOS!$E$27</f>
        <v>0</v>
      </c>
      <c r="AL69" s="31">
        <f>CUSTOS!$E$28</f>
        <v>-19370258.106597867</v>
      </c>
      <c r="AM69" s="31">
        <f>CUSTOS!$E$29</f>
        <v>-155872450.93476188</v>
      </c>
      <c r="AO69" s="38">
        <f ca="1">IF(AO67&lt;&gt;0,AO68/AO67,0)</f>
        <v>0</v>
      </c>
      <c r="AP69" s="38">
        <f ca="1">IF(AP67&lt;&gt;0,AP68/AP67,0)</f>
        <v>0</v>
      </c>
    </row>
    <row r="70" spans="1:42" ht="11.25" customHeight="1" x14ac:dyDescent="0.25">
      <c r="K70" s="34" t="s">
        <v>878</v>
      </c>
      <c r="L70" s="31">
        <f>CUSTOS!$F$2</f>
        <v>1183799.6534256104</v>
      </c>
      <c r="M70" s="31">
        <f>CUSTOS!$F$3</f>
        <v>0</v>
      </c>
      <c r="N70" s="31">
        <f>CUSTOS!$F$4</f>
        <v>0</v>
      </c>
      <c r="O70" s="31">
        <f>CUSTOS!$F$5</f>
        <v>0</v>
      </c>
      <c r="P70" s="31">
        <f>CUSTOS!$F$6</f>
        <v>0</v>
      </c>
      <c r="Q70" s="31">
        <f>CUSTOS!$F$7</f>
        <v>32435106.428576518</v>
      </c>
      <c r="R70" s="31">
        <f>CUSTOS!$F$8</f>
        <v>14727666.253347442</v>
      </c>
      <c r="S70" s="31">
        <f>CUSTOS!$F$9</f>
        <v>0</v>
      </c>
      <c r="T70" s="31">
        <f>CUSTOS!$F$10</f>
        <v>48346572.335349567</v>
      </c>
      <c r="U70" s="31">
        <f>CUSTOS!$F$11</f>
        <v>7398562.6477510631</v>
      </c>
      <c r="V70" s="31">
        <f>CUSTOS!$F$12</f>
        <v>2295635.1586599601</v>
      </c>
      <c r="W70" s="31">
        <f>CUSTOS!$F$13</f>
        <v>0</v>
      </c>
      <c r="X70" s="31">
        <f>CUSTOS!$F$14</f>
        <v>0</v>
      </c>
      <c r="Y70" s="31">
        <f>CUSTOS!$F$15</f>
        <v>0</v>
      </c>
      <c r="Z70" s="31">
        <f>CUSTOS!$F$16</f>
        <v>0</v>
      </c>
      <c r="AA70" s="31">
        <f>CUSTOS!$F$17</f>
        <v>0</v>
      </c>
      <c r="AB70" s="31">
        <f>CUSTOS!$F$18</f>
        <v>9694197.8064110242</v>
      </c>
      <c r="AC70" s="31">
        <f>CUSTOS!$F$19</f>
        <v>0</v>
      </c>
      <c r="AD70" s="31">
        <f>CUSTOS!$F$20</f>
        <v>0</v>
      </c>
      <c r="AE70" s="31">
        <f>CUSTOS!$F$21</f>
        <v>0</v>
      </c>
      <c r="AF70" s="31">
        <f>CUSTOS!$F$22</f>
        <v>0</v>
      </c>
      <c r="AG70" s="31">
        <f>CUSTOS!$F$23</f>
        <v>0</v>
      </c>
      <c r="AH70" s="31">
        <f>CUSTOS!$F$24</f>
        <v>6078889.7822317462</v>
      </c>
      <c r="AI70" s="31">
        <f>CUSTOS!$F$25</f>
        <v>217174.61224278065</v>
      </c>
      <c r="AJ70" s="31">
        <f>CUSTOS!$F$26</f>
        <v>2203498.9111833824</v>
      </c>
      <c r="AK70" s="31">
        <f>CUSTOS!$F$27</f>
        <v>0</v>
      </c>
      <c r="AL70" s="31">
        <f>CUSTOS!$F$28</f>
        <v>8499563.3056579083</v>
      </c>
      <c r="AM70" s="31">
        <f>CUSTOS!$F$29</f>
        <v>66540333.447418496</v>
      </c>
    </row>
    <row r="71" spans="1:42" ht="11.25" customHeight="1" x14ac:dyDescent="0.25">
      <c r="K71" s="34" t="s">
        <v>930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/>
      <c r="U71" s="31">
        <v>0</v>
      </c>
      <c r="V71" s="31">
        <v>0</v>
      </c>
      <c r="W71" s="31">
        <v>0</v>
      </c>
      <c r="X71" s="31">
        <v>0</v>
      </c>
      <c r="Y71" s="31">
        <v>0</v>
      </c>
      <c r="Z71" s="31">
        <v>0</v>
      </c>
      <c r="AA71" s="31">
        <v>0</v>
      </c>
      <c r="AB71" s="31"/>
      <c r="AC71" s="31">
        <v>0</v>
      </c>
      <c r="AD71" s="31"/>
      <c r="AE71" s="31">
        <v>0</v>
      </c>
      <c r="AF71" s="31">
        <v>0</v>
      </c>
      <c r="AG71" s="31"/>
      <c r="AH71" s="31">
        <v>0</v>
      </c>
      <c r="AI71" s="31">
        <v>0</v>
      </c>
      <c r="AJ71" s="31">
        <v>0</v>
      </c>
      <c r="AK71" s="31">
        <v>0</v>
      </c>
      <c r="AL71" s="31"/>
      <c r="AM71" s="31"/>
    </row>
  </sheetData>
  <mergeCells count="90">
    <mergeCell ref="E59:E61"/>
    <mergeCell ref="F59:F61"/>
    <mergeCell ref="A64:A65"/>
    <mergeCell ref="B64:B65"/>
    <mergeCell ref="C64:C65"/>
    <mergeCell ref="D59:D61"/>
    <mergeCell ref="B56:B58"/>
    <mergeCell ref="C56:C58"/>
    <mergeCell ref="A59:A63"/>
    <mergeCell ref="B59:B61"/>
    <mergeCell ref="C59:C61"/>
    <mergeCell ref="A44:A58"/>
    <mergeCell ref="B44:B46"/>
    <mergeCell ref="C44:C46"/>
    <mergeCell ref="B52:B54"/>
    <mergeCell ref="C52:C54"/>
    <mergeCell ref="B48:B50"/>
    <mergeCell ref="C48:C50"/>
    <mergeCell ref="D52:D54"/>
    <mergeCell ref="E52:E54"/>
    <mergeCell ref="F52:F54"/>
    <mergeCell ref="D44:D46"/>
    <mergeCell ref="E44:E46"/>
    <mergeCell ref="F44:F46"/>
    <mergeCell ref="D48:D50"/>
    <mergeCell ref="E48:E50"/>
    <mergeCell ref="F48:F50"/>
    <mergeCell ref="F31:F33"/>
    <mergeCell ref="B34:B38"/>
    <mergeCell ref="C34:C38"/>
    <mergeCell ref="B39:B43"/>
    <mergeCell ref="C39:C43"/>
    <mergeCell ref="A31:A43"/>
    <mergeCell ref="B31:B33"/>
    <mergeCell ref="C31:C33"/>
    <mergeCell ref="D31:D33"/>
    <mergeCell ref="E31:E33"/>
    <mergeCell ref="F24:F26"/>
    <mergeCell ref="E27:E28"/>
    <mergeCell ref="F27:F28"/>
    <mergeCell ref="A29:A30"/>
    <mergeCell ref="B29:B30"/>
    <mergeCell ref="C29:C30"/>
    <mergeCell ref="D29:D30"/>
    <mergeCell ref="A13:A28"/>
    <mergeCell ref="B24:B28"/>
    <mergeCell ref="C24:C28"/>
    <mergeCell ref="D24:D28"/>
    <mergeCell ref="E24:E26"/>
    <mergeCell ref="F13:F15"/>
    <mergeCell ref="B17:B22"/>
    <mergeCell ref="C17:C22"/>
    <mergeCell ref="D17:D22"/>
    <mergeCell ref="E17:E22"/>
    <mergeCell ref="F17:F19"/>
    <mergeCell ref="F20:F22"/>
    <mergeCell ref="B13:B16"/>
    <mergeCell ref="C13:C16"/>
    <mergeCell ref="D13:D16"/>
    <mergeCell ref="E13:E15"/>
    <mergeCell ref="A1:A4"/>
    <mergeCell ref="C9:C11"/>
    <mergeCell ref="D9:D11"/>
    <mergeCell ref="E9:E11"/>
    <mergeCell ref="F9:F11"/>
    <mergeCell ref="F5:F7"/>
    <mergeCell ref="B9:B11"/>
    <mergeCell ref="A5:A12"/>
    <mergeCell ref="B5:B8"/>
    <mergeCell ref="C5:C8"/>
    <mergeCell ref="D5:D8"/>
    <mergeCell ref="E5:E7"/>
    <mergeCell ref="B1:B4"/>
    <mergeCell ref="C1:C4"/>
    <mergeCell ref="D1:D4"/>
    <mergeCell ref="E1:E4"/>
    <mergeCell ref="AP1:AP4"/>
    <mergeCell ref="L2:AM2"/>
    <mergeCell ref="L3:T3"/>
    <mergeCell ref="U3:AB3"/>
    <mergeCell ref="AC3:AD3"/>
    <mergeCell ref="AE3:AG3"/>
    <mergeCell ref="AH3:AL3"/>
    <mergeCell ref="AM3:AM4"/>
    <mergeCell ref="F1:F4"/>
    <mergeCell ref="J1:J4"/>
    <mergeCell ref="L1:AM1"/>
    <mergeCell ref="G1:G4"/>
    <mergeCell ref="H1:H4"/>
    <mergeCell ref="I1:I4"/>
  </mergeCells>
  <conditionalFormatting sqref="L67">
    <cfRule type="cellIs" dxfId="1524" priority="55" operator="notEqual">
      <formula>$L$70</formula>
    </cfRule>
    <cfRule type="cellIs" dxfId="1523" priority="56" operator="equal">
      <formula>$L$70</formula>
    </cfRule>
  </conditionalFormatting>
  <conditionalFormatting sqref="M67">
    <cfRule type="cellIs" dxfId="1522" priority="53" operator="notEqual">
      <formula>$M$70</formula>
    </cfRule>
    <cfRule type="cellIs" dxfId="1521" priority="54" operator="equal">
      <formula>$M$70</formula>
    </cfRule>
  </conditionalFormatting>
  <conditionalFormatting sqref="N67">
    <cfRule type="cellIs" dxfId="1520" priority="51" operator="notEqual">
      <formula>$N$70</formula>
    </cfRule>
    <cfRule type="cellIs" dxfId="1519" priority="52" operator="equal">
      <formula>$N$70</formula>
    </cfRule>
  </conditionalFormatting>
  <conditionalFormatting sqref="O67">
    <cfRule type="cellIs" dxfId="1518" priority="49" operator="notEqual">
      <formula>$O$70</formula>
    </cfRule>
    <cfRule type="cellIs" dxfId="1517" priority="50" operator="equal">
      <formula>$O$70</formula>
    </cfRule>
  </conditionalFormatting>
  <conditionalFormatting sqref="P67">
    <cfRule type="cellIs" dxfId="1516" priority="47" operator="notEqual">
      <formula>$P$70</formula>
    </cfRule>
    <cfRule type="cellIs" dxfId="1515" priority="48" operator="equal">
      <formula>$P$70</formula>
    </cfRule>
  </conditionalFormatting>
  <conditionalFormatting sqref="Q67">
    <cfRule type="cellIs" dxfId="1514" priority="45" operator="notEqual">
      <formula>$Q$70</formula>
    </cfRule>
    <cfRule type="cellIs" dxfId="1513" priority="46" operator="equal">
      <formula>$Q$70</formula>
    </cfRule>
  </conditionalFormatting>
  <conditionalFormatting sqref="R67">
    <cfRule type="cellIs" dxfId="1512" priority="43" operator="notEqual">
      <formula>$R$70</formula>
    </cfRule>
    <cfRule type="cellIs" dxfId="1511" priority="44" operator="equal">
      <formula>$R$70</formula>
    </cfRule>
  </conditionalFormatting>
  <conditionalFormatting sqref="S67">
    <cfRule type="cellIs" dxfId="1510" priority="41" operator="notEqual">
      <formula>$S$70</formula>
    </cfRule>
    <cfRule type="cellIs" dxfId="1509" priority="42" operator="equal">
      <formula>$S$70</formula>
    </cfRule>
  </conditionalFormatting>
  <conditionalFormatting sqref="T67">
    <cfRule type="cellIs" dxfId="1508" priority="39" operator="notEqual">
      <formula>$T$70</formula>
    </cfRule>
    <cfRule type="cellIs" dxfId="1507" priority="40" operator="equal">
      <formula>$T$70</formula>
    </cfRule>
  </conditionalFormatting>
  <conditionalFormatting sqref="U67">
    <cfRule type="cellIs" dxfId="1506" priority="37" operator="notEqual">
      <formula>$U$70</formula>
    </cfRule>
    <cfRule type="cellIs" dxfId="1505" priority="38" operator="equal">
      <formula>$U$70</formula>
    </cfRule>
  </conditionalFormatting>
  <conditionalFormatting sqref="V67">
    <cfRule type="cellIs" dxfId="1504" priority="35" operator="notEqual">
      <formula>$V$70</formula>
    </cfRule>
    <cfRule type="cellIs" dxfId="1503" priority="36" operator="equal">
      <formula>$V$70</formula>
    </cfRule>
  </conditionalFormatting>
  <conditionalFormatting sqref="W67">
    <cfRule type="cellIs" dxfId="1502" priority="33" operator="notEqual">
      <formula>$W$70</formula>
    </cfRule>
    <cfRule type="cellIs" dxfId="1501" priority="34" operator="equal">
      <formula>$W$70</formula>
    </cfRule>
  </conditionalFormatting>
  <conditionalFormatting sqref="X67">
    <cfRule type="cellIs" dxfId="1500" priority="31" operator="notEqual">
      <formula>$X$70</formula>
    </cfRule>
    <cfRule type="cellIs" dxfId="1499" priority="32" operator="equal">
      <formula>$X$70</formula>
    </cfRule>
  </conditionalFormatting>
  <conditionalFormatting sqref="Y67">
    <cfRule type="cellIs" dxfId="1498" priority="29" operator="notEqual">
      <formula>$Y$70</formula>
    </cfRule>
    <cfRule type="cellIs" dxfId="1497" priority="30" operator="equal">
      <formula>$Y$70</formula>
    </cfRule>
  </conditionalFormatting>
  <conditionalFormatting sqref="Z67">
    <cfRule type="cellIs" dxfId="1496" priority="27" operator="notEqual">
      <formula>$Z$70</formula>
    </cfRule>
    <cfRule type="cellIs" dxfId="1495" priority="28" operator="equal">
      <formula>$Z$70</formula>
    </cfRule>
  </conditionalFormatting>
  <conditionalFormatting sqref="AA67">
    <cfRule type="cellIs" dxfId="1494" priority="25" operator="notEqual">
      <formula>$AA$70</formula>
    </cfRule>
    <cfRule type="cellIs" dxfId="1493" priority="26" operator="equal">
      <formula>$AA$70</formula>
    </cfRule>
  </conditionalFormatting>
  <conditionalFormatting sqref="AB67">
    <cfRule type="cellIs" dxfId="1492" priority="23" operator="notEqual">
      <formula>$AB$70</formula>
    </cfRule>
    <cfRule type="cellIs" dxfId="1491" priority="24" operator="equal">
      <formula>$AB$70</formula>
    </cfRule>
  </conditionalFormatting>
  <conditionalFormatting sqref="AC67">
    <cfRule type="cellIs" dxfId="1490" priority="21" operator="notEqual">
      <formula>$AC$70</formula>
    </cfRule>
    <cfRule type="cellIs" dxfId="1489" priority="22" operator="equal">
      <formula>$AC$70</formula>
    </cfRule>
  </conditionalFormatting>
  <conditionalFormatting sqref="AD67">
    <cfRule type="cellIs" dxfId="1488" priority="19" operator="notEqual">
      <formula>$AD$70</formula>
    </cfRule>
    <cfRule type="cellIs" dxfId="1487" priority="20" operator="equal">
      <formula>$AD$70</formula>
    </cfRule>
  </conditionalFormatting>
  <conditionalFormatting sqref="AE67">
    <cfRule type="cellIs" dxfId="1486" priority="17" operator="notEqual">
      <formula>$AE$70</formula>
    </cfRule>
    <cfRule type="cellIs" dxfId="1485" priority="18" operator="equal">
      <formula>$AE$70</formula>
    </cfRule>
  </conditionalFormatting>
  <conditionalFormatting sqref="AF67">
    <cfRule type="cellIs" dxfId="1484" priority="16" operator="equal">
      <formula>$AF$70</formula>
    </cfRule>
  </conditionalFormatting>
  <conditionalFormatting sqref="AF67">
    <cfRule type="cellIs" dxfId="1483" priority="15" operator="notEqual">
      <formula>$AF$70</formula>
    </cfRule>
  </conditionalFormatting>
  <conditionalFormatting sqref="AG67">
    <cfRule type="cellIs" dxfId="1482" priority="14" operator="equal">
      <formula>$AG$70</formula>
    </cfRule>
  </conditionalFormatting>
  <conditionalFormatting sqref="AG67">
    <cfRule type="cellIs" dxfId="1481" priority="13" operator="notEqual">
      <formula>$AG$70</formula>
    </cfRule>
  </conditionalFormatting>
  <conditionalFormatting sqref="AH67">
    <cfRule type="cellIs" dxfId="1480" priority="12" operator="equal">
      <formula>$AH$70</formula>
    </cfRule>
  </conditionalFormatting>
  <conditionalFormatting sqref="AH67">
    <cfRule type="cellIs" dxfId="1479" priority="11" operator="notEqual">
      <formula>$AH$70</formula>
    </cfRule>
  </conditionalFormatting>
  <conditionalFormatting sqref="AI67">
    <cfRule type="cellIs" dxfId="1478" priority="10" operator="equal">
      <formula>$AI$70</formula>
    </cfRule>
  </conditionalFormatting>
  <conditionalFormatting sqref="AI67">
    <cfRule type="cellIs" dxfId="1477" priority="9" operator="notEqual">
      <formula>$AI$70</formula>
    </cfRule>
  </conditionalFormatting>
  <conditionalFormatting sqref="AJ67">
    <cfRule type="cellIs" dxfId="1476" priority="8" operator="equal">
      <formula>$AJ$70</formula>
    </cfRule>
  </conditionalFormatting>
  <conditionalFormatting sqref="AJ67">
    <cfRule type="cellIs" dxfId="1475" priority="7" operator="notEqual">
      <formula>$AJ$70</formula>
    </cfRule>
  </conditionalFormatting>
  <conditionalFormatting sqref="AK67">
    <cfRule type="cellIs" dxfId="1474" priority="6" operator="equal">
      <formula>$AK$70</formula>
    </cfRule>
  </conditionalFormatting>
  <conditionalFormatting sqref="AK67">
    <cfRule type="cellIs" dxfId="1473" priority="5" operator="notEqual">
      <formula>$AK$70</formula>
    </cfRule>
  </conditionalFormatting>
  <conditionalFormatting sqref="AL67">
    <cfRule type="cellIs" dxfId="1472" priority="4" operator="equal">
      <formula>$AL$70</formula>
    </cfRule>
  </conditionalFormatting>
  <conditionalFormatting sqref="AL67">
    <cfRule type="cellIs" dxfId="1471" priority="3" operator="notEqual">
      <formula>$AL$70</formula>
    </cfRule>
  </conditionalFormatting>
  <conditionalFormatting sqref="AM67">
    <cfRule type="cellIs" dxfId="1470" priority="2" operator="equal">
      <formula>$AM$70</formula>
    </cfRule>
  </conditionalFormatting>
  <conditionalFormatting sqref="AM67">
    <cfRule type="cellIs" dxfId="1469" priority="1" operator="notEqual">
      <formula>$AM$70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31F00-7566-4E83-A978-20AC69D38B75}">
  <dimension ref="A1:AB52"/>
  <sheetViews>
    <sheetView showGridLines="0" workbookViewId="0">
      <selection activeCell="K46" sqref="K46:AB52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1.71093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1.7109375" style="9" bestFit="1" customWidth="1"/>
    <col min="18" max="18" width="15" style="9" bestFit="1" customWidth="1"/>
    <col min="19" max="19" width="12.2851562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5" width="11.42578125" style="9" bestFit="1" customWidth="1"/>
    <col min="26" max="26" width="11" style="9" bestFit="1" customWidth="1"/>
    <col min="27" max="27" width="10.85546875" style="9" bestFit="1" customWidth="1"/>
    <col min="28" max="28" width="12.28515625" style="9" bestFit="1" customWidth="1"/>
    <col min="29" max="16384" width="9.140625" style="9"/>
  </cols>
  <sheetData>
    <row r="1" spans="1:28" ht="11.25" customHeight="1" x14ac:dyDescent="0.25">
      <c r="A1" s="107" t="s">
        <v>92</v>
      </c>
      <c r="B1" s="107" t="s">
        <v>93</v>
      </c>
      <c r="C1" s="107" t="s">
        <v>94</v>
      </c>
      <c r="D1" s="107" t="s">
        <v>95</v>
      </c>
      <c r="E1" s="107" t="s">
        <v>96</v>
      </c>
      <c r="F1" s="107" t="s">
        <v>15</v>
      </c>
      <c r="G1" s="107" t="s">
        <v>98</v>
      </c>
      <c r="H1" s="107" t="s">
        <v>99</v>
      </c>
      <c r="I1" s="107" t="s">
        <v>924</v>
      </c>
      <c r="J1" s="93"/>
      <c r="L1" s="105" t="s">
        <v>939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25">
      <c r="A2" s="107"/>
      <c r="B2" s="107"/>
      <c r="C2" s="107"/>
      <c r="D2" s="107"/>
      <c r="E2" s="107"/>
      <c r="F2" s="107"/>
      <c r="G2" s="107"/>
      <c r="H2" s="107"/>
      <c r="I2" s="107"/>
      <c r="J2" s="93"/>
      <c r="L2" s="105" t="s">
        <v>862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25">
      <c r="A3" s="107"/>
      <c r="B3" s="107"/>
      <c r="C3" s="107"/>
      <c r="D3" s="107"/>
      <c r="E3" s="107"/>
      <c r="F3" s="107"/>
      <c r="G3" s="107"/>
      <c r="H3" s="107"/>
      <c r="I3" s="107"/>
      <c r="J3" s="93"/>
      <c r="L3" s="105" t="s">
        <v>835</v>
      </c>
      <c r="M3" s="105"/>
      <c r="N3" s="105"/>
      <c r="O3" s="105"/>
      <c r="P3" s="105"/>
      <c r="Q3" s="105"/>
      <c r="R3" s="105" t="s">
        <v>866</v>
      </c>
      <c r="S3" s="105"/>
      <c r="T3" s="105" t="s">
        <v>844</v>
      </c>
      <c r="U3" s="105"/>
      <c r="V3" s="105"/>
      <c r="W3" s="105"/>
      <c r="X3" s="105" t="s">
        <v>854</v>
      </c>
      <c r="Y3" s="105"/>
      <c r="Z3" s="105" t="s">
        <v>857</v>
      </c>
      <c r="AA3" s="105"/>
      <c r="AB3" s="105" t="s">
        <v>843</v>
      </c>
    </row>
    <row r="4" spans="1:28" ht="11.25" customHeight="1" x14ac:dyDescent="0.25">
      <c r="A4" s="107"/>
      <c r="B4" s="107"/>
      <c r="C4" s="107"/>
      <c r="D4" s="107"/>
      <c r="E4" s="107"/>
      <c r="F4" s="107"/>
      <c r="G4" s="107"/>
      <c r="H4" s="107"/>
      <c r="I4" s="107"/>
      <c r="J4" s="93"/>
      <c r="L4" s="44" t="s">
        <v>837</v>
      </c>
      <c r="M4" s="44" t="s">
        <v>863</v>
      </c>
      <c r="N4" s="44" t="s">
        <v>864</v>
      </c>
      <c r="O4" s="44" t="s">
        <v>923</v>
      </c>
      <c r="P4" s="44" t="s">
        <v>865</v>
      </c>
      <c r="Q4" s="44" t="s">
        <v>843</v>
      </c>
      <c r="R4" s="44" t="s">
        <v>867</v>
      </c>
      <c r="S4" s="44" t="s">
        <v>843</v>
      </c>
      <c r="T4" s="44" t="s">
        <v>868</v>
      </c>
      <c r="U4" s="44" t="s">
        <v>869</v>
      </c>
      <c r="V4" s="44" t="s">
        <v>870</v>
      </c>
      <c r="W4" s="44" t="s">
        <v>843</v>
      </c>
      <c r="X4" s="44" t="s">
        <v>855</v>
      </c>
      <c r="Y4" s="44" t="s">
        <v>843</v>
      </c>
      <c r="Z4" s="44" t="s">
        <v>871</v>
      </c>
      <c r="AA4" s="44" t="s">
        <v>843</v>
      </c>
      <c r="AB4" s="106"/>
    </row>
    <row r="5" spans="1:28" ht="11.25" customHeight="1" x14ac:dyDescent="0.25">
      <c r="A5" s="108" t="s">
        <v>39</v>
      </c>
      <c r="B5" s="108" t="s">
        <v>101</v>
      </c>
      <c r="C5" s="108" t="s">
        <v>25</v>
      </c>
      <c r="D5" s="108" t="s">
        <v>25</v>
      </c>
      <c r="E5" s="108" t="s">
        <v>25</v>
      </c>
      <c r="F5" s="108" t="s">
        <v>25</v>
      </c>
      <c r="G5" s="43" t="s">
        <v>103</v>
      </c>
      <c r="H5" s="43" t="s">
        <v>102</v>
      </c>
      <c r="I5" s="43">
        <f>'MERCADO TE'!$U$2</f>
        <v>7394.5769999999993</v>
      </c>
      <c r="J5" s="15"/>
      <c r="L5" s="40">
        <v>1</v>
      </c>
      <c r="M5" s="40">
        <v>1</v>
      </c>
      <c r="N5" s="40">
        <v>1</v>
      </c>
      <c r="O5" s="40">
        <v>1</v>
      </c>
      <c r="P5" s="40">
        <v>1</v>
      </c>
      <c r="Q5" s="40"/>
      <c r="R5" s="40">
        <v>1.72</v>
      </c>
      <c r="S5" s="40"/>
      <c r="T5" s="40">
        <v>1</v>
      </c>
      <c r="U5" s="40">
        <v>1</v>
      </c>
      <c r="V5" s="40">
        <v>1</v>
      </c>
      <c r="W5" s="40"/>
      <c r="X5" s="40"/>
      <c r="Y5" s="40"/>
      <c r="Z5" s="40">
        <v>1</v>
      </c>
      <c r="AA5" s="40"/>
      <c r="AB5" s="40"/>
    </row>
    <row r="6" spans="1:28" ht="11.25" customHeight="1" x14ac:dyDescent="0.25">
      <c r="A6" s="108"/>
      <c r="B6" s="108"/>
      <c r="C6" s="108"/>
      <c r="D6" s="108"/>
      <c r="E6" s="108"/>
      <c r="F6" s="108"/>
      <c r="G6" s="43" t="s">
        <v>104</v>
      </c>
      <c r="H6" s="43" t="s">
        <v>102</v>
      </c>
      <c r="I6" s="43">
        <f>'MERCADO TE'!$U$3</f>
        <v>86286.733999999997</v>
      </c>
      <c r="J6" s="15"/>
      <c r="L6" s="40">
        <v>1</v>
      </c>
      <c r="M6" s="40">
        <v>1</v>
      </c>
      <c r="N6" s="40">
        <v>1</v>
      </c>
      <c r="O6" s="40">
        <v>1</v>
      </c>
      <c r="P6" s="40">
        <v>1</v>
      </c>
      <c r="Q6" s="40"/>
      <c r="R6" s="40">
        <v>1</v>
      </c>
      <c r="S6" s="40"/>
      <c r="T6" s="40">
        <v>1</v>
      </c>
      <c r="U6" s="40">
        <v>1</v>
      </c>
      <c r="V6" s="40">
        <v>1</v>
      </c>
      <c r="W6" s="40"/>
      <c r="X6" s="40"/>
      <c r="Y6" s="40"/>
      <c r="Z6" s="40">
        <v>1</v>
      </c>
      <c r="AA6" s="40"/>
      <c r="AB6" s="40"/>
    </row>
    <row r="7" spans="1:28" ht="11.25" customHeight="1" x14ac:dyDescent="0.25">
      <c r="A7" s="108" t="s">
        <v>41</v>
      </c>
      <c r="B7" s="108" t="s">
        <v>101</v>
      </c>
      <c r="C7" s="108" t="s">
        <v>25</v>
      </c>
      <c r="D7" s="108" t="s">
        <v>25</v>
      </c>
      <c r="E7" s="108" t="s">
        <v>25</v>
      </c>
      <c r="F7" s="108" t="s">
        <v>25</v>
      </c>
      <c r="G7" s="43" t="s">
        <v>103</v>
      </c>
      <c r="H7" s="43" t="s">
        <v>102</v>
      </c>
      <c r="I7" s="43">
        <f>'MERCADO TE'!$U$4</f>
        <v>39726.173999999992</v>
      </c>
      <c r="J7" s="15"/>
      <c r="L7" s="40">
        <v>1</v>
      </c>
      <c r="M7" s="40">
        <v>1</v>
      </c>
      <c r="N7" s="40">
        <v>1</v>
      </c>
      <c r="O7" s="40">
        <v>1</v>
      </c>
      <c r="P7" s="40">
        <v>1</v>
      </c>
      <c r="Q7" s="40"/>
      <c r="R7" s="40">
        <v>1.72</v>
      </c>
      <c r="S7" s="40"/>
      <c r="T7" s="40">
        <v>1</v>
      </c>
      <c r="U7" s="40">
        <v>1</v>
      </c>
      <c r="V7" s="40">
        <v>1</v>
      </c>
      <c r="W7" s="40"/>
      <c r="X7" s="40"/>
      <c r="Y7" s="40"/>
      <c r="Z7" s="40">
        <v>1</v>
      </c>
      <c r="AA7" s="40"/>
      <c r="AB7" s="40"/>
    </row>
    <row r="8" spans="1:28" ht="11.25" customHeight="1" x14ac:dyDescent="0.25">
      <c r="A8" s="108"/>
      <c r="B8" s="108"/>
      <c r="C8" s="108"/>
      <c r="D8" s="108"/>
      <c r="E8" s="108"/>
      <c r="F8" s="108"/>
      <c r="G8" s="43" t="s">
        <v>104</v>
      </c>
      <c r="H8" s="43" t="s">
        <v>102</v>
      </c>
      <c r="I8" s="43">
        <f>'MERCADO TE'!$U$5</f>
        <v>550599.2379999999</v>
      </c>
      <c r="J8" s="15"/>
      <c r="L8" s="40">
        <v>1</v>
      </c>
      <c r="M8" s="40">
        <v>1</v>
      </c>
      <c r="N8" s="40">
        <v>1</v>
      </c>
      <c r="O8" s="40">
        <v>1</v>
      </c>
      <c r="P8" s="40">
        <v>1</v>
      </c>
      <c r="Q8" s="40"/>
      <c r="R8" s="40">
        <v>1</v>
      </c>
      <c r="S8" s="40"/>
      <c r="T8" s="40">
        <v>1</v>
      </c>
      <c r="U8" s="40">
        <v>1</v>
      </c>
      <c r="V8" s="40">
        <v>1</v>
      </c>
      <c r="W8" s="40"/>
      <c r="X8" s="40"/>
      <c r="Y8" s="40"/>
      <c r="Z8" s="40">
        <v>1</v>
      </c>
      <c r="AA8" s="40"/>
      <c r="AB8" s="40"/>
    </row>
    <row r="9" spans="1:28" ht="11.25" customHeight="1" x14ac:dyDescent="0.25">
      <c r="A9" s="108"/>
      <c r="B9" s="42" t="s">
        <v>109</v>
      </c>
      <c r="C9" s="42" t="s">
        <v>25</v>
      </c>
      <c r="D9" s="42" t="s">
        <v>25</v>
      </c>
      <c r="E9" s="42" t="s">
        <v>25</v>
      </c>
      <c r="F9" s="42" t="s">
        <v>25</v>
      </c>
      <c r="G9" s="43" t="s">
        <v>108</v>
      </c>
      <c r="H9" s="43" t="s">
        <v>102</v>
      </c>
      <c r="I9" s="43">
        <f>'MERCADO TE'!$U$6</f>
        <v>0</v>
      </c>
      <c r="J9" s="15"/>
      <c r="L9" s="40">
        <v>1</v>
      </c>
      <c r="M9" s="40">
        <v>1</v>
      </c>
      <c r="N9" s="40">
        <v>1</v>
      </c>
      <c r="O9" s="40">
        <v>1</v>
      </c>
      <c r="P9" s="40">
        <v>1</v>
      </c>
      <c r="Q9" s="40"/>
      <c r="R9" s="40">
        <v>1.06</v>
      </c>
      <c r="S9" s="40"/>
      <c r="T9" s="40">
        <v>1</v>
      </c>
      <c r="U9" s="40">
        <v>1</v>
      </c>
      <c r="V9" s="40">
        <v>1</v>
      </c>
      <c r="W9" s="40"/>
      <c r="X9" s="40"/>
      <c r="Y9" s="40"/>
      <c r="Z9" s="40">
        <v>1</v>
      </c>
      <c r="AA9" s="40"/>
      <c r="AB9" s="40"/>
    </row>
    <row r="10" spans="1:28" ht="11.25" customHeight="1" x14ac:dyDescent="0.25">
      <c r="A10" s="108" t="s">
        <v>22</v>
      </c>
      <c r="B10" s="108" t="s">
        <v>101</v>
      </c>
      <c r="C10" s="108" t="s">
        <v>24</v>
      </c>
      <c r="D10" s="108" t="s">
        <v>24</v>
      </c>
      <c r="E10" s="108" t="s">
        <v>25</v>
      </c>
      <c r="F10" s="108" t="s">
        <v>25</v>
      </c>
      <c r="G10" s="43" t="s">
        <v>103</v>
      </c>
      <c r="H10" s="43" t="s">
        <v>102</v>
      </c>
      <c r="I10" s="43">
        <f>'MERCADO TE'!$U$7</f>
        <v>107.383</v>
      </c>
      <c r="J10" s="15"/>
      <c r="L10" s="40">
        <v>1</v>
      </c>
      <c r="M10" s="40">
        <v>1</v>
      </c>
      <c r="N10" s="40">
        <v>1</v>
      </c>
      <c r="O10" s="40">
        <v>1</v>
      </c>
      <c r="P10" s="40">
        <v>1</v>
      </c>
      <c r="Q10" s="40"/>
      <c r="R10" s="40">
        <v>1.72</v>
      </c>
      <c r="S10" s="40"/>
      <c r="T10" s="40">
        <v>1</v>
      </c>
      <c r="U10" s="40">
        <v>1</v>
      </c>
      <c r="V10" s="40">
        <v>1</v>
      </c>
      <c r="W10" s="40"/>
      <c r="X10" s="40"/>
      <c r="Y10" s="40"/>
      <c r="Z10" s="40">
        <v>1</v>
      </c>
      <c r="AA10" s="40"/>
      <c r="AB10" s="40"/>
    </row>
    <row r="11" spans="1:28" ht="11.25" customHeight="1" x14ac:dyDescent="0.25">
      <c r="A11" s="108"/>
      <c r="B11" s="108"/>
      <c r="C11" s="108"/>
      <c r="D11" s="108"/>
      <c r="E11" s="108"/>
      <c r="F11" s="108"/>
      <c r="G11" s="43" t="s">
        <v>113</v>
      </c>
      <c r="H11" s="43" t="s">
        <v>102</v>
      </c>
      <c r="I11" s="43">
        <f>'MERCADO TE'!$U$8</f>
        <v>73.695000000000007</v>
      </c>
      <c r="J11" s="15"/>
      <c r="L11" s="40">
        <v>1</v>
      </c>
      <c r="M11" s="40">
        <v>1</v>
      </c>
      <c r="N11" s="40">
        <v>1</v>
      </c>
      <c r="O11" s="40">
        <v>1</v>
      </c>
      <c r="P11" s="40">
        <v>1</v>
      </c>
      <c r="Q11" s="40"/>
      <c r="R11" s="40">
        <v>1</v>
      </c>
      <c r="S11" s="40"/>
      <c r="T11" s="40">
        <v>1</v>
      </c>
      <c r="U11" s="40">
        <v>1</v>
      </c>
      <c r="V11" s="40">
        <v>1</v>
      </c>
      <c r="W11" s="40"/>
      <c r="X11" s="40"/>
      <c r="Y11" s="40"/>
      <c r="Z11" s="40">
        <v>1</v>
      </c>
      <c r="AA11" s="40"/>
      <c r="AB11" s="40"/>
    </row>
    <row r="12" spans="1:28" ht="11.25" customHeight="1" x14ac:dyDescent="0.25">
      <c r="A12" s="108"/>
      <c r="B12" s="108"/>
      <c r="C12" s="108"/>
      <c r="D12" s="108"/>
      <c r="E12" s="108"/>
      <c r="F12" s="108"/>
      <c r="G12" s="43" t="s">
        <v>104</v>
      </c>
      <c r="H12" s="43" t="s">
        <v>102</v>
      </c>
      <c r="I12" s="43">
        <f>'MERCADO TE'!$U$9</f>
        <v>1358.0870000000002</v>
      </c>
      <c r="J12" s="15"/>
      <c r="L12" s="40">
        <v>1</v>
      </c>
      <c r="M12" s="40">
        <v>1</v>
      </c>
      <c r="N12" s="40">
        <v>1</v>
      </c>
      <c r="O12" s="40">
        <v>1</v>
      </c>
      <c r="P12" s="40">
        <v>1</v>
      </c>
      <c r="Q12" s="40"/>
      <c r="R12" s="40">
        <v>1</v>
      </c>
      <c r="S12" s="40"/>
      <c r="T12" s="40">
        <v>1</v>
      </c>
      <c r="U12" s="40">
        <v>1</v>
      </c>
      <c r="V12" s="40">
        <v>1</v>
      </c>
      <c r="W12" s="40"/>
      <c r="X12" s="40"/>
      <c r="Y12" s="40"/>
      <c r="Z12" s="40">
        <v>1</v>
      </c>
      <c r="AA12" s="40"/>
      <c r="AB12" s="40"/>
    </row>
    <row r="13" spans="1:28" ht="11.25" customHeight="1" x14ac:dyDescent="0.25">
      <c r="A13" s="108"/>
      <c r="B13" s="108" t="s">
        <v>109</v>
      </c>
      <c r="C13" s="108" t="s">
        <v>24</v>
      </c>
      <c r="D13" s="42" t="s">
        <v>24</v>
      </c>
      <c r="E13" s="42" t="s">
        <v>25</v>
      </c>
      <c r="F13" s="42" t="s">
        <v>25</v>
      </c>
      <c r="G13" s="43" t="s">
        <v>108</v>
      </c>
      <c r="H13" s="43" t="s">
        <v>102</v>
      </c>
      <c r="I13" s="43">
        <f>'MERCADO TE'!$U$10</f>
        <v>1398369.1870000002</v>
      </c>
      <c r="J13" s="15"/>
      <c r="L13" s="40">
        <v>1</v>
      </c>
      <c r="M13" s="40">
        <v>1</v>
      </c>
      <c r="N13" s="40">
        <v>1</v>
      </c>
      <c r="O13" s="40">
        <v>1</v>
      </c>
      <c r="P13" s="40">
        <v>1</v>
      </c>
      <c r="Q13" s="40"/>
      <c r="R13" s="40">
        <v>1.06</v>
      </c>
      <c r="S13" s="40"/>
      <c r="T13" s="40">
        <v>1</v>
      </c>
      <c r="U13" s="40">
        <v>1</v>
      </c>
      <c r="V13" s="40">
        <v>1</v>
      </c>
      <c r="W13" s="40"/>
      <c r="X13" s="40"/>
      <c r="Y13" s="40"/>
      <c r="Z13" s="40">
        <v>1</v>
      </c>
      <c r="AA13" s="40"/>
      <c r="AB13" s="40"/>
    </row>
    <row r="14" spans="1:28" ht="11.25" customHeight="1" x14ac:dyDescent="0.25">
      <c r="A14" s="108"/>
      <c r="B14" s="108"/>
      <c r="C14" s="108"/>
      <c r="D14" s="42" t="s">
        <v>29</v>
      </c>
      <c r="E14" s="42" t="s">
        <v>25</v>
      </c>
      <c r="F14" s="42" t="s">
        <v>25</v>
      </c>
      <c r="G14" s="43" t="s">
        <v>108</v>
      </c>
      <c r="H14" s="43" t="s">
        <v>102</v>
      </c>
      <c r="I14" s="43">
        <f>'MERCADO TE'!$U$11</f>
        <v>161060.71900000001</v>
      </c>
      <c r="J14" s="15"/>
      <c r="L14" s="40">
        <f>1 - CUSTOS!$M$24</f>
        <v>1</v>
      </c>
      <c r="M14" s="40">
        <f>1 - CUSTOS!$M$24</f>
        <v>1</v>
      </c>
      <c r="N14" s="40">
        <f>1 - CUSTOS!$M$24</f>
        <v>1</v>
      </c>
      <c r="O14" s="40">
        <f>1 - CUSTOS!$M$24</f>
        <v>1</v>
      </c>
      <c r="P14" s="40">
        <f>1 - CUSTOS!$M$24</f>
        <v>1</v>
      </c>
      <c r="Q14" s="40"/>
      <c r="R14" s="40">
        <f>(1 - CUSTOS!$M$24)*1.06</f>
        <v>1.06</v>
      </c>
      <c r="S14" s="40"/>
      <c r="T14" s="40">
        <f>1 - CUSTOS!$M$24</f>
        <v>1</v>
      </c>
      <c r="U14" s="40">
        <f>1 - CUSTOS!$M$24</f>
        <v>1</v>
      </c>
      <c r="V14" s="40">
        <f>1 - CUSTOS!$M$24</f>
        <v>1</v>
      </c>
      <c r="W14" s="40"/>
      <c r="X14" s="40"/>
      <c r="Y14" s="40"/>
      <c r="Z14" s="40">
        <f>1 - CUSTOS!$M$24</f>
        <v>1</v>
      </c>
      <c r="AA14" s="40"/>
      <c r="AB14" s="40"/>
    </row>
    <row r="15" spans="1:28" ht="11.25" customHeight="1" x14ac:dyDescent="0.25">
      <c r="A15" s="108"/>
      <c r="B15" s="108"/>
      <c r="C15" s="108"/>
      <c r="D15" s="42" t="s">
        <v>30</v>
      </c>
      <c r="E15" s="42" t="s">
        <v>25</v>
      </c>
      <c r="F15" s="42" t="s">
        <v>25</v>
      </c>
      <c r="G15" s="43" t="s">
        <v>108</v>
      </c>
      <c r="H15" s="43" t="s">
        <v>102</v>
      </c>
      <c r="I15" s="43">
        <f>'MERCADO TE'!$U$12</f>
        <v>267147.82800000004</v>
      </c>
      <c r="J15" s="15"/>
      <c r="L15" s="40">
        <f>1 - CUSTOS!$M$25</f>
        <v>1</v>
      </c>
      <c r="M15" s="40">
        <f>1 - CUSTOS!$M$25</f>
        <v>1</v>
      </c>
      <c r="N15" s="40">
        <f>1 - CUSTOS!$M$25</f>
        <v>1</v>
      </c>
      <c r="O15" s="40">
        <f>1 - CUSTOS!$M$25</f>
        <v>1</v>
      </c>
      <c r="P15" s="40">
        <f>1 - CUSTOS!$M$25</f>
        <v>1</v>
      </c>
      <c r="Q15" s="40"/>
      <c r="R15" s="40">
        <f>(1 - CUSTOS!$M$25)*1.06</f>
        <v>1.06</v>
      </c>
      <c r="S15" s="40"/>
      <c r="T15" s="40">
        <f>1 - CUSTOS!$M$25</f>
        <v>1</v>
      </c>
      <c r="U15" s="40">
        <f>1 - CUSTOS!$M$25</f>
        <v>1</v>
      </c>
      <c r="V15" s="40">
        <f>1 - CUSTOS!$M$25</f>
        <v>1</v>
      </c>
      <c r="W15" s="40"/>
      <c r="X15" s="40"/>
      <c r="Y15" s="40"/>
      <c r="Z15" s="40">
        <f>1 - CUSTOS!$M$25</f>
        <v>1</v>
      </c>
      <c r="AA15" s="40"/>
      <c r="AB15" s="40"/>
    </row>
    <row r="16" spans="1:28" ht="11.25" customHeight="1" x14ac:dyDescent="0.25">
      <c r="A16" s="108"/>
      <c r="B16" s="108"/>
      <c r="C16" s="108"/>
      <c r="D16" s="42" t="s">
        <v>31</v>
      </c>
      <c r="E16" s="42" t="s">
        <v>25</v>
      </c>
      <c r="F16" s="42" t="s">
        <v>25</v>
      </c>
      <c r="G16" s="43" t="s">
        <v>108</v>
      </c>
      <c r="H16" s="43" t="s">
        <v>102</v>
      </c>
      <c r="I16" s="43">
        <f>'MERCADO TE'!$U$13</f>
        <v>140786.959</v>
      </c>
      <c r="J16" s="15"/>
      <c r="L16" s="40">
        <f>1 - CUSTOS!$M$26</f>
        <v>1</v>
      </c>
      <c r="M16" s="40">
        <f>1 - CUSTOS!$M$26</f>
        <v>1</v>
      </c>
      <c r="N16" s="40">
        <f>1 - CUSTOS!$M$26</f>
        <v>1</v>
      </c>
      <c r="O16" s="40">
        <f>1 - CUSTOS!$M$26</f>
        <v>1</v>
      </c>
      <c r="P16" s="40">
        <f>1 - CUSTOS!$M$26</f>
        <v>1</v>
      </c>
      <c r="Q16" s="40"/>
      <c r="R16" s="40">
        <f>(1 - CUSTOS!$M$26)*1.06</f>
        <v>1.06</v>
      </c>
      <c r="S16" s="40"/>
      <c r="T16" s="40">
        <f>1 - CUSTOS!$M$26</f>
        <v>1</v>
      </c>
      <c r="U16" s="40">
        <f>1 - CUSTOS!$M$26</f>
        <v>1</v>
      </c>
      <c r="V16" s="40">
        <f>1 - CUSTOS!$M$26</f>
        <v>1</v>
      </c>
      <c r="W16" s="40"/>
      <c r="X16" s="40"/>
      <c r="Y16" s="40"/>
      <c r="Z16" s="40">
        <f>1 - CUSTOS!$M$26</f>
        <v>1</v>
      </c>
      <c r="AA16" s="40"/>
      <c r="AB16" s="40"/>
    </row>
    <row r="17" spans="1:28" ht="11.25" customHeight="1" x14ac:dyDescent="0.25">
      <c r="A17" s="108"/>
      <c r="B17" s="108"/>
      <c r="C17" s="108"/>
      <c r="D17" s="42" t="s">
        <v>32</v>
      </c>
      <c r="E17" s="42" t="s">
        <v>25</v>
      </c>
      <c r="F17" s="42" t="s">
        <v>25</v>
      </c>
      <c r="G17" s="43" t="s">
        <v>108</v>
      </c>
      <c r="H17" s="43" t="s">
        <v>102</v>
      </c>
      <c r="I17" s="43">
        <f>'MERCADO TE'!$U$14</f>
        <v>39430.460000000006</v>
      </c>
      <c r="J17" s="15"/>
      <c r="L17" s="40">
        <f>1 - CUSTOS!$M$27</f>
        <v>1</v>
      </c>
      <c r="M17" s="40">
        <f>1 - CUSTOS!$M$27</f>
        <v>1</v>
      </c>
      <c r="N17" s="40">
        <f>1 - CUSTOS!$M$27</f>
        <v>1</v>
      </c>
      <c r="O17" s="40">
        <f>1 - CUSTOS!$M$27</f>
        <v>1</v>
      </c>
      <c r="P17" s="40">
        <f>1 - CUSTOS!$M$27</f>
        <v>1</v>
      </c>
      <c r="Q17" s="40"/>
      <c r="R17" s="40">
        <f>(1 - CUSTOS!$M$27)*1.06</f>
        <v>1.06</v>
      </c>
      <c r="S17" s="40"/>
      <c r="T17" s="40">
        <f>1 - CUSTOS!$M$27</f>
        <v>1</v>
      </c>
      <c r="U17" s="40">
        <f>1 - CUSTOS!$M$27</f>
        <v>1</v>
      </c>
      <c r="V17" s="40">
        <f>1 - CUSTOS!$M$27</f>
        <v>1</v>
      </c>
      <c r="W17" s="40"/>
      <c r="X17" s="40"/>
      <c r="Y17" s="40"/>
      <c r="Z17" s="40">
        <f>1 - CUSTOS!$M$27</f>
        <v>1</v>
      </c>
      <c r="AA17" s="40"/>
      <c r="AB17" s="40"/>
    </row>
    <row r="18" spans="1:28" ht="11.25" customHeight="1" x14ac:dyDescent="0.25">
      <c r="A18" s="108"/>
      <c r="B18" s="108" t="s">
        <v>114</v>
      </c>
      <c r="C18" s="108" t="s">
        <v>24</v>
      </c>
      <c r="D18" s="42" t="s">
        <v>24</v>
      </c>
      <c r="E18" s="42" t="s">
        <v>25</v>
      </c>
      <c r="F18" s="42" t="s">
        <v>25</v>
      </c>
      <c r="G18" s="43" t="s">
        <v>108</v>
      </c>
      <c r="H18" s="43" t="s">
        <v>102</v>
      </c>
      <c r="I18" s="43">
        <f>'MERCADO TE'!$U$15</f>
        <v>0</v>
      </c>
      <c r="J18" s="15"/>
      <c r="L18" s="40">
        <v>1</v>
      </c>
      <c r="M18" s="40">
        <v>1</v>
      </c>
      <c r="N18" s="40">
        <v>1</v>
      </c>
      <c r="O18" s="40">
        <v>1</v>
      </c>
      <c r="P18" s="40">
        <v>1</v>
      </c>
      <c r="Q18" s="40"/>
      <c r="R18" s="40">
        <v>1.06</v>
      </c>
      <c r="S18" s="40"/>
      <c r="T18" s="40">
        <v>1</v>
      </c>
      <c r="U18" s="40">
        <v>1</v>
      </c>
      <c r="V18" s="40">
        <v>1</v>
      </c>
      <c r="W18" s="40"/>
      <c r="X18" s="40"/>
      <c r="Y18" s="40"/>
      <c r="Z18" s="40">
        <v>1</v>
      </c>
      <c r="AA18" s="40"/>
      <c r="AB18" s="40"/>
    </row>
    <row r="19" spans="1:28" ht="11.25" customHeight="1" x14ac:dyDescent="0.25">
      <c r="A19" s="108"/>
      <c r="B19" s="108"/>
      <c r="C19" s="108"/>
      <c r="D19" s="42" t="s">
        <v>29</v>
      </c>
      <c r="E19" s="42" t="s">
        <v>25</v>
      </c>
      <c r="F19" s="42" t="s">
        <v>25</v>
      </c>
      <c r="G19" s="43" t="s">
        <v>108</v>
      </c>
      <c r="H19" s="43" t="s">
        <v>102</v>
      </c>
      <c r="I19" s="43">
        <f>'MERCADO TE'!$U$16</f>
        <v>0</v>
      </c>
      <c r="J19" s="15"/>
      <c r="L19" s="40">
        <f>1 - CUSTOS!$M$24</f>
        <v>1</v>
      </c>
      <c r="M19" s="40">
        <f>1 - CUSTOS!$M$24</f>
        <v>1</v>
      </c>
      <c r="N19" s="40">
        <f>1 - CUSTOS!$M$24</f>
        <v>1</v>
      </c>
      <c r="O19" s="40">
        <f>1 - CUSTOS!$M$24</f>
        <v>1</v>
      </c>
      <c r="P19" s="40">
        <f>1 - CUSTOS!$M$24</f>
        <v>1</v>
      </c>
      <c r="Q19" s="40"/>
      <c r="R19" s="40">
        <f>(1 - CUSTOS!$M$24)*1.06</f>
        <v>1.06</v>
      </c>
      <c r="S19" s="40"/>
      <c r="T19" s="40">
        <f>1 - CUSTOS!$M$24</f>
        <v>1</v>
      </c>
      <c r="U19" s="40">
        <f>1 - CUSTOS!$M$24</f>
        <v>1</v>
      </c>
      <c r="V19" s="40">
        <f>1 - CUSTOS!$M$24</f>
        <v>1</v>
      </c>
      <c r="W19" s="40"/>
      <c r="X19" s="40"/>
      <c r="Y19" s="40"/>
      <c r="Z19" s="40">
        <f>1 - CUSTOS!$M$24</f>
        <v>1</v>
      </c>
      <c r="AA19" s="40"/>
      <c r="AB19" s="40"/>
    </row>
    <row r="20" spans="1:28" ht="11.25" customHeight="1" x14ac:dyDescent="0.25">
      <c r="A20" s="108"/>
      <c r="B20" s="108"/>
      <c r="C20" s="108"/>
      <c r="D20" s="42" t="s">
        <v>30</v>
      </c>
      <c r="E20" s="42" t="s">
        <v>25</v>
      </c>
      <c r="F20" s="42" t="s">
        <v>25</v>
      </c>
      <c r="G20" s="43" t="s">
        <v>108</v>
      </c>
      <c r="H20" s="43" t="s">
        <v>102</v>
      </c>
      <c r="I20" s="43">
        <f>'MERCADO TE'!$U$17</f>
        <v>0</v>
      </c>
      <c r="J20" s="15"/>
      <c r="L20" s="40">
        <f>1 - CUSTOS!$M$25</f>
        <v>1</v>
      </c>
      <c r="M20" s="40">
        <f>1 - CUSTOS!$M$25</f>
        <v>1</v>
      </c>
      <c r="N20" s="40">
        <f>1 - CUSTOS!$M$25</f>
        <v>1</v>
      </c>
      <c r="O20" s="40">
        <f>1 - CUSTOS!$M$25</f>
        <v>1</v>
      </c>
      <c r="P20" s="40">
        <f>1 - CUSTOS!$M$25</f>
        <v>1</v>
      </c>
      <c r="Q20" s="40"/>
      <c r="R20" s="40">
        <f>(1 - CUSTOS!$M$25)*1.06</f>
        <v>1.06</v>
      </c>
      <c r="S20" s="40"/>
      <c r="T20" s="40">
        <f>1 - CUSTOS!$M$25</f>
        <v>1</v>
      </c>
      <c r="U20" s="40">
        <f>1 - CUSTOS!$M$25</f>
        <v>1</v>
      </c>
      <c r="V20" s="40">
        <f>1 - CUSTOS!$M$25</f>
        <v>1</v>
      </c>
      <c r="W20" s="40"/>
      <c r="X20" s="40"/>
      <c r="Y20" s="40"/>
      <c r="Z20" s="40">
        <f>1 - CUSTOS!$M$25</f>
        <v>1</v>
      </c>
      <c r="AA20" s="40"/>
      <c r="AB20" s="40"/>
    </row>
    <row r="21" spans="1:28" ht="11.25" customHeight="1" x14ac:dyDescent="0.25">
      <c r="A21" s="108"/>
      <c r="B21" s="108"/>
      <c r="C21" s="108"/>
      <c r="D21" s="42" t="s">
        <v>31</v>
      </c>
      <c r="E21" s="42" t="s">
        <v>25</v>
      </c>
      <c r="F21" s="42" t="s">
        <v>25</v>
      </c>
      <c r="G21" s="43" t="s">
        <v>108</v>
      </c>
      <c r="H21" s="43" t="s">
        <v>102</v>
      </c>
      <c r="I21" s="43">
        <f>'MERCADO TE'!$U$18</f>
        <v>0</v>
      </c>
      <c r="J21" s="15"/>
      <c r="L21" s="40">
        <f>1 - CUSTOS!$M$26</f>
        <v>1</v>
      </c>
      <c r="M21" s="40">
        <f>1 - CUSTOS!$M$26</f>
        <v>1</v>
      </c>
      <c r="N21" s="40">
        <f>1 - CUSTOS!$M$26</f>
        <v>1</v>
      </c>
      <c r="O21" s="40">
        <f>1 - CUSTOS!$M$26</f>
        <v>1</v>
      </c>
      <c r="P21" s="40">
        <f>1 - CUSTOS!$M$26</f>
        <v>1</v>
      </c>
      <c r="Q21" s="40"/>
      <c r="R21" s="40">
        <f>(1 - CUSTOS!$M$26)*1.06</f>
        <v>1.06</v>
      </c>
      <c r="S21" s="40"/>
      <c r="T21" s="40">
        <f>1 - CUSTOS!$M$26</f>
        <v>1</v>
      </c>
      <c r="U21" s="40">
        <f>1 - CUSTOS!$M$26</f>
        <v>1</v>
      </c>
      <c r="V21" s="40">
        <f>1 - CUSTOS!$M$26</f>
        <v>1</v>
      </c>
      <c r="W21" s="40"/>
      <c r="X21" s="40"/>
      <c r="Y21" s="40"/>
      <c r="Z21" s="40">
        <f>1 - CUSTOS!$M$26</f>
        <v>1</v>
      </c>
      <c r="AA21" s="40"/>
      <c r="AB21" s="40"/>
    </row>
    <row r="22" spans="1:28" ht="11.25" customHeight="1" x14ac:dyDescent="0.25">
      <c r="A22" s="108"/>
      <c r="B22" s="108"/>
      <c r="C22" s="108"/>
      <c r="D22" s="42" t="s">
        <v>32</v>
      </c>
      <c r="E22" s="42" t="s">
        <v>25</v>
      </c>
      <c r="F22" s="42" t="s">
        <v>25</v>
      </c>
      <c r="G22" s="43" t="s">
        <v>108</v>
      </c>
      <c r="H22" s="43" t="s">
        <v>102</v>
      </c>
      <c r="I22" s="43">
        <f>'MERCADO TE'!$U$19</f>
        <v>0</v>
      </c>
      <c r="J22" s="15"/>
      <c r="L22" s="40">
        <f>1 - CUSTOS!$M$27</f>
        <v>1</v>
      </c>
      <c r="M22" s="40">
        <f>1 - CUSTOS!$M$27</f>
        <v>1</v>
      </c>
      <c r="N22" s="40">
        <f>1 - CUSTOS!$M$27</f>
        <v>1</v>
      </c>
      <c r="O22" s="40">
        <f>1 - CUSTOS!$M$27</f>
        <v>1</v>
      </c>
      <c r="P22" s="40">
        <f>1 - CUSTOS!$M$27</f>
        <v>1</v>
      </c>
      <c r="Q22" s="40"/>
      <c r="R22" s="40">
        <f>(1 - CUSTOS!$M$27)*1.06</f>
        <v>1.06</v>
      </c>
      <c r="S22" s="40"/>
      <c r="T22" s="40">
        <f>1 - CUSTOS!$M$27</f>
        <v>1</v>
      </c>
      <c r="U22" s="40">
        <f>1 - CUSTOS!$M$27</f>
        <v>1</v>
      </c>
      <c r="V22" s="40">
        <f>1 - CUSTOS!$M$27</f>
        <v>1</v>
      </c>
      <c r="W22" s="40"/>
      <c r="X22" s="40"/>
      <c r="Y22" s="40"/>
      <c r="Z22" s="40">
        <f>1 - CUSTOS!$M$27</f>
        <v>1</v>
      </c>
      <c r="AA22" s="40"/>
      <c r="AB22" s="40"/>
    </row>
    <row r="23" spans="1:28" ht="11.25" customHeight="1" x14ac:dyDescent="0.25">
      <c r="A23" s="108" t="s">
        <v>44</v>
      </c>
      <c r="B23" s="108" t="s">
        <v>101</v>
      </c>
      <c r="C23" s="108" t="s">
        <v>45</v>
      </c>
      <c r="D23" s="108" t="s">
        <v>25</v>
      </c>
      <c r="E23" s="108" t="s">
        <v>25</v>
      </c>
      <c r="F23" s="108" t="s">
        <v>25</v>
      </c>
      <c r="G23" s="43" t="s">
        <v>103</v>
      </c>
      <c r="H23" s="43" t="s">
        <v>102</v>
      </c>
      <c r="I23" s="43">
        <f>'MERCADO TE'!$U$20</f>
        <v>3.9449999999999994</v>
      </c>
      <c r="J23" s="15"/>
      <c r="L23" s="40">
        <f>1 - CUSTOS!$M$28</f>
        <v>1</v>
      </c>
      <c r="M23" s="40">
        <f>1 - CUSTOS!$M$28</f>
        <v>1</v>
      </c>
      <c r="N23" s="40">
        <f>1 - CUSTOS!$M$28</f>
        <v>1</v>
      </c>
      <c r="O23" s="40">
        <f>1 - CUSTOS!$M$28</f>
        <v>1</v>
      </c>
      <c r="P23" s="40">
        <f>1 - CUSTOS!$M$28</f>
        <v>1</v>
      </c>
      <c r="Q23" s="40"/>
      <c r="R23" s="40">
        <f>(1 - CUSTOS!$M$28)*1.72</f>
        <v>1.72</v>
      </c>
      <c r="S23" s="40"/>
      <c r="T23" s="40">
        <f>1 - CUSTOS!$M$28</f>
        <v>1</v>
      </c>
      <c r="U23" s="40">
        <f>1 - CUSTOS!$M$28</f>
        <v>1</v>
      </c>
      <c r="V23" s="40">
        <f>1 - CUSTOS!$M$28</f>
        <v>1</v>
      </c>
      <c r="W23" s="40"/>
      <c r="X23" s="40"/>
      <c r="Y23" s="40"/>
      <c r="Z23" s="40">
        <f>1 - CUSTOS!$M$28</f>
        <v>1</v>
      </c>
      <c r="AA23" s="40"/>
      <c r="AB23" s="40"/>
    </row>
    <row r="24" spans="1:28" ht="11.25" customHeight="1" x14ac:dyDescent="0.25">
      <c r="A24" s="108"/>
      <c r="B24" s="108"/>
      <c r="C24" s="108"/>
      <c r="D24" s="108"/>
      <c r="E24" s="108"/>
      <c r="F24" s="108"/>
      <c r="G24" s="43" t="s">
        <v>113</v>
      </c>
      <c r="H24" s="43" t="s">
        <v>102</v>
      </c>
      <c r="I24" s="43">
        <f>'MERCADO TE'!$U$21</f>
        <v>4.2359999999999989</v>
      </c>
      <c r="J24" s="15"/>
      <c r="L24" s="40">
        <f>1 - CUSTOS!$M$28</f>
        <v>1</v>
      </c>
      <c r="M24" s="40">
        <f>1 - CUSTOS!$M$28</f>
        <v>1</v>
      </c>
      <c r="N24" s="40">
        <f>1 - CUSTOS!$M$28</f>
        <v>1</v>
      </c>
      <c r="O24" s="40">
        <f>1 - CUSTOS!$M$28</f>
        <v>1</v>
      </c>
      <c r="P24" s="40">
        <f>1 - CUSTOS!$M$28</f>
        <v>1</v>
      </c>
      <c r="Q24" s="40"/>
      <c r="R24" s="40">
        <f>(1 - CUSTOS!$M$28)*1</f>
        <v>1</v>
      </c>
      <c r="S24" s="40"/>
      <c r="T24" s="40">
        <f>1 - CUSTOS!$M$28</f>
        <v>1</v>
      </c>
      <c r="U24" s="40">
        <f>1 - CUSTOS!$M$28</f>
        <v>1</v>
      </c>
      <c r="V24" s="40">
        <f>1 - CUSTOS!$M$28</f>
        <v>1</v>
      </c>
      <c r="W24" s="40"/>
      <c r="X24" s="40"/>
      <c r="Y24" s="40"/>
      <c r="Z24" s="40">
        <f>1 - CUSTOS!$M$28</f>
        <v>1</v>
      </c>
      <c r="AA24" s="40"/>
      <c r="AB24" s="40"/>
    </row>
    <row r="25" spans="1:28" ht="11.25" customHeight="1" x14ac:dyDescent="0.25">
      <c r="A25" s="108"/>
      <c r="B25" s="108"/>
      <c r="C25" s="108"/>
      <c r="D25" s="108"/>
      <c r="E25" s="108"/>
      <c r="F25" s="108"/>
      <c r="G25" s="43" t="s">
        <v>104</v>
      </c>
      <c r="H25" s="43" t="s">
        <v>102</v>
      </c>
      <c r="I25" s="43">
        <f>'MERCADO TE'!$U$22</f>
        <v>105.83499999999999</v>
      </c>
      <c r="J25" s="15"/>
      <c r="L25" s="40">
        <f>1 - CUSTOS!$M$28</f>
        <v>1</v>
      </c>
      <c r="M25" s="40">
        <f>1 - CUSTOS!$M$28</f>
        <v>1</v>
      </c>
      <c r="N25" s="40">
        <f>1 - CUSTOS!$M$28</f>
        <v>1</v>
      </c>
      <c r="O25" s="40">
        <f>1 - CUSTOS!$M$28</f>
        <v>1</v>
      </c>
      <c r="P25" s="40">
        <f>1 - CUSTOS!$M$28</f>
        <v>1</v>
      </c>
      <c r="Q25" s="40"/>
      <c r="R25" s="40">
        <f>(1 - CUSTOS!$M$28)*1</f>
        <v>1</v>
      </c>
      <c r="S25" s="40"/>
      <c r="T25" s="40">
        <f>1 - CUSTOS!$M$28</f>
        <v>1</v>
      </c>
      <c r="U25" s="40">
        <f>1 - CUSTOS!$M$28</f>
        <v>1</v>
      </c>
      <c r="V25" s="40">
        <f>1 - CUSTOS!$M$28</f>
        <v>1</v>
      </c>
      <c r="W25" s="40"/>
      <c r="X25" s="40"/>
      <c r="Y25" s="40"/>
      <c r="Z25" s="40">
        <f>1 - CUSTOS!$M$28</f>
        <v>1</v>
      </c>
      <c r="AA25" s="40"/>
      <c r="AB25" s="40"/>
    </row>
    <row r="26" spans="1:28" ht="11.25" customHeight="1" x14ac:dyDescent="0.25">
      <c r="A26" s="108"/>
      <c r="B26" s="42" t="s">
        <v>109</v>
      </c>
      <c r="C26" s="42" t="s">
        <v>45</v>
      </c>
      <c r="D26" s="42" t="s">
        <v>25</v>
      </c>
      <c r="E26" s="42" t="s">
        <v>25</v>
      </c>
      <c r="F26" s="42" t="s">
        <v>25</v>
      </c>
      <c r="G26" s="43" t="s">
        <v>108</v>
      </c>
      <c r="H26" s="43" t="s">
        <v>102</v>
      </c>
      <c r="I26" s="43">
        <f>'MERCADO TE'!$U$23</f>
        <v>251732.52099999998</v>
      </c>
      <c r="J26" s="15"/>
      <c r="L26" s="40">
        <f>1 - CUSTOS!$M$28</f>
        <v>1</v>
      </c>
      <c r="M26" s="40">
        <f>1 - CUSTOS!$M$28</f>
        <v>1</v>
      </c>
      <c r="N26" s="40">
        <f>1 - CUSTOS!$M$28</f>
        <v>1</v>
      </c>
      <c r="O26" s="40">
        <f>1 - CUSTOS!$M$28</f>
        <v>1</v>
      </c>
      <c r="P26" s="40">
        <f>1 - CUSTOS!$M$28</f>
        <v>1</v>
      </c>
      <c r="Q26" s="40"/>
      <c r="R26" s="40">
        <f>(1 - CUSTOS!$M$28)*1.06</f>
        <v>1.06</v>
      </c>
      <c r="S26" s="40"/>
      <c r="T26" s="40">
        <f>1 - CUSTOS!$M$28</f>
        <v>1</v>
      </c>
      <c r="U26" s="40">
        <f>1 - CUSTOS!$M$28</f>
        <v>1</v>
      </c>
      <c r="V26" s="40">
        <f>1 - CUSTOS!$M$28</f>
        <v>1</v>
      </c>
      <c r="W26" s="40"/>
      <c r="X26" s="40"/>
      <c r="Y26" s="40"/>
      <c r="Z26" s="40">
        <f>1 - CUSTOS!$M$28</f>
        <v>1</v>
      </c>
      <c r="AA26" s="40"/>
      <c r="AB26" s="40"/>
    </row>
    <row r="27" spans="1:28" ht="11.25" customHeight="1" x14ac:dyDescent="0.25">
      <c r="A27" s="108"/>
      <c r="B27" s="108" t="s">
        <v>101</v>
      </c>
      <c r="C27" s="108" t="s">
        <v>45</v>
      </c>
      <c r="D27" s="108" t="s">
        <v>116</v>
      </c>
      <c r="E27" s="108" t="s">
        <v>25</v>
      </c>
      <c r="F27" s="108" t="s">
        <v>25</v>
      </c>
      <c r="G27" s="43" t="s">
        <v>103</v>
      </c>
      <c r="H27" s="43" t="s">
        <v>102</v>
      </c>
      <c r="I27" s="43">
        <f>'MERCADO TE'!$U$24</f>
        <v>0</v>
      </c>
      <c r="J27" s="15"/>
      <c r="L27" s="40">
        <f>1 - CUSTOS!$M$29</f>
        <v>1</v>
      </c>
      <c r="M27" s="40">
        <f>1 - CUSTOS!$M$29</f>
        <v>1</v>
      </c>
      <c r="N27" s="40">
        <f>1 - CUSTOS!$M$29</f>
        <v>1</v>
      </c>
      <c r="O27" s="40">
        <f>1 - CUSTOS!$M$29</f>
        <v>1</v>
      </c>
      <c r="P27" s="40">
        <f>1 - CUSTOS!$M$29</f>
        <v>1</v>
      </c>
      <c r="Q27" s="40"/>
      <c r="R27" s="40">
        <f>(1 - CUSTOS!$M$29)*1.72</f>
        <v>1.72</v>
      </c>
      <c r="S27" s="40"/>
      <c r="T27" s="40">
        <f>1 - CUSTOS!$M$29</f>
        <v>1</v>
      </c>
      <c r="U27" s="40">
        <f>1 - CUSTOS!$M$29</f>
        <v>1</v>
      </c>
      <c r="V27" s="40">
        <f>1 - CUSTOS!$M$29</f>
        <v>1</v>
      </c>
      <c r="W27" s="40"/>
      <c r="X27" s="40"/>
      <c r="Y27" s="40"/>
      <c r="Z27" s="40">
        <f>1 - CUSTOS!$M$29</f>
        <v>1</v>
      </c>
      <c r="AA27" s="40"/>
      <c r="AB27" s="40"/>
    </row>
    <row r="28" spans="1:28" ht="11.25" customHeight="1" x14ac:dyDescent="0.25">
      <c r="A28" s="108"/>
      <c r="B28" s="108"/>
      <c r="C28" s="108"/>
      <c r="D28" s="108"/>
      <c r="E28" s="108"/>
      <c r="F28" s="108"/>
      <c r="G28" s="43" t="s">
        <v>113</v>
      </c>
      <c r="H28" s="43" t="s">
        <v>102</v>
      </c>
      <c r="I28" s="43">
        <f>'MERCADO TE'!$U$25</f>
        <v>0</v>
      </c>
      <c r="J28" s="15"/>
      <c r="L28" s="40">
        <f>1 - CUSTOS!$M$29</f>
        <v>1</v>
      </c>
      <c r="M28" s="40">
        <f>1 - CUSTOS!$M$29</f>
        <v>1</v>
      </c>
      <c r="N28" s="40">
        <f>1 - CUSTOS!$M$29</f>
        <v>1</v>
      </c>
      <c r="O28" s="40">
        <f>1 - CUSTOS!$M$29</f>
        <v>1</v>
      </c>
      <c r="P28" s="40">
        <f>1 - CUSTOS!$M$29</f>
        <v>1</v>
      </c>
      <c r="Q28" s="40"/>
      <c r="R28" s="40">
        <f>(1 - CUSTOS!$M$29)*1</f>
        <v>1</v>
      </c>
      <c r="S28" s="40"/>
      <c r="T28" s="40">
        <f>1 - CUSTOS!$M$29</f>
        <v>1</v>
      </c>
      <c r="U28" s="40">
        <f>1 - CUSTOS!$M$29</f>
        <v>1</v>
      </c>
      <c r="V28" s="40">
        <f>1 - CUSTOS!$M$29</f>
        <v>1</v>
      </c>
      <c r="W28" s="40"/>
      <c r="X28" s="40"/>
      <c r="Y28" s="40"/>
      <c r="Z28" s="40">
        <f>1 - CUSTOS!$M$29</f>
        <v>1</v>
      </c>
      <c r="AA28" s="40"/>
      <c r="AB28" s="40"/>
    </row>
    <row r="29" spans="1:28" ht="11.25" customHeight="1" x14ac:dyDescent="0.25">
      <c r="A29" s="108"/>
      <c r="B29" s="108"/>
      <c r="C29" s="108"/>
      <c r="D29" s="108"/>
      <c r="E29" s="108"/>
      <c r="F29" s="108"/>
      <c r="G29" s="43" t="s">
        <v>104</v>
      </c>
      <c r="H29" s="43" t="s">
        <v>102</v>
      </c>
      <c r="I29" s="43">
        <f>'MERCADO TE'!$U$26</f>
        <v>0</v>
      </c>
      <c r="J29" s="15"/>
      <c r="L29" s="40">
        <f>1 - CUSTOS!$M$29</f>
        <v>1</v>
      </c>
      <c r="M29" s="40">
        <f>1 - CUSTOS!$M$29</f>
        <v>1</v>
      </c>
      <c r="N29" s="40">
        <f>1 - CUSTOS!$M$29</f>
        <v>1</v>
      </c>
      <c r="O29" s="40">
        <f>1 - CUSTOS!$M$29</f>
        <v>1</v>
      </c>
      <c r="P29" s="40">
        <f>1 - CUSTOS!$M$29</f>
        <v>1</v>
      </c>
      <c r="Q29" s="40"/>
      <c r="R29" s="40">
        <f>(1 - CUSTOS!$M$29)*1</f>
        <v>1</v>
      </c>
      <c r="S29" s="40"/>
      <c r="T29" s="40">
        <f>1 - CUSTOS!$M$29</f>
        <v>1</v>
      </c>
      <c r="U29" s="40">
        <f>1 - CUSTOS!$M$29</f>
        <v>1</v>
      </c>
      <c r="V29" s="40">
        <f>1 - CUSTOS!$M$29</f>
        <v>1</v>
      </c>
      <c r="W29" s="40"/>
      <c r="X29" s="40"/>
      <c r="Y29" s="40"/>
      <c r="Z29" s="40">
        <f>1 - CUSTOS!$M$29</f>
        <v>1</v>
      </c>
      <c r="AA29" s="40"/>
      <c r="AB29" s="40"/>
    </row>
    <row r="30" spans="1:28" ht="11.25" customHeight="1" x14ac:dyDescent="0.25">
      <c r="A30" s="108"/>
      <c r="B30" s="42" t="s">
        <v>109</v>
      </c>
      <c r="C30" s="42" t="s">
        <v>45</v>
      </c>
      <c r="D30" s="42" t="s">
        <v>116</v>
      </c>
      <c r="E30" s="42" t="s">
        <v>25</v>
      </c>
      <c r="F30" s="42" t="s">
        <v>25</v>
      </c>
      <c r="G30" s="43" t="s">
        <v>108</v>
      </c>
      <c r="H30" s="43" t="s">
        <v>102</v>
      </c>
      <c r="I30" s="43">
        <f>'MERCADO TE'!$U$27</f>
        <v>0</v>
      </c>
      <c r="J30" s="15"/>
      <c r="L30" s="40">
        <f>1 - CUSTOS!$M$29</f>
        <v>1</v>
      </c>
      <c r="M30" s="40">
        <f>1 - CUSTOS!$M$29</f>
        <v>1</v>
      </c>
      <c r="N30" s="40">
        <f>1 - CUSTOS!$M$29</f>
        <v>1</v>
      </c>
      <c r="O30" s="40">
        <f>1 - CUSTOS!$M$29</f>
        <v>1</v>
      </c>
      <c r="P30" s="40">
        <f>1 - CUSTOS!$M$29</f>
        <v>1</v>
      </c>
      <c r="Q30" s="40"/>
      <c r="R30" s="40">
        <f>(1 - CUSTOS!$M$29)*1.06</f>
        <v>1.06</v>
      </c>
      <c r="S30" s="40"/>
      <c r="T30" s="40">
        <f>1 - CUSTOS!$M$29</f>
        <v>1</v>
      </c>
      <c r="U30" s="40">
        <f>1 - CUSTOS!$M$29</f>
        <v>1</v>
      </c>
      <c r="V30" s="40">
        <f>1 - CUSTOS!$M$29</f>
        <v>1</v>
      </c>
      <c r="W30" s="40"/>
      <c r="X30" s="40"/>
      <c r="Y30" s="40"/>
      <c r="Z30" s="40">
        <f>1 - CUSTOS!$M$29</f>
        <v>1</v>
      </c>
      <c r="AA30" s="40"/>
      <c r="AB30" s="40"/>
    </row>
    <row r="31" spans="1:28" ht="11.25" customHeight="1" x14ac:dyDescent="0.25">
      <c r="A31" s="108"/>
      <c r="B31" s="108" t="s">
        <v>101</v>
      </c>
      <c r="C31" s="108" t="s">
        <v>45</v>
      </c>
      <c r="D31" s="108" t="s">
        <v>117</v>
      </c>
      <c r="E31" s="108" t="s">
        <v>25</v>
      </c>
      <c r="F31" s="108" t="s">
        <v>25</v>
      </c>
      <c r="G31" s="43" t="s">
        <v>103</v>
      </c>
      <c r="H31" s="43" t="s">
        <v>102</v>
      </c>
      <c r="I31" s="43">
        <f>'MERCADO TE'!$U$28</f>
        <v>0</v>
      </c>
      <c r="J31" s="15"/>
      <c r="L31" s="40">
        <f>1 - CUSTOS!$M$30</f>
        <v>1</v>
      </c>
      <c r="M31" s="40">
        <f>1 - CUSTOS!$M$30</f>
        <v>1</v>
      </c>
      <c r="N31" s="40">
        <f>1 - CUSTOS!$M$30</f>
        <v>1</v>
      </c>
      <c r="O31" s="40">
        <f>1 - CUSTOS!$M$30</f>
        <v>1</v>
      </c>
      <c r="P31" s="40">
        <f>1 - CUSTOS!$M$30</f>
        <v>1</v>
      </c>
      <c r="Q31" s="40"/>
      <c r="R31" s="40">
        <f>(1 - CUSTOS!$M$30)*1.72</f>
        <v>1.72</v>
      </c>
      <c r="S31" s="40"/>
      <c r="T31" s="40">
        <f>1 - CUSTOS!$M$30</f>
        <v>1</v>
      </c>
      <c r="U31" s="40">
        <f>1 - CUSTOS!$M$30</f>
        <v>1</v>
      </c>
      <c r="V31" s="40">
        <f>1 - CUSTOS!$M$30</f>
        <v>1</v>
      </c>
      <c r="W31" s="40"/>
      <c r="X31" s="40"/>
      <c r="Y31" s="40"/>
      <c r="Z31" s="40">
        <f>1 - CUSTOS!$M$30</f>
        <v>1</v>
      </c>
      <c r="AA31" s="40"/>
      <c r="AB31" s="40"/>
    </row>
    <row r="32" spans="1:28" ht="11.25" customHeight="1" x14ac:dyDescent="0.25">
      <c r="A32" s="108"/>
      <c r="B32" s="108"/>
      <c r="C32" s="108"/>
      <c r="D32" s="108"/>
      <c r="E32" s="108"/>
      <c r="F32" s="108"/>
      <c r="G32" s="43" t="s">
        <v>113</v>
      </c>
      <c r="H32" s="43" t="s">
        <v>102</v>
      </c>
      <c r="I32" s="43">
        <f>'MERCADO TE'!$U$29</f>
        <v>0</v>
      </c>
      <c r="J32" s="15"/>
      <c r="L32" s="40">
        <f>1 - CUSTOS!$M$30</f>
        <v>1</v>
      </c>
      <c r="M32" s="40">
        <f>1 - CUSTOS!$M$30</f>
        <v>1</v>
      </c>
      <c r="N32" s="40">
        <f>1 - CUSTOS!$M$30</f>
        <v>1</v>
      </c>
      <c r="O32" s="40">
        <f>1 - CUSTOS!$M$30</f>
        <v>1</v>
      </c>
      <c r="P32" s="40">
        <f>1 - CUSTOS!$M$30</f>
        <v>1</v>
      </c>
      <c r="Q32" s="40"/>
      <c r="R32" s="40">
        <f>(1 - CUSTOS!$M$30)*1</f>
        <v>1</v>
      </c>
      <c r="S32" s="40"/>
      <c r="T32" s="40">
        <f>1 - CUSTOS!$M$30</f>
        <v>1</v>
      </c>
      <c r="U32" s="40">
        <f>1 - CUSTOS!$M$30</f>
        <v>1</v>
      </c>
      <c r="V32" s="40">
        <f>1 - CUSTOS!$M$30</f>
        <v>1</v>
      </c>
      <c r="W32" s="40"/>
      <c r="X32" s="40"/>
      <c r="Y32" s="40"/>
      <c r="Z32" s="40">
        <f>1 - CUSTOS!$M$30</f>
        <v>1</v>
      </c>
      <c r="AA32" s="40"/>
      <c r="AB32" s="40"/>
    </row>
    <row r="33" spans="1:28" ht="11.25" customHeight="1" x14ac:dyDescent="0.25">
      <c r="A33" s="108"/>
      <c r="B33" s="108"/>
      <c r="C33" s="108"/>
      <c r="D33" s="108"/>
      <c r="E33" s="108"/>
      <c r="F33" s="108"/>
      <c r="G33" s="43" t="s">
        <v>104</v>
      </c>
      <c r="H33" s="43" t="s">
        <v>102</v>
      </c>
      <c r="I33" s="43">
        <f>'MERCADO TE'!$U$30</f>
        <v>0</v>
      </c>
      <c r="J33" s="15"/>
      <c r="L33" s="40">
        <f>1 - CUSTOS!$M$30</f>
        <v>1</v>
      </c>
      <c r="M33" s="40">
        <f>1 - CUSTOS!$M$30</f>
        <v>1</v>
      </c>
      <c r="N33" s="40">
        <f>1 - CUSTOS!$M$30</f>
        <v>1</v>
      </c>
      <c r="O33" s="40">
        <f>1 - CUSTOS!$M$30</f>
        <v>1</v>
      </c>
      <c r="P33" s="40">
        <f>1 - CUSTOS!$M$30</f>
        <v>1</v>
      </c>
      <c r="Q33" s="40"/>
      <c r="R33" s="40">
        <f>(1 - CUSTOS!$M$30)*1</f>
        <v>1</v>
      </c>
      <c r="S33" s="40"/>
      <c r="T33" s="40">
        <f>1 - CUSTOS!$M$30</f>
        <v>1</v>
      </c>
      <c r="U33" s="40">
        <f>1 - CUSTOS!$M$30</f>
        <v>1</v>
      </c>
      <c r="V33" s="40">
        <f>1 - CUSTOS!$M$30</f>
        <v>1</v>
      </c>
      <c r="W33" s="40"/>
      <c r="X33" s="40"/>
      <c r="Y33" s="40"/>
      <c r="Z33" s="40">
        <f>1 - CUSTOS!$M$30</f>
        <v>1</v>
      </c>
      <c r="AA33" s="40"/>
      <c r="AB33" s="40"/>
    </row>
    <row r="34" spans="1:28" ht="11.25" customHeight="1" x14ac:dyDescent="0.25">
      <c r="A34" s="108"/>
      <c r="B34" s="42" t="s">
        <v>109</v>
      </c>
      <c r="C34" s="42" t="s">
        <v>45</v>
      </c>
      <c r="D34" s="42" t="s">
        <v>117</v>
      </c>
      <c r="E34" s="42" t="s">
        <v>25</v>
      </c>
      <c r="F34" s="42" t="s">
        <v>25</v>
      </c>
      <c r="G34" s="43" t="s">
        <v>108</v>
      </c>
      <c r="H34" s="43" t="s">
        <v>102</v>
      </c>
      <c r="I34" s="43">
        <f>'MERCADO TE'!$U$31</f>
        <v>0</v>
      </c>
      <c r="J34" s="15"/>
      <c r="L34" s="40">
        <f>1 - CUSTOS!$M$30</f>
        <v>1</v>
      </c>
      <c r="M34" s="40">
        <f>1 - CUSTOS!$M$30</f>
        <v>1</v>
      </c>
      <c r="N34" s="40">
        <f>1 - CUSTOS!$M$30</f>
        <v>1</v>
      </c>
      <c r="O34" s="40">
        <f>1 - CUSTOS!$M$30</f>
        <v>1</v>
      </c>
      <c r="P34" s="40">
        <f>1 - CUSTOS!$M$30</f>
        <v>1</v>
      </c>
      <c r="Q34" s="40"/>
      <c r="R34" s="40">
        <f>(1 - CUSTOS!$M$30)*1.06</f>
        <v>1.06</v>
      </c>
      <c r="S34" s="40"/>
      <c r="T34" s="40">
        <f>1 - CUSTOS!$M$30</f>
        <v>1</v>
      </c>
      <c r="U34" s="40">
        <f>1 - CUSTOS!$M$30</f>
        <v>1</v>
      </c>
      <c r="V34" s="40">
        <f>1 - CUSTOS!$M$30</f>
        <v>1</v>
      </c>
      <c r="W34" s="40"/>
      <c r="X34" s="40"/>
      <c r="Y34" s="40"/>
      <c r="Z34" s="40">
        <f>1 - CUSTOS!$M$30</f>
        <v>1</v>
      </c>
      <c r="AA34" s="40"/>
      <c r="AB34" s="40"/>
    </row>
    <row r="35" spans="1:28" ht="11.25" customHeight="1" x14ac:dyDescent="0.25">
      <c r="A35" s="108"/>
      <c r="B35" s="108" t="s">
        <v>114</v>
      </c>
      <c r="C35" s="108" t="s">
        <v>45</v>
      </c>
      <c r="D35" s="42" t="s">
        <v>25</v>
      </c>
      <c r="E35" s="42" t="s">
        <v>25</v>
      </c>
      <c r="F35" s="42" t="s">
        <v>25</v>
      </c>
      <c r="G35" s="43" t="s">
        <v>108</v>
      </c>
      <c r="H35" s="43" t="s">
        <v>102</v>
      </c>
      <c r="I35" s="43">
        <f>'MERCADO TE'!$U$32</f>
        <v>0</v>
      </c>
      <c r="J35" s="15"/>
      <c r="L35" s="40">
        <f>1 - CUSTOS!$M$28</f>
        <v>1</v>
      </c>
      <c r="M35" s="40">
        <f>1 - CUSTOS!$M$28</f>
        <v>1</v>
      </c>
      <c r="N35" s="40">
        <f>1 - CUSTOS!$M$28</f>
        <v>1</v>
      </c>
      <c r="O35" s="40">
        <f>1 - CUSTOS!$M$28</f>
        <v>1</v>
      </c>
      <c r="P35" s="40">
        <f>1 - CUSTOS!$M$28</f>
        <v>1</v>
      </c>
      <c r="Q35" s="40"/>
      <c r="R35" s="40">
        <f>(1 - CUSTOS!$M$28)*1.06</f>
        <v>1.06</v>
      </c>
      <c r="S35" s="40"/>
      <c r="T35" s="40">
        <f>1 - CUSTOS!$M$28</f>
        <v>1</v>
      </c>
      <c r="U35" s="40">
        <f>1 - CUSTOS!$M$28</f>
        <v>1</v>
      </c>
      <c r="V35" s="40">
        <f>1 - CUSTOS!$M$28</f>
        <v>1</v>
      </c>
      <c r="W35" s="40"/>
      <c r="X35" s="40"/>
      <c r="Y35" s="40"/>
      <c r="Z35" s="40">
        <f>1 - CUSTOS!$M$28</f>
        <v>1</v>
      </c>
      <c r="AA35" s="40"/>
      <c r="AB35" s="40"/>
    </row>
    <row r="36" spans="1:28" ht="11.25" customHeight="1" x14ac:dyDescent="0.25">
      <c r="A36" s="108"/>
      <c r="B36" s="108"/>
      <c r="C36" s="108"/>
      <c r="D36" s="42" t="s">
        <v>116</v>
      </c>
      <c r="E36" s="42" t="s">
        <v>25</v>
      </c>
      <c r="F36" s="42" t="s">
        <v>25</v>
      </c>
      <c r="G36" s="43" t="s">
        <v>108</v>
      </c>
      <c r="H36" s="43" t="s">
        <v>102</v>
      </c>
      <c r="I36" s="43">
        <f>'MERCADO TE'!$U$33</f>
        <v>0</v>
      </c>
      <c r="J36" s="15"/>
      <c r="L36" s="40">
        <f>1 - CUSTOS!$M$29</f>
        <v>1</v>
      </c>
      <c r="M36" s="40">
        <f>1 - CUSTOS!$M$29</f>
        <v>1</v>
      </c>
      <c r="N36" s="40">
        <f>1 - CUSTOS!$M$29</f>
        <v>1</v>
      </c>
      <c r="O36" s="40">
        <f>1 - CUSTOS!$M$29</f>
        <v>1</v>
      </c>
      <c r="P36" s="40">
        <f>1 - CUSTOS!$M$29</f>
        <v>1</v>
      </c>
      <c r="Q36" s="40"/>
      <c r="R36" s="40">
        <f>(1 - CUSTOS!$M$29)*1.06</f>
        <v>1.06</v>
      </c>
      <c r="S36" s="40"/>
      <c r="T36" s="40">
        <f>1 - CUSTOS!$M$29</f>
        <v>1</v>
      </c>
      <c r="U36" s="40">
        <f>1 - CUSTOS!$M$29</f>
        <v>1</v>
      </c>
      <c r="V36" s="40">
        <f>1 - CUSTOS!$M$29</f>
        <v>1</v>
      </c>
      <c r="W36" s="40"/>
      <c r="X36" s="40"/>
      <c r="Y36" s="40"/>
      <c r="Z36" s="40">
        <f>1 - CUSTOS!$M$29</f>
        <v>1</v>
      </c>
      <c r="AA36" s="40"/>
      <c r="AB36" s="40"/>
    </row>
    <row r="37" spans="1:28" ht="11.25" customHeight="1" x14ac:dyDescent="0.25">
      <c r="A37" s="108"/>
      <c r="B37" s="108"/>
      <c r="C37" s="108"/>
      <c r="D37" s="42" t="s">
        <v>117</v>
      </c>
      <c r="E37" s="42" t="s">
        <v>25</v>
      </c>
      <c r="F37" s="42" t="s">
        <v>25</v>
      </c>
      <c r="G37" s="43" t="s">
        <v>108</v>
      </c>
      <c r="H37" s="43" t="s">
        <v>102</v>
      </c>
      <c r="I37" s="43">
        <f>'MERCADO TE'!$U$34</f>
        <v>0</v>
      </c>
      <c r="J37" s="15"/>
      <c r="L37" s="40">
        <f>1 - CUSTOS!$M$30</f>
        <v>1</v>
      </c>
      <c r="M37" s="40">
        <f>1 - CUSTOS!$M$30</f>
        <v>1</v>
      </c>
      <c r="N37" s="40">
        <f>1 - CUSTOS!$M$30</f>
        <v>1</v>
      </c>
      <c r="O37" s="40">
        <f>1 - CUSTOS!$M$30</f>
        <v>1</v>
      </c>
      <c r="P37" s="40">
        <f>1 - CUSTOS!$M$30</f>
        <v>1</v>
      </c>
      <c r="Q37" s="40"/>
      <c r="R37" s="40">
        <f>(1 - CUSTOS!$M$30)*1.06</f>
        <v>1.06</v>
      </c>
      <c r="S37" s="40"/>
      <c r="T37" s="40">
        <f>1 - CUSTOS!$M$30</f>
        <v>1</v>
      </c>
      <c r="U37" s="40">
        <f>1 - CUSTOS!$M$30</f>
        <v>1</v>
      </c>
      <c r="V37" s="40">
        <f>1 - CUSTOS!$M$30</f>
        <v>1</v>
      </c>
      <c r="W37" s="40"/>
      <c r="X37" s="40"/>
      <c r="Y37" s="40"/>
      <c r="Z37" s="40">
        <f>1 - CUSTOS!$M$30</f>
        <v>1</v>
      </c>
      <c r="AA37" s="40"/>
      <c r="AB37" s="40"/>
    </row>
    <row r="38" spans="1:28" ht="11.25" customHeight="1" x14ac:dyDescent="0.25">
      <c r="A38" s="108" t="s">
        <v>37</v>
      </c>
      <c r="B38" s="108" t="s">
        <v>101</v>
      </c>
      <c r="C38" s="108" t="s">
        <v>25</v>
      </c>
      <c r="D38" s="108" t="s">
        <v>25</v>
      </c>
      <c r="E38" s="108" t="s">
        <v>25</v>
      </c>
      <c r="F38" s="108" t="s">
        <v>25</v>
      </c>
      <c r="G38" s="43" t="s">
        <v>103</v>
      </c>
      <c r="H38" s="43" t="s">
        <v>102</v>
      </c>
      <c r="I38" s="43">
        <f>'MERCADO TE'!$U$35</f>
        <v>54.588999999999999</v>
      </c>
      <c r="J38" s="15"/>
      <c r="L38" s="40">
        <f>1 - CUSTOS!$M$31</f>
        <v>1</v>
      </c>
      <c r="M38" s="40">
        <f>1 - CUSTOS!$M$31</f>
        <v>1</v>
      </c>
      <c r="N38" s="40">
        <f>1 - CUSTOS!$M$31</f>
        <v>1</v>
      </c>
      <c r="O38" s="40">
        <f>1 - CUSTOS!$M$31</f>
        <v>1</v>
      </c>
      <c r="P38" s="40">
        <f>1 - CUSTOS!$M$31</f>
        <v>1</v>
      </c>
      <c r="Q38" s="40"/>
      <c r="R38" s="40">
        <f>(1 - CUSTOS!$M$31)*1.72</f>
        <v>1.72</v>
      </c>
      <c r="S38" s="40"/>
      <c r="T38" s="40">
        <f>1 - CUSTOS!$M$31</f>
        <v>1</v>
      </c>
      <c r="U38" s="40">
        <f>1 - CUSTOS!$M$31</f>
        <v>1</v>
      </c>
      <c r="V38" s="40">
        <f>1 - CUSTOS!$M$31</f>
        <v>1</v>
      </c>
      <c r="W38" s="40"/>
      <c r="X38" s="40"/>
      <c r="Y38" s="40"/>
      <c r="Z38" s="40">
        <f>1 - CUSTOS!$M$31</f>
        <v>1</v>
      </c>
      <c r="AA38" s="40"/>
      <c r="AB38" s="40"/>
    </row>
    <row r="39" spans="1:28" ht="11.25" customHeight="1" x14ac:dyDescent="0.25">
      <c r="A39" s="108"/>
      <c r="B39" s="108"/>
      <c r="C39" s="108"/>
      <c r="D39" s="108"/>
      <c r="E39" s="108"/>
      <c r="F39" s="108"/>
      <c r="G39" s="43" t="s">
        <v>113</v>
      </c>
      <c r="H39" s="43" t="s">
        <v>102</v>
      </c>
      <c r="I39" s="43">
        <f>'MERCADO TE'!$U$36</f>
        <v>66.038999999999987</v>
      </c>
      <c r="J39" s="15"/>
      <c r="L39" s="40">
        <f>1 - CUSTOS!$M$31</f>
        <v>1</v>
      </c>
      <c r="M39" s="40">
        <f>1 - CUSTOS!$M$31</f>
        <v>1</v>
      </c>
      <c r="N39" s="40">
        <f>1 - CUSTOS!$M$31</f>
        <v>1</v>
      </c>
      <c r="O39" s="40">
        <f>1 - CUSTOS!$M$31</f>
        <v>1</v>
      </c>
      <c r="P39" s="40">
        <f>1 - CUSTOS!$M$31</f>
        <v>1</v>
      </c>
      <c r="Q39" s="40"/>
      <c r="R39" s="40">
        <f>(1 - CUSTOS!$M$31)*1</f>
        <v>1</v>
      </c>
      <c r="S39" s="40"/>
      <c r="T39" s="40">
        <f>1 - CUSTOS!$M$31</f>
        <v>1</v>
      </c>
      <c r="U39" s="40">
        <f>1 - CUSTOS!$M$31</f>
        <v>1</v>
      </c>
      <c r="V39" s="40">
        <f>1 - CUSTOS!$M$31</f>
        <v>1</v>
      </c>
      <c r="W39" s="40"/>
      <c r="X39" s="40"/>
      <c r="Y39" s="40"/>
      <c r="Z39" s="40">
        <f>1 - CUSTOS!$M$31</f>
        <v>1</v>
      </c>
      <c r="AA39" s="40"/>
      <c r="AB39" s="40"/>
    </row>
    <row r="40" spans="1:28" ht="11.25" customHeight="1" x14ac:dyDescent="0.25">
      <c r="A40" s="108"/>
      <c r="B40" s="108"/>
      <c r="C40" s="108"/>
      <c r="D40" s="108"/>
      <c r="E40" s="108"/>
      <c r="F40" s="108"/>
      <c r="G40" s="43" t="s">
        <v>104</v>
      </c>
      <c r="H40" s="43" t="s">
        <v>102</v>
      </c>
      <c r="I40" s="43">
        <f>'MERCADO TE'!$U$37</f>
        <v>1004.5179999999999</v>
      </c>
      <c r="J40" s="15"/>
      <c r="L40" s="40">
        <f>1 - CUSTOS!$M$31</f>
        <v>1</v>
      </c>
      <c r="M40" s="40">
        <f>1 - CUSTOS!$M$31</f>
        <v>1</v>
      </c>
      <c r="N40" s="40">
        <f>1 - CUSTOS!$M$31</f>
        <v>1</v>
      </c>
      <c r="O40" s="40">
        <f>1 - CUSTOS!$M$31</f>
        <v>1</v>
      </c>
      <c r="P40" s="40">
        <f>1 - CUSTOS!$M$31</f>
        <v>1</v>
      </c>
      <c r="Q40" s="40"/>
      <c r="R40" s="40">
        <f>(1 - CUSTOS!$M$31)*1</f>
        <v>1</v>
      </c>
      <c r="S40" s="40"/>
      <c r="T40" s="40">
        <f>1 - CUSTOS!$M$31</f>
        <v>1</v>
      </c>
      <c r="U40" s="40">
        <f>1 - CUSTOS!$M$31</f>
        <v>1</v>
      </c>
      <c r="V40" s="40">
        <f>1 - CUSTOS!$M$31</f>
        <v>1</v>
      </c>
      <c r="W40" s="40"/>
      <c r="X40" s="40"/>
      <c r="Y40" s="40"/>
      <c r="Z40" s="40">
        <f>1 - CUSTOS!$M$31</f>
        <v>1</v>
      </c>
      <c r="AA40" s="40"/>
      <c r="AB40" s="40"/>
    </row>
    <row r="41" spans="1:28" ht="11.25" customHeight="1" x14ac:dyDescent="0.25">
      <c r="A41" s="108"/>
      <c r="B41" s="42" t="s">
        <v>109</v>
      </c>
      <c r="C41" s="42" t="s">
        <v>25</v>
      </c>
      <c r="D41" s="42" t="s">
        <v>25</v>
      </c>
      <c r="E41" s="42" t="s">
        <v>25</v>
      </c>
      <c r="F41" s="42" t="s">
        <v>25</v>
      </c>
      <c r="G41" s="43" t="s">
        <v>108</v>
      </c>
      <c r="H41" s="43" t="s">
        <v>102</v>
      </c>
      <c r="I41" s="43">
        <f>'MERCADO TE'!$U$38</f>
        <v>650710.04299999995</v>
      </c>
      <c r="J41" s="15"/>
      <c r="L41" s="40">
        <f>1 - CUSTOS!$M$31</f>
        <v>1</v>
      </c>
      <c r="M41" s="40">
        <f>1 - CUSTOS!$M$31</f>
        <v>1</v>
      </c>
      <c r="N41" s="40">
        <f>1 - CUSTOS!$M$31</f>
        <v>1</v>
      </c>
      <c r="O41" s="40">
        <f>1 - CUSTOS!$M$31</f>
        <v>1</v>
      </c>
      <c r="P41" s="40">
        <f>1 - CUSTOS!$M$31</f>
        <v>1</v>
      </c>
      <c r="Q41" s="40"/>
      <c r="R41" s="40">
        <f>(1 - CUSTOS!$M$31)*1.06</f>
        <v>1.06</v>
      </c>
      <c r="S41" s="40"/>
      <c r="T41" s="40">
        <f>1 - CUSTOS!$M$31</f>
        <v>1</v>
      </c>
      <c r="U41" s="40">
        <f>1 - CUSTOS!$M$31</f>
        <v>1</v>
      </c>
      <c r="V41" s="40">
        <f>1 - CUSTOS!$M$31</f>
        <v>1</v>
      </c>
      <c r="W41" s="40"/>
      <c r="X41" s="40"/>
      <c r="Y41" s="40"/>
      <c r="Z41" s="40">
        <f>1 - CUSTOS!$M$31</f>
        <v>1</v>
      </c>
      <c r="AA41" s="40"/>
      <c r="AB41" s="40"/>
    </row>
    <row r="42" spans="1:28" ht="11.25" customHeight="1" x14ac:dyDescent="0.25">
      <c r="A42" s="108"/>
      <c r="B42" s="42" t="s">
        <v>114</v>
      </c>
      <c r="C42" s="42" t="s">
        <v>25</v>
      </c>
      <c r="D42" s="42" t="s">
        <v>25</v>
      </c>
      <c r="E42" s="42" t="s">
        <v>25</v>
      </c>
      <c r="F42" s="42" t="s">
        <v>25</v>
      </c>
      <c r="G42" s="43" t="s">
        <v>108</v>
      </c>
      <c r="H42" s="43" t="s">
        <v>102</v>
      </c>
      <c r="I42" s="43">
        <f>'MERCADO TE'!$U$39</f>
        <v>0</v>
      </c>
      <c r="J42" s="15"/>
      <c r="L42" s="40">
        <f>1 - CUSTOS!$M$31</f>
        <v>1</v>
      </c>
      <c r="M42" s="40">
        <f>1 - CUSTOS!$M$31</f>
        <v>1</v>
      </c>
      <c r="N42" s="40">
        <f>1 - CUSTOS!$M$31</f>
        <v>1</v>
      </c>
      <c r="O42" s="40">
        <f>1 - CUSTOS!$M$31</f>
        <v>1</v>
      </c>
      <c r="P42" s="40">
        <f>1 - CUSTOS!$M$31</f>
        <v>1</v>
      </c>
      <c r="Q42" s="40"/>
      <c r="R42" s="40">
        <f>(1 - CUSTOS!$M$31)*1.06</f>
        <v>1.06</v>
      </c>
      <c r="S42" s="40"/>
      <c r="T42" s="40">
        <f>1 - CUSTOS!$M$31</f>
        <v>1</v>
      </c>
      <c r="U42" s="40">
        <f>1 - CUSTOS!$M$31</f>
        <v>1</v>
      </c>
      <c r="V42" s="40">
        <f>1 - CUSTOS!$M$31</f>
        <v>1</v>
      </c>
      <c r="W42" s="40"/>
      <c r="X42" s="40"/>
      <c r="Y42" s="40"/>
      <c r="Z42" s="40">
        <f>1 - CUSTOS!$M$31</f>
        <v>1</v>
      </c>
      <c r="AA42" s="40"/>
      <c r="AB42" s="40"/>
    </row>
    <row r="43" spans="1:28" ht="11.25" customHeight="1" x14ac:dyDescent="0.25">
      <c r="A43" s="108" t="s">
        <v>47</v>
      </c>
      <c r="B43" s="108" t="s">
        <v>109</v>
      </c>
      <c r="C43" s="108" t="s">
        <v>48</v>
      </c>
      <c r="D43" s="42" t="s">
        <v>49</v>
      </c>
      <c r="E43" s="42" t="s">
        <v>25</v>
      </c>
      <c r="F43" s="42" t="s">
        <v>25</v>
      </c>
      <c r="G43" s="43" t="s">
        <v>108</v>
      </c>
      <c r="H43" s="43" t="s">
        <v>102</v>
      </c>
      <c r="I43" s="43">
        <f>'MERCADO TE'!$U$40</f>
        <v>252172.81799999997</v>
      </c>
      <c r="J43" s="15"/>
      <c r="L43" s="40">
        <f>1 - CUSTOS!$M$32</f>
        <v>0.55000000000000004</v>
      </c>
      <c r="M43" s="40">
        <f>1 - CUSTOS!$M$32</f>
        <v>0.55000000000000004</v>
      </c>
      <c r="N43" s="40">
        <f>1 - CUSTOS!$M$32</f>
        <v>0.55000000000000004</v>
      </c>
      <c r="O43" s="40">
        <f>1 - CUSTOS!$M$32</f>
        <v>0.55000000000000004</v>
      </c>
      <c r="P43" s="40">
        <f>1 - CUSTOS!$M$32</f>
        <v>0.55000000000000004</v>
      </c>
      <c r="Q43" s="40"/>
      <c r="R43" s="40">
        <f>(1 - CUSTOS!$M$32)*1.06</f>
        <v>0.58300000000000007</v>
      </c>
      <c r="S43" s="40"/>
      <c r="T43" s="40">
        <f>1 - CUSTOS!$M$32</f>
        <v>0.55000000000000004</v>
      </c>
      <c r="U43" s="40">
        <f>1 - CUSTOS!$M$32</f>
        <v>0.55000000000000004</v>
      </c>
      <c r="V43" s="40">
        <f>1 - CUSTOS!$M$32</f>
        <v>0.55000000000000004</v>
      </c>
      <c r="W43" s="40"/>
      <c r="X43" s="40"/>
      <c r="Y43" s="40"/>
      <c r="Z43" s="40">
        <f>1 - CUSTOS!$M$32</f>
        <v>0.55000000000000004</v>
      </c>
      <c r="AA43" s="40"/>
      <c r="AB43" s="40"/>
    </row>
    <row r="44" spans="1:28" ht="11.25" customHeight="1" x14ac:dyDescent="0.25">
      <c r="A44" s="108"/>
      <c r="B44" s="108"/>
      <c r="C44" s="108"/>
      <c r="D44" s="43" t="s">
        <v>118</v>
      </c>
      <c r="E44" s="43" t="s">
        <v>25</v>
      </c>
      <c r="F44" s="43" t="s">
        <v>25</v>
      </c>
      <c r="G44" s="43" t="s">
        <v>108</v>
      </c>
      <c r="H44" s="43" t="s">
        <v>102</v>
      </c>
      <c r="I44" s="43">
        <f>'MERCADO TE'!$U$41</f>
        <v>0</v>
      </c>
      <c r="J44" s="15"/>
      <c r="L44" s="40">
        <f>1 - CUSTOS!$M$33</f>
        <v>0.6</v>
      </c>
      <c r="M44" s="40">
        <f>1 - CUSTOS!$M$33</f>
        <v>0.6</v>
      </c>
      <c r="N44" s="40">
        <f>1 - CUSTOS!$M$33</f>
        <v>0.6</v>
      </c>
      <c r="O44" s="40">
        <f>1 - CUSTOS!$M$33</f>
        <v>0.6</v>
      </c>
      <c r="P44" s="40">
        <f>1 - CUSTOS!$M$33</f>
        <v>0.6</v>
      </c>
      <c r="Q44" s="40"/>
      <c r="R44" s="40">
        <f>(1 - CUSTOS!$M$33)*1.06</f>
        <v>0.63600000000000001</v>
      </c>
      <c r="S44" s="40"/>
      <c r="T44" s="40">
        <f>1 - CUSTOS!$M$33</f>
        <v>0.6</v>
      </c>
      <c r="U44" s="40">
        <f>1 - CUSTOS!$M$33</f>
        <v>0.6</v>
      </c>
      <c r="V44" s="40">
        <f>1 - CUSTOS!$M$33</f>
        <v>0.6</v>
      </c>
      <c r="W44" s="40"/>
      <c r="X44" s="40"/>
      <c r="Y44" s="40"/>
      <c r="Z44" s="40">
        <f>1 - CUSTOS!$M$33</f>
        <v>0.6</v>
      </c>
      <c r="AA44" s="40"/>
      <c r="AB44" s="40"/>
    </row>
    <row r="46" spans="1:28" ht="11.25" customHeight="1" x14ac:dyDescent="0.25">
      <c r="K46" s="45" t="s">
        <v>940</v>
      </c>
      <c r="L46" s="40">
        <f t="shared" ref="L46:AB46" si="0">SUMPRODUCT($I$5:$I$44,L$5:L$44)</f>
        <v>3734717.8169000004</v>
      </c>
      <c r="M46" s="40">
        <f t="shared" si="0"/>
        <v>3734717.8169000004</v>
      </c>
      <c r="N46" s="40">
        <f t="shared" si="0"/>
        <v>3734717.8169000004</v>
      </c>
      <c r="O46" s="40">
        <f t="shared" si="0"/>
        <v>3734717.8169000004</v>
      </c>
      <c r="P46" s="40">
        <f t="shared" si="0"/>
        <v>3734717.8169000004</v>
      </c>
      <c r="Q46" s="40">
        <f t="shared" si="0"/>
        <v>0</v>
      </c>
      <c r="R46" s="40">
        <f t="shared" si="0"/>
        <v>3951640.1838739999</v>
      </c>
      <c r="S46" s="40">
        <f t="shared" si="0"/>
        <v>0</v>
      </c>
      <c r="T46" s="40">
        <f t="shared" si="0"/>
        <v>3734717.8169000004</v>
      </c>
      <c r="U46" s="40">
        <f t="shared" si="0"/>
        <v>3734717.8169000004</v>
      </c>
      <c r="V46" s="40">
        <f t="shared" si="0"/>
        <v>3734717.8169000004</v>
      </c>
      <c r="W46" s="40">
        <f t="shared" si="0"/>
        <v>0</v>
      </c>
      <c r="X46" s="40">
        <f t="shared" si="0"/>
        <v>0</v>
      </c>
      <c r="Y46" s="40">
        <f t="shared" si="0"/>
        <v>0</v>
      </c>
      <c r="Z46" s="40">
        <f t="shared" si="0"/>
        <v>3734717.8169000004</v>
      </c>
      <c r="AA46" s="40">
        <f t="shared" si="0"/>
        <v>0</v>
      </c>
      <c r="AB46" s="40">
        <f t="shared" si="0"/>
        <v>0</v>
      </c>
    </row>
    <row r="47" spans="1:28" ht="11.25" customHeight="1" x14ac:dyDescent="0.25">
      <c r="K47" s="45" t="s">
        <v>876</v>
      </c>
      <c r="L47" s="40">
        <f>CUSTOS!$D$30</f>
        <v>9446001.0146527458</v>
      </c>
      <c r="M47" s="40">
        <f>CUSTOS!$D$31</f>
        <v>96302168.731836006</v>
      </c>
      <c r="N47" s="40">
        <f>CUSTOS!$D$32</f>
        <v>0</v>
      </c>
      <c r="O47" s="40">
        <f>CUSTOS!$D$33</f>
        <v>20383291.778120119</v>
      </c>
      <c r="P47" s="40">
        <f>CUSTOS!$D$34</f>
        <v>-63840623.460000001</v>
      </c>
      <c r="Q47" s="40">
        <f>CUSTOS!$D$35</f>
        <v>62290838.064608864</v>
      </c>
      <c r="R47" s="40">
        <f>CUSTOS!$D$36</f>
        <v>835187144.65170205</v>
      </c>
      <c r="S47" s="40">
        <f>CUSTOS!$D$37</f>
        <v>835187144.65170205</v>
      </c>
      <c r="T47" s="40">
        <f>CUSTOS!$D$38</f>
        <v>0</v>
      </c>
      <c r="U47" s="40">
        <f>CUSTOS!$D$39</f>
        <v>0</v>
      </c>
      <c r="V47" s="40">
        <f>CUSTOS!$D$40</f>
        <v>9.9999999999999995E-7</v>
      </c>
      <c r="W47" s="40">
        <f>CUSTOS!$D$41</f>
        <v>9.9999999999999995E-7</v>
      </c>
      <c r="X47" s="40">
        <f>CUSTOS!$D$42</f>
        <v>0</v>
      </c>
      <c r="Y47" s="40">
        <f>CUSTOS!$D$43</f>
        <v>0</v>
      </c>
      <c r="Z47" s="40">
        <f>CUSTOS!$D$44</f>
        <v>21899653.711506557</v>
      </c>
      <c r="AA47" s="40">
        <f>CUSTOS!$D$45</f>
        <v>21899653.711506557</v>
      </c>
      <c r="AB47" s="40">
        <f>CUSTOS!$D$46</f>
        <v>919377636.42781842</v>
      </c>
    </row>
    <row r="48" spans="1:28" ht="11.25" customHeight="1" x14ac:dyDescent="0.25">
      <c r="K48" s="45" t="s">
        <v>877</v>
      </c>
      <c r="L48" s="40">
        <f>CUSTOS!$E$30</f>
        <v>0</v>
      </c>
      <c r="M48" s="40">
        <f>CUSTOS!$E$31</f>
        <v>1147789.8681564496</v>
      </c>
      <c r="N48" s="40">
        <f>CUSTOS!$E$32</f>
        <v>0</v>
      </c>
      <c r="O48" s="40">
        <f>CUSTOS!$E$33</f>
        <v>-796619.13051892526</v>
      </c>
      <c r="P48" s="40">
        <f>CUSTOS!$E$34</f>
        <v>0</v>
      </c>
      <c r="Q48" s="40">
        <f>CUSTOS!$E$35</f>
        <v>351170.73763752438</v>
      </c>
      <c r="R48" s="40">
        <f>CUSTOS!$E$36</f>
        <v>-97281885.840435177</v>
      </c>
      <c r="S48" s="40">
        <f>CUSTOS!$E$37</f>
        <v>-97281885.840435177</v>
      </c>
      <c r="T48" s="40">
        <f>CUSTOS!$E$38</f>
        <v>0</v>
      </c>
      <c r="U48" s="40">
        <f>CUSTOS!$E$39</f>
        <v>0</v>
      </c>
      <c r="V48" s="40">
        <f>CUSTOS!$E$40</f>
        <v>0</v>
      </c>
      <c r="W48" s="40">
        <f>CUSTOS!$E$41</f>
        <v>0</v>
      </c>
      <c r="X48" s="40">
        <f>CUSTOS!$E$42</f>
        <v>-82941795.73641327</v>
      </c>
      <c r="Y48" s="40">
        <f>CUSTOS!$E$43</f>
        <v>-82941795.73641327</v>
      </c>
      <c r="Z48" s="40">
        <f>CUSTOS!$E$44</f>
        <v>-2550852.9746303749</v>
      </c>
      <c r="AA48" s="40">
        <f>CUSTOS!$E$45</f>
        <v>-2550852.9746303749</v>
      </c>
      <c r="AB48" s="40">
        <f>CUSTOS!$E$46</f>
        <v>-182423363.81384131</v>
      </c>
    </row>
    <row r="49" spans="11:28" ht="11.25" customHeight="1" x14ac:dyDescent="0.25">
      <c r="K49" s="45" t="s">
        <v>878</v>
      </c>
      <c r="L49" s="40">
        <f>CUSTOS!$F$30</f>
        <v>0</v>
      </c>
      <c r="M49" s="40">
        <f>CUSTOS!$F$31</f>
        <v>121825550.48913465</v>
      </c>
      <c r="N49" s="40">
        <f>CUSTOS!$F$32</f>
        <v>0</v>
      </c>
      <c r="O49" s="40">
        <f>CUSTOS!$F$33</f>
        <v>1695860.3635268798</v>
      </c>
      <c r="P49" s="40">
        <f>CUSTOS!$F$34</f>
        <v>0</v>
      </c>
      <c r="Q49" s="40">
        <f>CUSTOS!$F$35</f>
        <v>123521410.85266154</v>
      </c>
      <c r="R49" s="40">
        <f>CUSTOS!$F$36</f>
        <v>42686759.393924795</v>
      </c>
      <c r="S49" s="40">
        <f>CUSTOS!$F$37</f>
        <v>42686759.393924795</v>
      </c>
      <c r="T49" s="40">
        <f>CUSTOS!$F$38</f>
        <v>0</v>
      </c>
      <c r="U49" s="40">
        <f>CUSTOS!$F$39</f>
        <v>0</v>
      </c>
      <c r="V49" s="40">
        <f>CUSTOS!$F$40</f>
        <v>0</v>
      </c>
      <c r="W49" s="40">
        <f>CUSTOS!$F$41</f>
        <v>0</v>
      </c>
      <c r="X49" s="40">
        <f>CUSTOS!$F$42</f>
        <v>0</v>
      </c>
      <c r="Y49" s="40">
        <f>CUSTOS!$F$43</f>
        <v>0</v>
      </c>
      <c r="Z49" s="40">
        <f>CUSTOS!$F$44</f>
        <v>1119300.3326017458</v>
      </c>
      <c r="AA49" s="40">
        <f>CUSTOS!$F$45</f>
        <v>1119300.3326017458</v>
      </c>
      <c r="AB49" s="40">
        <f>CUSTOS!$F$46</f>
        <v>167327470.57918808</v>
      </c>
    </row>
    <row r="50" spans="11:28" ht="11.25" customHeight="1" x14ac:dyDescent="0.25">
      <c r="K50" s="45" t="s">
        <v>941</v>
      </c>
      <c r="L50" s="40">
        <f>IF(SUMPRODUCT($I$5:$I$44,$L$5:$L$44)&lt;&gt;0,L47/SUMPRODUCT($I$5:$I$44,$L$5:$L$44),0)</f>
        <v>2.529240889876224</v>
      </c>
      <c r="M50" s="40">
        <f>IF(SUMPRODUCT($I$5:$I$44,$M$5:$M$44)&lt;&gt;0,M47/SUMPRODUCT($I$5:$I$44,$M$5:$M$44),0)</f>
        <v>25.785661314506363</v>
      </c>
      <c r="N50" s="40">
        <f>IF(SUMPRODUCT($I$5:$I$44,$N$5:$N$44)&lt;&gt;0,N47/SUMPRODUCT($I$5:$I$44,$N$5:$N$44),0)</f>
        <v>0</v>
      </c>
      <c r="O50" s="40">
        <f>IF(SUMPRODUCT($I$5:$I$44,$O$5:$O$44)&lt;&gt;0,O47/SUMPRODUCT($I$5:$I$44,$O$5:$O$44),0)</f>
        <v>5.4577863114272054</v>
      </c>
      <c r="P50" s="40">
        <f>IF(SUMPRODUCT($I$5:$I$44,$P$5:$P$44)&lt;&gt;0,P47/SUMPRODUCT($I$5:$I$44,$P$5:$P$44),0)</f>
        <v>-17.093827857921234</v>
      </c>
      <c r="Q50" s="40"/>
      <c r="R50" s="40">
        <f>IF((CUSTOS!$M$12-CUSTOS!$M$13)&lt;&gt;0,(CUSTOS!$M$12*CUSTOS!$M$14)/(CUSTOS!$M$12-CUSTOS!$M$13),0)</f>
        <v>221.29146332299754</v>
      </c>
      <c r="S50" s="40"/>
      <c r="T50" s="40">
        <f>IF(SUMPRODUCT($I$5:$I$44,$T$5:$T$44)&lt;&gt;0,T47/SUMPRODUCT($I$5:$I$44,$T$5:$T$44),0)</f>
        <v>0</v>
      </c>
      <c r="U50" s="40">
        <f>IF(SUMPRODUCT($I$5:$I$44,$U$5:$U$44)&lt;&gt;0,U47/SUMPRODUCT($I$5:$I$44,$U$5:$U$44),0)</f>
        <v>0</v>
      </c>
      <c r="V50" s="40">
        <f>IF(SUMPRODUCT($I$5:$I$44,$V$5:$V$44)&lt;&gt;0,V47/SUMPRODUCT($I$5:$I$44,$V$5:$V$44),0)</f>
        <v>2.6775784651651382E-13</v>
      </c>
      <c r="W50" s="40"/>
      <c r="X50" s="40">
        <f>IF(SUMPRODUCT($I$5:$I$44,$X$5:$X$44)&lt;&gt;0,X47/SUMPRODUCT($I$5:$I$44,$X$5:$X$44),0)</f>
        <v>0</v>
      </c>
      <c r="Y50" s="40"/>
      <c r="Z50" s="40">
        <f>IF(SUMPRODUCT($I$5:$I$44,$Z$5:$Z$44)&lt;&gt;0,Z47/SUMPRODUCT($I$5:$I$44,$Z$5:$Z$44),0)</f>
        <v>5.8638041172503756</v>
      </c>
      <c r="AA50" s="40"/>
      <c r="AB50" s="40"/>
    </row>
    <row r="51" spans="11:28" ht="11.25" customHeight="1" x14ac:dyDescent="0.25">
      <c r="K51" s="45" t="s">
        <v>942</v>
      </c>
      <c r="L51" s="40">
        <f>IF(L46&lt;&gt;0,(L47-L50*0)/(L46-0),0)</f>
        <v>2.529240889876224</v>
      </c>
      <c r="M51" s="40">
        <f>IF(M46&lt;&gt;0,(M47-M50*0)/(M46-0),0)</f>
        <v>25.785661314506363</v>
      </c>
      <c r="N51" s="40">
        <f>IF(N46&lt;&gt;0,(N47-N50*0)/(N46-0),0)</f>
        <v>0</v>
      </c>
      <c r="O51" s="40">
        <f>IF(O46&lt;&gt;0,(O47-O50*0)/(O46-0),0)</f>
        <v>5.4577863114272054</v>
      </c>
      <c r="P51" s="40">
        <f>IF(P46&lt;&gt;0,(P47-P50*0)/(P46-0),0)</f>
        <v>-17.093827857921234</v>
      </c>
      <c r="Q51" s="40"/>
      <c r="R51" s="40">
        <f>IF(R46&lt;&gt;0,(R47-R50*0)/(R46-0),0)</f>
        <v>211.35202239818412</v>
      </c>
      <c r="S51" s="40"/>
      <c r="T51" s="40">
        <f>IF(T46&lt;&gt;0,(T47-T50*0)/(T46-0),0)</f>
        <v>0</v>
      </c>
      <c r="U51" s="40">
        <f>IF(U46&lt;&gt;0,(U47-U50*0)/(U46-0),0)</f>
        <v>0</v>
      </c>
      <c r="V51" s="40">
        <f>IF(V46&lt;&gt;0,(V47-V50*0)/(V46-0),0)</f>
        <v>2.6775784651651382E-13</v>
      </c>
      <c r="W51" s="40"/>
      <c r="X51" s="40">
        <f>IF(X46&lt;&gt;0,(X47-X50*0)/(X46-0),0)</f>
        <v>0</v>
      </c>
      <c r="Y51" s="40"/>
      <c r="Z51" s="40">
        <f>IF(Z46&lt;&gt;0,(Z47-Z50*0)/(Z46-0),0)</f>
        <v>5.8638041172503756</v>
      </c>
      <c r="AA51" s="40"/>
      <c r="AB51" s="40"/>
    </row>
    <row r="52" spans="11:28" ht="11.25" customHeight="1" x14ac:dyDescent="0.25">
      <c r="K52" s="45" t="s">
        <v>943</v>
      </c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</row>
  </sheetData>
  <mergeCells count="67">
    <mergeCell ref="F7:F8"/>
    <mergeCell ref="A5:A6"/>
    <mergeCell ref="B5:B6"/>
    <mergeCell ref="C5:C6"/>
    <mergeCell ref="D5:D6"/>
    <mergeCell ref="E5:E6"/>
    <mergeCell ref="F5:F6"/>
    <mergeCell ref="A7:A9"/>
    <mergeCell ref="B7:B8"/>
    <mergeCell ref="C7:C8"/>
    <mergeCell ref="D7:D8"/>
    <mergeCell ref="E7:E8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E31:E33"/>
    <mergeCell ref="F31:F33"/>
    <mergeCell ref="A23:A37"/>
    <mergeCell ref="B23:B25"/>
    <mergeCell ref="C23:C25"/>
    <mergeCell ref="D23:D25"/>
    <mergeCell ref="E23:E25"/>
    <mergeCell ref="F23:F25"/>
    <mergeCell ref="B27:B29"/>
    <mergeCell ref="C27:C29"/>
    <mergeCell ref="D27:D29"/>
    <mergeCell ref="E27:E29"/>
    <mergeCell ref="F1:F4"/>
    <mergeCell ref="E38:E40"/>
    <mergeCell ref="F38:F40"/>
    <mergeCell ref="A43:A44"/>
    <mergeCell ref="B43:B44"/>
    <mergeCell ref="C43:C44"/>
    <mergeCell ref="B35:B37"/>
    <mergeCell ref="C35:C37"/>
    <mergeCell ref="A38:A42"/>
    <mergeCell ref="B38:B40"/>
    <mergeCell ref="C38:C40"/>
    <mergeCell ref="D38:D40"/>
    <mergeCell ref="F27:F29"/>
    <mergeCell ref="B31:B33"/>
    <mergeCell ref="C31:C33"/>
    <mergeCell ref="D31:D33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91D80-7521-4552-90F4-B28179F442DF}">
  <dimension ref="A1:AB52"/>
  <sheetViews>
    <sheetView showGridLines="0" topLeftCell="L1" workbookViewId="0">
      <selection activeCell="AB46" sqref="AB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1.71093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1.7109375" style="9" bestFit="1" customWidth="1"/>
    <col min="18" max="18" width="15" style="9" bestFit="1" customWidth="1"/>
    <col min="19" max="19" width="12.2851562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5" width="11.42578125" style="9" bestFit="1" customWidth="1"/>
    <col min="26" max="26" width="11" style="9" bestFit="1" customWidth="1"/>
    <col min="27" max="27" width="10.85546875" style="9" bestFit="1" customWidth="1"/>
    <col min="28" max="28" width="12.28515625" style="9" bestFit="1" customWidth="1"/>
    <col min="29" max="16384" width="9.140625" style="9"/>
  </cols>
  <sheetData>
    <row r="1" spans="1:28" ht="11.25" customHeight="1" x14ac:dyDescent="0.25">
      <c r="A1" s="107" t="s">
        <v>92</v>
      </c>
      <c r="B1" s="107" t="s">
        <v>93</v>
      </c>
      <c r="C1" s="107" t="s">
        <v>94</v>
      </c>
      <c r="D1" s="107" t="s">
        <v>95</v>
      </c>
      <c r="E1" s="107" t="s">
        <v>96</v>
      </c>
      <c r="F1" s="107" t="s">
        <v>15</v>
      </c>
      <c r="G1" s="107" t="s">
        <v>98</v>
      </c>
      <c r="H1" s="107" t="s">
        <v>99</v>
      </c>
      <c r="I1" s="107" t="s">
        <v>924</v>
      </c>
      <c r="J1" s="93"/>
      <c r="L1" s="105" t="s">
        <v>944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25">
      <c r="A2" s="107"/>
      <c r="B2" s="107"/>
      <c r="C2" s="107"/>
      <c r="D2" s="107"/>
      <c r="E2" s="107"/>
      <c r="F2" s="107"/>
      <c r="G2" s="107"/>
      <c r="H2" s="107"/>
      <c r="I2" s="107"/>
      <c r="J2" s="93"/>
      <c r="L2" s="105" t="s">
        <v>862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25">
      <c r="A3" s="107"/>
      <c r="B3" s="107"/>
      <c r="C3" s="107"/>
      <c r="D3" s="107"/>
      <c r="E3" s="107"/>
      <c r="F3" s="107"/>
      <c r="G3" s="107"/>
      <c r="H3" s="107"/>
      <c r="I3" s="107"/>
      <c r="J3" s="93"/>
      <c r="L3" s="105" t="s">
        <v>835</v>
      </c>
      <c r="M3" s="105"/>
      <c r="N3" s="105"/>
      <c r="O3" s="105"/>
      <c r="P3" s="105"/>
      <c r="Q3" s="105"/>
      <c r="R3" s="105" t="s">
        <v>866</v>
      </c>
      <c r="S3" s="105"/>
      <c r="T3" s="105" t="s">
        <v>844</v>
      </c>
      <c r="U3" s="105"/>
      <c r="V3" s="105"/>
      <c r="W3" s="105"/>
      <c r="X3" s="105" t="s">
        <v>854</v>
      </c>
      <c r="Y3" s="105"/>
      <c r="Z3" s="105" t="s">
        <v>857</v>
      </c>
      <c r="AA3" s="105"/>
      <c r="AB3" s="105" t="s">
        <v>843</v>
      </c>
    </row>
    <row r="4" spans="1:28" ht="11.25" customHeight="1" x14ac:dyDescent="0.25">
      <c r="A4" s="107"/>
      <c r="B4" s="107"/>
      <c r="C4" s="107"/>
      <c r="D4" s="107"/>
      <c r="E4" s="107"/>
      <c r="F4" s="107"/>
      <c r="G4" s="107"/>
      <c r="H4" s="107"/>
      <c r="I4" s="107"/>
      <c r="J4" s="93"/>
      <c r="L4" s="44" t="s">
        <v>837</v>
      </c>
      <c r="M4" s="44" t="s">
        <v>863</v>
      </c>
      <c r="N4" s="44" t="s">
        <v>864</v>
      </c>
      <c r="O4" s="44" t="s">
        <v>923</v>
      </c>
      <c r="P4" s="44" t="s">
        <v>865</v>
      </c>
      <c r="Q4" s="44" t="s">
        <v>843</v>
      </c>
      <c r="R4" s="44" t="s">
        <v>867</v>
      </c>
      <c r="S4" s="44" t="s">
        <v>843</v>
      </c>
      <c r="T4" s="44" t="s">
        <v>868</v>
      </c>
      <c r="U4" s="44" t="s">
        <v>869</v>
      </c>
      <c r="V4" s="44" t="s">
        <v>870</v>
      </c>
      <c r="W4" s="44" t="s">
        <v>843</v>
      </c>
      <c r="X4" s="44" t="s">
        <v>855</v>
      </c>
      <c r="Y4" s="44" t="s">
        <v>843</v>
      </c>
      <c r="Z4" s="44" t="s">
        <v>871</v>
      </c>
      <c r="AA4" s="44" t="s">
        <v>843</v>
      </c>
      <c r="AB4" s="106"/>
    </row>
    <row r="5" spans="1:28" ht="11.25" customHeight="1" x14ac:dyDescent="0.25">
      <c r="A5" s="108" t="s">
        <v>39</v>
      </c>
      <c r="B5" s="108" t="s">
        <v>101</v>
      </c>
      <c r="C5" s="108" t="s">
        <v>25</v>
      </c>
      <c r="D5" s="108" t="s">
        <v>25</v>
      </c>
      <c r="E5" s="108" t="s">
        <v>25</v>
      </c>
      <c r="F5" s="108" t="s">
        <v>25</v>
      </c>
      <c r="G5" s="43" t="s">
        <v>103</v>
      </c>
      <c r="H5" s="43" t="s">
        <v>102</v>
      </c>
      <c r="I5" s="43">
        <f>'MERCADO TE'!$U$2</f>
        <v>7394.5769999999993</v>
      </c>
      <c r="J5" s="15"/>
      <c r="L5" s="40">
        <f>'TR TE'!$L$5*'TR TE'!$L$51</f>
        <v>2.529240889876224</v>
      </c>
      <c r="M5" s="40">
        <f>'TR TE'!$M$5*'TR TE'!$M$51</f>
        <v>25.785661314506363</v>
      </c>
      <c r="N5" s="40">
        <f>'TR TE'!$N$5*'TR TE'!$N$51</f>
        <v>0</v>
      </c>
      <c r="O5" s="40">
        <f>'TR TE'!$O$5*'TR TE'!$O$51</f>
        <v>5.4577863114272054</v>
      </c>
      <c r="P5" s="40">
        <f>'TR TE'!$P$5*'TR TE'!$P$51</f>
        <v>-17.093827857921234</v>
      </c>
      <c r="Q5" s="40">
        <f>SUM($L$5:$P$5)</f>
        <v>16.678860657888556</v>
      </c>
      <c r="R5" s="40">
        <f>'TR TE'!$R$5*'TR TE'!$R$51</f>
        <v>363.52547852487669</v>
      </c>
      <c r="S5" s="40">
        <f>SUM($R$5:$R$5)</f>
        <v>363.52547852487669</v>
      </c>
      <c r="T5" s="40">
        <f>'TR TE'!$T$5*'TR TE'!$T$51</f>
        <v>0</v>
      </c>
      <c r="U5" s="40">
        <f>'TR TE'!$U$5*'TR TE'!$U$51</f>
        <v>0</v>
      </c>
      <c r="V5" s="40">
        <f>'TR TE'!$V$5*'TR TE'!$V$51</f>
        <v>2.6775784651651382E-13</v>
      </c>
      <c r="W5" s="40">
        <f>SUM($T$5:$V$5)</f>
        <v>2.6775784651651382E-13</v>
      </c>
      <c r="X5" s="40"/>
      <c r="Y5" s="40">
        <f>SUM($X$5:$X$5)</f>
        <v>0</v>
      </c>
      <c r="Z5" s="40">
        <f>'TR TE'!$Z$5*'TR TE'!$Z$51</f>
        <v>5.8638041172503756</v>
      </c>
      <c r="AA5" s="40">
        <f>SUM($Z$5:$Z$5)</f>
        <v>5.8638041172503756</v>
      </c>
      <c r="AB5" s="40">
        <f>SUMIF($L$4:$AA$4,"SUBTOTAL",$L$5:$AA$5)</f>
        <v>386.06814330001589</v>
      </c>
    </row>
    <row r="6" spans="1:28" ht="11.25" customHeight="1" x14ac:dyDescent="0.25">
      <c r="A6" s="108"/>
      <c r="B6" s="108"/>
      <c r="C6" s="108"/>
      <c r="D6" s="108"/>
      <c r="E6" s="108"/>
      <c r="F6" s="108"/>
      <c r="G6" s="43" t="s">
        <v>104</v>
      </c>
      <c r="H6" s="43" t="s">
        <v>102</v>
      </c>
      <c r="I6" s="43">
        <f>'MERCADO TE'!$U$3</f>
        <v>86286.733999999997</v>
      </c>
      <c r="J6" s="15"/>
      <c r="L6" s="40">
        <f>'TR TE'!$L$6*'TR TE'!$L$51</f>
        <v>2.529240889876224</v>
      </c>
      <c r="M6" s="40">
        <f>'TR TE'!$M$6*'TR TE'!$M$51</f>
        <v>25.785661314506363</v>
      </c>
      <c r="N6" s="40">
        <f>'TR TE'!$N$6*'TR TE'!$N$51</f>
        <v>0</v>
      </c>
      <c r="O6" s="40">
        <f>'TR TE'!$O$6*'TR TE'!$O$51</f>
        <v>5.4577863114272054</v>
      </c>
      <c r="P6" s="40">
        <f>'TR TE'!$P$6*'TR TE'!$P$51</f>
        <v>-17.093827857921234</v>
      </c>
      <c r="Q6" s="40">
        <f>SUM($L$6:$P$6)</f>
        <v>16.678860657888556</v>
      </c>
      <c r="R6" s="40">
        <f>'TR TE'!$R$6*'TR TE'!$R$51</f>
        <v>211.35202239818412</v>
      </c>
      <c r="S6" s="40">
        <f>SUM($R$6:$R$6)</f>
        <v>211.35202239818412</v>
      </c>
      <c r="T6" s="40">
        <f>'TR TE'!$T$6*'TR TE'!$T$51</f>
        <v>0</v>
      </c>
      <c r="U6" s="40">
        <f>'TR TE'!$U$6*'TR TE'!$U$51</f>
        <v>0</v>
      </c>
      <c r="V6" s="40">
        <f>'TR TE'!$V$6*'TR TE'!$V$51</f>
        <v>2.6775784651651382E-13</v>
      </c>
      <c r="W6" s="40">
        <f>SUM($T$6:$V$6)</f>
        <v>2.6775784651651382E-13</v>
      </c>
      <c r="X6" s="40"/>
      <c r="Y6" s="40">
        <f>SUM($X$6:$X$6)</f>
        <v>0</v>
      </c>
      <c r="Z6" s="40">
        <f>'TR TE'!$Z$6*'TR TE'!$Z$51</f>
        <v>5.8638041172503756</v>
      </c>
      <c r="AA6" s="40">
        <f>SUM($Z$6:$Z$6)</f>
        <v>5.8638041172503756</v>
      </c>
      <c r="AB6" s="40">
        <f>SUMIF($L$4:$AA$4,"SUBTOTAL",$L$6:$AA$6)</f>
        <v>233.89468717332329</v>
      </c>
    </row>
    <row r="7" spans="1:28" ht="11.25" customHeight="1" x14ac:dyDescent="0.25">
      <c r="A7" s="108" t="s">
        <v>41</v>
      </c>
      <c r="B7" s="108" t="s">
        <v>101</v>
      </c>
      <c r="C7" s="108" t="s">
        <v>25</v>
      </c>
      <c r="D7" s="108" t="s">
        <v>25</v>
      </c>
      <c r="E7" s="108" t="s">
        <v>25</v>
      </c>
      <c r="F7" s="108" t="s">
        <v>25</v>
      </c>
      <c r="G7" s="43" t="s">
        <v>103</v>
      </c>
      <c r="H7" s="43" t="s">
        <v>102</v>
      </c>
      <c r="I7" s="43">
        <f>'MERCADO TE'!$U$4</f>
        <v>39726.173999999992</v>
      </c>
      <c r="J7" s="15"/>
      <c r="L7" s="40">
        <f>'TR TE'!$L$7*'TR TE'!$L$51</f>
        <v>2.529240889876224</v>
      </c>
      <c r="M7" s="40">
        <f>'TR TE'!$M$7*'TR TE'!$M$51</f>
        <v>25.785661314506363</v>
      </c>
      <c r="N7" s="40">
        <f>'TR TE'!$N$7*'TR TE'!$N$51</f>
        <v>0</v>
      </c>
      <c r="O7" s="40">
        <f>'TR TE'!$O$7*'TR TE'!$O$51</f>
        <v>5.4577863114272054</v>
      </c>
      <c r="P7" s="40">
        <f>'TR TE'!$P$7*'TR TE'!$P$51</f>
        <v>-17.093827857921234</v>
      </c>
      <c r="Q7" s="40">
        <f>SUM($L$7:$P$7)</f>
        <v>16.678860657888556</v>
      </c>
      <c r="R7" s="40">
        <f>'TR TE'!$R$7*'TR TE'!$R$51</f>
        <v>363.52547852487669</v>
      </c>
      <c r="S7" s="40">
        <f>SUM($R$7:$R$7)</f>
        <v>363.52547852487669</v>
      </c>
      <c r="T7" s="40">
        <f>'TR TE'!$T$7*'TR TE'!$T$51</f>
        <v>0</v>
      </c>
      <c r="U7" s="40">
        <f>'TR TE'!$U$7*'TR TE'!$U$51</f>
        <v>0</v>
      </c>
      <c r="V7" s="40">
        <f>'TR TE'!$V$7*'TR TE'!$V$51</f>
        <v>2.6775784651651382E-13</v>
      </c>
      <c r="W7" s="40">
        <f>SUM($T$7:$V$7)</f>
        <v>2.6775784651651382E-13</v>
      </c>
      <c r="X7" s="40"/>
      <c r="Y7" s="40">
        <f>SUM($X$7:$X$7)</f>
        <v>0</v>
      </c>
      <c r="Z7" s="40">
        <f>'TR TE'!$Z$7*'TR TE'!$Z$51</f>
        <v>5.8638041172503756</v>
      </c>
      <c r="AA7" s="40">
        <f>SUM($Z$7:$Z$7)</f>
        <v>5.8638041172503756</v>
      </c>
      <c r="AB7" s="40">
        <f>SUMIF($L$4:$AA$4,"SUBTOTAL",$L$7:$AA$7)</f>
        <v>386.06814330001589</v>
      </c>
    </row>
    <row r="8" spans="1:28" ht="11.25" customHeight="1" x14ac:dyDescent="0.25">
      <c r="A8" s="108"/>
      <c r="B8" s="108"/>
      <c r="C8" s="108"/>
      <c r="D8" s="108"/>
      <c r="E8" s="108"/>
      <c r="F8" s="108"/>
      <c r="G8" s="43" t="s">
        <v>104</v>
      </c>
      <c r="H8" s="43" t="s">
        <v>102</v>
      </c>
      <c r="I8" s="43">
        <f>'MERCADO TE'!$U$5</f>
        <v>550599.2379999999</v>
      </c>
      <c r="J8" s="15"/>
      <c r="L8" s="40">
        <f>'TR TE'!$L$8*'TR TE'!$L$51</f>
        <v>2.529240889876224</v>
      </c>
      <c r="M8" s="40">
        <f>'TR TE'!$M$8*'TR TE'!$M$51</f>
        <v>25.785661314506363</v>
      </c>
      <c r="N8" s="40">
        <f>'TR TE'!$N$8*'TR TE'!$N$51</f>
        <v>0</v>
      </c>
      <c r="O8" s="40">
        <f>'TR TE'!$O$8*'TR TE'!$O$51</f>
        <v>5.4577863114272054</v>
      </c>
      <c r="P8" s="40">
        <f>'TR TE'!$P$8*'TR TE'!$P$51</f>
        <v>-17.093827857921234</v>
      </c>
      <c r="Q8" s="40">
        <f>SUM($L$8:$P$8)</f>
        <v>16.678860657888556</v>
      </c>
      <c r="R8" s="40">
        <f>'TR TE'!$R$8*'TR TE'!$R$51</f>
        <v>211.35202239818412</v>
      </c>
      <c r="S8" s="40">
        <f>SUM($R$8:$R$8)</f>
        <v>211.35202239818412</v>
      </c>
      <c r="T8" s="40">
        <f>'TR TE'!$T$8*'TR TE'!$T$51</f>
        <v>0</v>
      </c>
      <c r="U8" s="40">
        <f>'TR TE'!$U$8*'TR TE'!$U$51</f>
        <v>0</v>
      </c>
      <c r="V8" s="40">
        <f>'TR TE'!$V$8*'TR TE'!$V$51</f>
        <v>2.6775784651651382E-13</v>
      </c>
      <c r="W8" s="40">
        <f>SUM($T$8:$V$8)</f>
        <v>2.6775784651651382E-13</v>
      </c>
      <c r="X8" s="40"/>
      <c r="Y8" s="40">
        <f>SUM($X$8:$X$8)</f>
        <v>0</v>
      </c>
      <c r="Z8" s="40">
        <f>'TR TE'!$Z$8*'TR TE'!$Z$51</f>
        <v>5.8638041172503756</v>
      </c>
      <c r="AA8" s="40">
        <f>SUM($Z$8:$Z$8)</f>
        <v>5.8638041172503756</v>
      </c>
      <c r="AB8" s="40">
        <f>SUMIF($L$4:$AA$4,"SUBTOTAL",$L$8:$AA$8)</f>
        <v>233.89468717332329</v>
      </c>
    </row>
    <row r="9" spans="1:28" ht="11.25" customHeight="1" x14ac:dyDescent="0.25">
      <c r="A9" s="108"/>
      <c r="B9" s="42" t="s">
        <v>109</v>
      </c>
      <c r="C9" s="42" t="s">
        <v>25</v>
      </c>
      <c r="D9" s="42" t="s">
        <v>25</v>
      </c>
      <c r="E9" s="42" t="s">
        <v>25</v>
      </c>
      <c r="F9" s="42" t="s">
        <v>25</v>
      </c>
      <c r="G9" s="43" t="s">
        <v>108</v>
      </c>
      <c r="H9" s="43" t="s">
        <v>102</v>
      </c>
      <c r="I9" s="43">
        <f>'MERCADO TE'!$U$6</f>
        <v>0</v>
      </c>
      <c r="J9" s="15"/>
      <c r="L9" s="40">
        <f>'TR TE'!$L$9*'TR TE'!$L$51</f>
        <v>2.529240889876224</v>
      </c>
      <c r="M9" s="40">
        <f>'TR TE'!$M$9*'TR TE'!$M$51</f>
        <v>25.785661314506363</v>
      </c>
      <c r="N9" s="40">
        <f>'TR TE'!$N$9*'TR TE'!$N$51</f>
        <v>0</v>
      </c>
      <c r="O9" s="40">
        <f>'TR TE'!$O$9*'TR TE'!$O$51</f>
        <v>5.4577863114272054</v>
      </c>
      <c r="P9" s="40">
        <f>'TR TE'!$P$9*'TR TE'!$P$51</f>
        <v>-17.093827857921234</v>
      </c>
      <c r="Q9" s="40">
        <f>SUM($L$9:$P$9)</f>
        <v>16.678860657888556</v>
      </c>
      <c r="R9" s="40">
        <f>'TR TE'!$R$9*'TR TE'!$R$51</f>
        <v>224.03314374207517</v>
      </c>
      <c r="S9" s="40">
        <f>SUM($R$9:$R$9)</f>
        <v>224.03314374207517</v>
      </c>
      <c r="T9" s="40">
        <f>'TR TE'!$T$9*'TR TE'!$T$51</f>
        <v>0</v>
      </c>
      <c r="U9" s="40">
        <f>'TR TE'!$U$9*'TR TE'!$U$51</f>
        <v>0</v>
      </c>
      <c r="V9" s="40">
        <f>'TR TE'!$V$9*'TR TE'!$V$51</f>
        <v>2.6775784651651382E-13</v>
      </c>
      <c r="W9" s="40">
        <f>SUM($T$9:$V$9)</f>
        <v>2.6775784651651382E-13</v>
      </c>
      <c r="X9" s="40"/>
      <c r="Y9" s="40">
        <f>SUM($X$9:$X$9)</f>
        <v>0</v>
      </c>
      <c r="Z9" s="40">
        <f>'TR TE'!$Z$9*'TR TE'!$Z$51</f>
        <v>5.8638041172503756</v>
      </c>
      <c r="AA9" s="40">
        <f>SUM($Z$9:$Z$9)</f>
        <v>5.8638041172503756</v>
      </c>
      <c r="AB9" s="40">
        <f>SUMIF($L$4:$AA$4,"SUBTOTAL",$L$9:$AA$9)</f>
        <v>246.57580851721434</v>
      </c>
    </row>
    <row r="10" spans="1:28" ht="11.25" customHeight="1" x14ac:dyDescent="0.25">
      <c r="A10" s="108" t="s">
        <v>22</v>
      </c>
      <c r="B10" s="108" t="s">
        <v>101</v>
      </c>
      <c r="C10" s="108" t="s">
        <v>24</v>
      </c>
      <c r="D10" s="108" t="s">
        <v>24</v>
      </c>
      <c r="E10" s="108" t="s">
        <v>25</v>
      </c>
      <c r="F10" s="108" t="s">
        <v>25</v>
      </c>
      <c r="G10" s="43" t="s">
        <v>103</v>
      </c>
      <c r="H10" s="43" t="s">
        <v>102</v>
      </c>
      <c r="I10" s="43">
        <f>'MERCADO TE'!$U$7</f>
        <v>107.383</v>
      </c>
      <c r="J10" s="15"/>
      <c r="L10" s="40">
        <f>'TR TE'!$L$10*'TR TE'!$L$51</f>
        <v>2.529240889876224</v>
      </c>
      <c r="M10" s="40">
        <f>'TR TE'!$M$10*'TR TE'!$M$51</f>
        <v>25.785661314506363</v>
      </c>
      <c r="N10" s="40">
        <f>'TR TE'!$N$10*'TR TE'!$N$51</f>
        <v>0</v>
      </c>
      <c r="O10" s="40">
        <f>'TR TE'!$O$10*'TR TE'!$O$51</f>
        <v>5.4577863114272054</v>
      </c>
      <c r="P10" s="40">
        <f>'TR TE'!$P$10*'TR TE'!$P$51</f>
        <v>-17.093827857921234</v>
      </c>
      <c r="Q10" s="40">
        <f>SUM($L$10:$P$10)</f>
        <v>16.678860657888556</v>
      </c>
      <c r="R10" s="40">
        <f>'TR TE'!$R$10*'TR TE'!$R$51</f>
        <v>363.52547852487669</v>
      </c>
      <c r="S10" s="40">
        <f>SUM($R$10:$R$10)</f>
        <v>363.52547852487669</v>
      </c>
      <c r="T10" s="40">
        <f>'TR TE'!$T$10*'TR TE'!$T$51</f>
        <v>0</v>
      </c>
      <c r="U10" s="40">
        <f>'TR TE'!$U$10*'TR TE'!$U$51</f>
        <v>0</v>
      </c>
      <c r="V10" s="40">
        <f>'TR TE'!$V$10*'TR TE'!$V$51</f>
        <v>2.6775784651651382E-13</v>
      </c>
      <c r="W10" s="40">
        <f>SUM($T$10:$V$10)</f>
        <v>2.6775784651651382E-13</v>
      </c>
      <c r="X10" s="40"/>
      <c r="Y10" s="40">
        <f>SUM($X$10:$X$10)</f>
        <v>0</v>
      </c>
      <c r="Z10" s="40">
        <f>'TR TE'!$Z$10*'TR TE'!$Z$51</f>
        <v>5.8638041172503756</v>
      </c>
      <c r="AA10" s="40">
        <f>SUM($Z$10:$Z$10)</f>
        <v>5.8638041172503756</v>
      </c>
      <c r="AB10" s="40">
        <f>SUMIF($L$4:$AA$4,"SUBTOTAL",$L$10:$AA$10)</f>
        <v>386.06814330001589</v>
      </c>
    </row>
    <row r="11" spans="1:28" ht="11.25" customHeight="1" x14ac:dyDescent="0.25">
      <c r="A11" s="108"/>
      <c r="B11" s="108"/>
      <c r="C11" s="108"/>
      <c r="D11" s="108"/>
      <c r="E11" s="108"/>
      <c r="F11" s="108"/>
      <c r="G11" s="43" t="s">
        <v>113</v>
      </c>
      <c r="H11" s="43" t="s">
        <v>102</v>
      </c>
      <c r="I11" s="43">
        <f>'MERCADO TE'!$U$8</f>
        <v>73.695000000000007</v>
      </c>
      <c r="J11" s="15"/>
      <c r="L11" s="40">
        <f>'TR TE'!$L$11*'TR TE'!$L$51</f>
        <v>2.529240889876224</v>
      </c>
      <c r="M11" s="40">
        <f>'TR TE'!$M$11*'TR TE'!$M$51</f>
        <v>25.785661314506363</v>
      </c>
      <c r="N11" s="40">
        <f>'TR TE'!$N$11*'TR TE'!$N$51</f>
        <v>0</v>
      </c>
      <c r="O11" s="40">
        <f>'TR TE'!$O$11*'TR TE'!$O$51</f>
        <v>5.4577863114272054</v>
      </c>
      <c r="P11" s="40">
        <f>'TR TE'!$P$11*'TR TE'!$P$51</f>
        <v>-17.093827857921234</v>
      </c>
      <c r="Q11" s="40">
        <f>SUM($L$11:$P$11)</f>
        <v>16.678860657888556</v>
      </c>
      <c r="R11" s="40">
        <f>'TR TE'!$R$11*'TR TE'!$R$51</f>
        <v>211.35202239818412</v>
      </c>
      <c r="S11" s="40">
        <f>SUM($R$11:$R$11)</f>
        <v>211.35202239818412</v>
      </c>
      <c r="T11" s="40">
        <f>'TR TE'!$T$11*'TR TE'!$T$51</f>
        <v>0</v>
      </c>
      <c r="U11" s="40">
        <f>'TR TE'!$U$11*'TR TE'!$U$51</f>
        <v>0</v>
      </c>
      <c r="V11" s="40">
        <f>'TR TE'!$V$11*'TR TE'!$V$51</f>
        <v>2.6775784651651382E-13</v>
      </c>
      <c r="W11" s="40">
        <f>SUM($T$11:$V$11)</f>
        <v>2.6775784651651382E-13</v>
      </c>
      <c r="X11" s="40"/>
      <c r="Y11" s="40">
        <f>SUM($X$11:$X$11)</f>
        <v>0</v>
      </c>
      <c r="Z11" s="40">
        <f>'TR TE'!$Z$11*'TR TE'!$Z$51</f>
        <v>5.8638041172503756</v>
      </c>
      <c r="AA11" s="40">
        <f>SUM($Z$11:$Z$11)</f>
        <v>5.8638041172503756</v>
      </c>
      <c r="AB11" s="40">
        <f>SUMIF($L$4:$AA$4,"SUBTOTAL",$L$11:$AA$11)</f>
        <v>233.89468717332329</v>
      </c>
    </row>
    <row r="12" spans="1:28" ht="11.25" customHeight="1" x14ac:dyDescent="0.25">
      <c r="A12" s="108"/>
      <c r="B12" s="108"/>
      <c r="C12" s="108"/>
      <c r="D12" s="108"/>
      <c r="E12" s="108"/>
      <c r="F12" s="108"/>
      <c r="G12" s="43" t="s">
        <v>104</v>
      </c>
      <c r="H12" s="43" t="s">
        <v>102</v>
      </c>
      <c r="I12" s="43">
        <f>'MERCADO TE'!$U$9</f>
        <v>1358.0870000000002</v>
      </c>
      <c r="J12" s="15"/>
      <c r="L12" s="40">
        <f>'TR TE'!$L$12*'TR TE'!$L$51</f>
        <v>2.529240889876224</v>
      </c>
      <c r="M12" s="40">
        <f>'TR TE'!$M$12*'TR TE'!$M$51</f>
        <v>25.785661314506363</v>
      </c>
      <c r="N12" s="40">
        <f>'TR TE'!$N$12*'TR TE'!$N$51</f>
        <v>0</v>
      </c>
      <c r="O12" s="40">
        <f>'TR TE'!$O$12*'TR TE'!$O$51</f>
        <v>5.4577863114272054</v>
      </c>
      <c r="P12" s="40">
        <f>'TR TE'!$P$12*'TR TE'!$P$51</f>
        <v>-17.093827857921234</v>
      </c>
      <c r="Q12" s="40">
        <f>SUM($L$12:$P$12)</f>
        <v>16.678860657888556</v>
      </c>
      <c r="R12" s="40">
        <f>'TR TE'!$R$12*'TR TE'!$R$51</f>
        <v>211.35202239818412</v>
      </c>
      <c r="S12" s="40">
        <f>SUM($R$12:$R$12)</f>
        <v>211.35202239818412</v>
      </c>
      <c r="T12" s="40">
        <f>'TR TE'!$T$12*'TR TE'!$T$51</f>
        <v>0</v>
      </c>
      <c r="U12" s="40">
        <f>'TR TE'!$U$12*'TR TE'!$U$51</f>
        <v>0</v>
      </c>
      <c r="V12" s="40">
        <f>'TR TE'!$V$12*'TR TE'!$V$51</f>
        <v>2.6775784651651382E-13</v>
      </c>
      <c r="W12" s="40">
        <f>SUM($T$12:$V$12)</f>
        <v>2.6775784651651382E-13</v>
      </c>
      <c r="X12" s="40"/>
      <c r="Y12" s="40">
        <f>SUM($X$12:$X$12)</f>
        <v>0</v>
      </c>
      <c r="Z12" s="40">
        <f>'TR TE'!$Z$12*'TR TE'!$Z$51</f>
        <v>5.8638041172503756</v>
      </c>
      <c r="AA12" s="40">
        <f>SUM($Z$12:$Z$12)</f>
        <v>5.8638041172503756</v>
      </c>
      <c r="AB12" s="40">
        <f>SUMIF($L$4:$AA$4,"SUBTOTAL",$L$12:$AA$12)</f>
        <v>233.89468717332329</v>
      </c>
    </row>
    <row r="13" spans="1:28" ht="11.25" customHeight="1" x14ac:dyDescent="0.25">
      <c r="A13" s="108"/>
      <c r="B13" s="108" t="s">
        <v>109</v>
      </c>
      <c r="C13" s="108" t="s">
        <v>24</v>
      </c>
      <c r="D13" s="42" t="s">
        <v>24</v>
      </c>
      <c r="E13" s="42" t="s">
        <v>25</v>
      </c>
      <c r="F13" s="42" t="s">
        <v>25</v>
      </c>
      <c r="G13" s="43" t="s">
        <v>108</v>
      </c>
      <c r="H13" s="43" t="s">
        <v>102</v>
      </c>
      <c r="I13" s="43">
        <f>'MERCADO TE'!$U$10</f>
        <v>1398369.1870000002</v>
      </c>
      <c r="J13" s="15"/>
      <c r="L13" s="40">
        <f>'TR TE'!$L$13*'TR TE'!$L$51</f>
        <v>2.529240889876224</v>
      </c>
      <c r="M13" s="40">
        <f>'TR TE'!$M$13*'TR TE'!$M$51</f>
        <v>25.785661314506363</v>
      </c>
      <c r="N13" s="40">
        <f>'TR TE'!$N$13*'TR TE'!$N$51</f>
        <v>0</v>
      </c>
      <c r="O13" s="40">
        <f>'TR TE'!$O$13*'TR TE'!$O$51</f>
        <v>5.4577863114272054</v>
      </c>
      <c r="P13" s="40">
        <f>'TR TE'!$P$13*'TR TE'!$P$51</f>
        <v>-17.093827857921234</v>
      </c>
      <c r="Q13" s="40">
        <f>SUM($L$13:$P$13)</f>
        <v>16.678860657888556</v>
      </c>
      <c r="R13" s="40">
        <f>'TR TE'!$R$13*'TR TE'!$R$51</f>
        <v>224.03314374207517</v>
      </c>
      <c r="S13" s="40">
        <f>SUM($R$13:$R$13)</f>
        <v>224.03314374207517</v>
      </c>
      <c r="T13" s="40">
        <f>'TR TE'!$T$13*'TR TE'!$T$51</f>
        <v>0</v>
      </c>
      <c r="U13" s="40">
        <f>'TR TE'!$U$13*'TR TE'!$U$51</f>
        <v>0</v>
      </c>
      <c r="V13" s="40">
        <f>'TR TE'!$V$13*'TR TE'!$V$51</f>
        <v>2.6775784651651382E-13</v>
      </c>
      <c r="W13" s="40">
        <f>SUM($T$13:$V$13)</f>
        <v>2.6775784651651382E-13</v>
      </c>
      <c r="X13" s="40"/>
      <c r="Y13" s="40">
        <f>SUM($X$13:$X$13)</f>
        <v>0</v>
      </c>
      <c r="Z13" s="40">
        <f>'TR TE'!$Z$13*'TR TE'!$Z$51</f>
        <v>5.8638041172503756</v>
      </c>
      <c r="AA13" s="40">
        <f>SUM($Z$13:$Z$13)</f>
        <v>5.8638041172503756</v>
      </c>
      <c r="AB13" s="40">
        <f>SUMIF($L$4:$AA$4,"SUBTOTAL",$L$13:$AA$13)</f>
        <v>246.57580851721434</v>
      </c>
    </row>
    <row r="14" spans="1:28" ht="11.25" customHeight="1" x14ac:dyDescent="0.25">
      <c r="A14" s="108"/>
      <c r="B14" s="108"/>
      <c r="C14" s="108"/>
      <c r="D14" s="42" t="s">
        <v>29</v>
      </c>
      <c r="E14" s="42" t="s">
        <v>25</v>
      </c>
      <c r="F14" s="42" t="s">
        <v>25</v>
      </c>
      <c r="G14" s="43" t="s">
        <v>108</v>
      </c>
      <c r="H14" s="43" t="s">
        <v>102</v>
      </c>
      <c r="I14" s="43">
        <f>'MERCADO TE'!$U$11</f>
        <v>161060.71900000001</v>
      </c>
      <c r="J14" s="15"/>
      <c r="L14" s="40">
        <f>'TR TE'!$L$14*'TR TE'!$L$51</f>
        <v>2.529240889876224</v>
      </c>
      <c r="M14" s="40">
        <f>'TR TE'!$M$14*'TR TE'!$M$51</f>
        <v>25.785661314506363</v>
      </c>
      <c r="N14" s="40">
        <f>'TR TE'!$N$14*'TR TE'!$N$51</f>
        <v>0</v>
      </c>
      <c r="O14" s="40">
        <f>'TR TE'!$O$14*'TR TE'!$O$51</f>
        <v>5.4577863114272054</v>
      </c>
      <c r="P14" s="40">
        <f>'TR TE'!$P$14*'TR TE'!$P$51</f>
        <v>-17.093827857921234</v>
      </c>
      <c r="Q14" s="40">
        <f>SUM($L$14:$P$14)</f>
        <v>16.678860657888556</v>
      </c>
      <c r="R14" s="40">
        <f>'TR TE'!$R$14*'TR TE'!$R$51</f>
        <v>224.03314374207517</v>
      </c>
      <c r="S14" s="40">
        <f>SUM($R$14:$R$14)</f>
        <v>224.03314374207517</v>
      </c>
      <c r="T14" s="40">
        <f>'TR TE'!$T$14*'TR TE'!$T$51</f>
        <v>0</v>
      </c>
      <c r="U14" s="40">
        <f>'TR TE'!$U$14*'TR TE'!$U$51</f>
        <v>0</v>
      </c>
      <c r="V14" s="40">
        <f>'TR TE'!$V$14*'TR TE'!$V$51</f>
        <v>2.6775784651651382E-13</v>
      </c>
      <c r="W14" s="40">
        <f>SUM($T$14:$V$14)</f>
        <v>2.6775784651651382E-13</v>
      </c>
      <c r="X14" s="40"/>
      <c r="Y14" s="40">
        <f>SUM($X$14:$X$14)</f>
        <v>0</v>
      </c>
      <c r="Z14" s="40">
        <f>'TR TE'!$Z$14*'TR TE'!$Z$51</f>
        <v>5.8638041172503756</v>
      </c>
      <c r="AA14" s="40">
        <f>SUM($Z$14:$Z$14)</f>
        <v>5.8638041172503756</v>
      </c>
      <c r="AB14" s="40">
        <f>SUMIF($L$4:$AA$4,"SUBTOTAL",$L$14:$AA$14)</f>
        <v>246.57580851721434</v>
      </c>
    </row>
    <row r="15" spans="1:28" ht="11.25" customHeight="1" x14ac:dyDescent="0.25">
      <c r="A15" s="108"/>
      <c r="B15" s="108"/>
      <c r="C15" s="108"/>
      <c r="D15" s="42" t="s">
        <v>30</v>
      </c>
      <c r="E15" s="42" t="s">
        <v>25</v>
      </c>
      <c r="F15" s="42" t="s">
        <v>25</v>
      </c>
      <c r="G15" s="43" t="s">
        <v>108</v>
      </c>
      <c r="H15" s="43" t="s">
        <v>102</v>
      </c>
      <c r="I15" s="43">
        <f>'MERCADO TE'!$U$12</f>
        <v>267147.82800000004</v>
      </c>
      <c r="J15" s="15"/>
      <c r="L15" s="40">
        <f>'TR TE'!$L$15*'TR TE'!$L$51</f>
        <v>2.529240889876224</v>
      </c>
      <c r="M15" s="40">
        <f>'TR TE'!$M$15*'TR TE'!$M$51</f>
        <v>25.785661314506363</v>
      </c>
      <c r="N15" s="40">
        <f>'TR TE'!$N$15*'TR TE'!$N$51</f>
        <v>0</v>
      </c>
      <c r="O15" s="40">
        <f>'TR TE'!$O$15*'TR TE'!$O$51</f>
        <v>5.4577863114272054</v>
      </c>
      <c r="P15" s="40">
        <f>'TR TE'!$P$15*'TR TE'!$P$51</f>
        <v>-17.093827857921234</v>
      </c>
      <c r="Q15" s="40">
        <f>SUM($L$15:$P$15)</f>
        <v>16.678860657888556</v>
      </c>
      <c r="R15" s="40">
        <f>'TR TE'!$R$15*'TR TE'!$R$51</f>
        <v>224.03314374207517</v>
      </c>
      <c r="S15" s="40">
        <f>SUM($R$15:$R$15)</f>
        <v>224.03314374207517</v>
      </c>
      <c r="T15" s="40">
        <f>'TR TE'!$T$15*'TR TE'!$T$51</f>
        <v>0</v>
      </c>
      <c r="U15" s="40">
        <f>'TR TE'!$U$15*'TR TE'!$U$51</f>
        <v>0</v>
      </c>
      <c r="V15" s="40">
        <f>'TR TE'!$V$15*'TR TE'!$V$51</f>
        <v>2.6775784651651382E-13</v>
      </c>
      <c r="W15" s="40">
        <f>SUM($T$15:$V$15)</f>
        <v>2.6775784651651382E-13</v>
      </c>
      <c r="X15" s="40"/>
      <c r="Y15" s="40">
        <f>SUM($X$15:$X$15)</f>
        <v>0</v>
      </c>
      <c r="Z15" s="40">
        <f>'TR TE'!$Z$15*'TR TE'!$Z$51</f>
        <v>5.8638041172503756</v>
      </c>
      <c r="AA15" s="40">
        <f>SUM($Z$15:$Z$15)</f>
        <v>5.8638041172503756</v>
      </c>
      <c r="AB15" s="40">
        <f>SUMIF($L$4:$AA$4,"SUBTOTAL",$L$15:$AA$15)</f>
        <v>246.57580851721434</v>
      </c>
    </row>
    <row r="16" spans="1:28" ht="11.25" customHeight="1" x14ac:dyDescent="0.25">
      <c r="A16" s="108"/>
      <c r="B16" s="108"/>
      <c r="C16" s="108"/>
      <c r="D16" s="42" t="s">
        <v>31</v>
      </c>
      <c r="E16" s="42" t="s">
        <v>25</v>
      </c>
      <c r="F16" s="42" t="s">
        <v>25</v>
      </c>
      <c r="G16" s="43" t="s">
        <v>108</v>
      </c>
      <c r="H16" s="43" t="s">
        <v>102</v>
      </c>
      <c r="I16" s="43">
        <f>'MERCADO TE'!$U$13</f>
        <v>140786.959</v>
      </c>
      <c r="J16" s="15"/>
      <c r="L16" s="40">
        <f>'TR TE'!$L$16*'TR TE'!$L$51</f>
        <v>2.529240889876224</v>
      </c>
      <c r="M16" s="40">
        <f>'TR TE'!$M$16*'TR TE'!$M$51</f>
        <v>25.785661314506363</v>
      </c>
      <c r="N16" s="40">
        <f>'TR TE'!$N$16*'TR TE'!$N$51</f>
        <v>0</v>
      </c>
      <c r="O16" s="40">
        <f>'TR TE'!$O$16*'TR TE'!$O$51</f>
        <v>5.4577863114272054</v>
      </c>
      <c r="P16" s="40">
        <f>'TR TE'!$P$16*'TR TE'!$P$51</f>
        <v>-17.093827857921234</v>
      </c>
      <c r="Q16" s="40">
        <f>SUM($L$16:$P$16)</f>
        <v>16.678860657888556</v>
      </c>
      <c r="R16" s="40">
        <f>'TR TE'!$R$16*'TR TE'!$R$51</f>
        <v>224.03314374207517</v>
      </c>
      <c r="S16" s="40">
        <f>SUM($R$16:$R$16)</f>
        <v>224.03314374207517</v>
      </c>
      <c r="T16" s="40">
        <f>'TR TE'!$T$16*'TR TE'!$T$51</f>
        <v>0</v>
      </c>
      <c r="U16" s="40">
        <f>'TR TE'!$U$16*'TR TE'!$U$51</f>
        <v>0</v>
      </c>
      <c r="V16" s="40">
        <f>'TR TE'!$V$16*'TR TE'!$V$51</f>
        <v>2.6775784651651382E-13</v>
      </c>
      <c r="W16" s="40">
        <f>SUM($T$16:$V$16)</f>
        <v>2.6775784651651382E-13</v>
      </c>
      <c r="X16" s="40"/>
      <c r="Y16" s="40">
        <f>SUM($X$16:$X$16)</f>
        <v>0</v>
      </c>
      <c r="Z16" s="40">
        <f>'TR TE'!$Z$16*'TR TE'!$Z$51</f>
        <v>5.8638041172503756</v>
      </c>
      <c r="AA16" s="40">
        <f>SUM($Z$16:$Z$16)</f>
        <v>5.8638041172503756</v>
      </c>
      <c r="AB16" s="40">
        <f>SUMIF($L$4:$AA$4,"SUBTOTAL",$L$16:$AA$16)</f>
        <v>246.57580851721434</v>
      </c>
    </row>
    <row r="17" spans="1:28" ht="11.25" customHeight="1" x14ac:dyDescent="0.25">
      <c r="A17" s="108"/>
      <c r="B17" s="108"/>
      <c r="C17" s="108"/>
      <c r="D17" s="42" t="s">
        <v>32</v>
      </c>
      <c r="E17" s="42" t="s">
        <v>25</v>
      </c>
      <c r="F17" s="42" t="s">
        <v>25</v>
      </c>
      <c r="G17" s="43" t="s">
        <v>108</v>
      </c>
      <c r="H17" s="43" t="s">
        <v>102</v>
      </c>
      <c r="I17" s="43">
        <f>'MERCADO TE'!$U$14</f>
        <v>39430.460000000006</v>
      </c>
      <c r="J17" s="15"/>
      <c r="L17" s="40">
        <f>'TR TE'!$L$17*'TR TE'!$L$51</f>
        <v>2.529240889876224</v>
      </c>
      <c r="M17" s="40">
        <f>'TR TE'!$M$17*'TR TE'!$M$51</f>
        <v>25.785661314506363</v>
      </c>
      <c r="N17" s="40">
        <f>'TR TE'!$N$17*'TR TE'!$N$51</f>
        <v>0</v>
      </c>
      <c r="O17" s="40">
        <f>'TR TE'!$O$17*'TR TE'!$O$51</f>
        <v>5.4577863114272054</v>
      </c>
      <c r="P17" s="40">
        <f>'TR TE'!$P$17*'TR TE'!$P$51</f>
        <v>-17.093827857921234</v>
      </c>
      <c r="Q17" s="40">
        <f>SUM($L$17:$P$17)</f>
        <v>16.678860657888556</v>
      </c>
      <c r="R17" s="40">
        <f>'TR TE'!$R$17*'TR TE'!$R$51</f>
        <v>224.03314374207517</v>
      </c>
      <c r="S17" s="40">
        <f>SUM($R$17:$R$17)</f>
        <v>224.03314374207517</v>
      </c>
      <c r="T17" s="40">
        <f>'TR TE'!$T$17*'TR TE'!$T$51</f>
        <v>0</v>
      </c>
      <c r="U17" s="40">
        <f>'TR TE'!$U$17*'TR TE'!$U$51</f>
        <v>0</v>
      </c>
      <c r="V17" s="40">
        <f>'TR TE'!$V$17*'TR TE'!$V$51</f>
        <v>2.6775784651651382E-13</v>
      </c>
      <c r="W17" s="40">
        <f>SUM($T$17:$V$17)</f>
        <v>2.6775784651651382E-13</v>
      </c>
      <c r="X17" s="40"/>
      <c r="Y17" s="40">
        <f>SUM($X$17:$X$17)</f>
        <v>0</v>
      </c>
      <c r="Z17" s="40">
        <f>'TR TE'!$Z$17*'TR TE'!$Z$51</f>
        <v>5.8638041172503756</v>
      </c>
      <c r="AA17" s="40">
        <f>SUM($Z$17:$Z$17)</f>
        <v>5.8638041172503756</v>
      </c>
      <c r="AB17" s="40">
        <f>SUMIF($L$4:$AA$4,"SUBTOTAL",$L$17:$AA$17)</f>
        <v>246.57580851721434</v>
      </c>
    </row>
    <row r="18" spans="1:28" ht="11.25" customHeight="1" x14ac:dyDescent="0.25">
      <c r="A18" s="108"/>
      <c r="B18" s="108" t="s">
        <v>114</v>
      </c>
      <c r="C18" s="108" t="s">
        <v>24</v>
      </c>
      <c r="D18" s="42" t="s">
        <v>24</v>
      </c>
      <c r="E18" s="42" t="s">
        <v>25</v>
      </c>
      <c r="F18" s="42" t="s">
        <v>25</v>
      </c>
      <c r="G18" s="43" t="s">
        <v>108</v>
      </c>
      <c r="H18" s="43" t="s">
        <v>102</v>
      </c>
      <c r="I18" s="43">
        <f>'MERCADO TE'!$U$15</f>
        <v>0</v>
      </c>
      <c r="J18" s="15"/>
      <c r="L18" s="40">
        <f>'TR TE'!$L$18*'TR TE'!$L$51</f>
        <v>2.529240889876224</v>
      </c>
      <c r="M18" s="40">
        <f>'TR TE'!$M$18*'TR TE'!$M$51</f>
        <v>25.785661314506363</v>
      </c>
      <c r="N18" s="40">
        <f>'TR TE'!$N$18*'TR TE'!$N$51</f>
        <v>0</v>
      </c>
      <c r="O18" s="40">
        <f>'TR TE'!$O$18*'TR TE'!$O$51</f>
        <v>5.4577863114272054</v>
      </c>
      <c r="P18" s="40">
        <f>'TR TE'!$P$18*'TR TE'!$P$51</f>
        <v>-17.093827857921234</v>
      </c>
      <c r="Q18" s="40">
        <f>SUM($L$18:$P$18)</f>
        <v>16.678860657888556</v>
      </c>
      <c r="R18" s="40">
        <f>'TR TE'!$R$18*'TR TE'!$R$51</f>
        <v>224.03314374207517</v>
      </c>
      <c r="S18" s="40">
        <f>SUM($R$18:$R$18)</f>
        <v>224.03314374207517</v>
      </c>
      <c r="T18" s="40">
        <f>'TR TE'!$T$18*'TR TE'!$T$51</f>
        <v>0</v>
      </c>
      <c r="U18" s="40">
        <f>'TR TE'!$U$18*'TR TE'!$U$51</f>
        <v>0</v>
      </c>
      <c r="V18" s="40">
        <f>'TR TE'!$V$18*'TR TE'!$V$51</f>
        <v>2.6775784651651382E-13</v>
      </c>
      <c r="W18" s="40">
        <f>SUM($T$18:$V$18)</f>
        <v>2.6775784651651382E-13</v>
      </c>
      <c r="X18" s="40"/>
      <c r="Y18" s="40">
        <f>SUM($X$18:$X$18)</f>
        <v>0</v>
      </c>
      <c r="Z18" s="40">
        <f>'TR TE'!$Z$18*'TR TE'!$Z$51</f>
        <v>5.8638041172503756</v>
      </c>
      <c r="AA18" s="40">
        <f>SUM($Z$18:$Z$18)</f>
        <v>5.8638041172503756</v>
      </c>
      <c r="AB18" s="40">
        <f>SUMIF($L$4:$AA$4,"SUBTOTAL",$L$18:$AA$18)</f>
        <v>246.57580851721434</v>
      </c>
    </row>
    <row r="19" spans="1:28" ht="11.25" customHeight="1" x14ac:dyDescent="0.25">
      <c r="A19" s="108"/>
      <c r="B19" s="108"/>
      <c r="C19" s="108"/>
      <c r="D19" s="42" t="s">
        <v>29</v>
      </c>
      <c r="E19" s="42" t="s">
        <v>25</v>
      </c>
      <c r="F19" s="42" t="s">
        <v>25</v>
      </c>
      <c r="G19" s="43" t="s">
        <v>108</v>
      </c>
      <c r="H19" s="43" t="s">
        <v>102</v>
      </c>
      <c r="I19" s="43">
        <f>'MERCADO TE'!$U$16</f>
        <v>0</v>
      </c>
      <c r="J19" s="15"/>
      <c r="L19" s="40">
        <f>'TR TE'!$L$19*'TR TE'!$L$51</f>
        <v>2.529240889876224</v>
      </c>
      <c r="M19" s="40">
        <f>'TR TE'!$M$19*'TR TE'!$M$51</f>
        <v>25.785661314506363</v>
      </c>
      <c r="N19" s="40">
        <f>'TR TE'!$N$19*'TR TE'!$N$51</f>
        <v>0</v>
      </c>
      <c r="O19" s="40">
        <f>'TR TE'!$O$19*'TR TE'!$O$51</f>
        <v>5.4577863114272054</v>
      </c>
      <c r="P19" s="40">
        <f>'TR TE'!$P$19*'TR TE'!$P$51</f>
        <v>-17.093827857921234</v>
      </c>
      <c r="Q19" s="40">
        <f>SUM($L$19:$P$19)</f>
        <v>16.678860657888556</v>
      </c>
      <c r="R19" s="40">
        <f>'TR TE'!$R$19*'TR TE'!$R$51</f>
        <v>224.03314374207517</v>
      </c>
      <c r="S19" s="40">
        <f>SUM($R$19:$R$19)</f>
        <v>224.03314374207517</v>
      </c>
      <c r="T19" s="40">
        <f>'TR TE'!$T$19*'TR TE'!$T$51</f>
        <v>0</v>
      </c>
      <c r="U19" s="40">
        <f>'TR TE'!$U$19*'TR TE'!$U$51</f>
        <v>0</v>
      </c>
      <c r="V19" s="40">
        <f>'TR TE'!$V$19*'TR TE'!$V$51</f>
        <v>2.6775784651651382E-13</v>
      </c>
      <c r="W19" s="40">
        <f>SUM($T$19:$V$19)</f>
        <v>2.6775784651651382E-13</v>
      </c>
      <c r="X19" s="40"/>
      <c r="Y19" s="40">
        <f>SUM($X$19:$X$19)</f>
        <v>0</v>
      </c>
      <c r="Z19" s="40">
        <f>'TR TE'!$Z$19*'TR TE'!$Z$51</f>
        <v>5.8638041172503756</v>
      </c>
      <c r="AA19" s="40">
        <f>SUM($Z$19:$Z$19)</f>
        <v>5.8638041172503756</v>
      </c>
      <c r="AB19" s="40">
        <f>SUMIF($L$4:$AA$4,"SUBTOTAL",$L$19:$AA$19)</f>
        <v>246.57580851721434</v>
      </c>
    </row>
    <row r="20" spans="1:28" ht="11.25" customHeight="1" x14ac:dyDescent="0.25">
      <c r="A20" s="108"/>
      <c r="B20" s="108"/>
      <c r="C20" s="108"/>
      <c r="D20" s="42" t="s">
        <v>30</v>
      </c>
      <c r="E20" s="42" t="s">
        <v>25</v>
      </c>
      <c r="F20" s="42" t="s">
        <v>25</v>
      </c>
      <c r="G20" s="43" t="s">
        <v>108</v>
      </c>
      <c r="H20" s="43" t="s">
        <v>102</v>
      </c>
      <c r="I20" s="43">
        <f>'MERCADO TE'!$U$17</f>
        <v>0</v>
      </c>
      <c r="J20" s="15"/>
      <c r="L20" s="40">
        <f>'TR TE'!$L$20*'TR TE'!$L$51</f>
        <v>2.529240889876224</v>
      </c>
      <c r="M20" s="40">
        <f>'TR TE'!$M$20*'TR TE'!$M$51</f>
        <v>25.785661314506363</v>
      </c>
      <c r="N20" s="40">
        <f>'TR TE'!$N$20*'TR TE'!$N$51</f>
        <v>0</v>
      </c>
      <c r="O20" s="40">
        <f>'TR TE'!$O$20*'TR TE'!$O$51</f>
        <v>5.4577863114272054</v>
      </c>
      <c r="P20" s="40">
        <f>'TR TE'!$P$20*'TR TE'!$P$51</f>
        <v>-17.093827857921234</v>
      </c>
      <c r="Q20" s="40">
        <f>SUM($L$20:$P$20)</f>
        <v>16.678860657888556</v>
      </c>
      <c r="R20" s="40">
        <f>'TR TE'!$R$20*'TR TE'!$R$51</f>
        <v>224.03314374207517</v>
      </c>
      <c r="S20" s="40">
        <f>SUM($R$20:$R$20)</f>
        <v>224.03314374207517</v>
      </c>
      <c r="T20" s="40">
        <f>'TR TE'!$T$20*'TR TE'!$T$51</f>
        <v>0</v>
      </c>
      <c r="U20" s="40">
        <f>'TR TE'!$U$20*'TR TE'!$U$51</f>
        <v>0</v>
      </c>
      <c r="V20" s="40">
        <f>'TR TE'!$V$20*'TR TE'!$V$51</f>
        <v>2.6775784651651382E-13</v>
      </c>
      <c r="W20" s="40">
        <f>SUM($T$20:$V$20)</f>
        <v>2.6775784651651382E-13</v>
      </c>
      <c r="X20" s="40"/>
      <c r="Y20" s="40">
        <f>SUM($X$20:$X$20)</f>
        <v>0</v>
      </c>
      <c r="Z20" s="40">
        <f>'TR TE'!$Z$20*'TR TE'!$Z$51</f>
        <v>5.8638041172503756</v>
      </c>
      <c r="AA20" s="40">
        <f>SUM($Z$20:$Z$20)</f>
        <v>5.8638041172503756</v>
      </c>
      <c r="AB20" s="40">
        <f>SUMIF($L$4:$AA$4,"SUBTOTAL",$L$20:$AA$20)</f>
        <v>246.57580851721434</v>
      </c>
    </row>
    <row r="21" spans="1:28" ht="11.25" customHeight="1" x14ac:dyDescent="0.25">
      <c r="A21" s="108"/>
      <c r="B21" s="108"/>
      <c r="C21" s="108"/>
      <c r="D21" s="42" t="s">
        <v>31</v>
      </c>
      <c r="E21" s="42" t="s">
        <v>25</v>
      </c>
      <c r="F21" s="42" t="s">
        <v>25</v>
      </c>
      <c r="G21" s="43" t="s">
        <v>108</v>
      </c>
      <c r="H21" s="43" t="s">
        <v>102</v>
      </c>
      <c r="I21" s="43">
        <f>'MERCADO TE'!$U$18</f>
        <v>0</v>
      </c>
      <c r="J21" s="15"/>
      <c r="L21" s="40">
        <f>'TR TE'!$L$21*'TR TE'!$L$51</f>
        <v>2.529240889876224</v>
      </c>
      <c r="M21" s="40">
        <f>'TR TE'!$M$21*'TR TE'!$M$51</f>
        <v>25.785661314506363</v>
      </c>
      <c r="N21" s="40">
        <f>'TR TE'!$N$21*'TR TE'!$N$51</f>
        <v>0</v>
      </c>
      <c r="O21" s="40">
        <f>'TR TE'!$O$21*'TR TE'!$O$51</f>
        <v>5.4577863114272054</v>
      </c>
      <c r="P21" s="40">
        <f>'TR TE'!$P$21*'TR TE'!$P$51</f>
        <v>-17.093827857921234</v>
      </c>
      <c r="Q21" s="40">
        <f>SUM($L$21:$P$21)</f>
        <v>16.678860657888556</v>
      </c>
      <c r="R21" s="40">
        <f>'TR TE'!$R$21*'TR TE'!$R$51</f>
        <v>224.03314374207517</v>
      </c>
      <c r="S21" s="40">
        <f>SUM($R$21:$R$21)</f>
        <v>224.03314374207517</v>
      </c>
      <c r="T21" s="40">
        <f>'TR TE'!$T$21*'TR TE'!$T$51</f>
        <v>0</v>
      </c>
      <c r="U21" s="40">
        <f>'TR TE'!$U$21*'TR TE'!$U$51</f>
        <v>0</v>
      </c>
      <c r="V21" s="40">
        <f>'TR TE'!$V$21*'TR TE'!$V$51</f>
        <v>2.6775784651651382E-13</v>
      </c>
      <c r="W21" s="40">
        <f>SUM($T$21:$V$21)</f>
        <v>2.6775784651651382E-13</v>
      </c>
      <c r="X21" s="40"/>
      <c r="Y21" s="40">
        <f>SUM($X$21:$X$21)</f>
        <v>0</v>
      </c>
      <c r="Z21" s="40">
        <f>'TR TE'!$Z$21*'TR TE'!$Z$51</f>
        <v>5.8638041172503756</v>
      </c>
      <c r="AA21" s="40">
        <f>SUM($Z$21:$Z$21)</f>
        <v>5.8638041172503756</v>
      </c>
      <c r="AB21" s="40">
        <f>SUMIF($L$4:$AA$4,"SUBTOTAL",$L$21:$AA$21)</f>
        <v>246.57580851721434</v>
      </c>
    </row>
    <row r="22" spans="1:28" ht="11.25" customHeight="1" x14ac:dyDescent="0.25">
      <c r="A22" s="108"/>
      <c r="B22" s="108"/>
      <c r="C22" s="108"/>
      <c r="D22" s="42" t="s">
        <v>32</v>
      </c>
      <c r="E22" s="42" t="s">
        <v>25</v>
      </c>
      <c r="F22" s="42" t="s">
        <v>25</v>
      </c>
      <c r="G22" s="43" t="s">
        <v>108</v>
      </c>
      <c r="H22" s="43" t="s">
        <v>102</v>
      </c>
      <c r="I22" s="43">
        <f>'MERCADO TE'!$U$19</f>
        <v>0</v>
      </c>
      <c r="J22" s="15"/>
      <c r="L22" s="40">
        <f>'TR TE'!$L$22*'TR TE'!$L$51</f>
        <v>2.529240889876224</v>
      </c>
      <c r="M22" s="40">
        <f>'TR TE'!$M$22*'TR TE'!$M$51</f>
        <v>25.785661314506363</v>
      </c>
      <c r="N22" s="40">
        <f>'TR TE'!$N$22*'TR TE'!$N$51</f>
        <v>0</v>
      </c>
      <c r="O22" s="40">
        <f>'TR TE'!$O$22*'TR TE'!$O$51</f>
        <v>5.4577863114272054</v>
      </c>
      <c r="P22" s="40">
        <f>'TR TE'!$P$22*'TR TE'!$P$51</f>
        <v>-17.093827857921234</v>
      </c>
      <c r="Q22" s="40">
        <f>SUM($L$22:$P$22)</f>
        <v>16.678860657888556</v>
      </c>
      <c r="R22" s="40">
        <f>'TR TE'!$R$22*'TR TE'!$R$51</f>
        <v>224.03314374207517</v>
      </c>
      <c r="S22" s="40">
        <f>SUM($R$22:$R$22)</f>
        <v>224.03314374207517</v>
      </c>
      <c r="T22" s="40">
        <f>'TR TE'!$T$22*'TR TE'!$T$51</f>
        <v>0</v>
      </c>
      <c r="U22" s="40">
        <f>'TR TE'!$U$22*'TR TE'!$U$51</f>
        <v>0</v>
      </c>
      <c r="V22" s="40">
        <f>'TR TE'!$V$22*'TR TE'!$V$51</f>
        <v>2.6775784651651382E-13</v>
      </c>
      <c r="W22" s="40">
        <f>SUM($T$22:$V$22)</f>
        <v>2.6775784651651382E-13</v>
      </c>
      <c r="X22" s="40"/>
      <c r="Y22" s="40">
        <f>SUM($X$22:$X$22)</f>
        <v>0</v>
      </c>
      <c r="Z22" s="40">
        <f>'TR TE'!$Z$22*'TR TE'!$Z$51</f>
        <v>5.8638041172503756</v>
      </c>
      <c r="AA22" s="40">
        <f>SUM($Z$22:$Z$22)</f>
        <v>5.8638041172503756</v>
      </c>
      <c r="AB22" s="40">
        <f>SUMIF($L$4:$AA$4,"SUBTOTAL",$L$22:$AA$22)</f>
        <v>246.57580851721434</v>
      </c>
    </row>
    <row r="23" spans="1:28" ht="11.25" customHeight="1" x14ac:dyDescent="0.25">
      <c r="A23" s="108" t="s">
        <v>44</v>
      </c>
      <c r="B23" s="108" t="s">
        <v>101</v>
      </c>
      <c r="C23" s="108" t="s">
        <v>45</v>
      </c>
      <c r="D23" s="108" t="s">
        <v>25</v>
      </c>
      <c r="E23" s="108" t="s">
        <v>25</v>
      </c>
      <c r="F23" s="108" t="s">
        <v>25</v>
      </c>
      <c r="G23" s="43" t="s">
        <v>103</v>
      </c>
      <c r="H23" s="43" t="s">
        <v>102</v>
      </c>
      <c r="I23" s="43">
        <f>'MERCADO TE'!$U$20</f>
        <v>3.9449999999999994</v>
      </c>
      <c r="J23" s="15"/>
      <c r="L23" s="40">
        <f>'TR TE'!$L$23*'TR TE'!$L$51</f>
        <v>2.529240889876224</v>
      </c>
      <c r="M23" s="40">
        <f>'TR TE'!$M$23*'TR TE'!$M$51</f>
        <v>25.785661314506363</v>
      </c>
      <c r="N23" s="40">
        <f>'TR TE'!$N$23*'TR TE'!$N$51</f>
        <v>0</v>
      </c>
      <c r="O23" s="40">
        <f>'TR TE'!$O$23*'TR TE'!$O$51</f>
        <v>5.4577863114272054</v>
      </c>
      <c r="P23" s="40">
        <f>'TR TE'!$P$23*'TR TE'!$P$51</f>
        <v>-17.093827857921234</v>
      </c>
      <c r="Q23" s="40">
        <f>SUM($L$23:$P$23)</f>
        <v>16.678860657888556</v>
      </c>
      <c r="R23" s="40">
        <f>'TR TE'!$R$23*'TR TE'!$R$51</f>
        <v>363.52547852487669</v>
      </c>
      <c r="S23" s="40">
        <f>SUM($R$23:$R$23)</f>
        <v>363.52547852487669</v>
      </c>
      <c r="T23" s="40">
        <f>'TR TE'!$T$23*'TR TE'!$T$51</f>
        <v>0</v>
      </c>
      <c r="U23" s="40">
        <f>'TR TE'!$U$23*'TR TE'!$U$51</f>
        <v>0</v>
      </c>
      <c r="V23" s="40">
        <f>'TR TE'!$V$23*'TR TE'!$V$51</f>
        <v>2.6775784651651382E-13</v>
      </c>
      <c r="W23" s="40">
        <f>SUM($T$23:$V$23)</f>
        <v>2.6775784651651382E-13</v>
      </c>
      <c r="X23" s="40"/>
      <c r="Y23" s="40">
        <f>SUM($X$23:$X$23)</f>
        <v>0</v>
      </c>
      <c r="Z23" s="40">
        <f>'TR TE'!$Z$23*'TR TE'!$Z$51</f>
        <v>5.8638041172503756</v>
      </c>
      <c r="AA23" s="40">
        <f>SUM($Z$23:$Z$23)</f>
        <v>5.8638041172503756</v>
      </c>
      <c r="AB23" s="40">
        <f>SUMIF($L$4:$AA$4,"SUBTOTAL",$L$23:$AA$23)</f>
        <v>386.06814330001589</v>
      </c>
    </row>
    <row r="24" spans="1:28" ht="11.25" customHeight="1" x14ac:dyDescent="0.25">
      <c r="A24" s="108"/>
      <c r="B24" s="108"/>
      <c r="C24" s="108"/>
      <c r="D24" s="108"/>
      <c r="E24" s="108"/>
      <c r="F24" s="108"/>
      <c r="G24" s="43" t="s">
        <v>113</v>
      </c>
      <c r="H24" s="43" t="s">
        <v>102</v>
      </c>
      <c r="I24" s="43">
        <f>'MERCADO TE'!$U$21</f>
        <v>4.2359999999999989</v>
      </c>
      <c r="J24" s="15"/>
      <c r="L24" s="40">
        <f>'TR TE'!$L$24*'TR TE'!$L$51</f>
        <v>2.529240889876224</v>
      </c>
      <c r="M24" s="40">
        <f>'TR TE'!$M$24*'TR TE'!$M$51</f>
        <v>25.785661314506363</v>
      </c>
      <c r="N24" s="40">
        <f>'TR TE'!$N$24*'TR TE'!$N$51</f>
        <v>0</v>
      </c>
      <c r="O24" s="40">
        <f>'TR TE'!$O$24*'TR TE'!$O$51</f>
        <v>5.4577863114272054</v>
      </c>
      <c r="P24" s="40">
        <f>'TR TE'!$P$24*'TR TE'!$P$51</f>
        <v>-17.093827857921234</v>
      </c>
      <c r="Q24" s="40">
        <f>SUM($L$24:$P$24)</f>
        <v>16.678860657888556</v>
      </c>
      <c r="R24" s="40">
        <f>'TR TE'!$R$24*'TR TE'!$R$51</f>
        <v>211.35202239818412</v>
      </c>
      <c r="S24" s="40">
        <f>SUM($R$24:$R$24)</f>
        <v>211.35202239818412</v>
      </c>
      <c r="T24" s="40">
        <f>'TR TE'!$T$24*'TR TE'!$T$51</f>
        <v>0</v>
      </c>
      <c r="U24" s="40">
        <f>'TR TE'!$U$24*'TR TE'!$U$51</f>
        <v>0</v>
      </c>
      <c r="V24" s="40">
        <f>'TR TE'!$V$24*'TR TE'!$V$51</f>
        <v>2.6775784651651382E-13</v>
      </c>
      <c r="W24" s="40">
        <f>SUM($T$24:$V$24)</f>
        <v>2.6775784651651382E-13</v>
      </c>
      <c r="X24" s="40"/>
      <c r="Y24" s="40">
        <f>SUM($X$24:$X$24)</f>
        <v>0</v>
      </c>
      <c r="Z24" s="40">
        <f>'TR TE'!$Z$24*'TR TE'!$Z$51</f>
        <v>5.8638041172503756</v>
      </c>
      <c r="AA24" s="40">
        <f>SUM($Z$24:$Z$24)</f>
        <v>5.8638041172503756</v>
      </c>
      <c r="AB24" s="40">
        <f>SUMIF($L$4:$AA$4,"SUBTOTAL",$L$24:$AA$24)</f>
        <v>233.89468717332329</v>
      </c>
    </row>
    <row r="25" spans="1:28" ht="11.25" customHeight="1" x14ac:dyDescent="0.25">
      <c r="A25" s="108"/>
      <c r="B25" s="108"/>
      <c r="C25" s="108"/>
      <c r="D25" s="108"/>
      <c r="E25" s="108"/>
      <c r="F25" s="108"/>
      <c r="G25" s="43" t="s">
        <v>104</v>
      </c>
      <c r="H25" s="43" t="s">
        <v>102</v>
      </c>
      <c r="I25" s="43">
        <f>'MERCADO TE'!$U$22</f>
        <v>105.83499999999999</v>
      </c>
      <c r="J25" s="15"/>
      <c r="L25" s="40">
        <f>'TR TE'!$L$25*'TR TE'!$L$51</f>
        <v>2.529240889876224</v>
      </c>
      <c r="M25" s="40">
        <f>'TR TE'!$M$25*'TR TE'!$M$51</f>
        <v>25.785661314506363</v>
      </c>
      <c r="N25" s="40">
        <f>'TR TE'!$N$25*'TR TE'!$N$51</f>
        <v>0</v>
      </c>
      <c r="O25" s="40">
        <f>'TR TE'!$O$25*'TR TE'!$O$51</f>
        <v>5.4577863114272054</v>
      </c>
      <c r="P25" s="40">
        <f>'TR TE'!$P$25*'TR TE'!$P$51</f>
        <v>-17.093827857921234</v>
      </c>
      <c r="Q25" s="40">
        <f>SUM($L$25:$P$25)</f>
        <v>16.678860657888556</v>
      </c>
      <c r="R25" s="40">
        <f>'TR TE'!$R$25*'TR TE'!$R$51</f>
        <v>211.35202239818412</v>
      </c>
      <c r="S25" s="40">
        <f>SUM($R$25:$R$25)</f>
        <v>211.35202239818412</v>
      </c>
      <c r="T25" s="40">
        <f>'TR TE'!$T$25*'TR TE'!$T$51</f>
        <v>0</v>
      </c>
      <c r="U25" s="40">
        <f>'TR TE'!$U$25*'TR TE'!$U$51</f>
        <v>0</v>
      </c>
      <c r="V25" s="40">
        <f>'TR TE'!$V$25*'TR TE'!$V$51</f>
        <v>2.6775784651651382E-13</v>
      </c>
      <c r="W25" s="40">
        <f>SUM($T$25:$V$25)</f>
        <v>2.6775784651651382E-13</v>
      </c>
      <c r="X25" s="40"/>
      <c r="Y25" s="40">
        <f>SUM($X$25:$X$25)</f>
        <v>0</v>
      </c>
      <c r="Z25" s="40">
        <f>'TR TE'!$Z$25*'TR TE'!$Z$51</f>
        <v>5.8638041172503756</v>
      </c>
      <c r="AA25" s="40">
        <f>SUM($Z$25:$Z$25)</f>
        <v>5.8638041172503756</v>
      </c>
      <c r="AB25" s="40">
        <f>SUMIF($L$4:$AA$4,"SUBTOTAL",$L$25:$AA$25)</f>
        <v>233.89468717332329</v>
      </c>
    </row>
    <row r="26" spans="1:28" ht="11.25" customHeight="1" x14ac:dyDescent="0.25">
      <c r="A26" s="108"/>
      <c r="B26" s="42" t="s">
        <v>109</v>
      </c>
      <c r="C26" s="42" t="s">
        <v>45</v>
      </c>
      <c r="D26" s="42" t="s">
        <v>25</v>
      </c>
      <c r="E26" s="42" t="s">
        <v>25</v>
      </c>
      <c r="F26" s="42" t="s">
        <v>25</v>
      </c>
      <c r="G26" s="43" t="s">
        <v>108</v>
      </c>
      <c r="H26" s="43" t="s">
        <v>102</v>
      </c>
      <c r="I26" s="43">
        <f>'MERCADO TE'!$U$23</f>
        <v>251732.52099999998</v>
      </c>
      <c r="J26" s="15"/>
      <c r="L26" s="40">
        <f>'TR TE'!$L$26*'TR TE'!$L$51</f>
        <v>2.529240889876224</v>
      </c>
      <c r="M26" s="40">
        <f>'TR TE'!$M$26*'TR TE'!$M$51</f>
        <v>25.785661314506363</v>
      </c>
      <c r="N26" s="40">
        <f>'TR TE'!$N$26*'TR TE'!$N$51</f>
        <v>0</v>
      </c>
      <c r="O26" s="40">
        <f>'TR TE'!$O$26*'TR TE'!$O$51</f>
        <v>5.4577863114272054</v>
      </c>
      <c r="P26" s="40">
        <f>'TR TE'!$P$26*'TR TE'!$P$51</f>
        <v>-17.093827857921234</v>
      </c>
      <c r="Q26" s="40">
        <f>SUM($L$26:$P$26)</f>
        <v>16.678860657888556</v>
      </c>
      <c r="R26" s="40">
        <f>'TR TE'!$R$26*'TR TE'!$R$51</f>
        <v>224.03314374207517</v>
      </c>
      <c r="S26" s="40">
        <f>SUM($R$26:$R$26)</f>
        <v>224.03314374207517</v>
      </c>
      <c r="T26" s="40">
        <f>'TR TE'!$T$26*'TR TE'!$T$51</f>
        <v>0</v>
      </c>
      <c r="U26" s="40">
        <f>'TR TE'!$U$26*'TR TE'!$U$51</f>
        <v>0</v>
      </c>
      <c r="V26" s="40">
        <f>'TR TE'!$V$26*'TR TE'!$V$51</f>
        <v>2.6775784651651382E-13</v>
      </c>
      <c r="W26" s="40">
        <f>SUM($T$26:$V$26)</f>
        <v>2.6775784651651382E-13</v>
      </c>
      <c r="X26" s="40"/>
      <c r="Y26" s="40">
        <f>SUM($X$26:$X$26)</f>
        <v>0</v>
      </c>
      <c r="Z26" s="40">
        <f>'TR TE'!$Z$26*'TR TE'!$Z$51</f>
        <v>5.8638041172503756</v>
      </c>
      <c r="AA26" s="40">
        <f>SUM($Z$26:$Z$26)</f>
        <v>5.8638041172503756</v>
      </c>
      <c r="AB26" s="40">
        <f>SUMIF($L$4:$AA$4,"SUBTOTAL",$L$26:$AA$26)</f>
        <v>246.57580851721434</v>
      </c>
    </row>
    <row r="27" spans="1:28" ht="11.25" customHeight="1" x14ac:dyDescent="0.25">
      <c r="A27" s="108"/>
      <c r="B27" s="108" t="s">
        <v>101</v>
      </c>
      <c r="C27" s="108" t="s">
        <v>45</v>
      </c>
      <c r="D27" s="108" t="s">
        <v>116</v>
      </c>
      <c r="E27" s="108" t="s">
        <v>25</v>
      </c>
      <c r="F27" s="108" t="s">
        <v>25</v>
      </c>
      <c r="G27" s="43" t="s">
        <v>103</v>
      </c>
      <c r="H27" s="43" t="s">
        <v>102</v>
      </c>
      <c r="I27" s="43">
        <f>'MERCADO TE'!$U$24</f>
        <v>0</v>
      </c>
      <c r="J27" s="15"/>
      <c r="L27" s="40">
        <f>'TR TE'!$L$27*'TR TE'!$L$51</f>
        <v>2.529240889876224</v>
      </c>
      <c r="M27" s="40">
        <f>'TR TE'!$M$27*'TR TE'!$M$51</f>
        <v>25.785661314506363</v>
      </c>
      <c r="N27" s="40">
        <f>'TR TE'!$N$27*'TR TE'!$N$51</f>
        <v>0</v>
      </c>
      <c r="O27" s="40">
        <f>'TR TE'!$O$27*'TR TE'!$O$51</f>
        <v>5.4577863114272054</v>
      </c>
      <c r="P27" s="40">
        <f>'TR TE'!$P$27*'TR TE'!$P$51</f>
        <v>-17.093827857921234</v>
      </c>
      <c r="Q27" s="40">
        <f>SUM($L$27:$P$27)</f>
        <v>16.678860657888556</v>
      </c>
      <c r="R27" s="40">
        <f>'TR TE'!$R$27*'TR TE'!$R$51</f>
        <v>363.52547852487669</v>
      </c>
      <c r="S27" s="40">
        <f>SUM($R$27:$R$27)</f>
        <v>363.52547852487669</v>
      </c>
      <c r="T27" s="40">
        <f>'TR TE'!$T$27*'TR TE'!$T$51</f>
        <v>0</v>
      </c>
      <c r="U27" s="40">
        <f>'TR TE'!$U$27*'TR TE'!$U$51</f>
        <v>0</v>
      </c>
      <c r="V27" s="40">
        <f>'TR TE'!$V$27*'TR TE'!$V$51</f>
        <v>2.6775784651651382E-13</v>
      </c>
      <c r="W27" s="40">
        <f>SUM($T$27:$V$27)</f>
        <v>2.6775784651651382E-13</v>
      </c>
      <c r="X27" s="40"/>
      <c r="Y27" s="40">
        <f>SUM($X$27:$X$27)</f>
        <v>0</v>
      </c>
      <c r="Z27" s="40">
        <f>'TR TE'!$Z$27*'TR TE'!$Z$51</f>
        <v>5.8638041172503756</v>
      </c>
      <c r="AA27" s="40">
        <f>SUM($Z$27:$Z$27)</f>
        <v>5.8638041172503756</v>
      </c>
      <c r="AB27" s="40">
        <f>SUMIF($L$4:$AA$4,"SUBTOTAL",$L$27:$AA$27)</f>
        <v>386.06814330001589</v>
      </c>
    </row>
    <row r="28" spans="1:28" ht="11.25" customHeight="1" x14ac:dyDescent="0.25">
      <c r="A28" s="108"/>
      <c r="B28" s="108"/>
      <c r="C28" s="108"/>
      <c r="D28" s="108"/>
      <c r="E28" s="108"/>
      <c r="F28" s="108"/>
      <c r="G28" s="43" t="s">
        <v>113</v>
      </c>
      <c r="H28" s="43" t="s">
        <v>102</v>
      </c>
      <c r="I28" s="43">
        <f>'MERCADO TE'!$U$25</f>
        <v>0</v>
      </c>
      <c r="J28" s="15"/>
      <c r="L28" s="40">
        <f>'TR TE'!$L$28*'TR TE'!$L$51</f>
        <v>2.529240889876224</v>
      </c>
      <c r="M28" s="40">
        <f>'TR TE'!$M$28*'TR TE'!$M$51</f>
        <v>25.785661314506363</v>
      </c>
      <c r="N28" s="40">
        <f>'TR TE'!$N$28*'TR TE'!$N$51</f>
        <v>0</v>
      </c>
      <c r="O28" s="40">
        <f>'TR TE'!$O$28*'TR TE'!$O$51</f>
        <v>5.4577863114272054</v>
      </c>
      <c r="P28" s="40">
        <f>'TR TE'!$P$28*'TR TE'!$P$51</f>
        <v>-17.093827857921234</v>
      </c>
      <c r="Q28" s="40">
        <f>SUM($L$28:$P$28)</f>
        <v>16.678860657888556</v>
      </c>
      <c r="R28" s="40">
        <f>'TR TE'!$R$28*'TR TE'!$R$51</f>
        <v>211.35202239818412</v>
      </c>
      <c r="S28" s="40">
        <f>SUM($R$28:$R$28)</f>
        <v>211.35202239818412</v>
      </c>
      <c r="T28" s="40">
        <f>'TR TE'!$T$28*'TR TE'!$T$51</f>
        <v>0</v>
      </c>
      <c r="U28" s="40">
        <f>'TR TE'!$U$28*'TR TE'!$U$51</f>
        <v>0</v>
      </c>
      <c r="V28" s="40">
        <f>'TR TE'!$V$28*'TR TE'!$V$51</f>
        <v>2.6775784651651382E-13</v>
      </c>
      <c r="W28" s="40">
        <f>SUM($T$28:$V$28)</f>
        <v>2.6775784651651382E-13</v>
      </c>
      <c r="X28" s="40"/>
      <c r="Y28" s="40">
        <f>SUM($X$28:$X$28)</f>
        <v>0</v>
      </c>
      <c r="Z28" s="40">
        <f>'TR TE'!$Z$28*'TR TE'!$Z$51</f>
        <v>5.8638041172503756</v>
      </c>
      <c r="AA28" s="40">
        <f>SUM($Z$28:$Z$28)</f>
        <v>5.8638041172503756</v>
      </c>
      <c r="AB28" s="40">
        <f>SUMIF($L$4:$AA$4,"SUBTOTAL",$L$28:$AA$28)</f>
        <v>233.89468717332329</v>
      </c>
    </row>
    <row r="29" spans="1:28" ht="11.25" customHeight="1" x14ac:dyDescent="0.25">
      <c r="A29" s="108"/>
      <c r="B29" s="108"/>
      <c r="C29" s="108"/>
      <c r="D29" s="108"/>
      <c r="E29" s="108"/>
      <c r="F29" s="108"/>
      <c r="G29" s="43" t="s">
        <v>104</v>
      </c>
      <c r="H29" s="43" t="s">
        <v>102</v>
      </c>
      <c r="I29" s="43">
        <f>'MERCADO TE'!$U$26</f>
        <v>0</v>
      </c>
      <c r="J29" s="15"/>
      <c r="L29" s="40">
        <f>'TR TE'!$L$29*'TR TE'!$L$51</f>
        <v>2.529240889876224</v>
      </c>
      <c r="M29" s="40">
        <f>'TR TE'!$M$29*'TR TE'!$M$51</f>
        <v>25.785661314506363</v>
      </c>
      <c r="N29" s="40">
        <f>'TR TE'!$N$29*'TR TE'!$N$51</f>
        <v>0</v>
      </c>
      <c r="O29" s="40">
        <f>'TR TE'!$O$29*'TR TE'!$O$51</f>
        <v>5.4577863114272054</v>
      </c>
      <c r="P29" s="40">
        <f>'TR TE'!$P$29*'TR TE'!$P$51</f>
        <v>-17.093827857921234</v>
      </c>
      <c r="Q29" s="40">
        <f>SUM($L$29:$P$29)</f>
        <v>16.678860657888556</v>
      </c>
      <c r="R29" s="40">
        <f>'TR TE'!$R$29*'TR TE'!$R$51</f>
        <v>211.35202239818412</v>
      </c>
      <c r="S29" s="40">
        <f>SUM($R$29:$R$29)</f>
        <v>211.35202239818412</v>
      </c>
      <c r="T29" s="40">
        <f>'TR TE'!$T$29*'TR TE'!$T$51</f>
        <v>0</v>
      </c>
      <c r="U29" s="40">
        <f>'TR TE'!$U$29*'TR TE'!$U$51</f>
        <v>0</v>
      </c>
      <c r="V29" s="40">
        <f>'TR TE'!$V$29*'TR TE'!$V$51</f>
        <v>2.6775784651651382E-13</v>
      </c>
      <c r="W29" s="40">
        <f>SUM($T$29:$V$29)</f>
        <v>2.6775784651651382E-13</v>
      </c>
      <c r="X29" s="40"/>
      <c r="Y29" s="40">
        <f>SUM($X$29:$X$29)</f>
        <v>0</v>
      </c>
      <c r="Z29" s="40">
        <f>'TR TE'!$Z$29*'TR TE'!$Z$51</f>
        <v>5.8638041172503756</v>
      </c>
      <c r="AA29" s="40">
        <f>SUM($Z$29:$Z$29)</f>
        <v>5.8638041172503756</v>
      </c>
      <c r="AB29" s="40">
        <f>SUMIF($L$4:$AA$4,"SUBTOTAL",$L$29:$AA$29)</f>
        <v>233.89468717332329</v>
      </c>
    </row>
    <row r="30" spans="1:28" ht="11.25" customHeight="1" x14ac:dyDescent="0.25">
      <c r="A30" s="108"/>
      <c r="B30" s="42" t="s">
        <v>109</v>
      </c>
      <c r="C30" s="42" t="s">
        <v>45</v>
      </c>
      <c r="D30" s="42" t="s">
        <v>116</v>
      </c>
      <c r="E30" s="42" t="s">
        <v>25</v>
      </c>
      <c r="F30" s="42" t="s">
        <v>25</v>
      </c>
      <c r="G30" s="43" t="s">
        <v>108</v>
      </c>
      <c r="H30" s="43" t="s">
        <v>102</v>
      </c>
      <c r="I30" s="43">
        <f>'MERCADO TE'!$U$27</f>
        <v>0</v>
      </c>
      <c r="J30" s="15"/>
      <c r="L30" s="40">
        <f>'TR TE'!$L$30*'TR TE'!$L$51</f>
        <v>2.529240889876224</v>
      </c>
      <c r="M30" s="40">
        <f>'TR TE'!$M$30*'TR TE'!$M$51</f>
        <v>25.785661314506363</v>
      </c>
      <c r="N30" s="40">
        <f>'TR TE'!$N$30*'TR TE'!$N$51</f>
        <v>0</v>
      </c>
      <c r="O30" s="40">
        <f>'TR TE'!$O$30*'TR TE'!$O$51</f>
        <v>5.4577863114272054</v>
      </c>
      <c r="P30" s="40">
        <f>'TR TE'!$P$30*'TR TE'!$P$51</f>
        <v>-17.093827857921234</v>
      </c>
      <c r="Q30" s="40">
        <f>SUM($L$30:$P$30)</f>
        <v>16.678860657888556</v>
      </c>
      <c r="R30" s="40">
        <f>'TR TE'!$R$30*'TR TE'!$R$51</f>
        <v>224.03314374207517</v>
      </c>
      <c r="S30" s="40">
        <f>SUM($R$30:$R$30)</f>
        <v>224.03314374207517</v>
      </c>
      <c r="T30" s="40">
        <f>'TR TE'!$T$30*'TR TE'!$T$51</f>
        <v>0</v>
      </c>
      <c r="U30" s="40">
        <f>'TR TE'!$U$30*'TR TE'!$U$51</f>
        <v>0</v>
      </c>
      <c r="V30" s="40">
        <f>'TR TE'!$V$30*'TR TE'!$V$51</f>
        <v>2.6775784651651382E-13</v>
      </c>
      <c r="W30" s="40">
        <f>SUM($T$30:$V$30)</f>
        <v>2.6775784651651382E-13</v>
      </c>
      <c r="X30" s="40"/>
      <c r="Y30" s="40">
        <f>SUM($X$30:$X$30)</f>
        <v>0</v>
      </c>
      <c r="Z30" s="40">
        <f>'TR TE'!$Z$30*'TR TE'!$Z$51</f>
        <v>5.8638041172503756</v>
      </c>
      <c r="AA30" s="40">
        <f>SUM($Z$30:$Z$30)</f>
        <v>5.8638041172503756</v>
      </c>
      <c r="AB30" s="40">
        <f>SUMIF($L$4:$AA$4,"SUBTOTAL",$L$30:$AA$30)</f>
        <v>246.57580851721434</v>
      </c>
    </row>
    <row r="31" spans="1:28" ht="11.25" customHeight="1" x14ac:dyDescent="0.25">
      <c r="A31" s="108"/>
      <c r="B31" s="108" t="s">
        <v>101</v>
      </c>
      <c r="C31" s="108" t="s">
        <v>45</v>
      </c>
      <c r="D31" s="108" t="s">
        <v>117</v>
      </c>
      <c r="E31" s="108" t="s">
        <v>25</v>
      </c>
      <c r="F31" s="108" t="s">
        <v>25</v>
      </c>
      <c r="G31" s="43" t="s">
        <v>103</v>
      </c>
      <c r="H31" s="43" t="s">
        <v>102</v>
      </c>
      <c r="I31" s="43">
        <f>'MERCADO TE'!$U$28</f>
        <v>0</v>
      </c>
      <c r="J31" s="15"/>
      <c r="L31" s="40">
        <f>'TR TE'!$L$31*'TR TE'!$L$51</f>
        <v>2.529240889876224</v>
      </c>
      <c r="M31" s="40">
        <f>'TR TE'!$M$31*'TR TE'!$M$51</f>
        <v>25.785661314506363</v>
      </c>
      <c r="N31" s="40">
        <f>'TR TE'!$N$31*'TR TE'!$N$51</f>
        <v>0</v>
      </c>
      <c r="O31" s="40">
        <f>'TR TE'!$O$31*'TR TE'!$O$51</f>
        <v>5.4577863114272054</v>
      </c>
      <c r="P31" s="40">
        <f>'TR TE'!$P$31*'TR TE'!$P$51</f>
        <v>-17.093827857921234</v>
      </c>
      <c r="Q31" s="40">
        <f>SUM($L$31:$P$31)</f>
        <v>16.678860657888556</v>
      </c>
      <c r="R31" s="40">
        <f>'TR TE'!$R$31*'TR TE'!$R$51</f>
        <v>363.52547852487669</v>
      </c>
      <c r="S31" s="40">
        <f>SUM($R$31:$R$31)</f>
        <v>363.52547852487669</v>
      </c>
      <c r="T31" s="40">
        <f>'TR TE'!$T$31*'TR TE'!$T$51</f>
        <v>0</v>
      </c>
      <c r="U31" s="40">
        <f>'TR TE'!$U$31*'TR TE'!$U$51</f>
        <v>0</v>
      </c>
      <c r="V31" s="40">
        <f>'TR TE'!$V$31*'TR TE'!$V$51</f>
        <v>2.6775784651651382E-13</v>
      </c>
      <c r="W31" s="40">
        <f>SUM($T$31:$V$31)</f>
        <v>2.6775784651651382E-13</v>
      </c>
      <c r="X31" s="40"/>
      <c r="Y31" s="40">
        <f>SUM($X$31:$X$31)</f>
        <v>0</v>
      </c>
      <c r="Z31" s="40">
        <f>'TR TE'!$Z$31*'TR TE'!$Z$51</f>
        <v>5.8638041172503756</v>
      </c>
      <c r="AA31" s="40">
        <f>SUM($Z$31:$Z$31)</f>
        <v>5.8638041172503756</v>
      </c>
      <c r="AB31" s="40">
        <f>SUMIF($L$4:$AA$4,"SUBTOTAL",$L$31:$AA$31)</f>
        <v>386.06814330001589</v>
      </c>
    </row>
    <row r="32" spans="1:28" ht="11.25" customHeight="1" x14ac:dyDescent="0.25">
      <c r="A32" s="108"/>
      <c r="B32" s="108"/>
      <c r="C32" s="108"/>
      <c r="D32" s="108"/>
      <c r="E32" s="108"/>
      <c r="F32" s="108"/>
      <c r="G32" s="43" t="s">
        <v>113</v>
      </c>
      <c r="H32" s="43" t="s">
        <v>102</v>
      </c>
      <c r="I32" s="43">
        <f>'MERCADO TE'!$U$29</f>
        <v>0</v>
      </c>
      <c r="J32" s="15"/>
      <c r="L32" s="40">
        <f>'TR TE'!$L$32*'TR TE'!$L$51</f>
        <v>2.529240889876224</v>
      </c>
      <c r="M32" s="40">
        <f>'TR TE'!$M$32*'TR TE'!$M$51</f>
        <v>25.785661314506363</v>
      </c>
      <c r="N32" s="40">
        <f>'TR TE'!$N$32*'TR TE'!$N$51</f>
        <v>0</v>
      </c>
      <c r="O32" s="40">
        <f>'TR TE'!$O$32*'TR TE'!$O$51</f>
        <v>5.4577863114272054</v>
      </c>
      <c r="P32" s="40">
        <f>'TR TE'!$P$32*'TR TE'!$P$51</f>
        <v>-17.093827857921234</v>
      </c>
      <c r="Q32" s="40">
        <f>SUM($L$32:$P$32)</f>
        <v>16.678860657888556</v>
      </c>
      <c r="R32" s="40">
        <f>'TR TE'!$R$32*'TR TE'!$R$51</f>
        <v>211.35202239818412</v>
      </c>
      <c r="S32" s="40">
        <f>SUM($R$32:$R$32)</f>
        <v>211.35202239818412</v>
      </c>
      <c r="T32" s="40">
        <f>'TR TE'!$T$32*'TR TE'!$T$51</f>
        <v>0</v>
      </c>
      <c r="U32" s="40">
        <f>'TR TE'!$U$32*'TR TE'!$U$51</f>
        <v>0</v>
      </c>
      <c r="V32" s="40">
        <f>'TR TE'!$V$32*'TR TE'!$V$51</f>
        <v>2.6775784651651382E-13</v>
      </c>
      <c r="W32" s="40">
        <f>SUM($T$32:$V$32)</f>
        <v>2.6775784651651382E-13</v>
      </c>
      <c r="X32" s="40"/>
      <c r="Y32" s="40">
        <f>SUM($X$32:$X$32)</f>
        <v>0</v>
      </c>
      <c r="Z32" s="40">
        <f>'TR TE'!$Z$32*'TR TE'!$Z$51</f>
        <v>5.8638041172503756</v>
      </c>
      <c r="AA32" s="40">
        <f>SUM($Z$32:$Z$32)</f>
        <v>5.8638041172503756</v>
      </c>
      <c r="AB32" s="40">
        <f>SUMIF($L$4:$AA$4,"SUBTOTAL",$L$32:$AA$32)</f>
        <v>233.89468717332329</v>
      </c>
    </row>
    <row r="33" spans="1:28" ht="11.25" customHeight="1" x14ac:dyDescent="0.25">
      <c r="A33" s="108"/>
      <c r="B33" s="108"/>
      <c r="C33" s="108"/>
      <c r="D33" s="108"/>
      <c r="E33" s="108"/>
      <c r="F33" s="108"/>
      <c r="G33" s="43" t="s">
        <v>104</v>
      </c>
      <c r="H33" s="43" t="s">
        <v>102</v>
      </c>
      <c r="I33" s="43">
        <f>'MERCADO TE'!$U$30</f>
        <v>0</v>
      </c>
      <c r="J33" s="15"/>
      <c r="L33" s="40">
        <f>'TR TE'!$L$33*'TR TE'!$L$51</f>
        <v>2.529240889876224</v>
      </c>
      <c r="M33" s="40">
        <f>'TR TE'!$M$33*'TR TE'!$M$51</f>
        <v>25.785661314506363</v>
      </c>
      <c r="N33" s="40">
        <f>'TR TE'!$N$33*'TR TE'!$N$51</f>
        <v>0</v>
      </c>
      <c r="O33" s="40">
        <f>'TR TE'!$O$33*'TR TE'!$O$51</f>
        <v>5.4577863114272054</v>
      </c>
      <c r="P33" s="40">
        <f>'TR TE'!$P$33*'TR TE'!$P$51</f>
        <v>-17.093827857921234</v>
      </c>
      <c r="Q33" s="40">
        <f>SUM($L$33:$P$33)</f>
        <v>16.678860657888556</v>
      </c>
      <c r="R33" s="40">
        <f>'TR TE'!$R$33*'TR TE'!$R$51</f>
        <v>211.35202239818412</v>
      </c>
      <c r="S33" s="40">
        <f>SUM($R$33:$R$33)</f>
        <v>211.35202239818412</v>
      </c>
      <c r="T33" s="40">
        <f>'TR TE'!$T$33*'TR TE'!$T$51</f>
        <v>0</v>
      </c>
      <c r="U33" s="40">
        <f>'TR TE'!$U$33*'TR TE'!$U$51</f>
        <v>0</v>
      </c>
      <c r="V33" s="40">
        <f>'TR TE'!$V$33*'TR TE'!$V$51</f>
        <v>2.6775784651651382E-13</v>
      </c>
      <c r="W33" s="40">
        <f>SUM($T$33:$V$33)</f>
        <v>2.6775784651651382E-13</v>
      </c>
      <c r="X33" s="40"/>
      <c r="Y33" s="40">
        <f>SUM($X$33:$X$33)</f>
        <v>0</v>
      </c>
      <c r="Z33" s="40">
        <f>'TR TE'!$Z$33*'TR TE'!$Z$51</f>
        <v>5.8638041172503756</v>
      </c>
      <c r="AA33" s="40">
        <f>SUM($Z$33:$Z$33)</f>
        <v>5.8638041172503756</v>
      </c>
      <c r="AB33" s="40">
        <f>SUMIF($L$4:$AA$4,"SUBTOTAL",$L$33:$AA$33)</f>
        <v>233.89468717332329</v>
      </c>
    </row>
    <row r="34" spans="1:28" ht="11.25" customHeight="1" x14ac:dyDescent="0.25">
      <c r="A34" s="108"/>
      <c r="B34" s="42" t="s">
        <v>109</v>
      </c>
      <c r="C34" s="42" t="s">
        <v>45</v>
      </c>
      <c r="D34" s="42" t="s">
        <v>117</v>
      </c>
      <c r="E34" s="42" t="s">
        <v>25</v>
      </c>
      <c r="F34" s="42" t="s">
        <v>25</v>
      </c>
      <c r="G34" s="43" t="s">
        <v>108</v>
      </c>
      <c r="H34" s="43" t="s">
        <v>102</v>
      </c>
      <c r="I34" s="43">
        <f>'MERCADO TE'!$U$31</f>
        <v>0</v>
      </c>
      <c r="J34" s="15"/>
      <c r="L34" s="40">
        <f>'TR TE'!$L$34*'TR TE'!$L$51</f>
        <v>2.529240889876224</v>
      </c>
      <c r="M34" s="40">
        <f>'TR TE'!$M$34*'TR TE'!$M$51</f>
        <v>25.785661314506363</v>
      </c>
      <c r="N34" s="40">
        <f>'TR TE'!$N$34*'TR TE'!$N$51</f>
        <v>0</v>
      </c>
      <c r="O34" s="40">
        <f>'TR TE'!$O$34*'TR TE'!$O$51</f>
        <v>5.4577863114272054</v>
      </c>
      <c r="P34" s="40">
        <f>'TR TE'!$P$34*'TR TE'!$P$51</f>
        <v>-17.093827857921234</v>
      </c>
      <c r="Q34" s="40">
        <f>SUM($L$34:$P$34)</f>
        <v>16.678860657888556</v>
      </c>
      <c r="R34" s="40">
        <f>'TR TE'!$R$34*'TR TE'!$R$51</f>
        <v>224.03314374207517</v>
      </c>
      <c r="S34" s="40">
        <f>SUM($R$34:$R$34)</f>
        <v>224.03314374207517</v>
      </c>
      <c r="T34" s="40">
        <f>'TR TE'!$T$34*'TR TE'!$T$51</f>
        <v>0</v>
      </c>
      <c r="U34" s="40">
        <f>'TR TE'!$U$34*'TR TE'!$U$51</f>
        <v>0</v>
      </c>
      <c r="V34" s="40">
        <f>'TR TE'!$V$34*'TR TE'!$V$51</f>
        <v>2.6775784651651382E-13</v>
      </c>
      <c r="W34" s="40">
        <f>SUM($T$34:$V$34)</f>
        <v>2.6775784651651382E-13</v>
      </c>
      <c r="X34" s="40"/>
      <c r="Y34" s="40">
        <f>SUM($X$34:$X$34)</f>
        <v>0</v>
      </c>
      <c r="Z34" s="40">
        <f>'TR TE'!$Z$34*'TR TE'!$Z$51</f>
        <v>5.8638041172503756</v>
      </c>
      <c r="AA34" s="40">
        <f>SUM($Z$34:$Z$34)</f>
        <v>5.8638041172503756</v>
      </c>
      <c r="AB34" s="40">
        <f>SUMIF($L$4:$AA$4,"SUBTOTAL",$L$34:$AA$34)</f>
        <v>246.57580851721434</v>
      </c>
    </row>
    <row r="35" spans="1:28" ht="11.25" customHeight="1" x14ac:dyDescent="0.25">
      <c r="A35" s="108"/>
      <c r="B35" s="108" t="s">
        <v>114</v>
      </c>
      <c r="C35" s="108" t="s">
        <v>45</v>
      </c>
      <c r="D35" s="42" t="s">
        <v>25</v>
      </c>
      <c r="E35" s="42" t="s">
        <v>25</v>
      </c>
      <c r="F35" s="42" t="s">
        <v>25</v>
      </c>
      <c r="G35" s="43" t="s">
        <v>108</v>
      </c>
      <c r="H35" s="43" t="s">
        <v>102</v>
      </c>
      <c r="I35" s="43">
        <f>'MERCADO TE'!$U$32</f>
        <v>0</v>
      </c>
      <c r="J35" s="15"/>
      <c r="L35" s="40">
        <f>'TR TE'!$L$35*'TR TE'!$L$51</f>
        <v>2.529240889876224</v>
      </c>
      <c r="M35" s="40">
        <f>'TR TE'!$M$35*'TR TE'!$M$51</f>
        <v>25.785661314506363</v>
      </c>
      <c r="N35" s="40">
        <f>'TR TE'!$N$35*'TR TE'!$N$51</f>
        <v>0</v>
      </c>
      <c r="O35" s="40">
        <f>'TR TE'!$O$35*'TR TE'!$O$51</f>
        <v>5.4577863114272054</v>
      </c>
      <c r="P35" s="40">
        <f>'TR TE'!$P$35*'TR TE'!$P$51</f>
        <v>-17.093827857921234</v>
      </c>
      <c r="Q35" s="40">
        <f>SUM($L$35:$P$35)</f>
        <v>16.678860657888556</v>
      </c>
      <c r="R35" s="40">
        <f>'TR TE'!$R$35*'TR TE'!$R$51</f>
        <v>224.03314374207517</v>
      </c>
      <c r="S35" s="40">
        <f>SUM($R$35:$R$35)</f>
        <v>224.03314374207517</v>
      </c>
      <c r="T35" s="40">
        <f>'TR TE'!$T$35*'TR TE'!$T$51</f>
        <v>0</v>
      </c>
      <c r="U35" s="40">
        <f>'TR TE'!$U$35*'TR TE'!$U$51</f>
        <v>0</v>
      </c>
      <c r="V35" s="40">
        <f>'TR TE'!$V$35*'TR TE'!$V$51</f>
        <v>2.6775784651651382E-13</v>
      </c>
      <c r="W35" s="40">
        <f>SUM($T$35:$V$35)</f>
        <v>2.6775784651651382E-13</v>
      </c>
      <c r="X35" s="40"/>
      <c r="Y35" s="40">
        <f>SUM($X$35:$X$35)</f>
        <v>0</v>
      </c>
      <c r="Z35" s="40">
        <f>'TR TE'!$Z$35*'TR TE'!$Z$51</f>
        <v>5.8638041172503756</v>
      </c>
      <c r="AA35" s="40">
        <f>SUM($Z$35:$Z$35)</f>
        <v>5.8638041172503756</v>
      </c>
      <c r="AB35" s="40">
        <f>SUMIF($L$4:$AA$4,"SUBTOTAL",$L$35:$AA$35)</f>
        <v>246.57580851721434</v>
      </c>
    </row>
    <row r="36" spans="1:28" ht="11.25" customHeight="1" x14ac:dyDescent="0.25">
      <c r="A36" s="108"/>
      <c r="B36" s="108"/>
      <c r="C36" s="108"/>
      <c r="D36" s="42" t="s">
        <v>116</v>
      </c>
      <c r="E36" s="42" t="s">
        <v>25</v>
      </c>
      <c r="F36" s="42" t="s">
        <v>25</v>
      </c>
      <c r="G36" s="43" t="s">
        <v>108</v>
      </c>
      <c r="H36" s="43" t="s">
        <v>102</v>
      </c>
      <c r="I36" s="43">
        <f>'MERCADO TE'!$U$33</f>
        <v>0</v>
      </c>
      <c r="J36" s="15"/>
      <c r="L36" s="40">
        <f>'TR TE'!$L$36*'TR TE'!$L$51</f>
        <v>2.529240889876224</v>
      </c>
      <c r="M36" s="40">
        <f>'TR TE'!$M$36*'TR TE'!$M$51</f>
        <v>25.785661314506363</v>
      </c>
      <c r="N36" s="40">
        <f>'TR TE'!$N$36*'TR TE'!$N$51</f>
        <v>0</v>
      </c>
      <c r="O36" s="40">
        <f>'TR TE'!$O$36*'TR TE'!$O$51</f>
        <v>5.4577863114272054</v>
      </c>
      <c r="P36" s="40">
        <f>'TR TE'!$P$36*'TR TE'!$P$51</f>
        <v>-17.093827857921234</v>
      </c>
      <c r="Q36" s="40">
        <f>SUM($L$36:$P$36)</f>
        <v>16.678860657888556</v>
      </c>
      <c r="R36" s="40">
        <f>'TR TE'!$R$36*'TR TE'!$R$51</f>
        <v>224.03314374207517</v>
      </c>
      <c r="S36" s="40">
        <f>SUM($R$36:$R$36)</f>
        <v>224.03314374207517</v>
      </c>
      <c r="T36" s="40">
        <f>'TR TE'!$T$36*'TR TE'!$T$51</f>
        <v>0</v>
      </c>
      <c r="U36" s="40">
        <f>'TR TE'!$U$36*'TR TE'!$U$51</f>
        <v>0</v>
      </c>
      <c r="V36" s="40">
        <f>'TR TE'!$V$36*'TR TE'!$V$51</f>
        <v>2.6775784651651382E-13</v>
      </c>
      <c r="W36" s="40">
        <f>SUM($T$36:$V$36)</f>
        <v>2.6775784651651382E-13</v>
      </c>
      <c r="X36" s="40"/>
      <c r="Y36" s="40">
        <f>SUM($X$36:$X$36)</f>
        <v>0</v>
      </c>
      <c r="Z36" s="40">
        <f>'TR TE'!$Z$36*'TR TE'!$Z$51</f>
        <v>5.8638041172503756</v>
      </c>
      <c r="AA36" s="40">
        <f>SUM($Z$36:$Z$36)</f>
        <v>5.8638041172503756</v>
      </c>
      <c r="AB36" s="40">
        <f>SUMIF($L$4:$AA$4,"SUBTOTAL",$L$36:$AA$36)</f>
        <v>246.57580851721434</v>
      </c>
    </row>
    <row r="37" spans="1:28" ht="11.25" customHeight="1" x14ac:dyDescent="0.25">
      <c r="A37" s="108"/>
      <c r="B37" s="108"/>
      <c r="C37" s="108"/>
      <c r="D37" s="42" t="s">
        <v>117</v>
      </c>
      <c r="E37" s="42" t="s">
        <v>25</v>
      </c>
      <c r="F37" s="42" t="s">
        <v>25</v>
      </c>
      <c r="G37" s="43" t="s">
        <v>108</v>
      </c>
      <c r="H37" s="43" t="s">
        <v>102</v>
      </c>
      <c r="I37" s="43">
        <f>'MERCADO TE'!$U$34</f>
        <v>0</v>
      </c>
      <c r="J37" s="15"/>
      <c r="L37" s="40">
        <f>'TR TE'!$L$37*'TR TE'!$L$51</f>
        <v>2.529240889876224</v>
      </c>
      <c r="M37" s="40">
        <f>'TR TE'!$M$37*'TR TE'!$M$51</f>
        <v>25.785661314506363</v>
      </c>
      <c r="N37" s="40">
        <f>'TR TE'!$N$37*'TR TE'!$N$51</f>
        <v>0</v>
      </c>
      <c r="O37" s="40">
        <f>'TR TE'!$O$37*'TR TE'!$O$51</f>
        <v>5.4577863114272054</v>
      </c>
      <c r="P37" s="40">
        <f>'TR TE'!$P$37*'TR TE'!$P$51</f>
        <v>-17.093827857921234</v>
      </c>
      <c r="Q37" s="40">
        <f>SUM($L$37:$P$37)</f>
        <v>16.678860657888556</v>
      </c>
      <c r="R37" s="40">
        <f>'TR TE'!$R$37*'TR TE'!$R$51</f>
        <v>224.03314374207517</v>
      </c>
      <c r="S37" s="40">
        <f>SUM($R$37:$R$37)</f>
        <v>224.03314374207517</v>
      </c>
      <c r="T37" s="40">
        <f>'TR TE'!$T$37*'TR TE'!$T$51</f>
        <v>0</v>
      </c>
      <c r="U37" s="40">
        <f>'TR TE'!$U$37*'TR TE'!$U$51</f>
        <v>0</v>
      </c>
      <c r="V37" s="40">
        <f>'TR TE'!$V$37*'TR TE'!$V$51</f>
        <v>2.6775784651651382E-13</v>
      </c>
      <c r="W37" s="40">
        <f>SUM($T$37:$V$37)</f>
        <v>2.6775784651651382E-13</v>
      </c>
      <c r="X37" s="40"/>
      <c r="Y37" s="40">
        <f>SUM($X$37:$X$37)</f>
        <v>0</v>
      </c>
      <c r="Z37" s="40">
        <f>'TR TE'!$Z$37*'TR TE'!$Z$51</f>
        <v>5.8638041172503756</v>
      </c>
      <c r="AA37" s="40">
        <f>SUM($Z$37:$Z$37)</f>
        <v>5.8638041172503756</v>
      </c>
      <c r="AB37" s="40">
        <f>SUMIF($L$4:$AA$4,"SUBTOTAL",$L$37:$AA$37)</f>
        <v>246.57580851721434</v>
      </c>
    </row>
    <row r="38" spans="1:28" ht="11.25" customHeight="1" x14ac:dyDescent="0.25">
      <c r="A38" s="108" t="s">
        <v>37</v>
      </c>
      <c r="B38" s="108" t="s">
        <v>101</v>
      </c>
      <c r="C38" s="108" t="s">
        <v>25</v>
      </c>
      <c r="D38" s="108" t="s">
        <v>25</v>
      </c>
      <c r="E38" s="108" t="s">
        <v>25</v>
      </c>
      <c r="F38" s="108" t="s">
        <v>25</v>
      </c>
      <c r="G38" s="43" t="s">
        <v>103</v>
      </c>
      <c r="H38" s="43" t="s">
        <v>102</v>
      </c>
      <c r="I38" s="43">
        <f>'MERCADO TE'!$U$35</f>
        <v>54.588999999999999</v>
      </c>
      <c r="J38" s="15"/>
      <c r="L38" s="40">
        <f>'TR TE'!$L$38*'TR TE'!$L$51</f>
        <v>2.529240889876224</v>
      </c>
      <c r="M38" s="40">
        <f>'TR TE'!$M$38*'TR TE'!$M$51</f>
        <v>25.785661314506363</v>
      </c>
      <c r="N38" s="40">
        <f>'TR TE'!$N$38*'TR TE'!$N$51</f>
        <v>0</v>
      </c>
      <c r="O38" s="40">
        <f>'TR TE'!$O$38*'TR TE'!$O$51</f>
        <v>5.4577863114272054</v>
      </c>
      <c r="P38" s="40">
        <f>'TR TE'!$P$38*'TR TE'!$P$51</f>
        <v>-17.093827857921234</v>
      </c>
      <c r="Q38" s="40">
        <f>SUM($L$38:$P$38)</f>
        <v>16.678860657888556</v>
      </c>
      <c r="R38" s="40">
        <f>'TR TE'!$R$38*'TR TE'!$R$51</f>
        <v>363.52547852487669</v>
      </c>
      <c r="S38" s="40">
        <f>SUM($R$38:$R$38)</f>
        <v>363.52547852487669</v>
      </c>
      <c r="T38" s="40">
        <f>'TR TE'!$T$38*'TR TE'!$T$51</f>
        <v>0</v>
      </c>
      <c r="U38" s="40">
        <f>'TR TE'!$U$38*'TR TE'!$U$51</f>
        <v>0</v>
      </c>
      <c r="V38" s="40">
        <f>'TR TE'!$V$38*'TR TE'!$V$51</f>
        <v>2.6775784651651382E-13</v>
      </c>
      <c r="W38" s="40">
        <f>SUM($T$38:$V$38)</f>
        <v>2.6775784651651382E-13</v>
      </c>
      <c r="X38" s="40"/>
      <c r="Y38" s="40">
        <f>SUM($X$38:$X$38)</f>
        <v>0</v>
      </c>
      <c r="Z38" s="40">
        <f>'TR TE'!$Z$38*'TR TE'!$Z$51</f>
        <v>5.8638041172503756</v>
      </c>
      <c r="AA38" s="40">
        <f>SUM($Z$38:$Z$38)</f>
        <v>5.8638041172503756</v>
      </c>
      <c r="AB38" s="40">
        <f>SUMIF($L$4:$AA$4,"SUBTOTAL",$L$38:$AA$38)</f>
        <v>386.06814330001589</v>
      </c>
    </row>
    <row r="39" spans="1:28" ht="11.25" customHeight="1" x14ac:dyDescent="0.25">
      <c r="A39" s="108"/>
      <c r="B39" s="108"/>
      <c r="C39" s="108"/>
      <c r="D39" s="108"/>
      <c r="E39" s="108"/>
      <c r="F39" s="108"/>
      <c r="G39" s="43" t="s">
        <v>113</v>
      </c>
      <c r="H39" s="43" t="s">
        <v>102</v>
      </c>
      <c r="I39" s="43">
        <f>'MERCADO TE'!$U$36</f>
        <v>66.038999999999987</v>
      </c>
      <c r="J39" s="15"/>
      <c r="L39" s="40">
        <f>'TR TE'!$L$39*'TR TE'!$L$51</f>
        <v>2.529240889876224</v>
      </c>
      <c r="M39" s="40">
        <f>'TR TE'!$M$39*'TR TE'!$M$51</f>
        <v>25.785661314506363</v>
      </c>
      <c r="N39" s="40">
        <f>'TR TE'!$N$39*'TR TE'!$N$51</f>
        <v>0</v>
      </c>
      <c r="O39" s="40">
        <f>'TR TE'!$O$39*'TR TE'!$O$51</f>
        <v>5.4577863114272054</v>
      </c>
      <c r="P39" s="40">
        <f>'TR TE'!$P$39*'TR TE'!$P$51</f>
        <v>-17.093827857921234</v>
      </c>
      <c r="Q39" s="40">
        <f>SUM($L$39:$P$39)</f>
        <v>16.678860657888556</v>
      </c>
      <c r="R39" s="40">
        <f>'TR TE'!$R$39*'TR TE'!$R$51</f>
        <v>211.35202239818412</v>
      </c>
      <c r="S39" s="40">
        <f>SUM($R$39:$R$39)</f>
        <v>211.35202239818412</v>
      </c>
      <c r="T39" s="40">
        <f>'TR TE'!$T$39*'TR TE'!$T$51</f>
        <v>0</v>
      </c>
      <c r="U39" s="40">
        <f>'TR TE'!$U$39*'TR TE'!$U$51</f>
        <v>0</v>
      </c>
      <c r="V39" s="40">
        <f>'TR TE'!$V$39*'TR TE'!$V$51</f>
        <v>2.6775784651651382E-13</v>
      </c>
      <c r="W39" s="40">
        <f>SUM($T$39:$V$39)</f>
        <v>2.6775784651651382E-13</v>
      </c>
      <c r="X39" s="40"/>
      <c r="Y39" s="40">
        <f>SUM($X$39:$X$39)</f>
        <v>0</v>
      </c>
      <c r="Z39" s="40">
        <f>'TR TE'!$Z$39*'TR TE'!$Z$51</f>
        <v>5.8638041172503756</v>
      </c>
      <c r="AA39" s="40">
        <f>SUM($Z$39:$Z$39)</f>
        <v>5.8638041172503756</v>
      </c>
      <c r="AB39" s="40">
        <f>SUMIF($L$4:$AA$4,"SUBTOTAL",$L$39:$AA$39)</f>
        <v>233.89468717332329</v>
      </c>
    </row>
    <row r="40" spans="1:28" ht="11.25" customHeight="1" x14ac:dyDescent="0.25">
      <c r="A40" s="108"/>
      <c r="B40" s="108"/>
      <c r="C40" s="108"/>
      <c r="D40" s="108"/>
      <c r="E40" s="108"/>
      <c r="F40" s="108"/>
      <c r="G40" s="43" t="s">
        <v>104</v>
      </c>
      <c r="H40" s="43" t="s">
        <v>102</v>
      </c>
      <c r="I40" s="43">
        <f>'MERCADO TE'!$U$37</f>
        <v>1004.5179999999999</v>
      </c>
      <c r="J40" s="15"/>
      <c r="L40" s="40">
        <f>'TR TE'!$L$40*'TR TE'!$L$51</f>
        <v>2.529240889876224</v>
      </c>
      <c r="M40" s="40">
        <f>'TR TE'!$M$40*'TR TE'!$M$51</f>
        <v>25.785661314506363</v>
      </c>
      <c r="N40" s="40">
        <f>'TR TE'!$N$40*'TR TE'!$N$51</f>
        <v>0</v>
      </c>
      <c r="O40" s="40">
        <f>'TR TE'!$O$40*'TR TE'!$O$51</f>
        <v>5.4577863114272054</v>
      </c>
      <c r="P40" s="40">
        <f>'TR TE'!$P$40*'TR TE'!$P$51</f>
        <v>-17.093827857921234</v>
      </c>
      <c r="Q40" s="40">
        <f>SUM($L$40:$P$40)</f>
        <v>16.678860657888556</v>
      </c>
      <c r="R40" s="40">
        <f>'TR TE'!$R$40*'TR TE'!$R$51</f>
        <v>211.35202239818412</v>
      </c>
      <c r="S40" s="40">
        <f>SUM($R$40:$R$40)</f>
        <v>211.35202239818412</v>
      </c>
      <c r="T40" s="40">
        <f>'TR TE'!$T$40*'TR TE'!$T$51</f>
        <v>0</v>
      </c>
      <c r="U40" s="40">
        <f>'TR TE'!$U$40*'TR TE'!$U$51</f>
        <v>0</v>
      </c>
      <c r="V40" s="40">
        <f>'TR TE'!$V$40*'TR TE'!$V$51</f>
        <v>2.6775784651651382E-13</v>
      </c>
      <c r="W40" s="40">
        <f>SUM($T$40:$V$40)</f>
        <v>2.6775784651651382E-13</v>
      </c>
      <c r="X40" s="40"/>
      <c r="Y40" s="40">
        <f>SUM($X$40:$X$40)</f>
        <v>0</v>
      </c>
      <c r="Z40" s="40">
        <f>'TR TE'!$Z$40*'TR TE'!$Z$51</f>
        <v>5.8638041172503756</v>
      </c>
      <c r="AA40" s="40">
        <f>SUM($Z$40:$Z$40)</f>
        <v>5.8638041172503756</v>
      </c>
      <c r="AB40" s="40">
        <f>SUMIF($L$4:$AA$4,"SUBTOTAL",$L$40:$AA$40)</f>
        <v>233.89468717332329</v>
      </c>
    </row>
    <row r="41" spans="1:28" ht="11.25" customHeight="1" x14ac:dyDescent="0.25">
      <c r="A41" s="108"/>
      <c r="B41" s="42" t="s">
        <v>109</v>
      </c>
      <c r="C41" s="42" t="s">
        <v>25</v>
      </c>
      <c r="D41" s="42" t="s">
        <v>25</v>
      </c>
      <c r="E41" s="42" t="s">
        <v>25</v>
      </c>
      <c r="F41" s="42" t="s">
        <v>25</v>
      </c>
      <c r="G41" s="43" t="s">
        <v>108</v>
      </c>
      <c r="H41" s="43" t="s">
        <v>102</v>
      </c>
      <c r="I41" s="43">
        <f>'MERCADO TE'!$U$38</f>
        <v>650710.04299999995</v>
      </c>
      <c r="J41" s="15"/>
      <c r="L41" s="40">
        <f>'TR TE'!$L$41*'TR TE'!$L$51</f>
        <v>2.529240889876224</v>
      </c>
      <c r="M41" s="40">
        <f>'TR TE'!$M$41*'TR TE'!$M$51</f>
        <v>25.785661314506363</v>
      </c>
      <c r="N41" s="40">
        <f>'TR TE'!$N$41*'TR TE'!$N$51</f>
        <v>0</v>
      </c>
      <c r="O41" s="40">
        <f>'TR TE'!$O$41*'TR TE'!$O$51</f>
        <v>5.4577863114272054</v>
      </c>
      <c r="P41" s="40">
        <f>'TR TE'!$P$41*'TR TE'!$P$51</f>
        <v>-17.093827857921234</v>
      </c>
      <c r="Q41" s="40">
        <f>SUM($L$41:$P$41)</f>
        <v>16.678860657888556</v>
      </c>
      <c r="R41" s="40">
        <f>'TR TE'!$R$41*'TR TE'!$R$51</f>
        <v>224.03314374207517</v>
      </c>
      <c r="S41" s="40">
        <f>SUM($R$41:$R$41)</f>
        <v>224.03314374207517</v>
      </c>
      <c r="T41" s="40">
        <f>'TR TE'!$T$41*'TR TE'!$T$51</f>
        <v>0</v>
      </c>
      <c r="U41" s="40">
        <f>'TR TE'!$U$41*'TR TE'!$U$51</f>
        <v>0</v>
      </c>
      <c r="V41" s="40">
        <f>'TR TE'!$V$41*'TR TE'!$V$51</f>
        <v>2.6775784651651382E-13</v>
      </c>
      <c r="W41" s="40">
        <f>SUM($T$41:$V$41)</f>
        <v>2.6775784651651382E-13</v>
      </c>
      <c r="X41" s="40"/>
      <c r="Y41" s="40">
        <f>SUM($X$41:$X$41)</f>
        <v>0</v>
      </c>
      <c r="Z41" s="40">
        <f>'TR TE'!$Z$41*'TR TE'!$Z$51</f>
        <v>5.8638041172503756</v>
      </c>
      <c r="AA41" s="40">
        <f>SUM($Z$41:$Z$41)</f>
        <v>5.8638041172503756</v>
      </c>
      <c r="AB41" s="40">
        <f>SUMIF($L$4:$AA$4,"SUBTOTAL",$L$41:$AA$41)</f>
        <v>246.57580851721434</v>
      </c>
    </row>
    <row r="42" spans="1:28" ht="11.25" customHeight="1" x14ac:dyDescent="0.25">
      <c r="A42" s="108"/>
      <c r="B42" s="42" t="s">
        <v>114</v>
      </c>
      <c r="C42" s="42" t="s">
        <v>25</v>
      </c>
      <c r="D42" s="42" t="s">
        <v>25</v>
      </c>
      <c r="E42" s="42" t="s">
        <v>25</v>
      </c>
      <c r="F42" s="42" t="s">
        <v>25</v>
      </c>
      <c r="G42" s="43" t="s">
        <v>108</v>
      </c>
      <c r="H42" s="43" t="s">
        <v>102</v>
      </c>
      <c r="I42" s="43">
        <f>'MERCADO TE'!$U$39</f>
        <v>0</v>
      </c>
      <c r="J42" s="15"/>
      <c r="L42" s="40">
        <f>'TR TE'!$L$42*'TR TE'!$L$51</f>
        <v>2.529240889876224</v>
      </c>
      <c r="M42" s="40">
        <f>'TR TE'!$M$42*'TR TE'!$M$51</f>
        <v>25.785661314506363</v>
      </c>
      <c r="N42" s="40">
        <f>'TR TE'!$N$42*'TR TE'!$N$51</f>
        <v>0</v>
      </c>
      <c r="O42" s="40">
        <f>'TR TE'!$O$42*'TR TE'!$O$51</f>
        <v>5.4577863114272054</v>
      </c>
      <c r="P42" s="40">
        <f>'TR TE'!$P$42*'TR TE'!$P$51</f>
        <v>-17.093827857921234</v>
      </c>
      <c r="Q42" s="40">
        <f>SUM($L$42:$P$42)</f>
        <v>16.678860657888556</v>
      </c>
      <c r="R42" s="40">
        <f>'TR TE'!$R$42*'TR TE'!$R$51</f>
        <v>224.03314374207517</v>
      </c>
      <c r="S42" s="40">
        <f>SUM($R$42:$R$42)</f>
        <v>224.03314374207517</v>
      </c>
      <c r="T42" s="40">
        <f>'TR TE'!$T$42*'TR TE'!$T$51</f>
        <v>0</v>
      </c>
      <c r="U42" s="40">
        <f>'TR TE'!$U$42*'TR TE'!$U$51</f>
        <v>0</v>
      </c>
      <c r="V42" s="40">
        <f>'TR TE'!$V$42*'TR TE'!$V$51</f>
        <v>2.6775784651651382E-13</v>
      </c>
      <c r="W42" s="40">
        <f>SUM($T$42:$V$42)</f>
        <v>2.6775784651651382E-13</v>
      </c>
      <c r="X42" s="40"/>
      <c r="Y42" s="40">
        <f>SUM($X$42:$X$42)</f>
        <v>0</v>
      </c>
      <c r="Z42" s="40">
        <f>'TR TE'!$Z$42*'TR TE'!$Z$51</f>
        <v>5.8638041172503756</v>
      </c>
      <c r="AA42" s="40">
        <f>SUM($Z$42:$Z$42)</f>
        <v>5.8638041172503756</v>
      </c>
      <c r="AB42" s="40">
        <f>SUMIF($L$4:$AA$4,"SUBTOTAL",$L$42:$AA$42)</f>
        <v>246.57580851721434</v>
      </c>
    </row>
    <row r="43" spans="1:28" ht="11.25" customHeight="1" x14ac:dyDescent="0.25">
      <c r="A43" s="108" t="s">
        <v>47</v>
      </c>
      <c r="B43" s="108" t="s">
        <v>109</v>
      </c>
      <c r="C43" s="108" t="s">
        <v>48</v>
      </c>
      <c r="D43" s="42" t="s">
        <v>49</v>
      </c>
      <c r="E43" s="42" t="s">
        <v>25</v>
      </c>
      <c r="F43" s="42" t="s">
        <v>25</v>
      </c>
      <c r="G43" s="43" t="s">
        <v>108</v>
      </c>
      <c r="H43" s="43" t="s">
        <v>102</v>
      </c>
      <c r="I43" s="43">
        <f>'MERCADO TE'!$U$40</f>
        <v>252172.81799999997</v>
      </c>
      <c r="J43" s="15"/>
      <c r="L43" s="40">
        <f>'TR TE'!$L$43*'TR TE'!$L$51</f>
        <v>1.3910824894319234</v>
      </c>
      <c r="M43" s="40">
        <f>'TR TE'!$M$43*'TR TE'!$M$51</f>
        <v>14.182113722978501</v>
      </c>
      <c r="N43" s="40">
        <f>'TR TE'!$N$43*'TR TE'!$N$51</f>
        <v>0</v>
      </c>
      <c r="O43" s="40">
        <f>'TR TE'!$O$43*'TR TE'!$O$51</f>
        <v>3.001782471284963</v>
      </c>
      <c r="P43" s="40">
        <f>'TR TE'!$P$43*'TR TE'!$P$51</f>
        <v>-9.40160532185668</v>
      </c>
      <c r="Q43" s="40">
        <f>SUM($L$43:$P$43)</f>
        <v>9.1733733618387081</v>
      </c>
      <c r="R43" s="40">
        <f>'TR TE'!$R$43*'TR TE'!$R$51</f>
        <v>123.21822905814136</v>
      </c>
      <c r="S43" s="40">
        <f>SUM($R$43:$R$43)</f>
        <v>123.21822905814136</v>
      </c>
      <c r="T43" s="40">
        <f>'TR TE'!$T$43*'TR TE'!$T$51</f>
        <v>0</v>
      </c>
      <c r="U43" s="40">
        <f>'TR TE'!$U$43*'TR TE'!$U$51</f>
        <v>0</v>
      </c>
      <c r="V43" s="40">
        <f>'TR TE'!$V$43*'TR TE'!$V$51</f>
        <v>1.4726681558408262E-13</v>
      </c>
      <c r="W43" s="40">
        <f>SUM($T$43:$V$43)</f>
        <v>1.4726681558408262E-13</v>
      </c>
      <c r="X43" s="40"/>
      <c r="Y43" s="40">
        <f>SUM($X$43:$X$43)</f>
        <v>0</v>
      </c>
      <c r="Z43" s="40">
        <f>'TR TE'!$Z$43*'TR TE'!$Z$51</f>
        <v>3.2250922644877069</v>
      </c>
      <c r="AA43" s="40">
        <f>SUM($Z$43:$Z$43)</f>
        <v>3.2250922644877069</v>
      </c>
      <c r="AB43" s="40">
        <f>SUMIF($L$4:$AA$4,"SUBTOTAL",$L$43:$AA$43)</f>
        <v>135.61669468446792</v>
      </c>
    </row>
    <row r="44" spans="1:28" ht="11.25" customHeight="1" x14ac:dyDescent="0.25">
      <c r="A44" s="108"/>
      <c r="B44" s="108"/>
      <c r="C44" s="108"/>
      <c r="D44" s="43" t="s">
        <v>118</v>
      </c>
      <c r="E44" s="43" t="s">
        <v>25</v>
      </c>
      <c r="F44" s="43" t="s">
        <v>25</v>
      </c>
      <c r="G44" s="43" t="s">
        <v>108</v>
      </c>
      <c r="H44" s="43" t="s">
        <v>102</v>
      </c>
      <c r="I44" s="43">
        <f>'MERCADO TE'!$U$41</f>
        <v>0</v>
      </c>
      <c r="J44" s="15"/>
      <c r="L44" s="40">
        <f>'TR TE'!$L$44*'TR TE'!$L$51</f>
        <v>1.5175445339257343</v>
      </c>
      <c r="M44" s="40">
        <f>'TR TE'!$M$44*'TR TE'!$M$51</f>
        <v>15.471396788703817</v>
      </c>
      <c r="N44" s="40">
        <f>'TR TE'!$N$44*'TR TE'!$N$51</f>
        <v>0</v>
      </c>
      <c r="O44" s="40">
        <f>'TR TE'!$O$44*'TR TE'!$O$51</f>
        <v>3.2746717868563233</v>
      </c>
      <c r="P44" s="40">
        <f>'TR TE'!$P$44*'TR TE'!$P$51</f>
        <v>-10.25629671475274</v>
      </c>
      <c r="Q44" s="40">
        <f>SUM($L$44:$P$44)</f>
        <v>10.007316394733135</v>
      </c>
      <c r="R44" s="40">
        <f>'TR TE'!$R$44*'TR TE'!$R$51</f>
        <v>134.4198862452451</v>
      </c>
      <c r="S44" s="40">
        <f>SUM($R$44:$R$44)</f>
        <v>134.4198862452451</v>
      </c>
      <c r="T44" s="40">
        <f>'TR TE'!$T$44*'TR TE'!$T$51</f>
        <v>0</v>
      </c>
      <c r="U44" s="40">
        <f>'TR TE'!$U$44*'TR TE'!$U$51</f>
        <v>0</v>
      </c>
      <c r="V44" s="40">
        <f>'TR TE'!$V$44*'TR TE'!$V$51</f>
        <v>1.6065470790990829E-13</v>
      </c>
      <c r="W44" s="40">
        <f>SUM($T$44:$V$44)</f>
        <v>1.6065470790990829E-13</v>
      </c>
      <c r="X44" s="40"/>
      <c r="Y44" s="40">
        <f>SUM($X$44:$X$44)</f>
        <v>0</v>
      </c>
      <c r="Z44" s="40">
        <f>'TR TE'!$Z$44*'TR TE'!$Z$51</f>
        <v>3.5182824703502251</v>
      </c>
      <c r="AA44" s="40">
        <f>SUM($Z$44:$Z$44)</f>
        <v>3.5182824703502251</v>
      </c>
      <c r="AB44" s="40">
        <f>SUMIF($L$4:$AA$4,"SUBTOTAL",$L$44:$AA$44)</f>
        <v>147.9454851103286</v>
      </c>
    </row>
    <row r="46" spans="1:28" ht="11.25" customHeight="1" x14ac:dyDescent="0.25">
      <c r="K46" s="45" t="s">
        <v>940</v>
      </c>
      <c r="L46" s="40">
        <f t="shared" ref="L46:AB46" si="0">SUMPRODUCT($I$5:$I$44,L$5:L$44)</f>
        <v>9446001.0146527458</v>
      </c>
      <c r="M46" s="40">
        <f t="shared" si="0"/>
        <v>96302168.731835991</v>
      </c>
      <c r="N46" s="40">
        <f t="shared" si="0"/>
        <v>0</v>
      </c>
      <c r="O46" s="40">
        <f t="shared" si="0"/>
        <v>20383291.778120115</v>
      </c>
      <c r="P46" s="40">
        <f t="shared" si="0"/>
        <v>-63840623.460000001</v>
      </c>
      <c r="Q46" s="40">
        <f t="shared" si="0"/>
        <v>62290838.064608842</v>
      </c>
      <c r="R46" s="40">
        <f t="shared" si="0"/>
        <v>835187144.65170205</v>
      </c>
      <c r="S46" s="40">
        <f t="shared" si="0"/>
        <v>835187144.65170205</v>
      </c>
      <c r="T46" s="40">
        <f t="shared" si="0"/>
        <v>0</v>
      </c>
      <c r="U46" s="40">
        <f t="shared" si="0"/>
        <v>0</v>
      </c>
      <c r="V46" s="40">
        <f t="shared" si="0"/>
        <v>1.0000000000000002E-6</v>
      </c>
      <c r="W46" s="40">
        <f t="shared" si="0"/>
        <v>1.0000000000000002E-6</v>
      </c>
      <c r="X46" s="40">
        <f t="shared" si="0"/>
        <v>0</v>
      </c>
      <c r="Y46" s="40">
        <f t="shared" si="0"/>
        <v>0</v>
      </c>
      <c r="Z46" s="40">
        <f t="shared" si="0"/>
        <v>21899653.711506557</v>
      </c>
      <c r="AA46" s="40">
        <f t="shared" si="0"/>
        <v>21899653.711506557</v>
      </c>
      <c r="AB46" s="40">
        <f t="shared" si="0"/>
        <v>919377636.42781854</v>
      </c>
    </row>
    <row r="47" spans="1:28" ht="11.25" customHeight="1" x14ac:dyDescent="0.25">
      <c r="K47" s="45" t="s">
        <v>876</v>
      </c>
      <c r="L47" s="40">
        <f>CUSTOS!$D$30</f>
        <v>9446001.0146527458</v>
      </c>
      <c r="M47" s="40">
        <f>CUSTOS!$D$31</f>
        <v>96302168.731836006</v>
      </c>
      <c r="N47" s="40">
        <f>CUSTOS!$D$32</f>
        <v>0</v>
      </c>
      <c r="O47" s="40">
        <f>CUSTOS!$D$33</f>
        <v>20383291.778120119</v>
      </c>
      <c r="P47" s="40">
        <f>CUSTOS!$D$34</f>
        <v>-63840623.460000001</v>
      </c>
      <c r="Q47" s="40">
        <f>CUSTOS!$D$35</f>
        <v>62290838.064608864</v>
      </c>
      <c r="R47" s="40">
        <f>CUSTOS!$D$36</f>
        <v>835187144.65170205</v>
      </c>
      <c r="S47" s="40">
        <f>CUSTOS!$D$37</f>
        <v>835187144.65170205</v>
      </c>
      <c r="T47" s="40">
        <f>CUSTOS!$D$38</f>
        <v>0</v>
      </c>
      <c r="U47" s="40">
        <f>CUSTOS!$D$39</f>
        <v>0</v>
      </c>
      <c r="V47" s="40">
        <f>CUSTOS!$D$40</f>
        <v>9.9999999999999995E-7</v>
      </c>
      <c r="W47" s="40">
        <f>CUSTOS!$D$41</f>
        <v>9.9999999999999995E-7</v>
      </c>
      <c r="X47" s="40">
        <f>CUSTOS!$D$42</f>
        <v>0</v>
      </c>
      <c r="Y47" s="40">
        <f>CUSTOS!$D$43</f>
        <v>0</v>
      </c>
      <c r="Z47" s="40">
        <f>CUSTOS!$D$44</f>
        <v>21899653.711506557</v>
      </c>
      <c r="AA47" s="40">
        <f>CUSTOS!$D$45</f>
        <v>21899653.711506557</v>
      </c>
      <c r="AB47" s="40">
        <f>CUSTOS!$D$46</f>
        <v>919377636.42781842</v>
      </c>
    </row>
    <row r="48" spans="1:28" ht="11.25" customHeight="1" x14ac:dyDescent="0.25">
      <c r="K48" s="45" t="s">
        <v>877</v>
      </c>
      <c r="L48" s="40">
        <f>CUSTOS!$E$30</f>
        <v>0</v>
      </c>
      <c r="M48" s="40">
        <f>CUSTOS!$E$31</f>
        <v>1147789.8681564496</v>
      </c>
      <c r="N48" s="40">
        <f>CUSTOS!$E$32</f>
        <v>0</v>
      </c>
      <c r="O48" s="40">
        <f>CUSTOS!$E$33</f>
        <v>-796619.13051892526</v>
      </c>
      <c r="P48" s="40">
        <f>CUSTOS!$E$34</f>
        <v>0</v>
      </c>
      <c r="Q48" s="40">
        <f>CUSTOS!$E$35</f>
        <v>351170.73763752438</v>
      </c>
      <c r="R48" s="40">
        <f>CUSTOS!$E$36</f>
        <v>-97281885.840435177</v>
      </c>
      <c r="S48" s="40">
        <f>CUSTOS!$E$37</f>
        <v>-97281885.840435177</v>
      </c>
      <c r="T48" s="40">
        <f>CUSTOS!$E$38</f>
        <v>0</v>
      </c>
      <c r="U48" s="40">
        <f>CUSTOS!$E$39</f>
        <v>0</v>
      </c>
      <c r="V48" s="40">
        <f>CUSTOS!$E$40</f>
        <v>0</v>
      </c>
      <c r="W48" s="40">
        <f>CUSTOS!$E$41</f>
        <v>0</v>
      </c>
      <c r="X48" s="40">
        <f>CUSTOS!$E$42</f>
        <v>-82941795.73641327</v>
      </c>
      <c r="Y48" s="40">
        <f>CUSTOS!$E$43</f>
        <v>-82941795.73641327</v>
      </c>
      <c r="Z48" s="40">
        <f>CUSTOS!$E$44</f>
        <v>-2550852.9746303749</v>
      </c>
      <c r="AA48" s="40">
        <f>CUSTOS!$E$45</f>
        <v>-2550852.9746303749</v>
      </c>
      <c r="AB48" s="40">
        <f>CUSTOS!$E$46</f>
        <v>-182423363.81384131</v>
      </c>
    </row>
    <row r="49" spans="11:28" ht="11.25" customHeight="1" x14ac:dyDescent="0.25">
      <c r="K49" s="45" t="s">
        <v>878</v>
      </c>
      <c r="L49" s="40">
        <f>CUSTOS!$F$30</f>
        <v>0</v>
      </c>
      <c r="M49" s="40">
        <f>CUSTOS!$F$31</f>
        <v>121825550.48913465</v>
      </c>
      <c r="N49" s="40">
        <f>CUSTOS!$F$32</f>
        <v>0</v>
      </c>
      <c r="O49" s="40">
        <f>CUSTOS!$F$33</f>
        <v>1695860.3635268798</v>
      </c>
      <c r="P49" s="40">
        <f>CUSTOS!$F$34</f>
        <v>0</v>
      </c>
      <c r="Q49" s="40">
        <f>CUSTOS!$F$35</f>
        <v>123521410.85266154</v>
      </c>
      <c r="R49" s="40">
        <f>CUSTOS!$F$36</f>
        <v>42686759.393924795</v>
      </c>
      <c r="S49" s="40">
        <f>CUSTOS!$F$37</f>
        <v>42686759.393924795</v>
      </c>
      <c r="T49" s="40">
        <f>CUSTOS!$F$38</f>
        <v>0</v>
      </c>
      <c r="U49" s="40">
        <f>CUSTOS!$F$39</f>
        <v>0</v>
      </c>
      <c r="V49" s="40">
        <f>CUSTOS!$F$40</f>
        <v>0</v>
      </c>
      <c r="W49" s="40">
        <f>CUSTOS!$F$41</f>
        <v>0</v>
      </c>
      <c r="X49" s="40">
        <f>CUSTOS!$F$42</f>
        <v>0</v>
      </c>
      <c r="Y49" s="40">
        <f>CUSTOS!$F$43</f>
        <v>0</v>
      </c>
      <c r="Z49" s="40">
        <f>CUSTOS!$F$44</f>
        <v>1119300.3326017458</v>
      </c>
      <c r="AA49" s="40">
        <f>CUSTOS!$F$45</f>
        <v>1119300.3326017458</v>
      </c>
      <c r="AB49" s="40">
        <f>CUSTOS!$F$46</f>
        <v>167327470.57918808</v>
      </c>
    </row>
    <row r="50" spans="11:28" ht="11.25" customHeight="1" x14ac:dyDescent="0.25">
      <c r="K50" s="45" t="s">
        <v>941</v>
      </c>
      <c r="L50" s="40">
        <f>'TR TE'!$L$50*L51</f>
        <v>0</v>
      </c>
      <c r="M50" s="40">
        <f>'TR TE'!$M$50*M51</f>
        <v>0.30732974335104429</v>
      </c>
      <c r="N50" s="40">
        <f>'TR TE'!$N$50*N51</f>
        <v>0</v>
      </c>
      <c r="O50" s="40">
        <f>'TR TE'!$O$50*O51</f>
        <v>-0.21330102288160507</v>
      </c>
      <c r="P50" s="40">
        <f>'TR TE'!$P$50*P51</f>
        <v>0</v>
      </c>
      <c r="Q50" s="40"/>
      <c r="R50" s="40">
        <f>'TR TE'!$R$50*R51</f>
        <v>-25.775840792458997</v>
      </c>
      <c r="S50" s="40"/>
      <c r="T50" s="40">
        <f>'TR TE'!$T$50*T51</f>
        <v>0</v>
      </c>
      <c r="U50" s="40">
        <f>'TR TE'!$U$50*U51</f>
        <v>0</v>
      </c>
      <c r="V50" s="40">
        <f>'TR TE'!$V$50*V51</f>
        <v>0</v>
      </c>
      <c r="W50" s="40"/>
      <c r="X50" s="40"/>
      <c r="Y50" s="40"/>
      <c r="Z50" s="40">
        <f>'TR TE'!$Z$50*Z51</f>
        <v>-0.68301089926727276</v>
      </c>
      <c r="AA50" s="40"/>
      <c r="AB50" s="40"/>
    </row>
    <row r="51" spans="11:28" ht="11.25" customHeight="1" x14ac:dyDescent="0.25">
      <c r="K51" s="45" t="s">
        <v>934</v>
      </c>
      <c r="L51" s="40">
        <f>IF(L47&lt;&gt;0,L48/L47,0)</f>
        <v>0</v>
      </c>
      <c r="M51" s="40">
        <f>IF(M47&lt;&gt;0,M48/M47,0)</f>
        <v>1.1918629489566294E-2</v>
      </c>
      <c r="N51" s="40">
        <f>IF(N47&lt;&gt;0,N48/N47,0)</f>
        <v>0</v>
      </c>
      <c r="O51" s="40">
        <f>IF(O47&lt;&gt;0,O48/O47,0)</f>
        <v>-3.9081966700493097E-2</v>
      </c>
      <c r="P51" s="40">
        <f>IF(P47&lt;&gt;0,P48/P47,0)</f>
        <v>0</v>
      </c>
      <c r="Q51" s="40"/>
      <c r="R51" s="40">
        <f>IF(R47&lt;&gt;0,R48/R47,0)</f>
        <v>-0.11647914657618996</v>
      </c>
      <c r="S51" s="40"/>
      <c r="T51" s="40">
        <f>IF(T47&lt;&gt;0,T48/T47,0)</f>
        <v>0</v>
      </c>
      <c r="U51" s="40">
        <f>IF(U47&lt;&gt;0,U48/U47,0)</f>
        <v>0</v>
      </c>
      <c r="V51" s="40">
        <f>IF(V47&lt;&gt;0,V48/V47,0)</f>
        <v>0</v>
      </c>
      <c r="W51" s="40"/>
      <c r="X51" s="40">
        <f>IF(($AB47-0)&lt;&gt;0,X48/($AB47-0),0)</f>
        <v>-9.0215154741720913E-2</v>
      </c>
      <c r="Y51" s="40"/>
      <c r="Z51" s="40">
        <f>IF(Z47&lt;&gt;0,Z48/Z47,0)</f>
        <v>-0.11647914657618998</v>
      </c>
      <c r="AA51" s="40"/>
      <c r="AB51" s="40"/>
    </row>
    <row r="52" spans="11:28" ht="11.25" customHeight="1" x14ac:dyDescent="0.25">
      <c r="K52" s="45" t="s">
        <v>943</v>
      </c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</row>
  </sheetData>
  <mergeCells count="67">
    <mergeCell ref="E38:E40"/>
    <mergeCell ref="F38:F40"/>
    <mergeCell ref="A43:A44"/>
    <mergeCell ref="B43:B44"/>
    <mergeCell ref="C43:C44"/>
    <mergeCell ref="D38:D40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A10:A22"/>
    <mergeCell ref="B10:B12"/>
    <mergeCell ref="C10:C12"/>
    <mergeCell ref="D10:D12"/>
    <mergeCell ref="E10:E12"/>
    <mergeCell ref="F10:F12"/>
    <mergeCell ref="B13:B17"/>
    <mergeCell ref="C13:C17"/>
    <mergeCell ref="B18:B22"/>
    <mergeCell ref="C18:C22"/>
    <mergeCell ref="A7:A9"/>
    <mergeCell ref="B7:B8"/>
    <mergeCell ref="C7:C8"/>
    <mergeCell ref="D7:D8"/>
    <mergeCell ref="E7:E8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6">
    <cfRule type="cellIs" dxfId="1468" priority="33" operator="notEqual">
      <formula>$L$47</formula>
    </cfRule>
    <cfRule type="cellIs" dxfId="1467" priority="34" operator="equal">
      <formula>$L$47</formula>
    </cfRule>
  </conditionalFormatting>
  <conditionalFormatting sqref="M46">
    <cfRule type="cellIs" dxfId="1466" priority="31" operator="notEqual">
      <formula>$M$47</formula>
    </cfRule>
    <cfRule type="cellIs" dxfId="1465" priority="32" operator="equal">
      <formula>$M$47</formula>
    </cfRule>
  </conditionalFormatting>
  <conditionalFormatting sqref="N46">
    <cfRule type="cellIs" dxfId="1464" priority="29" operator="notEqual">
      <formula>$N$47</formula>
    </cfRule>
    <cfRule type="cellIs" dxfId="1463" priority="30" operator="equal">
      <formula>$N$47</formula>
    </cfRule>
  </conditionalFormatting>
  <conditionalFormatting sqref="O46">
    <cfRule type="cellIs" dxfId="1462" priority="27" operator="notEqual">
      <formula>$O$47</formula>
    </cfRule>
    <cfRule type="cellIs" dxfId="1461" priority="28" operator="equal">
      <formula>$O$47</formula>
    </cfRule>
  </conditionalFormatting>
  <conditionalFormatting sqref="P46">
    <cfRule type="cellIs" dxfId="1460" priority="25" operator="notEqual">
      <formula>$P$47</formula>
    </cfRule>
    <cfRule type="cellIs" dxfId="1459" priority="26" operator="equal">
      <formula>$P$47</formula>
    </cfRule>
  </conditionalFormatting>
  <conditionalFormatting sqref="Q46">
    <cfRule type="cellIs" dxfId="1458" priority="23" operator="notEqual">
      <formula>$Q$47</formula>
    </cfRule>
    <cfRule type="cellIs" dxfId="1457" priority="24" operator="equal">
      <formula>$Q$47</formula>
    </cfRule>
  </conditionalFormatting>
  <conditionalFormatting sqref="R46">
    <cfRule type="cellIs" dxfId="1456" priority="21" operator="notEqual">
      <formula>$R$47</formula>
    </cfRule>
    <cfRule type="cellIs" dxfId="1455" priority="22" operator="equal">
      <formula>$R$47</formula>
    </cfRule>
  </conditionalFormatting>
  <conditionalFormatting sqref="S46">
    <cfRule type="cellIs" dxfId="1454" priority="19" operator="notEqual">
      <formula>$S$47</formula>
    </cfRule>
    <cfRule type="cellIs" dxfId="1453" priority="20" operator="equal">
      <formula>$S$47</formula>
    </cfRule>
  </conditionalFormatting>
  <conditionalFormatting sqref="T46">
    <cfRule type="cellIs" dxfId="1452" priority="17" operator="notEqual">
      <formula>$T$47</formula>
    </cfRule>
    <cfRule type="cellIs" dxfId="1451" priority="18" operator="equal">
      <formula>$T$47</formula>
    </cfRule>
  </conditionalFormatting>
  <conditionalFormatting sqref="U46">
    <cfRule type="cellIs" dxfId="1450" priority="15" operator="notEqual">
      <formula>$U$47</formula>
    </cfRule>
    <cfRule type="cellIs" dxfId="1449" priority="16" operator="equal">
      <formula>$U$47</formula>
    </cfRule>
  </conditionalFormatting>
  <conditionalFormatting sqref="V46">
    <cfRule type="cellIs" dxfId="1448" priority="13" operator="notEqual">
      <formula>$V$47</formula>
    </cfRule>
    <cfRule type="cellIs" dxfId="1447" priority="14" operator="equal">
      <formula>$V$47</formula>
    </cfRule>
  </conditionalFormatting>
  <conditionalFormatting sqref="W46">
    <cfRule type="cellIs" dxfId="1446" priority="11" operator="notEqual">
      <formula>$W$47</formula>
    </cfRule>
    <cfRule type="cellIs" dxfId="1445" priority="12" operator="equal">
      <formula>$W$47</formula>
    </cfRule>
  </conditionalFormatting>
  <conditionalFormatting sqref="X46">
    <cfRule type="cellIs" dxfId="1444" priority="9" operator="notEqual">
      <formula>$X$47</formula>
    </cfRule>
    <cfRule type="cellIs" dxfId="1443" priority="10" operator="equal">
      <formula>$X$47</formula>
    </cfRule>
  </conditionalFormatting>
  <conditionalFormatting sqref="Y46">
    <cfRule type="cellIs" dxfId="1442" priority="7" operator="notEqual">
      <formula>$Y$47</formula>
    </cfRule>
    <cfRule type="cellIs" dxfId="1441" priority="8" operator="equal">
      <formula>$Y$47</formula>
    </cfRule>
  </conditionalFormatting>
  <conditionalFormatting sqref="Z46">
    <cfRule type="cellIs" dxfId="1440" priority="5" operator="notEqual">
      <formula>$Z$47</formula>
    </cfRule>
    <cfRule type="cellIs" dxfId="1439" priority="6" operator="equal">
      <formula>$Z$47</formula>
    </cfRule>
  </conditionalFormatting>
  <conditionalFormatting sqref="AA46">
    <cfRule type="cellIs" dxfId="1438" priority="3" operator="notEqual">
      <formula>$AA$47</formula>
    </cfRule>
    <cfRule type="cellIs" dxfId="1437" priority="4" operator="equal">
      <formula>$AA$47</formula>
    </cfRule>
  </conditionalFormatting>
  <conditionalFormatting sqref="AB46">
    <cfRule type="cellIs" dxfId="1436" priority="1" operator="notEqual">
      <formula>$AB$47</formula>
    </cfRule>
    <cfRule type="cellIs" dxfId="1435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5B8B8-F328-4A12-B5BE-DB0DC8398C2B}">
  <dimension ref="A1:AB52"/>
  <sheetViews>
    <sheetView showGridLines="0" topLeftCell="L1" workbookViewId="0">
      <selection activeCell="AB46" sqref="AB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1.71093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1.7109375" style="9" bestFit="1" customWidth="1"/>
    <col min="18" max="18" width="15" style="9" bestFit="1" customWidth="1"/>
    <col min="19" max="19" width="12.2851562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5" width="11.42578125" style="9" bestFit="1" customWidth="1"/>
    <col min="26" max="26" width="11" style="9" bestFit="1" customWidth="1"/>
    <col min="27" max="27" width="10.85546875" style="9" bestFit="1" customWidth="1"/>
    <col min="28" max="28" width="12.28515625" style="9" bestFit="1" customWidth="1"/>
    <col min="29" max="16384" width="9.140625" style="9"/>
  </cols>
  <sheetData>
    <row r="1" spans="1:28" ht="11.25" customHeight="1" x14ac:dyDescent="0.25">
      <c r="A1" s="107" t="s">
        <v>92</v>
      </c>
      <c r="B1" s="107" t="s">
        <v>93</v>
      </c>
      <c r="C1" s="107" t="s">
        <v>94</v>
      </c>
      <c r="D1" s="107" t="s">
        <v>95</v>
      </c>
      <c r="E1" s="107" t="s">
        <v>96</v>
      </c>
      <c r="F1" s="107" t="s">
        <v>15</v>
      </c>
      <c r="G1" s="107" t="s">
        <v>98</v>
      </c>
      <c r="H1" s="107" t="s">
        <v>99</v>
      </c>
      <c r="I1" s="107" t="s">
        <v>924</v>
      </c>
      <c r="J1" s="93"/>
      <c r="L1" s="105" t="s">
        <v>945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25">
      <c r="A2" s="107"/>
      <c r="B2" s="107"/>
      <c r="C2" s="107"/>
      <c r="D2" s="107"/>
      <c r="E2" s="107"/>
      <c r="F2" s="107"/>
      <c r="G2" s="107"/>
      <c r="H2" s="107"/>
      <c r="I2" s="107"/>
      <c r="J2" s="93"/>
      <c r="L2" s="105" t="s">
        <v>862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25">
      <c r="A3" s="107"/>
      <c r="B3" s="107"/>
      <c r="C3" s="107"/>
      <c r="D3" s="107"/>
      <c r="E3" s="107"/>
      <c r="F3" s="107"/>
      <c r="G3" s="107"/>
      <c r="H3" s="107"/>
      <c r="I3" s="107"/>
      <c r="J3" s="93"/>
      <c r="L3" s="105" t="s">
        <v>835</v>
      </c>
      <c r="M3" s="105"/>
      <c r="N3" s="105"/>
      <c r="O3" s="105"/>
      <c r="P3" s="105"/>
      <c r="Q3" s="105"/>
      <c r="R3" s="105" t="s">
        <v>866</v>
      </c>
      <c r="S3" s="105"/>
      <c r="T3" s="105" t="s">
        <v>844</v>
      </c>
      <c r="U3" s="105"/>
      <c r="V3" s="105"/>
      <c r="W3" s="105"/>
      <c r="X3" s="105" t="s">
        <v>854</v>
      </c>
      <c r="Y3" s="105"/>
      <c r="Z3" s="105" t="s">
        <v>857</v>
      </c>
      <c r="AA3" s="105"/>
      <c r="AB3" s="105" t="s">
        <v>843</v>
      </c>
    </row>
    <row r="4" spans="1:28" ht="11.25" customHeight="1" x14ac:dyDescent="0.25">
      <c r="A4" s="107"/>
      <c r="B4" s="107"/>
      <c r="C4" s="107"/>
      <c r="D4" s="107"/>
      <c r="E4" s="107"/>
      <c r="F4" s="107"/>
      <c r="G4" s="107"/>
      <c r="H4" s="107"/>
      <c r="I4" s="107"/>
      <c r="J4" s="93"/>
      <c r="L4" s="44" t="s">
        <v>837</v>
      </c>
      <c r="M4" s="44" t="s">
        <v>863</v>
      </c>
      <c r="N4" s="44" t="s">
        <v>864</v>
      </c>
      <c r="O4" s="44" t="s">
        <v>923</v>
      </c>
      <c r="P4" s="44" t="s">
        <v>865</v>
      </c>
      <c r="Q4" s="44" t="s">
        <v>843</v>
      </c>
      <c r="R4" s="44" t="s">
        <v>867</v>
      </c>
      <c r="S4" s="44" t="s">
        <v>843</v>
      </c>
      <c r="T4" s="44" t="s">
        <v>868</v>
      </c>
      <c r="U4" s="44" t="s">
        <v>869</v>
      </c>
      <c r="V4" s="44" t="s">
        <v>870</v>
      </c>
      <c r="W4" s="44" t="s">
        <v>843</v>
      </c>
      <c r="X4" s="44" t="s">
        <v>855</v>
      </c>
      <c r="Y4" s="44" t="s">
        <v>843</v>
      </c>
      <c r="Z4" s="44" t="s">
        <v>871</v>
      </c>
      <c r="AA4" s="44" t="s">
        <v>843</v>
      </c>
      <c r="AB4" s="106"/>
    </row>
    <row r="5" spans="1:28" ht="11.25" customHeight="1" x14ac:dyDescent="0.25">
      <c r="A5" s="108" t="s">
        <v>39</v>
      </c>
      <c r="B5" s="108" t="s">
        <v>101</v>
      </c>
      <c r="C5" s="108" t="s">
        <v>25</v>
      </c>
      <c r="D5" s="108" t="s">
        <v>25</v>
      </c>
      <c r="E5" s="108" t="s">
        <v>25</v>
      </c>
      <c r="F5" s="108" t="s">
        <v>25</v>
      </c>
      <c r="G5" s="43" t="s">
        <v>103</v>
      </c>
      <c r="H5" s="43" t="s">
        <v>102</v>
      </c>
      <c r="I5" s="43">
        <f>'MERCADO TE'!$U$2</f>
        <v>7394.5769999999993</v>
      </c>
      <c r="J5" s="15"/>
      <c r="L5" s="40">
        <f>'TE BE'!$L$5*'TE BE'!$L$51</f>
        <v>0</v>
      </c>
      <c r="M5" s="40">
        <f>'TE BE'!$M$5*'TE BE'!$M$51</f>
        <v>0.30732974335104429</v>
      </c>
      <c r="N5" s="40">
        <f>'TE BE'!$N$5*'TE BE'!$N$51</f>
        <v>0</v>
      </c>
      <c r="O5" s="40">
        <f>'TE BE'!$O$5*'TE BE'!$O$51</f>
        <v>-0.21330102288160507</v>
      </c>
      <c r="P5" s="40">
        <f>'TE BE'!$P$5*'TE BE'!$P$51</f>
        <v>0</v>
      </c>
      <c r="Q5" s="40">
        <f>SUM($L$5:$P$5)</f>
        <v>9.402872046943922E-2</v>
      </c>
      <c r="R5" s="40">
        <f>'TE BE'!$R$5*'TE BE'!$R$51</f>
        <v>-42.343137497278711</v>
      </c>
      <c r="S5" s="40">
        <f>SUM($R$5:$R$5)</f>
        <v>-42.343137497278711</v>
      </c>
      <c r="T5" s="40">
        <f>'TE BE'!$T$5*'TE BE'!$T$51</f>
        <v>0</v>
      </c>
      <c r="U5" s="40">
        <f>'TE BE'!$U$5*'TE BE'!$U$51</f>
        <v>0</v>
      </c>
      <c r="V5" s="40">
        <f>'TE BE'!$V$5*'TE BE'!$V$51</f>
        <v>0</v>
      </c>
      <c r="W5" s="40">
        <f>SUM($T$5:$V$5)</f>
        <v>0</v>
      </c>
      <c r="X5" s="40">
        <f>'TE BE'!$AB$5*'TE BE'!$X$51</f>
        <v>-34.82919728865982</v>
      </c>
      <c r="Y5" s="40">
        <f>SUM($X$5:$X$5)</f>
        <v>-34.82919728865982</v>
      </c>
      <c r="Z5" s="40">
        <f>'TE BE'!$Z$5*'TE BE'!$Z$51</f>
        <v>-0.68301089926727276</v>
      </c>
      <c r="AA5" s="40">
        <f>SUM($Z$5:$Z$5)</f>
        <v>-0.68301089926727276</v>
      </c>
      <c r="AB5" s="40">
        <f>SUMIF($L$4:$AA$4,"SUBTOTAL",$L$5:$AA$5)</f>
        <v>-77.761316964736366</v>
      </c>
    </row>
    <row r="6" spans="1:28" ht="11.25" customHeight="1" x14ac:dyDescent="0.25">
      <c r="A6" s="108"/>
      <c r="B6" s="108"/>
      <c r="C6" s="108"/>
      <c r="D6" s="108"/>
      <c r="E6" s="108"/>
      <c r="F6" s="108"/>
      <c r="G6" s="43" t="s">
        <v>104</v>
      </c>
      <c r="H6" s="43" t="s">
        <v>102</v>
      </c>
      <c r="I6" s="43">
        <f>'MERCADO TE'!$U$3</f>
        <v>86286.733999999997</v>
      </c>
      <c r="J6" s="15"/>
      <c r="L6" s="40">
        <f>'TE BE'!$L$6*'TE BE'!$L$51</f>
        <v>0</v>
      </c>
      <c r="M6" s="40">
        <f>'TE BE'!$M$6*'TE BE'!$M$51</f>
        <v>0.30732974335104429</v>
      </c>
      <c r="N6" s="40">
        <f>'TE BE'!$N$6*'TE BE'!$N$51</f>
        <v>0</v>
      </c>
      <c r="O6" s="40">
        <f>'TE BE'!$O$6*'TE BE'!$O$51</f>
        <v>-0.21330102288160507</v>
      </c>
      <c r="P6" s="40">
        <f>'TE BE'!$P$6*'TE BE'!$P$51</f>
        <v>0</v>
      </c>
      <c r="Q6" s="40">
        <f>SUM($L$6:$P$6)</f>
        <v>9.402872046943922E-2</v>
      </c>
      <c r="R6" s="40">
        <f>'TE BE'!$R$6*'TE BE'!$R$51</f>
        <v>-24.618103196092271</v>
      </c>
      <c r="S6" s="40">
        <f>SUM($R$6:$R$6)</f>
        <v>-24.618103196092271</v>
      </c>
      <c r="T6" s="40">
        <f>'TE BE'!$T$6*'TE BE'!$T$51</f>
        <v>0</v>
      </c>
      <c r="U6" s="40">
        <f>'TE BE'!$U$6*'TE BE'!$U$51</f>
        <v>0</v>
      </c>
      <c r="V6" s="40">
        <f>'TE BE'!$V$6*'TE BE'!$V$51</f>
        <v>0</v>
      </c>
      <c r="W6" s="40">
        <f>SUM($T$6:$V$6)</f>
        <v>0</v>
      </c>
      <c r="X6" s="40">
        <f>'TE BE'!$AB$6*'TE BE'!$X$51</f>
        <v>-21.100845396607767</v>
      </c>
      <c r="Y6" s="40">
        <f>SUM($X$6:$X$6)</f>
        <v>-21.100845396607767</v>
      </c>
      <c r="Z6" s="40">
        <f>'TE BE'!$Z$6*'TE BE'!$Z$51</f>
        <v>-0.68301089926727276</v>
      </c>
      <c r="AA6" s="40">
        <f>SUM($Z$6:$Z$6)</f>
        <v>-0.68301089926727276</v>
      </c>
      <c r="AB6" s="40">
        <f>SUMIF($L$4:$AA$4,"SUBTOTAL",$L$6:$AA$6)</f>
        <v>-46.307930771497873</v>
      </c>
    </row>
    <row r="7" spans="1:28" ht="11.25" customHeight="1" x14ac:dyDescent="0.25">
      <c r="A7" s="108" t="s">
        <v>41</v>
      </c>
      <c r="B7" s="108" t="s">
        <v>101</v>
      </c>
      <c r="C7" s="108" t="s">
        <v>25</v>
      </c>
      <c r="D7" s="108" t="s">
        <v>25</v>
      </c>
      <c r="E7" s="108" t="s">
        <v>25</v>
      </c>
      <c r="F7" s="108" t="s">
        <v>25</v>
      </c>
      <c r="G7" s="43" t="s">
        <v>103</v>
      </c>
      <c r="H7" s="43" t="s">
        <v>102</v>
      </c>
      <c r="I7" s="43">
        <f>'MERCADO TE'!$U$4</f>
        <v>39726.173999999992</v>
      </c>
      <c r="J7" s="15"/>
      <c r="L7" s="40">
        <f>'TE BE'!$L$7*'TE BE'!$L$51</f>
        <v>0</v>
      </c>
      <c r="M7" s="40">
        <f>'TE BE'!$M$7*'TE BE'!$M$51</f>
        <v>0.30732974335104429</v>
      </c>
      <c r="N7" s="40">
        <f>'TE BE'!$N$7*'TE BE'!$N$51</f>
        <v>0</v>
      </c>
      <c r="O7" s="40">
        <f>'TE BE'!$O$7*'TE BE'!$O$51</f>
        <v>-0.21330102288160507</v>
      </c>
      <c r="P7" s="40">
        <f>'TE BE'!$P$7*'TE BE'!$P$51</f>
        <v>0</v>
      </c>
      <c r="Q7" s="40">
        <f>SUM($L$7:$P$7)</f>
        <v>9.402872046943922E-2</v>
      </c>
      <c r="R7" s="40">
        <f>'TE BE'!$R$7*'TE BE'!$R$51</f>
        <v>-42.343137497278711</v>
      </c>
      <c r="S7" s="40">
        <f>SUM($R$7:$R$7)</f>
        <v>-42.343137497278711</v>
      </c>
      <c r="T7" s="40">
        <f>'TE BE'!$T$7*'TE BE'!$T$51</f>
        <v>0</v>
      </c>
      <c r="U7" s="40">
        <f>'TE BE'!$U$7*'TE BE'!$U$51</f>
        <v>0</v>
      </c>
      <c r="V7" s="40">
        <f>'TE BE'!$V$7*'TE BE'!$V$51</f>
        <v>0</v>
      </c>
      <c r="W7" s="40">
        <f>SUM($T$7:$V$7)</f>
        <v>0</v>
      </c>
      <c r="X7" s="40">
        <f>'TE BE'!$AB$7*'TE BE'!$X$51</f>
        <v>-34.82919728865982</v>
      </c>
      <c r="Y7" s="40">
        <f>SUM($X$7:$X$7)</f>
        <v>-34.82919728865982</v>
      </c>
      <c r="Z7" s="40">
        <f>'TE BE'!$Z$7*'TE BE'!$Z$51</f>
        <v>-0.68301089926727276</v>
      </c>
      <c r="AA7" s="40">
        <f>SUM($Z$7:$Z$7)</f>
        <v>-0.68301089926727276</v>
      </c>
      <c r="AB7" s="40">
        <f>SUMIF($L$4:$AA$4,"SUBTOTAL",$L$7:$AA$7)</f>
        <v>-77.761316964736366</v>
      </c>
    </row>
    <row r="8" spans="1:28" ht="11.25" customHeight="1" x14ac:dyDescent="0.25">
      <c r="A8" s="108"/>
      <c r="B8" s="108"/>
      <c r="C8" s="108"/>
      <c r="D8" s="108"/>
      <c r="E8" s="108"/>
      <c r="F8" s="108"/>
      <c r="G8" s="43" t="s">
        <v>104</v>
      </c>
      <c r="H8" s="43" t="s">
        <v>102</v>
      </c>
      <c r="I8" s="43">
        <f>'MERCADO TE'!$U$5</f>
        <v>550599.2379999999</v>
      </c>
      <c r="J8" s="15"/>
      <c r="L8" s="40">
        <f>'TE BE'!$L$8*'TE BE'!$L$51</f>
        <v>0</v>
      </c>
      <c r="M8" s="40">
        <f>'TE BE'!$M$8*'TE BE'!$M$51</f>
        <v>0.30732974335104429</v>
      </c>
      <c r="N8" s="40">
        <f>'TE BE'!$N$8*'TE BE'!$N$51</f>
        <v>0</v>
      </c>
      <c r="O8" s="40">
        <f>'TE BE'!$O$8*'TE BE'!$O$51</f>
        <v>-0.21330102288160507</v>
      </c>
      <c r="P8" s="40">
        <f>'TE BE'!$P$8*'TE BE'!$P$51</f>
        <v>0</v>
      </c>
      <c r="Q8" s="40">
        <f>SUM($L$8:$P$8)</f>
        <v>9.402872046943922E-2</v>
      </c>
      <c r="R8" s="40">
        <f>'TE BE'!$R$8*'TE BE'!$R$51</f>
        <v>-24.618103196092271</v>
      </c>
      <c r="S8" s="40">
        <f>SUM($R$8:$R$8)</f>
        <v>-24.618103196092271</v>
      </c>
      <c r="T8" s="40">
        <f>'TE BE'!$T$8*'TE BE'!$T$51</f>
        <v>0</v>
      </c>
      <c r="U8" s="40">
        <f>'TE BE'!$U$8*'TE BE'!$U$51</f>
        <v>0</v>
      </c>
      <c r="V8" s="40">
        <f>'TE BE'!$V$8*'TE BE'!$V$51</f>
        <v>0</v>
      </c>
      <c r="W8" s="40">
        <f>SUM($T$8:$V$8)</f>
        <v>0</v>
      </c>
      <c r="X8" s="40">
        <f>'TE BE'!$AB$8*'TE BE'!$X$51</f>
        <v>-21.100845396607767</v>
      </c>
      <c r="Y8" s="40">
        <f>SUM($X$8:$X$8)</f>
        <v>-21.100845396607767</v>
      </c>
      <c r="Z8" s="40">
        <f>'TE BE'!$Z$8*'TE BE'!$Z$51</f>
        <v>-0.68301089926727276</v>
      </c>
      <c r="AA8" s="40">
        <f>SUM($Z$8:$Z$8)</f>
        <v>-0.68301089926727276</v>
      </c>
      <c r="AB8" s="40">
        <f>SUMIF($L$4:$AA$4,"SUBTOTAL",$L$8:$AA$8)</f>
        <v>-46.307930771497873</v>
      </c>
    </row>
    <row r="9" spans="1:28" ht="11.25" customHeight="1" x14ac:dyDescent="0.25">
      <c r="A9" s="108"/>
      <c r="B9" s="42" t="s">
        <v>109</v>
      </c>
      <c r="C9" s="42" t="s">
        <v>25</v>
      </c>
      <c r="D9" s="42" t="s">
        <v>25</v>
      </c>
      <c r="E9" s="42" t="s">
        <v>25</v>
      </c>
      <c r="F9" s="42" t="s">
        <v>25</v>
      </c>
      <c r="G9" s="43" t="s">
        <v>108</v>
      </c>
      <c r="H9" s="43" t="s">
        <v>102</v>
      </c>
      <c r="I9" s="43">
        <f>'MERCADO TE'!$U$6</f>
        <v>0</v>
      </c>
      <c r="J9" s="15"/>
      <c r="L9" s="40">
        <f>'TE BE'!$L$9*'TE BE'!$L$51</f>
        <v>0</v>
      </c>
      <c r="M9" s="40">
        <f>'TE BE'!$M$9*'TE BE'!$M$51</f>
        <v>0.30732974335104429</v>
      </c>
      <c r="N9" s="40">
        <f>'TE BE'!$N$9*'TE BE'!$N$51</f>
        <v>0</v>
      </c>
      <c r="O9" s="40">
        <f>'TE BE'!$O$9*'TE BE'!$O$51</f>
        <v>-0.21330102288160507</v>
      </c>
      <c r="P9" s="40">
        <f>'TE BE'!$P$9*'TE BE'!$P$51</f>
        <v>0</v>
      </c>
      <c r="Q9" s="40">
        <f>SUM($L$9:$P$9)</f>
        <v>9.402872046943922E-2</v>
      </c>
      <c r="R9" s="40">
        <f>'TE BE'!$R$9*'TE BE'!$R$51</f>
        <v>-26.095189387857808</v>
      </c>
      <c r="S9" s="40">
        <f>SUM($R$9:$R$9)</f>
        <v>-26.095189387857808</v>
      </c>
      <c r="T9" s="40">
        <f>'TE BE'!$T$9*'TE BE'!$T$51</f>
        <v>0</v>
      </c>
      <c r="U9" s="40">
        <f>'TE BE'!$U$9*'TE BE'!$U$51</f>
        <v>0</v>
      </c>
      <c r="V9" s="40">
        <f>'TE BE'!$V$9*'TE BE'!$V$51</f>
        <v>0</v>
      </c>
      <c r="W9" s="40">
        <f>SUM($T$9:$V$9)</f>
        <v>0</v>
      </c>
      <c r="X9" s="40">
        <f>'TE BE'!$AB$9*'TE BE'!$X$51</f>
        <v>-22.244874720945436</v>
      </c>
      <c r="Y9" s="40">
        <f>SUM($X$9:$X$9)</f>
        <v>-22.244874720945436</v>
      </c>
      <c r="Z9" s="40">
        <f>'TE BE'!$Z$9*'TE BE'!$Z$51</f>
        <v>-0.68301089926727276</v>
      </c>
      <c r="AA9" s="40">
        <f>SUM($Z$9:$Z$9)</f>
        <v>-0.68301089926727276</v>
      </c>
      <c r="AB9" s="40">
        <f>SUMIF($L$4:$AA$4,"SUBTOTAL",$L$9:$AA$9)</f>
        <v>-48.929046287601082</v>
      </c>
    </row>
    <row r="10" spans="1:28" ht="11.25" customHeight="1" x14ac:dyDescent="0.25">
      <c r="A10" s="108" t="s">
        <v>22</v>
      </c>
      <c r="B10" s="108" t="s">
        <v>101</v>
      </c>
      <c r="C10" s="108" t="s">
        <v>24</v>
      </c>
      <c r="D10" s="108" t="s">
        <v>24</v>
      </c>
      <c r="E10" s="108" t="s">
        <v>25</v>
      </c>
      <c r="F10" s="108" t="s">
        <v>25</v>
      </c>
      <c r="G10" s="43" t="s">
        <v>103</v>
      </c>
      <c r="H10" s="43" t="s">
        <v>102</v>
      </c>
      <c r="I10" s="43">
        <f>'MERCADO TE'!$U$7</f>
        <v>107.383</v>
      </c>
      <c r="J10" s="15"/>
      <c r="L10" s="40">
        <f>'TE BE'!$L$10*'TE BE'!$L$51</f>
        <v>0</v>
      </c>
      <c r="M10" s="40">
        <f>'TE BE'!$M$10*'TE BE'!$M$51</f>
        <v>0.30732974335104429</v>
      </c>
      <c r="N10" s="40">
        <f>'TE BE'!$N$10*'TE BE'!$N$51</f>
        <v>0</v>
      </c>
      <c r="O10" s="40">
        <f>'TE BE'!$O$10*'TE BE'!$O$51</f>
        <v>-0.21330102288160507</v>
      </c>
      <c r="P10" s="40">
        <f>'TE BE'!$P$10*'TE BE'!$P$51</f>
        <v>0</v>
      </c>
      <c r="Q10" s="40">
        <f>SUM($L$10:$P$10)</f>
        <v>9.402872046943922E-2</v>
      </c>
      <c r="R10" s="40">
        <f>'TE BE'!$R$10*'TE BE'!$R$51</f>
        <v>-42.343137497278711</v>
      </c>
      <c r="S10" s="40">
        <f>SUM($R$10:$R$10)</f>
        <v>-42.343137497278711</v>
      </c>
      <c r="T10" s="40">
        <f>'TE BE'!$T$10*'TE BE'!$T$51</f>
        <v>0</v>
      </c>
      <c r="U10" s="40">
        <f>'TE BE'!$U$10*'TE BE'!$U$51</f>
        <v>0</v>
      </c>
      <c r="V10" s="40">
        <f>'TE BE'!$V$10*'TE BE'!$V$51</f>
        <v>0</v>
      </c>
      <c r="W10" s="40">
        <f>SUM($T$10:$V$10)</f>
        <v>0</v>
      </c>
      <c r="X10" s="40">
        <f>'TE BE'!$AB$10*'TE BE'!$X$51</f>
        <v>-34.82919728865982</v>
      </c>
      <c r="Y10" s="40">
        <f>SUM($X$10:$X$10)</f>
        <v>-34.82919728865982</v>
      </c>
      <c r="Z10" s="40">
        <f>'TE BE'!$Z$10*'TE BE'!$Z$51</f>
        <v>-0.68301089926727276</v>
      </c>
      <c r="AA10" s="40">
        <f>SUM($Z$10:$Z$10)</f>
        <v>-0.68301089926727276</v>
      </c>
      <c r="AB10" s="40">
        <f>SUMIF($L$4:$AA$4,"SUBTOTAL",$L$10:$AA$10)</f>
        <v>-77.761316964736366</v>
      </c>
    </row>
    <row r="11" spans="1:28" ht="11.25" customHeight="1" x14ac:dyDescent="0.25">
      <c r="A11" s="108"/>
      <c r="B11" s="108"/>
      <c r="C11" s="108"/>
      <c r="D11" s="108"/>
      <c r="E11" s="108"/>
      <c r="F11" s="108"/>
      <c r="G11" s="43" t="s">
        <v>113</v>
      </c>
      <c r="H11" s="43" t="s">
        <v>102</v>
      </c>
      <c r="I11" s="43">
        <f>'MERCADO TE'!$U$8</f>
        <v>73.695000000000007</v>
      </c>
      <c r="J11" s="15"/>
      <c r="L11" s="40">
        <f>'TE BE'!$L$11*'TE BE'!$L$51</f>
        <v>0</v>
      </c>
      <c r="M11" s="40">
        <f>'TE BE'!$M$11*'TE BE'!$M$51</f>
        <v>0.30732974335104429</v>
      </c>
      <c r="N11" s="40">
        <f>'TE BE'!$N$11*'TE BE'!$N$51</f>
        <v>0</v>
      </c>
      <c r="O11" s="40">
        <f>'TE BE'!$O$11*'TE BE'!$O$51</f>
        <v>-0.21330102288160507</v>
      </c>
      <c r="P11" s="40">
        <f>'TE BE'!$P$11*'TE BE'!$P$51</f>
        <v>0</v>
      </c>
      <c r="Q11" s="40">
        <f>SUM($L$11:$P$11)</f>
        <v>9.402872046943922E-2</v>
      </c>
      <c r="R11" s="40">
        <f>'TE BE'!$R$11*'TE BE'!$R$51</f>
        <v>-24.618103196092271</v>
      </c>
      <c r="S11" s="40">
        <f>SUM($R$11:$R$11)</f>
        <v>-24.618103196092271</v>
      </c>
      <c r="T11" s="40">
        <f>'TE BE'!$T$11*'TE BE'!$T$51</f>
        <v>0</v>
      </c>
      <c r="U11" s="40">
        <f>'TE BE'!$U$11*'TE BE'!$U$51</f>
        <v>0</v>
      </c>
      <c r="V11" s="40">
        <f>'TE BE'!$V$11*'TE BE'!$V$51</f>
        <v>0</v>
      </c>
      <c r="W11" s="40">
        <f>SUM($T$11:$V$11)</f>
        <v>0</v>
      </c>
      <c r="X11" s="40">
        <f>'TE BE'!$AB$11*'TE BE'!$X$51</f>
        <v>-21.100845396607767</v>
      </c>
      <c r="Y11" s="40">
        <f>SUM($X$11:$X$11)</f>
        <v>-21.100845396607767</v>
      </c>
      <c r="Z11" s="40">
        <f>'TE BE'!$Z$11*'TE BE'!$Z$51</f>
        <v>-0.68301089926727276</v>
      </c>
      <c r="AA11" s="40">
        <f>SUM($Z$11:$Z$11)</f>
        <v>-0.68301089926727276</v>
      </c>
      <c r="AB11" s="40">
        <f>SUMIF($L$4:$AA$4,"SUBTOTAL",$L$11:$AA$11)</f>
        <v>-46.307930771497873</v>
      </c>
    </row>
    <row r="12" spans="1:28" ht="11.25" customHeight="1" x14ac:dyDescent="0.25">
      <c r="A12" s="108"/>
      <c r="B12" s="108"/>
      <c r="C12" s="108"/>
      <c r="D12" s="108"/>
      <c r="E12" s="108"/>
      <c r="F12" s="108"/>
      <c r="G12" s="43" t="s">
        <v>104</v>
      </c>
      <c r="H12" s="43" t="s">
        <v>102</v>
      </c>
      <c r="I12" s="43">
        <f>'MERCADO TE'!$U$9</f>
        <v>1358.0870000000002</v>
      </c>
      <c r="J12" s="15"/>
      <c r="L12" s="40">
        <f>'TE BE'!$L$12*'TE BE'!$L$51</f>
        <v>0</v>
      </c>
      <c r="M12" s="40">
        <f>'TE BE'!$M$12*'TE BE'!$M$51</f>
        <v>0.30732974335104429</v>
      </c>
      <c r="N12" s="40">
        <f>'TE BE'!$N$12*'TE BE'!$N$51</f>
        <v>0</v>
      </c>
      <c r="O12" s="40">
        <f>'TE BE'!$O$12*'TE BE'!$O$51</f>
        <v>-0.21330102288160507</v>
      </c>
      <c r="P12" s="40">
        <f>'TE BE'!$P$12*'TE BE'!$P$51</f>
        <v>0</v>
      </c>
      <c r="Q12" s="40">
        <f>SUM($L$12:$P$12)</f>
        <v>9.402872046943922E-2</v>
      </c>
      <c r="R12" s="40">
        <f>'TE BE'!$R$12*'TE BE'!$R$51</f>
        <v>-24.618103196092271</v>
      </c>
      <c r="S12" s="40">
        <f>SUM($R$12:$R$12)</f>
        <v>-24.618103196092271</v>
      </c>
      <c r="T12" s="40">
        <f>'TE BE'!$T$12*'TE BE'!$T$51</f>
        <v>0</v>
      </c>
      <c r="U12" s="40">
        <f>'TE BE'!$U$12*'TE BE'!$U$51</f>
        <v>0</v>
      </c>
      <c r="V12" s="40">
        <f>'TE BE'!$V$12*'TE BE'!$V$51</f>
        <v>0</v>
      </c>
      <c r="W12" s="40">
        <f>SUM($T$12:$V$12)</f>
        <v>0</v>
      </c>
      <c r="X12" s="40">
        <f>'TE BE'!$AB$12*'TE BE'!$X$51</f>
        <v>-21.100845396607767</v>
      </c>
      <c r="Y12" s="40">
        <f>SUM($X$12:$X$12)</f>
        <v>-21.100845396607767</v>
      </c>
      <c r="Z12" s="40">
        <f>'TE BE'!$Z$12*'TE BE'!$Z$51</f>
        <v>-0.68301089926727276</v>
      </c>
      <c r="AA12" s="40">
        <f>SUM($Z$12:$Z$12)</f>
        <v>-0.68301089926727276</v>
      </c>
      <c r="AB12" s="40">
        <f>SUMIF($L$4:$AA$4,"SUBTOTAL",$L$12:$AA$12)</f>
        <v>-46.307930771497873</v>
      </c>
    </row>
    <row r="13" spans="1:28" ht="11.25" customHeight="1" x14ac:dyDescent="0.25">
      <c r="A13" s="108"/>
      <c r="B13" s="108" t="s">
        <v>109</v>
      </c>
      <c r="C13" s="108" t="s">
        <v>24</v>
      </c>
      <c r="D13" s="42" t="s">
        <v>24</v>
      </c>
      <c r="E13" s="42" t="s">
        <v>25</v>
      </c>
      <c r="F13" s="42" t="s">
        <v>25</v>
      </c>
      <c r="G13" s="43" t="s">
        <v>108</v>
      </c>
      <c r="H13" s="43" t="s">
        <v>102</v>
      </c>
      <c r="I13" s="43">
        <f>'MERCADO TE'!$U$10</f>
        <v>1398369.1870000002</v>
      </c>
      <c r="J13" s="15"/>
      <c r="L13" s="40">
        <f>'TE BE'!$L$13*'TE BE'!$L$51</f>
        <v>0</v>
      </c>
      <c r="M13" s="40">
        <f>'TE BE'!$M$13*'TE BE'!$M$51</f>
        <v>0.30732974335104429</v>
      </c>
      <c r="N13" s="40">
        <f>'TE BE'!$N$13*'TE BE'!$N$51</f>
        <v>0</v>
      </c>
      <c r="O13" s="40">
        <f>'TE BE'!$O$13*'TE BE'!$O$51</f>
        <v>-0.21330102288160507</v>
      </c>
      <c r="P13" s="40">
        <f>'TE BE'!$P$13*'TE BE'!$P$51</f>
        <v>0</v>
      </c>
      <c r="Q13" s="40">
        <f>SUM($L$13:$P$13)</f>
        <v>9.402872046943922E-2</v>
      </c>
      <c r="R13" s="40">
        <f>'TE BE'!$R$13*'TE BE'!$R$51</f>
        <v>-26.095189387857808</v>
      </c>
      <c r="S13" s="40">
        <f>SUM($R$13:$R$13)</f>
        <v>-26.095189387857808</v>
      </c>
      <c r="T13" s="40">
        <f>'TE BE'!$T$13*'TE BE'!$T$51</f>
        <v>0</v>
      </c>
      <c r="U13" s="40">
        <f>'TE BE'!$U$13*'TE BE'!$U$51</f>
        <v>0</v>
      </c>
      <c r="V13" s="40">
        <f>'TE BE'!$V$13*'TE BE'!$V$51</f>
        <v>0</v>
      </c>
      <c r="W13" s="40">
        <f>SUM($T$13:$V$13)</f>
        <v>0</v>
      </c>
      <c r="X13" s="40">
        <f>'TE BE'!$AB$13*'TE BE'!$X$51</f>
        <v>-22.244874720945436</v>
      </c>
      <c r="Y13" s="40">
        <f>SUM($X$13:$X$13)</f>
        <v>-22.244874720945436</v>
      </c>
      <c r="Z13" s="40">
        <f>'TE BE'!$Z$13*'TE BE'!$Z$51</f>
        <v>-0.68301089926727276</v>
      </c>
      <c r="AA13" s="40">
        <f>SUM($Z$13:$Z$13)</f>
        <v>-0.68301089926727276</v>
      </c>
      <c r="AB13" s="40">
        <f>SUMIF($L$4:$AA$4,"SUBTOTAL",$L$13:$AA$13)</f>
        <v>-48.929046287601082</v>
      </c>
    </row>
    <row r="14" spans="1:28" ht="11.25" customHeight="1" x14ac:dyDescent="0.25">
      <c r="A14" s="108"/>
      <c r="B14" s="108"/>
      <c r="C14" s="108"/>
      <c r="D14" s="42" t="s">
        <v>29</v>
      </c>
      <c r="E14" s="42" t="s">
        <v>25</v>
      </c>
      <c r="F14" s="42" t="s">
        <v>25</v>
      </c>
      <c r="G14" s="43" t="s">
        <v>108</v>
      </c>
      <c r="H14" s="43" t="s">
        <v>102</v>
      </c>
      <c r="I14" s="43">
        <f>'MERCADO TE'!$U$11</f>
        <v>161060.71900000001</v>
      </c>
      <c r="J14" s="15"/>
      <c r="L14" s="40">
        <f>'TE BE'!$L$14*'TE BE'!$L$51</f>
        <v>0</v>
      </c>
      <c r="M14" s="40">
        <f>'TE BE'!$M$14*'TE BE'!$M$51</f>
        <v>0.30732974335104429</v>
      </c>
      <c r="N14" s="40">
        <f>'TE BE'!$N$14*'TE BE'!$N$51</f>
        <v>0</v>
      </c>
      <c r="O14" s="40">
        <f>'TE BE'!$O$14*'TE BE'!$O$51</f>
        <v>-0.21330102288160507</v>
      </c>
      <c r="P14" s="40">
        <f>'TE BE'!$P$14*'TE BE'!$P$51</f>
        <v>0</v>
      </c>
      <c r="Q14" s="40">
        <f>SUM($L$14:$P$14)</f>
        <v>9.402872046943922E-2</v>
      </c>
      <c r="R14" s="40">
        <f>'TE BE'!$R$14*'TE BE'!$R$51</f>
        <v>-26.095189387857808</v>
      </c>
      <c r="S14" s="40">
        <f>SUM($R$14:$R$14)</f>
        <v>-26.095189387857808</v>
      </c>
      <c r="T14" s="40">
        <f>'TE BE'!$T$14*'TE BE'!$T$51</f>
        <v>0</v>
      </c>
      <c r="U14" s="40">
        <f>'TE BE'!$U$14*'TE BE'!$U$51</f>
        <v>0</v>
      </c>
      <c r="V14" s="40">
        <f>'TE BE'!$V$14*'TE BE'!$V$51</f>
        <v>0</v>
      </c>
      <c r="W14" s="40">
        <f>SUM($T$14:$V$14)</f>
        <v>0</v>
      </c>
      <c r="X14" s="40">
        <f>'TE BE'!$AB$14*'TE BE'!$X$51</f>
        <v>-22.244874720945436</v>
      </c>
      <c r="Y14" s="40">
        <f>SUM($X$14:$X$14)</f>
        <v>-22.244874720945436</v>
      </c>
      <c r="Z14" s="40">
        <f>'TE BE'!$Z$14*'TE BE'!$Z$51</f>
        <v>-0.68301089926727276</v>
      </c>
      <c r="AA14" s="40">
        <f>SUM($Z$14:$Z$14)</f>
        <v>-0.68301089926727276</v>
      </c>
      <c r="AB14" s="40">
        <f>SUMIF($L$4:$AA$4,"SUBTOTAL",$L$14:$AA$14)</f>
        <v>-48.929046287601082</v>
      </c>
    </row>
    <row r="15" spans="1:28" ht="11.25" customHeight="1" x14ac:dyDescent="0.25">
      <c r="A15" s="108"/>
      <c r="B15" s="108"/>
      <c r="C15" s="108"/>
      <c r="D15" s="42" t="s">
        <v>30</v>
      </c>
      <c r="E15" s="42" t="s">
        <v>25</v>
      </c>
      <c r="F15" s="42" t="s">
        <v>25</v>
      </c>
      <c r="G15" s="43" t="s">
        <v>108</v>
      </c>
      <c r="H15" s="43" t="s">
        <v>102</v>
      </c>
      <c r="I15" s="43">
        <f>'MERCADO TE'!$U$12</f>
        <v>267147.82800000004</v>
      </c>
      <c r="J15" s="15"/>
      <c r="L15" s="40">
        <f>'TE BE'!$L$15*'TE BE'!$L$51</f>
        <v>0</v>
      </c>
      <c r="M15" s="40">
        <f>'TE BE'!$M$15*'TE BE'!$M$51</f>
        <v>0.30732974335104429</v>
      </c>
      <c r="N15" s="40">
        <f>'TE BE'!$N$15*'TE BE'!$N$51</f>
        <v>0</v>
      </c>
      <c r="O15" s="40">
        <f>'TE BE'!$O$15*'TE BE'!$O$51</f>
        <v>-0.21330102288160507</v>
      </c>
      <c r="P15" s="40">
        <f>'TE BE'!$P$15*'TE BE'!$P$51</f>
        <v>0</v>
      </c>
      <c r="Q15" s="40">
        <f>SUM($L$15:$P$15)</f>
        <v>9.402872046943922E-2</v>
      </c>
      <c r="R15" s="40">
        <f>'TE BE'!$R$15*'TE BE'!$R$51</f>
        <v>-26.095189387857808</v>
      </c>
      <c r="S15" s="40">
        <f>SUM($R$15:$R$15)</f>
        <v>-26.095189387857808</v>
      </c>
      <c r="T15" s="40">
        <f>'TE BE'!$T$15*'TE BE'!$T$51</f>
        <v>0</v>
      </c>
      <c r="U15" s="40">
        <f>'TE BE'!$U$15*'TE BE'!$U$51</f>
        <v>0</v>
      </c>
      <c r="V15" s="40">
        <f>'TE BE'!$V$15*'TE BE'!$V$51</f>
        <v>0</v>
      </c>
      <c r="W15" s="40">
        <f>SUM($T$15:$V$15)</f>
        <v>0</v>
      </c>
      <c r="X15" s="40">
        <f>'TE BE'!$AB$15*'TE BE'!$X$51</f>
        <v>-22.244874720945436</v>
      </c>
      <c r="Y15" s="40">
        <f>SUM($X$15:$X$15)</f>
        <v>-22.244874720945436</v>
      </c>
      <c r="Z15" s="40">
        <f>'TE BE'!$Z$15*'TE BE'!$Z$51</f>
        <v>-0.68301089926727276</v>
      </c>
      <c r="AA15" s="40">
        <f>SUM($Z$15:$Z$15)</f>
        <v>-0.68301089926727276</v>
      </c>
      <c r="AB15" s="40">
        <f>SUMIF($L$4:$AA$4,"SUBTOTAL",$L$15:$AA$15)</f>
        <v>-48.929046287601082</v>
      </c>
    </row>
    <row r="16" spans="1:28" ht="11.25" customHeight="1" x14ac:dyDescent="0.25">
      <c r="A16" s="108"/>
      <c r="B16" s="108"/>
      <c r="C16" s="108"/>
      <c r="D16" s="42" t="s">
        <v>31</v>
      </c>
      <c r="E16" s="42" t="s">
        <v>25</v>
      </c>
      <c r="F16" s="42" t="s">
        <v>25</v>
      </c>
      <c r="G16" s="43" t="s">
        <v>108</v>
      </c>
      <c r="H16" s="43" t="s">
        <v>102</v>
      </c>
      <c r="I16" s="43">
        <f>'MERCADO TE'!$U$13</f>
        <v>140786.959</v>
      </c>
      <c r="J16" s="15"/>
      <c r="L16" s="40">
        <f>'TE BE'!$L$16*'TE BE'!$L$51</f>
        <v>0</v>
      </c>
      <c r="M16" s="40">
        <f>'TE BE'!$M$16*'TE BE'!$M$51</f>
        <v>0.30732974335104429</v>
      </c>
      <c r="N16" s="40">
        <f>'TE BE'!$N$16*'TE BE'!$N$51</f>
        <v>0</v>
      </c>
      <c r="O16" s="40">
        <f>'TE BE'!$O$16*'TE BE'!$O$51</f>
        <v>-0.21330102288160507</v>
      </c>
      <c r="P16" s="40">
        <f>'TE BE'!$P$16*'TE BE'!$P$51</f>
        <v>0</v>
      </c>
      <c r="Q16" s="40">
        <f>SUM($L$16:$P$16)</f>
        <v>9.402872046943922E-2</v>
      </c>
      <c r="R16" s="40">
        <f>'TE BE'!$R$16*'TE BE'!$R$51</f>
        <v>-26.095189387857808</v>
      </c>
      <c r="S16" s="40">
        <f>SUM($R$16:$R$16)</f>
        <v>-26.095189387857808</v>
      </c>
      <c r="T16" s="40">
        <f>'TE BE'!$T$16*'TE BE'!$T$51</f>
        <v>0</v>
      </c>
      <c r="U16" s="40">
        <f>'TE BE'!$U$16*'TE BE'!$U$51</f>
        <v>0</v>
      </c>
      <c r="V16" s="40">
        <f>'TE BE'!$V$16*'TE BE'!$V$51</f>
        <v>0</v>
      </c>
      <c r="W16" s="40">
        <f>SUM($T$16:$V$16)</f>
        <v>0</v>
      </c>
      <c r="X16" s="40">
        <f>'TE BE'!$AB$16*'TE BE'!$X$51</f>
        <v>-22.244874720945436</v>
      </c>
      <c r="Y16" s="40">
        <f>SUM($X$16:$X$16)</f>
        <v>-22.244874720945436</v>
      </c>
      <c r="Z16" s="40">
        <f>'TE BE'!$Z$16*'TE BE'!$Z$51</f>
        <v>-0.68301089926727276</v>
      </c>
      <c r="AA16" s="40">
        <f>SUM($Z$16:$Z$16)</f>
        <v>-0.68301089926727276</v>
      </c>
      <c r="AB16" s="40">
        <f>SUMIF($L$4:$AA$4,"SUBTOTAL",$L$16:$AA$16)</f>
        <v>-48.929046287601082</v>
      </c>
    </row>
    <row r="17" spans="1:28" ht="11.25" customHeight="1" x14ac:dyDescent="0.25">
      <c r="A17" s="108"/>
      <c r="B17" s="108"/>
      <c r="C17" s="108"/>
      <c r="D17" s="42" t="s">
        <v>32</v>
      </c>
      <c r="E17" s="42" t="s">
        <v>25</v>
      </c>
      <c r="F17" s="42" t="s">
        <v>25</v>
      </c>
      <c r="G17" s="43" t="s">
        <v>108</v>
      </c>
      <c r="H17" s="43" t="s">
        <v>102</v>
      </c>
      <c r="I17" s="43">
        <f>'MERCADO TE'!$U$14</f>
        <v>39430.460000000006</v>
      </c>
      <c r="J17" s="15"/>
      <c r="L17" s="40">
        <f>'TE BE'!$L$17*'TE BE'!$L$51</f>
        <v>0</v>
      </c>
      <c r="M17" s="40">
        <f>'TE BE'!$M$17*'TE BE'!$M$51</f>
        <v>0.30732974335104429</v>
      </c>
      <c r="N17" s="40">
        <f>'TE BE'!$N$17*'TE BE'!$N$51</f>
        <v>0</v>
      </c>
      <c r="O17" s="40">
        <f>'TE BE'!$O$17*'TE BE'!$O$51</f>
        <v>-0.21330102288160507</v>
      </c>
      <c r="P17" s="40">
        <f>'TE BE'!$P$17*'TE BE'!$P$51</f>
        <v>0</v>
      </c>
      <c r="Q17" s="40">
        <f>SUM($L$17:$P$17)</f>
        <v>9.402872046943922E-2</v>
      </c>
      <c r="R17" s="40">
        <f>'TE BE'!$R$17*'TE BE'!$R$51</f>
        <v>-26.095189387857808</v>
      </c>
      <c r="S17" s="40">
        <f>SUM($R$17:$R$17)</f>
        <v>-26.095189387857808</v>
      </c>
      <c r="T17" s="40">
        <f>'TE BE'!$T$17*'TE BE'!$T$51</f>
        <v>0</v>
      </c>
      <c r="U17" s="40">
        <f>'TE BE'!$U$17*'TE BE'!$U$51</f>
        <v>0</v>
      </c>
      <c r="V17" s="40">
        <f>'TE BE'!$V$17*'TE BE'!$V$51</f>
        <v>0</v>
      </c>
      <c r="W17" s="40">
        <f>SUM($T$17:$V$17)</f>
        <v>0</v>
      </c>
      <c r="X17" s="40">
        <f>'TE BE'!$AB$17*'TE BE'!$X$51</f>
        <v>-22.244874720945436</v>
      </c>
      <c r="Y17" s="40">
        <f>SUM($X$17:$X$17)</f>
        <v>-22.244874720945436</v>
      </c>
      <c r="Z17" s="40">
        <f>'TE BE'!$Z$17*'TE BE'!$Z$51</f>
        <v>-0.68301089926727276</v>
      </c>
      <c r="AA17" s="40">
        <f>SUM($Z$17:$Z$17)</f>
        <v>-0.68301089926727276</v>
      </c>
      <c r="AB17" s="40">
        <f>SUMIF($L$4:$AA$4,"SUBTOTAL",$L$17:$AA$17)</f>
        <v>-48.929046287601082</v>
      </c>
    </row>
    <row r="18" spans="1:28" ht="11.25" customHeight="1" x14ac:dyDescent="0.25">
      <c r="A18" s="108"/>
      <c r="B18" s="108" t="s">
        <v>114</v>
      </c>
      <c r="C18" s="108" t="s">
        <v>24</v>
      </c>
      <c r="D18" s="42" t="s">
        <v>24</v>
      </c>
      <c r="E18" s="42" t="s">
        <v>25</v>
      </c>
      <c r="F18" s="42" t="s">
        <v>25</v>
      </c>
      <c r="G18" s="43" t="s">
        <v>108</v>
      </c>
      <c r="H18" s="43" t="s">
        <v>102</v>
      </c>
      <c r="I18" s="43">
        <f>'MERCADO TE'!$U$15</f>
        <v>0</v>
      </c>
      <c r="J18" s="15"/>
      <c r="L18" s="40">
        <f>'TE BE'!$L$18*'TE BE'!$L$51</f>
        <v>0</v>
      </c>
      <c r="M18" s="40">
        <f>'TE BE'!$M$18*'TE BE'!$M$51</f>
        <v>0.30732974335104429</v>
      </c>
      <c r="N18" s="40">
        <f>'TE BE'!$N$18*'TE BE'!$N$51</f>
        <v>0</v>
      </c>
      <c r="O18" s="40">
        <f>'TE BE'!$O$18*'TE BE'!$O$51</f>
        <v>-0.21330102288160507</v>
      </c>
      <c r="P18" s="40">
        <f>'TE BE'!$P$18*'TE BE'!$P$51</f>
        <v>0</v>
      </c>
      <c r="Q18" s="40">
        <f>SUM($L$18:$P$18)</f>
        <v>9.402872046943922E-2</v>
      </c>
      <c r="R18" s="40">
        <f>'TE BE'!$R$18*'TE BE'!$R$51</f>
        <v>-26.095189387857808</v>
      </c>
      <c r="S18" s="40">
        <f>SUM($R$18:$R$18)</f>
        <v>-26.095189387857808</v>
      </c>
      <c r="T18" s="40">
        <f>'TE BE'!$T$18*'TE BE'!$T$51</f>
        <v>0</v>
      </c>
      <c r="U18" s="40">
        <f>'TE BE'!$U$18*'TE BE'!$U$51</f>
        <v>0</v>
      </c>
      <c r="V18" s="40">
        <f>'TE BE'!$V$18*'TE BE'!$V$51</f>
        <v>0</v>
      </c>
      <c r="W18" s="40">
        <f>SUM($T$18:$V$18)</f>
        <v>0</v>
      </c>
      <c r="X18" s="40">
        <f>'TE BE'!$AB$18*'TE BE'!$X$51</f>
        <v>-22.244874720945436</v>
      </c>
      <c r="Y18" s="40">
        <f>SUM($X$18:$X$18)</f>
        <v>-22.244874720945436</v>
      </c>
      <c r="Z18" s="40">
        <f>'TE BE'!$Z$18*'TE BE'!$Z$51</f>
        <v>-0.68301089926727276</v>
      </c>
      <c r="AA18" s="40">
        <f>SUM($Z$18:$Z$18)</f>
        <v>-0.68301089926727276</v>
      </c>
      <c r="AB18" s="40">
        <f>SUMIF($L$4:$AA$4,"SUBTOTAL",$L$18:$AA$18)</f>
        <v>-48.929046287601082</v>
      </c>
    </row>
    <row r="19" spans="1:28" ht="11.25" customHeight="1" x14ac:dyDescent="0.25">
      <c r="A19" s="108"/>
      <c r="B19" s="108"/>
      <c r="C19" s="108"/>
      <c r="D19" s="42" t="s">
        <v>29</v>
      </c>
      <c r="E19" s="42" t="s">
        <v>25</v>
      </c>
      <c r="F19" s="42" t="s">
        <v>25</v>
      </c>
      <c r="G19" s="43" t="s">
        <v>108</v>
      </c>
      <c r="H19" s="43" t="s">
        <v>102</v>
      </c>
      <c r="I19" s="43">
        <f>'MERCADO TE'!$U$16</f>
        <v>0</v>
      </c>
      <c r="J19" s="15"/>
      <c r="L19" s="40">
        <f>'TE BE'!$L$19*'TE BE'!$L$51</f>
        <v>0</v>
      </c>
      <c r="M19" s="40">
        <f>'TE BE'!$M$19*'TE BE'!$M$51</f>
        <v>0.30732974335104429</v>
      </c>
      <c r="N19" s="40">
        <f>'TE BE'!$N$19*'TE BE'!$N$51</f>
        <v>0</v>
      </c>
      <c r="O19" s="40">
        <f>'TE BE'!$O$19*'TE BE'!$O$51</f>
        <v>-0.21330102288160507</v>
      </c>
      <c r="P19" s="40">
        <f>'TE BE'!$P$19*'TE BE'!$P$51</f>
        <v>0</v>
      </c>
      <c r="Q19" s="40">
        <f>SUM($L$19:$P$19)</f>
        <v>9.402872046943922E-2</v>
      </c>
      <c r="R19" s="40">
        <f>'TE BE'!$R$19*'TE BE'!$R$51</f>
        <v>-26.095189387857808</v>
      </c>
      <c r="S19" s="40">
        <f>SUM($R$19:$R$19)</f>
        <v>-26.095189387857808</v>
      </c>
      <c r="T19" s="40">
        <f>'TE BE'!$T$19*'TE BE'!$T$51</f>
        <v>0</v>
      </c>
      <c r="U19" s="40">
        <f>'TE BE'!$U$19*'TE BE'!$U$51</f>
        <v>0</v>
      </c>
      <c r="V19" s="40">
        <f>'TE BE'!$V$19*'TE BE'!$V$51</f>
        <v>0</v>
      </c>
      <c r="W19" s="40">
        <f>SUM($T$19:$V$19)</f>
        <v>0</v>
      </c>
      <c r="X19" s="40">
        <f>'TE BE'!$AB$19*'TE BE'!$X$51</f>
        <v>-22.244874720945436</v>
      </c>
      <c r="Y19" s="40">
        <f>SUM($X$19:$X$19)</f>
        <v>-22.244874720945436</v>
      </c>
      <c r="Z19" s="40">
        <f>'TE BE'!$Z$19*'TE BE'!$Z$51</f>
        <v>-0.68301089926727276</v>
      </c>
      <c r="AA19" s="40">
        <f>SUM($Z$19:$Z$19)</f>
        <v>-0.68301089926727276</v>
      </c>
      <c r="AB19" s="40">
        <f>SUMIF($L$4:$AA$4,"SUBTOTAL",$L$19:$AA$19)</f>
        <v>-48.929046287601082</v>
      </c>
    </row>
    <row r="20" spans="1:28" ht="11.25" customHeight="1" x14ac:dyDescent="0.25">
      <c r="A20" s="108"/>
      <c r="B20" s="108"/>
      <c r="C20" s="108"/>
      <c r="D20" s="42" t="s">
        <v>30</v>
      </c>
      <c r="E20" s="42" t="s">
        <v>25</v>
      </c>
      <c r="F20" s="42" t="s">
        <v>25</v>
      </c>
      <c r="G20" s="43" t="s">
        <v>108</v>
      </c>
      <c r="H20" s="43" t="s">
        <v>102</v>
      </c>
      <c r="I20" s="43">
        <f>'MERCADO TE'!$U$17</f>
        <v>0</v>
      </c>
      <c r="J20" s="15"/>
      <c r="L20" s="40">
        <f>'TE BE'!$L$20*'TE BE'!$L$51</f>
        <v>0</v>
      </c>
      <c r="M20" s="40">
        <f>'TE BE'!$M$20*'TE BE'!$M$51</f>
        <v>0.30732974335104429</v>
      </c>
      <c r="N20" s="40">
        <f>'TE BE'!$N$20*'TE BE'!$N$51</f>
        <v>0</v>
      </c>
      <c r="O20" s="40">
        <f>'TE BE'!$O$20*'TE BE'!$O$51</f>
        <v>-0.21330102288160507</v>
      </c>
      <c r="P20" s="40">
        <f>'TE BE'!$P$20*'TE BE'!$P$51</f>
        <v>0</v>
      </c>
      <c r="Q20" s="40">
        <f>SUM($L$20:$P$20)</f>
        <v>9.402872046943922E-2</v>
      </c>
      <c r="R20" s="40">
        <f>'TE BE'!$R$20*'TE BE'!$R$51</f>
        <v>-26.095189387857808</v>
      </c>
      <c r="S20" s="40">
        <f>SUM($R$20:$R$20)</f>
        <v>-26.095189387857808</v>
      </c>
      <c r="T20" s="40">
        <f>'TE BE'!$T$20*'TE BE'!$T$51</f>
        <v>0</v>
      </c>
      <c r="U20" s="40">
        <f>'TE BE'!$U$20*'TE BE'!$U$51</f>
        <v>0</v>
      </c>
      <c r="V20" s="40">
        <f>'TE BE'!$V$20*'TE BE'!$V$51</f>
        <v>0</v>
      </c>
      <c r="W20" s="40">
        <f>SUM($T$20:$V$20)</f>
        <v>0</v>
      </c>
      <c r="X20" s="40">
        <f>'TE BE'!$AB$20*'TE BE'!$X$51</f>
        <v>-22.244874720945436</v>
      </c>
      <c r="Y20" s="40">
        <f>SUM($X$20:$X$20)</f>
        <v>-22.244874720945436</v>
      </c>
      <c r="Z20" s="40">
        <f>'TE BE'!$Z$20*'TE BE'!$Z$51</f>
        <v>-0.68301089926727276</v>
      </c>
      <c r="AA20" s="40">
        <f>SUM($Z$20:$Z$20)</f>
        <v>-0.68301089926727276</v>
      </c>
      <c r="AB20" s="40">
        <f>SUMIF($L$4:$AA$4,"SUBTOTAL",$L$20:$AA$20)</f>
        <v>-48.929046287601082</v>
      </c>
    </row>
    <row r="21" spans="1:28" ht="11.25" customHeight="1" x14ac:dyDescent="0.25">
      <c r="A21" s="108"/>
      <c r="B21" s="108"/>
      <c r="C21" s="108"/>
      <c r="D21" s="42" t="s">
        <v>31</v>
      </c>
      <c r="E21" s="42" t="s">
        <v>25</v>
      </c>
      <c r="F21" s="42" t="s">
        <v>25</v>
      </c>
      <c r="G21" s="43" t="s">
        <v>108</v>
      </c>
      <c r="H21" s="43" t="s">
        <v>102</v>
      </c>
      <c r="I21" s="43">
        <f>'MERCADO TE'!$U$18</f>
        <v>0</v>
      </c>
      <c r="J21" s="15"/>
      <c r="L21" s="40">
        <f>'TE BE'!$L$21*'TE BE'!$L$51</f>
        <v>0</v>
      </c>
      <c r="M21" s="40">
        <f>'TE BE'!$M$21*'TE BE'!$M$51</f>
        <v>0.30732974335104429</v>
      </c>
      <c r="N21" s="40">
        <f>'TE BE'!$N$21*'TE BE'!$N$51</f>
        <v>0</v>
      </c>
      <c r="O21" s="40">
        <f>'TE BE'!$O$21*'TE BE'!$O$51</f>
        <v>-0.21330102288160507</v>
      </c>
      <c r="P21" s="40">
        <f>'TE BE'!$P$21*'TE BE'!$P$51</f>
        <v>0</v>
      </c>
      <c r="Q21" s="40">
        <f>SUM($L$21:$P$21)</f>
        <v>9.402872046943922E-2</v>
      </c>
      <c r="R21" s="40">
        <f>'TE BE'!$R$21*'TE BE'!$R$51</f>
        <v>-26.095189387857808</v>
      </c>
      <c r="S21" s="40">
        <f>SUM($R$21:$R$21)</f>
        <v>-26.095189387857808</v>
      </c>
      <c r="T21" s="40">
        <f>'TE BE'!$T$21*'TE BE'!$T$51</f>
        <v>0</v>
      </c>
      <c r="U21" s="40">
        <f>'TE BE'!$U$21*'TE BE'!$U$51</f>
        <v>0</v>
      </c>
      <c r="V21" s="40">
        <f>'TE BE'!$V$21*'TE BE'!$V$51</f>
        <v>0</v>
      </c>
      <c r="W21" s="40">
        <f>SUM($T$21:$V$21)</f>
        <v>0</v>
      </c>
      <c r="X21" s="40">
        <f>'TE BE'!$AB$21*'TE BE'!$X$51</f>
        <v>-22.244874720945436</v>
      </c>
      <c r="Y21" s="40">
        <f>SUM($X$21:$X$21)</f>
        <v>-22.244874720945436</v>
      </c>
      <c r="Z21" s="40">
        <f>'TE BE'!$Z$21*'TE BE'!$Z$51</f>
        <v>-0.68301089926727276</v>
      </c>
      <c r="AA21" s="40">
        <f>SUM($Z$21:$Z$21)</f>
        <v>-0.68301089926727276</v>
      </c>
      <c r="AB21" s="40">
        <f>SUMIF($L$4:$AA$4,"SUBTOTAL",$L$21:$AA$21)</f>
        <v>-48.929046287601082</v>
      </c>
    </row>
    <row r="22" spans="1:28" ht="11.25" customHeight="1" x14ac:dyDescent="0.25">
      <c r="A22" s="108"/>
      <c r="B22" s="108"/>
      <c r="C22" s="108"/>
      <c r="D22" s="42" t="s">
        <v>32</v>
      </c>
      <c r="E22" s="42" t="s">
        <v>25</v>
      </c>
      <c r="F22" s="42" t="s">
        <v>25</v>
      </c>
      <c r="G22" s="43" t="s">
        <v>108</v>
      </c>
      <c r="H22" s="43" t="s">
        <v>102</v>
      </c>
      <c r="I22" s="43">
        <f>'MERCADO TE'!$U$19</f>
        <v>0</v>
      </c>
      <c r="J22" s="15"/>
      <c r="L22" s="40">
        <f>'TE BE'!$L$22*'TE BE'!$L$51</f>
        <v>0</v>
      </c>
      <c r="M22" s="40">
        <f>'TE BE'!$M$22*'TE BE'!$M$51</f>
        <v>0.30732974335104429</v>
      </c>
      <c r="N22" s="40">
        <f>'TE BE'!$N$22*'TE BE'!$N$51</f>
        <v>0</v>
      </c>
      <c r="O22" s="40">
        <f>'TE BE'!$O$22*'TE BE'!$O$51</f>
        <v>-0.21330102288160507</v>
      </c>
      <c r="P22" s="40">
        <f>'TE BE'!$P$22*'TE BE'!$P$51</f>
        <v>0</v>
      </c>
      <c r="Q22" s="40">
        <f>SUM($L$22:$P$22)</f>
        <v>9.402872046943922E-2</v>
      </c>
      <c r="R22" s="40">
        <f>'TE BE'!$R$22*'TE BE'!$R$51</f>
        <v>-26.095189387857808</v>
      </c>
      <c r="S22" s="40">
        <f>SUM($R$22:$R$22)</f>
        <v>-26.095189387857808</v>
      </c>
      <c r="T22" s="40">
        <f>'TE BE'!$T$22*'TE BE'!$T$51</f>
        <v>0</v>
      </c>
      <c r="U22" s="40">
        <f>'TE BE'!$U$22*'TE BE'!$U$51</f>
        <v>0</v>
      </c>
      <c r="V22" s="40">
        <f>'TE BE'!$V$22*'TE BE'!$V$51</f>
        <v>0</v>
      </c>
      <c r="W22" s="40">
        <f>SUM($T$22:$V$22)</f>
        <v>0</v>
      </c>
      <c r="X22" s="40">
        <f>'TE BE'!$AB$22*'TE BE'!$X$51</f>
        <v>-22.244874720945436</v>
      </c>
      <c r="Y22" s="40">
        <f>SUM($X$22:$X$22)</f>
        <v>-22.244874720945436</v>
      </c>
      <c r="Z22" s="40">
        <f>'TE BE'!$Z$22*'TE BE'!$Z$51</f>
        <v>-0.68301089926727276</v>
      </c>
      <c r="AA22" s="40">
        <f>SUM($Z$22:$Z$22)</f>
        <v>-0.68301089926727276</v>
      </c>
      <c r="AB22" s="40">
        <f>SUMIF($L$4:$AA$4,"SUBTOTAL",$L$22:$AA$22)</f>
        <v>-48.929046287601082</v>
      </c>
    </row>
    <row r="23" spans="1:28" ht="11.25" customHeight="1" x14ac:dyDescent="0.25">
      <c r="A23" s="108" t="s">
        <v>44</v>
      </c>
      <c r="B23" s="108" t="s">
        <v>101</v>
      </c>
      <c r="C23" s="108" t="s">
        <v>45</v>
      </c>
      <c r="D23" s="108" t="s">
        <v>25</v>
      </c>
      <c r="E23" s="108" t="s">
        <v>25</v>
      </c>
      <c r="F23" s="108" t="s">
        <v>25</v>
      </c>
      <c r="G23" s="43" t="s">
        <v>103</v>
      </c>
      <c r="H23" s="43" t="s">
        <v>102</v>
      </c>
      <c r="I23" s="43">
        <f>'MERCADO TE'!$U$20</f>
        <v>3.9449999999999994</v>
      </c>
      <c r="J23" s="15"/>
      <c r="L23" s="40">
        <f>'TE BE'!$L$23*'TE BE'!$L$51</f>
        <v>0</v>
      </c>
      <c r="M23" s="40">
        <f>'TE BE'!$M$23*'TE BE'!$M$51</f>
        <v>0.30732974335104429</v>
      </c>
      <c r="N23" s="40">
        <f>'TE BE'!$N$23*'TE BE'!$N$51</f>
        <v>0</v>
      </c>
      <c r="O23" s="40">
        <f>'TE BE'!$O$23*'TE BE'!$O$51</f>
        <v>-0.21330102288160507</v>
      </c>
      <c r="P23" s="40">
        <f>'TE BE'!$P$23*'TE BE'!$P$51</f>
        <v>0</v>
      </c>
      <c r="Q23" s="40">
        <f>SUM($L$23:$P$23)</f>
        <v>9.402872046943922E-2</v>
      </c>
      <c r="R23" s="40">
        <f>'TE BE'!$R$23*'TE BE'!$R$51</f>
        <v>-42.343137497278711</v>
      </c>
      <c r="S23" s="40">
        <f>SUM($R$23:$R$23)</f>
        <v>-42.343137497278711</v>
      </c>
      <c r="T23" s="40">
        <f>'TE BE'!$T$23*'TE BE'!$T$51</f>
        <v>0</v>
      </c>
      <c r="U23" s="40">
        <f>'TE BE'!$U$23*'TE BE'!$U$51</f>
        <v>0</v>
      </c>
      <c r="V23" s="40">
        <f>'TE BE'!$V$23*'TE BE'!$V$51</f>
        <v>0</v>
      </c>
      <c r="W23" s="40">
        <f>SUM($T$23:$V$23)</f>
        <v>0</v>
      </c>
      <c r="X23" s="40">
        <f>'TE BE'!$AB$23*'TE BE'!$X$51</f>
        <v>-34.82919728865982</v>
      </c>
      <c r="Y23" s="40">
        <f>SUM($X$23:$X$23)</f>
        <v>-34.82919728865982</v>
      </c>
      <c r="Z23" s="40">
        <f>'TE BE'!$Z$23*'TE BE'!$Z$51</f>
        <v>-0.68301089926727276</v>
      </c>
      <c r="AA23" s="40">
        <f>SUM($Z$23:$Z$23)</f>
        <v>-0.68301089926727276</v>
      </c>
      <c r="AB23" s="40">
        <f>SUMIF($L$4:$AA$4,"SUBTOTAL",$L$23:$AA$23)</f>
        <v>-77.761316964736366</v>
      </c>
    </row>
    <row r="24" spans="1:28" ht="11.25" customHeight="1" x14ac:dyDescent="0.25">
      <c r="A24" s="108"/>
      <c r="B24" s="108"/>
      <c r="C24" s="108"/>
      <c r="D24" s="108"/>
      <c r="E24" s="108"/>
      <c r="F24" s="108"/>
      <c r="G24" s="43" t="s">
        <v>113</v>
      </c>
      <c r="H24" s="43" t="s">
        <v>102</v>
      </c>
      <c r="I24" s="43">
        <f>'MERCADO TE'!$U$21</f>
        <v>4.2359999999999989</v>
      </c>
      <c r="J24" s="15"/>
      <c r="L24" s="40">
        <f>'TE BE'!$L$24*'TE BE'!$L$51</f>
        <v>0</v>
      </c>
      <c r="M24" s="40">
        <f>'TE BE'!$M$24*'TE BE'!$M$51</f>
        <v>0.30732974335104429</v>
      </c>
      <c r="N24" s="40">
        <f>'TE BE'!$N$24*'TE BE'!$N$51</f>
        <v>0</v>
      </c>
      <c r="O24" s="40">
        <f>'TE BE'!$O$24*'TE BE'!$O$51</f>
        <v>-0.21330102288160507</v>
      </c>
      <c r="P24" s="40">
        <f>'TE BE'!$P$24*'TE BE'!$P$51</f>
        <v>0</v>
      </c>
      <c r="Q24" s="40">
        <f>SUM($L$24:$P$24)</f>
        <v>9.402872046943922E-2</v>
      </c>
      <c r="R24" s="40">
        <f>'TE BE'!$R$24*'TE BE'!$R$51</f>
        <v>-24.618103196092271</v>
      </c>
      <c r="S24" s="40">
        <f>SUM($R$24:$R$24)</f>
        <v>-24.618103196092271</v>
      </c>
      <c r="T24" s="40">
        <f>'TE BE'!$T$24*'TE BE'!$T$51</f>
        <v>0</v>
      </c>
      <c r="U24" s="40">
        <f>'TE BE'!$U$24*'TE BE'!$U$51</f>
        <v>0</v>
      </c>
      <c r="V24" s="40">
        <f>'TE BE'!$V$24*'TE BE'!$V$51</f>
        <v>0</v>
      </c>
      <c r="W24" s="40">
        <f>SUM($T$24:$V$24)</f>
        <v>0</v>
      </c>
      <c r="X24" s="40">
        <f>'TE BE'!$AB$24*'TE BE'!$X$51</f>
        <v>-21.100845396607767</v>
      </c>
      <c r="Y24" s="40">
        <f>SUM($X$24:$X$24)</f>
        <v>-21.100845396607767</v>
      </c>
      <c r="Z24" s="40">
        <f>'TE BE'!$Z$24*'TE BE'!$Z$51</f>
        <v>-0.68301089926727276</v>
      </c>
      <c r="AA24" s="40">
        <f>SUM($Z$24:$Z$24)</f>
        <v>-0.68301089926727276</v>
      </c>
      <c r="AB24" s="40">
        <f>SUMIF($L$4:$AA$4,"SUBTOTAL",$L$24:$AA$24)</f>
        <v>-46.307930771497873</v>
      </c>
    </row>
    <row r="25" spans="1:28" ht="11.25" customHeight="1" x14ac:dyDescent="0.25">
      <c r="A25" s="108"/>
      <c r="B25" s="108"/>
      <c r="C25" s="108"/>
      <c r="D25" s="108"/>
      <c r="E25" s="108"/>
      <c r="F25" s="108"/>
      <c r="G25" s="43" t="s">
        <v>104</v>
      </c>
      <c r="H25" s="43" t="s">
        <v>102</v>
      </c>
      <c r="I25" s="43">
        <f>'MERCADO TE'!$U$22</f>
        <v>105.83499999999999</v>
      </c>
      <c r="J25" s="15"/>
      <c r="L25" s="40">
        <f>'TE BE'!$L$25*'TE BE'!$L$51</f>
        <v>0</v>
      </c>
      <c r="M25" s="40">
        <f>'TE BE'!$M$25*'TE BE'!$M$51</f>
        <v>0.30732974335104429</v>
      </c>
      <c r="N25" s="40">
        <f>'TE BE'!$N$25*'TE BE'!$N$51</f>
        <v>0</v>
      </c>
      <c r="O25" s="40">
        <f>'TE BE'!$O$25*'TE BE'!$O$51</f>
        <v>-0.21330102288160507</v>
      </c>
      <c r="P25" s="40">
        <f>'TE BE'!$P$25*'TE BE'!$P$51</f>
        <v>0</v>
      </c>
      <c r="Q25" s="40">
        <f>SUM($L$25:$P$25)</f>
        <v>9.402872046943922E-2</v>
      </c>
      <c r="R25" s="40">
        <f>'TE BE'!$R$25*'TE BE'!$R$51</f>
        <v>-24.618103196092271</v>
      </c>
      <c r="S25" s="40">
        <f>SUM($R$25:$R$25)</f>
        <v>-24.618103196092271</v>
      </c>
      <c r="T25" s="40">
        <f>'TE BE'!$T$25*'TE BE'!$T$51</f>
        <v>0</v>
      </c>
      <c r="U25" s="40">
        <f>'TE BE'!$U$25*'TE BE'!$U$51</f>
        <v>0</v>
      </c>
      <c r="V25" s="40">
        <f>'TE BE'!$V$25*'TE BE'!$V$51</f>
        <v>0</v>
      </c>
      <c r="W25" s="40">
        <f>SUM($T$25:$V$25)</f>
        <v>0</v>
      </c>
      <c r="X25" s="40">
        <f>'TE BE'!$AB$25*'TE BE'!$X$51</f>
        <v>-21.100845396607767</v>
      </c>
      <c r="Y25" s="40">
        <f>SUM($X$25:$X$25)</f>
        <v>-21.100845396607767</v>
      </c>
      <c r="Z25" s="40">
        <f>'TE BE'!$Z$25*'TE BE'!$Z$51</f>
        <v>-0.68301089926727276</v>
      </c>
      <c r="AA25" s="40">
        <f>SUM($Z$25:$Z$25)</f>
        <v>-0.68301089926727276</v>
      </c>
      <c r="AB25" s="40">
        <f>SUMIF($L$4:$AA$4,"SUBTOTAL",$L$25:$AA$25)</f>
        <v>-46.307930771497873</v>
      </c>
    </row>
    <row r="26" spans="1:28" ht="11.25" customHeight="1" x14ac:dyDescent="0.25">
      <c r="A26" s="108"/>
      <c r="B26" s="42" t="s">
        <v>109</v>
      </c>
      <c r="C26" s="42" t="s">
        <v>45</v>
      </c>
      <c r="D26" s="42" t="s">
        <v>25</v>
      </c>
      <c r="E26" s="42" t="s">
        <v>25</v>
      </c>
      <c r="F26" s="42" t="s">
        <v>25</v>
      </c>
      <c r="G26" s="43" t="s">
        <v>108</v>
      </c>
      <c r="H26" s="43" t="s">
        <v>102</v>
      </c>
      <c r="I26" s="43">
        <f>'MERCADO TE'!$U$23</f>
        <v>251732.52099999998</v>
      </c>
      <c r="J26" s="15"/>
      <c r="L26" s="40">
        <f>'TE BE'!$L$26*'TE BE'!$L$51</f>
        <v>0</v>
      </c>
      <c r="M26" s="40">
        <f>'TE BE'!$M$26*'TE BE'!$M$51</f>
        <v>0.30732974335104429</v>
      </c>
      <c r="N26" s="40">
        <f>'TE BE'!$N$26*'TE BE'!$N$51</f>
        <v>0</v>
      </c>
      <c r="O26" s="40">
        <f>'TE BE'!$O$26*'TE BE'!$O$51</f>
        <v>-0.21330102288160507</v>
      </c>
      <c r="P26" s="40">
        <f>'TE BE'!$P$26*'TE BE'!$P$51</f>
        <v>0</v>
      </c>
      <c r="Q26" s="40">
        <f>SUM($L$26:$P$26)</f>
        <v>9.402872046943922E-2</v>
      </c>
      <c r="R26" s="40">
        <f>'TE BE'!$R$26*'TE BE'!$R$51</f>
        <v>-26.095189387857808</v>
      </c>
      <c r="S26" s="40">
        <f>SUM($R$26:$R$26)</f>
        <v>-26.095189387857808</v>
      </c>
      <c r="T26" s="40">
        <f>'TE BE'!$T$26*'TE BE'!$T$51</f>
        <v>0</v>
      </c>
      <c r="U26" s="40">
        <f>'TE BE'!$U$26*'TE BE'!$U$51</f>
        <v>0</v>
      </c>
      <c r="V26" s="40">
        <f>'TE BE'!$V$26*'TE BE'!$V$51</f>
        <v>0</v>
      </c>
      <c r="W26" s="40">
        <f>SUM($T$26:$V$26)</f>
        <v>0</v>
      </c>
      <c r="X26" s="40">
        <f>'TE BE'!$AB$26*'TE BE'!$X$51</f>
        <v>-22.244874720945436</v>
      </c>
      <c r="Y26" s="40">
        <f>SUM($X$26:$X$26)</f>
        <v>-22.244874720945436</v>
      </c>
      <c r="Z26" s="40">
        <f>'TE BE'!$Z$26*'TE BE'!$Z$51</f>
        <v>-0.68301089926727276</v>
      </c>
      <c r="AA26" s="40">
        <f>SUM($Z$26:$Z$26)</f>
        <v>-0.68301089926727276</v>
      </c>
      <c r="AB26" s="40">
        <f>SUMIF($L$4:$AA$4,"SUBTOTAL",$L$26:$AA$26)</f>
        <v>-48.929046287601082</v>
      </c>
    </row>
    <row r="27" spans="1:28" ht="11.25" customHeight="1" x14ac:dyDescent="0.25">
      <c r="A27" s="108"/>
      <c r="B27" s="108" t="s">
        <v>101</v>
      </c>
      <c r="C27" s="108" t="s">
        <v>45</v>
      </c>
      <c r="D27" s="108" t="s">
        <v>116</v>
      </c>
      <c r="E27" s="108" t="s">
        <v>25</v>
      </c>
      <c r="F27" s="108" t="s">
        <v>25</v>
      </c>
      <c r="G27" s="43" t="s">
        <v>103</v>
      </c>
      <c r="H27" s="43" t="s">
        <v>102</v>
      </c>
      <c r="I27" s="43">
        <f>'MERCADO TE'!$U$24</f>
        <v>0</v>
      </c>
      <c r="J27" s="15"/>
      <c r="L27" s="40">
        <f>'TE BE'!$L$27*'TE BE'!$L$51</f>
        <v>0</v>
      </c>
      <c r="M27" s="40">
        <f>'TE BE'!$M$27*'TE BE'!$M$51</f>
        <v>0.30732974335104429</v>
      </c>
      <c r="N27" s="40">
        <f>'TE BE'!$N$27*'TE BE'!$N$51</f>
        <v>0</v>
      </c>
      <c r="O27" s="40">
        <f>'TE BE'!$O$27*'TE BE'!$O$51</f>
        <v>-0.21330102288160507</v>
      </c>
      <c r="P27" s="40">
        <f>'TE BE'!$P$27*'TE BE'!$P$51</f>
        <v>0</v>
      </c>
      <c r="Q27" s="40">
        <f>SUM($L$27:$P$27)</f>
        <v>9.402872046943922E-2</v>
      </c>
      <c r="R27" s="40">
        <f>'TE BE'!$R$27*'TE BE'!$R$51</f>
        <v>-42.343137497278711</v>
      </c>
      <c r="S27" s="40">
        <f>SUM($R$27:$R$27)</f>
        <v>-42.343137497278711</v>
      </c>
      <c r="T27" s="40">
        <f>'TE BE'!$T$27*'TE BE'!$T$51</f>
        <v>0</v>
      </c>
      <c r="U27" s="40">
        <f>'TE BE'!$U$27*'TE BE'!$U$51</f>
        <v>0</v>
      </c>
      <c r="V27" s="40">
        <f>'TE BE'!$V$27*'TE BE'!$V$51</f>
        <v>0</v>
      </c>
      <c r="W27" s="40">
        <f>SUM($T$27:$V$27)</f>
        <v>0</v>
      </c>
      <c r="X27" s="40">
        <f>'TE BE'!$AB$27*'TE BE'!$X$51</f>
        <v>-34.82919728865982</v>
      </c>
      <c r="Y27" s="40">
        <f>SUM($X$27:$X$27)</f>
        <v>-34.82919728865982</v>
      </c>
      <c r="Z27" s="40">
        <f>'TE BE'!$Z$27*'TE BE'!$Z$51</f>
        <v>-0.68301089926727276</v>
      </c>
      <c r="AA27" s="40">
        <f>SUM($Z$27:$Z$27)</f>
        <v>-0.68301089926727276</v>
      </c>
      <c r="AB27" s="40">
        <f>SUMIF($L$4:$AA$4,"SUBTOTAL",$L$27:$AA$27)</f>
        <v>-77.761316964736366</v>
      </c>
    </row>
    <row r="28" spans="1:28" ht="11.25" customHeight="1" x14ac:dyDescent="0.25">
      <c r="A28" s="108"/>
      <c r="B28" s="108"/>
      <c r="C28" s="108"/>
      <c r="D28" s="108"/>
      <c r="E28" s="108"/>
      <c r="F28" s="108"/>
      <c r="G28" s="43" t="s">
        <v>113</v>
      </c>
      <c r="H28" s="43" t="s">
        <v>102</v>
      </c>
      <c r="I28" s="43">
        <f>'MERCADO TE'!$U$25</f>
        <v>0</v>
      </c>
      <c r="J28" s="15"/>
      <c r="L28" s="40">
        <f>'TE BE'!$L$28*'TE BE'!$L$51</f>
        <v>0</v>
      </c>
      <c r="M28" s="40">
        <f>'TE BE'!$M$28*'TE BE'!$M$51</f>
        <v>0.30732974335104429</v>
      </c>
      <c r="N28" s="40">
        <f>'TE BE'!$N$28*'TE BE'!$N$51</f>
        <v>0</v>
      </c>
      <c r="O28" s="40">
        <f>'TE BE'!$O$28*'TE BE'!$O$51</f>
        <v>-0.21330102288160507</v>
      </c>
      <c r="P28" s="40">
        <f>'TE BE'!$P$28*'TE BE'!$P$51</f>
        <v>0</v>
      </c>
      <c r="Q28" s="40">
        <f>SUM($L$28:$P$28)</f>
        <v>9.402872046943922E-2</v>
      </c>
      <c r="R28" s="40">
        <f>'TE BE'!$R$28*'TE BE'!$R$51</f>
        <v>-24.618103196092271</v>
      </c>
      <c r="S28" s="40">
        <f>SUM($R$28:$R$28)</f>
        <v>-24.618103196092271</v>
      </c>
      <c r="T28" s="40">
        <f>'TE BE'!$T$28*'TE BE'!$T$51</f>
        <v>0</v>
      </c>
      <c r="U28" s="40">
        <f>'TE BE'!$U$28*'TE BE'!$U$51</f>
        <v>0</v>
      </c>
      <c r="V28" s="40">
        <f>'TE BE'!$V$28*'TE BE'!$V$51</f>
        <v>0</v>
      </c>
      <c r="W28" s="40">
        <f>SUM($T$28:$V$28)</f>
        <v>0</v>
      </c>
      <c r="X28" s="40">
        <f>'TE BE'!$AB$28*'TE BE'!$X$51</f>
        <v>-21.100845396607767</v>
      </c>
      <c r="Y28" s="40">
        <f>SUM($X$28:$X$28)</f>
        <v>-21.100845396607767</v>
      </c>
      <c r="Z28" s="40">
        <f>'TE BE'!$Z$28*'TE BE'!$Z$51</f>
        <v>-0.68301089926727276</v>
      </c>
      <c r="AA28" s="40">
        <f>SUM($Z$28:$Z$28)</f>
        <v>-0.68301089926727276</v>
      </c>
      <c r="AB28" s="40">
        <f>SUMIF($L$4:$AA$4,"SUBTOTAL",$L$28:$AA$28)</f>
        <v>-46.307930771497873</v>
      </c>
    </row>
    <row r="29" spans="1:28" ht="11.25" customHeight="1" x14ac:dyDescent="0.25">
      <c r="A29" s="108"/>
      <c r="B29" s="108"/>
      <c r="C29" s="108"/>
      <c r="D29" s="108"/>
      <c r="E29" s="108"/>
      <c r="F29" s="108"/>
      <c r="G29" s="43" t="s">
        <v>104</v>
      </c>
      <c r="H29" s="43" t="s">
        <v>102</v>
      </c>
      <c r="I29" s="43">
        <f>'MERCADO TE'!$U$26</f>
        <v>0</v>
      </c>
      <c r="J29" s="15"/>
      <c r="L29" s="40">
        <f>'TE BE'!$L$29*'TE BE'!$L$51</f>
        <v>0</v>
      </c>
      <c r="M29" s="40">
        <f>'TE BE'!$M$29*'TE BE'!$M$51</f>
        <v>0.30732974335104429</v>
      </c>
      <c r="N29" s="40">
        <f>'TE BE'!$N$29*'TE BE'!$N$51</f>
        <v>0</v>
      </c>
      <c r="O29" s="40">
        <f>'TE BE'!$O$29*'TE BE'!$O$51</f>
        <v>-0.21330102288160507</v>
      </c>
      <c r="P29" s="40">
        <f>'TE BE'!$P$29*'TE BE'!$P$51</f>
        <v>0</v>
      </c>
      <c r="Q29" s="40">
        <f>SUM($L$29:$P$29)</f>
        <v>9.402872046943922E-2</v>
      </c>
      <c r="R29" s="40">
        <f>'TE BE'!$R$29*'TE BE'!$R$51</f>
        <v>-24.618103196092271</v>
      </c>
      <c r="S29" s="40">
        <f>SUM($R$29:$R$29)</f>
        <v>-24.618103196092271</v>
      </c>
      <c r="T29" s="40">
        <f>'TE BE'!$T$29*'TE BE'!$T$51</f>
        <v>0</v>
      </c>
      <c r="U29" s="40">
        <f>'TE BE'!$U$29*'TE BE'!$U$51</f>
        <v>0</v>
      </c>
      <c r="V29" s="40">
        <f>'TE BE'!$V$29*'TE BE'!$V$51</f>
        <v>0</v>
      </c>
      <c r="W29" s="40">
        <f>SUM($T$29:$V$29)</f>
        <v>0</v>
      </c>
      <c r="X29" s="40">
        <f>'TE BE'!$AB$29*'TE BE'!$X$51</f>
        <v>-21.100845396607767</v>
      </c>
      <c r="Y29" s="40">
        <f>SUM($X$29:$X$29)</f>
        <v>-21.100845396607767</v>
      </c>
      <c r="Z29" s="40">
        <f>'TE BE'!$Z$29*'TE BE'!$Z$51</f>
        <v>-0.68301089926727276</v>
      </c>
      <c r="AA29" s="40">
        <f>SUM($Z$29:$Z$29)</f>
        <v>-0.68301089926727276</v>
      </c>
      <c r="AB29" s="40">
        <f>SUMIF($L$4:$AA$4,"SUBTOTAL",$L$29:$AA$29)</f>
        <v>-46.307930771497873</v>
      </c>
    </row>
    <row r="30" spans="1:28" ht="11.25" customHeight="1" x14ac:dyDescent="0.25">
      <c r="A30" s="108"/>
      <c r="B30" s="42" t="s">
        <v>109</v>
      </c>
      <c r="C30" s="42" t="s">
        <v>45</v>
      </c>
      <c r="D30" s="42" t="s">
        <v>116</v>
      </c>
      <c r="E30" s="42" t="s">
        <v>25</v>
      </c>
      <c r="F30" s="42" t="s">
        <v>25</v>
      </c>
      <c r="G30" s="43" t="s">
        <v>108</v>
      </c>
      <c r="H30" s="43" t="s">
        <v>102</v>
      </c>
      <c r="I30" s="43">
        <f>'MERCADO TE'!$U$27</f>
        <v>0</v>
      </c>
      <c r="J30" s="15"/>
      <c r="L30" s="40">
        <f>'TE BE'!$L$30*'TE BE'!$L$51</f>
        <v>0</v>
      </c>
      <c r="M30" s="40">
        <f>'TE BE'!$M$30*'TE BE'!$M$51</f>
        <v>0.30732974335104429</v>
      </c>
      <c r="N30" s="40">
        <f>'TE BE'!$N$30*'TE BE'!$N$51</f>
        <v>0</v>
      </c>
      <c r="O30" s="40">
        <f>'TE BE'!$O$30*'TE BE'!$O$51</f>
        <v>-0.21330102288160507</v>
      </c>
      <c r="P30" s="40">
        <f>'TE BE'!$P$30*'TE BE'!$P$51</f>
        <v>0</v>
      </c>
      <c r="Q30" s="40">
        <f>SUM($L$30:$P$30)</f>
        <v>9.402872046943922E-2</v>
      </c>
      <c r="R30" s="40">
        <f>'TE BE'!$R$30*'TE BE'!$R$51</f>
        <v>-26.095189387857808</v>
      </c>
      <c r="S30" s="40">
        <f>SUM($R$30:$R$30)</f>
        <v>-26.095189387857808</v>
      </c>
      <c r="T30" s="40">
        <f>'TE BE'!$T$30*'TE BE'!$T$51</f>
        <v>0</v>
      </c>
      <c r="U30" s="40">
        <f>'TE BE'!$U$30*'TE BE'!$U$51</f>
        <v>0</v>
      </c>
      <c r="V30" s="40">
        <f>'TE BE'!$V$30*'TE BE'!$V$51</f>
        <v>0</v>
      </c>
      <c r="W30" s="40">
        <f>SUM($T$30:$V$30)</f>
        <v>0</v>
      </c>
      <c r="X30" s="40">
        <f>'TE BE'!$AB$30*'TE BE'!$X$51</f>
        <v>-22.244874720945436</v>
      </c>
      <c r="Y30" s="40">
        <f>SUM($X$30:$X$30)</f>
        <v>-22.244874720945436</v>
      </c>
      <c r="Z30" s="40">
        <f>'TE BE'!$Z$30*'TE BE'!$Z$51</f>
        <v>-0.68301089926727276</v>
      </c>
      <c r="AA30" s="40">
        <f>SUM($Z$30:$Z$30)</f>
        <v>-0.68301089926727276</v>
      </c>
      <c r="AB30" s="40">
        <f>SUMIF($L$4:$AA$4,"SUBTOTAL",$L$30:$AA$30)</f>
        <v>-48.929046287601082</v>
      </c>
    </row>
    <row r="31" spans="1:28" ht="11.25" customHeight="1" x14ac:dyDescent="0.25">
      <c r="A31" s="108"/>
      <c r="B31" s="108" t="s">
        <v>101</v>
      </c>
      <c r="C31" s="108" t="s">
        <v>45</v>
      </c>
      <c r="D31" s="108" t="s">
        <v>117</v>
      </c>
      <c r="E31" s="108" t="s">
        <v>25</v>
      </c>
      <c r="F31" s="108" t="s">
        <v>25</v>
      </c>
      <c r="G31" s="43" t="s">
        <v>103</v>
      </c>
      <c r="H31" s="43" t="s">
        <v>102</v>
      </c>
      <c r="I31" s="43">
        <f>'MERCADO TE'!$U$28</f>
        <v>0</v>
      </c>
      <c r="J31" s="15"/>
      <c r="L31" s="40">
        <f>'TE BE'!$L$31*'TE BE'!$L$51</f>
        <v>0</v>
      </c>
      <c r="M31" s="40">
        <f>'TE BE'!$M$31*'TE BE'!$M$51</f>
        <v>0.30732974335104429</v>
      </c>
      <c r="N31" s="40">
        <f>'TE BE'!$N$31*'TE BE'!$N$51</f>
        <v>0</v>
      </c>
      <c r="O31" s="40">
        <f>'TE BE'!$O$31*'TE BE'!$O$51</f>
        <v>-0.21330102288160507</v>
      </c>
      <c r="P31" s="40">
        <f>'TE BE'!$P$31*'TE BE'!$P$51</f>
        <v>0</v>
      </c>
      <c r="Q31" s="40">
        <f>SUM($L$31:$P$31)</f>
        <v>9.402872046943922E-2</v>
      </c>
      <c r="R31" s="40">
        <f>'TE BE'!$R$31*'TE BE'!$R$51</f>
        <v>-42.343137497278711</v>
      </c>
      <c r="S31" s="40">
        <f>SUM($R$31:$R$31)</f>
        <v>-42.343137497278711</v>
      </c>
      <c r="T31" s="40">
        <f>'TE BE'!$T$31*'TE BE'!$T$51</f>
        <v>0</v>
      </c>
      <c r="U31" s="40">
        <f>'TE BE'!$U$31*'TE BE'!$U$51</f>
        <v>0</v>
      </c>
      <c r="V31" s="40">
        <f>'TE BE'!$V$31*'TE BE'!$V$51</f>
        <v>0</v>
      </c>
      <c r="W31" s="40">
        <f>SUM($T$31:$V$31)</f>
        <v>0</v>
      </c>
      <c r="X31" s="40">
        <f>'TE BE'!$AB$31*'TE BE'!$X$51</f>
        <v>-34.82919728865982</v>
      </c>
      <c r="Y31" s="40">
        <f>SUM($X$31:$X$31)</f>
        <v>-34.82919728865982</v>
      </c>
      <c r="Z31" s="40">
        <f>'TE BE'!$Z$31*'TE BE'!$Z$51</f>
        <v>-0.68301089926727276</v>
      </c>
      <c r="AA31" s="40">
        <f>SUM($Z$31:$Z$31)</f>
        <v>-0.68301089926727276</v>
      </c>
      <c r="AB31" s="40">
        <f>SUMIF($L$4:$AA$4,"SUBTOTAL",$L$31:$AA$31)</f>
        <v>-77.761316964736366</v>
      </c>
    </row>
    <row r="32" spans="1:28" ht="11.25" customHeight="1" x14ac:dyDescent="0.25">
      <c r="A32" s="108"/>
      <c r="B32" s="108"/>
      <c r="C32" s="108"/>
      <c r="D32" s="108"/>
      <c r="E32" s="108"/>
      <c r="F32" s="108"/>
      <c r="G32" s="43" t="s">
        <v>113</v>
      </c>
      <c r="H32" s="43" t="s">
        <v>102</v>
      </c>
      <c r="I32" s="43">
        <f>'MERCADO TE'!$U$29</f>
        <v>0</v>
      </c>
      <c r="J32" s="15"/>
      <c r="L32" s="40">
        <f>'TE BE'!$L$32*'TE BE'!$L$51</f>
        <v>0</v>
      </c>
      <c r="M32" s="40">
        <f>'TE BE'!$M$32*'TE BE'!$M$51</f>
        <v>0.30732974335104429</v>
      </c>
      <c r="N32" s="40">
        <f>'TE BE'!$N$32*'TE BE'!$N$51</f>
        <v>0</v>
      </c>
      <c r="O32" s="40">
        <f>'TE BE'!$O$32*'TE BE'!$O$51</f>
        <v>-0.21330102288160507</v>
      </c>
      <c r="P32" s="40">
        <f>'TE BE'!$P$32*'TE BE'!$P$51</f>
        <v>0</v>
      </c>
      <c r="Q32" s="40">
        <f>SUM($L$32:$P$32)</f>
        <v>9.402872046943922E-2</v>
      </c>
      <c r="R32" s="40">
        <f>'TE BE'!$R$32*'TE BE'!$R$51</f>
        <v>-24.618103196092271</v>
      </c>
      <c r="S32" s="40">
        <f>SUM($R$32:$R$32)</f>
        <v>-24.618103196092271</v>
      </c>
      <c r="T32" s="40">
        <f>'TE BE'!$T$32*'TE BE'!$T$51</f>
        <v>0</v>
      </c>
      <c r="U32" s="40">
        <f>'TE BE'!$U$32*'TE BE'!$U$51</f>
        <v>0</v>
      </c>
      <c r="V32" s="40">
        <f>'TE BE'!$V$32*'TE BE'!$V$51</f>
        <v>0</v>
      </c>
      <c r="W32" s="40">
        <f>SUM($T$32:$V$32)</f>
        <v>0</v>
      </c>
      <c r="X32" s="40">
        <f>'TE BE'!$AB$32*'TE BE'!$X$51</f>
        <v>-21.100845396607767</v>
      </c>
      <c r="Y32" s="40">
        <f>SUM($X$32:$X$32)</f>
        <v>-21.100845396607767</v>
      </c>
      <c r="Z32" s="40">
        <f>'TE BE'!$Z$32*'TE BE'!$Z$51</f>
        <v>-0.68301089926727276</v>
      </c>
      <c r="AA32" s="40">
        <f>SUM($Z$32:$Z$32)</f>
        <v>-0.68301089926727276</v>
      </c>
      <c r="AB32" s="40">
        <f>SUMIF($L$4:$AA$4,"SUBTOTAL",$L$32:$AA$32)</f>
        <v>-46.307930771497873</v>
      </c>
    </row>
    <row r="33" spans="1:28" ht="11.25" customHeight="1" x14ac:dyDescent="0.25">
      <c r="A33" s="108"/>
      <c r="B33" s="108"/>
      <c r="C33" s="108"/>
      <c r="D33" s="108"/>
      <c r="E33" s="108"/>
      <c r="F33" s="108"/>
      <c r="G33" s="43" t="s">
        <v>104</v>
      </c>
      <c r="H33" s="43" t="s">
        <v>102</v>
      </c>
      <c r="I33" s="43">
        <f>'MERCADO TE'!$U$30</f>
        <v>0</v>
      </c>
      <c r="J33" s="15"/>
      <c r="L33" s="40">
        <f>'TE BE'!$L$33*'TE BE'!$L$51</f>
        <v>0</v>
      </c>
      <c r="M33" s="40">
        <f>'TE BE'!$M$33*'TE BE'!$M$51</f>
        <v>0.30732974335104429</v>
      </c>
      <c r="N33" s="40">
        <f>'TE BE'!$N$33*'TE BE'!$N$51</f>
        <v>0</v>
      </c>
      <c r="O33" s="40">
        <f>'TE BE'!$O$33*'TE BE'!$O$51</f>
        <v>-0.21330102288160507</v>
      </c>
      <c r="P33" s="40">
        <f>'TE BE'!$P$33*'TE BE'!$P$51</f>
        <v>0</v>
      </c>
      <c r="Q33" s="40">
        <f>SUM($L$33:$P$33)</f>
        <v>9.402872046943922E-2</v>
      </c>
      <c r="R33" s="40">
        <f>'TE BE'!$R$33*'TE BE'!$R$51</f>
        <v>-24.618103196092271</v>
      </c>
      <c r="S33" s="40">
        <f>SUM($R$33:$R$33)</f>
        <v>-24.618103196092271</v>
      </c>
      <c r="T33" s="40">
        <f>'TE BE'!$T$33*'TE BE'!$T$51</f>
        <v>0</v>
      </c>
      <c r="U33" s="40">
        <f>'TE BE'!$U$33*'TE BE'!$U$51</f>
        <v>0</v>
      </c>
      <c r="V33" s="40">
        <f>'TE BE'!$V$33*'TE BE'!$V$51</f>
        <v>0</v>
      </c>
      <c r="W33" s="40">
        <f>SUM($T$33:$V$33)</f>
        <v>0</v>
      </c>
      <c r="X33" s="40">
        <f>'TE BE'!$AB$33*'TE BE'!$X$51</f>
        <v>-21.100845396607767</v>
      </c>
      <c r="Y33" s="40">
        <f>SUM($X$33:$X$33)</f>
        <v>-21.100845396607767</v>
      </c>
      <c r="Z33" s="40">
        <f>'TE BE'!$Z$33*'TE BE'!$Z$51</f>
        <v>-0.68301089926727276</v>
      </c>
      <c r="AA33" s="40">
        <f>SUM($Z$33:$Z$33)</f>
        <v>-0.68301089926727276</v>
      </c>
      <c r="AB33" s="40">
        <f>SUMIF($L$4:$AA$4,"SUBTOTAL",$L$33:$AA$33)</f>
        <v>-46.307930771497873</v>
      </c>
    </row>
    <row r="34" spans="1:28" ht="11.25" customHeight="1" x14ac:dyDescent="0.25">
      <c r="A34" s="108"/>
      <c r="B34" s="42" t="s">
        <v>109</v>
      </c>
      <c r="C34" s="42" t="s">
        <v>45</v>
      </c>
      <c r="D34" s="42" t="s">
        <v>117</v>
      </c>
      <c r="E34" s="42" t="s">
        <v>25</v>
      </c>
      <c r="F34" s="42" t="s">
        <v>25</v>
      </c>
      <c r="G34" s="43" t="s">
        <v>108</v>
      </c>
      <c r="H34" s="43" t="s">
        <v>102</v>
      </c>
      <c r="I34" s="43">
        <f>'MERCADO TE'!$U$31</f>
        <v>0</v>
      </c>
      <c r="J34" s="15"/>
      <c r="L34" s="40">
        <f>'TE BE'!$L$34*'TE BE'!$L$51</f>
        <v>0</v>
      </c>
      <c r="M34" s="40">
        <f>'TE BE'!$M$34*'TE BE'!$M$51</f>
        <v>0.30732974335104429</v>
      </c>
      <c r="N34" s="40">
        <f>'TE BE'!$N$34*'TE BE'!$N$51</f>
        <v>0</v>
      </c>
      <c r="O34" s="40">
        <f>'TE BE'!$O$34*'TE BE'!$O$51</f>
        <v>-0.21330102288160507</v>
      </c>
      <c r="P34" s="40">
        <f>'TE BE'!$P$34*'TE BE'!$P$51</f>
        <v>0</v>
      </c>
      <c r="Q34" s="40">
        <f>SUM($L$34:$P$34)</f>
        <v>9.402872046943922E-2</v>
      </c>
      <c r="R34" s="40">
        <f>'TE BE'!$R$34*'TE BE'!$R$51</f>
        <v>-26.095189387857808</v>
      </c>
      <c r="S34" s="40">
        <f>SUM($R$34:$R$34)</f>
        <v>-26.095189387857808</v>
      </c>
      <c r="T34" s="40">
        <f>'TE BE'!$T$34*'TE BE'!$T$51</f>
        <v>0</v>
      </c>
      <c r="U34" s="40">
        <f>'TE BE'!$U$34*'TE BE'!$U$51</f>
        <v>0</v>
      </c>
      <c r="V34" s="40">
        <f>'TE BE'!$V$34*'TE BE'!$V$51</f>
        <v>0</v>
      </c>
      <c r="W34" s="40">
        <f>SUM($T$34:$V$34)</f>
        <v>0</v>
      </c>
      <c r="X34" s="40">
        <f>'TE BE'!$AB$34*'TE BE'!$X$51</f>
        <v>-22.244874720945436</v>
      </c>
      <c r="Y34" s="40">
        <f>SUM($X$34:$X$34)</f>
        <v>-22.244874720945436</v>
      </c>
      <c r="Z34" s="40">
        <f>'TE BE'!$Z$34*'TE BE'!$Z$51</f>
        <v>-0.68301089926727276</v>
      </c>
      <c r="AA34" s="40">
        <f>SUM($Z$34:$Z$34)</f>
        <v>-0.68301089926727276</v>
      </c>
      <c r="AB34" s="40">
        <f>SUMIF($L$4:$AA$4,"SUBTOTAL",$L$34:$AA$34)</f>
        <v>-48.929046287601082</v>
      </c>
    </row>
    <row r="35" spans="1:28" ht="11.25" customHeight="1" x14ac:dyDescent="0.25">
      <c r="A35" s="108"/>
      <c r="B35" s="108" t="s">
        <v>114</v>
      </c>
      <c r="C35" s="108" t="s">
        <v>45</v>
      </c>
      <c r="D35" s="42" t="s">
        <v>25</v>
      </c>
      <c r="E35" s="42" t="s">
        <v>25</v>
      </c>
      <c r="F35" s="42" t="s">
        <v>25</v>
      </c>
      <c r="G35" s="43" t="s">
        <v>108</v>
      </c>
      <c r="H35" s="43" t="s">
        <v>102</v>
      </c>
      <c r="I35" s="43">
        <f>'MERCADO TE'!$U$32</f>
        <v>0</v>
      </c>
      <c r="J35" s="15"/>
      <c r="L35" s="40">
        <f>'TE BE'!$L$35*'TE BE'!$L$51</f>
        <v>0</v>
      </c>
      <c r="M35" s="40">
        <f>'TE BE'!$M$35*'TE BE'!$M$51</f>
        <v>0.30732974335104429</v>
      </c>
      <c r="N35" s="40">
        <f>'TE BE'!$N$35*'TE BE'!$N$51</f>
        <v>0</v>
      </c>
      <c r="O35" s="40">
        <f>'TE BE'!$O$35*'TE BE'!$O$51</f>
        <v>-0.21330102288160507</v>
      </c>
      <c r="P35" s="40">
        <f>'TE BE'!$P$35*'TE BE'!$P$51</f>
        <v>0</v>
      </c>
      <c r="Q35" s="40">
        <f>SUM($L$35:$P$35)</f>
        <v>9.402872046943922E-2</v>
      </c>
      <c r="R35" s="40">
        <f>'TE BE'!$R$35*'TE BE'!$R$51</f>
        <v>-26.095189387857808</v>
      </c>
      <c r="S35" s="40">
        <f>SUM($R$35:$R$35)</f>
        <v>-26.095189387857808</v>
      </c>
      <c r="T35" s="40">
        <f>'TE BE'!$T$35*'TE BE'!$T$51</f>
        <v>0</v>
      </c>
      <c r="U35" s="40">
        <f>'TE BE'!$U$35*'TE BE'!$U$51</f>
        <v>0</v>
      </c>
      <c r="V35" s="40">
        <f>'TE BE'!$V$35*'TE BE'!$V$51</f>
        <v>0</v>
      </c>
      <c r="W35" s="40">
        <f>SUM($T$35:$V$35)</f>
        <v>0</v>
      </c>
      <c r="X35" s="40">
        <f>'TE BE'!$AB$35*'TE BE'!$X$51</f>
        <v>-22.244874720945436</v>
      </c>
      <c r="Y35" s="40">
        <f>SUM($X$35:$X$35)</f>
        <v>-22.244874720945436</v>
      </c>
      <c r="Z35" s="40">
        <f>'TE BE'!$Z$35*'TE BE'!$Z$51</f>
        <v>-0.68301089926727276</v>
      </c>
      <c r="AA35" s="40">
        <f>SUM($Z$35:$Z$35)</f>
        <v>-0.68301089926727276</v>
      </c>
      <c r="AB35" s="40">
        <f>SUMIF($L$4:$AA$4,"SUBTOTAL",$L$35:$AA$35)</f>
        <v>-48.929046287601082</v>
      </c>
    </row>
    <row r="36" spans="1:28" ht="11.25" customHeight="1" x14ac:dyDescent="0.25">
      <c r="A36" s="108"/>
      <c r="B36" s="108"/>
      <c r="C36" s="108"/>
      <c r="D36" s="42" t="s">
        <v>116</v>
      </c>
      <c r="E36" s="42" t="s">
        <v>25</v>
      </c>
      <c r="F36" s="42" t="s">
        <v>25</v>
      </c>
      <c r="G36" s="43" t="s">
        <v>108</v>
      </c>
      <c r="H36" s="43" t="s">
        <v>102</v>
      </c>
      <c r="I36" s="43">
        <f>'MERCADO TE'!$U$33</f>
        <v>0</v>
      </c>
      <c r="J36" s="15"/>
      <c r="L36" s="40">
        <f>'TE BE'!$L$36*'TE BE'!$L$51</f>
        <v>0</v>
      </c>
      <c r="M36" s="40">
        <f>'TE BE'!$M$36*'TE BE'!$M$51</f>
        <v>0.30732974335104429</v>
      </c>
      <c r="N36" s="40">
        <f>'TE BE'!$N$36*'TE BE'!$N$51</f>
        <v>0</v>
      </c>
      <c r="O36" s="40">
        <f>'TE BE'!$O$36*'TE BE'!$O$51</f>
        <v>-0.21330102288160507</v>
      </c>
      <c r="P36" s="40">
        <f>'TE BE'!$P$36*'TE BE'!$P$51</f>
        <v>0</v>
      </c>
      <c r="Q36" s="40">
        <f>SUM($L$36:$P$36)</f>
        <v>9.402872046943922E-2</v>
      </c>
      <c r="R36" s="40">
        <f>'TE BE'!$R$36*'TE BE'!$R$51</f>
        <v>-26.095189387857808</v>
      </c>
      <c r="S36" s="40">
        <f>SUM($R$36:$R$36)</f>
        <v>-26.095189387857808</v>
      </c>
      <c r="T36" s="40">
        <f>'TE BE'!$T$36*'TE BE'!$T$51</f>
        <v>0</v>
      </c>
      <c r="U36" s="40">
        <f>'TE BE'!$U$36*'TE BE'!$U$51</f>
        <v>0</v>
      </c>
      <c r="V36" s="40">
        <f>'TE BE'!$V$36*'TE BE'!$V$51</f>
        <v>0</v>
      </c>
      <c r="W36" s="40">
        <f>SUM($T$36:$V$36)</f>
        <v>0</v>
      </c>
      <c r="X36" s="40">
        <f>'TE BE'!$AB$36*'TE BE'!$X$51</f>
        <v>-22.244874720945436</v>
      </c>
      <c r="Y36" s="40">
        <f>SUM($X$36:$X$36)</f>
        <v>-22.244874720945436</v>
      </c>
      <c r="Z36" s="40">
        <f>'TE BE'!$Z$36*'TE BE'!$Z$51</f>
        <v>-0.68301089926727276</v>
      </c>
      <c r="AA36" s="40">
        <f>SUM($Z$36:$Z$36)</f>
        <v>-0.68301089926727276</v>
      </c>
      <c r="AB36" s="40">
        <f>SUMIF($L$4:$AA$4,"SUBTOTAL",$L$36:$AA$36)</f>
        <v>-48.929046287601082</v>
      </c>
    </row>
    <row r="37" spans="1:28" ht="11.25" customHeight="1" x14ac:dyDescent="0.25">
      <c r="A37" s="108"/>
      <c r="B37" s="108"/>
      <c r="C37" s="108"/>
      <c r="D37" s="42" t="s">
        <v>117</v>
      </c>
      <c r="E37" s="42" t="s">
        <v>25</v>
      </c>
      <c r="F37" s="42" t="s">
        <v>25</v>
      </c>
      <c r="G37" s="43" t="s">
        <v>108</v>
      </c>
      <c r="H37" s="43" t="s">
        <v>102</v>
      </c>
      <c r="I37" s="43">
        <f>'MERCADO TE'!$U$34</f>
        <v>0</v>
      </c>
      <c r="J37" s="15"/>
      <c r="L37" s="40">
        <f>'TE BE'!$L$37*'TE BE'!$L$51</f>
        <v>0</v>
      </c>
      <c r="M37" s="40">
        <f>'TE BE'!$M$37*'TE BE'!$M$51</f>
        <v>0.30732974335104429</v>
      </c>
      <c r="N37" s="40">
        <f>'TE BE'!$N$37*'TE BE'!$N$51</f>
        <v>0</v>
      </c>
      <c r="O37" s="40">
        <f>'TE BE'!$O$37*'TE BE'!$O$51</f>
        <v>-0.21330102288160507</v>
      </c>
      <c r="P37" s="40">
        <f>'TE BE'!$P$37*'TE BE'!$P$51</f>
        <v>0</v>
      </c>
      <c r="Q37" s="40">
        <f>SUM($L$37:$P$37)</f>
        <v>9.402872046943922E-2</v>
      </c>
      <c r="R37" s="40">
        <f>'TE BE'!$R$37*'TE BE'!$R$51</f>
        <v>-26.095189387857808</v>
      </c>
      <c r="S37" s="40">
        <f>SUM($R$37:$R$37)</f>
        <v>-26.095189387857808</v>
      </c>
      <c r="T37" s="40">
        <f>'TE BE'!$T$37*'TE BE'!$T$51</f>
        <v>0</v>
      </c>
      <c r="U37" s="40">
        <f>'TE BE'!$U$37*'TE BE'!$U$51</f>
        <v>0</v>
      </c>
      <c r="V37" s="40">
        <f>'TE BE'!$V$37*'TE BE'!$V$51</f>
        <v>0</v>
      </c>
      <c r="W37" s="40">
        <f>SUM($T$37:$V$37)</f>
        <v>0</v>
      </c>
      <c r="X37" s="40">
        <f>'TE BE'!$AB$37*'TE BE'!$X$51</f>
        <v>-22.244874720945436</v>
      </c>
      <c r="Y37" s="40">
        <f>SUM($X$37:$X$37)</f>
        <v>-22.244874720945436</v>
      </c>
      <c r="Z37" s="40">
        <f>'TE BE'!$Z$37*'TE BE'!$Z$51</f>
        <v>-0.68301089926727276</v>
      </c>
      <c r="AA37" s="40">
        <f>SUM($Z$37:$Z$37)</f>
        <v>-0.68301089926727276</v>
      </c>
      <c r="AB37" s="40">
        <f>SUMIF($L$4:$AA$4,"SUBTOTAL",$L$37:$AA$37)</f>
        <v>-48.929046287601082</v>
      </c>
    </row>
    <row r="38" spans="1:28" ht="11.25" customHeight="1" x14ac:dyDescent="0.25">
      <c r="A38" s="108" t="s">
        <v>37</v>
      </c>
      <c r="B38" s="108" t="s">
        <v>101</v>
      </c>
      <c r="C38" s="108" t="s">
        <v>25</v>
      </c>
      <c r="D38" s="108" t="s">
        <v>25</v>
      </c>
      <c r="E38" s="108" t="s">
        <v>25</v>
      </c>
      <c r="F38" s="108" t="s">
        <v>25</v>
      </c>
      <c r="G38" s="43" t="s">
        <v>103</v>
      </c>
      <c r="H38" s="43" t="s">
        <v>102</v>
      </c>
      <c r="I38" s="43">
        <f>'MERCADO TE'!$U$35</f>
        <v>54.588999999999999</v>
      </c>
      <c r="J38" s="15"/>
      <c r="L38" s="40">
        <f>'TE BE'!$L$38*'TE BE'!$L$51</f>
        <v>0</v>
      </c>
      <c r="M38" s="40">
        <f>'TE BE'!$M$38*'TE BE'!$M$51</f>
        <v>0.30732974335104429</v>
      </c>
      <c r="N38" s="40">
        <f>'TE BE'!$N$38*'TE BE'!$N$51</f>
        <v>0</v>
      </c>
      <c r="O38" s="40">
        <f>'TE BE'!$O$38*'TE BE'!$O$51</f>
        <v>-0.21330102288160507</v>
      </c>
      <c r="P38" s="40">
        <f>'TE BE'!$P$38*'TE BE'!$P$51</f>
        <v>0</v>
      </c>
      <c r="Q38" s="40">
        <f>SUM($L$38:$P$38)</f>
        <v>9.402872046943922E-2</v>
      </c>
      <c r="R38" s="40">
        <f>'TE BE'!$R$38*'TE BE'!$R$51</f>
        <v>-42.343137497278711</v>
      </c>
      <c r="S38" s="40">
        <f>SUM($R$38:$R$38)</f>
        <v>-42.343137497278711</v>
      </c>
      <c r="T38" s="40">
        <f>'TE BE'!$T$38*'TE BE'!$T$51</f>
        <v>0</v>
      </c>
      <c r="U38" s="40">
        <f>'TE BE'!$U$38*'TE BE'!$U$51</f>
        <v>0</v>
      </c>
      <c r="V38" s="40">
        <f>'TE BE'!$V$38*'TE BE'!$V$51</f>
        <v>0</v>
      </c>
      <c r="W38" s="40">
        <f>SUM($T$38:$V$38)</f>
        <v>0</v>
      </c>
      <c r="X38" s="40">
        <f>'TE BE'!$AB$38*'TE BE'!$X$51</f>
        <v>-34.82919728865982</v>
      </c>
      <c r="Y38" s="40">
        <f>SUM($X$38:$X$38)</f>
        <v>-34.82919728865982</v>
      </c>
      <c r="Z38" s="40">
        <f>'TE BE'!$Z$38*'TE BE'!$Z$51</f>
        <v>-0.68301089926727276</v>
      </c>
      <c r="AA38" s="40">
        <f>SUM($Z$38:$Z$38)</f>
        <v>-0.68301089926727276</v>
      </c>
      <c r="AB38" s="40">
        <f>SUMIF($L$4:$AA$4,"SUBTOTAL",$L$38:$AA$38)</f>
        <v>-77.761316964736366</v>
      </c>
    </row>
    <row r="39" spans="1:28" ht="11.25" customHeight="1" x14ac:dyDescent="0.25">
      <c r="A39" s="108"/>
      <c r="B39" s="108"/>
      <c r="C39" s="108"/>
      <c r="D39" s="108"/>
      <c r="E39" s="108"/>
      <c r="F39" s="108"/>
      <c r="G39" s="43" t="s">
        <v>113</v>
      </c>
      <c r="H39" s="43" t="s">
        <v>102</v>
      </c>
      <c r="I39" s="43">
        <f>'MERCADO TE'!$U$36</f>
        <v>66.038999999999987</v>
      </c>
      <c r="J39" s="15"/>
      <c r="L39" s="40">
        <f>'TE BE'!$L$39*'TE BE'!$L$51</f>
        <v>0</v>
      </c>
      <c r="M39" s="40">
        <f>'TE BE'!$M$39*'TE BE'!$M$51</f>
        <v>0.30732974335104429</v>
      </c>
      <c r="N39" s="40">
        <f>'TE BE'!$N$39*'TE BE'!$N$51</f>
        <v>0</v>
      </c>
      <c r="O39" s="40">
        <f>'TE BE'!$O$39*'TE BE'!$O$51</f>
        <v>-0.21330102288160507</v>
      </c>
      <c r="P39" s="40">
        <f>'TE BE'!$P$39*'TE BE'!$P$51</f>
        <v>0</v>
      </c>
      <c r="Q39" s="40">
        <f>SUM($L$39:$P$39)</f>
        <v>9.402872046943922E-2</v>
      </c>
      <c r="R39" s="40">
        <f>'TE BE'!$R$39*'TE BE'!$R$51</f>
        <v>-24.618103196092271</v>
      </c>
      <c r="S39" s="40">
        <f>SUM($R$39:$R$39)</f>
        <v>-24.618103196092271</v>
      </c>
      <c r="T39" s="40">
        <f>'TE BE'!$T$39*'TE BE'!$T$51</f>
        <v>0</v>
      </c>
      <c r="U39" s="40">
        <f>'TE BE'!$U$39*'TE BE'!$U$51</f>
        <v>0</v>
      </c>
      <c r="V39" s="40">
        <f>'TE BE'!$V$39*'TE BE'!$V$51</f>
        <v>0</v>
      </c>
      <c r="W39" s="40">
        <f>SUM($T$39:$V$39)</f>
        <v>0</v>
      </c>
      <c r="X39" s="40">
        <f>'TE BE'!$AB$39*'TE BE'!$X$51</f>
        <v>-21.100845396607767</v>
      </c>
      <c r="Y39" s="40">
        <f>SUM($X$39:$X$39)</f>
        <v>-21.100845396607767</v>
      </c>
      <c r="Z39" s="40">
        <f>'TE BE'!$Z$39*'TE BE'!$Z$51</f>
        <v>-0.68301089926727276</v>
      </c>
      <c r="AA39" s="40">
        <f>SUM($Z$39:$Z$39)</f>
        <v>-0.68301089926727276</v>
      </c>
      <c r="AB39" s="40">
        <f>SUMIF($L$4:$AA$4,"SUBTOTAL",$L$39:$AA$39)</f>
        <v>-46.307930771497873</v>
      </c>
    </row>
    <row r="40" spans="1:28" ht="11.25" customHeight="1" x14ac:dyDescent="0.25">
      <c r="A40" s="108"/>
      <c r="B40" s="108"/>
      <c r="C40" s="108"/>
      <c r="D40" s="108"/>
      <c r="E40" s="108"/>
      <c r="F40" s="108"/>
      <c r="G40" s="43" t="s">
        <v>104</v>
      </c>
      <c r="H40" s="43" t="s">
        <v>102</v>
      </c>
      <c r="I40" s="43">
        <f>'MERCADO TE'!$U$37</f>
        <v>1004.5179999999999</v>
      </c>
      <c r="J40" s="15"/>
      <c r="L40" s="40">
        <f>'TE BE'!$L$40*'TE BE'!$L$51</f>
        <v>0</v>
      </c>
      <c r="M40" s="40">
        <f>'TE BE'!$M$40*'TE BE'!$M$51</f>
        <v>0.30732974335104429</v>
      </c>
      <c r="N40" s="40">
        <f>'TE BE'!$N$40*'TE BE'!$N$51</f>
        <v>0</v>
      </c>
      <c r="O40" s="40">
        <f>'TE BE'!$O$40*'TE BE'!$O$51</f>
        <v>-0.21330102288160507</v>
      </c>
      <c r="P40" s="40">
        <f>'TE BE'!$P$40*'TE BE'!$P$51</f>
        <v>0</v>
      </c>
      <c r="Q40" s="40">
        <f>SUM($L$40:$P$40)</f>
        <v>9.402872046943922E-2</v>
      </c>
      <c r="R40" s="40">
        <f>'TE BE'!$R$40*'TE BE'!$R$51</f>
        <v>-24.618103196092271</v>
      </c>
      <c r="S40" s="40">
        <f>SUM($R$40:$R$40)</f>
        <v>-24.618103196092271</v>
      </c>
      <c r="T40" s="40">
        <f>'TE BE'!$T$40*'TE BE'!$T$51</f>
        <v>0</v>
      </c>
      <c r="U40" s="40">
        <f>'TE BE'!$U$40*'TE BE'!$U$51</f>
        <v>0</v>
      </c>
      <c r="V40" s="40">
        <f>'TE BE'!$V$40*'TE BE'!$V$51</f>
        <v>0</v>
      </c>
      <c r="W40" s="40">
        <f>SUM($T$40:$V$40)</f>
        <v>0</v>
      </c>
      <c r="X40" s="40">
        <f>'TE BE'!$AB$40*'TE BE'!$X$51</f>
        <v>-21.100845396607767</v>
      </c>
      <c r="Y40" s="40">
        <f>SUM($X$40:$X$40)</f>
        <v>-21.100845396607767</v>
      </c>
      <c r="Z40" s="40">
        <f>'TE BE'!$Z$40*'TE BE'!$Z$51</f>
        <v>-0.68301089926727276</v>
      </c>
      <c r="AA40" s="40">
        <f>SUM($Z$40:$Z$40)</f>
        <v>-0.68301089926727276</v>
      </c>
      <c r="AB40" s="40">
        <f>SUMIF($L$4:$AA$4,"SUBTOTAL",$L$40:$AA$40)</f>
        <v>-46.307930771497873</v>
      </c>
    </row>
    <row r="41" spans="1:28" ht="11.25" customHeight="1" x14ac:dyDescent="0.25">
      <c r="A41" s="108"/>
      <c r="B41" s="42" t="s">
        <v>109</v>
      </c>
      <c r="C41" s="42" t="s">
        <v>25</v>
      </c>
      <c r="D41" s="42" t="s">
        <v>25</v>
      </c>
      <c r="E41" s="42" t="s">
        <v>25</v>
      </c>
      <c r="F41" s="42" t="s">
        <v>25</v>
      </c>
      <c r="G41" s="43" t="s">
        <v>108</v>
      </c>
      <c r="H41" s="43" t="s">
        <v>102</v>
      </c>
      <c r="I41" s="43">
        <f>'MERCADO TE'!$U$38</f>
        <v>650710.04299999995</v>
      </c>
      <c r="J41" s="15"/>
      <c r="L41" s="40">
        <f>'TE BE'!$L$41*'TE BE'!$L$51</f>
        <v>0</v>
      </c>
      <c r="M41" s="40">
        <f>'TE BE'!$M$41*'TE BE'!$M$51</f>
        <v>0.30732974335104429</v>
      </c>
      <c r="N41" s="40">
        <f>'TE BE'!$N$41*'TE BE'!$N$51</f>
        <v>0</v>
      </c>
      <c r="O41" s="40">
        <f>'TE BE'!$O$41*'TE BE'!$O$51</f>
        <v>-0.21330102288160507</v>
      </c>
      <c r="P41" s="40">
        <f>'TE BE'!$P$41*'TE BE'!$P$51</f>
        <v>0</v>
      </c>
      <c r="Q41" s="40">
        <f>SUM($L$41:$P$41)</f>
        <v>9.402872046943922E-2</v>
      </c>
      <c r="R41" s="40">
        <f>'TE BE'!$R$41*'TE BE'!$R$51</f>
        <v>-26.095189387857808</v>
      </c>
      <c r="S41" s="40">
        <f>SUM($R$41:$R$41)</f>
        <v>-26.095189387857808</v>
      </c>
      <c r="T41" s="40">
        <f>'TE BE'!$T$41*'TE BE'!$T$51</f>
        <v>0</v>
      </c>
      <c r="U41" s="40">
        <f>'TE BE'!$U$41*'TE BE'!$U$51</f>
        <v>0</v>
      </c>
      <c r="V41" s="40">
        <f>'TE BE'!$V$41*'TE BE'!$V$51</f>
        <v>0</v>
      </c>
      <c r="W41" s="40">
        <f>SUM($T$41:$V$41)</f>
        <v>0</v>
      </c>
      <c r="X41" s="40">
        <f>'TE BE'!$AB$41*'TE BE'!$X$51</f>
        <v>-22.244874720945436</v>
      </c>
      <c r="Y41" s="40">
        <f>SUM($X$41:$X$41)</f>
        <v>-22.244874720945436</v>
      </c>
      <c r="Z41" s="40">
        <f>'TE BE'!$Z$41*'TE BE'!$Z$51</f>
        <v>-0.68301089926727276</v>
      </c>
      <c r="AA41" s="40">
        <f>SUM($Z$41:$Z$41)</f>
        <v>-0.68301089926727276</v>
      </c>
      <c r="AB41" s="40">
        <f>SUMIF($L$4:$AA$4,"SUBTOTAL",$L$41:$AA$41)</f>
        <v>-48.929046287601082</v>
      </c>
    </row>
    <row r="42" spans="1:28" ht="11.25" customHeight="1" x14ac:dyDescent="0.25">
      <c r="A42" s="108"/>
      <c r="B42" s="42" t="s">
        <v>114</v>
      </c>
      <c r="C42" s="42" t="s">
        <v>25</v>
      </c>
      <c r="D42" s="42" t="s">
        <v>25</v>
      </c>
      <c r="E42" s="42" t="s">
        <v>25</v>
      </c>
      <c r="F42" s="42" t="s">
        <v>25</v>
      </c>
      <c r="G42" s="43" t="s">
        <v>108</v>
      </c>
      <c r="H42" s="43" t="s">
        <v>102</v>
      </c>
      <c r="I42" s="43">
        <f>'MERCADO TE'!$U$39</f>
        <v>0</v>
      </c>
      <c r="J42" s="15"/>
      <c r="L42" s="40">
        <f>'TE BE'!$L$42*'TE BE'!$L$51</f>
        <v>0</v>
      </c>
      <c r="M42" s="40">
        <f>'TE BE'!$M$42*'TE BE'!$M$51</f>
        <v>0.30732974335104429</v>
      </c>
      <c r="N42" s="40">
        <f>'TE BE'!$N$42*'TE BE'!$N$51</f>
        <v>0</v>
      </c>
      <c r="O42" s="40">
        <f>'TE BE'!$O$42*'TE BE'!$O$51</f>
        <v>-0.21330102288160507</v>
      </c>
      <c r="P42" s="40">
        <f>'TE BE'!$P$42*'TE BE'!$P$51</f>
        <v>0</v>
      </c>
      <c r="Q42" s="40">
        <f>SUM($L$42:$P$42)</f>
        <v>9.402872046943922E-2</v>
      </c>
      <c r="R42" s="40">
        <f>'TE BE'!$R$42*'TE BE'!$R$51</f>
        <v>-26.095189387857808</v>
      </c>
      <c r="S42" s="40">
        <f>SUM($R$42:$R$42)</f>
        <v>-26.095189387857808</v>
      </c>
      <c r="T42" s="40">
        <f>'TE BE'!$T$42*'TE BE'!$T$51</f>
        <v>0</v>
      </c>
      <c r="U42" s="40">
        <f>'TE BE'!$U$42*'TE BE'!$U$51</f>
        <v>0</v>
      </c>
      <c r="V42" s="40">
        <f>'TE BE'!$V$42*'TE BE'!$V$51</f>
        <v>0</v>
      </c>
      <c r="W42" s="40">
        <f>SUM($T$42:$V$42)</f>
        <v>0</v>
      </c>
      <c r="X42" s="40">
        <f>'TE BE'!$AB$42*'TE BE'!$X$51</f>
        <v>-22.244874720945436</v>
      </c>
      <c r="Y42" s="40">
        <f>SUM($X$42:$X$42)</f>
        <v>-22.244874720945436</v>
      </c>
      <c r="Z42" s="40">
        <f>'TE BE'!$Z$42*'TE BE'!$Z$51</f>
        <v>-0.68301089926727276</v>
      </c>
      <c r="AA42" s="40">
        <f>SUM($Z$42:$Z$42)</f>
        <v>-0.68301089926727276</v>
      </c>
      <c r="AB42" s="40">
        <f>SUMIF($L$4:$AA$4,"SUBTOTAL",$L$42:$AA$42)</f>
        <v>-48.929046287601082</v>
      </c>
    </row>
    <row r="43" spans="1:28" ht="11.25" customHeight="1" x14ac:dyDescent="0.25">
      <c r="A43" s="108" t="s">
        <v>47</v>
      </c>
      <c r="B43" s="108" t="s">
        <v>109</v>
      </c>
      <c r="C43" s="108" t="s">
        <v>48</v>
      </c>
      <c r="D43" s="42" t="s">
        <v>49</v>
      </c>
      <c r="E43" s="42" t="s">
        <v>25</v>
      </c>
      <c r="F43" s="42" t="s">
        <v>25</v>
      </c>
      <c r="G43" s="43" t="s">
        <v>108</v>
      </c>
      <c r="H43" s="43" t="s">
        <v>102</v>
      </c>
      <c r="I43" s="43">
        <f>'MERCADO TE'!$U$40</f>
        <v>252172.81799999997</v>
      </c>
      <c r="J43" s="15"/>
      <c r="L43" s="40">
        <f>'TE BE'!$L$43*'TE BE'!$L$51</f>
        <v>0</v>
      </c>
      <c r="M43" s="40">
        <f>'TE BE'!$M$43*'TE BE'!$M$51</f>
        <v>0.16903135884307438</v>
      </c>
      <c r="N43" s="40">
        <f>'TE BE'!$N$43*'TE BE'!$N$51</f>
        <v>0</v>
      </c>
      <c r="O43" s="40">
        <f>'TE BE'!$O$43*'TE BE'!$O$51</f>
        <v>-0.11731556258488279</v>
      </c>
      <c r="P43" s="40">
        <f>'TE BE'!$P$43*'TE BE'!$P$51</f>
        <v>0</v>
      </c>
      <c r="Q43" s="40">
        <f>SUM($L$43:$P$43)</f>
        <v>5.1715796258191588E-2</v>
      </c>
      <c r="R43" s="40">
        <f>'TE BE'!$R$43*'TE BE'!$R$51</f>
        <v>-14.352354163321797</v>
      </c>
      <c r="S43" s="40">
        <f>SUM($R$43:$R$43)</f>
        <v>-14.352354163321797</v>
      </c>
      <c r="T43" s="40">
        <f>'TE BE'!$T$43*'TE BE'!$T$51</f>
        <v>0</v>
      </c>
      <c r="U43" s="40">
        <f>'TE BE'!$U$43*'TE BE'!$U$51</f>
        <v>0</v>
      </c>
      <c r="V43" s="40">
        <f>'TE BE'!$V$43*'TE BE'!$V$51</f>
        <v>0</v>
      </c>
      <c r="W43" s="40">
        <f>SUM($T$43:$V$43)</f>
        <v>0</v>
      </c>
      <c r="X43" s="40">
        <f>'TE BE'!$AB$43*'TE BE'!$X$51</f>
        <v>-12.234681096519992</v>
      </c>
      <c r="Y43" s="40">
        <f>SUM($X$43:$X$43)</f>
        <v>-12.234681096519992</v>
      </c>
      <c r="Z43" s="40">
        <f>'TE BE'!$Z$43*'TE BE'!$Z$51</f>
        <v>-0.37565599459700005</v>
      </c>
      <c r="AA43" s="40">
        <f>SUM($Z$43:$Z$43)</f>
        <v>-0.37565599459700005</v>
      </c>
      <c r="AB43" s="40">
        <f>SUMIF($L$4:$AA$4,"SUBTOTAL",$L$43:$AA$43)</f>
        <v>-26.910975458180598</v>
      </c>
    </row>
    <row r="44" spans="1:28" ht="11.25" customHeight="1" x14ac:dyDescent="0.25">
      <c r="A44" s="108"/>
      <c r="B44" s="108"/>
      <c r="C44" s="108"/>
      <c r="D44" s="43" t="s">
        <v>118</v>
      </c>
      <c r="E44" s="43" t="s">
        <v>25</v>
      </c>
      <c r="F44" s="43" t="s">
        <v>25</v>
      </c>
      <c r="G44" s="43" t="s">
        <v>108</v>
      </c>
      <c r="H44" s="43" t="s">
        <v>102</v>
      </c>
      <c r="I44" s="43">
        <f>'MERCADO TE'!$U$41</f>
        <v>0</v>
      </c>
      <c r="J44" s="15"/>
      <c r="L44" s="40">
        <f>'TE BE'!$L$44*'TE BE'!$L$51</f>
        <v>0</v>
      </c>
      <c r="M44" s="40">
        <f>'TE BE'!$M$44*'TE BE'!$M$51</f>
        <v>0.18439784601062659</v>
      </c>
      <c r="N44" s="40">
        <f>'TE BE'!$N$44*'TE BE'!$N$51</f>
        <v>0</v>
      </c>
      <c r="O44" s="40">
        <f>'TE BE'!$O$44*'TE BE'!$O$51</f>
        <v>-0.12798061372896305</v>
      </c>
      <c r="P44" s="40">
        <f>'TE BE'!$P$44*'TE BE'!$P$51</f>
        <v>0</v>
      </c>
      <c r="Q44" s="40">
        <f>SUM($L$44:$P$44)</f>
        <v>5.6417232281663537E-2</v>
      </c>
      <c r="R44" s="40">
        <f>'TE BE'!$R$44*'TE BE'!$R$51</f>
        <v>-15.657113632714685</v>
      </c>
      <c r="S44" s="40">
        <f>SUM($R$44:$R$44)</f>
        <v>-15.657113632714685</v>
      </c>
      <c r="T44" s="40">
        <f>'TE BE'!$T$44*'TE BE'!$T$51</f>
        <v>0</v>
      </c>
      <c r="U44" s="40">
        <f>'TE BE'!$U$44*'TE BE'!$U$51</f>
        <v>0</v>
      </c>
      <c r="V44" s="40">
        <f>'TE BE'!$V$44*'TE BE'!$V$51</f>
        <v>0</v>
      </c>
      <c r="W44" s="40">
        <f>SUM($T$44:$V$44)</f>
        <v>0</v>
      </c>
      <c r="X44" s="40">
        <f>'TE BE'!$AB$44*'TE BE'!$X$51</f>
        <v>-13.346924832567263</v>
      </c>
      <c r="Y44" s="40">
        <f>SUM($X$44:$X$44)</f>
        <v>-13.346924832567263</v>
      </c>
      <c r="Z44" s="40">
        <f>'TE BE'!$Z$44*'TE BE'!$Z$51</f>
        <v>-0.40980653956036361</v>
      </c>
      <c r="AA44" s="40">
        <f>SUM($Z$44:$Z$44)</f>
        <v>-0.40980653956036361</v>
      </c>
      <c r="AB44" s="40">
        <f>SUMIF($L$4:$AA$4,"SUBTOTAL",$L$44:$AA$44)</f>
        <v>-29.357427772560648</v>
      </c>
    </row>
    <row r="46" spans="1:28" ht="11.25" customHeight="1" x14ac:dyDescent="0.25">
      <c r="K46" s="45" t="s">
        <v>940</v>
      </c>
      <c r="L46" s="40">
        <f t="shared" ref="L46:AB46" si="0">SUMPRODUCT($I$5:$I$44,L$5:L$44)</f>
        <v>0</v>
      </c>
      <c r="M46" s="40">
        <f t="shared" si="0"/>
        <v>1147789.8681564494</v>
      </c>
      <c r="N46" s="40">
        <f t="shared" si="0"/>
        <v>0</v>
      </c>
      <c r="O46" s="40">
        <f t="shared" si="0"/>
        <v>-796619.13051892514</v>
      </c>
      <c r="P46" s="40">
        <f t="shared" si="0"/>
        <v>0</v>
      </c>
      <c r="Q46" s="40">
        <f t="shared" si="0"/>
        <v>351170.73763752438</v>
      </c>
      <c r="R46" s="40">
        <f t="shared" si="0"/>
        <v>-97281885.840435132</v>
      </c>
      <c r="S46" s="40">
        <f t="shared" si="0"/>
        <v>-97281885.840435132</v>
      </c>
      <c r="T46" s="40">
        <f t="shared" si="0"/>
        <v>0</v>
      </c>
      <c r="U46" s="40">
        <f t="shared" si="0"/>
        <v>0</v>
      </c>
      <c r="V46" s="40">
        <f t="shared" si="0"/>
        <v>0</v>
      </c>
      <c r="W46" s="40">
        <f t="shared" si="0"/>
        <v>0</v>
      </c>
      <c r="X46" s="40">
        <f t="shared" si="0"/>
        <v>-82941795.73641327</v>
      </c>
      <c r="Y46" s="40">
        <f t="shared" si="0"/>
        <v>-82941795.73641327</v>
      </c>
      <c r="Z46" s="40">
        <f t="shared" si="0"/>
        <v>-2550852.9746303749</v>
      </c>
      <c r="AA46" s="40">
        <f t="shared" si="0"/>
        <v>-2550852.9746303749</v>
      </c>
      <c r="AB46" s="40">
        <f t="shared" si="0"/>
        <v>-182423363.81384131</v>
      </c>
    </row>
    <row r="47" spans="1:28" ht="11.25" customHeight="1" x14ac:dyDescent="0.25">
      <c r="K47" s="45" t="s">
        <v>876</v>
      </c>
      <c r="L47" s="40">
        <f>CUSTOS!$D$30</f>
        <v>9446001.0146527458</v>
      </c>
      <c r="M47" s="40">
        <f>CUSTOS!$D$31</f>
        <v>96302168.731836006</v>
      </c>
      <c r="N47" s="40">
        <f>CUSTOS!$D$32</f>
        <v>0</v>
      </c>
      <c r="O47" s="40">
        <f>CUSTOS!$D$33</f>
        <v>20383291.778120119</v>
      </c>
      <c r="P47" s="40">
        <f>CUSTOS!$D$34</f>
        <v>-63840623.460000001</v>
      </c>
      <c r="Q47" s="40">
        <f>CUSTOS!$D$35</f>
        <v>62290838.064608864</v>
      </c>
      <c r="R47" s="40">
        <f>CUSTOS!$D$36</f>
        <v>835187144.65170205</v>
      </c>
      <c r="S47" s="40">
        <f>CUSTOS!$D$37</f>
        <v>835187144.65170205</v>
      </c>
      <c r="T47" s="40">
        <f>CUSTOS!$D$38</f>
        <v>0</v>
      </c>
      <c r="U47" s="40">
        <f>CUSTOS!$D$39</f>
        <v>0</v>
      </c>
      <c r="V47" s="40">
        <f>CUSTOS!$D$40</f>
        <v>9.9999999999999995E-7</v>
      </c>
      <c r="W47" s="40">
        <f>CUSTOS!$D$41</f>
        <v>9.9999999999999995E-7</v>
      </c>
      <c r="X47" s="40">
        <f>CUSTOS!$D$42</f>
        <v>0</v>
      </c>
      <c r="Y47" s="40">
        <f>CUSTOS!$D$43</f>
        <v>0</v>
      </c>
      <c r="Z47" s="40">
        <f>CUSTOS!$D$44</f>
        <v>21899653.711506557</v>
      </c>
      <c r="AA47" s="40">
        <f>CUSTOS!$D$45</f>
        <v>21899653.711506557</v>
      </c>
      <c r="AB47" s="40">
        <f>CUSTOS!$D$46</f>
        <v>919377636.42781842</v>
      </c>
    </row>
    <row r="48" spans="1:28" ht="11.25" customHeight="1" x14ac:dyDescent="0.25">
      <c r="K48" s="45" t="s">
        <v>877</v>
      </c>
      <c r="L48" s="40">
        <f>CUSTOS!$E$30</f>
        <v>0</v>
      </c>
      <c r="M48" s="40">
        <f>CUSTOS!$E$31</f>
        <v>1147789.8681564496</v>
      </c>
      <c r="N48" s="40">
        <f>CUSTOS!$E$32</f>
        <v>0</v>
      </c>
      <c r="O48" s="40">
        <f>CUSTOS!$E$33</f>
        <v>-796619.13051892526</v>
      </c>
      <c r="P48" s="40">
        <f>CUSTOS!$E$34</f>
        <v>0</v>
      </c>
      <c r="Q48" s="40">
        <f>CUSTOS!$E$35</f>
        <v>351170.73763752438</v>
      </c>
      <c r="R48" s="40">
        <f>CUSTOS!$E$36</f>
        <v>-97281885.840435177</v>
      </c>
      <c r="S48" s="40">
        <f>CUSTOS!$E$37</f>
        <v>-97281885.840435177</v>
      </c>
      <c r="T48" s="40">
        <f>CUSTOS!$E$38</f>
        <v>0</v>
      </c>
      <c r="U48" s="40">
        <f>CUSTOS!$E$39</f>
        <v>0</v>
      </c>
      <c r="V48" s="40">
        <f>CUSTOS!$E$40</f>
        <v>0</v>
      </c>
      <c r="W48" s="40">
        <f>CUSTOS!$E$41</f>
        <v>0</v>
      </c>
      <c r="X48" s="40">
        <f>CUSTOS!$E$42</f>
        <v>-82941795.73641327</v>
      </c>
      <c r="Y48" s="40">
        <f>CUSTOS!$E$43</f>
        <v>-82941795.73641327</v>
      </c>
      <c r="Z48" s="40">
        <f>CUSTOS!$E$44</f>
        <v>-2550852.9746303749</v>
      </c>
      <c r="AA48" s="40">
        <f>CUSTOS!$E$45</f>
        <v>-2550852.9746303749</v>
      </c>
      <c r="AB48" s="40">
        <f>CUSTOS!$E$46</f>
        <v>-182423363.81384131</v>
      </c>
    </row>
    <row r="49" spans="11:28" ht="11.25" customHeight="1" x14ac:dyDescent="0.25">
      <c r="K49" s="45" t="s">
        <v>878</v>
      </c>
      <c r="L49" s="40">
        <f>CUSTOS!$F$30</f>
        <v>0</v>
      </c>
      <c r="M49" s="40">
        <f>CUSTOS!$F$31</f>
        <v>121825550.48913465</v>
      </c>
      <c r="N49" s="40">
        <f>CUSTOS!$F$32</f>
        <v>0</v>
      </c>
      <c r="O49" s="40">
        <f>CUSTOS!$F$33</f>
        <v>1695860.3635268798</v>
      </c>
      <c r="P49" s="40">
        <f>CUSTOS!$F$34</f>
        <v>0</v>
      </c>
      <c r="Q49" s="40">
        <f>CUSTOS!$F$35</f>
        <v>123521410.85266154</v>
      </c>
      <c r="R49" s="40">
        <f>CUSTOS!$F$36</f>
        <v>42686759.393924795</v>
      </c>
      <c r="S49" s="40">
        <f>CUSTOS!$F$37</f>
        <v>42686759.393924795</v>
      </c>
      <c r="T49" s="40">
        <f>CUSTOS!$F$38</f>
        <v>0</v>
      </c>
      <c r="U49" s="40">
        <f>CUSTOS!$F$39</f>
        <v>0</v>
      </c>
      <c r="V49" s="40">
        <f>CUSTOS!$F$40</f>
        <v>0</v>
      </c>
      <c r="W49" s="40">
        <f>CUSTOS!$F$41</f>
        <v>0</v>
      </c>
      <c r="X49" s="40">
        <f>CUSTOS!$F$42</f>
        <v>0</v>
      </c>
      <c r="Y49" s="40">
        <f>CUSTOS!$F$43</f>
        <v>0</v>
      </c>
      <c r="Z49" s="40">
        <f>CUSTOS!$F$44</f>
        <v>1119300.3326017458</v>
      </c>
      <c r="AA49" s="40">
        <f>CUSTOS!$F$45</f>
        <v>1119300.3326017458</v>
      </c>
      <c r="AB49" s="40">
        <f>CUSTOS!$F$46</f>
        <v>167327470.57918808</v>
      </c>
    </row>
    <row r="50" spans="11:28" ht="11.25" customHeight="1" x14ac:dyDescent="0.25">
      <c r="K50" s="45" t="s">
        <v>941</v>
      </c>
      <c r="L50" s="40">
        <f>'TR TE'!$L$50*L51</f>
        <v>0</v>
      </c>
      <c r="M50" s="40">
        <f>'TR TE'!$M$50*M51</f>
        <v>32.619747049659523</v>
      </c>
      <c r="N50" s="40">
        <f>'TR TE'!$N$50*N51</f>
        <v>0</v>
      </c>
      <c r="O50" s="40">
        <f>'TR TE'!$O$50*O51</f>
        <v>0.45407991893066968</v>
      </c>
      <c r="P50" s="40">
        <f>'TR TE'!$P$50*P51</f>
        <v>0</v>
      </c>
      <c r="Q50" s="40"/>
      <c r="R50" s="40">
        <f>'TR TE'!$R$50*R51</f>
        <v>11.310297950931325</v>
      </c>
      <c r="S50" s="40"/>
      <c r="T50" s="40">
        <f>'TR TE'!$T$50*T51</f>
        <v>0</v>
      </c>
      <c r="U50" s="40">
        <f>'TR TE'!$U$50*U51</f>
        <v>0</v>
      </c>
      <c r="V50" s="40">
        <f>'TR TE'!$V$50*V51</f>
        <v>0</v>
      </c>
      <c r="W50" s="40"/>
      <c r="X50" s="40"/>
      <c r="Y50" s="40"/>
      <c r="Z50" s="40">
        <f>'TR TE'!$Z$50*Z51</f>
        <v>0.29970144666266119</v>
      </c>
      <c r="AA50" s="40"/>
      <c r="AB50" s="40"/>
    </row>
    <row r="51" spans="11:28" ht="11.25" customHeight="1" x14ac:dyDescent="0.25">
      <c r="K51" s="45" t="s">
        <v>936</v>
      </c>
      <c r="L51" s="40">
        <f>IF(L47&lt;&gt;0,L49/L47,0)</f>
        <v>0</v>
      </c>
      <c r="M51" s="40">
        <f>IF(M47&lt;&gt;0,M49/M47,0)</f>
        <v>1.265034340279203</v>
      </c>
      <c r="N51" s="40">
        <f>IF(N47&lt;&gt;0,N49/N47,0)</f>
        <v>0</v>
      </c>
      <c r="O51" s="40">
        <f>IF(O47&lt;&gt;0,O49/O47,0)</f>
        <v>8.319855212725033E-2</v>
      </c>
      <c r="P51" s="40">
        <f>IF(P47&lt;&gt;0,P49/P47,0)</f>
        <v>0</v>
      </c>
      <c r="Q51" s="40"/>
      <c r="R51" s="40">
        <f>IF(R47&lt;&gt;0,R49/R47,0)</f>
        <v>5.1110412399518489E-2</v>
      </c>
      <c r="S51" s="40"/>
      <c r="T51" s="40">
        <f>IF(T47&lt;&gt;0,T49/T47,0)</f>
        <v>0</v>
      </c>
      <c r="U51" s="40">
        <f>IF(U47&lt;&gt;0,U49/U47,0)</f>
        <v>0</v>
      </c>
      <c r="V51" s="40">
        <f>IF(V47&lt;&gt;0,V49/V47,0)</f>
        <v>0</v>
      </c>
      <c r="W51" s="40"/>
      <c r="X51" s="40">
        <f>IF($AB47&lt;&gt;0,X49/($AB47-SUM('TR TE'!$L50:'TR TE'!$AA50)*0),0)</f>
        <v>0</v>
      </c>
      <c r="Y51" s="40"/>
      <c r="Z51" s="40">
        <f>IF(Z47&lt;&gt;0,Z49/Z47,0)</f>
        <v>5.1110412399518489E-2</v>
      </c>
      <c r="AA51" s="40"/>
      <c r="AB51" s="40"/>
    </row>
    <row r="52" spans="11:28" ht="11.25" customHeight="1" x14ac:dyDescent="0.25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</sheetData>
  <mergeCells count="67"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A7:A9"/>
    <mergeCell ref="B7:B8"/>
    <mergeCell ref="C7:C8"/>
    <mergeCell ref="D7:D8"/>
    <mergeCell ref="E7:E8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E38:E40"/>
    <mergeCell ref="F38:F40"/>
    <mergeCell ref="A43:A44"/>
    <mergeCell ref="B43:B44"/>
    <mergeCell ref="C43:C44"/>
    <mergeCell ref="D38:D40"/>
  </mergeCells>
  <conditionalFormatting sqref="L46">
    <cfRule type="cellIs" dxfId="1434" priority="33" operator="notEqual">
      <formula>$L$48</formula>
    </cfRule>
    <cfRule type="cellIs" dxfId="1433" priority="34" operator="equal">
      <formula>$L$48</formula>
    </cfRule>
  </conditionalFormatting>
  <conditionalFormatting sqref="M46">
    <cfRule type="cellIs" dxfId="1432" priority="31" operator="notEqual">
      <formula>$M$48</formula>
    </cfRule>
    <cfRule type="cellIs" dxfId="1431" priority="32" operator="equal">
      <formula>$M$48</formula>
    </cfRule>
  </conditionalFormatting>
  <conditionalFormatting sqref="N46">
    <cfRule type="cellIs" dxfId="1430" priority="29" operator="notEqual">
      <formula>$N$48</formula>
    </cfRule>
    <cfRule type="cellIs" dxfId="1429" priority="30" operator="equal">
      <formula>$N$48</formula>
    </cfRule>
  </conditionalFormatting>
  <conditionalFormatting sqref="O46">
    <cfRule type="cellIs" dxfId="1428" priority="27" operator="notEqual">
      <formula>$O$48</formula>
    </cfRule>
    <cfRule type="cellIs" dxfId="1427" priority="28" operator="equal">
      <formula>$O$48</formula>
    </cfRule>
  </conditionalFormatting>
  <conditionalFormatting sqref="P46">
    <cfRule type="cellIs" dxfId="1426" priority="25" operator="notEqual">
      <formula>$P$48</formula>
    </cfRule>
    <cfRule type="cellIs" dxfId="1425" priority="26" operator="equal">
      <formula>$P$48</formula>
    </cfRule>
  </conditionalFormatting>
  <conditionalFormatting sqref="Q46">
    <cfRule type="cellIs" dxfId="1424" priority="23" operator="notEqual">
      <formula>$Q$48</formula>
    </cfRule>
    <cfRule type="cellIs" dxfId="1423" priority="24" operator="equal">
      <formula>$Q$48</formula>
    </cfRule>
  </conditionalFormatting>
  <conditionalFormatting sqref="R46">
    <cfRule type="cellIs" dxfId="1422" priority="21" operator="notEqual">
      <formula>$R$48</formula>
    </cfRule>
    <cfRule type="cellIs" dxfId="1421" priority="22" operator="equal">
      <formula>$R$48</formula>
    </cfRule>
  </conditionalFormatting>
  <conditionalFormatting sqref="S46">
    <cfRule type="cellIs" dxfId="1420" priority="19" operator="notEqual">
      <formula>$S$48</formula>
    </cfRule>
    <cfRule type="cellIs" dxfId="1419" priority="20" operator="equal">
      <formula>$S$48</formula>
    </cfRule>
  </conditionalFormatting>
  <conditionalFormatting sqref="T46">
    <cfRule type="cellIs" dxfId="1418" priority="17" operator="notEqual">
      <formula>$T$48</formula>
    </cfRule>
    <cfRule type="cellIs" dxfId="1417" priority="18" operator="equal">
      <formula>$T$48</formula>
    </cfRule>
  </conditionalFormatting>
  <conditionalFormatting sqref="U46">
    <cfRule type="cellIs" dxfId="1416" priority="15" operator="notEqual">
      <formula>$U$48</formula>
    </cfRule>
    <cfRule type="cellIs" dxfId="1415" priority="16" operator="equal">
      <formula>$U$48</formula>
    </cfRule>
  </conditionalFormatting>
  <conditionalFormatting sqref="V46">
    <cfRule type="cellIs" dxfId="1414" priority="13" operator="notEqual">
      <formula>$V$48</formula>
    </cfRule>
    <cfRule type="cellIs" dxfId="1413" priority="14" operator="equal">
      <formula>$V$48</formula>
    </cfRule>
  </conditionalFormatting>
  <conditionalFormatting sqref="W46">
    <cfRule type="cellIs" dxfId="1412" priority="11" operator="notEqual">
      <formula>$W$48</formula>
    </cfRule>
    <cfRule type="cellIs" dxfId="1411" priority="12" operator="equal">
      <formula>$W$48</formula>
    </cfRule>
  </conditionalFormatting>
  <conditionalFormatting sqref="X46">
    <cfRule type="cellIs" dxfId="1410" priority="9" operator="notEqual">
      <formula>$X$48</formula>
    </cfRule>
    <cfRule type="cellIs" dxfId="1409" priority="10" operator="equal">
      <formula>$X$48</formula>
    </cfRule>
  </conditionalFormatting>
  <conditionalFormatting sqref="Y46">
    <cfRule type="cellIs" dxfId="1408" priority="7" operator="notEqual">
      <formula>$Y$48</formula>
    </cfRule>
    <cfRule type="cellIs" dxfId="1407" priority="8" operator="equal">
      <formula>$Y$48</formula>
    </cfRule>
  </conditionalFormatting>
  <conditionalFormatting sqref="Z46">
    <cfRule type="cellIs" dxfId="1406" priority="5" operator="notEqual">
      <formula>$Z$48</formula>
    </cfRule>
    <cfRule type="cellIs" dxfId="1405" priority="6" operator="equal">
      <formula>$Z$48</formula>
    </cfRule>
  </conditionalFormatting>
  <conditionalFormatting sqref="AA46">
    <cfRule type="cellIs" dxfId="1404" priority="3" operator="notEqual">
      <formula>$AA$48</formula>
    </cfRule>
    <cfRule type="cellIs" dxfId="1403" priority="4" operator="equal">
      <formula>$AA$48</formula>
    </cfRule>
  </conditionalFormatting>
  <conditionalFormatting sqref="AB46">
    <cfRule type="cellIs" dxfId="1402" priority="1" operator="notEqual">
      <formula>$AB$48</formula>
    </cfRule>
    <cfRule type="cellIs" dxfId="1401" priority="2" operator="equal">
      <formula>$AB$48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76D1F-246C-44E5-BB4B-32CA85E7DE59}">
  <dimension ref="A1:AB52"/>
  <sheetViews>
    <sheetView showGridLines="0" topLeftCell="L1" workbookViewId="0">
      <selection activeCell="AB46" sqref="AB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0" style="9" bestFit="1" customWidth="1"/>
    <col min="13" max="13" width="11.71093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1.7109375" style="9" bestFit="1" customWidth="1"/>
    <col min="18" max="18" width="15" style="9" bestFit="1" customWidth="1"/>
    <col min="19" max="19" width="12.2851562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5" width="11.42578125" style="9" bestFit="1" customWidth="1"/>
    <col min="26" max="26" width="11" style="9" bestFit="1" customWidth="1"/>
    <col min="27" max="27" width="10.85546875" style="9" bestFit="1" customWidth="1"/>
    <col min="28" max="28" width="12.28515625" style="9" bestFit="1" customWidth="1"/>
    <col min="29" max="16384" width="9.140625" style="9"/>
  </cols>
  <sheetData>
    <row r="1" spans="1:28" ht="11.25" customHeight="1" x14ac:dyDescent="0.25">
      <c r="A1" s="107" t="s">
        <v>92</v>
      </c>
      <c r="B1" s="107" t="s">
        <v>93</v>
      </c>
      <c r="C1" s="107" t="s">
        <v>94</v>
      </c>
      <c r="D1" s="107" t="s">
        <v>95</v>
      </c>
      <c r="E1" s="107" t="s">
        <v>96</v>
      </c>
      <c r="F1" s="107" t="s">
        <v>15</v>
      </c>
      <c r="G1" s="107" t="s">
        <v>98</v>
      </c>
      <c r="H1" s="107" t="s">
        <v>99</v>
      </c>
      <c r="I1" s="107" t="s">
        <v>924</v>
      </c>
      <c r="J1" s="93"/>
      <c r="L1" s="105" t="s">
        <v>946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25">
      <c r="A2" s="107"/>
      <c r="B2" s="107"/>
      <c r="C2" s="107"/>
      <c r="D2" s="107"/>
      <c r="E2" s="107"/>
      <c r="F2" s="107"/>
      <c r="G2" s="107"/>
      <c r="H2" s="107"/>
      <c r="I2" s="107"/>
      <c r="J2" s="93"/>
      <c r="L2" s="105" t="s">
        <v>862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25">
      <c r="A3" s="107"/>
      <c r="B3" s="107"/>
      <c r="C3" s="107"/>
      <c r="D3" s="107"/>
      <c r="E3" s="107"/>
      <c r="F3" s="107"/>
      <c r="G3" s="107"/>
      <c r="H3" s="107"/>
      <c r="I3" s="107"/>
      <c r="J3" s="93"/>
      <c r="L3" s="105" t="s">
        <v>835</v>
      </c>
      <c r="M3" s="105"/>
      <c r="N3" s="105"/>
      <c r="O3" s="105"/>
      <c r="P3" s="105"/>
      <c r="Q3" s="105"/>
      <c r="R3" s="105" t="s">
        <v>866</v>
      </c>
      <c r="S3" s="105"/>
      <c r="T3" s="105" t="s">
        <v>844</v>
      </c>
      <c r="U3" s="105"/>
      <c r="V3" s="105"/>
      <c r="W3" s="105"/>
      <c r="X3" s="105" t="s">
        <v>854</v>
      </c>
      <c r="Y3" s="105"/>
      <c r="Z3" s="105" t="s">
        <v>857</v>
      </c>
      <c r="AA3" s="105"/>
      <c r="AB3" s="105" t="s">
        <v>843</v>
      </c>
    </row>
    <row r="4" spans="1:28" ht="11.25" customHeight="1" x14ac:dyDescent="0.25">
      <c r="A4" s="107"/>
      <c r="B4" s="107"/>
      <c r="C4" s="107"/>
      <c r="D4" s="107"/>
      <c r="E4" s="107"/>
      <c r="F4" s="107"/>
      <c r="G4" s="107"/>
      <c r="H4" s="107"/>
      <c r="I4" s="107"/>
      <c r="J4" s="93"/>
      <c r="L4" s="44" t="s">
        <v>837</v>
      </c>
      <c r="M4" s="44" t="s">
        <v>863</v>
      </c>
      <c r="N4" s="44" t="s">
        <v>864</v>
      </c>
      <c r="O4" s="44" t="s">
        <v>923</v>
      </c>
      <c r="P4" s="44" t="s">
        <v>865</v>
      </c>
      <c r="Q4" s="44" t="s">
        <v>843</v>
      </c>
      <c r="R4" s="44" t="s">
        <v>867</v>
      </c>
      <c r="S4" s="44" t="s">
        <v>843</v>
      </c>
      <c r="T4" s="44" t="s">
        <v>868</v>
      </c>
      <c r="U4" s="44" t="s">
        <v>869</v>
      </c>
      <c r="V4" s="44" t="s">
        <v>870</v>
      </c>
      <c r="W4" s="44" t="s">
        <v>843</v>
      </c>
      <c r="X4" s="44" t="s">
        <v>855</v>
      </c>
      <c r="Y4" s="44" t="s">
        <v>843</v>
      </c>
      <c r="Z4" s="44" t="s">
        <v>871</v>
      </c>
      <c r="AA4" s="44" t="s">
        <v>843</v>
      </c>
      <c r="AB4" s="106"/>
    </row>
    <row r="5" spans="1:28" ht="11.25" customHeight="1" x14ac:dyDescent="0.25">
      <c r="A5" s="108" t="s">
        <v>39</v>
      </c>
      <c r="B5" s="108" t="s">
        <v>101</v>
      </c>
      <c r="C5" s="108" t="s">
        <v>25</v>
      </c>
      <c r="D5" s="108" t="s">
        <v>25</v>
      </c>
      <c r="E5" s="108" t="s">
        <v>25</v>
      </c>
      <c r="F5" s="108" t="s">
        <v>25</v>
      </c>
      <c r="G5" s="43" t="s">
        <v>103</v>
      </c>
      <c r="H5" s="43" t="s">
        <v>102</v>
      </c>
      <c r="I5" s="43">
        <f>'MERCADO TE'!$U$2</f>
        <v>7394.5769999999993</v>
      </c>
      <c r="J5" s="15"/>
      <c r="L5" s="40">
        <f>'TE BE'!$L$5*'TE BF'!$L$51</f>
        <v>0</v>
      </c>
      <c r="M5" s="40">
        <f>'TE BE'!$M$5*'TE BF'!$M$51</f>
        <v>32.619747049659523</v>
      </c>
      <c r="N5" s="40">
        <f>'TE BE'!$N$5*'TE BF'!$N$51</f>
        <v>0</v>
      </c>
      <c r="O5" s="40">
        <f>'TE BE'!$O$5*'TE BF'!$O$51</f>
        <v>0.45407991893066968</v>
      </c>
      <c r="P5" s="40">
        <f>'TE BE'!$P$5*'TE BF'!$P$51</f>
        <v>0</v>
      </c>
      <c r="Q5" s="40">
        <f>SUM($L$5:$P$5)</f>
        <v>33.07382696859019</v>
      </c>
      <c r="R5" s="40">
        <f>'TE BE'!$R$5*'TE BF'!$R$51</f>
        <v>18.579937125138748</v>
      </c>
      <c r="S5" s="40">
        <f>SUM($R$5:$R$5)</f>
        <v>18.579937125138748</v>
      </c>
      <c r="T5" s="40">
        <f>'TE BE'!$T$5*'TE BF'!$T$51</f>
        <v>0</v>
      </c>
      <c r="U5" s="40">
        <f>'TE BE'!$U$5*'TE BF'!$U$51</f>
        <v>0</v>
      </c>
      <c r="V5" s="40">
        <f>'TE BE'!$V$5*'TE BF'!$V$51</f>
        <v>0</v>
      </c>
      <c r="W5" s="40">
        <f>SUM($T$5:$V$5)</f>
        <v>0</v>
      </c>
      <c r="X5" s="40">
        <f>'TE BE'!$AB$5*'TE BF'!$X$51</f>
        <v>0</v>
      </c>
      <c r="Y5" s="40">
        <f>SUM($X$5:$X$5)</f>
        <v>0</v>
      </c>
      <c r="Z5" s="40">
        <f>'TE BE'!$Z$5*'TE BF'!$Z$51</f>
        <v>0.29970144666266119</v>
      </c>
      <c r="AA5" s="40">
        <f>SUM($Z$5:$Z$5)</f>
        <v>0.29970144666266119</v>
      </c>
      <c r="AB5" s="40">
        <f>SUMIF($L$4:$AA$4,"SUBTOTAL",$L$5:$AA$5)</f>
        <v>51.953465540391598</v>
      </c>
    </row>
    <row r="6" spans="1:28" ht="11.25" customHeight="1" x14ac:dyDescent="0.25">
      <c r="A6" s="108"/>
      <c r="B6" s="108"/>
      <c r="C6" s="108"/>
      <c r="D6" s="108"/>
      <c r="E6" s="108"/>
      <c r="F6" s="108"/>
      <c r="G6" s="43" t="s">
        <v>104</v>
      </c>
      <c r="H6" s="43" t="s">
        <v>102</v>
      </c>
      <c r="I6" s="43">
        <f>'MERCADO TE'!$U$3</f>
        <v>86286.733999999997</v>
      </c>
      <c r="J6" s="15"/>
      <c r="L6" s="40">
        <f>'TE BE'!$L$6*'TE BF'!$L$51</f>
        <v>0</v>
      </c>
      <c r="M6" s="40">
        <f>'TE BE'!$M$6*'TE BF'!$M$51</f>
        <v>32.619747049659523</v>
      </c>
      <c r="N6" s="40">
        <f>'TE BE'!$N$6*'TE BF'!$N$51</f>
        <v>0</v>
      </c>
      <c r="O6" s="40">
        <f>'TE BE'!$O$6*'TE BF'!$O$51</f>
        <v>0.45407991893066968</v>
      </c>
      <c r="P6" s="40">
        <f>'TE BE'!$P$6*'TE BF'!$P$51</f>
        <v>0</v>
      </c>
      <c r="Q6" s="40">
        <f>SUM($L$6:$P$6)</f>
        <v>33.07382696859019</v>
      </c>
      <c r="R6" s="40">
        <f>'TE BE'!$R$6*'TE BF'!$R$51</f>
        <v>10.802289026243459</v>
      </c>
      <c r="S6" s="40">
        <f>SUM($R$6:$R$6)</f>
        <v>10.802289026243459</v>
      </c>
      <c r="T6" s="40">
        <f>'TE BE'!$T$6*'TE BF'!$T$51</f>
        <v>0</v>
      </c>
      <c r="U6" s="40">
        <f>'TE BE'!$U$6*'TE BF'!$U$51</f>
        <v>0</v>
      </c>
      <c r="V6" s="40">
        <f>'TE BE'!$V$6*'TE BF'!$V$51</f>
        <v>0</v>
      </c>
      <c r="W6" s="40">
        <f>SUM($T$6:$V$6)</f>
        <v>0</v>
      </c>
      <c r="X6" s="40">
        <f>'TE BE'!$AB$6*'TE BF'!$X$51</f>
        <v>0</v>
      </c>
      <c r="Y6" s="40">
        <f>SUM($X$6:$X$6)</f>
        <v>0</v>
      </c>
      <c r="Z6" s="40">
        <f>'TE BE'!$Z$6*'TE BF'!$Z$51</f>
        <v>0.29970144666266119</v>
      </c>
      <c r="AA6" s="40">
        <f>SUM($Z$6:$Z$6)</f>
        <v>0.29970144666266119</v>
      </c>
      <c r="AB6" s="40">
        <f>SUMIF($L$4:$AA$4,"SUBTOTAL",$L$6:$AA$6)</f>
        <v>44.175817441496307</v>
      </c>
    </row>
    <row r="7" spans="1:28" ht="11.25" customHeight="1" x14ac:dyDescent="0.25">
      <c r="A7" s="108" t="s">
        <v>41</v>
      </c>
      <c r="B7" s="108" t="s">
        <v>101</v>
      </c>
      <c r="C7" s="108" t="s">
        <v>25</v>
      </c>
      <c r="D7" s="108" t="s">
        <v>25</v>
      </c>
      <c r="E7" s="108" t="s">
        <v>25</v>
      </c>
      <c r="F7" s="108" t="s">
        <v>25</v>
      </c>
      <c r="G7" s="43" t="s">
        <v>103</v>
      </c>
      <c r="H7" s="43" t="s">
        <v>102</v>
      </c>
      <c r="I7" s="43">
        <f>'MERCADO TE'!$U$4</f>
        <v>39726.173999999992</v>
      </c>
      <c r="J7" s="15"/>
      <c r="L7" s="40">
        <f>'TE BE'!$L$7*'TE BF'!$L$51</f>
        <v>0</v>
      </c>
      <c r="M7" s="40">
        <f>'TE BE'!$M$7*'TE BF'!$M$51</f>
        <v>32.619747049659523</v>
      </c>
      <c r="N7" s="40">
        <f>'TE BE'!$N$7*'TE BF'!$N$51</f>
        <v>0</v>
      </c>
      <c r="O7" s="40">
        <f>'TE BE'!$O$7*'TE BF'!$O$51</f>
        <v>0.45407991893066968</v>
      </c>
      <c r="P7" s="40">
        <f>'TE BE'!$P$7*'TE BF'!$P$51</f>
        <v>0</v>
      </c>
      <c r="Q7" s="40">
        <f>SUM($L$7:$P$7)</f>
        <v>33.07382696859019</v>
      </c>
      <c r="R7" s="40">
        <f>'TE BE'!$R$7*'TE BF'!$R$51</f>
        <v>18.579937125138748</v>
      </c>
      <c r="S7" s="40">
        <f>SUM($R$7:$R$7)</f>
        <v>18.579937125138748</v>
      </c>
      <c r="T7" s="40">
        <f>'TE BE'!$T$7*'TE BF'!$T$51</f>
        <v>0</v>
      </c>
      <c r="U7" s="40">
        <f>'TE BE'!$U$7*'TE BF'!$U$51</f>
        <v>0</v>
      </c>
      <c r="V7" s="40">
        <f>'TE BE'!$V$7*'TE BF'!$V$51</f>
        <v>0</v>
      </c>
      <c r="W7" s="40">
        <f>SUM($T$7:$V$7)</f>
        <v>0</v>
      </c>
      <c r="X7" s="40">
        <f>'TE BE'!$AB$7*'TE BF'!$X$51</f>
        <v>0</v>
      </c>
      <c r="Y7" s="40">
        <f>SUM($X$7:$X$7)</f>
        <v>0</v>
      </c>
      <c r="Z7" s="40">
        <f>'TE BE'!$Z$7*'TE BF'!$Z$51</f>
        <v>0.29970144666266119</v>
      </c>
      <c r="AA7" s="40">
        <f>SUM($Z$7:$Z$7)</f>
        <v>0.29970144666266119</v>
      </c>
      <c r="AB7" s="40">
        <f>SUMIF($L$4:$AA$4,"SUBTOTAL",$L$7:$AA$7)</f>
        <v>51.953465540391598</v>
      </c>
    </row>
    <row r="8" spans="1:28" ht="11.25" customHeight="1" x14ac:dyDescent="0.25">
      <c r="A8" s="108"/>
      <c r="B8" s="108"/>
      <c r="C8" s="108"/>
      <c r="D8" s="108"/>
      <c r="E8" s="108"/>
      <c r="F8" s="108"/>
      <c r="G8" s="43" t="s">
        <v>104</v>
      </c>
      <c r="H8" s="43" t="s">
        <v>102</v>
      </c>
      <c r="I8" s="43">
        <f>'MERCADO TE'!$U$5</f>
        <v>550599.2379999999</v>
      </c>
      <c r="J8" s="15"/>
      <c r="L8" s="40">
        <f>'TE BE'!$L$8*'TE BF'!$L$51</f>
        <v>0</v>
      </c>
      <c r="M8" s="40">
        <f>'TE BE'!$M$8*'TE BF'!$M$51</f>
        <v>32.619747049659523</v>
      </c>
      <c r="N8" s="40">
        <f>'TE BE'!$N$8*'TE BF'!$N$51</f>
        <v>0</v>
      </c>
      <c r="O8" s="40">
        <f>'TE BE'!$O$8*'TE BF'!$O$51</f>
        <v>0.45407991893066968</v>
      </c>
      <c r="P8" s="40">
        <f>'TE BE'!$P$8*'TE BF'!$P$51</f>
        <v>0</v>
      </c>
      <c r="Q8" s="40">
        <f>SUM($L$8:$P$8)</f>
        <v>33.07382696859019</v>
      </c>
      <c r="R8" s="40">
        <f>'TE BE'!$R$8*'TE BF'!$R$51</f>
        <v>10.802289026243459</v>
      </c>
      <c r="S8" s="40">
        <f>SUM($R$8:$R$8)</f>
        <v>10.802289026243459</v>
      </c>
      <c r="T8" s="40">
        <f>'TE BE'!$T$8*'TE BF'!$T$51</f>
        <v>0</v>
      </c>
      <c r="U8" s="40">
        <f>'TE BE'!$U$8*'TE BF'!$U$51</f>
        <v>0</v>
      </c>
      <c r="V8" s="40">
        <f>'TE BE'!$V$8*'TE BF'!$V$51</f>
        <v>0</v>
      </c>
      <c r="W8" s="40">
        <f>SUM($T$8:$V$8)</f>
        <v>0</v>
      </c>
      <c r="X8" s="40">
        <f>'TE BE'!$AB$8*'TE BF'!$X$51</f>
        <v>0</v>
      </c>
      <c r="Y8" s="40">
        <f>SUM($X$8:$X$8)</f>
        <v>0</v>
      </c>
      <c r="Z8" s="40">
        <f>'TE BE'!$Z$8*'TE BF'!$Z$51</f>
        <v>0.29970144666266119</v>
      </c>
      <c r="AA8" s="40">
        <f>SUM($Z$8:$Z$8)</f>
        <v>0.29970144666266119</v>
      </c>
      <c r="AB8" s="40">
        <f>SUMIF($L$4:$AA$4,"SUBTOTAL",$L$8:$AA$8)</f>
        <v>44.175817441496307</v>
      </c>
    </row>
    <row r="9" spans="1:28" ht="11.25" customHeight="1" x14ac:dyDescent="0.25">
      <c r="A9" s="108"/>
      <c r="B9" s="42" t="s">
        <v>109</v>
      </c>
      <c r="C9" s="42" t="s">
        <v>25</v>
      </c>
      <c r="D9" s="42" t="s">
        <v>25</v>
      </c>
      <c r="E9" s="42" t="s">
        <v>25</v>
      </c>
      <c r="F9" s="42" t="s">
        <v>25</v>
      </c>
      <c r="G9" s="43" t="s">
        <v>108</v>
      </c>
      <c r="H9" s="43" t="s">
        <v>102</v>
      </c>
      <c r="I9" s="43">
        <f>'MERCADO TE'!$U$6</f>
        <v>0</v>
      </c>
      <c r="J9" s="15"/>
      <c r="L9" s="40">
        <f>'TE BE'!$L$9*'TE BF'!$L$51</f>
        <v>0</v>
      </c>
      <c r="M9" s="40">
        <f>'TE BE'!$M$9*'TE BF'!$M$51</f>
        <v>32.619747049659523</v>
      </c>
      <c r="N9" s="40">
        <f>'TE BE'!$N$9*'TE BF'!$N$51</f>
        <v>0</v>
      </c>
      <c r="O9" s="40">
        <f>'TE BE'!$O$9*'TE BF'!$O$51</f>
        <v>0.45407991893066968</v>
      </c>
      <c r="P9" s="40">
        <f>'TE BE'!$P$9*'TE BF'!$P$51</f>
        <v>0</v>
      </c>
      <c r="Q9" s="40">
        <f>SUM($L$9:$P$9)</f>
        <v>33.07382696859019</v>
      </c>
      <c r="R9" s="40">
        <f>'TE BE'!$R$9*'TE BF'!$R$51</f>
        <v>11.450426367818066</v>
      </c>
      <c r="S9" s="40">
        <f>SUM($R$9:$R$9)</f>
        <v>11.450426367818066</v>
      </c>
      <c r="T9" s="40">
        <f>'TE BE'!$T$9*'TE BF'!$T$51</f>
        <v>0</v>
      </c>
      <c r="U9" s="40">
        <f>'TE BE'!$U$9*'TE BF'!$U$51</f>
        <v>0</v>
      </c>
      <c r="V9" s="40">
        <f>'TE BE'!$V$9*'TE BF'!$V$51</f>
        <v>0</v>
      </c>
      <c r="W9" s="40">
        <f>SUM($T$9:$V$9)</f>
        <v>0</v>
      </c>
      <c r="X9" s="40">
        <f>'TE BE'!$AB$9*'TE BF'!$X$51</f>
        <v>0</v>
      </c>
      <c r="Y9" s="40">
        <f>SUM($X$9:$X$9)</f>
        <v>0</v>
      </c>
      <c r="Z9" s="40">
        <f>'TE BE'!$Z$9*'TE BF'!$Z$51</f>
        <v>0.29970144666266119</v>
      </c>
      <c r="AA9" s="40">
        <f>SUM($Z$9:$Z$9)</f>
        <v>0.29970144666266119</v>
      </c>
      <c r="AB9" s="40">
        <f>SUMIF($L$4:$AA$4,"SUBTOTAL",$L$9:$AA$9)</f>
        <v>44.823954783070917</v>
      </c>
    </row>
    <row r="10" spans="1:28" ht="11.25" customHeight="1" x14ac:dyDescent="0.25">
      <c r="A10" s="108" t="s">
        <v>22</v>
      </c>
      <c r="B10" s="108" t="s">
        <v>101</v>
      </c>
      <c r="C10" s="108" t="s">
        <v>24</v>
      </c>
      <c r="D10" s="108" t="s">
        <v>24</v>
      </c>
      <c r="E10" s="108" t="s">
        <v>25</v>
      </c>
      <c r="F10" s="108" t="s">
        <v>25</v>
      </c>
      <c r="G10" s="43" t="s">
        <v>103</v>
      </c>
      <c r="H10" s="43" t="s">
        <v>102</v>
      </c>
      <c r="I10" s="43">
        <f>'MERCADO TE'!$U$7</f>
        <v>107.383</v>
      </c>
      <c r="J10" s="15"/>
      <c r="L10" s="40">
        <f>'TE BE'!$L$10*'TE BF'!$L$51</f>
        <v>0</v>
      </c>
      <c r="M10" s="40">
        <f>'TE BE'!$M$10*'TE BF'!$M$51</f>
        <v>32.619747049659523</v>
      </c>
      <c r="N10" s="40">
        <f>'TE BE'!$N$10*'TE BF'!$N$51</f>
        <v>0</v>
      </c>
      <c r="O10" s="40">
        <f>'TE BE'!$O$10*'TE BF'!$O$51</f>
        <v>0.45407991893066968</v>
      </c>
      <c r="P10" s="40">
        <f>'TE BE'!$P$10*'TE BF'!$P$51</f>
        <v>0</v>
      </c>
      <c r="Q10" s="40">
        <f>SUM($L$10:$P$10)</f>
        <v>33.07382696859019</v>
      </c>
      <c r="R10" s="40">
        <f>'TE BE'!$R$10*'TE BF'!$R$51</f>
        <v>18.579937125138748</v>
      </c>
      <c r="S10" s="40">
        <f>SUM($R$10:$R$10)</f>
        <v>18.579937125138748</v>
      </c>
      <c r="T10" s="40">
        <f>'TE BE'!$T$10*'TE BF'!$T$51</f>
        <v>0</v>
      </c>
      <c r="U10" s="40">
        <f>'TE BE'!$U$10*'TE BF'!$U$51</f>
        <v>0</v>
      </c>
      <c r="V10" s="40">
        <f>'TE BE'!$V$10*'TE BF'!$V$51</f>
        <v>0</v>
      </c>
      <c r="W10" s="40">
        <f>SUM($T$10:$V$10)</f>
        <v>0</v>
      </c>
      <c r="X10" s="40">
        <f>'TE BE'!$AB$10*'TE BF'!$X$51</f>
        <v>0</v>
      </c>
      <c r="Y10" s="40">
        <f>SUM($X$10:$X$10)</f>
        <v>0</v>
      </c>
      <c r="Z10" s="40">
        <f>'TE BE'!$Z$10*'TE BF'!$Z$51</f>
        <v>0.29970144666266119</v>
      </c>
      <c r="AA10" s="40">
        <f>SUM($Z$10:$Z$10)</f>
        <v>0.29970144666266119</v>
      </c>
      <c r="AB10" s="40">
        <f>SUMIF($L$4:$AA$4,"SUBTOTAL",$L$10:$AA$10)</f>
        <v>51.953465540391598</v>
      </c>
    </row>
    <row r="11" spans="1:28" ht="11.25" customHeight="1" x14ac:dyDescent="0.25">
      <c r="A11" s="108"/>
      <c r="B11" s="108"/>
      <c r="C11" s="108"/>
      <c r="D11" s="108"/>
      <c r="E11" s="108"/>
      <c r="F11" s="108"/>
      <c r="G11" s="43" t="s">
        <v>113</v>
      </c>
      <c r="H11" s="43" t="s">
        <v>102</v>
      </c>
      <c r="I11" s="43">
        <f>'MERCADO TE'!$U$8</f>
        <v>73.695000000000007</v>
      </c>
      <c r="J11" s="15"/>
      <c r="L11" s="40">
        <f>'TE BE'!$L$11*'TE BF'!$L$51</f>
        <v>0</v>
      </c>
      <c r="M11" s="40">
        <f>'TE BE'!$M$11*'TE BF'!$M$51</f>
        <v>32.619747049659523</v>
      </c>
      <c r="N11" s="40">
        <f>'TE BE'!$N$11*'TE BF'!$N$51</f>
        <v>0</v>
      </c>
      <c r="O11" s="40">
        <f>'TE BE'!$O$11*'TE BF'!$O$51</f>
        <v>0.45407991893066968</v>
      </c>
      <c r="P11" s="40">
        <f>'TE BE'!$P$11*'TE BF'!$P$51</f>
        <v>0</v>
      </c>
      <c r="Q11" s="40">
        <f>SUM($L$11:$P$11)</f>
        <v>33.07382696859019</v>
      </c>
      <c r="R11" s="40">
        <f>'TE BE'!$R$11*'TE BF'!$R$51</f>
        <v>10.802289026243459</v>
      </c>
      <c r="S11" s="40">
        <f>SUM($R$11:$R$11)</f>
        <v>10.802289026243459</v>
      </c>
      <c r="T11" s="40">
        <f>'TE BE'!$T$11*'TE BF'!$T$51</f>
        <v>0</v>
      </c>
      <c r="U11" s="40">
        <f>'TE BE'!$U$11*'TE BF'!$U$51</f>
        <v>0</v>
      </c>
      <c r="V11" s="40">
        <f>'TE BE'!$V$11*'TE BF'!$V$51</f>
        <v>0</v>
      </c>
      <c r="W11" s="40">
        <f>SUM($T$11:$V$11)</f>
        <v>0</v>
      </c>
      <c r="X11" s="40">
        <f>'TE BE'!$AB$11*'TE BF'!$X$51</f>
        <v>0</v>
      </c>
      <c r="Y11" s="40">
        <f>SUM($X$11:$X$11)</f>
        <v>0</v>
      </c>
      <c r="Z11" s="40">
        <f>'TE BE'!$Z$11*'TE BF'!$Z$51</f>
        <v>0.29970144666266119</v>
      </c>
      <c r="AA11" s="40">
        <f>SUM($Z$11:$Z$11)</f>
        <v>0.29970144666266119</v>
      </c>
      <c r="AB11" s="40">
        <f>SUMIF($L$4:$AA$4,"SUBTOTAL",$L$11:$AA$11)</f>
        <v>44.175817441496307</v>
      </c>
    </row>
    <row r="12" spans="1:28" ht="11.25" customHeight="1" x14ac:dyDescent="0.25">
      <c r="A12" s="108"/>
      <c r="B12" s="108"/>
      <c r="C12" s="108"/>
      <c r="D12" s="108"/>
      <c r="E12" s="108"/>
      <c r="F12" s="108"/>
      <c r="G12" s="43" t="s">
        <v>104</v>
      </c>
      <c r="H12" s="43" t="s">
        <v>102</v>
      </c>
      <c r="I12" s="43">
        <f>'MERCADO TE'!$U$9</f>
        <v>1358.0870000000002</v>
      </c>
      <c r="J12" s="15"/>
      <c r="L12" s="40">
        <f>'TE BE'!$L$12*'TE BF'!$L$51</f>
        <v>0</v>
      </c>
      <c r="M12" s="40">
        <f>'TE BE'!$M$12*'TE BF'!$M$51</f>
        <v>32.619747049659523</v>
      </c>
      <c r="N12" s="40">
        <f>'TE BE'!$N$12*'TE BF'!$N$51</f>
        <v>0</v>
      </c>
      <c r="O12" s="40">
        <f>'TE BE'!$O$12*'TE BF'!$O$51</f>
        <v>0.45407991893066968</v>
      </c>
      <c r="P12" s="40">
        <f>'TE BE'!$P$12*'TE BF'!$P$51</f>
        <v>0</v>
      </c>
      <c r="Q12" s="40">
        <f>SUM($L$12:$P$12)</f>
        <v>33.07382696859019</v>
      </c>
      <c r="R12" s="40">
        <f>'TE BE'!$R$12*'TE BF'!$R$51</f>
        <v>10.802289026243459</v>
      </c>
      <c r="S12" s="40">
        <f>SUM($R$12:$R$12)</f>
        <v>10.802289026243459</v>
      </c>
      <c r="T12" s="40">
        <f>'TE BE'!$T$12*'TE BF'!$T$51</f>
        <v>0</v>
      </c>
      <c r="U12" s="40">
        <f>'TE BE'!$U$12*'TE BF'!$U$51</f>
        <v>0</v>
      </c>
      <c r="V12" s="40">
        <f>'TE BE'!$V$12*'TE BF'!$V$51</f>
        <v>0</v>
      </c>
      <c r="W12" s="40">
        <f>SUM($T$12:$V$12)</f>
        <v>0</v>
      </c>
      <c r="X12" s="40">
        <f>'TE BE'!$AB$12*'TE BF'!$X$51</f>
        <v>0</v>
      </c>
      <c r="Y12" s="40">
        <f>SUM($X$12:$X$12)</f>
        <v>0</v>
      </c>
      <c r="Z12" s="40">
        <f>'TE BE'!$Z$12*'TE BF'!$Z$51</f>
        <v>0.29970144666266119</v>
      </c>
      <c r="AA12" s="40">
        <f>SUM($Z$12:$Z$12)</f>
        <v>0.29970144666266119</v>
      </c>
      <c r="AB12" s="40">
        <f>SUMIF($L$4:$AA$4,"SUBTOTAL",$L$12:$AA$12)</f>
        <v>44.175817441496307</v>
      </c>
    </row>
    <row r="13" spans="1:28" ht="11.25" customHeight="1" x14ac:dyDescent="0.25">
      <c r="A13" s="108"/>
      <c r="B13" s="108" t="s">
        <v>109</v>
      </c>
      <c r="C13" s="108" t="s">
        <v>24</v>
      </c>
      <c r="D13" s="42" t="s">
        <v>24</v>
      </c>
      <c r="E13" s="42" t="s">
        <v>25</v>
      </c>
      <c r="F13" s="42" t="s">
        <v>25</v>
      </c>
      <c r="G13" s="43" t="s">
        <v>108</v>
      </c>
      <c r="H13" s="43" t="s">
        <v>102</v>
      </c>
      <c r="I13" s="43">
        <f>'MERCADO TE'!$U$10</f>
        <v>1398369.1870000002</v>
      </c>
      <c r="J13" s="15"/>
      <c r="L13" s="40">
        <f>'TE BE'!$L$13*'TE BF'!$L$51</f>
        <v>0</v>
      </c>
      <c r="M13" s="40">
        <f>'TE BE'!$M$13*'TE BF'!$M$51</f>
        <v>32.619747049659523</v>
      </c>
      <c r="N13" s="40">
        <f>'TE BE'!$N$13*'TE BF'!$N$51</f>
        <v>0</v>
      </c>
      <c r="O13" s="40">
        <f>'TE BE'!$O$13*'TE BF'!$O$51</f>
        <v>0.45407991893066968</v>
      </c>
      <c r="P13" s="40">
        <f>'TE BE'!$P$13*'TE BF'!$P$51</f>
        <v>0</v>
      </c>
      <c r="Q13" s="40">
        <f>SUM($L$13:$P$13)</f>
        <v>33.07382696859019</v>
      </c>
      <c r="R13" s="40">
        <f>'TE BE'!$R$13*'TE BF'!$R$51</f>
        <v>11.450426367818066</v>
      </c>
      <c r="S13" s="40">
        <f>SUM($R$13:$R$13)</f>
        <v>11.450426367818066</v>
      </c>
      <c r="T13" s="40">
        <f>'TE BE'!$T$13*'TE BF'!$T$51</f>
        <v>0</v>
      </c>
      <c r="U13" s="40">
        <f>'TE BE'!$U$13*'TE BF'!$U$51</f>
        <v>0</v>
      </c>
      <c r="V13" s="40">
        <f>'TE BE'!$V$13*'TE BF'!$V$51</f>
        <v>0</v>
      </c>
      <c r="W13" s="40">
        <f>SUM($T$13:$V$13)</f>
        <v>0</v>
      </c>
      <c r="X13" s="40">
        <f>'TE BE'!$AB$13*'TE BF'!$X$51</f>
        <v>0</v>
      </c>
      <c r="Y13" s="40">
        <f>SUM($X$13:$X$13)</f>
        <v>0</v>
      </c>
      <c r="Z13" s="40">
        <f>'TE BE'!$Z$13*'TE BF'!$Z$51</f>
        <v>0.29970144666266119</v>
      </c>
      <c r="AA13" s="40">
        <f>SUM($Z$13:$Z$13)</f>
        <v>0.29970144666266119</v>
      </c>
      <c r="AB13" s="40">
        <f>SUMIF($L$4:$AA$4,"SUBTOTAL",$L$13:$AA$13)</f>
        <v>44.823954783070917</v>
      </c>
    </row>
    <row r="14" spans="1:28" ht="11.25" customHeight="1" x14ac:dyDescent="0.25">
      <c r="A14" s="108"/>
      <c r="B14" s="108"/>
      <c r="C14" s="108"/>
      <c r="D14" s="42" t="s">
        <v>29</v>
      </c>
      <c r="E14" s="42" t="s">
        <v>25</v>
      </c>
      <c r="F14" s="42" t="s">
        <v>25</v>
      </c>
      <c r="G14" s="43" t="s">
        <v>108</v>
      </c>
      <c r="H14" s="43" t="s">
        <v>102</v>
      </c>
      <c r="I14" s="43">
        <f>'MERCADO TE'!$U$11</f>
        <v>161060.71900000001</v>
      </c>
      <c r="J14" s="15"/>
      <c r="L14" s="40">
        <f>'TE BE'!$L$14*'TE BF'!$L$51</f>
        <v>0</v>
      </c>
      <c r="M14" s="40">
        <f>'TE BE'!$M$14*'TE BF'!$M$51</f>
        <v>32.619747049659523</v>
      </c>
      <c r="N14" s="40">
        <f>'TE BE'!$N$14*'TE BF'!$N$51</f>
        <v>0</v>
      </c>
      <c r="O14" s="40">
        <f>'TE BE'!$O$14*'TE BF'!$O$51</f>
        <v>0.45407991893066968</v>
      </c>
      <c r="P14" s="40">
        <f>'TE BE'!$P$14*'TE BF'!$P$51</f>
        <v>0</v>
      </c>
      <c r="Q14" s="40">
        <f>SUM($L$14:$P$14)</f>
        <v>33.07382696859019</v>
      </c>
      <c r="R14" s="40">
        <f>'TE BE'!$R$14*'TE BF'!$R$51</f>
        <v>11.450426367818066</v>
      </c>
      <c r="S14" s="40">
        <f>SUM($R$14:$R$14)</f>
        <v>11.450426367818066</v>
      </c>
      <c r="T14" s="40">
        <f>'TE BE'!$T$14*'TE BF'!$T$51</f>
        <v>0</v>
      </c>
      <c r="U14" s="40">
        <f>'TE BE'!$U$14*'TE BF'!$U$51</f>
        <v>0</v>
      </c>
      <c r="V14" s="40">
        <f>'TE BE'!$V$14*'TE BF'!$V$51</f>
        <v>0</v>
      </c>
      <c r="W14" s="40">
        <f>SUM($T$14:$V$14)</f>
        <v>0</v>
      </c>
      <c r="X14" s="40">
        <f>'TE BE'!$AB$14*'TE BF'!$X$51</f>
        <v>0</v>
      </c>
      <c r="Y14" s="40">
        <f>SUM($X$14:$X$14)</f>
        <v>0</v>
      </c>
      <c r="Z14" s="40">
        <f>'TE BE'!$Z$14*'TE BF'!$Z$51</f>
        <v>0.29970144666266119</v>
      </c>
      <c r="AA14" s="40">
        <f>SUM($Z$14:$Z$14)</f>
        <v>0.29970144666266119</v>
      </c>
      <c r="AB14" s="40">
        <f>SUMIF($L$4:$AA$4,"SUBTOTAL",$L$14:$AA$14)</f>
        <v>44.823954783070917</v>
      </c>
    </row>
    <row r="15" spans="1:28" ht="11.25" customHeight="1" x14ac:dyDescent="0.25">
      <c r="A15" s="108"/>
      <c r="B15" s="108"/>
      <c r="C15" s="108"/>
      <c r="D15" s="42" t="s">
        <v>30</v>
      </c>
      <c r="E15" s="42" t="s">
        <v>25</v>
      </c>
      <c r="F15" s="42" t="s">
        <v>25</v>
      </c>
      <c r="G15" s="43" t="s">
        <v>108</v>
      </c>
      <c r="H15" s="43" t="s">
        <v>102</v>
      </c>
      <c r="I15" s="43">
        <f>'MERCADO TE'!$U$12</f>
        <v>267147.82800000004</v>
      </c>
      <c r="J15" s="15"/>
      <c r="L15" s="40">
        <f>'TE BE'!$L$15*'TE BF'!$L$51</f>
        <v>0</v>
      </c>
      <c r="M15" s="40">
        <f>'TE BE'!$M$15*'TE BF'!$M$51</f>
        <v>32.619747049659523</v>
      </c>
      <c r="N15" s="40">
        <f>'TE BE'!$N$15*'TE BF'!$N$51</f>
        <v>0</v>
      </c>
      <c r="O15" s="40">
        <f>'TE BE'!$O$15*'TE BF'!$O$51</f>
        <v>0.45407991893066968</v>
      </c>
      <c r="P15" s="40">
        <f>'TE BE'!$P$15*'TE BF'!$P$51</f>
        <v>0</v>
      </c>
      <c r="Q15" s="40">
        <f>SUM($L$15:$P$15)</f>
        <v>33.07382696859019</v>
      </c>
      <c r="R15" s="40">
        <f>'TE BE'!$R$15*'TE BF'!$R$51</f>
        <v>11.450426367818066</v>
      </c>
      <c r="S15" s="40">
        <f>SUM($R$15:$R$15)</f>
        <v>11.450426367818066</v>
      </c>
      <c r="T15" s="40">
        <f>'TE BE'!$T$15*'TE BF'!$T$51</f>
        <v>0</v>
      </c>
      <c r="U15" s="40">
        <f>'TE BE'!$U$15*'TE BF'!$U$51</f>
        <v>0</v>
      </c>
      <c r="V15" s="40">
        <f>'TE BE'!$V$15*'TE BF'!$V$51</f>
        <v>0</v>
      </c>
      <c r="W15" s="40">
        <f>SUM($T$15:$V$15)</f>
        <v>0</v>
      </c>
      <c r="X15" s="40">
        <f>'TE BE'!$AB$15*'TE BF'!$X$51</f>
        <v>0</v>
      </c>
      <c r="Y15" s="40">
        <f>SUM($X$15:$X$15)</f>
        <v>0</v>
      </c>
      <c r="Z15" s="40">
        <f>'TE BE'!$Z$15*'TE BF'!$Z$51</f>
        <v>0.29970144666266119</v>
      </c>
      <c r="AA15" s="40">
        <f>SUM($Z$15:$Z$15)</f>
        <v>0.29970144666266119</v>
      </c>
      <c r="AB15" s="40">
        <f>SUMIF($L$4:$AA$4,"SUBTOTAL",$L$15:$AA$15)</f>
        <v>44.823954783070917</v>
      </c>
    </row>
    <row r="16" spans="1:28" ht="11.25" customHeight="1" x14ac:dyDescent="0.25">
      <c r="A16" s="108"/>
      <c r="B16" s="108"/>
      <c r="C16" s="108"/>
      <c r="D16" s="42" t="s">
        <v>31</v>
      </c>
      <c r="E16" s="42" t="s">
        <v>25</v>
      </c>
      <c r="F16" s="42" t="s">
        <v>25</v>
      </c>
      <c r="G16" s="43" t="s">
        <v>108</v>
      </c>
      <c r="H16" s="43" t="s">
        <v>102</v>
      </c>
      <c r="I16" s="43">
        <f>'MERCADO TE'!$U$13</f>
        <v>140786.959</v>
      </c>
      <c r="J16" s="15"/>
      <c r="L16" s="40">
        <f>'TE BE'!$L$16*'TE BF'!$L$51</f>
        <v>0</v>
      </c>
      <c r="M16" s="40">
        <f>'TE BE'!$M$16*'TE BF'!$M$51</f>
        <v>32.619747049659523</v>
      </c>
      <c r="N16" s="40">
        <f>'TE BE'!$N$16*'TE BF'!$N$51</f>
        <v>0</v>
      </c>
      <c r="O16" s="40">
        <f>'TE BE'!$O$16*'TE BF'!$O$51</f>
        <v>0.45407991893066968</v>
      </c>
      <c r="P16" s="40">
        <f>'TE BE'!$P$16*'TE BF'!$P$51</f>
        <v>0</v>
      </c>
      <c r="Q16" s="40">
        <f>SUM($L$16:$P$16)</f>
        <v>33.07382696859019</v>
      </c>
      <c r="R16" s="40">
        <f>'TE BE'!$R$16*'TE BF'!$R$51</f>
        <v>11.450426367818066</v>
      </c>
      <c r="S16" s="40">
        <f>SUM($R$16:$R$16)</f>
        <v>11.450426367818066</v>
      </c>
      <c r="T16" s="40">
        <f>'TE BE'!$T$16*'TE BF'!$T$51</f>
        <v>0</v>
      </c>
      <c r="U16" s="40">
        <f>'TE BE'!$U$16*'TE BF'!$U$51</f>
        <v>0</v>
      </c>
      <c r="V16" s="40">
        <f>'TE BE'!$V$16*'TE BF'!$V$51</f>
        <v>0</v>
      </c>
      <c r="W16" s="40">
        <f>SUM($T$16:$V$16)</f>
        <v>0</v>
      </c>
      <c r="X16" s="40">
        <f>'TE BE'!$AB$16*'TE BF'!$X$51</f>
        <v>0</v>
      </c>
      <c r="Y16" s="40">
        <f>SUM($X$16:$X$16)</f>
        <v>0</v>
      </c>
      <c r="Z16" s="40">
        <f>'TE BE'!$Z$16*'TE BF'!$Z$51</f>
        <v>0.29970144666266119</v>
      </c>
      <c r="AA16" s="40">
        <f>SUM($Z$16:$Z$16)</f>
        <v>0.29970144666266119</v>
      </c>
      <c r="AB16" s="40">
        <f>SUMIF($L$4:$AA$4,"SUBTOTAL",$L$16:$AA$16)</f>
        <v>44.823954783070917</v>
      </c>
    </row>
    <row r="17" spans="1:28" ht="11.25" customHeight="1" x14ac:dyDescent="0.25">
      <c r="A17" s="108"/>
      <c r="B17" s="108"/>
      <c r="C17" s="108"/>
      <c r="D17" s="42" t="s">
        <v>32</v>
      </c>
      <c r="E17" s="42" t="s">
        <v>25</v>
      </c>
      <c r="F17" s="42" t="s">
        <v>25</v>
      </c>
      <c r="G17" s="43" t="s">
        <v>108</v>
      </c>
      <c r="H17" s="43" t="s">
        <v>102</v>
      </c>
      <c r="I17" s="43">
        <f>'MERCADO TE'!$U$14</f>
        <v>39430.460000000006</v>
      </c>
      <c r="J17" s="15"/>
      <c r="L17" s="40">
        <f>'TE BE'!$L$17*'TE BF'!$L$51</f>
        <v>0</v>
      </c>
      <c r="M17" s="40">
        <f>'TE BE'!$M$17*'TE BF'!$M$51</f>
        <v>32.619747049659523</v>
      </c>
      <c r="N17" s="40">
        <f>'TE BE'!$N$17*'TE BF'!$N$51</f>
        <v>0</v>
      </c>
      <c r="O17" s="40">
        <f>'TE BE'!$O$17*'TE BF'!$O$51</f>
        <v>0.45407991893066968</v>
      </c>
      <c r="P17" s="40">
        <f>'TE BE'!$P$17*'TE BF'!$P$51</f>
        <v>0</v>
      </c>
      <c r="Q17" s="40">
        <f>SUM($L$17:$P$17)</f>
        <v>33.07382696859019</v>
      </c>
      <c r="R17" s="40">
        <f>'TE BE'!$R$17*'TE BF'!$R$51</f>
        <v>11.450426367818066</v>
      </c>
      <c r="S17" s="40">
        <f>SUM($R$17:$R$17)</f>
        <v>11.450426367818066</v>
      </c>
      <c r="T17" s="40">
        <f>'TE BE'!$T$17*'TE BF'!$T$51</f>
        <v>0</v>
      </c>
      <c r="U17" s="40">
        <f>'TE BE'!$U$17*'TE BF'!$U$51</f>
        <v>0</v>
      </c>
      <c r="V17" s="40">
        <f>'TE BE'!$V$17*'TE BF'!$V$51</f>
        <v>0</v>
      </c>
      <c r="W17" s="40">
        <f>SUM($T$17:$V$17)</f>
        <v>0</v>
      </c>
      <c r="X17" s="40">
        <f>'TE BE'!$AB$17*'TE BF'!$X$51</f>
        <v>0</v>
      </c>
      <c r="Y17" s="40">
        <f>SUM($X$17:$X$17)</f>
        <v>0</v>
      </c>
      <c r="Z17" s="40">
        <f>'TE BE'!$Z$17*'TE BF'!$Z$51</f>
        <v>0.29970144666266119</v>
      </c>
      <c r="AA17" s="40">
        <f>SUM($Z$17:$Z$17)</f>
        <v>0.29970144666266119</v>
      </c>
      <c r="AB17" s="40">
        <f>SUMIF($L$4:$AA$4,"SUBTOTAL",$L$17:$AA$17)</f>
        <v>44.823954783070917</v>
      </c>
    </row>
    <row r="18" spans="1:28" ht="11.25" customHeight="1" x14ac:dyDescent="0.25">
      <c r="A18" s="108"/>
      <c r="B18" s="108" t="s">
        <v>114</v>
      </c>
      <c r="C18" s="108" t="s">
        <v>24</v>
      </c>
      <c r="D18" s="42" t="s">
        <v>24</v>
      </c>
      <c r="E18" s="42" t="s">
        <v>25</v>
      </c>
      <c r="F18" s="42" t="s">
        <v>25</v>
      </c>
      <c r="G18" s="43" t="s">
        <v>108</v>
      </c>
      <c r="H18" s="43" t="s">
        <v>102</v>
      </c>
      <c r="I18" s="43">
        <f>'MERCADO TE'!$U$15</f>
        <v>0</v>
      </c>
      <c r="J18" s="15"/>
      <c r="L18" s="40">
        <f>'TE BE'!$L$18*'TE BF'!$L$51</f>
        <v>0</v>
      </c>
      <c r="M18" s="40">
        <f>'TE BE'!$M$18*'TE BF'!$M$51</f>
        <v>32.619747049659523</v>
      </c>
      <c r="N18" s="40">
        <f>'TE BE'!$N$18*'TE BF'!$N$51</f>
        <v>0</v>
      </c>
      <c r="O18" s="40">
        <f>'TE BE'!$O$18*'TE BF'!$O$51</f>
        <v>0.45407991893066968</v>
      </c>
      <c r="P18" s="40">
        <f>'TE BE'!$P$18*'TE BF'!$P$51</f>
        <v>0</v>
      </c>
      <c r="Q18" s="40">
        <f>SUM($L$18:$P$18)</f>
        <v>33.07382696859019</v>
      </c>
      <c r="R18" s="40">
        <f>'TE BE'!$R$18*'TE BF'!$R$51</f>
        <v>11.450426367818066</v>
      </c>
      <c r="S18" s="40">
        <f>SUM($R$18:$R$18)</f>
        <v>11.450426367818066</v>
      </c>
      <c r="T18" s="40">
        <f>'TE BE'!$T$18*'TE BF'!$T$51</f>
        <v>0</v>
      </c>
      <c r="U18" s="40">
        <f>'TE BE'!$U$18*'TE BF'!$U$51</f>
        <v>0</v>
      </c>
      <c r="V18" s="40">
        <f>'TE BE'!$V$18*'TE BF'!$V$51</f>
        <v>0</v>
      </c>
      <c r="W18" s="40">
        <f>SUM($T$18:$V$18)</f>
        <v>0</v>
      </c>
      <c r="X18" s="40">
        <f>'TE BE'!$AB$18*'TE BF'!$X$51</f>
        <v>0</v>
      </c>
      <c r="Y18" s="40">
        <f>SUM($X$18:$X$18)</f>
        <v>0</v>
      </c>
      <c r="Z18" s="40">
        <f>'TE BE'!$Z$18*'TE BF'!$Z$51</f>
        <v>0.29970144666266119</v>
      </c>
      <c r="AA18" s="40">
        <f>SUM($Z$18:$Z$18)</f>
        <v>0.29970144666266119</v>
      </c>
      <c r="AB18" s="40">
        <f>SUMIF($L$4:$AA$4,"SUBTOTAL",$L$18:$AA$18)</f>
        <v>44.823954783070917</v>
      </c>
    </row>
    <row r="19" spans="1:28" ht="11.25" customHeight="1" x14ac:dyDescent="0.25">
      <c r="A19" s="108"/>
      <c r="B19" s="108"/>
      <c r="C19" s="108"/>
      <c r="D19" s="42" t="s">
        <v>29</v>
      </c>
      <c r="E19" s="42" t="s">
        <v>25</v>
      </c>
      <c r="F19" s="42" t="s">
        <v>25</v>
      </c>
      <c r="G19" s="43" t="s">
        <v>108</v>
      </c>
      <c r="H19" s="43" t="s">
        <v>102</v>
      </c>
      <c r="I19" s="43">
        <f>'MERCADO TE'!$U$16</f>
        <v>0</v>
      </c>
      <c r="J19" s="15"/>
      <c r="L19" s="40">
        <f>'TE BE'!$L$19*'TE BF'!$L$51</f>
        <v>0</v>
      </c>
      <c r="M19" s="40">
        <f>'TE BE'!$M$19*'TE BF'!$M$51</f>
        <v>32.619747049659523</v>
      </c>
      <c r="N19" s="40">
        <f>'TE BE'!$N$19*'TE BF'!$N$51</f>
        <v>0</v>
      </c>
      <c r="O19" s="40">
        <f>'TE BE'!$O$19*'TE BF'!$O$51</f>
        <v>0.45407991893066968</v>
      </c>
      <c r="P19" s="40">
        <f>'TE BE'!$P$19*'TE BF'!$P$51</f>
        <v>0</v>
      </c>
      <c r="Q19" s="40">
        <f>SUM($L$19:$P$19)</f>
        <v>33.07382696859019</v>
      </c>
      <c r="R19" s="40">
        <f>'TE BE'!$R$19*'TE BF'!$R$51</f>
        <v>11.450426367818066</v>
      </c>
      <c r="S19" s="40">
        <f>SUM($R$19:$R$19)</f>
        <v>11.450426367818066</v>
      </c>
      <c r="T19" s="40">
        <f>'TE BE'!$T$19*'TE BF'!$T$51</f>
        <v>0</v>
      </c>
      <c r="U19" s="40">
        <f>'TE BE'!$U$19*'TE BF'!$U$51</f>
        <v>0</v>
      </c>
      <c r="V19" s="40">
        <f>'TE BE'!$V$19*'TE BF'!$V$51</f>
        <v>0</v>
      </c>
      <c r="W19" s="40">
        <f>SUM($T$19:$V$19)</f>
        <v>0</v>
      </c>
      <c r="X19" s="40">
        <f>'TE BE'!$AB$19*'TE BF'!$X$51</f>
        <v>0</v>
      </c>
      <c r="Y19" s="40">
        <f>SUM($X$19:$X$19)</f>
        <v>0</v>
      </c>
      <c r="Z19" s="40">
        <f>'TE BE'!$Z$19*'TE BF'!$Z$51</f>
        <v>0.29970144666266119</v>
      </c>
      <c r="AA19" s="40">
        <f>SUM($Z$19:$Z$19)</f>
        <v>0.29970144666266119</v>
      </c>
      <c r="AB19" s="40">
        <f>SUMIF($L$4:$AA$4,"SUBTOTAL",$L$19:$AA$19)</f>
        <v>44.823954783070917</v>
      </c>
    </row>
    <row r="20" spans="1:28" ht="11.25" customHeight="1" x14ac:dyDescent="0.25">
      <c r="A20" s="108"/>
      <c r="B20" s="108"/>
      <c r="C20" s="108"/>
      <c r="D20" s="42" t="s">
        <v>30</v>
      </c>
      <c r="E20" s="42" t="s">
        <v>25</v>
      </c>
      <c r="F20" s="42" t="s">
        <v>25</v>
      </c>
      <c r="G20" s="43" t="s">
        <v>108</v>
      </c>
      <c r="H20" s="43" t="s">
        <v>102</v>
      </c>
      <c r="I20" s="43">
        <f>'MERCADO TE'!$U$17</f>
        <v>0</v>
      </c>
      <c r="J20" s="15"/>
      <c r="L20" s="40">
        <f>'TE BE'!$L$20*'TE BF'!$L$51</f>
        <v>0</v>
      </c>
      <c r="M20" s="40">
        <f>'TE BE'!$M$20*'TE BF'!$M$51</f>
        <v>32.619747049659523</v>
      </c>
      <c r="N20" s="40">
        <f>'TE BE'!$N$20*'TE BF'!$N$51</f>
        <v>0</v>
      </c>
      <c r="O20" s="40">
        <f>'TE BE'!$O$20*'TE BF'!$O$51</f>
        <v>0.45407991893066968</v>
      </c>
      <c r="P20" s="40">
        <f>'TE BE'!$P$20*'TE BF'!$P$51</f>
        <v>0</v>
      </c>
      <c r="Q20" s="40">
        <f>SUM($L$20:$P$20)</f>
        <v>33.07382696859019</v>
      </c>
      <c r="R20" s="40">
        <f>'TE BE'!$R$20*'TE BF'!$R$51</f>
        <v>11.450426367818066</v>
      </c>
      <c r="S20" s="40">
        <f>SUM($R$20:$R$20)</f>
        <v>11.450426367818066</v>
      </c>
      <c r="T20" s="40">
        <f>'TE BE'!$T$20*'TE BF'!$T$51</f>
        <v>0</v>
      </c>
      <c r="U20" s="40">
        <f>'TE BE'!$U$20*'TE BF'!$U$51</f>
        <v>0</v>
      </c>
      <c r="V20" s="40">
        <f>'TE BE'!$V$20*'TE BF'!$V$51</f>
        <v>0</v>
      </c>
      <c r="W20" s="40">
        <f>SUM($T$20:$V$20)</f>
        <v>0</v>
      </c>
      <c r="X20" s="40">
        <f>'TE BE'!$AB$20*'TE BF'!$X$51</f>
        <v>0</v>
      </c>
      <c r="Y20" s="40">
        <f>SUM($X$20:$X$20)</f>
        <v>0</v>
      </c>
      <c r="Z20" s="40">
        <f>'TE BE'!$Z$20*'TE BF'!$Z$51</f>
        <v>0.29970144666266119</v>
      </c>
      <c r="AA20" s="40">
        <f>SUM($Z$20:$Z$20)</f>
        <v>0.29970144666266119</v>
      </c>
      <c r="AB20" s="40">
        <f>SUMIF($L$4:$AA$4,"SUBTOTAL",$L$20:$AA$20)</f>
        <v>44.823954783070917</v>
      </c>
    </row>
    <row r="21" spans="1:28" ht="11.25" customHeight="1" x14ac:dyDescent="0.25">
      <c r="A21" s="108"/>
      <c r="B21" s="108"/>
      <c r="C21" s="108"/>
      <c r="D21" s="42" t="s">
        <v>31</v>
      </c>
      <c r="E21" s="42" t="s">
        <v>25</v>
      </c>
      <c r="F21" s="42" t="s">
        <v>25</v>
      </c>
      <c r="G21" s="43" t="s">
        <v>108</v>
      </c>
      <c r="H21" s="43" t="s">
        <v>102</v>
      </c>
      <c r="I21" s="43">
        <f>'MERCADO TE'!$U$18</f>
        <v>0</v>
      </c>
      <c r="J21" s="15"/>
      <c r="L21" s="40">
        <f>'TE BE'!$L$21*'TE BF'!$L$51</f>
        <v>0</v>
      </c>
      <c r="M21" s="40">
        <f>'TE BE'!$M$21*'TE BF'!$M$51</f>
        <v>32.619747049659523</v>
      </c>
      <c r="N21" s="40">
        <f>'TE BE'!$N$21*'TE BF'!$N$51</f>
        <v>0</v>
      </c>
      <c r="O21" s="40">
        <f>'TE BE'!$O$21*'TE BF'!$O$51</f>
        <v>0.45407991893066968</v>
      </c>
      <c r="P21" s="40">
        <f>'TE BE'!$P$21*'TE BF'!$P$51</f>
        <v>0</v>
      </c>
      <c r="Q21" s="40">
        <f>SUM($L$21:$P$21)</f>
        <v>33.07382696859019</v>
      </c>
      <c r="R21" s="40">
        <f>'TE BE'!$R$21*'TE BF'!$R$51</f>
        <v>11.450426367818066</v>
      </c>
      <c r="S21" s="40">
        <f>SUM($R$21:$R$21)</f>
        <v>11.450426367818066</v>
      </c>
      <c r="T21" s="40">
        <f>'TE BE'!$T$21*'TE BF'!$T$51</f>
        <v>0</v>
      </c>
      <c r="U21" s="40">
        <f>'TE BE'!$U$21*'TE BF'!$U$51</f>
        <v>0</v>
      </c>
      <c r="V21" s="40">
        <f>'TE BE'!$V$21*'TE BF'!$V$51</f>
        <v>0</v>
      </c>
      <c r="W21" s="40">
        <f>SUM($T$21:$V$21)</f>
        <v>0</v>
      </c>
      <c r="X21" s="40">
        <f>'TE BE'!$AB$21*'TE BF'!$X$51</f>
        <v>0</v>
      </c>
      <c r="Y21" s="40">
        <f>SUM($X$21:$X$21)</f>
        <v>0</v>
      </c>
      <c r="Z21" s="40">
        <f>'TE BE'!$Z$21*'TE BF'!$Z$51</f>
        <v>0.29970144666266119</v>
      </c>
      <c r="AA21" s="40">
        <f>SUM($Z$21:$Z$21)</f>
        <v>0.29970144666266119</v>
      </c>
      <c r="AB21" s="40">
        <f>SUMIF($L$4:$AA$4,"SUBTOTAL",$L$21:$AA$21)</f>
        <v>44.823954783070917</v>
      </c>
    </row>
    <row r="22" spans="1:28" ht="11.25" customHeight="1" x14ac:dyDescent="0.25">
      <c r="A22" s="108"/>
      <c r="B22" s="108"/>
      <c r="C22" s="108"/>
      <c r="D22" s="42" t="s">
        <v>32</v>
      </c>
      <c r="E22" s="42" t="s">
        <v>25</v>
      </c>
      <c r="F22" s="42" t="s">
        <v>25</v>
      </c>
      <c r="G22" s="43" t="s">
        <v>108</v>
      </c>
      <c r="H22" s="43" t="s">
        <v>102</v>
      </c>
      <c r="I22" s="43">
        <f>'MERCADO TE'!$U$19</f>
        <v>0</v>
      </c>
      <c r="J22" s="15"/>
      <c r="L22" s="40">
        <f>'TE BE'!$L$22*'TE BF'!$L$51</f>
        <v>0</v>
      </c>
      <c r="M22" s="40">
        <f>'TE BE'!$M$22*'TE BF'!$M$51</f>
        <v>32.619747049659523</v>
      </c>
      <c r="N22" s="40">
        <f>'TE BE'!$N$22*'TE BF'!$N$51</f>
        <v>0</v>
      </c>
      <c r="O22" s="40">
        <f>'TE BE'!$O$22*'TE BF'!$O$51</f>
        <v>0.45407991893066968</v>
      </c>
      <c r="P22" s="40">
        <f>'TE BE'!$P$22*'TE BF'!$P$51</f>
        <v>0</v>
      </c>
      <c r="Q22" s="40">
        <f>SUM($L$22:$P$22)</f>
        <v>33.07382696859019</v>
      </c>
      <c r="R22" s="40">
        <f>'TE BE'!$R$22*'TE BF'!$R$51</f>
        <v>11.450426367818066</v>
      </c>
      <c r="S22" s="40">
        <f>SUM($R$22:$R$22)</f>
        <v>11.450426367818066</v>
      </c>
      <c r="T22" s="40">
        <f>'TE BE'!$T$22*'TE BF'!$T$51</f>
        <v>0</v>
      </c>
      <c r="U22" s="40">
        <f>'TE BE'!$U$22*'TE BF'!$U$51</f>
        <v>0</v>
      </c>
      <c r="V22" s="40">
        <f>'TE BE'!$V$22*'TE BF'!$V$51</f>
        <v>0</v>
      </c>
      <c r="W22" s="40">
        <f>SUM($T$22:$V$22)</f>
        <v>0</v>
      </c>
      <c r="X22" s="40">
        <f>'TE BE'!$AB$22*'TE BF'!$X$51</f>
        <v>0</v>
      </c>
      <c r="Y22" s="40">
        <f>SUM($X$22:$X$22)</f>
        <v>0</v>
      </c>
      <c r="Z22" s="40">
        <f>'TE BE'!$Z$22*'TE BF'!$Z$51</f>
        <v>0.29970144666266119</v>
      </c>
      <c r="AA22" s="40">
        <f>SUM($Z$22:$Z$22)</f>
        <v>0.29970144666266119</v>
      </c>
      <c r="AB22" s="40">
        <f>SUMIF($L$4:$AA$4,"SUBTOTAL",$L$22:$AA$22)</f>
        <v>44.823954783070917</v>
      </c>
    </row>
    <row r="23" spans="1:28" ht="11.25" customHeight="1" x14ac:dyDescent="0.25">
      <c r="A23" s="108" t="s">
        <v>44</v>
      </c>
      <c r="B23" s="108" t="s">
        <v>101</v>
      </c>
      <c r="C23" s="108" t="s">
        <v>45</v>
      </c>
      <c r="D23" s="108" t="s">
        <v>25</v>
      </c>
      <c r="E23" s="108" t="s">
        <v>25</v>
      </c>
      <c r="F23" s="108" t="s">
        <v>25</v>
      </c>
      <c r="G23" s="43" t="s">
        <v>103</v>
      </c>
      <c r="H23" s="43" t="s">
        <v>102</v>
      </c>
      <c r="I23" s="43">
        <f>'MERCADO TE'!$U$20</f>
        <v>3.9449999999999994</v>
      </c>
      <c r="J23" s="15"/>
      <c r="L23" s="40">
        <f>'TE BE'!$L$23*'TE BF'!$L$51</f>
        <v>0</v>
      </c>
      <c r="M23" s="40">
        <f>'TE BE'!$M$23*'TE BF'!$M$51</f>
        <v>32.619747049659523</v>
      </c>
      <c r="N23" s="40">
        <f>'TE BE'!$N$23*'TE BF'!$N$51</f>
        <v>0</v>
      </c>
      <c r="O23" s="40">
        <f>'TE BE'!$O$23*'TE BF'!$O$51</f>
        <v>0.45407991893066968</v>
      </c>
      <c r="P23" s="40">
        <f>'TE BE'!$P$23*'TE BF'!$P$51</f>
        <v>0</v>
      </c>
      <c r="Q23" s="40">
        <f>SUM($L$23:$P$23)</f>
        <v>33.07382696859019</v>
      </c>
      <c r="R23" s="40">
        <f>'TE BE'!$R$23*'TE BF'!$R$51</f>
        <v>18.579937125138748</v>
      </c>
      <c r="S23" s="40">
        <f>SUM($R$23:$R$23)</f>
        <v>18.579937125138748</v>
      </c>
      <c r="T23" s="40">
        <f>'TE BE'!$T$23*'TE BF'!$T$51</f>
        <v>0</v>
      </c>
      <c r="U23" s="40">
        <f>'TE BE'!$U$23*'TE BF'!$U$51</f>
        <v>0</v>
      </c>
      <c r="V23" s="40">
        <f>'TE BE'!$V$23*'TE BF'!$V$51</f>
        <v>0</v>
      </c>
      <c r="W23" s="40">
        <f>SUM($T$23:$V$23)</f>
        <v>0</v>
      </c>
      <c r="X23" s="40">
        <f>'TE BE'!$AB$23*'TE BF'!$X$51</f>
        <v>0</v>
      </c>
      <c r="Y23" s="40">
        <f>SUM($X$23:$X$23)</f>
        <v>0</v>
      </c>
      <c r="Z23" s="40">
        <f>'TE BE'!$Z$23*'TE BF'!$Z$51</f>
        <v>0.29970144666266119</v>
      </c>
      <c r="AA23" s="40">
        <f>SUM($Z$23:$Z$23)</f>
        <v>0.29970144666266119</v>
      </c>
      <c r="AB23" s="40">
        <f>SUMIF($L$4:$AA$4,"SUBTOTAL",$L$23:$AA$23)</f>
        <v>51.953465540391598</v>
      </c>
    </row>
    <row r="24" spans="1:28" ht="11.25" customHeight="1" x14ac:dyDescent="0.25">
      <c r="A24" s="108"/>
      <c r="B24" s="108"/>
      <c r="C24" s="108"/>
      <c r="D24" s="108"/>
      <c r="E24" s="108"/>
      <c r="F24" s="108"/>
      <c r="G24" s="43" t="s">
        <v>113</v>
      </c>
      <c r="H24" s="43" t="s">
        <v>102</v>
      </c>
      <c r="I24" s="43">
        <f>'MERCADO TE'!$U$21</f>
        <v>4.2359999999999989</v>
      </c>
      <c r="J24" s="15"/>
      <c r="L24" s="40">
        <f>'TE BE'!$L$24*'TE BF'!$L$51</f>
        <v>0</v>
      </c>
      <c r="M24" s="40">
        <f>'TE BE'!$M$24*'TE BF'!$M$51</f>
        <v>32.619747049659523</v>
      </c>
      <c r="N24" s="40">
        <f>'TE BE'!$N$24*'TE BF'!$N$51</f>
        <v>0</v>
      </c>
      <c r="O24" s="40">
        <f>'TE BE'!$O$24*'TE BF'!$O$51</f>
        <v>0.45407991893066968</v>
      </c>
      <c r="P24" s="40">
        <f>'TE BE'!$P$24*'TE BF'!$P$51</f>
        <v>0</v>
      </c>
      <c r="Q24" s="40">
        <f>SUM($L$24:$P$24)</f>
        <v>33.07382696859019</v>
      </c>
      <c r="R24" s="40">
        <f>'TE BE'!$R$24*'TE BF'!$R$51</f>
        <v>10.802289026243459</v>
      </c>
      <c r="S24" s="40">
        <f>SUM($R$24:$R$24)</f>
        <v>10.802289026243459</v>
      </c>
      <c r="T24" s="40">
        <f>'TE BE'!$T$24*'TE BF'!$T$51</f>
        <v>0</v>
      </c>
      <c r="U24" s="40">
        <f>'TE BE'!$U$24*'TE BF'!$U$51</f>
        <v>0</v>
      </c>
      <c r="V24" s="40">
        <f>'TE BE'!$V$24*'TE BF'!$V$51</f>
        <v>0</v>
      </c>
      <c r="W24" s="40">
        <f>SUM($T$24:$V$24)</f>
        <v>0</v>
      </c>
      <c r="X24" s="40">
        <f>'TE BE'!$AB$24*'TE BF'!$X$51</f>
        <v>0</v>
      </c>
      <c r="Y24" s="40">
        <f>SUM($X$24:$X$24)</f>
        <v>0</v>
      </c>
      <c r="Z24" s="40">
        <f>'TE BE'!$Z$24*'TE BF'!$Z$51</f>
        <v>0.29970144666266119</v>
      </c>
      <c r="AA24" s="40">
        <f>SUM($Z$24:$Z$24)</f>
        <v>0.29970144666266119</v>
      </c>
      <c r="AB24" s="40">
        <f>SUMIF($L$4:$AA$4,"SUBTOTAL",$L$24:$AA$24)</f>
        <v>44.175817441496307</v>
      </c>
    </row>
    <row r="25" spans="1:28" ht="11.25" customHeight="1" x14ac:dyDescent="0.25">
      <c r="A25" s="108"/>
      <c r="B25" s="108"/>
      <c r="C25" s="108"/>
      <c r="D25" s="108"/>
      <c r="E25" s="108"/>
      <c r="F25" s="108"/>
      <c r="G25" s="43" t="s">
        <v>104</v>
      </c>
      <c r="H25" s="43" t="s">
        <v>102</v>
      </c>
      <c r="I25" s="43">
        <f>'MERCADO TE'!$U$22</f>
        <v>105.83499999999999</v>
      </c>
      <c r="J25" s="15"/>
      <c r="L25" s="40">
        <f>'TE BE'!$L$25*'TE BF'!$L$51</f>
        <v>0</v>
      </c>
      <c r="M25" s="40">
        <f>'TE BE'!$M$25*'TE BF'!$M$51</f>
        <v>32.619747049659523</v>
      </c>
      <c r="N25" s="40">
        <f>'TE BE'!$N$25*'TE BF'!$N$51</f>
        <v>0</v>
      </c>
      <c r="O25" s="40">
        <f>'TE BE'!$O$25*'TE BF'!$O$51</f>
        <v>0.45407991893066968</v>
      </c>
      <c r="P25" s="40">
        <f>'TE BE'!$P$25*'TE BF'!$P$51</f>
        <v>0</v>
      </c>
      <c r="Q25" s="40">
        <f>SUM($L$25:$P$25)</f>
        <v>33.07382696859019</v>
      </c>
      <c r="R25" s="40">
        <f>'TE BE'!$R$25*'TE BF'!$R$51</f>
        <v>10.802289026243459</v>
      </c>
      <c r="S25" s="40">
        <f>SUM($R$25:$R$25)</f>
        <v>10.802289026243459</v>
      </c>
      <c r="T25" s="40">
        <f>'TE BE'!$T$25*'TE BF'!$T$51</f>
        <v>0</v>
      </c>
      <c r="U25" s="40">
        <f>'TE BE'!$U$25*'TE BF'!$U$51</f>
        <v>0</v>
      </c>
      <c r="V25" s="40">
        <f>'TE BE'!$V$25*'TE BF'!$V$51</f>
        <v>0</v>
      </c>
      <c r="W25" s="40">
        <f>SUM($T$25:$V$25)</f>
        <v>0</v>
      </c>
      <c r="X25" s="40">
        <f>'TE BE'!$AB$25*'TE BF'!$X$51</f>
        <v>0</v>
      </c>
      <c r="Y25" s="40">
        <f>SUM($X$25:$X$25)</f>
        <v>0</v>
      </c>
      <c r="Z25" s="40">
        <f>'TE BE'!$Z$25*'TE BF'!$Z$51</f>
        <v>0.29970144666266119</v>
      </c>
      <c r="AA25" s="40">
        <f>SUM($Z$25:$Z$25)</f>
        <v>0.29970144666266119</v>
      </c>
      <c r="AB25" s="40">
        <f>SUMIF($L$4:$AA$4,"SUBTOTAL",$L$25:$AA$25)</f>
        <v>44.175817441496307</v>
      </c>
    </row>
    <row r="26" spans="1:28" ht="11.25" customHeight="1" x14ac:dyDescent="0.25">
      <c r="A26" s="108"/>
      <c r="B26" s="42" t="s">
        <v>109</v>
      </c>
      <c r="C26" s="42" t="s">
        <v>45</v>
      </c>
      <c r="D26" s="42" t="s">
        <v>25</v>
      </c>
      <c r="E26" s="42" t="s">
        <v>25</v>
      </c>
      <c r="F26" s="42" t="s">
        <v>25</v>
      </c>
      <c r="G26" s="43" t="s">
        <v>108</v>
      </c>
      <c r="H26" s="43" t="s">
        <v>102</v>
      </c>
      <c r="I26" s="43">
        <f>'MERCADO TE'!$U$23</f>
        <v>251732.52099999998</v>
      </c>
      <c r="J26" s="15"/>
      <c r="L26" s="40">
        <f>'TE BE'!$L$26*'TE BF'!$L$51</f>
        <v>0</v>
      </c>
      <c r="M26" s="40">
        <f>'TE BE'!$M$26*'TE BF'!$M$51</f>
        <v>32.619747049659523</v>
      </c>
      <c r="N26" s="40">
        <f>'TE BE'!$N$26*'TE BF'!$N$51</f>
        <v>0</v>
      </c>
      <c r="O26" s="40">
        <f>'TE BE'!$O$26*'TE BF'!$O$51</f>
        <v>0.45407991893066968</v>
      </c>
      <c r="P26" s="40">
        <f>'TE BE'!$P$26*'TE BF'!$P$51</f>
        <v>0</v>
      </c>
      <c r="Q26" s="40">
        <f>SUM($L$26:$P$26)</f>
        <v>33.07382696859019</v>
      </c>
      <c r="R26" s="40">
        <f>'TE BE'!$R$26*'TE BF'!$R$51</f>
        <v>11.450426367818066</v>
      </c>
      <c r="S26" s="40">
        <f>SUM($R$26:$R$26)</f>
        <v>11.450426367818066</v>
      </c>
      <c r="T26" s="40">
        <f>'TE BE'!$T$26*'TE BF'!$T$51</f>
        <v>0</v>
      </c>
      <c r="U26" s="40">
        <f>'TE BE'!$U$26*'TE BF'!$U$51</f>
        <v>0</v>
      </c>
      <c r="V26" s="40">
        <f>'TE BE'!$V$26*'TE BF'!$V$51</f>
        <v>0</v>
      </c>
      <c r="W26" s="40">
        <f>SUM($T$26:$V$26)</f>
        <v>0</v>
      </c>
      <c r="X26" s="40">
        <f>'TE BE'!$AB$26*'TE BF'!$X$51</f>
        <v>0</v>
      </c>
      <c r="Y26" s="40">
        <f>SUM($X$26:$X$26)</f>
        <v>0</v>
      </c>
      <c r="Z26" s="40">
        <f>'TE BE'!$Z$26*'TE BF'!$Z$51</f>
        <v>0.29970144666266119</v>
      </c>
      <c r="AA26" s="40">
        <f>SUM($Z$26:$Z$26)</f>
        <v>0.29970144666266119</v>
      </c>
      <c r="AB26" s="40">
        <f>SUMIF($L$4:$AA$4,"SUBTOTAL",$L$26:$AA$26)</f>
        <v>44.823954783070917</v>
      </c>
    </row>
    <row r="27" spans="1:28" ht="11.25" customHeight="1" x14ac:dyDescent="0.25">
      <c r="A27" s="108"/>
      <c r="B27" s="108" t="s">
        <v>101</v>
      </c>
      <c r="C27" s="108" t="s">
        <v>45</v>
      </c>
      <c r="D27" s="108" t="s">
        <v>116</v>
      </c>
      <c r="E27" s="108" t="s">
        <v>25</v>
      </c>
      <c r="F27" s="108" t="s">
        <v>25</v>
      </c>
      <c r="G27" s="43" t="s">
        <v>103</v>
      </c>
      <c r="H27" s="43" t="s">
        <v>102</v>
      </c>
      <c r="I27" s="43">
        <f>'MERCADO TE'!$U$24</f>
        <v>0</v>
      </c>
      <c r="J27" s="15"/>
      <c r="L27" s="40">
        <f>'TE BE'!$L$27*'TE BF'!$L$51</f>
        <v>0</v>
      </c>
      <c r="M27" s="40">
        <f>'TE BE'!$M$27*'TE BF'!$M$51</f>
        <v>32.619747049659523</v>
      </c>
      <c r="N27" s="40">
        <f>'TE BE'!$N$27*'TE BF'!$N$51</f>
        <v>0</v>
      </c>
      <c r="O27" s="40">
        <f>'TE BE'!$O$27*'TE BF'!$O$51</f>
        <v>0.45407991893066968</v>
      </c>
      <c r="P27" s="40">
        <f>'TE BE'!$P$27*'TE BF'!$P$51</f>
        <v>0</v>
      </c>
      <c r="Q27" s="40">
        <f>SUM($L$27:$P$27)</f>
        <v>33.07382696859019</v>
      </c>
      <c r="R27" s="40">
        <f>'TE BE'!$R$27*'TE BF'!$R$51</f>
        <v>18.579937125138748</v>
      </c>
      <c r="S27" s="40">
        <f>SUM($R$27:$R$27)</f>
        <v>18.579937125138748</v>
      </c>
      <c r="T27" s="40">
        <f>'TE BE'!$T$27*'TE BF'!$T$51</f>
        <v>0</v>
      </c>
      <c r="U27" s="40">
        <f>'TE BE'!$U$27*'TE BF'!$U$51</f>
        <v>0</v>
      </c>
      <c r="V27" s="40">
        <f>'TE BE'!$V$27*'TE BF'!$V$51</f>
        <v>0</v>
      </c>
      <c r="W27" s="40">
        <f>SUM($T$27:$V$27)</f>
        <v>0</v>
      </c>
      <c r="X27" s="40">
        <f>'TE BE'!$AB$27*'TE BF'!$X$51</f>
        <v>0</v>
      </c>
      <c r="Y27" s="40">
        <f>SUM($X$27:$X$27)</f>
        <v>0</v>
      </c>
      <c r="Z27" s="40">
        <f>'TE BE'!$Z$27*'TE BF'!$Z$51</f>
        <v>0.29970144666266119</v>
      </c>
      <c r="AA27" s="40">
        <f>SUM($Z$27:$Z$27)</f>
        <v>0.29970144666266119</v>
      </c>
      <c r="AB27" s="40">
        <f>SUMIF($L$4:$AA$4,"SUBTOTAL",$L$27:$AA$27)</f>
        <v>51.953465540391598</v>
      </c>
    </row>
    <row r="28" spans="1:28" ht="11.25" customHeight="1" x14ac:dyDescent="0.25">
      <c r="A28" s="108"/>
      <c r="B28" s="108"/>
      <c r="C28" s="108"/>
      <c r="D28" s="108"/>
      <c r="E28" s="108"/>
      <c r="F28" s="108"/>
      <c r="G28" s="43" t="s">
        <v>113</v>
      </c>
      <c r="H28" s="43" t="s">
        <v>102</v>
      </c>
      <c r="I28" s="43">
        <f>'MERCADO TE'!$U$25</f>
        <v>0</v>
      </c>
      <c r="J28" s="15"/>
      <c r="L28" s="40">
        <f>'TE BE'!$L$28*'TE BF'!$L$51</f>
        <v>0</v>
      </c>
      <c r="M28" s="40">
        <f>'TE BE'!$M$28*'TE BF'!$M$51</f>
        <v>32.619747049659523</v>
      </c>
      <c r="N28" s="40">
        <f>'TE BE'!$N$28*'TE BF'!$N$51</f>
        <v>0</v>
      </c>
      <c r="O28" s="40">
        <f>'TE BE'!$O$28*'TE BF'!$O$51</f>
        <v>0.45407991893066968</v>
      </c>
      <c r="P28" s="40">
        <f>'TE BE'!$P$28*'TE BF'!$P$51</f>
        <v>0</v>
      </c>
      <c r="Q28" s="40">
        <f>SUM($L$28:$P$28)</f>
        <v>33.07382696859019</v>
      </c>
      <c r="R28" s="40">
        <f>'TE BE'!$R$28*'TE BF'!$R$51</f>
        <v>10.802289026243459</v>
      </c>
      <c r="S28" s="40">
        <f>SUM($R$28:$R$28)</f>
        <v>10.802289026243459</v>
      </c>
      <c r="T28" s="40">
        <f>'TE BE'!$T$28*'TE BF'!$T$51</f>
        <v>0</v>
      </c>
      <c r="U28" s="40">
        <f>'TE BE'!$U$28*'TE BF'!$U$51</f>
        <v>0</v>
      </c>
      <c r="V28" s="40">
        <f>'TE BE'!$V$28*'TE BF'!$V$51</f>
        <v>0</v>
      </c>
      <c r="W28" s="40">
        <f>SUM($T$28:$V$28)</f>
        <v>0</v>
      </c>
      <c r="X28" s="40">
        <f>'TE BE'!$AB$28*'TE BF'!$X$51</f>
        <v>0</v>
      </c>
      <c r="Y28" s="40">
        <f>SUM($X$28:$X$28)</f>
        <v>0</v>
      </c>
      <c r="Z28" s="40">
        <f>'TE BE'!$Z$28*'TE BF'!$Z$51</f>
        <v>0.29970144666266119</v>
      </c>
      <c r="AA28" s="40">
        <f>SUM($Z$28:$Z$28)</f>
        <v>0.29970144666266119</v>
      </c>
      <c r="AB28" s="40">
        <f>SUMIF($L$4:$AA$4,"SUBTOTAL",$L$28:$AA$28)</f>
        <v>44.175817441496307</v>
      </c>
    </row>
    <row r="29" spans="1:28" ht="11.25" customHeight="1" x14ac:dyDescent="0.25">
      <c r="A29" s="108"/>
      <c r="B29" s="108"/>
      <c r="C29" s="108"/>
      <c r="D29" s="108"/>
      <c r="E29" s="108"/>
      <c r="F29" s="108"/>
      <c r="G29" s="43" t="s">
        <v>104</v>
      </c>
      <c r="H29" s="43" t="s">
        <v>102</v>
      </c>
      <c r="I29" s="43">
        <f>'MERCADO TE'!$U$26</f>
        <v>0</v>
      </c>
      <c r="J29" s="15"/>
      <c r="L29" s="40">
        <f>'TE BE'!$L$29*'TE BF'!$L$51</f>
        <v>0</v>
      </c>
      <c r="M29" s="40">
        <f>'TE BE'!$M$29*'TE BF'!$M$51</f>
        <v>32.619747049659523</v>
      </c>
      <c r="N29" s="40">
        <f>'TE BE'!$N$29*'TE BF'!$N$51</f>
        <v>0</v>
      </c>
      <c r="O29" s="40">
        <f>'TE BE'!$O$29*'TE BF'!$O$51</f>
        <v>0.45407991893066968</v>
      </c>
      <c r="P29" s="40">
        <f>'TE BE'!$P$29*'TE BF'!$P$51</f>
        <v>0</v>
      </c>
      <c r="Q29" s="40">
        <f>SUM($L$29:$P$29)</f>
        <v>33.07382696859019</v>
      </c>
      <c r="R29" s="40">
        <f>'TE BE'!$R$29*'TE BF'!$R$51</f>
        <v>10.802289026243459</v>
      </c>
      <c r="S29" s="40">
        <f>SUM($R$29:$R$29)</f>
        <v>10.802289026243459</v>
      </c>
      <c r="T29" s="40">
        <f>'TE BE'!$T$29*'TE BF'!$T$51</f>
        <v>0</v>
      </c>
      <c r="U29" s="40">
        <f>'TE BE'!$U$29*'TE BF'!$U$51</f>
        <v>0</v>
      </c>
      <c r="V29" s="40">
        <f>'TE BE'!$V$29*'TE BF'!$V$51</f>
        <v>0</v>
      </c>
      <c r="W29" s="40">
        <f>SUM($T$29:$V$29)</f>
        <v>0</v>
      </c>
      <c r="X29" s="40">
        <f>'TE BE'!$AB$29*'TE BF'!$X$51</f>
        <v>0</v>
      </c>
      <c r="Y29" s="40">
        <f>SUM($X$29:$X$29)</f>
        <v>0</v>
      </c>
      <c r="Z29" s="40">
        <f>'TE BE'!$Z$29*'TE BF'!$Z$51</f>
        <v>0.29970144666266119</v>
      </c>
      <c r="AA29" s="40">
        <f>SUM($Z$29:$Z$29)</f>
        <v>0.29970144666266119</v>
      </c>
      <c r="AB29" s="40">
        <f>SUMIF($L$4:$AA$4,"SUBTOTAL",$L$29:$AA$29)</f>
        <v>44.175817441496307</v>
      </c>
    </row>
    <row r="30" spans="1:28" ht="11.25" customHeight="1" x14ac:dyDescent="0.25">
      <c r="A30" s="108"/>
      <c r="B30" s="42" t="s">
        <v>109</v>
      </c>
      <c r="C30" s="42" t="s">
        <v>45</v>
      </c>
      <c r="D30" s="42" t="s">
        <v>116</v>
      </c>
      <c r="E30" s="42" t="s">
        <v>25</v>
      </c>
      <c r="F30" s="42" t="s">
        <v>25</v>
      </c>
      <c r="G30" s="43" t="s">
        <v>108</v>
      </c>
      <c r="H30" s="43" t="s">
        <v>102</v>
      </c>
      <c r="I30" s="43">
        <f>'MERCADO TE'!$U$27</f>
        <v>0</v>
      </c>
      <c r="J30" s="15"/>
      <c r="L30" s="40">
        <f>'TE BE'!$L$30*'TE BF'!$L$51</f>
        <v>0</v>
      </c>
      <c r="M30" s="40">
        <f>'TE BE'!$M$30*'TE BF'!$M$51</f>
        <v>32.619747049659523</v>
      </c>
      <c r="N30" s="40">
        <f>'TE BE'!$N$30*'TE BF'!$N$51</f>
        <v>0</v>
      </c>
      <c r="O30" s="40">
        <f>'TE BE'!$O$30*'TE BF'!$O$51</f>
        <v>0.45407991893066968</v>
      </c>
      <c r="P30" s="40">
        <f>'TE BE'!$P$30*'TE BF'!$P$51</f>
        <v>0</v>
      </c>
      <c r="Q30" s="40">
        <f>SUM($L$30:$P$30)</f>
        <v>33.07382696859019</v>
      </c>
      <c r="R30" s="40">
        <f>'TE BE'!$R$30*'TE BF'!$R$51</f>
        <v>11.450426367818066</v>
      </c>
      <c r="S30" s="40">
        <f>SUM($R$30:$R$30)</f>
        <v>11.450426367818066</v>
      </c>
      <c r="T30" s="40">
        <f>'TE BE'!$T$30*'TE BF'!$T$51</f>
        <v>0</v>
      </c>
      <c r="U30" s="40">
        <f>'TE BE'!$U$30*'TE BF'!$U$51</f>
        <v>0</v>
      </c>
      <c r="V30" s="40">
        <f>'TE BE'!$V$30*'TE BF'!$V$51</f>
        <v>0</v>
      </c>
      <c r="W30" s="40">
        <f>SUM($T$30:$V$30)</f>
        <v>0</v>
      </c>
      <c r="X30" s="40">
        <f>'TE BE'!$AB$30*'TE BF'!$X$51</f>
        <v>0</v>
      </c>
      <c r="Y30" s="40">
        <f>SUM($X$30:$X$30)</f>
        <v>0</v>
      </c>
      <c r="Z30" s="40">
        <f>'TE BE'!$Z$30*'TE BF'!$Z$51</f>
        <v>0.29970144666266119</v>
      </c>
      <c r="AA30" s="40">
        <f>SUM($Z$30:$Z$30)</f>
        <v>0.29970144666266119</v>
      </c>
      <c r="AB30" s="40">
        <f>SUMIF($L$4:$AA$4,"SUBTOTAL",$L$30:$AA$30)</f>
        <v>44.823954783070917</v>
      </c>
    </row>
    <row r="31" spans="1:28" ht="11.25" customHeight="1" x14ac:dyDescent="0.25">
      <c r="A31" s="108"/>
      <c r="B31" s="108" t="s">
        <v>101</v>
      </c>
      <c r="C31" s="108" t="s">
        <v>45</v>
      </c>
      <c r="D31" s="108" t="s">
        <v>117</v>
      </c>
      <c r="E31" s="108" t="s">
        <v>25</v>
      </c>
      <c r="F31" s="108" t="s">
        <v>25</v>
      </c>
      <c r="G31" s="43" t="s">
        <v>103</v>
      </c>
      <c r="H31" s="43" t="s">
        <v>102</v>
      </c>
      <c r="I31" s="43">
        <f>'MERCADO TE'!$U$28</f>
        <v>0</v>
      </c>
      <c r="J31" s="15"/>
      <c r="L31" s="40">
        <f>'TE BE'!$L$31*'TE BF'!$L$51</f>
        <v>0</v>
      </c>
      <c r="M31" s="40">
        <f>'TE BE'!$M$31*'TE BF'!$M$51</f>
        <v>32.619747049659523</v>
      </c>
      <c r="N31" s="40">
        <f>'TE BE'!$N$31*'TE BF'!$N$51</f>
        <v>0</v>
      </c>
      <c r="O31" s="40">
        <f>'TE BE'!$O$31*'TE BF'!$O$51</f>
        <v>0.45407991893066968</v>
      </c>
      <c r="P31" s="40">
        <f>'TE BE'!$P$31*'TE BF'!$P$51</f>
        <v>0</v>
      </c>
      <c r="Q31" s="40">
        <f>SUM($L$31:$P$31)</f>
        <v>33.07382696859019</v>
      </c>
      <c r="R31" s="40">
        <f>'TE BE'!$R$31*'TE BF'!$R$51</f>
        <v>18.579937125138748</v>
      </c>
      <c r="S31" s="40">
        <f>SUM($R$31:$R$31)</f>
        <v>18.579937125138748</v>
      </c>
      <c r="T31" s="40">
        <f>'TE BE'!$T$31*'TE BF'!$T$51</f>
        <v>0</v>
      </c>
      <c r="U31" s="40">
        <f>'TE BE'!$U$31*'TE BF'!$U$51</f>
        <v>0</v>
      </c>
      <c r="V31" s="40">
        <f>'TE BE'!$V$31*'TE BF'!$V$51</f>
        <v>0</v>
      </c>
      <c r="W31" s="40">
        <f>SUM($T$31:$V$31)</f>
        <v>0</v>
      </c>
      <c r="X31" s="40">
        <f>'TE BE'!$AB$31*'TE BF'!$X$51</f>
        <v>0</v>
      </c>
      <c r="Y31" s="40">
        <f>SUM($X$31:$X$31)</f>
        <v>0</v>
      </c>
      <c r="Z31" s="40">
        <f>'TE BE'!$Z$31*'TE BF'!$Z$51</f>
        <v>0.29970144666266119</v>
      </c>
      <c r="AA31" s="40">
        <f>SUM($Z$31:$Z$31)</f>
        <v>0.29970144666266119</v>
      </c>
      <c r="AB31" s="40">
        <f>SUMIF($L$4:$AA$4,"SUBTOTAL",$L$31:$AA$31)</f>
        <v>51.953465540391598</v>
      </c>
    </row>
    <row r="32" spans="1:28" ht="11.25" customHeight="1" x14ac:dyDescent="0.25">
      <c r="A32" s="108"/>
      <c r="B32" s="108"/>
      <c r="C32" s="108"/>
      <c r="D32" s="108"/>
      <c r="E32" s="108"/>
      <c r="F32" s="108"/>
      <c r="G32" s="43" t="s">
        <v>113</v>
      </c>
      <c r="H32" s="43" t="s">
        <v>102</v>
      </c>
      <c r="I32" s="43">
        <f>'MERCADO TE'!$U$29</f>
        <v>0</v>
      </c>
      <c r="J32" s="15"/>
      <c r="L32" s="40">
        <f>'TE BE'!$L$32*'TE BF'!$L$51</f>
        <v>0</v>
      </c>
      <c r="M32" s="40">
        <f>'TE BE'!$M$32*'TE BF'!$M$51</f>
        <v>32.619747049659523</v>
      </c>
      <c r="N32" s="40">
        <f>'TE BE'!$N$32*'TE BF'!$N$51</f>
        <v>0</v>
      </c>
      <c r="O32" s="40">
        <f>'TE BE'!$O$32*'TE BF'!$O$51</f>
        <v>0.45407991893066968</v>
      </c>
      <c r="P32" s="40">
        <f>'TE BE'!$P$32*'TE BF'!$P$51</f>
        <v>0</v>
      </c>
      <c r="Q32" s="40">
        <f>SUM($L$32:$P$32)</f>
        <v>33.07382696859019</v>
      </c>
      <c r="R32" s="40">
        <f>'TE BE'!$R$32*'TE BF'!$R$51</f>
        <v>10.802289026243459</v>
      </c>
      <c r="S32" s="40">
        <f>SUM($R$32:$R$32)</f>
        <v>10.802289026243459</v>
      </c>
      <c r="T32" s="40">
        <f>'TE BE'!$T$32*'TE BF'!$T$51</f>
        <v>0</v>
      </c>
      <c r="U32" s="40">
        <f>'TE BE'!$U$32*'TE BF'!$U$51</f>
        <v>0</v>
      </c>
      <c r="V32" s="40">
        <f>'TE BE'!$V$32*'TE BF'!$V$51</f>
        <v>0</v>
      </c>
      <c r="W32" s="40">
        <f>SUM($T$32:$V$32)</f>
        <v>0</v>
      </c>
      <c r="X32" s="40">
        <f>'TE BE'!$AB$32*'TE BF'!$X$51</f>
        <v>0</v>
      </c>
      <c r="Y32" s="40">
        <f>SUM($X$32:$X$32)</f>
        <v>0</v>
      </c>
      <c r="Z32" s="40">
        <f>'TE BE'!$Z$32*'TE BF'!$Z$51</f>
        <v>0.29970144666266119</v>
      </c>
      <c r="AA32" s="40">
        <f>SUM($Z$32:$Z$32)</f>
        <v>0.29970144666266119</v>
      </c>
      <c r="AB32" s="40">
        <f>SUMIF($L$4:$AA$4,"SUBTOTAL",$L$32:$AA$32)</f>
        <v>44.175817441496307</v>
      </c>
    </row>
    <row r="33" spans="1:28" ht="11.25" customHeight="1" x14ac:dyDescent="0.25">
      <c r="A33" s="108"/>
      <c r="B33" s="108"/>
      <c r="C33" s="108"/>
      <c r="D33" s="108"/>
      <c r="E33" s="108"/>
      <c r="F33" s="108"/>
      <c r="G33" s="43" t="s">
        <v>104</v>
      </c>
      <c r="H33" s="43" t="s">
        <v>102</v>
      </c>
      <c r="I33" s="43">
        <f>'MERCADO TE'!$U$30</f>
        <v>0</v>
      </c>
      <c r="J33" s="15"/>
      <c r="L33" s="40">
        <f>'TE BE'!$L$33*'TE BF'!$L$51</f>
        <v>0</v>
      </c>
      <c r="M33" s="40">
        <f>'TE BE'!$M$33*'TE BF'!$M$51</f>
        <v>32.619747049659523</v>
      </c>
      <c r="N33" s="40">
        <f>'TE BE'!$N$33*'TE BF'!$N$51</f>
        <v>0</v>
      </c>
      <c r="O33" s="40">
        <f>'TE BE'!$O$33*'TE BF'!$O$51</f>
        <v>0.45407991893066968</v>
      </c>
      <c r="P33" s="40">
        <f>'TE BE'!$P$33*'TE BF'!$P$51</f>
        <v>0</v>
      </c>
      <c r="Q33" s="40">
        <f>SUM($L$33:$P$33)</f>
        <v>33.07382696859019</v>
      </c>
      <c r="R33" s="40">
        <f>'TE BE'!$R$33*'TE BF'!$R$51</f>
        <v>10.802289026243459</v>
      </c>
      <c r="S33" s="40">
        <f>SUM($R$33:$R$33)</f>
        <v>10.802289026243459</v>
      </c>
      <c r="T33" s="40">
        <f>'TE BE'!$T$33*'TE BF'!$T$51</f>
        <v>0</v>
      </c>
      <c r="U33" s="40">
        <f>'TE BE'!$U$33*'TE BF'!$U$51</f>
        <v>0</v>
      </c>
      <c r="V33" s="40">
        <f>'TE BE'!$V$33*'TE BF'!$V$51</f>
        <v>0</v>
      </c>
      <c r="W33" s="40">
        <f>SUM($T$33:$V$33)</f>
        <v>0</v>
      </c>
      <c r="X33" s="40">
        <f>'TE BE'!$AB$33*'TE BF'!$X$51</f>
        <v>0</v>
      </c>
      <c r="Y33" s="40">
        <f>SUM($X$33:$X$33)</f>
        <v>0</v>
      </c>
      <c r="Z33" s="40">
        <f>'TE BE'!$Z$33*'TE BF'!$Z$51</f>
        <v>0.29970144666266119</v>
      </c>
      <c r="AA33" s="40">
        <f>SUM($Z$33:$Z$33)</f>
        <v>0.29970144666266119</v>
      </c>
      <c r="AB33" s="40">
        <f>SUMIF($L$4:$AA$4,"SUBTOTAL",$L$33:$AA$33)</f>
        <v>44.175817441496307</v>
      </c>
    </row>
    <row r="34" spans="1:28" ht="11.25" customHeight="1" x14ac:dyDescent="0.25">
      <c r="A34" s="108"/>
      <c r="B34" s="42" t="s">
        <v>109</v>
      </c>
      <c r="C34" s="42" t="s">
        <v>45</v>
      </c>
      <c r="D34" s="42" t="s">
        <v>117</v>
      </c>
      <c r="E34" s="42" t="s">
        <v>25</v>
      </c>
      <c r="F34" s="42" t="s">
        <v>25</v>
      </c>
      <c r="G34" s="43" t="s">
        <v>108</v>
      </c>
      <c r="H34" s="43" t="s">
        <v>102</v>
      </c>
      <c r="I34" s="43">
        <f>'MERCADO TE'!$U$31</f>
        <v>0</v>
      </c>
      <c r="J34" s="15"/>
      <c r="L34" s="40">
        <f>'TE BE'!$L$34*'TE BF'!$L$51</f>
        <v>0</v>
      </c>
      <c r="M34" s="40">
        <f>'TE BE'!$M$34*'TE BF'!$M$51</f>
        <v>32.619747049659523</v>
      </c>
      <c r="N34" s="40">
        <f>'TE BE'!$N$34*'TE BF'!$N$51</f>
        <v>0</v>
      </c>
      <c r="O34" s="40">
        <f>'TE BE'!$O$34*'TE BF'!$O$51</f>
        <v>0.45407991893066968</v>
      </c>
      <c r="P34" s="40">
        <f>'TE BE'!$P$34*'TE BF'!$P$51</f>
        <v>0</v>
      </c>
      <c r="Q34" s="40">
        <f>SUM($L$34:$P$34)</f>
        <v>33.07382696859019</v>
      </c>
      <c r="R34" s="40">
        <f>'TE BE'!$R$34*'TE BF'!$R$51</f>
        <v>11.450426367818066</v>
      </c>
      <c r="S34" s="40">
        <f>SUM($R$34:$R$34)</f>
        <v>11.450426367818066</v>
      </c>
      <c r="T34" s="40">
        <f>'TE BE'!$T$34*'TE BF'!$T$51</f>
        <v>0</v>
      </c>
      <c r="U34" s="40">
        <f>'TE BE'!$U$34*'TE BF'!$U$51</f>
        <v>0</v>
      </c>
      <c r="V34" s="40">
        <f>'TE BE'!$V$34*'TE BF'!$V$51</f>
        <v>0</v>
      </c>
      <c r="W34" s="40">
        <f>SUM($T$34:$V$34)</f>
        <v>0</v>
      </c>
      <c r="X34" s="40">
        <f>'TE BE'!$AB$34*'TE BF'!$X$51</f>
        <v>0</v>
      </c>
      <c r="Y34" s="40">
        <f>SUM($X$34:$X$34)</f>
        <v>0</v>
      </c>
      <c r="Z34" s="40">
        <f>'TE BE'!$Z$34*'TE BF'!$Z$51</f>
        <v>0.29970144666266119</v>
      </c>
      <c r="AA34" s="40">
        <f>SUM($Z$34:$Z$34)</f>
        <v>0.29970144666266119</v>
      </c>
      <c r="AB34" s="40">
        <f>SUMIF($L$4:$AA$4,"SUBTOTAL",$L$34:$AA$34)</f>
        <v>44.823954783070917</v>
      </c>
    </row>
    <row r="35" spans="1:28" ht="11.25" customHeight="1" x14ac:dyDescent="0.25">
      <c r="A35" s="108"/>
      <c r="B35" s="108" t="s">
        <v>114</v>
      </c>
      <c r="C35" s="108" t="s">
        <v>45</v>
      </c>
      <c r="D35" s="42" t="s">
        <v>25</v>
      </c>
      <c r="E35" s="42" t="s">
        <v>25</v>
      </c>
      <c r="F35" s="42" t="s">
        <v>25</v>
      </c>
      <c r="G35" s="43" t="s">
        <v>108</v>
      </c>
      <c r="H35" s="43" t="s">
        <v>102</v>
      </c>
      <c r="I35" s="43">
        <f>'MERCADO TE'!$U$32</f>
        <v>0</v>
      </c>
      <c r="J35" s="15"/>
      <c r="L35" s="40">
        <f>'TE BE'!$L$35*'TE BF'!$L$51</f>
        <v>0</v>
      </c>
      <c r="M35" s="40">
        <f>'TE BE'!$M$35*'TE BF'!$M$51</f>
        <v>32.619747049659523</v>
      </c>
      <c r="N35" s="40">
        <f>'TE BE'!$N$35*'TE BF'!$N$51</f>
        <v>0</v>
      </c>
      <c r="O35" s="40">
        <f>'TE BE'!$O$35*'TE BF'!$O$51</f>
        <v>0.45407991893066968</v>
      </c>
      <c r="P35" s="40">
        <f>'TE BE'!$P$35*'TE BF'!$P$51</f>
        <v>0</v>
      </c>
      <c r="Q35" s="40">
        <f>SUM($L$35:$P$35)</f>
        <v>33.07382696859019</v>
      </c>
      <c r="R35" s="40">
        <f>'TE BE'!$R$35*'TE BF'!$R$51</f>
        <v>11.450426367818066</v>
      </c>
      <c r="S35" s="40">
        <f>SUM($R$35:$R$35)</f>
        <v>11.450426367818066</v>
      </c>
      <c r="T35" s="40">
        <f>'TE BE'!$T$35*'TE BF'!$T$51</f>
        <v>0</v>
      </c>
      <c r="U35" s="40">
        <f>'TE BE'!$U$35*'TE BF'!$U$51</f>
        <v>0</v>
      </c>
      <c r="V35" s="40">
        <f>'TE BE'!$V$35*'TE BF'!$V$51</f>
        <v>0</v>
      </c>
      <c r="W35" s="40">
        <f>SUM($T$35:$V$35)</f>
        <v>0</v>
      </c>
      <c r="X35" s="40">
        <f>'TE BE'!$AB$35*'TE BF'!$X$51</f>
        <v>0</v>
      </c>
      <c r="Y35" s="40">
        <f>SUM($X$35:$X$35)</f>
        <v>0</v>
      </c>
      <c r="Z35" s="40">
        <f>'TE BE'!$Z$35*'TE BF'!$Z$51</f>
        <v>0.29970144666266119</v>
      </c>
      <c r="AA35" s="40">
        <f>SUM($Z$35:$Z$35)</f>
        <v>0.29970144666266119</v>
      </c>
      <c r="AB35" s="40">
        <f>SUMIF($L$4:$AA$4,"SUBTOTAL",$L$35:$AA$35)</f>
        <v>44.823954783070917</v>
      </c>
    </row>
    <row r="36" spans="1:28" ht="11.25" customHeight="1" x14ac:dyDescent="0.25">
      <c r="A36" s="108"/>
      <c r="B36" s="108"/>
      <c r="C36" s="108"/>
      <c r="D36" s="42" t="s">
        <v>116</v>
      </c>
      <c r="E36" s="42" t="s">
        <v>25</v>
      </c>
      <c r="F36" s="42" t="s">
        <v>25</v>
      </c>
      <c r="G36" s="43" t="s">
        <v>108</v>
      </c>
      <c r="H36" s="43" t="s">
        <v>102</v>
      </c>
      <c r="I36" s="43">
        <f>'MERCADO TE'!$U$33</f>
        <v>0</v>
      </c>
      <c r="J36" s="15"/>
      <c r="L36" s="40">
        <f>'TE BE'!$L$36*'TE BF'!$L$51</f>
        <v>0</v>
      </c>
      <c r="M36" s="40">
        <f>'TE BE'!$M$36*'TE BF'!$M$51</f>
        <v>32.619747049659523</v>
      </c>
      <c r="N36" s="40">
        <f>'TE BE'!$N$36*'TE BF'!$N$51</f>
        <v>0</v>
      </c>
      <c r="O36" s="40">
        <f>'TE BE'!$O$36*'TE BF'!$O$51</f>
        <v>0.45407991893066968</v>
      </c>
      <c r="P36" s="40">
        <f>'TE BE'!$P$36*'TE BF'!$P$51</f>
        <v>0</v>
      </c>
      <c r="Q36" s="40">
        <f>SUM($L$36:$P$36)</f>
        <v>33.07382696859019</v>
      </c>
      <c r="R36" s="40">
        <f>'TE BE'!$R$36*'TE BF'!$R$51</f>
        <v>11.450426367818066</v>
      </c>
      <c r="S36" s="40">
        <f>SUM($R$36:$R$36)</f>
        <v>11.450426367818066</v>
      </c>
      <c r="T36" s="40">
        <f>'TE BE'!$T$36*'TE BF'!$T$51</f>
        <v>0</v>
      </c>
      <c r="U36" s="40">
        <f>'TE BE'!$U$36*'TE BF'!$U$51</f>
        <v>0</v>
      </c>
      <c r="V36" s="40">
        <f>'TE BE'!$V$36*'TE BF'!$V$51</f>
        <v>0</v>
      </c>
      <c r="W36" s="40">
        <f>SUM($T$36:$V$36)</f>
        <v>0</v>
      </c>
      <c r="X36" s="40">
        <f>'TE BE'!$AB$36*'TE BF'!$X$51</f>
        <v>0</v>
      </c>
      <c r="Y36" s="40">
        <f>SUM($X$36:$X$36)</f>
        <v>0</v>
      </c>
      <c r="Z36" s="40">
        <f>'TE BE'!$Z$36*'TE BF'!$Z$51</f>
        <v>0.29970144666266119</v>
      </c>
      <c r="AA36" s="40">
        <f>SUM($Z$36:$Z$36)</f>
        <v>0.29970144666266119</v>
      </c>
      <c r="AB36" s="40">
        <f>SUMIF($L$4:$AA$4,"SUBTOTAL",$L$36:$AA$36)</f>
        <v>44.823954783070917</v>
      </c>
    </row>
    <row r="37" spans="1:28" ht="11.25" customHeight="1" x14ac:dyDescent="0.25">
      <c r="A37" s="108"/>
      <c r="B37" s="108"/>
      <c r="C37" s="108"/>
      <c r="D37" s="42" t="s">
        <v>117</v>
      </c>
      <c r="E37" s="42" t="s">
        <v>25</v>
      </c>
      <c r="F37" s="42" t="s">
        <v>25</v>
      </c>
      <c r="G37" s="43" t="s">
        <v>108</v>
      </c>
      <c r="H37" s="43" t="s">
        <v>102</v>
      </c>
      <c r="I37" s="43">
        <f>'MERCADO TE'!$U$34</f>
        <v>0</v>
      </c>
      <c r="J37" s="15"/>
      <c r="L37" s="40">
        <f>'TE BE'!$L$37*'TE BF'!$L$51</f>
        <v>0</v>
      </c>
      <c r="M37" s="40">
        <f>'TE BE'!$M$37*'TE BF'!$M$51</f>
        <v>32.619747049659523</v>
      </c>
      <c r="N37" s="40">
        <f>'TE BE'!$N$37*'TE BF'!$N$51</f>
        <v>0</v>
      </c>
      <c r="O37" s="40">
        <f>'TE BE'!$O$37*'TE BF'!$O$51</f>
        <v>0.45407991893066968</v>
      </c>
      <c r="P37" s="40">
        <f>'TE BE'!$P$37*'TE BF'!$P$51</f>
        <v>0</v>
      </c>
      <c r="Q37" s="40">
        <f>SUM($L$37:$P$37)</f>
        <v>33.07382696859019</v>
      </c>
      <c r="R37" s="40">
        <f>'TE BE'!$R$37*'TE BF'!$R$51</f>
        <v>11.450426367818066</v>
      </c>
      <c r="S37" s="40">
        <f>SUM($R$37:$R$37)</f>
        <v>11.450426367818066</v>
      </c>
      <c r="T37" s="40">
        <f>'TE BE'!$T$37*'TE BF'!$T$51</f>
        <v>0</v>
      </c>
      <c r="U37" s="40">
        <f>'TE BE'!$U$37*'TE BF'!$U$51</f>
        <v>0</v>
      </c>
      <c r="V37" s="40">
        <f>'TE BE'!$V$37*'TE BF'!$V$51</f>
        <v>0</v>
      </c>
      <c r="W37" s="40">
        <f>SUM($T$37:$V$37)</f>
        <v>0</v>
      </c>
      <c r="X37" s="40">
        <f>'TE BE'!$AB$37*'TE BF'!$X$51</f>
        <v>0</v>
      </c>
      <c r="Y37" s="40">
        <f>SUM($X$37:$X$37)</f>
        <v>0</v>
      </c>
      <c r="Z37" s="40">
        <f>'TE BE'!$Z$37*'TE BF'!$Z$51</f>
        <v>0.29970144666266119</v>
      </c>
      <c r="AA37" s="40">
        <f>SUM($Z$37:$Z$37)</f>
        <v>0.29970144666266119</v>
      </c>
      <c r="AB37" s="40">
        <f>SUMIF($L$4:$AA$4,"SUBTOTAL",$L$37:$AA$37)</f>
        <v>44.823954783070917</v>
      </c>
    </row>
    <row r="38" spans="1:28" ht="11.25" customHeight="1" x14ac:dyDescent="0.25">
      <c r="A38" s="108" t="s">
        <v>37</v>
      </c>
      <c r="B38" s="108" t="s">
        <v>101</v>
      </c>
      <c r="C38" s="108" t="s">
        <v>25</v>
      </c>
      <c r="D38" s="108" t="s">
        <v>25</v>
      </c>
      <c r="E38" s="108" t="s">
        <v>25</v>
      </c>
      <c r="F38" s="108" t="s">
        <v>25</v>
      </c>
      <c r="G38" s="43" t="s">
        <v>103</v>
      </c>
      <c r="H38" s="43" t="s">
        <v>102</v>
      </c>
      <c r="I38" s="43">
        <f>'MERCADO TE'!$U$35</f>
        <v>54.588999999999999</v>
      </c>
      <c r="J38" s="15"/>
      <c r="L38" s="40">
        <f>'TE BE'!$L$38*'TE BF'!$L$51</f>
        <v>0</v>
      </c>
      <c r="M38" s="40">
        <f>'TE BE'!$M$38*'TE BF'!$M$51</f>
        <v>32.619747049659523</v>
      </c>
      <c r="N38" s="40">
        <f>'TE BE'!$N$38*'TE BF'!$N$51</f>
        <v>0</v>
      </c>
      <c r="O38" s="40">
        <f>'TE BE'!$O$38*'TE BF'!$O$51</f>
        <v>0.45407991893066968</v>
      </c>
      <c r="P38" s="40">
        <f>'TE BE'!$P$38*'TE BF'!$P$51</f>
        <v>0</v>
      </c>
      <c r="Q38" s="40">
        <f>SUM($L$38:$P$38)</f>
        <v>33.07382696859019</v>
      </c>
      <c r="R38" s="40">
        <f>'TE BE'!$R$38*'TE BF'!$R$51</f>
        <v>18.579937125138748</v>
      </c>
      <c r="S38" s="40">
        <f>SUM($R$38:$R$38)</f>
        <v>18.579937125138748</v>
      </c>
      <c r="T38" s="40">
        <f>'TE BE'!$T$38*'TE BF'!$T$51</f>
        <v>0</v>
      </c>
      <c r="U38" s="40">
        <f>'TE BE'!$U$38*'TE BF'!$U$51</f>
        <v>0</v>
      </c>
      <c r="V38" s="40">
        <f>'TE BE'!$V$38*'TE BF'!$V$51</f>
        <v>0</v>
      </c>
      <c r="W38" s="40">
        <f>SUM($T$38:$V$38)</f>
        <v>0</v>
      </c>
      <c r="X38" s="40">
        <f>'TE BE'!$AB$38*'TE BF'!$X$51</f>
        <v>0</v>
      </c>
      <c r="Y38" s="40">
        <f>SUM($X$38:$X$38)</f>
        <v>0</v>
      </c>
      <c r="Z38" s="40">
        <f>'TE BE'!$Z$38*'TE BF'!$Z$51</f>
        <v>0.29970144666266119</v>
      </c>
      <c r="AA38" s="40">
        <f>SUM($Z$38:$Z$38)</f>
        <v>0.29970144666266119</v>
      </c>
      <c r="AB38" s="40">
        <f>SUMIF($L$4:$AA$4,"SUBTOTAL",$L$38:$AA$38)</f>
        <v>51.953465540391598</v>
      </c>
    </row>
    <row r="39" spans="1:28" ht="11.25" customHeight="1" x14ac:dyDescent="0.25">
      <c r="A39" s="108"/>
      <c r="B39" s="108"/>
      <c r="C39" s="108"/>
      <c r="D39" s="108"/>
      <c r="E39" s="108"/>
      <c r="F39" s="108"/>
      <c r="G39" s="43" t="s">
        <v>113</v>
      </c>
      <c r="H39" s="43" t="s">
        <v>102</v>
      </c>
      <c r="I39" s="43">
        <f>'MERCADO TE'!$U$36</f>
        <v>66.038999999999987</v>
      </c>
      <c r="J39" s="15"/>
      <c r="L39" s="40">
        <f>'TE BE'!$L$39*'TE BF'!$L$51</f>
        <v>0</v>
      </c>
      <c r="M39" s="40">
        <f>'TE BE'!$M$39*'TE BF'!$M$51</f>
        <v>32.619747049659523</v>
      </c>
      <c r="N39" s="40">
        <f>'TE BE'!$N$39*'TE BF'!$N$51</f>
        <v>0</v>
      </c>
      <c r="O39" s="40">
        <f>'TE BE'!$O$39*'TE BF'!$O$51</f>
        <v>0.45407991893066968</v>
      </c>
      <c r="P39" s="40">
        <f>'TE BE'!$P$39*'TE BF'!$P$51</f>
        <v>0</v>
      </c>
      <c r="Q39" s="40">
        <f>SUM($L$39:$P$39)</f>
        <v>33.07382696859019</v>
      </c>
      <c r="R39" s="40">
        <f>'TE BE'!$R$39*'TE BF'!$R$51</f>
        <v>10.802289026243459</v>
      </c>
      <c r="S39" s="40">
        <f>SUM($R$39:$R$39)</f>
        <v>10.802289026243459</v>
      </c>
      <c r="T39" s="40">
        <f>'TE BE'!$T$39*'TE BF'!$T$51</f>
        <v>0</v>
      </c>
      <c r="U39" s="40">
        <f>'TE BE'!$U$39*'TE BF'!$U$51</f>
        <v>0</v>
      </c>
      <c r="V39" s="40">
        <f>'TE BE'!$V$39*'TE BF'!$V$51</f>
        <v>0</v>
      </c>
      <c r="W39" s="40">
        <f>SUM($T$39:$V$39)</f>
        <v>0</v>
      </c>
      <c r="X39" s="40">
        <f>'TE BE'!$AB$39*'TE BF'!$X$51</f>
        <v>0</v>
      </c>
      <c r="Y39" s="40">
        <f>SUM($X$39:$X$39)</f>
        <v>0</v>
      </c>
      <c r="Z39" s="40">
        <f>'TE BE'!$Z$39*'TE BF'!$Z$51</f>
        <v>0.29970144666266119</v>
      </c>
      <c r="AA39" s="40">
        <f>SUM($Z$39:$Z$39)</f>
        <v>0.29970144666266119</v>
      </c>
      <c r="AB39" s="40">
        <f>SUMIF($L$4:$AA$4,"SUBTOTAL",$L$39:$AA$39)</f>
        <v>44.175817441496307</v>
      </c>
    </row>
    <row r="40" spans="1:28" ht="11.25" customHeight="1" x14ac:dyDescent="0.25">
      <c r="A40" s="108"/>
      <c r="B40" s="108"/>
      <c r="C40" s="108"/>
      <c r="D40" s="108"/>
      <c r="E40" s="108"/>
      <c r="F40" s="108"/>
      <c r="G40" s="43" t="s">
        <v>104</v>
      </c>
      <c r="H40" s="43" t="s">
        <v>102</v>
      </c>
      <c r="I40" s="43">
        <f>'MERCADO TE'!$U$37</f>
        <v>1004.5179999999999</v>
      </c>
      <c r="J40" s="15"/>
      <c r="L40" s="40">
        <f>'TE BE'!$L$40*'TE BF'!$L$51</f>
        <v>0</v>
      </c>
      <c r="M40" s="40">
        <f>'TE BE'!$M$40*'TE BF'!$M$51</f>
        <v>32.619747049659523</v>
      </c>
      <c r="N40" s="40">
        <f>'TE BE'!$N$40*'TE BF'!$N$51</f>
        <v>0</v>
      </c>
      <c r="O40" s="40">
        <f>'TE BE'!$O$40*'TE BF'!$O$51</f>
        <v>0.45407991893066968</v>
      </c>
      <c r="P40" s="40">
        <f>'TE BE'!$P$40*'TE BF'!$P$51</f>
        <v>0</v>
      </c>
      <c r="Q40" s="40">
        <f>SUM($L$40:$P$40)</f>
        <v>33.07382696859019</v>
      </c>
      <c r="R40" s="40">
        <f>'TE BE'!$R$40*'TE BF'!$R$51</f>
        <v>10.802289026243459</v>
      </c>
      <c r="S40" s="40">
        <f>SUM($R$40:$R$40)</f>
        <v>10.802289026243459</v>
      </c>
      <c r="T40" s="40">
        <f>'TE BE'!$T$40*'TE BF'!$T$51</f>
        <v>0</v>
      </c>
      <c r="U40" s="40">
        <f>'TE BE'!$U$40*'TE BF'!$U$51</f>
        <v>0</v>
      </c>
      <c r="V40" s="40">
        <f>'TE BE'!$V$40*'TE BF'!$V$51</f>
        <v>0</v>
      </c>
      <c r="W40" s="40">
        <f>SUM($T$40:$V$40)</f>
        <v>0</v>
      </c>
      <c r="X40" s="40">
        <f>'TE BE'!$AB$40*'TE BF'!$X$51</f>
        <v>0</v>
      </c>
      <c r="Y40" s="40">
        <f>SUM($X$40:$X$40)</f>
        <v>0</v>
      </c>
      <c r="Z40" s="40">
        <f>'TE BE'!$Z$40*'TE BF'!$Z$51</f>
        <v>0.29970144666266119</v>
      </c>
      <c r="AA40" s="40">
        <f>SUM($Z$40:$Z$40)</f>
        <v>0.29970144666266119</v>
      </c>
      <c r="AB40" s="40">
        <f>SUMIF($L$4:$AA$4,"SUBTOTAL",$L$40:$AA$40)</f>
        <v>44.175817441496307</v>
      </c>
    </row>
    <row r="41" spans="1:28" ht="11.25" customHeight="1" x14ac:dyDescent="0.25">
      <c r="A41" s="108"/>
      <c r="B41" s="42" t="s">
        <v>109</v>
      </c>
      <c r="C41" s="42" t="s">
        <v>25</v>
      </c>
      <c r="D41" s="42" t="s">
        <v>25</v>
      </c>
      <c r="E41" s="42" t="s">
        <v>25</v>
      </c>
      <c r="F41" s="42" t="s">
        <v>25</v>
      </c>
      <c r="G41" s="43" t="s">
        <v>108</v>
      </c>
      <c r="H41" s="43" t="s">
        <v>102</v>
      </c>
      <c r="I41" s="43">
        <f>'MERCADO TE'!$U$38</f>
        <v>650710.04299999995</v>
      </c>
      <c r="J41" s="15"/>
      <c r="L41" s="40">
        <f>'TE BE'!$L$41*'TE BF'!$L$51</f>
        <v>0</v>
      </c>
      <c r="M41" s="40">
        <f>'TE BE'!$M$41*'TE BF'!$M$51</f>
        <v>32.619747049659523</v>
      </c>
      <c r="N41" s="40">
        <f>'TE BE'!$N$41*'TE BF'!$N$51</f>
        <v>0</v>
      </c>
      <c r="O41" s="40">
        <f>'TE BE'!$O$41*'TE BF'!$O$51</f>
        <v>0.45407991893066968</v>
      </c>
      <c r="P41" s="40">
        <f>'TE BE'!$P$41*'TE BF'!$P$51</f>
        <v>0</v>
      </c>
      <c r="Q41" s="40">
        <f>SUM($L$41:$P$41)</f>
        <v>33.07382696859019</v>
      </c>
      <c r="R41" s="40">
        <f>'TE BE'!$R$41*'TE BF'!$R$51</f>
        <v>11.450426367818066</v>
      </c>
      <c r="S41" s="40">
        <f>SUM($R$41:$R$41)</f>
        <v>11.450426367818066</v>
      </c>
      <c r="T41" s="40">
        <f>'TE BE'!$T$41*'TE BF'!$T$51</f>
        <v>0</v>
      </c>
      <c r="U41" s="40">
        <f>'TE BE'!$U$41*'TE BF'!$U$51</f>
        <v>0</v>
      </c>
      <c r="V41" s="40">
        <f>'TE BE'!$V$41*'TE BF'!$V$51</f>
        <v>0</v>
      </c>
      <c r="W41" s="40">
        <f>SUM($T$41:$V$41)</f>
        <v>0</v>
      </c>
      <c r="X41" s="40">
        <f>'TE BE'!$AB$41*'TE BF'!$X$51</f>
        <v>0</v>
      </c>
      <c r="Y41" s="40">
        <f>SUM($X$41:$X$41)</f>
        <v>0</v>
      </c>
      <c r="Z41" s="40">
        <f>'TE BE'!$Z$41*'TE BF'!$Z$51</f>
        <v>0.29970144666266119</v>
      </c>
      <c r="AA41" s="40">
        <f>SUM($Z$41:$Z$41)</f>
        <v>0.29970144666266119</v>
      </c>
      <c r="AB41" s="40">
        <f>SUMIF($L$4:$AA$4,"SUBTOTAL",$L$41:$AA$41)</f>
        <v>44.823954783070917</v>
      </c>
    </row>
    <row r="42" spans="1:28" ht="11.25" customHeight="1" x14ac:dyDescent="0.25">
      <c r="A42" s="108"/>
      <c r="B42" s="42" t="s">
        <v>114</v>
      </c>
      <c r="C42" s="42" t="s">
        <v>25</v>
      </c>
      <c r="D42" s="42" t="s">
        <v>25</v>
      </c>
      <c r="E42" s="42" t="s">
        <v>25</v>
      </c>
      <c r="F42" s="42" t="s">
        <v>25</v>
      </c>
      <c r="G42" s="43" t="s">
        <v>108</v>
      </c>
      <c r="H42" s="43" t="s">
        <v>102</v>
      </c>
      <c r="I42" s="43">
        <f>'MERCADO TE'!$U$39</f>
        <v>0</v>
      </c>
      <c r="J42" s="15"/>
      <c r="L42" s="40">
        <f>'TE BE'!$L$42*'TE BF'!$L$51</f>
        <v>0</v>
      </c>
      <c r="M42" s="40">
        <f>'TE BE'!$M$42*'TE BF'!$M$51</f>
        <v>32.619747049659523</v>
      </c>
      <c r="N42" s="40">
        <f>'TE BE'!$N$42*'TE BF'!$N$51</f>
        <v>0</v>
      </c>
      <c r="O42" s="40">
        <f>'TE BE'!$O$42*'TE BF'!$O$51</f>
        <v>0.45407991893066968</v>
      </c>
      <c r="P42" s="40">
        <f>'TE BE'!$P$42*'TE BF'!$P$51</f>
        <v>0</v>
      </c>
      <c r="Q42" s="40">
        <f>SUM($L$42:$P$42)</f>
        <v>33.07382696859019</v>
      </c>
      <c r="R42" s="40">
        <f>'TE BE'!$R$42*'TE BF'!$R$51</f>
        <v>11.450426367818066</v>
      </c>
      <c r="S42" s="40">
        <f>SUM($R$42:$R$42)</f>
        <v>11.450426367818066</v>
      </c>
      <c r="T42" s="40">
        <f>'TE BE'!$T$42*'TE BF'!$T$51</f>
        <v>0</v>
      </c>
      <c r="U42" s="40">
        <f>'TE BE'!$U$42*'TE BF'!$U$51</f>
        <v>0</v>
      </c>
      <c r="V42" s="40">
        <f>'TE BE'!$V$42*'TE BF'!$V$51</f>
        <v>0</v>
      </c>
      <c r="W42" s="40">
        <f>SUM($T$42:$V$42)</f>
        <v>0</v>
      </c>
      <c r="X42" s="40">
        <f>'TE BE'!$AB$42*'TE BF'!$X$51</f>
        <v>0</v>
      </c>
      <c r="Y42" s="40">
        <f>SUM($X$42:$X$42)</f>
        <v>0</v>
      </c>
      <c r="Z42" s="40">
        <f>'TE BE'!$Z$42*'TE BF'!$Z$51</f>
        <v>0.29970144666266119</v>
      </c>
      <c r="AA42" s="40">
        <f>SUM($Z$42:$Z$42)</f>
        <v>0.29970144666266119</v>
      </c>
      <c r="AB42" s="40">
        <f>SUMIF($L$4:$AA$4,"SUBTOTAL",$L$42:$AA$42)</f>
        <v>44.823954783070917</v>
      </c>
    </row>
    <row r="43" spans="1:28" ht="11.25" customHeight="1" x14ac:dyDescent="0.25">
      <c r="A43" s="108" t="s">
        <v>47</v>
      </c>
      <c r="B43" s="108" t="s">
        <v>109</v>
      </c>
      <c r="C43" s="108" t="s">
        <v>48</v>
      </c>
      <c r="D43" s="42" t="s">
        <v>49</v>
      </c>
      <c r="E43" s="42" t="s">
        <v>25</v>
      </c>
      <c r="F43" s="42" t="s">
        <v>25</v>
      </c>
      <c r="G43" s="43" t="s">
        <v>108</v>
      </c>
      <c r="H43" s="43" t="s">
        <v>102</v>
      </c>
      <c r="I43" s="43">
        <f>'MERCADO TE'!$U$40</f>
        <v>252172.81799999997</v>
      </c>
      <c r="J43" s="15"/>
      <c r="L43" s="40">
        <f>'TE BE'!$L$43*'TE BF'!$L$51</f>
        <v>0</v>
      </c>
      <c r="M43" s="40">
        <f>'TE BE'!$M$43*'TE BF'!$M$51</f>
        <v>17.94086087731274</v>
      </c>
      <c r="N43" s="40">
        <f>'TE BE'!$N$43*'TE BF'!$N$51</f>
        <v>0</v>
      </c>
      <c r="O43" s="40">
        <f>'TE BE'!$O$43*'TE BF'!$O$51</f>
        <v>0.24974395541186831</v>
      </c>
      <c r="P43" s="40">
        <f>'TE BE'!$P$43*'TE BF'!$P$51</f>
        <v>0</v>
      </c>
      <c r="Q43" s="40">
        <f>SUM($L$43:$P$43)</f>
        <v>18.19060483272461</v>
      </c>
      <c r="R43" s="40">
        <f>'TE BE'!$R$43*'TE BF'!$R$51</f>
        <v>6.2977345022999378</v>
      </c>
      <c r="S43" s="40">
        <f>SUM($R$43:$R$43)</f>
        <v>6.2977345022999378</v>
      </c>
      <c r="T43" s="40">
        <f>'TE BE'!$T$43*'TE BF'!$T$51</f>
        <v>0</v>
      </c>
      <c r="U43" s="40">
        <f>'TE BE'!$U$43*'TE BF'!$U$51</f>
        <v>0</v>
      </c>
      <c r="V43" s="40">
        <f>'TE BE'!$V$43*'TE BF'!$V$51</f>
        <v>0</v>
      </c>
      <c r="W43" s="40">
        <f>SUM($T$43:$V$43)</f>
        <v>0</v>
      </c>
      <c r="X43" s="40">
        <f>'TE BE'!$AB$43*'TE BF'!$X$51</f>
        <v>0</v>
      </c>
      <c r="Y43" s="40">
        <f>SUM($X$43:$X$43)</f>
        <v>0</v>
      </c>
      <c r="Z43" s="40">
        <f>'TE BE'!$Z$43*'TE BF'!$Z$51</f>
        <v>0.16483579566446366</v>
      </c>
      <c r="AA43" s="40">
        <f>SUM($Z$43:$Z$43)</f>
        <v>0.16483579566446366</v>
      </c>
      <c r="AB43" s="40">
        <f>SUMIF($L$4:$AA$4,"SUBTOTAL",$L$43:$AA$43)</f>
        <v>24.653175130689011</v>
      </c>
    </row>
    <row r="44" spans="1:28" ht="11.25" customHeight="1" x14ac:dyDescent="0.25">
      <c r="A44" s="108"/>
      <c r="B44" s="108"/>
      <c r="C44" s="108"/>
      <c r="D44" s="43" t="s">
        <v>118</v>
      </c>
      <c r="E44" s="43" t="s">
        <v>25</v>
      </c>
      <c r="F44" s="43" t="s">
        <v>25</v>
      </c>
      <c r="G44" s="43" t="s">
        <v>108</v>
      </c>
      <c r="H44" s="43" t="s">
        <v>102</v>
      </c>
      <c r="I44" s="43">
        <f>'MERCADO TE'!$U$41</f>
        <v>0</v>
      </c>
      <c r="J44" s="15"/>
      <c r="L44" s="40">
        <f>'TE BE'!$L$44*'TE BF'!$L$51</f>
        <v>0</v>
      </c>
      <c r="M44" s="40">
        <f>'TE BE'!$M$44*'TE BF'!$M$51</f>
        <v>19.571848229795712</v>
      </c>
      <c r="N44" s="40">
        <f>'TE BE'!$N$44*'TE BF'!$N$51</f>
        <v>0</v>
      </c>
      <c r="O44" s="40">
        <f>'TE BE'!$O$44*'TE BF'!$O$51</f>
        <v>0.27244795135840177</v>
      </c>
      <c r="P44" s="40">
        <f>'TE BE'!$P$44*'TE BF'!$P$51</f>
        <v>0</v>
      </c>
      <c r="Q44" s="40">
        <f>SUM($L$44:$P$44)</f>
        <v>19.844296181154114</v>
      </c>
      <c r="R44" s="40">
        <f>'TE BE'!$R$44*'TE BF'!$R$51</f>
        <v>6.87025582069084</v>
      </c>
      <c r="S44" s="40">
        <f>SUM($R$44:$R$44)</f>
        <v>6.87025582069084</v>
      </c>
      <c r="T44" s="40">
        <f>'TE BE'!$T$44*'TE BF'!$T$51</f>
        <v>0</v>
      </c>
      <c r="U44" s="40">
        <f>'TE BE'!$U$44*'TE BF'!$U$51</f>
        <v>0</v>
      </c>
      <c r="V44" s="40">
        <f>'TE BE'!$V$44*'TE BF'!$V$51</f>
        <v>0</v>
      </c>
      <c r="W44" s="40">
        <f>SUM($T$44:$V$44)</f>
        <v>0</v>
      </c>
      <c r="X44" s="40">
        <f>'TE BE'!$AB$44*'TE BF'!$X$51</f>
        <v>0</v>
      </c>
      <c r="Y44" s="40">
        <f>SUM($X$44:$X$44)</f>
        <v>0</v>
      </c>
      <c r="Z44" s="40">
        <f>'TE BE'!$Z$44*'TE BF'!$Z$51</f>
        <v>0.1798208679975967</v>
      </c>
      <c r="AA44" s="40">
        <f>SUM($Z$44:$Z$44)</f>
        <v>0.1798208679975967</v>
      </c>
      <c r="AB44" s="40">
        <f>SUMIF($L$4:$AA$4,"SUBTOTAL",$L$44:$AA$44)</f>
        <v>26.894372869842549</v>
      </c>
    </row>
    <row r="46" spans="1:28" ht="11.25" customHeight="1" x14ac:dyDescent="0.25">
      <c r="K46" s="45" t="s">
        <v>940</v>
      </c>
      <c r="L46" s="40">
        <f t="shared" ref="L46:AB46" si="0">SUMPRODUCT($I$5:$I$44,L$5:L$44)</f>
        <v>0</v>
      </c>
      <c r="M46" s="40">
        <f t="shared" si="0"/>
        <v>121825550.48913465</v>
      </c>
      <c r="N46" s="40">
        <f t="shared" si="0"/>
        <v>0</v>
      </c>
      <c r="O46" s="40">
        <f t="shared" si="0"/>
        <v>1695860.3635268798</v>
      </c>
      <c r="P46" s="40">
        <f t="shared" si="0"/>
        <v>0</v>
      </c>
      <c r="Q46" s="40">
        <f t="shared" si="0"/>
        <v>123521410.85266154</v>
      </c>
      <c r="R46" s="40">
        <f t="shared" si="0"/>
        <v>42686759.393924795</v>
      </c>
      <c r="S46" s="40">
        <f t="shared" si="0"/>
        <v>42686759.393924795</v>
      </c>
      <c r="T46" s="40">
        <f t="shared" si="0"/>
        <v>0</v>
      </c>
      <c r="U46" s="40">
        <f t="shared" si="0"/>
        <v>0</v>
      </c>
      <c r="V46" s="40">
        <f t="shared" si="0"/>
        <v>0</v>
      </c>
      <c r="W46" s="40">
        <f t="shared" si="0"/>
        <v>0</v>
      </c>
      <c r="X46" s="40">
        <f t="shared" si="0"/>
        <v>0</v>
      </c>
      <c r="Y46" s="40">
        <f t="shared" si="0"/>
        <v>0</v>
      </c>
      <c r="Z46" s="40">
        <f t="shared" si="0"/>
        <v>1119300.3326017456</v>
      </c>
      <c r="AA46" s="40">
        <f t="shared" si="0"/>
        <v>1119300.3326017456</v>
      </c>
      <c r="AB46" s="40">
        <f t="shared" si="0"/>
        <v>167327470.57918802</v>
      </c>
    </row>
    <row r="47" spans="1:28" ht="11.25" customHeight="1" x14ac:dyDescent="0.25">
      <c r="K47" s="45" t="s">
        <v>876</v>
      </c>
      <c r="L47" s="40">
        <f>CUSTOS!$D$30</f>
        <v>9446001.0146527458</v>
      </c>
      <c r="M47" s="40">
        <f>CUSTOS!$D$31</f>
        <v>96302168.731836006</v>
      </c>
      <c r="N47" s="40">
        <f>CUSTOS!$D$32</f>
        <v>0</v>
      </c>
      <c r="O47" s="40">
        <f>CUSTOS!$D$33</f>
        <v>20383291.778120119</v>
      </c>
      <c r="P47" s="40">
        <f>CUSTOS!$D$34</f>
        <v>-63840623.460000001</v>
      </c>
      <c r="Q47" s="40">
        <f>CUSTOS!$D$35</f>
        <v>62290838.064608864</v>
      </c>
      <c r="R47" s="40">
        <f>CUSTOS!$D$36</f>
        <v>835187144.65170205</v>
      </c>
      <c r="S47" s="40">
        <f>CUSTOS!$D$37</f>
        <v>835187144.65170205</v>
      </c>
      <c r="T47" s="40">
        <f>CUSTOS!$D$38</f>
        <v>0</v>
      </c>
      <c r="U47" s="40">
        <f>CUSTOS!$D$39</f>
        <v>0</v>
      </c>
      <c r="V47" s="40">
        <f>CUSTOS!$D$40</f>
        <v>9.9999999999999995E-7</v>
      </c>
      <c r="W47" s="40">
        <f>CUSTOS!$D$41</f>
        <v>9.9999999999999995E-7</v>
      </c>
      <c r="X47" s="40">
        <f>CUSTOS!$D$42</f>
        <v>0</v>
      </c>
      <c r="Y47" s="40">
        <f>CUSTOS!$D$43</f>
        <v>0</v>
      </c>
      <c r="Z47" s="40">
        <f>CUSTOS!$D$44</f>
        <v>21899653.711506557</v>
      </c>
      <c r="AA47" s="40">
        <f>CUSTOS!$D$45</f>
        <v>21899653.711506557</v>
      </c>
      <c r="AB47" s="40">
        <f>CUSTOS!$D$46</f>
        <v>919377636.42781842</v>
      </c>
    </row>
    <row r="48" spans="1:28" ht="11.25" customHeight="1" x14ac:dyDescent="0.25">
      <c r="K48" s="45" t="s">
        <v>877</v>
      </c>
      <c r="L48" s="40">
        <f>CUSTOS!$E$30</f>
        <v>0</v>
      </c>
      <c r="M48" s="40">
        <f>CUSTOS!$E$31</f>
        <v>1147789.8681564496</v>
      </c>
      <c r="N48" s="40">
        <f>CUSTOS!$E$32</f>
        <v>0</v>
      </c>
      <c r="O48" s="40">
        <f>CUSTOS!$E$33</f>
        <v>-796619.13051892526</v>
      </c>
      <c r="P48" s="40">
        <f>CUSTOS!$E$34</f>
        <v>0</v>
      </c>
      <c r="Q48" s="40">
        <f>CUSTOS!$E$35</f>
        <v>351170.73763752438</v>
      </c>
      <c r="R48" s="40">
        <f>CUSTOS!$E$36</f>
        <v>-97281885.840435177</v>
      </c>
      <c r="S48" s="40">
        <f>CUSTOS!$E$37</f>
        <v>-97281885.840435177</v>
      </c>
      <c r="T48" s="40">
        <f>CUSTOS!$E$38</f>
        <v>0</v>
      </c>
      <c r="U48" s="40">
        <f>CUSTOS!$E$39</f>
        <v>0</v>
      </c>
      <c r="V48" s="40">
        <f>CUSTOS!$E$40</f>
        <v>0</v>
      </c>
      <c r="W48" s="40">
        <f>CUSTOS!$E$41</f>
        <v>0</v>
      </c>
      <c r="X48" s="40">
        <f>CUSTOS!$E$42</f>
        <v>-82941795.73641327</v>
      </c>
      <c r="Y48" s="40">
        <f>CUSTOS!$E$43</f>
        <v>-82941795.73641327</v>
      </c>
      <c r="Z48" s="40">
        <f>CUSTOS!$E$44</f>
        <v>-2550852.9746303749</v>
      </c>
      <c r="AA48" s="40">
        <f>CUSTOS!$E$45</f>
        <v>-2550852.9746303749</v>
      </c>
      <c r="AB48" s="40">
        <f>CUSTOS!$E$46</f>
        <v>-182423363.81384131</v>
      </c>
    </row>
    <row r="49" spans="11:28" ht="11.25" customHeight="1" x14ac:dyDescent="0.25">
      <c r="K49" s="45" t="s">
        <v>878</v>
      </c>
      <c r="L49" s="40">
        <f>CUSTOS!$F$30</f>
        <v>0</v>
      </c>
      <c r="M49" s="40">
        <f>CUSTOS!$F$31</f>
        <v>121825550.48913465</v>
      </c>
      <c r="N49" s="40">
        <f>CUSTOS!$F$32</f>
        <v>0</v>
      </c>
      <c r="O49" s="40">
        <f>CUSTOS!$F$33</f>
        <v>1695860.3635268798</v>
      </c>
      <c r="P49" s="40">
        <f>CUSTOS!$F$34</f>
        <v>0</v>
      </c>
      <c r="Q49" s="40">
        <f>CUSTOS!$F$35</f>
        <v>123521410.85266154</v>
      </c>
      <c r="R49" s="40">
        <f>CUSTOS!$F$36</f>
        <v>42686759.393924795</v>
      </c>
      <c r="S49" s="40">
        <f>CUSTOS!$F$37</f>
        <v>42686759.393924795</v>
      </c>
      <c r="T49" s="40">
        <f>CUSTOS!$F$38</f>
        <v>0</v>
      </c>
      <c r="U49" s="40">
        <f>CUSTOS!$F$39</f>
        <v>0</v>
      </c>
      <c r="V49" s="40">
        <f>CUSTOS!$F$40</f>
        <v>0</v>
      </c>
      <c r="W49" s="40">
        <f>CUSTOS!$F$41</f>
        <v>0</v>
      </c>
      <c r="X49" s="40">
        <f>CUSTOS!$F$42</f>
        <v>0</v>
      </c>
      <c r="Y49" s="40">
        <f>CUSTOS!$F$43</f>
        <v>0</v>
      </c>
      <c r="Z49" s="40">
        <f>CUSTOS!$F$44</f>
        <v>1119300.3326017458</v>
      </c>
      <c r="AA49" s="40">
        <f>CUSTOS!$F$45</f>
        <v>1119300.3326017458</v>
      </c>
      <c r="AB49" s="40">
        <f>CUSTOS!$F$46</f>
        <v>167327470.57918808</v>
      </c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  <row r="51" spans="11:28" ht="11.25" customHeight="1" x14ac:dyDescent="0.25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  <row r="52" spans="11:28" ht="11.25" customHeight="1" x14ac:dyDescent="0.25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</sheetData>
  <mergeCells count="67"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A7:A9"/>
    <mergeCell ref="B7:B8"/>
    <mergeCell ref="C7:C8"/>
    <mergeCell ref="D7:D8"/>
    <mergeCell ref="E7:E8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E38:E40"/>
    <mergeCell ref="F38:F40"/>
    <mergeCell ref="A43:A44"/>
    <mergeCell ref="B43:B44"/>
    <mergeCell ref="C43:C44"/>
    <mergeCell ref="D38:D40"/>
  </mergeCells>
  <conditionalFormatting sqref="L46">
    <cfRule type="cellIs" dxfId="1400" priority="33" operator="notEqual">
      <formula>$L$49</formula>
    </cfRule>
    <cfRule type="cellIs" dxfId="1399" priority="34" operator="equal">
      <formula>$L$49</formula>
    </cfRule>
  </conditionalFormatting>
  <conditionalFormatting sqref="M46">
    <cfRule type="cellIs" dxfId="1398" priority="31" operator="notEqual">
      <formula>$M$49</formula>
    </cfRule>
    <cfRule type="cellIs" dxfId="1397" priority="32" operator="equal">
      <formula>$M$49</formula>
    </cfRule>
  </conditionalFormatting>
  <conditionalFormatting sqref="N46">
    <cfRule type="cellIs" dxfId="1396" priority="29" operator="notEqual">
      <formula>$N$49</formula>
    </cfRule>
    <cfRule type="cellIs" dxfId="1395" priority="30" operator="equal">
      <formula>$N$49</formula>
    </cfRule>
  </conditionalFormatting>
  <conditionalFormatting sqref="O46">
    <cfRule type="cellIs" dxfId="1394" priority="27" operator="notEqual">
      <formula>$O$49</formula>
    </cfRule>
    <cfRule type="cellIs" dxfId="1393" priority="28" operator="equal">
      <formula>$O$49</formula>
    </cfRule>
  </conditionalFormatting>
  <conditionalFormatting sqref="P46">
    <cfRule type="cellIs" dxfId="1392" priority="25" operator="notEqual">
      <formula>$P$49</formula>
    </cfRule>
    <cfRule type="cellIs" dxfId="1391" priority="26" operator="equal">
      <formula>$P$49</formula>
    </cfRule>
  </conditionalFormatting>
  <conditionalFormatting sqref="Q46">
    <cfRule type="cellIs" dxfId="1390" priority="23" operator="notEqual">
      <formula>$Q$49</formula>
    </cfRule>
    <cfRule type="cellIs" dxfId="1389" priority="24" operator="equal">
      <formula>$Q$49</formula>
    </cfRule>
  </conditionalFormatting>
  <conditionalFormatting sqref="R46">
    <cfRule type="cellIs" dxfId="1388" priority="21" operator="notEqual">
      <formula>$R$49</formula>
    </cfRule>
    <cfRule type="cellIs" dxfId="1387" priority="22" operator="equal">
      <formula>$R$49</formula>
    </cfRule>
  </conditionalFormatting>
  <conditionalFormatting sqref="S46">
    <cfRule type="cellIs" dxfId="1386" priority="19" operator="notEqual">
      <formula>$S$49</formula>
    </cfRule>
    <cfRule type="cellIs" dxfId="1385" priority="20" operator="equal">
      <formula>$S$49</formula>
    </cfRule>
  </conditionalFormatting>
  <conditionalFormatting sqref="T46">
    <cfRule type="cellIs" dxfId="1384" priority="17" operator="notEqual">
      <formula>$T$49</formula>
    </cfRule>
    <cfRule type="cellIs" dxfId="1383" priority="18" operator="equal">
      <formula>$T$49</formula>
    </cfRule>
  </conditionalFormatting>
  <conditionalFormatting sqref="U46">
    <cfRule type="cellIs" dxfId="1382" priority="15" operator="notEqual">
      <formula>$U$49</formula>
    </cfRule>
    <cfRule type="cellIs" dxfId="1381" priority="16" operator="equal">
      <formula>$U$49</formula>
    </cfRule>
  </conditionalFormatting>
  <conditionalFormatting sqref="V46">
    <cfRule type="cellIs" dxfId="1380" priority="13" operator="notEqual">
      <formula>$V$49</formula>
    </cfRule>
    <cfRule type="cellIs" dxfId="1379" priority="14" operator="equal">
      <formula>$V$49</formula>
    </cfRule>
  </conditionalFormatting>
  <conditionalFormatting sqref="W46">
    <cfRule type="cellIs" dxfId="1378" priority="11" operator="notEqual">
      <formula>$W$49</formula>
    </cfRule>
    <cfRule type="cellIs" dxfId="1377" priority="12" operator="equal">
      <formula>$W$49</formula>
    </cfRule>
  </conditionalFormatting>
  <conditionalFormatting sqref="X46">
    <cfRule type="cellIs" dxfId="1376" priority="9" operator="notEqual">
      <formula>$X$49</formula>
    </cfRule>
    <cfRule type="cellIs" dxfId="1375" priority="10" operator="equal">
      <formula>$X$49</formula>
    </cfRule>
  </conditionalFormatting>
  <conditionalFormatting sqref="Y46">
    <cfRule type="cellIs" dxfId="1374" priority="7" operator="notEqual">
      <formula>$Y$49</formula>
    </cfRule>
    <cfRule type="cellIs" dxfId="1373" priority="8" operator="equal">
      <formula>$Y$49</formula>
    </cfRule>
  </conditionalFormatting>
  <conditionalFormatting sqref="Z46">
    <cfRule type="cellIs" dxfId="1372" priority="5" operator="notEqual">
      <formula>$Z$49</formula>
    </cfRule>
    <cfRule type="cellIs" dxfId="1371" priority="6" operator="equal">
      <formula>$Z$49</formula>
    </cfRule>
  </conditionalFormatting>
  <conditionalFormatting sqref="AA46">
    <cfRule type="cellIs" dxfId="1370" priority="3" operator="notEqual">
      <formula>$AA$49</formula>
    </cfRule>
    <cfRule type="cellIs" dxfId="1369" priority="4" operator="equal">
      <formula>$AA$49</formula>
    </cfRule>
  </conditionalFormatting>
  <conditionalFormatting sqref="AB46">
    <cfRule type="cellIs" dxfId="1368" priority="1" operator="notEqual">
      <formula>$AB$49</formula>
    </cfRule>
    <cfRule type="cellIs" dxfId="1367" priority="2" operator="equal">
      <formula>$AB$49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129B6-8DAA-4A05-BA55-616FA2623981}">
  <dimension ref="A1:AV2216"/>
  <sheetViews>
    <sheetView showGridLines="0" topLeftCell="AG1" workbookViewId="0">
      <selection activeCell="AV22" sqref="AV22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8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6" width="13.140625" style="4" bestFit="1" customWidth="1"/>
    <col min="47" max="47" width="13.570312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957</v>
      </c>
      <c r="W1" s="1" t="s">
        <v>958</v>
      </c>
      <c r="X1" s="1" t="s">
        <v>959</v>
      </c>
      <c r="Y1" s="1" t="s">
        <v>960</v>
      </c>
      <c r="Z1" s="1" t="s">
        <v>961</v>
      </c>
      <c r="AA1" s="1" t="s">
        <v>962</v>
      </c>
      <c r="AB1" s="1" t="s">
        <v>967</v>
      </c>
      <c r="AC1" s="1" t="s">
        <v>968</v>
      </c>
      <c r="AD1" s="1" t="s">
        <v>969</v>
      </c>
      <c r="AE1" s="1" t="s">
        <v>970</v>
      </c>
      <c r="AF1" s="1" t="s">
        <v>971</v>
      </c>
      <c r="AG1" s="1" t="s">
        <v>972</v>
      </c>
      <c r="AI1" s="54" t="s">
        <v>92</v>
      </c>
      <c r="AJ1" s="54" t="s">
        <v>973</v>
      </c>
      <c r="AK1" s="54" t="s">
        <v>974</v>
      </c>
      <c r="AL1" s="54" t="s">
        <v>975</v>
      </c>
      <c r="AN1" s="54" t="s">
        <v>92</v>
      </c>
      <c r="AO1" s="54" t="s">
        <v>976</v>
      </c>
      <c r="AP1" s="54" t="s">
        <v>977</v>
      </c>
      <c r="AQ1" s="54" t="s">
        <v>975</v>
      </c>
      <c r="AS1" s="54" t="s">
        <v>92</v>
      </c>
      <c r="AT1" s="54" t="s">
        <v>978</v>
      </c>
      <c r="AU1" s="54" t="s">
        <v>979</v>
      </c>
      <c r="AV1" s="54" t="s">
        <v>975</v>
      </c>
    </row>
    <row r="2" spans="1:48" ht="11.25" customHeight="1" x14ac:dyDescent="0.25">
      <c r="A2" s="4" t="s">
        <v>21</v>
      </c>
      <c r="B2" s="4" t="s">
        <v>39</v>
      </c>
      <c r="C2" s="4" t="s">
        <v>40</v>
      </c>
      <c r="D2" s="4" t="s">
        <v>43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44409</v>
      </c>
      <c r="J2" s="6">
        <v>7800</v>
      </c>
      <c r="K2" s="6">
        <v>7800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58</v>
      </c>
      <c r="R2" s="4">
        <v>0</v>
      </c>
      <c r="S2" s="6">
        <v>3</v>
      </c>
      <c r="T2" s="6">
        <v>0</v>
      </c>
      <c r="U2" s="6">
        <v>0</v>
      </c>
      <c r="V2" s="6">
        <f>IF(ISERROR(VLOOKUP($S$2,'TAR FIN'!$A$1:$O$104,15,0)),0,VLOOKUP($S$2,'TAR FIN'!$A$1:$O$104,15,0))</f>
        <v>11.17</v>
      </c>
      <c r="W2" s="6">
        <f>IF(ISERROR(VLOOKUP($T$2,'TAR FIN'!$A$1:$O$104,15,0)),0,VLOOKUP($T$2,'TAR FIN'!$A$1:$O$104,15,0))</f>
        <v>0</v>
      </c>
      <c r="X2" s="6">
        <f>IF(ISERROR(VLOOKUP($U$2,'TAR FIN'!$A$1:$O$104,15,0)),0,VLOOKUP($U$2,'TAR FIN'!$A$1:$O$104,15,0))</f>
        <v>0</v>
      </c>
      <c r="Y2" s="6">
        <f ca="1">('TUSD BE'!$AM$6+'TUSD BF'!$AM$6+'TUSD CVA'!$AM$6)*1</f>
        <v>11.059043483979741</v>
      </c>
      <c r="Z2" s="6">
        <f ca="1">('TUSD BE'!$AM$7+'TUSD BF'!$AM$7+'TUSD CVA'!$AM$7)*1</f>
        <v>55.308089175900619</v>
      </c>
      <c r="AA2" s="6"/>
      <c r="AB2" s="6">
        <f>$K$2*$V$2</f>
        <v>87126</v>
      </c>
      <c r="AC2" s="6">
        <f>$M$2*$W$2</f>
        <v>0</v>
      </c>
      <c r="AD2" s="6">
        <f>$O$2*$X$2</f>
        <v>0</v>
      </c>
      <c r="AE2" s="6">
        <f ca="1">$K$2*$Y$2</f>
        <v>86260.53917504198</v>
      </c>
      <c r="AF2" s="6">
        <f ca="1">$M$2*$Z$2</f>
        <v>0</v>
      </c>
      <c r="AG2" s="6">
        <f>$O$2*$AA$2</f>
        <v>0</v>
      </c>
      <c r="AI2" s="55" t="s">
        <v>39</v>
      </c>
      <c r="AJ2" s="56">
        <f t="shared" ref="AJ2:AJ7" si="0">SUMIF($B$2:$B$2216,AI2,$AB$2:$AB$2216)+SUMIF($B$2:$B$2216,AI2,$AC$2:$AC$2216)</f>
        <v>93444414.685660988</v>
      </c>
      <c r="AK2" s="56">
        <f t="shared" ref="AK2:AK7" ca="1" si="1">SUMIF($B$2:$B$2216,AI2,$AE$2:$AE$2216)+SUMIF($B$2:$B$2216,AI2,$AF$2:$AF$2216)</f>
        <v>102575423.80748671</v>
      </c>
      <c r="AL2" s="57">
        <f t="shared" ref="AL2:AL10" ca="1" si="2">IF(AJ2&lt;&gt;0,AK2/AJ2-1,0)</f>
        <v>9.77159432432817E-2</v>
      </c>
      <c r="AN2" s="55" t="s">
        <v>39</v>
      </c>
      <c r="AO2" s="56">
        <f t="shared" ref="AO2:AO7" si="3">SUMIF($B$2:$B$2216,AN2,$AD$2:$AD$2216)</f>
        <v>22719805.663611609</v>
      </c>
      <c r="AP2" s="56">
        <f t="shared" ref="AP2:AP7" si="4">SUMIF($B$2:$B$2216,AN2,$AG$2:$AG$2216)</f>
        <v>22106009.632674165</v>
      </c>
      <c r="AQ2" s="57">
        <f t="shared" ref="AQ2:AQ10" si="5">IF(AO2&lt;&gt;0,AP2/AO2-1,0)</f>
        <v>-2.7015901457313474E-2</v>
      </c>
      <c r="AS2" s="55" t="s">
        <v>39</v>
      </c>
      <c r="AT2" s="56">
        <f t="shared" ref="AT2:AT7" si="6">SUMIF($B$2:$B$2216,AS2,$AB$2:$AB$2216)+SUMIF($B$2:$B$2216,AS2,$AC$2:$AC$2216)+SUMIF($B$2:$B$2216,AS2,$AD$2:$AD$2216)</f>
        <v>116164220.34927259</v>
      </c>
      <c r="AU2" s="56">
        <f t="shared" ref="AU2:AU7" ca="1" si="7">SUMIF($B$2:$B$2216,AS2,$AE$2:$AE$2216)+SUMIF($B$2:$B$2216,AS2,$AF$2:$AF$2216)+SUMIF($B$2:$B$2216,AS2,$AG$2:$AG$2216)</f>
        <v>124681433.44016087</v>
      </c>
      <c r="AV2" s="57">
        <f t="shared" ref="AV2:AV10" ca="1" si="8">IF(AT2&lt;&gt;0,AU2/AT2-1,0)</f>
        <v>7.3320451557970623E-2</v>
      </c>
    </row>
    <row r="3" spans="1:48" ht="11.25" customHeight="1" x14ac:dyDescent="0.25">
      <c r="A3" s="4" t="s">
        <v>21</v>
      </c>
      <c r="B3" s="4" t="s">
        <v>39</v>
      </c>
      <c r="C3" s="4" t="s">
        <v>40</v>
      </c>
      <c r="D3" s="4" t="s">
        <v>43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44440</v>
      </c>
      <c r="J3" s="6">
        <v>7300</v>
      </c>
      <c r="K3" s="6">
        <v>7300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58</v>
      </c>
      <c r="R3" s="4">
        <v>0</v>
      </c>
      <c r="S3" s="6">
        <v>3</v>
      </c>
      <c r="T3" s="6">
        <v>0</v>
      </c>
      <c r="U3" s="6">
        <v>0</v>
      </c>
      <c r="V3" s="6">
        <f>IF(ISERROR(VLOOKUP($S$3,'TAR FIN'!$A$1:$O$104,15,0)),0,VLOOKUP($S$3,'TAR FIN'!$A$1:$O$104,15,0))</f>
        <v>11.17</v>
      </c>
      <c r="W3" s="6">
        <f>IF(ISERROR(VLOOKUP($T$3,'TAR FIN'!$A$1:$O$104,15,0)),0,VLOOKUP($T$3,'TAR FIN'!$A$1:$O$104,15,0))</f>
        <v>0</v>
      </c>
      <c r="X3" s="6">
        <f>IF(ISERROR(VLOOKUP($U$3,'TAR FIN'!$A$1:$O$104,15,0)),0,VLOOKUP($U$3,'TAR FIN'!$A$1:$O$104,15,0))</f>
        <v>0</v>
      </c>
      <c r="Y3" s="6">
        <f ca="1">('TUSD BE'!$AM$6+'TUSD BF'!$AM$6+'TUSD CVA'!$AM$6)*1</f>
        <v>11.059043483979741</v>
      </c>
      <c r="Z3" s="6">
        <f ca="1">('TUSD BE'!$AM$7+'TUSD BF'!$AM$7+'TUSD CVA'!$AM$7)*1</f>
        <v>55.308089175900619</v>
      </c>
      <c r="AA3" s="6"/>
      <c r="AB3" s="6">
        <f>$K$3*$V$3</f>
        <v>81541</v>
      </c>
      <c r="AC3" s="6">
        <f>$M$3*$W$3</f>
        <v>0</v>
      </c>
      <c r="AD3" s="6">
        <f>$O$3*$X$3</f>
        <v>0</v>
      </c>
      <c r="AE3" s="6">
        <f ca="1">$K$3*$Y$3</f>
        <v>80731.017433052111</v>
      </c>
      <c r="AF3" s="6">
        <f ca="1">$M$3*$Z$3</f>
        <v>0</v>
      </c>
      <c r="AG3" s="6">
        <f>$O$3*$AA$3</f>
        <v>0</v>
      </c>
      <c r="AI3" s="55" t="s">
        <v>41</v>
      </c>
      <c r="AJ3" s="56">
        <f t="shared" si="0"/>
        <v>202033402.42774731</v>
      </c>
      <c r="AK3" s="56">
        <f t="shared" ca="1" si="1"/>
        <v>215887447.93102962</v>
      </c>
      <c r="AL3" s="57">
        <f t="shared" ca="1" si="2"/>
        <v>6.8573044540181316E-2</v>
      </c>
      <c r="AN3" s="55" t="s">
        <v>41</v>
      </c>
      <c r="AO3" s="56">
        <f t="shared" si="3"/>
        <v>143826146.97061676</v>
      </c>
      <c r="AP3" s="56">
        <f t="shared" si="4"/>
        <v>137570454.82284561</v>
      </c>
      <c r="AQ3" s="57">
        <f t="shared" si="5"/>
        <v>-4.3494818428593263E-2</v>
      </c>
      <c r="AS3" s="55" t="s">
        <v>41</v>
      </c>
      <c r="AT3" s="56">
        <f t="shared" si="6"/>
        <v>345859549.39836407</v>
      </c>
      <c r="AU3" s="56">
        <f t="shared" ca="1" si="7"/>
        <v>353457902.75387526</v>
      </c>
      <c r="AV3" s="57">
        <f t="shared" ca="1" si="8"/>
        <v>2.1969476825864254E-2</v>
      </c>
    </row>
    <row r="4" spans="1:48" ht="11.25" customHeight="1" x14ac:dyDescent="0.25">
      <c r="A4" s="4" t="s">
        <v>21</v>
      </c>
      <c r="B4" s="4" t="s">
        <v>39</v>
      </c>
      <c r="C4" s="4" t="s">
        <v>40</v>
      </c>
      <c r="D4" s="4" t="s">
        <v>43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44470</v>
      </c>
      <c r="J4" s="6">
        <v>7300</v>
      </c>
      <c r="K4" s="6">
        <v>7300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58</v>
      </c>
      <c r="R4" s="4">
        <v>0</v>
      </c>
      <c r="S4" s="6">
        <v>3</v>
      </c>
      <c r="T4" s="6">
        <v>0</v>
      </c>
      <c r="U4" s="6">
        <v>0</v>
      </c>
      <c r="V4" s="6">
        <f>IF(ISERROR(VLOOKUP($S$4,'TAR FIN'!$A$1:$O$104,15,0)),0,VLOOKUP($S$4,'TAR FIN'!$A$1:$O$104,15,0))</f>
        <v>11.17</v>
      </c>
      <c r="W4" s="6">
        <f>IF(ISERROR(VLOOKUP($T$4,'TAR FIN'!$A$1:$O$104,15,0)),0,VLOOKUP($T$4,'TAR FIN'!$A$1:$O$104,15,0))</f>
        <v>0</v>
      </c>
      <c r="X4" s="6">
        <f>IF(ISERROR(VLOOKUP($U$4,'TAR FIN'!$A$1:$O$104,15,0)),0,VLOOKUP($U$4,'TAR FIN'!$A$1:$O$104,15,0))</f>
        <v>0</v>
      </c>
      <c r="Y4" s="6">
        <f ca="1">('TUSD BE'!$AM$6+'TUSD BF'!$AM$6+'TUSD CVA'!$AM$6)*1</f>
        <v>11.059043483979741</v>
      </c>
      <c r="Z4" s="6">
        <f ca="1">('TUSD BE'!$AM$7+'TUSD BF'!$AM$7+'TUSD CVA'!$AM$7)*1</f>
        <v>55.308089175900619</v>
      </c>
      <c r="AA4" s="6"/>
      <c r="AB4" s="6">
        <f>$K$4*$V$4</f>
        <v>81541</v>
      </c>
      <c r="AC4" s="6">
        <f>$M$4*$W$4</f>
        <v>0</v>
      </c>
      <c r="AD4" s="6">
        <f>$O$4*$X$4</f>
        <v>0</v>
      </c>
      <c r="AE4" s="6">
        <f ca="1">$K$4*$Y$4</f>
        <v>80731.017433052111</v>
      </c>
      <c r="AF4" s="6">
        <f ca="1">$M$4*$Z$4</f>
        <v>0</v>
      </c>
      <c r="AG4" s="6">
        <f>$O$4*$AA$4</f>
        <v>0</v>
      </c>
      <c r="AI4" s="55" t="s">
        <v>22</v>
      </c>
      <c r="AJ4" s="56">
        <f t="shared" si="0"/>
        <v>592277469.14141047</v>
      </c>
      <c r="AK4" s="56">
        <f t="shared" ca="1" si="1"/>
        <v>611051485.10404122</v>
      </c>
      <c r="AL4" s="57">
        <f t="shared" ca="1" si="2"/>
        <v>3.1698008012775336E-2</v>
      </c>
      <c r="AN4" s="55" t="s">
        <v>22</v>
      </c>
      <c r="AO4" s="56">
        <f t="shared" si="3"/>
        <v>455870032.87893039</v>
      </c>
      <c r="AP4" s="56">
        <f t="shared" si="4"/>
        <v>432251567.09499037</v>
      </c>
      <c r="AQ4" s="57">
        <f t="shared" si="5"/>
        <v>-5.1809647663795033E-2</v>
      </c>
      <c r="AS4" s="55" t="s">
        <v>22</v>
      </c>
      <c r="AT4" s="56">
        <f t="shared" si="6"/>
        <v>1048147502.0203409</v>
      </c>
      <c r="AU4" s="56">
        <f t="shared" ca="1" si="7"/>
        <v>1043303052.1990316</v>
      </c>
      <c r="AV4" s="57">
        <f t="shared" ca="1" si="8"/>
        <v>-4.6219161062459602E-3</v>
      </c>
    </row>
    <row r="5" spans="1:48" ht="11.25" customHeight="1" x14ac:dyDescent="0.25">
      <c r="A5" s="4" t="s">
        <v>21</v>
      </c>
      <c r="B5" s="4" t="s">
        <v>39</v>
      </c>
      <c r="C5" s="4" t="s">
        <v>40</v>
      </c>
      <c r="D5" s="4" t="s">
        <v>43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44501</v>
      </c>
      <c r="J5" s="6">
        <v>7300</v>
      </c>
      <c r="K5" s="6">
        <v>7300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58</v>
      </c>
      <c r="R5" s="4">
        <v>0</v>
      </c>
      <c r="S5" s="6">
        <v>3</v>
      </c>
      <c r="T5" s="6">
        <v>0</v>
      </c>
      <c r="U5" s="6">
        <v>0</v>
      </c>
      <c r="V5" s="6">
        <f>IF(ISERROR(VLOOKUP($S$5,'TAR FIN'!$A$1:$O$104,15,0)),0,VLOOKUP($S$5,'TAR FIN'!$A$1:$O$104,15,0))</f>
        <v>11.17</v>
      </c>
      <c r="W5" s="6">
        <f>IF(ISERROR(VLOOKUP($T$5,'TAR FIN'!$A$1:$O$104,15,0)),0,VLOOKUP($T$5,'TAR FIN'!$A$1:$O$104,15,0))</f>
        <v>0</v>
      </c>
      <c r="X5" s="6">
        <f>IF(ISERROR(VLOOKUP($U$5,'TAR FIN'!$A$1:$O$104,15,0)),0,VLOOKUP($U$5,'TAR FIN'!$A$1:$O$104,15,0))</f>
        <v>0</v>
      </c>
      <c r="Y5" s="6">
        <f ca="1">('TUSD BE'!$AM$6+'TUSD BF'!$AM$6+'TUSD CVA'!$AM$6)*1</f>
        <v>11.059043483979741</v>
      </c>
      <c r="Z5" s="6">
        <f ca="1">('TUSD BE'!$AM$7+'TUSD BF'!$AM$7+'TUSD CVA'!$AM$7)*1</f>
        <v>55.308089175900619</v>
      </c>
      <c r="AA5" s="6"/>
      <c r="AB5" s="6">
        <f>$K$5*$V$5</f>
        <v>81541</v>
      </c>
      <c r="AC5" s="6">
        <f>$M$5*$W$5</f>
        <v>0</v>
      </c>
      <c r="AD5" s="6">
        <f>$O$5*$X$5</f>
        <v>0</v>
      </c>
      <c r="AE5" s="6">
        <f ca="1">$K$5*$Y$5</f>
        <v>80731.017433052111</v>
      </c>
      <c r="AF5" s="6">
        <f ca="1">$M$5*$Z$5</f>
        <v>0</v>
      </c>
      <c r="AG5" s="6">
        <f>$O$5*$AA$5</f>
        <v>0</v>
      </c>
      <c r="AI5" s="55" t="s">
        <v>44</v>
      </c>
      <c r="AJ5" s="56">
        <f t="shared" si="0"/>
        <v>64882418.332265027</v>
      </c>
      <c r="AK5" s="56">
        <f t="shared" ca="1" si="1"/>
        <v>72435638.272174716</v>
      </c>
      <c r="AL5" s="57">
        <f t="shared" ca="1" si="2"/>
        <v>0.11641397059569192</v>
      </c>
      <c r="AN5" s="55" t="s">
        <v>44</v>
      </c>
      <c r="AO5" s="56">
        <f t="shared" si="3"/>
        <v>48631132.132440001</v>
      </c>
      <c r="AP5" s="56">
        <f t="shared" si="4"/>
        <v>49254129.858478159</v>
      </c>
      <c r="AQ5" s="57">
        <f t="shared" si="5"/>
        <v>1.2810677002984772E-2</v>
      </c>
      <c r="AS5" s="55" t="s">
        <v>44</v>
      </c>
      <c r="AT5" s="56">
        <f t="shared" si="6"/>
        <v>113513550.46470502</v>
      </c>
      <c r="AU5" s="56">
        <f t="shared" ca="1" si="7"/>
        <v>121689768.13065287</v>
      </c>
      <c r="AV5" s="57">
        <f t="shared" ca="1" si="8"/>
        <v>7.2028560753106818E-2</v>
      </c>
    </row>
    <row r="6" spans="1:48" ht="11.25" customHeight="1" x14ac:dyDescent="0.25">
      <c r="A6" s="4" t="s">
        <v>21</v>
      </c>
      <c r="B6" s="4" t="s">
        <v>39</v>
      </c>
      <c r="C6" s="4" t="s">
        <v>40</v>
      </c>
      <c r="D6" s="4" t="s">
        <v>43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44531</v>
      </c>
      <c r="J6" s="6">
        <v>7543</v>
      </c>
      <c r="K6" s="6">
        <v>7543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58</v>
      </c>
      <c r="R6" s="4">
        <v>0</v>
      </c>
      <c r="S6" s="6">
        <v>3</v>
      </c>
      <c r="T6" s="6">
        <v>0</v>
      </c>
      <c r="U6" s="6">
        <v>0</v>
      </c>
      <c r="V6" s="6">
        <f>IF(ISERROR(VLOOKUP($S$6,'TAR FIN'!$A$1:$O$104,15,0)),0,VLOOKUP($S$6,'TAR FIN'!$A$1:$O$104,15,0))</f>
        <v>11.17</v>
      </c>
      <c r="W6" s="6">
        <f>IF(ISERROR(VLOOKUP($T$6,'TAR FIN'!$A$1:$O$104,15,0)),0,VLOOKUP($T$6,'TAR FIN'!$A$1:$O$104,15,0))</f>
        <v>0</v>
      </c>
      <c r="X6" s="6">
        <f>IF(ISERROR(VLOOKUP($U$6,'TAR FIN'!$A$1:$O$104,15,0)),0,VLOOKUP($U$6,'TAR FIN'!$A$1:$O$104,15,0))</f>
        <v>0</v>
      </c>
      <c r="Y6" s="6">
        <f ca="1">('TUSD BE'!$AM$6+'TUSD BF'!$AM$6+'TUSD CVA'!$AM$6)*1</f>
        <v>11.059043483979741</v>
      </c>
      <c r="Z6" s="6">
        <f ca="1">('TUSD BE'!$AM$7+'TUSD BF'!$AM$7+'TUSD CVA'!$AM$7)*1</f>
        <v>55.308089175900619</v>
      </c>
      <c r="AA6" s="6"/>
      <c r="AB6" s="6">
        <f>$K$6*$V$6</f>
        <v>84255.31</v>
      </c>
      <c r="AC6" s="6">
        <f>$M$6*$W$6</f>
        <v>0</v>
      </c>
      <c r="AD6" s="6">
        <f>$O$6*$X$6</f>
        <v>0</v>
      </c>
      <c r="AE6" s="6">
        <f ca="1">$K$6*$Y$6</f>
        <v>83418.364999659185</v>
      </c>
      <c r="AF6" s="6">
        <f ca="1">$M$6*$Z$6</f>
        <v>0</v>
      </c>
      <c r="AG6" s="6">
        <f>$O$6*$AA$6</f>
        <v>0</v>
      </c>
      <c r="AI6" s="55" t="s">
        <v>37</v>
      </c>
      <c r="AJ6" s="56">
        <f t="shared" si="0"/>
        <v>221790078.28306788</v>
      </c>
      <c r="AK6" s="56">
        <f t="shared" ca="1" si="1"/>
        <v>232114249.90682977</v>
      </c>
      <c r="AL6" s="57">
        <f t="shared" ca="1" si="2"/>
        <v>4.6549294286218235E-2</v>
      </c>
      <c r="AN6" s="55" t="s">
        <v>37</v>
      </c>
      <c r="AO6" s="56">
        <f t="shared" si="3"/>
        <v>166242579.23849279</v>
      </c>
      <c r="AP6" s="56">
        <f t="shared" si="4"/>
        <v>157837949.97540358</v>
      </c>
      <c r="AQ6" s="57">
        <f t="shared" si="5"/>
        <v>-5.0556417625305716E-2</v>
      </c>
      <c r="AS6" s="55" t="s">
        <v>37</v>
      </c>
      <c r="AT6" s="56">
        <f t="shared" si="6"/>
        <v>388032657.52156067</v>
      </c>
      <c r="AU6" s="56">
        <f t="shared" ca="1" si="7"/>
        <v>389952199.88223338</v>
      </c>
      <c r="AV6" s="57">
        <f t="shared" ca="1" si="8"/>
        <v>4.9468577540179304E-3</v>
      </c>
    </row>
    <row r="7" spans="1:48" ht="11.25" customHeight="1" x14ac:dyDescent="0.25">
      <c r="A7" s="4" t="s">
        <v>21</v>
      </c>
      <c r="B7" s="4" t="s">
        <v>39</v>
      </c>
      <c r="C7" s="4" t="s">
        <v>40</v>
      </c>
      <c r="D7" s="4" t="s">
        <v>43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44562</v>
      </c>
      <c r="J7" s="6">
        <v>7417</v>
      </c>
      <c r="K7" s="6">
        <v>7417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58</v>
      </c>
      <c r="R7" s="4">
        <v>0</v>
      </c>
      <c r="S7" s="6">
        <v>3</v>
      </c>
      <c r="T7" s="6">
        <v>0</v>
      </c>
      <c r="U7" s="6">
        <v>0</v>
      </c>
      <c r="V7" s="6">
        <f>IF(ISERROR(VLOOKUP($S$7,'TAR FIN'!$A$1:$O$104,15,0)),0,VLOOKUP($S$7,'TAR FIN'!$A$1:$O$104,15,0))</f>
        <v>11.17</v>
      </c>
      <c r="W7" s="6">
        <f>IF(ISERROR(VLOOKUP($T$7,'TAR FIN'!$A$1:$O$104,15,0)),0,VLOOKUP($T$7,'TAR FIN'!$A$1:$O$104,15,0))</f>
        <v>0</v>
      </c>
      <c r="X7" s="6">
        <f>IF(ISERROR(VLOOKUP($U$7,'TAR FIN'!$A$1:$O$104,15,0)),0,VLOOKUP($U$7,'TAR FIN'!$A$1:$O$104,15,0))</f>
        <v>0</v>
      </c>
      <c r="Y7" s="6">
        <f ca="1">('TUSD BE'!$AM$6+'TUSD BF'!$AM$6+'TUSD CVA'!$AM$6)*1</f>
        <v>11.059043483979741</v>
      </c>
      <c r="Z7" s="6">
        <f ca="1">('TUSD BE'!$AM$7+'TUSD BF'!$AM$7+'TUSD CVA'!$AM$7)*1</f>
        <v>55.308089175900619</v>
      </c>
      <c r="AA7" s="6"/>
      <c r="AB7" s="6">
        <f>$K$7*$V$7</f>
        <v>82847.89</v>
      </c>
      <c r="AC7" s="6">
        <f>$M$7*$W$7</f>
        <v>0</v>
      </c>
      <c r="AD7" s="6">
        <f>$O$7*$X$7</f>
        <v>0</v>
      </c>
      <c r="AE7" s="6">
        <f ca="1">$K$7*$Y$7</f>
        <v>82024.925520677731</v>
      </c>
      <c r="AF7" s="6">
        <f ca="1">$M$7*$Z$7</f>
        <v>0</v>
      </c>
      <c r="AG7" s="6">
        <f>$O$7*$AA$7</f>
        <v>0</v>
      </c>
      <c r="AI7" s="55" t="s">
        <v>47</v>
      </c>
      <c r="AJ7" s="56">
        <f t="shared" si="0"/>
        <v>47322751.025880001</v>
      </c>
      <c r="AK7" s="56">
        <f t="shared" ca="1" si="1"/>
        <v>49460045.900125407</v>
      </c>
      <c r="AL7" s="57">
        <f t="shared" ca="1" si="2"/>
        <v>4.5164214419329829E-2</v>
      </c>
      <c r="AN7" s="55" t="s">
        <v>47</v>
      </c>
      <c r="AO7" s="56">
        <f t="shared" si="3"/>
        <v>35468106.8517</v>
      </c>
      <c r="AP7" s="56">
        <f t="shared" si="4"/>
        <v>33629488.195363015</v>
      </c>
      <c r="AQ7" s="57">
        <f t="shared" si="5"/>
        <v>-5.1838646590996684E-2</v>
      </c>
      <c r="AS7" s="55" t="s">
        <v>47</v>
      </c>
      <c r="AT7" s="56">
        <f t="shared" si="6"/>
        <v>82790857.877580002</v>
      </c>
      <c r="AU7" s="56">
        <f t="shared" ca="1" si="7"/>
        <v>83089534.095488429</v>
      </c>
      <c r="AV7" s="57">
        <f t="shared" ca="1" si="8"/>
        <v>3.6075990219845977E-3</v>
      </c>
    </row>
    <row r="8" spans="1:48" ht="11.25" customHeight="1" x14ac:dyDescent="0.25">
      <c r="A8" s="4" t="s">
        <v>21</v>
      </c>
      <c r="B8" s="4" t="s">
        <v>39</v>
      </c>
      <c r="C8" s="4" t="s">
        <v>40</v>
      </c>
      <c r="D8" s="4" t="s">
        <v>43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44593</v>
      </c>
      <c r="J8" s="6">
        <v>7308</v>
      </c>
      <c r="K8" s="6">
        <v>7308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58</v>
      </c>
      <c r="R8" s="4">
        <v>0</v>
      </c>
      <c r="S8" s="6">
        <v>3</v>
      </c>
      <c r="T8" s="6">
        <v>0</v>
      </c>
      <c r="U8" s="6">
        <v>0</v>
      </c>
      <c r="V8" s="6">
        <f>IF(ISERROR(VLOOKUP($S$8,'TAR FIN'!$A$1:$O$104,15,0)),0,VLOOKUP($S$8,'TAR FIN'!$A$1:$O$104,15,0))</f>
        <v>11.17</v>
      </c>
      <c r="W8" s="6">
        <f>IF(ISERROR(VLOOKUP($T$8,'TAR FIN'!$A$1:$O$104,15,0)),0,VLOOKUP($T$8,'TAR FIN'!$A$1:$O$104,15,0))</f>
        <v>0</v>
      </c>
      <c r="X8" s="6">
        <f>IF(ISERROR(VLOOKUP($U$8,'TAR FIN'!$A$1:$O$104,15,0)),0,VLOOKUP($U$8,'TAR FIN'!$A$1:$O$104,15,0))</f>
        <v>0</v>
      </c>
      <c r="Y8" s="6">
        <f ca="1">('TUSD BE'!$AM$6+'TUSD BF'!$AM$6+'TUSD CVA'!$AM$6)*1</f>
        <v>11.059043483979741</v>
      </c>
      <c r="Z8" s="6">
        <f ca="1">('TUSD BE'!$AM$7+'TUSD BF'!$AM$7+'TUSD CVA'!$AM$7)*1</f>
        <v>55.308089175900619</v>
      </c>
      <c r="AA8" s="6"/>
      <c r="AB8" s="6">
        <f>$K$8*$V$8</f>
        <v>81630.36</v>
      </c>
      <c r="AC8" s="6">
        <f>$M$8*$W$8</f>
        <v>0</v>
      </c>
      <c r="AD8" s="6">
        <f>$O$8*$X$8</f>
        <v>0</v>
      </c>
      <c r="AE8" s="6">
        <f ca="1">$K$8*$Y$8</f>
        <v>80819.489780923948</v>
      </c>
      <c r="AF8" s="6">
        <f ca="1">$M$8*$Z$8</f>
        <v>0</v>
      </c>
      <c r="AG8" s="6">
        <f>$O$8*$AA$8</f>
        <v>0</v>
      </c>
      <c r="AI8" s="55" t="s">
        <v>980</v>
      </c>
      <c r="AJ8" s="56">
        <f>+$AJ$2+$AJ$3</f>
        <v>295477817.11340833</v>
      </c>
      <c r="AK8" s="56">
        <f ca="1">+$AK$2+$AK$3</f>
        <v>318462871.73851633</v>
      </c>
      <c r="AL8" s="57">
        <f t="shared" ca="1" si="2"/>
        <v>7.7789442367127037E-2</v>
      </c>
      <c r="AN8" s="55" t="s">
        <v>980</v>
      </c>
      <c r="AO8" s="56">
        <f>+$AO$2+$AO$3</f>
        <v>166545952.63422838</v>
      </c>
      <c r="AP8" s="56">
        <f>+$AP$2+$AP$3</f>
        <v>159676464.45551977</v>
      </c>
      <c r="AQ8" s="57">
        <f t="shared" si="5"/>
        <v>-4.1246803480091354E-2</v>
      </c>
      <c r="AS8" s="55" t="s">
        <v>980</v>
      </c>
      <c r="AT8" s="56">
        <f>+$AT$2+$AT$3</f>
        <v>462023769.74763668</v>
      </c>
      <c r="AU8" s="56">
        <f ca="1">+$AU$2+$AU$3</f>
        <v>478139336.19403613</v>
      </c>
      <c r="AV8" s="57">
        <f t="shared" ca="1" si="8"/>
        <v>3.4880383871163101E-2</v>
      </c>
    </row>
    <row r="9" spans="1:48" ht="11.25" customHeight="1" x14ac:dyDescent="0.25">
      <c r="A9" s="4" t="s">
        <v>21</v>
      </c>
      <c r="B9" s="4" t="s">
        <v>39</v>
      </c>
      <c r="C9" s="4" t="s">
        <v>40</v>
      </c>
      <c r="D9" s="4" t="s">
        <v>43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44621</v>
      </c>
      <c r="J9" s="6">
        <v>7300</v>
      </c>
      <c r="K9" s="6">
        <v>7300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58</v>
      </c>
      <c r="R9" s="4">
        <v>0</v>
      </c>
      <c r="S9" s="6">
        <v>3</v>
      </c>
      <c r="T9" s="6">
        <v>0</v>
      </c>
      <c r="U9" s="6">
        <v>0</v>
      </c>
      <c r="V9" s="6">
        <f>IF(ISERROR(VLOOKUP($S$9,'TAR FIN'!$A$1:$O$104,15,0)),0,VLOOKUP($S$9,'TAR FIN'!$A$1:$O$104,15,0))</f>
        <v>11.17</v>
      </c>
      <c r="W9" s="6">
        <f>IF(ISERROR(VLOOKUP($T$9,'TAR FIN'!$A$1:$O$104,15,0)),0,VLOOKUP($T$9,'TAR FIN'!$A$1:$O$104,15,0))</f>
        <v>0</v>
      </c>
      <c r="X9" s="6">
        <f>IF(ISERROR(VLOOKUP($U$9,'TAR FIN'!$A$1:$O$104,15,0)),0,VLOOKUP($U$9,'TAR FIN'!$A$1:$O$104,15,0))</f>
        <v>0</v>
      </c>
      <c r="Y9" s="6">
        <f ca="1">('TUSD BE'!$AM$6+'TUSD BF'!$AM$6+'TUSD CVA'!$AM$6)*1</f>
        <v>11.059043483979741</v>
      </c>
      <c r="Z9" s="6">
        <f ca="1">('TUSD BE'!$AM$7+'TUSD BF'!$AM$7+'TUSD CVA'!$AM$7)*1</f>
        <v>55.308089175900619</v>
      </c>
      <c r="AA9" s="6"/>
      <c r="AB9" s="6">
        <f>$K$9*$V$9</f>
        <v>81541</v>
      </c>
      <c r="AC9" s="6">
        <f>$M$9*$W$9</f>
        <v>0</v>
      </c>
      <c r="AD9" s="6">
        <f>$O$9*$X$9</f>
        <v>0</v>
      </c>
      <c r="AE9" s="6">
        <f ca="1">$K$9*$Y$9</f>
        <v>80731.017433052111</v>
      </c>
      <c r="AF9" s="6">
        <f ca="1">$M$9*$Z$9</f>
        <v>0</v>
      </c>
      <c r="AG9" s="6">
        <f>$O$9*$AA$9</f>
        <v>0</v>
      </c>
      <c r="AI9" s="55" t="s">
        <v>110</v>
      </c>
      <c r="AJ9" s="56">
        <f>+$AJ$4+$AJ$5+$AJ$6+$AJ$7</f>
        <v>926272716.78262341</v>
      </c>
      <c r="AK9" s="56">
        <f ca="1">+$AK$4+$AK$5+$AK$6+$AK$7</f>
        <v>965061419.18317115</v>
      </c>
      <c r="AL9" s="57">
        <f t="shared" ca="1" si="2"/>
        <v>4.1876114558657251E-2</v>
      </c>
      <c r="AN9" s="55" t="s">
        <v>110</v>
      </c>
      <c r="AO9" s="56">
        <f>+$AO$4+$AO$5+$AO$6+$AO$7</f>
        <v>706211851.1015631</v>
      </c>
      <c r="AP9" s="56">
        <f>+$AP$4+$AP$5+$AP$6+$AP$7</f>
        <v>672973135.12423515</v>
      </c>
      <c r="AQ9" s="57">
        <f t="shared" si="5"/>
        <v>-4.7066210975476475E-2</v>
      </c>
      <c r="AS9" s="55" t="s">
        <v>110</v>
      </c>
      <c r="AT9" s="56">
        <f>+$AT$4+$AT$5+$AT$6+$AT$7</f>
        <v>1632484567.8841865</v>
      </c>
      <c r="AU9" s="56">
        <f ca="1">+$AU$4+$AU$5+$AU$6+$AU$7</f>
        <v>1638034554.3074064</v>
      </c>
      <c r="AV9" s="57">
        <f t="shared" ca="1" si="8"/>
        <v>3.3997175424531623E-3</v>
      </c>
    </row>
    <row r="10" spans="1:48" ht="11.25" customHeight="1" x14ac:dyDescent="0.25">
      <c r="A10" s="4" t="s">
        <v>21</v>
      </c>
      <c r="B10" s="4" t="s">
        <v>39</v>
      </c>
      <c r="C10" s="4" t="s">
        <v>40</v>
      </c>
      <c r="D10" s="4" t="s">
        <v>43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44652</v>
      </c>
      <c r="J10" s="6">
        <v>7300</v>
      </c>
      <c r="K10" s="6">
        <v>7300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58</v>
      </c>
      <c r="R10" s="4">
        <v>0</v>
      </c>
      <c r="S10" s="6">
        <v>3</v>
      </c>
      <c r="T10" s="6">
        <v>0</v>
      </c>
      <c r="U10" s="6">
        <v>0</v>
      </c>
      <c r="V10" s="6">
        <f>IF(ISERROR(VLOOKUP($S$10,'TAR FIN'!$A$1:$O$104,15,0)),0,VLOOKUP($S$10,'TAR FIN'!$A$1:$O$104,15,0))</f>
        <v>11.17</v>
      </c>
      <c r="W10" s="6">
        <f>IF(ISERROR(VLOOKUP($T$10,'TAR FIN'!$A$1:$O$104,15,0)),0,VLOOKUP($T$10,'TAR FIN'!$A$1:$O$104,15,0))</f>
        <v>0</v>
      </c>
      <c r="X10" s="6">
        <f>IF(ISERROR(VLOOKUP($U$10,'TAR FIN'!$A$1:$O$104,15,0)),0,VLOOKUP($U$10,'TAR FIN'!$A$1:$O$104,15,0))</f>
        <v>0</v>
      </c>
      <c r="Y10" s="6">
        <f ca="1">('TUSD BE'!$AM$6+'TUSD BF'!$AM$6+'TUSD CVA'!$AM$6)*1</f>
        <v>11.059043483979741</v>
      </c>
      <c r="Z10" s="6">
        <f ca="1">('TUSD BE'!$AM$7+'TUSD BF'!$AM$7+'TUSD CVA'!$AM$7)*1</f>
        <v>55.308089175900619</v>
      </c>
      <c r="AA10" s="6"/>
      <c r="AB10" s="6">
        <f>$K$10*$V$10</f>
        <v>81541</v>
      </c>
      <c r="AC10" s="6">
        <f>$M$10*$W$10</f>
        <v>0</v>
      </c>
      <c r="AD10" s="6">
        <f>$O$10*$X$10</f>
        <v>0</v>
      </c>
      <c r="AE10" s="6">
        <f ca="1">$K$10*$Y$10</f>
        <v>80731.017433052111</v>
      </c>
      <c r="AF10" s="6">
        <f ca="1">$M$10*$Z$10</f>
        <v>0</v>
      </c>
      <c r="AG10" s="6">
        <f>$O$10*$AA$10</f>
        <v>0</v>
      </c>
      <c r="AI10" s="55" t="s">
        <v>981</v>
      </c>
      <c r="AJ10" s="56">
        <f>AJ9+AJ8</f>
        <v>1221750533.8960319</v>
      </c>
      <c r="AK10" s="56">
        <f ca="1">AK9+AK8</f>
        <v>1283524290.9216876</v>
      </c>
      <c r="AL10" s="57">
        <f t="shared" ca="1" si="2"/>
        <v>5.0561677946369121E-2</v>
      </c>
      <c r="AN10" s="55" t="s">
        <v>981</v>
      </c>
      <c r="AO10" s="56">
        <f>AO9+AO8</f>
        <v>872757803.73579144</v>
      </c>
      <c r="AP10" s="56">
        <f>AP9+AP8</f>
        <v>832649599.57975495</v>
      </c>
      <c r="AQ10" s="57">
        <f t="shared" si="5"/>
        <v>-4.5955709572983006E-2</v>
      </c>
      <c r="AS10" s="55" t="s">
        <v>981</v>
      </c>
      <c r="AT10" s="56">
        <f>AT9+AT8</f>
        <v>2094508337.6318231</v>
      </c>
      <c r="AU10" s="56">
        <f ca="1">AU9+AU8</f>
        <v>2116173890.5014424</v>
      </c>
      <c r="AV10" s="57">
        <f t="shared" ca="1" si="8"/>
        <v>1.0343980246035001E-2</v>
      </c>
    </row>
    <row r="11" spans="1:48" ht="11.25" customHeight="1" x14ac:dyDescent="0.25">
      <c r="A11" s="4" t="s">
        <v>21</v>
      </c>
      <c r="B11" s="4" t="s">
        <v>39</v>
      </c>
      <c r="C11" s="4" t="s">
        <v>40</v>
      </c>
      <c r="D11" s="4" t="s">
        <v>43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44682</v>
      </c>
      <c r="J11" s="6">
        <v>7480</v>
      </c>
      <c r="K11" s="6">
        <v>7480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58</v>
      </c>
      <c r="R11" s="4">
        <v>0</v>
      </c>
      <c r="S11" s="6">
        <v>3</v>
      </c>
      <c r="T11" s="6">
        <v>0</v>
      </c>
      <c r="U11" s="6">
        <v>0</v>
      </c>
      <c r="V11" s="6">
        <f>IF(ISERROR(VLOOKUP($S$11,'TAR FIN'!$A$1:$O$104,15,0)),0,VLOOKUP($S$11,'TAR FIN'!$A$1:$O$104,15,0))</f>
        <v>11.17</v>
      </c>
      <c r="W11" s="6">
        <f>IF(ISERROR(VLOOKUP($T$11,'TAR FIN'!$A$1:$O$104,15,0)),0,VLOOKUP($T$11,'TAR FIN'!$A$1:$O$104,15,0))</f>
        <v>0</v>
      </c>
      <c r="X11" s="6">
        <f>IF(ISERROR(VLOOKUP($U$11,'TAR FIN'!$A$1:$O$104,15,0)),0,VLOOKUP($U$11,'TAR FIN'!$A$1:$O$104,15,0))</f>
        <v>0</v>
      </c>
      <c r="Y11" s="6">
        <f ca="1">('TUSD BE'!$AM$6+'TUSD BF'!$AM$6+'TUSD CVA'!$AM$6)*1</f>
        <v>11.059043483979741</v>
      </c>
      <c r="Z11" s="6">
        <f ca="1">('TUSD BE'!$AM$7+'TUSD BF'!$AM$7+'TUSD CVA'!$AM$7)*1</f>
        <v>55.308089175900619</v>
      </c>
      <c r="AA11" s="6"/>
      <c r="AB11" s="6">
        <f>$K$11*$V$11</f>
        <v>83551.600000000006</v>
      </c>
      <c r="AC11" s="6">
        <f>$M$11*$W$11</f>
        <v>0</v>
      </c>
      <c r="AD11" s="6">
        <f>$O$11*$X$11</f>
        <v>0</v>
      </c>
      <c r="AE11" s="6">
        <f ca="1">$K$11*$Y$11</f>
        <v>82721.645260168458</v>
      </c>
      <c r="AF11" s="6">
        <f ca="1">$M$11*$Z$11</f>
        <v>0</v>
      </c>
      <c r="AG11" s="6">
        <f>$O$11*$AA$11</f>
        <v>0</v>
      </c>
    </row>
    <row r="12" spans="1:48" ht="11.25" customHeight="1" x14ac:dyDescent="0.25">
      <c r="A12" s="4" t="s">
        <v>21</v>
      </c>
      <c r="B12" s="4" t="s">
        <v>39</v>
      </c>
      <c r="C12" s="4" t="s">
        <v>40</v>
      </c>
      <c r="D12" s="4" t="s">
        <v>43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44713</v>
      </c>
      <c r="J12" s="6">
        <v>7300</v>
      </c>
      <c r="K12" s="6">
        <v>7300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58</v>
      </c>
      <c r="R12" s="4">
        <v>0</v>
      </c>
      <c r="S12" s="6">
        <v>3</v>
      </c>
      <c r="T12" s="6">
        <v>0</v>
      </c>
      <c r="U12" s="6">
        <v>0</v>
      </c>
      <c r="V12" s="6">
        <f>IF(ISERROR(VLOOKUP($S$12,'TAR FIN'!$A$1:$O$104,15,0)),0,VLOOKUP($S$12,'TAR FIN'!$A$1:$O$104,15,0))</f>
        <v>11.17</v>
      </c>
      <c r="W12" s="6">
        <f>IF(ISERROR(VLOOKUP($T$12,'TAR FIN'!$A$1:$O$104,15,0)),0,VLOOKUP($T$12,'TAR FIN'!$A$1:$O$104,15,0))</f>
        <v>0</v>
      </c>
      <c r="X12" s="6">
        <f>IF(ISERROR(VLOOKUP($U$12,'TAR FIN'!$A$1:$O$104,15,0)),0,VLOOKUP($U$12,'TAR FIN'!$A$1:$O$104,15,0))</f>
        <v>0</v>
      </c>
      <c r="Y12" s="6">
        <f ca="1">('TUSD BE'!$AM$6+'TUSD BF'!$AM$6+'TUSD CVA'!$AM$6)*1</f>
        <v>11.059043483979741</v>
      </c>
      <c r="Z12" s="6">
        <f ca="1">('TUSD BE'!$AM$7+'TUSD BF'!$AM$7+'TUSD CVA'!$AM$7)*1</f>
        <v>55.308089175900619</v>
      </c>
      <c r="AA12" s="6"/>
      <c r="AB12" s="6">
        <f>$K$12*$V$12</f>
        <v>81541</v>
      </c>
      <c r="AC12" s="6">
        <f>$M$12*$W$12</f>
        <v>0</v>
      </c>
      <c r="AD12" s="6">
        <f>$O$12*$X$12</f>
        <v>0</v>
      </c>
      <c r="AE12" s="6">
        <f ca="1">$K$12*$Y$12</f>
        <v>80731.017433052111</v>
      </c>
      <c r="AF12" s="6">
        <f ca="1">$M$12*$Z$12</f>
        <v>0</v>
      </c>
      <c r="AG12" s="6">
        <f>$O$12*$AA$12</f>
        <v>0</v>
      </c>
      <c r="AU12" s="67">
        <f ca="1">AU10+SUBSIDIO!AJ12</f>
        <v>2314634671.7765398</v>
      </c>
    </row>
    <row r="13" spans="1:48" ht="11.25" customHeight="1" x14ac:dyDescent="0.25">
      <c r="A13" s="4" t="s">
        <v>57</v>
      </c>
      <c r="B13" s="4" t="s">
        <v>39</v>
      </c>
      <c r="C13" s="4" t="s">
        <v>40</v>
      </c>
      <c r="D13" s="4" t="s">
        <v>43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44743</v>
      </c>
      <c r="J13" s="6">
        <v>7300</v>
      </c>
      <c r="K13" s="6">
        <v>7300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58</v>
      </c>
      <c r="R13" s="4">
        <v>0</v>
      </c>
      <c r="S13" s="6">
        <v>3</v>
      </c>
      <c r="T13" s="6">
        <v>0</v>
      </c>
      <c r="U13" s="6">
        <v>0</v>
      </c>
      <c r="V13" s="6">
        <f>IF(ISERROR(VLOOKUP($S$13,'TAR FIN'!$A$1:$O$104,15,0)),0,VLOOKUP($S$13,'TAR FIN'!$A$1:$O$104,15,0))</f>
        <v>11.17</v>
      </c>
      <c r="W13" s="6">
        <f>IF(ISERROR(VLOOKUP($T$13,'TAR FIN'!$A$1:$O$104,15,0)),0,VLOOKUP($T$13,'TAR FIN'!$A$1:$O$104,15,0))</f>
        <v>0</v>
      </c>
      <c r="X13" s="6">
        <f>IF(ISERROR(VLOOKUP($U$13,'TAR FIN'!$A$1:$O$104,15,0)),0,VLOOKUP($U$13,'TAR FIN'!$A$1:$O$104,15,0))</f>
        <v>0</v>
      </c>
      <c r="Y13" s="6">
        <f ca="1">('TUSD BE'!$AM$6+'TUSD BF'!$AM$6+'TUSD CVA'!$AM$6)*1</f>
        <v>11.059043483979741</v>
      </c>
      <c r="Z13" s="6">
        <f ca="1">('TUSD BE'!$AM$7+'TUSD BF'!$AM$7+'TUSD CVA'!$AM$7)*1</f>
        <v>55.308089175900619</v>
      </c>
      <c r="AA13" s="6"/>
      <c r="AB13" s="6">
        <f>$K$13*$V$13</f>
        <v>81541</v>
      </c>
      <c r="AC13" s="6">
        <f>$M$13*$W$13</f>
        <v>0</v>
      </c>
      <c r="AD13" s="6">
        <f>$O$13*$X$13</f>
        <v>0</v>
      </c>
      <c r="AE13" s="6">
        <f ca="1">$K$13*$Y$13</f>
        <v>80731.017433052111</v>
      </c>
      <c r="AF13" s="6">
        <f ca="1">$M$13*$Z$13</f>
        <v>0</v>
      </c>
      <c r="AG13" s="6">
        <f>$O$13*$AA$13</f>
        <v>0</v>
      </c>
    </row>
    <row r="14" spans="1:48" ht="11.25" customHeight="1" x14ac:dyDescent="0.25">
      <c r="A14" s="4" t="s">
        <v>21</v>
      </c>
      <c r="B14" s="4" t="s">
        <v>39</v>
      </c>
      <c r="C14" s="4" t="s">
        <v>40</v>
      </c>
      <c r="D14" s="4" t="s">
        <v>43</v>
      </c>
      <c r="E14" s="4" t="s">
        <v>25</v>
      </c>
      <c r="F14" s="4" t="s">
        <v>25</v>
      </c>
      <c r="G14" s="4" t="s">
        <v>25</v>
      </c>
      <c r="H14" s="4" t="s">
        <v>25</v>
      </c>
      <c r="I14" s="5">
        <v>44409</v>
      </c>
      <c r="J14" s="6">
        <v>0</v>
      </c>
      <c r="K14" s="6">
        <v>0</v>
      </c>
      <c r="L14" s="6">
        <v>2752.7629999999999</v>
      </c>
      <c r="M14" s="6">
        <v>2752.7629999999999</v>
      </c>
      <c r="N14" s="6">
        <v>0</v>
      </c>
      <c r="O14" s="6">
        <v>0</v>
      </c>
      <c r="P14" s="6">
        <v>2</v>
      </c>
      <c r="Q14" s="4" t="s">
        <v>58</v>
      </c>
      <c r="R14" s="4">
        <v>0</v>
      </c>
      <c r="S14" s="6">
        <v>0</v>
      </c>
      <c r="T14" s="6">
        <v>5</v>
      </c>
      <c r="U14" s="6">
        <v>0</v>
      </c>
      <c r="V14" s="6">
        <f>IF(ISERROR(VLOOKUP($S$14,'TAR FIN'!$A$1:$O$104,15,0)),0,VLOOKUP($S$14,'TAR FIN'!$A$1:$O$104,15,0))</f>
        <v>0</v>
      </c>
      <c r="W14" s="6">
        <f>IF(ISERROR(VLOOKUP($T$14,'TAR FIN'!$A$1:$O$104,15,0)),0,VLOOKUP($T$14,'TAR FIN'!$A$1:$O$104,15,0))</f>
        <v>41.95</v>
      </c>
      <c r="X14" s="6">
        <f>IF(ISERROR(VLOOKUP($U$14,'TAR FIN'!$A$1:$O$104,15,0)),0,VLOOKUP($U$14,'TAR FIN'!$A$1:$O$104,15,0))</f>
        <v>0</v>
      </c>
      <c r="Y14" s="6"/>
      <c r="Z14" s="6">
        <f ca="1">('TUSD BE'!$AM$7+'TUSD BF'!$AM$7+'TUSD CVA'!$AM$7)*1</f>
        <v>55.308089175900619</v>
      </c>
      <c r="AA14" s="6"/>
      <c r="AB14" s="6">
        <f>$K$14*$V$14</f>
        <v>0</v>
      </c>
      <c r="AC14" s="6">
        <f>$M$14*$W$14</f>
        <v>115478.40785</v>
      </c>
      <c r="AD14" s="6">
        <f>$O$14*$X$14</f>
        <v>0</v>
      </c>
      <c r="AE14" s="6">
        <f>$K$14*$Y$14</f>
        <v>0</v>
      </c>
      <c r="AF14" s="6">
        <f ca="1">$M$14*$Z$14</f>
        <v>152250.06148411971</v>
      </c>
      <c r="AG14" s="6">
        <f>$O$14*$AA$14</f>
        <v>0</v>
      </c>
      <c r="AU14" s="67">
        <f ca="1">AU12-CUSTOS!G48</f>
        <v>0</v>
      </c>
    </row>
    <row r="15" spans="1:48" ht="11.25" customHeight="1" x14ac:dyDescent="0.25">
      <c r="A15" s="4" t="s">
        <v>21</v>
      </c>
      <c r="B15" s="4" t="s">
        <v>39</v>
      </c>
      <c r="C15" s="4" t="s">
        <v>40</v>
      </c>
      <c r="D15" s="4" t="s">
        <v>43</v>
      </c>
      <c r="E15" s="4" t="s">
        <v>25</v>
      </c>
      <c r="F15" s="4" t="s">
        <v>25</v>
      </c>
      <c r="G15" s="4" t="s">
        <v>25</v>
      </c>
      <c r="H15" s="4" t="s">
        <v>25</v>
      </c>
      <c r="I15" s="5">
        <v>44440</v>
      </c>
      <c r="J15" s="6">
        <v>0</v>
      </c>
      <c r="K15" s="6">
        <v>0</v>
      </c>
      <c r="L15" s="6">
        <v>2726.3040000000001</v>
      </c>
      <c r="M15" s="6">
        <v>2726.3040000000001</v>
      </c>
      <c r="N15" s="6">
        <v>0</v>
      </c>
      <c r="O15" s="6">
        <v>0</v>
      </c>
      <c r="P15" s="6">
        <v>2</v>
      </c>
      <c r="Q15" s="4" t="s">
        <v>58</v>
      </c>
      <c r="R15" s="4">
        <v>0</v>
      </c>
      <c r="S15" s="6">
        <v>0</v>
      </c>
      <c r="T15" s="6">
        <v>5</v>
      </c>
      <c r="U15" s="6">
        <v>0</v>
      </c>
      <c r="V15" s="6">
        <f>IF(ISERROR(VLOOKUP($S$15,'TAR FIN'!$A$1:$O$104,15,0)),0,VLOOKUP($S$15,'TAR FIN'!$A$1:$O$104,15,0))</f>
        <v>0</v>
      </c>
      <c r="W15" s="6">
        <f>IF(ISERROR(VLOOKUP($T$15,'TAR FIN'!$A$1:$O$104,15,0)),0,VLOOKUP($T$15,'TAR FIN'!$A$1:$O$104,15,0))</f>
        <v>41.95</v>
      </c>
      <c r="X15" s="6">
        <f>IF(ISERROR(VLOOKUP($U$15,'TAR FIN'!$A$1:$O$104,15,0)),0,VLOOKUP($U$15,'TAR FIN'!$A$1:$O$104,15,0))</f>
        <v>0</v>
      </c>
      <c r="Y15" s="6"/>
      <c r="Z15" s="6">
        <f ca="1">('TUSD BE'!$AM$7+'TUSD BF'!$AM$7+'TUSD CVA'!$AM$7)*1</f>
        <v>55.308089175900619</v>
      </c>
      <c r="AA15" s="6"/>
      <c r="AB15" s="6">
        <f>$K$15*$V$15</f>
        <v>0</v>
      </c>
      <c r="AC15" s="6">
        <f>$M$15*$W$15</f>
        <v>114368.45280000001</v>
      </c>
      <c r="AD15" s="6">
        <f>$O$15*$X$15</f>
        <v>0</v>
      </c>
      <c r="AE15" s="6">
        <f>$K$15*$Y$15</f>
        <v>0</v>
      </c>
      <c r="AF15" s="6">
        <f ca="1">$M$15*$Z$15</f>
        <v>150786.66475261457</v>
      </c>
      <c r="AG15" s="6">
        <f>$O$15*$AA$15</f>
        <v>0</v>
      </c>
    </row>
    <row r="16" spans="1:48" ht="11.25" customHeight="1" x14ac:dyDescent="0.25">
      <c r="A16" s="4" t="s">
        <v>21</v>
      </c>
      <c r="B16" s="4" t="s">
        <v>39</v>
      </c>
      <c r="C16" s="4" t="s">
        <v>40</v>
      </c>
      <c r="D16" s="4" t="s">
        <v>43</v>
      </c>
      <c r="E16" s="4" t="s">
        <v>25</v>
      </c>
      <c r="F16" s="4" t="s">
        <v>25</v>
      </c>
      <c r="G16" s="4" t="s">
        <v>25</v>
      </c>
      <c r="H16" s="4" t="s">
        <v>25</v>
      </c>
      <c r="I16" s="5">
        <v>44470</v>
      </c>
      <c r="J16" s="6">
        <v>0</v>
      </c>
      <c r="K16" s="6">
        <v>0</v>
      </c>
      <c r="L16" s="6">
        <v>2692.7339999999999</v>
      </c>
      <c r="M16" s="6">
        <v>2692.7339999999999</v>
      </c>
      <c r="N16" s="6">
        <v>0</v>
      </c>
      <c r="O16" s="6">
        <v>0</v>
      </c>
      <c r="P16" s="6">
        <v>2</v>
      </c>
      <c r="Q16" s="4" t="s">
        <v>58</v>
      </c>
      <c r="R16" s="4">
        <v>0</v>
      </c>
      <c r="S16" s="6">
        <v>0</v>
      </c>
      <c r="T16" s="6">
        <v>5</v>
      </c>
      <c r="U16" s="6">
        <v>0</v>
      </c>
      <c r="V16" s="6">
        <f>IF(ISERROR(VLOOKUP($S$16,'TAR FIN'!$A$1:$O$104,15,0)),0,VLOOKUP($S$16,'TAR FIN'!$A$1:$O$104,15,0))</f>
        <v>0</v>
      </c>
      <c r="W16" s="6">
        <f>IF(ISERROR(VLOOKUP($T$16,'TAR FIN'!$A$1:$O$104,15,0)),0,VLOOKUP($T$16,'TAR FIN'!$A$1:$O$104,15,0))</f>
        <v>41.95</v>
      </c>
      <c r="X16" s="6">
        <f>IF(ISERROR(VLOOKUP($U$16,'TAR FIN'!$A$1:$O$104,15,0)),0,VLOOKUP($U$16,'TAR FIN'!$A$1:$O$104,15,0))</f>
        <v>0</v>
      </c>
      <c r="Y16" s="6"/>
      <c r="Z16" s="6">
        <f ca="1">('TUSD BE'!$AM$7+'TUSD BF'!$AM$7+'TUSD CVA'!$AM$7)*1</f>
        <v>55.308089175900619</v>
      </c>
      <c r="AA16" s="6"/>
      <c r="AB16" s="6">
        <f>$K$16*$V$16</f>
        <v>0</v>
      </c>
      <c r="AC16" s="6">
        <f>$M$16*$W$16</f>
        <v>112960.19130000001</v>
      </c>
      <c r="AD16" s="6">
        <f>$O$16*$X$16</f>
        <v>0</v>
      </c>
      <c r="AE16" s="6">
        <f>$K$16*$Y$16</f>
        <v>0</v>
      </c>
      <c r="AF16" s="6">
        <f ca="1">$M$16*$Z$16</f>
        <v>148929.97219897958</v>
      </c>
      <c r="AG16" s="6">
        <f>$O$16*$AA$16</f>
        <v>0</v>
      </c>
    </row>
    <row r="17" spans="1:33" ht="11.25" customHeight="1" x14ac:dyDescent="0.25">
      <c r="A17" s="4" t="s">
        <v>21</v>
      </c>
      <c r="B17" s="4" t="s">
        <v>39</v>
      </c>
      <c r="C17" s="4" t="s">
        <v>40</v>
      </c>
      <c r="D17" s="4" t="s">
        <v>43</v>
      </c>
      <c r="E17" s="4" t="s">
        <v>25</v>
      </c>
      <c r="F17" s="4" t="s">
        <v>25</v>
      </c>
      <c r="G17" s="4" t="s">
        <v>25</v>
      </c>
      <c r="H17" s="4" t="s">
        <v>25</v>
      </c>
      <c r="I17" s="5">
        <v>44501</v>
      </c>
      <c r="J17" s="6">
        <v>0</v>
      </c>
      <c r="K17" s="6">
        <v>0</v>
      </c>
      <c r="L17" s="6">
        <v>2948.279</v>
      </c>
      <c r="M17" s="6">
        <v>2948.279</v>
      </c>
      <c r="N17" s="6">
        <v>0</v>
      </c>
      <c r="O17" s="6">
        <v>0</v>
      </c>
      <c r="P17" s="6">
        <v>2</v>
      </c>
      <c r="Q17" s="4" t="s">
        <v>58</v>
      </c>
      <c r="R17" s="4">
        <v>0</v>
      </c>
      <c r="S17" s="6">
        <v>0</v>
      </c>
      <c r="T17" s="6">
        <v>5</v>
      </c>
      <c r="U17" s="6">
        <v>0</v>
      </c>
      <c r="V17" s="6">
        <f>IF(ISERROR(VLOOKUP($S$17,'TAR FIN'!$A$1:$O$104,15,0)),0,VLOOKUP($S$17,'TAR FIN'!$A$1:$O$104,15,0))</f>
        <v>0</v>
      </c>
      <c r="W17" s="6">
        <f>IF(ISERROR(VLOOKUP($T$17,'TAR FIN'!$A$1:$O$104,15,0)),0,VLOOKUP($T$17,'TAR FIN'!$A$1:$O$104,15,0))</f>
        <v>41.95</v>
      </c>
      <c r="X17" s="6">
        <f>IF(ISERROR(VLOOKUP($U$17,'TAR FIN'!$A$1:$O$104,15,0)),0,VLOOKUP($U$17,'TAR FIN'!$A$1:$O$104,15,0))</f>
        <v>0</v>
      </c>
      <c r="Y17" s="6"/>
      <c r="Z17" s="6">
        <f ca="1">('TUSD BE'!$AM$7+'TUSD BF'!$AM$7+'TUSD CVA'!$AM$7)*1</f>
        <v>55.308089175900619</v>
      </c>
      <c r="AA17" s="6"/>
      <c r="AB17" s="6">
        <f>$K$17*$V$17</f>
        <v>0</v>
      </c>
      <c r="AC17" s="6">
        <f>$M$17*$W$17</f>
        <v>123680.30405000001</v>
      </c>
      <c r="AD17" s="6">
        <f>$O$17*$X$17</f>
        <v>0</v>
      </c>
      <c r="AE17" s="6">
        <f>$K$17*$Y$17</f>
        <v>0</v>
      </c>
      <c r="AF17" s="6">
        <f ca="1">$M$17*$Z$17</f>
        <v>163063.67784743512</v>
      </c>
      <c r="AG17" s="6">
        <f>$O$17*$AA$17</f>
        <v>0</v>
      </c>
    </row>
    <row r="18" spans="1:33" ht="11.25" customHeight="1" x14ac:dyDescent="0.25">
      <c r="A18" s="4" t="s">
        <v>21</v>
      </c>
      <c r="B18" s="4" t="s">
        <v>39</v>
      </c>
      <c r="C18" s="4" t="s">
        <v>40</v>
      </c>
      <c r="D18" s="4" t="s">
        <v>43</v>
      </c>
      <c r="E18" s="4" t="s">
        <v>25</v>
      </c>
      <c r="F18" s="4" t="s">
        <v>25</v>
      </c>
      <c r="G18" s="4" t="s">
        <v>25</v>
      </c>
      <c r="H18" s="4" t="s">
        <v>25</v>
      </c>
      <c r="I18" s="5">
        <v>44531</v>
      </c>
      <c r="J18" s="6">
        <v>0</v>
      </c>
      <c r="K18" s="6">
        <v>0</v>
      </c>
      <c r="L18" s="6">
        <v>3035.6489999999999</v>
      </c>
      <c r="M18" s="6">
        <v>3035.6489999999999</v>
      </c>
      <c r="N18" s="6">
        <v>0</v>
      </c>
      <c r="O18" s="6">
        <v>0</v>
      </c>
      <c r="P18" s="6">
        <v>2</v>
      </c>
      <c r="Q18" s="4" t="s">
        <v>58</v>
      </c>
      <c r="R18" s="4">
        <v>0</v>
      </c>
      <c r="S18" s="6">
        <v>0</v>
      </c>
      <c r="T18" s="6">
        <v>5</v>
      </c>
      <c r="U18" s="6">
        <v>0</v>
      </c>
      <c r="V18" s="6">
        <f>IF(ISERROR(VLOOKUP($S$18,'TAR FIN'!$A$1:$O$104,15,0)),0,VLOOKUP($S$18,'TAR FIN'!$A$1:$O$104,15,0))</f>
        <v>0</v>
      </c>
      <c r="W18" s="6">
        <f>IF(ISERROR(VLOOKUP($T$18,'TAR FIN'!$A$1:$O$104,15,0)),0,VLOOKUP($T$18,'TAR FIN'!$A$1:$O$104,15,0))</f>
        <v>41.95</v>
      </c>
      <c r="X18" s="6">
        <f>IF(ISERROR(VLOOKUP($U$18,'TAR FIN'!$A$1:$O$104,15,0)),0,VLOOKUP($U$18,'TAR FIN'!$A$1:$O$104,15,0))</f>
        <v>0</v>
      </c>
      <c r="Y18" s="6"/>
      <c r="Z18" s="6">
        <f ca="1">('TUSD BE'!$AM$7+'TUSD BF'!$AM$7+'TUSD CVA'!$AM$7)*1</f>
        <v>55.308089175900619</v>
      </c>
      <c r="AA18" s="6"/>
      <c r="AB18" s="6">
        <f>$K$18*$V$18</f>
        <v>0</v>
      </c>
      <c r="AC18" s="6">
        <f>$M$18*$W$18</f>
        <v>127345.47555</v>
      </c>
      <c r="AD18" s="6">
        <f>$O$18*$X$18</f>
        <v>0</v>
      </c>
      <c r="AE18" s="6">
        <f>$K$18*$Y$18</f>
        <v>0</v>
      </c>
      <c r="AF18" s="6">
        <f ca="1">$M$18*$Z$18</f>
        <v>167895.94559873352</v>
      </c>
      <c r="AG18" s="6">
        <f>$O$18*$AA$18</f>
        <v>0</v>
      </c>
    </row>
    <row r="19" spans="1:33" ht="11.25" customHeight="1" x14ac:dyDescent="0.25">
      <c r="A19" s="4" t="s">
        <v>21</v>
      </c>
      <c r="B19" s="4" t="s">
        <v>39</v>
      </c>
      <c r="C19" s="4" t="s">
        <v>40</v>
      </c>
      <c r="D19" s="4" t="s">
        <v>43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44562</v>
      </c>
      <c r="J19" s="6">
        <v>0</v>
      </c>
      <c r="K19" s="6">
        <v>0</v>
      </c>
      <c r="L19" s="6">
        <v>3267.9490000000001</v>
      </c>
      <c r="M19" s="6">
        <v>3267.9490000000001</v>
      </c>
      <c r="N19" s="6">
        <v>0</v>
      </c>
      <c r="O19" s="6">
        <v>0</v>
      </c>
      <c r="P19" s="6">
        <v>2</v>
      </c>
      <c r="Q19" s="4" t="s">
        <v>58</v>
      </c>
      <c r="R19" s="4">
        <v>0</v>
      </c>
      <c r="S19" s="6">
        <v>0</v>
      </c>
      <c r="T19" s="6">
        <v>5</v>
      </c>
      <c r="U19" s="6">
        <v>0</v>
      </c>
      <c r="V19" s="6">
        <f>IF(ISERROR(VLOOKUP($S$19,'TAR FIN'!$A$1:$O$104,15,0)),0,VLOOKUP($S$19,'TAR FIN'!$A$1:$O$104,15,0))</f>
        <v>0</v>
      </c>
      <c r="W19" s="6">
        <f>IF(ISERROR(VLOOKUP($T$19,'TAR FIN'!$A$1:$O$104,15,0)),0,VLOOKUP($T$19,'TAR FIN'!$A$1:$O$104,15,0))</f>
        <v>41.95</v>
      </c>
      <c r="X19" s="6">
        <f>IF(ISERROR(VLOOKUP($U$19,'TAR FIN'!$A$1:$O$104,15,0)),0,VLOOKUP($U$19,'TAR FIN'!$A$1:$O$104,15,0))</f>
        <v>0</v>
      </c>
      <c r="Y19" s="6"/>
      <c r="Z19" s="6">
        <f ca="1">('TUSD BE'!$AM$7+'TUSD BF'!$AM$7+'TUSD CVA'!$AM$7)*1</f>
        <v>55.308089175900619</v>
      </c>
      <c r="AA19" s="6"/>
      <c r="AB19" s="6">
        <f>$K$19*$V$19</f>
        <v>0</v>
      </c>
      <c r="AC19" s="6">
        <f>$M$19*$W$19</f>
        <v>137090.46055000002</v>
      </c>
      <c r="AD19" s="6">
        <f>$O$19*$X$19</f>
        <v>0</v>
      </c>
      <c r="AE19" s="6">
        <f>$K$19*$Y$19</f>
        <v>0</v>
      </c>
      <c r="AF19" s="6">
        <f ca="1">$M$19*$Z$19</f>
        <v>180744.01471429525</v>
      </c>
      <c r="AG19" s="6">
        <f>$O$19*$AA$19</f>
        <v>0</v>
      </c>
    </row>
    <row r="20" spans="1:33" ht="11.25" customHeight="1" x14ac:dyDescent="0.25">
      <c r="A20" s="4" t="s">
        <v>21</v>
      </c>
      <c r="B20" s="4" t="s">
        <v>39</v>
      </c>
      <c r="C20" s="4" t="s">
        <v>40</v>
      </c>
      <c r="D20" s="4" t="s">
        <v>43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44593</v>
      </c>
      <c r="J20" s="6">
        <v>0</v>
      </c>
      <c r="K20" s="6">
        <v>0</v>
      </c>
      <c r="L20" s="6">
        <v>3085.8290000000002</v>
      </c>
      <c r="M20" s="6">
        <v>3085.8290000000002</v>
      </c>
      <c r="N20" s="6">
        <v>0</v>
      </c>
      <c r="O20" s="6">
        <v>0</v>
      </c>
      <c r="P20" s="6">
        <v>2</v>
      </c>
      <c r="Q20" s="4" t="s">
        <v>58</v>
      </c>
      <c r="R20" s="4">
        <v>0</v>
      </c>
      <c r="S20" s="6">
        <v>0</v>
      </c>
      <c r="T20" s="6">
        <v>5</v>
      </c>
      <c r="U20" s="6">
        <v>0</v>
      </c>
      <c r="V20" s="6">
        <f>IF(ISERROR(VLOOKUP($S$20,'TAR FIN'!$A$1:$O$104,15,0)),0,VLOOKUP($S$20,'TAR FIN'!$A$1:$O$104,15,0))</f>
        <v>0</v>
      </c>
      <c r="W20" s="6">
        <f>IF(ISERROR(VLOOKUP($T$20,'TAR FIN'!$A$1:$O$104,15,0)),0,VLOOKUP($T$20,'TAR FIN'!$A$1:$O$104,15,0))</f>
        <v>41.95</v>
      </c>
      <c r="X20" s="6">
        <f>IF(ISERROR(VLOOKUP($U$20,'TAR FIN'!$A$1:$O$104,15,0)),0,VLOOKUP($U$20,'TAR FIN'!$A$1:$O$104,15,0))</f>
        <v>0</v>
      </c>
      <c r="Y20" s="6"/>
      <c r="Z20" s="6">
        <f ca="1">('TUSD BE'!$AM$7+'TUSD BF'!$AM$7+'TUSD CVA'!$AM$7)*1</f>
        <v>55.308089175900619</v>
      </c>
      <c r="AA20" s="6"/>
      <c r="AB20" s="6">
        <f>$K$20*$V$20</f>
        <v>0</v>
      </c>
      <c r="AC20" s="6">
        <f>$M$20*$W$20</f>
        <v>129450.52655000001</v>
      </c>
      <c r="AD20" s="6">
        <f>$O$20*$X$20</f>
        <v>0</v>
      </c>
      <c r="AE20" s="6">
        <f>$K$20*$Y$20</f>
        <v>0</v>
      </c>
      <c r="AF20" s="6">
        <f ca="1">$M$20*$Z$20</f>
        <v>170671.30551358024</v>
      </c>
      <c r="AG20" s="6">
        <f>$O$20*$AA$20</f>
        <v>0</v>
      </c>
    </row>
    <row r="21" spans="1:33" ht="11.25" customHeight="1" x14ac:dyDescent="0.25">
      <c r="A21" s="4" t="s">
        <v>21</v>
      </c>
      <c r="B21" s="4" t="s">
        <v>39</v>
      </c>
      <c r="C21" s="4" t="s">
        <v>40</v>
      </c>
      <c r="D21" s="4" t="s">
        <v>43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44621</v>
      </c>
      <c r="J21" s="6">
        <v>0</v>
      </c>
      <c r="K21" s="6">
        <v>0</v>
      </c>
      <c r="L21" s="6">
        <v>2812.7179999999998</v>
      </c>
      <c r="M21" s="6">
        <v>2812.7179999999998</v>
      </c>
      <c r="N21" s="6">
        <v>0</v>
      </c>
      <c r="O21" s="6">
        <v>0</v>
      </c>
      <c r="P21" s="6">
        <v>2</v>
      </c>
      <c r="Q21" s="4" t="s">
        <v>58</v>
      </c>
      <c r="R21" s="4">
        <v>0</v>
      </c>
      <c r="S21" s="6">
        <v>0</v>
      </c>
      <c r="T21" s="6">
        <v>5</v>
      </c>
      <c r="U21" s="6">
        <v>0</v>
      </c>
      <c r="V21" s="6">
        <f>IF(ISERROR(VLOOKUP($S$21,'TAR FIN'!$A$1:$O$104,15,0)),0,VLOOKUP($S$21,'TAR FIN'!$A$1:$O$104,15,0))</f>
        <v>0</v>
      </c>
      <c r="W21" s="6">
        <f>IF(ISERROR(VLOOKUP($T$21,'TAR FIN'!$A$1:$O$104,15,0)),0,VLOOKUP($T$21,'TAR FIN'!$A$1:$O$104,15,0))</f>
        <v>41.95</v>
      </c>
      <c r="X21" s="6">
        <f>IF(ISERROR(VLOOKUP($U$21,'TAR FIN'!$A$1:$O$104,15,0)),0,VLOOKUP($U$21,'TAR FIN'!$A$1:$O$104,15,0))</f>
        <v>0</v>
      </c>
      <c r="Y21" s="6"/>
      <c r="Z21" s="6">
        <f ca="1">('TUSD BE'!$AM$7+'TUSD BF'!$AM$7+'TUSD CVA'!$AM$7)*1</f>
        <v>55.308089175900619</v>
      </c>
      <c r="AA21" s="6"/>
      <c r="AB21" s="6">
        <f>$K$21*$V$21</f>
        <v>0</v>
      </c>
      <c r="AC21" s="6">
        <f>$M$21*$W$21</f>
        <v>117993.52010000001</v>
      </c>
      <c r="AD21" s="6">
        <f>$O$21*$X$21</f>
        <v>0</v>
      </c>
      <c r="AE21" s="6">
        <f>$K$21*$Y$21</f>
        <v>0</v>
      </c>
      <c r="AF21" s="6">
        <f ca="1">$M$21*$Z$21</f>
        <v>155566.05797066083</v>
      </c>
      <c r="AG21" s="6">
        <f>$O$21*$AA$21</f>
        <v>0</v>
      </c>
    </row>
    <row r="22" spans="1:33" ht="11.25" customHeight="1" x14ac:dyDescent="0.25">
      <c r="A22" s="4" t="s">
        <v>21</v>
      </c>
      <c r="B22" s="4" t="s">
        <v>39</v>
      </c>
      <c r="C22" s="4" t="s">
        <v>40</v>
      </c>
      <c r="D22" s="4" t="s">
        <v>43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44652</v>
      </c>
      <c r="J22" s="6">
        <v>0</v>
      </c>
      <c r="K22" s="6">
        <v>0</v>
      </c>
      <c r="L22" s="6">
        <v>3131.2710000000002</v>
      </c>
      <c r="M22" s="6">
        <v>3131.2710000000002</v>
      </c>
      <c r="N22" s="6">
        <v>0</v>
      </c>
      <c r="O22" s="6">
        <v>0</v>
      </c>
      <c r="P22" s="6">
        <v>2</v>
      </c>
      <c r="Q22" s="4" t="s">
        <v>58</v>
      </c>
      <c r="R22" s="4">
        <v>0</v>
      </c>
      <c r="S22" s="6">
        <v>0</v>
      </c>
      <c r="T22" s="6">
        <v>5</v>
      </c>
      <c r="U22" s="6">
        <v>0</v>
      </c>
      <c r="V22" s="6">
        <f>IF(ISERROR(VLOOKUP($S$22,'TAR FIN'!$A$1:$O$104,15,0)),0,VLOOKUP($S$22,'TAR FIN'!$A$1:$O$104,15,0))</f>
        <v>0</v>
      </c>
      <c r="W22" s="6">
        <f>IF(ISERROR(VLOOKUP($T$22,'TAR FIN'!$A$1:$O$104,15,0)),0,VLOOKUP($T$22,'TAR FIN'!$A$1:$O$104,15,0))</f>
        <v>41.95</v>
      </c>
      <c r="X22" s="6">
        <f>IF(ISERROR(VLOOKUP($U$22,'TAR FIN'!$A$1:$O$104,15,0)),0,VLOOKUP($U$22,'TAR FIN'!$A$1:$O$104,15,0))</f>
        <v>0</v>
      </c>
      <c r="Y22" s="6"/>
      <c r="Z22" s="6">
        <f ca="1">('TUSD BE'!$AM$7+'TUSD BF'!$AM$7+'TUSD CVA'!$AM$7)*1</f>
        <v>55.308089175900619</v>
      </c>
      <c r="AA22" s="6"/>
      <c r="AB22" s="6">
        <f>$K$22*$V$22</f>
        <v>0</v>
      </c>
      <c r="AC22" s="6">
        <f>$M$22*$W$22</f>
        <v>131356.81845000002</v>
      </c>
      <c r="AD22" s="6">
        <f>$O$22*$X$22</f>
        <v>0</v>
      </c>
      <c r="AE22" s="6">
        <f>$K$22*$Y$22</f>
        <v>0</v>
      </c>
      <c r="AF22" s="6">
        <f ca="1">$M$22*$Z$22</f>
        <v>173184.61570191151</v>
      </c>
      <c r="AG22" s="6">
        <f>$O$22*$AA$22</f>
        <v>0</v>
      </c>
    </row>
    <row r="23" spans="1:33" ht="11.25" customHeight="1" x14ac:dyDescent="0.25">
      <c r="A23" s="4" t="s">
        <v>21</v>
      </c>
      <c r="B23" s="4" t="s">
        <v>39</v>
      </c>
      <c r="C23" s="4" t="s">
        <v>40</v>
      </c>
      <c r="D23" s="4" t="s">
        <v>43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44682</v>
      </c>
      <c r="J23" s="6">
        <v>0</v>
      </c>
      <c r="K23" s="6">
        <v>0</v>
      </c>
      <c r="L23" s="6">
        <v>2944.0569999999998</v>
      </c>
      <c r="M23" s="6">
        <v>2944.0569999999998</v>
      </c>
      <c r="N23" s="6">
        <v>0</v>
      </c>
      <c r="O23" s="6">
        <v>0</v>
      </c>
      <c r="P23" s="6">
        <v>2</v>
      </c>
      <c r="Q23" s="4" t="s">
        <v>58</v>
      </c>
      <c r="R23" s="4">
        <v>0</v>
      </c>
      <c r="S23" s="6">
        <v>0</v>
      </c>
      <c r="T23" s="6">
        <v>5</v>
      </c>
      <c r="U23" s="6">
        <v>0</v>
      </c>
      <c r="V23" s="6">
        <f>IF(ISERROR(VLOOKUP($S$23,'TAR FIN'!$A$1:$O$104,15,0)),0,VLOOKUP($S$23,'TAR FIN'!$A$1:$O$104,15,0))</f>
        <v>0</v>
      </c>
      <c r="W23" s="6">
        <f>IF(ISERROR(VLOOKUP($T$23,'TAR FIN'!$A$1:$O$104,15,0)),0,VLOOKUP($T$23,'TAR FIN'!$A$1:$O$104,15,0))</f>
        <v>41.95</v>
      </c>
      <c r="X23" s="6">
        <f>IF(ISERROR(VLOOKUP($U$23,'TAR FIN'!$A$1:$O$104,15,0)),0,VLOOKUP($U$23,'TAR FIN'!$A$1:$O$104,15,0))</f>
        <v>0</v>
      </c>
      <c r="Y23" s="6"/>
      <c r="Z23" s="6">
        <f ca="1">('TUSD BE'!$AM$7+'TUSD BF'!$AM$7+'TUSD CVA'!$AM$7)*1</f>
        <v>55.308089175900619</v>
      </c>
      <c r="AA23" s="6"/>
      <c r="AB23" s="6">
        <f>$K$23*$V$23</f>
        <v>0</v>
      </c>
      <c r="AC23" s="6">
        <f>$M$23*$W$23</f>
        <v>123503.19115</v>
      </c>
      <c r="AD23" s="6">
        <f>$O$23*$X$23</f>
        <v>0</v>
      </c>
      <c r="AE23" s="6">
        <f>$K$23*$Y$23</f>
        <v>0</v>
      </c>
      <c r="AF23" s="6">
        <f ca="1">$M$23*$Z$23</f>
        <v>162830.16709493444</v>
      </c>
      <c r="AG23" s="6">
        <f>$O$23*$AA$23</f>
        <v>0</v>
      </c>
    </row>
    <row r="24" spans="1:33" ht="11.25" customHeight="1" x14ac:dyDescent="0.25">
      <c r="A24" s="4" t="s">
        <v>21</v>
      </c>
      <c r="B24" s="4" t="s">
        <v>39</v>
      </c>
      <c r="C24" s="4" t="s">
        <v>40</v>
      </c>
      <c r="D24" s="4" t="s">
        <v>43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44713</v>
      </c>
      <c r="J24" s="6">
        <v>0</v>
      </c>
      <c r="K24" s="6">
        <v>0</v>
      </c>
      <c r="L24" s="6">
        <v>3004.7359999999999</v>
      </c>
      <c r="M24" s="6">
        <v>3004.7359999999999</v>
      </c>
      <c r="N24" s="6">
        <v>0</v>
      </c>
      <c r="O24" s="6">
        <v>0</v>
      </c>
      <c r="P24" s="6">
        <v>2</v>
      </c>
      <c r="Q24" s="4" t="s">
        <v>58</v>
      </c>
      <c r="R24" s="4">
        <v>0</v>
      </c>
      <c r="S24" s="6">
        <v>0</v>
      </c>
      <c r="T24" s="6">
        <v>5</v>
      </c>
      <c r="U24" s="6">
        <v>0</v>
      </c>
      <c r="V24" s="6">
        <f>IF(ISERROR(VLOOKUP($S$24,'TAR FIN'!$A$1:$O$104,15,0)),0,VLOOKUP($S$24,'TAR FIN'!$A$1:$O$104,15,0))</f>
        <v>0</v>
      </c>
      <c r="W24" s="6">
        <f>IF(ISERROR(VLOOKUP($T$24,'TAR FIN'!$A$1:$O$104,15,0)),0,VLOOKUP($T$24,'TAR FIN'!$A$1:$O$104,15,0))</f>
        <v>41.95</v>
      </c>
      <c r="X24" s="6">
        <f>IF(ISERROR(VLOOKUP($U$24,'TAR FIN'!$A$1:$O$104,15,0)),0,VLOOKUP($U$24,'TAR FIN'!$A$1:$O$104,15,0))</f>
        <v>0</v>
      </c>
      <c r="Y24" s="6"/>
      <c r="Z24" s="6">
        <f ca="1">('TUSD BE'!$AM$7+'TUSD BF'!$AM$7+'TUSD CVA'!$AM$7)*1</f>
        <v>55.308089175900619</v>
      </c>
      <c r="AA24" s="6"/>
      <c r="AB24" s="6">
        <f>$K$24*$V$24</f>
        <v>0</v>
      </c>
      <c r="AC24" s="6">
        <f>$M$24*$W$24</f>
        <v>126048.6752</v>
      </c>
      <c r="AD24" s="6">
        <f>$O$24*$X$24</f>
        <v>0</v>
      </c>
      <c r="AE24" s="6">
        <f>$K$24*$Y$24</f>
        <v>0</v>
      </c>
      <c r="AF24" s="6">
        <f ca="1">$M$24*$Z$24</f>
        <v>166186.20663803892</v>
      </c>
      <c r="AG24" s="6">
        <f>$O$24*$AA$24</f>
        <v>0</v>
      </c>
    </row>
    <row r="25" spans="1:33" ht="11.25" customHeight="1" x14ac:dyDescent="0.25">
      <c r="A25" s="4" t="s">
        <v>57</v>
      </c>
      <c r="B25" s="4" t="s">
        <v>39</v>
      </c>
      <c r="C25" s="4" t="s">
        <v>40</v>
      </c>
      <c r="D25" s="4" t="s">
        <v>43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44743</v>
      </c>
      <c r="J25" s="6">
        <v>0</v>
      </c>
      <c r="K25" s="6">
        <v>0</v>
      </c>
      <c r="L25" s="6">
        <v>3004.7359999999999</v>
      </c>
      <c r="M25" s="6">
        <v>3004.7359999999999</v>
      </c>
      <c r="N25" s="6">
        <v>0</v>
      </c>
      <c r="O25" s="6">
        <v>0</v>
      </c>
      <c r="P25" s="6">
        <v>2</v>
      </c>
      <c r="Q25" s="4" t="s">
        <v>58</v>
      </c>
      <c r="R25" s="4">
        <v>0</v>
      </c>
      <c r="S25" s="6">
        <v>0</v>
      </c>
      <c r="T25" s="6">
        <v>5</v>
      </c>
      <c r="U25" s="6">
        <v>0</v>
      </c>
      <c r="V25" s="6">
        <f>IF(ISERROR(VLOOKUP($S$25,'TAR FIN'!$A$1:$O$104,15,0)),0,VLOOKUP($S$25,'TAR FIN'!$A$1:$O$104,15,0))</f>
        <v>0</v>
      </c>
      <c r="W25" s="6">
        <f>IF(ISERROR(VLOOKUP($T$25,'TAR FIN'!$A$1:$O$104,15,0)),0,VLOOKUP($T$25,'TAR FIN'!$A$1:$O$104,15,0))</f>
        <v>41.95</v>
      </c>
      <c r="X25" s="6">
        <f>IF(ISERROR(VLOOKUP($U$25,'TAR FIN'!$A$1:$O$104,15,0)),0,VLOOKUP($U$25,'TAR FIN'!$A$1:$O$104,15,0))</f>
        <v>0</v>
      </c>
      <c r="Y25" s="6"/>
      <c r="Z25" s="6">
        <f ca="1">('TUSD BE'!$AM$7+'TUSD BF'!$AM$7+'TUSD CVA'!$AM$7)*1</f>
        <v>55.308089175900619</v>
      </c>
      <c r="AA25" s="6"/>
      <c r="AB25" s="6">
        <f>$K$25*$V$25</f>
        <v>0</v>
      </c>
      <c r="AC25" s="6">
        <f>$M$25*$W$25</f>
        <v>126048.6752</v>
      </c>
      <c r="AD25" s="6">
        <f>$O$25*$X$25</f>
        <v>0</v>
      </c>
      <c r="AE25" s="6">
        <f>$K$25*$Y$25</f>
        <v>0</v>
      </c>
      <c r="AF25" s="6">
        <f ca="1">$M$25*$Z$25</f>
        <v>166186.20663803892</v>
      </c>
      <c r="AG25" s="6">
        <f>$O$25*$AA$25</f>
        <v>0</v>
      </c>
    </row>
    <row r="26" spans="1:33" ht="11.25" customHeight="1" x14ac:dyDescent="0.25">
      <c r="A26" s="4" t="s">
        <v>21</v>
      </c>
      <c r="B26" s="4" t="s">
        <v>39</v>
      </c>
      <c r="C26" s="4" t="s">
        <v>40</v>
      </c>
      <c r="D26" s="4" t="s">
        <v>43</v>
      </c>
      <c r="E26" s="4" t="s">
        <v>25</v>
      </c>
      <c r="F26" s="4" t="s">
        <v>25</v>
      </c>
      <c r="G26" s="4" t="s">
        <v>25</v>
      </c>
      <c r="H26" s="4" t="s">
        <v>34</v>
      </c>
      <c r="I26" s="5">
        <v>44409</v>
      </c>
      <c r="J26" s="6">
        <v>6500</v>
      </c>
      <c r="K26" s="6">
        <v>6500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58</v>
      </c>
      <c r="R26" s="4">
        <v>0</v>
      </c>
      <c r="S26" s="6">
        <v>1</v>
      </c>
      <c r="T26" s="6">
        <v>0</v>
      </c>
      <c r="U26" s="6">
        <v>0</v>
      </c>
      <c r="V26" s="6">
        <f>IF(ISERROR(VLOOKUP($S$26,'TAR FIN'!$A$1:$O$104,15,0)),0,VLOOKUP($S$26,'TAR FIN'!$A$1:$O$104,15,0))</f>
        <v>21.48</v>
      </c>
      <c r="W26" s="6">
        <f>IF(ISERROR(VLOOKUP($T$26,'TAR FIN'!$A$1:$O$104,15,0)),0,VLOOKUP($T$26,'TAR FIN'!$A$1:$O$104,15,0))</f>
        <v>0</v>
      </c>
      <c r="X26" s="6">
        <f>IF(ISERROR(VLOOKUP($U$26,'TAR FIN'!$A$1:$O$104,15,0)),0,VLOOKUP($U$26,'TAR FIN'!$A$1:$O$104,15,0))</f>
        <v>0</v>
      </c>
      <c r="Y26" s="6">
        <f ca="1">('TUSD BE'!$AM$5+'TUSD BF'!$AM$5+'TUSD CVA'!$AM$5)*1</f>
        <v>21.312847359717548</v>
      </c>
      <c r="Z26" s="6">
        <f ca="1">('TUSD BE'!$AM$7+'TUSD BF'!$AM$7+'TUSD CVA'!$AM$7)*1</f>
        <v>55.308089175900619</v>
      </c>
      <c r="AA26" s="6"/>
      <c r="AB26" s="6">
        <f>$K$26*$V$26</f>
        <v>139620</v>
      </c>
      <c r="AC26" s="6">
        <f>$M$26*$W$26</f>
        <v>0</v>
      </c>
      <c r="AD26" s="6">
        <f>$O$26*$X$26</f>
        <v>0</v>
      </c>
      <c r="AE26" s="6">
        <f ca="1">$K$26*$Y$26</f>
        <v>138533.50783816405</v>
      </c>
      <c r="AF26" s="6">
        <f ca="1"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39</v>
      </c>
      <c r="C27" s="4" t="s">
        <v>40</v>
      </c>
      <c r="D27" s="4" t="s">
        <v>43</v>
      </c>
      <c r="E27" s="4" t="s">
        <v>25</v>
      </c>
      <c r="F27" s="4" t="s">
        <v>25</v>
      </c>
      <c r="G27" s="4" t="s">
        <v>25</v>
      </c>
      <c r="H27" s="4" t="s">
        <v>34</v>
      </c>
      <c r="I27" s="5">
        <v>44440</v>
      </c>
      <c r="J27" s="6">
        <v>6500</v>
      </c>
      <c r="K27" s="6">
        <v>6500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58</v>
      </c>
      <c r="R27" s="4">
        <v>0</v>
      </c>
      <c r="S27" s="6">
        <v>1</v>
      </c>
      <c r="T27" s="6">
        <v>0</v>
      </c>
      <c r="U27" s="6">
        <v>0</v>
      </c>
      <c r="V27" s="6">
        <f>IF(ISERROR(VLOOKUP($S$27,'TAR FIN'!$A$1:$O$104,15,0)),0,VLOOKUP($S$27,'TAR FIN'!$A$1:$O$104,15,0))</f>
        <v>21.48</v>
      </c>
      <c r="W27" s="6">
        <f>IF(ISERROR(VLOOKUP($T$27,'TAR FIN'!$A$1:$O$104,15,0)),0,VLOOKUP($T$27,'TAR FIN'!$A$1:$O$104,15,0))</f>
        <v>0</v>
      </c>
      <c r="X27" s="6">
        <f>IF(ISERROR(VLOOKUP($U$27,'TAR FIN'!$A$1:$O$104,15,0)),0,VLOOKUP($U$27,'TAR FIN'!$A$1:$O$104,15,0))</f>
        <v>0</v>
      </c>
      <c r="Y27" s="6">
        <f ca="1">('TUSD BE'!$AM$5+'TUSD BF'!$AM$5+'TUSD CVA'!$AM$5)*1</f>
        <v>21.312847359717548</v>
      </c>
      <c r="Z27" s="6">
        <f ca="1">('TUSD BE'!$AM$7+'TUSD BF'!$AM$7+'TUSD CVA'!$AM$7)*1</f>
        <v>55.308089175900619</v>
      </c>
      <c r="AA27" s="6"/>
      <c r="AB27" s="6">
        <f>$K$27*$V$27</f>
        <v>139620</v>
      </c>
      <c r="AC27" s="6">
        <f>$M$27*$W$27</f>
        <v>0</v>
      </c>
      <c r="AD27" s="6">
        <f>$O$27*$X$27</f>
        <v>0</v>
      </c>
      <c r="AE27" s="6">
        <f ca="1">$K$27*$Y$27</f>
        <v>138533.50783816405</v>
      </c>
      <c r="AF27" s="6">
        <f ca="1">$M$27*$Z$27</f>
        <v>0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39</v>
      </c>
      <c r="C28" s="4" t="s">
        <v>40</v>
      </c>
      <c r="D28" s="4" t="s">
        <v>43</v>
      </c>
      <c r="E28" s="4" t="s">
        <v>25</v>
      </c>
      <c r="F28" s="4" t="s">
        <v>25</v>
      </c>
      <c r="G28" s="4" t="s">
        <v>25</v>
      </c>
      <c r="H28" s="4" t="s">
        <v>34</v>
      </c>
      <c r="I28" s="5">
        <v>44470</v>
      </c>
      <c r="J28" s="6">
        <v>6500</v>
      </c>
      <c r="K28" s="6">
        <v>6500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58</v>
      </c>
      <c r="R28" s="4">
        <v>0</v>
      </c>
      <c r="S28" s="6">
        <v>1</v>
      </c>
      <c r="T28" s="6">
        <v>0</v>
      </c>
      <c r="U28" s="6">
        <v>0</v>
      </c>
      <c r="V28" s="6">
        <f>IF(ISERROR(VLOOKUP($S$28,'TAR FIN'!$A$1:$O$104,15,0)),0,VLOOKUP($S$28,'TAR FIN'!$A$1:$O$104,15,0))</f>
        <v>21.48</v>
      </c>
      <c r="W28" s="6">
        <f>IF(ISERROR(VLOOKUP($T$28,'TAR FIN'!$A$1:$O$104,15,0)),0,VLOOKUP($T$28,'TAR FIN'!$A$1:$O$104,15,0))</f>
        <v>0</v>
      </c>
      <c r="X28" s="6">
        <f>IF(ISERROR(VLOOKUP($U$28,'TAR FIN'!$A$1:$O$104,15,0)),0,VLOOKUP($U$28,'TAR FIN'!$A$1:$O$104,15,0))</f>
        <v>0</v>
      </c>
      <c r="Y28" s="6">
        <f ca="1">('TUSD BE'!$AM$5+'TUSD BF'!$AM$5+'TUSD CVA'!$AM$5)*1</f>
        <v>21.312847359717548</v>
      </c>
      <c r="Z28" s="6">
        <f ca="1">('TUSD BE'!$AM$7+'TUSD BF'!$AM$7+'TUSD CVA'!$AM$7)*1</f>
        <v>55.308089175900619</v>
      </c>
      <c r="AA28" s="6"/>
      <c r="AB28" s="6">
        <f>$K$28*$V$28</f>
        <v>139620</v>
      </c>
      <c r="AC28" s="6">
        <f>$M$28*$W$28</f>
        <v>0</v>
      </c>
      <c r="AD28" s="6">
        <f>$O$28*$X$28</f>
        <v>0</v>
      </c>
      <c r="AE28" s="6">
        <f ca="1">$K$28*$Y$28</f>
        <v>138533.50783816405</v>
      </c>
      <c r="AF28" s="6">
        <f ca="1">$M$28*$Z$28</f>
        <v>0</v>
      </c>
      <c r="AG28" s="6">
        <f>$O$28*$AA$28</f>
        <v>0</v>
      </c>
    </row>
    <row r="29" spans="1:33" ht="11.25" customHeight="1" x14ac:dyDescent="0.25">
      <c r="A29" s="4" t="s">
        <v>21</v>
      </c>
      <c r="B29" s="4" t="s">
        <v>39</v>
      </c>
      <c r="C29" s="4" t="s">
        <v>40</v>
      </c>
      <c r="D29" s="4" t="s">
        <v>43</v>
      </c>
      <c r="E29" s="4" t="s">
        <v>25</v>
      </c>
      <c r="F29" s="4" t="s">
        <v>25</v>
      </c>
      <c r="G29" s="4" t="s">
        <v>25</v>
      </c>
      <c r="H29" s="4" t="s">
        <v>34</v>
      </c>
      <c r="I29" s="5">
        <v>44501</v>
      </c>
      <c r="J29" s="6">
        <v>6500</v>
      </c>
      <c r="K29" s="6">
        <v>6500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58</v>
      </c>
      <c r="R29" s="4">
        <v>0</v>
      </c>
      <c r="S29" s="6">
        <v>1</v>
      </c>
      <c r="T29" s="6">
        <v>0</v>
      </c>
      <c r="U29" s="6">
        <v>0</v>
      </c>
      <c r="V29" s="6">
        <f>IF(ISERROR(VLOOKUP($S$29,'TAR FIN'!$A$1:$O$104,15,0)),0,VLOOKUP($S$29,'TAR FIN'!$A$1:$O$104,15,0))</f>
        <v>21.48</v>
      </c>
      <c r="W29" s="6">
        <f>IF(ISERROR(VLOOKUP($T$29,'TAR FIN'!$A$1:$O$104,15,0)),0,VLOOKUP($T$29,'TAR FIN'!$A$1:$O$104,15,0))</f>
        <v>0</v>
      </c>
      <c r="X29" s="6">
        <f>IF(ISERROR(VLOOKUP($U$29,'TAR FIN'!$A$1:$O$104,15,0)),0,VLOOKUP($U$29,'TAR FIN'!$A$1:$O$104,15,0))</f>
        <v>0</v>
      </c>
      <c r="Y29" s="6">
        <f ca="1">('TUSD BE'!$AM$5+'TUSD BF'!$AM$5+'TUSD CVA'!$AM$5)*1</f>
        <v>21.312847359717548</v>
      </c>
      <c r="Z29" s="6">
        <f ca="1">('TUSD BE'!$AM$7+'TUSD BF'!$AM$7+'TUSD CVA'!$AM$7)*1</f>
        <v>55.308089175900619</v>
      </c>
      <c r="AA29" s="6"/>
      <c r="AB29" s="6">
        <f>$K$29*$V$29</f>
        <v>139620</v>
      </c>
      <c r="AC29" s="6">
        <f>$M$29*$W$29</f>
        <v>0</v>
      </c>
      <c r="AD29" s="6">
        <f>$O$29*$X$29</f>
        <v>0</v>
      </c>
      <c r="AE29" s="6">
        <f ca="1">$K$29*$Y$29</f>
        <v>138533.50783816405</v>
      </c>
      <c r="AF29" s="6">
        <f ca="1"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39</v>
      </c>
      <c r="C30" s="4" t="s">
        <v>40</v>
      </c>
      <c r="D30" s="4" t="s">
        <v>43</v>
      </c>
      <c r="E30" s="4" t="s">
        <v>25</v>
      </c>
      <c r="F30" s="4" t="s">
        <v>25</v>
      </c>
      <c r="G30" s="4" t="s">
        <v>25</v>
      </c>
      <c r="H30" s="4" t="s">
        <v>34</v>
      </c>
      <c r="I30" s="5">
        <v>44531</v>
      </c>
      <c r="J30" s="6">
        <v>6500</v>
      </c>
      <c r="K30" s="6">
        <v>6500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58</v>
      </c>
      <c r="R30" s="4">
        <v>0</v>
      </c>
      <c r="S30" s="6">
        <v>1</v>
      </c>
      <c r="T30" s="6">
        <v>0</v>
      </c>
      <c r="U30" s="6">
        <v>0</v>
      </c>
      <c r="V30" s="6">
        <f>IF(ISERROR(VLOOKUP($S$30,'TAR FIN'!$A$1:$O$104,15,0)),0,VLOOKUP($S$30,'TAR FIN'!$A$1:$O$104,15,0))</f>
        <v>21.48</v>
      </c>
      <c r="W30" s="6">
        <f>IF(ISERROR(VLOOKUP($T$30,'TAR FIN'!$A$1:$O$104,15,0)),0,VLOOKUP($T$30,'TAR FIN'!$A$1:$O$104,15,0))</f>
        <v>0</v>
      </c>
      <c r="X30" s="6">
        <f>IF(ISERROR(VLOOKUP($U$30,'TAR FIN'!$A$1:$O$104,15,0)),0,VLOOKUP($U$30,'TAR FIN'!$A$1:$O$104,15,0))</f>
        <v>0</v>
      </c>
      <c r="Y30" s="6">
        <f ca="1">('TUSD BE'!$AM$5+'TUSD BF'!$AM$5+'TUSD CVA'!$AM$5)*1</f>
        <v>21.312847359717548</v>
      </c>
      <c r="Z30" s="6">
        <f ca="1">('TUSD BE'!$AM$7+'TUSD BF'!$AM$7+'TUSD CVA'!$AM$7)*1</f>
        <v>55.308089175900619</v>
      </c>
      <c r="AA30" s="6"/>
      <c r="AB30" s="6">
        <f>$K$30*$V$30</f>
        <v>139620</v>
      </c>
      <c r="AC30" s="6">
        <f>$M$30*$W$30</f>
        <v>0</v>
      </c>
      <c r="AD30" s="6">
        <f>$O$30*$X$30</f>
        <v>0</v>
      </c>
      <c r="AE30" s="6">
        <f ca="1">$K$30*$Y$30</f>
        <v>138533.50783816405</v>
      </c>
      <c r="AF30" s="6">
        <f ca="1">$M$30*$Z$30</f>
        <v>0</v>
      </c>
      <c r="AG30" s="6">
        <f>$O$30*$AA$30</f>
        <v>0</v>
      </c>
    </row>
    <row r="31" spans="1:33" ht="11.25" customHeight="1" x14ac:dyDescent="0.25">
      <c r="A31" s="4" t="s">
        <v>21</v>
      </c>
      <c r="B31" s="4" t="s">
        <v>39</v>
      </c>
      <c r="C31" s="4" t="s">
        <v>40</v>
      </c>
      <c r="D31" s="4" t="s">
        <v>43</v>
      </c>
      <c r="E31" s="4" t="s">
        <v>25</v>
      </c>
      <c r="F31" s="4" t="s">
        <v>25</v>
      </c>
      <c r="G31" s="4" t="s">
        <v>25</v>
      </c>
      <c r="H31" s="4" t="s">
        <v>34</v>
      </c>
      <c r="I31" s="5">
        <v>44562</v>
      </c>
      <c r="J31" s="6">
        <v>6696</v>
      </c>
      <c r="K31" s="6">
        <v>6696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58</v>
      </c>
      <c r="R31" s="4">
        <v>0</v>
      </c>
      <c r="S31" s="6">
        <v>1</v>
      </c>
      <c r="T31" s="6">
        <v>0</v>
      </c>
      <c r="U31" s="6">
        <v>0</v>
      </c>
      <c r="V31" s="6">
        <f>IF(ISERROR(VLOOKUP($S$31,'TAR FIN'!$A$1:$O$104,15,0)),0,VLOOKUP($S$31,'TAR FIN'!$A$1:$O$104,15,0))</f>
        <v>21.48</v>
      </c>
      <c r="W31" s="6">
        <f>IF(ISERROR(VLOOKUP($T$31,'TAR FIN'!$A$1:$O$104,15,0)),0,VLOOKUP($T$31,'TAR FIN'!$A$1:$O$104,15,0))</f>
        <v>0</v>
      </c>
      <c r="X31" s="6">
        <f>IF(ISERROR(VLOOKUP($U$31,'TAR FIN'!$A$1:$O$104,15,0)),0,VLOOKUP($U$31,'TAR FIN'!$A$1:$O$104,15,0))</f>
        <v>0</v>
      </c>
      <c r="Y31" s="6">
        <f ca="1">('TUSD BE'!$AM$5+'TUSD BF'!$AM$5+'TUSD CVA'!$AM$5)*1</f>
        <v>21.312847359717548</v>
      </c>
      <c r="Z31" s="6">
        <f ca="1">('TUSD BE'!$AM$7+'TUSD BF'!$AM$7+'TUSD CVA'!$AM$7)*1</f>
        <v>55.308089175900619</v>
      </c>
      <c r="AA31" s="6"/>
      <c r="AB31" s="6">
        <f>$K$31*$V$31</f>
        <v>143830.08000000002</v>
      </c>
      <c r="AC31" s="6">
        <f>$M$31*$W$31</f>
        <v>0</v>
      </c>
      <c r="AD31" s="6">
        <f>$O$31*$X$31</f>
        <v>0</v>
      </c>
      <c r="AE31" s="6">
        <f ca="1">$K$31*$Y$31</f>
        <v>142710.82592066869</v>
      </c>
      <c r="AF31" s="6">
        <f ca="1">$M$31*$Z$31</f>
        <v>0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39</v>
      </c>
      <c r="C32" s="4" t="s">
        <v>40</v>
      </c>
      <c r="D32" s="4" t="s">
        <v>43</v>
      </c>
      <c r="E32" s="4" t="s">
        <v>25</v>
      </c>
      <c r="F32" s="4" t="s">
        <v>25</v>
      </c>
      <c r="G32" s="4" t="s">
        <v>25</v>
      </c>
      <c r="H32" s="4" t="s">
        <v>34</v>
      </c>
      <c r="I32" s="5">
        <v>44593</v>
      </c>
      <c r="J32" s="6">
        <v>6512</v>
      </c>
      <c r="K32" s="6">
        <v>6512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58</v>
      </c>
      <c r="R32" s="4">
        <v>0</v>
      </c>
      <c r="S32" s="6">
        <v>1</v>
      </c>
      <c r="T32" s="6">
        <v>0</v>
      </c>
      <c r="U32" s="6">
        <v>0</v>
      </c>
      <c r="V32" s="6">
        <f>IF(ISERROR(VLOOKUP($S$32,'TAR FIN'!$A$1:$O$104,15,0)),0,VLOOKUP($S$32,'TAR FIN'!$A$1:$O$104,15,0))</f>
        <v>21.48</v>
      </c>
      <c r="W32" s="6">
        <f>IF(ISERROR(VLOOKUP($T$32,'TAR FIN'!$A$1:$O$104,15,0)),0,VLOOKUP($T$32,'TAR FIN'!$A$1:$O$104,15,0))</f>
        <v>0</v>
      </c>
      <c r="X32" s="6">
        <f>IF(ISERROR(VLOOKUP($U$32,'TAR FIN'!$A$1:$O$104,15,0)),0,VLOOKUP($U$32,'TAR FIN'!$A$1:$O$104,15,0))</f>
        <v>0</v>
      </c>
      <c r="Y32" s="6">
        <f ca="1">('TUSD BE'!$AM$5+'TUSD BF'!$AM$5+'TUSD CVA'!$AM$5)*1</f>
        <v>21.312847359717548</v>
      </c>
      <c r="Z32" s="6">
        <f ca="1">('TUSD BE'!$AM$7+'TUSD BF'!$AM$7+'TUSD CVA'!$AM$7)*1</f>
        <v>55.308089175900619</v>
      </c>
      <c r="AA32" s="6"/>
      <c r="AB32" s="6">
        <f>$K$32*$V$32</f>
        <v>139877.76000000001</v>
      </c>
      <c r="AC32" s="6">
        <f>$M$32*$W$32</f>
        <v>0</v>
      </c>
      <c r="AD32" s="6">
        <f>$O$32*$X$32</f>
        <v>0</v>
      </c>
      <c r="AE32" s="6">
        <f ca="1">$K$32*$Y$32</f>
        <v>138789.26200648068</v>
      </c>
      <c r="AF32" s="6">
        <f ca="1"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39</v>
      </c>
      <c r="C33" s="4" t="s">
        <v>40</v>
      </c>
      <c r="D33" s="4" t="s">
        <v>43</v>
      </c>
      <c r="E33" s="4" t="s">
        <v>25</v>
      </c>
      <c r="F33" s="4" t="s">
        <v>25</v>
      </c>
      <c r="G33" s="4" t="s">
        <v>25</v>
      </c>
      <c r="H33" s="4" t="s">
        <v>34</v>
      </c>
      <c r="I33" s="5">
        <v>44621</v>
      </c>
      <c r="J33" s="6">
        <v>6500</v>
      </c>
      <c r="K33" s="6">
        <v>6500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58</v>
      </c>
      <c r="R33" s="4">
        <v>0</v>
      </c>
      <c r="S33" s="6">
        <v>1</v>
      </c>
      <c r="T33" s="6">
        <v>0</v>
      </c>
      <c r="U33" s="6">
        <v>0</v>
      </c>
      <c r="V33" s="6">
        <f>IF(ISERROR(VLOOKUP($S$33,'TAR FIN'!$A$1:$O$104,15,0)),0,VLOOKUP($S$33,'TAR FIN'!$A$1:$O$104,15,0))</f>
        <v>21.48</v>
      </c>
      <c r="W33" s="6">
        <f>IF(ISERROR(VLOOKUP($T$33,'TAR FIN'!$A$1:$O$104,15,0)),0,VLOOKUP($T$33,'TAR FIN'!$A$1:$O$104,15,0))</f>
        <v>0</v>
      </c>
      <c r="X33" s="6">
        <f>IF(ISERROR(VLOOKUP($U$33,'TAR FIN'!$A$1:$O$104,15,0)),0,VLOOKUP($U$33,'TAR FIN'!$A$1:$O$104,15,0))</f>
        <v>0</v>
      </c>
      <c r="Y33" s="6">
        <f ca="1">('TUSD BE'!$AM$5+'TUSD BF'!$AM$5+'TUSD CVA'!$AM$5)*1</f>
        <v>21.312847359717548</v>
      </c>
      <c r="Z33" s="6">
        <f ca="1">('TUSD BE'!$AM$7+'TUSD BF'!$AM$7+'TUSD CVA'!$AM$7)*1</f>
        <v>55.308089175900619</v>
      </c>
      <c r="AA33" s="6"/>
      <c r="AB33" s="6">
        <f>$K$33*$V$33</f>
        <v>139620</v>
      </c>
      <c r="AC33" s="6">
        <f>$M$33*$W$33</f>
        <v>0</v>
      </c>
      <c r="AD33" s="6">
        <f>$O$33*$X$33</f>
        <v>0</v>
      </c>
      <c r="AE33" s="6">
        <f ca="1">$K$33*$Y$33</f>
        <v>138533.50783816405</v>
      </c>
      <c r="AF33" s="6">
        <f ca="1"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39</v>
      </c>
      <c r="C34" s="4" t="s">
        <v>40</v>
      </c>
      <c r="D34" s="4" t="s">
        <v>43</v>
      </c>
      <c r="E34" s="4" t="s">
        <v>25</v>
      </c>
      <c r="F34" s="4" t="s">
        <v>25</v>
      </c>
      <c r="G34" s="4" t="s">
        <v>25</v>
      </c>
      <c r="H34" s="4" t="s">
        <v>34</v>
      </c>
      <c r="I34" s="5">
        <v>44652</v>
      </c>
      <c r="J34" s="6">
        <v>6500</v>
      </c>
      <c r="K34" s="6">
        <v>6500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58</v>
      </c>
      <c r="R34" s="4">
        <v>0</v>
      </c>
      <c r="S34" s="6">
        <v>1</v>
      </c>
      <c r="T34" s="6">
        <v>0</v>
      </c>
      <c r="U34" s="6">
        <v>0</v>
      </c>
      <c r="V34" s="6">
        <f>IF(ISERROR(VLOOKUP($S$34,'TAR FIN'!$A$1:$O$104,15,0)),0,VLOOKUP($S$34,'TAR FIN'!$A$1:$O$104,15,0))</f>
        <v>21.48</v>
      </c>
      <c r="W34" s="6">
        <f>IF(ISERROR(VLOOKUP($T$34,'TAR FIN'!$A$1:$O$104,15,0)),0,VLOOKUP($T$34,'TAR FIN'!$A$1:$O$104,15,0))</f>
        <v>0</v>
      </c>
      <c r="X34" s="6">
        <f>IF(ISERROR(VLOOKUP($U$34,'TAR FIN'!$A$1:$O$104,15,0)),0,VLOOKUP($U$34,'TAR FIN'!$A$1:$O$104,15,0))</f>
        <v>0</v>
      </c>
      <c r="Y34" s="6">
        <f ca="1">('TUSD BE'!$AM$5+'TUSD BF'!$AM$5+'TUSD CVA'!$AM$5)*1</f>
        <v>21.312847359717548</v>
      </c>
      <c r="Z34" s="6">
        <f ca="1">('TUSD BE'!$AM$7+'TUSD BF'!$AM$7+'TUSD CVA'!$AM$7)*1</f>
        <v>55.308089175900619</v>
      </c>
      <c r="AA34" s="6"/>
      <c r="AB34" s="6">
        <f>$K$34*$V$34</f>
        <v>139620</v>
      </c>
      <c r="AC34" s="6">
        <f>$M$34*$W$34</f>
        <v>0</v>
      </c>
      <c r="AD34" s="6">
        <f>$O$34*$X$34</f>
        <v>0</v>
      </c>
      <c r="AE34" s="6">
        <f ca="1">$K$34*$Y$34</f>
        <v>138533.50783816405</v>
      </c>
      <c r="AF34" s="6">
        <f ca="1"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39</v>
      </c>
      <c r="C35" s="4" t="s">
        <v>40</v>
      </c>
      <c r="D35" s="4" t="s">
        <v>43</v>
      </c>
      <c r="E35" s="4" t="s">
        <v>25</v>
      </c>
      <c r="F35" s="4" t="s">
        <v>25</v>
      </c>
      <c r="G35" s="4" t="s">
        <v>25</v>
      </c>
      <c r="H35" s="4" t="s">
        <v>34</v>
      </c>
      <c r="I35" s="5">
        <v>44682</v>
      </c>
      <c r="J35" s="6">
        <v>6596</v>
      </c>
      <c r="K35" s="6">
        <v>6596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58</v>
      </c>
      <c r="R35" s="4">
        <v>0</v>
      </c>
      <c r="S35" s="6">
        <v>1</v>
      </c>
      <c r="T35" s="6">
        <v>0</v>
      </c>
      <c r="U35" s="6">
        <v>0</v>
      </c>
      <c r="V35" s="6">
        <f>IF(ISERROR(VLOOKUP($S$35,'TAR FIN'!$A$1:$O$104,15,0)),0,VLOOKUP($S$35,'TAR FIN'!$A$1:$O$104,15,0))</f>
        <v>21.48</v>
      </c>
      <c r="W35" s="6">
        <f>IF(ISERROR(VLOOKUP($T$35,'TAR FIN'!$A$1:$O$104,15,0)),0,VLOOKUP($T$35,'TAR FIN'!$A$1:$O$104,15,0))</f>
        <v>0</v>
      </c>
      <c r="X35" s="6">
        <f>IF(ISERROR(VLOOKUP($U$35,'TAR FIN'!$A$1:$O$104,15,0)),0,VLOOKUP($U$35,'TAR FIN'!$A$1:$O$104,15,0))</f>
        <v>0</v>
      </c>
      <c r="Y35" s="6">
        <f ca="1">('TUSD BE'!$AM$5+'TUSD BF'!$AM$5+'TUSD CVA'!$AM$5)*1</f>
        <v>21.312847359717548</v>
      </c>
      <c r="Z35" s="6">
        <f ca="1">('TUSD BE'!$AM$7+'TUSD BF'!$AM$7+'TUSD CVA'!$AM$7)*1</f>
        <v>55.308089175900619</v>
      </c>
      <c r="AA35" s="6"/>
      <c r="AB35" s="6">
        <f>$K$35*$V$35</f>
        <v>141682.08000000002</v>
      </c>
      <c r="AC35" s="6">
        <f>$M$35*$W$35</f>
        <v>0</v>
      </c>
      <c r="AD35" s="6">
        <f>$O$35*$X$35</f>
        <v>0</v>
      </c>
      <c r="AE35" s="6">
        <f ca="1">$K$35*$Y$35</f>
        <v>140579.54118469695</v>
      </c>
      <c r="AF35" s="6">
        <f ca="1"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39</v>
      </c>
      <c r="C36" s="4" t="s">
        <v>40</v>
      </c>
      <c r="D36" s="4" t="s">
        <v>43</v>
      </c>
      <c r="E36" s="4" t="s">
        <v>25</v>
      </c>
      <c r="F36" s="4" t="s">
        <v>25</v>
      </c>
      <c r="G36" s="4" t="s">
        <v>25</v>
      </c>
      <c r="H36" s="4" t="s">
        <v>34</v>
      </c>
      <c r="I36" s="5">
        <v>44713</v>
      </c>
      <c r="J36" s="6">
        <v>6656</v>
      </c>
      <c r="K36" s="6">
        <v>6656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58</v>
      </c>
      <c r="R36" s="4">
        <v>0</v>
      </c>
      <c r="S36" s="6">
        <v>1</v>
      </c>
      <c r="T36" s="6">
        <v>0</v>
      </c>
      <c r="U36" s="6">
        <v>0</v>
      </c>
      <c r="V36" s="6">
        <f>IF(ISERROR(VLOOKUP($S$36,'TAR FIN'!$A$1:$O$104,15,0)),0,VLOOKUP($S$36,'TAR FIN'!$A$1:$O$104,15,0))</f>
        <v>21.48</v>
      </c>
      <c r="W36" s="6">
        <f>IF(ISERROR(VLOOKUP($T$36,'TAR FIN'!$A$1:$O$104,15,0)),0,VLOOKUP($T$36,'TAR FIN'!$A$1:$O$104,15,0))</f>
        <v>0</v>
      </c>
      <c r="X36" s="6">
        <f>IF(ISERROR(VLOOKUP($U$36,'TAR FIN'!$A$1:$O$104,15,0)),0,VLOOKUP($U$36,'TAR FIN'!$A$1:$O$104,15,0))</f>
        <v>0</v>
      </c>
      <c r="Y36" s="6">
        <f ca="1">('TUSD BE'!$AM$5+'TUSD BF'!$AM$5+'TUSD CVA'!$AM$5)*1</f>
        <v>21.312847359717548</v>
      </c>
      <c r="Z36" s="6">
        <f ca="1">('TUSD BE'!$AM$7+'TUSD BF'!$AM$7+'TUSD CVA'!$AM$7)*1</f>
        <v>55.308089175900619</v>
      </c>
      <c r="AA36" s="6"/>
      <c r="AB36" s="6">
        <f>$K$36*$V$36</f>
        <v>142970.88</v>
      </c>
      <c r="AC36" s="6">
        <f>$M$36*$W$36</f>
        <v>0</v>
      </c>
      <c r="AD36" s="6">
        <f>$O$36*$X$36</f>
        <v>0</v>
      </c>
      <c r="AE36" s="6">
        <f ca="1">$K$36*$Y$36</f>
        <v>141858.31202628001</v>
      </c>
      <c r="AF36" s="6">
        <f ca="1">$M$36*$Z$36</f>
        <v>0</v>
      </c>
      <c r="AG36" s="6">
        <f>$O$36*$AA$36</f>
        <v>0</v>
      </c>
    </row>
    <row r="37" spans="1:33" ht="11.25" customHeight="1" x14ac:dyDescent="0.25">
      <c r="A37" s="4" t="s">
        <v>57</v>
      </c>
      <c r="B37" s="4" t="s">
        <v>39</v>
      </c>
      <c r="C37" s="4" t="s">
        <v>40</v>
      </c>
      <c r="D37" s="4" t="s">
        <v>43</v>
      </c>
      <c r="E37" s="4" t="s">
        <v>25</v>
      </c>
      <c r="F37" s="4" t="s">
        <v>25</v>
      </c>
      <c r="G37" s="4" t="s">
        <v>25</v>
      </c>
      <c r="H37" s="4" t="s">
        <v>34</v>
      </c>
      <c r="I37" s="5">
        <v>44743</v>
      </c>
      <c r="J37" s="6">
        <v>6656</v>
      </c>
      <c r="K37" s="6">
        <v>6656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58</v>
      </c>
      <c r="R37" s="4">
        <v>0</v>
      </c>
      <c r="S37" s="6">
        <v>1</v>
      </c>
      <c r="T37" s="6">
        <v>0</v>
      </c>
      <c r="U37" s="6">
        <v>0</v>
      </c>
      <c r="V37" s="6">
        <f>IF(ISERROR(VLOOKUP($S$37,'TAR FIN'!$A$1:$O$104,15,0)),0,VLOOKUP($S$37,'TAR FIN'!$A$1:$O$104,15,0))</f>
        <v>21.48</v>
      </c>
      <c r="W37" s="6">
        <f>IF(ISERROR(VLOOKUP($T$37,'TAR FIN'!$A$1:$O$104,15,0)),0,VLOOKUP($T$37,'TAR FIN'!$A$1:$O$104,15,0))</f>
        <v>0</v>
      </c>
      <c r="X37" s="6">
        <f>IF(ISERROR(VLOOKUP($U$37,'TAR FIN'!$A$1:$O$104,15,0)),0,VLOOKUP($U$37,'TAR FIN'!$A$1:$O$104,15,0))</f>
        <v>0</v>
      </c>
      <c r="Y37" s="6">
        <f ca="1">('TUSD BE'!$AM$5+'TUSD BF'!$AM$5+'TUSD CVA'!$AM$5)*1</f>
        <v>21.312847359717548</v>
      </c>
      <c r="Z37" s="6">
        <f ca="1">('TUSD BE'!$AM$7+'TUSD BF'!$AM$7+'TUSD CVA'!$AM$7)*1</f>
        <v>55.308089175900619</v>
      </c>
      <c r="AA37" s="6"/>
      <c r="AB37" s="6">
        <f>$K$37*$V$37</f>
        <v>142970.88</v>
      </c>
      <c r="AC37" s="6">
        <f>$M$37*$W$37</f>
        <v>0</v>
      </c>
      <c r="AD37" s="6">
        <f>$O$37*$X$37</f>
        <v>0</v>
      </c>
      <c r="AE37" s="6">
        <f ca="1">$K$37*$Y$37</f>
        <v>141858.31202628001</v>
      </c>
      <c r="AF37" s="6">
        <f ca="1"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39</v>
      </c>
      <c r="C38" s="4" t="s">
        <v>40</v>
      </c>
      <c r="D38" s="4" t="s">
        <v>38</v>
      </c>
      <c r="E38" s="4" t="s">
        <v>25</v>
      </c>
      <c r="F38" s="4" t="s">
        <v>61</v>
      </c>
      <c r="G38" s="4" t="s">
        <v>25</v>
      </c>
      <c r="H38" s="4" t="s">
        <v>35</v>
      </c>
      <c r="I38" s="5">
        <v>44409</v>
      </c>
      <c r="J38" s="6">
        <v>5460</v>
      </c>
      <c r="K38" s="6">
        <v>2948.4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58</v>
      </c>
      <c r="R38" s="4">
        <v>0</v>
      </c>
      <c r="S38" s="6">
        <v>3</v>
      </c>
      <c r="T38" s="6">
        <v>0</v>
      </c>
      <c r="U38" s="6">
        <v>0</v>
      </c>
      <c r="V38" s="6">
        <f>IF(ISERROR(VLOOKUP($S$38,'TAR FIN'!$A$1:$O$104,15,0)),0,VLOOKUP($S$38,'TAR FIN'!$A$1:$O$104,15,0))</f>
        <v>11.17</v>
      </c>
      <c r="W38" s="6">
        <f>IF(ISERROR(VLOOKUP($T$38,'TAR FIN'!$A$1:$O$104,15,0)),0,VLOOKUP($T$38,'TAR FIN'!$A$1:$O$104,15,0))</f>
        <v>0</v>
      </c>
      <c r="X38" s="6">
        <f>IF(ISERROR(VLOOKUP($U$38,'TAR FIN'!$A$1:$O$104,15,0)),0,VLOOKUP($U$38,'TAR FIN'!$A$1:$O$104,15,0))</f>
        <v>0</v>
      </c>
      <c r="Y38" s="6">
        <f ca="1">('TUSD BE'!$AM$6+'TUSD BF'!$AM$6+'TUSD CVA'!$AM$6)*1</f>
        <v>11.059043483979741</v>
      </c>
      <c r="Z38" s="6">
        <f ca="1">('TUSD BE'!$AM$7+'TUSD BF'!$AM$7+'TUSD CVA'!$AM$7)*1</f>
        <v>55.308089175900619</v>
      </c>
      <c r="AA38" s="6"/>
      <c r="AB38" s="6">
        <f>$K$38*$V$38</f>
        <v>32933.628000000004</v>
      </c>
      <c r="AC38" s="6">
        <f>$M$38*$W$38</f>
        <v>0</v>
      </c>
      <c r="AD38" s="6">
        <f>$O$38*$X$38</f>
        <v>0</v>
      </c>
      <c r="AE38" s="6">
        <f ca="1">$K$38*$Y$38</f>
        <v>32606.483808165867</v>
      </c>
      <c r="AF38" s="6">
        <f ca="1">$M$38*$Z$38</f>
        <v>0</v>
      </c>
      <c r="AG38" s="6">
        <f>$O$38*$AA$38</f>
        <v>0</v>
      </c>
    </row>
    <row r="39" spans="1:33" ht="11.25" customHeight="1" x14ac:dyDescent="0.25">
      <c r="A39" s="4" t="s">
        <v>21</v>
      </c>
      <c r="B39" s="4" t="s">
        <v>39</v>
      </c>
      <c r="C39" s="4" t="s">
        <v>40</v>
      </c>
      <c r="D39" s="4" t="s">
        <v>38</v>
      </c>
      <c r="E39" s="4" t="s">
        <v>25</v>
      </c>
      <c r="F39" s="4" t="s">
        <v>61</v>
      </c>
      <c r="G39" s="4" t="s">
        <v>25</v>
      </c>
      <c r="H39" s="4" t="s">
        <v>35</v>
      </c>
      <c r="I39" s="5">
        <v>44440</v>
      </c>
      <c r="J39" s="6">
        <v>5460</v>
      </c>
      <c r="K39" s="6">
        <v>2839.2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58</v>
      </c>
      <c r="R39" s="4">
        <v>0</v>
      </c>
      <c r="S39" s="6">
        <v>3</v>
      </c>
      <c r="T39" s="6">
        <v>0</v>
      </c>
      <c r="U39" s="6">
        <v>0</v>
      </c>
      <c r="V39" s="6">
        <f>IF(ISERROR(VLOOKUP($S$39,'TAR FIN'!$A$1:$O$104,15,0)),0,VLOOKUP($S$39,'TAR FIN'!$A$1:$O$104,15,0))</f>
        <v>11.17</v>
      </c>
      <c r="W39" s="6">
        <f>IF(ISERROR(VLOOKUP($T$39,'TAR FIN'!$A$1:$O$104,15,0)),0,VLOOKUP($T$39,'TAR FIN'!$A$1:$O$104,15,0))</f>
        <v>0</v>
      </c>
      <c r="X39" s="6">
        <f>IF(ISERROR(VLOOKUP($U$39,'TAR FIN'!$A$1:$O$104,15,0)),0,VLOOKUP($U$39,'TAR FIN'!$A$1:$O$104,15,0))</f>
        <v>0</v>
      </c>
      <c r="Y39" s="6">
        <f ca="1">('TUSD BE'!$AM$6+'TUSD BF'!$AM$6+'TUSD CVA'!$AM$6)*1</f>
        <v>11.059043483979741</v>
      </c>
      <c r="Z39" s="6">
        <f ca="1">('TUSD BE'!$AM$7+'TUSD BF'!$AM$7+'TUSD CVA'!$AM$7)*1</f>
        <v>55.308089175900619</v>
      </c>
      <c r="AA39" s="6"/>
      <c r="AB39" s="6">
        <f>$K$39*$V$39</f>
        <v>31713.863999999998</v>
      </c>
      <c r="AC39" s="6">
        <f>$M$39*$W$39</f>
        <v>0</v>
      </c>
      <c r="AD39" s="6">
        <f>$O$39*$X$39</f>
        <v>0</v>
      </c>
      <c r="AE39" s="6">
        <f ca="1">$K$39*$Y$39</f>
        <v>31398.836259715277</v>
      </c>
      <c r="AF39" s="6">
        <f ca="1">$M$39*$Z$39</f>
        <v>0</v>
      </c>
      <c r="AG39" s="6">
        <f>$O$39*$AA$39</f>
        <v>0</v>
      </c>
    </row>
    <row r="40" spans="1:33" ht="11.25" customHeight="1" x14ac:dyDescent="0.25">
      <c r="A40" s="4" t="s">
        <v>21</v>
      </c>
      <c r="B40" s="4" t="s">
        <v>39</v>
      </c>
      <c r="C40" s="4" t="s">
        <v>40</v>
      </c>
      <c r="D40" s="4" t="s">
        <v>38</v>
      </c>
      <c r="E40" s="4" t="s">
        <v>25</v>
      </c>
      <c r="F40" s="4" t="s">
        <v>61</v>
      </c>
      <c r="G40" s="4" t="s">
        <v>25</v>
      </c>
      <c r="H40" s="4" t="s">
        <v>35</v>
      </c>
      <c r="I40" s="5">
        <v>44470</v>
      </c>
      <c r="J40" s="6">
        <v>5460</v>
      </c>
      <c r="K40" s="6">
        <v>4968.6000000000004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58</v>
      </c>
      <c r="R40" s="4">
        <v>0</v>
      </c>
      <c r="S40" s="6">
        <v>3</v>
      </c>
      <c r="T40" s="6">
        <v>0</v>
      </c>
      <c r="U40" s="6">
        <v>0</v>
      </c>
      <c r="V40" s="6">
        <f>IF(ISERROR(VLOOKUP($S$40,'TAR FIN'!$A$1:$O$104,15,0)),0,VLOOKUP($S$40,'TAR FIN'!$A$1:$O$104,15,0))</f>
        <v>11.17</v>
      </c>
      <c r="W40" s="6">
        <f>IF(ISERROR(VLOOKUP($T$40,'TAR FIN'!$A$1:$O$104,15,0)),0,VLOOKUP($T$40,'TAR FIN'!$A$1:$O$104,15,0))</f>
        <v>0</v>
      </c>
      <c r="X40" s="6">
        <f>IF(ISERROR(VLOOKUP($U$40,'TAR FIN'!$A$1:$O$104,15,0)),0,VLOOKUP($U$40,'TAR FIN'!$A$1:$O$104,15,0))</f>
        <v>0</v>
      </c>
      <c r="Y40" s="6">
        <f ca="1">('TUSD BE'!$AM$6+'TUSD BF'!$AM$6+'TUSD CVA'!$AM$6)*1</f>
        <v>11.059043483979741</v>
      </c>
      <c r="Z40" s="6">
        <f ca="1">('TUSD BE'!$AM$7+'TUSD BF'!$AM$7+'TUSD CVA'!$AM$7)*1</f>
        <v>55.308089175900619</v>
      </c>
      <c r="AA40" s="6"/>
      <c r="AB40" s="6">
        <f>$K$40*$V$40</f>
        <v>55499.262000000002</v>
      </c>
      <c r="AC40" s="6">
        <f>$M$40*$W$40</f>
        <v>0</v>
      </c>
      <c r="AD40" s="6">
        <f>$O$40*$X$40</f>
        <v>0</v>
      </c>
      <c r="AE40" s="6">
        <f ca="1">$K$40*$Y$40</f>
        <v>54947.963454501747</v>
      </c>
      <c r="AF40" s="6">
        <f ca="1">$M$40*$Z$40</f>
        <v>0</v>
      </c>
      <c r="AG40" s="6">
        <f>$O$40*$AA$40</f>
        <v>0</v>
      </c>
    </row>
    <row r="41" spans="1:33" ht="11.25" customHeight="1" x14ac:dyDescent="0.25">
      <c r="A41" s="4" t="s">
        <v>21</v>
      </c>
      <c r="B41" s="4" t="s">
        <v>39</v>
      </c>
      <c r="C41" s="4" t="s">
        <v>40</v>
      </c>
      <c r="D41" s="4" t="s">
        <v>38</v>
      </c>
      <c r="E41" s="4" t="s">
        <v>25</v>
      </c>
      <c r="F41" s="4" t="s">
        <v>61</v>
      </c>
      <c r="G41" s="4" t="s">
        <v>25</v>
      </c>
      <c r="H41" s="4" t="s">
        <v>35</v>
      </c>
      <c r="I41" s="5">
        <v>44501</v>
      </c>
      <c r="J41" s="6">
        <v>8690</v>
      </c>
      <c r="K41" s="6">
        <v>5387.8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58</v>
      </c>
      <c r="R41" s="4">
        <v>0</v>
      </c>
      <c r="S41" s="6">
        <v>3</v>
      </c>
      <c r="T41" s="6">
        <v>0</v>
      </c>
      <c r="U41" s="6">
        <v>0</v>
      </c>
      <c r="V41" s="6">
        <f>IF(ISERROR(VLOOKUP($S$41,'TAR FIN'!$A$1:$O$104,15,0)),0,VLOOKUP($S$41,'TAR FIN'!$A$1:$O$104,15,0))</f>
        <v>11.17</v>
      </c>
      <c r="W41" s="6">
        <f>IF(ISERROR(VLOOKUP($T$41,'TAR FIN'!$A$1:$O$104,15,0)),0,VLOOKUP($T$41,'TAR FIN'!$A$1:$O$104,15,0))</f>
        <v>0</v>
      </c>
      <c r="X41" s="6">
        <f>IF(ISERROR(VLOOKUP($U$41,'TAR FIN'!$A$1:$O$104,15,0)),0,VLOOKUP($U$41,'TAR FIN'!$A$1:$O$104,15,0))</f>
        <v>0</v>
      </c>
      <c r="Y41" s="6">
        <f ca="1">('TUSD BE'!$AM$6+'TUSD BF'!$AM$6+'TUSD CVA'!$AM$6)*1</f>
        <v>11.059043483979741</v>
      </c>
      <c r="Z41" s="6">
        <f ca="1">('TUSD BE'!$AM$7+'TUSD BF'!$AM$7+'TUSD CVA'!$AM$7)*1</f>
        <v>55.308089175900619</v>
      </c>
      <c r="AA41" s="6"/>
      <c r="AB41" s="6">
        <f>$K$41*$V$41</f>
        <v>60181.726000000002</v>
      </c>
      <c r="AC41" s="6">
        <f>$M$41*$W$41</f>
        <v>0</v>
      </c>
      <c r="AD41" s="6">
        <f>$O$41*$X$41</f>
        <v>0</v>
      </c>
      <c r="AE41" s="6">
        <f ca="1">$K$41*$Y$41</f>
        <v>59583.914482986052</v>
      </c>
      <c r="AF41" s="6">
        <f ca="1">$M$41*$Z$41</f>
        <v>0</v>
      </c>
      <c r="AG41" s="6">
        <f>$O$41*$AA$41</f>
        <v>0</v>
      </c>
    </row>
    <row r="42" spans="1:33" ht="11.25" customHeight="1" x14ac:dyDescent="0.25">
      <c r="A42" s="4" t="s">
        <v>21</v>
      </c>
      <c r="B42" s="4" t="s">
        <v>39</v>
      </c>
      <c r="C42" s="4" t="s">
        <v>40</v>
      </c>
      <c r="D42" s="4" t="s">
        <v>38</v>
      </c>
      <c r="E42" s="4" t="s">
        <v>25</v>
      </c>
      <c r="F42" s="4" t="s">
        <v>61</v>
      </c>
      <c r="G42" s="4" t="s">
        <v>25</v>
      </c>
      <c r="H42" s="4" t="s">
        <v>35</v>
      </c>
      <c r="I42" s="5">
        <v>44531</v>
      </c>
      <c r="J42" s="6">
        <v>6570</v>
      </c>
      <c r="K42" s="6">
        <v>2233.8000000000002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58</v>
      </c>
      <c r="R42" s="4">
        <v>0</v>
      </c>
      <c r="S42" s="6">
        <v>3</v>
      </c>
      <c r="T42" s="6">
        <v>0</v>
      </c>
      <c r="U42" s="6">
        <v>0</v>
      </c>
      <c r="V42" s="6">
        <f>IF(ISERROR(VLOOKUP($S$42,'TAR FIN'!$A$1:$O$104,15,0)),0,VLOOKUP($S$42,'TAR FIN'!$A$1:$O$104,15,0))</f>
        <v>11.17</v>
      </c>
      <c r="W42" s="6">
        <f>IF(ISERROR(VLOOKUP($T$42,'TAR FIN'!$A$1:$O$104,15,0)),0,VLOOKUP($T$42,'TAR FIN'!$A$1:$O$104,15,0))</f>
        <v>0</v>
      </c>
      <c r="X42" s="6">
        <f>IF(ISERROR(VLOOKUP($U$42,'TAR FIN'!$A$1:$O$104,15,0)),0,VLOOKUP($U$42,'TAR FIN'!$A$1:$O$104,15,0))</f>
        <v>0</v>
      </c>
      <c r="Y42" s="6">
        <f ca="1">('TUSD BE'!$AM$6+'TUSD BF'!$AM$6+'TUSD CVA'!$AM$6)*1</f>
        <v>11.059043483979741</v>
      </c>
      <c r="Z42" s="6">
        <f ca="1">('TUSD BE'!$AM$7+'TUSD BF'!$AM$7+'TUSD CVA'!$AM$7)*1</f>
        <v>55.308089175900619</v>
      </c>
      <c r="AA42" s="6"/>
      <c r="AB42" s="6">
        <f>$K$42*$V$42</f>
        <v>24951.546000000002</v>
      </c>
      <c r="AC42" s="6">
        <f>$M$42*$W$42</f>
        <v>0</v>
      </c>
      <c r="AD42" s="6">
        <f>$O$42*$X$42</f>
        <v>0</v>
      </c>
      <c r="AE42" s="6">
        <f ca="1">$K$42*$Y$42</f>
        <v>24703.691334513947</v>
      </c>
      <c r="AF42" s="6">
        <f ca="1">$M$42*$Z$42</f>
        <v>0</v>
      </c>
      <c r="AG42" s="6">
        <f>$O$42*$AA$42</f>
        <v>0</v>
      </c>
    </row>
    <row r="43" spans="1:33" ht="11.25" customHeight="1" x14ac:dyDescent="0.25">
      <c r="A43" s="4" t="s">
        <v>21</v>
      </c>
      <c r="B43" s="4" t="s">
        <v>39</v>
      </c>
      <c r="C43" s="4" t="s">
        <v>40</v>
      </c>
      <c r="D43" s="4" t="s">
        <v>38</v>
      </c>
      <c r="E43" s="4" t="s">
        <v>25</v>
      </c>
      <c r="F43" s="4" t="s">
        <v>61</v>
      </c>
      <c r="G43" s="4" t="s">
        <v>25</v>
      </c>
      <c r="H43" s="4" t="s">
        <v>35</v>
      </c>
      <c r="I43" s="5">
        <v>44562</v>
      </c>
      <c r="J43" s="6">
        <v>6570</v>
      </c>
      <c r="K43" s="6">
        <v>2299.5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58</v>
      </c>
      <c r="R43" s="4">
        <v>0</v>
      </c>
      <c r="S43" s="6">
        <v>3</v>
      </c>
      <c r="T43" s="6">
        <v>0</v>
      </c>
      <c r="U43" s="6">
        <v>0</v>
      </c>
      <c r="V43" s="6">
        <f>IF(ISERROR(VLOOKUP($S$43,'TAR FIN'!$A$1:$O$104,15,0)),0,VLOOKUP($S$43,'TAR FIN'!$A$1:$O$104,15,0))</f>
        <v>11.17</v>
      </c>
      <c r="W43" s="6">
        <f>IF(ISERROR(VLOOKUP($T$43,'TAR FIN'!$A$1:$O$104,15,0)),0,VLOOKUP($T$43,'TAR FIN'!$A$1:$O$104,15,0))</f>
        <v>0</v>
      </c>
      <c r="X43" s="6">
        <f>IF(ISERROR(VLOOKUP($U$43,'TAR FIN'!$A$1:$O$104,15,0)),0,VLOOKUP($U$43,'TAR FIN'!$A$1:$O$104,15,0))</f>
        <v>0</v>
      </c>
      <c r="Y43" s="6">
        <f ca="1">('TUSD BE'!$AM$6+'TUSD BF'!$AM$6+'TUSD CVA'!$AM$6)*1</f>
        <v>11.059043483979741</v>
      </c>
      <c r="Z43" s="6">
        <f ca="1">('TUSD BE'!$AM$7+'TUSD BF'!$AM$7+'TUSD CVA'!$AM$7)*1</f>
        <v>55.308089175900619</v>
      </c>
      <c r="AA43" s="6"/>
      <c r="AB43" s="6">
        <f>$K$43*$V$43</f>
        <v>25685.415000000001</v>
      </c>
      <c r="AC43" s="6">
        <f>$M$43*$W$43</f>
        <v>0</v>
      </c>
      <c r="AD43" s="6">
        <f>$O$43*$X$43</f>
        <v>0</v>
      </c>
      <c r="AE43" s="6">
        <f ca="1">$K$43*$Y$43</f>
        <v>25430.270491411415</v>
      </c>
      <c r="AF43" s="6">
        <f ca="1">$M$43*$Z$43</f>
        <v>0</v>
      </c>
      <c r="AG43" s="6">
        <f>$O$43*$AA$43</f>
        <v>0</v>
      </c>
    </row>
    <row r="44" spans="1:33" ht="11.25" customHeight="1" x14ac:dyDescent="0.25">
      <c r="A44" s="4" t="s">
        <v>21</v>
      </c>
      <c r="B44" s="4" t="s">
        <v>39</v>
      </c>
      <c r="C44" s="4" t="s">
        <v>40</v>
      </c>
      <c r="D44" s="4" t="s">
        <v>38</v>
      </c>
      <c r="E44" s="4" t="s">
        <v>25</v>
      </c>
      <c r="F44" s="4" t="s">
        <v>61</v>
      </c>
      <c r="G44" s="4" t="s">
        <v>25</v>
      </c>
      <c r="H44" s="4" t="s">
        <v>35</v>
      </c>
      <c r="I44" s="5">
        <v>44593</v>
      </c>
      <c r="J44" s="6">
        <v>6570</v>
      </c>
      <c r="K44" s="6">
        <v>2233.8000000000002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58</v>
      </c>
      <c r="R44" s="4">
        <v>0</v>
      </c>
      <c r="S44" s="6">
        <v>3</v>
      </c>
      <c r="T44" s="6">
        <v>0</v>
      </c>
      <c r="U44" s="6">
        <v>0</v>
      </c>
      <c r="V44" s="6">
        <f>IF(ISERROR(VLOOKUP($S$44,'TAR FIN'!$A$1:$O$104,15,0)),0,VLOOKUP($S$44,'TAR FIN'!$A$1:$O$104,15,0))</f>
        <v>11.17</v>
      </c>
      <c r="W44" s="6">
        <f>IF(ISERROR(VLOOKUP($T$44,'TAR FIN'!$A$1:$O$104,15,0)),0,VLOOKUP($T$44,'TAR FIN'!$A$1:$O$104,15,0))</f>
        <v>0</v>
      </c>
      <c r="X44" s="6">
        <f>IF(ISERROR(VLOOKUP($U$44,'TAR FIN'!$A$1:$O$104,15,0)),0,VLOOKUP($U$44,'TAR FIN'!$A$1:$O$104,15,0))</f>
        <v>0</v>
      </c>
      <c r="Y44" s="6">
        <f ca="1">('TUSD BE'!$AM$6+'TUSD BF'!$AM$6+'TUSD CVA'!$AM$6)*1</f>
        <v>11.059043483979741</v>
      </c>
      <c r="Z44" s="6">
        <f ca="1">('TUSD BE'!$AM$7+'TUSD BF'!$AM$7+'TUSD CVA'!$AM$7)*1</f>
        <v>55.308089175900619</v>
      </c>
      <c r="AA44" s="6"/>
      <c r="AB44" s="6">
        <f>$K$44*$V$44</f>
        <v>24951.546000000002</v>
      </c>
      <c r="AC44" s="6">
        <f>$M$44*$W$44</f>
        <v>0</v>
      </c>
      <c r="AD44" s="6">
        <f>$O$44*$X$44</f>
        <v>0</v>
      </c>
      <c r="AE44" s="6">
        <f ca="1">$K$44*$Y$44</f>
        <v>24703.691334513947</v>
      </c>
      <c r="AF44" s="6">
        <f ca="1">$M$44*$Z$44</f>
        <v>0</v>
      </c>
      <c r="AG44" s="6">
        <f>$O$44*$AA$44</f>
        <v>0</v>
      </c>
    </row>
    <row r="45" spans="1:33" ht="11.25" customHeight="1" x14ac:dyDescent="0.25">
      <c r="A45" s="4" t="s">
        <v>21</v>
      </c>
      <c r="B45" s="4" t="s">
        <v>39</v>
      </c>
      <c r="C45" s="4" t="s">
        <v>40</v>
      </c>
      <c r="D45" s="4" t="s">
        <v>38</v>
      </c>
      <c r="E45" s="4" t="s">
        <v>25</v>
      </c>
      <c r="F45" s="4" t="s">
        <v>61</v>
      </c>
      <c r="G45" s="4" t="s">
        <v>25</v>
      </c>
      <c r="H45" s="4" t="s">
        <v>35</v>
      </c>
      <c r="I45" s="5">
        <v>44621</v>
      </c>
      <c r="J45" s="6">
        <v>6570</v>
      </c>
      <c r="K45" s="6">
        <v>2430.9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58</v>
      </c>
      <c r="R45" s="4">
        <v>0</v>
      </c>
      <c r="S45" s="6">
        <v>3</v>
      </c>
      <c r="T45" s="6">
        <v>0</v>
      </c>
      <c r="U45" s="6">
        <v>0</v>
      </c>
      <c r="V45" s="6">
        <f>IF(ISERROR(VLOOKUP($S$45,'TAR FIN'!$A$1:$O$104,15,0)),0,VLOOKUP($S$45,'TAR FIN'!$A$1:$O$104,15,0))</f>
        <v>11.17</v>
      </c>
      <c r="W45" s="6">
        <f>IF(ISERROR(VLOOKUP($T$45,'TAR FIN'!$A$1:$O$104,15,0)),0,VLOOKUP($T$45,'TAR FIN'!$A$1:$O$104,15,0))</f>
        <v>0</v>
      </c>
      <c r="X45" s="6">
        <f>IF(ISERROR(VLOOKUP($U$45,'TAR FIN'!$A$1:$O$104,15,0)),0,VLOOKUP($U$45,'TAR FIN'!$A$1:$O$104,15,0))</f>
        <v>0</v>
      </c>
      <c r="Y45" s="6">
        <f ca="1">('TUSD BE'!$AM$6+'TUSD BF'!$AM$6+'TUSD CVA'!$AM$6)*1</f>
        <v>11.059043483979741</v>
      </c>
      <c r="Z45" s="6">
        <f ca="1">('TUSD BE'!$AM$7+'TUSD BF'!$AM$7+'TUSD CVA'!$AM$7)*1</f>
        <v>55.308089175900619</v>
      </c>
      <c r="AA45" s="6"/>
      <c r="AB45" s="6">
        <f>$K$45*$V$45</f>
        <v>27153.153000000002</v>
      </c>
      <c r="AC45" s="6">
        <f>$M$45*$W$45</f>
        <v>0</v>
      </c>
      <c r="AD45" s="6">
        <f>$O$45*$X$45</f>
        <v>0</v>
      </c>
      <c r="AE45" s="6">
        <f ca="1">$K$45*$Y$45</f>
        <v>26883.428805206353</v>
      </c>
      <c r="AF45" s="6">
        <f ca="1">$M$45*$Z$45</f>
        <v>0</v>
      </c>
      <c r="AG45" s="6">
        <f>$O$45*$AA$45</f>
        <v>0</v>
      </c>
    </row>
    <row r="46" spans="1:33" ht="11.25" customHeight="1" x14ac:dyDescent="0.25">
      <c r="A46" s="4" t="s">
        <v>21</v>
      </c>
      <c r="B46" s="4" t="s">
        <v>39</v>
      </c>
      <c r="C46" s="4" t="s">
        <v>40</v>
      </c>
      <c r="D46" s="4" t="s">
        <v>38</v>
      </c>
      <c r="E46" s="4" t="s">
        <v>25</v>
      </c>
      <c r="F46" s="4" t="s">
        <v>61</v>
      </c>
      <c r="G46" s="4" t="s">
        <v>25</v>
      </c>
      <c r="H46" s="4" t="s">
        <v>35</v>
      </c>
      <c r="I46" s="5">
        <v>44652</v>
      </c>
      <c r="J46" s="6">
        <v>6570</v>
      </c>
      <c r="K46" s="6">
        <v>2233.8000000000002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58</v>
      </c>
      <c r="R46" s="4">
        <v>0</v>
      </c>
      <c r="S46" s="6">
        <v>3</v>
      </c>
      <c r="T46" s="6">
        <v>0</v>
      </c>
      <c r="U46" s="6">
        <v>0</v>
      </c>
      <c r="V46" s="6">
        <f>IF(ISERROR(VLOOKUP($S$46,'TAR FIN'!$A$1:$O$104,15,0)),0,VLOOKUP($S$46,'TAR FIN'!$A$1:$O$104,15,0))</f>
        <v>11.17</v>
      </c>
      <c r="W46" s="6">
        <f>IF(ISERROR(VLOOKUP($T$46,'TAR FIN'!$A$1:$O$104,15,0)),0,VLOOKUP($T$46,'TAR FIN'!$A$1:$O$104,15,0))</f>
        <v>0</v>
      </c>
      <c r="X46" s="6">
        <f>IF(ISERROR(VLOOKUP($U$46,'TAR FIN'!$A$1:$O$104,15,0)),0,VLOOKUP($U$46,'TAR FIN'!$A$1:$O$104,15,0))</f>
        <v>0</v>
      </c>
      <c r="Y46" s="6">
        <f ca="1">('TUSD BE'!$AM$6+'TUSD BF'!$AM$6+'TUSD CVA'!$AM$6)*1</f>
        <v>11.059043483979741</v>
      </c>
      <c r="Z46" s="6">
        <f ca="1">('TUSD BE'!$AM$7+'TUSD BF'!$AM$7+'TUSD CVA'!$AM$7)*1</f>
        <v>55.308089175900619</v>
      </c>
      <c r="AA46" s="6"/>
      <c r="AB46" s="6">
        <f>$K$46*$V$46</f>
        <v>24951.546000000002</v>
      </c>
      <c r="AC46" s="6">
        <f>$M$46*$W$46</f>
        <v>0</v>
      </c>
      <c r="AD46" s="6">
        <f>$O$46*$X$46</f>
        <v>0</v>
      </c>
      <c r="AE46" s="6">
        <f ca="1">$K$46*$Y$46</f>
        <v>24703.691334513947</v>
      </c>
      <c r="AF46" s="6">
        <f ca="1">$M$46*$Z$46</f>
        <v>0</v>
      </c>
      <c r="AG46" s="6">
        <f>$O$46*$AA$46</f>
        <v>0</v>
      </c>
    </row>
    <row r="47" spans="1:33" ht="11.25" customHeight="1" x14ac:dyDescent="0.25">
      <c r="A47" s="4" t="s">
        <v>21</v>
      </c>
      <c r="B47" s="4" t="s">
        <v>39</v>
      </c>
      <c r="C47" s="4" t="s">
        <v>40</v>
      </c>
      <c r="D47" s="4" t="s">
        <v>38</v>
      </c>
      <c r="E47" s="4" t="s">
        <v>25</v>
      </c>
      <c r="F47" s="4" t="s">
        <v>61</v>
      </c>
      <c r="G47" s="4" t="s">
        <v>25</v>
      </c>
      <c r="H47" s="4" t="s">
        <v>35</v>
      </c>
      <c r="I47" s="5">
        <v>44682</v>
      </c>
      <c r="J47" s="6">
        <v>6570</v>
      </c>
      <c r="K47" s="6">
        <v>2233.8000000000002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58</v>
      </c>
      <c r="R47" s="4">
        <v>0</v>
      </c>
      <c r="S47" s="6">
        <v>3</v>
      </c>
      <c r="T47" s="6">
        <v>0</v>
      </c>
      <c r="U47" s="6">
        <v>0</v>
      </c>
      <c r="V47" s="6">
        <f>IF(ISERROR(VLOOKUP($S$47,'TAR FIN'!$A$1:$O$104,15,0)),0,VLOOKUP($S$47,'TAR FIN'!$A$1:$O$104,15,0))</f>
        <v>11.17</v>
      </c>
      <c r="W47" s="6">
        <f>IF(ISERROR(VLOOKUP($T$47,'TAR FIN'!$A$1:$O$104,15,0)),0,VLOOKUP($T$47,'TAR FIN'!$A$1:$O$104,15,0))</f>
        <v>0</v>
      </c>
      <c r="X47" s="6">
        <f>IF(ISERROR(VLOOKUP($U$47,'TAR FIN'!$A$1:$O$104,15,0)),0,VLOOKUP($U$47,'TAR FIN'!$A$1:$O$104,15,0))</f>
        <v>0</v>
      </c>
      <c r="Y47" s="6">
        <f ca="1">('TUSD BE'!$AM$6+'TUSD BF'!$AM$6+'TUSD CVA'!$AM$6)*1</f>
        <v>11.059043483979741</v>
      </c>
      <c r="Z47" s="6">
        <f ca="1">('TUSD BE'!$AM$7+'TUSD BF'!$AM$7+'TUSD CVA'!$AM$7)*1</f>
        <v>55.308089175900619</v>
      </c>
      <c r="AA47" s="6"/>
      <c r="AB47" s="6">
        <f>$K$47*$V$47</f>
        <v>24951.546000000002</v>
      </c>
      <c r="AC47" s="6">
        <f>$M$47*$W$47</f>
        <v>0</v>
      </c>
      <c r="AD47" s="6">
        <f>$O$47*$X$47</f>
        <v>0</v>
      </c>
      <c r="AE47" s="6">
        <f ca="1">$K$47*$Y$47</f>
        <v>24703.691334513947</v>
      </c>
      <c r="AF47" s="6">
        <f ca="1">$M$47*$Z$47</f>
        <v>0</v>
      </c>
      <c r="AG47" s="6">
        <f>$O$47*$AA$47</f>
        <v>0</v>
      </c>
    </row>
    <row r="48" spans="1:33" ht="11.25" customHeight="1" x14ac:dyDescent="0.25">
      <c r="A48" s="4" t="s">
        <v>21</v>
      </c>
      <c r="B48" s="4" t="s">
        <v>39</v>
      </c>
      <c r="C48" s="4" t="s">
        <v>40</v>
      </c>
      <c r="D48" s="4" t="s">
        <v>38</v>
      </c>
      <c r="E48" s="4" t="s">
        <v>25</v>
      </c>
      <c r="F48" s="4" t="s">
        <v>61</v>
      </c>
      <c r="G48" s="4" t="s">
        <v>25</v>
      </c>
      <c r="H48" s="4" t="s">
        <v>35</v>
      </c>
      <c r="I48" s="5">
        <v>44713</v>
      </c>
      <c r="J48" s="6">
        <v>6570</v>
      </c>
      <c r="K48" s="6">
        <v>2233.8000000000002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58</v>
      </c>
      <c r="R48" s="4">
        <v>0</v>
      </c>
      <c r="S48" s="6">
        <v>3</v>
      </c>
      <c r="T48" s="6">
        <v>0</v>
      </c>
      <c r="U48" s="6">
        <v>0</v>
      </c>
      <c r="V48" s="6">
        <f>IF(ISERROR(VLOOKUP($S$48,'TAR FIN'!$A$1:$O$104,15,0)),0,VLOOKUP($S$48,'TAR FIN'!$A$1:$O$104,15,0))</f>
        <v>11.17</v>
      </c>
      <c r="W48" s="6">
        <f>IF(ISERROR(VLOOKUP($T$48,'TAR FIN'!$A$1:$O$104,15,0)),0,VLOOKUP($T$48,'TAR FIN'!$A$1:$O$104,15,0))</f>
        <v>0</v>
      </c>
      <c r="X48" s="6">
        <f>IF(ISERROR(VLOOKUP($U$48,'TAR FIN'!$A$1:$O$104,15,0)),0,VLOOKUP($U$48,'TAR FIN'!$A$1:$O$104,15,0))</f>
        <v>0</v>
      </c>
      <c r="Y48" s="6">
        <f ca="1">('TUSD BE'!$AM$6+'TUSD BF'!$AM$6+'TUSD CVA'!$AM$6)*1</f>
        <v>11.059043483979741</v>
      </c>
      <c r="Z48" s="6">
        <f ca="1">('TUSD BE'!$AM$7+'TUSD BF'!$AM$7+'TUSD CVA'!$AM$7)*1</f>
        <v>55.308089175900619</v>
      </c>
      <c r="AA48" s="6"/>
      <c r="AB48" s="6">
        <f>$K$48*$V$48</f>
        <v>24951.546000000002</v>
      </c>
      <c r="AC48" s="6">
        <f>$M$48*$W$48</f>
        <v>0</v>
      </c>
      <c r="AD48" s="6">
        <f>$O$48*$X$48</f>
        <v>0</v>
      </c>
      <c r="AE48" s="6">
        <f ca="1">$K$48*$Y$48</f>
        <v>24703.691334513947</v>
      </c>
      <c r="AF48" s="6">
        <f ca="1">$M$48*$Z$48</f>
        <v>0</v>
      </c>
      <c r="AG48" s="6">
        <f>$O$48*$AA$48</f>
        <v>0</v>
      </c>
    </row>
    <row r="49" spans="1:33" ht="11.25" customHeight="1" x14ac:dyDescent="0.25">
      <c r="A49" s="4" t="s">
        <v>57</v>
      </c>
      <c r="B49" s="4" t="s">
        <v>39</v>
      </c>
      <c r="C49" s="4" t="s">
        <v>40</v>
      </c>
      <c r="D49" s="4" t="s">
        <v>38</v>
      </c>
      <c r="E49" s="4" t="s">
        <v>25</v>
      </c>
      <c r="F49" s="4" t="s">
        <v>61</v>
      </c>
      <c r="G49" s="4" t="s">
        <v>25</v>
      </c>
      <c r="H49" s="4" t="s">
        <v>35</v>
      </c>
      <c r="I49" s="5">
        <v>44743</v>
      </c>
      <c r="J49" s="6">
        <v>6570</v>
      </c>
      <c r="K49" s="6">
        <v>2233.8000000000002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58</v>
      </c>
      <c r="R49" s="4">
        <v>0</v>
      </c>
      <c r="S49" s="6">
        <v>3</v>
      </c>
      <c r="T49" s="6">
        <v>0</v>
      </c>
      <c r="U49" s="6">
        <v>0</v>
      </c>
      <c r="V49" s="6">
        <f>IF(ISERROR(VLOOKUP($S$49,'TAR FIN'!$A$1:$O$104,15,0)),0,VLOOKUP($S$49,'TAR FIN'!$A$1:$O$104,15,0))</f>
        <v>11.17</v>
      </c>
      <c r="W49" s="6">
        <f>IF(ISERROR(VLOOKUP($T$49,'TAR FIN'!$A$1:$O$104,15,0)),0,VLOOKUP($T$49,'TAR FIN'!$A$1:$O$104,15,0))</f>
        <v>0</v>
      </c>
      <c r="X49" s="6">
        <f>IF(ISERROR(VLOOKUP($U$49,'TAR FIN'!$A$1:$O$104,15,0)),0,VLOOKUP($U$49,'TAR FIN'!$A$1:$O$104,15,0))</f>
        <v>0</v>
      </c>
      <c r="Y49" s="6">
        <f ca="1">('TUSD BE'!$AM$6+'TUSD BF'!$AM$6+'TUSD CVA'!$AM$6)*1</f>
        <v>11.059043483979741</v>
      </c>
      <c r="Z49" s="6">
        <f ca="1">('TUSD BE'!$AM$7+'TUSD BF'!$AM$7+'TUSD CVA'!$AM$7)*1</f>
        <v>55.308089175900619</v>
      </c>
      <c r="AA49" s="6"/>
      <c r="AB49" s="6">
        <f>$K$49*$V$49</f>
        <v>24951.546000000002</v>
      </c>
      <c r="AC49" s="6">
        <f>$M$49*$W$49</f>
        <v>0</v>
      </c>
      <c r="AD49" s="6">
        <f>$O$49*$X$49</f>
        <v>0</v>
      </c>
      <c r="AE49" s="6">
        <f ca="1">$K$49*$Y$49</f>
        <v>24703.691334513947</v>
      </c>
      <c r="AF49" s="6">
        <f ca="1">$M$49*$Z$49</f>
        <v>0</v>
      </c>
      <c r="AG49" s="6">
        <f>$O$49*$AA$49</f>
        <v>0</v>
      </c>
    </row>
    <row r="50" spans="1:33" ht="11.25" customHeight="1" x14ac:dyDescent="0.25">
      <c r="A50" s="4" t="s">
        <v>21</v>
      </c>
      <c r="B50" s="4" t="s">
        <v>39</v>
      </c>
      <c r="C50" s="4" t="s">
        <v>40</v>
      </c>
      <c r="D50" s="4" t="s">
        <v>38</v>
      </c>
      <c r="E50" s="4" t="s">
        <v>25</v>
      </c>
      <c r="F50" s="4" t="s">
        <v>61</v>
      </c>
      <c r="G50" s="4" t="s">
        <v>25</v>
      </c>
      <c r="H50" s="4" t="s">
        <v>25</v>
      </c>
      <c r="I50" s="5">
        <v>44409</v>
      </c>
      <c r="J50" s="6">
        <v>0</v>
      </c>
      <c r="K50" s="6">
        <v>0</v>
      </c>
      <c r="L50" s="6">
        <v>1322.09</v>
      </c>
      <c r="M50" s="6">
        <v>1322.09</v>
      </c>
      <c r="N50" s="6">
        <v>0</v>
      </c>
      <c r="O50" s="6">
        <v>0</v>
      </c>
      <c r="P50" s="6">
        <v>4</v>
      </c>
      <c r="Q50" s="4" t="s">
        <v>58</v>
      </c>
      <c r="R50" s="4">
        <v>0</v>
      </c>
      <c r="S50" s="6">
        <v>0</v>
      </c>
      <c r="T50" s="6">
        <v>5</v>
      </c>
      <c r="U50" s="6">
        <v>0</v>
      </c>
      <c r="V50" s="6">
        <f>IF(ISERROR(VLOOKUP($S$50,'TAR FIN'!$A$1:$O$104,15,0)),0,VLOOKUP($S$50,'TAR FIN'!$A$1:$O$104,15,0))</f>
        <v>0</v>
      </c>
      <c r="W50" s="6">
        <f>IF(ISERROR(VLOOKUP($T$50,'TAR FIN'!$A$1:$O$104,15,0)),0,VLOOKUP($T$50,'TAR FIN'!$A$1:$O$104,15,0))</f>
        <v>41.95</v>
      </c>
      <c r="X50" s="6">
        <f>IF(ISERROR(VLOOKUP($U$50,'TAR FIN'!$A$1:$O$104,15,0)),0,VLOOKUP($U$50,'TAR FIN'!$A$1:$O$104,15,0))</f>
        <v>0</v>
      </c>
      <c r="Y50" s="6"/>
      <c r="Z50" s="6">
        <f ca="1">('TUSD BE'!$AM$7+'TUSD BF'!$AM$7+'TUSD CVA'!$AM$7)*1</f>
        <v>55.308089175900619</v>
      </c>
      <c r="AA50" s="6"/>
      <c r="AB50" s="6">
        <f>$K$50*$V$50</f>
        <v>0</v>
      </c>
      <c r="AC50" s="6">
        <f>$M$50*$W$50</f>
        <v>55461.675499999998</v>
      </c>
      <c r="AD50" s="6">
        <f>$O$50*$X$50</f>
        <v>0</v>
      </c>
      <c r="AE50" s="6">
        <f>$K$50*$Y$50</f>
        <v>0</v>
      </c>
      <c r="AF50" s="6">
        <f ca="1">$M$50*$Z$50</f>
        <v>73122.271618566447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39</v>
      </c>
      <c r="C51" s="4" t="s">
        <v>40</v>
      </c>
      <c r="D51" s="4" t="s">
        <v>38</v>
      </c>
      <c r="E51" s="4" t="s">
        <v>25</v>
      </c>
      <c r="F51" s="4" t="s">
        <v>61</v>
      </c>
      <c r="G51" s="4" t="s">
        <v>25</v>
      </c>
      <c r="H51" s="4" t="s">
        <v>25</v>
      </c>
      <c r="I51" s="5">
        <v>44440</v>
      </c>
      <c r="J51" s="6">
        <v>0</v>
      </c>
      <c r="K51" s="6">
        <v>0</v>
      </c>
      <c r="L51" s="6">
        <v>1296.7840000000001</v>
      </c>
      <c r="M51" s="6">
        <v>1296.7840000000001</v>
      </c>
      <c r="N51" s="6">
        <v>0</v>
      </c>
      <c r="O51" s="6">
        <v>0</v>
      </c>
      <c r="P51" s="6">
        <v>4</v>
      </c>
      <c r="Q51" s="4" t="s">
        <v>58</v>
      </c>
      <c r="R51" s="4">
        <v>0</v>
      </c>
      <c r="S51" s="6">
        <v>0</v>
      </c>
      <c r="T51" s="6">
        <v>5</v>
      </c>
      <c r="U51" s="6">
        <v>0</v>
      </c>
      <c r="V51" s="6">
        <f>IF(ISERROR(VLOOKUP($S$51,'TAR FIN'!$A$1:$O$104,15,0)),0,VLOOKUP($S$51,'TAR FIN'!$A$1:$O$104,15,0))</f>
        <v>0</v>
      </c>
      <c r="W51" s="6">
        <f>IF(ISERROR(VLOOKUP($T$51,'TAR FIN'!$A$1:$O$104,15,0)),0,VLOOKUP($T$51,'TAR FIN'!$A$1:$O$104,15,0))</f>
        <v>41.95</v>
      </c>
      <c r="X51" s="6">
        <f>IF(ISERROR(VLOOKUP($U$51,'TAR FIN'!$A$1:$O$104,15,0)),0,VLOOKUP($U$51,'TAR FIN'!$A$1:$O$104,15,0))</f>
        <v>0</v>
      </c>
      <c r="Y51" s="6"/>
      <c r="Z51" s="6">
        <f ca="1">('TUSD BE'!$AM$7+'TUSD BF'!$AM$7+'TUSD CVA'!$AM$7)*1</f>
        <v>55.308089175900619</v>
      </c>
      <c r="AA51" s="6"/>
      <c r="AB51" s="6">
        <f>$K$51*$V$51</f>
        <v>0</v>
      </c>
      <c r="AC51" s="6">
        <f>$M$51*$W$51</f>
        <v>54400.088800000005</v>
      </c>
      <c r="AD51" s="6">
        <f>$O$51*$X$51</f>
        <v>0</v>
      </c>
      <c r="AE51" s="6">
        <f>$K$51*$Y$51</f>
        <v>0</v>
      </c>
      <c r="AF51" s="6">
        <f ca="1">$M$51*$Z$51</f>
        <v>71722.64511388111</v>
      </c>
      <c r="AG51" s="6">
        <f>$O$51*$AA$51</f>
        <v>0</v>
      </c>
    </row>
    <row r="52" spans="1:33" ht="11.25" customHeight="1" x14ac:dyDescent="0.25">
      <c r="A52" s="4" t="s">
        <v>21</v>
      </c>
      <c r="B52" s="4" t="s">
        <v>39</v>
      </c>
      <c r="C52" s="4" t="s">
        <v>40</v>
      </c>
      <c r="D52" s="4" t="s">
        <v>38</v>
      </c>
      <c r="E52" s="4" t="s">
        <v>25</v>
      </c>
      <c r="F52" s="4" t="s">
        <v>61</v>
      </c>
      <c r="G52" s="4" t="s">
        <v>25</v>
      </c>
      <c r="H52" s="4" t="s">
        <v>25</v>
      </c>
      <c r="I52" s="5">
        <v>44470</v>
      </c>
      <c r="J52" s="6">
        <v>0</v>
      </c>
      <c r="K52" s="6">
        <v>0</v>
      </c>
      <c r="L52" s="6">
        <v>1202.2439999999999</v>
      </c>
      <c r="M52" s="6">
        <v>1202.2439999999999</v>
      </c>
      <c r="N52" s="6">
        <v>0</v>
      </c>
      <c r="O52" s="6">
        <v>0</v>
      </c>
      <c r="P52" s="6">
        <v>4</v>
      </c>
      <c r="Q52" s="4" t="s">
        <v>58</v>
      </c>
      <c r="R52" s="4">
        <v>0</v>
      </c>
      <c r="S52" s="6">
        <v>0</v>
      </c>
      <c r="T52" s="6">
        <v>5</v>
      </c>
      <c r="U52" s="6">
        <v>0</v>
      </c>
      <c r="V52" s="6">
        <f>IF(ISERROR(VLOOKUP($S$52,'TAR FIN'!$A$1:$O$104,15,0)),0,VLOOKUP($S$52,'TAR FIN'!$A$1:$O$104,15,0))</f>
        <v>0</v>
      </c>
      <c r="W52" s="6">
        <f>IF(ISERROR(VLOOKUP($T$52,'TAR FIN'!$A$1:$O$104,15,0)),0,VLOOKUP($T$52,'TAR FIN'!$A$1:$O$104,15,0))</f>
        <v>41.95</v>
      </c>
      <c r="X52" s="6">
        <f>IF(ISERROR(VLOOKUP($U$52,'TAR FIN'!$A$1:$O$104,15,0)),0,VLOOKUP($U$52,'TAR FIN'!$A$1:$O$104,15,0))</f>
        <v>0</v>
      </c>
      <c r="Y52" s="6"/>
      <c r="Z52" s="6">
        <f ca="1">('TUSD BE'!$AM$7+'TUSD BF'!$AM$7+'TUSD CVA'!$AM$7)*1</f>
        <v>55.308089175900619</v>
      </c>
      <c r="AA52" s="6"/>
      <c r="AB52" s="6">
        <f>$K$52*$V$52</f>
        <v>0</v>
      </c>
      <c r="AC52" s="6">
        <f>$M$52*$W$52</f>
        <v>50434.135799999996</v>
      </c>
      <c r="AD52" s="6">
        <f>$O$52*$X$52</f>
        <v>0</v>
      </c>
      <c r="AE52" s="6">
        <f>$K$52*$Y$52</f>
        <v>0</v>
      </c>
      <c r="AF52" s="6">
        <f ca="1">$M$52*$Z$52</f>
        <v>66493.818363191458</v>
      </c>
      <c r="AG52" s="6">
        <f>$O$52*$AA$52</f>
        <v>0</v>
      </c>
    </row>
    <row r="53" spans="1:33" ht="11.25" customHeight="1" x14ac:dyDescent="0.25">
      <c r="A53" s="4" t="s">
        <v>21</v>
      </c>
      <c r="B53" s="4" t="s">
        <v>39</v>
      </c>
      <c r="C53" s="4" t="s">
        <v>40</v>
      </c>
      <c r="D53" s="4" t="s">
        <v>38</v>
      </c>
      <c r="E53" s="4" t="s">
        <v>25</v>
      </c>
      <c r="F53" s="4" t="s">
        <v>61</v>
      </c>
      <c r="G53" s="4" t="s">
        <v>25</v>
      </c>
      <c r="H53" s="4" t="s">
        <v>25</v>
      </c>
      <c r="I53" s="5">
        <v>44501</v>
      </c>
      <c r="J53" s="6">
        <v>0</v>
      </c>
      <c r="K53" s="6">
        <v>0</v>
      </c>
      <c r="L53" s="6">
        <v>3153.1880000000001</v>
      </c>
      <c r="M53" s="6">
        <v>3153.1880000000001</v>
      </c>
      <c r="N53" s="6">
        <v>0</v>
      </c>
      <c r="O53" s="6">
        <v>0</v>
      </c>
      <c r="P53" s="6">
        <v>5</v>
      </c>
      <c r="Q53" s="4" t="s">
        <v>58</v>
      </c>
      <c r="R53" s="4">
        <v>0</v>
      </c>
      <c r="S53" s="6">
        <v>0</v>
      </c>
      <c r="T53" s="6">
        <v>5</v>
      </c>
      <c r="U53" s="6">
        <v>0</v>
      </c>
      <c r="V53" s="6">
        <f>IF(ISERROR(VLOOKUP($S$53,'TAR FIN'!$A$1:$O$104,15,0)),0,VLOOKUP($S$53,'TAR FIN'!$A$1:$O$104,15,0))</f>
        <v>0</v>
      </c>
      <c r="W53" s="6">
        <f>IF(ISERROR(VLOOKUP($T$53,'TAR FIN'!$A$1:$O$104,15,0)),0,VLOOKUP($T$53,'TAR FIN'!$A$1:$O$104,15,0))</f>
        <v>41.95</v>
      </c>
      <c r="X53" s="6">
        <f>IF(ISERROR(VLOOKUP($U$53,'TAR FIN'!$A$1:$O$104,15,0)),0,VLOOKUP($U$53,'TAR FIN'!$A$1:$O$104,15,0))</f>
        <v>0</v>
      </c>
      <c r="Y53" s="6"/>
      <c r="Z53" s="6">
        <f ca="1">('TUSD BE'!$AM$7+'TUSD BF'!$AM$7+'TUSD CVA'!$AM$7)*1</f>
        <v>55.308089175900619</v>
      </c>
      <c r="AA53" s="6"/>
      <c r="AB53" s="6">
        <f>$K$53*$V$53</f>
        <v>0</v>
      </c>
      <c r="AC53" s="6">
        <f>$M$53*$W$53</f>
        <v>132276.2366</v>
      </c>
      <c r="AD53" s="6">
        <f>$O$53*$X$53</f>
        <v>0</v>
      </c>
      <c r="AE53" s="6">
        <f>$K$53*$Y$53</f>
        <v>0</v>
      </c>
      <c r="AF53" s="6">
        <f ca="1">$M$53*$Z$53</f>
        <v>174396.80309237973</v>
      </c>
      <c r="AG53" s="6">
        <f>$O$53*$AA$53</f>
        <v>0</v>
      </c>
    </row>
    <row r="54" spans="1:33" ht="11.25" customHeight="1" x14ac:dyDescent="0.25">
      <c r="A54" s="4" t="s">
        <v>21</v>
      </c>
      <c r="B54" s="4" t="s">
        <v>39</v>
      </c>
      <c r="C54" s="4" t="s">
        <v>40</v>
      </c>
      <c r="D54" s="4" t="s">
        <v>38</v>
      </c>
      <c r="E54" s="4" t="s">
        <v>25</v>
      </c>
      <c r="F54" s="4" t="s">
        <v>61</v>
      </c>
      <c r="G54" s="4" t="s">
        <v>25</v>
      </c>
      <c r="H54" s="4" t="s">
        <v>25</v>
      </c>
      <c r="I54" s="5">
        <v>44531</v>
      </c>
      <c r="J54" s="6">
        <v>0</v>
      </c>
      <c r="K54" s="6">
        <v>0</v>
      </c>
      <c r="L54" s="6">
        <v>2288.6550000000002</v>
      </c>
      <c r="M54" s="6">
        <v>2288.6550000000002</v>
      </c>
      <c r="N54" s="6">
        <v>0</v>
      </c>
      <c r="O54" s="6">
        <v>0</v>
      </c>
      <c r="P54" s="6">
        <v>4</v>
      </c>
      <c r="Q54" s="4" t="s">
        <v>58</v>
      </c>
      <c r="R54" s="4">
        <v>0</v>
      </c>
      <c r="S54" s="6">
        <v>0</v>
      </c>
      <c r="T54" s="6">
        <v>5</v>
      </c>
      <c r="U54" s="6">
        <v>0</v>
      </c>
      <c r="V54" s="6">
        <f>IF(ISERROR(VLOOKUP($S$54,'TAR FIN'!$A$1:$O$104,15,0)),0,VLOOKUP($S$54,'TAR FIN'!$A$1:$O$104,15,0))</f>
        <v>0</v>
      </c>
      <c r="W54" s="6">
        <f>IF(ISERROR(VLOOKUP($T$54,'TAR FIN'!$A$1:$O$104,15,0)),0,VLOOKUP($T$54,'TAR FIN'!$A$1:$O$104,15,0))</f>
        <v>41.95</v>
      </c>
      <c r="X54" s="6">
        <f>IF(ISERROR(VLOOKUP($U$54,'TAR FIN'!$A$1:$O$104,15,0)),0,VLOOKUP($U$54,'TAR FIN'!$A$1:$O$104,15,0))</f>
        <v>0</v>
      </c>
      <c r="Y54" s="6"/>
      <c r="Z54" s="6">
        <f ca="1">('TUSD BE'!$AM$7+'TUSD BF'!$AM$7+'TUSD CVA'!$AM$7)*1</f>
        <v>55.308089175900619</v>
      </c>
      <c r="AA54" s="6"/>
      <c r="AB54" s="6">
        <f>$K$54*$V$54</f>
        <v>0</v>
      </c>
      <c r="AC54" s="6">
        <f>$M$54*$W$54</f>
        <v>96009.077250000017</v>
      </c>
      <c r="AD54" s="6">
        <f>$O$54*$X$54</f>
        <v>0</v>
      </c>
      <c r="AE54" s="6">
        <f>$K$54*$Y$54</f>
        <v>0</v>
      </c>
      <c r="AF54" s="6">
        <f ca="1">$M$54*$Z$54</f>
        <v>126581.13483287084</v>
      </c>
      <c r="AG54" s="6">
        <f>$O$54*$AA$54</f>
        <v>0</v>
      </c>
    </row>
    <row r="55" spans="1:33" ht="11.25" customHeight="1" x14ac:dyDescent="0.25">
      <c r="A55" s="4" t="s">
        <v>21</v>
      </c>
      <c r="B55" s="4" t="s">
        <v>39</v>
      </c>
      <c r="C55" s="4" t="s">
        <v>40</v>
      </c>
      <c r="D55" s="4" t="s">
        <v>38</v>
      </c>
      <c r="E55" s="4" t="s">
        <v>25</v>
      </c>
      <c r="F55" s="4" t="s">
        <v>61</v>
      </c>
      <c r="G55" s="4" t="s">
        <v>25</v>
      </c>
      <c r="H55" s="4" t="s">
        <v>25</v>
      </c>
      <c r="I55" s="5">
        <v>44562</v>
      </c>
      <c r="J55" s="6">
        <v>0</v>
      </c>
      <c r="K55" s="6">
        <v>0</v>
      </c>
      <c r="L55" s="6">
        <v>2190.7370000000001</v>
      </c>
      <c r="M55" s="6">
        <v>2190.7370000000001</v>
      </c>
      <c r="N55" s="6">
        <v>0</v>
      </c>
      <c r="O55" s="6">
        <v>0</v>
      </c>
      <c r="P55" s="6">
        <v>4</v>
      </c>
      <c r="Q55" s="4" t="s">
        <v>58</v>
      </c>
      <c r="R55" s="4">
        <v>0</v>
      </c>
      <c r="S55" s="6">
        <v>0</v>
      </c>
      <c r="T55" s="6">
        <v>5</v>
      </c>
      <c r="U55" s="6">
        <v>0</v>
      </c>
      <c r="V55" s="6">
        <f>IF(ISERROR(VLOOKUP($S$55,'TAR FIN'!$A$1:$O$104,15,0)),0,VLOOKUP($S$55,'TAR FIN'!$A$1:$O$104,15,0))</f>
        <v>0</v>
      </c>
      <c r="W55" s="6">
        <f>IF(ISERROR(VLOOKUP($T$55,'TAR FIN'!$A$1:$O$104,15,0)),0,VLOOKUP($T$55,'TAR FIN'!$A$1:$O$104,15,0))</f>
        <v>41.95</v>
      </c>
      <c r="X55" s="6">
        <f>IF(ISERROR(VLOOKUP($U$55,'TAR FIN'!$A$1:$O$104,15,0)),0,VLOOKUP($U$55,'TAR FIN'!$A$1:$O$104,15,0))</f>
        <v>0</v>
      </c>
      <c r="Y55" s="6"/>
      <c r="Z55" s="6">
        <f ca="1">('TUSD BE'!$AM$7+'TUSD BF'!$AM$7+'TUSD CVA'!$AM$7)*1</f>
        <v>55.308089175900619</v>
      </c>
      <c r="AA55" s="6"/>
      <c r="AB55" s="6">
        <f>$K$55*$V$55</f>
        <v>0</v>
      </c>
      <c r="AC55" s="6">
        <f>$M$55*$W$55</f>
        <v>91901.417150000008</v>
      </c>
      <c r="AD55" s="6">
        <f>$O$55*$X$55</f>
        <v>0</v>
      </c>
      <c r="AE55" s="6">
        <f>$K$55*$Y$55</f>
        <v>0</v>
      </c>
      <c r="AF55" s="6">
        <f ca="1">$M$55*$Z$55</f>
        <v>121165.477356945</v>
      </c>
      <c r="AG55" s="6">
        <f>$O$55*$AA$55</f>
        <v>0</v>
      </c>
    </row>
    <row r="56" spans="1:33" ht="11.25" customHeight="1" x14ac:dyDescent="0.25">
      <c r="A56" s="4" t="s">
        <v>21</v>
      </c>
      <c r="B56" s="4" t="s">
        <v>39</v>
      </c>
      <c r="C56" s="4" t="s">
        <v>40</v>
      </c>
      <c r="D56" s="4" t="s">
        <v>38</v>
      </c>
      <c r="E56" s="4" t="s">
        <v>25</v>
      </c>
      <c r="F56" s="4" t="s">
        <v>61</v>
      </c>
      <c r="G56" s="4" t="s">
        <v>25</v>
      </c>
      <c r="H56" s="4" t="s">
        <v>25</v>
      </c>
      <c r="I56" s="5">
        <v>44593</v>
      </c>
      <c r="J56" s="6">
        <v>0</v>
      </c>
      <c r="K56" s="6">
        <v>0</v>
      </c>
      <c r="L56" s="6">
        <v>1980.68</v>
      </c>
      <c r="M56" s="6">
        <v>1980.68</v>
      </c>
      <c r="N56" s="6">
        <v>0</v>
      </c>
      <c r="O56" s="6">
        <v>0</v>
      </c>
      <c r="P56" s="6">
        <v>4</v>
      </c>
      <c r="Q56" s="4" t="s">
        <v>58</v>
      </c>
      <c r="R56" s="4">
        <v>0</v>
      </c>
      <c r="S56" s="6">
        <v>0</v>
      </c>
      <c r="T56" s="6">
        <v>5</v>
      </c>
      <c r="U56" s="6">
        <v>0</v>
      </c>
      <c r="V56" s="6">
        <f>IF(ISERROR(VLOOKUP($S$56,'TAR FIN'!$A$1:$O$104,15,0)),0,VLOOKUP($S$56,'TAR FIN'!$A$1:$O$104,15,0))</f>
        <v>0</v>
      </c>
      <c r="W56" s="6">
        <f>IF(ISERROR(VLOOKUP($T$56,'TAR FIN'!$A$1:$O$104,15,0)),0,VLOOKUP($T$56,'TAR FIN'!$A$1:$O$104,15,0))</f>
        <v>41.95</v>
      </c>
      <c r="X56" s="6">
        <f>IF(ISERROR(VLOOKUP($U$56,'TAR FIN'!$A$1:$O$104,15,0)),0,VLOOKUP($U$56,'TAR FIN'!$A$1:$O$104,15,0))</f>
        <v>0</v>
      </c>
      <c r="Y56" s="6"/>
      <c r="Z56" s="6">
        <f ca="1">('TUSD BE'!$AM$7+'TUSD BF'!$AM$7+'TUSD CVA'!$AM$7)*1</f>
        <v>55.308089175900619</v>
      </c>
      <c r="AA56" s="6"/>
      <c r="AB56" s="6">
        <f>$K$56*$V$56</f>
        <v>0</v>
      </c>
      <c r="AC56" s="6">
        <f>$M$56*$W$56</f>
        <v>83089.526000000013</v>
      </c>
      <c r="AD56" s="6">
        <f>$O$56*$X$56</f>
        <v>0</v>
      </c>
      <c r="AE56" s="6">
        <f>$K$56*$Y$56</f>
        <v>0</v>
      </c>
      <c r="AF56" s="6">
        <f ca="1">$M$56*$Z$56</f>
        <v>109547.62606892284</v>
      </c>
      <c r="AG56" s="6">
        <f>$O$56*$AA$56</f>
        <v>0</v>
      </c>
    </row>
    <row r="57" spans="1:33" ht="11.25" customHeight="1" x14ac:dyDescent="0.25">
      <c r="A57" s="4" t="s">
        <v>21</v>
      </c>
      <c r="B57" s="4" t="s">
        <v>39</v>
      </c>
      <c r="C57" s="4" t="s">
        <v>40</v>
      </c>
      <c r="D57" s="4" t="s">
        <v>38</v>
      </c>
      <c r="E57" s="4" t="s">
        <v>25</v>
      </c>
      <c r="F57" s="4" t="s">
        <v>61</v>
      </c>
      <c r="G57" s="4" t="s">
        <v>25</v>
      </c>
      <c r="H57" s="4" t="s">
        <v>25</v>
      </c>
      <c r="I57" s="5">
        <v>44621</v>
      </c>
      <c r="J57" s="6">
        <v>0</v>
      </c>
      <c r="K57" s="6">
        <v>0</v>
      </c>
      <c r="L57" s="6">
        <v>1640.53</v>
      </c>
      <c r="M57" s="6">
        <v>1640.53</v>
      </c>
      <c r="N57" s="6">
        <v>0</v>
      </c>
      <c r="O57" s="6">
        <v>0</v>
      </c>
      <c r="P57" s="6">
        <v>4</v>
      </c>
      <c r="Q57" s="4" t="s">
        <v>58</v>
      </c>
      <c r="R57" s="4">
        <v>0</v>
      </c>
      <c r="S57" s="6">
        <v>0</v>
      </c>
      <c r="T57" s="6">
        <v>5</v>
      </c>
      <c r="U57" s="6">
        <v>0</v>
      </c>
      <c r="V57" s="6">
        <f>IF(ISERROR(VLOOKUP($S$57,'TAR FIN'!$A$1:$O$104,15,0)),0,VLOOKUP($S$57,'TAR FIN'!$A$1:$O$104,15,0))</f>
        <v>0</v>
      </c>
      <c r="W57" s="6">
        <f>IF(ISERROR(VLOOKUP($T$57,'TAR FIN'!$A$1:$O$104,15,0)),0,VLOOKUP($T$57,'TAR FIN'!$A$1:$O$104,15,0))</f>
        <v>41.95</v>
      </c>
      <c r="X57" s="6">
        <f>IF(ISERROR(VLOOKUP($U$57,'TAR FIN'!$A$1:$O$104,15,0)),0,VLOOKUP($U$57,'TAR FIN'!$A$1:$O$104,15,0))</f>
        <v>0</v>
      </c>
      <c r="Y57" s="6"/>
      <c r="Z57" s="6">
        <f ca="1">('TUSD BE'!$AM$7+'TUSD BF'!$AM$7+'TUSD CVA'!$AM$7)*1</f>
        <v>55.308089175900619</v>
      </c>
      <c r="AA57" s="6"/>
      <c r="AB57" s="6">
        <f>$K$57*$V$57</f>
        <v>0</v>
      </c>
      <c r="AC57" s="6">
        <f>$M$57*$W$57</f>
        <v>68820.233500000002</v>
      </c>
      <c r="AD57" s="6">
        <f>$O$57*$X$57</f>
        <v>0</v>
      </c>
      <c r="AE57" s="6">
        <f>$K$57*$Y$57</f>
        <v>0</v>
      </c>
      <c r="AF57" s="6">
        <f ca="1">$M$57*$Z$57</f>
        <v>90734.579535740238</v>
      </c>
      <c r="AG57" s="6">
        <f>$O$57*$AA$57</f>
        <v>0</v>
      </c>
    </row>
    <row r="58" spans="1:33" ht="11.25" customHeight="1" x14ac:dyDescent="0.25">
      <c r="A58" s="4" t="s">
        <v>21</v>
      </c>
      <c r="B58" s="4" t="s">
        <v>39</v>
      </c>
      <c r="C58" s="4" t="s">
        <v>40</v>
      </c>
      <c r="D58" s="4" t="s">
        <v>38</v>
      </c>
      <c r="E58" s="4" t="s">
        <v>25</v>
      </c>
      <c r="F58" s="4" t="s">
        <v>61</v>
      </c>
      <c r="G58" s="4" t="s">
        <v>25</v>
      </c>
      <c r="H58" s="4" t="s">
        <v>25</v>
      </c>
      <c r="I58" s="5">
        <v>44652</v>
      </c>
      <c r="J58" s="6">
        <v>0</v>
      </c>
      <c r="K58" s="6">
        <v>0</v>
      </c>
      <c r="L58" s="6">
        <v>2244.9459999999999</v>
      </c>
      <c r="M58" s="6">
        <v>2244.9459999999999</v>
      </c>
      <c r="N58" s="6">
        <v>0</v>
      </c>
      <c r="O58" s="6">
        <v>0</v>
      </c>
      <c r="P58" s="6">
        <v>4</v>
      </c>
      <c r="Q58" s="4" t="s">
        <v>58</v>
      </c>
      <c r="R58" s="4">
        <v>0</v>
      </c>
      <c r="S58" s="6">
        <v>0</v>
      </c>
      <c r="T58" s="6">
        <v>5</v>
      </c>
      <c r="U58" s="6">
        <v>0</v>
      </c>
      <c r="V58" s="6">
        <f>IF(ISERROR(VLOOKUP($S$58,'TAR FIN'!$A$1:$O$104,15,0)),0,VLOOKUP($S$58,'TAR FIN'!$A$1:$O$104,15,0))</f>
        <v>0</v>
      </c>
      <c r="W58" s="6">
        <f>IF(ISERROR(VLOOKUP($T$58,'TAR FIN'!$A$1:$O$104,15,0)),0,VLOOKUP($T$58,'TAR FIN'!$A$1:$O$104,15,0))</f>
        <v>41.95</v>
      </c>
      <c r="X58" s="6">
        <f>IF(ISERROR(VLOOKUP($U$58,'TAR FIN'!$A$1:$O$104,15,0)),0,VLOOKUP($U$58,'TAR FIN'!$A$1:$O$104,15,0))</f>
        <v>0</v>
      </c>
      <c r="Y58" s="6"/>
      <c r="Z58" s="6">
        <f ca="1">('TUSD BE'!$AM$7+'TUSD BF'!$AM$7+'TUSD CVA'!$AM$7)*1</f>
        <v>55.308089175900619</v>
      </c>
      <c r="AA58" s="6"/>
      <c r="AB58" s="6">
        <f>$K$58*$V$58</f>
        <v>0</v>
      </c>
      <c r="AC58" s="6">
        <f>$M$58*$W$58</f>
        <v>94175.484700000001</v>
      </c>
      <c r="AD58" s="6">
        <f>$O$58*$X$58</f>
        <v>0</v>
      </c>
      <c r="AE58" s="6">
        <f>$K$58*$Y$58</f>
        <v>0</v>
      </c>
      <c r="AF58" s="6">
        <f ca="1">$M$58*$Z$58</f>
        <v>124163.67356308139</v>
      </c>
      <c r="AG58" s="6">
        <f>$O$58*$AA$58</f>
        <v>0</v>
      </c>
    </row>
    <row r="59" spans="1:33" ht="11.25" customHeight="1" x14ac:dyDescent="0.25">
      <c r="A59" s="4" t="s">
        <v>21</v>
      </c>
      <c r="B59" s="4" t="s">
        <v>39</v>
      </c>
      <c r="C59" s="4" t="s">
        <v>40</v>
      </c>
      <c r="D59" s="4" t="s">
        <v>38</v>
      </c>
      <c r="E59" s="4" t="s">
        <v>25</v>
      </c>
      <c r="F59" s="4" t="s">
        <v>61</v>
      </c>
      <c r="G59" s="4" t="s">
        <v>25</v>
      </c>
      <c r="H59" s="4" t="s">
        <v>25</v>
      </c>
      <c r="I59" s="5">
        <v>44682</v>
      </c>
      <c r="J59" s="6">
        <v>0</v>
      </c>
      <c r="K59" s="6">
        <v>0</v>
      </c>
      <c r="L59" s="6">
        <v>2199.9859999999999</v>
      </c>
      <c r="M59" s="6">
        <v>2199.9859999999999</v>
      </c>
      <c r="N59" s="6">
        <v>0</v>
      </c>
      <c r="O59" s="6">
        <v>0</v>
      </c>
      <c r="P59" s="6">
        <v>4</v>
      </c>
      <c r="Q59" s="4" t="s">
        <v>58</v>
      </c>
      <c r="R59" s="4">
        <v>0</v>
      </c>
      <c r="S59" s="6">
        <v>0</v>
      </c>
      <c r="T59" s="6">
        <v>5</v>
      </c>
      <c r="U59" s="6">
        <v>0</v>
      </c>
      <c r="V59" s="6">
        <f>IF(ISERROR(VLOOKUP($S$59,'TAR FIN'!$A$1:$O$104,15,0)),0,VLOOKUP($S$59,'TAR FIN'!$A$1:$O$104,15,0))</f>
        <v>0</v>
      </c>
      <c r="W59" s="6">
        <f>IF(ISERROR(VLOOKUP($T$59,'TAR FIN'!$A$1:$O$104,15,0)),0,VLOOKUP($T$59,'TAR FIN'!$A$1:$O$104,15,0))</f>
        <v>41.95</v>
      </c>
      <c r="X59" s="6">
        <f>IF(ISERROR(VLOOKUP($U$59,'TAR FIN'!$A$1:$O$104,15,0)),0,VLOOKUP($U$59,'TAR FIN'!$A$1:$O$104,15,0))</f>
        <v>0</v>
      </c>
      <c r="Y59" s="6"/>
      <c r="Z59" s="6">
        <f ca="1">('TUSD BE'!$AM$7+'TUSD BF'!$AM$7+'TUSD CVA'!$AM$7)*1</f>
        <v>55.308089175900619</v>
      </c>
      <c r="AA59" s="6"/>
      <c r="AB59" s="6">
        <f>$K$59*$V$59</f>
        <v>0</v>
      </c>
      <c r="AC59" s="6">
        <f>$M$59*$W$59</f>
        <v>92289.412700000001</v>
      </c>
      <c r="AD59" s="6">
        <f>$O$59*$X$59</f>
        <v>0</v>
      </c>
      <c r="AE59" s="6">
        <f>$K$59*$Y$59</f>
        <v>0</v>
      </c>
      <c r="AF59" s="6">
        <f ca="1">$M$59*$Z$59</f>
        <v>121677.0218737329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39</v>
      </c>
      <c r="C60" s="4" t="s">
        <v>40</v>
      </c>
      <c r="D60" s="4" t="s">
        <v>38</v>
      </c>
      <c r="E60" s="4" t="s">
        <v>25</v>
      </c>
      <c r="F60" s="4" t="s">
        <v>61</v>
      </c>
      <c r="G60" s="4" t="s">
        <v>25</v>
      </c>
      <c r="H60" s="4" t="s">
        <v>25</v>
      </c>
      <c r="I60" s="5">
        <v>44713</v>
      </c>
      <c r="J60" s="6">
        <v>0</v>
      </c>
      <c r="K60" s="6">
        <v>0</v>
      </c>
      <c r="L60" s="6">
        <v>2167.8310000000001</v>
      </c>
      <c r="M60" s="6">
        <v>2167.8310000000001</v>
      </c>
      <c r="N60" s="6">
        <v>0</v>
      </c>
      <c r="O60" s="6">
        <v>0</v>
      </c>
      <c r="P60" s="6">
        <v>4</v>
      </c>
      <c r="Q60" s="4" t="s">
        <v>58</v>
      </c>
      <c r="R60" s="4">
        <v>0</v>
      </c>
      <c r="S60" s="6">
        <v>0</v>
      </c>
      <c r="T60" s="6">
        <v>5</v>
      </c>
      <c r="U60" s="6">
        <v>0</v>
      </c>
      <c r="V60" s="6">
        <f>IF(ISERROR(VLOOKUP($S$60,'TAR FIN'!$A$1:$O$104,15,0)),0,VLOOKUP($S$60,'TAR FIN'!$A$1:$O$104,15,0))</f>
        <v>0</v>
      </c>
      <c r="W60" s="6">
        <f>IF(ISERROR(VLOOKUP($T$60,'TAR FIN'!$A$1:$O$104,15,0)),0,VLOOKUP($T$60,'TAR FIN'!$A$1:$O$104,15,0))</f>
        <v>41.95</v>
      </c>
      <c r="X60" s="6">
        <f>IF(ISERROR(VLOOKUP($U$60,'TAR FIN'!$A$1:$O$104,15,0)),0,VLOOKUP($U$60,'TAR FIN'!$A$1:$O$104,15,0))</f>
        <v>0</v>
      </c>
      <c r="Y60" s="6"/>
      <c r="Z60" s="6">
        <f ca="1">('TUSD BE'!$AM$7+'TUSD BF'!$AM$7+'TUSD CVA'!$AM$7)*1</f>
        <v>55.308089175900619</v>
      </c>
      <c r="AA60" s="6"/>
      <c r="AB60" s="6">
        <f>$K$60*$V$60</f>
        <v>0</v>
      </c>
      <c r="AC60" s="6">
        <f>$M$60*$W$60</f>
        <v>90940.510450000016</v>
      </c>
      <c r="AD60" s="6">
        <f>$O$60*$X$60</f>
        <v>0</v>
      </c>
      <c r="AE60" s="6">
        <f>$K$60*$Y$60</f>
        <v>0</v>
      </c>
      <c r="AF60" s="6">
        <f ca="1">$M$60*$Z$60</f>
        <v>119898.59026628183</v>
      </c>
      <c r="AG60" s="6">
        <f>$O$60*$AA$60</f>
        <v>0</v>
      </c>
    </row>
    <row r="61" spans="1:33" ht="11.25" customHeight="1" x14ac:dyDescent="0.25">
      <c r="A61" s="4" t="s">
        <v>57</v>
      </c>
      <c r="B61" s="4" t="s">
        <v>39</v>
      </c>
      <c r="C61" s="4" t="s">
        <v>40</v>
      </c>
      <c r="D61" s="4" t="s">
        <v>38</v>
      </c>
      <c r="E61" s="4" t="s">
        <v>25</v>
      </c>
      <c r="F61" s="4" t="s">
        <v>61</v>
      </c>
      <c r="G61" s="4" t="s">
        <v>25</v>
      </c>
      <c r="H61" s="4" t="s">
        <v>25</v>
      </c>
      <c r="I61" s="5">
        <v>44743</v>
      </c>
      <c r="J61" s="6">
        <v>0</v>
      </c>
      <c r="K61" s="6">
        <v>0</v>
      </c>
      <c r="L61" s="6">
        <v>2167.8310000000001</v>
      </c>
      <c r="M61" s="6">
        <v>2167.8310000000001</v>
      </c>
      <c r="N61" s="6">
        <v>0</v>
      </c>
      <c r="O61" s="6">
        <v>0</v>
      </c>
      <c r="P61" s="6">
        <v>4</v>
      </c>
      <c r="Q61" s="4" t="s">
        <v>58</v>
      </c>
      <c r="R61" s="4">
        <v>0</v>
      </c>
      <c r="S61" s="6">
        <v>0</v>
      </c>
      <c r="T61" s="6">
        <v>5</v>
      </c>
      <c r="U61" s="6">
        <v>0</v>
      </c>
      <c r="V61" s="6">
        <f>IF(ISERROR(VLOOKUP($S$61,'TAR FIN'!$A$1:$O$104,15,0)),0,VLOOKUP($S$61,'TAR FIN'!$A$1:$O$104,15,0))</f>
        <v>0</v>
      </c>
      <c r="W61" s="6">
        <f>IF(ISERROR(VLOOKUP($T$61,'TAR FIN'!$A$1:$O$104,15,0)),0,VLOOKUP($T$61,'TAR FIN'!$A$1:$O$104,15,0))</f>
        <v>41.95</v>
      </c>
      <c r="X61" s="6">
        <f>IF(ISERROR(VLOOKUP($U$61,'TAR FIN'!$A$1:$O$104,15,0)),0,VLOOKUP($U$61,'TAR FIN'!$A$1:$O$104,15,0))</f>
        <v>0</v>
      </c>
      <c r="Y61" s="6"/>
      <c r="Z61" s="6">
        <f ca="1">('TUSD BE'!$AM$7+'TUSD BF'!$AM$7+'TUSD CVA'!$AM$7)*1</f>
        <v>55.308089175900619</v>
      </c>
      <c r="AA61" s="6"/>
      <c r="AB61" s="6">
        <f>$K$61*$V$61</f>
        <v>0</v>
      </c>
      <c r="AC61" s="6">
        <f>$M$61*$W$61</f>
        <v>90940.510450000016</v>
      </c>
      <c r="AD61" s="6">
        <f>$O$61*$X$61</f>
        <v>0</v>
      </c>
      <c r="AE61" s="6">
        <f>$K$61*$Y$61</f>
        <v>0</v>
      </c>
      <c r="AF61" s="6">
        <f ca="1">$M$61*$Z$61</f>
        <v>119898.59026628183</v>
      </c>
      <c r="AG61" s="6">
        <f>$O$61*$AA$61</f>
        <v>0</v>
      </c>
    </row>
    <row r="62" spans="1:33" ht="11.25" customHeight="1" x14ac:dyDescent="0.25">
      <c r="A62" s="4" t="s">
        <v>21</v>
      </c>
      <c r="B62" s="4" t="s">
        <v>39</v>
      </c>
      <c r="C62" s="4" t="s">
        <v>40</v>
      </c>
      <c r="D62" s="4" t="s">
        <v>38</v>
      </c>
      <c r="E62" s="4" t="s">
        <v>25</v>
      </c>
      <c r="F62" s="4" t="s">
        <v>61</v>
      </c>
      <c r="G62" s="4" t="s">
        <v>25</v>
      </c>
      <c r="H62" s="4" t="s">
        <v>34</v>
      </c>
      <c r="I62" s="5">
        <v>44409</v>
      </c>
      <c r="J62" s="6">
        <v>3940</v>
      </c>
      <c r="K62" s="6">
        <v>2639.8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58</v>
      </c>
      <c r="R62" s="4">
        <v>0</v>
      </c>
      <c r="S62" s="6">
        <v>1</v>
      </c>
      <c r="T62" s="6">
        <v>0</v>
      </c>
      <c r="U62" s="6">
        <v>0</v>
      </c>
      <c r="V62" s="6">
        <f>IF(ISERROR(VLOOKUP($S$62,'TAR FIN'!$A$1:$O$104,15,0)),0,VLOOKUP($S$62,'TAR FIN'!$A$1:$O$104,15,0))</f>
        <v>21.48</v>
      </c>
      <c r="W62" s="6">
        <f>IF(ISERROR(VLOOKUP($T$62,'TAR FIN'!$A$1:$O$104,15,0)),0,VLOOKUP($T$62,'TAR FIN'!$A$1:$O$104,15,0))</f>
        <v>0</v>
      </c>
      <c r="X62" s="6">
        <f>IF(ISERROR(VLOOKUP($U$62,'TAR FIN'!$A$1:$O$104,15,0)),0,VLOOKUP($U$62,'TAR FIN'!$A$1:$O$104,15,0))</f>
        <v>0</v>
      </c>
      <c r="Y62" s="6">
        <f ca="1">('TUSD BE'!$AM$5+'TUSD BF'!$AM$5+'TUSD CVA'!$AM$5)*1</f>
        <v>21.312847359717548</v>
      </c>
      <c r="Z62" s="6">
        <f ca="1">('TUSD BE'!$AM$7+'TUSD BF'!$AM$7+'TUSD CVA'!$AM$7)*1</f>
        <v>55.308089175900619</v>
      </c>
      <c r="AA62" s="6"/>
      <c r="AB62" s="6">
        <f>$K$62*$V$62</f>
        <v>56702.904000000002</v>
      </c>
      <c r="AC62" s="6">
        <f>$M$62*$W$62</f>
        <v>0</v>
      </c>
      <c r="AD62" s="6">
        <f>$O$62*$X$62</f>
        <v>0</v>
      </c>
      <c r="AE62" s="6">
        <f ca="1">$K$62*$Y$62</f>
        <v>56261.654460182384</v>
      </c>
      <c r="AF62" s="6">
        <f ca="1">$M$62*$Z$62</f>
        <v>0</v>
      </c>
      <c r="AG62" s="6">
        <f>$O$62*$AA$62</f>
        <v>0</v>
      </c>
    </row>
    <row r="63" spans="1:33" ht="11.25" customHeight="1" x14ac:dyDescent="0.25">
      <c r="A63" s="4" t="s">
        <v>21</v>
      </c>
      <c r="B63" s="4" t="s">
        <v>39</v>
      </c>
      <c r="C63" s="4" t="s">
        <v>40</v>
      </c>
      <c r="D63" s="4" t="s">
        <v>38</v>
      </c>
      <c r="E63" s="4" t="s">
        <v>25</v>
      </c>
      <c r="F63" s="4" t="s">
        <v>61</v>
      </c>
      <c r="G63" s="4" t="s">
        <v>25</v>
      </c>
      <c r="H63" s="4" t="s">
        <v>34</v>
      </c>
      <c r="I63" s="5">
        <v>44440</v>
      </c>
      <c r="J63" s="6">
        <v>3940</v>
      </c>
      <c r="K63" s="6">
        <v>2758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58</v>
      </c>
      <c r="R63" s="4">
        <v>0</v>
      </c>
      <c r="S63" s="6">
        <v>1</v>
      </c>
      <c r="T63" s="6">
        <v>0</v>
      </c>
      <c r="U63" s="6">
        <v>0</v>
      </c>
      <c r="V63" s="6">
        <f>IF(ISERROR(VLOOKUP($S$63,'TAR FIN'!$A$1:$O$104,15,0)),0,VLOOKUP($S$63,'TAR FIN'!$A$1:$O$104,15,0))</f>
        <v>21.48</v>
      </c>
      <c r="W63" s="6">
        <f>IF(ISERROR(VLOOKUP($T$63,'TAR FIN'!$A$1:$O$104,15,0)),0,VLOOKUP($T$63,'TAR FIN'!$A$1:$O$104,15,0))</f>
        <v>0</v>
      </c>
      <c r="X63" s="6">
        <f>IF(ISERROR(VLOOKUP($U$63,'TAR FIN'!$A$1:$O$104,15,0)),0,VLOOKUP($U$63,'TAR FIN'!$A$1:$O$104,15,0))</f>
        <v>0</v>
      </c>
      <c r="Y63" s="6">
        <f ca="1">('TUSD BE'!$AM$5+'TUSD BF'!$AM$5+'TUSD CVA'!$AM$5)*1</f>
        <v>21.312847359717548</v>
      </c>
      <c r="Z63" s="6">
        <f ca="1">('TUSD BE'!$AM$7+'TUSD BF'!$AM$7+'TUSD CVA'!$AM$7)*1</f>
        <v>55.308089175900619</v>
      </c>
      <c r="AA63" s="6"/>
      <c r="AB63" s="6">
        <f>$K$63*$V$63</f>
        <v>59241.840000000004</v>
      </c>
      <c r="AC63" s="6">
        <f>$M$63*$W$63</f>
        <v>0</v>
      </c>
      <c r="AD63" s="6">
        <f>$O$63*$X$63</f>
        <v>0</v>
      </c>
      <c r="AE63" s="6">
        <f ca="1">$K$63*$Y$63</f>
        <v>58780.833018100995</v>
      </c>
      <c r="AF63" s="6">
        <f ca="1"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39</v>
      </c>
      <c r="C64" s="4" t="s">
        <v>40</v>
      </c>
      <c r="D64" s="4" t="s">
        <v>38</v>
      </c>
      <c r="E64" s="4" t="s">
        <v>25</v>
      </c>
      <c r="F64" s="4" t="s">
        <v>61</v>
      </c>
      <c r="G64" s="4" t="s">
        <v>25</v>
      </c>
      <c r="H64" s="4" t="s">
        <v>34</v>
      </c>
      <c r="I64" s="5">
        <v>44470</v>
      </c>
      <c r="J64" s="6">
        <v>3940</v>
      </c>
      <c r="K64" s="6">
        <v>4609.8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58</v>
      </c>
      <c r="R64" s="4">
        <v>0</v>
      </c>
      <c r="S64" s="6">
        <v>1</v>
      </c>
      <c r="T64" s="6">
        <v>0</v>
      </c>
      <c r="U64" s="6">
        <v>0</v>
      </c>
      <c r="V64" s="6">
        <f>IF(ISERROR(VLOOKUP($S$64,'TAR FIN'!$A$1:$O$104,15,0)),0,VLOOKUP($S$64,'TAR FIN'!$A$1:$O$104,15,0))</f>
        <v>21.48</v>
      </c>
      <c r="W64" s="6">
        <f>IF(ISERROR(VLOOKUP($T$64,'TAR FIN'!$A$1:$O$104,15,0)),0,VLOOKUP($T$64,'TAR FIN'!$A$1:$O$104,15,0))</f>
        <v>0</v>
      </c>
      <c r="X64" s="6">
        <f>IF(ISERROR(VLOOKUP($U$64,'TAR FIN'!$A$1:$O$104,15,0)),0,VLOOKUP($U$64,'TAR FIN'!$A$1:$O$104,15,0))</f>
        <v>0</v>
      </c>
      <c r="Y64" s="6">
        <f ca="1">('TUSD BE'!$AM$5+'TUSD BF'!$AM$5+'TUSD CVA'!$AM$5)*1</f>
        <v>21.312847359717548</v>
      </c>
      <c r="Z64" s="6">
        <f ca="1">('TUSD BE'!$AM$7+'TUSD BF'!$AM$7+'TUSD CVA'!$AM$7)*1</f>
        <v>55.308089175900619</v>
      </c>
      <c r="AA64" s="6"/>
      <c r="AB64" s="6">
        <f>$K$64*$V$64</f>
        <v>99018.504000000001</v>
      </c>
      <c r="AC64" s="6">
        <f>$M$64*$W$64</f>
        <v>0</v>
      </c>
      <c r="AD64" s="6">
        <f>$O$64*$X$64</f>
        <v>0</v>
      </c>
      <c r="AE64" s="6">
        <f ca="1">$K$64*$Y$64</f>
        <v>98247.96375882595</v>
      </c>
      <c r="AF64" s="6">
        <f ca="1">$M$64*$Z$64</f>
        <v>0</v>
      </c>
      <c r="AG64" s="6">
        <f>$O$64*$AA$64</f>
        <v>0</v>
      </c>
    </row>
    <row r="65" spans="1:33" ht="11.25" customHeight="1" x14ac:dyDescent="0.25">
      <c r="A65" s="4" t="s">
        <v>21</v>
      </c>
      <c r="B65" s="4" t="s">
        <v>39</v>
      </c>
      <c r="C65" s="4" t="s">
        <v>40</v>
      </c>
      <c r="D65" s="4" t="s">
        <v>38</v>
      </c>
      <c r="E65" s="4" t="s">
        <v>25</v>
      </c>
      <c r="F65" s="4" t="s">
        <v>61</v>
      </c>
      <c r="G65" s="4" t="s">
        <v>25</v>
      </c>
      <c r="H65" s="4" t="s">
        <v>34</v>
      </c>
      <c r="I65" s="5">
        <v>44501</v>
      </c>
      <c r="J65" s="6">
        <v>6627</v>
      </c>
      <c r="K65" s="6">
        <v>4903.9799999999996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58</v>
      </c>
      <c r="R65" s="4">
        <v>0</v>
      </c>
      <c r="S65" s="6">
        <v>1</v>
      </c>
      <c r="T65" s="6">
        <v>0</v>
      </c>
      <c r="U65" s="6">
        <v>0</v>
      </c>
      <c r="V65" s="6">
        <f>IF(ISERROR(VLOOKUP($S$65,'TAR FIN'!$A$1:$O$104,15,0)),0,VLOOKUP($S$65,'TAR FIN'!$A$1:$O$104,15,0))</f>
        <v>21.48</v>
      </c>
      <c r="W65" s="6">
        <f>IF(ISERROR(VLOOKUP($T$65,'TAR FIN'!$A$1:$O$104,15,0)),0,VLOOKUP($T$65,'TAR FIN'!$A$1:$O$104,15,0))</f>
        <v>0</v>
      </c>
      <c r="X65" s="6">
        <f>IF(ISERROR(VLOOKUP($U$65,'TAR FIN'!$A$1:$O$104,15,0)),0,VLOOKUP($U$65,'TAR FIN'!$A$1:$O$104,15,0))</f>
        <v>0</v>
      </c>
      <c r="Y65" s="6">
        <f ca="1">('TUSD BE'!$AM$5+'TUSD BF'!$AM$5+'TUSD CVA'!$AM$5)*1</f>
        <v>21.312847359717548</v>
      </c>
      <c r="Z65" s="6">
        <f ca="1">('TUSD BE'!$AM$7+'TUSD BF'!$AM$7+'TUSD CVA'!$AM$7)*1</f>
        <v>55.308089175900619</v>
      </c>
      <c r="AA65" s="6"/>
      <c r="AB65" s="6">
        <f>$K$65*$V$65</f>
        <v>105337.4904</v>
      </c>
      <c r="AC65" s="6">
        <f>$M$65*$W$65</f>
        <v>0</v>
      </c>
      <c r="AD65" s="6">
        <f>$O$65*$X$65</f>
        <v>0</v>
      </c>
      <c r="AE65" s="6">
        <f ca="1">$K$65*$Y$65</f>
        <v>104517.77719510766</v>
      </c>
      <c r="AF65" s="6">
        <f ca="1">$M$65*$Z$65</f>
        <v>0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39</v>
      </c>
      <c r="C66" s="4" t="s">
        <v>40</v>
      </c>
      <c r="D66" s="4" t="s">
        <v>38</v>
      </c>
      <c r="E66" s="4" t="s">
        <v>25</v>
      </c>
      <c r="F66" s="4" t="s">
        <v>61</v>
      </c>
      <c r="G66" s="4" t="s">
        <v>25</v>
      </c>
      <c r="H66" s="4" t="s">
        <v>34</v>
      </c>
      <c r="I66" s="5">
        <v>44531</v>
      </c>
      <c r="J66" s="6">
        <v>4818</v>
      </c>
      <c r="K66" s="6">
        <v>1975.38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58</v>
      </c>
      <c r="R66" s="4">
        <v>0</v>
      </c>
      <c r="S66" s="6">
        <v>1</v>
      </c>
      <c r="T66" s="6">
        <v>0</v>
      </c>
      <c r="U66" s="6">
        <v>0</v>
      </c>
      <c r="V66" s="6">
        <f>IF(ISERROR(VLOOKUP($S$66,'TAR FIN'!$A$1:$O$104,15,0)),0,VLOOKUP($S$66,'TAR FIN'!$A$1:$O$104,15,0))</f>
        <v>21.48</v>
      </c>
      <c r="W66" s="6">
        <f>IF(ISERROR(VLOOKUP($T$66,'TAR FIN'!$A$1:$O$104,15,0)),0,VLOOKUP($T$66,'TAR FIN'!$A$1:$O$104,15,0))</f>
        <v>0</v>
      </c>
      <c r="X66" s="6">
        <f>IF(ISERROR(VLOOKUP($U$66,'TAR FIN'!$A$1:$O$104,15,0)),0,VLOOKUP($U$66,'TAR FIN'!$A$1:$O$104,15,0))</f>
        <v>0</v>
      </c>
      <c r="Y66" s="6">
        <f ca="1">('TUSD BE'!$AM$5+'TUSD BF'!$AM$5+'TUSD CVA'!$AM$5)*1</f>
        <v>21.312847359717548</v>
      </c>
      <c r="Z66" s="6">
        <f ca="1">('TUSD BE'!$AM$7+'TUSD BF'!$AM$7+'TUSD CVA'!$AM$7)*1</f>
        <v>55.308089175900619</v>
      </c>
      <c r="AA66" s="6"/>
      <c r="AB66" s="6">
        <f>$K$66*$V$66</f>
        <v>42431.162400000001</v>
      </c>
      <c r="AC66" s="6">
        <f>$M$66*$W$66</f>
        <v>0</v>
      </c>
      <c r="AD66" s="6">
        <f>$O$66*$X$66</f>
        <v>0</v>
      </c>
      <c r="AE66" s="6">
        <f ca="1">$K$66*$Y$66</f>
        <v>42100.972417438854</v>
      </c>
      <c r="AF66" s="6">
        <f ca="1">$M$66*$Z$66</f>
        <v>0</v>
      </c>
      <c r="AG66" s="6">
        <f>$O$66*$AA$66</f>
        <v>0</v>
      </c>
    </row>
    <row r="67" spans="1:33" ht="11.25" customHeight="1" x14ac:dyDescent="0.25">
      <c r="A67" s="4" t="s">
        <v>21</v>
      </c>
      <c r="B67" s="4" t="s">
        <v>39</v>
      </c>
      <c r="C67" s="4" t="s">
        <v>40</v>
      </c>
      <c r="D67" s="4" t="s">
        <v>38</v>
      </c>
      <c r="E67" s="4" t="s">
        <v>25</v>
      </c>
      <c r="F67" s="4" t="s">
        <v>61</v>
      </c>
      <c r="G67" s="4" t="s">
        <v>25</v>
      </c>
      <c r="H67" s="4" t="s">
        <v>34</v>
      </c>
      <c r="I67" s="5">
        <v>44562</v>
      </c>
      <c r="J67" s="6">
        <v>4737</v>
      </c>
      <c r="K67" s="6">
        <v>1989.54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58</v>
      </c>
      <c r="R67" s="4">
        <v>0</v>
      </c>
      <c r="S67" s="6">
        <v>1</v>
      </c>
      <c r="T67" s="6">
        <v>0</v>
      </c>
      <c r="U67" s="6">
        <v>0</v>
      </c>
      <c r="V67" s="6">
        <f>IF(ISERROR(VLOOKUP($S$67,'TAR FIN'!$A$1:$O$104,15,0)),0,VLOOKUP($S$67,'TAR FIN'!$A$1:$O$104,15,0))</f>
        <v>21.48</v>
      </c>
      <c r="W67" s="6">
        <f>IF(ISERROR(VLOOKUP($T$67,'TAR FIN'!$A$1:$O$104,15,0)),0,VLOOKUP($T$67,'TAR FIN'!$A$1:$O$104,15,0))</f>
        <v>0</v>
      </c>
      <c r="X67" s="6">
        <f>IF(ISERROR(VLOOKUP($U$67,'TAR FIN'!$A$1:$O$104,15,0)),0,VLOOKUP($U$67,'TAR FIN'!$A$1:$O$104,15,0))</f>
        <v>0</v>
      </c>
      <c r="Y67" s="6">
        <f ca="1">('TUSD BE'!$AM$5+'TUSD BF'!$AM$5+'TUSD CVA'!$AM$5)*1</f>
        <v>21.312847359717548</v>
      </c>
      <c r="Z67" s="6">
        <f ca="1">('TUSD BE'!$AM$7+'TUSD BF'!$AM$7+'TUSD CVA'!$AM$7)*1</f>
        <v>55.308089175900619</v>
      </c>
      <c r="AA67" s="6"/>
      <c r="AB67" s="6">
        <f>$K$67*$V$67</f>
        <v>42735.319199999998</v>
      </c>
      <c r="AC67" s="6">
        <f>$M$67*$W$67</f>
        <v>0</v>
      </c>
      <c r="AD67" s="6">
        <f>$O$67*$X$67</f>
        <v>0</v>
      </c>
      <c r="AE67" s="6">
        <f ca="1">$K$67*$Y$67</f>
        <v>42402.762336052452</v>
      </c>
      <c r="AF67" s="6">
        <f ca="1">$M$67*$Z$67</f>
        <v>0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39</v>
      </c>
      <c r="C68" s="4" t="s">
        <v>40</v>
      </c>
      <c r="D68" s="4" t="s">
        <v>38</v>
      </c>
      <c r="E68" s="4" t="s">
        <v>25</v>
      </c>
      <c r="F68" s="4" t="s">
        <v>61</v>
      </c>
      <c r="G68" s="4" t="s">
        <v>25</v>
      </c>
      <c r="H68" s="4" t="s">
        <v>34</v>
      </c>
      <c r="I68" s="5">
        <v>44593</v>
      </c>
      <c r="J68" s="6">
        <v>4766</v>
      </c>
      <c r="K68" s="6">
        <v>2001.72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58</v>
      </c>
      <c r="R68" s="4">
        <v>0</v>
      </c>
      <c r="S68" s="6">
        <v>1</v>
      </c>
      <c r="T68" s="6">
        <v>0</v>
      </c>
      <c r="U68" s="6">
        <v>0</v>
      </c>
      <c r="V68" s="6">
        <f>IF(ISERROR(VLOOKUP($S$68,'TAR FIN'!$A$1:$O$104,15,0)),0,VLOOKUP($S$68,'TAR FIN'!$A$1:$O$104,15,0))</f>
        <v>21.48</v>
      </c>
      <c r="W68" s="6">
        <f>IF(ISERROR(VLOOKUP($T$68,'TAR FIN'!$A$1:$O$104,15,0)),0,VLOOKUP($T$68,'TAR FIN'!$A$1:$O$104,15,0))</f>
        <v>0</v>
      </c>
      <c r="X68" s="6">
        <f>IF(ISERROR(VLOOKUP($U$68,'TAR FIN'!$A$1:$O$104,15,0)),0,VLOOKUP($U$68,'TAR FIN'!$A$1:$O$104,15,0))</f>
        <v>0</v>
      </c>
      <c r="Y68" s="6">
        <f ca="1">('TUSD BE'!$AM$5+'TUSD BF'!$AM$5+'TUSD CVA'!$AM$5)*1</f>
        <v>21.312847359717548</v>
      </c>
      <c r="Z68" s="6">
        <f ca="1">('TUSD BE'!$AM$7+'TUSD BF'!$AM$7+'TUSD CVA'!$AM$7)*1</f>
        <v>55.308089175900619</v>
      </c>
      <c r="AA68" s="6"/>
      <c r="AB68" s="6">
        <f>$K$68*$V$68</f>
        <v>42996.945599999999</v>
      </c>
      <c r="AC68" s="6">
        <f>$M$68*$W$68</f>
        <v>0</v>
      </c>
      <c r="AD68" s="6">
        <f>$O$68*$X$68</f>
        <v>0</v>
      </c>
      <c r="AE68" s="6">
        <f ca="1">$K$68*$Y$68</f>
        <v>42662.352816893814</v>
      </c>
      <c r="AF68" s="6">
        <f ca="1">$M$68*$Z$68</f>
        <v>0</v>
      </c>
      <c r="AG68" s="6">
        <f>$O$68*$AA$68</f>
        <v>0</v>
      </c>
    </row>
    <row r="69" spans="1:33" ht="11.25" customHeight="1" x14ac:dyDescent="0.25">
      <c r="A69" s="4" t="s">
        <v>21</v>
      </c>
      <c r="B69" s="4" t="s">
        <v>39</v>
      </c>
      <c r="C69" s="4" t="s">
        <v>40</v>
      </c>
      <c r="D69" s="4" t="s">
        <v>38</v>
      </c>
      <c r="E69" s="4" t="s">
        <v>25</v>
      </c>
      <c r="F69" s="4" t="s">
        <v>61</v>
      </c>
      <c r="G69" s="4" t="s">
        <v>25</v>
      </c>
      <c r="H69" s="4" t="s">
        <v>34</v>
      </c>
      <c r="I69" s="5">
        <v>44621</v>
      </c>
      <c r="J69" s="6">
        <v>4922</v>
      </c>
      <c r="K69" s="6">
        <v>2116.46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58</v>
      </c>
      <c r="R69" s="4">
        <v>0</v>
      </c>
      <c r="S69" s="6">
        <v>1</v>
      </c>
      <c r="T69" s="6">
        <v>0</v>
      </c>
      <c r="U69" s="6">
        <v>0</v>
      </c>
      <c r="V69" s="6">
        <f>IF(ISERROR(VLOOKUP($S$69,'TAR FIN'!$A$1:$O$104,15,0)),0,VLOOKUP($S$69,'TAR FIN'!$A$1:$O$104,15,0))</f>
        <v>21.48</v>
      </c>
      <c r="W69" s="6">
        <f>IF(ISERROR(VLOOKUP($T$69,'TAR FIN'!$A$1:$O$104,15,0)),0,VLOOKUP($T$69,'TAR FIN'!$A$1:$O$104,15,0))</f>
        <v>0</v>
      </c>
      <c r="X69" s="6">
        <f>IF(ISERROR(VLOOKUP($U$69,'TAR FIN'!$A$1:$O$104,15,0)),0,VLOOKUP($U$69,'TAR FIN'!$A$1:$O$104,15,0))</f>
        <v>0</v>
      </c>
      <c r="Y69" s="6">
        <f ca="1">('TUSD BE'!$AM$5+'TUSD BF'!$AM$5+'TUSD CVA'!$AM$5)*1</f>
        <v>21.312847359717548</v>
      </c>
      <c r="Z69" s="6">
        <f ca="1">('TUSD BE'!$AM$7+'TUSD BF'!$AM$7+'TUSD CVA'!$AM$7)*1</f>
        <v>55.308089175900619</v>
      </c>
      <c r="AA69" s="6"/>
      <c r="AB69" s="6">
        <f>$K$69*$V$69</f>
        <v>45461.560799999999</v>
      </c>
      <c r="AC69" s="6">
        <f>$M$69*$W$69</f>
        <v>0</v>
      </c>
      <c r="AD69" s="6">
        <f>$O$69*$X$69</f>
        <v>0</v>
      </c>
      <c r="AE69" s="6">
        <f ca="1">$K$69*$Y$69</f>
        <v>45107.788922947802</v>
      </c>
      <c r="AF69" s="6">
        <f ca="1">$M$69*$Z$69</f>
        <v>0</v>
      </c>
      <c r="AG69" s="6">
        <f>$O$69*$AA$69</f>
        <v>0</v>
      </c>
    </row>
    <row r="70" spans="1:33" ht="11.25" customHeight="1" x14ac:dyDescent="0.25">
      <c r="A70" s="4" t="s">
        <v>21</v>
      </c>
      <c r="B70" s="4" t="s">
        <v>39</v>
      </c>
      <c r="C70" s="4" t="s">
        <v>40</v>
      </c>
      <c r="D70" s="4" t="s">
        <v>38</v>
      </c>
      <c r="E70" s="4" t="s">
        <v>25</v>
      </c>
      <c r="F70" s="4" t="s">
        <v>61</v>
      </c>
      <c r="G70" s="4" t="s">
        <v>25</v>
      </c>
      <c r="H70" s="4" t="s">
        <v>34</v>
      </c>
      <c r="I70" s="5">
        <v>44652</v>
      </c>
      <c r="J70" s="6">
        <v>4890</v>
      </c>
      <c r="K70" s="6">
        <v>2053.8000000000002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58</v>
      </c>
      <c r="R70" s="4">
        <v>0</v>
      </c>
      <c r="S70" s="6">
        <v>1</v>
      </c>
      <c r="T70" s="6">
        <v>0</v>
      </c>
      <c r="U70" s="6">
        <v>0</v>
      </c>
      <c r="V70" s="6">
        <f>IF(ISERROR(VLOOKUP($S$70,'TAR FIN'!$A$1:$O$104,15,0)),0,VLOOKUP($S$70,'TAR FIN'!$A$1:$O$104,15,0))</f>
        <v>21.48</v>
      </c>
      <c r="W70" s="6">
        <f>IF(ISERROR(VLOOKUP($T$70,'TAR FIN'!$A$1:$O$104,15,0)),0,VLOOKUP($T$70,'TAR FIN'!$A$1:$O$104,15,0))</f>
        <v>0</v>
      </c>
      <c r="X70" s="6">
        <f>IF(ISERROR(VLOOKUP($U$70,'TAR FIN'!$A$1:$O$104,15,0)),0,VLOOKUP($U$70,'TAR FIN'!$A$1:$O$104,15,0))</f>
        <v>0</v>
      </c>
      <c r="Y70" s="6">
        <f ca="1">('TUSD BE'!$AM$5+'TUSD BF'!$AM$5+'TUSD CVA'!$AM$5)*1</f>
        <v>21.312847359717548</v>
      </c>
      <c r="Z70" s="6">
        <f ca="1">('TUSD BE'!$AM$7+'TUSD BF'!$AM$7+'TUSD CVA'!$AM$7)*1</f>
        <v>55.308089175900619</v>
      </c>
      <c r="AA70" s="6"/>
      <c r="AB70" s="6">
        <f>$K$70*$V$70</f>
        <v>44115.624000000003</v>
      </c>
      <c r="AC70" s="6">
        <f>$M$70*$W$70</f>
        <v>0</v>
      </c>
      <c r="AD70" s="6">
        <f>$O$70*$X$70</f>
        <v>0</v>
      </c>
      <c r="AE70" s="6">
        <f ca="1">$K$70*$Y$70</f>
        <v>43772.325907387902</v>
      </c>
      <c r="AF70" s="6">
        <f ca="1">$M$70*$Z$70</f>
        <v>0</v>
      </c>
      <c r="AG70" s="6">
        <f>$O$70*$AA$70</f>
        <v>0</v>
      </c>
    </row>
    <row r="71" spans="1:33" ht="11.25" customHeight="1" x14ac:dyDescent="0.25">
      <c r="A71" s="4" t="s">
        <v>21</v>
      </c>
      <c r="B71" s="4" t="s">
        <v>39</v>
      </c>
      <c r="C71" s="4" t="s">
        <v>40</v>
      </c>
      <c r="D71" s="4" t="s">
        <v>38</v>
      </c>
      <c r="E71" s="4" t="s">
        <v>25</v>
      </c>
      <c r="F71" s="4" t="s">
        <v>61</v>
      </c>
      <c r="G71" s="4" t="s">
        <v>25</v>
      </c>
      <c r="H71" s="4" t="s">
        <v>34</v>
      </c>
      <c r="I71" s="5">
        <v>44682</v>
      </c>
      <c r="J71" s="6">
        <v>4640</v>
      </c>
      <c r="K71" s="6">
        <v>1902.4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58</v>
      </c>
      <c r="R71" s="4">
        <v>0</v>
      </c>
      <c r="S71" s="6">
        <v>1</v>
      </c>
      <c r="T71" s="6">
        <v>0</v>
      </c>
      <c r="U71" s="6">
        <v>0</v>
      </c>
      <c r="V71" s="6">
        <f>IF(ISERROR(VLOOKUP($S$71,'TAR FIN'!$A$1:$O$104,15,0)),0,VLOOKUP($S$71,'TAR FIN'!$A$1:$O$104,15,0))</f>
        <v>21.48</v>
      </c>
      <c r="W71" s="6">
        <f>IF(ISERROR(VLOOKUP($T$71,'TAR FIN'!$A$1:$O$104,15,0)),0,VLOOKUP($T$71,'TAR FIN'!$A$1:$O$104,15,0))</f>
        <v>0</v>
      </c>
      <c r="X71" s="6">
        <f>IF(ISERROR(VLOOKUP($U$71,'TAR FIN'!$A$1:$O$104,15,0)),0,VLOOKUP($U$71,'TAR FIN'!$A$1:$O$104,15,0))</f>
        <v>0</v>
      </c>
      <c r="Y71" s="6">
        <f ca="1">('TUSD BE'!$AM$5+'TUSD BF'!$AM$5+'TUSD CVA'!$AM$5)*1</f>
        <v>21.312847359717548</v>
      </c>
      <c r="Z71" s="6">
        <f ca="1">('TUSD BE'!$AM$7+'TUSD BF'!$AM$7+'TUSD CVA'!$AM$7)*1</f>
        <v>55.308089175900619</v>
      </c>
      <c r="AA71" s="6"/>
      <c r="AB71" s="6">
        <f>$K$71*$V$71</f>
        <v>40863.552000000003</v>
      </c>
      <c r="AC71" s="6">
        <f>$M$71*$W$71</f>
        <v>0</v>
      </c>
      <c r="AD71" s="6">
        <f>$O$71*$X$71</f>
        <v>0</v>
      </c>
      <c r="AE71" s="6">
        <f ca="1">$K$71*$Y$71</f>
        <v>40545.560817126665</v>
      </c>
      <c r="AF71" s="6">
        <f ca="1">$M$71*$Z$71</f>
        <v>0</v>
      </c>
      <c r="AG71" s="6">
        <f>$O$71*$AA$71</f>
        <v>0</v>
      </c>
    </row>
    <row r="72" spans="1:33" ht="11.25" customHeight="1" x14ac:dyDescent="0.25">
      <c r="A72" s="4" t="s">
        <v>21</v>
      </c>
      <c r="B72" s="4" t="s">
        <v>39</v>
      </c>
      <c r="C72" s="4" t="s">
        <v>40</v>
      </c>
      <c r="D72" s="4" t="s">
        <v>38</v>
      </c>
      <c r="E72" s="4" t="s">
        <v>25</v>
      </c>
      <c r="F72" s="4" t="s">
        <v>61</v>
      </c>
      <c r="G72" s="4" t="s">
        <v>25</v>
      </c>
      <c r="H72" s="4" t="s">
        <v>34</v>
      </c>
      <c r="I72" s="5">
        <v>44713</v>
      </c>
      <c r="J72" s="6">
        <v>4917</v>
      </c>
      <c r="K72" s="6">
        <v>2065.14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58</v>
      </c>
      <c r="R72" s="4">
        <v>0</v>
      </c>
      <c r="S72" s="6">
        <v>1</v>
      </c>
      <c r="T72" s="6">
        <v>0</v>
      </c>
      <c r="U72" s="6">
        <v>0</v>
      </c>
      <c r="V72" s="6">
        <f>IF(ISERROR(VLOOKUP($S$72,'TAR FIN'!$A$1:$O$104,15,0)),0,VLOOKUP($S$72,'TAR FIN'!$A$1:$O$104,15,0))</f>
        <v>21.48</v>
      </c>
      <c r="W72" s="6">
        <f>IF(ISERROR(VLOOKUP($T$72,'TAR FIN'!$A$1:$O$104,15,0)),0,VLOOKUP($T$72,'TAR FIN'!$A$1:$O$104,15,0))</f>
        <v>0</v>
      </c>
      <c r="X72" s="6">
        <f>IF(ISERROR(VLOOKUP($U$72,'TAR FIN'!$A$1:$O$104,15,0)),0,VLOOKUP($U$72,'TAR FIN'!$A$1:$O$104,15,0))</f>
        <v>0</v>
      </c>
      <c r="Y72" s="6">
        <f ca="1">('TUSD BE'!$AM$5+'TUSD BF'!$AM$5+'TUSD CVA'!$AM$5)*1</f>
        <v>21.312847359717548</v>
      </c>
      <c r="Z72" s="6">
        <f ca="1">('TUSD BE'!$AM$7+'TUSD BF'!$AM$7+'TUSD CVA'!$AM$7)*1</f>
        <v>55.308089175900619</v>
      </c>
      <c r="AA72" s="6"/>
      <c r="AB72" s="6">
        <f>$K$72*$V$72</f>
        <v>44359.207199999997</v>
      </c>
      <c r="AC72" s="6">
        <f>$M$72*$W$72</f>
        <v>0</v>
      </c>
      <c r="AD72" s="6">
        <f>$O$72*$X$72</f>
        <v>0</v>
      </c>
      <c r="AE72" s="6">
        <f ca="1">$K$72*$Y$72</f>
        <v>44014.013596447097</v>
      </c>
      <c r="AF72" s="6">
        <f ca="1">$M$72*$Z$72</f>
        <v>0</v>
      </c>
      <c r="AG72" s="6">
        <f>$O$72*$AA$72</f>
        <v>0</v>
      </c>
    </row>
    <row r="73" spans="1:33" ht="11.25" customHeight="1" x14ac:dyDescent="0.25">
      <c r="A73" s="4" t="s">
        <v>57</v>
      </c>
      <c r="B73" s="4" t="s">
        <v>39</v>
      </c>
      <c r="C73" s="4" t="s">
        <v>40</v>
      </c>
      <c r="D73" s="4" t="s">
        <v>38</v>
      </c>
      <c r="E73" s="4" t="s">
        <v>25</v>
      </c>
      <c r="F73" s="4" t="s">
        <v>61</v>
      </c>
      <c r="G73" s="4" t="s">
        <v>25</v>
      </c>
      <c r="H73" s="4" t="s">
        <v>34</v>
      </c>
      <c r="I73" s="5">
        <v>44743</v>
      </c>
      <c r="J73" s="6">
        <v>4917</v>
      </c>
      <c r="K73" s="6">
        <v>2065.14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58</v>
      </c>
      <c r="R73" s="4">
        <v>0</v>
      </c>
      <c r="S73" s="6">
        <v>1</v>
      </c>
      <c r="T73" s="6">
        <v>0</v>
      </c>
      <c r="U73" s="6">
        <v>0</v>
      </c>
      <c r="V73" s="6">
        <f>IF(ISERROR(VLOOKUP($S$73,'TAR FIN'!$A$1:$O$104,15,0)),0,VLOOKUP($S$73,'TAR FIN'!$A$1:$O$104,15,0))</f>
        <v>21.48</v>
      </c>
      <c r="W73" s="6">
        <f>IF(ISERROR(VLOOKUP($T$73,'TAR FIN'!$A$1:$O$104,15,0)),0,VLOOKUP($T$73,'TAR FIN'!$A$1:$O$104,15,0))</f>
        <v>0</v>
      </c>
      <c r="X73" s="6">
        <f>IF(ISERROR(VLOOKUP($U$73,'TAR FIN'!$A$1:$O$104,15,0)),0,VLOOKUP($U$73,'TAR FIN'!$A$1:$O$104,15,0))</f>
        <v>0</v>
      </c>
      <c r="Y73" s="6">
        <f ca="1">('TUSD BE'!$AM$5+'TUSD BF'!$AM$5+'TUSD CVA'!$AM$5)*1</f>
        <v>21.312847359717548</v>
      </c>
      <c r="Z73" s="6">
        <f ca="1">('TUSD BE'!$AM$7+'TUSD BF'!$AM$7+'TUSD CVA'!$AM$7)*1</f>
        <v>55.308089175900619</v>
      </c>
      <c r="AA73" s="6"/>
      <c r="AB73" s="6">
        <f>$K$73*$V$73</f>
        <v>44359.207199999997</v>
      </c>
      <c r="AC73" s="6">
        <f>$M$73*$W$73</f>
        <v>0</v>
      </c>
      <c r="AD73" s="6">
        <f>$O$73*$X$73</f>
        <v>0</v>
      </c>
      <c r="AE73" s="6">
        <f ca="1">$K$73*$Y$73</f>
        <v>44014.013596447097</v>
      </c>
      <c r="AF73" s="6">
        <f ca="1">$M$73*$Z$73</f>
        <v>0</v>
      </c>
      <c r="AG73" s="6">
        <f>$O$73*$AA$73</f>
        <v>0</v>
      </c>
    </row>
    <row r="74" spans="1:33" ht="11.25" customHeight="1" x14ac:dyDescent="0.25">
      <c r="A74" s="4" t="s">
        <v>21</v>
      </c>
      <c r="B74" s="4" t="s">
        <v>39</v>
      </c>
      <c r="C74" s="4" t="s">
        <v>40</v>
      </c>
      <c r="D74" s="4" t="s">
        <v>38</v>
      </c>
      <c r="E74" s="4" t="s">
        <v>25</v>
      </c>
      <c r="F74" s="4" t="s">
        <v>25</v>
      </c>
      <c r="G74" s="4" t="s">
        <v>25</v>
      </c>
      <c r="H74" s="4" t="s">
        <v>35</v>
      </c>
      <c r="I74" s="5">
        <v>44409</v>
      </c>
      <c r="J74" s="6">
        <v>9995</v>
      </c>
      <c r="K74" s="6">
        <v>9995</v>
      </c>
      <c r="L74" s="6">
        <v>2217.962</v>
      </c>
      <c r="M74" s="6">
        <v>2217.962</v>
      </c>
      <c r="N74" s="6">
        <v>2217.962</v>
      </c>
      <c r="O74" s="6">
        <v>2217.962</v>
      </c>
      <c r="P74" s="6">
        <v>0</v>
      </c>
      <c r="Q74" s="4" t="s">
        <v>26</v>
      </c>
      <c r="R74" s="4">
        <v>0</v>
      </c>
      <c r="S74" s="6">
        <v>3</v>
      </c>
      <c r="T74" s="6">
        <v>5</v>
      </c>
      <c r="U74" s="6">
        <v>65</v>
      </c>
      <c r="V74" s="6">
        <f>IF(ISERROR(VLOOKUP($S$74,'TAR FIN'!$A$1:$O$104,15,0)),0,VLOOKUP($S$74,'TAR FIN'!$A$1:$O$104,15,0))</f>
        <v>11.17</v>
      </c>
      <c r="W74" s="6">
        <f>IF(ISERROR(VLOOKUP($T$74,'TAR FIN'!$A$1:$O$104,15,0)),0,VLOOKUP($T$74,'TAR FIN'!$A$1:$O$104,15,0))</f>
        <v>41.95</v>
      </c>
      <c r="X74" s="6">
        <f>IF(ISERROR(VLOOKUP($U$74,'TAR FIN'!$A$1:$O$104,15,0)),0,VLOOKUP($U$74,'TAR FIN'!$A$1:$O$104,15,0))</f>
        <v>242.82</v>
      </c>
      <c r="Y74" s="6">
        <f ca="1">('TUSD BE'!$AM$6+'TUSD BF'!$AM$6+'TUSD CVA'!$AM$6)*1</f>
        <v>11.059043483979741</v>
      </c>
      <c r="Z74" s="6">
        <f ca="1">('TUSD BE'!$AM$7+'TUSD BF'!$AM$7+'TUSD CVA'!$AM$7)*1</f>
        <v>55.308089175900619</v>
      </c>
      <c r="AA74" s="6">
        <f>('TE BE'!$AB$6+'TE BF'!$AB$6+'TE CVA'!$AB$6)*1</f>
        <v>231.76257384332172</v>
      </c>
      <c r="AB74" s="6">
        <f>$K$74*$V$74</f>
        <v>111644.15</v>
      </c>
      <c r="AC74" s="6">
        <f>$M$74*$W$74</f>
        <v>93043.505900000004</v>
      </c>
      <c r="AD74" s="6">
        <f>$O$74*$X$74</f>
        <v>538565.53284</v>
      </c>
      <c r="AE74" s="6">
        <f ca="1">$K$74*$Y$74</f>
        <v>110535.13962237751</v>
      </c>
      <c r="AF74" s="6">
        <f ca="1">$M$74*$Z$74</f>
        <v>122671.24008475889</v>
      </c>
      <c r="AG74" s="6">
        <f>$O$74*$AA$74</f>
        <v>514040.58180668153</v>
      </c>
    </row>
    <row r="75" spans="1:33" ht="11.25" customHeight="1" x14ac:dyDescent="0.25">
      <c r="A75" s="4" t="s">
        <v>21</v>
      </c>
      <c r="B75" s="4" t="s">
        <v>39</v>
      </c>
      <c r="C75" s="4" t="s">
        <v>40</v>
      </c>
      <c r="D75" s="4" t="s">
        <v>38</v>
      </c>
      <c r="E75" s="4" t="s">
        <v>25</v>
      </c>
      <c r="F75" s="4" t="s">
        <v>25</v>
      </c>
      <c r="G75" s="4" t="s">
        <v>25</v>
      </c>
      <c r="H75" s="4" t="s">
        <v>35</v>
      </c>
      <c r="I75" s="5">
        <v>44409</v>
      </c>
      <c r="J75" s="6">
        <v>79678</v>
      </c>
      <c r="K75" s="6">
        <v>79678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58</v>
      </c>
      <c r="R75" s="4">
        <v>0</v>
      </c>
      <c r="S75" s="6">
        <v>3</v>
      </c>
      <c r="T75" s="6">
        <v>0</v>
      </c>
      <c r="U75" s="6">
        <v>0</v>
      </c>
      <c r="V75" s="6">
        <f>IF(ISERROR(VLOOKUP($S$75,'TAR FIN'!$A$1:$O$104,15,0)),0,VLOOKUP($S$75,'TAR FIN'!$A$1:$O$104,15,0))</f>
        <v>11.17</v>
      </c>
      <c r="W75" s="6">
        <f>IF(ISERROR(VLOOKUP($T$75,'TAR FIN'!$A$1:$O$104,15,0)),0,VLOOKUP($T$75,'TAR FIN'!$A$1:$O$104,15,0))</f>
        <v>0</v>
      </c>
      <c r="X75" s="6">
        <f>IF(ISERROR(VLOOKUP($U$75,'TAR FIN'!$A$1:$O$104,15,0)),0,VLOOKUP($U$75,'TAR FIN'!$A$1:$O$104,15,0))</f>
        <v>0</v>
      </c>
      <c r="Y75" s="6">
        <f ca="1">('TUSD BE'!$AM$6+'TUSD BF'!$AM$6+'TUSD CVA'!$AM$6)*1</f>
        <v>11.059043483979741</v>
      </c>
      <c r="Z75" s="6">
        <f ca="1">('TUSD BE'!$AM$7+'TUSD BF'!$AM$7+'TUSD CVA'!$AM$7)*1</f>
        <v>55.308089175900619</v>
      </c>
      <c r="AA75" s="6"/>
      <c r="AB75" s="6">
        <f>$K$75*$V$75</f>
        <v>890003.26</v>
      </c>
      <c r="AC75" s="6">
        <f>$M$75*$W$75</f>
        <v>0</v>
      </c>
      <c r="AD75" s="6">
        <f>$O$75*$X$75</f>
        <v>0</v>
      </c>
      <c r="AE75" s="6">
        <f ca="1">$K$75*$Y$75</f>
        <v>881162.46671653783</v>
      </c>
      <c r="AF75" s="6">
        <f ca="1">$M$75*$Z$75</f>
        <v>0</v>
      </c>
      <c r="AG75" s="6">
        <f>$O$75*$AA$75</f>
        <v>0</v>
      </c>
    </row>
    <row r="76" spans="1:33" ht="11.25" customHeight="1" x14ac:dyDescent="0.25">
      <c r="A76" s="4" t="s">
        <v>21</v>
      </c>
      <c r="B76" s="4" t="s">
        <v>39</v>
      </c>
      <c r="C76" s="4" t="s">
        <v>40</v>
      </c>
      <c r="D76" s="4" t="s">
        <v>38</v>
      </c>
      <c r="E76" s="4" t="s">
        <v>25</v>
      </c>
      <c r="F76" s="4" t="s">
        <v>25</v>
      </c>
      <c r="G76" s="4" t="s">
        <v>25</v>
      </c>
      <c r="H76" s="4" t="s">
        <v>35</v>
      </c>
      <c r="I76" s="5">
        <v>44440</v>
      </c>
      <c r="J76" s="6">
        <v>9631</v>
      </c>
      <c r="K76" s="6">
        <v>9631</v>
      </c>
      <c r="L76" s="6">
        <v>1836.9829999999999</v>
      </c>
      <c r="M76" s="6">
        <v>1836.9829999999999</v>
      </c>
      <c r="N76" s="6">
        <v>1836.9829999999999</v>
      </c>
      <c r="O76" s="6">
        <v>1836.9829999999999</v>
      </c>
      <c r="P76" s="6">
        <v>0</v>
      </c>
      <c r="Q76" s="4" t="s">
        <v>26</v>
      </c>
      <c r="R76" s="4">
        <v>0</v>
      </c>
      <c r="S76" s="6">
        <v>3</v>
      </c>
      <c r="T76" s="6">
        <v>5</v>
      </c>
      <c r="U76" s="6">
        <v>65</v>
      </c>
      <c r="V76" s="6">
        <f>IF(ISERROR(VLOOKUP($S$76,'TAR FIN'!$A$1:$O$104,15,0)),0,VLOOKUP($S$76,'TAR FIN'!$A$1:$O$104,15,0))</f>
        <v>11.17</v>
      </c>
      <c r="W76" s="6">
        <f>IF(ISERROR(VLOOKUP($T$76,'TAR FIN'!$A$1:$O$104,15,0)),0,VLOOKUP($T$76,'TAR FIN'!$A$1:$O$104,15,0))</f>
        <v>41.95</v>
      </c>
      <c r="X76" s="6">
        <f>IF(ISERROR(VLOOKUP($U$76,'TAR FIN'!$A$1:$O$104,15,0)),0,VLOOKUP($U$76,'TAR FIN'!$A$1:$O$104,15,0))</f>
        <v>242.82</v>
      </c>
      <c r="Y76" s="6">
        <f ca="1">('TUSD BE'!$AM$6+'TUSD BF'!$AM$6+'TUSD CVA'!$AM$6)*1</f>
        <v>11.059043483979741</v>
      </c>
      <c r="Z76" s="6">
        <f ca="1">('TUSD BE'!$AM$7+'TUSD BF'!$AM$7+'TUSD CVA'!$AM$7)*1</f>
        <v>55.308089175900619</v>
      </c>
      <c r="AA76" s="6">
        <f>('TE BE'!$AB$6+'TE BF'!$AB$6+'TE CVA'!$AB$6)*1</f>
        <v>231.76257384332172</v>
      </c>
      <c r="AB76" s="6">
        <f>$K$76*$V$76</f>
        <v>107578.27</v>
      </c>
      <c r="AC76" s="6">
        <f>$M$76*$W$76</f>
        <v>77061.436849999998</v>
      </c>
      <c r="AD76" s="6">
        <f>$O$76*$X$76</f>
        <v>446056.21205999999</v>
      </c>
      <c r="AE76" s="6">
        <f ca="1">$K$76*$Y$76</f>
        <v>106509.64779420888</v>
      </c>
      <c r="AF76" s="6">
        <f ca="1">$M$76*$Z$76</f>
        <v>101600.01957861344</v>
      </c>
      <c r="AG76" s="6">
        <f>$O$76*$AA$76</f>
        <v>425743.90818642662</v>
      </c>
    </row>
    <row r="77" spans="1:33" ht="11.25" customHeight="1" x14ac:dyDescent="0.25">
      <c r="A77" s="4" t="s">
        <v>21</v>
      </c>
      <c r="B77" s="4" t="s">
        <v>39</v>
      </c>
      <c r="C77" s="4" t="s">
        <v>40</v>
      </c>
      <c r="D77" s="4" t="s">
        <v>38</v>
      </c>
      <c r="E77" s="4" t="s">
        <v>25</v>
      </c>
      <c r="F77" s="4" t="s">
        <v>25</v>
      </c>
      <c r="G77" s="4" t="s">
        <v>25</v>
      </c>
      <c r="H77" s="4" t="s">
        <v>35</v>
      </c>
      <c r="I77" s="5">
        <v>44440</v>
      </c>
      <c r="J77" s="6">
        <v>79757</v>
      </c>
      <c r="K77" s="6">
        <v>79757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58</v>
      </c>
      <c r="R77" s="4">
        <v>0</v>
      </c>
      <c r="S77" s="6">
        <v>3</v>
      </c>
      <c r="T77" s="6">
        <v>0</v>
      </c>
      <c r="U77" s="6">
        <v>0</v>
      </c>
      <c r="V77" s="6">
        <f>IF(ISERROR(VLOOKUP($S$77,'TAR FIN'!$A$1:$O$104,15,0)),0,VLOOKUP($S$77,'TAR FIN'!$A$1:$O$104,15,0))</f>
        <v>11.17</v>
      </c>
      <c r="W77" s="6">
        <f>IF(ISERROR(VLOOKUP($T$77,'TAR FIN'!$A$1:$O$104,15,0)),0,VLOOKUP($T$77,'TAR FIN'!$A$1:$O$104,15,0))</f>
        <v>0</v>
      </c>
      <c r="X77" s="6">
        <f>IF(ISERROR(VLOOKUP($U$77,'TAR FIN'!$A$1:$O$104,15,0)),0,VLOOKUP($U$77,'TAR FIN'!$A$1:$O$104,15,0))</f>
        <v>0</v>
      </c>
      <c r="Y77" s="6">
        <f ca="1">('TUSD BE'!$AM$6+'TUSD BF'!$AM$6+'TUSD CVA'!$AM$6)*1</f>
        <v>11.059043483979741</v>
      </c>
      <c r="Z77" s="6">
        <f ca="1">('TUSD BE'!$AM$7+'TUSD BF'!$AM$7+'TUSD CVA'!$AM$7)*1</f>
        <v>55.308089175900619</v>
      </c>
      <c r="AA77" s="6"/>
      <c r="AB77" s="6">
        <f>$K$77*$V$77</f>
        <v>890885.69</v>
      </c>
      <c r="AC77" s="6">
        <f>$M$77*$W$77</f>
        <v>0</v>
      </c>
      <c r="AD77" s="6">
        <f>$O$77*$X$77</f>
        <v>0</v>
      </c>
      <c r="AE77" s="6">
        <f ca="1">$K$77*$Y$77</f>
        <v>882036.13115177222</v>
      </c>
      <c r="AF77" s="6">
        <f ca="1">$M$77*$Z$77</f>
        <v>0</v>
      </c>
      <c r="AG77" s="6">
        <f>$O$77*$AA$77</f>
        <v>0</v>
      </c>
    </row>
    <row r="78" spans="1:33" ht="11.25" customHeight="1" x14ac:dyDescent="0.25">
      <c r="A78" s="4" t="s">
        <v>21</v>
      </c>
      <c r="B78" s="4" t="s">
        <v>39</v>
      </c>
      <c r="C78" s="4" t="s">
        <v>40</v>
      </c>
      <c r="D78" s="4" t="s">
        <v>38</v>
      </c>
      <c r="E78" s="4" t="s">
        <v>25</v>
      </c>
      <c r="F78" s="4" t="s">
        <v>25</v>
      </c>
      <c r="G78" s="4" t="s">
        <v>25</v>
      </c>
      <c r="H78" s="4" t="s">
        <v>35</v>
      </c>
      <c r="I78" s="5">
        <v>44470</v>
      </c>
      <c r="J78" s="6">
        <v>4584</v>
      </c>
      <c r="K78" s="6">
        <v>4584</v>
      </c>
      <c r="L78" s="6">
        <v>443.43099999999998</v>
      </c>
      <c r="M78" s="6">
        <v>443.43099999999998</v>
      </c>
      <c r="N78" s="6">
        <v>443.43099999999998</v>
      </c>
      <c r="O78" s="6">
        <v>443.43099999999998</v>
      </c>
      <c r="P78" s="6">
        <v>0</v>
      </c>
      <c r="Q78" s="4" t="s">
        <v>26</v>
      </c>
      <c r="R78" s="4">
        <v>0</v>
      </c>
      <c r="S78" s="6">
        <v>3</v>
      </c>
      <c r="T78" s="6">
        <v>5</v>
      </c>
      <c r="U78" s="6">
        <v>65</v>
      </c>
      <c r="V78" s="6">
        <f>IF(ISERROR(VLOOKUP($S$78,'TAR FIN'!$A$1:$O$104,15,0)),0,VLOOKUP($S$78,'TAR FIN'!$A$1:$O$104,15,0))</f>
        <v>11.17</v>
      </c>
      <c r="W78" s="6">
        <f>IF(ISERROR(VLOOKUP($T$78,'TAR FIN'!$A$1:$O$104,15,0)),0,VLOOKUP($T$78,'TAR FIN'!$A$1:$O$104,15,0))</f>
        <v>41.95</v>
      </c>
      <c r="X78" s="6">
        <f>IF(ISERROR(VLOOKUP($U$78,'TAR FIN'!$A$1:$O$104,15,0)),0,VLOOKUP($U$78,'TAR FIN'!$A$1:$O$104,15,0))</f>
        <v>242.82</v>
      </c>
      <c r="Y78" s="6">
        <f ca="1">('TUSD BE'!$AM$6+'TUSD BF'!$AM$6+'TUSD CVA'!$AM$6)*1</f>
        <v>11.059043483979741</v>
      </c>
      <c r="Z78" s="6">
        <f ca="1">('TUSD BE'!$AM$7+'TUSD BF'!$AM$7+'TUSD CVA'!$AM$7)*1</f>
        <v>55.308089175900619</v>
      </c>
      <c r="AA78" s="6">
        <f>('TE BE'!$AB$6+'TE BF'!$AB$6+'TE CVA'!$AB$6)*1</f>
        <v>231.76257384332172</v>
      </c>
      <c r="AB78" s="6">
        <f>$K$78*$V$78</f>
        <v>51203.28</v>
      </c>
      <c r="AC78" s="6">
        <f>$M$78*$W$78</f>
        <v>18601.93045</v>
      </c>
      <c r="AD78" s="6">
        <f>$O$78*$X$78</f>
        <v>107673.91541999999</v>
      </c>
      <c r="AE78" s="6">
        <f ca="1">$K$78*$Y$78</f>
        <v>50694.655330563131</v>
      </c>
      <c r="AF78" s="6">
        <f ca="1">$M$78*$Z$78</f>
        <v>24525.321291358785</v>
      </c>
      <c r="AG78" s="6">
        <f>$O$78*$AA$78</f>
        <v>102770.709881918</v>
      </c>
    </row>
    <row r="79" spans="1:33" ht="11.25" customHeight="1" x14ac:dyDescent="0.25">
      <c r="A79" s="4" t="s">
        <v>21</v>
      </c>
      <c r="B79" s="4" t="s">
        <v>39</v>
      </c>
      <c r="C79" s="4" t="s">
        <v>40</v>
      </c>
      <c r="D79" s="4" t="s">
        <v>38</v>
      </c>
      <c r="E79" s="4" t="s">
        <v>25</v>
      </c>
      <c r="F79" s="4" t="s">
        <v>25</v>
      </c>
      <c r="G79" s="4" t="s">
        <v>25</v>
      </c>
      <c r="H79" s="4" t="s">
        <v>35</v>
      </c>
      <c r="I79" s="5">
        <v>44470</v>
      </c>
      <c r="J79" s="6">
        <v>80288</v>
      </c>
      <c r="K79" s="6">
        <v>80288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58</v>
      </c>
      <c r="R79" s="4">
        <v>0</v>
      </c>
      <c r="S79" s="6">
        <v>3</v>
      </c>
      <c r="T79" s="6">
        <v>0</v>
      </c>
      <c r="U79" s="6">
        <v>0</v>
      </c>
      <c r="V79" s="6">
        <f>IF(ISERROR(VLOOKUP($S$79,'TAR FIN'!$A$1:$O$104,15,0)),0,VLOOKUP($S$79,'TAR FIN'!$A$1:$O$104,15,0))</f>
        <v>11.17</v>
      </c>
      <c r="W79" s="6">
        <f>IF(ISERROR(VLOOKUP($T$79,'TAR FIN'!$A$1:$O$104,15,0)),0,VLOOKUP($T$79,'TAR FIN'!$A$1:$O$104,15,0))</f>
        <v>0</v>
      </c>
      <c r="X79" s="6">
        <f>IF(ISERROR(VLOOKUP($U$79,'TAR FIN'!$A$1:$O$104,15,0)),0,VLOOKUP($U$79,'TAR FIN'!$A$1:$O$104,15,0))</f>
        <v>0</v>
      </c>
      <c r="Y79" s="6">
        <f ca="1">('TUSD BE'!$AM$6+'TUSD BF'!$AM$6+'TUSD CVA'!$AM$6)*1</f>
        <v>11.059043483979741</v>
      </c>
      <c r="Z79" s="6">
        <f ca="1">('TUSD BE'!$AM$7+'TUSD BF'!$AM$7+'TUSD CVA'!$AM$7)*1</f>
        <v>55.308089175900619</v>
      </c>
      <c r="AA79" s="6"/>
      <c r="AB79" s="6">
        <f>$K$79*$V$79</f>
        <v>896816.96</v>
      </c>
      <c r="AC79" s="6">
        <f>$M$79*$W$79</f>
        <v>0</v>
      </c>
      <c r="AD79" s="6">
        <f>$O$79*$X$79</f>
        <v>0</v>
      </c>
      <c r="AE79" s="6">
        <f ca="1">$K$79*$Y$79</f>
        <v>887908.48324176541</v>
      </c>
      <c r="AF79" s="6">
        <f ca="1">$M$79*$Z$79</f>
        <v>0</v>
      </c>
      <c r="AG79" s="6">
        <f>$O$79*$AA$79</f>
        <v>0</v>
      </c>
    </row>
    <row r="80" spans="1:33" ht="11.25" customHeight="1" x14ac:dyDescent="0.25">
      <c r="A80" s="4" t="s">
        <v>21</v>
      </c>
      <c r="B80" s="4" t="s">
        <v>39</v>
      </c>
      <c r="C80" s="4" t="s">
        <v>40</v>
      </c>
      <c r="D80" s="4" t="s">
        <v>38</v>
      </c>
      <c r="E80" s="4" t="s">
        <v>25</v>
      </c>
      <c r="F80" s="4" t="s">
        <v>25</v>
      </c>
      <c r="G80" s="4" t="s">
        <v>25</v>
      </c>
      <c r="H80" s="4" t="s">
        <v>35</v>
      </c>
      <c r="I80" s="5">
        <v>44501</v>
      </c>
      <c r="J80" s="6">
        <v>6174</v>
      </c>
      <c r="K80" s="6">
        <v>6174</v>
      </c>
      <c r="L80" s="6">
        <v>1770.8889999999999</v>
      </c>
      <c r="M80" s="6">
        <v>1770.8889999999999</v>
      </c>
      <c r="N80" s="6">
        <v>1770.8889999999999</v>
      </c>
      <c r="O80" s="6">
        <v>1770.8889999999999</v>
      </c>
      <c r="P80" s="6">
        <v>0</v>
      </c>
      <c r="Q80" s="4" t="s">
        <v>26</v>
      </c>
      <c r="R80" s="4">
        <v>0</v>
      </c>
      <c r="S80" s="6">
        <v>3</v>
      </c>
      <c r="T80" s="6">
        <v>5</v>
      </c>
      <c r="U80" s="6">
        <v>65</v>
      </c>
      <c r="V80" s="6">
        <f>IF(ISERROR(VLOOKUP($S$80,'TAR FIN'!$A$1:$O$104,15,0)),0,VLOOKUP($S$80,'TAR FIN'!$A$1:$O$104,15,0))</f>
        <v>11.17</v>
      </c>
      <c r="W80" s="6">
        <f>IF(ISERROR(VLOOKUP($T$80,'TAR FIN'!$A$1:$O$104,15,0)),0,VLOOKUP($T$80,'TAR FIN'!$A$1:$O$104,15,0))</f>
        <v>41.95</v>
      </c>
      <c r="X80" s="6">
        <f>IF(ISERROR(VLOOKUP($U$80,'TAR FIN'!$A$1:$O$104,15,0)),0,VLOOKUP($U$80,'TAR FIN'!$A$1:$O$104,15,0))</f>
        <v>242.82</v>
      </c>
      <c r="Y80" s="6">
        <f ca="1">('TUSD BE'!$AM$6+'TUSD BF'!$AM$6+'TUSD CVA'!$AM$6)*1</f>
        <v>11.059043483979741</v>
      </c>
      <c r="Z80" s="6">
        <f ca="1">('TUSD BE'!$AM$7+'TUSD BF'!$AM$7+'TUSD CVA'!$AM$7)*1</f>
        <v>55.308089175900619</v>
      </c>
      <c r="AA80" s="6">
        <f>('TE BE'!$AB$6+'TE BF'!$AB$6+'TE CVA'!$AB$6)*1</f>
        <v>231.76257384332172</v>
      </c>
      <c r="AB80" s="6">
        <f>$K$80*$V$80</f>
        <v>68963.58</v>
      </c>
      <c r="AC80" s="6">
        <f>$M$80*$W$80</f>
        <v>74288.793550000002</v>
      </c>
      <c r="AD80" s="6">
        <f>$O$80*$X$80</f>
        <v>430007.26697999996</v>
      </c>
      <c r="AE80" s="6">
        <f ca="1">$K$80*$Y$80</f>
        <v>68278.534470090919</v>
      </c>
      <c r="AF80" s="6">
        <f ca="1">$M$80*$Z$80</f>
        <v>97944.486732621459</v>
      </c>
      <c r="AG80" s="6">
        <f>$O$80*$AA$80</f>
        <v>410425.79263082612</v>
      </c>
    </row>
    <row r="81" spans="1:33" ht="11.25" customHeight="1" x14ac:dyDescent="0.25">
      <c r="A81" s="4" t="s">
        <v>21</v>
      </c>
      <c r="B81" s="4" t="s">
        <v>39</v>
      </c>
      <c r="C81" s="4" t="s">
        <v>40</v>
      </c>
      <c r="D81" s="4" t="s">
        <v>38</v>
      </c>
      <c r="E81" s="4" t="s">
        <v>25</v>
      </c>
      <c r="F81" s="4" t="s">
        <v>25</v>
      </c>
      <c r="G81" s="4" t="s">
        <v>25</v>
      </c>
      <c r="H81" s="4" t="s">
        <v>35</v>
      </c>
      <c r="I81" s="5">
        <v>44501</v>
      </c>
      <c r="J81" s="6">
        <v>80195</v>
      </c>
      <c r="K81" s="6">
        <v>80195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58</v>
      </c>
      <c r="R81" s="4">
        <v>0</v>
      </c>
      <c r="S81" s="6">
        <v>3</v>
      </c>
      <c r="T81" s="6">
        <v>0</v>
      </c>
      <c r="U81" s="6">
        <v>0</v>
      </c>
      <c r="V81" s="6">
        <f>IF(ISERROR(VLOOKUP($S$81,'TAR FIN'!$A$1:$O$104,15,0)),0,VLOOKUP($S$81,'TAR FIN'!$A$1:$O$104,15,0))</f>
        <v>11.17</v>
      </c>
      <c r="W81" s="6">
        <f>IF(ISERROR(VLOOKUP($T$81,'TAR FIN'!$A$1:$O$104,15,0)),0,VLOOKUP($T$81,'TAR FIN'!$A$1:$O$104,15,0))</f>
        <v>0</v>
      </c>
      <c r="X81" s="6">
        <f>IF(ISERROR(VLOOKUP($U$81,'TAR FIN'!$A$1:$O$104,15,0)),0,VLOOKUP($U$81,'TAR FIN'!$A$1:$O$104,15,0))</f>
        <v>0</v>
      </c>
      <c r="Y81" s="6">
        <f ca="1">('TUSD BE'!$AM$6+'TUSD BF'!$AM$6+'TUSD CVA'!$AM$6)*1</f>
        <v>11.059043483979741</v>
      </c>
      <c r="Z81" s="6">
        <f ca="1">('TUSD BE'!$AM$7+'TUSD BF'!$AM$7+'TUSD CVA'!$AM$7)*1</f>
        <v>55.308089175900619</v>
      </c>
      <c r="AA81" s="6"/>
      <c r="AB81" s="6">
        <f>$K$81*$V$81</f>
        <v>895778.15</v>
      </c>
      <c r="AC81" s="6">
        <f>$M$81*$W$81</f>
        <v>0</v>
      </c>
      <c r="AD81" s="6">
        <f>$O$81*$X$81</f>
        <v>0</v>
      </c>
      <c r="AE81" s="6">
        <f ca="1">$K$81*$Y$81</f>
        <v>886879.99219775526</v>
      </c>
      <c r="AF81" s="6">
        <f ca="1">$M$81*$Z$81</f>
        <v>0</v>
      </c>
      <c r="AG81" s="6">
        <f>$O$81*$AA$81</f>
        <v>0</v>
      </c>
    </row>
    <row r="82" spans="1:33" ht="11.25" customHeight="1" x14ac:dyDescent="0.25">
      <c r="A82" s="4" t="s">
        <v>21</v>
      </c>
      <c r="B82" s="4" t="s">
        <v>39</v>
      </c>
      <c r="C82" s="4" t="s">
        <v>40</v>
      </c>
      <c r="D82" s="4" t="s">
        <v>38</v>
      </c>
      <c r="E82" s="4" t="s">
        <v>25</v>
      </c>
      <c r="F82" s="4" t="s">
        <v>25</v>
      </c>
      <c r="G82" s="4" t="s">
        <v>25</v>
      </c>
      <c r="H82" s="4" t="s">
        <v>35</v>
      </c>
      <c r="I82" s="5">
        <v>44531</v>
      </c>
      <c r="J82" s="6">
        <v>7656</v>
      </c>
      <c r="K82" s="6">
        <v>7656</v>
      </c>
      <c r="L82" s="6">
        <v>758.78800000000001</v>
      </c>
      <c r="M82" s="6">
        <v>758.78800000000001</v>
      </c>
      <c r="N82" s="6">
        <v>758.78800000000001</v>
      </c>
      <c r="O82" s="6">
        <v>758.78800000000001</v>
      </c>
      <c r="P82" s="6">
        <v>0</v>
      </c>
      <c r="Q82" s="4" t="s">
        <v>26</v>
      </c>
      <c r="R82" s="4">
        <v>0</v>
      </c>
      <c r="S82" s="6">
        <v>3</v>
      </c>
      <c r="T82" s="6">
        <v>5</v>
      </c>
      <c r="U82" s="6">
        <v>65</v>
      </c>
      <c r="V82" s="6">
        <f>IF(ISERROR(VLOOKUP($S$82,'TAR FIN'!$A$1:$O$104,15,0)),0,VLOOKUP($S$82,'TAR FIN'!$A$1:$O$104,15,0))</f>
        <v>11.17</v>
      </c>
      <c r="W82" s="6">
        <f>IF(ISERROR(VLOOKUP($T$82,'TAR FIN'!$A$1:$O$104,15,0)),0,VLOOKUP($T$82,'TAR FIN'!$A$1:$O$104,15,0))</f>
        <v>41.95</v>
      </c>
      <c r="X82" s="6">
        <f>IF(ISERROR(VLOOKUP($U$82,'TAR FIN'!$A$1:$O$104,15,0)),0,VLOOKUP($U$82,'TAR FIN'!$A$1:$O$104,15,0))</f>
        <v>242.82</v>
      </c>
      <c r="Y82" s="6">
        <f ca="1">('TUSD BE'!$AM$6+'TUSD BF'!$AM$6+'TUSD CVA'!$AM$6)*1</f>
        <v>11.059043483979741</v>
      </c>
      <c r="Z82" s="6">
        <f ca="1">('TUSD BE'!$AM$7+'TUSD BF'!$AM$7+'TUSD CVA'!$AM$7)*1</f>
        <v>55.308089175900619</v>
      </c>
      <c r="AA82" s="6">
        <f>('TE BE'!$AB$6+'TE BF'!$AB$6+'TE CVA'!$AB$6)*1</f>
        <v>231.76257384332172</v>
      </c>
      <c r="AB82" s="6">
        <f>$K$82*$V$82</f>
        <v>85517.52</v>
      </c>
      <c r="AC82" s="6">
        <f>$M$82*$W$82</f>
        <v>31831.156600000002</v>
      </c>
      <c r="AD82" s="6">
        <f>$O$82*$X$82</f>
        <v>184248.90216</v>
      </c>
      <c r="AE82" s="6">
        <f ca="1">$K$82*$Y$82</f>
        <v>84668.0369133489</v>
      </c>
      <c r="AF82" s="6">
        <f ca="1">$M$82*$Z$82</f>
        <v>41967.114369603281</v>
      </c>
      <c r="AG82" s="6">
        <f>$O$82*$AA$82</f>
        <v>175858.6598814264</v>
      </c>
    </row>
    <row r="83" spans="1:33" ht="11.25" customHeight="1" x14ac:dyDescent="0.25">
      <c r="A83" s="4" t="s">
        <v>21</v>
      </c>
      <c r="B83" s="4" t="s">
        <v>39</v>
      </c>
      <c r="C83" s="4" t="s">
        <v>40</v>
      </c>
      <c r="D83" s="4" t="s">
        <v>38</v>
      </c>
      <c r="E83" s="4" t="s">
        <v>25</v>
      </c>
      <c r="F83" s="4" t="s">
        <v>25</v>
      </c>
      <c r="G83" s="4" t="s">
        <v>25</v>
      </c>
      <c r="H83" s="4" t="s">
        <v>35</v>
      </c>
      <c r="I83" s="5">
        <v>44531</v>
      </c>
      <c r="J83" s="6">
        <v>82242</v>
      </c>
      <c r="K83" s="6">
        <v>82242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58</v>
      </c>
      <c r="R83" s="4">
        <v>0</v>
      </c>
      <c r="S83" s="6">
        <v>3</v>
      </c>
      <c r="T83" s="6">
        <v>0</v>
      </c>
      <c r="U83" s="6">
        <v>0</v>
      </c>
      <c r="V83" s="6">
        <f>IF(ISERROR(VLOOKUP($S$83,'TAR FIN'!$A$1:$O$104,15,0)),0,VLOOKUP($S$83,'TAR FIN'!$A$1:$O$104,15,0))</f>
        <v>11.17</v>
      </c>
      <c r="W83" s="6">
        <f>IF(ISERROR(VLOOKUP($T$83,'TAR FIN'!$A$1:$O$104,15,0)),0,VLOOKUP($T$83,'TAR FIN'!$A$1:$O$104,15,0))</f>
        <v>0</v>
      </c>
      <c r="X83" s="6">
        <f>IF(ISERROR(VLOOKUP($U$83,'TAR FIN'!$A$1:$O$104,15,0)),0,VLOOKUP($U$83,'TAR FIN'!$A$1:$O$104,15,0))</f>
        <v>0</v>
      </c>
      <c r="Y83" s="6">
        <f ca="1">('TUSD BE'!$AM$6+'TUSD BF'!$AM$6+'TUSD CVA'!$AM$6)*1</f>
        <v>11.059043483979741</v>
      </c>
      <c r="Z83" s="6">
        <f ca="1">('TUSD BE'!$AM$7+'TUSD BF'!$AM$7+'TUSD CVA'!$AM$7)*1</f>
        <v>55.308089175900619</v>
      </c>
      <c r="AA83" s="6"/>
      <c r="AB83" s="6">
        <f>$K$83*$V$83</f>
        <v>918643.14</v>
      </c>
      <c r="AC83" s="6">
        <f>$M$83*$W$83</f>
        <v>0</v>
      </c>
      <c r="AD83" s="6">
        <f>$O$83*$X$83</f>
        <v>0</v>
      </c>
      <c r="AE83" s="6">
        <f ca="1">$K$83*$Y$83</f>
        <v>909517.85420946183</v>
      </c>
      <c r="AF83" s="6">
        <f ca="1">$M$83*$Z$83</f>
        <v>0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39</v>
      </c>
      <c r="C84" s="4" t="s">
        <v>40</v>
      </c>
      <c r="D84" s="4" t="s">
        <v>38</v>
      </c>
      <c r="E84" s="4" t="s">
        <v>25</v>
      </c>
      <c r="F84" s="4" t="s">
        <v>25</v>
      </c>
      <c r="G84" s="4" t="s">
        <v>25</v>
      </c>
      <c r="H84" s="4" t="s">
        <v>35</v>
      </c>
      <c r="I84" s="5">
        <v>44562</v>
      </c>
      <c r="J84" s="6">
        <v>5137</v>
      </c>
      <c r="K84" s="6">
        <v>5137</v>
      </c>
      <c r="L84" s="6">
        <v>910.68399999999997</v>
      </c>
      <c r="M84" s="6">
        <v>910.68399999999997</v>
      </c>
      <c r="N84" s="6">
        <v>910.68399999999997</v>
      </c>
      <c r="O84" s="6">
        <v>910.68399999999997</v>
      </c>
      <c r="P84" s="6">
        <v>0</v>
      </c>
      <c r="Q84" s="4" t="s">
        <v>26</v>
      </c>
      <c r="R84" s="4">
        <v>0</v>
      </c>
      <c r="S84" s="6">
        <v>3</v>
      </c>
      <c r="T84" s="6">
        <v>5</v>
      </c>
      <c r="U84" s="6">
        <v>65</v>
      </c>
      <c r="V84" s="6">
        <f>IF(ISERROR(VLOOKUP($S$84,'TAR FIN'!$A$1:$O$104,15,0)),0,VLOOKUP($S$84,'TAR FIN'!$A$1:$O$104,15,0))</f>
        <v>11.17</v>
      </c>
      <c r="W84" s="6">
        <f>IF(ISERROR(VLOOKUP($T$84,'TAR FIN'!$A$1:$O$104,15,0)),0,VLOOKUP($T$84,'TAR FIN'!$A$1:$O$104,15,0))</f>
        <v>41.95</v>
      </c>
      <c r="X84" s="6">
        <f>IF(ISERROR(VLOOKUP($U$84,'TAR FIN'!$A$1:$O$104,15,0)),0,VLOOKUP($U$84,'TAR FIN'!$A$1:$O$104,15,0))</f>
        <v>242.82</v>
      </c>
      <c r="Y84" s="6">
        <f ca="1">('TUSD BE'!$AM$6+'TUSD BF'!$AM$6+'TUSD CVA'!$AM$6)*1</f>
        <v>11.059043483979741</v>
      </c>
      <c r="Z84" s="6">
        <f ca="1">('TUSD BE'!$AM$7+'TUSD BF'!$AM$7+'TUSD CVA'!$AM$7)*1</f>
        <v>55.308089175900619</v>
      </c>
      <c r="AA84" s="6">
        <f>('TE BE'!$AB$6+'TE BF'!$AB$6+'TE CVA'!$AB$6)*1</f>
        <v>231.76257384332172</v>
      </c>
      <c r="AB84" s="6">
        <f>$K$84*$V$84</f>
        <v>57380.29</v>
      </c>
      <c r="AC84" s="6">
        <f>$M$84*$W$84</f>
        <v>38203.193800000001</v>
      </c>
      <c r="AD84" s="6">
        <f>$O$84*$X$84</f>
        <v>221132.28887999998</v>
      </c>
      <c r="AE84" s="6">
        <f ca="1">$K$84*$Y$84</f>
        <v>56810.306377203931</v>
      </c>
      <c r="AF84" s="6">
        <f ca="1">$M$84*$Z$84</f>
        <v>50368.191883065876</v>
      </c>
      <c r="AG84" s="6">
        <f>$O$84*$AA$84</f>
        <v>211062.46779793157</v>
      </c>
    </row>
    <row r="85" spans="1:33" ht="11.25" customHeight="1" x14ac:dyDescent="0.25">
      <c r="A85" s="4" t="s">
        <v>27</v>
      </c>
      <c r="B85" s="4" t="s">
        <v>39</v>
      </c>
      <c r="C85" s="4" t="s">
        <v>40</v>
      </c>
      <c r="D85" s="4" t="s">
        <v>38</v>
      </c>
      <c r="E85" s="4" t="s">
        <v>25</v>
      </c>
      <c r="F85" s="4" t="s">
        <v>25</v>
      </c>
      <c r="G85" s="4" t="s">
        <v>25</v>
      </c>
      <c r="H85" s="4" t="s">
        <v>35</v>
      </c>
      <c r="I85" s="5">
        <v>44562</v>
      </c>
      <c r="J85" s="6">
        <v>0</v>
      </c>
      <c r="K85" s="6">
        <v>0</v>
      </c>
      <c r="L85" s="6">
        <v>9.6110000000000007</v>
      </c>
      <c r="M85" s="6">
        <v>9.6110000000000007</v>
      </c>
      <c r="N85" s="6">
        <v>9.6110000000000007</v>
      </c>
      <c r="O85" s="6">
        <v>9.6110000000000007</v>
      </c>
      <c r="P85" s="6">
        <v>0</v>
      </c>
      <c r="Q85" s="4" t="s">
        <v>26</v>
      </c>
      <c r="R85" s="4">
        <v>0</v>
      </c>
      <c r="S85" s="6">
        <v>0</v>
      </c>
      <c r="T85" s="6">
        <v>5</v>
      </c>
      <c r="U85" s="6">
        <v>65</v>
      </c>
      <c r="V85" s="6">
        <f>IF(ISERROR(VLOOKUP($S$85,'TAR FIN'!$A$1:$O$104,15,0)),0,VLOOKUP($S$85,'TAR FIN'!$A$1:$O$104,15,0))</f>
        <v>0</v>
      </c>
      <c r="W85" s="6">
        <f>IF(ISERROR(VLOOKUP($T$85,'TAR FIN'!$A$1:$O$104,15,0)),0,VLOOKUP($T$85,'TAR FIN'!$A$1:$O$104,15,0))</f>
        <v>41.95</v>
      </c>
      <c r="X85" s="6">
        <f>IF(ISERROR(VLOOKUP($U$85,'TAR FIN'!$A$1:$O$104,15,0)),0,VLOOKUP($U$85,'TAR FIN'!$A$1:$O$104,15,0))</f>
        <v>242.82</v>
      </c>
      <c r="Y85" s="6">
        <f ca="1">('TUSD BE'!$AM$6+'TUSD BF'!$AM$6+'TUSD CVA'!$AM$6)*1</f>
        <v>11.059043483979741</v>
      </c>
      <c r="Z85" s="6">
        <f ca="1">('TUSD BE'!$AM$7+'TUSD BF'!$AM$7+'TUSD CVA'!$AM$7)*1</f>
        <v>55.308089175900619</v>
      </c>
      <c r="AA85" s="6">
        <f>('TE BE'!$AB$6+'TE BF'!$AB$6+'TE CVA'!$AB$6)*1</f>
        <v>231.76257384332172</v>
      </c>
      <c r="AB85" s="6">
        <f>$K$85*$V$85</f>
        <v>0</v>
      </c>
      <c r="AC85" s="6">
        <f>$M$85*$W$85</f>
        <v>403.18145000000004</v>
      </c>
      <c r="AD85" s="6">
        <f>$O$85*$X$85</f>
        <v>2333.7430199999999</v>
      </c>
      <c r="AE85" s="6">
        <f ca="1">$K$85*$Y$85</f>
        <v>0</v>
      </c>
      <c r="AF85" s="6">
        <f ca="1">$M$85*$Z$85</f>
        <v>531.56604506958092</v>
      </c>
      <c r="AG85" s="6">
        <f>$O$85*$AA$85</f>
        <v>2227.470097208165</v>
      </c>
    </row>
    <row r="86" spans="1:33" ht="11.25" customHeight="1" x14ac:dyDescent="0.25">
      <c r="A86" s="4" t="s">
        <v>21</v>
      </c>
      <c r="B86" s="4" t="s">
        <v>39</v>
      </c>
      <c r="C86" s="4" t="s">
        <v>40</v>
      </c>
      <c r="D86" s="4" t="s">
        <v>38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44562</v>
      </c>
      <c r="J86" s="6">
        <v>79659</v>
      </c>
      <c r="K86" s="6">
        <v>79659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58</v>
      </c>
      <c r="R86" s="4">
        <v>0</v>
      </c>
      <c r="S86" s="6">
        <v>3</v>
      </c>
      <c r="T86" s="6">
        <v>0</v>
      </c>
      <c r="U86" s="6">
        <v>0</v>
      </c>
      <c r="V86" s="6">
        <f>IF(ISERROR(VLOOKUP($S$86,'TAR FIN'!$A$1:$O$104,15,0)),0,VLOOKUP($S$86,'TAR FIN'!$A$1:$O$104,15,0))</f>
        <v>11.17</v>
      </c>
      <c r="W86" s="6">
        <f>IF(ISERROR(VLOOKUP($T$86,'TAR FIN'!$A$1:$O$104,15,0)),0,VLOOKUP($T$86,'TAR FIN'!$A$1:$O$104,15,0))</f>
        <v>0</v>
      </c>
      <c r="X86" s="6">
        <f>IF(ISERROR(VLOOKUP($U$86,'TAR FIN'!$A$1:$O$104,15,0)),0,VLOOKUP($U$86,'TAR FIN'!$A$1:$O$104,15,0))</f>
        <v>0</v>
      </c>
      <c r="Y86" s="6">
        <f ca="1">('TUSD BE'!$AM$6+'TUSD BF'!$AM$6+'TUSD CVA'!$AM$6)*1</f>
        <v>11.059043483979741</v>
      </c>
      <c r="Z86" s="6">
        <f ca="1">('TUSD BE'!$AM$7+'TUSD BF'!$AM$7+'TUSD CVA'!$AM$7)*1</f>
        <v>55.308089175900619</v>
      </c>
      <c r="AA86" s="6"/>
      <c r="AB86" s="6">
        <f>$K$86*$V$86</f>
        <v>889791.03</v>
      </c>
      <c r="AC86" s="6">
        <f>$M$86*$W$86</f>
        <v>0</v>
      </c>
      <c r="AD86" s="6">
        <f>$O$86*$X$86</f>
        <v>0</v>
      </c>
      <c r="AE86" s="6">
        <f ca="1">$K$86*$Y$86</f>
        <v>880952.34489034221</v>
      </c>
      <c r="AF86" s="6">
        <f ca="1">$M$86*$Z$86</f>
        <v>0</v>
      </c>
      <c r="AG86" s="6">
        <f>$O$86*$AA$86</f>
        <v>0</v>
      </c>
    </row>
    <row r="87" spans="1:33" ht="11.25" customHeight="1" x14ac:dyDescent="0.25">
      <c r="A87" s="4" t="s">
        <v>21</v>
      </c>
      <c r="B87" s="4" t="s">
        <v>39</v>
      </c>
      <c r="C87" s="4" t="s">
        <v>40</v>
      </c>
      <c r="D87" s="4" t="s">
        <v>38</v>
      </c>
      <c r="E87" s="4" t="s">
        <v>25</v>
      </c>
      <c r="F87" s="4" t="s">
        <v>25</v>
      </c>
      <c r="G87" s="4" t="s">
        <v>25</v>
      </c>
      <c r="H87" s="4" t="s">
        <v>35</v>
      </c>
      <c r="I87" s="5">
        <v>44593</v>
      </c>
      <c r="J87" s="6">
        <v>3015</v>
      </c>
      <c r="K87" s="6">
        <v>3015</v>
      </c>
      <c r="L87" s="6">
        <v>958.54499999999996</v>
      </c>
      <c r="M87" s="6">
        <v>958.54499999999996</v>
      </c>
      <c r="N87" s="6">
        <v>958.54499999999996</v>
      </c>
      <c r="O87" s="6">
        <v>958.54499999999996</v>
      </c>
      <c r="P87" s="6">
        <v>0</v>
      </c>
      <c r="Q87" s="4" t="s">
        <v>26</v>
      </c>
      <c r="R87" s="4">
        <v>0</v>
      </c>
      <c r="S87" s="6">
        <v>3</v>
      </c>
      <c r="T87" s="6">
        <v>5</v>
      </c>
      <c r="U87" s="6">
        <v>65</v>
      </c>
      <c r="V87" s="6">
        <f>IF(ISERROR(VLOOKUP($S$87,'TAR FIN'!$A$1:$O$104,15,0)),0,VLOOKUP($S$87,'TAR FIN'!$A$1:$O$104,15,0))</f>
        <v>11.17</v>
      </c>
      <c r="W87" s="6">
        <f>IF(ISERROR(VLOOKUP($T$87,'TAR FIN'!$A$1:$O$104,15,0)),0,VLOOKUP($T$87,'TAR FIN'!$A$1:$O$104,15,0))</f>
        <v>41.95</v>
      </c>
      <c r="X87" s="6">
        <f>IF(ISERROR(VLOOKUP($U$87,'TAR FIN'!$A$1:$O$104,15,0)),0,VLOOKUP($U$87,'TAR FIN'!$A$1:$O$104,15,0))</f>
        <v>242.82</v>
      </c>
      <c r="Y87" s="6">
        <f ca="1">('TUSD BE'!$AM$6+'TUSD BF'!$AM$6+'TUSD CVA'!$AM$6)*1</f>
        <v>11.059043483979741</v>
      </c>
      <c r="Z87" s="6">
        <f ca="1">('TUSD BE'!$AM$7+'TUSD BF'!$AM$7+'TUSD CVA'!$AM$7)*1</f>
        <v>55.308089175900619</v>
      </c>
      <c r="AA87" s="6">
        <f>('TE BE'!$AB$6+'TE BF'!$AB$6+'TE CVA'!$AB$6)*1</f>
        <v>231.76257384332172</v>
      </c>
      <c r="AB87" s="6">
        <f>$K$87*$V$87</f>
        <v>33677.550000000003</v>
      </c>
      <c r="AC87" s="6">
        <f>$M$87*$W$87</f>
        <v>40210.962749999999</v>
      </c>
      <c r="AD87" s="6">
        <f>$O$87*$X$87</f>
        <v>232753.89689999999</v>
      </c>
      <c r="AE87" s="6">
        <f ca="1">$K$87*$Y$87</f>
        <v>33343.016104198919</v>
      </c>
      <c r="AF87" s="6">
        <f ca="1">$M$87*$Z$87</f>
        <v>53015.292339113657</v>
      </c>
      <c r="AG87" s="6">
        <f>$O$87*$AA$87</f>
        <v>222154.8563446468</v>
      </c>
    </row>
    <row r="88" spans="1:33" ht="11.25" customHeight="1" x14ac:dyDescent="0.25">
      <c r="A88" s="4" t="s">
        <v>21</v>
      </c>
      <c r="B88" s="4" t="s">
        <v>39</v>
      </c>
      <c r="C88" s="4" t="s">
        <v>40</v>
      </c>
      <c r="D88" s="4" t="s">
        <v>38</v>
      </c>
      <c r="E88" s="4" t="s">
        <v>25</v>
      </c>
      <c r="F88" s="4" t="s">
        <v>25</v>
      </c>
      <c r="G88" s="4" t="s">
        <v>25</v>
      </c>
      <c r="H88" s="4" t="s">
        <v>35</v>
      </c>
      <c r="I88" s="5">
        <v>44593</v>
      </c>
      <c r="J88" s="6">
        <v>79658</v>
      </c>
      <c r="K88" s="6">
        <v>79658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58</v>
      </c>
      <c r="R88" s="4">
        <v>0</v>
      </c>
      <c r="S88" s="6">
        <v>3</v>
      </c>
      <c r="T88" s="6">
        <v>0</v>
      </c>
      <c r="U88" s="6">
        <v>0</v>
      </c>
      <c r="V88" s="6">
        <f>IF(ISERROR(VLOOKUP($S$88,'TAR FIN'!$A$1:$O$104,15,0)),0,VLOOKUP($S$88,'TAR FIN'!$A$1:$O$104,15,0))</f>
        <v>11.17</v>
      </c>
      <c r="W88" s="6">
        <f>IF(ISERROR(VLOOKUP($T$88,'TAR FIN'!$A$1:$O$104,15,0)),0,VLOOKUP($T$88,'TAR FIN'!$A$1:$O$104,15,0))</f>
        <v>0</v>
      </c>
      <c r="X88" s="6">
        <f>IF(ISERROR(VLOOKUP($U$88,'TAR FIN'!$A$1:$O$104,15,0)),0,VLOOKUP($U$88,'TAR FIN'!$A$1:$O$104,15,0))</f>
        <v>0</v>
      </c>
      <c r="Y88" s="6">
        <f ca="1">('TUSD BE'!$AM$6+'TUSD BF'!$AM$6+'TUSD CVA'!$AM$6)*1</f>
        <v>11.059043483979741</v>
      </c>
      <c r="Z88" s="6">
        <f ca="1">('TUSD BE'!$AM$7+'TUSD BF'!$AM$7+'TUSD CVA'!$AM$7)*1</f>
        <v>55.308089175900619</v>
      </c>
      <c r="AA88" s="6"/>
      <c r="AB88" s="6">
        <f>$K$88*$V$88</f>
        <v>889779.86</v>
      </c>
      <c r="AC88" s="6">
        <f>$M$88*$W$88</f>
        <v>0</v>
      </c>
      <c r="AD88" s="6">
        <f>$O$88*$X$88</f>
        <v>0</v>
      </c>
      <c r="AE88" s="6">
        <f ca="1">$K$88*$Y$88</f>
        <v>880941.28584685817</v>
      </c>
      <c r="AF88" s="6">
        <f ca="1">$M$88*$Z$88</f>
        <v>0</v>
      </c>
      <c r="AG88" s="6">
        <f>$O$88*$AA$88</f>
        <v>0</v>
      </c>
    </row>
    <row r="89" spans="1:33" ht="11.25" customHeight="1" x14ac:dyDescent="0.25">
      <c r="A89" s="4" t="s">
        <v>21</v>
      </c>
      <c r="B89" s="4" t="s">
        <v>39</v>
      </c>
      <c r="C89" s="4" t="s">
        <v>40</v>
      </c>
      <c r="D89" s="4" t="s">
        <v>38</v>
      </c>
      <c r="E89" s="4" t="s">
        <v>25</v>
      </c>
      <c r="F89" s="4" t="s">
        <v>25</v>
      </c>
      <c r="G89" s="4" t="s">
        <v>25</v>
      </c>
      <c r="H89" s="4" t="s">
        <v>35</v>
      </c>
      <c r="I89" s="5">
        <v>44621</v>
      </c>
      <c r="J89" s="6">
        <v>3101</v>
      </c>
      <c r="K89" s="6">
        <v>3101</v>
      </c>
      <c r="L89" s="6">
        <v>802.63</v>
      </c>
      <c r="M89" s="6">
        <v>802.63</v>
      </c>
      <c r="N89" s="6">
        <v>802.63</v>
      </c>
      <c r="O89" s="6">
        <v>802.63</v>
      </c>
      <c r="P89" s="6">
        <v>0</v>
      </c>
      <c r="Q89" s="4" t="s">
        <v>26</v>
      </c>
      <c r="R89" s="4">
        <v>0</v>
      </c>
      <c r="S89" s="6">
        <v>3</v>
      </c>
      <c r="T89" s="6">
        <v>5</v>
      </c>
      <c r="U89" s="6">
        <v>65</v>
      </c>
      <c r="V89" s="6">
        <f>IF(ISERROR(VLOOKUP($S$89,'TAR FIN'!$A$1:$O$104,15,0)),0,VLOOKUP($S$89,'TAR FIN'!$A$1:$O$104,15,0))</f>
        <v>11.17</v>
      </c>
      <c r="W89" s="6">
        <f>IF(ISERROR(VLOOKUP($T$89,'TAR FIN'!$A$1:$O$104,15,0)),0,VLOOKUP($T$89,'TAR FIN'!$A$1:$O$104,15,0))</f>
        <v>41.95</v>
      </c>
      <c r="X89" s="6">
        <f>IF(ISERROR(VLOOKUP($U$89,'TAR FIN'!$A$1:$O$104,15,0)),0,VLOOKUP($U$89,'TAR FIN'!$A$1:$O$104,15,0))</f>
        <v>242.82</v>
      </c>
      <c r="Y89" s="6">
        <f ca="1">('TUSD BE'!$AM$6+'TUSD BF'!$AM$6+'TUSD CVA'!$AM$6)*1</f>
        <v>11.059043483979741</v>
      </c>
      <c r="Z89" s="6">
        <f ca="1">('TUSD BE'!$AM$7+'TUSD BF'!$AM$7+'TUSD CVA'!$AM$7)*1</f>
        <v>55.308089175900619</v>
      </c>
      <c r="AA89" s="6">
        <f>('TE BE'!$AB$6+'TE BF'!$AB$6+'TE CVA'!$AB$6)*1</f>
        <v>231.76257384332172</v>
      </c>
      <c r="AB89" s="6">
        <f>$K$89*$V$89</f>
        <v>34638.17</v>
      </c>
      <c r="AC89" s="6">
        <f>$M$89*$W$89</f>
        <v>33670.328500000003</v>
      </c>
      <c r="AD89" s="6">
        <f>$O$89*$X$89</f>
        <v>194894.61659999998</v>
      </c>
      <c r="AE89" s="6">
        <f ca="1">$K$89*$Y$89</f>
        <v>34294.093843821174</v>
      </c>
      <c r="AF89" s="6">
        <f ca="1">$M$89*$Z$89</f>
        <v>44391.931615253117</v>
      </c>
      <c r="AG89" s="6">
        <f>$O$89*$AA$89</f>
        <v>186019.5946438653</v>
      </c>
    </row>
    <row r="90" spans="1:33" ht="11.25" customHeight="1" x14ac:dyDescent="0.25">
      <c r="A90" s="4" t="s">
        <v>21</v>
      </c>
      <c r="B90" s="4" t="s">
        <v>39</v>
      </c>
      <c r="C90" s="4" t="s">
        <v>40</v>
      </c>
      <c r="D90" s="4" t="s">
        <v>38</v>
      </c>
      <c r="E90" s="4" t="s">
        <v>25</v>
      </c>
      <c r="F90" s="4" t="s">
        <v>25</v>
      </c>
      <c r="G90" s="4" t="s">
        <v>25</v>
      </c>
      <c r="H90" s="4" t="s">
        <v>35</v>
      </c>
      <c r="I90" s="5">
        <v>44621</v>
      </c>
      <c r="J90" s="6">
        <v>79872</v>
      </c>
      <c r="K90" s="6">
        <v>79872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58</v>
      </c>
      <c r="R90" s="4">
        <v>0</v>
      </c>
      <c r="S90" s="6">
        <v>3</v>
      </c>
      <c r="T90" s="6">
        <v>0</v>
      </c>
      <c r="U90" s="6">
        <v>0</v>
      </c>
      <c r="V90" s="6">
        <f>IF(ISERROR(VLOOKUP($S$90,'TAR FIN'!$A$1:$O$104,15,0)),0,VLOOKUP($S$90,'TAR FIN'!$A$1:$O$104,15,0))</f>
        <v>11.17</v>
      </c>
      <c r="W90" s="6">
        <f>IF(ISERROR(VLOOKUP($T$90,'TAR FIN'!$A$1:$O$104,15,0)),0,VLOOKUP($T$90,'TAR FIN'!$A$1:$O$104,15,0))</f>
        <v>0</v>
      </c>
      <c r="X90" s="6">
        <f>IF(ISERROR(VLOOKUP($U$90,'TAR FIN'!$A$1:$O$104,15,0)),0,VLOOKUP($U$90,'TAR FIN'!$A$1:$O$104,15,0))</f>
        <v>0</v>
      </c>
      <c r="Y90" s="6">
        <f ca="1">('TUSD BE'!$AM$6+'TUSD BF'!$AM$6+'TUSD CVA'!$AM$6)*1</f>
        <v>11.059043483979741</v>
      </c>
      <c r="Z90" s="6">
        <f ca="1">('TUSD BE'!$AM$7+'TUSD BF'!$AM$7+'TUSD CVA'!$AM$7)*1</f>
        <v>55.308089175900619</v>
      </c>
      <c r="AA90" s="6"/>
      <c r="AB90" s="6">
        <f>$K$90*$V$90</f>
        <v>892170.23999999999</v>
      </c>
      <c r="AC90" s="6">
        <f>$M$90*$W$90</f>
        <v>0</v>
      </c>
      <c r="AD90" s="6">
        <f>$O$90*$X$90</f>
        <v>0</v>
      </c>
      <c r="AE90" s="6">
        <f ca="1">$K$90*$Y$90</f>
        <v>883307.92115242989</v>
      </c>
      <c r="AF90" s="6">
        <f ca="1">$M$90*$Z$90</f>
        <v>0</v>
      </c>
      <c r="AG90" s="6">
        <f>$O$90*$AA$90</f>
        <v>0</v>
      </c>
    </row>
    <row r="91" spans="1:33" ht="11.25" customHeight="1" x14ac:dyDescent="0.25">
      <c r="A91" s="4" t="s">
        <v>21</v>
      </c>
      <c r="B91" s="4" t="s">
        <v>39</v>
      </c>
      <c r="C91" s="4" t="s">
        <v>40</v>
      </c>
      <c r="D91" s="4" t="s">
        <v>38</v>
      </c>
      <c r="E91" s="4" t="s">
        <v>25</v>
      </c>
      <c r="F91" s="4" t="s">
        <v>25</v>
      </c>
      <c r="G91" s="4" t="s">
        <v>25</v>
      </c>
      <c r="H91" s="4" t="s">
        <v>35</v>
      </c>
      <c r="I91" s="5">
        <v>44652</v>
      </c>
      <c r="J91" s="6">
        <v>3072</v>
      </c>
      <c r="K91" s="6">
        <v>3072</v>
      </c>
      <c r="L91" s="6">
        <v>1021.4349999999999</v>
      </c>
      <c r="M91" s="6">
        <v>1021.4349999999999</v>
      </c>
      <c r="N91" s="6">
        <v>1021.4349999999999</v>
      </c>
      <c r="O91" s="6">
        <v>1021.4349999999999</v>
      </c>
      <c r="P91" s="6">
        <v>0</v>
      </c>
      <c r="Q91" s="4" t="s">
        <v>26</v>
      </c>
      <c r="R91" s="4">
        <v>0</v>
      </c>
      <c r="S91" s="6">
        <v>3</v>
      </c>
      <c r="T91" s="6">
        <v>5</v>
      </c>
      <c r="U91" s="6">
        <v>65</v>
      </c>
      <c r="V91" s="6">
        <f>IF(ISERROR(VLOOKUP($S$91,'TAR FIN'!$A$1:$O$104,15,0)),0,VLOOKUP($S$91,'TAR FIN'!$A$1:$O$104,15,0))</f>
        <v>11.17</v>
      </c>
      <c r="W91" s="6">
        <f>IF(ISERROR(VLOOKUP($T$91,'TAR FIN'!$A$1:$O$104,15,0)),0,VLOOKUP($T$91,'TAR FIN'!$A$1:$O$104,15,0))</f>
        <v>41.95</v>
      </c>
      <c r="X91" s="6">
        <f>IF(ISERROR(VLOOKUP($U$91,'TAR FIN'!$A$1:$O$104,15,0)),0,VLOOKUP($U$91,'TAR FIN'!$A$1:$O$104,15,0))</f>
        <v>242.82</v>
      </c>
      <c r="Y91" s="6">
        <f ca="1">('TUSD BE'!$AM$6+'TUSD BF'!$AM$6+'TUSD CVA'!$AM$6)*1</f>
        <v>11.059043483979741</v>
      </c>
      <c r="Z91" s="6">
        <f ca="1">('TUSD BE'!$AM$7+'TUSD BF'!$AM$7+'TUSD CVA'!$AM$7)*1</f>
        <v>55.308089175900619</v>
      </c>
      <c r="AA91" s="6">
        <f>('TE BE'!$AB$6+'TE BF'!$AB$6+'TE CVA'!$AB$6)*1</f>
        <v>231.76257384332172</v>
      </c>
      <c r="AB91" s="6">
        <f>$K$91*$V$91</f>
        <v>34314.239999999998</v>
      </c>
      <c r="AC91" s="6">
        <f>$M$91*$W$91</f>
        <v>42849.198250000001</v>
      </c>
      <c r="AD91" s="6">
        <f>$O$91*$X$91</f>
        <v>248024.84669999997</v>
      </c>
      <c r="AE91" s="6">
        <f ca="1">$K$91*$Y$91</f>
        <v>33973.381582785762</v>
      </c>
      <c r="AF91" s="6">
        <f ca="1">$M$91*$Z$91</f>
        <v>56493.618067386044</v>
      </c>
      <c r="AG91" s="6">
        <f>$O$91*$AA$91</f>
        <v>236730.40461365331</v>
      </c>
    </row>
    <row r="92" spans="1:33" ht="11.25" customHeight="1" x14ac:dyDescent="0.25">
      <c r="A92" s="4" t="s">
        <v>21</v>
      </c>
      <c r="B92" s="4" t="s">
        <v>39</v>
      </c>
      <c r="C92" s="4" t="s">
        <v>40</v>
      </c>
      <c r="D92" s="4" t="s">
        <v>38</v>
      </c>
      <c r="E92" s="4" t="s">
        <v>25</v>
      </c>
      <c r="F92" s="4" t="s">
        <v>25</v>
      </c>
      <c r="G92" s="4" t="s">
        <v>25</v>
      </c>
      <c r="H92" s="4" t="s">
        <v>35</v>
      </c>
      <c r="I92" s="5">
        <v>44652</v>
      </c>
      <c r="J92" s="6">
        <v>80028</v>
      </c>
      <c r="K92" s="6">
        <v>80028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58</v>
      </c>
      <c r="R92" s="4">
        <v>0</v>
      </c>
      <c r="S92" s="6">
        <v>3</v>
      </c>
      <c r="T92" s="6">
        <v>0</v>
      </c>
      <c r="U92" s="6">
        <v>0</v>
      </c>
      <c r="V92" s="6">
        <f>IF(ISERROR(VLOOKUP($S$92,'TAR FIN'!$A$1:$O$104,15,0)),0,VLOOKUP($S$92,'TAR FIN'!$A$1:$O$104,15,0))</f>
        <v>11.17</v>
      </c>
      <c r="W92" s="6">
        <f>IF(ISERROR(VLOOKUP($T$92,'TAR FIN'!$A$1:$O$104,15,0)),0,VLOOKUP($T$92,'TAR FIN'!$A$1:$O$104,15,0))</f>
        <v>0</v>
      </c>
      <c r="X92" s="6">
        <f>IF(ISERROR(VLOOKUP($U$92,'TAR FIN'!$A$1:$O$104,15,0)),0,VLOOKUP($U$92,'TAR FIN'!$A$1:$O$104,15,0))</f>
        <v>0</v>
      </c>
      <c r="Y92" s="6">
        <f ca="1">('TUSD BE'!$AM$6+'TUSD BF'!$AM$6+'TUSD CVA'!$AM$6)*1</f>
        <v>11.059043483979741</v>
      </c>
      <c r="Z92" s="6">
        <f ca="1">('TUSD BE'!$AM$7+'TUSD BF'!$AM$7+'TUSD CVA'!$AM$7)*1</f>
        <v>55.308089175900619</v>
      </c>
      <c r="AA92" s="6"/>
      <c r="AB92" s="6">
        <f>$K$92*$V$92</f>
        <v>893912.76</v>
      </c>
      <c r="AC92" s="6">
        <f>$M$92*$W$92</f>
        <v>0</v>
      </c>
      <c r="AD92" s="6">
        <f>$O$92*$X$92</f>
        <v>0</v>
      </c>
      <c r="AE92" s="6">
        <f ca="1">$K$92*$Y$92</f>
        <v>885033.13193593069</v>
      </c>
      <c r="AF92" s="6">
        <f ca="1">$M$92*$Z$92</f>
        <v>0</v>
      </c>
      <c r="AG92" s="6">
        <f>$O$92*$AA$92</f>
        <v>0</v>
      </c>
    </row>
    <row r="93" spans="1:33" ht="11.25" customHeight="1" x14ac:dyDescent="0.25">
      <c r="A93" s="4" t="s">
        <v>21</v>
      </c>
      <c r="B93" s="4" t="s">
        <v>39</v>
      </c>
      <c r="C93" s="4" t="s">
        <v>40</v>
      </c>
      <c r="D93" s="4" t="s">
        <v>38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44682</v>
      </c>
      <c r="J93" s="6">
        <v>3120</v>
      </c>
      <c r="K93" s="6">
        <v>3120</v>
      </c>
      <c r="L93" s="6">
        <v>1153.4100000000001</v>
      </c>
      <c r="M93" s="6">
        <v>1153.4100000000001</v>
      </c>
      <c r="N93" s="6">
        <v>1153.4100000000001</v>
      </c>
      <c r="O93" s="6">
        <v>1153.4100000000001</v>
      </c>
      <c r="P93" s="6">
        <v>0</v>
      </c>
      <c r="Q93" s="4" t="s">
        <v>26</v>
      </c>
      <c r="R93" s="4">
        <v>0</v>
      </c>
      <c r="S93" s="6">
        <v>3</v>
      </c>
      <c r="T93" s="6">
        <v>5</v>
      </c>
      <c r="U93" s="6">
        <v>65</v>
      </c>
      <c r="V93" s="6">
        <f>IF(ISERROR(VLOOKUP($S$93,'TAR FIN'!$A$1:$O$104,15,0)),0,VLOOKUP($S$93,'TAR FIN'!$A$1:$O$104,15,0))</f>
        <v>11.17</v>
      </c>
      <c r="W93" s="6">
        <f>IF(ISERROR(VLOOKUP($T$93,'TAR FIN'!$A$1:$O$104,15,0)),0,VLOOKUP($T$93,'TAR FIN'!$A$1:$O$104,15,0))</f>
        <v>41.95</v>
      </c>
      <c r="X93" s="6">
        <f>IF(ISERROR(VLOOKUP($U$93,'TAR FIN'!$A$1:$O$104,15,0)),0,VLOOKUP($U$93,'TAR FIN'!$A$1:$O$104,15,0))</f>
        <v>242.82</v>
      </c>
      <c r="Y93" s="6">
        <f ca="1">('TUSD BE'!$AM$6+'TUSD BF'!$AM$6+'TUSD CVA'!$AM$6)*1</f>
        <v>11.059043483979741</v>
      </c>
      <c r="Z93" s="6">
        <f ca="1">('TUSD BE'!$AM$7+'TUSD BF'!$AM$7+'TUSD CVA'!$AM$7)*1</f>
        <v>55.308089175900619</v>
      </c>
      <c r="AA93" s="6">
        <f>('TE BE'!$AB$6+'TE BF'!$AB$6+'TE CVA'!$AB$6)*1</f>
        <v>231.76257384332172</v>
      </c>
      <c r="AB93" s="6">
        <f>$K$93*$V$93</f>
        <v>34850.400000000001</v>
      </c>
      <c r="AC93" s="6">
        <f>$M$93*$W$93</f>
        <v>48385.549500000008</v>
      </c>
      <c r="AD93" s="6">
        <f>$O$93*$X$93</f>
        <v>280071.01620000001</v>
      </c>
      <c r="AE93" s="6">
        <f ca="1">$K$93*$Y$93</f>
        <v>34504.215670016791</v>
      </c>
      <c r="AF93" s="6">
        <f ca="1">$M$93*$Z$93</f>
        <v>63792.903136375535</v>
      </c>
      <c r="AG93" s="6">
        <f>$O$93*$AA$93</f>
        <v>267317.27029662573</v>
      </c>
    </row>
    <row r="94" spans="1:33" ht="11.25" customHeight="1" x14ac:dyDescent="0.25">
      <c r="A94" s="4" t="s">
        <v>21</v>
      </c>
      <c r="B94" s="4" t="s">
        <v>39</v>
      </c>
      <c r="C94" s="4" t="s">
        <v>40</v>
      </c>
      <c r="D94" s="4" t="s">
        <v>38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44682</v>
      </c>
      <c r="J94" s="6">
        <v>80060</v>
      </c>
      <c r="K94" s="6">
        <v>80060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58</v>
      </c>
      <c r="R94" s="4">
        <v>0</v>
      </c>
      <c r="S94" s="6">
        <v>3</v>
      </c>
      <c r="T94" s="6">
        <v>0</v>
      </c>
      <c r="U94" s="6">
        <v>0</v>
      </c>
      <c r="V94" s="6">
        <f>IF(ISERROR(VLOOKUP($S$94,'TAR FIN'!$A$1:$O$104,15,0)),0,VLOOKUP($S$94,'TAR FIN'!$A$1:$O$104,15,0))</f>
        <v>11.17</v>
      </c>
      <c r="W94" s="6">
        <f>IF(ISERROR(VLOOKUP($T$94,'TAR FIN'!$A$1:$O$104,15,0)),0,VLOOKUP($T$94,'TAR FIN'!$A$1:$O$104,15,0))</f>
        <v>0</v>
      </c>
      <c r="X94" s="6">
        <f>IF(ISERROR(VLOOKUP($U$94,'TAR FIN'!$A$1:$O$104,15,0)),0,VLOOKUP($U$94,'TAR FIN'!$A$1:$O$104,15,0))</f>
        <v>0</v>
      </c>
      <c r="Y94" s="6">
        <f ca="1">('TUSD BE'!$AM$6+'TUSD BF'!$AM$6+'TUSD CVA'!$AM$6)*1</f>
        <v>11.059043483979741</v>
      </c>
      <c r="Z94" s="6">
        <f ca="1">('TUSD BE'!$AM$7+'TUSD BF'!$AM$7+'TUSD CVA'!$AM$7)*1</f>
        <v>55.308089175900619</v>
      </c>
      <c r="AA94" s="6"/>
      <c r="AB94" s="6">
        <f>$K$94*$V$94</f>
        <v>894270.2</v>
      </c>
      <c r="AC94" s="6">
        <f>$M$94*$W$94</f>
        <v>0</v>
      </c>
      <c r="AD94" s="6">
        <f>$O$94*$X$94</f>
        <v>0</v>
      </c>
      <c r="AE94" s="6">
        <f ca="1">$K$94*$Y$94</f>
        <v>885387.02132741804</v>
      </c>
      <c r="AF94" s="6">
        <f ca="1">$M$94*$Z$94</f>
        <v>0</v>
      </c>
      <c r="AG94" s="6">
        <f>$O$94*$AA$94</f>
        <v>0</v>
      </c>
    </row>
    <row r="95" spans="1:33" ht="11.25" customHeight="1" x14ac:dyDescent="0.25">
      <c r="A95" s="4" t="s">
        <v>21</v>
      </c>
      <c r="B95" s="4" t="s">
        <v>39</v>
      </c>
      <c r="C95" s="4" t="s">
        <v>40</v>
      </c>
      <c r="D95" s="4" t="s">
        <v>38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44713</v>
      </c>
      <c r="J95" s="6">
        <v>3081</v>
      </c>
      <c r="K95" s="6">
        <v>3081</v>
      </c>
      <c r="L95" s="6">
        <v>1294.31</v>
      </c>
      <c r="M95" s="6">
        <v>1294.31</v>
      </c>
      <c r="N95" s="6">
        <v>1294.31</v>
      </c>
      <c r="O95" s="6">
        <v>1294.31</v>
      </c>
      <c r="P95" s="6">
        <v>0</v>
      </c>
      <c r="Q95" s="4" t="s">
        <v>26</v>
      </c>
      <c r="R95" s="4">
        <v>0</v>
      </c>
      <c r="S95" s="6">
        <v>3</v>
      </c>
      <c r="T95" s="6">
        <v>5</v>
      </c>
      <c r="U95" s="6">
        <v>65</v>
      </c>
      <c r="V95" s="6">
        <f>IF(ISERROR(VLOOKUP($S$95,'TAR FIN'!$A$1:$O$104,15,0)),0,VLOOKUP($S$95,'TAR FIN'!$A$1:$O$104,15,0))</f>
        <v>11.17</v>
      </c>
      <c r="W95" s="6">
        <f>IF(ISERROR(VLOOKUP($T$95,'TAR FIN'!$A$1:$O$104,15,0)),0,VLOOKUP($T$95,'TAR FIN'!$A$1:$O$104,15,0))</f>
        <v>41.95</v>
      </c>
      <c r="X95" s="6">
        <f>IF(ISERROR(VLOOKUP($U$95,'TAR FIN'!$A$1:$O$104,15,0)),0,VLOOKUP($U$95,'TAR FIN'!$A$1:$O$104,15,0))</f>
        <v>242.82</v>
      </c>
      <c r="Y95" s="6">
        <f ca="1">('TUSD BE'!$AM$6+'TUSD BF'!$AM$6+'TUSD CVA'!$AM$6)*1</f>
        <v>11.059043483979741</v>
      </c>
      <c r="Z95" s="6">
        <f ca="1">('TUSD BE'!$AM$7+'TUSD BF'!$AM$7+'TUSD CVA'!$AM$7)*1</f>
        <v>55.308089175900619</v>
      </c>
      <c r="AA95" s="6">
        <f>('TE BE'!$AB$6+'TE BF'!$AB$6+'TE CVA'!$AB$6)*1</f>
        <v>231.76257384332172</v>
      </c>
      <c r="AB95" s="6">
        <f>$K$95*$V$95</f>
        <v>34414.769999999997</v>
      </c>
      <c r="AC95" s="6">
        <f>$M$95*$W$95</f>
        <v>54296.304499999998</v>
      </c>
      <c r="AD95" s="6">
        <f>$O$95*$X$95</f>
        <v>314284.3542</v>
      </c>
      <c r="AE95" s="6">
        <f ca="1">$K$95*$Y$95</f>
        <v>34072.912974141582</v>
      </c>
      <c r="AF95" s="6">
        <f ca="1">$M$95*$Z$95</f>
        <v>71585.812901259924</v>
      </c>
      <c r="AG95" s="6">
        <f>$O$95*$AA$95</f>
        <v>299972.61695114971</v>
      </c>
    </row>
    <row r="96" spans="1:33" ht="11.25" customHeight="1" x14ac:dyDescent="0.25">
      <c r="A96" s="4" t="s">
        <v>21</v>
      </c>
      <c r="B96" s="4" t="s">
        <v>39</v>
      </c>
      <c r="C96" s="4" t="s">
        <v>40</v>
      </c>
      <c r="D96" s="4" t="s">
        <v>38</v>
      </c>
      <c r="E96" s="4" t="s">
        <v>25</v>
      </c>
      <c r="F96" s="4" t="s">
        <v>25</v>
      </c>
      <c r="G96" s="4" t="s">
        <v>25</v>
      </c>
      <c r="H96" s="4" t="s">
        <v>35</v>
      </c>
      <c r="I96" s="5">
        <v>44713</v>
      </c>
      <c r="J96" s="6">
        <v>79821</v>
      </c>
      <c r="K96" s="6">
        <v>79821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58</v>
      </c>
      <c r="R96" s="4">
        <v>0</v>
      </c>
      <c r="S96" s="6">
        <v>3</v>
      </c>
      <c r="T96" s="6">
        <v>0</v>
      </c>
      <c r="U96" s="6">
        <v>0</v>
      </c>
      <c r="V96" s="6">
        <f>IF(ISERROR(VLOOKUP($S$96,'TAR FIN'!$A$1:$O$104,15,0)),0,VLOOKUP($S$96,'TAR FIN'!$A$1:$O$104,15,0))</f>
        <v>11.17</v>
      </c>
      <c r="W96" s="6">
        <f>IF(ISERROR(VLOOKUP($T$96,'TAR FIN'!$A$1:$O$104,15,0)),0,VLOOKUP($T$96,'TAR FIN'!$A$1:$O$104,15,0))</f>
        <v>0</v>
      </c>
      <c r="X96" s="6">
        <f>IF(ISERROR(VLOOKUP($U$96,'TAR FIN'!$A$1:$O$104,15,0)),0,VLOOKUP($U$96,'TAR FIN'!$A$1:$O$104,15,0))</f>
        <v>0</v>
      </c>
      <c r="Y96" s="6">
        <f ca="1">('TUSD BE'!$AM$6+'TUSD BF'!$AM$6+'TUSD CVA'!$AM$6)*1</f>
        <v>11.059043483979741</v>
      </c>
      <c r="Z96" s="6">
        <f ca="1">('TUSD BE'!$AM$7+'TUSD BF'!$AM$7+'TUSD CVA'!$AM$7)*1</f>
        <v>55.308089175900619</v>
      </c>
      <c r="AA96" s="6"/>
      <c r="AB96" s="6">
        <f>$K$96*$V$96</f>
        <v>891600.57</v>
      </c>
      <c r="AC96" s="6">
        <f>$M$96*$W$96</f>
        <v>0</v>
      </c>
      <c r="AD96" s="6">
        <f>$O$96*$X$96</f>
        <v>0</v>
      </c>
      <c r="AE96" s="6">
        <f ca="1">$K$96*$Y$96</f>
        <v>882743.90993474692</v>
      </c>
      <c r="AF96" s="6">
        <f ca="1">$M$96*$Z$96</f>
        <v>0</v>
      </c>
      <c r="AG96" s="6">
        <f>$O$96*$AA$96</f>
        <v>0</v>
      </c>
    </row>
    <row r="97" spans="1:33" ht="11.25" customHeight="1" x14ac:dyDescent="0.25">
      <c r="A97" s="4" t="s">
        <v>57</v>
      </c>
      <c r="B97" s="4" t="s">
        <v>39</v>
      </c>
      <c r="C97" s="4" t="s">
        <v>40</v>
      </c>
      <c r="D97" s="4" t="s">
        <v>38</v>
      </c>
      <c r="E97" s="4" t="s">
        <v>25</v>
      </c>
      <c r="F97" s="4" t="s">
        <v>25</v>
      </c>
      <c r="G97" s="4" t="s">
        <v>25</v>
      </c>
      <c r="H97" s="4" t="s">
        <v>35</v>
      </c>
      <c r="I97" s="5">
        <v>44743</v>
      </c>
      <c r="J97" s="6">
        <v>3081</v>
      </c>
      <c r="K97" s="6">
        <v>3081</v>
      </c>
      <c r="L97" s="6">
        <v>1294.31</v>
      </c>
      <c r="M97" s="6">
        <v>1294.31</v>
      </c>
      <c r="N97" s="6">
        <v>1294.31</v>
      </c>
      <c r="O97" s="6">
        <v>1294.31</v>
      </c>
      <c r="P97" s="6">
        <v>0</v>
      </c>
      <c r="Q97" s="4" t="s">
        <v>26</v>
      </c>
      <c r="R97" s="4">
        <v>0</v>
      </c>
      <c r="S97" s="6">
        <v>3</v>
      </c>
      <c r="T97" s="6">
        <v>5</v>
      </c>
      <c r="U97" s="6">
        <v>65</v>
      </c>
      <c r="V97" s="6">
        <f>IF(ISERROR(VLOOKUP($S$97,'TAR FIN'!$A$1:$O$104,15,0)),0,VLOOKUP($S$97,'TAR FIN'!$A$1:$O$104,15,0))</f>
        <v>11.17</v>
      </c>
      <c r="W97" s="6">
        <f>IF(ISERROR(VLOOKUP($T$97,'TAR FIN'!$A$1:$O$104,15,0)),0,VLOOKUP($T$97,'TAR FIN'!$A$1:$O$104,15,0))</f>
        <v>41.95</v>
      </c>
      <c r="X97" s="6">
        <f>IF(ISERROR(VLOOKUP($U$97,'TAR FIN'!$A$1:$O$104,15,0)),0,VLOOKUP($U$97,'TAR FIN'!$A$1:$O$104,15,0))</f>
        <v>242.82</v>
      </c>
      <c r="Y97" s="6">
        <f ca="1">('TUSD BE'!$AM$6+'TUSD BF'!$AM$6+'TUSD CVA'!$AM$6)*1</f>
        <v>11.059043483979741</v>
      </c>
      <c r="Z97" s="6">
        <f ca="1">('TUSD BE'!$AM$7+'TUSD BF'!$AM$7+'TUSD CVA'!$AM$7)*1</f>
        <v>55.308089175900619</v>
      </c>
      <c r="AA97" s="6">
        <f>('TE BE'!$AB$6+'TE BF'!$AB$6+'TE CVA'!$AB$6)*1</f>
        <v>231.76257384332172</v>
      </c>
      <c r="AB97" s="6">
        <f>$K$97*$V$97</f>
        <v>34414.769999999997</v>
      </c>
      <c r="AC97" s="6">
        <f>$M$97*$W$97</f>
        <v>54296.304499999998</v>
      </c>
      <c r="AD97" s="6">
        <f>$O$97*$X$97</f>
        <v>314284.3542</v>
      </c>
      <c r="AE97" s="6">
        <f ca="1">$K$97*$Y$97</f>
        <v>34072.912974141582</v>
      </c>
      <c r="AF97" s="6">
        <f ca="1">$M$97*$Z$97</f>
        <v>71585.812901259924</v>
      </c>
      <c r="AG97" s="6">
        <f>$O$97*$AA$97</f>
        <v>299972.61695114971</v>
      </c>
    </row>
    <row r="98" spans="1:33" ht="11.25" customHeight="1" x14ac:dyDescent="0.25">
      <c r="A98" s="4" t="s">
        <v>57</v>
      </c>
      <c r="B98" s="4" t="s">
        <v>39</v>
      </c>
      <c r="C98" s="4" t="s">
        <v>40</v>
      </c>
      <c r="D98" s="4" t="s">
        <v>38</v>
      </c>
      <c r="E98" s="4" t="s">
        <v>25</v>
      </c>
      <c r="F98" s="4" t="s">
        <v>25</v>
      </c>
      <c r="G98" s="4" t="s">
        <v>25</v>
      </c>
      <c r="H98" s="4" t="s">
        <v>35</v>
      </c>
      <c r="I98" s="5">
        <v>44743</v>
      </c>
      <c r="J98" s="6">
        <v>79821</v>
      </c>
      <c r="K98" s="6">
        <v>79821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58</v>
      </c>
      <c r="R98" s="4">
        <v>0</v>
      </c>
      <c r="S98" s="6">
        <v>3</v>
      </c>
      <c r="T98" s="6">
        <v>0</v>
      </c>
      <c r="U98" s="6">
        <v>0</v>
      </c>
      <c r="V98" s="6">
        <f>IF(ISERROR(VLOOKUP($S$98,'TAR FIN'!$A$1:$O$104,15,0)),0,VLOOKUP($S$98,'TAR FIN'!$A$1:$O$104,15,0))</f>
        <v>11.17</v>
      </c>
      <c r="W98" s="6">
        <f>IF(ISERROR(VLOOKUP($T$98,'TAR FIN'!$A$1:$O$104,15,0)),0,VLOOKUP($T$98,'TAR FIN'!$A$1:$O$104,15,0))</f>
        <v>0</v>
      </c>
      <c r="X98" s="6">
        <f>IF(ISERROR(VLOOKUP($U$98,'TAR FIN'!$A$1:$O$104,15,0)),0,VLOOKUP($U$98,'TAR FIN'!$A$1:$O$104,15,0))</f>
        <v>0</v>
      </c>
      <c r="Y98" s="6">
        <f ca="1">('TUSD BE'!$AM$6+'TUSD BF'!$AM$6+'TUSD CVA'!$AM$6)*1</f>
        <v>11.059043483979741</v>
      </c>
      <c r="Z98" s="6">
        <f ca="1">('TUSD BE'!$AM$7+'TUSD BF'!$AM$7+'TUSD CVA'!$AM$7)*1</f>
        <v>55.308089175900619</v>
      </c>
      <c r="AA98" s="6"/>
      <c r="AB98" s="6">
        <f>$K$98*$V$98</f>
        <v>891600.57</v>
      </c>
      <c r="AC98" s="6">
        <f>$M$98*$W$98</f>
        <v>0</v>
      </c>
      <c r="AD98" s="6">
        <f>$O$98*$X$98</f>
        <v>0</v>
      </c>
      <c r="AE98" s="6">
        <f ca="1">$K$98*$Y$98</f>
        <v>882743.90993474692</v>
      </c>
      <c r="AF98" s="6">
        <f ca="1">$M$98*$Z$98</f>
        <v>0</v>
      </c>
      <c r="AG98" s="6">
        <f>$O$98*$AA$98</f>
        <v>0</v>
      </c>
    </row>
    <row r="99" spans="1:33" ht="11.25" customHeight="1" x14ac:dyDescent="0.25">
      <c r="A99" s="4" t="s">
        <v>21</v>
      </c>
      <c r="B99" s="4" t="s">
        <v>39</v>
      </c>
      <c r="C99" s="4" t="s">
        <v>40</v>
      </c>
      <c r="D99" s="4" t="s">
        <v>38</v>
      </c>
      <c r="E99" s="4" t="s">
        <v>25</v>
      </c>
      <c r="F99" s="4" t="s">
        <v>25</v>
      </c>
      <c r="G99" s="4" t="s">
        <v>25</v>
      </c>
      <c r="H99" s="4" t="s">
        <v>25</v>
      </c>
      <c r="I99" s="5">
        <v>44409</v>
      </c>
      <c r="J99" s="6">
        <v>0</v>
      </c>
      <c r="K99" s="6">
        <v>0</v>
      </c>
      <c r="L99" s="6">
        <v>41102.165999999997</v>
      </c>
      <c r="M99" s="6">
        <v>41102.165999999997</v>
      </c>
      <c r="N99" s="6">
        <v>0</v>
      </c>
      <c r="O99" s="6">
        <v>0</v>
      </c>
      <c r="P99" s="6">
        <v>12</v>
      </c>
      <c r="Q99" s="4" t="s">
        <v>58</v>
      </c>
      <c r="R99" s="4">
        <v>0</v>
      </c>
      <c r="S99" s="6">
        <v>0</v>
      </c>
      <c r="T99" s="6">
        <v>5</v>
      </c>
      <c r="U99" s="6">
        <v>0</v>
      </c>
      <c r="V99" s="6">
        <f>IF(ISERROR(VLOOKUP($S$99,'TAR FIN'!$A$1:$O$104,15,0)),0,VLOOKUP($S$99,'TAR FIN'!$A$1:$O$104,15,0))</f>
        <v>0</v>
      </c>
      <c r="W99" s="6">
        <f>IF(ISERROR(VLOOKUP($T$99,'TAR FIN'!$A$1:$O$104,15,0)),0,VLOOKUP($T$99,'TAR FIN'!$A$1:$O$104,15,0))</f>
        <v>41.95</v>
      </c>
      <c r="X99" s="6">
        <f>IF(ISERROR(VLOOKUP($U$99,'TAR FIN'!$A$1:$O$104,15,0)),0,VLOOKUP($U$99,'TAR FIN'!$A$1:$O$104,15,0))</f>
        <v>0</v>
      </c>
      <c r="Y99" s="6"/>
      <c r="Z99" s="6">
        <f ca="1">('TUSD BE'!$AM$7+'TUSD BF'!$AM$7+'TUSD CVA'!$AM$7)*1</f>
        <v>55.308089175900619</v>
      </c>
      <c r="AA99" s="6"/>
      <c r="AB99" s="6">
        <f>$K$99*$V$99</f>
        <v>0</v>
      </c>
      <c r="AC99" s="6">
        <f>$M$99*$W$99</f>
        <v>1724235.8637000001</v>
      </c>
      <c r="AD99" s="6">
        <f>$O$99*$X$99</f>
        <v>0</v>
      </c>
      <c r="AE99" s="6">
        <f>$K$99*$Y$99</f>
        <v>0</v>
      </c>
      <c r="AF99" s="6">
        <f ca="1">$M$99*$Z$99</f>
        <v>2273282.2624506704</v>
      </c>
      <c r="AG99" s="6">
        <f>$O$99*$AA$99</f>
        <v>0</v>
      </c>
    </row>
    <row r="100" spans="1:33" ht="11.25" customHeight="1" x14ac:dyDescent="0.25">
      <c r="A100" s="4" t="s">
        <v>21</v>
      </c>
      <c r="B100" s="4" t="s">
        <v>39</v>
      </c>
      <c r="C100" s="4" t="s">
        <v>40</v>
      </c>
      <c r="D100" s="4" t="s">
        <v>38</v>
      </c>
      <c r="E100" s="4" t="s">
        <v>25</v>
      </c>
      <c r="F100" s="4" t="s">
        <v>25</v>
      </c>
      <c r="G100" s="4" t="s">
        <v>25</v>
      </c>
      <c r="H100" s="4" t="s">
        <v>25</v>
      </c>
      <c r="I100" s="5">
        <v>44440</v>
      </c>
      <c r="J100" s="6">
        <v>0</v>
      </c>
      <c r="K100" s="6">
        <v>0</v>
      </c>
      <c r="L100" s="6">
        <v>41848.686000000002</v>
      </c>
      <c r="M100" s="6">
        <v>41848.686000000002</v>
      </c>
      <c r="N100" s="6">
        <v>0</v>
      </c>
      <c r="O100" s="6">
        <v>0</v>
      </c>
      <c r="P100" s="6">
        <v>12</v>
      </c>
      <c r="Q100" s="4" t="s">
        <v>58</v>
      </c>
      <c r="R100" s="4">
        <v>0</v>
      </c>
      <c r="S100" s="6">
        <v>0</v>
      </c>
      <c r="T100" s="6">
        <v>5</v>
      </c>
      <c r="U100" s="6">
        <v>0</v>
      </c>
      <c r="V100" s="6">
        <f>IF(ISERROR(VLOOKUP($S$100,'TAR FIN'!$A$1:$O$104,15,0)),0,VLOOKUP($S$100,'TAR FIN'!$A$1:$O$104,15,0))</f>
        <v>0</v>
      </c>
      <c r="W100" s="6">
        <f>IF(ISERROR(VLOOKUP($T$100,'TAR FIN'!$A$1:$O$104,15,0)),0,VLOOKUP($T$100,'TAR FIN'!$A$1:$O$104,15,0))</f>
        <v>41.95</v>
      </c>
      <c r="X100" s="6">
        <f>IF(ISERROR(VLOOKUP($U$100,'TAR FIN'!$A$1:$O$104,15,0)),0,VLOOKUP($U$100,'TAR FIN'!$A$1:$O$104,15,0))</f>
        <v>0</v>
      </c>
      <c r="Y100" s="6"/>
      <c r="Z100" s="6">
        <f ca="1">('TUSD BE'!$AM$7+'TUSD BF'!$AM$7+'TUSD CVA'!$AM$7)*1</f>
        <v>55.308089175900619</v>
      </c>
      <c r="AA100" s="6"/>
      <c r="AB100" s="6">
        <f>$K$100*$V$100</f>
        <v>0</v>
      </c>
      <c r="AC100" s="6">
        <f>$M$100*$W$100</f>
        <v>1755552.3777000001</v>
      </c>
      <c r="AD100" s="6">
        <f>$O$100*$X$100</f>
        <v>0</v>
      </c>
      <c r="AE100" s="6">
        <f>$K$100*$Y$100</f>
        <v>0</v>
      </c>
      <c r="AF100" s="6">
        <f ca="1">$M$100*$Z$100</f>
        <v>2314570.8571822639</v>
      </c>
      <c r="AG100" s="6">
        <f>$O$100*$AA$100</f>
        <v>0</v>
      </c>
    </row>
    <row r="101" spans="1:33" ht="11.25" customHeight="1" x14ac:dyDescent="0.25">
      <c r="A101" s="4" t="s">
        <v>21</v>
      </c>
      <c r="B101" s="4" t="s">
        <v>39</v>
      </c>
      <c r="C101" s="4" t="s">
        <v>40</v>
      </c>
      <c r="D101" s="4" t="s">
        <v>38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44470</v>
      </c>
      <c r="J101" s="6">
        <v>0</v>
      </c>
      <c r="K101" s="6">
        <v>0</v>
      </c>
      <c r="L101" s="6">
        <v>43769.120000000003</v>
      </c>
      <c r="M101" s="6">
        <v>43769.120000000003</v>
      </c>
      <c r="N101" s="6">
        <v>0</v>
      </c>
      <c r="O101" s="6">
        <v>0</v>
      </c>
      <c r="P101" s="6">
        <v>12</v>
      </c>
      <c r="Q101" s="4" t="s">
        <v>58</v>
      </c>
      <c r="R101" s="4">
        <v>0</v>
      </c>
      <c r="S101" s="6">
        <v>0</v>
      </c>
      <c r="T101" s="6">
        <v>5</v>
      </c>
      <c r="U101" s="6">
        <v>0</v>
      </c>
      <c r="V101" s="6">
        <f>IF(ISERROR(VLOOKUP($S$101,'TAR FIN'!$A$1:$O$104,15,0)),0,VLOOKUP($S$101,'TAR FIN'!$A$1:$O$104,15,0))</f>
        <v>0</v>
      </c>
      <c r="W101" s="6">
        <f>IF(ISERROR(VLOOKUP($T$101,'TAR FIN'!$A$1:$O$104,15,0)),0,VLOOKUP($T$101,'TAR FIN'!$A$1:$O$104,15,0))</f>
        <v>41.95</v>
      </c>
      <c r="X101" s="6">
        <f>IF(ISERROR(VLOOKUP($U$101,'TAR FIN'!$A$1:$O$104,15,0)),0,VLOOKUP($U$101,'TAR FIN'!$A$1:$O$104,15,0))</f>
        <v>0</v>
      </c>
      <c r="Y101" s="6"/>
      <c r="Z101" s="6">
        <f ca="1">('TUSD BE'!$AM$7+'TUSD BF'!$AM$7+'TUSD CVA'!$AM$7)*1</f>
        <v>55.308089175900619</v>
      </c>
      <c r="AA101" s="6"/>
      <c r="AB101" s="6">
        <f>$K$101*$V$101</f>
        <v>0</v>
      </c>
      <c r="AC101" s="6">
        <f>$M$101*$W$101</f>
        <v>1836114.5840000003</v>
      </c>
      <c r="AD101" s="6">
        <f>$O$101*$X$101</f>
        <v>0</v>
      </c>
      <c r="AE101" s="6">
        <f>$K$101*$Y$101</f>
        <v>0</v>
      </c>
      <c r="AF101" s="6">
        <f ca="1">$M$101*$Z$101</f>
        <v>2420786.3921106956</v>
      </c>
      <c r="AG101" s="6">
        <f>$O$101*$AA$101</f>
        <v>0</v>
      </c>
    </row>
    <row r="102" spans="1:33" ht="11.25" customHeight="1" x14ac:dyDescent="0.25">
      <c r="A102" s="4" t="s">
        <v>21</v>
      </c>
      <c r="B102" s="4" t="s">
        <v>39</v>
      </c>
      <c r="C102" s="4" t="s">
        <v>40</v>
      </c>
      <c r="D102" s="4" t="s">
        <v>38</v>
      </c>
      <c r="E102" s="4" t="s">
        <v>25</v>
      </c>
      <c r="F102" s="4" t="s">
        <v>25</v>
      </c>
      <c r="G102" s="4" t="s">
        <v>25</v>
      </c>
      <c r="H102" s="4" t="s">
        <v>25</v>
      </c>
      <c r="I102" s="5">
        <v>44501</v>
      </c>
      <c r="J102" s="6">
        <v>0</v>
      </c>
      <c r="K102" s="6">
        <v>0</v>
      </c>
      <c r="L102" s="6">
        <v>41115.533000000003</v>
      </c>
      <c r="M102" s="6">
        <v>41115.533000000003</v>
      </c>
      <c r="N102" s="6">
        <v>0</v>
      </c>
      <c r="O102" s="6">
        <v>0</v>
      </c>
      <c r="P102" s="6">
        <v>12</v>
      </c>
      <c r="Q102" s="4" t="s">
        <v>58</v>
      </c>
      <c r="R102" s="4">
        <v>0</v>
      </c>
      <c r="S102" s="6">
        <v>0</v>
      </c>
      <c r="T102" s="6">
        <v>5</v>
      </c>
      <c r="U102" s="6">
        <v>0</v>
      </c>
      <c r="V102" s="6">
        <f>IF(ISERROR(VLOOKUP($S$102,'TAR FIN'!$A$1:$O$104,15,0)),0,VLOOKUP($S$102,'TAR FIN'!$A$1:$O$104,15,0))</f>
        <v>0</v>
      </c>
      <c r="W102" s="6">
        <f>IF(ISERROR(VLOOKUP($T$102,'TAR FIN'!$A$1:$O$104,15,0)),0,VLOOKUP($T$102,'TAR FIN'!$A$1:$O$104,15,0))</f>
        <v>41.95</v>
      </c>
      <c r="X102" s="6">
        <f>IF(ISERROR(VLOOKUP($U$102,'TAR FIN'!$A$1:$O$104,15,0)),0,VLOOKUP($U$102,'TAR FIN'!$A$1:$O$104,15,0))</f>
        <v>0</v>
      </c>
      <c r="Y102" s="6"/>
      <c r="Z102" s="6">
        <f ca="1">('TUSD BE'!$AM$7+'TUSD BF'!$AM$7+'TUSD CVA'!$AM$7)*1</f>
        <v>55.308089175900619</v>
      </c>
      <c r="AA102" s="6"/>
      <c r="AB102" s="6">
        <f>$K$102*$V$102</f>
        <v>0</v>
      </c>
      <c r="AC102" s="6">
        <f>$M$102*$W$102</f>
        <v>1724796.6093500003</v>
      </c>
      <c r="AD102" s="6">
        <f>$O$102*$X$102</f>
        <v>0</v>
      </c>
      <c r="AE102" s="6">
        <f>$K$102*$Y$102</f>
        <v>0</v>
      </c>
      <c r="AF102" s="6">
        <f ca="1">$M$102*$Z$102</f>
        <v>2274021.565678685</v>
      </c>
      <c r="AG102" s="6">
        <f>$O$102*$AA$102</f>
        <v>0</v>
      </c>
    </row>
    <row r="103" spans="1:33" ht="11.25" customHeight="1" x14ac:dyDescent="0.25">
      <c r="A103" s="4" t="s">
        <v>21</v>
      </c>
      <c r="B103" s="4" t="s">
        <v>39</v>
      </c>
      <c r="C103" s="4" t="s">
        <v>40</v>
      </c>
      <c r="D103" s="4" t="s">
        <v>38</v>
      </c>
      <c r="E103" s="4" t="s">
        <v>25</v>
      </c>
      <c r="F103" s="4" t="s">
        <v>25</v>
      </c>
      <c r="G103" s="4" t="s">
        <v>25</v>
      </c>
      <c r="H103" s="4" t="s">
        <v>25</v>
      </c>
      <c r="I103" s="5">
        <v>44531</v>
      </c>
      <c r="J103" s="6">
        <v>0</v>
      </c>
      <c r="K103" s="6">
        <v>0</v>
      </c>
      <c r="L103" s="6">
        <v>41824.671000000002</v>
      </c>
      <c r="M103" s="6">
        <v>41824.671000000002</v>
      </c>
      <c r="N103" s="6">
        <v>0</v>
      </c>
      <c r="O103" s="6">
        <v>0</v>
      </c>
      <c r="P103" s="6">
        <v>13</v>
      </c>
      <c r="Q103" s="4" t="s">
        <v>58</v>
      </c>
      <c r="R103" s="4">
        <v>0</v>
      </c>
      <c r="S103" s="6">
        <v>0</v>
      </c>
      <c r="T103" s="6">
        <v>5</v>
      </c>
      <c r="U103" s="6">
        <v>0</v>
      </c>
      <c r="V103" s="6">
        <f>IF(ISERROR(VLOOKUP($S$103,'TAR FIN'!$A$1:$O$104,15,0)),0,VLOOKUP($S$103,'TAR FIN'!$A$1:$O$104,15,0))</f>
        <v>0</v>
      </c>
      <c r="W103" s="6">
        <f>IF(ISERROR(VLOOKUP($T$103,'TAR FIN'!$A$1:$O$104,15,0)),0,VLOOKUP($T$103,'TAR FIN'!$A$1:$O$104,15,0))</f>
        <v>41.95</v>
      </c>
      <c r="X103" s="6">
        <f>IF(ISERROR(VLOOKUP($U$103,'TAR FIN'!$A$1:$O$104,15,0)),0,VLOOKUP($U$103,'TAR FIN'!$A$1:$O$104,15,0))</f>
        <v>0</v>
      </c>
      <c r="Y103" s="6"/>
      <c r="Z103" s="6">
        <f ca="1">('TUSD BE'!$AM$7+'TUSD BF'!$AM$7+'TUSD CVA'!$AM$7)*1</f>
        <v>55.308089175900619</v>
      </c>
      <c r="AA103" s="6"/>
      <c r="AB103" s="6">
        <f>$K$103*$V$103</f>
        <v>0</v>
      </c>
      <c r="AC103" s="6">
        <f>$M$103*$W$103</f>
        <v>1754544.9484500003</v>
      </c>
      <c r="AD103" s="6">
        <f>$O$103*$X$103</f>
        <v>0</v>
      </c>
      <c r="AE103" s="6">
        <f>$K$103*$Y$103</f>
        <v>0</v>
      </c>
      <c r="AF103" s="6">
        <f ca="1">$M$103*$Z$103</f>
        <v>2313242.6334207049</v>
      </c>
      <c r="AG103" s="6">
        <f>$O$103*$AA$103</f>
        <v>0</v>
      </c>
    </row>
    <row r="104" spans="1:33" ht="11.25" customHeight="1" x14ac:dyDescent="0.25">
      <c r="A104" s="4" t="s">
        <v>21</v>
      </c>
      <c r="B104" s="4" t="s">
        <v>39</v>
      </c>
      <c r="C104" s="4" t="s">
        <v>40</v>
      </c>
      <c r="D104" s="4" t="s">
        <v>38</v>
      </c>
      <c r="E104" s="4" t="s">
        <v>25</v>
      </c>
      <c r="F104" s="4" t="s">
        <v>25</v>
      </c>
      <c r="G104" s="4" t="s">
        <v>25</v>
      </c>
      <c r="H104" s="4" t="s">
        <v>25</v>
      </c>
      <c r="I104" s="5">
        <v>44562</v>
      </c>
      <c r="J104" s="6">
        <v>0</v>
      </c>
      <c r="K104" s="6">
        <v>0</v>
      </c>
      <c r="L104" s="6">
        <v>36495.809000000001</v>
      </c>
      <c r="M104" s="6">
        <v>36495.809000000001</v>
      </c>
      <c r="N104" s="6">
        <v>0</v>
      </c>
      <c r="O104" s="6">
        <v>0</v>
      </c>
      <c r="P104" s="6">
        <v>13</v>
      </c>
      <c r="Q104" s="4" t="s">
        <v>58</v>
      </c>
      <c r="R104" s="4">
        <v>0</v>
      </c>
      <c r="S104" s="6">
        <v>0</v>
      </c>
      <c r="T104" s="6">
        <v>5</v>
      </c>
      <c r="U104" s="6">
        <v>0</v>
      </c>
      <c r="V104" s="6">
        <f>IF(ISERROR(VLOOKUP($S$104,'TAR FIN'!$A$1:$O$104,15,0)),0,VLOOKUP($S$104,'TAR FIN'!$A$1:$O$104,15,0))</f>
        <v>0</v>
      </c>
      <c r="W104" s="6">
        <f>IF(ISERROR(VLOOKUP($T$104,'TAR FIN'!$A$1:$O$104,15,0)),0,VLOOKUP($T$104,'TAR FIN'!$A$1:$O$104,15,0))</f>
        <v>41.95</v>
      </c>
      <c r="X104" s="6">
        <f>IF(ISERROR(VLOOKUP($U$104,'TAR FIN'!$A$1:$O$104,15,0)),0,VLOOKUP($U$104,'TAR FIN'!$A$1:$O$104,15,0))</f>
        <v>0</v>
      </c>
      <c r="Y104" s="6"/>
      <c r="Z104" s="6">
        <f ca="1">('TUSD BE'!$AM$7+'TUSD BF'!$AM$7+'TUSD CVA'!$AM$7)*1</f>
        <v>55.308089175900619</v>
      </c>
      <c r="AA104" s="6"/>
      <c r="AB104" s="6">
        <f>$K$104*$V$104</f>
        <v>0</v>
      </c>
      <c r="AC104" s="6">
        <f>$M$104*$W$104</f>
        <v>1530999.1875500001</v>
      </c>
      <c r="AD104" s="6">
        <f>$O$104*$X$104</f>
        <v>0</v>
      </c>
      <c r="AE104" s="6">
        <f>$K$104*$Y$104</f>
        <v>0</v>
      </c>
      <c r="AF104" s="6">
        <f ca="1">$M$104*$Z$104</f>
        <v>2018513.4587186365</v>
      </c>
      <c r="AG104" s="6">
        <f>$O$104*$AA$104</f>
        <v>0</v>
      </c>
    </row>
    <row r="105" spans="1:33" ht="11.25" customHeight="1" x14ac:dyDescent="0.25">
      <c r="A105" s="4" t="s">
        <v>21</v>
      </c>
      <c r="B105" s="4" t="s">
        <v>39</v>
      </c>
      <c r="C105" s="4" t="s">
        <v>40</v>
      </c>
      <c r="D105" s="4" t="s">
        <v>38</v>
      </c>
      <c r="E105" s="4" t="s">
        <v>25</v>
      </c>
      <c r="F105" s="4" t="s">
        <v>25</v>
      </c>
      <c r="G105" s="4" t="s">
        <v>25</v>
      </c>
      <c r="H105" s="4" t="s">
        <v>25</v>
      </c>
      <c r="I105" s="5">
        <v>44593</v>
      </c>
      <c r="J105" s="6">
        <v>0</v>
      </c>
      <c r="K105" s="6">
        <v>0</v>
      </c>
      <c r="L105" s="6">
        <v>41843.396999999997</v>
      </c>
      <c r="M105" s="6">
        <v>41843.396999999997</v>
      </c>
      <c r="N105" s="6">
        <v>0</v>
      </c>
      <c r="O105" s="6">
        <v>0</v>
      </c>
      <c r="P105" s="6">
        <v>13</v>
      </c>
      <c r="Q105" s="4" t="s">
        <v>58</v>
      </c>
      <c r="R105" s="4">
        <v>0</v>
      </c>
      <c r="S105" s="6">
        <v>0</v>
      </c>
      <c r="T105" s="6">
        <v>5</v>
      </c>
      <c r="U105" s="6">
        <v>0</v>
      </c>
      <c r="V105" s="6">
        <f>IF(ISERROR(VLOOKUP($S$105,'TAR FIN'!$A$1:$O$104,15,0)),0,VLOOKUP($S$105,'TAR FIN'!$A$1:$O$104,15,0))</f>
        <v>0</v>
      </c>
      <c r="W105" s="6">
        <f>IF(ISERROR(VLOOKUP($T$105,'TAR FIN'!$A$1:$O$104,15,0)),0,VLOOKUP($T$105,'TAR FIN'!$A$1:$O$104,15,0))</f>
        <v>41.95</v>
      </c>
      <c r="X105" s="6">
        <f>IF(ISERROR(VLOOKUP($U$105,'TAR FIN'!$A$1:$O$104,15,0)),0,VLOOKUP($U$105,'TAR FIN'!$A$1:$O$104,15,0))</f>
        <v>0</v>
      </c>
      <c r="Y105" s="6"/>
      <c r="Z105" s="6">
        <f ca="1">('TUSD BE'!$AM$7+'TUSD BF'!$AM$7+'TUSD CVA'!$AM$7)*1</f>
        <v>55.308089175900619</v>
      </c>
      <c r="AA105" s="6"/>
      <c r="AB105" s="6">
        <f>$K$105*$V$105</f>
        <v>0</v>
      </c>
      <c r="AC105" s="6">
        <f>$M$105*$W$105</f>
        <v>1755330.5041499999</v>
      </c>
      <c r="AD105" s="6">
        <f>$O$105*$X$105</f>
        <v>0</v>
      </c>
      <c r="AE105" s="6">
        <f>$K$105*$Y$105</f>
        <v>0</v>
      </c>
      <c r="AF105" s="6">
        <f ca="1">$M$105*$Z$105</f>
        <v>2314278.3326986125</v>
      </c>
      <c r="AG105" s="6">
        <f>$O$105*$AA$105</f>
        <v>0</v>
      </c>
    </row>
    <row r="106" spans="1:33" ht="11.25" customHeight="1" x14ac:dyDescent="0.25">
      <c r="A106" s="4" t="s">
        <v>21</v>
      </c>
      <c r="B106" s="4" t="s">
        <v>39</v>
      </c>
      <c r="C106" s="4" t="s">
        <v>40</v>
      </c>
      <c r="D106" s="4" t="s">
        <v>38</v>
      </c>
      <c r="E106" s="4" t="s">
        <v>25</v>
      </c>
      <c r="F106" s="4" t="s">
        <v>25</v>
      </c>
      <c r="G106" s="4" t="s">
        <v>25</v>
      </c>
      <c r="H106" s="4" t="s">
        <v>25</v>
      </c>
      <c r="I106" s="5">
        <v>44621</v>
      </c>
      <c r="J106" s="6">
        <v>0</v>
      </c>
      <c r="K106" s="6">
        <v>0</v>
      </c>
      <c r="L106" s="6">
        <v>37626.337</v>
      </c>
      <c r="M106" s="6">
        <v>37626.337</v>
      </c>
      <c r="N106" s="6">
        <v>0</v>
      </c>
      <c r="O106" s="6">
        <v>0</v>
      </c>
      <c r="P106" s="6">
        <v>13</v>
      </c>
      <c r="Q106" s="4" t="s">
        <v>58</v>
      </c>
      <c r="R106" s="4">
        <v>0</v>
      </c>
      <c r="S106" s="6">
        <v>0</v>
      </c>
      <c r="T106" s="6">
        <v>5</v>
      </c>
      <c r="U106" s="6">
        <v>0</v>
      </c>
      <c r="V106" s="6">
        <f>IF(ISERROR(VLOOKUP($S$106,'TAR FIN'!$A$1:$O$104,15,0)),0,VLOOKUP($S$106,'TAR FIN'!$A$1:$O$104,15,0))</f>
        <v>0</v>
      </c>
      <c r="W106" s="6">
        <f>IF(ISERROR(VLOOKUP($T$106,'TAR FIN'!$A$1:$O$104,15,0)),0,VLOOKUP($T$106,'TAR FIN'!$A$1:$O$104,15,0))</f>
        <v>41.95</v>
      </c>
      <c r="X106" s="6">
        <f>IF(ISERROR(VLOOKUP($U$106,'TAR FIN'!$A$1:$O$104,15,0)),0,VLOOKUP($U$106,'TAR FIN'!$A$1:$O$104,15,0))</f>
        <v>0</v>
      </c>
      <c r="Y106" s="6"/>
      <c r="Z106" s="6">
        <f ca="1">('TUSD BE'!$AM$7+'TUSD BF'!$AM$7+'TUSD CVA'!$AM$7)*1</f>
        <v>55.308089175900619</v>
      </c>
      <c r="AA106" s="6"/>
      <c r="AB106" s="6">
        <f>$K$106*$V$106</f>
        <v>0</v>
      </c>
      <c r="AC106" s="6">
        <f>$M$106*$W$106</f>
        <v>1578424.83715</v>
      </c>
      <c r="AD106" s="6">
        <f>$O$106*$X$106</f>
        <v>0</v>
      </c>
      <c r="AE106" s="6">
        <f>$K$106*$Y$106</f>
        <v>0</v>
      </c>
      <c r="AF106" s="6">
        <f ca="1">$M$106*$Z$106</f>
        <v>2081040.8021584889</v>
      </c>
      <c r="AG106" s="6">
        <f>$O$106*$AA$106</f>
        <v>0</v>
      </c>
    </row>
    <row r="107" spans="1:33" ht="11.25" customHeight="1" x14ac:dyDescent="0.25">
      <c r="A107" s="4" t="s">
        <v>21</v>
      </c>
      <c r="B107" s="4" t="s">
        <v>39</v>
      </c>
      <c r="C107" s="4" t="s">
        <v>40</v>
      </c>
      <c r="D107" s="4" t="s">
        <v>38</v>
      </c>
      <c r="E107" s="4" t="s">
        <v>25</v>
      </c>
      <c r="F107" s="4" t="s">
        <v>25</v>
      </c>
      <c r="G107" s="4" t="s">
        <v>25</v>
      </c>
      <c r="H107" s="4" t="s">
        <v>25</v>
      </c>
      <c r="I107" s="5">
        <v>44652</v>
      </c>
      <c r="J107" s="6">
        <v>0</v>
      </c>
      <c r="K107" s="6">
        <v>0</v>
      </c>
      <c r="L107" s="6">
        <v>41955.839999999997</v>
      </c>
      <c r="M107" s="6">
        <v>41955.839999999997</v>
      </c>
      <c r="N107" s="6">
        <v>0</v>
      </c>
      <c r="O107" s="6">
        <v>0</v>
      </c>
      <c r="P107" s="6">
        <v>13</v>
      </c>
      <c r="Q107" s="4" t="s">
        <v>58</v>
      </c>
      <c r="R107" s="4">
        <v>0</v>
      </c>
      <c r="S107" s="6">
        <v>0</v>
      </c>
      <c r="T107" s="6">
        <v>5</v>
      </c>
      <c r="U107" s="6">
        <v>0</v>
      </c>
      <c r="V107" s="6">
        <f>IF(ISERROR(VLOOKUP($S$107,'TAR FIN'!$A$1:$O$104,15,0)),0,VLOOKUP($S$107,'TAR FIN'!$A$1:$O$104,15,0))</f>
        <v>0</v>
      </c>
      <c r="W107" s="6">
        <f>IF(ISERROR(VLOOKUP($T$107,'TAR FIN'!$A$1:$O$104,15,0)),0,VLOOKUP($T$107,'TAR FIN'!$A$1:$O$104,15,0))</f>
        <v>41.95</v>
      </c>
      <c r="X107" s="6">
        <f>IF(ISERROR(VLOOKUP($U$107,'TAR FIN'!$A$1:$O$104,15,0)),0,VLOOKUP($U$107,'TAR FIN'!$A$1:$O$104,15,0))</f>
        <v>0</v>
      </c>
      <c r="Y107" s="6"/>
      <c r="Z107" s="6">
        <f ca="1">('TUSD BE'!$AM$7+'TUSD BF'!$AM$7+'TUSD CVA'!$AM$7)*1</f>
        <v>55.308089175900619</v>
      </c>
      <c r="AA107" s="6"/>
      <c r="AB107" s="6">
        <f>$K$107*$V$107</f>
        <v>0</v>
      </c>
      <c r="AC107" s="6">
        <f>$M$107*$W$107</f>
        <v>1760047.4879999999</v>
      </c>
      <c r="AD107" s="6">
        <f>$O$107*$X$107</f>
        <v>0</v>
      </c>
      <c r="AE107" s="6">
        <f>$K$107*$Y$107</f>
        <v>0</v>
      </c>
      <c r="AF107" s="6">
        <f ca="1">$M$107*$Z$107</f>
        <v>2320497.3401698181</v>
      </c>
      <c r="AG107" s="6">
        <f>$O$107*$AA$107</f>
        <v>0</v>
      </c>
    </row>
    <row r="108" spans="1:33" ht="11.25" customHeight="1" x14ac:dyDescent="0.25">
      <c r="A108" s="4" t="s">
        <v>21</v>
      </c>
      <c r="B108" s="4" t="s">
        <v>39</v>
      </c>
      <c r="C108" s="4" t="s">
        <v>40</v>
      </c>
      <c r="D108" s="4" t="s">
        <v>38</v>
      </c>
      <c r="E108" s="4" t="s">
        <v>25</v>
      </c>
      <c r="F108" s="4" t="s">
        <v>25</v>
      </c>
      <c r="G108" s="4" t="s">
        <v>25</v>
      </c>
      <c r="H108" s="4" t="s">
        <v>25</v>
      </c>
      <c r="I108" s="5">
        <v>44682</v>
      </c>
      <c r="J108" s="6">
        <v>0</v>
      </c>
      <c r="K108" s="6">
        <v>0</v>
      </c>
      <c r="L108" s="6">
        <v>40929.413999999997</v>
      </c>
      <c r="M108" s="6">
        <v>40929.413999999997</v>
      </c>
      <c r="N108" s="6">
        <v>0</v>
      </c>
      <c r="O108" s="6">
        <v>0</v>
      </c>
      <c r="P108" s="6">
        <v>13</v>
      </c>
      <c r="Q108" s="4" t="s">
        <v>58</v>
      </c>
      <c r="R108" s="4">
        <v>0</v>
      </c>
      <c r="S108" s="6">
        <v>0</v>
      </c>
      <c r="T108" s="6">
        <v>5</v>
      </c>
      <c r="U108" s="6">
        <v>0</v>
      </c>
      <c r="V108" s="6">
        <f>IF(ISERROR(VLOOKUP($S$108,'TAR FIN'!$A$1:$O$104,15,0)),0,VLOOKUP($S$108,'TAR FIN'!$A$1:$O$104,15,0))</f>
        <v>0</v>
      </c>
      <c r="W108" s="6">
        <f>IF(ISERROR(VLOOKUP($T$108,'TAR FIN'!$A$1:$O$104,15,0)),0,VLOOKUP($T$108,'TAR FIN'!$A$1:$O$104,15,0))</f>
        <v>41.95</v>
      </c>
      <c r="X108" s="6">
        <f>IF(ISERROR(VLOOKUP($U$108,'TAR FIN'!$A$1:$O$104,15,0)),0,VLOOKUP($U$108,'TAR FIN'!$A$1:$O$104,15,0))</f>
        <v>0</v>
      </c>
      <c r="Y108" s="6"/>
      <c r="Z108" s="6">
        <f ca="1">('TUSD BE'!$AM$7+'TUSD BF'!$AM$7+'TUSD CVA'!$AM$7)*1</f>
        <v>55.308089175900619</v>
      </c>
      <c r="AA108" s="6"/>
      <c r="AB108" s="6">
        <f>$K$108*$V$108</f>
        <v>0</v>
      </c>
      <c r="AC108" s="6">
        <f>$M$108*$W$108</f>
        <v>1716988.9173000001</v>
      </c>
      <c r="AD108" s="6">
        <f>$O$108*$X$108</f>
        <v>0</v>
      </c>
      <c r="AE108" s="6">
        <f>$K$108*$Y$108</f>
        <v>0</v>
      </c>
      <c r="AF108" s="6">
        <f ca="1">$M$108*$Z$108</f>
        <v>2263727.6794293551</v>
      </c>
      <c r="AG108" s="6">
        <f>$O$108*$AA$108</f>
        <v>0</v>
      </c>
    </row>
    <row r="109" spans="1:33" ht="11.25" customHeight="1" x14ac:dyDescent="0.25">
      <c r="A109" s="4" t="s">
        <v>21</v>
      </c>
      <c r="B109" s="4" t="s">
        <v>39</v>
      </c>
      <c r="C109" s="4" t="s">
        <v>40</v>
      </c>
      <c r="D109" s="4" t="s">
        <v>38</v>
      </c>
      <c r="E109" s="4" t="s">
        <v>25</v>
      </c>
      <c r="F109" s="4" t="s">
        <v>25</v>
      </c>
      <c r="G109" s="4" t="s">
        <v>25</v>
      </c>
      <c r="H109" s="4" t="s">
        <v>25</v>
      </c>
      <c r="I109" s="5">
        <v>44713</v>
      </c>
      <c r="J109" s="6">
        <v>0</v>
      </c>
      <c r="K109" s="6">
        <v>0</v>
      </c>
      <c r="L109" s="6">
        <v>41451.843999999997</v>
      </c>
      <c r="M109" s="6">
        <v>41451.843999999997</v>
      </c>
      <c r="N109" s="6">
        <v>0</v>
      </c>
      <c r="O109" s="6">
        <v>0</v>
      </c>
      <c r="P109" s="6">
        <v>13</v>
      </c>
      <c r="Q109" s="4" t="s">
        <v>58</v>
      </c>
      <c r="R109" s="4">
        <v>0</v>
      </c>
      <c r="S109" s="6">
        <v>0</v>
      </c>
      <c r="T109" s="6">
        <v>5</v>
      </c>
      <c r="U109" s="6">
        <v>0</v>
      </c>
      <c r="V109" s="6">
        <f>IF(ISERROR(VLOOKUP($S$109,'TAR FIN'!$A$1:$O$104,15,0)),0,VLOOKUP($S$109,'TAR FIN'!$A$1:$O$104,15,0))</f>
        <v>0</v>
      </c>
      <c r="W109" s="6">
        <f>IF(ISERROR(VLOOKUP($T$109,'TAR FIN'!$A$1:$O$104,15,0)),0,VLOOKUP($T$109,'TAR FIN'!$A$1:$O$104,15,0))</f>
        <v>41.95</v>
      </c>
      <c r="X109" s="6">
        <f>IF(ISERROR(VLOOKUP($U$109,'TAR FIN'!$A$1:$O$104,15,0)),0,VLOOKUP($U$109,'TAR FIN'!$A$1:$O$104,15,0))</f>
        <v>0</v>
      </c>
      <c r="Y109" s="6"/>
      <c r="Z109" s="6">
        <f ca="1">('TUSD BE'!$AM$7+'TUSD BF'!$AM$7+'TUSD CVA'!$AM$7)*1</f>
        <v>55.308089175900619</v>
      </c>
      <c r="AA109" s="6"/>
      <c r="AB109" s="6">
        <f>$K$109*$V$109</f>
        <v>0</v>
      </c>
      <c r="AC109" s="6">
        <f>$M$109*$W$109</f>
        <v>1738904.8558</v>
      </c>
      <c r="AD109" s="6">
        <f>$O$109*$X$109</f>
        <v>0</v>
      </c>
      <c r="AE109" s="6">
        <f>$K$109*$Y$109</f>
        <v>0</v>
      </c>
      <c r="AF109" s="6">
        <f ca="1">$M$109*$Z$109</f>
        <v>2292622.284457521</v>
      </c>
      <c r="AG109" s="6">
        <f>$O$109*$AA$109</f>
        <v>0</v>
      </c>
    </row>
    <row r="110" spans="1:33" ht="11.25" customHeight="1" x14ac:dyDescent="0.25">
      <c r="A110" s="4" t="s">
        <v>57</v>
      </c>
      <c r="B110" s="4" t="s">
        <v>39</v>
      </c>
      <c r="C110" s="4" t="s">
        <v>40</v>
      </c>
      <c r="D110" s="4" t="s">
        <v>38</v>
      </c>
      <c r="E110" s="4" t="s">
        <v>25</v>
      </c>
      <c r="F110" s="4" t="s">
        <v>25</v>
      </c>
      <c r="G110" s="4" t="s">
        <v>25</v>
      </c>
      <c r="H110" s="4" t="s">
        <v>25</v>
      </c>
      <c r="I110" s="5">
        <v>44743</v>
      </c>
      <c r="J110" s="6">
        <v>0</v>
      </c>
      <c r="K110" s="6">
        <v>0</v>
      </c>
      <c r="L110" s="6">
        <v>41451.843999999997</v>
      </c>
      <c r="M110" s="6">
        <v>41451.843999999997</v>
      </c>
      <c r="N110" s="6">
        <v>0</v>
      </c>
      <c r="O110" s="6">
        <v>0</v>
      </c>
      <c r="P110" s="6">
        <v>13</v>
      </c>
      <c r="Q110" s="4" t="s">
        <v>58</v>
      </c>
      <c r="R110" s="4">
        <v>0</v>
      </c>
      <c r="S110" s="6">
        <v>0</v>
      </c>
      <c r="T110" s="6">
        <v>5</v>
      </c>
      <c r="U110" s="6">
        <v>0</v>
      </c>
      <c r="V110" s="6">
        <f>IF(ISERROR(VLOOKUP($S$110,'TAR FIN'!$A$1:$O$104,15,0)),0,VLOOKUP($S$110,'TAR FIN'!$A$1:$O$104,15,0))</f>
        <v>0</v>
      </c>
      <c r="W110" s="6">
        <f>IF(ISERROR(VLOOKUP($T$110,'TAR FIN'!$A$1:$O$104,15,0)),0,VLOOKUP($T$110,'TAR FIN'!$A$1:$O$104,15,0))</f>
        <v>41.95</v>
      </c>
      <c r="X110" s="6">
        <f>IF(ISERROR(VLOOKUP($U$110,'TAR FIN'!$A$1:$O$104,15,0)),0,VLOOKUP($U$110,'TAR FIN'!$A$1:$O$104,15,0))</f>
        <v>0</v>
      </c>
      <c r="Y110" s="6"/>
      <c r="Z110" s="6">
        <f ca="1">('TUSD BE'!$AM$7+'TUSD BF'!$AM$7+'TUSD CVA'!$AM$7)*1</f>
        <v>55.308089175900619</v>
      </c>
      <c r="AA110" s="6"/>
      <c r="AB110" s="6">
        <f>$K$110*$V$110</f>
        <v>0</v>
      </c>
      <c r="AC110" s="6">
        <f>$M$110*$W$110</f>
        <v>1738904.8558</v>
      </c>
      <c r="AD110" s="6">
        <f>$O$110*$X$110</f>
        <v>0</v>
      </c>
      <c r="AE110" s="6">
        <f>$K$110*$Y$110</f>
        <v>0</v>
      </c>
      <c r="AF110" s="6">
        <f ca="1">$M$110*$Z$110</f>
        <v>2292622.284457521</v>
      </c>
      <c r="AG110" s="6">
        <f>$O$110*$AA$110</f>
        <v>0</v>
      </c>
    </row>
    <row r="111" spans="1:33" ht="11.25" customHeight="1" x14ac:dyDescent="0.25">
      <c r="A111" s="4" t="s">
        <v>21</v>
      </c>
      <c r="B111" s="4" t="s">
        <v>39</v>
      </c>
      <c r="C111" s="4" t="s">
        <v>40</v>
      </c>
      <c r="D111" s="4" t="s">
        <v>38</v>
      </c>
      <c r="E111" s="4" t="s">
        <v>25</v>
      </c>
      <c r="F111" s="4" t="s">
        <v>25</v>
      </c>
      <c r="G111" s="4" t="s">
        <v>25</v>
      </c>
      <c r="H111" s="4" t="s">
        <v>34</v>
      </c>
      <c r="I111" s="5">
        <v>44409</v>
      </c>
      <c r="J111" s="6">
        <v>7314</v>
      </c>
      <c r="K111" s="6">
        <v>7314</v>
      </c>
      <c r="L111" s="6">
        <v>182.25700000000001</v>
      </c>
      <c r="M111" s="6">
        <v>182.25700000000001</v>
      </c>
      <c r="N111" s="6">
        <v>182.25700000000001</v>
      </c>
      <c r="O111" s="6">
        <v>182.25700000000001</v>
      </c>
      <c r="P111" s="6">
        <v>0</v>
      </c>
      <c r="Q111" s="4" t="s">
        <v>26</v>
      </c>
      <c r="R111" s="4">
        <v>0</v>
      </c>
      <c r="S111" s="6">
        <v>1</v>
      </c>
      <c r="T111" s="6">
        <v>5</v>
      </c>
      <c r="U111" s="6">
        <v>64</v>
      </c>
      <c r="V111" s="6">
        <f>IF(ISERROR(VLOOKUP($S$111,'TAR FIN'!$A$1:$O$104,15,0)),0,VLOOKUP($S$111,'TAR FIN'!$A$1:$O$104,15,0))</f>
        <v>21.48</v>
      </c>
      <c r="W111" s="6">
        <f>IF(ISERROR(VLOOKUP($T$111,'TAR FIN'!$A$1:$O$104,15,0)),0,VLOOKUP($T$111,'TAR FIN'!$A$1:$O$104,15,0))</f>
        <v>41.95</v>
      </c>
      <c r="X111" s="6">
        <f>IF(ISERROR(VLOOKUP($U$111,'TAR FIN'!$A$1:$O$104,15,0)),0,VLOOKUP($U$111,'TAR FIN'!$A$1:$O$104,15,0))</f>
        <v>397.62</v>
      </c>
      <c r="Y111" s="6">
        <f ca="1">('TUSD BE'!$AM$5+'TUSD BF'!$AM$5+'TUSD CVA'!$AM$5)*1</f>
        <v>21.312847359717548</v>
      </c>
      <c r="Z111" s="6">
        <f ca="1">('TUSD BE'!$AM$7+'TUSD BF'!$AM$7+'TUSD CVA'!$AM$7)*1</f>
        <v>55.308089175900619</v>
      </c>
      <c r="AA111" s="6">
        <f>('TE BE'!$AB$5+'TE BF'!$AB$5+'TE CVA'!$AB$5)*1</f>
        <v>360.26029187567116</v>
      </c>
      <c r="AB111" s="6">
        <f>$K$111*$V$111</f>
        <v>157104.72</v>
      </c>
      <c r="AC111" s="6">
        <f>$M$111*$W$111</f>
        <v>7645.6811500000003</v>
      </c>
      <c r="AD111" s="6">
        <f>$O$111*$X$111</f>
        <v>72469.028340000004</v>
      </c>
      <c r="AE111" s="6">
        <f ca="1">$K$111*$Y$111</f>
        <v>155882.16558897414</v>
      </c>
      <c r="AF111" s="6">
        <f ca="1">$M$111*$Z$111</f>
        <v>10080.286408932119</v>
      </c>
      <c r="AG111" s="6">
        <f>$O$111*$AA$111</f>
        <v>65659.960016384197</v>
      </c>
    </row>
    <row r="112" spans="1:33" ht="11.25" customHeight="1" x14ac:dyDescent="0.25">
      <c r="A112" s="4" t="s">
        <v>21</v>
      </c>
      <c r="B112" s="4" t="s">
        <v>39</v>
      </c>
      <c r="C112" s="4" t="s">
        <v>40</v>
      </c>
      <c r="D112" s="4" t="s">
        <v>38</v>
      </c>
      <c r="E112" s="4" t="s">
        <v>25</v>
      </c>
      <c r="F112" s="4" t="s">
        <v>25</v>
      </c>
      <c r="G112" s="4" t="s">
        <v>25</v>
      </c>
      <c r="H112" s="4" t="s">
        <v>34</v>
      </c>
      <c r="I112" s="5">
        <v>44409</v>
      </c>
      <c r="J112" s="6">
        <v>67502</v>
      </c>
      <c r="K112" s="6">
        <v>67502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58</v>
      </c>
      <c r="R112" s="4">
        <v>0</v>
      </c>
      <c r="S112" s="6">
        <v>1</v>
      </c>
      <c r="T112" s="6">
        <v>0</v>
      </c>
      <c r="U112" s="6">
        <v>0</v>
      </c>
      <c r="V112" s="6">
        <f>IF(ISERROR(VLOOKUP($S$112,'TAR FIN'!$A$1:$O$104,15,0)),0,VLOOKUP($S$112,'TAR FIN'!$A$1:$O$104,15,0))</f>
        <v>21.48</v>
      </c>
      <c r="W112" s="6">
        <f>IF(ISERROR(VLOOKUP($T$112,'TAR FIN'!$A$1:$O$104,15,0)),0,VLOOKUP($T$112,'TAR FIN'!$A$1:$O$104,15,0))</f>
        <v>0</v>
      </c>
      <c r="X112" s="6">
        <f>IF(ISERROR(VLOOKUP($U$112,'TAR FIN'!$A$1:$O$104,15,0)),0,VLOOKUP($U$112,'TAR FIN'!$A$1:$O$104,15,0))</f>
        <v>0</v>
      </c>
      <c r="Y112" s="6">
        <f ca="1">('TUSD BE'!$AM$5+'TUSD BF'!$AM$5+'TUSD CVA'!$AM$5)*1</f>
        <v>21.312847359717548</v>
      </c>
      <c r="Z112" s="6">
        <f ca="1">('TUSD BE'!$AM$7+'TUSD BF'!$AM$7+'TUSD CVA'!$AM$7)*1</f>
        <v>55.308089175900619</v>
      </c>
      <c r="AA112" s="6"/>
      <c r="AB112" s="6">
        <f>$K$112*$V$112</f>
        <v>1449942.96</v>
      </c>
      <c r="AC112" s="6">
        <f>$M$112*$W$112</f>
        <v>0</v>
      </c>
      <c r="AD112" s="6">
        <f>$O$112*$X$112</f>
        <v>0</v>
      </c>
      <c r="AE112" s="6">
        <f ca="1">$K$112*$Y$112</f>
        <v>1438659.8224756538</v>
      </c>
      <c r="AF112" s="6">
        <f ca="1">$M$112*$Z$112</f>
        <v>0</v>
      </c>
      <c r="AG112" s="6">
        <f>$O$112*$AA$112</f>
        <v>0</v>
      </c>
    </row>
    <row r="113" spans="1:33" ht="11.25" customHeight="1" x14ac:dyDescent="0.25">
      <c r="A113" s="4" t="s">
        <v>21</v>
      </c>
      <c r="B113" s="4" t="s">
        <v>39</v>
      </c>
      <c r="C113" s="4" t="s">
        <v>40</v>
      </c>
      <c r="D113" s="4" t="s">
        <v>38</v>
      </c>
      <c r="E113" s="4" t="s">
        <v>25</v>
      </c>
      <c r="F113" s="4" t="s">
        <v>25</v>
      </c>
      <c r="G113" s="4" t="s">
        <v>25</v>
      </c>
      <c r="H113" s="4" t="s">
        <v>34</v>
      </c>
      <c r="I113" s="5">
        <v>44440</v>
      </c>
      <c r="J113" s="6">
        <v>6416</v>
      </c>
      <c r="K113" s="6">
        <v>6416</v>
      </c>
      <c r="L113" s="6">
        <v>143.01599999999999</v>
      </c>
      <c r="M113" s="6">
        <v>143.01599999999999</v>
      </c>
      <c r="N113" s="6">
        <v>143.01599999999999</v>
      </c>
      <c r="O113" s="6">
        <v>143.01599999999999</v>
      </c>
      <c r="P113" s="6">
        <v>0</v>
      </c>
      <c r="Q113" s="4" t="s">
        <v>26</v>
      </c>
      <c r="R113" s="4">
        <v>0</v>
      </c>
      <c r="S113" s="6">
        <v>1</v>
      </c>
      <c r="T113" s="6">
        <v>5</v>
      </c>
      <c r="U113" s="6">
        <v>64</v>
      </c>
      <c r="V113" s="6">
        <f>IF(ISERROR(VLOOKUP($S$113,'TAR FIN'!$A$1:$O$104,15,0)),0,VLOOKUP($S$113,'TAR FIN'!$A$1:$O$104,15,0))</f>
        <v>21.48</v>
      </c>
      <c r="W113" s="6">
        <f>IF(ISERROR(VLOOKUP($T$113,'TAR FIN'!$A$1:$O$104,15,0)),0,VLOOKUP($T$113,'TAR FIN'!$A$1:$O$104,15,0))</f>
        <v>41.95</v>
      </c>
      <c r="X113" s="6">
        <f>IF(ISERROR(VLOOKUP($U$113,'TAR FIN'!$A$1:$O$104,15,0)),0,VLOOKUP($U$113,'TAR FIN'!$A$1:$O$104,15,0))</f>
        <v>397.62</v>
      </c>
      <c r="Y113" s="6">
        <f ca="1">('TUSD BE'!$AM$5+'TUSD BF'!$AM$5+'TUSD CVA'!$AM$5)*1</f>
        <v>21.312847359717548</v>
      </c>
      <c r="Z113" s="6">
        <f ca="1">('TUSD BE'!$AM$7+'TUSD BF'!$AM$7+'TUSD CVA'!$AM$7)*1</f>
        <v>55.308089175900619</v>
      </c>
      <c r="AA113" s="6">
        <f>('TE BE'!$AB$5+'TE BF'!$AB$5+'TE CVA'!$AB$5)*1</f>
        <v>360.26029187567116</v>
      </c>
      <c r="AB113" s="6">
        <f>$K$113*$V$113</f>
        <v>137815.67999999999</v>
      </c>
      <c r="AC113" s="6">
        <f>$M$113*$W$113</f>
        <v>5999.5212000000001</v>
      </c>
      <c r="AD113" s="6">
        <f>$O$113*$X$113</f>
        <v>56866.021919999999</v>
      </c>
      <c r="AE113" s="6">
        <f ca="1">$K$113*$Y$113</f>
        <v>136743.22865994778</v>
      </c>
      <c r="AF113" s="6">
        <f ca="1">$M$113*$Z$113</f>
        <v>7909.9416815806026</v>
      </c>
      <c r="AG113" s="6">
        <f>$O$113*$AA$113</f>
        <v>51522.985902890985</v>
      </c>
    </row>
    <row r="114" spans="1:33" ht="11.25" customHeight="1" x14ac:dyDescent="0.25">
      <c r="A114" s="4" t="s">
        <v>21</v>
      </c>
      <c r="B114" s="4" t="s">
        <v>39</v>
      </c>
      <c r="C114" s="4" t="s">
        <v>40</v>
      </c>
      <c r="D114" s="4" t="s">
        <v>38</v>
      </c>
      <c r="E114" s="4" t="s">
        <v>25</v>
      </c>
      <c r="F114" s="4" t="s">
        <v>25</v>
      </c>
      <c r="G114" s="4" t="s">
        <v>25</v>
      </c>
      <c r="H114" s="4" t="s">
        <v>34</v>
      </c>
      <c r="I114" s="5">
        <v>44440</v>
      </c>
      <c r="J114" s="6">
        <v>67579</v>
      </c>
      <c r="K114" s="6">
        <v>67579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58</v>
      </c>
      <c r="R114" s="4">
        <v>0</v>
      </c>
      <c r="S114" s="6">
        <v>1</v>
      </c>
      <c r="T114" s="6">
        <v>0</v>
      </c>
      <c r="U114" s="6">
        <v>0</v>
      </c>
      <c r="V114" s="6">
        <f>IF(ISERROR(VLOOKUP($S$114,'TAR FIN'!$A$1:$O$104,15,0)),0,VLOOKUP($S$114,'TAR FIN'!$A$1:$O$104,15,0))</f>
        <v>21.48</v>
      </c>
      <c r="W114" s="6">
        <f>IF(ISERROR(VLOOKUP($T$114,'TAR FIN'!$A$1:$O$104,15,0)),0,VLOOKUP($T$114,'TAR FIN'!$A$1:$O$104,15,0))</f>
        <v>0</v>
      </c>
      <c r="X114" s="6">
        <f>IF(ISERROR(VLOOKUP($U$114,'TAR FIN'!$A$1:$O$104,15,0)),0,VLOOKUP($U$114,'TAR FIN'!$A$1:$O$104,15,0))</f>
        <v>0</v>
      </c>
      <c r="Y114" s="6">
        <f ca="1">('TUSD BE'!$AM$5+'TUSD BF'!$AM$5+'TUSD CVA'!$AM$5)*1</f>
        <v>21.312847359717548</v>
      </c>
      <c r="Z114" s="6">
        <f ca="1">('TUSD BE'!$AM$7+'TUSD BF'!$AM$7+'TUSD CVA'!$AM$7)*1</f>
        <v>55.308089175900619</v>
      </c>
      <c r="AA114" s="6"/>
      <c r="AB114" s="6">
        <f>$K$114*$V$114</f>
        <v>1451596.92</v>
      </c>
      <c r="AC114" s="6">
        <f>$M$114*$W$114</f>
        <v>0</v>
      </c>
      <c r="AD114" s="6">
        <f>$O$114*$X$114</f>
        <v>0</v>
      </c>
      <c r="AE114" s="6">
        <f ca="1">$K$114*$Y$114</f>
        <v>1440300.9117223523</v>
      </c>
      <c r="AF114" s="6">
        <f ca="1">$M$114*$Z$114</f>
        <v>0</v>
      </c>
      <c r="AG114" s="6">
        <f>$O$114*$AA$114</f>
        <v>0</v>
      </c>
    </row>
    <row r="115" spans="1:33" ht="11.25" customHeight="1" x14ac:dyDescent="0.25">
      <c r="A115" s="4" t="s">
        <v>21</v>
      </c>
      <c r="B115" s="4" t="s">
        <v>39</v>
      </c>
      <c r="C115" s="4" t="s">
        <v>40</v>
      </c>
      <c r="D115" s="4" t="s">
        <v>38</v>
      </c>
      <c r="E115" s="4" t="s">
        <v>25</v>
      </c>
      <c r="F115" s="4" t="s">
        <v>25</v>
      </c>
      <c r="G115" s="4" t="s">
        <v>25</v>
      </c>
      <c r="H115" s="4" t="s">
        <v>34</v>
      </c>
      <c r="I115" s="5">
        <v>44470</v>
      </c>
      <c r="J115" s="6">
        <v>1748</v>
      </c>
      <c r="K115" s="6">
        <v>1748</v>
      </c>
      <c r="L115" s="6">
        <v>29.946999999999999</v>
      </c>
      <c r="M115" s="6">
        <v>29.946999999999999</v>
      </c>
      <c r="N115" s="6">
        <v>29.946999999999999</v>
      </c>
      <c r="O115" s="6">
        <v>29.946999999999999</v>
      </c>
      <c r="P115" s="6">
        <v>0</v>
      </c>
      <c r="Q115" s="4" t="s">
        <v>26</v>
      </c>
      <c r="R115" s="4">
        <v>0</v>
      </c>
      <c r="S115" s="6">
        <v>1</v>
      </c>
      <c r="T115" s="6">
        <v>5</v>
      </c>
      <c r="U115" s="6">
        <v>64</v>
      </c>
      <c r="V115" s="6">
        <f>IF(ISERROR(VLOOKUP($S$115,'TAR FIN'!$A$1:$O$104,15,0)),0,VLOOKUP($S$115,'TAR FIN'!$A$1:$O$104,15,0))</f>
        <v>21.48</v>
      </c>
      <c r="W115" s="6">
        <f>IF(ISERROR(VLOOKUP($T$115,'TAR FIN'!$A$1:$O$104,15,0)),0,VLOOKUP($T$115,'TAR FIN'!$A$1:$O$104,15,0))</f>
        <v>41.95</v>
      </c>
      <c r="X115" s="6">
        <f>IF(ISERROR(VLOOKUP($U$115,'TAR FIN'!$A$1:$O$104,15,0)),0,VLOOKUP($U$115,'TAR FIN'!$A$1:$O$104,15,0))</f>
        <v>397.62</v>
      </c>
      <c r="Y115" s="6">
        <f ca="1">('TUSD BE'!$AM$5+'TUSD BF'!$AM$5+'TUSD CVA'!$AM$5)*1</f>
        <v>21.312847359717548</v>
      </c>
      <c r="Z115" s="6">
        <f ca="1">('TUSD BE'!$AM$7+'TUSD BF'!$AM$7+'TUSD CVA'!$AM$7)*1</f>
        <v>55.308089175900619</v>
      </c>
      <c r="AA115" s="6">
        <f>('TE BE'!$AB$5+'TE BF'!$AB$5+'TE CVA'!$AB$5)*1</f>
        <v>360.26029187567116</v>
      </c>
      <c r="AB115" s="6">
        <f>$K$115*$V$115</f>
        <v>37547.040000000001</v>
      </c>
      <c r="AC115" s="6">
        <f>$M$115*$W$115</f>
        <v>1256.27665</v>
      </c>
      <c r="AD115" s="6">
        <f>$O$115*$X$115</f>
        <v>11907.52614</v>
      </c>
      <c r="AE115" s="6">
        <f ca="1">$K$115*$Y$115</f>
        <v>37254.857184786277</v>
      </c>
      <c r="AF115" s="6">
        <f ca="1">$M$115*$Z$115</f>
        <v>1656.3113465506958</v>
      </c>
      <c r="AG115" s="6">
        <f>$O$115*$AA$115</f>
        <v>10788.714960800724</v>
      </c>
    </row>
    <row r="116" spans="1:33" ht="11.25" customHeight="1" x14ac:dyDescent="0.25">
      <c r="A116" s="4" t="s">
        <v>21</v>
      </c>
      <c r="B116" s="4" t="s">
        <v>39</v>
      </c>
      <c r="C116" s="4" t="s">
        <v>40</v>
      </c>
      <c r="D116" s="4" t="s">
        <v>38</v>
      </c>
      <c r="E116" s="4" t="s">
        <v>25</v>
      </c>
      <c r="F116" s="4" t="s">
        <v>25</v>
      </c>
      <c r="G116" s="4" t="s">
        <v>25</v>
      </c>
      <c r="H116" s="4" t="s">
        <v>34</v>
      </c>
      <c r="I116" s="5">
        <v>44470</v>
      </c>
      <c r="J116" s="6">
        <v>67969</v>
      </c>
      <c r="K116" s="6">
        <v>67969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58</v>
      </c>
      <c r="R116" s="4">
        <v>0</v>
      </c>
      <c r="S116" s="6">
        <v>1</v>
      </c>
      <c r="T116" s="6">
        <v>0</v>
      </c>
      <c r="U116" s="6">
        <v>0</v>
      </c>
      <c r="V116" s="6">
        <f>IF(ISERROR(VLOOKUP($S$116,'TAR FIN'!$A$1:$O$104,15,0)),0,VLOOKUP($S$116,'TAR FIN'!$A$1:$O$104,15,0))</f>
        <v>21.48</v>
      </c>
      <c r="W116" s="6">
        <f>IF(ISERROR(VLOOKUP($T$116,'TAR FIN'!$A$1:$O$104,15,0)),0,VLOOKUP($T$116,'TAR FIN'!$A$1:$O$104,15,0))</f>
        <v>0</v>
      </c>
      <c r="X116" s="6">
        <f>IF(ISERROR(VLOOKUP($U$116,'TAR FIN'!$A$1:$O$104,15,0)),0,VLOOKUP($U$116,'TAR FIN'!$A$1:$O$104,15,0))</f>
        <v>0</v>
      </c>
      <c r="Y116" s="6">
        <f ca="1">('TUSD BE'!$AM$5+'TUSD BF'!$AM$5+'TUSD CVA'!$AM$5)*1</f>
        <v>21.312847359717548</v>
      </c>
      <c r="Z116" s="6">
        <f ca="1">('TUSD BE'!$AM$7+'TUSD BF'!$AM$7+'TUSD CVA'!$AM$7)*1</f>
        <v>55.308089175900619</v>
      </c>
      <c r="AA116" s="6"/>
      <c r="AB116" s="6">
        <f>$K$116*$V$116</f>
        <v>1459974.12</v>
      </c>
      <c r="AC116" s="6">
        <f>$M$116*$W$116</f>
        <v>0</v>
      </c>
      <c r="AD116" s="6">
        <f>$O$116*$X$116</f>
        <v>0</v>
      </c>
      <c r="AE116" s="6">
        <f ca="1">$K$116*$Y$116</f>
        <v>1448612.922192642</v>
      </c>
      <c r="AF116" s="6">
        <f ca="1">$M$116*$Z$116</f>
        <v>0</v>
      </c>
      <c r="AG116" s="6">
        <f>$O$116*$AA$116</f>
        <v>0</v>
      </c>
    </row>
    <row r="117" spans="1:33" ht="11.25" customHeight="1" x14ac:dyDescent="0.25">
      <c r="A117" s="4" t="s">
        <v>21</v>
      </c>
      <c r="B117" s="4" t="s">
        <v>39</v>
      </c>
      <c r="C117" s="4" t="s">
        <v>40</v>
      </c>
      <c r="D117" s="4" t="s">
        <v>38</v>
      </c>
      <c r="E117" s="4" t="s">
        <v>25</v>
      </c>
      <c r="F117" s="4" t="s">
        <v>25</v>
      </c>
      <c r="G117" s="4" t="s">
        <v>25</v>
      </c>
      <c r="H117" s="4" t="s">
        <v>34</v>
      </c>
      <c r="I117" s="5">
        <v>44501</v>
      </c>
      <c r="J117" s="6">
        <v>1748</v>
      </c>
      <c r="K117" s="6">
        <v>1748</v>
      </c>
      <c r="L117" s="6">
        <v>160.47</v>
      </c>
      <c r="M117" s="6">
        <v>160.47</v>
      </c>
      <c r="N117" s="6">
        <v>160.47</v>
      </c>
      <c r="O117" s="6">
        <v>160.47</v>
      </c>
      <c r="P117" s="6">
        <v>0</v>
      </c>
      <c r="Q117" s="4" t="s">
        <v>26</v>
      </c>
      <c r="R117" s="4">
        <v>0</v>
      </c>
      <c r="S117" s="6">
        <v>1</v>
      </c>
      <c r="T117" s="6">
        <v>5</v>
      </c>
      <c r="U117" s="6">
        <v>64</v>
      </c>
      <c r="V117" s="6">
        <f>IF(ISERROR(VLOOKUP($S$117,'TAR FIN'!$A$1:$O$104,15,0)),0,VLOOKUP($S$117,'TAR FIN'!$A$1:$O$104,15,0))</f>
        <v>21.48</v>
      </c>
      <c r="W117" s="6">
        <f>IF(ISERROR(VLOOKUP($T$117,'TAR FIN'!$A$1:$O$104,15,0)),0,VLOOKUP($T$117,'TAR FIN'!$A$1:$O$104,15,0))</f>
        <v>41.95</v>
      </c>
      <c r="X117" s="6">
        <f>IF(ISERROR(VLOOKUP($U$117,'TAR FIN'!$A$1:$O$104,15,0)),0,VLOOKUP($U$117,'TAR FIN'!$A$1:$O$104,15,0))</f>
        <v>397.62</v>
      </c>
      <c r="Y117" s="6">
        <f ca="1">('TUSD BE'!$AM$5+'TUSD BF'!$AM$5+'TUSD CVA'!$AM$5)*1</f>
        <v>21.312847359717548</v>
      </c>
      <c r="Z117" s="6">
        <f ca="1">('TUSD BE'!$AM$7+'TUSD BF'!$AM$7+'TUSD CVA'!$AM$7)*1</f>
        <v>55.308089175900619</v>
      </c>
      <c r="AA117" s="6">
        <f>('TE BE'!$AB$5+'TE BF'!$AB$5+'TE CVA'!$AB$5)*1</f>
        <v>360.26029187567116</v>
      </c>
      <c r="AB117" s="6">
        <f>$K$117*$V$117</f>
        <v>37547.040000000001</v>
      </c>
      <c r="AC117" s="6">
        <f>$M$117*$W$117</f>
        <v>6731.7165000000005</v>
      </c>
      <c r="AD117" s="6">
        <f>$O$117*$X$117</f>
        <v>63806.081400000003</v>
      </c>
      <c r="AE117" s="6">
        <f ca="1">$K$117*$Y$117</f>
        <v>37254.857184786277</v>
      </c>
      <c r="AF117" s="6">
        <f ca="1">$M$117*$Z$117</f>
        <v>8875.2890700567732</v>
      </c>
      <c r="AG117" s="6">
        <f>$O$117*$AA$117</f>
        <v>57810.969037288953</v>
      </c>
    </row>
    <row r="118" spans="1:33" ht="11.25" customHeight="1" x14ac:dyDescent="0.25">
      <c r="A118" s="4" t="s">
        <v>21</v>
      </c>
      <c r="B118" s="4" t="s">
        <v>39</v>
      </c>
      <c r="C118" s="4" t="s">
        <v>40</v>
      </c>
      <c r="D118" s="4" t="s">
        <v>38</v>
      </c>
      <c r="E118" s="4" t="s">
        <v>25</v>
      </c>
      <c r="F118" s="4" t="s">
        <v>25</v>
      </c>
      <c r="G118" s="4" t="s">
        <v>25</v>
      </c>
      <c r="H118" s="4" t="s">
        <v>34</v>
      </c>
      <c r="I118" s="5">
        <v>44501</v>
      </c>
      <c r="J118" s="6">
        <v>68142</v>
      </c>
      <c r="K118" s="6">
        <v>68142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58</v>
      </c>
      <c r="R118" s="4">
        <v>0</v>
      </c>
      <c r="S118" s="6">
        <v>1</v>
      </c>
      <c r="T118" s="6">
        <v>0</v>
      </c>
      <c r="U118" s="6">
        <v>0</v>
      </c>
      <c r="V118" s="6">
        <f>IF(ISERROR(VLOOKUP($S$118,'TAR FIN'!$A$1:$O$104,15,0)),0,VLOOKUP($S$118,'TAR FIN'!$A$1:$O$104,15,0))</f>
        <v>21.48</v>
      </c>
      <c r="W118" s="6">
        <f>IF(ISERROR(VLOOKUP($T$118,'TAR FIN'!$A$1:$O$104,15,0)),0,VLOOKUP($T$118,'TAR FIN'!$A$1:$O$104,15,0))</f>
        <v>0</v>
      </c>
      <c r="X118" s="6">
        <f>IF(ISERROR(VLOOKUP($U$118,'TAR FIN'!$A$1:$O$104,15,0)),0,VLOOKUP($U$118,'TAR FIN'!$A$1:$O$104,15,0))</f>
        <v>0</v>
      </c>
      <c r="Y118" s="6">
        <f ca="1">('TUSD BE'!$AM$5+'TUSD BF'!$AM$5+'TUSD CVA'!$AM$5)*1</f>
        <v>21.312847359717548</v>
      </c>
      <c r="Z118" s="6">
        <f ca="1">('TUSD BE'!$AM$7+'TUSD BF'!$AM$7+'TUSD CVA'!$AM$7)*1</f>
        <v>55.308089175900619</v>
      </c>
      <c r="AA118" s="6"/>
      <c r="AB118" s="6">
        <f>$K$118*$V$118</f>
        <v>1463690.16</v>
      </c>
      <c r="AC118" s="6">
        <f>$M$118*$W$118</f>
        <v>0</v>
      </c>
      <c r="AD118" s="6">
        <f>$O$118*$X$118</f>
        <v>0</v>
      </c>
      <c r="AE118" s="6">
        <f ca="1">$K$118*$Y$118</f>
        <v>1452300.044785873</v>
      </c>
      <c r="AF118" s="6">
        <f ca="1">$M$118*$Z$118</f>
        <v>0</v>
      </c>
      <c r="AG118" s="6">
        <f>$O$118*$AA$118</f>
        <v>0</v>
      </c>
    </row>
    <row r="119" spans="1:33" ht="11.25" customHeight="1" x14ac:dyDescent="0.25">
      <c r="A119" s="4" t="s">
        <v>21</v>
      </c>
      <c r="B119" s="4" t="s">
        <v>39</v>
      </c>
      <c r="C119" s="4" t="s">
        <v>40</v>
      </c>
      <c r="D119" s="4" t="s">
        <v>38</v>
      </c>
      <c r="E119" s="4" t="s">
        <v>25</v>
      </c>
      <c r="F119" s="4" t="s">
        <v>25</v>
      </c>
      <c r="G119" s="4" t="s">
        <v>25</v>
      </c>
      <c r="H119" s="4" t="s">
        <v>34</v>
      </c>
      <c r="I119" s="5">
        <v>44531</v>
      </c>
      <c r="J119" s="6">
        <v>1731</v>
      </c>
      <c r="K119" s="6">
        <v>1731</v>
      </c>
      <c r="L119" s="6">
        <v>53.613999999999997</v>
      </c>
      <c r="M119" s="6">
        <v>53.613999999999997</v>
      </c>
      <c r="N119" s="6">
        <v>53.613999999999997</v>
      </c>
      <c r="O119" s="6">
        <v>53.613999999999997</v>
      </c>
      <c r="P119" s="6">
        <v>0</v>
      </c>
      <c r="Q119" s="4" t="s">
        <v>26</v>
      </c>
      <c r="R119" s="4">
        <v>0</v>
      </c>
      <c r="S119" s="6">
        <v>1</v>
      </c>
      <c r="T119" s="6">
        <v>5</v>
      </c>
      <c r="U119" s="6">
        <v>64</v>
      </c>
      <c r="V119" s="6">
        <f>IF(ISERROR(VLOOKUP($S$119,'TAR FIN'!$A$1:$O$104,15,0)),0,VLOOKUP($S$119,'TAR FIN'!$A$1:$O$104,15,0))</f>
        <v>21.48</v>
      </c>
      <c r="W119" s="6">
        <f>IF(ISERROR(VLOOKUP($T$119,'TAR FIN'!$A$1:$O$104,15,0)),0,VLOOKUP($T$119,'TAR FIN'!$A$1:$O$104,15,0))</f>
        <v>41.95</v>
      </c>
      <c r="X119" s="6">
        <f>IF(ISERROR(VLOOKUP($U$119,'TAR FIN'!$A$1:$O$104,15,0)),0,VLOOKUP($U$119,'TAR FIN'!$A$1:$O$104,15,0))</f>
        <v>397.62</v>
      </c>
      <c r="Y119" s="6">
        <f ca="1">('TUSD BE'!$AM$5+'TUSD BF'!$AM$5+'TUSD CVA'!$AM$5)*1</f>
        <v>21.312847359717548</v>
      </c>
      <c r="Z119" s="6">
        <f ca="1">('TUSD BE'!$AM$7+'TUSD BF'!$AM$7+'TUSD CVA'!$AM$7)*1</f>
        <v>55.308089175900619</v>
      </c>
      <c r="AA119" s="6">
        <f>('TE BE'!$AB$5+'TE BF'!$AB$5+'TE CVA'!$AB$5)*1</f>
        <v>360.26029187567116</v>
      </c>
      <c r="AB119" s="6">
        <f>$K$119*$V$119</f>
        <v>37181.879999999997</v>
      </c>
      <c r="AC119" s="6">
        <f>$M$119*$W$119</f>
        <v>2249.1073000000001</v>
      </c>
      <c r="AD119" s="6">
        <f>$O$119*$X$119</f>
        <v>21317.998680000001</v>
      </c>
      <c r="AE119" s="6">
        <f ca="1">$K$119*$Y$119</f>
        <v>36892.538779671078</v>
      </c>
      <c r="AF119" s="6">
        <f ca="1">$M$119*$Z$119</f>
        <v>2965.2878930767356</v>
      </c>
      <c r="AG119" s="6">
        <f>$O$119*$AA$119</f>
        <v>19314.995288622231</v>
      </c>
    </row>
    <row r="120" spans="1:33" ht="11.25" customHeight="1" x14ac:dyDescent="0.25">
      <c r="A120" s="4" t="s">
        <v>21</v>
      </c>
      <c r="B120" s="4" t="s">
        <v>39</v>
      </c>
      <c r="C120" s="4" t="s">
        <v>40</v>
      </c>
      <c r="D120" s="4" t="s">
        <v>38</v>
      </c>
      <c r="E120" s="4" t="s">
        <v>25</v>
      </c>
      <c r="F120" s="4" t="s">
        <v>25</v>
      </c>
      <c r="G120" s="4" t="s">
        <v>25</v>
      </c>
      <c r="H120" s="4" t="s">
        <v>34</v>
      </c>
      <c r="I120" s="5">
        <v>44531</v>
      </c>
      <c r="J120" s="6">
        <v>69631</v>
      </c>
      <c r="K120" s="6">
        <v>69631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58</v>
      </c>
      <c r="R120" s="4">
        <v>0</v>
      </c>
      <c r="S120" s="6">
        <v>1</v>
      </c>
      <c r="T120" s="6">
        <v>0</v>
      </c>
      <c r="U120" s="6">
        <v>0</v>
      </c>
      <c r="V120" s="6">
        <f>IF(ISERROR(VLOOKUP($S$120,'TAR FIN'!$A$1:$O$104,15,0)),0,VLOOKUP($S$120,'TAR FIN'!$A$1:$O$104,15,0))</f>
        <v>21.48</v>
      </c>
      <c r="W120" s="6">
        <f>IF(ISERROR(VLOOKUP($T$120,'TAR FIN'!$A$1:$O$104,15,0)),0,VLOOKUP($T$120,'TAR FIN'!$A$1:$O$104,15,0))</f>
        <v>0</v>
      </c>
      <c r="X120" s="6">
        <f>IF(ISERROR(VLOOKUP($U$120,'TAR FIN'!$A$1:$O$104,15,0)),0,VLOOKUP($U$120,'TAR FIN'!$A$1:$O$104,15,0))</f>
        <v>0</v>
      </c>
      <c r="Y120" s="6">
        <f ca="1">('TUSD BE'!$AM$5+'TUSD BF'!$AM$5+'TUSD CVA'!$AM$5)*1</f>
        <v>21.312847359717548</v>
      </c>
      <c r="Z120" s="6">
        <f ca="1">('TUSD BE'!$AM$7+'TUSD BF'!$AM$7+'TUSD CVA'!$AM$7)*1</f>
        <v>55.308089175900619</v>
      </c>
      <c r="AA120" s="6"/>
      <c r="AB120" s="6">
        <f>$K$120*$V$120</f>
        <v>1495673.8800000001</v>
      </c>
      <c r="AC120" s="6">
        <f>$M$120*$W$120</f>
        <v>0</v>
      </c>
      <c r="AD120" s="6">
        <f>$O$120*$X$120</f>
        <v>0</v>
      </c>
      <c r="AE120" s="6">
        <f ca="1">$K$120*$Y$120</f>
        <v>1484034.8745044926</v>
      </c>
      <c r="AF120" s="6">
        <f ca="1">$M$120*$Z$120</f>
        <v>0</v>
      </c>
      <c r="AG120" s="6">
        <f>$O$120*$AA$120</f>
        <v>0</v>
      </c>
    </row>
    <row r="121" spans="1:33" ht="11.25" customHeight="1" x14ac:dyDescent="0.25">
      <c r="A121" s="4" t="s">
        <v>21</v>
      </c>
      <c r="B121" s="4" t="s">
        <v>39</v>
      </c>
      <c r="C121" s="4" t="s">
        <v>40</v>
      </c>
      <c r="D121" s="4" t="s">
        <v>38</v>
      </c>
      <c r="E121" s="4" t="s">
        <v>25</v>
      </c>
      <c r="F121" s="4" t="s">
        <v>25</v>
      </c>
      <c r="G121" s="4" t="s">
        <v>25</v>
      </c>
      <c r="H121" s="4" t="s">
        <v>34</v>
      </c>
      <c r="I121" s="5">
        <v>44562</v>
      </c>
      <c r="J121" s="6">
        <v>2514</v>
      </c>
      <c r="K121" s="6">
        <v>2514</v>
      </c>
      <c r="L121" s="6">
        <v>78.617999999999995</v>
      </c>
      <c r="M121" s="6">
        <v>78.617999999999995</v>
      </c>
      <c r="N121" s="6">
        <v>78.617999999999995</v>
      </c>
      <c r="O121" s="6">
        <v>78.617999999999995</v>
      </c>
      <c r="P121" s="6">
        <v>0</v>
      </c>
      <c r="Q121" s="4" t="s">
        <v>26</v>
      </c>
      <c r="R121" s="4">
        <v>0</v>
      </c>
      <c r="S121" s="6">
        <v>1</v>
      </c>
      <c r="T121" s="6">
        <v>5</v>
      </c>
      <c r="U121" s="6">
        <v>64</v>
      </c>
      <c r="V121" s="6">
        <f>IF(ISERROR(VLOOKUP($S$121,'TAR FIN'!$A$1:$O$104,15,0)),0,VLOOKUP($S$121,'TAR FIN'!$A$1:$O$104,15,0))</f>
        <v>21.48</v>
      </c>
      <c r="W121" s="6">
        <f>IF(ISERROR(VLOOKUP($T$121,'TAR FIN'!$A$1:$O$104,15,0)),0,VLOOKUP($T$121,'TAR FIN'!$A$1:$O$104,15,0))</f>
        <v>41.95</v>
      </c>
      <c r="X121" s="6">
        <f>IF(ISERROR(VLOOKUP($U$121,'TAR FIN'!$A$1:$O$104,15,0)),0,VLOOKUP($U$121,'TAR FIN'!$A$1:$O$104,15,0))</f>
        <v>397.62</v>
      </c>
      <c r="Y121" s="6">
        <f ca="1">('TUSD BE'!$AM$5+'TUSD BF'!$AM$5+'TUSD CVA'!$AM$5)*1</f>
        <v>21.312847359717548</v>
      </c>
      <c r="Z121" s="6">
        <f ca="1">('TUSD BE'!$AM$7+'TUSD BF'!$AM$7+'TUSD CVA'!$AM$7)*1</f>
        <v>55.308089175900619</v>
      </c>
      <c r="AA121" s="6">
        <f>('TE BE'!$AB$5+'TE BF'!$AB$5+'TE CVA'!$AB$5)*1</f>
        <v>360.26029187567116</v>
      </c>
      <c r="AB121" s="6">
        <f>$K$121*$V$121</f>
        <v>54000.72</v>
      </c>
      <c r="AC121" s="6">
        <f>$M$121*$W$121</f>
        <v>3298.0250999999998</v>
      </c>
      <c r="AD121" s="6">
        <f>$O$121*$X$121</f>
        <v>31260.08916</v>
      </c>
      <c r="AE121" s="6">
        <f ca="1">$K$121*$Y$121</f>
        <v>53580.498262329915</v>
      </c>
      <c r="AF121" s="6">
        <f ca="1">$M$121*$Z$121</f>
        <v>4348.2113548309544</v>
      </c>
      <c r="AG121" s="6">
        <f>$O$121*$AA$121</f>
        <v>28322.943626681514</v>
      </c>
    </row>
    <row r="122" spans="1:33" ht="11.25" customHeight="1" x14ac:dyDescent="0.25">
      <c r="A122" s="4" t="s">
        <v>27</v>
      </c>
      <c r="B122" s="4" t="s">
        <v>39</v>
      </c>
      <c r="C122" s="4" t="s">
        <v>40</v>
      </c>
      <c r="D122" s="4" t="s">
        <v>38</v>
      </c>
      <c r="E122" s="4" t="s">
        <v>25</v>
      </c>
      <c r="F122" s="4" t="s">
        <v>25</v>
      </c>
      <c r="G122" s="4" t="s">
        <v>25</v>
      </c>
      <c r="H122" s="4" t="s">
        <v>34</v>
      </c>
      <c r="I122" s="5">
        <v>44562</v>
      </c>
      <c r="J122" s="6">
        <v>0</v>
      </c>
      <c r="K122" s="6">
        <v>0</v>
      </c>
      <c r="L122" s="6">
        <v>0.97399999999999998</v>
      </c>
      <c r="M122" s="6">
        <v>0.97399999999999998</v>
      </c>
      <c r="N122" s="6">
        <v>0.97399999999999998</v>
      </c>
      <c r="O122" s="6">
        <v>0.97399999999999998</v>
      </c>
      <c r="P122" s="6">
        <v>0</v>
      </c>
      <c r="Q122" s="4" t="s">
        <v>26</v>
      </c>
      <c r="R122" s="4">
        <v>0</v>
      </c>
      <c r="S122" s="6">
        <v>0</v>
      </c>
      <c r="T122" s="6">
        <v>5</v>
      </c>
      <c r="U122" s="6">
        <v>64</v>
      </c>
      <c r="V122" s="6">
        <f>IF(ISERROR(VLOOKUP($S$122,'TAR FIN'!$A$1:$O$104,15,0)),0,VLOOKUP($S$122,'TAR FIN'!$A$1:$O$104,15,0))</f>
        <v>0</v>
      </c>
      <c r="W122" s="6">
        <f>IF(ISERROR(VLOOKUP($T$122,'TAR FIN'!$A$1:$O$104,15,0)),0,VLOOKUP($T$122,'TAR FIN'!$A$1:$O$104,15,0))</f>
        <v>41.95</v>
      </c>
      <c r="X122" s="6">
        <f>IF(ISERROR(VLOOKUP($U$122,'TAR FIN'!$A$1:$O$104,15,0)),0,VLOOKUP($U$122,'TAR FIN'!$A$1:$O$104,15,0))</f>
        <v>397.62</v>
      </c>
      <c r="Y122" s="6">
        <f ca="1">('TUSD BE'!$AM$5+'TUSD BF'!$AM$5+'TUSD CVA'!$AM$5)*1</f>
        <v>21.312847359717548</v>
      </c>
      <c r="Z122" s="6">
        <f ca="1">('TUSD BE'!$AM$7+'TUSD BF'!$AM$7+'TUSD CVA'!$AM$7)*1</f>
        <v>55.308089175900619</v>
      </c>
      <c r="AA122" s="6">
        <f>('TE BE'!$AB$5+'TE BF'!$AB$5+'TE CVA'!$AB$5)*1</f>
        <v>360.26029187567116</v>
      </c>
      <c r="AB122" s="6">
        <f>$K$122*$V$122</f>
        <v>0</v>
      </c>
      <c r="AC122" s="6">
        <f>$M$122*$W$122</f>
        <v>40.859300000000005</v>
      </c>
      <c r="AD122" s="6">
        <f>$O$122*$X$122</f>
        <v>387.28188</v>
      </c>
      <c r="AE122" s="6">
        <f ca="1">$K$122*$Y$122</f>
        <v>0</v>
      </c>
      <c r="AF122" s="6">
        <f ca="1">$M$122*$Z$122</f>
        <v>53.870078857327201</v>
      </c>
      <c r="AG122" s="6">
        <f>$O$122*$AA$122</f>
        <v>350.8935242869037</v>
      </c>
    </row>
    <row r="123" spans="1:33" ht="11.25" customHeight="1" x14ac:dyDescent="0.25">
      <c r="A123" s="4" t="s">
        <v>21</v>
      </c>
      <c r="B123" s="4" t="s">
        <v>39</v>
      </c>
      <c r="C123" s="4" t="s">
        <v>40</v>
      </c>
      <c r="D123" s="4" t="s">
        <v>38</v>
      </c>
      <c r="E123" s="4" t="s">
        <v>25</v>
      </c>
      <c r="F123" s="4" t="s">
        <v>25</v>
      </c>
      <c r="G123" s="4" t="s">
        <v>25</v>
      </c>
      <c r="H123" s="4" t="s">
        <v>34</v>
      </c>
      <c r="I123" s="5">
        <v>44562</v>
      </c>
      <c r="J123" s="6">
        <v>67548</v>
      </c>
      <c r="K123" s="6">
        <v>67548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58</v>
      </c>
      <c r="R123" s="4">
        <v>0</v>
      </c>
      <c r="S123" s="6">
        <v>1</v>
      </c>
      <c r="T123" s="6">
        <v>0</v>
      </c>
      <c r="U123" s="6">
        <v>0</v>
      </c>
      <c r="V123" s="6">
        <f>IF(ISERROR(VLOOKUP($S$123,'TAR FIN'!$A$1:$O$104,15,0)),0,VLOOKUP($S$123,'TAR FIN'!$A$1:$O$104,15,0))</f>
        <v>21.48</v>
      </c>
      <c r="W123" s="6">
        <f>IF(ISERROR(VLOOKUP($T$123,'TAR FIN'!$A$1:$O$104,15,0)),0,VLOOKUP($T$123,'TAR FIN'!$A$1:$O$104,15,0))</f>
        <v>0</v>
      </c>
      <c r="X123" s="6">
        <f>IF(ISERROR(VLOOKUP($U$123,'TAR FIN'!$A$1:$O$104,15,0)),0,VLOOKUP($U$123,'TAR FIN'!$A$1:$O$104,15,0))</f>
        <v>0</v>
      </c>
      <c r="Y123" s="6">
        <f ca="1">('TUSD BE'!$AM$5+'TUSD BF'!$AM$5+'TUSD CVA'!$AM$5)*1</f>
        <v>21.312847359717548</v>
      </c>
      <c r="Z123" s="6">
        <f ca="1">('TUSD BE'!$AM$7+'TUSD BF'!$AM$7+'TUSD CVA'!$AM$7)*1</f>
        <v>55.308089175900619</v>
      </c>
      <c r="AA123" s="6"/>
      <c r="AB123" s="6">
        <f>$K$123*$V$123</f>
        <v>1450931.04</v>
      </c>
      <c r="AC123" s="6">
        <f>$M$123*$W$123</f>
        <v>0</v>
      </c>
      <c r="AD123" s="6">
        <f>$O$123*$X$123</f>
        <v>0</v>
      </c>
      <c r="AE123" s="6">
        <f ca="1">$K$123*$Y$123</f>
        <v>1439640.2134542009</v>
      </c>
      <c r="AF123" s="6">
        <f ca="1">$M$123*$Z$123</f>
        <v>0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39</v>
      </c>
      <c r="C124" s="4" t="s">
        <v>40</v>
      </c>
      <c r="D124" s="4" t="s">
        <v>38</v>
      </c>
      <c r="E124" s="4" t="s">
        <v>25</v>
      </c>
      <c r="F124" s="4" t="s">
        <v>25</v>
      </c>
      <c r="G124" s="4" t="s">
        <v>25</v>
      </c>
      <c r="H124" s="4" t="s">
        <v>34</v>
      </c>
      <c r="I124" s="5">
        <v>44593</v>
      </c>
      <c r="J124" s="6">
        <v>2225</v>
      </c>
      <c r="K124" s="6">
        <v>2225</v>
      </c>
      <c r="L124" s="6">
        <v>74.215999999999994</v>
      </c>
      <c r="M124" s="6">
        <v>74.215999999999994</v>
      </c>
      <c r="N124" s="6">
        <v>74.215999999999994</v>
      </c>
      <c r="O124" s="6">
        <v>74.215999999999994</v>
      </c>
      <c r="P124" s="6">
        <v>0</v>
      </c>
      <c r="Q124" s="4" t="s">
        <v>26</v>
      </c>
      <c r="R124" s="4">
        <v>0</v>
      </c>
      <c r="S124" s="6">
        <v>1</v>
      </c>
      <c r="T124" s="6">
        <v>5</v>
      </c>
      <c r="U124" s="6">
        <v>64</v>
      </c>
      <c r="V124" s="6">
        <f>IF(ISERROR(VLOOKUP($S$124,'TAR FIN'!$A$1:$O$104,15,0)),0,VLOOKUP($S$124,'TAR FIN'!$A$1:$O$104,15,0))</f>
        <v>21.48</v>
      </c>
      <c r="W124" s="6">
        <f>IF(ISERROR(VLOOKUP($T$124,'TAR FIN'!$A$1:$O$104,15,0)),0,VLOOKUP($T$124,'TAR FIN'!$A$1:$O$104,15,0))</f>
        <v>41.95</v>
      </c>
      <c r="X124" s="6">
        <f>IF(ISERROR(VLOOKUP($U$124,'TAR FIN'!$A$1:$O$104,15,0)),0,VLOOKUP($U$124,'TAR FIN'!$A$1:$O$104,15,0))</f>
        <v>397.62</v>
      </c>
      <c r="Y124" s="6">
        <f ca="1">('TUSD BE'!$AM$5+'TUSD BF'!$AM$5+'TUSD CVA'!$AM$5)*1</f>
        <v>21.312847359717548</v>
      </c>
      <c r="Z124" s="6">
        <f ca="1">('TUSD BE'!$AM$7+'TUSD BF'!$AM$7+'TUSD CVA'!$AM$7)*1</f>
        <v>55.308089175900619</v>
      </c>
      <c r="AA124" s="6">
        <f>('TE BE'!$AB$5+'TE BF'!$AB$5+'TE CVA'!$AB$5)*1</f>
        <v>360.26029187567116</v>
      </c>
      <c r="AB124" s="6">
        <f>$K$124*$V$124</f>
        <v>47793</v>
      </c>
      <c r="AC124" s="6">
        <f>$M$124*$W$124</f>
        <v>3113.3611999999998</v>
      </c>
      <c r="AD124" s="6">
        <f>$O$124*$X$124</f>
        <v>29509.765919999998</v>
      </c>
      <c r="AE124" s="6">
        <f ca="1">$K$124*$Y$124</f>
        <v>47421.085375371542</v>
      </c>
      <c r="AF124" s="6">
        <f ca="1">$M$124*$Z$124</f>
        <v>4104.7451462786403</v>
      </c>
      <c r="AG124" s="6">
        <f>$O$124*$AA$124</f>
        <v>26737.077821844807</v>
      </c>
    </row>
    <row r="125" spans="1:33" ht="11.25" customHeight="1" x14ac:dyDescent="0.25">
      <c r="A125" s="4" t="s">
        <v>21</v>
      </c>
      <c r="B125" s="4" t="s">
        <v>39</v>
      </c>
      <c r="C125" s="4" t="s">
        <v>40</v>
      </c>
      <c r="D125" s="4" t="s">
        <v>38</v>
      </c>
      <c r="E125" s="4" t="s">
        <v>25</v>
      </c>
      <c r="F125" s="4" t="s">
        <v>25</v>
      </c>
      <c r="G125" s="4" t="s">
        <v>25</v>
      </c>
      <c r="H125" s="4" t="s">
        <v>34</v>
      </c>
      <c r="I125" s="5">
        <v>44593</v>
      </c>
      <c r="J125" s="6">
        <v>67343</v>
      </c>
      <c r="K125" s="6">
        <v>67343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58</v>
      </c>
      <c r="R125" s="4">
        <v>0</v>
      </c>
      <c r="S125" s="6">
        <v>1</v>
      </c>
      <c r="T125" s="6">
        <v>0</v>
      </c>
      <c r="U125" s="6">
        <v>0</v>
      </c>
      <c r="V125" s="6">
        <f>IF(ISERROR(VLOOKUP($S$125,'TAR FIN'!$A$1:$O$104,15,0)),0,VLOOKUP($S$125,'TAR FIN'!$A$1:$O$104,15,0))</f>
        <v>21.48</v>
      </c>
      <c r="W125" s="6">
        <f>IF(ISERROR(VLOOKUP($T$125,'TAR FIN'!$A$1:$O$104,15,0)),0,VLOOKUP($T$125,'TAR FIN'!$A$1:$O$104,15,0))</f>
        <v>0</v>
      </c>
      <c r="X125" s="6">
        <f>IF(ISERROR(VLOOKUP($U$125,'TAR FIN'!$A$1:$O$104,15,0)),0,VLOOKUP($U$125,'TAR FIN'!$A$1:$O$104,15,0))</f>
        <v>0</v>
      </c>
      <c r="Y125" s="6">
        <f ca="1">('TUSD BE'!$AM$5+'TUSD BF'!$AM$5+'TUSD CVA'!$AM$5)*1</f>
        <v>21.312847359717548</v>
      </c>
      <c r="Z125" s="6">
        <f ca="1">('TUSD BE'!$AM$7+'TUSD BF'!$AM$7+'TUSD CVA'!$AM$7)*1</f>
        <v>55.308089175900619</v>
      </c>
      <c r="AA125" s="6"/>
      <c r="AB125" s="6">
        <f>$K$125*$V$125</f>
        <v>1446527.6400000001</v>
      </c>
      <c r="AC125" s="6">
        <f>$M$125*$W$125</f>
        <v>0</v>
      </c>
      <c r="AD125" s="6">
        <f>$O$125*$X$125</f>
        <v>0</v>
      </c>
      <c r="AE125" s="6">
        <f ca="1">$K$125*$Y$125</f>
        <v>1435271.0797454589</v>
      </c>
      <c r="AF125" s="6">
        <f ca="1">$M$125*$Z$125</f>
        <v>0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39</v>
      </c>
      <c r="C126" s="4" t="s">
        <v>40</v>
      </c>
      <c r="D126" s="4" t="s">
        <v>38</v>
      </c>
      <c r="E126" s="4" t="s">
        <v>25</v>
      </c>
      <c r="F126" s="4" t="s">
        <v>25</v>
      </c>
      <c r="G126" s="4" t="s">
        <v>25</v>
      </c>
      <c r="H126" s="4" t="s">
        <v>34</v>
      </c>
      <c r="I126" s="5">
        <v>44621</v>
      </c>
      <c r="J126" s="6">
        <v>1834</v>
      </c>
      <c r="K126" s="6">
        <v>1834</v>
      </c>
      <c r="L126" s="6">
        <v>62.34</v>
      </c>
      <c r="M126" s="6">
        <v>62.34</v>
      </c>
      <c r="N126" s="6">
        <v>62.34</v>
      </c>
      <c r="O126" s="6">
        <v>62.34</v>
      </c>
      <c r="P126" s="6">
        <v>0</v>
      </c>
      <c r="Q126" s="4" t="s">
        <v>26</v>
      </c>
      <c r="R126" s="4">
        <v>0</v>
      </c>
      <c r="S126" s="6">
        <v>1</v>
      </c>
      <c r="T126" s="6">
        <v>5</v>
      </c>
      <c r="U126" s="6">
        <v>64</v>
      </c>
      <c r="V126" s="6">
        <f>IF(ISERROR(VLOOKUP($S$126,'TAR FIN'!$A$1:$O$104,15,0)),0,VLOOKUP($S$126,'TAR FIN'!$A$1:$O$104,15,0))</f>
        <v>21.48</v>
      </c>
      <c r="W126" s="6">
        <f>IF(ISERROR(VLOOKUP($T$126,'TAR FIN'!$A$1:$O$104,15,0)),0,VLOOKUP($T$126,'TAR FIN'!$A$1:$O$104,15,0))</f>
        <v>41.95</v>
      </c>
      <c r="X126" s="6">
        <f>IF(ISERROR(VLOOKUP($U$126,'TAR FIN'!$A$1:$O$104,15,0)),0,VLOOKUP($U$126,'TAR FIN'!$A$1:$O$104,15,0))</f>
        <v>397.62</v>
      </c>
      <c r="Y126" s="6">
        <f ca="1">('TUSD BE'!$AM$5+'TUSD BF'!$AM$5+'TUSD CVA'!$AM$5)*1</f>
        <v>21.312847359717548</v>
      </c>
      <c r="Z126" s="6">
        <f ca="1">('TUSD BE'!$AM$7+'TUSD BF'!$AM$7+'TUSD CVA'!$AM$7)*1</f>
        <v>55.308089175900619</v>
      </c>
      <c r="AA126" s="6">
        <f>('TE BE'!$AB$5+'TE BF'!$AB$5+'TE CVA'!$AB$5)*1</f>
        <v>360.26029187567116</v>
      </c>
      <c r="AB126" s="6">
        <f>$K$126*$V$126</f>
        <v>39394.32</v>
      </c>
      <c r="AC126" s="6">
        <f>$M$126*$W$126</f>
        <v>2615.1630000000005</v>
      </c>
      <c r="AD126" s="6">
        <f>$O$126*$X$126</f>
        <v>24787.630800000003</v>
      </c>
      <c r="AE126" s="6">
        <f ca="1">$K$126*$Y$126</f>
        <v>39087.762057721986</v>
      </c>
      <c r="AF126" s="6">
        <f ca="1">$M$126*$Z$126</f>
        <v>3447.906279225645</v>
      </c>
      <c r="AG126" s="6">
        <f>$O$126*$AA$126</f>
        <v>22458.626595529342</v>
      </c>
    </row>
    <row r="127" spans="1:33" ht="11.25" customHeight="1" x14ac:dyDescent="0.25">
      <c r="A127" s="4" t="s">
        <v>21</v>
      </c>
      <c r="B127" s="4" t="s">
        <v>39</v>
      </c>
      <c r="C127" s="4" t="s">
        <v>40</v>
      </c>
      <c r="D127" s="4" t="s">
        <v>38</v>
      </c>
      <c r="E127" s="4" t="s">
        <v>25</v>
      </c>
      <c r="F127" s="4" t="s">
        <v>25</v>
      </c>
      <c r="G127" s="4" t="s">
        <v>25</v>
      </c>
      <c r="H127" s="4" t="s">
        <v>34</v>
      </c>
      <c r="I127" s="5">
        <v>44621</v>
      </c>
      <c r="J127" s="6">
        <v>67126</v>
      </c>
      <c r="K127" s="6">
        <v>67126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58</v>
      </c>
      <c r="R127" s="4">
        <v>0</v>
      </c>
      <c r="S127" s="6">
        <v>1</v>
      </c>
      <c r="T127" s="6">
        <v>0</v>
      </c>
      <c r="U127" s="6">
        <v>0</v>
      </c>
      <c r="V127" s="6">
        <f>IF(ISERROR(VLOOKUP($S$127,'TAR FIN'!$A$1:$O$104,15,0)),0,VLOOKUP($S$127,'TAR FIN'!$A$1:$O$104,15,0))</f>
        <v>21.48</v>
      </c>
      <c r="W127" s="6">
        <f>IF(ISERROR(VLOOKUP($T$127,'TAR FIN'!$A$1:$O$104,15,0)),0,VLOOKUP($T$127,'TAR FIN'!$A$1:$O$104,15,0))</f>
        <v>0</v>
      </c>
      <c r="X127" s="6">
        <f>IF(ISERROR(VLOOKUP($U$127,'TAR FIN'!$A$1:$O$104,15,0)),0,VLOOKUP($U$127,'TAR FIN'!$A$1:$O$104,15,0))</f>
        <v>0</v>
      </c>
      <c r="Y127" s="6">
        <f ca="1">('TUSD BE'!$AM$5+'TUSD BF'!$AM$5+'TUSD CVA'!$AM$5)*1</f>
        <v>21.312847359717548</v>
      </c>
      <c r="Z127" s="6">
        <f ca="1">('TUSD BE'!$AM$7+'TUSD BF'!$AM$7+'TUSD CVA'!$AM$7)*1</f>
        <v>55.308089175900619</v>
      </c>
      <c r="AA127" s="6"/>
      <c r="AB127" s="6">
        <f>$K$127*$V$127</f>
        <v>1441866.48</v>
      </c>
      <c r="AC127" s="6">
        <f>$M$127*$W$127</f>
        <v>0</v>
      </c>
      <c r="AD127" s="6">
        <f>$O$127*$X$127</f>
        <v>0</v>
      </c>
      <c r="AE127" s="6">
        <f ca="1">$K$127*$Y$127</f>
        <v>1430646.1918684002</v>
      </c>
      <c r="AF127" s="6">
        <f ca="1">$M$127*$Z$127</f>
        <v>0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39</v>
      </c>
      <c r="C128" s="4" t="s">
        <v>40</v>
      </c>
      <c r="D128" s="4" t="s">
        <v>38</v>
      </c>
      <c r="E128" s="4" t="s">
        <v>25</v>
      </c>
      <c r="F128" s="4" t="s">
        <v>25</v>
      </c>
      <c r="G128" s="4" t="s">
        <v>25</v>
      </c>
      <c r="H128" s="4" t="s">
        <v>34</v>
      </c>
      <c r="I128" s="5">
        <v>44652</v>
      </c>
      <c r="J128" s="6">
        <v>1798</v>
      </c>
      <c r="K128" s="6">
        <v>1798</v>
      </c>
      <c r="L128" s="6">
        <v>83.822999999999993</v>
      </c>
      <c r="M128" s="6">
        <v>83.822999999999993</v>
      </c>
      <c r="N128" s="6">
        <v>83.822999999999993</v>
      </c>
      <c r="O128" s="6">
        <v>83.822999999999993</v>
      </c>
      <c r="P128" s="6">
        <v>0</v>
      </c>
      <c r="Q128" s="4" t="s">
        <v>26</v>
      </c>
      <c r="R128" s="4">
        <v>0</v>
      </c>
      <c r="S128" s="6">
        <v>1</v>
      </c>
      <c r="T128" s="6">
        <v>5</v>
      </c>
      <c r="U128" s="6">
        <v>64</v>
      </c>
      <c r="V128" s="6">
        <f>IF(ISERROR(VLOOKUP($S$128,'TAR FIN'!$A$1:$O$104,15,0)),0,VLOOKUP($S$128,'TAR FIN'!$A$1:$O$104,15,0))</f>
        <v>21.48</v>
      </c>
      <c r="W128" s="6">
        <f>IF(ISERROR(VLOOKUP($T$128,'TAR FIN'!$A$1:$O$104,15,0)),0,VLOOKUP($T$128,'TAR FIN'!$A$1:$O$104,15,0))</f>
        <v>41.95</v>
      </c>
      <c r="X128" s="6">
        <f>IF(ISERROR(VLOOKUP($U$128,'TAR FIN'!$A$1:$O$104,15,0)),0,VLOOKUP($U$128,'TAR FIN'!$A$1:$O$104,15,0))</f>
        <v>397.62</v>
      </c>
      <c r="Y128" s="6">
        <f ca="1">('TUSD BE'!$AM$5+'TUSD BF'!$AM$5+'TUSD CVA'!$AM$5)*1</f>
        <v>21.312847359717548</v>
      </c>
      <c r="Z128" s="6">
        <f ca="1">('TUSD BE'!$AM$7+'TUSD BF'!$AM$7+'TUSD CVA'!$AM$7)*1</f>
        <v>55.308089175900619</v>
      </c>
      <c r="AA128" s="6">
        <f>('TE BE'!$AB$5+'TE BF'!$AB$5+'TE CVA'!$AB$5)*1</f>
        <v>360.26029187567116</v>
      </c>
      <c r="AB128" s="6">
        <f>$K$128*$V$128</f>
        <v>38621.040000000001</v>
      </c>
      <c r="AC128" s="6">
        <f>$M$128*$W$128</f>
        <v>3516.3748500000002</v>
      </c>
      <c r="AD128" s="6">
        <f>$O$128*$X$128</f>
        <v>33329.701259999994</v>
      </c>
      <c r="AE128" s="6">
        <f ca="1">$K$128*$Y$128</f>
        <v>38320.499552772148</v>
      </c>
      <c r="AF128" s="6">
        <f ca="1">$M$128*$Z$128</f>
        <v>4636.0899589915171</v>
      </c>
      <c r="AG128" s="6">
        <f>$O$128*$AA$128</f>
        <v>30198.098445894382</v>
      </c>
    </row>
    <row r="129" spans="1:33" ht="11.25" customHeight="1" x14ac:dyDescent="0.25">
      <c r="A129" s="4" t="s">
        <v>21</v>
      </c>
      <c r="B129" s="4" t="s">
        <v>39</v>
      </c>
      <c r="C129" s="4" t="s">
        <v>40</v>
      </c>
      <c r="D129" s="4" t="s">
        <v>38</v>
      </c>
      <c r="E129" s="4" t="s">
        <v>25</v>
      </c>
      <c r="F129" s="4" t="s">
        <v>25</v>
      </c>
      <c r="G129" s="4" t="s">
        <v>25</v>
      </c>
      <c r="H129" s="4" t="s">
        <v>34</v>
      </c>
      <c r="I129" s="5">
        <v>44652</v>
      </c>
      <c r="J129" s="6">
        <v>67761</v>
      </c>
      <c r="K129" s="6">
        <v>67761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58</v>
      </c>
      <c r="R129" s="4">
        <v>0</v>
      </c>
      <c r="S129" s="6">
        <v>1</v>
      </c>
      <c r="T129" s="6">
        <v>0</v>
      </c>
      <c r="U129" s="6">
        <v>0</v>
      </c>
      <c r="V129" s="6">
        <f>IF(ISERROR(VLOOKUP($S$129,'TAR FIN'!$A$1:$O$104,15,0)),0,VLOOKUP($S$129,'TAR FIN'!$A$1:$O$104,15,0))</f>
        <v>21.48</v>
      </c>
      <c r="W129" s="6">
        <f>IF(ISERROR(VLOOKUP($T$129,'TAR FIN'!$A$1:$O$104,15,0)),0,VLOOKUP($T$129,'TAR FIN'!$A$1:$O$104,15,0))</f>
        <v>0</v>
      </c>
      <c r="X129" s="6">
        <f>IF(ISERROR(VLOOKUP($U$129,'TAR FIN'!$A$1:$O$104,15,0)),0,VLOOKUP($U$129,'TAR FIN'!$A$1:$O$104,15,0))</f>
        <v>0</v>
      </c>
      <c r="Y129" s="6">
        <f ca="1">('TUSD BE'!$AM$5+'TUSD BF'!$AM$5+'TUSD CVA'!$AM$5)*1</f>
        <v>21.312847359717548</v>
      </c>
      <c r="Z129" s="6">
        <f ca="1">('TUSD BE'!$AM$7+'TUSD BF'!$AM$7+'TUSD CVA'!$AM$7)*1</f>
        <v>55.308089175900619</v>
      </c>
      <c r="AA129" s="6"/>
      <c r="AB129" s="6">
        <f>$K$129*$V$129</f>
        <v>1455506.28</v>
      </c>
      <c r="AC129" s="6">
        <f>$M$129*$W$129</f>
        <v>0</v>
      </c>
      <c r="AD129" s="6">
        <f>$O$129*$X$129</f>
        <v>0</v>
      </c>
      <c r="AE129" s="6">
        <f ca="1">$K$129*$Y$129</f>
        <v>1444179.8499418208</v>
      </c>
      <c r="AF129" s="6">
        <f ca="1">$M$129*$Z$129</f>
        <v>0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39</v>
      </c>
      <c r="C130" s="4" t="s">
        <v>40</v>
      </c>
      <c r="D130" s="4" t="s">
        <v>38</v>
      </c>
      <c r="E130" s="4" t="s">
        <v>25</v>
      </c>
      <c r="F130" s="4" t="s">
        <v>25</v>
      </c>
      <c r="G130" s="4" t="s">
        <v>25</v>
      </c>
      <c r="H130" s="4" t="s">
        <v>34</v>
      </c>
      <c r="I130" s="5">
        <v>44682</v>
      </c>
      <c r="J130" s="6">
        <v>2625</v>
      </c>
      <c r="K130" s="6">
        <v>2625</v>
      </c>
      <c r="L130" s="6">
        <v>84.878</v>
      </c>
      <c r="M130" s="6">
        <v>84.878</v>
      </c>
      <c r="N130" s="6">
        <v>84.878</v>
      </c>
      <c r="O130" s="6">
        <v>84.878</v>
      </c>
      <c r="P130" s="6">
        <v>0</v>
      </c>
      <c r="Q130" s="4" t="s">
        <v>26</v>
      </c>
      <c r="R130" s="4">
        <v>0</v>
      </c>
      <c r="S130" s="6">
        <v>1</v>
      </c>
      <c r="T130" s="6">
        <v>5</v>
      </c>
      <c r="U130" s="6">
        <v>64</v>
      </c>
      <c r="V130" s="6">
        <f>IF(ISERROR(VLOOKUP($S$130,'TAR FIN'!$A$1:$O$104,15,0)),0,VLOOKUP($S$130,'TAR FIN'!$A$1:$O$104,15,0))</f>
        <v>21.48</v>
      </c>
      <c r="W130" s="6">
        <f>IF(ISERROR(VLOOKUP($T$130,'TAR FIN'!$A$1:$O$104,15,0)),0,VLOOKUP($T$130,'TAR FIN'!$A$1:$O$104,15,0))</f>
        <v>41.95</v>
      </c>
      <c r="X130" s="6">
        <f>IF(ISERROR(VLOOKUP($U$130,'TAR FIN'!$A$1:$O$104,15,0)),0,VLOOKUP($U$130,'TAR FIN'!$A$1:$O$104,15,0))</f>
        <v>397.62</v>
      </c>
      <c r="Y130" s="6">
        <f ca="1">('TUSD BE'!$AM$5+'TUSD BF'!$AM$5+'TUSD CVA'!$AM$5)*1</f>
        <v>21.312847359717548</v>
      </c>
      <c r="Z130" s="6">
        <f ca="1">('TUSD BE'!$AM$7+'TUSD BF'!$AM$7+'TUSD CVA'!$AM$7)*1</f>
        <v>55.308089175900619</v>
      </c>
      <c r="AA130" s="6">
        <f>('TE BE'!$AB$5+'TE BF'!$AB$5+'TE CVA'!$AB$5)*1</f>
        <v>360.26029187567116</v>
      </c>
      <c r="AB130" s="6">
        <f>$K$130*$V$130</f>
        <v>56385</v>
      </c>
      <c r="AC130" s="6">
        <f>$M$130*$W$130</f>
        <v>3560.6321000000003</v>
      </c>
      <c r="AD130" s="6">
        <f>$O$130*$X$130</f>
        <v>33749.190360000001</v>
      </c>
      <c r="AE130" s="6">
        <f ca="1">$K$130*$Y$130</f>
        <v>55946.224319258567</v>
      </c>
      <c r="AF130" s="6">
        <f ca="1">$M$130*$Z$130</f>
        <v>4694.4399930720929</v>
      </c>
      <c r="AG130" s="6">
        <f>$O$130*$AA$130</f>
        <v>30578.173053823215</v>
      </c>
    </row>
    <row r="131" spans="1:33" ht="11.25" customHeight="1" x14ac:dyDescent="0.25">
      <c r="A131" s="4" t="s">
        <v>21</v>
      </c>
      <c r="B131" s="4" t="s">
        <v>39</v>
      </c>
      <c r="C131" s="4" t="s">
        <v>40</v>
      </c>
      <c r="D131" s="4" t="s">
        <v>38</v>
      </c>
      <c r="E131" s="4" t="s">
        <v>25</v>
      </c>
      <c r="F131" s="4" t="s">
        <v>25</v>
      </c>
      <c r="G131" s="4" t="s">
        <v>25</v>
      </c>
      <c r="H131" s="4" t="s">
        <v>34</v>
      </c>
      <c r="I131" s="5">
        <v>44682</v>
      </c>
      <c r="J131" s="6">
        <v>67717</v>
      </c>
      <c r="K131" s="6">
        <v>67717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58</v>
      </c>
      <c r="R131" s="4">
        <v>0</v>
      </c>
      <c r="S131" s="6">
        <v>1</v>
      </c>
      <c r="T131" s="6">
        <v>0</v>
      </c>
      <c r="U131" s="6">
        <v>0</v>
      </c>
      <c r="V131" s="6">
        <f>IF(ISERROR(VLOOKUP($S$131,'TAR FIN'!$A$1:$O$104,15,0)),0,VLOOKUP($S$131,'TAR FIN'!$A$1:$O$104,15,0))</f>
        <v>21.48</v>
      </c>
      <c r="W131" s="6">
        <f>IF(ISERROR(VLOOKUP($T$131,'TAR FIN'!$A$1:$O$104,15,0)),0,VLOOKUP($T$131,'TAR FIN'!$A$1:$O$104,15,0))</f>
        <v>0</v>
      </c>
      <c r="X131" s="6">
        <f>IF(ISERROR(VLOOKUP($U$131,'TAR FIN'!$A$1:$O$104,15,0)),0,VLOOKUP($U$131,'TAR FIN'!$A$1:$O$104,15,0))</f>
        <v>0</v>
      </c>
      <c r="Y131" s="6">
        <f ca="1">('TUSD BE'!$AM$5+'TUSD BF'!$AM$5+'TUSD CVA'!$AM$5)*1</f>
        <v>21.312847359717548</v>
      </c>
      <c r="Z131" s="6">
        <f ca="1">('TUSD BE'!$AM$7+'TUSD BF'!$AM$7+'TUSD CVA'!$AM$7)*1</f>
        <v>55.308089175900619</v>
      </c>
      <c r="AA131" s="6"/>
      <c r="AB131" s="6">
        <f>$K$131*$V$131</f>
        <v>1454561.16</v>
      </c>
      <c r="AC131" s="6">
        <f>$M$131*$W$131</f>
        <v>0</v>
      </c>
      <c r="AD131" s="6">
        <f>$O$131*$X$131</f>
        <v>0</v>
      </c>
      <c r="AE131" s="6">
        <f ca="1">$K$131*$Y$131</f>
        <v>1443242.0846579932</v>
      </c>
      <c r="AF131" s="6">
        <f ca="1">$M$131*$Z$131</f>
        <v>0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39</v>
      </c>
      <c r="C132" s="4" t="s">
        <v>40</v>
      </c>
      <c r="D132" s="4" t="s">
        <v>38</v>
      </c>
      <c r="E132" s="4" t="s">
        <v>25</v>
      </c>
      <c r="F132" s="4" t="s">
        <v>25</v>
      </c>
      <c r="G132" s="4" t="s">
        <v>25</v>
      </c>
      <c r="H132" s="4" t="s">
        <v>34</v>
      </c>
      <c r="I132" s="5">
        <v>44713</v>
      </c>
      <c r="J132" s="6">
        <v>2294</v>
      </c>
      <c r="K132" s="6">
        <v>2294</v>
      </c>
      <c r="L132" s="6">
        <v>112.01900000000001</v>
      </c>
      <c r="M132" s="6">
        <v>112.01900000000001</v>
      </c>
      <c r="N132" s="6">
        <v>112.01900000000001</v>
      </c>
      <c r="O132" s="6">
        <v>112.01900000000001</v>
      </c>
      <c r="P132" s="6">
        <v>0</v>
      </c>
      <c r="Q132" s="4" t="s">
        <v>26</v>
      </c>
      <c r="R132" s="4">
        <v>0</v>
      </c>
      <c r="S132" s="6">
        <v>1</v>
      </c>
      <c r="T132" s="6">
        <v>5</v>
      </c>
      <c r="U132" s="6">
        <v>64</v>
      </c>
      <c r="V132" s="6">
        <f>IF(ISERROR(VLOOKUP($S$132,'TAR FIN'!$A$1:$O$104,15,0)),0,VLOOKUP($S$132,'TAR FIN'!$A$1:$O$104,15,0))</f>
        <v>21.48</v>
      </c>
      <c r="W132" s="6">
        <f>IF(ISERROR(VLOOKUP($T$132,'TAR FIN'!$A$1:$O$104,15,0)),0,VLOOKUP($T$132,'TAR FIN'!$A$1:$O$104,15,0))</f>
        <v>41.95</v>
      </c>
      <c r="X132" s="6">
        <f>IF(ISERROR(VLOOKUP($U$132,'TAR FIN'!$A$1:$O$104,15,0)),0,VLOOKUP($U$132,'TAR FIN'!$A$1:$O$104,15,0))</f>
        <v>397.62</v>
      </c>
      <c r="Y132" s="6">
        <f ca="1">('TUSD BE'!$AM$5+'TUSD BF'!$AM$5+'TUSD CVA'!$AM$5)*1</f>
        <v>21.312847359717548</v>
      </c>
      <c r="Z132" s="6">
        <f ca="1">('TUSD BE'!$AM$7+'TUSD BF'!$AM$7+'TUSD CVA'!$AM$7)*1</f>
        <v>55.308089175900619</v>
      </c>
      <c r="AA132" s="6">
        <f>('TE BE'!$AB$5+'TE BF'!$AB$5+'TE CVA'!$AB$5)*1</f>
        <v>360.26029187567116</v>
      </c>
      <c r="AB132" s="6">
        <f>$K$132*$V$132</f>
        <v>49275.12</v>
      </c>
      <c r="AC132" s="6">
        <f>$M$132*$W$132</f>
        <v>4699.1970500000007</v>
      </c>
      <c r="AD132" s="6">
        <f>$O$132*$X$132</f>
        <v>44540.994780000001</v>
      </c>
      <c r="AE132" s="6">
        <f ca="1">$K$132*$Y$132</f>
        <v>48891.671843192053</v>
      </c>
      <c r="AF132" s="6">
        <f ca="1">$M$132*$Z$132</f>
        <v>6195.5568413952114</v>
      </c>
      <c r="AG132" s="6">
        <f>$O$132*$AA$132</f>
        <v>40355.997635620806</v>
      </c>
    </row>
    <row r="133" spans="1:33" ht="11.25" customHeight="1" x14ac:dyDescent="0.25">
      <c r="A133" s="4" t="s">
        <v>21</v>
      </c>
      <c r="B133" s="4" t="s">
        <v>39</v>
      </c>
      <c r="C133" s="4" t="s">
        <v>40</v>
      </c>
      <c r="D133" s="4" t="s">
        <v>38</v>
      </c>
      <c r="E133" s="4" t="s">
        <v>25</v>
      </c>
      <c r="F133" s="4" t="s">
        <v>25</v>
      </c>
      <c r="G133" s="4" t="s">
        <v>25</v>
      </c>
      <c r="H133" s="4" t="s">
        <v>34</v>
      </c>
      <c r="I133" s="5">
        <v>44713</v>
      </c>
      <c r="J133" s="6">
        <v>67801</v>
      </c>
      <c r="K133" s="6">
        <v>67801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58</v>
      </c>
      <c r="R133" s="4">
        <v>0</v>
      </c>
      <c r="S133" s="6">
        <v>1</v>
      </c>
      <c r="T133" s="6">
        <v>0</v>
      </c>
      <c r="U133" s="6">
        <v>0</v>
      </c>
      <c r="V133" s="6">
        <f>IF(ISERROR(VLOOKUP($S$133,'TAR FIN'!$A$1:$O$104,15,0)),0,VLOOKUP($S$133,'TAR FIN'!$A$1:$O$104,15,0))</f>
        <v>21.48</v>
      </c>
      <c r="W133" s="6">
        <f>IF(ISERROR(VLOOKUP($T$133,'TAR FIN'!$A$1:$O$104,15,0)),0,VLOOKUP($T$133,'TAR FIN'!$A$1:$O$104,15,0))</f>
        <v>0</v>
      </c>
      <c r="X133" s="6">
        <f>IF(ISERROR(VLOOKUP($U$133,'TAR FIN'!$A$1:$O$104,15,0)),0,VLOOKUP($U$133,'TAR FIN'!$A$1:$O$104,15,0))</f>
        <v>0</v>
      </c>
      <c r="Y133" s="6">
        <f ca="1">('TUSD BE'!$AM$5+'TUSD BF'!$AM$5+'TUSD CVA'!$AM$5)*1</f>
        <v>21.312847359717548</v>
      </c>
      <c r="Z133" s="6">
        <f ca="1">('TUSD BE'!$AM$7+'TUSD BF'!$AM$7+'TUSD CVA'!$AM$7)*1</f>
        <v>55.308089175900619</v>
      </c>
      <c r="AA133" s="6"/>
      <c r="AB133" s="6">
        <f>$K$133*$V$133</f>
        <v>1456365.48</v>
      </c>
      <c r="AC133" s="6">
        <f>$M$133*$W$133</f>
        <v>0</v>
      </c>
      <c r="AD133" s="6">
        <f>$O$133*$X$133</f>
        <v>0</v>
      </c>
      <c r="AE133" s="6">
        <f ca="1">$K$133*$Y$133</f>
        <v>1445032.3638362095</v>
      </c>
      <c r="AF133" s="6">
        <f ca="1">$M$133*$Z$133</f>
        <v>0</v>
      </c>
      <c r="AG133" s="6">
        <f>$O$133*$AA$133</f>
        <v>0</v>
      </c>
    </row>
    <row r="134" spans="1:33" ht="11.25" customHeight="1" x14ac:dyDescent="0.25">
      <c r="A134" s="4" t="s">
        <v>57</v>
      </c>
      <c r="B134" s="4" t="s">
        <v>39</v>
      </c>
      <c r="C134" s="4" t="s">
        <v>40</v>
      </c>
      <c r="D134" s="4" t="s">
        <v>38</v>
      </c>
      <c r="E134" s="4" t="s">
        <v>25</v>
      </c>
      <c r="F134" s="4" t="s">
        <v>25</v>
      </c>
      <c r="G134" s="4" t="s">
        <v>25</v>
      </c>
      <c r="H134" s="4" t="s">
        <v>34</v>
      </c>
      <c r="I134" s="5">
        <v>44743</v>
      </c>
      <c r="J134" s="6">
        <v>2294</v>
      </c>
      <c r="K134" s="6">
        <v>2294</v>
      </c>
      <c r="L134" s="6">
        <v>112.01900000000001</v>
      </c>
      <c r="M134" s="6">
        <v>112.01900000000001</v>
      </c>
      <c r="N134" s="6">
        <v>112.01900000000001</v>
      </c>
      <c r="O134" s="6">
        <v>112.01900000000001</v>
      </c>
      <c r="P134" s="6">
        <v>0</v>
      </c>
      <c r="Q134" s="4" t="s">
        <v>26</v>
      </c>
      <c r="R134" s="4">
        <v>0</v>
      </c>
      <c r="S134" s="6">
        <v>1</v>
      </c>
      <c r="T134" s="6">
        <v>5</v>
      </c>
      <c r="U134" s="6">
        <v>64</v>
      </c>
      <c r="V134" s="6">
        <f>IF(ISERROR(VLOOKUP($S$134,'TAR FIN'!$A$1:$O$104,15,0)),0,VLOOKUP($S$134,'TAR FIN'!$A$1:$O$104,15,0))</f>
        <v>21.48</v>
      </c>
      <c r="W134" s="6">
        <f>IF(ISERROR(VLOOKUP($T$134,'TAR FIN'!$A$1:$O$104,15,0)),0,VLOOKUP($T$134,'TAR FIN'!$A$1:$O$104,15,0))</f>
        <v>41.95</v>
      </c>
      <c r="X134" s="6">
        <f>IF(ISERROR(VLOOKUP($U$134,'TAR FIN'!$A$1:$O$104,15,0)),0,VLOOKUP($U$134,'TAR FIN'!$A$1:$O$104,15,0))</f>
        <v>397.62</v>
      </c>
      <c r="Y134" s="6">
        <f ca="1">('TUSD BE'!$AM$5+'TUSD BF'!$AM$5+'TUSD CVA'!$AM$5)*1</f>
        <v>21.312847359717548</v>
      </c>
      <c r="Z134" s="6">
        <f ca="1">('TUSD BE'!$AM$7+'TUSD BF'!$AM$7+'TUSD CVA'!$AM$7)*1</f>
        <v>55.308089175900619</v>
      </c>
      <c r="AA134" s="6">
        <f>('TE BE'!$AB$5+'TE BF'!$AB$5+'TE CVA'!$AB$5)*1</f>
        <v>360.26029187567116</v>
      </c>
      <c r="AB134" s="6">
        <f>$K$134*$V$134</f>
        <v>49275.12</v>
      </c>
      <c r="AC134" s="6">
        <f>$M$134*$W$134</f>
        <v>4699.1970500000007</v>
      </c>
      <c r="AD134" s="6">
        <f>$O$134*$X$134</f>
        <v>44540.994780000001</v>
      </c>
      <c r="AE134" s="6">
        <f ca="1">$K$134*$Y$134</f>
        <v>48891.671843192053</v>
      </c>
      <c r="AF134" s="6">
        <f ca="1">$M$134*$Z$134</f>
        <v>6195.5568413952114</v>
      </c>
      <c r="AG134" s="6">
        <f>$O$134*$AA$134</f>
        <v>40355.997635620806</v>
      </c>
    </row>
    <row r="135" spans="1:33" ht="11.25" customHeight="1" x14ac:dyDescent="0.25">
      <c r="A135" s="4" t="s">
        <v>57</v>
      </c>
      <c r="B135" s="4" t="s">
        <v>39</v>
      </c>
      <c r="C135" s="4" t="s">
        <v>40</v>
      </c>
      <c r="D135" s="4" t="s">
        <v>38</v>
      </c>
      <c r="E135" s="4" t="s">
        <v>25</v>
      </c>
      <c r="F135" s="4" t="s">
        <v>25</v>
      </c>
      <c r="G135" s="4" t="s">
        <v>25</v>
      </c>
      <c r="H135" s="4" t="s">
        <v>34</v>
      </c>
      <c r="I135" s="5">
        <v>44743</v>
      </c>
      <c r="J135" s="6">
        <v>67801</v>
      </c>
      <c r="K135" s="6">
        <v>67801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58</v>
      </c>
      <c r="R135" s="4">
        <v>0</v>
      </c>
      <c r="S135" s="6">
        <v>1</v>
      </c>
      <c r="T135" s="6">
        <v>0</v>
      </c>
      <c r="U135" s="6">
        <v>0</v>
      </c>
      <c r="V135" s="6">
        <f>IF(ISERROR(VLOOKUP($S$135,'TAR FIN'!$A$1:$O$104,15,0)),0,VLOOKUP($S$135,'TAR FIN'!$A$1:$O$104,15,0))</f>
        <v>21.48</v>
      </c>
      <c r="W135" s="6">
        <f>IF(ISERROR(VLOOKUP($T$135,'TAR FIN'!$A$1:$O$104,15,0)),0,VLOOKUP($T$135,'TAR FIN'!$A$1:$O$104,15,0))</f>
        <v>0</v>
      </c>
      <c r="X135" s="6">
        <f>IF(ISERROR(VLOOKUP($U$135,'TAR FIN'!$A$1:$O$104,15,0)),0,VLOOKUP($U$135,'TAR FIN'!$A$1:$O$104,15,0))</f>
        <v>0</v>
      </c>
      <c r="Y135" s="6">
        <f ca="1">('TUSD BE'!$AM$5+'TUSD BF'!$AM$5+'TUSD CVA'!$AM$5)*1</f>
        <v>21.312847359717548</v>
      </c>
      <c r="Z135" s="6">
        <f ca="1">('TUSD BE'!$AM$7+'TUSD BF'!$AM$7+'TUSD CVA'!$AM$7)*1</f>
        <v>55.308089175900619</v>
      </c>
      <c r="AA135" s="6"/>
      <c r="AB135" s="6">
        <f>$K$135*$V$135</f>
        <v>1456365.48</v>
      </c>
      <c r="AC135" s="6">
        <f>$M$135*$W$135</f>
        <v>0</v>
      </c>
      <c r="AD135" s="6">
        <f>$O$135*$X$135</f>
        <v>0</v>
      </c>
      <c r="AE135" s="6">
        <f ca="1">$K$135*$Y$135</f>
        <v>1445032.3638362095</v>
      </c>
      <c r="AF135" s="6">
        <f ca="1">$M$135*$Z$135</f>
        <v>0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39</v>
      </c>
      <c r="C136" s="4" t="s">
        <v>40</v>
      </c>
      <c r="D136" s="4" t="s">
        <v>45</v>
      </c>
      <c r="E136" s="4" t="s">
        <v>25</v>
      </c>
      <c r="F136" s="4" t="s">
        <v>25</v>
      </c>
      <c r="G136" s="4" t="s">
        <v>25</v>
      </c>
      <c r="H136" s="4" t="s">
        <v>35</v>
      </c>
      <c r="I136" s="5">
        <v>44409</v>
      </c>
      <c r="J136" s="6">
        <v>1365</v>
      </c>
      <c r="K136" s="60">
        <v>1365</v>
      </c>
      <c r="L136" s="6">
        <v>472.5</v>
      </c>
      <c r="M136" s="60">
        <v>472.5</v>
      </c>
      <c r="N136" s="6">
        <v>472.5</v>
      </c>
      <c r="O136" s="60">
        <v>472.5</v>
      </c>
      <c r="P136" s="6">
        <v>0</v>
      </c>
      <c r="Q136" s="4" t="s">
        <v>26</v>
      </c>
      <c r="R136" s="4">
        <v>0</v>
      </c>
      <c r="S136" s="6">
        <v>3</v>
      </c>
      <c r="T136" s="6">
        <v>5</v>
      </c>
      <c r="U136" s="6">
        <v>65</v>
      </c>
      <c r="V136" s="60">
        <f>IF(ISERROR(VLOOKUP($S$136,'TAR FIN'!$A$1:$O$104,15,0)),0,VLOOKUP($S$136,'TAR FIN'!$A$1:$O$104,15,0))*(1-0.04)</f>
        <v>10.7232</v>
      </c>
      <c r="W136" s="60">
        <f>IF(ISERROR(VLOOKUP($T$136,'TAR FIN'!$A$1:$O$104,15,0)),0,VLOOKUP($T$136,'TAR FIN'!$A$1:$O$104,15,0))*(1-0.04)</f>
        <v>40.271999999999998</v>
      </c>
      <c r="X136" s="60">
        <f>IF(ISERROR(VLOOKUP($U$136,'TAR FIN'!$A$1:$O$104,15,0)),0,VLOOKUP($U$136,'TAR FIN'!$A$1:$O$104,15,0))*(1-0.04)</f>
        <v>233.10719999999998</v>
      </c>
      <c r="Y136" s="60">
        <f ca="1">('TUSD BE'!$AM$6+'TUSD BF'!$AM$6+'TUSD CVA'!$AM$6)*1*(1-0.02)</f>
        <v>10.837862614300146</v>
      </c>
      <c r="Z136" s="60">
        <f ca="1">('TUSD BE'!$AM$7+'TUSD BF'!$AM$7+'TUSD CVA'!$AM$7)*1*(1-0.02)</f>
        <v>54.201927392382608</v>
      </c>
      <c r="AA136" s="60">
        <f>('TE BE'!$AB$6+'TE BF'!$AB$6+'TE CVA'!$AB$6)*1*(1-0.02)</f>
        <v>227.12732236645527</v>
      </c>
      <c r="AB136" s="6">
        <f>$K$136*$V$136</f>
        <v>14637.168</v>
      </c>
      <c r="AC136" s="6">
        <f>$M$136*$W$136</f>
        <v>19028.52</v>
      </c>
      <c r="AD136" s="6">
        <f>$O$136*$X$136</f>
        <v>110143.15199999999</v>
      </c>
      <c r="AE136" s="6">
        <f ca="1">$K$136*$Y$136</f>
        <v>14793.682468519699</v>
      </c>
      <c r="AF136" s="6">
        <f ca="1">$M$136*$Z$136</f>
        <v>25610.410692900783</v>
      </c>
      <c r="AG136" s="6">
        <f>$O$136*$AA$136</f>
        <v>107317.65981815012</v>
      </c>
    </row>
    <row r="137" spans="1:33" ht="11.25" customHeight="1" x14ac:dyDescent="0.25">
      <c r="A137" s="4" t="s">
        <v>21</v>
      </c>
      <c r="B137" s="4" t="s">
        <v>39</v>
      </c>
      <c r="C137" s="4" t="s">
        <v>40</v>
      </c>
      <c r="D137" s="4" t="s">
        <v>45</v>
      </c>
      <c r="E137" s="4" t="s">
        <v>25</v>
      </c>
      <c r="F137" s="4" t="s">
        <v>25</v>
      </c>
      <c r="G137" s="4" t="s">
        <v>25</v>
      </c>
      <c r="H137" s="4" t="s">
        <v>35</v>
      </c>
      <c r="I137" s="5">
        <v>44440</v>
      </c>
      <c r="J137" s="6">
        <v>1400</v>
      </c>
      <c r="K137" s="60">
        <v>1400</v>
      </c>
      <c r="L137" s="6">
        <v>619.5</v>
      </c>
      <c r="M137" s="60">
        <v>619.5</v>
      </c>
      <c r="N137" s="6">
        <v>619.5</v>
      </c>
      <c r="O137" s="60">
        <v>619.5</v>
      </c>
      <c r="P137" s="6">
        <v>0</v>
      </c>
      <c r="Q137" s="4" t="s">
        <v>26</v>
      </c>
      <c r="R137" s="4">
        <v>0</v>
      </c>
      <c r="S137" s="6">
        <v>3</v>
      </c>
      <c r="T137" s="6">
        <v>5</v>
      </c>
      <c r="U137" s="6">
        <v>65</v>
      </c>
      <c r="V137" s="60">
        <f>IF(ISERROR(VLOOKUP($S$137,'TAR FIN'!$A$1:$O$104,15,0)),0,VLOOKUP($S$137,'TAR FIN'!$A$1:$O$104,15,0))*(1-0.04)</f>
        <v>10.7232</v>
      </c>
      <c r="W137" s="60">
        <f>IF(ISERROR(VLOOKUP($T$137,'TAR FIN'!$A$1:$O$104,15,0)),0,VLOOKUP($T$137,'TAR FIN'!$A$1:$O$104,15,0))*(1-0.04)</f>
        <v>40.271999999999998</v>
      </c>
      <c r="X137" s="60">
        <f>IF(ISERROR(VLOOKUP($U$137,'TAR FIN'!$A$1:$O$104,15,0)),0,VLOOKUP($U$137,'TAR FIN'!$A$1:$O$104,15,0))*(1-0.04)</f>
        <v>233.10719999999998</v>
      </c>
      <c r="Y137" s="60">
        <f ca="1">('TUSD BE'!$AM$6+'TUSD BF'!$AM$6+'TUSD CVA'!$AM$6)*1*(1-0.02)</f>
        <v>10.837862614300146</v>
      </c>
      <c r="Z137" s="60">
        <f ca="1">('TUSD BE'!$AM$7+'TUSD BF'!$AM$7+'TUSD CVA'!$AM$7)*1*(1-0.02)</f>
        <v>54.201927392382608</v>
      </c>
      <c r="AA137" s="60">
        <f>('TE BE'!$AB$6+'TE BF'!$AB$6+'TE CVA'!$AB$6)*1*(1-0.02)</f>
        <v>227.12732236645527</v>
      </c>
      <c r="AB137" s="6">
        <f>$K$137*$V$137</f>
        <v>15012.48</v>
      </c>
      <c r="AC137" s="6">
        <f>$M$137*$W$137</f>
        <v>24948.504000000001</v>
      </c>
      <c r="AD137" s="6">
        <f>$O$137*$X$137</f>
        <v>144409.91039999999</v>
      </c>
      <c r="AE137" s="6">
        <f ca="1">$K$137*$Y$137</f>
        <v>15173.007660020205</v>
      </c>
      <c r="AF137" s="6">
        <f ca="1">$M$137*$Z$137</f>
        <v>33578.094019581025</v>
      </c>
      <c r="AG137" s="6">
        <f>$O$137*$AA$137</f>
        <v>140705.37620601905</v>
      </c>
    </row>
    <row r="138" spans="1:33" ht="11.25" customHeight="1" x14ac:dyDescent="0.25">
      <c r="A138" s="4" t="s">
        <v>21</v>
      </c>
      <c r="B138" s="4" t="s">
        <v>39</v>
      </c>
      <c r="C138" s="4" t="s">
        <v>40</v>
      </c>
      <c r="D138" s="4" t="s">
        <v>45</v>
      </c>
      <c r="E138" s="4" t="s">
        <v>25</v>
      </c>
      <c r="F138" s="4" t="s">
        <v>25</v>
      </c>
      <c r="G138" s="4" t="s">
        <v>25</v>
      </c>
      <c r="H138" s="4" t="s">
        <v>35</v>
      </c>
      <c r="I138" s="5">
        <v>44470</v>
      </c>
      <c r="J138" s="6">
        <v>1365</v>
      </c>
      <c r="K138" s="60">
        <v>1365</v>
      </c>
      <c r="L138" s="6">
        <v>675.5</v>
      </c>
      <c r="M138" s="60">
        <v>675.5</v>
      </c>
      <c r="N138" s="6">
        <v>675.5</v>
      </c>
      <c r="O138" s="60">
        <v>675.5</v>
      </c>
      <c r="P138" s="6">
        <v>0</v>
      </c>
      <c r="Q138" s="4" t="s">
        <v>26</v>
      </c>
      <c r="R138" s="4">
        <v>0</v>
      </c>
      <c r="S138" s="6">
        <v>3</v>
      </c>
      <c r="T138" s="6">
        <v>5</v>
      </c>
      <c r="U138" s="6">
        <v>65</v>
      </c>
      <c r="V138" s="60">
        <f>IF(ISERROR(VLOOKUP($S$138,'TAR FIN'!$A$1:$O$104,15,0)),0,VLOOKUP($S$138,'TAR FIN'!$A$1:$O$104,15,0))*(1-0.04)</f>
        <v>10.7232</v>
      </c>
      <c r="W138" s="60">
        <f>IF(ISERROR(VLOOKUP($T$138,'TAR FIN'!$A$1:$O$104,15,0)),0,VLOOKUP($T$138,'TAR FIN'!$A$1:$O$104,15,0))*(1-0.04)</f>
        <v>40.271999999999998</v>
      </c>
      <c r="X138" s="60">
        <f>IF(ISERROR(VLOOKUP($U$138,'TAR FIN'!$A$1:$O$104,15,0)),0,VLOOKUP($U$138,'TAR FIN'!$A$1:$O$104,15,0))*(1-0.04)</f>
        <v>233.10719999999998</v>
      </c>
      <c r="Y138" s="60">
        <f ca="1">('TUSD BE'!$AM$6+'TUSD BF'!$AM$6+'TUSD CVA'!$AM$6)*1*(1-0.02)</f>
        <v>10.837862614300146</v>
      </c>
      <c r="Z138" s="60">
        <f ca="1">('TUSD BE'!$AM$7+'TUSD BF'!$AM$7+'TUSD CVA'!$AM$7)*1*(1-0.02)</f>
        <v>54.201927392382608</v>
      </c>
      <c r="AA138" s="60">
        <f>('TE BE'!$AB$6+'TE BF'!$AB$6+'TE CVA'!$AB$6)*1*(1-0.02)</f>
        <v>227.12732236645527</v>
      </c>
      <c r="AB138" s="6">
        <f>$K$138*$V$138</f>
        <v>14637.168</v>
      </c>
      <c r="AC138" s="6">
        <f>$M$138*$W$138</f>
        <v>27203.735999999997</v>
      </c>
      <c r="AD138" s="6">
        <f>$O$138*$X$138</f>
        <v>157463.91359999997</v>
      </c>
      <c r="AE138" s="6">
        <f ca="1">$K$138*$Y$138</f>
        <v>14793.682468519699</v>
      </c>
      <c r="AF138" s="6">
        <f ca="1">$M$138*$Z$138</f>
        <v>36613.40195355445</v>
      </c>
      <c r="AG138" s="6">
        <f>$O$138*$AA$138</f>
        <v>153424.50625854052</v>
      </c>
    </row>
    <row r="139" spans="1:33" ht="11.25" customHeight="1" x14ac:dyDescent="0.25">
      <c r="A139" s="4" t="s">
        <v>21</v>
      </c>
      <c r="B139" s="4" t="s">
        <v>39</v>
      </c>
      <c r="C139" s="4" t="s">
        <v>40</v>
      </c>
      <c r="D139" s="4" t="s">
        <v>45</v>
      </c>
      <c r="E139" s="4" t="s">
        <v>25</v>
      </c>
      <c r="F139" s="4" t="s">
        <v>25</v>
      </c>
      <c r="G139" s="4" t="s">
        <v>25</v>
      </c>
      <c r="H139" s="4" t="s">
        <v>35</v>
      </c>
      <c r="I139" s="5">
        <v>44501</v>
      </c>
      <c r="J139" s="6">
        <v>1365</v>
      </c>
      <c r="K139" s="60">
        <v>1365</v>
      </c>
      <c r="L139" s="6">
        <v>668.5</v>
      </c>
      <c r="M139" s="60">
        <v>668.5</v>
      </c>
      <c r="N139" s="6">
        <v>668.5</v>
      </c>
      <c r="O139" s="60">
        <v>668.5</v>
      </c>
      <c r="P139" s="6">
        <v>0</v>
      </c>
      <c r="Q139" s="4" t="s">
        <v>26</v>
      </c>
      <c r="R139" s="4">
        <v>0</v>
      </c>
      <c r="S139" s="6">
        <v>3</v>
      </c>
      <c r="T139" s="6">
        <v>5</v>
      </c>
      <c r="U139" s="6">
        <v>65</v>
      </c>
      <c r="V139" s="60">
        <f>IF(ISERROR(VLOOKUP($S$139,'TAR FIN'!$A$1:$O$104,15,0)),0,VLOOKUP($S$139,'TAR FIN'!$A$1:$O$104,15,0))*(1-0.04)</f>
        <v>10.7232</v>
      </c>
      <c r="W139" s="60">
        <f>IF(ISERROR(VLOOKUP($T$139,'TAR FIN'!$A$1:$O$104,15,0)),0,VLOOKUP($T$139,'TAR FIN'!$A$1:$O$104,15,0))*(1-0.04)</f>
        <v>40.271999999999998</v>
      </c>
      <c r="X139" s="60">
        <f>IF(ISERROR(VLOOKUP($U$139,'TAR FIN'!$A$1:$O$104,15,0)),0,VLOOKUP($U$139,'TAR FIN'!$A$1:$O$104,15,0))*(1-0.04)</f>
        <v>233.10719999999998</v>
      </c>
      <c r="Y139" s="60">
        <f ca="1">('TUSD BE'!$AM$6+'TUSD BF'!$AM$6+'TUSD CVA'!$AM$6)*1*(1-0.02)</f>
        <v>10.837862614300146</v>
      </c>
      <c r="Z139" s="60">
        <f ca="1">('TUSD BE'!$AM$7+'TUSD BF'!$AM$7+'TUSD CVA'!$AM$7)*1*(1-0.02)</f>
        <v>54.201927392382608</v>
      </c>
      <c r="AA139" s="60">
        <f>('TE BE'!$AB$6+'TE BF'!$AB$6+'TE CVA'!$AB$6)*1*(1-0.02)</f>
        <v>227.12732236645527</v>
      </c>
      <c r="AB139" s="6">
        <f>$K$139*$V$139</f>
        <v>14637.168</v>
      </c>
      <c r="AC139" s="6">
        <f>$M$139*$W$139</f>
        <v>26921.831999999999</v>
      </c>
      <c r="AD139" s="6">
        <f>$O$139*$X$139</f>
        <v>155832.16319999998</v>
      </c>
      <c r="AE139" s="6">
        <f ca="1">$K$139*$Y$139</f>
        <v>14793.682468519699</v>
      </c>
      <c r="AF139" s="6">
        <f ca="1">$M$139*$Z$139</f>
        <v>36233.98846180777</v>
      </c>
      <c r="AG139" s="6">
        <f>$O$139*$AA$139</f>
        <v>151834.61500197535</v>
      </c>
    </row>
    <row r="140" spans="1:33" ht="11.25" customHeight="1" x14ac:dyDescent="0.25">
      <c r="A140" s="4" t="s">
        <v>21</v>
      </c>
      <c r="B140" s="4" t="s">
        <v>39</v>
      </c>
      <c r="C140" s="4" t="s">
        <v>40</v>
      </c>
      <c r="D140" s="4" t="s">
        <v>45</v>
      </c>
      <c r="E140" s="4" t="s">
        <v>25</v>
      </c>
      <c r="F140" s="4" t="s">
        <v>25</v>
      </c>
      <c r="G140" s="4" t="s">
        <v>25</v>
      </c>
      <c r="H140" s="4" t="s">
        <v>35</v>
      </c>
      <c r="I140" s="5">
        <v>44531</v>
      </c>
      <c r="J140" s="6">
        <v>1365</v>
      </c>
      <c r="K140" s="60">
        <v>1365</v>
      </c>
      <c r="L140" s="6">
        <v>574</v>
      </c>
      <c r="M140" s="60">
        <v>574</v>
      </c>
      <c r="N140" s="6">
        <v>574</v>
      </c>
      <c r="O140" s="60">
        <v>574</v>
      </c>
      <c r="P140" s="6">
        <v>0</v>
      </c>
      <c r="Q140" s="4" t="s">
        <v>26</v>
      </c>
      <c r="R140" s="4">
        <v>0</v>
      </c>
      <c r="S140" s="6">
        <v>3</v>
      </c>
      <c r="T140" s="6">
        <v>5</v>
      </c>
      <c r="U140" s="6">
        <v>65</v>
      </c>
      <c r="V140" s="60">
        <f>IF(ISERROR(VLOOKUP($S$140,'TAR FIN'!$A$1:$O$104,15,0)),0,VLOOKUP($S$140,'TAR FIN'!$A$1:$O$104,15,0))*(1-0.04)</f>
        <v>10.7232</v>
      </c>
      <c r="W140" s="60">
        <f>IF(ISERROR(VLOOKUP($T$140,'TAR FIN'!$A$1:$O$104,15,0)),0,VLOOKUP($T$140,'TAR FIN'!$A$1:$O$104,15,0))*(1-0.04)</f>
        <v>40.271999999999998</v>
      </c>
      <c r="X140" s="60">
        <f>IF(ISERROR(VLOOKUP($U$140,'TAR FIN'!$A$1:$O$104,15,0)),0,VLOOKUP($U$140,'TAR FIN'!$A$1:$O$104,15,0))*(1-0.04)</f>
        <v>233.10719999999998</v>
      </c>
      <c r="Y140" s="60">
        <f ca="1">('TUSD BE'!$AM$6+'TUSD BF'!$AM$6+'TUSD CVA'!$AM$6)*1*(1-0.02)</f>
        <v>10.837862614300146</v>
      </c>
      <c r="Z140" s="60">
        <f ca="1">('TUSD BE'!$AM$7+'TUSD BF'!$AM$7+'TUSD CVA'!$AM$7)*1*(1-0.02)</f>
        <v>54.201927392382608</v>
      </c>
      <c r="AA140" s="60">
        <f>('TE BE'!$AB$6+'TE BF'!$AB$6+'TE CVA'!$AB$6)*1*(1-0.02)</f>
        <v>227.12732236645527</v>
      </c>
      <c r="AB140" s="6">
        <f>$K$140*$V$140</f>
        <v>14637.168</v>
      </c>
      <c r="AC140" s="6">
        <f>$M$140*$W$140</f>
        <v>23116.128000000001</v>
      </c>
      <c r="AD140" s="6">
        <f>$O$140*$X$140</f>
        <v>133803.53279999999</v>
      </c>
      <c r="AE140" s="6">
        <f ca="1">$K$140*$Y$140</f>
        <v>14793.682468519699</v>
      </c>
      <c r="AF140" s="6">
        <f ca="1">$M$140*$Z$140</f>
        <v>31111.906323227617</v>
      </c>
      <c r="AG140" s="6">
        <f>$O$140*$AA$140</f>
        <v>130371.08303834533</v>
      </c>
    </row>
    <row r="141" spans="1:33" ht="11.25" customHeight="1" x14ac:dyDescent="0.25">
      <c r="A141" s="4" t="s">
        <v>21</v>
      </c>
      <c r="B141" s="4" t="s">
        <v>39</v>
      </c>
      <c r="C141" s="4" t="s">
        <v>40</v>
      </c>
      <c r="D141" s="4" t="s">
        <v>45</v>
      </c>
      <c r="E141" s="4" t="s">
        <v>25</v>
      </c>
      <c r="F141" s="4" t="s">
        <v>25</v>
      </c>
      <c r="G141" s="4" t="s">
        <v>25</v>
      </c>
      <c r="H141" s="4" t="s">
        <v>35</v>
      </c>
      <c r="I141" s="5">
        <v>44562</v>
      </c>
      <c r="J141" s="6">
        <v>1372</v>
      </c>
      <c r="K141" s="60">
        <v>1372</v>
      </c>
      <c r="L141" s="6">
        <v>153.733</v>
      </c>
      <c r="M141" s="60">
        <v>153.733</v>
      </c>
      <c r="N141" s="6">
        <v>153.733</v>
      </c>
      <c r="O141" s="60">
        <v>153.733</v>
      </c>
      <c r="P141" s="6">
        <v>0</v>
      </c>
      <c r="Q141" s="4" t="s">
        <v>26</v>
      </c>
      <c r="R141" s="4">
        <v>0</v>
      </c>
      <c r="S141" s="6">
        <v>3</v>
      </c>
      <c r="T141" s="6">
        <v>5</v>
      </c>
      <c r="U141" s="6">
        <v>65</v>
      </c>
      <c r="V141" s="60">
        <f>IF(ISERROR(VLOOKUP($S$141,'TAR FIN'!$A$1:$O$104,15,0)),0,VLOOKUP($S$141,'TAR FIN'!$A$1:$O$104,15,0))*(1-0.04)</f>
        <v>10.7232</v>
      </c>
      <c r="W141" s="60">
        <f>IF(ISERROR(VLOOKUP($T$141,'TAR FIN'!$A$1:$O$104,15,0)),0,VLOOKUP($T$141,'TAR FIN'!$A$1:$O$104,15,0))*(1-0.04)</f>
        <v>40.271999999999998</v>
      </c>
      <c r="X141" s="60">
        <f>IF(ISERROR(VLOOKUP($U$141,'TAR FIN'!$A$1:$O$104,15,0)),0,VLOOKUP($U$141,'TAR FIN'!$A$1:$O$104,15,0))*(1-0.04)</f>
        <v>233.10719999999998</v>
      </c>
      <c r="Y141" s="60">
        <f ca="1">('TUSD BE'!$AM$6+'TUSD BF'!$AM$6+'TUSD CVA'!$AM$6)*1*(1-0.02)</f>
        <v>10.837862614300146</v>
      </c>
      <c r="Z141" s="60">
        <f ca="1">('TUSD BE'!$AM$7+'TUSD BF'!$AM$7+'TUSD CVA'!$AM$7)*1*(1-0.02)</f>
        <v>54.201927392382608</v>
      </c>
      <c r="AA141" s="60">
        <f>('TE BE'!$AB$6+'TE BF'!$AB$6+'TE CVA'!$AB$6)*1*(1-0.02)</f>
        <v>227.12732236645527</v>
      </c>
      <c r="AB141" s="6">
        <f>$K$141*$V$141</f>
        <v>14712.2304</v>
      </c>
      <c r="AC141" s="6">
        <f>$M$141*$W$141</f>
        <v>6191.1353760000002</v>
      </c>
      <c r="AD141" s="6">
        <f>$O$141*$X$141</f>
        <v>35836.269177599999</v>
      </c>
      <c r="AE141" s="6">
        <f ca="1">$K$141*$Y$141</f>
        <v>14869.547506819801</v>
      </c>
      <c r="AF141" s="6">
        <f ca="1">$M$141*$Z$141</f>
        <v>8332.6249038131555</v>
      </c>
      <c r="AG141" s="6">
        <f>$O$141*$AA$141</f>
        <v>34916.964649362271</v>
      </c>
    </row>
    <row r="142" spans="1:33" ht="11.25" customHeight="1" x14ac:dyDescent="0.25">
      <c r="A142" s="4" t="s">
        <v>21</v>
      </c>
      <c r="B142" s="4" t="s">
        <v>39</v>
      </c>
      <c r="C142" s="4" t="s">
        <v>40</v>
      </c>
      <c r="D142" s="4" t="s">
        <v>45</v>
      </c>
      <c r="E142" s="4" t="s">
        <v>25</v>
      </c>
      <c r="F142" s="4" t="s">
        <v>25</v>
      </c>
      <c r="G142" s="4" t="s">
        <v>25</v>
      </c>
      <c r="H142" s="4" t="s">
        <v>35</v>
      </c>
      <c r="I142" s="5">
        <v>44593</v>
      </c>
      <c r="J142" s="6">
        <v>1380</v>
      </c>
      <c r="K142" s="60">
        <v>1380</v>
      </c>
      <c r="L142" s="6">
        <v>304</v>
      </c>
      <c r="M142" s="60">
        <v>304</v>
      </c>
      <c r="N142" s="6">
        <v>304</v>
      </c>
      <c r="O142" s="60">
        <v>304</v>
      </c>
      <c r="P142" s="6">
        <v>0</v>
      </c>
      <c r="Q142" s="4" t="s">
        <v>26</v>
      </c>
      <c r="R142" s="4">
        <v>0</v>
      </c>
      <c r="S142" s="6">
        <v>3</v>
      </c>
      <c r="T142" s="6">
        <v>5</v>
      </c>
      <c r="U142" s="6">
        <v>65</v>
      </c>
      <c r="V142" s="60">
        <f>IF(ISERROR(VLOOKUP($S$142,'TAR FIN'!$A$1:$O$104,15,0)),0,VLOOKUP($S$142,'TAR FIN'!$A$1:$O$104,15,0))*(1-0.04)</f>
        <v>10.7232</v>
      </c>
      <c r="W142" s="60">
        <f>IF(ISERROR(VLOOKUP($T$142,'TAR FIN'!$A$1:$O$104,15,0)),0,VLOOKUP($T$142,'TAR FIN'!$A$1:$O$104,15,0))*(1-0.04)</f>
        <v>40.271999999999998</v>
      </c>
      <c r="X142" s="60">
        <f>IF(ISERROR(VLOOKUP($U$142,'TAR FIN'!$A$1:$O$104,15,0)),0,VLOOKUP($U$142,'TAR FIN'!$A$1:$O$104,15,0))*(1-0.04)</f>
        <v>233.10719999999998</v>
      </c>
      <c r="Y142" s="60">
        <f ca="1">('TUSD BE'!$AM$6+'TUSD BF'!$AM$6+'TUSD CVA'!$AM$6)*1*(1-0.02)</f>
        <v>10.837862614300146</v>
      </c>
      <c r="Z142" s="60">
        <f ca="1">('TUSD BE'!$AM$7+'TUSD BF'!$AM$7+'TUSD CVA'!$AM$7)*1*(1-0.02)</f>
        <v>54.201927392382608</v>
      </c>
      <c r="AA142" s="60">
        <f>('TE BE'!$AB$6+'TE BF'!$AB$6+'TE CVA'!$AB$6)*1*(1-0.02)</f>
        <v>227.12732236645527</v>
      </c>
      <c r="AB142" s="6">
        <f>$K$142*$V$142</f>
        <v>14798.016</v>
      </c>
      <c r="AC142" s="6">
        <f>$M$142*$W$142</f>
        <v>12242.688</v>
      </c>
      <c r="AD142" s="6">
        <f>$O$142*$X$142</f>
        <v>70864.588799999998</v>
      </c>
      <c r="AE142" s="6">
        <f ca="1">$K$142*$Y$142</f>
        <v>14956.250407734202</v>
      </c>
      <c r="AF142" s="6">
        <f ca="1">$M$142*$Z$142</f>
        <v>16477.385927284311</v>
      </c>
      <c r="AG142" s="6">
        <f>$O$142*$AA$142</f>
        <v>69046.705999402402</v>
      </c>
    </row>
    <row r="143" spans="1:33" ht="11.25" customHeight="1" x14ac:dyDescent="0.25">
      <c r="A143" s="4" t="s">
        <v>21</v>
      </c>
      <c r="B143" s="4" t="s">
        <v>39</v>
      </c>
      <c r="C143" s="4" t="s">
        <v>40</v>
      </c>
      <c r="D143" s="4" t="s">
        <v>45</v>
      </c>
      <c r="E143" s="4" t="s">
        <v>25</v>
      </c>
      <c r="F143" s="4" t="s">
        <v>25</v>
      </c>
      <c r="G143" s="4" t="s">
        <v>25</v>
      </c>
      <c r="H143" s="4" t="s">
        <v>35</v>
      </c>
      <c r="I143" s="5">
        <v>44621</v>
      </c>
      <c r="J143" s="6">
        <v>1372</v>
      </c>
      <c r="K143" s="60">
        <v>1372</v>
      </c>
      <c r="L143" s="6">
        <v>218.36199999999999</v>
      </c>
      <c r="M143" s="60">
        <v>218.36199999999999</v>
      </c>
      <c r="N143" s="6">
        <v>218.36199999999999</v>
      </c>
      <c r="O143" s="60">
        <v>218.36199999999999</v>
      </c>
      <c r="P143" s="6">
        <v>0</v>
      </c>
      <c r="Q143" s="4" t="s">
        <v>26</v>
      </c>
      <c r="R143" s="4">
        <v>0</v>
      </c>
      <c r="S143" s="6">
        <v>3</v>
      </c>
      <c r="T143" s="6">
        <v>5</v>
      </c>
      <c r="U143" s="6">
        <v>65</v>
      </c>
      <c r="V143" s="60">
        <f>IF(ISERROR(VLOOKUP($S$143,'TAR FIN'!$A$1:$O$104,15,0)),0,VLOOKUP($S$143,'TAR FIN'!$A$1:$O$104,15,0))*(1-0.04)</f>
        <v>10.7232</v>
      </c>
      <c r="W143" s="60">
        <f>IF(ISERROR(VLOOKUP($T$143,'TAR FIN'!$A$1:$O$104,15,0)),0,VLOOKUP($T$143,'TAR FIN'!$A$1:$O$104,15,0))*(1-0.04)</f>
        <v>40.271999999999998</v>
      </c>
      <c r="X143" s="60">
        <f>IF(ISERROR(VLOOKUP($U$143,'TAR FIN'!$A$1:$O$104,15,0)),0,VLOOKUP($U$143,'TAR FIN'!$A$1:$O$104,15,0))*(1-0.04)</f>
        <v>233.10719999999998</v>
      </c>
      <c r="Y143" s="60">
        <f ca="1">('TUSD BE'!$AM$6+'TUSD BF'!$AM$6+'TUSD CVA'!$AM$6)*1*(1-0.02)</f>
        <v>10.837862614300146</v>
      </c>
      <c r="Z143" s="60">
        <f ca="1">('TUSD BE'!$AM$7+'TUSD BF'!$AM$7+'TUSD CVA'!$AM$7)*1*(1-0.02)</f>
        <v>54.201927392382608</v>
      </c>
      <c r="AA143" s="60">
        <f>('TE BE'!$AB$6+'TE BF'!$AB$6+'TE CVA'!$AB$6)*1*(1-0.02)</f>
        <v>227.12732236645527</v>
      </c>
      <c r="AB143" s="6">
        <f>$K$143*$V$143</f>
        <v>14712.2304</v>
      </c>
      <c r="AC143" s="6">
        <f>$M$143*$W$143</f>
        <v>8793.8744639999986</v>
      </c>
      <c r="AD143" s="6">
        <f>$O$143*$X$143</f>
        <v>50901.754406399996</v>
      </c>
      <c r="AE143" s="6">
        <f ca="1">$K$143*$Y$143</f>
        <v>14869.547506819801</v>
      </c>
      <c r="AF143" s="6">
        <f ca="1">$M$143*$Z$143</f>
        <v>11835.641269255451</v>
      </c>
      <c r="AG143" s="6">
        <f>$O$143*$AA$143</f>
        <v>49595.976366583905</v>
      </c>
    </row>
    <row r="144" spans="1:33" ht="11.25" customHeight="1" x14ac:dyDescent="0.25">
      <c r="A144" s="4" t="s">
        <v>21</v>
      </c>
      <c r="B144" s="4" t="s">
        <v>39</v>
      </c>
      <c r="C144" s="4" t="s">
        <v>40</v>
      </c>
      <c r="D144" s="4" t="s">
        <v>45</v>
      </c>
      <c r="E144" s="4" t="s">
        <v>25</v>
      </c>
      <c r="F144" s="4" t="s">
        <v>25</v>
      </c>
      <c r="G144" s="4" t="s">
        <v>25</v>
      </c>
      <c r="H144" s="4" t="s">
        <v>35</v>
      </c>
      <c r="I144" s="5">
        <v>44652</v>
      </c>
      <c r="J144" s="6">
        <v>1363</v>
      </c>
      <c r="K144" s="60">
        <v>1363</v>
      </c>
      <c r="L144" s="6">
        <v>180.59800000000001</v>
      </c>
      <c r="M144" s="60">
        <v>180.59800000000001</v>
      </c>
      <c r="N144" s="6">
        <v>180.59800000000001</v>
      </c>
      <c r="O144" s="60">
        <v>180.59800000000001</v>
      </c>
      <c r="P144" s="6">
        <v>0</v>
      </c>
      <c r="Q144" s="4" t="s">
        <v>26</v>
      </c>
      <c r="R144" s="4">
        <v>0</v>
      </c>
      <c r="S144" s="6">
        <v>3</v>
      </c>
      <c r="T144" s="6">
        <v>5</v>
      </c>
      <c r="U144" s="6">
        <v>65</v>
      </c>
      <c r="V144" s="60">
        <f>IF(ISERROR(VLOOKUP($S$144,'TAR FIN'!$A$1:$O$104,15,0)),0,VLOOKUP($S$144,'TAR FIN'!$A$1:$O$104,15,0))*(1-0.04)</f>
        <v>10.7232</v>
      </c>
      <c r="W144" s="60">
        <f>IF(ISERROR(VLOOKUP($T$144,'TAR FIN'!$A$1:$O$104,15,0)),0,VLOOKUP($T$144,'TAR FIN'!$A$1:$O$104,15,0))*(1-0.04)</f>
        <v>40.271999999999998</v>
      </c>
      <c r="X144" s="60">
        <f>IF(ISERROR(VLOOKUP($U$144,'TAR FIN'!$A$1:$O$104,15,0)),0,VLOOKUP($U$144,'TAR FIN'!$A$1:$O$104,15,0))*(1-0.04)</f>
        <v>233.10719999999998</v>
      </c>
      <c r="Y144" s="60">
        <f ca="1">('TUSD BE'!$AM$6+'TUSD BF'!$AM$6+'TUSD CVA'!$AM$6)*1*(1-0.02)</f>
        <v>10.837862614300146</v>
      </c>
      <c r="Z144" s="60">
        <f ca="1">('TUSD BE'!$AM$7+'TUSD BF'!$AM$7+'TUSD CVA'!$AM$7)*1*(1-0.02)</f>
        <v>54.201927392382608</v>
      </c>
      <c r="AA144" s="60">
        <f>('TE BE'!$AB$6+'TE BF'!$AB$6+'TE CVA'!$AB$6)*1*(1-0.02)</f>
        <v>227.12732236645527</v>
      </c>
      <c r="AB144" s="6">
        <f>$K$144*$V$144</f>
        <v>14615.721600000001</v>
      </c>
      <c r="AC144" s="6">
        <f>$M$144*$W$144</f>
        <v>7273.0426560000005</v>
      </c>
      <c r="AD144" s="6">
        <f>$O$144*$X$144</f>
        <v>42098.6941056</v>
      </c>
      <c r="AE144" s="6">
        <f ca="1">$K$144*$Y$144</f>
        <v>14772.0067432911</v>
      </c>
      <c r="AF144" s="6">
        <f ca="1">$M$144*$Z$144</f>
        <v>9788.7596832095151</v>
      </c>
      <c r="AG144" s="6">
        <f>$O$144*$AA$144</f>
        <v>41018.740164737093</v>
      </c>
    </row>
    <row r="145" spans="1:33" ht="11.25" customHeight="1" x14ac:dyDescent="0.25">
      <c r="A145" s="4" t="s">
        <v>21</v>
      </c>
      <c r="B145" s="4" t="s">
        <v>39</v>
      </c>
      <c r="C145" s="4" t="s">
        <v>40</v>
      </c>
      <c r="D145" s="4" t="s">
        <v>45</v>
      </c>
      <c r="E145" s="4" t="s">
        <v>25</v>
      </c>
      <c r="F145" s="4" t="s">
        <v>25</v>
      </c>
      <c r="G145" s="4" t="s">
        <v>25</v>
      </c>
      <c r="H145" s="4" t="s">
        <v>35</v>
      </c>
      <c r="I145" s="5">
        <v>44682</v>
      </c>
      <c r="J145" s="6">
        <v>1374</v>
      </c>
      <c r="K145" s="60">
        <v>1374</v>
      </c>
      <c r="L145" s="6">
        <v>253.95599999999999</v>
      </c>
      <c r="M145" s="60">
        <v>253.95599999999999</v>
      </c>
      <c r="N145" s="6">
        <v>253.95599999999999</v>
      </c>
      <c r="O145" s="60">
        <v>253.95599999999999</v>
      </c>
      <c r="P145" s="6">
        <v>0</v>
      </c>
      <c r="Q145" s="4" t="s">
        <v>26</v>
      </c>
      <c r="R145" s="4">
        <v>0</v>
      </c>
      <c r="S145" s="6">
        <v>3</v>
      </c>
      <c r="T145" s="6">
        <v>5</v>
      </c>
      <c r="U145" s="6">
        <v>65</v>
      </c>
      <c r="V145" s="60">
        <f>IF(ISERROR(VLOOKUP($S$145,'TAR FIN'!$A$1:$O$104,15,0)),0,VLOOKUP($S$145,'TAR FIN'!$A$1:$O$104,15,0))*(1-0.04)</f>
        <v>10.7232</v>
      </c>
      <c r="W145" s="60">
        <f>IF(ISERROR(VLOOKUP($T$145,'TAR FIN'!$A$1:$O$104,15,0)),0,VLOOKUP($T$145,'TAR FIN'!$A$1:$O$104,15,0))*(1-0.04)</f>
        <v>40.271999999999998</v>
      </c>
      <c r="X145" s="60">
        <f>IF(ISERROR(VLOOKUP($U$145,'TAR FIN'!$A$1:$O$104,15,0)),0,VLOOKUP($U$145,'TAR FIN'!$A$1:$O$104,15,0))*(1-0.04)</f>
        <v>233.10719999999998</v>
      </c>
      <c r="Y145" s="60">
        <f ca="1">('TUSD BE'!$AM$6+'TUSD BF'!$AM$6+'TUSD CVA'!$AM$6)*1*(1-0.02)</f>
        <v>10.837862614300146</v>
      </c>
      <c r="Z145" s="60">
        <f ca="1">('TUSD BE'!$AM$7+'TUSD BF'!$AM$7+'TUSD CVA'!$AM$7)*1*(1-0.02)</f>
        <v>54.201927392382608</v>
      </c>
      <c r="AA145" s="60">
        <f>('TE BE'!$AB$6+'TE BF'!$AB$6+'TE CVA'!$AB$6)*1*(1-0.02)</f>
        <v>227.12732236645527</v>
      </c>
      <c r="AB145" s="6">
        <f>$K$145*$V$145</f>
        <v>14733.676800000001</v>
      </c>
      <c r="AC145" s="6">
        <f>$M$145*$W$145</f>
        <v>10227.316031999999</v>
      </c>
      <c r="AD145" s="6">
        <f>$O$145*$X$145</f>
        <v>59198.972083199995</v>
      </c>
      <c r="AE145" s="6">
        <f ca="1">$K$145*$Y$145</f>
        <v>14891.223232048402</v>
      </c>
      <c r="AF145" s="6">
        <f ca="1">$M$145*$Z$145</f>
        <v>13764.904672859917</v>
      </c>
      <c r="AG145" s="6">
        <f>$O$145*$AA$145</f>
        <v>57680.346278895515</v>
      </c>
    </row>
    <row r="146" spans="1:33" ht="11.25" customHeight="1" x14ac:dyDescent="0.25">
      <c r="A146" s="4" t="s">
        <v>21</v>
      </c>
      <c r="B146" s="4" t="s">
        <v>39</v>
      </c>
      <c r="C146" s="4" t="s">
        <v>40</v>
      </c>
      <c r="D146" s="4" t="s">
        <v>45</v>
      </c>
      <c r="E146" s="4" t="s">
        <v>25</v>
      </c>
      <c r="F146" s="4" t="s">
        <v>25</v>
      </c>
      <c r="G146" s="4" t="s">
        <v>25</v>
      </c>
      <c r="H146" s="4" t="s">
        <v>35</v>
      </c>
      <c r="I146" s="5">
        <v>44713</v>
      </c>
      <c r="J146" s="6">
        <v>1363</v>
      </c>
      <c r="K146" s="60">
        <v>1363</v>
      </c>
      <c r="L146" s="6">
        <v>198.58600000000001</v>
      </c>
      <c r="M146" s="60">
        <v>198.58600000000001</v>
      </c>
      <c r="N146" s="6">
        <v>198.58600000000001</v>
      </c>
      <c r="O146" s="60">
        <v>198.58600000000001</v>
      </c>
      <c r="P146" s="6">
        <v>0</v>
      </c>
      <c r="Q146" s="4" t="s">
        <v>26</v>
      </c>
      <c r="R146" s="4">
        <v>0</v>
      </c>
      <c r="S146" s="6">
        <v>3</v>
      </c>
      <c r="T146" s="6">
        <v>5</v>
      </c>
      <c r="U146" s="6">
        <v>65</v>
      </c>
      <c r="V146" s="60">
        <f>IF(ISERROR(VLOOKUP($S$146,'TAR FIN'!$A$1:$O$104,15,0)),0,VLOOKUP($S$146,'TAR FIN'!$A$1:$O$104,15,0))*(1-0.04)</f>
        <v>10.7232</v>
      </c>
      <c r="W146" s="60">
        <f>IF(ISERROR(VLOOKUP($T$146,'TAR FIN'!$A$1:$O$104,15,0)),0,VLOOKUP($T$146,'TAR FIN'!$A$1:$O$104,15,0))*(1-0.04)</f>
        <v>40.271999999999998</v>
      </c>
      <c r="X146" s="60">
        <f>IF(ISERROR(VLOOKUP($U$146,'TAR FIN'!$A$1:$O$104,15,0)),0,VLOOKUP($U$146,'TAR FIN'!$A$1:$O$104,15,0))*(1-0.04)</f>
        <v>233.10719999999998</v>
      </c>
      <c r="Y146" s="60">
        <f ca="1">('TUSD BE'!$AM$6+'TUSD BF'!$AM$6+'TUSD CVA'!$AM$6)*1*(1-0.02)</f>
        <v>10.837862614300146</v>
      </c>
      <c r="Z146" s="60">
        <f ca="1">('TUSD BE'!$AM$7+'TUSD BF'!$AM$7+'TUSD CVA'!$AM$7)*1*(1-0.02)</f>
        <v>54.201927392382608</v>
      </c>
      <c r="AA146" s="60">
        <f>('TE BE'!$AB$6+'TE BF'!$AB$6+'TE CVA'!$AB$6)*1*(1-0.02)</f>
        <v>227.12732236645527</v>
      </c>
      <c r="AB146" s="6">
        <f>$K$146*$V$146</f>
        <v>14615.721600000001</v>
      </c>
      <c r="AC146" s="6">
        <f>$M$146*$W$146</f>
        <v>7997.4553919999998</v>
      </c>
      <c r="AD146" s="6">
        <f>$O$146*$X$146</f>
        <v>46291.826419199999</v>
      </c>
      <c r="AE146" s="6">
        <f ca="1">$K$146*$Y$146</f>
        <v>14772.0067432911</v>
      </c>
      <c r="AF146" s="6">
        <f ca="1">$M$146*$Z$146</f>
        <v>10763.743953143694</v>
      </c>
      <c r="AG146" s="6">
        <f>$O$146*$AA$146</f>
        <v>45104.30643946489</v>
      </c>
    </row>
    <row r="147" spans="1:33" ht="11.25" customHeight="1" x14ac:dyDescent="0.25">
      <c r="A147" s="4" t="s">
        <v>57</v>
      </c>
      <c r="B147" s="4" t="s">
        <v>39</v>
      </c>
      <c r="C147" s="4" t="s">
        <v>40</v>
      </c>
      <c r="D147" s="4" t="s">
        <v>45</v>
      </c>
      <c r="E147" s="4" t="s">
        <v>25</v>
      </c>
      <c r="F147" s="4" t="s">
        <v>25</v>
      </c>
      <c r="G147" s="4" t="s">
        <v>25</v>
      </c>
      <c r="H147" s="4" t="s">
        <v>35</v>
      </c>
      <c r="I147" s="5">
        <v>44743</v>
      </c>
      <c r="J147" s="6">
        <v>1363</v>
      </c>
      <c r="K147" s="60">
        <v>1363</v>
      </c>
      <c r="L147" s="6">
        <v>198.58600000000001</v>
      </c>
      <c r="M147" s="60">
        <v>198.58600000000001</v>
      </c>
      <c r="N147" s="6">
        <v>198.58600000000001</v>
      </c>
      <c r="O147" s="60">
        <v>198.58600000000001</v>
      </c>
      <c r="P147" s="6">
        <v>0</v>
      </c>
      <c r="Q147" s="4" t="s">
        <v>26</v>
      </c>
      <c r="R147" s="4">
        <v>0</v>
      </c>
      <c r="S147" s="6">
        <v>3</v>
      </c>
      <c r="T147" s="6">
        <v>5</v>
      </c>
      <c r="U147" s="6">
        <v>65</v>
      </c>
      <c r="V147" s="60">
        <f>IF(ISERROR(VLOOKUP($S$147,'TAR FIN'!$A$1:$O$104,15,0)),0,VLOOKUP($S$147,'TAR FIN'!$A$1:$O$104,15,0))*(1-0.04)</f>
        <v>10.7232</v>
      </c>
      <c r="W147" s="60">
        <f>IF(ISERROR(VLOOKUP($T$147,'TAR FIN'!$A$1:$O$104,15,0)),0,VLOOKUP($T$147,'TAR FIN'!$A$1:$O$104,15,0))*(1-0.04)</f>
        <v>40.271999999999998</v>
      </c>
      <c r="X147" s="60">
        <f>IF(ISERROR(VLOOKUP($U$147,'TAR FIN'!$A$1:$O$104,15,0)),0,VLOOKUP($U$147,'TAR FIN'!$A$1:$O$104,15,0))*(1-0.04)</f>
        <v>233.10719999999998</v>
      </c>
      <c r="Y147" s="60">
        <f ca="1">('TUSD BE'!$AM$6+'TUSD BF'!$AM$6+'TUSD CVA'!$AM$6)*1*(1-0.02)</f>
        <v>10.837862614300146</v>
      </c>
      <c r="Z147" s="60">
        <f ca="1">('TUSD BE'!$AM$7+'TUSD BF'!$AM$7+'TUSD CVA'!$AM$7)*1*(1-0.02)</f>
        <v>54.201927392382608</v>
      </c>
      <c r="AA147" s="60">
        <f>('TE BE'!$AB$6+'TE BF'!$AB$6+'TE CVA'!$AB$6)*1*(1-0.02)</f>
        <v>227.12732236645527</v>
      </c>
      <c r="AB147" s="6">
        <f>$K$147*$V$147</f>
        <v>14615.721600000001</v>
      </c>
      <c r="AC147" s="6">
        <f>$M$147*$W$147</f>
        <v>7997.4553919999998</v>
      </c>
      <c r="AD147" s="6">
        <f>$O$147*$X$147</f>
        <v>46291.826419199999</v>
      </c>
      <c r="AE147" s="6">
        <f ca="1">$K$147*$Y$147</f>
        <v>14772.0067432911</v>
      </c>
      <c r="AF147" s="6">
        <f ca="1">$M$147*$Z$147</f>
        <v>10763.743953143694</v>
      </c>
      <c r="AG147" s="6">
        <f>$O$147*$AA$147</f>
        <v>45104.30643946489</v>
      </c>
    </row>
    <row r="148" spans="1:33" ht="11.25" customHeight="1" x14ac:dyDescent="0.25">
      <c r="A148" s="4" t="s">
        <v>21</v>
      </c>
      <c r="B148" s="4" t="s">
        <v>39</v>
      </c>
      <c r="C148" s="4" t="s">
        <v>40</v>
      </c>
      <c r="D148" s="4" t="s">
        <v>45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44409</v>
      </c>
      <c r="J148" s="6">
        <v>24</v>
      </c>
      <c r="K148" s="60">
        <v>24</v>
      </c>
      <c r="L148" s="6">
        <v>0</v>
      </c>
      <c r="M148" s="60">
        <v>0</v>
      </c>
      <c r="N148" s="6">
        <v>0</v>
      </c>
      <c r="O148" s="60">
        <v>0</v>
      </c>
      <c r="P148" s="6">
        <v>0</v>
      </c>
      <c r="Q148" s="4" t="s">
        <v>26</v>
      </c>
      <c r="R148" s="4">
        <v>0</v>
      </c>
      <c r="S148" s="6">
        <v>1</v>
      </c>
      <c r="T148" s="6">
        <v>0</v>
      </c>
      <c r="U148" s="6">
        <v>0</v>
      </c>
      <c r="V148" s="60">
        <f>IF(ISERROR(VLOOKUP($S$148,'TAR FIN'!$A$1:$O$104,15,0)),0,VLOOKUP($S$148,'TAR FIN'!$A$1:$O$104,15,0))*(1-0.04)</f>
        <v>20.620799999999999</v>
      </c>
      <c r="W148" s="60">
        <f>IF(ISERROR(VLOOKUP($T$148,'TAR FIN'!$A$1:$O$104,15,0)),0,VLOOKUP($T$148,'TAR FIN'!$A$1:$O$104,15,0))*(1-0.04)</f>
        <v>0</v>
      </c>
      <c r="X148" s="60">
        <f>IF(ISERROR(VLOOKUP($U$148,'TAR FIN'!$A$1:$O$104,15,0)),0,VLOOKUP($U$148,'TAR FIN'!$A$1:$O$104,15,0))*(1-0.04)</f>
        <v>0</v>
      </c>
      <c r="Y148" s="60">
        <f ca="1">('TUSD BE'!$AM$5+'TUSD BF'!$AM$5+'TUSD CVA'!$AM$5)*1*(1-0.02)</f>
        <v>20.886590412523198</v>
      </c>
      <c r="Z148" s="60">
        <f ca="1">('TUSD BE'!$AM$7+'TUSD BF'!$AM$7+'TUSD CVA'!$AM$7)*1*(1-0.02)</f>
        <v>54.201927392382608</v>
      </c>
      <c r="AA148" s="60">
        <f>('TE BE'!$AB$5+'TE BF'!$AB$5+'TE CVA'!$AB$5)*1*(1-0.02)</f>
        <v>353.05508603815775</v>
      </c>
      <c r="AB148" s="6">
        <f>$K$148*$V$148</f>
        <v>494.89919999999995</v>
      </c>
      <c r="AC148" s="6">
        <f>$M$148*$W$148</f>
        <v>0</v>
      </c>
      <c r="AD148" s="6">
        <f>$O$148*$X$148</f>
        <v>0</v>
      </c>
      <c r="AE148" s="6">
        <f ca="1">$K$148*$Y$148</f>
        <v>501.27816990055675</v>
      </c>
      <c r="AF148" s="6">
        <f ca="1">$M$148*$Z$148</f>
        <v>0</v>
      </c>
      <c r="AG148" s="6">
        <f>$O$148*$AA$148</f>
        <v>0</v>
      </c>
    </row>
    <row r="149" spans="1:33" ht="11.25" customHeight="1" x14ac:dyDescent="0.25">
      <c r="A149" s="4" t="s">
        <v>21</v>
      </c>
      <c r="B149" s="4" t="s">
        <v>39</v>
      </c>
      <c r="C149" s="4" t="s">
        <v>40</v>
      </c>
      <c r="D149" s="4" t="s">
        <v>45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44440</v>
      </c>
      <c r="J149" s="6">
        <v>35</v>
      </c>
      <c r="K149" s="60">
        <v>35</v>
      </c>
      <c r="L149" s="6">
        <v>3.5</v>
      </c>
      <c r="M149" s="60">
        <v>3.5</v>
      </c>
      <c r="N149" s="6">
        <v>3.5</v>
      </c>
      <c r="O149" s="60">
        <v>3.5</v>
      </c>
      <c r="P149" s="6">
        <v>0</v>
      </c>
      <c r="Q149" s="4" t="s">
        <v>26</v>
      </c>
      <c r="R149" s="4">
        <v>0</v>
      </c>
      <c r="S149" s="6">
        <v>1</v>
      </c>
      <c r="T149" s="6">
        <v>5</v>
      </c>
      <c r="U149" s="6">
        <v>64</v>
      </c>
      <c r="V149" s="60">
        <f>IF(ISERROR(VLOOKUP($S$149,'TAR FIN'!$A$1:$O$104,15,0)),0,VLOOKUP($S$149,'TAR FIN'!$A$1:$O$104,15,0))*(1-0.04)</f>
        <v>20.620799999999999</v>
      </c>
      <c r="W149" s="60">
        <f>IF(ISERROR(VLOOKUP($T$149,'TAR FIN'!$A$1:$O$104,15,0)),0,VLOOKUP($T$149,'TAR FIN'!$A$1:$O$104,15,0))*(1-0.04)</f>
        <v>40.271999999999998</v>
      </c>
      <c r="X149" s="60">
        <f>IF(ISERROR(VLOOKUP($U$149,'TAR FIN'!$A$1:$O$104,15,0)),0,VLOOKUP($U$149,'TAR FIN'!$A$1:$O$104,15,0))*(1-0.04)</f>
        <v>381.71519999999998</v>
      </c>
      <c r="Y149" s="60">
        <f ca="1">('TUSD BE'!$AM$5+'TUSD BF'!$AM$5+'TUSD CVA'!$AM$5)*1*(1-0.02)</f>
        <v>20.886590412523198</v>
      </c>
      <c r="Z149" s="60">
        <f ca="1">('TUSD BE'!$AM$7+'TUSD BF'!$AM$7+'TUSD CVA'!$AM$7)*1*(1-0.02)</f>
        <v>54.201927392382608</v>
      </c>
      <c r="AA149" s="60">
        <f>('TE BE'!$AB$5+'TE BF'!$AB$5+'TE CVA'!$AB$5)*1*(1-0.02)</f>
        <v>353.05508603815775</v>
      </c>
      <c r="AB149" s="6">
        <f>$K$149*$V$149</f>
        <v>721.72799999999995</v>
      </c>
      <c r="AC149" s="6">
        <f>$M$149*$W$149</f>
        <v>140.952</v>
      </c>
      <c r="AD149" s="6">
        <f>$O$149*$X$149</f>
        <v>1336.0031999999999</v>
      </c>
      <c r="AE149" s="6">
        <f ca="1">$K$149*$Y$149</f>
        <v>731.03066443831187</v>
      </c>
      <c r="AF149" s="6">
        <f ca="1">$M$149*$Z$149</f>
        <v>189.70674587333912</v>
      </c>
      <c r="AG149" s="6">
        <f>$O$149*$AA$149</f>
        <v>1235.6928011335522</v>
      </c>
    </row>
    <row r="150" spans="1:33" ht="11.25" customHeight="1" x14ac:dyDescent="0.25">
      <c r="A150" s="4" t="s">
        <v>21</v>
      </c>
      <c r="B150" s="4" t="s">
        <v>39</v>
      </c>
      <c r="C150" s="4" t="s">
        <v>40</v>
      </c>
      <c r="D150" s="4" t="s">
        <v>45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44470</v>
      </c>
      <c r="J150" s="6">
        <v>105</v>
      </c>
      <c r="K150" s="60">
        <v>105</v>
      </c>
      <c r="L150" s="6">
        <v>0</v>
      </c>
      <c r="M150" s="60">
        <v>0</v>
      </c>
      <c r="N150" s="6">
        <v>0</v>
      </c>
      <c r="O150" s="60">
        <v>0</v>
      </c>
      <c r="P150" s="6">
        <v>0</v>
      </c>
      <c r="Q150" s="4" t="s">
        <v>26</v>
      </c>
      <c r="R150" s="4">
        <v>0</v>
      </c>
      <c r="S150" s="6">
        <v>1</v>
      </c>
      <c r="T150" s="6">
        <v>0</v>
      </c>
      <c r="U150" s="6">
        <v>0</v>
      </c>
      <c r="V150" s="60">
        <f>IF(ISERROR(VLOOKUP($S$150,'TAR FIN'!$A$1:$O$104,15,0)),0,VLOOKUP($S$150,'TAR FIN'!$A$1:$O$104,15,0))*(1-0.04)</f>
        <v>20.620799999999999</v>
      </c>
      <c r="W150" s="60">
        <f>IF(ISERROR(VLOOKUP($T$150,'TAR FIN'!$A$1:$O$104,15,0)),0,VLOOKUP($T$150,'TAR FIN'!$A$1:$O$104,15,0))*(1-0.04)</f>
        <v>0</v>
      </c>
      <c r="X150" s="60">
        <f>IF(ISERROR(VLOOKUP($U$150,'TAR FIN'!$A$1:$O$104,15,0)),0,VLOOKUP($U$150,'TAR FIN'!$A$1:$O$104,15,0))*(1-0.04)</f>
        <v>0</v>
      </c>
      <c r="Y150" s="60">
        <f ca="1">('TUSD BE'!$AM$5+'TUSD BF'!$AM$5+'TUSD CVA'!$AM$5)*1*(1-0.02)</f>
        <v>20.886590412523198</v>
      </c>
      <c r="Z150" s="60">
        <f ca="1">('TUSD BE'!$AM$7+'TUSD BF'!$AM$7+'TUSD CVA'!$AM$7)*1*(1-0.02)</f>
        <v>54.201927392382608</v>
      </c>
      <c r="AA150" s="60">
        <f>('TE BE'!$AB$5+'TE BF'!$AB$5+'TE CVA'!$AB$5)*1*(1-0.02)</f>
        <v>353.05508603815775</v>
      </c>
      <c r="AB150" s="6">
        <f>$K$150*$V$150</f>
        <v>2165.1839999999997</v>
      </c>
      <c r="AC150" s="6">
        <f>$M$150*$W$150</f>
        <v>0</v>
      </c>
      <c r="AD150" s="6">
        <f>$O$150*$X$150</f>
        <v>0</v>
      </c>
      <c r="AE150" s="6">
        <f ca="1">$K$150*$Y$150</f>
        <v>2193.0919933149357</v>
      </c>
      <c r="AF150" s="6">
        <f ca="1">$M$150*$Z$150</f>
        <v>0</v>
      </c>
      <c r="AG150" s="6">
        <f>$O$150*$AA$150</f>
        <v>0</v>
      </c>
    </row>
    <row r="151" spans="1:33" ht="11.25" customHeight="1" x14ac:dyDescent="0.25">
      <c r="A151" s="4" t="s">
        <v>21</v>
      </c>
      <c r="B151" s="4" t="s">
        <v>39</v>
      </c>
      <c r="C151" s="4" t="s">
        <v>40</v>
      </c>
      <c r="D151" s="4" t="s">
        <v>45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44501</v>
      </c>
      <c r="J151" s="6">
        <v>140</v>
      </c>
      <c r="K151" s="60">
        <v>140</v>
      </c>
      <c r="L151" s="6">
        <v>0</v>
      </c>
      <c r="M151" s="60">
        <v>0</v>
      </c>
      <c r="N151" s="6">
        <v>0</v>
      </c>
      <c r="O151" s="60">
        <v>0</v>
      </c>
      <c r="P151" s="6">
        <v>0</v>
      </c>
      <c r="Q151" s="4" t="s">
        <v>26</v>
      </c>
      <c r="R151" s="4">
        <v>0</v>
      </c>
      <c r="S151" s="6">
        <v>1</v>
      </c>
      <c r="T151" s="6">
        <v>0</v>
      </c>
      <c r="U151" s="6">
        <v>0</v>
      </c>
      <c r="V151" s="60">
        <f>IF(ISERROR(VLOOKUP($S$151,'TAR FIN'!$A$1:$O$104,15,0)),0,VLOOKUP($S$151,'TAR FIN'!$A$1:$O$104,15,0))*(1-0.04)</f>
        <v>20.620799999999999</v>
      </c>
      <c r="W151" s="60">
        <f>IF(ISERROR(VLOOKUP($T$151,'TAR FIN'!$A$1:$O$104,15,0)),0,VLOOKUP($T$151,'TAR FIN'!$A$1:$O$104,15,0))*(1-0.04)</f>
        <v>0</v>
      </c>
      <c r="X151" s="60">
        <f>IF(ISERROR(VLOOKUP($U$151,'TAR FIN'!$A$1:$O$104,15,0)),0,VLOOKUP($U$151,'TAR FIN'!$A$1:$O$104,15,0))*(1-0.04)</f>
        <v>0</v>
      </c>
      <c r="Y151" s="60">
        <f ca="1">('TUSD BE'!$AM$5+'TUSD BF'!$AM$5+'TUSD CVA'!$AM$5)*1*(1-0.02)</f>
        <v>20.886590412523198</v>
      </c>
      <c r="Z151" s="60">
        <f ca="1">('TUSD BE'!$AM$7+'TUSD BF'!$AM$7+'TUSD CVA'!$AM$7)*1*(1-0.02)</f>
        <v>54.201927392382608</v>
      </c>
      <c r="AA151" s="60">
        <f>('TE BE'!$AB$5+'TE BF'!$AB$5+'TE CVA'!$AB$5)*1*(1-0.02)</f>
        <v>353.05508603815775</v>
      </c>
      <c r="AB151" s="6">
        <f>$K$151*$V$151</f>
        <v>2886.9119999999998</v>
      </c>
      <c r="AC151" s="6">
        <f>$M$151*$W$151</f>
        <v>0</v>
      </c>
      <c r="AD151" s="6">
        <f>$O$151*$X$151</f>
        <v>0</v>
      </c>
      <c r="AE151" s="6">
        <f ca="1">$K$151*$Y$151</f>
        <v>2924.1226577532475</v>
      </c>
      <c r="AF151" s="6">
        <f ca="1">$M$151*$Z$151</f>
        <v>0</v>
      </c>
      <c r="AG151" s="6">
        <f>$O$151*$AA$151</f>
        <v>0</v>
      </c>
    </row>
    <row r="152" spans="1:33" ht="11.25" customHeight="1" x14ac:dyDescent="0.25">
      <c r="A152" s="4" t="s">
        <v>21</v>
      </c>
      <c r="B152" s="4" t="s">
        <v>39</v>
      </c>
      <c r="C152" s="4" t="s">
        <v>40</v>
      </c>
      <c r="D152" s="4" t="s">
        <v>45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44531</v>
      </c>
      <c r="J152" s="6">
        <v>210</v>
      </c>
      <c r="K152" s="60">
        <v>210</v>
      </c>
      <c r="L152" s="6">
        <v>0</v>
      </c>
      <c r="M152" s="60">
        <v>0</v>
      </c>
      <c r="N152" s="6">
        <v>0</v>
      </c>
      <c r="O152" s="60">
        <v>0</v>
      </c>
      <c r="P152" s="6">
        <v>0</v>
      </c>
      <c r="Q152" s="4" t="s">
        <v>26</v>
      </c>
      <c r="R152" s="4">
        <v>0</v>
      </c>
      <c r="S152" s="6">
        <v>1</v>
      </c>
      <c r="T152" s="6">
        <v>0</v>
      </c>
      <c r="U152" s="6">
        <v>0</v>
      </c>
      <c r="V152" s="60">
        <f>IF(ISERROR(VLOOKUP($S$152,'TAR FIN'!$A$1:$O$104,15,0)),0,VLOOKUP($S$152,'TAR FIN'!$A$1:$O$104,15,0))*(1-0.04)</f>
        <v>20.620799999999999</v>
      </c>
      <c r="W152" s="60">
        <f>IF(ISERROR(VLOOKUP($T$152,'TAR FIN'!$A$1:$O$104,15,0)),0,VLOOKUP($T$152,'TAR FIN'!$A$1:$O$104,15,0))*(1-0.04)</f>
        <v>0</v>
      </c>
      <c r="X152" s="60">
        <f>IF(ISERROR(VLOOKUP($U$152,'TAR FIN'!$A$1:$O$104,15,0)),0,VLOOKUP($U$152,'TAR FIN'!$A$1:$O$104,15,0))*(1-0.04)</f>
        <v>0</v>
      </c>
      <c r="Y152" s="60">
        <f ca="1">('TUSD BE'!$AM$5+'TUSD BF'!$AM$5+'TUSD CVA'!$AM$5)*1*(1-0.02)</f>
        <v>20.886590412523198</v>
      </c>
      <c r="Z152" s="60">
        <f ca="1">('TUSD BE'!$AM$7+'TUSD BF'!$AM$7+'TUSD CVA'!$AM$7)*1*(1-0.02)</f>
        <v>54.201927392382608</v>
      </c>
      <c r="AA152" s="60">
        <f>('TE BE'!$AB$5+'TE BF'!$AB$5+'TE CVA'!$AB$5)*1*(1-0.02)</f>
        <v>353.05508603815775</v>
      </c>
      <c r="AB152" s="6">
        <f>$K$152*$V$152</f>
        <v>4330.3679999999995</v>
      </c>
      <c r="AC152" s="6">
        <f>$M$152*$W$152</f>
        <v>0</v>
      </c>
      <c r="AD152" s="6">
        <f>$O$152*$X$152</f>
        <v>0</v>
      </c>
      <c r="AE152" s="6">
        <f ca="1">$K$152*$Y$152</f>
        <v>4386.1839866298715</v>
      </c>
      <c r="AF152" s="6">
        <f ca="1">$M$152*$Z$152</f>
        <v>0</v>
      </c>
      <c r="AG152" s="6">
        <f>$O$152*$AA$152</f>
        <v>0</v>
      </c>
    </row>
    <row r="153" spans="1:33" ht="11.25" customHeight="1" x14ac:dyDescent="0.25">
      <c r="A153" s="4" t="s">
        <v>21</v>
      </c>
      <c r="B153" s="4" t="s">
        <v>39</v>
      </c>
      <c r="C153" s="4" t="s">
        <v>40</v>
      </c>
      <c r="D153" s="4" t="s">
        <v>45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44562</v>
      </c>
      <c r="J153" s="6">
        <v>21</v>
      </c>
      <c r="K153" s="60">
        <v>21</v>
      </c>
      <c r="L153" s="6">
        <v>1.0149999999999999</v>
      </c>
      <c r="M153" s="60">
        <v>1.0149999999999999</v>
      </c>
      <c r="N153" s="6">
        <v>1.0149999999999999</v>
      </c>
      <c r="O153" s="60">
        <v>1.0149999999999999</v>
      </c>
      <c r="P153" s="6">
        <v>0</v>
      </c>
      <c r="Q153" s="4" t="s">
        <v>26</v>
      </c>
      <c r="R153" s="4">
        <v>0</v>
      </c>
      <c r="S153" s="6">
        <v>1</v>
      </c>
      <c r="T153" s="6">
        <v>5</v>
      </c>
      <c r="U153" s="6">
        <v>64</v>
      </c>
      <c r="V153" s="60">
        <f>IF(ISERROR(VLOOKUP($S$153,'TAR FIN'!$A$1:$O$104,15,0)),0,VLOOKUP($S$153,'TAR FIN'!$A$1:$O$104,15,0))*(1-0.04)</f>
        <v>20.620799999999999</v>
      </c>
      <c r="W153" s="60">
        <f>IF(ISERROR(VLOOKUP($T$153,'TAR FIN'!$A$1:$O$104,15,0)),0,VLOOKUP($T$153,'TAR FIN'!$A$1:$O$104,15,0))*(1-0.04)</f>
        <v>40.271999999999998</v>
      </c>
      <c r="X153" s="60">
        <f>IF(ISERROR(VLOOKUP($U$153,'TAR FIN'!$A$1:$O$104,15,0)),0,VLOOKUP($U$153,'TAR FIN'!$A$1:$O$104,15,0))*(1-0.04)</f>
        <v>381.71519999999998</v>
      </c>
      <c r="Y153" s="60">
        <f ca="1">('TUSD BE'!$AM$5+'TUSD BF'!$AM$5+'TUSD CVA'!$AM$5)*1*(1-0.02)</f>
        <v>20.886590412523198</v>
      </c>
      <c r="Z153" s="60">
        <f ca="1">('TUSD BE'!$AM$7+'TUSD BF'!$AM$7+'TUSD CVA'!$AM$7)*1*(1-0.02)</f>
        <v>54.201927392382608</v>
      </c>
      <c r="AA153" s="60">
        <f>('TE BE'!$AB$5+'TE BF'!$AB$5+'TE CVA'!$AB$5)*1*(1-0.02)</f>
        <v>353.05508603815775</v>
      </c>
      <c r="AB153" s="6">
        <f>$K$153*$V$153</f>
        <v>433.03679999999997</v>
      </c>
      <c r="AC153" s="6">
        <f>$M$153*$W$153</f>
        <v>40.876079999999995</v>
      </c>
      <c r="AD153" s="6">
        <f>$O$153*$X$153</f>
        <v>387.44092799999993</v>
      </c>
      <c r="AE153" s="6">
        <f ca="1">$K$153*$Y$153</f>
        <v>438.61839866298715</v>
      </c>
      <c r="AF153" s="6">
        <f ca="1">$M$153*$Z$153</f>
        <v>55.014956303268342</v>
      </c>
      <c r="AG153" s="6">
        <f>$O$153*$AA$153</f>
        <v>358.35091232873009</v>
      </c>
    </row>
    <row r="154" spans="1:33" ht="11.25" customHeight="1" x14ac:dyDescent="0.25">
      <c r="A154" s="4" t="s">
        <v>21</v>
      </c>
      <c r="B154" s="4" t="s">
        <v>39</v>
      </c>
      <c r="C154" s="4" t="s">
        <v>40</v>
      </c>
      <c r="D154" s="4" t="s">
        <v>45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44593</v>
      </c>
      <c r="J154" s="6">
        <v>21</v>
      </c>
      <c r="K154" s="60">
        <v>21</v>
      </c>
      <c r="L154" s="6">
        <v>0.45600000000000002</v>
      </c>
      <c r="M154" s="60">
        <v>0.45600000000000002</v>
      </c>
      <c r="N154" s="6">
        <v>0.45600000000000002</v>
      </c>
      <c r="O154" s="60">
        <v>0.45600000000000002</v>
      </c>
      <c r="P154" s="6">
        <v>0</v>
      </c>
      <c r="Q154" s="4" t="s">
        <v>26</v>
      </c>
      <c r="R154" s="4">
        <v>0</v>
      </c>
      <c r="S154" s="6">
        <v>1</v>
      </c>
      <c r="T154" s="6">
        <v>5</v>
      </c>
      <c r="U154" s="6">
        <v>64</v>
      </c>
      <c r="V154" s="60">
        <f>IF(ISERROR(VLOOKUP($S$154,'TAR FIN'!$A$1:$O$104,15,0)),0,VLOOKUP($S$154,'TAR FIN'!$A$1:$O$104,15,0))*(1-0.04)</f>
        <v>20.620799999999999</v>
      </c>
      <c r="W154" s="60">
        <f>IF(ISERROR(VLOOKUP($T$154,'TAR FIN'!$A$1:$O$104,15,0)),0,VLOOKUP($T$154,'TAR FIN'!$A$1:$O$104,15,0))*(1-0.04)</f>
        <v>40.271999999999998</v>
      </c>
      <c r="X154" s="60">
        <f>IF(ISERROR(VLOOKUP($U$154,'TAR FIN'!$A$1:$O$104,15,0)),0,VLOOKUP($U$154,'TAR FIN'!$A$1:$O$104,15,0))*(1-0.04)</f>
        <v>381.71519999999998</v>
      </c>
      <c r="Y154" s="60">
        <f ca="1">('TUSD BE'!$AM$5+'TUSD BF'!$AM$5+'TUSD CVA'!$AM$5)*1*(1-0.02)</f>
        <v>20.886590412523198</v>
      </c>
      <c r="Z154" s="60">
        <f ca="1">('TUSD BE'!$AM$7+'TUSD BF'!$AM$7+'TUSD CVA'!$AM$7)*1*(1-0.02)</f>
        <v>54.201927392382608</v>
      </c>
      <c r="AA154" s="60">
        <f>('TE BE'!$AB$5+'TE BF'!$AB$5+'TE CVA'!$AB$5)*1*(1-0.02)</f>
        <v>353.05508603815775</v>
      </c>
      <c r="AB154" s="6">
        <f>$K$154*$V$154</f>
        <v>433.03679999999997</v>
      </c>
      <c r="AC154" s="6">
        <f>$M$154*$W$154</f>
        <v>18.364032000000002</v>
      </c>
      <c r="AD154" s="6">
        <f>$O$154*$X$154</f>
        <v>174.06213120000001</v>
      </c>
      <c r="AE154" s="6">
        <f ca="1">$K$154*$Y$154</f>
        <v>438.61839866298715</v>
      </c>
      <c r="AF154" s="6">
        <f ca="1">$M$154*$Z$154</f>
        <v>24.716078890926472</v>
      </c>
      <c r="AG154" s="6">
        <f>$O$154*$AA$154</f>
        <v>160.99311923339994</v>
      </c>
    </row>
    <row r="155" spans="1:33" ht="11.25" customHeight="1" x14ac:dyDescent="0.25">
      <c r="A155" s="4" t="s">
        <v>21</v>
      </c>
      <c r="B155" s="4" t="s">
        <v>39</v>
      </c>
      <c r="C155" s="4" t="s">
        <v>40</v>
      </c>
      <c r="D155" s="4" t="s">
        <v>45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44621</v>
      </c>
      <c r="J155" s="6">
        <v>193</v>
      </c>
      <c r="K155" s="60">
        <v>193</v>
      </c>
      <c r="L155" s="6">
        <v>0.56200000000000006</v>
      </c>
      <c r="M155" s="60">
        <v>0.56200000000000006</v>
      </c>
      <c r="N155" s="6">
        <v>0.56200000000000006</v>
      </c>
      <c r="O155" s="60">
        <v>0.56200000000000006</v>
      </c>
      <c r="P155" s="6">
        <v>0</v>
      </c>
      <c r="Q155" s="4" t="s">
        <v>26</v>
      </c>
      <c r="R155" s="4">
        <v>0</v>
      </c>
      <c r="S155" s="6">
        <v>1</v>
      </c>
      <c r="T155" s="6">
        <v>5</v>
      </c>
      <c r="U155" s="6">
        <v>64</v>
      </c>
      <c r="V155" s="60">
        <f>IF(ISERROR(VLOOKUP($S$155,'TAR FIN'!$A$1:$O$104,15,0)),0,VLOOKUP($S$155,'TAR FIN'!$A$1:$O$104,15,0))*(1-0.04)</f>
        <v>20.620799999999999</v>
      </c>
      <c r="W155" s="60">
        <f>IF(ISERROR(VLOOKUP($T$155,'TAR FIN'!$A$1:$O$104,15,0)),0,VLOOKUP($T$155,'TAR FIN'!$A$1:$O$104,15,0))*(1-0.04)</f>
        <v>40.271999999999998</v>
      </c>
      <c r="X155" s="60">
        <f>IF(ISERROR(VLOOKUP($U$155,'TAR FIN'!$A$1:$O$104,15,0)),0,VLOOKUP($U$155,'TAR FIN'!$A$1:$O$104,15,0))*(1-0.04)</f>
        <v>381.71519999999998</v>
      </c>
      <c r="Y155" s="60">
        <f ca="1">('TUSD BE'!$AM$5+'TUSD BF'!$AM$5+'TUSD CVA'!$AM$5)*1*(1-0.02)</f>
        <v>20.886590412523198</v>
      </c>
      <c r="Z155" s="60">
        <f ca="1">('TUSD BE'!$AM$7+'TUSD BF'!$AM$7+'TUSD CVA'!$AM$7)*1*(1-0.02)</f>
        <v>54.201927392382608</v>
      </c>
      <c r="AA155" s="60">
        <f>('TE BE'!$AB$5+'TE BF'!$AB$5+'TE CVA'!$AB$5)*1*(1-0.02)</f>
        <v>353.05508603815775</v>
      </c>
      <c r="AB155" s="6">
        <f>$K$155*$V$155</f>
        <v>3979.8143999999998</v>
      </c>
      <c r="AC155" s="6">
        <f>$M$155*$W$155</f>
        <v>22.632864000000001</v>
      </c>
      <c r="AD155" s="6">
        <f>$O$155*$X$155</f>
        <v>214.52394240000001</v>
      </c>
      <c r="AE155" s="6">
        <f ca="1">$K$155*$Y$155</f>
        <v>4031.1119496169772</v>
      </c>
      <c r="AF155" s="6">
        <f ca="1">$M$155*$Z$155</f>
        <v>30.46148319451903</v>
      </c>
      <c r="AG155" s="6">
        <f>$O$155*$AA$155</f>
        <v>198.41695835344467</v>
      </c>
    </row>
    <row r="156" spans="1:33" ht="11.25" customHeight="1" x14ac:dyDescent="0.25">
      <c r="A156" s="4" t="s">
        <v>21</v>
      </c>
      <c r="B156" s="4" t="s">
        <v>39</v>
      </c>
      <c r="C156" s="4" t="s">
        <v>40</v>
      </c>
      <c r="D156" s="4" t="s">
        <v>45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44652</v>
      </c>
      <c r="J156" s="6">
        <v>190</v>
      </c>
      <c r="K156" s="60">
        <v>190</v>
      </c>
      <c r="L156" s="6">
        <v>0.47799999999999998</v>
      </c>
      <c r="M156" s="60">
        <v>0.47799999999999998</v>
      </c>
      <c r="N156" s="6">
        <v>0.47799999999999998</v>
      </c>
      <c r="O156" s="60">
        <v>0.47799999999999998</v>
      </c>
      <c r="P156" s="6">
        <v>0</v>
      </c>
      <c r="Q156" s="4" t="s">
        <v>26</v>
      </c>
      <c r="R156" s="4">
        <v>0</v>
      </c>
      <c r="S156" s="6">
        <v>1</v>
      </c>
      <c r="T156" s="6">
        <v>5</v>
      </c>
      <c r="U156" s="6">
        <v>64</v>
      </c>
      <c r="V156" s="60">
        <f>IF(ISERROR(VLOOKUP($S$156,'TAR FIN'!$A$1:$O$104,15,0)),0,VLOOKUP($S$156,'TAR FIN'!$A$1:$O$104,15,0))*(1-0.04)</f>
        <v>20.620799999999999</v>
      </c>
      <c r="W156" s="60">
        <f>IF(ISERROR(VLOOKUP($T$156,'TAR FIN'!$A$1:$O$104,15,0)),0,VLOOKUP($T$156,'TAR FIN'!$A$1:$O$104,15,0))*(1-0.04)</f>
        <v>40.271999999999998</v>
      </c>
      <c r="X156" s="60">
        <f>IF(ISERROR(VLOOKUP($U$156,'TAR FIN'!$A$1:$O$104,15,0)),0,VLOOKUP($U$156,'TAR FIN'!$A$1:$O$104,15,0))*(1-0.04)</f>
        <v>381.71519999999998</v>
      </c>
      <c r="Y156" s="60">
        <f ca="1">('TUSD BE'!$AM$5+'TUSD BF'!$AM$5+'TUSD CVA'!$AM$5)*1*(1-0.02)</f>
        <v>20.886590412523198</v>
      </c>
      <c r="Z156" s="60">
        <f ca="1">('TUSD BE'!$AM$7+'TUSD BF'!$AM$7+'TUSD CVA'!$AM$7)*1*(1-0.02)</f>
        <v>54.201927392382608</v>
      </c>
      <c r="AA156" s="60">
        <f>('TE BE'!$AB$5+'TE BF'!$AB$5+'TE CVA'!$AB$5)*1*(1-0.02)</f>
        <v>353.05508603815775</v>
      </c>
      <c r="AB156" s="6">
        <f>$K$156*$V$156</f>
        <v>3917.9519999999998</v>
      </c>
      <c r="AC156" s="6">
        <f>$M$156*$W$156</f>
        <v>19.250015999999999</v>
      </c>
      <c r="AD156" s="6">
        <f>$O$156*$X$156</f>
        <v>182.45986559999997</v>
      </c>
      <c r="AE156" s="6">
        <f ca="1">$K$156*$Y$156</f>
        <v>3968.4521783794075</v>
      </c>
      <c r="AF156" s="6">
        <f ca="1">$M$156*$Z$156</f>
        <v>25.908521293558884</v>
      </c>
      <c r="AG156" s="6">
        <f>$O$156*$AA$156</f>
        <v>168.76033112623941</v>
      </c>
    </row>
    <row r="157" spans="1:33" ht="11.25" customHeight="1" x14ac:dyDescent="0.25">
      <c r="A157" s="4" t="s">
        <v>21</v>
      </c>
      <c r="B157" s="4" t="s">
        <v>39</v>
      </c>
      <c r="C157" s="4" t="s">
        <v>40</v>
      </c>
      <c r="D157" s="4" t="s">
        <v>45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44682</v>
      </c>
      <c r="J157" s="6">
        <v>378</v>
      </c>
      <c r="K157" s="60">
        <v>378</v>
      </c>
      <c r="L157" s="6">
        <v>0.81299999999999994</v>
      </c>
      <c r="M157" s="60">
        <v>0.81299999999999994</v>
      </c>
      <c r="N157" s="6">
        <v>0.81299999999999994</v>
      </c>
      <c r="O157" s="60">
        <v>0.81299999999999994</v>
      </c>
      <c r="P157" s="6">
        <v>0</v>
      </c>
      <c r="Q157" s="4" t="s">
        <v>26</v>
      </c>
      <c r="R157" s="4">
        <v>0</v>
      </c>
      <c r="S157" s="6">
        <v>1</v>
      </c>
      <c r="T157" s="6">
        <v>5</v>
      </c>
      <c r="U157" s="6">
        <v>64</v>
      </c>
      <c r="V157" s="60">
        <f>IF(ISERROR(VLOOKUP($S$157,'TAR FIN'!$A$1:$O$104,15,0)),0,VLOOKUP($S$157,'TAR FIN'!$A$1:$O$104,15,0))*(1-0.04)</f>
        <v>20.620799999999999</v>
      </c>
      <c r="W157" s="60">
        <f>IF(ISERROR(VLOOKUP($T$157,'TAR FIN'!$A$1:$O$104,15,0)),0,VLOOKUP($T$157,'TAR FIN'!$A$1:$O$104,15,0))*(1-0.04)</f>
        <v>40.271999999999998</v>
      </c>
      <c r="X157" s="60">
        <f>IF(ISERROR(VLOOKUP($U$157,'TAR FIN'!$A$1:$O$104,15,0)),0,VLOOKUP($U$157,'TAR FIN'!$A$1:$O$104,15,0))*(1-0.04)</f>
        <v>381.71519999999998</v>
      </c>
      <c r="Y157" s="60">
        <f ca="1">('TUSD BE'!$AM$5+'TUSD BF'!$AM$5+'TUSD CVA'!$AM$5)*1*(1-0.02)</f>
        <v>20.886590412523198</v>
      </c>
      <c r="Z157" s="60">
        <f ca="1">('TUSD BE'!$AM$7+'TUSD BF'!$AM$7+'TUSD CVA'!$AM$7)*1*(1-0.02)</f>
        <v>54.201927392382608</v>
      </c>
      <c r="AA157" s="60">
        <f>('TE BE'!$AB$5+'TE BF'!$AB$5+'TE CVA'!$AB$5)*1*(1-0.02)</f>
        <v>353.05508603815775</v>
      </c>
      <c r="AB157" s="6">
        <f>$K$157*$V$157</f>
        <v>7794.6623999999993</v>
      </c>
      <c r="AC157" s="6">
        <f>$M$157*$W$157</f>
        <v>32.741135999999997</v>
      </c>
      <c r="AD157" s="6">
        <f>$O$157*$X$157</f>
        <v>310.33445759999995</v>
      </c>
      <c r="AE157" s="6">
        <f ca="1">$K$157*$Y$157</f>
        <v>7895.1311759337686</v>
      </c>
      <c r="AF157" s="6">
        <f ca="1">$M$157*$Z$157</f>
        <v>44.06616697000706</v>
      </c>
      <c r="AG157" s="6">
        <f>$O$157*$AA$157</f>
        <v>287.03378494902222</v>
      </c>
    </row>
    <row r="158" spans="1:33" ht="11.25" customHeight="1" x14ac:dyDescent="0.25">
      <c r="A158" s="4" t="s">
        <v>21</v>
      </c>
      <c r="B158" s="4" t="s">
        <v>39</v>
      </c>
      <c r="C158" s="4" t="s">
        <v>40</v>
      </c>
      <c r="D158" s="4" t="s">
        <v>45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44713</v>
      </c>
      <c r="J158" s="6">
        <v>201</v>
      </c>
      <c r="K158" s="60">
        <v>201</v>
      </c>
      <c r="L158" s="6">
        <v>0.56499999999999995</v>
      </c>
      <c r="M158" s="60">
        <v>0.56499999999999995</v>
      </c>
      <c r="N158" s="6">
        <v>0.56499999999999995</v>
      </c>
      <c r="O158" s="60">
        <v>0.56499999999999995</v>
      </c>
      <c r="P158" s="6">
        <v>0</v>
      </c>
      <c r="Q158" s="4" t="s">
        <v>26</v>
      </c>
      <c r="R158" s="4">
        <v>0</v>
      </c>
      <c r="S158" s="6">
        <v>1</v>
      </c>
      <c r="T158" s="6">
        <v>5</v>
      </c>
      <c r="U158" s="6">
        <v>64</v>
      </c>
      <c r="V158" s="60">
        <f>IF(ISERROR(VLOOKUP($S$158,'TAR FIN'!$A$1:$O$104,15,0)),0,VLOOKUP($S$158,'TAR FIN'!$A$1:$O$104,15,0))*(1-0.04)</f>
        <v>20.620799999999999</v>
      </c>
      <c r="W158" s="60">
        <f>IF(ISERROR(VLOOKUP($T$158,'TAR FIN'!$A$1:$O$104,15,0)),0,VLOOKUP($T$158,'TAR FIN'!$A$1:$O$104,15,0))*(1-0.04)</f>
        <v>40.271999999999998</v>
      </c>
      <c r="X158" s="60">
        <f>IF(ISERROR(VLOOKUP($U$158,'TAR FIN'!$A$1:$O$104,15,0)),0,VLOOKUP($U$158,'TAR FIN'!$A$1:$O$104,15,0))*(1-0.04)</f>
        <v>381.71519999999998</v>
      </c>
      <c r="Y158" s="60">
        <f ca="1">('TUSD BE'!$AM$5+'TUSD BF'!$AM$5+'TUSD CVA'!$AM$5)*1*(1-0.02)</f>
        <v>20.886590412523198</v>
      </c>
      <c r="Z158" s="60">
        <f ca="1">('TUSD BE'!$AM$7+'TUSD BF'!$AM$7+'TUSD CVA'!$AM$7)*1*(1-0.02)</f>
        <v>54.201927392382608</v>
      </c>
      <c r="AA158" s="60">
        <f>('TE BE'!$AB$5+'TE BF'!$AB$5+'TE CVA'!$AB$5)*1*(1-0.02)</f>
        <v>353.05508603815775</v>
      </c>
      <c r="AB158" s="6">
        <f>$K$158*$V$158</f>
        <v>4144.7807999999995</v>
      </c>
      <c r="AC158" s="6">
        <f>$M$158*$W$158</f>
        <v>22.753679999999996</v>
      </c>
      <c r="AD158" s="6">
        <f>$O$158*$X$158</f>
        <v>215.66908799999996</v>
      </c>
      <c r="AE158" s="6">
        <f ca="1">$K$158*$Y$158</f>
        <v>4198.2046729171625</v>
      </c>
      <c r="AF158" s="6">
        <f ca="1">$M$158*$Z$158</f>
        <v>30.624088976696171</v>
      </c>
      <c r="AG158" s="6">
        <f>$O$158*$AA$158</f>
        <v>199.4761236115591</v>
      </c>
    </row>
    <row r="159" spans="1:33" ht="11.25" customHeight="1" x14ac:dyDescent="0.25">
      <c r="A159" s="4" t="s">
        <v>57</v>
      </c>
      <c r="B159" s="4" t="s">
        <v>39</v>
      </c>
      <c r="C159" s="4" t="s">
        <v>40</v>
      </c>
      <c r="D159" s="4" t="s">
        <v>45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44743</v>
      </c>
      <c r="J159" s="6">
        <v>201</v>
      </c>
      <c r="K159" s="60">
        <v>201</v>
      </c>
      <c r="L159" s="6">
        <v>0.56499999999999995</v>
      </c>
      <c r="M159" s="60">
        <v>0.56499999999999995</v>
      </c>
      <c r="N159" s="6">
        <v>0.56499999999999995</v>
      </c>
      <c r="O159" s="60">
        <v>0.56499999999999995</v>
      </c>
      <c r="P159" s="6">
        <v>0</v>
      </c>
      <c r="Q159" s="4" t="s">
        <v>26</v>
      </c>
      <c r="R159" s="4">
        <v>0</v>
      </c>
      <c r="S159" s="6">
        <v>1</v>
      </c>
      <c r="T159" s="6">
        <v>5</v>
      </c>
      <c r="U159" s="6">
        <v>64</v>
      </c>
      <c r="V159" s="60">
        <f>IF(ISERROR(VLOOKUP($S$159,'TAR FIN'!$A$1:$O$104,15,0)),0,VLOOKUP($S$159,'TAR FIN'!$A$1:$O$104,15,0))*(1-0.04)</f>
        <v>20.620799999999999</v>
      </c>
      <c r="W159" s="60">
        <f>IF(ISERROR(VLOOKUP($T$159,'TAR FIN'!$A$1:$O$104,15,0)),0,VLOOKUP($T$159,'TAR FIN'!$A$1:$O$104,15,0))*(1-0.04)</f>
        <v>40.271999999999998</v>
      </c>
      <c r="X159" s="60">
        <f>IF(ISERROR(VLOOKUP($U$159,'TAR FIN'!$A$1:$O$104,15,0)),0,VLOOKUP($U$159,'TAR FIN'!$A$1:$O$104,15,0))*(1-0.04)</f>
        <v>381.71519999999998</v>
      </c>
      <c r="Y159" s="60">
        <f ca="1">('TUSD BE'!$AM$5+'TUSD BF'!$AM$5+'TUSD CVA'!$AM$5)*1*(1-0.02)</f>
        <v>20.886590412523198</v>
      </c>
      <c r="Z159" s="60">
        <f ca="1">('TUSD BE'!$AM$7+'TUSD BF'!$AM$7+'TUSD CVA'!$AM$7)*1*(1-0.02)</f>
        <v>54.201927392382608</v>
      </c>
      <c r="AA159" s="60">
        <f>('TE BE'!$AB$5+'TE BF'!$AB$5+'TE CVA'!$AB$5)*1*(1-0.02)</f>
        <v>353.05508603815775</v>
      </c>
      <c r="AB159" s="6">
        <f>$K$159*$V$159</f>
        <v>4144.7807999999995</v>
      </c>
      <c r="AC159" s="6">
        <f>$M$159*$W$159</f>
        <v>22.753679999999996</v>
      </c>
      <c r="AD159" s="6">
        <f>$O$159*$X$159</f>
        <v>215.66908799999996</v>
      </c>
      <c r="AE159" s="6">
        <f ca="1">$K$159*$Y$159</f>
        <v>4198.2046729171625</v>
      </c>
      <c r="AF159" s="6">
        <f ca="1">$M$159*$Z$159</f>
        <v>30.624088976696171</v>
      </c>
      <c r="AG159" s="6">
        <f>$O$159*$AA$159</f>
        <v>199.4761236115591</v>
      </c>
    </row>
    <row r="160" spans="1:33" ht="11.25" customHeight="1" x14ac:dyDescent="0.25">
      <c r="A160" s="4" t="s">
        <v>21</v>
      </c>
      <c r="B160" s="4" t="s">
        <v>39</v>
      </c>
      <c r="C160" s="4" t="s">
        <v>40</v>
      </c>
      <c r="D160" s="4" t="s">
        <v>50</v>
      </c>
      <c r="E160" s="4" t="s">
        <v>51</v>
      </c>
      <c r="F160" s="4" t="s">
        <v>25</v>
      </c>
      <c r="G160" s="4" t="s">
        <v>25</v>
      </c>
      <c r="H160" s="4" t="s">
        <v>35</v>
      </c>
      <c r="I160" s="5">
        <v>44409</v>
      </c>
      <c r="J160" s="6">
        <v>10100</v>
      </c>
      <c r="K160" s="61">
        <v>10100</v>
      </c>
      <c r="L160" s="6">
        <v>5331</v>
      </c>
      <c r="M160" s="60">
        <v>5331</v>
      </c>
      <c r="N160" s="6">
        <v>5331</v>
      </c>
      <c r="O160" s="60">
        <v>5331</v>
      </c>
      <c r="P160" s="6">
        <v>0</v>
      </c>
      <c r="Q160" s="4" t="s">
        <v>26</v>
      </c>
      <c r="R160" s="4">
        <v>0</v>
      </c>
      <c r="S160" s="6">
        <v>3</v>
      </c>
      <c r="T160" s="6">
        <v>5</v>
      </c>
      <c r="U160" s="6">
        <v>65</v>
      </c>
      <c r="V160" s="60">
        <f>IF(ISERROR(VLOOKUP($S$160,'TAR FIN'!$A$1:$O$104,15,0)),0,VLOOKUP($S$160,'TAR FIN'!$A$1:$O$104,15,0))*(1-0.06)</f>
        <v>10.499799999999999</v>
      </c>
      <c r="W160" s="60">
        <f>IF(ISERROR(VLOOKUP($T$160,'TAR FIN'!$A$1:$O$104,15,0)),0,VLOOKUP($T$160,'TAR FIN'!$A$1:$O$104,15,0))*(1-0.06)</f>
        <v>39.433</v>
      </c>
      <c r="X160" s="60">
        <f>IF(ISERROR(VLOOKUP($U$160,'TAR FIN'!$A$1:$O$104,15,0)),0,VLOOKUP($U$160,'TAR FIN'!$A$1:$O$104,15,0))*(1-0.06)</f>
        <v>228.25079999999997</v>
      </c>
      <c r="Y160" s="60">
        <f ca="1">('TUSD BE'!$AM$6+'TUSD BF'!$AM$6+'TUSD CVA'!$AM$6)*1*(1-0.03)</f>
        <v>10.727272179460348</v>
      </c>
      <c r="Z160" s="60">
        <f ca="1">('TUSD BE'!$AM$7+'TUSD BF'!$AM$7+'TUSD CVA'!$AM$7)*1*(1-0.03)</f>
        <v>53.648846500623598</v>
      </c>
      <c r="AA160" s="60">
        <f>('TE BE'!$AB$6+'TE BF'!$AB$6+'TE CVA'!$AB$6)*1*(1-0.03)</f>
        <v>224.80969662802207</v>
      </c>
      <c r="AB160" s="6">
        <f>$K$160*$V$160</f>
        <v>106047.97999999998</v>
      </c>
      <c r="AC160" s="6">
        <f>$M$160*$W$160</f>
        <v>210217.323</v>
      </c>
      <c r="AD160" s="6">
        <f>$O$160*$X$160</f>
        <v>1216805.0147999998</v>
      </c>
      <c r="AE160" s="6">
        <f ca="1">$K$160*$Y$160</f>
        <v>108345.44901254952</v>
      </c>
      <c r="AF160" s="6">
        <f ca="1">$M$160*$Z$160</f>
        <v>286002.00069482438</v>
      </c>
      <c r="AG160" s="6">
        <f>$O$160*$AA$160</f>
        <v>1198460.4927239856</v>
      </c>
    </row>
    <row r="161" spans="1:33" ht="11.25" customHeight="1" x14ac:dyDescent="0.25">
      <c r="A161" s="4" t="s">
        <v>21</v>
      </c>
      <c r="B161" s="4" t="s">
        <v>39</v>
      </c>
      <c r="C161" s="4" t="s">
        <v>40</v>
      </c>
      <c r="D161" s="4" t="s">
        <v>50</v>
      </c>
      <c r="E161" s="4" t="s">
        <v>51</v>
      </c>
      <c r="F161" s="4" t="s">
        <v>25</v>
      </c>
      <c r="G161" s="4" t="s">
        <v>25</v>
      </c>
      <c r="H161" s="4" t="s">
        <v>35</v>
      </c>
      <c r="I161" s="5">
        <v>44440</v>
      </c>
      <c r="J161" s="6">
        <v>10100</v>
      </c>
      <c r="K161" s="61">
        <v>10100</v>
      </c>
      <c r="L161" s="6">
        <v>5330</v>
      </c>
      <c r="M161" s="60">
        <v>5330</v>
      </c>
      <c r="N161" s="6">
        <v>5330</v>
      </c>
      <c r="O161" s="60">
        <v>5330</v>
      </c>
      <c r="P161" s="6">
        <v>0</v>
      </c>
      <c r="Q161" s="4" t="s">
        <v>26</v>
      </c>
      <c r="R161" s="4">
        <v>0</v>
      </c>
      <c r="S161" s="6">
        <v>3</v>
      </c>
      <c r="T161" s="6">
        <v>5</v>
      </c>
      <c r="U161" s="6">
        <v>65</v>
      </c>
      <c r="V161" s="60">
        <f>IF(ISERROR(VLOOKUP($S$161,'TAR FIN'!$A$1:$O$104,15,0)),0,VLOOKUP($S$161,'TAR FIN'!$A$1:$O$104,15,0))*(1-0.06)</f>
        <v>10.499799999999999</v>
      </c>
      <c r="W161" s="60">
        <f>IF(ISERROR(VLOOKUP($T$161,'TAR FIN'!$A$1:$O$104,15,0)),0,VLOOKUP($T$161,'TAR FIN'!$A$1:$O$104,15,0))*(1-0.06)</f>
        <v>39.433</v>
      </c>
      <c r="X161" s="60">
        <f>IF(ISERROR(VLOOKUP($U$161,'TAR FIN'!$A$1:$O$104,15,0)),0,VLOOKUP($U$161,'TAR FIN'!$A$1:$O$104,15,0))*(1-0.06)</f>
        <v>228.25079999999997</v>
      </c>
      <c r="Y161" s="60">
        <f ca="1">('TUSD BE'!$AM$6+'TUSD BF'!$AM$6+'TUSD CVA'!$AM$6)*1*(1-0.03)</f>
        <v>10.727272179460348</v>
      </c>
      <c r="Z161" s="60">
        <f ca="1">('TUSD BE'!$AM$7+'TUSD BF'!$AM$7+'TUSD CVA'!$AM$7)*1*(1-0.03)</f>
        <v>53.648846500623598</v>
      </c>
      <c r="AA161" s="60">
        <f>('TE BE'!$AB$6+'TE BF'!$AB$6+'TE CVA'!$AB$6)*1*(1-0.03)</f>
        <v>224.80969662802207</v>
      </c>
      <c r="AB161" s="6">
        <f>$K$161*$V$161</f>
        <v>106047.97999999998</v>
      </c>
      <c r="AC161" s="6">
        <f>$M$161*$W$161</f>
        <v>210177.88999999998</v>
      </c>
      <c r="AD161" s="6">
        <f>$O$161*$X$161</f>
        <v>1216576.7639999997</v>
      </c>
      <c r="AE161" s="6">
        <f ca="1">$K$161*$Y$161</f>
        <v>108345.44901254952</v>
      </c>
      <c r="AF161" s="6">
        <f ca="1">$M$161*$Z$161</f>
        <v>285948.35184832377</v>
      </c>
      <c r="AG161" s="6">
        <f>$O$161*$AA$161</f>
        <v>1198235.6830273576</v>
      </c>
    </row>
    <row r="162" spans="1:33" ht="11.25" customHeight="1" x14ac:dyDescent="0.25">
      <c r="A162" s="4" t="s">
        <v>21</v>
      </c>
      <c r="B162" s="4" t="s">
        <v>39</v>
      </c>
      <c r="C162" s="4" t="s">
        <v>40</v>
      </c>
      <c r="D162" s="4" t="s">
        <v>50</v>
      </c>
      <c r="E162" s="4" t="s">
        <v>51</v>
      </c>
      <c r="F162" s="4" t="s">
        <v>25</v>
      </c>
      <c r="G162" s="4" t="s">
        <v>25</v>
      </c>
      <c r="H162" s="4" t="s">
        <v>35</v>
      </c>
      <c r="I162" s="5">
        <v>44470</v>
      </c>
      <c r="J162" s="6">
        <v>10180</v>
      </c>
      <c r="K162" s="61">
        <v>10180</v>
      </c>
      <c r="L162" s="6">
        <v>5567</v>
      </c>
      <c r="M162" s="60">
        <v>5567</v>
      </c>
      <c r="N162" s="6">
        <v>5567</v>
      </c>
      <c r="O162" s="60">
        <v>5567</v>
      </c>
      <c r="P162" s="6">
        <v>0</v>
      </c>
      <c r="Q162" s="4" t="s">
        <v>26</v>
      </c>
      <c r="R162" s="4">
        <v>0</v>
      </c>
      <c r="S162" s="6">
        <v>3</v>
      </c>
      <c r="T162" s="6">
        <v>5</v>
      </c>
      <c r="U162" s="6">
        <v>65</v>
      </c>
      <c r="V162" s="60">
        <f>IF(ISERROR(VLOOKUP($S$162,'TAR FIN'!$A$1:$O$104,15,0)),0,VLOOKUP($S$162,'TAR FIN'!$A$1:$O$104,15,0))*(1-0.06)</f>
        <v>10.499799999999999</v>
      </c>
      <c r="W162" s="60">
        <f>IF(ISERROR(VLOOKUP($T$162,'TAR FIN'!$A$1:$O$104,15,0)),0,VLOOKUP($T$162,'TAR FIN'!$A$1:$O$104,15,0))*(1-0.06)</f>
        <v>39.433</v>
      </c>
      <c r="X162" s="60">
        <f>IF(ISERROR(VLOOKUP($U$162,'TAR FIN'!$A$1:$O$104,15,0)),0,VLOOKUP($U$162,'TAR FIN'!$A$1:$O$104,15,0))*(1-0.06)</f>
        <v>228.25079999999997</v>
      </c>
      <c r="Y162" s="60">
        <f ca="1">('TUSD BE'!$AM$6+'TUSD BF'!$AM$6+'TUSD CVA'!$AM$6)*1*(1-0.03)</f>
        <v>10.727272179460348</v>
      </c>
      <c r="Z162" s="60">
        <f ca="1">('TUSD BE'!$AM$7+'TUSD BF'!$AM$7+'TUSD CVA'!$AM$7)*1*(1-0.03)</f>
        <v>53.648846500623598</v>
      </c>
      <c r="AA162" s="60">
        <f>('TE BE'!$AB$6+'TE BF'!$AB$6+'TE CVA'!$AB$6)*1*(1-0.03)</f>
        <v>224.80969662802207</v>
      </c>
      <c r="AB162" s="6">
        <f>$K$162*$V$162</f>
        <v>106887.96399999999</v>
      </c>
      <c r="AC162" s="6">
        <f>$M$162*$W$162</f>
        <v>219523.511</v>
      </c>
      <c r="AD162" s="6">
        <f>$O$162*$X$162</f>
        <v>1270672.2035999999</v>
      </c>
      <c r="AE162" s="6">
        <f ca="1">$K$162*$Y$162</f>
        <v>109203.63078690635</v>
      </c>
      <c r="AF162" s="6">
        <f ca="1">$M$162*$Z$162</f>
        <v>298663.12846897158</v>
      </c>
      <c r="AG162" s="6">
        <f>$O$162*$AA$162</f>
        <v>1251515.5811281989</v>
      </c>
    </row>
    <row r="163" spans="1:33" ht="11.25" customHeight="1" x14ac:dyDescent="0.25">
      <c r="A163" s="4" t="s">
        <v>21</v>
      </c>
      <c r="B163" s="4" t="s">
        <v>39</v>
      </c>
      <c r="C163" s="4" t="s">
        <v>40</v>
      </c>
      <c r="D163" s="4" t="s">
        <v>50</v>
      </c>
      <c r="E163" s="4" t="s">
        <v>51</v>
      </c>
      <c r="F163" s="4" t="s">
        <v>25</v>
      </c>
      <c r="G163" s="4" t="s">
        <v>25</v>
      </c>
      <c r="H163" s="4" t="s">
        <v>35</v>
      </c>
      <c r="I163" s="5">
        <v>44501</v>
      </c>
      <c r="J163" s="6">
        <v>10260</v>
      </c>
      <c r="K163" s="61">
        <v>10260</v>
      </c>
      <c r="L163" s="6">
        <v>5781</v>
      </c>
      <c r="M163" s="60">
        <v>5781</v>
      </c>
      <c r="N163" s="6">
        <v>5781</v>
      </c>
      <c r="O163" s="60">
        <v>5781</v>
      </c>
      <c r="P163" s="6">
        <v>0</v>
      </c>
      <c r="Q163" s="4" t="s">
        <v>26</v>
      </c>
      <c r="R163" s="4">
        <v>0</v>
      </c>
      <c r="S163" s="6">
        <v>3</v>
      </c>
      <c r="T163" s="6">
        <v>5</v>
      </c>
      <c r="U163" s="6">
        <v>65</v>
      </c>
      <c r="V163" s="60">
        <f>IF(ISERROR(VLOOKUP($S$163,'TAR FIN'!$A$1:$O$104,15,0)),0,VLOOKUP($S$163,'TAR FIN'!$A$1:$O$104,15,0))*(1-0.06)</f>
        <v>10.499799999999999</v>
      </c>
      <c r="W163" s="60">
        <f>IF(ISERROR(VLOOKUP($T$163,'TAR FIN'!$A$1:$O$104,15,0)),0,VLOOKUP($T$163,'TAR FIN'!$A$1:$O$104,15,0))*(1-0.06)</f>
        <v>39.433</v>
      </c>
      <c r="X163" s="60">
        <f>IF(ISERROR(VLOOKUP($U$163,'TAR FIN'!$A$1:$O$104,15,0)),0,VLOOKUP($U$163,'TAR FIN'!$A$1:$O$104,15,0))*(1-0.06)</f>
        <v>228.25079999999997</v>
      </c>
      <c r="Y163" s="60">
        <f ca="1">('TUSD BE'!$AM$6+'TUSD BF'!$AM$6+'TUSD CVA'!$AM$6)*1*(1-0.03)</f>
        <v>10.727272179460348</v>
      </c>
      <c r="Z163" s="60">
        <f ca="1">('TUSD BE'!$AM$7+'TUSD BF'!$AM$7+'TUSD CVA'!$AM$7)*1*(1-0.03)</f>
        <v>53.648846500623598</v>
      </c>
      <c r="AA163" s="60">
        <f>('TE BE'!$AB$6+'TE BF'!$AB$6+'TE CVA'!$AB$6)*1*(1-0.03)</f>
        <v>224.80969662802207</v>
      </c>
      <c r="AB163" s="6">
        <f>$K$163*$V$163</f>
        <v>107727.94799999999</v>
      </c>
      <c r="AC163" s="6">
        <f>$M$163*$W$163</f>
        <v>227962.17300000001</v>
      </c>
      <c r="AD163" s="6">
        <f>$O$163*$X$163</f>
        <v>1319517.8747999999</v>
      </c>
      <c r="AE163" s="6">
        <f ca="1">$K$163*$Y$163</f>
        <v>110061.81256126317</v>
      </c>
      <c r="AF163" s="6">
        <f ca="1">$M$163*$Z$163</f>
        <v>310143.98162010504</v>
      </c>
      <c r="AG163" s="6">
        <f>$O$163*$AA$163</f>
        <v>1299624.8562065957</v>
      </c>
    </row>
    <row r="164" spans="1:33" ht="11.25" customHeight="1" x14ac:dyDescent="0.25">
      <c r="A164" s="4" t="s">
        <v>21</v>
      </c>
      <c r="B164" s="4" t="s">
        <v>39</v>
      </c>
      <c r="C164" s="4" t="s">
        <v>40</v>
      </c>
      <c r="D164" s="4" t="s">
        <v>50</v>
      </c>
      <c r="E164" s="4" t="s">
        <v>51</v>
      </c>
      <c r="F164" s="4" t="s">
        <v>25</v>
      </c>
      <c r="G164" s="4" t="s">
        <v>25</v>
      </c>
      <c r="H164" s="4" t="s">
        <v>35</v>
      </c>
      <c r="I164" s="5">
        <v>44531</v>
      </c>
      <c r="J164" s="6">
        <v>10190</v>
      </c>
      <c r="K164" s="61">
        <v>10190</v>
      </c>
      <c r="L164" s="6">
        <v>6006</v>
      </c>
      <c r="M164" s="60">
        <v>6006</v>
      </c>
      <c r="N164" s="6">
        <v>6006</v>
      </c>
      <c r="O164" s="60">
        <v>6006</v>
      </c>
      <c r="P164" s="6">
        <v>0</v>
      </c>
      <c r="Q164" s="4" t="s">
        <v>26</v>
      </c>
      <c r="R164" s="4">
        <v>0</v>
      </c>
      <c r="S164" s="6">
        <v>3</v>
      </c>
      <c r="T164" s="6">
        <v>5</v>
      </c>
      <c r="U164" s="6">
        <v>65</v>
      </c>
      <c r="V164" s="60">
        <f>IF(ISERROR(VLOOKUP($S$164,'TAR FIN'!$A$1:$O$104,15,0)),0,VLOOKUP($S$164,'TAR FIN'!$A$1:$O$104,15,0))*(1-0.06)</f>
        <v>10.499799999999999</v>
      </c>
      <c r="W164" s="60">
        <f>IF(ISERROR(VLOOKUP($T$164,'TAR FIN'!$A$1:$O$104,15,0)),0,VLOOKUP($T$164,'TAR FIN'!$A$1:$O$104,15,0))*(1-0.06)</f>
        <v>39.433</v>
      </c>
      <c r="X164" s="60">
        <f>IF(ISERROR(VLOOKUP($U$164,'TAR FIN'!$A$1:$O$104,15,0)),0,VLOOKUP($U$164,'TAR FIN'!$A$1:$O$104,15,0))*(1-0.06)</f>
        <v>228.25079999999997</v>
      </c>
      <c r="Y164" s="60">
        <f ca="1">('TUSD BE'!$AM$6+'TUSD BF'!$AM$6+'TUSD CVA'!$AM$6)*1*(1-0.03)</f>
        <v>10.727272179460348</v>
      </c>
      <c r="Z164" s="60">
        <f ca="1">('TUSD BE'!$AM$7+'TUSD BF'!$AM$7+'TUSD CVA'!$AM$7)*1*(1-0.03)</f>
        <v>53.648846500623598</v>
      </c>
      <c r="AA164" s="60">
        <f>('TE BE'!$AB$6+'TE BF'!$AB$6+'TE CVA'!$AB$6)*1*(1-0.03)</f>
        <v>224.80969662802207</v>
      </c>
      <c r="AB164" s="6">
        <f>$K$164*$V$164</f>
        <v>106992.96199999998</v>
      </c>
      <c r="AC164" s="6">
        <f>$M$164*$W$164</f>
        <v>236834.598</v>
      </c>
      <c r="AD164" s="6">
        <f>$O$164*$X$164</f>
        <v>1370874.3047999998</v>
      </c>
      <c r="AE164" s="6">
        <f ca="1">$K$164*$Y$164</f>
        <v>109310.90350870094</v>
      </c>
      <c r="AF164" s="6">
        <f ca="1">$M$164*$Z$164</f>
        <v>322214.97208274534</v>
      </c>
      <c r="AG164" s="6">
        <f>$O$164*$AA$164</f>
        <v>1350207.0379479006</v>
      </c>
    </row>
    <row r="165" spans="1:33" ht="11.25" customHeight="1" x14ac:dyDescent="0.25">
      <c r="A165" s="4" t="s">
        <v>21</v>
      </c>
      <c r="B165" s="4" t="s">
        <v>39</v>
      </c>
      <c r="C165" s="4" t="s">
        <v>40</v>
      </c>
      <c r="D165" s="4" t="s">
        <v>50</v>
      </c>
      <c r="E165" s="4" t="s">
        <v>51</v>
      </c>
      <c r="F165" s="4" t="s">
        <v>25</v>
      </c>
      <c r="G165" s="4" t="s">
        <v>25</v>
      </c>
      <c r="H165" s="4" t="s">
        <v>35</v>
      </c>
      <c r="I165" s="5">
        <v>44562</v>
      </c>
      <c r="J165" s="6">
        <v>10253</v>
      </c>
      <c r="K165" s="61">
        <v>10253</v>
      </c>
      <c r="L165" s="6">
        <v>5725.0789999999997</v>
      </c>
      <c r="M165" s="60">
        <v>5725.0789999999997</v>
      </c>
      <c r="N165" s="6">
        <v>5725.0789999999997</v>
      </c>
      <c r="O165" s="60">
        <v>5725.0789999999997</v>
      </c>
      <c r="P165" s="6">
        <v>0</v>
      </c>
      <c r="Q165" s="4" t="s">
        <v>26</v>
      </c>
      <c r="R165" s="4">
        <v>0</v>
      </c>
      <c r="S165" s="6">
        <v>3</v>
      </c>
      <c r="T165" s="6">
        <v>5</v>
      </c>
      <c r="U165" s="6">
        <v>65</v>
      </c>
      <c r="V165" s="60">
        <f>IF(ISERROR(VLOOKUP($S$165,'TAR FIN'!$A$1:$O$104,15,0)),0,VLOOKUP($S$165,'TAR FIN'!$A$1:$O$104,15,0))*(1-0.06)</f>
        <v>10.499799999999999</v>
      </c>
      <c r="W165" s="60">
        <f>IF(ISERROR(VLOOKUP($T$165,'TAR FIN'!$A$1:$O$104,15,0)),0,VLOOKUP($T$165,'TAR FIN'!$A$1:$O$104,15,0))*(1-0.06)</f>
        <v>39.433</v>
      </c>
      <c r="X165" s="60">
        <f>IF(ISERROR(VLOOKUP($U$165,'TAR FIN'!$A$1:$O$104,15,0)),0,VLOOKUP($U$165,'TAR FIN'!$A$1:$O$104,15,0))*(1-0.06)</f>
        <v>228.25079999999997</v>
      </c>
      <c r="Y165" s="60">
        <f ca="1">('TUSD BE'!$AM$6+'TUSD BF'!$AM$6+'TUSD CVA'!$AM$6)*1*(1-0.03)</f>
        <v>10.727272179460348</v>
      </c>
      <c r="Z165" s="60">
        <f ca="1">('TUSD BE'!$AM$7+'TUSD BF'!$AM$7+'TUSD CVA'!$AM$7)*1*(1-0.03)</f>
        <v>53.648846500623598</v>
      </c>
      <c r="AA165" s="60">
        <f>('TE BE'!$AB$6+'TE BF'!$AB$6+'TE CVA'!$AB$6)*1*(1-0.03)</f>
        <v>224.80969662802207</v>
      </c>
      <c r="AB165" s="6">
        <f>$K$165*$V$165</f>
        <v>107654.44939999998</v>
      </c>
      <c r="AC165" s="6">
        <f>$M$165*$W$165</f>
        <v>225757.04020699998</v>
      </c>
      <c r="AD165" s="6">
        <f>$O$165*$X$165</f>
        <v>1306753.8618131997</v>
      </c>
      <c r="AE165" s="6">
        <f ca="1">$K$165*$Y$165</f>
        <v>109986.72165600695</v>
      </c>
      <c r="AF165" s="6">
        <f ca="1">$M$165*$Z$165</f>
        <v>307143.88447494362</v>
      </c>
      <c r="AG165" s="6">
        <f>$O$165*$AA$165</f>
        <v>1287053.2731614599</v>
      </c>
    </row>
    <row r="166" spans="1:33" ht="11.25" customHeight="1" x14ac:dyDescent="0.25">
      <c r="A166" s="4" t="s">
        <v>21</v>
      </c>
      <c r="B166" s="4" t="s">
        <v>39</v>
      </c>
      <c r="C166" s="4" t="s">
        <v>40</v>
      </c>
      <c r="D166" s="4" t="s">
        <v>50</v>
      </c>
      <c r="E166" s="4" t="s">
        <v>51</v>
      </c>
      <c r="F166" s="4" t="s">
        <v>25</v>
      </c>
      <c r="G166" s="4" t="s">
        <v>25</v>
      </c>
      <c r="H166" s="4" t="s">
        <v>35</v>
      </c>
      <c r="I166" s="5">
        <v>44593</v>
      </c>
      <c r="J166" s="6">
        <v>10262</v>
      </c>
      <c r="K166" s="61">
        <v>10262</v>
      </c>
      <c r="L166" s="6">
        <v>5526.3230000000003</v>
      </c>
      <c r="M166" s="60">
        <v>5526.3230000000003</v>
      </c>
      <c r="N166" s="6">
        <v>5526.3230000000003</v>
      </c>
      <c r="O166" s="60">
        <v>5526.3230000000003</v>
      </c>
      <c r="P166" s="6">
        <v>0</v>
      </c>
      <c r="Q166" s="4" t="s">
        <v>26</v>
      </c>
      <c r="R166" s="4">
        <v>0</v>
      </c>
      <c r="S166" s="6">
        <v>3</v>
      </c>
      <c r="T166" s="6">
        <v>5</v>
      </c>
      <c r="U166" s="6">
        <v>65</v>
      </c>
      <c r="V166" s="60">
        <f>IF(ISERROR(VLOOKUP($S$166,'TAR FIN'!$A$1:$O$104,15,0)),0,VLOOKUP($S$166,'TAR FIN'!$A$1:$O$104,15,0))*(1-0.06)</f>
        <v>10.499799999999999</v>
      </c>
      <c r="W166" s="60">
        <f>IF(ISERROR(VLOOKUP($T$166,'TAR FIN'!$A$1:$O$104,15,0)),0,VLOOKUP($T$166,'TAR FIN'!$A$1:$O$104,15,0))*(1-0.06)</f>
        <v>39.433</v>
      </c>
      <c r="X166" s="60">
        <f>IF(ISERROR(VLOOKUP($U$166,'TAR FIN'!$A$1:$O$104,15,0)),0,VLOOKUP($U$166,'TAR FIN'!$A$1:$O$104,15,0))*(1-0.06)</f>
        <v>228.25079999999997</v>
      </c>
      <c r="Y166" s="60">
        <f ca="1">('TUSD BE'!$AM$6+'TUSD BF'!$AM$6+'TUSD CVA'!$AM$6)*1*(1-0.03)</f>
        <v>10.727272179460348</v>
      </c>
      <c r="Z166" s="60">
        <f ca="1">('TUSD BE'!$AM$7+'TUSD BF'!$AM$7+'TUSD CVA'!$AM$7)*1*(1-0.03)</f>
        <v>53.648846500623598</v>
      </c>
      <c r="AA166" s="60">
        <f>('TE BE'!$AB$6+'TE BF'!$AB$6+'TE CVA'!$AB$6)*1*(1-0.03)</f>
        <v>224.80969662802207</v>
      </c>
      <c r="AB166" s="6">
        <f>$K$166*$V$166</f>
        <v>107748.94759999998</v>
      </c>
      <c r="AC166" s="6">
        <f>$M$166*$W$166</f>
        <v>217919.494859</v>
      </c>
      <c r="AD166" s="6">
        <f>$O$166*$X$166</f>
        <v>1261387.6458083999</v>
      </c>
      <c r="AE166" s="6">
        <f ca="1">$K$166*$Y$166</f>
        <v>110083.26710562209</v>
      </c>
      <c r="AF166" s="6">
        <f ca="1">$M$166*$Z$166</f>
        <v>296480.85433986573</v>
      </c>
      <c r="AG166" s="6">
        <f>$O$166*$AA$166</f>
        <v>1242370.9970984608</v>
      </c>
    </row>
    <row r="167" spans="1:33" ht="11.25" customHeight="1" x14ac:dyDescent="0.25">
      <c r="A167" s="4" t="s">
        <v>21</v>
      </c>
      <c r="B167" s="4" t="s">
        <v>39</v>
      </c>
      <c r="C167" s="4" t="s">
        <v>40</v>
      </c>
      <c r="D167" s="4" t="s">
        <v>50</v>
      </c>
      <c r="E167" s="4" t="s">
        <v>51</v>
      </c>
      <c r="F167" s="4" t="s">
        <v>25</v>
      </c>
      <c r="G167" s="4" t="s">
        <v>25</v>
      </c>
      <c r="H167" s="4" t="s">
        <v>35</v>
      </c>
      <c r="I167" s="5">
        <v>44621</v>
      </c>
      <c r="J167" s="6">
        <v>10263</v>
      </c>
      <c r="K167" s="61">
        <v>10263</v>
      </c>
      <c r="L167" s="6">
        <v>5847.049</v>
      </c>
      <c r="M167" s="60">
        <v>5847.049</v>
      </c>
      <c r="N167" s="6">
        <v>5847.049</v>
      </c>
      <c r="O167" s="60">
        <v>5847.049</v>
      </c>
      <c r="P167" s="6">
        <v>0</v>
      </c>
      <c r="Q167" s="4" t="s">
        <v>26</v>
      </c>
      <c r="R167" s="4">
        <v>0</v>
      </c>
      <c r="S167" s="6">
        <v>3</v>
      </c>
      <c r="T167" s="6">
        <v>5</v>
      </c>
      <c r="U167" s="6">
        <v>65</v>
      </c>
      <c r="V167" s="60">
        <f>IF(ISERROR(VLOOKUP($S$167,'TAR FIN'!$A$1:$O$104,15,0)),0,VLOOKUP($S$167,'TAR FIN'!$A$1:$O$104,15,0))*(1-0.06)</f>
        <v>10.499799999999999</v>
      </c>
      <c r="W167" s="60">
        <f>IF(ISERROR(VLOOKUP($T$167,'TAR FIN'!$A$1:$O$104,15,0)),0,VLOOKUP($T$167,'TAR FIN'!$A$1:$O$104,15,0))*(1-0.06)</f>
        <v>39.433</v>
      </c>
      <c r="X167" s="60">
        <f>IF(ISERROR(VLOOKUP($U$167,'TAR FIN'!$A$1:$O$104,15,0)),0,VLOOKUP($U$167,'TAR FIN'!$A$1:$O$104,15,0))*(1-0.06)</f>
        <v>228.25079999999997</v>
      </c>
      <c r="Y167" s="60">
        <f ca="1">('TUSD BE'!$AM$6+'TUSD BF'!$AM$6+'TUSD CVA'!$AM$6)*1*(1-0.03)</f>
        <v>10.727272179460348</v>
      </c>
      <c r="Z167" s="60">
        <f ca="1">('TUSD BE'!$AM$7+'TUSD BF'!$AM$7+'TUSD CVA'!$AM$7)*1*(1-0.03)</f>
        <v>53.648846500623598</v>
      </c>
      <c r="AA167" s="60">
        <f>('TE BE'!$AB$6+'TE BF'!$AB$6+'TE CVA'!$AB$6)*1*(1-0.03)</f>
        <v>224.80969662802207</v>
      </c>
      <c r="AB167" s="6">
        <f>$K$167*$V$167</f>
        <v>107759.44739999999</v>
      </c>
      <c r="AC167" s="6">
        <f>$M$167*$W$167</f>
        <v>230566.68321700001</v>
      </c>
      <c r="AD167" s="6">
        <f>$O$167*$X$167</f>
        <v>1334593.6118891998</v>
      </c>
      <c r="AE167" s="6">
        <f ca="1">$K$167*$Y$167</f>
        <v>110093.99437780156</v>
      </c>
      <c r="AF167" s="6">
        <f ca="1">$M$167*$Z$167</f>
        <v>313687.43428262469</v>
      </c>
      <c r="AG167" s="6">
        <f>$O$167*$AA$167</f>
        <v>1314473.3118591798</v>
      </c>
    </row>
    <row r="168" spans="1:33" ht="11.25" customHeight="1" x14ac:dyDescent="0.25">
      <c r="A168" s="4" t="s">
        <v>21</v>
      </c>
      <c r="B168" s="4" t="s">
        <v>39</v>
      </c>
      <c r="C168" s="4" t="s">
        <v>40</v>
      </c>
      <c r="D168" s="4" t="s">
        <v>50</v>
      </c>
      <c r="E168" s="4" t="s">
        <v>51</v>
      </c>
      <c r="F168" s="4" t="s">
        <v>25</v>
      </c>
      <c r="G168" s="4" t="s">
        <v>25</v>
      </c>
      <c r="H168" s="4" t="s">
        <v>35</v>
      </c>
      <c r="I168" s="5">
        <v>44652</v>
      </c>
      <c r="J168" s="6">
        <v>10698</v>
      </c>
      <c r="K168" s="61">
        <v>10698</v>
      </c>
      <c r="L168" s="6">
        <v>5625.5640000000003</v>
      </c>
      <c r="M168" s="60">
        <v>5625.5640000000003</v>
      </c>
      <c r="N168" s="6">
        <v>5625.5640000000003</v>
      </c>
      <c r="O168" s="60">
        <v>5625.5640000000003</v>
      </c>
      <c r="P168" s="6">
        <v>0</v>
      </c>
      <c r="Q168" s="4" t="s">
        <v>26</v>
      </c>
      <c r="R168" s="4">
        <v>0</v>
      </c>
      <c r="S168" s="6">
        <v>3</v>
      </c>
      <c r="T168" s="6">
        <v>5</v>
      </c>
      <c r="U168" s="6">
        <v>65</v>
      </c>
      <c r="V168" s="60">
        <f>IF(ISERROR(VLOOKUP($S$168,'TAR FIN'!$A$1:$O$104,15,0)),0,VLOOKUP($S$168,'TAR FIN'!$A$1:$O$104,15,0))*(1-0.06)</f>
        <v>10.499799999999999</v>
      </c>
      <c r="W168" s="60">
        <f>IF(ISERROR(VLOOKUP($T$168,'TAR FIN'!$A$1:$O$104,15,0)),0,VLOOKUP($T$168,'TAR FIN'!$A$1:$O$104,15,0))*(1-0.06)</f>
        <v>39.433</v>
      </c>
      <c r="X168" s="60">
        <f>IF(ISERROR(VLOOKUP($U$168,'TAR FIN'!$A$1:$O$104,15,0)),0,VLOOKUP($U$168,'TAR FIN'!$A$1:$O$104,15,0))*(1-0.06)</f>
        <v>228.25079999999997</v>
      </c>
      <c r="Y168" s="60">
        <f ca="1">('TUSD BE'!$AM$6+'TUSD BF'!$AM$6+'TUSD CVA'!$AM$6)*1*(1-0.03)</f>
        <v>10.727272179460348</v>
      </c>
      <c r="Z168" s="60">
        <f ca="1">('TUSD BE'!$AM$7+'TUSD BF'!$AM$7+'TUSD CVA'!$AM$7)*1*(1-0.03)</f>
        <v>53.648846500623598</v>
      </c>
      <c r="AA168" s="60">
        <f>('TE BE'!$AB$6+'TE BF'!$AB$6+'TE CVA'!$AB$6)*1*(1-0.03)</f>
        <v>224.80969662802207</v>
      </c>
      <c r="AB168" s="6">
        <f>$K$168*$V$168</f>
        <v>112326.86039999999</v>
      </c>
      <c r="AC168" s="6">
        <f>$M$168*$W$168</f>
        <v>221832.865212</v>
      </c>
      <c r="AD168" s="6">
        <f>$O$168*$X$168</f>
        <v>1284039.4834512</v>
      </c>
      <c r="AE168" s="6">
        <f ca="1">$K$168*$Y$168</f>
        <v>114760.35777586681</v>
      </c>
      <c r="AF168" s="6">
        <f ca="1">$M$168*$Z$168</f>
        <v>301805.01951543411</v>
      </c>
      <c r="AG168" s="6">
        <f>$O$168*$AA$168</f>
        <v>1264681.3362015225</v>
      </c>
    </row>
    <row r="169" spans="1:33" ht="11.25" customHeight="1" x14ac:dyDescent="0.25">
      <c r="A169" s="4" t="s">
        <v>21</v>
      </c>
      <c r="B169" s="4" t="s">
        <v>39</v>
      </c>
      <c r="C169" s="4" t="s">
        <v>40</v>
      </c>
      <c r="D169" s="4" t="s">
        <v>50</v>
      </c>
      <c r="E169" s="4" t="s">
        <v>51</v>
      </c>
      <c r="F169" s="4" t="s">
        <v>25</v>
      </c>
      <c r="G169" s="4" t="s">
        <v>25</v>
      </c>
      <c r="H169" s="4" t="s">
        <v>35</v>
      </c>
      <c r="I169" s="5">
        <v>44682</v>
      </c>
      <c r="J169" s="6">
        <v>10196</v>
      </c>
      <c r="K169" s="61">
        <v>10196</v>
      </c>
      <c r="L169" s="6">
        <v>5745.7179999999998</v>
      </c>
      <c r="M169" s="60">
        <v>5745.7179999999998</v>
      </c>
      <c r="N169" s="6">
        <v>5745.7179999999998</v>
      </c>
      <c r="O169" s="60">
        <v>5745.7179999999998</v>
      </c>
      <c r="P169" s="6">
        <v>0</v>
      </c>
      <c r="Q169" s="4" t="s">
        <v>26</v>
      </c>
      <c r="R169" s="4">
        <v>0</v>
      </c>
      <c r="S169" s="6">
        <v>3</v>
      </c>
      <c r="T169" s="6">
        <v>5</v>
      </c>
      <c r="U169" s="6">
        <v>65</v>
      </c>
      <c r="V169" s="60">
        <f>IF(ISERROR(VLOOKUP($S$169,'TAR FIN'!$A$1:$O$104,15,0)),0,VLOOKUP($S$169,'TAR FIN'!$A$1:$O$104,15,0))*(1-0.06)</f>
        <v>10.499799999999999</v>
      </c>
      <c r="W169" s="60">
        <f>IF(ISERROR(VLOOKUP($T$169,'TAR FIN'!$A$1:$O$104,15,0)),0,VLOOKUP($T$169,'TAR FIN'!$A$1:$O$104,15,0))*(1-0.06)</f>
        <v>39.433</v>
      </c>
      <c r="X169" s="60">
        <f>IF(ISERROR(VLOOKUP($U$169,'TAR FIN'!$A$1:$O$104,15,0)),0,VLOOKUP($U$169,'TAR FIN'!$A$1:$O$104,15,0))*(1-0.06)</f>
        <v>228.25079999999997</v>
      </c>
      <c r="Y169" s="60">
        <f ca="1">('TUSD BE'!$AM$6+'TUSD BF'!$AM$6+'TUSD CVA'!$AM$6)*1*(1-0.03)</f>
        <v>10.727272179460348</v>
      </c>
      <c r="Z169" s="60">
        <f ca="1">('TUSD BE'!$AM$7+'TUSD BF'!$AM$7+'TUSD CVA'!$AM$7)*1*(1-0.03)</f>
        <v>53.648846500623598</v>
      </c>
      <c r="AA169" s="60">
        <f>('TE BE'!$AB$6+'TE BF'!$AB$6+'TE CVA'!$AB$6)*1*(1-0.03)</f>
        <v>224.80969662802207</v>
      </c>
      <c r="AB169" s="6">
        <f>$K$169*$V$169</f>
        <v>107055.96079999999</v>
      </c>
      <c r="AC169" s="6">
        <f>$M$169*$W$169</f>
        <v>226570.89789399999</v>
      </c>
      <c r="AD169" s="6">
        <f>$O$169*$X$169</f>
        <v>1311464.7300743998</v>
      </c>
      <c r="AE169" s="6">
        <f ca="1">$K$169*$Y$169</f>
        <v>109375.2671417777</v>
      </c>
      <c r="AF169" s="6">
        <f ca="1">$M$169*$Z$169</f>
        <v>308251.14301787002</v>
      </c>
      <c r="AG169" s="6">
        <f>$O$169*$AA$169</f>
        <v>1291693.1204901657</v>
      </c>
    </row>
    <row r="170" spans="1:33" ht="11.25" customHeight="1" x14ac:dyDescent="0.25">
      <c r="A170" s="4" t="s">
        <v>21</v>
      </c>
      <c r="B170" s="4" t="s">
        <v>39</v>
      </c>
      <c r="C170" s="4" t="s">
        <v>40</v>
      </c>
      <c r="D170" s="4" t="s">
        <v>50</v>
      </c>
      <c r="E170" s="4" t="s">
        <v>51</v>
      </c>
      <c r="F170" s="4" t="s">
        <v>25</v>
      </c>
      <c r="G170" s="4" t="s">
        <v>25</v>
      </c>
      <c r="H170" s="4" t="s">
        <v>35</v>
      </c>
      <c r="I170" s="5">
        <v>44713</v>
      </c>
      <c r="J170" s="6">
        <v>10110</v>
      </c>
      <c r="K170" s="61">
        <v>10110</v>
      </c>
      <c r="L170" s="6">
        <v>5405.5959999999995</v>
      </c>
      <c r="M170" s="60">
        <v>5405.5959999999995</v>
      </c>
      <c r="N170" s="6">
        <v>5405.5959999999995</v>
      </c>
      <c r="O170" s="60">
        <v>5405.5959999999995</v>
      </c>
      <c r="P170" s="6">
        <v>0</v>
      </c>
      <c r="Q170" s="4" t="s">
        <v>26</v>
      </c>
      <c r="R170" s="4">
        <v>0</v>
      </c>
      <c r="S170" s="6">
        <v>3</v>
      </c>
      <c r="T170" s="6">
        <v>5</v>
      </c>
      <c r="U170" s="6">
        <v>65</v>
      </c>
      <c r="V170" s="60">
        <f>IF(ISERROR(VLOOKUP($S$170,'TAR FIN'!$A$1:$O$104,15,0)),0,VLOOKUP($S$170,'TAR FIN'!$A$1:$O$104,15,0))*(1-0.06)</f>
        <v>10.499799999999999</v>
      </c>
      <c r="W170" s="60">
        <f>IF(ISERROR(VLOOKUP($T$170,'TAR FIN'!$A$1:$O$104,15,0)),0,VLOOKUP($T$170,'TAR FIN'!$A$1:$O$104,15,0))*(1-0.06)</f>
        <v>39.433</v>
      </c>
      <c r="X170" s="60">
        <f>IF(ISERROR(VLOOKUP($U$170,'TAR FIN'!$A$1:$O$104,15,0)),0,VLOOKUP($U$170,'TAR FIN'!$A$1:$O$104,15,0))*(1-0.06)</f>
        <v>228.25079999999997</v>
      </c>
      <c r="Y170" s="60">
        <f ca="1">('TUSD BE'!$AM$6+'TUSD BF'!$AM$6+'TUSD CVA'!$AM$6)*1*(1-0.03)</f>
        <v>10.727272179460348</v>
      </c>
      <c r="Z170" s="60">
        <f ca="1">('TUSD BE'!$AM$7+'TUSD BF'!$AM$7+'TUSD CVA'!$AM$7)*1*(1-0.03)</f>
        <v>53.648846500623598</v>
      </c>
      <c r="AA170" s="60">
        <f>('TE BE'!$AB$6+'TE BF'!$AB$6+'TE CVA'!$AB$6)*1*(1-0.03)</f>
        <v>224.80969662802207</v>
      </c>
      <c r="AB170" s="6">
        <f>$K$170*$V$170</f>
        <v>106152.97799999999</v>
      </c>
      <c r="AC170" s="6">
        <f>$M$170*$W$170</f>
        <v>213158.86706799999</v>
      </c>
      <c r="AD170" s="6">
        <f>$O$170*$X$170</f>
        <v>1233831.6114767997</v>
      </c>
      <c r="AE170" s="6">
        <f ca="1">$K$170*$Y$170</f>
        <v>108452.72173434412</v>
      </c>
      <c r="AF170" s="6">
        <f ca="1">$M$170*$Z$170</f>
        <v>290003.99004838488</v>
      </c>
      <c r="AG170" s="6">
        <f>$O$170*$AA$170</f>
        <v>1215230.3968536495</v>
      </c>
    </row>
    <row r="171" spans="1:33" ht="11.25" customHeight="1" x14ac:dyDescent="0.25">
      <c r="A171" s="4" t="s">
        <v>57</v>
      </c>
      <c r="B171" s="4" t="s">
        <v>39</v>
      </c>
      <c r="C171" s="4" t="s">
        <v>40</v>
      </c>
      <c r="D171" s="4" t="s">
        <v>50</v>
      </c>
      <c r="E171" s="4" t="s">
        <v>51</v>
      </c>
      <c r="F171" s="4" t="s">
        <v>25</v>
      </c>
      <c r="G171" s="4" t="s">
        <v>25</v>
      </c>
      <c r="H171" s="4" t="s">
        <v>35</v>
      </c>
      <c r="I171" s="5">
        <v>44743</v>
      </c>
      <c r="J171" s="6">
        <v>10110</v>
      </c>
      <c r="K171" s="61">
        <v>10110</v>
      </c>
      <c r="L171" s="6">
        <v>5405.5959999999995</v>
      </c>
      <c r="M171" s="60">
        <v>5405.5959999999995</v>
      </c>
      <c r="N171" s="6">
        <v>5405.5959999999995</v>
      </c>
      <c r="O171" s="60">
        <v>5405.5959999999995</v>
      </c>
      <c r="P171" s="6">
        <v>0</v>
      </c>
      <c r="Q171" s="4" t="s">
        <v>26</v>
      </c>
      <c r="R171" s="4">
        <v>0</v>
      </c>
      <c r="S171" s="6">
        <v>3</v>
      </c>
      <c r="T171" s="6">
        <v>5</v>
      </c>
      <c r="U171" s="6">
        <v>65</v>
      </c>
      <c r="V171" s="60">
        <f>IF(ISERROR(VLOOKUP($S$171,'TAR FIN'!$A$1:$O$104,15,0)),0,VLOOKUP($S$171,'TAR FIN'!$A$1:$O$104,15,0))*(1-0.06)</f>
        <v>10.499799999999999</v>
      </c>
      <c r="W171" s="60">
        <f>IF(ISERROR(VLOOKUP($T$171,'TAR FIN'!$A$1:$O$104,15,0)),0,VLOOKUP($T$171,'TAR FIN'!$A$1:$O$104,15,0))*(1-0.06)</f>
        <v>39.433</v>
      </c>
      <c r="X171" s="60">
        <f>IF(ISERROR(VLOOKUP($U$171,'TAR FIN'!$A$1:$O$104,15,0)),0,VLOOKUP($U$171,'TAR FIN'!$A$1:$O$104,15,0))*(1-0.06)</f>
        <v>228.25079999999997</v>
      </c>
      <c r="Y171" s="60">
        <f ca="1">('TUSD BE'!$AM$6+'TUSD BF'!$AM$6+'TUSD CVA'!$AM$6)*1*(1-0.03)</f>
        <v>10.727272179460348</v>
      </c>
      <c r="Z171" s="60">
        <f ca="1">('TUSD BE'!$AM$7+'TUSD BF'!$AM$7+'TUSD CVA'!$AM$7)*1*(1-0.03)</f>
        <v>53.648846500623598</v>
      </c>
      <c r="AA171" s="60">
        <f>('TE BE'!$AB$6+'TE BF'!$AB$6+'TE CVA'!$AB$6)*1*(1-0.03)</f>
        <v>224.80969662802207</v>
      </c>
      <c r="AB171" s="6">
        <f>$K$171*$V$171</f>
        <v>106152.97799999999</v>
      </c>
      <c r="AC171" s="6">
        <f>$M$171*$W$171</f>
        <v>213158.86706799999</v>
      </c>
      <c r="AD171" s="6">
        <f>$O$171*$X$171</f>
        <v>1233831.6114767997</v>
      </c>
      <c r="AE171" s="6">
        <f ca="1">$K$171*$Y$171</f>
        <v>108452.72173434412</v>
      </c>
      <c r="AF171" s="6">
        <f ca="1">$M$171*$Z$171</f>
        <v>290003.99004838488</v>
      </c>
      <c r="AG171" s="6">
        <f>$O$171*$AA$171</f>
        <v>1215230.3968536495</v>
      </c>
    </row>
    <row r="172" spans="1:33" ht="11.25" customHeight="1" x14ac:dyDescent="0.25">
      <c r="A172" s="4" t="s">
        <v>21</v>
      </c>
      <c r="B172" s="4" t="s">
        <v>39</v>
      </c>
      <c r="C172" s="4" t="s">
        <v>40</v>
      </c>
      <c r="D172" s="4" t="s">
        <v>50</v>
      </c>
      <c r="E172" s="4" t="s">
        <v>51</v>
      </c>
      <c r="F172" s="4" t="s">
        <v>25</v>
      </c>
      <c r="G172" s="4" t="s">
        <v>25</v>
      </c>
      <c r="H172" s="4" t="s">
        <v>34</v>
      </c>
      <c r="I172" s="5">
        <v>44409</v>
      </c>
      <c r="J172" s="6">
        <v>9080</v>
      </c>
      <c r="K172" s="61">
        <v>9080</v>
      </c>
      <c r="L172" s="6">
        <v>513</v>
      </c>
      <c r="M172" s="60">
        <v>513</v>
      </c>
      <c r="N172" s="6">
        <v>513</v>
      </c>
      <c r="O172" s="60">
        <v>513</v>
      </c>
      <c r="P172" s="6">
        <v>0</v>
      </c>
      <c r="Q172" s="4" t="s">
        <v>26</v>
      </c>
      <c r="R172" s="4">
        <v>0</v>
      </c>
      <c r="S172" s="6">
        <v>1</v>
      </c>
      <c r="T172" s="6">
        <v>5</v>
      </c>
      <c r="U172" s="6">
        <v>64</v>
      </c>
      <c r="V172" s="60">
        <f>IF(ISERROR(VLOOKUP($S$172,'TAR FIN'!$A$1:$O$104,15,0)),0,VLOOKUP($S$172,'TAR FIN'!$A$1:$O$104,15,0))*(1-0.06)</f>
        <v>20.191199999999998</v>
      </c>
      <c r="W172" s="60">
        <f>IF(ISERROR(VLOOKUP($T$172,'TAR FIN'!$A$1:$O$104,15,0)),0,VLOOKUP($T$172,'TAR FIN'!$A$1:$O$104,15,0))*(1-0.06)</f>
        <v>39.433</v>
      </c>
      <c r="X172" s="60">
        <f>IF(ISERROR(VLOOKUP($U$172,'TAR FIN'!$A$1:$O$104,15,0)),0,VLOOKUP($U$172,'TAR FIN'!$A$1:$O$104,15,0))*(1-0.06)</f>
        <v>373.76279999999997</v>
      </c>
      <c r="Y172" s="60">
        <f ca="1">('TUSD BE'!$AM$5+'TUSD BF'!$AM$5+'TUSD CVA'!$AM$5)*1*(1-0.03)</f>
        <v>20.673461938926021</v>
      </c>
      <c r="Z172" s="60">
        <f ca="1">('TUSD BE'!$AM$7+'TUSD BF'!$AM$7+'TUSD CVA'!$AM$7)*1*(1-0.03)</f>
        <v>53.648846500623598</v>
      </c>
      <c r="AA172" s="60">
        <f>('TE BE'!$AB$5+'TE BF'!$AB$5+'TE CVA'!$AB$5)*1*(1-0.03)</f>
        <v>349.45248311940099</v>
      </c>
      <c r="AB172" s="6">
        <f>$K$172*$V$172</f>
        <v>183336.09599999999</v>
      </c>
      <c r="AC172" s="6">
        <f>$M$172*$W$172</f>
        <v>20229.129000000001</v>
      </c>
      <c r="AD172" s="6">
        <f>$O$172*$X$172</f>
        <v>191740.31639999998</v>
      </c>
      <c r="AE172" s="6">
        <f ca="1">$K$172*$Y$172</f>
        <v>187715.03440544827</v>
      </c>
      <c r="AF172" s="6">
        <f ca="1">$M$172*$Z$172</f>
        <v>27521.858254819905</v>
      </c>
      <c r="AG172" s="6">
        <f>$O$172*$AA$172</f>
        <v>179269.12384025272</v>
      </c>
    </row>
    <row r="173" spans="1:33" ht="11.25" customHeight="1" x14ac:dyDescent="0.25">
      <c r="A173" s="4" t="s">
        <v>21</v>
      </c>
      <c r="B173" s="4" t="s">
        <v>39</v>
      </c>
      <c r="C173" s="4" t="s">
        <v>40</v>
      </c>
      <c r="D173" s="4" t="s">
        <v>50</v>
      </c>
      <c r="E173" s="4" t="s">
        <v>51</v>
      </c>
      <c r="F173" s="4" t="s">
        <v>25</v>
      </c>
      <c r="G173" s="4" t="s">
        <v>25</v>
      </c>
      <c r="H173" s="4" t="s">
        <v>34</v>
      </c>
      <c r="I173" s="5">
        <v>44440</v>
      </c>
      <c r="J173" s="6">
        <v>9000</v>
      </c>
      <c r="K173" s="61">
        <v>9000</v>
      </c>
      <c r="L173" s="6">
        <v>493</v>
      </c>
      <c r="M173" s="60">
        <v>493</v>
      </c>
      <c r="N173" s="6">
        <v>493</v>
      </c>
      <c r="O173" s="60">
        <v>493</v>
      </c>
      <c r="P173" s="6">
        <v>0</v>
      </c>
      <c r="Q173" s="4" t="s">
        <v>26</v>
      </c>
      <c r="R173" s="4">
        <v>0</v>
      </c>
      <c r="S173" s="6">
        <v>1</v>
      </c>
      <c r="T173" s="6">
        <v>5</v>
      </c>
      <c r="U173" s="6">
        <v>64</v>
      </c>
      <c r="V173" s="60">
        <f>IF(ISERROR(VLOOKUP($S$173,'TAR FIN'!$A$1:$O$104,15,0)),0,VLOOKUP($S$173,'TAR FIN'!$A$1:$O$104,15,0))*(1-0.06)</f>
        <v>20.191199999999998</v>
      </c>
      <c r="W173" s="60">
        <f>IF(ISERROR(VLOOKUP($T$173,'TAR FIN'!$A$1:$O$104,15,0)),0,VLOOKUP($T$173,'TAR FIN'!$A$1:$O$104,15,0))*(1-0.06)</f>
        <v>39.433</v>
      </c>
      <c r="X173" s="60">
        <f>IF(ISERROR(VLOOKUP($U$173,'TAR FIN'!$A$1:$O$104,15,0)),0,VLOOKUP($U$173,'TAR FIN'!$A$1:$O$104,15,0))*(1-0.06)</f>
        <v>373.76279999999997</v>
      </c>
      <c r="Y173" s="60">
        <f ca="1">('TUSD BE'!$AM$5+'TUSD BF'!$AM$5+'TUSD CVA'!$AM$5)*1*(1-0.03)</f>
        <v>20.673461938926021</v>
      </c>
      <c r="Z173" s="60">
        <f ca="1">('TUSD BE'!$AM$7+'TUSD BF'!$AM$7+'TUSD CVA'!$AM$7)*1*(1-0.03)</f>
        <v>53.648846500623598</v>
      </c>
      <c r="AA173" s="60">
        <f>('TE BE'!$AB$5+'TE BF'!$AB$5+'TE CVA'!$AB$5)*1*(1-0.03)</f>
        <v>349.45248311940099</v>
      </c>
      <c r="AB173" s="6">
        <f>$K$173*$V$173</f>
        <v>181720.8</v>
      </c>
      <c r="AC173" s="6">
        <f>$M$173*$W$173</f>
        <v>19440.469000000001</v>
      </c>
      <c r="AD173" s="6">
        <f>$O$173*$X$173</f>
        <v>184265.06039999999</v>
      </c>
      <c r="AE173" s="6">
        <f ca="1">$K$173*$Y$173</f>
        <v>186061.1574503342</v>
      </c>
      <c r="AF173" s="6">
        <f ca="1">$M$173*$Z$173</f>
        <v>26448.881324807433</v>
      </c>
      <c r="AG173" s="6">
        <f>$O$173*$AA$173</f>
        <v>172280.07417786468</v>
      </c>
    </row>
    <row r="174" spans="1:33" ht="11.25" customHeight="1" x14ac:dyDescent="0.25">
      <c r="A174" s="4" t="s">
        <v>21</v>
      </c>
      <c r="B174" s="4" t="s">
        <v>39</v>
      </c>
      <c r="C174" s="4" t="s">
        <v>40</v>
      </c>
      <c r="D174" s="4" t="s">
        <v>50</v>
      </c>
      <c r="E174" s="4" t="s">
        <v>51</v>
      </c>
      <c r="F174" s="4" t="s">
        <v>25</v>
      </c>
      <c r="G174" s="4" t="s">
        <v>25</v>
      </c>
      <c r="H174" s="4" t="s">
        <v>34</v>
      </c>
      <c r="I174" s="5">
        <v>44470</v>
      </c>
      <c r="J174" s="6">
        <v>9540</v>
      </c>
      <c r="K174" s="61">
        <v>9540</v>
      </c>
      <c r="L174" s="6">
        <v>505</v>
      </c>
      <c r="M174" s="60">
        <v>505</v>
      </c>
      <c r="N174" s="6">
        <v>505</v>
      </c>
      <c r="O174" s="60">
        <v>505</v>
      </c>
      <c r="P174" s="6">
        <v>0</v>
      </c>
      <c r="Q174" s="4" t="s">
        <v>26</v>
      </c>
      <c r="R174" s="4">
        <v>0</v>
      </c>
      <c r="S174" s="6">
        <v>1</v>
      </c>
      <c r="T174" s="6">
        <v>5</v>
      </c>
      <c r="U174" s="6">
        <v>64</v>
      </c>
      <c r="V174" s="60">
        <f>IF(ISERROR(VLOOKUP($S$174,'TAR FIN'!$A$1:$O$104,15,0)),0,VLOOKUP($S$174,'TAR FIN'!$A$1:$O$104,15,0))*(1-0.06)</f>
        <v>20.191199999999998</v>
      </c>
      <c r="W174" s="60">
        <f>IF(ISERROR(VLOOKUP($T$174,'TAR FIN'!$A$1:$O$104,15,0)),0,VLOOKUP($T$174,'TAR FIN'!$A$1:$O$104,15,0))*(1-0.06)</f>
        <v>39.433</v>
      </c>
      <c r="X174" s="60">
        <f>IF(ISERROR(VLOOKUP($U$174,'TAR FIN'!$A$1:$O$104,15,0)),0,VLOOKUP($U$174,'TAR FIN'!$A$1:$O$104,15,0))*(1-0.06)</f>
        <v>373.76279999999997</v>
      </c>
      <c r="Y174" s="60">
        <f ca="1">('TUSD BE'!$AM$5+'TUSD BF'!$AM$5+'TUSD CVA'!$AM$5)*1*(1-0.03)</f>
        <v>20.673461938926021</v>
      </c>
      <c r="Z174" s="60">
        <f ca="1">('TUSD BE'!$AM$7+'TUSD BF'!$AM$7+'TUSD CVA'!$AM$7)*1*(1-0.03)</f>
        <v>53.648846500623598</v>
      </c>
      <c r="AA174" s="60">
        <f>('TE BE'!$AB$5+'TE BF'!$AB$5+'TE CVA'!$AB$5)*1*(1-0.03)</f>
        <v>349.45248311940099</v>
      </c>
      <c r="AB174" s="6">
        <f>$K$174*$V$174</f>
        <v>192624.04799999998</v>
      </c>
      <c r="AC174" s="6">
        <f>$M$174*$W$174</f>
        <v>19913.665000000001</v>
      </c>
      <c r="AD174" s="6">
        <f>$O$174*$X$174</f>
        <v>188750.21399999998</v>
      </c>
      <c r="AE174" s="6">
        <f ca="1">$K$174*$Y$174</f>
        <v>197224.82689735424</v>
      </c>
      <c r="AF174" s="6">
        <f ca="1">$M$174*$Z$174</f>
        <v>27092.667482814919</v>
      </c>
      <c r="AG174" s="6">
        <f>$O$174*$AA$174</f>
        <v>176473.5039752975</v>
      </c>
    </row>
    <row r="175" spans="1:33" ht="11.25" customHeight="1" x14ac:dyDescent="0.25">
      <c r="A175" s="4" t="s">
        <v>21</v>
      </c>
      <c r="B175" s="4" t="s">
        <v>39</v>
      </c>
      <c r="C175" s="4" t="s">
        <v>40</v>
      </c>
      <c r="D175" s="4" t="s">
        <v>50</v>
      </c>
      <c r="E175" s="4" t="s">
        <v>51</v>
      </c>
      <c r="F175" s="4" t="s">
        <v>25</v>
      </c>
      <c r="G175" s="4" t="s">
        <v>25</v>
      </c>
      <c r="H175" s="4" t="s">
        <v>34</v>
      </c>
      <c r="I175" s="5">
        <v>44501</v>
      </c>
      <c r="J175" s="6">
        <v>9480</v>
      </c>
      <c r="K175" s="61">
        <v>9480</v>
      </c>
      <c r="L175" s="6">
        <v>529</v>
      </c>
      <c r="M175" s="60">
        <v>529</v>
      </c>
      <c r="N175" s="6">
        <v>529</v>
      </c>
      <c r="O175" s="60">
        <v>529</v>
      </c>
      <c r="P175" s="6">
        <v>0</v>
      </c>
      <c r="Q175" s="4" t="s">
        <v>26</v>
      </c>
      <c r="R175" s="4">
        <v>0</v>
      </c>
      <c r="S175" s="6">
        <v>1</v>
      </c>
      <c r="T175" s="6">
        <v>5</v>
      </c>
      <c r="U175" s="6">
        <v>64</v>
      </c>
      <c r="V175" s="60">
        <f>IF(ISERROR(VLOOKUP($S$175,'TAR FIN'!$A$1:$O$104,15,0)),0,VLOOKUP($S$175,'TAR FIN'!$A$1:$O$104,15,0))*(1-0.06)</f>
        <v>20.191199999999998</v>
      </c>
      <c r="W175" s="60">
        <f>IF(ISERROR(VLOOKUP($T$175,'TAR FIN'!$A$1:$O$104,15,0)),0,VLOOKUP($T$175,'TAR FIN'!$A$1:$O$104,15,0))*(1-0.06)</f>
        <v>39.433</v>
      </c>
      <c r="X175" s="60">
        <f>IF(ISERROR(VLOOKUP($U$175,'TAR FIN'!$A$1:$O$104,15,0)),0,VLOOKUP($U$175,'TAR FIN'!$A$1:$O$104,15,0))*(1-0.06)</f>
        <v>373.76279999999997</v>
      </c>
      <c r="Y175" s="60">
        <f ca="1">('TUSD BE'!$AM$5+'TUSD BF'!$AM$5+'TUSD CVA'!$AM$5)*1*(1-0.03)</f>
        <v>20.673461938926021</v>
      </c>
      <c r="Z175" s="60">
        <f ca="1">('TUSD BE'!$AM$7+'TUSD BF'!$AM$7+'TUSD CVA'!$AM$7)*1*(1-0.03)</f>
        <v>53.648846500623598</v>
      </c>
      <c r="AA175" s="60">
        <f>('TE BE'!$AB$5+'TE BF'!$AB$5+'TE CVA'!$AB$5)*1*(1-0.03)</f>
        <v>349.45248311940099</v>
      </c>
      <c r="AB175" s="6">
        <f>$K$175*$V$175</f>
        <v>191412.57599999997</v>
      </c>
      <c r="AC175" s="6">
        <f>$M$175*$W$175</f>
        <v>20860.057000000001</v>
      </c>
      <c r="AD175" s="6">
        <f>$O$175*$X$175</f>
        <v>197720.52119999999</v>
      </c>
      <c r="AE175" s="6">
        <f ca="1">$K$175*$Y$175</f>
        <v>195984.41918101869</v>
      </c>
      <c r="AF175" s="6">
        <f ca="1">$M$175*$Z$175</f>
        <v>28380.239798829884</v>
      </c>
      <c r="AG175" s="6">
        <f>$O$175*$AA$175</f>
        <v>184860.36357016311</v>
      </c>
    </row>
    <row r="176" spans="1:33" ht="11.25" customHeight="1" x14ac:dyDescent="0.25">
      <c r="A176" s="4" t="s">
        <v>21</v>
      </c>
      <c r="B176" s="4" t="s">
        <v>39</v>
      </c>
      <c r="C176" s="4" t="s">
        <v>40</v>
      </c>
      <c r="D176" s="4" t="s">
        <v>50</v>
      </c>
      <c r="E176" s="4" t="s">
        <v>51</v>
      </c>
      <c r="F176" s="4" t="s">
        <v>25</v>
      </c>
      <c r="G176" s="4" t="s">
        <v>25</v>
      </c>
      <c r="H176" s="4" t="s">
        <v>34</v>
      </c>
      <c r="I176" s="5">
        <v>44531</v>
      </c>
      <c r="J176" s="6">
        <v>10190</v>
      </c>
      <c r="K176" s="61">
        <v>10190</v>
      </c>
      <c r="L176" s="6">
        <v>600</v>
      </c>
      <c r="M176" s="60">
        <v>600</v>
      </c>
      <c r="N176" s="6">
        <v>600</v>
      </c>
      <c r="O176" s="60">
        <v>600</v>
      </c>
      <c r="P176" s="6">
        <v>0</v>
      </c>
      <c r="Q176" s="4" t="s">
        <v>26</v>
      </c>
      <c r="R176" s="4">
        <v>0</v>
      </c>
      <c r="S176" s="6">
        <v>1</v>
      </c>
      <c r="T176" s="6">
        <v>5</v>
      </c>
      <c r="U176" s="6">
        <v>64</v>
      </c>
      <c r="V176" s="60">
        <f>IF(ISERROR(VLOOKUP($S$176,'TAR FIN'!$A$1:$O$104,15,0)),0,VLOOKUP($S$176,'TAR FIN'!$A$1:$O$104,15,0))*(1-0.06)</f>
        <v>20.191199999999998</v>
      </c>
      <c r="W176" s="60">
        <f>IF(ISERROR(VLOOKUP($T$176,'TAR FIN'!$A$1:$O$104,15,0)),0,VLOOKUP($T$176,'TAR FIN'!$A$1:$O$104,15,0))*(1-0.06)</f>
        <v>39.433</v>
      </c>
      <c r="X176" s="60">
        <f>IF(ISERROR(VLOOKUP($U$176,'TAR FIN'!$A$1:$O$104,15,0)),0,VLOOKUP($U$176,'TAR FIN'!$A$1:$O$104,15,0))*(1-0.06)</f>
        <v>373.76279999999997</v>
      </c>
      <c r="Y176" s="60">
        <f ca="1">('TUSD BE'!$AM$5+'TUSD BF'!$AM$5+'TUSD CVA'!$AM$5)*1*(1-0.03)</f>
        <v>20.673461938926021</v>
      </c>
      <c r="Z176" s="60">
        <f ca="1">('TUSD BE'!$AM$7+'TUSD BF'!$AM$7+'TUSD CVA'!$AM$7)*1*(1-0.03)</f>
        <v>53.648846500623598</v>
      </c>
      <c r="AA176" s="60">
        <f>('TE BE'!$AB$5+'TE BF'!$AB$5+'TE CVA'!$AB$5)*1*(1-0.03)</f>
        <v>349.45248311940099</v>
      </c>
      <c r="AB176" s="6">
        <f>$K$176*$V$176</f>
        <v>205748.32799999998</v>
      </c>
      <c r="AC176" s="6">
        <f>$M$176*$W$176</f>
        <v>23659.8</v>
      </c>
      <c r="AD176" s="6">
        <f>$O$176*$X$176</f>
        <v>224257.68</v>
      </c>
      <c r="AE176" s="6">
        <f ca="1">$K$176*$Y$176</f>
        <v>210662.57715765617</v>
      </c>
      <c r="AF176" s="6">
        <f ca="1">$M$176*$Z$176</f>
        <v>32189.307900374159</v>
      </c>
      <c r="AG176" s="6">
        <f>$O$176*$AA$176</f>
        <v>209671.4898716406</v>
      </c>
    </row>
    <row r="177" spans="1:33" ht="11.25" customHeight="1" x14ac:dyDescent="0.25">
      <c r="A177" s="4" t="s">
        <v>21</v>
      </c>
      <c r="B177" s="4" t="s">
        <v>39</v>
      </c>
      <c r="C177" s="4" t="s">
        <v>40</v>
      </c>
      <c r="D177" s="4" t="s">
        <v>50</v>
      </c>
      <c r="E177" s="4" t="s">
        <v>51</v>
      </c>
      <c r="F177" s="4" t="s">
        <v>25</v>
      </c>
      <c r="G177" s="4" t="s">
        <v>25</v>
      </c>
      <c r="H177" s="4" t="s">
        <v>34</v>
      </c>
      <c r="I177" s="5">
        <v>44562</v>
      </c>
      <c r="J177" s="6">
        <v>9703</v>
      </c>
      <c r="K177" s="61">
        <v>9703</v>
      </c>
      <c r="L177" s="6">
        <v>532.51300000000003</v>
      </c>
      <c r="M177" s="60">
        <v>532.51300000000003</v>
      </c>
      <c r="N177" s="6">
        <v>532.51300000000003</v>
      </c>
      <c r="O177" s="60">
        <v>532.51300000000003</v>
      </c>
      <c r="P177" s="6">
        <v>0</v>
      </c>
      <c r="Q177" s="4" t="s">
        <v>26</v>
      </c>
      <c r="R177" s="4">
        <v>0</v>
      </c>
      <c r="S177" s="6">
        <v>1</v>
      </c>
      <c r="T177" s="6">
        <v>5</v>
      </c>
      <c r="U177" s="6">
        <v>64</v>
      </c>
      <c r="V177" s="60">
        <f>IF(ISERROR(VLOOKUP($S$177,'TAR FIN'!$A$1:$O$104,15,0)),0,VLOOKUP($S$177,'TAR FIN'!$A$1:$O$104,15,0))*(1-0.06)</f>
        <v>20.191199999999998</v>
      </c>
      <c r="W177" s="60">
        <f>IF(ISERROR(VLOOKUP($T$177,'TAR FIN'!$A$1:$O$104,15,0)),0,VLOOKUP($T$177,'TAR FIN'!$A$1:$O$104,15,0))*(1-0.06)</f>
        <v>39.433</v>
      </c>
      <c r="X177" s="60">
        <f>IF(ISERROR(VLOOKUP($U$177,'TAR FIN'!$A$1:$O$104,15,0)),0,VLOOKUP($U$177,'TAR FIN'!$A$1:$O$104,15,0))*(1-0.06)</f>
        <v>373.76279999999997</v>
      </c>
      <c r="Y177" s="60">
        <f ca="1">('TUSD BE'!$AM$5+'TUSD BF'!$AM$5+'TUSD CVA'!$AM$5)*1*(1-0.03)</f>
        <v>20.673461938926021</v>
      </c>
      <c r="Z177" s="60">
        <f ca="1">('TUSD BE'!$AM$7+'TUSD BF'!$AM$7+'TUSD CVA'!$AM$7)*1*(1-0.03)</f>
        <v>53.648846500623598</v>
      </c>
      <c r="AA177" s="60">
        <f>('TE BE'!$AB$5+'TE BF'!$AB$5+'TE CVA'!$AB$5)*1*(1-0.03)</f>
        <v>349.45248311940099</v>
      </c>
      <c r="AB177" s="6">
        <f>$K$177*$V$177</f>
        <v>195915.21359999999</v>
      </c>
      <c r="AC177" s="6">
        <f>$M$177*$W$177</f>
        <v>20998.585129000003</v>
      </c>
      <c r="AD177" s="6">
        <f>$O$177*$X$177</f>
        <v>199033.54991639999</v>
      </c>
      <c r="AE177" s="6">
        <f ca="1">$K$177*$Y$177</f>
        <v>200594.60119339917</v>
      </c>
      <c r="AF177" s="6">
        <f ca="1">$M$177*$Z$177</f>
        <v>28568.708196586576</v>
      </c>
      <c r="AG177" s="6">
        <f>$O$177*$AA$177</f>
        <v>186087.99014336159</v>
      </c>
    </row>
    <row r="178" spans="1:33" ht="11.25" customHeight="1" x14ac:dyDescent="0.25">
      <c r="A178" s="4" t="s">
        <v>21</v>
      </c>
      <c r="B178" s="4" t="s">
        <v>39</v>
      </c>
      <c r="C178" s="4" t="s">
        <v>40</v>
      </c>
      <c r="D178" s="4" t="s">
        <v>50</v>
      </c>
      <c r="E178" s="4" t="s">
        <v>51</v>
      </c>
      <c r="F178" s="4" t="s">
        <v>25</v>
      </c>
      <c r="G178" s="4" t="s">
        <v>25</v>
      </c>
      <c r="H178" s="4" t="s">
        <v>34</v>
      </c>
      <c r="I178" s="5">
        <v>44593</v>
      </c>
      <c r="J178" s="6">
        <v>9740</v>
      </c>
      <c r="K178" s="61">
        <v>9740</v>
      </c>
      <c r="L178" s="6">
        <v>517.00900000000001</v>
      </c>
      <c r="M178" s="60">
        <v>517.00900000000001</v>
      </c>
      <c r="N178" s="6">
        <v>517.00900000000001</v>
      </c>
      <c r="O178" s="60">
        <v>517.00900000000001</v>
      </c>
      <c r="P178" s="6">
        <v>0</v>
      </c>
      <c r="Q178" s="4" t="s">
        <v>26</v>
      </c>
      <c r="R178" s="4">
        <v>0</v>
      </c>
      <c r="S178" s="6">
        <v>1</v>
      </c>
      <c r="T178" s="6">
        <v>5</v>
      </c>
      <c r="U178" s="6">
        <v>64</v>
      </c>
      <c r="V178" s="60">
        <f>IF(ISERROR(VLOOKUP($S$178,'TAR FIN'!$A$1:$O$104,15,0)),0,VLOOKUP($S$178,'TAR FIN'!$A$1:$O$104,15,0))*(1-0.06)</f>
        <v>20.191199999999998</v>
      </c>
      <c r="W178" s="60">
        <f>IF(ISERROR(VLOOKUP($T$178,'TAR FIN'!$A$1:$O$104,15,0)),0,VLOOKUP($T$178,'TAR FIN'!$A$1:$O$104,15,0))*(1-0.06)</f>
        <v>39.433</v>
      </c>
      <c r="X178" s="60">
        <f>IF(ISERROR(VLOOKUP($U$178,'TAR FIN'!$A$1:$O$104,15,0)),0,VLOOKUP($U$178,'TAR FIN'!$A$1:$O$104,15,0))*(1-0.06)</f>
        <v>373.76279999999997</v>
      </c>
      <c r="Y178" s="60">
        <f ca="1">('TUSD BE'!$AM$5+'TUSD BF'!$AM$5+'TUSD CVA'!$AM$5)*1*(1-0.03)</f>
        <v>20.673461938926021</v>
      </c>
      <c r="Z178" s="60">
        <f ca="1">('TUSD BE'!$AM$7+'TUSD BF'!$AM$7+'TUSD CVA'!$AM$7)*1*(1-0.03)</f>
        <v>53.648846500623598</v>
      </c>
      <c r="AA178" s="60">
        <f>('TE BE'!$AB$5+'TE BF'!$AB$5+'TE CVA'!$AB$5)*1*(1-0.03)</f>
        <v>349.45248311940099</v>
      </c>
      <c r="AB178" s="6">
        <f>$K$178*$V$178</f>
        <v>196662.28799999997</v>
      </c>
      <c r="AC178" s="6">
        <f>$M$178*$W$178</f>
        <v>20387.215897000002</v>
      </c>
      <c r="AD178" s="6">
        <f>$O$178*$X$178</f>
        <v>193238.73146519999</v>
      </c>
      <c r="AE178" s="6">
        <f ca="1">$K$178*$Y$178</f>
        <v>201359.51928513945</v>
      </c>
      <c r="AF178" s="6">
        <f ca="1">$M$178*$Z$178</f>
        <v>27736.936480440905</v>
      </c>
      <c r="AG178" s="6">
        <f>$O$178*$AA$178</f>
        <v>180670.07884507839</v>
      </c>
    </row>
    <row r="179" spans="1:33" ht="11.25" customHeight="1" x14ac:dyDescent="0.25">
      <c r="A179" s="4" t="s">
        <v>21</v>
      </c>
      <c r="B179" s="4" t="s">
        <v>39</v>
      </c>
      <c r="C179" s="4" t="s">
        <v>40</v>
      </c>
      <c r="D179" s="4" t="s">
        <v>50</v>
      </c>
      <c r="E179" s="4" t="s">
        <v>51</v>
      </c>
      <c r="F179" s="4" t="s">
        <v>25</v>
      </c>
      <c r="G179" s="4" t="s">
        <v>25</v>
      </c>
      <c r="H179" s="4" t="s">
        <v>34</v>
      </c>
      <c r="I179" s="5">
        <v>44621</v>
      </c>
      <c r="J179" s="6">
        <v>9021</v>
      </c>
      <c r="K179" s="61">
        <v>9021</v>
      </c>
      <c r="L179" s="6">
        <v>535.46400000000006</v>
      </c>
      <c r="M179" s="60">
        <v>535.46400000000006</v>
      </c>
      <c r="N179" s="6">
        <v>535.46400000000006</v>
      </c>
      <c r="O179" s="60">
        <v>535.46400000000006</v>
      </c>
      <c r="P179" s="6">
        <v>0</v>
      </c>
      <c r="Q179" s="4" t="s">
        <v>26</v>
      </c>
      <c r="R179" s="4">
        <v>0</v>
      </c>
      <c r="S179" s="6">
        <v>1</v>
      </c>
      <c r="T179" s="6">
        <v>5</v>
      </c>
      <c r="U179" s="6">
        <v>64</v>
      </c>
      <c r="V179" s="60">
        <f>IF(ISERROR(VLOOKUP($S$179,'TAR FIN'!$A$1:$O$104,15,0)),0,VLOOKUP($S$179,'TAR FIN'!$A$1:$O$104,15,0))*(1-0.06)</f>
        <v>20.191199999999998</v>
      </c>
      <c r="W179" s="60">
        <f>IF(ISERROR(VLOOKUP($T$179,'TAR FIN'!$A$1:$O$104,15,0)),0,VLOOKUP($T$179,'TAR FIN'!$A$1:$O$104,15,0))*(1-0.06)</f>
        <v>39.433</v>
      </c>
      <c r="X179" s="60">
        <f>IF(ISERROR(VLOOKUP($U$179,'TAR FIN'!$A$1:$O$104,15,0)),0,VLOOKUP($U$179,'TAR FIN'!$A$1:$O$104,15,0))*(1-0.06)</f>
        <v>373.76279999999997</v>
      </c>
      <c r="Y179" s="60">
        <f ca="1">('TUSD BE'!$AM$5+'TUSD BF'!$AM$5+'TUSD CVA'!$AM$5)*1*(1-0.03)</f>
        <v>20.673461938926021</v>
      </c>
      <c r="Z179" s="60">
        <f ca="1">('TUSD BE'!$AM$7+'TUSD BF'!$AM$7+'TUSD CVA'!$AM$7)*1*(1-0.03)</f>
        <v>53.648846500623598</v>
      </c>
      <c r="AA179" s="60">
        <f>('TE BE'!$AB$5+'TE BF'!$AB$5+'TE CVA'!$AB$5)*1*(1-0.03)</f>
        <v>349.45248311940099</v>
      </c>
      <c r="AB179" s="6">
        <f>$K$179*$V$179</f>
        <v>182144.81519999998</v>
      </c>
      <c r="AC179" s="6">
        <f>$M$179*$W$179</f>
        <v>21114.951912</v>
      </c>
      <c r="AD179" s="6">
        <f>$O$179*$X$179</f>
        <v>200136.52393920001</v>
      </c>
      <c r="AE179" s="6">
        <f ca="1">$K$179*$Y$179</f>
        <v>186495.30015105163</v>
      </c>
      <c r="AF179" s="6">
        <f ca="1">$M$179*$Z$179</f>
        <v>28727.025942609918</v>
      </c>
      <c r="AG179" s="6">
        <f>$O$179*$AA$179</f>
        <v>187119.22442104697</v>
      </c>
    </row>
    <row r="180" spans="1:33" ht="11.25" customHeight="1" x14ac:dyDescent="0.25">
      <c r="A180" s="4" t="s">
        <v>21</v>
      </c>
      <c r="B180" s="4" t="s">
        <v>39</v>
      </c>
      <c r="C180" s="4" t="s">
        <v>40</v>
      </c>
      <c r="D180" s="4" t="s">
        <v>50</v>
      </c>
      <c r="E180" s="4" t="s">
        <v>51</v>
      </c>
      <c r="F180" s="4" t="s">
        <v>25</v>
      </c>
      <c r="G180" s="4" t="s">
        <v>25</v>
      </c>
      <c r="H180" s="4" t="s">
        <v>34</v>
      </c>
      <c r="I180" s="5">
        <v>44652</v>
      </c>
      <c r="J180" s="6">
        <v>9149</v>
      </c>
      <c r="K180" s="61">
        <v>9149</v>
      </c>
      <c r="L180" s="6">
        <v>452.89499999999998</v>
      </c>
      <c r="M180" s="60">
        <v>452.89499999999998</v>
      </c>
      <c r="N180" s="6">
        <v>452.89499999999998</v>
      </c>
      <c r="O180" s="60">
        <v>452.89499999999998</v>
      </c>
      <c r="P180" s="6">
        <v>0</v>
      </c>
      <c r="Q180" s="4" t="s">
        <v>26</v>
      </c>
      <c r="R180" s="4">
        <v>0</v>
      </c>
      <c r="S180" s="6">
        <v>1</v>
      </c>
      <c r="T180" s="6">
        <v>5</v>
      </c>
      <c r="U180" s="6">
        <v>64</v>
      </c>
      <c r="V180" s="60">
        <f>IF(ISERROR(VLOOKUP($S$180,'TAR FIN'!$A$1:$O$104,15,0)),0,VLOOKUP($S$180,'TAR FIN'!$A$1:$O$104,15,0))*(1-0.06)</f>
        <v>20.191199999999998</v>
      </c>
      <c r="W180" s="60">
        <f>IF(ISERROR(VLOOKUP($T$180,'TAR FIN'!$A$1:$O$104,15,0)),0,VLOOKUP($T$180,'TAR FIN'!$A$1:$O$104,15,0))*(1-0.06)</f>
        <v>39.433</v>
      </c>
      <c r="X180" s="60">
        <f>IF(ISERROR(VLOOKUP($U$180,'TAR FIN'!$A$1:$O$104,15,0)),0,VLOOKUP($U$180,'TAR FIN'!$A$1:$O$104,15,0))*(1-0.06)</f>
        <v>373.76279999999997</v>
      </c>
      <c r="Y180" s="60">
        <f ca="1">('TUSD BE'!$AM$5+'TUSD BF'!$AM$5+'TUSD CVA'!$AM$5)*1*(1-0.03)</f>
        <v>20.673461938926021</v>
      </c>
      <c r="Z180" s="60">
        <f ca="1">('TUSD BE'!$AM$7+'TUSD BF'!$AM$7+'TUSD CVA'!$AM$7)*1*(1-0.03)</f>
        <v>53.648846500623598</v>
      </c>
      <c r="AA180" s="60">
        <f>('TE BE'!$AB$5+'TE BF'!$AB$5+'TE CVA'!$AB$5)*1*(1-0.03)</f>
        <v>349.45248311940099</v>
      </c>
      <c r="AB180" s="6">
        <f>$K$180*$V$180</f>
        <v>184729.28879999998</v>
      </c>
      <c r="AC180" s="6">
        <f>$M$180*$W$180</f>
        <v>17859.008535000001</v>
      </c>
      <c r="AD180" s="6">
        <f>$O$180*$X$180</f>
        <v>169275.30330599999</v>
      </c>
      <c r="AE180" s="6">
        <f ca="1">$K$180*$Y$180</f>
        <v>189141.50327923417</v>
      </c>
      <c r="AF180" s="6">
        <f ca="1">$M$180*$Z$180</f>
        <v>24297.294335899922</v>
      </c>
      <c r="AG180" s="6">
        <f>$O$180*$AA$180</f>
        <v>158265.28234236111</v>
      </c>
    </row>
    <row r="181" spans="1:33" ht="11.25" customHeight="1" x14ac:dyDescent="0.25">
      <c r="A181" s="4" t="s">
        <v>21</v>
      </c>
      <c r="B181" s="4" t="s">
        <v>39</v>
      </c>
      <c r="C181" s="4" t="s">
        <v>40</v>
      </c>
      <c r="D181" s="4" t="s">
        <v>50</v>
      </c>
      <c r="E181" s="4" t="s">
        <v>51</v>
      </c>
      <c r="F181" s="4" t="s">
        <v>25</v>
      </c>
      <c r="G181" s="4" t="s">
        <v>25</v>
      </c>
      <c r="H181" s="4" t="s">
        <v>34</v>
      </c>
      <c r="I181" s="5">
        <v>44682</v>
      </c>
      <c r="J181" s="6">
        <v>8978</v>
      </c>
      <c r="K181" s="61">
        <v>8978</v>
      </c>
      <c r="L181" s="6">
        <v>527.52700000000004</v>
      </c>
      <c r="M181" s="60">
        <v>527.52700000000004</v>
      </c>
      <c r="N181" s="6">
        <v>527.52700000000004</v>
      </c>
      <c r="O181" s="60">
        <v>527.52700000000004</v>
      </c>
      <c r="P181" s="6">
        <v>0</v>
      </c>
      <c r="Q181" s="4" t="s">
        <v>26</v>
      </c>
      <c r="R181" s="4">
        <v>0</v>
      </c>
      <c r="S181" s="6">
        <v>1</v>
      </c>
      <c r="T181" s="6">
        <v>5</v>
      </c>
      <c r="U181" s="6">
        <v>64</v>
      </c>
      <c r="V181" s="60">
        <f>IF(ISERROR(VLOOKUP($S$181,'TAR FIN'!$A$1:$O$104,15,0)),0,VLOOKUP($S$181,'TAR FIN'!$A$1:$O$104,15,0))*(1-0.06)</f>
        <v>20.191199999999998</v>
      </c>
      <c r="W181" s="60">
        <f>IF(ISERROR(VLOOKUP($T$181,'TAR FIN'!$A$1:$O$104,15,0)),0,VLOOKUP($T$181,'TAR FIN'!$A$1:$O$104,15,0))*(1-0.06)</f>
        <v>39.433</v>
      </c>
      <c r="X181" s="60">
        <f>IF(ISERROR(VLOOKUP($U$181,'TAR FIN'!$A$1:$O$104,15,0)),0,VLOOKUP($U$181,'TAR FIN'!$A$1:$O$104,15,0))*(1-0.06)</f>
        <v>373.76279999999997</v>
      </c>
      <c r="Y181" s="60">
        <f ca="1">('TUSD BE'!$AM$5+'TUSD BF'!$AM$5+'TUSD CVA'!$AM$5)*1*(1-0.03)</f>
        <v>20.673461938926021</v>
      </c>
      <c r="Z181" s="60">
        <f ca="1">('TUSD BE'!$AM$7+'TUSD BF'!$AM$7+'TUSD CVA'!$AM$7)*1*(1-0.03)</f>
        <v>53.648846500623598</v>
      </c>
      <c r="AA181" s="60">
        <f>('TE BE'!$AB$5+'TE BF'!$AB$5+'TE CVA'!$AB$5)*1*(1-0.03)</f>
        <v>349.45248311940099</v>
      </c>
      <c r="AB181" s="6">
        <f>$K$181*$V$181</f>
        <v>181276.59359999999</v>
      </c>
      <c r="AC181" s="6">
        <f>$M$181*$W$181</f>
        <v>20801.972191000001</v>
      </c>
      <c r="AD181" s="6">
        <f>$O$181*$X$181</f>
        <v>197169.96859559999</v>
      </c>
      <c r="AE181" s="6">
        <f ca="1">$K$181*$Y$181</f>
        <v>185606.34128767782</v>
      </c>
      <c r="AF181" s="6">
        <f ca="1">$M$181*$Z$181</f>
        <v>28301.215047934467</v>
      </c>
      <c r="AG181" s="6">
        <f>$O$181*$AA$181</f>
        <v>184345.62006252827</v>
      </c>
    </row>
    <row r="182" spans="1:33" ht="11.25" customHeight="1" x14ac:dyDescent="0.25">
      <c r="A182" s="4" t="s">
        <v>21</v>
      </c>
      <c r="B182" s="4" t="s">
        <v>39</v>
      </c>
      <c r="C182" s="4" t="s">
        <v>40</v>
      </c>
      <c r="D182" s="4" t="s">
        <v>50</v>
      </c>
      <c r="E182" s="4" t="s">
        <v>51</v>
      </c>
      <c r="F182" s="4" t="s">
        <v>25</v>
      </c>
      <c r="G182" s="4" t="s">
        <v>25</v>
      </c>
      <c r="H182" s="4" t="s">
        <v>34</v>
      </c>
      <c r="I182" s="5">
        <v>44713</v>
      </c>
      <c r="J182" s="6">
        <v>8944</v>
      </c>
      <c r="K182" s="61">
        <v>8944</v>
      </c>
      <c r="L182" s="6">
        <v>501.512</v>
      </c>
      <c r="M182" s="60">
        <v>501.512</v>
      </c>
      <c r="N182" s="6">
        <v>501.512</v>
      </c>
      <c r="O182" s="60">
        <v>501.512</v>
      </c>
      <c r="P182" s="6">
        <v>0</v>
      </c>
      <c r="Q182" s="4" t="s">
        <v>26</v>
      </c>
      <c r="R182" s="4">
        <v>0</v>
      </c>
      <c r="S182" s="6">
        <v>1</v>
      </c>
      <c r="T182" s="6">
        <v>5</v>
      </c>
      <c r="U182" s="6">
        <v>64</v>
      </c>
      <c r="V182" s="60">
        <f>IF(ISERROR(VLOOKUP($S$182,'TAR FIN'!$A$1:$O$104,15,0)),0,VLOOKUP($S$182,'TAR FIN'!$A$1:$O$104,15,0))*(1-0.06)</f>
        <v>20.191199999999998</v>
      </c>
      <c r="W182" s="60">
        <f>IF(ISERROR(VLOOKUP($T$182,'TAR FIN'!$A$1:$O$104,15,0)),0,VLOOKUP($T$182,'TAR FIN'!$A$1:$O$104,15,0))*(1-0.06)</f>
        <v>39.433</v>
      </c>
      <c r="X182" s="60">
        <f>IF(ISERROR(VLOOKUP($U$182,'TAR FIN'!$A$1:$O$104,15,0)),0,VLOOKUP($U$182,'TAR FIN'!$A$1:$O$104,15,0))*(1-0.06)</f>
        <v>373.76279999999997</v>
      </c>
      <c r="Y182" s="60">
        <f ca="1">('TUSD BE'!$AM$5+'TUSD BF'!$AM$5+'TUSD CVA'!$AM$5)*1*(1-0.03)</f>
        <v>20.673461938926021</v>
      </c>
      <c r="Z182" s="60">
        <f ca="1">('TUSD BE'!$AM$7+'TUSD BF'!$AM$7+'TUSD CVA'!$AM$7)*1*(1-0.03)</f>
        <v>53.648846500623598</v>
      </c>
      <c r="AA182" s="60">
        <f>('TE BE'!$AB$5+'TE BF'!$AB$5+'TE CVA'!$AB$5)*1*(1-0.03)</f>
        <v>349.45248311940099</v>
      </c>
      <c r="AB182" s="6">
        <f>$K$182*$V$182</f>
        <v>180590.09279999998</v>
      </c>
      <c r="AC182" s="6">
        <f>$M$182*$W$182</f>
        <v>19776.122695999999</v>
      </c>
      <c r="AD182" s="6">
        <f>$O$182*$X$182</f>
        <v>187446.5293536</v>
      </c>
      <c r="AE182" s="6">
        <f ca="1">$K$182*$Y$182</f>
        <v>184903.44358175434</v>
      </c>
      <c r="AF182" s="6">
        <f ca="1">$M$182*$Z$182</f>
        <v>26905.540306220741</v>
      </c>
      <c r="AG182" s="6">
        <f>$O$182*$AA$182</f>
        <v>175254.61371417705</v>
      </c>
    </row>
    <row r="183" spans="1:33" ht="11.25" customHeight="1" x14ac:dyDescent="0.25">
      <c r="A183" s="4" t="s">
        <v>57</v>
      </c>
      <c r="B183" s="4" t="s">
        <v>39</v>
      </c>
      <c r="C183" s="4" t="s">
        <v>40</v>
      </c>
      <c r="D183" s="4" t="s">
        <v>50</v>
      </c>
      <c r="E183" s="4" t="s">
        <v>51</v>
      </c>
      <c r="F183" s="4" t="s">
        <v>25</v>
      </c>
      <c r="G183" s="4" t="s">
        <v>25</v>
      </c>
      <c r="H183" s="4" t="s">
        <v>34</v>
      </c>
      <c r="I183" s="5">
        <v>44743</v>
      </c>
      <c r="J183" s="6">
        <v>8944</v>
      </c>
      <c r="K183" s="61">
        <v>8944</v>
      </c>
      <c r="L183" s="6">
        <v>501.512</v>
      </c>
      <c r="M183" s="60">
        <v>501.512</v>
      </c>
      <c r="N183" s="6">
        <v>501.512</v>
      </c>
      <c r="O183" s="60">
        <v>501.512</v>
      </c>
      <c r="P183" s="6">
        <v>0</v>
      </c>
      <c r="Q183" s="4" t="s">
        <v>26</v>
      </c>
      <c r="R183" s="4">
        <v>0</v>
      </c>
      <c r="S183" s="6">
        <v>1</v>
      </c>
      <c r="T183" s="6">
        <v>5</v>
      </c>
      <c r="U183" s="6">
        <v>64</v>
      </c>
      <c r="V183" s="60">
        <f>IF(ISERROR(VLOOKUP($S$183,'TAR FIN'!$A$1:$O$104,15,0)),0,VLOOKUP($S$183,'TAR FIN'!$A$1:$O$104,15,0))*(1-0.06)</f>
        <v>20.191199999999998</v>
      </c>
      <c r="W183" s="60">
        <f>IF(ISERROR(VLOOKUP($T$183,'TAR FIN'!$A$1:$O$104,15,0)),0,VLOOKUP($T$183,'TAR FIN'!$A$1:$O$104,15,0))*(1-0.06)</f>
        <v>39.433</v>
      </c>
      <c r="X183" s="60">
        <f>IF(ISERROR(VLOOKUP($U$183,'TAR FIN'!$A$1:$O$104,15,0)),0,VLOOKUP($U$183,'TAR FIN'!$A$1:$O$104,15,0))*(1-0.06)</f>
        <v>373.76279999999997</v>
      </c>
      <c r="Y183" s="60">
        <f ca="1">('TUSD BE'!$AM$5+'TUSD BF'!$AM$5+'TUSD CVA'!$AM$5)*1*(1-0.03)</f>
        <v>20.673461938926021</v>
      </c>
      <c r="Z183" s="60">
        <f ca="1">('TUSD BE'!$AM$7+'TUSD BF'!$AM$7+'TUSD CVA'!$AM$7)*1*(1-0.03)</f>
        <v>53.648846500623598</v>
      </c>
      <c r="AA183" s="60">
        <f>('TE BE'!$AB$5+'TE BF'!$AB$5+'TE CVA'!$AB$5)*1*(1-0.03)</f>
        <v>349.45248311940099</v>
      </c>
      <c r="AB183" s="6">
        <f>$K$183*$V$183</f>
        <v>180590.09279999998</v>
      </c>
      <c r="AC183" s="6">
        <f>$M$183*$W$183</f>
        <v>19776.122695999999</v>
      </c>
      <c r="AD183" s="6">
        <f>$O$183*$X$183</f>
        <v>187446.5293536</v>
      </c>
      <c r="AE183" s="6">
        <f ca="1">$K$183*$Y$183</f>
        <v>184903.44358175434</v>
      </c>
      <c r="AF183" s="6">
        <f ca="1">$M$183*$Z$183</f>
        <v>26905.540306220741</v>
      </c>
      <c r="AG183" s="6">
        <f>$O$183*$AA$183</f>
        <v>175254.61371417705</v>
      </c>
    </row>
    <row r="184" spans="1:33" ht="11.25" customHeight="1" x14ac:dyDescent="0.25">
      <c r="A184" s="4" t="s">
        <v>21</v>
      </c>
      <c r="B184" s="4" t="s">
        <v>39</v>
      </c>
      <c r="C184" s="4" t="s">
        <v>62</v>
      </c>
      <c r="D184" s="4" t="s">
        <v>25</v>
      </c>
      <c r="E184" s="4" t="s">
        <v>25</v>
      </c>
      <c r="F184" s="4" t="s">
        <v>25</v>
      </c>
      <c r="G184" s="4" t="s">
        <v>65</v>
      </c>
      <c r="H184" s="4" t="s">
        <v>35</v>
      </c>
      <c r="I184" s="5">
        <v>44409</v>
      </c>
      <c r="J184" s="6">
        <v>29300</v>
      </c>
      <c r="K184" s="6">
        <v>29300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64</v>
      </c>
      <c r="R184" s="4">
        <v>6611</v>
      </c>
      <c r="S184" s="6">
        <v>12</v>
      </c>
      <c r="T184" s="6">
        <v>0</v>
      </c>
      <c r="U184" s="6">
        <v>0</v>
      </c>
      <c r="V184" s="6">
        <f>IF(ISERROR(VLOOKUP($S$184,'TAR FIN'!$A$1:$O$104,15,0)),0,VLOOKUP($S$184,'TAR FIN'!$A$1:$O$104,15,0))</f>
        <v>11.28</v>
      </c>
      <c r="W184" s="6">
        <f>IF(ISERROR(VLOOKUP($T$184,'TAR FIN'!$A$1:$O$104,15,0)),0,VLOOKUP($T$184,'TAR FIN'!$A$1:$O$104,15,0))</f>
        <v>0</v>
      </c>
      <c r="X184" s="6">
        <f>IF(ISERROR(VLOOKUP($U$184,'TAR FIN'!$A$1:$O$104,15,0)),0,VLOOKUP($U$184,'TAR FIN'!$A$1:$O$104,15,0))</f>
        <v>0</v>
      </c>
      <c r="Y184" s="6">
        <f ca="1">('TUSD BE'!$AM$10+'TUSD BF'!$AM$10+'TUSD CVA'!$AM$10)*1</f>
        <v>12.124300073734677</v>
      </c>
      <c r="Z184" s="6">
        <f ca="1">('TUSD BE'!$AM$11+'TUSD BF'!$AM$11+'TUSD CVA'!$AM$11)*1</f>
        <v>6.4008790929765436</v>
      </c>
      <c r="AA184" s="6"/>
      <c r="AB184" s="6">
        <f>$K$184*$V$184</f>
        <v>330504</v>
      </c>
      <c r="AC184" s="6">
        <f>$M$184*$W$184</f>
        <v>0</v>
      </c>
      <c r="AD184" s="6">
        <f>$O$184*$X$184</f>
        <v>0</v>
      </c>
      <c r="AE184" s="6">
        <f ca="1">$K$184*$Y$184</f>
        <v>355241.99216042605</v>
      </c>
      <c r="AF184" s="6">
        <f ca="1">$M$184*$Z$184</f>
        <v>0</v>
      </c>
      <c r="AG184" s="6">
        <f>$O$184*$AA$184</f>
        <v>0</v>
      </c>
    </row>
    <row r="185" spans="1:33" ht="11.25" customHeight="1" x14ac:dyDescent="0.25">
      <c r="A185" s="4" t="s">
        <v>21</v>
      </c>
      <c r="B185" s="4" t="s">
        <v>39</v>
      </c>
      <c r="C185" s="4" t="s">
        <v>62</v>
      </c>
      <c r="D185" s="4" t="s">
        <v>25</v>
      </c>
      <c r="E185" s="4" t="s">
        <v>25</v>
      </c>
      <c r="F185" s="4" t="s">
        <v>25</v>
      </c>
      <c r="G185" s="4" t="s">
        <v>65</v>
      </c>
      <c r="H185" s="4" t="s">
        <v>35</v>
      </c>
      <c r="I185" s="5">
        <v>44440</v>
      </c>
      <c r="J185" s="6">
        <v>29300</v>
      </c>
      <c r="K185" s="6">
        <v>29300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64</v>
      </c>
      <c r="R185" s="4">
        <v>6611</v>
      </c>
      <c r="S185" s="6">
        <v>12</v>
      </c>
      <c r="T185" s="6">
        <v>0</v>
      </c>
      <c r="U185" s="6">
        <v>0</v>
      </c>
      <c r="V185" s="6">
        <f>IF(ISERROR(VLOOKUP($S$185,'TAR FIN'!$A$1:$O$104,15,0)),0,VLOOKUP($S$185,'TAR FIN'!$A$1:$O$104,15,0))</f>
        <v>11.28</v>
      </c>
      <c r="W185" s="6">
        <f>IF(ISERROR(VLOOKUP($T$185,'TAR FIN'!$A$1:$O$104,15,0)),0,VLOOKUP($T$185,'TAR FIN'!$A$1:$O$104,15,0))</f>
        <v>0</v>
      </c>
      <c r="X185" s="6">
        <f>IF(ISERROR(VLOOKUP($U$185,'TAR FIN'!$A$1:$O$104,15,0)),0,VLOOKUP($U$185,'TAR FIN'!$A$1:$O$104,15,0))</f>
        <v>0</v>
      </c>
      <c r="Y185" s="6">
        <f ca="1">('TUSD BE'!$AM$10+'TUSD BF'!$AM$10+'TUSD CVA'!$AM$10)*1</f>
        <v>12.124300073734677</v>
      </c>
      <c r="Z185" s="6">
        <f ca="1">('TUSD BE'!$AM$11+'TUSD BF'!$AM$11+'TUSD CVA'!$AM$11)*1</f>
        <v>6.4008790929765436</v>
      </c>
      <c r="AA185" s="6"/>
      <c r="AB185" s="6">
        <f>$K$185*$V$185</f>
        <v>330504</v>
      </c>
      <c r="AC185" s="6">
        <f>$M$185*$W$185</f>
        <v>0</v>
      </c>
      <c r="AD185" s="6">
        <f>$O$185*$X$185</f>
        <v>0</v>
      </c>
      <c r="AE185" s="6">
        <f ca="1">$K$185*$Y$185</f>
        <v>355241.99216042605</v>
      </c>
      <c r="AF185" s="6">
        <f ca="1">$M$185*$Z$185</f>
        <v>0</v>
      </c>
      <c r="AG185" s="6">
        <f>$O$185*$AA$185</f>
        <v>0</v>
      </c>
    </row>
    <row r="186" spans="1:33" ht="11.25" customHeight="1" x14ac:dyDescent="0.25">
      <c r="A186" s="4" t="s">
        <v>21</v>
      </c>
      <c r="B186" s="4" t="s">
        <v>39</v>
      </c>
      <c r="C186" s="4" t="s">
        <v>62</v>
      </c>
      <c r="D186" s="4" t="s">
        <v>25</v>
      </c>
      <c r="E186" s="4" t="s">
        <v>25</v>
      </c>
      <c r="F186" s="4" t="s">
        <v>25</v>
      </c>
      <c r="G186" s="4" t="s">
        <v>65</v>
      </c>
      <c r="H186" s="4" t="s">
        <v>35</v>
      </c>
      <c r="I186" s="5">
        <v>44470</v>
      </c>
      <c r="J186" s="6">
        <v>29300</v>
      </c>
      <c r="K186" s="6">
        <v>29300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64</v>
      </c>
      <c r="R186" s="4">
        <v>6611</v>
      </c>
      <c r="S186" s="6">
        <v>12</v>
      </c>
      <c r="T186" s="6">
        <v>0</v>
      </c>
      <c r="U186" s="6">
        <v>0</v>
      </c>
      <c r="V186" s="6">
        <f>IF(ISERROR(VLOOKUP($S$186,'TAR FIN'!$A$1:$O$104,15,0)),0,VLOOKUP($S$186,'TAR FIN'!$A$1:$O$104,15,0))</f>
        <v>11.28</v>
      </c>
      <c r="W186" s="6">
        <f>IF(ISERROR(VLOOKUP($T$186,'TAR FIN'!$A$1:$O$104,15,0)),0,VLOOKUP($T$186,'TAR FIN'!$A$1:$O$104,15,0))</f>
        <v>0</v>
      </c>
      <c r="X186" s="6">
        <f>IF(ISERROR(VLOOKUP($U$186,'TAR FIN'!$A$1:$O$104,15,0)),0,VLOOKUP($U$186,'TAR FIN'!$A$1:$O$104,15,0))</f>
        <v>0</v>
      </c>
      <c r="Y186" s="6">
        <f ca="1">('TUSD BE'!$AM$10+'TUSD BF'!$AM$10+'TUSD CVA'!$AM$10)*1</f>
        <v>12.124300073734677</v>
      </c>
      <c r="Z186" s="6">
        <f ca="1">('TUSD BE'!$AM$11+'TUSD BF'!$AM$11+'TUSD CVA'!$AM$11)*1</f>
        <v>6.4008790929765436</v>
      </c>
      <c r="AA186" s="6"/>
      <c r="AB186" s="6">
        <f>$K$186*$V$186</f>
        <v>330504</v>
      </c>
      <c r="AC186" s="6">
        <f>$M$186*$W$186</f>
        <v>0</v>
      </c>
      <c r="AD186" s="6">
        <f>$O$186*$X$186</f>
        <v>0</v>
      </c>
      <c r="AE186" s="6">
        <f ca="1">$K$186*$Y$186</f>
        <v>355241.99216042605</v>
      </c>
      <c r="AF186" s="6">
        <f ca="1">$M$186*$Z$186</f>
        <v>0</v>
      </c>
      <c r="AG186" s="6">
        <f>$O$186*$AA$186</f>
        <v>0</v>
      </c>
    </row>
    <row r="187" spans="1:33" ht="11.25" customHeight="1" x14ac:dyDescent="0.25">
      <c r="A187" s="4" t="s">
        <v>21</v>
      </c>
      <c r="B187" s="4" t="s">
        <v>39</v>
      </c>
      <c r="C187" s="4" t="s">
        <v>62</v>
      </c>
      <c r="D187" s="4" t="s">
        <v>25</v>
      </c>
      <c r="E187" s="4" t="s">
        <v>25</v>
      </c>
      <c r="F187" s="4" t="s">
        <v>25</v>
      </c>
      <c r="G187" s="4" t="s">
        <v>65</v>
      </c>
      <c r="H187" s="4" t="s">
        <v>35</v>
      </c>
      <c r="I187" s="5">
        <v>44501</v>
      </c>
      <c r="J187" s="6">
        <v>29300</v>
      </c>
      <c r="K187" s="6">
        <v>29300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64</v>
      </c>
      <c r="R187" s="4">
        <v>6611</v>
      </c>
      <c r="S187" s="6">
        <v>12</v>
      </c>
      <c r="T187" s="6">
        <v>0</v>
      </c>
      <c r="U187" s="6">
        <v>0</v>
      </c>
      <c r="V187" s="6">
        <f>IF(ISERROR(VLOOKUP($S$187,'TAR FIN'!$A$1:$O$104,15,0)),0,VLOOKUP($S$187,'TAR FIN'!$A$1:$O$104,15,0))</f>
        <v>11.28</v>
      </c>
      <c r="W187" s="6">
        <f>IF(ISERROR(VLOOKUP($T$187,'TAR FIN'!$A$1:$O$104,15,0)),0,VLOOKUP($T$187,'TAR FIN'!$A$1:$O$104,15,0))</f>
        <v>0</v>
      </c>
      <c r="X187" s="6">
        <f>IF(ISERROR(VLOOKUP($U$187,'TAR FIN'!$A$1:$O$104,15,0)),0,VLOOKUP($U$187,'TAR FIN'!$A$1:$O$104,15,0))</f>
        <v>0</v>
      </c>
      <c r="Y187" s="6">
        <f ca="1">('TUSD BE'!$AM$10+'TUSD BF'!$AM$10+'TUSD CVA'!$AM$10)*1</f>
        <v>12.124300073734677</v>
      </c>
      <c r="Z187" s="6">
        <f ca="1">('TUSD BE'!$AM$11+'TUSD BF'!$AM$11+'TUSD CVA'!$AM$11)*1</f>
        <v>6.4008790929765436</v>
      </c>
      <c r="AA187" s="6"/>
      <c r="AB187" s="6">
        <f>$K$187*$V$187</f>
        <v>330504</v>
      </c>
      <c r="AC187" s="6">
        <f>$M$187*$W$187</f>
        <v>0</v>
      </c>
      <c r="AD187" s="6">
        <f>$O$187*$X$187</f>
        <v>0</v>
      </c>
      <c r="AE187" s="6">
        <f ca="1">$K$187*$Y$187</f>
        <v>355241.99216042605</v>
      </c>
      <c r="AF187" s="6">
        <f ca="1">$M$187*$Z$187</f>
        <v>0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39</v>
      </c>
      <c r="C188" s="4" t="s">
        <v>62</v>
      </c>
      <c r="D188" s="4" t="s">
        <v>25</v>
      </c>
      <c r="E188" s="4" t="s">
        <v>25</v>
      </c>
      <c r="F188" s="4" t="s">
        <v>25</v>
      </c>
      <c r="G188" s="4" t="s">
        <v>65</v>
      </c>
      <c r="H188" s="4" t="s">
        <v>35</v>
      </c>
      <c r="I188" s="5">
        <v>44531</v>
      </c>
      <c r="J188" s="6">
        <v>29300</v>
      </c>
      <c r="K188" s="6">
        <v>29300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64</v>
      </c>
      <c r="R188" s="4">
        <v>6611</v>
      </c>
      <c r="S188" s="6">
        <v>12</v>
      </c>
      <c r="T188" s="6">
        <v>0</v>
      </c>
      <c r="U188" s="6">
        <v>0</v>
      </c>
      <c r="V188" s="6">
        <f>IF(ISERROR(VLOOKUP($S$188,'TAR FIN'!$A$1:$O$104,15,0)),0,VLOOKUP($S$188,'TAR FIN'!$A$1:$O$104,15,0))</f>
        <v>11.28</v>
      </c>
      <c r="W188" s="6">
        <f>IF(ISERROR(VLOOKUP($T$188,'TAR FIN'!$A$1:$O$104,15,0)),0,VLOOKUP($T$188,'TAR FIN'!$A$1:$O$104,15,0))</f>
        <v>0</v>
      </c>
      <c r="X188" s="6">
        <f>IF(ISERROR(VLOOKUP($U$188,'TAR FIN'!$A$1:$O$104,15,0)),0,VLOOKUP($U$188,'TAR FIN'!$A$1:$O$104,15,0))</f>
        <v>0</v>
      </c>
      <c r="Y188" s="6">
        <f ca="1">('TUSD BE'!$AM$10+'TUSD BF'!$AM$10+'TUSD CVA'!$AM$10)*1</f>
        <v>12.124300073734677</v>
      </c>
      <c r="Z188" s="6">
        <f ca="1">('TUSD BE'!$AM$11+'TUSD BF'!$AM$11+'TUSD CVA'!$AM$11)*1</f>
        <v>6.4008790929765436</v>
      </c>
      <c r="AA188" s="6"/>
      <c r="AB188" s="6">
        <f>$K$188*$V$188</f>
        <v>330504</v>
      </c>
      <c r="AC188" s="6">
        <f>$M$188*$W$188</f>
        <v>0</v>
      </c>
      <c r="AD188" s="6">
        <f>$O$188*$X$188</f>
        <v>0</v>
      </c>
      <c r="AE188" s="6">
        <f ca="1">$K$188*$Y$188</f>
        <v>355241.99216042605</v>
      </c>
      <c r="AF188" s="6">
        <f ca="1">$M$188*$Z$188</f>
        <v>0</v>
      </c>
      <c r="AG188" s="6">
        <f>$O$188*$AA$188</f>
        <v>0</v>
      </c>
    </row>
    <row r="189" spans="1:33" ht="11.25" customHeight="1" x14ac:dyDescent="0.25">
      <c r="A189" s="4" t="s">
        <v>21</v>
      </c>
      <c r="B189" s="4" t="s">
        <v>39</v>
      </c>
      <c r="C189" s="4" t="s">
        <v>62</v>
      </c>
      <c r="D189" s="4" t="s">
        <v>25</v>
      </c>
      <c r="E189" s="4" t="s">
        <v>25</v>
      </c>
      <c r="F189" s="4" t="s">
        <v>25</v>
      </c>
      <c r="G189" s="4" t="s">
        <v>65</v>
      </c>
      <c r="H189" s="4" t="s">
        <v>35</v>
      </c>
      <c r="I189" s="5">
        <v>44562</v>
      </c>
      <c r="J189" s="6">
        <v>29300</v>
      </c>
      <c r="K189" s="6">
        <v>29300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64</v>
      </c>
      <c r="R189" s="4">
        <v>6611</v>
      </c>
      <c r="S189" s="6">
        <v>12</v>
      </c>
      <c r="T189" s="6">
        <v>0</v>
      </c>
      <c r="U189" s="6">
        <v>0</v>
      </c>
      <c r="V189" s="6">
        <f>IF(ISERROR(VLOOKUP($S$189,'TAR FIN'!$A$1:$O$104,15,0)),0,VLOOKUP($S$189,'TAR FIN'!$A$1:$O$104,15,0))</f>
        <v>11.28</v>
      </c>
      <c r="W189" s="6">
        <f>IF(ISERROR(VLOOKUP($T$189,'TAR FIN'!$A$1:$O$104,15,0)),0,VLOOKUP($T$189,'TAR FIN'!$A$1:$O$104,15,0))</f>
        <v>0</v>
      </c>
      <c r="X189" s="6">
        <f>IF(ISERROR(VLOOKUP($U$189,'TAR FIN'!$A$1:$O$104,15,0)),0,VLOOKUP($U$189,'TAR FIN'!$A$1:$O$104,15,0))</f>
        <v>0</v>
      </c>
      <c r="Y189" s="6">
        <f ca="1">('TUSD BE'!$AM$10+'TUSD BF'!$AM$10+'TUSD CVA'!$AM$10)*1</f>
        <v>12.124300073734677</v>
      </c>
      <c r="Z189" s="6">
        <f ca="1">('TUSD BE'!$AM$11+'TUSD BF'!$AM$11+'TUSD CVA'!$AM$11)*1</f>
        <v>6.4008790929765436</v>
      </c>
      <c r="AA189" s="6"/>
      <c r="AB189" s="6">
        <f>$K$189*$V$189</f>
        <v>330504</v>
      </c>
      <c r="AC189" s="6">
        <f>$M$189*$W$189</f>
        <v>0</v>
      </c>
      <c r="AD189" s="6">
        <f>$O$189*$X$189</f>
        <v>0</v>
      </c>
      <c r="AE189" s="6">
        <f ca="1">$K$189*$Y$189</f>
        <v>355241.99216042605</v>
      </c>
      <c r="AF189" s="6">
        <f ca="1">$M$189*$Z$189</f>
        <v>0</v>
      </c>
      <c r="AG189" s="6">
        <f>$O$189*$AA$189</f>
        <v>0</v>
      </c>
    </row>
    <row r="190" spans="1:33" ht="11.25" customHeight="1" x14ac:dyDescent="0.25">
      <c r="A190" s="4" t="s">
        <v>21</v>
      </c>
      <c r="B190" s="4" t="s">
        <v>39</v>
      </c>
      <c r="C190" s="4" t="s">
        <v>62</v>
      </c>
      <c r="D190" s="4" t="s">
        <v>25</v>
      </c>
      <c r="E190" s="4" t="s">
        <v>25</v>
      </c>
      <c r="F190" s="4" t="s">
        <v>25</v>
      </c>
      <c r="G190" s="4" t="s">
        <v>65</v>
      </c>
      <c r="H190" s="4" t="s">
        <v>35</v>
      </c>
      <c r="I190" s="5">
        <v>44593</v>
      </c>
      <c r="J190" s="6">
        <v>29300</v>
      </c>
      <c r="K190" s="6">
        <v>29300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64</v>
      </c>
      <c r="R190" s="4">
        <v>6611</v>
      </c>
      <c r="S190" s="6">
        <v>12</v>
      </c>
      <c r="T190" s="6">
        <v>0</v>
      </c>
      <c r="U190" s="6">
        <v>0</v>
      </c>
      <c r="V190" s="6">
        <f>IF(ISERROR(VLOOKUP($S$190,'TAR FIN'!$A$1:$O$104,15,0)),0,VLOOKUP($S$190,'TAR FIN'!$A$1:$O$104,15,0))</f>
        <v>11.28</v>
      </c>
      <c r="W190" s="6">
        <f>IF(ISERROR(VLOOKUP($T$190,'TAR FIN'!$A$1:$O$104,15,0)),0,VLOOKUP($T$190,'TAR FIN'!$A$1:$O$104,15,0))</f>
        <v>0</v>
      </c>
      <c r="X190" s="6">
        <f>IF(ISERROR(VLOOKUP($U$190,'TAR FIN'!$A$1:$O$104,15,0)),0,VLOOKUP($U$190,'TAR FIN'!$A$1:$O$104,15,0))</f>
        <v>0</v>
      </c>
      <c r="Y190" s="6">
        <f ca="1">('TUSD BE'!$AM$10+'TUSD BF'!$AM$10+'TUSD CVA'!$AM$10)*1</f>
        <v>12.124300073734677</v>
      </c>
      <c r="Z190" s="6">
        <f ca="1">('TUSD BE'!$AM$11+'TUSD BF'!$AM$11+'TUSD CVA'!$AM$11)*1</f>
        <v>6.4008790929765436</v>
      </c>
      <c r="AA190" s="6"/>
      <c r="AB190" s="6">
        <f>$K$190*$V$190</f>
        <v>330504</v>
      </c>
      <c r="AC190" s="6">
        <f>$M$190*$W$190</f>
        <v>0</v>
      </c>
      <c r="AD190" s="6">
        <f>$O$190*$X$190</f>
        <v>0</v>
      </c>
      <c r="AE190" s="6">
        <f ca="1">$K$190*$Y$190</f>
        <v>355241.99216042605</v>
      </c>
      <c r="AF190" s="6">
        <f ca="1">$M$190*$Z$190</f>
        <v>0</v>
      </c>
      <c r="AG190" s="6">
        <f>$O$190*$AA$190</f>
        <v>0</v>
      </c>
    </row>
    <row r="191" spans="1:33" ht="11.25" customHeight="1" x14ac:dyDescent="0.25">
      <c r="A191" s="4" t="s">
        <v>21</v>
      </c>
      <c r="B191" s="4" t="s">
        <v>39</v>
      </c>
      <c r="C191" s="4" t="s">
        <v>62</v>
      </c>
      <c r="D191" s="4" t="s">
        <v>25</v>
      </c>
      <c r="E191" s="4" t="s">
        <v>25</v>
      </c>
      <c r="F191" s="4" t="s">
        <v>25</v>
      </c>
      <c r="G191" s="4" t="s">
        <v>65</v>
      </c>
      <c r="H191" s="4" t="s">
        <v>35</v>
      </c>
      <c r="I191" s="5">
        <v>44621</v>
      </c>
      <c r="J191" s="6">
        <v>29300</v>
      </c>
      <c r="K191" s="6">
        <v>29300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64</v>
      </c>
      <c r="R191" s="4">
        <v>6611</v>
      </c>
      <c r="S191" s="6">
        <v>12</v>
      </c>
      <c r="T191" s="6">
        <v>0</v>
      </c>
      <c r="U191" s="6">
        <v>0</v>
      </c>
      <c r="V191" s="6">
        <f>IF(ISERROR(VLOOKUP($S$191,'TAR FIN'!$A$1:$O$104,15,0)),0,VLOOKUP($S$191,'TAR FIN'!$A$1:$O$104,15,0))</f>
        <v>11.28</v>
      </c>
      <c r="W191" s="6">
        <f>IF(ISERROR(VLOOKUP($T$191,'TAR FIN'!$A$1:$O$104,15,0)),0,VLOOKUP($T$191,'TAR FIN'!$A$1:$O$104,15,0))</f>
        <v>0</v>
      </c>
      <c r="X191" s="6">
        <f>IF(ISERROR(VLOOKUP($U$191,'TAR FIN'!$A$1:$O$104,15,0)),0,VLOOKUP($U$191,'TAR FIN'!$A$1:$O$104,15,0))</f>
        <v>0</v>
      </c>
      <c r="Y191" s="6">
        <f ca="1">('TUSD BE'!$AM$10+'TUSD BF'!$AM$10+'TUSD CVA'!$AM$10)*1</f>
        <v>12.124300073734677</v>
      </c>
      <c r="Z191" s="6">
        <f ca="1">('TUSD BE'!$AM$11+'TUSD BF'!$AM$11+'TUSD CVA'!$AM$11)*1</f>
        <v>6.4008790929765436</v>
      </c>
      <c r="AA191" s="6"/>
      <c r="AB191" s="6">
        <f>$K$191*$V$191</f>
        <v>330504</v>
      </c>
      <c r="AC191" s="6">
        <f>$M$191*$W$191</f>
        <v>0</v>
      </c>
      <c r="AD191" s="6">
        <f>$O$191*$X$191</f>
        <v>0</v>
      </c>
      <c r="AE191" s="6">
        <f ca="1">$K$191*$Y$191</f>
        <v>355241.99216042605</v>
      </c>
      <c r="AF191" s="6">
        <f ca="1">$M$191*$Z$191</f>
        <v>0</v>
      </c>
      <c r="AG191" s="6">
        <f>$O$191*$AA$191</f>
        <v>0</v>
      </c>
    </row>
    <row r="192" spans="1:33" ht="11.25" customHeight="1" x14ac:dyDescent="0.25">
      <c r="A192" s="4" t="s">
        <v>21</v>
      </c>
      <c r="B192" s="4" t="s">
        <v>39</v>
      </c>
      <c r="C192" s="4" t="s">
        <v>62</v>
      </c>
      <c r="D192" s="4" t="s">
        <v>25</v>
      </c>
      <c r="E192" s="4" t="s">
        <v>25</v>
      </c>
      <c r="F192" s="4" t="s">
        <v>25</v>
      </c>
      <c r="G192" s="4" t="s">
        <v>65</v>
      </c>
      <c r="H192" s="4" t="s">
        <v>35</v>
      </c>
      <c r="I192" s="5">
        <v>44652</v>
      </c>
      <c r="J192" s="6">
        <v>29300</v>
      </c>
      <c r="K192" s="6">
        <v>29300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64</v>
      </c>
      <c r="R192" s="4">
        <v>6611</v>
      </c>
      <c r="S192" s="6">
        <v>12</v>
      </c>
      <c r="T192" s="6">
        <v>0</v>
      </c>
      <c r="U192" s="6">
        <v>0</v>
      </c>
      <c r="V192" s="6">
        <f>IF(ISERROR(VLOOKUP($S$192,'TAR FIN'!$A$1:$O$104,15,0)),0,VLOOKUP($S$192,'TAR FIN'!$A$1:$O$104,15,0))</f>
        <v>11.28</v>
      </c>
      <c r="W192" s="6">
        <f>IF(ISERROR(VLOOKUP($T$192,'TAR FIN'!$A$1:$O$104,15,0)),0,VLOOKUP($T$192,'TAR FIN'!$A$1:$O$104,15,0))</f>
        <v>0</v>
      </c>
      <c r="X192" s="6">
        <f>IF(ISERROR(VLOOKUP($U$192,'TAR FIN'!$A$1:$O$104,15,0)),0,VLOOKUP($U$192,'TAR FIN'!$A$1:$O$104,15,0))</f>
        <v>0</v>
      </c>
      <c r="Y192" s="6">
        <f ca="1">('TUSD BE'!$AM$10+'TUSD BF'!$AM$10+'TUSD CVA'!$AM$10)*1</f>
        <v>12.124300073734677</v>
      </c>
      <c r="Z192" s="6">
        <f ca="1">('TUSD BE'!$AM$11+'TUSD BF'!$AM$11+'TUSD CVA'!$AM$11)*1</f>
        <v>6.4008790929765436</v>
      </c>
      <c r="AA192" s="6"/>
      <c r="AB192" s="6">
        <f>$K$192*$V$192</f>
        <v>330504</v>
      </c>
      <c r="AC192" s="6">
        <f>$M$192*$W$192</f>
        <v>0</v>
      </c>
      <c r="AD192" s="6">
        <f>$O$192*$X$192</f>
        <v>0</v>
      </c>
      <c r="AE192" s="6">
        <f ca="1">$K$192*$Y$192</f>
        <v>355241.99216042605</v>
      </c>
      <c r="AF192" s="6">
        <f ca="1">$M$192*$Z$192</f>
        <v>0</v>
      </c>
      <c r="AG192" s="6">
        <f>$O$192*$AA$192</f>
        <v>0</v>
      </c>
    </row>
    <row r="193" spans="1:33" ht="11.25" customHeight="1" x14ac:dyDescent="0.25">
      <c r="A193" s="4" t="s">
        <v>21</v>
      </c>
      <c r="B193" s="4" t="s">
        <v>39</v>
      </c>
      <c r="C193" s="4" t="s">
        <v>62</v>
      </c>
      <c r="D193" s="4" t="s">
        <v>25</v>
      </c>
      <c r="E193" s="4" t="s">
        <v>25</v>
      </c>
      <c r="F193" s="4" t="s">
        <v>25</v>
      </c>
      <c r="G193" s="4" t="s">
        <v>65</v>
      </c>
      <c r="H193" s="4" t="s">
        <v>35</v>
      </c>
      <c r="I193" s="5">
        <v>44682</v>
      </c>
      <c r="J193" s="6">
        <v>29300</v>
      </c>
      <c r="K193" s="6">
        <v>29300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64</v>
      </c>
      <c r="R193" s="4">
        <v>6611</v>
      </c>
      <c r="S193" s="6">
        <v>12</v>
      </c>
      <c r="T193" s="6">
        <v>0</v>
      </c>
      <c r="U193" s="6">
        <v>0</v>
      </c>
      <c r="V193" s="6">
        <f>IF(ISERROR(VLOOKUP($S$193,'TAR FIN'!$A$1:$O$104,15,0)),0,VLOOKUP($S$193,'TAR FIN'!$A$1:$O$104,15,0))</f>
        <v>11.28</v>
      </c>
      <c r="W193" s="6">
        <f>IF(ISERROR(VLOOKUP($T$193,'TAR FIN'!$A$1:$O$104,15,0)),0,VLOOKUP($T$193,'TAR FIN'!$A$1:$O$104,15,0))</f>
        <v>0</v>
      </c>
      <c r="X193" s="6">
        <f>IF(ISERROR(VLOOKUP($U$193,'TAR FIN'!$A$1:$O$104,15,0)),0,VLOOKUP($U$193,'TAR FIN'!$A$1:$O$104,15,0))</f>
        <v>0</v>
      </c>
      <c r="Y193" s="6">
        <f ca="1">('TUSD BE'!$AM$10+'TUSD BF'!$AM$10+'TUSD CVA'!$AM$10)*1</f>
        <v>12.124300073734677</v>
      </c>
      <c r="Z193" s="6">
        <f ca="1">('TUSD BE'!$AM$11+'TUSD BF'!$AM$11+'TUSD CVA'!$AM$11)*1</f>
        <v>6.4008790929765436</v>
      </c>
      <c r="AA193" s="6"/>
      <c r="AB193" s="6">
        <f>$K$193*$V$193</f>
        <v>330504</v>
      </c>
      <c r="AC193" s="6">
        <f>$M$193*$W$193</f>
        <v>0</v>
      </c>
      <c r="AD193" s="6">
        <f>$O$193*$X$193</f>
        <v>0</v>
      </c>
      <c r="AE193" s="6">
        <f ca="1">$K$193*$Y$193</f>
        <v>355241.99216042605</v>
      </c>
      <c r="AF193" s="6">
        <f ca="1">$M$193*$Z$193</f>
        <v>0</v>
      </c>
      <c r="AG193" s="6">
        <f>$O$193*$AA$193</f>
        <v>0</v>
      </c>
    </row>
    <row r="194" spans="1:33" ht="11.25" customHeight="1" x14ac:dyDescent="0.25">
      <c r="A194" s="4" t="s">
        <v>21</v>
      </c>
      <c r="B194" s="4" t="s">
        <v>39</v>
      </c>
      <c r="C194" s="4" t="s">
        <v>62</v>
      </c>
      <c r="D194" s="4" t="s">
        <v>25</v>
      </c>
      <c r="E194" s="4" t="s">
        <v>25</v>
      </c>
      <c r="F194" s="4" t="s">
        <v>25</v>
      </c>
      <c r="G194" s="4" t="s">
        <v>65</v>
      </c>
      <c r="H194" s="4" t="s">
        <v>35</v>
      </c>
      <c r="I194" s="5">
        <v>44713</v>
      </c>
      <c r="J194" s="6">
        <v>29300</v>
      </c>
      <c r="K194" s="6">
        <v>29300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4" t="s">
        <v>64</v>
      </c>
      <c r="R194" s="4">
        <v>6611</v>
      </c>
      <c r="S194" s="6">
        <v>12</v>
      </c>
      <c r="T194" s="6">
        <v>0</v>
      </c>
      <c r="U194" s="6">
        <v>0</v>
      </c>
      <c r="V194" s="6">
        <f>IF(ISERROR(VLOOKUP($S$194,'TAR FIN'!$A$1:$O$104,15,0)),0,VLOOKUP($S$194,'TAR FIN'!$A$1:$O$104,15,0))</f>
        <v>11.28</v>
      </c>
      <c r="W194" s="6">
        <f>IF(ISERROR(VLOOKUP($T$194,'TAR FIN'!$A$1:$O$104,15,0)),0,VLOOKUP($T$194,'TAR FIN'!$A$1:$O$104,15,0))</f>
        <v>0</v>
      </c>
      <c r="X194" s="6">
        <f>IF(ISERROR(VLOOKUP($U$194,'TAR FIN'!$A$1:$O$104,15,0)),0,VLOOKUP($U$194,'TAR FIN'!$A$1:$O$104,15,0))</f>
        <v>0</v>
      </c>
      <c r="Y194" s="6">
        <f ca="1">('TUSD BE'!$AM$10+'TUSD BF'!$AM$10+'TUSD CVA'!$AM$10)*1</f>
        <v>12.124300073734677</v>
      </c>
      <c r="Z194" s="6">
        <f ca="1">('TUSD BE'!$AM$11+'TUSD BF'!$AM$11+'TUSD CVA'!$AM$11)*1</f>
        <v>6.4008790929765436</v>
      </c>
      <c r="AA194" s="6"/>
      <c r="AB194" s="6">
        <f>$K$194*$V$194</f>
        <v>330504</v>
      </c>
      <c r="AC194" s="6">
        <f>$M$194*$W$194</f>
        <v>0</v>
      </c>
      <c r="AD194" s="6">
        <f>$O$194*$X$194</f>
        <v>0</v>
      </c>
      <c r="AE194" s="6">
        <f ca="1">$K$194*$Y$194</f>
        <v>355241.99216042605</v>
      </c>
      <c r="AF194" s="6">
        <f ca="1">$M$194*$Z$194</f>
        <v>0</v>
      </c>
      <c r="AG194" s="6">
        <f>$O$194*$AA$194</f>
        <v>0</v>
      </c>
    </row>
    <row r="195" spans="1:33" ht="11.25" customHeight="1" x14ac:dyDescent="0.25">
      <c r="A195" s="4" t="s">
        <v>57</v>
      </c>
      <c r="B195" s="4" t="s">
        <v>39</v>
      </c>
      <c r="C195" s="4" t="s">
        <v>62</v>
      </c>
      <c r="D195" s="4" t="s">
        <v>25</v>
      </c>
      <c r="E195" s="4" t="s">
        <v>25</v>
      </c>
      <c r="F195" s="4" t="s">
        <v>25</v>
      </c>
      <c r="G195" s="4" t="s">
        <v>65</v>
      </c>
      <c r="H195" s="4" t="s">
        <v>35</v>
      </c>
      <c r="I195" s="5">
        <v>44743</v>
      </c>
      <c r="J195" s="6">
        <v>29300</v>
      </c>
      <c r="K195" s="6">
        <v>29300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64</v>
      </c>
      <c r="R195" s="4">
        <v>6611</v>
      </c>
      <c r="S195" s="6">
        <v>12</v>
      </c>
      <c r="T195" s="6">
        <v>0</v>
      </c>
      <c r="U195" s="6">
        <v>0</v>
      </c>
      <c r="V195" s="6">
        <f>IF(ISERROR(VLOOKUP($S$195,'TAR FIN'!$A$1:$O$104,15,0)),0,VLOOKUP($S$195,'TAR FIN'!$A$1:$O$104,15,0))</f>
        <v>11.28</v>
      </c>
      <c r="W195" s="6">
        <f>IF(ISERROR(VLOOKUP($T$195,'TAR FIN'!$A$1:$O$104,15,0)),0,VLOOKUP($T$195,'TAR FIN'!$A$1:$O$104,15,0))</f>
        <v>0</v>
      </c>
      <c r="X195" s="6">
        <f>IF(ISERROR(VLOOKUP($U$195,'TAR FIN'!$A$1:$O$104,15,0)),0,VLOOKUP($U$195,'TAR FIN'!$A$1:$O$104,15,0))</f>
        <v>0</v>
      </c>
      <c r="Y195" s="6">
        <f ca="1">('TUSD BE'!$AM$10+'TUSD BF'!$AM$10+'TUSD CVA'!$AM$10)*1</f>
        <v>12.124300073734677</v>
      </c>
      <c r="Z195" s="6">
        <f ca="1">('TUSD BE'!$AM$11+'TUSD BF'!$AM$11+'TUSD CVA'!$AM$11)*1</f>
        <v>6.4008790929765436</v>
      </c>
      <c r="AA195" s="6"/>
      <c r="AB195" s="6">
        <f>$K$195*$V$195</f>
        <v>330504</v>
      </c>
      <c r="AC195" s="6">
        <f>$M$195*$W$195</f>
        <v>0</v>
      </c>
      <c r="AD195" s="6">
        <f>$O$195*$X$195</f>
        <v>0</v>
      </c>
      <c r="AE195" s="6">
        <f ca="1">$K$195*$Y$195</f>
        <v>355241.99216042605</v>
      </c>
      <c r="AF195" s="6">
        <f ca="1">$M$195*$Z$195</f>
        <v>0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39</v>
      </c>
      <c r="C196" s="4" t="s">
        <v>62</v>
      </c>
      <c r="D196" s="4" t="s">
        <v>25</v>
      </c>
      <c r="E196" s="4" t="s">
        <v>25</v>
      </c>
      <c r="F196" s="4" t="s">
        <v>25</v>
      </c>
      <c r="G196" s="4" t="s">
        <v>65</v>
      </c>
      <c r="H196" s="4" t="s">
        <v>25</v>
      </c>
      <c r="I196" s="5">
        <v>44409</v>
      </c>
      <c r="J196" s="6">
        <v>0</v>
      </c>
      <c r="K196" s="6">
        <v>0</v>
      </c>
      <c r="L196" s="6">
        <v>11443.019</v>
      </c>
      <c r="M196" s="6">
        <v>11443.019</v>
      </c>
      <c r="N196" s="6">
        <v>0</v>
      </c>
      <c r="O196" s="6">
        <v>0</v>
      </c>
      <c r="P196" s="6">
        <v>0</v>
      </c>
      <c r="Q196" s="4" t="s">
        <v>64</v>
      </c>
      <c r="R196" s="4">
        <v>6611</v>
      </c>
      <c r="S196" s="6">
        <v>0</v>
      </c>
      <c r="T196" s="6">
        <v>14</v>
      </c>
      <c r="U196" s="6">
        <v>0</v>
      </c>
      <c r="V196" s="6">
        <f>IF(ISERROR(VLOOKUP($S$196,'TAR FIN'!$A$1:$O$104,15,0)),0,VLOOKUP($S$196,'TAR FIN'!$A$1:$O$104,15,0))</f>
        <v>0</v>
      </c>
      <c r="W196" s="6">
        <f>IF(ISERROR(VLOOKUP($T$196,'TAR FIN'!$A$1:$O$104,15,0)),0,VLOOKUP($T$196,'TAR FIN'!$A$1:$O$104,15,0))</f>
        <v>6.99</v>
      </c>
      <c r="X196" s="6">
        <f>IF(ISERROR(VLOOKUP($U$196,'TAR FIN'!$A$1:$O$104,15,0)),0,VLOOKUP($U$196,'TAR FIN'!$A$1:$O$104,15,0))</f>
        <v>0</v>
      </c>
      <c r="Y196" s="6">
        <f ca="1">0.72*('TUSD BE'!$AM$9+'TUSD BF'!$AM$9+'TUSD CVA'!$AM$9)*1+('TUSD BE'!$AM$10+'TUSD BF'!$AM$10+'TUSD CVA'!$AM$10)*1</f>
        <v>28.971478306022291</v>
      </c>
      <c r="Z196" s="6">
        <f ca="1">('TUSD BE'!$AM$11+'TUSD BF'!$AM$11+'TUSD CVA'!$AM$11)*1</f>
        <v>6.4008790929765436</v>
      </c>
      <c r="AA196" s="6"/>
      <c r="AB196" s="6">
        <f>$K$196*$V$196</f>
        <v>0</v>
      </c>
      <c r="AC196" s="6">
        <f>$M$196*$W$196</f>
        <v>79986.702810000003</v>
      </c>
      <c r="AD196" s="6">
        <f>$O$196*$X$196</f>
        <v>0</v>
      </c>
      <c r="AE196" s="6">
        <f ca="1">$K$196*$Y$196</f>
        <v>0</v>
      </c>
      <c r="AF196" s="6">
        <f ca="1">$M$196*$Z$196</f>
        <v>73245.381077633356</v>
      </c>
      <c r="AG196" s="6">
        <f>$O$196*$AA$196</f>
        <v>0</v>
      </c>
    </row>
    <row r="197" spans="1:33" ht="11.25" customHeight="1" x14ac:dyDescent="0.25">
      <c r="A197" s="4" t="s">
        <v>21</v>
      </c>
      <c r="B197" s="4" t="s">
        <v>39</v>
      </c>
      <c r="C197" s="4" t="s">
        <v>62</v>
      </c>
      <c r="D197" s="4" t="s">
        <v>25</v>
      </c>
      <c r="E197" s="4" t="s">
        <v>25</v>
      </c>
      <c r="F197" s="4" t="s">
        <v>25</v>
      </c>
      <c r="G197" s="4" t="s">
        <v>65</v>
      </c>
      <c r="H197" s="4" t="s">
        <v>25</v>
      </c>
      <c r="I197" s="5">
        <v>44440</v>
      </c>
      <c r="J197" s="6">
        <v>0</v>
      </c>
      <c r="K197" s="6">
        <v>0</v>
      </c>
      <c r="L197" s="6">
        <v>11136.861999999999</v>
      </c>
      <c r="M197" s="6">
        <v>11136.861999999999</v>
      </c>
      <c r="N197" s="6">
        <v>0</v>
      </c>
      <c r="O197" s="6">
        <v>0</v>
      </c>
      <c r="P197" s="6">
        <v>0</v>
      </c>
      <c r="Q197" s="4" t="s">
        <v>64</v>
      </c>
      <c r="R197" s="4">
        <v>6611</v>
      </c>
      <c r="S197" s="6">
        <v>0</v>
      </c>
      <c r="T197" s="6">
        <v>14</v>
      </c>
      <c r="U197" s="6">
        <v>0</v>
      </c>
      <c r="V197" s="6">
        <f>IF(ISERROR(VLOOKUP($S$197,'TAR FIN'!$A$1:$O$104,15,0)),0,VLOOKUP($S$197,'TAR FIN'!$A$1:$O$104,15,0))</f>
        <v>0</v>
      </c>
      <c r="W197" s="6">
        <f>IF(ISERROR(VLOOKUP($T$197,'TAR FIN'!$A$1:$O$104,15,0)),0,VLOOKUP($T$197,'TAR FIN'!$A$1:$O$104,15,0))</f>
        <v>6.99</v>
      </c>
      <c r="X197" s="6">
        <f>IF(ISERROR(VLOOKUP($U$197,'TAR FIN'!$A$1:$O$104,15,0)),0,VLOOKUP($U$197,'TAR FIN'!$A$1:$O$104,15,0))</f>
        <v>0</v>
      </c>
      <c r="Y197" s="6">
        <f ca="1">0.72*('TUSD BE'!$AM$9+'TUSD BF'!$AM$9+'TUSD CVA'!$AM$9)*1+('TUSD BE'!$AM$10+'TUSD BF'!$AM$10+'TUSD CVA'!$AM$10)*1</f>
        <v>28.971478306022291</v>
      </c>
      <c r="Z197" s="6">
        <f ca="1">('TUSD BE'!$AM$11+'TUSD BF'!$AM$11+'TUSD CVA'!$AM$11)*1</f>
        <v>6.4008790929765436</v>
      </c>
      <c r="AA197" s="6"/>
      <c r="AB197" s="6">
        <f>$K$197*$V$197</f>
        <v>0</v>
      </c>
      <c r="AC197" s="6">
        <f>$M$197*$W$197</f>
        <v>77846.665379999991</v>
      </c>
      <c r="AD197" s="6">
        <f>$O$197*$X$197</f>
        <v>0</v>
      </c>
      <c r="AE197" s="6">
        <f ca="1">$K$197*$Y$197</f>
        <v>0</v>
      </c>
      <c r="AF197" s="6">
        <f ca="1">$M$197*$Z$197</f>
        <v>71285.707137164936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39</v>
      </c>
      <c r="C198" s="4" t="s">
        <v>62</v>
      </c>
      <c r="D198" s="4" t="s">
        <v>25</v>
      </c>
      <c r="E198" s="4" t="s">
        <v>25</v>
      </c>
      <c r="F198" s="4" t="s">
        <v>25</v>
      </c>
      <c r="G198" s="4" t="s">
        <v>65</v>
      </c>
      <c r="H198" s="4" t="s">
        <v>25</v>
      </c>
      <c r="I198" s="5">
        <v>44470</v>
      </c>
      <c r="J198" s="6">
        <v>0</v>
      </c>
      <c r="K198" s="6">
        <v>0</v>
      </c>
      <c r="L198" s="6">
        <v>11604.642</v>
      </c>
      <c r="M198" s="6">
        <v>11604.642</v>
      </c>
      <c r="N198" s="6">
        <v>0</v>
      </c>
      <c r="O198" s="6">
        <v>0</v>
      </c>
      <c r="P198" s="6">
        <v>0</v>
      </c>
      <c r="Q198" s="4" t="s">
        <v>64</v>
      </c>
      <c r="R198" s="4">
        <v>6611</v>
      </c>
      <c r="S198" s="6">
        <v>0</v>
      </c>
      <c r="T198" s="6">
        <v>14</v>
      </c>
      <c r="U198" s="6">
        <v>0</v>
      </c>
      <c r="V198" s="6">
        <f>IF(ISERROR(VLOOKUP($S$198,'TAR FIN'!$A$1:$O$104,15,0)),0,VLOOKUP($S$198,'TAR FIN'!$A$1:$O$104,15,0))</f>
        <v>0</v>
      </c>
      <c r="W198" s="6">
        <f>IF(ISERROR(VLOOKUP($T$198,'TAR FIN'!$A$1:$O$104,15,0)),0,VLOOKUP($T$198,'TAR FIN'!$A$1:$O$104,15,0))</f>
        <v>6.99</v>
      </c>
      <c r="X198" s="6">
        <f>IF(ISERROR(VLOOKUP($U$198,'TAR FIN'!$A$1:$O$104,15,0)),0,VLOOKUP($U$198,'TAR FIN'!$A$1:$O$104,15,0))</f>
        <v>0</v>
      </c>
      <c r="Y198" s="6">
        <f ca="1">0.72*('TUSD BE'!$AM$9+'TUSD BF'!$AM$9+'TUSD CVA'!$AM$9)*1+('TUSD BE'!$AM$10+'TUSD BF'!$AM$10+'TUSD CVA'!$AM$10)*1</f>
        <v>28.971478306022291</v>
      </c>
      <c r="Z198" s="6">
        <f ca="1">('TUSD BE'!$AM$11+'TUSD BF'!$AM$11+'TUSD CVA'!$AM$11)*1</f>
        <v>6.4008790929765436</v>
      </c>
      <c r="AA198" s="6"/>
      <c r="AB198" s="6">
        <f>$K$198*$V$198</f>
        <v>0</v>
      </c>
      <c r="AC198" s="6">
        <f>$M$198*$W$198</f>
        <v>81116.447580000007</v>
      </c>
      <c r="AD198" s="6">
        <f>$O$198*$X$198</f>
        <v>0</v>
      </c>
      <c r="AE198" s="6">
        <f ca="1">$K$198*$Y$198</f>
        <v>0</v>
      </c>
      <c r="AF198" s="6">
        <f ca="1">$M$198*$Z$198</f>
        <v>74279.910359277506</v>
      </c>
      <c r="AG198" s="6">
        <f>$O$198*$AA$198</f>
        <v>0</v>
      </c>
    </row>
    <row r="199" spans="1:33" ht="11.25" customHeight="1" x14ac:dyDescent="0.25">
      <c r="A199" s="4" t="s">
        <v>21</v>
      </c>
      <c r="B199" s="4" t="s">
        <v>39</v>
      </c>
      <c r="C199" s="4" t="s">
        <v>62</v>
      </c>
      <c r="D199" s="4" t="s">
        <v>25</v>
      </c>
      <c r="E199" s="4" t="s">
        <v>25</v>
      </c>
      <c r="F199" s="4" t="s">
        <v>25</v>
      </c>
      <c r="G199" s="4" t="s">
        <v>65</v>
      </c>
      <c r="H199" s="4" t="s">
        <v>25</v>
      </c>
      <c r="I199" s="5">
        <v>44501</v>
      </c>
      <c r="J199" s="6">
        <v>0</v>
      </c>
      <c r="K199" s="6">
        <v>0</v>
      </c>
      <c r="L199" s="6">
        <v>12398.616</v>
      </c>
      <c r="M199" s="6">
        <v>12398.616</v>
      </c>
      <c r="N199" s="6">
        <v>0</v>
      </c>
      <c r="O199" s="6">
        <v>0</v>
      </c>
      <c r="P199" s="6">
        <v>0</v>
      </c>
      <c r="Q199" s="4" t="s">
        <v>64</v>
      </c>
      <c r="R199" s="4">
        <v>6611</v>
      </c>
      <c r="S199" s="6">
        <v>0</v>
      </c>
      <c r="T199" s="6">
        <v>14</v>
      </c>
      <c r="U199" s="6">
        <v>0</v>
      </c>
      <c r="V199" s="6">
        <f>IF(ISERROR(VLOOKUP($S$199,'TAR FIN'!$A$1:$O$104,15,0)),0,VLOOKUP($S$199,'TAR FIN'!$A$1:$O$104,15,0))</f>
        <v>0</v>
      </c>
      <c r="W199" s="6">
        <f>IF(ISERROR(VLOOKUP($T$199,'TAR FIN'!$A$1:$O$104,15,0)),0,VLOOKUP($T$199,'TAR FIN'!$A$1:$O$104,15,0))</f>
        <v>6.99</v>
      </c>
      <c r="X199" s="6">
        <f>IF(ISERROR(VLOOKUP($U$199,'TAR FIN'!$A$1:$O$104,15,0)),0,VLOOKUP($U$199,'TAR FIN'!$A$1:$O$104,15,0))</f>
        <v>0</v>
      </c>
      <c r="Y199" s="6">
        <f ca="1">0.72*('TUSD BE'!$AM$9+'TUSD BF'!$AM$9+'TUSD CVA'!$AM$9)*1+('TUSD BE'!$AM$10+'TUSD BF'!$AM$10+'TUSD CVA'!$AM$10)*1</f>
        <v>28.971478306022291</v>
      </c>
      <c r="Z199" s="6">
        <f ca="1">('TUSD BE'!$AM$11+'TUSD BF'!$AM$11+'TUSD CVA'!$AM$11)*1</f>
        <v>6.4008790929765436</v>
      </c>
      <c r="AA199" s="6"/>
      <c r="AB199" s="6">
        <f>$K$199*$V$199</f>
        <v>0</v>
      </c>
      <c r="AC199" s="6">
        <f>$M$199*$W$199</f>
        <v>86666.325840000005</v>
      </c>
      <c r="AD199" s="6">
        <f>$O$199*$X$199</f>
        <v>0</v>
      </c>
      <c r="AE199" s="6">
        <f ca="1">$K$199*$Y$199</f>
        <v>0</v>
      </c>
      <c r="AF199" s="6">
        <f ca="1">$M$199*$Z$199</f>
        <v>79362.041936244466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39</v>
      </c>
      <c r="C200" s="4" t="s">
        <v>62</v>
      </c>
      <c r="D200" s="4" t="s">
        <v>25</v>
      </c>
      <c r="E200" s="4" t="s">
        <v>25</v>
      </c>
      <c r="F200" s="4" t="s">
        <v>25</v>
      </c>
      <c r="G200" s="4" t="s">
        <v>65</v>
      </c>
      <c r="H200" s="4" t="s">
        <v>25</v>
      </c>
      <c r="I200" s="5">
        <v>44531</v>
      </c>
      <c r="J200" s="6">
        <v>0</v>
      </c>
      <c r="K200" s="6">
        <v>0</v>
      </c>
      <c r="L200" s="6">
        <v>12355.644</v>
      </c>
      <c r="M200" s="6">
        <v>12355.644</v>
      </c>
      <c r="N200" s="6">
        <v>0</v>
      </c>
      <c r="O200" s="6">
        <v>0</v>
      </c>
      <c r="P200" s="6">
        <v>0</v>
      </c>
      <c r="Q200" s="4" t="s">
        <v>64</v>
      </c>
      <c r="R200" s="4">
        <v>6611</v>
      </c>
      <c r="S200" s="6">
        <v>0</v>
      </c>
      <c r="T200" s="6">
        <v>14</v>
      </c>
      <c r="U200" s="6">
        <v>0</v>
      </c>
      <c r="V200" s="6">
        <f>IF(ISERROR(VLOOKUP($S$200,'TAR FIN'!$A$1:$O$104,15,0)),0,VLOOKUP($S$200,'TAR FIN'!$A$1:$O$104,15,0))</f>
        <v>0</v>
      </c>
      <c r="W200" s="6">
        <f>IF(ISERROR(VLOOKUP($T$200,'TAR FIN'!$A$1:$O$104,15,0)),0,VLOOKUP($T$200,'TAR FIN'!$A$1:$O$104,15,0))</f>
        <v>6.99</v>
      </c>
      <c r="X200" s="6">
        <f>IF(ISERROR(VLOOKUP($U$200,'TAR FIN'!$A$1:$O$104,15,0)),0,VLOOKUP($U$200,'TAR FIN'!$A$1:$O$104,15,0))</f>
        <v>0</v>
      </c>
      <c r="Y200" s="6">
        <f ca="1">0.72*('TUSD BE'!$AM$9+'TUSD BF'!$AM$9+'TUSD CVA'!$AM$9)*1+('TUSD BE'!$AM$10+'TUSD BF'!$AM$10+'TUSD CVA'!$AM$10)*1</f>
        <v>28.971478306022291</v>
      </c>
      <c r="Z200" s="6">
        <f ca="1">('TUSD BE'!$AM$11+'TUSD BF'!$AM$11+'TUSD CVA'!$AM$11)*1</f>
        <v>6.4008790929765436</v>
      </c>
      <c r="AA200" s="6"/>
      <c r="AB200" s="6">
        <f>$K$200*$V$200</f>
        <v>0</v>
      </c>
      <c r="AC200" s="6">
        <f>$M$200*$W$200</f>
        <v>86365.951560000001</v>
      </c>
      <c r="AD200" s="6">
        <f>$O$200*$X$200</f>
        <v>0</v>
      </c>
      <c r="AE200" s="6">
        <f ca="1">$K$200*$Y$200</f>
        <v>0</v>
      </c>
      <c r="AF200" s="6">
        <f ca="1">$M$200*$Z$200</f>
        <v>79086.983359861071</v>
      </c>
      <c r="AG200" s="6">
        <f>$O$200*$AA$200</f>
        <v>0</v>
      </c>
    </row>
    <row r="201" spans="1:33" ht="11.25" customHeight="1" x14ac:dyDescent="0.25">
      <c r="A201" s="4" t="s">
        <v>21</v>
      </c>
      <c r="B201" s="4" t="s">
        <v>39</v>
      </c>
      <c r="C201" s="4" t="s">
        <v>62</v>
      </c>
      <c r="D201" s="4" t="s">
        <v>25</v>
      </c>
      <c r="E201" s="4" t="s">
        <v>25</v>
      </c>
      <c r="F201" s="4" t="s">
        <v>25</v>
      </c>
      <c r="G201" s="4" t="s">
        <v>65</v>
      </c>
      <c r="H201" s="4" t="s">
        <v>25</v>
      </c>
      <c r="I201" s="5">
        <v>44562</v>
      </c>
      <c r="J201" s="6">
        <v>0</v>
      </c>
      <c r="K201" s="6">
        <v>0</v>
      </c>
      <c r="L201" s="6">
        <v>12554.525</v>
      </c>
      <c r="M201" s="6">
        <v>12554.525</v>
      </c>
      <c r="N201" s="6">
        <v>0</v>
      </c>
      <c r="O201" s="6">
        <v>0</v>
      </c>
      <c r="P201" s="6">
        <v>0</v>
      </c>
      <c r="Q201" s="4" t="s">
        <v>64</v>
      </c>
      <c r="R201" s="4">
        <v>6611</v>
      </c>
      <c r="S201" s="6">
        <v>0</v>
      </c>
      <c r="T201" s="6">
        <v>14</v>
      </c>
      <c r="U201" s="6">
        <v>0</v>
      </c>
      <c r="V201" s="6">
        <f>IF(ISERROR(VLOOKUP($S$201,'TAR FIN'!$A$1:$O$104,15,0)),0,VLOOKUP($S$201,'TAR FIN'!$A$1:$O$104,15,0))</f>
        <v>0</v>
      </c>
      <c r="W201" s="6">
        <f>IF(ISERROR(VLOOKUP($T$201,'TAR FIN'!$A$1:$O$104,15,0)),0,VLOOKUP($T$201,'TAR FIN'!$A$1:$O$104,15,0))</f>
        <v>6.99</v>
      </c>
      <c r="X201" s="6">
        <f>IF(ISERROR(VLOOKUP($U$201,'TAR FIN'!$A$1:$O$104,15,0)),0,VLOOKUP($U$201,'TAR FIN'!$A$1:$O$104,15,0))</f>
        <v>0</v>
      </c>
      <c r="Y201" s="6">
        <f ca="1">0.72*('TUSD BE'!$AM$9+'TUSD BF'!$AM$9+'TUSD CVA'!$AM$9)*1+('TUSD BE'!$AM$10+'TUSD BF'!$AM$10+'TUSD CVA'!$AM$10)*1</f>
        <v>28.971478306022291</v>
      </c>
      <c r="Z201" s="6">
        <f ca="1">('TUSD BE'!$AM$11+'TUSD BF'!$AM$11+'TUSD CVA'!$AM$11)*1</f>
        <v>6.4008790929765436</v>
      </c>
      <c r="AA201" s="6"/>
      <c r="AB201" s="6">
        <f>$K$201*$V$201</f>
        <v>0</v>
      </c>
      <c r="AC201" s="6">
        <f>$M$201*$W$201</f>
        <v>87756.129750000007</v>
      </c>
      <c r="AD201" s="6">
        <f>$O$201*$X$201</f>
        <v>0</v>
      </c>
      <c r="AE201" s="6">
        <f ca="1">$K$201*$Y$201</f>
        <v>0</v>
      </c>
      <c r="AF201" s="6">
        <f ca="1">$M$201*$Z$201</f>
        <v>80359.996594751341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39</v>
      </c>
      <c r="C202" s="4" t="s">
        <v>62</v>
      </c>
      <c r="D202" s="4" t="s">
        <v>25</v>
      </c>
      <c r="E202" s="4" t="s">
        <v>25</v>
      </c>
      <c r="F202" s="4" t="s">
        <v>25</v>
      </c>
      <c r="G202" s="4" t="s">
        <v>65</v>
      </c>
      <c r="H202" s="4" t="s">
        <v>25</v>
      </c>
      <c r="I202" s="5">
        <v>44593</v>
      </c>
      <c r="J202" s="6">
        <v>0</v>
      </c>
      <c r="K202" s="6">
        <v>0</v>
      </c>
      <c r="L202" s="6">
        <v>12240.692999999999</v>
      </c>
      <c r="M202" s="6">
        <v>12240.692999999999</v>
      </c>
      <c r="N202" s="6">
        <v>0</v>
      </c>
      <c r="O202" s="6">
        <v>0</v>
      </c>
      <c r="P202" s="6">
        <v>0</v>
      </c>
      <c r="Q202" s="4" t="s">
        <v>64</v>
      </c>
      <c r="R202" s="4">
        <v>6611</v>
      </c>
      <c r="S202" s="6">
        <v>0</v>
      </c>
      <c r="T202" s="6">
        <v>14</v>
      </c>
      <c r="U202" s="6">
        <v>0</v>
      </c>
      <c r="V202" s="6">
        <f>IF(ISERROR(VLOOKUP($S$202,'TAR FIN'!$A$1:$O$104,15,0)),0,VLOOKUP($S$202,'TAR FIN'!$A$1:$O$104,15,0))</f>
        <v>0</v>
      </c>
      <c r="W202" s="6">
        <f>IF(ISERROR(VLOOKUP($T$202,'TAR FIN'!$A$1:$O$104,15,0)),0,VLOOKUP($T$202,'TAR FIN'!$A$1:$O$104,15,0))</f>
        <v>6.99</v>
      </c>
      <c r="X202" s="6">
        <f>IF(ISERROR(VLOOKUP($U$202,'TAR FIN'!$A$1:$O$104,15,0)),0,VLOOKUP($U$202,'TAR FIN'!$A$1:$O$104,15,0))</f>
        <v>0</v>
      </c>
      <c r="Y202" s="6">
        <f ca="1">0.72*('TUSD BE'!$AM$9+'TUSD BF'!$AM$9+'TUSD CVA'!$AM$9)*1+('TUSD BE'!$AM$10+'TUSD BF'!$AM$10+'TUSD CVA'!$AM$10)*1</f>
        <v>28.971478306022291</v>
      </c>
      <c r="Z202" s="6">
        <f ca="1">('TUSD BE'!$AM$11+'TUSD BF'!$AM$11+'TUSD CVA'!$AM$11)*1</f>
        <v>6.4008790929765436</v>
      </c>
      <c r="AA202" s="6"/>
      <c r="AB202" s="6">
        <f>$K$202*$V$202</f>
        <v>0</v>
      </c>
      <c r="AC202" s="6">
        <f>$M$202*$W$202</f>
        <v>85562.444069999998</v>
      </c>
      <c r="AD202" s="6">
        <f>$O$202*$X$202</f>
        <v>0</v>
      </c>
      <c r="AE202" s="6">
        <f ca="1">$K$202*$Y$202</f>
        <v>0</v>
      </c>
      <c r="AF202" s="6">
        <f ca="1">$M$202*$Z$202</f>
        <v>78351.195907244328</v>
      </c>
      <c r="AG202" s="6">
        <f>$O$202*$AA$202</f>
        <v>0</v>
      </c>
    </row>
    <row r="203" spans="1:33" ht="11.25" customHeight="1" x14ac:dyDescent="0.25">
      <c r="A203" s="4" t="s">
        <v>21</v>
      </c>
      <c r="B203" s="4" t="s">
        <v>39</v>
      </c>
      <c r="C203" s="4" t="s">
        <v>62</v>
      </c>
      <c r="D203" s="4" t="s">
        <v>25</v>
      </c>
      <c r="E203" s="4" t="s">
        <v>25</v>
      </c>
      <c r="F203" s="4" t="s">
        <v>25</v>
      </c>
      <c r="G203" s="4" t="s">
        <v>65</v>
      </c>
      <c r="H203" s="4" t="s">
        <v>25</v>
      </c>
      <c r="I203" s="5">
        <v>44621</v>
      </c>
      <c r="J203" s="6">
        <v>0</v>
      </c>
      <c r="K203" s="6">
        <v>0</v>
      </c>
      <c r="L203" s="6">
        <v>11557.92</v>
      </c>
      <c r="M203" s="6">
        <v>11557.92</v>
      </c>
      <c r="N203" s="6">
        <v>0</v>
      </c>
      <c r="O203" s="6">
        <v>0</v>
      </c>
      <c r="P203" s="6">
        <v>0</v>
      </c>
      <c r="Q203" s="4" t="s">
        <v>64</v>
      </c>
      <c r="R203" s="4">
        <v>6611</v>
      </c>
      <c r="S203" s="6">
        <v>0</v>
      </c>
      <c r="T203" s="6">
        <v>14</v>
      </c>
      <c r="U203" s="6">
        <v>0</v>
      </c>
      <c r="V203" s="6">
        <f>IF(ISERROR(VLOOKUP($S$203,'TAR FIN'!$A$1:$O$104,15,0)),0,VLOOKUP($S$203,'TAR FIN'!$A$1:$O$104,15,0))</f>
        <v>0</v>
      </c>
      <c r="W203" s="6">
        <f>IF(ISERROR(VLOOKUP($T$203,'TAR FIN'!$A$1:$O$104,15,0)),0,VLOOKUP($T$203,'TAR FIN'!$A$1:$O$104,15,0))</f>
        <v>6.99</v>
      </c>
      <c r="X203" s="6">
        <f>IF(ISERROR(VLOOKUP($U$203,'TAR FIN'!$A$1:$O$104,15,0)),0,VLOOKUP($U$203,'TAR FIN'!$A$1:$O$104,15,0))</f>
        <v>0</v>
      </c>
      <c r="Y203" s="6">
        <f ca="1">0.72*('TUSD BE'!$AM$9+'TUSD BF'!$AM$9+'TUSD CVA'!$AM$9)*1+('TUSD BE'!$AM$10+'TUSD BF'!$AM$10+'TUSD CVA'!$AM$10)*1</f>
        <v>28.971478306022291</v>
      </c>
      <c r="Z203" s="6">
        <f ca="1">('TUSD BE'!$AM$11+'TUSD BF'!$AM$11+'TUSD CVA'!$AM$11)*1</f>
        <v>6.4008790929765436</v>
      </c>
      <c r="AA203" s="6"/>
      <c r="AB203" s="6">
        <f>$K$203*$V$203</f>
        <v>0</v>
      </c>
      <c r="AC203" s="6">
        <f>$M$203*$W$203</f>
        <v>80789.860800000009</v>
      </c>
      <c r="AD203" s="6">
        <f>$O$203*$X$203</f>
        <v>0</v>
      </c>
      <c r="AE203" s="6">
        <f ca="1">$K$203*$Y$203</f>
        <v>0</v>
      </c>
      <c r="AF203" s="6">
        <f ca="1">$M$203*$Z$203</f>
        <v>73980.84848629545</v>
      </c>
      <c r="AG203" s="6">
        <f>$O$203*$AA$203</f>
        <v>0</v>
      </c>
    </row>
    <row r="204" spans="1:33" ht="11.25" customHeight="1" x14ac:dyDescent="0.25">
      <c r="A204" s="4" t="s">
        <v>21</v>
      </c>
      <c r="B204" s="4" t="s">
        <v>39</v>
      </c>
      <c r="C204" s="4" t="s">
        <v>62</v>
      </c>
      <c r="D204" s="4" t="s">
        <v>25</v>
      </c>
      <c r="E204" s="4" t="s">
        <v>25</v>
      </c>
      <c r="F204" s="4" t="s">
        <v>25</v>
      </c>
      <c r="G204" s="4" t="s">
        <v>65</v>
      </c>
      <c r="H204" s="4" t="s">
        <v>25</v>
      </c>
      <c r="I204" s="5">
        <v>44652</v>
      </c>
      <c r="J204" s="6">
        <v>0</v>
      </c>
      <c r="K204" s="6">
        <v>0</v>
      </c>
      <c r="L204" s="6">
        <v>12544.321</v>
      </c>
      <c r="M204" s="6">
        <v>12544.321</v>
      </c>
      <c r="N204" s="6">
        <v>0</v>
      </c>
      <c r="O204" s="6">
        <v>0</v>
      </c>
      <c r="P204" s="6">
        <v>0</v>
      </c>
      <c r="Q204" s="4" t="s">
        <v>64</v>
      </c>
      <c r="R204" s="4">
        <v>6611</v>
      </c>
      <c r="S204" s="6">
        <v>0</v>
      </c>
      <c r="T204" s="6">
        <v>14</v>
      </c>
      <c r="U204" s="6">
        <v>0</v>
      </c>
      <c r="V204" s="6">
        <f>IF(ISERROR(VLOOKUP($S$204,'TAR FIN'!$A$1:$O$104,15,0)),0,VLOOKUP($S$204,'TAR FIN'!$A$1:$O$104,15,0))</f>
        <v>0</v>
      </c>
      <c r="W204" s="6">
        <f>IF(ISERROR(VLOOKUP($T$204,'TAR FIN'!$A$1:$O$104,15,0)),0,VLOOKUP($T$204,'TAR FIN'!$A$1:$O$104,15,0))</f>
        <v>6.99</v>
      </c>
      <c r="X204" s="6">
        <f>IF(ISERROR(VLOOKUP($U$204,'TAR FIN'!$A$1:$O$104,15,0)),0,VLOOKUP($U$204,'TAR FIN'!$A$1:$O$104,15,0))</f>
        <v>0</v>
      </c>
      <c r="Y204" s="6">
        <f ca="1">0.72*('TUSD BE'!$AM$9+'TUSD BF'!$AM$9+'TUSD CVA'!$AM$9)*1+('TUSD BE'!$AM$10+'TUSD BF'!$AM$10+'TUSD CVA'!$AM$10)*1</f>
        <v>28.971478306022291</v>
      </c>
      <c r="Z204" s="6">
        <f ca="1">('TUSD BE'!$AM$11+'TUSD BF'!$AM$11+'TUSD CVA'!$AM$11)*1</f>
        <v>6.4008790929765436</v>
      </c>
      <c r="AA204" s="6"/>
      <c r="AB204" s="6">
        <f>$K$204*$V$204</f>
        <v>0</v>
      </c>
      <c r="AC204" s="6">
        <f>$M$204*$W$204</f>
        <v>87684.803790000005</v>
      </c>
      <c r="AD204" s="6">
        <f>$O$204*$X$204</f>
        <v>0</v>
      </c>
      <c r="AE204" s="6">
        <f ca="1">$K$204*$Y$204</f>
        <v>0</v>
      </c>
      <c r="AF204" s="6">
        <f ca="1">$M$204*$Z$204</f>
        <v>80294.68202448661</v>
      </c>
      <c r="AG204" s="6">
        <f>$O$204*$AA$204</f>
        <v>0</v>
      </c>
    </row>
    <row r="205" spans="1:33" ht="11.25" customHeight="1" x14ac:dyDescent="0.25">
      <c r="A205" s="4" t="s">
        <v>21</v>
      </c>
      <c r="B205" s="4" t="s">
        <v>39</v>
      </c>
      <c r="C205" s="4" t="s">
        <v>62</v>
      </c>
      <c r="D205" s="4" t="s">
        <v>25</v>
      </c>
      <c r="E205" s="4" t="s">
        <v>25</v>
      </c>
      <c r="F205" s="4" t="s">
        <v>25</v>
      </c>
      <c r="G205" s="4" t="s">
        <v>65</v>
      </c>
      <c r="H205" s="4" t="s">
        <v>25</v>
      </c>
      <c r="I205" s="5">
        <v>44682</v>
      </c>
      <c r="J205" s="6">
        <v>0</v>
      </c>
      <c r="K205" s="6">
        <v>0</v>
      </c>
      <c r="L205" s="6">
        <v>11977.334999999999</v>
      </c>
      <c r="M205" s="6">
        <v>11977.334999999999</v>
      </c>
      <c r="N205" s="6">
        <v>0</v>
      </c>
      <c r="O205" s="6">
        <v>0</v>
      </c>
      <c r="P205" s="6">
        <v>0</v>
      </c>
      <c r="Q205" s="4" t="s">
        <v>64</v>
      </c>
      <c r="R205" s="4">
        <v>6611</v>
      </c>
      <c r="S205" s="6">
        <v>0</v>
      </c>
      <c r="T205" s="6">
        <v>14</v>
      </c>
      <c r="U205" s="6">
        <v>0</v>
      </c>
      <c r="V205" s="6">
        <f>IF(ISERROR(VLOOKUP($S$205,'TAR FIN'!$A$1:$O$104,15,0)),0,VLOOKUP($S$205,'TAR FIN'!$A$1:$O$104,15,0))</f>
        <v>0</v>
      </c>
      <c r="W205" s="6">
        <f>IF(ISERROR(VLOOKUP($T$205,'TAR FIN'!$A$1:$O$104,15,0)),0,VLOOKUP($T$205,'TAR FIN'!$A$1:$O$104,15,0))</f>
        <v>6.99</v>
      </c>
      <c r="X205" s="6">
        <f>IF(ISERROR(VLOOKUP($U$205,'TAR FIN'!$A$1:$O$104,15,0)),0,VLOOKUP($U$205,'TAR FIN'!$A$1:$O$104,15,0))</f>
        <v>0</v>
      </c>
      <c r="Y205" s="6">
        <f ca="1">0.72*('TUSD BE'!$AM$9+'TUSD BF'!$AM$9+'TUSD CVA'!$AM$9)*1+('TUSD BE'!$AM$10+'TUSD BF'!$AM$10+'TUSD CVA'!$AM$10)*1</f>
        <v>28.971478306022291</v>
      </c>
      <c r="Z205" s="6">
        <f ca="1">('TUSD BE'!$AM$11+'TUSD BF'!$AM$11+'TUSD CVA'!$AM$11)*1</f>
        <v>6.4008790929765436</v>
      </c>
      <c r="AA205" s="6"/>
      <c r="AB205" s="6">
        <f>$K$205*$V$205</f>
        <v>0</v>
      </c>
      <c r="AC205" s="6">
        <f>$M$205*$W$205</f>
        <v>83721.571649999998</v>
      </c>
      <c r="AD205" s="6">
        <f>$O$205*$X$205</f>
        <v>0</v>
      </c>
      <c r="AE205" s="6">
        <f ca="1">$K$205*$Y$205</f>
        <v>0</v>
      </c>
      <c r="AF205" s="6">
        <f ca="1">$M$205*$Z$205</f>
        <v>76665.473191076206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39</v>
      </c>
      <c r="C206" s="4" t="s">
        <v>62</v>
      </c>
      <c r="D206" s="4" t="s">
        <v>25</v>
      </c>
      <c r="E206" s="4" t="s">
        <v>25</v>
      </c>
      <c r="F206" s="4" t="s">
        <v>25</v>
      </c>
      <c r="G206" s="4" t="s">
        <v>65</v>
      </c>
      <c r="H206" s="4" t="s">
        <v>25</v>
      </c>
      <c r="I206" s="5">
        <v>44713</v>
      </c>
      <c r="J206" s="6">
        <v>0</v>
      </c>
      <c r="K206" s="6">
        <v>0</v>
      </c>
      <c r="L206" s="6">
        <v>11880.42</v>
      </c>
      <c r="M206" s="6">
        <v>11880.42</v>
      </c>
      <c r="N206" s="6">
        <v>0</v>
      </c>
      <c r="O206" s="6">
        <v>0</v>
      </c>
      <c r="P206" s="6">
        <v>0</v>
      </c>
      <c r="Q206" s="4" t="s">
        <v>64</v>
      </c>
      <c r="R206" s="4">
        <v>6611</v>
      </c>
      <c r="S206" s="6">
        <v>0</v>
      </c>
      <c r="T206" s="6">
        <v>14</v>
      </c>
      <c r="U206" s="6">
        <v>0</v>
      </c>
      <c r="V206" s="6">
        <f>IF(ISERROR(VLOOKUP($S$206,'TAR FIN'!$A$1:$O$104,15,0)),0,VLOOKUP($S$206,'TAR FIN'!$A$1:$O$104,15,0))</f>
        <v>0</v>
      </c>
      <c r="W206" s="6">
        <f>IF(ISERROR(VLOOKUP($T$206,'TAR FIN'!$A$1:$O$104,15,0)),0,VLOOKUP($T$206,'TAR FIN'!$A$1:$O$104,15,0))</f>
        <v>6.99</v>
      </c>
      <c r="X206" s="6">
        <f>IF(ISERROR(VLOOKUP($U$206,'TAR FIN'!$A$1:$O$104,15,0)),0,VLOOKUP($U$206,'TAR FIN'!$A$1:$O$104,15,0))</f>
        <v>0</v>
      </c>
      <c r="Y206" s="6">
        <f ca="1">0.72*('TUSD BE'!$AM$9+'TUSD BF'!$AM$9+'TUSD CVA'!$AM$9)*1+('TUSD BE'!$AM$10+'TUSD BF'!$AM$10+'TUSD CVA'!$AM$10)*1</f>
        <v>28.971478306022291</v>
      </c>
      <c r="Z206" s="6">
        <f ca="1">('TUSD BE'!$AM$11+'TUSD BF'!$AM$11+'TUSD CVA'!$AM$11)*1</f>
        <v>6.4008790929765436</v>
      </c>
      <c r="AA206" s="6"/>
      <c r="AB206" s="6">
        <f>$K$206*$V$206</f>
        <v>0</v>
      </c>
      <c r="AC206" s="6">
        <f>$M$206*$W$206</f>
        <v>83044.135800000004</v>
      </c>
      <c r="AD206" s="6">
        <f>$O$206*$X$206</f>
        <v>0</v>
      </c>
      <c r="AE206" s="6">
        <f ca="1">$K$206*$Y$206</f>
        <v>0</v>
      </c>
      <c r="AF206" s="6">
        <f ca="1">$M$206*$Z$206</f>
        <v>76045.131993780393</v>
      </c>
      <c r="AG206" s="6">
        <f>$O$206*$AA$206</f>
        <v>0</v>
      </c>
    </row>
    <row r="207" spans="1:33" ht="11.25" customHeight="1" x14ac:dyDescent="0.25">
      <c r="A207" s="4" t="s">
        <v>57</v>
      </c>
      <c r="B207" s="4" t="s">
        <v>39</v>
      </c>
      <c r="C207" s="4" t="s">
        <v>62</v>
      </c>
      <c r="D207" s="4" t="s">
        <v>25</v>
      </c>
      <c r="E207" s="4" t="s">
        <v>25</v>
      </c>
      <c r="F207" s="4" t="s">
        <v>25</v>
      </c>
      <c r="G207" s="4" t="s">
        <v>65</v>
      </c>
      <c r="H207" s="4" t="s">
        <v>25</v>
      </c>
      <c r="I207" s="5">
        <v>44743</v>
      </c>
      <c r="J207" s="6">
        <v>0</v>
      </c>
      <c r="K207" s="6">
        <v>0</v>
      </c>
      <c r="L207" s="6">
        <v>11880.42</v>
      </c>
      <c r="M207" s="6">
        <v>11880.42</v>
      </c>
      <c r="N207" s="6">
        <v>0</v>
      </c>
      <c r="O207" s="6">
        <v>0</v>
      </c>
      <c r="P207" s="6">
        <v>0</v>
      </c>
      <c r="Q207" s="4" t="s">
        <v>64</v>
      </c>
      <c r="R207" s="4">
        <v>6611</v>
      </c>
      <c r="S207" s="6">
        <v>0</v>
      </c>
      <c r="T207" s="6">
        <v>14</v>
      </c>
      <c r="U207" s="6">
        <v>0</v>
      </c>
      <c r="V207" s="6">
        <f>IF(ISERROR(VLOOKUP($S$207,'TAR FIN'!$A$1:$O$104,15,0)),0,VLOOKUP($S$207,'TAR FIN'!$A$1:$O$104,15,0))</f>
        <v>0</v>
      </c>
      <c r="W207" s="6">
        <f>IF(ISERROR(VLOOKUP($T$207,'TAR FIN'!$A$1:$O$104,15,0)),0,VLOOKUP($T$207,'TAR FIN'!$A$1:$O$104,15,0))</f>
        <v>6.99</v>
      </c>
      <c r="X207" s="6">
        <f>IF(ISERROR(VLOOKUP($U$207,'TAR FIN'!$A$1:$O$104,15,0)),0,VLOOKUP($U$207,'TAR FIN'!$A$1:$O$104,15,0))</f>
        <v>0</v>
      </c>
      <c r="Y207" s="6">
        <f ca="1">0.72*('TUSD BE'!$AM$9+'TUSD BF'!$AM$9+'TUSD CVA'!$AM$9)*1+('TUSD BE'!$AM$10+'TUSD BF'!$AM$10+'TUSD CVA'!$AM$10)*1</f>
        <v>28.971478306022291</v>
      </c>
      <c r="Z207" s="6">
        <f ca="1">('TUSD BE'!$AM$11+'TUSD BF'!$AM$11+'TUSD CVA'!$AM$11)*1</f>
        <v>6.4008790929765436</v>
      </c>
      <c r="AA207" s="6"/>
      <c r="AB207" s="6">
        <f>$K$207*$V$207</f>
        <v>0</v>
      </c>
      <c r="AC207" s="6">
        <f>$M$207*$W$207</f>
        <v>83044.135800000004</v>
      </c>
      <c r="AD207" s="6">
        <f>$O$207*$X$207</f>
        <v>0</v>
      </c>
      <c r="AE207" s="6">
        <f ca="1">$K$207*$Y$207</f>
        <v>0</v>
      </c>
      <c r="AF207" s="6">
        <f ca="1">$M$207*$Z$207</f>
        <v>76045.131993780393</v>
      </c>
      <c r="AG207" s="6">
        <f>$O$207*$AA$207</f>
        <v>0</v>
      </c>
    </row>
    <row r="208" spans="1:33" ht="11.25" customHeight="1" x14ac:dyDescent="0.25">
      <c r="A208" s="4" t="s">
        <v>21</v>
      </c>
      <c r="B208" s="4" t="s">
        <v>39</v>
      </c>
      <c r="C208" s="4" t="s">
        <v>62</v>
      </c>
      <c r="D208" s="4" t="s">
        <v>25</v>
      </c>
      <c r="E208" s="4" t="s">
        <v>25</v>
      </c>
      <c r="F208" s="4" t="s">
        <v>25</v>
      </c>
      <c r="G208" s="4" t="s">
        <v>65</v>
      </c>
      <c r="H208" s="4" t="s">
        <v>34</v>
      </c>
      <c r="I208" s="5">
        <v>44409</v>
      </c>
      <c r="J208" s="6">
        <v>28600</v>
      </c>
      <c r="K208" s="6">
        <v>28600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64</v>
      </c>
      <c r="R208" s="4">
        <v>6611</v>
      </c>
      <c r="S208" s="6">
        <v>9</v>
      </c>
      <c r="T208" s="6">
        <v>0</v>
      </c>
      <c r="U208" s="6">
        <v>0</v>
      </c>
      <c r="V208" s="6">
        <f>IF(ISERROR(VLOOKUP($S$208,'TAR FIN'!$A$1:$O$104,15,0)),0,VLOOKUP($S$208,'TAR FIN'!$A$1:$O$104,15,0))</f>
        <v>21.7</v>
      </c>
      <c r="W208" s="6">
        <f>IF(ISERROR(VLOOKUP($T$208,'TAR FIN'!$A$1:$O$104,15,0)),0,VLOOKUP($T$208,'TAR FIN'!$A$1:$O$104,15,0))</f>
        <v>0</v>
      </c>
      <c r="X208" s="6">
        <f>IF(ISERROR(VLOOKUP($U$208,'TAR FIN'!$A$1:$O$104,15,0)),0,VLOOKUP($U$208,'TAR FIN'!$A$1:$O$104,15,0))</f>
        <v>0</v>
      </c>
      <c r="Y208" s="6">
        <f ca="1">('TUSD BE'!$AM$9+'TUSD BF'!$AM$9+'TUSD CVA'!$AM$9)*1</f>
        <v>23.398858655955021</v>
      </c>
      <c r="Z208" s="6">
        <f ca="1">('TUSD BE'!$AM$11+'TUSD BF'!$AM$11+'TUSD CVA'!$AM$11)*1</f>
        <v>6.4008790929765436</v>
      </c>
      <c r="AA208" s="6"/>
      <c r="AB208" s="6">
        <f>$K$208*$V$208</f>
        <v>620620</v>
      </c>
      <c r="AC208" s="6">
        <f>$M$208*$W$208</f>
        <v>0</v>
      </c>
      <c r="AD208" s="6">
        <f>$O$208*$X$208</f>
        <v>0</v>
      </c>
      <c r="AE208" s="6">
        <f ca="1">$K$208*$Y$208</f>
        <v>669207.35756031354</v>
      </c>
      <c r="AF208" s="6">
        <f ca="1">$M$208*$Z$208</f>
        <v>0</v>
      </c>
      <c r="AG208" s="6">
        <f>$O$208*$AA$208</f>
        <v>0</v>
      </c>
    </row>
    <row r="209" spans="1:33" ht="11.25" customHeight="1" x14ac:dyDescent="0.25">
      <c r="A209" s="4" t="s">
        <v>21</v>
      </c>
      <c r="B209" s="4" t="s">
        <v>39</v>
      </c>
      <c r="C209" s="4" t="s">
        <v>62</v>
      </c>
      <c r="D209" s="4" t="s">
        <v>25</v>
      </c>
      <c r="E209" s="4" t="s">
        <v>25</v>
      </c>
      <c r="F209" s="4" t="s">
        <v>25</v>
      </c>
      <c r="G209" s="4" t="s">
        <v>65</v>
      </c>
      <c r="H209" s="4" t="s">
        <v>34</v>
      </c>
      <c r="I209" s="5">
        <v>44440</v>
      </c>
      <c r="J209" s="6">
        <v>28600</v>
      </c>
      <c r="K209" s="6">
        <v>28600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64</v>
      </c>
      <c r="R209" s="4">
        <v>6611</v>
      </c>
      <c r="S209" s="6">
        <v>9</v>
      </c>
      <c r="T209" s="6">
        <v>0</v>
      </c>
      <c r="U209" s="6">
        <v>0</v>
      </c>
      <c r="V209" s="6">
        <f>IF(ISERROR(VLOOKUP($S$209,'TAR FIN'!$A$1:$O$104,15,0)),0,VLOOKUP($S$209,'TAR FIN'!$A$1:$O$104,15,0))</f>
        <v>21.7</v>
      </c>
      <c r="W209" s="6">
        <f>IF(ISERROR(VLOOKUP($T$209,'TAR FIN'!$A$1:$O$104,15,0)),0,VLOOKUP($T$209,'TAR FIN'!$A$1:$O$104,15,0))</f>
        <v>0</v>
      </c>
      <c r="X209" s="6">
        <f>IF(ISERROR(VLOOKUP($U$209,'TAR FIN'!$A$1:$O$104,15,0)),0,VLOOKUP($U$209,'TAR FIN'!$A$1:$O$104,15,0))</f>
        <v>0</v>
      </c>
      <c r="Y209" s="6">
        <f ca="1">('TUSD BE'!$AM$9+'TUSD BF'!$AM$9+'TUSD CVA'!$AM$9)*1</f>
        <v>23.398858655955021</v>
      </c>
      <c r="Z209" s="6">
        <f ca="1">('TUSD BE'!$AM$11+'TUSD BF'!$AM$11+'TUSD CVA'!$AM$11)*1</f>
        <v>6.4008790929765436</v>
      </c>
      <c r="AA209" s="6"/>
      <c r="AB209" s="6">
        <f>$K$209*$V$209</f>
        <v>620620</v>
      </c>
      <c r="AC209" s="6">
        <f>$M$209*$W$209</f>
        <v>0</v>
      </c>
      <c r="AD209" s="6">
        <f>$O$209*$X$209</f>
        <v>0</v>
      </c>
      <c r="AE209" s="6">
        <f ca="1">$K$209*$Y$209</f>
        <v>669207.35756031354</v>
      </c>
      <c r="AF209" s="6">
        <f ca="1">$M$209*$Z$209</f>
        <v>0</v>
      </c>
      <c r="AG209" s="6">
        <f>$O$209*$AA$209</f>
        <v>0</v>
      </c>
    </row>
    <row r="210" spans="1:33" ht="11.25" customHeight="1" x14ac:dyDescent="0.25">
      <c r="A210" s="4" t="s">
        <v>21</v>
      </c>
      <c r="B210" s="4" t="s">
        <v>39</v>
      </c>
      <c r="C210" s="4" t="s">
        <v>62</v>
      </c>
      <c r="D210" s="4" t="s">
        <v>25</v>
      </c>
      <c r="E210" s="4" t="s">
        <v>25</v>
      </c>
      <c r="F210" s="4" t="s">
        <v>25</v>
      </c>
      <c r="G210" s="4" t="s">
        <v>65</v>
      </c>
      <c r="H210" s="4" t="s">
        <v>34</v>
      </c>
      <c r="I210" s="5">
        <v>44470</v>
      </c>
      <c r="J210" s="6">
        <v>28600</v>
      </c>
      <c r="K210" s="6">
        <v>28600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4" t="s">
        <v>64</v>
      </c>
      <c r="R210" s="4">
        <v>6611</v>
      </c>
      <c r="S210" s="6">
        <v>9</v>
      </c>
      <c r="T210" s="6">
        <v>0</v>
      </c>
      <c r="U210" s="6">
        <v>0</v>
      </c>
      <c r="V210" s="6">
        <f>IF(ISERROR(VLOOKUP($S$210,'TAR FIN'!$A$1:$O$104,15,0)),0,VLOOKUP($S$210,'TAR FIN'!$A$1:$O$104,15,0))</f>
        <v>21.7</v>
      </c>
      <c r="W210" s="6">
        <f>IF(ISERROR(VLOOKUP($T$210,'TAR FIN'!$A$1:$O$104,15,0)),0,VLOOKUP($T$210,'TAR FIN'!$A$1:$O$104,15,0))</f>
        <v>0</v>
      </c>
      <c r="X210" s="6">
        <f>IF(ISERROR(VLOOKUP($U$210,'TAR FIN'!$A$1:$O$104,15,0)),0,VLOOKUP($U$210,'TAR FIN'!$A$1:$O$104,15,0))</f>
        <v>0</v>
      </c>
      <c r="Y210" s="6">
        <f ca="1">('TUSD BE'!$AM$9+'TUSD BF'!$AM$9+'TUSD CVA'!$AM$9)*1</f>
        <v>23.398858655955021</v>
      </c>
      <c r="Z210" s="6">
        <f ca="1">('TUSD BE'!$AM$11+'TUSD BF'!$AM$11+'TUSD CVA'!$AM$11)*1</f>
        <v>6.4008790929765436</v>
      </c>
      <c r="AA210" s="6"/>
      <c r="AB210" s="6">
        <f>$K$210*$V$210</f>
        <v>620620</v>
      </c>
      <c r="AC210" s="6">
        <f>$M$210*$W$210</f>
        <v>0</v>
      </c>
      <c r="AD210" s="6">
        <f>$O$210*$X$210</f>
        <v>0</v>
      </c>
      <c r="AE210" s="6">
        <f ca="1">$K$210*$Y$210</f>
        <v>669207.35756031354</v>
      </c>
      <c r="AF210" s="6">
        <f ca="1">$M$210*$Z$210</f>
        <v>0</v>
      </c>
      <c r="AG210" s="6">
        <f>$O$210*$AA$210</f>
        <v>0</v>
      </c>
    </row>
    <row r="211" spans="1:33" ht="11.25" customHeight="1" x14ac:dyDescent="0.25">
      <c r="A211" s="4" t="s">
        <v>21</v>
      </c>
      <c r="B211" s="4" t="s">
        <v>39</v>
      </c>
      <c r="C211" s="4" t="s">
        <v>62</v>
      </c>
      <c r="D211" s="4" t="s">
        <v>25</v>
      </c>
      <c r="E211" s="4" t="s">
        <v>25</v>
      </c>
      <c r="F211" s="4" t="s">
        <v>25</v>
      </c>
      <c r="G211" s="4" t="s">
        <v>65</v>
      </c>
      <c r="H211" s="4" t="s">
        <v>34</v>
      </c>
      <c r="I211" s="5">
        <v>44501</v>
      </c>
      <c r="J211" s="6">
        <v>28600</v>
      </c>
      <c r="K211" s="6">
        <v>28600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4" t="s">
        <v>64</v>
      </c>
      <c r="R211" s="4">
        <v>6611</v>
      </c>
      <c r="S211" s="6">
        <v>9</v>
      </c>
      <c r="T211" s="6">
        <v>0</v>
      </c>
      <c r="U211" s="6">
        <v>0</v>
      </c>
      <c r="V211" s="6">
        <f>IF(ISERROR(VLOOKUP($S$211,'TAR FIN'!$A$1:$O$104,15,0)),0,VLOOKUP($S$211,'TAR FIN'!$A$1:$O$104,15,0))</f>
        <v>21.7</v>
      </c>
      <c r="W211" s="6">
        <f>IF(ISERROR(VLOOKUP($T$211,'TAR FIN'!$A$1:$O$104,15,0)),0,VLOOKUP($T$211,'TAR FIN'!$A$1:$O$104,15,0))</f>
        <v>0</v>
      </c>
      <c r="X211" s="6">
        <f>IF(ISERROR(VLOOKUP($U$211,'TAR FIN'!$A$1:$O$104,15,0)),0,VLOOKUP($U$211,'TAR FIN'!$A$1:$O$104,15,0))</f>
        <v>0</v>
      </c>
      <c r="Y211" s="6">
        <f ca="1">('TUSD BE'!$AM$9+'TUSD BF'!$AM$9+'TUSD CVA'!$AM$9)*1</f>
        <v>23.398858655955021</v>
      </c>
      <c r="Z211" s="6">
        <f ca="1">('TUSD BE'!$AM$11+'TUSD BF'!$AM$11+'TUSD CVA'!$AM$11)*1</f>
        <v>6.4008790929765436</v>
      </c>
      <c r="AA211" s="6"/>
      <c r="AB211" s="6">
        <f>$K$211*$V$211</f>
        <v>620620</v>
      </c>
      <c r="AC211" s="6">
        <f>$M$211*$W$211</f>
        <v>0</v>
      </c>
      <c r="AD211" s="6">
        <f>$O$211*$X$211</f>
        <v>0</v>
      </c>
      <c r="AE211" s="6">
        <f ca="1">$K$211*$Y$211</f>
        <v>669207.35756031354</v>
      </c>
      <c r="AF211" s="6">
        <f ca="1">$M$211*$Z$211</f>
        <v>0</v>
      </c>
      <c r="AG211" s="6">
        <f>$O$211*$AA$211</f>
        <v>0</v>
      </c>
    </row>
    <row r="212" spans="1:33" ht="11.25" customHeight="1" x14ac:dyDescent="0.25">
      <c r="A212" s="4" t="s">
        <v>21</v>
      </c>
      <c r="B212" s="4" t="s">
        <v>39</v>
      </c>
      <c r="C212" s="4" t="s">
        <v>62</v>
      </c>
      <c r="D212" s="4" t="s">
        <v>25</v>
      </c>
      <c r="E212" s="4" t="s">
        <v>25</v>
      </c>
      <c r="F212" s="4" t="s">
        <v>25</v>
      </c>
      <c r="G212" s="4" t="s">
        <v>65</v>
      </c>
      <c r="H212" s="4" t="s">
        <v>34</v>
      </c>
      <c r="I212" s="5">
        <v>44531</v>
      </c>
      <c r="J212" s="6">
        <v>28600</v>
      </c>
      <c r="K212" s="6">
        <v>28600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4" t="s">
        <v>64</v>
      </c>
      <c r="R212" s="4">
        <v>6611</v>
      </c>
      <c r="S212" s="6">
        <v>9</v>
      </c>
      <c r="T212" s="6">
        <v>0</v>
      </c>
      <c r="U212" s="6">
        <v>0</v>
      </c>
      <c r="V212" s="6">
        <f>IF(ISERROR(VLOOKUP($S$212,'TAR FIN'!$A$1:$O$104,15,0)),0,VLOOKUP($S$212,'TAR FIN'!$A$1:$O$104,15,0))</f>
        <v>21.7</v>
      </c>
      <c r="W212" s="6">
        <f>IF(ISERROR(VLOOKUP($T$212,'TAR FIN'!$A$1:$O$104,15,0)),0,VLOOKUP($T$212,'TAR FIN'!$A$1:$O$104,15,0))</f>
        <v>0</v>
      </c>
      <c r="X212" s="6">
        <f>IF(ISERROR(VLOOKUP($U$212,'TAR FIN'!$A$1:$O$104,15,0)),0,VLOOKUP($U$212,'TAR FIN'!$A$1:$O$104,15,0))</f>
        <v>0</v>
      </c>
      <c r="Y212" s="6">
        <f ca="1">('TUSD BE'!$AM$9+'TUSD BF'!$AM$9+'TUSD CVA'!$AM$9)*1</f>
        <v>23.398858655955021</v>
      </c>
      <c r="Z212" s="6">
        <f ca="1">('TUSD BE'!$AM$11+'TUSD BF'!$AM$11+'TUSD CVA'!$AM$11)*1</f>
        <v>6.4008790929765436</v>
      </c>
      <c r="AA212" s="6"/>
      <c r="AB212" s="6">
        <f>$K$212*$V$212</f>
        <v>620620</v>
      </c>
      <c r="AC212" s="6">
        <f>$M$212*$W$212</f>
        <v>0</v>
      </c>
      <c r="AD212" s="6">
        <f>$O$212*$X$212</f>
        <v>0</v>
      </c>
      <c r="AE212" s="6">
        <f ca="1">$K$212*$Y$212</f>
        <v>669207.35756031354</v>
      </c>
      <c r="AF212" s="6">
        <f ca="1">$M$212*$Z$212</f>
        <v>0</v>
      </c>
      <c r="AG212" s="6">
        <f>$O$212*$AA$212</f>
        <v>0</v>
      </c>
    </row>
    <row r="213" spans="1:33" ht="11.25" customHeight="1" x14ac:dyDescent="0.25">
      <c r="A213" s="4" t="s">
        <v>21</v>
      </c>
      <c r="B213" s="4" t="s">
        <v>39</v>
      </c>
      <c r="C213" s="4" t="s">
        <v>62</v>
      </c>
      <c r="D213" s="4" t="s">
        <v>25</v>
      </c>
      <c r="E213" s="4" t="s">
        <v>25</v>
      </c>
      <c r="F213" s="4" t="s">
        <v>25</v>
      </c>
      <c r="G213" s="4" t="s">
        <v>65</v>
      </c>
      <c r="H213" s="4" t="s">
        <v>34</v>
      </c>
      <c r="I213" s="5">
        <v>44562</v>
      </c>
      <c r="J213" s="6">
        <v>29792</v>
      </c>
      <c r="K213" s="6">
        <v>29792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4" t="s">
        <v>64</v>
      </c>
      <c r="R213" s="4">
        <v>6611</v>
      </c>
      <c r="S213" s="6">
        <v>9</v>
      </c>
      <c r="T213" s="6">
        <v>0</v>
      </c>
      <c r="U213" s="6">
        <v>0</v>
      </c>
      <c r="V213" s="6">
        <f>IF(ISERROR(VLOOKUP($S$213,'TAR FIN'!$A$1:$O$104,15,0)),0,VLOOKUP($S$213,'TAR FIN'!$A$1:$O$104,15,0))</f>
        <v>21.7</v>
      </c>
      <c r="W213" s="6">
        <f>IF(ISERROR(VLOOKUP($T$213,'TAR FIN'!$A$1:$O$104,15,0)),0,VLOOKUP($T$213,'TAR FIN'!$A$1:$O$104,15,0))</f>
        <v>0</v>
      </c>
      <c r="X213" s="6">
        <f>IF(ISERROR(VLOOKUP($U$213,'TAR FIN'!$A$1:$O$104,15,0)),0,VLOOKUP($U$213,'TAR FIN'!$A$1:$O$104,15,0))</f>
        <v>0</v>
      </c>
      <c r="Y213" s="6">
        <f ca="1">('TUSD BE'!$AM$9+'TUSD BF'!$AM$9+'TUSD CVA'!$AM$9)*1</f>
        <v>23.398858655955021</v>
      </c>
      <c r="Z213" s="6">
        <f ca="1">('TUSD BE'!$AM$11+'TUSD BF'!$AM$11+'TUSD CVA'!$AM$11)*1</f>
        <v>6.4008790929765436</v>
      </c>
      <c r="AA213" s="6"/>
      <c r="AB213" s="6">
        <f>$K$213*$V$213</f>
        <v>646486.4</v>
      </c>
      <c r="AC213" s="6">
        <f>$M$213*$W$213</f>
        <v>0</v>
      </c>
      <c r="AD213" s="6">
        <f>$O$213*$X$213</f>
        <v>0</v>
      </c>
      <c r="AE213" s="6">
        <f ca="1">$K$213*$Y$213</f>
        <v>697098.79707821202</v>
      </c>
      <c r="AF213" s="6">
        <f ca="1">$M$213*$Z$213</f>
        <v>0</v>
      </c>
      <c r="AG213" s="6">
        <f>$O$213*$AA$213</f>
        <v>0</v>
      </c>
    </row>
    <row r="214" spans="1:33" ht="11.25" customHeight="1" x14ac:dyDescent="0.25">
      <c r="A214" s="4" t="s">
        <v>21</v>
      </c>
      <c r="B214" s="4" t="s">
        <v>39</v>
      </c>
      <c r="C214" s="4" t="s">
        <v>62</v>
      </c>
      <c r="D214" s="4" t="s">
        <v>25</v>
      </c>
      <c r="E214" s="4" t="s">
        <v>25</v>
      </c>
      <c r="F214" s="4" t="s">
        <v>25</v>
      </c>
      <c r="G214" s="4" t="s">
        <v>65</v>
      </c>
      <c r="H214" s="4" t="s">
        <v>34</v>
      </c>
      <c r="I214" s="5">
        <v>44593</v>
      </c>
      <c r="J214" s="6">
        <v>28600</v>
      </c>
      <c r="K214" s="6">
        <v>28600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4" t="s">
        <v>64</v>
      </c>
      <c r="R214" s="4">
        <v>6611</v>
      </c>
      <c r="S214" s="6">
        <v>9</v>
      </c>
      <c r="T214" s="6">
        <v>0</v>
      </c>
      <c r="U214" s="6">
        <v>0</v>
      </c>
      <c r="V214" s="6">
        <f>IF(ISERROR(VLOOKUP($S$214,'TAR FIN'!$A$1:$O$104,15,0)),0,VLOOKUP($S$214,'TAR FIN'!$A$1:$O$104,15,0))</f>
        <v>21.7</v>
      </c>
      <c r="W214" s="6">
        <f>IF(ISERROR(VLOOKUP($T$214,'TAR FIN'!$A$1:$O$104,15,0)),0,VLOOKUP($T$214,'TAR FIN'!$A$1:$O$104,15,0))</f>
        <v>0</v>
      </c>
      <c r="X214" s="6">
        <f>IF(ISERROR(VLOOKUP($U$214,'TAR FIN'!$A$1:$O$104,15,0)),0,VLOOKUP($U$214,'TAR FIN'!$A$1:$O$104,15,0))</f>
        <v>0</v>
      </c>
      <c r="Y214" s="6">
        <f ca="1">('TUSD BE'!$AM$9+'TUSD BF'!$AM$9+'TUSD CVA'!$AM$9)*1</f>
        <v>23.398858655955021</v>
      </c>
      <c r="Z214" s="6">
        <f ca="1">('TUSD BE'!$AM$11+'TUSD BF'!$AM$11+'TUSD CVA'!$AM$11)*1</f>
        <v>6.4008790929765436</v>
      </c>
      <c r="AA214" s="6"/>
      <c r="AB214" s="6">
        <f>$K$214*$V$214</f>
        <v>620620</v>
      </c>
      <c r="AC214" s="6">
        <f>$M$214*$W$214</f>
        <v>0</v>
      </c>
      <c r="AD214" s="6">
        <f>$O$214*$X$214</f>
        <v>0</v>
      </c>
      <c r="AE214" s="6">
        <f ca="1">$K$214*$Y$214</f>
        <v>669207.35756031354</v>
      </c>
      <c r="AF214" s="6">
        <f ca="1">$M$214*$Z$214</f>
        <v>0</v>
      </c>
      <c r="AG214" s="6">
        <f>$O$214*$AA$214</f>
        <v>0</v>
      </c>
    </row>
    <row r="215" spans="1:33" ht="11.25" customHeight="1" x14ac:dyDescent="0.25">
      <c r="A215" s="4" t="s">
        <v>21</v>
      </c>
      <c r="B215" s="4" t="s">
        <v>39</v>
      </c>
      <c r="C215" s="4" t="s">
        <v>62</v>
      </c>
      <c r="D215" s="4" t="s">
        <v>25</v>
      </c>
      <c r="E215" s="4" t="s">
        <v>25</v>
      </c>
      <c r="F215" s="4" t="s">
        <v>25</v>
      </c>
      <c r="G215" s="4" t="s">
        <v>65</v>
      </c>
      <c r="H215" s="4" t="s">
        <v>34</v>
      </c>
      <c r="I215" s="5">
        <v>44621</v>
      </c>
      <c r="J215" s="6">
        <v>28600</v>
      </c>
      <c r="K215" s="6">
        <v>28600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4" t="s">
        <v>64</v>
      </c>
      <c r="R215" s="4">
        <v>6611</v>
      </c>
      <c r="S215" s="6">
        <v>9</v>
      </c>
      <c r="T215" s="6">
        <v>0</v>
      </c>
      <c r="U215" s="6">
        <v>0</v>
      </c>
      <c r="V215" s="6">
        <f>IF(ISERROR(VLOOKUP($S$215,'TAR FIN'!$A$1:$O$104,15,0)),0,VLOOKUP($S$215,'TAR FIN'!$A$1:$O$104,15,0))</f>
        <v>21.7</v>
      </c>
      <c r="W215" s="6">
        <f>IF(ISERROR(VLOOKUP($T$215,'TAR FIN'!$A$1:$O$104,15,0)),0,VLOOKUP($T$215,'TAR FIN'!$A$1:$O$104,15,0))</f>
        <v>0</v>
      </c>
      <c r="X215" s="6">
        <f>IF(ISERROR(VLOOKUP($U$215,'TAR FIN'!$A$1:$O$104,15,0)),0,VLOOKUP($U$215,'TAR FIN'!$A$1:$O$104,15,0))</f>
        <v>0</v>
      </c>
      <c r="Y215" s="6">
        <f ca="1">('TUSD BE'!$AM$9+'TUSD BF'!$AM$9+'TUSD CVA'!$AM$9)*1</f>
        <v>23.398858655955021</v>
      </c>
      <c r="Z215" s="6">
        <f ca="1">('TUSD BE'!$AM$11+'TUSD BF'!$AM$11+'TUSD CVA'!$AM$11)*1</f>
        <v>6.4008790929765436</v>
      </c>
      <c r="AA215" s="6"/>
      <c r="AB215" s="6">
        <f>$K$215*$V$215</f>
        <v>620620</v>
      </c>
      <c r="AC215" s="6">
        <f>$M$215*$W$215</f>
        <v>0</v>
      </c>
      <c r="AD215" s="6">
        <f>$O$215*$X$215</f>
        <v>0</v>
      </c>
      <c r="AE215" s="6">
        <f ca="1">$K$215*$Y$215</f>
        <v>669207.35756031354</v>
      </c>
      <c r="AF215" s="6">
        <f ca="1">$M$215*$Z$215</f>
        <v>0</v>
      </c>
      <c r="AG215" s="6">
        <f>$O$215*$AA$215</f>
        <v>0</v>
      </c>
    </row>
    <row r="216" spans="1:33" ht="11.25" customHeight="1" x14ac:dyDescent="0.25">
      <c r="A216" s="4" t="s">
        <v>21</v>
      </c>
      <c r="B216" s="4" t="s">
        <v>39</v>
      </c>
      <c r="C216" s="4" t="s">
        <v>62</v>
      </c>
      <c r="D216" s="4" t="s">
        <v>25</v>
      </c>
      <c r="E216" s="4" t="s">
        <v>25</v>
      </c>
      <c r="F216" s="4" t="s">
        <v>25</v>
      </c>
      <c r="G216" s="4" t="s">
        <v>65</v>
      </c>
      <c r="H216" s="4" t="s">
        <v>34</v>
      </c>
      <c r="I216" s="5">
        <v>44652</v>
      </c>
      <c r="J216" s="6">
        <v>28600</v>
      </c>
      <c r="K216" s="6">
        <v>28600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4" t="s">
        <v>64</v>
      </c>
      <c r="R216" s="4">
        <v>6611</v>
      </c>
      <c r="S216" s="6">
        <v>9</v>
      </c>
      <c r="T216" s="6">
        <v>0</v>
      </c>
      <c r="U216" s="6">
        <v>0</v>
      </c>
      <c r="V216" s="6">
        <f>IF(ISERROR(VLOOKUP($S$216,'TAR FIN'!$A$1:$O$104,15,0)),0,VLOOKUP($S$216,'TAR FIN'!$A$1:$O$104,15,0))</f>
        <v>21.7</v>
      </c>
      <c r="W216" s="6">
        <f>IF(ISERROR(VLOOKUP($T$216,'TAR FIN'!$A$1:$O$104,15,0)),0,VLOOKUP($T$216,'TAR FIN'!$A$1:$O$104,15,0))</f>
        <v>0</v>
      </c>
      <c r="X216" s="6">
        <f>IF(ISERROR(VLOOKUP($U$216,'TAR FIN'!$A$1:$O$104,15,0)),0,VLOOKUP($U$216,'TAR FIN'!$A$1:$O$104,15,0))</f>
        <v>0</v>
      </c>
      <c r="Y216" s="6">
        <f ca="1">('TUSD BE'!$AM$9+'TUSD BF'!$AM$9+'TUSD CVA'!$AM$9)*1</f>
        <v>23.398858655955021</v>
      </c>
      <c r="Z216" s="6">
        <f ca="1">('TUSD BE'!$AM$11+'TUSD BF'!$AM$11+'TUSD CVA'!$AM$11)*1</f>
        <v>6.4008790929765436</v>
      </c>
      <c r="AA216" s="6"/>
      <c r="AB216" s="6">
        <f>$K$216*$V$216</f>
        <v>620620</v>
      </c>
      <c r="AC216" s="6">
        <f>$M$216*$W$216</f>
        <v>0</v>
      </c>
      <c r="AD216" s="6">
        <f>$O$216*$X$216</f>
        <v>0</v>
      </c>
      <c r="AE216" s="6">
        <f ca="1">$K$216*$Y$216</f>
        <v>669207.35756031354</v>
      </c>
      <c r="AF216" s="6">
        <f ca="1">$M$216*$Z$216</f>
        <v>0</v>
      </c>
      <c r="AG216" s="6">
        <f>$O$216*$AA$216</f>
        <v>0</v>
      </c>
    </row>
    <row r="217" spans="1:33" ht="11.25" customHeight="1" x14ac:dyDescent="0.25">
      <c r="A217" s="4" t="s">
        <v>21</v>
      </c>
      <c r="B217" s="4" t="s">
        <v>39</v>
      </c>
      <c r="C217" s="4" t="s">
        <v>62</v>
      </c>
      <c r="D217" s="4" t="s">
        <v>25</v>
      </c>
      <c r="E217" s="4" t="s">
        <v>25</v>
      </c>
      <c r="F217" s="4" t="s">
        <v>25</v>
      </c>
      <c r="G217" s="4" t="s">
        <v>65</v>
      </c>
      <c r="H217" s="4" t="s">
        <v>34</v>
      </c>
      <c r="I217" s="5">
        <v>44682</v>
      </c>
      <c r="J217" s="6">
        <v>28600</v>
      </c>
      <c r="K217" s="6">
        <v>28600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64</v>
      </c>
      <c r="R217" s="4">
        <v>6611</v>
      </c>
      <c r="S217" s="6">
        <v>9</v>
      </c>
      <c r="T217" s="6">
        <v>0</v>
      </c>
      <c r="U217" s="6">
        <v>0</v>
      </c>
      <c r="V217" s="6">
        <f>IF(ISERROR(VLOOKUP($S$217,'TAR FIN'!$A$1:$O$104,15,0)),0,VLOOKUP($S$217,'TAR FIN'!$A$1:$O$104,15,0))</f>
        <v>21.7</v>
      </c>
      <c r="W217" s="6">
        <f>IF(ISERROR(VLOOKUP($T$217,'TAR FIN'!$A$1:$O$104,15,0)),0,VLOOKUP($T$217,'TAR FIN'!$A$1:$O$104,15,0))</f>
        <v>0</v>
      </c>
      <c r="X217" s="6">
        <f>IF(ISERROR(VLOOKUP($U$217,'TAR FIN'!$A$1:$O$104,15,0)),0,VLOOKUP($U$217,'TAR FIN'!$A$1:$O$104,15,0))</f>
        <v>0</v>
      </c>
      <c r="Y217" s="6">
        <f ca="1">('TUSD BE'!$AM$9+'TUSD BF'!$AM$9+'TUSD CVA'!$AM$9)*1</f>
        <v>23.398858655955021</v>
      </c>
      <c r="Z217" s="6">
        <f ca="1">('TUSD BE'!$AM$11+'TUSD BF'!$AM$11+'TUSD CVA'!$AM$11)*1</f>
        <v>6.4008790929765436</v>
      </c>
      <c r="AA217" s="6"/>
      <c r="AB217" s="6">
        <f>$K$217*$V$217</f>
        <v>620620</v>
      </c>
      <c r="AC217" s="6">
        <f>$M$217*$W$217</f>
        <v>0</v>
      </c>
      <c r="AD217" s="6">
        <f>$O$217*$X$217</f>
        <v>0</v>
      </c>
      <c r="AE217" s="6">
        <f ca="1">$K$217*$Y$217</f>
        <v>669207.35756031354</v>
      </c>
      <c r="AF217" s="6">
        <f ca="1">$M$217*$Z$217</f>
        <v>0</v>
      </c>
      <c r="AG217" s="6">
        <f>$O$217*$AA$217</f>
        <v>0</v>
      </c>
    </row>
    <row r="218" spans="1:33" ht="11.25" customHeight="1" x14ac:dyDescent="0.25">
      <c r="A218" s="4" t="s">
        <v>21</v>
      </c>
      <c r="B218" s="4" t="s">
        <v>39</v>
      </c>
      <c r="C218" s="4" t="s">
        <v>62</v>
      </c>
      <c r="D218" s="4" t="s">
        <v>25</v>
      </c>
      <c r="E218" s="4" t="s">
        <v>25</v>
      </c>
      <c r="F218" s="4" t="s">
        <v>25</v>
      </c>
      <c r="G218" s="4" t="s">
        <v>65</v>
      </c>
      <c r="H218" s="4" t="s">
        <v>34</v>
      </c>
      <c r="I218" s="5">
        <v>44713</v>
      </c>
      <c r="J218" s="6">
        <v>28600</v>
      </c>
      <c r="K218" s="6">
        <v>28600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4" t="s">
        <v>64</v>
      </c>
      <c r="R218" s="4">
        <v>6611</v>
      </c>
      <c r="S218" s="6">
        <v>9</v>
      </c>
      <c r="T218" s="6">
        <v>0</v>
      </c>
      <c r="U218" s="6">
        <v>0</v>
      </c>
      <c r="V218" s="6">
        <f>IF(ISERROR(VLOOKUP($S$218,'TAR FIN'!$A$1:$O$104,15,0)),0,VLOOKUP($S$218,'TAR FIN'!$A$1:$O$104,15,0))</f>
        <v>21.7</v>
      </c>
      <c r="W218" s="6">
        <f>IF(ISERROR(VLOOKUP($T$218,'TAR FIN'!$A$1:$O$104,15,0)),0,VLOOKUP($T$218,'TAR FIN'!$A$1:$O$104,15,0))</f>
        <v>0</v>
      </c>
      <c r="X218" s="6">
        <f>IF(ISERROR(VLOOKUP($U$218,'TAR FIN'!$A$1:$O$104,15,0)),0,VLOOKUP($U$218,'TAR FIN'!$A$1:$O$104,15,0))</f>
        <v>0</v>
      </c>
      <c r="Y218" s="6">
        <f ca="1">('TUSD BE'!$AM$9+'TUSD BF'!$AM$9+'TUSD CVA'!$AM$9)*1</f>
        <v>23.398858655955021</v>
      </c>
      <c r="Z218" s="6">
        <f ca="1">('TUSD BE'!$AM$11+'TUSD BF'!$AM$11+'TUSD CVA'!$AM$11)*1</f>
        <v>6.4008790929765436</v>
      </c>
      <c r="AA218" s="6"/>
      <c r="AB218" s="6">
        <f>$K$218*$V$218</f>
        <v>620620</v>
      </c>
      <c r="AC218" s="6">
        <f>$M$218*$W$218</f>
        <v>0</v>
      </c>
      <c r="AD218" s="6">
        <f>$O$218*$X$218</f>
        <v>0</v>
      </c>
      <c r="AE218" s="6">
        <f ca="1">$K$218*$Y$218</f>
        <v>669207.35756031354</v>
      </c>
      <c r="AF218" s="6">
        <f ca="1">$M$218*$Z$218</f>
        <v>0</v>
      </c>
      <c r="AG218" s="6">
        <f>$O$218*$AA$218</f>
        <v>0</v>
      </c>
    </row>
    <row r="219" spans="1:33" ht="11.25" customHeight="1" x14ac:dyDescent="0.25">
      <c r="A219" s="4" t="s">
        <v>57</v>
      </c>
      <c r="B219" s="4" t="s">
        <v>39</v>
      </c>
      <c r="C219" s="4" t="s">
        <v>62</v>
      </c>
      <c r="D219" s="4" t="s">
        <v>25</v>
      </c>
      <c r="E219" s="4" t="s">
        <v>25</v>
      </c>
      <c r="F219" s="4" t="s">
        <v>25</v>
      </c>
      <c r="G219" s="4" t="s">
        <v>65</v>
      </c>
      <c r="H219" s="4" t="s">
        <v>34</v>
      </c>
      <c r="I219" s="5">
        <v>44743</v>
      </c>
      <c r="J219" s="6">
        <v>28600</v>
      </c>
      <c r="K219" s="6">
        <v>28600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4" t="s">
        <v>64</v>
      </c>
      <c r="R219" s="4">
        <v>6611</v>
      </c>
      <c r="S219" s="6">
        <v>9</v>
      </c>
      <c r="T219" s="6">
        <v>0</v>
      </c>
      <c r="U219" s="6">
        <v>0</v>
      </c>
      <c r="V219" s="6">
        <f>IF(ISERROR(VLOOKUP($S$219,'TAR FIN'!$A$1:$O$104,15,0)),0,VLOOKUP($S$219,'TAR FIN'!$A$1:$O$104,15,0))</f>
        <v>21.7</v>
      </c>
      <c r="W219" s="6">
        <f>IF(ISERROR(VLOOKUP($T$219,'TAR FIN'!$A$1:$O$104,15,0)),0,VLOOKUP($T$219,'TAR FIN'!$A$1:$O$104,15,0))</f>
        <v>0</v>
      </c>
      <c r="X219" s="6">
        <f>IF(ISERROR(VLOOKUP($U$219,'TAR FIN'!$A$1:$O$104,15,0)),0,VLOOKUP($U$219,'TAR FIN'!$A$1:$O$104,15,0))</f>
        <v>0</v>
      </c>
      <c r="Y219" s="6">
        <f ca="1">('TUSD BE'!$AM$9+'TUSD BF'!$AM$9+'TUSD CVA'!$AM$9)*1</f>
        <v>23.398858655955021</v>
      </c>
      <c r="Z219" s="6">
        <f ca="1">('TUSD BE'!$AM$11+'TUSD BF'!$AM$11+'TUSD CVA'!$AM$11)*1</f>
        <v>6.4008790929765436</v>
      </c>
      <c r="AA219" s="6"/>
      <c r="AB219" s="6">
        <f>$K$219*$V$219</f>
        <v>620620</v>
      </c>
      <c r="AC219" s="6">
        <f>$M$219*$W$219</f>
        <v>0</v>
      </c>
      <c r="AD219" s="6">
        <f>$O$219*$X$219</f>
        <v>0</v>
      </c>
      <c r="AE219" s="6">
        <f ca="1">$K$219*$Y$219</f>
        <v>669207.35756031354</v>
      </c>
      <c r="AF219" s="6">
        <f ca="1">$M$219*$Z$219</f>
        <v>0</v>
      </c>
      <c r="AG219" s="6">
        <f>$O$219*$AA$219</f>
        <v>0</v>
      </c>
    </row>
    <row r="220" spans="1:33" ht="11.25" customHeight="1" x14ac:dyDescent="0.25">
      <c r="A220" s="4" t="s">
        <v>21</v>
      </c>
      <c r="B220" s="4" t="s">
        <v>39</v>
      </c>
      <c r="C220" s="4" t="s">
        <v>66</v>
      </c>
      <c r="D220" s="4" t="s">
        <v>25</v>
      </c>
      <c r="E220" s="4" t="s">
        <v>25</v>
      </c>
      <c r="F220" s="4" t="s">
        <v>25</v>
      </c>
      <c r="G220" s="4" t="s">
        <v>67</v>
      </c>
      <c r="H220" s="4" t="s">
        <v>25</v>
      </c>
      <c r="I220" s="5">
        <v>44409</v>
      </c>
      <c r="J220" s="6">
        <v>3500</v>
      </c>
      <c r="K220" s="6">
        <v>3500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4" t="s">
        <v>68</v>
      </c>
      <c r="R220" s="4">
        <v>27402</v>
      </c>
      <c r="S220" s="6">
        <v>16</v>
      </c>
      <c r="T220" s="6">
        <v>0</v>
      </c>
      <c r="U220" s="6">
        <v>0</v>
      </c>
      <c r="V220" s="6">
        <f>IF(ISERROR(VLOOKUP($S$220,'TAR FIN'!$A$1:$O$104,15,0)),0,VLOOKUP($S$220,'TAR FIN'!$A$1:$O$104,15,0))</f>
        <v>12.9</v>
      </c>
      <c r="W220" s="6">
        <f>IF(ISERROR(VLOOKUP($T$220,'TAR FIN'!$A$1:$O$104,15,0)),0,VLOOKUP($T$220,'TAR FIN'!$A$1:$O$104,15,0))</f>
        <v>0</v>
      </c>
      <c r="X220" s="6">
        <f>IF(ISERROR(VLOOKUP($U$220,'TAR FIN'!$A$1:$O$104,15,0)),0,VLOOKUP($U$220,'TAR FIN'!$A$1:$O$104,15,0))</f>
        <v>0</v>
      </c>
      <c r="Y220" s="6">
        <f ca="1">('TUSD BE'!$AM$12+'TUSD BF'!$AM$12+'TUSD CVA'!$AM$12)*1</f>
        <v>12.796774750698974</v>
      </c>
      <c r="Z220" s="6"/>
      <c r="AA220" s="6"/>
      <c r="AB220" s="6">
        <f>$K$220*$V$220</f>
        <v>45150</v>
      </c>
      <c r="AC220" s="6">
        <f>$M$220*$W$220</f>
        <v>0</v>
      </c>
      <c r="AD220" s="6">
        <f>$O$220*$X$220</f>
        <v>0</v>
      </c>
      <c r="AE220" s="6">
        <f ca="1">$K$220*$Y$220</f>
        <v>44788.711627446406</v>
      </c>
      <c r="AF220" s="6">
        <f>$M$220*$Z$220</f>
        <v>0</v>
      </c>
      <c r="AG220" s="6">
        <f>$O$220*$AA$220</f>
        <v>0</v>
      </c>
    </row>
    <row r="221" spans="1:33" ht="11.25" customHeight="1" x14ac:dyDescent="0.25">
      <c r="A221" s="4" t="s">
        <v>21</v>
      </c>
      <c r="B221" s="4" t="s">
        <v>39</v>
      </c>
      <c r="C221" s="4" t="s">
        <v>66</v>
      </c>
      <c r="D221" s="4" t="s">
        <v>25</v>
      </c>
      <c r="E221" s="4" t="s">
        <v>25</v>
      </c>
      <c r="F221" s="4" t="s">
        <v>25</v>
      </c>
      <c r="G221" s="4" t="s">
        <v>69</v>
      </c>
      <c r="H221" s="4" t="s">
        <v>25</v>
      </c>
      <c r="I221" s="5">
        <v>44409</v>
      </c>
      <c r="J221" s="6">
        <v>3000</v>
      </c>
      <c r="K221" s="6">
        <v>1500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4" t="s">
        <v>68</v>
      </c>
      <c r="R221" s="4">
        <v>28515</v>
      </c>
      <c r="S221" s="6">
        <v>16</v>
      </c>
      <c r="T221" s="6">
        <v>0</v>
      </c>
      <c r="U221" s="6">
        <v>0</v>
      </c>
      <c r="V221" s="6">
        <f>IF(ISERROR(VLOOKUP($S$221,'TAR FIN'!$A$1:$O$104,15,0)),0,VLOOKUP($S$221,'TAR FIN'!$A$1:$O$104,15,0))</f>
        <v>12.9</v>
      </c>
      <c r="W221" s="6">
        <f>IF(ISERROR(VLOOKUP($T$221,'TAR FIN'!$A$1:$O$104,15,0)),0,VLOOKUP($T$221,'TAR FIN'!$A$1:$O$104,15,0))</f>
        <v>0</v>
      </c>
      <c r="X221" s="6">
        <f>IF(ISERROR(VLOOKUP($U$221,'TAR FIN'!$A$1:$O$104,15,0)),0,VLOOKUP($U$221,'TAR FIN'!$A$1:$O$104,15,0))</f>
        <v>0</v>
      </c>
      <c r="Y221" s="6">
        <f ca="1">('TUSD BE'!$AM$12+'TUSD BF'!$AM$12+'TUSD CVA'!$AM$12)*1</f>
        <v>12.796774750698974</v>
      </c>
      <c r="Z221" s="6"/>
      <c r="AA221" s="6"/>
      <c r="AB221" s="6">
        <f>$K$221*$V$221</f>
        <v>19350</v>
      </c>
      <c r="AC221" s="6">
        <f>$M$221*$W$221</f>
        <v>0</v>
      </c>
      <c r="AD221" s="6">
        <f>$O$221*$X$221</f>
        <v>0</v>
      </c>
      <c r="AE221" s="6">
        <f ca="1">$K$221*$Y$221</f>
        <v>19195.162126048461</v>
      </c>
      <c r="AF221" s="6">
        <f>$M$221*$Z$221</f>
        <v>0</v>
      </c>
      <c r="AG221" s="6">
        <f>$O$221*$AA$221</f>
        <v>0</v>
      </c>
    </row>
    <row r="222" spans="1:33" ht="11.25" customHeight="1" x14ac:dyDescent="0.25">
      <c r="A222" s="4" t="s">
        <v>21</v>
      </c>
      <c r="B222" s="4" t="s">
        <v>39</v>
      </c>
      <c r="C222" s="4" t="s">
        <v>66</v>
      </c>
      <c r="D222" s="4" t="s">
        <v>25</v>
      </c>
      <c r="E222" s="4" t="s">
        <v>25</v>
      </c>
      <c r="F222" s="4" t="s">
        <v>25</v>
      </c>
      <c r="G222" s="4" t="s">
        <v>70</v>
      </c>
      <c r="H222" s="4" t="s">
        <v>25</v>
      </c>
      <c r="I222" s="5">
        <v>44409</v>
      </c>
      <c r="J222" s="6">
        <v>11000</v>
      </c>
      <c r="K222" s="6">
        <v>5500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4" t="s">
        <v>68</v>
      </c>
      <c r="R222" s="4">
        <v>28957</v>
      </c>
      <c r="S222" s="6">
        <v>16</v>
      </c>
      <c r="T222" s="6">
        <v>0</v>
      </c>
      <c r="U222" s="6">
        <v>0</v>
      </c>
      <c r="V222" s="6">
        <f>IF(ISERROR(VLOOKUP($S$222,'TAR FIN'!$A$1:$O$104,15,0)),0,VLOOKUP($S$222,'TAR FIN'!$A$1:$O$104,15,0))</f>
        <v>12.9</v>
      </c>
      <c r="W222" s="6">
        <f>IF(ISERROR(VLOOKUP($T$222,'TAR FIN'!$A$1:$O$104,15,0)),0,VLOOKUP($T$222,'TAR FIN'!$A$1:$O$104,15,0))</f>
        <v>0</v>
      </c>
      <c r="X222" s="6">
        <f>IF(ISERROR(VLOOKUP($U$222,'TAR FIN'!$A$1:$O$104,15,0)),0,VLOOKUP($U$222,'TAR FIN'!$A$1:$O$104,15,0))</f>
        <v>0</v>
      </c>
      <c r="Y222" s="6">
        <f ca="1">('TUSD BE'!$AM$12+'TUSD BF'!$AM$12+'TUSD CVA'!$AM$12)*1</f>
        <v>12.796774750698974</v>
      </c>
      <c r="Z222" s="6"/>
      <c r="AA222" s="6"/>
      <c r="AB222" s="6">
        <f>$K$222*$V$222</f>
        <v>70950</v>
      </c>
      <c r="AC222" s="6">
        <f>$M$222*$W$222</f>
        <v>0</v>
      </c>
      <c r="AD222" s="6">
        <f>$O$222*$X$222</f>
        <v>0</v>
      </c>
      <c r="AE222" s="6">
        <f ca="1">$K$222*$Y$222</f>
        <v>70382.261128844359</v>
      </c>
      <c r="AF222" s="6">
        <f>$M$222*$Z$222</f>
        <v>0</v>
      </c>
      <c r="AG222" s="6">
        <f>$O$222*$AA$222</f>
        <v>0</v>
      </c>
    </row>
    <row r="223" spans="1:33" ht="11.25" customHeight="1" x14ac:dyDescent="0.25">
      <c r="A223" s="4" t="s">
        <v>27</v>
      </c>
      <c r="B223" s="4" t="s">
        <v>39</v>
      </c>
      <c r="C223" s="4" t="s">
        <v>66</v>
      </c>
      <c r="D223" s="4" t="s">
        <v>25</v>
      </c>
      <c r="E223" s="4" t="s">
        <v>25</v>
      </c>
      <c r="F223" s="4" t="s">
        <v>25</v>
      </c>
      <c r="G223" s="4" t="s">
        <v>70</v>
      </c>
      <c r="H223" s="4" t="s">
        <v>25</v>
      </c>
      <c r="I223" s="5">
        <v>44409</v>
      </c>
      <c r="J223" s="6">
        <v>-536</v>
      </c>
      <c r="K223" s="6">
        <v>-536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4" t="s">
        <v>68</v>
      </c>
      <c r="R223" s="4">
        <v>28957</v>
      </c>
      <c r="S223" s="6">
        <v>16</v>
      </c>
      <c r="T223" s="6">
        <v>0</v>
      </c>
      <c r="U223" s="6">
        <v>0</v>
      </c>
      <c r="V223" s="6">
        <f>IF(ISERROR(VLOOKUP($S$223,'TAR FIN'!$A$1:$O$104,15,0)),0,VLOOKUP($S$223,'TAR FIN'!$A$1:$O$104,15,0))</f>
        <v>12.9</v>
      </c>
      <c r="W223" s="6">
        <f>IF(ISERROR(VLOOKUP($T$223,'TAR FIN'!$A$1:$O$104,15,0)),0,VLOOKUP($T$223,'TAR FIN'!$A$1:$O$104,15,0))</f>
        <v>0</v>
      </c>
      <c r="X223" s="6">
        <f>IF(ISERROR(VLOOKUP($U$223,'TAR FIN'!$A$1:$O$104,15,0)),0,VLOOKUP($U$223,'TAR FIN'!$A$1:$O$104,15,0))</f>
        <v>0</v>
      </c>
      <c r="Y223" s="6">
        <f ca="1">('TUSD BE'!$AM$12+'TUSD BF'!$AM$12+'TUSD CVA'!$AM$12)*1</f>
        <v>12.796774750698974</v>
      </c>
      <c r="Z223" s="6"/>
      <c r="AA223" s="6"/>
      <c r="AB223" s="6">
        <f>$K$223*$V$223</f>
        <v>-6914.4000000000005</v>
      </c>
      <c r="AC223" s="6">
        <f>$M$223*$W$223</f>
        <v>0</v>
      </c>
      <c r="AD223" s="6">
        <f>$O$223*$X$223</f>
        <v>0</v>
      </c>
      <c r="AE223" s="6">
        <f ca="1">$K$223*$Y$223</f>
        <v>-6859.0712663746499</v>
      </c>
      <c r="AF223" s="6">
        <f>$M$223*$Z$223</f>
        <v>0</v>
      </c>
      <c r="AG223" s="6">
        <f>$O$223*$AA$223</f>
        <v>0</v>
      </c>
    </row>
    <row r="224" spans="1:33" ht="11.25" customHeight="1" x14ac:dyDescent="0.25">
      <c r="A224" s="4" t="s">
        <v>21</v>
      </c>
      <c r="B224" s="4" t="s">
        <v>39</v>
      </c>
      <c r="C224" s="4" t="s">
        <v>66</v>
      </c>
      <c r="D224" s="4" t="s">
        <v>25</v>
      </c>
      <c r="E224" s="4" t="s">
        <v>25</v>
      </c>
      <c r="F224" s="4" t="s">
        <v>25</v>
      </c>
      <c r="G224" s="4" t="s">
        <v>71</v>
      </c>
      <c r="H224" s="4" t="s">
        <v>25</v>
      </c>
      <c r="I224" s="5">
        <v>44409</v>
      </c>
      <c r="J224" s="6">
        <v>10050</v>
      </c>
      <c r="K224" s="6">
        <v>5025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4" t="s">
        <v>68</v>
      </c>
      <c r="R224" s="4">
        <v>29041</v>
      </c>
      <c r="S224" s="6">
        <v>16</v>
      </c>
      <c r="T224" s="6">
        <v>0</v>
      </c>
      <c r="U224" s="6">
        <v>0</v>
      </c>
      <c r="V224" s="6">
        <f>IF(ISERROR(VLOOKUP($S$224,'TAR FIN'!$A$1:$O$104,15,0)),0,VLOOKUP($S$224,'TAR FIN'!$A$1:$O$104,15,0))</f>
        <v>12.9</v>
      </c>
      <c r="W224" s="6">
        <f>IF(ISERROR(VLOOKUP($T$224,'TAR FIN'!$A$1:$O$104,15,0)),0,VLOOKUP($T$224,'TAR FIN'!$A$1:$O$104,15,0))</f>
        <v>0</v>
      </c>
      <c r="X224" s="6">
        <f>IF(ISERROR(VLOOKUP($U$224,'TAR FIN'!$A$1:$O$104,15,0)),0,VLOOKUP($U$224,'TAR FIN'!$A$1:$O$104,15,0))</f>
        <v>0</v>
      </c>
      <c r="Y224" s="6">
        <f ca="1">('TUSD BE'!$AM$12+'TUSD BF'!$AM$12+'TUSD CVA'!$AM$12)*1</f>
        <v>12.796774750698974</v>
      </c>
      <c r="Z224" s="6"/>
      <c r="AA224" s="6"/>
      <c r="AB224" s="6">
        <f>$K$224*$V$224</f>
        <v>64822.5</v>
      </c>
      <c r="AC224" s="6">
        <f>$M$224*$W$224</f>
        <v>0</v>
      </c>
      <c r="AD224" s="6">
        <f>$O$224*$X$224</f>
        <v>0</v>
      </c>
      <c r="AE224" s="6">
        <f ca="1">$K$224*$Y$224</f>
        <v>64303.793122262345</v>
      </c>
      <c r="AF224" s="6">
        <f>$M$224*$Z$224</f>
        <v>0</v>
      </c>
      <c r="AG224" s="6">
        <f>$O$224*$AA$224</f>
        <v>0</v>
      </c>
    </row>
    <row r="225" spans="1:33" ht="11.25" customHeight="1" x14ac:dyDescent="0.25">
      <c r="A225" s="4" t="s">
        <v>21</v>
      </c>
      <c r="B225" s="4" t="s">
        <v>39</v>
      </c>
      <c r="C225" s="4" t="s">
        <v>66</v>
      </c>
      <c r="D225" s="4" t="s">
        <v>25</v>
      </c>
      <c r="E225" s="4" t="s">
        <v>25</v>
      </c>
      <c r="F225" s="4" t="s">
        <v>25</v>
      </c>
      <c r="G225" s="4" t="s">
        <v>73</v>
      </c>
      <c r="H225" s="4" t="s">
        <v>25</v>
      </c>
      <c r="I225" s="5">
        <v>44409</v>
      </c>
      <c r="J225" s="6">
        <v>44450</v>
      </c>
      <c r="K225" s="6">
        <v>22225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4" t="s">
        <v>68</v>
      </c>
      <c r="R225" s="4">
        <v>29092</v>
      </c>
      <c r="S225" s="6">
        <v>16</v>
      </c>
      <c r="T225" s="6">
        <v>0</v>
      </c>
      <c r="U225" s="6">
        <v>0</v>
      </c>
      <c r="V225" s="6">
        <f>IF(ISERROR(VLOOKUP($S$225,'TAR FIN'!$A$1:$O$104,15,0)),0,VLOOKUP($S$225,'TAR FIN'!$A$1:$O$104,15,0))</f>
        <v>12.9</v>
      </c>
      <c r="W225" s="6">
        <f>IF(ISERROR(VLOOKUP($T$225,'TAR FIN'!$A$1:$O$104,15,0)),0,VLOOKUP($T$225,'TAR FIN'!$A$1:$O$104,15,0))</f>
        <v>0</v>
      </c>
      <c r="X225" s="6">
        <f>IF(ISERROR(VLOOKUP($U$225,'TAR FIN'!$A$1:$O$104,15,0)),0,VLOOKUP($U$225,'TAR FIN'!$A$1:$O$104,15,0))</f>
        <v>0</v>
      </c>
      <c r="Y225" s="6">
        <f ca="1">('TUSD BE'!$AM$12+'TUSD BF'!$AM$12+'TUSD CVA'!$AM$12)*1</f>
        <v>12.796774750698974</v>
      </c>
      <c r="Z225" s="6"/>
      <c r="AA225" s="6"/>
      <c r="AB225" s="6">
        <f>$K$225*$V$225</f>
        <v>286702.5</v>
      </c>
      <c r="AC225" s="6">
        <f>$M$225*$W$225</f>
        <v>0</v>
      </c>
      <c r="AD225" s="6">
        <f>$O$225*$X$225</f>
        <v>0</v>
      </c>
      <c r="AE225" s="6">
        <f ca="1">$K$225*$Y$225</f>
        <v>284408.31883428473</v>
      </c>
      <c r="AF225" s="6">
        <f>$M$225*$Z$225</f>
        <v>0</v>
      </c>
      <c r="AG225" s="6">
        <f>$O$225*$AA$225</f>
        <v>0</v>
      </c>
    </row>
    <row r="226" spans="1:33" ht="11.25" customHeight="1" x14ac:dyDescent="0.25">
      <c r="A226" s="4" t="s">
        <v>21</v>
      </c>
      <c r="B226" s="4" t="s">
        <v>39</v>
      </c>
      <c r="C226" s="4" t="s">
        <v>66</v>
      </c>
      <c r="D226" s="4" t="s">
        <v>25</v>
      </c>
      <c r="E226" s="4" t="s">
        <v>25</v>
      </c>
      <c r="F226" s="4" t="s">
        <v>25</v>
      </c>
      <c r="G226" s="4" t="s">
        <v>75</v>
      </c>
      <c r="H226" s="4" t="s">
        <v>25</v>
      </c>
      <c r="I226" s="5">
        <v>44409</v>
      </c>
      <c r="J226" s="6">
        <v>30000</v>
      </c>
      <c r="K226" s="6">
        <v>15000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4" t="s">
        <v>68</v>
      </c>
      <c r="R226" s="4">
        <v>33663</v>
      </c>
      <c r="S226" s="6">
        <v>16</v>
      </c>
      <c r="T226" s="6">
        <v>0</v>
      </c>
      <c r="U226" s="6">
        <v>0</v>
      </c>
      <c r="V226" s="6">
        <f>IF(ISERROR(VLOOKUP($S$226,'TAR FIN'!$A$1:$O$104,15,0)),0,VLOOKUP($S$226,'TAR FIN'!$A$1:$O$104,15,0))</f>
        <v>12.9</v>
      </c>
      <c r="W226" s="6">
        <f>IF(ISERROR(VLOOKUP($T$226,'TAR FIN'!$A$1:$O$104,15,0)),0,VLOOKUP($T$226,'TAR FIN'!$A$1:$O$104,15,0))</f>
        <v>0</v>
      </c>
      <c r="X226" s="6">
        <f>IF(ISERROR(VLOOKUP($U$226,'TAR FIN'!$A$1:$O$104,15,0)),0,VLOOKUP($U$226,'TAR FIN'!$A$1:$O$104,15,0))</f>
        <v>0</v>
      </c>
      <c r="Y226" s="6">
        <f ca="1">('TUSD BE'!$AM$12+'TUSD BF'!$AM$12+'TUSD CVA'!$AM$12)*1</f>
        <v>12.796774750698974</v>
      </c>
      <c r="Z226" s="6"/>
      <c r="AA226" s="6"/>
      <c r="AB226" s="6">
        <f>$K$226*$V$226</f>
        <v>193500</v>
      </c>
      <c r="AC226" s="6">
        <f>$M$226*$W$226</f>
        <v>0</v>
      </c>
      <c r="AD226" s="6">
        <f>$O$226*$X$226</f>
        <v>0</v>
      </c>
      <c r="AE226" s="6">
        <f ca="1">$K$226*$Y$226</f>
        <v>191951.62126048462</v>
      </c>
      <c r="AF226" s="6">
        <f>$M$226*$Z$226</f>
        <v>0</v>
      </c>
      <c r="AG226" s="6">
        <f>$O$226*$AA$226</f>
        <v>0</v>
      </c>
    </row>
    <row r="227" spans="1:33" ht="11.25" customHeight="1" x14ac:dyDescent="0.25">
      <c r="A227" s="4" t="s">
        <v>21</v>
      </c>
      <c r="B227" s="4" t="s">
        <v>39</v>
      </c>
      <c r="C227" s="4" t="s">
        <v>66</v>
      </c>
      <c r="D227" s="4" t="s">
        <v>25</v>
      </c>
      <c r="E227" s="4" t="s">
        <v>25</v>
      </c>
      <c r="F227" s="4" t="s">
        <v>25</v>
      </c>
      <c r="G227" s="4" t="s">
        <v>76</v>
      </c>
      <c r="H227" s="4" t="s">
        <v>25</v>
      </c>
      <c r="I227" s="5">
        <v>44409</v>
      </c>
      <c r="J227" s="6">
        <v>30000</v>
      </c>
      <c r="K227" s="6">
        <v>15000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4" t="s">
        <v>68</v>
      </c>
      <c r="R227" s="4">
        <v>33664</v>
      </c>
      <c r="S227" s="6">
        <v>16</v>
      </c>
      <c r="T227" s="6">
        <v>0</v>
      </c>
      <c r="U227" s="6">
        <v>0</v>
      </c>
      <c r="V227" s="6">
        <f>IF(ISERROR(VLOOKUP($S$227,'TAR FIN'!$A$1:$O$104,15,0)),0,VLOOKUP($S$227,'TAR FIN'!$A$1:$O$104,15,0))</f>
        <v>12.9</v>
      </c>
      <c r="W227" s="6">
        <f>IF(ISERROR(VLOOKUP($T$227,'TAR FIN'!$A$1:$O$104,15,0)),0,VLOOKUP($T$227,'TAR FIN'!$A$1:$O$104,15,0))</f>
        <v>0</v>
      </c>
      <c r="X227" s="6">
        <f>IF(ISERROR(VLOOKUP($U$227,'TAR FIN'!$A$1:$O$104,15,0)),0,VLOOKUP($U$227,'TAR FIN'!$A$1:$O$104,15,0))</f>
        <v>0</v>
      </c>
      <c r="Y227" s="6">
        <f ca="1">('TUSD BE'!$AM$12+'TUSD BF'!$AM$12+'TUSD CVA'!$AM$12)*1</f>
        <v>12.796774750698974</v>
      </c>
      <c r="Z227" s="6"/>
      <c r="AA227" s="6"/>
      <c r="AB227" s="6">
        <f>$K$227*$V$227</f>
        <v>193500</v>
      </c>
      <c r="AC227" s="6">
        <f>$M$227*$W$227</f>
        <v>0</v>
      </c>
      <c r="AD227" s="6">
        <f>$O$227*$X$227</f>
        <v>0</v>
      </c>
      <c r="AE227" s="6">
        <f ca="1">$K$227*$Y$227</f>
        <v>191951.62126048462</v>
      </c>
      <c r="AF227" s="6">
        <f>$M$227*$Z$227</f>
        <v>0</v>
      </c>
      <c r="AG227" s="6">
        <f>$O$227*$AA$227</f>
        <v>0</v>
      </c>
    </row>
    <row r="228" spans="1:33" ht="11.25" customHeight="1" x14ac:dyDescent="0.25">
      <c r="A228" s="4" t="s">
        <v>21</v>
      </c>
      <c r="B228" s="4" t="s">
        <v>39</v>
      </c>
      <c r="C228" s="4" t="s">
        <v>66</v>
      </c>
      <c r="D228" s="4" t="s">
        <v>25</v>
      </c>
      <c r="E228" s="4" t="s">
        <v>25</v>
      </c>
      <c r="F228" s="4" t="s">
        <v>25</v>
      </c>
      <c r="G228" s="4" t="s">
        <v>77</v>
      </c>
      <c r="H228" s="4" t="s">
        <v>25</v>
      </c>
      <c r="I228" s="5">
        <v>44409</v>
      </c>
      <c r="J228" s="6">
        <v>30000</v>
      </c>
      <c r="K228" s="6">
        <v>15000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4" t="s">
        <v>68</v>
      </c>
      <c r="R228" s="4">
        <v>33665</v>
      </c>
      <c r="S228" s="6">
        <v>16</v>
      </c>
      <c r="T228" s="6">
        <v>0</v>
      </c>
      <c r="U228" s="6">
        <v>0</v>
      </c>
      <c r="V228" s="6">
        <f>IF(ISERROR(VLOOKUP($S$228,'TAR FIN'!$A$1:$O$104,15,0)),0,VLOOKUP($S$228,'TAR FIN'!$A$1:$O$104,15,0))</f>
        <v>12.9</v>
      </c>
      <c r="W228" s="6">
        <f>IF(ISERROR(VLOOKUP($T$228,'TAR FIN'!$A$1:$O$104,15,0)),0,VLOOKUP($T$228,'TAR FIN'!$A$1:$O$104,15,0))</f>
        <v>0</v>
      </c>
      <c r="X228" s="6">
        <f>IF(ISERROR(VLOOKUP($U$228,'TAR FIN'!$A$1:$O$104,15,0)),0,VLOOKUP($U$228,'TAR FIN'!$A$1:$O$104,15,0))</f>
        <v>0</v>
      </c>
      <c r="Y228" s="6">
        <f ca="1">('TUSD BE'!$AM$12+'TUSD BF'!$AM$12+'TUSD CVA'!$AM$12)*1</f>
        <v>12.796774750698974</v>
      </c>
      <c r="Z228" s="6"/>
      <c r="AA228" s="6"/>
      <c r="AB228" s="6">
        <f>$K$228*$V$228</f>
        <v>193500</v>
      </c>
      <c r="AC228" s="6">
        <f>$M$228*$W$228</f>
        <v>0</v>
      </c>
      <c r="AD228" s="6">
        <f>$O$228*$X$228</f>
        <v>0</v>
      </c>
      <c r="AE228" s="6">
        <f ca="1">$K$228*$Y$228</f>
        <v>191951.62126048462</v>
      </c>
      <c r="AF228" s="6">
        <f>$M$228*$Z$228</f>
        <v>0</v>
      </c>
      <c r="AG228" s="6">
        <f>$O$228*$AA$228</f>
        <v>0</v>
      </c>
    </row>
    <row r="229" spans="1:33" ht="11.25" customHeight="1" x14ac:dyDescent="0.25">
      <c r="A229" s="4" t="s">
        <v>21</v>
      </c>
      <c r="B229" s="4" t="s">
        <v>39</v>
      </c>
      <c r="C229" s="4" t="s">
        <v>66</v>
      </c>
      <c r="D229" s="4" t="s">
        <v>25</v>
      </c>
      <c r="E229" s="4" t="s">
        <v>25</v>
      </c>
      <c r="F229" s="4" t="s">
        <v>25</v>
      </c>
      <c r="G229" s="4" t="s">
        <v>78</v>
      </c>
      <c r="H229" s="4" t="s">
        <v>25</v>
      </c>
      <c r="I229" s="5">
        <v>44409</v>
      </c>
      <c r="J229" s="6">
        <v>27000</v>
      </c>
      <c r="K229" s="6">
        <v>13500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4" t="s">
        <v>68</v>
      </c>
      <c r="R229" s="4">
        <v>34085</v>
      </c>
      <c r="S229" s="6">
        <v>16</v>
      </c>
      <c r="T229" s="6">
        <v>0</v>
      </c>
      <c r="U229" s="6">
        <v>0</v>
      </c>
      <c r="V229" s="6">
        <f>IF(ISERROR(VLOOKUP($S$229,'TAR FIN'!$A$1:$O$104,15,0)),0,VLOOKUP($S$229,'TAR FIN'!$A$1:$O$104,15,0))</f>
        <v>12.9</v>
      </c>
      <c r="W229" s="6">
        <f>IF(ISERROR(VLOOKUP($T$229,'TAR FIN'!$A$1:$O$104,15,0)),0,VLOOKUP($T$229,'TAR FIN'!$A$1:$O$104,15,0))</f>
        <v>0</v>
      </c>
      <c r="X229" s="6">
        <f>IF(ISERROR(VLOOKUP($U$229,'TAR FIN'!$A$1:$O$104,15,0)),0,VLOOKUP($U$229,'TAR FIN'!$A$1:$O$104,15,0))</f>
        <v>0</v>
      </c>
      <c r="Y229" s="6">
        <f ca="1">('TUSD BE'!$AM$12+'TUSD BF'!$AM$12+'TUSD CVA'!$AM$12)*1</f>
        <v>12.796774750698974</v>
      </c>
      <c r="Z229" s="6"/>
      <c r="AA229" s="6"/>
      <c r="AB229" s="6">
        <f>$K$229*$V$229</f>
        <v>174150</v>
      </c>
      <c r="AC229" s="6">
        <f>$M$229*$W$229</f>
        <v>0</v>
      </c>
      <c r="AD229" s="6">
        <f>$O$229*$X$229</f>
        <v>0</v>
      </c>
      <c r="AE229" s="6">
        <f ca="1">$K$229*$Y$229</f>
        <v>172756.45913443615</v>
      </c>
      <c r="AF229" s="6">
        <f>$M$229*$Z$229</f>
        <v>0</v>
      </c>
      <c r="AG229" s="6">
        <f>$O$229*$AA$229</f>
        <v>0</v>
      </c>
    </row>
    <row r="230" spans="1:33" ht="11.25" customHeight="1" x14ac:dyDescent="0.25">
      <c r="A230" s="4" t="s">
        <v>21</v>
      </c>
      <c r="B230" s="4" t="s">
        <v>39</v>
      </c>
      <c r="C230" s="4" t="s">
        <v>66</v>
      </c>
      <c r="D230" s="4" t="s">
        <v>25</v>
      </c>
      <c r="E230" s="4" t="s">
        <v>25</v>
      </c>
      <c r="F230" s="4" t="s">
        <v>25</v>
      </c>
      <c r="G230" s="4" t="s">
        <v>79</v>
      </c>
      <c r="H230" s="4" t="s">
        <v>25</v>
      </c>
      <c r="I230" s="5">
        <v>44409</v>
      </c>
      <c r="J230" s="6">
        <v>27000</v>
      </c>
      <c r="K230" s="6">
        <v>13500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4" t="s">
        <v>68</v>
      </c>
      <c r="R230" s="4">
        <v>34086</v>
      </c>
      <c r="S230" s="6">
        <v>16</v>
      </c>
      <c r="T230" s="6">
        <v>0</v>
      </c>
      <c r="U230" s="6">
        <v>0</v>
      </c>
      <c r="V230" s="6">
        <f>IF(ISERROR(VLOOKUP($S$230,'TAR FIN'!$A$1:$O$104,15,0)),0,VLOOKUP($S$230,'TAR FIN'!$A$1:$O$104,15,0))</f>
        <v>12.9</v>
      </c>
      <c r="W230" s="6">
        <f>IF(ISERROR(VLOOKUP($T$230,'TAR FIN'!$A$1:$O$104,15,0)),0,VLOOKUP($T$230,'TAR FIN'!$A$1:$O$104,15,0))</f>
        <v>0</v>
      </c>
      <c r="X230" s="6">
        <f>IF(ISERROR(VLOOKUP($U$230,'TAR FIN'!$A$1:$O$104,15,0)),0,VLOOKUP($U$230,'TAR FIN'!$A$1:$O$104,15,0))</f>
        <v>0</v>
      </c>
      <c r="Y230" s="6">
        <f ca="1">('TUSD BE'!$AM$12+'TUSD BF'!$AM$12+'TUSD CVA'!$AM$12)*1</f>
        <v>12.796774750698974</v>
      </c>
      <c r="Z230" s="6"/>
      <c r="AA230" s="6"/>
      <c r="AB230" s="6">
        <f>$K$230*$V$230</f>
        <v>174150</v>
      </c>
      <c r="AC230" s="6">
        <f>$M$230*$W$230</f>
        <v>0</v>
      </c>
      <c r="AD230" s="6">
        <f>$O$230*$X$230</f>
        <v>0</v>
      </c>
      <c r="AE230" s="6">
        <f ca="1">$K$230*$Y$230</f>
        <v>172756.45913443615</v>
      </c>
      <c r="AF230" s="6">
        <f>$M$230*$Z$230</f>
        <v>0</v>
      </c>
      <c r="AG230" s="6">
        <f>$O$230*$AA$230</f>
        <v>0</v>
      </c>
    </row>
    <row r="231" spans="1:33" ht="11.25" customHeight="1" x14ac:dyDescent="0.25">
      <c r="A231" s="4" t="s">
        <v>21</v>
      </c>
      <c r="B231" s="4" t="s">
        <v>39</v>
      </c>
      <c r="C231" s="4" t="s">
        <v>66</v>
      </c>
      <c r="D231" s="4" t="s">
        <v>25</v>
      </c>
      <c r="E231" s="4" t="s">
        <v>25</v>
      </c>
      <c r="F231" s="4" t="s">
        <v>25</v>
      </c>
      <c r="G231" s="4" t="s">
        <v>67</v>
      </c>
      <c r="H231" s="4" t="s">
        <v>25</v>
      </c>
      <c r="I231" s="5">
        <v>44440</v>
      </c>
      <c r="J231" s="6">
        <v>3500</v>
      </c>
      <c r="K231" s="6">
        <v>3500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4" t="s">
        <v>68</v>
      </c>
      <c r="R231" s="4">
        <v>27402</v>
      </c>
      <c r="S231" s="6">
        <v>16</v>
      </c>
      <c r="T231" s="6">
        <v>0</v>
      </c>
      <c r="U231" s="6">
        <v>0</v>
      </c>
      <c r="V231" s="6">
        <f>IF(ISERROR(VLOOKUP($S$231,'TAR FIN'!$A$1:$O$104,15,0)),0,VLOOKUP($S$231,'TAR FIN'!$A$1:$O$104,15,0))</f>
        <v>12.9</v>
      </c>
      <c r="W231" s="6">
        <f>IF(ISERROR(VLOOKUP($T$231,'TAR FIN'!$A$1:$O$104,15,0)),0,VLOOKUP($T$231,'TAR FIN'!$A$1:$O$104,15,0))</f>
        <v>0</v>
      </c>
      <c r="X231" s="6">
        <f>IF(ISERROR(VLOOKUP($U$231,'TAR FIN'!$A$1:$O$104,15,0)),0,VLOOKUP($U$231,'TAR FIN'!$A$1:$O$104,15,0))</f>
        <v>0</v>
      </c>
      <c r="Y231" s="6">
        <f ca="1">('TUSD BE'!$AM$12+'TUSD BF'!$AM$12+'TUSD CVA'!$AM$12)*1</f>
        <v>12.796774750698974</v>
      </c>
      <c r="Z231" s="6"/>
      <c r="AA231" s="6"/>
      <c r="AB231" s="6">
        <f>$K$231*$V$231</f>
        <v>45150</v>
      </c>
      <c r="AC231" s="6">
        <f>$M$231*$W$231</f>
        <v>0</v>
      </c>
      <c r="AD231" s="6">
        <f>$O$231*$X$231</f>
        <v>0</v>
      </c>
      <c r="AE231" s="6">
        <f ca="1">$K$231*$Y$231</f>
        <v>44788.711627446406</v>
      </c>
      <c r="AF231" s="6">
        <f>$M$231*$Z$231</f>
        <v>0</v>
      </c>
      <c r="AG231" s="6">
        <f>$O$231*$AA$231</f>
        <v>0</v>
      </c>
    </row>
    <row r="232" spans="1:33" ht="11.25" customHeight="1" x14ac:dyDescent="0.25">
      <c r="A232" s="4" t="s">
        <v>21</v>
      </c>
      <c r="B232" s="4" t="s">
        <v>39</v>
      </c>
      <c r="C232" s="4" t="s">
        <v>66</v>
      </c>
      <c r="D232" s="4" t="s">
        <v>25</v>
      </c>
      <c r="E232" s="4" t="s">
        <v>25</v>
      </c>
      <c r="F232" s="4" t="s">
        <v>25</v>
      </c>
      <c r="G232" s="4" t="s">
        <v>69</v>
      </c>
      <c r="H232" s="4" t="s">
        <v>25</v>
      </c>
      <c r="I232" s="5">
        <v>44440</v>
      </c>
      <c r="J232" s="6">
        <v>3000</v>
      </c>
      <c r="K232" s="6">
        <v>1500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4" t="s">
        <v>68</v>
      </c>
      <c r="R232" s="4">
        <v>28515</v>
      </c>
      <c r="S232" s="6">
        <v>16</v>
      </c>
      <c r="T232" s="6">
        <v>0</v>
      </c>
      <c r="U232" s="6">
        <v>0</v>
      </c>
      <c r="V232" s="6">
        <f>IF(ISERROR(VLOOKUP($S$232,'TAR FIN'!$A$1:$O$104,15,0)),0,VLOOKUP($S$232,'TAR FIN'!$A$1:$O$104,15,0))</f>
        <v>12.9</v>
      </c>
      <c r="W232" s="6">
        <f>IF(ISERROR(VLOOKUP($T$232,'TAR FIN'!$A$1:$O$104,15,0)),0,VLOOKUP($T$232,'TAR FIN'!$A$1:$O$104,15,0))</f>
        <v>0</v>
      </c>
      <c r="X232" s="6">
        <f>IF(ISERROR(VLOOKUP($U$232,'TAR FIN'!$A$1:$O$104,15,0)),0,VLOOKUP($U$232,'TAR FIN'!$A$1:$O$104,15,0))</f>
        <v>0</v>
      </c>
      <c r="Y232" s="6">
        <f ca="1">('TUSD BE'!$AM$12+'TUSD BF'!$AM$12+'TUSD CVA'!$AM$12)*1</f>
        <v>12.796774750698974</v>
      </c>
      <c r="Z232" s="6"/>
      <c r="AA232" s="6"/>
      <c r="AB232" s="6">
        <f>$K$232*$V$232</f>
        <v>19350</v>
      </c>
      <c r="AC232" s="6">
        <f>$M$232*$W$232</f>
        <v>0</v>
      </c>
      <c r="AD232" s="6">
        <f>$O$232*$X$232</f>
        <v>0</v>
      </c>
      <c r="AE232" s="6">
        <f ca="1">$K$232*$Y$232</f>
        <v>19195.162126048461</v>
      </c>
      <c r="AF232" s="6">
        <f>$M$232*$Z$232</f>
        <v>0</v>
      </c>
      <c r="AG232" s="6">
        <f>$O$232*$AA$232</f>
        <v>0</v>
      </c>
    </row>
    <row r="233" spans="1:33" ht="11.25" customHeight="1" x14ac:dyDescent="0.25">
      <c r="A233" s="4" t="s">
        <v>21</v>
      </c>
      <c r="B233" s="4" t="s">
        <v>39</v>
      </c>
      <c r="C233" s="4" t="s">
        <v>66</v>
      </c>
      <c r="D233" s="4" t="s">
        <v>25</v>
      </c>
      <c r="E233" s="4" t="s">
        <v>25</v>
      </c>
      <c r="F233" s="4" t="s">
        <v>25</v>
      </c>
      <c r="G233" s="4" t="s">
        <v>70</v>
      </c>
      <c r="H233" s="4" t="s">
        <v>25</v>
      </c>
      <c r="I233" s="5">
        <v>44440</v>
      </c>
      <c r="J233" s="6">
        <v>11000</v>
      </c>
      <c r="K233" s="6">
        <v>5500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4" t="s">
        <v>68</v>
      </c>
      <c r="R233" s="4">
        <v>28957</v>
      </c>
      <c r="S233" s="6">
        <v>16</v>
      </c>
      <c r="T233" s="6">
        <v>0</v>
      </c>
      <c r="U233" s="6">
        <v>0</v>
      </c>
      <c r="V233" s="6">
        <f>IF(ISERROR(VLOOKUP($S$233,'TAR FIN'!$A$1:$O$104,15,0)),0,VLOOKUP($S$233,'TAR FIN'!$A$1:$O$104,15,0))</f>
        <v>12.9</v>
      </c>
      <c r="W233" s="6">
        <f>IF(ISERROR(VLOOKUP($T$233,'TAR FIN'!$A$1:$O$104,15,0)),0,VLOOKUP($T$233,'TAR FIN'!$A$1:$O$104,15,0))</f>
        <v>0</v>
      </c>
      <c r="X233" s="6">
        <f>IF(ISERROR(VLOOKUP($U$233,'TAR FIN'!$A$1:$O$104,15,0)),0,VLOOKUP($U$233,'TAR FIN'!$A$1:$O$104,15,0))</f>
        <v>0</v>
      </c>
      <c r="Y233" s="6">
        <f ca="1">('TUSD BE'!$AM$12+'TUSD BF'!$AM$12+'TUSD CVA'!$AM$12)*1</f>
        <v>12.796774750698974</v>
      </c>
      <c r="Z233" s="6"/>
      <c r="AA233" s="6"/>
      <c r="AB233" s="6">
        <f>$K$233*$V$233</f>
        <v>70950</v>
      </c>
      <c r="AC233" s="6">
        <f>$M$233*$W$233</f>
        <v>0</v>
      </c>
      <c r="AD233" s="6">
        <f>$O$233*$X$233</f>
        <v>0</v>
      </c>
      <c r="AE233" s="6">
        <f ca="1">$K$233*$Y$233</f>
        <v>70382.261128844359</v>
      </c>
      <c r="AF233" s="6">
        <f>$M$233*$Z$233</f>
        <v>0</v>
      </c>
      <c r="AG233" s="6">
        <f>$O$233*$AA$233</f>
        <v>0</v>
      </c>
    </row>
    <row r="234" spans="1:33" ht="11.25" customHeight="1" x14ac:dyDescent="0.25">
      <c r="A234" s="4" t="s">
        <v>21</v>
      </c>
      <c r="B234" s="4" t="s">
        <v>39</v>
      </c>
      <c r="C234" s="4" t="s">
        <v>66</v>
      </c>
      <c r="D234" s="4" t="s">
        <v>25</v>
      </c>
      <c r="E234" s="4" t="s">
        <v>25</v>
      </c>
      <c r="F234" s="4" t="s">
        <v>25</v>
      </c>
      <c r="G234" s="4" t="s">
        <v>71</v>
      </c>
      <c r="H234" s="4" t="s">
        <v>25</v>
      </c>
      <c r="I234" s="5">
        <v>44440</v>
      </c>
      <c r="J234" s="6">
        <v>10050</v>
      </c>
      <c r="K234" s="6">
        <v>5025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4" t="s">
        <v>68</v>
      </c>
      <c r="R234" s="4">
        <v>29041</v>
      </c>
      <c r="S234" s="6">
        <v>16</v>
      </c>
      <c r="T234" s="6">
        <v>0</v>
      </c>
      <c r="U234" s="6">
        <v>0</v>
      </c>
      <c r="V234" s="6">
        <f>IF(ISERROR(VLOOKUP($S$234,'TAR FIN'!$A$1:$O$104,15,0)),0,VLOOKUP($S$234,'TAR FIN'!$A$1:$O$104,15,0))</f>
        <v>12.9</v>
      </c>
      <c r="W234" s="6">
        <f>IF(ISERROR(VLOOKUP($T$234,'TAR FIN'!$A$1:$O$104,15,0)),0,VLOOKUP($T$234,'TAR FIN'!$A$1:$O$104,15,0))</f>
        <v>0</v>
      </c>
      <c r="X234" s="6">
        <f>IF(ISERROR(VLOOKUP($U$234,'TAR FIN'!$A$1:$O$104,15,0)),0,VLOOKUP($U$234,'TAR FIN'!$A$1:$O$104,15,0))</f>
        <v>0</v>
      </c>
      <c r="Y234" s="6">
        <f ca="1">('TUSD BE'!$AM$12+'TUSD BF'!$AM$12+'TUSD CVA'!$AM$12)*1</f>
        <v>12.796774750698974</v>
      </c>
      <c r="Z234" s="6"/>
      <c r="AA234" s="6"/>
      <c r="AB234" s="6">
        <f>$K$234*$V$234</f>
        <v>64822.5</v>
      </c>
      <c r="AC234" s="6">
        <f>$M$234*$W$234</f>
        <v>0</v>
      </c>
      <c r="AD234" s="6">
        <f>$O$234*$X$234</f>
        <v>0</v>
      </c>
      <c r="AE234" s="6">
        <f ca="1">$K$234*$Y$234</f>
        <v>64303.793122262345</v>
      </c>
      <c r="AF234" s="6">
        <f>$M$234*$Z$234</f>
        <v>0</v>
      </c>
      <c r="AG234" s="6">
        <f>$O$234*$AA$234</f>
        <v>0</v>
      </c>
    </row>
    <row r="235" spans="1:33" ht="11.25" customHeight="1" x14ac:dyDescent="0.25">
      <c r="A235" s="4" t="s">
        <v>21</v>
      </c>
      <c r="B235" s="4" t="s">
        <v>39</v>
      </c>
      <c r="C235" s="4" t="s">
        <v>66</v>
      </c>
      <c r="D235" s="4" t="s">
        <v>25</v>
      </c>
      <c r="E235" s="4" t="s">
        <v>25</v>
      </c>
      <c r="F235" s="4" t="s">
        <v>25</v>
      </c>
      <c r="G235" s="4" t="s">
        <v>73</v>
      </c>
      <c r="H235" s="4" t="s">
        <v>25</v>
      </c>
      <c r="I235" s="5">
        <v>44440</v>
      </c>
      <c r="J235" s="6">
        <v>44450</v>
      </c>
      <c r="K235" s="6">
        <v>22225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4" t="s">
        <v>68</v>
      </c>
      <c r="R235" s="4">
        <v>29092</v>
      </c>
      <c r="S235" s="6">
        <v>16</v>
      </c>
      <c r="T235" s="6">
        <v>0</v>
      </c>
      <c r="U235" s="6">
        <v>0</v>
      </c>
      <c r="V235" s="6">
        <f>IF(ISERROR(VLOOKUP($S$235,'TAR FIN'!$A$1:$O$104,15,0)),0,VLOOKUP($S$235,'TAR FIN'!$A$1:$O$104,15,0))</f>
        <v>12.9</v>
      </c>
      <c r="W235" s="6">
        <f>IF(ISERROR(VLOOKUP($T$235,'TAR FIN'!$A$1:$O$104,15,0)),0,VLOOKUP($T$235,'TAR FIN'!$A$1:$O$104,15,0))</f>
        <v>0</v>
      </c>
      <c r="X235" s="6">
        <f>IF(ISERROR(VLOOKUP($U$235,'TAR FIN'!$A$1:$O$104,15,0)),0,VLOOKUP($U$235,'TAR FIN'!$A$1:$O$104,15,0))</f>
        <v>0</v>
      </c>
      <c r="Y235" s="6">
        <f ca="1">('TUSD BE'!$AM$12+'TUSD BF'!$AM$12+'TUSD CVA'!$AM$12)*1</f>
        <v>12.796774750698974</v>
      </c>
      <c r="Z235" s="6"/>
      <c r="AA235" s="6"/>
      <c r="AB235" s="6">
        <f>$K$235*$V$235</f>
        <v>286702.5</v>
      </c>
      <c r="AC235" s="6">
        <f>$M$235*$W$235</f>
        <v>0</v>
      </c>
      <c r="AD235" s="6">
        <f>$O$235*$X$235</f>
        <v>0</v>
      </c>
      <c r="AE235" s="6">
        <f ca="1">$K$235*$Y$235</f>
        <v>284408.31883428473</v>
      </c>
      <c r="AF235" s="6">
        <f>$M$235*$Z$235</f>
        <v>0</v>
      </c>
      <c r="AG235" s="6">
        <f>$O$235*$AA$235</f>
        <v>0</v>
      </c>
    </row>
    <row r="236" spans="1:33" ht="11.25" customHeight="1" x14ac:dyDescent="0.25">
      <c r="A236" s="4" t="s">
        <v>21</v>
      </c>
      <c r="B236" s="4" t="s">
        <v>39</v>
      </c>
      <c r="C236" s="4" t="s">
        <v>66</v>
      </c>
      <c r="D236" s="4" t="s">
        <v>25</v>
      </c>
      <c r="E236" s="4" t="s">
        <v>25</v>
      </c>
      <c r="F236" s="4" t="s">
        <v>25</v>
      </c>
      <c r="G236" s="4" t="s">
        <v>75</v>
      </c>
      <c r="H236" s="4" t="s">
        <v>25</v>
      </c>
      <c r="I236" s="5">
        <v>44440</v>
      </c>
      <c r="J236" s="6">
        <v>30000</v>
      </c>
      <c r="K236" s="6">
        <v>15000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4" t="s">
        <v>68</v>
      </c>
      <c r="R236" s="4">
        <v>33663</v>
      </c>
      <c r="S236" s="6">
        <v>16</v>
      </c>
      <c r="T236" s="6">
        <v>0</v>
      </c>
      <c r="U236" s="6">
        <v>0</v>
      </c>
      <c r="V236" s="6">
        <f>IF(ISERROR(VLOOKUP($S$236,'TAR FIN'!$A$1:$O$104,15,0)),0,VLOOKUP($S$236,'TAR FIN'!$A$1:$O$104,15,0))</f>
        <v>12.9</v>
      </c>
      <c r="W236" s="6">
        <f>IF(ISERROR(VLOOKUP($T$236,'TAR FIN'!$A$1:$O$104,15,0)),0,VLOOKUP($T$236,'TAR FIN'!$A$1:$O$104,15,0))</f>
        <v>0</v>
      </c>
      <c r="X236" s="6">
        <f>IF(ISERROR(VLOOKUP($U$236,'TAR FIN'!$A$1:$O$104,15,0)),0,VLOOKUP($U$236,'TAR FIN'!$A$1:$O$104,15,0))</f>
        <v>0</v>
      </c>
      <c r="Y236" s="6">
        <f ca="1">('TUSD BE'!$AM$12+'TUSD BF'!$AM$12+'TUSD CVA'!$AM$12)*1</f>
        <v>12.796774750698974</v>
      </c>
      <c r="Z236" s="6"/>
      <c r="AA236" s="6"/>
      <c r="AB236" s="6">
        <f>$K$236*$V$236</f>
        <v>193500</v>
      </c>
      <c r="AC236" s="6">
        <f>$M$236*$W$236</f>
        <v>0</v>
      </c>
      <c r="AD236" s="6">
        <f>$O$236*$X$236</f>
        <v>0</v>
      </c>
      <c r="AE236" s="6">
        <f ca="1">$K$236*$Y$236</f>
        <v>191951.62126048462</v>
      </c>
      <c r="AF236" s="6">
        <f>$M$236*$Z$236</f>
        <v>0</v>
      </c>
      <c r="AG236" s="6">
        <f>$O$236*$AA$236</f>
        <v>0</v>
      </c>
    </row>
    <row r="237" spans="1:33" ht="11.25" customHeight="1" x14ac:dyDescent="0.25">
      <c r="A237" s="4" t="s">
        <v>21</v>
      </c>
      <c r="B237" s="4" t="s">
        <v>39</v>
      </c>
      <c r="C237" s="4" t="s">
        <v>66</v>
      </c>
      <c r="D237" s="4" t="s">
        <v>25</v>
      </c>
      <c r="E237" s="4" t="s">
        <v>25</v>
      </c>
      <c r="F237" s="4" t="s">
        <v>25</v>
      </c>
      <c r="G237" s="4" t="s">
        <v>76</v>
      </c>
      <c r="H237" s="4" t="s">
        <v>25</v>
      </c>
      <c r="I237" s="5">
        <v>44440</v>
      </c>
      <c r="J237" s="6">
        <v>30000</v>
      </c>
      <c r="K237" s="6">
        <v>15000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4" t="s">
        <v>68</v>
      </c>
      <c r="R237" s="4">
        <v>33664</v>
      </c>
      <c r="S237" s="6">
        <v>16</v>
      </c>
      <c r="T237" s="6">
        <v>0</v>
      </c>
      <c r="U237" s="6">
        <v>0</v>
      </c>
      <c r="V237" s="6">
        <f>IF(ISERROR(VLOOKUP($S$237,'TAR FIN'!$A$1:$O$104,15,0)),0,VLOOKUP($S$237,'TAR FIN'!$A$1:$O$104,15,0))</f>
        <v>12.9</v>
      </c>
      <c r="W237" s="6">
        <f>IF(ISERROR(VLOOKUP($T$237,'TAR FIN'!$A$1:$O$104,15,0)),0,VLOOKUP($T$237,'TAR FIN'!$A$1:$O$104,15,0))</f>
        <v>0</v>
      </c>
      <c r="X237" s="6">
        <f>IF(ISERROR(VLOOKUP($U$237,'TAR FIN'!$A$1:$O$104,15,0)),0,VLOOKUP($U$237,'TAR FIN'!$A$1:$O$104,15,0))</f>
        <v>0</v>
      </c>
      <c r="Y237" s="6">
        <f ca="1">('TUSD BE'!$AM$12+'TUSD BF'!$AM$12+'TUSD CVA'!$AM$12)*1</f>
        <v>12.796774750698974</v>
      </c>
      <c r="Z237" s="6"/>
      <c r="AA237" s="6"/>
      <c r="AB237" s="6">
        <f>$K$237*$V$237</f>
        <v>193500</v>
      </c>
      <c r="AC237" s="6">
        <f>$M$237*$W$237</f>
        <v>0</v>
      </c>
      <c r="AD237" s="6">
        <f>$O$237*$X$237</f>
        <v>0</v>
      </c>
      <c r="AE237" s="6">
        <f ca="1">$K$237*$Y$237</f>
        <v>191951.62126048462</v>
      </c>
      <c r="AF237" s="6">
        <f>$M$237*$Z$237</f>
        <v>0</v>
      </c>
      <c r="AG237" s="6">
        <f>$O$237*$AA$237</f>
        <v>0</v>
      </c>
    </row>
    <row r="238" spans="1:33" ht="11.25" customHeight="1" x14ac:dyDescent="0.25">
      <c r="A238" s="4" t="s">
        <v>21</v>
      </c>
      <c r="B238" s="4" t="s">
        <v>39</v>
      </c>
      <c r="C238" s="4" t="s">
        <v>66</v>
      </c>
      <c r="D238" s="4" t="s">
        <v>25</v>
      </c>
      <c r="E238" s="4" t="s">
        <v>25</v>
      </c>
      <c r="F238" s="4" t="s">
        <v>25</v>
      </c>
      <c r="G238" s="4" t="s">
        <v>77</v>
      </c>
      <c r="H238" s="4" t="s">
        <v>25</v>
      </c>
      <c r="I238" s="5">
        <v>44440</v>
      </c>
      <c r="J238" s="6">
        <v>30000</v>
      </c>
      <c r="K238" s="6">
        <v>15000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4" t="s">
        <v>68</v>
      </c>
      <c r="R238" s="4">
        <v>33665</v>
      </c>
      <c r="S238" s="6">
        <v>16</v>
      </c>
      <c r="T238" s="6">
        <v>0</v>
      </c>
      <c r="U238" s="6">
        <v>0</v>
      </c>
      <c r="V238" s="6">
        <f>IF(ISERROR(VLOOKUP($S$238,'TAR FIN'!$A$1:$O$104,15,0)),0,VLOOKUP($S$238,'TAR FIN'!$A$1:$O$104,15,0))</f>
        <v>12.9</v>
      </c>
      <c r="W238" s="6">
        <f>IF(ISERROR(VLOOKUP($T$238,'TAR FIN'!$A$1:$O$104,15,0)),0,VLOOKUP($T$238,'TAR FIN'!$A$1:$O$104,15,0))</f>
        <v>0</v>
      </c>
      <c r="X238" s="6">
        <f>IF(ISERROR(VLOOKUP($U$238,'TAR FIN'!$A$1:$O$104,15,0)),0,VLOOKUP($U$238,'TAR FIN'!$A$1:$O$104,15,0))</f>
        <v>0</v>
      </c>
      <c r="Y238" s="6">
        <f ca="1">('TUSD BE'!$AM$12+'TUSD BF'!$AM$12+'TUSD CVA'!$AM$12)*1</f>
        <v>12.796774750698974</v>
      </c>
      <c r="Z238" s="6"/>
      <c r="AA238" s="6"/>
      <c r="AB238" s="6">
        <f>$K$238*$V$238</f>
        <v>193500</v>
      </c>
      <c r="AC238" s="6">
        <f>$M$238*$W$238</f>
        <v>0</v>
      </c>
      <c r="AD238" s="6">
        <f>$O$238*$X$238</f>
        <v>0</v>
      </c>
      <c r="AE238" s="6">
        <f ca="1">$K$238*$Y$238</f>
        <v>191951.62126048462</v>
      </c>
      <c r="AF238" s="6">
        <f>$M$238*$Z$238</f>
        <v>0</v>
      </c>
      <c r="AG238" s="6">
        <f>$O$238*$AA$238</f>
        <v>0</v>
      </c>
    </row>
    <row r="239" spans="1:33" ht="11.25" customHeight="1" x14ac:dyDescent="0.25">
      <c r="A239" s="4" t="s">
        <v>21</v>
      </c>
      <c r="B239" s="4" t="s">
        <v>39</v>
      </c>
      <c r="C239" s="4" t="s">
        <v>66</v>
      </c>
      <c r="D239" s="4" t="s">
        <v>25</v>
      </c>
      <c r="E239" s="4" t="s">
        <v>25</v>
      </c>
      <c r="F239" s="4" t="s">
        <v>25</v>
      </c>
      <c r="G239" s="4" t="s">
        <v>78</v>
      </c>
      <c r="H239" s="4" t="s">
        <v>25</v>
      </c>
      <c r="I239" s="5">
        <v>44440</v>
      </c>
      <c r="J239" s="6">
        <v>27000</v>
      </c>
      <c r="K239" s="6">
        <v>13500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4" t="s">
        <v>68</v>
      </c>
      <c r="R239" s="4">
        <v>34085</v>
      </c>
      <c r="S239" s="6">
        <v>16</v>
      </c>
      <c r="T239" s="6">
        <v>0</v>
      </c>
      <c r="U239" s="6">
        <v>0</v>
      </c>
      <c r="V239" s="6">
        <f>IF(ISERROR(VLOOKUP($S$239,'TAR FIN'!$A$1:$O$104,15,0)),0,VLOOKUP($S$239,'TAR FIN'!$A$1:$O$104,15,0))</f>
        <v>12.9</v>
      </c>
      <c r="W239" s="6">
        <f>IF(ISERROR(VLOOKUP($T$239,'TAR FIN'!$A$1:$O$104,15,0)),0,VLOOKUP($T$239,'TAR FIN'!$A$1:$O$104,15,0))</f>
        <v>0</v>
      </c>
      <c r="X239" s="6">
        <f>IF(ISERROR(VLOOKUP($U$239,'TAR FIN'!$A$1:$O$104,15,0)),0,VLOOKUP($U$239,'TAR FIN'!$A$1:$O$104,15,0))</f>
        <v>0</v>
      </c>
      <c r="Y239" s="6">
        <f ca="1">('TUSD BE'!$AM$12+'TUSD BF'!$AM$12+'TUSD CVA'!$AM$12)*1</f>
        <v>12.796774750698974</v>
      </c>
      <c r="Z239" s="6"/>
      <c r="AA239" s="6"/>
      <c r="AB239" s="6">
        <f>$K$239*$V$239</f>
        <v>174150</v>
      </c>
      <c r="AC239" s="6">
        <f>$M$239*$W$239</f>
        <v>0</v>
      </c>
      <c r="AD239" s="6">
        <f>$O$239*$X$239</f>
        <v>0</v>
      </c>
      <c r="AE239" s="6">
        <f ca="1">$K$239*$Y$239</f>
        <v>172756.45913443615</v>
      </c>
      <c r="AF239" s="6">
        <f>$M$239*$Z$239</f>
        <v>0</v>
      </c>
      <c r="AG239" s="6">
        <f>$O$239*$AA$239</f>
        <v>0</v>
      </c>
    </row>
    <row r="240" spans="1:33" ht="11.25" customHeight="1" x14ac:dyDescent="0.25">
      <c r="A240" s="4" t="s">
        <v>21</v>
      </c>
      <c r="B240" s="4" t="s">
        <v>39</v>
      </c>
      <c r="C240" s="4" t="s">
        <v>66</v>
      </c>
      <c r="D240" s="4" t="s">
        <v>25</v>
      </c>
      <c r="E240" s="4" t="s">
        <v>25</v>
      </c>
      <c r="F240" s="4" t="s">
        <v>25</v>
      </c>
      <c r="G240" s="4" t="s">
        <v>79</v>
      </c>
      <c r="H240" s="4" t="s">
        <v>25</v>
      </c>
      <c r="I240" s="5">
        <v>44440</v>
      </c>
      <c r="J240" s="6">
        <v>27000</v>
      </c>
      <c r="K240" s="6">
        <v>13500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4" t="s">
        <v>68</v>
      </c>
      <c r="R240" s="4">
        <v>34086</v>
      </c>
      <c r="S240" s="6">
        <v>16</v>
      </c>
      <c r="T240" s="6">
        <v>0</v>
      </c>
      <c r="U240" s="6">
        <v>0</v>
      </c>
      <c r="V240" s="6">
        <f>IF(ISERROR(VLOOKUP($S$240,'TAR FIN'!$A$1:$O$104,15,0)),0,VLOOKUP($S$240,'TAR FIN'!$A$1:$O$104,15,0))</f>
        <v>12.9</v>
      </c>
      <c r="W240" s="6">
        <f>IF(ISERROR(VLOOKUP($T$240,'TAR FIN'!$A$1:$O$104,15,0)),0,VLOOKUP($T$240,'TAR FIN'!$A$1:$O$104,15,0))</f>
        <v>0</v>
      </c>
      <c r="X240" s="6">
        <f>IF(ISERROR(VLOOKUP($U$240,'TAR FIN'!$A$1:$O$104,15,0)),0,VLOOKUP($U$240,'TAR FIN'!$A$1:$O$104,15,0))</f>
        <v>0</v>
      </c>
      <c r="Y240" s="6">
        <f ca="1">('TUSD BE'!$AM$12+'TUSD BF'!$AM$12+'TUSD CVA'!$AM$12)*1</f>
        <v>12.796774750698974</v>
      </c>
      <c r="Z240" s="6"/>
      <c r="AA240" s="6"/>
      <c r="AB240" s="6">
        <f>$K$240*$V$240</f>
        <v>174150</v>
      </c>
      <c r="AC240" s="6">
        <f>$M$240*$W$240</f>
        <v>0</v>
      </c>
      <c r="AD240" s="6">
        <f>$O$240*$X$240</f>
        <v>0</v>
      </c>
      <c r="AE240" s="6">
        <f ca="1">$K$240*$Y$240</f>
        <v>172756.45913443615</v>
      </c>
      <c r="AF240" s="6">
        <f>$M$240*$Z$240</f>
        <v>0</v>
      </c>
      <c r="AG240" s="6">
        <f>$O$240*$AA$240</f>
        <v>0</v>
      </c>
    </row>
    <row r="241" spans="1:33" ht="11.25" customHeight="1" x14ac:dyDescent="0.25">
      <c r="A241" s="4" t="s">
        <v>21</v>
      </c>
      <c r="B241" s="4" t="s">
        <v>39</v>
      </c>
      <c r="C241" s="4" t="s">
        <v>66</v>
      </c>
      <c r="D241" s="4" t="s">
        <v>25</v>
      </c>
      <c r="E241" s="4" t="s">
        <v>25</v>
      </c>
      <c r="F241" s="4" t="s">
        <v>25</v>
      </c>
      <c r="G241" s="4" t="s">
        <v>67</v>
      </c>
      <c r="H241" s="4" t="s">
        <v>25</v>
      </c>
      <c r="I241" s="5">
        <v>44470</v>
      </c>
      <c r="J241" s="6">
        <v>3500</v>
      </c>
      <c r="K241" s="6">
        <v>3500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4" t="s">
        <v>68</v>
      </c>
      <c r="R241" s="4">
        <v>27402</v>
      </c>
      <c r="S241" s="6">
        <v>16</v>
      </c>
      <c r="T241" s="6">
        <v>0</v>
      </c>
      <c r="U241" s="6">
        <v>0</v>
      </c>
      <c r="V241" s="6">
        <f>IF(ISERROR(VLOOKUP($S$241,'TAR FIN'!$A$1:$O$104,15,0)),0,VLOOKUP($S$241,'TAR FIN'!$A$1:$O$104,15,0))</f>
        <v>12.9</v>
      </c>
      <c r="W241" s="6">
        <f>IF(ISERROR(VLOOKUP($T$241,'TAR FIN'!$A$1:$O$104,15,0)),0,VLOOKUP($T$241,'TAR FIN'!$A$1:$O$104,15,0))</f>
        <v>0</v>
      </c>
      <c r="X241" s="6">
        <f>IF(ISERROR(VLOOKUP($U$241,'TAR FIN'!$A$1:$O$104,15,0)),0,VLOOKUP($U$241,'TAR FIN'!$A$1:$O$104,15,0))</f>
        <v>0</v>
      </c>
      <c r="Y241" s="6">
        <f ca="1">('TUSD BE'!$AM$12+'TUSD BF'!$AM$12+'TUSD CVA'!$AM$12)*1</f>
        <v>12.796774750698974</v>
      </c>
      <c r="Z241" s="6"/>
      <c r="AA241" s="6"/>
      <c r="AB241" s="6">
        <f>$K$241*$V$241</f>
        <v>45150</v>
      </c>
      <c r="AC241" s="6">
        <f>$M$241*$W$241</f>
        <v>0</v>
      </c>
      <c r="AD241" s="6">
        <f>$O$241*$X$241</f>
        <v>0</v>
      </c>
      <c r="AE241" s="6">
        <f ca="1">$K$241*$Y$241</f>
        <v>44788.711627446406</v>
      </c>
      <c r="AF241" s="6">
        <f>$M$241*$Z$241</f>
        <v>0</v>
      </c>
      <c r="AG241" s="6">
        <f>$O$241*$AA$241</f>
        <v>0</v>
      </c>
    </row>
    <row r="242" spans="1:33" ht="11.25" customHeight="1" x14ac:dyDescent="0.25">
      <c r="A242" s="4" t="s">
        <v>21</v>
      </c>
      <c r="B242" s="4" t="s">
        <v>39</v>
      </c>
      <c r="C242" s="4" t="s">
        <v>66</v>
      </c>
      <c r="D242" s="4" t="s">
        <v>25</v>
      </c>
      <c r="E242" s="4" t="s">
        <v>25</v>
      </c>
      <c r="F242" s="4" t="s">
        <v>25</v>
      </c>
      <c r="G242" s="4" t="s">
        <v>69</v>
      </c>
      <c r="H242" s="4" t="s">
        <v>25</v>
      </c>
      <c r="I242" s="5">
        <v>44470</v>
      </c>
      <c r="J242" s="6">
        <v>3000</v>
      </c>
      <c r="K242" s="6">
        <v>1500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4" t="s">
        <v>68</v>
      </c>
      <c r="R242" s="4">
        <v>28515</v>
      </c>
      <c r="S242" s="6">
        <v>16</v>
      </c>
      <c r="T242" s="6">
        <v>0</v>
      </c>
      <c r="U242" s="6">
        <v>0</v>
      </c>
      <c r="V242" s="6">
        <f>IF(ISERROR(VLOOKUP($S$242,'TAR FIN'!$A$1:$O$104,15,0)),0,VLOOKUP($S$242,'TAR FIN'!$A$1:$O$104,15,0))</f>
        <v>12.9</v>
      </c>
      <c r="W242" s="6">
        <f>IF(ISERROR(VLOOKUP($T$242,'TAR FIN'!$A$1:$O$104,15,0)),0,VLOOKUP($T$242,'TAR FIN'!$A$1:$O$104,15,0))</f>
        <v>0</v>
      </c>
      <c r="X242" s="6">
        <f>IF(ISERROR(VLOOKUP($U$242,'TAR FIN'!$A$1:$O$104,15,0)),0,VLOOKUP($U$242,'TAR FIN'!$A$1:$O$104,15,0))</f>
        <v>0</v>
      </c>
      <c r="Y242" s="6">
        <f ca="1">('TUSD BE'!$AM$12+'TUSD BF'!$AM$12+'TUSD CVA'!$AM$12)*1</f>
        <v>12.796774750698974</v>
      </c>
      <c r="Z242" s="6"/>
      <c r="AA242" s="6"/>
      <c r="AB242" s="6">
        <f>$K$242*$V$242</f>
        <v>19350</v>
      </c>
      <c r="AC242" s="6">
        <f>$M$242*$W$242</f>
        <v>0</v>
      </c>
      <c r="AD242" s="6">
        <f>$O$242*$X$242</f>
        <v>0</v>
      </c>
      <c r="AE242" s="6">
        <f ca="1">$K$242*$Y$242</f>
        <v>19195.162126048461</v>
      </c>
      <c r="AF242" s="6">
        <f>$M$242*$Z$242</f>
        <v>0</v>
      </c>
      <c r="AG242" s="6">
        <f>$O$242*$AA$242</f>
        <v>0</v>
      </c>
    </row>
    <row r="243" spans="1:33" ht="11.25" customHeight="1" x14ac:dyDescent="0.25">
      <c r="A243" s="4" t="s">
        <v>21</v>
      </c>
      <c r="B243" s="4" t="s">
        <v>39</v>
      </c>
      <c r="C243" s="4" t="s">
        <v>66</v>
      </c>
      <c r="D243" s="4" t="s">
        <v>25</v>
      </c>
      <c r="E243" s="4" t="s">
        <v>25</v>
      </c>
      <c r="F243" s="4" t="s">
        <v>25</v>
      </c>
      <c r="G243" s="4" t="s">
        <v>70</v>
      </c>
      <c r="H243" s="4" t="s">
        <v>25</v>
      </c>
      <c r="I243" s="5">
        <v>44470</v>
      </c>
      <c r="J243" s="6">
        <v>11000</v>
      </c>
      <c r="K243" s="6">
        <v>5500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4" t="s">
        <v>68</v>
      </c>
      <c r="R243" s="4">
        <v>28957</v>
      </c>
      <c r="S243" s="6">
        <v>16</v>
      </c>
      <c r="T243" s="6">
        <v>0</v>
      </c>
      <c r="U243" s="6">
        <v>0</v>
      </c>
      <c r="V243" s="6">
        <f>IF(ISERROR(VLOOKUP($S$243,'TAR FIN'!$A$1:$O$104,15,0)),0,VLOOKUP($S$243,'TAR FIN'!$A$1:$O$104,15,0))</f>
        <v>12.9</v>
      </c>
      <c r="W243" s="6">
        <f>IF(ISERROR(VLOOKUP($T$243,'TAR FIN'!$A$1:$O$104,15,0)),0,VLOOKUP($T$243,'TAR FIN'!$A$1:$O$104,15,0))</f>
        <v>0</v>
      </c>
      <c r="X243" s="6">
        <f>IF(ISERROR(VLOOKUP($U$243,'TAR FIN'!$A$1:$O$104,15,0)),0,VLOOKUP($U$243,'TAR FIN'!$A$1:$O$104,15,0))</f>
        <v>0</v>
      </c>
      <c r="Y243" s="6">
        <f ca="1">('TUSD BE'!$AM$12+'TUSD BF'!$AM$12+'TUSD CVA'!$AM$12)*1</f>
        <v>12.796774750698974</v>
      </c>
      <c r="Z243" s="6"/>
      <c r="AA243" s="6"/>
      <c r="AB243" s="6">
        <f>$K$243*$V$243</f>
        <v>70950</v>
      </c>
      <c r="AC243" s="6">
        <f>$M$243*$W$243</f>
        <v>0</v>
      </c>
      <c r="AD243" s="6">
        <f>$O$243*$X$243</f>
        <v>0</v>
      </c>
      <c r="AE243" s="6">
        <f ca="1">$K$243*$Y$243</f>
        <v>70382.261128844359</v>
      </c>
      <c r="AF243" s="6">
        <f>$M$243*$Z$243</f>
        <v>0</v>
      </c>
      <c r="AG243" s="6">
        <f>$O$243*$AA$243</f>
        <v>0</v>
      </c>
    </row>
    <row r="244" spans="1:33" ht="11.25" customHeight="1" x14ac:dyDescent="0.25">
      <c r="A244" s="4" t="s">
        <v>21</v>
      </c>
      <c r="B244" s="4" t="s">
        <v>39</v>
      </c>
      <c r="C244" s="4" t="s">
        <v>66</v>
      </c>
      <c r="D244" s="4" t="s">
        <v>25</v>
      </c>
      <c r="E244" s="4" t="s">
        <v>25</v>
      </c>
      <c r="F244" s="4" t="s">
        <v>25</v>
      </c>
      <c r="G244" s="4" t="s">
        <v>71</v>
      </c>
      <c r="H244" s="4" t="s">
        <v>25</v>
      </c>
      <c r="I244" s="5">
        <v>44470</v>
      </c>
      <c r="J244" s="6">
        <v>10050</v>
      </c>
      <c r="K244" s="6">
        <v>5025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4" t="s">
        <v>68</v>
      </c>
      <c r="R244" s="4">
        <v>29041</v>
      </c>
      <c r="S244" s="6">
        <v>16</v>
      </c>
      <c r="T244" s="6">
        <v>0</v>
      </c>
      <c r="U244" s="6">
        <v>0</v>
      </c>
      <c r="V244" s="6">
        <f>IF(ISERROR(VLOOKUP($S$244,'TAR FIN'!$A$1:$O$104,15,0)),0,VLOOKUP($S$244,'TAR FIN'!$A$1:$O$104,15,0))</f>
        <v>12.9</v>
      </c>
      <c r="W244" s="6">
        <f>IF(ISERROR(VLOOKUP($T$244,'TAR FIN'!$A$1:$O$104,15,0)),0,VLOOKUP($T$244,'TAR FIN'!$A$1:$O$104,15,0))</f>
        <v>0</v>
      </c>
      <c r="X244" s="6">
        <f>IF(ISERROR(VLOOKUP($U$244,'TAR FIN'!$A$1:$O$104,15,0)),0,VLOOKUP($U$244,'TAR FIN'!$A$1:$O$104,15,0))</f>
        <v>0</v>
      </c>
      <c r="Y244" s="6">
        <f ca="1">('TUSD BE'!$AM$12+'TUSD BF'!$AM$12+'TUSD CVA'!$AM$12)*1</f>
        <v>12.796774750698974</v>
      </c>
      <c r="Z244" s="6"/>
      <c r="AA244" s="6"/>
      <c r="AB244" s="6">
        <f>$K$244*$V$244</f>
        <v>64822.5</v>
      </c>
      <c r="AC244" s="6">
        <f>$M$244*$W$244</f>
        <v>0</v>
      </c>
      <c r="AD244" s="6">
        <f>$O$244*$X$244</f>
        <v>0</v>
      </c>
      <c r="AE244" s="6">
        <f ca="1">$K$244*$Y$244</f>
        <v>64303.793122262345</v>
      </c>
      <c r="AF244" s="6">
        <f>$M$244*$Z$244</f>
        <v>0</v>
      </c>
      <c r="AG244" s="6">
        <f>$O$244*$AA$244</f>
        <v>0</v>
      </c>
    </row>
    <row r="245" spans="1:33" ht="11.25" customHeight="1" x14ac:dyDescent="0.25">
      <c r="A245" s="4" t="s">
        <v>21</v>
      </c>
      <c r="B245" s="4" t="s">
        <v>39</v>
      </c>
      <c r="C245" s="4" t="s">
        <v>66</v>
      </c>
      <c r="D245" s="4" t="s">
        <v>25</v>
      </c>
      <c r="E245" s="4" t="s">
        <v>25</v>
      </c>
      <c r="F245" s="4" t="s">
        <v>25</v>
      </c>
      <c r="G245" s="4" t="s">
        <v>73</v>
      </c>
      <c r="H245" s="4" t="s">
        <v>25</v>
      </c>
      <c r="I245" s="5">
        <v>44470</v>
      </c>
      <c r="J245" s="6">
        <v>44450</v>
      </c>
      <c r="K245" s="6">
        <v>22225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4" t="s">
        <v>68</v>
      </c>
      <c r="R245" s="4">
        <v>29092</v>
      </c>
      <c r="S245" s="6">
        <v>16</v>
      </c>
      <c r="T245" s="6">
        <v>0</v>
      </c>
      <c r="U245" s="6">
        <v>0</v>
      </c>
      <c r="V245" s="6">
        <f>IF(ISERROR(VLOOKUP($S$245,'TAR FIN'!$A$1:$O$104,15,0)),0,VLOOKUP($S$245,'TAR FIN'!$A$1:$O$104,15,0))</f>
        <v>12.9</v>
      </c>
      <c r="W245" s="6">
        <f>IF(ISERROR(VLOOKUP($T$245,'TAR FIN'!$A$1:$O$104,15,0)),0,VLOOKUP($T$245,'TAR FIN'!$A$1:$O$104,15,0))</f>
        <v>0</v>
      </c>
      <c r="X245" s="6">
        <f>IF(ISERROR(VLOOKUP($U$245,'TAR FIN'!$A$1:$O$104,15,0)),0,VLOOKUP($U$245,'TAR FIN'!$A$1:$O$104,15,0))</f>
        <v>0</v>
      </c>
      <c r="Y245" s="6">
        <f ca="1">('TUSD BE'!$AM$12+'TUSD BF'!$AM$12+'TUSD CVA'!$AM$12)*1</f>
        <v>12.796774750698974</v>
      </c>
      <c r="Z245" s="6"/>
      <c r="AA245" s="6"/>
      <c r="AB245" s="6">
        <f>$K$245*$V$245</f>
        <v>286702.5</v>
      </c>
      <c r="AC245" s="6">
        <f>$M$245*$W$245</f>
        <v>0</v>
      </c>
      <c r="AD245" s="6">
        <f>$O$245*$X$245</f>
        <v>0</v>
      </c>
      <c r="AE245" s="6">
        <f ca="1">$K$245*$Y$245</f>
        <v>284408.31883428473</v>
      </c>
      <c r="AF245" s="6">
        <f>$M$245*$Z$245</f>
        <v>0</v>
      </c>
      <c r="AG245" s="6">
        <f>$O$245*$AA$245</f>
        <v>0</v>
      </c>
    </row>
    <row r="246" spans="1:33" ht="11.25" customHeight="1" x14ac:dyDescent="0.25">
      <c r="A246" s="4" t="s">
        <v>21</v>
      </c>
      <c r="B246" s="4" t="s">
        <v>39</v>
      </c>
      <c r="C246" s="4" t="s">
        <v>66</v>
      </c>
      <c r="D246" s="4" t="s">
        <v>25</v>
      </c>
      <c r="E246" s="4" t="s">
        <v>25</v>
      </c>
      <c r="F246" s="4" t="s">
        <v>25</v>
      </c>
      <c r="G246" s="4" t="s">
        <v>75</v>
      </c>
      <c r="H246" s="4" t="s">
        <v>25</v>
      </c>
      <c r="I246" s="5">
        <v>44470</v>
      </c>
      <c r="J246" s="6">
        <v>30000</v>
      </c>
      <c r="K246" s="6">
        <v>15000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68</v>
      </c>
      <c r="R246" s="4">
        <v>33663</v>
      </c>
      <c r="S246" s="6">
        <v>16</v>
      </c>
      <c r="T246" s="6">
        <v>0</v>
      </c>
      <c r="U246" s="6">
        <v>0</v>
      </c>
      <c r="V246" s="6">
        <f>IF(ISERROR(VLOOKUP($S$246,'TAR FIN'!$A$1:$O$104,15,0)),0,VLOOKUP($S$246,'TAR FIN'!$A$1:$O$104,15,0))</f>
        <v>12.9</v>
      </c>
      <c r="W246" s="6">
        <f>IF(ISERROR(VLOOKUP($T$246,'TAR FIN'!$A$1:$O$104,15,0)),0,VLOOKUP($T$246,'TAR FIN'!$A$1:$O$104,15,0))</f>
        <v>0</v>
      </c>
      <c r="X246" s="6">
        <f>IF(ISERROR(VLOOKUP($U$246,'TAR FIN'!$A$1:$O$104,15,0)),0,VLOOKUP($U$246,'TAR FIN'!$A$1:$O$104,15,0))</f>
        <v>0</v>
      </c>
      <c r="Y246" s="6">
        <f ca="1">('TUSD BE'!$AM$12+'TUSD BF'!$AM$12+'TUSD CVA'!$AM$12)*1</f>
        <v>12.796774750698974</v>
      </c>
      <c r="Z246" s="6"/>
      <c r="AA246" s="6"/>
      <c r="AB246" s="6">
        <f>$K$246*$V$246</f>
        <v>193500</v>
      </c>
      <c r="AC246" s="6">
        <f>$M$246*$W$246</f>
        <v>0</v>
      </c>
      <c r="AD246" s="6">
        <f>$O$246*$X$246</f>
        <v>0</v>
      </c>
      <c r="AE246" s="6">
        <f ca="1">$K$246*$Y$246</f>
        <v>191951.62126048462</v>
      </c>
      <c r="AF246" s="6">
        <f>$M$246*$Z$246</f>
        <v>0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39</v>
      </c>
      <c r="C247" s="4" t="s">
        <v>66</v>
      </c>
      <c r="D247" s="4" t="s">
        <v>25</v>
      </c>
      <c r="E247" s="4" t="s">
        <v>25</v>
      </c>
      <c r="F247" s="4" t="s">
        <v>25</v>
      </c>
      <c r="G247" s="4" t="s">
        <v>76</v>
      </c>
      <c r="H247" s="4" t="s">
        <v>25</v>
      </c>
      <c r="I247" s="5">
        <v>44470</v>
      </c>
      <c r="J247" s="6">
        <v>30000</v>
      </c>
      <c r="K247" s="6">
        <v>15000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68</v>
      </c>
      <c r="R247" s="4">
        <v>33664</v>
      </c>
      <c r="S247" s="6">
        <v>16</v>
      </c>
      <c r="T247" s="6">
        <v>0</v>
      </c>
      <c r="U247" s="6">
        <v>0</v>
      </c>
      <c r="V247" s="6">
        <f>IF(ISERROR(VLOOKUP($S$247,'TAR FIN'!$A$1:$O$104,15,0)),0,VLOOKUP($S$247,'TAR FIN'!$A$1:$O$104,15,0))</f>
        <v>12.9</v>
      </c>
      <c r="W247" s="6">
        <f>IF(ISERROR(VLOOKUP($T$247,'TAR FIN'!$A$1:$O$104,15,0)),0,VLOOKUP($T$247,'TAR FIN'!$A$1:$O$104,15,0))</f>
        <v>0</v>
      </c>
      <c r="X247" s="6">
        <f>IF(ISERROR(VLOOKUP($U$247,'TAR FIN'!$A$1:$O$104,15,0)),0,VLOOKUP($U$247,'TAR FIN'!$A$1:$O$104,15,0))</f>
        <v>0</v>
      </c>
      <c r="Y247" s="6">
        <f ca="1">('TUSD BE'!$AM$12+'TUSD BF'!$AM$12+'TUSD CVA'!$AM$12)*1</f>
        <v>12.796774750698974</v>
      </c>
      <c r="Z247" s="6"/>
      <c r="AA247" s="6"/>
      <c r="AB247" s="6">
        <f>$K$247*$V$247</f>
        <v>193500</v>
      </c>
      <c r="AC247" s="6">
        <f>$M$247*$W$247</f>
        <v>0</v>
      </c>
      <c r="AD247" s="6">
        <f>$O$247*$X$247</f>
        <v>0</v>
      </c>
      <c r="AE247" s="6">
        <f ca="1">$K$247*$Y$247</f>
        <v>191951.62126048462</v>
      </c>
      <c r="AF247" s="6">
        <f>$M$247*$Z$247</f>
        <v>0</v>
      </c>
      <c r="AG247" s="6">
        <f>$O$247*$AA$247</f>
        <v>0</v>
      </c>
    </row>
    <row r="248" spans="1:33" ht="11.25" customHeight="1" x14ac:dyDescent="0.25">
      <c r="A248" s="4" t="s">
        <v>21</v>
      </c>
      <c r="B248" s="4" t="s">
        <v>39</v>
      </c>
      <c r="C248" s="4" t="s">
        <v>66</v>
      </c>
      <c r="D248" s="4" t="s">
        <v>25</v>
      </c>
      <c r="E248" s="4" t="s">
        <v>25</v>
      </c>
      <c r="F248" s="4" t="s">
        <v>25</v>
      </c>
      <c r="G248" s="4" t="s">
        <v>77</v>
      </c>
      <c r="H248" s="4" t="s">
        <v>25</v>
      </c>
      <c r="I248" s="5">
        <v>44470</v>
      </c>
      <c r="J248" s="6">
        <v>30000</v>
      </c>
      <c r="K248" s="6">
        <v>15000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68</v>
      </c>
      <c r="R248" s="4">
        <v>33665</v>
      </c>
      <c r="S248" s="6">
        <v>16</v>
      </c>
      <c r="T248" s="6">
        <v>0</v>
      </c>
      <c r="U248" s="6">
        <v>0</v>
      </c>
      <c r="V248" s="6">
        <f>IF(ISERROR(VLOOKUP($S$248,'TAR FIN'!$A$1:$O$104,15,0)),0,VLOOKUP($S$248,'TAR FIN'!$A$1:$O$104,15,0))</f>
        <v>12.9</v>
      </c>
      <c r="W248" s="6">
        <f>IF(ISERROR(VLOOKUP($T$248,'TAR FIN'!$A$1:$O$104,15,0)),0,VLOOKUP($T$248,'TAR FIN'!$A$1:$O$104,15,0))</f>
        <v>0</v>
      </c>
      <c r="X248" s="6">
        <f>IF(ISERROR(VLOOKUP($U$248,'TAR FIN'!$A$1:$O$104,15,0)),0,VLOOKUP($U$248,'TAR FIN'!$A$1:$O$104,15,0))</f>
        <v>0</v>
      </c>
      <c r="Y248" s="6">
        <f ca="1">('TUSD BE'!$AM$12+'TUSD BF'!$AM$12+'TUSD CVA'!$AM$12)*1</f>
        <v>12.796774750698974</v>
      </c>
      <c r="Z248" s="6"/>
      <c r="AA248" s="6"/>
      <c r="AB248" s="6">
        <f>$K$248*$V$248</f>
        <v>193500</v>
      </c>
      <c r="AC248" s="6">
        <f>$M$248*$W$248</f>
        <v>0</v>
      </c>
      <c r="AD248" s="6">
        <f>$O$248*$X$248</f>
        <v>0</v>
      </c>
      <c r="AE248" s="6">
        <f ca="1">$K$248*$Y$248</f>
        <v>191951.62126048462</v>
      </c>
      <c r="AF248" s="6">
        <f>$M$248*$Z$248</f>
        <v>0</v>
      </c>
      <c r="AG248" s="6">
        <f>$O$248*$AA$248</f>
        <v>0</v>
      </c>
    </row>
    <row r="249" spans="1:33" ht="11.25" customHeight="1" x14ac:dyDescent="0.25">
      <c r="A249" s="4" t="s">
        <v>21</v>
      </c>
      <c r="B249" s="4" t="s">
        <v>39</v>
      </c>
      <c r="C249" s="4" t="s">
        <v>66</v>
      </c>
      <c r="D249" s="4" t="s">
        <v>25</v>
      </c>
      <c r="E249" s="4" t="s">
        <v>25</v>
      </c>
      <c r="F249" s="4" t="s">
        <v>25</v>
      </c>
      <c r="G249" s="4" t="s">
        <v>78</v>
      </c>
      <c r="H249" s="4" t="s">
        <v>25</v>
      </c>
      <c r="I249" s="5">
        <v>44470</v>
      </c>
      <c r="J249" s="6">
        <v>27000</v>
      </c>
      <c r="K249" s="6">
        <v>13500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4" t="s">
        <v>68</v>
      </c>
      <c r="R249" s="4">
        <v>34085</v>
      </c>
      <c r="S249" s="6">
        <v>16</v>
      </c>
      <c r="T249" s="6">
        <v>0</v>
      </c>
      <c r="U249" s="6">
        <v>0</v>
      </c>
      <c r="V249" s="6">
        <f>IF(ISERROR(VLOOKUP($S$249,'TAR FIN'!$A$1:$O$104,15,0)),0,VLOOKUP($S$249,'TAR FIN'!$A$1:$O$104,15,0))</f>
        <v>12.9</v>
      </c>
      <c r="W249" s="6">
        <f>IF(ISERROR(VLOOKUP($T$249,'TAR FIN'!$A$1:$O$104,15,0)),0,VLOOKUP($T$249,'TAR FIN'!$A$1:$O$104,15,0))</f>
        <v>0</v>
      </c>
      <c r="X249" s="6">
        <f>IF(ISERROR(VLOOKUP($U$249,'TAR FIN'!$A$1:$O$104,15,0)),0,VLOOKUP($U$249,'TAR FIN'!$A$1:$O$104,15,0))</f>
        <v>0</v>
      </c>
      <c r="Y249" s="6">
        <f ca="1">('TUSD BE'!$AM$12+'TUSD BF'!$AM$12+'TUSD CVA'!$AM$12)*1</f>
        <v>12.796774750698974</v>
      </c>
      <c r="Z249" s="6"/>
      <c r="AA249" s="6"/>
      <c r="AB249" s="6">
        <f>$K$249*$V$249</f>
        <v>174150</v>
      </c>
      <c r="AC249" s="6">
        <f>$M$249*$W$249</f>
        <v>0</v>
      </c>
      <c r="AD249" s="6">
        <f>$O$249*$X$249</f>
        <v>0</v>
      </c>
      <c r="AE249" s="6">
        <f ca="1">$K$249*$Y$249</f>
        <v>172756.45913443615</v>
      </c>
      <c r="AF249" s="6">
        <f>$M$249*$Z$249</f>
        <v>0</v>
      </c>
      <c r="AG249" s="6">
        <f>$O$249*$AA$249</f>
        <v>0</v>
      </c>
    </row>
    <row r="250" spans="1:33" ht="11.25" customHeight="1" x14ac:dyDescent="0.25">
      <c r="A250" s="4" t="s">
        <v>21</v>
      </c>
      <c r="B250" s="4" t="s">
        <v>39</v>
      </c>
      <c r="C250" s="4" t="s">
        <v>66</v>
      </c>
      <c r="D250" s="4" t="s">
        <v>25</v>
      </c>
      <c r="E250" s="4" t="s">
        <v>25</v>
      </c>
      <c r="F250" s="4" t="s">
        <v>25</v>
      </c>
      <c r="G250" s="4" t="s">
        <v>79</v>
      </c>
      <c r="H250" s="4" t="s">
        <v>25</v>
      </c>
      <c r="I250" s="5">
        <v>44470</v>
      </c>
      <c r="J250" s="6">
        <v>27000</v>
      </c>
      <c r="K250" s="6">
        <v>13500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68</v>
      </c>
      <c r="R250" s="4">
        <v>34086</v>
      </c>
      <c r="S250" s="6">
        <v>16</v>
      </c>
      <c r="T250" s="6">
        <v>0</v>
      </c>
      <c r="U250" s="6">
        <v>0</v>
      </c>
      <c r="V250" s="6">
        <f>IF(ISERROR(VLOOKUP($S$250,'TAR FIN'!$A$1:$O$104,15,0)),0,VLOOKUP($S$250,'TAR FIN'!$A$1:$O$104,15,0))</f>
        <v>12.9</v>
      </c>
      <c r="W250" s="6">
        <f>IF(ISERROR(VLOOKUP($T$250,'TAR FIN'!$A$1:$O$104,15,0)),0,VLOOKUP($T$250,'TAR FIN'!$A$1:$O$104,15,0))</f>
        <v>0</v>
      </c>
      <c r="X250" s="6">
        <f>IF(ISERROR(VLOOKUP($U$250,'TAR FIN'!$A$1:$O$104,15,0)),0,VLOOKUP($U$250,'TAR FIN'!$A$1:$O$104,15,0))</f>
        <v>0</v>
      </c>
      <c r="Y250" s="6">
        <f ca="1">('TUSD BE'!$AM$12+'TUSD BF'!$AM$12+'TUSD CVA'!$AM$12)*1</f>
        <v>12.796774750698974</v>
      </c>
      <c r="Z250" s="6"/>
      <c r="AA250" s="6"/>
      <c r="AB250" s="6">
        <f>$K$250*$V$250</f>
        <v>174150</v>
      </c>
      <c r="AC250" s="6">
        <f>$M$250*$W$250</f>
        <v>0</v>
      </c>
      <c r="AD250" s="6">
        <f>$O$250*$X$250</f>
        <v>0</v>
      </c>
      <c r="AE250" s="6">
        <f ca="1">$K$250*$Y$250</f>
        <v>172756.45913443615</v>
      </c>
      <c r="AF250" s="6">
        <f>$M$250*$Z$250</f>
        <v>0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39</v>
      </c>
      <c r="C251" s="4" t="s">
        <v>66</v>
      </c>
      <c r="D251" s="4" t="s">
        <v>25</v>
      </c>
      <c r="E251" s="4" t="s">
        <v>25</v>
      </c>
      <c r="F251" s="4" t="s">
        <v>25</v>
      </c>
      <c r="G251" s="4" t="s">
        <v>67</v>
      </c>
      <c r="H251" s="4" t="s">
        <v>25</v>
      </c>
      <c r="I251" s="5">
        <v>44501</v>
      </c>
      <c r="J251" s="6">
        <v>3500</v>
      </c>
      <c r="K251" s="6">
        <v>3500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4" t="s">
        <v>68</v>
      </c>
      <c r="R251" s="4">
        <v>27402</v>
      </c>
      <c r="S251" s="6">
        <v>16</v>
      </c>
      <c r="T251" s="6">
        <v>0</v>
      </c>
      <c r="U251" s="6">
        <v>0</v>
      </c>
      <c r="V251" s="6">
        <f>IF(ISERROR(VLOOKUP($S$251,'TAR FIN'!$A$1:$O$104,15,0)),0,VLOOKUP($S$251,'TAR FIN'!$A$1:$O$104,15,0))</f>
        <v>12.9</v>
      </c>
      <c r="W251" s="6">
        <f>IF(ISERROR(VLOOKUP($T$251,'TAR FIN'!$A$1:$O$104,15,0)),0,VLOOKUP($T$251,'TAR FIN'!$A$1:$O$104,15,0))</f>
        <v>0</v>
      </c>
      <c r="X251" s="6">
        <f>IF(ISERROR(VLOOKUP($U$251,'TAR FIN'!$A$1:$O$104,15,0)),0,VLOOKUP($U$251,'TAR FIN'!$A$1:$O$104,15,0))</f>
        <v>0</v>
      </c>
      <c r="Y251" s="6">
        <f ca="1">('TUSD BE'!$AM$12+'TUSD BF'!$AM$12+'TUSD CVA'!$AM$12)*1</f>
        <v>12.796774750698974</v>
      </c>
      <c r="Z251" s="6"/>
      <c r="AA251" s="6"/>
      <c r="AB251" s="6">
        <f>$K$251*$V$251</f>
        <v>45150</v>
      </c>
      <c r="AC251" s="6">
        <f>$M$251*$W$251</f>
        <v>0</v>
      </c>
      <c r="AD251" s="6">
        <f>$O$251*$X$251</f>
        <v>0</v>
      </c>
      <c r="AE251" s="6">
        <f ca="1">$K$251*$Y$251</f>
        <v>44788.711627446406</v>
      </c>
      <c r="AF251" s="6">
        <f>$M$251*$Z$251</f>
        <v>0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39</v>
      </c>
      <c r="C252" s="4" t="s">
        <v>66</v>
      </c>
      <c r="D252" s="4" t="s">
        <v>25</v>
      </c>
      <c r="E252" s="4" t="s">
        <v>25</v>
      </c>
      <c r="F252" s="4" t="s">
        <v>25</v>
      </c>
      <c r="G252" s="4" t="s">
        <v>69</v>
      </c>
      <c r="H252" s="4" t="s">
        <v>25</v>
      </c>
      <c r="I252" s="5">
        <v>44501</v>
      </c>
      <c r="J252" s="6">
        <v>3714</v>
      </c>
      <c r="K252" s="6">
        <v>1857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4" t="s">
        <v>68</v>
      </c>
      <c r="R252" s="4">
        <v>28515</v>
      </c>
      <c r="S252" s="6">
        <v>16</v>
      </c>
      <c r="T252" s="6">
        <v>0</v>
      </c>
      <c r="U252" s="6">
        <v>0</v>
      </c>
      <c r="V252" s="6">
        <f>IF(ISERROR(VLOOKUP($S$252,'TAR FIN'!$A$1:$O$104,15,0)),0,VLOOKUP($S$252,'TAR FIN'!$A$1:$O$104,15,0))</f>
        <v>12.9</v>
      </c>
      <c r="W252" s="6">
        <f>IF(ISERROR(VLOOKUP($T$252,'TAR FIN'!$A$1:$O$104,15,0)),0,VLOOKUP($T$252,'TAR FIN'!$A$1:$O$104,15,0))</f>
        <v>0</v>
      </c>
      <c r="X252" s="6">
        <f>IF(ISERROR(VLOOKUP($U$252,'TAR FIN'!$A$1:$O$104,15,0)),0,VLOOKUP($U$252,'TAR FIN'!$A$1:$O$104,15,0))</f>
        <v>0</v>
      </c>
      <c r="Y252" s="6">
        <f ca="1">('TUSD BE'!$AM$12+'TUSD BF'!$AM$12+'TUSD CVA'!$AM$12)*1</f>
        <v>12.796774750698974</v>
      </c>
      <c r="Z252" s="6"/>
      <c r="AA252" s="6"/>
      <c r="AB252" s="6">
        <f>$K$252*$V$252</f>
        <v>23955.3</v>
      </c>
      <c r="AC252" s="6">
        <f>$M$252*$W$252</f>
        <v>0</v>
      </c>
      <c r="AD252" s="6">
        <f>$O$252*$X$252</f>
        <v>0</v>
      </c>
      <c r="AE252" s="6">
        <f ca="1">$K$252*$Y$252</f>
        <v>23763.610712047994</v>
      </c>
      <c r="AF252" s="6">
        <f>$M$252*$Z$252</f>
        <v>0</v>
      </c>
      <c r="AG252" s="6">
        <f>$O$252*$AA$252</f>
        <v>0</v>
      </c>
    </row>
    <row r="253" spans="1:33" ht="11.25" customHeight="1" x14ac:dyDescent="0.25">
      <c r="A253" s="4" t="s">
        <v>21</v>
      </c>
      <c r="B253" s="4" t="s">
        <v>39</v>
      </c>
      <c r="C253" s="4" t="s">
        <v>66</v>
      </c>
      <c r="D253" s="4" t="s">
        <v>25</v>
      </c>
      <c r="E253" s="4" t="s">
        <v>25</v>
      </c>
      <c r="F253" s="4" t="s">
        <v>25</v>
      </c>
      <c r="G253" s="4" t="s">
        <v>70</v>
      </c>
      <c r="H253" s="4" t="s">
        <v>25</v>
      </c>
      <c r="I253" s="5">
        <v>44501</v>
      </c>
      <c r="J253" s="6">
        <v>11812</v>
      </c>
      <c r="K253" s="6">
        <v>5906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4" t="s">
        <v>68</v>
      </c>
      <c r="R253" s="4">
        <v>28957</v>
      </c>
      <c r="S253" s="6">
        <v>16</v>
      </c>
      <c r="T253" s="6">
        <v>0</v>
      </c>
      <c r="U253" s="6">
        <v>0</v>
      </c>
      <c r="V253" s="6">
        <f>IF(ISERROR(VLOOKUP($S$253,'TAR FIN'!$A$1:$O$104,15,0)),0,VLOOKUP($S$253,'TAR FIN'!$A$1:$O$104,15,0))</f>
        <v>12.9</v>
      </c>
      <c r="W253" s="6">
        <f>IF(ISERROR(VLOOKUP($T$253,'TAR FIN'!$A$1:$O$104,15,0)),0,VLOOKUP($T$253,'TAR FIN'!$A$1:$O$104,15,0))</f>
        <v>0</v>
      </c>
      <c r="X253" s="6">
        <f>IF(ISERROR(VLOOKUP($U$253,'TAR FIN'!$A$1:$O$104,15,0)),0,VLOOKUP($U$253,'TAR FIN'!$A$1:$O$104,15,0))</f>
        <v>0</v>
      </c>
      <c r="Y253" s="6">
        <f ca="1">('TUSD BE'!$AM$12+'TUSD BF'!$AM$12+'TUSD CVA'!$AM$12)*1</f>
        <v>12.796774750698974</v>
      </c>
      <c r="Z253" s="6"/>
      <c r="AA253" s="6"/>
      <c r="AB253" s="6">
        <f>$K$253*$V$253</f>
        <v>76187.400000000009</v>
      </c>
      <c r="AC253" s="6">
        <f>$M$253*$W$253</f>
        <v>0</v>
      </c>
      <c r="AD253" s="6">
        <f>$O$253*$X$253</f>
        <v>0</v>
      </c>
      <c r="AE253" s="6">
        <f ca="1">$K$253*$Y$253</f>
        <v>75577.751677628141</v>
      </c>
      <c r="AF253" s="6">
        <f>$M$253*$Z$253</f>
        <v>0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39</v>
      </c>
      <c r="C254" s="4" t="s">
        <v>66</v>
      </c>
      <c r="D254" s="4" t="s">
        <v>25</v>
      </c>
      <c r="E254" s="4" t="s">
        <v>25</v>
      </c>
      <c r="F254" s="4" t="s">
        <v>25</v>
      </c>
      <c r="G254" s="4" t="s">
        <v>71</v>
      </c>
      <c r="H254" s="4" t="s">
        <v>25</v>
      </c>
      <c r="I254" s="5">
        <v>44501</v>
      </c>
      <c r="J254" s="6">
        <v>10050</v>
      </c>
      <c r="K254" s="6">
        <v>5025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4" t="s">
        <v>68</v>
      </c>
      <c r="R254" s="4">
        <v>29041</v>
      </c>
      <c r="S254" s="6">
        <v>16</v>
      </c>
      <c r="T254" s="6">
        <v>0</v>
      </c>
      <c r="U254" s="6">
        <v>0</v>
      </c>
      <c r="V254" s="6">
        <f>IF(ISERROR(VLOOKUP($S$254,'TAR FIN'!$A$1:$O$104,15,0)),0,VLOOKUP($S$254,'TAR FIN'!$A$1:$O$104,15,0))</f>
        <v>12.9</v>
      </c>
      <c r="W254" s="6">
        <f>IF(ISERROR(VLOOKUP($T$254,'TAR FIN'!$A$1:$O$104,15,0)),0,VLOOKUP($T$254,'TAR FIN'!$A$1:$O$104,15,0))</f>
        <v>0</v>
      </c>
      <c r="X254" s="6">
        <f>IF(ISERROR(VLOOKUP($U$254,'TAR FIN'!$A$1:$O$104,15,0)),0,VLOOKUP($U$254,'TAR FIN'!$A$1:$O$104,15,0))</f>
        <v>0</v>
      </c>
      <c r="Y254" s="6">
        <f ca="1">('TUSD BE'!$AM$12+'TUSD BF'!$AM$12+'TUSD CVA'!$AM$12)*1</f>
        <v>12.796774750698974</v>
      </c>
      <c r="Z254" s="6"/>
      <c r="AA254" s="6"/>
      <c r="AB254" s="6">
        <f>$K$254*$V$254</f>
        <v>64822.5</v>
      </c>
      <c r="AC254" s="6">
        <f>$M$254*$W$254</f>
        <v>0</v>
      </c>
      <c r="AD254" s="6">
        <f>$O$254*$X$254</f>
        <v>0</v>
      </c>
      <c r="AE254" s="6">
        <f ca="1">$K$254*$Y$254</f>
        <v>64303.793122262345</v>
      </c>
      <c r="AF254" s="6">
        <f>$M$254*$Z$254</f>
        <v>0</v>
      </c>
      <c r="AG254" s="6">
        <f>$O$254*$AA$254</f>
        <v>0</v>
      </c>
    </row>
    <row r="255" spans="1:33" ht="11.25" customHeight="1" x14ac:dyDescent="0.25">
      <c r="A255" s="4" t="s">
        <v>21</v>
      </c>
      <c r="B255" s="4" t="s">
        <v>39</v>
      </c>
      <c r="C255" s="4" t="s">
        <v>66</v>
      </c>
      <c r="D255" s="4" t="s">
        <v>25</v>
      </c>
      <c r="E255" s="4" t="s">
        <v>25</v>
      </c>
      <c r="F255" s="4" t="s">
        <v>25</v>
      </c>
      <c r="G255" s="4" t="s">
        <v>73</v>
      </c>
      <c r="H255" s="4" t="s">
        <v>25</v>
      </c>
      <c r="I255" s="5">
        <v>44501</v>
      </c>
      <c r="J255" s="6">
        <v>44450</v>
      </c>
      <c r="K255" s="6">
        <v>22225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4" t="s">
        <v>68</v>
      </c>
      <c r="R255" s="4">
        <v>29092</v>
      </c>
      <c r="S255" s="6">
        <v>16</v>
      </c>
      <c r="T255" s="6">
        <v>0</v>
      </c>
      <c r="U255" s="6">
        <v>0</v>
      </c>
      <c r="V255" s="6">
        <f>IF(ISERROR(VLOOKUP($S$255,'TAR FIN'!$A$1:$O$104,15,0)),0,VLOOKUP($S$255,'TAR FIN'!$A$1:$O$104,15,0))</f>
        <v>12.9</v>
      </c>
      <c r="W255" s="6">
        <f>IF(ISERROR(VLOOKUP($T$255,'TAR FIN'!$A$1:$O$104,15,0)),0,VLOOKUP($T$255,'TAR FIN'!$A$1:$O$104,15,0))</f>
        <v>0</v>
      </c>
      <c r="X255" s="6">
        <f>IF(ISERROR(VLOOKUP($U$255,'TAR FIN'!$A$1:$O$104,15,0)),0,VLOOKUP($U$255,'TAR FIN'!$A$1:$O$104,15,0))</f>
        <v>0</v>
      </c>
      <c r="Y255" s="6">
        <f ca="1">('TUSD BE'!$AM$12+'TUSD BF'!$AM$12+'TUSD CVA'!$AM$12)*1</f>
        <v>12.796774750698974</v>
      </c>
      <c r="Z255" s="6"/>
      <c r="AA255" s="6"/>
      <c r="AB255" s="6">
        <f>$K$255*$V$255</f>
        <v>286702.5</v>
      </c>
      <c r="AC255" s="6">
        <f>$M$255*$W$255</f>
        <v>0</v>
      </c>
      <c r="AD255" s="6">
        <f>$O$255*$X$255</f>
        <v>0</v>
      </c>
      <c r="AE255" s="6">
        <f ca="1">$K$255*$Y$255</f>
        <v>284408.31883428473</v>
      </c>
      <c r="AF255" s="6">
        <f>$M$255*$Z$255</f>
        <v>0</v>
      </c>
      <c r="AG255" s="6">
        <f>$O$255*$AA$255</f>
        <v>0</v>
      </c>
    </row>
    <row r="256" spans="1:33" ht="11.25" customHeight="1" x14ac:dyDescent="0.25">
      <c r="A256" s="4" t="s">
        <v>21</v>
      </c>
      <c r="B256" s="4" t="s">
        <v>39</v>
      </c>
      <c r="C256" s="4" t="s">
        <v>66</v>
      </c>
      <c r="D256" s="4" t="s">
        <v>25</v>
      </c>
      <c r="E256" s="4" t="s">
        <v>25</v>
      </c>
      <c r="F256" s="4" t="s">
        <v>25</v>
      </c>
      <c r="G256" s="4" t="s">
        <v>75</v>
      </c>
      <c r="H256" s="4" t="s">
        <v>25</v>
      </c>
      <c r="I256" s="5">
        <v>44501</v>
      </c>
      <c r="J256" s="6">
        <v>30000</v>
      </c>
      <c r="K256" s="6">
        <v>15000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4" t="s">
        <v>68</v>
      </c>
      <c r="R256" s="4">
        <v>33663</v>
      </c>
      <c r="S256" s="6">
        <v>16</v>
      </c>
      <c r="T256" s="6">
        <v>0</v>
      </c>
      <c r="U256" s="6">
        <v>0</v>
      </c>
      <c r="V256" s="6">
        <f>IF(ISERROR(VLOOKUP($S$256,'TAR FIN'!$A$1:$O$104,15,0)),0,VLOOKUP($S$256,'TAR FIN'!$A$1:$O$104,15,0))</f>
        <v>12.9</v>
      </c>
      <c r="W256" s="6">
        <f>IF(ISERROR(VLOOKUP($T$256,'TAR FIN'!$A$1:$O$104,15,0)),0,VLOOKUP($T$256,'TAR FIN'!$A$1:$O$104,15,0))</f>
        <v>0</v>
      </c>
      <c r="X256" s="6">
        <f>IF(ISERROR(VLOOKUP($U$256,'TAR FIN'!$A$1:$O$104,15,0)),0,VLOOKUP($U$256,'TAR FIN'!$A$1:$O$104,15,0))</f>
        <v>0</v>
      </c>
      <c r="Y256" s="6">
        <f ca="1">('TUSD BE'!$AM$12+'TUSD BF'!$AM$12+'TUSD CVA'!$AM$12)*1</f>
        <v>12.796774750698974</v>
      </c>
      <c r="Z256" s="6"/>
      <c r="AA256" s="6"/>
      <c r="AB256" s="6">
        <f>$K$256*$V$256</f>
        <v>193500</v>
      </c>
      <c r="AC256" s="6">
        <f>$M$256*$W$256</f>
        <v>0</v>
      </c>
      <c r="AD256" s="6">
        <f>$O$256*$X$256</f>
        <v>0</v>
      </c>
      <c r="AE256" s="6">
        <f ca="1">$K$256*$Y$256</f>
        <v>191951.62126048462</v>
      </c>
      <c r="AF256" s="6">
        <f>$M$256*$Z$256</f>
        <v>0</v>
      </c>
      <c r="AG256" s="6">
        <f>$O$256*$AA$256</f>
        <v>0</v>
      </c>
    </row>
    <row r="257" spans="1:33" ht="11.25" customHeight="1" x14ac:dyDescent="0.25">
      <c r="A257" s="4" t="s">
        <v>21</v>
      </c>
      <c r="B257" s="4" t="s">
        <v>39</v>
      </c>
      <c r="C257" s="4" t="s">
        <v>66</v>
      </c>
      <c r="D257" s="4" t="s">
        <v>25</v>
      </c>
      <c r="E257" s="4" t="s">
        <v>25</v>
      </c>
      <c r="F257" s="4" t="s">
        <v>25</v>
      </c>
      <c r="G257" s="4" t="s">
        <v>76</v>
      </c>
      <c r="H257" s="4" t="s">
        <v>25</v>
      </c>
      <c r="I257" s="5">
        <v>44501</v>
      </c>
      <c r="J257" s="6">
        <v>30000</v>
      </c>
      <c r="K257" s="6">
        <v>15000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4" t="s">
        <v>68</v>
      </c>
      <c r="R257" s="4">
        <v>33664</v>
      </c>
      <c r="S257" s="6">
        <v>16</v>
      </c>
      <c r="T257" s="6">
        <v>0</v>
      </c>
      <c r="U257" s="6">
        <v>0</v>
      </c>
      <c r="V257" s="6">
        <f>IF(ISERROR(VLOOKUP($S$257,'TAR FIN'!$A$1:$O$104,15,0)),0,VLOOKUP($S$257,'TAR FIN'!$A$1:$O$104,15,0))</f>
        <v>12.9</v>
      </c>
      <c r="W257" s="6">
        <f>IF(ISERROR(VLOOKUP($T$257,'TAR FIN'!$A$1:$O$104,15,0)),0,VLOOKUP($T$257,'TAR FIN'!$A$1:$O$104,15,0))</f>
        <v>0</v>
      </c>
      <c r="X257" s="6">
        <f>IF(ISERROR(VLOOKUP($U$257,'TAR FIN'!$A$1:$O$104,15,0)),0,VLOOKUP($U$257,'TAR FIN'!$A$1:$O$104,15,0))</f>
        <v>0</v>
      </c>
      <c r="Y257" s="6">
        <f ca="1">('TUSD BE'!$AM$12+'TUSD BF'!$AM$12+'TUSD CVA'!$AM$12)*1</f>
        <v>12.796774750698974</v>
      </c>
      <c r="Z257" s="6"/>
      <c r="AA257" s="6"/>
      <c r="AB257" s="6">
        <f>$K$257*$V$257</f>
        <v>193500</v>
      </c>
      <c r="AC257" s="6">
        <f>$M$257*$W$257</f>
        <v>0</v>
      </c>
      <c r="AD257" s="6">
        <f>$O$257*$X$257</f>
        <v>0</v>
      </c>
      <c r="AE257" s="6">
        <f ca="1">$K$257*$Y$257</f>
        <v>191951.62126048462</v>
      </c>
      <c r="AF257" s="6">
        <f>$M$257*$Z$257</f>
        <v>0</v>
      </c>
      <c r="AG257" s="6">
        <f>$O$257*$AA$257</f>
        <v>0</v>
      </c>
    </row>
    <row r="258" spans="1:33" ht="11.25" customHeight="1" x14ac:dyDescent="0.25">
      <c r="A258" s="4" t="s">
        <v>21</v>
      </c>
      <c r="B258" s="4" t="s">
        <v>39</v>
      </c>
      <c r="C258" s="4" t="s">
        <v>66</v>
      </c>
      <c r="D258" s="4" t="s">
        <v>25</v>
      </c>
      <c r="E258" s="4" t="s">
        <v>25</v>
      </c>
      <c r="F258" s="4" t="s">
        <v>25</v>
      </c>
      <c r="G258" s="4" t="s">
        <v>77</v>
      </c>
      <c r="H258" s="4" t="s">
        <v>25</v>
      </c>
      <c r="I258" s="5">
        <v>44501</v>
      </c>
      <c r="J258" s="6">
        <v>30000</v>
      </c>
      <c r="K258" s="6">
        <v>15000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4" t="s">
        <v>68</v>
      </c>
      <c r="R258" s="4">
        <v>33665</v>
      </c>
      <c r="S258" s="6">
        <v>16</v>
      </c>
      <c r="T258" s="6">
        <v>0</v>
      </c>
      <c r="U258" s="6">
        <v>0</v>
      </c>
      <c r="V258" s="6">
        <f>IF(ISERROR(VLOOKUP($S$258,'TAR FIN'!$A$1:$O$104,15,0)),0,VLOOKUP($S$258,'TAR FIN'!$A$1:$O$104,15,0))</f>
        <v>12.9</v>
      </c>
      <c r="W258" s="6">
        <f>IF(ISERROR(VLOOKUP($T$258,'TAR FIN'!$A$1:$O$104,15,0)),0,VLOOKUP($T$258,'TAR FIN'!$A$1:$O$104,15,0))</f>
        <v>0</v>
      </c>
      <c r="X258" s="6">
        <f>IF(ISERROR(VLOOKUP($U$258,'TAR FIN'!$A$1:$O$104,15,0)),0,VLOOKUP($U$258,'TAR FIN'!$A$1:$O$104,15,0))</f>
        <v>0</v>
      </c>
      <c r="Y258" s="6">
        <f ca="1">('TUSD BE'!$AM$12+'TUSD BF'!$AM$12+'TUSD CVA'!$AM$12)*1</f>
        <v>12.796774750698974</v>
      </c>
      <c r="Z258" s="6"/>
      <c r="AA258" s="6"/>
      <c r="AB258" s="6">
        <f>$K$258*$V$258</f>
        <v>193500</v>
      </c>
      <c r="AC258" s="6">
        <f>$M$258*$W$258</f>
        <v>0</v>
      </c>
      <c r="AD258" s="6">
        <f>$O$258*$X$258</f>
        <v>0</v>
      </c>
      <c r="AE258" s="6">
        <f ca="1">$K$258*$Y$258</f>
        <v>191951.62126048462</v>
      </c>
      <c r="AF258" s="6">
        <f>$M$258*$Z$258</f>
        <v>0</v>
      </c>
      <c r="AG258" s="6">
        <f>$O$258*$AA$258</f>
        <v>0</v>
      </c>
    </row>
    <row r="259" spans="1:33" ht="11.25" customHeight="1" x14ac:dyDescent="0.25">
      <c r="A259" s="4" t="s">
        <v>21</v>
      </c>
      <c r="B259" s="4" t="s">
        <v>39</v>
      </c>
      <c r="C259" s="4" t="s">
        <v>66</v>
      </c>
      <c r="D259" s="4" t="s">
        <v>25</v>
      </c>
      <c r="E259" s="4" t="s">
        <v>25</v>
      </c>
      <c r="F259" s="4" t="s">
        <v>25</v>
      </c>
      <c r="G259" s="4" t="s">
        <v>78</v>
      </c>
      <c r="H259" s="4" t="s">
        <v>25</v>
      </c>
      <c r="I259" s="5">
        <v>44501</v>
      </c>
      <c r="J259" s="6">
        <v>27000</v>
      </c>
      <c r="K259" s="6">
        <v>13500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4" t="s">
        <v>68</v>
      </c>
      <c r="R259" s="4">
        <v>34085</v>
      </c>
      <c r="S259" s="6">
        <v>16</v>
      </c>
      <c r="T259" s="6">
        <v>0</v>
      </c>
      <c r="U259" s="6">
        <v>0</v>
      </c>
      <c r="V259" s="6">
        <f>IF(ISERROR(VLOOKUP($S$259,'TAR FIN'!$A$1:$O$104,15,0)),0,VLOOKUP($S$259,'TAR FIN'!$A$1:$O$104,15,0))</f>
        <v>12.9</v>
      </c>
      <c r="W259" s="6">
        <f>IF(ISERROR(VLOOKUP($T$259,'TAR FIN'!$A$1:$O$104,15,0)),0,VLOOKUP($T$259,'TAR FIN'!$A$1:$O$104,15,0))</f>
        <v>0</v>
      </c>
      <c r="X259" s="6">
        <f>IF(ISERROR(VLOOKUP($U$259,'TAR FIN'!$A$1:$O$104,15,0)),0,VLOOKUP($U$259,'TAR FIN'!$A$1:$O$104,15,0))</f>
        <v>0</v>
      </c>
      <c r="Y259" s="6">
        <f ca="1">('TUSD BE'!$AM$12+'TUSD BF'!$AM$12+'TUSD CVA'!$AM$12)*1</f>
        <v>12.796774750698974</v>
      </c>
      <c r="Z259" s="6"/>
      <c r="AA259" s="6"/>
      <c r="AB259" s="6">
        <f>$K$259*$V$259</f>
        <v>174150</v>
      </c>
      <c r="AC259" s="6">
        <f>$M$259*$W$259</f>
        <v>0</v>
      </c>
      <c r="AD259" s="6">
        <f>$O$259*$X$259</f>
        <v>0</v>
      </c>
      <c r="AE259" s="6">
        <f ca="1">$K$259*$Y$259</f>
        <v>172756.45913443615</v>
      </c>
      <c r="AF259" s="6">
        <f>$M$259*$Z$259</f>
        <v>0</v>
      </c>
      <c r="AG259" s="6">
        <f>$O$259*$AA$259</f>
        <v>0</v>
      </c>
    </row>
    <row r="260" spans="1:33" ht="11.25" customHeight="1" x14ac:dyDescent="0.25">
      <c r="A260" s="4" t="s">
        <v>21</v>
      </c>
      <c r="B260" s="4" t="s">
        <v>39</v>
      </c>
      <c r="C260" s="4" t="s">
        <v>66</v>
      </c>
      <c r="D260" s="4" t="s">
        <v>25</v>
      </c>
      <c r="E260" s="4" t="s">
        <v>25</v>
      </c>
      <c r="F260" s="4" t="s">
        <v>25</v>
      </c>
      <c r="G260" s="4" t="s">
        <v>79</v>
      </c>
      <c r="H260" s="4" t="s">
        <v>25</v>
      </c>
      <c r="I260" s="5">
        <v>44501</v>
      </c>
      <c r="J260" s="6">
        <v>27000</v>
      </c>
      <c r="K260" s="6">
        <v>13500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4" t="s">
        <v>68</v>
      </c>
      <c r="R260" s="4">
        <v>34086</v>
      </c>
      <c r="S260" s="6">
        <v>16</v>
      </c>
      <c r="T260" s="6">
        <v>0</v>
      </c>
      <c r="U260" s="6">
        <v>0</v>
      </c>
      <c r="V260" s="6">
        <f>IF(ISERROR(VLOOKUP($S$260,'TAR FIN'!$A$1:$O$104,15,0)),0,VLOOKUP($S$260,'TAR FIN'!$A$1:$O$104,15,0))</f>
        <v>12.9</v>
      </c>
      <c r="W260" s="6">
        <f>IF(ISERROR(VLOOKUP($T$260,'TAR FIN'!$A$1:$O$104,15,0)),0,VLOOKUP($T$260,'TAR FIN'!$A$1:$O$104,15,0))</f>
        <v>0</v>
      </c>
      <c r="X260" s="6">
        <f>IF(ISERROR(VLOOKUP($U$260,'TAR FIN'!$A$1:$O$104,15,0)),0,VLOOKUP($U$260,'TAR FIN'!$A$1:$O$104,15,0))</f>
        <v>0</v>
      </c>
      <c r="Y260" s="6">
        <f ca="1">('TUSD BE'!$AM$12+'TUSD BF'!$AM$12+'TUSD CVA'!$AM$12)*1</f>
        <v>12.796774750698974</v>
      </c>
      <c r="Z260" s="6"/>
      <c r="AA260" s="6"/>
      <c r="AB260" s="6">
        <f>$K$260*$V$260</f>
        <v>174150</v>
      </c>
      <c r="AC260" s="6">
        <f>$M$260*$W$260</f>
        <v>0</v>
      </c>
      <c r="AD260" s="6">
        <f>$O$260*$X$260</f>
        <v>0</v>
      </c>
      <c r="AE260" s="6">
        <f ca="1">$K$260*$Y$260</f>
        <v>172756.45913443615</v>
      </c>
      <c r="AF260" s="6">
        <f>$M$260*$Z$260</f>
        <v>0</v>
      </c>
      <c r="AG260" s="6">
        <f>$O$260*$AA$260</f>
        <v>0</v>
      </c>
    </row>
    <row r="261" spans="1:33" ht="11.25" customHeight="1" x14ac:dyDescent="0.25">
      <c r="A261" s="4" t="s">
        <v>21</v>
      </c>
      <c r="B261" s="4" t="s">
        <v>39</v>
      </c>
      <c r="C261" s="4" t="s">
        <v>66</v>
      </c>
      <c r="D261" s="4" t="s">
        <v>25</v>
      </c>
      <c r="E261" s="4" t="s">
        <v>25</v>
      </c>
      <c r="F261" s="4" t="s">
        <v>25</v>
      </c>
      <c r="G261" s="4" t="s">
        <v>67</v>
      </c>
      <c r="H261" s="4" t="s">
        <v>25</v>
      </c>
      <c r="I261" s="5">
        <v>44531</v>
      </c>
      <c r="J261" s="6">
        <v>3500</v>
      </c>
      <c r="K261" s="6">
        <v>3500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4" t="s">
        <v>68</v>
      </c>
      <c r="R261" s="4">
        <v>27402</v>
      </c>
      <c r="S261" s="6">
        <v>16</v>
      </c>
      <c r="T261" s="6">
        <v>0</v>
      </c>
      <c r="U261" s="6">
        <v>0</v>
      </c>
      <c r="V261" s="6">
        <f>IF(ISERROR(VLOOKUP($S$261,'TAR FIN'!$A$1:$O$104,15,0)),0,VLOOKUP($S$261,'TAR FIN'!$A$1:$O$104,15,0))</f>
        <v>12.9</v>
      </c>
      <c r="W261" s="6">
        <f>IF(ISERROR(VLOOKUP($T$261,'TAR FIN'!$A$1:$O$104,15,0)),0,VLOOKUP($T$261,'TAR FIN'!$A$1:$O$104,15,0))</f>
        <v>0</v>
      </c>
      <c r="X261" s="6">
        <f>IF(ISERROR(VLOOKUP($U$261,'TAR FIN'!$A$1:$O$104,15,0)),0,VLOOKUP($U$261,'TAR FIN'!$A$1:$O$104,15,0))</f>
        <v>0</v>
      </c>
      <c r="Y261" s="6">
        <f ca="1">('TUSD BE'!$AM$12+'TUSD BF'!$AM$12+'TUSD CVA'!$AM$12)*1</f>
        <v>12.796774750698974</v>
      </c>
      <c r="Z261" s="6"/>
      <c r="AA261" s="6"/>
      <c r="AB261" s="6">
        <f>$K$261*$V$261</f>
        <v>45150</v>
      </c>
      <c r="AC261" s="6">
        <f>$M$261*$W$261</f>
        <v>0</v>
      </c>
      <c r="AD261" s="6">
        <f>$O$261*$X$261</f>
        <v>0</v>
      </c>
      <c r="AE261" s="6">
        <f ca="1">$K$261*$Y$261</f>
        <v>44788.711627446406</v>
      </c>
      <c r="AF261" s="6">
        <f>$M$261*$Z$261</f>
        <v>0</v>
      </c>
      <c r="AG261" s="6">
        <f>$O$261*$AA$261</f>
        <v>0</v>
      </c>
    </row>
    <row r="262" spans="1:33" ht="11.25" customHeight="1" x14ac:dyDescent="0.25">
      <c r="A262" s="4" t="s">
        <v>21</v>
      </c>
      <c r="B262" s="4" t="s">
        <v>39</v>
      </c>
      <c r="C262" s="4" t="s">
        <v>66</v>
      </c>
      <c r="D262" s="4" t="s">
        <v>25</v>
      </c>
      <c r="E262" s="4" t="s">
        <v>25</v>
      </c>
      <c r="F262" s="4" t="s">
        <v>25</v>
      </c>
      <c r="G262" s="4" t="s">
        <v>69</v>
      </c>
      <c r="H262" s="4" t="s">
        <v>25</v>
      </c>
      <c r="I262" s="5">
        <v>44531</v>
      </c>
      <c r="J262" s="6">
        <v>3322</v>
      </c>
      <c r="K262" s="6">
        <v>1661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4" t="s">
        <v>68</v>
      </c>
      <c r="R262" s="4">
        <v>28515</v>
      </c>
      <c r="S262" s="6">
        <v>16</v>
      </c>
      <c r="T262" s="6">
        <v>0</v>
      </c>
      <c r="U262" s="6">
        <v>0</v>
      </c>
      <c r="V262" s="6">
        <f>IF(ISERROR(VLOOKUP($S$262,'TAR FIN'!$A$1:$O$104,15,0)),0,VLOOKUP($S$262,'TAR FIN'!$A$1:$O$104,15,0))</f>
        <v>12.9</v>
      </c>
      <c r="W262" s="6">
        <f>IF(ISERROR(VLOOKUP($T$262,'TAR FIN'!$A$1:$O$104,15,0)),0,VLOOKUP($T$262,'TAR FIN'!$A$1:$O$104,15,0))</f>
        <v>0</v>
      </c>
      <c r="X262" s="6">
        <f>IF(ISERROR(VLOOKUP($U$262,'TAR FIN'!$A$1:$O$104,15,0)),0,VLOOKUP($U$262,'TAR FIN'!$A$1:$O$104,15,0))</f>
        <v>0</v>
      </c>
      <c r="Y262" s="6">
        <f ca="1">('TUSD BE'!$AM$12+'TUSD BF'!$AM$12+'TUSD CVA'!$AM$12)*1</f>
        <v>12.796774750698974</v>
      </c>
      <c r="Z262" s="6"/>
      <c r="AA262" s="6"/>
      <c r="AB262" s="6">
        <f>$K$262*$V$262</f>
        <v>21426.9</v>
      </c>
      <c r="AC262" s="6">
        <f>$M$262*$W$262</f>
        <v>0</v>
      </c>
      <c r="AD262" s="6">
        <f>$O$262*$X$262</f>
        <v>0</v>
      </c>
      <c r="AE262" s="6">
        <f ca="1">$K$262*$Y$262</f>
        <v>21255.442860910996</v>
      </c>
      <c r="AF262" s="6">
        <f>$M$262*$Z$262</f>
        <v>0</v>
      </c>
      <c r="AG262" s="6">
        <f>$O$262*$AA$262</f>
        <v>0</v>
      </c>
    </row>
    <row r="263" spans="1:33" ht="11.25" customHeight="1" x14ac:dyDescent="0.25">
      <c r="A263" s="4" t="s">
        <v>21</v>
      </c>
      <c r="B263" s="4" t="s">
        <v>39</v>
      </c>
      <c r="C263" s="4" t="s">
        <v>66</v>
      </c>
      <c r="D263" s="4" t="s">
        <v>25</v>
      </c>
      <c r="E263" s="4" t="s">
        <v>25</v>
      </c>
      <c r="F263" s="4" t="s">
        <v>25</v>
      </c>
      <c r="G263" s="4" t="s">
        <v>70</v>
      </c>
      <c r="H263" s="4" t="s">
        <v>25</v>
      </c>
      <c r="I263" s="5">
        <v>44531</v>
      </c>
      <c r="J263" s="6">
        <v>12140</v>
      </c>
      <c r="K263" s="6">
        <v>6070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4" t="s">
        <v>68</v>
      </c>
      <c r="R263" s="4">
        <v>28957</v>
      </c>
      <c r="S263" s="6">
        <v>16</v>
      </c>
      <c r="T263" s="6">
        <v>0</v>
      </c>
      <c r="U263" s="6">
        <v>0</v>
      </c>
      <c r="V263" s="6">
        <f>IF(ISERROR(VLOOKUP($S$263,'TAR FIN'!$A$1:$O$104,15,0)),0,VLOOKUP($S$263,'TAR FIN'!$A$1:$O$104,15,0))</f>
        <v>12.9</v>
      </c>
      <c r="W263" s="6">
        <f>IF(ISERROR(VLOOKUP($T$263,'TAR FIN'!$A$1:$O$104,15,0)),0,VLOOKUP($T$263,'TAR FIN'!$A$1:$O$104,15,0))</f>
        <v>0</v>
      </c>
      <c r="X263" s="6">
        <f>IF(ISERROR(VLOOKUP($U$263,'TAR FIN'!$A$1:$O$104,15,0)),0,VLOOKUP($U$263,'TAR FIN'!$A$1:$O$104,15,0))</f>
        <v>0</v>
      </c>
      <c r="Y263" s="6">
        <f ca="1">('TUSD BE'!$AM$12+'TUSD BF'!$AM$12+'TUSD CVA'!$AM$12)*1</f>
        <v>12.796774750698974</v>
      </c>
      <c r="Z263" s="6"/>
      <c r="AA263" s="6"/>
      <c r="AB263" s="6">
        <f>$K$263*$V$263</f>
        <v>78303</v>
      </c>
      <c r="AC263" s="6">
        <f>$M$263*$W$263</f>
        <v>0</v>
      </c>
      <c r="AD263" s="6">
        <f>$O$263*$X$263</f>
        <v>0</v>
      </c>
      <c r="AE263" s="6">
        <f ca="1">$K$263*$Y$263</f>
        <v>77676.422736742767</v>
      </c>
      <c r="AF263" s="6">
        <f>$M$263*$Z$263</f>
        <v>0</v>
      </c>
      <c r="AG263" s="6">
        <f>$O$263*$AA$263</f>
        <v>0</v>
      </c>
    </row>
    <row r="264" spans="1:33" ht="11.25" customHeight="1" x14ac:dyDescent="0.25">
      <c r="A264" s="4" t="s">
        <v>21</v>
      </c>
      <c r="B264" s="4" t="s">
        <v>39</v>
      </c>
      <c r="C264" s="4" t="s">
        <v>66</v>
      </c>
      <c r="D264" s="4" t="s">
        <v>25</v>
      </c>
      <c r="E264" s="4" t="s">
        <v>25</v>
      </c>
      <c r="F264" s="4" t="s">
        <v>25</v>
      </c>
      <c r="G264" s="4" t="s">
        <v>71</v>
      </c>
      <c r="H264" s="4" t="s">
        <v>25</v>
      </c>
      <c r="I264" s="5">
        <v>44531</v>
      </c>
      <c r="J264" s="6">
        <v>10050</v>
      </c>
      <c r="K264" s="6">
        <v>5025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4" t="s">
        <v>68</v>
      </c>
      <c r="R264" s="4">
        <v>29041</v>
      </c>
      <c r="S264" s="6">
        <v>16</v>
      </c>
      <c r="T264" s="6">
        <v>0</v>
      </c>
      <c r="U264" s="6">
        <v>0</v>
      </c>
      <c r="V264" s="6">
        <f>IF(ISERROR(VLOOKUP($S$264,'TAR FIN'!$A$1:$O$104,15,0)),0,VLOOKUP($S$264,'TAR FIN'!$A$1:$O$104,15,0))</f>
        <v>12.9</v>
      </c>
      <c r="W264" s="6">
        <f>IF(ISERROR(VLOOKUP($T$264,'TAR FIN'!$A$1:$O$104,15,0)),0,VLOOKUP($T$264,'TAR FIN'!$A$1:$O$104,15,0))</f>
        <v>0</v>
      </c>
      <c r="X264" s="6">
        <f>IF(ISERROR(VLOOKUP($U$264,'TAR FIN'!$A$1:$O$104,15,0)),0,VLOOKUP($U$264,'TAR FIN'!$A$1:$O$104,15,0))</f>
        <v>0</v>
      </c>
      <c r="Y264" s="6">
        <f ca="1">('TUSD BE'!$AM$12+'TUSD BF'!$AM$12+'TUSD CVA'!$AM$12)*1</f>
        <v>12.796774750698974</v>
      </c>
      <c r="Z264" s="6"/>
      <c r="AA264" s="6"/>
      <c r="AB264" s="6">
        <f>$K$264*$V$264</f>
        <v>64822.5</v>
      </c>
      <c r="AC264" s="6">
        <f>$M$264*$W$264</f>
        <v>0</v>
      </c>
      <c r="AD264" s="6">
        <f>$O$264*$X$264</f>
        <v>0</v>
      </c>
      <c r="AE264" s="6">
        <f ca="1">$K$264*$Y$264</f>
        <v>64303.793122262345</v>
      </c>
      <c r="AF264" s="6">
        <f>$M$264*$Z$264</f>
        <v>0</v>
      </c>
      <c r="AG264" s="6">
        <f>$O$264*$AA$264</f>
        <v>0</v>
      </c>
    </row>
    <row r="265" spans="1:33" ht="11.25" customHeight="1" x14ac:dyDescent="0.25">
      <c r="A265" s="4" t="s">
        <v>21</v>
      </c>
      <c r="B265" s="4" t="s">
        <v>39</v>
      </c>
      <c r="C265" s="4" t="s">
        <v>66</v>
      </c>
      <c r="D265" s="4" t="s">
        <v>25</v>
      </c>
      <c r="E265" s="4" t="s">
        <v>25</v>
      </c>
      <c r="F265" s="4" t="s">
        <v>25</v>
      </c>
      <c r="G265" s="4" t="s">
        <v>73</v>
      </c>
      <c r="H265" s="4" t="s">
        <v>25</v>
      </c>
      <c r="I265" s="5">
        <v>44531</v>
      </c>
      <c r="J265" s="6">
        <v>44450</v>
      </c>
      <c r="K265" s="6">
        <v>22225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4" t="s">
        <v>68</v>
      </c>
      <c r="R265" s="4">
        <v>29092</v>
      </c>
      <c r="S265" s="6">
        <v>16</v>
      </c>
      <c r="T265" s="6">
        <v>0</v>
      </c>
      <c r="U265" s="6">
        <v>0</v>
      </c>
      <c r="V265" s="6">
        <f>IF(ISERROR(VLOOKUP($S$265,'TAR FIN'!$A$1:$O$104,15,0)),0,VLOOKUP($S$265,'TAR FIN'!$A$1:$O$104,15,0))</f>
        <v>12.9</v>
      </c>
      <c r="W265" s="6">
        <f>IF(ISERROR(VLOOKUP($T$265,'TAR FIN'!$A$1:$O$104,15,0)),0,VLOOKUP($T$265,'TAR FIN'!$A$1:$O$104,15,0))</f>
        <v>0</v>
      </c>
      <c r="X265" s="6">
        <f>IF(ISERROR(VLOOKUP($U$265,'TAR FIN'!$A$1:$O$104,15,0)),0,VLOOKUP($U$265,'TAR FIN'!$A$1:$O$104,15,0))</f>
        <v>0</v>
      </c>
      <c r="Y265" s="6">
        <f ca="1">('TUSD BE'!$AM$12+'TUSD BF'!$AM$12+'TUSD CVA'!$AM$12)*1</f>
        <v>12.796774750698974</v>
      </c>
      <c r="Z265" s="6"/>
      <c r="AA265" s="6"/>
      <c r="AB265" s="6">
        <f>$K$265*$V$265</f>
        <v>286702.5</v>
      </c>
      <c r="AC265" s="6">
        <f>$M$265*$W$265</f>
        <v>0</v>
      </c>
      <c r="AD265" s="6">
        <f>$O$265*$X$265</f>
        <v>0</v>
      </c>
      <c r="AE265" s="6">
        <f ca="1">$K$265*$Y$265</f>
        <v>284408.31883428473</v>
      </c>
      <c r="AF265" s="6">
        <f>$M$265*$Z$265</f>
        <v>0</v>
      </c>
      <c r="AG265" s="6">
        <f>$O$265*$AA$265</f>
        <v>0</v>
      </c>
    </row>
    <row r="266" spans="1:33" ht="11.25" customHeight="1" x14ac:dyDescent="0.25">
      <c r="A266" s="4" t="s">
        <v>21</v>
      </c>
      <c r="B266" s="4" t="s">
        <v>39</v>
      </c>
      <c r="C266" s="4" t="s">
        <v>66</v>
      </c>
      <c r="D266" s="4" t="s">
        <v>25</v>
      </c>
      <c r="E266" s="4" t="s">
        <v>25</v>
      </c>
      <c r="F266" s="4" t="s">
        <v>25</v>
      </c>
      <c r="G266" s="4" t="s">
        <v>75</v>
      </c>
      <c r="H266" s="4" t="s">
        <v>25</v>
      </c>
      <c r="I266" s="5">
        <v>44531</v>
      </c>
      <c r="J266" s="6">
        <v>30000</v>
      </c>
      <c r="K266" s="6">
        <v>15000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4" t="s">
        <v>68</v>
      </c>
      <c r="R266" s="4">
        <v>33663</v>
      </c>
      <c r="S266" s="6">
        <v>16</v>
      </c>
      <c r="T266" s="6">
        <v>0</v>
      </c>
      <c r="U266" s="6">
        <v>0</v>
      </c>
      <c r="V266" s="6">
        <f>IF(ISERROR(VLOOKUP($S$266,'TAR FIN'!$A$1:$O$104,15,0)),0,VLOOKUP($S$266,'TAR FIN'!$A$1:$O$104,15,0))</f>
        <v>12.9</v>
      </c>
      <c r="W266" s="6">
        <f>IF(ISERROR(VLOOKUP($T$266,'TAR FIN'!$A$1:$O$104,15,0)),0,VLOOKUP($T$266,'TAR FIN'!$A$1:$O$104,15,0))</f>
        <v>0</v>
      </c>
      <c r="X266" s="6">
        <f>IF(ISERROR(VLOOKUP($U$266,'TAR FIN'!$A$1:$O$104,15,0)),0,VLOOKUP($U$266,'TAR FIN'!$A$1:$O$104,15,0))</f>
        <v>0</v>
      </c>
      <c r="Y266" s="6">
        <f ca="1">('TUSD BE'!$AM$12+'TUSD BF'!$AM$12+'TUSD CVA'!$AM$12)*1</f>
        <v>12.796774750698974</v>
      </c>
      <c r="Z266" s="6"/>
      <c r="AA266" s="6"/>
      <c r="AB266" s="6">
        <f>$K$266*$V$266</f>
        <v>193500</v>
      </c>
      <c r="AC266" s="6">
        <f>$M$266*$W$266</f>
        <v>0</v>
      </c>
      <c r="AD266" s="6">
        <f>$O$266*$X$266</f>
        <v>0</v>
      </c>
      <c r="AE266" s="6">
        <f ca="1">$K$266*$Y$266</f>
        <v>191951.62126048462</v>
      </c>
      <c r="AF266" s="6">
        <f>$M$266*$Z$266</f>
        <v>0</v>
      </c>
      <c r="AG266" s="6">
        <f>$O$266*$AA$266</f>
        <v>0</v>
      </c>
    </row>
    <row r="267" spans="1:33" ht="11.25" customHeight="1" x14ac:dyDescent="0.25">
      <c r="A267" s="4" t="s">
        <v>21</v>
      </c>
      <c r="B267" s="4" t="s">
        <v>39</v>
      </c>
      <c r="C267" s="4" t="s">
        <v>66</v>
      </c>
      <c r="D267" s="4" t="s">
        <v>25</v>
      </c>
      <c r="E267" s="4" t="s">
        <v>25</v>
      </c>
      <c r="F267" s="4" t="s">
        <v>25</v>
      </c>
      <c r="G267" s="4" t="s">
        <v>76</v>
      </c>
      <c r="H267" s="4" t="s">
        <v>25</v>
      </c>
      <c r="I267" s="5">
        <v>44531</v>
      </c>
      <c r="J267" s="6">
        <v>30000</v>
      </c>
      <c r="K267" s="6">
        <v>15000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4" t="s">
        <v>68</v>
      </c>
      <c r="R267" s="4">
        <v>33664</v>
      </c>
      <c r="S267" s="6">
        <v>16</v>
      </c>
      <c r="T267" s="6">
        <v>0</v>
      </c>
      <c r="U267" s="6">
        <v>0</v>
      </c>
      <c r="V267" s="6">
        <f>IF(ISERROR(VLOOKUP($S$267,'TAR FIN'!$A$1:$O$104,15,0)),0,VLOOKUP($S$267,'TAR FIN'!$A$1:$O$104,15,0))</f>
        <v>12.9</v>
      </c>
      <c r="W267" s="6">
        <f>IF(ISERROR(VLOOKUP($T$267,'TAR FIN'!$A$1:$O$104,15,0)),0,VLOOKUP($T$267,'TAR FIN'!$A$1:$O$104,15,0))</f>
        <v>0</v>
      </c>
      <c r="X267" s="6">
        <f>IF(ISERROR(VLOOKUP($U$267,'TAR FIN'!$A$1:$O$104,15,0)),0,VLOOKUP($U$267,'TAR FIN'!$A$1:$O$104,15,0))</f>
        <v>0</v>
      </c>
      <c r="Y267" s="6">
        <f ca="1">('TUSD BE'!$AM$12+'TUSD BF'!$AM$12+'TUSD CVA'!$AM$12)*1</f>
        <v>12.796774750698974</v>
      </c>
      <c r="Z267" s="6"/>
      <c r="AA267" s="6"/>
      <c r="AB267" s="6">
        <f>$K$267*$V$267</f>
        <v>193500</v>
      </c>
      <c r="AC267" s="6">
        <f>$M$267*$W$267</f>
        <v>0</v>
      </c>
      <c r="AD267" s="6">
        <f>$O$267*$X$267</f>
        <v>0</v>
      </c>
      <c r="AE267" s="6">
        <f ca="1">$K$267*$Y$267</f>
        <v>191951.62126048462</v>
      </c>
      <c r="AF267" s="6">
        <f>$M$267*$Z$267</f>
        <v>0</v>
      </c>
      <c r="AG267" s="6">
        <f>$O$267*$AA$267</f>
        <v>0</v>
      </c>
    </row>
    <row r="268" spans="1:33" ht="11.25" customHeight="1" x14ac:dyDescent="0.25">
      <c r="A268" s="4" t="s">
        <v>21</v>
      </c>
      <c r="B268" s="4" t="s">
        <v>39</v>
      </c>
      <c r="C268" s="4" t="s">
        <v>66</v>
      </c>
      <c r="D268" s="4" t="s">
        <v>25</v>
      </c>
      <c r="E268" s="4" t="s">
        <v>25</v>
      </c>
      <c r="F268" s="4" t="s">
        <v>25</v>
      </c>
      <c r="G268" s="4" t="s">
        <v>77</v>
      </c>
      <c r="H268" s="4" t="s">
        <v>25</v>
      </c>
      <c r="I268" s="5">
        <v>44531</v>
      </c>
      <c r="J268" s="6">
        <v>30000</v>
      </c>
      <c r="K268" s="6">
        <v>15000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4" t="s">
        <v>68</v>
      </c>
      <c r="R268" s="4">
        <v>33665</v>
      </c>
      <c r="S268" s="6">
        <v>16</v>
      </c>
      <c r="T268" s="6">
        <v>0</v>
      </c>
      <c r="U268" s="6">
        <v>0</v>
      </c>
      <c r="V268" s="6">
        <f>IF(ISERROR(VLOOKUP($S$268,'TAR FIN'!$A$1:$O$104,15,0)),0,VLOOKUP($S$268,'TAR FIN'!$A$1:$O$104,15,0))</f>
        <v>12.9</v>
      </c>
      <c r="W268" s="6">
        <f>IF(ISERROR(VLOOKUP($T$268,'TAR FIN'!$A$1:$O$104,15,0)),0,VLOOKUP($T$268,'TAR FIN'!$A$1:$O$104,15,0))</f>
        <v>0</v>
      </c>
      <c r="X268" s="6">
        <f>IF(ISERROR(VLOOKUP($U$268,'TAR FIN'!$A$1:$O$104,15,0)),0,VLOOKUP($U$268,'TAR FIN'!$A$1:$O$104,15,0))</f>
        <v>0</v>
      </c>
      <c r="Y268" s="6">
        <f ca="1">('TUSD BE'!$AM$12+'TUSD BF'!$AM$12+'TUSD CVA'!$AM$12)*1</f>
        <v>12.796774750698974</v>
      </c>
      <c r="Z268" s="6"/>
      <c r="AA268" s="6"/>
      <c r="AB268" s="6">
        <f>$K$268*$V$268</f>
        <v>193500</v>
      </c>
      <c r="AC268" s="6">
        <f>$M$268*$W$268</f>
        <v>0</v>
      </c>
      <c r="AD268" s="6">
        <f>$O$268*$X$268</f>
        <v>0</v>
      </c>
      <c r="AE268" s="6">
        <f ca="1">$K$268*$Y$268</f>
        <v>191951.62126048462</v>
      </c>
      <c r="AF268" s="6">
        <f>$M$268*$Z$268</f>
        <v>0</v>
      </c>
      <c r="AG268" s="6">
        <f>$O$268*$AA$268</f>
        <v>0</v>
      </c>
    </row>
    <row r="269" spans="1:33" ht="11.25" customHeight="1" x14ac:dyDescent="0.25">
      <c r="A269" s="4" t="s">
        <v>21</v>
      </c>
      <c r="B269" s="4" t="s">
        <v>39</v>
      </c>
      <c r="C269" s="4" t="s">
        <v>66</v>
      </c>
      <c r="D269" s="4" t="s">
        <v>25</v>
      </c>
      <c r="E269" s="4" t="s">
        <v>25</v>
      </c>
      <c r="F269" s="4" t="s">
        <v>25</v>
      </c>
      <c r="G269" s="4" t="s">
        <v>78</v>
      </c>
      <c r="H269" s="4" t="s">
        <v>25</v>
      </c>
      <c r="I269" s="5">
        <v>44531</v>
      </c>
      <c r="J269" s="6">
        <v>27000</v>
      </c>
      <c r="K269" s="6">
        <v>13500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4" t="s">
        <v>68</v>
      </c>
      <c r="R269" s="4">
        <v>34085</v>
      </c>
      <c r="S269" s="6">
        <v>16</v>
      </c>
      <c r="T269" s="6">
        <v>0</v>
      </c>
      <c r="U269" s="6">
        <v>0</v>
      </c>
      <c r="V269" s="6">
        <f>IF(ISERROR(VLOOKUP($S$269,'TAR FIN'!$A$1:$O$104,15,0)),0,VLOOKUP($S$269,'TAR FIN'!$A$1:$O$104,15,0))</f>
        <v>12.9</v>
      </c>
      <c r="W269" s="6">
        <f>IF(ISERROR(VLOOKUP($T$269,'TAR FIN'!$A$1:$O$104,15,0)),0,VLOOKUP($T$269,'TAR FIN'!$A$1:$O$104,15,0))</f>
        <v>0</v>
      </c>
      <c r="X269" s="6">
        <f>IF(ISERROR(VLOOKUP($U$269,'TAR FIN'!$A$1:$O$104,15,0)),0,VLOOKUP($U$269,'TAR FIN'!$A$1:$O$104,15,0))</f>
        <v>0</v>
      </c>
      <c r="Y269" s="6">
        <f ca="1">('TUSD BE'!$AM$12+'TUSD BF'!$AM$12+'TUSD CVA'!$AM$12)*1</f>
        <v>12.796774750698974</v>
      </c>
      <c r="Z269" s="6"/>
      <c r="AA269" s="6"/>
      <c r="AB269" s="6">
        <f>$K$269*$V$269</f>
        <v>174150</v>
      </c>
      <c r="AC269" s="6">
        <f>$M$269*$W$269</f>
        <v>0</v>
      </c>
      <c r="AD269" s="6">
        <f>$O$269*$X$269</f>
        <v>0</v>
      </c>
      <c r="AE269" s="6">
        <f ca="1">$K$269*$Y$269</f>
        <v>172756.45913443615</v>
      </c>
      <c r="AF269" s="6">
        <f>$M$269*$Z$269</f>
        <v>0</v>
      </c>
      <c r="AG269" s="6">
        <f>$O$269*$AA$269</f>
        <v>0</v>
      </c>
    </row>
    <row r="270" spans="1:33" ht="11.25" customHeight="1" x14ac:dyDescent="0.25">
      <c r="A270" s="4" t="s">
        <v>21</v>
      </c>
      <c r="B270" s="4" t="s">
        <v>39</v>
      </c>
      <c r="C270" s="4" t="s">
        <v>66</v>
      </c>
      <c r="D270" s="4" t="s">
        <v>25</v>
      </c>
      <c r="E270" s="4" t="s">
        <v>25</v>
      </c>
      <c r="F270" s="4" t="s">
        <v>25</v>
      </c>
      <c r="G270" s="4" t="s">
        <v>79</v>
      </c>
      <c r="H270" s="4" t="s">
        <v>25</v>
      </c>
      <c r="I270" s="5">
        <v>44531</v>
      </c>
      <c r="J270" s="6">
        <v>27000</v>
      </c>
      <c r="K270" s="6">
        <v>13500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4" t="s">
        <v>68</v>
      </c>
      <c r="R270" s="4">
        <v>34086</v>
      </c>
      <c r="S270" s="6">
        <v>16</v>
      </c>
      <c r="T270" s="6">
        <v>0</v>
      </c>
      <c r="U270" s="6">
        <v>0</v>
      </c>
      <c r="V270" s="6">
        <f>IF(ISERROR(VLOOKUP($S$270,'TAR FIN'!$A$1:$O$104,15,0)),0,VLOOKUP($S$270,'TAR FIN'!$A$1:$O$104,15,0))</f>
        <v>12.9</v>
      </c>
      <c r="W270" s="6">
        <f>IF(ISERROR(VLOOKUP($T$270,'TAR FIN'!$A$1:$O$104,15,0)),0,VLOOKUP($T$270,'TAR FIN'!$A$1:$O$104,15,0))</f>
        <v>0</v>
      </c>
      <c r="X270" s="6">
        <f>IF(ISERROR(VLOOKUP($U$270,'TAR FIN'!$A$1:$O$104,15,0)),0,VLOOKUP($U$270,'TAR FIN'!$A$1:$O$104,15,0))</f>
        <v>0</v>
      </c>
      <c r="Y270" s="6">
        <f ca="1">('TUSD BE'!$AM$12+'TUSD BF'!$AM$12+'TUSD CVA'!$AM$12)*1</f>
        <v>12.796774750698974</v>
      </c>
      <c r="Z270" s="6"/>
      <c r="AA270" s="6"/>
      <c r="AB270" s="6">
        <f>$K$270*$V$270</f>
        <v>174150</v>
      </c>
      <c r="AC270" s="6">
        <f>$M$270*$W$270</f>
        <v>0</v>
      </c>
      <c r="AD270" s="6">
        <f>$O$270*$X$270</f>
        <v>0</v>
      </c>
      <c r="AE270" s="6">
        <f ca="1">$K$270*$Y$270</f>
        <v>172756.45913443615</v>
      </c>
      <c r="AF270" s="6">
        <f>$M$270*$Z$270</f>
        <v>0</v>
      </c>
      <c r="AG270" s="6">
        <f>$O$270*$AA$270</f>
        <v>0</v>
      </c>
    </row>
    <row r="271" spans="1:33" ht="11.25" customHeight="1" x14ac:dyDescent="0.25">
      <c r="A271" s="4" t="s">
        <v>21</v>
      </c>
      <c r="B271" s="4" t="s">
        <v>39</v>
      </c>
      <c r="C271" s="4" t="s">
        <v>66</v>
      </c>
      <c r="D271" s="4" t="s">
        <v>25</v>
      </c>
      <c r="E271" s="4" t="s">
        <v>25</v>
      </c>
      <c r="F271" s="4" t="s">
        <v>25</v>
      </c>
      <c r="G271" s="4" t="s">
        <v>67</v>
      </c>
      <c r="H271" s="4" t="s">
        <v>25</v>
      </c>
      <c r="I271" s="5">
        <v>44562</v>
      </c>
      <c r="J271" s="6">
        <v>3500</v>
      </c>
      <c r="K271" s="6">
        <v>3500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4" t="s">
        <v>68</v>
      </c>
      <c r="R271" s="4">
        <v>27402</v>
      </c>
      <c r="S271" s="6">
        <v>16</v>
      </c>
      <c r="T271" s="6">
        <v>0</v>
      </c>
      <c r="U271" s="6">
        <v>0</v>
      </c>
      <c r="V271" s="6">
        <f>IF(ISERROR(VLOOKUP($S$271,'TAR FIN'!$A$1:$O$104,15,0)),0,VLOOKUP($S$271,'TAR FIN'!$A$1:$O$104,15,0))</f>
        <v>12.9</v>
      </c>
      <c r="W271" s="6">
        <f>IF(ISERROR(VLOOKUP($T$271,'TAR FIN'!$A$1:$O$104,15,0)),0,VLOOKUP($T$271,'TAR FIN'!$A$1:$O$104,15,0))</f>
        <v>0</v>
      </c>
      <c r="X271" s="6">
        <f>IF(ISERROR(VLOOKUP($U$271,'TAR FIN'!$A$1:$O$104,15,0)),0,VLOOKUP($U$271,'TAR FIN'!$A$1:$O$104,15,0))</f>
        <v>0</v>
      </c>
      <c r="Y271" s="6">
        <f ca="1">('TUSD BE'!$AM$12+'TUSD BF'!$AM$12+'TUSD CVA'!$AM$12)*1</f>
        <v>12.796774750698974</v>
      </c>
      <c r="Z271" s="6"/>
      <c r="AA271" s="6"/>
      <c r="AB271" s="6">
        <f>$K$271*$V$271</f>
        <v>45150</v>
      </c>
      <c r="AC271" s="6">
        <f>$M$271*$W$271</f>
        <v>0</v>
      </c>
      <c r="AD271" s="6">
        <f>$O$271*$X$271</f>
        <v>0</v>
      </c>
      <c r="AE271" s="6">
        <f ca="1">$K$271*$Y$271</f>
        <v>44788.711627446406</v>
      </c>
      <c r="AF271" s="6">
        <f>$M$271*$Z$271</f>
        <v>0</v>
      </c>
      <c r="AG271" s="6">
        <f>$O$271*$AA$271</f>
        <v>0</v>
      </c>
    </row>
    <row r="272" spans="1:33" ht="11.25" customHeight="1" x14ac:dyDescent="0.25">
      <c r="A272" s="4" t="s">
        <v>21</v>
      </c>
      <c r="B272" s="4" t="s">
        <v>39</v>
      </c>
      <c r="C272" s="4" t="s">
        <v>66</v>
      </c>
      <c r="D272" s="4" t="s">
        <v>25</v>
      </c>
      <c r="E272" s="4" t="s">
        <v>25</v>
      </c>
      <c r="F272" s="4" t="s">
        <v>25</v>
      </c>
      <c r="G272" s="4" t="s">
        <v>69</v>
      </c>
      <c r="H272" s="4" t="s">
        <v>25</v>
      </c>
      <c r="I272" s="5">
        <v>44562</v>
      </c>
      <c r="J272" s="6">
        <v>3434</v>
      </c>
      <c r="K272" s="6">
        <v>1717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4" t="s">
        <v>68</v>
      </c>
      <c r="R272" s="4">
        <v>28515</v>
      </c>
      <c r="S272" s="6">
        <v>16</v>
      </c>
      <c r="T272" s="6">
        <v>0</v>
      </c>
      <c r="U272" s="6">
        <v>0</v>
      </c>
      <c r="V272" s="6">
        <f>IF(ISERROR(VLOOKUP($S$272,'TAR FIN'!$A$1:$O$104,15,0)),0,VLOOKUP($S$272,'TAR FIN'!$A$1:$O$104,15,0))</f>
        <v>12.9</v>
      </c>
      <c r="W272" s="6">
        <f>IF(ISERROR(VLOOKUP($T$272,'TAR FIN'!$A$1:$O$104,15,0)),0,VLOOKUP($T$272,'TAR FIN'!$A$1:$O$104,15,0))</f>
        <v>0</v>
      </c>
      <c r="X272" s="6">
        <f>IF(ISERROR(VLOOKUP($U$272,'TAR FIN'!$A$1:$O$104,15,0)),0,VLOOKUP($U$272,'TAR FIN'!$A$1:$O$104,15,0))</f>
        <v>0</v>
      </c>
      <c r="Y272" s="6">
        <f ca="1">('TUSD BE'!$AM$12+'TUSD BF'!$AM$12+'TUSD CVA'!$AM$12)*1</f>
        <v>12.796774750698974</v>
      </c>
      <c r="Z272" s="6"/>
      <c r="AA272" s="6"/>
      <c r="AB272" s="6">
        <f>$K$272*$V$272</f>
        <v>22149.3</v>
      </c>
      <c r="AC272" s="6">
        <f>$M$272*$W$272</f>
        <v>0</v>
      </c>
      <c r="AD272" s="6">
        <f>$O$272*$X$272</f>
        <v>0</v>
      </c>
      <c r="AE272" s="6">
        <f ca="1">$K$272*$Y$272</f>
        <v>21972.06224695014</v>
      </c>
      <c r="AF272" s="6">
        <f>$M$272*$Z$272</f>
        <v>0</v>
      </c>
      <c r="AG272" s="6">
        <f>$O$272*$AA$272</f>
        <v>0</v>
      </c>
    </row>
    <row r="273" spans="1:33" ht="11.25" customHeight="1" x14ac:dyDescent="0.25">
      <c r="A273" s="4" t="s">
        <v>21</v>
      </c>
      <c r="B273" s="4" t="s">
        <v>39</v>
      </c>
      <c r="C273" s="4" t="s">
        <v>66</v>
      </c>
      <c r="D273" s="4" t="s">
        <v>25</v>
      </c>
      <c r="E273" s="4" t="s">
        <v>25</v>
      </c>
      <c r="F273" s="4" t="s">
        <v>25</v>
      </c>
      <c r="G273" s="4" t="s">
        <v>70</v>
      </c>
      <c r="H273" s="4" t="s">
        <v>25</v>
      </c>
      <c r="I273" s="5">
        <v>44562</v>
      </c>
      <c r="J273" s="6">
        <v>11644</v>
      </c>
      <c r="K273" s="6">
        <v>5822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4" t="s">
        <v>68</v>
      </c>
      <c r="R273" s="4">
        <v>28957</v>
      </c>
      <c r="S273" s="6">
        <v>16</v>
      </c>
      <c r="T273" s="6">
        <v>0</v>
      </c>
      <c r="U273" s="6">
        <v>0</v>
      </c>
      <c r="V273" s="6">
        <f>IF(ISERROR(VLOOKUP($S$273,'TAR FIN'!$A$1:$O$104,15,0)),0,VLOOKUP($S$273,'TAR FIN'!$A$1:$O$104,15,0))</f>
        <v>12.9</v>
      </c>
      <c r="W273" s="6">
        <f>IF(ISERROR(VLOOKUP($T$273,'TAR FIN'!$A$1:$O$104,15,0)),0,VLOOKUP($T$273,'TAR FIN'!$A$1:$O$104,15,0))</f>
        <v>0</v>
      </c>
      <c r="X273" s="6">
        <f>IF(ISERROR(VLOOKUP($U$273,'TAR FIN'!$A$1:$O$104,15,0)),0,VLOOKUP($U$273,'TAR FIN'!$A$1:$O$104,15,0))</f>
        <v>0</v>
      </c>
      <c r="Y273" s="6">
        <f ca="1">('TUSD BE'!$AM$12+'TUSD BF'!$AM$12+'TUSD CVA'!$AM$12)*1</f>
        <v>12.796774750698974</v>
      </c>
      <c r="Z273" s="6"/>
      <c r="AA273" s="6"/>
      <c r="AB273" s="6">
        <f>$K$273*$V$273</f>
        <v>75103.8</v>
      </c>
      <c r="AC273" s="6">
        <f>$M$273*$W$273</f>
        <v>0</v>
      </c>
      <c r="AD273" s="6">
        <f>$O$273*$X$273</f>
        <v>0</v>
      </c>
      <c r="AE273" s="6">
        <f ca="1">$K$273*$Y$273</f>
        <v>74502.82259856943</v>
      </c>
      <c r="AF273" s="6">
        <f>$M$273*$Z$273</f>
        <v>0</v>
      </c>
      <c r="AG273" s="6">
        <f>$O$273*$AA$273</f>
        <v>0</v>
      </c>
    </row>
    <row r="274" spans="1:33" ht="11.25" customHeight="1" x14ac:dyDescent="0.25">
      <c r="A274" s="4" t="s">
        <v>21</v>
      </c>
      <c r="B274" s="4" t="s">
        <v>39</v>
      </c>
      <c r="C274" s="4" t="s">
        <v>66</v>
      </c>
      <c r="D274" s="4" t="s">
        <v>25</v>
      </c>
      <c r="E274" s="4" t="s">
        <v>25</v>
      </c>
      <c r="F274" s="4" t="s">
        <v>25</v>
      </c>
      <c r="G274" s="4" t="s">
        <v>71</v>
      </c>
      <c r="H274" s="4" t="s">
        <v>25</v>
      </c>
      <c r="I274" s="5">
        <v>44562</v>
      </c>
      <c r="J274" s="6">
        <v>10050</v>
      </c>
      <c r="K274" s="6">
        <v>5025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4" t="s">
        <v>68</v>
      </c>
      <c r="R274" s="4">
        <v>29041</v>
      </c>
      <c r="S274" s="6">
        <v>16</v>
      </c>
      <c r="T274" s="6">
        <v>0</v>
      </c>
      <c r="U274" s="6">
        <v>0</v>
      </c>
      <c r="V274" s="6">
        <f>IF(ISERROR(VLOOKUP($S$274,'TAR FIN'!$A$1:$O$104,15,0)),0,VLOOKUP($S$274,'TAR FIN'!$A$1:$O$104,15,0))</f>
        <v>12.9</v>
      </c>
      <c r="W274" s="6">
        <f>IF(ISERROR(VLOOKUP($T$274,'TAR FIN'!$A$1:$O$104,15,0)),0,VLOOKUP($T$274,'TAR FIN'!$A$1:$O$104,15,0))</f>
        <v>0</v>
      </c>
      <c r="X274" s="6">
        <f>IF(ISERROR(VLOOKUP($U$274,'TAR FIN'!$A$1:$O$104,15,0)),0,VLOOKUP($U$274,'TAR FIN'!$A$1:$O$104,15,0))</f>
        <v>0</v>
      </c>
      <c r="Y274" s="6">
        <f ca="1">('TUSD BE'!$AM$12+'TUSD BF'!$AM$12+'TUSD CVA'!$AM$12)*1</f>
        <v>12.796774750698974</v>
      </c>
      <c r="Z274" s="6"/>
      <c r="AA274" s="6"/>
      <c r="AB274" s="6">
        <f>$K$274*$V$274</f>
        <v>64822.5</v>
      </c>
      <c r="AC274" s="6">
        <f>$M$274*$W$274</f>
        <v>0</v>
      </c>
      <c r="AD274" s="6">
        <f>$O$274*$X$274</f>
        <v>0</v>
      </c>
      <c r="AE274" s="6">
        <f ca="1">$K$274*$Y$274</f>
        <v>64303.793122262345</v>
      </c>
      <c r="AF274" s="6">
        <f>$M$274*$Z$274</f>
        <v>0</v>
      </c>
      <c r="AG274" s="6">
        <f>$O$274*$AA$274</f>
        <v>0</v>
      </c>
    </row>
    <row r="275" spans="1:33" ht="11.25" customHeight="1" x14ac:dyDescent="0.25">
      <c r="A275" s="4" t="s">
        <v>21</v>
      </c>
      <c r="B275" s="4" t="s">
        <v>39</v>
      </c>
      <c r="C275" s="4" t="s">
        <v>66</v>
      </c>
      <c r="D275" s="4" t="s">
        <v>25</v>
      </c>
      <c r="E275" s="4" t="s">
        <v>25</v>
      </c>
      <c r="F275" s="4" t="s">
        <v>25</v>
      </c>
      <c r="G275" s="4" t="s">
        <v>73</v>
      </c>
      <c r="H275" s="4" t="s">
        <v>25</v>
      </c>
      <c r="I275" s="5">
        <v>44562</v>
      </c>
      <c r="J275" s="6">
        <v>44450</v>
      </c>
      <c r="K275" s="6">
        <v>22225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4" t="s">
        <v>68</v>
      </c>
      <c r="R275" s="4">
        <v>29092</v>
      </c>
      <c r="S275" s="6">
        <v>16</v>
      </c>
      <c r="T275" s="6">
        <v>0</v>
      </c>
      <c r="U275" s="6">
        <v>0</v>
      </c>
      <c r="V275" s="6">
        <f>IF(ISERROR(VLOOKUP($S$275,'TAR FIN'!$A$1:$O$104,15,0)),0,VLOOKUP($S$275,'TAR FIN'!$A$1:$O$104,15,0))</f>
        <v>12.9</v>
      </c>
      <c r="W275" s="6">
        <f>IF(ISERROR(VLOOKUP($T$275,'TAR FIN'!$A$1:$O$104,15,0)),0,VLOOKUP($T$275,'TAR FIN'!$A$1:$O$104,15,0))</f>
        <v>0</v>
      </c>
      <c r="X275" s="6">
        <f>IF(ISERROR(VLOOKUP($U$275,'TAR FIN'!$A$1:$O$104,15,0)),0,VLOOKUP($U$275,'TAR FIN'!$A$1:$O$104,15,0))</f>
        <v>0</v>
      </c>
      <c r="Y275" s="6">
        <f ca="1">('TUSD BE'!$AM$12+'TUSD BF'!$AM$12+'TUSD CVA'!$AM$12)*1</f>
        <v>12.796774750698974</v>
      </c>
      <c r="Z275" s="6"/>
      <c r="AA275" s="6"/>
      <c r="AB275" s="6">
        <f>$K$275*$V$275</f>
        <v>286702.5</v>
      </c>
      <c r="AC275" s="6">
        <f>$M$275*$W$275</f>
        <v>0</v>
      </c>
      <c r="AD275" s="6">
        <f>$O$275*$X$275</f>
        <v>0</v>
      </c>
      <c r="AE275" s="6">
        <f ca="1">$K$275*$Y$275</f>
        <v>284408.31883428473</v>
      </c>
      <c r="AF275" s="6">
        <f>$M$275*$Z$275</f>
        <v>0</v>
      </c>
      <c r="AG275" s="6">
        <f>$O$275*$AA$275</f>
        <v>0</v>
      </c>
    </row>
    <row r="276" spans="1:33" ht="11.25" customHeight="1" x14ac:dyDescent="0.25">
      <c r="A276" s="4" t="s">
        <v>21</v>
      </c>
      <c r="B276" s="4" t="s">
        <v>39</v>
      </c>
      <c r="C276" s="4" t="s">
        <v>66</v>
      </c>
      <c r="D276" s="4" t="s">
        <v>25</v>
      </c>
      <c r="E276" s="4" t="s">
        <v>25</v>
      </c>
      <c r="F276" s="4" t="s">
        <v>25</v>
      </c>
      <c r="G276" s="4" t="s">
        <v>75</v>
      </c>
      <c r="H276" s="4" t="s">
        <v>25</v>
      </c>
      <c r="I276" s="5">
        <v>44562</v>
      </c>
      <c r="J276" s="6">
        <v>30000</v>
      </c>
      <c r="K276" s="6">
        <v>15000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4" t="s">
        <v>68</v>
      </c>
      <c r="R276" s="4">
        <v>33663</v>
      </c>
      <c r="S276" s="6">
        <v>16</v>
      </c>
      <c r="T276" s="6">
        <v>0</v>
      </c>
      <c r="U276" s="6">
        <v>0</v>
      </c>
      <c r="V276" s="6">
        <f>IF(ISERROR(VLOOKUP($S$276,'TAR FIN'!$A$1:$O$104,15,0)),0,VLOOKUP($S$276,'TAR FIN'!$A$1:$O$104,15,0))</f>
        <v>12.9</v>
      </c>
      <c r="W276" s="6">
        <f>IF(ISERROR(VLOOKUP($T$276,'TAR FIN'!$A$1:$O$104,15,0)),0,VLOOKUP($T$276,'TAR FIN'!$A$1:$O$104,15,0))</f>
        <v>0</v>
      </c>
      <c r="X276" s="6">
        <f>IF(ISERROR(VLOOKUP($U$276,'TAR FIN'!$A$1:$O$104,15,0)),0,VLOOKUP($U$276,'TAR FIN'!$A$1:$O$104,15,0))</f>
        <v>0</v>
      </c>
      <c r="Y276" s="6">
        <f ca="1">('TUSD BE'!$AM$12+'TUSD BF'!$AM$12+'TUSD CVA'!$AM$12)*1</f>
        <v>12.796774750698974</v>
      </c>
      <c r="Z276" s="6"/>
      <c r="AA276" s="6"/>
      <c r="AB276" s="6">
        <f>$K$276*$V$276</f>
        <v>193500</v>
      </c>
      <c r="AC276" s="6">
        <f>$M$276*$W$276</f>
        <v>0</v>
      </c>
      <c r="AD276" s="6">
        <f>$O$276*$X$276</f>
        <v>0</v>
      </c>
      <c r="AE276" s="6">
        <f ca="1">$K$276*$Y$276</f>
        <v>191951.62126048462</v>
      </c>
      <c r="AF276" s="6">
        <f>$M$276*$Z$276</f>
        <v>0</v>
      </c>
      <c r="AG276" s="6">
        <f>$O$276*$AA$276</f>
        <v>0</v>
      </c>
    </row>
    <row r="277" spans="1:33" ht="11.25" customHeight="1" x14ac:dyDescent="0.25">
      <c r="A277" s="4" t="s">
        <v>21</v>
      </c>
      <c r="B277" s="4" t="s">
        <v>39</v>
      </c>
      <c r="C277" s="4" t="s">
        <v>66</v>
      </c>
      <c r="D277" s="4" t="s">
        <v>25</v>
      </c>
      <c r="E277" s="4" t="s">
        <v>25</v>
      </c>
      <c r="F277" s="4" t="s">
        <v>25</v>
      </c>
      <c r="G277" s="4" t="s">
        <v>76</v>
      </c>
      <c r="H277" s="4" t="s">
        <v>25</v>
      </c>
      <c r="I277" s="5">
        <v>44562</v>
      </c>
      <c r="J277" s="6">
        <v>30000</v>
      </c>
      <c r="K277" s="6">
        <v>15000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4" t="s">
        <v>68</v>
      </c>
      <c r="R277" s="4">
        <v>33664</v>
      </c>
      <c r="S277" s="6">
        <v>16</v>
      </c>
      <c r="T277" s="6">
        <v>0</v>
      </c>
      <c r="U277" s="6">
        <v>0</v>
      </c>
      <c r="V277" s="6">
        <f>IF(ISERROR(VLOOKUP($S$277,'TAR FIN'!$A$1:$O$104,15,0)),0,VLOOKUP($S$277,'TAR FIN'!$A$1:$O$104,15,0))</f>
        <v>12.9</v>
      </c>
      <c r="W277" s="6">
        <f>IF(ISERROR(VLOOKUP($T$277,'TAR FIN'!$A$1:$O$104,15,0)),0,VLOOKUP($T$277,'TAR FIN'!$A$1:$O$104,15,0))</f>
        <v>0</v>
      </c>
      <c r="X277" s="6">
        <f>IF(ISERROR(VLOOKUP($U$277,'TAR FIN'!$A$1:$O$104,15,0)),0,VLOOKUP($U$277,'TAR FIN'!$A$1:$O$104,15,0))</f>
        <v>0</v>
      </c>
      <c r="Y277" s="6">
        <f ca="1">('TUSD BE'!$AM$12+'TUSD BF'!$AM$12+'TUSD CVA'!$AM$12)*1</f>
        <v>12.796774750698974</v>
      </c>
      <c r="Z277" s="6"/>
      <c r="AA277" s="6"/>
      <c r="AB277" s="6">
        <f>$K$277*$V$277</f>
        <v>193500</v>
      </c>
      <c r="AC277" s="6">
        <f>$M$277*$W$277</f>
        <v>0</v>
      </c>
      <c r="AD277" s="6">
        <f>$O$277*$X$277</f>
        <v>0</v>
      </c>
      <c r="AE277" s="6">
        <f ca="1">$K$277*$Y$277</f>
        <v>191951.62126048462</v>
      </c>
      <c r="AF277" s="6">
        <f>$M$277*$Z$277</f>
        <v>0</v>
      </c>
      <c r="AG277" s="6">
        <f>$O$277*$AA$277</f>
        <v>0</v>
      </c>
    </row>
    <row r="278" spans="1:33" ht="11.25" customHeight="1" x14ac:dyDescent="0.25">
      <c r="A278" s="4" t="s">
        <v>21</v>
      </c>
      <c r="B278" s="4" t="s">
        <v>39</v>
      </c>
      <c r="C278" s="4" t="s">
        <v>66</v>
      </c>
      <c r="D278" s="4" t="s">
        <v>25</v>
      </c>
      <c r="E278" s="4" t="s">
        <v>25</v>
      </c>
      <c r="F278" s="4" t="s">
        <v>25</v>
      </c>
      <c r="G278" s="4" t="s">
        <v>77</v>
      </c>
      <c r="H278" s="4" t="s">
        <v>25</v>
      </c>
      <c r="I278" s="5">
        <v>44562</v>
      </c>
      <c r="J278" s="6">
        <v>30000</v>
      </c>
      <c r="K278" s="6">
        <v>15000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4" t="s">
        <v>68</v>
      </c>
      <c r="R278" s="4">
        <v>33665</v>
      </c>
      <c r="S278" s="6">
        <v>16</v>
      </c>
      <c r="T278" s="6">
        <v>0</v>
      </c>
      <c r="U278" s="6">
        <v>0</v>
      </c>
      <c r="V278" s="6">
        <f>IF(ISERROR(VLOOKUP($S$278,'TAR FIN'!$A$1:$O$104,15,0)),0,VLOOKUP($S$278,'TAR FIN'!$A$1:$O$104,15,0))</f>
        <v>12.9</v>
      </c>
      <c r="W278" s="6">
        <f>IF(ISERROR(VLOOKUP($T$278,'TAR FIN'!$A$1:$O$104,15,0)),0,VLOOKUP($T$278,'TAR FIN'!$A$1:$O$104,15,0))</f>
        <v>0</v>
      </c>
      <c r="X278" s="6">
        <f>IF(ISERROR(VLOOKUP($U$278,'TAR FIN'!$A$1:$O$104,15,0)),0,VLOOKUP($U$278,'TAR FIN'!$A$1:$O$104,15,0))</f>
        <v>0</v>
      </c>
      <c r="Y278" s="6">
        <f ca="1">('TUSD BE'!$AM$12+'TUSD BF'!$AM$12+'TUSD CVA'!$AM$12)*1</f>
        <v>12.796774750698974</v>
      </c>
      <c r="Z278" s="6"/>
      <c r="AA278" s="6"/>
      <c r="AB278" s="6">
        <f>$K$278*$V$278</f>
        <v>193500</v>
      </c>
      <c r="AC278" s="6">
        <f>$M$278*$W$278</f>
        <v>0</v>
      </c>
      <c r="AD278" s="6">
        <f>$O$278*$X$278</f>
        <v>0</v>
      </c>
      <c r="AE278" s="6">
        <f ca="1">$K$278*$Y$278</f>
        <v>191951.62126048462</v>
      </c>
      <c r="AF278" s="6">
        <f>$M$278*$Z$278</f>
        <v>0</v>
      </c>
      <c r="AG278" s="6">
        <f>$O$278*$AA$278</f>
        <v>0</v>
      </c>
    </row>
    <row r="279" spans="1:33" ht="11.25" customHeight="1" x14ac:dyDescent="0.25">
      <c r="A279" s="4" t="s">
        <v>21</v>
      </c>
      <c r="B279" s="4" t="s">
        <v>39</v>
      </c>
      <c r="C279" s="4" t="s">
        <v>66</v>
      </c>
      <c r="D279" s="4" t="s">
        <v>25</v>
      </c>
      <c r="E279" s="4" t="s">
        <v>25</v>
      </c>
      <c r="F279" s="4" t="s">
        <v>25</v>
      </c>
      <c r="G279" s="4" t="s">
        <v>78</v>
      </c>
      <c r="H279" s="4" t="s">
        <v>25</v>
      </c>
      <c r="I279" s="5">
        <v>44562</v>
      </c>
      <c r="J279" s="6">
        <v>27000</v>
      </c>
      <c r="K279" s="6">
        <v>13500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4" t="s">
        <v>68</v>
      </c>
      <c r="R279" s="4">
        <v>34085</v>
      </c>
      <c r="S279" s="6">
        <v>16</v>
      </c>
      <c r="T279" s="6">
        <v>0</v>
      </c>
      <c r="U279" s="6">
        <v>0</v>
      </c>
      <c r="V279" s="6">
        <f>IF(ISERROR(VLOOKUP($S$279,'TAR FIN'!$A$1:$O$104,15,0)),0,VLOOKUP($S$279,'TAR FIN'!$A$1:$O$104,15,0))</f>
        <v>12.9</v>
      </c>
      <c r="W279" s="6">
        <f>IF(ISERROR(VLOOKUP($T$279,'TAR FIN'!$A$1:$O$104,15,0)),0,VLOOKUP($T$279,'TAR FIN'!$A$1:$O$104,15,0))</f>
        <v>0</v>
      </c>
      <c r="X279" s="6">
        <f>IF(ISERROR(VLOOKUP($U$279,'TAR FIN'!$A$1:$O$104,15,0)),0,VLOOKUP($U$279,'TAR FIN'!$A$1:$O$104,15,0))</f>
        <v>0</v>
      </c>
      <c r="Y279" s="6">
        <f ca="1">('TUSD BE'!$AM$12+'TUSD BF'!$AM$12+'TUSD CVA'!$AM$12)*1</f>
        <v>12.796774750698974</v>
      </c>
      <c r="Z279" s="6"/>
      <c r="AA279" s="6"/>
      <c r="AB279" s="6">
        <f>$K$279*$V$279</f>
        <v>174150</v>
      </c>
      <c r="AC279" s="6">
        <f>$M$279*$W$279</f>
        <v>0</v>
      </c>
      <c r="AD279" s="6">
        <f>$O$279*$X$279</f>
        <v>0</v>
      </c>
      <c r="AE279" s="6">
        <f ca="1">$K$279*$Y$279</f>
        <v>172756.45913443615</v>
      </c>
      <c r="AF279" s="6">
        <f>$M$279*$Z$279</f>
        <v>0</v>
      </c>
      <c r="AG279" s="6">
        <f>$O$279*$AA$279</f>
        <v>0</v>
      </c>
    </row>
    <row r="280" spans="1:33" ht="11.25" customHeight="1" x14ac:dyDescent="0.25">
      <c r="A280" s="4" t="s">
        <v>21</v>
      </c>
      <c r="B280" s="4" t="s">
        <v>39</v>
      </c>
      <c r="C280" s="4" t="s">
        <v>66</v>
      </c>
      <c r="D280" s="4" t="s">
        <v>25</v>
      </c>
      <c r="E280" s="4" t="s">
        <v>25</v>
      </c>
      <c r="F280" s="4" t="s">
        <v>25</v>
      </c>
      <c r="G280" s="4" t="s">
        <v>79</v>
      </c>
      <c r="H280" s="4" t="s">
        <v>25</v>
      </c>
      <c r="I280" s="5">
        <v>44562</v>
      </c>
      <c r="J280" s="6">
        <v>27000</v>
      </c>
      <c r="K280" s="6">
        <v>13500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4" t="s">
        <v>68</v>
      </c>
      <c r="R280" s="4">
        <v>34086</v>
      </c>
      <c r="S280" s="6">
        <v>16</v>
      </c>
      <c r="T280" s="6">
        <v>0</v>
      </c>
      <c r="U280" s="6">
        <v>0</v>
      </c>
      <c r="V280" s="6">
        <f>IF(ISERROR(VLOOKUP($S$280,'TAR FIN'!$A$1:$O$104,15,0)),0,VLOOKUP($S$280,'TAR FIN'!$A$1:$O$104,15,0))</f>
        <v>12.9</v>
      </c>
      <c r="W280" s="6">
        <f>IF(ISERROR(VLOOKUP($T$280,'TAR FIN'!$A$1:$O$104,15,0)),0,VLOOKUP($T$280,'TAR FIN'!$A$1:$O$104,15,0))</f>
        <v>0</v>
      </c>
      <c r="X280" s="6">
        <f>IF(ISERROR(VLOOKUP($U$280,'TAR FIN'!$A$1:$O$104,15,0)),0,VLOOKUP($U$280,'TAR FIN'!$A$1:$O$104,15,0))</f>
        <v>0</v>
      </c>
      <c r="Y280" s="6">
        <f ca="1">('TUSD BE'!$AM$12+'TUSD BF'!$AM$12+'TUSD CVA'!$AM$12)*1</f>
        <v>12.796774750698974</v>
      </c>
      <c r="Z280" s="6"/>
      <c r="AA280" s="6"/>
      <c r="AB280" s="6">
        <f>$K$280*$V$280</f>
        <v>174150</v>
      </c>
      <c r="AC280" s="6">
        <f>$M$280*$W$280</f>
        <v>0</v>
      </c>
      <c r="AD280" s="6">
        <f>$O$280*$X$280</f>
        <v>0</v>
      </c>
      <c r="AE280" s="6">
        <f ca="1">$K$280*$Y$280</f>
        <v>172756.45913443615</v>
      </c>
      <c r="AF280" s="6">
        <f>$M$280*$Z$280</f>
        <v>0</v>
      </c>
      <c r="AG280" s="6">
        <f>$O$280*$AA$280</f>
        <v>0</v>
      </c>
    </row>
    <row r="281" spans="1:33" ht="11.25" customHeight="1" x14ac:dyDescent="0.25">
      <c r="A281" s="4" t="s">
        <v>21</v>
      </c>
      <c r="B281" s="4" t="s">
        <v>39</v>
      </c>
      <c r="C281" s="4" t="s">
        <v>66</v>
      </c>
      <c r="D281" s="4" t="s">
        <v>25</v>
      </c>
      <c r="E281" s="4" t="s">
        <v>25</v>
      </c>
      <c r="F281" s="4" t="s">
        <v>25</v>
      </c>
      <c r="G281" s="4" t="s">
        <v>67</v>
      </c>
      <c r="H281" s="4" t="s">
        <v>25</v>
      </c>
      <c r="I281" s="5">
        <v>44593</v>
      </c>
      <c r="J281" s="6">
        <v>3500</v>
      </c>
      <c r="K281" s="6">
        <v>3500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4" t="s">
        <v>68</v>
      </c>
      <c r="R281" s="4">
        <v>27402</v>
      </c>
      <c r="S281" s="6">
        <v>16</v>
      </c>
      <c r="T281" s="6">
        <v>0</v>
      </c>
      <c r="U281" s="6">
        <v>0</v>
      </c>
      <c r="V281" s="6">
        <f>IF(ISERROR(VLOOKUP($S$281,'TAR FIN'!$A$1:$O$104,15,0)),0,VLOOKUP($S$281,'TAR FIN'!$A$1:$O$104,15,0))</f>
        <v>12.9</v>
      </c>
      <c r="W281" s="6">
        <f>IF(ISERROR(VLOOKUP($T$281,'TAR FIN'!$A$1:$O$104,15,0)),0,VLOOKUP($T$281,'TAR FIN'!$A$1:$O$104,15,0))</f>
        <v>0</v>
      </c>
      <c r="X281" s="6">
        <f>IF(ISERROR(VLOOKUP($U$281,'TAR FIN'!$A$1:$O$104,15,0)),0,VLOOKUP($U$281,'TAR FIN'!$A$1:$O$104,15,0))</f>
        <v>0</v>
      </c>
      <c r="Y281" s="6">
        <f ca="1">('TUSD BE'!$AM$12+'TUSD BF'!$AM$12+'TUSD CVA'!$AM$12)*1</f>
        <v>12.796774750698974</v>
      </c>
      <c r="Z281" s="6"/>
      <c r="AA281" s="6"/>
      <c r="AB281" s="6">
        <f>$K$281*$V$281</f>
        <v>45150</v>
      </c>
      <c r="AC281" s="6">
        <f>$M$281*$W$281</f>
        <v>0</v>
      </c>
      <c r="AD281" s="6">
        <f>$O$281*$X$281</f>
        <v>0</v>
      </c>
      <c r="AE281" s="6">
        <f ca="1">$K$281*$Y$281</f>
        <v>44788.711627446406</v>
      </c>
      <c r="AF281" s="6">
        <f>$M$281*$Z$281</f>
        <v>0</v>
      </c>
      <c r="AG281" s="6">
        <f>$O$281*$AA$281</f>
        <v>0</v>
      </c>
    </row>
    <row r="282" spans="1:33" ht="11.25" customHeight="1" x14ac:dyDescent="0.25">
      <c r="A282" s="4" t="s">
        <v>21</v>
      </c>
      <c r="B282" s="4" t="s">
        <v>39</v>
      </c>
      <c r="C282" s="4" t="s">
        <v>66</v>
      </c>
      <c r="D282" s="4" t="s">
        <v>25</v>
      </c>
      <c r="E282" s="4" t="s">
        <v>25</v>
      </c>
      <c r="F282" s="4" t="s">
        <v>25</v>
      </c>
      <c r="G282" s="4" t="s">
        <v>69</v>
      </c>
      <c r="H282" s="4" t="s">
        <v>25</v>
      </c>
      <c r="I282" s="5">
        <v>44593</v>
      </c>
      <c r="J282" s="6">
        <v>3000</v>
      </c>
      <c r="K282" s="6">
        <v>3000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4" t="s">
        <v>68</v>
      </c>
      <c r="R282" s="4">
        <v>28515</v>
      </c>
      <c r="S282" s="6">
        <v>16</v>
      </c>
      <c r="T282" s="6">
        <v>0</v>
      </c>
      <c r="U282" s="6">
        <v>0</v>
      </c>
      <c r="V282" s="6">
        <f>IF(ISERROR(VLOOKUP($S$282,'TAR FIN'!$A$1:$O$104,15,0)),0,VLOOKUP($S$282,'TAR FIN'!$A$1:$O$104,15,0))</f>
        <v>12.9</v>
      </c>
      <c r="W282" s="6">
        <f>IF(ISERROR(VLOOKUP($T$282,'TAR FIN'!$A$1:$O$104,15,0)),0,VLOOKUP($T$282,'TAR FIN'!$A$1:$O$104,15,0))</f>
        <v>0</v>
      </c>
      <c r="X282" s="6">
        <f>IF(ISERROR(VLOOKUP($U$282,'TAR FIN'!$A$1:$O$104,15,0)),0,VLOOKUP($U$282,'TAR FIN'!$A$1:$O$104,15,0))</f>
        <v>0</v>
      </c>
      <c r="Y282" s="6">
        <f ca="1">('TUSD BE'!$AM$12+'TUSD BF'!$AM$12+'TUSD CVA'!$AM$12)*1</f>
        <v>12.796774750698974</v>
      </c>
      <c r="Z282" s="6"/>
      <c r="AA282" s="6"/>
      <c r="AB282" s="6">
        <f>$K$282*$V$282</f>
        <v>38700</v>
      </c>
      <c r="AC282" s="6">
        <f>$M$282*$W$282</f>
        <v>0</v>
      </c>
      <c r="AD282" s="6">
        <f>$O$282*$X$282</f>
        <v>0</v>
      </c>
      <c r="AE282" s="6">
        <f ca="1">$K$282*$Y$282</f>
        <v>38390.324252096922</v>
      </c>
      <c r="AF282" s="6">
        <f>$M$282*$Z$282</f>
        <v>0</v>
      </c>
      <c r="AG282" s="6">
        <f>$O$282*$AA$282</f>
        <v>0</v>
      </c>
    </row>
    <row r="283" spans="1:33" ht="11.25" customHeight="1" x14ac:dyDescent="0.25">
      <c r="A283" s="4" t="s">
        <v>21</v>
      </c>
      <c r="B283" s="4" t="s">
        <v>39</v>
      </c>
      <c r="C283" s="4" t="s">
        <v>66</v>
      </c>
      <c r="D283" s="4" t="s">
        <v>25</v>
      </c>
      <c r="E283" s="4" t="s">
        <v>25</v>
      </c>
      <c r="F283" s="4" t="s">
        <v>25</v>
      </c>
      <c r="G283" s="4" t="s">
        <v>70</v>
      </c>
      <c r="H283" s="4" t="s">
        <v>25</v>
      </c>
      <c r="I283" s="5">
        <v>44593</v>
      </c>
      <c r="J283" s="6">
        <v>11000</v>
      </c>
      <c r="K283" s="6">
        <v>5500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4" t="s">
        <v>68</v>
      </c>
      <c r="R283" s="4">
        <v>28957</v>
      </c>
      <c r="S283" s="6">
        <v>16</v>
      </c>
      <c r="T283" s="6">
        <v>0</v>
      </c>
      <c r="U283" s="6">
        <v>0</v>
      </c>
      <c r="V283" s="6">
        <f>IF(ISERROR(VLOOKUP($S$283,'TAR FIN'!$A$1:$O$104,15,0)),0,VLOOKUP($S$283,'TAR FIN'!$A$1:$O$104,15,0))</f>
        <v>12.9</v>
      </c>
      <c r="W283" s="6">
        <f>IF(ISERROR(VLOOKUP($T$283,'TAR FIN'!$A$1:$O$104,15,0)),0,VLOOKUP($T$283,'TAR FIN'!$A$1:$O$104,15,0))</f>
        <v>0</v>
      </c>
      <c r="X283" s="6">
        <f>IF(ISERROR(VLOOKUP($U$283,'TAR FIN'!$A$1:$O$104,15,0)),0,VLOOKUP($U$283,'TAR FIN'!$A$1:$O$104,15,0))</f>
        <v>0</v>
      </c>
      <c r="Y283" s="6">
        <f ca="1">('TUSD BE'!$AM$12+'TUSD BF'!$AM$12+'TUSD CVA'!$AM$12)*1</f>
        <v>12.796774750698974</v>
      </c>
      <c r="Z283" s="6"/>
      <c r="AA283" s="6"/>
      <c r="AB283" s="6">
        <f>$K$283*$V$283</f>
        <v>70950</v>
      </c>
      <c r="AC283" s="6">
        <f>$M$283*$W$283</f>
        <v>0</v>
      </c>
      <c r="AD283" s="6">
        <f>$O$283*$X$283</f>
        <v>0</v>
      </c>
      <c r="AE283" s="6">
        <f ca="1">$K$283*$Y$283</f>
        <v>70382.261128844359</v>
      </c>
      <c r="AF283" s="6">
        <f>$M$283*$Z$283</f>
        <v>0</v>
      </c>
      <c r="AG283" s="6">
        <f>$O$283*$AA$283</f>
        <v>0</v>
      </c>
    </row>
    <row r="284" spans="1:33" ht="11.25" customHeight="1" x14ac:dyDescent="0.25">
      <c r="A284" s="4" t="s">
        <v>21</v>
      </c>
      <c r="B284" s="4" t="s">
        <v>39</v>
      </c>
      <c r="C284" s="4" t="s">
        <v>66</v>
      </c>
      <c r="D284" s="4" t="s">
        <v>25</v>
      </c>
      <c r="E284" s="4" t="s">
        <v>25</v>
      </c>
      <c r="F284" s="4" t="s">
        <v>25</v>
      </c>
      <c r="G284" s="4" t="s">
        <v>71</v>
      </c>
      <c r="H284" s="4" t="s">
        <v>25</v>
      </c>
      <c r="I284" s="5">
        <v>44593</v>
      </c>
      <c r="J284" s="6">
        <v>10050</v>
      </c>
      <c r="K284" s="6">
        <v>5025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4" t="s">
        <v>68</v>
      </c>
      <c r="R284" s="4">
        <v>29041</v>
      </c>
      <c r="S284" s="6">
        <v>16</v>
      </c>
      <c r="T284" s="6">
        <v>0</v>
      </c>
      <c r="U284" s="6">
        <v>0</v>
      </c>
      <c r="V284" s="6">
        <f>IF(ISERROR(VLOOKUP($S$284,'TAR FIN'!$A$1:$O$104,15,0)),0,VLOOKUP($S$284,'TAR FIN'!$A$1:$O$104,15,0))</f>
        <v>12.9</v>
      </c>
      <c r="W284" s="6">
        <f>IF(ISERROR(VLOOKUP($T$284,'TAR FIN'!$A$1:$O$104,15,0)),0,VLOOKUP($T$284,'TAR FIN'!$A$1:$O$104,15,0))</f>
        <v>0</v>
      </c>
      <c r="X284" s="6">
        <f>IF(ISERROR(VLOOKUP($U$284,'TAR FIN'!$A$1:$O$104,15,0)),0,VLOOKUP($U$284,'TAR FIN'!$A$1:$O$104,15,0))</f>
        <v>0</v>
      </c>
      <c r="Y284" s="6">
        <f ca="1">('TUSD BE'!$AM$12+'TUSD BF'!$AM$12+'TUSD CVA'!$AM$12)*1</f>
        <v>12.796774750698974</v>
      </c>
      <c r="Z284" s="6"/>
      <c r="AA284" s="6"/>
      <c r="AB284" s="6">
        <f>$K$284*$V$284</f>
        <v>64822.5</v>
      </c>
      <c r="AC284" s="6">
        <f>$M$284*$W$284</f>
        <v>0</v>
      </c>
      <c r="AD284" s="6">
        <f>$O$284*$X$284</f>
        <v>0</v>
      </c>
      <c r="AE284" s="6">
        <f ca="1">$K$284*$Y$284</f>
        <v>64303.793122262345</v>
      </c>
      <c r="AF284" s="6">
        <f>$M$284*$Z$284</f>
        <v>0</v>
      </c>
      <c r="AG284" s="6">
        <f>$O$284*$AA$284</f>
        <v>0</v>
      </c>
    </row>
    <row r="285" spans="1:33" ht="11.25" customHeight="1" x14ac:dyDescent="0.25">
      <c r="A285" s="4" t="s">
        <v>21</v>
      </c>
      <c r="B285" s="4" t="s">
        <v>39</v>
      </c>
      <c r="C285" s="4" t="s">
        <v>66</v>
      </c>
      <c r="D285" s="4" t="s">
        <v>25</v>
      </c>
      <c r="E285" s="4" t="s">
        <v>25</v>
      </c>
      <c r="F285" s="4" t="s">
        <v>25</v>
      </c>
      <c r="G285" s="4" t="s">
        <v>73</v>
      </c>
      <c r="H285" s="4" t="s">
        <v>25</v>
      </c>
      <c r="I285" s="5">
        <v>44593</v>
      </c>
      <c r="J285" s="6">
        <v>44450</v>
      </c>
      <c r="K285" s="6">
        <v>22225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4" t="s">
        <v>68</v>
      </c>
      <c r="R285" s="4">
        <v>29092</v>
      </c>
      <c r="S285" s="6">
        <v>16</v>
      </c>
      <c r="T285" s="6">
        <v>0</v>
      </c>
      <c r="U285" s="6">
        <v>0</v>
      </c>
      <c r="V285" s="6">
        <f>IF(ISERROR(VLOOKUP($S$285,'TAR FIN'!$A$1:$O$104,15,0)),0,VLOOKUP($S$285,'TAR FIN'!$A$1:$O$104,15,0))</f>
        <v>12.9</v>
      </c>
      <c r="W285" s="6">
        <f>IF(ISERROR(VLOOKUP($T$285,'TAR FIN'!$A$1:$O$104,15,0)),0,VLOOKUP($T$285,'TAR FIN'!$A$1:$O$104,15,0))</f>
        <v>0</v>
      </c>
      <c r="X285" s="6">
        <f>IF(ISERROR(VLOOKUP($U$285,'TAR FIN'!$A$1:$O$104,15,0)),0,VLOOKUP($U$285,'TAR FIN'!$A$1:$O$104,15,0))</f>
        <v>0</v>
      </c>
      <c r="Y285" s="6">
        <f ca="1">('TUSD BE'!$AM$12+'TUSD BF'!$AM$12+'TUSD CVA'!$AM$12)*1</f>
        <v>12.796774750698974</v>
      </c>
      <c r="Z285" s="6"/>
      <c r="AA285" s="6"/>
      <c r="AB285" s="6">
        <f>$K$285*$V$285</f>
        <v>286702.5</v>
      </c>
      <c r="AC285" s="6">
        <f>$M$285*$W$285</f>
        <v>0</v>
      </c>
      <c r="AD285" s="6">
        <f>$O$285*$X$285</f>
        <v>0</v>
      </c>
      <c r="AE285" s="6">
        <f ca="1">$K$285*$Y$285</f>
        <v>284408.31883428473</v>
      </c>
      <c r="AF285" s="6">
        <f>$M$285*$Z$285</f>
        <v>0</v>
      </c>
      <c r="AG285" s="6">
        <f>$O$285*$AA$285</f>
        <v>0</v>
      </c>
    </row>
    <row r="286" spans="1:33" ht="11.25" customHeight="1" x14ac:dyDescent="0.25">
      <c r="A286" s="4" t="s">
        <v>21</v>
      </c>
      <c r="B286" s="4" t="s">
        <v>39</v>
      </c>
      <c r="C286" s="4" t="s">
        <v>66</v>
      </c>
      <c r="D286" s="4" t="s">
        <v>25</v>
      </c>
      <c r="E286" s="4" t="s">
        <v>25</v>
      </c>
      <c r="F286" s="4" t="s">
        <v>25</v>
      </c>
      <c r="G286" s="4" t="s">
        <v>75</v>
      </c>
      <c r="H286" s="4" t="s">
        <v>25</v>
      </c>
      <c r="I286" s="5">
        <v>44593</v>
      </c>
      <c r="J286" s="6">
        <v>30000</v>
      </c>
      <c r="K286" s="6">
        <v>15000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4" t="s">
        <v>68</v>
      </c>
      <c r="R286" s="4">
        <v>33663</v>
      </c>
      <c r="S286" s="6">
        <v>16</v>
      </c>
      <c r="T286" s="6">
        <v>0</v>
      </c>
      <c r="U286" s="6">
        <v>0</v>
      </c>
      <c r="V286" s="6">
        <f>IF(ISERROR(VLOOKUP($S$286,'TAR FIN'!$A$1:$O$104,15,0)),0,VLOOKUP($S$286,'TAR FIN'!$A$1:$O$104,15,0))</f>
        <v>12.9</v>
      </c>
      <c r="W286" s="6">
        <f>IF(ISERROR(VLOOKUP($T$286,'TAR FIN'!$A$1:$O$104,15,0)),0,VLOOKUP($T$286,'TAR FIN'!$A$1:$O$104,15,0))</f>
        <v>0</v>
      </c>
      <c r="X286" s="6">
        <f>IF(ISERROR(VLOOKUP($U$286,'TAR FIN'!$A$1:$O$104,15,0)),0,VLOOKUP($U$286,'TAR FIN'!$A$1:$O$104,15,0))</f>
        <v>0</v>
      </c>
      <c r="Y286" s="6">
        <f ca="1">('TUSD BE'!$AM$12+'TUSD BF'!$AM$12+'TUSD CVA'!$AM$12)*1</f>
        <v>12.796774750698974</v>
      </c>
      <c r="Z286" s="6"/>
      <c r="AA286" s="6"/>
      <c r="AB286" s="6">
        <f>$K$286*$V$286</f>
        <v>193500</v>
      </c>
      <c r="AC286" s="6">
        <f>$M$286*$W$286</f>
        <v>0</v>
      </c>
      <c r="AD286" s="6">
        <f>$O$286*$X$286</f>
        <v>0</v>
      </c>
      <c r="AE286" s="6">
        <f ca="1">$K$286*$Y$286</f>
        <v>191951.62126048462</v>
      </c>
      <c r="AF286" s="6">
        <f>$M$286*$Z$286</f>
        <v>0</v>
      </c>
      <c r="AG286" s="6">
        <f>$O$286*$AA$286</f>
        <v>0</v>
      </c>
    </row>
    <row r="287" spans="1:33" ht="11.25" customHeight="1" x14ac:dyDescent="0.25">
      <c r="A287" s="4" t="s">
        <v>21</v>
      </c>
      <c r="B287" s="4" t="s">
        <v>39</v>
      </c>
      <c r="C287" s="4" t="s">
        <v>66</v>
      </c>
      <c r="D287" s="4" t="s">
        <v>25</v>
      </c>
      <c r="E287" s="4" t="s">
        <v>25</v>
      </c>
      <c r="F287" s="4" t="s">
        <v>25</v>
      </c>
      <c r="G287" s="4" t="s">
        <v>76</v>
      </c>
      <c r="H287" s="4" t="s">
        <v>25</v>
      </c>
      <c r="I287" s="5">
        <v>44593</v>
      </c>
      <c r="J287" s="6">
        <v>30000</v>
      </c>
      <c r="K287" s="6">
        <v>15000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4" t="s">
        <v>68</v>
      </c>
      <c r="R287" s="4">
        <v>33664</v>
      </c>
      <c r="S287" s="6">
        <v>16</v>
      </c>
      <c r="T287" s="6">
        <v>0</v>
      </c>
      <c r="U287" s="6">
        <v>0</v>
      </c>
      <c r="V287" s="6">
        <f>IF(ISERROR(VLOOKUP($S$287,'TAR FIN'!$A$1:$O$104,15,0)),0,VLOOKUP($S$287,'TAR FIN'!$A$1:$O$104,15,0))</f>
        <v>12.9</v>
      </c>
      <c r="W287" s="6">
        <f>IF(ISERROR(VLOOKUP($T$287,'TAR FIN'!$A$1:$O$104,15,0)),0,VLOOKUP($T$287,'TAR FIN'!$A$1:$O$104,15,0))</f>
        <v>0</v>
      </c>
      <c r="X287" s="6">
        <f>IF(ISERROR(VLOOKUP($U$287,'TAR FIN'!$A$1:$O$104,15,0)),0,VLOOKUP($U$287,'TAR FIN'!$A$1:$O$104,15,0))</f>
        <v>0</v>
      </c>
      <c r="Y287" s="6">
        <f ca="1">('TUSD BE'!$AM$12+'TUSD BF'!$AM$12+'TUSD CVA'!$AM$12)*1</f>
        <v>12.796774750698974</v>
      </c>
      <c r="Z287" s="6"/>
      <c r="AA287" s="6"/>
      <c r="AB287" s="6">
        <f>$K$287*$V$287</f>
        <v>193500</v>
      </c>
      <c r="AC287" s="6">
        <f>$M$287*$W$287</f>
        <v>0</v>
      </c>
      <c r="AD287" s="6">
        <f>$O$287*$X$287</f>
        <v>0</v>
      </c>
      <c r="AE287" s="6">
        <f ca="1">$K$287*$Y$287</f>
        <v>191951.62126048462</v>
      </c>
      <c r="AF287" s="6">
        <f>$M$287*$Z$287</f>
        <v>0</v>
      </c>
      <c r="AG287" s="6">
        <f>$O$287*$AA$287</f>
        <v>0</v>
      </c>
    </row>
    <row r="288" spans="1:33" ht="11.25" customHeight="1" x14ac:dyDescent="0.25">
      <c r="A288" s="4" t="s">
        <v>21</v>
      </c>
      <c r="B288" s="4" t="s">
        <v>39</v>
      </c>
      <c r="C288" s="4" t="s">
        <v>66</v>
      </c>
      <c r="D288" s="4" t="s">
        <v>25</v>
      </c>
      <c r="E288" s="4" t="s">
        <v>25</v>
      </c>
      <c r="F288" s="4" t="s">
        <v>25</v>
      </c>
      <c r="G288" s="4" t="s">
        <v>77</v>
      </c>
      <c r="H288" s="4" t="s">
        <v>25</v>
      </c>
      <c r="I288" s="5">
        <v>44593</v>
      </c>
      <c r="J288" s="6">
        <v>30000</v>
      </c>
      <c r="K288" s="6">
        <v>15000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4" t="s">
        <v>68</v>
      </c>
      <c r="R288" s="4">
        <v>33665</v>
      </c>
      <c r="S288" s="6">
        <v>16</v>
      </c>
      <c r="T288" s="6">
        <v>0</v>
      </c>
      <c r="U288" s="6">
        <v>0</v>
      </c>
      <c r="V288" s="6">
        <f>IF(ISERROR(VLOOKUP($S$288,'TAR FIN'!$A$1:$O$104,15,0)),0,VLOOKUP($S$288,'TAR FIN'!$A$1:$O$104,15,0))</f>
        <v>12.9</v>
      </c>
      <c r="W288" s="6">
        <f>IF(ISERROR(VLOOKUP($T$288,'TAR FIN'!$A$1:$O$104,15,0)),0,VLOOKUP($T$288,'TAR FIN'!$A$1:$O$104,15,0))</f>
        <v>0</v>
      </c>
      <c r="X288" s="6">
        <f>IF(ISERROR(VLOOKUP($U$288,'TAR FIN'!$A$1:$O$104,15,0)),0,VLOOKUP($U$288,'TAR FIN'!$A$1:$O$104,15,0))</f>
        <v>0</v>
      </c>
      <c r="Y288" s="6">
        <f ca="1">('TUSD BE'!$AM$12+'TUSD BF'!$AM$12+'TUSD CVA'!$AM$12)*1</f>
        <v>12.796774750698974</v>
      </c>
      <c r="Z288" s="6"/>
      <c r="AA288" s="6"/>
      <c r="AB288" s="6">
        <f>$K$288*$V$288</f>
        <v>193500</v>
      </c>
      <c r="AC288" s="6">
        <f>$M$288*$W$288</f>
        <v>0</v>
      </c>
      <c r="AD288" s="6">
        <f>$O$288*$X$288</f>
        <v>0</v>
      </c>
      <c r="AE288" s="6">
        <f ca="1">$K$288*$Y$288</f>
        <v>191951.62126048462</v>
      </c>
      <c r="AF288" s="6">
        <f>$M$288*$Z$288</f>
        <v>0</v>
      </c>
      <c r="AG288" s="6">
        <f>$O$288*$AA$288</f>
        <v>0</v>
      </c>
    </row>
    <row r="289" spans="1:33" ht="11.25" customHeight="1" x14ac:dyDescent="0.25">
      <c r="A289" s="4" t="s">
        <v>21</v>
      </c>
      <c r="B289" s="4" t="s">
        <v>39</v>
      </c>
      <c r="C289" s="4" t="s">
        <v>66</v>
      </c>
      <c r="D289" s="4" t="s">
        <v>25</v>
      </c>
      <c r="E289" s="4" t="s">
        <v>25</v>
      </c>
      <c r="F289" s="4" t="s">
        <v>25</v>
      </c>
      <c r="G289" s="4" t="s">
        <v>78</v>
      </c>
      <c r="H289" s="4" t="s">
        <v>25</v>
      </c>
      <c r="I289" s="5">
        <v>44593</v>
      </c>
      <c r="J289" s="6">
        <v>27000</v>
      </c>
      <c r="K289" s="6">
        <v>13500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4" t="s">
        <v>68</v>
      </c>
      <c r="R289" s="4">
        <v>34085</v>
      </c>
      <c r="S289" s="6">
        <v>16</v>
      </c>
      <c r="T289" s="6">
        <v>0</v>
      </c>
      <c r="U289" s="6">
        <v>0</v>
      </c>
      <c r="V289" s="6">
        <f>IF(ISERROR(VLOOKUP($S$289,'TAR FIN'!$A$1:$O$104,15,0)),0,VLOOKUP($S$289,'TAR FIN'!$A$1:$O$104,15,0))</f>
        <v>12.9</v>
      </c>
      <c r="W289" s="6">
        <f>IF(ISERROR(VLOOKUP($T$289,'TAR FIN'!$A$1:$O$104,15,0)),0,VLOOKUP($T$289,'TAR FIN'!$A$1:$O$104,15,0))</f>
        <v>0</v>
      </c>
      <c r="X289" s="6">
        <f>IF(ISERROR(VLOOKUP($U$289,'TAR FIN'!$A$1:$O$104,15,0)),0,VLOOKUP($U$289,'TAR FIN'!$A$1:$O$104,15,0))</f>
        <v>0</v>
      </c>
      <c r="Y289" s="6">
        <f ca="1">('TUSD BE'!$AM$12+'TUSD BF'!$AM$12+'TUSD CVA'!$AM$12)*1</f>
        <v>12.796774750698974</v>
      </c>
      <c r="Z289" s="6"/>
      <c r="AA289" s="6"/>
      <c r="AB289" s="6">
        <f>$K$289*$V$289</f>
        <v>174150</v>
      </c>
      <c r="AC289" s="6">
        <f>$M$289*$W$289</f>
        <v>0</v>
      </c>
      <c r="AD289" s="6">
        <f>$O$289*$X$289</f>
        <v>0</v>
      </c>
      <c r="AE289" s="6">
        <f ca="1">$K$289*$Y$289</f>
        <v>172756.45913443615</v>
      </c>
      <c r="AF289" s="6">
        <f>$M$289*$Z$289</f>
        <v>0</v>
      </c>
      <c r="AG289" s="6">
        <f>$O$289*$AA$289</f>
        <v>0</v>
      </c>
    </row>
    <row r="290" spans="1:33" ht="11.25" customHeight="1" x14ac:dyDescent="0.25">
      <c r="A290" s="4" t="s">
        <v>21</v>
      </c>
      <c r="B290" s="4" t="s">
        <v>39</v>
      </c>
      <c r="C290" s="4" t="s">
        <v>66</v>
      </c>
      <c r="D290" s="4" t="s">
        <v>25</v>
      </c>
      <c r="E290" s="4" t="s">
        <v>25</v>
      </c>
      <c r="F290" s="4" t="s">
        <v>25</v>
      </c>
      <c r="G290" s="4" t="s">
        <v>79</v>
      </c>
      <c r="H290" s="4" t="s">
        <v>25</v>
      </c>
      <c r="I290" s="5">
        <v>44593</v>
      </c>
      <c r="J290" s="6">
        <v>27000</v>
      </c>
      <c r="K290" s="6">
        <v>13500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4" t="s">
        <v>68</v>
      </c>
      <c r="R290" s="4">
        <v>34086</v>
      </c>
      <c r="S290" s="6">
        <v>16</v>
      </c>
      <c r="T290" s="6">
        <v>0</v>
      </c>
      <c r="U290" s="6">
        <v>0</v>
      </c>
      <c r="V290" s="6">
        <f>IF(ISERROR(VLOOKUP($S$290,'TAR FIN'!$A$1:$O$104,15,0)),0,VLOOKUP($S$290,'TAR FIN'!$A$1:$O$104,15,0))</f>
        <v>12.9</v>
      </c>
      <c r="W290" s="6">
        <f>IF(ISERROR(VLOOKUP($T$290,'TAR FIN'!$A$1:$O$104,15,0)),0,VLOOKUP($T$290,'TAR FIN'!$A$1:$O$104,15,0))</f>
        <v>0</v>
      </c>
      <c r="X290" s="6">
        <f>IF(ISERROR(VLOOKUP($U$290,'TAR FIN'!$A$1:$O$104,15,0)),0,VLOOKUP($U$290,'TAR FIN'!$A$1:$O$104,15,0))</f>
        <v>0</v>
      </c>
      <c r="Y290" s="6">
        <f ca="1">('TUSD BE'!$AM$12+'TUSD BF'!$AM$12+'TUSD CVA'!$AM$12)*1</f>
        <v>12.796774750698974</v>
      </c>
      <c r="Z290" s="6"/>
      <c r="AA290" s="6"/>
      <c r="AB290" s="6">
        <f>$K$290*$V$290</f>
        <v>174150</v>
      </c>
      <c r="AC290" s="6">
        <f>$M$290*$W$290</f>
        <v>0</v>
      </c>
      <c r="AD290" s="6">
        <f>$O$290*$X$290</f>
        <v>0</v>
      </c>
      <c r="AE290" s="6">
        <f ca="1">$K$290*$Y$290</f>
        <v>172756.45913443615</v>
      </c>
      <c r="AF290" s="6">
        <f>$M$290*$Z$290</f>
        <v>0</v>
      </c>
      <c r="AG290" s="6">
        <f>$O$290*$AA$290</f>
        <v>0</v>
      </c>
    </row>
    <row r="291" spans="1:33" ht="11.25" customHeight="1" x14ac:dyDescent="0.25">
      <c r="A291" s="4" t="s">
        <v>21</v>
      </c>
      <c r="B291" s="4" t="s">
        <v>39</v>
      </c>
      <c r="C291" s="4" t="s">
        <v>66</v>
      </c>
      <c r="D291" s="4" t="s">
        <v>25</v>
      </c>
      <c r="E291" s="4" t="s">
        <v>25</v>
      </c>
      <c r="F291" s="4" t="s">
        <v>25</v>
      </c>
      <c r="G291" s="4" t="s">
        <v>67</v>
      </c>
      <c r="H291" s="4" t="s">
        <v>25</v>
      </c>
      <c r="I291" s="5">
        <v>44621</v>
      </c>
      <c r="J291" s="6">
        <v>3500</v>
      </c>
      <c r="K291" s="6">
        <v>3500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4" t="s">
        <v>68</v>
      </c>
      <c r="R291" s="4">
        <v>27402</v>
      </c>
      <c r="S291" s="6">
        <v>16</v>
      </c>
      <c r="T291" s="6">
        <v>0</v>
      </c>
      <c r="U291" s="6">
        <v>0</v>
      </c>
      <c r="V291" s="6">
        <f>IF(ISERROR(VLOOKUP($S$291,'TAR FIN'!$A$1:$O$104,15,0)),0,VLOOKUP($S$291,'TAR FIN'!$A$1:$O$104,15,0))</f>
        <v>12.9</v>
      </c>
      <c r="W291" s="6">
        <f>IF(ISERROR(VLOOKUP($T$291,'TAR FIN'!$A$1:$O$104,15,0)),0,VLOOKUP($T$291,'TAR FIN'!$A$1:$O$104,15,0))</f>
        <v>0</v>
      </c>
      <c r="X291" s="6">
        <f>IF(ISERROR(VLOOKUP($U$291,'TAR FIN'!$A$1:$O$104,15,0)),0,VLOOKUP($U$291,'TAR FIN'!$A$1:$O$104,15,0))</f>
        <v>0</v>
      </c>
      <c r="Y291" s="6">
        <f ca="1">('TUSD BE'!$AM$12+'TUSD BF'!$AM$12+'TUSD CVA'!$AM$12)*1</f>
        <v>12.796774750698974</v>
      </c>
      <c r="Z291" s="6"/>
      <c r="AA291" s="6"/>
      <c r="AB291" s="6">
        <f>$K$291*$V$291</f>
        <v>45150</v>
      </c>
      <c r="AC291" s="6">
        <f>$M$291*$W$291</f>
        <v>0</v>
      </c>
      <c r="AD291" s="6">
        <f>$O$291*$X$291</f>
        <v>0</v>
      </c>
      <c r="AE291" s="6">
        <f ca="1">$K$291*$Y$291</f>
        <v>44788.711627446406</v>
      </c>
      <c r="AF291" s="6">
        <f>$M$291*$Z$291</f>
        <v>0</v>
      </c>
      <c r="AG291" s="6">
        <f>$O$291*$AA$291</f>
        <v>0</v>
      </c>
    </row>
    <row r="292" spans="1:33" ht="11.25" customHeight="1" x14ac:dyDescent="0.25">
      <c r="A292" s="4" t="s">
        <v>21</v>
      </c>
      <c r="B292" s="4" t="s">
        <v>39</v>
      </c>
      <c r="C292" s="4" t="s">
        <v>66</v>
      </c>
      <c r="D292" s="4" t="s">
        <v>25</v>
      </c>
      <c r="E292" s="4" t="s">
        <v>25</v>
      </c>
      <c r="F292" s="4" t="s">
        <v>25</v>
      </c>
      <c r="G292" s="4" t="s">
        <v>69</v>
      </c>
      <c r="H292" s="4" t="s">
        <v>25</v>
      </c>
      <c r="I292" s="5">
        <v>44621</v>
      </c>
      <c r="J292" s="6">
        <v>3000</v>
      </c>
      <c r="K292" s="6">
        <v>1500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4" t="s">
        <v>68</v>
      </c>
      <c r="R292" s="4">
        <v>28515</v>
      </c>
      <c r="S292" s="6">
        <v>16</v>
      </c>
      <c r="T292" s="6">
        <v>0</v>
      </c>
      <c r="U292" s="6">
        <v>0</v>
      </c>
      <c r="V292" s="6">
        <f>IF(ISERROR(VLOOKUP($S$292,'TAR FIN'!$A$1:$O$104,15,0)),0,VLOOKUP($S$292,'TAR FIN'!$A$1:$O$104,15,0))</f>
        <v>12.9</v>
      </c>
      <c r="W292" s="6">
        <f>IF(ISERROR(VLOOKUP($T$292,'TAR FIN'!$A$1:$O$104,15,0)),0,VLOOKUP($T$292,'TAR FIN'!$A$1:$O$104,15,0))</f>
        <v>0</v>
      </c>
      <c r="X292" s="6">
        <f>IF(ISERROR(VLOOKUP($U$292,'TAR FIN'!$A$1:$O$104,15,0)),0,VLOOKUP($U$292,'TAR FIN'!$A$1:$O$104,15,0))</f>
        <v>0</v>
      </c>
      <c r="Y292" s="6">
        <f ca="1">('TUSD BE'!$AM$12+'TUSD BF'!$AM$12+'TUSD CVA'!$AM$12)*1</f>
        <v>12.796774750698974</v>
      </c>
      <c r="Z292" s="6"/>
      <c r="AA292" s="6"/>
      <c r="AB292" s="6">
        <f>$K$292*$V$292</f>
        <v>19350</v>
      </c>
      <c r="AC292" s="6">
        <f>$M$292*$W$292</f>
        <v>0</v>
      </c>
      <c r="AD292" s="6">
        <f>$O$292*$X$292</f>
        <v>0</v>
      </c>
      <c r="AE292" s="6">
        <f ca="1">$K$292*$Y$292</f>
        <v>19195.162126048461</v>
      </c>
      <c r="AF292" s="6">
        <f>$M$292*$Z$292</f>
        <v>0</v>
      </c>
      <c r="AG292" s="6">
        <f>$O$292*$AA$292</f>
        <v>0</v>
      </c>
    </row>
    <row r="293" spans="1:33" ht="11.25" customHeight="1" x14ac:dyDescent="0.25">
      <c r="A293" s="4" t="s">
        <v>21</v>
      </c>
      <c r="B293" s="4" t="s">
        <v>39</v>
      </c>
      <c r="C293" s="4" t="s">
        <v>66</v>
      </c>
      <c r="D293" s="4" t="s">
        <v>25</v>
      </c>
      <c r="E293" s="4" t="s">
        <v>25</v>
      </c>
      <c r="F293" s="4" t="s">
        <v>25</v>
      </c>
      <c r="G293" s="4" t="s">
        <v>70</v>
      </c>
      <c r="H293" s="4" t="s">
        <v>25</v>
      </c>
      <c r="I293" s="5">
        <v>44621</v>
      </c>
      <c r="J293" s="6">
        <v>11000</v>
      </c>
      <c r="K293" s="6">
        <v>5500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4" t="s">
        <v>68</v>
      </c>
      <c r="R293" s="4">
        <v>28957</v>
      </c>
      <c r="S293" s="6">
        <v>16</v>
      </c>
      <c r="T293" s="6">
        <v>0</v>
      </c>
      <c r="U293" s="6">
        <v>0</v>
      </c>
      <c r="V293" s="6">
        <f>IF(ISERROR(VLOOKUP($S$293,'TAR FIN'!$A$1:$O$104,15,0)),0,VLOOKUP($S$293,'TAR FIN'!$A$1:$O$104,15,0))</f>
        <v>12.9</v>
      </c>
      <c r="W293" s="6">
        <f>IF(ISERROR(VLOOKUP($T$293,'TAR FIN'!$A$1:$O$104,15,0)),0,VLOOKUP($T$293,'TAR FIN'!$A$1:$O$104,15,0))</f>
        <v>0</v>
      </c>
      <c r="X293" s="6">
        <f>IF(ISERROR(VLOOKUP($U$293,'TAR FIN'!$A$1:$O$104,15,0)),0,VLOOKUP($U$293,'TAR FIN'!$A$1:$O$104,15,0))</f>
        <v>0</v>
      </c>
      <c r="Y293" s="6">
        <f ca="1">('TUSD BE'!$AM$12+'TUSD BF'!$AM$12+'TUSD CVA'!$AM$12)*1</f>
        <v>12.796774750698974</v>
      </c>
      <c r="Z293" s="6"/>
      <c r="AA293" s="6"/>
      <c r="AB293" s="6">
        <f>$K$293*$V$293</f>
        <v>70950</v>
      </c>
      <c r="AC293" s="6">
        <f>$M$293*$W$293</f>
        <v>0</v>
      </c>
      <c r="AD293" s="6">
        <f>$O$293*$X$293</f>
        <v>0</v>
      </c>
      <c r="AE293" s="6">
        <f ca="1">$K$293*$Y$293</f>
        <v>70382.261128844359</v>
      </c>
      <c r="AF293" s="6">
        <f>$M$293*$Z$293</f>
        <v>0</v>
      </c>
      <c r="AG293" s="6">
        <f>$O$293*$AA$293</f>
        <v>0</v>
      </c>
    </row>
    <row r="294" spans="1:33" ht="11.25" customHeight="1" x14ac:dyDescent="0.25">
      <c r="A294" s="4" t="s">
        <v>21</v>
      </c>
      <c r="B294" s="4" t="s">
        <v>39</v>
      </c>
      <c r="C294" s="4" t="s">
        <v>66</v>
      </c>
      <c r="D294" s="4" t="s">
        <v>25</v>
      </c>
      <c r="E294" s="4" t="s">
        <v>25</v>
      </c>
      <c r="F294" s="4" t="s">
        <v>25</v>
      </c>
      <c r="G294" s="4" t="s">
        <v>71</v>
      </c>
      <c r="H294" s="4" t="s">
        <v>25</v>
      </c>
      <c r="I294" s="5">
        <v>44621</v>
      </c>
      <c r="J294" s="6">
        <v>10050</v>
      </c>
      <c r="K294" s="6">
        <v>5025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4" t="s">
        <v>68</v>
      </c>
      <c r="R294" s="4">
        <v>29041</v>
      </c>
      <c r="S294" s="6">
        <v>16</v>
      </c>
      <c r="T294" s="6">
        <v>0</v>
      </c>
      <c r="U294" s="6">
        <v>0</v>
      </c>
      <c r="V294" s="6">
        <f>IF(ISERROR(VLOOKUP($S$294,'TAR FIN'!$A$1:$O$104,15,0)),0,VLOOKUP($S$294,'TAR FIN'!$A$1:$O$104,15,0))</f>
        <v>12.9</v>
      </c>
      <c r="W294" s="6">
        <f>IF(ISERROR(VLOOKUP($T$294,'TAR FIN'!$A$1:$O$104,15,0)),0,VLOOKUP($T$294,'TAR FIN'!$A$1:$O$104,15,0))</f>
        <v>0</v>
      </c>
      <c r="X294" s="6">
        <f>IF(ISERROR(VLOOKUP($U$294,'TAR FIN'!$A$1:$O$104,15,0)),0,VLOOKUP($U$294,'TAR FIN'!$A$1:$O$104,15,0))</f>
        <v>0</v>
      </c>
      <c r="Y294" s="6">
        <f ca="1">('TUSD BE'!$AM$12+'TUSD BF'!$AM$12+'TUSD CVA'!$AM$12)*1</f>
        <v>12.796774750698974</v>
      </c>
      <c r="Z294" s="6"/>
      <c r="AA294" s="6"/>
      <c r="AB294" s="6">
        <f>$K$294*$V$294</f>
        <v>64822.5</v>
      </c>
      <c r="AC294" s="6">
        <f>$M$294*$W$294</f>
        <v>0</v>
      </c>
      <c r="AD294" s="6">
        <f>$O$294*$X$294</f>
        <v>0</v>
      </c>
      <c r="AE294" s="6">
        <f ca="1">$K$294*$Y$294</f>
        <v>64303.793122262345</v>
      </c>
      <c r="AF294" s="6">
        <f>$M$294*$Z$294</f>
        <v>0</v>
      </c>
      <c r="AG294" s="6">
        <f>$O$294*$AA$294</f>
        <v>0</v>
      </c>
    </row>
    <row r="295" spans="1:33" ht="11.25" customHeight="1" x14ac:dyDescent="0.25">
      <c r="A295" s="4" t="s">
        <v>21</v>
      </c>
      <c r="B295" s="4" t="s">
        <v>39</v>
      </c>
      <c r="C295" s="4" t="s">
        <v>66</v>
      </c>
      <c r="D295" s="4" t="s">
        <v>25</v>
      </c>
      <c r="E295" s="4" t="s">
        <v>25</v>
      </c>
      <c r="F295" s="4" t="s">
        <v>25</v>
      </c>
      <c r="G295" s="4" t="s">
        <v>73</v>
      </c>
      <c r="H295" s="4" t="s">
        <v>25</v>
      </c>
      <c r="I295" s="5">
        <v>44621</v>
      </c>
      <c r="J295" s="6">
        <v>44450</v>
      </c>
      <c r="K295" s="6">
        <v>22225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4" t="s">
        <v>68</v>
      </c>
      <c r="R295" s="4">
        <v>29092</v>
      </c>
      <c r="S295" s="6">
        <v>16</v>
      </c>
      <c r="T295" s="6">
        <v>0</v>
      </c>
      <c r="U295" s="6">
        <v>0</v>
      </c>
      <c r="V295" s="6">
        <f>IF(ISERROR(VLOOKUP($S$295,'TAR FIN'!$A$1:$O$104,15,0)),0,VLOOKUP($S$295,'TAR FIN'!$A$1:$O$104,15,0))</f>
        <v>12.9</v>
      </c>
      <c r="W295" s="6">
        <f>IF(ISERROR(VLOOKUP($T$295,'TAR FIN'!$A$1:$O$104,15,0)),0,VLOOKUP($T$295,'TAR FIN'!$A$1:$O$104,15,0))</f>
        <v>0</v>
      </c>
      <c r="X295" s="6">
        <f>IF(ISERROR(VLOOKUP($U$295,'TAR FIN'!$A$1:$O$104,15,0)),0,VLOOKUP($U$295,'TAR FIN'!$A$1:$O$104,15,0))</f>
        <v>0</v>
      </c>
      <c r="Y295" s="6">
        <f ca="1">('TUSD BE'!$AM$12+'TUSD BF'!$AM$12+'TUSD CVA'!$AM$12)*1</f>
        <v>12.796774750698974</v>
      </c>
      <c r="Z295" s="6"/>
      <c r="AA295" s="6"/>
      <c r="AB295" s="6">
        <f>$K$295*$V$295</f>
        <v>286702.5</v>
      </c>
      <c r="AC295" s="6">
        <f>$M$295*$W$295</f>
        <v>0</v>
      </c>
      <c r="AD295" s="6">
        <f>$O$295*$X$295</f>
        <v>0</v>
      </c>
      <c r="AE295" s="6">
        <f ca="1">$K$295*$Y$295</f>
        <v>284408.31883428473</v>
      </c>
      <c r="AF295" s="6">
        <f>$M$295*$Z$295</f>
        <v>0</v>
      </c>
      <c r="AG295" s="6">
        <f>$O$295*$AA$295</f>
        <v>0</v>
      </c>
    </row>
    <row r="296" spans="1:33" ht="11.25" customHeight="1" x14ac:dyDescent="0.25">
      <c r="A296" s="4" t="s">
        <v>21</v>
      </c>
      <c r="B296" s="4" t="s">
        <v>39</v>
      </c>
      <c r="C296" s="4" t="s">
        <v>66</v>
      </c>
      <c r="D296" s="4" t="s">
        <v>25</v>
      </c>
      <c r="E296" s="4" t="s">
        <v>25</v>
      </c>
      <c r="F296" s="4" t="s">
        <v>25</v>
      </c>
      <c r="G296" s="4" t="s">
        <v>75</v>
      </c>
      <c r="H296" s="4" t="s">
        <v>25</v>
      </c>
      <c r="I296" s="5">
        <v>44621</v>
      </c>
      <c r="J296" s="6">
        <v>30000</v>
      </c>
      <c r="K296" s="6">
        <v>15000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4" t="s">
        <v>68</v>
      </c>
      <c r="R296" s="4">
        <v>33663</v>
      </c>
      <c r="S296" s="6">
        <v>16</v>
      </c>
      <c r="T296" s="6">
        <v>0</v>
      </c>
      <c r="U296" s="6">
        <v>0</v>
      </c>
      <c r="V296" s="6">
        <f>IF(ISERROR(VLOOKUP($S$296,'TAR FIN'!$A$1:$O$104,15,0)),0,VLOOKUP($S$296,'TAR FIN'!$A$1:$O$104,15,0))</f>
        <v>12.9</v>
      </c>
      <c r="W296" s="6">
        <f>IF(ISERROR(VLOOKUP($T$296,'TAR FIN'!$A$1:$O$104,15,0)),0,VLOOKUP($T$296,'TAR FIN'!$A$1:$O$104,15,0))</f>
        <v>0</v>
      </c>
      <c r="X296" s="6">
        <f>IF(ISERROR(VLOOKUP($U$296,'TAR FIN'!$A$1:$O$104,15,0)),0,VLOOKUP($U$296,'TAR FIN'!$A$1:$O$104,15,0))</f>
        <v>0</v>
      </c>
      <c r="Y296" s="6">
        <f ca="1">('TUSD BE'!$AM$12+'TUSD BF'!$AM$12+'TUSD CVA'!$AM$12)*1</f>
        <v>12.796774750698974</v>
      </c>
      <c r="Z296" s="6"/>
      <c r="AA296" s="6"/>
      <c r="AB296" s="6">
        <f>$K$296*$V$296</f>
        <v>193500</v>
      </c>
      <c r="AC296" s="6">
        <f>$M$296*$W$296</f>
        <v>0</v>
      </c>
      <c r="AD296" s="6">
        <f>$O$296*$X$296</f>
        <v>0</v>
      </c>
      <c r="AE296" s="6">
        <f ca="1">$K$296*$Y$296</f>
        <v>191951.62126048462</v>
      </c>
      <c r="AF296" s="6">
        <f>$M$296*$Z$296</f>
        <v>0</v>
      </c>
      <c r="AG296" s="6">
        <f>$O$296*$AA$296</f>
        <v>0</v>
      </c>
    </row>
    <row r="297" spans="1:33" ht="11.25" customHeight="1" x14ac:dyDescent="0.25">
      <c r="A297" s="4" t="s">
        <v>21</v>
      </c>
      <c r="B297" s="4" t="s">
        <v>39</v>
      </c>
      <c r="C297" s="4" t="s">
        <v>66</v>
      </c>
      <c r="D297" s="4" t="s">
        <v>25</v>
      </c>
      <c r="E297" s="4" t="s">
        <v>25</v>
      </c>
      <c r="F297" s="4" t="s">
        <v>25</v>
      </c>
      <c r="G297" s="4" t="s">
        <v>76</v>
      </c>
      <c r="H297" s="4" t="s">
        <v>25</v>
      </c>
      <c r="I297" s="5">
        <v>44621</v>
      </c>
      <c r="J297" s="6">
        <v>30000</v>
      </c>
      <c r="K297" s="6">
        <v>15000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4" t="s">
        <v>68</v>
      </c>
      <c r="R297" s="4">
        <v>33664</v>
      </c>
      <c r="S297" s="6">
        <v>16</v>
      </c>
      <c r="T297" s="6">
        <v>0</v>
      </c>
      <c r="U297" s="6">
        <v>0</v>
      </c>
      <c r="V297" s="6">
        <f>IF(ISERROR(VLOOKUP($S$297,'TAR FIN'!$A$1:$O$104,15,0)),0,VLOOKUP($S$297,'TAR FIN'!$A$1:$O$104,15,0))</f>
        <v>12.9</v>
      </c>
      <c r="W297" s="6">
        <f>IF(ISERROR(VLOOKUP($T$297,'TAR FIN'!$A$1:$O$104,15,0)),0,VLOOKUP($T$297,'TAR FIN'!$A$1:$O$104,15,0))</f>
        <v>0</v>
      </c>
      <c r="X297" s="6">
        <f>IF(ISERROR(VLOOKUP($U$297,'TAR FIN'!$A$1:$O$104,15,0)),0,VLOOKUP($U$297,'TAR FIN'!$A$1:$O$104,15,0))</f>
        <v>0</v>
      </c>
      <c r="Y297" s="6">
        <f ca="1">('TUSD BE'!$AM$12+'TUSD BF'!$AM$12+'TUSD CVA'!$AM$12)*1</f>
        <v>12.796774750698974</v>
      </c>
      <c r="Z297" s="6"/>
      <c r="AA297" s="6"/>
      <c r="AB297" s="6">
        <f>$K$297*$V$297</f>
        <v>193500</v>
      </c>
      <c r="AC297" s="6">
        <f>$M$297*$W$297</f>
        <v>0</v>
      </c>
      <c r="AD297" s="6">
        <f>$O$297*$X$297</f>
        <v>0</v>
      </c>
      <c r="AE297" s="6">
        <f ca="1">$K$297*$Y$297</f>
        <v>191951.62126048462</v>
      </c>
      <c r="AF297" s="6">
        <f>$M$297*$Z$297</f>
        <v>0</v>
      </c>
      <c r="AG297" s="6">
        <f>$O$297*$AA$297</f>
        <v>0</v>
      </c>
    </row>
    <row r="298" spans="1:33" ht="11.25" customHeight="1" x14ac:dyDescent="0.25">
      <c r="A298" s="4" t="s">
        <v>21</v>
      </c>
      <c r="B298" s="4" t="s">
        <v>39</v>
      </c>
      <c r="C298" s="4" t="s">
        <v>66</v>
      </c>
      <c r="D298" s="4" t="s">
        <v>25</v>
      </c>
      <c r="E298" s="4" t="s">
        <v>25</v>
      </c>
      <c r="F298" s="4" t="s">
        <v>25</v>
      </c>
      <c r="G298" s="4" t="s">
        <v>77</v>
      </c>
      <c r="H298" s="4" t="s">
        <v>25</v>
      </c>
      <c r="I298" s="5">
        <v>44621</v>
      </c>
      <c r="J298" s="6">
        <v>30000</v>
      </c>
      <c r="K298" s="6">
        <v>15000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4" t="s">
        <v>68</v>
      </c>
      <c r="R298" s="4">
        <v>33665</v>
      </c>
      <c r="S298" s="6">
        <v>16</v>
      </c>
      <c r="T298" s="6">
        <v>0</v>
      </c>
      <c r="U298" s="6">
        <v>0</v>
      </c>
      <c r="V298" s="6">
        <f>IF(ISERROR(VLOOKUP($S$298,'TAR FIN'!$A$1:$O$104,15,0)),0,VLOOKUP($S$298,'TAR FIN'!$A$1:$O$104,15,0))</f>
        <v>12.9</v>
      </c>
      <c r="W298" s="6">
        <f>IF(ISERROR(VLOOKUP($T$298,'TAR FIN'!$A$1:$O$104,15,0)),0,VLOOKUP($T$298,'TAR FIN'!$A$1:$O$104,15,0))</f>
        <v>0</v>
      </c>
      <c r="X298" s="6">
        <f>IF(ISERROR(VLOOKUP($U$298,'TAR FIN'!$A$1:$O$104,15,0)),0,VLOOKUP($U$298,'TAR FIN'!$A$1:$O$104,15,0))</f>
        <v>0</v>
      </c>
      <c r="Y298" s="6">
        <f ca="1">('TUSD BE'!$AM$12+'TUSD BF'!$AM$12+'TUSD CVA'!$AM$12)*1</f>
        <v>12.796774750698974</v>
      </c>
      <c r="Z298" s="6"/>
      <c r="AA298" s="6"/>
      <c r="AB298" s="6">
        <f>$K$298*$V$298</f>
        <v>193500</v>
      </c>
      <c r="AC298" s="6">
        <f>$M$298*$W$298</f>
        <v>0</v>
      </c>
      <c r="AD298" s="6">
        <f>$O$298*$X$298</f>
        <v>0</v>
      </c>
      <c r="AE298" s="6">
        <f ca="1">$K$298*$Y$298</f>
        <v>191951.62126048462</v>
      </c>
      <c r="AF298" s="6">
        <f>$M$298*$Z$298</f>
        <v>0</v>
      </c>
      <c r="AG298" s="6">
        <f>$O$298*$AA$298</f>
        <v>0</v>
      </c>
    </row>
    <row r="299" spans="1:33" ht="11.25" customHeight="1" x14ac:dyDescent="0.25">
      <c r="A299" s="4" t="s">
        <v>21</v>
      </c>
      <c r="B299" s="4" t="s">
        <v>39</v>
      </c>
      <c r="C299" s="4" t="s">
        <v>66</v>
      </c>
      <c r="D299" s="4" t="s">
        <v>25</v>
      </c>
      <c r="E299" s="4" t="s">
        <v>25</v>
      </c>
      <c r="F299" s="4" t="s">
        <v>25</v>
      </c>
      <c r="G299" s="4" t="s">
        <v>78</v>
      </c>
      <c r="H299" s="4" t="s">
        <v>25</v>
      </c>
      <c r="I299" s="5">
        <v>44621</v>
      </c>
      <c r="J299" s="6">
        <v>27000</v>
      </c>
      <c r="K299" s="6">
        <v>13500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4" t="s">
        <v>68</v>
      </c>
      <c r="R299" s="4">
        <v>34085</v>
      </c>
      <c r="S299" s="6">
        <v>16</v>
      </c>
      <c r="T299" s="6">
        <v>0</v>
      </c>
      <c r="U299" s="6">
        <v>0</v>
      </c>
      <c r="V299" s="6">
        <f>IF(ISERROR(VLOOKUP($S$299,'TAR FIN'!$A$1:$O$104,15,0)),0,VLOOKUP($S$299,'TAR FIN'!$A$1:$O$104,15,0))</f>
        <v>12.9</v>
      </c>
      <c r="W299" s="6">
        <f>IF(ISERROR(VLOOKUP($T$299,'TAR FIN'!$A$1:$O$104,15,0)),0,VLOOKUP($T$299,'TAR FIN'!$A$1:$O$104,15,0))</f>
        <v>0</v>
      </c>
      <c r="X299" s="6">
        <f>IF(ISERROR(VLOOKUP($U$299,'TAR FIN'!$A$1:$O$104,15,0)),0,VLOOKUP($U$299,'TAR FIN'!$A$1:$O$104,15,0))</f>
        <v>0</v>
      </c>
      <c r="Y299" s="6">
        <f ca="1">('TUSD BE'!$AM$12+'TUSD BF'!$AM$12+'TUSD CVA'!$AM$12)*1</f>
        <v>12.796774750698974</v>
      </c>
      <c r="Z299" s="6"/>
      <c r="AA299" s="6"/>
      <c r="AB299" s="6">
        <f>$K$299*$V$299</f>
        <v>174150</v>
      </c>
      <c r="AC299" s="6">
        <f>$M$299*$W$299</f>
        <v>0</v>
      </c>
      <c r="AD299" s="6">
        <f>$O$299*$X$299</f>
        <v>0</v>
      </c>
      <c r="AE299" s="6">
        <f ca="1">$K$299*$Y$299</f>
        <v>172756.45913443615</v>
      </c>
      <c r="AF299" s="6">
        <f>$M$299*$Z$299</f>
        <v>0</v>
      </c>
      <c r="AG299" s="6">
        <f>$O$299*$AA$299</f>
        <v>0</v>
      </c>
    </row>
    <row r="300" spans="1:33" ht="11.25" customHeight="1" x14ac:dyDescent="0.25">
      <c r="A300" s="4" t="s">
        <v>21</v>
      </c>
      <c r="B300" s="4" t="s">
        <v>39</v>
      </c>
      <c r="C300" s="4" t="s">
        <v>66</v>
      </c>
      <c r="D300" s="4" t="s">
        <v>25</v>
      </c>
      <c r="E300" s="4" t="s">
        <v>25</v>
      </c>
      <c r="F300" s="4" t="s">
        <v>25</v>
      </c>
      <c r="G300" s="4" t="s">
        <v>79</v>
      </c>
      <c r="H300" s="4" t="s">
        <v>25</v>
      </c>
      <c r="I300" s="5">
        <v>44621</v>
      </c>
      <c r="J300" s="6">
        <v>27000</v>
      </c>
      <c r="K300" s="6">
        <v>13500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4" t="s">
        <v>68</v>
      </c>
      <c r="R300" s="4">
        <v>34086</v>
      </c>
      <c r="S300" s="6">
        <v>16</v>
      </c>
      <c r="T300" s="6">
        <v>0</v>
      </c>
      <c r="U300" s="6">
        <v>0</v>
      </c>
      <c r="V300" s="6">
        <f>IF(ISERROR(VLOOKUP($S$300,'TAR FIN'!$A$1:$O$104,15,0)),0,VLOOKUP($S$300,'TAR FIN'!$A$1:$O$104,15,0))</f>
        <v>12.9</v>
      </c>
      <c r="W300" s="6">
        <f>IF(ISERROR(VLOOKUP($T$300,'TAR FIN'!$A$1:$O$104,15,0)),0,VLOOKUP($T$300,'TAR FIN'!$A$1:$O$104,15,0))</f>
        <v>0</v>
      </c>
      <c r="X300" s="6">
        <f>IF(ISERROR(VLOOKUP($U$300,'TAR FIN'!$A$1:$O$104,15,0)),0,VLOOKUP($U$300,'TAR FIN'!$A$1:$O$104,15,0))</f>
        <v>0</v>
      </c>
      <c r="Y300" s="6">
        <f ca="1">('TUSD BE'!$AM$12+'TUSD BF'!$AM$12+'TUSD CVA'!$AM$12)*1</f>
        <v>12.796774750698974</v>
      </c>
      <c r="Z300" s="6"/>
      <c r="AA300" s="6"/>
      <c r="AB300" s="6">
        <f>$K$300*$V$300</f>
        <v>174150</v>
      </c>
      <c r="AC300" s="6">
        <f>$M$300*$W$300</f>
        <v>0</v>
      </c>
      <c r="AD300" s="6">
        <f>$O$300*$X$300</f>
        <v>0</v>
      </c>
      <c r="AE300" s="6">
        <f ca="1">$K$300*$Y$300</f>
        <v>172756.45913443615</v>
      </c>
      <c r="AF300" s="6">
        <f>$M$300*$Z$300</f>
        <v>0</v>
      </c>
      <c r="AG300" s="6">
        <f>$O$300*$AA$300</f>
        <v>0</v>
      </c>
    </row>
    <row r="301" spans="1:33" ht="11.25" customHeight="1" x14ac:dyDescent="0.25">
      <c r="A301" s="4" t="s">
        <v>21</v>
      </c>
      <c r="B301" s="4" t="s">
        <v>39</v>
      </c>
      <c r="C301" s="4" t="s">
        <v>66</v>
      </c>
      <c r="D301" s="4" t="s">
        <v>25</v>
      </c>
      <c r="E301" s="4" t="s">
        <v>25</v>
      </c>
      <c r="F301" s="4" t="s">
        <v>25</v>
      </c>
      <c r="G301" s="4" t="s">
        <v>67</v>
      </c>
      <c r="H301" s="4" t="s">
        <v>25</v>
      </c>
      <c r="I301" s="5">
        <v>44652</v>
      </c>
      <c r="J301" s="6">
        <v>3500</v>
      </c>
      <c r="K301" s="6">
        <v>3500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4" t="s">
        <v>68</v>
      </c>
      <c r="R301" s="4">
        <v>27402</v>
      </c>
      <c r="S301" s="6">
        <v>16</v>
      </c>
      <c r="T301" s="6">
        <v>0</v>
      </c>
      <c r="U301" s="6">
        <v>0</v>
      </c>
      <c r="V301" s="6">
        <f>IF(ISERROR(VLOOKUP($S$301,'TAR FIN'!$A$1:$O$104,15,0)),0,VLOOKUP($S$301,'TAR FIN'!$A$1:$O$104,15,0))</f>
        <v>12.9</v>
      </c>
      <c r="W301" s="6">
        <f>IF(ISERROR(VLOOKUP($T$301,'TAR FIN'!$A$1:$O$104,15,0)),0,VLOOKUP($T$301,'TAR FIN'!$A$1:$O$104,15,0))</f>
        <v>0</v>
      </c>
      <c r="X301" s="6">
        <f>IF(ISERROR(VLOOKUP($U$301,'TAR FIN'!$A$1:$O$104,15,0)),0,VLOOKUP($U$301,'TAR FIN'!$A$1:$O$104,15,0))</f>
        <v>0</v>
      </c>
      <c r="Y301" s="6">
        <f ca="1">('TUSD BE'!$AM$12+'TUSD BF'!$AM$12+'TUSD CVA'!$AM$12)*1</f>
        <v>12.796774750698974</v>
      </c>
      <c r="Z301" s="6"/>
      <c r="AA301" s="6"/>
      <c r="AB301" s="6">
        <f>$K$301*$V$301</f>
        <v>45150</v>
      </c>
      <c r="AC301" s="6">
        <f>$M$301*$W$301</f>
        <v>0</v>
      </c>
      <c r="AD301" s="6">
        <f>$O$301*$X$301</f>
        <v>0</v>
      </c>
      <c r="AE301" s="6">
        <f ca="1">$K$301*$Y$301</f>
        <v>44788.711627446406</v>
      </c>
      <c r="AF301" s="6">
        <f>$M$301*$Z$301</f>
        <v>0</v>
      </c>
      <c r="AG301" s="6">
        <f>$O$301*$AA$301</f>
        <v>0</v>
      </c>
    </row>
    <row r="302" spans="1:33" ht="11.25" customHeight="1" x14ac:dyDescent="0.25">
      <c r="A302" s="4" t="s">
        <v>21</v>
      </c>
      <c r="B302" s="4" t="s">
        <v>39</v>
      </c>
      <c r="C302" s="4" t="s">
        <v>66</v>
      </c>
      <c r="D302" s="4" t="s">
        <v>25</v>
      </c>
      <c r="E302" s="4" t="s">
        <v>25</v>
      </c>
      <c r="F302" s="4" t="s">
        <v>25</v>
      </c>
      <c r="G302" s="4" t="s">
        <v>69</v>
      </c>
      <c r="H302" s="4" t="s">
        <v>25</v>
      </c>
      <c r="I302" s="5">
        <v>44652</v>
      </c>
      <c r="J302" s="6">
        <v>3000</v>
      </c>
      <c r="K302" s="6">
        <v>1500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4" t="s">
        <v>68</v>
      </c>
      <c r="R302" s="4">
        <v>28515</v>
      </c>
      <c r="S302" s="6">
        <v>16</v>
      </c>
      <c r="T302" s="6">
        <v>0</v>
      </c>
      <c r="U302" s="6">
        <v>0</v>
      </c>
      <c r="V302" s="6">
        <f>IF(ISERROR(VLOOKUP($S$302,'TAR FIN'!$A$1:$O$104,15,0)),0,VLOOKUP($S$302,'TAR FIN'!$A$1:$O$104,15,0))</f>
        <v>12.9</v>
      </c>
      <c r="W302" s="6">
        <f>IF(ISERROR(VLOOKUP($T$302,'TAR FIN'!$A$1:$O$104,15,0)),0,VLOOKUP($T$302,'TAR FIN'!$A$1:$O$104,15,0))</f>
        <v>0</v>
      </c>
      <c r="X302" s="6">
        <f>IF(ISERROR(VLOOKUP($U$302,'TAR FIN'!$A$1:$O$104,15,0)),0,VLOOKUP($U$302,'TAR FIN'!$A$1:$O$104,15,0))</f>
        <v>0</v>
      </c>
      <c r="Y302" s="6">
        <f ca="1">('TUSD BE'!$AM$12+'TUSD BF'!$AM$12+'TUSD CVA'!$AM$12)*1</f>
        <v>12.796774750698974</v>
      </c>
      <c r="Z302" s="6"/>
      <c r="AA302" s="6"/>
      <c r="AB302" s="6">
        <f>$K$302*$V$302</f>
        <v>19350</v>
      </c>
      <c r="AC302" s="6">
        <f>$M$302*$W$302</f>
        <v>0</v>
      </c>
      <c r="AD302" s="6">
        <f>$O$302*$X$302</f>
        <v>0</v>
      </c>
      <c r="AE302" s="6">
        <f ca="1">$K$302*$Y$302</f>
        <v>19195.162126048461</v>
      </c>
      <c r="AF302" s="6">
        <f>$M$302*$Z$302</f>
        <v>0</v>
      </c>
      <c r="AG302" s="6">
        <f>$O$302*$AA$302</f>
        <v>0</v>
      </c>
    </row>
    <row r="303" spans="1:33" ht="11.25" customHeight="1" x14ac:dyDescent="0.25">
      <c r="A303" s="4" t="s">
        <v>21</v>
      </c>
      <c r="B303" s="4" t="s">
        <v>39</v>
      </c>
      <c r="C303" s="4" t="s">
        <v>66</v>
      </c>
      <c r="D303" s="4" t="s">
        <v>25</v>
      </c>
      <c r="E303" s="4" t="s">
        <v>25</v>
      </c>
      <c r="F303" s="4" t="s">
        <v>25</v>
      </c>
      <c r="G303" s="4" t="s">
        <v>70</v>
      </c>
      <c r="H303" s="4" t="s">
        <v>25</v>
      </c>
      <c r="I303" s="5">
        <v>44652</v>
      </c>
      <c r="J303" s="6">
        <v>11000</v>
      </c>
      <c r="K303" s="6">
        <v>5500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4" t="s">
        <v>68</v>
      </c>
      <c r="R303" s="4">
        <v>28957</v>
      </c>
      <c r="S303" s="6">
        <v>16</v>
      </c>
      <c r="T303" s="6">
        <v>0</v>
      </c>
      <c r="U303" s="6">
        <v>0</v>
      </c>
      <c r="V303" s="6">
        <f>IF(ISERROR(VLOOKUP($S$303,'TAR FIN'!$A$1:$O$104,15,0)),0,VLOOKUP($S$303,'TAR FIN'!$A$1:$O$104,15,0))</f>
        <v>12.9</v>
      </c>
      <c r="W303" s="6">
        <f>IF(ISERROR(VLOOKUP($T$303,'TAR FIN'!$A$1:$O$104,15,0)),0,VLOOKUP($T$303,'TAR FIN'!$A$1:$O$104,15,0))</f>
        <v>0</v>
      </c>
      <c r="X303" s="6">
        <f>IF(ISERROR(VLOOKUP($U$303,'TAR FIN'!$A$1:$O$104,15,0)),0,VLOOKUP($U$303,'TAR FIN'!$A$1:$O$104,15,0))</f>
        <v>0</v>
      </c>
      <c r="Y303" s="6">
        <f ca="1">('TUSD BE'!$AM$12+'TUSD BF'!$AM$12+'TUSD CVA'!$AM$12)*1</f>
        <v>12.796774750698974</v>
      </c>
      <c r="Z303" s="6"/>
      <c r="AA303" s="6"/>
      <c r="AB303" s="6">
        <f>$K$303*$V$303</f>
        <v>70950</v>
      </c>
      <c r="AC303" s="6">
        <f>$M$303*$W$303</f>
        <v>0</v>
      </c>
      <c r="AD303" s="6">
        <f>$O$303*$X$303</f>
        <v>0</v>
      </c>
      <c r="AE303" s="6">
        <f ca="1">$K$303*$Y$303</f>
        <v>70382.261128844359</v>
      </c>
      <c r="AF303" s="6">
        <f>$M$303*$Z$303</f>
        <v>0</v>
      </c>
      <c r="AG303" s="6">
        <f>$O$303*$AA$303</f>
        <v>0</v>
      </c>
    </row>
    <row r="304" spans="1:33" ht="11.25" customHeight="1" x14ac:dyDescent="0.25">
      <c r="A304" s="4" t="s">
        <v>21</v>
      </c>
      <c r="B304" s="4" t="s">
        <v>39</v>
      </c>
      <c r="C304" s="4" t="s">
        <v>66</v>
      </c>
      <c r="D304" s="4" t="s">
        <v>25</v>
      </c>
      <c r="E304" s="4" t="s">
        <v>25</v>
      </c>
      <c r="F304" s="4" t="s">
        <v>25</v>
      </c>
      <c r="G304" s="4" t="s">
        <v>71</v>
      </c>
      <c r="H304" s="4" t="s">
        <v>25</v>
      </c>
      <c r="I304" s="5">
        <v>44652</v>
      </c>
      <c r="J304" s="6">
        <v>10050</v>
      </c>
      <c r="K304" s="6">
        <v>5025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4" t="s">
        <v>68</v>
      </c>
      <c r="R304" s="4">
        <v>29041</v>
      </c>
      <c r="S304" s="6">
        <v>16</v>
      </c>
      <c r="T304" s="6">
        <v>0</v>
      </c>
      <c r="U304" s="6">
        <v>0</v>
      </c>
      <c r="V304" s="6">
        <f>IF(ISERROR(VLOOKUP($S$304,'TAR FIN'!$A$1:$O$104,15,0)),0,VLOOKUP($S$304,'TAR FIN'!$A$1:$O$104,15,0))</f>
        <v>12.9</v>
      </c>
      <c r="W304" s="6">
        <f>IF(ISERROR(VLOOKUP($T$304,'TAR FIN'!$A$1:$O$104,15,0)),0,VLOOKUP($T$304,'TAR FIN'!$A$1:$O$104,15,0))</f>
        <v>0</v>
      </c>
      <c r="X304" s="6">
        <f>IF(ISERROR(VLOOKUP($U$304,'TAR FIN'!$A$1:$O$104,15,0)),0,VLOOKUP($U$304,'TAR FIN'!$A$1:$O$104,15,0))</f>
        <v>0</v>
      </c>
      <c r="Y304" s="6">
        <f ca="1">('TUSD BE'!$AM$12+'TUSD BF'!$AM$12+'TUSD CVA'!$AM$12)*1</f>
        <v>12.796774750698974</v>
      </c>
      <c r="Z304" s="6"/>
      <c r="AA304" s="6"/>
      <c r="AB304" s="6">
        <f>$K$304*$V$304</f>
        <v>64822.5</v>
      </c>
      <c r="AC304" s="6">
        <f>$M$304*$W$304</f>
        <v>0</v>
      </c>
      <c r="AD304" s="6">
        <f>$O$304*$X$304</f>
        <v>0</v>
      </c>
      <c r="AE304" s="6">
        <f ca="1">$K$304*$Y$304</f>
        <v>64303.793122262345</v>
      </c>
      <c r="AF304" s="6">
        <f>$M$304*$Z$304</f>
        <v>0</v>
      </c>
      <c r="AG304" s="6">
        <f>$O$304*$AA$304</f>
        <v>0</v>
      </c>
    </row>
    <row r="305" spans="1:33" ht="11.25" customHeight="1" x14ac:dyDescent="0.25">
      <c r="A305" s="4" t="s">
        <v>21</v>
      </c>
      <c r="B305" s="4" t="s">
        <v>39</v>
      </c>
      <c r="C305" s="4" t="s">
        <v>66</v>
      </c>
      <c r="D305" s="4" t="s">
        <v>25</v>
      </c>
      <c r="E305" s="4" t="s">
        <v>25</v>
      </c>
      <c r="F305" s="4" t="s">
        <v>25</v>
      </c>
      <c r="G305" s="4" t="s">
        <v>73</v>
      </c>
      <c r="H305" s="4" t="s">
        <v>25</v>
      </c>
      <c r="I305" s="5">
        <v>44652</v>
      </c>
      <c r="J305" s="6">
        <v>44450</v>
      </c>
      <c r="K305" s="6">
        <v>22225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4" t="s">
        <v>68</v>
      </c>
      <c r="R305" s="4">
        <v>29092</v>
      </c>
      <c r="S305" s="6">
        <v>16</v>
      </c>
      <c r="T305" s="6">
        <v>0</v>
      </c>
      <c r="U305" s="6">
        <v>0</v>
      </c>
      <c r="V305" s="6">
        <f>IF(ISERROR(VLOOKUP($S$305,'TAR FIN'!$A$1:$O$104,15,0)),0,VLOOKUP($S$305,'TAR FIN'!$A$1:$O$104,15,0))</f>
        <v>12.9</v>
      </c>
      <c r="W305" s="6">
        <f>IF(ISERROR(VLOOKUP($T$305,'TAR FIN'!$A$1:$O$104,15,0)),0,VLOOKUP($T$305,'TAR FIN'!$A$1:$O$104,15,0))</f>
        <v>0</v>
      </c>
      <c r="X305" s="6">
        <f>IF(ISERROR(VLOOKUP($U$305,'TAR FIN'!$A$1:$O$104,15,0)),0,VLOOKUP($U$305,'TAR FIN'!$A$1:$O$104,15,0))</f>
        <v>0</v>
      </c>
      <c r="Y305" s="6">
        <f ca="1">('TUSD BE'!$AM$12+'TUSD BF'!$AM$12+'TUSD CVA'!$AM$12)*1</f>
        <v>12.796774750698974</v>
      </c>
      <c r="Z305" s="6"/>
      <c r="AA305" s="6"/>
      <c r="AB305" s="6">
        <f>$K$305*$V$305</f>
        <v>286702.5</v>
      </c>
      <c r="AC305" s="6">
        <f>$M$305*$W$305</f>
        <v>0</v>
      </c>
      <c r="AD305" s="6">
        <f>$O$305*$X$305</f>
        <v>0</v>
      </c>
      <c r="AE305" s="6">
        <f ca="1">$K$305*$Y$305</f>
        <v>284408.31883428473</v>
      </c>
      <c r="AF305" s="6">
        <f>$M$305*$Z$305</f>
        <v>0</v>
      </c>
      <c r="AG305" s="6">
        <f>$O$305*$AA$305</f>
        <v>0</v>
      </c>
    </row>
    <row r="306" spans="1:33" ht="11.25" customHeight="1" x14ac:dyDescent="0.25">
      <c r="A306" s="4" t="s">
        <v>21</v>
      </c>
      <c r="B306" s="4" t="s">
        <v>39</v>
      </c>
      <c r="C306" s="4" t="s">
        <v>66</v>
      </c>
      <c r="D306" s="4" t="s">
        <v>25</v>
      </c>
      <c r="E306" s="4" t="s">
        <v>25</v>
      </c>
      <c r="F306" s="4" t="s">
        <v>25</v>
      </c>
      <c r="G306" s="4" t="s">
        <v>75</v>
      </c>
      <c r="H306" s="4" t="s">
        <v>25</v>
      </c>
      <c r="I306" s="5">
        <v>44652</v>
      </c>
      <c r="J306" s="6">
        <v>30000</v>
      </c>
      <c r="K306" s="6">
        <v>15000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4" t="s">
        <v>68</v>
      </c>
      <c r="R306" s="4">
        <v>33663</v>
      </c>
      <c r="S306" s="6">
        <v>16</v>
      </c>
      <c r="T306" s="6">
        <v>0</v>
      </c>
      <c r="U306" s="6">
        <v>0</v>
      </c>
      <c r="V306" s="6">
        <f>IF(ISERROR(VLOOKUP($S$306,'TAR FIN'!$A$1:$O$104,15,0)),0,VLOOKUP($S$306,'TAR FIN'!$A$1:$O$104,15,0))</f>
        <v>12.9</v>
      </c>
      <c r="W306" s="6">
        <f>IF(ISERROR(VLOOKUP($T$306,'TAR FIN'!$A$1:$O$104,15,0)),0,VLOOKUP($T$306,'TAR FIN'!$A$1:$O$104,15,0))</f>
        <v>0</v>
      </c>
      <c r="X306" s="6">
        <f>IF(ISERROR(VLOOKUP($U$306,'TAR FIN'!$A$1:$O$104,15,0)),0,VLOOKUP($U$306,'TAR FIN'!$A$1:$O$104,15,0))</f>
        <v>0</v>
      </c>
      <c r="Y306" s="6">
        <f ca="1">('TUSD BE'!$AM$12+'TUSD BF'!$AM$12+'TUSD CVA'!$AM$12)*1</f>
        <v>12.796774750698974</v>
      </c>
      <c r="Z306" s="6"/>
      <c r="AA306" s="6"/>
      <c r="AB306" s="6">
        <f>$K$306*$V$306</f>
        <v>193500</v>
      </c>
      <c r="AC306" s="6">
        <f>$M$306*$W$306</f>
        <v>0</v>
      </c>
      <c r="AD306" s="6">
        <f>$O$306*$X$306</f>
        <v>0</v>
      </c>
      <c r="AE306" s="6">
        <f ca="1">$K$306*$Y$306</f>
        <v>191951.62126048462</v>
      </c>
      <c r="AF306" s="6">
        <f>$M$306*$Z$306</f>
        <v>0</v>
      </c>
      <c r="AG306" s="6">
        <f>$O$306*$AA$306</f>
        <v>0</v>
      </c>
    </row>
    <row r="307" spans="1:33" ht="11.25" customHeight="1" x14ac:dyDescent="0.25">
      <c r="A307" s="4" t="s">
        <v>21</v>
      </c>
      <c r="B307" s="4" t="s">
        <v>39</v>
      </c>
      <c r="C307" s="4" t="s">
        <v>66</v>
      </c>
      <c r="D307" s="4" t="s">
        <v>25</v>
      </c>
      <c r="E307" s="4" t="s">
        <v>25</v>
      </c>
      <c r="F307" s="4" t="s">
        <v>25</v>
      </c>
      <c r="G307" s="4" t="s">
        <v>76</v>
      </c>
      <c r="H307" s="4" t="s">
        <v>25</v>
      </c>
      <c r="I307" s="5">
        <v>44652</v>
      </c>
      <c r="J307" s="6">
        <v>30000</v>
      </c>
      <c r="K307" s="6">
        <v>15000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4" t="s">
        <v>68</v>
      </c>
      <c r="R307" s="4">
        <v>33664</v>
      </c>
      <c r="S307" s="6">
        <v>16</v>
      </c>
      <c r="T307" s="6">
        <v>0</v>
      </c>
      <c r="U307" s="6">
        <v>0</v>
      </c>
      <c r="V307" s="6">
        <f>IF(ISERROR(VLOOKUP($S$307,'TAR FIN'!$A$1:$O$104,15,0)),0,VLOOKUP($S$307,'TAR FIN'!$A$1:$O$104,15,0))</f>
        <v>12.9</v>
      </c>
      <c r="W307" s="6">
        <f>IF(ISERROR(VLOOKUP($T$307,'TAR FIN'!$A$1:$O$104,15,0)),0,VLOOKUP($T$307,'TAR FIN'!$A$1:$O$104,15,0))</f>
        <v>0</v>
      </c>
      <c r="X307" s="6">
        <f>IF(ISERROR(VLOOKUP($U$307,'TAR FIN'!$A$1:$O$104,15,0)),0,VLOOKUP($U$307,'TAR FIN'!$A$1:$O$104,15,0))</f>
        <v>0</v>
      </c>
      <c r="Y307" s="6">
        <f ca="1">('TUSD BE'!$AM$12+'TUSD BF'!$AM$12+'TUSD CVA'!$AM$12)*1</f>
        <v>12.796774750698974</v>
      </c>
      <c r="Z307" s="6"/>
      <c r="AA307" s="6"/>
      <c r="AB307" s="6">
        <f>$K$307*$V$307</f>
        <v>193500</v>
      </c>
      <c r="AC307" s="6">
        <f>$M$307*$W$307</f>
        <v>0</v>
      </c>
      <c r="AD307" s="6">
        <f>$O$307*$X$307</f>
        <v>0</v>
      </c>
      <c r="AE307" s="6">
        <f ca="1">$K$307*$Y$307</f>
        <v>191951.62126048462</v>
      </c>
      <c r="AF307" s="6">
        <f>$M$307*$Z$307</f>
        <v>0</v>
      </c>
      <c r="AG307" s="6">
        <f>$O$307*$AA$307</f>
        <v>0</v>
      </c>
    </row>
    <row r="308" spans="1:33" ht="11.25" customHeight="1" x14ac:dyDescent="0.25">
      <c r="A308" s="4" t="s">
        <v>21</v>
      </c>
      <c r="B308" s="4" t="s">
        <v>39</v>
      </c>
      <c r="C308" s="4" t="s">
        <v>66</v>
      </c>
      <c r="D308" s="4" t="s">
        <v>25</v>
      </c>
      <c r="E308" s="4" t="s">
        <v>25</v>
      </c>
      <c r="F308" s="4" t="s">
        <v>25</v>
      </c>
      <c r="G308" s="4" t="s">
        <v>77</v>
      </c>
      <c r="H308" s="4" t="s">
        <v>25</v>
      </c>
      <c r="I308" s="5">
        <v>44652</v>
      </c>
      <c r="J308" s="6">
        <v>30000</v>
      </c>
      <c r="K308" s="6">
        <v>15000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4" t="s">
        <v>68</v>
      </c>
      <c r="R308" s="4">
        <v>33665</v>
      </c>
      <c r="S308" s="6">
        <v>16</v>
      </c>
      <c r="T308" s="6">
        <v>0</v>
      </c>
      <c r="U308" s="6">
        <v>0</v>
      </c>
      <c r="V308" s="6">
        <f>IF(ISERROR(VLOOKUP($S$308,'TAR FIN'!$A$1:$O$104,15,0)),0,VLOOKUP($S$308,'TAR FIN'!$A$1:$O$104,15,0))</f>
        <v>12.9</v>
      </c>
      <c r="W308" s="6">
        <f>IF(ISERROR(VLOOKUP($T$308,'TAR FIN'!$A$1:$O$104,15,0)),0,VLOOKUP($T$308,'TAR FIN'!$A$1:$O$104,15,0))</f>
        <v>0</v>
      </c>
      <c r="X308" s="6">
        <f>IF(ISERROR(VLOOKUP($U$308,'TAR FIN'!$A$1:$O$104,15,0)),0,VLOOKUP($U$308,'TAR FIN'!$A$1:$O$104,15,0))</f>
        <v>0</v>
      </c>
      <c r="Y308" s="6">
        <f ca="1">('TUSD BE'!$AM$12+'TUSD BF'!$AM$12+'TUSD CVA'!$AM$12)*1</f>
        <v>12.796774750698974</v>
      </c>
      <c r="Z308" s="6"/>
      <c r="AA308" s="6"/>
      <c r="AB308" s="6">
        <f>$K$308*$V$308</f>
        <v>193500</v>
      </c>
      <c r="AC308" s="6">
        <f>$M$308*$W$308</f>
        <v>0</v>
      </c>
      <c r="AD308" s="6">
        <f>$O$308*$X$308</f>
        <v>0</v>
      </c>
      <c r="AE308" s="6">
        <f ca="1">$K$308*$Y$308</f>
        <v>191951.62126048462</v>
      </c>
      <c r="AF308" s="6">
        <f>$M$308*$Z$308</f>
        <v>0</v>
      </c>
      <c r="AG308" s="6">
        <f>$O$308*$AA$308</f>
        <v>0</v>
      </c>
    </row>
    <row r="309" spans="1:33" ht="11.25" customHeight="1" x14ac:dyDescent="0.25">
      <c r="A309" s="4" t="s">
        <v>21</v>
      </c>
      <c r="B309" s="4" t="s">
        <v>39</v>
      </c>
      <c r="C309" s="4" t="s">
        <v>66</v>
      </c>
      <c r="D309" s="4" t="s">
        <v>25</v>
      </c>
      <c r="E309" s="4" t="s">
        <v>25</v>
      </c>
      <c r="F309" s="4" t="s">
        <v>25</v>
      </c>
      <c r="G309" s="4" t="s">
        <v>78</v>
      </c>
      <c r="H309" s="4" t="s">
        <v>25</v>
      </c>
      <c r="I309" s="5">
        <v>44652</v>
      </c>
      <c r="J309" s="6">
        <v>27000</v>
      </c>
      <c r="K309" s="6">
        <v>13500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4" t="s">
        <v>68</v>
      </c>
      <c r="R309" s="4">
        <v>34085</v>
      </c>
      <c r="S309" s="6">
        <v>16</v>
      </c>
      <c r="T309" s="6">
        <v>0</v>
      </c>
      <c r="U309" s="6">
        <v>0</v>
      </c>
      <c r="V309" s="6">
        <f>IF(ISERROR(VLOOKUP($S$309,'TAR FIN'!$A$1:$O$104,15,0)),0,VLOOKUP($S$309,'TAR FIN'!$A$1:$O$104,15,0))</f>
        <v>12.9</v>
      </c>
      <c r="W309" s="6">
        <f>IF(ISERROR(VLOOKUP($T$309,'TAR FIN'!$A$1:$O$104,15,0)),0,VLOOKUP($T$309,'TAR FIN'!$A$1:$O$104,15,0))</f>
        <v>0</v>
      </c>
      <c r="X309" s="6">
        <f>IF(ISERROR(VLOOKUP($U$309,'TAR FIN'!$A$1:$O$104,15,0)),0,VLOOKUP($U$309,'TAR FIN'!$A$1:$O$104,15,0))</f>
        <v>0</v>
      </c>
      <c r="Y309" s="6">
        <f ca="1">('TUSD BE'!$AM$12+'TUSD BF'!$AM$12+'TUSD CVA'!$AM$12)*1</f>
        <v>12.796774750698974</v>
      </c>
      <c r="Z309" s="6"/>
      <c r="AA309" s="6"/>
      <c r="AB309" s="6">
        <f>$K$309*$V$309</f>
        <v>174150</v>
      </c>
      <c r="AC309" s="6">
        <f>$M$309*$W$309</f>
        <v>0</v>
      </c>
      <c r="AD309" s="6">
        <f>$O$309*$X$309</f>
        <v>0</v>
      </c>
      <c r="AE309" s="6">
        <f ca="1">$K$309*$Y$309</f>
        <v>172756.45913443615</v>
      </c>
      <c r="AF309" s="6">
        <f>$M$309*$Z$309</f>
        <v>0</v>
      </c>
      <c r="AG309" s="6">
        <f>$O$309*$AA$309</f>
        <v>0</v>
      </c>
    </row>
    <row r="310" spans="1:33" ht="11.25" customHeight="1" x14ac:dyDescent="0.25">
      <c r="A310" s="4" t="s">
        <v>21</v>
      </c>
      <c r="B310" s="4" t="s">
        <v>39</v>
      </c>
      <c r="C310" s="4" t="s">
        <v>66</v>
      </c>
      <c r="D310" s="4" t="s">
        <v>25</v>
      </c>
      <c r="E310" s="4" t="s">
        <v>25</v>
      </c>
      <c r="F310" s="4" t="s">
        <v>25</v>
      </c>
      <c r="G310" s="4" t="s">
        <v>79</v>
      </c>
      <c r="H310" s="4" t="s">
        <v>25</v>
      </c>
      <c r="I310" s="5">
        <v>44652</v>
      </c>
      <c r="J310" s="6">
        <v>27000</v>
      </c>
      <c r="K310" s="6">
        <v>13500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4" t="s">
        <v>68</v>
      </c>
      <c r="R310" s="4">
        <v>34086</v>
      </c>
      <c r="S310" s="6">
        <v>16</v>
      </c>
      <c r="T310" s="6">
        <v>0</v>
      </c>
      <c r="U310" s="6">
        <v>0</v>
      </c>
      <c r="V310" s="6">
        <f>IF(ISERROR(VLOOKUP($S$310,'TAR FIN'!$A$1:$O$104,15,0)),0,VLOOKUP($S$310,'TAR FIN'!$A$1:$O$104,15,0))</f>
        <v>12.9</v>
      </c>
      <c r="W310" s="6">
        <f>IF(ISERROR(VLOOKUP($T$310,'TAR FIN'!$A$1:$O$104,15,0)),0,VLOOKUP($T$310,'TAR FIN'!$A$1:$O$104,15,0))</f>
        <v>0</v>
      </c>
      <c r="X310" s="6">
        <f>IF(ISERROR(VLOOKUP($U$310,'TAR FIN'!$A$1:$O$104,15,0)),0,VLOOKUP($U$310,'TAR FIN'!$A$1:$O$104,15,0))</f>
        <v>0</v>
      </c>
      <c r="Y310" s="6">
        <f ca="1">('TUSD BE'!$AM$12+'TUSD BF'!$AM$12+'TUSD CVA'!$AM$12)*1</f>
        <v>12.796774750698974</v>
      </c>
      <c r="Z310" s="6"/>
      <c r="AA310" s="6"/>
      <c r="AB310" s="6">
        <f>$K$310*$V$310</f>
        <v>174150</v>
      </c>
      <c r="AC310" s="6">
        <f>$M$310*$W$310</f>
        <v>0</v>
      </c>
      <c r="AD310" s="6">
        <f>$O$310*$X$310</f>
        <v>0</v>
      </c>
      <c r="AE310" s="6">
        <f ca="1">$K$310*$Y$310</f>
        <v>172756.45913443615</v>
      </c>
      <c r="AF310" s="6">
        <f>$M$310*$Z$310</f>
        <v>0</v>
      </c>
      <c r="AG310" s="6">
        <f>$O$310*$AA$310</f>
        <v>0</v>
      </c>
    </row>
    <row r="311" spans="1:33" ht="11.25" customHeight="1" x14ac:dyDescent="0.25">
      <c r="A311" s="4" t="s">
        <v>21</v>
      </c>
      <c r="B311" s="4" t="s">
        <v>39</v>
      </c>
      <c r="C311" s="4" t="s">
        <v>66</v>
      </c>
      <c r="D311" s="4" t="s">
        <v>25</v>
      </c>
      <c r="E311" s="4" t="s">
        <v>25</v>
      </c>
      <c r="F311" s="4" t="s">
        <v>25</v>
      </c>
      <c r="G311" s="4" t="s">
        <v>67</v>
      </c>
      <c r="H311" s="4" t="s">
        <v>25</v>
      </c>
      <c r="I311" s="5">
        <v>44682</v>
      </c>
      <c r="J311" s="6">
        <v>3500</v>
      </c>
      <c r="K311" s="6">
        <v>3500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4" t="s">
        <v>68</v>
      </c>
      <c r="R311" s="4">
        <v>27402</v>
      </c>
      <c r="S311" s="6">
        <v>16</v>
      </c>
      <c r="T311" s="6">
        <v>0</v>
      </c>
      <c r="U311" s="6">
        <v>0</v>
      </c>
      <c r="V311" s="6">
        <f>IF(ISERROR(VLOOKUP($S$311,'TAR FIN'!$A$1:$O$104,15,0)),0,VLOOKUP($S$311,'TAR FIN'!$A$1:$O$104,15,0))</f>
        <v>12.9</v>
      </c>
      <c r="W311" s="6">
        <f>IF(ISERROR(VLOOKUP($T$311,'TAR FIN'!$A$1:$O$104,15,0)),0,VLOOKUP($T$311,'TAR FIN'!$A$1:$O$104,15,0))</f>
        <v>0</v>
      </c>
      <c r="X311" s="6">
        <f>IF(ISERROR(VLOOKUP($U$311,'TAR FIN'!$A$1:$O$104,15,0)),0,VLOOKUP($U$311,'TAR FIN'!$A$1:$O$104,15,0))</f>
        <v>0</v>
      </c>
      <c r="Y311" s="6">
        <f ca="1">('TUSD BE'!$AM$12+'TUSD BF'!$AM$12+'TUSD CVA'!$AM$12)*1</f>
        <v>12.796774750698974</v>
      </c>
      <c r="Z311" s="6"/>
      <c r="AA311" s="6"/>
      <c r="AB311" s="6">
        <f>$K$311*$V$311</f>
        <v>45150</v>
      </c>
      <c r="AC311" s="6">
        <f>$M$311*$W$311</f>
        <v>0</v>
      </c>
      <c r="AD311" s="6">
        <f>$O$311*$X$311</f>
        <v>0</v>
      </c>
      <c r="AE311" s="6">
        <f ca="1">$K$311*$Y$311</f>
        <v>44788.711627446406</v>
      </c>
      <c r="AF311" s="6">
        <f>$M$311*$Z$311</f>
        <v>0</v>
      </c>
      <c r="AG311" s="6">
        <f>$O$311*$AA$311</f>
        <v>0</v>
      </c>
    </row>
    <row r="312" spans="1:33" ht="11.25" customHeight="1" x14ac:dyDescent="0.25">
      <c r="A312" s="4" t="s">
        <v>21</v>
      </c>
      <c r="B312" s="4" t="s">
        <v>39</v>
      </c>
      <c r="C312" s="4" t="s">
        <v>66</v>
      </c>
      <c r="D312" s="4" t="s">
        <v>25</v>
      </c>
      <c r="E312" s="4" t="s">
        <v>25</v>
      </c>
      <c r="F312" s="4" t="s">
        <v>25</v>
      </c>
      <c r="G312" s="4" t="s">
        <v>69</v>
      </c>
      <c r="H312" s="4" t="s">
        <v>25</v>
      </c>
      <c r="I312" s="5">
        <v>44682</v>
      </c>
      <c r="J312" s="6">
        <v>3000</v>
      </c>
      <c r="K312" s="6">
        <v>1500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4" t="s">
        <v>68</v>
      </c>
      <c r="R312" s="4">
        <v>28515</v>
      </c>
      <c r="S312" s="6">
        <v>16</v>
      </c>
      <c r="T312" s="6">
        <v>0</v>
      </c>
      <c r="U312" s="6">
        <v>0</v>
      </c>
      <c r="V312" s="6">
        <f>IF(ISERROR(VLOOKUP($S$312,'TAR FIN'!$A$1:$O$104,15,0)),0,VLOOKUP($S$312,'TAR FIN'!$A$1:$O$104,15,0))</f>
        <v>12.9</v>
      </c>
      <c r="W312" s="6">
        <f>IF(ISERROR(VLOOKUP($T$312,'TAR FIN'!$A$1:$O$104,15,0)),0,VLOOKUP($T$312,'TAR FIN'!$A$1:$O$104,15,0))</f>
        <v>0</v>
      </c>
      <c r="X312" s="6">
        <f>IF(ISERROR(VLOOKUP($U$312,'TAR FIN'!$A$1:$O$104,15,0)),0,VLOOKUP($U$312,'TAR FIN'!$A$1:$O$104,15,0))</f>
        <v>0</v>
      </c>
      <c r="Y312" s="6">
        <f ca="1">('TUSD BE'!$AM$12+'TUSD BF'!$AM$12+'TUSD CVA'!$AM$12)*1</f>
        <v>12.796774750698974</v>
      </c>
      <c r="Z312" s="6"/>
      <c r="AA312" s="6"/>
      <c r="AB312" s="6">
        <f>$K$312*$V$312</f>
        <v>19350</v>
      </c>
      <c r="AC312" s="6">
        <f>$M$312*$W$312</f>
        <v>0</v>
      </c>
      <c r="AD312" s="6">
        <f>$O$312*$X$312</f>
        <v>0</v>
      </c>
      <c r="AE312" s="6">
        <f ca="1">$K$312*$Y$312</f>
        <v>19195.162126048461</v>
      </c>
      <c r="AF312" s="6">
        <f>$M$312*$Z$312</f>
        <v>0</v>
      </c>
      <c r="AG312" s="6">
        <f>$O$312*$AA$312</f>
        <v>0</v>
      </c>
    </row>
    <row r="313" spans="1:33" ht="11.25" customHeight="1" x14ac:dyDescent="0.25">
      <c r="A313" s="4" t="s">
        <v>21</v>
      </c>
      <c r="B313" s="4" t="s">
        <v>39</v>
      </c>
      <c r="C313" s="4" t="s">
        <v>66</v>
      </c>
      <c r="D313" s="4" t="s">
        <v>25</v>
      </c>
      <c r="E313" s="4" t="s">
        <v>25</v>
      </c>
      <c r="F313" s="4" t="s">
        <v>25</v>
      </c>
      <c r="G313" s="4" t="s">
        <v>70</v>
      </c>
      <c r="H313" s="4" t="s">
        <v>25</v>
      </c>
      <c r="I313" s="5">
        <v>44682</v>
      </c>
      <c r="J313" s="6">
        <v>11000</v>
      </c>
      <c r="K313" s="6">
        <v>5500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4" t="s">
        <v>68</v>
      </c>
      <c r="R313" s="4">
        <v>28957</v>
      </c>
      <c r="S313" s="6">
        <v>16</v>
      </c>
      <c r="T313" s="6">
        <v>0</v>
      </c>
      <c r="U313" s="6">
        <v>0</v>
      </c>
      <c r="V313" s="6">
        <f>IF(ISERROR(VLOOKUP($S$313,'TAR FIN'!$A$1:$O$104,15,0)),0,VLOOKUP($S$313,'TAR FIN'!$A$1:$O$104,15,0))</f>
        <v>12.9</v>
      </c>
      <c r="W313" s="6">
        <f>IF(ISERROR(VLOOKUP($T$313,'TAR FIN'!$A$1:$O$104,15,0)),0,VLOOKUP($T$313,'TAR FIN'!$A$1:$O$104,15,0))</f>
        <v>0</v>
      </c>
      <c r="X313" s="6">
        <f>IF(ISERROR(VLOOKUP($U$313,'TAR FIN'!$A$1:$O$104,15,0)),0,VLOOKUP($U$313,'TAR FIN'!$A$1:$O$104,15,0))</f>
        <v>0</v>
      </c>
      <c r="Y313" s="6">
        <f ca="1">('TUSD BE'!$AM$12+'TUSD BF'!$AM$12+'TUSD CVA'!$AM$12)*1</f>
        <v>12.796774750698974</v>
      </c>
      <c r="Z313" s="6"/>
      <c r="AA313" s="6"/>
      <c r="AB313" s="6">
        <f>$K$313*$V$313</f>
        <v>70950</v>
      </c>
      <c r="AC313" s="6">
        <f>$M$313*$W$313</f>
        <v>0</v>
      </c>
      <c r="AD313" s="6">
        <f>$O$313*$X$313</f>
        <v>0</v>
      </c>
      <c r="AE313" s="6">
        <f ca="1">$K$313*$Y$313</f>
        <v>70382.261128844359</v>
      </c>
      <c r="AF313" s="6">
        <f>$M$313*$Z$313</f>
        <v>0</v>
      </c>
      <c r="AG313" s="6">
        <f>$O$313*$AA$313</f>
        <v>0</v>
      </c>
    </row>
    <row r="314" spans="1:33" ht="11.25" customHeight="1" x14ac:dyDescent="0.25">
      <c r="A314" s="4" t="s">
        <v>21</v>
      </c>
      <c r="B314" s="4" t="s">
        <v>39</v>
      </c>
      <c r="C314" s="4" t="s">
        <v>66</v>
      </c>
      <c r="D314" s="4" t="s">
        <v>25</v>
      </c>
      <c r="E314" s="4" t="s">
        <v>25</v>
      </c>
      <c r="F314" s="4" t="s">
        <v>25</v>
      </c>
      <c r="G314" s="4" t="s">
        <v>71</v>
      </c>
      <c r="H314" s="4" t="s">
        <v>25</v>
      </c>
      <c r="I314" s="5">
        <v>44682</v>
      </c>
      <c r="J314" s="6">
        <v>10050</v>
      </c>
      <c r="K314" s="6">
        <v>5025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4" t="s">
        <v>68</v>
      </c>
      <c r="R314" s="4">
        <v>29041</v>
      </c>
      <c r="S314" s="6">
        <v>16</v>
      </c>
      <c r="T314" s="6">
        <v>0</v>
      </c>
      <c r="U314" s="6">
        <v>0</v>
      </c>
      <c r="V314" s="6">
        <f>IF(ISERROR(VLOOKUP($S$314,'TAR FIN'!$A$1:$O$104,15,0)),0,VLOOKUP($S$314,'TAR FIN'!$A$1:$O$104,15,0))</f>
        <v>12.9</v>
      </c>
      <c r="W314" s="6">
        <f>IF(ISERROR(VLOOKUP($T$314,'TAR FIN'!$A$1:$O$104,15,0)),0,VLOOKUP($T$314,'TAR FIN'!$A$1:$O$104,15,0))</f>
        <v>0</v>
      </c>
      <c r="X314" s="6">
        <f>IF(ISERROR(VLOOKUP($U$314,'TAR FIN'!$A$1:$O$104,15,0)),0,VLOOKUP($U$314,'TAR FIN'!$A$1:$O$104,15,0))</f>
        <v>0</v>
      </c>
      <c r="Y314" s="6">
        <f ca="1">('TUSD BE'!$AM$12+'TUSD BF'!$AM$12+'TUSD CVA'!$AM$12)*1</f>
        <v>12.796774750698974</v>
      </c>
      <c r="Z314" s="6"/>
      <c r="AA314" s="6"/>
      <c r="AB314" s="6">
        <f>$K$314*$V$314</f>
        <v>64822.5</v>
      </c>
      <c r="AC314" s="6">
        <f>$M$314*$W$314</f>
        <v>0</v>
      </c>
      <c r="AD314" s="6">
        <f>$O$314*$X$314</f>
        <v>0</v>
      </c>
      <c r="AE314" s="6">
        <f ca="1">$K$314*$Y$314</f>
        <v>64303.793122262345</v>
      </c>
      <c r="AF314" s="6">
        <f>$M$314*$Z$314</f>
        <v>0</v>
      </c>
      <c r="AG314" s="6">
        <f>$O$314*$AA$314</f>
        <v>0</v>
      </c>
    </row>
    <row r="315" spans="1:33" ht="11.25" customHeight="1" x14ac:dyDescent="0.25">
      <c r="A315" s="4" t="s">
        <v>21</v>
      </c>
      <c r="B315" s="4" t="s">
        <v>39</v>
      </c>
      <c r="C315" s="4" t="s">
        <v>66</v>
      </c>
      <c r="D315" s="4" t="s">
        <v>25</v>
      </c>
      <c r="E315" s="4" t="s">
        <v>25</v>
      </c>
      <c r="F315" s="4" t="s">
        <v>25</v>
      </c>
      <c r="G315" s="4" t="s">
        <v>73</v>
      </c>
      <c r="H315" s="4" t="s">
        <v>25</v>
      </c>
      <c r="I315" s="5">
        <v>44682</v>
      </c>
      <c r="J315" s="6">
        <v>44450</v>
      </c>
      <c r="K315" s="6">
        <v>22225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4" t="s">
        <v>68</v>
      </c>
      <c r="R315" s="4">
        <v>29092</v>
      </c>
      <c r="S315" s="6">
        <v>16</v>
      </c>
      <c r="T315" s="6">
        <v>0</v>
      </c>
      <c r="U315" s="6">
        <v>0</v>
      </c>
      <c r="V315" s="6">
        <f>IF(ISERROR(VLOOKUP($S$315,'TAR FIN'!$A$1:$O$104,15,0)),0,VLOOKUP($S$315,'TAR FIN'!$A$1:$O$104,15,0))</f>
        <v>12.9</v>
      </c>
      <c r="W315" s="6">
        <f>IF(ISERROR(VLOOKUP($T$315,'TAR FIN'!$A$1:$O$104,15,0)),0,VLOOKUP($T$315,'TAR FIN'!$A$1:$O$104,15,0))</f>
        <v>0</v>
      </c>
      <c r="X315" s="6">
        <f>IF(ISERROR(VLOOKUP($U$315,'TAR FIN'!$A$1:$O$104,15,0)),0,VLOOKUP($U$315,'TAR FIN'!$A$1:$O$104,15,0))</f>
        <v>0</v>
      </c>
      <c r="Y315" s="6">
        <f ca="1">('TUSD BE'!$AM$12+'TUSD BF'!$AM$12+'TUSD CVA'!$AM$12)*1</f>
        <v>12.796774750698974</v>
      </c>
      <c r="Z315" s="6"/>
      <c r="AA315" s="6"/>
      <c r="AB315" s="6">
        <f>$K$315*$V$315</f>
        <v>286702.5</v>
      </c>
      <c r="AC315" s="6">
        <f>$M$315*$W$315</f>
        <v>0</v>
      </c>
      <c r="AD315" s="6">
        <f>$O$315*$X$315</f>
        <v>0</v>
      </c>
      <c r="AE315" s="6">
        <f ca="1">$K$315*$Y$315</f>
        <v>284408.31883428473</v>
      </c>
      <c r="AF315" s="6">
        <f>$M$315*$Z$315</f>
        <v>0</v>
      </c>
      <c r="AG315" s="6">
        <f>$O$315*$AA$315</f>
        <v>0</v>
      </c>
    </row>
    <row r="316" spans="1:33" ht="11.25" customHeight="1" x14ac:dyDescent="0.25">
      <c r="A316" s="4" t="s">
        <v>21</v>
      </c>
      <c r="B316" s="4" t="s">
        <v>39</v>
      </c>
      <c r="C316" s="4" t="s">
        <v>66</v>
      </c>
      <c r="D316" s="4" t="s">
        <v>25</v>
      </c>
      <c r="E316" s="4" t="s">
        <v>25</v>
      </c>
      <c r="F316" s="4" t="s">
        <v>25</v>
      </c>
      <c r="G316" s="4" t="s">
        <v>75</v>
      </c>
      <c r="H316" s="4" t="s">
        <v>25</v>
      </c>
      <c r="I316" s="5">
        <v>44682</v>
      </c>
      <c r="J316" s="6">
        <v>30000</v>
      </c>
      <c r="K316" s="6">
        <v>15000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4" t="s">
        <v>68</v>
      </c>
      <c r="R316" s="4">
        <v>33663</v>
      </c>
      <c r="S316" s="6">
        <v>16</v>
      </c>
      <c r="T316" s="6">
        <v>0</v>
      </c>
      <c r="U316" s="6">
        <v>0</v>
      </c>
      <c r="V316" s="6">
        <f>IF(ISERROR(VLOOKUP($S$316,'TAR FIN'!$A$1:$O$104,15,0)),0,VLOOKUP($S$316,'TAR FIN'!$A$1:$O$104,15,0))</f>
        <v>12.9</v>
      </c>
      <c r="W316" s="6">
        <f>IF(ISERROR(VLOOKUP($T$316,'TAR FIN'!$A$1:$O$104,15,0)),0,VLOOKUP($T$316,'TAR FIN'!$A$1:$O$104,15,0))</f>
        <v>0</v>
      </c>
      <c r="X316" s="6">
        <f>IF(ISERROR(VLOOKUP($U$316,'TAR FIN'!$A$1:$O$104,15,0)),0,VLOOKUP($U$316,'TAR FIN'!$A$1:$O$104,15,0))</f>
        <v>0</v>
      </c>
      <c r="Y316" s="6">
        <f ca="1">('TUSD BE'!$AM$12+'TUSD BF'!$AM$12+'TUSD CVA'!$AM$12)*1</f>
        <v>12.796774750698974</v>
      </c>
      <c r="Z316" s="6"/>
      <c r="AA316" s="6"/>
      <c r="AB316" s="6">
        <f>$K$316*$V$316</f>
        <v>193500</v>
      </c>
      <c r="AC316" s="6">
        <f>$M$316*$W$316</f>
        <v>0</v>
      </c>
      <c r="AD316" s="6">
        <f>$O$316*$X$316</f>
        <v>0</v>
      </c>
      <c r="AE316" s="6">
        <f ca="1">$K$316*$Y$316</f>
        <v>191951.62126048462</v>
      </c>
      <c r="AF316" s="6">
        <f>$M$316*$Z$316</f>
        <v>0</v>
      </c>
      <c r="AG316" s="6">
        <f>$O$316*$AA$316</f>
        <v>0</v>
      </c>
    </row>
    <row r="317" spans="1:33" ht="11.25" customHeight="1" x14ac:dyDescent="0.25">
      <c r="A317" s="4" t="s">
        <v>21</v>
      </c>
      <c r="B317" s="4" t="s">
        <v>39</v>
      </c>
      <c r="C317" s="4" t="s">
        <v>66</v>
      </c>
      <c r="D317" s="4" t="s">
        <v>25</v>
      </c>
      <c r="E317" s="4" t="s">
        <v>25</v>
      </c>
      <c r="F317" s="4" t="s">
        <v>25</v>
      </c>
      <c r="G317" s="4" t="s">
        <v>76</v>
      </c>
      <c r="H317" s="4" t="s">
        <v>25</v>
      </c>
      <c r="I317" s="5">
        <v>44682</v>
      </c>
      <c r="J317" s="6">
        <v>30000</v>
      </c>
      <c r="K317" s="6">
        <v>15000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4" t="s">
        <v>68</v>
      </c>
      <c r="R317" s="4">
        <v>33664</v>
      </c>
      <c r="S317" s="6">
        <v>16</v>
      </c>
      <c r="T317" s="6">
        <v>0</v>
      </c>
      <c r="U317" s="6">
        <v>0</v>
      </c>
      <c r="V317" s="6">
        <f>IF(ISERROR(VLOOKUP($S$317,'TAR FIN'!$A$1:$O$104,15,0)),0,VLOOKUP($S$317,'TAR FIN'!$A$1:$O$104,15,0))</f>
        <v>12.9</v>
      </c>
      <c r="W317" s="6">
        <f>IF(ISERROR(VLOOKUP($T$317,'TAR FIN'!$A$1:$O$104,15,0)),0,VLOOKUP($T$317,'TAR FIN'!$A$1:$O$104,15,0))</f>
        <v>0</v>
      </c>
      <c r="X317" s="6">
        <f>IF(ISERROR(VLOOKUP($U$317,'TAR FIN'!$A$1:$O$104,15,0)),0,VLOOKUP($U$317,'TAR FIN'!$A$1:$O$104,15,0))</f>
        <v>0</v>
      </c>
      <c r="Y317" s="6">
        <f ca="1">('TUSD BE'!$AM$12+'TUSD BF'!$AM$12+'TUSD CVA'!$AM$12)*1</f>
        <v>12.796774750698974</v>
      </c>
      <c r="Z317" s="6"/>
      <c r="AA317" s="6"/>
      <c r="AB317" s="6">
        <f>$K$317*$V$317</f>
        <v>193500</v>
      </c>
      <c r="AC317" s="6">
        <f>$M$317*$W$317</f>
        <v>0</v>
      </c>
      <c r="AD317" s="6">
        <f>$O$317*$X$317</f>
        <v>0</v>
      </c>
      <c r="AE317" s="6">
        <f ca="1">$K$317*$Y$317</f>
        <v>191951.62126048462</v>
      </c>
      <c r="AF317" s="6">
        <f>$M$317*$Z$317</f>
        <v>0</v>
      </c>
      <c r="AG317" s="6">
        <f>$O$317*$AA$317</f>
        <v>0</v>
      </c>
    </row>
    <row r="318" spans="1:33" ht="11.25" customHeight="1" x14ac:dyDescent="0.25">
      <c r="A318" s="4" t="s">
        <v>21</v>
      </c>
      <c r="B318" s="4" t="s">
        <v>39</v>
      </c>
      <c r="C318" s="4" t="s">
        <v>66</v>
      </c>
      <c r="D318" s="4" t="s">
        <v>25</v>
      </c>
      <c r="E318" s="4" t="s">
        <v>25</v>
      </c>
      <c r="F318" s="4" t="s">
        <v>25</v>
      </c>
      <c r="G318" s="4" t="s">
        <v>77</v>
      </c>
      <c r="H318" s="4" t="s">
        <v>25</v>
      </c>
      <c r="I318" s="5">
        <v>44682</v>
      </c>
      <c r="J318" s="6">
        <v>30000</v>
      </c>
      <c r="K318" s="6">
        <v>15000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4" t="s">
        <v>68</v>
      </c>
      <c r="R318" s="4">
        <v>33665</v>
      </c>
      <c r="S318" s="6">
        <v>16</v>
      </c>
      <c r="T318" s="6">
        <v>0</v>
      </c>
      <c r="U318" s="6">
        <v>0</v>
      </c>
      <c r="V318" s="6">
        <f>IF(ISERROR(VLOOKUP($S$318,'TAR FIN'!$A$1:$O$104,15,0)),0,VLOOKUP($S$318,'TAR FIN'!$A$1:$O$104,15,0))</f>
        <v>12.9</v>
      </c>
      <c r="W318" s="6">
        <f>IF(ISERROR(VLOOKUP($T$318,'TAR FIN'!$A$1:$O$104,15,0)),0,VLOOKUP($T$318,'TAR FIN'!$A$1:$O$104,15,0))</f>
        <v>0</v>
      </c>
      <c r="X318" s="6">
        <f>IF(ISERROR(VLOOKUP($U$318,'TAR FIN'!$A$1:$O$104,15,0)),0,VLOOKUP($U$318,'TAR FIN'!$A$1:$O$104,15,0))</f>
        <v>0</v>
      </c>
      <c r="Y318" s="6">
        <f ca="1">('TUSD BE'!$AM$12+'TUSD BF'!$AM$12+'TUSD CVA'!$AM$12)*1</f>
        <v>12.796774750698974</v>
      </c>
      <c r="Z318" s="6"/>
      <c r="AA318" s="6"/>
      <c r="AB318" s="6">
        <f>$K$318*$V$318</f>
        <v>193500</v>
      </c>
      <c r="AC318" s="6">
        <f>$M$318*$W$318</f>
        <v>0</v>
      </c>
      <c r="AD318" s="6">
        <f>$O$318*$X$318</f>
        <v>0</v>
      </c>
      <c r="AE318" s="6">
        <f ca="1">$K$318*$Y$318</f>
        <v>191951.62126048462</v>
      </c>
      <c r="AF318" s="6">
        <f>$M$318*$Z$318</f>
        <v>0</v>
      </c>
      <c r="AG318" s="6">
        <f>$O$318*$AA$318</f>
        <v>0</v>
      </c>
    </row>
    <row r="319" spans="1:33" ht="11.25" customHeight="1" x14ac:dyDescent="0.25">
      <c r="A319" s="4" t="s">
        <v>21</v>
      </c>
      <c r="B319" s="4" t="s">
        <v>39</v>
      </c>
      <c r="C319" s="4" t="s">
        <v>66</v>
      </c>
      <c r="D319" s="4" t="s">
        <v>25</v>
      </c>
      <c r="E319" s="4" t="s">
        <v>25</v>
      </c>
      <c r="F319" s="4" t="s">
        <v>25</v>
      </c>
      <c r="G319" s="4" t="s">
        <v>78</v>
      </c>
      <c r="H319" s="4" t="s">
        <v>25</v>
      </c>
      <c r="I319" s="5">
        <v>44682</v>
      </c>
      <c r="J319" s="6">
        <v>27000</v>
      </c>
      <c r="K319" s="6">
        <v>13500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4" t="s">
        <v>68</v>
      </c>
      <c r="R319" s="4">
        <v>34085</v>
      </c>
      <c r="S319" s="6">
        <v>16</v>
      </c>
      <c r="T319" s="6">
        <v>0</v>
      </c>
      <c r="U319" s="6">
        <v>0</v>
      </c>
      <c r="V319" s="6">
        <f>IF(ISERROR(VLOOKUP($S$319,'TAR FIN'!$A$1:$O$104,15,0)),0,VLOOKUP($S$319,'TAR FIN'!$A$1:$O$104,15,0))</f>
        <v>12.9</v>
      </c>
      <c r="W319" s="6">
        <f>IF(ISERROR(VLOOKUP($T$319,'TAR FIN'!$A$1:$O$104,15,0)),0,VLOOKUP($T$319,'TAR FIN'!$A$1:$O$104,15,0))</f>
        <v>0</v>
      </c>
      <c r="X319" s="6">
        <f>IF(ISERROR(VLOOKUP($U$319,'TAR FIN'!$A$1:$O$104,15,0)),0,VLOOKUP($U$319,'TAR FIN'!$A$1:$O$104,15,0))</f>
        <v>0</v>
      </c>
      <c r="Y319" s="6">
        <f ca="1">('TUSD BE'!$AM$12+'TUSD BF'!$AM$12+'TUSD CVA'!$AM$12)*1</f>
        <v>12.796774750698974</v>
      </c>
      <c r="Z319" s="6"/>
      <c r="AA319" s="6"/>
      <c r="AB319" s="6">
        <f>$K$319*$V$319</f>
        <v>174150</v>
      </c>
      <c r="AC319" s="6">
        <f>$M$319*$W$319</f>
        <v>0</v>
      </c>
      <c r="AD319" s="6">
        <f>$O$319*$X$319</f>
        <v>0</v>
      </c>
      <c r="AE319" s="6">
        <f ca="1">$K$319*$Y$319</f>
        <v>172756.45913443615</v>
      </c>
      <c r="AF319" s="6">
        <f>$M$319*$Z$319</f>
        <v>0</v>
      </c>
      <c r="AG319" s="6">
        <f>$O$319*$AA$319</f>
        <v>0</v>
      </c>
    </row>
    <row r="320" spans="1:33" ht="11.25" customHeight="1" x14ac:dyDescent="0.25">
      <c r="A320" s="4" t="s">
        <v>21</v>
      </c>
      <c r="B320" s="4" t="s">
        <v>39</v>
      </c>
      <c r="C320" s="4" t="s">
        <v>66</v>
      </c>
      <c r="D320" s="4" t="s">
        <v>25</v>
      </c>
      <c r="E320" s="4" t="s">
        <v>25</v>
      </c>
      <c r="F320" s="4" t="s">
        <v>25</v>
      </c>
      <c r="G320" s="4" t="s">
        <v>79</v>
      </c>
      <c r="H320" s="4" t="s">
        <v>25</v>
      </c>
      <c r="I320" s="5">
        <v>44682</v>
      </c>
      <c r="J320" s="6">
        <v>27000</v>
      </c>
      <c r="K320" s="6">
        <v>13500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4" t="s">
        <v>68</v>
      </c>
      <c r="R320" s="4">
        <v>34086</v>
      </c>
      <c r="S320" s="6">
        <v>16</v>
      </c>
      <c r="T320" s="6">
        <v>0</v>
      </c>
      <c r="U320" s="6">
        <v>0</v>
      </c>
      <c r="V320" s="6">
        <f>IF(ISERROR(VLOOKUP($S$320,'TAR FIN'!$A$1:$O$104,15,0)),0,VLOOKUP($S$320,'TAR FIN'!$A$1:$O$104,15,0))</f>
        <v>12.9</v>
      </c>
      <c r="W320" s="6">
        <f>IF(ISERROR(VLOOKUP($T$320,'TAR FIN'!$A$1:$O$104,15,0)),0,VLOOKUP($T$320,'TAR FIN'!$A$1:$O$104,15,0))</f>
        <v>0</v>
      </c>
      <c r="X320" s="6">
        <f>IF(ISERROR(VLOOKUP($U$320,'TAR FIN'!$A$1:$O$104,15,0)),0,VLOOKUP($U$320,'TAR FIN'!$A$1:$O$104,15,0))</f>
        <v>0</v>
      </c>
      <c r="Y320" s="6">
        <f ca="1">('TUSD BE'!$AM$12+'TUSD BF'!$AM$12+'TUSD CVA'!$AM$12)*1</f>
        <v>12.796774750698974</v>
      </c>
      <c r="Z320" s="6"/>
      <c r="AA320" s="6"/>
      <c r="AB320" s="6">
        <f>$K$320*$V$320</f>
        <v>174150</v>
      </c>
      <c r="AC320" s="6">
        <f>$M$320*$W$320</f>
        <v>0</v>
      </c>
      <c r="AD320" s="6">
        <f>$O$320*$X$320</f>
        <v>0</v>
      </c>
      <c r="AE320" s="6">
        <f ca="1">$K$320*$Y$320</f>
        <v>172756.45913443615</v>
      </c>
      <c r="AF320" s="6">
        <f>$M$320*$Z$320</f>
        <v>0</v>
      </c>
      <c r="AG320" s="6">
        <f>$O$320*$AA$320</f>
        <v>0</v>
      </c>
    </row>
    <row r="321" spans="1:33" ht="11.25" customHeight="1" x14ac:dyDescent="0.25">
      <c r="A321" s="4" t="s">
        <v>21</v>
      </c>
      <c r="B321" s="4" t="s">
        <v>39</v>
      </c>
      <c r="C321" s="4" t="s">
        <v>66</v>
      </c>
      <c r="D321" s="4" t="s">
        <v>25</v>
      </c>
      <c r="E321" s="4" t="s">
        <v>25</v>
      </c>
      <c r="F321" s="4" t="s">
        <v>25</v>
      </c>
      <c r="G321" s="4" t="s">
        <v>67</v>
      </c>
      <c r="H321" s="4" t="s">
        <v>25</v>
      </c>
      <c r="I321" s="5">
        <v>44713</v>
      </c>
      <c r="J321" s="6">
        <v>3500</v>
      </c>
      <c r="K321" s="6">
        <v>3500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4" t="s">
        <v>68</v>
      </c>
      <c r="R321" s="4">
        <v>27402</v>
      </c>
      <c r="S321" s="6">
        <v>16</v>
      </c>
      <c r="T321" s="6">
        <v>0</v>
      </c>
      <c r="U321" s="6">
        <v>0</v>
      </c>
      <c r="V321" s="6">
        <f>IF(ISERROR(VLOOKUP($S$321,'TAR FIN'!$A$1:$O$104,15,0)),0,VLOOKUP($S$321,'TAR FIN'!$A$1:$O$104,15,0))</f>
        <v>12.9</v>
      </c>
      <c r="W321" s="6">
        <f>IF(ISERROR(VLOOKUP($T$321,'TAR FIN'!$A$1:$O$104,15,0)),0,VLOOKUP($T$321,'TAR FIN'!$A$1:$O$104,15,0))</f>
        <v>0</v>
      </c>
      <c r="X321" s="6">
        <f>IF(ISERROR(VLOOKUP($U$321,'TAR FIN'!$A$1:$O$104,15,0)),0,VLOOKUP($U$321,'TAR FIN'!$A$1:$O$104,15,0))</f>
        <v>0</v>
      </c>
      <c r="Y321" s="6">
        <f ca="1">('TUSD BE'!$AM$12+'TUSD BF'!$AM$12+'TUSD CVA'!$AM$12)*1</f>
        <v>12.796774750698974</v>
      </c>
      <c r="Z321" s="6"/>
      <c r="AA321" s="6"/>
      <c r="AB321" s="6">
        <f>$K$321*$V$321</f>
        <v>45150</v>
      </c>
      <c r="AC321" s="6">
        <f>$M$321*$W$321</f>
        <v>0</v>
      </c>
      <c r="AD321" s="6">
        <f>$O$321*$X$321</f>
        <v>0</v>
      </c>
      <c r="AE321" s="6">
        <f ca="1">$K$321*$Y$321</f>
        <v>44788.711627446406</v>
      </c>
      <c r="AF321" s="6">
        <f>$M$321*$Z$321</f>
        <v>0</v>
      </c>
      <c r="AG321" s="6">
        <f>$O$321*$AA$321</f>
        <v>0</v>
      </c>
    </row>
    <row r="322" spans="1:33" ht="11.25" customHeight="1" x14ac:dyDescent="0.25">
      <c r="A322" s="4" t="s">
        <v>21</v>
      </c>
      <c r="B322" s="4" t="s">
        <v>39</v>
      </c>
      <c r="C322" s="4" t="s">
        <v>66</v>
      </c>
      <c r="D322" s="4" t="s">
        <v>25</v>
      </c>
      <c r="E322" s="4" t="s">
        <v>25</v>
      </c>
      <c r="F322" s="4" t="s">
        <v>25</v>
      </c>
      <c r="G322" s="4" t="s">
        <v>69</v>
      </c>
      <c r="H322" s="4" t="s">
        <v>25</v>
      </c>
      <c r="I322" s="5">
        <v>44713</v>
      </c>
      <c r="J322" s="6">
        <v>3000</v>
      </c>
      <c r="K322" s="6">
        <v>1500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4" t="s">
        <v>68</v>
      </c>
      <c r="R322" s="4">
        <v>28515</v>
      </c>
      <c r="S322" s="6">
        <v>16</v>
      </c>
      <c r="T322" s="6">
        <v>0</v>
      </c>
      <c r="U322" s="6">
        <v>0</v>
      </c>
      <c r="V322" s="6">
        <f>IF(ISERROR(VLOOKUP($S$322,'TAR FIN'!$A$1:$O$104,15,0)),0,VLOOKUP($S$322,'TAR FIN'!$A$1:$O$104,15,0))</f>
        <v>12.9</v>
      </c>
      <c r="W322" s="6">
        <f>IF(ISERROR(VLOOKUP($T$322,'TAR FIN'!$A$1:$O$104,15,0)),0,VLOOKUP($T$322,'TAR FIN'!$A$1:$O$104,15,0))</f>
        <v>0</v>
      </c>
      <c r="X322" s="6">
        <f>IF(ISERROR(VLOOKUP($U$322,'TAR FIN'!$A$1:$O$104,15,0)),0,VLOOKUP($U$322,'TAR FIN'!$A$1:$O$104,15,0))</f>
        <v>0</v>
      </c>
      <c r="Y322" s="6">
        <f ca="1">('TUSD BE'!$AM$12+'TUSD BF'!$AM$12+'TUSD CVA'!$AM$12)*1</f>
        <v>12.796774750698974</v>
      </c>
      <c r="Z322" s="6"/>
      <c r="AA322" s="6"/>
      <c r="AB322" s="6">
        <f>$K$322*$V$322</f>
        <v>19350</v>
      </c>
      <c r="AC322" s="6">
        <f>$M$322*$W$322</f>
        <v>0</v>
      </c>
      <c r="AD322" s="6">
        <f>$O$322*$X$322</f>
        <v>0</v>
      </c>
      <c r="AE322" s="6">
        <f ca="1">$K$322*$Y$322</f>
        <v>19195.162126048461</v>
      </c>
      <c r="AF322" s="6">
        <f>$M$322*$Z$322</f>
        <v>0</v>
      </c>
      <c r="AG322" s="6">
        <f>$O$322*$AA$322</f>
        <v>0</v>
      </c>
    </row>
    <row r="323" spans="1:33" ht="11.25" customHeight="1" x14ac:dyDescent="0.25">
      <c r="A323" s="4" t="s">
        <v>21</v>
      </c>
      <c r="B323" s="4" t="s">
        <v>39</v>
      </c>
      <c r="C323" s="4" t="s">
        <v>66</v>
      </c>
      <c r="D323" s="4" t="s">
        <v>25</v>
      </c>
      <c r="E323" s="4" t="s">
        <v>25</v>
      </c>
      <c r="F323" s="4" t="s">
        <v>25</v>
      </c>
      <c r="G323" s="4" t="s">
        <v>70</v>
      </c>
      <c r="H323" s="4" t="s">
        <v>25</v>
      </c>
      <c r="I323" s="5">
        <v>44713</v>
      </c>
      <c r="J323" s="6">
        <v>11000</v>
      </c>
      <c r="K323" s="6">
        <v>5500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4" t="s">
        <v>68</v>
      </c>
      <c r="R323" s="4">
        <v>28957</v>
      </c>
      <c r="S323" s="6">
        <v>16</v>
      </c>
      <c r="T323" s="6">
        <v>0</v>
      </c>
      <c r="U323" s="6">
        <v>0</v>
      </c>
      <c r="V323" s="6">
        <f>IF(ISERROR(VLOOKUP($S$323,'TAR FIN'!$A$1:$O$104,15,0)),0,VLOOKUP($S$323,'TAR FIN'!$A$1:$O$104,15,0))</f>
        <v>12.9</v>
      </c>
      <c r="W323" s="6">
        <f>IF(ISERROR(VLOOKUP($T$323,'TAR FIN'!$A$1:$O$104,15,0)),0,VLOOKUP($T$323,'TAR FIN'!$A$1:$O$104,15,0))</f>
        <v>0</v>
      </c>
      <c r="X323" s="6">
        <f>IF(ISERROR(VLOOKUP($U$323,'TAR FIN'!$A$1:$O$104,15,0)),0,VLOOKUP($U$323,'TAR FIN'!$A$1:$O$104,15,0))</f>
        <v>0</v>
      </c>
      <c r="Y323" s="6">
        <f ca="1">('TUSD BE'!$AM$12+'TUSD BF'!$AM$12+'TUSD CVA'!$AM$12)*1</f>
        <v>12.796774750698974</v>
      </c>
      <c r="Z323" s="6"/>
      <c r="AA323" s="6"/>
      <c r="AB323" s="6">
        <f>$K$323*$V$323</f>
        <v>70950</v>
      </c>
      <c r="AC323" s="6">
        <f>$M$323*$W$323</f>
        <v>0</v>
      </c>
      <c r="AD323" s="6">
        <f>$O$323*$X$323</f>
        <v>0</v>
      </c>
      <c r="AE323" s="6">
        <f ca="1">$K$323*$Y$323</f>
        <v>70382.261128844359</v>
      </c>
      <c r="AF323" s="6">
        <f>$M$323*$Z$323</f>
        <v>0</v>
      </c>
      <c r="AG323" s="6">
        <f>$O$323*$AA$323</f>
        <v>0</v>
      </c>
    </row>
    <row r="324" spans="1:33" ht="11.25" customHeight="1" x14ac:dyDescent="0.25">
      <c r="A324" s="4" t="s">
        <v>21</v>
      </c>
      <c r="B324" s="4" t="s">
        <v>39</v>
      </c>
      <c r="C324" s="4" t="s">
        <v>66</v>
      </c>
      <c r="D324" s="4" t="s">
        <v>25</v>
      </c>
      <c r="E324" s="4" t="s">
        <v>25</v>
      </c>
      <c r="F324" s="4" t="s">
        <v>25</v>
      </c>
      <c r="G324" s="4" t="s">
        <v>71</v>
      </c>
      <c r="H324" s="4" t="s">
        <v>25</v>
      </c>
      <c r="I324" s="5">
        <v>44713</v>
      </c>
      <c r="J324" s="6">
        <v>10050</v>
      </c>
      <c r="K324" s="6">
        <v>5025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4" t="s">
        <v>68</v>
      </c>
      <c r="R324" s="4">
        <v>29041</v>
      </c>
      <c r="S324" s="6">
        <v>16</v>
      </c>
      <c r="T324" s="6">
        <v>0</v>
      </c>
      <c r="U324" s="6">
        <v>0</v>
      </c>
      <c r="V324" s="6">
        <f>IF(ISERROR(VLOOKUP($S$324,'TAR FIN'!$A$1:$O$104,15,0)),0,VLOOKUP($S$324,'TAR FIN'!$A$1:$O$104,15,0))</f>
        <v>12.9</v>
      </c>
      <c r="W324" s="6">
        <f>IF(ISERROR(VLOOKUP($T$324,'TAR FIN'!$A$1:$O$104,15,0)),0,VLOOKUP($T$324,'TAR FIN'!$A$1:$O$104,15,0))</f>
        <v>0</v>
      </c>
      <c r="X324" s="6">
        <f>IF(ISERROR(VLOOKUP($U$324,'TAR FIN'!$A$1:$O$104,15,0)),0,VLOOKUP($U$324,'TAR FIN'!$A$1:$O$104,15,0))</f>
        <v>0</v>
      </c>
      <c r="Y324" s="6">
        <f ca="1">('TUSD BE'!$AM$12+'TUSD BF'!$AM$12+'TUSD CVA'!$AM$12)*1</f>
        <v>12.796774750698974</v>
      </c>
      <c r="Z324" s="6"/>
      <c r="AA324" s="6"/>
      <c r="AB324" s="6">
        <f>$K$324*$V$324</f>
        <v>64822.5</v>
      </c>
      <c r="AC324" s="6">
        <f>$M$324*$W$324</f>
        <v>0</v>
      </c>
      <c r="AD324" s="6">
        <f>$O$324*$X$324</f>
        <v>0</v>
      </c>
      <c r="AE324" s="6">
        <f ca="1">$K$324*$Y$324</f>
        <v>64303.793122262345</v>
      </c>
      <c r="AF324" s="6">
        <f>$M$324*$Z$324</f>
        <v>0</v>
      </c>
      <c r="AG324" s="6">
        <f>$O$324*$AA$324</f>
        <v>0</v>
      </c>
    </row>
    <row r="325" spans="1:33" ht="11.25" customHeight="1" x14ac:dyDescent="0.25">
      <c r="A325" s="4" t="s">
        <v>21</v>
      </c>
      <c r="B325" s="4" t="s">
        <v>39</v>
      </c>
      <c r="C325" s="4" t="s">
        <v>66</v>
      </c>
      <c r="D325" s="4" t="s">
        <v>25</v>
      </c>
      <c r="E325" s="4" t="s">
        <v>25</v>
      </c>
      <c r="F325" s="4" t="s">
        <v>25</v>
      </c>
      <c r="G325" s="4" t="s">
        <v>73</v>
      </c>
      <c r="H325" s="4" t="s">
        <v>25</v>
      </c>
      <c r="I325" s="5">
        <v>44713</v>
      </c>
      <c r="J325" s="6">
        <v>44450</v>
      </c>
      <c r="K325" s="6">
        <v>22225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4" t="s">
        <v>68</v>
      </c>
      <c r="R325" s="4">
        <v>29092</v>
      </c>
      <c r="S325" s="6">
        <v>16</v>
      </c>
      <c r="T325" s="6">
        <v>0</v>
      </c>
      <c r="U325" s="6">
        <v>0</v>
      </c>
      <c r="V325" s="6">
        <f>IF(ISERROR(VLOOKUP($S$325,'TAR FIN'!$A$1:$O$104,15,0)),0,VLOOKUP($S$325,'TAR FIN'!$A$1:$O$104,15,0))</f>
        <v>12.9</v>
      </c>
      <c r="W325" s="6">
        <f>IF(ISERROR(VLOOKUP($T$325,'TAR FIN'!$A$1:$O$104,15,0)),0,VLOOKUP($T$325,'TAR FIN'!$A$1:$O$104,15,0))</f>
        <v>0</v>
      </c>
      <c r="X325" s="6">
        <f>IF(ISERROR(VLOOKUP($U$325,'TAR FIN'!$A$1:$O$104,15,0)),0,VLOOKUP($U$325,'TAR FIN'!$A$1:$O$104,15,0))</f>
        <v>0</v>
      </c>
      <c r="Y325" s="6">
        <f ca="1">('TUSD BE'!$AM$12+'TUSD BF'!$AM$12+'TUSD CVA'!$AM$12)*1</f>
        <v>12.796774750698974</v>
      </c>
      <c r="Z325" s="6"/>
      <c r="AA325" s="6"/>
      <c r="AB325" s="6">
        <f>$K$325*$V$325</f>
        <v>286702.5</v>
      </c>
      <c r="AC325" s="6">
        <f>$M$325*$W$325</f>
        <v>0</v>
      </c>
      <c r="AD325" s="6">
        <f>$O$325*$X$325</f>
        <v>0</v>
      </c>
      <c r="AE325" s="6">
        <f ca="1">$K$325*$Y$325</f>
        <v>284408.31883428473</v>
      </c>
      <c r="AF325" s="6">
        <f>$M$325*$Z$325</f>
        <v>0</v>
      </c>
      <c r="AG325" s="6">
        <f>$O$325*$AA$325</f>
        <v>0</v>
      </c>
    </row>
    <row r="326" spans="1:33" ht="11.25" customHeight="1" x14ac:dyDescent="0.25">
      <c r="A326" s="4" t="s">
        <v>21</v>
      </c>
      <c r="B326" s="4" t="s">
        <v>39</v>
      </c>
      <c r="C326" s="4" t="s">
        <v>66</v>
      </c>
      <c r="D326" s="4" t="s">
        <v>25</v>
      </c>
      <c r="E326" s="4" t="s">
        <v>25</v>
      </c>
      <c r="F326" s="4" t="s">
        <v>25</v>
      </c>
      <c r="G326" s="4" t="s">
        <v>75</v>
      </c>
      <c r="H326" s="4" t="s">
        <v>25</v>
      </c>
      <c r="I326" s="5">
        <v>44713</v>
      </c>
      <c r="J326" s="6">
        <v>30000</v>
      </c>
      <c r="K326" s="6">
        <v>15000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4" t="s">
        <v>68</v>
      </c>
      <c r="R326" s="4">
        <v>33663</v>
      </c>
      <c r="S326" s="6">
        <v>16</v>
      </c>
      <c r="T326" s="6">
        <v>0</v>
      </c>
      <c r="U326" s="6">
        <v>0</v>
      </c>
      <c r="V326" s="6">
        <f>IF(ISERROR(VLOOKUP($S$326,'TAR FIN'!$A$1:$O$104,15,0)),0,VLOOKUP($S$326,'TAR FIN'!$A$1:$O$104,15,0))</f>
        <v>12.9</v>
      </c>
      <c r="W326" s="6">
        <f>IF(ISERROR(VLOOKUP($T$326,'TAR FIN'!$A$1:$O$104,15,0)),0,VLOOKUP($T$326,'TAR FIN'!$A$1:$O$104,15,0))</f>
        <v>0</v>
      </c>
      <c r="X326" s="6">
        <f>IF(ISERROR(VLOOKUP($U$326,'TAR FIN'!$A$1:$O$104,15,0)),0,VLOOKUP($U$326,'TAR FIN'!$A$1:$O$104,15,0))</f>
        <v>0</v>
      </c>
      <c r="Y326" s="6">
        <f ca="1">('TUSD BE'!$AM$12+'TUSD BF'!$AM$12+'TUSD CVA'!$AM$12)*1</f>
        <v>12.796774750698974</v>
      </c>
      <c r="Z326" s="6"/>
      <c r="AA326" s="6"/>
      <c r="AB326" s="6">
        <f>$K$326*$V$326</f>
        <v>193500</v>
      </c>
      <c r="AC326" s="6">
        <f>$M$326*$W$326</f>
        <v>0</v>
      </c>
      <c r="AD326" s="6">
        <f>$O$326*$X$326</f>
        <v>0</v>
      </c>
      <c r="AE326" s="6">
        <f ca="1">$K$326*$Y$326</f>
        <v>191951.62126048462</v>
      </c>
      <c r="AF326" s="6">
        <f>$M$326*$Z$326</f>
        <v>0</v>
      </c>
      <c r="AG326" s="6">
        <f>$O$326*$AA$326</f>
        <v>0</v>
      </c>
    </row>
    <row r="327" spans="1:33" ht="11.25" customHeight="1" x14ac:dyDescent="0.25">
      <c r="A327" s="4" t="s">
        <v>21</v>
      </c>
      <c r="B327" s="4" t="s">
        <v>39</v>
      </c>
      <c r="C327" s="4" t="s">
        <v>66</v>
      </c>
      <c r="D327" s="4" t="s">
        <v>25</v>
      </c>
      <c r="E327" s="4" t="s">
        <v>25</v>
      </c>
      <c r="F327" s="4" t="s">
        <v>25</v>
      </c>
      <c r="G327" s="4" t="s">
        <v>76</v>
      </c>
      <c r="H327" s="4" t="s">
        <v>25</v>
      </c>
      <c r="I327" s="5">
        <v>44713</v>
      </c>
      <c r="J327" s="6">
        <v>30000</v>
      </c>
      <c r="K327" s="6">
        <v>15000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4" t="s">
        <v>68</v>
      </c>
      <c r="R327" s="4">
        <v>33664</v>
      </c>
      <c r="S327" s="6">
        <v>16</v>
      </c>
      <c r="T327" s="6">
        <v>0</v>
      </c>
      <c r="U327" s="6">
        <v>0</v>
      </c>
      <c r="V327" s="6">
        <f>IF(ISERROR(VLOOKUP($S$327,'TAR FIN'!$A$1:$O$104,15,0)),0,VLOOKUP($S$327,'TAR FIN'!$A$1:$O$104,15,0))</f>
        <v>12.9</v>
      </c>
      <c r="W327" s="6">
        <f>IF(ISERROR(VLOOKUP($T$327,'TAR FIN'!$A$1:$O$104,15,0)),0,VLOOKUP($T$327,'TAR FIN'!$A$1:$O$104,15,0))</f>
        <v>0</v>
      </c>
      <c r="X327" s="6">
        <f>IF(ISERROR(VLOOKUP($U$327,'TAR FIN'!$A$1:$O$104,15,0)),0,VLOOKUP($U$327,'TAR FIN'!$A$1:$O$104,15,0))</f>
        <v>0</v>
      </c>
      <c r="Y327" s="6">
        <f ca="1">('TUSD BE'!$AM$12+'TUSD BF'!$AM$12+'TUSD CVA'!$AM$12)*1</f>
        <v>12.796774750698974</v>
      </c>
      <c r="Z327" s="6"/>
      <c r="AA327" s="6"/>
      <c r="AB327" s="6">
        <f>$K$327*$V$327</f>
        <v>193500</v>
      </c>
      <c r="AC327" s="6">
        <f>$M$327*$W$327</f>
        <v>0</v>
      </c>
      <c r="AD327" s="6">
        <f>$O$327*$X$327</f>
        <v>0</v>
      </c>
      <c r="AE327" s="6">
        <f ca="1">$K$327*$Y$327</f>
        <v>191951.62126048462</v>
      </c>
      <c r="AF327" s="6">
        <f>$M$327*$Z$327</f>
        <v>0</v>
      </c>
      <c r="AG327" s="6">
        <f>$O$327*$AA$327</f>
        <v>0</v>
      </c>
    </row>
    <row r="328" spans="1:33" ht="11.25" customHeight="1" x14ac:dyDescent="0.25">
      <c r="A328" s="4" t="s">
        <v>21</v>
      </c>
      <c r="B328" s="4" t="s">
        <v>39</v>
      </c>
      <c r="C328" s="4" t="s">
        <v>66</v>
      </c>
      <c r="D328" s="4" t="s">
        <v>25</v>
      </c>
      <c r="E328" s="4" t="s">
        <v>25</v>
      </c>
      <c r="F328" s="4" t="s">
        <v>25</v>
      </c>
      <c r="G328" s="4" t="s">
        <v>77</v>
      </c>
      <c r="H328" s="4" t="s">
        <v>25</v>
      </c>
      <c r="I328" s="5">
        <v>44713</v>
      </c>
      <c r="J328" s="6">
        <v>30000</v>
      </c>
      <c r="K328" s="6">
        <v>15000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4" t="s">
        <v>68</v>
      </c>
      <c r="R328" s="4">
        <v>33665</v>
      </c>
      <c r="S328" s="6">
        <v>16</v>
      </c>
      <c r="T328" s="6">
        <v>0</v>
      </c>
      <c r="U328" s="6">
        <v>0</v>
      </c>
      <c r="V328" s="6">
        <f>IF(ISERROR(VLOOKUP($S$328,'TAR FIN'!$A$1:$O$104,15,0)),0,VLOOKUP($S$328,'TAR FIN'!$A$1:$O$104,15,0))</f>
        <v>12.9</v>
      </c>
      <c r="W328" s="6">
        <f>IF(ISERROR(VLOOKUP($T$328,'TAR FIN'!$A$1:$O$104,15,0)),0,VLOOKUP($T$328,'TAR FIN'!$A$1:$O$104,15,0))</f>
        <v>0</v>
      </c>
      <c r="X328" s="6">
        <f>IF(ISERROR(VLOOKUP($U$328,'TAR FIN'!$A$1:$O$104,15,0)),0,VLOOKUP($U$328,'TAR FIN'!$A$1:$O$104,15,0))</f>
        <v>0</v>
      </c>
      <c r="Y328" s="6">
        <f ca="1">('TUSD BE'!$AM$12+'TUSD BF'!$AM$12+'TUSD CVA'!$AM$12)*1</f>
        <v>12.796774750698974</v>
      </c>
      <c r="Z328" s="6"/>
      <c r="AA328" s="6"/>
      <c r="AB328" s="6">
        <f>$K$328*$V$328</f>
        <v>193500</v>
      </c>
      <c r="AC328" s="6">
        <f>$M$328*$W$328</f>
        <v>0</v>
      </c>
      <c r="AD328" s="6">
        <f>$O$328*$X$328</f>
        <v>0</v>
      </c>
      <c r="AE328" s="6">
        <f ca="1">$K$328*$Y$328</f>
        <v>191951.62126048462</v>
      </c>
      <c r="AF328" s="6">
        <f>$M$328*$Z$328</f>
        <v>0</v>
      </c>
      <c r="AG328" s="6">
        <f>$O$328*$AA$328</f>
        <v>0</v>
      </c>
    </row>
    <row r="329" spans="1:33" ht="11.25" customHeight="1" x14ac:dyDescent="0.25">
      <c r="A329" s="4" t="s">
        <v>21</v>
      </c>
      <c r="B329" s="4" t="s">
        <v>39</v>
      </c>
      <c r="C329" s="4" t="s">
        <v>66</v>
      </c>
      <c r="D329" s="4" t="s">
        <v>25</v>
      </c>
      <c r="E329" s="4" t="s">
        <v>25</v>
      </c>
      <c r="F329" s="4" t="s">
        <v>25</v>
      </c>
      <c r="G329" s="4" t="s">
        <v>78</v>
      </c>
      <c r="H329" s="4" t="s">
        <v>25</v>
      </c>
      <c r="I329" s="5">
        <v>44713</v>
      </c>
      <c r="J329" s="6">
        <v>27000</v>
      </c>
      <c r="K329" s="6">
        <v>13500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4" t="s">
        <v>68</v>
      </c>
      <c r="R329" s="4">
        <v>34085</v>
      </c>
      <c r="S329" s="6">
        <v>16</v>
      </c>
      <c r="T329" s="6">
        <v>0</v>
      </c>
      <c r="U329" s="6">
        <v>0</v>
      </c>
      <c r="V329" s="6">
        <f>IF(ISERROR(VLOOKUP($S$329,'TAR FIN'!$A$1:$O$104,15,0)),0,VLOOKUP($S$329,'TAR FIN'!$A$1:$O$104,15,0))</f>
        <v>12.9</v>
      </c>
      <c r="W329" s="6">
        <f>IF(ISERROR(VLOOKUP($T$329,'TAR FIN'!$A$1:$O$104,15,0)),0,VLOOKUP($T$329,'TAR FIN'!$A$1:$O$104,15,0))</f>
        <v>0</v>
      </c>
      <c r="X329" s="6">
        <f>IF(ISERROR(VLOOKUP($U$329,'TAR FIN'!$A$1:$O$104,15,0)),0,VLOOKUP($U$329,'TAR FIN'!$A$1:$O$104,15,0))</f>
        <v>0</v>
      </c>
      <c r="Y329" s="6">
        <f ca="1">('TUSD BE'!$AM$12+'TUSD BF'!$AM$12+'TUSD CVA'!$AM$12)*1</f>
        <v>12.796774750698974</v>
      </c>
      <c r="Z329" s="6"/>
      <c r="AA329" s="6"/>
      <c r="AB329" s="6">
        <f>$K$329*$V$329</f>
        <v>174150</v>
      </c>
      <c r="AC329" s="6">
        <f>$M$329*$W$329</f>
        <v>0</v>
      </c>
      <c r="AD329" s="6">
        <f>$O$329*$X$329</f>
        <v>0</v>
      </c>
      <c r="AE329" s="6">
        <f ca="1">$K$329*$Y$329</f>
        <v>172756.45913443615</v>
      </c>
      <c r="AF329" s="6">
        <f>$M$329*$Z$329</f>
        <v>0</v>
      </c>
      <c r="AG329" s="6">
        <f>$O$329*$AA$329</f>
        <v>0</v>
      </c>
    </row>
    <row r="330" spans="1:33" ht="11.25" customHeight="1" x14ac:dyDescent="0.25">
      <c r="A330" s="4" t="s">
        <v>21</v>
      </c>
      <c r="B330" s="4" t="s">
        <v>39</v>
      </c>
      <c r="C330" s="4" t="s">
        <v>66</v>
      </c>
      <c r="D330" s="4" t="s">
        <v>25</v>
      </c>
      <c r="E330" s="4" t="s">
        <v>25</v>
      </c>
      <c r="F330" s="4" t="s">
        <v>25</v>
      </c>
      <c r="G330" s="4" t="s">
        <v>79</v>
      </c>
      <c r="H330" s="4" t="s">
        <v>25</v>
      </c>
      <c r="I330" s="5">
        <v>44713</v>
      </c>
      <c r="J330" s="6">
        <v>27000</v>
      </c>
      <c r="K330" s="6">
        <v>13500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4" t="s">
        <v>68</v>
      </c>
      <c r="R330" s="4">
        <v>34086</v>
      </c>
      <c r="S330" s="6">
        <v>16</v>
      </c>
      <c r="T330" s="6">
        <v>0</v>
      </c>
      <c r="U330" s="6">
        <v>0</v>
      </c>
      <c r="V330" s="6">
        <f>IF(ISERROR(VLOOKUP($S$330,'TAR FIN'!$A$1:$O$104,15,0)),0,VLOOKUP($S$330,'TAR FIN'!$A$1:$O$104,15,0))</f>
        <v>12.9</v>
      </c>
      <c r="W330" s="6">
        <f>IF(ISERROR(VLOOKUP($T$330,'TAR FIN'!$A$1:$O$104,15,0)),0,VLOOKUP($T$330,'TAR FIN'!$A$1:$O$104,15,0))</f>
        <v>0</v>
      </c>
      <c r="X330" s="6">
        <f>IF(ISERROR(VLOOKUP($U$330,'TAR FIN'!$A$1:$O$104,15,0)),0,VLOOKUP($U$330,'TAR FIN'!$A$1:$O$104,15,0))</f>
        <v>0</v>
      </c>
      <c r="Y330" s="6">
        <f ca="1">('TUSD BE'!$AM$12+'TUSD BF'!$AM$12+'TUSD CVA'!$AM$12)*1</f>
        <v>12.796774750698974</v>
      </c>
      <c r="Z330" s="6"/>
      <c r="AA330" s="6"/>
      <c r="AB330" s="6">
        <f>$K$330*$V$330</f>
        <v>174150</v>
      </c>
      <c r="AC330" s="6">
        <f>$M$330*$W$330</f>
        <v>0</v>
      </c>
      <c r="AD330" s="6">
        <f>$O$330*$X$330</f>
        <v>0</v>
      </c>
      <c r="AE330" s="6">
        <f ca="1">$K$330*$Y$330</f>
        <v>172756.45913443615</v>
      </c>
      <c r="AF330" s="6">
        <f>$M$330*$Z$330</f>
        <v>0</v>
      </c>
      <c r="AG330" s="6">
        <f>$O$330*$AA$330</f>
        <v>0</v>
      </c>
    </row>
    <row r="331" spans="1:33" ht="11.25" customHeight="1" x14ac:dyDescent="0.25">
      <c r="A331" s="4" t="s">
        <v>57</v>
      </c>
      <c r="B331" s="4" t="s">
        <v>39</v>
      </c>
      <c r="C331" s="4" t="s">
        <v>66</v>
      </c>
      <c r="D331" s="4" t="s">
        <v>25</v>
      </c>
      <c r="E331" s="4" t="s">
        <v>25</v>
      </c>
      <c r="F331" s="4" t="s">
        <v>25</v>
      </c>
      <c r="G331" s="4" t="s">
        <v>67</v>
      </c>
      <c r="H331" s="4" t="s">
        <v>25</v>
      </c>
      <c r="I331" s="5">
        <v>44743</v>
      </c>
      <c r="J331" s="6">
        <v>3500</v>
      </c>
      <c r="K331" s="6">
        <v>3500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4" t="s">
        <v>68</v>
      </c>
      <c r="R331" s="4">
        <v>27402</v>
      </c>
      <c r="S331" s="6">
        <v>16</v>
      </c>
      <c r="T331" s="6">
        <v>0</v>
      </c>
      <c r="U331" s="6">
        <v>0</v>
      </c>
      <c r="V331" s="6">
        <f>IF(ISERROR(VLOOKUP($S$331,'TAR FIN'!$A$1:$O$104,15,0)),0,VLOOKUP($S$331,'TAR FIN'!$A$1:$O$104,15,0))</f>
        <v>12.9</v>
      </c>
      <c r="W331" s="6">
        <f>IF(ISERROR(VLOOKUP($T$331,'TAR FIN'!$A$1:$O$104,15,0)),0,VLOOKUP($T$331,'TAR FIN'!$A$1:$O$104,15,0))</f>
        <v>0</v>
      </c>
      <c r="X331" s="6">
        <f>IF(ISERROR(VLOOKUP($U$331,'TAR FIN'!$A$1:$O$104,15,0)),0,VLOOKUP($U$331,'TAR FIN'!$A$1:$O$104,15,0))</f>
        <v>0</v>
      </c>
      <c r="Y331" s="6">
        <f ca="1">('TUSD BE'!$AM$12+'TUSD BF'!$AM$12+'TUSD CVA'!$AM$12)*1</f>
        <v>12.796774750698974</v>
      </c>
      <c r="Z331" s="6"/>
      <c r="AA331" s="6"/>
      <c r="AB331" s="6">
        <f>$K$331*$V$331</f>
        <v>45150</v>
      </c>
      <c r="AC331" s="6">
        <f>$M$331*$W$331</f>
        <v>0</v>
      </c>
      <c r="AD331" s="6">
        <f>$O$331*$X$331</f>
        <v>0</v>
      </c>
      <c r="AE331" s="6">
        <f ca="1">$K$331*$Y$331</f>
        <v>44788.711627446406</v>
      </c>
      <c r="AF331" s="6">
        <f>$M$331*$Z$331</f>
        <v>0</v>
      </c>
      <c r="AG331" s="6">
        <f>$O$331*$AA$331</f>
        <v>0</v>
      </c>
    </row>
    <row r="332" spans="1:33" ht="11.25" customHeight="1" x14ac:dyDescent="0.25">
      <c r="A332" s="4" t="s">
        <v>57</v>
      </c>
      <c r="B332" s="4" t="s">
        <v>39</v>
      </c>
      <c r="C332" s="4" t="s">
        <v>66</v>
      </c>
      <c r="D332" s="4" t="s">
        <v>25</v>
      </c>
      <c r="E332" s="4" t="s">
        <v>25</v>
      </c>
      <c r="F332" s="4" t="s">
        <v>25</v>
      </c>
      <c r="G332" s="4" t="s">
        <v>69</v>
      </c>
      <c r="H332" s="4" t="s">
        <v>25</v>
      </c>
      <c r="I332" s="5">
        <v>44743</v>
      </c>
      <c r="J332" s="6">
        <v>3000</v>
      </c>
      <c r="K332" s="6">
        <v>1500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4" t="s">
        <v>68</v>
      </c>
      <c r="R332" s="4">
        <v>28515</v>
      </c>
      <c r="S332" s="6">
        <v>16</v>
      </c>
      <c r="T332" s="6">
        <v>0</v>
      </c>
      <c r="U332" s="6">
        <v>0</v>
      </c>
      <c r="V332" s="6">
        <f>IF(ISERROR(VLOOKUP($S$332,'TAR FIN'!$A$1:$O$104,15,0)),0,VLOOKUP($S$332,'TAR FIN'!$A$1:$O$104,15,0))</f>
        <v>12.9</v>
      </c>
      <c r="W332" s="6">
        <f>IF(ISERROR(VLOOKUP($T$332,'TAR FIN'!$A$1:$O$104,15,0)),0,VLOOKUP($T$332,'TAR FIN'!$A$1:$O$104,15,0))</f>
        <v>0</v>
      </c>
      <c r="X332" s="6">
        <f>IF(ISERROR(VLOOKUP($U$332,'TAR FIN'!$A$1:$O$104,15,0)),0,VLOOKUP($U$332,'TAR FIN'!$A$1:$O$104,15,0))</f>
        <v>0</v>
      </c>
      <c r="Y332" s="6">
        <f ca="1">('TUSD BE'!$AM$12+'TUSD BF'!$AM$12+'TUSD CVA'!$AM$12)*1</f>
        <v>12.796774750698974</v>
      </c>
      <c r="Z332" s="6"/>
      <c r="AA332" s="6"/>
      <c r="AB332" s="6">
        <f>$K$332*$V$332</f>
        <v>19350</v>
      </c>
      <c r="AC332" s="6">
        <f>$M$332*$W$332</f>
        <v>0</v>
      </c>
      <c r="AD332" s="6">
        <f>$O$332*$X$332</f>
        <v>0</v>
      </c>
      <c r="AE332" s="6">
        <f ca="1">$K$332*$Y$332</f>
        <v>19195.162126048461</v>
      </c>
      <c r="AF332" s="6">
        <f>$M$332*$Z$332</f>
        <v>0</v>
      </c>
      <c r="AG332" s="6">
        <f>$O$332*$AA$332</f>
        <v>0</v>
      </c>
    </row>
    <row r="333" spans="1:33" ht="11.25" customHeight="1" x14ac:dyDescent="0.25">
      <c r="A333" s="4" t="s">
        <v>57</v>
      </c>
      <c r="B333" s="4" t="s">
        <v>39</v>
      </c>
      <c r="C333" s="4" t="s">
        <v>66</v>
      </c>
      <c r="D333" s="4" t="s">
        <v>25</v>
      </c>
      <c r="E333" s="4" t="s">
        <v>25</v>
      </c>
      <c r="F333" s="4" t="s">
        <v>25</v>
      </c>
      <c r="G333" s="4" t="s">
        <v>70</v>
      </c>
      <c r="H333" s="4" t="s">
        <v>25</v>
      </c>
      <c r="I333" s="5">
        <v>44743</v>
      </c>
      <c r="J333" s="6">
        <v>11000</v>
      </c>
      <c r="K333" s="6">
        <v>5500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4" t="s">
        <v>68</v>
      </c>
      <c r="R333" s="4">
        <v>28957</v>
      </c>
      <c r="S333" s="6">
        <v>16</v>
      </c>
      <c r="T333" s="6">
        <v>0</v>
      </c>
      <c r="U333" s="6">
        <v>0</v>
      </c>
      <c r="V333" s="6">
        <f>IF(ISERROR(VLOOKUP($S$333,'TAR FIN'!$A$1:$O$104,15,0)),0,VLOOKUP($S$333,'TAR FIN'!$A$1:$O$104,15,0))</f>
        <v>12.9</v>
      </c>
      <c r="W333" s="6">
        <f>IF(ISERROR(VLOOKUP($T$333,'TAR FIN'!$A$1:$O$104,15,0)),0,VLOOKUP($T$333,'TAR FIN'!$A$1:$O$104,15,0))</f>
        <v>0</v>
      </c>
      <c r="X333" s="6">
        <f>IF(ISERROR(VLOOKUP($U$333,'TAR FIN'!$A$1:$O$104,15,0)),0,VLOOKUP($U$333,'TAR FIN'!$A$1:$O$104,15,0))</f>
        <v>0</v>
      </c>
      <c r="Y333" s="6">
        <f ca="1">('TUSD BE'!$AM$12+'TUSD BF'!$AM$12+'TUSD CVA'!$AM$12)*1</f>
        <v>12.796774750698974</v>
      </c>
      <c r="Z333" s="6"/>
      <c r="AA333" s="6"/>
      <c r="AB333" s="6">
        <f>$K$333*$V$333</f>
        <v>70950</v>
      </c>
      <c r="AC333" s="6">
        <f>$M$333*$W$333</f>
        <v>0</v>
      </c>
      <c r="AD333" s="6">
        <f>$O$333*$X$333</f>
        <v>0</v>
      </c>
      <c r="AE333" s="6">
        <f ca="1">$K$333*$Y$333</f>
        <v>70382.261128844359</v>
      </c>
      <c r="AF333" s="6">
        <f>$M$333*$Z$333</f>
        <v>0</v>
      </c>
      <c r="AG333" s="6">
        <f>$O$333*$AA$333</f>
        <v>0</v>
      </c>
    </row>
    <row r="334" spans="1:33" ht="11.25" customHeight="1" x14ac:dyDescent="0.25">
      <c r="A334" s="4" t="s">
        <v>57</v>
      </c>
      <c r="B334" s="4" t="s">
        <v>39</v>
      </c>
      <c r="C334" s="4" t="s">
        <v>66</v>
      </c>
      <c r="D334" s="4" t="s">
        <v>25</v>
      </c>
      <c r="E334" s="4" t="s">
        <v>25</v>
      </c>
      <c r="F334" s="4" t="s">
        <v>25</v>
      </c>
      <c r="G334" s="4" t="s">
        <v>71</v>
      </c>
      <c r="H334" s="4" t="s">
        <v>25</v>
      </c>
      <c r="I334" s="5">
        <v>44743</v>
      </c>
      <c r="J334" s="6">
        <v>10050</v>
      </c>
      <c r="K334" s="6">
        <v>5025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4" t="s">
        <v>68</v>
      </c>
      <c r="R334" s="4">
        <v>29041</v>
      </c>
      <c r="S334" s="6">
        <v>16</v>
      </c>
      <c r="T334" s="6">
        <v>0</v>
      </c>
      <c r="U334" s="6">
        <v>0</v>
      </c>
      <c r="V334" s="6">
        <f>IF(ISERROR(VLOOKUP($S$334,'TAR FIN'!$A$1:$O$104,15,0)),0,VLOOKUP($S$334,'TAR FIN'!$A$1:$O$104,15,0))</f>
        <v>12.9</v>
      </c>
      <c r="W334" s="6">
        <f>IF(ISERROR(VLOOKUP($T$334,'TAR FIN'!$A$1:$O$104,15,0)),0,VLOOKUP($T$334,'TAR FIN'!$A$1:$O$104,15,0))</f>
        <v>0</v>
      </c>
      <c r="X334" s="6">
        <f>IF(ISERROR(VLOOKUP($U$334,'TAR FIN'!$A$1:$O$104,15,0)),0,VLOOKUP($U$334,'TAR FIN'!$A$1:$O$104,15,0))</f>
        <v>0</v>
      </c>
      <c r="Y334" s="6">
        <f ca="1">('TUSD BE'!$AM$12+'TUSD BF'!$AM$12+'TUSD CVA'!$AM$12)*1</f>
        <v>12.796774750698974</v>
      </c>
      <c r="Z334" s="6"/>
      <c r="AA334" s="6"/>
      <c r="AB334" s="6">
        <f>$K$334*$V$334</f>
        <v>64822.5</v>
      </c>
      <c r="AC334" s="6">
        <f>$M$334*$W$334</f>
        <v>0</v>
      </c>
      <c r="AD334" s="6">
        <f>$O$334*$X$334</f>
        <v>0</v>
      </c>
      <c r="AE334" s="6">
        <f ca="1">$K$334*$Y$334</f>
        <v>64303.793122262345</v>
      </c>
      <c r="AF334" s="6">
        <f>$M$334*$Z$334</f>
        <v>0</v>
      </c>
      <c r="AG334" s="6">
        <f>$O$334*$AA$334</f>
        <v>0</v>
      </c>
    </row>
    <row r="335" spans="1:33" ht="11.25" customHeight="1" x14ac:dyDescent="0.25">
      <c r="A335" s="4" t="s">
        <v>57</v>
      </c>
      <c r="B335" s="4" t="s">
        <v>39</v>
      </c>
      <c r="C335" s="4" t="s">
        <v>66</v>
      </c>
      <c r="D335" s="4" t="s">
        <v>25</v>
      </c>
      <c r="E335" s="4" t="s">
        <v>25</v>
      </c>
      <c r="F335" s="4" t="s">
        <v>25</v>
      </c>
      <c r="G335" s="4" t="s">
        <v>73</v>
      </c>
      <c r="H335" s="4" t="s">
        <v>25</v>
      </c>
      <c r="I335" s="5">
        <v>44743</v>
      </c>
      <c r="J335" s="6">
        <v>44450</v>
      </c>
      <c r="K335" s="6">
        <v>22225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4" t="s">
        <v>68</v>
      </c>
      <c r="R335" s="4">
        <v>29092</v>
      </c>
      <c r="S335" s="6">
        <v>16</v>
      </c>
      <c r="T335" s="6">
        <v>0</v>
      </c>
      <c r="U335" s="6">
        <v>0</v>
      </c>
      <c r="V335" s="6">
        <f>IF(ISERROR(VLOOKUP($S$335,'TAR FIN'!$A$1:$O$104,15,0)),0,VLOOKUP($S$335,'TAR FIN'!$A$1:$O$104,15,0))</f>
        <v>12.9</v>
      </c>
      <c r="W335" s="6">
        <f>IF(ISERROR(VLOOKUP($T$335,'TAR FIN'!$A$1:$O$104,15,0)),0,VLOOKUP($T$335,'TAR FIN'!$A$1:$O$104,15,0))</f>
        <v>0</v>
      </c>
      <c r="X335" s="6">
        <f>IF(ISERROR(VLOOKUP($U$335,'TAR FIN'!$A$1:$O$104,15,0)),0,VLOOKUP($U$335,'TAR FIN'!$A$1:$O$104,15,0))</f>
        <v>0</v>
      </c>
      <c r="Y335" s="6">
        <f ca="1">('TUSD BE'!$AM$12+'TUSD BF'!$AM$12+'TUSD CVA'!$AM$12)*1</f>
        <v>12.796774750698974</v>
      </c>
      <c r="Z335" s="6"/>
      <c r="AA335" s="6"/>
      <c r="AB335" s="6">
        <f>$K$335*$V$335</f>
        <v>286702.5</v>
      </c>
      <c r="AC335" s="6">
        <f>$M$335*$W$335</f>
        <v>0</v>
      </c>
      <c r="AD335" s="6">
        <f>$O$335*$X$335</f>
        <v>0</v>
      </c>
      <c r="AE335" s="6">
        <f ca="1">$K$335*$Y$335</f>
        <v>284408.31883428473</v>
      </c>
      <c r="AF335" s="6">
        <f>$M$335*$Z$335</f>
        <v>0</v>
      </c>
      <c r="AG335" s="6">
        <f>$O$335*$AA$335</f>
        <v>0</v>
      </c>
    </row>
    <row r="336" spans="1:33" ht="11.25" customHeight="1" x14ac:dyDescent="0.25">
      <c r="A336" s="4" t="s">
        <v>57</v>
      </c>
      <c r="B336" s="4" t="s">
        <v>39</v>
      </c>
      <c r="C336" s="4" t="s">
        <v>66</v>
      </c>
      <c r="D336" s="4" t="s">
        <v>25</v>
      </c>
      <c r="E336" s="4" t="s">
        <v>25</v>
      </c>
      <c r="F336" s="4" t="s">
        <v>25</v>
      </c>
      <c r="G336" s="4" t="s">
        <v>75</v>
      </c>
      <c r="H336" s="4" t="s">
        <v>25</v>
      </c>
      <c r="I336" s="5">
        <v>44743</v>
      </c>
      <c r="J336" s="6">
        <v>30000</v>
      </c>
      <c r="K336" s="6">
        <v>15000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4" t="s">
        <v>68</v>
      </c>
      <c r="R336" s="4">
        <v>33663</v>
      </c>
      <c r="S336" s="6">
        <v>16</v>
      </c>
      <c r="T336" s="6">
        <v>0</v>
      </c>
      <c r="U336" s="6">
        <v>0</v>
      </c>
      <c r="V336" s="6">
        <f>IF(ISERROR(VLOOKUP($S$336,'TAR FIN'!$A$1:$O$104,15,0)),0,VLOOKUP($S$336,'TAR FIN'!$A$1:$O$104,15,0))</f>
        <v>12.9</v>
      </c>
      <c r="W336" s="6">
        <f>IF(ISERROR(VLOOKUP($T$336,'TAR FIN'!$A$1:$O$104,15,0)),0,VLOOKUP($T$336,'TAR FIN'!$A$1:$O$104,15,0))</f>
        <v>0</v>
      </c>
      <c r="X336" s="6">
        <f>IF(ISERROR(VLOOKUP($U$336,'TAR FIN'!$A$1:$O$104,15,0)),0,VLOOKUP($U$336,'TAR FIN'!$A$1:$O$104,15,0))</f>
        <v>0</v>
      </c>
      <c r="Y336" s="6">
        <f ca="1">('TUSD BE'!$AM$12+'TUSD BF'!$AM$12+'TUSD CVA'!$AM$12)*1</f>
        <v>12.796774750698974</v>
      </c>
      <c r="Z336" s="6"/>
      <c r="AA336" s="6"/>
      <c r="AB336" s="6">
        <f>$K$336*$V$336</f>
        <v>193500</v>
      </c>
      <c r="AC336" s="6">
        <f>$M$336*$W$336</f>
        <v>0</v>
      </c>
      <c r="AD336" s="6">
        <f>$O$336*$X$336</f>
        <v>0</v>
      </c>
      <c r="AE336" s="6">
        <f ca="1">$K$336*$Y$336</f>
        <v>191951.62126048462</v>
      </c>
      <c r="AF336" s="6">
        <f>$M$336*$Z$336</f>
        <v>0</v>
      </c>
      <c r="AG336" s="6">
        <f>$O$336*$AA$336</f>
        <v>0</v>
      </c>
    </row>
    <row r="337" spans="1:33" ht="11.25" customHeight="1" x14ac:dyDescent="0.25">
      <c r="A337" s="4" t="s">
        <v>57</v>
      </c>
      <c r="B337" s="4" t="s">
        <v>39</v>
      </c>
      <c r="C337" s="4" t="s">
        <v>66</v>
      </c>
      <c r="D337" s="4" t="s">
        <v>25</v>
      </c>
      <c r="E337" s="4" t="s">
        <v>25</v>
      </c>
      <c r="F337" s="4" t="s">
        <v>25</v>
      </c>
      <c r="G337" s="4" t="s">
        <v>76</v>
      </c>
      <c r="H337" s="4" t="s">
        <v>25</v>
      </c>
      <c r="I337" s="5">
        <v>44743</v>
      </c>
      <c r="J337" s="6">
        <v>30000</v>
      </c>
      <c r="K337" s="6">
        <v>15000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4" t="s">
        <v>68</v>
      </c>
      <c r="R337" s="4">
        <v>33664</v>
      </c>
      <c r="S337" s="6">
        <v>16</v>
      </c>
      <c r="T337" s="6">
        <v>0</v>
      </c>
      <c r="U337" s="6">
        <v>0</v>
      </c>
      <c r="V337" s="6">
        <f>IF(ISERROR(VLOOKUP($S$337,'TAR FIN'!$A$1:$O$104,15,0)),0,VLOOKUP($S$337,'TAR FIN'!$A$1:$O$104,15,0))</f>
        <v>12.9</v>
      </c>
      <c r="W337" s="6">
        <f>IF(ISERROR(VLOOKUP($T$337,'TAR FIN'!$A$1:$O$104,15,0)),0,VLOOKUP($T$337,'TAR FIN'!$A$1:$O$104,15,0))</f>
        <v>0</v>
      </c>
      <c r="X337" s="6">
        <f>IF(ISERROR(VLOOKUP($U$337,'TAR FIN'!$A$1:$O$104,15,0)),0,VLOOKUP($U$337,'TAR FIN'!$A$1:$O$104,15,0))</f>
        <v>0</v>
      </c>
      <c r="Y337" s="6">
        <f ca="1">('TUSD BE'!$AM$12+'TUSD BF'!$AM$12+'TUSD CVA'!$AM$12)*1</f>
        <v>12.796774750698974</v>
      </c>
      <c r="Z337" s="6"/>
      <c r="AA337" s="6"/>
      <c r="AB337" s="6">
        <f>$K$337*$V$337</f>
        <v>193500</v>
      </c>
      <c r="AC337" s="6">
        <f>$M$337*$W$337</f>
        <v>0</v>
      </c>
      <c r="AD337" s="6">
        <f>$O$337*$X$337</f>
        <v>0</v>
      </c>
      <c r="AE337" s="6">
        <f ca="1">$K$337*$Y$337</f>
        <v>191951.62126048462</v>
      </c>
      <c r="AF337" s="6">
        <f>$M$337*$Z$337</f>
        <v>0</v>
      </c>
      <c r="AG337" s="6">
        <f>$O$337*$AA$337</f>
        <v>0</v>
      </c>
    </row>
    <row r="338" spans="1:33" ht="11.25" customHeight="1" x14ac:dyDescent="0.25">
      <c r="A338" s="4" t="s">
        <v>57</v>
      </c>
      <c r="B338" s="4" t="s">
        <v>39</v>
      </c>
      <c r="C338" s="4" t="s">
        <v>66</v>
      </c>
      <c r="D338" s="4" t="s">
        <v>25</v>
      </c>
      <c r="E338" s="4" t="s">
        <v>25</v>
      </c>
      <c r="F338" s="4" t="s">
        <v>25</v>
      </c>
      <c r="G338" s="4" t="s">
        <v>77</v>
      </c>
      <c r="H338" s="4" t="s">
        <v>25</v>
      </c>
      <c r="I338" s="5">
        <v>44743</v>
      </c>
      <c r="J338" s="6">
        <v>30000</v>
      </c>
      <c r="K338" s="6">
        <v>15000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4" t="s">
        <v>68</v>
      </c>
      <c r="R338" s="4">
        <v>33665</v>
      </c>
      <c r="S338" s="6">
        <v>16</v>
      </c>
      <c r="T338" s="6">
        <v>0</v>
      </c>
      <c r="U338" s="6">
        <v>0</v>
      </c>
      <c r="V338" s="6">
        <f>IF(ISERROR(VLOOKUP($S$338,'TAR FIN'!$A$1:$O$104,15,0)),0,VLOOKUP($S$338,'TAR FIN'!$A$1:$O$104,15,0))</f>
        <v>12.9</v>
      </c>
      <c r="W338" s="6">
        <f>IF(ISERROR(VLOOKUP($T$338,'TAR FIN'!$A$1:$O$104,15,0)),0,VLOOKUP($T$338,'TAR FIN'!$A$1:$O$104,15,0))</f>
        <v>0</v>
      </c>
      <c r="X338" s="6">
        <f>IF(ISERROR(VLOOKUP($U$338,'TAR FIN'!$A$1:$O$104,15,0)),0,VLOOKUP($U$338,'TAR FIN'!$A$1:$O$104,15,0))</f>
        <v>0</v>
      </c>
      <c r="Y338" s="6">
        <f ca="1">('TUSD BE'!$AM$12+'TUSD BF'!$AM$12+'TUSD CVA'!$AM$12)*1</f>
        <v>12.796774750698974</v>
      </c>
      <c r="Z338" s="6"/>
      <c r="AA338" s="6"/>
      <c r="AB338" s="6">
        <f>$K$338*$V$338</f>
        <v>193500</v>
      </c>
      <c r="AC338" s="6">
        <f>$M$338*$W$338</f>
        <v>0</v>
      </c>
      <c r="AD338" s="6">
        <f>$O$338*$X$338</f>
        <v>0</v>
      </c>
      <c r="AE338" s="6">
        <f ca="1">$K$338*$Y$338</f>
        <v>191951.62126048462</v>
      </c>
      <c r="AF338" s="6">
        <f>$M$338*$Z$338</f>
        <v>0</v>
      </c>
      <c r="AG338" s="6">
        <f>$O$338*$AA$338</f>
        <v>0</v>
      </c>
    </row>
    <row r="339" spans="1:33" ht="11.25" customHeight="1" x14ac:dyDescent="0.25">
      <c r="A339" s="4" t="s">
        <v>57</v>
      </c>
      <c r="B339" s="4" t="s">
        <v>39</v>
      </c>
      <c r="C339" s="4" t="s">
        <v>66</v>
      </c>
      <c r="D339" s="4" t="s">
        <v>25</v>
      </c>
      <c r="E339" s="4" t="s">
        <v>25</v>
      </c>
      <c r="F339" s="4" t="s">
        <v>25</v>
      </c>
      <c r="G339" s="4" t="s">
        <v>78</v>
      </c>
      <c r="H339" s="4" t="s">
        <v>25</v>
      </c>
      <c r="I339" s="5">
        <v>44743</v>
      </c>
      <c r="J339" s="6">
        <v>27000</v>
      </c>
      <c r="K339" s="6">
        <v>13500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4" t="s">
        <v>68</v>
      </c>
      <c r="R339" s="4">
        <v>34085</v>
      </c>
      <c r="S339" s="6">
        <v>16</v>
      </c>
      <c r="T339" s="6">
        <v>0</v>
      </c>
      <c r="U339" s="6">
        <v>0</v>
      </c>
      <c r="V339" s="6">
        <f>IF(ISERROR(VLOOKUP($S$339,'TAR FIN'!$A$1:$O$104,15,0)),0,VLOOKUP($S$339,'TAR FIN'!$A$1:$O$104,15,0))</f>
        <v>12.9</v>
      </c>
      <c r="W339" s="6">
        <f>IF(ISERROR(VLOOKUP($T$339,'TAR FIN'!$A$1:$O$104,15,0)),0,VLOOKUP($T$339,'TAR FIN'!$A$1:$O$104,15,0))</f>
        <v>0</v>
      </c>
      <c r="X339" s="6">
        <f>IF(ISERROR(VLOOKUP($U$339,'TAR FIN'!$A$1:$O$104,15,0)),0,VLOOKUP($U$339,'TAR FIN'!$A$1:$O$104,15,0))</f>
        <v>0</v>
      </c>
      <c r="Y339" s="6">
        <f ca="1">('TUSD BE'!$AM$12+'TUSD BF'!$AM$12+'TUSD CVA'!$AM$12)*1</f>
        <v>12.796774750698974</v>
      </c>
      <c r="Z339" s="6"/>
      <c r="AA339" s="6"/>
      <c r="AB339" s="6">
        <f>$K$339*$V$339</f>
        <v>174150</v>
      </c>
      <c r="AC339" s="6">
        <f>$M$339*$W$339</f>
        <v>0</v>
      </c>
      <c r="AD339" s="6">
        <f>$O$339*$X$339</f>
        <v>0</v>
      </c>
      <c r="AE339" s="6">
        <f ca="1">$K$339*$Y$339</f>
        <v>172756.45913443615</v>
      </c>
      <c r="AF339" s="6">
        <f>$M$339*$Z$339</f>
        <v>0</v>
      </c>
      <c r="AG339" s="6">
        <f>$O$339*$AA$339</f>
        <v>0</v>
      </c>
    </row>
    <row r="340" spans="1:33" ht="11.25" customHeight="1" x14ac:dyDescent="0.25">
      <c r="A340" s="4" t="s">
        <v>57</v>
      </c>
      <c r="B340" s="4" t="s">
        <v>39</v>
      </c>
      <c r="C340" s="4" t="s">
        <v>66</v>
      </c>
      <c r="D340" s="4" t="s">
        <v>25</v>
      </c>
      <c r="E340" s="4" t="s">
        <v>25</v>
      </c>
      <c r="F340" s="4" t="s">
        <v>25</v>
      </c>
      <c r="G340" s="4" t="s">
        <v>79</v>
      </c>
      <c r="H340" s="4" t="s">
        <v>25</v>
      </c>
      <c r="I340" s="5">
        <v>44743</v>
      </c>
      <c r="J340" s="6">
        <v>27000</v>
      </c>
      <c r="K340" s="6">
        <v>13500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4" t="s">
        <v>68</v>
      </c>
      <c r="R340" s="4">
        <v>34086</v>
      </c>
      <c r="S340" s="6">
        <v>16</v>
      </c>
      <c r="T340" s="6">
        <v>0</v>
      </c>
      <c r="U340" s="6">
        <v>0</v>
      </c>
      <c r="V340" s="6">
        <f>IF(ISERROR(VLOOKUP($S$340,'TAR FIN'!$A$1:$O$104,15,0)),0,VLOOKUP($S$340,'TAR FIN'!$A$1:$O$104,15,0))</f>
        <v>12.9</v>
      </c>
      <c r="W340" s="6">
        <f>IF(ISERROR(VLOOKUP($T$340,'TAR FIN'!$A$1:$O$104,15,0)),0,VLOOKUP($T$340,'TAR FIN'!$A$1:$O$104,15,0))</f>
        <v>0</v>
      </c>
      <c r="X340" s="6">
        <f>IF(ISERROR(VLOOKUP($U$340,'TAR FIN'!$A$1:$O$104,15,0)),0,VLOOKUP($U$340,'TAR FIN'!$A$1:$O$104,15,0))</f>
        <v>0</v>
      </c>
      <c r="Y340" s="6">
        <f ca="1">('TUSD BE'!$AM$12+'TUSD BF'!$AM$12+'TUSD CVA'!$AM$12)*1</f>
        <v>12.796774750698974</v>
      </c>
      <c r="Z340" s="6"/>
      <c r="AA340" s="6"/>
      <c r="AB340" s="6">
        <f>$K$340*$V$340</f>
        <v>174150</v>
      </c>
      <c r="AC340" s="6">
        <f>$M$340*$W$340</f>
        <v>0</v>
      </c>
      <c r="AD340" s="6">
        <f>$O$340*$X$340</f>
        <v>0</v>
      </c>
      <c r="AE340" s="6">
        <f ca="1">$K$340*$Y$340</f>
        <v>172756.45913443615</v>
      </c>
      <c r="AF340" s="6">
        <f>$M$340*$Z$340</f>
        <v>0</v>
      </c>
      <c r="AG340" s="6">
        <f>$O$340*$AA$340</f>
        <v>0</v>
      </c>
    </row>
    <row r="341" spans="1:33" ht="11.25" customHeight="1" x14ac:dyDescent="0.25">
      <c r="A341" s="4" t="s">
        <v>21</v>
      </c>
      <c r="B341" s="4" t="s">
        <v>41</v>
      </c>
      <c r="C341" s="4" t="s">
        <v>40</v>
      </c>
      <c r="D341" s="4" t="s">
        <v>43</v>
      </c>
      <c r="E341" s="4" t="s">
        <v>25</v>
      </c>
      <c r="F341" s="4" t="s">
        <v>25</v>
      </c>
      <c r="G341" s="4" t="s">
        <v>25</v>
      </c>
      <c r="H341" s="4" t="s">
        <v>35</v>
      </c>
      <c r="I341" s="5">
        <v>44409</v>
      </c>
      <c r="J341" s="6">
        <v>6610</v>
      </c>
      <c r="K341" s="6">
        <v>6610</v>
      </c>
      <c r="L341" s="6">
        <v>2260.0410000000002</v>
      </c>
      <c r="M341" s="6">
        <v>2260.0410000000002</v>
      </c>
      <c r="N341" s="6">
        <v>2260.0410000000002</v>
      </c>
      <c r="O341" s="6">
        <v>2260.0410000000002</v>
      </c>
      <c r="P341" s="6">
        <v>0</v>
      </c>
      <c r="Q341" s="4" t="s">
        <v>26</v>
      </c>
      <c r="R341" s="4">
        <v>0</v>
      </c>
      <c r="S341" s="6">
        <v>20</v>
      </c>
      <c r="T341" s="6">
        <v>22</v>
      </c>
      <c r="U341" s="6">
        <v>67</v>
      </c>
      <c r="V341" s="6">
        <f>IF(ISERROR(VLOOKUP($S$341,'TAR FIN'!$A$1:$O$104,15,0)),0,VLOOKUP($S$341,'TAR FIN'!$A$1:$O$104,15,0))</f>
        <v>26.22</v>
      </c>
      <c r="W341" s="6">
        <f>IF(ISERROR(VLOOKUP($T$341,'TAR FIN'!$A$1:$O$104,15,0)),0,VLOOKUP($T$341,'TAR FIN'!$A$1:$O$104,15,0))</f>
        <v>62.57</v>
      </c>
      <c r="X341" s="6">
        <f>IF(ISERROR(VLOOKUP($U$341,'TAR FIN'!$A$1:$O$104,15,0)),0,VLOOKUP($U$341,'TAR FIN'!$A$1:$O$104,15,0))</f>
        <v>242.82</v>
      </c>
      <c r="Y341" s="6">
        <f ca="1">('TUSD BE'!$AM$14+'TUSD BF'!$AM$14+'TUSD CVA'!$AM$14)*1</f>
        <v>26.280164278980507</v>
      </c>
      <c r="Z341" s="6">
        <f ca="1">('TUSD BE'!$AM$15+'TUSD BF'!$AM$15+'TUSD CVA'!$AM$15)*1</f>
        <v>77.876201961015255</v>
      </c>
      <c r="AA341" s="6">
        <f>('TE BE'!$AB$8+'TE BF'!$AB$8+'TE CVA'!$AB$8)*1</f>
        <v>231.76257384332172</v>
      </c>
      <c r="AB341" s="6">
        <f>$K$341*$V$341</f>
        <v>173314.19999999998</v>
      </c>
      <c r="AC341" s="6">
        <f>$M$341*$W$341</f>
        <v>141410.76537000001</v>
      </c>
      <c r="AD341" s="6">
        <f>$O$341*$X$341</f>
        <v>548783.15561999998</v>
      </c>
      <c r="AE341" s="6">
        <f ca="1">$K$341*$Y$341</f>
        <v>173711.88588406116</v>
      </c>
      <c r="AF341" s="6">
        <f ca="1">$M$341*$Z$341</f>
        <v>176003.4093561749</v>
      </c>
      <c r="AG341" s="6">
        <f>$O$341*$AA$341</f>
        <v>523792.91915143467</v>
      </c>
    </row>
    <row r="342" spans="1:33" ht="11.25" customHeight="1" x14ac:dyDescent="0.25">
      <c r="A342" s="4" t="s">
        <v>28</v>
      </c>
      <c r="B342" s="4" t="s">
        <v>41</v>
      </c>
      <c r="C342" s="4" t="s">
        <v>40</v>
      </c>
      <c r="D342" s="4" t="s">
        <v>43</v>
      </c>
      <c r="E342" s="4" t="s">
        <v>25</v>
      </c>
      <c r="F342" s="4" t="s">
        <v>25</v>
      </c>
      <c r="G342" s="4" t="s">
        <v>25</v>
      </c>
      <c r="H342" s="4" t="s">
        <v>35</v>
      </c>
      <c r="I342" s="5">
        <v>44409</v>
      </c>
      <c r="J342" s="6">
        <v>125</v>
      </c>
      <c r="K342" s="6">
        <v>125</v>
      </c>
      <c r="L342" s="6">
        <v>15.191000000000001</v>
      </c>
      <c r="M342" s="6">
        <v>15.191000000000001</v>
      </c>
      <c r="N342" s="6">
        <v>15.191000000000001</v>
      </c>
      <c r="O342" s="6">
        <v>15.191000000000001</v>
      </c>
      <c r="P342" s="6">
        <v>0</v>
      </c>
      <c r="Q342" s="4" t="s">
        <v>26</v>
      </c>
      <c r="R342" s="4">
        <v>0</v>
      </c>
      <c r="S342" s="6">
        <v>20</v>
      </c>
      <c r="T342" s="6">
        <v>22</v>
      </c>
      <c r="U342" s="6">
        <v>67</v>
      </c>
      <c r="V342" s="6">
        <f>IF(ISERROR(VLOOKUP($S$342,'TAR FIN'!$A$1:$O$104,15,0)),0,VLOOKUP($S$342,'TAR FIN'!$A$1:$O$104,15,0))</f>
        <v>26.22</v>
      </c>
      <c r="W342" s="6">
        <f>IF(ISERROR(VLOOKUP($T$342,'TAR FIN'!$A$1:$O$104,15,0)),0,VLOOKUP($T$342,'TAR FIN'!$A$1:$O$104,15,0))</f>
        <v>62.57</v>
      </c>
      <c r="X342" s="6">
        <f>IF(ISERROR(VLOOKUP($U$342,'TAR FIN'!$A$1:$O$104,15,0)),0,VLOOKUP($U$342,'TAR FIN'!$A$1:$O$104,15,0))</f>
        <v>242.82</v>
      </c>
      <c r="Y342" s="6">
        <f ca="1">('TUSD BE'!$AM$14+'TUSD BF'!$AM$14+'TUSD CVA'!$AM$14)*1</f>
        <v>26.280164278980507</v>
      </c>
      <c r="Z342" s="6">
        <f ca="1">('TUSD BE'!$AM$15+'TUSD BF'!$AM$15+'TUSD CVA'!$AM$15)*1</f>
        <v>77.876201961015255</v>
      </c>
      <c r="AA342" s="6">
        <f>('TE BE'!$AB$8+'TE BF'!$AB$8+'TE CVA'!$AB$8)*1</f>
        <v>231.76257384332172</v>
      </c>
      <c r="AB342" s="6">
        <f>$K$342*$V$342</f>
        <v>3277.5</v>
      </c>
      <c r="AC342" s="6">
        <f>$M$342*$W$342</f>
        <v>950.50087000000008</v>
      </c>
      <c r="AD342" s="6">
        <f>$O$342*$X$342</f>
        <v>3688.6786200000001</v>
      </c>
      <c r="AE342" s="6">
        <f ca="1">$K$342*$Y$342</f>
        <v>3285.0205348725635</v>
      </c>
      <c r="AF342" s="6">
        <f ca="1">$M$342*$Z$342</f>
        <v>1183.0173839897827</v>
      </c>
      <c r="AG342" s="6">
        <f>$O$342*$AA$342</f>
        <v>3520.7052592539003</v>
      </c>
    </row>
    <row r="343" spans="1:33" ht="11.25" customHeight="1" x14ac:dyDescent="0.25">
      <c r="A343" s="4" t="s">
        <v>28</v>
      </c>
      <c r="B343" s="4" t="s">
        <v>41</v>
      </c>
      <c r="C343" s="4" t="s">
        <v>40</v>
      </c>
      <c r="D343" s="4" t="s">
        <v>43</v>
      </c>
      <c r="E343" s="4" t="s">
        <v>25</v>
      </c>
      <c r="F343" s="4" t="s">
        <v>25</v>
      </c>
      <c r="G343" s="4" t="s">
        <v>25</v>
      </c>
      <c r="H343" s="4" t="s">
        <v>35</v>
      </c>
      <c r="I343" s="5">
        <v>44409</v>
      </c>
      <c r="J343" s="6">
        <v>-160</v>
      </c>
      <c r="K343" s="6">
        <v>-160</v>
      </c>
      <c r="L343" s="6">
        <v>2.1419999999999999</v>
      </c>
      <c r="M343" s="6">
        <v>2.1419999999999999</v>
      </c>
      <c r="N343" s="6">
        <v>2.1419999999999999</v>
      </c>
      <c r="O343" s="6">
        <v>2.1419999999999999</v>
      </c>
      <c r="P343" s="6">
        <v>0</v>
      </c>
      <c r="Q343" s="4" t="s">
        <v>26</v>
      </c>
      <c r="R343" s="4">
        <v>0</v>
      </c>
      <c r="S343" s="6">
        <v>20</v>
      </c>
      <c r="T343" s="6">
        <v>22</v>
      </c>
      <c r="U343" s="6">
        <v>67</v>
      </c>
      <c r="V343" s="6">
        <f>IF(ISERROR(VLOOKUP($S$343,'TAR FIN'!$A$1:$O$104,15,0)),0,VLOOKUP($S$343,'TAR FIN'!$A$1:$O$104,15,0))</f>
        <v>26.22</v>
      </c>
      <c r="W343" s="6">
        <f>IF(ISERROR(VLOOKUP($T$343,'TAR FIN'!$A$1:$O$104,15,0)),0,VLOOKUP($T$343,'TAR FIN'!$A$1:$O$104,15,0))</f>
        <v>62.57</v>
      </c>
      <c r="X343" s="6">
        <f>IF(ISERROR(VLOOKUP($U$343,'TAR FIN'!$A$1:$O$104,15,0)),0,VLOOKUP($U$343,'TAR FIN'!$A$1:$O$104,15,0))</f>
        <v>242.82</v>
      </c>
      <c r="Y343" s="6">
        <f ca="1">('TUSD BE'!$AM$14+'TUSD BF'!$AM$14+'TUSD CVA'!$AM$14)*1</f>
        <v>26.280164278980507</v>
      </c>
      <c r="Z343" s="6">
        <f ca="1">('TUSD BE'!$AM$15+'TUSD BF'!$AM$15+'TUSD CVA'!$AM$15)*1</f>
        <v>77.876201961015255</v>
      </c>
      <c r="AA343" s="6">
        <f>('TE BE'!$AB$8+'TE BF'!$AB$8+'TE CVA'!$AB$8)*1</f>
        <v>231.76257384332172</v>
      </c>
      <c r="AB343" s="6">
        <f>$K$343*$V$343</f>
        <v>-4195.2</v>
      </c>
      <c r="AC343" s="6">
        <f>$M$343*$W$343</f>
        <v>134.02493999999999</v>
      </c>
      <c r="AD343" s="6">
        <f>$O$343*$X$343</f>
        <v>520.12043999999992</v>
      </c>
      <c r="AE343" s="6">
        <f ca="1">$K$343*$Y$343</f>
        <v>-4204.8262846368816</v>
      </c>
      <c r="AF343" s="6">
        <f ca="1">$M$343*$Z$343</f>
        <v>166.81082460049467</v>
      </c>
      <c r="AG343" s="6">
        <f>$O$343*$AA$343</f>
        <v>496.43543317239511</v>
      </c>
    </row>
    <row r="344" spans="1:33" ht="11.25" customHeight="1" x14ac:dyDescent="0.25">
      <c r="A344" s="4" t="s">
        <v>21</v>
      </c>
      <c r="B344" s="4" t="s">
        <v>41</v>
      </c>
      <c r="C344" s="4" t="s">
        <v>40</v>
      </c>
      <c r="D344" s="4" t="s">
        <v>43</v>
      </c>
      <c r="E344" s="4" t="s">
        <v>25</v>
      </c>
      <c r="F344" s="4" t="s">
        <v>25</v>
      </c>
      <c r="G344" s="4" t="s">
        <v>25</v>
      </c>
      <c r="H344" s="4" t="s">
        <v>35</v>
      </c>
      <c r="I344" s="5">
        <v>44409</v>
      </c>
      <c r="J344" s="6">
        <v>70</v>
      </c>
      <c r="K344" s="6">
        <v>70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4" t="s">
        <v>58</v>
      </c>
      <c r="R344" s="4">
        <v>0</v>
      </c>
      <c r="S344" s="6">
        <v>20</v>
      </c>
      <c r="T344" s="6">
        <v>0</v>
      </c>
      <c r="U344" s="6">
        <v>0</v>
      </c>
      <c r="V344" s="6">
        <f>IF(ISERROR(VLOOKUP($S$344,'TAR FIN'!$A$1:$O$104,15,0)),0,VLOOKUP($S$344,'TAR FIN'!$A$1:$O$104,15,0))</f>
        <v>26.22</v>
      </c>
      <c r="W344" s="6">
        <f>IF(ISERROR(VLOOKUP($T$344,'TAR FIN'!$A$1:$O$104,15,0)),0,VLOOKUP($T$344,'TAR FIN'!$A$1:$O$104,15,0))</f>
        <v>0</v>
      </c>
      <c r="X344" s="6">
        <f>IF(ISERROR(VLOOKUP($U$344,'TAR FIN'!$A$1:$O$104,15,0)),0,VLOOKUP($U$344,'TAR FIN'!$A$1:$O$104,15,0))</f>
        <v>0</v>
      </c>
      <c r="Y344" s="6">
        <f ca="1">('TUSD BE'!$AM$14+'TUSD BF'!$AM$14+'TUSD CVA'!$AM$14)*1</f>
        <v>26.280164278980507</v>
      </c>
      <c r="Z344" s="6">
        <f ca="1">('TUSD BE'!$AM$15+'TUSD BF'!$AM$15+'TUSD CVA'!$AM$15)*1</f>
        <v>77.876201961015255</v>
      </c>
      <c r="AA344" s="6"/>
      <c r="AB344" s="6">
        <f>$K$344*$V$344</f>
        <v>1835.3999999999999</v>
      </c>
      <c r="AC344" s="6">
        <f>$M$344*$W$344</f>
        <v>0</v>
      </c>
      <c r="AD344" s="6">
        <f>$O$344*$X$344</f>
        <v>0</v>
      </c>
      <c r="AE344" s="6">
        <f ca="1">$K$344*$Y$344</f>
        <v>1839.6114995286355</v>
      </c>
      <c r="AF344" s="6">
        <f ca="1">$M$344*$Z$344</f>
        <v>0</v>
      </c>
      <c r="AG344" s="6">
        <f>$O$344*$AA$344</f>
        <v>0</v>
      </c>
    </row>
    <row r="345" spans="1:33" ht="11.25" customHeight="1" x14ac:dyDescent="0.25">
      <c r="A345" s="4" t="s">
        <v>21</v>
      </c>
      <c r="B345" s="4" t="s">
        <v>41</v>
      </c>
      <c r="C345" s="4" t="s">
        <v>40</v>
      </c>
      <c r="D345" s="4" t="s">
        <v>43</v>
      </c>
      <c r="E345" s="4" t="s">
        <v>25</v>
      </c>
      <c r="F345" s="4" t="s">
        <v>25</v>
      </c>
      <c r="G345" s="4" t="s">
        <v>25</v>
      </c>
      <c r="H345" s="4" t="s">
        <v>35</v>
      </c>
      <c r="I345" s="5">
        <v>44440</v>
      </c>
      <c r="J345" s="6">
        <v>6809</v>
      </c>
      <c r="K345" s="6">
        <v>6809</v>
      </c>
      <c r="L345" s="6">
        <v>2341.3330000000001</v>
      </c>
      <c r="M345" s="6">
        <v>2341.3330000000001</v>
      </c>
      <c r="N345" s="6">
        <v>2341.3330000000001</v>
      </c>
      <c r="O345" s="6">
        <v>2341.3330000000001</v>
      </c>
      <c r="P345" s="6">
        <v>0</v>
      </c>
      <c r="Q345" s="4" t="s">
        <v>26</v>
      </c>
      <c r="R345" s="4">
        <v>0</v>
      </c>
      <c r="S345" s="6">
        <v>20</v>
      </c>
      <c r="T345" s="6">
        <v>22</v>
      </c>
      <c r="U345" s="6">
        <v>67</v>
      </c>
      <c r="V345" s="6">
        <f>IF(ISERROR(VLOOKUP($S$345,'TAR FIN'!$A$1:$O$104,15,0)),0,VLOOKUP($S$345,'TAR FIN'!$A$1:$O$104,15,0))</f>
        <v>26.22</v>
      </c>
      <c r="W345" s="6">
        <f>IF(ISERROR(VLOOKUP($T$345,'TAR FIN'!$A$1:$O$104,15,0)),0,VLOOKUP($T$345,'TAR FIN'!$A$1:$O$104,15,0))</f>
        <v>62.57</v>
      </c>
      <c r="X345" s="6">
        <f>IF(ISERROR(VLOOKUP($U$345,'TAR FIN'!$A$1:$O$104,15,0)),0,VLOOKUP($U$345,'TAR FIN'!$A$1:$O$104,15,0))</f>
        <v>242.82</v>
      </c>
      <c r="Y345" s="6">
        <f ca="1">('TUSD BE'!$AM$14+'TUSD BF'!$AM$14+'TUSD CVA'!$AM$14)*1</f>
        <v>26.280164278980507</v>
      </c>
      <c r="Z345" s="6">
        <f ca="1">('TUSD BE'!$AM$15+'TUSD BF'!$AM$15+'TUSD CVA'!$AM$15)*1</f>
        <v>77.876201961015255</v>
      </c>
      <c r="AA345" s="6">
        <f>('TE BE'!$AB$8+'TE BF'!$AB$8+'TE CVA'!$AB$8)*1</f>
        <v>231.76257384332172</v>
      </c>
      <c r="AB345" s="6">
        <f>$K$345*$V$345</f>
        <v>178531.97999999998</v>
      </c>
      <c r="AC345" s="6">
        <f>$M$345*$W$345</f>
        <v>146497.20581000001</v>
      </c>
      <c r="AD345" s="6">
        <f>$O$345*$X$345</f>
        <v>568522.47906000004</v>
      </c>
      <c r="AE345" s="6">
        <f ca="1">$K$345*$Y$345</f>
        <v>178941.63857557828</v>
      </c>
      <c r="AF345" s="6">
        <f ca="1">$M$345*$Z$345</f>
        <v>182334.12156598974</v>
      </c>
      <c r="AG345" s="6">
        <f>$O$345*$AA$345</f>
        <v>542633.36230430601</v>
      </c>
    </row>
    <row r="346" spans="1:33" ht="11.25" customHeight="1" x14ac:dyDescent="0.25">
      <c r="A346" s="4" t="s">
        <v>28</v>
      </c>
      <c r="B346" s="4" t="s">
        <v>41</v>
      </c>
      <c r="C346" s="4" t="s">
        <v>40</v>
      </c>
      <c r="D346" s="4" t="s">
        <v>43</v>
      </c>
      <c r="E346" s="4" t="s">
        <v>25</v>
      </c>
      <c r="F346" s="4" t="s">
        <v>25</v>
      </c>
      <c r="G346" s="4" t="s">
        <v>25</v>
      </c>
      <c r="H346" s="4" t="s">
        <v>35</v>
      </c>
      <c r="I346" s="5">
        <v>44440</v>
      </c>
      <c r="J346" s="6">
        <v>125</v>
      </c>
      <c r="K346" s="6">
        <v>125</v>
      </c>
      <c r="L346" s="6">
        <v>14.555</v>
      </c>
      <c r="M346" s="6">
        <v>14.555</v>
      </c>
      <c r="N346" s="6">
        <v>14.555</v>
      </c>
      <c r="O346" s="6">
        <v>14.555</v>
      </c>
      <c r="P346" s="6">
        <v>0</v>
      </c>
      <c r="Q346" s="4" t="s">
        <v>26</v>
      </c>
      <c r="R346" s="4">
        <v>0</v>
      </c>
      <c r="S346" s="6">
        <v>20</v>
      </c>
      <c r="T346" s="6">
        <v>22</v>
      </c>
      <c r="U346" s="6">
        <v>67</v>
      </c>
      <c r="V346" s="6">
        <f>IF(ISERROR(VLOOKUP($S$346,'TAR FIN'!$A$1:$O$104,15,0)),0,VLOOKUP($S$346,'TAR FIN'!$A$1:$O$104,15,0))</f>
        <v>26.22</v>
      </c>
      <c r="W346" s="6">
        <f>IF(ISERROR(VLOOKUP($T$346,'TAR FIN'!$A$1:$O$104,15,0)),0,VLOOKUP($T$346,'TAR FIN'!$A$1:$O$104,15,0))</f>
        <v>62.57</v>
      </c>
      <c r="X346" s="6">
        <f>IF(ISERROR(VLOOKUP($U$346,'TAR FIN'!$A$1:$O$104,15,0)),0,VLOOKUP($U$346,'TAR FIN'!$A$1:$O$104,15,0))</f>
        <v>242.82</v>
      </c>
      <c r="Y346" s="6">
        <f ca="1">('TUSD BE'!$AM$14+'TUSD BF'!$AM$14+'TUSD CVA'!$AM$14)*1</f>
        <v>26.280164278980507</v>
      </c>
      <c r="Z346" s="6">
        <f ca="1">('TUSD BE'!$AM$15+'TUSD BF'!$AM$15+'TUSD CVA'!$AM$15)*1</f>
        <v>77.876201961015255</v>
      </c>
      <c r="AA346" s="6">
        <f>('TE BE'!$AB$8+'TE BF'!$AB$8+'TE CVA'!$AB$8)*1</f>
        <v>231.76257384332172</v>
      </c>
      <c r="AB346" s="6">
        <f>$K$346*$V$346</f>
        <v>3277.5</v>
      </c>
      <c r="AC346" s="6">
        <f>$M$346*$W$346</f>
        <v>910.70635000000004</v>
      </c>
      <c r="AD346" s="6">
        <f>$O$346*$X$346</f>
        <v>3534.2450999999996</v>
      </c>
      <c r="AE346" s="6">
        <f ca="1">$K$346*$Y$346</f>
        <v>3285.0205348725635</v>
      </c>
      <c r="AF346" s="6">
        <f ca="1">$M$346*$Z$346</f>
        <v>1133.4881195425771</v>
      </c>
      <c r="AG346" s="6">
        <f>$O$346*$AA$346</f>
        <v>3373.3042622895478</v>
      </c>
    </row>
    <row r="347" spans="1:33" ht="11.25" customHeight="1" x14ac:dyDescent="0.25">
      <c r="A347" s="4" t="s">
        <v>21</v>
      </c>
      <c r="B347" s="4" t="s">
        <v>41</v>
      </c>
      <c r="C347" s="4" t="s">
        <v>40</v>
      </c>
      <c r="D347" s="4" t="s">
        <v>43</v>
      </c>
      <c r="E347" s="4" t="s">
        <v>25</v>
      </c>
      <c r="F347" s="4" t="s">
        <v>25</v>
      </c>
      <c r="G347" s="4" t="s">
        <v>25</v>
      </c>
      <c r="H347" s="4" t="s">
        <v>35</v>
      </c>
      <c r="I347" s="5">
        <v>44470</v>
      </c>
      <c r="J347" s="6">
        <v>6593</v>
      </c>
      <c r="K347" s="6">
        <v>6593</v>
      </c>
      <c r="L347" s="6">
        <v>2396.6849999999999</v>
      </c>
      <c r="M347" s="6">
        <v>2396.6849999999999</v>
      </c>
      <c r="N347" s="6">
        <v>2396.6849999999999</v>
      </c>
      <c r="O347" s="6">
        <v>2396.6849999999999</v>
      </c>
      <c r="P347" s="6">
        <v>0</v>
      </c>
      <c r="Q347" s="4" t="s">
        <v>26</v>
      </c>
      <c r="R347" s="4">
        <v>0</v>
      </c>
      <c r="S347" s="6">
        <v>20</v>
      </c>
      <c r="T347" s="6">
        <v>22</v>
      </c>
      <c r="U347" s="6">
        <v>67</v>
      </c>
      <c r="V347" s="6">
        <f>IF(ISERROR(VLOOKUP($S$347,'TAR FIN'!$A$1:$O$104,15,0)),0,VLOOKUP($S$347,'TAR FIN'!$A$1:$O$104,15,0))</f>
        <v>26.22</v>
      </c>
      <c r="W347" s="6">
        <f>IF(ISERROR(VLOOKUP($T$347,'TAR FIN'!$A$1:$O$104,15,0)),0,VLOOKUP($T$347,'TAR FIN'!$A$1:$O$104,15,0))</f>
        <v>62.57</v>
      </c>
      <c r="X347" s="6">
        <f>IF(ISERROR(VLOOKUP($U$347,'TAR FIN'!$A$1:$O$104,15,0)),0,VLOOKUP($U$347,'TAR FIN'!$A$1:$O$104,15,0))</f>
        <v>242.82</v>
      </c>
      <c r="Y347" s="6">
        <f ca="1">('TUSD BE'!$AM$14+'TUSD BF'!$AM$14+'TUSD CVA'!$AM$14)*1</f>
        <v>26.280164278980507</v>
      </c>
      <c r="Z347" s="6">
        <f ca="1">('TUSD BE'!$AM$15+'TUSD BF'!$AM$15+'TUSD CVA'!$AM$15)*1</f>
        <v>77.876201961015255</v>
      </c>
      <c r="AA347" s="6">
        <f>('TE BE'!$AB$8+'TE BF'!$AB$8+'TE CVA'!$AB$8)*1</f>
        <v>231.76257384332172</v>
      </c>
      <c r="AB347" s="6">
        <f>$K$347*$V$347</f>
        <v>172868.46</v>
      </c>
      <c r="AC347" s="6">
        <f>$M$347*$W$347</f>
        <v>149960.58045000001</v>
      </c>
      <c r="AD347" s="6">
        <f>$O$347*$X$347</f>
        <v>581963.05169999995</v>
      </c>
      <c r="AE347" s="6">
        <f ca="1">$K$347*$Y$347</f>
        <v>173265.12309131847</v>
      </c>
      <c r="AF347" s="6">
        <f ca="1">$M$347*$Z$347</f>
        <v>186644.72509693584</v>
      </c>
      <c r="AG347" s="6">
        <f>$O$347*$AA$347</f>
        <v>555461.88429168146</v>
      </c>
    </row>
    <row r="348" spans="1:33" ht="11.25" customHeight="1" x14ac:dyDescent="0.25">
      <c r="A348" s="4" t="s">
        <v>28</v>
      </c>
      <c r="B348" s="4" t="s">
        <v>41</v>
      </c>
      <c r="C348" s="4" t="s">
        <v>40</v>
      </c>
      <c r="D348" s="4" t="s">
        <v>43</v>
      </c>
      <c r="E348" s="4" t="s">
        <v>25</v>
      </c>
      <c r="F348" s="4" t="s">
        <v>25</v>
      </c>
      <c r="G348" s="4" t="s">
        <v>25</v>
      </c>
      <c r="H348" s="4" t="s">
        <v>35</v>
      </c>
      <c r="I348" s="5">
        <v>44470</v>
      </c>
      <c r="J348" s="6">
        <v>155</v>
      </c>
      <c r="K348" s="6">
        <v>155</v>
      </c>
      <c r="L348" s="6">
        <v>23.007000000000001</v>
      </c>
      <c r="M348" s="6">
        <v>23.007000000000001</v>
      </c>
      <c r="N348" s="6">
        <v>23.007000000000001</v>
      </c>
      <c r="O348" s="6">
        <v>23.007000000000001</v>
      </c>
      <c r="P348" s="6">
        <v>0</v>
      </c>
      <c r="Q348" s="4" t="s">
        <v>26</v>
      </c>
      <c r="R348" s="4">
        <v>0</v>
      </c>
      <c r="S348" s="6">
        <v>20</v>
      </c>
      <c r="T348" s="6">
        <v>22</v>
      </c>
      <c r="U348" s="6">
        <v>67</v>
      </c>
      <c r="V348" s="6">
        <f>IF(ISERROR(VLOOKUP($S$348,'TAR FIN'!$A$1:$O$104,15,0)),0,VLOOKUP($S$348,'TAR FIN'!$A$1:$O$104,15,0))</f>
        <v>26.22</v>
      </c>
      <c r="W348" s="6">
        <f>IF(ISERROR(VLOOKUP($T$348,'TAR FIN'!$A$1:$O$104,15,0)),0,VLOOKUP($T$348,'TAR FIN'!$A$1:$O$104,15,0))</f>
        <v>62.57</v>
      </c>
      <c r="X348" s="6">
        <f>IF(ISERROR(VLOOKUP($U$348,'TAR FIN'!$A$1:$O$104,15,0)),0,VLOOKUP($U$348,'TAR FIN'!$A$1:$O$104,15,0))</f>
        <v>242.82</v>
      </c>
      <c r="Y348" s="6">
        <f ca="1">('TUSD BE'!$AM$14+'TUSD BF'!$AM$14+'TUSD CVA'!$AM$14)*1</f>
        <v>26.280164278980507</v>
      </c>
      <c r="Z348" s="6">
        <f ca="1">('TUSD BE'!$AM$15+'TUSD BF'!$AM$15+'TUSD CVA'!$AM$15)*1</f>
        <v>77.876201961015255</v>
      </c>
      <c r="AA348" s="6">
        <f>('TE BE'!$AB$8+'TE BF'!$AB$8+'TE CVA'!$AB$8)*1</f>
        <v>231.76257384332172</v>
      </c>
      <c r="AB348" s="6">
        <f>$K$348*$V$348</f>
        <v>4064.1</v>
      </c>
      <c r="AC348" s="6">
        <f>$M$348*$W$348</f>
        <v>1439.54799</v>
      </c>
      <c r="AD348" s="6">
        <f>$O$348*$X$348</f>
        <v>5586.5597400000006</v>
      </c>
      <c r="AE348" s="6">
        <f ca="1">$K$348*$Y$348</f>
        <v>4073.4254632419788</v>
      </c>
      <c r="AF348" s="6">
        <f ca="1">$M$348*$Z$348</f>
        <v>1791.6977785170782</v>
      </c>
      <c r="AG348" s="6">
        <f>$O$348*$AA$348</f>
        <v>5332.1615364133031</v>
      </c>
    </row>
    <row r="349" spans="1:33" ht="11.25" customHeight="1" x14ac:dyDescent="0.25">
      <c r="A349" s="4" t="s">
        <v>21</v>
      </c>
      <c r="B349" s="4" t="s">
        <v>41</v>
      </c>
      <c r="C349" s="4" t="s">
        <v>40</v>
      </c>
      <c r="D349" s="4" t="s">
        <v>43</v>
      </c>
      <c r="E349" s="4" t="s">
        <v>25</v>
      </c>
      <c r="F349" s="4" t="s">
        <v>25</v>
      </c>
      <c r="G349" s="4" t="s">
        <v>25</v>
      </c>
      <c r="H349" s="4" t="s">
        <v>35</v>
      </c>
      <c r="I349" s="5">
        <v>44501</v>
      </c>
      <c r="J349" s="6">
        <v>7123</v>
      </c>
      <c r="K349" s="6">
        <v>7123</v>
      </c>
      <c r="L349" s="6">
        <v>2465.6750000000002</v>
      </c>
      <c r="M349" s="6">
        <v>2465.6750000000002</v>
      </c>
      <c r="N349" s="6">
        <v>2465.6750000000002</v>
      </c>
      <c r="O349" s="6">
        <v>2465.6750000000002</v>
      </c>
      <c r="P349" s="6">
        <v>0</v>
      </c>
      <c r="Q349" s="4" t="s">
        <v>26</v>
      </c>
      <c r="R349" s="4">
        <v>0</v>
      </c>
      <c r="S349" s="6">
        <v>20</v>
      </c>
      <c r="T349" s="6">
        <v>22</v>
      </c>
      <c r="U349" s="6">
        <v>67</v>
      </c>
      <c r="V349" s="6">
        <f>IF(ISERROR(VLOOKUP($S$349,'TAR FIN'!$A$1:$O$104,15,0)),0,VLOOKUP($S$349,'TAR FIN'!$A$1:$O$104,15,0))</f>
        <v>26.22</v>
      </c>
      <c r="W349" s="6">
        <f>IF(ISERROR(VLOOKUP($T$349,'TAR FIN'!$A$1:$O$104,15,0)),0,VLOOKUP($T$349,'TAR FIN'!$A$1:$O$104,15,0))</f>
        <v>62.57</v>
      </c>
      <c r="X349" s="6">
        <f>IF(ISERROR(VLOOKUP($U$349,'TAR FIN'!$A$1:$O$104,15,0)),0,VLOOKUP($U$349,'TAR FIN'!$A$1:$O$104,15,0))</f>
        <v>242.82</v>
      </c>
      <c r="Y349" s="6">
        <f ca="1">('TUSD BE'!$AM$14+'TUSD BF'!$AM$14+'TUSD CVA'!$AM$14)*1</f>
        <v>26.280164278980507</v>
      </c>
      <c r="Z349" s="6">
        <f ca="1">('TUSD BE'!$AM$15+'TUSD BF'!$AM$15+'TUSD CVA'!$AM$15)*1</f>
        <v>77.876201961015255</v>
      </c>
      <c r="AA349" s="6">
        <f>('TE BE'!$AB$8+'TE BF'!$AB$8+'TE CVA'!$AB$8)*1</f>
        <v>231.76257384332172</v>
      </c>
      <c r="AB349" s="6">
        <f>$K$349*$V$349</f>
        <v>186765.06</v>
      </c>
      <c r="AC349" s="6">
        <f>$M$349*$W$349</f>
        <v>154277.28475000002</v>
      </c>
      <c r="AD349" s="6">
        <f>$O$349*$X$349</f>
        <v>598715.20350000006</v>
      </c>
      <c r="AE349" s="6">
        <f ca="1">$K$349*$Y$349</f>
        <v>187193.61015917815</v>
      </c>
      <c r="AF349" s="6">
        <f ca="1">$M$349*$Z$349</f>
        <v>192017.40427022631</v>
      </c>
      <c r="AG349" s="6">
        <f>$O$349*$AA$349</f>
        <v>571451.18426113226</v>
      </c>
    </row>
    <row r="350" spans="1:33" ht="11.25" customHeight="1" x14ac:dyDescent="0.25">
      <c r="A350" s="4" t="s">
        <v>27</v>
      </c>
      <c r="B350" s="4" t="s">
        <v>41</v>
      </c>
      <c r="C350" s="4" t="s">
        <v>40</v>
      </c>
      <c r="D350" s="4" t="s">
        <v>43</v>
      </c>
      <c r="E350" s="4" t="s">
        <v>25</v>
      </c>
      <c r="F350" s="4" t="s">
        <v>25</v>
      </c>
      <c r="G350" s="4" t="s">
        <v>25</v>
      </c>
      <c r="H350" s="4" t="s">
        <v>35</v>
      </c>
      <c r="I350" s="5">
        <v>44501</v>
      </c>
      <c r="J350" s="6">
        <v>30</v>
      </c>
      <c r="K350" s="6">
        <v>30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4" t="s">
        <v>26</v>
      </c>
      <c r="R350" s="4">
        <v>0</v>
      </c>
      <c r="S350" s="6">
        <v>20</v>
      </c>
      <c r="T350" s="6">
        <v>0</v>
      </c>
      <c r="U350" s="6">
        <v>0</v>
      </c>
      <c r="V350" s="6">
        <f>IF(ISERROR(VLOOKUP($S$350,'TAR FIN'!$A$1:$O$104,15,0)),0,VLOOKUP($S$350,'TAR FIN'!$A$1:$O$104,15,0))</f>
        <v>26.22</v>
      </c>
      <c r="W350" s="6">
        <f>IF(ISERROR(VLOOKUP($T$350,'TAR FIN'!$A$1:$O$104,15,0)),0,VLOOKUP($T$350,'TAR FIN'!$A$1:$O$104,15,0))</f>
        <v>0</v>
      </c>
      <c r="X350" s="6">
        <f>IF(ISERROR(VLOOKUP($U$350,'TAR FIN'!$A$1:$O$104,15,0)),0,VLOOKUP($U$350,'TAR FIN'!$A$1:$O$104,15,0))</f>
        <v>0</v>
      </c>
      <c r="Y350" s="6">
        <f ca="1">('TUSD BE'!$AM$14+'TUSD BF'!$AM$14+'TUSD CVA'!$AM$14)*1</f>
        <v>26.280164278980507</v>
      </c>
      <c r="Z350" s="6">
        <f ca="1">('TUSD BE'!$AM$15+'TUSD BF'!$AM$15+'TUSD CVA'!$AM$15)*1</f>
        <v>77.876201961015255</v>
      </c>
      <c r="AA350" s="6">
        <f>('TE BE'!$AB$8+'TE BF'!$AB$8+'TE CVA'!$AB$8)*1</f>
        <v>231.76257384332172</v>
      </c>
      <c r="AB350" s="6">
        <f>$K$350*$V$350</f>
        <v>786.59999999999991</v>
      </c>
      <c r="AC350" s="6">
        <f>$M$350*$W$350</f>
        <v>0</v>
      </c>
      <c r="AD350" s="6">
        <f>$O$350*$X$350</f>
        <v>0</v>
      </c>
      <c r="AE350" s="6">
        <f ca="1">$K$350*$Y$350</f>
        <v>788.40492836941519</v>
      </c>
      <c r="AF350" s="6">
        <f ca="1">$M$350*$Z$350</f>
        <v>0</v>
      </c>
      <c r="AG350" s="6">
        <f>$O$350*$AA$350</f>
        <v>0</v>
      </c>
    </row>
    <row r="351" spans="1:33" ht="11.25" customHeight="1" x14ac:dyDescent="0.25">
      <c r="A351" s="4" t="s">
        <v>28</v>
      </c>
      <c r="B351" s="4" t="s">
        <v>41</v>
      </c>
      <c r="C351" s="4" t="s">
        <v>40</v>
      </c>
      <c r="D351" s="4" t="s">
        <v>43</v>
      </c>
      <c r="E351" s="4" t="s">
        <v>25</v>
      </c>
      <c r="F351" s="4" t="s">
        <v>25</v>
      </c>
      <c r="G351" s="4" t="s">
        <v>25</v>
      </c>
      <c r="H351" s="4" t="s">
        <v>35</v>
      </c>
      <c r="I351" s="5">
        <v>44501</v>
      </c>
      <c r="J351" s="6">
        <v>155</v>
      </c>
      <c r="K351" s="6">
        <v>155</v>
      </c>
      <c r="L351" s="6">
        <v>36.808</v>
      </c>
      <c r="M351" s="6">
        <v>36.808</v>
      </c>
      <c r="N351" s="6">
        <v>36.808</v>
      </c>
      <c r="O351" s="6">
        <v>36.808</v>
      </c>
      <c r="P351" s="6">
        <v>0</v>
      </c>
      <c r="Q351" s="4" t="s">
        <v>26</v>
      </c>
      <c r="R351" s="4">
        <v>0</v>
      </c>
      <c r="S351" s="6">
        <v>20</v>
      </c>
      <c r="T351" s="6">
        <v>22</v>
      </c>
      <c r="U351" s="6">
        <v>67</v>
      </c>
      <c r="V351" s="6">
        <f>IF(ISERROR(VLOOKUP($S$351,'TAR FIN'!$A$1:$O$104,15,0)),0,VLOOKUP($S$351,'TAR FIN'!$A$1:$O$104,15,0))</f>
        <v>26.22</v>
      </c>
      <c r="W351" s="6">
        <f>IF(ISERROR(VLOOKUP($T$351,'TAR FIN'!$A$1:$O$104,15,0)),0,VLOOKUP($T$351,'TAR FIN'!$A$1:$O$104,15,0))</f>
        <v>62.57</v>
      </c>
      <c r="X351" s="6">
        <f>IF(ISERROR(VLOOKUP($U$351,'TAR FIN'!$A$1:$O$104,15,0)),0,VLOOKUP($U$351,'TAR FIN'!$A$1:$O$104,15,0))</f>
        <v>242.82</v>
      </c>
      <c r="Y351" s="6">
        <f ca="1">('TUSD BE'!$AM$14+'TUSD BF'!$AM$14+'TUSD CVA'!$AM$14)*1</f>
        <v>26.280164278980507</v>
      </c>
      <c r="Z351" s="6">
        <f ca="1">('TUSD BE'!$AM$15+'TUSD BF'!$AM$15+'TUSD CVA'!$AM$15)*1</f>
        <v>77.876201961015255</v>
      </c>
      <c r="AA351" s="6">
        <f>('TE BE'!$AB$8+'TE BF'!$AB$8+'TE CVA'!$AB$8)*1</f>
        <v>231.76257384332172</v>
      </c>
      <c r="AB351" s="6">
        <f>$K$351*$V$351</f>
        <v>4064.1</v>
      </c>
      <c r="AC351" s="6">
        <f>$M$351*$W$351</f>
        <v>2303.07656</v>
      </c>
      <c r="AD351" s="6">
        <f>$O$351*$X$351</f>
        <v>8937.7185599999993</v>
      </c>
      <c r="AE351" s="6">
        <f ca="1">$K$351*$Y$351</f>
        <v>4073.4254632419788</v>
      </c>
      <c r="AF351" s="6">
        <f ca="1">$M$351*$Z$351</f>
        <v>2866.4672417810493</v>
      </c>
      <c r="AG351" s="6">
        <f>$O$351*$AA$351</f>
        <v>8530.7168180249864</v>
      </c>
    </row>
    <row r="352" spans="1:33" ht="11.25" customHeight="1" x14ac:dyDescent="0.25">
      <c r="A352" s="4" t="s">
        <v>21</v>
      </c>
      <c r="B352" s="4" t="s">
        <v>41</v>
      </c>
      <c r="C352" s="4" t="s">
        <v>40</v>
      </c>
      <c r="D352" s="4" t="s">
        <v>43</v>
      </c>
      <c r="E352" s="4" t="s">
        <v>25</v>
      </c>
      <c r="F352" s="4" t="s">
        <v>25</v>
      </c>
      <c r="G352" s="4" t="s">
        <v>25</v>
      </c>
      <c r="H352" s="4" t="s">
        <v>35</v>
      </c>
      <c r="I352" s="5">
        <v>44531</v>
      </c>
      <c r="J352" s="6">
        <v>7380</v>
      </c>
      <c r="K352" s="6">
        <v>7380</v>
      </c>
      <c r="L352" s="6">
        <v>2648.634</v>
      </c>
      <c r="M352" s="6">
        <v>2648.634</v>
      </c>
      <c r="N352" s="6">
        <v>2648.634</v>
      </c>
      <c r="O352" s="6">
        <v>2648.634</v>
      </c>
      <c r="P352" s="6">
        <v>0</v>
      </c>
      <c r="Q352" s="4" t="s">
        <v>26</v>
      </c>
      <c r="R352" s="4">
        <v>0</v>
      </c>
      <c r="S352" s="6">
        <v>20</v>
      </c>
      <c r="T352" s="6">
        <v>22</v>
      </c>
      <c r="U352" s="6">
        <v>67</v>
      </c>
      <c r="V352" s="6">
        <f>IF(ISERROR(VLOOKUP($S$352,'TAR FIN'!$A$1:$O$104,15,0)),0,VLOOKUP($S$352,'TAR FIN'!$A$1:$O$104,15,0))</f>
        <v>26.22</v>
      </c>
      <c r="W352" s="6">
        <f>IF(ISERROR(VLOOKUP($T$352,'TAR FIN'!$A$1:$O$104,15,0)),0,VLOOKUP($T$352,'TAR FIN'!$A$1:$O$104,15,0))</f>
        <v>62.57</v>
      </c>
      <c r="X352" s="6">
        <f>IF(ISERROR(VLOOKUP($U$352,'TAR FIN'!$A$1:$O$104,15,0)),0,VLOOKUP($U$352,'TAR FIN'!$A$1:$O$104,15,0))</f>
        <v>242.82</v>
      </c>
      <c r="Y352" s="6">
        <f ca="1">('TUSD BE'!$AM$14+'TUSD BF'!$AM$14+'TUSD CVA'!$AM$14)*1</f>
        <v>26.280164278980507</v>
      </c>
      <c r="Z352" s="6">
        <f ca="1">('TUSD BE'!$AM$15+'TUSD BF'!$AM$15+'TUSD CVA'!$AM$15)*1</f>
        <v>77.876201961015255</v>
      </c>
      <c r="AA352" s="6">
        <f>('TE BE'!$AB$8+'TE BF'!$AB$8+'TE CVA'!$AB$8)*1</f>
        <v>231.76257384332172</v>
      </c>
      <c r="AB352" s="6">
        <f>$K$352*$V$352</f>
        <v>193503.6</v>
      </c>
      <c r="AC352" s="6">
        <f>$M$352*$W$352</f>
        <v>165725.02937999999</v>
      </c>
      <c r="AD352" s="6">
        <f>$O$352*$X$352</f>
        <v>643141.30787999998</v>
      </c>
      <c r="AE352" s="6">
        <f ca="1">$K$352*$Y$352</f>
        <v>193947.61237887613</v>
      </c>
      <c r="AF352" s="6">
        <f ca="1">$M$352*$Z$352</f>
        <v>206265.55630481167</v>
      </c>
      <c r="AG352" s="6">
        <f>$O$352*$AA$352</f>
        <v>613854.23300893256</v>
      </c>
    </row>
    <row r="353" spans="1:33" ht="11.25" customHeight="1" x14ac:dyDescent="0.25">
      <c r="A353" s="4" t="s">
        <v>28</v>
      </c>
      <c r="B353" s="4" t="s">
        <v>41</v>
      </c>
      <c r="C353" s="4" t="s">
        <v>40</v>
      </c>
      <c r="D353" s="4" t="s">
        <v>43</v>
      </c>
      <c r="E353" s="4" t="s">
        <v>25</v>
      </c>
      <c r="F353" s="4" t="s">
        <v>25</v>
      </c>
      <c r="G353" s="4" t="s">
        <v>25</v>
      </c>
      <c r="H353" s="4" t="s">
        <v>35</v>
      </c>
      <c r="I353" s="5">
        <v>44531</v>
      </c>
      <c r="J353" s="6">
        <v>155</v>
      </c>
      <c r="K353" s="6">
        <v>155</v>
      </c>
      <c r="L353" s="6">
        <v>33.165999999999997</v>
      </c>
      <c r="M353" s="6">
        <v>33.165999999999997</v>
      </c>
      <c r="N353" s="6">
        <v>33.165999999999997</v>
      </c>
      <c r="O353" s="6">
        <v>33.165999999999997</v>
      </c>
      <c r="P353" s="6">
        <v>0</v>
      </c>
      <c r="Q353" s="4" t="s">
        <v>26</v>
      </c>
      <c r="R353" s="4">
        <v>0</v>
      </c>
      <c r="S353" s="6">
        <v>20</v>
      </c>
      <c r="T353" s="6">
        <v>22</v>
      </c>
      <c r="U353" s="6">
        <v>67</v>
      </c>
      <c r="V353" s="6">
        <f>IF(ISERROR(VLOOKUP($S$353,'TAR FIN'!$A$1:$O$104,15,0)),0,VLOOKUP($S$353,'TAR FIN'!$A$1:$O$104,15,0))</f>
        <v>26.22</v>
      </c>
      <c r="W353" s="6">
        <f>IF(ISERROR(VLOOKUP($T$353,'TAR FIN'!$A$1:$O$104,15,0)),0,VLOOKUP($T$353,'TAR FIN'!$A$1:$O$104,15,0))</f>
        <v>62.57</v>
      </c>
      <c r="X353" s="6">
        <f>IF(ISERROR(VLOOKUP($U$353,'TAR FIN'!$A$1:$O$104,15,0)),0,VLOOKUP($U$353,'TAR FIN'!$A$1:$O$104,15,0))</f>
        <v>242.82</v>
      </c>
      <c r="Y353" s="6">
        <f ca="1">('TUSD BE'!$AM$14+'TUSD BF'!$AM$14+'TUSD CVA'!$AM$14)*1</f>
        <v>26.280164278980507</v>
      </c>
      <c r="Z353" s="6">
        <f ca="1">('TUSD BE'!$AM$15+'TUSD BF'!$AM$15+'TUSD CVA'!$AM$15)*1</f>
        <v>77.876201961015255</v>
      </c>
      <c r="AA353" s="6">
        <f>('TE BE'!$AB$8+'TE BF'!$AB$8+'TE CVA'!$AB$8)*1</f>
        <v>231.76257384332172</v>
      </c>
      <c r="AB353" s="6">
        <f>$K$353*$V$353</f>
        <v>4064.1</v>
      </c>
      <c r="AC353" s="6">
        <f>$M$353*$W$353</f>
        <v>2075.1966199999997</v>
      </c>
      <c r="AD353" s="6">
        <f>$O$353*$X$353</f>
        <v>8053.3681199999992</v>
      </c>
      <c r="AE353" s="6">
        <f ca="1">$K$353*$Y$353</f>
        <v>4073.4254632419788</v>
      </c>
      <c r="AF353" s="6">
        <f ca="1">$M$353*$Z$353</f>
        <v>2582.8421142390316</v>
      </c>
      <c r="AG353" s="6">
        <f>$O$353*$AA$353</f>
        <v>7686.6375240876077</v>
      </c>
    </row>
    <row r="354" spans="1:33" ht="11.25" customHeight="1" x14ac:dyDescent="0.25">
      <c r="A354" s="4" t="s">
        <v>21</v>
      </c>
      <c r="B354" s="4" t="s">
        <v>41</v>
      </c>
      <c r="C354" s="4" t="s">
        <v>40</v>
      </c>
      <c r="D354" s="4" t="s">
        <v>43</v>
      </c>
      <c r="E354" s="4" t="s">
        <v>25</v>
      </c>
      <c r="F354" s="4" t="s">
        <v>25</v>
      </c>
      <c r="G354" s="4" t="s">
        <v>25</v>
      </c>
      <c r="H354" s="4" t="s">
        <v>35</v>
      </c>
      <c r="I354" s="5">
        <v>44562</v>
      </c>
      <c r="J354" s="6">
        <v>8083</v>
      </c>
      <c r="K354" s="6">
        <v>8083</v>
      </c>
      <c r="L354" s="6">
        <v>2691.9969999999998</v>
      </c>
      <c r="M354" s="6">
        <v>2691.9969999999998</v>
      </c>
      <c r="N354" s="6">
        <v>2691.9969999999998</v>
      </c>
      <c r="O354" s="6">
        <v>2691.9969999999998</v>
      </c>
      <c r="P354" s="6">
        <v>0</v>
      </c>
      <c r="Q354" s="4" t="s">
        <v>26</v>
      </c>
      <c r="R354" s="4">
        <v>0</v>
      </c>
      <c r="S354" s="6">
        <v>20</v>
      </c>
      <c r="T354" s="6">
        <v>22</v>
      </c>
      <c r="U354" s="6">
        <v>67</v>
      </c>
      <c r="V354" s="6">
        <f>IF(ISERROR(VLOOKUP($S$354,'TAR FIN'!$A$1:$O$104,15,0)),0,VLOOKUP($S$354,'TAR FIN'!$A$1:$O$104,15,0))</f>
        <v>26.22</v>
      </c>
      <c r="W354" s="6">
        <f>IF(ISERROR(VLOOKUP($T$354,'TAR FIN'!$A$1:$O$104,15,0)),0,VLOOKUP($T$354,'TAR FIN'!$A$1:$O$104,15,0))</f>
        <v>62.57</v>
      </c>
      <c r="X354" s="6">
        <f>IF(ISERROR(VLOOKUP($U$354,'TAR FIN'!$A$1:$O$104,15,0)),0,VLOOKUP($U$354,'TAR FIN'!$A$1:$O$104,15,0))</f>
        <v>242.82</v>
      </c>
      <c r="Y354" s="6">
        <f ca="1">('TUSD BE'!$AM$14+'TUSD BF'!$AM$14+'TUSD CVA'!$AM$14)*1</f>
        <v>26.280164278980507</v>
      </c>
      <c r="Z354" s="6">
        <f ca="1">('TUSD BE'!$AM$15+'TUSD BF'!$AM$15+'TUSD CVA'!$AM$15)*1</f>
        <v>77.876201961015255</v>
      </c>
      <c r="AA354" s="6">
        <f>('TE BE'!$AB$8+'TE BF'!$AB$8+'TE CVA'!$AB$8)*1</f>
        <v>231.76257384332172</v>
      </c>
      <c r="AB354" s="6">
        <f>$K$354*$V$354</f>
        <v>211936.25999999998</v>
      </c>
      <c r="AC354" s="6">
        <f>$M$354*$W$354</f>
        <v>168438.25229</v>
      </c>
      <c r="AD354" s="6">
        <f>$O$354*$X$354</f>
        <v>653670.71153999993</v>
      </c>
      <c r="AE354" s="6">
        <f ca="1">$K$354*$Y$354</f>
        <v>212422.56786699945</v>
      </c>
      <c r="AF354" s="6">
        <f ca="1">$M$354*$Z$354</f>
        <v>209642.50205044716</v>
      </c>
      <c r="AG354" s="6">
        <f>$O$354*$AA$354</f>
        <v>623904.15349850047</v>
      </c>
    </row>
    <row r="355" spans="1:33" ht="11.25" customHeight="1" x14ac:dyDescent="0.25">
      <c r="A355" s="4" t="s">
        <v>27</v>
      </c>
      <c r="B355" s="4" t="s">
        <v>41</v>
      </c>
      <c r="C355" s="4" t="s">
        <v>40</v>
      </c>
      <c r="D355" s="4" t="s">
        <v>43</v>
      </c>
      <c r="E355" s="4" t="s">
        <v>25</v>
      </c>
      <c r="F355" s="4" t="s">
        <v>25</v>
      </c>
      <c r="G355" s="4" t="s">
        <v>25</v>
      </c>
      <c r="H355" s="4" t="s">
        <v>35</v>
      </c>
      <c r="I355" s="5">
        <v>44562</v>
      </c>
      <c r="J355" s="6">
        <v>30</v>
      </c>
      <c r="K355" s="6">
        <v>30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4" t="s">
        <v>26</v>
      </c>
      <c r="R355" s="4">
        <v>0</v>
      </c>
      <c r="S355" s="6">
        <v>20</v>
      </c>
      <c r="T355" s="6">
        <v>0</v>
      </c>
      <c r="U355" s="6">
        <v>0</v>
      </c>
      <c r="V355" s="6">
        <f>IF(ISERROR(VLOOKUP($S$355,'TAR FIN'!$A$1:$O$104,15,0)),0,VLOOKUP($S$355,'TAR FIN'!$A$1:$O$104,15,0))</f>
        <v>26.22</v>
      </c>
      <c r="W355" s="6">
        <f>IF(ISERROR(VLOOKUP($T$355,'TAR FIN'!$A$1:$O$104,15,0)),0,VLOOKUP($T$355,'TAR FIN'!$A$1:$O$104,15,0))</f>
        <v>0</v>
      </c>
      <c r="X355" s="6">
        <f>IF(ISERROR(VLOOKUP($U$355,'TAR FIN'!$A$1:$O$104,15,0)),0,VLOOKUP($U$355,'TAR FIN'!$A$1:$O$104,15,0))</f>
        <v>0</v>
      </c>
      <c r="Y355" s="6">
        <f ca="1">('TUSD BE'!$AM$14+'TUSD BF'!$AM$14+'TUSD CVA'!$AM$14)*1</f>
        <v>26.280164278980507</v>
      </c>
      <c r="Z355" s="6">
        <f ca="1">('TUSD BE'!$AM$15+'TUSD BF'!$AM$15+'TUSD CVA'!$AM$15)*1</f>
        <v>77.876201961015255</v>
      </c>
      <c r="AA355" s="6">
        <f>('TE BE'!$AB$8+'TE BF'!$AB$8+'TE CVA'!$AB$8)*1</f>
        <v>231.76257384332172</v>
      </c>
      <c r="AB355" s="6">
        <f>$K$355*$V$355</f>
        <v>786.59999999999991</v>
      </c>
      <c r="AC355" s="6">
        <f>$M$355*$W$355</f>
        <v>0</v>
      </c>
      <c r="AD355" s="6">
        <f>$O$355*$X$355</f>
        <v>0</v>
      </c>
      <c r="AE355" s="6">
        <f ca="1">$K$355*$Y$355</f>
        <v>788.40492836941519</v>
      </c>
      <c r="AF355" s="6">
        <f ca="1">$M$355*$Z$355</f>
        <v>0</v>
      </c>
      <c r="AG355" s="6">
        <f>$O$355*$AA$355</f>
        <v>0</v>
      </c>
    </row>
    <row r="356" spans="1:33" ht="11.25" customHeight="1" x14ac:dyDescent="0.25">
      <c r="A356" s="4" t="s">
        <v>28</v>
      </c>
      <c r="B356" s="4" t="s">
        <v>41</v>
      </c>
      <c r="C356" s="4" t="s">
        <v>40</v>
      </c>
      <c r="D356" s="4" t="s">
        <v>43</v>
      </c>
      <c r="E356" s="4" t="s">
        <v>25</v>
      </c>
      <c r="F356" s="4" t="s">
        <v>25</v>
      </c>
      <c r="G356" s="4" t="s">
        <v>25</v>
      </c>
      <c r="H356" s="4" t="s">
        <v>35</v>
      </c>
      <c r="I356" s="5">
        <v>44562</v>
      </c>
      <c r="J356" s="6">
        <v>1228</v>
      </c>
      <c r="K356" s="6">
        <v>1228</v>
      </c>
      <c r="L356" s="6">
        <v>81.542000000000002</v>
      </c>
      <c r="M356" s="6">
        <v>81.542000000000002</v>
      </c>
      <c r="N356" s="6">
        <v>81.542000000000002</v>
      </c>
      <c r="O356" s="6">
        <v>81.542000000000002</v>
      </c>
      <c r="P356" s="6">
        <v>0</v>
      </c>
      <c r="Q356" s="4" t="s">
        <v>26</v>
      </c>
      <c r="R356" s="4">
        <v>0</v>
      </c>
      <c r="S356" s="6">
        <v>20</v>
      </c>
      <c r="T356" s="6">
        <v>22</v>
      </c>
      <c r="U356" s="6">
        <v>67</v>
      </c>
      <c r="V356" s="6">
        <f>IF(ISERROR(VLOOKUP($S$356,'TAR FIN'!$A$1:$O$104,15,0)),0,VLOOKUP($S$356,'TAR FIN'!$A$1:$O$104,15,0))</f>
        <v>26.22</v>
      </c>
      <c r="W356" s="6">
        <f>IF(ISERROR(VLOOKUP($T$356,'TAR FIN'!$A$1:$O$104,15,0)),0,VLOOKUP($T$356,'TAR FIN'!$A$1:$O$104,15,0))</f>
        <v>62.57</v>
      </c>
      <c r="X356" s="6">
        <f>IF(ISERROR(VLOOKUP($U$356,'TAR FIN'!$A$1:$O$104,15,0)),0,VLOOKUP($U$356,'TAR FIN'!$A$1:$O$104,15,0))</f>
        <v>242.82</v>
      </c>
      <c r="Y356" s="6">
        <f ca="1">('TUSD BE'!$AM$14+'TUSD BF'!$AM$14+'TUSD CVA'!$AM$14)*1</f>
        <v>26.280164278980507</v>
      </c>
      <c r="Z356" s="6">
        <f ca="1">('TUSD BE'!$AM$15+'TUSD BF'!$AM$15+'TUSD CVA'!$AM$15)*1</f>
        <v>77.876201961015255</v>
      </c>
      <c r="AA356" s="6">
        <f>('TE BE'!$AB$8+'TE BF'!$AB$8+'TE CVA'!$AB$8)*1</f>
        <v>231.76257384332172</v>
      </c>
      <c r="AB356" s="6">
        <f>$K$356*$V$356</f>
        <v>32198.16</v>
      </c>
      <c r="AC356" s="6">
        <f>$M$356*$W$356</f>
        <v>5102.0829400000002</v>
      </c>
      <c r="AD356" s="6">
        <f>$O$356*$X$356</f>
        <v>19800.028439999998</v>
      </c>
      <c r="AE356" s="6">
        <f ca="1">$K$356*$Y$356</f>
        <v>32272.041734588063</v>
      </c>
      <c r="AF356" s="6">
        <f ca="1">$M$356*$Z$356</f>
        <v>6350.1812603051058</v>
      </c>
      <c r="AG356" s="6">
        <f>$O$356*$AA$356</f>
        <v>18898.383796332138</v>
      </c>
    </row>
    <row r="357" spans="1:33" ht="11.25" customHeight="1" x14ac:dyDescent="0.25">
      <c r="A357" s="4" t="s">
        <v>28</v>
      </c>
      <c r="B357" s="4" t="s">
        <v>41</v>
      </c>
      <c r="C357" s="4" t="s">
        <v>40</v>
      </c>
      <c r="D357" s="4" t="s">
        <v>43</v>
      </c>
      <c r="E357" s="4" t="s">
        <v>25</v>
      </c>
      <c r="F357" s="4" t="s">
        <v>25</v>
      </c>
      <c r="G357" s="4" t="s">
        <v>25</v>
      </c>
      <c r="H357" s="4" t="s">
        <v>35</v>
      </c>
      <c r="I357" s="5">
        <v>44562</v>
      </c>
      <c r="J357" s="6">
        <v>0</v>
      </c>
      <c r="K357" s="6">
        <v>0</v>
      </c>
      <c r="L357" s="6">
        <v>1.9159999999999999</v>
      </c>
      <c r="M357" s="6">
        <v>1.9159999999999999</v>
      </c>
      <c r="N357" s="6">
        <v>1.9159999999999999</v>
      </c>
      <c r="O357" s="6">
        <v>1.9159999999999999</v>
      </c>
      <c r="P357" s="6">
        <v>0</v>
      </c>
      <c r="Q357" s="4" t="s">
        <v>26</v>
      </c>
      <c r="R357" s="4">
        <v>0</v>
      </c>
      <c r="S357" s="6">
        <v>0</v>
      </c>
      <c r="T357" s="6">
        <v>22</v>
      </c>
      <c r="U357" s="6">
        <v>67</v>
      </c>
      <c r="V357" s="6">
        <f>IF(ISERROR(VLOOKUP($S$357,'TAR FIN'!$A$1:$O$104,15,0)),0,VLOOKUP($S$357,'TAR FIN'!$A$1:$O$104,15,0))</f>
        <v>0</v>
      </c>
      <c r="W357" s="6">
        <f>IF(ISERROR(VLOOKUP($T$357,'TAR FIN'!$A$1:$O$104,15,0)),0,VLOOKUP($T$357,'TAR FIN'!$A$1:$O$104,15,0))</f>
        <v>62.57</v>
      </c>
      <c r="X357" s="6">
        <f>IF(ISERROR(VLOOKUP($U$357,'TAR FIN'!$A$1:$O$104,15,0)),0,VLOOKUP($U$357,'TAR FIN'!$A$1:$O$104,15,0))</f>
        <v>242.82</v>
      </c>
      <c r="Y357" s="6">
        <f ca="1">('TUSD BE'!$AM$14+'TUSD BF'!$AM$14+'TUSD CVA'!$AM$14)*1</f>
        <v>26.280164278980507</v>
      </c>
      <c r="Z357" s="6">
        <f ca="1">('TUSD BE'!$AM$15+'TUSD BF'!$AM$15+'TUSD CVA'!$AM$15)*1</f>
        <v>77.876201961015255</v>
      </c>
      <c r="AA357" s="6">
        <f>('TE BE'!$AB$8+'TE BF'!$AB$8+'TE CVA'!$AB$8)*1</f>
        <v>231.76257384332172</v>
      </c>
      <c r="AB357" s="6">
        <f>$K$357*$V$357</f>
        <v>0</v>
      </c>
      <c r="AC357" s="6">
        <f>$M$357*$W$357</f>
        <v>119.88412</v>
      </c>
      <c r="AD357" s="6">
        <f>$O$357*$X$357</f>
        <v>465.24311999999998</v>
      </c>
      <c r="AE357" s="6">
        <f ca="1">$K$357*$Y$357</f>
        <v>0</v>
      </c>
      <c r="AF357" s="6">
        <f ca="1">$M$357*$Z$357</f>
        <v>149.21080295730522</v>
      </c>
      <c r="AG357" s="6">
        <f>$O$357*$AA$357</f>
        <v>444.05709148380441</v>
      </c>
    </row>
    <row r="358" spans="1:33" ht="11.25" customHeight="1" x14ac:dyDescent="0.25">
      <c r="A358" s="4" t="s">
        <v>21</v>
      </c>
      <c r="B358" s="4" t="s">
        <v>41</v>
      </c>
      <c r="C358" s="4" t="s">
        <v>40</v>
      </c>
      <c r="D358" s="4" t="s">
        <v>43</v>
      </c>
      <c r="E358" s="4" t="s">
        <v>25</v>
      </c>
      <c r="F358" s="4" t="s">
        <v>25</v>
      </c>
      <c r="G358" s="4" t="s">
        <v>25</v>
      </c>
      <c r="H358" s="4" t="s">
        <v>35</v>
      </c>
      <c r="I358" s="5">
        <v>44593</v>
      </c>
      <c r="J358" s="6">
        <v>7873</v>
      </c>
      <c r="K358" s="6">
        <v>7873</v>
      </c>
      <c r="L358" s="6">
        <v>2519.1909999999998</v>
      </c>
      <c r="M358" s="6">
        <v>2519.1909999999998</v>
      </c>
      <c r="N358" s="6">
        <v>2519.1909999999998</v>
      </c>
      <c r="O358" s="6">
        <v>2519.1909999999998</v>
      </c>
      <c r="P358" s="6">
        <v>0</v>
      </c>
      <c r="Q358" s="4" t="s">
        <v>26</v>
      </c>
      <c r="R358" s="4">
        <v>0</v>
      </c>
      <c r="S358" s="6">
        <v>20</v>
      </c>
      <c r="T358" s="6">
        <v>22</v>
      </c>
      <c r="U358" s="6">
        <v>67</v>
      </c>
      <c r="V358" s="6">
        <f>IF(ISERROR(VLOOKUP($S$358,'TAR FIN'!$A$1:$O$104,15,0)),0,VLOOKUP($S$358,'TAR FIN'!$A$1:$O$104,15,0))</f>
        <v>26.22</v>
      </c>
      <c r="W358" s="6">
        <f>IF(ISERROR(VLOOKUP($T$358,'TAR FIN'!$A$1:$O$104,15,0)),0,VLOOKUP($T$358,'TAR FIN'!$A$1:$O$104,15,0))</f>
        <v>62.57</v>
      </c>
      <c r="X358" s="6">
        <f>IF(ISERROR(VLOOKUP($U$358,'TAR FIN'!$A$1:$O$104,15,0)),0,VLOOKUP($U$358,'TAR FIN'!$A$1:$O$104,15,0))</f>
        <v>242.82</v>
      </c>
      <c r="Y358" s="6">
        <f ca="1">('TUSD BE'!$AM$14+'TUSD BF'!$AM$14+'TUSD CVA'!$AM$14)*1</f>
        <v>26.280164278980507</v>
      </c>
      <c r="Z358" s="6">
        <f ca="1">('TUSD BE'!$AM$15+'TUSD BF'!$AM$15+'TUSD CVA'!$AM$15)*1</f>
        <v>77.876201961015255</v>
      </c>
      <c r="AA358" s="6">
        <f>('TE BE'!$AB$8+'TE BF'!$AB$8+'TE CVA'!$AB$8)*1</f>
        <v>231.76257384332172</v>
      </c>
      <c r="AB358" s="6">
        <f>$K$358*$V$358</f>
        <v>206430.06</v>
      </c>
      <c r="AC358" s="6">
        <f>$M$358*$W$358</f>
        <v>157625.78086999999</v>
      </c>
      <c r="AD358" s="6">
        <f>$O$358*$X$358</f>
        <v>611709.95861999993</v>
      </c>
      <c r="AE358" s="6">
        <f ca="1">$K$358*$Y$358</f>
        <v>206903.73336841352</v>
      </c>
      <c r="AF358" s="6">
        <f ca="1">$M$358*$Z$358</f>
        <v>196185.02709437197</v>
      </c>
      <c r="AG358" s="6">
        <f>$O$358*$AA$358</f>
        <v>583854.19016293145</v>
      </c>
    </row>
    <row r="359" spans="1:33" ht="11.25" customHeight="1" x14ac:dyDescent="0.25">
      <c r="A359" s="4" t="s">
        <v>27</v>
      </c>
      <c r="B359" s="4" t="s">
        <v>41</v>
      </c>
      <c r="C359" s="4" t="s">
        <v>40</v>
      </c>
      <c r="D359" s="4" t="s">
        <v>43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44593</v>
      </c>
      <c r="J359" s="6">
        <v>-335</v>
      </c>
      <c r="K359" s="6">
        <v>-335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4" t="s">
        <v>26</v>
      </c>
      <c r="R359" s="4">
        <v>0</v>
      </c>
      <c r="S359" s="6">
        <v>20</v>
      </c>
      <c r="T359" s="6">
        <v>0</v>
      </c>
      <c r="U359" s="6">
        <v>0</v>
      </c>
      <c r="V359" s="6">
        <f>IF(ISERROR(VLOOKUP($S$359,'TAR FIN'!$A$1:$O$104,15,0)),0,VLOOKUP($S$359,'TAR FIN'!$A$1:$O$104,15,0))</f>
        <v>26.22</v>
      </c>
      <c r="W359" s="6">
        <f>IF(ISERROR(VLOOKUP($T$359,'TAR FIN'!$A$1:$O$104,15,0)),0,VLOOKUP($T$359,'TAR FIN'!$A$1:$O$104,15,0))</f>
        <v>0</v>
      </c>
      <c r="X359" s="6">
        <f>IF(ISERROR(VLOOKUP($U$359,'TAR FIN'!$A$1:$O$104,15,0)),0,VLOOKUP($U$359,'TAR FIN'!$A$1:$O$104,15,0))</f>
        <v>0</v>
      </c>
      <c r="Y359" s="6">
        <f ca="1">('TUSD BE'!$AM$14+'TUSD BF'!$AM$14+'TUSD CVA'!$AM$14)*1</f>
        <v>26.280164278980507</v>
      </c>
      <c r="Z359" s="6">
        <f ca="1">('TUSD BE'!$AM$15+'TUSD BF'!$AM$15+'TUSD CVA'!$AM$15)*1</f>
        <v>77.876201961015255</v>
      </c>
      <c r="AA359" s="6">
        <f>('TE BE'!$AB$8+'TE BF'!$AB$8+'TE CVA'!$AB$8)*1</f>
        <v>231.76257384332172</v>
      </c>
      <c r="AB359" s="6">
        <f>$K$359*$V$359</f>
        <v>-8783.6999999999989</v>
      </c>
      <c r="AC359" s="6">
        <f>$M$359*$W$359</f>
        <v>0</v>
      </c>
      <c r="AD359" s="6">
        <f>$O$359*$X$359</f>
        <v>0</v>
      </c>
      <c r="AE359" s="6">
        <f ca="1">$K$359*$Y$359</f>
        <v>-8803.8550334584706</v>
      </c>
      <c r="AF359" s="6">
        <f ca="1">$M$359*$Z$359</f>
        <v>0</v>
      </c>
      <c r="AG359" s="6">
        <f>$O$359*$AA$359</f>
        <v>0</v>
      </c>
    </row>
    <row r="360" spans="1:33" ht="11.25" customHeight="1" x14ac:dyDescent="0.25">
      <c r="A360" s="4" t="s">
        <v>28</v>
      </c>
      <c r="B360" s="4" t="s">
        <v>41</v>
      </c>
      <c r="C360" s="4" t="s">
        <v>40</v>
      </c>
      <c r="D360" s="4" t="s">
        <v>43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44593</v>
      </c>
      <c r="J360" s="6">
        <v>1214</v>
      </c>
      <c r="K360" s="6">
        <v>1214</v>
      </c>
      <c r="L360" s="6">
        <v>76.356999999999999</v>
      </c>
      <c r="M360" s="6">
        <v>76.356999999999999</v>
      </c>
      <c r="N360" s="6">
        <v>76.356999999999999</v>
      </c>
      <c r="O360" s="6">
        <v>76.356999999999999</v>
      </c>
      <c r="P360" s="6">
        <v>0</v>
      </c>
      <c r="Q360" s="4" t="s">
        <v>26</v>
      </c>
      <c r="R360" s="4">
        <v>0</v>
      </c>
      <c r="S360" s="6">
        <v>20</v>
      </c>
      <c r="T360" s="6">
        <v>22</v>
      </c>
      <c r="U360" s="6">
        <v>67</v>
      </c>
      <c r="V360" s="6">
        <f>IF(ISERROR(VLOOKUP($S$360,'TAR FIN'!$A$1:$O$104,15,0)),0,VLOOKUP($S$360,'TAR FIN'!$A$1:$O$104,15,0))</f>
        <v>26.22</v>
      </c>
      <c r="W360" s="6">
        <f>IF(ISERROR(VLOOKUP($T$360,'TAR FIN'!$A$1:$O$104,15,0)),0,VLOOKUP($T$360,'TAR FIN'!$A$1:$O$104,15,0))</f>
        <v>62.57</v>
      </c>
      <c r="X360" s="6">
        <f>IF(ISERROR(VLOOKUP($U$360,'TAR FIN'!$A$1:$O$104,15,0)),0,VLOOKUP($U$360,'TAR FIN'!$A$1:$O$104,15,0))</f>
        <v>242.82</v>
      </c>
      <c r="Y360" s="6">
        <f ca="1">('TUSD BE'!$AM$14+'TUSD BF'!$AM$14+'TUSD CVA'!$AM$14)*1</f>
        <v>26.280164278980507</v>
      </c>
      <c r="Z360" s="6">
        <f ca="1">('TUSD BE'!$AM$15+'TUSD BF'!$AM$15+'TUSD CVA'!$AM$15)*1</f>
        <v>77.876201961015255</v>
      </c>
      <c r="AA360" s="6">
        <f>('TE BE'!$AB$8+'TE BF'!$AB$8+'TE CVA'!$AB$8)*1</f>
        <v>231.76257384332172</v>
      </c>
      <c r="AB360" s="6">
        <f>$K$360*$V$360</f>
        <v>31831.079999999998</v>
      </c>
      <c r="AC360" s="6">
        <f>$M$360*$W$360</f>
        <v>4777.6574899999996</v>
      </c>
      <c r="AD360" s="6">
        <f>$O$360*$X$360</f>
        <v>18541.006740000001</v>
      </c>
      <c r="AE360" s="6">
        <f ca="1">$K$360*$Y$360</f>
        <v>31904.119434682336</v>
      </c>
      <c r="AF360" s="6">
        <f ca="1">$M$360*$Z$360</f>
        <v>5946.3931531372418</v>
      </c>
      <c r="AG360" s="6">
        <f>$O$360*$AA$360</f>
        <v>17696.694850954515</v>
      </c>
    </row>
    <row r="361" spans="1:33" ht="11.25" customHeight="1" x14ac:dyDescent="0.25">
      <c r="A361" s="4" t="s">
        <v>21</v>
      </c>
      <c r="B361" s="4" t="s">
        <v>41</v>
      </c>
      <c r="C361" s="4" t="s">
        <v>40</v>
      </c>
      <c r="D361" s="4" t="s">
        <v>43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44621</v>
      </c>
      <c r="J361" s="6">
        <v>7756</v>
      </c>
      <c r="K361" s="6">
        <v>7756</v>
      </c>
      <c r="L361" s="6">
        <v>2647.4229999999998</v>
      </c>
      <c r="M361" s="6">
        <v>2647.4229999999998</v>
      </c>
      <c r="N361" s="6">
        <v>2647.4229999999998</v>
      </c>
      <c r="O361" s="6">
        <v>2647.4229999999998</v>
      </c>
      <c r="P361" s="6">
        <v>0</v>
      </c>
      <c r="Q361" s="4" t="s">
        <v>26</v>
      </c>
      <c r="R361" s="4">
        <v>0</v>
      </c>
      <c r="S361" s="6">
        <v>20</v>
      </c>
      <c r="T361" s="6">
        <v>22</v>
      </c>
      <c r="U361" s="6">
        <v>67</v>
      </c>
      <c r="V361" s="6">
        <f>IF(ISERROR(VLOOKUP($S$361,'TAR FIN'!$A$1:$O$104,15,0)),0,VLOOKUP($S$361,'TAR FIN'!$A$1:$O$104,15,0))</f>
        <v>26.22</v>
      </c>
      <c r="W361" s="6">
        <f>IF(ISERROR(VLOOKUP($T$361,'TAR FIN'!$A$1:$O$104,15,0)),0,VLOOKUP($T$361,'TAR FIN'!$A$1:$O$104,15,0))</f>
        <v>62.57</v>
      </c>
      <c r="X361" s="6">
        <f>IF(ISERROR(VLOOKUP($U$361,'TAR FIN'!$A$1:$O$104,15,0)),0,VLOOKUP($U$361,'TAR FIN'!$A$1:$O$104,15,0))</f>
        <v>242.82</v>
      </c>
      <c r="Y361" s="6">
        <f ca="1">('TUSD BE'!$AM$14+'TUSD BF'!$AM$14+'TUSD CVA'!$AM$14)*1</f>
        <v>26.280164278980507</v>
      </c>
      <c r="Z361" s="6">
        <f ca="1">('TUSD BE'!$AM$15+'TUSD BF'!$AM$15+'TUSD CVA'!$AM$15)*1</f>
        <v>77.876201961015255</v>
      </c>
      <c r="AA361" s="6">
        <f>('TE BE'!$AB$8+'TE BF'!$AB$8+'TE CVA'!$AB$8)*1</f>
        <v>231.76257384332172</v>
      </c>
      <c r="AB361" s="6">
        <f>$K$361*$V$361</f>
        <v>203362.31999999998</v>
      </c>
      <c r="AC361" s="6">
        <f>$M$361*$W$361</f>
        <v>165649.25710999998</v>
      </c>
      <c r="AD361" s="6">
        <f>$O$361*$X$361</f>
        <v>642847.25285999989</v>
      </c>
      <c r="AE361" s="6">
        <f ca="1">$K$361*$Y$361</f>
        <v>203828.95414777281</v>
      </c>
      <c r="AF361" s="6">
        <f ca="1">$M$361*$Z$361</f>
        <v>206171.24822423689</v>
      </c>
      <c r="AG361" s="6">
        <f>$O$361*$AA$361</f>
        <v>613573.56853200821</v>
      </c>
    </row>
    <row r="362" spans="1:33" ht="11.25" customHeight="1" x14ac:dyDescent="0.25">
      <c r="A362" s="4" t="s">
        <v>28</v>
      </c>
      <c r="B362" s="4" t="s">
        <v>41</v>
      </c>
      <c r="C362" s="4" t="s">
        <v>40</v>
      </c>
      <c r="D362" s="4" t="s">
        <v>43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44621</v>
      </c>
      <c r="J362" s="6">
        <v>1156</v>
      </c>
      <c r="K362" s="6">
        <v>1156</v>
      </c>
      <c r="L362" s="6">
        <v>64.281999999999996</v>
      </c>
      <c r="M362" s="6">
        <v>64.281999999999996</v>
      </c>
      <c r="N362" s="6">
        <v>64.281999999999996</v>
      </c>
      <c r="O362" s="6">
        <v>64.281999999999996</v>
      </c>
      <c r="P362" s="6">
        <v>0</v>
      </c>
      <c r="Q362" s="4" t="s">
        <v>26</v>
      </c>
      <c r="R362" s="4">
        <v>0</v>
      </c>
      <c r="S362" s="6">
        <v>20</v>
      </c>
      <c r="T362" s="6">
        <v>22</v>
      </c>
      <c r="U362" s="6">
        <v>67</v>
      </c>
      <c r="V362" s="6">
        <f>IF(ISERROR(VLOOKUP($S$362,'TAR FIN'!$A$1:$O$104,15,0)),0,VLOOKUP($S$362,'TAR FIN'!$A$1:$O$104,15,0))</f>
        <v>26.22</v>
      </c>
      <c r="W362" s="6">
        <f>IF(ISERROR(VLOOKUP($T$362,'TAR FIN'!$A$1:$O$104,15,0)),0,VLOOKUP($T$362,'TAR FIN'!$A$1:$O$104,15,0))</f>
        <v>62.57</v>
      </c>
      <c r="X362" s="6">
        <f>IF(ISERROR(VLOOKUP($U$362,'TAR FIN'!$A$1:$O$104,15,0)),0,VLOOKUP($U$362,'TAR FIN'!$A$1:$O$104,15,0))</f>
        <v>242.82</v>
      </c>
      <c r="Y362" s="6">
        <f ca="1">('TUSD BE'!$AM$14+'TUSD BF'!$AM$14+'TUSD CVA'!$AM$14)*1</f>
        <v>26.280164278980507</v>
      </c>
      <c r="Z362" s="6">
        <f ca="1">('TUSD BE'!$AM$15+'TUSD BF'!$AM$15+'TUSD CVA'!$AM$15)*1</f>
        <v>77.876201961015255</v>
      </c>
      <c r="AA362" s="6">
        <f>('TE BE'!$AB$8+'TE BF'!$AB$8+'TE CVA'!$AB$8)*1</f>
        <v>231.76257384332172</v>
      </c>
      <c r="AB362" s="6">
        <f>$K$362*$V$362</f>
        <v>30310.32</v>
      </c>
      <c r="AC362" s="6">
        <f>$M$362*$W$362</f>
        <v>4022.1247399999997</v>
      </c>
      <c r="AD362" s="6">
        <f>$O$362*$X$362</f>
        <v>15608.955239999999</v>
      </c>
      <c r="AE362" s="6">
        <f ca="1">$K$362*$Y$362</f>
        <v>30379.869906501466</v>
      </c>
      <c r="AF362" s="6">
        <f ca="1">$M$362*$Z$362</f>
        <v>5006.0380144579822</v>
      </c>
      <c r="AG362" s="6">
        <f>$O$362*$AA$362</f>
        <v>14898.161771796405</v>
      </c>
    </row>
    <row r="363" spans="1:33" ht="11.25" customHeight="1" x14ac:dyDescent="0.25">
      <c r="A363" s="4" t="s">
        <v>21</v>
      </c>
      <c r="B363" s="4" t="s">
        <v>41</v>
      </c>
      <c r="C363" s="4" t="s">
        <v>40</v>
      </c>
      <c r="D363" s="4" t="s">
        <v>43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44652</v>
      </c>
      <c r="J363" s="6">
        <v>7907</v>
      </c>
      <c r="K363" s="6">
        <v>7907</v>
      </c>
      <c r="L363" s="6">
        <v>2633.529</v>
      </c>
      <c r="M363" s="6">
        <v>2633.529</v>
      </c>
      <c r="N363" s="6">
        <v>2633.529</v>
      </c>
      <c r="O363" s="6">
        <v>2633.529</v>
      </c>
      <c r="P363" s="6">
        <v>0</v>
      </c>
      <c r="Q363" s="4" t="s">
        <v>26</v>
      </c>
      <c r="R363" s="4">
        <v>0</v>
      </c>
      <c r="S363" s="6">
        <v>20</v>
      </c>
      <c r="T363" s="6">
        <v>22</v>
      </c>
      <c r="U363" s="6">
        <v>67</v>
      </c>
      <c r="V363" s="6">
        <f>IF(ISERROR(VLOOKUP($S$363,'TAR FIN'!$A$1:$O$104,15,0)),0,VLOOKUP($S$363,'TAR FIN'!$A$1:$O$104,15,0))</f>
        <v>26.22</v>
      </c>
      <c r="W363" s="6">
        <f>IF(ISERROR(VLOOKUP($T$363,'TAR FIN'!$A$1:$O$104,15,0)),0,VLOOKUP($T$363,'TAR FIN'!$A$1:$O$104,15,0))</f>
        <v>62.57</v>
      </c>
      <c r="X363" s="6">
        <f>IF(ISERROR(VLOOKUP($U$363,'TAR FIN'!$A$1:$O$104,15,0)),0,VLOOKUP($U$363,'TAR FIN'!$A$1:$O$104,15,0))</f>
        <v>242.82</v>
      </c>
      <c r="Y363" s="6">
        <f ca="1">('TUSD BE'!$AM$14+'TUSD BF'!$AM$14+'TUSD CVA'!$AM$14)*1</f>
        <v>26.280164278980507</v>
      </c>
      <c r="Z363" s="6">
        <f ca="1">('TUSD BE'!$AM$15+'TUSD BF'!$AM$15+'TUSD CVA'!$AM$15)*1</f>
        <v>77.876201961015255</v>
      </c>
      <c r="AA363" s="6">
        <f>('TE BE'!$AB$8+'TE BF'!$AB$8+'TE CVA'!$AB$8)*1</f>
        <v>231.76257384332172</v>
      </c>
      <c r="AB363" s="6">
        <f>$K$363*$V$363</f>
        <v>207321.53999999998</v>
      </c>
      <c r="AC363" s="6">
        <f>$M$363*$W$363</f>
        <v>164779.90953</v>
      </c>
      <c r="AD363" s="6">
        <f>$O$363*$X$363</f>
        <v>639473.51177999994</v>
      </c>
      <c r="AE363" s="6">
        <f ca="1">$K$363*$Y$363</f>
        <v>207797.25895389888</v>
      </c>
      <c r="AF363" s="6">
        <f ca="1">$M$363*$Z$363</f>
        <v>205089.23627419054</v>
      </c>
      <c r="AG363" s="6">
        <f>$O$363*$AA$363</f>
        <v>610353.45933102921</v>
      </c>
    </row>
    <row r="364" spans="1:33" ht="11.25" customHeight="1" x14ac:dyDescent="0.25">
      <c r="A364" s="4" t="s">
        <v>27</v>
      </c>
      <c r="B364" s="4" t="s">
        <v>41</v>
      </c>
      <c r="C364" s="4" t="s">
        <v>40</v>
      </c>
      <c r="D364" s="4" t="s">
        <v>43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44652</v>
      </c>
      <c r="J364" s="6">
        <v>0</v>
      </c>
      <c r="K364" s="6">
        <v>0</v>
      </c>
      <c r="L364" s="6">
        <v>-5.0229999999999997</v>
      </c>
      <c r="M364" s="6">
        <v>-5.0229999999999997</v>
      </c>
      <c r="N364" s="6">
        <v>-5.0229999999999997</v>
      </c>
      <c r="O364" s="6">
        <v>-5.0229999999999997</v>
      </c>
      <c r="P364" s="6">
        <v>0</v>
      </c>
      <c r="Q364" s="4" t="s">
        <v>26</v>
      </c>
      <c r="R364" s="4">
        <v>0</v>
      </c>
      <c r="S364" s="6">
        <v>0</v>
      </c>
      <c r="T364" s="6">
        <v>22</v>
      </c>
      <c r="U364" s="6">
        <v>67</v>
      </c>
      <c r="V364" s="6">
        <f>IF(ISERROR(VLOOKUP($S$364,'TAR FIN'!$A$1:$O$104,15,0)),0,VLOOKUP($S$364,'TAR FIN'!$A$1:$O$104,15,0))</f>
        <v>0</v>
      </c>
      <c r="W364" s="6">
        <f>IF(ISERROR(VLOOKUP($T$364,'TAR FIN'!$A$1:$O$104,15,0)),0,VLOOKUP($T$364,'TAR FIN'!$A$1:$O$104,15,0))</f>
        <v>62.57</v>
      </c>
      <c r="X364" s="6">
        <f>IF(ISERROR(VLOOKUP($U$364,'TAR FIN'!$A$1:$O$104,15,0)),0,VLOOKUP($U$364,'TAR FIN'!$A$1:$O$104,15,0))</f>
        <v>242.82</v>
      </c>
      <c r="Y364" s="6">
        <f ca="1">('TUSD BE'!$AM$14+'TUSD BF'!$AM$14+'TUSD CVA'!$AM$14)*1</f>
        <v>26.280164278980507</v>
      </c>
      <c r="Z364" s="6">
        <f ca="1">('TUSD BE'!$AM$15+'TUSD BF'!$AM$15+'TUSD CVA'!$AM$15)*1</f>
        <v>77.876201961015255</v>
      </c>
      <c r="AA364" s="6">
        <f>('TE BE'!$AB$8+'TE BF'!$AB$8+'TE CVA'!$AB$8)*1</f>
        <v>231.76257384332172</v>
      </c>
      <c r="AB364" s="6">
        <f>$K$364*$V$364</f>
        <v>0</v>
      </c>
      <c r="AC364" s="6">
        <f>$M$364*$W$364</f>
        <v>-314.28910999999999</v>
      </c>
      <c r="AD364" s="6">
        <f>$O$364*$X$364</f>
        <v>-1219.6848599999998</v>
      </c>
      <c r="AE364" s="6">
        <f ca="1">$K$364*$Y$364</f>
        <v>0</v>
      </c>
      <c r="AF364" s="6">
        <f ca="1">$M$364*$Z$364</f>
        <v>-391.1721624501796</v>
      </c>
      <c r="AG364" s="6">
        <f>$O$364*$AA$364</f>
        <v>-1164.1434084150048</v>
      </c>
    </row>
    <row r="365" spans="1:33" ht="11.25" customHeight="1" x14ac:dyDescent="0.25">
      <c r="A365" s="4" t="s">
        <v>28</v>
      </c>
      <c r="B365" s="4" t="s">
        <v>41</v>
      </c>
      <c r="C365" s="4" t="s">
        <v>40</v>
      </c>
      <c r="D365" s="4" t="s">
        <v>43</v>
      </c>
      <c r="E365" s="4" t="s">
        <v>25</v>
      </c>
      <c r="F365" s="4" t="s">
        <v>25</v>
      </c>
      <c r="G365" s="4" t="s">
        <v>25</v>
      </c>
      <c r="H365" s="4" t="s">
        <v>35</v>
      </c>
      <c r="I365" s="5">
        <v>44652</v>
      </c>
      <c r="J365" s="6">
        <v>1145</v>
      </c>
      <c r="K365" s="6">
        <v>1145</v>
      </c>
      <c r="L365" s="6">
        <v>73.512</v>
      </c>
      <c r="M365" s="6">
        <v>73.512</v>
      </c>
      <c r="N365" s="6">
        <v>73.512</v>
      </c>
      <c r="O365" s="6">
        <v>73.512</v>
      </c>
      <c r="P365" s="6">
        <v>0</v>
      </c>
      <c r="Q365" s="4" t="s">
        <v>26</v>
      </c>
      <c r="R365" s="4">
        <v>0</v>
      </c>
      <c r="S365" s="6">
        <v>20</v>
      </c>
      <c r="T365" s="6">
        <v>22</v>
      </c>
      <c r="U365" s="6">
        <v>67</v>
      </c>
      <c r="V365" s="6">
        <f>IF(ISERROR(VLOOKUP($S$365,'TAR FIN'!$A$1:$O$104,15,0)),0,VLOOKUP($S$365,'TAR FIN'!$A$1:$O$104,15,0))</f>
        <v>26.22</v>
      </c>
      <c r="W365" s="6">
        <f>IF(ISERROR(VLOOKUP($T$365,'TAR FIN'!$A$1:$O$104,15,0)),0,VLOOKUP($T$365,'TAR FIN'!$A$1:$O$104,15,0))</f>
        <v>62.57</v>
      </c>
      <c r="X365" s="6">
        <f>IF(ISERROR(VLOOKUP($U$365,'TAR FIN'!$A$1:$O$104,15,0)),0,VLOOKUP($U$365,'TAR FIN'!$A$1:$O$104,15,0))</f>
        <v>242.82</v>
      </c>
      <c r="Y365" s="6">
        <f ca="1">('TUSD BE'!$AM$14+'TUSD BF'!$AM$14+'TUSD CVA'!$AM$14)*1</f>
        <v>26.280164278980507</v>
      </c>
      <c r="Z365" s="6">
        <f ca="1">('TUSD BE'!$AM$15+'TUSD BF'!$AM$15+'TUSD CVA'!$AM$15)*1</f>
        <v>77.876201961015255</v>
      </c>
      <c r="AA365" s="6">
        <f>('TE BE'!$AB$8+'TE BF'!$AB$8+'TE CVA'!$AB$8)*1</f>
        <v>231.76257384332172</v>
      </c>
      <c r="AB365" s="6">
        <f>$K$365*$V$365</f>
        <v>30021.899999999998</v>
      </c>
      <c r="AC365" s="6">
        <f>$M$365*$W$365</f>
        <v>4599.6458400000001</v>
      </c>
      <c r="AD365" s="6">
        <f>$O$365*$X$365</f>
        <v>17850.183839999998</v>
      </c>
      <c r="AE365" s="6">
        <f ca="1">$K$365*$Y$365</f>
        <v>30090.788099432681</v>
      </c>
      <c r="AF365" s="6">
        <f ca="1">$M$365*$Z$365</f>
        <v>5724.8353585581535</v>
      </c>
      <c r="AG365" s="6">
        <f>$O$365*$AA$365</f>
        <v>17037.330328370266</v>
      </c>
    </row>
    <row r="366" spans="1:33" ht="11.25" customHeight="1" x14ac:dyDescent="0.25">
      <c r="A366" s="4" t="s">
        <v>21</v>
      </c>
      <c r="B366" s="4" t="s">
        <v>41</v>
      </c>
      <c r="C366" s="4" t="s">
        <v>40</v>
      </c>
      <c r="D366" s="4" t="s">
        <v>43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44682</v>
      </c>
      <c r="J366" s="6">
        <v>7598</v>
      </c>
      <c r="K366" s="6">
        <v>7598</v>
      </c>
      <c r="L366" s="6">
        <v>2534.7089999999998</v>
      </c>
      <c r="M366" s="6">
        <v>2534.7089999999998</v>
      </c>
      <c r="N366" s="6">
        <v>2534.7089999999998</v>
      </c>
      <c r="O366" s="6">
        <v>2534.7089999999998</v>
      </c>
      <c r="P366" s="6">
        <v>0</v>
      </c>
      <c r="Q366" s="4" t="s">
        <v>26</v>
      </c>
      <c r="R366" s="4">
        <v>0</v>
      </c>
      <c r="S366" s="6">
        <v>20</v>
      </c>
      <c r="T366" s="6">
        <v>22</v>
      </c>
      <c r="U366" s="6">
        <v>67</v>
      </c>
      <c r="V366" s="6">
        <f>IF(ISERROR(VLOOKUP($S$366,'TAR FIN'!$A$1:$O$104,15,0)),0,VLOOKUP($S$366,'TAR FIN'!$A$1:$O$104,15,0))</f>
        <v>26.22</v>
      </c>
      <c r="W366" s="6">
        <f>IF(ISERROR(VLOOKUP($T$366,'TAR FIN'!$A$1:$O$104,15,0)),0,VLOOKUP($T$366,'TAR FIN'!$A$1:$O$104,15,0))</f>
        <v>62.57</v>
      </c>
      <c r="X366" s="6">
        <f>IF(ISERROR(VLOOKUP($U$366,'TAR FIN'!$A$1:$O$104,15,0)),0,VLOOKUP($U$366,'TAR FIN'!$A$1:$O$104,15,0))</f>
        <v>242.82</v>
      </c>
      <c r="Y366" s="6">
        <f ca="1">('TUSD BE'!$AM$14+'TUSD BF'!$AM$14+'TUSD CVA'!$AM$14)*1</f>
        <v>26.280164278980507</v>
      </c>
      <c r="Z366" s="6">
        <f ca="1">('TUSD BE'!$AM$15+'TUSD BF'!$AM$15+'TUSD CVA'!$AM$15)*1</f>
        <v>77.876201961015255</v>
      </c>
      <c r="AA366" s="6">
        <f>('TE BE'!$AB$8+'TE BF'!$AB$8+'TE CVA'!$AB$8)*1</f>
        <v>231.76257384332172</v>
      </c>
      <c r="AB366" s="6">
        <f>$K$366*$V$366</f>
        <v>199219.56</v>
      </c>
      <c r="AC366" s="6">
        <f>$M$366*$W$366</f>
        <v>158596.74213</v>
      </c>
      <c r="AD366" s="6">
        <f>$O$366*$X$366</f>
        <v>615478.03937999997</v>
      </c>
      <c r="AE366" s="6">
        <f ca="1">$K$366*$Y$366</f>
        <v>199676.68819169389</v>
      </c>
      <c r="AF366" s="6">
        <f ca="1">$M$366*$Z$366</f>
        <v>197393.50999640301</v>
      </c>
      <c r="AG366" s="6">
        <f>$O$366*$AA$366</f>
        <v>587450.68178383214</v>
      </c>
    </row>
    <row r="367" spans="1:33" ht="11.25" customHeight="1" x14ac:dyDescent="0.25">
      <c r="A367" s="4" t="s">
        <v>27</v>
      </c>
      <c r="B367" s="4" t="s">
        <v>41</v>
      </c>
      <c r="C367" s="4" t="s">
        <v>40</v>
      </c>
      <c r="D367" s="4" t="s">
        <v>43</v>
      </c>
      <c r="E367" s="4" t="s">
        <v>25</v>
      </c>
      <c r="F367" s="4" t="s">
        <v>25</v>
      </c>
      <c r="G367" s="4" t="s">
        <v>25</v>
      </c>
      <c r="H367" s="4" t="s">
        <v>35</v>
      </c>
      <c r="I367" s="5">
        <v>44682</v>
      </c>
      <c r="J367" s="6">
        <v>-60</v>
      </c>
      <c r="K367" s="6">
        <v>-60</v>
      </c>
      <c r="L367" s="6">
        <v>-7.3719999999999999</v>
      </c>
      <c r="M367" s="6">
        <v>-7.3719999999999999</v>
      </c>
      <c r="N367" s="6">
        <v>-7.3719999999999999</v>
      </c>
      <c r="O367" s="6">
        <v>-7.3719999999999999</v>
      </c>
      <c r="P367" s="6">
        <v>0</v>
      </c>
      <c r="Q367" s="4" t="s">
        <v>26</v>
      </c>
      <c r="R367" s="4">
        <v>0</v>
      </c>
      <c r="S367" s="6">
        <v>20</v>
      </c>
      <c r="T367" s="6">
        <v>22</v>
      </c>
      <c r="U367" s="6">
        <v>67</v>
      </c>
      <c r="V367" s="6">
        <f>IF(ISERROR(VLOOKUP($S$367,'TAR FIN'!$A$1:$O$104,15,0)),0,VLOOKUP($S$367,'TAR FIN'!$A$1:$O$104,15,0))</f>
        <v>26.22</v>
      </c>
      <c r="W367" s="6">
        <f>IF(ISERROR(VLOOKUP($T$367,'TAR FIN'!$A$1:$O$104,15,0)),0,VLOOKUP($T$367,'TAR FIN'!$A$1:$O$104,15,0))</f>
        <v>62.57</v>
      </c>
      <c r="X367" s="6">
        <f>IF(ISERROR(VLOOKUP($U$367,'TAR FIN'!$A$1:$O$104,15,0)),0,VLOOKUP($U$367,'TAR FIN'!$A$1:$O$104,15,0))</f>
        <v>242.82</v>
      </c>
      <c r="Y367" s="6">
        <f ca="1">('TUSD BE'!$AM$14+'TUSD BF'!$AM$14+'TUSD CVA'!$AM$14)*1</f>
        <v>26.280164278980507</v>
      </c>
      <c r="Z367" s="6">
        <f ca="1">('TUSD BE'!$AM$15+'TUSD BF'!$AM$15+'TUSD CVA'!$AM$15)*1</f>
        <v>77.876201961015255</v>
      </c>
      <c r="AA367" s="6">
        <f>('TE BE'!$AB$8+'TE BF'!$AB$8+'TE CVA'!$AB$8)*1</f>
        <v>231.76257384332172</v>
      </c>
      <c r="AB367" s="6">
        <f>$K$367*$V$367</f>
        <v>-1573.1999999999998</v>
      </c>
      <c r="AC367" s="6">
        <f>$M$367*$W$367</f>
        <v>-461.26603999999998</v>
      </c>
      <c r="AD367" s="6">
        <f>$O$367*$X$367</f>
        <v>-1790.0690399999999</v>
      </c>
      <c r="AE367" s="6">
        <f ca="1">$K$367*$Y$367</f>
        <v>-1576.8098567388304</v>
      </c>
      <c r="AF367" s="6">
        <f ca="1">$M$367*$Z$367</f>
        <v>-574.10336085660447</v>
      </c>
      <c r="AG367" s="6">
        <f>$O$367*$AA$367</f>
        <v>-1708.5536943729676</v>
      </c>
    </row>
    <row r="368" spans="1:33" ht="11.25" customHeight="1" x14ac:dyDescent="0.25">
      <c r="A368" s="4" t="s">
        <v>28</v>
      </c>
      <c r="B368" s="4" t="s">
        <v>41</v>
      </c>
      <c r="C368" s="4" t="s">
        <v>40</v>
      </c>
      <c r="D368" s="4" t="s">
        <v>43</v>
      </c>
      <c r="E368" s="4" t="s">
        <v>25</v>
      </c>
      <c r="F368" s="4" t="s">
        <v>25</v>
      </c>
      <c r="G368" s="4" t="s">
        <v>25</v>
      </c>
      <c r="H368" s="4" t="s">
        <v>35</v>
      </c>
      <c r="I368" s="5">
        <v>44682</v>
      </c>
      <c r="J368" s="6">
        <v>1400</v>
      </c>
      <c r="K368" s="6">
        <v>1400</v>
      </c>
      <c r="L368" s="6">
        <v>86.244</v>
      </c>
      <c r="M368" s="6">
        <v>86.244</v>
      </c>
      <c r="N368" s="6">
        <v>86.244</v>
      </c>
      <c r="O368" s="6">
        <v>86.244</v>
      </c>
      <c r="P368" s="6">
        <v>0</v>
      </c>
      <c r="Q368" s="4" t="s">
        <v>26</v>
      </c>
      <c r="R368" s="4">
        <v>0</v>
      </c>
      <c r="S368" s="6">
        <v>20</v>
      </c>
      <c r="T368" s="6">
        <v>22</v>
      </c>
      <c r="U368" s="6">
        <v>67</v>
      </c>
      <c r="V368" s="6">
        <f>IF(ISERROR(VLOOKUP($S$368,'TAR FIN'!$A$1:$O$104,15,0)),0,VLOOKUP($S$368,'TAR FIN'!$A$1:$O$104,15,0))</f>
        <v>26.22</v>
      </c>
      <c r="W368" s="6">
        <f>IF(ISERROR(VLOOKUP($T$368,'TAR FIN'!$A$1:$O$104,15,0)),0,VLOOKUP($T$368,'TAR FIN'!$A$1:$O$104,15,0))</f>
        <v>62.57</v>
      </c>
      <c r="X368" s="6">
        <f>IF(ISERROR(VLOOKUP($U$368,'TAR FIN'!$A$1:$O$104,15,0)),0,VLOOKUP($U$368,'TAR FIN'!$A$1:$O$104,15,0))</f>
        <v>242.82</v>
      </c>
      <c r="Y368" s="6">
        <f ca="1">('TUSD BE'!$AM$14+'TUSD BF'!$AM$14+'TUSD CVA'!$AM$14)*1</f>
        <v>26.280164278980507</v>
      </c>
      <c r="Z368" s="6">
        <f ca="1">('TUSD BE'!$AM$15+'TUSD BF'!$AM$15+'TUSD CVA'!$AM$15)*1</f>
        <v>77.876201961015255</v>
      </c>
      <c r="AA368" s="6">
        <f>('TE BE'!$AB$8+'TE BF'!$AB$8+'TE CVA'!$AB$8)*1</f>
        <v>231.76257384332172</v>
      </c>
      <c r="AB368" s="6">
        <f>$K$368*$V$368</f>
        <v>36708</v>
      </c>
      <c r="AC368" s="6">
        <f>$M$368*$W$368</f>
        <v>5396.2870800000001</v>
      </c>
      <c r="AD368" s="6">
        <f>$O$368*$X$368</f>
        <v>20941.768079999998</v>
      </c>
      <c r="AE368" s="6">
        <f ca="1">$K$368*$Y$368</f>
        <v>36792.229990572712</v>
      </c>
      <c r="AF368" s="6">
        <f ca="1">$M$368*$Z$368</f>
        <v>6716.3551619257996</v>
      </c>
      <c r="AG368" s="6">
        <f>$O$368*$AA$368</f>
        <v>19988.131418543438</v>
      </c>
    </row>
    <row r="369" spans="1:33" ht="11.25" customHeight="1" x14ac:dyDescent="0.25">
      <c r="A369" s="4" t="s">
        <v>21</v>
      </c>
      <c r="B369" s="4" t="s">
        <v>41</v>
      </c>
      <c r="C369" s="4" t="s">
        <v>40</v>
      </c>
      <c r="D369" s="4" t="s">
        <v>43</v>
      </c>
      <c r="E369" s="4" t="s">
        <v>25</v>
      </c>
      <c r="F369" s="4" t="s">
        <v>25</v>
      </c>
      <c r="G369" s="4" t="s">
        <v>25</v>
      </c>
      <c r="H369" s="4" t="s">
        <v>35</v>
      </c>
      <c r="I369" s="5">
        <v>44713</v>
      </c>
      <c r="J369" s="6">
        <v>7295</v>
      </c>
      <c r="K369" s="6">
        <v>7295</v>
      </c>
      <c r="L369" s="6">
        <v>2270.2240000000002</v>
      </c>
      <c r="M369" s="6">
        <v>2270.2240000000002</v>
      </c>
      <c r="N369" s="6">
        <v>2270.2240000000002</v>
      </c>
      <c r="O369" s="6">
        <v>2270.2240000000002</v>
      </c>
      <c r="P369" s="6">
        <v>0</v>
      </c>
      <c r="Q369" s="4" t="s">
        <v>26</v>
      </c>
      <c r="R369" s="4">
        <v>0</v>
      </c>
      <c r="S369" s="6">
        <v>20</v>
      </c>
      <c r="T369" s="6">
        <v>22</v>
      </c>
      <c r="U369" s="6">
        <v>67</v>
      </c>
      <c r="V369" s="6">
        <f>IF(ISERROR(VLOOKUP($S$369,'TAR FIN'!$A$1:$O$104,15,0)),0,VLOOKUP($S$369,'TAR FIN'!$A$1:$O$104,15,0))</f>
        <v>26.22</v>
      </c>
      <c r="W369" s="6">
        <f>IF(ISERROR(VLOOKUP($T$369,'TAR FIN'!$A$1:$O$104,15,0)),0,VLOOKUP($T$369,'TAR FIN'!$A$1:$O$104,15,0))</f>
        <v>62.57</v>
      </c>
      <c r="X369" s="6">
        <f>IF(ISERROR(VLOOKUP($U$369,'TAR FIN'!$A$1:$O$104,15,0)),0,VLOOKUP($U$369,'TAR FIN'!$A$1:$O$104,15,0))</f>
        <v>242.82</v>
      </c>
      <c r="Y369" s="6">
        <f ca="1">('TUSD BE'!$AM$14+'TUSD BF'!$AM$14+'TUSD CVA'!$AM$14)*1</f>
        <v>26.280164278980507</v>
      </c>
      <c r="Z369" s="6">
        <f ca="1">('TUSD BE'!$AM$15+'TUSD BF'!$AM$15+'TUSD CVA'!$AM$15)*1</f>
        <v>77.876201961015255</v>
      </c>
      <c r="AA369" s="6">
        <f>('TE BE'!$AB$8+'TE BF'!$AB$8+'TE CVA'!$AB$8)*1</f>
        <v>231.76257384332172</v>
      </c>
      <c r="AB369" s="6">
        <f>$K$369*$V$369</f>
        <v>191274.9</v>
      </c>
      <c r="AC369" s="6">
        <f>$M$369*$W$369</f>
        <v>142047.91568000001</v>
      </c>
      <c r="AD369" s="6">
        <f>$O$369*$X$369</f>
        <v>551255.79168000002</v>
      </c>
      <c r="AE369" s="6">
        <f ca="1">$K$369*$Y$369</f>
        <v>191713.7984151628</v>
      </c>
      <c r="AF369" s="6">
        <f ca="1">$M$369*$Z$369</f>
        <v>176796.4227207439</v>
      </c>
      <c r="AG369" s="6">
        <f>$O$369*$AA$369</f>
        <v>526152.95744088129</v>
      </c>
    </row>
    <row r="370" spans="1:33" ht="11.25" customHeight="1" x14ac:dyDescent="0.25">
      <c r="A370" s="4" t="s">
        <v>28</v>
      </c>
      <c r="B370" s="4" t="s">
        <v>41</v>
      </c>
      <c r="C370" s="4" t="s">
        <v>40</v>
      </c>
      <c r="D370" s="4" t="s">
        <v>43</v>
      </c>
      <c r="E370" s="4" t="s">
        <v>25</v>
      </c>
      <c r="F370" s="4" t="s">
        <v>25</v>
      </c>
      <c r="G370" s="4" t="s">
        <v>25</v>
      </c>
      <c r="H370" s="4" t="s">
        <v>35</v>
      </c>
      <c r="I370" s="5">
        <v>44713</v>
      </c>
      <c r="J370" s="6">
        <v>1432</v>
      </c>
      <c r="K370" s="6">
        <v>1432</v>
      </c>
      <c r="L370" s="6">
        <v>60.866</v>
      </c>
      <c r="M370" s="6">
        <v>60.866</v>
      </c>
      <c r="N370" s="6">
        <v>60.866</v>
      </c>
      <c r="O370" s="6">
        <v>60.866</v>
      </c>
      <c r="P370" s="6">
        <v>0</v>
      </c>
      <c r="Q370" s="4" t="s">
        <v>26</v>
      </c>
      <c r="R370" s="4">
        <v>0</v>
      </c>
      <c r="S370" s="6">
        <v>20</v>
      </c>
      <c r="T370" s="6">
        <v>22</v>
      </c>
      <c r="U370" s="6">
        <v>67</v>
      </c>
      <c r="V370" s="6">
        <f>IF(ISERROR(VLOOKUP($S$370,'TAR FIN'!$A$1:$O$104,15,0)),0,VLOOKUP($S$370,'TAR FIN'!$A$1:$O$104,15,0))</f>
        <v>26.22</v>
      </c>
      <c r="W370" s="6">
        <f>IF(ISERROR(VLOOKUP($T$370,'TAR FIN'!$A$1:$O$104,15,0)),0,VLOOKUP($T$370,'TAR FIN'!$A$1:$O$104,15,0))</f>
        <v>62.57</v>
      </c>
      <c r="X370" s="6">
        <f>IF(ISERROR(VLOOKUP($U$370,'TAR FIN'!$A$1:$O$104,15,0)),0,VLOOKUP($U$370,'TAR FIN'!$A$1:$O$104,15,0))</f>
        <v>242.82</v>
      </c>
      <c r="Y370" s="6">
        <f ca="1">('TUSD BE'!$AM$14+'TUSD BF'!$AM$14+'TUSD CVA'!$AM$14)*1</f>
        <v>26.280164278980507</v>
      </c>
      <c r="Z370" s="6">
        <f ca="1">('TUSD BE'!$AM$15+'TUSD BF'!$AM$15+'TUSD CVA'!$AM$15)*1</f>
        <v>77.876201961015255</v>
      </c>
      <c r="AA370" s="6">
        <f>('TE BE'!$AB$8+'TE BF'!$AB$8+'TE CVA'!$AB$8)*1</f>
        <v>231.76257384332172</v>
      </c>
      <c r="AB370" s="6">
        <f>$K$370*$V$370</f>
        <v>37547.040000000001</v>
      </c>
      <c r="AC370" s="6">
        <f>$M$370*$W$370</f>
        <v>3808.38562</v>
      </c>
      <c r="AD370" s="6">
        <f>$O$370*$X$370</f>
        <v>14779.482119999999</v>
      </c>
      <c r="AE370" s="6">
        <f ca="1">$K$370*$Y$370</f>
        <v>37633.195247500087</v>
      </c>
      <c r="AF370" s="6">
        <f ca="1">$M$370*$Z$370</f>
        <v>4740.0129085591543</v>
      </c>
      <c r="AG370" s="6">
        <f>$O$370*$AA$370</f>
        <v>14106.460819547619</v>
      </c>
    </row>
    <row r="371" spans="1:33" ht="11.25" customHeight="1" x14ac:dyDescent="0.25">
      <c r="A371" s="4" t="s">
        <v>57</v>
      </c>
      <c r="B371" s="4" t="s">
        <v>41</v>
      </c>
      <c r="C371" s="4" t="s">
        <v>40</v>
      </c>
      <c r="D371" s="4" t="s">
        <v>43</v>
      </c>
      <c r="E371" s="4" t="s">
        <v>25</v>
      </c>
      <c r="F371" s="4" t="s">
        <v>25</v>
      </c>
      <c r="G371" s="4" t="s">
        <v>25</v>
      </c>
      <c r="H371" s="4" t="s">
        <v>35</v>
      </c>
      <c r="I371" s="5">
        <v>44743</v>
      </c>
      <c r="J371" s="6">
        <v>7295</v>
      </c>
      <c r="K371" s="6">
        <v>7295</v>
      </c>
      <c r="L371" s="6">
        <v>2270.2240000000002</v>
      </c>
      <c r="M371" s="6">
        <v>2270.2240000000002</v>
      </c>
      <c r="N371" s="6">
        <v>2270.2240000000002</v>
      </c>
      <c r="O371" s="6">
        <v>2270.2240000000002</v>
      </c>
      <c r="P371" s="6">
        <v>0</v>
      </c>
      <c r="Q371" s="4" t="s">
        <v>26</v>
      </c>
      <c r="R371" s="4">
        <v>0</v>
      </c>
      <c r="S371" s="6">
        <v>20</v>
      </c>
      <c r="T371" s="6">
        <v>22</v>
      </c>
      <c r="U371" s="6">
        <v>67</v>
      </c>
      <c r="V371" s="6">
        <f>IF(ISERROR(VLOOKUP($S$371,'TAR FIN'!$A$1:$O$104,15,0)),0,VLOOKUP($S$371,'TAR FIN'!$A$1:$O$104,15,0))</f>
        <v>26.22</v>
      </c>
      <c r="W371" s="6">
        <f>IF(ISERROR(VLOOKUP($T$371,'TAR FIN'!$A$1:$O$104,15,0)),0,VLOOKUP($T$371,'TAR FIN'!$A$1:$O$104,15,0))</f>
        <v>62.57</v>
      </c>
      <c r="X371" s="6">
        <f>IF(ISERROR(VLOOKUP($U$371,'TAR FIN'!$A$1:$O$104,15,0)),0,VLOOKUP($U$371,'TAR FIN'!$A$1:$O$104,15,0))</f>
        <v>242.82</v>
      </c>
      <c r="Y371" s="6">
        <f ca="1">('TUSD BE'!$AM$14+'TUSD BF'!$AM$14+'TUSD CVA'!$AM$14)*1</f>
        <v>26.280164278980507</v>
      </c>
      <c r="Z371" s="6">
        <f ca="1">('TUSD BE'!$AM$15+'TUSD BF'!$AM$15+'TUSD CVA'!$AM$15)*1</f>
        <v>77.876201961015255</v>
      </c>
      <c r="AA371" s="6">
        <f>('TE BE'!$AB$8+'TE BF'!$AB$8+'TE CVA'!$AB$8)*1</f>
        <v>231.76257384332172</v>
      </c>
      <c r="AB371" s="6">
        <f>$K$371*$V$371</f>
        <v>191274.9</v>
      </c>
      <c r="AC371" s="6">
        <f>$M$371*$W$371</f>
        <v>142047.91568000001</v>
      </c>
      <c r="AD371" s="6">
        <f>$O$371*$X$371</f>
        <v>551255.79168000002</v>
      </c>
      <c r="AE371" s="6">
        <f ca="1">$K$371*$Y$371</f>
        <v>191713.7984151628</v>
      </c>
      <c r="AF371" s="6">
        <f ca="1">$M$371*$Z$371</f>
        <v>176796.4227207439</v>
      </c>
      <c r="AG371" s="6">
        <f>$O$371*$AA$371</f>
        <v>526152.95744088129</v>
      </c>
    </row>
    <row r="372" spans="1:33" ht="11.25" customHeight="1" x14ac:dyDescent="0.25">
      <c r="A372" s="4" t="s">
        <v>57</v>
      </c>
      <c r="B372" s="4" t="s">
        <v>41</v>
      </c>
      <c r="C372" s="4" t="s">
        <v>40</v>
      </c>
      <c r="D372" s="4" t="s">
        <v>43</v>
      </c>
      <c r="E372" s="4" t="s">
        <v>25</v>
      </c>
      <c r="F372" s="4" t="s">
        <v>25</v>
      </c>
      <c r="G372" s="4" t="s">
        <v>25</v>
      </c>
      <c r="H372" s="4" t="s">
        <v>35</v>
      </c>
      <c r="I372" s="5">
        <v>44743</v>
      </c>
      <c r="J372" s="6">
        <v>1432</v>
      </c>
      <c r="K372" s="6">
        <v>1432</v>
      </c>
      <c r="L372" s="6">
        <v>60.866</v>
      </c>
      <c r="M372" s="6">
        <v>60.866</v>
      </c>
      <c r="N372" s="6">
        <v>60.866</v>
      </c>
      <c r="O372" s="6">
        <v>60.866</v>
      </c>
      <c r="P372" s="6">
        <v>0</v>
      </c>
      <c r="Q372" s="4" t="s">
        <v>26</v>
      </c>
      <c r="R372" s="4">
        <v>0</v>
      </c>
      <c r="S372" s="6">
        <v>20</v>
      </c>
      <c r="T372" s="6">
        <v>22</v>
      </c>
      <c r="U372" s="6">
        <v>67</v>
      </c>
      <c r="V372" s="6">
        <f>IF(ISERROR(VLOOKUP($S$372,'TAR FIN'!$A$1:$O$104,15,0)),0,VLOOKUP($S$372,'TAR FIN'!$A$1:$O$104,15,0))</f>
        <v>26.22</v>
      </c>
      <c r="W372" s="6">
        <f>IF(ISERROR(VLOOKUP($T$372,'TAR FIN'!$A$1:$O$104,15,0)),0,VLOOKUP($T$372,'TAR FIN'!$A$1:$O$104,15,0))</f>
        <v>62.57</v>
      </c>
      <c r="X372" s="6">
        <f>IF(ISERROR(VLOOKUP($U$372,'TAR FIN'!$A$1:$O$104,15,0)),0,VLOOKUP($U$372,'TAR FIN'!$A$1:$O$104,15,0))</f>
        <v>242.82</v>
      </c>
      <c r="Y372" s="6">
        <f ca="1">('TUSD BE'!$AM$14+'TUSD BF'!$AM$14+'TUSD CVA'!$AM$14)*1</f>
        <v>26.280164278980507</v>
      </c>
      <c r="Z372" s="6">
        <f ca="1">('TUSD BE'!$AM$15+'TUSD BF'!$AM$15+'TUSD CVA'!$AM$15)*1</f>
        <v>77.876201961015255</v>
      </c>
      <c r="AA372" s="6">
        <f>('TE BE'!$AB$8+'TE BF'!$AB$8+'TE CVA'!$AB$8)*1</f>
        <v>231.76257384332172</v>
      </c>
      <c r="AB372" s="6">
        <f>$K$372*$V$372</f>
        <v>37547.040000000001</v>
      </c>
      <c r="AC372" s="6">
        <f>$M$372*$W$372</f>
        <v>3808.38562</v>
      </c>
      <c r="AD372" s="6">
        <f>$O$372*$X$372</f>
        <v>14779.482119999999</v>
      </c>
      <c r="AE372" s="6">
        <f ca="1">$K$372*$Y$372</f>
        <v>37633.195247500087</v>
      </c>
      <c r="AF372" s="6">
        <f ca="1">$M$372*$Z$372</f>
        <v>4740.0129085591543</v>
      </c>
      <c r="AG372" s="6">
        <f>$O$372*$AA$372</f>
        <v>14106.460819547619</v>
      </c>
    </row>
    <row r="373" spans="1:33" ht="11.25" customHeight="1" x14ac:dyDescent="0.25">
      <c r="A373" s="4" t="s">
        <v>21</v>
      </c>
      <c r="B373" s="4" t="s">
        <v>41</v>
      </c>
      <c r="C373" s="4" t="s">
        <v>40</v>
      </c>
      <c r="D373" s="4" t="s">
        <v>43</v>
      </c>
      <c r="E373" s="4" t="s">
        <v>25</v>
      </c>
      <c r="F373" s="4" t="s">
        <v>25</v>
      </c>
      <c r="G373" s="4" t="s">
        <v>25</v>
      </c>
      <c r="H373" s="4" t="s">
        <v>25</v>
      </c>
      <c r="I373" s="5">
        <v>44409</v>
      </c>
      <c r="J373" s="6">
        <v>0</v>
      </c>
      <c r="K373" s="6">
        <v>0</v>
      </c>
      <c r="L373" s="6">
        <v>15.478</v>
      </c>
      <c r="M373" s="6">
        <v>15.478</v>
      </c>
      <c r="N373" s="6">
        <v>0</v>
      </c>
      <c r="O373" s="6">
        <v>0</v>
      </c>
      <c r="P373" s="6">
        <v>1</v>
      </c>
      <c r="Q373" s="4" t="s">
        <v>58</v>
      </c>
      <c r="R373" s="4">
        <v>0</v>
      </c>
      <c r="S373" s="6">
        <v>0</v>
      </c>
      <c r="T373" s="6">
        <v>22</v>
      </c>
      <c r="U373" s="6">
        <v>0</v>
      </c>
      <c r="V373" s="6">
        <f>IF(ISERROR(VLOOKUP($S$373,'TAR FIN'!$A$1:$O$104,15,0)),0,VLOOKUP($S$373,'TAR FIN'!$A$1:$O$104,15,0))</f>
        <v>0</v>
      </c>
      <c r="W373" s="6">
        <f>IF(ISERROR(VLOOKUP($T$373,'TAR FIN'!$A$1:$O$104,15,0)),0,VLOOKUP($T$373,'TAR FIN'!$A$1:$O$104,15,0))</f>
        <v>62.57</v>
      </c>
      <c r="X373" s="6">
        <f>IF(ISERROR(VLOOKUP($U$373,'TAR FIN'!$A$1:$O$104,15,0)),0,VLOOKUP($U$373,'TAR FIN'!$A$1:$O$104,15,0))</f>
        <v>0</v>
      </c>
      <c r="Y373" s="6"/>
      <c r="Z373" s="6">
        <f ca="1">('TUSD BE'!$AM$15+'TUSD BF'!$AM$15+'TUSD CVA'!$AM$15)*1</f>
        <v>77.876201961015255</v>
      </c>
      <c r="AA373" s="6"/>
      <c r="AB373" s="6">
        <f>$K$373*$V$373</f>
        <v>0</v>
      </c>
      <c r="AC373" s="6">
        <f>$M$373*$W$373</f>
        <v>968.45845999999995</v>
      </c>
      <c r="AD373" s="6">
        <f>$O$373*$X$373</f>
        <v>0</v>
      </c>
      <c r="AE373" s="6">
        <f>$K$373*$Y$373</f>
        <v>0</v>
      </c>
      <c r="AF373" s="6">
        <f ca="1">$M$373*$Z$373</f>
        <v>1205.367853952594</v>
      </c>
      <c r="AG373" s="6">
        <f>$O$373*$AA$373</f>
        <v>0</v>
      </c>
    </row>
    <row r="374" spans="1:33" ht="11.25" customHeight="1" x14ac:dyDescent="0.25">
      <c r="A374" s="4" t="s">
        <v>21</v>
      </c>
      <c r="B374" s="4" t="s">
        <v>41</v>
      </c>
      <c r="C374" s="4" t="s">
        <v>40</v>
      </c>
      <c r="D374" s="4" t="s">
        <v>43</v>
      </c>
      <c r="E374" s="4" t="s">
        <v>25</v>
      </c>
      <c r="F374" s="4" t="s">
        <v>25</v>
      </c>
      <c r="G374" s="4" t="s">
        <v>25</v>
      </c>
      <c r="H374" s="4" t="s">
        <v>34</v>
      </c>
      <c r="I374" s="5">
        <v>44409</v>
      </c>
      <c r="J374" s="6">
        <v>5882</v>
      </c>
      <c r="K374" s="6">
        <v>5882</v>
      </c>
      <c r="L374" s="6">
        <v>248.38499999999999</v>
      </c>
      <c r="M374" s="6">
        <v>248.38499999999999</v>
      </c>
      <c r="N374" s="6">
        <v>248.38499999999999</v>
      </c>
      <c r="O374" s="6">
        <v>248.38499999999999</v>
      </c>
      <c r="P374" s="6">
        <v>0</v>
      </c>
      <c r="Q374" s="4" t="s">
        <v>26</v>
      </c>
      <c r="R374" s="4">
        <v>0</v>
      </c>
      <c r="S374" s="6">
        <v>18</v>
      </c>
      <c r="T374" s="6">
        <v>22</v>
      </c>
      <c r="U374" s="6">
        <v>66</v>
      </c>
      <c r="V374" s="6">
        <f>IF(ISERROR(VLOOKUP($S$374,'TAR FIN'!$A$1:$O$104,15,0)),0,VLOOKUP($S$374,'TAR FIN'!$A$1:$O$104,15,0))</f>
        <v>52.15</v>
      </c>
      <c r="W374" s="6">
        <f>IF(ISERROR(VLOOKUP($T$374,'TAR FIN'!$A$1:$O$104,15,0)),0,VLOOKUP($T$374,'TAR FIN'!$A$1:$O$104,15,0))</f>
        <v>62.57</v>
      </c>
      <c r="X374" s="6">
        <f>IF(ISERROR(VLOOKUP($U$374,'TAR FIN'!$A$1:$O$104,15,0)),0,VLOOKUP($U$374,'TAR FIN'!$A$1:$O$104,15,0))</f>
        <v>397.62</v>
      </c>
      <c r="Y374" s="6">
        <f ca="1">('TUSD BE'!$AM$13+'TUSD BF'!$AM$13+'TUSD CVA'!$AM$13)*1</f>
        <v>52.233673366014429</v>
      </c>
      <c r="Z374" s="6">
        <f ca="1">('TUSD BE'!$AM$15+'TUSD BF'!$AM$15+'TUSD CVA'!$AM$15)*1</f>
        <v>77.876201961015255</v>
      </c>
      <c r="AA374" s="6">
        <f>('TE BE'!$AB$7+'TE BF'!$AB$7+'TE CVA'!$AB$7)*1</f>
        <v>360.26029187567116</v>
      </c>
      <c r="AB374" s="6">
        <f>$K$374*$V$374</f>
        <v>306746.3</v>
      </c>
      <c r="AC374" s="6">
        <f>$M$374*$W$374</f>
        <v>15541.44945</v>
      </c>
      <c r="AD374" s="6">
        <f>$O$374*$X$374</f>
        <v>98762.843699999998</v>
      </c>
      <c r="AE374" s="6">
        <f ca="1">$K$374*$Y$374</f>
        <v>307238.46673889685</v>
      </c>
      <c r="AF374" s="6">
        <f ca="1">$M$374*$Z$374</f>
        <v>19343.280424086774</v>
      </c>
      <c r="AG374" s="6">
        <f>$O$374*$AA$374</f>
        <v>89483.25259753858</v>
      </c>
    </row>
    <row r="375" spans="1:33" ht="11.25" customHeight="1" x14ac:dyDescent="0.25">
      <c r="A375" s="4" t="s">
        <v>28</v>
      </c>
      <c r="B375" s="4" t="s">
        <v>41</v>
      </c>
      <c r="C375" s="4" t="s">
        <v>40</v>
      </c>
      <c r="D375" s="4" t="s">
        <v>43</v>
      </c>
      <c r="E375" s="4" t="s">
        <v>25</v>
      </c>
      <c r="F375" s="4" t="s">
        <v>25</v>
      </c>
      <c r="G375" s="4" t="s">
        <v>25</v>
      </c>
      <c r="H375" s="4" t="s">
        <v>34</v>
      </c>
      <c r="I375" s="5">
        <v>44409</v>
      </c>
      <c r="J375" s="6">
        <v>115</v>
      </c>
      <c r="K375" s="6">
        <v>115</v>
      </c>
      <c r="L375" s="6">
        <v>2.52</v>
      </c>
      <c r="M375" s="6">
        <v>2.52</v>
      </c>
      <c r="N375" s="6">
        <v>2.52</v>
      </c>
      <c r="O375" s="6">
        <v>2.52</v>
      </c>
      <c r="P375" s="6">
        <v>0</v>
      </c>
      <c r="Q375" s="4" t="s">
        <v>26</v>
      </c>
      <c r="R375" s="4">
        <v>0</v>
      </c>
      <c r="S375" s="6">
        <v>18</v>
      </c>
      <c r="T375" s="6">
        <v>22</v>
      </c>
      <c r="U375" s="6">
        <v>66</v>
      </c>
      <c r="V375" s="6">
        <f>IF(ISERROR(VLOOKUP($S$375,'TAR FIN'!$A$1:$O$104,15,0)),0,VLOOKUP($S$375,'TAR FIN'!$A$1:$O$104,15,0))</f>
        <v>52.15</v>
      </c>
      <c r="W375" s="6">
        <f>IF(ISERROR(VLOOKUP($T$375,'TAR FIN'!$A$1:$O$104,15,0)),0,VLOOKUP($T$375,'TAR FIN'!$A$1:$O$104,15,0))</f>
        <v>62.57</v>
      </c>
      <c r="X375" s="6">
        <f>IF(ISERROR(VLOOKUP($U$375,'TAR FIN'!$A$1:$O$104,15,0)),0,VLOOKUP($U$375,'TAR FIN'!$A$1:$O$104,15,0))</f>
        <v>397.62</v>
      </c>
      <c r="Y375" s="6">
        <f ca="1">('TUSD BE'!$AM$13+'TUSD BF'!$AM$13+'TUSD CVA'!$AM$13)*1</f>
        <v>52.233673366014429</v>
      </c>
      <c r="Z375" s="6">
        <f ca="1">('TUSD BE'!$AM$15+'TUSD BF'!$AM$15+'TUSD CVA'!$AM$15)*1</f>
        <v>77.876201961015255</v>
      </c>
      <c r="AA375" s="6">
        <f>('TE BE'!$AB$7+'TE BF'!$AB$7+'TE CVA'!$AB$7)*1</f>
        <v>360.26029187567116</v>
      </c>
      <c r="AB375" s="6">
        <f>$K$375*$V$375</f>
        <v>5997.25</v>
      </c>
      <c r="AC375" s="6">
        <f>$M$375*$W$375</f>
        <v>157.6764</v>
      </c>
      <c r="AD375" s="6">
        <f>$O$375*$X$375</f>
        <v>1002.0024</v>
      </c>
      <c r="AE375" s="6">
        <f ca="1">$K$375*$Y$375</f>
        <v>6006.8724370916598</v>
      </c>
      <c r="AF375" s="6">
        <f ca="1">$M$375*$Z$375</f>
        <v>196.24802894175843</v>
      </c>
      <c r="AG375" s="6">
        <f>$O$375*$AA$375</f>
        <v>907.85593552669127</v>
      </c>
    </row>
    <row r="376" spans="1:33" ht="11.25" customHeight="1" x14ac:dyDescent="0.25">
      <c r="A376" s="4" t="s">
        <v>28</v>
      </c>
      <c r="B376" s="4" t="s">
        <v>41</v>
      </c>
      <c r="C376" s="4" t="s">
        <v>40</v>
      </c>
      <c r="D376" s="4" t="s">
        <v>43</v>
      </c>
      <c r="E376" s="4" t="s">
        <v>25</v>
      </c>
      <c r="F376" s="4" t="s">
        <v>25</v>
      </c>
      <c r="G376" s="4" t="s">
        <v>25</v>
      </c>
      <c r="H376" s="4" t="s">
        <v>34</v>
      </c>
      <c r="I376" s="5">
        <v>44409</v>
      </c>
      <c r="J376" s="6">
        <v>-160</v>
      </c>
      <c r="K376" s="6">
        <v>-160</v>
      </c>
      <c r="L376" s="6">
        <v>-4.7560000000000002</v>
      </c>
      <c r="M376" s="6">
        <v>-4.7560000000000002</v>
      </c>
      <c r="N376" s="6">
        <v>-4.7560000000000002</v>
      </c>
      <c r="O376" s="6">
        <v>-4.7560000000000002</v>
      </c>
      <c r="P376" s="6">
        <v>0</v>
      </c>
      <c r="Q376" s="4" t="s">
        <v>26</v>
      </c>
      <c r="R376" s="4">
        <v>0</v>
      </c>
      <c r="S376" s="6">
        <v>18</v>
      </c>
      <c r="T376" s="6">
        <v>22</v>
      </c>
      <c r="U376" s="6">
        <v>66</v>
      </c>
      <c r="V376" s="6">
        <f>IF(ISERROR(VLOOKUP($S$376,'TAR FIN'!$A$1:$O$104,15,0)),0,VLOOKUP($S$376,'TAR FIN'!$A$1:$O$104,15,0))</f>
        <v>52.15</v>
      </c>
      <c r="W376" s="6">
        <f>IF(ISERROR(VLOOKUP($T$376,'TAR FIN'!$A$1:$O$104,15,0)),0,VLOOKUP($T$376,'TAR FIN'!$A$1:$O$104,15,0))</f>
        <v>62.57</v>
      </c>
      <c r="X376" s="6">
        <f>IF(ISERROR(VLOOKUP($U$376,'TAR FIN'!$A$1:$O$104,15,0)),0,VLOOKUP($U$376,'TAR FIN'!$A$1:$O$104,15,0))</f>
        <v>397.62</v>
      </c>
      <c r="Y376" s="6">
        <f ca="1">('TUSD BE'!$AM$13+'TUSD BF'!$AM$13+'TUSD CVA'!$AM$13)*1</f>
        <v>52.233673366014429</v>
      </c>
      <c r="Z376" s="6">
        <f ca="1">('TUSD BE'!$AM$15+'TUSD BF'!$AM$15+'TUSD CVA'!$AM$15)*1</f>
        <v>77.876201961015255</v>
      </c>
      <c r="AA376" s="6">
        <f>('TE BE'!$AB$7+'TE BF'!$AB$7+'TE CVA'!$AB$7)*1</f>
        <v>360.26029187567116</v>
      </c>
      <c r="AB376" s="6">
        <f>$K$376*$V$376</f>
        <v>-8344</v>
      </c>
      <c r="AC376" s="6">
        <f>$M$376*$W$376</f>
        <v>-297.58292</v>
      </c>
      <c r="AD376" s="6">
        <f>$O$376*$X$376</f>
        <v>-1891.0807200000002</v>
      </c>
      <c r="AE376" s="6">
        <f ca="1">$K$376*$Y$376</f>
        <v>-8357.3877385623091</v>
      </c>
      <c r="AF376" s="6">
        <f ca="1">$M$376*$Z$376</f>
        <v>-370.37921652658855</v>
      </c>
      <c r="AG376" s="6">
        <f>$O$376*$AA$376</f>
        <v>-1713.3979481606921</v>
      </c>
    </row>
    <row r="377" spans="1:33" ht="11.25" customHeight="1" x14ac:dyDescent="0.25">
      <c r="A377" s="4" t="s">
        <v>21</v>
      </c>
      <c r="B377" s="4" t="s">
        <v>41</v>
      </c>
      <c r="C377" s="4" t="s">
        <v>40</v>
      </c>
      <c r="D377" s="4" t="s">
        <v>43</v>
      </c>
      <c r="E377" s="4" t="s">
        <v>25</v>
      </c>
      <c r="F377" s="4" t="s">
        <v>25</v>
      </c>
      <c r="G377" s="4" t="s">
        <v>25</v>
      </c>
      <c r="H377" s="4" t="s">
        <v>34</v>
      </c>
      <c r="I377" s="5">
        <v>44409</v>
      </c>
      <c r="J377" s="6">
        <v>60</v>
      </c>
      <c r="K377" s="6">
        <v>60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4" t="s">
        <v>58</v>
      </c>
      <c r="R377" s="4">
        <v>0</v>
      </c>
      <c r="S377" s="6">
        <v>18</v>
      </c>
      <c r="T377" s="6">
        <v>0</v>
      </c>
      <c r="U377" s="6">
        <v>0</v>
      </c>
      <c r="V377" s="6">
        <f>IF(ISERROR(VLOOKUP($S$377,'TAR FIN'!$A$1:$O$104,15,0)),0,VLOOKUP($S$377,'TAR FIN'!$A$1:$O$104,15,0))</f>
        <v>52.15</v>
      </c>
      <c r="W377" s="6">
        <f>IF(ISERROR(VLOOKUP($T$377,'TAR FIN'!$A$1:$O$104,15,0)),0,VLOOKUP($T$377,'TAR FIN'!$A$1:$O$104,15,0))</f>
        <v>0</v>
      </c>
      <c r="X377" s="6">
        <f>IF(ISERROR(VLOOKUP($U$377,'TAR FIN'!$A$1:$O$104,15,0)),0,VLOOKUP($U$377,'TAR FIN'!$A$1:$O$104,15,0))</f>
        <v>0</v>
      </c>
      <c r="Y377" s="6">
        <f ca="1">('TUSD BE'!$AM$13+'TUSD BF'!$AM$13+'TUSD CVA'!$AM$13)*1</f>
        <v>52.233673366014429</v>
      </c>
      <c r="Z377" s="6">
        <f ca="1">('TUSD BE'!$AM$15+'TUSD BF'!$AM$15+'TUSD CVA'!$AM$15)*1</f>
        <v>77.876201961015255</v>
      </c>
      <c r="AA377" s="6"/>
      <c r="AB377" s="6">
        <f>$K$377*$V$377</f>
        <v>3129</v>
      </c>
      <c r="AC377" s="6">
        <f>$M$377*$W$377</f>
        <v>0</v>
      </c>
      <c r="AD377" s="6">
        <f>$O$377*$X$377</f>
        <v>0</v>
      </c>
      <c r="AE377" s="6">
        <f ca="1">$K$377*$Y$377</f>
        <v>3134.0204019608659</v>
      </c>
      <c r="AF377" s="6">
        <f ca="1">$M$377*$Z$377</f>
        <v>0</v>
      </c>
      <c r="AG377" s="6">
        <f>$O$377*$AA$377</f>
        <v>0</v>
      </c>
    </row>
    <row r="378" spans="1:33" ht="11.25" customHeight="1" x14ac:dyDescent="0.25">
      <c r="A378" s="4" t="s">
        <v>21</v>
      </c>
      <c r="B378" s="4" t="s">
        <v>41</v>
      </c>
      <c r="C378" s="4" t="s">
        <v>40</v>
      </c>
      <c r="D378" s="4" t="s">
        <v>43</v>
      </c>
      <c r="E378" s="4" t="s">
        <v>25</v>
      </c>
      <c r="F378" s="4" t="s">
        <v>25</v>
      </c>
      <c r="G378" s="4" t="s">
        <v>25</v>
      </c>
      <c r="H378" s="4" t="s">
        <v>34</v>
      </c>
      <c r="I378" s="5">
        <v>44440</v>
      </c>
      <c r="J378" s="6">
        <v>6084</v>
      </c>
      <c r="K378" s="6">
        <v>6084</v>
      </c>
      <c r="L378" s="6">
        <v>254.88300000000001</v>
      </c>
      <c r="M378" s="6">
        <v>254.88300000000001</v>
      </c>
      <c r="N378" s="6">
        <v>254.88300000000001</v>
      </c>
      <c r="O378" s="6">
        <v>254.88300000000001</v>
      </c>
      <c r="P378" s="6">
        <v>0</v>
      </c>
      <c r="Q378" s="4" t="s">
        <v>26</v>
      </c>
      <c r="R378" s="4">
        <v>0</v>
      </c>
      <c r="S378" s="6">
        <v>18</v>
      </c>
      <c r="T378" s="6">
        <v>22</v>
      </c>
      <c r="U378" s="6">
        <v>66</v>
      </c>
      <c r="V378" s="6">
        <f>IF(ISERROR(VLOOKUP($S$378,'TAR FIN'!$A$1:$O$104,15,0)),0,VLOOKUP($S$378,'TAR FIN'!$A$1:$O$104,15,0))</f>
        <v>52.15</v>
      </c>
      <c r="W378" s="6">
        <f>IF(ISERROR(VLOOKUP($T$378,'TAR FIN'!$A$1:$O$104,15,0)),0,VLOOKUP($T$378,'TAR FIN'!$A$1:$O$104,15,0))</f>
        <v>62.57</v>
      </c>
      <c r="X378" s="6">
        <f>IF(ISERROR(VLOOKUP($U$378,'TAR FIN'!$A$1:$O$104,15,0)),0,VLOOKUP($U$378,'TAR FIN'!$A$1:$O$104,15,0))</f>
        <v>397.62</v>
      </c>
      <c r="Y378" s="6">
        <f ca="1">('TUSD BE'!$AM$13+'TUSD BF'!$AM$13+'TUSD CVA'!$AM$13)*1</f>
        <v>52.233673366014429</v>
      </c>
      <c r="Z378" s="6">
        <f ca="1">('TUSD BE'!$AM$15+'TUSD BF'!$AM$15+'TUSD CVA'!$AM$15)*1</f>
        <v>77.876201961015255</v>
      </c>
      <c r="AA378" s="6">
        <f>('TE BE'!$AB$7+'TE BF'!$AB$7+'TE CVA'!$AB$7)*1</f>
        <v>360.26029187567116</v>
      </c>
      <c r="AB378" s="6">
        <f>$K$378*$V$378</f>
        <v>317280.59999999998</v>
      </c>
      <c r="AC378" s="6">
        <f>$M$378*$W$378</f>
        <v>15948.02931</v>
      </c>
      <c r="AD378" s="6">
        <f>$O$378*$X$378</f>
        <v>101346.57846</v>
      </c>
      <c r="AE378" s="6">
        <f ca="1">$K$378*$Y$378</f>
        <v>317789.6687588318</v>
      </c>
      <c r="AF378" s="6">
        <f ca="1">$M$378*$Z$378</f>
        <v>19849.31998442945</v>
      </c>
      <c r="AG378" s="6">
        <f>$O$378*$AA$378</f>
        <v>91824.223974146691</v>
      </c>
    </row>
    <row r="379" spans="1:33" ht="11.25" customHeight="1" x14ac:dyDescent="0.25">
      <c r="A379" s="4" t="s">
        <v>28</v>
      </c>
      <c r="B379" s="4" t="s">
        <v>41</v>
      </c>
      <c r="C379" s="4" t="s">
        <v>40</v>
      </c>
      <c r="D379" s="4" t="s">
        <v>43</v>
      </c>
      <c r="E379" s="4" t="s">
        <v>25</v>
      </c>
      <c r="F379" s="4" t="s">
        <v>25</v>
      </c>
      <c r="G379" s="4" t="s">
        <v>25</v>
      </c>
      <c r="H379" s="4" t="s">
        <v>34</v>
      </c>
      <c r="I379" s="5">
        <v>44440</v>
      </c>
      <c r="J379" s="6">
        <v>115</v>
      </c>
      <c r="K379" s="6">
        <v>115</v>
      </c>
      <c r="L379" s="6">
        <v>2.552</v>
      </c>
      <c r="M379" s="6">
        <v>2.552</v>
      </c>
      <c r="N379" s="6">
        <v>2.552</v>
      </c>
      <c r="O379" s="6">
        <v>2.552</v>
      </c>
      <c r="P379" s="6">
        <v>0</v>
      </c>
      <c r="Q379" s="4" t="s">
        <v>26</v>
      </c>
      <c r="R379" s="4">
        <v>0</v>
      </c>
      <c r="S379" s="6">
        <v>18</v>
      </c>
      <c r="T379" s="6">
        <v>22</v>
      </c>
      <c r="U379" s="6">
        <v>66</v>
      </c>
      <c r="V379" s="6">
        <f>IF(ISERROR(VLOOKUP($S$379,'TAR FIN'!$A$1:$O$104,15,0)),0,VLOOKUP($S$379,'TAR FIN'!$A$1:$O$104,15,0))</f>
        <v>52.15</v>
      </c>
      <c r="W379" s="6">
        <f>IF(ISERROR(VLOOKUP($T$379,'TAR FIN'!$A$1:$O$104,15,0)),0,VLOOKUP($T$379,'TAR FIN'!$A$1:$O$104,15,0))</f>
        <v>62.57</v>
      </c>
      <c r="X379" s="6">
        <f>IF(ISERROR(VLOOKUP($U$379,'TAR FIN'!$A$1:$O$104,15,0)),0,VLOOKUP($U$379,'TAR FIN'!$A$1:$O$104,15,0))</f>
        <v>397.62</v>
      </c>
      <c r="Y379" s="6">
        <f ca="1">('TUSD BE'!$AM$13+'TUSD BF'!$AM$13+'TUSD CVA'!$AM$13)*1</f>
        <v>52.233673366014429</v>
      </c>
      <c r="Z379" s="6">
        <f ca="1">('TUSD BE'!$AM$15+'TUSD BF'!$AM$15+'TUSD CVA'!$AM$15)*1</f>
        <v>77.876201961015255</v>
      </c>
      <c r="AA379" s="6">
        <f>('TE BE'!$AB$7+'TE BF'!$AB$7+'TE CVA'!$AB$7)*1</f>
        <v>360.26029187567116</v>
      </c>
      <c r="AB379" s="6">
        <f>$K$379*$V$379</f>
        <v>5997.25</v>
      </c>
      <c r="AC379" s="6">
        <f>$M$379*$W$379</f>
        <v>159.67864</v>
      </c>
      <c r="AD379" s="6">
        <f>$O$379*$X$379</f>
        <v>1014.7262400000001</v>
      </c>
      <c r="AE379" s="6">
        <f ca="1">$K$379*$Y$379</f>
        <v>6006.8724370916598</v>
      </c>
      <c r="AF379" s="6">
        <f ca="1">$M$379*$Z$379</f>
        <v>198.74006740451094</v>
      </c>
      <c r="AG379" s="6">
        <f>$O$379*$AA$379</f>
        <v>919.38426486671278</v>
      </c>
    </row>
    <row r="380" spans="1:33" ht="11.25" customHeight="1" x14ac:dyDescent="0.25">
      <c r="A380" s="4" t="s">
        <v>21</v>
      </c>
      <c r="B380" s="4" t="s">
        <v>41</v>
      </c>
      <c r="C380" s="4" t="s">
        <v>40</v>
      </c>
      <c r="D380" s="4" t="s">
        <v>43</v>
      </c>
      <c r="E380" s="4" t="s">
        <v>25</v>
      </c>
      <c r="F380" s="4" t="s">
        <v>25</v>
      </c>
      <c r="G380" s="4" t="s">
        <v>25</v>
      </c>
      <c r="H380" s="4" t="s">
        <v>34</v>
      </c>
      <c r="I380" s="5">
        <v>44470</v>
      </c>
      <c r="J380" s="6">
        <v>5786</v>
      </c>
      <c r="K380" s="6">
        <v>5786</v>
      </c>
      <c r="L380" s="6">
        <v>246.70400000000001</v>
      </c>
      <c r="M380" s="6">
        <v>246.70400000000001</v>
      </c>
      <c r="N380" s="6">
        <v>246.70400000000001</v>
      </c>
      <c r="O380" s="6">
        <v>246.70400000000001</v>
      </c>
      <c r="P380" s="6">
        <v>0</v>
      </c>
      <c r="Q380" s="4" t="s">
        <v>26</v>
      </c>
      <c r="R380" s="4">
        <v>0</v>
      </c>
      <c r="S380" s="6">
        <v>18</v>
      </c>
      <c r="T380" s="6">
        <v>22</v>
      </c>
      <c r="U380" s="6">
        <v>66</v>
      </c>
      <c r="V380" s="6">
        <f>IF(ISERROR(VLOOKUP($S$380,'TAR FIN'!$A$1:$O$104,15,0)),0,VLOOKUP($S$380,'TAR FIN'!$A$1:$O$104,15,0))</f>
        <v>52.15</v>
      </c>
      <c r="W380" s="6">
        <f>IF(ISERROR(VLOOKUP($T$380,'TAR FIN'!$A$1:$O$104,15,0)),0,VLOOKUP($T$380,'TAR FIN'!$A$1:$O$104,15,0))</f>
        <v>62.57</v>
      </c>
      <c r="X380" s="6">
        <f>IF(ISERROR(VLOOKUP($U$380,'TAR FIN'!$A$1:$O$104,15,0)),0,VLOOKUP($U$380,'TAR FIN'!$A$1:$O$104,15,0))</f>
        <v>397.62</v>
      </c>
      <c r="Y380" s="6">
        <f ca="1">('TUSD BE'!$AM$13+'TUSD BF'!$AM$13+'TUSD CVA'!$AM$13)*1</f>
        <v>52.233673366014429</v>
      </c>
      <c r="Z380" s="6">
        <f ca="1">('TUSD BE'!$AM$15+'TUSD BF'!$AM$15+'TUSD CVA'!$AM$15)*1</f>
        <v>77.876201961015255</v>
      </c>
      <c r="AA380" s="6">
        <f>('TE BE'!$AB$7+'TE BF'!$AB$7+'TE CVA'!$AB$7)*1</f>
        <v>360.26029187567116</v>
      </c>
      <c r="AB380" s="6">
        <f>$K$380*$V$380</f>
        <v>301739.89999999997</v>
      </c>
      <c r="AC380" s="6">
        <f>$M$380*$W$380</f>
        <v>15436.26928</v>
      </c>
      <c r="AD380" s="6">
        <f>$O$380*$X$380</f>
        <v>98094.444480000006</v>
      </c>
      <c r="AE380" s="6">
        <f ca="1">$K$380*$Y$380</f>
        <v>302224.0340957595</v>
      </c>
      <c r="AF380" s="6">
        <f ca="1">$M$380*$Z$380</f>
        <v>19212.370528590309</v>
      </c>
      <c r="AG380" s="6">
        <f>$O$380*$AA$380</f>
        <v>88877.655046895583</v>
      </c>
    </row>
    <row r="381" spans="1:33" ht="11.25" customHeight="1" x14ac:dyDescent="0.25">
      <c r="A381" s="4" t="s">
        <v>28</v>
      </c>
      <c r="B381" s="4" t="s">
        <v>41</v>
      </c>
      <c r="C381" s="4" t="s">
        <v>40</v>
      </c>
      <c r="D381" s="4" t="s">
        <v>43</v>
      </c>
      <c r="E381" s="4" t="s">
        <v>25</v>
      </c>
      <c r="F381" s="4" t="s">
        <v>25</v>
      </c>
      <c r="G381" s="4" t="s">
        <v>25</v>
      </c>
      <c r="H381" s="4" t="s">
        <v>34</v>
      </c>
      <c r="I381" s="5">
        <v>44470</v>
      </c>
      <c r="J381" s="6">
        <v>122</v>
      </c>
      <c r="K381" s="6">
        <v>122</v>
      </c>
      <c r="L381" s="6">
        <v>3.6480000000000001</v>
      </c>
      <c r="M381" s="6">
        <v>3.6480000000000001</v>
      </c>
      <c r="N381" s="6">
        <v>3.6480000000000001</v>
      </c>
      <c r="O381" s="6">
        <v>3.6480000000000001</v>
      </c>
      <c r="P381" s="6">
        <v>0</v>
      </c>
      <c r="Q381" s="4" t="s">
        <v>26</v>
      </c>
      <c r="R381" s="4">
        <v>0</v>
      </c>
      <c r="S381" s="6">
        <v>18</v>
      </c>
      <c r="T381" s="6">
        <v>22</v>
      </c>
      <c r="U381" s="6">
        <v>66</v>
      </c>
      <c r="V381" s="6">
        <f>IF(ISERROR(VLOOKUP($S$381,'TAR FIN'!$A$1:$O$104,15,0)),0,VLOOKUP($S$381,'TAR FIN'!$A$1:$O$104,15,0))</f>
        <v>52.15</v>
      </c>
      <c r="W381" s="6">
        <f>IF(ISERROR(VLOOKUP($T$381,'TAR FIN'!$A$1:$O$104,15,0)),0,VLOOKUP($T$381,'TAR FIN'!$A$1:$O$104,15,0))</f>
        <v>62.57</v>
      </c>
      <c r="X381" s="6">
        <f>IF(ISERROR(VLOOKUP($U$381,'TAR FIN'!$A$1:$O$104,15,0)),0,VLOOKUP($U$381,'TAR FIN'!$A$1:$O$104,15,0))</f>
        <v>397.62</v>
      </c>
      <c r="Y381" s="6">
        <f ca="1">('TUSD BE'!$AM$13+'TUSD BF'!$AM$13+'TUSD CVA'!$AM$13)*1</f>
        <v>52.233673366014429</v>
      </c>
      <c r="Z381" s="6">
        <f ca="1">('TUSD BE'!$AM$15+'TUSD BF'!$AM$15+'TUSD CVA'!$AM$15)*1</f>
        <v>77.876201961015255</v>
      </c>
      <c r="AA381" s="6">
        <f>('TE BE'!$AB$7+'TE BF'!$AB$7+'TE CVA'!$AB$7)*1</f>
        <v>360.26029187567116</v>
      </c>
      <c r="AB381" s="6">
        <f>$K$381*$V$381</f>
        <v>6362.3</v>
      </c>
      <c r="AC381" s="6">
        <f>$M$381*$W$381</f>
        <v>228.25536</v>
      </c>
      <c r="AD381" s="6">
        <f>$O$381*$X$381</f>
        <v>1450.5177600000002</v>
      </c>
      <c r="AE381" s="6">
        <f ca="1">$K$381*$Y$381</f>
        <v>6372.5081506537599</v>
      </c>
      <c r="AF381" s="6">
        <f ca="1">$M$381*$Z$381</f>
        <v>284.09238475378368</v>
      </c>
      <c r="AG381" s="6">
        <f>$O$381*$AA$381</f>
        <v>1314.2295447624485</v>
      </c>
    </row>
    <row r="382" spans="1:33" ht="11.25" customHeight="1" x14ac:dyDescent="0.25">
      <c r="A382" s="4" t="s">
        <v>21</v>
      </c>
      <c r="B382" s="4" t="s">
        <v>41</v>
      </c>
      <c r="C382" s="4" t="s">
        <v>40</v>
      </c>
      <c r="D382" s="4" t="s">
        <v>43</v>
      </c>
      <c r="E382" s="4" t="s">
        <v>25</v>
      </c>
      <c r="F382" s="4" t="s">
        <v>25</v>
      </c>
      <c r="G382" s="4" t="s">
        <v>25</v>
      </c>
      <c r="H382" s="4" t="s">
        <v>34</v>
      </c>
      <c r="I382" s="5">
        <v>44501</v>
      </c>
      <c r="J382" s="6">
        <v>6109</v>
      </c>
      <c r="K382" s="6">
        <v>6109</v>
      </c>
      <c r="L382" s="6">
        <v>256.95400000000001</v>
      </c>
      <c r="M382" s="6">
        <v>256.95400000000001</v>
      </c>
      <c r="N382" s="6">
        <v>256.95400000000001</v>
      </c>
      <c r="O382" s="6">
        <v>256.95400000000001</v>
      </c>
      <c r="P382" s="6">
        <v>0</v>
      </c>
      <c r="Q382" s="4" t="s">
        <v>26</v>
      </c>
      <c r="R382" s="4">
        <v>0</v>
      </c>
      <c r="S382" s="6">
        <v>18</v>
      </c>
      <c r="T382" s="6">
        <v>22</v>
      </c>
      <c r="U382" s="6">
        <v>66</v>
      </c>
      <c r="V382" s="6">
        <f>IF(ISERROR(VLOOKUP($S$382,'TAR FIN'!$A$1:$O$104,15,0)),0,VLOOKUP($S$382,'TAR FIN'!$A$1:$O$104,15,0))</f>
        <v>52.15</v>
      </c>
      <c r="W382" s="6">
        <f>IF(ISERROR(VLOOKUP($T$382,'TAR FIN'!$A$1:$O$104,15,0)),0,VLOOKUP($T$382,'TAR FIN'!$A$1:$O$104,15,0))</f>
        <v>62.57</v>
      </c>
      <c r="X382" s="6">
        <f>IF(ISERROR(VLOOKUP($U$382,'TAR FIN'!$A$1:$O$104,15,0)),0,VLOOKUP($U$382,'TAR FIN'!$A$1:$O$104,15,0))</f>
        <v>397.62</v>
      </c>
      <c r="Y382" s="6">
        <f ca="1">('TUSD BE'!$AM$13+'TUSD BF'!$AM$13+'TUSD CVA'!$AM$13)*1</f>
        <v>52.233673366014429</v>
      </c>
      <c r="Z382" s="6">
        <f ca="1">('TUSD BE'!$AM$15+'TUSD BF'!$AM$15+'TUSD CVA'!$AM$15)*1</f>
        <v>77.876201961015255</v>
      </c>
      <c r="AA382" s="6">
        <f>('TE BE'!$AB$7+'TE BF'!$AB$7+'TE CVA'!$AB$7)*1</f>
        <v>360.26029187567116</v>
      </c>
      <c r="AB382" s="6">
        <f>$K$382*$V$382</f>
        <v>318584.34999999998</v>
      </c>
      <c r="AC382" s="6">
        <f>$M$382*$W$382</f>
        <v>16077.611780000001</v>
      </c>
      <c r="AD382" s="6">
        <f>$O$382*$X$382</f>
        <v>102170.04948</v>
      </c>
      <c r="AE382" s="6">
        <f ca="1">$K$382*$Y$382</f>
        <v>319095.51059298217</v>
      </c>
      <c r="AF382" s="6">
        <f ca="1">$M$382*$Z$382</f>
        <v>20010.601598690715</v>
      </c>
      <c r="AG382" s="6">
        <f>$O$382*$AA$382</f>
        <v>92570.323038621209</v>
      </c>
    </row>
    <row r="383" spans="1:33" ht="11.25" customHeight="1" x14ac:dyDescent="0.25">
      <c r="A383" s="4" t="s">
        <v>28</v>
      </c>
      <c r="B383" s="4" t="s">
        <v>41</v>
      </c>
      <c r="C383" s="4" t="s">
        <v>40</v>
      </c>
      <c r="D383" s="4" t="s">
        <v>43</v>
      </c>
      <c r="E383" s="4" t="s">
        <v>25</v>
      </c>
      <c r="F383" s="4" t="s">
        <v>25</v>
      </c>
      <c r="G383" s="4" t="s">
        <v>25</v>
      </c>
      <c r="H383" s="4" t="s">
        <v>34</v>
      </c>
      <c r="I383" s="5">
        <v>44501</v>
      </c>
      <c r="J383" s="6">
        <v>129</v>
      </c>
      <c r="K383" s="6">
        <v>129</v>
      </c>
      <c r="L383" s="6">
        <v>4.766</v>
      </c>
      <c r="M383" s="6">
        <v>4.766</v>
      </c>
      <c r="N383" s="6">
        <v>4.766</v>
      </c>
      <c r="O383" s="6">
        <v>4.766</v>
      </c>
      <c r="P383" s="6">
        <v>0</v>
      </c>
      <c r="Q383" s="4" t="s">
        <v>26</v>
      </c>
      <c r="R383" s="4">
        <v>0</v>
      </c>
      <c r="S383" s="6">
        <v>18</v>
      </c>
      <c r="T383" s="6">
        <v>22</v>
      </c>
      <c r="U383" s="6">
        <v>66</v>
      </c>
      <c r="V383" s="6">
        <f>IF(ISERROR(VLOOKUP($S$383,'TAR FIN'!$A$1:$O$104,15,0)),0,VLOOKUP($S$383,'TAR FIN'!$A$1:$O$104,15,0))</f>
        <v>52.15</v>
      </c>
      <c r="W383" s="6">
        <f>IF(ISERROR(VLOOKUP($T$383,'TAR FIN'!$A$1:$O$104,15,0)),0,VLOOKUP($T$383,'TAR FIN'!$A$1:$O$104,15,0))</f>
        <v>62.57</v>
      </c>
      <c r="X383" s="6">
        <f>IF(ISERROR(VLOOKUP($U$383,'TAR FIN'!$A$1:$O$104,15,0)),0,VLOOKUP($U$383,'TAR FIN'!$A$1:$O$104,15,0))</f>
        <v>397.62</v>
      </c>
      <c r="Y383" s="6">
        <f ca="1">('TUSD BE'!$AM$13+'TUSD BF'!$AM$13+'TUSD CVA'!$AM$13)*1</f>
        <v>52.233673366014429</v>
      </c>
      <c r="Z383" s="6">
        <f ca="1">('TUSD BE'!$AM$15+'TUSD BF'!$AM$15+'TUSD CVA'!$AM$15)*1</f>
        <v>77.876201961015255</v>
      </c>
      <c r="AA383" s="6">
        <f>('TE BE'!$AB$7+'TE BF'!$AB$7+'TE CVA'!$AB$7)*1</f>
        <v>360.26029187567116</v>
      </c>
      <c r="AB383" s="6">
        <f>$K$383*$V$383</f>
        <v>6727.3499999999995</v>
      </c>
      <c r="AC383" s="6">
        <f>$M$383*$W$383</f>
        <v>298.20862</v>
      </c>
      <c r="AD383" s="6">
        <f>$O$383*$X$383</f>
        <v>1895.05692</v>
      </c>
      <c r="AE383" s="6">
        <f ca="1">$K$383*$Y$383</f>
        <v>6738.143864215861</v>
      </c>
      <c r="AF383" s="6">
        <f ca="1">$M$383*$Z$383</f>
        <v>371.15797854619871</v>
      </c>
      <c r="AG383" s="6">
        <f>$O$383*$AA$383</f>
        <v>1717.0005510794488</v>
      </c>
    </row>
    <row r="384" spans="1:33" ht="11.25" customHeight="1" x14ac:dyDescent="0.25">
      <c r="A384" s="4" t="s">
        <v>21</v>
      </c>
      <c r="B384" s="4" t="s">
        <v>41</v>
      </c>
      <c r="C384" s="4" t="s">
        <v>40</v>
      </c>
      <c r="D384" s="4" t="s">
        <v>43</v>
      </c>
      <c r="E384" s="4" t="s">
        <v>25</v>
      </c>
      <c r="F384" s="4" t="s">
        <v>25</v>
      </c>
      <c r="G384" s="4" t="s">
        <v>25</v>
      </c>
      <c r="H384" s="4" t="s">
        <v>34</v>
      </c>
      <c r="I384" s="5">
        <v>44531</v>
      </c>
      <c r="J384" s="6">
        <v>6571</v>
      </c>
      <c r="K384" s="6">
        <v>6571</v>
      </c>
      <c r="L384" s="6">
        <v>298.80500000000001</v>
      </c>
      <c r="M384" s="6">
        <v>298.80500000000001</v>
      </c>
      <c r="N384" s="6">
        <v>298.80500000000001</v>
      </c>
      <c r="O384" s="6">
        <v>298.80500000000001</v>
      </c>
      <c r="P384" s="6">
        <v>0</v>
      </c>
      <c r="Q384" s="4" t="s">
        <v>26</v>
      </c>
      <c r="R384" s="4">
        <v>0</v>
      </c>
      <c r="S384" s="6">
        <v>18</v>
      </c>
      <c r="T384" s="6">
        <v>22</v>
      </c>
      <c r="U384" s="6">
        <v>66</v>
      </c>
      <c r="V384" s="6">
        <f>IF(ISERROR(VLOOKUP($S$384,'TAR FIN'!$A$1:$O$104,15,0)),0,VLOOKUP($S$384,'TAR FIN'!$A$1:$O$104,15,0))</f>
        <v>52.15</v>
      </c>
      <c r="W384" s="6">
        <f>IF(ISERROR(VLOOKUP($T$384,'TAR FIN'!$A$1:$O$104,15,0)),0,VLOOKUP($T$384,'TAR FIN'!$A$1:$O$104,15,0))</f>
        <v>62.57</v>
      </c>
      <c r="X384" s="6">
        <f>IF(ISERROR(VLOOKUP($U$384,'TAR FIN'!$A$1:$O$104,15,0)),0,VLOOKUP($U$384,'TAR FIN'!$A$1:$O$104,15,0))</f>
        <v>397.62</v>
      </c>
      <c r="Y384" s="6">
        <f ca="1">('TUSD BE'!$AM$13+'TUSD BF'!$AM$13+'TUSD CVA'!$AM$13)*1</f>
        <v>52.233673366014429</v>
      </c>
      <c r="Z384" s="6">
        <f ca="1">('TUSD BE'!$AM$15+'TUSD BF'!$AM$15+'TUSD CVA'!$AM$15)*1</f>
        <v>77.876201961015255</v>
      </c>
      <c r="AA384" s="6">
        <f>('TE BE'!$AB$7+'TE BF'!$AB$7+'TE CVA'!$AB$7)*1</f>
        <v>360.26029187567116</v>
      </c>
      <c r="AB384" s="6">
        <f>$K$384*$V$384</f>
        <v>342677.64999999997</v>
      </c>
      <c r="AC384" s="6">
        <f>$M$384*$W$384</f>
        <v>18696.22885</v>
      </c>
      <c r="AD384" s="6">
        <f>$O$384*$X$384</f>
        <v>118810.8441</v>
      </c>
      <c r="AE384" s="6">
        <f ca="1">$K$384*$Y$384</f>
        <v>343227.4676880808</v>
      </c>
      <c r="AF384" s="6">
        <f ca="1">$M$384*$Z$384</f>
        <v>23269.798526961164</v>
      </c>
      <c r="AG384" s="6">
        <f>$O$384*$AA$384</f>
        <v>107647.57651390992</v>
      </c>
    </row>
    <row r="385" spans="1:33" ht="11.25" customHeight="1" x14ac:dyDescent="0.25">
      <c r="A385" s="4" t="s">
        <v>28</v>
      </c>
      <c r="B385" s="4" t="s">
        <v>41</v>
      </c>
      <c r="C385" s="4" t="s">
        <v>40</v>
      </c>
      <c r="D385" s="4" t="s">
        <v>43</v>
      </c>
      <c r="E385" s="4" t="s">
        <v>25</v>
      </c>
      <c r="F385" s="4" t="s">
        <v>25</v>
      </c>
      <c r="G385" s="4" t="s">
        <v>25</v>
      </c>
      <c r="H385" s="4" t="s">
        <v>34</v>
      </c>
      <c r="I385" s="5">
        <v>44531</v>
      </c>
      <c r="J385" s="6">
        <v>135</v>
      </c>
      <c r="K385" s="6">
        <v>135</v>
      </c>
      <c r="L385" s="6">
        <v>4.1790000000000003</v>
      </c>
      <c r="M385" s="6">
        <v>4.1790000000000003</v>
      </c>
      <c r="N385" s="6">
        <v>4.1790000000000003</v>
      </c>
      <c r="O385" s="6">
        <v>4.1790000000000003</v>
      </c>
      <c r="P385" s="6">
        <v>0</v>
      </c>
      <c r="Q385" s="4" t="s">
        <v>26</v>
      </c>
      <c r="R385" s="4">
        <v>0</v>
      </c>
      <c r="S385" s="6">
        <v>18</v>
      </c>
      <c r="T385" s="6">
        <v>22</v>
      </c>
      <c r="U385" s="6">
        <v>66</v>
      </c>
      <c r="V385" s="6">
        <f>IF(ISERROR(VLOOKUP($S$385,'TAR FIN'!$A$1:$O$104,15,0)),0,VLOOKUP($S$385,'TAR FIN'!$A$1:$O$104,15,0))</f>
        <v>52.15</v>
      </c>
      <c r="W385" s="6">
        <f>IF(ISERROR(VLOOKUP($T$385,'TAR FIN'!$A$1:$O$104,15,0)),0,VLOOKUP($T$385,'TAR FIN'!$A$1:$O$104,15,0))</f>
        <v>62.57</v>
      </c>
      <c r="X385" s="6">
        <f>IF(ISERROR(VLOOKUP($U$385,'TAR FIN'!$A$1:$O$104,15,0)),0,VLOOKUP($U$385,'TAR FIN'!$A$1:$O$104,15,0))</f>
        <v>397.62</v>
      </c>
      <c r="Y385" s="6">
        <f ca="1">('TUSD BE'!$AM$13+'TUSD BF'!$AM$13+'TUSD CVA'!$AM$13)*1</f>
        <v>52.233673366014429</v>
      </c>
      <c r="Z385" s="6">
        <f ca="1">('TUSD BE'!$AM$15+'TUSD BF'!$AM$15+'TUSD CVA'!$AM$15)*1</f>
        <v>77.876201961015255</v>
      </c>
      <c r="AA385" s="6">
        <f>('TE BE'!$AB$7+'TE BF'!$AB$7+'TE CVA'!$AB$7)*1</f>
        <v>360.26029187567116</v>
      </c>
      <c r="AB385" s="6">
        <f>$K$385*$V$385</f>
        <v>7040.25</v>
      </c>
      <c r="AC385" s="6">
        <f>$M$385*$W$385</f>
        <v>261.48003</v>
      </c>
      <c r="AD385" s="6">
        <f>$O$385*$X$385</f>
        <v>1661.65398</v>
      </c>
      <c r="AE385" s="6">
        <f ca="1">$K$385*$Y$385</f>
        <v>7051.545904411948</v>
      </c>
      <c r="AF385" s="6">
        <f ca="1">$M$385*$Z$385</f>
        <v>325.44464799508279</v>
      </c>
      <c r="AG385" s="6">
        <f>$O$385*$AA$385</f>
        <v>1505.5277597484298</v>
      </c>
    </row>
    <row r="386" spans="1:33" ht="11.25" customHeight="1" x14ac:dyDescent="0.25">
      <c r="A386" s="4" t="s">
        <v>21</v>
      </c>
      <c r="B386" s="4" t="s">
        <v>41</v>
      </c>
      <c r="C386" s="4" t="s">
        <v>40</v>
      </c>
      <c r="D386" s="4" t="s">
        <v>43</v>
      </c>
      <c r="E386" s="4" t="s">
        <v>25</v>
      </c>
      <c r="F386" s="4" t="s">
        <v>25</v>
      </c>
      <c r="G386" s="4" t="s">
        <v>25</v>
      </c>
      <c r="H386" s="4" t="s">
        <v>34</v>
      </c>
      <c r="I386" s="5">
        <v>44562</v>
      </c>
      <c r="J386" s="6">
        <v>6545</v>
      </c>
      <c r="K386" s="6">
        <v>6545</v>
      </c>
      <c r="L386" s="6">
        <v>274.87299999999999</v>
      </c>
      <c r="M386" s="6">
        <v>274.87299999999999</v>
      </c>
      <c r="N386" s="6">
        <v>274.87299999999999</v>
      </c>
      <c r="O386" s="6">
        <v>274.87299999999999</v>
      </c>
      <c r="P386" s="6">
        <v>0</v>
      </c>
      <c r="Q386" s="4" t="s">
        <v>26</v>
      </c>
      <c r="R386" s="4">
        <v>0</v>
      </c>
      <c r="S386" s="6">
        <v>18</v>
      </c>
      <c r="T386" s="6">
        <v>22</v>
      </c>
      <c r="U386" s="6">
        <v>66</v>
      </c>
      <c r="V386" s="6">
        <f>IF(ISERROR(VLOOKUP($S$386,'TAR FIN'!$A$1:$O$104,15,0)),0,VLOOKUP($S$386,'TAR FIN'!$A$1:$O$104,15,0))</f>
        <v>52.15</v>
      </c>
      <c r="W386" s="6">
        <f>IF(ISERROR(VLOOKUP($T$386,'TAR FIN'!$A$1:$O$104,15,0)),0,VLOOKUP($T$386,'TAR FIN'!$A$1:$O$104,15,0))</f>
        <v>62.57</v>
      </c>
      <c r="X386" s="6">
        <f>IF(ISERROR(VLOOKUP($U$386,'TAR FIN'!$A$1:$O$104,15,0)),0,VLOOKUP($U$386,'TAR FIN'!$A$1:$O$104,15,0))</f>
        <v>397.62</v>
      </c>
      <c r="Y386" s="6">
        <f ca="1">('TUSD BE'!$AM$13+'TUSD BF'!$AM$13+'TUSD CVA'!$AM$13)*1</f>
        <v>52.233673366014429</v>
      </c>
      <c r="Z386" s="6">
        <f ca="1">('TUSD BE'!$AM$15+'TUSD BF'!$AM$15+'TUSD CVA'!$AM$15)*1</f>
        <v>77.876201961015255</v>
      </c>
      <c r="AA386" s="6">
        <f>('TE BE'!$AB$7+'TE BF'!$AB$7+'TE CVA'!$AB$7)*1</f>
        <v>360.26029187567116</v>
      </c>
      <c r="AB386" s="6">
        <f>$K$386*$V$386</f>
        <v>341321.75</v>
      </c>
      <c r="AC386" s="6">
        <f>$M$386*$W$386</f>
        <v>17198.803609999999</v>
      </c>
      <c r="AD386" s="6">
        <f>$O$386*$X$386</f>
        <v>109295.00225999999</v>
      </c>
      <c r="AE386" s="6">
        <f ca="1">$K$386*$Y$386</f>
        <v>341869.39218056446</v>
      </c>
      <c r="AF386" s="6">
        <f ca="1">$M$386*$Z$386</f>
        <v>21406.065261630145</v>
      </c>
      <c r="AG386" s="6">
        <f>$O$386*$AA$386</f>
        <v>99025.82720874135</v>
      </c>
    </row>
    <row r="387" spans="1:33" ht="11.25" customHeight="1" x14ac:dyDescent="0.25">
      <c r="A387" s="4" t="s">
        <v>27</v>
      </c>
      <c r="B387" s="4" t="s">
        <v>41</v>
      </c>
      <c r="C387" s="4" t="s">
        <v>40</v>
      </c>
      <c r="D387" s="4" t="s">
        <v>43</v>
      </c>
      <c r="E387" s="4" t="s">
        <v>25</v>
      </c>
      <c r="F387" s="4" t="s">
        <v>25</v>
      </c>
      <c r="G387" s="4" t="s">
        <v>25</v>
      </c>
      <c r="H387" s="4" t="s">
        <v>34</v>
      </c>
      <c r="I387" s="5">
        <v>44562</v>
      </c>
      <c r="J387" s="6">
        <v>7</v>
      </c>
      <c r="K387" s="6">
        <v>7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4" t="s">
        <v>26</v>
      </c>
      <c r="R387" s="4">
        <v>0</v>
      </c>
      <c r="S387" s="6">
        <v>18</v>
      </c>
      <c r="T387" s="6">
        <v>0</v>
      </c>
      <c r="U387" s="6">
        <v>0</v>
      </c>
      <c r="V387" s="6">
        <f>IF(ISERROR(VLOOKUP($S$387,'TAR FIN'!$A$1:$O$104,15,0)),0,VLOOKUP($S$387,'TAR FIN'!$A$1:$O$104,15,0))</f>
        <v>52.15</v>
      </c>
      <c r="W387" s="6">
        <f>IF(ISERROR(VLOOKUP($T$387,'TAR FIN'!$A$1:$O$104,15,0)),0,VLOOKUP($T$387,'TAR FIN'!$A$1:$O$104,15,0))</f>
        <v>0</v>
      </c>
      <c r="X387" s="6">
        <f>IF(ISERROR(VLOOKUP($U$387,'TAR FIN'!$A$1:$O$104,15,0)),0,VLOOKUP($U$387,'TAR FIN'!$A$1:$O$104,15,0))</f>
        <v>0</v>
      </c>
      <c r="Y387" s="6">
        <f ca="1">('TUSD BE'!$AM$13+'TUSD BF'!$AM$13+'TUSD CVA'!$AM$13)*1</f>
        <v>52.233673366014429</v>
      </c>
      <c r="Z387" s="6">
        <f ca="1">('TUSD BE'!$AM$15+'TUSD BF'!$AM$15+'TUSD CVA'!$AM$15)*1</f>
        <v>77.876201961015255</v>
      </c>
      <c r="AA387" s="6">
        <f>('TE BE'!$AB$7+'TE BF'!$AB$7+'TE CVA'!$AB$7)*1</f>
        <v>360.26029187567116</v>
      </c>
      <c r="AB387" s="6">
        <f>$K$387*$V$387</f>
        <v>365.05</v>
      </c>
      <c r="AC387" s="6">
        <f>$M$387*$W$387</f>
        <v>0</v>
      </c>
      <c r="AD387" s="6">
        <f>$O$387*$X$387</f>
        <v>0</v>
      </c>
      <c r="AE387" s="6">
        <f ca="1">$K$387*$Y$387</f>
        <v>365.63571356210099</v>
      </c>
      <c r="AF387" s="6">
        <f ca="1">$M$387*$Z$387</f>
        <v>0</v>
      </c>
      <c r="AG387" s="6">
        <f>$O$387*$AA$387</f>
        <v>0</v>
      </c>
    </row>
    <row r="388" spans="1:33" ht="11.25" customHeight="1" x14ac:dyDescent="0.25">
      <c r="A388" s="4" t="s">
        <v>28</v>
      </c>
      <c r="B388" s="4" t="s">
        <v>41</v>
      </c>
      <c r="C388" s="4" t="s">
        <v>40</v>
      </c>
      <c r="D388" s="4" t="s">
        <v>43</v>
      </c>
      <c r="E388" s="4" t="s">
        <v>25</v>
      </c>
      <c r="F388" s="4" t="s">
        <v>25</v>
      </c>
      <c r="G388" s="4" t="s">
        <v>25</v>
      </c>
      <c r="H388" s="4" t="s">
        <v>34</v>
      </c>
      <c r="I388" s="5">
        <v>44562</v>
      </c>
      <c r="J388" s="6">
        <v>338</v>
      </c>
      <c r="K388" s="6">
        <v>338</v>
      </c>
      <c r="L388" s="6">
        <v>14.587999999999999</v>
      </c>
      <c r="M388" s="6">
        <v>14.587999999999999</v>
      </c>
      <c r="N388" s="6">
        <v>14.587999999999999</v>
      </c>
      <c r="O388" s="6">
        <v>14.587999999999999</v>
      </c>
      <c r="P388" s="6">
        <v>0</v>
      </c>
      <c r="Q388" s="4" t="s">
        <v>26</v>
      </c>
      <c r="R388" s="4">
        <v>0</v>
      </c>
      <c r="S388" s="6">
        <v>18</v>
      </c>
      <c r="T388" s="6">
        <v>22</v>
      </c>
      <c r="U388" s="6">
        <v>66</v>
      </c>
      <c r="V388" s="6">
        <f>IF(ISERROR(VLOOKUP($S$388,'TAR FIN'!$A$1:$O$104,15,0)),0,VLOOKUP($S$388,'TAR FIN'!$A$1:$O$104,15,0))</f>
        <v>52.15</v>
      </c>
      <c r="W388" s="6">
        <f>IF(ISERROR(VLOOKUP($T$388,'TAR FIN'!$A$1:$O$104,15,0)),0,VLOOKUP($T$388,'TAR FIN'!$A$1:$O$104,15,0))</f>
        <v>62.57</v>
      </c>
      <c r="X388" s="6">
        <f>IF(ISERROR(VLOOKUP($U$388,'TAR FIN'!$A$1:$O$104,15,0)),0,VLOOKUP($U$388,'TAR FIN'!$A$1:$O$104,15,0))</f>
        <v>397.62</v>
      </c>
      <c r="Y388" s="6">
        <f ca="1">('TUSD BE'!$AM$13+'TUSD BF'!$AM$13+'TUSD CVA'!$AM$13)*1</f>
        <v>52.233673366014429</v>
      </c>
      <c r="Z388" s="6">
        <f ca="1">('TUSD BE'!$AM$15+'TUSD BF'!$AM$15+'TUSD CVA'!$AM$15)*1</f>
        <v>77.876201961015255</v>
      </c>
      <c r="AA388" s="6">
        <f>('TE BE'!$AB$7+'TE BF'!$AB$7+'TE CVA'!$AB$7)*1</f>
        <v>360.26029187567116</v>
      </c>
      <c r="AB388" s="6">
        <f>$K$388*$V$388</f>
        <v>17626.7</v>
      </c>
      <c r="AC388" s="6">
        <f>$M$388*$W$388</f>
        <v>912.77116000000001</v>
      </c>
      <c r="AD388" s="6">
        <f>$O$388*$X$388</f>
        <v>5800.48056</v>
      </c>
      <c r="AE388" s="6">
        <f ca="1">$K$388*$Y$388</f>
        <v>17654.981597712878</v>
      </c>
      <c r="AF388" s="6">
        <f ca="1">$M$388*$Z$388</f>
        <v>1136.0580342072906</v>
      </c>
      <c r="AG388" s="6">
        <f>$O$388*$AA$388</f>
        <v>5255.4771378822907</v>
      </c>
    </row>
    <row r="389" spans="1:33" ht="11.25" customHeight="1" x14ac:dyDescent="0.25">
      <c r="A389" s="4" t="s">
        <v>21</v>
      </c>
      <c r="B389" s="4" t="s">
        <v>41</v>
      </c>
      <c r="C389" s="4" t="s">
        <v>40</v>
      </c>
      <c r="D389" s="4" t="s">
        <v>43</v>
      </c>
      <c r="E389" s="4" t="s">
        <v>25</v>
      </c>
      <c r="F389" s="4" t="s">
        <v>25</v>
      </c>
      <c r="G389" s="4" t="s">
        <v>25</v>
      </c>
      <c r="H389" s="4" t="s">
        <v>34</v>
      </c>
      <c r="I389" s="5">
        <v>44593</v>
      </c>
      <c r="J389" s="6">
        <v>6769</v>
      </c>
      <c r="K389" s="6">
        <v>6769</v>
      </c>
      <c r="L389" s="6">
        <v>270.89</v>
      </c>
      <c r="M389" s="6">
        <v>270.89</v>
      </c>
      <c r="N389" s="6">
        <v>270.89</v>
      </c>
      <c r="O389" s="6">
        <v>270.89</v>
      </c>
      <c r="P389" s="6">
        <v>0</v>
      </c>
      <c r="Q389" s="4" t="s">
        <v>26</v>
      </c>
      <c r="R389" s="4">
        <v>0</v>
      </c>
      <c r="S389" s="6">
        <v>18</v>
      </c>
      <c r="T389" s="6">
        <v>22</v>
      </c>
      <c r="U389" s="6">
        <v>66</v>
      </c>
      <c r="V389" s="6">
        <f>IF(ISERROR(VLOOKUP($S$389,'TAR FIN'!$A$1:$O$104,15,0)),0,VLOOKUP($S$389,'TAR FIN'!$A$1:$O$104,15,0))</f>
        <v>52.15</v>
      </c>
      <c r="W389" s="6">
        <f>IF(ISERROR(VLOOKUP($T$389,'TAR FIN'!$A$1:$O$104,15,0)),0,VLOOKUP($T$389,'TAR FIN'!$A$1:$O$104,15,0))</f>
        <v>62.57</v>
      </c>
      <c r="X389" s="6">
        <f>IF(ISERROR(VLOOKUP($U$389,'TAR FIN'!$A$1:$O$104,15,0)),0,VLOOKUP($U$389,'TAR FIN'!$A$1:$O$104,15,0))</f>
        <v>397.62</v>
      </c>
      <c r="Y389" s="6">
        <f ca="1">('TUSD BE'!$AM$13+'TUSD BF'!$AM$13+'TUSD CVA'!$AM$13)*1</f>
        <v>52.233673366014429</v>
      </c>
      <c r="Z389" s="6">
        <f ca="1">('TUSD BE'!$AM$15+'TUSD BF'!$AM$15+'TUSD CVA'!$AM$15)*1</f>
        <v>77.876201961015255</v>
      </c>
      <c r="AA389" s="6">
        <f>('TE BE'!$AB$7+'TE BF'!$AB$7+'TE CVA'!$AB$7)*1</f>
        <v>360.26029187567116</v>
      </c>
      <c r="AB389" s="6">
        <f>$K$389*$V$389</f>
        <v>353003.35</v>
      </c>
      <c r="AC389" s="6">
        <f>$M$389*$W$389</f>
        <v>16949.587299999999</v>
      </c>
      <c r="AD389" s="6">
        <f>$O$389*$X$389</f>
        <v>107711.2818</v>
      </c>
      <c r="AE389" s="6">
        <f ca="1">$K$389*$Y$389</f>
        <v>353569.73501455167</v>
      </c>
      <c r="AF389" s="6">
        <f ca="1">$M$389*$Z$389</f>
        <v>21095.884349219421</v>
      </c>
      <c r="AG389" s="6">
        <f>$O$389*$AA$389</f>
        <v>97590.910466200556</v>
      </c>
    </row>
    <row r="390" spans="1:33" ht="11.25" customHeight="1" x14ac:dyDescent="0.25">
      <c r="A390" s="4" t="s">
        <v>28</v>
      </c>
      <c r="B390" s="4" t="s">
        <v>41</v>
      </c>
      <c r="C390" s="4" t="s">
        <v>40</v>
      </c>
      <c r="D390" s="4" t="s">
        <v>43</v>
      </c>
      <c r="E390" s="4" t="s">
        <v>25</v>
      </c>
      <c r="F390" s="4" t="s">
        <v>25</v>
      </c>
      <c r="G390" s="4" t="s">
        <v>25</v>
      </c>
      <c r="H390" s="4" t="s">
        <v>34</v>
      </c>
      <c r="I390" s="5">
        <v>44593</v>
      </c>
      <c r="J390" s="6">
        <v>332</v>
      </c>
      <c r="K390" s="6">
        <v>332</v>
      </c>
      <c r="L390" s="6">
        <v>13.218999999999999</v>
      </c>
      <c r="M390" s="6">
        <v>13.218999999999999</v>
      </c>
      <c r="N390" s="6">
        <v>13.218999999999999</v>
      </c>
      <c r="O390" s="6">
        <v>13.218999999999999</v>
      </c>
      <c r="P390" s="6">
        <v>0</v>
      </c>
      <c r="Q390" s="4" t="s">
        <v>26</v>
      </c>
      <c r="R390" s="4">
        <v>0</v>
      </c>
      <c r="S390" s="6">
        <v>18</v>
      </c>
      <c r="T390" s="6">
        <v>22</v>
      </c>
      <c r="U390" s="6">
        <v>66</v>
      </c>
      <c r="V390" s="6">
        <f>IF(ISERROR(VLOOKUP($S$390,'TAR FIN'!$A$1:$O$104,15,0)),0,VLOOKUP($S$390,'TAR FIN'!$A$1:$O$104,15,0))</f>
        <v>52.15</v>
      </c>
      <c r="W390" s="6">
        <f>IF(ISERROR(VLOOKUP($T$390,'TAR FIN'!$A$1:$O$104,15,0)),0,VLOOKUP($T$390,'TAR FIN'!$A$1:$O$104,15,0))</f>
        <v>62.57</v>
      </c>
      <c r="X390" s="6">
        <f>IF(ISERROR(VLOOKUP($U$390,'TAR FIN'!$A$1:$O$104,15,0)),0,VLOOKUP($U$390,'TAR FIN'!$A$1:$O$104,15,0))</f>
        <v>397.62</v>
      </c>
      <c r="Y390" s="6">
        <f ca="1">('TUSD BE'!$AM$13+'TUSD BF'!$AM$13+'TUSD CVA'!$AM$13)*1</f>
        <v>52.233673366014429</v>
      </c>
      <c r="Z390" s="6">
        <f ca="1">('TUSD BE'!$AM$15+'TUSD BF'!$AM$15+'TUSD CVA'!$AM$15)*1</f>
        <v>77.876201961015255</v>
      </c>
      <c r="AA390" s="6">
        <f>('TE BE'!$AB$7+'TE BF'!$AB$7+'TE CVA'!$AB$7)*1</f>
        <v>360.26029187567116</v>
      </c>
      <c r="AB390" s="6">
        <f>$K$390*$V$390</f>
        <v>17313.8</v>
      </c>
      <c r="AC390" s="6">
        <f>$M$390*$W$390</f>
        <v>827.11282999999992</v>
      </c>
      <c r="AD390" s="6">
        <f>$O$390*$X$390</f>
        <v>5256.1387800000002</v>
      </c>
      <c r="AE390" s="6">
        <f ca="1">$K$390*$Y$390</f>
        <v>17341.57955751679</v>
      </c>
      <c r="AF390" s="6">
        <f ca="1">$M$390*$Z$390</f>
        <v>1029.4455137226605</v>
      </c>
      <c r="AG390" s="6">
        <f>$O$390*$AA$390</f>
        <v>4762.2807983044968</v>
      </c>
    </row>
    <row r="391" spans="1:33" ht="11.25" customHeight="1" x14ac:dyDescent="0.25">
      <c r="A391" s="4" t="s">
        <v>21</v>
      </c>
      <c r="B391" s="4" t="s">
        <v>41</v>
      </c>
      <c r="C391" s="4" t="s">
        <v>40</v>
      </c>
      <c r="D391" s="4" t="s">
        <v>43</v>
      </c>
      <c r="E391" s="4" t="s">
        <v>25</v>
      </c>
      <c r="F391" s="4" t="s">
        <v>25</v>
      </c>
      <c r="G391" s="4" t="s">
        <v>25</v>
      </c>
      <c r="H391" s="4" t="s">
        <v>34</v>
      </c>
      <c r="I391" s="5">
        <v>44621</v>
      </c>
      <c r="J391" s="6">
        <v>6831</v>
      </c>
      <c r="K391" s="6">
        <v>6831</v>
      </c>
      <c r="L391" s="6">
        <v>295.435</v>
      </c>
      <c r="M391" s="6">
        <v>295.435</v>
      </c>
      <c r="N391" s="6">
        <v>295.435</v>
      </c>
      <c r="O391" s="6">
        <v>295.435</v>
      </c>
      <c r="P391" s="6">
        <v>0</v>
      </c>
      <c r="Q391" s="4" t="s">
        <v>26</v>
      </c>
      <c r="R391" s="4">
        <v>0</v>
      </c>
      <c r="S391" s="6">
        <v>18</v>
      </c>
      <c r="T391" s="6">
        <v>22</v>
      </c>
      <c r="U391" s="6">
        <v>66</v>
      </c>
      <c r="V391" s="6">
        <f>IF(ISERROR(VLOOKUP($S$391,'TAR FIN'!$A$1:$O$104,15,0)),0,VLOOKUP($S$391,'TAR FIN'!$A$1:$O$104,15,0))</f>
        <v>52.15</v>
      </c>
      <c r="W391" s="6">
        <f>IF(ISERROR(VLOOKUP($T$391,'TAR FIN'!$A$1:$O$104,15,0)),0,VLOOKUP($T$391,'TAR FIN'!$A$1:$O$104,15,0))</f>
        <v>62.57</v>
      </c>
      <c r="X391" s="6">
        <f>IF(ISERROR(VLOOKUP($U$391,'TAR FIN'!$A$1:$O$104,15,0)),0,VLOOKUP($U$391,'TAR FIN'!$A$1:$O$104,15,0))</f>
        <v>397.62</v>
      </c>
      <c r="Y391" s="6">
        <f ca="1">('TUSD BE'!$AM$13+'TUSD BF'!$AM$13+'TUSD CVA'!$AM$13)*1</f>
        <v>52.233673366014429</v>
      </c>
      <c r="Z391" s="6">
        <f ca="1">('TUSD BE'!$AM$15+'TUSD BF'!$AM$15+'TUSD CVA'!$AM$15)*1</f>
        <v>77.876201961015255</v>
      </c>
      <c r="AA391" s="6">
        <f>('TE BE'!$AB$7+'TE BF'!$AB$7+'TE CVA'!$AB$7)*1</f>
        <v>360.26029187567116</v>
      </c>
      <c r="AB391" s="6">
        <f>$K$391*$V$391</f>
        <v>356236.64999999997</v>
      </c>
      <c r="AC391" s="6">
        <f>$M$391*$W$391</f>
        <v>18485.36795</v>
      </c>
      <c r="AD391" s="6">
        <f>$O$391*$X$391</f>
        <v>117470.86470000001</v>
      </c>
      <c r="AE391" s="6">
        <f ca="1">$K$391*$Y$391</f>
        <v>356808.22276324459</v>
      </c>
      <c r="AF391" s="6">
        <f ca="1">$M$391*$Z$391</f>
        <v>23007.355726352544</v>
      </c>
      <c r="AG391" s="6">
        <f>$O$391*$AA$391</f>
        <v>106433.49933028891</v>
      </c>
    </row>
    <row r="392" spans="1:33" ht="11.25" customHeight="1" x14ac:dyDescent="0.25">
      <c r="A392" s="4" t="s">
        <v>28</v>
      </c>
      <c r="B392" s="4" t="s">
        <v>41</v>
      </c>
      <c r="C392" s="4" t="s">
        <v>40</v>
      </c>
      <c r="D392" s="4" t="s">
        <v>43</v>
      </c>
      <c r="E392" s="4" t="s">
        <v>25</v>
      </c>
      <c r="F392" s="4" t="s">
        <v>25</v>
      </c>
      <c r="G392" s="4" t="s">
        <v>25</v>
      </c>
      <c r="H392" s="4" t="s">
        <v>34</v>
      </c>
      <c r="I392" s="5">
        <v>44621</v>
      </c>
      <c r="J392" s="6">
        <v>260</v>
      </c>
      <c r="K392" s="6">
        <v>260</v>
      </c>
      <c r="L392" s="6">
        <v>11.763</v>
      </c>
      <c r="M392" s="6">
        <v>11.763</v>
      </c>
      <c r="N392" s="6">
        <v>11.763</v>
      </c>
      <c r="O392" s="6">
        <v>11.763</v>
      </c>
      <c r="P392" s="6">
        <v>0</v>
      </c>
      <c r="Q392" s="4" t="s">
        <v>26</v>
      </c>
      <c r="R392" s="4">
        <v>0</v>
      </c>
      <c r="S392" s="6">
        <v>18</v>
      </c>
      <c r="T392" s="6">
        <v>22</v>
      </c>
      <c r="U392" s="6">
        <v>66</v>
      </c>
      <c r="V392" s="6">
        <f>IF(ISERROR(VLOOKUP($S$392,'TAR FIN'!$A$1:$O$104,15,0)),0,VLOOKUP($S$392,'TAR FIN'!$A$1:$O$104,15,0))</f>
        <v>52.15</v>
      </c>
      <c r="W392" s="6">
        <f>IF(ISERROR(VLOOKUP($T$392,'TAR FIN'!$A$1:$O$104,15,0)),0,VLOOKUP($T$392,'TAR FIN'!$A$1:$O$104,15,0))</f>
        <v>62.57</v>
      </c>
      <c r="X392" s="6">
        <f>IF(ISERROR(VLOOKUP($U$392,'TAR FIN'!$A$1:$O$104,15,0)),0,VLOOKUP($U$392,'TAR FIN'!$A$1:$O$104,15,0))</f>
        <v>397.62</v>
      </c>
      <c r="Y392" s="6">
        <f ca="1">('TUSD BE'!$AM$13+'TUSD BF'!$AM$13+'TUSD CVA'!$AM$13)*1</f>
        <v>52.233673366014429</v>
      </c>
      <c r="Z392" s="6">
        <f ca="1">('TUSD BE'!$AM$15+'TUSD BF'!$AM$15+'TUSD CVA'!$AM$15)*1</f>
        <v>77.876201961015255</v>
      </c>
      <c r="AA392" s="6">
        <f>('TE BE'!$AB$7+'TE BF'!$AB$7+'TE CVA'!$AB$7)*1</f>
        <v>360.26029187567116</v>
      </c>
      <c r="AB392" s="6">
        <f>$K$392*$V$392</f>
        <v>13559</v>
      </c>
      <c r="AC392" s="6">
        <f>$M$392*$W$392</f>
        <v>736.01090999999997</v>
      </c>
      <c r="AD392" s="6">
        <f>$O$392*$X$392</f>
        <v>4677.20406</v>
      </c>
      <c r="AE392" s="6">
        <f ca="1">$K$392*$Y$392</f>
        <v>13580.755075163752</v>
      </c>
      <c r="AF392" s="6">
        <f ca="1">$M$392*$Z$392</f>
        <v>916.05776366742248</v>
      </c>
      <c r="AG392" s="6">
        <f>$O$392*$AA$392</f>
        <v>4237.7418133335195</v>
      </c>
    </row>
    <row r="393" spans="1:33" ht="11.25" customHeight="1" x14ac:dyDescent="0.25">
      <c r="A393" s="4" t="s">
        <v>21</v>
      </c>
      <c r="B393" s="4" t="s">
        <v>41</v>
      </c>
      <c r="C393" s="4" t="s">
        <v>40</v>
      </c>
      <c r="D393" s="4" t="s">
        <v>43</v>
      </c>
      <c r="E393" s="4" t="s">
        <v>25</v>
      </c>
      <c r="F393" s="4" t="s">
        <v>25</v>
      </c>
      <c r="G393" s="4" t="s">
        <v>25</v>
      </c>
      <c r="H393" s="4" t="s">
        <v>34</v>
      </c>
      <c r="I393" s="5">
        <v>44652</v>
      </c>
      <c r="J393" s="6">
        <v>6993</v>
      </c>
      <c r="K393" s="6">
        <v>6993</v>
      </c>
      <c r="L393" s="6">
        <v>264.53500000000003</v>
      </c>
      <c r="M393" s="6">
        <v>264.53500000000003</v>
      </c>
      <c r="N393" s="6">
        <v>264.53500000000003</v>
      </c>
      <c r="O393" s="6">
        <v>264.53500000000003</v>
      </c>
      <c r="P393" s="6">
        <v>0</v>
      </c>
      <c r="Q393" s="4" t="s">
        <v>26</v>
      </c>
      <c r="R393" s="4">
        <v>0</v>
      </c>
      <c r="S393" s="6">
        <v>18</v>
      </c>
      <c r="T393" s="6">
        <v>22</v>
      </c>
      <c r="U393" s="6">
        <v>66</v>
      </c>
      <c r="V393" s="6">
        <f>IF(ISERROR(VLOOKUP($S$393,'TAR FIN'!$A$1:$O$104,15,0)),0,VLOOKUP($S$393,'TAR FIN'!$A$1:$O$104,15,0))</f>
        <v>52.15</v>
      </c>
      <c r="W393" s="6">
        <f>IF(ISERROR(VLOOKUP($T$393,'TAR FIN'!$A$1:$O$104,15,0)),0,VLOOKUP($T$393,'TAR FIN'!$A$1:$O$104,15,0))</f>
        <v>62.57</v>
      </c>
      <c r="X393" s="6">
        <f>IF(ISERROR(VLOOKUP($U$393,'TAR FIN'!$A$1:$O$104,15,0)),0,VLOOKUP($U$393,'TAR FIN'!$A$1:$O$104,15,0))</f>
        <v>397.62</v>
      </c>
      <c r="Y393" s="6">
        <f ca="1">('TUSD BE'!$AM$13+'TUSD BF'!$AM$13+'TUSD CVA'!$AM$13)*1</f>
        <v>52.233673366014429</v>
      </c>
      <c r="Z393" s="6">
        <f ca="1">('TUSD BE'!$AM$15+'TUSD BF'!$AM$15+'TUSD CVA'!$AM$15)*1</f>
        <v>77.876201961015255</v>
      </c>
      <c r="AA393" s="6">
        <f>('TE BE'!$AB$7+'TE BF'!$AB$7+'TE CVA'!$AB$7)*1</f>
        <v>360.26029187567116</v>
      </c>
      <c r="AB393" s="6">
        <f>$K$393*$V$393</f>
        <v>364684.95</v>
      </c>
      <c r="AC393" s="6">
        <f>$M$393*$W$393</f>
        <v>16551.954950000003</v>
      </c>
      <c r="AD393" s="6">
        <f>$O$393*$X$393</f>
        <v>105184.40670000001</v>
      </c>
      <c r="AE393" s="6">
        <f ca="1">$K$393*$Y$393</f>
        <v>365270.07784853893</v>
      </c>
      <c r="AF393" s="6">
        <f ca="1">$M$393*$Z$393</f>
        <v>20600.981085757172</v>
      </c>
      <c r="AG393" s="6">
        <f>$O$393*$AA$393</f>
        <v>95301.456311330679</v>
      </c>
    </row>
    <row r="394" spans="1:33" ht="11.25" customHeight="1" x14ac:dyDescent="0.25">
      <c r="A394" s="4" t="s">
        <v>27</v>
      </c>
      <c r="B394" s="4" t="s">
        <v>41</v>
      </c>
      <c r="C394" s="4" t="s">
        <v>40</v>
      </c>
      <c r="D394" s="4" t="s">
        <v>43</v>
      </c>
      <c r="E394" s="4" t="s">
        <v>25</v>
      </c>
      <c r="F394" s="4" t="s">
        <v>25</v>
      </c>
      <c r="G394" s="4" t="s">
        <v>25</v>
      </c>
      <c r="H394" s="4" t="s">
        <v>34</v>
      </c>
      <c r="I394" s="5">
        <v>44652</v>
      </c>
      <c r="J394" s="6">
        <v>0</v>
      </c>
      <c r="K394" s="6">
        <v>0</v>
      </c>
      <c r="L394" s="6">
        <v>-0.50900000000000001</v>
      </c>
      <c r="M394" s="6">
        <v>-0.50900000000000001</v>
      </c>
      <c r="N394" s="6">
        <v>-0.50900000000000001</v>
      </c>
      <c r="O394" s="6">
        <v>-0.50900000000000001</v>
      </c>
      <c r="P394" s="6">
        <v>0</v>
      </c>
      <c r="Q394" s="4" t="s">
        <v>26</v>
      </c>
      <c r="R394" s="4">
        <v>0</v>
      </c>
      <c r="S394" s="6">
        <v>0</v>
      </c>
      <c r="T394" s="6">
        <v>22</v>
      </c>
      <c r="U394" s="6">
        <v>66</v>
      </c>
      <c r="V394" s="6">
        <f>IF(ISERROR(VLOOKUP($S$394,'TAR FIN'!$A$1:$O$104,15,0)),0,VLOOKUP($S$394,'TAR FIN'!$A$1:$O$104,15,0))</f>
        <v>0</v>
      </c>
      <c r="W394" s="6">
        <f>IF(ISERROR(VLOOKUP($T$394,'TAR FIN'!$A$1:$O$104,15,0)),0,VLOOKUP($T$394,'TAR FIN'!$A$1:$O$104,15,0))</f>
        <v>62.57</v>
      </c>
      <c r="X394" s="6">
        <f>IF(ISERROR(VLOOKUP($U$394,'TAR FIN'!$A$1:$O$104,15,0)),0,VLOOKUP($U$394,'TAR FIN'!$A$1:$O$104,15,0))</f>
        <v>397.62</v>
      </c>
      <c r="Y394" s="6">
        <f ca="1">('TUSD BE'!$AM$13+'TUSD BF'!$AM$13+'TUSD CVA'!$AM$13)*1</f>
        <v>52.233673366014429</v>
      </c>
      <c r="Z394" s="6">
        <f ca="1">('TUSD BE'!$AM$15+'TUSD BF'!$AM$15+'TUSD CVA'!$AM$15)*1</f>
        <v>77.876201961015255</v>
      </c>
      <c r="AA394" s="6">
        <f>('TE BE'!$AB$7+'TE BF'!$AB$7+'TE CVA'!$AB$7)*1</f>
        <v>360.26029187567116</v>
      </c>
      <c r="AB394" s="6">
        <f>$K$394*$V$394</f>
        <v>0</v>
      </c>
      <c r="AC394" s="6">
        <f>$M$394*$W$394</f>
        <v>-31.848130000000001</v>
      </c>
      <c r="AD394" s="6">
        <f>$O$394*$X$394</f>
        <v>-202.38858000000002</v>
      </c>
      <c r="AE394" s="6">
        <f ca="1">$K$394*$Y$394</f>
        <v>0</v>
      </c>
      <c r="AF394" s="6">
        <f ca="1">$M$394*$Z$394</f>
        <v>-39.638986798156765</v>
      </c>
      <c r="AG394" s="6">
        <f>$O$394*$AA$394</f>
        <v>-183.37248856471663</v>
      </c>
    </row>
    <row r="395" spans="1:33" ht="11.25" customHeight="1" x14ac:dyDescent="0.25">
      <c r="A395" s="4" t="s">
        <v>28</v>
      </c>
      <c r="B395" s="4" t="s">
        <v>41</v>
      </c>
      <c r="C395" s="4" t="s">
        <v>40</v>
      </c>
      <c r="D395" s="4" t="s">
        <v>43</v>
      </c>
      <c r="E395" s="4" t="s">
        <v>25</v>
      </c>
      <c r="F395" s="4" t="s">
        <v>25</v>
      </c>
      <c r="G395" s="4" t="s">
        <v>25</v>
      </c>
      <c r="H395" s="4" t="s">
        <v>34</v>
      </c>
      <c r="I395" s="5">
        <v>44652</v>
      </c>
      <c r="J395" s="6">
        <v>255</v>
      </c>
      <c r="K395" s="6">
        <v>255</v>
      </c>
      <c r="L395" s="6">
        <v>10.176</v>
      </c>
      <c r="M395" s="6">
        <v>10.176</v>
      </c>
      <c r="N395" s="6">
        <v>10.176</v>
      </c>
      <c r="O395" s="6">
        <v>10.176</v>
      </c>
      <c r="P395" s="6">
        <v>0</v>
      </c>
      <c r="Q395" s="4" t="s">
        <v>26</v>
      </c>
      <c r="R395" s="4">
        <v>0</v>
      </c>
      <c r="S395" s="6">
        <v>18</v>
      </c>
      <c r="T395" s="6">
        <v>22</v>
      </c>
      <c r="U395" s="6">
        <v>66</v>
      </c>
      <c r="V395" s="6">
        <f>IF(ISERROR(VLOOKUP($S$395,'TAR FIN'!$A$1:$O$104,15,0)),0,VLOOKUP($S$395,'TAR FIN'!$A$1:$O$104,15,0))</f>
        <v>52.15</v>
      </c>
      <c r="W395" s="6">
        <f>IF(ISERROR(VLOOKUP($T$395,'TAR FIN'!$A$1:$O$104,15,0)),0,VLOOKUP($T$395,'TAR FIN'!$A$1:$O$104,15,0))</f>
        <v>62.57</v>
      </c>
      <c r="X395" s="6">
        <f>IF(ISERROR(VLOOKUP($U$395,'TAR FIN'!$A$1:$O$104,15,0)),0,VLOOKUP($U$395,'TAR FIN'!$A$1:$O$104,15,0))</f>
        <v>397.62</v>
      </c>
      <c r="Y395" s="6">
        <f ca="1">('TUSD BE'!$AM$13+'TUSD BF'!$AM$13+'TUSD CVA'!$AM$13)*1</f>
        <v>52.233673366014429</v>
      </c>
      <c r="Z395" s="6">
        <f ca="1">('TUSD BE'!$AM$15+'TUSD BF'!$AM$15+'TUSD CVA'!$AM$15)*1</f>
        <v>77.876201961015255</v>
      </c>
      <c r="AA395" s="6">
        <f>('TE BE'!$AB$7+'TE BF'!$AB$7+'TE CVA'!$AB$7)*1</f>
        <v>360.26029187567116</v>
      </c>
      <c r="AB395" s="6">
        <f>$K$395*$V$395</f>
        <v>13298.25</v>
      </c>
      <c r="AC395" s="6">
        <f>$M$395*$W$395</f>
        <v>636.71231999999998</v>
      </c>
      <c r="AD395" s="6">
        <f>$O$395*$X$395</f>
        <v>4046.1811200000002</v>
      </c>
      <c r="AE395" s="6">
        <f ca="1">$K$395*$Y$395</f>
        <v>13319.58670833368</v>
      </c>
      <c r="AF395" s="6">
        <f ca="1">$M$395*$Z$395</f>
        <v>792.46823115529128</v>
      </c>
      <c r="AG395" s="6">
        <f>$O$395*$AA$395</f>
        <v>3666.00873012683</v>
      </c>
    </row>
    <row r="396" spans="1:33" ht="11.25" customHeight="1" x14ac:dyDescent="0.25">
      <c r="A396" s="4" t="s">
        <v>21</v>
      </c>
      <c r="B396" s="4" t="s">
        <v>41</v>
      </c>
      <c r="C396" s="4" t="s">
        <v>40</v>
      </c>
      <c r="D396" s="4" t="s">
        <v>43</v>
      </c>
      <c r="E396" s="4" t="s">
        <v>25</v>
      </c>
      <c r="F396" s="4" t="s">
        <v>25</v>
      </c>
      <c r="G396" s="4" t="s">
        <v>25</v>
      </c>
      <c r="H396" s="4" t="s">
        <v>34</v>
      </c>
      <c r="I396" s="5">
        <v>44682</v>
      </c>
      <c r="J396" s="6">
        <v>6752</v>
      </c>
      <c r="K396" s="6">
        <v>6752</v>
      </c>
      <c r="L396" s="6">
        <v>278.20499999999998</v>
      </c>
      <c r="M396" s="6">
        <v>278.20499999999998</v>
      </c>
      <c r="N396" s="6">
        <v>278.20499999999998</v>
      </c>
      <c r="O396" s="6">
        <v>278.20499999999998</v>
      </c>
      <c r="P396" s="6">
        <v>0</v>
      </c>
      <c r="Q396" s="4" t="s">
        <v>26</v>
      </c>
      <c r="R396" s="4">
        <v>0</v>
      </c>
      <c r="S396" s="6">
        <v>18</v>
      </c>
      <c r="T396" s="6">
        <v>22</v>
      </c>
      <c r="U396" s="6">
        <v>66</v>
      </c>
      <c r="V396" s="6">
        <f>IF(ISERROR(VLOOKUP($S$396,'TAR FIN'!$A$1:$O$104,15,0)),0,VLOOKUP($S$396,'TAR FIN'!$A$1:$O$104,15,0))</f>
        <v>52.15</v>
      </c>
      <c r="W396" s="6">
        <f>IF(ISERROR(VLOOKUP($T$396,'TAR FIN'!$A$1:$O$104,15,0)),0,VLOOKUP($T$396,'TAR FIN'!$A$1:$O$104,15,0))</f>
        <v>62.57</v>
      </c>
      <c r="X396" s="6">
        <f>IF(ISERROR(VLOOKUP($U$396,'TAR FIN'!$A$1:$O$104,15,0)),0,VLOOKUP($U$396,'TAR FIN'!$A$1:$O$104,15,0))</f>
        <v>397.62</v>
      </c>
      <c r="Y396" s="6">
        <f ca="1">('TUSD BE'!$AM$13+'TUSD BF'!$AM$13+'TUSD CVA'!$AM$13)*1</f>
        <v>52.233673366014429</v>
      </c>
      <c r="Z396" s="6">
        <f ca="1">('TUSD BE'!$AM$15+'TUSD BF'!$AM$15+'TUSD CVA'!$AM$15)*1</f>
        <v>77.876201961015255</v>
      </c>
      <c r="AA396" s="6">
        <f>('TE BE'!$AB$7+'TE BF'!$AB$7+'TE CVA'!$AB$7)*1</f>
        <v>360.26029187567116</v>
      </c>
      <c r="AB396" s="6">
        <f>$K$396*$V$396</f>
        <v>352116.8</v>
      </c>
      <c r="AC396" s="6">
        <f>$M$396*$W$396</f>
        <v>17407.28685</v>
      </c>
      <c r="AD396" s="6">
        <f>$O$396*$X$396</f>
        <v>110619.87209999999</v>
      </c>
      <c r="AE396" s="6">
        <f ca="1">$K$396*$Y$396</f>
        <v>352681.76256732945</v>
      </c>
      <c r="AF396" s="6">
        <f ca="1">$M$396*$Z$396</f>
        <v>21665.548766564247</v>
      </c>
      <c r="AG396" s="6">
        <f>$O$396*$AA$396</f>
        <v>100226.21450127108</v>
      </c>
    </row>
    <row r="397" spans="1:33" ht="11.25" customHeight="1" x14ac:dyDescent="0.25">
      <c r="A397" s="4" t="s">
        <v>27</v>
      </c>
      <c r="B397" s="4" t="s">
        <v>41</v>
      </c>
      <c r="C397" s="4" t="s">
        <v>40</v>
      </c>
      <c r="D397" s="4" t="s">
        <v>43</v>
      </c>
      <c r="E397" s="4" t="s">
        <v>25</v>
      </c>
      <c r="F397" s="4" t="s">
        <v>25</v>
      </c>
      <c r="G397" s="4" t="s">
        <v>25</v>
      </c>
      <c r="H397" s="4" t="s">
        <v>34</v>
      </c>
      <c r="I397" s="5">
        <v>44682</v>
      </c>
      <c r="J397" s="6">
        <v>-48</v>
      </c>
      <c r="K397" s="6">
        <v>-48</v>
      </c>
      <c r="L397" s="6">
        <v>-1.282</v>
      </c>
      <c r="M397" s="6">
        <v>-1.282</v>
      </c>
      <c r="N397" s="6">
        <v>-1.282</v>
      </c>
      <c r="O397" s="6">
        <v>-1.282</v>
      </c>
      <c r="P397" s="6">
        <v>0</v>
      </c>
      <c r="Q397" s="4" t="s">
        <v>26</v>
      </c>
      <c r="R397" s="4">
        <v>0</v>
      </c>
      <c r="S397" s="6">
        <v>18</v>
      </c>
      <c r="T397" s="6">
        <v>22</v>
      </c>
      <c r="U397" s="6">
        <v>66</v>
      </c>
      <c r="V397" s="6">
        <f>IF(ISERROR(VLOOKUP($S$397,'TAR FIN'!$A$1:$O$104,15,0)),0,VLOOKUP($S$397,'TAR FIN'!$A$1:$O$104,15,0))</f>
        <v>52.15</v>
      </c>
      <c r="W397" s="6">
        <f>IF(ISERROR(VLOOKUP($T$397,'TAR FIN'!$A$1:$O$104,15,0)),0,VLOOKUP($T$397,'TAR FIN'!$A$1:$O$104,15,0))</f>
        <v>62.57</v>
      </c>
      <c r="X397" s="6">
        <f>IF(ISERROR(VLOOKUP($U$397,'TAR FIN'!$A$1:$O$104,15,0)),0,VLOOKUP($U$397,'TAR FIN'!$A$1:$O$104,15,0))</f>
        <v>397.62</v>
      </c>
      <c r="Y397" s="6">
        <f ca="1">('TUSD BE'!$AM$13+'TUSD BF'!$AM$13+'TUSD CVA'!$AM$13)*1</f>
        <v>52.233673366014429</v>
      </c>
      <c r="Z397" s="6">
        <f ca="1">('TUSD BE'!$AM$15+'TUSD BF'!$AM$15+'TUSD CVA'!$AM$15)*1</f>
        <v>77.876201961015255</v>
      </c>
      <c r="AA397" s="6">
        <f>('TE BE'!$AB$7+'TE BF'!$AB$7+'TE CVA'!$AB$7)*1</f>
        <v>360.26029187567116</v>
      </c>
      <c r="AB397" s="6">
        <f>$K$397*$V$397</f>
        <v>-2503.1999999999998</v>
      </c>
      <c r="AC397" s="6">
        <f>$M$397*$W$397</f>
        <v>-80.214740000000006</v>
      </c>
      <c r="AD397" s="6">
        <f>$O$397*$X$397</f>
        <v>-509.74884000000003</v>
      </c>
      <c r="AE397" s="6">
        <f ca="1">$K$397*$Y$397</f>
        <v>-2507.2163215686924</v>
      </c>
      <c r="AF397" s="6">
        <f ca="1">$M$397*$Z$397</f>
        <v>-99.837290914021565</v>
      </c>
      <c r="AG397" s="6">
        <f>$O$397*$AA$397</f>
        <v>-461.85369418461045</v>
      </c>
    </row>
    <row r="398" spans="1:33" ht="11.25" customHeight="1" x14ac:dyDescent="0.25">
      <c r="A398" s="4" t="s">
        <v>28</v>
      </c>
      <c r="B398" s="4" t="s">
        <v>41</v>
      </c>
      <c r="C398" s="4" t="s">
        <v>40</v>
      </c>
      <c r="D398" s="4" t="s">
        <v>43</v>
      </c>
      <c r="E398" s="4" t="s">
        <v>25</v>
      </c>
      <c r="F398" s="4" t="s">
        <v>25</v>
      </c>
      <c r="G398" s="4" t="s">
        <v>25</v>
      </c>
      <c r="H398" s="4" t="s">
        <v>34</v>
      </c>
      <c r="I398" s="5">
        <v>44682</v>
      </c>
      <c r="J398" s="6">
        <v>514</v>
      </c>
      <c r="K398" s="6">
        <v>514</v>
      </c>
      <c r="L398" s="6">
        <v>16.263999999999999</v>
      </c>
      <c r="M398" s="6">
        <v>16.263999999999999</v>
      </c>
      <c r="N398" s="6">
        <v>16.263999999999999</v>
      </c>
      <c r="O398" s="6">
        <v>16.263999999999999</v>
      </c>
      <c r="P398" s="6">
        <v>0</v>
      </c>
      <c r="Q398" s="4" t="s">
        <v>26</v>
      </c>
      <c r="R398" s="4">
        <v>0</v>
      </c>
      <c r="S398" s="6">
        <v>18</v>
      </c>
      <c r="T398" s="6">
        <v>22</v>
      </c>
      <c r="U398" s="6">
        <v>66</v>
      </c>
      <c r="V398" s="6">
        <f>IF(ISERROR(VLOOKUP($S$398,'TAR FIN'!$A$1:$O$104,15,0)),0,VLOOKUP($S$398,'TAR FIN'!$A$1:$O$104,15,0))</f>
        <v>52.15</v>
      </c>
      <c r="W398" s="6">
        <f>IF(ISERROR(VLOOKUP($T$398,'TAR FIN'!$A$1:$O$104,15,0)),0,VLOOKUP($T$398,'TAR FIN'!$A$1:$O$104,15,0))</f>
        <v>62.57</v>
      </c>
      <c r="X398" s="6">
        <f>IF(ISERROR(VLOOKUP($U$398,'TAR FIN'!$A$1:$O$104,15,0)),0,VLOOKUP($U$398,'TAR FIN'!$A$1:$O$104,15,0))</f>
        <v>397.62</v>
      </c>
      <c r="Y398" s="6">
        <f ca="1">('TUSD BE'!$AM$13+'TUSD BF'!$AM$13+'TUSD CVA'!$AM$13)*1</f>
        <v>52.233673366014429</v>
      </c>
      <c r="Z398" s="6">
        <f ca="1">('TUSD BE'!$AM$15+'TUSD BF'!$AM$15+'TUSD CVA'!$AM$15)*1</f>
        <v>77.876201961015255</v>
      </c>
      <c r="AA398" s="6">
        <f>('TE BE'!$AB$7+'TE BF'!$AB$7+'TE CVA'!$AB$7)*1</f>
        <v>360.26029187567116</v>
      </c>
      <c r="AB398" s="6">
        <f>$K$398*$V$398</f>
        <v>26805.1</v>
      </c>
      <c r="AC398" s="6">
        <f>$M$398*$W$398</f>
        <v>1017.63848</v>
      </c>
      <c r="AD398" s="6">
        <f>$O$398*$X$398</f>
        <v>6466.8916799999997</v>
      </c>
      <c r="AE398" s="6">
        <f ca="1">$K$398*$Y$398</f>
        <v>26848.108110131416</v>
      </c>
      <c r="AF398" s="6">
        <f ca="1">$M$398*$Z$398</f>
        <v>1266.5785486939521</v>
      </c>
      <c r="AG398" s="6">
        <f>$O$398*$AA$398</f>
        <v>5859.2733870659158</v>
      </c>
    </row>
    <row r="399" spans="1:33" ht="11.25" customHeight="1" x14ac:dyDescent="0.25">
      <c r="A399" s="4" t="s">
        <v>21</v>
      </c>
      <c r="B399" s="4" t="s">
        <v>41</v>
      </c>
      <c r="C399" s="4" t="s">
        <v>40</v>
      </c>
      <c r="D399" s="4" t="s">
        <v>43</v>
      </c>
      <c r="E399" s="4" t="s">
        <v>25</v>
      </c>
      <c r="F399" s="4" t="s">
        <v>25</v>
      </c>
      <c r="G399" s="4" t="s">
        <v>25</v>
      </c>
      <c r="H399" s="4" t="s">
        <v>34</v>
      </c>
      <c r="I399" s="5">
        <v>44713</v>
      </c>
      <c r="J399" s="6">
        <v>6464</v>
      </c>
      <c r="K399" s="6">
        <v>6464</v>
      </c>
      <c r="L399" s="6">
        <v>248.37100000000001</v>
      </c>
      <c r="M399" s="6">
        <v>248.37100000000001</v>
      </c>
      <c r="N399" s="6">
        <v>248.37100000000001</v>
      </c>
      <c r="O399" s="6">
        <v>248.37100000000001</v>
      </c>
      <c r="P399" s="6">
        <v>0</v>
      </c>
      <c r="Q399" s="4" t="s">
        <v>26</v>
      </c>
      <c r="R399" s="4">
        <v>0</v>
      </c>
      <c r="S399" s="6">
        <v>18</v>
      </c>
      <c r="T399" s="6">
        <v>22</v>
      </c>
      <c r="U399" s="6">
        <v>66</v>
      </c>
      <c r="V399" s="6">
        <f>IF(ISERROR(VLOOKUP($S$399,'TAR FIN'!$A$1:$O$104,15,0)),0,VLOOKUP($S$399,'TAR FIN'!$A$1:$O$104,15,0))</f>
        <v>52.15</v>
      </c>
      <c r="W399" s="6">
        <f>IF(ISERROR(VLOOKUP($T$399,'TAR FIN'!$A$1:$O$104,15,0)),0,VLOOKUP($T$399,'TAR FIN'!$A$1:$O$104,15,0))</f>
        <v>62.57</v>
      </c>
      <c r="X399" s="6">
        <f>IF(ISERROR(VLOOKUP($U$399,'TAR FIN'!$A$1:$O$104,15,0)),0,VLOOKUP($U$399,'TAR FIN'!$A$1:$O$104,15,0))</f>
        <v>397.62</v>
      </c>
      <c r="Y399" s="6">
        <f ca="1">('TUSD BE'!$AM$13+'TUSD BF'!$AM$13+'TUSD CVA'!$AM$13)*1</f>
        <v>52.233673366014429</v>
      </c>
      <c r="Z399" s="6">
        <f ca="1">('TUSD BE'!$AM$15+'TUSD BF'!$AM$15+'TUSD CVA'!$AM$15)*1</f>
        <v>77.876201961015255</v>
      </c>
      <c r="AA399" s="6">
        <f>('TE BE'!$AB$7+'TE BF'!$AB$7+'TE CVA'!$AB$7)*1</f>
        <v>360.26029187567116</v>
      </c>
      <c r="AB399" s="6">
        <f>$K$399*$V$399</f>
        <v>337097.6</v>
      </c>
      <c r="AC399" s="6">
        <f>$M$399*$W$399</f>
        <v>15540.573470000001</v>
      </c>
      <c r="AD399" s="6">
        <f>$O$399*$X$399</f>
        <v>98757.277020000009</v>
      </c>
      <c r="AE399" s="6">
        <f ca="1">$K$399*$Y$399</f>
        <v>337638.46463791729</v>
      </c>
      <c r="AF399" s="6">
        <f ca="1">$M$399*$Z$399</f>
        <v>19342.19015725932</v>
      </c>
      <c r="AG399" s="6">
        <f>$O$399*$AA$399</f>
        <v>89478.208953452326</v>
      </c>
    </row>
    <row r="400" spans="1:33" ht="11.25" customHeight="1" x14ac:dyDescent="0.25">
      <c r="A400" s="4" t="s">
        <v>28</v>
      </c>
      <c r="B400" s="4" t="s">
        <v>41</v>
      </c>
      <c r="C400" s="4" t="s">
        <v>40</v>
      </c>
      <c r="D400" s="4" t="s">
        <v>43</v>
      </c>
      <c r="E400" s="4" t="s">
        <v>25</v>
      </c>
      <c r="F400" s="4" t="s">
        <v>25</v>
      </c>
      <c r="G400" s="4" t="s">
        <v>25</v>
      </c>
      <c r="H400" s="4" t="s">
        <v>34</v>
      </c>
      <c r="I400" s="5">
        <v>44713</v>
      </c>
      <c r="J400" s="6">
        <v>557</v>
      </c>
      <c r="K400" s="6">
        <v>557</v>
      </c>
      <c r="L400" s="6">
        <v>13.986000000000001</v>
      </c>
      <c r="M400" s="6">
        <v>13.986000000000001</v>
      </c>
      <c r="N400" s="6">
        <v>13.986000000000001</v>
      </c>
      <c r="O400" s="6">
        <v>13.986000000000001</v>
      </c>
      <c r="P400" s="6">
        <v>0</v>
      </c>
      <c r="Q400" s="4" t="s">
        <v>26</v>
      </c>
      <c r="R400" s="4">
        <v>0</v>
      </c>
      <c r="S400" s="6">
        <v>18</v>
      </c>
      <c r="T400" s="6">
        <v>22</v>
      </c>
      <c r="U400" s="6">
        <v>66</v>
      </c>
      <c r="V400" s="6">
        <f>IF(ISERROR(VLOOKUP($S$400,'TAR FIN'!$A$1:$O$104,15,0)),0,VLOOKUP($S$400,'TAR FIN'!$A$1:$O$104,15,0))</f>
        <v>52.15</v>
      </c>
      <c r="W400" s="6">
        <f>IF(ISERROR(VLOOKUP($T$400,'TAR FIN'!$A$1:$O$104,15,0)),0,VLOOKUP($T$400,'TAR FIN'!$A$1:$O$104,15,0))</f>
        <v>62.57</v>
      </c>
      <c r="X400" s="6">
        <f>IF(ISERROR(VLOOKUP($U$400,'TAR FIN'!$A$1:$O$104,15,0)),0,VLOOKUP($U$400,'TAR FIN'!$A$1:$O$104,15,0))</f>
        <v>397.62</v>
      </c>
      <c r="Y400" s="6">
        <f ca="1">('TUSD BE'!$AM$13+'TUSD BF'!$AM$13+'TUSD CVA'!$AM$13)*1</f>
        <v>52.233673366014429</v>
      </c>
      <c r="Z400" s="6">
        <f ca="1">('TUSD BE'!$AM$15+'TUSD BF'!$AM$15+'TUSD CVA'!$AM$15)*1</f>
        <v>77.876201961015255</v>
      </c>
      <c r="AA400" s="6">
        <f>('TE BE'!$AB$7+'TE BF'!$AB$7+'TE CVA'!$AB$7)*1</f>
        <v>360.26029187567116</v>
      </c>
      <c r="AB400" s="6">
        <f>$K$400*$V$400</f>
        <v>29047.55</v>
      </c>
      <c r="AC400" s="6">
        <f>$M$400*$W$400</f>
        <v>875.10401999999999</v>
      </c>
      <c r="AD400" s="6">
        <f>$O$400*$X$400</f>
        <v>5561.1133200000004</v>
      </c>
      <c r="AE400" s="6">
        <f ca="1">$K$400*$Y$400</f>
        <v>29094.156064870036</v>
      </c>
      <c r="AF400" s="6">
        <f ca="1">$M$400*$Z$400</f>
        <v>1089.1765606267595</v>
      </c>
      <c r="AG400" s="6">
        <f>$O$400*$AA$400</f>
        <v>5038.6004421731368</v>
      </c>
    </row>
    <row r="401" spans="1:33" ht="11.25" customHeight="1" x14ac:dyDescent="0.25">
      <c r="A401" s="4" t="s">
        <v>57</v>
      </c>
      <c r="B401" s="4" t="s">
        <v>41</v>
      </c>
      <c r="C401" s="4" t="s">
        <v>40</v>
      </c>
      <c r="D401" s="4" t="s">
        <v>43</v>
      </c>
      <c r="E401" s="4" t="s">
        <v>25</v>
      </c>
      <c r="F401" s="4" t="s">
        <v>25</v>
      </c>
      <c r="G401" s="4" t="s">
        <v>25</v>
      </c>
      <c r="H401" s="4" t="s">
        <v>34</v>
      </c>
      <c r="I401" s="5">
        <v>44743</v>
      </c>
      <c r="J401" s="6">
        <v>6464</v>
      </c>
      <c r="K401" s="6">
        <v>6464</v>
      </c>
      <c r="L401" s="6">
        <v>248.37100000000001</v>
      </c>
      <c r="M401" s="6">
        <v>248.37100000000001</v>
      </c>
      <c r="N401" s="6">
        <v>248.37100000000001</v>
      </c>
      <c r="O401" s="6">
        <v>248.37100000000001</v>
      </c>
      <c r="P401" s="6">
        <v>0</v>
      </c>
      <c r="Q401" s="4" t="s">
        <v>26</v>
      </c>
      <c r="R401" s="4">
        <v>0</v>
      </c>
      <c r="S401" s="6">
        <v>18</v>
      </c>
      <c r="T401" s="6">
        <v>22</v>
      </c>
      <c r="U401" s="6">
        <v>66</v>
      </c>
      <c r="V401" s="6">
        <f>IF(ISERROR(VLOOKUP($S$401,'TAR FIN'!$A$1:$O$104,15,0)),0,VLOOKUP($S$401,'TAR FIN'!$A$1:$O$104,15,0))</f>
        <v>52.15</v>
      </c>
      <c r="W401" s="6">
        <f>IF(ISERROR(VLOOKUP($T$401,'TAR FIN'!$A$1:$O$104,15,0)),0,VLOOKUP($T$401,'TAR FIN'!$A$1:$O$104,15,0))</f>
        <v>62.57</v>
      </c>
      <c r="X401" s="6">
        <f>IF(ISERROR(VLOOKUP($U$401,'TAR FIN'!$A$1:$O$104,15,0)),0,VLOOKUP($U$401,'TAR FIN'!$A$1:$O$104,15,0))</f>
        <v>397.62</v>
      </c>
      <c r="Y401" s="6">
        <f ca="1">('TUSD BE'!$AM$13+'TUSD BF'!$AM$13+'TUSD CVA'!$AM$13)*1</f>
        <v>52.233673366014429</v>
      </c>
      <c r="Z401" s="6">
        <f ca="1">('TUSD BE'!$AM$15+'TUSD BF'!$AM$15+'TUSD CVA'!$AM$15)*1</f>
        <v>77.876201961015255</v>
      </c>
      <c r="AA401" s="6">
        <f>('TE BE'!$AB$7+'TE BF'!$AB$7+'TE CVA'!$AB$7)*1</f>
        <v>360.26029187567116</v>
      </c>
      <c r="AB401" s="6">
        <f>$K$401*$V$401</f>
        <v>337097.6</v>
      </c>
      <c r="AC401" s="6">
        <f>$M$401*$W$401</f>
        <v>15540.573470000001</v>
      </c>
      <c r="AD401" s="6">
        <f>$O$401*$X$401</f>
        <v>98757.277020000009</v>
      </c>
      <c r="AE401" s="6">
        <f ca="1">$K$401*$Y$401</f>
        <v>337638.46463791729</v>
      </c>
      <c r="AF401" s="6">
        <f ca="1">$M$401*$Z$401</f>
        <v>19342.19015725932</v>
      </c>
      <c r="AG401" s="6">
        <f>$O$401*$AA$401</f>
        <v>89478.208953452326</v>
      </c>
    </row>
    <row r="402" spans="1:33" ht="11.25" customHeight="1" x14ac:dyDescent="0.25">
      <c r="A402" s="4" t="s">
        <v>57</v>
      </c>
      <c r="B402" s="4" t="s">
        <v>41</v>
      </c>
      <c r="C402" s="4" t="s">
        <v>40</v>
      </c>
      <c r="D402" s="4" t="s">
        <v>43</v>
      </c>
      <c r="E402" s="4" t="s">
        <v>25</v>
      </c>
      <c r="F402" s="4" t="s">
        <v>25</v>
      </c>
      <c r="G402" s="4" t="s">
        <v>25</v>
      </c>
      <c r="H402" s="4" t="s">
        <v>34</v>
      </c>
      <c r="I402" s="5">
        <v>44743</v>
      </c>
      <c r="J402" s="6">
        <v>557</v>
      </c>
      <c r="K402" s="6">
        <v>557</v>
      </c>
      <c r="L402" s="6">
        <v>13.986000000000001</v>
      </c>
      <c r="M402" s="6">
        <v>13.986000000000001</v>
      </c>
      <c r="N402" s="6">
        <v>13.986000000000001</v>
      </c>
      <c r="O402" s="6">
        <v>13.986000000000001</v>
      </c>
      <c r="P402" s="6">
        <v>0</v>
      </c>
      <c r="Q402" s="4" t="s">
        <v>26</v>
      </c>
      <c r="R402" s="4">
        <v>0</v>
      </c>
      <c r="S402" s="6">
        <v>18</v>
      </c>
      <c r="T402" s="6">
        <v>22</v>
      </c>
      <c r="U402" s="6">
        <v>66</v>
      </c>
      <c r="V402" s="6">
        <f>IF(ISERROR(VLOOKUP($S$402,'TAR FIN'!$A$1:$O$104,15,0)),0,VLOOKUP($S$402,'TAR FIN'!$A$1:$O$104,15,0))</f>
        <v>52.15</v>
      </c>
      <c r="W402" s="6">
        <f>IF(ISERROR(VLOOKUP($T$402,'TAR FIN'!$A$1:$O$104,15,0)),0,VLOOKUP($T$402,'TAR FIN'!$A$1:$O$104,15,0))</f>
        <v>62.57</v>
      </c>
      <c r="X402" s="6">
        <f>IF(ISERROR(VLOOKUP($U$402,'TAR FIN'!$A$1:$O$104,15,0)),0,VLOOKUP($U$402,'TAR FIN'!$A$1:$O$104,15,0))</f>
        <v>397.62</v>
      </c>
      <c r="Y402" s="6">
        <f ca="1">('TUSD BE'!$AM$13+'TUSD BF'!$AM$13+'TUSD CVA'!$AM$13)*1</f>
        <v>52.233673366014429</v>
      </c>
      <c r="Z402" s="6">
        <f ca="1">('TUSD BE'!$AM$15+'TUSD BF'!$AM$15+'TUSD CVA'!$AM$15)*1</f>
        <v>77.876201961015255</v>
      </c>
      <c r="AA402" s="6">
        <f>('TE BE'!$AB$7+'TE BF'!$AB$7+'TE CVA'!$AB$7)*1</f>
        <v>360.26029187567116</v>
      </c>
      <c r="AB402" s="6">
        <f>$K$402*$V$402</f>
        <v>29047.55</v>
      </c>
      <c r="AC402" s="6">
        <f>$M$402*$W$402</f>
        <v>875.10401999999999</v>
      </c>
      <c r="AD402" s="6">
        <f>$O$402*$X$402</f>
        <v>5561.1133200000004</v>
      </c>
      <c r="AE402" s="6">
        <f ca="1">$K$402*$Y$402</f>
        <v>29094.156064870036</v>
      </c>
      <c r="AF402" s="6">
        <f ca="1">$M$402*$Z$402</f>
        <v>1089.1765606267595</v>
      </c>
      <c r="AG402" s="6">
        <f>$O$402*$AA$402</f>
        <v>5038.6004421731368</v>
      </c>
    </row>
    <row r="403" spans="1:33" ht="11.25" customHeight="1" x14ac:dyDescent="0.25">
      <c r="A403" s="4" t="s">
        <v>21</v>
      </c>
      <c r="B403" s="4" t="s">
        <v>41</v>
      </c>
      <c r="C403" s="4" t="s">
        <v>40</v>
      </c>
      <c r="D403" s="4" t="s">
        <v>38</v>
      </c>
      <c r="E403" s="4" t="s">
        <v>25</v>
      </c>
      <c r="F403" s="4" t="s">
        <v>61</v>
      </c>
      <c r="G403" s="4" t="s">
        <v>25</v>
      </c>
      <c r="H403" s="4" t="s">
        <v>35</v>
      </c>
      <c r="I403" s="5">
        <v>44409</v>
      </c>
      <c r="J403" s="6">
        <v>14719</v>
      </c>
      <c r="K403" s="6">
        <v>7359.5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4" t="s">
        <v>58</v>
      </c>
      <c r="R403" s="4">
        <v>0</v>
      </c>
      <c r="S403" s="6">
        <v>20</v>
      </c>
      <c r="T403" s="6">
        <v>0</v>
      </c>
      <c r="U403" s="6">
        <v>0</v>
      </c>
      <c r="V403" s="6">
        <f>IF(ISERROR(VLOOKUP($S$403,'TAR FIN'!$A$1:$O$104,15,0)),0,VLOOKUP($S$403,'TAR FIN'!$A$1:$O$104,15,0))</f>
        <v>26.22</v>
      </c>
      <c r="W403" s="6">
        <f>IF(ISERROR(VLOOKUP($T$403,'TAR FIN'!$A$1:$O$104,15,0)),0,VLOOKUP($T$403,'TAR FIN'!$A$1:$O$104,15,0))</f>
        <v>0</v>
      </c>
      <c r="X403" s="6">
        <f>IF(ISERROR(VLOOKUP($U$403,'TAR FIN'!$A$1:$O$104,15,0)),0,VLOOKUP($U$403,'TAR FIN'!$A$1:$O$104,15,0))</f>
        <v>0</v>
      </c>
      <c r="Y403" s="6">
        <f ca="1">('TUSD BE'!$AM$14+'TUSD BF'!$AM$14+'TUSD CVA'!$AM$14)*1</f>
        <v>26.280164278980507</v>
      </c>
      <c r="Z403" s="6">
        <f ca="1">('TUSD BE'!$AM$15+'TUSD BF'!$AM$15+'TUSD CVA'!$AM$15)*1</f>
        <v>77.876201961015255</v>
      </c>
      <c r="AA403" s="6"/>
      <c r="AB403" s="6">
        <f>$K$403*$V$403</f>
        <v>192966.09</v>
      </c>
      <c r="AC403" s="6">
        <f>$M$403*$W$403</f>
        <v>0</v>
      </c>
      <c r="AD403" s="6">
        <f>$O$403*$X$403</f>
        <v>0</v>
      </c>
      <c r="AE403" s="6">
        <f ca="1">$K$403*$Y$403</f>
        <v>193408.86901115705</v>
      </c>
      <c r="AF403" s="6">
        <f ca="1">$M$403*$Z$403</f>
        <v>0</v>
      </c>
      <c r="AG403" s="6">
        <f>$O$403*$AA$403</f>
        <v>0</v>
      </c>
    </row>
    <row r="404" spans="1:33" ht="11.25" customHeight="1" x14ac:dyDescent="0.25">
      <c r="A404" s="4" t="s">
        <v>21</v>
      </c>
      <c r="B404" s="4" t="s">
        <v>41</v>
      </c>
      <c r="C404" s="4" t="s">
        <v>40</v>
      </c>
      <c r="D404" s="4" t="s">
        <v>38</v>
      </c>
      <c r="E404" s="4" t="s">
        <v>25</v>
      </c>
      <c r="F404" s="4" t="s">
        <v>61</v>
      </c>
      <c r="G404" s="4" t="s">
        <v>25</v>
      </c>
      <c r="H404" s="4" t="s">
        <v>35</v>
      </c>
      <c r="I404" s="5">
        <v>44440</v>
      </c>
      <c r="J404" s="6">
        <v>14708</v>
      </c>
      <c r="K404" s="6">
        <v>7354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4" t="s">
        <v>58</v>
      </c>
      <c r="R404" s="4">
        <v>0</v>
      </c>
      <c r="S404" s="6">
        <v>20</v>
      </c>
      <c r="T404" s="6">
        <v>0</v>
      </c>
      <c r="U404" s="6">
        <v>0</v>
      </c>
      <c r="V404" s="6">
        <f>IF(ISERROR(VLOOKUP($S$404,'TAR FIN'!$A$1:$O$104,15,0)),0,VLOOKUP($S$404,'TAR FIN'!$A$1:$O$104,15,0))</f>
        <v>26.22</v>
      </c>
      <c r="W404" s="6">
        <f>IF(ISERROR(VLOOKUP($T$404,'TAR FIN'!$A$1:$O$104,15,0)),0,VLOOKUP($T$404,'TAR FIN'!$A$1:$O$104,15,0))</f>
        <v>0</v>
      </c>
      <c r="X404" s="6">
        <f>IF(ISERROR(VLOOKUP($U$404,'TAR FIN'!$A$1:$O$104,15,0)),0,VLOOKUP($U$404,'TAR FIN'!$A$1:$O$104,15,0))</f>
        <v>0</v>
      </c>
      <c r="Y404" s="6">
        <f ca="1">('TUSD BE'!$AM$14+'TUSD BF'!$AM$14+'TUSD CVA'!$AM$14)*1</f>
        <v>26.280164278980507</v>
      </c>
      <c r="Z404" s="6">
        <f ca="1">('TUSD BE'!$AM$15+'TUSD BF'!$AM$15+'TUSD CVA'!$AM$15)*1</f>
        <v>77.876201961015255</v>
      </c>
      <c r="AA404" s="6"/>
      <c r="AB404" s="6">
        <f>$K$404*$V$404</f>
        <v>192821.88</v>
      </c>
      <c r="AC404" s="6">
        <f>$M$404*$W$404</f>
        <v>0</v>
      </c>
      <c r="AD404" s="6">
        <f>$O$404*$X$404</f>
        <v>0</v>
      </c>
      <c r="AE404" s="6">
        <f ca="1">$K$404*$Y$404</f>
        <v>193264.32810762266</v>
      </c>
      <c r="AF404" s="6">
        <f ca="1">$M$404*$Z$404</f>
        <v>0</v>
      </c>
      <c r="AG404" s="6">
        <f>$O$404*$AA$404</f>
        <v>0</v>
      </c>
    </row>
    <row r="405" spans="1:33" ht="11.25" customHeight="1" x14ac:dyDescent="0.25">
      <c r="A405" s="4" t="s">
        <v>21</v>
      </c>
      <c r="B405" s="4" t="s">
        <v>41</v>
      </c>
      <c r="C405" s="4" t="s">
        <v>40</v>
      </c>
      <c r="D405" s="4" t="s">
        <v>38</v>
      </c>
      <c r="E405" s="4" t="s">
        <v>25</v>
      </c>
      <c r="F405" s="4" t="s">
        <v>61</v>
      </c>
      <c r="G405" s="4" t="s">
        <v>25</v>
      </c>
      <c r="H405" s="4" t="s">
        <v>35</v>
      </c>
      <c r="I405" s="5">
        <v>44470</v>
      </c>
      <c r="J405" s="6">
        <v>14677</v>
      </c>
      <c r="K405" s="6">
        <v>8806.2000000000007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4" t="s">
        <v>58</v>
      </c>
      <c r="R405" s="4">
        <v>0</v>
      </c>
      <c r="S405" s="6">
        <v>20</v>
      </c>
      <c r="T405" s="6">
        <v>0</v>
      </c>
      <c r="U405" s="6">
        <v>0</v>
      </c>
      <c r="V405" s="6">
        <f>IF(ISERROR(VLOOKUP($S$405,'TAR FIN'!$A$1:$O$104,15,0)),0,VLOOKUP($S$405,'TAR FIN'!$A$1:$O$104,15,0))</f>
        <v>26.22</v>
      </c>
      <c r="W405" s="6">
        <f>IF(ISERROR(VLOOKUP($T$405,'TAR FIN'!$A$1:$O$104,15,0)),0,VLOOKUP($T$405,'TAR FIN'!$A$1:$O$104,15,0))</f>
        <v>0</v>
      </c>
      <c r="X405" s="6">
        <f>IF(ISERROR(VLOOKUP($U$405,'TAR FIN'!$A$1:$O$104,15,0)),0,VLOOKUP($U$405,'TAR FIN'!$A$1:$O$104,15,0))</f>
        <v>0</v>
      </c>
      <c r="Y405" s="6">
        <f ca="1">('TUSD BE'!$AM$14+'TUSD BF'!$AM$14+'TUSD CVA'!$AM$14)*1</f>
        <v>26.280164278980507</v>
      </c>
      <c r="Z405" s="6">
        <f ca="1">('TUSD BE'!$AM$15+'TUSD BF'!$AM$15+'TUSD CVA'!$AM$15)*1</f>
        <v>77.876201961015255</v>
      </c>
      <c r="AA405" s="6"/>
      <c r="AB405" s="6">
        <f>$K$405*$V$405</f>
        <v>230898.56400000001</v>
      </c>
      <c r="AC405" s="6">
        <f>$M$405*$W$405</f>
        <v>0</v>
      </c>
      <c r="AD405" s="6">
        <f>$O$405*$X$405</f>
        <v>0</v>
      </c>
      <c r="AE405" s="6">
        <f ca="1">$K$405*$Y$405</f>
        <v>231428.38267355817</v>
      </c>
      <c r="AF405" s="6">
        <f ca="1">$M$405*$Z$405</f>
        <v>0</v>
      </c>
      <c r="AG405" s="6">
        <f>$O$405*$AA$405</f>
        <v>0</v>
      </c>
    </row>
    <row r="406" spans="1:33" ht="11.25" customHeight="1" x14ac:dyDescent="0.25">
      <c r="A406" s="4" t="s">
        <v>21</v>
      </c>
      <c r="B406" s="4" t="s">
        <v>41</v>
      </c>
      <c r="C406" s="4" t="s">
        <v>40</v>
      </c>
      <c r="D406" s="4" t="s">
        <v>38</v>
      </c>
      <c r="E406" s="4" t="s">
        <v>25</v>
      </c>
      <c r="F406" s="4" t="s">
        <v>61</v>
      </c>
      <c r="G406" s="4" t="s">
        <v>25</v>
      </c>
      <c r="H406" s="4" t="s">
        <v>35</v>
      </c>
      <c r="I406" s="5">
        <v>44501</v>
      </c>
      <c r="J406" s="6">
        <v>18485</v>
      </c>
      <c r="K406" s="6">
        <v>9242.5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4" t="s">
        <v>58</v>
      </c>
      <c r="R406" s="4">
        <v>0</v>
      </c>
      <c r="S406" s="6">
        <v>20</v>
      </c>
      <c r="T406" s="6">
        <v>0</v>
      </c>
      <c r="U406" s="6">
        <v>0</v>
      </c>
      <c r="V406" s="6">
        <f>IF(ISERROR(VLOOKUP($S$406,'TAR FIN'!$A$1:$O$104,15,0)),0,VLOOKUP($S$406,'TAR FIN'!$A$1:$O$104,15,0))</f>
        <v>26.22</v>
      </c>
      <c r="W406" s="6">
        <f>IF(ISERROR(VLOOKUP($T$406,'TAR FIN'!$A$1:$O$104,15,0)),0,VLOOKUP($T$406,'TAR FIN'!$A$1:$O$104,15,0))</f>
        <v>0</v>
      </c>
      <c r="X406" s="6">
        <f>IF(ISERROR(VLOOKUP($U$406,'TAR FIN'!$A$1:$O$104,15,0)),0,VLOOKUP($U$406,'TAR FIN'!$A$1:$O$104,15,0))</f>
        <v>0</v>
      </c>
      <c r="Y406" s="6">
        <f ca="1">('TUSD BE'!$AM$14+'TUSD BF'!$AM$14+'TUSD CVA'!$AM$14)*1</f>
        <v>26.280164278980507</v>
      </c>
      <c r="Z406" s="6">
        <f ca="1">('TUSD BE'!$AM$15+'TUSD BF'!$AM$15+'TUSD CVA'!$AM$15)*1</f>
        <v>77.876201961015255</v>
      </c>
      <c r="AA406" s="6"/>
      <c r="AB406" s="6">
        <f>$K$406*$V$406</f>
        <v>242338.34999999998</v>
      </c>
      <c r="AC406" s="6">
        <f>$M$406*$W$406</f>
        <v>0</v>
      </c>
      <c r="AD406" s="6">
        <f>$O$406*$X$406</f>
        <v>0</v>
      </c>
      <c r="AE406" s="6">
        <f ca="1">$K$406*$Y$406</f>
        <v>242894.41834847734</v>
      </c>
      <c r="AF406" s="6">
        <f ca="1">$M$406*$Z$406</f>
        <v>0</v>
      </c>
      <c r="AG406" s="6">
        <f>$O$406*$AA$406</f>
        <v>0</v>
      </c>
    </row>
    <row r="407" spans="1:33" ht="11.25" customHeight="1" x14ac:dyDescent="0.25">
      <c r="A407" s="4" t="s">
        <v>21</v>
      </c>
      <c r="B407" s="4" t="s">
        <v>41</v>
      </c>
      <c r="C407" s="4" t="s">
        <v>40</v>
      </c>
      <c r="D407" s="4" t="s">
        <v>38</v>
      </c>
      <c r="E407" s="4" t="s">
        <v>25</v>
      </c>
      <c r="F407" s="4" t="s">
        <v>61</v>
      </c>
      <c r="G407" s="4" t="s">
        <v>25</v>
      </c>
      <c r="H407" s="4" t="s">
        <v>35</v>
      </c>
      <c r="I407" s="5">
        <v>44531</v>
      </c>
      <c r="J407" s="6">
        <v>18851</v>
      </c>
      <c r="K407" s="6">
        <v>9236.99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4" t="s">
        <v>58</v>
      </c>
      <c r="R407" s="4">
        <v>0</v>
      </c>
      <c r="S407" s="6">
        <v>20</v>
      </c>
      <c r="T407" s="6">
        <v>0</v>
      </c>
      <c r="U407" s="6">
        <v>0</v>
      </c>
      <c r="V407" s="6">
        <f>IF(ISERROR(VLOOKUP($S$407,'TAR FIN'!$A$1:$O$104,15,0)),0,VLOOKUP($S$407,'TAR FIN'!$A$1:$O$104,15,0))</f>
        <v>26.22</v>
      </c>
      <c r="W407" s="6">
        <f>IF(ISERROR(VLOOKUP($T$407,'TAR FIN'!$A$1:$O$104,15,0)),0,VLOOKUP($T$407,'TAR FIN'!$A$1:$O$104,15,0))</f>
        <v>0</v>
      </c>
      <c r="X407" s="6">
        <f>IF(ISERROR(VLOOKUP($U$407,'TAR FIN'!$A$1:$O$104,15,0)),0,VLOOKUP($U$407,'TAR FIN'!$A$1:$O$104,15,0))</f>
        <v>0</v>
      </c>
      <c r="Y407" s="6">
        <f ca="1">('TUSD BE'!$AM$14+'TUSD BF'!$AM$14+'TUSD CVA'!$AM$14)*1</f>
        <v>26.280164278980507</v>
      </c>
      <c r="Z407" s="6">
        <f ca="1">('TUSD BE'!$AM$15+'TUSD BF'!$AM$15+'TUSD CVA'!$AM$15)*1</f>
        <v>77.876201961015255</v>
      </c>
      <c r="AA407" s="6"/>
      <c r="AB407" s="6">
        <f>$K$407*$V$407</f>
        <v>242193.87779999999</v>
      </c>
      <c r="AC407" s="6">
        <f>$M$407*$W$407</f>
        <v>0</v>
      </c>
      <c r="AD407" s="6">
        <f>$O$407*$X$407</f>
        <v>0</v>
      </c>
      <c r="AE407" s="6">
        <f ca="1">$K$407*$Y$407</f>
        <v>242749.61464330016</v>
      </c>
      <c r="AF407" s="6">
        <f ca="1">$M$407*$Z$407</f>
        <v>0</v>
      </c>
      <c r="AG407" s="6">
        <f>$O$407*$AA$407</f>
        <v>0</v>
      </c>
    </row>
    <row r="408" spans="1:33" ht="11.25" customHeight="1" x14ac:dyDescent="0.25">
      <c r="A408" s="4" t="s">
        <v>21</v>
      </c>
      <c r="B408" s="4" t="s">
        <v>41</v>
      </c>
      <c r="C408" s="4" t="s">
        <v>40</v>
      </c>
      <c r="D408" s="4" t="s">
        <v>38</v>
      </c>
      <c r="E408" s="4" t="s">
        <v>25</v>
      </c>
      <c r="F408" s="4" t="s">
        <v>61</v>
      </c>
      <c r="G408" s="4" t="s">
        <v>25</v>
      </c>
      <c r="H408" s="4" t="s">
        <v>35</v>
      </c>
      <c r="I408" s="5">
        <v>44562</v>
      </c>
      <c r="J408" s="6">
        <v>18785</v>
      </c>
      <c r="K408" s="6">
        <v>9204.65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4" t="s">
        <v>58</v>
      </c>
      <c r="R408" s="4">
        <v>0</v>
      </c>
      <c r="S408" s="6">
        <v>20</v>
      </c>
      <c r="T408" s="6">
        <v>0</v>
      </c>
      <c r="U408" s="6">
        <v>0</v>
      </c>
      <c r="V408" s="6">
        <f>IF(ISERROR(VLOOKUP($S$408,'TAR FIN'!$A$1:$O$104,15,0)),0,VLOOKUP($S$408,'TAR FIN'!$A$1:$O$104,15,0))</f>
        <v>26.22</v>
      </c>
      <c r="W408" s="6">
        <f>IF(ISERROR(VLOOKUP($T$408,'TAR FIN'!$A$1:$O$104,15,0)),0,VLOOKUP($T$408,'TAR FIN'!$A$1:$O$104,15,0))</f>
        <v>0</v>
      </c>
      <c r="X408" s="6">
        <f>IF(ISERROR(VLOOKUP($U$408,'TAR FIN'!$A$1:$O$104,15,0)),0,VLOOKUP($U$408,'TAR FIN'!$A$1:$O$104,15,0))</f>
        <v>0</v>
      </c>
      <c r="Y408" s="6">
        <f ca="1">('TUSD BE'!$AM$14+'TUSD BF'!$AM$14+'TUSD CVA'!$AM$14)*1</f>
        <v>26.280164278980507</v>
      </c>
      <c r="Z408" s="6">
        <f ca="1">('TUSD BE'!$AM$15+'TUSD BF'!$AM$15+'TUSD CVA'!$AM$15)*1</f>
        <v>77.876201961015255</v>
      </c>
      <c r="AA408" s="6"/>
      <c r="AB408" s="6">
        <f>$K$408*$V$408</f>
        <v>241345.92299999998</v>
      </c>
      <c r="AC408" s="6">
        <f>$M$408*$W$408</f>
        <v>0</v>
      </c>
      <c r="AD408" s="6">
        <f>$O$408*$X$408</f>
        <v>0</v>
      </c>
      <c r="AE408" s="6">
        <f ca="1">$K$408*$Y$408</f>
        <v>241899.71413051791</v>
      </c>
      <c r="AF408" s="6">
        <f ca="1">$M$408*$Z$408</f>
        <v>0</v>
      </c>
      <c r="AG408" s="6">
        <f>$O$408*$AA$408</f>
        <v>0</v>
      </c>
    </row>
    <row r="409" spans="1:33" ht="11.25" customHeight="1" x14ac:dyDescent="0.25">
      <c r="A409" s="4" t="s">
        <v>21</v>
      </c>
      <c r="B409" s="4" t="s">
        <v>41</v>
      </c>
      <c r="C409" s="4" t="s">
        <v>40</v>
      </c>
      <c r="D409" s="4" t="s">
        <v>38</v>
      </c>
      <c r="E409" s="4" t="s">
        <v>25</v>
      </c>
      <c r="F409" s="4" t="s">
        <v>61</v>
      </c>
      <c r="G409" s="4" t="s">
        <v>25</v>
      </c>
      <c r="H409" s="4" t="s">
        <v>35</v>
      </c>
      <c r="I409" s="5">
        <v>44593</v>
      </c>
      <c r="J409" s="6">
        <v>18838</v>
      </c>
      <c r="K409" s="6">
        <v>9230.6200000000008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4" t="s">
        <v>58</v>
      </c>
      <c r="R409" s="4">
        <v>0</v>
      </c>
      <c r="S409" s="6">
        <v>20</v>
      </c>
      <c r="T409" s="6">
        <v>0</v>
      </c>
      <c r="U409" s="6">
        <v>0</v>
      </c>
      <c r="V409" s="6">
        <f>IF(ISERROR(VLOOKUP($S$409,'TAR FIN'!$A$1:$O$104,15,0)),0,VLOOKUP($S$409,'TAR FIN'!$A$1:$O$104,15,0))</f>
        <v>26.22</v>
      </c>
      <c r="W409" s="6">
        <f>IF(ISERROR(VLOOKUP($T$409,'TAR FIN'!$A$1:$O$104,15,0)),0,VLOOKUP($T$409,'TAR FIN'!$A$1:$O$104,15,0))</f>
        <v>0</v>
      </c>
      <c r="X409" s="6">
        <f>IF(ISERROR(VLOOKUP($U$409,'TAR FIN'!$A$1:$O$104,15,0)),0,VLOOKUP($U$409,'TAR FIN'!$A$1:$O$104,15,0))</f>
        <v>0</v>
      </c>
      <c r="Y409" s="6">
        <f ca="1">('TUSD BE'!$AM$14+'TUSD BF'!$AM$14+'TUSD CVA'!$AM$14)*1</f>
        <v>26.280164278980507</v>
      </c>
      <c r="Z409" s="6">
        <f ca="1">('TUSD BE'!$AM$15+'TUSD BF'!$AM$15+'TUSD CVA'!$AM$15)*1</f>
        <v>77.876201961015255</v>
      </c>
      <c r="AA409" s="6"/>
      <c r="AB409" s="6">
        <f>$K$409*$V$409</f>
        <v>242026.85640000002</v>
      </c>
      <c r="AC409" s="6">
        <f>$M$409*$W$409</f>
        <v>0</v>
      </c>
      <c r="AD409" s="6">
        <f>$O$409*$X$409</f>
        <v>0</v>
      </c>
      <c r="AE409" s="6">
        <f ca="1">$K$409*$Y$409</f>
        <v>242582.20999684307</v>
      </c>
      <c r="AF409" s="6">
        <f ca="1">$M$409*$Z$409</f>
        <v>0</v>
      </c>
      <c r="AG409" s="6">
        <f>$O$409*$AA$409</f>
        <v>0</v>
      </c>
    </row>
    <row r="410" spans="1:33" ht="11.25" customHeight="1" x14ac:dyDescent="0.25">
      <c r="A410" s="4" t="s">
        <v>21</v>
      </c>
      <c r="B410" s="4" t="s">
        <v>41</v>
      </c>
      <c r="C410" s="4" t="s">
        <v>40</v>
      </c>
      <c r="D410" s="4" t="s">
        <v>38</v>
      </c>
      <c r="E410" s="4" t="s">
        <v>25</v>
      </c>
      <c r="F410" s="4" t="s">
        <v>61</v>
      </c>
      <c r="G410" s="4" t="s">
        <v>25</v>
      </c>
      <c r="H410" s="4" t="s">
        <v>35</v>
      </c>
      <c r="I410" s="5">
        <v>44621</v>
      </c>
      <c r="J410" s="6">
        <v>18847</v>
      </c>
      <c r="K410" s="6">
        <v>9235.0300000000007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4" t="s">
        <v>58</v>
      </c>
      <c r="R410" s="4">
        <v>0</v>
      </c>
      <c r="S410" s="6">
        <v>20</v>
      </c>
      <c r="T410" s="6">
        <v>0</v>
      </c>
      <c r="U410" s="6">
        <v>0</v>
      </c>
      <c r="V410" s="6">
        <f>IF(ISERROR(VLOOKUP($S$410,'TAR FIN'!$A$1:$O$104,15,0)),0,VLOOKUP($S$410,'TAR FIN'!$A$1:$O$104,15,0))</f>
        <v>26.22</v>
      </c>
      <c r="W410" s="6">
        <f>IF(ISERROR(VLOOKUP($T$410,'TAR FIN'!$A$1:$O$104,15,0)),0,VLOOKUP($T$410,'TAR FIN'!$A$1:$O$104,15,0))</f>
        <v>0</v>
      </c>
      <c r="X410" s="6">
        <f>IF(ISERROR(VLOOKUP($U$410,'TAR FIN'!$A$1:$O$104,15,0)),0,VLOOKUP($U$410,'TAR FIN'!$A$1:$O$104,15,0))</f>
        <v>0</v>
      </c>
      <c r="Y410" s="6">
        <f ca="1">('TUSD BE'!$AM$14+'TUSD BF'!$AM$14+'TUSD CVA'!$AM$14)*1</f>
        <v>26.280164278980507</v>
      </c>
      <c r="Z410" s="6">
        <f ca="1">('TUSD BE'!$AM$15+'TUSD BF'!$AM$15+'TUSD CVA'!$AM$15)*1</f>
        <v>77.876201961015255</v>
      </c>
      <c r="AA410" s="6"/>
      <c r="AB410" s="6">
        <f>$K$410*$V$410</f>
        <v>242142.4866</v>
      </c>
      <c r="AC410" s="6">
        <f>$M$410*$W$410</f>
        <v>0</v>
      </c>
      <c r="AD410" s="6">
        <f>$O$410*$X$410</f>
        <v>0</v>
      </c>
      <c r="AE410" s="6">
        <f ca="1">$K$410*$Y$410</f>
        <v>242698.10552131338</v>
      </c>
      <c r="AF410" s="6">
        <f ca="1">$M$410*$Z$410</f>
        <v>0</v>
      </c>
      <c r="AG410" s="6">
        <f>$O$410*$AA$410</f>
        <v>0</v>
      </c>
    </row>
    <row r="411" spans="1:33" ht="11.25" customHeight="1" x14ac:dyDescent="0.25">
      <c r="A411" s="4" t="s">
        <v>21</v>
      </c>
      <c r="B411" s="4" t="s">
        <v>41</v>
      </c>
      <c r="C411" s="4" t="s">
        <v>40</v>
      </c>
      <c r="D411" s="4" t="s">
        <v>38</v>
      </c>
      <c r="E411" s="4" t="s">
        <v>25</v>
      </c>
      <c r="F411" s="4" t="s">
        <v>61</v>
      </c>
      <c r="G411" s="4" t="s">
        <v>25</v>
      </c>
      <c r="H411" s="4" t="s">
        <v>35</v>
      </c>
      <c r="I411" s="5">
        <v>44652</v>
      </c>
      <c r="J411" s="6">
        <v>19668</v>
      </c>
      <c r="K411" s="6">
        <v>10227.36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4" t="s">
        <v>58</v>
      </c>
      <c r="R411" s="4">
        <v>0</v>
      </c>
      <c r="S411" s="6">
        <v>20</v>
      </c>
      <c r="T411" s="6">
        <v>0</v>
      </c>
      <c r="U411" s="6">
        <v>0</v>
      </c>
      <c r="V411" s="6">
        <f>IF(ISERROR(VLOOKUP($S$411,'TAR FIN'!$A$1:$O$104,15,0)),0,VLOOKUP($S$411,'TAR FIN'!$A$1:$O$104,15,0))</f>
        <v>26.22</v>
      </c>
      <c r="W411" s="6">
        <f>IF(ISERROR(VLOOKUP($T$411,'TAR FIN'!$A$1:$O$104,15,0)),0,VLOOKUP($T$411,'TAR FIN'!$A$1:$O$104,15,0))</f>
        <v>0</v>
      </c>
      <c r="X411" s="6">
        <f>IF(ISERROR(VLOOKUP($U$411,'TAR FIN'!$A$1:$O$104,15,0)),0,VLOOKUP($U$411,'TAR FIN'!$A$1:$O$104,15,0))</f>
        <v>0</v>
      </c>
      <c r="Y411" s="6">
        <f ca="1">('TUSD BE'!$AM$14+'TUSD BF'!$AM$14+'TUSD CVA'!$AM$14)*1</f>
        <v>26.280164278980507</v>
      </c>
      <c r="Z411" s="6">
        <f ca="1">('TUSD BE'!$AM$15+'TUSD BF'!$AM$15+'TUSD CVA'!$AM$15)*1</f>
        <v>77.876201961015255</v>
      </c>
      <c r="AA411" s="6"/>
      <c r="AB411" s="6">
        <f>$K$411*$V$411</f>
        <v>268161.37920000002</v>
      </c>
      <c r="AC411" s="6">
        <f>$M$411*$W$411</f>
        <v>0</v>
      </c>
      <c r="AD411" s="6">
        <f>$O$411*$X$411</f>
        <v>0</v>
      </c>
      <c r="AE411" s="6">
        <f ca="1">$K$411*$Y$411</f>
        <v>268776.70094027411</v>
      </c>
      <c r="AF411" s="6">
        <f ca="1">$M$411*$Z$411</f>
        <v>0</v>
      </c>
      <c r="AG411" s="6">
        <f>$O$411*$AA$411</f>
        <v>0</v>
      </c>
    </row>
    <row r="412" spans="1:33" ht="11.25" customHeight="1" x14ac:dyDescent="0.25">
      <c r="A412" s="4" t="s">
        <v>27</v>
      </c>
      <c r="B412" s="4" t="s">
        <v>41</v>
      </c>
      <c r="C412" s="4" t="s">
        <v>40</v>
      </c>
      <c r="D412" s="4" t="s">
        <v>38</v>
      </c>
      <c r="E412" s="4" t="s">
        <v>25</v>
      </c>
      <c r="F412" s="4" t="s">
        <v>61</v>
      </c>
      <c r="G412" s="4" t="s">
        <v>25</v>
      </c>
      <c r="H412" s="4" t="s">
        <v>35</v>
      </c>
      <c r="I412" s="5">
        <v>44652</v>
      </c>
      <c r="J412" s="6">
        <v>-530</v>
      </c>
      <c r="K412" s="6">
        <v>-530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4" t="s">
        <v>58</v>
      </c>
      <c r="R412" s="4">
        <v>0</v>
      </c>
      <c r="S412" s="6">
        <v>20</v>
      </c>
      <c r="T412" s="6">
        <v>0</v>
      </c>
      <c r="U412" s="6">
        <v>0</v>
      </c>
      <c r="V412" s="6">
        <f>IF(ISERROR(VLOOKUP($S$412,'TAR FIN'!$A$1:$O$104,15,0)),0,VLOOKUP($S$412,'TAR FIN'!$A$1:$O$104,15,0))</f>
        <v>26.22</v>
      </c>
      <c r="W412" s="6">
        <f>IF(ISERROR(VLOOKUP($T$412,'TAR FIN'!$A$1:$O$104,15,0)),0,VLOOKUP($T$412,'TAR FIN'!$A$1:$O$104,15,0))</f>
        <v>0</v>
      </c>
      <c r="X412" s="6">
        <f>IF(ISERROR(VLOOKUP($U$412,'TAR FIN'!$A$1:$O$104,15,0)),0,VLOOKUP($U$412,'TAR FIN'!$A$1:$O$104,15,0))</f>
        <v>0</v>
      </c>
      <c r="Y412" s="6">
        <f ca="1">('TUSD BE'!$AM$14+'TUSD BF'!$AM$14+'TUSD CVA'!$AM$14)*1</f>
        <v>26.280164278980507</v>
      </c>
      <c r="Z412" s="6">
        <f ca="1">('TUSD BE'!$AM$15+'TUSD BF'!$AM$15+'TUSD CVA'!$AM$15)*1</f>
        <v>77.876201961015255</v>
      </c>
      <c r="AA412" s="6"/>
      <c r="AB412" s="6">
        <f>$K$412*$V$412</f>
        <v>-13896.599999999999</v>
      </c>
      <c r="AC412" s="6">
        <f>$M$412*$W$412</f>
        <v>0</v>
      </c>
      <c r="AD412" s="6">
        <f>$O$412*$X$412</f>
        <v>0</v>
      </c>
      <c r="AE412" s="6">
        <f ca="1">$K$412*$Y$412</f>
        <v>-13928.487067859669</v>
      </c>
      <c r="AF412" s="6">
        <f ca="1">$M$412*$Z$412</f>
        <v>0</v>
      </c>
      <c r="AG412" s="6">
        <f>$O$412*$AA$412</f>
        <v>0</v>
      </c>
    </row>
    <row r="413" spans="1:33" ht="11.25" customHeight="1" x14ac:dyDescent="0.25">
      <c r="A413" s="4" t="s">
        <v>21</v>
      </c>
      <c r="B413" s="4" t="s">
        <v>41</v>
      </c>
      <c r="C413" s="4" t="s">
        <v>40</v>
      </c>
      <c r="D413" s="4" t="s">
        <v>38</v>
      </c>
      <c r="E413" s="4" t="s">
        <v>25</v>
      </c>
      <c r="F413" s="4" t="s">
        <v>61</v>
      </c>
      <c r="G413" s="4" t="s">
        <v>25</v>
      </c>
      <c r="H413" s="4" t="s">
        <v>35</v>
      </c>
      <c r="I413" s="5">
        <v>44682</v>
      </c>
      <c r="J413" s="6">
        <v>19571</v>
      </c>
      <c r="K413" s="6">
        <v>10176.92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4" t="s">
        <v>58</v>
      </c>
      <c r="R413" s="4">
        <v>0</v>
      </c>
      <c r="S413" s="6">
        <v>20</v>
      </c>
      <c r="T413" s="6">
        <v>0</v>
      </c>
      <c r="U413" s="6">
        <v>0</v>
      </c>
      <c r="V413" s="6">
        <f>IF(ISERROR(VLOOKUP($S$413,'TAR FIN'!$A$1:$O$104,15,0)),0,VLOOKUP($S$413,'TAR FIN'!$A$1:$O$104,15,0))</f>
        <v>26.22</v>
      </c>
      <c r="W413" s="6">
        <f>IF(ISERROR(VLOOKUP($T$413,'TAR FIN'!$A$1:$O$104,15,0)),0,VLOOKUP($T$413,'TAR FIN'!$A$1:$O$104,15,0))</f>
        <v>0</v>
      </c>
      <c r="X413" s="6">
        <f>IF(ISERROR(VLOOKUP($U$413,'TAR FIN'!$A$1:$O$104,15,0)),0,VLOOKUP($U$413,'TAR FIN'!$A$1:$O$104,15,0))</f>
        <v>0</v>
      </c>
      <c r="Y413" s="6">
        <f ca="1">('TUSD BE'!$AM$14+'TUSD BF'!$AM$14+'TUSD CVA'!$AM$14)*1</f>
        <v>26.280164278980507</v>
      </c>
      <c r="Z413" s="6">
        <f ca="1">('TUSD BE'!$AM$15+'TUSD BF'!$AM$15+'TUSD CVA'!$AM$15)*1</f>
        <v>77.876201961015255</v>
      </c>
      <c r="AA413" s="6"/>
      <c r="AB413" s="6">
        <f>$K$413*$V$413</f>
        <v>266838.84239999996</v>
      </c>
      <c r="AC413" s="6">
        <f>$M$413*$W$413</f>
        <v>0</v>
      </c>
      <c r="AD413" s="6">
        <f>$O$413*$X$413</f>
        <v>0</v>
      </c>
      <c r="AE413" s="6">
        <f ca="1">$K$413*$Y$413</f>
        <v>267451.1294540423</v>
      </c>
      <c r="AF413" s="6">
        <f ca="1">$M$413*$Z$413</f>
        <v>0</v>
      </c>
      <c r="AG413" s="6">
        <f>$O$413*$AA$413</f>
        <v>0</v>
      </c>
    </row>
    <row r="414" spans="1:33" ht="11.25" customHeight="1" x14ac:dyDescent="0.25">
      <c r="A414" s="4" t="s">
        <v>21</v>
      </c>
      <c r="B414" s="4" t="s">
        <v>41</v>
      </c>
      <c r="C414" s="4" t="s">
        <v>40</v>
      </c>
      <c r="D414" s="4" t="s">
        <v>38</v>
      </c>
      <c r="E414" s="4" t="s">
        <v>25</v>
      </c>
      <c r="F414" s="4" t="s">
        <v>61</v>
      </c>
      <c r="G414" s="4" t="s">
        <v>25</v>
      </c>
      <c r="H414" s="4" t="s">
        <v>35</v>
      </c>
      <c r="I414" s="5">
        <v>44713</v>
      </c>
      <c r="J414" s="6">
        <v>19622</v>
      </c>
      <c r="K414" s="6">
        <v>10203.44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4" t="s">
        <v>58</v>
      </c>
      <c r="R414" s="4">
        <v>0</v>
      </c>
      <c r="S414" s="6">
        <v>20</v>
      </c>
      <c r="T414" s="6">
        <v>0</v>
      </c>
      <c r="U414" s="6">
        <v>0</v>
      </c>
      <c r="V414" s="6">
        <f>IF(ISERROR(VLOOKUP($S$414,'TAR FIN'!$A$1:$O$104,15,0)),0,VLOOKUP($S$414,'TAR FIN'!$A$1:$O$104,15,0))</f>
        <v>26.22</v>
      </c>
      <c r="W414" s="6">
        <f>IF(ISERROR(VLOOKUP($T$414,'TAR FIN'!$A$1:$O$104,15,0)),0,VLOOKUP($T$414,'TAR FIN'!$A$1:$O$104,15,0))</f>
        <v>0</v>
      </c>
      <c r="X414" s="6">
        <f>IF(ISERROR(VLOOKUP($U$414,'TAR FIN'!$A$1:$O$104,15,0)),0,VLOOKUP($U$414,'TAR FIN'!$A$1:$O$104,15,0))</f>
        <v>0</v>
      </c>
      <c r="Y414" s="6">
        <f ca="1">('TUSD BE'!$AM$14+'TUSD BF'!$AM$14+'TUSD CVA'!$AM$14)*1</f>
        <v>26.280164278980507</v>
      </c>
      <c r="Z414" s="6">
        <f ca="1">('TUSD BE'!$AM$15+'TUSD BF'!$AM$15+'TUSD CVA'!$AM$15)*1</f>
        <v>77.876201961015255</v>
      </c>
      <c r="AA414" s="6"/>
      <c r="AB414" s="6">
        <f>$K$414*$V$414</f>
        <v>267534.19679999998</v>
      </c>
      <c r="AC414" s="6">
        <f>$M$414*$W$414</f>
        <v>0</v>
      </c>
      <c r="AD414" s="6">
        <f>$O$414*$X$414</f>
        <v>0</v>
      </c>
      <c r="AE414" s="6">
        <f ca="1">$K$414*$Y$414</f>
        <v>268148.07941072091</v>
      </c>
      <c r="AF414" s="6">
        <f ca="1">$M$414*$Z$414</f>
        <v>0</v>
      </c>
      <c r="AG414" s="6">
        <f>$O$414*$AA$414</f>
        <v>0</v>
      </c>
    </row>
    <row r="415" spans="1:33" ht="11.25" customHeight="1" x14ac:dyDescent="0.25">
      <c r="A415" s="4" t="s">
        <v>57</v>
      </c>
      <c r="B415" s="4" t="s">
        <v>41</v>
      </c>
      <c r="C415" s="4" t="s">
        <v>40</v>
      </c>
      <c r="D415" s="4" t="s">
        <v>38</v>
      </c>
      <c r="E415" s="4" t="s">
        <v>25</v>
      </c>
      <c r="F415" s="4" t="s">
        <v>61</v>
      </c>
      <c r="G415" s="4" t="s">
        <v>25</v>
      </c>
      <c r="H415" s="4" t="s">
        <v>35</v>
      </c>
      <c r="I415" s="5">
        <v>44743</v>
      </c>
      <c r="J415" s="6">
        <v>19622</v>
      </c>
      <c r="K415" s="6">
        <v>10203.44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4" t="s">
        <v>58</v>
      </c>
      <c r="R415" s="4">
        <v>0</v>
      </c>
      <c r="S415" s="6">
        <v>20</v>
      </c>
      <c r="T415" s="6">
        <v>0</v>
      </c>
      <c r="U415" s="6">
        <v>0</v>
      </c>
      <c r="V415" s="6">
        <f>IF(ISERROR(VLOOKUP($S$415,'TAR FIN'!$A$1:$O$104,15,0)),0,VLOOKUP($S$415,'TAR FIN'!$A$1:$O$104,15,0))</f>
        <v>26.22</v>
      </c>
      <c r="W415" s="6">
        <f>IF(ISERROR(VLOOKUP($T$415,'TAR FIN'!$A$1:$O$104,15,0)),0,VLOOKUP($T$415,'TAR FIN'!$A$1:$O$104,15,0))</f>
        <v>0</v>
      </c>
      <c r="X415" s="6">
        <f>IF(ISERROR(VLOOKUP($U$415,'TAR FIN'!$A$1:$O$104,15,0)),0,VLOOKUP($U$415,'TAR FIN'!$A$1:$O$104,15,0))</f>
        <v>0</v>
      </c>
      <c r="Y415" s="6">
        <f ca="1">('TUSD BE'!$AM$14+'TUSD BF'!$AM$14+'TUSD CVA'!$AM$14)*1</f>
        <v>26.280164278980507</v>
      </c>
      <c r="Z415" s="6">
        <f ca="1">('TUSD BE'!$AM$15+'TUSD BF'!$AM$15+'TUSD CVA'!$AM$15)*1</f>
        <v>77.876201961015255</v>
      </c>
      <c r="AA415" s="6"/>
      <c r="AB415" s="6">
        <f>$K$415*$V$415</f>
        <v>267534.19679999998</v>
      </c>
      <c r="AC415" s="6">
        <f>$M$415*$W$415</f>
        <v>0</v>
      </c>
      <c r="AD415" s="6">
        <f>$O$415*$X$415</f>
        <v>0</v>
      </c>
      <c r="AE415" s="6">
        <f ca="1">$K$415*$Y$415</f>
        <v>268148.07941072091</v>
      </c>
      <c r="AF415" s="6">
        <f ca="1">$M$415*$Z$415</f>
        <v>0</v>
      </c>
      <c r="AG415" s="6">
        <f>$O$415*$AA$415</f>
        <v>0</v>
      </c>
    </row>
    <row r="416" spans="1:33" ht="11.25" customHeight="1" x14ac:dyDescent="0.25">
      <c r="A416" s="4" t="s">
        <v>21</v>
      </c>
      <c r="B416" s="4" t="s">
        <v>41</v>
      </c>
      <c r="C416" s="4" t="s">
        <v>40</v>
      </c>
      <c r="D416" s="4" t="s">
        <v>38</v>
      </c>
      <c r="E416" s="4" t="s">
        <v>25</v>
      </c>
      <c r="F416" s="4" t="s">
        <v>61</v>
      </c>
      <c r="G416" s="4" t="s">
        <v>25</v>
      </c>
      <c r="H416" s="4" t="s">
        <v>25</v>
      </c>
      <c r="I416" s="5">
        <v>44409</v>
      </c>
      <c r="J416" s="6">
        <v>0</v>
      </c>
      <c r="K416" s="6">
        <v>0</v>
      </c>
      <c r="L416" s="6">
        <v>5800.2359999999999</v>
      </c>
      <c r="M416" s="6">
        <v>5800.2359999999999</v>
      </c>
      <c r="N416" s="6">
        <v>0</v>
      </c>
      <c r="O416" s="6">
        <v>0</v>
      </c>
      <c r="P416" s="6">
        <v>33</v>
      </c>
      <c r="Q416" s="4" t="s">
        <v>58</v>
      </c>
      <c r="R416" s="4">
        <v>0</v>
      </c>
      <c r="S416" s="6">
        <v>0</v>
      </c>
      <c r="T416" s="6">
        <v>22</v>
      </c>
      <c r="U416" s="6">
        <v>0</v>
      </c>
      <c r="V416" s="6">
        <f>IF(ISERROR(VLOOKUP($S$416,'TAR FIN'!$A$1:$O$104,15,0)),0,VLOOKUP($S$416,'TAR FIN'!$A$1:$O$104,15,0))</f>
        <v>0</v>
      </c>
      <c r="W416" s="6">
        <f>IF(ISERROR(VLOOKUP($T$416,'TAR FIN'!$A$1:$O$104,15,0)),0,VLOOKUP($T$416,'TAR FIN'!$A$1:$O$104,15,0))</f>
        <v>62.57</v>
      </c>
      <c r="X416" s="6">
        <f>IF(ISERROR(VLOOKUP($U$416,'TAR FIN'!$A$1:$O$104,15,0)),0,VLOOKUP($U$416,'TAR FIN'!$A$1:$O$104,15,0))</f>
        <v>0</v>
      </c>
      <c r="Y416" s="6"/>
      <c r="Z416" s="6">
        <f ca="1">('TUSD BE'!$AM$15+'TUSD BF'!$AM$15+'TUSD CVA'!$AM$15)*1</f>
        <v>77.876201961015255</v>
      </c>
      <c r="AA416" s="6"/>
      <c r="AB416" s="6">
        <f>$K$416*$V$416</f>
        <v>0</v>
      </c>
      <c r="AC416" s="6">
        <f>$M$416*$W$416</f>
        <v>362920.76652</v>
      </c>
      <c r="AD416" s="6">
        <f>$O$416*$X$416</f>
        <v>0</v>
      </c>
      <c r="AE416" s="6">
        <f>$K$416*$Y$416</f>
        <v>0</v>
      </c>
      <c r="AF416" s="6">
        <f ca="1">$M$416*$Z$416</f>
        <v>451700.35015755129</v>
      </c>
      <c r="AG416" s="6">
        <f>$O$416*$AA$416</f>
        <v>0</v>
      </c>
    </row>
    <row r="417" spans="1:33" ht="11.25" customHeight="1" x14ac:dyDescent="0.25">
      <c r="A417" s="4" t="s">
        <v>21</v>
      </c>
      <c r="B417" s="4" t="s">
        <v>41</v>
      </c>
      <c r="C417" s="4" t="s">
        <v>40</v>
      </c>
      <c r="D417" s="4" t="s">
        <v>38</v>
      </c>
      <c r="E417" s="4" t="s">
        <v>25</v>
      </c>
      <c r="F417" s="4" t="s">
        <v>61</v>
      </c>
      <c r="G417" s="4" t="s">
        <v>25</v>
      </c>
      <c r="H417" s="4" t="s">
        <v>25</v>
      </c>
      <c r="I417" s="5">
        <v>44440</v>
      </c>
      <c r="J417" s="6">
        <v>0</v>
      </c>
      <c r="K417" s="6">
        <v>0</v>
      </c>
      <c r="L417" s="6">
        <v>5742.8829999999998</v>
      </c>
      <c r="M417" s="6">
        <v>5742.8829999999998</v>
      </c>
      <c r="N417" s="6">
        <v>0</v>
      </c>
      <c r="O417" s="6">
        <v>0</v>
      </c>
      <c r="P417" s="6">
        <v>33</v>
      </c>
      <c r="Q417" s="4" t="s">
        <v>58</v>
      </c>
      <c r="R417" s="4">
        <v>0</v>
      </c>
      <c r="S417" s="6">
        <v>0</v>
      </c>
      <c r="T417" s="6">
        <v>22</v>
      </c>
      <c r="U417" s="6">
        <v>0</v>
      </c>
      <c r="V417" s="6">
        <f>IF(ISERROR(VLOOKUP($S$417,'TAR FIN'!$A$1:$O$104,15,0)),0,VLOOKUP($S$417,'TAR FIN'!$A$1:$O$104,15,0))</f>
        <v>0</v>
      </c>
      <c r="W417" s="6">
        <f>IF(ISERROR(VLOOKUP($T$417,'TAR FIN'!$A$1:$O$104,15,0)),0,VLOOKUP($T$417,'TAR FIN'!$A$1:$O$104,15,0))</f>
        <v>62.57</v>
      </c>
      <c r="X417" s="6">
        <f>IF(ISERROR(VLOOKUP($U$417,'TAR FIN'!$A$1:$O$104,15,0)),0,VLOOKUP($U$417,'TAR FIN'!$A$1:$O$104,15,0))</f>
        <v>0</v>
      </c>
      <c r="Y417" s="6"/>
      <c r="Z417" s="6">
        <f ca="1">('TUSD BE'!$AM$15+'TUSD BF'!$AM$15+'TUSD CVA'!$AM$15)*1</f>
        <v>77.876201961015255</v>
      </c>
      <c r="AA417" s="6"/>
      <c r="AB417" s="6">
        <f>$K$417*$V$417</f>
        <v>0</v>
      </c>
      <c r="AC417" s="6">
        <f>$M$417*$W$417</f>
        <v>359332.18930999999</v>
      </c>
      <c r="AD417" s="6">
        <f>$O$417*$X$417</f>
        <v>0</v>
      </c>
      <c r="AE417" s="6">
        <f>$K$417*$Y$417</f>
        <v>0</v>
      </c>
      <c r="AF417" s="6">
        <f ca="1">$M$417*$Z$417</f>
        <v>447233.91634648113</v>
      </c>
      <c r="AG417" s="6">
        <f>$O$417*$AA$417</f>
        <v>0</v>
      </c>
    </row>
    <row r="418" spans="1:33" ht="11.25" customHeight="1" x14ac:dyDescent="0.25">
      <c r="A418" s="4" t="s">
        <v>21</v>
      </c>
      <c r="B418" s="4" t="s">
        <v>41</v>
      </c>
      <c r="C418" s="4" t="s">
        <v>40</v>
      </c>
      <c r="D418" s="4" t="s">
        <v>38</v>
      </c>
      <c r="E418" s="4" t="s">
        <v>25</v>
      </c>
      <c r="F418" s="4" t="s">
        <v>61</v>
      </c>
      <c r="G418" s="4" t="s">
        <v>25</v>
      </c>
      <c r="H418" s="4" t="s">
        <v>25</v>
      </c>
      <c r="I418" s="5">
        <v>44470</v>
      </c>
      <c r="J418" s="6">
        <v>0</v>
      </c>
      <c r="K418" s="6">
        <v>0</v>
      </c>
      <c r="L418" s="6">
        <v>5807.5169999999998</v>
      </c>
      <c r="M418" s="6">
        <v>5807.5169999999998</v>
      </c>
      <c r="N418" s="6">
        <v>0</v>
      </c>
      <c r="O418" s="6">
        <v>0</v>
      </c>
      <c r="P418" s="6">
        <v>33</v>
      </c>
      <c r="Q418" s="4" t="s">
        <v>58</v>
      </c>
      <c r="R418" s="4">
        <v>0</v>
      </c>
      <c r="S418" s="6">
        <v>0</v>
      </c>
      <c r="T418" s="6">
        <v>22</v>
      </c>
      <c r="U418" s="6">
        <v>0</v>
      </c>
      <c r="V418" s="6">
        <f>IF(ISERROR(VLOOKUP($S$418,'TAR FIN'!$A$1:$O$104,15,0)),0,VLOOKUP($S$418,'TAR FIN'!$A$1:$O$104,15,0))</f>
        <v>0</v>
      </c>
      <c r="W418" s="6">
        <f>IF(ISERROR(VLOOKUP($T$418,'TAR FIN'!$A$1:$O$104,15,0)),0,VLOOKUP($T$418,'TAR FIN'!$A$1:$O$104,15,0))</f>
        <v>62.57</v>
      </c>
      <c r="X418" s="6">
        <f>IF(ISERROR(VLOOKUP($U$418,'TAR FIN'!$A$1:$O$104,15,0)),0,VLOOKUP($U$418,'TAR FIN'!$A$1:$O$104,15,0))</f>
        <v>0</v>
      </c>
      <c r="Y418" s="6"/>
      <c r="Z418" s="6">
        <f ca="1">('TUSD BE'!$AM$15+'TUSD BF'!$AM$15+'TUSD CVA'!$AM$15)*1</f>
        <v>77.876201961015255</v>
      </c>
      <c r="AA418" s="6"/>
      <c r="AB418" s="6">
        <f>$K$418*$V$418</f>
        <v>0</v>
      </c>
      <c r="AC418" s="6">
        <f>$M$418*$W$418</f>
        <v>363376.33869</v>
      </c>
      <c r="AD418" s="6">
        <f>$O$418*$X$418</f>
        <v>0</v>
      </c>
      <c r="AE418" s="6">
        <f>$K$418*$Y$418</f>
        <v>0</v>
      </c>
      <c r="AF418" s="6">
        <f ca="1">$M$418*$Z$418</f>
        <v>452267.36678402941</v>
      </c>
      <c r="AG418" s="6">
        <f>$O$418*$AA$418</f>
        <v>0</v>
      </c>
    </row>
    <row r="419" spans="1:33" ht="11.25" customHeight="1" x14ac:dyDescent="0.25">
      <c r="A419" s="4" t="s">
        <v>21</v>
      </c>
      <c r="B419" s="4" t="s">
        <v>41</v>
      </c>
      <c r="C419" s="4" t="s">
        <v>40</v>
      </c>
      <c r="D419" s="4" t="s">
        <v>38</v>
      </c>
      <c r="E419" s="4" t="s">
        <v>25</v>
      </c>
      <c r="F419" s="4" t="s">
        <v>61</v>
      </c>
      <c r="G419" s="4" t="s">
        <v>25</v>
      </c>
      <c r="H419" s="4" t="s">
        <v>25</v>
      </c>
      <c r="I419" s="5">
        <v>44501</v>
      </c>
      <c r="J419" s="6">
        <v>0</v>
      </c>
      <c r="K419" s="6">
        <v>0</v>
      </c>
      <c r="L419" s="6">
        <v>7795.9849999999997</v>
      </c>
      <c r="M419" s="6">
        <v>7795.9849999999997</v>
      </c>
      <c r="N419" s="6">
        <v>0</v>
      </c>
      <c r="O419" s="6">
        <v>0</v>
      </c>
      <c r="P419" s="6">
        <v>35</v>
      </c>
      <c r="Q419" s="4" t="s">
        <v>58</v>
      </c>
      <c r="R419" s="4">
        <v>0</v>
      </c>
      <c r="S419" s="6">
        <v>0</v>
      </c>
      <c r="T419" s="6">
        <v>22</v>
      </c>
      <c r="U419" s="6">
        <v>0</v>
      </c>
      <c r="V419" s="6">
        <f>IF(ISERROR(VLOOKUP($S$419,'TAR FIN'!$A$1:$O$104,15,0)),0,VLOOKUP($S$419,'TAR FIN'!$A$1:$O$104,15,0))</f>
        <v>0</v>
      </c>
      <c r="W419" s="6">
        <f>IF(ISERROR(VLOOKUP($T$419,'TAR FIN'!$A$1:$O$104,15,0)),0,VLOOKUP($T$419,'TAR FIN'!$A$1:$O$104,15,0))</f>
        <v>62.57</v>
      </c>
      <c r="X419" s="6">
        <f>IF(ISERROR(VLOOKUP($U$419,'TAR FIN'!$A$1:$O$104,15,0)),0,VLOOKUP($U$419,'TAR FIN'!$A$1:$O$104,15,0))</f>
        <v>0</v>
      </c>
      <c r="Y419" s="6"/>
      <c r="Z419" s="6">
        <f ca="1">('TUSD BE'!$AM$15+'TUSD BF'!$AM$15+'TUSD CVA'!$AM$15)*1</f>
        <v>77.876201961015255</v>
      </c>
      <c r="AA419" s="6"/>
      <c r="AB419" s="6">
        <f>$K$419*$V$419</f>
        <v>0</v>
      </c>
      <c r="AC419" s="6">
        <f>$M$419*$W$419</f>
        <v>487794.78145000001</v>
      </c>
      <c r="AD419" s="6">
        <f>$O$419*$X$419</f>
        <v>0</v>
      </c>
      <c r="AE419" s="6">
        <f>$K$419*$Y$419</f>
        <v>0</v>
      </c>
      <c r="AF419" s="6">
        <f ca="1">$M$419*$Z$419</f>
        <v>607121.70234504552</v>
      </c>
      <c r="AG419" s="6">
        <f>$O$419*$AA$419</f>
        <v>0</v>
      </c>
    </row>
    <row r="420" spans="1:33" ht="11.25" customHeight="1" x14ac:dyDescent="0.25">
      <c r="A420" s="4" t="s">
        <v>21</v>
      </c>
      <c r="B420" s="4" t="s">
        <v>41</v>
      </c>
      <c r="C420" s="4" t="s">
        <v>40</v>
      </c>
      <c r="D420" s="4" t="s">
        <v>38</v>
      </c>
      <c r="E420" s="4" t="s">
        <v>25</v>
      </c>
      <c r="F420" s="4" t="s">
        <v>61</v>
      </c>
      <c r="G420" s="4" t="s">
        <v>25</v>
      </c>
      <c r="H420" s="4" t="s">
        <v>25</v>
      </c>
      <c r="I420" s="5">
        <v>44531</v>
      </c>
      <c r="J420" s="6">
        <v>0</v>
      </c>
      <c r="K420" s="6">
        <v>0</v>
      </c>
      <c r="L420" s="6">
        <v>8006.0680000000002</v>
      </c>
      <c r="M420" s="6">
        <v>8006.0680000000002</v>
      </c>
      <c r="N420" s="6">
        <v>0</v>
      </c>
      <c r="O420" s="6">
        <v>0</v>
      </c>
      <c r="P420" s="6">
        <v>35</v>
      </c>
      <c r="Q420" s="4" t="s">
        <v>58</v>
      </c>
      <c r="R420" s="4">
        <v>0</v>
      </c>
      <c r="S420" s="6">
        <v>0</v>
      </c>
      <c r="T420" s="6">
        <v>22</v>
      </c>
      <c r="U420" s="6">
        <v>0</v>
      </c>
      <c r="V420" s="6">
        <f>IF(ISERROR(VLOOKUP($S$420,'TAR FIN'!$A$1:$O$104,15,0)),0,VLOOKUP($S$420,'TAR FIN'!$A$1:$O$104,15,0))</f>
        <v>0</v>
      </c>
      <c r="W420" s="6">
        <f>IF(ISERROR(VLOOKUP($T$420,'TAR FIN'!$A$1:$O$104,15,0)),0,VLOOKUP($T$420,'TAR FIN'!$A$1:$O$104,15,0))</f>
        <v>62.57</v>
      </c>
      <c r="X420" s="6">
        <f>IF(ISERROR(VLOOKUP($U$420,'TAR FIN'!$A$1:$O$104,15,0)),0,VLOOKUP($U$420,'TAR FIN'!$A$1:$O$104,15,0))</f>
        <v>0</v>
      </c>
      <c r="Y420" s="6"/>
      <c r="Z420" s="6">
        <f ca="1">('TUSD BE'!$AM$15+'TUSD BF'!$AM$15+'TUSD CVA'!$AM$15)*1</f>
        <v>77.876201961015255</v>
      </c>
      <c r="AA420" s="6"/>
      <c r="AB420" s="6">
        <f>$K$420*$V$420</f>
        <v>0</v>
      </c>
      <c r="AC420" s="6">
        <f>$M$420*$W$420</f>
        <v>500939.67476000002</v>
      </c>
      <c r="AD420" s="6">
        <f>$O$420*$X$420</f>
        <v>0</v>
      </c>
      <c r="AE420" s="6">
        <f>$K$420*$Y$420</f>
        <v>0</v>
      </c>
      <c r="AF420" s="6">
        <f ca="1">$M$420*$Z$420</f>
        <v>623482.16848162154</v>
      </c>
      <c r="AG420" s="6">
        <f>$O$420*$AA$420</f>
        <v>0</v>
      </c>
    </row>
    <row r="421" spans="1:33" ht="11.25" customHeight="1" x14ac:dyDescent="0.25">
      <c r="A421" s="4" t="s">
        <v>21</v>
      </c>
      <c r="B421" s="4" t="s">
        <v>41</v>
      </c>
      <c r="C421" s="4" t="s">
        <v>40</v>
      </c>
      <c r="D421" s="4" t="s">
        <v>38</v>
      </c>
      <c r="E421" s="4" t="s">
        <v>25</v>
      </c>
      <c r="F421" s="4" t="s">
        <v>61</v>
      </c>
      <c r="G421" s="4" t="s">
        <v>25</v>
      </c>
      <c r="H421" s="4" t="s">
        <v>25</v>
      </c>
      <c r="I421" s="5">
        <v>44562</v>
      </c>
      <c r="J421" s="6">
        <v>0</v>
      </c>
      <c r="K421" s="6">
        <v>0</v>
      </c>
      <c r="L421" s="6">
        <v>8472.1119999999992</v>
      </c>
      <c r="M421" s="6">
        <v>8472.1119999999992</v>
      </c>
      <c r="N421" s="6">
        <v>0</v>
      </c>
      <c r="O421" s="6">
        <v>0</v>
      </c>
      <c r="P421" s="6">
        <v>35</v>
      </c>
      <c r="Q421" s="4" t="s">
        <v>58</v>
      </c>
      <c r="R421" s="4">
        <v>0</v>
      </c>
      <c r="S421" s="6">
        <v>0</v>
      </c>
      <c r="T421" s="6">
        <v>22</v>
      </c>
      <c r="U421" s="6">
        <v>0</v>
      </c>
      <c r="V421" s="6">
        <f>IF(ISERROR(VLOOKUP($S$421,'TAR FIN'!$A$1:$O$104,15,0)),0,VLOOKUP($S$421,'TAR FIN'!$A$1:$O$104,15,0))</f>
        <v>0</v>
      </c>
      <c r="W421" s="6">
        <f>IF(ISERROR(VLOOKUP($T$421,'TAR FIN'!$A$1:$O$104,15,0)),0,VLOOKUP($T$421,'TAR FIN'!$A$1:$O$104,15,0))</f>
        <v>62.57</v>
      </c>
      <c r="X421" s="6">
        <f>IF(ISERROR(VLOOKUP($U$421,'TAR FIN'!$A$1:$O$104,15,0)),0,VLOOKUP($U$421,'TAR FIN'!$A$1:$O$104,15,0))</f>
        <v>0</v>
      </c>
      <c r="Y421" s="6"/>
      <c r="Z421" s="6">
        <f ca="1">('TUSD BE'!$AM$15+'TUSD BF'!$AM$15+'TUSD CVA'!$AM$15)*1</f>
        <v>77.876201961015255</v>
      </c>
      <c r="AA421" s="6"/>
      <c r="AB421" s="6">
        <f>$K$421*$V$421</f>
        <v>0</v>
      </c>
      <c r="AC421" s="6">
        <f>$M$421*$W$421</f>
        <v>530100.0478399999</v>
      </c>
      <c r="AD421" s="6">
        <f>$O$421*$X$421</f>
        <v>0</v>
      </c>
      <c r="AE421" s="6">
        <f>$K$421*$Y$421</f>
        <v>0</v>
      </c>
      <c r="AF421" s="6">
        <f ca="1">$M$421*$Z$421</f>
        <v>659775.90514834085</v>
      </c>
      <c r="AG421" s="6">
        <f>$O$421*$AA$421</f>
        <v>0</v>
      </c>
    </row>
    <row r="422" spans="1:33" ht="11.25" customHeight="1" x14ac:dyDescent="0.25">
      <c r="A422" s="4" t="s">
        <v>21</v>
      </c>
      <c r="B422" s="4" t="s">
        <v>41</v>
      </c>
      <c r="C422" s="4" t="s">
        <v>40</v>
      </c>
      <c r="D422" s="4" t="s">
        <v>38</v>
      </c>
      <c r="E422" s="4" t="s">
        <v>25</v>
      </c>
      <c r="F422" s="4" t="s">
        <v>61</v>
      </c>
      <c r="G422" s="4" t="s">
        <v>25</v>
      </c>
      <c r="H422" s="4" t="s">
        <v>25</v>
      </c>
      <c r="I422" s="5">
        <v>44593</v>
      </c>
      <c r="J422" s="6">
        <v>0</v>
      </c>
      <c r="K422" s="6">
        <v>0</v>
      </c>
      <c r="L422" s="6">
        <v>7630.09</v>
      </c>
      <c r="M422" s="6">
        <v>7630.09</v>
      </c>
      <c r="N422" s="6">
        <v>0</v>
      </c>
      <c r="O422" s="6">
        <v>0</v>
      </c>
      <c r="P422" s="6">
        <v>35</v>
      </c>
      <c r="Q422" s="4" t="s">
        <v>58</v>
      </c>
      <c r="R422" s="4">
        <v>0</v>
      </c>
      <c r="S422" s="6">
        <v>0</v>
      </c>
      <c r="T422" s="6">
        <v>22</v>
      </c>
      <c r="U422" s="6">
        <v>0</v>
      </c>
      <c r="V422" s="6">
        <f>IF(ISERROR(VLOOKUP($S$422,'TAR FIN'!$A$1:$O$104,15,0)),0,VLOOKUP($S$422,'TAR FIN'!$A$1:$O$104,15,0))</f>
        <v>0</v>
      </c>
      <c r="W422" s="6">
        <f>IF(ISERROR(VLOOKUP($T$422,'TAR FIN'!$A$1:$O$104,15,0)),0,VLOOKUP($T$422,'TAR FIN'!$A$1:$O$104,15,0))</f>
        <v>62.57</v>
      </c>
      <c r="X422" s="6">
        <f>IF(ISERROR(VLOOKUP($U$422,'TAR FIN'!$A$1:$O$104,15,0)),0,VLOOKUP($U$422,'TAR FIN'!$A$1:$O$104,15,0))</f>
        <v>0</v>
      </c>
      <c r="Y422" s="6"/>
      <c r="Z422" s="6">
        <f ca="1">('TUSD BE'!$AM$15+'TUSD BF'!$AM$15+'TUSD CVA'!$AM$15)*1</f>
        <v>77.876201961015255</v>
      </c>
      <c r="AA422" s="6"/>
      <c r="AB422" s="6">
        <f>$K$422*$V$422</f>
        <v>0</v>
      </c>
      <c r="AC422" s="6">
        <f>$M$422*$W$422</f>
        <v>477414.73129999998</v>
      </c>
      <c r="AD422" s="6">
        <f>$O$422*$X$422</f>
        <v>0</v>
      </c>
      <c r="AE422" s="6">
        <f>$K$422*$Y$422</f>
        <v>0</v>
      </c>
      <c r="AF422" s="6">
        <f ca="1">$M$422*$Z$422</f>
        <v>594202.4298207229</v>
      </c>
      <c r="AG422" s="6">
        <f>$O$422*$AA$422</f>
        <v>0</v>
      </c>
    </row>
    <row r="423" spans="1:33" ht="11.25" customHeight="1" x14ac:dyDescent="0.25">
      <c r="A423" s="4" t="s">
        <v>21</v>
      </c>
      <c r="B423" s="4" t="s">
        <v>41</v>
      </c>
      <c r="C423" s="4" t="s">
        <v>40</v>
      </c>
      <c r="D423" s="4" t="s">
        <v>38</v>
      </c>
      <c r="E423" s="4" t="s">
        <v>25</v>
      </c>
      <c r="F423" s="4" t="s">
        <v>61</v>
      </c>
      <c r="G423" s="4" t="s">
        <v>25</v>
      </c>
      <c r="H423" s="4" t="s">
        <v>25</v>
      </c>
      <c r="I423" s="5">
        <v>44621</v>
      </c>
      <c r="J423" s="6">
        <v>0</v>
      </c>
      <c r="K423" s="6">
        <v>0</v>
      </c>
      <c r="L423" s="6">
        <v>7194.3190000000004</v>
      </c>
      <c r="M423" s="6">
        <v>7194.3190000000004</v>
      </c>
      <c r="N423" s="6">
        <v>0</v>
      </c>
      <c r="O423" s="6">
        <v>0</v>
      </c>
      <c r="P423" s="6">
        <v>35</v>
      </c>
      <c r="Q423" s="4" t="s">
        <v>58</v>
      </c>
      <c r="R423" s="4">
        <v>0</v>
      </c>
      <c r="S423" s="6">
        <v>0</v>
      </c>
      <c r="T423" s="6">
        <v>22</v>
      </c>
      <c r="U423" s="6">
        <v>0</v>
      </c>
      <c r="V423" s="6">
        <f>IF(ISERROR(VLOOKUP($S$423,'TAR FIN'!$A$1:$O$104,15,0)),0,VLOOKUP($S$423,'TAR FIN'!$A$1:$O$104,15,0))</f>
        <v>0</v>
      </c>
      <c r="W423" s="6">
        <f>IF(ISERROR(VLOOKUP($T$423,'TAR FIN'!$A$1:$O$104,15,0)),0,VLOOKUP($T$423,'TAR FIN'!$A$1:$O$104,15,0))</f>
        <v>62.57</v>
      </c>
      <c r="X423" s="6">
        <f>IF(ISERROR(VLOOKUP($U$423,'TAR FIN'!$A$1:$O$104,15,0)),0,VLOOKUP($U$423,'TAR FIN'!$A$1:$O$104,15,0))</f>
        <v>0</v>
      </c>
      <c r="Y423" s="6"/>
      <c r="Z423" s="6">
        <f ca="1">('TUSD BE'!$AM$15+'TUSD BF'!$AM$15+'TUSD CVA'!$AM$15)*1</f>
        <v>77.876201961015255</v>
      </c>
      <c r="AA423" s="6"/>
      <c r="AB423" s="6">
        <f>$K$423*$V$423</f>
        <v>0</v>
      </c>
      <c r="AC423" s="6">
        <f>$M$423*$W$423</f>
        <v>450148.53983000002</v>
      </c>
      <c r="AD423" s="6">
        <f>$O$423*$X$423</f>
        <v>0</v>
      </c>
      <c r="AE423" s="6">
        <f>$K$423*$Y$423</f>
        <v>0</v>
      </c>
      <c r="AF423" s="6">
        <f ca="1">$M$423*$Z$423</f>
        <v>560266.23941596935</v>
      </c>
      <c r="AG423" s="6">
        <f>$O$423*$AA$423</f>
        <v>0</v>
      </c>
    </row>
    <row r="424" spans="1:33" ht="11.25" customHeight="1" x14ac:dyDescent="0.25">
      <c r="A424" s="4" t="s">
        <v>21</v>
      </c>
      <c r="B424" s="4" t="s">
        <v>41</v>
      </c>
      <c r="C424" s="4" t="s">
        <v>40</v>
      </c>
      <c r="D424" s="4" t="s">
        <v>38</v>
      </c>
      <c r="E424" s="4" t="s">
        <v>25</v>
      </c>
      <c r="F424" s="4" t="s">
        <v>61</v>
      </c>
      <c r="G424" s="4" t="s">
        <v>25</v>
      </c>
      <c r="H424" s="4" t="s">
        <v>25</v>
      </c>
      <c r="I424" s="5">
        <v>44652</v>
      </c>
      <c r="J424" s="6">
        <v>0</v>
      </c>
      <c r="K424" s="6">
        <v>0</v>
      </c>
      <c r="L424" s="6">
        <v>8225.7209999999995</v>
      </c>
      <c r="M424" s="6">
        <v>8225.7209999999995</v>
      </c>
      <c r="N424" s="6">
        <v>0</v>
      </c>
      <c r="O424" s="6">
        <v>0</v>
      </c>
      <c r="P424" s="6">
        <v>37</v>
      </c>
      <c r="Q424" s="4" t="s">
        <v>58</v>
      </c>
      <c r="R424" s="4">
        <v>0</v>
      </c>
      <c r="S424" s="6">
        <v>0</v>
      </c>
      <c r="T424" s="6">
        <v>22</v>
      </c>
      <c r="U424" s="6">
        <v>0</v>
      </c>
      <c r="V424" s="6">
        <f>IF(ISERROR(VLOOKUP($S$424,'TAR FIN'!$A$1:$O$104,15,0)),0,VLOOKUP($S$424,'TAR FIN'!$A$1:$O$104,15,0))</f>
        <v>0</v>
      </c>
      <c r="W424" s="6">
        <f>IF(ISERROR(VLOOKUP($T$424,'TAR FIN'!$A$1:$O$104,15,0)),0,VLOOKUP($T$424,'TAR FIN'!$A$1:$O$104,15,0))</f>
        <v>62.57</v>
      </c>
      <c r="X424" s="6">
        <f>IF(ISERROR(VLOOKUP($U$424,'TAR FIN'!$A$1:$O$104,15,0)),0,VLOOKUP($U$424,'TAR FIN'!$A$1:$O$104,15,0))</f>
        <v>0</v>
      </c>
      <c r="Y424" s="6"/>
      <c r="Z424" s="6">
        <f ca="1">('TUSD BE'!$AM$15+'TUSD BF'!$AM$15+'TUSD CVA'!$AM$15)*1</f>
        <v>77.876201961015255</v>
      </c>
      <c r="AA424" s="6"/>
      <c r="AB424" s="6">
        <f>$K$424*$V$424</f>
        <v>0</v>
      </c>
      <c r="AC424" s="6">
        <f>$M$424*$W$424</f>
        <v>514683.36296999996</v>
      </c>
      <c r="AD424" s="6">
        <f>$O$424*$X$424</f>
        <v>0</v>
      </c>
      <c r="AE424" s="6">
        <f>$K$424*$Y$424</f>
        <v>0</v>
      </c>
      <c r="AF424" s="6">
        <f ca="1">$M$424*$Z$424</f>
        <v>640587.90987096436</v>
      </c>
      <c r="AG424" s="6">
        <f>$O$424*$AA$424</f>
        <v>0</v>
      </c>
    </row>
    <row r="425" spans="1:33" ht="11.25" customHeight="1" x14ac:dyDescent="0.25">
      <c r="A425" s="4" t="s">
        <v>21</v>
      </c>
      <c r="B425" s="4" t="s">
        <v>41</v>
      </c>
      <c r="C425" s="4" t="s">
        <v>40</v>
      </c>
      <c r="D425" s="4" t="s">
        <v>38</v>
      </c>
      <c r="E425" s="4" t="s">
        <v>25</v>
      </c>
      <c r="F425" s="4" t="s">
        <v>61</v>
      </c>
      <c r="G425" s="4" t="s">
        <v>25</v>
      </c>
      <c r="H425" s="4" t="s">
        <v>25</v>
      </c>
      <c r="I425" s="5">
        <v>44682</v>
      </c>
      <c r="J425" s="6">
        <v>0</v>
      </c>
      <c r="K425" s="6">
        <v>0</v>
      </c>
      <c r="L425" s="6">
        <v>7602.5020000000004</v>
      </c>
      <c r="M425" s="6">
        <v>7602.5020000000004</v>
      </c>
      <c r="N425" s="6">
        <v>0</v>
      </c>
      <c r="O425" s="6">
        <v>0</v>
      </c>
      <c r="P425" s="6">
        <v>37</v>
      </c>
      <c r="Q425" s="4" t="s">
        <v>58</v>
      </c>
      <c r="R425" s="4">
        <v>0</v>
      </c>
      <c r="S425" s="6">
        <v>0</v>
      </c>
      <c r="T425" s="6">
        <v>22</v>
      </c>
      <c r="U425" s="6">
        <v>0</v>
      </c>
      <c r="V425" s="6">
        <f>IF(ISERROR(VLOOKUP($S$425,'TAR FIN'!$A$1:$O$104,15,0)),0,VLOOKUP($S$425,'TAR FIN'!$A$1:$O$104,15,0))</f>
        <v>0</v>
      </c>
      <c r="W425" s="6">
        <f>IF(ISERROR(VLOOKUP($T$425,'TAR FIN'!$A$1:$O$104,15,0)),0,VLOOKUP($T$425,'TAR FIN'!$A$1:$O$104,15,0))</f>
        <v>62.57</v>
      </c>
      <c r="X425" s="6">
        <f>IF(ISERROR(VLOOKUP($U$425,'TAR FIN'!$A$1:$O$104,15,0)),0,VLOOKUP($U$425,'TAR FIN'!$A$1:$O$104,15,0))</f>
        <v>0</v>
      </c>
      <c r="Y425" s="6"/>
      <c r="Z425" s="6">
        <f ca="1">('TUSD BE'!$AM$15+'TUSD BF'!$AM$15+'TUSD CVA'!$AM$15)*1</f>
        <v>77.876201961015255</v>
      </c>
      <c r="AA425" s="6"/>
      <c r="AB425" s="6">
        <f>$K$425*$V$425</f>
        <v>0</v>
      </c>
      <c r="AC425" s="6">
        <f>$M$425*$W$425</f>
        <v>475688.55014000001</v>
      </c>
      <c r="AD425" s="6">
        <f>$O$425*$X$425</f>
        <v>0</v>
      </c>
      <c r="AE425" s="6">
        <f>$K$425*$Y$425</f>
        <v>0</v>
      </c>
      <c r="AF425" s="6">
        <f ca="1">$M$425*$Z$425</f>
        <v>592053.98116102244</v>
      </c>
      <c r="AG425" s="6">
        <f>$O$425*$AA$425</f>
        <v>0</v>
      </c>
    </row>
    <row r="426" spans="1:33" ht="11.25" customHeight="1" x14ac:dyDescent="0.25">
      <c r="A426" s="4" t="s">
        <v>21</v>
      </c>
      <c r="B426" s="4" t="s">
        <v>41</v>
      </c>
      <c r="C426" s="4" t="s">
        <v>40</v>
      </c>
      <c r="D426" s="4" t="s">
        <v>38</v>
      </c>
      <c r="E426" s="4" t="s">
        <v>25</v>
      </c>
      <c r="F426" s="4" t="s">
        <v>61</v>
      </c>
      <c r="G426" s="4" t="s">
        <v>25</v>
      </c>
      <c r="H426" s="4" t="s">
        <v>25</v>
      </c>
      <c r="I426" s="5">
        <v>44713</v>
      </c>
      <c r="J426" s="6">
        <v>0</v>
      </c>
      <c r="K426" s="6">
        <v>0</v>
      </c>
      <c r="L426" s="6">
        <v>7974.6809999999996</v>
      </c>
      <c r="M426" s="6">
        <v>7974.6809999999996</v>
      </c>
      <c r="N426" s="6">
        <v>0</v>
      </c>
      <c r="O426" s="6">
        <v>0</v>
      </c>
      <c r="P426" s="6">
        <v>37</v>
      </c>
      <c r="Q426" s="4" t="s">
        <v>58</v>
      </c>
      <c r="R426" s="4">
        <v>0</v>
      </c>
      <c r="S426" s="6">
        <v>0</v>
      </c>
      <c r="T426" s="6">
        <v>22</v>
      </c>
      <c r="U426" s="6">
        <v>0</v>
      </c>
      <c r="V426" s="6">
        <f>IF(ISERROR(VLOOKUP($S$426,'TAR FIN'!$A$1:$O$104,15,0)),0,VLOOKUP($S$426,'TAR FIN'!$A$1:$O$104,15,0))</f>
        <v>0</v>
      </c>
      <c r="W426" s="6">
        <f>IF(ISERROR(VLOOKUP($T$426,'TAR FIN'!$A$1:$O$104,15,0)),0,VLOOKUP($T$426,'TAR FIN'!$A$1:$O$104,15,0))</f>
        <v>62.57</v>
      </c>
      <c r="X426" s="6">
        <f>IF(ISERROR(VLOOKUP($U$426,'TAR FIN'!$A$1:$O$104,15,0)),0,VLOOKUP($U$426,'TAR FIN'!$A$1:$O$104,15,0))</f>
        <v>0</v>
      </c>
      <c r="Y426" s="6"/>
      <c r="Z426" s="6">
        <f ca="1">('TUSD BE'!$AM$15+'TUSD BF'!$AM$15+'TUSD CVA'!$AM$15)*1</f>
        <v>77.876201961015255</v>
      </c>
      <c r="AA426" s="6"/>
      <c r="AB426" s="6">
        <f>$K$426*$V$426</f>
        <v>0</v>
      </c>
      <c r="AC426" s="6">
        <f>$M$426*$W$426</f>
        <v>498975.79016999999</v>
      </c>
      <c r="AD426" s="6">
        <f>$O$426*$X$426</f>
        <v>0</v>
      </c>
      <c r="AE426" s="6">
        <f>$K$426*$Y$426</f>
        <v>0</v>
      </c>
      <c r="AF426" s="6">
        <f ca="1">$M$426*$Z$426</f>
        <v>621037.86813067109</v>
      </c>
      <c r="AG426" s="6">
        <f>$O$426*$AA$426</f>
        <v>0</v>
      </c>
    </row>
    <row r="427" spans="1:33" ht="11.25" customHeight="1" x14ac:dyDescent="0.25">
      <c r="A427" s="4" t="s">
        <v>57</v>
      </c>
      <c r="B427" s="4" t="s">
        <v>41</v>
      </c>
      <c r="C427" s="4" t="s">
        <v>40</v>
      </c>
      <c r="D427" s="4" t="s">
        <v>38</v>
      </c>
      <c r="E427" s="4" t="s">
        <v>25</v>
      </c>
      <c r="F427" s="4" t="s">
        <v>61</v>
      </c>
      <c r="G427" s="4" t="s">
        <v>25</v>
      </c>
      <c r="H427" s="4" t="s">
        <v>25</v>
      </c>
      <c r="I427" s="5">
        <v>44743</v>
      </c>
      <c r="J427" s="6">
        <v>0</v>
      </c>
      <c r="K427" s="6">
        <v>0</v>
      </c>
      <c r="L427" s="6">
        <v>7974.6809999999996</v>
      </c>
      <c r="M427" s="6">
        <v>7974.6809999999996</v>
      </c>
      <c r="N427" s="6">
        <v>0</v>
      </c>
      <c r="O427" s="6">
        <v>0</v>
      </c>
      <c r="P427" s="6">
        <v>37</v>
      </c>
      <c r="Q427" s="4" t="s">
        <v>58</v>
      </c>
      <c r="R427" s="4">
        <v>0</v>
      </c>
      <c r="S427" s="6">
        <v>0</v>
      </c>
      <c r="T427" s="6">
        <v>22</v>
      </c>
      <c r="U427" s="6">
        <v>0</v>
      </c>
      <c r="V427" s="6">
        <f>IF(ISERROR(VLOOKUP($S$427,'TAR FIN'!$A$1:$O$104,15,0)),0,VLOOKUP($S$427,'TAR FIN'!$A$1:$O$104,15,0))</f>
        <v>0</v>
      </c>
      <c r="W427" s="6">
        <f>IF(ISERROR(VLOOKUP($T$427,'TAR FIN'!$A$1:$O$104,15,0)),0,VLOOKUP($T$427,'TAR FIN'!$A$1:$O$104,15,0))</f>
        <v>62.57</v>
      </c>
      <c r="X427" s="6">
        <f>IF(ISERROR(VLOOKUP($U$427,'TAR FIN'!$A$1:$O$104,15,0)),0,VLOOKUP($U$427,'TAR FIN'!$A$1:$O$104,15,0))</f>
        <v>0</v>
      </c>
      <c r="Y427" s="6"/>
      <c r="Z427" s="6">
        <f ca="1">('TUSD BE'!$AM$15+'TUSD BF'!$AM$15+'TUSD CVA'!$AM$15)*1</f>
        <v>77.876201961015255</v>
      </c>
      <c r="AA427" s="6"/>
      <c r="AB427" s="6">
        <f>$K$427*$V$427</f>
        <v>0</v>
      </c>
      <c r="AC427" s="6">
        <f>$M$427*$W$427</f>
        <v>498975.79016999999</v>
      </c>
      <c r="AD427" s="6">
        <f>$O$427*$X$427</f>
        <v>0</v>
      </c>
      <c r="AE427" s="6">
        <f>$K$427*$Y$427</f>
        <v>0</v>
      </c>
      <c r="AF427" s="6">
        <f ca="1">$M$427*$Z$427</f>
        <v>621037.86813067109</v>
      </c>
      <c r="AG427" s="6">
        <f>$O$427*$AA$427</f>
        <v>0</v>
      </c>
    </row>
    <row r="428" spans="1:33" ht="11.25" customHeight="1" x14ac:dyDescent="0.25">
      <c r="A428" s="4" t="s">
        <v>21</v>
      </c>
      <c r="B428" s="4" t="s">
        <v>41</v>
      </c>
      <c r="C428" s="4" t="s">
        <v>40</v>
      </c>
      <c r="D428" s="4" t="s">
        <v>38</v>
      </c>
      <c r="E428" s="4" t="s">
        <v>25</v>
      </c>
      <c r="F428" s="4" t="s">
        <v>61</v>
      </c>
      <c r="G428" s="4" t="s">
        <v>25</v>
      </c>
      <c r="H428" s="4" t="s">
        <v>34</v>
      </c>
      <c r="I428" s="5">
        <v>44409</v>
      </c>
      <c r="J428" s="6">
        <v>12811</v>
      </c>
      <c r="K428" s="6">
        <v>6533.61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4" t="s">
        <v>58</v>
      </c>
      <c r="R428" s="4">
        <v>0</v>
      </c>
      <c r="S428" s="6">
        <v>18</v>
      </c>
      <c r="T428" s="6">
        <v>0</v>
      </c>
      <c r="U428" s="6">
        <v>0</v>
      </c>
      <c r="V428" s="6">
        <f>IF(ISERROR(VLOOKUP($S$428,'TAR FIN'!$A$1:$O$104,15,0)),0,VLOOKUP($S$428,'TAR FIN'!$A$1:$O$104,15,0))</f>
        <v>52.15</v>
      </c>
      <c r="W428" s="6">
        <f>IF(ISERROR(VLOOKUP($T$428,'TAR FIN'!$A$1:$O$104,15,0)),0,VLOOKUP($T$428,'TAR FIN'!$A$1:$O$104,15,0))</f>
        <v>0</v>
      </c>
      <c r="X428" s="6">
        <f>IF(ISERROR(VLOOKUP($U$428,'TAR FIN'!$A$1:$O$104,15,0)),0,VLOOKUP($U$428,'TAR FIN'!$A$1:$O$104,15,0))</f>
        <v>0</v>
      </c>
      <c r="Y428" s="6">
        <f ca="1">('TUSD BE'!$AM$13+'TUSD BF'!$AM$13+'TUSD CVA'!$AM$13)*1</f>
        <v>52.233673366014429</v>
      </c>
      <c r="Z428" s="6">
        <f ca="1">('TUSD BE'!$AM$15+'TUSD BF'!$AM$15+'TUSD CVA'!$AM$15)*1</f>
        <v>77.876201961015255</v>
      </c>
      <c r="AA428" s="6"/>
      <c r="AB428" s="6">
        <f>$K$428*$V$428</f>
        <v>340727.76149999996</v>
      </c>
      <c r="AC428" s="6">
        <f>$M$428*$W$428</f>
        <v>0</v>
      </c>
      <c r="AD428" s="6">
        <f>$O$428*$X$428</f>
        <v>0</v>
      </c>
      <c r="AE428" s="6">
        <f ca="1">$K$428*$Y$428</f>
        <v>341274.4506409255</v>
      </c>
      <c r="AF428" s="6">
        <f ca="1">$M$428*$Z$428</f>
        <v>0</v>
      </c>
      <c r="AG428" s="6">
        <f>$O$428*$AA$428</f>
        <v>0</v>
      </c>
    </row>
    <row r="429" spans="1:33" ht="11.25" customHeight="1" x14ac:dyDescent="0.25">
      <c r="A429" s="4" t="s">
        <v>21</v>
      </c>
      <c r="B429" s="4" t="s">
        <v>41</v>
      </c>
      <c r="C429" s="4" t="s">
        <v>40</v>
      </c>
      <c r="D429" s="4" t="s">
        <v>38</v>
      </c>
      <c r="E429" s="4" t="s">
        <v>25</v>
      </c>
      <c r="F429" s="4" t="s">
        <v>61</v>
      </c>
      <c r="G429" s="4" t="s">
        <v>25</v>
      </c>
      <c r="H429" s="4" t="s">
        <v>34</v>
      </c>
      <c r="I429" s="5">
        <v>44440</v>
      </c>
      <c r="J429" s="6">
        <v>12867</v>
      </c>
      <c r="K429" s="6">
        <v>8878.23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4" t="s">
        <v>58</v>
      </c>
      <c r="R429" s="4">
        <v>0</v>
      </c>
      <c r="S429" s="6">
        <v>18</v>
      </c>
      <c r="T429" s="6">
        <v>0</v>
      </c>
      <c r="U429" s="6">
        <v>0</v>
      </c>
      <c r="V429" s="6">
        <f>IF(ISERROR(VLOOKUP($S$429,'TAR FIN'!$A$1:$O$104,15,0)),0,VLOOKUP($S$429,'TAR FIN'!$A$1:$O$104,15,0))</f>
        <v>52.15</v>
      </c>
      <c r="W429" s="6">
        <f>IF(ISERROR(VLOOKUP($T$429,'TAR FIN'!$A$1:$O$104,15,0)),0,VLOOKUP($T$429,'TAR FIN'!$A$1:$O$104,15,0))</f>
        <v>0</v>
      </c>
      <c r="X429" s="6">
        <f>IF(ISERROR(VLOOKUP($U$429,'TAR FIN'!$A$1:$O$104,15,0)),0,VLOOKUP($U$429,'TAR FIN'!$A$1:$O$104,15,0))</f>
        <v>0</v>
      </c>
      <c r="Y429" s="6">
        <f ca="1">('TUSD BE'!$AM$13+'TUSD BF'!$AM$13+'TUSD CVA'!$AM$13)*1</f>
        <v>52.233673366014429</v>
      </c>
      <c r="Z429" s="6">
        <f ca="1">('TUSD BE'!$AM$15+'TUSD BF'!$AM$15+'TUSD CVA'!$AM$15)*1</f>
        <v>77.876201961015255</v>
      </c>
      <c r="AA429" s="6"/>
      <c r="AB429" s="6">
        <f>$K$429*$V$429</f>
        <v>462999.69449999998</v>
      </c>
      <c r="AC429" s="6">
        <f>$M$429*$W$429</f>
        <v>0</v>
      </c>
      <c r="AD429" s="6">
        <f>$O$429*$X$429</f>
        <v>0</v>
      </c>
      <c r="AE429" s="6">
        <f ca="1">$K$429*$Y$429</f>
        <v>463742.56588835025</v>
      </c>
      <c r="AF429" s="6">
        <f ca="1">$M$429*$Z$429</f>
        <v>0</v>
      </c>
      <c r="AG429" s="6">
        <f>$O$429*$AA$429</f>
        <v>0</v>
      </c>
    </row>
    <row r="430" spans="1:33" ht="11.25" customHeight="1" x14ac:dyDescent="0.25">
      <c r="A430" s="4" t="s">
        <v>21</v>
      </c>
      <c r="B430" s="4" t="s">
        <v>41</v>
      </c>
      <c r="C430" s="4" t="s">
        <v>40</v>
      </c>
      <c r="D430" s="4" t="s">
        <v>38</v>
      </c>
      <c r="E430" s="4" t="s">
        <v>25</v>
      </c>
      <c r="F430" s="4" t="s">
        <v>61</v>
      </c>
      <c r="G430" s="4" t="s">
        <v>25</v>
      </c>
      <c r="H430" s="4" t="s">
        <v>34</v>
      </c>
      <c r="I430" s="5">
        <v>44470</v>
      </c>
      <c r="J430" s="6">
        <v>12821</v>
      </c>
      <c r="K430" s="6">
        <v>8333.65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4" t="s">
        <v>58</v>
      </c>
      <c r="R430" s="4">
        <v>0</v>
      </c>
      <c r="S430" s="6">
        <v>18</v>
      </c>
      <c r="T430" s="6">
        <v>0</v>
      </c>
      <c r="U430" s="6">
        <v>0</v>
      </c>
      <c r="V430" s="6">
        <f>IF(ISERROR(VLOOKUP($S$430,'TAR FIN'!$A$1:$O$104,15,0)),0,VLOOKUP($S$430,'TAR FIN'!$A$1:$O$104,15,0))</f>
        <v>52.15</v>
      </c>
      <c r="W430" s="6">
        <f>IF(ISERROR(VLOOKUP($T$430,'TAR FIN'!$A$1:$O$104,15,0)),0,VLOOKUP($T$430,'TAR FIN'!$A$1:$O$104,15,0))</f>
        <v>0</v>
      </c>
      <c r="X430" s="6">
        <f>IF(ISERROR(VLOOKUP($U$430,'TAR FIN'!$A$1:$O$104,15,0)),0,VLOOKUP($U$430,'TAR FIN'!$A$1:$O$104,15,0))</f>
        <v>0</v>
      </c>
      <c r="Y430" s="6">
        <f ca="1">('TUSD BE'!$AM$13+'TUSD BF'!$AM$13+'TUSD CVA'!$AM$13)*1</f>
        <v>52.233673366014429</v>
      </c>
      <c r="Z430" s="6">
        <f ca="1">('TUSD BE'!$AM$15+'TUSD BF'!$AM$15+'TUSD CVA'!$AM$15)*1</f>
        <v>77.876201961015255</v>
      </c>
      <c r="AA430" s="6"/>
      <c r="AB430" s="6">
        <f>$K$430*$V$430</f>
        <v>434599.84749999997</v>
      </c>
      <c r="AC430" s="6">
        <f>$M$430*$W$430</f>
        <v>0</v>
      </c>
      <c r="AD430" s="6">
        <f>$O$430*$X$430</f>
        <v>0</v>
      </c>
      <c r="AE430" s="6">
        <f ca="1">$K$430*$Y$430</f>
        <v>435297.15204668615</v>
      </c>
      <c r="AF430" s="6">
        <f ca="1">$M$430*$Z$430</f>
        <v>0</v>
      </c>
      <c r="AG430" s="6">
        <f>$O$430*$AA$430</f>
        <v>0</v>
      </c>
    </row>
    <row r="431" spans="1:33" ht="11.25" customHeight="1" x14ac:dyDescent="0.25">
      <c r="A431" s="4" t="s">
        <v>21</v>
      </c>
      <c r="B431" s="4" t="s">
        <v>41</v>
      </c>
      <c r="C431" s="4" t="s">
        <v>40</v>
      </c>
      <c r="D431" s="4" t="s">
        <v>38</v>
      </c>
      <c r="E431" s="4" t="s">
        <v>25</v>
      </c>
      <c r="F431" s="4" t="s">
        <v>61</v>
      </c>
      <c r="G431" s="4" t="s">
        <v>25</v>
      </c>
      <c r="H431" s="4" t="s">
        <v>34</v>
      </c>
      <c r="I431" s="5">
        <v>44501</v>
      </c>
      <c r="J431" s="6">
        <v>16672</v>
      </c>
      <c r="K431" s="6">
        <v>7502.4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4" t="s">
        <v>58</v>
      </c>
      <c r="R431" s="4">
        <v>0</v>
      </c>
      <c r="S431" s="6">
        <v>18</v>
      </c>
      <c r="T431" s="6">
        <v>0</v>
      </c>
      <c r="U431" s="6">
        <v>0</v>
      </c>
      <c r="V431" s="6">
        <f>IF(ISERROR(VLOOKUP($S$431,'TAR FIN'!$A$1:$O$104,15,0)),0,VLOOKUP($S$431,'TAR FIN'!$A$1:$O$104,15,0))</f>
        <v>52.15</v>
      </c>
      <c r="W431" s="6">
        <f>IF(ISERROR(VLOOKUP($T$431,'TAR FIN'!$A$1:$O$104,15,0)),0,VLOOKUP($T$431,'TAR FIN'!$A$1:$O$104,15,0))</f>
        <v>0</v>
      </c>
      <c r="X431" s="6">
        <f>IF(ISERROR(VLOOKUP($U$431,'TAR FIN'!$A$1:$O$104,15,0)),0,VLOOKUP($U$431,'TAR FIN'!$A$1:$O$104,15,0))</f>
        <v>0</v>
      </c>
      <c r="Y431" s="6">
        <f ca="1">('TUSD BE'!$AM$13+'TUSD BF'!$AM$13+'TUSD CVA'!$AM$13)*1</f>
        <v>52.233673366014429</v>
      </c>
      <c r="Z431" s="6">
        <f ca="1">('TUSD BE'!$AM$15+'TUSD BF'!$AM$15+'TUSD CVA'!$AM$15)*1</f>
        <v>77.876201961015255</v>
      </c>
      <c r="AA431" s="6"/>
      <c r="AB431" s="6">
        <f>$K$431*$V$431</f>
        <v>391250.16</v>
      </c>
      <c r="AC431" s="6">
        <f>$M$431*$W$431</f>
        <v>0</v>
      </c>
      <c r="AD431" s="6">
        <f>$O$431*$X$431</f>
        <v>0</v>
      </c>
      <c r="AE431" s="6">
        <f ca="1">$K$431*$Y$431</f>
        <v>391877.91106118663</v>
      </c>
      <c r="AF431" s="6">
        <f ca="1">$M$431*$Z$431</f>
        <v>0</v>
      </c>
      <c r="AG431" s="6">
        <f>$O$431*$AA$431</f>
        <v>0</v>
      </c>
    </row>
    <row r="432" spans="1:33" ht="11.25" customHeight="1" x14ac:dyDescent="0.25">
      <c r="A432" s="4" t="s">
        <v>21</v>
      </c>
      <c r="B432" s="4" t="s">
        <v>41</v>
      </c>
      <c r="C432" s="4" t="s">
        <v>40</v>
      </c>
      <c r="D432" s="4" t="s">
        <v>38</v>
      </c>
      <c r="E432" s="4" t="s">
        <v>25</v>
      </c>
      <c r="F432" s="4" t="s">
        <v>61</v>
      </c>
      <c r="G432" s="4" t="s">
        <v>25</v>
      </c>
      <c r="H432" s="4" t="s">
        <v>34</v>
      </c>
      <c r="I432" s="5">
        <v>44531</v>
      </c>
      <c r="J432" s="6">
        <v>16924</v>
      </c>
      <c r="K432" s="6">
        <v>8292.76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4" t="s">
        <v>58</v>
      </c>
      <c r="R432" s="4">
        <v>0</v>
      </c>
      <c r="S432" s="6">
        <v>18</v>
      </c>
      <c r="T432" s="6">
        <v>0</v>
      </c>
      <c r="U432" s="6">
        <v>0</v>
      </c>
      <c r="V432" s="6">
        <f>IF(ISERROR(VLOOKUP($S$432,'TAR FIN'!$A$1:$O$104,15,0)),0,VLOOKUP($S$432,'TAR FIN'!$A$1:$O$104,15,0))</f>
        <v>52.15</v>
      </c>
      <c r="W432" s="6">
        <f>IF(ISERROR(VLOOKUP($T$432,'TAR FIN'!$A$1:$O$104,15,0)),0,VLOOKUP($T$432,'TAR FIN'!$A$1:$O$104,15,0))</f>
        <v>0</v>
      </c>
      <c r="X432" s="6">
        <f>IF(ISERROR(VLOOKUP($U$432,'TAR FIN'!$A$1:$O$104,15,0)),0,VLOOKUP($U$432,'TAR FIN'!$A$1:$O$104,15,0))</f>
        <v>0</v>
      </c>
      <c r="Y432" s="6">
        <f ca="1">('TUSD BE'!$AM$13+'TUSD BF'!$AM$13+'TUSD CVA'!$AM$13)*1</f>
        <v>52.233673366014429</v>
      </c>
      <c r="Z432" s="6">
        <f ca="1">('TUSD BE'!$AM$15+'TUSD BF'!$AM$15+'TUSD CVA'!$AM$15)*1</f>
        <v>77.876201961015255</v>
      </c>
      <c r="AA432" s="6"/>
      <c r="AB432" s="6">
        <f>$K$432*$V$432</f>
        <v>432467.43400000001</v>
      </c>
      <c r="AC432" s="6">
        <f>$M$432*$W$432</f>
        <v>0</v>
      </c>
      <c r="AD432" s="6">
        <f>$O$432*$X$432</f>
        <v>0</v>
      </c>
      <c r="AE432" s="6">
        <f ca="1">$K$432*$Y$432</f>
        <v>433161.31714274985</v>
      </c>
      <c r="AF432" s="6">
        <f ca="1">$M$432*$Z$432</f>
        <v>0</v>
      </c>
      <c r="AG432" s="6">
        <f>$O$432*$AA$432</f>
        <v>0</v>
      </c>
    </row>
    <row r="433" spans="1:33" ht="11.25" customHeight="1" x14ac:dyDescent="0.25">
      <c r="A433" s="4" t="s">
        <v>21</v>
      </c>
      <c r="B433" s="4" t="s">
        <v>41</v>
      </c>
      <c r="C433" s="4" t="s">
        <v>40</v>
      </c>
      <c r="D433" s="4" t="s">
        <v>38</v>
      </c>
      <c r="E433" s="4" t="s">
        <v>25</v>
      </c>
      <c r="F433" s="4" t="s">
        <v>61</v>
      </c>
      <c r="G433" s="4" t="s">
        <v>25</v>
      </c>
      <c r="H433" s="4" t="s">
        <v>34</v>
      </c>
      <c r="I433" s="5">
        <v>44562</v>
      </c>
      <c r="J433" s="6">
        <v>17070</v>
      </c>
      <c r="K433" s="6">
        <v>8364.2999999999993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4" t="s">
        <v>58</v>
      </c>
      <c r="R433" s="4">
        <v>0</v>
      </c>
      <c r="S433" s="6">
        <v>18</v>
      </c>
      <c r="T433" s="6">
        <v>0</v>
      </c>
      <c r="U433" s="6">
        <v>0</v>
      </c>
      <c r="V433" s="6">
        <f>IF(ISERROR(VLOOKUP($S$433,'TAR FIN'!$A$1:$O$104,15,0)),0,VLOOKUP($S$433,'TAR FIN'!$A$1:$O$104,15,0))</f>
        <v>52.15</v>
      </c>
      <c r="W433" s="6">
        <f>IF(ISERROR(VLOOKUP($T$433,'TAR FIN'!$A$1:$O$104,15,0)),0,VLOOKUP($T$433,'TAR FIN'!$A$1:$O$104,15,0))</f>
        <v>0</v>
      </c>
      <c r="X433" s="6">
        <f>IF(ISERROR(VLOOKUP($U$433,'TAR FIN'!$A$1:$O$104,15,0)),0,VLOOKUP($U$433,'TAR FIN'!$A$1:$O$104,15,0))</f>
        <v>0</v>
      </c>
      <c r="Y433" s="6">
        <f ca="1">('TUSD BE'!$AM$13+'TUSD BF'!$AM$13+'TUSD CVA'!$AM$13)*1</f>
        <v>52.233673366014429</v>
      </c>
      <c r="Z433" s="6">
        <f ca="1">('TUSD BE'!$AM$15+'TUSD BF'!$AM$15+'TUSD CVA'!$AM$15)*1</f>
        <v>77.876201961015255</v>
      </c>
      <c r="AA433" s="6"/>
      <c r="AB433" s="6">
        <f>$K$433*$V$433</f>
        <v>436198.24499999994</v>
      </c>
      <c r="AC433" s="6">
        <f>$M$433*$W$433</f>
        <v>0</v>
      </c>
      <c r="AD433" s="6">
        <f>$O$433*$X$433</f>
        <v>0</v>
      </c>
      <c r="AE433" s="6">
        <f ca="1">$K$433*$Y$433</f>
        <v>436898.11413535447</v>
      </c>
      <c r="AF433" s="6">
        <f ca="1">$M$433*$Z$433</f>
        <v>0</v>
      </c>
      <c r="AG433" s="6">
        <f>$O$433*$AA$433</f>
        <v>0</v>
      </c>
    </row>
    <row r="434" spans="1:33" ht="11.25" customHeight="1" x14ac:dyDescent="0.25">
      <c r="A434" s="4" t="s">
        <v>21</v>
      </c>
      <c r="B434" s="4" t="s">
        <v>41</v>
      </c>
      <c r="C434" s="4" t="s">
        <v>40</v>
      </c>
      <c r="D434" s="4" t="s">
        <v>38</v>
      </c>
      <c r="E434" s="4" t="s">
        <v>25</v>
      </c>
      <c r="F434" s="4" t="s">
        <v>61</v>
      </c>
      <c r="G434" s="4" t="s">
        <v>25</v>
      </c>
      <c r="H434" s="4" t="s">
        <v>34</v>
      </c>
      <c r="I434" s="5">
        <v>44593</v>
      </c>
      <c r="J434" s="6">
        <v>17129</v>
      </c>
      <c r="K434" s="6">
        <v>8393.2099999999991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4" t="s">
        <v>58</v>
      </c>
      <c r="R434" s="4">
        <v>0</v>
      </c>
      <c r="S434" s="6">
        <v>18</v>
      </c>
      <c r="T434" s="6">
        <v>0</v>
      </c>
      <c r="U434" s="6">
        <v>0</v>
      </c>
      <c r="V434" s="6">
        <f>IF(ISERROR(VLOOKUP($S$434,'TAR FIN'!$A$1:$O$104,15,0)),0,VLOOKUP($S$434,'TAR FIN'!$A$1:$O$104,15,0))</f>
        <v>52.15</v>
      </c>
      <c r="W434" s="6">
        <f>IF(ISERROR(VLOOKUP($T$434,'TAR FIN'!$A$1:$O$104,15,0)),0,VLOOKUP($T$434,'TAR FIN'!$A$1:$O$104,15,0))</f>
        <v>0</v>
      </c>
      <c r="X434" s="6">
        <f>IF(ISERROR(VLOOKUP($U$434,'TAR FIN'!$A$1:$O$104,15,0)),0,VLOOKUP($U$434,'TAR FIN'!$A$1:$O$104,15,0))</f>
        <v>0</v>
      </c>
      <c r="Y434" s="6">
        <f ca="1">('TUSD BE'!$AM$13+'TUSD BF'!$AM$13+'TUSD CVA'!$AM$13)*1</f>
        <v>52.233673366014429</v>
      </c>
      <c r="Z434" s="6">
        <f ca="1">('TUSD BE'!$AM$15+'TUSD BF'!$AM$15+'TUSD CVA'!$AM$15)*1</f>
        <v>77.876201961015255</v>
      </c>
      <c r="AA434" s="6"/>
      <c r="AB434" s="6">
        <f>$K$434*$V$434</f>
        <v>437705.90149999992</v>
      </c>
      <c r="AC434" s="6">
        <f>$M$434*$W$434</f>
        <v>0</v>
      </c>
      <c r="AD434" s="6">
        <f>$O$434*$X$434</f>
        <v>0</v>
      </c>
      <c r="AE434" s="6">
        <f ca="1">$K$434*$Y$434</f>
        <v>438408.18963236595</v>
      </c>
      <c r="AF434" s="6">
        <f ca="1">$M$434*$Z$434</f>
        <v>0</v>
      </c>
      <c r="AG434" s="6">
        <f>$O$434*$AA$434</f>
        <v>0</v>
      </c>
    </row>
    <row r="435" spans="1:33" ht="11.25" customHeight="1" x14ac:dyDescent="0.25">
      <c r="A435" s="4" t="s">
        <v>21</v>
      </c>
      <c r="B435" s="4" t="s">
        <v>41</v>
      </c>
      <c r="C435" s="4" t="s">
        <v>40</v>
      </c>
      <c r="D435" s="4" t="s">
        <v>38</v>
      </c>
      <c r="E435" s="4" t="s">
        <v>25</v>
      </c>
      <c r="F435" s="4" t="s">
        <v>61</v>
      </c>
      <c r="G435" s="4" t="s">
        <v>25</v>
      </c>
      <c r="H435" s="4" t="s">
        <v>34</v>
      </c>
      <c r="I435" s="5">
        <v>44621</v>
      </c>
      <c r="J435" s="6">
        <v>17115</v>
      </c>
      <c r="K435" s="6">
        <v>8386.35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4" t="s">
        <v>58</v>
      </c>
      <c r="R435" s="4">
        <v>0</v>
      </c>
      <c r="S435" s="6">
        <v>18</v>
      </c>
      <c r="T435" s="6">
        <v>0</v>
      </c>
      <c r="U435" s="6">
        <v>0</v>
      </c>
      <c r="V435" s="6">
        <f>IF(ISERROR(VLOOKUP($S$435,'TAR FIN'!$A$1:$O$104,15,0)),0,VLOOKUP($S$435,'TAR FIN'!$A$1:$O$104,15,0))</f>
        <v>52.15</v>
      </c>
      <c r="W435" s="6">
        <f>IF(ISERROR(VLOOKUP($T$435,'TAR FIN'!$A$1:$O$104,15,0)),0,VLOOKUP($T$435,'TAR FIN'!$A$1:$O$104,15,0))</f>
        <v>0</v>
      </c>
      <c r="X435" s="6">
        <f>IF(ISERROR(VLOOKUP($U$435,'TAR FIN'!$A$1:$O$104,15,0)),0,VLOOKUP($U$435,'TAR FIN'!$A$1:$O$104,15,0))</f>
        <v>0</v>
      </c>
      <c r="Y435" s="6">
        <f ca="1">('TUSD BE'!$AM$13+'TUSD BF'!$AM$13+'TUSD CVA'!$AM$13)*1</f>
        <v>52.233673366014429</v>
      </c>
      <c r="Z435" s="6">
        <f ca="1">('TUSD BE'!$AM$15+'TUSD BF'!$AM$15+'TUSD CVA'!$AM$15)*1</f>
        <v>77.876201961015255</v>
      </c>
      <c r="AA435" s="6"/>
      <c r="AB435" s="6">
        <f>$K$435*$V$435</f>
        <v>437348.15250000003</v>
      </c>
      <c r="AC435" s="6">
        <f>$M$435*$W$435</f>
        <v>0</v>
      </c>
      <c r="AD435" s="6">
        <f>$O$435*$X$435</f>
        <v>0</v>
      </c>
      <c r="AE435" s="6">
        <f ca="1">$K$435*$Y$435</f>
        <v>438049.86663307511</v>
      </c>
      <c r="AF435" s="6">
        <f ca="1">$M$435*$Z$435</f>
        <v>0</v>
      </c>
      <c r="AG435" s="6">
        <f>$O$435*$AA$435</f>
        <v>0</v>
      </c>
    </row>
    <row r="436" spans="1:33" ht="11.25" customHeight="1" x14ac:dyDescent="0.25">
      <c r="A436" s="4" t="s">
        <v>21</v>
      </c>
      <c r="B436" s="4" t="s">
        <v>41</v>
      </c>
      <c r="C436" s="4" t="s">
        <v>40</v>
      </c>
      <c r="D436" s="4" t="s">
        <v>38</v>
      </c>
      <c r="E436" s="4" t="s">
        <v>25</v>
      </c>
      <c r="F436" s="4" t="s">
        <v>61</v>
      </c>
      <c r="G436" s="4" t="s">
        <v>25</v>
      </c>
      <c r="H436" s="4" t="s">
        <v>34</v>
      </c>
      <c r="I436" s="5">
        <v>44652</v>
      </c>
      <c r="J436" s="6">
        <v>17674</v>
      </c>
      <c r="K436" s="6">
        <v>9190.48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4" t="s">
        <v>58</v>
      </c>
      <c r="R436" s="4">
        <v>0</v>
      </c>
      <c r="S436" s="6">
        <v>18</v>
      </c>
      <c r="T436" s="6">
        <v>0</v>
      </c>
      <c r="U436" s="6">
        <v>0</v>
      </c>
      <c r="V436" s="6">
        <f>IF(ISERROR(VLOOKUP($S$436,'TAR FIN'!$A$1:$O$104,15,0)),0,VLOOKUP($S$436,'TAR FIN'!$A$1:$O$104,15,0))</f>
        <v>52.15</v>
      </c>
      <c r="W436" s="6">
        <f>IF(ISERROR(VLOOKUP($T$436,'TAR FIN'!$A$1:$O$104,15,0)),0,VLOOKUP($T$436,'TAR FIN'!$A$1:$O$104,15,0))</f>
        <v>0</v>
      </c>
      <c r="X436" s="6">
        <f>IF(ISERROR(VLOOKUP($U$436,'TAR FIN'!$A$1:$O$104,15,0)),0,VLOOKUP($U$436,'TAR FIN'!$A$1:$O$104,15,0))</f>
        <v>0</v>
      </c>
      <c r="Y436" s="6">
        <f ca="1">('TUSD BE'!$AM$13+'TUSD BF'!$AM$13+'TUSD CVA'!$AM$13)*1</f>
        <v>52.233673366014429</v>
      </c>
      <c r="Z436" s="6">
        <f ca="1">('TUSD BE'!$AM$15+'TUSD BF'!$AM$15+'TUSD CVA'!$AM$15)*1</f>
        <v>77.876201961015255</v>
      </c>
      <c r="AA436" s="6"/>
      <c r="AB436" s="6">
        <f>$K$436*$V$436</f>
        <v>479283.53199999995</v>
      </c>
      <c r="AC436" s="6">
        <f>$M$436*$W$436</f>
        <v>0</v>
      </c>
      <c r="AD436" s="6">
        <f>$O$436*$X$436</f>
        <v>0</v>
      </c>
      <c r="AE436" s="6">
        <f ca="1">$K$436*$Y$436</f>
        <v>480052.53039688827</v>
      </c>
      <c r="AF436" s="6">
        <f ca="1">$M$436*$Z$436</f>
        <v>0</v>
      </c>
      <c r="AG436" s="6">
        <f>$O$436*$AA$436</f>
        <v>0</v>
      </c>
    </row>
    <row r="437" spans="1:33" ht="11.25" customHeight="1" x14ac:dyDescent="0.25">
      <c r="A437" s="4" t="s">
        <v>27</v>
      </c>
      <c r="B437" s="4" t="s">
        <v>41</v>
      </c>
      <c r="C437" s="4" t="s">
        <v>40</v>
      </c>
      <c r="D437" s="4" t="s">
        <v>38</v>
      </c>
      <c r="E437" s="4" t="s">
        <v>25</v>
      </c>
      <c r="F437" s="4" t="s">
        <v>61</v>
      </c>
      <c r="G437" s="4" t="s">
        <v>25</v>
      </c>
      <c r="H437" s="4" t="s">
        <v>34</v>
      </c>
      <c r="I437" s="5">
        <v>44652</v>
      </c>
      <c r="J437" s="6">
        <v>1218</v>
      </c>
      <c r="K437" s="6">
        <v>1218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4" t="s">
        <v>58</v>
      </c>
      <c r="R437" s="4">
        <v>0</v>
      </c>
      <c r="S437" s="6">
        <v>18</v>
      </c>
      <c r="T437" s="6">
        <v>0</v>
      </c>
      <c r="U437" s="6">
        <v>0</v>
      </c>
      <c r="V437" s="6">
        <f>IF(ISERROR(VLOOKUP($S$437,'TAR FIN'!$A$1:$O$104,15,0)),0,VLOOKUP($S$437,'TAR FIN'!$A$1:$O$104,15,0))</f>
        <v>52.15</v>
      </c>
      <c r="W437" s="6">
        <f>IF(ISERROR(VLOOKUP($T$437,'TAR FIN'!$A$1:$O$104,15,0)),0,VLOOKUP($T$437,'TAR FIN'!$A$1:$O$104,15,0))</f>
        <v>0</v>
      </c>
      <c r="X437" s="6">
        <f>IF(ISERROR(VLOOKUP($U$437,'TAR FIN'!$A$1:$O$104,15,0)),0,VLOOKUP($U$437,'TAR FIN'!$A$1:$O$104,15,0))</f>
        <v>0</v>
      </c>
      <c r="Y437" s="6">
        <f ca="1">('TUSD BE'!$AM$13+'TUSD BF'!$AM$13+'TUSD CVA'!$AM$13)*1</f>
        <v>52.233673366014429</v>
      </c>
      <c r="Z437" s="6">
        <f ca="1">('TUSD BE'!$AM$15+'TUSD BF'!$AM$15+'TUSD CVA'!$AM$15)*1</f>
        <v>77.876201961015255</v>
      </c>
      <c r="AA437" s="6"/>
      <c r="AB437" s="6">
        <f>$K$437*$V$437</f>
        <v>63518.7</v>
      </c>
      <c r="AC437" s="6">
        <f>$M$437*$W$437</f>
        <v>0</v>
      </c>
      <c r="AD437" s="6">
        <f>$O$437*$X$437</f>
        <v>0</v>
      </c>
      <c r="AE437" s="6">
        <f ca="1">$K$437*$Y$437</f>
        <v>63620.614159805576</v>
      </c>
      <c r="AF437" s="6">
        <f ca="1">$M$437*$Z$437</f>
        <v>0</v>
      </c>
      <c r="AG437" s="6">
        <f>$O$437*$AA$437</f>
        <v>0</v>
      </c>
    </row>
    <row r="438" spans="1:33" ht="11.25" customHeight="1" x14ac:dyDescent="0.25">
      <c r="A438" s="4" t="s">
        <v>21</v>
      </c>
      <c r="B438" s="4" t="s">
        <v>41</v>
      </c>
      <c r="C438" s="4" t="s">
        <v>40</v>
      </c>
      <c r="D438" s="4" t="s">
        <v>38</v>
      </c>
      <c r="E438" s="4" t="s">
        <v>25</v>
      </c>
      <c r="F438" s="4" t="s">
        <v>61</v>
      </c>
      <c r="G438" s="4" t="s">
        <v>25</v>
      </c>
      <c r="H438" s="4" t="s">
        <v>34</v>
      </c>
      <c r="I438" s="5">
        <v>44682</v>
      </c>
      <c r="J438" s="6">
        <v>17739</v>
      </c>
      <c r="K438" s="6">
        <v>9224.2800000000007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4" t="s">
        <v>58</v>
      </c>
      <c r="R438" s="4">
        <v>0</v>
      </c>
      <c r="S438" s="6">
        <v>18</v>
      </c>
      <c r="T438" s="6">
        <v>0</v>
      </c>
      <c r="U438" s="6">
        <v>0</v>
      </c>
      <c r="V438" s="6">
        <f>IF(ISERROR(VLOOKUP($S$438,'TAR FIN'!$A$1:$O$104,15,0)),0,VLOOKUP($S$438,'TAR FIN'!$A$1:$O$104,15,0))</f>
        <v>52.15</v>
      </c>
      <c r="W438" s="6">
        <f>IF(ISERROR(VLOOKUP($T$438,'TAR FIN'!$A$1:$O$104,15,0)),0,VLOOKUP($T$438,'TAR FIN'!$A$1:$O$104,15,0))</f>
        <v>0</v>
      </c>
      <c r="X438" s="6">
        <f>IF(ISERROR(VLOOKUP($U$438,'TAR FIN'!$A$1:$O$104,15,0)),0,VLOOKUP($U$438,'TAR FIN'!$A$1:$O$104,15,0))</f>
        <v>0</v>
      </c>
      <c r="Y438" s="6">
        <f ca="1">('TUSD BE'!$AM$13+'TUSD BF'!$AM$13+'TUSD CVA'!$AM$13)*1</f>
        <v>52.233673366014429</v>
      </c>
      <c r="Z438" s="6">
        <f ca="1">('TUSD BE'!$AM$15+'TUSD BF'!$AM$15+'TUSD CVA'!$AM$15)*1</f>
        <v>77.876201961015255</v>
      </c>
      <c r="AA438" s="6"/>
      <c r="AB438" s="6">
        <f>$K$438*$V$438</f>
        <v>481046.20200000005</v>
      </c>
      <c r="AC438" s="6">
        <f>$M$438*$W$438</f>
        <v>0</v>
      </c>
      <c r="AD438" s="6">
        <f>$O$438*$X$438</f>
        <v>0</v>
      </c>
      <c r="AE438" s="6">
        <f ca="1">$K$438*$Y$438</f>
        <v>481818.02855665958</v>
      </c>
      <c r="AF438" s="6">
        <f ca="1">$M$438*$Z$438</f>
        <v>0</v>
      </c>
      <c r="AG438" s="6">
        <f>$O$438*$AA$438</f>
        <v>0</v>
      </c>
    </row>
    <row r="439" spans="1:33" ht="11.25" customHeight="1" x14ac:dyDescent="0.25">
      <c r="A439" s="4" t="s">
        <v>21</v>
      </c>
      <c r="B439" s="4" t="s">
        <v>41</v>
      </c>
      <c r="C439" s="4" t="s">
        <v>40</v>
      </c>
      <c r="D439" s="4" t="s">
        <v>38</v>
      </c>
      <c r="E439" s="4" t="s">
        <v>25</v>
      </c>
      <c r="F439" s="4" t="s">
        <v>61</v>
      </c>
      <c r="G439" s="4" t="s">
        <v>25</v>
      </c>
      <c r="H439" s="4" t="s">
        <v>34</v>
      </c>
      <c r="I439" s="5">
        <v>44713</v>
      </c>
      <c r="J439" s="6">
        <v>18007</v>
      </c>
      <c r="K439" s="6">
        <v>9363.64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4" t="s">
        <v>58</v>
      </c>
      <c r="R439" s="4">
        <v>0</v>
      </c>
      <c r="S439" s="6">
        <v>18</v>
      </c>
      <c r="T439" s="6">
        <v>0</v>
      </c>
      <c r="U439" s="6">
        <v>0</v>
      </c>
      <c r="V439" s="6">
        <f>IF(ISERROR(VLOOKUP($S$439,'TAR FIN'!$A$1:$O$104,15,0)),0,VLOOKUP($S$439,'TAR FIN'!$A$1:$O$104,15,0))</f>
        <v>52.15</v>
      </c>
      <c r="W439" s="6">
        <f>IF(ISERROR(VLOOKUP($T$439,'TAR FIN'!$A$1:$O$104,15,0)),0,VLOOKUP($T$439,'TAR FIN'!$A$1:$O$104,15,0))</f>
        <v>0</v>
      </c>
      <c r="X439" s="6">
        <f>IF(ISERROR(VLOOKUP($U$439,'TAR FIN'!$A$1:$O$104,15,0)),0,VLOOKUP($U$439,'TAR FIN'!$A$1:$O$104,15,0))</f>
        <v>0</v>
      </c>
      <c r="Y439" s="6">
        <f ca="1">('TUSD BE'!$AM$13+'TUSD BF'!$AM$13+'TUSD CVA'!$AM$13)*1</f>
        <v>52.233673366014429</v>
      </c>
      <c r="Z439" s="6">
        <f ca="1">('TUSD BE'!$AM$15+'TUSD BF'!$AM$15+'TUSD CVA'!$AM$15)*1</f>
        <v>77.876201961015255</v>
      </c>
      <c r="AA439" s="6"/>
      <c r="AB439" s="6">
        <f>$K$439*$V$439</f>
        <v>488313.82599999994</v>
      </c>
      <c r="AC439" s="6">
        <f>$M$439*$W$439</f>
        <v>0</v>
      </c>
      <c r="AD439" s="6">
        <f>$O$439*$X$439</f>
        <v>0</v>
      </c>
      <c r="AE439" s="6">
        <f ca="1">$K$439*$Y$439</f>
        <v>489097.3132769473</v>
      </c>
      <c r="AF439" s="6">
        <f ca="1">$M$439*$Z$439</f>
        <v>0</v>
      </c>
      <c r="AG439" s="6">
        <f>$O$439*$AA$439</f>
        <v>0</v>
      </c>
    </row>
    <row r="440" spans="1:33" ht="11.25" customHeight="1" x14ac:dyDescent="0.25">
      <c r="A440" s="4" t="s">
        <v>57</v>
      </c>
      <c r="B440" s="4" t="s">
        <v>41</v>
      </c>
      <c r="C440" s="4" t="s">
        <v>40</v>
      </c>
      <c r="D440" s="4" t="s">
        <v>38</v>
      </c>
      <c r="E440" s="4" t="s">
        <v>25</v>
      </c>
      <c r="F440" s="4" t="s">
        <v>61</v>
      </c>
      <c r="G440" s="4" t="s">
        <v>25</v>
      </c>
      <c r="H440" s="4" t="s">
        <v>34</v>
      </c>
      <c r="I440" s="5">
        <v>44743</v>
      </c>
      <c r="J440" s="6">
        <v>18007</v>
      </c>
      <c r="K440" s="6">
        <v>9363.64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4" t="s">
        <v>58</v>
      </c>
      <c r="R440" s="4">
        <v>0</v>
      </c>
      <c r="S440" s="6">
        <v>18</v>
      </c>
      <c r="T440" s="6">
        <v>0</v>
      </c>
      <c r="U440" s="6">
        <v>0</v>
      </c>
      <c r="V440" s="6">
        <f>IF(ISERROR(VLOOKUP($S$440,'TAR FIN'!$A$1:$O$104,15,0)),0,VLOOKUP($S$440,'TAR FIN'!$A$1:$O$104,15,0))</f>
        <v>52.15</v>
      </c>
      <c r="W440" s="6">
        <f>IF(ISERROR(VLOOKUP($T$440,'TAR FIN'!$A$1:$O$104,15,0)),0,VLOOKUP($T$440,'TAR FIN'!$A$1:$O$104,15,0))</f>
        <v>0</v>
      </c>
      <c r="X440" s="6">
        <f>IF(ISERROR(VLOOKUP($U$440,'TAR FIN'!$A$1:$O$104,15,0)),0,VLOOKUP($U$440,'TAR FIN'!$A$1:$O$104,15,0))</f>
        <v>0</v>
      </c>
      <c r="Y440" s="6">
        <f ca="1">('TUSD BE'!$AM$13+'TUSD BF'!$AM$13+'TUSD CVA'!$AM$13)*1</f>
        <v>52.233673366014429</v>
      </c>
      <c r="Z440" s="6">
        <f ca="1">('TUSD BE'!$AM$15+'TUSD BF'!$AM$15+'TUSD CVA'!$AM$15)*1</f>
        <v>77.876201961015255</v>
      </c>
      <c r="AA440" s="6"/>
      <c r="AB440" s="6">
        <f>$K$440*$V$440</f>
        <v>488313.82599999994</v>
      </c>
      <c r="AC440" s="6">
        <f>$M$440*$W$440</f>
        <v>0</v>
      </c>
      <c r="AD440" s="6">
        <f>$O$440*$X$440</f>
        <v>0</v>
      </c>
      <c r="AE440" s="6">
        <f ca="1">$K$440*$Y$440</f>
        <v>489097.3132769473</v>
      </c>
      <c r="AF440" s="6">
        <f ca="1">$M$440*$Z$440</f>
        <v>0</v>
      </c>
      <c r="AG440" s="6">
        <f>$O$440*$AA$440</f>
        <v>0</v>
      </c>
    </row>
    <row r="441" spans="1:33" ht="11.25" customHeight="1" x14ac:dyDescent="0.25">
      <c r="A441" s="4" t="s">
        <v>21</v>
      </c>
      <c r="B441" s="4" t="s">
        <v>41</v>
      </c>
      <c r="C441" s="4" t="s">
        <v>40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35</v>
      </c>
      <c r="I441" s="5">
        <v>44409</v>
      </c>
      <c r="J441" s="6">
        <v>1215</v>
      </c>
      <c r="K441" s="6">
        <v>1215</v>
      </c>
      <c r="L441" s="6">
        <v>164.822</v>
      </c>
      <c r="M441" s="6">
        <v>164.822</v>
      </c>
      <c r="N441" s="6">
        <v>164.822</v>
      </c>
      <c r="O441" s="6">
        <v>164.822</v>
      </c>
      <c r="P441" s="6">
        <v>0</v>
      </c>
      <c r="Q441" s="4" t="s">
        <v>26</v>
      </c>
      <c r="R441" s="4">
        <v>0</v>
      </c>
      <c r="S441" s="6">
        <v>20</v>
      </c>
      <c r="T441" s="6">
        <v>22</v>
      </c>
      <c r="U441" s="6">
        <v>67</v>
      </c>
      <c r="V441" s="6">
        <f>IF(ISERROR(VLOOKUP($S$441,'TAR FIN'!$A$1:$O$104,15,0)),0,VLOOKUP($S$441,'TAR FIN'!$A$1:$O$104,15,0))</f>
        <v>26.22</v>
      </c>
      <c r="W441" s="6">
        <f>IF(ISERROR(VLOOKUP($T$441,'TAR FIN'!$A$1:$O$104,15,0)),0,VLOOKUP($T$441,'TAR FIN'!$A$1:$O$104,15,0))</f>
        <v>62.57</v>
      </c>
      <c r="X441" s="6">
        <f>IF(ISERROR(VLOOKUP($U$441,'TAR FIN'!$A$1:$O$104,15,0)),0,VLOOKUP($U$441,'TAR FIN'!$A$1:$O$104,15,0))</f>
        <v>242.82</v>
      </c>
      <c r="Y441" s="6">
        <f ca="1">('TUSD BE'!$AM$14+'TUSD BF'!$AM$14+'TUSD CVA'!$AM$14)*1</f>
        <v>26.280164278980507</v>
      </c>
      <c r="Z441" s="6">
        <f ca="1">('TUSD BE'!$AM$15+'TUSD BF'!$AM$15+'TUSD CVA'!$AM$15)*1</f>
        <v>77.876201961015255</v>
      </c>
      <c r="AA441" s="6">
        <f>('TE BE'!$AB$8+'TE BF'!$AB$8+'TE CVA'!$AB$8)*1</f>
        <v>231.76257384332172</v>
      </c>
      <c r="AB441" s="6">
        <f>$K$441*$V$441</f>
        <v>31857.3</v>
      </c>
      <c r="AC441" s="6">
        <f>$M$441*$W$441</f>
        <v>10312.912539999999</v>
      </c>
      <c r="AD441" s="6">
        <f>$O$441*$X$441</f>
        <v>40022.07804</v>
      </c>
      <c r="AE441" s="6">
        <f ca="1">$K$441*$Y$441</f>
        <v>31930.399598961318</v>
      </c>
      <c r="AF441" s="6">
        <f ca="1">$M$441*$Z$441</f>
        <v>12835.711359618457</v>
      </c>
      <c r="AG441" s="6">
        <f>$O$441*$AA$441</f>
        <v>38199.570946003972</v>
      </c>
    </row>
    <row r="442" spans="1:33" ht="11.25" customHeight="1" x14ac:dyDescent="0.25">
      <c r="A442" s="4" t="s">
        <v>28</v>
      </c>
      <c r="B442" s="4" t="s">
        <v>41</v>
      </c>
      <c r="C442" s="4" t="s">
        <v>40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35</v>
      </c>
      <c r="I442" s="5">
        <v>44409</v>
      </c>
      <c r="J442" s="6">
        <v>230</v>
      </c>
      <c r="K442" s="6">
        <v>230</v>
      </c>
      <c r="L442" s="6">
        <v>1.44</v>
      </c>
      <c r="M442" s="6">
        <v>1.44</v>
      </c>
      <c r="N442" s="6">
        <v>1.44</v>
      </c>
      <c r="O442" s="6">
        <v>1.44</v>
      </c>
      <c r="P442" s="6">
        <v>0</v>
      </c>
      <c r="Q442" s="4" t="s">
        <v>26</v>
      </c>
      <c r="R442" s="4">
        <v>0</v>
      </c>
      <c r="S442" s="6">
        <v>20</v>
      </c>
      <c r="T442" s="6">
        <v>22</v>
      </c>
      <c r="U442" s="6">
        <v>67</v>
      </c>
      <c r="V442" s="6">
        <f>IF(ISERROR(VLOOKUP($S$442,'TAR FIN'!$A$1:$O$104,15,0)),0,VLOOKUP($S$442,'TAR FIN'!$A$1:$O$104,15,0))</f>
        <v>26.22</v>
      </c>
      <c r="W442" s="6">
        <f>IF(ISERROR(VLOOKUP($T$442,'TAR FIN'!$A$1:$O$104,15,0)),0,VLOOKUP($T$442,'TAR FIN'!$A$1:$O$104,15,0))</f>
        <v>62.57</v>
      </c>
      <c r="X442" s="6">
        <f>IF(ISERROR(VLOOKUP($U$442,'TAR FIN'!$A$1:$O$104,15,0)),0,VLOOKUP($U$442,'TAR FIN'!$A$1:$O$104,15,0))</f>
        <v>242.82</v>
      </c>
      <c r="Y442" s="6">
        <f ca="1">('TUSD BE'!$AM$14+'TUSD BF'!$AM$14+'TUSD CVA'!$AM$14)*1</f>
        <v>26.280164278980507</v>
      </c>
      <c r="Z442" s="6">
        <f ca="1">('TUSD BE'!$AM$15+'TUSD BF'!$AM$15+'TUSD CVA'!$AM$15)*1</f>
        <v>77.876201961015255</v>
      </c>
      <c r="AA442" s="6">
        <f>('TE BE'!$AB$8+'TE BF'!$AB$8+'TE CVA'!$AB$8)*1</f>
        <v>231.76257384332172</v>
      </c>
      <c r="AB442" s="6">
        <f>$K$442*$V$442</f>
        <v>6030.5999999999995</v>
      </c>
      <c r="AC442" s="6">
        <f>$M$442*$W$442</f>
        <v>90.100799999999992</v>
      </c>
      <c r="AD442" s="6">
        <f>$O$442*$X$442</f>
        <v>349.66079999999999</v>
      </c>
      <c r="AE442" s="6">
        <f ca="1">$K$442*$Y$442</f>
        <v>6044.4377841655169</v>
      </c>
      <c r="AF442" s="6">
        <f ca="1">$M$442*$Z$442</f>
        <v>112.14173082386196</v>
      </c>
      <c r="AG442" s="6">
        <f>$O$442*$AA$442</f>
        <v>333.73810633438325</v>
      </c>
    </row>
    <row r="443" spans="1:33" ht="11.25" customHeight="1" x14ac:dyDescent="0.25">
      <c r="A443" s="4" t="s">
        <v>21</v>
      </c>
      <c r="B443" s="4" t="s">
        <v>41</v>
      </c>
      <c r="C443" s="4" t="s">
        <v>40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35</v>
      </c>
      <c r="I443" s="5">
        <v>44409</v>
      </c>
      <c r="J443" s="6">
        <v>3413</v>
      </c>
      <c r="K443" s="6">
        <v>3413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4" t="s">
        <v>58</v>
      </c>
      <c r="R443" s="4">
        <v>0</v>
      </c>
      <c r="S443" s="6">
        <v>20</v>
      </c>
      <c r="T443" s="6">
        <v>0</v>
      </c>
      <c r="U443" s="6">
        <v>0</v>
      </c>
      <c r="V443" s="6">
        <f>IF(ISERROR(VLOOKUP($S$443,'TAR FIN'!$A$1:$O$104,15,0)),0,VLOOKUP($S$443,'TAR FIN'!$A$1:$O$104,15,0))</f>
        <v>26.22</v>
      </c>
      <c r="W443" s="6">
        <f>IF(ISERROR(VLOOKUP($T$443,'TAR FIN'!$A$1:$O$104,15,0)),0,VLOOKUP($T$443,'TAR FIN'!$A$1:$O$104,15,0))</f>
        <v>0</v>
      </c>
      <c r="X443" s="6">
        <f>IF(ISERROR(VLOOKUP($U$443,'TAR FIN'!$A$1:$O$104,15,0)),0,VLOOKUP($U$443,'TAR FIN'!$A$1:$O$104,15,0))</f>
        <v>0</v>
      </c>
      <c r="Y443" s="6">
        <f ca="1">('TUSD BE'!$AM$14+'TUSD BF'!$AM$14+'TUSD CVA'!$AM$14)*1</f>
        <v>26.280164278980507</v>
      </c>
      <c r="Z443" s="6">
        <f ca="1">('TUSD BE'!$AM$15+'TUSD BF'!$AM$15+'TUSD CVA'!$AM$15)*1</f>
        <v>77.876201961015255</v>
      </c>
      <c r="AA443" s="6"/>
      <c r="AB443" s="6">
        <f>$K$443*$V$443</f>
        <v>89488.86</v>
      </c>
      <c r="AC443" s="6">
        <f>$M$443*$W$443</f>
        <v>0</v>
      </c>
      <c r="AD443" s="6">
        <f>$O$443*$X$443</f>
        <v>0</v>
      </c>
      <c r="AE443" s="6">
        <f ca="1">$K$443*$Y$443</f>
        <v>89694.200684160474</v>
      </c>
      <c r="AF443" s="6">
        <f ca="1">$M$443*$Z$443</f>
        <v>0</v>
      </c>
      <c r="AG443" s="6">
        <f>$O$443*$AA$443</f>
        <v>0</v>
      </c>
    </row>
    <row r="444" spans="1:33" ht="11.25" customHeight="1" x14ac:dyDescent="0.25">
      <c r="A444" s="4" t="s">
        <v>21</v>
      </c>
      <c r="B444" s="4" t="s">
        <v>41</v>
      </c>
      <c r="C444" s="4" t="s">
        <v>40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35</v>
      </c>
      <c r="I444" s="5">
        <v>44440</v>
      </c>
      <c r="J444" s="6">
        <v>1265</v>
      </c>
      <c r="K444" s="6">
        <v>1265</v>
      </c>
      <c r="L444" s="6">
        <v>207.13399999999999</v>
      </c>
      <c r="M444" s="6">
        <v>207.13399999999999</v>
      </c>
      <c r="N444" s="6">
        <v>207.13399999999999</v>
      </c>
      <c r="O444" s="6">
        <v>207.13399999999999</v>
      </c>
      <c r="P444" s="6">
        <v>0</v>
      </c>
      <c r="Q444" s="4" t="s">
        <v>26</v>
      </c>
      <c r="R444" s="4">
        <v>0</v>
      </c>
      <c r="S444" s="6">
        <v>20</v>
      </c>
      <c r="T444" s="6">
        <v>22</v>
      </c>
      <c r="U444" s="6">
        <v>67</v>
      </c>
      <c r="V444" s="6">
        <f>IF(ISERROR(VLOOKUP($S$444,'TAR FIN'!$A$1:$O$104,15,0)),0,VLOOKUP($S$444,'TAR FIN'!$A$1:$O$104,15,0))</f>
        <v>26.22</v>
      </c>
      <c r="W444" s="6">
        <f>IF(ISERROR(VLOOKUP($T$444,'TAR FIN'!$A$1:$O$104,15,0)),0,VLOOKUP($T$444,'TAR FIN'!$A$1:$O$104,15,0))</f>
        <v>62.57</v>
      </c>
      <c r="X444" s="6">
        <f>IF(ISERROR(VLOOKUP($U$444,'TAR FIN'!$A$1:$O$104,15,0)),0,VLOOKUP($U$444,'TAR FIN'!$A$1:$O$104,15,0))</f>
        <v>242.82</v>
      </c>
      <c r="Y444" s="6">
        <f ca="1">('TUSD BE'!$AM$14+'TUSD BF'!$AM$14+'TUSD CVA'!$AM$14)*1</f>
        <v>26.280164278980507</v>
      </c>
      <c r="Z444" s="6">
        <f ca="1">('TUSD BE'!$AM$15+'TUSD BF'!$AM$15+'TUSD CVA'!$AM$15)*1</f>
        <v>77.876201961015255</v>
      </c>
      <c r="AA444" s="6">
        <f>('TE BE'!$AB$8+'TE BF'!$AB$8+'TE CVA'!$AB$8)*1</f>
        <v>231.76257384332172</v>
      </c>
      <c r="AB444" s="6">
        <f>$K$444*$V$444</f>
        <v>33168.299999999996</v>
      </c>
      <c r="AC444" s="6">
        <f>$M$444*$W$444</f>
        <v>12960.374379999999</v>
      </c>
      <c r="AD444" s="6">
        <f>$O$444*$X$444</f>
        <v>50296.277879999994</v>
      </c>
      <c r="AE444" s="6">
        <f ca="1">$K$444*$Y$444</f>
        <v>33244.407812910344</v>
      </c>
      <c r="AF444" s="6">
        <f ca="1">$M$444*$Z$444</f>
        <v>16130.809216992933</v>
      </c>
      <c r="AG444" s="6">
        <f>$O$444*$AA$444</f>
        <v>48005.908970462595</v>
      </c>
    </row>
    <row r="445" spans="1:33" ht="11.25" customHeight="1" x14ac:dyDescent="0.25">
      <c r="A445" s="4" t="s">
        <v>28</v>
      </c>
      <c r="B445" s="4" t="s">
        <v>41</v>
      </c>
      <c r="C445" s="4" t="s">
        <v>40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35</v>
      </c>
      <c r="I445" s="5">
        <v>44440</v>
      </c>
      <c r="J445" s="6">
        <v>230</v>
      </c>
      <c r="K445" s="6">
        <v>230</v>
      </c>
      <c r="L445" s="6">
        <v>12.96</v>
      </c>
      <c r="M445" s="6">
        <v>12.96</v>
      </c>
      <c r="N445" s="6">
        <v>12.96</v>
      </c>
      <c r="O445" s="6">
        <v>12.96</v>
      </c>
      <c r="P445" s="6">
        <v>0</v>
      </c>
      <c r="Q445" s="4" t="s">
        <v>26</v>
      </c>
      <c r="R445" s="4">
        <v>0</v>
      </c>
      <c r="S445" s="6">
        <v>20</v>
      </c>
      <c r="T445" s="6">
        <v>22</v>
      </c>
      <c r="U445" s="6">
        <v>67</v>
      </c>
      <c r="V445" s="6">
        <f>IF(ISERROR(VLOOKUP($S$445,'TAR FIN'!$A$1:$O$104,15,0)),0,VLOOKUP($S$445,'TAR FIN'!$A$1:$O$104,15,0))</f>
        <v>26.22</v>
      </c>
      <c r="W445" s="6">
        <f>IF(ISERROR(VLOOKUP($T$445,'TAR FIN'!$A$1:$O$104,15,0)),0,VLOOKUP($T$445,'TAR FIN'!$A$1:$O$104,15,0))</f>
        <v>62.57</v>
      </c>
      <c r="X445" s="6">
        <f>IF(ISERROR(VLOOKUP($U$445,'TAR FIN'!$A$1:$O$104,15,0)),0,VLOOKUP($U$445,'TAR FIN'!$A$1:$O$104,15,0))</f>
        <v>242.82</v>
      </c>
      <c r="Y445" s="6">
        <f ca="1">('TUSD BE'!$AM$14+'TUSD BF'!$AM$14+'TUSD CVA'!$AM$14)*1</f>
        <v>26.280164278980507</v>
      </c>
      <c r="Z445" s="6">
        <f ca="1">('TUSD BE'!$AM$15+'TUSD BF'!$AM$15+'TUSD CVA'!$AM$15)*1</f>
        <v>77.876201961015255</v>
      </c>
      <c r="AA445" s="6">
        <f>('TE BE'!$AB$8+'TE BF'!$AB$8+'TE CVA'!$AB$8)*1</f>
        <v>231.76257384332172</v>
      </c>
      <c r="AB445" s="6">
        <f>$K$445*$V$445</f>
        <v>6030.5999999999995</v>
      </c>
      <c r="AC445" s="6">
        <f>$M$445*$W$445</f>
        <v>810.9072000000001</v>
      </c>
      <c r="AD445" s="6">
        <f>$O$445*$X$445</f>
        <v>3146.9472000000001</v>
      </c>
      <c r="AE445" s="6">
        <f ca="1">$K$445*$Y$445</f>
        <v>6044.4377841655169</v>
      </c>
      <c r="AF445" s="6">
        <f ca="1">$M$445*$Z$445</f>
        <v>1009.2755774147578</v>
      </c>
      <c r="AG445" s="6">
        <f>$O$445*$AA$445</f>
        <v>3003.6429570094497</v>
      </c>
    </row>
    <row r="446" spans="1:33" ht="11.25" customHeight="1" x14ac:dyDescent="0.25">
      <c r="A446" s="4" t="s">
        <v>21</v>
      </c>
      <c r="B446" s="4" t="s">
        <v>41</v>
      </c>
      <c r="C446" s="4" t="s">
        <v>40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35</v>
      </c>
      <c r="I446" s="5">
        <v>44440</v>
      </c>
      <c r="J446" s="6">
        <v>3400</v>
      </c>
      <c r="K446" s="6">
        <v>3400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4" t="s">
        <v>58</v>
      </c>
      <c r="R446" s="4">
        <v>0</v>
      </c>
      <c r="S446" s="6">
        <v>20</v>
      </c>
      <c r="T446" s="6">
        <v>0</v>
      </c>
      <c r="U446" s="6">
        <v>0</v>
      </c>
      <c r="V446" s="6">
        <f>IF(ISERROR(VLOOKUP($S$446,'TAR FIN'!$A$1:$O$104,15,0)),0,VLOOKUP($S$446,'TAR FIN'!$A$1:$O$104,15,0))</f>
        <v>26.22</v>
      </c>
      <c r="W446" s="6">
        <f>IF(ISERROR(VLOOKUP($T$446,'TAR FIN'!$A$1:$O$104,15,0)),0,VLOOKUP($T$446,'TAR FIN'!$A$1:$O$104,15,0))</f>
        <v>0</v>
      </c>
      <c r="X446" s="6">
        <f>IF(ISERROR(VLOOKUP($U$446,'TAR FIN'!$A$1:$O$104,15,0)),0,VLOOKUP($U$446,'TAR FIN'!$A$1:$O$104,15,0))</f>
        <v>0</v>
      </c>
      <c r="Y446" s="6">
        <f ca="1">('TUSD BE'!$AM$14+'TUSD BF'!$AM$14+'TUSD CVA'!$AM$14)*1</f>
        <v>26.280164278980507</v>
      </c>
      <c r="Z446" s="6">
        <f ca="1">('TUSD BE'!$AM$15+'TUSD BF'!$AM$15+'TUSD CVA'!$AM$15)*1</f>
        <v>77.876201961015255</v>
      </c>
      <c r="AA446" s="6"/>
      <c r="AB446" s="6">
        <f>$K$446*$V$446</f>
        <v>89148</v>
      </c>
      <c r="AC446" s="6">
        <f>$M$446*$W$446</f>
        <v>0</v>
      </c>
      <c r="AD446" s="6">
        <f>$O$446*$X$446</f>
        <v>0</v>
      </c>
      <c r="AE446" s="6">
        <f ca="1">$K$446*$Y$446</f>
        <v>89352.558548533721</v>
      </c>
      <c r="AF446" s="6">
        <f ca="1">$M$446*$Z$446</f>
        <v>0</v>
      </c>
      <c r="AG446" s="6">
        <f>$O$446*$AA$446</f>
        <v>0</v>
      </c>
    </row>
    <row r="447" spans="1:33" ht="11.25" customHeight="1" x14ac:dyDescent="0.25">
      <c r="A447" s="4" t="s">
        <v>21</v>
      </c>
      <c r="B447" s="4" t="s">
        <v>41</v>
      </c>
      <c r="C447" s="4" t="s">
        <v>40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35</v>
      </c>
      <c r="I447" s="5">
        <v>44470</v>
      </c>
      <c r="J447" s="6">
        <v>1265</v>
      </c>
      <c r="K447" s="6">
        <v>1265</v>
      </c>
      <c r="L447" s="6">
        <v>200.53899999999999</v>
      </c>
      <c r="M447" s="6">
        <v>200.53899999999999</v>
      </c>
      <c r="N447" s="6">
        <v>200.53899999999999</v>
      </c>
      <c r="O447" s="6">
        <v>200.53899999999999</v>
      </c>
      <c r="P447" s="6">
        <v>0</v>
      </c>
      <c r="Q447" s="4" t="s">
        <v>26</v>
      </c>
      <c r="R447" s="4">
        <v>0</v>
      </c>
      <c r="S447" s="6">
        <v>20</v>
      </c>
      <c r="T447" s="6">
        <v>22</v>
      </c>
      <c r="U447" s="6">
        <v>67</v>
      </c>
      <c r="V447" s="6">
        <f>IF(ISERROR(VLOOKUP($S$447,'TAR FIN'!$A$1:$O$104,15,0)),0,VLOOKUP($S$447,'TAR FIN'!$A$1:$O$104,15,0))</f>
        <v>26.22</v>
      </c>
      <c r="W447" s="6">
        <f>IF(ISERROR(VLOOKUP($T$447,'TAR FIN'!$A$1:$O$104,15,0)),0,VLOOKUP($T$447,'TAR FIN'!$A$1:$O$104,15,0))</f>
        <v>62.57</v>
      </c>
      <c r="X447" s="6">
        <f>IF(ISERROR(VLOOKUP($U$447,'TAR FIN'!$A$1:$O$104,15,0)),0,VLOOKUP($U$447,'TAR FIN'!$A$1:$O$104,15,0))</f>
        <v>242.82</v>
      </c>
      <c r="Y447" s="6">
        <f ca="1">('TUSD BE'!$AM$14+'TUSD BF'!$AM$14+'TUSD CVA'!$AM$14)*1</f>
        <v>26.280164278980507</v>
      </c>
      <c r="Z447" s="6">
        <f ca="1">('TUSD BE'!$AM$15+'TUSD BF'!$AM$15+'TUSD CVA'!$AM$15)*1</f>
        <v>77.876201961015255</v>
      </c>
      <c r="AA447" s="6">
        <f>('TE BE'!$AB$8+'TE BF'!$AB$8+'TE CVA'!$AB$8)*1</f>
        <v>231.76257384332172</v>
      </c>
      <c r="AB447" s="6">
        <f>$K$447*$V$447</f>
        <v>33168.299999999996</v>
      </c>
      <c r="AC447" s="6">
        <f>$M$447*$W$447</f>
        <v>12547.72523</v>
      </c>
      <c r="AD447" s="6">
        <f>$O$447*$X$447</f>
        <v>48694.879979999998</v>
      </c>
      <c r="AE447" s="6">
        <f ca="1">$K$447*$Y$447</f>
        <v>33244.407812910344</v>
      </c>
      <c r="AF447" s="6">
        <f ca="1">$M$447*$Z$447</f>
        <v>15617.215665060037</v>
      </c>
      <c r="AG447" s="6">
        <f>$O$447*$AA$447</f>
        <v>46477.434795965892</v>
      </c>
    </row>
    <row r="448" spans="1:33" ht="11.25" customHeight="1" x14ac:dyDescent="0.25">
      <c r="A448" s="4" t="s">
        <v>28</v>
      </c>
      <c r="B448" s="4" t="s">
        <v>41</v>
      </c>
      <c r="C448" s="4" t="s">
        <v>40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35</v>
      </c>
      <c r="I448" s="5">
        <v>44470</v>
      </c>
      <c r="J448" s="6">
        <v>230</v>
      </c>
      <c r="K448" s="6">
        <v>230</v>
      </c>
      <c r="L448" s="6">
        <v>12.96</v>
      </c>
      <c r="M448" s="6">
        <v>12.96</v>
      </c>
      <c r="N448" s="6">
        <v>12.96</v>
      </c>
      <c r="O448" s="6">
        <v>12.96</v>
      </c>
      <c r="P448" s="6">
        <v>0</v>
      </c>
      <c r="Q448" s="4" t="s">
        <v>26</v>
      </c>
      <c r="R448" s="4">
        <v>0</v>
      </c>
      <c r="S448" s="6">
        <v>20</v>
      </c>
      <c r="T448" s="6">
        <v>22</v>
      </c>
      <c r="U448" s="6">
        <v>67</v>
      </c>
      <c r="V448" s="6">
        <f>IF(ISERROR(VLOOKUP($S$448,'TAR FIN'!$A$1:$O$104,15,0)),0,VLOOKUP($S$448,'TAR FIN'!$A$1:$O$104,15,0))</f>
        <v>26.22</v>
      </c>
      <c r="W448" s="6">
        <f>IF(ISERROR(VLOOKUP($T$448,'TAR FIN'!$A$1:$O$104,15,0)),0,VLOOKUP($T$448,'TAR FIN'!$A$1:$O$104,15,0))</f>
        <v>62.57</v>
      </c>
      <c r="X448" s="6">
        <f>IF(ISERROR(VLOOKUP($U$448,'TAR FIN'!$A$1:$O$104,15,0)),0,VLOOKUP($U$448,'TAR FIN'!$A$1:$O$104,15,0))</f>
        <v>242.82</v>
      </c>
      <c r="Y448" s="6">
        <f ca="1">('TUSD BE'!$AM$14+'TUSD BF'!$AM$14+'TUSD CVA'!$AM$14)*1</f>
        <v>26.280164278980507</v>
      </c>
      <c r="Z448" s="6">
        <f ca="1">('TUSD BE'!$AM$15+'TUSD BF'!$AM$15+'TUSD CVA'!$AM$15)*1</f>
        <v>77.876201961015255</v>
      </c>
      <c r="AA448" s="6">
        <f>('TE BE'!$AB$8+'TE BF'!$AB$8+'TE CVA'!$AB$8)*1</f>
        <v>231.76257384332172</v>
      </c>
      <c r="AB448" s="6">
        <f>$K$448*$V$448</f>
        <v>6030.5999999999995</v>
      </c>
      <c r="AC448" s="6">
        <f>$M$448*$W$448</f>
        <v>810.9072000000001</v>
      </c>
      <c r="AD448" s="6">
        <f>$O$448*$X$448</f>
        <v>3146.9472000000001</v>
      </c>
      <c r="AE448" s="6">
        <f ca="1">$K$448*$Y$448</f>
        <v>6044.4377841655169</v>
      </c>
      <c r="AF448" s="6">
        <f ca="1">$M$448*$Z$448</f>
        <v>1009.2755774147578</v>
      </c>
      <c r="AG448" s="6">
        <f>$O$448*$AA$448</f>
        <v>3003.6429570094497</v>
      </c>
    </row>
    <row r="449" spans="1:33" ht="11.25" customHeight="1" x14ac:dyDescent="0.25">
      <c r="A449" s="4" t="s">
        <v>21</v>
      </c>
      <c r="B449" s="4" t="s">
        <v>41</v>
      </c>
      <c r="C449" s="4" t="s">
        <v>40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35</v>
      </c>
      <c r="I449" s="5">
        <v>44470</v>
      </c>
      <c r="J449" s="6">
        <v>3423</v>
      </c>
      <c r="K449" s="6">
        <v>3423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4" t="s">
        <v>58</v>
      </c>
      <c r="R449" s="4">
        <v>0</v>
      </c>
      <c r="S449" s="6">
        <v>20</v>
      </c>
      <c r="T449" s="6">
        <v>0</v>
      </c>
      <c r="U449" s="6">
        <v>0</v>
      </c>
      <c r="V449" s="6">
        <f>IF(ISERROR(VLOOKUP($S$449,'TAR FIN'!$A$1:$O$104,15,0)),0,VLOOKUP($S$449,'TAR FIN'!$A$1:$O$104,15,0))</f>
        <v>26.22</v>
      </c>
      <c r="W449" s="6">
        <f>IF(ISERROR(VLOOKUP($T$449,'TAR FIN'!$A$1:$O$104,15,0)),0,VLOOKUP($T$449,'TAR FIN'!$A$1:$O$104,15,0))</f>
        <v>0</v>
      </c>
      <c r="X449" s="6">
        <f>IF(ISERROR(VLOOKUP($U$449,'TAR FIN'!$A$1:$O$104,15,0)),0,VLOOKUP($U$449,'TAR FIN'!$A$1:$O$104,15,0))</f>
        <v>0</v>
      </c>
      <c r="Y449" s="6">
        <f ca="1">('TUSD BE'!$AM$14+'TUSD BF'!$AM$14+'TUSD CVA'!$AM$14)*1</f>
        <v>26.280164278980507</v>
      </c>
      <c r="Z449" s="6">
        <f ca="1">('TUSD BE'!$AM$15+'TUSD BF'!$AM$15+'TUSD CVA'!$AM$15)*1</f>
        <v>77.876201961015255</v>
      </c>
      <c r="AA449" s="6"/>
      <c r="AB449" s="6">
        <f>$K$449*$V$449</f>
        <v>89751.06</v>
      </c>
      <c r="AC449" s="6">
        <f>$M$449*$W$449</f>
        <v>0</v>
      </c>
      <c r="AD449" s="6">
        <f>$O$449*$X$449</f>
        <v>0</v>
      </c>
      <c r="AE449" s="6">
        <f ca="1">$K$449*$Y$449</f>
        <v>89957.002326950271</v>
      </c>
      <c r="AF449" s="6">
        <f ca="1">$M$449*$Z$449</f>
        <v>0</v>
      </c>
      <c r="AG449" s="6">
        <f>$O$449*$AA$449</f>
        <v>0</v>
      </c>
    </row>
    <row r="450" spans="1:33" ht="11.25" customHeight="1" x14ac:dyDescent="0.25">
      <c r="A450" s="4" t="s">
        <v>21</v>
      </c>
      <c r="B450" s="4" t="s">
        <v>41</v>
      </c>
      <c r="C450" s="4" t="s">
        <v>40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35</v>
      </c>
      <c r="I450" s="5">
        <v>44501</v>
      </c>
      <c r="J450" s="6">
        <v>1265</v>
      </c>
      <c r="K450" s="6">
        <v>1265</v>
      </c>
      <c r="L450" s="6">
        <v>198.40700000000001</v>
      </c>
      <c r="M450" s="6">
        <v>198.40700000000001</v>
      </c>
      <c r="N450" s="6">
        <v>198.40700000000001</v>
      </c>
      <c r="O450" s="6">
        <v>198.40700000000001</v>
      </c>
      <c r="P450" s="6">
        <v>0</v>
      </c>
      <c r="Q450" s="4" t="s">
        <v>26</v>
      </c>
      <c r="R450" s="4">
        <v>0</v>
      </c>
      <c r="S450" s="6">
        <v>20</v>
      </c>
      <c r="T450" s="6">
        <v>22</v>
      </c>
      <c r="U450" s="6">
        <v>67</v>
      </c>
      <c r="V450" s="6">
        <f>IF(ISERROR(VLOOKUP($S$450,'TAR FIN'!$A$1:$O$104,15,0)),0,VLOOKUP($S$450,'TAR FIN'!$A$1:$O$104,15,0))</f>
        <v>26.22</v>
      </c>
      <c r="W450" s="6">
        <f>IF(ISERROR(VLOOKUP($T$450,'TAR FIN'!$A$1:$O$104,15,0)),0,VLOOKUP($T$450,'TAR FIN'!$A$1:$O$104,15,0))</f>
        <v>62.57</v>
      </c>
      <c r="X450" s="6">
        <f>IF(ISERROR(VLOOKUP($U$450,'TAR FIN'!$A$1:$O$104,15,0)),0,VLOOKUP($U$450,'TAR FIN'!$A$1:$O$104,15,0))</f>
        <v>242.82</v>
      </c>
      <c r="Y450" s="6">
        <f ca="1">('TUSD BE'!$AM$14+'TUSD BF'!$AM$14+'TUSD CVA'!$AM$14)*1</f>
        <v>26.280164278980507</v>
      </c>
      <c r="Z450" s="6">
        <f ca="1">('TUSD BE'!$AM$15+'TUSD BF'!$AM$15+'TUSD CVA'!$AM$15)*1</f>
        <v>77.876201961015255</v>
      </c>
      <c r="AA450" s="6">
        <f>('TE BE'!$AB$8+'TE BF'!$AB$8+'TE CVA'!$AB$8)*1</f>
        <v>231.76257384332172</v>
      </c>
      <c r="AB450" s="6">
        <f>$K$450*$V$450</f>
        <v>33168.299999999996</v>
      </c>
      <c r="AC450" s="6">
        <f>$M$450*$W$450</f>
        <v>12414.325990000001</v>
      </c>
      <c r="AD450" s="6">
        <f>$O$450*$X$450</f>
        <v>48177.187740000001</v>
      </c>
      <c r="AE450" s="6">
        <f ca="1">$K$450*$Y$450</f>
        <v>33244.407812910344</v>
      </c>
      <c r="AF450" s="6">
        <f ca="1">$M$450*$Z$450</f>
        <v>15451.183602479154</v>
      </c>
      <c r="AG450" s="6">
        <f>$O$450*$AA$450</f>
        <v>45983.316988531937</v>
      </c>
    </row>
    <row r="451" spans="1:33" ht="11.25" customHeight="1" x14ac:dyDescent="0.25">
      <c r="A451" s="4" t="s">
        <v>28</v>
      </c>
      <c r="B451" s="4" t="s">
        <v>41</v>
      </c>
      <c r="C451" s="4" t="s">
        <v>40</v>
      </c>
      <c r="D451" s="4" t="s">
        <v>38</v>
      </c>
      <c r="E451" s="4" t="s">
        <v>25</v>
      </c>
      <c r="F451" s="4" t="s">
        <v>25</v>
      </c>
      <c r="G451" s="4" t="s">
        <v>25</v>
      </c>
      <c r="H451" s="4" t="s">
        <v>35</v>
      </c>
      <c r="I451" s="5">
        <v>44501</v>
      </c>
      <c r="J451" s="6">
        <v>230</v>
      </c>
      <c r="K451" s="6">
        <v>230</v>
      </c>
      <c r="L451" s="6">
        <v>22.08</v>
      </c>
      <c r="M451" s="6">
        <v>22.08</v>
      </c>
      <c r="N451" s="6">
        <v>22.08</v>
      </c>
      <c r="O451" s="6">
        <v>22.08</v>
      </c>
      <c r="P451" s="6">
        <v>0</v>
      </c>
      <c r="Q451" s="4" t="s">
        <v>26</v>
      </c>
      <c r="R451" s="4">
        <v>0</v>
      </c>
      <c r="S451" s="6">
        <v>20</v>
      </c>
      <c r="T451" s="6">
        <v>22</v>
      </c>
      <c r="U451" s="6">
        <v>67</v>
      </c>
      <c r="V451" s="6">
        <f>IF(ISERROR(VLOOKUP($S$451,'TAR FIN'!$A$1:$O$104,15,0)),0,VLOOKUP($S$451,'TAR FIN'!$A$1:$O$104,15,0))</f>
        <v>26.22</v>
      </c>
      <c r="W451" s="6">
        <f>IF(ISERROR(VLOOKUP($T$451,'TAR FIN'!$A$1:$O$104,15,0)),0,VLOOKUP($T$451,'TAR FIN'!$A$1:$O$104,15,0))</f>
        <v>62.57</v>
      </c>
      <c r="X451" s="6">
        <f>IF(ISERROR(VLOOKUP($U$451,'TAR FIN'!$A$1:$O$104,15,0)),0,VLOOKUP($U$451,'TAR FIN'!$A$1:$O$104,15,0))</f>
        <v>242.82</v>
      </c>
      <c r="Y451" s="6">
        <f ca="1">('TUSD BE'!$AM$14+'TUSD BF'!$AM$14+'TUSD CVA'!$AM$14)*1</f>
        <v>26.280164278980507</v>
      </c>
      <c r="Z451" s="6">
        <f ca="1">('TUSD BE'!$AM$15+'TUSD BF'!$AM$15+'TUSD CVA'!$AM$15)*1</f>
        <v>77.876201961015255</v>
      </c>
      <c r="AA451" s="6">
        <f>('TE BE'!$AB$8+'TE BF'!$AB$8+'TE CVA'!$AB$8)*1</f>
        <v>231.76257384332172</v>
      </c>
      <c r="AB451" s="6">
        <f>$K$451*$V$451</f>
        <v>6030.5999999999995</v>
      </c>
      <c r="AC451" s="6">
        <f>$M$451*$W$451</f>
        <v>1381.5455999999999</v>
      </c>
      <c r="AD451" s="6">
        <f>$O$451*$X$451</f>
        <v>5361.4655999999995</v>
      </c>
      <c r="AE451" s="6">
        <f ca="1">$K$451*$Y$451</f>
        <v>6044.4377841655169</v>
      </c>
      <c r="AF451" s="6">
        <f ca="1">$M$451*$Z$451</f>
        <v>1719.5065392992167</v>
      </c>
      <c r="AG451" s="6">
        <f>$O$451*$AA$451</f>
        <v>5117.3176304605431</v>
      </c>
    </row>
    <row r="452" spans="1:33" ht="11.25" customHeight="1" x14ac:dyDescent="0.25">
      <c r="A452" s="4" t="s">
        <v>21</v>
      </c>
      <c r="B452" s="4" t="s">
        <v>41</v>
      </c>
      <c r="C452" s="4" t="s">
        <v>40</v>
      </c>
      <c r="D452" s="4" t="s">
        <v>38</v>
      </c>
      <c r="E452" s="4" t="s">
        <v>25</v>
      </c>
      <c r="F452" s="4" t="s">
        <v>25</v>
      </c>
      <c r="G452" s="4" t="s">
        <v>25</v>
      </c>
      <c r="H452" s="4" t="s">
        <v>35</v>
      </c>
      <c r="I452" s="5">
        <v>44531</v>
      </c>
      <c r="J452" s="6">
        <v>1265</v>
      </c>
      <c r="K452" s="6">
        <v>1265</v>
      </c>
      <c r="L452" s="6">
        <v>204.10499999999999</v>
      </c>
      <c r="M452" s="6">
        <v>204.10499999999999</v>
      </c>
      <c r="N452" s="6">
        <v>204.10499999999999</v>
      </c>
      <c r="O452" s="6">
        <v>204.10499999999999</v>
      </c>
      <c r="P452" s="6">
        <v>0</v>
      </c>
      <c r="Q452" s="4" t="s">
        <v>26</v>
      </c>
      <c r="R452" s="4">
        <v>0</v>
      </c>
      <c r="S452" s="6">
        <v>20</v>
      </c>
      <c r="T452" s="6">
        <v>22</v>
      </c>
      <c r="U452" s="6">
        <v>67</v>
      </c>
      <c r="V452" s="6">
        <f>IF(ISERROR(VLOOKUP($S$452,'TAR FIN'!$A$1:$O$104,15,0)),0,VLOOKUP($S$452,'TAR FIN'!$A$1:$O$104,15,0))</f>
        <v>26.22</v>
      </c>
      <c r="W452" s="6">
        <f>IF(ISERROR(VLOOKUP($T$452,'TAR FIN'!$A$1:$O$104,15,0)),0,VLOOKUP($T$452,'TAR FIN'!$A$1:$O$104,15,0))</f>
        <v>62.57</v>
      </c>
      <c r="X452" s="6">
        <f>IF(ISERROR(VLOOKUP($U$452,'TAR FIN'!$A$1:$O$104,15,0)),0,VLOOKUP($U$452,'TAR FIN'!$A$1:$O$104,15,0))</f>
        <v>242.82</v>
      </c>
      <c r="Y452" s="6">
        <f ca="1">('TUSD BE'!$AM$14+'TUSD BF'!$AM$14+'TUSD CVA'!$AM$14)*1</f>
        <v>26.280164278980507</v>
      </c>
      <c r="Z452" s="6">
        <f ca="1">('TUSD BE'!$AM$15+'TUSD BF'!$AM$15+'TUSD CVA'!$AM$15)*1</f>
        <v>77.876201961015255</v>
      </c>
      <c r="AA452" s="6">
        <f>('TE BE'!$AB$8+'TE BF'!$AB$8+'TE CVA'!$AB$8)*1</f>
        <v>231.76257384332172</v>
      </c>
      <c r="AB452" s="6">
        <f>$K$452*$V$452</f>
        <v>33168.299999999996</v>
      </c>
      <c r="AC452" s="6">
        <f>$M$452*$W$452</f>
        <v>12770.849849999999</v>
      </c>
      <c r="AD452" s="6">
        <f>$O$452*$X$452</f>
        <v>49560.776099999995</v>
      </c>
      <c r="AE452" s="6">
        <f ca="1">$K$452*$Y$452</f>
        <v>33244.407812910344</v>
      </c>
      <c r="AF452" s="6">
        <f ca="1">$M$452*$Z$452</f>
        <v>15894.922201253017</v>
      </c>
      <c r="AG452" s="6">
        <f>$O$452*$AA$452</f>
        <v>47303.90013429118</v>
      </c>
    </row>
    <row r="453" spans="1:33" ht="11.25" customHeight="1" x14ac:dyDescent="0.25">
      <c r="A453" s="4" t="s">
        <v>28</v>
      </c>
      <c r="B453" s="4" t="s">
        <v>41</v>
      </c>
      <c r="C453" s="4" t="s">
        <v>40</v>
      </c>
      <c r="D453" s="4" t="s">
        <v>38</v>
      </c>
      <c r="E453" s="4" t="s">
        <v>25</v>
      </c>
      <c r="F453" s="4" t="s">
        <v>25</v>
      </c>
      <c r="G453" s="4" t="s">
        <v>25</v>
      </c>
      <c r="H453" s="4" t="s">
        <v>35</v>
      </c>
      <c r="I453" s="5">
        <v>44531</v>
      </c>
      <c r="J453" s="6">
        <v>230</v>
      </c>
      <c r="K453" s="6">
        <v>230</v>
      </c>
      <c r="L453" s="6">
        <v>8.64</v>
      </c>
      <c r="M453" s="6">
        <v>8.64</v>
      </c>
      <c r="N453" s="6">
        <v>8.64</v>
      </c>
      <c r="O453" s="6">
        <v>8.64</v>
      </c>
      <c r="P453" s="6">
        <v>0</v>
      </c>
      <c r="Q453" s="4" t="s">
        <v>26</v>
      </c>
      <c r="R453" s="4">
        <v>0</v>
      </c>
      <c r="S453" s="6">
        <v>20</v>
      </c>
      <c r="T453" s="6">
        <v>22</v>
      </c>
      <c r="U453" s="6">
        <v>67</v>
      </c>
      <c r="V453" s="6">
        <f>IF(ISERROR(VLOOKUP($S$453,'TAR FIN'!$A$1:$O$104,15,0)),0,VLOOKUP($S$453,'TAR FIN'!$A$1:$O$104,15,0))</f>
        <v>26.22</v>
      </c>
      <c r="W453" s="6">
        <f>IF(ISERROR(VLOOKUP($T$453,'TAR FIN'!$A$1:$O$104,15,0)),0,VLOOKUP($T$453,'TAR FIN'!$A$1:$O$104,15,0))</f>
        <v>62.57</v>
      </c>
      <c r="X453" s="6">
        <f>IF(ISERROR(VLOOKUP($U$453,'TAR FIN'!$A$1:$O$104,15,0)),0,VLOOKUP($U$453,'TAR FIN'!$A$1:$O$104,15,0))</f>
        <v>242.82</v>
      </c>
      <c r="Y453" s="6">
        <f ca="1">('TUSD BE'!$AM$14+'TUSD BF'!$AM$14+'TUSD CVA'!$AM$14)*1</f>
        <v>26.280164278980507</v>
      </c>
      <c r="Z453" s="6">
        <f ca="1">('TUSD BE'!$AM$15+'TUSD BF'!$AM$15+'TUSD CVA'!$AM$15)*1</f>
        <v>77.876201961015255</v>
      </c>
      <c r="AA453" s="6">
        <f>('TE BE'!$AB$8+'TE BF'!$AB$8+'TE CVA'!$AB$8)*1</f>
        <v>231.76257384332172</v>
      </c>
      <c r="AB453" s="6">
        <f>$K$453*$V$453</f>
        <v>6030.5999999999995</v>
      </c>
      <c r="AC453" s="6">
        <f>$M$453*$W$453</f>
        <v>540.60480000000007</v>
      </c>
      <c r="AD453" s="6">
        <f>$O$453*$X$453</f>
        <v>2097.9648000000002</v>
      </c>
      <c r="AE453" s="6">
        <f ca="1">$K$453*$Y$453</f>
        <v>6044.4377841655169</v>
      </c>
      <c r="AF453" s="6">
        <f ca="1">$M$453*$Z$453</f>
        <v>672.85038494317189</v>
      </c>
      <c r="AG453" s="6">
        <f>$O$453*$AA$453</f>
        <v>2002.4286380062997</v>
      </c>
    </row>
    <row r="454" spans="1:33" ht="11.25" customHeight="1" x14ac:dyDescent="0.25">
      <c r="A454" s="4" t="s">
        <v>21</v>
      </c>
      <c r="B454" s="4" t="s">
        <v>41</v>
      </c>
      <c r="C454" s="4" t="s">
        <v>40</v>
      </c>
      <c r="D454" s="4" t="s">
        <v>38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44562</v>
      </c>
      <c r="J454" s="6">
        <v>783</v>
      </c>
      <c r="K454" s="6">
        <v>783</v>
      </c>
      <c r="L454" s="6">
        <v>85.57</v>
      </c>
      <c r="M454" s="6">
        <v>85.57</v>
      </c>
      <c r="N454" s="6">
        <v>85.57</v>
      </c>
      <c r="O454" s="6">
        <v>85.57</v>
      </c>
      <c r="P454" s="6">
        <v>0</v>
      </c>
      <c r="Q454" s="4" t="s">
        <v>26</v>
      </c>
      <c r="R454" s="4">
        <v>0</v>
      </c>
      <c r="S454" s="6">
        <v>20</v>
      </c>
      <c r="T454" s="6">
        <v>22</v>
      </c>
      <c r="U454" s="6">
        <v>67</v>
      </c>
      <c r="V454" s="6">
        <f>IF(ISERROR(VLOOKUP($S$454,'TAR FIN'!$A$1:$O$104,15,0)),0,VLOOKUP($S$454,'TAR FIN'!$A$1:$O$104,15,0))</f>
        <v>26.22</v>
      </c>
      <c r="W454" s="6">
        <f>IF(ISERROR(VLOOKUP($T$454,'TAR FIN'!$A$1:$O$104,15,0)),0,VLOOKUP($T$454,'TAR FIN'!$A$1:$O$104,15,0))</f>
        <v>62.57</v>
      </c>
      <c r="X454" s="6">
        <f>IF(ISERROR(VLOOKUP($U$454,'TAR FIN'!$A$1:$O$104,15,0)),0,VLOOKUP($U$454,'TAR FIN'!$A$1:$O$104,15,0))</f>
        <v>242.82</v>
      </c>
      <c r="Y454" s="6">
        <f ca="1">('TUSD BE'!$AM$14+'TUSD BF'!$AM$14+'TUSD CVA'!$AM$14)*1</f>
        <v>26.280164278980507</v>
      </c>
      <c r="Z454" s="6">
        <f ca="1">('TUSD BE'!$AM$15+'TUSD BF'!$AM$15+'TUSD CVA'!$AM$15)*1</f>
        <v>77.876201961015255</v>
      </c>
      <c r="AA454" s="6">
        <f>('TE BE'!$AB$8+'TE BF'!$AB$8+'TE CVA'!$AB$8)*1</f>
        <v>231.76257384332172</v>
      </c>
      <c r="AB454" s="6">
        <f>$K$454*$V$454</f>
        <v>20530.259999999998</v>
      </c>
      <c r="AC454" s="6">
        <f>$M$454*$W$454</f>
        <v>5354.1148999999996</v>
      </c>
      <c r="AD454" s="6">
        <f>$O$454*$X$454</f>
        <v>20778.107399999997</v>
      </c>
      <c r="AE454" s="6">
        <f ca="1">$K$454*$Y$454</f>
        <v>20577.368630441739</v>
      </c>
      <c r="AF454" s="6">
        <f ca="1">$M$454*$Z$454</f>
        <v>6663.8666018040749</v>
      </c>
      <c r="AG454" s="6">
        <f>$O$454*$AA$454</f>
        <v>19831.923443773037</v>
      </c>
    </row>
    <row r="455" spans="1:33" ht="11.25" customHeight="1" x14ac:dyDescent="0.25">
      <c r="A455" s="4" t="s">
        <v>28</v>
      </c>
      <c r="B455" s="4" t="s">
        <v>41</v>
      </c>
      <c r="C455" s="4" t="s">
        <v>40</v>
      </c>
      <c r="D455" s="4" t="s">
        <v>38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44562</v>
      </c>
      <c r="J455" s="6">
        <v>230</v>
      </c>
      <c r="K455" s="6">
        <v>230</v>
      </c>
      <c r="L455" s="6">
        <v>3.6429999999999998</v>
      </c>
      <c r="M455" s="6">
        <v>3.6429999999999998</v>
      </c>
      <c r="N455" s="6">
        <v>3.6429999999999998</v>
      </c>
      <c r="O455" s="6">
        <v>3.6429999999999998</v>
      </c>
      <c r="P455" s="6">
        <v>0</v>
      </c>
      <c r="Q455" s="4" t="s">
        <v>26</v>
      </c>
      <c r="R455" s="4">
        <v>0</v>
      </c>
      <c r="S455" s="6">
        <v>20</v>
      </c>
      <c r="T455" s="6">
        <v>22</v>
      </c>
      <c r="U455" s="6">
        <v>67</v>
      </c>
      <c r="V455" s="6">
        <f>IF(ISERROR(VLOOKUP($S$455,'TAR FIN'!$A$1:$O$104,15,0)),0,VLOOKUP($S$455,'TAR FIN'!$A$1:$O$104,15,0))</f>
        <v>26.22</v>
      </c>
      <c r="W455" s="6">
        <f>IF(ISERROR(VLOOKUP($T$455,'TAR FIN'!$A$1:$O$104,15,0)),0,VLOOKUP($T$455,'TAR FIN'!$A$1:$O$104,15,0))</f>
        <v>62.57</v>
      </c>
      <c r="X455" s="6">
        <f>IF(ISERROR(VLOOKUP($U$455,'TAR FIN'!$A$1:$O$104,15,0)),0,VLOOKUP($U$455,'TAR FIN'!$A$1:$O$104,15,0))</f>
        <v>242.82</v>
      </c>
      <c r="Y455" s="6">
        <f ca="1">('TUSD BE'!$AM$14+'TUSD BF'!$AM$14+'TUSD CVA'!$AM$14)*1</f>
        <v>26.280164278980507</v>
      </c>
      <c r="Z455" s="6">
        <f ca="1">('TUSD BE'!$AM$15+'TUSD BF'!$AM$15+'TUSD CVA'!$AM$15)*1</f>
        <v>77.876201961015255</v>
      </c>
      <c r="AA455" s="6">
        <f>('TE BE'!$AB$8+'TE BF'!$AB$8+'TE CVA'!$AB$8)*1</f>
        <v>231.76257384332172</v>
      </c>
      <c r="AB455" s="6">
        <f>$K$455*$V$455</f>
        <v>6030.5999999999995</v>
      </c>
      <c r="AC455" s="6">
        <f>$M$455*$W$455</f>
        <v>227.94251</v>
      </c>
      <c r="AD455" s="6">
        <f>$O$455*$X$455</f>
        <v>884.59325999999987</v>
      </c>
      <c r="AE455" s="6">
        <f ca="1">$K$455*$Y$455</f>
        <v>6044.4377841655169</v>
      </c>
      <c r="AF455" s="6">
        <f ca="1">$M$455*$Z$455</f>
        <v>283.70300374397857</v>
      </c>
      <c r="AG455" s="6">
        <f>$O$455*$AA$455</f>
        <v>844.31105651122095</v>
      </c>
    </row>
    <row r="456" spans="1:33" ht="11.25" customHeight="1" x14ac:dyDescent="0.25">
      <c r="A456" s="4" t="s">
        <v>21</v>
      </c>
      <c r="B456" s="4" t="s">
        <v>41</v>
      </c>
      <c r="C456" s="4" t="s">
        <v>40</v>
      </c>
      <c r="D456" s="4" t="s">
        <v>38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44593</v>
      </c>
      <c r="J456" s="6">
        <v>799</v>
      </c>
      <c r="K456" s="6">
        <v>799</v>
      </c>
      <c r="L456" s="6">
        <v>122.378</v>
      </c>
      <c r="M456" s="6">
        <v>122.378</v>
      </c>
      <c r="N456" s="6">
        <v>122.378</v>
      </c>
      <c r="O456" s="6">
        <v>122.378</v>
      </c>
      <c r="P456" s="6">
        <v>0</v>
      </c>
      <c r="Q456" s="4" t="s">
        <v>26</v>
      </c>
      <c r="R456" s="4">
        <v>0</v>
      </c>
      <c r="S456" s="6">
        <v>20</v>
      </c>
      <c r="T456" s="6">
        <v>22</v>
      </c>
      <c r="U456" s="6">
        <v>67</v>
      </c>
      <c r="V456" s="6">
        <f>IF(ISERROR(VLOOKUP($S$456,'TAR FIN'!$A$1:$O$104,15,0)),0,VLOOKUP($S$456,'TAR FIN'!$A$1:$O$104,15,0))</f>
        <v>26.22</v>
      </c>
      <c r="W456" s="6">
        <f>IF(ISERROR(VLOOKUP($T$456,'TAR FIN'!$A$1:$O$104,15,0)),0,VLOOKUP($T$456,'TAR FIN'!$A$1:$O$104,15,0))</f>
        <v>62.57</v>
      </c>
      <c r="X456" s="6">
        <f>IF(ISERROR(VLOOKUP($U$456,'TAR FIN'!$A$1:$O$104,15,0)),0,VLOOKUP($U$456,'TAR FIN'!$A$1:$O$104,15,0))</f>
        <v>242.82</v>
      </c>
      <c r="Y456" s="6">
        <f ca="1">('TUSD BE'!$AM$14+'TUSD BF'!$AM$14+'TUSD CVA'!$AM$14)*1</f>
        <v>26.280164278980507</v>
      </c>
      <c r="Z456" s="6">
        <f ca="1">('TUSD BE'!$AM$15+'TUSD BF'!$AM$15+'TUSD CVA'!$AM$15)*1</f>
        <v>77.876201961015255</v>
      </c>
      <c r="AA456" s="6">
        <f>('TE BE'!$AB$8+'TE BF'!$AB$8+'TE CVA'!$AB$8)*1</f>
        <v>231.76257384332172</v>
      </c>
      <c r="AB456" s="6">
        <f>$K$456*$V$456</f>
        <v>20949.78</v>
      </c>
      <c r="AC456" s="6">
        <f>$M$456*$W$456</f>
        <v>7657.19146</v>
      </c>
      <c r="AD456" s="6">
        <f>$O$456*$X$456</f>
        <v>29715.825959999998</v>
      </c>
      <c r="AE456" s="6">
        <f ca="1">$K$456*$Y$456</f>
        <v>20997.851258905426</v>
      </c>
      <c r="AF456" s="6">
        <f ca="1">$M$456*$Z$456</f>
        <v>9530.3338435851256</v>
      </c>
      <c r="AG456" s="6">
        <f>$O$456*$AA$456</f>
        <v>28362.640261798024</v>
      </c>
    </row>
    <row r="457" spans="1:33" ht="11.25" customHeight="1" x14ac:dyDescent="0.25">
      <c r="A457" s="4" t="s">
        <v>28</v>
      </c>
      <c r="B457" s="4" t="s">
        <v>41</v>
      </c>
      <c r="C457" s="4" t="s">
        <v>40</v>
      </c>
      <c r="D457" s="4" t="s">
        <v>38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44593</v>
      </c>
      <c r="J457" s="6">
        <v>230</v>
      </c>
      <c r="K457" s="6">
        <v>230</v>
      </c>
      <c r="L457" s="6">
        <v>7.6269999999999998</v>
      </c>
      <c r="M457" s="6">
        <v>7.6269999999999998</v>
      </c>
      <c r="N457" s="6">
        <v>7.6269999999999998</v>
      </c>
      <c r="O457" s="6">
        <v>7.6269999999999998</v>
      </c>
      <c r="P457" s="6">
        <v>0</v>
      </c>
      <c r="Q457" s="4" t="s">
        <v>26</v>
      </c>
      <c r="R457" s="4">
        <v>0</v>
      </c>
      <c r="S457" s="6">
        <v>20</v>
      </c>
      <c r="T457" s="6">
        <v>22</v>
      </c>
      <c r="U457" s="6">
        <v>67</v>
      </c>
      <c r="V457" s="6">
        <f>IF(ISERROR(VLOOKUP($S$457,'TAR FIN'!$A$1:$O$104,15,0)),0,VLOOKUP($S$457,'TAR FIN'!$A$1:$O$104,15,0))</f>
        <v>26.22</v>
      </c>
      <c r="W457" s="6">
        <f>IF(ISERROR(VLOOKUP($T$457,'TAR FIN'!$A$1:$O$104,15,0)),0,VLOOKUP($T$457,'TAR FIN'!$A$1:$O$104,15,0))</f>
        <v>62.57</v>
      </c>
      <c r="X457" s="6">
        <f>IF(ISERROR(VLOOKUP($U$457,'TAR FIN'!$A$1:$O$104,15,0)),0,VLOOKUP($U$457,'TAR FIN'!$A$1:$O$104,15,0))</f>
        <v>242.82</v>
      </c>
      <c r="Y457" s="6">
        <f ca="1">('TUSD BE'!$AM$14+'TUSD BF'!$AM$14+'TUSD CVA'!$AM$14)*1</f>
        <v>26.280164278980507</v>
      </c>
      <c r="Z457" s="6">
        <f ca="1">('TUSD BE'!$AM$15+'TUSD BF'!$AM$15+'TUSD CVA'!$AM$15)*1</f>
        <v>77.876201961015255</v>
      </c>
      <c r="AA457" s="6">
        <f>('TE BE'!$AB$8+'TE BF'!$AB$8+'TE CVA'!$AB$8)*1</f>
        <v>231.76257384332172</v>
      </c>
      <c r="AB457" s="6">
        <f>$K$457*$V$457</f>
        <v>6030.5999999999995</v>
      </c>
      <c r="AC457" s="6">
        <f>$M$457*$W$457</f>
        <v>477.22138999999999</v>
      </c>
      <c r="AD457" s="6">
        <f>$O$457*$X$457</f>
        <v>1851.9881399999999</v>
      </c>
      <c r="AE457" s="6">
        <f ca="1">$K$457*$Y$457</f>
        <v>6044.4377841655169</v>
      </c>
      <c r="AF457" s="6">
        <f ca="1">$M$457*$Z$457</f>
        <v>593.9617923566633</v>
      </c>
      <c r="AG457" s="6">
        <f>$O$457*$AA$457</f>
        <v>1767.6531507030147</v>
      </c>
    </row>
    <row r="458" spans="1:33" ht="11.25" customHeight="1" x14ac:dyDescent="0.25">
      <c r="A458" s="4" t="s">
        <v>21</v>
      </c>
      <c r="B458" s="4" t="s">
        <v>41</v>
      </c>
      <c r="C458" s="4" t="s">
        <v>40</v>
      </c>
      <c r="D458" s="4" t="s">
        <v>38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44621</v>
      </c>
      <c r="J458" s="6">
        <v>767</v>
      </c>
      <c r="K458" s="6">
        <v>767</v>
      </c>
      <c r="L458" s="6">
        <v>97.004999999999995</v>
      </c>
      <c r="M458" s="6">
        <v>97.004999999999995</v>
      </c>
      <c r="N458" s="6">
        <v>97.004999999999995</v>
      </c>
      <c r="O458" s="6">
        <v>97.004999999999995</v>
      </c>
      <c r="P458" s="6">
        <v>0</v>
      </c>
      <c r="Q458" s="4" t="s">
        <v>26</v>
      </c>
      <c r="R458" s="4">
        <v>0</v>
      </c>
      <c r="S458" s="6">
        <v>20</v>
      </c>
      <c r="T458" s="6">
        <v>22</v>
      </c>
      <c r="U458" s="6">
        <v>67</v>
      </c>
      <c r="V458" s="6">
        <f>IF(ISERROR(VLOOKUP($S$458,'TAR FIN'!$A$1:$O$104,15,0)),0,VLOOKUP($S$458,'TAR FIN'!$A$1:$O$104,15,0))</f>
        <v>26.22</v>
      </c>
      <c r="W458" s="6">
        <f>IF(ISERROR(VLOOKUP($T$458,'TAR FIN'!$A$1:$O$104,15,0)),0,VLOOKUP($T$458,'TAR FIN'!$A$1:$O$104,15,0))</f>
        <v>62.57</v>
      </c>
      <c r="X458" s="6">
        <f>IF(ISERROR(VLOOKUP($U$458,'TAR FIN'!$A$1:$O$104,15,0)),0,VLOOKUP($U$458,'TAR FIN'!$A$1:$O$104,15,0))</f>
        <v>242.82</v>
      </c>
      <c r="Y458" s="6">
        <f ca="1">('TUSD BE'!$AM$14+'TUSD BF'!$AM$14+'TUSD CVA'!$AM$14)*1</f>
        <v>26.280164278980507</v>
      </c>
      <c r="Z458" s="6">
        <f ca="1">('TUSD BE'!$AM$15+'TUSD BF'!$AM$15+'TUSD CVA'!$AM$15)*1</f>
        <v>77.876201961015255</v>
      </c>
      <c r="AA458" s="6">
        <f>('TE BE'!$AB$8+'TE BF'!$AB$8+'TE CVA'!$AB$8)*1</f>
        <v>231.76257384332172</v>
      </c>
      <c r="AB458" s="6">
        <f>$K$458*$V$458</f>
        <v>20110.739999999998</v>
      </c>
      <c r="AC458" s="6">
        <f>$M$458*$W$458</f>
        <v>6069.6028499999993</v>
      </c>
      <c r="AD458" s="6">
        <f>$O$458*$X$458</f>
        <v>23554.754099999998</v>
      </c>
      <c r="AE458" s="6">
        <f ca="1">$K$458*$Y$458</f>
        <v>20156.886001978048</v>
      </c>
      <c r="AF458" s="6">
        <f ca="1">$M$458*$Z$458</f>
        <v>7554.3809712282846</v>
      </c>
      <c r="AG458" s="6">
        <f>$O$458*$AA$458</f>
        <v>22482.128475671423</v>
      </c>
    </row>
    <row r="459" spans="1:33" ht="11.25" customHeight="1" x14ac:dyDescent="0.25">
      <c r="A459" s="4" t="s">
        <v>28</v>
      </c>
      <c r="B459" s="4" t="s">
        <v>41</v>
      </c>
      <c r="C459" s="4" t="s">
        <v>40</v>
      </c>
      <c r="D459" s="4" t="s">
        <v>38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44621</v>
      </c>
      <c r="J459" s="6">
        <v>230</v>
      </c>
      <c r="K459" s="6">
        <v>230</v>
      </c>
      <c r="L459" s="6">
        <v>13.53</v>
      </c>
      <c r="M459" s="6">
        <v>13.53</v>
      </c>
      <c r="N459" s="6">
        <v>13.53</v>
      </c>
      <c r="O459" s="6">
        <v>13.53</v>
      </c>
      <c r="P459" s="6">
        <v>0</v>
      </c>
      <c r="Q459" s="4" t="s">
        <v>26</v>
      </c>
      <c r="R459" s="4">
        <v>0</v>
      </c>
      <c r="S459" s="6">
        <v>20</v>
      </c>
      <c r="T459" s="6">
        <v>22</v>
      </c>
      <c r="U459" s="6">
        <v>67</v>
      </c>
      <c r="V459" s="6">
        <f>IF(ISERROR(VLOOKUP($S$459,'TAR FIN'!$A$1:$O$104,15,0)),0,VLOOKUP($S$459,'TAR FIN'!$A$1:$O$104,15,0))</f>
        <v>26.22</v>
      </c>
      <c r="W459" s="6">
        <f>IF(ISERROR(VLOOKUP($T$459,'TAR FIN'!$A$1:$O$104,15,0)),0,VLOOKUP($T$459,'TAR FIN'!$A$1:$O$104,15,0))</f>
        <v>62.57</v>
      </c>
      <c r="X459" s="6">
        <f>IF(ISERROR(VLOOKUP($U$459,'TAR FIN'!$A$1:$O$104,15,0)),0,VLOOKUP($U$459,'TAR FIN'!$A$1:$O$104,15,0))</f>
        <v>242.82</v>
      </c>
      <c r="Y459" s="6">
        <f ca="1">('TUSD BE'!$AM$14+'TUSD BF'!$AM$14+'TUSD CVA'!$AM$14)*1</f>
        <v>26.280164278980507</v>
      </c>
      <c r="Z459" s="6">
        <f ca="1">('TUSD BE'!$AM$15+'TUSD BF'!$AM$15+'TUSD CVA'!$AM$15)*1</f>
        <v>77.876201961015255</v>
      </c>
      <c r="AA459" s="6">
        <f>('TE BE'!$AB$8+'TE BF'!$AB$8+'TE CVA'!$AB$8)*1</f>
        <v>231.76257384332172</v>
      </c>
      <c r="AB459" s="6">
        <f>$K$459*$V$459</f>
        <v>6030.5999999999995</v>
      </c>
      <c r="AC459" s="6">
        <f>$M$459*$W$459</f>
        <v>846.57209999999998</v>
      </c>
      <c r="AD459" s="6">
        <f>$O$459*$X$459</f>
        <v>3285.3545999999997</v>
      </c>
      <c r="AE459" s="6">
        <f ca="1">$K$459*$Y$459</f>
        <v>6044.4377841655169</v>
      </c>
      <c r="AF459" s="6">
        <f ca="1">$M$459*$Z$459</f>
        <v>1053.6650125325364</v>
      </c>
      <c r="AG459" s="6">
        <f>$O$459*$AA$459</f>
        <v>3135.7476241001427</v>
      </c>
    </row>
    <row r="460" spans="1:33" ht="11.25" customHeight="1" x14ac:dyDescent="0.25">
      <c r="A460" s="4" t="s">
        <v>21</v>
      </c>
      <c r="B460" s="4" t="s">
        <v>41</v>
      </c>
      <c r="C460" s="4" t="s">
        <v>40</v>
      </c>
      <c r="D460" s="4" t="s">
        <v>38</v>
      </c>
      <c r="E460" s="4" t="s">
        <v>25</v>
      </c>
      <c r="F460" s="4" t="s">
        <v>25</v>
      </c>
      <c r="G460" s="4" t="s">
        <v>25</v>
      </c>
      <c r="H460" s="4" t="s">
        <v>35</v>
      </c>
      <c r="I460" s="5">
        <v>44652</v>
      </c>
      <c r="J460" s="6">
        <v>765</v>
      </c>
      <c r="K460" s="6">
        <v>765</v>
      </c>
      <c r="L460" s="6">
        <v>101.637</v>
      </c>
      <c r="M460" s="6">
        <v>101.637</v>
      </c>
      <c r="N460" s="6">
        <v>101.637</v>
      </c>
      <c r="O460" s="6">
        <v>101.637</v>
      </c>
      <c r="P460" s="6">
        <v>0</v>
      </c>
      <c r="Q460" s="4" t="s">
        <v>26</v>
      </c>
      <c r="R460" s="4">
        <v>0</v>
      </c>
      <c r="S460" s="6">
        <v>20</v>
      </c>
      <c r="T460" s="6">
        <v>22</v>
      </c>
      <c r="U460" s="6">
        <v>67</v>
      </c>
      <c r="V460" s="6">
        <f>IF(ISERROR(VLOOKUP($S$460,'TAR FIN'!$A$1:$O$104,15,0)),0,VLOOKUP($S$460,'TAR FIN'!$A$1:$O$104,15,0))</f>
        <v>26.22</v>
      </c>
      <c r="W460" s="6">
        <f>IF(ISERROR(VLOOKUP($T$460,'TAR FIN'!$A$1:$O$104,15,0)),0,VLOOKUP($T$460,'TAR FIN'!$A$1:$O$104,15,0))</f>
        <v>62.57</v>
      </c>
      <c r="X460" s="6">
        <f>IF(ISERROR(VLOOKUP($U$460,'TAR FIN'!$A$1:$O$104,15,0)),0,VLOOKUP($U$460,'TAR FIN'!$A$1:$O$104,15,0))</f>
        <v>242.82</v>
      </c>
      <c r="Y460" s="6">
        <f ca="1">('TUSD BE'!$AM$14+'TUSD BF'!$AM$14+'TUSD CVA'!$AM$14)*1</f>
        <v>26.280164278980507</v>
      </c>
      <c r="Z460" s="6">
        <f ca="1">('TUSD BE'!$AM$15+'TUSD BF'!$AM$15+'TUSD CVA'!$AM$15)*1</f>
        <v>77.876201961015255</v>
      </c>
      <c r="AA460" s="6">
        <f>('TE BE'!$AB$8+'TE BF'!$AB$8+'TE CVA'!$AB$8)*1</f>
        <v>231.76257384332172</v>
      </c>
      <c r="AB460" s="6">
        <f>$K$460*$V$460</f>
        <v>20058.3</v>
      </c>
      <c r="AC460" s="6">
        <f>$M$460*$W$460</f>
        <v>6359.4270900000001</v>
      </c>
      <c r="AD460" s="6">
        <f>$O$460*$X$460</f>
        <v>24679.496339999998</v>
      </c>
      <c r="AE460" s="6">
        <f ca="1">$K$460*$Y$460</f>
        <v>20104.325673420088</v>
      </c>
      <c r="AF460" s="6">
        <f ca="1">$M$460*$Z$460</f>
        <v>7915.1035387117072</v>
      </c>
      <c r="AG460" s="6">
        <f>$O$460*$AA$460</f>
        <v>23555.652717713689</v>
      </c>
    </row>
    <row r="461" spans="1:33" ht="11.25" customHeight="1" x14ac:dyDescent="0.25">
      <c r="A461" s="4" t="s">
        <v>28</v>
      </c>
      <c r="B461" s="4" t="s">
        <v>41</v>
      </c>
      <c r="C461" s="4" t="s">
        <v>40</v>
      </c>
      <c r="D461" s="4" t="s">
        <v>38</v>
      </c>
      <c r="E461" s="4" t="s">
        <v>25</v>
      </c>
      <c r="F461" s="4" t="s">
        <v>25</v>
      </c>
      <c r="G461" s="4" t="s">
        <v>25</v>
      </c>
      <c r="H461" s="4" t="s">
        <v>35</v>
      </c>
      <c r="I461" s="5">
        <v>44652</v>
      </c>
      <c r="J461" s="6">
        <v>230</v>
      </c>
      <c r="K461" s="6">
        <v>230</v>
      </c>
      <c r="L461" s="6">
        <v>16.568999999999999</v>
      </c>
      <c r="M461" s="6">
        <v>16.568999999999999</v>
      </c>
      <c r="N461" s="6">
        <v>16.568999999999999</v>
      </c>
      <c r="O461" s="6">
        <v>16.568999999999999</v>
      </c>
      <c r="P461" s="6">
        <v>0</v>
      </c>
      <c r="Q461" s="4" t="s">
        <v>26</v>
      </c>
      <c r="R461" s="4">
        <v>0</v>
      </c>
      <c r="S461" s="6">
        <v>20</v>
      </c>
      <c r="T461" s="6">
        <v>22</v>
      </c>
      <c r="U461" s="6">
        <v>67</v>
      </c>
      <c r="V461" s="6">
        <f>IF(ISERROR(VLOOKUP($S$461,'TAR FIN'!$A$1:$O$104,15,0)),0,VLOOKUP($S$461,'TAR FIN'!$A$1:$O$104,15,0))</f>
        <v>26.22</v>
      </c>
      <c r="W461" s="6">
        <f>IF(ISERROR(VLOOKUP($T$461,'TAR FIN'!$A$1:$O$104,15,0)),0,VLOOKUP($T$461,'TAR FIN'!$A$1:$O$104,15,0))</f>
        <v>62.57</v>
      </c>
      <c r="X461" s="6">
        <f>IF(ISERROR(VLOOKUP($U$461,'TAR FIN'!$A$1:$O$104,15,0)),0,VLOOKUP($U$461,'TAR FIN'!$A$1:$O$104,15,0))</f>
        <v>242.82</v>
      </c>
      <c r="Y461" s="6">
        <f ca="1">('TUSD BE'!$AM$14+'TUSD BF'!$AM$14+'TUSD CVA'!$AM$14)*1</f>
        <v>26.280164278980507</v>
      </c>
      <c r="Z461" s="6">
        <f ca="1">('TUSD BE'!$AM$15+'TUSD BF'!$AM$15+'TUSD CVA'!$AM$15)*1</f>
        <v>77.876201961015255</v>
      </c>
      <c r="AA461" s="6">
        <f>('TE BE'!$AB$8+'TE BF'!$AB$8+'TE CVA'!$AB$8)*1</f>
        <v>231.76257384332172</v>
      </c>
      <c r="AB461" s="6">
        <f>$K$461*$V$461</f>
        <v>6030.5999999999995</v>
      </c>
      <c r="AC461" s="6">
        <f>$M$461*$W$461</f>
        <v>1036.7223300000001</v>
      </c>
      <c r="AD461" s="6">
        <f>$O$461*$X$461</f>
        <v>4023.2845799999996</v>
      </c>
      <c r="AE461" s="6">
        <f ca="1">$K$461*$Y$461</f>
        <v>6044.4377841655169</v>
      </c>
      <c r="AF461" s="6">
        <f ca="1">$M$461*$Z$461</f>
        <v>1290.3307902920617</v>
      </c>
      <c r="AG461" s="6">
        <f>$O$461*$AA$461</f>
        <v>3840.0740860099972</v>
      </c>
    </row>
    <row r="462" spans="1:33" ht="11.25" customHeight="1" x14ac:dyDescent="0.25">
      <c r="A462" s="4" t="s">
        <v>21</v>
      </c>
      <c r="B462" s="4" t="s">
        <v>41</v>
      </c>
      <c r="C462" s="4" t="s">
        <v>40</v>
      </c>
      <c r="D462" s="4" t="s">
        <v>38</v>
      </c>
      <c r="E462" s="4" t="s">
        <v>25</v>
      </c>
      <c r="F462" s="4" t="s">
        <v>25</v>
      </c>
      <c r="G462" s="4" t="s">
        <v>25</v>
      </c>
      <c r="H462" s="4" t="s">
        <v>35</v>
      </c>
      <c r="I462" s="5">
        <v>44682</v>
      </c>
      <c r="J462" s="6">
        <v>767</v>
      </c>
      <c r="K462" s="6">
        <v>767</v>
      </c>
      <c r="L462" s="6">
        <v>108.212</v>
      </c>
      <c r="M462" s="6">
        <v>108.212</v>
      </c>
      <c r="N462" s="6">
        <v>108.212</v>
      </c>
      <c r="O462" s="6">
        <v>108.212</v>
      </c>
      <c r="P462" s="6">
        <v>0</v>
      </c>
      <c r="Q462" s="4" t="s">
        <v>26</v>
      </c>
      <c r="R462" s="4">
        <v>0</v>
      </c>
      <c r="S462" s="6">
        <v>20</v>
      </c>
      <c r="T462" s="6">
        <v>22</v>
      </c>
      <c r="U462" s="6">
        <v>67</v>
      </c>
      <c r="V462" s="6">
        <f>IF(ISERROR(VLOOKUP($S$462,'TAR FIN'!$A$1:$O$104,15,0)),0,VLOOKUP($S$462,'TAR FIN'!$A$1:$O$104,15,0))</f>
        <v>26.22</v>
      </c>
      <c r="W462" s="6">
        <f>IF(ISERROR(VLOOKUP($T$462,'TAR FIN'!$A$1:$O$104,15,0)),0,VLOOKUP($T$462,'TAR FIN'!$A$1:$O$104,15,0))</f>
        <v>62.57</v>
      </c>
      <c r="X462" s="6">
        <f>IF(ISERROR(VLOOKUP($U$462,'TAR FIN'!$A$1:$O$104,15,0)),0,VLOOKUP($U$462,'TAR FIN'!$A$1:$O$104,15,0))</f>
        <v>242.82</v>
      </c>
      <c r="Y462" s="6">
        <f ca="1">('TUSD BE'!$AM$14+'TUSD BF'!$AM$14+'TUSD CVA'!$AM$14)*1</f>
        <v>26.280164278980507</v>
      </c>
      <c r="Z462" s="6">
        <f ca="1">('TUSD BE'!$AM$15+'TUSD BF'!$AM$15+'TUSD CVA'!$AM$15)*1</f>
        <v>77.876201961015255</v>
      </c>
      <c r="AA462" s="6">
        <f>('TE BE'!$AB$8+'TE BF'!$AB$8+'TE CVA'!$AB$8)*1</f>
        <v>231.76257384332172</v>
      </c>
      <c r="AB462" s="6">
        <f>$K$462*$V$462</f>
        <v>20110.739999999998</v>
      </c>
      <c r="AC462" s="6">
        <f>$M$462*$W$462</f>
        <v>6770.8248400000002</v>
      </c>
      <c r="AD462" s="6">
        <f>$O$462*$X$462</f>
        <v>26276.037840000001</v>
      </c>
      <c r="AE462" s="6">
        <f ca="1">$K$462*$Y$462</f>
        <v>20156.886001978048</v>
      </c>
      <c r="AF462" s="6">
        <f ca="1">$M$462*$Z$462</f>
        <v>8427.1395666053832</v>
      </c>
      <c r="AG462" s="6">
        <f>$O$462*$AA$462</f>
        <v>25079.491640733529</v>
      </c>
    </row>
    <row r="463" spans="1:33" ht="11.25" customHeight="1" x14ac:dyDescent="0.25">
      <c r="A463" s="4" t="s">
        <v>28</v>
      </c>
      <c r="B463" s="4" t="s">
        <v>41</v>
      </c>
      <c r="C463" s="4" t="s">
        <v>40</v>
      </c>
      <c r="D463" s="4" t="s">
        <v>38</v>
      </c>
      <c r="E463" s="4" t="s">
        <v>25</v>
      </c>
      <c r="F463" s="4" t="s">
        <v>25</v>
      </c>
      <c r="G463" s="4" t="s">
        <v>25</v>
      </c>
      <c r="H463" s="4" t="s">
        <v>35</v>
      </c>
      <c r="I463" s="5">
        <v>44682</v>
      </c>
      <c r="J463" s="6">
        <v>230</v>
      </c>
      <c r="K463" s="6">
        <v>230</v>
      </c>
      <c r="L463" s="6">
        <v>27.782</v>
      </c>
      <c r="M463" s="6">
        <v>27.782</v>
      </c>
      <c r="N463" s="6">
        <v>27.782</v>
      </c>
      <c r="O463" s="6">
        <v>27.782</v>
      </c>
      <c r="P463" s="6">
        <v>0</v>
      </c>
      <c r="Q463" s="4" t="s">
        <v>26</v>
      </c>
      <c r="R463" s="4">
        <v>0</v>
      </c>
      <c r="S463" s="6">
        <v>20</v>
      </c>
      <c r="T463" s="6">
        <v>22</v>
      </c>
      <c r="U463" s="6">
        <v>67</v>
      </c>
      <c r="V463" s="6">
        <f>IF(ISERROR(VLOOKUP($S$463,'TAR FIN'!$A$1:$O$104,15,0)),0,VLOOKUP($S$463,'TAR FIN'!$A$1:$O$104,15,0))</f>
        <v>26.22</v>
      </c>
      <c r="W463" s="6">
        <f>IF(ISERROR(VLOOKUP($T$463,'TAR FIN'!$A$1:$O$104,15,0)),0,VLOOKUP($T$463,'TAR FIN'!$A$1:$O$104,15,0))</f>
        <v>62.57</v>
      </c>
      <c r="X463" s="6">
        <f>IF(ISERROR(VLOOKUP($U$463,'TAR FIN'!$A$1:$O$104,15,0)),0,VLOOKUP($U$463,'TAR FIN'!$A$1:$O$104,15,0))</f>
        <v>242.82</v>
      </c>
      <c r="Y463" s="6">
        <f ca="1">('TUSD BE'!$AM$14+'TUSD BF'!$AM$14+'TUSD CVA'!$AM$14)*1</f>
        <v>26.280164278980507</v>
      </c>
      <c r="Z463" s="6">
        <f ca="1">('TUSD BE'!$AM$15+'TUSD BF'!$AM$15+'TUSD CVA'!$AM$15)*1</f>
        <v>77.876201961015255</v>
      </c>
      <c r="AA463" s="6">
        <f>('TE BE'!$AB$8+'TE BF'!$AB$8+'TE CVA'!$AB$8)*1</f>
        <v>231.76257384332172</v>
      </c>
      <c r="AB463" s="6">
        <f>$K$463*$V$463</f>
        <v>6030.5999999999995</v>
      </c>
      <c r="AC463" s="6">
        <f>$M$463*$W$463</f>
        <v>1738.3197399999999</v>
      </c>
      <c r="AD463" s="6">
        <f>$O$463*$X$463</f>
        <v>6746.0252399999999</v>
      </c>
      <c r="AE463" s="6">
        <f ca="1">$K$463*$Y$463</f>
        <v>6044.4377841655169</v>
      </c>
      <c r="AF463" s="6">
        <f ca="1">$M$463*$Z$463</f>
        <v>2163.5566428809257</v>
      </c>
      <c r="AG463" s="6">
        <f>$O$463*$AA$463</f>
        <v>6438.8278265151639</v>
      </c>
    </row>
    <row r="464" spans="1:33" ht="11.25" customHeight="1" x14ac:dyDescent="0.25">
      <c r="A464" s="4" t="s">
        <v>21</v>
      </c>
      <c r="B464" s="4" t="s">
        <v>41</v>
      </c>
      <c r="C464" s="4" t="s">
        <v>40</v>
      </c>
      <c r="D464" s="4" t="s">
        <v>38</v>
      </c>
      <c r="E464" s="4" t="s">
        <v>25</v>
      </c>
      <c r="F464" s="4" t="s">
        <v>25</v>
      </c>
      <c r="G464" s="4" t="s">
        <v>25</v>
      </c>
      <c r="H464" s="4" t="s">
        <v>35</v>
      </c>
      <c r="I464" s="5">
        <v>44713</v>
      </c>
      <c r="J464" s="6">
        <v>765</v>
      </c>
      <c r="K464" s="6">
        <v>765</v>
      </c>
      <c r="L464" s="6">
        <v>102.377</v>
      </c>
      <c r="M464" s="6">
        <v>102.377</v>
      </c>
      <c r="N464" s="6">
        <v>102.377</v>
      </c>
      <c r="O464" s="6">
        <v>102.377</v>
      </c>
      <c r="P464" s="6">
        <v>0</v>
      </c>
      <c r="Q464" s="4" t="s">
        <v>26</v>
      </c>
      <c r="R464" s="4">
        <v>0</v>
      </c>
      <c r="S464" s="6">
        <v>20</v>
      </c>
      <c r="T464" s="6">
        <v>22</v>
      </c>
      <c r="U464" s="6">
        <v>67</v>
      </c>
      <c r="V464" s="6">
        <f>IF(ISERROR(VLOOKUP($S$464,'TAR FIN'!$A$1:$O$104,15,0)),0,VLOOKUP($S$464,'TAR FIN'!$A$1:$O$104,15,0))</f>
        <v>26.22</v>
      </c>
      <c r="W464" s="6">
        <f>IF(ISERROR(VLOOKUP($T$464,'TAR FIN'!$A$1:$O$104,15,0)),0,VLOOKUP($T$464,'TAR FIN'!$A$1:$O$104,15,0))</f>
        <v>62.57</v>
      </c>
      <c r="X464" s="6">
        <f>IF(ISERROR(VLOOKUP($U$464,'TAR FIN'!$A$1:$O$104,15,0)),0,VLOOKUP($U$464,'TAR FIN'!$A$1:$O$104,15,0))</f>
        <v>242.82</v>
      </c>
      <c r="Y464" s="6">
        <f ca="1">('TUSD BE'!$AM$14+'TUSD BF'!$AM$14+'TUSD CVA'!$AM$14)*1</f>
        <v>26.280164278980507</v>
      </c>
      <c r="Z464" s="6">
        <f ca="1">('TUSD BE'!$AM$15+'TUSD BF'!$AM$15+'TUSD CVA'!$AM$15)*1</f>
        <v>77.876201961015255</v>
      </c>
      <c r="AA464" s="6">
        <f>('TE BE'!$AB$8+'TE BF'!$AB$8+'TE CVA'!$AB$8)*1</f>
        <v>231.76257384332172</v>
      </c>
      <c r="AB464" s="6">
        <f>$K$464*$V$464</f>
        <v>20058.3</v>
      </c>
      <c r="AC464" s="6">
        <f>$M$464*$W$464</f>
        <v>6405.7288899999994</v>
      </c>
      <c r="AD464" s="6">
        <f>$O$464*$X$464</f>
        <v>24859.183139999997</v>
      </c>
      <c r="AE464" s="6">
        <f ca="1">$K$464*$Y$464</f>
        <v>20104.325673420088</v>
      </c>
      <c r="AF464" s="6">
        <f ca="1">$M$464*$Z$464</f>
        <v>7972.7319281628588</v>
      </c>
      <c r="AG464" s="6">
        <f>$O$464*$AA$464</f>
        <v>23727.157022357747</v>
      </c>
    </row>
    <row r="465" spans="1:33" ht="11.25" customHeight="1" x14ac:dyDescent="0.25">
      <c r="A465" s="4" t="s">
        <v>28</v>
      </c>
      <c r="B465" s="4" t="s">
        <v>41</v>
      </c>
      <c r="C465" s="4" t="s">
        <v>40</v>
      </c>
      <c r="D465" s="4" t="s">
        <v>38</v>
      </c>
      <c r="E465" s="4" t="s">
        <v>25</v>
      </c>
      <c r="F465" s="4" t="s">
        <v>25</v>
      </c>
      <c r="G465" s="4" t="s">
        <v>25</v>
      </c>
      <c r="H465" s="4" t="s">
        <v>35</v>
      </c>
      <c r="I465" s="5">
        <v>44713</v>
      </c>
      <c r="J465" s="6">
        <v>230</v>
      </c>
      <c r="K465" s="6">
        <v>230</v>
      </c>
      <c r="L465" s="6">
        <v>24.739000000000001</v>
      </c>
      <c r="M465" s="6">
        <v>24.739000000000001</v>
      </c>
      <c r="N465" s="6">
        <v>24.739000000000001</v>
      </c>
      <c r="O465" s="6">
        <v>24.739000000000001</v>
      </c>
      <c r="P465" s="6">
        <v>0</v>
      </c>
      <c r="Q465" s="4" t="s">
        <v>26</v>
      </c>
      <c r="R465" s="4">
        <v>0</v>
      </c>
      <c r="S465" s="6">
        <v>20</v>
      </c>
      <c r="T465" s="6">
        <v>22</v>
      </c>
      <c r="U465" s="6">
        <v>67</v>
      </c>
      <c r="V465" s="6">
        <f>IF(ISERROR(VLOOKUP($S$465,'TAR FIN'!$A$1:$O$104,15,0)),0,VLOOKUP($S$465,'TAR FIN'!$A$1:$O$104,15,0))</f>
        <v>26.22</v>
      </c>
      <c r="W465" s="6">
        <f>IF(ISERROR(VLOOKUP($T$465,'TAR FIN'!$A$1:$O$104,15,0)),0,VLOOKUP($T$465,'TAR FIN'!$A$1:$O$104,15,0))</f>
        <v>62.57</v>
      </c>
      <c r="X465" s="6">
        <f>IF(ISERROR(VLOOKUP($U$465,'TAR FIN'!$A$1:$O$104,15,0)),0,VLOOKUP($U$465,'TAR FIN'!$A$1:$O$104,15,0))</f>
        <v>242.82</v>
      </c>
      <c r="Y465" s="6">
        <f ca="1">('TUSD BE'!$AM$14+'TUSD BF'!$AM$14+'TUSD CVA'!$AM$14)*1</f>
        <v>26.280164278980507</v>
      </c>
      <c r="Z465" s="6">
        <f ca="1">('TUSD BE'!$AM$15+'TUSD BF'!$AM$15+'TUSD CVA'!$AM$15)*1</f>
        <v>77.876201961015255</v>
      </c>
      <c r="AA465" s="6">
        <f>('TE BE'!$AB$8+'TE BF'!$AB$8+'TE CVA'!$AB$8)*1</f>
        <v>231.76257384332172</v>
      </c>
      <c r="AB465" s="6">
        <f>$K$465*$V$465</f>
        <v>6030.5999999999995</v>
      </c>
      <c r="AC465" s="6">
        <f>$M$465*$W$465</f>
        <v>1547.91923</v>
      </c>
      <c r="AD465" s="6">
        <f>$O$465*$X$465</f>
        <v>6007.1239800000003</v>
      </c>
      <c r="AE465" s="6">
        <f ca="1">$K$465*$Y$465</f>
        <v>6044.4377841655169</v>
      </c>
      <c r="AF465" s="6">
        <f ca="1">$M$465*$Z$465</f>
        <v>1926.5793603135564</v>
      </c>
      <c r="AG465" s="6">
        <f>$O$465*$AA$465</f>
        <v>5733.5743143099362</v>
      </c>
    </row>
    <row r="466" spans="1:33" ht="11.25" customHeight="1" x14ac:dyDescent="0.25">
      <c r="A466" s="4" t="s">
        <v>57</v>
      </c>
      <c r="B466" s="4" t="s">
        <v>41</v>
      </c>
      <c r="C466" s="4" t="s">
        <v>40</v>
      </c>
      <c r="D466" s="4" t="s">
        <v>38</v>
      </c>
      <c r="E466" s="4" t="s">
        <v>25</v>
      </c>
      <c r="F466" s="4" t="s">
        <v>25</v>
      </c>
      <c r="G466" s="4" t="s">
        <v>25</v>
      </c>
      <c r="H466" s="4" t="s">
        <v>35</v>
      </c>
      <c r="I466" s="5">
        <v>44743</v>
      </c>
      <c r="J466" s="6">
        <v>765</v>
      </c>
      <c r="K466" s="6">
        <v>765</v>
      </c>
      <c r="L466" s="6">
        <v>102.377</v>
      </c>
      <c r="M466" s="6">
        <v>102.377</v>
      </c>
      <c r="N466" s="6">
        <v>102.377</v>
      </c>
      <c r="O466" s="6">
        <v>102.377</v>
      </c>
      <c r="P466" s="6">
        <v>0</v>
      </c>
      <c r="Q466" s="4" t="s">
        <v>26</v>
      </c>
      <c r="R466" s="4">
        <v>0</v>
      </c>
      <c r="S466" s="6">
        <v>20</v>
      </c>
      <c r="T466" s="6">
        <v>22</v>
      </c>
      <c r="U466" s="6">
        <v>67</v>
      </c>
      <c r="V466" s="6">
        <f>IF(ISERROR(VLOOKUP($S$466,'TAR FIN'!$A$1:$O$104,15,0)),0,VLOOKUP($S$466,'TAR FIN'!$A$1:$O$104,15,0))</f>
        <v>26.22</v>
      </c>
      <c r="W466" s="6">
        <f>IF(ISERROR(VLOOKUP($T$466,'TAR FIN'!$A$1:$O$104,15,0)),0,VLOOKUP($T$466,'TAR FIN'!$A$1:$O$104,15,0))</f>
        <v>62.57</v>
      </c>
      <c r="X466" s="6">
        <f>IF(ISERROR(VLOOKUP($U$466,'TAR FIN'!$A$1:$O$104,15,0)),0,VLOOKUP($U$466,'TAR FIN'!$A$1:$O$104,15,0))</f>
        <v>242.82</v>
      </c>
      <c r="Y466" s="6">
        <f ca="1">('TUSD BE'!$AM$14+'TUSD BF'!$AM$14+'TUSD CVA'!$AM$14)*1</f>
        <v>26.280164278980507</v>
      </c>
      <c r="Z466" s="6">
        <f ca="1">('TUSD BE'!$AM$15+'TUSD BF'!$AM$15+'TUSD CVA'!$AM$15)*1</f>
        <v>77.876201961015255</v>
      </c>
      <c r="AA466" s="6">
        <f>('TE BE'!$AB$8+'TE BF'!$AB$8+'TE CVA'!$AB$8)*1</f>
        <v>231.76257384332172</v>
      </c>
      <c r="AB466" s="6">
        <f>$K$466*$V$466</f>
        <v>20058.3</v>
      </c>
      <c r="AC466" s="6">
        <f>$M$466*$W$466</f>
        <v>6405.7288899999994</v>
      </c>
      <c r="AD466" s="6">
        <f>$O$466*$X$466</f>
        <v>24859.183139999997</v>
      </c>
      <c r="AE466" s="6">
        <f ca="1">$K$466*$Y$466</f>
        <v>20104.325673420088</v>
      </c>
      <c r="AF466" s="6">
        <f ca="1">$M$466*$Z$466</f>
        <v>7972.7319281628588</v>
      </c>
      <c r="AG466" s="6">
        <f>$O$466*$AA$466</f>
        <v>23727.157022357747</v>
      </c>
    </row>
    <row r="467" spans="1:33" ht="11.25" customHeight="1" x14ac:dyDescent="0.25">
      <c r="A467" s="4" t="s">
        <v>57</v>
      </c>
      <c r="B467" s="4" t="s">
        <v>41</v>
      </c>
      <c r="C467" s="4" t="s">
        <v>40</v>
      </c>
      <c r="D467" s="4" t="s">
        <v>38</v>
      </c>
      <c r="E467" s="4" t="s">
        <v>25</v>
      </c>
      <c r="F467" s="4" t="s">
        <v>25</v>
      </c>
      <c r="G467" s="4" t="s">
        <v>25</v>
      </c>
      <c r="H467" s="4" t="s">
        <v>35</v>
      </c>
      <c r="I467" s="5">
        <v>44743</v>
      </c>
      <c r="J467" s="6">
        <v>230</v>
      </c>
      <c r="K467" s="6">
        <v>230</v>
      </c>
      <c r="L467" s="6">
        <v>24.739000000000001</v>
      </c>
      <c r="M467" s="6">
        <v>24.739000000000001</v>
      </c>
      <c r="N467" s="6">
        <v>24.739000000000001</v>
      </c>
      <c r="O467" s="6">
        <v>24.739000000000001</v>
      </c>
      <c r="P467" s="6">
        <v>0</v>
      </c>
      <c r="Q467" s="4" t="s">
        <v>26</v>
      </c>
      <c r="R467" s="4">
        <v>0</v>
      </c>
      <c r="S467" s="6">
        <v>20</v>
      </c>
      <c r="T467" s="6">
        <v>22</v>
      </c>
      <c r="U467" s="6">
        <v>67</v>
      </c>
      <c r="V467" s="6">
        <f>IF(ISERROR(VLOOKUP($S$467,'TAR FIN'!$A$1:$O$104,15,0)),0,VLOOKUP($S$467,'TAR FIN'!$A$1:$O$104,15,0))</f>
        <v>26.22</v>
      </c>
      <c r="W467" s="6">
        <f>IF(ISERROR(VLOOKUP($T$467,'TAR FIN'!$A$1:$O$104,15,0)),0,VLOOKUP($T$467,'TAR FIN'!$A$1:$O$104,15,0))</f>
        <v>62.57</v>
      </c>
      <c r="X467" s="6">
        <f>IF(ISERROR(VLOOKUP($U$467,'TAR FIN'!$A$1:$O$104,15,0)),0,VLOOKUP($U$467,'TAR FIN'!$A$1:$O$104,15,0))</f>
        <v>242.82</v>
      </c>
      <c r="Y467" s="6">
        <f ca="1">('TUSD BE'!$AM$14+'TUSD BF'!$AM$14+'TUSD CVA'!$AM$14)*1</f>
        <v>26.280164278980507</v>
      </c>
      <c r="Z467" s="6">
        <f ca="1">('TUSD BE'!$AM$15+'TUSD BF'!$AM$15+'TUSD CVA'!$AM$15)*1</f>
        <v>77.876201961015255</v>
      </c>
      <c r="AA467" s="6">
        <f>('TE BE'!$AB$8+'TE BF'!$AB$8+'TE CVA'!$AB$8)*1</f>
        <v>231.76257384332172</v>
      </c>
      <c r="AB467" s="6">
        <f>$K$467*$V$467</f>
        <v>6030.5999999999995</v>
      </c>
      <c r="AC467" s="6">
        <f>$M$467*$W$467</f>
        <v>1547.91923</v>
      </c>
      <c r="AD467" s="6">
        <f>$O$467*$X$467</f>
        <v>6007.1239800000003</v>
      </c>
      <c r="AE467" s="6">
        <f ca="1">$K$467*$Y$467</f>
        <v>6044.4377841655169</v>
      </c>
      <c r="AF467" s="6">
        <f ca="1">$M$467*$Z$467</f>
        <v>1926.5793603135564</v>
      </c>
      <c r="AG467" s="6">
        <f>$O$467*$AA$467</f>
        <v>5733.5743143099362</v>
      </c>
    </row>
    <row r="468" spans="1:33" ht="11.25" customHeight="1" x14ac:dyDescent="0.25">
      <c r="A468" s="4" t="s">
        <v>21</v>
      </c>
      <c r="B468" s="4" t="s">
        <v>41</v>
      </c>
      <c r="C468" s="4" t="s">
        <v>40</v>
      </c>
      <c r="D468" s="4" t="s">
        <v>38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44409</v>
      </c>
      <c r="J468" s="6">
        <v>0</v>
      </c>
      <c r="K468" s="6">
        <v>0</v>
      </c>
      <c r="L468" s="6">
        <v>1794.596</v>
      </c>
      <c r="M468" s="6">
        <v>1794.596</v>
      </c>
      <c r="N468" s="6">
        <v>0</v>
      </c>
      <c r="O468" s="6">
        <v>0</v>
      </c>
      <c r="P468" s="6">
        <v>1</v>
      </c>
      <c r="Q468" s="4" t="s">
        <v>58</v>
      </c>
      <c r="R468" s="4">
        <v>0</v>
      </c>
      <c r="S468" s="6">
        <v>0</v>
      </c>
      <c r="T468" s="6">
        <v>22</v>
      </c>
      <c r="U468" s="6">
        <v>0</v>
      </c>
      <c r="V468" s="6">
        <f>IF(ISERROR(VLOOKUP($S$468,'TAR FIN'!$A$1:$O$104,15,0)),0,VLOOKUP($S$468,'TAR FIN'!$A$1:$O$104,15,0))</f>
        <v>0</v>
      </c>
      <c r="W468" s="6">
        <f>IF(ISERROR(VLOOKUP($T$468,'TAR FIN'!$A$1:$O$104,15,0)),0,VLOOKUP($T$468,'TAR FIN'!$A$1:$O$104,15,0))</f>
        <v>62.57</v>
      </c>
      <c r="X468" s="6">
        <f>IF(ISERROR(VLOOKUP($U$468,'TAR FIN'!$A$1:$O$104,15,0)),0,VLOOKUP($U$468,'TAR FIN'!$A$1:$O$104,15,0))</f>
        <v>0</v>
      </c>
      <c r="Y468" s="6"/>
      <c r="Z468" s="6">
        <f ca="1">('TUSD BE'!$AM$15+'TUSD BF'!$AM$15+'TUSD CVA'!$AM$15)*1</f>
        <v>77.876201961015255</v>
      </c>
      <c r="AA468" s="6"/>
      <c r="AB468" s="6">
        <f>$K$468*$V$468</f>
        <v>0</v>
      </c>
      <c r="AC468" s="6">
        <f>$M$468*$W$468</f>
        <v>112287.87172</v>
      </c>
      <c r="AD468" s="6">
        <f>$O$468*$X$468</f>
        <v>0</v>
      </c>
      <c r="AE468" s="6">
        <f>$K$468*$Y$468</f>
        <v>0</v>
      </c>
      <c r="AF468" s="6">
        <f ca="1">$M$468*$Z$468</f>
        <v>139756.32053443012</v>
      </c>
      <c r="AG468" s="6">
        <f>$O$468*$AA$468</f>
        <v>0</v>
      </c>
    </row>
    <row r="469" spans="1:33" ht="11.25" customHeight="1" x14ac:dyDescent="0.25">
      <c r="A469" s="4" t="s">
        <v>21</v>
      </c>
      <c r="B469" s="4" t="s">
        <v>41</v>
      </c>
      <c r="C469" s="4" t="s">
        <v>40</v>
      </c>
      <c r="D469" s="4" t="s">
        <v>38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44440</v>
      </c>
      <c r="J469" s="6">
        <v>0</v>
      </c>
      <c r="K469" s="6">
        <v>0</v>
      </c>
      <c r="L469" s="6">
        <v>1644.855</v>
      </c>
      <c r="M469" s="6">
        <v>1644.855</v>
      </c>
      <c r="N469" s="6">
        <v>0</v>
      </c>
      <c r="O469" s="6">
        <v>0</v>
      </c>
      <c r="P469" s="6">
        <v>1</v>
      </c>
      <c r="Q469" s="4" t="s">
        <v>58</v>
      </c>
      <c r="R469" s="4">
        <v>0</v>
      </c>
      <c r="S469" s="6">
        <v>0</v>
      </c>
      <c r="T469" s="6">
        <v>22</v>
      </c>
      <c r="U469" s="6">
        <v>0</v>
      </c>
      <c r="V469" s="6">
        <f>IF(ISERROR(VLOOKUP($S$469,'TAR FIN'!$A$1:$O$104,15,0)),0,VLOOKUP($S$469,'TAR FIN'!$A$1:$O$104,15,0))</f>
        <v>0</v>
      </c>
      <c r="W469" s="6">
        <f>IF(ISERROR(VLOOKUP($T$469,'TAR FIN'!$A$1:$O$104,15,0)),0,VLOOKUP($T$469,'TAR FIN'!$A$1:$O$104,15,0))</f>
        <v>62.57</v>
      </c>
      <c r="X469" s="6">
        <f>IF(ISERROR(VLOOKUP($U$469,'TAR FIN'!$A$1:$O$104,15,0)),0,VLOOKUP($U$469,'TAR FIN'!$A$1:$O$104,15,0))</f>
        <v>0</v>
      </c>
      <c r="Y469" s="6"/>
      <c r="Z469" s="6">
        <f ca="1">('TUSD BE'!$AM$15+'TUSD BF'!$AM$15+'TUSD CVA'!$AM$15)*1</f>
        <v>77.876201961015255</v>
      </c>
      <c r="AA469" s="6"/>
      <c r="AB469" s="6">
        <f>$K$469*$V$469</f>
        <v>0</v>
      </c>
      <c r="AC469" s="6">
        <f>$M$469*$W$469</f>
        <v>102918.57735000001</v>
      </c>
      <c r="AD469" s="6">
        <f>$O$469*$X$469</f>
        <v>0</v>
      </c>
      <c r="AE469" s="6">
        <f>$K$469*$Y$469</f>
        <v>0</v>
      </c>
      <c r="AF469" s="6">
        <f ca="1">$M$469*$Z$469</f>
        <v>128095.06017658574</v>
      </c>
      <c r="AG469" s="6">
        <f>$O$469*$AA$469</f>
        <v>0</v>
      </c>
    </row>
    <row r="470" spans="1:33" ht="11.25" customHeight="1" x14ac:dyDescent="0.25">
      <c r="A470" s="4" t="s">
        <v>21</v>
      </c>
      <c r="B470" s="4" t="s">
        <v>41</v>
      </c>
      <c r="C470" s="4" t="s">
        <v>40</v>
      </c>
      <c r="D470" s="4" t="s">
        <v>38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44470</v>
      </c>
      <c r="J470" s="6">
        <v>0</v>
      </c>
      <c r="K470" s="6">
        <v>0</v>
      </c>
      <c r="L470" s="6">
        <v>1789.5329999999999</v>
      </c>
      <c r="M470" s="6">
        <v>1789.5329999999999</v>
      </c>
      <c r="N470" s="6">
        <v>0</v>
      </c>
      <c r="O470" s="6">
        <v>0</v>
      </c>
      <c r="P470" s="6">
        <v>1</v>
      </c>
      <c r="Q470" s="4" t="s">
        <v>58</v>
      </c>
      <c r="R470" s="4">
        <v>0</v>
      </c>
      <c r="S470" s="6">
        <v>0</v>
      </c>
      <c r="T470" s="6">
        <v>22</v>
      </c>
      <c r="U470" s="6">
        <v>0</v>
      </c>
      <c r="V470" s="6">
        <f>IF(ISERROR(VLOOKUP($S$470,'TAR FIN'!$A$1:$O$104,15,0)),0,VLOOKUP($S$470,'TAR FIN'!$A$1:$O$104,15,0))</f>
        <v>0</v>
      </c>
      <c r="W470" s="6">
        <f>IF(ISERROR(VLOOKUP($T$470,'TAR FIN'!$A$1:$O$104,15,0)),0,VLOOKUP($T$470,'TAR FIN'!$A$1:$O$104,15,0))</f>
        <v>62.57</v>
      </c>
      <c r="X470" s="6">
        <f>IF(ISERROR(VLOOKUP($U$470,'TAR FIN'!$A$1:$O$104,15,0)),0,VLOOKUP($U$470,'TAR FIN'!$A$1:$O$104,15,0))</f>
        <v>0</v>
      </c>
      <c r="Y470" s="6"/>
      <c r="Z470" s="6">
        <f ca="1">('TUSD BE'!$AM$15+'TUSD BF'!$AM$15+'TUSD CVA'!$AM$15)*1</f>
        <v>77.876201961015255</v>
      </c>
      <c r="AA470" s="6"/>
      <c r="AB470" s="6">
        <f>$K$470*$V$470</f>
        <v>0</v>
      </c>
      <c r="AC470" s="6">
        <f>$M$470*$W$470</f>
        <v>111971.07981</v>
      </c>
      <c r="AD470" s="6">
        <f>$O$470*$X$470</f>
        <v>0</v>
      </c>
      <c r="AE470" s="6">
        <f>$K$470*$Y$470</f>
        <v>0</v>
      </c>
      <c r="AF470" s="6">
        <f ca="1">$M$470*$Z$470</f>
        <v>139362.0333239015</v>
      </c>
      <c r="AG470" s="6">
        <f>$O$470*$AA$470</f>
        <v>0</v>
      </c>
    </row>
    <row r="471" spans="1:33" ht="11.25" customHeight="1" x14ac:dyDescent="0.25">
      <c r="A471" s="4" t="s">
        <v>21</v>
      </c>
      <c r="B471" s="4" t="s">
        <v>41</v>
      </c>
      <c r="C471" s="4" t="s">
        <v>40</v>
      </c>
      <c r="D471" s="4" t="s">
        <v>38</v>
      </c>
      <c r="E471" s="4" t="s">
        <v>25</v>
      </c>
      <c r="F471" s="4" t="s">
        <v>25</v>
      </c>
      <c r="G471" s="4" t="s">
        <v>25</v>
      </c>
      <c r="H471" s="4" t="s">
        <v>34</v>
      </c>
      <c r="I471" s="5">
        <v>44409</v>
      </c>
      <c r="J471" s="6">
        <v>678</v>
      </c>
      <c r="K471" s="6">
        <v>678</v>
      </c>
      <c r="L471" s="6">
        <v>15.446</v>
      </c>
      <c r="M471" s="6">
        <v>15.446</v>
      </c>
      <c r="N471" s="6">
        <v>15.446</v>
      </c>
      <c r="O471" s="6">
        <v>15.446</v>
      </c>
      <c r="P471" s="6">
        <v>0</v>
      </c>
      <c r="Q471" s="4" t="s">
        <v>26</v>
      </c>
      <c r="R471" s="4">
        <v>0</v>
      </c>
      <c r="S471" s="6">
        <v>18</v>
      </c>
      <c r="T471" s="6">
        <v>22</v>
      </c>
      <c r="U471" s="6">
        <v>66</v>
      </c>
      <c r="V471" s="6">
        <f>IF(ISERROR(VLOOKUP($S$471,'TAR FIN'!$A$1:$O$104,15,0)),0,VLOOKUP($S$471,'TAR FIN'!$A$1:$O$104,15,0))</f>
        <v>52.15</v>
      </c>
      <c r="W471" s="6">
        <f>IF(ISERROR(VLOOKUP($T$471,'TAR FIN'!$A$1:$O$104,15,0)),0,VLOOKUP($T$471,'TAR FIN'!$A$1:$O$104,15,0))</f>
        <v>62.57</v>
      </c>
      <c r="X471" s="6">
        <f>IF(ISERROR(VLOOKUP($U$471,'TAR FIN'!$A$1:$O$104,15,0)),0,VLOOKUP($U$471,'TAR FIN'!$A$1:$O$104,15,0))</f>
        <v>397.62</v>
      </c>
      <c r="Y471" s="6">
        <f ca="1">('TUSD BE'!$AM$13+'TUSD BF'!$AM$13+'TUSD CVA'!$AM$13)*1</f>
        <v>52.233673366014429</v>
      </c>
      <c r="Z471" s="6">
        <f ca="1">('TUSD BE'!$AM$15+'TUSD BF'!$AM$15+'TUSD CVA'!$AM$15)*1</f>
        <v>77.876201961015255</v>
      </c>
      <c r="AA471" s="6">
        <f>('TE BE'!$AB$7+'TE BF'!$AB$7+'TE CVA'!$AB$7)*1</f>
        <v>360.26029187567116</v>
      </c>
      <c r="AB471" s="6">
        <f>$K$471*$V$471</f>
        <v>35357.699999999997</v>
      </c>
      <c r="AC471" s="6">
        <f>$M$471*$W$471</f>
        <v>966.45622000000003</v>
      </c>
      <c r="AD471" s="6">
        <f>$O$471*$X$471</f>
        <v>6141.6385199999995</v>
      </c>
      <c r="AE471" s="6">
        <f ca="1">$K$471*$Y$471</f>
        <v>35414.430542157781</v>
      </c>
      <c r="AF471" s="6">
        <f ca="1">$M$471*$Z$471</f>
        <v>1202.8758154898417</v>
      </c>
      <c r="AG471" s="6">
        <f>$O$471*$AA$471</f>
        <v>5564.5804683116166</v>
      </c>
    </row>
    <row r="472" spans="1:33" ht="11.25" customHeight="1" x14ac:dyDescent="0.25">
      <c r="A472" s="4" t="s">
        <v>28</v>
      </c>
      <c r="B472" s="4" t="s">
        <v>41</v>
      </c>
      <c r="C472" s="4" t="s">
        <v>40</v>
      </c>
      <c r="D472" s="4" t="s">
        <v>38</v>
      </c>
      <c r="E472" s="4" t="s">
        <v>25</v>
      </c>
      <c r="F472" s="4" t="s">
        <v>25</v>
      </c>
      <c r="G472" s="4" t="s">
        <v>25</v>
      </c>
      <c r="H472" s="4" t="s">
        <v>34</v>
      </c>
      <c r="I472" s="5">
        <v>44409</v>
      </c>
      <c r="J472" s="6">
        <v>8</v>
      </c>
      <c r="K472" s="6">
        <v>8</v>
      </c>
      <c r="L472" s="6">
        <v>0.48</v>
      </c>
      <c r="M472" s="6">
        <v>0.48</v>
      </c>
      <c r="N472" s="6">
        <v>0.48</v>
      </c>
      <c r="O472" s="6">
        <v>0.48</v>
      </c>
      <c r="P472" s="6">
        <v>0</v>
      </c>
      <c r="Q472" s="4" t="s">
        <v>26</v>
      </c>
      <c r="R472" s="4">
        <v>0</v>
      </c>
      <c r="S472" s="6">
        <v>18</v>
      </c>
      <c r="T472" s="6">
        <v>22</v>
      </c>
      <c r="U472" s="6">
        <v>66</v>
      </c>
      <c r="V472" s="6">
        <f>IF(ISERROR(VLOOKUP($S$472,'TAR FIN'!$A$1:$O$104,15,0)),0,VLOOKUP($S$472,'TAR FIN'!$A$1:$O$104,15,0))</f>
        <v>52.15</v>
      </c>
      <c r="W472" s="6">
        <f>IF(ISERROR(VLOOKUP($T$472,'TAR FIN'!$A$1:$O$104,15,0)),0,VLOOKUP($T$472,'TAR FIN'!$A$1:$O$104,15,0))</f>
        <v>62.57</v>
      </c>
      <c r="X472" s="6">
        <f>IF(ISERROR(VLOOKUP($U$472,'TAR FIN'!$A$1:$O$104,15,0)),0,VLOOKUP($U$472,'TAR FIN'!$A$1:$O$104,15,0))</f>
        <v>397.62</v>
      </c>
      <c r="Y472" s="6">
        <f ca="1">('TUSD BE'!$AM$13+'TUSD BF'!$AM$13+'TUSD CVA'!$AM$13)*1</f>
        <v>52.233673366014429</v>
      </c>
      <c r="Z472" s="6">
        <f ca="1">('TUSD BE'!$AM$15+'TUSD BF'!$AM$15+'TUSD CVA'!$AM$15)*1</f>
        <v>77.876201961015255</v>
      </c>
      <c r="AA472" s="6">
        <f>('TE BE'!$AB$7+'TE BF'!$AB$7+'TE CVA'!$AB$7)*1</f>
        <v>360.26029187567116</v>
      </c>
      <c r="AB472" s="6">
        <f>$K$472*$V$472</f>
        <v>417.2</v>
      </c>
      <c r="AC472" s="6">
        <f>$M$472*$W$472</f>
        <v>30.0336</v>
      </c>
      <c r="AD472" s="6">
        <f>$O$472*$X$472</f>
        <v>190.85759999999999</v>
      </c>
      <c r="AE472" s="6">
        <f ca="1">$K$472*$Y$472</f>
        <v>417.86938692811543</v>
      </c>
      <c r="AF472" s="6">
        <f ca="1">$M$472*$Z$472</f>
        <v>37.380576941287323</v>
      </c>
      <c r="AG472" s="6">
        <f>$O$472*$AA$472</f>
        <v>172.92494010032215</v>
      </c>
    </row>
    <row r="473" spans="1:33" ht="11.25" customHeight="1" x14ac:dyDescent="0.25">
      <c r="A473" s="4" t="s">
        <v>21</v>
      </c>
      <c r="B473" s="4" t="s">
        <v>41</v>
      </c>
      <c r="C473" s="4" t="s">
        <v>40</v>
      </c>
      <c r="D473" s="4" t="s">
        <v>38</v>
      </c>
      <c r="E473" s="4" t="s">
        <v>25</v>
      </c>
      <c r="F473" s="4" t="s">
        <v>25</v>
      </c>
      <c r="G473" s="4" t="s">
        <v>25</v>
      </c>
      <c r="H473" s="4" t="s">
        <v>34</v>
      </c>
      <c r="I473" s="5">
        <v>44409</v>
      </c>
      <c r="J473" s="6">
        <v>3410</v>
      </c>
      <c r="K473" s="6">
        <v>3410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4" t="s">
        <v>58</v>
      </c>
      <c r="R473" s="4">
        <v>0</v>
      </c>
      <c r="S473" s="6">
        <v>18</v>
      </c>
      <c r="T473" s="6">
        <v>0</v>
      </c>
      <c r="U473" s="6">
        <v>0</v>
      </c>
      <c r="V473" s="6">
        <f>IF(ISERROR(VLOOKUP($S$473,'TAR FIN'!$A$1:$O$104,15,0)),0,VLOOKUP($S$473,'TAR FIN'!$A$1:$O$104,15,0))</f>
        <v>52.15</v>
      </c>
      <c r="W473" s="6">
        <f>IF(ISERROR(VLOOKUP($T$473,'TAR FIN'!$A$1:$O$104,15,0)),0,VLOOKUP($T$473,'TAR FIN'!$A$1:$O$104,15,0))</f>
        <v>0</v>
      </c>
      <c r="X473" s="6">
        <f>IF(ISERROR(VLOOKUP($U$473,'TAR FIN'!$A$1:$O$104,15,0)),0,VLOOKUP($U$473,'TAR FIN'!$A$1:$O$104,15,0))</f>
        <v>0</v>
      </c>
      <c r="Y473" s="6">
        <f ca="1">('TUSD BE'!$AM$13+'TUSD BF'!$AM$13+'TUSD CVA'!$AM$13)*1</f>
        <v>52.233673366014429</v>
      </c>
      <c r="Z473" s="6">
        <f ca="1">('TUSD BE'!$AM$15+'TUSD BF'!$AM$15+'TUSD CVA'!$AM$15)*1</f>
        <v>77.876201961015255</v>
      </c>
      <c r="AA473" s="6"/>
      <c r="AB473" s="6">
        <f>$K$473*$V$473</f>
        <v>177831.5</v>
      </c>
      <c r="AC473" s="6">
        <f>$M$473*$W$473</f>
        <v>0</v>
      </c>
      <c r="AD473" s="6">
        <f>$O$473*$X$473</f>
        <v>0</v>
      </c>
      <c r="AE473" s="6">
        <f ca="1">$K$473*$Y$473</f>
        <v>178116.82617810922</v>
      </c>
      <c r="AF473" s="6">
        <f ca="1">$M$473*$Z$473</f>
        <v>0</v>
      </c>
      <c r="AG473" s="6">
        <f>$O$473*$AA$473</f>
        <v>0</v>
      </c>
    </row>
    <row r="474" spans="1:33" ht="11.25" customHeight="1" x14ac:dyDescent="0.25">
      <c r="A474" s="4" t="s">
        <v>21</v>
      </c>
      <c r="B474" s="4" t="s">
        <v>41</v>
      </c>
      <c r="C474" s="4" t="s">
        <v>40</v>
      </c>
      <c r="D474" s="4" t="s">
        <v>38</v>
      </c>
      <c r="E474" s="4" t="s">
        <v>25</v>
      </c>
      <c r="F474" s="4" t="s">
        <v>25</v>
      </c>
      <c r="G474" s="4" t="s">
        <v>25</v>
      </c>
      <c r="H474" s="4" t="s">
        <v>34</v>
      </c>
      <c r="I474" s="5">
        <v>44440</v>
      </c>
      <c r="J474" s="6">
        <v>728</v>
      </c>
      <c r="K474" s="6">
        <v>728</v>
      </c>
      <c r="L474" s="6">
        <v>16.795000000000002</v>
      </c>
      <c r="M474" s="6">
        <v>16.795000000000002</v>
      </c>
      <c r="N474" s="6">
        <v>16.795000000000002</v>
      </c>
      <c r="O474" s="6">
        <v>16.795000000000002</v>
      </c>
      <c r="P474" s="6">
        <v>0</v>
      </c>
      <c r="Q474" s="4" t="s">
        <v>26</v>
      </c>
      <c r="R474" s="4">
        <v>0</v>
      </c>
      <c r="S474" s="6">
        <v>18</v>
      </c>
      <c r="T474" s="6">
        <v>22</v>
      </c>
      <c r="U474" s="6">
        <v>66</v>
      </c>
      <c r="V474" s="6">
        <f>IF(ISERROR(VLOOKUP($S$474,'TAR FIN'!$A$1:$O$104,15,0)),0,VLOOKUP($S$474,'TAR FIN'!$A$1:$O$104,15,0))</f>
        <v>52.15</v>
      </c>
      <c r="W474" s="6">
        <f>IF(ISERROR(VLOOKUP($T$474,'TAR FIN'!$A$1:$O$104,15,0)),0,VLOOKUP($T$474,'TAR FIN'!$A$1:$O$104,15,0))</f>
        <v>62.57</v>
      </c>
      <c r="X474" s="6">
        <f>IF(ISERROR(VLOOKUP($U$474,'TAR FIN'!$A$1:$O$104,15,0)),0,VLOOKUP($U$474,'TAR FIN'!$A$1:$O$104,15,0))</f>
        <v>397.62</v>
      </c>
      <c r="Y474" s="6">
        <f ca="1">('TUSD BE'!$AM$13+'TUSD BF'!$AM$13+'TUSD CVA'!$AM$13)*1</f>
        <v>52.233673366014429</v>
      </c>
      <c r="Z474" s="6">
        <f ca="1">('TUSD BE'!$AM$15+'TUSD BF'!$AM$15+'TUSD CVA'!$AM$15)*1</f>
        <v>77.876201961015255</v>
      </c>
      <c r="AA474" s="6">
        <f>('TE BE'!$AB$7+'TE BF'!$AB$7+'TE CVA'!$AB$7)*1</f>
        <v>360.26029187567116</v>
      </c>
      <c r="AB474" s="6">
        <f>$K$474*$V$474</f>
        <v>37965.199999999997</v>
      </c>
      <c r="AC474" s="6">
        <f>$M$474*$W$474</f>
        <v>1050.8631500000001</v>
      </c>
      <c r="AD474" s="6">
        <f>$O$474*$X$474</f>
        <v>6678.027900000001</v>
      </c>
      <c r="AE474" s="6">
        <f ca="1">$K$474*$Y$474</f>
        <v>38026.114210458501</v>
      </c>
      <c r="AF474" s="6">
        <f ca="1">$M$474*$Z$474</f>
        <v>1307.9308119352513</v>
      </c>
      <c r="AG474" s="6">
        <f>$O$474*$AA$474</f>
        <v>6050.5716020518976</v>
      </c>
    </row>
    <row r="475" spans="1:33" ht="11.25" customHeight="1" x14ac:dyDescent="0.25">
      <c r="A475" s="4" t="s">
        <v>28</v>
      </c>
      <c r="B475" s="4" t="s">
        <v>41</v>
      </c>
      <c r="C475" s="4" t="s">
        <v>40</v>
      </c>
      <c r="D475" s="4" t="s">
        <v>38</v>
      </c>
      <c r="E475" s="4" t="s">
        <v>25</v>
      </c>
      <c r="F475" s="4" t="s">
        <v>25</v>
      </c>
      <c r="G475" s="4" t="s">
        <v>25</v>
      </c>
      <c r="H475" s="4" t="s">
        <v>34</v>
      </c>
      <c r="I475" s="5">
        <v>44440</v>
      </c>
      <c r="J475" s="6">
        <v>8</v>
      </c>
      <c r="K475" s="6">
        <v>8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4" t="s">
        <v>26</v>
      </c>
      <c r="R475" s="4">
        <v>0</v>
      </c>
      <c r="S475" s="6">
        <v>18</v>
      </c>
      <c r="T475" s="6">
        <v>0</v>
      </c>
      <c r="U475" s="6">
        <v>0</v>
      </c>
      <c r="V475" s="6">
        <f>IF(ISERROR(VLOOKUP($S$475,'TAR FIN'!$A$1:$O$104,15,0)),0,VLOOKUP($S$475,'TAR FIN'!$A$1:$O$104,15,0))</f>
        <v>52.15</v>
      </c>
      <c r="W475" s="6">
        <f>IF(ISERROR(VLOOKUP($T$475,'TAR FIN'!$A$1:$O$104,15,0)),0,VLOOKUP($T$475,'TAR FIN'!$A$1:$O$104,15,0))</f>
        <v>0</v>
      </c>
      <c r="X475" s="6">
        <f>IF(ISERROR(VLOOKUP($U$475,'TAR FIN'!$A$1:$O$104,15,0)),0,VLOOKUP($U$475,'TAR FIN'!$A$1:$O$104,15,0))</f>
        <v>0</v>
      </c>
      <c r="Y475" s="6">
        <f ca="1">('TUSD BE'!$AM$13+'TUSD BF'!$AM$13+'TUSD CVA'!$AM$13)*1</f>
        <v>52.233673366014429</v>
      </c>
      <c r="Z475" s="6">
        <f ca="1">('TUSD BE'!$AM$15+'TUSD BF'!$AM$15+'TUSD CVA'!$AM$15)*1</f>
        <v>77.876201961015255</v>
      </c>
      <c r="AA475" s="6">
        <f>('TE BE'!$AB$7+'TE BF'!$AB$7+'TE CVA'!$AB$7)*1</f>
        <v>360.26029187567116</v>
      </c>
      <c r="AB475" s="6">
        <f>$K$475*$V$475</f>
        <v>417.2</v>
      </c>
      <c r="AC475" s="6">
        <f>$M$475*$W$475</f>
        <v>0</v>
      </c>
      <c r="AD475" s="6">
        <f>$O$475*$X$475</f>
        <v>0</v>
      </c>
      <c r="AE475" s="6">
        <f ca="1">$K$475*$Y$475</f>
        <v>417.86938692811543</v>
      </c>
      <c r="AF475" s="6">
        <f ca="1">$M$475*$Z$475</f>
        <v>0</v>
      </c>
      <c r="AG475" s="6">
        <f>$O$475*$AA$475</f>
        <v>0</v>
      </c>
    </row>
    <row r="476" spans="1:33" ht="11.25" customHeight="1" x14ac:dyDescent="0.25">
      <c r="A476" s="4" t="s">
        <v>21</v>
      </c>
      <c r="B476" s="4" t="s">
        <v>41</v>
      </c>
      <c r="C476" s="4" t="s">
        <v>40</v>
      </c>
      <c r="D476" s="4" t="s">
        <v>38</v>
      </c>
      <c r="E476" s="4" t="s">
        <v>25</v>
      </c>
      <c r="F476" s="4" t="s">
        <v>25</v>
      </c>
      <c r="G476" s="4" t="s">
        <v>25</v>
      </c>
      <c r="H476" s="4" t="s">
        <v>34</v>
      </c>
      <c r="I476" s="5">
        <v>44440</v>
      </c>
      <c r="J476" s="6">
        <v>3400</v>
      </c>
      <c r="K476" s="6">
        <v>3400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4" t="s">
        <v>58</v>
      </c>
      <c r="R476" s="4">
        <v>0</v>
      </c>
      <c r="S476" s="6">
        <v>18</v>
      </c>
      <c r="T476" s="6">
        <v>0</v>
      </c>
      <c r="U476" s="6">
        <v>0</v>
      </c>
      <c r="V476" s="6">
        <f>IF(ISERROR(VLOOKUP($S$476,'TAR FIN'!$A$1:$O$104,15,0)),0,VLOOKUP($S$476,'TAR FIN'!$A$1:$O$104,15,0))</f>
        <v>52.15</v>
      </c>
      <c r="W476" s="6">
        <f>IF(ISERROR(VLOOKUP($T$476,'TAR FIN'!$A$1:$O$104,15,0)),0,VLOOKUP($T$476,'TAR FIN'!$A$1:$O$104,15,0))</f>
        <v>0</v>
      </c>
      <c r="X476" s="6">
        <f>IF(ISERROR(VLOOKUP($U$476,'TAR FIN'!$A$1:$O$104,15,0)),0,VLOOKUP($U$476,'TAR FIN'!$A$1:$O$104,15,0))</f>
        <v>0</v>
      </c>
      <c r="Y476" s="6">
        <f ca="1">('TUSD BE'!$AM$13+'TUSD BF'!$AM$13+'TUSD CVA'!$AM$13)*1</f>
        <v>52.233673366014429</v>
      </c>
      <c r="Z476" s="6">
        <f ca="1">('TUSD BE'!$AM$15+'TUSD BF'!$AM$15+'TUSD CVA'!$AM$15)*1</f>
        <v>77.876201961015255</v>
      </c>
      <c r="AA476" s="6"/>
      <c r="AB476" s="6">
        <f>$K$476*$V$476</f>
        <v>177310</v>
      </c>
      <c r="AC476" s="6">
        <f>$M$476*$W$476</f>
        <v>0</v>
      </c>
      <c r="AD476" s="6">
        <f>$O$476*$X$476</f>
        <v>0</v>
      </c>
      <c r="AE476" s="6">
        <f ca="1">$K$476*$Y$476</f>
        <v>177594.48944444905</v>
      </c>
      <c r="AF476" s="6">
        <f ca="1">$M$476*$Z$476</f>
        <v>0</v>
      </c>
      <c r="AG476" s="6">
        <f>$O$476*$AA$476</f>
        <v>0</v>
      </c>
    </row>
    <row r="477" spans="1:33" ht="11.25" customHeight="1" x14ac:dyDescent="0.25">
      <c r="A477" s="4" t="s">
        <v>21</v>
      </c>
      <c r="B477" s="4" t="s">
        <v>41</v>
      </c>
      <c r="C477" s="4" t="s">
        <v>40</v>
      </c>
      <c r="D477" s="4" t="s">
        <v>38</v>
      </c>
      <c r="E477" s="4" t="s">
        <v>25</v>
      </c>
      <c r="F477" s="4" t="s">
        <v>25</v>
      </c>
      <c r="G477" s="4" t="s">
        <v>25</v>
      </c>
      <c r="H477" s="4" t="s">
        <v>34</v>
      </c>
      <c r="I477" s="5">
        <v>44470</v>
      </c>
      <c r="J477" s="6">
        <v>728</v>
      </c>
      <c r="K477" s="6">
        <v>728</v>
      </c>
      <c r="L477" s="6">
        <v>16.013000000000002</v>
      </c>
      <c r="M477" s="6">
        <v>16.013000000000002</v>
      </c>
      <c r="N477" s="6">
        <v>16.013000000000002</v>
      </c>
      <c r="O477" s="6">
        <v>16.013000000000002</v>
      </c>
      <c r="P477" s="6">
        <v>0</v>
      </c>
      <c r="Q477" s="4" t="s">
        <v>26</v>
      </c>
      <c r="R477" s="4">
        <v>0</v>
      </c>
      <c r="S477" s="6">
        <v>18</v>
      </c>
      <c r="T477" s="6">
        <v>22</v>
      </c>
      <c r="U477" s="6">
        <v>66</v>
      </c>
      <c r="V477" s="6">
        <f>IF(ISERROR(VLOOKUP($S$477,'TAR FIN'!$A$1:$O$104,15,0)),0,VLOOKUP($S$477,'TAR FIN'!$A$1:$O$104,15,0))</f>
        <v>52.15</v>
      </c>
      <c r="W477" s="6">
        <f>IF(ISERROR(VLOOKUP($T$477,'TAR FIN'!$A$1:$O$104,15,0)),0,VLOOKUP($T$477,'TAR FIN'!$A$1:$O$104,15,0))</f>
        <v>62.57</v>
      </c>
      <c r="X477" s="6">
        <f>IF(ISERROR(VLOOKUP($U$477,'TAR FIN'!$A$1:$O$104,15,0)),0,VLOOKUP($U$477,'TAR FIN'!$A$1:$O$104,15,0))</f>
        <v>397.62</v>
      </c>
      <c r="Y477" s="6">
        <f ca="1">('TUSD BE'!$AM$13+'TUSD BF'!$AM$13+'TUSD CVA'!$AM$13)*1</f>
        <v>52.233673366014429</v>
      </c>
      <c r="Z477" s="6">
        <f ca="1">('TUSD BE'!$AM$15+'TUSD BF'!$AM$15+'TUSD CVA'!$AM$15)*1</f>
        <v>77.876201961015255</v>
      </c>
      <c r="AA477" s="6">
        <f>('TE BE'!$AB$7+'TE BF'!$AB$7+'TE CVA'!$AB$7)*1</f>
        <v>360.26029187567116</v>
      </c>
      <c r="AB477" s="6">
        <f>$K$477*$V$477</f>
        <v>37965.199999999997</v>
      </c>
      <c r="AC477" s="6">
        <f>$M$477*$W$477</f>
        <v>1001.9334100000001</v>
      </c>
      <c r="AD477" s="6">
        <f>$O$477*$X$477</f>
        <v>6367.0890600000012</v>
      </c>
      <c r="AE477" s="6">
        <f ca="1">$K$477*$Y$477</f>
        <v>38026.114210458501</v>
      </c>
      <c r="AF477" s="6">
        <f ca="1">$M$477*$Z$477</f>
        <v>1247.0316220017373</v>
      </c>
      <c r="AG477" s="6">
        <f>$O$477*$AA$477</f>
        <v>5768.8480538051226</v>
      </c>
    </row>
    <row r="478" spans="1:33" ht="11.25" customHeight="1" x14ac:dyDescent="0.25">
      <c r="A478" s="4" t="s">
        <v>28</v>
      </c>
      <c r="B478" s="4" t="s">
        <v>41</v>
      </c>
      <c r="C478" s="4" t="s">
        <v>40</v>
      </c>
      <c r="D478" s="4" t="s">
        <v>38</v>
      </c>
      <c r="E478" s="4" t="s">
        <v>25</v>
      </c>
      <c r="F478" s="4" t="s">
        <v>25</v>
      </c>
      <c r="G478" s="4" t="s">
        <v>25</v>
      </c>
      <c r="H478" s="4" t="s">
        <v>34</v>
      </c>
      <c r="I478" s="5">
        <v>44470</v>
      </c>
      <c r="J478" s="6">
        <v>8</v>
      </c>
      <c r="K478" s="6">
        <v>8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4" t="s">
        <v>26</v>
      </c>
      <c r="R478" s="4">
        <v>0</v>
      </c>
      <c r="S478" s="6">
        <v>18</v>
      </c>
      <c r="T478" s="6">
        <v>0</v>
      </c>
      <c r="U478" s="6">
        <v>0</v>
      </c>
      <c r="V478" s="6">
        <f>IF(ISERROR(VLOOKUP($S$478,'TAR FIN'!$A$1:$O$104,15,0)),0,VLOOKUP($S$478,'TAR FIN'!$A$1:$O$104,15,0))</f>
        <v>52.15</v>
      </c>
      <c r="W478" s="6">
        <f>IF(ISERROR(VLOOKUP($T$478,'TAR FIN'!$A$1:$O$104,15,0)),0,VLOOKUP($T$478,'TAR FIN'!$A$1:$O$104,15,0))</f>
        <v>0</v>
      </c>
      <c r="X478" s="6">
        <f>IF(ISERROR(VLOOKUP($U$478,'TAR FIN'!$A$1:$O$104,15,0)),0,VLOOKUP($U$478,'TAR FIN'!$A$1:$O$104,15,0))</f>
        <v>0</v>
      </c>
      <c r="Y478" s="6">
        <f ca="1">('TUSD BE'!$AM$13+'TUSD BF'!$AM$13+'TUSD CVA'!$AM$13)*1</f>
        <v>52.233673366014429</v>
      </c>
      <c r="Z478" s="6">
        <f ca="1">('TUSD BE'!$AM$15+'TUSD BF'!$AM$15+'TUSD CVA'!$AM$15)*1</f>
        <v>77.876201961015255</v>
      </c>
      <c r="AA478" s="6">
        <f>('TE BE'!$AB$7+'TE BF'!$AB$7+'TE CVA'!$AB$7)*1</f>
        <v>360.26029187567116</v>
      </c>
      <c r="AB478" s="6">
        <f>$K$478*$V$478</f>
        <v>417.2</v>
      </c>
      <c r="AC478" s="6">
        <f>$M$478*$W$478</f>
        <v>0</v>
      </c>
      <c r="AD478" s="6">
        <f>$O$478*$X$478</f>
        <v>0</v>
      </c>
      <c r="AE478" s="6">
        <f ca="1">$K$478*$Y$478</f>
        <v>417.86938692811543</v>
      </c>
      <c r="AF478" s="6">
        <f ca="1">$M$478*$Z$478</f>
        <v>0</v>
      </c>
      <c r="AG478" s="6">
        <f>$O$478*$AA$478</f>
        <v>0</v>
      </c>
    </row>
    <row r="479" spans="1:33" ht="11.25" customHeight="1" x14ac:dyDescent="0.25">
      <c r="A479" s="4" t="s">
        <v>21</v>
      </c>
      <c r="B479" s="4" t="s">
        <v>41</v>
      </c>
      <c r="C479" s="4" t="s">
        <v>40</v>
      </c>
      <c r="D479" s="4" t="s">
        <v>38</v>
      </c>
      <c r="E479" s="4" t="s">
        <v>25</v>
      </c>
      <c r="F479" s="4" t="s">
        <v>25</v>
      </c>
      <c r="G479" s="4" t="s">
        <v>25</v>
      </c>
      <c r="H479" s="4" t="s">
        <v>34</v>
      </c>
      <c r="I479" s="5">
        <v>44470</v>
      </c>
      <c r="J479" s="6">
        <v>3413</v>
      </c>
      <c r="K479" s="6">
        <v>3413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4" t="s">
        <v>58</v>
      </c>
      <c r="R479" s="4">
        <v>0</v>
      </c>
      <c r="S479" s="6">
        <v>18</v>
      </c>
      <c r="T479" s="6">
        <v>0</v>
      </c>
      <c r="U479" s="6">
        <v>0</v>
      </c>
      <c r="V479" s="6">
        <f>IF(ISERROR(VLOOKUP($S$479,'TAR FIN'!$A$1:$O$104,15,0)),0,VLOOKUP($S$479,'TAR FIN'!$A$1:$O$104,15,0))</f>
        <v>52.15</v>
      </c>
      <c r="W479" s="6">
        <f>IF(ISERROR(VLOOKUP($T$479,'TAR FIN'!$A$1:$O$104,15,0)),0,VLOOKUP($T$479,'TAR FIN'!$A$1:$O$104,15,0))</f>
        <v>0</v>
      </c>
      <c r="X479" s="6">
        <f>IF(ISERROR(VLOOKUP($U$479,'TAR FIN'!$A$1:$O$104,15,0)),0,VLOOKUP($U$479,'TAR FIN'!$A$1:$O$104,15,0))</f>
        <v>0</v>
      </c>
      <c r="Y479" s="6">
        <f ca="1">('TUSD BE'!$AM$13+'TUSD BF'!$AM$13+'TUSD CVA'!$AM$13)*1</f>
        <v>52.233673366014429</v>
      </c>
      <c r="Z479" s="6">
        <f ca="1">('TUSD BE'!$AM$15+'TUSD BF'!$AM$15+'TUSD CVA'!$AM$15)*1</f>
        <v>77.876201961015255</v>
      </c>
      <c r="AA479" s="6"/>
      <c r="AB479" s="6">
        <f>$K$479*$V$479</f>
        <v>177987.94999999998</v>
      </c>
      <c r="AC479" s="6">
        <f>$M$479*$W$479</f>
        <v>0</v>
      </c>
      <c r="AD479" s="6">
        <f>$O$479*$X$479</f>
        <v>0</v>
      </c>
      <c r="AE479" s="6">
        <f ca="1">$K$479*$Y$479</f>
        <v>178273.52719820724</v>
      </c>
      <c r="AF479" s="6">
        <f ca="1">$M$479*$Z$479</f>
        <v>0</v>
      </c>
      <c r="AG479" s="6">
        <f>$O$479*$AA$479</f>
        <v>0</v>
      </c>
    </row>
    <row r="480" spans="1:33" ht="11.25" customHeight="1" x14ac:dyDescent="0.25">
      <c r="A480" s="4" t="s">
        <v>21</v>
      </c>
      <c r="B480" s="4" t="s">
        <v>41</v>
      </c>
      <c r="C480" s="4" t="s">
        <v>40</v>
      </c>
      <c r="D480" s="4" t="s">
        <v>38</v>
      </c>
      <c r="E480" s="4" t="s">
        <v>25</v>
      </c>
      <c r="F480" s="4" t="s">
        <v>25</v>
      </c>
      <c r="G480" s="4" t="s">
        <v>25</v>
      </c>
      <c r="H480" s="4" t="s">
        <v>34</v>
      </c>
      <c r="I480" s="5">
        <v>44501</v>
      </c>
      <c r="J480" s="6">
        <v>728</v>
      </c>
      <c r="K480" s="6">
        <v>728</v>
      </c>
      <c r="L480" s="6">
        <v>17.356000000000002</v>
      </c>
      <c r="M480" s="6">
        <v>17.356000000000002</v>
      </c>
      <c r="N480" s="6">
        <v>17.356000000000002</v>
      </c>
      <c r="O480" s="6">
        <v>17.356000000000002</v>
      </c>
      <c r="P480" s="6">
        <v>0</v>
      </c>
      <c r="Q480" s="4" t="s">
        <v>26</v>
      </c>
      <c r="R480" s="4">
        <v>0</v>
      </c>
      <c r="S480" s="6">
        <v>18</v>
      </c>
      <c r="T480" s="6">
        <v>22</v>
      </c>
      <c r="U480" s="6">
        <v>66</v>
      </c>
      <c r="V480" s="6">
        <f>IF(ISERROR(VLOOKUP($S$480,'TAR FIN'!$A$1:$O$104,15,0)),0,VLOOKUP($S$480,'TAR FIN'!$A$1:$O$104,15,0))</f>
        <v>52.15</v>
      </c>
      <c r="W480" s="6">
        <f>IF(ISERROR(VLOOKUP($T$480,'TAR FIN'!$A$1:$O$104,15,0)),0,VLOOKUP($T$480,'TAR FIN'!$A$1:$O$104,15,0))</f>
        <v>62.57</v>
      </c>
      <c r="X480" s="6">
        <f>IF(ISERROR(VLOOKUP($U$480,'TAR FIN'!$A$1:$O$104,15,0)),0,VLOOKUP($U$480,'TAR FIN'!$A$1:$O$104,15,0))</f>
        <v>397.62</v>
      </c>
      <c r="Y480" s="6">
        <f ca="1">('TUSD BE'!$AM$13+'TUSD BF'!$AM$13+'TUSD CVA'!$AM$13)*1</f>
        <v>52.233673366014429</v>
      </c>
      <c r="Z480" s="6">
        <f ca="1">('TUSD BE'!$AM$15+'TUSD BF'!$AM$15+'TUSD CVA'!$AM$15)*1</f>
        <v>77.876201961015255</v>
      </c>
      <c r="AA480" s="6">
        <f>('TE BE'!$AB$7+'TE BF'!$AB$7+'TE CVA'!$AB$7)*1</f>
        <v>360.26029187567116</v>
      </c>
      <c r="AB480" s="6">
        <f>$K$480*$V$480</f>
        <v>37965.199999999997</v>
      </c>
      <c r="AC480" s="6">
        <f>$M$480*$W$480</f>
        <v>1085.9649200000001</v>
      </c>
      <c r="AD480" s="6">
        <f>$O$480*$X$480</f>
        <v>6901.0927200000006</v>
      </c>
      <c r="AE480" s="6">
        <f ca="1">$K$480*$Y$480</f>
        <v>38026.114210458501</v>
      </c>
      <c r="AF480" s="6">
        <f ca="1">$M$480*$Z$480</f>
        <v>1351.6193612353809</v>
      </c>
      <c r="AG480" s="6">
        <f>$O$480*$AA$480</f>
        <v>6252.6776257941492</v>
      </c>
    </row>
    <row r="481" spans="1:33" ht="11.25" customHeight="1" x14ac:dyDescent="0.25">
      <c r="A481" s="4" t="s">
        <v>28</v>
      </c>
      <c r="B481" s="4" t="s">
        <v>41</v>
      </c>
      <c r="C481" s="4" t="s">
        <v>40</v>
      </c>
      <c r="D481" s="4" t="s">
        <v>38</v>
      </c>
      <c r="E481" s="4" t="s">
        <v>25</v>
      </c>
      <c r="F481" s="4" t="s">
        <v>25</v>
      </c>
      <c r="G481" s="4" t="s">
        <v>25</v>
      </c>
      <c r="H481" s="4" t="s">
        <v>34</v>
      </c>
      <c r="I481" s="5">
        <v>44501</v>
      </c>
      <c r="J481" s="6">
        <v>8</v>
      </c>
      <c r="K481" s="6">
        <v>8</v>
      </c>
      <c r="L481" s="6">
        <v>0.48</v>
      </c>
      <c r="M481" s="6">
        <v>0.48</v>
      </c>
      <c r="N481" s="6">
        <v>0.48</v>
      </c>
      <c r="O481" s="6">
        <v>0.48</v>
      </c>
      <c r="P481" s="6">
        <v>0</v>
      </c>
      <c r="Q481" s="4" t="s">
        <v>26</v>
      </c>
      <c r="R481" s="4">
        <v>0</v>
      </c>
      <c r="S481" s="6">
        <v>18</v>
      </c>
      <c r="T481" s="6">
        <v>22</v>
      </c>
      <c r="U481" s="6">
        <v>66</v>
      </c>
      <c r="V481" s="6">
        <f>IF(ISERROR(VLOOKUP($S$481,'TAR FIN'!$A$1:$O$104,15,0)),0,VLOOKUP($S$481,'TAR FIN'!$A$1:$O$104,15,0))</f>
        <v>52.15</v>
      </c>
      <c r="W481" s="6">
        <f>IF(ISERROR(VLOOKUP($T$481,'TAR FIN'!$A$1:$O$104,15,0)),0,VLOOKUP($T$481,'TAR FIN'!$A$1:$O$104,15,0))</f>
        <v>62.57</v>
      </c>
      <c r="X481" s="6">
        <f>IF(ISERROR(VLOOKUP($U$481,'TAR FIN'!$A$1:$O$104,15,0)),0,VLOOKUP($U$481,'TAR FIN'!$A$1:$O$104,15,0))</f>
        <v>397.62</v>
      </c>
      <c r="Y481" s="6">
        <f ca="1">('TUSD BE'!$AM$13+'TUSD BF'!$AM$13+'TUSD CVA'!$AM$13)*1</f>
        <v>52.233673366014429</v>
      </c>
      <c r="Z481" s="6">
        <f ca="1">('TUSD BE'!$AM$15+'TUSD BF'!$AM$15+'TUSD CVA'!$AM$15)*1</f>
        <v>77.876201961015255</v>
      </c>
      <c r="AA481" s="6">
        <f>('TE BE'!$AB$7+'TE BF'!$AB$7+'TE CVA'!$AB$7)*1</f>
        <v>360.26029187567116</v>
      </c>
      <c r="AB481" s="6">
        <f>$K$481*$V$481</f>
        <v>417.2</v>
      </c>
      <c r="AC481" s="6">
        <f>$M$481*$W$481</f>
        <v>30.0336</v>
      </c>
      <c r="AD481" s="6">
        <f>$O$481*$X$481</f>
        <v>190.85759999999999</v>
      </c>
      <c r="AE481" s="6">
        <f ca="1">$K$481*$Y$481</f>
        <v>417.86938692811543</v>
      </c>
      <c r="AF481" s="6">
        <f ca="1">$M$481*$Z$481</f>
        <v>37.380576941287323</v>
      </c>
      <c r="AG481" s="6">
        <f>$O$481*$AA$481</f>
        <v>172.92494010032215</v>
      </c>
    </row>
    <row r="482" spans="1:33" ht="11.25" customHeight="1" x14ac:dyDescent="0.25">
      <c r="A482" s="4" t="s">
        <v>21</v>
      </c>
      <c r="B482" s="4" t="s">
        <v>41</v>
      </c>
      <c r="C482" s="4" t="s">
        <v>40</v>
      </c>
      <c r="D482" s="4" t="s">
        <v>38</v>
      </c>
      <c r="E482" s="4" t="s">
        <v>25</v>
      </c>
      <c r="F482" s="4" t="s">
        <v>25</v>
      </c>
      <c r="G482" s="4" t="s">
        <v>25</v>
      </c>
      <c r="H482" s="4" t="s">
        <v>34</v>
      </c>
      <c r="I482" s="5">
        <v>44531</v>
      </c>
      <c r="J482" s="6">
        <v>875</v>
      </c>
      <c r="K482" s="6">
        <v>875</v>
      </c>
      <c r="L482" s="6">
        <v>18.228000000000002</v>
      </c>
      <c r="M482" s="6">
        <v>18.228000000000002</v>
      </c>
      <c r="N482" s="6">
        <v>18.228000000000002</v>
      </c>
      <c r="O482" s="6">
        <v>18.228000000000002</v>
      </c>
      <c r="P482" s="6">
        <v>0</v>
      </c>
      <c r="Q482" s="4" t="s">
        <v>26</v>
      </c>
      <c r="R482" s="4">
        <v>0</v>
      </c>
      <c r="S482" s="6">
        <v>18</v>
      </c>
      <c r="T482" s="6">
        <v>22</v>
      </c>
      <c r="U482" s="6">
        <v>66</v>
      </c>
      <c r="V482" s="6">
        <f>IF(ISERROR(VLOOKUP($S$482,'TAR FIN'!$A$1:$O$104,15,0)),0,VLOOKUP($S$482,'TAR FIN'!$A$1:$O$104,15,0))</f>
        <v>52.15</v>
      </c>
      <c r="W482" s="6">
        <f>IF(ISERROR(VLOOKUP($T$482,'TAR FIN'!$A$1:$O$104,15,0)),0,VLOOKUP($T$482,'TAR FIN'!$A$1:$O$104,15,0))</f>
        <v>62.57</v>
      </c>
      <c r="X482" s="6">
        <f>IF(ISERROR(VLOOKUP($U$482,'TAR FIN'!$A$1:$O$104,15,0)),0,VLOOKUP($U$482,'TAR FIN'!$A$1:$O$104,15,0))</f>
        <v>397.62</v>
      </c>
      <c r="Y482" s="6">
        <f ca="1">('TUSD BE'!$AM$13+'TUSD BF'!$AM$13+'TUSD CVA'!$AM$13)*1</f>
        <v>52.233673366014429</v>
      </c>
      <c r="Z482" s="6">
        <f ca="1">('TUSD BE'!$AM$15+'TUSD BF'!$AM$15+'TUSD CVA'!$AM$15)*1</f>
        <v>77.876201961015255</v>
      </c>
      <c r="AA482" s="6">
        <f>('TE BE'!$AB$7+'TE BF'!$AB$7+'TE CVA'!$AB$7)*1</f>
        <v>360.26029187567116</v>
      </c>
      <c r="AB482" s="6">
        <f>$K$482*$V$482</f>
        <v>45631.25</v>
      </c>
      <c r="AC482" s="6">
        <f>$M$482*$W$482</f>
        <v>1140.5259600000002</v>
      </c>
      <c r="AD482" s="6">
        <f>$O$482*$X$482</f>
        <v>7247.8173600000009</v>
      </c>
      <c r="AE482" s="6">
        <f ca="1">$K$482*$Y$482</f>
        <v>45704.464195262626</v>
      </c>
      <c r="AF482" s="6">
        <f ca="1">$M$482*$Z$482</f>
        <v>1419.5274093453861</v>
      </c>
      <c r="AG482" s="6">
        <f>$O$482*$AA$482</f>
        <v>6566.8246003097347</v>
      </c>
    </row>
    <row r="483" spans="1:33" ht="11.25" customHeight="1" x14ac:dyDescent="0.25">
      <c r="A483" s="4" t="s">
        <v>28</v>
      </c>
      <c r="B483" s="4" t="s">
        <v>41</v>
      </c>
      <c r="C483" s="4" t="s">
        <v>40</v>
      </c>
      <c r="D483" s="4" t="s">
        <v>38</v>
      </c>
      <c r="E483" s="4" t="s">
        <v>25</v>
      </c>
      <c r="F483" s="4" t="s">
        <v>25</v>
      </c>
      <c r="G483" s="4" t="s">
        <v>25</v>
      </c>
      <c r="H483" s="4" t="s">
        <v>34</v>
      </c>
      <c r="I483" s="5">
        <v>44531</v>
      </c>
      <c r="J483" s="6">
        <v>9</v>
      </c>
      <c r="K483" s="6">
        <v>9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4" t="s">
        <v>26</v>
      </c>
      <c r="R483" s="4">
        <v>0</v>
      </c>
      <c r="S483" s="6">
        <v>18</v>
      </c>
      <c r="T483" s="6">
        <v>0</v>
      </c>
      <c r="U483" s="6">
        <v>0</v>
      </c>
      <c r="V483" s="6">
        <f>IF(ISERROR(VLOOKUP($S$483,'TAR FIN'!$A$1:$O$104,15,0)),0,VLOOKUP($S$483,'TAR FIN'!$A$1:$O$104,15,0))</f>
        <v>52.15</v>
      </c>
      <c r="W483" s="6">
        <f>IF(ISERROR(VLOOKUP($T$483,'TAR FIN'!$A$1:$O$104,15,0)),0,VLOOKUP($T$483,'TAR FIN'!$A$1:$O$104,15,0))</f>
        <v>0</v>
      </c>
      <c r="X483" s="6">
        <f>IF(ISERROR(VLOOKUP($U$483,'TAR FIN'!$A$1:$O$104,15,0)),0,VLOOKUP($U$483,'TAR FIN'!$A$1:$O$104,15,0))</f>
        <v>0</v>
      </c>
      <c r="Y483" s="6">
        <f ca="1">('TUSD BE'!$AM$13+'TUSD BF'!$AM$13+'TUSD CVA'!$AM$13)*1</f>
        <v>52.233673366014429</v>
      </c>
      <c r="Z483" s="6">
        <f ca="1">('TUSD BE'!$AM$15+'TUSD BF'!$AM$15+'TUSD CVA'!$AM$15)*1</f>
        <v>77.876201961015255</v>
      </c>
      <c r="AA483" s="6">
        <f>('TE BE'!$AB$7+'TE BF'!$AB$7+'TE CVA'!$AB$7)*1</f>
        <v>360.26029187567116</v>
      </c>
      <c r="AB483" s="6">
        <f>$K$483*$V$483</f>
        <v>469.34999999999997</v>
      </c>
      <c r="AC483" s="6">
        <f>$M$483*$W$483</f>
        <v>0</v>
      </c>
      <c r="AD483" s="6">
        <f>$O$483*$X$483</f>
        <v>0</v>
      </c>
      <c r="AE483" s="6">
        <f ca="1">$K$483*$Y$483</f>
        <v>470.10306029412988</v>
      </c>
      <c r="AF483" s="6">
        <f ca="1">$M$483*$Z$483</f>
        <v>0</v>
      </c>
      <c r="AG483" s="6">
        <f>$O$483*$AA$483</f>
        <v>0</v>
      </c>
    </row>
    <row r="484" spans="1:33" ht="11.25" customHeight="1" x14ac:dyDescent="0.25">
      <c r="A484" s="4" t="s">
        <v>21</v>
      </c>
      <c r="B484" s="4" t="s">
        <v>41</v>
      </c>
      <c r="C484" s="4" t="s">
        <v>40</v>
      </c>
      <c r="D484" s="4" t="s">
        <v>38</v>
      </c>
      <c r="E484" s="4" t="s">
        <v>25</v>
      </c>
      <c r="F484" s="4" t="s">
        <v>25</v>
      </c>
      <c r="G484" s="4" t="s">
        <v>25</v>
      </c>
      <c r="H484" s="4" t="s">
        <v>34</v>
      </c>
      <c r="I484" s="5">
        <v>44562</v>
      </c>
      <c r="J484" s="6">
        <v>342</v>
      </c>
      <c r="K484" s="6">
        <v>342</v>
      </c>
      <c r="L484" s="6">
        <v>11.324999999999999</v>
      </c>
      <c r="M484" s="6">
        <v>11.324999999999999</v>
      </c>
      <c r="N484" s="6">
        <v>11.324999999999999</v>
      </c>
      <c r="O484" s="6">
        <v>11.324999999999999</v>
      </c>
      <c r="P484" s="6">
        <v>0</v>
      </c>
      <c r="Q484" s="4" t="s">
        <v>26</v>
      </c>
      <c r="R484" s="4">
        <v>0</v>
      </c>
      <c r="S484" s="6">
        <v>18</v>
      </c>
      <c r="T484" s="6">
        <v>22</v>
      </c>
      <c r="U484" s="6">
        <v>66</v>
      </c>
      <c r="V484" s="6">
        <f>IF(ISERROR(VLOOKUP($S$484,'TAR FIN'!$A$1:$O$104,15,0)),0,VLOOKUP($S$484,'TAR FIN'!$A$1:$O$104,15,0))</f>
        <v>52.15</v>
      </c>
      <c r="W484" s="6">
        <f>IF(ISERROR(VLOOKUP($T$484,'TAR FIN'!$A$1:$O$104,15,0)),0,VLOOKUP($T$484,'TAR FIN'!$A$1:$O$104,15,0))</f>
        <v>62.57</v>
      </c>
      <c r="X484" s="6">
        <f>IF(ISERROR(VLOOKUP($U$484,'TAR FIN'!$A$1:$O$104,15,0)),0,VLOOKUP($U$484,'TAR FIN'!$A$1:$O$104,15,0))</f>
        <v>397.62</v>
      </c>
      <c r="Y484" s="6">
        <f ca="1">('TUSD BE'!$AM$13+'TUSD BF'!$AM$13+'TUSD CVA'!$AM$13)*1</f>
        <v>52.233673366014429</v>
      </c>
      <c r="Z484" s="6">
        <f ca="1">('TUSD BE'!$AM$15+'TUSD BF'!$AM$15+'TUSD CVA'!$AM$15)*1</f>
        <v>77.876201961015255</v>
      </c>
      <c r="AA484" s="6">
        <f>('TE BE'!$AB$7+'TE BF'!$AB$7+'TE CVA'!$AB$7)*1</f>
        <v>360.26029187567116</v>
      </c>
      <c r="AB484" s="6">
        <f>$K$484*$V$484</f>
        <v>17835.3</v>
      </c>
      <c r="AC484" s="6">
        <f>$M$484*$W$484</f>
        <v>708.60524999999996</v>
      </c>
      <c r="AD484" s="6">
        <f>$O$484*$X$484</f>
        <v>4503.0464999999995</v>
      </c>
      <c r="AE484" s="6">
        <f ca="1">$K$484*$Y$484</f>
        <v>17863.916291176934</v>
      </c>
      <c r="AF484" s="6">
        <f ca="1">$M$484*$Z$484</f>
        <v>881.94798720849769</v>
      </c>
      <c r="AG484" s="6">
        <f>$O$484*$AA$484</f>
        <v>4079.9478054919755</v>
      </c>
    </row>
    <row r="485" spans="1:33" ht="11.25" customHeight="1" x14ac:dyDescent="0.25">
      <c r="A485" s="4" t="s">
        <v>28</v>
      </c>
      <c r="B485" s="4" t="s">
        <v>41</v>
      </c>
      <c r="C485" s="4" t="s">
        <v>40</v>
      </c>
      <c r="D485" s="4" t="s">
        <v>38</v>
      </c>
      <c r="E485" s="4" t="s">
        <v>25</v>
      </c>
      <c r="F485" s="4" t="s">
        <v>25</v>
      </c>
      <c r="G485" s="4" t="s">
        <v>25</v>
      </c>
      <c r="H485" s="4" t="s">
        <v>34</v>
      </c>
      <c r="I485" s="5">
        <v>44562</v>
      </c>
      <c r="J485" s="6">
        <v>8</v>
      </c>
      <c r="K485" s="6">
        <v>8</v>
      </c>
      <c r="L485" s="6">
        <v>7.2999999999999995E-2</v>
      </c>
      <c r="M485" s="6">
        <v>7.2999999999999995E-2</v>
      </c>
      <c r="N485" s="6">
        <v>7.2999999999999995E-2</v>
      </c>
      <c r="O485" s="6">
        <v>7.2999999999999995E-2</v>
      </c>
      <c r="P485" s="6">
        <v>0</v>
      </c>
      <c r="Q485" s="4" t="s">
        <v>26</v>
      </c>
      <c r="R485" s="4">
        <v>0</v>
      </c>
      <c r="S485" s="6">
        <v>18</v>
      </c>
      <c r="T485" s="6">
        <v>22</v>
      </c>
      <c r="U485" s="6">
        <v>66</v>
      </c>
      <c r="V485" s="6">
        <f>IF(ISERROR(VLOOKUP($S$485,'TAR FIN'!$A$1:$O$104,15,0)),0,VLOOKUP($S$485,'TAR FIN'!$A$1:$O$104,15,0))</f>
        <v>52.15</v>
      </c>
      <c r="W485" s="6">
        <f>IF(ISERROR(VLOOKUP($T$485,'TAR FIN'!$A$1:$O$104,15,0)),0,VLOOKUP($T$485,'TAR FIN'!$A$1:$O$104,15,0))</f>
        <v>62.57</v>
      </c>
      <c r="X485" s="6">
        <f>IF(ISERROR(VLOOKUP($U$485,'TAR FIN'!$A$1:$O$104,15,0)),0,VLOOKUP($U$485,'TAR FIN'!$A$1:$O$104,15,0))</f>
        <v>397.62</v>
      </c>
      <c r="Y485" s="6">
        <f ca="1">('TUSD BE'!$AM$13+'TUSD BF'!$AM$13+'TUSD CVA'!$AM$13)*1</f>
        <v>52.233673366014429</v>
      </c>
      <c r="Z485" s="6">
        <f ca="1">('TUSD BE'!$AM$15+'TUSD BF'!$AM$15+'TUSD CVA'!$AM$15)*1</f>
        <v>77.876201961015255</v>
      </c>
      <c r="AA485" s="6">
        <f>('TE BE'!$AB$7+'TE BF'!$AB$7+'TE CVA'!$AB$7)*1</f>
        <v>360.26029187567116</v>
      </c>
      <c r="AB485" s="6">
        <f>$K$485*$V$485</f>
        <v>417.2</v>
      </c>
      <c r="AC485" s="6">
        <f>$M$485*$W$485</f>
        <v>4.5676100000000002</v>
      </c>
      <c r="AD485" s="6">
        <f>$O$485*$X$485</f>
        <v>29.026259999999997</v>
      </c>
      <c r="AE485" s="6">
        <f ca="1">$K$485*$Y$485</f>
        <v>417.86938692811543</v>
      </c>
      <c r="AF485" s="6">
        <f ca="1">$M$485*$Z$485</f>
        <v>5.684962743154113</v>
      </c>
      <c r="AG485" s="6">
        <f>$O$485*$AA$485</f>
        <v>26.299001306923994</v>
      </c>
    </row>
    <row r="486" spans="1:33" ht="11.25" customHeight="1" x14ac:dyDescent="0.25">
      <c r="A486" s="4" t="s">
        <v>21</v>
      </c>
      <c r="B486" s="4" t="s">
        <v>41</v>
      </c>
      <c r="C486" s="4" t="s">
        <v>40</v>
      </c>
      <c r="D486" s="4" t="s">
        <v>38</v>
      </c>
      <c r="E486" s="4" t="s">
        <v>25</v>
      </c>
      <c r="F486" s="4" t="s">
        <v>25</v>
      </c>
      <c r="G486" s="4" t="s">
        <v>25</v>
      </c>
      <c r="H486" s="4" t="s">
        <v>34</v>
      </c>
      <c r="I486" s="5">
        <v>44593</v>
      </c>
      <c r="J486" s="6">
        <v>404</v>
      </c>
      <c r="K486" s="6">
        <v>404</v>
      </c>
      <c r="L486" s="6">
        <v>12.776999999999999</v>
      </c>
      <c r="M486" s="6">
        <v>12.776999999999999</v>
      </c>
      <c r="N486" s="6">
        <v>12.776999999999999</v>
      </c>
      <c r="O486" s="6">
        <v>12.776999999999999</v>
      </c>
      <c r="P486" s="6">
        <v>0</v>
      </c>
      <c r="Q486" s="4" t="s">
        <v>26</v>
      </c>
      <c r="R486" s="4">
        <v>0</v>
      </c>
      <c r="S486" s="6">
        <v>18</v>
      </c>
      <c r="T486" s="6">
        <v>22</v>
      </c>
      <c r="U486" s="6">
        <v>66</v>
      </c>
      <c r="V486" s="6">
        <f>IF(ISERROR(VLOOKUP($S$486,'TAR FIN'!$A$1:$O$104,15,0)),0,VLOOKUP($S$486,'TAR FIN'!$A$1:$O$104,15,0))</f>
        <v>52.15</v>
      </c>
      <c r="W486" s="6">
        <f>IF(ISERROR(VLOOKUP($T$486,'TAR FIN'!$A$1:$O$104,15,0)),0,VLOOKUP($T$486,'TAR FIN'!$A$1:$O$104,15,0))</f>
        <v>62.57</v>
      </c>
      <c r="X486" s="6">
        <f>IF(ISERROR(VLOOKUP($U$486,'TAR FIN'!$A$1:$O$104,15,0)),0,VLOOKUP($U$486,'TAR FIN'!$A$1:$O$104,15,0))</f>
        <v>397.62</v>
      </c>
      <c r="Y486" s="6">
        <f ca="1">('TUSD BE'!$AM$13+'TUSD BF'!$AM$13+'TUSD CVA'!$AM$13)*1</f>
        <v>52.233673366014429</v>
      </c>
      <c r="Z486" s="6">
        <f ca="1">('TUSD BE'!$AM$15+'TUSD BF'!$AM$15+'TUSD CVA'!$AM$15)*1</f>
        <v>77.876201961015255</v>
      </c>
      <c r="AA486" s="6">
        <f>('TE BE'!$AB$7+'TE BF'!$AB$7+'TE CVA'!$AB$7)*1</f>
        <v>360.26029187567116</v>
      </c>
      <c r="AB486" s="6">
        <f>$K$486*$V$486</f>
        <v>21068.6</v>
      </c>
      <c r="AC486" s="6">
        <f>$M$486*$W$486</f>
        <v>799.45688999999993</v>
      </c>
      <c r="AD486" s="6">
        <f>$O$486*$X$486</f>
        <v>5080.3907399999998</v>
      </c>
      <c r="AE486" s="6">
        <f ca="1">$K$486*$Y$486</f>
        <v>21102.404039869831</v>
      </c>
      <c r="AF486" s="6">
        <f ca="1">$M$486*$Z$486</f>
        <v>995.02423245589182</v>
      </c>
      <c r="AG486" s="6">
        <f>$O$486*$AA$486</f>
        <v>4603.0457492954502</v>
      </c>
    </row>
    <row r="487" spans="1:33" ht="11.25" customHeight="1" x14ac:dyDescent="0.25">
      <c r="A487" s="4" t="s">
        <v>28</v>
      </c>
      <c r="B487" s="4" t="s">
        <v>41</v>
      </c>
      <c r="C487" s="4" t="s">
        <v>40</v>
      </c>
      <c r="D487" s="4" t="s">
        <v>38</v>
      </c>
      <c r="E487" s="4" t="s">
        <v>25</v>
      </c>
      <c r="F487" s="4" t="s">
        <v>25</v>
      </c>
      <c r="G487" s="4" t="s">
        <v>25</v>
      </c>
      <c r="H487" s="4" t="s">
        <v>34</v>
      </c>
      <c r="I487" s="5">
        <v>44593</v>
      </c>
      <c r="J487" s="6">
        <v>20</v>
      </c>
      <c r="K487" s="6">
        <v>20</v>
      </c>
      <c r="L487" s="6">
        <v>0.14299999999999999</v>
      </c>
      <c r="M487" s="6">
        <v>0.14299999999999999</v>
      </c>
      <c r="N487" s="6">
        <v>0.14299999999999999</v>
      </c>
      <c r="O487" s="6">
        <v>0.14299999999999999</v>
      </c>
      <c r="P487" s="6">
        <v>0</v>
      </c>
      <c r="Q487" s="4" t="s">
        <v>26</v>
      </c>
      <c r="R487" s="4">
        <v>0</v>
      </c>
      <c r="S487" s="6">
        <v>18</v>
      </c>
      <c r="T487" s="6">
        <v>22</v>
      </c>
      <c r="U487" s="6">
        <v>66</v>
      </c>
      <c r="V487" s="6">
        <f>IF(ISERROR(VLOOKUP($S$487,'TAR FIN'!$A$1:$O$104,15,0)),0,VLOOKUP($S$487,'TAR FIN'!$A$1:$O$104,15,0))</f>
        <v>52.15</v>
      </c>
      <c r="W487" s="6">
        <f>IF(ISERROR(VLOOKUP($T$487,'TAR FIN'!$A$1:$O$104,15,0)),0,VLOOKUP($T$487,'TAR FIN'!$A$1:$O$104,15,0))</f>
        <v>62.57</v>
      </c>
      <c r="X487" s="6">
        <f>IF(ISERROR(VLOOKUP($U$487,'TAR FIN'!$A$1:$O$104,15,0)),0,VLOOKUP($U$487,'TAR FIN'!$A$1:$O$104,15,0))</f>
        <v>397.62</v>
      </c>
      <c r="Y487" s="6">
        <f ca="1">('TUSD BE'!$AM$13+'TUSD BF'!$AM$13+'TUSD CVA'!$AM$13)*1</f>
        <v>52.233673366014429</v>
      </c>
      <c r="Z487" s="6">
        <f ca="1">('TUSD BE'!$AM$15+'TUSD BF'!$AM$15+'TUSD CVA'!$AM$15)*1</f>
        <v>77.876201961015255</v>
      </c>
      <c r="AA487" s="6">
        <f>('TE BE'!$AB$7+'TE BF'!$AB$7+'TE CVA'!$AB$7)*1</f>
        <v>360.26029187567116</v>
      </c>
      <c r="AB487" s="6">
        <f>$K$487*$V$487</f>
        <v>1043</v>
      </c>
      <c r="AC487" s="6">
        <f>$M$487*$W$487</f>
        <v>8.9475099999999994</v>
      </c>
      <c r="AD487" s="6">
        <f>$O$487*$X$487</f>
        <v>56.859659999999998</v>
      </c>
      <c r="AE487" s="6">
        <f ca="1">$K$487*$Y$487</f>
        <v>1044.6734673202886</v>
      </c>
      <c r="AF487" s="6">
        <f ca="1">$M$487*$Z$487</f>
        <v>11.136296880425181</v>
      </c>
      <c r="AG487" s="6">
        <f>$O$487*$AA$487</f>
        <v>51.517221738220968</v>
      </c>
    </row>
    <row r="488" spans="1:33" ht="11.25" customHeight="1" x14ac:dyDescent="0.25">
      <c r="A488" s="4" t="s">
        <v>21</v>
      </c>
      <c r="B488" s="4" t="s">
        <v>41</v>
      </c>
      <c r="C488" s="4" t="s">
        <v>40</v>
      </c>
      <c r="D488" s="4" t="s">
        <v>38</v>
      </c>
      <c r="E488" s="4" t="s">
        <v>25</v>
      </c>
      <c r="F488" s="4" t="s">
        <v>25</v>
      </c>
      <c r="G488" s="4" t="s">
        <v>25</v>
      </c>
      <c r="H488" s="4" t="s">
        <v>34</v>
      </c>
      <c r="I488" s="5">
        <v>44621</v>
      </c>
      <c r="J488" s="6">
        <v>328</v>
      </c>
      <c r="K488" s="6">
        <v>328</v>
      </c>
      <c r="L488" s="6">
        <v>11.138999999999999</v>
      </c>
      <c r="M488" s="6">
        <v>11.138999999999999</v>
      </c>
      <c r="N488" s="6">
        <v>11.138999999999999</v>
      </c>
      <c r="O488" s="6">
        <v>11.138999999999999</v>
      </c>
      <c r="P488" s="6">
        <v>0</v>
      </c>
      <c r="Q488" s="4" t="s">
        <v>26</v>
      </c>
      <c r="R488" s="4">
        <v>0</v>
      </c>
      <c r="S488" s="6">
        <v>18</v>
      </c>
      <c r="T488" s="6">
        <v>22</v>
      </c>
      <c r="U488" s="6">
        <v>66</v>
      </c>
      <c r="V488" s="6">
        <f>IF(ISERROR(VLOOKUP($S$488,'TAR FIN'!$A$1:$O$104,15,0)),0,VLOOKUP($S$488,'TAR FIN'!$A$1:$O$104,15,0))</f>
        <v>52.15</v>
      </c>
      <c r="W488" s="6">
        <f>IF(ISERROR(VLOOKUP($T$488,'TAR FIN'!$A$1:$O$104,15,0)),0,VLOOKUP($T$488,'TAR FIN'!$A$1:$O$104,15,0))</f>
        <v>62.57</v>
      </c>
      <c r="X488" s="6">
        <f>IF(ISERROR(VLOOKUP($U$488,'TAR FIN'!$A$1:$O$104,15,0)),0,VLOOKUP($U$488,'TAR FIN'!$A$1:$O$104,15,0))</f>
        <v>397.62</v>
      </c>
      <c r="Y488" s="6">
        <f ca="1">('TUSD BE'!$AM$13+'TUSD BF'!$AM$13+'TUSD CVA'!$AM$13)*1</f>
        <v>52.233673366014429</v>
      </c>
      <c r="Z488" s="6">
        <f ca="1">('TUSD BE'!$AM$15+'TUSD BF'!$AM$15+'TUSD CVA'!$AM$15)*1</f>
        <v>77.876201961015255</v>
      </c>
      <c r="AA488" s="6">
        <f>('TE BE'!$AB$7+'TE BF'!$AB$7+'TE CVA'!$AB$7)*1</f>
        <v>360.26029187567116</v>
      </c>
      <c r="AB488" s="6">
        <f>$K$488*$V$488</f>
        <v>17105.2</v>
      </c>
      <c r="AC488" s="6">
        <f>$M$488*$W$488</f>
        <v>696.96722999999997</v>
      </c>
      <c r="AD488" s="6">
        <f>$O$488*$X$488</f>
        <v>4429.0891799999999</v>
      </c>
      <c r="AE488" s="6">
        <f ca="1">$K$488*$Y$488</f>
        <v>17132.644864052734</v>
      </c>
      <c r="AF488" s="6">
        <f ca="1">$M$488*$Z$488</f>
        <v>867.46301364374892</v>
      </c>
      <c r="AG488" s="6">
        <f>$O$488*$AA$488</f>
        <v>4012.939391203101</v>
      </c>
    </row>
    <row r="489" spans="1:33" ht="11.25" customHeight="1" x14ac:dyDescent="0.25">
      <c r="A489" s="4" t="s">
        <v>28</v>
      </c>
      <c r="B489" s="4" t="s">
        <v>41</v>
      </c>
      <c r="C489" s="4" t="s">
        <v>40</v>
      </c>
      <c r="D489" s="4" t="s">
        <v>38</v>
      </c>
      <c r="E489" s="4" t="s">
        <v>25</v>
      </c>
      <c r="F489" s="4" t="s">
        <v>25</v>
      </c>
      <c r="G489" s="4" t="s">
        <v>25</v>
      </c>
      <c r="H489" s="4" t="s">
        <v>34</v>
      </c>
      <c r="I489" s="5">
        <v>44621</v>
      </c>
      <c r="J489" s="6">
        <v>8</v>
      </c>
      <c r="K489" s="6">
        <v>8</v>
      </c>
      <c r="L489" s="6">
        <v>0.16</v>
      </c>
      <c r="M489" s="6">
        <v>0.16</v>
      </c>
      <c r="N489" s="6">
        <v>0.16</v>
      </c>
      <c r="O489" s="6">
        <v>0.16</v>
      </c>
      <c r="P489" s="6">
        <v>0</v>
      </c>
      <c r="Q489" s="4" t="s">
        <v>26</v>
      </c>
      <c r="R489" s="4">
        <v>0</v>
      </c>
      <c r="S489" s="6">
        <v>18</v>
      </c>
      <c r="T489" s="6">
        <v>22</v>
      </c>
      <c r="U489" s="6">
        <v>66</v>
      </c>
      <c r="V489" s="6">
        <f>IF(ISERROR(VLOOKUP($S$489,'TAR FIN'!$A$1:$O$104,15,0)),0,VLOOKUP($S$489,'TAR FIN'!$A$1:$O$104,15,0))</f>
        <v>52.15</v>
      </c>
      <c r="W489" s="6">
        <f>IF(ISERROR(VLOOKUP($T$489,'TAR FIN'!$A$1:$O$104,15,0)),0,VLOOKUP($T$489,'TAR FIN'!$A$1:$O$104,15,0))</f>
        <v>62.57</v>
      </c>
      <c r="X489" s="6">
        <f>IF(ISERROR(VLOOKUP($U$489,'TAR FIN'!$A$1:$O$104,15,0)),0,VLOOKUP($U$489,'TAR FIN'!$A$1:$O$104,15,0))</f>
        <v>397.62</v>
      </c>
      <c r="Y489" s="6">
        <f ca="1">('TUSD BE'!$AM$13+'TUSD BF'!$AM$13+'TUSD CVA'!$AM$13)*1</f>
        <v>52.233673366014429</v>
      </c>
      <c r="Z489" s="6">
        <f ca="1">('TUSD BE'!$AM$15+'TUSD BF'!$AM$15+'TUSD CVA'!$AM$15)*1</f>
        <v>77.876201961015255</v>
      </c>
      <c r="AA489" s="6">
        <f>('TE BE'!$AB$7+'TE BF'!$AB$7+'TE CVA'!$AB$7)*1</f>
        <v>360.26029187567116</v>
      </c>
      <c r="AB489" s="6">
        <f>$K$489*$V$489</f>
        <v>417.2</v>
      </c>
      <c r="AC489" s="6">
        <f>$M$489*$W$489</f>
        <v>10.011200000000001</v>
      </c>
      <c r="AD489" s="6">
        <f>$O$489*$X$489</f>
        <v>63.619199999999999</v>
      </c>
      <c r="AE489" s="6">
        <f ca="1">$K$489*$Y$489</f>
        <v>417.86938692811543</v>
      </c>
      <c r="AF489" s="6">
        <f ca="1">$M$489*$Z$489</f>
        <v>12.460192313762441</v>
      </c>
      <c r="AG489" s="6">
        <f>$O$489*$AA$489</f>
        <v>57.641646700107387</v>
      </c>
    </row>
    <row r="490" spans="1:33" ht="11.25" customHeight="1" x14ac:dyDescent="0.25">
      <c r="A490" s="4" t="s">
        <v>21</v>
      </c>
      <c r="B490" s="4" t="s">
        <v>41</v>
      </c>
      <c r="C490" s="4" t="s">
        <v>40</v>
      </c>
      <c r="D490" s="4" t="s">
        <v>38</v>
      </c>
      <c r="E490" s="4" t="s">
        <v>25</v>
      </c>
      <c r="F490" s="4" t="s">
        <v>25</v>
      </c>
      <c r="G490" s="4" t="s">
        <v>25</v>
      </c>
      <c r="H490" s="4" t="s">
        <v>34</v>
      </c>
      <c r="I490" s="5">
        <v>44652</v>
      </c>
      <c r="J490" s="6">
        <v>328</v>
      </c>
      <c r="K490" s="6">
        <v>328</v>
      </c>
      <c r="L490" s="6">
        <v>9.9670000000000005</v>
      </c>
      <c r="M490" s="6">
        <v>9.9670000000000005</v>
      </c>
      <c r="N490" s="6">
        <v>9.9670000000000005</v>
      </c>
      <c r="O490" s="6">
        <v>9.9670000000000005</v>
      </c>
      <c r="P490" s="6">
        <v>0</v>
      </c>
      <c r="Q490" s="4" t="s">
        <v>26</v>
      </c>
      <c r="R490" s="4">
        <v>0</v>
      </c>
      <c r="S490" s="6">
        <v>18</v>
      </c>
      <c r="T490" s="6">
        <v>22</v>
      </c>
      <c r="U490" s="6">
        <v>66</v>
      </c>
      <c r="V490" s="6">
        <f>IF(ISERROR(VLOOKUP($S$490,'TAR FIN'!$A$1:$O$104,15,0)),0,VLOOKUP($S$490,'TAR FIN'!$A$1:$O$104,15,0))</f>
        <v>52.15</v>
      </c>
      <c r="W490" s="6">
        <f>IF(ISERROR(VLOOKUP($T$490,'TAR FIN'!$A$1:$O$104,15,0)),0,VLOOKUP($T$490,'TAR FIN'!$A$1:$O$104,15,0))</f>
        <v>62.57</v>
      </c>
      <c r="X490" s="6">
        <f>IF(ISERROR(VLOOKUP($U$490,'TAR FIN'!$A$1:$O$104,15,0)),0,VLOOKUP($U$490,'TAR FIN'!$A$1:$O$104,15,0))</f>
        <v>397.62</v>
      </c>
      <c r="Y490" s="6">
        <f ca="1">('TUSD BE'!$AM$13+'TUSD BF'!$AM$13+'TUSD CVA'!$AM$13)*1</f>
        <v>52.233673366014429</v>
      </c>
      <c r="Z490" s="6">
        <f ca="1">('TUSD BE'!$AM$15+'TUSD BF'!$AM$15+'TUSD CVA'!$AM$15)*1</f>
        <v>77.876201961015255</v>
      </c>
      <c r="AA490" s="6">
        <f>('TE BE'!$AB$7+'TE BF'!$AB$7+'TE CVA'!$AB$7)*1</f>
        <v>360.26029187567116</v>
      </c>
      <c r="AB490" s="6">
        <f>$K$490*$V$490</f>
        <v>17105.2</v>
      </c>
      <c r="AC490" s="6">
        <f>$M$490*$W$490</f>
        <v>623.63519000000008</v>
      </c>
      <c r="AD490" s="6">
        <f>$O$490*$X$490</f>
        <v>3963.0785400000004</v>
      </c>
      <c r="AE490" s="6">
        <f ca="1">$K$490*$Y$490</f>
        <v>17132.644864052734</v>
      </c>
      <c r="AF490" s="6">
        <f ca="1">$M$490*$Z$490</f>
        <v>776.19210494543904</v>
      </c>
      <c r="AG490" s="6">
        <f>$O$490*$AA$490</f>
        <v>3590.7143291248144</v>
      </c>
    </row>
    <row r="491" spans="1:33" ht="11.25" customHeight="1" x14ac:dyDescent="0.25">
      <c r="A491" s="4" t="s">
        <v>28</v>
      </c>
      <c r="B491" s="4" t="s">
        <v>41</v>
      </c>
      <c r="C491" s="4" t="s">
        <v>40</v>
      </c>
      <c r="D491" s="4" t="s">
        <v>38</v>
      </c>
      <c r="E491" s="4" t="s">
        <v>25</v>
      </c>
      <c r="F491" s="4" t="s">
        <v>25</v>
      </c>
      <c r="G491" s="4" t="s">
        <v>25</v>
      </c>
      <c r="H491" s="4" t="s">
        <v>34</v>
      </c>
      <c r="I491" s="5">
        <v>44652</v>
      </c>
      <c r="J491" s="6">
        <v>8</v>
      </c>
      <c r="K491" s="6">
        <v>8</v>
      </c>
      <c r="L491" s="6">
        <v>0.14000000000000001</v>
      </c>
      <c r="M491" s="6">
        <v>0.14000000000000001</v>
      </c>
      <c r="N491" s="6">
        <v>0.14000000000000001</v>
      </c>
      <c r="O491" s="6">
        <v>0.14000000000000001</v>
      </c>
      <c r="P491" s="6">
        <v>0</v>
      </c>
      <c r="Q491" s="4" t="s">
        <v>26</v>
      </c>
      <c r="R491" s="4">
        <v>0</v>
      </c>
      <c r="S491" s="6">
        <v>18</v>
      </c>
      <c r="T491" s="6">
        <v>22</v>
      </c>
      <c r="U491" s="6">
        <v>66</v>
      </c>
      <c r="V491" s="6">
        <f>IF(ISERROR(VLOOKUP($S$491,'TAR FIN'!$A$1:$O$104,15,0)),0,VLOOKUP($S$491,'TAR FIN'!$A$1:$O$104,15,0))</f>
        <v>52.15</v>
      </c>
      <c r="W491" s="6">
        <f>IF(ISERROR(VLOOKUP($T$491,'TAR FIN'!$A$1:$O$104,15,0)),0,VLOOKUP($T$491,'TAR FIN'!$A$1:$O$104,15,0))</f>
        <v>62.57</v>
      </c>
      <c r="X491" s="6">
        <f>IF(ISERROR(VLOOKUP($U$491,'TAR FIN'!$A$1:$O$104,15,0)),0,VLOOKUP($U$491,'TAR FIN'!$A$1:$O$104,15,0))</f>
        <v>397.62</v>
      </c>
      <c r="Y491" s="6">
        <f ca="1">('TUSD BE'!$AM$13+'TUSD BF'!$AM$13+'TUSD CVA'!$AM$13)*1</f>
        <v>52.233673366014429</v>
      </c>
      <c r="Z491" s="6">
        <f ca="1">('TUSD BE'!$AM$15+'TUSD BF'!$AM$15+'TUSD CVA'!$AM$15)*1</f>
        <v>77.876201961015255</v>
      </c>
      <c r="AA491" s="6">
        <f>('TE BE'!$AB$7+'TE BF'!$AB$7+'TE CVA'!$AB$7)*1</f>
        <v>360.26029187567116</v>
      </c>
      <c r="AB491" s="6">
        <f>$K$491*$V$491</f>
        <v>417.2</v>
      </c>
      <c r="AC491" s="6">
        <f>$M$491*$W$491</f>
        <v>8.7598000000000003</v>
      </c>
      <c r="AD491" s="6">
        <f>$O$491*$X$491</f>
        <v>55.666800000000009</v>
      </c>
      <c r="AE491" s="6">
        <f ca="1">$K$491*$Y$491</f>
        <v>417.86938692811543</v>
      </c>
      <c r="AF491" s="6">
        <f ca="1">$M$491*$Z$491</f>
        <v>10.902668274542137</v>
      </c>
      <c r="AG491" s="6">
        <f>$O$491*$AA$491</f>
        <v>50.436440862593969</v>
      </c>
    </row>
    <row r="492" spans="1:33" ht="11.25" customHeight="1" x14ac:dyDescent="0.25">
      <c r="A492" s="4" t="s">
        <v>21</v>
      </c>
      <c r="B492" s="4" t="s">
        <v>41</v>
      </c>
      <c r="C492" s="4" t="s">
        <v>40</v>
      </c>
      <c r="D492" s="4" t="s">
        <v>38</v>
      </c>
      <c r="E492" s="4" t="s">
        <v>25</v>
      </c>
      <c r="F492" s="4" t="s">
        <v>25</v>
      </c>
      <c r="G492" s="4" t="s">
        <v>25</v>
      </c>
      <c r="H492" s="4" t="s">
        <v>34</v>
      </c>
      <c r="I492" s="5">
        <v>44682</v>
      </c>
      <c r="J492" s="6">
        <v>328</v>
      </c>
      <c r="K492" s="6">
        <v>328</v>
      </c>
      <c r="L492" s="6">
        <v>10.414</v>
      </c>
      <c r="M492" s="6">
        <v>10.414</v>
      </c>
      <c r="N492" s="6">
        <v>10.414</v>
      </c>
      <c r="O492" s="6">
        <v>10.414</v>
      </c>
      <c r="P492" s="6">
        <v>0</v>
      </c>
      <c r="Q492" s="4" t="s">
        <v>26</v>
      </c>
      <c r="R492" s="4">
        <v>0</v>
      </c>
      <c r="S492" s="6">
        <v>18</v>
      </c>
      <c r="T492" s="6">
        <v>22</v>
      </c>
      <c r="U492" s="6">
        <v>66</v>
      </c>
      <c r="V492" s="6">
        <f>IF(ISERROR(VLOOKUP($S$492,'TAR FIN'!$A$1:$O$104,15,0)),0,VLOOKUP($S$492,'TAR FIN'!$A$1:$O$104,15,0))</f>
        <v>52.15</v>
      </c>
      <c r="W492" s="6">
        <f>IF(ISERROR(VLOOKUP($T$492,'TAR FIN'!$A$1:$O$104,15,0)),0,VLOOKUP($T$492,'TAR FIN'!$A$1:$O$104,15,0))</f>
        <v>62.57</v>
      </c>
      <c r="X492" s="6">
        <f>IF(ISERROR(VLOOKUP($U$492,'TAR FIN'!$A$1:$O$104,15,0)),0,VLOOKUP($U$492,'TAR FIN'!$A$1:$O$104,15,0))</f>
        <v>397.62</v>
      </c>
      <c r="Y492" s="6">
        <f ca="1">('TUSD BE'!$AM$13+'TUSD BF'!$AM$13+'TUSD CVA'!$AM$13)*1</f>
        <v>52.233673366014429</v>
      </c>
      <c r="Z492" s="6">
        <f ca="1">('TUSD BE'!$AM$15+'TUSD BF'!$AM$15+'TUSD CVA'!$AM$15)*1</f>
        <v>77.876201961015255</v>
      </c>
      <c r="AA492" s="6">
        <f>('TE BE'!$AB$7+'TE BF'!$AB$7+'TE CVA'!$AB$7)*1</f>
        <v>360.26029187567116</v>
      </c>
      <c r="AB492" s="6">
        <f>$K$492*$V$492</f>
        <v>17105.2</v>
      </c>
      <c r="AC492" s="6">
        <f>$M$492*$W$492</f>
        <v>651.60397999999998</v>
      </c>
      <c r="AD492" s="6">
        <f>$O$492*$X$492</f>
        <v>4140.8146799999995</v>
      </c>
      <c r="AE492" s="6">
        <f ca="1">$K$492*$Y$492</f>
        <v>17132.644864052734</v>
      </c>
      <c r="AF492" s="6">
        <f ca="1">$M$492*$Z$492</f>
        <v>811.00276722201284</v>
      </c>
      <c r="AG492" s="6">
        <f>$O$492*$AA$492</f>
        <v>3751.7506795932395</v>
      </c>
    </row>
    <row r="493" spans="1:33" ht="11.25" customHeight="1" x14ac:dyDescent="0.25">
      <c r="A493" s="4" t="s">
        <v>28</v>
      </c>
      <c r="B493" s="4" t="s">
        <v>41</v>
      </c>
      <c r="C493" s="4" t="s">
        <v>40</v>
      </c>
      <c r="D493" s="4" t="s">
        <v>38</v>
      </c>
      <c r="E493" s="4" t="s">
        <v>25</v>
      </c>
      <c r="F493" s="4" t="s">
        <v>25</v>
      </c>
      <c r="G493" s="4" t="s">
        <v>25</v>
      </c>
      <c r="H493" s="4" t="s">
        <v>34</v>
      </c>
      <c r="I493" s="5">
        <v>44682</v>
      </c>
      <c r="J493" s="6">
        <v>16</v>
      </c>
      <c r="K493" s="6">
        <v>16</v>
      </c>
      <c r="L493" s="6">
        <v>0.18</v>
      </c>
      <c r="M493" s="6">
        <v>0.18</v>
      </c>
      <c r="N493" s="6">
        <v>0.18</v>
      </c>
      <c r="O493" s="6">
        <v>0.18</v>
      </c>
      <c r="P493" s="6">
        <v>0</v>
      </c>
      <c r="Q493" s="4" t="s">
        <v>26</v>
      </c>
      <c r="R493" s="4">
        <v>0</v>
      </c>
      <c r="S493" s="6">
        <v>18</v>
      </c>
      <c r="T493" s="6">
        <v>22</v>
      </c>
      <c r="U493" s="6">
        <v>66</v>
      </c>
      <c r="V493" s="6">
        <f>IF(ISERROR(VLOOKUP($S$493,'TAR FIN'!$A$1:$O$104,15,0)),0,VLOOKUP($S$493,'TAR FIN'!$A$1:$O$104,15,0))</f>
        <v>52.15</v>
      </c>
      <c r="W493" s="6">
        <f>IF(ISERROR(VLOOKUP($T$493,'TAR FIN'!$A$1:$O$104,15,0)),0,VLOOKUP($T$493,'TAR FIN'!$A$1:$O$104,15,0))</f>
        <v>62.57</v>
      </c>
      <c r="X493" s="6">
        <f>IF(ISERROR(VLOOKUP($U$493,'TAR FIN'!$A$1:$O$104,15,0)),0,VLOOKUP($U$493,'TAR FIN'!$A$1:$O$104,15,0))</f>
        <v>397.62</v>
      </c>
      <c r="Y493" s="6">
        <f ca="1">('TUSD BE'!$AM$13+'TUSD BF'!$AM$13+'TUSD CVA'!$AM$13)*1</f>
        <v>52.233673366014429</v>
      </c>
      <c r="Z493" s="6">
        <f ca="1">('TUSD BE'!$AM$15+'TUSD BF'!$AM$15+'TUSD CVA'!$AM$15)*1</f>
        <v>77.876201961015255</v>
      </c>
      <c r="AA493" s="6">
        <f>('TE BE'!$AB$7+'TE BF'!$AB$7+'TE CVA'!$AB$7)*1</f>
        <v>360.26029187567116</v>
      </c>
      <c r="AB493" s="6">
        <f>$K$493*$V$493</f>
        <v>834.4</v>
      </c>
      <c r="AC493" s="6">
        <f>$M$493*$W$493</f>
        <v>11.262599999999999</v>
      </c>
      <c r="AD493" s="6">
        <f>$O$493*$X$493</f>
        <v>71.571600000000004</v>
      </c>
      <c r="AE493" s="6">
        <f ca="1">$K$493*$Y$493</f>
        <v>835.73877385623086</v>
      </c>
      <c r="AF493" s="6">
        <f ca="1">$M$493*$Z$493</f>
        <v>14.017716352982745</v>
      </c>
      <c r="AG493" s="6">
        <f>$O$493*$AA$493</f>
        <v>64.846852537620805</v>
      </c>
    </row>
    <row r="494" spans="1:33" ht="11.25" customHeight="1" x14ac:dyDescent="0.25">
      <c r="A494" s="4" t="s">
        <v>21</v>
      </c>
      <c r="B494" s="4" t="s">
        <v>41</v>
      </c>
      <c r="C494" s="4" t="s">
        <v>40</v>
      </c>
      <c r="D494" s="4" t="s">
        <v>38</v>
      </c>
      <c r="E494" s="4" t="s">
        <v>25</v>
      </c>
      <c r="F494" s="4" t="s">
        <v>25</v>
      </c>
      <c r="G494" s="4" t="s">
        <v>25</v>
      </c>
      <c r="H494" s="4" t="s">
        <v>34</v>
      </c>
      <c r="I494" s="5">
        <v>44713</v>
      </c>
      <c r="J494" s="6">
        <v>344</v>
      </c>
      <c r="K494" s="6">
        <v>344</v>
      </c>
      <c r="L494" s="6">
        <v>9.8290000000000006</v>
      </c>
      <c r="M494" s="6">
        <v>9.8290000000000006</v>
      </c>
      <c r="N494" s="6">
        <v>9.8290000000000006</v>
      </c>
      <c r="O494" s="6">
        <v>9.8290000000000006</v>
      </c>
      <c r="P494" s="6">
        <v>0</v>
      </c>
      <c r="Q494" s="4" t="s">
        <v>26</v>
      </c>
      <c r="R494" s="4">
        <v>0</v>
      </c>
      <c r="S494" s="6">
        <v>18</v>
      </c>
      <c r="T494" s="6">
        <v>22</v>
      </c>
      <c r="U494" s="6">
        <v>66</v>
      </c>
      <c r="V494" s="6">
        <f>IF(ISERROR(VLOOKUP($S$494,'TAR FIN'!$A$1:$O$104,15,0)),0,VLOOKUP($S$494,'TAR FIN'!$A$1:$O$104,15,0))</f>
        <v>52.15</v>
      </c>
      <c r="W494" s="6">
        <f>IF(ISERROR(VLOOKUP($T$494,'TAR FIN'!$A$1:$O$104,15,0)),0,VLOOKUP($T$494,'TAR FIN'!$A$1:$O$104,15,0))</f>
        <v>62.57</v>
      </c>
      <c r="X494" s="6">
        <f>IF(ISERROR(VLOOKUP($U$494,'TAR FIN'!$A$1:$O$104,15,0)),0,VLOOKUP($U$494,'TAR FIN'!$A$1:$O$104,15,0))</f>
        <v>397.62</v>
      </c>
      <c r="Y494" s="6">
        <f ca="1">('TUSD BE'!$AM$13+'TUSD BF'!$AM$13+'TUSD CVA'!$AM$13)*1</f>
        <v>52.233673366014429</v>
      </c>
      <c r="Z494" s="6">
        <f ca="1">('TUSD BE'!$AM$15+'TUSD BF'!$AM$15+'TUSD CVA'!$AM$15)*1</f>
        <v>77.876201961015255</v>
      </c>
      <c r="AA494" s="6">
        <f>('TE BE'!$AB$7+'TE BF'!$AB$7+'TE CVA'!$AB$7)*1</f>
        <v>360.26029187567116</v>
      </c>
      <c r="AB494" s="6">
        <f>$K$494*$V$494</f>
        <v>17939.599999999999</v>
      </c>
      <c r="AC494" s="6">
        <f>$M$494*$W$494</f>
        <v>615.00053000000003</v>
      </c>
      <c r="AD494" s="6">
        <f>$O$494*$X$494</f>
        <v>3908.2069800000004</v>
      </c>
      <c r="AE494" s="6">
        <f ca="1">$K$494*$Y$494</f>
        <v>17968.383637908963</v>
      </c>
      <c r="AF494" s="6">
        <f ca="1">$M$494*$Z$494</f>
        <v>765.44518907481904</v>
      </c>
      <c r="AG494" s="6">
        <f>$O$494*$AA$494</f>
        <v>3540.9984088459719</v>
      </c>
    </row>
    <row r="495" spans="1:33" ht="11.25" customHeight="1" x14ac:dyDescent="0.25">
      <c r="A495" s="4" t="s">
        <v>28</v>
      </c>
      <c r="B495" s="4" t="s">
        <v>41</v>
      </c>
      <c r="C495" s="4" t="s">
        <v>40</v>
      </c>
      <c r="D495" s="4" t="s">
        <v>38</v>
      </c>
      <c r="E495" s="4" t="s">
        <v>25</v>
      </c>
      <c r="F495" s="4" t="s">
        <v>25</v>
      </c>
      <c r="G495" s="4" t="s">
        <v>25</v>
      </c>
      <c r="H495" s="4" t="s">
        <v>34</v>
      </c>
      <c r="I495" s="5">
        <v>44713</v>
      </c>
      <c r="J495" s="6">
        <v>9</v>
      </c>
      <c r="K495" s="6">
        <v>9</v>
      </c>
      <c r="L495" s="6">
        <v>0.17399999999999999</v>
      </c>
      <c r="M495" s="6">
        <v>0.17399999999999999</v>
      </c>
      <c r="N495" s="6">
        <v>0.17399999999999999</v>
      </c>
      <c r="O495" s="6">
        <v>0.17399999999999999</v>
      </c>
      <c r="P495" s="6">
        <v>0</v>
      </c>
      <c r="Q495" s="4" t="s">
        <v>26</v>
      </c>
      <c r="R495" s="4">
        <v>0</v>
      </c>
      <c r="S495" s="6">
        <v>18</v>
      </c>
      <c r="T495" s="6">
        <v>22</v>
      </c>
      <c r="U495" s="6">
        <v>66</v>
      </c>
      <c r="V495" s="6">
        <f>IF(ISERROR(VLOOKUP($S$495,'TAR FIN'!$A$1:$O$104,15,0)),0,VLOOKUP($S$495,'TAR FIN'!$A$1:$O$104,15,0))</f>
        <v>52.15</v>
      </c>
      <c r="W495" s="6">
        <f>IF(ISERROR(VLOOKUP($T$495,'TAR FIN'!$A$1:$O$104,15,0)),0,VLOOKUP($T$495,'TAR FIN'!$A$1:$O$104,15,0))</f>
        <v>62.57</v>
      </c>
      <c r="X495" s="6">
        <f>IF(ISERROR(VLOOKUP($U$495,'TAR FIN'!$A$1:$O$104,15,0)),0,VLOOKUP($U$495,'TAR FIN'!$A$1:$O$104,15,0))</f>
        <v>397.62</v>
      </c>
      <c r="Y495" s="6">
        <f ca="1">('TUSD BE'!$AM$13+'TUSD BF'!$AM$13+'TUSD CVA'!$AM$13)*1</f>
        <v>52.233673366014429</v>
      </c>
      <c r="Z495" s="6">
        <f ca="1">('TUSD BE'!$AM$15+'TUSD BF'!$AM$15+'TUSD CVA'!$AM$15)*1</f>
        <v>77.876201961015255</v>
      </c>
      <c r="AA495" s="6">
        <f>('TE BE'!$AB$7+'TE BF'!$AB$7+'TE CVA'!$AB$7)*1</f>
        <v>360.26029187567116</v>
      </c>
      <c r="AB495" s="6">
        <f>$K$495*$V$495</f>
        <v>469.34999999999997</v>
      </c>
      <c r="AC495" s="6">
        <f>$M$495*$W$495</f>
        <v>10.887179999999999</v>
      </c>
      <c r="AD495" s="6">
        <f>$O$495*$X$495</f>
        <v>69.185879999999997</v>
      </c>
      <c r="AE495" s="6">
        <f ca="1">$K$495*$Y$495</f>
        <v>470.10306029412988</v>
      </c>
      <c r="AF495" s="6">
        <f ca="1">$M$495*$Z$495</f>
        <v>13.550459141216653</v>
      </c>
      <c r="AG495" s="6">
        <f>$O$495*$AA$495</f>
        <v>62.685290786366778</v>
      </c>
    </row>
    <row r="496" spans="1:33" ht="11.25" customHeight="1" x14ac:dyDescent="0.25">
      <c r="A496" s="4" t="s">
        <v>57</v>
      </c>
      <c r="B496" s="4" t="s">
        <v>41</v>
      </c>
      <c r="C496" s="4" t="s">
        <v>40</v>
      </c>
      <c r="D496" s="4" t="s">
        <v>38</v>
      </c>
      <c r="E496" s="4" t="s">
        <v>25</v>
      </c>
      <c r="F496" s="4" t="s">
        <v>25</v>
      </c>
      <c r="G496" s="4" t="s">
        <v>25</v>
      </c>
      <c r="H496" s="4" t="s">
        <v>34</v>
      </c>
      <c r="I496" s="5">
        <v>44743</v>
      </c>
      <c r="J496" s="6">
        <v>344</v>
      </c>
      <c r="K496" s="6">
        <v>344</v>
      </c>
      <c r="L496" s="6">
        <v>9.8290000000000006</v>
      </c>
      <c r="M496" s="6">
        <v>9.8290000000000006</v>
      </c>
      <c r="N496" s="6">
        <v>9.8290000000000006</v>
      </c>
      <c r="O496" s="6">
        <v>9.8290000000000006</v>
      </c>
      <c r="P496" s="6">
        <v>0</v>
      </c>
      <c r="Q496" s="4" t="s">
        <v>26</v>
      </c>
      <c r="R496" s="4">
        <v>0</v>
      </c>
      <c r="S496" s="6">
        <v>18</v>
      </c>
      <c r="T496" s="6">
        <v>22</v>
      </c>
      <c r="U496" s="6">
        <v>66</v>
      </c>
      <c r="V496" s="6">
        <f>IF(ISERROR(VLOOKUP($S$496,'TAR FIN'!$A$1:$O$104,15,0)),0,VLOOKUP($S$496,'TAR FIN'!$A$1:$O$104,15,0))</f>
        <v>52.15</v>
      </c>
      <c r="W496" s="6">
        <f>IF(ISERROR(VLOOKUP($T$496,'TAR FIN'!$A$1:$O$104,15,0)),0,VLOOKUP($T$496,'TAR FIN'!$A$1:$O$104,15,0))</f>
        <v>62.57</v>
      </c>
      <c r="X496" s="6">
        <f>IF(ISERROR(VLOOKUP($U$496,'TAR FIN'!$A$1:$O$104,15,0)),0,VLOOKUP($U$496,'TAR FIN'!$A$1:$O$104,15,0))</f>
        <v>397.62</v>
      </c>
      <c r="Y496" s="6">
        <f ca="1">('TUSD BE'!$AM$13+'TUSD BF'!$AM$13+'TUSD CVA'!$AM$13)*1</f>
        <v>52.233673366014429</v>
      </c>
      <c r="Z496" s="6">
        <f ca="1">('TUSD BE'!$AM$15+'TUSD BF'!$AM$15+'TUSD CVA'!$AM$15)*1</f>
        <v>77.876201961015255</v>
      </c>
      <c r="AA496" s="6">
        <f>('TE BE'!$AB$7+'TE BF'!$AB$7+'TE CVA'!$AB$7)*1</f>
        <v>360.26029187567116</v>
      </c>
      <c r="AB496" s="6">
        <f>$K$496*$V$496</f>
        <v>17939.599999999999</v>
      </c>
      <c r="AC496" s="6">
        <f>$M$496*$W$496</f>
        <v>615.00053000000003</v>
      </c>
      <c r="AD496" s="6">
        <f>$O$496*$X$496</f>
        <v>3908.2069800000004</v>
      </c>
      <c r="AE496" s="6">
        <f ca="1">$K$496*$Y$496</f>
        <v>17968.383637908963</v>
      </c>
      <c r="AF496" s="6">
        <f ca="1">$M$496*$Z$496</f>
        <v>765.44518907481904</v>
      </c>
      <c r="AG496" s="6">
        <f>$O$496*$AA$496</f>
        <v>3540.9984088459719</v>
      </c>
    </row>
    <row r="497" spans="1:33" ht="11.25" customHeight="1" x14ac:dyDescent="0.25">
      <c r="A497" s="4" t="s">
        <v>57</v>
      </c>
      <c r="B497" s="4" t="s">
        <v>41</v>
      </c>
      <c r="C497" s="4" t="s">
        <v>40</v>
      </c>
      <c r="D497" s="4" t="s">
        <v>38</v>
      </c>
      <c r="E497" s="4" t="s">
        <v>25</v>
      </c>
      <c r="F497" s="4" t="s">
        <v>25</v>
      </c>
      <c r="G497" s="4" t="s">
        <v>25</v>
      </c>
      <c r="H497" s="4" t="s">
        <v>34</v>
      </c>
      <c r="I497" s="5">
        <v>44743</v>
      </c>
      <c r="J497" s="6">
        <v>9</v>
      </c>
      <c r="K497" s="6">
        <v>9</v>
      </c>
      <c r="L497" s="6">
        <v>0.17399999999999999</v>
      </c>
      <c r="M497" s="6">
        <v>0.17399999999999999</v>
      </c>
      <c r="N497" s="6">
        <v>0.17399999999999999</v>
      </c>
      <c r="O497" s="6">
        <v>0.17399999999999999</v>
      </c>
      <c r="P497" s="6">
        <v>0</v>
      </c>
      <c r="Q497" s="4" t="s">
        <v>26</v>
      </c>
      <c r="R497" s="4">
        <v>0</v>
      </c>
      <c r="S497" s="6">
        <v>18</v>
      </c>
      <c r="T497" s="6">
        <v>22</v>
      </c>
      <c r="U497" s="6">
        <v>66</v>
      </c>
      <c r="V497" s="6">
        <f>IF(ISERROR(VLOOKUP($S$497,'TAR FIN'!$A$1:$O$104,15,0)),0,VLOOKUP($S$497,'TAR FIN'!$A$1:$O$104,15,0))</f>
        <v>52.15</v>
      </c>
      <c r="W497" s="6">
        <f>IF(ISERROR(VLOOKUP($T$497,'TAR FIN'!$A$1:$O$104,15,0)),0,VLOOKUP($T$497,'TAR FIN'!$A$1:$O$104,15,0))</f>
        <v>62.57</v>
      </c>
      <c r="X497" s="6">
        <f>IF(ISERROR(VLOOKUP($U$497,'TAR FIN'!$A$1:$O$104,15,0)),0,VLOOKUP($U$497,'TAR FIN'!$A$1:$O$104,15,0))</f>
        <v>397.62</v>
      </c>
      <c r="Y497" s="6">
        <f ca="1">('TUSD BE'!$AM$13+'TUSD BF'!$AM$13+'TUSD CVA'!$AM$13)*1</f>
        <v>52.233673366014429</v>
      </c>
      <c r="Z497" s="6">
        <f ca="1">('TUSD BE'!$AM$15+'TUSD BF'!$AM$15+'TUSD CVA'!$AM$15)*1</f>
        <v>77.876201961015255</v>
      </c>
      <c r="AA497" s="6">
        <f>('TE BE'!$AB$7+'TE BF'!$AB$7+'TE CVA'!$AB$7)*1</f>
        <v>360.26029187567116</v>
      </c>
      <c r="AB497" s="6">
        <f>$K$497*$V$497</f>
        <v>469.34999999999997</v>
      </c>
      <c r="AC497" s="6">
        <f>$M$497*$W$497</f>
        <v>10.887179999999999</v>
      </c>
      <c r="AD497" s="6">
        <f>$O$497*$X$497</f>
        <v>69.185879999999997</v>
      </c>
      <c r="AE497" s="6">
        <f ca="1">$K$497*$Y$497</f>
        <v>470.10306029412988</v>
      </c>
      <c r="AF497" s="6">
        <f ca="1">$M$497*$Z$497</f>
        <v>13.550459141216653</v>
      </c>
      <c r="AG497" s="6">
        <f>$O$497*$AA$497</f>
        <v>62.685290786366778</v>
      </c>
    </row>
    <row r="498" spans="1:33" ht="11.25" customHeight="1" x14ac:dyDescent="0.25">
      <c r="A498" s="4" t="s">
        <v>21</v>
      </c>
      <c r="B498" s="4" t="s">
        <v>41</v>
      </c>
      <c r="C498" s="4" t="s">
        <v>40</v>
      </c>
      <c r="D498" s="4" t="s">
        <v>46</v>
      </c>
      <c r="E498" s="4" t="s">
        <v>25</v>
      </c>
      <c r="F498" s="4" t="s">
        <v>25</v>
      </c>
      <c r="G498" s="4" t="s">
        <v>25</v>
      </c>
      <c r="H498" s="4" t="s">
        <v>35</v>
      </c>
      <c r="I498" s="5">
        <v>44409</v>
      </c>
      <c r="J498" s="6">
        <v>8262</v>
      </c>
      <c r="K498" s="6">
        <v>8262</v>
      </c>
      <c r="L498" s="6">
        <v>1449.3030000000001</v>
      </c>
      <c r="M498" s="6">
        <v>1449.3030000000001</v>
      </c>
      <c r="N498" s="6">
        <v>1449.3030000000001</v>
      </c>
      <c r="O498" s="6">
        <v>1449.3030000000001</v>
      </c>
      <c r="P498" s="6">
        <v>0</v>
      </c>
      <c r="Q498" s="4" t="s">
        <v>26</v>
      </c>
      <c r="R498" s="4">
        <v>0</v>
      </c>
      <c r="S498" s="6">
        <v>20</v>
      </c>
      <c r="T498" s="6">
        <v>22</v>
      </c>
      <c r="U498" s="6">
        <v>67</v>
      </c>
      <c r="V498" s="6">
        <f>IF(ISERROR(VLOOKUP($S$498,'TAR FIN'!$A$1:$O$104,15,0)),0,VLOOKUP($S$498,'TAR FIN'!$A$1:$O$104,15,0))</f>
        <v>26.22</v>
      </c>
      <c r="W498" s="6">
        <f>IF(ISERROR(VLOOKUP($T$498,'TAR FIN'!$A$1:$O$104,15,0)),0,VLOOKUP($T$498,'TAR FIN'!$A$1:$O$104,15,0))</f>
        <v>62.57</v>
      </c>
      <c r="X498" s="6">
        <f>IF(ISERROR(VLOOKUP($U$498,'TAR FIN'!$A$1:$O$104,15,0)),0,VLOOKUP($U$498,'TAR FIN'!$A$1:$O$104,15,0))</f>
        <v>242.82</v>
      </c>
      <c r="Y498" s="6">
        <f ca="1">('TUSD BE'!$AM$14+'TUSD BF'!$AM$14+'TUSD CVA'!$AM$14)*1</f>
        <v>26.280164278980507</v>
      </c>
      <c r="Z498" s="6">
        <f ca="1">('TUSD BE'!$AM$15+'TUSD BF'!$AM$15+'TUSD CVA'!$AM$15)*1</f>
        <v>77.876201961015255</v>
      </c>
      <c r="AA498" s="6">
        <f>('TE BE'!$AB$8+'TE BF'!$AB$8+'TE CVA'!$AB$8)*1</f>
        <v>231.76257384332172</v>
      </c>
      <c r="AB498" s="6">
        <f>$K$498*$V$498</f>
        <v>216629.63999999998</v>
      </c>
      <c r="AC498" s="6">
        <f>$M$498*$W$498</f>
        <v>90682.888710000014</v>
      </c>
      <c r="AD498" s="6">
        <f>$O$498*$X$498</f>
        <v>351919.75446000003</v>
      </c>
      <c r="AE498" s="6">
        <f ca="1">$K$498*$Y$498</f>
        <v>217126.71727293695</v>
      </c>
      <c r="AF498" s="6">
        <f ca="1">$M$498*$Z$498</f>
        <v>112866.21313070531</v>
      </c>
      <c r="AG498" s="6">
        <f>$O$498*$AA$498</f>
        <v>335894.19355884771</v>
      </c>
    </row>
    <row r="499" spans="1:33" ht="11.25" customHeight="1" x14ac:dyDescent="0.25">
      <c r="A499" s="4" t="s">
        <v>28</v>
      </c>
      <c r="B499" s="4" t="s">
        <v>41</v>
      </c>
      <c r="C499" s="4" t="s">
        <v>40</v>
      </c>
      <c r="D499" s="4" t="s">
        <v>46</v>
      </c>
      <c r="E499" s="4" t="s">
        <v>25</v>
      </c>
      <c r="F499" s="4" t="s">
        <v>25</v>
      </c>
      <c r="G499" s="4" t="s">
        <v>25</v>
      </c>
      <c r="H499" s="4" t="s">
        <v>35</v>
      </c>
      <c r="I499" s="5">
        <v>44409</v>
      </c>
      <c r="J499" s="6">
        <v>746</v>
      </c>
      <c r="K499" s="6">
        <v>746</v>
      </c>
      <c r="L499" s="6">
        <v>40.033999999999999</v>
      </c>
      <c r="M499" s="6">
        <v>40.033999999999999</v>
      </c>
      <c r="N499" s="6">
        <v>40.033999999999999</v>
      </c>
      <c r="O499" s="6">
        <v>40.033999999999999</v>
      </c>
      <c r="P499" s="6">
        <v>0</v>
      </c>
      <c r="Q499" s="4" t="s">
        <v>26</v>
      </c>
      <c r="R499" s="4">
        <v>0</v>
      </c>
      <c r="S499" s="6">
        <v>20</v>
      </c>
      <c r="T499" s="6">
        <v>22</v>
      </c>
      <c r="U499" s="6">
        <v>67</v>
      </c>
      <c r="V499" s="6">
        <f>IF(ISERROR(VLOOKUP($S$499,'TAR FIN'!$A$1:$O$104,15,0)),0,VLOOKUP($S$499,'TAR FIN'!$A$1:$O$104,15,0))</f>
        <v>26.22</v>
      </c>
      <c r="W499" s="6">
        <f>IF(ISERROR(VLOOKUP($T$499,'TAR FIN'!$A$1:$O$104,15,0)),0,VLOOKUP($T$499,'TAR FIN'!$A$1:$O$104,15,0))</f>
        <v>62.57</v>
      </c>
      <c r="X499" s="6">
        <f>IF(ISERROR(VLOOKUP($U$499,'TAR FIN'!$A$1:$O$104,15,0)),0,VLOOKUP($U$499,'TAR FIN'!$A$1:$O$104,15,0))</f>
        <v>242.82</v>
      </c>
      <c r="Y499" s="6">
        <f ca="1">('TUSD BE'!$AM$14+'TUSD BF'!$AM$14+'TUSD CVA'!$AM$14)*1</f>
        <v>26.280164278980507</v>
      </c>
      <c r="Z499" s="6">
        <f ca="1">('TUSD BE'!$AM$15+'TUSD BF'!$AM$15+'TUSD CVA'!$AM$15)*1</f>
        <v>77.876201961015255</v>
      </c>
      <c r="AA499" s="6">
        <f>('TE BE'!$AB$8+'TE BF'!$AB$8+'TE CVA'!$AB$8)*1</f>
        <v>231.76257384332172</v>
      </c>
      <c r="AB499" s="6">
        <f>$K$499*$V$499</f>
        <v>19560.12</v>
      </c>
      <c r="AC499" s="6">
        <f>$M$499*$W$499</f>
        <v>2504.9273800000001</v>
      </c>
      <c r="AD499" s="6">
        <f>$O$499*$X$499</f>
        <v>9721.0558799999999</v>
      </c>
      <c r="AE499" s="6">
        <f ca="1">$K$499*$Y$499</f>
        <v>19605.002552119458</v>
      </c>
      <c r="AF499" s="6">
        <f ca="1">$M$499*$Z$499</f>
        <v>3117.6958693072847</v>
      </c>
      <c r="AG499" s="6">
        <f>$O$499*$AA$499</f>
        <v>9278.3828812435422</v>
      </c>
    </row>
    <row r="500" spans="1:33" ht="11.25" customHeight="1" x14ac:dyDescent="0.25">
      <c r="A500" s="4" t="s">
        <v>21</v>
      </c>
      <c r="B500" s="4" t="s">
        <v>41</v>
      </c>
      <c r="C500" s="4" t="s">
        <v>40</v>
      </c>
      <c r="D500" s="4" t="s">
        <v>46</v>
      </c>
      <c r="E500" s="4" t="s">
        <v>25</v>
      </c>
      <c r="F500" s="4" t="s">
        <v>25</v>
      </c>
      <c r="G500" s="4" t="s">
        <v>25</v>
      </c>
      <c r="H500" s="4" t="s">
        <v>35</v>
      </c>
      <c r="I500" s="5">
        <v>44440</v>
      </c>
      <c r="J500" s="6">
        <v>3997</v>
      </c>
      <c r="K500" s="6">
        <v>3997</v>
      </c>
      <c r="L500" s="6">
        <v>1011.646</v>
      </c>
      <c r="M500" s="6">
        <v>1011.646</v>
      </c>
      <c r="N500" s="6">
        <v>1011.646</v>
      </c>
      <c r="O500" s="6">
        <v>1011.646</v>
      </c>
      <c r="P500" s="6">
        <v>0</v>
      </c>
      <c r="Q500" s="4" t="s">
        <v>26</v>
      </c>
      <c r="R500" s="4">
        <v>0</v>
      </c>
      <c r="S500" s="6">
        <v>20</v>
      </c>
      <c r="T500" s="6">
        <v>22</v>
      </c>
      <c r="U500" s="6">
        <v>67</v>
      </c>
      <c r="V500" s="6">
        <f>IF(ISERROR(VLOOKUP($S$500,'TAR FIN'!$A$1:$O$104,15,0)),0,VLOOKUP($S$500,'TAR FIN'!$A$1:$O$104,15,0))</f>
        <v>26.22</v>
      </c>
      <c r="W500" s="6">
        <f>IF(ISERROR(VLOOKUP($T$500,'TAR FIN'!$A$1:$O$104,15,0)),0,VLOOKUP($T$500,'TAR FIN'!$A$1:$O$104,15,0))</f>
        <v>62.57</v>
      </c>
      <c r="X500" s="6">
        <f>IF(ISERROR(VLOOKUP($U$500,'TAR FIN'!$A$1:$O$104,15,0)),0,VLOOKUP($U$500,'TAR FIN'!$A$1:$O$104,15,0))</f>
        <v>242.82</v>
      </c>
      <c r="Y500" s="6">
        <f ca="1">('TUSD BE'!$AM$14+'TUSD BF'!$AM$14+'TUSD CVA'!$AM$14)*1</f>
        <v>26.280164278980507</v>
      </c>
      <c r="Z500" s="6">
        <f ca="1">('TUSD BE'!$AM$15+'TUSD BF'!$AM$15+'TUSD CVA'!$AM$15)*1</f>
        <v>77.876201961015255</v>
      </c>
      <c r="AA500" s="6">
        <f>('TE BE'!$AB$8+'TE BF'!$AB$8+'TE CVA'!$AB$8)*1</f>
        <v>231.76257384332172</v>
      </c>
      <c r="AB500" s="6">
        <f>$K$500*$V$500</f>
        <v>104801.34</v>
      </c>
      <c r="AC500" s="6">
        <f>$M$500*$W$500</f>
        <v>63298.690219999997</v>
      </c>
      <c r="AD500" s="6">
        <f>$O$500*$X$500</f>
        <v>245647.88171999998</v>
      </c>
      <c r="AE500" s="6">
        <f ca="1">$K$500*$Y$500</f>
        <v>105041.81662308509</v>
      </c>
      <c r="AF500" s="6">
        <f ca="1">$M$500*$Z$500</f>
        <v>78783.148209053237</v>
      </c>
      <c r="AG500" s="6">
        <f>$O$500*$AA$500</f>
        <v>234461.68077830103</v>
      </c>
    </row>
    <row r="501" spans="1:33" ht="11.25" customHeight="1" x14ac:dyDescent="0.25">
      <c r="A501" s="4" t="s">
        <v>27</v>
      </c>
      <c r="B501" s="4" t="s">
        <v>41</v>
      </c>
      <c r="C501" s="4" t="s">
        <v>40</v>
      </c>
      <c r="D501" s="4" t="s">
        <v>46</v>
      </c>
      <c r="E501" s="4" t="s">
        <v>25</v>
      </c>
      <c r="F501" s="4" t="s">
        <v>25</v>
      </c>
      <c r="G501" s="4" t="s">
        <v>25</v>
      </c>
      <c r="H501" s="4" t="s">
        <v>35</v>
      </c>
      <c r="I501" s="5">
        <v>44440</v>
      </c>
      <c r="J501" s="6">
        <v>348</v>
      </c>
      <c r="K501" s="6">
        <v>348</v>
      </c>
      <c r="L501" s="6">
        <v>121.8</v>
      </c>
      <c r="M501" s="6">
        <v>121.8</v>
      </c>
      <c r="N501" s="6">
        <v>121.8</v>
      </c>
      <c r="O501" s="6">
        <v>121.8</v>
      </c>
      <c r="P501" s="6">
        <v>0</v>
      </c>
      <c r="Q501" s="4" t="s">
        <v>26</v>
      </c>
      <c r="R501" s="4">
        <v>0</v>
      </c>
      <c r="S501" s="6">
        <v>20</v>
      </c>
      <c r="T501" s="6">
        <v>22</v>
      </c>
      <c r="U501" s="6">
        <v>67</v>
      </c>
      <c r="V501" s="6">
        <f>IF(ISERROR(VLOOKUP($S$501,'TAR FIN'!$A$1:$O$104,15,0)),0,VLOOKUP($S$501,'TAR FIN'!$A$1:$O$104,15,0))</f>
        <v>26.22</v>
      </c>
      <c r="W501" s="6">
        <f>IF(ISERROR(VLOOKUP($T$501,'TAR FIN'!$A$1:$O$104,15,0)),0,VLOOKUP($T$501,'TAR FIN'!$A$1:$O$104,15,0))</f>
        <v>62.57</v>
      </c>
      <c r="X501" s="6">
        <f>IF(ISERROR(VLOOKUP($U$501,'TAR FIN'!$A$1:$O$104,15,0)),0,VLOOKUP($U$501,'TAR FIN'!$A$1:$O$104,15,0))</f>
        <v>242.82</v>
      </c>
      <c r="Y501" s="6">
        <f ca="1">('TUSD BE'!$AM$14+'TUSD BF'!$AM$14+'TUSD CVA'!$AM$14)*1</f>
        <v>26.280164278980507</v>
      </c>
      <c r="Z501" s="6">
        <f ca="1">('TUSD BE'!$AM$15+'TUSD BF'!$AM$15+'TUSD CVA'!$AM$15)*1</f>
        <v>77.876201961015255</v>
      </c>
      <c r="AA501" s="6">
        <f>('TE BE'!$AB$8+'TE BF'!$AB$8+'TE CVA'!$AB$8)*1</f>
        <v>231.76257384332172</v>
      </c>
      <c r="AB501" s="6">
        <f>$K$501*$V$501</f>
        <v>9124.56</v>
      </c>
      <c r="AC501" s="6">
        <f>$M$501*$W$501</f>
        <v>7621.0259999999998</v>
      </c>
      <c r="AD501" s="6">
        <f>$O$501*$X$501</f>
        <v>29575.475999999999</v>
      </c>
      <c r="AE501" s="6">
        <f ca="1">$K$501*$Y$501</f>
        <v>9145.4971690852162</v>
      </c>
      <c r="AF501" s="6">
        <f ca="1">$M$501*$Z$501</f>
        <v>9485.3213988516582</v>
      </c>
      <c r="AG501" s="6">
        <f>$O$501*$AA$501</f>
        <v>28228.681494116583</v>
      </c>
    </row>
    <row r="502" spans="1:33" ht="11.25" customHeight="1" x14ac:dyDescent="0.25">
      <c r="A502" s="4" t="s">
        <v>28</v>
      </c>
      <c r="B502" s="4" t="s">
        <v>41</v>
      </c>
      <c r="C502" s="4" t="s">
        <v>40</v>
      </c>
      <c r="D502" s="4" t="s">
        <v>46</v>
      </c>
      <c r="E502" s="4" t="s">
        <v>25</v>
      </c>
      <c r="F502" s="4" t="s">
        <v>25</v>
      </c>
      <c r="G502" s="4" t="s">
        <v>25</v>
      </c>
      <c r="H502" s="4" t="s">
        <v>35</v>
      </c>
      <c r="I502" s="5">
        <v>44440</v>
      </c>
      <c r="J502" s="6">
        <v>5036</v>
      </c>
      <c r="K502" s="6">
        <v>5036</v>
      </c>
      <c r="L502" s="6">
        <v>638.50400000000002</v>
      </c>
      <c r="M502" s="6">
        <v>638.50400000000002</v>
      </c>
      <c r="N502" s="6">
        <v>638.50400000000002</v>
      </c>
      <c r="O502" s="6">
        <v>638.50400000000002</v>
      </c>
      <c r="P502" s="6">
        <v>0</v>
      </c>
      <c r="Q502" s="4" t="s">
        <v>26</v>
      </c>
      <c r="R502" s="4">
        <v>0</v>
      </c>
      <c r="S502" s="6">
        <v>20</v>
      </c>
      <c r="T502" s="6">
        <v>22</v>
      </c>
      <c r="U502" s="6">
        <v>67</v>
      </c>
      <c r="V502" s="6">
        <f>IF(ISERROR(VLOOKUP($S$502,'TAR FIN'!$A$1:$O$104,15,0)),0,VLOOKUP($S$502,'TAR FIN'!$A$1:$O$104,15,0))</f>
        <v>26.22</v>
      </c>
      <c r="W502" s="6">
        <f>IF(ISERROR(VLOOKUP($T$502,'TAR FIN'!$A$1:$O$104,15,0)),0,VLOOKUP($T$502,'TAR FIN'!$A$1:$O$104,15,0))</f>
        <v>62.57</v>
      </c>
      <c r="X502" s="6">
        <f>IF(ISERROR(VLOOKUP($U$502,'TAR FIN'!$A$1:$O$104,15,0)),0,VLOOKUP($U$502,'TAR FIN'!$A$1:$O$104,15,0))</f>
        <v>242.82</v>
      </c>
      <c r="Y502" s="6">
        <f ca="1">('TUSD BE'!$AM$14+'TUSD BF'!$AM$14+'TUSD CVA'!$AM$14)*1</f>
        <v>26.280164278980507</v>
      </c>
      <c r="Z502" s="6">
        <f ca="1">('TUSD BE'!$AM$15+'TUSD BF'!$AM$15+'TUSD CVA'!$AM$15)*1</f>
        <v>77.876201961015255</v>
      </c>
      <c r="AA502" s="6">
        <f>('TE BE'!$AB$8+'TE BF'!$AB$8+'TE CVA'!$AB$8)*1</f>
        <v>231.76257384332172</v>
      </c>
      <c r="AB502" s="6">
        <f>$K$502*$V$502</f>
        <v>132043.91999999998</v>
      </c>
      <c r="AC502" s="6">
        <f>$M$502*$W$502</f>
        <v>39951.19528</v>
      </c>
      <c r="AD502" s="6">
        <f>$O$502*$X$502</f>
        <v>155041.54128</v>
      </c>
      <c r="AE502" s="6">
        <f ca="1">$K$502*$Y$502</f>
        <v>132346.90730894584</v>
      </c>
      <c r="AF502" s="6">
        <f ca="1">$M$502*$Z$502</f>
        <v>49724.266456916084</v>
      </c>
      <c r="AG502" s="6">
        <f>$O$502*$AA$502</f>
        <v>147981.33044925629</v>
      </c>
    </row>
    <row r="503" spans="1:33" ht="11.25" customHeight="1" x14ac:dyDescent="0.25">
      <c r="A503" s="4" t="s">
        <v>21</v>
      </c>
      <c r="B503" s="4" t="s">
        <v>41</v>
      </c>
      <c r="C503" s="4" t="s">
        <v>40</v>
      </c>
      <c r="D503" s="4" t="s">
        <v>46</v>
      </c>
      <c r="E503" s="4" t="s">
        <v>25</v>
      </c>
      <c r="F503" s="4" t="s">
        <v>25</v>
      </c>
      <c r="G503" s="4" t="s">
        <v>25</v>
      </c>
      <c r="H503" s="4" t="s">
        <v>35</v>
      </c>
      <c r="I503" s="5">
        <v>44470</v>
      </c>
      <c r="J503" s="6">
        <v>4194</v>
      </c>
      <c r="K503" s="6">
        <v>4194</v>
      </c>
      <c r="L503" s="6">
        <v>1163.0360000000001</v>
      </c>
      <c r="M503" s="6">
        <v>1163.0360000000001</v>
      </c>
      <c r="N503" s="6">
        <v>1163.0360000000001</v>
      </c>
      <c r="O503" s="6">
        <v>1163.0360000000001</v>
      </c>
      <c r="P503" s="6">
        <v>0</v>
      </c>
      <c r="Q503" s="4" t="s">
        <v>26</v>
      </c>
      <c r="R503" s="4">
        <v>0</v>
      </c>
      <c r="S503" s="6">
        <v>20</v>
      </c>
      <c r="T503" s="6">
        <v>22</v>
      </c>
      <c r="U503" s="6">
        <v>67</v>
      </c>
      <c r="V503" s="6">
        <f>IF(ISERROR(VLOOKUP($S$503,'TAR FIN'!$A$1:$O$104,15,0)),0,VLOOKUP($S$503,'TAR FIN'!$A$1:$O$104,15,0))</f>
        <v>26.22</v>
      </c>
      <c r="W503" s="6">
        <f>IF(ISERROR(VLOOKUP($T$503,'TAR FIN'!$A$1:$O$104,15,0)),0,VLOOKUP($T$503,'TAR FIN'!$A$1:$O$104,15,0))</f>
        <v>62.57</v>
      </c>
      <c r="X503" s="6">
        <f>IF(ISERROR(VLOOKUP($U$503,'TAR FIN'!$A$1:$O$104,15,0)),0,VLOOKUP($U$503,'TAR FIN'!$A$1:$O$104,15,0))</f>
        <v>242.82</v>
      </c>
      <c r="Y503" s="6">
        <f ca="1">('TUSD BE'!$AM$14+'TUSD BF'!$AM$14+'TUSD CVA'!$AM$14)*1</f>
        <v>26.280164278980507</v>
      </c>
      <c r="Z503" s="6">
        <f ca="1">('TUSD BE'!$AM$15+'TUSD BF'!$AM$15+'TUSD CVA'!$AM$15)*1</f>
        <v>77.876201961015255</v>
      </c>
      <c r="AA503" s="6">
        <f>('TE BE'!$AB$8+'TE BF'!$AB$8+'TE CVA'!$AB$8)*1</f>
        <v>231.76257384332172</v>
      </c>
      <c r="AB503" s="6">
        <f>$K$503*$V$503</f>
        <v>109966.68</v>
      </c>
      <c r="AC503" s="6">
        <f>$M$503*$W$503</f>
        <v>72771.162519999998</v>
      </c>
      <c r="AD503" s="6">
        <f>$O$503*$X$503</f>
        <v>282408.40152000001</v>
      </c>
      <c r="AE503" s="6">
        <f ca="1">$K$503*$Y$503</f>
        <v>110219.00898604425</v>
      </c>
      <c r="AF503" s="6">
        <f ca="1">$M$503*$Z$503</f>
        <v>90572.826423931343</v>
      </c>
      <c r="AG503" s="6">
        <f>$O$503*$AA$503</f>
        <v>269548.21683244151</v>
      </c>
    </row>
    <row r="504" spans="1:33" ht="11.25" customHeight="1" x14ac:dyDescent="0.25">
      <c r="A504" s="4" t="s">
        <v>28</v>
      </c>
      <c r="B504" s="4" t="s">
        <v>41</v>
      </c>
      <c r="C504" s="4" t="s">
        <v>40</v>
      </c>
      <c r="D504" s="4" t="s">
        <v>46</v>
      </c>
      <c r="E504" s="4" t="s">
        <v>25</v>
      </c>
      <c r="F504" s="4" t="s">
        <v>25</v>
      </c>
      <c r="G504" s="4" t="s">
        <v>25</v>
      </c>
      <c r="H504" s="4" t="s">
        <v>35</v>
      </c>
      <c r="I504" s="5">
        <v>44470</v>
      </c>
      <c r="J504" s="6">
        <v>5036</v>
      </c>
      <c r="K504" s="6">
        <v>5036</v>
      </c>
      <c r="L504" s="6">
        <v>572.60799999999995</v>
      </c>
      <c r="M504" s="6">
        <v>572.60799999999995</v>
      </c>
      <c r="N504" s="6">
        <v>572.60799999999995</v>
      </c>
      <c r="O504" s="6">
        <v>572.60799999999995</v>
      </c>
      <c r="P504" s="6">
        <v>0</v>
      </c>
      <c r="Q504" s="4" t="s">
        <v>26</v>
      </c>
      <c r="R504" s="4">
        <v>0</v>
      </c>
      <c r="S504" s="6">
        <v>20</v>
      </c>
      <c r="T504" s="6">
        <v>22</v>
      </c>
      <c r="U504" s="6">
        <v>67</v>
      </c>
      <c r="V504" s="6">
        <f>IF(ISERROR(VLOOKUP($S$504,'TAR FIN'!$A$1:$O$104,15,0)),0,VLOOKUP($S$504,'TAR FIN'!$A$1:$O$104,15,0))</f>
        <v>26.22</v>
      </c>
      <c r="W504" s="6">
        <f>IF(ISERROR(VLOOKUP($T$504,'TAR FIN'!$A$1:$O$104,15,0)),0,VLOOKUP($T$504,'TAR FIN'!$A$1:$O$104,15,0))</f>
        <v>62.57</v>
      </c>
      <c r="X504" s="6">
        <f>IF(ISERROR(VLOOKUP($U$504,'TAR FIN'!$A$1:$O$104,15,0)),0,VLOOKUP($U$504,'TAR FIN'!$A$1:$O$104,15,0))</f>
        <v>242.82</v>
      </c>
      <c r="Y504" s="6">
        <f ca="1">('TUSD BE'!$AM$14+'TUSD BF'!$AM$14+'TUSD CVA'!$AM$14)*1</f>
        <v>26.280164278980507</v>
      </c>
      <c r="Z504" s="6">
        <f ca="1">('TUSD BE'!$AM$15+'TUSD BF'!$AM$15+'TUSD CVA'!$AM$15)*1</f>
        <v>77.876201961015255</v>
      </c>
      <c r="AA504" s="6">
        <f>('TE BE'!$AB$8+'TE BF'!$AB$8+'TE CVA'!$AB$8)*1</f>
        <v>231.76257384332172</v>
      </c>
      <c r="AB504" s="6">
        <f>$K$504*$V$504</f>
        <v>132043.91999999998</v>
      </c>
      <c r="AC504" s="6">
        <f>$M$504*$W$504</f>
        <v>35828.082559999995</v>
      </c>
      <c r="AD504" s="6">
        <f>$O$504*$X$504</f>
        <v>139040.67455999998</v>
      </c>
      <c r="AE504" s="6">
        <f ca="1">$K$504*$Y$504</f>
        <v>132346.90730894584</v>
      </c>
      <c r="AF504" s="6">
        <f ca="1">$M$504*$Z$504</f>
        <v>44592.536252493017</v>
      </c>
      <c r="AG504" s="6">
        <f>$O$504*$AA$504</f>
        <v>132709.10388327675</v>
      </c>
    </row>
    <row r="505" spans="1:33" ht="11.25" customHeight="1" x14ac:dyDescent="0.25">
      <c r="A505" s="4" t="s">
        <v>21</v>
      </c>
      <c r="B505" s="4" t="s">
        <v>41</v>
      </c>
      <c r="C505" s="4" t="s">
        <v>40</v>
      </c>
      <c r="D505" s="4" t="s">
        <v>46</v>
      </c>
      <c r="E505" s="4" t="s">
        <v>25</v>
      </c>
      <c r="F505" s="4" t="s">
        <v>25</v>
      </c>
      <c r="G505" s="4" t="s">
        <v>25</v>
      </c>
      <c r="H505" s="4" t="s">
        <v>35</v>
      </c>
      <c r="I505" s="5">
        <v>44501</v>
      </c>
      <c r="J505" s="6">
        <v>3940</v>
      </c>
      <c r="K505" s="6">
        <v>3940</v>
      </c>
      <c r="L505" s="6">
        <v>1044.9079999999999</v>
      </c>
      <c r="M505" s="6">
        <v>1044.9079999999999</v>
      </c>
      <c r="N505" s="6">
        <v>1044.9079999999999</v>
      </c>
      <c r="O505" s="6">
        <v>1044.9079999999999</v>
      </c>
      <c r="P505" s="6">
        <v>0</v>
      </c>
      <c r="Q505" s="4" t="s">
        <v>26</v>
      </c>
      <c r="R505" s="4">
        <v>0</v>
      </c>
      <c r="S505" s="6">
        <v>20</v>
      </c>
      <c r="T505" s="6">
        <v>22</v>
      </c>
      <c r="U505" s="6">
        <v>67</v>
      </c>
      <c r="V505" s="6">
        <f>IF(ISERROR(VLOOKUP($S$505,'TAR FIN'!$A$1:$O$104,15,0)),0,VLOOKUP($S$505,'TAR FIN'!$A$1:$O$104,15,0))</f>
        <v>26.22</v>
      </c>
      <c r="W505" s="6">
        <f>IF(ISERROR(VLOOKUP($T$505,'TAR FIN'!$A$1:$O$104,15,0)),0,VLOOKUP($T$505,'TAR FIN'!$A$1:$O$104,15,0))</f>
        <v>62.57</v>
      </c>
      <c r="X505" s="6">
        <f>IF(ISERROR(VLOOKUP($U$505,'TAR FIN'!$A$1:$O$104,15,0)),0,VLOOKUP($U$505,'TAR FIN'!$A$1:$O$104,15,0))</f>
        <v>242.82</v>
      </c>
      <c r="Y505" s="6">
        <f ca="1">('TUSD BE'!$AM$14+'TUSD BF'!$AM$14+'TUSD CVA'!$AM$14)*1</f>
        <v>26.280164278980507</v>
      </c>
      <c r="Z505" s="6">
        <f ca="1">('TUSD BE'!$AM$15+'TUSD BF'!$AM$15+'TUSD CVA'!$AM$15)*1</f>
        <v>77.876201961015255</v>
      </c>
      <c r="AA505" s="6">
        <f>('TE BE'!$AB$8+'TE BF'!$AB$8+'TE CVA'!$AB$8)*1</f>
        <v>231.76257384332172</v>
      </c>
      <c r="AB505" s="6">
        <f>$K$505*$V$505</f>
        <v>103306.79999999999</v>
      </c>
      <c r="AC505" s="6">
        <f>$M$505*$W$505</f>
        <v>65379.893559999997</v>
      </c>
      <c r="AD505" s="6">
        <f>$O$505*$X$505</f>
        <v>253724.56055999998</v>
      </c>
      <c r="AE505" s="6">
        <f ca="1">$K$505*$Y$505</f>
        <v>103543.8472591832</v>
      </c>
      <c r="AF505" s="6">
        <f ca="1">$M$505*$Z$505</f>
        <v>81373.466438680523</v>
      </c>
      <c r="AG505" s="6">
        <f>$O$505*$AA$505</f>
        <v>242170.56750947758</v>
      </c>
    </row>
    <row r="506" spans="1:33" ht="11.25" customHeight="1" x14ac:dyDescent="0.25">
      <c r="A506" s="4" t="s">
        <v>28</v>
      </c>
      <c r="B506" s="4" t="s">
        <v>41</v>
      </c>
      <c r="C506" s="4" t="s">
        <v>40</v>
      </c>
      <c r="D506" s="4" t="s">
        <v>46</v>
      </c>
      <c r="E506" s="4" t="s">
        <v>25</v>
      </c>
      <c r="F506" s="4" t="s">
        <v>25</v>
      </c>
      <c r="G506" s="4" t="s">
        <v>25</v>
      </c>
      <c r="H506" s="4" t="s">
        <v>35</v>
      </c>
      <c r="I506" s="5">
        <v>44501</v>
      </c>
      <c r="J506" s="6">
        <v>5036</v>
      </c>
      <c r="K506" s="6">
        <v>5036</v>
      </c>
      <c r="L506" s="6">
        <v>675.63800000000003</v>
      </c>
      <c r="M506" s="6">
        <v>675.63800000000003</v>
      </c>
      <c r="N506" s="6">
        <v>675.63800000000003</v>
      </c>
      <c r="O506" s="6">
        <v>675.63800000000003</v>
      </c>
      <c r="P506" s="6">
        <v>0</v>
      </c>
      <c r="Q506" s="4" t="s">
        <v>26</v>
      </c>
      <c r="R506" s="4">
        <v>0</v>
      </c>
      <c r="S506" s="6">
        <v>20</v>
      </c>
      <c r="T506" s="6">
        <v>22</v>
      </c>
      <c r="U506" s="6">
        <v>67</v>
      </c>
      <c r="V506" s="6">
        <f>IF(ISERROR(VLOOKUP($S$506,'TAR FIN'!$A$1:$O$104,15,0)),0,VLOOKUP($S$506,'TAR FIN'!$A$1:$O$104,15,0))</f>
        <v>26.22</v>
      </c>
      <c r="W506" s="6">
        <f>IF(ISERROR(VLOOKUP($T$506,'TAR FIN'!$A$1:$O$104,15,0)),0,VLOOKUP($T$506,'TAR FIN'!$A$1:$O$104,15,0))</f>
        <v>62.57</v>
      </c>
      <c r="X506" s="6">
        <f>IF(ISERROR(VLOOKUP($U$506,'TAR FIN'!$A$1:$O$104,15,0)),0,VLOOKUP($U$506,'TAR FIN'!$A$1:$O$104,15,0))</f>
        <v>242.82</v>
      </c>
      <c r="Y506" s="6">
        <f ca="1">('TUSD BE'!$AM$14+'TUSD BF'!$AM$14+'TUSD CVA'!$AM$14)*1</f>
        <v>26.280164278980507</v>
      </c>
      <c r="Z506" s="6">
        <f ca="1">('TUSD BE'!$AM$15+'TUSD BF'!$AM$15+'TUSD CVA'!$AM$15)*1</f>
        <v>77.876201961015255</v>
      </c>
      <c r="AA506" s="6">
        <f>('TE BE'!$AB$8+'TE BF'!$AB$8+'TE CVA'!$AB$8)*1</f>
        <v>231.76257384332172</v>
      </c>
      <c r="AB506" s="6">
        <f>$K$506*$V$506</f>
        <v>132043.91999999998</v>
      </c>
      <c r="AC506" s="6">
        <f>$M$506*$W$506</f>
        <v>42274.66966</v>
      </c>
      <c r="AD506" s="6">
        <f>$O$506*$X$506</f>
        <v>164058.41915999999</v>
      </c>
      <c r="AE506" s="6">
        <f ca="1">$K$506*$Y$506</f>
        <v>132346.90730894584</v>
      </c>
      <c r="AF506" s="6">
        <f ca="1">$M$506*$Z$506</f>
        <v>52616.121340536425</v>
      </c>
      <c r="AG506" s="6">
        <f>$O$506*$AA$506</f>
        <v>156587.60186635421</v>
      </c>
    </row>
    <row r="507" spans="1:33" ht="11.25" customHeight="1" x14ac:dyDescent="0.25">
      <c r="A507" s="4" t="s">
        <v>21</v>
      </c>
      <c r="B507" s="4" t="s">
        <v>41</v>
      </c>
      <c r="C507" s="4" t="s">
        <v>40</v>
      </c>
      <c r="D507" s="4" t="s">
        <v>46</v>
      </c>
      <c r="E507" s="4" t="s">
        <v>25</v>
      </c>
      <c r="F507" s="4" t="s">
        <v>25</v>
      </c>
      <c r="G507" s="4" t="s">
        <v>25</v>
      </c>
      <c r="H507" s="4" t="s">
        <v>35</v>
      </c>
      <c r="I507" s="5">
        <v>44531</v>
      </c>
      <c r="J507" s="6">
        <v>3983</v>
      </c>
      <c r="K507" s="6">
        <v>3983</v>
      </c>
      <c r="L507" s="6">
        <v>1084.0260000000001</v>
      </c>
      <c r="M507" s="6">
        <v>1084.0260000000001</v>
      </c>
      <c r="N507" s="6">
        <v>1084.0260000000001</v>
      </c>
      <c r="O507" s="6">
        <v>1084.0260000000001</v>
      </c>
      <c r="P507" s="6">
        <v>0</v>
      </c>
      <c r="Q507" s="4" t="s">
        <v>26</v>
      </c>
      <c r="R507" s="4">
        <v>0</v>
      </c>
      <c r="S507" s="6">
        <v>20</v>
      </c>
      <c r="T507" s="6">
        <v>22</v>
      </c>
      <c r="U507" s="6">
        <v>67</v>
      </c>
      <c r="V507" s="6">
        <f>IF(ISERROR(VLOOKUP($S$507,'TAR FIN'!$A$1:$O$104,15,0)),0,VLOOKUP($S$507,'TAR FIN'!$A$1:$O$104,15,0))</f>
        <v>26.22</v>
      </c>
      <c r="W507" s="6">
        <f>IF(ISERROR(VLOOKUP($T$507,'TAR FIN'!$A$1:$O$104,15,0)),0,VLOOKUP($T$507,'TAR FIN'!$A$1:$O$104,15,0))</f>
        <v>62.57</v>
      </c>
      <c r="X507" s="6">
        <f>IF(ISERROR(VLOOKUP($U$507,'TAR FIN'!$A$1:$O$104,15,0)),0,VLOOKUP($U$507,'TAR FIN'!$A$1:$O$104,15,0))</f>
        <v>242.82</v>
      </c>
      <c r="Y507" s="6">
        <f ca="1">('TUSD BE'!$AM$14+'TUSD BF'!$AM$14+'TUSD CVA'!$AM$14)*1</f>
        <v>26.280164278980507</v>
      </c>
      <c r="Z507" s="6">
        <f ca="1">('TUSD BE'!$AM$15+'TUSD BF'!$AM$15+'TUSD CVA'!$AM$15)*1</f>
        <v>77.876201961015255</v>
      </c>
      <c r="AA507" s="6">
        <f>('TE BE'!$AB$8+'TE BF'!$AB$8+'TE CVA'!$AB$8)*1</f>
        <v>231.76257384332172</v>
      </c>
      <c r="AB507" s="6">
        <f>$K$507*$V$507</f>
        <v>104434.26</v>
      </c>
      <c r="AC507" s="6">
        <f>$M$507*$W$507</f>
        <v>67827.50682000001</v>
      </c>
      <c r="AD507" s="6">
        <f>$O$507*$X$507</f>
        <v>263223.19332000002</v>
      </c>
      <c r="AE507" s="6">
        <f ca="1">$K$507*$Y$507</f>
        <v>104673.89432317937</v>
      </c>
      <c r="AF507" s="6">
        <f ca="1">$M$507*$Z$507</f>
        <v>84419.827706991535</v>
      </c>
      <c r="AG507" s="6">
        <f>$O$507*$AA$507</f>
        <v>251236.65587308069</v>
      </c>
    </row>
    <row r="508" spans="1:33" ht="11.25" customHeight="1" x14ac:dyDescent="0.25">
      <c r="A508" s="4" t="s">
        <v>28</v>
      </c>
      <c r="B508" s="4" t="s">
        <v>41</v>
      </c>
      <c r="C508" s="4" t="s">
        <v>40</v>
      </c>
      <c r="D508" s="4" t="s">
        <v>46</v>
      </c>
      <c r="E508" s="4" t="s">
        <v>25</v>
      </c>
      <c r="F508" s="4" t="s">
        <v>25</v>
      </c>
      <c r="G508" s="4" t="s">
        <v>25</v>
      </c>
      <c r="H508" s="4" t="s">
        <v>35</v>
      </c>
      <c r="I508" s="5">
        <v>44531</v>
      </c>
      <c r="J508" s="6">
        <v>5036</v>
      </c>
      <c r="K508" s="6">
        <v>5036</v>
      </c>
      <c r="L508" s="6">
        <v>668.29399999999998</v>
      </c>
      <c r="M508" s="6">
        <v>668.29399999999998</v>
      </c>
      <c r="N508" s="6">
        <v>668.29399999999998</v>
      </c>
      <c r="O508" s="6">
        <v>668.29399999999998</v>
      </c>
      <c r="P508" s="6">
        <v>0</v>
      </c>
      <c r="Q508" s="4" t="s">
        <v>26</v>
      </c>
      <c r="R508" s="4">
        <v>0</v>
      </c>
      <c r="S508" s="6">
        <v>20</v>
      </c>
      <c r="T508" s="6">
        <v>22</v>
      </c>
      <c r="U508" s="6">
        <v>67</v>
      </c>
      <c r="V508" s="6">
        <f>IF(ISERROR(VLOOKUP($S$508,'TAR FIN'!$A$1:$O$104,15,0)),0,VLOOKUP($S$508,'TAR FIN'!$A$1:$O$104,15,0))</f>
        <v>26.22</v>
      </c>
      <c r="W508" s="6">
        <f>IF(ISERROR(VLOOKUP($T$508,'TAR FIN'!$A$1:$O$104,15,0)),0,VLOOKUP($T$508,'TAR FIN'!$A$1:$O$104,15,0))</f>
        <v>62.57</v>
      </c>
      <c r="X508" s="6">
        <f>IF(ISERROR(VLOOKUP($U$508,'TAR FIN'!$A$1:$O$104,15,0)),0,VLOOKUP($U$508,'TAR FIN'!$A$1:$O$104,15,0))</f>
        <v>242.82</v>
      </c>
      <c r="Y508" s="6">
        <f ca="1">('TUSD BE'!$AM$14+'TUSD BF'!$AM$14+'TUSD CVA'!$AM$14)*1</f>
        <v>26.280164278980507</v>
      </c>
      <c r="Z508" s="6">
        <f ca="1">('TUSD BE'!$AM$15+'TUSD BF'!$AM$15+'TUSD CVA'!$AM$15)*1</f>
        <v>77.876201961015255</v>
      </c>
      <c r="AA508" s="6">
        <f>('TE BE'!$AB$8+'TE BF'!$AB$8+'TE CVA'!$AB$8)*1</f>
        <v>231.76257384332172</v>
      </c>
      <c r="AB508" s="6">
        <f>$K$508*$V$508</f>
        <v>132043.91999999998</v>
      </c>
      <c r="AC508" s="6">
        <f>$M$508*$W$508</f>
        <v>41815.155579999999</v>
      </c>
      <c r="AD508" s="6">
        <f>$O$508*$X$508</f>
        <v>162275.14908</v>
      </c>
      <c r="AE508" s="6">
        <f ca="1">$K$508*$Y$508</f>
        <v>132346.90730894584</v>
      </c>
      <c r="AF508" s="6">
        <f ca="1">$M$508*$Z$508</f>
        <v>52044.198513334726</v>
      </c>
      <c r="AG508" s="6">
        <f>$O$508*$AA$508</f>
        <v>154885.53752404885</v>
      </c>
    </row>
    <row r="509" spans="1:33" ht="11.25" customHeight="1" x14ac:dyDescent="0.25">
      <c r="A509" s="4" t="s">
        <v>21</v>
      </c>
      <c r="B509" s="4" t="s">
        <v>41</v>
      </c>
      <c r="C509" s="4" t="s">
        <v>40</v>
      </c>
      <c r="D509" s="4" t="s">
        <v>46</v>
      </c>
      <c r="E509" s="4" t="s">
        <v>25</v>
      </c>
      <c r="F509" s="4" t="s">
        <v>25</v>
      </c>
      <c r="G509" s="4" t="s">
        <v>25</v>
      </c>
      <c r="H509" s="4" t="s">
        <v>35</v>
      </c>
      <c r="I509" s="5">
        <v>44562</v>
      </c>
      <c r="J509" s="6">
        <v>3907</v>
      </c>
      <c r="K509" s="6">
        <v>3907</v>
      </c>
      <c r="L509" s="6">
        <v>1014.723</v>
      </c>
      <c r="M509" s="6">
        <v>1014.723</v>
      </c>
      <c r="N509" s="6">
        <v>1014.723</v>
      </c>
      <c r="O509" s="6">
        <v>1014.723</v>
      </c>
      <c r="P509" s="6">
        <v>0</v>
      </c>
      <c r="Q509" s="4" t="s">
        <v>26</v>
      </c>
      <c r="R509" s="4">
        <v>0</v>
      </c>
      <c r="S509" s="6">
        <v>20</v>
      </c>
      <c r="T509" s="6">
        <v>22</v>
      </c>
      <c r="U509" s="6">
        <v>67</v>
      </c>
      <c r="V509" s="6">
        <f>IF(ISERROR(VLOOKUP($S$509,'TAR FIN'!$A$1:$O$104,15,0)),0,VLOOKUP($S$509,'TAR FIN'!$A$1:$O$104,15,0))</f>
        <v>26.22</v>
      </c>
      <c r="W509" s="6">
        <f>IF(ISERROR(VLOOKUP($T$509,'TAR FIN'!$A$1:$O$104,15,0)),0,VLOOKUP($T$509,'TAR FIN'!$A$1:$O$104,15,0))</f>
        <v>62.57</v>
      </c>
      <c r="X509" s="6">
        <f>IF(ISERROR(VLOOKUP($U$509,'TAR FIN'!$A$1:$O$104,15,0)),0,VLOOKUP($U$509,'TAR FIN'!$A$1:$O$104,15,0))</f>
        <v>242.82</v>
      </c>
      <c r="Y509" s="6">
        <f ca="1">('TUSD BE'!$AM$14+'TUSD BF'!$AM$14+'TUSD CVA'!$AM$14)*1</f>
        <v>26.280164278980507</v>
      </c>
      <c r="Z509" s="6">
        <f ca="1">('TUSD BE'!$AM$15+'TUSD BF'!$AM$15+'TUSD CVA'!$AM$15)*1</f>
        <v>77.876201961015255</v>
      </c>
      <c r="AA509" s="6">
        <f>('TE BE'!$AB$8+'TE BF'!$AB$8+'TE CVA'!$AB$8)*1</f>
        <v>231.76257384332172</v>
      </c>
      <c r="AB509" s="6">
        <f>$K$509*$V$509</f>
        <v>102441.54</v>
      </c>
      <c r="AC509" s="6">
        <f>$M$509*$W$509</f>
        <v>63491.218109999994</v>
      </c>
      <c r="AD509" s="6">
        <f>$O$509*$X$509</f>
        <v>246395.03885999997</v>
      </c>
      <c r="AE509" s="6">
        <f ca="1">$K$509*$Y$509</f>
        <v>102676.60183797684</v>
      </c>
      <c r="AF509" s="6">
        <f ca="1">$M$509*$Z$509</f>
        <v>79022.77328248728</v>
      </c>
      <c r="AG509" s="6">
        <f>$O$509*$AA$509</f>
        <v>235174.81421801692</v>
      </c>
    </row>
    <row r="510" spans="1:33" ht="11.25" customHeight="1" x14ac:dyDescent="0.25">
      <c r="A510" s="4" t="s">
        <v>28</v>
      </c>
      <c r="B510" s="4" t="s">
        <v>41</v>
      </c>
      <c r="C510" s="4" t="s">
        <v>40</v>
      </c>
      <c r="D510" s="4" t="s">
        <v>46</v>
      </c>
      <c r="E510" s="4" t="s">
        <v>25</v>
      </c>
      <c r="F510" s="4" t="s">
        <v>25</v>
      </c>
      <c r="G510" s="4" t="s">
        <v>25</v>
      </c>
      <c r="H510" s="4" t="s">
        <v>35</v>
      </c>
      <c r="I510" s="5">
        <v>44562</v>
      </c>
      <c r="J510" s="6">
        <v>5036</v>
      </c>
      <c r="K510" s="6">
        <v>5036</v>
      </c>
      <c r="L510" s="6">
        <v>564.1</v>
      </c>
      <c r="M510" s="6">
        <v>564.1</v>
      </c>
      <c r="N510" s="6">
        <v>564.1</v>
      </c>
      <c r="O510" s="6">
        <v>564.1</v>
      </c>
      <c r="P510" s="6">
        <v>0</v>
      </c>
      <c r="Q510" s="4" t="s">
        <v>26</v>
      </c>
      <c r="R510" s="4">
        <v>0</v>
      </c>
      <c r="S510" s="6">
        <v>20</v>
      </c>
      <c r="T510" s="6">
        <v>22</v>
      </c>
      <c r="U510" s="6">
        <v>67</v>
      </c>
      <c r="V510" s="6">
        <f>IF(ISERROR(VLOOKUP($S$510,'TAR FIN'!$A$1:$O$104,15,0)),0,VLOOKUP($S$510,'TAR FIN'!$A$1:$O$104,15,0))</f>
        <v>26.22</v>
      </c>
      <c r="W510" s="6">
        <f>IF(ISERROR(VLOOKUP($T$510,'TAR FIN'!$A$1:$O$104,15,0)),0,VLOOKUP($T$510,'TAR FIN'!$A$1:$O$104,15,0))</f>
        <v>62.57</v>
      </c>
      <c r="X510" s="6">
        <f>IF(ISERROR(VLOOKUP($U$510,'TAR FIN'!$A$1:$O$104,15,0)),0,VLOOKUP($U$510,'TAR FIN'!$A$1:$O$104,15,0))</f>
        <v>242.82</v>
      </c>
      <c r="Y510" s="6">
        <f ca="1">('TUSD BE'!$AM$14+'TUSD BF'!$AM$14+'TUSD CVA'!$AM$14)*1</f>
        <v>26.280164278980507</v>
      </c>
      <c r="Z510" s="6">
        <f ca="1">('TUSD BE'!$AM$15+'TUSD BF'!$AM$15+'TUSD CVA'!$AM$15)*1</f>
        <v>77.876201961015255</v>
      </c>
      <c r="AA510" s="6">
        <f>('TE BE'!$AB$8+'TE BF'!$AB$8+'TE CVA'!$AB$8)*1</f>
        <v>231.76257384332172</v>
      </c>
      <c r="AB510" s="6">
        <f>$K$510*$V$510</f>
        <v>132043.91999999998</v>
      </c>
      <c r="AC510" s="6">
        <f>$M$510*$W$510</f>
        <v>35295.737000000001</v>
      </c>
      <c r="AD510" s="6">
        <f>$O$510*$X$510</f>
        <v>136974.76199999999</v>
      </c>
      <c r="AE510" s="6">
        <f ca="1">$K$510*$Y$510</f>
        <v>132346.90730894584</v>
      </c>
      <c r="AF510" s="6">
        <f ca="1">$M$510*$Z$510</f>
        <v>43929.965526208704</v>
      </c>
      <c r="AG510" s="6">
        <f>$O$510*$AA$510</f>
        <v>130737.26790501778</v>
      </c>
    </row>
    <row r="511" spans="1:33" ht="11.25" customHeight="1" x14ac:dyDescent="0.25">
      <c r="A511" s="4" t="s">
        <v>21</v>
      </c>
      <c r="B511" s="4" t="s">
        <v>41</v>
      </c>
      <c r="C511" s="4" t="s">
        <v>40</v>
      </c>
      <c r="D511" s="4" t="s">
        <v>46</v>
      </c>
      <c r="E511" s="4" t="s">
        <v>25</v>
      </c>
      <c r="F511" s="4" t="s">
        <v>25</v>
      </c>
      <c r="G511" s="4" t="s">
        <v>25</v>
      </c>
      <c r="H511" s="4" t="s">
        <v>35</v>
      </c>
      <c r="I511" s="5">
        <v>44593</v>
      </c>
      <c r="J511" s="6">
        <v>4360</v>
      </c>
      <c r="K511" s="6">
        <v>4360</v>
      </c>
      <c r="L511" s="6">
        <v>1054.931</v>
      </c>
      <c r="M511" s="6">
        <v>1054.931</v>
      </c>
      <c r="N511" s="6">
        <v>1054.931</v>
      </c>
      <c r="O511" s="6">
        <v>1054.931</v>
      </c>
      <c r="P511" s="6">
        <v>0</v>
      </c>
      <c r="Q511" s="4" t="s">
        <v>26</v>
      </c>
      <c r="R511" s="4">
        <v>0</v>
      </c>
      <c r="S511" s="6">
        <v>20</v>
      </c>
      <c r="T511" s="6">
        <v>22</v>
      </c>
      <c r="U511" s="6">
        <v>67</v>
      </c>
      <c r="V511" s="6">
        <f>IF(ISERROR(VLOOKUP($S$511,'TAR FIN'!$A$1:$O$104,15,0)),0,VLOOKUP($S$511,'TAR FIN'!$A$1:$O$104,15,0))</f>
        <v>26.22</v>
      </c>
      <c r="W511" s="6">
        <f>IF(ISERROR(VLOOKUP($T$511,'TAR FIN'!$A$1:$O$104,15,0)),0,VLOOKUP($T$511,'TAR FIN'!$A$1:$O$104,15,0))</f>
        <v>62.57</v>
      </c>
      <c r="X511" s="6">
        <f>IF(ISERROR(VLOOKUP($U$511,'TAR FIN'!$A$1:$O$104,15,0)),0,VLOOKUP($U$511,'TAR FIN'!$A$1:$O$104,15,0))</f>
        <v>242.82</v>
      </c>
      <c r="Y511" s="6">
        <f ca="1">('TUSD BE'!$AM$14+'TUSD BF'!$AM$14+'TUSD CVA'!$AM$14)*1</f>
        <v>26.280164278980507</v>
      </c>
      <c r="Z511" s="6">
        <f ca="1">('TUSD BE'!$AM$15+'TUSD BF'!$AM$15+'TUSD CVA'!$AM$15)*1</f>
        <v>77.876201961015255</v>
      </c>
      <c r="AA511" s="6">
        <f>('TE BE'!$AB$8+'TE BF'!$AB$8+'TE CVA'!$AB$8)*1</f>
        <v>231.76257384332172</v>
      </c>
      <c r="AB511" s="6">
        <f>$K$511*$V$511</f>
        <v>114319.2</v>
      </c>
      <c r="AC511" s="6">
        <f>$M$511*$W$511</f>
        <v>66007.032670000001</v>
      </c>
      <c r="AD511" s="6">
        <f>$O$511*$X$511</f>
        <v>256158.34542</v>
      </c>
      <c r="AE511" s="6">
        <f ca="1">$K$511*$Y$511</f>
        <v>114581.51625635501</v>
      </c>
      <c r="AF511" s="6">
        <f ca="1">$M$511*$Z$511</f>
        <v>82154.019610935793</v>
      </c>
      <c r="AG511" s="6">
        <f>$O$511*$AA$511</f>
        <v>244493.52378710924</v>
      </c>
    </row>
    <row r="512" spans="1:33" ht="11.25" customHeight="1" x14ac:dyDescent="0.25">
      <c r="A512" s="4" t="s">
        <v>28</v>
      </c>
      <c r="B512" s="4" t="s">
        <v>41</v>
      </c>
      <c r="C512" s="4" t="s">
        <v>40</v>
      </c>
      <c r="D512" s="4" t="s">
        <v>46</v>
      </c>
      <c r="E512" s="4" t="s">
        <v>25</v>
      </c>
      <c r="F512" s="4" t="s">
        <v>25</v>
      </c>
      <c r="G512" s="4" t="s">
        <v>25</v>
      </c>
      <c r="H512" s="4" t="s">
        <v>35</v>
      </c>
      <c r="I512" s="5">
        <v>44593</v>
      </c>
      <c r="J512" s="6">
        <v>5036</v>
      </c>
      <c r="K512" s="6">
        <v>5036</v>
      </c>
      <c r="L512" s="6">
        <v>641.90800000000002</v>
      </c>
      <c r="M512" s="6">
        <v>641.90800000000002</v>
      </c>
      <c r="N512" s="6">
        <v>641.90800000000002</v>
      </c>
      <c r="O512" s="6">
        <v>641.90800000000002</v>
      </c>
      <c r="P512" s="6">
        <v>0</v>
      </c>
      <c r="Q512" s="4" t="s">
        <v>26</v>
      </c>
      <c r="R512" s="4">
        <v>0</v>
      </c>
      <c r="S512" s="6">
        <v>20</v>
      </c>
      <c r="T512" s="6">
        <v>22</v>
      </c>
      <c r="U512" s="6">
        <v>67</v>
      </c>
      <c r="V512" s="6">
        <f>IF(ISERROR(VLOOKUP($S$512,'TAR FIN'!$A$1:$O$104,15,0)),0,VLOOKUP($S$512,'TAR FIN'!$A$1:$O$104,15,0))</f>
        <v>26.22</v>
      </c>
      <c r="W512" s="6">
        <f>IF(ISERROR(VLOOKUP($T$512,'TAR FIN'!$A$1:$O$104,15,0)),0,VLOOKUP($T$512,'TAR FIN'!$A$1:$O$104,15,0))</f>
        <v>62.57</v>
      </c>
      <c r="X512" s="6">
        <f>IF(ISERROR(VLOOKUP($U$512,'TAR FIN'!$A$1:$O$104,15,0)),0,VLOOKUP($U$512,'TAR FIN'!$A$1:$O$104,15,0))</f>
        <v>242.82</v>
      </c>
      <c r="Y512" s="6">
        <f ca="1">('TUSD BE'!$AM$14+'TUSD BF'!$AM$14+'TUSD CVA'!$AM$14)*1</f>
        <v>26.280164278980507</v>
      </c>
      <c r="Z512" s="6">
        <f ca="1">('TUSD BE'!$AM$15+'TUSD BF'!$AM$15+'TUSD CVA'!$AM$15)*1</f>
        <v>77.876201961015255</v>
      </c>
      <c r="AA512" s="6">
        <f>('TE BE'!$AB$8+'TE BF'!$AB$8+'TE CVA'!$AB$8)*1</f>
        <v>231.76257384332172</v>
      </c>
      <c r="AB512" s="6">
        <f>$K$512*$V$512</f>
        <v>132043.91999999998</v>
      </c>
      <c r="AC512" s="6">
        <f>$M$512*$W$512</f>
        <v>40164.183559999998</v>
      </c>
      <c r="AD512" s="6">
        <f>$O$512*$X$512</f>
        <v>155868.10055999999</v>
      </c>
      <c r="AE512" s="6">
        <f ca="1">$K$512*$Y$512</f>
        <v>132346.90730894584</v>
      </c>
      <c r="AF512" s="6">
        <f ca="1">$M$512*$Z$512</f>
        <v>49989.357048391379</v>
      </c>
      <c r="AG512" s="6">
        <f>$O$512*$AA$512</f>
        <v>148770.25025061896</v>
      </c>
    </row>
    <row r="513" spans="1:33" ht="11.25" customHeight="1" x14ac:dyDescent="0.25">
      <c r="A513" s="4" t="s">
        <v>21</v>
      </c>
      <c r="B513" s="4" t="s">
        <v>41</v>
      </c>
      <c r="C513" s="4" t="s">
        <v>40</v>
      </c>
      <c r="D513" s="4" t="s">
        <v>46</v>
      </c>
      <c r="E513" s="4" t="s">
        <v>25</v>
      </c>
      <c r="F513" s="4" t="s">
        <v>25</v>
      </c>
      <c r="G513" s="4" t="s">
        <v>25</v>
      </c>
      <c r="H513" s="4" t="s">
        <v>35</v>
      </c>
      <c r="I513" s="5">
        <v>44621</v>
      </c>
      <c r="J513" s="6">
        <v>3954</v>
      </c>
      <c r="K513" s="6">
        <v>3954</v>
      </c>
      <c r="L513" s="6">
        <v>1054.376</v>
      </c>
      <c r="M513" s="6">
        <v>1054.376</v>
      </c>
      <c r="N513" s="6">
        <v>1054.376</v>
      </c>
      <c r="O513" s="6">
        <v>1054.376</v>
      </c>
      <c r="P513" s="6">
        <v>0</v>
      </c>
      <c r="Q513" s="4" t="s">
        <v>26</v>
      </c>
      <c r="R513" s="4">
        <v>0</v>
      </c>
      <c r="S513" s="6">
        <v>20</v>
      </c>
      <c r="T513" s="6">
        <v>22</v>
      </c>
      <c r="U513" s="6">
        <v>67</v>
      </c>
      <c r="V513" s="6">
        <f>IF(ISERROR(VLOOKUP($S$513,'TAR FIN'!$A$1:$O$104,15,0)),0,VLOOKUP($S$513,'TAR FIN'!$A$1:$O$104,15,0))</f>
        <v>26.22</v>
      </c>
      <c r="W513" s="6">
        <f>IF(ISERROR(VLOOKUP($T$513,'TAR FIN'!$A$1:$O$104,15,0)),0,VLOOKUP($T$513,'TAR FIN'!$A$1:$O$104,15,0))</f>
        <v>62.57</v>
      </c>
      <c r="X513" s="6">
        <f>IF(ISERROR(VLOOKUP($U$513,'TAR FIN'!$A$1:$O$104,15,0)),0,VLOOKUP($U$513,'TAR FIN'!$A$1:$O$104,15,0))</f>
        <v>242.82</v>
      </c>
      <c r="Y513" s="6">
        <f ca="1">('TUSD BE'!$AM$14+'TUSD BF'!$AM$14+'TUSD CVA'!$AM$14)*1</f>
        <v>26.280164278980507</v>
      </c>
      <c r="Z513" s="6">
        <f ca="1">('TUSD BE'!$AM$15+'TUSD BF'!$AM$15+'TUSD CVA'!$AM$15)*1</f>
        <v>77.876201961015255</v>
      </c>
      <c r="AA513" s="6">
        <f>('TE BE'!$AB$8+'TE BF'!$AB$8+'TE CVA'!$AB$8)*1</f>
        <v>231.76257384332172</v>
      </c>
      <c r="AB513" s="6">
        <f>$K$513*$V$513</f>
        <v>103673.87999999999</v>
      </c>
      <c r="AC513" s="6">
        <f>$M$513*$W$513</f>
        <v>65972.306320000003</v>
      </c>
      <c r="AD513" s="6">
        <f>$O$513*$X$513</f>
        <v>256023.58031999998</v>
      </c>
      <c r="AE513" s="6">
        <f ca="1">$K$513*$Y$513</f>
        <v>103911.76955908892</v>
      </c>
      <c r="AF513" s="6">
        <f ca="1">$M$513*$Z$513</f>
        <v>82110.798318847417</v>
      </c>
      <c r="AG513" s="6">
        <f>$O$513*$AA$513</f>
        <v>244364.89555862619</v>
      </c>
    </row>
    <row r="514" spans="1:33" ht="11.25" customHeight="1" x14ac:dyDescent="0.25">
      <c r="A514" s="4" t="s">
        <v>28</v>
      </c>
      <c r="B514" s="4" t="s">
        <v>41</v>
      </c>
      <c r="C514" s="4" t="s">
        <v>40</v>
      </c>
      <c r="D514" s="4" t="s">
        <v>46</v>
      </c>
      <c r="E514" s="4" t="s">
        <v>25</v>
      </c>
      <c r="F514" s="4" t="s">
        <v>25</v>
      </c>
      <c r="G514" s="4" t="s">
        <v>25</v>
      </c>
      <c r="H514" s="4" t="s">
        <v>35</v>
      </c>
      <c r="I514" s="5">
        <v>44621</v>
      </c>
      <c r="J514" s="6">
        <v>5036</v>
      </c>
      <c r="K514" s="6">
        <v>5036</v>
      </c>
      <c r="L514" s="6">
        <v>850.57500000000005</v>
      </c>
      <c r="M514" s="6">
        <v>850.57500000000005</v>
      </c>
      <c r="N514" s="6">
        <v>850.57500000000005</v>
      </c>
      <c r="O514" s="6">
        <v>850.57500000000005</v>
      </c>
      <c r="P514" s="6">
        <v>0</v>
      </c>
      <c r="Q514" s="4" t="s">
        <v>26</v>
      </c>
      <c r="R514" s="4">
        <v>0</v>
      </c>
      <c r="S514" s="6">
        <v>20</v>
      </c>
      <c r="T514" s="6">
        <v>22</v>
      </c>
      <c r="U514" s="6">
        <v>67</v>
      </c>
      <c r="V514" s="6">
        <f>IF(ISERROR(VLOOKUP($S$514,'TAR FIN'!$A$1:$O$104,15,0)),0,VLOOKUP($S$514,'TAR FIN'!$A$1:$O$104,15,0))</f>
        <v>26.22</v>
      </c>
      <c r="W514" s="6">
        <f>IF(ISERROR(VLOOKUP($T$514,'TAR FIN'!$A$1:$O$104,15,0)),0,VLOOKUP($T$514,'TAR FIN'!$A$1:$O$104,15,0))</f>
        <v>62.57</v>
      </c>
      <c r="X514" s="6">
        <f>IF(ISERROR(VLOOKUP($U$514,'TAR FIN'!$A$1:$O$104,15,0)),0,VLOOKUP($U$514,'TAR FIN'!$A$1:$O$104,15,0))</f>
        <v>242.82</v>
      </c>
      <c r="Y514" s="6">
        <f ca="1">('TUSD BE'!$AM$14+'TUSD BF'!$AM$14+'TUSD CVA'!$AM$14)*1</f>
        <v>26.280164278980507</v>
      </c>
      <c r="Z514" s="6">
        <f ca="1">('TUSD BE'!$AM$15+'TUSD BF'!$AM$15+'TUSD CVA'!$AM$15)*1</f>
        <v>77.876201961015255</v>
      </c>
      <c r="AA514" s="6">
        <f>('TE BE'!$AB$8+'TE BF'!$AB$8+'TE CVA'!$AB$8)*1</f>
        <v>231.76257384332172</v>
      </c>
      <c r="AB514" s="6">
        <f>$K$514*$V$514</f>
        <v>132043.91999999998</v>
      </c>
      <c r="AC514" s="6">
        <f>$M$514*$W$514</f>
        <v>53220.477750000005</v>
      </c>
      <c r="AD514" s="6">
        <f>$O$514*$X$514</f>
        <v>206536.62150000001</v>
      </c>
      <c r="AE514" s="6">
        <f ca="1">$K$514*$Y$514</f>
        <v>132346.90730894584</v>
      </c>
      <c r="AF514" s="6">
        <f ca="1">$M$514*$Z$514</f>
        <v>66239.550482990555</v>
      </c>
      <c r="AG514" s="6">
        <f>$O$514*$AA$514</f>
        <v>197131.45124678337</v>
      </c>
    </row>
    <row r="515" spans="1:33" ht="11.25" customHeight="1" x14ac:dyDescent="0.25">
      <c r="A515" s="4" t="s">
        <v>21</v>
      </c>
      <c r="B515" s="4" t="s">
        <v>41</v>
      </c>
      <c r="C515" s="4" t="s">
        <v>40</v>
      </c>
      <c r="D515" s="4" t="s">
        <v>46</v>
      </c>
      <c r="E515" s="4" t="s">
        <v>25</v>
      </c>
      <c r="F515" s="4" t="s">
        <v>25</v>
      </c>
      <c r="G515" s="4" t="s">
        <v>25</v>
      </c>
      <c r="H515" s="4" t="s">
        <v>35</v>
      </c>
      <c r="I515" s="5">
        <v>44652</v>
      </c>
      <c r="J515" s="6">
        <v>3959</v>
      </c>
      <c r="K515" s="6">
        <v>3959</v>
      </c>
      <c r="L515" s="6">
        <v>1012.4589999999999</v>
      </c>
      <c r="M515" s="6">
        <v>1012.4589999999999</v>
      </c>
      <c r="N515" s="6">
        <v>1012.4589999999999</v>
      </c>
      <c r="O515" s="6">
        <v>1012.4589999999999</v>
      </c>
      <c r="P515" s="6">
        <v>0</v>
      </c>
      <c r="Q515" s="4" t="s">
        <v>26</v>
      </c>
      <c r="R515" s="4">
        <v>0</v>
      </c>
      <c r="S515" s="6">
        <v>20</v>
      </c>
      <c r="T515" s="6">
        <v>22</v>
      </c>
      <c r="U515" s="6">
        <v>67</v>
      </c>
      <c r="V515" s="6">
        <f>IF(ISERROR(VLOOKUP($S$515,'TAR FIN'!$A$1:$O$104,15,0)),0,VLOOKUP($S$515,'TAR FIN'!$A$1:$O$104,15,0))</f>
        <v>26.22</v>
      </c>
      <c r="W515" s="6">
        <f>IF(ISERROR(VLOOKUP($T$515,'TAR FIN'!$A$1:$O$104,15,0)),0,VLOOKUP($T$515,'TAR FIN'!$A$1:$O$104,15,0))</f>
        <v>62.57</v>
      </c>
      <c r="X515" s="6">
        <f>IF(ISERROR(VLOOKUP($U$515,'TAR FIN'!$A$1:$O$104,15,0)),0,VLOOKUP($U$515,'TAR FIN'!$A$1:$O$104,15,0))</f>
        <v>242.82</v>
      </c>
      <c r="Y515" s="6">
        <f ca="1">('TUSD BE'!$AM$14+'TUSD BF'!$AM$14+'TUSD CVA'!$AM$14)*1</f>
        <v>26.280164278980507</v>
      </c>
      <c r="Z515" s="6">
        <f ca="1">('TUSD BE'!$AM$15+'TUSD BF'!$AM$15+'TUSD CVA'!$AM$15)*1</f>
        <v>77.876201961015255</v>
      </c>
      <c r="AA515" s="6">
        <f>('TE BE'!$AB$8+'TE BF'!$AB$8+'TE CVA'!$AB$8)*1</f>
        <v>231.76257384332172</v>
      </c>
      <c r="AB515" s="6">
        <f>$K$515*$V$515</f>
        <v>103804.98</v>
      </c>
      <c r="AC515" s="6">
        <f>$M$515*$W$515</f>
        <v>63349.559629999996</v>
      </c>
      <c r="AD515" s="6">
        <f>$O$515*$X$515</f>
        <v>245845.29437999998</v>
      </c>
      <c r="AE515" s="6">
        <f ca="1">$K$515*$Y$515</f>
        <v>104043.17038048383</v>
      </c>
      <c r="AF515" s="6">
        <f ca="1">$M$515*$Z$515</f>
        <v>78846.461561247546</v>
      </c>
      <c r="AG515" s="6">
        <f>$O$515*$AA$515</f>
        <v>234650.10375083564</v>
      </c>
    </row>
    <row r="516" spans="1:33" ht="11.25" customHeight="1" x14ac:dyDescent="0.25">
      <c r="A516" s="4" t="s">
        <v>28</v>
      </c>
      <c r="B516" s="4" t="s">
        <v>41</v>
      </c>
      <c r="C516" s="4" t="s">
        <v>40</v>
      </c>
      <c r="D516" s="4" t="s">
        <v>46</v>
      </c>
      <c r="E516" s="4" t="s">
        <v>25</v>
      </c>
      <c r="F516" s="4" t="s">
        <v>25</v>
      </c>
      <c r="G516" s="4" t="s">
        <v>25</v>
      </c>
      <c r="H516" s="4" t="s">
        <v>35</v>
      </c>
      <c r="I516" s="5">
        <v>44652</v>
      </c>
      <c r="J516" s="6">
        <v>5036</v>
      </c>
      <c r="K516" s="6">
        <v>5036</v>
      </c>
      <c r="L516" s="6">
        <v>841.072</v>
      </c>
      <c r="M516" s="6">
        <v>841.072</v>
      </c>
      <c r="N516" s="6">
        <v>841.072</v>
      </c>
      <c r="O516" s="6">
        <v>841.072</v>
      </c>
      <c r="P516" s="6">
        <v>0</v>
      </c>
      <c r="Q516" s="4" t="s">
        <v>26</v>
      </c>
      <c r="R516" s="4">
        <v>0</v>
      </c>
      <c r="S516" s="6">
        <v>20</v>
      </c>
      <c r="T516" s="6">
        <v>22</v>
      </c>
      <c r="U516" s="6">
        <v>67</v>
      </c>
      <c r="V516" s="6">
        <f>IF(ISERROR(VLOOKUP($S$516,'TAR FIN'!$A$1:$O$104,15,0)),0,VLOOKUP($S$516,'TAR FIN'!$A$1:$O$104,15,0))</f>
        <v>26.22</v>
      </c>
      <c r="W516" s="6">
        <f>IF(ISERROR(VLOOKUP($T$516,'TAR FIN'!$A$1:$O$104,15,0)),0,VLOOKUP($T$516,'TAR FIN'!$A$1:$O$104,15,0))</f>
        <v>62.57</v>
      </c>
      <c r="X516" s="6">
        <f>IF(ISERROR(VLOOKUP($U$516,'TAR FIN'!$A$1:$O$104,15,0)),0,VLOOKUP($U$516,'TAR FIN'!$A$1:$O$104,15,0))</f>
        <v>242.82</v>
      </c>
      <c r="Y516" s="6">
        <f ca="1">('TUSD BE'!$AM$14+'TUSD BF'!$AM$14+'TUSD CVA'!$AM$14)*1</f>
        <v>26.280164278980507</v>
      </c>
      <c r="Z516" s="6">
        <f ca="1">('TUSD BE'!$AM$15+'TUSD BF'!$AM$15+'TUSD CVA'!$AM$15)*1</f>
        <v>77.876201961015255</v>
      </c>
      <c r="AA516" s="6">
        <f>('TE BE'!$AB$8+'TE BF'!$AB$8+'TE CVA'!$AB$8)*1</f>
        <v>231.76257384332172</v>
      </c>
      <c r="AB516" s="6">
        <f>$K$516*$V$516</f>
        <v>132043.91999999998</v>
      </c>
      <c r="AC516" s="6">
        <f>$M$516*$W$516</f>
        <v>52625.875039999999</v>
      </c>
      <c r="AD516" s="6">
        <f>$O$516*$X$516</f>
        <v>204229.10303999999</v>
      </c>
      <c r="AE516" s="6">
        <f ca="1">$K$516*$Y$516</f>
        <v>132346.90730894584</v>
      </c>
      <c r="AF516" s="6">
        <f ca="1">$M$516*$Z$516</f>
        <v>65499.492935755021</v>
      </c>
      <c r="AG516" s="6">
        <f>$O$516*$AA$516</f>
        <v>194929.01150755028</v>
      </c>
    </row>
    <row r="517" spans="1:33" ht="11.25" customHeight="1" x14ac:dyDescent="0.25">
      <c r="A517" s="4" t="s">
        <v>21</v>
      </c>
      <c r="B517" s="4" t="s">
        <v>41</v>
      </c>
      <c r="C517" s="4" t="s">
        <v>40</v>
      </c>
      <c r="D517" s="4" t="s">
        <v>46</v>
      </c>
      <c r="E517" s="4" t="s">
        <v>25</v>
      </c>
      <c r="F517" s="4" t="s">
        <v>25</v>
      </c>
      <c r="G517" s="4" t="s">
        <v>25</v>
      </c>
      <c r="H517" s="4" t="s">
        <v>35</v>
      </c>
      <c r="I517" s="5">
        <v>44682</v>
      </c>
      <c r="J517" s="6">
        <v>3952</v>
      </c>
      <c r="K517" s="6">
        <v>3952</v>
      </c>
      <c r="L517" s="6">
        <v>1017.345</v>
      </c>
      <c r="M517" s="6">
        <v>1017.345</v>
      </c>
      <c r="N517" s="6">
        <v>1017.345</v>
      </c>
      <c r="O517" s="6">
        <v>1017.345</v>
      </c>
      <c r="P517" s="6">
        <v>0</v>
      </c>
      <c r="Q517" s="4" t="s">
        <v>26</v>
      </c>
      <c r="R517" s="4">
        <v>0</v>
      </c>
      <c r="S517" s="6">
        <v>20</v>
      </c>
      <c r="T517" s="6">
        <v>22</v>
      </c>
      <c r="U517" s="6">
        <v>67</v>
      </c>
      <c r="V517" s="6">
        <f>IF(ISERROR(VLOOKUP($S$517,'TAR FIN'!$A$1:$O$104,15,0)),0,VLOOKUP($S$517,'TAR FIN'!$A$1:$O$104,15,0))</f>
        <v>26.22</v>
      </c>
      <c r="W517" s="6">
        <f>IF(ISERROR(VLOOKUP($T$517,'TAR FIN'!$A$1:$O$104,15,0)),0,VLOOKUP($T$517,'TAR FIN'!$A$1:$O$104,15,0))</f>
        <v>62.57</v>
      </c>
      <c r="X517" s="6">
        <f>IF(ISERROR(VLOOKUP($U$517,'TAR FIN'!$A$1:$O$104,15,0)),0,VLOOKUP($U$517,'TAR FIN'!$A$1:$O$104,15,0))</f>
        <v>242.82</v>
      </c>
      <c r="Y517" s="6">
        <f ca="1">('TUSD BE'!$AM$14+'TUSD BF'!$AM$14+'TUSD CVA'!$AM$14)*1</f>
        <v>26.280164278980507</v>
      </c>
      <c r="Z517" s="6">
        <f ca="1">('TUSD BE'!$AM$15+'TUSD BF'!$AM$15+'TUSD CVA'!$AM$15)*1</f>
        <v>77.876201961015255</v>
      </c>
      <c r="AA517" s="6">
        <f>('TE BE'!$AB$8+'TE BF'!$AB$8+'TE CVA'!$AB$8)*1</f>
        <v>231.76257384332172</v>
      </c>
      <c r="AB517" s="6">
        <f>$K$517*$V$517</f>
        <v>103621.44</v>
      </c>
      <c r="AC517" s="6">
        <f>$M$517*$W$517</f>
        <v>63655.27665</v>
      </c>
      <c r="AD517" s="6">
        <f>$O$517*$X$517</f>
        <v>247031.71290000001</v>
      </c>
      <c r="AE517" s="6">
        <f ca="1">$K$517*$Y$517</f>
        <v>103859.20923053096</v>
      </c>
      <c r="AF517" s="6">
        <f ca="1">$M$517*$Z$517</f>
        <v>79226.964684029066</v>
      </c>
      <c r="AG517" s="6">
        <f>$O$517*$AA$517</f>
        <v>235782.49568663415</v>
      </c>
    </row>
    <row r="518" spans="1:33" ht="11.25" customHeight="1" x14ac:dyDescent="0.25">
      <c r="A518" s="4" t="s">
        <v>28</v>
      </c>
      <c r="B518" s="4" t="s">
        <v>41</v>
      </c>
      <c r="C518" s="4" t="s">
        <v>40</v>
      </c>
      <c r="D518" s="4" t="s">
        <v>46</v>
      </c>
      <c r="E518" s="4" t="s">
        <v>25</v>
      </c>
      <c r="F518" s="4" t="s">
        <v>25</v>
      </c>
      <c r="G518" s="4" t="s">
        <v>25</v>
      </c>
      <c r="H518" s="4" t="s">
        <v>35</v>
      </c>
      <c r="I518" s="5">
        <v>44682</v>
      </c>
      <c r="J518" s="6">
        <v>5036</v>
      </c>
      <c r="K518" s="6">
        <v>5036</v>
      </c>
      <c r="L518" s="6">
        <v>914.46600000000001</v>
      </c>
      <c r="M518" s="6">
        <v>914.46600000000001</v>
      </c>
      <c r="N518" s="6">
        <v>914.46600000000001</v>
      </c>
      <c r="O518" s="6">
        <v>914.46600000000001</v>
      </c>
      <c r="P518" s="6">
        <v>0</v>
      </c>
      <c r="Q518" s="4" t="s">
        <v>26</v>
      </c>
      <c r="R518" s="4">
        <v>0</v>
      </c>
      <c r="S518" s="6">
        <v>20</v>
      </c>
      <c r="T518" s="6">
        <v>22</v>
      </c>
      <c r="U518" s="6">
        <v>67</v>
      </c>
      <c r="V518" s="6">
        <f>IF(ISERROR(VLOOKUP($S$518,'TAR FIN'!$A$1:$O$104,15,0)),0,VLOOKUP($S$518,'TAR FIN'!$A$1:$O$104,15,0))</f>
        <v>26.22</v>
      </c>
      <c r="W518" s="6">
        <f>IF(ISERROR(VLOOKUP($T$518,'TAR FIN'!$A$1:$O$104,15,0)),0,VLOOKUP($T$518,'TAR FIN'!$A$1:$O$104,15,0))</f>
        <v>62.57</v>
      </c>
      <c r="X518" s="6">
        <f>IF(ISERROR(VLOOKUP($U$518,'TAR FIN'!$A$1:$O$104,15,0)),0,VLOOKUP($U$518,'TAR FIN'!$A$1:$O$104,15,0))</f>
        <v>242.82</v>
      </c>
      <c r="Y518" s="6">
        <f ca="1">('TUSD BE'!$AM$14+'TUSD BF'!$AM$14+'TUSD CVA'!$AM$14)*1</f>
        <v>26.280164278980507</v>
      </c>
      <c r="Z518" s="6">
        <f ca="1">('TUSD BE'!$AM$15+'TUSD BF'!$AM$15+'TUSD CVA'!$AM$15)*1</f>
        <v>77.876201961015255</v>
      </c>
      <c r="AA518" s="6">
        <f>('TE BE'!$AB$8+'TE BF'!$AB$8+'TE CVA'!$AB$8)*1</f>
        <v>231.76257384332172</v>
      </c>
      <c r="AB518" s="6">
        <f>$K$518*$V$518</f>
        <v>132043.91999999998</v>
      </c>
      <c r="AC518" s="6">
        <f>$M$518*$W$518</f>
        <v>57218.137620000001</v>
      </c>
      <c r="AD518" s="6">
        <f>$O$518*$X$518</f>
        <v>222050.63412</v>
      </c>
      <c r="AE518" s="6">
        <f ca="1">$K$518*$Y$518</f>
        <v>132346.90730894584</v>
      </c>
      <c r="AF518" s="6">
        <f ca="1">$M$518*$Z$518</f>
        <v>71215.138902481776</v>
      </c>
      <c r="AG518" s="6">
        <f>$O$518*$AA$518</f>
        <v>211938.99385220703</v>
      </c>
    </row>
    <row r="519" spans="1:33" ht="11.25" customHeight="1" x14ac:dyDescent="0.25">
      <c r="A519" s="4" t="s">
        <v>21</v>
      </c>
      <c r="B519" s="4" t="s">
        <v>41</v>
      </c>
      <c r="C519" s="4" t="s">
        <v>40</v>
      </c>
      <c r="D519" s="4" t="s">
        <v>46</v>
      </c>
      <c r="E519" s="4" t="s">
        <v>25</v>
      </c>
      <c r="F519" s="4" t="s">
        <v>25</v>
      </c>
      <c r="G519" s="4" t="s">
        <v>25</v>
      </c>
      <c r="H519" s="4" t="s">
        <v>35</v>
      </c>
      <c r="I519" s="5">
        <v>44713</v>
      </c>
      <c r="J519" s="6">
        <v>3881</v>
      </c>
      <c r="K519" s="6">
        <v>3881</v>
      </c>
      <c r="L519" s="6">
        <v>896.73500000000001</v>
      </c>
      <c r="M519" s="6">
        <v>896.73500000000001</v>
      </c>
      <c r="N519" s="6">
        <v>896.73500000000001</v>
      </c>
      <c r="O519" s="6">
        <v>896.73500000000001</v>
      </c>
      <c r="P519" s="6">
        <v>0</v>
      </c>
      <c r="Q519" s="4" t="s">
        <v>26</v>
      </c>
      <c r="R519" s="4">
        <v>0</v>
      </c>
      <c r="S519" s="6">
        <v>20</v>
      </c>
      <c r="T519" s="6">
        <v>22</v>
      </c>
      <c r="U519" s="6">
        <v>67</v>
      </c>
      <c r="V519" s="6">
        <f>IF(ISERROR(VLOOKUP($S$519,'TAR FIN'!$A$1:$O$104,15,0)),0,VLOOKUP($S$519,'TAR FIN'!$A$1:$O$104,15,0))</f>
        <v>26.22</v>
      </c>
      <c r="W519" s="6">
        <f>IF(ISERROR(VLOOKUP($T$519,'TAR FIN'!$A$1:$O$104,15,0)),0,VLOOKUP($T$519,'TAR FIN'!$A$1:$O$104,15,0))</f>
        <v>62.57</v>
      </c>
      <c r="X519" s="6">
        <f>IF(ISERROR(VLOOKUP($U$519,'TAR FIN'!$A$1:$O$104,15,0)),0,VLOOKUP($U$519,'TAR FIN'!$A$1:$O$104,15,0))</f>
        <v>242.82</v>
      </c>
      <c r="Y519" s="6">
        <f ca="1">('TUSD BE'!$AM$14+'TUSD BF'!$AM$14+'TUSD CVA'!$AM$14)*1</f>
        <v>26.280164278980507</v>
      </c>
      <c r="Z519" s="6">
        <f ca="1">('TUSD BE'!$AM$15+'TUSD BF'!$AM$15+'TUSD CVA'!$AM$15)*1</f>
        <v>77.876201961015255</v>
      </c>
      <c r="AA519" s="6">
        <f>('TE BE'!$AB$8+'TE BF'!$AB$8+'TE CVA'!$AB$8)*1</f>
        <v>231.76257384332172</v>
      </c>
      <c r="AB519" s="6">
        <f>$K$519*$V$519</f>
        <v>101759.81999999999</v>
      </c>
      <c r="AC519" s="6">
        <f>$M$519*$W$519</f>
        <v>56108.70895</v>
      </c>
      <c r="AD519" s="6">
        <f>$O$519*$X$519</f>
        <v>217745.19269999999</v>
      </c>
      <c r="AE519" s="6">
        <f ca="1">$K$519*$Y$519</f>
        <v>101993.31756672334</v>
      </c>
      <c r="AF519" s="6">
        <f ca="1">$M$519*$Z$519</f>
        <v>69834.315965511021</v>
      </c>
      <c r="AG519" s="6">
        <f>$O$519*$AA$519</f>
        <v>207829.61165539111</v>
      </c>
    </row>
    <row r="520" spans="1:33" ht="11.25" customHeight="1" x14ac:dyDescent="0.25">
      <c r="A520" s="4" t="s">
        <v>28</v>
      </c>
      <c r="B520" s="4" t="s">
        <v>41</v>
      </c>
      <c r="C520" s="4" t="s">
        <v>40</v>
      </c>
      <c r="D520" s="4" t="s">
        <v>46</v>
      </c>
      <c r="E520" s="4" t="s">
        <v>25</v>
      </c>
      <c r="F520" s="4" t="s">
        <v>25</v>
      </c>
      <c r="G520" s="4" t="s">
        <v>25</v>
      </c>
      <c r="H520" s="4" t="s">
        <v>35</v>
      </c>
      <c r="I520" s="5">
        <v>44713</v>
      </c>
      <c r="J520" s="6">
        <v>5036</v>
      </c>
      <c r="K520" s="6">
        <v>5036</v>
      </c>
      <c r="L520" s="6">
        <v>709.71100000000001</v>
      </c>
      <c r="M520" s="6">
        <v>709.71100000000001</v>
      </c>
      <c r="N520" s="6">
        <v>709.71100000000001</v>
      </c>
      <c r="O520" s="6">
        <v>709.71100000000001</v>
      </c>
      <c r="P520" s="6">
        <v>0</v>
      </c>
      <c r="Q520" s="4" t="s">
        <v>26</v>
      </c>
      <c r="R520" s="4">
        <v>0</v>
      </c>
      <c r="S520" s="6">
        <v>20</v>
      </c>
      <c r="T520" s="6">
        <v>22</v>
      </c>
      <c r="U520" s="6">
        <v>67</v>
      </c>
      <c r="V520" s="6">
        <f>IF(ISERROR(VLOOKUP($S$520,'TAR FIN'!$A$1:$O$104,15,0)),0,VLOOKUP($S$520,'TAR FIN'!$A$1:$O$104,15,0))</f>
        <v>26.22</v>
      </c>
      <c r="W520" s="6">
        <f>IF(ISERROR(VLOOKUP($T$520,'TAR FIN'!$A$1:$O$104,15,0)),0,VLOOKUP($T$520,'TAR FIN'!$A$1:$O$104,15,0))</f>
        <v>62.57</v>
      </c>
      <c r="X520" s="6">
        <f>IF(ISERROR(VLOOKUP($U$520,'TAR FIN'!$A$1:$O$104,15,0)),0,VLOOKUP($U$520,'TAR FIN'!$A$1:$O$104,15,0))</f>
        <v>242.82</v>
      </c>
      <c r="Y520" s="6">
        <f ca="1">('TUSD BE'!$AM$14+'TUSD BF'!$AM$14+'TUSD CVA'!$AM$14)*1</f>
        <v>26.280164278980507</v>
      </c>
      <c r="Z520" s="6">
        <f ca="1">('TUSD BE'!$AM$15+'TUSD BF'!$AM$15+'TUSD CVA'!$AM$15)*1</f>
        <v>77.876201961015255</v>
      </c>
      <c r="AA520" s="6">
        <f>('TE BE'!$AB$8+'TE BF'!$AB$8+'TE CVA'!$AB$8)*1</f>
        <v>231.76257384332172</v>
      </c>
      <c r="AB520" s="6">
        <f>$K$520*$V$520</f>
        <v>132043.91999999998</v>
      </c>
      <c r="AC520" s="6">
        <f>$M$520*$W$520</f>
        <v>44406.617270000002</v>
      </c>
      <c r="AD520" s="6">
        <f>$O$520*$X$520</f>
        <v>172332.02502</v>
      </c>
      <c r="AE520" s="6">
        <f ca="1">$K$520*$Y$520</f>
        <v>132346.90730894584</v>
      </c>
      <c r="AF520" s="6">
        <f ca="1">$M$520*$Z$520</f>
        <v>55269.597169954097</v>
      </c>
      <c r="AG520" s="6">
        <f>$O$520*$AA$520</f>
        <v>164484.44804491769</v>
      </c>
    </row>
    <row r="521" spans="1:33" ht="11.25" customHeight="1" x14ac:dyDescent="0.25">
      <c r="A521" s="4" t="s">
        <v>57</v>
      </c>
      <c r="B521" s="4" t="s">
        <v>41</v>
      </c>
      <c r="C521" s="4" t="s">
        <v>40</v>
      </c>
      <c r="D521" s="4" t="s">
        <v>46</v>
      </c>
      <c r="E521" s="4" t="s">
        <v>25</v>
      </c>
      <c r="F521" s="4" t="s">
        <v>25</v>
      </c>
      <c r="G521" s="4" t="s">
        <v>25</v>
      </c>
      <c r="H521" s="4" t="s">
        <v>35</v>
      </c>
      <c r="I521" s="5">
        <v>44743</v>
      </c>
      <c r="J521" s="6">
        <v>3881</v>
      </c>
      <c r="K521" s="6">
        <v>3881</v>
      </c>
      <c r="L521" s="6">
        <v>896.73500000000001</v>
      </c>
      <c r="M521" s="6">
        <v>896.73500000000001</v>
      </c>
      <c r="N521" s="6">
        <v>896.73500000000001</v>
      </c>
      <c r="O521" s="6">
        <v>896.73500000000001</v>
      </c>
      <c r="P521" s="6">
        <v>0</v>
      </c>
      <c r="Q521" s="4" t="s">
        <v>26</v>
      </c>
      <c r="R521" s="4">
        <v>0</v>
      </c>
      <c r="S521" s="6">
        <v>20</v>
      </c>
      <c r="T521" s="6">
        <v>22</v>
      </c>
      <c r="U521" s="6">
        <v>67</v>
      </c>
      <c r="V521" s="6">
        <f>IF(ISERROR(VLOOKUP($S$521,'TAR FIN'!$A$1:$O$104,15,0)),0,VLOOKUP($S$521,'TAR FIN'!$A$1:$O$104,15,0))</f>
        <v>26.22</v>
      </c>
      <c r="W521" s="6">
        <f>IF(ISERROR(VLOOKUP($T$521,'TAR FIN'!$A$1:$O$104,15,0)),0,VLOOKUP($T$521,'TAR FIN'!$A$1:$O$104,15,0))</f>
        <v>62.57</v>
      </c>
      <c r="X521" s="6">
        <f>IF(ISERROR(VLOOKUP($U$521,'TAR FIN'!$A$1:$O$104,15,0)),0,VLOOKUP($U$521,'TAR FIN'!$A$1:$O$104,15,0))</f>
        <v>242.82</v>
      </c>
      <c r="Y521" s="6">
        <f ca="1">('TUSD BE'!$AM$14+'TUSD BF'!$AM$14+'TUSD CVA'!$AM$14)*1</f>
        <v>26.280164278980507</v>
      </c>
      <c r="Z521" s="6">
        <f ca="1">('TUSD BE'!$AM$15+'TUSD BF'!$AM$15+'TUSD CVA'!$AM$15)*1</f>
        <v>77.876201961015255</v>
      </c>
      <c r="AA521" s="6">
        <f>('TE BE'!$AB$8+'TE BF'!$AB$8+'TE CVA'!$AB$8)*1</f>
        <v>231.76257384332172</v>
      </c>
      <c r="AB521" s="6">
        <f>$K$521*$V$521</f>
        <v>101759.81999999999</v>
      </c>
      <c r="AC521" s="6">
        <f>$M$521*$W$521</f>
        <v>56108.70895</v>
      </c>
      <c r="AD521" s="6">
        <f>$O$521*$X$521</f>
        <v>217745.19269999999</v>
      </c>
      <c r="AE521" s="6">
        <f ca="1">$K$521*$Y$521</f>
        <v>101993.31756672334</v>
      </c>
      <c r="AF521" s="6">
        <f ca="1">$M$521*$Z$521</f>
        <v>69834.315965511021</v>
      </c>
      <c r="AG521" s="6">
        <f>$O$521*$AA$521</f>
        <v>207829.61165539111</v>
      </c>
    </row>
    <row r="522" spans="1:33" ht="11.25" customHeight="1" x14ac:dyDescent="0.25">
      <c r="A522" s="4" t="s">
        <v>57</v>
      </c>
      <c r="B522" s="4" t="s">
        <v>41</v>
      </c>
      <c r="C522" s="4" t="s">
        <v>40</v>
      </c>
      <c r="D522" s="4" t="s">
        <v>46</v>
      </c>
      <c r="E522" s="4" t="s">
        <v>25</v>
      </c>
      <c r="F522" s="4" t="s">
        <v>25</v>
      </c>
      <c r="G522" s="4" t="s">
        <v>25</v>
      </c>
      <c r="H522" s="4" t="s">
        <v>35</v>
      </c>
      <c r="I522" s="5">
        <v>44743</v>
      </c>
      <c r="J522" s="6">
        <v>5036</v>
      </c>
      <c r="K522" s="6">
        <v>5036</v>
      </c>
      <c r="L522" s="6">
        <v>709.71100000000001</v>
      </c>
      <c r="M522" s="6">
        <v>709.71100000000001</v>
      </c>
      <c r="N522" s="6">
        <v>709.71100000000001</v>
      </c>
      <c r="O522" s="6">
        <v>709.71100000000001</v>
      </c>
      <c r="P522" s="6">
        <v>0</v>
      </c>
      <c r="Q522" s="4" t="s">
        <v>26</v>
      </c>
      <c r="R522" s="4">
        <v>0</v>
      </c>
      <c r="S522" s="6">
        <v>20</v>
      </c>
      <c r="T522" s="6">
        <v>22</v>
      </c>
      <c r="U522" s="6">
        <v>67</v>
      </c>
      <c r="V522" s="6">
        <f>IF(ISERROR(VLOOKUP($S$522,'TAR FIN'!$A$1:$O$104,15,0)),0,VLOOKUP($S$522,'TAR FIN'!$A$1:$O$104,15,0))</f>
        <v>26.22</v>
      </c>
      <c r="W522" s="6">
        <f>IF(ISERROR(VLOOKUP($T$522,'TAR FIN'!$A$1:$O$104,15,0)),0,VLOOKUP($T$522,'TAR FIN'!$A$1:$O$104,15,0))</f>
        <v>62.57</v>
      </c>
      <c r="X522" s="6">
        <f>IF(ISERROR(VLOOKUP($U$522,'TAR FIN'!$A$1:$O$104,15,0)),0,VLOOKUP($U$522,'TAR FIN'!$A$1:$O$104,15,0))</f>
        <v>242.82</v>
      </c>
      <c r="Y522" s="6">
        <f ca="1">('TUSD BE'!$AM$14+'TUSD BF'!$AM$14+'TUSD CVA'!$AM$14)*1</f>
        <v>26.280164278980507</v>
      </c>
      <c r="Z522" s="6">
        <f ca="1">('TUSD BE'!$AM$15+'TUSD BF'!$AM$15+'TUSD CVA'!$AM$15)*1</f>
        <v>77.876201961015255</v>
      </c>
      <c r="AA522" s="6">
        <f>('TE BE'!$AB$8+'TE BF'!$AB$8+'TE CVA'!$AB$8)*1</f>
        <v>231.76257384332172</v>
      </c>
      <c r="AB522" s="6">
        <f>$K$522*$V$522</f>
        <v>132043.91999999998</v>
      </c>
      <c r="AC522" s="6">
        <f>$M$522*$W$522</f>
        <v>44406.617270000002</v>
      </c>
      <c r="AD522" s="6">
        <f>$O$522*$X$522</f>
        <v>172332.02502</v>
      </c>
      <c r="AE522" s="6">
        <f ca="1">$K$522*$Y$522</f>
        <v>132346.90730894584</v>
      </c>
      <c r="AF522" s="6">
        <f ca="1">$M$522*$Z$522</f>
        <v>55269.597169954097</v>
      </c>
      <c r="AG522" s="6">
        <f>$O$522*$AA$522</f>
        <v>164484.44804491769</v>
      </c>
    </row>
    <row r="523" spans="1:33" ht="11.25" customHeight="1" x14ac:dyDescent="0.25">
      <c r="A523" s="4" t="s">
        <v>21</v>
      </c>
      <c r="B523" s="4" t="s">
        <v>41</v>
      </c>
      <c r="C523" s="4" t="s">
        <v>40</v>
      </c>
      <c r="D523" s="4" t="s">
        <v>46</v>
      </c>
      <c r="E523" s="4" t="s">
        <v>25</v>
      </c>
      <c r="F523" s="4" t="s">
        <v>25</v>
      </c>
      <c r="G523" s="4" t="s">
        <v>25</v>
      </c>
      <c r="H523" s="4" t="s">
        <v>34</v>
      </c>
      <c r="I523" s="5">
        <v>44409</v>
      </c>
      <c r="J523" s="6">
        <v>5813</v>
      </c>
      <c r="K523" s="6">
        <v>5813</v>
      </c>
      <c r="L523" s="6">
        <v>146.81899999999999</v>
      </c>
      <c r="M523" s="6">
        <v>146.81899999999999</v>
      </c>
      <c r="N523" s="6">
        <v>146.81899999999999</v>
      </c>
      <c r="O523" s="6">
        <v>146.81899999999999</v>
      </c>
      <c r="P523" s="6">
        <v>0</v>
      </c>
      <c r="Q523" s="4" t="s">
        <v>26</v>
      </c>
      <c r="R523" s="4">
        <v>0</v>
      </c>
      <c r="S523" s="6">
        <v>18</v>
      </c>
      <c r="T523" s="6">
        <v>22</v>
      </c>
      <c r="U523" s="6">
        <v>66</v>
      </c>
      <c r="V523" s="6">
        <f>IF(ISERROR(VLOOKUP($S$523,'TAR FIN'!$A$1:$O$104,15,0)),0,VLOOKUP($S$523,'TAR FIN'!$A$1:$O$104,15,0))</f>
        <v>52.15</v>
      </c>
      <c r="W523" s="6">
        <f>IF(ISERROR(VLOOKUP($T$523,'TAR FIN'!$A$1:$O$104,15,0)),0,VLOOKUP($T$523,'TAR FIN'!$A$1:$O$104,15,0))</f>
        <v>62.57</v>
      </c>
      <c r="X523" s="6">
        <f>IF(ISERROR(VLOOKUP($U$523,'TAR FIN'!$A$1:$O$104,15,0)),0,VLOOKUP($U$523,'TAR FIN'!$A$1:$O$104,15,0))</f>
        <v>397.62</v>
      </c>
      <c r="Y523" s="6">
        <f ca="1">('TUSD BE'!$AM$13+'TUSD BF'!$AM$13+'TUSD CVA'!$AM$13)*1</f>
        <v>52.233673366014429</v>
      </c>
      <c r="Z523" s="6">
        <f ca="1">('TUSD BE'!$AM$15+'TUSD BF'!$AM$15+'TUSD CVA'!$AM$15)*1</f>
        <v>77.876201961015255</v>
      </c>
      <c r="AA523" s="6">
        <f>('TE BE'!$AB$7+'TE BF'!$AB$7+'TE CVA'!$AB$7)*1</f>
        <v>360.26029187567116</v>
      </c>
      <c r="AB523" s="6">
        <f>$K$523*$V$523</f>
        <v>303147.95</v>
      </c>
      <c r="AC523" s="6">
        <f>$M$523*$W$523</f>
        <v>9186.464829999999</v>
      </c>
      <c r="AD523" s="6">
        <f>$O$523*$X$523</f>
        <v>58378.170779999993</v>
      </c>
      <c r="AE523" s="6">
        <f ca="1">$K$523*$Y$523</f>
        <v>303634.34327664186</v>
      </c>
      <c r="AF523" s="6">
        <f ca="1">$M$523*$Z$523</f>
        <v>11433.706095714298</v>
      </c>
      <c r="AG523" s="6">
        <f>$O$523*$AA$523</f>
        <v>52893.055792894156</v>
      </c>
    </row>
    <row r="524" spans="1:33" ht="11.25" customHeight="1" x14ac:dyDescent="0.25">
      <c r="A524" s="4" t="s">
        <v>28</v>
      </c>
      <c r="B524" s="4" t="s">
        <v>41</v>
      </c>
      <c r="C524" s="4" t="s">
        <v>40</v>
      </c>
      <c r="D524" s="4" t="s">
        <v>46</v>
      </c>
      <c r="E524" s="4" t="s">
        <v>25</v>
      </c>
      <c r="F524" s="4" t="s">
        <v>25</v>
      </c>
      <c r="G524" s="4" t="s">
        <v>25</v>
      </c>
      <c r="H524" s="4" t="s">
        <v>34</v>
      </c>
      <c r="I524" s="5">
        <v>44409</v>
      </c>
      <c r="J524" s="6">
        <v>543</v>
      </c>
      <c r="K524" s="6">
        <v>543</v>
      </c>
      <c r="L524" s="6">
        <v>7.1459999999999999</v>
      </c>
      <c r="M524" s="6">
        <v>7.1459999999999999</v>
      </c>
      <c r="N524" s="6">
        <v>7.1459999999999999</v>
      </c>
      <c r="O524" s="6">
        <v>7.1459999999999999</v>
      </c>
      <c r="P524" s="6">
        <v>0</v>
      </c>
      <c r="Q524" s="4" t="s">
        <v>26</v>
      </c>
      <c r="R524" s="4">
        <v>0</v>
      </c>
      <c r="S524" s="6">
        <v>18</v>
      </c>
      <c r="T524" s="6">
        <v>22</v>
      </c>
      <c r="U524" s="6">
        <v>66</v>
      </c>
      <c r="V524" s="6">
        <f>IF(ISERROR(VLOOKUP($S$524,'TAR FIN'!$A$1:$O$104,15,0)),0,VLOOKUP($S$524,'TAR FIN'!$A$1:$O$104,15,0))</f>
        <v>52.15</v>
      </c>
      <c r="W524" s="6">
        <f>IF(ISERROR(VLOOKUP($T$524,'TAR FIN'!$A$1:$O$104,15,0)),0,VLOOKUP($T$524,'TAR FIN'!$A$1:$O$104,15,0))</f>
        <v>62.57</v>
      </c>
      <c r="X524" s="6">
        <f>IF(ISERROR(VLOOKUP($U$524,'TAR FIN'!$A$1:$O$104,15,0)),0,VLOOKUP($U$524,'TAR FIN'!$A$1:$O$104,15,0))</f>
        <v>397.62</v>
      </c>
      <c r="Y524" s="6">
        <f ca="1">('TUSD BE'!$AM$13+'TUSD BF'!$AM$13+'TUSD CVA'!$AM$13)*1</f>
        <v>52.233673366014429</v>
      </c>
      <c r="Z524" s="6">
        <f ca="1">('TUSD BE'!$AM$15+'TUSD BF'!$AM$15+'TUSD CVA'!$AM$15)*1</f>
        <v>77.876201961015255</v>
      </c>
      <c r="AA524" s="6">
        <f>('TE BE'!$AB$7+'TE BF'!$AB$7+'TE CVA'!$AB$7)*1</f>
        <v>360.26029187567116</v>
      </c>
      <c r="AB524" s="6">
        <f>$K$524*$V$524</f>
        <v>28317.45</v>
      </c>
      <c r="AC524" s="6">
        <f>$M$524*$W$524</f>
        <v>447.12522000000001</v>
      </c>
      <c r="AD524" s="6">
        <f>$O$524*$X$524</f>
        <v>2841.3925199999999</v>
      </c>
      <c r="AE524" s="6">
        <f ca="1">$K$524*$Y$524</f>
        <v>28362.884637745836</v>
      </c>
      <c r="AF524" s="6">
        <f ca="1">$M$524*$Z$524</f>
        <v>556.50333921341496</v>
      </c>
      <c r="AG524" s="6">
        <f>$O$524*$AA$524</f>
        <v>2574.4200457435459</v>
      </c>
    </row>
    <row r="525" spans="1:33" ht="11.25" customHeight="1" x14ac:dyDescent="0.25">
      <c r="A525" s="4" t="s">
        <v>21</v>
      </c>
      <c r="B525" s="4" t="s">
        <v>41</v>
      </c>
      <c r="C525" s="4" t="s">
        <v>40</v>
      </c>
      <c r="D525" s="4" t="s">
        <v>46</v>
      </c>
      <c r="E525" s="4" t="s">
        <v>25</v>
      </c>
      <c r="F525" s="4" t="s">
        <v>25</v>
      </c>
      <c r="G525" s="4" t="s">
        <v>25</v>
      </c>
      <c r="H525" s="4" t="s">
        <v>34</v>
      </c>
      <c r="I525" s="5">
        <v>44440</v>
      </c>
      <c r="J525" s="6">
        <v>3042</v>
      </c>
      <c r="K525" s="6">
        <v>3042</v>
      </c>
      <c r="L525" s="6">
        <v>103.00700000000001</v>
      </c>
      <c r="M525" s="6">
        <v>103.00700000000001</v>
      </c>
      <c r="N525" s="6">
        <v>103.00700000000001</v>
      </c>
      <c r="O525" s="6">
        <v>103.00700000000001</v>
      </c>
      <c r="P525" s="6">
        <v>0</v>
      </c>
      <c r="Q525" s="4" t="s">
        <v>26</v>
      </c>
      <c r="R525" s="4">
        <v>0</v>
      </c>
      <c r="S525" s="6">
        <v>18</v>
      </c>
      <c r="T525" s="6">
        <v>22</v>
      </c>
      <c r="U525" s="6">
        <v>66</v>
      </c>
      <c r="V525" s="6">
        <f>IF(ISERROR(VLOOKUP($S$525,'TAR FIN'!$A$1:$O$104,15,0)),0,VLOOKUP($S$525,'TAR FIN'!$A$1:$O$104,15,0))</f>
        <v>52.15</v>
      </c>
      <c r="W525" s="6">
        <f>IF(ISERROR(VLOOKUP($T$525,'TAR FIN'!$A$1:$O$104,15,0)),0,VLOOKUP($T$525,'TAR FIN'!$A$1:$O$104,15,0))</f>
        <v>62.57</v>
      </c>
      <c r="X525" s="6">
        <f>IF(ISERROR(VLOOKUP($U$525,'TAR FIN'!$A$1:$O$104,15,0)),0,VLOOKUP($U$525,'TAR FIN'!$A$1:$O$104,15,0))</f>
        <v>397.62</v>
      </c>
      <c r="Y525" s="6">
        <f ca="1">('TUSD BE'!$AM$13+'TUSD BF'!$AM$13+'TUSD CVA'!$AM$13)*1</f>
        <v>52.233673366014429</v>
      </c>
      <c r="Z525" s="6">
        <f ca="1">('TUSD BE'!$AM$15+'TUSD BF'!$AM$15+'TUSD CVA'!$AM$15)*1</f>
        <v>77.876201961015255</v>
      </c>
      <c r="AA525" s="6">
        <f>('TE BE'!$AB$7+'TE BF'!$AB$7+'TE CVA'!$AB$7)*1</f>
        <v>360.26029187567116</v>
      </c>
      <c r="AB525" s="6">
        <f>$K$525*$V$525</f>
        <v>158640.29999999999</v>
      </c>
      <c r="AC525" s="6">
        <f>$M$525*$W$525</f>
        <v>6445.1479900000004</v>
      </c>
      <c r="AD525" s="6">
        <f>$O$525*$X$525</f>
        <v>40957.643340000002</v>
      </c>
      <c r="AE525" s="6">
        <f ca="1">$K$525*$Y$525</f>
        <v>158894.8343794159</v>
      </c>
      <c r="AF525" s="6">
        <f ca="1">$M$525*$Z$525</f>
        <v>8021.7939353982983</v>
      </c>
      <c r="AG525" s="6">
        <f>$O$525*$AA$525</f>
        <v>37109.331885237261</v>
      </c>
    </row>
    <row r="526" spans="1:33" ht="11.25" customHeight="1" x14ac:dyDescent="0.25">
      <c r="A526" s="4" t="s">
        <v>27</v>
      </c>
      <c r="B526" s="4" t="s">
        <v>41</v>
      </c>
      <c r="C526" s="4" t="s">
        <v>40</v>
      </c>
      <c r="D526" s="4" t="s">
        <v>46</v>
      </c>
      <c r="E526" s="4" t="s">
        <v>25</v>
      </c>
      <c r="F526" s="4" t="s">
        <v>25</v>
      </c>
      <c r="G526" s="4" t="s">
        <v>25</v>
      </c>
      <c r="H526" s="4" t="s">
        <v>34</v>
      </c>
      <c r="I526" s="5">
        <v>44440</v>
      </c>
      <c r="J526" s="6">
        <v>318</v>
      </c>
      <c r="K526" s="6">
        <v>318</v>
      </c>
      <c r="L526" s="6">
        <v>13.2</v>
      </c>
      <c r="M526" s="6">
        <v>13.2</v>
      </c>
      <c r="N526" s="6">
        <v>13.2</v>
      </c>
      <c r="O526" s="6">
        <v>13.2</v>
      </c>
      <c r="P526" s="6">
        <v>0</v>
      </c>
      <c r="Q526" s="4" t="s">
        <v>26</v>
      </c>
      <c r="R526" s="4">
        <v>0</v>
      </c>
      <c r="S526" s="6">
        <v>18</v>
      </c>
      <c r="T526" s="6">
        <v>22</v>
      </c>
      <c r="U526" s="6">
        <v>66</v>
      </c>
      <c r="V526" s="6">
        <f>IF(ISERROR(VLOOKUP($S$526,'TAR FIN'!$A$1:$O$104,15,0)),0,VLOOKUP($S$526,'TAR FIN'!$A$1:$O$104,15,0))</f>
        <v>52.15</v>
      </c>
      <c r="W526" s="6">
        <f>IF(ISERROR(VLOOKUP($T$526,'TAR FIN'!$A$1:$O$104,15,0)),0,VLOOKUP($T$526,'TAR FIN'!$A$1:$O$104,15,0))</f>
        <v>62.57</v>
      </c>
      <c r="X526" s="6">
        <f>IF(ISERROR(VLOOKUP($U$526,'TAR FIN'!$A$1:$O$104,15,0)),0,VLOOKUP($U$526,'TAR FIN'!$A$1:$O$104,15,0))</f>
        <v>397.62</v>
      </c>
      <c r="Y526" s="6">
        <f ca="1">('TUSD BE'!$AM$13+'TUSD BF'!$AM$13+'TUSD CVA'!$AM$13)*1</f>
        <v>52.233673366014429</v>
      </c>
      <c r="Z526" s="6">
        <f ca="1">('TUSD BE'!$AM$15+'TUSD BF'!$AM$15+'TUSD CVA'!$AM$15)*1</f>
        <v>77.876201961015255</v>
      </c>
      <c r="AA526" s="6">
        <f>('TE BE'!$AB$7+'TE BF'!$AB$7+'TE CVA'!$AB$7)*1</f>
        <v>360.26029187567116</v>
      </c>
      <c r="AB526" s="6">
        <f>$K$526*$V$526</f>
        <v>16583.7</v>
      </c>
      <c r="AC526" s="6">
        <f>$M$526*$W$526</f>
        <v>825.92399999999998</v>
      </c>
      <c r="AD526" s="6">
        <f>$O$526*$X$526</f>
        <v>5248.5839999999998</v>
      </c>
      <c r="AE526" s="6">
        <f ca="1">$K$526*$Y$526</f>
        <v>16610.30813039259</v>
      </c>
      <c r="AF526" s="6">
        <f ca="1">$M$526*$Z$526</f>
        <v>1027.9658658854014</v>
      </c>
      <c r="AG526" s="6">
        <f>$O$526*$AA$526</f>
        <v>4755.4358527588593</v>
      </c>
    </row>
    <row r="527" spans="1:33" ht="11.25" customHeight="1" x14ac:dyDescent="0.25">
      <c r="A527" s="4" t="s">
        <v>28</v>
      </c>
      <c r="B527" s="4" t="s">
        <v>41</v>
      </c>
      <c r="C527" s="4" t="s">
        <v>40</v>
      </c>
      <c r="D527" s="4" t="s">
        <v>46</v>
      </c>
      <c r="E527" s="4" t="s">
        <v>25</v>
      </c>
      <c r="F527" s="4" t="s">
        <v>25</v>
      </c>
      <c r="G527" s="4" t="s">
        <v>25</v>
      </c>
      <c r="H527" s="4" t="s">
        <v>34</v>
      </c>
      <c r="I527" s="5">
        <v>44440</v>
      </c>
      <c r="J527" s="6">
        <v>3396</v>
      </c>
      <c r="K527" s="6">
        <v>3396</v>
      </c>
      <c r="L527" s="6">
        <v>67.055999999999997</v>
      </c>
      <c r="M527" s="6">
        <v>67.055999999999997</v>
      </c>
      <c r="N527" s="6">
        <v>67.055999999999997</v>
      </c>
      <c r="O527" s="6">
        <v>67.055999999999997</v>
      </c>
      <c r="P527" s="6">
        <v>0</v>
      </c>
      <c r="Q527" s="4" t="s">
        <v>26</v>
      </c>
      <c r="R527" s="4">
        <v>0</v>
      </c>
      <c r="S527" s="6">
        <v>18</v>
      </c>
      <c r="T527" s="6">
        <v>22</v>
      </c>
      <c r="U527" s="6">
        <v>66</v>
      </c>
      <c r="V527" s="6">
        <f>IF(ISERROR(VLOOKUP($S$527,'TAR FIN'!$A$1:$O$104,15,0)),0,VLOOKUP($S$527,'TAR FIN'!$A$1:$O$104,15,0))</f>
        <v>52.15</v>
      </c>
      <c r="W527" s="6">
        <f>IF(ISERROR(VLOOKUP($T$527,'TAR FIN'!$A$1:$O$104,15,0)),0,VLOOKUP($T$527,'TAR FIN'!$A$1:$O$104,15,0))</f>
        <v>62.57</v>
      </c>
      <c r="X527" s="6">
        <f>IF(ISERROR(VLOOKUP($U$527,'TAR FIN'!$A$1:$O$104,15,0)),0,VLOOKUP($U$527,'TAR FIN'!$A$1:$O$104,15,0))</f>
        <v>397.62</v>
      </c>
      <c r="Y527" s="6">
        <f ca="1">('TUSD BE'!$AM$13+'TUSD BF'!$AM$13+'TUSD CVA'!$AM$13)*1</f>
        <v>52.233673366014429</v>
      </c>
      <c r="Z527" s="6">
        <f ca="1">('TUSD BE'!$AM$15+'TUSD BF'!$AM$15+'TUSD CVA'!$AM$15)*1</f>
        <v>77.876201961015255</v>
      </c>
      <c r="AA527" s="6">
        <f>('TE BE'!$AB$7+'TE BF'!$AB$7+'TE CVA'!$AB$7)*1</f>
        <v>360.26029187567116</v>
      </c>
      <c r="AB527" s="6">
        <f>$K$527*$V$527</f>
        <v>177101.4</v>
      </c>
      <c r="AC527" s="6">
        <f>$M$527*$W$527</f>
        <v>4195.6939199999997</v>
      </c>
      <c r="AD527" s="6">
        <f>$O$527*$X$527</f>
        <v>26662.80672</v>
      </c>
      <c r="AE527" s="6">
        <f ca="1">$K$527*$Y$527</f>
        <v>177385.554750985</v>
      </c>
      <c r="AF527" s="6">
        <f ca="1">$M$527*$Z$527</f>
        <v>5222.0665986978383</v>
      </c>
      <c r="AG527" s="6">
        <f>$O$527*$AA$527</f>
        <v>24157.614132015005</v>
      </c>
    </row>
    <row r="528" spans="1:33" ht="11.25" customHeight="1" x14ac:dyDescent="0.25">
      <c r="A528" s="4" t="s">
        <v>21</v>
      </c>
      <c r="B528" s="4" t="s">
        <v>41</v>
      </c>
      <c r="C528" s="4" t="s">
        <v>40</v>
      </c>
      <c r="D528" s="4" t="s">
        <v>46</v>
      </c>
      <c r="E528" s="4" t="s">
        <v>25</v>
      </c>
      <c r="F528" s="4" t="s">
        <v>25</v>
      </c>
      <c r="G528" s="4" t="s">
        <v>25</v>
      </c>
      <c r="H528" s="4" t="s">
        <v>34</v>
      </c>
      <c r="I528" s="5">
        <v>44470</v>
      </c>
      <c r="J528" s="6">
        <v>3169</v>
      </c>
      <c r="K528" s="6">
        <v>3169</v>
      </c>
      <c r="L528" s="6">
        <v>109.072</v>
      </c>
      <c r="M528" s="6">
        <v>109.072</v>
      </c>
      <c r="N528" s="6">
        <v>109.072</v>
      </c>
      <c r="O528" s="6">
        <v>109.072</v>
      </c>
      <c r="P528" s="6">
        <v>0</v>
      </c>
      <c r="Q528" s="4" t="s">
        <v>26</v>
      </c>
      <c r="R528" s="4">
        <v>0</v>
      </c>
      <c r="S528" s="6">
        <v>18</v>
      </c>
      <c r="T528" s="6">
        <v>22</v>
      </c>
      <c r="U528" s="6">
        <v>66</v>
      </c>
      <c r="V528" s="6">
        <f>IF(ISERROR(VLOOKUP($S$528,'TAR FIN'!$A$1:$O$104,15,0)),0,VLOOKUP($S$528,'TAR FIN'!$A$1:$O$104,15,0))</f>
        <v>52.15</v>
      </c>
      <c r="W528" s="6">
        <f>IF(ISERROR(VLOOKUP($T$528,'TAR FIN'!$A$1:$O$104,15,0)),0,VLOOKUP($T$528,'TAR FIN'!$A$1:$O$104,15,0))</f>
        <v>62.57</v>
      </c>
      <c r="X528" s="6">
        <f>IF(ISERROR(VLOOKUP($U$528,'TAR FIN'!$A$1:$O$104,15,0)),0,VLOOKUP($U$528,'TAR FIN'!$A$1:$O$104,15,0))</f>
        <v>397.62</v>
      </c>
      <c r="Y528" s="6">
        <f ca="1">('TUSD BE'!$AM$13+'TUSD BF'!$AM$13+'TUSD CVA'!$AM$13)*1</f>
        <v>52.233673366014429</v>
      </c>
      <c r="Z528" s="6">
        <f ca="1">('TUSD BE'!$AM$15+'TUSD BF'!$AM$15+'TUSD CVA'!$AM$15)*1</f>
        <v>77.876201961015255</v>
      </c>
      <c r="AA528" s="6">
        <f>('TE BE'!$AB$7+'TE BF'!$AB$7+'TE CVA'!$AB$7)*1</f>
        <v>360.26029187567116</v>
      </c>
      <c r="AB528" s="6">
        <f>$K$528*$V$528</f>
        <v>165263.35</v>
      </c>
      <c r="AC528" s="6">
        <f>$M$528*$W$528</f>
        <v>6824.6350400000001</v>
      </c>
      <c r="AD528" s="6">
        <f>$O$528*$X$528</f>
        <v>43369.208640000004</v>
      </c>
      <c r="AE528" s="6">
        <f ca="1">$K$528*$Y$528</f>
        <v>165528.51089689974</v>
      </c>
      <c r="AF528" s="6">
        <f ca="1">$M$528*$Z$528</f>
        <v>8494.1131002918555</v>
      </c>
      <c r="AG528" s="6">
        <f>$O$528*$AA$528</f>
        <v>39294.310555463206</v>
      </c>
    </row>
    <row r="529" spans="1:33" ht="11.25" customHeight="1" x14ac:dyDescent="0.25">
      <c r="A529" s="4" t="s">
        <v>28</v>
      </c>
      <c r="B529" s="4" t="s">
        <v>41</v>
      </c>
      <c r="C529" s="4" t="s">
        <v>40</v>
      </c>
      <c r="D529" s="4" t="s">
        <v>46</v>
      </c>
      <c r="E529" s="4" t="s">
        <v>25</v>
      </c>
      <c r="F529" s="4" t="s">
        <v>25</v>
      </c>
      <c r="G529" s="4" t="s">
        <v>25</v>
      </c>
      <c r="H529" s="4" t="s">
        <v>34</v>
      </c>
      <c r="I529" s="5">
        <v>44470</v>
      </c>
      <c r="J529" s="6">
        <v>3396</v>
      </c>
      <c r="K529" s="6">
        <v>3396</v>
      </c>
      <c r="L529" s="6">
        <v>56.101999999999997</v>
      </c>
      <c r="M529" s="6">
        <v>56.101999999999997</v>
      </c>
      <c r="N529" s="6">
        <v>56.101999999999997</v>
      </c>
      <c r="O529" s="6">
        <v>56.101999999999997</v>
      </c>
      <c r="P529" s="6">
        <v>0</v>
      </c>
      <c r="Q529" s="4" t="s">
        <v>26</v>
      </c>
      <c r="R529" s="4">
        <v>0</v>
      </c>
      <c r="S529" s="6">
        <v>18</v>
      </c>
      <c r="T529" s="6">
        <v>22</v>
      </c>
      <c r="U529" s="6">
        <v>66</v>
      </c>
      <c r="V529" s="6">
        <f>IF(ISERROR(VLOOKUP($S$529,'TAR FIN'!$A$1:$O$104,15,0)),0,VLOOKUP($S$529,'TAR FIN'!$A$1:$O$104,15,0))</f>
        <v>52.15</v>
      </c>
      <c r="W529" s="6">
        <f>IF(ISERROR(VLOOKUP($T$529,'TAR FIN'!$A$1:$O$104,15,0)),0,VLOOKUP($T$529,'TAR FIN'!$A$1:$O$104,15,0))</f>
        <v>62.57</v>
      </c>
      <c r="X529" s="6">
        <f>IF(ISERROR(VLOOKUP($U$529,'TAR FIN'!$A$1:$O$104,15,0)),0,VLOOKUP($U$529,'TAR FIN'!$A$1:$O$104,15,0))</f>
        <v>397.62</v>
      </c>
      <c r="Y529" s="6">
        <f ca="1">('TUSD BE'!$AM$13+'TUSD BF'!$AM$13+'TUSD CVA'!$AM$13)*1</f>
        <v>52.233673366014429</v>
      </c>
      <c r="Z529" s="6">
        <f ca="1">('TUSD BE'!$AM$15+'TUSD BF'!$AM$15+'TUSD CVA'!$AM$15)*1</f>
        <v>77.876201961015255</v>
      </c>
      <c r="AA529" s="6">
        <f>('TE BE'!$AB$7+'TE BF'!$AB$7+'TE CVA'!$AB$7)*1</f>
        <v>360.26029187567116</v>
      </c>
      <c r="AB529" s="6">
        <f>$K$529*$V$529</f>
        <v>177101.4</v>
      </c>
      <c r="AC529" s="6">
        <f>$M$529*$W$529</f>
        <v>3510.3021399999998</v>
      </c>
      <c r="AD529" s="6">
        <f>$O$529*$X$529</f>
        <v>22307.277239999999</v>
      </c>
      <c r="AE529" s="6">
        <f ca="1">$K$529*$Y$529</f>
        <v>177385.554750985</v>
      </c>
      <c r="AF529" s="6">
        <f ca="1">$M$529*$Z$529</f>
        <v>4369.0106824168779</v>
      </c>
      <c r="AG529" s="6">
        <f>$O$529*$AA$529</f>
        <v>20211.322894808902</v>
      </c>
    </row>
    <row r="530" spans="1:33" ht="11.25" customHeight="1" x14ac:dyDescent="0.25">
      <c r="A530" s="4" t="s">
        <v>21</v>
      </c>
      <c r="B530" s="4" t="s">
        <v>41</v>
      </c>
      <c r="C530" s="4" t="s">
        <v>40</v>
      </c>
      <c r="D530" s="4" t="s">
        <v>46</v>
      </c>
      <c r="E530" s="4" t="s">
        <v>25</v>
      </c>
      <c r="F530" s="4" t="s">
        <v>25</v>
      </c>
      <c r="G530" s="4" t="s">
        <v>25</v>
      </c>
      <c r="H530" s="4" t="s">
        <v>34</v>
      </c>
      <c r="I530" s="5">
        <v>44501</v>
      </c>
      <c r="J530" s="6">
        <v>3038</v>
      </c>
      <c r="K530" s="6">
        <v>3038</v>
      </c>
      <c r="L530" s="6">
        <v>96.266000000000005</v>
      </c>
      <c r="M530" s="6">
        <v>96.266000000000005</v>
      </c>
      <c r="N530" s="6">
        <v>96.266000000000005</v>
      </c>
      <c r="O530" s="6">
        <v>96.266000000000005</v>
      </c>
      <c r="P530" s="6">
        <v>0</v>
      </c>
      <c r="Q530" s="4" t="s">
        <v>26</v>
      </c>
      <c r="R530" s="4">
        <v>0</v>
      </c>
      <c r="S530" s="6">
        <v>18</v>
      </c>
      <c r="T530" s="6">
        <v>22</v>
      </c>
      <c r="U530" s="6">
        <v>66</v>
      </c>
      <c r="V530" s="6">
        <f>IF(ISERROR(VLOOKUP($S$530,'TAR FIN'!$A$1:$O$104,15,0)),0,VLOOKUP($S$530,'TAR FIN'!$A$1:$O$104,15,0))</f>
        <v>52.15</v>
      </c>
      <c r="W530" s="6">
        <f>IF(ISERROR(VLOOKUP($T$530,'TAR FIN'!$A$1:$O$104,15,0)),0,VLOOKUP($T$530,'TAR FIN'!$A$1:$O$104,15,0))</f>
        <v>62.57</v>
      </c>
      <c r="X530" s="6">
        <f>IF(ISERROR(VLOOKUP($U$530,'TAR FIN'!$A$1:$O$104,15,0)),0,VLOOKUP($U$530,'TAR FIN'!$A$1:$O$104,15,0))</f>
        <v>397.62</v>
      </c>
      <c r="Y530" s="6">
        <f ca="1">('TUSD BE'!$AM$13+'TUSD BF'!$AM$13+'TUSD CVA'!$AM$13)*1</f>
        <v>52.233673366014429</v>
      </c>
      <c r="Z530" s="6">
        <f ca="1">('TUSD BE'!$AM$15+'TUSD BF'!$AM$15+'TUSD CVA'!$AM$15)*1</f>
        <v>77.876201961015255</v>
      </c>
      <c r="AA530" s="6">
        <f>('TE BE'!$AB$7+'TE BF'!$AB$7+'TE CVA'!$AB$7)*1</f>
        <v>360.26029187567116</v>
      </c>
      <c r="AB530" s="6">
        <f>$K$530*$V$530</f>
        <v>158431.69999999998</v>
      </c>
      <c r="AC530" s="6">
        <f>$M$530*$W$530</f>
        <v>6023.3636200000001</v>
      </c>
      <c r="AD530" s="6">
        <f>$O$530*$X$530</f>
        <v>38277.286920000006</v>
      </c>
      <c r="AE530" s="6">
        <f ca="1">$K$530*$Y$530</f>
        <v>158685.89968595182</v>
      </c>
      <c r="AF530" s="6">
        <f ca="1">$M$530*$Z$530</f>
        <v>7496.8304579790947</v>
      </c>
      <c r="AG530" s="6">
        <f>$O$530*$AA$530</f>
        <v>34680.817257703362</v>
      </c>
    </row>
    <row r="531" spans="1:33" ht="11.25" customHeight="1" x14ac:dyDescent="0.25">
      <c r="A531" s="4" t="s">
        <v>28</v>
      </c>
      <c r="B531" s="4" t="s">
        <v>41</v>
      </c>
      <c r="C531" s="4" t="s">
        <v>40</v>
      </c>
      <c r="D531" s="4" t="s">
        <v>46</v>
      </c>
      <c r="E531" s="4" t="s">
        <v>25</v>
      </c>
      <c r="F531" s="4" t="s">
        <v>25</v>
      </c>
      <c r="G531" s="4" t="s">
        <v>25</v>
      </c>
      <c r="H531" s="4" t="s">
        <v>34</v>
      </c>
      <c r="I531" s="5">
        <v>44501</v>
      </c>
      <c r="J531" s="6">
        <v>3396</v>
      </c>
      <c r="K531" s="6">
        <v>3396</v>
      </c>
      <c r="L531" s="6">
        <v>60.844000000000001</v>
      </c>
      <c r="M531" s="6">
        <v>60.844000000000001</v>
      </c>
      <c r="N531" s="6">
        <v>60.844000000000001</v>
      </c>
      <c r="O531" s="6">
        <v>60.844000000000001</v>
      </c>
      <c r="P531" s="6">
        <v>0</v>
      </c>
      <c r="Q531" s="4" t="s">
        <v>26</v>
      </c>
      <c r="R531" s="4">
        <v>0</v>
      </c>
      <c r="S531" s="6">
        <v>18</v>
      </c>
      <c r="T531" s="6">
        <v>22</v>
      </c>
      <c r="U531" s="6">
        <v>66</v>
      </c>
      <c r="V531" s="6">
        <f>IF(ISERROR(VLOOKUP($S$531,'TAR FIN'!$A$1:$O$104,15,0)),0,VLOOKUP($S$531,'TAR FIN'!$A$1:$O$104,15,0))</f>
        <v>52.15</v>
      </c>
      <c r="W531" s="6">
        <f>IF(ISERROR(VLOOKUP($T$531,'TAR FIN'!$A$1:$O$104,15,0)),0,VLOOKUP($T$531,'TAR FIN'!$A$1:$O$104,15,0))</f>
        <v>62.57</v>
      </c>
      <c r="X531" s="6">
        <f>IF(ISERROR(VLOOKUP($U$531,'TAR FIN'!$A$1:$O$104,15,0)),0,VLOOKUP($U$531,'TAR FIN'!$A$1:$O$104,15,0))</f>
        <v>397.62</v>
      </c>
      <c r="Y531" s="6">
        <f ca="1">('TUSD BE'!$AM$13+'TUSD BF'!$AM$13+'TUSD CVA'!$AM$13)*1</f>
        <v>52.233673366014429</v>
      </c>
      <c r="Z531" s="6">
        <f ca="1">('TUSD BE'!$AM$15+'TUSD BF'!$AM$15+'TUSD CVA'!$AM$15)*1</f>
        <v>77.876201961015255</v>
      </c>
      <c r="AA531" s="6">
        <f>('TE BE'!$AB$7+'TE BF'!$AB$7+'TE CVA'!$AB$7)*1</f>
        <v>360.26029187567116</v>
      </c>
      <c r="AB531" s="6">
        <f>$K$531*$V$531</f>
        <v>177101.4</v>
      </c>
      <c r="AC531" s="6">
        <f>$M$531*$W$531</f>
        <v>3807.0090800000003</v>
      </c>
      <c r="AD531" s="6">
        <f>$O$531*$X$531</f>
        <v>24192.791280000001</v>
      </c>
      <c r="AE531" s="6">
        <f ca="1">$K$531*$Y$531</f>
        <v>177385.554750985</v>
      </c>
      <c r="AF531" s="6">
        <f ca="1">$M$531*$Z$531</f>
        <v>4738.2996321160126</v>
      </c>
      <c r="AG531" s="6">
        <f>$O$531*$AA$531</f>
        <v>21919.677198883335</v>
      </c>
    </row>
    <row r="532" spans="1:33" ht="11.25" customHeight="1" x14ac:dyDescent="0.25">
      <c r="A532" s="4" t="s">
        <v>21</v>
      </c>
      <c r="B532" s="4" t="s">
        <v>41</v>
      </c>
      <c r="C532" s="4" t="s">
        <v>40</v>
      </c>
      <c r="D532" s="4" t="s">
        <v>46</v>
      </c>
      <c r="E532" s="4" t="s">
        <v>25</v>
      </c>
      <c r="F532" s="4" t="s">
        <v>25</v>
      </c>
      <c r="G532" s="4" t="s">
        <v>25</v>
      </c>
      <c r="H532" s="4" t="s">
        <v>34</v>
      </c>
      <c r="I532" s="5">
        <v>44531</v>
      </c>
      <c r="J532" s="6">
        <v>2986</v>
      </c>
      <c r="K532" s="6">
        <v>2986</v>
      </c>
      <c r="L532" s="6">
        <v>109.33499999999999</v>
      </c>
      <c r="M532" s="6">
        <v>109.33499999999999</v>
      </c>
      <c r="N532" s="6">
        <v>109.33499999999999</v>
      </c>
      <c r="O532" s="6">
        <v>109.33499999999999</v>
      </c>
      <c r="P532" s="6">
        <v>0</v>
      </c>
      <c r="Q532" s="4" t="s">
        <v>26</v>
      </c>
      <c r="R532" s="4">
        <v>0</v>
      </c>
      <c r="S532" s="6">
        <v>18</v>
      </c>
      <c r="T532" s="6">
        <v>22</v>
      </c>
      <c r="U532" s="6">
        <v>66</v>
      </c>
      <c r="V532" s="6">
        <f>IF(ISERROR(VLOOKUP($S$532,'TAR FIN'!$A$1:$O$104,15,0)),0,VLOOKUP($S$532,'TAR FIN'!$A$1:$O$104,15,0))</f>
        <v>52.15</v>
      </c>
      <c r="W532" s="6">
        <f>IF(ISERROR(VLOOKUP($T$532,'TAR FIN'!$A$1:$O$104,15,0)),0,VLOOKUP($T$532,'TAR FIN'!$A$1:$O$104,15,0))</f>
        <v>62.57</v>
      </c>
      <c r="X532" s="6">
        <f>IF(ISERROR(VLOOKUP($U$532,'TAR FIN'!$A$1:$O$104,15,0)),0,VLOOKUP($U$532,'TAR FIN'!$A$1:$O$104,15,0))</f>
        <v>397.62</v>
      </c>
      <c r="Y532" s="6">
        <f ca="1">('TUSD BE'!$AM$13+'TUSD BF'!$AM$13+'TUSD CVA'!$AM$13)*1</f>
        <v>52.233673366014429</v>
      </c>
      <c r="Z532" s="6">
        <f ca="1">('TUSD BE'!$AM$15+'TUSD BF'!$AM$15+'TUSD CVA'!$AM$15)*1</f>
        <v>77.876201961015255</v>
      </c>
      <c r="AA532" s="6">
        <f>('TE BE'!$AB$7+'TE BF'!$AB$7+'TE CVA'!$AB$7)*1</f>
        <v>360.26029187567116</v>
      </c>
      <c r="AB532" s="6">
        <f>$K$532*$V$532</f>
        <v>155719.9</v>
      </c>
      <c r="AC532" s="6">
        <f>$M$532*$W$532</f>
        <v>6841.0909499999998</v>
      </c>
      <c r="AD532" s="6">
        <f>$O$532*$X$532</f>
        <v>43473.782699999996</v>
      </c>
      <c r="AE532" s="6">
        <f ca="1">$K$532*$Y$532</f>
        <v>155969.74867091907</v>
      </c>
      <c r="AF532" s="6">
        <f ca="1">$M$532*$Z$532</f>
        <v>8514.5945414076032</v>
      </c>
      <c r="AG532" s="6">
        <f>$O$532*$AA$532</f>
        <v>39389.059012226506</v>
      </c>
    </row>
    <row r="533" spans="1:33" ht="11.25" customHeight="1" x14ac:dyDescent="0.25">
      <c r="A533" s="4" t="s">
        <v>28</v>
      </c>
      <c r="B533" s="4" t="s">
        <v>41</v>
      </c>
      <c r="C533" s="4" t="s">
        <v>40</v>
      </c>
      <c r="D533" s="4" t="s">
        <v>46</v>
      </c>
      <c r="E533" s="4" t="s">
        <v>25</v>
      </c>
      <c r="F533" s="4" t="s">
        <v>25</v>
      </c>
      <c r="G533" s="4" t="s">
        <v>25</v>
      </c>
      <c r="H533" s="4" t="s">
        <v>34</v>
      </c>
      <c r="I533" s="5">
        <v>44531</v>
      </c>
      <c r="J533" s="6">
        <v>3396</v>
      </c>
      <c r="K533" s="6">
        <v>3396</v>
      </c>
      <c r="L533" s="6">
        <v>68.367999999999995</v>
      </c>
      <c r="M533" s="6">
        <v>68.367999999999995</v>
      </c>
      <c r="N533" s="6">
        <v>68.367999999999995</v>
      </c>
      <c r="O533" s="6">
        <v>68.367999999999995</v>
      </c>
      <c r="P533" s="6">
        <v>0</v>
      </c>
      <c r="Q533" s="4" t="s">
        <v>26</v>
      </c>
      <c r="R533" s="4">
        <v>0</v>
      </c>
      <c r="S533" s="6">
        <v>18</v>
      </c>
      <c r="T533" s="6">
        <v>22</v>
      </c>
      <c r="U533" s="6">
        <v>66</v>
      </c>
      <c r="V533" s="6">
        <f>IF(ISERROR(VLOOKUP($S$533,'TAR FIN'!$A$1:$O$104,15,0)),0,VLOOKUP($S$533,'TAR FIN'!$A$1:$O$104,15,0))</f>
        <v>52.15</v>
      </c>
      <c r="W533" s="6">
        <f>IF(ISERROR(VLOOKUP($T$533,'TAR FIN'!$A$1:$O$104,15,0)),0,VLOOKUP($T$533,'TAR FIN'!$A$1:$O$104,15,0))</f>
        <v>62.57</v>
      </c>
      <c r="X533" s="6">
        <f>IF(ISERROR(VLOOKUP($U$533,'TAR FIN'!$A$1:$O$104,15,0)),0,VLOOKUP($U$533,'TAR FIN'!$A$1:$O$104,15,0))</f>
        <v>397.62</v>
      </c>
      <c r="Y533" s="6">
        <f ca="1">('TUSD BE'!$AM$13+'TUSD BF'!$AM$13+'TUSD CVA'!$AM$13)*1</f>
        <v>52.233673366014429</v>
      </c>
      <c r="Z533" s="6">
        <f ca="1">('TUSD BE'!$AM$15+'TUSD BF'!$AM$15+'TUSD CVA'!$AM$15)*1</f>
        <v>77.876201961015255</v>
      </c>
      <c r="AA533" s="6">
        <f>('TE BE'!$AB$7+'TE BF'!$AB$7+'TE CVA'!$AB$7)*1</f>
        <v>360.26029187567116</v>
      </c>
      <c r="AB533" s="6">
        <f>$K$533*$V$533</f>
        <v>177101.4</v>
      </c>
      <c r="AC533" s="6">
        <f>$M$533*$W$533</f>
        <v>4277.7857599999998</v>
      </c>
      <c r="AD533" s="6">
        <f>$O$533*$X$533</f>
        <v>27184.48416</v>
      </c>
      <c r="AE533" s="6">
        <f ca="1">$K$533*$Y$533</f>
        <v>177385.554750985</v>
      </c>
      <c r="AF533" s="6">
        <f ca="1">$M$533*$Z$533</f>
        <v>5324.2401756706904</v>
      </c>
      <c r="AG533" s="6">
        <f>$O$533*$AA$533</f>
        <v>24630.275634955884</v>
      </c>
    </row>
    <row r="534" spans="1:33" ht="11.25" customHeight="1" x14ac:dyDescent="0.25">
      <c r="A534" s="4" t="s">
        <v>21</v>
      </c>
      <c r="B534" s="4" t="s">
        <v>41</v>
      </c>
      <c r="C534" s="4" t="s">
        <v>40</v>
      </c>
      <c r="D534" s="4" t="s">
        <v>46</v>
      </c>
      <c r="E534" s="4" t="s">
        <v>25</v>
      </c>
      <c r="F534" s="4" t="s">
        <v>25</v>
      </c>
      <c r="G534" s="4" t="s">
        <v>25</v>
      </c>
      <c r="H534" s="4" t="s">
        <v>34</v>
      </c>
      <c r="I534" s="5">
        <v>44562</v>
      </c>
      <c r="J534" s="6">
        <v>2928</v>
      </c>
      <c r="K534" s="6">
        <v>2928</v>
      </c>
      <c r="L534" s="6">
        <v>98.435000000000002</v>
      </c>
      <c r="M534" s="6">
        <v>98.435000000000002</v>
      </c>
      <c r="N534" s="6">
        <v>98.435000000000002</v>
      </c>
      <c r="O534" s="6">
        <v>98.435000000000002</v>
      </c>
      <c r="P534" s="6">
        <v>0</v>
      </c>
      <c r="Q534" s="4" t="s">
        <v>26</v>
      </c>
      <c r="R534" s="4">
        <v>0</v>
      </c>
      <c r="S534" s="6">
        <v>18</v>
      </c>
      <c r="T534" s="6">
        <v>22</v>
      </c>
      <c r="U534" s="6">
        <v>66</v>
      </c>
      <c r="V534" s="6">
        <f>IF(ISERROR(VLOOKUP($S$534,'TAR FIN'!$A$1:$O$104,15,0)),0,VLOOKUP($S$534,'TAR FIN'!$A$1:$O$104,15,0))</f>
        <v>52.15</v>
      </c>
      <c r="W534" s="6">
        <f>IF(ISERROR(VLOOKUP($T$534,'TAR FIN'!$A$1:$O$104,15,0)),0,VLOOKUP($T$534,'TAR FIN'!$A$1:$O$104,15,0))</f>
        <v>62.57</v>
      </c>
      <c r="X534" s="6">
        <f>IF(ISERROR(VLOOKUP($U$534,'TAR FIN'!$A$1:$O$104,15,0)),0,VLOOKUP($U$534,'TAR FIN'!$A$1:$O$104,15,0))</f>
        <v>397.62</v>
      </c>
      <c r="Y534" s="6">
        <f ca="1">('TUSD BE'!$AM$13+'TUSD BF'!$AM$13+'TUSD CVA'!$AM$13)*1</f>
        <v>52.233673366014429</v>
      </c>
      <c r="Z534" s="6">
        <f ca="1">('TUSD BE'!$AM$15+'TUSD BF'!$AM$15+'TUSD CVA'!$AM$15)*1</f>
        <v>77.876201961015255</v>
      </c>
      <c r="AA534" s="6">
        <f>('TE BE'!$AB$7+'TE BF'!$AB$7+'TE CVA'!$AB$7)*1</f>
        <v>360.26029187567116</v>
      </c>
      <c r="AB534" s="6">
        <f>$K$534*$V$534</f>
        <v>152695.19999999998</v>
      </c>
      <c r="AC534" s="6">
        <f>$M$534*$W$534</f>
        <v>6159.0779499999999</v>
      </c>
      <c r="AD534" s="6">
        <f>$O$534*$X$534</f>
        <v>39139.724699999999</v>
      </c>
      <c r="AE534" s="6">
        <f ca="1">$K$534*$Y$534</f>
        <v>152940.19561569026</v>
      </c>
      <c r="AF534" s="6">
        <f ca="1">$M$534*$Z$534</f>
        <v>7665.7439400325366</v>
      </c>
      <c r="AG534" s="6">
        <f>$O$534*$AA$534</f>
        <v>35462.221830781695</v>
      </c>
    </row>
    <row r="535" spans="1:33" ht="11.25" customHeight="1" x14ac:dyDescent="0.25">
      <c r="A535" s="4" t="s">
        <v>28</v>
      </c>
      <c r="B535" s="4" t="s">
        <v>41</v>
      </c>
      <c r="C535" s="4" t="s">
        <v>40</v>
      </c>
      <c r="D535" s="4" t="s">
        <v>46</v>
      </c>
      <c r="E535" s="4" t="s">
        <v>25</v>
      </c>
      <c r="F535" s="4" t="s">
        <v>25</v>
      </c>
      <c r="G535" s="4" t="s">
        <v>25</v>
      </c>
      <c r="H535" s="4" t="s">
        <v>34</v>
      </c>
      <c r="I535" s="5">
        <v>44562</v>
      </c>
      <c r="J535" s="6">
        <v>3396</v>
      </c>
      <c r="K535" s="6">
        <v>3396</v>
      </c>
      <c r="L535" s="6">
        <v>55.548000000000002</v>
      </c>
      <c r="M535" s="6">
        <v>55.548000000000002</v>
      </c>
      <c r="N535" s="6">
        <v>55.548000000000002</v>
      </c>
      <c r="O535" s="6">
        <v>55.548000000000002</v>
      </c>
      <c r="P535" s="6">
        <v>0</v>
      </c>
      <c r="Q535" s="4" t="s">
        <v>26</v>
      </c>
      <c r="R535" s="4">
        <v>0</v>
      </c>
      <c r="S535" s="6">
        <v>18</v>
      </c>
      <c r="T535" s="6">
        <v>22</v>
      </c>
      <c r="U535" s="6">
        <v>66</v>
      </c>
      <c r="V535" s="6">
        <f>IF(ISERROR(VLOOKUP($S$535,'TAR FIN'!$A$1:$O$104,15,0)),0,VLOOKUP($S$535,'TAR FIN'!$A$1:$O$104,15,0))</f>
        <v>52.15</v>
      </c>
      <c r="W535" s="6">
        <f>IF(ISERROR(VLOOKUP($T$535,'TAR FIN'!$A$1:$O$104,15,0)),0,VLOOKUP($T$535,'TAR FIN'!$A$1:$O$104,15,0))</f>
        <v>62.57</v>
      </c>
      <c r="X535" s="6">
        <f>IF(ISERROR(VLOOKUP($U$535,'TAR FIN'!$A$1:$O$104,15,0)),0,VLOOKUP($U$535,'TAR FIN'!$A$1:$O$104,15,0))</f>
        <v>397.62</v>
      </c>
      <c r="Y535" s="6">
        <f ca="1">('TUSD BE'!$AM$13+'TUSD BF'!$AM$13+'TUSD CVA'!$AM$13)*1</f>
        <v>52.233673366014429</v>
      </c>
      <c r="Z535" s="6">
        <f ca="1">('TUSD BE'!$AM$15+'TUSD BF'!$AM$15+'TUSD CVA'!$AM$15)*1</f>
        <v>77.876201961015255</v>
      </c>
      <c r="AA535" s="6">
        <f>('TE BE'!$AB$7+'TE BF'!$AB$7+'TE CVA'!$AB$7)*1</f>
        <v>360.26029187567116</v>
      </c>
      <c r="AB535" s="6">
        <f>$K$535*$V$535</f>
        <v>177101.4</v>
      </c>
      <c r="AC535" s="6">
        <f>$M$535*$W$535</f>
        <v>3475.6383599999999</v>
      </c>
      <c r="AD535" s="6">
        <f>$O$535*$X$535</f>
        <v>22086.995760000002</v>
      </c>
      <c r="AE535" s="6">
        <f ca="1">$K$535*$Y$535</f>
        <v>177385.554750985</v>
      </c>
      <c r="AF535" s="6">
        <f ca="1">$M$535*$Z$535</f>
        <v>4325.8672665304757</v>
      </c>
      <c r="AG535" s="6">
        <f>$O$535*$AA$535</f>
        <v>20011.738693109783</v>
      </c>
    </row>
    <row r="536" spans="1:33" ht="11.25" customHeight="1" x14ac:dyDescent="0.25">
      <c r="A536" s="4" t="s">
        <v>21</v>
      </c>
      <c r="B536" s="4" t="s">
        <v>41</v>
      </c>
      <c r="C536" s="4" t="s">
        <v>40</v>
      </c>
      <c r="D536" s="4" t="s">
        <v>46</v>
      </c>
      <c r="E536" s="4" t="s">
        <v>25</v>
      </c>
      <c r="F536" s="4" t="s">
        <v>25</v>
      </c>
      <c r="G536" s="4" t="s">
        <v>25</v>
      </c>
      <c r="H536" s="4" t="s">
        <v>34</v>
      </c>
      <c r="I536" s="5">
        <v>44593</v>
      </c>
      <c r="J536" s="6">
        <v>3389</v>
      </c>
      <c r="K536" s="6">
        <v>3389</v>
      </c>
      <c r="L536" s="6">
        <v>119.373</v>
      </c>
      <c r="M536" s="6">
        <v>119.373</v>
      </c>
      <c r="N536" s="6">
        <v>119.373</v>
      </c>
      <c r="O536" s="6">
        <v>119.373</v>
      </c>
      <c r="P536" s="6">
        <v>0</v>
      </c>
      <c r="Q536" s="4" t="s">
        <v>26</v>
      </c>
      <c r="R536" s="4">
        <v>0</v>
      </c>
      <c r="S536" s="6">
        <v>18</v>
      </c>
      <c r="T536" s="6">
        <v>22</v>
      </c>
      <c r="U536" s="6">
        <v>66</v>
      </c>
      <c r="V536" s="6">
        <f>IF(ISERROR(VLOOKUP($S$536,'TAR FIN'!$A$1:$O$104,15,0)),0,VLOOKUP($S$536,'TAR FIN'!$A$1:$O$104,15,0))</f>
        <v>52.15</v>
      </c>
      <c r="W536" s="6">
        <f>IF(ISERROR(VLOOKUP($T$536,'TAR FIN'!$A$1:$O$104,15,0)),0,VLOOKUP($T$536,'TAR FIN'!$A$1:$O$104,15,0))</f>
        <v>62.57</v>
      </c>
      <c r="X536" s="6">
        <f>IF(ISERROR(VLOOKUP($U$536,'TAR FIN'!$A$1:$O$104,15,0)),0,VLOOKUP($U$536,'TAR FIN'!$A$1:$O$104,15,0))</f>
        <v>397.62</v>
      </c>
      <c r="Y536" s="6">
        <f ca="1">('TUSD BE'!$AM$13+'TUSD BF'!$AM$13+'TUSD CVA'!$AM$13)*1</f>
        <v>52.233673366014429</v>
      </c>
      <c r="Z536" s="6">
        <f ca="1">('TUSD BE'!$AM$15+'TUSD BF'!$AM$15+'TUSD CVA'!$AM$15)*1</f>
        <v>77.876201961015255</v>
      </c>
      <c r="AA536" s="6">
        <f>('TE BE'!$AB$7+'TE BF'!$AB$7+'TE CVA'!$AB$7)*1</f>
        <v>360.26029187567116</v>
      </c>
      <c r="AB536" s="6">
        <f>$K$536*$V$536</f>
        <v>176736.35</v>
      </c>
      <c r="AC536" s="6">
        <f>$M$536*$W$536</f>
        <v>7469.1686100000006</v>
      </c>
      <c r="AD536" s="6">
        <f>$O$536*$X$536</f>
        <v>47465.092260000005</v>
      </c>
      <c r="AE536" s="6">
        <f ca="1">$K$536*$Y$536</f>
        <v>177019.91903742289</v>
      </c>
      <c r="AF536" s="6">
        <f ca="1">$M$536*$Z$536</f>
        <v>9296.3158566922739</v>
      </c>
      <c r="AG536" s="6">
        <f>$O$536*$AA$536</f>
        <v>43005.351822074495</v>
      </c>
    </row>
    <row r="537" spans="1:33" ht="11.25" customHeight="1" x14ac:dyDescent="0.25">
      <c r="A537" s="4" t="s">
        <v>28</v>
      </c>
      <c r="B537" s="4" t="s">
        <v>41</v>
      </c>
      <c r="C537" s="4" t="s">
        <v>40</v>
      </c>
      <c r="D537" s="4" t="s">
        <v>46</v>
      </c>
      <c r="E537" s="4" t="s">
        <v>25</v>
      </c>
      <c r="F537" s="4" t="s">
        <v>25</v>
      </c>
      <c r="G537" s="4" t="s">
        <v>25</v>
      </c>
      <c r="H537" s="4" t="s">
        <v>34</v>
      </c>
      <c r="I537" s="5">
        <v>44593</v>
      </c>
      <c r="J537" s="6">
        <v>3396</v>
      </c>
      <c r="K537" s="6">
        <v>3396</v>
      </c>
      <c r="L537" s="6">
        <v>60.972000000000001</v>
      </c>
      <c r="M537" s="6">
        <v>60.972000000000001</v>
      </c>
      <c r="N537" s="6">
        <v>60.972000000000001</v>
      </c>
      <c r="O537" s="6">
        <v>60.972000000000001</v>
      </c>
      <c r="P537" s="6">
        <v>0</v>
      </c>
      <c r="Q537" s="4" t="s">
        <v>26</v>
      </c>
      <c r="R537" s="4">
        <v>0</v>
      </c>
      <c r="S537" s="6">
        <v>18</v>
      </c>
      <c r="T537" s="6">
        <v>22</v>
      </c>
      <c r="U537" s="6">
        <v>66</v>
      </c>
      <c r="V537" s="6">
        <f>IF(ISERROR(VLOOKUP($S$537,'TAR FIN'!$A$1:$O$104,15,0)),0,VLOOKUP($S$537,'TAR FIN'!$A$1:$O$104,15,0))</f>
        <v>52.15</v>
      </c>
      <c r="W537" s="6">
        <f>IF(ISERROR(VLOOKUP($T$537,'TAR FIN'!$A$1:$O$104,15,0)),0,VLOOKUP($T$537,'TAR FIN'!$A$1:$O$104,15,0))</f>
        <v>62.57</v>
      </c>
      <c r="X537" s="6">
        <f>IF(ISERROR(VLOOKUP($U$537,'TAR FIN'!$A$1:$O$104,15,0)),0,VLOOKUP($U$537,'TAR FIN'!$A$1:$O$104,15,0))</f>
        <v>397.62</v>
      </c>
      <c r="Y537" s="6">
        <f ca="1">('TUSD BE'!$AM$13+'TUSD BF'!$AM$13+'TUSD CVA'!$AM$13)*1</f>
        <v>52.233673366014429</v>
      </c>
      <c r="Z537" s="6">
        <f ca="1">('TUSD BE'!$AM$15+'TUSD BF'!$AM$15+'TUSD CVA'!$AM$15)*1</f>
        <v>77.876201961015255</v>
      </c>
      <c r="AA537" s="6">
        <f>('TE BE'!$AB$7+'TE BF'!$AB$7+'TE CVA'!$AB$7)*1</f>
        <v>360.26029187567116</v>
      </c>
      <c r="AB537" s="6">
        <f>$K$537*$V$537</f>
        <v>177101.4</v>
      </c>
      <c r="AC537" s="6">
        <f>$M$537*$W$537</f>
        <v>3815.0180399999999</v>
      </c>
      <c r="AD537" s="6">
        <f>$O$537*$X$537</f>
        <v>24243.68664</v>
      </c>
      <c r="AE537" s="6">
        <f ca="1">$K$537*$Y$537</f>
        <v>177385.554750985</v>
      </c>
      <c r="AF537" s="6">
        <f ca="1">$M$537*$Z$537</f>
        <v>4748.2677859670221</v>
      </c>
      <c r="AG537" s="6">
        <f>$O$537*$AA$537</f>
        <v>21965.790516243422</v>
      </c>
    </row>
    <row r="538" spans="1:33" ht="11.25" customHeight="1" x14ac:dyDescent="0.25">
      <c r="A538" s="4" t="s">
        <v>21</v>
      </c>
      <c r="B538" s="4" t="s">
        <v>41</v>
      </c>
      <c r="C538" s="4" t="s">
        <v>40</v>
      </c>
      <c r="D538" s="4" t="s">
        <v>46</v>
      </c>
      <c r="E538" s="4" t="s">
        <v>25</v>
      </c>
      <c r="F538" s="4" t="s">
        <v>25</v>
      </c>
      <c r="G538" s="4" t="s">
        <v>25</v>
      </c>
      <c r="H538" s="4" t="s">
        <v>34</v>
      </c>
      <c r="I538" s="5">
        <v>44621</v>
      </c>
      <c r="J538" s="6">
        <v>2967</v>
      </c>
      <c r="K538" s="6">
        <v>2967</v>
      </c>
      <c r="L538" s="6">
        <v>104.895</v>
      </c>
      <c r="M538" s="6">
        <v>104.895</v>
      </c>
      <c r="N538" s="6">
        <v>104.895</v>
      </c>
      <c r="O538" s="6">
        <v>104.895</v>
      </c>
      <c r="P538" s="6">
        <v>0</v>
      </c>
      <c r="Q538" s="4" t="s">
        <v>26</v>
      </c>
      <c r="R538" s="4">
        <v>0</v>
      </c>
      <c r="S538" s="6">
        <v>18</v>
      </c>
      <c r="T538" s="6">
        <v>22</v>
      </c>
      <c r="U538" s="6">
        <v>66</v>
      </c>
      <c r="V538" s="6">
        <f>IF(ISERROR(VLOOKUP($S$538,'TAR FIN'!$A$1:$O$104,15,0)),0,VLOOKUP($S$538,'TAR FIN'!$A$1:$O$104,15,0))</f>
        <v>52.15</v>
      </c>
      <c r="W538" s="6">
        <f>IF(ISERROR(VLOOKUP($T$538,'TAR FIN'!$A$1:$O$104,15,0)),0,VLOOKUP($T$538,'TAR FIN'!$A$1:$O$104,15,0))</f>
        <v>62.57</v>
      </c>
      <c r="X538" s="6">
        <f>IF(ISERROR(VLOOKUP($U$538,'TAR FIN'!$A$1:$O$104,15,0)),0,VLOOKUP($U$538,'TAR FIN'!$A$1:$O$104,15,0))</f>
        <v>397.62</v>
      </c>
      <c r="Y538" s="6">
        <f ca="1">('TUSD BE'!$AM$13+'TUSD BF'!$AM$13+'TUSD CVA'!$AM$13)*1</f>
        <v>52.233673366014429</v>
      </c>
      <c r="Z538" s="6">
        <f ca="1">('TUSD BE'!$AM$15+'TUSD BF'!$AM$15+'TUSD CVA'!$AM$15)*1</f>
        <v>77.876201961015255</v>
      </c>
      <c r="AA538" s="6">
        <f>('TE BE'!$AB$7+'TE BF'!$AB$7+'TE CVA'!$AB$7)*1</f>
        <v>360.26029187567116</v>
      </c>
      <c r="AB538" s="6">
        <f>$K$538*$V$538</f>
        <v>154729.04999999999</v>
      </c>
      <c r="AC538" s="6">
        <f>$M$538*$W$538</f>
        <v>6563.2801499999996</v>
      </c>
      <c r="AD538" s="6">
        <f>$O$538*$X$538</f>
        <v>41708.349900000001</v>
      </c>
      <c r="AE538" s="6">
        <f ca="1">$K$538*$Y$538</f>
        <v>154977.30887696482</v>
      </c>
      <c r="AF538" s="6">
        <f ca="1">$M$538*$Z$538</f>
        <v>8168.8242047006952</v>
      </c>
      <c r="AG538" s="6">
        <f>$O$538*$AA$538</f>
        <v>37789.503316298527</v>
      </c>
    </row>
    <row r="539" spans="1:33" ht="11.25" customHeight="1" x14ac:dyDescent="0.25">
      <c r="A539" s="4" t="s">
        <v>28</v>
      </c>
      <c r="B539" s="4" t="s">
        <v>41</v>
      </c>
      <c r="C539" s="4" t="s">
        <v>40</v>
      </c>
      <c r="D539" s="4" t="s">
        <v>46</v>
      </c>
      <c r="E539" s="4" t="s">
        <v>25</v>
      </c>
      <c r="F539" s="4" t="s">
        <v>25</v>
      </c>
      <c r="G539" s="4" t="s">
        <v>25</v>
      </c>
      <c r="H539" s="4" t="s">
        <v>34</v>
      </c>
      <c r="I539" s="5">
        <v>44621</v>
      </c>
      <c r="J539" s="6">
        <v>3396</v>
      </c>
      <c r="K539" s="6">
        <v>3396</v>
      </c>
      <c r="L539" s="6">
        <v>86.563999999999993</v>
      </c>
      <c r="M539" s="6">
        <v>86.563999999999993</v>
      </c>
      <c r="N539" s="6">
        <v>86.563999999999993</v>
      </c>
      <c r="O539" s="6">
        <v>86.563999999999993</v>
      </c>
      <c r="P539" s="6">
        <v>0</v>
      </c>
      <c r="Q539" s="4" t="s">
        <v>26</v>
      </c>
      <c r="R539" s="4">
        <v>0</v>
      </c>
      <c r="S539" s="6">
        <v>18</v>
      </c>
      <c r="T539" s="6">
        <v>22</v>
      </c>
      <c r="U539" s="6">
        <v>66</v>
      </c>
      <c r="V539" s="6">
        <f>IF(ISERROR(VLOOKUP($S$539,'TAR FIN'!$A$1:$O$104,15,0)),0,VLOOKUP($S$539,'TAR FIN'!$A$1:$O$104,15,0))</f>
        <v>52.15</v>
      </c>
      <c r="W539" s="6">
        <f>IF(ISERROR(VLOOKUP($T$539,'TAR FIN'!$A$1:$O$104,15,0)),0,VLOOKUP($T$539,'TAR FIN'!$A$1:$O$104,15,0))</f>
        <v>62.57</v>
      </c>
      <c r="X539" s="6">
        <f>IF(ISERROR(VLOOKUP($U$539,'TAR FIN'!$A$1:$O$104,15,0)),0,VLOOKUP($U$539,'TAR FIN'!$A$1:$O$104,15,0))</f>
        <v>397.62</v>
      </c>
      <c r="Y539" s="6">
        <f ca="1">('TUSD BE'!$AM$13+'TUSD BF'!$AM$13+'TUSD CVA'!$AM$13)*1</f>
        <v>52.233673366014429</v>
      </c>
      <c r="Z539" s="6">
        <f ca="1">('TUSD BE'!$AM$15+'TUSD BF'!$AM$15+'TUSD CVA'!$AM$15)*1</f>
        <v>77.876201961015255</v>
      </c>
      <c r="AA539" s="6">
        <f>('TE BE'!$AB$7+'TE BF'!$AB$7+'TE CVA'!$AB$7)*1</f>
        <v>360.26029187567116</v>
      </c>
      <c r="AB539" s="6">
        <f>$K$539*$V$539</f>
        <v>177101.4</v>
      </c>
      <c r="AC539" s="6">
        <f>$M$539*$W$539</f>
        <v>5416.3094799999999</v>
      </c>
      <c r="AD539" s="6">
        <f>$O$539*$X$539</f>
        <v>34419.577679999995</v>
      </c>
      <c r="AE539" s="6">
        <f ca="1">$K$539*$Y$539</f>
        <v>177385.554750985</v>
      </c>
      <c r="AF539" s="6">
        <f ca="1">$M$539*$Z$539</f>
        <v>6741.2755465533237</v>
      </c>
      <c r="AG539" s="6">
        <f>$O$539*$AA$539</f>
        <v>31185.571905925597</v>
      </c>
    </row>
    <row r="540" spans="1:33" ht="11.25" customHeight="1" x14ac:dyDescent="0.25">
      <c r="A540" s="4" t="s">
        <v>21</v>
      </c>
      <c r="B540" s="4" t="s">
        <v>41</v>
      </c>
      <c r="C540" s="4" t="s">
        <v>40</v>
      </c>
      <c r="D540" s="4" t="s">
        <v>46</v>
      </c>
      <c r="E540" s="4" t="s">
        <v>25</v>
      </c>
      <c r="F540" s="4" t="s">
        <v>25</v>
      </c>
      <c r="G540" s="4" t="s">
        <v>25</v>
      </c>
      <c r="H540" s="4" t="s">
        <v>34</v>
      </c>
      <c r="I540" s="5">
        <v>44652</v>
      </c>
      <c r="J540" s="6">
        <v>2971</v>
      </c>
      <c r="K540" s="6">
        <v>2971</v>
      </c>
      <c r="L540" s="6">
        <v>91.233999999999995</v>
      </c>
      <c r="M540" s="6">
        <v>91.233999999999995</v>
      </c>
      <c r="N540" s="6">
        <v>91.233999999999995</v>
      </c>
      <c r="O540" s="6">
        <v>91.233999999999995</v>
      </c>
      <c r="P540" s="6">
        <v>0</v>
      </c>
      <c r="Q540" s="4" t="s">
        <v>26</v>
      </c>
      <c r="R540" s="4">
        <v>0</v>
      </c>
      <c r="S540" s="6">
        <v>18</v>
      </c>
      <c r="T540" s="6">
        <v>22</v>
      </c>
      <c r="U540" s="6">
        <v>66</v>
      </c>
      <c r="V540" s="6">
        <f>IF(ISERROR(VLOOKUP($S$540,'TAR FIN'!$A$1:$O$104,15,0)),0,VLOOKUP($S$540,'TAR FIN'!$A$1:$O$104,15,0))</f>
        <v>52.15</v>
      </c>
      <c r="W540" s="6">
        <f>IF(ISERROR(VLOOKUP($T$540,'TAR FIN'!$A$1:$O$104,15,0)),0,VLOOKUP($T$540,'TAR FIN'!$A$1:$O$104,15,0))</f>
        <v>62.57</v>
      </c>
      <c r="X540" s="6">
        <f>IF(ISERROR(VLOOKUP($U$540,'TAR FIN'!$A$1:$O$104,15,0)),0,VLOOKUP($U$540,'TAR FIN'!$A$1:$O$104,15,0))</f>
        <v>397.62</v>
      </c>
      <c r="Y540" s="6">
        <f ca="1">('TUSD BE'!$AM$13+'TUSD BF'!$AM$13+'TUSD CVA'!$AM$13)*1</f>
        <v>52.233673366014429</v>
      </c>
      <c r="Z540" s="6">
        <f ca="1">('TUSD BE'!$AM$15+'TUSD BF'!$AM$15+'TUSD CVA'!$AM$15)*1</f>
        <v>77.876201961015255</v>
      </c>
      <c r="AA540" s="6">
        <f>('TE BE'!$AB$7+'TE BF'!$AB$7+'TE CVA'!$AB$7)*1</f>
        <v>360.26029187567116</v>
      </c>
      <c r="AB540" s="6">
        <f>$K$540*$V$540</f>
        <v>154937.65</v>
      </c>
      <c r="AC540" s="6">
        <f>$M$540*$W$540</f>
        <v>5708.5113799999999</v>
      </c>
      <c r="AD540" s="6">
        <f>$O$540*$X$540</f>
        <v>36276.463080000001</v>
      </c>
      <c r="AE540" s="6">
        <f ca="1">$K$540*$Y$540</f>
        <v>155186.24357042887</v>
      </c>
      <c r="AF540" s="6">
        <f ca="1">$M$540*$Z$540</f>
        <v>7104.9574097112654</v>
      </c>
      <c r="AG540" s="6">
        <f>$O$540*$AA$540</f>
        <v>32867.987468984982</v>
      </c>
    </row>
    <row r="541" spans="1:33" ht="11.25" customHeight="1" x14ac:dyDescent="0.25">
      <c r="A541" s="4" t="s">
        <v>28</v>
      </c>
      <c r="B541" s="4" t="s">
        <v>41</v>
      </c>
      <c r="C541" s="4" t="s">
        <v>40</v>
      </c>
      <c r="D541" s="4" t="s">
        <v>46</v>
      </c>
      <c r="E541" s="4" t="s">
        <v>25</v>
      </c>
      <c r="F541" s="4" t="s">
        <v>25</v>
      </c>
      <c r="G541" s="4" t="s">
        <v>25</v>
      </c>
      <c r="H541" s="4" t="s">
        <v>34</v>
      </c>
      <c r="I541" s="5">
        <v>44652</v>
      </c>
      <c r="J541" s="6">
        <v>3399</v>
      </c>
      <c r="K541" s="6">
        <v>3399</v>
      </c>
      <c r="L541" s="6">
        <v>87.722999999999999</v>
      </c>
      <c r="M541" s="6">
        <v>87.722999999999999</v>
      </c>
      <c r="N541" s="6">
        <v>87.722999999999999</v>
      </c>
      <c r="O541" s="6">
        <v>87.722999999999999</v>
      </c>
      <c r="P541" s="6">
        <v>0</v>
      </c>
      <c r="Q541" s="4" t="s">
        <v>26</v>
      </c>
      <c r="R541" s="4">
        <v>0</v>
      </c>
      <c r="S541" s="6">
        <v>18</v>
      </c>
      <c r="T541" s="6">
        <v>22</v>
      </c>
      <c r="U541" s="6">
        <v>66</v>
      </c>
      <c r="V541" s="6">
        <f>IF(ISERROR(VLOOKUP($S$541,'TAR FIN'!$A$1:$O$104,15,0)),0,VLOOKUP($S$541,'TAR FIN'!$A$1:$O$104,15,0))</f>
        <v>52.15</v>
      </c>
      <c r="W541" s="6">
        <f>IF(ISERROR(VLOOKUP($T$541,'TAR FIN'!$A$1:$O$104,15,0)),0,VLOOKUP($T$541,'TAR FIN'!$A$1:$O$104,15,0))</f>
        <v>62.57</v>
      </c>
      <c r="X541" s="6">
        <f>IF(ISERROR(VLOOKUP($U$541,'TAR FIN'!$A$1:$O$104,15,0)),0,VLOOKUP($U$541,'TAR FIN'!$A$1:$O$104,15,0))</f>
        <v>397.62</v>
      </c>
      <c r="Y541" s="6">
        <f ca="1">('TUSD BE'!$AM$13+'TUSD BF'!$AM$13+'TUSD CVA'!$AM$13)*1</f>
        <v>52.233673366014429</v>
      </c>
      <c r="Z541" s="6">
        <f ca="1">('TUSD BE'!$AM$15+'TUSD BF'!$AM$15+'TUSD CVA'!$AM$15)*1</f>
        <v>77.876201961015255</v>
      </c>
      <c r="AA541" s="6">
        <f>('TE BE'!$AB$7+'TE BF'!$AB$7+'TE CVA'!$AB$7)*1</f>
        <v>360.26029187567116</v>
      </c>
      <c r="AB541" s="6">
        <f>$K$541*$V$541</f>
        <v>177257.85</v>
      </c>
      <c r="AC541" s="6">
        <f>$M$541*$W$541</f>
        <v>5488.8281100000004</v>
      </c>
      <c r="AD541" s="6">
        <f>$O$541*$X$541</f>
        <v>34880.419260000002</v>
      </c>
      <c r="AE541" s="6">
        <f ca="1">$K$541*$Y$541</f>
        <v>177542.25577108303</v>
      </c>
      <c r="AF541" s="6">
        <f ca="1">$M$541*$Z$541</f>
        <v>6831.5340646261411</v>
      </c>
      <c r="AG541" s="6">
        <f>$O$541*$AA$541</f>
        <v>31603.113584209499</v>
      </c>
    </row>
    <row r="542" spans="1:33" ht="11.25" customHeight="1" x14ac:dyDescent="0.25">
      <c r="A542" s="4" t="s">
        <v>21</v>
      </c>
      <c r="B542" s="4" t="s">
        <v>41</v>
      </c>
      <c r="C542" s="4" t="s">
        <v>40</v>
      </c>
      <c r="D542" s="4" t="s">
        <v>46</v>
      </c>
      <c r="E542" s="4" t="s">
        <v>25</v>
      </c>
      <c r="F542" s="4" t="s">
        <v>25</v>
      </c>
      <c r="G542" s="4" t="s">
        <v>25</v>
      </c>
      <c r="H542" s="4" t="s">
        <v>34</v>
      </c>
      <c r="I542" s="5">
        <v>44682</v>
      </c>
      <c r="J542" s="6">
        <v>2950</v>
      </c>
      <c r="K542" s="6">
        <v>2950</v>
      </c>
      <c r="L542" s="6">
        <v>104.66500000000001</v>
      </c>
      <c r="M542" s="6">
        <v>104.66500000000001</v>
      </c>
      <c r="N542" s="6">
        <v>104.66500000000001</v>
      </c>
      <c r="O542" s="6">
        <v>104.66500000000001</v>
      </c>
      <c r="P542" s="6">
        <v>0</v>
      </c>
      <c r="Q542" s="4" t="s">
        <v>26</v>
      </c>
      <c r="R542" s="4">
        <v>0</v>
      </c>
      <c r="S542" s="6">
        <v>18</v>
      </c>
      <c r="T542" s="6">
        <v>22</v>
      </c>
      <c r="U542" s="6">
        <v>66</v>
      </c>
      <c r="V542" s="6">
        <f>IF(ISERROR(VLOOKUP($S$542,'TAR FIN'!$A$1:$O$104,15,0)),0,VLOOKUP($S$542,'TAR FIN'!$A$1:$O$104,15,0))</f>
        <v>52.15</v>
      </c>
      <c r="W542" s="6">
        <f>IF(ISERROR(VLOOKUP($T$542,'TAR FIN'!$A$1:$O$104,15,0)),0,VLOOKUP($T$542,'TAR FIN'!$A$1:$O$104,15,0))</f>
        <v>62.57</v>
      </c>
      <c r="X542" s="6">
        <f>IF(ISERROR(VLOOKUP($U$542,'TAR FIN'!$A$1:$O$104,15,0)),0,VLOOKUP($U$542,'TAR FIN'!$A$1:$O$104,15,0))</f>
        <v>397.62</v>
      </c>
      <c r="Y542" s="6">
        <f ca="1">('TUSD BE'!$AM$13+'TUSD BF'!$AM$13+'TUSD CVA'!$AM$13)*1</f>
        <v>52.233673366014429</v>
      </c>
      <c r="Z542" s="6">
        <f ca="1">('TUSD BE'!$AM$15+'TUSD BF'!$AM$15+'TUSD CVA'!$AM$15)*1</f>
        <v>77.876201961015255</v>
      </c>
      <c r="AA542" s="6">
        <f>('TE BE'!$AB$7+'TE BF'!$AB$7+'TE CVA'!$AB$7)*1</f>
        <v>360.26029187567116</v>
      </c>
      <c r="AB542" s="6">
        <f>$K$542*$V$542</f>
        <v>153842.5</v>
      </c>
      <c r="AC542" s="6">
        <f>$M$542*$W$542</f>
        <v>6548.8890500000007</v>
      </c>
      <c r="AD542" s="6">
        <f>$O$542*$X$542</f>
        <v>41616.897300000004</v>
      </c>
      <c r="AE542" s="6">
        <f ca="1">$K$542*$Y$542</f>
        <v>154089.33642974257</v>
      </c>
      <c r="AF542" s="6">
        <f ca="1">$M$542*$Z$542</f>
        <v>8150.9126782496623</v>
      </c>
      <c r="AG542" s="6">
        <f>$O$542*$AA$542</f>
        <v>37706.643449167124</v>
      </c>
    </row>
    <row r="543" spans="1:33" ht="11.25" customHeight="1" x14ac:dyDescent="0.25">
      <c r="A543" s="4" t="s">
        <v>28</v>
      </c>
      <c r="B543" s="4" t="s">
        <v>41</v>
      </c>
      <c r="C543" s="4" t="s">
        <v>40</v>
      </c>
      <c r="D543" s="4" t="s">
        <v>46</v>
      </c>
      <c r="E543" s="4" t="s">
        <v>25</v>
      </c>
      <c r="F543" s="4" t="s">
        <v>25</v>
      </c>
      <c r="G543" s="4" t="s">
        <v>25</v>
      </c>
      <c r="H543" s="4" t="s">
        <v>34</v>
      </c>
      <c r="I543" s="5">
        <v>44682</v>
      </c>
      <c r="J543" s="6">
        <v>3399</v>
      </c>
      <c r="K543" s="6">
        <v>3399</v>
      </c>
      <c r="L543" s="6">
        <v>101.20699999999999</v>
      </c>
      <c r="M543" s="6">
        <v>101.20699999999999</v>
      </c>
      <c r="N543" s="6">
        <v>101.20699999999999</v>
      </c>
      <c r="O543" s="6">
        <v>101.20699999999999</v>
      </c>
      <c r="P543" s="6">
        <v>0</v>
      </c>
      <c r="Q543" s="4" t="s">
        <v>26</v>
      </c>
      <c r="R543" s="4">
        <v>0</v>
      </c>
      <c r="S543" s="6">
        <v>18</v>
      </c>
      <c r="T543" s="6">
        <v>22</v>
      </c>
      <c r="U543" s="6">
        <v>66</v>
      </c>
      <c r="V543" s="6">
        <f>IF(ISERROR(VLOOKUP($S$543,'TAR FIN'!$A$1:$O$104,15,0)),0,VLOOKUP($S$543,'TAR FIN'!$A$1:$O$104,15,0))</f>
        <v>52.15</v>
      </c>
      <c r="W543" s="6">
        <f>IF(ISERROR(VLOOKUP($T$543,'TAR FIN'!$A$1:$O$104,15,0)),0,VLOOKUP($T$543,'TAR FIN'!$A$1:$O$104,15,0))</f>
        <v>62.57</v>
      </c>
      <c r="X543" s="6">
        <f>IF(ISERROR(VLOOKUP($U$543,'TAR FIN'!$A$1:$O$104,15,0)),0,VLOOKUP($U$543,'TAR FIN'!$A$1:$O$104,15,0))</f>
        <v>397.62</v>
      </c>
      <c r="Y543" s="6">
        <f ca="1">('TUSD BE'!$AM$13+'TUSD BF'!$AM$13+'TUSD CVA'!$AM$13)*1</f>
        <v>52.233673366014429</v>
      </c>
      <c r="Z543" s="6">
        <f ca="1">('TUSD BE'!$AM$15+'TUSD BF'!$AM$15+'TUSD CVA'!$AM$15)*1</f>
        <v>77.876201961015255</v>
      </c>
      <c r="AA543" s="6">
        <f>('TE BE'!$AB$7+'TE BF'!$AB$7+'TE CVA'!$AB$7)*1</f>
        <v>360.26029187567116</v>
      </c>
      <c r="AB543" s="6">
        <f>$K$543*$V$543</f>
        <v>177257.85</v>
      </c>
      <c r="AC543" s="6">
        <f>$M$543*$W$543</f>
        <v>6332.5219899999993</v>
      </c>
      <c r="AD543" s="6">
        <f>$O$543*$X$543</f>
        <v>40241.927339999995</v>
      </c>
      <c r="AE543" s="6">
        <f ca="1">$K$543*$Y$543</f>
        <v>177542.25577108303</v>
      </c>
      <c r="AF543" s="6">
        <f ca="1">$M$543*$Z$543</f>
        <v>7881.6167718684701</v>
      </c>
      <c r="AG543" s="6">
        <f>$O$543*$AA$543</f>
        <v>36460.863359861047</v>
      </c>
    </row>
    <row r="544" spans="1:33" ht="11.25" customHeight="1" x14ac:dyDescent="0.25">
      <c r="A544" s="4" t="s">
        <v>21</v>
      </c>
      <c r="B544" s="4" t="s">
        <v>41</v>
      </c>
      <c r="C544" s="4" t="s">
        <v>40</v>
      </c>
      <c r="D544" s="4" t="s">
        <v>46</v>
      </c>
      <c r="E544" s="4" t="s">
        <v>25</v>
      </c>
      <c r="F544" s="4" t="s">
        <v>25</v>
      </c>
      <c r="G544" s="4" t="s">
        <v>25</v>
      </c>
      <c r="H544" s="4" t="s">
        <v>34</v>
      </c>
      <c r="I544" s="5">
        <v>44713</v>
      </c>
      <c r="J544" s="6">
        <v>2879</v>
      </c>
      <c r="K544" s="6">
        <v>2879</v>
      </c>
      <c r="L544" s="6">
        <v>88.801000000000002</v>
      </c>
      <c r="M544" s="6">
        <v>88.801000000000002</v>
      </c>
      <c r="N544" s="6">
        <v>88.801000000000002</v>
      </c>
      <c r="O544" s="6">
        <v>88.801000000000002</v>
      </c>
      <c r="P544" s="6">
        <v>0</v>
      </c>
      <c r="Q544" s="4" t="s">
        <v>26</v>
      </c>
      <c r="R544" s="4">
        <v>0</v>
      </c>
      <c r="S544" s="6">
        <v>18</v>
      </c>
      <c r="T544" s="6">
        <v>22</v>
      </c>
      <c r="U544" s="6">
        <v>66</v>
      </c>
      <c r="V544" s="6">
        <f>IF(ISERROR(VLOOKUP($S$544,'TAR FIN'!$A$1:$O$104,15,0)),0,VLOOKUP($S$544,'TAR FIN'!$A$1:$O$104,15,0))</f>
        <v>52.15</v>
      </c>
      <c r="W544" s="6">
        <f>IF(ISERROR(VLOOKUP($T$544,'TAR FIN'!$A$1:$O$104,15,0)),0,VLOOKUP($T$544,'TAR FIN'!$A$1:$O$104,15,0))</f>
        <v>62.57</v>
      </c>
      <c r="X544" s="6">
        <f>IF(ISERROR(VLOOKUP($U$544,'TAR FIN'!$A$1:$O$104,15,0)),0,VLOOKUP($U$544,'TAR FIN'!$A$1:$O$104,15,0))</f>
        <v>397.62</v>
      </c>
      <c r="Y544" s="6">
        <f ca="1">('TUSD BE'!$AM$13+'TUSD BF'!$AM$13+'TUSD CVA'!$AM$13)*1</f>
        <v>52.233673366014429</v>
      </c>
      <c r="Z544" s="6">
        <f ca="1">('TUSD BE'!$AM$15+'TUSD BF'!$AM$15+'TUSD CVA'!$AM$15)*1</f>
        <v>77.876201961015255</v>
      </c>
      <c r="AA544" s="6">
        <f>('TE BE'!$AB$7+'TE BF'!$AB$7+'TE CVA'!$AB$7)*1</f>
        <v>360.26029187567116</v>
      </c>
      <c r="AB544" s="6">
        <f>$K$544*$V$544</f>
        <v>150139.85</v>
      </c>
      <c r="AC544" s="6">
        <f>$M$544*$W$544</f>
        <v>5556.2785700000004</v>
      </c>
      <c r="AD544" s="6">
        <f>$O$544*$X$544</f>
        <v>35309.053619999999</v>
      </c>
      <c r="AE544" s="6">
        <f ca="1">$K$544*$Y$544</f>
        <v>150380.74562075554</v>
      </c>
      <c r="AF544" s="6">
        <f ca="1">$M$544*$Z$544</f>
        <v>6915.484610340116</v>
      </c>
      <c r="AG544" s="6">
        <f>$O$544*$AA$544</f>
        <v>31991.474178851477</v>
      </c>
    </row>
    <row r="545" spans="1:33" ht="11.25" customHeight="1" x14ac:dyDescent="0.25">
      <c r="A545" s="4" t="s">
        <v>28</v>
      </c>
      <c r="B545" s="4" t="s">
        <v>41</v>
      </c>
      <c r="C545" s="4" t="s">
        <v>40</v>
      </c>
      <c r="D545" s="4" t="s">
        <v>46</v>
      </c>
      <c r="E545" s="4" t="s">
        <v>25</v>
      </c>
      <c r="F545" s="4" t="s">
        <v>25</v>
      </c>
      <c r="G545" s="4" t="s">
        <v>25</v>
      </c>
      <c r="H545" s="4" t="s">
        <v>34</v>
      </c>
      <c r="I545" s="5">
        <v>44713</v>
      </c>
      <c r="J545" s="6">
        <v>3396</v>
      </c>
      <c r="K545" s="6">
        <v>3396</v>
      </c>
      <c r="L545" s="6">
        <v>80.043999999999997</v>
      </c>
      <c r="M545" s="6">
        <v>80.043999999999997</v>
      </c>
      <c r="N545" s="6">
        <v>80.043999999999997</v>
      </c>
      <c r="O545" s="6">
        <v>80.043999999999997</v>
      </c>
      <c r="P545" s="6">
        <v>0</v>
      </c>
      <c r="Q545" s="4" t="s">
        <v>26</v>
      </c>
      <c r="R545" s="4">
        <v>0</v>
      </c>
      <c r="S545" s="6">
        <v>18</v>
      </c>
      <c r="T545" s="6">
        <v>22</v>
      </c>
      <c r="U545" s="6">
        <v>66</v>
      </c>
      <c r="V545" s="6">
        <f>IF(ISERROR(VLOOKUP($S$545,'TAR FIN'!$A$1:$O$104,15,0)),0,VLOOKUP($S$545,'TAR FIN'!$A$1:$O$104,15,0))</f>
        <v>52.15</v>
      </c>
      <c r="W545" s="6">
        <f>IF(ISERROR(VLOOKUP($T$545,'TAR FIN'!$A$1:$O$104,15,0)),0,VLOOKUP($T$545,'TAR FIN'!$A$1:$O$104,15,0))</f>
        <v>62.57</v>
      </c>
      <c r="X545" s="6">
        <f>IF(ISERROR(VLOOKUP($U$545,'TAR FIN'!$A$1:$O$104,15,0)),0,VLOOKUP($U$545,'TAR FIN'!$A$1:$O$104,15,0))</f>
        <v>397.62</v>
      </c>
      <c r="Y545" s="6">
        <f ca="1">('TUSD BE'!$AM$13+'TUSD BF'!$AM$13+'TUSD CVA'!$AM$13)*1</f>
        <v>52.233673366014429</v>
      </c>
      <c r="Z545" s="6">
        <f ca="1">('TUSD BE'!$AM$15+'TUSD BF'!$AM$15+'TUSD CVA'!$AM$15)*1</f>
        <v>77.876201961015255</v>
      </c>
      <c r="AA545" s="6">
        <f>('TE BE'!$AB$7+'TE BF'!$AB$7+'TE CVA'!$AB$7)*1</f>
        <v>360.26029187567116</v>
      </c>
      <c r="AB545" s="6">
        <f>$K$545*$V$545</f>
        <v>177101.4</v>
      </c>
      <c r="AC545" s="6">
        <f>$M$545*$W$545</f>
        <v>5008.3530799999999</v>
      </c>
      <c r="AD545" s="6">
        <f>$O$545*$X$545</f>
        <v>31827.095279999998</v>
      </c>
      <c r="AE545" s="6">
        <f ca="1">$K$545*$Y$545</f>
        <v>177385.554750985</v>
      </c>
      <c r="AF545" s="6">
        <f ca="1">$M$545*$Z$545</f>
        <v>6233.5227097675051</v>
      </c>
      <c r="AG545" s="6">
        <f>$O$545*$AA$545</f>
        <v>28836.674802896221</v>
      </c>
    </row>
    <row r="546" spans="1:33" ht="11.25" customHeight="1" x14ac:dyDescent="0.25">
      <c r="A546" s="4" t="s">
        <v>57</v>
      </c>
      <c r="B546" s="4" t="s">
        <v>41</v>
      </c>
      <c r="C546" s="4" t="s">
        <v>40</v>
      </c>
      <c r="D546" s="4" t="s">
        <v>46</v>
      </c>
      <c r="E546" s="4" t="s">
        <v>25</v>
      </c>
      <c r="F546" s="4" t="s">
        <v>25</v>
      </c>
      <c r="G546" s="4" t="s">
        <v>25</v>
      </c>
      <c r="H546" s="4" t="s">
        <v>34</v>
      </c>
      <c r="I546" s="5">
        <v>44743</v>
      </c>
      <c r="J546" s="6">
        <v>2879</v>
      </c>
      <c r="K546" s="6">
        <v>2879</v>
      </c>
      <c r="L546" s="6">
        <v>88.801000000000002</v>
      </c>
      <c r="M546" s="6">
        <v>88.801000000000002</v>
      </c>
      <c r="N546" s="6">
        <v>88.801000000000002</v>
      </c>
      <c r="O546" s="6">
        <v>88.801000000000002</v>
      </c>
      <c r="P546" s="6">
        <v>0</v>
      </c>
      <c r="Q546" s="4" t="s">
        <v>26</v>
      </c>
      <c r="R546" s="4">
        <v>0</v>
      </c>
      <c r="S546" s="6">
        <v>18</v>
      </c>
      <c r="T546" s="6">
        <v>22</v>
      </c>
      <c r="U546" s="6">
        <v>66</v>
      </c>
      <c r="V546" s="6">
        <f>IF(ISERROR(VLOOKUP($S$546,'TAR FIN'!$A$1:$O$104,15,0)),0,VLOOKUP($S$546,'TAR FIN'!$A$1:$O$104,15,0))</f>
        <v>52.15</v>
      </c>
      <c r="W546" s="6">
        <f>IF(ISERROR(VLOOKUP($T$546,'TAR FIN'!$A$1:$O$104,15,0)),0,VLOOKUP($T$546,'TAR FIN'!$A$1:$O$104,15,0))</f>
        <v>62.57</v>
      </c>
      <c r="X546" s="6">
        <f>IF(ISERROR(VLOOKUP($U$546,'TAR FIN'!$A$1:$O$104,15,0)),0,VLOOKUP($U$546,'TAR FIN'!$A$1:$O$104,15,0))</f>
        <v>397.62</v>
      </c>
      <c r="Y546" s="6">
        <f ca="1">('TUSD BE'!$AM$13+'TUSD BF'!$AM$13+'TUSD CVA'!$AM$13)*1</f>
        <v>52.233673366014429</v>
      </c>
      <c r="Z546" s="6">
        <f ca="1">('TUSD BE'!$AM$15+'TUSD BF'!$AM$15+'TUSD CVA'!$AM$15)*1</f>
        <v>77.876201961015255</v>
      </c>
      <c r="AA546" s="6">
        <f>('TE BE'!$AB$7+'TE BF'!$AB$7+'TE CVA'!$AB$7)*1</f>
        <v>360.26029187567116</v>
      </c>
      <c r="AB546" s="6">
        <f>$K$546*$V$546</f>
        <v>150139.85</v>
      </c>
      <c r="AC546" s="6">
        <f>$M$546*$W$546</f>
        <v>5556.2785700000004</v>
      </c>
      <c r="AD546" s="6">
        <f>$O$546*$X$546</f>
        <v>35309.053619999999</v>
      </c>
      <c r="AE546" s="6">
        <f ca="1">$K$546*$Y$546</f>
        <v>150380.74562075554</v>
      </c>
      <c r="AF546" s="6">
        <f ca="1">$M$546*$Z$546</f>
        <v>6915.484610340116</v>
      </c>
      <c r="AG546" s="6">
        <f>$O$546*$AA$546</f>
        <v>31991.474178851477</v>
      </c>
    </row>
    <row r="547" spans="1:33" ht="11.25" customHeight="1" x14ac:dyDescent="0.25">
      <c r="A547" s="4" t="s">
        <v>57</v>
      </c>
      <c r="B547" s="4" t="s">
        <v>41</v>
      </c>
      <c r="C547" s="4" t="s">
        <v>40</v>
      </c>
      <c r="D547" s="4" t="s">
        <v>46</v>
      </c>
      <c r="E547" s="4" t="s">
        <v>25</v>
      </c>
      <c r="F547" s="4" t="s">
        <v>25</v>
      </c>
      <c r="G547" s="4" t="s">
        <v>25</v>
      </c>
      <c r="H547" s="4" t="s">
        <v>34</v>
      </c>
      <c r="I547" s="5">
        <v>44743</v>
      </c>
      <c r="J547" s="6">
        <v>3396</v>
      </c>
      <c r="K547" s="6">
        <v>3396</v>
      </c>
      <c r="L547" s="6">
        <v>80.043999999999997</v>
      </c>
      <c r="M547" s="6">
        <v>80.043999999999997</v>
      </c>
      <c r="N547" s="6">
        <v>80.043999999999997</v>
      </c>
      <c r="O547" s="6">
        <v>80.043999999999997</v>
      </c>
      <c r="P547" s="6">
        <v>0</v>
      </c>
      <c r="Q547" s="4" t="s">
        <v>26</v>
      </c>
      <c r="R547" s="4">
        <v>0</v>
      </c>
      <c r="S547" s="6">
        <v>18</v>
      </c>
      <c r="T547" s="6">
        <v>22</v>
      </c>
      <c r="U547" s="6">
        <v>66</v>
      </c>
      <c r="V547" s="6">
        <f>IF(ISERROR(VLOOKUP($S$547,'TAR FIN'!$A$1:$O$104,15,0)),0,VLOOKUP($S$547,'TAR FIN'!$A$1:$O$104,15,0))</f>
        <v>52.15</v>
      </c>
      <c r="W547" s="6">
        <f>IF(ISERROR(VLOOKUP($T$547,'TAR FIN'!$A$1:$O$104,15,0)),0,VLOOKUP($T$547,'TAR FIN'!$A$1:$O$104,15,0))</f>
        <v>62.57</v>
      </c>
      <c r="X547" s="6">
        <f>IF(ISERROR(VLOOKUP($U$547,'TAR FIN'!$A$1:$O$104,15,0)),0,VLOOKUP($U$547,'TAR FIN'!$A$1:$O$104,15,0))</f>
        <v>397.62</v>
      </c>
      <c r="Y547" s="6">
        <f ca="1">('TUSD BE'!$AM$13+'TUSD BF'!$AM$13+'TUSD CVA'!$AM$13)*1</f>
        <v>52.233673366014429</v>
      </c>
      <c r="Z547" s="6">
        <f ca="1">('TUSD BE'!$AM$15+'TUSD BF'!$AM$15+'TUSD CVA'!$AM$15)*1</f>
        <v>77.876201961015255</v>
      </c>
      <c r="AA547" s="6">
        <f>('TE BE'!$AB$7+'TE BF'!$AB$7+'TE CVA'!$AB$7)*1</f>
        <v>360.26029187567116</v>
      </c>
      <c r="AB547" s="6">
        <f>$K$547*$V$547</f>
        <v>177101.4</v>
      </c>
      <c r="AC547" s="6">
        <f>$M$547*$W$547</f>
        <v>5008.3530799999999</v>
      </c>
      <c r="AD547" s="6">
        <f>$O$547*$X$547</f>
        <v>31827.095279999998</v>
      </c>
      <c r="AE547" s="6">
        <f ca="1">$K$547*$Y$547</f>
        <v>177385.554750985</v>
      </c>
      <c r="AF547" s="6">
        <f ca="1">$M$547*$Z$547</f>
        <v>6233.5227097675051</v>
      </c>
      <c r="AG547" s="6">
        <f>$O$547*$AA$547</f>
        <v>28836.674802896221</v>
      </c>
    </row>
    <row r="548" spans="1:33" ht="11.25" customHeight="1" x14ac:dyDescent="0.25">
      <c r="A548" s="4" t="s">
        <v>21</v>
      </c>
      <c r="B548" s="4" t="s">
        <v>41</v>
      </c>
      <c r="C548" s="4" t="s">
        <v>40</v>
      </c>
      <c r="D548" s="4" t="s">
        <v>50</v>
      </c>
      <c r="E548" s="4" t="s">
        <v>51</v>
      </c>
      <c r="F548" s="4" t="s">
        <v>25</v>
      </c>
      <c r="G548" s="4" t="s">
        <v>25</v>
      </c>
      <c r="H548" s="4" t="s">
        <v>35</v>
      </c>
      <c r="I548" s="5">
        <v>44409</v>
      </c>
      <c r="J548" s="6">
        <v>15834</v>
      </c>
      <c r="K548" s="61">
        <v>15834</v>
      </c>
      <c r="L548" s="6">
        <v>6737.0190000000002</v>
      </c>
      <c r="M548" s="60">
        <v>6737.0190000000002</v>
      </c>
      <c r="N548" s="6">
        <v>6737.0190000000002</v>
      </c>
      <c r="O548" s="60">
        <v>6737.0190000000002</v>
      </c>
      <c r="P548" s="6">
        <v>0</v>
      </c>
      <c r="Q548" s="4" t="s">
        <v>26</v>
      </c>
      <c r="R548" s="4">
        <v>0</v>
      </c>
      <c r="S548" s="6">
        <v>20</v>
      </c>
      <c r="T548" s="6">
        <v>22</v>
      </c>
      <c r="U548" s="6">
        <v>67</v>
      </c>
      <c r="V548" s="60">
        <f>IF(ISERROR(VLOOKUP($S$548,'TAR FIN'!$A$1:$O$104,15,0)),0,VLOOKUP($S$548,'TAR FIN'!$A$1:$O$104,15,0))*(1-0.06)</f>
        <v>24.646799999999999</v>
      </c>
      <c r="W548" s="60">
        <f>IF(ISERROR(VLOOKUP($T$548,'TAR FIN'!$A$1:$O$104,15,0)),0,VLOOKUP($T$548,'TAR FIN'!$A$1:$O$104,15,0))*(1-0.06)</f>
        <v>58.815799999999996</v>
      </c>
      <c r="X548" s="60">
        <f>IF(ISERROR(VLOOKUP($U$548,'TAR FIN'!$A$1:$O$104,15,0)),0,VLOOKUP($U$548,'TAR FIN'!$A$1:$O$104,15,0))*(1-0.06)</f>
        <v>228.25079999999997</v>
      </c>
      <c r="Y548" s="60">
        <f ca="1">('TUSD BE'!$AM$14+'TUSD BF'!$AM$14+'TUSD CVA'!$AM$14)*1*(1-0.03)</f>
        <v>25.49175935061109</v>
      </c>
      <c r="Z548" s="60">
        <f ca="1">('TUSD BE'!$AM$15+'TUSD BF'!$AM$15+'TUSD CVA'!$AM$15)*1*(1-0.03)</f>
        <v>75.539915902184802</v>
      </c>
      <c r="AA548" s="60">
        <f>('TE BE'!$AB$8+'TE BF'!$AB$8+'TE CVA'!$AB$8)*1*(1-0.03)</f>
        <v>224.80969662802207</v>
      </c>
      <c r="AB548" s="6">
        <f>$K$548*$V$548</f>
        <v>390257.43119999999</v>
      </c>
      <c r="AC548" s="6">
        <f>$M$548*$W$548</f>
        <v>396243.16210019996</v>
      </c>
      <c r="AD548" s="6">
        <f>$O$548*$X$548</f>
        <v>1537729.9763651998</v>
      </c>
      <c r="AE548" s="6">
        <f ca="1">$K$548*$Y$548</f>
        <v>403636.51755757601</v>
      </c>
      <c r="AF548" s="6">
        <f ca="1">$M$548*$Z$548</f>
        <v>508913.84869142115</v>
      </c>
      <c r="AG548" s="6">
        <f>$O$548*$AA$548</f>
        <v>1514547.1975672205</v>
      </c>
    </row>
    <row r="549" spans="1:33" ht="11.25" customHeight="1" x14ac:dyDescent="0.25">
      <c r="A549" s="4" t="s">
        <v>21</v>
      </c>
      <c r="B549" s="4" t="s">
        <v>41</v>
      </c>
      <c r="C549" s="4" t="s">
        <v>40</v>
      </c>
      <c r="D549" s="4" t="s">
        <v>50</v>
      </c>
      <c r="E549" s="4" t="s">
        <v>51</v>
      </c>
      <c r="F549" s="4" t="s">
        <v>25</v>
      </c>
      <c r="G549" s="4" t="s">
        <v>25</v>
      </c>
      <c r="H549" s="4" t="s">
        <v>35</v>
      </c>
      <c r="I549" s="5">
        <v>44440</v>
      </c>
      <c r="J549" s="6">
        <v>16014</v>
      </c>
      <c r="K549" s="61">
        <v>16014</v>
      </c>
      <c r="L549" s="6">
        <v>6745.8490000000002</v>
      </c>
      <c r="M549" s="60">
        <v>6745.8490000000002</v>
      </c>
      <c r="N549" s="6">
        <v>6745.8490000000002</v>
      </c>
      <c r="O549" s="60">
        <v>6745.8490000000002</v>
      </c>
      <c r="P549" s="6">
        <v>0</v>
      </c>
      <c r="Q549" s="4" t="s">
        <v>26</v>
      </c>
      <c r="R549" s="4">
        <v>0</v>
      </c>
      <c r="S549" s="6">
        <v>20</v>
      </c>
      <c r="T549" s="6">
        <v>22</v>
      </c>
      <c r="U549" s="6">
        <v>67</v>
      </c>
      <c r="V549" s="60">
        <f>IF(ISERROR(VLOOKUP($S$549,'TAR FIN'!$A$1:$O$104,15,0)),0,VLOOKUP($S$549,'TAR FIN'!$A$1:$O$104,15,0))*(1-0.06)</f>
        <v>24.646799999999999</v>
      </c>
      <c r="W549" s="60">
        <f>IF(ISERROR(VLOOKUP($T$549,'TAR FIN'!$A$1:$O$104,15,0)),0,VLOOKUP($T$549,'TAR FIN'!$A$1:$O$104,15,0))*(1-0.06)</f>
        <v>58.815799999999996</v>
      </c>
      <c r="X549" s="60">
        <f>IF(ISERROR(VLOOKUP($U$549,'TAR FIN'!$A$1:$O$104,15,0)),0,VLOOKUP($U$549,'TAR FIN'!$A$1:$O$104,15,0))*(1-0.06)</f>
        <v>228.25079999999997</v>
      </c>
      <c r="Y549" s="60">
        <f ca="1">('TUSD BE'!$AM$14+'TUSD BF'!$AM$14+'TUSD CVA'!$AM$14)*1*(1-0.03)</f>
        <v>25.49175935061109</v>
      </c>
      <c r="Z549" s="60">
        <f ca="1">('TUSD BE'!$AM$15+'TUSD BF'!$AM$15+'TUSD CVA'!$AM$15)*1*(1-0.03)</f>
        <v>75.539915902184802</v>
      </c>
      <c r="AA549" s="60">
        <f>('TE BE'!$AB$8+'TE BF'!$AB$8+'TE CVA'!$AB$8)*1*(1-0.03)</f>
        <v>224.80969662802207</v>
      </c>
      <c r="AB549" s="6">
        <f>$K$549*$V$549</f>
        <v>394693.85519999999</v>
      </c>
      <c r="AC549" s="6">
        <f>$M$549*$W$549</f>
        <v>396762.50561419997</v>
      </c>
      <c r="AD549" s="6">
        <f>$O$549*$X$549</f>
        <v>1539745.4309291998</v>
      </c>
      <c r="AE549" s="6">
        <f ca="1">$K$549*$Y$549</f>
        <v>408225.03424068599</v>
      </c>
      <c r="AF549" s="6">
        <f ca="1">$M$549*$Z$549</f>
        <v>509580.86614883743</v>
      </c>
      <c r="AG549" s="6">
        <f>$O$549*$AA$549</f>
        <v>1516532.2671884461</v>
      </c>
    </row>
    <row r="550" spans="1:33" ht="11.25" customHeight="1" x14ac:dyDescent="0.25">
      <c r="A550" s="4" t="s">
        <v>21</v>
      </c>
      <c r="B550" s="4" t="s">
        <v>41</v>
      </c>
      <c r="C550" s="4" t="s">
        <v>40</v>
      </c>
      <c r="D550" s="4" t="s">
        <v>50</v>
      </c>
      <c r="E550" s="4" t="s">
        <v>51</v>
      </c>
      <c r="F550" s="4" t="s">
        <v>25</v>
      </c>
      <c r="G550" s="4" t="s">
        <v>25</v>
      </c>
      <c r="H550" s="4" t="s">
        <v>35</v>
      </c>
      <c r="I550" s="5">
        <v>44470</v>
      </c>
      <c r="J550" s="6">
        <v>16098</v>
      </c>
      <c r="K550" s="61">
        <v>16098</v>
      </c>
      <c r="L550" s="6">
        <v>7260.2830000000004</v>
      </c>
      <c r="M550" s="60">
        <v>7260.2830000000004</v>
      </c>
      <c r="N550" s="6">
        <v>7260.2830000000004</v>
      </c>
      <c r="O550" s="60">
        <v>7260.2830000000004</v>
      </c>
      <c r="P550" s="6">
        <v>0</v>
      </c>
      <c r="Q550" s="4" t="s">
        <v>26</v>
      </c>
      <c r="R550" s="4">
        <v>0</v>
      </c>
      <c r="S550" s="6">
        <v>20</v>
      </c>
      <c r="T550" s="6">
        <v>22</v>
      </c>
      <c r="U550" s="6">
        <v>67</v>
      </c>
      <c r="V550" s="60">
        <f>IF(ISERROR(VLOOKUP($S$550,'TAR FIN'!$A$1:$O$104,15,0)),0,VLOOKUP($S$550,'TAR FIN'!$A$1:$O$104,15,0))*(1-0.06)</f>
        <v>24.646799999999999</v>
      </c>
      <c r="W550" s="60">
        <f>IF(ISERROR(VLOOKUP($T$550,'TAR FIN'!$A$1:$O$104,15,0)),0,VLOOKUP($T$550,'TAR FIN'!$A$1:$O$104,15,0))*(1-0.06)</f>
        <v>58.815799999999996</v>
      </c>
      <c r="X550" s="60">
        <f>IF(ISERROR(VLOOKUP($U$550,'TAR FIN'!$A$1:$O$104,15,0)),0,VLOOKUP($U$550,'TAR FIN'!$A$1:$O$104,15,0))*(1-0.06)</f>
        <v>228.25079999999997</v>
      </c>
      <c r="Y550" s="60">
        <f ca="1">('TUSD BE'!$AM$14+'TUSD BF'!$AM$14+'TUSD CVA'!$AM$14)*1*(1-0.03)</f>
        <v>25.49175935061109</v>
      </c>
      <c r="Z550" s="60">
        <f ca="1">('TUSD BE'!$AM$15+'TUSD BF'!$AM$15+'TUSD CVA'!$AM$15)*1*(1-0.03)</f>
        <v>75.539915902184802</v>
      </c>
      <c r="AA550" s="60">
        <f>('TE BE'!$AB$8+'TE BF'!$AB$8+'TE CVA'!$AB$8)*1*(1-0.03)</f>
        <v>224.80969662802207</v>
      </c>
      <c r="AB550" s="6">
        <f>$K$550*$V$550</f>
        <v>396764.18640000001</v>
      </c>
      <c r="AC550" s="6">
        <f>$M$550*$W$550</f>
        <v>427019.35287140001</v>
      </c>
      <c r="AD550" s="6">
        <f>$O$550*$X$550</f>
        <v>1657165.4029763998</v>
      </c>
      <c r="AE550" s="6">
        <f ca="1">$K$550*$Y$550</f>
        <v>410366.34202613734</v>
      </c>
      <c r="AF550" s="6">
        <f ca="1">$M$550*$Z$550</f>
        <v>548441.16724606196</v>
      </c>
      <c r="AG550" s="6">
        <f>$O$550*$AA$550</f>
        <v>1632182.0186635861</v>
      </c>
    </row>
    <row r="551" spans="1:33" ht="11.25" customHeight="1" x14ac:dyDescent="0.25">
      <c r="A551" s="4" t="s">
        <v>21</v>
      </c>
      <c r="B551" s="4" t="s">
        <v>41</v>
      </c>
      <c r="C551" s="4" t="s">
        <v>40</v>
      </c>
      <c r="D551" s="4" t="s">
        <v>50</v>
      </c>
      <c r="E551" s="4" t="s">
        <v>51</v>
      </c>
      <c r="F551" s="4" t="s">
        <v>25</v>
      </c>
      <c r="G551" s="4" t="s">
        <v>25</v>
      </c>
      <c r="H551" s="4" t="s">
        <v>35</v>
      </c>
      <c r="I551" s="5">
        <v>44501</v>
      </c>
      <c r="J551" s="6">
        <v>16078</v>
      </c>
      <c r="K551" s="61">
        <v>16078</v>
      </c>
      <c r="L551" s="6">
        <v>7093.0640000000003</v>
      </c>
      <c r="M551" s="60">
        <v>7093.0640000000003</v>
      </c>
      <c r="N551" s="6">
        <v>7093.0640000000003</v>
      </c>
      <c r="O551" s="60">
        <v>7093.0640000000003</v>
      </c>
      <c r="P551" s="6">
        <v>0</v>
      </c>
      <c r="Q551" s="4" t="s">
        <v>26</v>
      </c>
      <c r="R551" s="4">
        <v>0</v>
      </c>
      <c r="S551" s="6">
        <v>20</v>
      </c>
      <c r="T551" s="6">
        <v>22</v>
      </c>
      <c r="U551" s="6">
        <v>67</v>
      </c>
      <c r="V551" s="60">
        <f>IF(ISERROR(VLOOKUP($S$551,'TAR FIN'!$A$1:$O$104,15,0)),0,VLOOKUP($S$551,'TAR FIN'!$A$1:$O$104,15,0))*(1-0.06)</f>
        <v>24.646799999999999</v>
      </c>
      <c r="W551" s="60">
        <f>IF(ISERROR(VLOOKUP($T$551,'TAR FIN'!$A$1:$O$104,15,0)),0,VLOOKUP($T$551,'TAR FIN'!$A$1:$O$104,15,0))*(1-0.06)</f>
        <v>58.815799999999996</v>
      </c>
      <c r="X551" s="60">
        <f>IF(ISERROR(VLOOKUP($U$551,'TAR FIN'!$A$1:$O$104,15,0)),0,VLOOKUP($U$551,'TAR FIN'!$A$1:$O$104,15,0))*(1-0.06)</f>
        <v>228.25079999999997</v>
      </c>
      <c r="Y551" s="60">
        <f ca="1">('TUSD BE'!$AM$14+'TUSD BF'!$AM$14+'TUSD CVA'!$AM$14)*1*(1-0.03)</f>
        <v>25.49175935061109</v>
      </c>
      <c r="Z551" s="60">
        <f ca="1">('TUSD BE'!$AM$15+'TUSD BF'!$AM$15+'TUSD CVA'!$AM$15)*1*(1-0.03)</f>
        <v>75.539915902184802</v>
      </c>
      <c r="AA551" s="60">
        <f>('TE BE'!$AB$8+'TE BF'!$AB$8+'TE CVA'!$AB$8)*1*(1-0.03)</f>
        <v>224.80969662802207</v>
      </c>
      <c r="AB551" s="6">
        <f>$K$551*$V$551</f>
        <v>396271.25039999996</v>
      </c>
      <c r="AC551" s="6">
        <f>$M$551*$W$551</f>
        <v>417184.2336112</v>
      </c>
      <c r="AD551" s="6">
        <f>$O$551*$X$551</f>
        <v>1618997.5324511998</v>
      </c>
      <c r="AE551" s="6">
        <f ca="1">$K$551*$Y$551</f>
        <v>409856.50683912513</v>
      </c>
      <c r="AF551" s="6">
        <f ca="1">$M$551*$Z$551</f>
        <v>535809.45804881456</v>
      </c>
      <c r="AG551" s="6">
        <f>$O$551*$AA$551</f>
        <v>1594589.5660031447</v>
      </c>
    </row>
    <row r="552" spans="1:33" ht="11.25" customHeight="1" x14ac:dyDescent="0.25">
      <c r="A552" s="4" t="s">
        <v>21</v>
      </c>
      <c r="B552" s="4" t="s">
        <v>41</v>
      </c>
      <c r="C552" s="4" t="s">
        <v>40</v>
      </c>
      <c r="D552" s="4" t="s">
        <v>50</v>
      </c>
      <c r="E552" s="4" t="s">
        <v>51</v>
      </c>
      <c r="F552" s="4" t="s">
        <v>25</v>
      </c>
      <c r="G552" s="4" t="s">
        <v>25</v>
      </c>
      <c r="H552" s="4" t="s">
        <v>35</v>
      </c>
      <c r="I552" s="5">
        <v>44531</v>
      </c>
      <c r="J552" s="6">
        <v>16132</v>
      </c>
      <c r="K552" s="61">
        <v>16132</v>
      </c>
      <c r="L552" s="6">
        <v>7178.634</v>
      </c>
      <c r="M552" s="60">
        <v>7178.634</v>
      </c>
      <c r="N552" s="6">
        <v>7178.634</v>
      </c>
      <c r="O552" s="60">
        <v>7178.634</v>
      </c>
      <c r="P552" s="6">
        <v>0</v>
      </c>
      <c r="Q552" s="4" t="s">
        <v>26</v>
      </c>
      <c r="R552" s="4">
        <v>0</v>
      </c>
      <c r="S552" s="6">
        <v>20</v>
      </c>
      <c r="T552" s="6">
        <v>22</v>
      </c>
      <c r="U552" s="6">
        <v>67</v>
      </c>
      <c r="V552" s="60">
        <f>IF(ISERROR(VLOOKUP($S$552,'TAR FIN'!$A$1:$O$104,15,0)),0,VLOOKUP($S$552,'TAR FIN'!$A$1:$O$104,15,0))*(1-0.06)</f>
        <v>24.646799999999999</v>
      </c>
      <c r="W552" s="60">
        <f>IF(ISERROR(VLOOKUP($T$552,'TAR FIN'!$A$1:$O$104,15,0)),0,VLOOKUP($T$552,'TAR FIN'!$A$1:$O$104,15,0))*(1-0.06)</f>
        <v>58.815799999999996</v>
      </c>
      <c r="X552" s="60">
        <f>IF(ISERROR(VLOOKUP($U$552,'TAR FIN'!$A$1:$O$104,15,0)),0,VLOOKUP($U$552,'TAR FIN'!$A$1:$O$104,15,0))*(1-0.06)</f>
        <v>228.25079999999997</v>
      </c>
      <c r="Y552" s="60">
        <f ca="1">('TUSD BE'!$AM$14+'TUSD BF'!$AM$14+'TUSD CVA'!$AM$14)*1*(1-0.03)</f>
        <v>25.49175935061109</v>
      </c>
      <c r="Z552" s="60">
        <f ca="1">('TUSD BE'!$AM$15+'TUSD BF'!$AM$15+'TUSD CVA'!$AM$15)*1*(1-0.03)</f>
        <v>75.539915902184802</v>
      </c>
      <c r="AA552" s="60">
        <f>('TE BE'!$AB$8+'TE BF'!$AB$8+'TE CVA'!$AB$8)*1*(1-0.03)</f>
        <v>224.80969662802207</v>
      </c>
      <c r="AB552" s="6">
        <f>$K$552*$V$552</f>
        <v>397602.1776</v>
      </c>
      <c r="AC552" s="6">
        <f>$M$552*$W$552</f>
        <v>422217.10161719995</v>
      </c>
      <c r="AD552" s="6">
        <f>$O$552*$X$552</f>
        <v>1638528.9534071998</v>
      </c>
      <c r="AE552" s="6">
        <f ca="1">$K$552*$Y$552</f>
        <v>411233.0618440581</v>
      </c>
      <c r="AF552" s="6">
        <f ca="1">$M$552*$Z$552</f>
        <v>542273.40865256451</v>
      </c>
      <c r="AG552" s="6">
        <f>$O$552*$AA$552</f>
        <v>1613826.5317436045</v>
      </c>
    </row>
    <row r="553" spans="1:33" ht="11.25" customHeight="1" x14ac:dyDescent="0.25">
      <c r="A553" s="4" t="s">
        <v>21</v>
      </c>
      <c r="B553" s="4" t="s">
        <v>41</v>
      </c>
      <c r="C553" s="4" t="s">
        <v>40</v>
      </c>
      <c r="D553" s="4" t="s">
        <v>50</v>
      </c>
      <c r="E553" s="4" t="s">
        <v>51</v>
      </c>
      <c r="F553" s="4" t="s">
        <v>25</v>
      </c>
      <c r="G553" s="4" t="s">
        <v>25</v>
      </c>
      <c r="H553" s="4" t="s">
        <v>35</v>
      </c>
      <c r="I553" s="5">
        <v>44562</v>
      </c>
      <c r="J553" s="6">
        <v>16093</v>
      </c>
      <c r="K553" s="61">
        <v>16093</v>
      </c>
      <c r="L553" s="6">
        <v>7217.5349999999999</v>
      </c>
      <c r="M553" s="60">
        <v>7217.5349999999999</v>
      </c>
      <c r="N553" s="6">
        <v>7217.5349999999999</v>
      </c>
      <c r="O553" s="60">
        <v>7217.5349999999999</v>
      </c>
      <c r="P553" s="6">
        <v>0</v>
      </c>
      <c r="Q553" s="4" t="s">
        <v>26</v>
      </c>
      <c r="R553" s="4">
        <v>0</v>
      </c>
      <c r="S553" s="6">
        <v>20</v>
      </c>
      <c r="T553" s="6">
        <v>22</v>
      </c>
      <c r="U553" s="6">
        <v>67</v>
      </c>
      <c r="V553" s="60">
        <f>IF(ISERROR(VLOOKUP($S$553,'TAR FIN'!$A$1:$O$104,15,0)),0,VLOOKUP($S$553,'TAR FIN'!$A$1:$O$104,15,0))*(1-0.06)</f>
        <v>24.646799999999999</v>
      </c>
      <c r="W553" s="60">
        <f>IF(ISERROR(VLOOKUP($T$553,'TAR FIN'!$A$1:$O$104,15,0)),0,VLOOKUP($T$553,'TAR FIN'!$A$1:$O$104,15,0))*(1-0.06)</f>
        <v>58.815799999999996</v>
      </c>
      <c r="X553" s="60">
        <f>IF(ISERROR(VLOOKUP($U$553,'TAR FIN'!$A$1:$O$104,15,0)),0,VLOOKUP($U$553,'TAR FIN'!$A$1:$O$104,15,0))*(1-0.06)</f>
        <v>228.25079999999997</v>
      </c>
      <c r="Y553" s="60">
        <f ca="1">('TUSD BE'!$AM$14+'TUSD BF'!$AM$14+'TUSD CVA'!$AM$14)*1*(1-0.03)</f>
        <v>25.49175935061109</v>
      </c>
      <c r="Z553" s="60">
        <f ca="1">('TUSD BE'!$AM$15+'TUSD BF'!$AM$15+'TUSD CVA'!$AM$15)*1*(1-0.03)</f>
        <v>75.539915902184802</v>
      </c>
      <c r="AA553" s="60">
        <f>('TE BE'!$AB$8+'TE BF'!$AB$8+'TE CVA'!$AB$8)*1*(1-0.03)</f>
        <v>224.80969662802207</v>
      </c>
      <c r="AB553" s="6">
        <f>$K$553*$V$553</f>
        <v>396640.95240000001</v>
      </c>
      <c r="AC553" s="6">
        <f>$M$553*$W$553</f>
        <v>424505.09505299997</v>
      </c>
      <c r="AD553" s="6">
        <f>$O$553*$X$553</f>
        <v>1647408.1377779997</v>
      </c>
      <c r="AE553" s="6">
        <f ca="1">$K$553*$Y$553</f>
        <v>410238.88322938426</v>
      </c>
      <c r="AF553" s="6">
        <f ca="1">$M$553*$Z$553</f>
        <v>545211.98692107538</v>
      </c>
      <c r="AG553" s="6">
        <f>$O$553*$AA$553</f>
        <v>1622571.8537521311</v>
      </c>
    </row>
    <row r="554" spans="1:33" ht="11.25" customHeight="1" x14ac:dyDescent="0.25">
      <c r="A554" s="4" t="s">
        <v>21</v>
      </c>
      <c r="B554" s="4" t="s">
        <v>41</v>
      </c>
      <c r="C554" s="4" t="s">
        <v>40</v>
      </c>
      <c r="D554" s="4" t="s">
        <v>50</v>
      </c>
      <c r="E554" s="4" t="s">
        <v>51</v>
      </c>
      <c r="F554" s="4" t="s">
        <v>25</v>
      </c>
      <c r="G554" s="4" t="s">
        <v>25</v>
      </c>
      <c r="H554" s="4" t="s">
        <v>35</v>
      </c>
      <c r="I554" s="5">
        <v>44593</v>
      </c>
      <c r="J554" s="6">
        <v>16070</v>
      </c>
      <c r="K554" s="61">
        <v>16070</v>
      </c>
      <c r="L554" s="6">
        <v>6627.8530000000001</v>
      </c>
      <c r="M554" s="60">
        <v>6627.8530000000001</v>
      </c>
      <c r="N554" s="6">
        <v>6627.8530000000001</v>
      </c>
      <c r="O554" s="60">
        <v>6627.8530000000001</v>
      </c>
      <c r="P554" s="6">
        <v>0</v>
      </c>
      <c r="Q554" s="4" t="s">
        <v>26</v>
      </c>
      <c r="R554" s="4">
        <v>0</v>
      </c>
      <c r="S554" s="6">
        <v>20</v>
      </c>
      <c r="T554" s="6">
        <v>22</v>
      </c>
      <c r="U554" s="6">
        <v>67</v>
      </c>
      <c r="V554" s="60">
        <f>IF(ISERROR(VLOOKUP($S$554,'TAR FIN'!$A$1:$O$104,15,0)),0,VLOOKUP($S$554,'TAR FIN'!$A$1:$O$104,15,0))*(1-0.06)</f>
        <v>24.646799999999999</v>
      </c>
      <c r="W554" s="60">
        <f>IF(ISERROR(VLOOKUP($T$554,'TAR FIN'!$A$1:$O$104,15,0)),0,VLOOKUP($T$554,'TAR FIN'!$A$1:$O$104,15,0))*(1-0.06)</f>
        <v>58.815799999999996</v>
      </c>
      <c r="X554" s="60">
        <f>IF(ISERROR(VLOOKUP($U$554,'TAR FIN'!$A$1:$O$104,15,0)),0,VLOOKUP($U$554,'TAR FIN'!$A$1:$O$104,15,0))*(1-0.06)</f>
        <v>228.25079999999997</v>
      </c>
      <c r="Y554" s="60">
        <f ca="1">('TUSD BE'!$AM$14+'TUSD BF'!$AM$14+'TUSD CVA'!$AM$14)*1*(1-0.03)</f>
        <v>25.49175935061109</v>
      </c>
      <c r="Z554" s="60">
        <f ca="1">('TUSD BE'!$AM$15+'TUSD BF'!$AM$15+'TUSD CVA'!$AM$15)*1*(1-0.03)</f>
        <v>75.539915902184802</v>
      </c>
      <c r="AA554" s="60">
        <f>('TE BE'!$AB$8+'TE BF'!$AB$8+'TE CVA'!$AB$8)*1*(1-0.03)</f>
        <v>224.80969662802207</v>
      </c>
      <c r="AB554" s="6">
        <f>$K$554*$V$554</f>
        <v>396074.076</v>
      </c>
      <c r="AC554" s="6">
        <f>$M$554*$W$554</f>
        <v>389822.47647739999</v>
      </c>
      <c r="AD554" s="6">
        <f>$O$554*$X$554</f>
        <v>1512812.7495323997</v>
      </c>
      <c r="AE554" s="6">
        <f ca="1">$K$554*$Y$554</f>
        <v>409652.57276432024</v>
      </c>
      <c r="AF554" s="6">
        <f ca="1">$M$554*$Z$554</f>
        <v>500667.45823204325</v>
      </c>
      <c r="AG554" s="6">
        <f>$O$554*$AA$554</f>
        <v>1490005.622225126</v>
      </c>
    </row>
    <row r="555" spans="1:33" ht="11.25" customHeight="1" x14ac:dyDescent="0.25">
      <c r="A555" s="4" t="s">
        <v>21</v>
      </c>
      <c r="B555" s="4" t="s">
        <v>41</v>
      </c>
      <c r="C555" s="4" t="s">
        <v>40</v>
      </c>
      <c r="D555" s="4" t="s">
        <v>50</v>
      </c>
      <c r="E555" s="4" t="s">
        <v>51</v>
      </c>
      <c r="F555" s="4" t="s">
        <v>25</v>
      </c>
      <c r="G555" s="4" t="s">
        <v>25</v>
      </c>
      <c r="H555" s="4" t="s">
        <v>35</v>
      </c>
      <c r="I555" s="5">
        <v>44621</v>
      </c>
      <c r="J555" s="6">
        <v>16184</v>
      </c>
      <c r="K555" s="61">
        <v>16184</v>
      </c>
      <c r="L555" s="6">
        <v>7175.6440000000002</v>
      </c>
      <c r="M555" s="60">
        <v>7175.6440000000002</v>
      </c>
      <c r="N555" s="6">
        <v>7175.6440000000002</v>
      </c>
      <c r="O555" s="60">
        <v>7175.6440000000002</v>
      </c>
      <c r="P555" s="6">
        <v>0</v>
      </c>
      <c r="Q555" s="4" t="s">
        <v>26</v>
      </c>
      <c r="R555" s="4">
        <v>0</v>
      </c>
      <c r="S555" s="6">
        <v>20</v>
      </c>
      <c r="T555" s="6">
        <v>22</v>
      </c>
      <c r="U555" s="6">
        <v>67</v>
      </c>
      <c r="V555" s="60">
        <f>IF(ISERROR(VLOOKUP($S$555,'TAR FIN'!$A$1:$O$104,15,0)),0,VLOOKUP($S$555,'TAR FIN'!$A$1:$O$104,15,0))*(1-0.06)</f>
        <v>24.646799999999999</v>
      </c>
      <c r="W555" s="60">
        <f>IF(ISERROR(VLOOKUP($T$555,'TAR FIN'!$A$1:$O$104,15,0)),0,VLOOKUP($T$555,'TAR FIN'!$A$1:$O$104,15,0))*(1-0.06)</f>
        <v>58.815799999999996</v>
      </c>
      <c r="X555" s="60">
        <f>IF(ISERROR(VLOOKUP($U$555,'TAR FIN'!$A$1:$O$104,15,0)),0,VLOOKUP($U$555,'TAR FIN'!$A$1:$O$104,15,0))*(1-0.06)</f>
        <v>228.25079999999997</v>
      </c>
      <c r="Y555" s="60">
        <f ca="1">('TUSD BE'!$AM$14+'TUSD BF'!$AM$14+'TUSD CVA'!$AM$14)*1*(1-0.03)</f>
        <v>25.49175935061109</v>
      </c>
      <c r="Z555" s="60">
        <f ca="1">('TUSD BE'!$AM$15+'TUSD BF'!$AM$15+'TUSD CVA'!$AM$15)*1*(1-0.03)</f>
        <v>75.539915902184802</v>
      </c>
      <c r="AA555" s="60">
        <f>('TE BE'!$AB$8+'TE BF'!$AB$8+'TE CVA'!$AB$8)*1*(1-0.03)</f>
        <v>224.80969662802207</v>
      </c>
      <c r="AB555" s="6">
        <f>$K$555*$V$555</f>
        <v>398883.8112</v>
      </c>
      <c r="AC555" s="6">
        <f>$M$555*$W$555</f>
        <v>422041.24237519997</v>
      </c>
      <c r="AD555" s="6">
        <f>$O$555*$X$555</f>
        <v>1637846.4835151997</v>
      </c>
      <c r="AE555" s="6">
        <f ca="1">$K$555*$Y$555</f>
        <v>412558.63333028991</v>
      </c>
      <c r="AF555" s="6">
        <f ca="1">$M$555*$Z$555</f>
        <v>542047.54430401698</v>
      </c>
      <c r="AG555" s="6">
        <f>$O$555*$AA$555</f>
        <v>1613154.3507506868</v>
      </c>
    </row>
    <row r="556" spans="1:33" ht="11.25" customHeight="1" x14ac:dyDescent="0.25">
      <c r="A556" s="4" t="s">
        <v>21</v>
      </c>
      <c r="B556" s="4" t="s">
        <v>41</v>
      </c>
      <c r="C556" s="4" t="s">
        <v>40</v>
      </c>
      <c r="D556" s="4" t="s">
        <v>50</v>
      </c>
      <c r="E556" s="4" t="s">
        <v>51</v>
      </c>
      <c r="F556" s="4" t="s">
        <v>25</v>
      </c>
      <c r="G556" s="4" t="s">
        <v>25</v>
      </c>
      <c r="H556" s="4" t="s">
        <v>35</v>
      </c>
      <c r="I556" s="5">
        <v>44652</v>
      </c>
      <c r="J556" s="6">
        <v>16101</v>
      </c>
      <c r="K556" s="61">
        <v>16101</v>
      </c>
      <c r="L556" s="6">
        <v>6956.0370000000003</v>
      </c>
      <c r="M556" s="60">
        <v>6956.0370000000003</v>
      </c>
      <c r="N556" s="6">
        <v>6956.0370000000003</v>
      </c>
      <c r="O556" s="60">
        <v>6956.0370000000003</v>
      </c>
      <c r="P556" s="6">
        <v>0</v>
      </c>
      <c r="Q556" s="4" t="s">
        <v>26</v>
      </c>
      <c r="R556" s="4">
        <v>0</v>
      </c>
      <c r="S556" s="6">
        <v>20</v>
      </c>
      <c r="T556" s="6">
        <v>22</v>
      </c>
      <c r="U556" s="6">
        <v>67</v>
      </c>
      <c r="V556" s="60">
        <f>IF(ISERROR(VLOOKUP($S$556,'TAR FIN'!$A$1:$O$104,15,0)),0,VLOOKUP($S$556,'TAR FIN'!$A$1:$O$104,15,0))*(1-0.06)</f>
        <v>24.646799999999999</v>
      </c>
      <c r="W556" s="60">
        <f>IF(ISERROR(VLOOKUP($T$556,'TAR FIN'!$A$1:$O$104,15,0)),0,VLOOKUP($T$556,'TAR FIN'!$A$1:$O$104,15,0))*(1-0.06)</f>
        <v>58.815799999999996</v>
      </c>
      <c r="X556" s="60">
        <f>IF(ISERROR(VLOOKUP($U$556,'TAR FIN'!$A$1:$O$104,15,0)),0,VLOOKUP($U$556,'TAR FIN'!$A$1:$O$104,15,0))*(1-0.06)</f>
        <v>228.25079999999997</v>
      </c>
      <c r="Y556" s="60">
        <f ca="1">('TUSD BE'!$AM$14+'TUSD BF'!$AM$14+'TUSD CVA'!$AM$14)*1*(1-0.03)</f>
        <v>25.49175935061109</v>
      </c>
      <c r="Z556" s="60">
        <f ca="1">('TUSD BE'!$AM$15+'TUSD BF'!$AM$15+'TUSD CVA'!$AM$15)*1*(1-0.03)</f>
        <v>75.539915902184802</v>
      </c>
      <c r="AA556" s="60">
        <f>('TE BE'!$AB$8+'TE BF'!$AB$8+'TE CVA'!$AB$8)*1*(1-0.03)</f>
        <v>224.80969662802207</v>
      </c>
      <c r="AB556" s="6">
        <f>$K$556*$V$556</f>
        <v>396838.12679999997</v>
      </c>
      <c r="AC556" s="6">
        <f>$M$556*$W$556</f>
        <v>409124.88098459999</v>
      </c>
      <c r="AD556" s="6">
        <f>$O$556*$X$556</f>
        <v>1587721.0100795999</v>
      </c>
      <c r="AE556" s="6">
        <f ca="1">$K$556*$Y$556</f>
        <v>410442.81730418914</v>
      </c>
      <c r="AF556" s="6">
        <f ca="1">$M$556*$Z$556</f>
        <v>525458.44999248593</v>
      </c>
      <c r="AG556" s="6">
        <f>$O$556*$AA$556</f>
        <v>1563784.5677032969</v>
      </c>
    </row>
    <row r="557" spans="1:33" ht="11.25" customHeight="1" x14ac:dyDescent="0.25">
      <c r="A557" s="4" t="s">
        <v>21</v>
      </c>
      <c r="B557" s="4" t="s">
        <v>41</v>
      </c>
      <c r="C557" s="4" t="s">
        <v>40</v>
      </c>
      <c r="D557" s="4" t="s">
        <v>50</v>
      </c>
      <c r="E557" s="4" t="s">
        <v>51</v>
      </c>
      <c r="F557" s="4" t="s">
        <v>25</v>
      </c>
      <c r="G557" s="4" t="s">
        <v>25</v>
      </c>
      <c r="H557" s="4" t="s">
        <v>35</v>
      </c>
      <c r="I557" s="5">
        <v>44682</v>
      </c>
      <c r="J557" s="6">
        <v>16125</v>
      </c>
      <c r="K557" s="61">
        <v>16125</v>
      </c>
      <c r="L557" s="6">
        <v>6974.0360000000001</v>
      </c>
      <c r="M557" s="60">
        <v>6974.0360000000001</v>
      </c>
      <c r="N557" s="6">
        <v>6974.0360000000001</v>
      </c>
      <c r="O557" s="60">
        <v>6974.0360000000001</v>
      </c>
      <c r="P557" s="6">
        <v>0</v>
      </c>
      <c r="Q557" s="4" t="s">
        <v>26</v>
      </c>
      <c r="R557" s="4">
        <v>0</v>
      </c>
      <c r="S557" s="6">
        <v>20</v>
      </c>
      <c r="T557" s="6">
        <v>22</v>
      </c>
      <c r="U557" s="6">
        <v>67</v>
      </c>
      <c r="V557" s="60">
        <f>IF(ISERROR(VLOOKUP($S$557,'TAR FIN'!$A$1:$O$104,15,0)),0,VLOOKUP($S$557,'TAR FIN'!$A$1:$O$104,15,0))*(1-0.06)</f>
        <v>24.646799999999999</v>
      </c>
      <c r="W557" s="60">
        <f>IF(ISERROR(VLOOKUP($T$557,'TAR FIN'!$A$1:$O$104,15,0)),0,VLOOKUP($T$557,'TAR FIN'!$A$1:$O$104,15,0))*(1-0.06)</f>
        <v>58.815799999999996</v>
      </c>
      <c r="X557" s="60">
        <f>IF(ISERROR(VLOOKUP($U$557,'TAR FIN'!$A$1:$O$104,15,0)),0,VLOOKUP($U$557,'TAR FIN'!$A$1:$O$104,15,0))*(1-0.06)</f>
        <v>228.25079999999997</v>
      </c>
      <c r="Y557" s="60">
        <f ca="1">('TUSD BE'!$AM$14+'TUSD BF'!$AM$14+'TUSD CVA'!$AM$14)*1*(1-0.03)</f>
        <v>25.49175935061109</v>
      </c>
      <c r="Z557" s="60">
        <f ca="1">('TUSD BE'!$AM$15+'TUSD BF'!$AM$15+'TUSD CVA'!$AM$15)*1*(1-0.03)</f>
        <v>75.539915902184802</v>
      </c>
      <c r="AA557" s="60">
        <f>('TE BE'!$AB$8+'TE BF'!$AB$8+'TE CVA'!$AB$8)*1*(1-0.03)</f>
        <v>224.80969662802207</v>
      </c>
      <c r="AB557" s="6">
        <f>$K$557*$V$557</f>
        <v>397429.64999999997</v>
      </c>
      <c r="AC557" s="6">
        <f>$M$557*$W$557</f>
        <v>410183.50656879996</v>
      </c>
      <c r="AD557" s="6">
        <f>$O$557*$X$557</f>
        <v>1591829.2962287997</v>
      </c>
      <c r="AE557" s="6">
        <f ca="1">$K$557*$Y$557</f>
        <v>411054.61952860386</v>
      </c>
      <c r="AF557" s="6">
        <f ca="1">$M$557*$Z$557</f>
        <v>526818.09293880931</v>
      </c>
      <c r="AG557" s="6">
        <f>$O$557*$AA$557</f>
        <v>1567830.9174329045</v>
      </c>
    </row>
    <row r="558" spans="1:33" ht="11.25" customHeight="1" x14ac:dyDescent="0.25">
      <c r="A558" s="4" t="s">
        <v>21</v>
      </c>
      <c r="B558" s="4" t="s">
        <v>41</v>
      </c>
      <c r="C558" s="4" t="s">
        <v>40</v>
      </c>
      <c r="D558" s="4" t="s">
        <v>50</v>
      </c>
      <c r="E558" s="4" t="s">
        <v>51</v>
      </c>
      <c r="F558" s="4" t="s">
        <v>25</v>
      </c>
      <c r="G558" s="4" t="s">
        <v>25</v>
      </c>
      <c r="H558" s="4" t="s">
        <v>35</v>
      </c>
      <c r="I558" s="5">
        <v>44713</v>
      </c>
      <c r="J558" s="6">
        <v>16086</v>
      </c>
      <c r="K558" s="61">
        <v>16086</v>
      </c>
      <c r="L558" s="6">
        <v>6602.4160000000002</v>
      </c>
      <c r="M558" s="60">
        <v>6602.4160000000002</v>
      </c>
      <c r="N558" s="6">
        <v>6602.4160000000002</v>
      </c>
      <c r="O558" s="60">
        <v>6602.4160000000002</v>
      </c>
      <c r="P558" s="6">
        <v>0</v>
      </c>
      <c r="Q558" s="4" t="s">
        <v>26</v>
      </c>
      <c r="R558" s="4">
        <v>0</v>
      </c>
      <c r="S558" s="6">
        <v>20</v>
      </c>
      <c r="T558" s="6">
        <v>22</v>
      </c>
      <c r="U558" s="6">
        <v>67</v>
      </c>
      <c r="V558" s="60">
        <f>IF(ISERROR(VLOOKUP($S$558,'TAR FIN'!$A$1:$O$104,15,0)),0,VLOOKUP($S$558,'TAR FIN'!$A$1:$O$104,15,0))*(1-0.06)</f>
        <v>24.646799999999999</v>
      </c>
      <c r="W558" s="60">
        <f>IF(ISERROR(VLOOKUP($T$558,'TAR FIN'!$A$1:$O$104,15,0)),0,VLOOKUP($T$558,'TAR FIN'!$A$1:$O$104,15,0))*(1-0.06)</f>
        <v>58.815799999999996</v>
      </c>
      <c r="X558" s="60">
        <f>IF(ISERROR(VLOOKUP($U$558,'TAR FIN'!$A$1:$O$104,15,0)),0,VLOOKUP($U$558,'TAR FIN'!$A$1:$O$104,15,0))*(1-0.06)</f>
        <v>228.25079999999997</v>
      </c>
      <c r="Y558" s="60">
        <f ca="1">('TUSD BE'!$AM$14+'TUSD BF'!$AM$14+'TUSD CVA'!$AM$14)*1*(1-0.03)</f>
        <v>25.49175935061109</v>
      </c>
      <c r="Z558" s="60">
        <f ca="1">('TUSD BE'!$AM$15+'TUSD BF'!$AM$15+'TUSD CVA'!$AM$15)*1*(1-0.03)</f>
        <v>75.539915902184802</v>
      </c>
      <c r="AA558" s="60">
        <f>('TE BE'!$AB$8+'TE BF'!$AB$8+'TE CVA'!$AB$8)*1*(1-0.03)</f>
        <v>224.80969662802207</v>
      </c>
      <c r="AB558" s="6">
        <f>$K$558*$V$558</f>
        <v>396468.42479999998</v>
      </c>
      <c r="AC558" s="6">
        <f>$M$558*$W$558</f>
        <v>388326.37897279998</v>
      </c>
      <c r="AD558" s="6">
        <f>$O$558*$X$558</f>
        <v>1507006.7339327999</v>
      </c>
      <c r="AE558" s="6">
        <f ca="1">$K$558*$Y$558</f>
        <v>410060.44091393001</v>
      </c>
      <c r="AF558" s="6">
        <f ca="1">$M$558*$Z$558</f>
        <v>498745.94939123938</v>
      </c>
      <c r="AG558" s="6">
        <f>$O$558*$AA$558</f>
        <v>1484287.1379719989</v>
      </c>
    </row>
    <row r="559" spans="1:33" ht="11.25" customHeight="1" x14ac:dyDescent="0.25">
      <c r="A559" s="4" t="s">
        <v>57</v>
      </c>
      <c r="B559" s="4" t="s">
        <v>41</v>
      </c>
      <c r="C559" s="4" t="s">
        <v>40</v>
      </c>
      <c r="D559" s="4" t="s">
        <v>50</v>
      </c>
      <c r="E559" s="4" t="s">
        <v>51</v>
      </c>
      <c r="F559" s="4" t="s">
        <v>25</v>
      </c>
      <c r="G559" s="4" t="s">
        <v>25</v>
      </c>
      <c r="H559" s="4" t="s">
        <v>35</v>
      </c>
      <c r="I559" s="5">
        <v>44743</v>
      </c>
      <c r="J559" s="6">
        <v>16086</v>
      </c>
      <c r="K559" s="61">
        <v>16086</v>
      </c>
      <c r="L559" s="6">
        <v>6602.4160000000002</v>
      </c>
      <c r="M559" s="60">
        <v>6602.4160000000002</v>
      </c>
      <c r="N559" s="6">
        <v>6602.4160000000002</v>
      </c>
      <c r="O559" s="60">
        <v>6602.4160000000002</v>
      </c>
      <c r="P559" s="6">
        <v>0</v>
      </c>
      <c r="Q559" s="4" t="s">
        <v>26</v>
      </c>
      <c r="R559" s="4">
        <v>0</v>
      </c>
      <c r="S559" s="6">
        <v>20</v>
      </c>
      <c r="T559" s="6">
        <v>22</v>
      </c>
      <c r="U559" s="6">
        <v>67</v>
      </c>
      <c r="V559" s="60">
        <f>IF(ISERROR(VLOOKUP($S$559,'TAR FIN'!$A$1:$O$104,15,0)),0,VLOOKUP($S$559,'TAR FIN'!$A$1:$O$104,15,0))*(1-0.06)</f>
        <v>24.646799999999999</v>
      </c>
      <c r="W559" s="60">
        <f>IF(ISERROR(VLOOKUP($T$559,'TAR FIN'!$A$1:$O$104,15,0)),0,VLOOKUP($T$559,'TAR FIN'!$A$1:$O$104,15,0))*(1-0.06)</f>
        <v>58.815799999999996</v>
      </c>
      <c r="X559" s="60">
        <f>IF(ISERROR(VLOOKUP($U$559,'TAR FIN'!$A$1:$O$104,15,0)),0,VLOOKUP($U$559,'TAR FIN'!$A$1:$O$104,15,0))*(1-0.06)</f>
        <v>228.25079999999997</v>
      </c>
      <c r="Y559" s="60">
        <f ca="1">('TUSD BE'!$AM$14+'TUSD BF'!$AM$14+'TUSD CVA'!$AM$14)*1*(1-0.03)</f>
        <v>25.49175935061109</v>
      </c>
      <c r="Z559" s="60">
        <f ca="1">('TUSD BE'!$AM$15+'TUSD BF'!$AM$15+'TUSD CVA'!$AM$15)*1*(1-0.03)</f>
        <v>75.539915902184802</v>
      </c>
      <c r="AA559" s="60">
        <f>('TE BE'!$AB$8+'TE BF'!$AB$8+'TE CVA'!$AB$8)*1*(1-0.03)</f>
        <v>224.80969662802207</v>
      </c>
      <c r="AB559" s="6">
        <f>$K$559*$V$559</f>
        <v>396468.42479999998</v>
      </c>
      <c r="AC559" s="6">
        <f>$M$559*$W$559</f>
        <v>388326.37897279998</v>
      </c>
      <c r="AD559" s="6">
        <f>$O$559*$X$559</f>
        <v>1507006.7339327999</v>
      </c>
      <c r="AE559" s="6">
        <f ca="1">$K$559*$Y$559</f>
        <v>410060.44091393001</v>
      </c>
      <c r="AF559" s="6">
        <f ca="1">$M$559*$Z$559</f>
        <v>498745.94939123938</v>
      </c>
      <c r="AG559" s="6">
        <f>$O$559*$AA$559</f>
        <v>1484287.1379719989</v>
      </c>
    </row>
    <row r="560" spans="1:33" ht="11.25" customHeight="1" x14ac:dyDescent="0.25">
      <c r="A560" s="4" t="s">
        <v>21</v>
      </c>
      <c r="B560" s="4" t="s">
        <v>41</v>
      </c>
      <c r="C560" s="4" t="s">
        <v>40</v>
      </c>
      <c r="D560" s="4" t="s">
        <v>50</v>
      </c>
      <c r="E560" s="4" t="s">
        <v>51</v>
      </c>
      <c r="F560" s="4" t="s">
        <v>25</v>
      </c>
      <c r="G560" s="4" t="s">
        <v>25</v>
      </c>
      <c r="H560" s="4" t="s">
        <v>34</v>
      </c>
      <c r="I560" s="5">
        <v>44409</v>
      </c>
      <c r="J560" s="6">
        <v>15523</v>
      </c>
      <c r="K560" s="61">
        <v>15523</v>
      </c>
      <c r="L560" s="6">
        <v>691.70100000000002</v>
      </c>
      <c r="M560" s="60">
        <v>691.70100000000002</v>
      </c>
      <c r="N560" s="6">
        <v>691.70100000000002</v>
      </c>
      <c r="O560" s="60">
        <v>691.70100000000002</v>
      </c>
      <c r="P560" s="6">
        <v>0</v>
      </c>
      <c r="Q560" s="4" t="s">
        <v>26</v>
      </c>
      <c r="R560" s="4">
        <v>0</v>
      </c>
      <c r="S560" s="6">
        <v>18</v>
      </c>
      <c r="T560" s="6">
        <v>22</v>
      </c>
      <c r="U560" s="6">
        <v>66</v>
      </c>
      <c r="V560" s="60">
        <f>IF(ISERROR(VLOOKUP($S$560,'TAR FIN'!$A$1:$O$104,15,0)),0,VLOOKUP($S$560,'TAR FIN'!$A$1:$O$104,15,0))*(1-0.06)</f>
        <v>49.020999999999994</v>
      </c>
      <c r="W560" s="60">
        <f>IF(ISERROR(VLOOKUP($T$560,'TAR FIN'!$A$1:$O$104,15,0)),0,VLOOKUP($T$560,'TAR FIN'!$A$1:$O$104,15,0))*(1-0.06)</f>
        <v>58.815799999999996</v>
      </c>
      <c r="X560" s="60">
        <f>IF(ISERROR(VLOOKUP($U$560,'TAR FIN'!$A$1:$O$104,15,0)),0,VLOOKUP($U$560,'TAR FIN'!$A$1:$O$104,15,0))*(1-0.06)</f>
        <v>373.76279999999997</v>
      </c>
      <c r="Y560" s="60">
        <f ca="1">('TUSD BE'!$AM$13+'TUSD BF'!$AM$13+'TUSD CVA'!$AM$13)*1*(1-0.03)</f>
        <v>50.666663165033995</v>
      </c>
      <c r="Z560" s="60">
        <f ca="1">('TUSD BE'!$AM$15+'TUSD BF'!$AM$15+'TUSD CVA'!$AM$15)*1*(1-0.03)</f>
        <v>75.539915902184802</v>
      </c>
      <c r="AA560" s="60">
        <f>('TE BE'!$AB$7+'TE BF'!$AB$7+'TE CVA'!$AB$7)*1*(1-0.03)</f>
        <v>349.45248311940099</v>
      </c>
      <c r="AB560" s="6">
        <f>$K$560*$V$560</f>
        <v>760952.98299999989</v>
      </c>
      <c r="AC560" s="6">
        <f>$M$560*$W$560</f>
        <v>40682.947675800002</v>
      </c>
      <c r="AD560" s="6">
        <f>$O$560*$X$560</f>
        <v>258532.10252279998</v>
      </c>
      <c r="AE560" s="6">
        <f ca="1">$K$560*$Y$560</f>
        <v>786498.6123108227</v>
      </c>
      <c r="AF560" s="6">
        <f ca="1">$M$560*$Z$560</f>
        <v>52251.035369457131</v>
      </c>
      <c r="AG560" s="6">
        <f>$O$560*$AA$560</f>
        <v>241716.6320261728</v>
      </c>
    </row>
    <row r="561" spans="1:33" ht="11.25" customHeight="1" x14ac:dyDescent="0.25">
      <c r="A561" s="4" t="s">
        <v>21</v>
      </c>
      <c r="B561" s="4" t="s">
        <v>41</v>
      </c>
      <c r="C561" s="4" t="s">
        <v>40</v>
      </c>
      <c r="D561" s="4" t="s">
        <v>50</v>
      </c>
      <c r="E561" s="4" t="s">
        <v>51</v>
      </c>
      <c r="F561" s="4" t="s">
        <v>25</v>
      </c>
      <c r="G561" s="4" t="s">
        <v>25</v>
      </c>
      <c r="H561" s="4" t="s">
        <v>34</v>
      </c>
      <c r="I561" s="5">
        <v>44440</v>
      </c>
      <c r="J561" s="6">
        <v>15631</v>
      </c>
      <c r="K561" s="61">
        <v>15631</v>
      </c>
      <c r="L561" s="6">
        <v>674.91300000000001</v>
      </c>
      <c r="M561" s="60">
        <v>674.91300000000001</v>
      </c>
      <c r="N561" s="6">
        <v>674.91300000000001</v>
      </c>
      <c r="O561" s="60">
        <v>674.91300000000001</v>
      </c>
      <c r="P561" s="6">
        <v>0</v>
      </c>
      <c r="Q561" s="4" t="s">
        <v>26</v>
      </c>
      <c r="R561" s="4">
        <v>0</v>
      </c>
      <c r="S561" s="6">
        <v>18</v>
      </c>
      <c r="T561" s="6">
        <v>22</v>
      </c>
      <c r="U561" s="6">
        <v>66</v>
      </c>
      <c r="V561" s="60">
        <f>IF(ISERROR(VLOOKUP($S$561,'TAR FIN'!$A$1:$O$104,15,0)),0,VLOOKUP($S$561,'TAR FIN'!$A$1:$O$104,15,0))*(1-0.06)</f>
        <v>49.020999999999994</v>
      </c>
      <c r="W561" s="60">
        <f>IF(ISERROR(VLOOKUP($T$561,'TAR FIN'!$A$1:$O$104,15,0)),0,VLOOKUP($T$561,'TAR FIN'!$A$1:$O$104,15,0))*(1-0.06)</f>
        <v>58.815799999999996</v>
      </c>
      <c r="X561" s="60">
        <f>IF(ISERROR(VLOOKUP($U$561,'TAR FIN'!$A$1:$O$104,15,0)),0,VLOOKUP($U$561,'TAR FIN'!$A$1:$O$104,15,0))*(1-0.06)</f>
        <v>373.76279999999997</v>
      </c>
      <c r="Y561" s="60">
        <f ca="1">('TUSD BE'!$AM$13+'TUSD BF'!$AM$13+'TUSD CVA'!$AM$13)*1*(1-0.03)</f>
        <v>50.666663165033995</v>
      </c>
      <c r="Z561" s="60">
        <f ca="1">('TUSD BE'!$AM$15+'TUSD BF'!$AM$15+'TUSD CVA'!$AM$15)*1*(1-0.03)</f>
        <v>75.539915902184802</v>
      </c>
      <c r="AA561" s="60">
        <f>('TE BE'!$AB$7+'TE BF'!$AB$7+'TE CVA'!$AB$7)*1*(1-0.03)</f>
        <v>349.45248311940099</v>
      </c>
      <c r="AB561" s="6">
        <f>$K$561*$V$561</f>
        <v>766247.25099999993</v>
      </c>
      <c r="AC561" s="6">
        <f>$M$561*$W$561</f>
        <v>39695.548025399999</v>
      </c>
      <c r="AD561" s="6">
        <f>$O$561*$X$561</f>
        <v>252257.37263639999</v>
      </c>
      <c r="AE561" s="6">
        <f ca="1">$K$561*$Y$561</f>
        <v>791970.61193264637</v>
      </c>
      <c r="AF561" s="6">
        <f ca="1">$M$561*$Z$561</f>
        <v>50982.87126129125</v>
      </c>
      <c r="AG561" s="6">
        <f>$O$561*$AA$561</f>
        <v>235850.02373956429</v>
      </c>
    </row>
    <row r="562" spans="1:33" ht="11.25" customHeight="1" x14ac:dyDescent="0.25">
      <c r="A562" s="4" t="s">
        <v>21</v>
      </c>
      <c r="B562" s="4" t="s">
        <v>41</v>
      </c>
      <c r="C562" s="4" t="s">
        <v>40</v>
      </c>
      <c r="D562" s="4" t="s">
        <v>50</v>
      </c>
      <c r="E562" s="4" t="s">
        <v>51</v>
      </c>
      <c r="F562" s="4" t="s">
        <v>25</v>
      </c>
      <c r="G562" s="4" t="s">
        <v>25</v>
      </c>
      <c r="H562" s="4" t="s">
        <v>34</v>
      </c>
      <c r="I562" s="5">
        <v>44470</v>
      </c>
      <c r="J562" s="6">
        <v>15687</v>
      </c>
      <c r="K562" s="61">
        <v>15687</v>
      </c>
      <c r="L562" s="6">
        <v>665.97199999999998</v>
      </c>
      <c r="M562" s="60">
        <v>665.97199999999998</v>
      </c>
      <c r="N562" s="6">
        <v>665.97199999999998</v>
      </c>
      <c r="O562" s="60">
        <v>665.97199999999998</v>
      </c>
      <c r="P562" s="6">
        <v>0</v>
      </c>
      <c r="Q562" s="4" t="s">
        <v>26</v>
      </c>
      <c r="R562" s="4">
        <v>0</v>
      </c>
      <c r="S562" s="6">
        <v>18</v>
      </c>
      <c r="T562" s="6">
        <v>22</v>
      </c>
      <c r="U562" s="6">
        <v>66</v>
      </c>
      <c r="V562" s="60">
        <f>IF(ISERROR(VLOOKUP($S$562,'TAR FIN'!$A$1:$O$104,15,0)),0,VLOOKUP($S$562,'TAR FIN'!$A$1:$O$104,15,0))*(1-0.06)</f>
        <v>49.020999999999994</v>
      </c>
      <c r="W562" s="60">
        <f>IF(ISERROR(VLOOKUP($T$562,'TAR FIN'!$A$1:$O$104,15,0)),0,VLOOKUP($T$562,'TAR FIN'!$A$1:$O$104,15,0))*(1-0.06)</f>
        <v>58.815799999999996</v>
      </c>
      <c r="X562" s="60">
        <f>IF(ISERROR(VLOOKUP($U$562,'TAR FIN'!$A$1:$O$104,15,0)),0,VLOOKUP($U$562,'TAR FIN'!$A$1:$O$104,15,0))*(1-0.06)</f>
        <v>373.76279999999997</v>
      </c>
      <c r="Y562" s="60">
        <f ca="1">('TUSD BE'!$AM$13+'TUSD BF'!$AM$13+'TUSD CVA'!$AM$13)*1*(1-0.03)</f>
        <v>50.666663165033995</v>
      </c>
      <c r="Z562" s="60">
        <f ca="1">('TUSD BE'!$AM$15+'TUSD BF'!$AM$15+'TUSD CVA'!$AM$15)*1*(1-0.03)</f>
        <v>75.539915902184802</v>
      </c>
      <c r="AA562" s="60">
        <f>('TE BE'!$AB$7+'TE BF'!$AB$7+'TE CVA'!$AB$7)*1*(1-0.03)</f>
        <v>349.45248311940099</v>
      </c>
      <c r="AB562" s="6">
        <f>$K$562*$V$562</f>
        <v>768992.42699999991</v>
      </c>
      <c r="AC562" s="6">
        <f>$M$562*$W$562</f>
        <v>39169.675957599997</v>
      </c>
      <c r="AD562" s="6">
        <f>$O$562*$X$562</f>
        <v>248915.55944159997</v>
      </c>
      <c r="AE562" s="6">
        <f ca="1">$K$562*$Y$562</f>
        <v>794807.94506988826</v>
      </c>
      <c r="AF562" s="6">
        <f ca="1">$M$562*$Z$562</f>
        <v>50307.468873209815</v>
      </c>
      <c r="AG562" s="6">
        <f>$O$562*$AA$562</f>
        <v>232725.5690879937</v>
      </c>
    </row>
    <row r="563" spans="1:33" ht="11.25" customHeight="1" x14ac:dyDescent="0.25">
      <c r="A563" s="4" t="s">
        <v>21</v>
      </c>
      <c r="B563" s="4" t="s">
        <v>41</v>
      </c>
      <c r="C563" s="4" t="s">
        <v>40</v>
      </c>
      <c r="D563" s="4" t="s">
        <v>50</v>
      </c>
      <c r="E563" s="4" t="s">
        <v>51</v>
      </c>
      <c r="F563" s="4" t="s">
        <v>25</v>
      </c>
      <c r="G563" s="4" t="s">
        <v>25</v>
      </c>
      <c r="H563" s="4" t="s">
        <v>34</v>
      </c>
      <c r="I563" s="5">
        <v>44501</v>
      </c>
      <c r="J563" s="6">
        <v>15717</v>
      </c>
      <c r="K563" s="61">
        <v>15717</v>
      </c>
      <c r="L563" s="6">
        <v>660.49800000000005</v>
      </c>
      <c r="M563" s="60">
        <v>660.49800000000005</v>
      </c>
      <c r="N563" s="6">
        <v>660.49800000000005</v>
      </c>
      <c r="O563" s="60">
        <v>660.49800000000005</v>
      </c>
      <c r="P563" s="6">
        <v>0</v>
      </c>
      <c r="Q563" s="4" t="s">
        <v>26</v>
      </c>
      <c r="R563" s="4">
        <v>0</v>
      </c>
      <c r="S563" s="6">
        <v>18</v>
      </c>
      <c r="T563" s="6">
        <v>22</v>
      </c>
      <c r="U563" s="6">
        <v>66</v>
      </c>
      <c r="V563" s="60">
        <f>IF(ISERROR(VLOOKUP($S$563,'TAR FIN'!$A$1:$O$104,15,0)),0,VLOOKUP($S$563,'TAR FIN'!$A$1:$O$104,15,0))*(1-0.06)</f>
        <v>49.020999999999994</v>
      </c>
      <c r="W563" s="60">
        <f>IF(ISERROR(VLOOKUP($T$563,'TAR FIN'!$A$1:$O$104,15,0)),0,VLOOKUP($T$563,'TAR FIN'!$A$1:$O$104,15,0))*(1-0.06)</f>
        <v>58.815799999999996</v>
      </c>
      <c r="X563" s="60">
        <f>IF(ISERROR(VLOOKUP($U$563,'TAR FIN'!$A$1:$O$104,15,0)),0,VLOOKUP($U$563,'TAR FIN'!$A$1:$O$104,15,0))*(1-0.06)</f>
        <v>373.76279999999997</v>
      </c>
      <c r="Y563" s="60">
        <f ca="1">('TUSD BE'!$AM$13+'TUSD BF'!$AM$13+'TUSD CVA'!$AM$13)*1*(1-0.03)</f>
        <v>50.666663165033995</v>
      </c>
      <c r="Z563" s="60">
        <f ca="1">('TUSD BE'!$AM$15+'TUSD BF'!$AM$15+'TUSD CVA'!$AM$15)*1*(1-0.03)</f>
        <v>75.539915902184802</v>
      </c>
      <c r="AA563" s="60">
        <f>('TE BE'!$AB$7+'TE BF'!$AB$7+'TE CVA'!$AB$7)*1*(1-0.03)</f>
        <v>349.45248311940099</v>
      </c>
      <c r="AB563" s="6">
        <f>$K$563*$V$563</f>
        <v>770463.05699999991</v>
      </c>
      <c r="AC563" s="6">
        <f>$M$563*$W$563</f>
        <v>38847.7182684</v>
      </c>
      <c r="AD563" s="6">
        <f>$O$563*$X$563</f>
        <v>246869.5818744</v>
      </c>
      <c r="AE563" s="6">
        <f ca="1">$K$563*$Y$563</f>
        <v>796327.94496483926</v>
      </c>
      <c r="AF563" s="6">
        <f ca="1">$M$563*$Z$563</f>
        <v>49893.963373561259</v>
      </c>
      <c r="AG563" s="6">
        <f>$O$563*$AA$563</f>
        <v>230812.66619539814</v>
      </c>
    </row>
    <row r="564" spans="1:33" ht="11.25" customHeight="1" x14ac:dyDescent="0.25">
      <c r="A564" s="4" t="s">
        <v>21</v>
      </c>
      <c r="B564" s="4" t="s">
        <v>41</v>
      </c>
      <c r="C564" s="4" t="s">
        <v>40</v>
      </c>
      <c r="D564" s="4" t="s">
        <v>50</v>
      </c>
      <c r="E564" s="4" t="s">
        <v>51</v>
      </c>
      <c r="F564" s="4" t="s">
        <v>25</v>
      </c>
      <c r="G564" s="4" t="s">
        <v>25</v>
      </c>
      <c r="H564" s="4" t="s">
        <v>34</v>
      </c>
      <c r="I564" s="5">
        <v>44531</v>
      </c>
      <c r="J564" s="6">
        <v>15797</v>
      </c>
      <c r="K564" s="61">
        <v>15797</v>
      </c>
      <c r="L564" s="6">
        <v>749.51499999999999</v>
      </c>
      <c r="M564" s="60">
        <v>749.51499999999999</v>
      </c>
      <c r="N564" s="6">
        <v>749.51499999999999</v>
      </c>
      <c r="O564" s="60">
        <v>749.51499999999999</v>
      </c>
      <c r="P564" s="6">
        <v>0</v>
      </c>
      <c r="Q564" s="4" t="s">
        <v>26</v>
      </c>
      <c r="R564" s="4">
        <v>0</v>
      </c>
      <c r="S564" s="6">
        <v>18</v>
      </c>
      <c r="T564" s="6">
        <v>22</v>
      </c>
      <c r="U564" s="6">
        <v>66</v>
      </c>
      <c r="V564" s="60">
        <f>IF(ISERROR(VLOOKUP($S$564,'TAR FIN'!$A$1:$O$104,15,0)),0,VLOOKUP($S$564,'TAR FIN'!$A$1:$O$104,15,0))*(1-0.06)</f>
        <v>49.020999999999994</v>
      </c>
      <c r="W564" s="60">
        <f>IF(ISERROR(VLOOKUP($T$564,'TAR FIN'!$A$1:$O$104,15,0)),0,VLOOKUP($T$564,'TAR FIN'!$A$1:$O$104,15,0))*(1-0.06)</f>
        <v>58.815799999999996</v>
      </c>
      <c r="X564" s="60">
        <f>IF(ISERROR(VLOOKUP($U$564,'TAR FIN'!$A$1:$O$104,15,0)),0,VLOOKUP($U$564,'TAR FIN'!$A$1:$O$104,15,0))*(1-0.06)</f>
        <v>373.76279999999997</v>
      </c>
      <c r="Y564" s="60">
        <f ca="1">('TUSD BE'!$AM$13+'TUSD BF'!$AM$13+'TUSD CVA'!$AM$13)*1*(1-0.03)</f>
        <v>50.666663165033995</v>
      </c>
      <c r="Z564" s="60">
        <f ca="1">('TUSD BE'!$AM$15+'TUSD BF'!$AM$15+'TUSD CVA'!$AM$15)*1*(1-0.03)</f>
        <v>75.539915902184802</v>
      </c>
      <c r="AA564" s="60">
        <f>('TE BE'!$AB$7+'TE BF'!$AB$7+'TE CVA'!$AB$7)*1*(1-0.03)</f>
        <v>349.45248311940099</v>
      </c>
      <c r="AB564" s="6">
        <f>$K$564*$V$564</f>
        <v>774384.73699999985</v>
      </c>
      <c r="AC564" s="6">
        <f>$M$564*$W$564</f>
        <v>44083.324336999998</v>
      </c>
      <c r="AD564" s="6">
        <f>$O$564*$X$564</f>
        <v>280140.82504199998</v>
      </c>
      <c r="AE564" s="6">
        <f ca="1">$K$564*$Y$564</f>
        <v>800381.27801804198</v>
      </c>
      <c r="AF564" s="6">
        <f ca="1">$M$564*$Z$564</f>
        <v>56618.30006742604</v>
      </c>
      <c r="AG564" s="6">
        <f>$O$564*$AA$564</f>
        <v>261919.87788523783</v>
      </c>
    </row>
    <row r="565" spans="1:33" ht="11.25" customHeight="1" x14ac:dyDescent="0.25">
      <c r="A565" s="4" t="s">
        <v>21</v>
      </c>
      <c r="B565" s="4" t="s">
        <v>41</v>
      </c>
      <c r="C565" s="4" t="s">
        <v>40</v>
      </c>
      <c r="D565" s="4" t="s">
        <v>50</v>
      </c>
      <c r="E565" s="4" t="s">
        <v>51</v>
      </c>
      <c r="F565" s="4" t="s">
        <v>25</v>
      </c>
      <c r="G565" s="4" t="s">
        <v>25</v>
      </c>
      <c r="H565" s="4" t="s">
        <v>34</v>
      </c>
      <c r="I565" s="5">
        <v>44562</v>
      </c>
      <c r="J565" s="6">
        <v>15827</v>
      </c>
      <c r="K565" s="61">
        <v>15827</v>
      </c>
      <c r="L565" s="6">
        <v>705.90800000000002</v>
      </c>
      <c r="M565" s="60">
        <v>705.90800000000002</v>
      </c>
      <c r="N565" s="6">
        <v>705.90800000000002</v>
      </c>
      <c r="O565" s="60">
        <v>705.90800000000002</v>
      </c>
      <c r="P565" s="6">
        <v>0</v>
      </c>
      <c r="Q565" s="4" t="s">
        <v>26</v>
      </c>
      <c r="R565" s="4">
        <v>0</v>
      </c>
      <c r="S565" s="6">
        <v>18</v>
      </c>
      <c r="T565" s="6">
        <v>22</v>
      </c>
      <c r="U565" s="6">
        <v>66</v>
      </c>
      <c r="V565" s="60">
        <f>IF(ISERROR(VLOOKUP($S$565,'TAR FIN'!$A$1:$O$104,15,0)),0,VLOOKUP($S$565,'TAR FIN'!$A$1:$O$104,15,0))*(1-0.06)</f>
        <v>49.020999999999994</v>
      </c>
      <c r="W565" s="60">
        <f>IF(ISERROR(VLOOKUP($T$565,'TAR FIN'!$A$1:$O$104,15,0)),0,VLOOKUP($T$565,'TAR FIN'!$A$1:$O$104,15,0))*(1-0.06)</f>
        <v>58.815799999999996</v>
      </c>
      <c r="X565" s="60">
        <f>IF(ISERROR(VLOOKUP($U$565,'TAR FIN'!$A$1:$O$104,15,0)),0,VLOOKUP($U$565,'TAR FIN'!$A$1:$O$104,15,0))*(1-0.06)</f>
        <v>373.76279999999997</v>
      </c>
      <c r="Y565" s="60">
        <f ca="1">('TUSD BE'!$AM$13+'TUSD BF'!$AM$13+'TUSD CVA'!$AM$13)*1*(1-0.03)</f>
        <v>50.666663165033995</v>
      </c>
      <c r="Z565" s="60">
        <f ca="1">('TUSD BE'!$AM$15+'TUSD BF'!$AM$15+'TUSD CVA'!$AM$15)*1*(1-0.03)</f>
        <v>75.539915902184802</v>
      </c>
      <c r="AA565" s="60">
        <f>('TE BE'!$AB$7+'TE BF'!$AB$7+'TE CVA'!$AB$7)*1*(1-0.03)</f>
        <v>349.45248311940099</v>
      </c>
      <c r="AB565" s="6">
        <f>$K$565*$V$565</f>
        <v>775855.36699999985</v>
      </c>
      <c r="AC565" s="6">
        <f>$M$565*$W$565</f>
        <v>41518.543746399999</v>
      </c>
      <c r="AD565" s="6">
        <f>$O$565*$X$565</f>
        <v>263842.15062239999</v>
      </c>
      <c r="AE565" s="6">
        <f ca="1">$K$565*$Y$565</f>
        <v>801901.27791299298</v>
      </c>
      <c r="AF565" s="6">
        <f ca="1">$M$565*$Z$565</f>
        <v>53324.230954679471</v>
      </c>
      <c r="AG565" s="6">
        <f>$O$565*$AA$565</f>
        <v>246681.30345385012</v>
      </c>
    </row>
    <row r="566" spans="1:33" ht="11.25" customHeight="1" x14ac:dyDescent="0.25">
      <c r="A566" s="4" t="s">
        <v>21</v>
      </c>
      <c r="B566" s="4" t="s">
        <v>41</v>
      </c>
      <c r="C566" s="4" t="s">
        <v>40</v>
      </c>
      <c r="D566" s="4" t="s">
        <v>50</v>
      </c>
      <c r="E566" s="4" t="s">
        <v>51</v>
      </c>
      <c r="F566" s="4" t="s">
        <v>25</v>
      </c>
      <c r="G566" s="4" t="s">
        <v>25</v>
      </c>
      <c r="H566" s="4" t="s">
        <v>34</v>
      </c>
      <c r="I566" s="5">
        <v>44593</v>
      </c>
      <c r="J566" s="6">
        <v>15702</v>
      </c>
      <c r="K566" s="61">
        <v>15702</v>
      </c>
      <c r="L566" s="6">
        <v>675.41099999999994</v>
      </c>
      <c r="M566" s="60">
        <v>675.41099999999994</v>
      </c>
      <c r="N566" s="6">
        <v>675.41099999999994</v>
      </c>
      <c r="O566" s="60">
        <v>675.41099999999994</v>
      </c>
      <c r="P566" s="6">
        <v>0</v>
      </c>
      <c r="Q566" s="4" t="s">
        <v>26</v>
      </c>
      <c r="R566" s="4">
        <v>0</v>
      </c>
      <c r="S566" s="6">
        <v>18</v>
      </c>
      <c r="T566" s="6">
        <v>22</v>
      </c>
      <c r="U566" s="6">
        <v>66</v>
      </c>
      <c r="V566" s="60">
        <f>IF(ISERROR(VLOOKUP($S$566,'TAR FIN'!$A$1:$O$104,15,0)),0,VLOOKUP($S$566,'TAR FIN'!$A$1:$O$104,15,0))*(1-0.06)</f>
        <v>49.020999999999994</v>
      </c>
      <c r="W566" s="60">
        <f>IF(ISERROR(VLOOKUP($T$566,'TAR FIN'!$A$1:$O$104,15,0)),0,VLOOKUP($T$566,'TAR FIN'!$A$1:$O$104,15,0))*(1-0.06)</f>
        <v>58.815799999999996</v>
      </c>
      <c r="X566" s="60">
        <f>IF(ISERROR(VLOOKUP($U$566,'TAR FIN'!$A$1:$O$104,15,0)),0,VLOOKUP($U$566,'TAR FIN'!$A$1:$O$104,15,0))*(1-0.06)</f>
        <v>373.76279999999997</v>
      </c>
      <c r="Y566" s="60">
        <f ca="1">('TUSD BE'!$AM$13+'TUSD BF'!$AM$13+'TUSD CVA'!$AM$13)*1*(1-0.03)</f>
        <v>50.666663165033995</v>
      </c>
      <c r="Z566" s="60">
        <f ca="1">('TUSD BE'!$AM$15+'TUSD BF'!$AM$15+'TUSD CVA'!$AM$15)*1*(1-0.03)</f>
        <v>75.539915902184802</v>
      </c>
      <c r="AA566" s="60">
        <f>('TE BE'!$AB$7+'TE BF'!$AB$7+'TE CVA'!$AB$7)*1*(1-0.03)</f>
        <v>349.45248311940099</v>
      </c>
      <c r="AB566" s="6">
        <f>$K$566*$V$566</f>
        <v>769727.74199999985</v>
      </c>
      <c r="AC566" s="6">
        <f>$M$566*$W$566</f>
        <v>39724.838293799992</v>
      </c>
      <c r="AD566" s="6">
        <f>$O$566*$X$566</f>
        <v>252443.50651079995</v>
      </c>
      <c r="AE566" s="6">
        <f ca="1">$K$566*$Y$566</f>
        <v>795567.94501736376</v>
      </c>
      <c r="AF566" s="6">
        <f ca="1">$M$566*$Z$566</f>
        <v>51020.490139410533</v>
      </c>
      <c r="AG566" s="6">
        <f>$O$566*$AA$566</f>
        <v>236024.05107615772</v>
      </c>
    </row>
    <row r="567" spans="1:33" ht="11.25" customHeight="1" x14ac:dyDescent="0.25">
      <c r="A567" s="4" t="s">
        <v>21</v>
      </c>
      <c r="B567" s="4" t="s">
        <v>41</v>
      </c>
      <c r="C567" s="4" t="s">
        <v>40</v>
      </c>
      <c r="D567" s="4" t="s">
        <v>50</v>
      </c>
      <c r="E567" s="4" t="s">
        <v>51</v>
      </c>
      <c r="F567" s="4" t="s">
        <v>25</v>
      </c>
      <c r="G567" s="4" t="s">
        <v>25</v>
      </c>
      <c r="H567" s="4" t="s">
        <v>34</v>
      </c>
      <c r="I567" s="5">
        <v>44621</v>
      </c>
      <c r="J567" s="6">
        <v>15785</v>
      </c>
      <c r="K567" s="61">
        <v>15785</v>
      </c>
      <c r="L567" s="6">
        <v>713.55700000000002</v>
      </c>
      <c r="M567" s="60">
        <v>713.55700000000002</v>
      </c>
      <c r="N567" s="6">
        <v>713.55700000000002</v>
      </c>
      <c r="O567" s="60">
        <v>713.55700000000002</v>
      </c>
      <c r="P567" s="6">
        <v>0</v>
      </c>
      <c r="Q567" s="4" t="s">
        <v>26</v>
      </c>
      <c r="R567" s="4">
        <v>0</v>
      </c>
      <c r="S567" s="6">
        <v>18</v>
      </c>
      <c r="T567" s="6">
        <v>22</v>
      </c>
      <c r="U567" s="6">
        <v>66</v>
      </c>
      <c r="V567" s="60">
        <f>IF(ISERROR(VLOOKUP($S$567,'TAR FIN'!$A$1:$O$104,15,0)),0,VLOOKUP($S$567,'TAR FIN'!$A$1:$O$104,15,0))*(1-0.06)</f>
        <v>49.020999999999994</v>
      </c>
      <c r="W567" s="60">
        <f>IF(ISERROR(VLOOKUP($T$567,'TAR FIN'!$A$1:$O$104,15,0)),0,VLOOKUP($T$567,'TAR FIN'!$A$1:$O$104,15,0))*(1-0.06)</f>
        <v>58.815799999999996</v>
      </c>
      <c r="X567" s="60">
        <f>IF(ISERROR(VLOOKUP($U$567,'TAR FIN'!$A$1:$O$104,15,0)),0,VLOOKUP($U$567,'TAR FIN'!$A$1:$O$104,15,0))*(1-0.06)</f>
        <v>373.76279999999997</v>
      </c>
      <c r="Y567" s="60">
        <f ca="1">('TUSD BE'!$AM$13+'TUSD BF'!$AM$13+'TUSD CVA'!$AM$13)*1*(1-0.03)</f>
        <v>50.666663165033995</v>
      </c>
      <c r="Z567" s="60">
        <f ca="1">('TUSD BE'!$AM$15+'TUSD BF'!$AM$15+'TUSD CVA'!$AM$15)*1*(1-0.03)</f>
        <v>75.539915902184802</v>
      </c>
      <c r="AA567" s="60">
        <f>('TE BE'!$AB$7+'TE BF'!$AB$7+'TE CVA'!$AB$7)*1*(1-0.03)</f>
        <v>349.45248311940099</v>
      </c>
      <c r="AB567" s="6">
        <f>$K$567*$V$567</f>
        <v>773796.48499999987</v>
      </c>
      <c r="AC567" s="6">
        <f>$M$567*$W$567</f>
        <v>41968.425800599995</v>
      </c>
      <c r="AD567" s="6">
        <f>$O$567*$X$567</f>
        <v>266701.06227960001</v>
      </c>
      <c r="AE567" s="6">
        <f ca="1">$K$567*$Y$567</f>
        <v>799773.27806006162</v>
      </c>
      <c r="AF567" s="6">
        <f ca="1">$M$567*$Z$567</f>
        <v>53902.035771415285</v>
      </c>
      <c r="AG567" s="6">
        <f>$O$567*$AA$567</f>
        <v>249354.26549723043</v>
      </c>
    </row>
    <row r="568" spans="1:33" ht="11.25" customHeight="1" x14ac:dyDescent="0.25">
      <c r="A568" s="4" t="s">
        <v>21</v>
      </c>
      <c r="B568" s="4" t="s">
        <v>41</v>
      </c>
      <c r="C568" s="4" t="s">
        <v>40</v>
      </c>
      <c r="D568" s="4" t="s">
        <v>50</v>
      </c>
      <c r="E568" s="4" t="s">
        <v>51</v>
      </c>
      <c r="F568" s="4" t="s">
        <v>25</v>
      </c>
      <c r="G568" s="4" t="s">
        <v>25</v>
      </c>
      <c r="H568" s="4" t="s">
        <v>34</v>
      </c>
      <c r="I568" s="5">
        <v>44652</v>
      </c>
      <c r="J568" s="6">
        <v>15736</v>
      </c>
      <c r="K568" s="61">
        <v>15736</v>
      </c>
      <c r="L568" s="6">
        <v>629.35400000000004</v>
      </c>
      <c r="M568" s="60">
        <v>629.35400000000004</v>
      </c>
      <c r="N568" s="6">
        <v>629.35400000000004</v>
      </c>
      <c r="O568" s="60">
        <v>629.35400000000004</v>
      </c>
      <c r="P568" s="6">
        <v>0</v>
      </c>
      <c r="Q568" s="4" t="s">
        <v>26</v>
      </c>
      <c r="R568" s="4">
        <v>0</v>
      </c>
      <c r="S568" s="6">
        <v>18</v>
      </c>
      <c r="T568" s="6">
        <v>22</v>
      </c>
      <c r="U568" s="6">
        <v>66</v>
      </c>
      <c r="V568" s="60">
        <f>IF(ISERROR(VLOOKUP($S$568,'TAR FIN'!$A$1:$O$104,15,0)),0,VLOOKUP($S$568,'TAR FIN'!$A$1:$O$104,15,0))*(1-0.06)</f>
        <v>49.020999999999994</v>
      </c>
      <c r="W568" s="60">
        <f>IF(ISERROR(VLOOKUP($T$568,'TAR FIN'!$A$1:$O$104,15,0)),0,VLOOKUP($T$568,'TAR FIN'!$A$1:$O$104,15,0))*(1-0.06)</f>
        <v>58.815799999999996</v>
      </c>
      <c r="X568" s="60">
        <f>IF(ISERROR(VLOOKUP($U$568,'TAR FIN'!$A$1:$O$104,15,0)),0,VLOOKUP($U$568,'TAR FIN'!$A$1:$O$104,15,0))*(1-0.06)</f>
        <v>373.76279999999997</v>
      </c>
      <c r="Y568" s="60">
        <f ca="1">('TUSD BE'!$AM$13+'TUSD BF'!$AM$13+'TUSD CVA'!$AM$13)*1*(1-0.03)</f>
        <v>50.666663165033995</v>
      </c>
      <c r="Z568" s="60">
        <f ca="1">('TUSD BE'!$AM$15+'TUSD BF'!$AM$15+'TUSD CVA'!$AM$15)*1*(1-0.03)</f>
        <v>75.539915902184802</v>
      </c>
      <c r="AA568" s="60">
        <f>('TE BE'!$AB$7+'TE BF'!$AB$7+'TE CVA'!$AB$7)*1*(1-0.03)</f>
        <v>349.45248311940099</v>
      </c>
      <c r="AB568" s="6">
        <f>$K$568*$V$568</f>
        <v>771394.45599999989</v>
      </c>
      <c r="AC568" s="6">
        <f>$M$568*$W$568</f>
        <v>37015.958993200002</v>
      </c>
      <c r="AD568" s="6">
        <f>$O$568*$X$568</f>
        <v>235229.1132312</v>
      </c>
      <c r="AE568" s="6">
        <f ca="1">$K$568*$Y$568</f>
        <v>797290.611564975</v>
      </c>
      <c r="AF568" s="6">
        <f ca="1">$M$568*$Z$568</f>
        <v>47541.348232703618</v>
      </c>
      <c r="AG568" s="6">
        <f>$O$568*$AA$568</f>
        <v>219929.3180611275</v>
      </c>
    </row>
    <row r="569" spans="1:33" ht="11.25" customHeight="1" x14ac:dyDescent="0.25">
      <c r="A569" s="4" t="s">
        <v>21</v>
      </c>
      <c r="B569" s="4" t="s">
        <v>41</v>
      </c>
      <c r="C569" s="4" t="s">
        <v>40</v>
      </c>
      <c r="D569" s="4" t="s">
        <v>50</v>
      </c>
      <c r="E569" s="4" t="s">
        <v>51</v>
      </c>
      <c r="F569" s="4" t="s">
        <v>25</v>
      </c>
      <c r="G569" s="4" t="s">
        <v>25</v>
      </c>
      <c r="H569" s="4" t="s">
        <v>34</v>
      </c>
      <c r="I569" s="5">
        <v>44682</v>
      </c>
      <c r="J569" s="6">
        <v>15726</v>
      </c>
      <c r="K569" s="61">
        <v>15726</v>
      </c>
      <c r="L569" s="6">
        <v>689.95899999999995</v>
      </c>
      <c r="M569" s="60">
        <v>689.95899999999995</v>
      </c>
      <c r="N569" s="6">
        <v>689.95899999999995</v>
      </c>
      <c r="O569" s="60">
        <v>689.95899999999995</v>
      </c>
      <c r="P569" s="6">
        <v>0</v>
      </c>
      <c r="Q569" s="4" t="s">
        <v>26</v>
      </c>
      <c r="R569" s="4">
        <v>0</v>
      </c>
      <c r="S569" s="6">
        <v>18</v>
      </c>
      <c r="T569" s="6">
        <v>22</v>
      </c>
      <c r="U569" s="6">
        <v>66</v>
      </c>
      <c r="V569" s="60">
        <f>IF(ISERROR(VLOOKUP($S$569,'TAR FIN'!$A$1:$O$104,15,0)),0,VLOOKUP($S$569,'TAR FIN'!$A$1:$O$104,15,0))*(1-0.06)</f>
        <v>49.020999999999994</v>
      </c>
      <c r="W569" s="60">
        <f>IF(ISERROR(VLOOKUP($T$569,'TAR FIN'!$A$1:$O$104,15,0)),0,VLOOKUP($T$569,'TAR FIN'!$A$1:$O$104,15,0))*(1-0.06)</f>
        <v>58.815799999999996</v>
      </c>
      <c r="X569" s="60">
        <f>IF(ISERROR(VLOOKUP($U$569,'TAR FIN'!$A$1:$O$104,15,0)),0,VLOOKUP($U$569,'TAR FIN'!$A$1:$O$104,15,0))*(1-0.06)</f>
        <v>373.76279999999997</v>
      </c>
      <c r="Y569" s="60">
        <f ca="1">('TUSD BE'!$AM$13+'TUSD BF'!$AM$13+'TUSD CVA'!$AM$13)*1*(1-0.03)</f>
        <v>50.666663165033995</v>
      </c>
      <c r="Z569" s="60">
        <f ca="1">('TUSD BE'!$AM$15+'TUSD BF'!$AM$15+'TUSD CVA'!$AM$15)*1*(1-0.03)</f>
        <v>75.539915902184802</v>
      </c>
      <c r="AA569" s="60">
        <f>('TE BE'!$AB$7+'TE BF'!$AB$7+'TE CVA'!$AB$7)*1*(1-0.03)</f>
        <v>349.45248311940099</v>
      </c>
      <c r="AB569" s="6">
        <f>$K$569*$V$569</f>
        <v>770904.24599999993</v>
      </c>
      <c r="AC569" s="6">
        <f>$M$569*$W$569</f>
        <v>40580.490552199997</v>
      </c>
      <c r="AD569" s="6">
        <f>$O$569*$X$569</f>
        <v>257881.00772519995</v>
      </c>
      <c r="AE569" s="6">
        <f ca="1">$K$569*$Y$569</f>
        <v>796783.94493332459</v>
      </c>
      <c r="AF569" s="6">
        <f ca="1">$M$569*$Z$569</f>
        <v>52119.444835955517</v>
      </c>
      <c r="AG569" s="6">
        <f>$O$569*$AA$569</f>
        <v>241107.88580057878</v>
      </c>
    </row>
    <row r="570" spans="1:33" ht="11.25" customHeight="1" x14ac:dyDescent="0.25">
      <c r="A570" s="4" t="s">
        <v>21</v>
      </c>
      <c r="B570" s="4" t="s">
        <v>41</v>
      </c>
      <c r="C570" s="4" t="s">
        <v>40</v>
      </c>
      <c r="D570" s="4" t="s">
        <v>50</v>
      </c>
      <c r="E570" s="4" t="s">
        <v>51</v>
      </c>
      <c r="F570" s="4" t="s">
        <v>25</v>
      </c>
      <c r="G570" s="4" t="s">
        <v>25</v>
      </c>
      <c r="H570" s="4" t="s">
        <v>34</v>
      </c>
      <c r="I570" s="5">
        <v>44713</v>
      </c>
      <c r="J570" s="6">
        <v>15772</v>
      </c>
      <c r="K570" s="61">
        <v>15772</v>
      </c>
      <c r="L570" s="6">
        <v>676.96100000000001</v>
      </c>
      <c r="M570" s="60">
        <v>676.96100000000001</v>
      </c>
      <c r="N570" s="6">
        <v>676.96100000000001</v>
      </c>
      <c r="O570" s="60">
        <v>676.96100000000001</v>
      </c>
      <c r="P570" s="6">
        <v>0</v>
      </c>
      <c r="Q570" s="4" t="s">
        <v>26</v>
      </c>
      <c r="R570" s="4">
        <v>0</v>
      </c>
      <c r="S570" s="6">
        <v>18</v>
      </c>
      <c r="T570" s="6">
        <v>22</v>
      </c>
      <c r="U570" s="6">
        <v>66</v>
      </c>
      <c r="V570" s="60">
        <f>IF(ISERROR(VLOOKUP($S$570,'TAR FIN'!$A$1:$O$104,15,0)),0,VLOOKUP($S$570,'TAR FIN'!$A$1:$O$104,15,0))*(1-0.06)</f>
        <v>49.020999999999994</v>
      </c>
      <c r="W570" s="60">
        <f>IF(ISERROR(VLOOKUP($T$570,'TAR FIN'!$A$1:$O$104,15,0)),0,VLOOKUP($T$570,'TAR FIN'!$A$1:$O$104,15,0))*(1-0.06)</f>
        <v>58.815799999999996</v>
      </c>
      <c r="X570" s="60">
        <f>IF(ISERROR(VLOOKUP($U$570,'TAR FIN'!$A$1:$O$104,15,0)),0,VLOOKUP($U$570,'TAR FIN'!$A$1:$O$104,15,0))*(1-0.06)</f>
        <v>373.76279999999997</v>
      </c>
      <c r="Y570" s="60">
        <f ca="1">('TUSD BE'!$AM$13+'TUSD BF'!$AM$13+'TUSD CVA'!$AM$13)*1*(1-0.03)</f>
        <v>50.666663165033995</v>
      </c>
      <c r="Z570" s="60">
        <f ca="1">('TUSD BE'!$AM$15+'TUSD BF'!$AM$15+'TUSD CVA'!$AM$15)*1*(1-0.03)</f>
        <v>75.539915902184802</v>
      </c>
      <c r="AA570" s="60">
        <f>('TE BE'!$AB$7+'TE BF'!$AB$7+'TE CVA'!$AB$7)*1*(1-0.03)</f>
        <v>349.45248311940099</v>
      </c>
      <c r="AB570" s="6">
        <f>$K$570*$V$570</f>
        <v>773159.21199999994</v>
      </c>
      <c r="AC570" s="6">
        <f>$M$570*$W$570</f>
        <v>39816.002783799995</v>
      </c>
      <c r="AD570" s="6">
        <f>$O$570*$X$570</f>
        <v>253022.83885079998</v>
      </c>
      <c r="AE570" s="6">
        <f ca="1">$K$570*$Y$570</f>
        <v>799114.61143891618</v>
      </c>
      <c r="AF570" s="6">
        <f ca="1">$M$570*$Z$570</f>
        <v>51137.577009058929</v>
      </c>
      <c r="AG570" s="6">
        <f>$O$570*$AA$570</f>
        <v>236565.70242499281</v>
      </c>
    </row>
    <row r="571" spans="1:33" ht="11.25" customHeight="1" x14ac:dyDescent="0.25">
      <c r="A571" s="4" t="s">
        <v>57</v>
      </c>
      <c r="B571" s="4" t="s">
        <v>41</v>
      </c>
      <c r="C571" s="4" t="s">
        <v>40</v>
      </c>
      <c r="D571" s="4" t="s">
        <v>50</v>
      </c>
      <c r="E571" s="4" t="s">
        <v>51</v>
      </c>
      <c r="F571" s="4" t="s">
        <v>25</v>
      </c>
      <c r="G571" s="4" t="s">
        <v>25</v>
      </c>
      <c r="H571" s="4" t="s">
        <v>34</v>
      </c>
      <c r="I571" s="5">
        <v>44743</v>
      </c>
      <c r="J571" s="6">
        <v>15772</v>
      </c>
      <c r="K571" s="61">
        <v>15772</v>
      </c>
      <c r="L571" s="6">
        <v>676.96100000000001</v>
      </c>
      <c r="M571" s="60">
        <v>676.96100000000001</v>
      </c>
      <c r="N571" s="6">
        <v>676.96100000000001</v>
      </c>
      <c r="O571" s="60">
        <v>676.96100000000001</v>
      </c>
      <c r="P571" s="6">
        <v>0</v>
      </c>
      <c r="Q571" s="4" t="s">
        <v>26</v>
      </c>
      <c r="R571" s="4">
        <v>0</v>
      </c>
      <c r="S571" s="6">
        <v>18</v>
      </c>
      <c r="T571" s="6">
        <v>22</v>
      </c>
      <c r="U571" s="6">
        <v>66</v>
      </c>
      <c r="V571" s="60">
        <f>IF(ISERROR(VLOOKUP($S$571,'TAR FIN'!$A$1:$O$104,15,0)),0,VLOOKUP($S$571,'TAR FIN'!$A$1:$O$104,15,0))*(1-0.06)</f>
        <v>49.020999999999994</v>
      </c>
      <c r="W571" s="60">
        <f>IF(ISERROR(VLOOKUP($T$571,'TAR FIN'!$A$1:$O$104,15,0)),0,VLOOKUP($T$571,'TAR FIN'!$A$1:$O$104,15,0))*(1-0.06)</f>
        <v>58.815799999999996</v>
      </c>
      <c r="X571" s="60">
        <f>IF(ISERROR(VLOOKUP($U$571,'TAR FIN'!$A$1:$O$104,15,0)),0,VLOOKUP($U$571,'TAR FIN'!$A$1:$O$104,15,0))*(1-0.06)</f>
        <v>373.76279999999997</v>
      </c>
      <c r="Y571" s="60">
        <f ca="1">('TUSD BE'!$AM$13+'TUSD BF'!$AM$13+'TUSD CVA'!$AM$13)*1*(1-0.03)</f>
        <v>50.666663165033995</v>
      </c>
      <c r="Z571" s="60">
        <f ca="1">('TUSD BE'!$AM$15+'TUSD BF'!$AM$15+'TUSD CVA'!$AM$15)*1*(1-0.03)</f>
        <v>75.539915902184802</v>
      </c>
      <c r="AA571" s="60">
        <f>('TE BE'!$AB$7+'TE BF'!$AB$7+'TE CVA'!$AB$7)*1*(1-0.03)</f>
        <v>349.45248311940099</v>
      </c>
      <c r="AB571" s="6">
        <f>$K$571*$V$571</f>
        <v>773159.21199999994</v>
      </c>
      <c r="AC571" s="6">
        <f>$M$571*$W$571</f>
        <v>39816.002783799995</v>
      </c>
      <c r="AD571" s="6">
        <f>$O$571*$X$571</f>
        <v>253022.83885079998</v>
      </c>
      <c r="AE571" s="6">
        <f ca="1">$K$571*$Y$571</f>
        <v>799114.61143891618</v>
      </c>
      <c r="AF571" s="6">
        <f ca="1">$M$571*$Z$571</f>
        <v>51137.577009058929</v>
      </c>
      <c r="AG571" s="6">
        <f>$O$571*$AA$571</f>
        <v>236565.70242499281</v>
      </c>
    </row>
    <row r="572" spans="1:33" ht="11.25" customHeight="1" x14ac:dyDescent="0.25">
      <c r="A572" s="4" t="s">
        <v>21</v>
      </c>
      <c r="B572" s="4" t="s">
        <v>41</v>
      </c>
      <c r="C572" s="4" t="s">
        <v>62</v>
      </c>
      <c r="D572" s="4" t="s">
        <v>25</v>
      </c>
      <c r="E572" s="4" t="s">
        <v>25</v>
      </c>
      <c r="F572" s="4" t="s">
        <v>25</v>
      </c>
      <c r="G572" s="4" t="s">
        <v>63</v>
      </c>
      <c r="H572" s="4" t="s">
        <v>35</v>
      </c>
      <c r="I572" s="5">
        <v>44409</v>
      </c>
      <c r="J572" s="6">
        <v>7168</v>
      </c>
      <c r="K572" s="6">
        <v>7168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4" t="s">
        <v>64</v>
      </c>
      <c r="R572" s="4">
        <v>43</v>
      </c>
      <c r="S572" s="6">
        <v>28</v>
      </c>
      <c r="T572" s="6">
        <v>0</v>
      </c>
      <c r="U572" s="6">
        <v>0</v>
      </c>
      <c r="V572" s="6">
        <f>IF(ISERROR(VLOOKUP($S$572,'TAR FIN'!$A$1:$O$104,15,0)),0,VLOOKUP($S$572,'TAR FIN'!$A$1:$O$104,15,0))</f>
        <v>13.55</v>
      </c>
      <c r="W572" s="6">
        <f>IF(ISERROR(VLOOKUP($T$572,'TAR FIN'!$A$1:$O$104,15,0)),0,VLOOKUP($T$572,'TAR FIN'!$A$1:$O$104,15,0))</f>
        <v>0</v>
      </c>
      <c r="X572" s="6">
        <f>IF(ISERROR(VLOOKUP($U$572,'TAR FIN'!$A$1:$O$104,15,0)),0,VLOOKUP($U$572,'TAR FIN'!$A$1:$O$104,15,0))</f>
        <v>0</v>
      </c>
      <c r="Y572" s="6">
        <f ca="1">('TUSD BE'!$AM$18+'TUSD BF'!$AM$18+'TUSD CVA'!$AM$18)*1</f>
        <v>14.693654553637149</v>
      </c>
      <c r="Z572" s="6">
        <f ca="1">('TUSD BE'!$AM$19+'TUSD BF'!$AM$19+'TUSD CVA'!$AM$19)*1</f>
        <v>13.739448006852705</v>
      </c>
      <c r="AA572" s="6"/>
      <c r="AB572" s="6">
        <f>$K$572*$V$572</f>
        <v>97126.400000000009</v>
      </c>
      <c r="AC572" s="6">
        <f>$M$572*$W$572</f>
        <v>0</v>
      </c>
      <c r="AD572" s="6">
        <f>$O$572*$X$572</f>
        <v>0</v>
      </c>
      <c r="AE572" s="6">
        <f ca="1">$K$572*$Y$572</f>
        <v>105324.11584047109</v>
      </c>
      <c r="AF572" s="6">
        <f ca="1">$M$572*$Z$572</f>
        <v>0</v>
      </c>
      <c r="AG572" s="6">
        <f>$O$572*$AA$572</f>
        <v>0</v>
      </c>
    </row>
    <row r="573" spans="1:33" ht="11.25" customHeight="1" x14ac:dyDescent="0.25">
      <c r="A573" s="4" t="s">
        <v>21</v>
      </c>
      <c r="B573" s="4" t="s">
        <v>41</v>
      </c>
      <c r="C573" s="4" t="s">
        <v>62</v>
      </c>
      <c r="D573" s="4" t="s">
        <v>25</v>
      </c>
      <c r="E573" s="4" t="s">
        <v>25</v>
      </c>
      <c r="F573" s="4" t="s">
        <v>25</v>
      </c>
      <c r="G573" s="4" t="s">
        <v>65</v>
      </c>
      <c r="H573" s="4" t="s">
        <v>35</v>
      </c>
      <c r="I573" s="5">
        <v>44409</v>
      </c>
      <c r="J573" s="6">
        <v>4019</v>
      </c>
      <c r="K573" s="6">
        <v>4019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4" t="s">
        <v>64</v>
      </c>
      <c r="R573" s="4">
        <v>6611</v>
      </c>
      <c r="S573" s="6">
        <v>34</v>
      </c>
      <c r="T573" s="6">
        <v>0</v>
      </c>
      <c r="U573" s="6">
        <v>0</v>
      </c>
      <c r="V573" s="6">
        <f>IF(ISERROR(VLOOKUP($S$573,'TAR FIN'!$A$1:$O$104,15,0)),0,VLOOKUP($S$573,'TAR FIN'!$A$1:$O$104,15,0))</f>
        <v>13.55</v>
      </c>
      <c r="W573" s="6">
        <f>IF(ISERROR(VLOOKUP($T$573,'TAR FIN'!$A$1:$O$104,15,0)),0,VLOOKUP($T$573,'TAR FIN'!$A$1:$O$104,15,0))</f>
        <v>0</v>
      </c>
      <c r="X573" s="6">
        <f>IF(ISERROR(VLOOKUP($U$573,'TAR FIN'!$A$1:$O$104,15,0)),0,VLOOKUP($U$573,'TAR FIN'!$A$1:$O$104,15,0))</f>
        <v>0</v>
      </c>
      <c r="Y573" s="6">
        <f ca="1">('TUSD BE'!$AM$21+'TUSD BF'!$AM$21+'TUSD CVA'!$AM$21)*1</f>
        <v>14.693654553637149</v>
      </c>
      <c r="Z573" s="6">
        <f ca="1">('TUSD BE'!$AM$22+'TUSD BF'!$AM$22+'TUSD CVA'!$AM$22)*1</f>
        <v>13.739448006852705</v>
      </c>
      <c r="AA573" s="6"/>
      <c r="AB573" s="6">
        <f>$K$573*$V$573</f>
        <v>54457.450000000004</v>
      </c>
      <c r="AC573" s="6">
        <f>$M$573*$W$573</f>
        <v>0</v>
      </c>
      <c r="AD573" s="6">
        <f>$O$573*$X$573</f>
        <v>0</v>
      </c>
      <c r="AE573" s="6">
        <f ca="1">$K$573*$Y$573</f>
        <v>59053.797651067704</v>
      </c>
      <c r="AF573" s="6">
        <f ca="1">$M$573*$Z$573</f>
        <v>0</v>
      </c>
      <c r="AG573" s="6">
        <f>$O$573*$AA$573</f>
        <v>0</v>
      </c>
    </row>
    <row r="574" spans="1:33" ht="11.25" customHeight="1" x14ac:dyDescent="0.25">
      <c r="A574" s="4" t="s">
        <v>21</v>
      </c>
      <c r="B574" s="4" t="s">
        <v>41</v>
      </c>
      <c r="C574" s="4" t="s">
        <v>62</v>
      </c>
      <c r="D574" s="4" t="s">
        <v>25</v>
      </c>
      <c r="E574" s="4" t="s">
        <v>25</v>
      </c>
      <c r="F574" s="4" t="s">
        <v>25</v>
      </c>
      <c r="G574" s="4" t="s">
        <v>63</v>
      </c>
      <c r="H574" s="4" t="s">
        <v>35</v>
      </c>
      <c r="I574" s="5">
        <v>44440</v>
      </c>
      <c r="J574" s="6">
        <v>7168</v>
      </c>
      <c r="K574" s="6">
        <v>7168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4" t="s">
        <v>64</v>
      </c>
      <c r="R574" s="4">
        <v>43</v>
      </c>
      <c r="S574" s="6">
        <v>28</v>
      </c>
      <c r="T574" s="6">
        <v>0</v>
      </c>
      <c r="U574" s="6">
        <v>0</v>
      </c>
      <c r="V574" s="6">
        <f>IF(ISERROR(VLOOKUP($S$574,'TAR FIN'!$A$1:$O$104,15,0)),0,VLOOKUP($S$574,'TAR FIN'!$A$1:$O$104,15,0))</f>
        <v>13.55</v>
      </c>
      <c r="W574" s="6">
        <f>IF(ISERROR(VLOOKUP($T$574,'TAR FIN'!$A$1:$O$104,15,0)),0,VLOOKUP($T$574,'TAR FIN'!$A$1:$O$104,15,0))</f>
        <v>0</v>
      </c>
      <c r="X574" s="6">
        <f>IF(ISERROR(VLOOKUP($U$574,'TAR FIN'!$A$1:$O$104,15,0)),0,VLOOKUP($U$574,'TAR FIN'!$A$1:$O$104,15,0))</f>
        <v>0</v>
      </c>
      <c r="Y574" s="6">
        <f ca="1">('TUSD BE'!$AM$18+'TUSD BF'!$AM$18+'TUSD CVA'!$AM$18)*1</f>
        <v>14.693654553637149</v>
      </c>
      <c r="Z574" s="6">
        <f ca="1">('TUSD BE'!$AM$19+'TUSD BF'!$AM$19+'TUSD CVA'!$AM$19)*1</f>
        <v>13.739448006852705</v>
      </c>
      <c r="AA574" s="6"/>
      <c r="AB574" s="6">
        <f>$K$574*$V$574</f>
        <v>97126.400000000009</v>
      </c>
      <c r="AC574" s="6">
        <f>$M$574*$W$574</f>
        <v>0</v>
      </c>
      <c r="AD574" s="6">
        <f>$O$574*$X$574</f>
        <v>0</v>
      </c>
      <c r="AE574" s="6">
        <f ca="1">$K$574*$Y$574</f>
        <v>105324.11584047109</v>
      </c>
      <c r="AF574" s="6">
        <f ca="1">$M$574*$Z$574</f>
        <v>0</v>
      </c>
      <c r="AG574" s="6">
        <f>$O$574*$AA$574</f>
        <v>0</v>
      </c>
    </row>
    <row r="575" spans="1:33" ht="11.25" customHeight="1" x14ac:dyDescent="0.25">
      <c r="A575" s="4" t="s">
        <v>21</v>
      </c>
      <c r="B575" s="4" t="s">
        <v>41</v>
      </c>
      <c r="C575" s="4" t="s">
        <v>62</v>
      </c>
      <c r="D575" s="4" t="s">
        <v>25</v>
      </c>
      <c r="E575" s="4" t="s">
        <v>25</v>
      </c>
      <c r="F575" s="4" t="s">
        <v>25</v>
      </c>
      <c r="G575" s="4" t="s">
        <v>65</v>
      </c>
      <c r="H575" s="4" t="s">
        <v>35</v>
      </c>
      <c r="I575" s="5">
        <v>44440</v>
      </c>
      <c r="J575" s="6">
        <v>4019</v>
      </c>
      <c r="K575" s="6">
        <v>4019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4" t="s">
        <v>64</v>
      </c>
      <c r="R575" s="4">
        <v>6611</v>
      </c>
      <c r="S575" s="6">
        <v>34</v>
      </c>
      <c r="T575" s="6">
        <v>0</v>
      </c>
      <c r="U575" s="6">
        <v>0</v>
      </c>
      <c r="V575" s="6">
        <f>IF(ISERROR(VLOOKUP($S$575,'TAR FIN'!$A$1:$O$104,15,0)),0,VLOOKUP($S$575,'TAR FIN'!$A$1:$O$104,15,0))</f>
        <v>13.55</v>
      </c>
      <c r="W575" s="6">
        <f>IF(ISERROR(VLOOKUP($T$575,'TAR FIN'!$A$1:$O$104,15,0)),0,VLOOKUP($T$575,'TAR FIN'!$A$1:$O$104,15,0))</f>
        <v>0</v>
      </c>
      <c r="X575" s="6">
        <f>IF(ISERROR(VLOOKUP($U$575,'TAR FIN'!$A$1:$O$104,15,0)),0,VLOOKUP($U$575,'TAR FIN'!$A$1:$O$104,15,0))</f>
        <v>0</v>
      </c>
      <c r="Y575" s="6">
        <f ca="1">('TUSD BE'!$AM$21+'TUSD BF'!$AM$21+'TUSD CVA'!$AM$21)*1</f>
        <v>14.693654553637149</v>
      </c>
      <c r="Z575" s="6">
        <f ca="1">('TUSD BE'!$AM$22+'TUSD BF'!$AM$22+'TUSD CVA'!$AM$22)*1</f>
        <v>13.739448006852705</v>
      </c>
      <c r="AA575" s="6"/>
      <c r="AB575" s="6">
        <f>$K$575*$V$575</f>
        <v>54457.450000000004</v>
      </c>
      <c r="AC575" s="6">
        <f>$M$575*$W$575</f>
        <v>0</v>
      </c>
      <c r="AD575" s="6">
        <f>$O$575*$X$575</f>
        <v>0</v>
      </c>
      <c r="AE575" s="6">
        <f ca="1">$K$575*$Y$575</f>
        <v>59053.797651067704</v>
      </c>
      <c r="AF575" s="6">
        <f ca="1">$M$575*$Z$575</f>
        <v>0</v>
      </c>
      <c r="AG575" s="6">
        <f>$O$575*$AA$575</f>
        <v>0</v>
      </c>
    </row>
    <row r="576" spans="1:33" ht="11.25" customHeight="1" x14ac:dyDescent="0.25">
      <c r="A576" s="4" t="s">
        <v>21</v>
      </c>
      <c r="B576" s="4" t="s">
        <v>41</v>
      </c>
      <c r="C576" s="4" t="s">
        <v>62</v>
      </c>
      <c r="D576" s="4" t="s">
        <v>25</v>
      </c>
      <c r="E576" s="4" t="s">
        <v>25</v>
      </c>
      <c r="F576" s="4" t="s">
        <v>25</v>
      </c>
      <c r="G576" s="4" t="s">
        <v>63</v>
      </c>
      <c r="H576" s="4" t="s">
        <v>35</v>
      </c>
      <c r="I576" s="5">
        <v>44470</v>
      </c>
      <c r="J576" s="6">
        <v>7168</v>
      </c>
      <c r="K576" s="6">
        <v>7168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4" t="s">
        <v>64</v>
      </c>
      <c r="R576" s="4">
        <v>43</v>
      </c>
      <c r="S576" s="6">
        <v>28</v>
      </c>
      <c r="T576" s="6">
        <v>0</v>
      </c>
      <c r="U576" s="6">
        <v>0</v>
      </c>
      <c r="V576" s="6">
        <f>IF(ISERROR(VLOOKUP($S$576,'TAR FIN'!$A$1:$O$104,15,0)),0,VLOOKUP($S$576,'TAR FIN'!$A$1:$O$104,15,0))</f>
        <v>13.55</v>
      </c>
      <c r="W576" s="6">
        <f>IF(ISERROR(VLOOKUP($T$576,'TAR FIN'!$A$1:$O$104,15,0)),0,VLOOKUP($T$576,'TAR FIN'!$A$1:$O$104,15,0))</f>
        <v>0</v>
      </c>
      <c r="X576" s="6">
        <f>IF(ISERROR(VLOOKUP($U$576,'TAR FIN'!$A$1:$O$104,15,0)),0,VLOOKUP($U$576,'TAR FIN'!$A$1:$O$104,15,0))</f>
        <v>0</v>
      </c>
      <c r="Y576" s="6">
        <f ca="1">('TUSD BE'!$AM$18+'TUSD BF'!$AM$18+'TUSD CVA'!$AM$18)*1</f>
        <v>14.693654553637149</v>
      </c>
      <c r="Z576" s="6">
        <f ca="1">('TUSD BE'!$AM$19+'TUSD BF'!$AM$19+'TUSD CVA'!$AM$19)*1</f>
        <v>13.739448006852705</v>
      </c>
      <c r="AA576" s="6"/>
      <c r="AB576" s="6">
        <f>$K$576*$V$576</f>
        <v>97126.400000000009</v>
      </c>
      <c r="AC576" s="6">
        <f>$M$576*$W$576</f>
        <v>0</v>
      </c>
      <c r="AD576" s="6">
        <f>$O$576*$X$576</f>
        <v>0</v>
      </c>
      <c r="AE576" s="6">
        <f ca="1">$K$576*$Y$576</f>
        <v>105324.11584047109</v>
      </c>
      <c r="AF576" s="6">
        <f ca="1">$M$576*$Z$576</f>
        <v>0</v>
      </c>
      <c r="AG576" s="6">
        <f>$O$576*$AA$576</f>
        <v>0</v>
      </c>
    </row>
    <row r="577" spans="1:33" ht="11.25" customHeight="1" x14ac:dyDescent="0.25">
      <c r="A577" s="4" t="s">
        <v>21</v>
      </c>
      <c r="B577" s="4" t="s">
        <v>41</v>
      </c>
      <c r="C577" s="4" t="s">
        <v>62</v>
      </c>
      <c r="D577" s="4" t="s">
        <v>25</v>
      </c>
      <c r="E577" s="4" t="s">
        <v>25</v>
      </c>
      <c r="F577" s="4" t="s">
        <v>25</v>
      </c>
      <c r="G577" s="4" t="s">
        <v>65</v>
      </c>
      <c r="H577" s="4" t="s">
        <v>35</v>
      </c>
      <c r="I577" s="5">
        <v>44470</v>
      </c>
      <c r="J577" s="6">
        <v>4019</v>
      </c>
      <c r="K577" s="6">
        <v>4019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4" t="s">
        <v>64</v>
      </c>
      <c r="R577" s="4">
        <v>6611</v>
      </c>
      <c r="S577" s="6">
        <v>34</v>
      </c>
      <c r="T577" s="6">
        <v>0</v>
      </c>
      <c r="U577" s="6">
        <v>0</v>
      </c>
      <c r="V577" s="6">
        <f>IF(ISERROR(VLOOKUP($S$577,'TAR FIN'!$A$1:$O$104,15,0)),0,VLOOKUP($S$577,'TAR FIN'!$A$1:$O$104,15,0))</f>
        <v>13.55</v>
      </c>
      <c r="W577" s="6">
        <f>IF(ISERROR(VLOOKUP($T$577,'TAR FIN'!$A$1:$O$104,15,0)),0,VLOOKUP($T$577,'TAR FIN'!$A$1:$O$104,15,0))</f>
        <v>0</v>
      </c>
      <c r="X577" s="6">
        <f>IF(ISERROR(VLOOKUP($U$577,'TAR FIN'!$A$1:$O$104,15,0)),0,VLOOKUP($U$577,'TAR FIN'!$A$1:$O$104,15,0))</f>
        <v>0</v>
      </c>
      <c r="Y577" s="6">
        <f ca="1">('TUSD BE'!$AM$21+'TUSD BF'!$AM$21+'TUSD CVA'!$AM$21)*1</f>
        <v>14.693654553637149</v>
      </c>
      <c r="Z577" s="6">
        <f ca="1">('TUSD BE'!$AM$22+'TUSD BF'!$AM$22+'TUSD CVA'!$AM$22)*1</f>
        <v>13.739448006852705</v>
      </c>
      <c r="AA577" s="6"/>
      <c r="AB577" s="6">
        <f>$K$577*$V$577</f>
        <v>54457.450000000004</v>
      </c>
      <c r="AC577" s="6">
        <f>$M$577*$W$577</f>
        <v>0</v>
      </c>
      <c r="AD577" s="6">
        <f>$O$577*$X$577</f>
        <v>0</v>
      </c>
      <c r="AE577" s="6">
        <f ca="1">$K$577*$Y$577</f>
        <v>59053.797651067704</v>
      </c>
      <c r="AF577" s="6">
        <f ca="1">$M$577*$Z$577</f>
        <v>0</v>
      </c>
      <c r="AG577" s="6">
        <f>$O$577*$AA$577</f>
        <v>0</v>
      </c>
    </row>
    <row r="578" spans="1:33" ht="11.25" customHeight="1" x14ac:dyDescent="0.25">
      <c r="A578" s="4" t="s">
        <v>21</v>
      </c>
      <c r="B578" s="4" t="s">
        <v>41</v>
      </c>
      <c r="C578" s="4" t="s">
        <v>62</v>
      </c>
      <c r="D578" s="4" t="s">
        <v>25</v>
      </c>
      <c r="E578" s="4" t="s">
        <v>25</v>
      </c>
      <c r="F578" s="4" t="s">
        <v>25</v>
      </c>
      <c r="G578" s="4" t="s">
        <v>63</v>
      </c>
      <c r="H578" s="4" t="s">
        <v>35</v>
      </c>
      <c r="I578" s="5">
        <v>44501</v>
      </c>
      <c r="J578" s="6">
        <v>7168</v>
      </c>
      <c r="K578" s="6">
        <v>7168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4" t="s">
        <v>64</v>
      </c>
      <c r="R578" s="4">
        <v>43</v>
      </c>
      <c r="S578" s="6">
        <v>28</v>
      </c>
      <c r="T578" s="6">
        <v>0</v>
      </c>
      <c r="U578" s="6">
        <v>0</v>
      </c>
      <c r="V578" s="6">
        <f>IF(ISERROR(VLOOKUP($S$578,'TAR FIN'!$A$1:$O$104,15,0)),0,VLOOKUP($S$578,'TAR FIN'!$A$1:$O$104,15,0))</f>
        <v>13.55</v>
      </c>
      <c r="W578" s="6">
        <f>IF(ISERROR(VLOOKUP($T$578,'TAR FIN'!$A$1:$O$104,15,0)),0,VLOOKUP($T$578,'TAR FIN'!$A$1:$O$104,15,0))</f>
        <v>0</v>
      </c>
      <c r="X578" s="6">
        <f>IF(ISERROR(VLOOKUP($U$578,'TAR FIN'!$A$1:$O$104,15,0)),0,VLOOKUP($U$578,'TAR FIN'!$A$1:$O$104,15,0))</f>
        <v>0</v>
      </c>
      <c r="Y578" s="6">
        <f ca="1">('TUSD BE'!$AM$18+'TUSD BF'!$AM$18+'TUSD CVA'!$AM$18)*1</f>
        <v>14.693654553637149</v>
      </c>
      <c r="Z578" s="6">
        <f ca="1">('TUSD BE'!$AM$19+'TUSD BF'!$AM$19+'TUSD CVA'!$AM$19)*1</f>
        <v>13.739448006852705</v>
      </c>
      <c r="AA578" s="6"/>
      <c r="AB578" s="6">
        <f>$K$578*$V$578</f>
        <v>97126.400000000009</v>
      </c>
      <c r="AC578" s="6">
        <f>$M$578*$W$578</f>
        <v>0</v>
      </c>
      <c r="AD578" s="6">
        <f>$O$578*$X$578</f>
        <v>0</v>
      </c>
      <c r="AE578" s="6">
        <f ca="1">$K$578*$Y$578</f>
        <v>105324.11584047109</v>
      </c>
      <c r="AF578" s="6">
        <f ca="1">$M$578*$Z$578</f>
        <v>0</v>
      </c>
      <c r="AG578" s="6">
        <f>$O$578*$AA$578</f>
        <v>0</v>
      </c>
    </row>
    <row r="579" spans="1:33" ht="11.25" customHeight="1" x14ac:dyDescent="0.25">
      <c r="A579" s="4" t="s">
        <v>21</v>
      </c>
      <c r="B579" s="4" t="s">
        <v>41</v>
      </c>
      <c r="C579" s="4" t="s">
        <v>62</v>
      </c>
      <c r="D579" s="4" t="s">
        <v>25</v>
      </c>
      <c r="E579" s="4" t="s">
        <v>25</v>
      </c>
      <c r="F579" s="4" t="s">
        <v>25</v>
      </c>
      <c r="G579" s="4" t="s">
        <v>65</v>
      </c>
      <c r="H579" s="4" t="s">
        <v>35</v>
      </c>
      <c r="I579" s="5">
        <v>44501</v>
      </c>
      <c r="J579" s="6">
        <v>4019</v>
      </c>
      <c r="K579" s="6">
        <v>4019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4" t="s">
        <v>64</v>
      </c>
      <c r="R579" s="4">
        <v>6611</v>
      </c>
      <c r="S579" s="6">
        <v>34</v>
      </c>
      <c r="T579" s="6">
        <v>0</v>
      </c>
      <c r="U579" s="6">
        <v>0</v>
      </c>
      <c r="V579" s="6">
        <f>IF(ISERROR(VLOOKUP($S$579,'TAR FIN'!$A$1:$O$104,15,0)),0,VLOOKUP($S$579,'TAR FIN'!$A$1:$O$104,15,0))</f>
        <v>13.55</v>
      </c>
      <c r="W579" s="6">
        <f>IF(ISERROR(VLOOKUP($T$579,'TAR FIN'!$A$1:$O$104,15,0)),0,VLOOKUP($T$579,'TAR FIN'!$A$1:$O$104,15,0))</f>
        <v>0</v>
      </c>
      <c r="X579" s="6">
        <f>IF(ISERROR(VLOOKUP($U$579,'TAR FIN'!$A$1:$O$104,15,0)),0,VLOOKUP($U$579,'TAR FIN'!$A$1:$O$104,15,0))</f>
        <v>0</v>
      </c>
      <c r="Y579" s="6">
        <f ca="1">('TUSD BE'!$AM$21+'TUSD BF'!$AM$21+'TUSD CVA'!$AM$21)*1</f>
        <v>14.693654553637149</v>
      </c>
      <c r="Z579" s="6">
        <f ca="1">('TUSD BE'!$AM$22+'TUSD BF'!$AM$22+'TUSD CVA'!$AM$22)*1</f>
        <v>13.739448006852705</v>
      </c>
      <c r="AA579" s="6"/>
      <c r="AB579" s="6">
        <f>$K$579*$V$579</f>
        <v>54457.450000000004</v>
      </c>
      <c r="AC579" s="6">
        <f>$M$579*$W$579</f>
        <v>0</v>
      </c>
      <c r="AD579" s="6">
        <f>$O$579*$X$579</f>
        <v>0</v>
      </c>
      <c r="AE579" s="6">
        <f ca="1">$K$579*$Y$579</f>
        <v>59053.797651067704</v>
      </c>
      <c r="AF579" s="6">
        <f ca="1">$M$579*$Z$579</f>
        <v>0</v>
      </c>
      <c r="AG579" s="6">
        <f>$O$579*$AA$579</f>
        <v>0</v>
      </c>
    </row>
    <row r="580" spans="1:33" ht="11.25" customHeight="1" x14ac:dyDescent="0.25">
      <c r="A580" s="4" t="s">
        <v>21</v>
      </c>
      <c r="B580" s="4" t="s">
        <v>41</v>
      </c>
      <c r="C580" s="4" t="s">
        <v>62</v>
      </c>
      <c r="D580" s="4" t="s">
        <v>25</v>
      </c>
      <c r="E580" s="4" t="s">
        <v>25</v>
      </c>
      <c r="F580" s="4" t="s">
        <v>25</v>
      </c>
      <c r="G580" s="4" t="s">
        <v>63</v>
      </c>
      <c r="H580" s="4" t="s">
        <v>35</v>
      </c>
      <c r="I580" s="5">
        <v>44531</v>
      </c>
      <c r="J580" s="6">
        <v>7168</v>
      </c>
      <c r="K580" s="6">
        <v>7168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4" t="s">
        <v>64</v>
      </c>
      <c r="R580" s="4">
        <v>43</v>
      </c>
      <c r="S580" s="6">
        <v>28</v>
      </c>
      <c r="T580" s="6">
        <v>0</v>
      </c>
      <c r="U580" s="6">
        <v>0</v>
      </c>
      <c r="V580" s="6">
        <f>IF(ISERROR(VLOOKUP($S$580,'TAR FIN'!$A$1:$O$104,15,0)),0,VLOOKUP($S$580,'TAR FIN'!$A$1:$O$104,15,0))</f>
        <v>13.55</v>
      </c>
      <c r="W580" s="6">
        <f>IF(ISERROR(VLOOKUP($T$580,'TAR FIN'!$A$1:$O$104,15,0)),0,VLOOKUP($T$580,'TAR FIN'!$A$1:$O$104,15,0))</f>
        <v>0</v>
      </c>
      <c r="X580" s="6">
        <f>IF(ISERROR(VLOOKUP($U$580,'TAR FIN'!$A$1:$O$104,15,0)),0,VLOOKUP($U$580,'TAR FIN'!$A$1:$O$104,15,0))</f>
        <v>0</v>
      </c>
      <c r="Y580" s="6">
        <f ca="1">('TUSD BE'!$AM$18+'TUSD BF'!$AM$18+'TUSD CVA'!$AM$18)*1</f>
        <v>14.693654553637149</v>
      </c>
      <c r="Z580" s="6">
        <f ca="1">('TUSD BE'!$AM$19+'TUSD BF'!$AM$19+'TUSD CVA'!$AM$19)*1</f>
        <v>13.739448006852705</v>
      </c>
      <c r="AA580" s="6"/>
      <c r="AB580" s="6">
        <f>$K$580*$V$580</f>
        <v>97126.400000000009</v>
      </c>
      <c r="AC580" s="6">
        <f>$M$580*$W$580</f>
        <v>0</v>
      </c>
      <c r="AD580" s="6">
        <f>$O$580*$X$580</f>
        <v>0</v>
      </c>
      <c r="AE580" s="6">
        <f ca="1">$K$580*$Y$580</f>
        <v>105324.11584047109</v>
      </c>
      <c r="AF580" s="6">
        <f ca="1">$M$580*$Z$580</f>
        <v>0</v>
      </c>
      <c r="AG580" s="6">
        <f>$O$580*$AA$580</f>
        <v>0</v>
      </c>
    </row>
    <row r="581" spans="1:33" ht="11.25" customHeight="1" x14ac:dyDescent="0.25">
      <c r="A581" s="4" t="s">
        <v>21</v>
      </c>
      <c r="B581" s="4" t="s">
        <v>41</v>
      </c>
      <c r="C581" s="4" t="s">
        <v>62</v>
      </c>
      <c r="D581" s="4" t="s">
        <v>25</v>
      </c>
      <c r="E581" s="4" t="s">
        <v>25</v>
      </c>
      <c r="F581" s="4" t="s">
        <v>25</v>
      </c>
      <c r="G581" s="4" t="s">
        <v>65</v>
      </c>
      <c r="H581" s="4" t="s">
        <v>35</v>
      </c>
      <c r="I581" s="5">
        <v>44531</v>
      </c>
      <c r="J581" s="6">
        <v>4019</v>
      </c>
      <c r="K581" s="6">
        <v>4019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4" t="s">
        <v>64</v>
      </c>
      <c r="R581" s="4">
        <v>6611</v>
      </c>
      <c r="S581" s="6">
        <v>34</v>
      </c>
      <c r="T581" s="6">
        <v>0</v>
      </c>
      <c r="U581" s="6">
        <v>0</v>
      </c>
      <c r="V581" s="6">
        <f>IF(ISERROR(VLOOKUP($S$581,'TAR FIN'!$A$1:$O$104,15,0)),0,VLOOKUP($S$581,'TAR FIN'!$A$1:$O$104,15,0))</f>
        <v>13.55</v>
      </c>
      <c r="W581" s="6">
        <f>IF(ISERROR(VLOOKUP($T$581,'TAR FIN'!$A$1:$O$104,15,0)),0,VLOOKUP($T$581,'TAR FIN'!$A$1:$O$104,15,0))</f>
        <v>0</v>
      </c>
      <c r="X581" s="6">
        <f>IF(ISERROR(VLOOKUP($U$581,'TAR FIN'!$A$1:$O$104,15,0)),0,VLOOKUP($U$581,'TAR FIN'!$A$1:$O$104,15,0))</f>
        <v>0</v>
      </c>
      <c r="Y581" s="6">
        <f ca="1">('TUSD BE'!$AM$21+'TUSD BF'!$AM$21+'TUSD CVA'!$AM$21)*1</f>
        <v>14.693654553637149</v>
      </c>
      <c r="Z581" s="6">
        <f ca="1">('TUSD BE'!$AM$22+'TUSD BF'!$AM$22+'TUSD CVA'!$AM$22)*1</f>
        <v>13.739448006852705</v>
      </c>
      <c r="AA581" s="6"/>
      <c r="AB581" s="6">
        <f>$K$581*$V$581</f>
        <v>54457.450000000004</v>
      </c>
      <c r="AC581" s="6">
        <f>$M$581*$W$581</f>
        <v>0</v>
      </c>
      <c r="AD581" s="6">
        <f>$O$581*$X$581</f>
        <v>0</v>
      </c>
      <c r="AE581" s="6">
        <f ca="1">$K$581*$Y$581</f>
        <v>59053.797651067704</v>
      </c>
      <c r="AF581" s="6">
        <f ca="1">$M$581*$Z$581</f>
        <v>0</v>
      </c>
      <c r="AG581" s="6">
        <f>$O$581*$AA$581</f>
        <v>0</v>
      </c>
    </row>
    <row r="582" spans="1:33" ht="11.25" customHeight="1" x14ac:dyDescent="0.25">
      <c r="A582" s="4" t="s">
        <v>21</v>
      </c>
      <c r="B582" s="4" t="s">
        <v>41</v>
      </c>
      <c r="C582" s="4" t="s">
        <v>62</v>
      </c>
      <c r="D582" s="4" t="s">
        <v>25</v>
      </c>
      <c r="E582" s="4" t="s">
        <v>25</v>
      </c>
      <c r="F582" s="4" t="s">
        <v>25</v>
      </c>
      <c r="G582" s="4" t="s">
        <v>63</v>
      </c>
      <c r="H582" s="4" t="s">
        <v>35</v>
      </c>
      <c r="I582" s="5">
        <v>44562</v>
      </c>
      <c r="J582" s="6">
        <v>7168</v>
      </c>
      <c r="K582" s="6">
        <v>7168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4" t="s">
        <v>64</v>
      </c>
      <c r="R582" s="4">
        <v>43</v>
      </c>
      <c r="S582" s="6">
        <v>28</v>
      </c>
      <c r="T582" s="6">
        <v>0</v>
      </c>
      <c r="U582" s="6">
        <v>0</v>
      </c>
      <c r="V582" s="6">
        <f>IF(ISERROR(VLOOKUP($S$582,'TAR FIN'!$A$1:$O$104,15,0)),0,VLOOKUP($S$582,'TAR FIN'!$A$1:$O$104,15,0))</f>
        <v>13.55</v>
      </c>
      <c r="W582" s="6">
        <f>IF(ISERROR(VLOOKUP($T$582,'TAR FIN'!$A$1:$O$104,15,0)),0,VLOOKUP($T$582,'TAR FIN'!$A$1:$O$104,15,0))</f>
        <v>0</v>
      </c>
      <c r="X582" s="6">
        <f>IF(ISERROR(VLOOKUP($U$582,'TAR FIN'!$A$1:$O$104,15,0)),0,VLOOKUP($U$582,'TAR FIN'!$A$1:$O$104,15,0))</f>
        <v>0</v>
      </c>
      <c r="Y582" s="6">
        <f ca="1">('TUSD BE'!$AM$18+'TUSD BF'!$AM$18+'TUSD CVA'!$AM$18)*1</f>
        <v>14.693654553637149</v>
      </c>
      <c r="Z582" s="6">
        <f ca="1">('TUSD BE'!$AM$19+'TUSD BF'!$AM$19+'TUSD CVA'!$AM$19)*1</f>
        <v>13.739448006852705</v>
      </c>
      <c r="AA582" s="6"/>
      <c r="AB582" s="6">
        <f>$K$582*$V$582</f>
        <v>97126.400000000009</v>
      </c>
      <c r="AC582" s="6">
        <f>$M$582*$W$582</f>
        <v>0</v>
      </c>
      <c r="AD582" s="6">
        <f>$O$582*$X$582</f>
        <v>0</v>
      </c>
      <c r="AE582" s="6">
        <f ca="1">$K$582*$Y$582</f>
        <v>105324.11584047109</v>
      </c>
      <c r="AF582" s="6">
        <f ca="1">$M$582*$Z$582</f>
        <v>0</v>
      </c>
      <c r="AG582" s="6">
        <f>$O$582*$AA$582</f>
        <v>0</v>
      </c>
    </row>
    <row r="583" spans="1:33" ht="11.25" customHeight="1" x14ac:dyDescent="0.25">
      <c r="A583" s="4" t="s">
        <v>21</v>
      </c>
      <c r="B583" s="4" t="s">
        <v>41</v>
      </c>
      <c r="C583" s="4" t="s">
        <v>62</v>
      </c>
      <c r="D583" s="4" t="s">
        <v>25</v>
      </c>
      <c r="E583" s="4" t="s">
        <v>25</v>
      </c>
      <c r="F583" s="4" t="s">
        <v>25</v>
      </c>
      <c r="G583" s="4" t="s">
        <v>65</v>
      </c>
      <c r="H583" s="4" t="s">
        <v>35</v>
      </c>
      <c r="I583" s="5">
        <v>44562</v>
      </c>
      <c r="J583" s="6">
        <v>4019</v>
      </c>
      <c r="K583" s="6">
        <v>4019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4" t="s">
        <v>64</v>
      </c>
      <c r="R583" s="4">
        <v>6611</v>
      </c>
      <c r="S583" s="6">
        <v>34</v>
      </c>
      <c r="T583" s="6">
        <v>0</v>
      </c>
      <c r="U583" s="6">
        <v>0</v>
      </c>
      <c r="V583" s="6">
        <f>IF(ISERROR(VLOOKUP($S$583,'TAR FIN'!$A$1:$O$104,15,0)),0,VLOOKUP($S$583,'TAR FIN'!$A$1:$O$104,15,0))</f>
        <v>13.55</v>
      </c>
      <c r="W583" s="6">
        <f>IF(ISERROR(VLOOKUP($T$583,'TAR FIN'!$A$1:$O$104,15,0)),0,VLOOKUP($T$583,'TAR FIN'!$A$1:$O$104,15,0))</f>
        <v>0</v>
      </c>
      <c r="X583" s="6">
        <f>IF(ISERROR(VLOOKUP($U$583,'TAR FIN'!$A$1:$O$104,15,0)),0,VLOOKUP($U$583,'TAR FIN'!$A$1:$O$104,15,0))</f>
        <v>0</v>
      </c>
      <c r="Y583" s="6">
        <f ca="1">('TUSD BE'!$AM$21+'TUSD BF'!$AM$21+'TUSD CVA'!$AM$21)*1</f>
        <v>14.693654553637149</v>
      </c>
      <c r="Z583" s="6">
        <f ca="1">('TUSD BE'!$AM$22+'TUSD BF'!$AM$22+'TUSD CVA'!$AM$22)*1</f>
        <v>13.739448006852705</v>
      </c>
      <c r="AA583" s="6"/>
      <c r="AB583" s="6">
        <f>$K$583*$V$583</f>
        <v>54457.450000000004</v>
      </c>
      <c r="AC583" s="6">
        <f>$M$583*$W$583</f>
        <v>0</v>
      </c>
      <c r="AD583" s="6">
        <f>$O$583*$X$583</f>
        <v>0</v>
      </c>
      <c r="AE583" s="6">
        <f ca="1">$K$583*$Y$583</f>
        <v>59053.797651067704</v>
      </c>
      <c r="AF583" s="6">
        <f ca="1">$M$583*$Z$583</f>
        <v>0</v>
      </c>
      <c r="AG583" s="6">
        <f>$O$583*$AA$583</f>
        <v>0</v>
      </c>
    </row>
    <row r="584" spans="1:33" ht="11.25" customHeight="1" x14ac:dyDescent="0.25">
      <c r="A584" s="4" t="s">
        <v>21</v>
      </c>
      <c r="B584" s="4" t="s">
        <v>41</v>
      </c>
      <c r="C584" s="4" t="s">
        <v>62</v>
      </c>
      <c r="D584" s="4" t="s">
        <v>25</v>
      </c>
      <c r="E584" s="4" t="s">
        <v>25</v>
      </c>
      <c r="F584" s="4" t="s">
        <v>25</v>
      </c>
      <c r="G584" s="4" t="s">
        <v>63</v>
      </c>
      <c r="H584" s="4" t="s">
        <v>35</v>
      </c>
      <c r="I584" s="5">
        <v>44593</v>
      </c>
      <c r="J584" s="6">
        <v>7168</v>
      </c>
      <c r="K584" s="6">
        <v>7168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4" t="s">
        <v>64</v>
      </c>
      <c r="R584" s="4">
        <v>43</v>
      </c>
      <c r="S584" s="6">
        <v>28</v>
      </c>
      <c r="T584" s="6">
        <v>0</v>
      </c>
      <c r="U584" s="6">
        <v>0</v>
      </c>
      <c r="V584" s="6">
        <f>IF(ISERROR(VLOOKUP($S$584,'TAR FIN'!$A$1:$O$104,15,0)),0,VLOOKUP($S$584,'TAR FIN'!$A$1:$O$104,15,0))</f>
        <v>13.55</v>
      </c>
      <c r="W584" s="6">
        <f>IF(ISERROR(VLOOKUP($T$584,'TAR FIN'!$A$1:$O$104,15,0)),0,VLOOKUP($T$584,'TAR FIN'!$A$1:$O$104,15,0))</f>
        <v>0</v>
      </c>
      <c r="X584" s="6">
        <f>IF(ISERROR(VLOOKUP($U$584,'TAR FIN'!$A$1:$O$104,15,0)),0,VLOOKUP($U$584,'TAR FIN'!$A$1:$O$104,15,0))</f>
        <v>0</v>
      </c>
      <c r="Y584" s="6">
        <f ca="1">('TUSD BE'!$AM$18+'TUSD BF'!$AM$18+'TUSD CVA'!$AM$18)*1</f>
        <v>14.693654553637149</v>
      </c>
      <c r="Z584" s="6">
        <f ca="1">('TUSD BE'!$AM$19+'TUSD BF'!$AM$19+'TUSD CVA'!$AM$19)*1</f>
        <v>13.739448006852705</v>
      </c>
      <c r="AA584" s="6"/>
      <c r="AB584" s="6">
        <f>$K$584*$V$584</f>
        <v>97126.400000000009</v>
      </c>
      <c r="AC584" s="6">
        <f>$M$584*$W$584</f>
        <v>0</v>
      </c>
      <c r="AD584" s="6">
        <f>$O$584*$X$584</f>
        <v>0</v>
      </c>
      <c r="AE584" s="6">
        <f ca="1">$K$584*$Y$584</f>
        <v>105324.11584047109</v>
      </c>
      <c r="AF584" s="6">
        <f ca="1">$M$584*$Z$584</f>
        <v>0</v>
      </c>
      <c r="AG584" s="6">
        <f>$O$584*$AA$584</f>
        <v>0</v>
      </c>
    </row>
    <row r="585" spans="1:33" ht="11.25" customHeight="1" x14ac:dyDescent="0.25">
      <c r="A585" s="4" t="s">
        <v>21</v>
      </c>
      <c r="B585" s="4" t="s">
        <v>41</v>
      </c>
      <c r="C585" s="4" t="s">
        <v>62</v>
      </c>
      <c r="D585" s="4" t="s">
        <v>25</v>
      </c>
      <c r="E585" s="4" t="s">
        <v>25</v>
      </c>
      <c r="F585" s="4" t="s">
        <v>25</v>
      </c>
      <c r="G585" s="4" t="s">
        <v>65</v>
      </c>
      <c r="H585" s="4" t="s">
        <v>35</v>
      </c>
      <c r="I585" s="5">
        <v>44593</v>
      </c>
      <c r="J585" s="6">
        <v>4019</v>
      </c>
      <c r="K585" s="6">
        <v>4019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4" t="s">
        <v>64</v>
      </c>
      <c r="R585" s="4">
        <v>6611</v>
      </c>
      <c r="S585" s="6">
        <v>34</v>
      </c>
      <c r="T585" s="6">
        <v>0</v>
      </c>
      <c r="U585" s="6">
        <v>0</v>
      </c>
      <c r="V585" s="6">
        <f>IF(ISERROR(VLOOKUP($S$585,'TAR FIN'!$A$1:$O$104,15,0)),0,VLOOKUP($S$585,'TAR FIN'!$A$1:$O$104,15,0))</f>
        <v>13.55</v>
      </c>
      <c r="W585" s="6">
        <f>IF(ISERROR(VLOOKUP($T$585,'TAR FIN'!$A$1:$O$104,15,0)),0,VLOOKUP($T$585,'TAR FIN'!$A$1:$O$104,15,0))</f>
        <v>0</v>
      </c>
      <c r="X585" s="6">
        <f>IF(ISERROR(VLOOKUP($U$585,'TAR FIN'!$A$1:$O$104,15,0)),0,VLOOKUP($U$585,'TAR FIN'!$A$1:$O$104,15,0))</f>
        <v>0</v>
      </c>
      <c r="Y585" s="6">
        <f ca="1">('TUSD BE'!$AM$21+'TUSD BF'!$AM$21+'TUSD CVA'!$AM$21)*1</f>
        <v>14.693654553637149</v>
      </c>
      <c r="Z585" s="6">
        <f ca="1">('TUSD BE'!$AM$22+'TUSD BF'!$AM$22+'TUSD CVA'!$AM$22)*1</f>
        <v>13.739448006852705</v>
      </c>
      <c r="AA585" s="6"/>
      <c r="AB585" s="6">
        <f>$K$585*$V$585</f>
        <v>54457.450000000004</v>
      </c>
      <c r="AC585" s="6">
        <f>$M$585*$W$585</f>
        <v>0</v>
      </c>
      <c r="AD585" s="6">
        <f>$O$585*$X$585</f>
        <v>0</v>
      </c>
      <c r="AE585" s="6">
        <f ca="1">$K$585*$Y$585</f>
        <v>59053.797651067704</v>
      </c>
      <c r="AF585" s="6">
        <f ca="1">$M$585*$Z$585</f>
        <v>0</v>
      </c>
      <c r="AG585" s="6">
        <f>$O$585*$AA$585</f>
        <v>0</v>
      </c>
    </row>
    <row r="586" spans="1:33" ht="11.25" customHeight="1" x14ac:dyDescent="0.25">
      <c r="A586" s="4" t="s">
        <v>21</v>
      </c>
      <c r="B586" s="4" t="s">
        <v>41</v>
      </c>
      <c r="C586" s="4" t="s">
        <v>62</v>
      </c>
      <c r="D586" s="4" t="s">
        <v>25</v>
      </c>
      <c r="E586" s="4" t="s">
        <v>25</v>
      </c>
      <c r="F586" s="4" t="s">
        <v>25</v>
      </c>
      <c r="G586" s="4" t="s">
        <v>63</v>
      </c>
      <c r="H586" s="4" t="s">
        <v>35</v>
      </c>
      <c r="I586" s="5">
        <v>44621</v>
      </c>
      <c r="J586" s="6">
        <v>7168</v>
      </c>
      <c r="K586" s="6">
        <v>7168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4" t="s">
        <v>64</v>
      </c>
      <c r="R586" s="4">
        <v>43</v>
      </c>
      <c r="S586" s="6">
        <v>28</v>
      </c>
      <c r="T586" s="6">
        <v>0</v>
      </c>
      <c r="U586" s="6">
        <v>0</v>
      </c>
      <c r="V586" s="6">
        <f>IF(ISERROR(VLOOKUP($S$586,'TAR FIN'!$A$1:$O$104,15,0)),0,VLOOKUP($S$586,'TAR FIN'!$A$1:$O$104,15,0))</f>
        <v>13.55</v>
      </c>
      <c r="W586" s="6">
        <f>IF(ISERROR(VLOOKUP($T$586,'TAR FIN'!$A$1:$O$104,15,0)),0,VLOOKUP($T$586,'TAR FIN'!$A$1:$O$104,15,0))</f>
        <v>0</v>
      </c>
      <c r="X586" s="6">
        <f>IF(ISERROR(VLOOKUP($U$586,'TAR FIN'!$A$1:$O$104,15,0)),0,VLOOKUP($U$586,'TAR FIN'!$A$1:$O$104,15,0))</f>
        <v>0</v>
      </c>
      <c r="Y586" s="6">
        <f ca="1">('TUSD BE'!$AM$18+'TUSD BF'!$AM$18+'TUSD CVA'!$AM$18)*1</f>
        <v>14.693654553637149</v>
      </c>
      <c r="Z586" s="6">
        <f ca="1">('TUSD BE'!$AM$19+'TUSD BF'!$AM$19+'TUSD CVA'!$AM$19)*1</f>
        <v>13.739448006852705</v>
      </c>
      <c r="AA586" s="6"/>
      <c r="AB586" s="6">
        <f>$K$586*$V$586</f>
        <v>97126.400000000009</v>
      </c>
      <c r="AC586" s="6">
        <f>$M$586*$W$586</f>
        <v>0</v>
      </c>
      <c r="AD586" s="6">
        <f>$O$586*$X$586</f>
        <v>0</v>
      </c>
      <c r="AE586" s="6">
        <f ca="1">$K$586*$Y$586</f>
        <v>105324.11584047109</v>
      </c>
      <c r="AF586" s="6">
        <f ca="1">$M$586*$Z$586</f>
        <v>0</v>
      </c>
      <c r="AG586" s="6">
        <f>$O$586*$AA$586</f>
        <v>0</v>
      </c>
    </row>
    <row r="587" spans="1:33" ht="11.25" customHeight="1" x14ac:dyDescent="0.25">
      <c r="A587" s="4" t="s">
        <v>21</v>
      </c>
      <c r="B587" s="4" t="s">
        <v>41</v>
      </c>
      <c r="C587" s="4" t="s">
        <v>62</v>
      </c>
      <c r="D587" s="4" t="s">
        <v>25</v>
      </c>
      <c r="E587" s="4" t="s">
        <v>25</v>
      </c>
      <c r="F587" s="4" t="s">
        <v>25</v>
      </c>
      <c r="G587" s="4" t="s">
        <v>65</v>
      </c>
      <c r="H587" s="4" t="s">
        <v>35</v>
      </c>
      <c r="I587" s="5">
        <v>44621</v>
      </c>
      <c r="J587" s="6">
        <v>4019</v>
      </c>
      <c r="K587" s="6">
        <v>4019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4" t="s">
        <v>64</v>
      </c>
      <c r="R587" s="4">
        <v>6611</v>
      </c>
      <c r="S587" s="6">
        <v>34</v>
      </c>
      <c r="T587" s="6">
        <v>0</v>
      </c>
      <c r="U587" s="6">
        <v>0</v>
      </c>
      <c r="V587" s="6">
        <f>IF(ISERROR(VLOOKUP($S$587,'TAR FIN'!$A$1:$O$104,15,0)),0,VLOOKUP($S$587,'TAR FIN'!$A$1:$O$104,15,0))</f>
        <v>13.55</v>
      </c>
      <c r="W587" s="6">
        <f>IF(ISERROR(VLOOKUP($T$587,'TAR FIN'!$A$1:$O$104,15,0)),0,VLOOKUP($T$587,'TAR FIN'!$A$1:$O$104,15,0))</f>
        <v>0</v>
      </c>
      <c r="X587" s="6">
        <f>IF(ISERROR(VLOOKUP($U$587,'TAR FIN'!$A$1:$O$104,15,0)),0,VLOOKUP($U$587,'TAR FIN'!$A$1:$O$104,15,0))</f>
        <v>0</v>
      </c>
      <c r="Y587" s="6">
        <f ca="1">('TUSD BE'!$AM$21+'TUSD BF'!$AM$21+'TUSD CVA'!$AM$21)*1</f>
        <v>14.693654553637149</v>
      </c>
      <c r="Z587" s="6">
        <f ca="1">('TUSD BE'!$AM$22+'TUSD BF'!$AM$22+'TUSD CVA'!$AM$22)*1</f>
        <v>13.739448006852705</v>
      </c>
      <c r="AA587" s="6"/>
      <c r="AB587" s="6">
        <f>$K$587*$V$587</f>
        <v>54457.450000000004</v>
      </c>
      <c r="AC587" s="6">
        <f>$M$587*$W$587</f>
        <v>0</v>
      </c>
      <c r="AD587" s="6">
        <f>$O$587*$X$587</f>
        <v>0</v>
      </c>
      <c r="AE587" s="6">
        <f ca="1">$K$587*$Y$587</f>
        <v>59053.797651067704</v>
      </c>
      <c r="AF587" s="6">
        <f ca="1">$M$587*$Z$587</f>
        <v>0</v>
      </c>
      <c r="AG587" s="6">
        <f>$O$587*$AA$587</f>
        <v>0</v>
      </c>
    </row>
    <row r="588" spans="1:33" ht="11.25" customHeight="1" x14ac:dyDescent="0.25">
      <c r="A588" s="4" t="s">
        <v>21</v>
      </c>
      <c r="B588" s="4" t="s">
        <v>41</v>
      </c>
      <c r="C588" s="4" t="s">
        <v>62</v>
      </c>
      <c r="D588" s="4" t="s">
        <v>25</v>
      </c>
      <c r="E588" s="4" t="s">
        <v>25</v>
      </c>
      <c r="F588" s="4" t="s">
        <v>25</v>
      </c>
      <c r="G588" s="4" t="s">
        <v>63</v>
      </c>
      <c r="H588" s="4" t="s">
        <v>35</v>
      </c>
      <c r="I588" s="5">
        <v>44652</v>
      </c>
      <c r="J588" s="6">
        <v>7168</v>
      </c>
      <c r="K588" s="6">
        <v>7168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4" t="s">
        <v>64</v>
      </c>
      <c r="R588" s="4">
        <v>43</v>
      </c>
      <c r="S588" s="6">
        <v>28</v>
      </c>
      <c r="T588" s="6">
        <v>0</v>
      </c>
      <c r="U588" s="6">
        <v>0</v>
      </c>
      <c r="V588" s="6">
        <f>IF(ISERROR(VLOOKUP($S$588,'TAR FIN'!$A$1:$O$104,15,0)),0,VLOOKUP($S$588,'TAR FIN'!$A$1:$O$104,15,0))</f>
        <v>13.55</v>
      </c>
      <c r="W588" s="6">
        <f>IF(ISERROR(VLOOKUP($T$588,'TAR FIN'!$A$1:$O$104,15,0)),0,VLOOKUP($T$588,'TAR FIN'!$A$1:$O$104,15,0))</f>
        <v>0</v>
      </c>
      <c r="X588" s="6">
        <f>IF(ISERROR(VLOOKUP($U$588,'TAR FIN'!$A$1:$O$104,15,0)),0,VLOOKUP($U$588,'TAR FIN'!$A$1:$O$104,15,0))</f>
        <v>0</v>
      </c>
      <c r="Y588" s="6">
        <f ca="1">('TUSD BE'!$AM$18+'TUSD BF'!$AM$18+'TUSD CVA'!$AM$18)*1</f>
        <v>14.693654553637149</v>
      </c>
      <c r="Z588" s="6">
        <f ca="1">('TUSD BE'!$AM$19+'TUSD BF'!$AM$19+'TUSD CVA'!$AM$19)*1</f>
        <v>13.739448006852705</v>
      </c>
      <c r="AA588" s="6"/>
      <c r="AB588" s="6">
        <f>$K$588*$V$588</f>
        <v>97126.400000000009</v>
      </c>
      <c r="AC588" s="6">
        <f>$M$588*$W$588</f>
        <v>0</v>
      </c>
      <c r="AD588" s="6">
        <f>$O$588*$X$588</f>
        <v>0</v>
      </c>
      <c r="AE588" s="6">
        <f ca="1">$K$588*$Y$588</f>
        <v>105324.11584047109</v>
      </c>
      <c r="AF588" s="6">
        <f ca="1">$M$588*$Z$588</f>
        <v>0</v>
      </c>
      <c r="AG588" s="6">
        <f>$O$588*$AA$588</f>
        <v>0</v>
      </c>
    </row>
    <row r="589" spans="1:33" ht="11.25" customHeight="1" x14ac:dyDescent="0.25">
      <c r="A589" s="4" t="s">
        <v>21</v>
      </c>
      <c r="B589" s="4" t="s">
        <v>41</v>
      </c>
      <c r="C589" s="4" t="s">
        <v>62</v>
      </c>
      <c r="D589" s="4" t="s">
        <v>25</v>
      </c>
      <c r="E589" s="4" t="s">
        <v>25</v>
      </c>
      <c r="F589" s="4" t="s">
        <v>25</v>
      </c>
      <c r="G589" s="4" t="s">
        <v>65</v>
      </c>
      <c r="H589" s="4" t="s">
        <v>35</v>
      </c>
      <c r="I589" s="5">
        <v>44652</v>
      </c>
      <c r="J589" s="6">
        <v>4019</v>
      </c>
      <c r="K589" s="6">
        <v>4019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4" t="s">
        <v>64</v>
      </c>
      <c r="R589" s="4">
        <v>6611</v>
      </c>
      <c r="S589" s="6">
        <v>34</v>
      </c>
      <c r="T589" s="6">
        <v>0</v>
      </c>
      <c r="U589" s="6">
        <v>0</v>
      </c>
      <c r="V589" s="6">
        <f>IF(ISERROR(VLOOKUP($S$589,'TAR FIN'!$A$1:$O$104,15,0)),0,VLOOKUP($S$589,'TAR FIN'!$A$1:$O$104,15,0))</f>
        <v>13.55</v>
      </c>
      <c r="W589" s="6">
        <f>IF(ISERROR(VLOOKUP($T$589,'TAR FIN'!$A$1:$O$104,15,0)),0,VLOOKUP($T$589,'TAR FIN'!$A$1:$O$104,15,0))</f>
        <v>0</v>
      </c>
      <c r="X589" s="6">
        <f>IF(ISERROR(VLOOKUP($U$589,'TAR FIN'!$A$1:$O$104,15,0)),0,VLOOKUP($U$589,'TAR FIN'!$A$1:$O$104,15,0))</f>
        <v>0</v>
      </c>
      <c r="Y589" s="6">
        <f ca="1">('TUSD BE'!$AM$21+'TUSD BF'!$AM$21+'TUSD CVA'!$AM$21)*1</f>
        <v>14.693654553637149</v>
      </c>
      <c r="Z589" s="6">
        <f ca="1">('TUSD BE'!$AM$22+'TUSD BF'!$AM$22+'TUSD CVA'!$AM$22)*1</f>
        <v>13.739448006852705</v>
      </c>
      <c r="AA589" s="6"/>
      <c r="AB589" s="6">
        <f>$K$589*$V$589</f>
        <v>54457.450000000004</v>
      </c>
      <c r="AC589" s="6">
        <f>$M$589*$W$589</f>
        <v>0</v>
      </c>
      <c r="AD589" s="6">
        <f>$O$589*$X$589</f>
        <v>0</v>
      </c>
      <c r="AE589" s="6">
        <f ca="1">$K$589*$Y$589</f>
        <v>59053.797651067704</v>
      </c>
      <c r="AF589" s="6">
        <f ca="1">$M$589*$Z$589</f>
        <v>0</v>
      </c>
      <c r="AG589" s="6">
        <f>$O$589*$AA$589</f>
        <v>0</v>
      </c>
    </row>
    <row r="590" spans="1:33" ht="11.25" customHeight="1" x14ac:dyDescent="0.25">
      <c r="A590" s="4" t="s">
        <v>21</v>
      </c>
      <c r="B590" s="4" t="s">
        <v>41</v>
      </c>
      <c r="C590" s="4" t="s">
        <v>62</v>
      </c>
      <c r="D590" s="4" t="s">
        <v>25</v>
      </c>
      <c r="E590" s="4" t="s">
        <v>25</v>
      </c>
      <c r="F590" s="4" t="s">
        <v>25</v>
      </c>
      <c r="G590" s="4" t="s">
        <v>63</v>
      </c>
      <c r="H590" s="4" t="s">
        <v>35</v>
      </c>
      <c r="I590" s="5">
        <v>44682</v>
      </c>
      <c r="J590" s="6">
        <v>7168</v>
      </c>
      <c r="K590" s="6">
        <v>7168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4" t="s">
        <v>64</v>
      </c>
      <c r="R590" s="4">
        <v>43</v>
      </c>
      <c r="S590" s="6">
        <v>28</v>
      </c>
      <c r="T590" s="6">
        <v>0</v>
      </c>
      <c r="U590" s="6">
        <v>0</v>
      </c>
      <c r="V590" s="6">
        <f>IF(ISERROR(VLOOKUP($S$590,'TAR FIN'!$A$1:$O$104,15,0)),0,VLOOKUP($S$590,'TAR FIN'!$A$1:$O$104,15,0))</f>
        <v>13.55</v>
      </c>
      <c r="W590" s="6">
        <f>IF(ISERROR(VLOOKUP($T$590,'TAR FIN'!$A$1:$O$104,15,0)),0,VLOOKUP($T$590,'TAR FIN'!$A$1:$O$104,15,0))</f>
        <v>0</v>
      </c>
      <c r="X590" s="6">
        <f>IF(ISERROR(VLOOKUP($U$590,'TAR FIN'!$A$1:$O$104,15,0)),0,VLOOKUP($U$590,'TAR FIN'!$A$1:$O$104,15,0))</f>
        <v>0</v>
      </c>
      <c r="Y590" s="6">
        <f ca="1">('TUSD BE'!$AM$18+'TUSD BF'!$AM$18+'TUSD CVA'!$AM$18)*1</f>
        <v>14.693654553637149</v>
      </c>
      <c r="Z590" s="6">
        <f ca="1">('TUSD BE'!$AM$19+'TUSD BF'!$AM$19+'TUSD CVA'!$AM$19)*1</f>
        <v>13.739448006852705</v>
      </c>
      <c r="AA590" s="6"/>
      <c r="AB590" s="6">
        <f>$K$590*$V$590</f>
        <v>97126.400000000009</v>
      </c>
      <c r="AC590" s="6">
        <f>$M$590*$W$590</f>
        <v>0</v>
      </c>
      <c r="AD590" s="6">
        <f>$O$590*$X$590</f>
        <v>0</v>
      </c>
      <c r="AE590" s="6">
        <f ca="1">$K$590*$Y$590</f>
        <v>105324.11584047109</v>
      </c>
      <c r="AF590" s="6">
        <f ca="1">$M$590*$Z$590</f>
        <v>0</v>
      </c>
      <c r="AG590" s="6">
        <f>$O$590*$AA$590</f>
        <v>0</v>
      </c>
    </row>
    <row r="591" spans="1:33" ht="11.25" customHeight="1" x14ac:dyDescent="0.25">
      <c r="A591" s="4" t="s">
        <v>21</v>
      </c>
      <c r="B591" s="4" t="s">
        <v>41</v>
      </c>
      <c r="C591" s="4" t="s">
        <v>62</v>
      </c>
      <c r="D591" s="4" t="s">
        <v>25</v>
      </c>
      <c r="E591" s="4" t="s">
        <v>25</v>
      </c>
      <c r="F591" s="4" t="s">
        <v>25</v>
      </c>
      <c r="G591" s="4" t="s">
        <v>65</v>
      </c>
      <c r="H591" s="4" t="s">
        <v>35</v>
      </c>
      <c r="I591" s="5">
        <v>44682</v>
      </c>
      <c r="J591" s="6">
        <v>4019</v>
      </c>
      <c r="K591" s="6">
        <v>4019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4" t="s">
        <v>64</v>
      </c>
      <c r="R591" s="4">
        <v>6611</v>
      </c>
      <c r="S591" s="6">
        <v>34</v>
      </c>
      <c r="T591" s="6">
        <v>0</v>
      </c>
      <c r="U591" s="6">
        <v>0</v>
      </c>
      <c r="V591" s="6">
        <f>IF(ISERROR(VLOOKUP($S$591,'TAR FIN'!$A$1:$O$104,15,0)),0,VLOOKUP($S$591,'TAR FIN'!$A$1:$O$104,15,0))</f>
        <v>13.55</v>
      </c>
      <c r="W591" s="6">
        <f>IF(ISERROR(VLOOKUP($T$591,'TAR FIN'!$A$1:$O$104,15,0)),0,VLOOKUP($T$591,'TAR FIN'!$A$1:$O$104,15,0))</f>
        <v>0</v>
      </c>
      <c r="X591" s="6">
        <f>IF(ISERROR(VLOOKUP($U$591,'TAR FIN'!$A$1:$O$104,15,0)),0,VLOOKUP($U$591,'TAR FIN'!$A$1:$O$104,15,0))</f>
        <v>0</v>
      </c>
      <c r="Y591" s="6">
        <f ca="1">('TUSD BE'!$AM$21+'TUSD BF'!$AM$21+'TUSD CVA'!$AM$21)*1</f>
        <v>14.693654553637149</v>
      </c>
      <c r="Z591" s="6">
        <f ca="1">('TUSD BE'!$AM$22+'TUSD BF'!$AM$22+'TUSD CVA'!$AM$22)*1</f>
        <v>13.739448006852705</v>
      </c>
      <c r="AA591" s="6"/>
      <c r="AB591" s="6">
        <f>$K$591*$V$591</f>
        <v>54457.450000000004</v>
      </c>
      <c r="AC591" s="6">
        <f>$M$591*$W$591</f>
        <v>0</v>
      </c>
      <c r="AD591" s="6">
        <f>$O$591*$X$591</f>
        <v>0</v>
      </c>
      <c r="AE591" s="6">
        <f ca="1">$K$591*$Y$591</f>
        <v>59053.797651067704</v>
      </c>
      <c r="AF591" s="6">
        <f ca="1">$M$591*$Z$591</f>
        <v>0</v>
      </c>
      <c r="AG591" s="6">
        <f>$O$591*$AA$591</f>
        <v>0</v>
      </c>
    </row>
    <row r="592" spans="1:33" ht="11.25" customHeight="1" x14ac:dyDescent="0.25">
      <c r="A592" s="4" t="s">
        <v>21</v>
      </c>
      <c r="B592" s="4" t="s">
        <v>41</v>
      </c>
      <c r="C592" s="4" t="s">
        <v>62</v>
      </c>
      <c r="D592" s="4" t="s">
        <v>25</v>
      </c>
      <c r="E592" s="4" t="s">
        <v>25</v>
      </c>
      <c r="F592" s="4" t="s">
        <v>25</v>
      </c>
      <c r="G592" s="4" t="s">
        <v>63</v>
      </c>
      <c r="H592" s="4" t="s">
        <v>35</v>
      </c>
      <c r="I592" s="5">
        <v>44713</v>
      </c>
      <c r="J592" s="6">
        <v>7168</v>
      </c>
      <c r="K592" s="6">
        <v>7168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4" t="s">
        <v>64</v>
      </c>
      <c r="R592" s="4">
        <v>43</v>
      </c>
      <c r="S592" s="6">
        <v>28</v>
      </c>
      <c r="T592" s="6">
        <v>0</v>
      </c>
      <c r="U592" s="6">
        <v>0</v>
      </c>
      <c r="V592" s="6">
        <f>IF(ISERROR(VLOOKUP($S$592,'TAR FIN'!$A$1:$O$104,15,0)),0,VLOOKUP($S$592,'TAR FIN'!$A$1:$O$104,15,0))</f>
        <v>13.55</v>
      </c>
      <c r="W592" s="6">
        <f>IF(ISERROR(VLOOKUP($T$592,'TAR FIN'!$A$1:$O$104,15,0)),0,VLOOKUP($T$592,'TAR FIN'!$A$1:$O$104,15,0))</f>
        <v>0</v>
      </c>
      <c r="X592" s="6">
        <f>IF(ISERROR(VLOOKUP($U$592,'TAR FIN'!$A$1:$O$104,15,0)),0,VLOOKUP($U$592,'TAR FIN'!$A$1:$O$104,15,0))</f>
        <v>0</v>
      </c>
      <c r="Y592" s="6">
        <f ca="1">('TUSD BE'!$AM$18+'TUSD BF'!$AM$18+'TUSD CVA'!$AM$18)*1</f>
        <v>14.693654553637149</v>
      </c>
      <c r="Z592" s="6">
        <f ca="1">('TUSD BE'!$AM$19+'TUSD BF'!$AM$19+'TUSD CVA'!$AM$19)*1</f>
        <v>13.739448006852705</v>
      </c>
      <c r="AA592" s="6"/>
      <c r="AB592" s="6">
        <f>$K$592*$V$592</f>
        <v>97126.400000000009</v>
      </c>
      <c r="AC592" s="6">
        <f>$M$592*$W$592</f>
        <v>0</v>
      </c>
      <c r="AD592" s="6">
        <f>$O$592*$X$592</f>
        <v>0</v>
      </c>
      <c r="AE592" s="6">
        <f ca="1">$K$592*$Y$592</f>
        <v>105324.11584047109</v>
      </c>
      <c r="AF592" s="6">
        <f ca="1">$M$592*$Z$592</f>
        <v>0</v>
      </c>
      <c r="AG592" s="6">
        <f>$O$592*$AA$592</f>
        <v>0</v>
      </c>
    </row>
    <row r="593" spans="1:33" ht="11.25" customHeight="1" x14ac:dyDescent="0.25">
      <c r="A593" s="4" t="s">
        <v>21</v>
      </c>
      <c r="B593" s="4" t="s">
        <v>41</v>
      </c>
      <c r="C593" s="4" t="s">
        <v>62</v>
      </c>
      <c r="D593" s="4" t="s">
        <v>25</v>
      </c>
      <c r="E593" s="4" t="s">
        <v>25</v>
      </c>
      <c r="F593" s="4" t="s">
        <v>25</v>
      </c>
      <c r="G593" s="4" t="s">
        <v>65</v>
      </c>
      <c r="H593" s="4" t="s">
        <v>35</v>
      </c>
      <c r="I593" s="5">
        <v>44713</v>
      </c>
      <c r="J593" s="6">
        <v>4019</v>
      </c>
      <c r="K593" s="6">
        <v>4019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4" t="s">
        <v>64</v>
      </c>
      <c r="R593" s="4">
        <v>6611</v>
      </c>
      <c r="S593" s="6">
        <v>34</v>
      </c>
      <c r="T593" s="6">
        <v>0</v>
      </c>
      <c r="U593" s="6">
        <v>0</v>
      </c>
      <c r="V593" s="6">
        <f>IF(ISERROR(VLOOKUP($S$593,'TAR FIN'!$A$1:$O$104,15,0)),0,VLOOKUP($S$593,'TAR FIN'!$A$1:$O$104,15,0))</f>
        <v>13.55</v>
      </c>
      <c r="W593" s="6">
        <f>IF(ISERROR(VLOOKUP($T$593,'TAR FIN'!$A$1:$O$104,15,0)),0,VLOOKUP($T$593,'TAR FIN'!$A$1:$O$104,15,0))</f>
        <v>0</v>
      </c>
      <c r="X593" s="6">
        <f>IF(ISERROR(VLOOKUP($U$593,'TAR FIN'!$A$1:$O$104,15,0)),0,VLOOKUP($U$593,'TAR FIN'!$A$1:$O$104,15,0))</f>
        <v>0</v>
      </c>
      <c r="Y593" s="6">
        <f ca="1">('TUSD BE'!$AM$21+'TUSD BF'!$AM$21+'TUSD CVA'!$AM$21)*1</f>
        <v>14.693654553637149</v>
      </c>
      <c r="Z593" s="6">
        <f ca="1">('TUSD BE'!$AM$22+'TUSD BF'!$AM$22+'TUSD CVA'!$AM$22)*1</f>
        <v>13.739448006852705</v>
      </c>
      <c r="AA593" s="6"/>
      <c r="AB593" s="6">
        <f>$K$593*$V$593</f>
        <v>54457.450000000004</v>
      </c>
      <c r="AC593" s="6">
        <f>$M$593*$W$593</f>
        <v>0</v>
      </c>
      <c r="AD593" s="6">
        <f>$O$593*$X$593</f>
        <v>0</v>
      </c>
      <c r="AE593" s="6">
        <f ca="1">$K$593*$Y$593</f>
        <v>59053.797651067704</v>
      </c>
      <c r="AF593" s="6">
        <f ca="1">$M$593*$Z$593</f>
        <v>0</v>
      </c>
      <c r="AG593" s="6">
        <f>$O$593*$AA$593</f>
        <v>0</v>
      </c>
    </row>
    <row r="594" spans="1:33" ht="11.25" customHeight="1" x14ac:dyDescent="0.25">
      <c r="A594" s="4" t="s">
        <v>57</v>
      </c>
      <c r="B594" s="4" t="s">
        <v>41</v>
      </c>
      <c r="C594" s="4" t="s">
        <v>62</v>
      </c>
      <c r="D594" s="4" t="s">
        <v>25</v>
      </c>
      <c r="E594" s="4" t="s">
        <v>25</v>
      </c>
      <c r="F594" s="4" t="s">
        <v>25</v>
      </c>
      <c r="G594" s="4" t="s">
        <v>63</v>
      </c>
      <c r="H594" s="4" t="s">
        <v>35</v>
      </c>
      <c r="I594" s="5">
        <v>44743</v>
      </c>
      <c r="J594" s="6">
        <v>7168</v>
      </c>
      <c r="K594" s="6">
        <v>7168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4" t="s">
        <v>64</v>
      </c>
      <c r="R594" s="4">
        <v>43</v>
      </c>
      <c r="S594" s="6">
        <v>28</v>
      </c>
      <c r="T594" s="6">
        <v>0</v>
      </c>
      <c r="U594" s="6">
        <v>0</v>
      </c>
      <c r="V594" s="6">
        <f>IF(ISERROR(VLOOKUP($S$594,'TAR FIN'!$A$1:$O$104,15,0)),0,VLOOKUP($S$594,'TAR FIN'!$A$1:$O$104,15,0))</f>
        <v>13.55</v>
      </c>
      <c r="W594" s="6">
        <f>IF(ISERROR(VLOOKUP($T$594,'TAR FIN'!$A$1:$O$104,15,0)),0,VLOOKUP($T$594,'TAR FIN'!$A$1:$O$104,15,0))</f>
        <v>0</v>
      </c>
      <c r="X594" s="6">
        <f>IF(ISERROR(VLOOKUP($U$594,'TAR FIN'!$A$1:$O$104,15,0)),0,VLOOKUP($U$594,'TAR FIN'!$A$1:$O$104,15,0))</f>
        <v>0</v>
      </c>
      <c r="Y594" s="6">
        <f ca="1">('TUSD BE'!$AM$18+'TUSD BF'!$AM$18+'TUSD CVA'!$AM$18)*1</f>
        <v>14.693654553637149</v>
      </c>
      <c r="Z594" s="6">
        <f ca="1">('TUSD BE'!$AM$19+'TUSD BF'!$AM$19+'TUSD CVA'!$AM$19)*1</f>
        <v>13.739448006852705</v>
      </c>
      <c r="AA594" s="6"/>
      <c r="AB594" s="6">
        <f>$K$594*$V$594</f>
        <v>97126.400000000009</v>
      </c>
      <c r="AC594" s="6">
        <f>$M$594*$W$594</f>
        <v>0</v>
      </c>
      <c r="AD594" s="6">
        <f>$O$594*$X$594</f>
        <v>0</v>
      </c>
      <c r="AE594" s="6">
        <f ca="1">$K$594*$Y$594</f>
        <v>105324.11584047109</v>
      </c>
      <c r="AF594" s="6">
        <f ca="1">$M$594*$Z$594</f>
        <v>0</v>
      </c>
      <c r="AG594" s="6">
        <f>$O$594*$AA$594</f>
        <v>0</v>
      </c>
    </row>
    <row r="595" spans="1:33" ht="11.25" customHeight="1" x14ac:dyDescent="0.25">
      <c r="A595" s="4" t="s">
        <v>57</v>
      </c>
      <c r="B595" s="4" t="s">
        <v>41</v>
      </c>
      <c r="C595" s="4" t="s">
        <v>62</v>
      </c>
      <c r="D595" s="4" t="s">
        <v>25</v>
      </c>
      <c r="E595" s="4" t="s">
        <v>25</v>
      </c>
      <c r="F595" s="4" t="s">
        <v>25</v>
      </c>
      <c r="G595" s="4" t="s">
        <v>65</v>
      </c>
      <c r="H595" s="4" t="s">
        <v>35</v>
      </c>
      <c r="I595" s="5">
        <v>44743</v>
      </c>
      <c r="J595" s="6">
        <v>4019</v>
      </c>
      <c r="K595" s="6">
        <v>4019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4" t="s">
        <v>64</v>
      </c>
      <c r="R595" s="4">
        <v>6611</v>
      </c>
      <c r="S595" s="6">
        <v>34</v>
      </c>
      <c r="T595" s="6">
        <v>0</v>
      </c>
      <c r="U595" s="6">
        <v>0</v>
      </c>
      <c r="V595" s="6">
        <f>IF(ISERROR(VLOOKUP($S$595,'TAR FIN'!$A$1:$O$104,15,0)),0,VLOOKUP($S$595,'TAR FIN'!$A$1:$O$104,15,0))</f>
        <v>13.55</v>
      </c>
      <c r="W595" s="6">
        <f>IF(ISERROR(VLOOKUP($T$595,'TAR FIN'!$A$1:$O$104,15,0)),0,VLOOKUP($T$595,'TAR FIN'!$A$1:$O$104,15,0))</f>
        <v>0</v>
      </c>
      <c r="X595" s="6">
        <f>IF(ISERROR(VLOOKUP($U$595,'TAR FIN'!$A$1:$O$104,15,0)),0,VLOOKUP($U$595,'TAR FIN'!$A$1:$O$104,15,0))</f>
        <v>0</v>
      </c>
      <c r="Y595" s="6">
        <f ca="1">('TUSD BE'!$AM$21+'TUSD BF'!$AM$21+'TUSD CVA'!$AM$21)*1</f>
        <v>14.693654553637149</v>
      </c>
      <c r="Z595" s="6">
        <f ca="1">('TUSD BE'!$AM$22+'TUSD BF'!$AM$22+'TUSD CVA'!$AM$22)*1</f>
        <v>13.739448006852705</v>
      </c>
      <c r="AA595" s="6"/>
      <c r="AB595" s="6">
        <f>$K$595*$V$595</f>
        <v>54457.450000000004</v>
      </c>
      <c r="AC595" s="6">
        <f>$M$595*$W$595</f>
        <v>0</v>
      </c>
      <c r="AD595" s="6">
        <f>$O$595*$X$595</f>
        <v>0</v>
      </c>
      <c r="AE595" s="6">
        <f ca="1">$K$595*$Y$595</f>
        <v>59053.797651067704</v>
      </c>
      <c r="AF595" s="6">
        <f ca="1">$M$595*$Z$595</f>
        <v>0</v>
      </c>
      <c r="AG595" s="6">
        <f>$O$595*$AA$595</f>
        <v>0</v>
      </c>
    </row>
    <row r="596" spans="1:33" ht="11.25" customHeight="1" x14ac:dyDescent="0.25">
      <c r="A596" s="4" t="s">
        <v>21</v>
      </c>
      <c r="B596" s="4" t="s">
        <v>41</v>
      </c>
      <c r="C596" s="4" t="s">
        <v>62</v>
      </c>
      <c r="D596" s="4" t="s">
        <v>25</v>
      </c>
      <c r="E596" s="4" t="s">
        <v>25</v>
      </c>
      <c r="F596" s="4" t="s">
        <v>25</v>
      </c>
      <c r="G596" s="4" t="s">
        <v>63</v>
      </c>
      <c r="H596" s="4" t="s">
        <v>25</v>
      </c>
      <c r="I596" s="5">
        <v>44409</v>
      </c>
      <c r="J596" s="6">
        <v>0</v>
      </c>
      <c r="K596" s="6">
        <v>0</v>
      </c>
      <c r="L596" s="6">
        <v>3276.0230000000001</v>
      </c>
      <c r="M596" s="6">
        <v>3276.0230000000001</v>
      </c>
      <c r="N596" s="6">
        <v>0</v>
      </c>
      <c r="O596" s="6">
        <v>0</v>
      </c>
      <c r="P596" s="6">
        <v>0</v>
      </c>
      <c r="Q596" s="4" t="s">
        <v>64</v>
      </c>
      <c r="R596" s="4">
        <v>43</v>
      </c>
      <c r="S596" s="6">
        <v>0</v>
      </c>
      <c r="T596" s="6">
        <v>30</v>
      </c>
      <c r="U596" s="6">
        <v>0</v>
      </c>
      <c r="V596" s="6">
        <f>IF(ISERROR(VLOOKUP($S$596,'TAR FIN'!$A$1:$O$104,15,0)),0,VLOOKUP($S$596,'TAR FIN'!$A$1:$O$104,15,0))</f>
        <v>0</v>
      </c>
      <c r="W596" s="6">
        <f>IF(ISERROR(VLOOKUP($T$596,'TAR FIN'!$A$1:$O$104,15,0)),0,VLOOKUP($T$596,'TAR FIN'!$A$1:$O$104,15,0))</f>
        <v>15</v>
      </c>
      <c r="X596" s="6">
        <f>IF(ISERROR(VLOOKUP($U$596,'TAR FIN'!$A$1:$O$104,15,0)),0,VLOOKUP($U$596,'TAR FIN'!$A$1:$O$104,15,0))</f>
        <v>0</v>
      </c>
      <c r="Y596" s="6">
        <f ca="1">0.72*('TUSD BE'!$AM$17+'TUSD BF'!$AM$17+'TUSD CVA'!$AM$17)*1+('TUSD BE'!$AM$18+'TUSD BF'!$AM$18+'TUSD CVA'!$AM$18)*1</f>
        <v>34.673419765411182</v>
      </c>
      <c r="Z596" s="6">
        <f ca="1">('TUSD BE'!$AM$19+'TUSD BF'!$AM$19+'TUSD CVA'!$AM$19)*1</f>
        <v>13.739448006852705</v>
      </c>
      <c r="AA596" s="6"/>
      <c r="AB596" s="6">
        <f>$K$596*$V$596</f>
        <v>0</v>
      </c>
      <c r="AC596" s="6">
        <f>$M$596*$W$596</f>
        <v>49140.345000000001</v>
      </c>
      <c r="AD596" s="6">
        <f>$O$596*$X$596</f>
        <v>0</v>
      </c>
      <c r="AE596" s="6">
        <f ca="1">$K$596*$Y$596</f>
        <v>0</v>
      </c>
      <c r="AF596" s="6">
        <f ca="1">$M$596*$Z$596</f>
        <v>45010.747677753621</v>
      </c>
      <c r="AG596" s="6">
        <f>$O$596*$AA$596</f>
        <v>0</v>
      </c>
    </row>
    <row r="597" spans="1:33" ht="11.25" customHeight="1" x14ac:dyDescent="0.25">
      <c r="A597" s="4" t="s">
        <v>21</v>
      </c>
      <c r="B597" s="4" t="s">
        <v>41</v>
      </c>
      <c r="C597" s="4" t="s">
        <v>62</v>
      </c>
      <c r="D597" s="4" t="s">
        <v>25</v>
      </c>
      <c r="E597" s="4" t="s">
        <v>25</v>
      </c>
      <c r="F597" s="4" t="s">
        <v>25</v>
      </c>
      <c r="G597" s="4" t="s">
        <v>65</v>
      </c>
      <c r="H597" s="4" t="s">
        <v>25</v>
      </c>
      <c r="I597" s="5">
        <v>44409</v>
      </c>
      <c r="J597" s="6">
        <v>0</v>
      </c>
      <c r="K597" s="6">
        <v>0</v>
      </c>
      <c r="L597" s="6">
        <v>1919.4010000000001</v>
      </c>
      <c r="M597" s="6">
        <v>1919.4010000000001</v>
      </c>
      <c r="N597" s="6">
        <v>0</v>
      </c>
      <c r="O597" s="6">
        <v>0</v>
      </c>
      <c r="P597" s="6">
        <v>0</v>
      </c>
      <c r="Q597" s="4" t="s">
        <v>64</v>
      </c>
      <c r="R597" s="4">
        <v>6611</v>
      </c>
      <c r="S597" s="6">
        <v>0</v>
      </c>
      <c r="T597" s="6">
        <v>36</v>
      </c>
      <c r="U597" s="6">
        <v>0</v>
      </c>
      <c r="V597" s="6">
        <f>IF(ISERROR(VLOOKUP($S$597,'TAR FIN'!$A$1:$O$104,15,0)),0,VLOOKUP($S$597,'TAR FIN'!$A$1:$O$104,15,0))</f>
        <v>0</v>
      </c>
      <c r="W597" s="6">
        <f>IF(ISERROR(VLOOKUP($T$597,'TAR FIN'!$A$1:$O$104,15,0)),0,VLOOKUP($T$597,'TAR FIN'!$A$1:$O$104,15,0))</f>
        <v>15</v>
      </c>
      <c r="X597" s="6">
        <f>IF(ISERROR(VLOOKUP($U$597,'TAR FIN'!$A$1:$O$104,15,0)),0,VLOOKUP($U$597,'TAR FIN'!$A$1:$O$104,15,0))</f>
        <v>0</v>
      </c>
      <c r="Y597" s="6">
        <f ca="1">0.72*('TUSD BE'!$AM$20+'TUSD BF'!$AM$20+'TUSD CVA'!$AM$20)*1+('TUSD BE'!$AM$21+'TUSD BF'!$AM$21+'TUSD CVA'!$AM$21)*1</f>
        <v>34.673419765411182</v>
      </c>
      <c r="Z597" s="6">
        <f ca="1">('TUSD BE'!$AM$22+'TUSD BF'!$AM$22+'TUSD CVA'!$AM$22)*1</f>
        <v>13.739448006852705</v>
      </c>
      <c r="AA597" s="6"/>
      <c r="AB597" s="6">
        <f>$K$597*$V$597</f>
        <v>0</v>
      </c>
      <c r="AC597" s="6">
        <f>$M$597*$W$597</f>
        <v>28791.014999999999</v>
      </c>
      <c r="AD597" s="6">
        <f>$O$597*$X$597</f>
        <v>0</v>
      </c>
      <c r="AE597" s="6">
        <f ca="1">$K$597*$Y$597</f>
        <v>0</v>
      </c>
      <c r="AF597" s="6">
        <f ca="1">$M$597*$Z$597</f>
        <v>26371.510243801087</v>
      </c>
      <c r="AG597" s="6">
        <f>$O$597*$AA$597</f>
        <v>0</v>
      </c>
    </row>
    <row r="598" spans="1:33" ht="11.25" customHeight="1" x14ac:dyDescent="0.25">
      <c r="A598" s="4" t="s">
        <v>21</v>
      </c>
      <c r="B598" s="4" t="s">
        <v>41</v>
      </c>
      <c r="C598" s="4" t="s">
        <v>62</v>
      </c>
      <c r="D598" s="4" t="s">
        <v>25</v>
      </c>
      <c r="E598" s="4" t="s">
        <v>25</v>
      </c>
      <c r="F598" s="4" t="s">
        <v>25</v>
      </c>
      <c r="G598" s="4" t="s">
        <v>63</v>
      </c>
      <c r="H598" s="4" t="s">
        <v>25</v>
      </c>
      <c r="I598" s="5">
        <v>44440</v>
      </c>
      <c r="J598" s="6">
        <v>0</v>
      </c>
      <c r="K598" s="6">
        <v>0</v>
      </c>
      <c r="L598" s="6">
        <v>3213.8580000000002</v>
      </c>
      <c r="M598" s="6">
        <v>3213.8580000000002</v>
      </c>
      <c r="N598" s="6">
        <v>0</v>
      </c>
      <c r="O598" s="6">
        <v>0</v>
      </c>
      <c r="P598" s="6">
        <v>0</v>
      </c>
      <c r="Q598" s="4" t="s">
        <v>64</v>
      </c>
      <c r="R598" s="4">
        <v>43</v>
      </c>
      <c r="S598" s="6">
        <v>0</v>
      </c>
      <c r="T598" s="6">
        <v>30</v>
      </c>
      <c r="U598" s="6">
        <v>0</v>
      </c>
      <c r="V598" s="6">
        <f>IF(ISERROR(VLOOKUP($S$598,'TAR FIN'!$A$1:$O$104,15,0)),0,VLOOKUP($S$598,'TAR FIN'!$A$1:$O$104,15,0))</f>
        <v>0</v>
      </c>
      <c r="W598" s="6">
        <f>IF(ISERROR(VLOOKUP($T$598,'TAR FIN'!$A$1:$O$104,15,0)),0,VLOOKUP($T$598,'TAR FIN'!$A$1:$O$104,15,0))</f>
        <v>15</v>
      </c>
      <c r="X598" s="6">
        <f>IF(ISERROR(VLOOKUP($U$598,'TAR FIN'!$A$1:$O$104,15,0)),0,VLOOKUP($U$598,'TAR FIN'!$A$1:$O$104,15,0))</f>
        <v>0</v>
      </c>
      <c r="Y598" s="6">
        <f ca="1">0.72*('TUSD BE'!$AM$17+'TUSD BF'!$AM$17+'TUSD CVA'!$AM$17)*1+('TUSD BE'!$AM$18+'TUSD BF'!$AM$18+'TUSD CVA'!$AM$18)*1</f>
        <v>34.673419765411182</v>
      </c>
      <c r="Z598" s="6">
        <f ca="1">('TUSD BE'!$AM$19+'TUSD BF'!$AM$19+'TUSD CVA'!$AM$19)*1</f>
        <v>13.739448006852705</v>
      </c>
      <c r="AA598" s="6"/>
      <c r="AB598" s="6">
        <f>$K$598*$V$598</f>
        <v>0</v>
      </c>
      <c r="AC598" s="6">
        <f>$M$598*$W$598</f>
        <v>48207.87</v>
      </c>
      <c r="AD598" s="6">
        <f>$O$598*$X$598</f>
        <v>0</v>
      </c>
      <c r="AE598" s="6">
        <f ca="1">$K$598*$Y$598</f>
        <v>0</v>
      </c>
      <c r="AF598" s="6">
        <f ca="1">$M$598*$Z$598</f>
        <v>44156.634892407623</v>
      </c>
      <c r="AG598" s="6">
        <f>$O$598*$AA$598</f>
        <v>0</v>
      </c>
    </row>
    <row r="599" spans="1:33" ht="11.25" customHeight="1" x14ac:dyDescent="0.25">
      <c r="A599" s="4" t="s">
        <v>21</v>
      </c>
      <c r="B599" s="4" t="s">
        <v>41</v>
      </c>
      <c r="C599" s="4" t="s">
        <v>62</v>
      </c>
      <c r="D599" s="4" t="s">
        <v>25</v>
      </c>
      <c r="E599" s="4" t="s">
        <v>25</v>
      </c>
      <c r="F599" s="4" t="s">
        <v>25</v>
      </c>
      <c r="G599" s="4" t="s">
        <v>65</v>
      </c>
      <c r="H599" s="4" t="s">
        <v>25</v>
      </c>
      <c r="I599" s="5">
        <v>44440</v>
      </c>
      <c r="J599" s="6">
        <v>0</v>
      </c>
      <c r="K599" s="6">
        <v>0</v>
      </c>
      <c r="L599" s="6">
        <v>1997.009</v>
      </c>
      <c r="M599" s="6">
        <v>1997.009</v>
      </c>
      <c r="N599" s="6">
        <v>0</v>
      </c>
      <c r="O599" s="6">
        <v>0</v>
      </c>
      <c r="P599" s="6">
        <v>0</v>
      </c>
      <c r="Q599" s="4" t="s">
        <v>64</v>
      </c>
      <c r="R599" s="4">
        <v>6611</v>
      </c>
      <c r="S599" s="6">
        <v>0</v>
      </c>
      <c r="T599" s="6">
        <v>36</v>
      </c>
      <c r="U599" s="6">
        <v>0</v>
      </c>
      <c r="V599" s="6">
        <f>IF(ISERROR(VLOOKUP($S$599,'TAR FIN'!$A$1:$O$104,15,0)),0,VLOOKUP($S$599,'TAR FIN'!$A$1:$O$104,15,0))</f>
        <v>0</v>
      </c>
      <c r="W599" s="6">
        <f>IF(ISERROR(VLOOKUP($T$599,'TAR FIN'!$A$1:$O$104,15,0)),0,VLOOKUP($T$599,'TAR FIN'!$A$1:$O$104,15,0))</f>
        <v>15</v>
      </c>
      <c r="X599" s="6">
        <f>IF(ISERROR(VLOOKUP($U$599,'TAR FIN'!$A$1:$O$104,15,0)),0,VLOOKUP($U$599,'TAR FIN'!$A$1:$O$104,15,0))</f>
        <v>0</v>
      </c>
      <c r="Y599" s="6">
        <f ca="1">0.72*('TUSD BE'!$AM$20+'TUSD BF'!$AM$20+'TUSD CVA'!$AM$20)*1+('TUSD BE'!$AM$21+'TUSD BF'!$AM$21+'TUSD CVA'!$AM$21)*1</f>
        <v>34.673419765411182</v>
      </c>
      <c r="Z599" s="6">
        <f ca="1">('TUSD BE'!$AM$22+'TUSD BF'!$AM$22+'TUSD CVA'!$AM$22)*1</f>
        <v>13.739448006852705</v>
      </c>
      <c r="AA599" s="6"/>
      <c r="AB599" s="6">
        <f>$K$599*$V$599</f>
        <v>0</v>
      </c>
      <c r="AC599" s="6">
        <f>$M$599*$W$599</f>
        <v>29955.135000000002</v>
      </c>
      <c r="AD599" s="6">
        <f>$O$599*$X$599</f>
        <v>0</v>
      </c>
      <c r="AE599" s="6">
        <f ca="1">$K$599*$Y$599</f>
        <v>0</v>
      </c>
      <c r="AF599" s="6">
        <f ca="1">$M$599*$Z$599</f>
        <v>27437.801324716911</v>
      </c>
      <c r="AG599" s="6">
        <f>$O$599*$AA$599</f>
        <v>0</v>
      </c>
    </row>
    <row r="600" spans="1:33" ht="11.25" customHeight="1" x14ac:dyDescent="0.25">
      <c r="A600" s="4" t="s">
        <v>21</v>
      </c>
      <c r="B600" s="4" t="s">
        <v>41</v>
      </c>
      <c r="C600" s="4" t="s">
        <v>62</v>
      </c>
      <c r="D600" s="4" t="s">
        <v>25</v>
      </c>
      <c r="E600" s="4" t="s">
        <v>25</v>
      </c>
      <c r="F600" s="4" t="s">
        <v>25</v>
      </c>
      <c r="G600" s="4" t="s">
        <v>63</v>
      </c>
      <c r="H600" s="4" t="s">
        <v>25</v>
      </c>
      <c r="I600" s="5">
        <v>44470</v>
      </c>
      <c r="J600" s="6">
        <v>0</v>
      </c>
      <c r="K600" s="6">
        <v>0</v>
      </c>
      <c r="L600" s="6">
        <v>3431.54</v>
      </c>
      <c r="M600" s="6">
        <v>3431.54</v>
      </c>
      <c r="N600" s="6">
        <v>0</v>
      </c>
      <c r="O600" s="6">
        <v>0</v>
      </c>
      <c r="P600" s="6">
        <v>0</v>
      </c>
      <c r="Q600" s="4" t="s">
        <v>64</v>
      </c>
      <c r="R600" s="4">
        <v>43</v>
      </c>
      <c r="S600" s="6">
        <v>0</v>
      </c>
      <c r="T600" s="6">
        <v>30</v>
      </c>
      <c r="U600" s="6">
        <v>0</v>
      </c>
      <c r="V600" s="6">
        <f>IF(ISERROR(VLOOKUP($S$600,'TAR FIN'!$A$1:$O$104,15,0)),0,VLOOKUP($S$600,'TAR FIN'!$A$1:$O$104,15,0))</f>
        <v>0</v>
      </c>
      <c r="W600" s="6">
        <f>IF(ISERROR(VLOOKUP($T$600,'TAR FIN'!$A$1:$O$104,15,0)),0,VLOOKUP($T$600,'TAR FIN'!$A$1:$O$104,15,0))</f>
        <v>15</v>
      </c>
      <c r="X600" s="6">
        <f>IF(ISERROR(VLOOKUP($U$600,'TAR FIN'!$A$1:$O$104,15,0)),0,VLOOKUP($U$600,'TAR FIN'!$A$1:$O$104,15,0))</f>
        <v>0</v>
      </c>
      <c r="Y600" s="6">
        <f ca="1">0.72*('TUSD BE'!$AM$17+'TUSD BF'!$AM$17+'TUSD CVA'!$AM$17)*1+('TUSD BE'!$AM$18+'TUSD BF'!$AM$18+'TUSD CVA'!$AM$18)*1</f>
        <v>34.673419765411182</v>
      </c>
      <c r="Z600" s="6">
        <f ca="1">('TUSD BE'!$AM$19+'TUSD BF'!$AM$19+'TUSD CVA'!$AM$19)*1</f>
        <v>13.739448006852705</v>
      </c>
      <c r="AA600" s="6"/>
      <c r="AB600" s="6">
        <f>$K$600*$V$600</f>
        <v>0</v>
      </c>
      <c r="AC600" s="6">
        <f>$M$600*$W$600</f>
        <v>51473.1</v>
      </c>
      <c r="AD600" s="6">
        <f>$O$600*$X$600</f>
        <v>0</v>
      </c>
      <c r="AE600" s="6">
        <f ca="1">$K$600*$Y$600</f>
        <v>0</v>
      </c>
      <c r="AF600" s="6">
        <f ca="1">$M$600*$Z$600</f>
        <v>47147.465413435326</v>
      </c>
      <c r="AG600" s="6">
        <f>$O$600*$AA$600</f>
        <v>0</v>
      </c>
    </row>
    <row r="601" spans="1:33" ht="11.25" customHeight="1" x14ac:dyDescent="0.25">
      <c r="A601" s="4" t="s">
        <v>21</v>
      </c>
      <c r="B601" s="4" t="s">
        <v>41</v>
      </c>
      <c r="C601" s="4" t="s">
        <v>62</v>
      </c>
      <c r="D601" s="4" t="s">
        <v>25</v>
      </c>
      <c r="E601" s="4" t="s">
        <v>25</v>
      </c>
      <c r="F601" s="4" t="s">
        <v>25</v>
      </c>
      <c r="G601" s="4" t="s">
        <v>65</v>
      </c>
      <c r="H601" s="4" t="s">
        <v>25</v>
      </c>
      <c r="I601" s="5">
        <v>44470</v>
      </c>
      <c r="J601" s="6">
        <v>0</v>
      </c>
      <c r="K601" s="6">
        <v>0</v>
      </c>
      <c r="L601" s="6">
        <v>1907.954</v>
      </c>
      <c r="M601" s="6">
        <v>1907.954</v>
      </c>
      <c r="N601" s="6">
        <v>0</v>
      </c>
      <c r="O601" s="6">
        <v>0</v>
      </c>
      <c r="P601" s="6">
        <v>0</v>
      </c>
      <c r="Q601" s="4" t="s">
        <v>64</v>
      </c>
      <c r="R601" s="4">
        <v>6611</v>
      </c>
      <c r="S601" s="6">
        <v>0</v>
      </c>
      <c r="T601" s="6">
        <v>36</v>
      </c>
      <c r="U601" s="6">
        <v>0</v>
      </c>
      <c r="V601" s="6">
        <f>IF(ISERROR(VLOOKUP($S$601,'TAR FIN'!$A$1:$O$104,15,0)),0,VLOOKUP($S$601,'TAR FIN'!$A$1:$O$104,15,0))</f>
        <v>0</v>
      </c>
      <c r="W601" s="6">
        <f>IF(ISERROR(VLOOKUP($T$601,'TAR FIN'!$A$1:$O$104,15,0)),0,VLOOKUP($T$601,'TAR FIN'!$A$1:$O$104,15,0))</f>
        <v>15</v>
      </c>
      <c r="X601" s="6">
        <f>IF(ISERROR(VLOOKUP($U$601,'TAR FIN'!$A$1:$O$104,15,0)),0,VLOOKUP($U$601,'TAR FIN'!$A$1:$O$104,15,0))</f>
        <v>0</v>
      </c>
      <c r="Y601" s="6">
        <f ca="1">0.72*('TUSD BE'!$AM$20+'TUSD BF'!$AM$20+'TUSD CVA'!$AM$20)*1+('TUSD BE'!$AM$21+'TUSD BF'!$AM$21+'TUSD CVA'!$AM$21)*1</f>
        <v>34.673419765411182</v>
      </c>
      <c r="Z601" s="6">
        <f ca="1">('TUSD BE'!$AM$22+'TUSD BF'!$AM$22+'TUSD CVA'!$AM$22)*1</f>
        <v>13.739448006852705</v>
      </c>
      <c r="AA601" s="6"/>
      <c r="AB601" s="6">
        <f>$K$601*$V$601</f>
        <v>0</v>
      </c>
      <c r="AC601" s="6">
        <f>$M$601*$W$601</f>
        <v>28619.309999999998</v>
      </c>
      <c r="AD601" s="6">
        <f>$O$601*$X$601</f>
        <v>0</v>
      </c>
      <c r="AE601" s="6">
        <f ca="1">$K$601*$Y$601</f>
        <v>0</v>
      </c>
      <c r="AF601" s="6">
        <f ca="1">$M$601*$Z$601</f>
        <v>26214.234782466643</v>
      </c>
      <c r="AG601" s="6">
        <f>$O$601*$AA$601</f>
        <v>0</v>
      </c>
    </row>
    <row r="602" spans="1:33" ht="11.25" customHeight="1" x14ac:dyDescent="0.25">
      <c r="A602" s="4" t="s">
        <v>21</v>
      </c>
      <c r="B602" s="4" t="s">
        <v>41</v>
      </c>
      <c r="C602" s="4" t="s">
        <v>62</v>
      </c>
      <c r="D602" s="4" t="s">
        <v>25</v>
      </c>
      <c r="E602" s="4" t="s">
        <v>25</v>
      </c>
      <c r="F602" s="4" t="s">
        <v>25</v>
      </c>
      <c r="G602" s="4" t="s">
        <v>63</v>
      </c>
      <c r="H602" s="4" t="s">
        <v>25</v>
      </c>
      <c r="I602" s="5">
        <v>44501</v>
      </c>
      <c r="J602" s="6">
        <v>0</v>
      </c>
      <c r="K602" s="6">
        <v>0</v>
      </c>
      <c r="L602" s="6">
        <v>3815.3670000000002</v>
      </c>
      <c r="M602" s="6">
        <v>3815.3670000000002</v>
      </c>
      <c r="N602" s="6">
        <v>0</v>
      </c>
      <c r="O602" s="6">
        <v>0</v>
      </c>
      <c r="P602" s="6">
        <v>0</v>
      </c>
      <c r="Q602" s="4" t="s">
        <v>64</v>
      </c>
      <c r="R602" s="4">
        <v>43</v>
      </c>
      <c r="S602" s="6">
        <v>0</v>
      </c>
      <c r="T602" s="6">
        <v>30</v>
      </c>
      <c r="U602" s="6">
        <v>0</v>
      </c>
      <c r="V602" s="6">
        <f>IF(ISERROR(VLOOKUP($S$602,'TAR FIN'!$A$1:$O$104,15,0)),0,VLOOKUP($S$602,'TAR FIN'!$A$1:$O$104,15,0))</f>
        <v>0</v>
      </c>
      <c r="W602" s="6">
        <f>IF(ISERROR(VLOOKUP($T$602,'TAR FIN'!$A$1:$O$104,15,0)),0,VLOOKUP($T$602,'TAR FIN'!$A$1:$O$104,15,0))</f>
        <v>15</v>
      </c>
      <c r="X602" s="6">
        <f>IF(ISERROR(VLOOKUP($U$602,'TAR FIN'!$A$1:$O$104,15,0)),0,VLOOKUP($U$602,'TAR FIN'!$A$1:$O$104,15,0))</f>
        <v>0</v>
      </c>
      <c r="Y602" s="6">
        <f ca="1">0.72*('TUSD BE'!$AM$17+'TUSD BF'!$AM$17+'TUSD CVA'!$AM$17)*1+('TUSD BE'!$AM$18+'TUSD BF'!$AM$18+'TUSD CVA'!$AM$18)*1</f>
        <v>34.673419765411182</v>
      </c>
      <c r="Z602" s="6">
        <f ca="1">('TUSD BE'!$AM$19+'TUSD BF'!$AM$19+'TUSD CVA'!$AM$19)*1</f>
        <v>13.739448006852705</v>
      </c>
      <c r="AA602" s="6"/>
      <c r="AB602" s="6">
        <f>$K$602*$V$602</f>
        <v>0</v>
      </c>
      <c r="AC602" s="6">
        <f>$M$602*$W$602</f>
        <v>57230.505000000005</v>
      </c>
      <c r="AD602" s="6">
        <f>$O$602*$X$602</f>
        <v>0</v>
      </c>
      <c r="AE602" s="6">
        <f ca="1">$K$602*$Y$602</f>
        <v>0</v>
      </c>
      <c r="AF602" s="6">
        <f ca="1">$M$602*$Z$602</f>
        <v>52421.036523561583</v>
      </c>
      <c r="AG602" s="6">
        <f>$O$602*$AA$602</f>
        <v>0</v>
      </c>
    </row>
    <row r="603" spans="1:33" ht="11.25" customHeight="1" x14ac:dyDescent="0.25">
      <c r="A603" s="4" t="s">
        <v>21</v>
      </c>
      <c r="B603" s="4" t="s">
        <v>41</v>
      </c>
      <c r="C603" s="4" t="s">
        <v>62</v>
      </c>
      <c r="D603" s="4" t="s">
        <v>25</v>
      </c>
      <c r="E603" s="4" t="s">
        <v>25</v>
      </c>
      <c r="F603" s="4" t="s">
        <v>25</v>
      </c>
      <c r="G603" s="4" t="s">
        <v>65</v>
      </c>
      <c r="H603" s="4" t="s">
        <v>25</v>
      </c>
      <c r="I603" s="5">
        <v>44501</v>
      </c>
      <c r="J603" s="6">
        <v>0</v>
      </c>
      <c r="K603" s="6">
        <v>0</v>
      </c>
      <c r="L603" s="6">
        <v>2034.29</v>
      </c>
      <c r="M603" s="6">
        <v>2034.29</v>
      </c>
      <c r="N603" s="6">
        <v>0</v>
      </c>
      <c r="O603" s="6">
        <v>0</v>
      </c>
      <c r="P603" s="6">
        <v>0</v>
      </c>
      <c r="Q603" s="4" t="s">
        <v>64</v>
      </c>
      <c r="R603" s="4">
        <v>6611</v>
      </c>
      <c r="S603" s="6">
        <v>0</v>
      </c>
      <c r="T603" s="6">
        <v>36</v>
      </c>
      <c r="U603" s="6">
        <v>0</v>
      </c>
      <c r="V603" s="6">
        <f>IF(ISERROR(VLOOKUP($S$603,'TAR FIN'!$A$1:$O$104,15,0)),0,VLOOKUP($S$603,'TAR FIN'!$A$1:$O$104,15,0))</f>
        <v>0</v>
      </c>
      <c r="W603" s="6">
        <f>IF(ISERROR(VLOOKUP($T$603,'TAR FIN'!$A$1:$O$104,15,0)),0,VLOOKUP($T$603,'TAR FIN'!$A$1:$O$104,15,0))</f>
        <v>15</v>
      </c>
      <c r="X603" s="6">
        <f>IF(ISERROR(VLOOKUP($U$603,'TAR FIN'!$A$1:$O$104,15,0)),0,VLOOKUP($U$603,'TAR FIN'!$A$1:$O$104,15,0))</f>
        <v>0</v>
      </c>
      <c r="Y603" s="6">
        <f ca="1">0.72*('TUSD BE'!$AM$20+'TUSD BF'!$AM$20+'TUSD CVA'!$AM$20)*1+('TUSD BE'!$AM$21+'TUSD BF'!$AM$21+'TUSD CVA'!$AM$21)*1</f>
        <v>34.673419765411182</v>
      </c>
      <c r="Z603" s="6">
        <f ca="1">('TUSD BE'!$AM$22+'TUSD BF'!$AM$22+'TUSD CVA'!$AM$22)*1</f>
        <v>13.739448006852705</v>
      </c>
      <c r="AA603" s="6"/>
      <c r="AB603" s="6">
        <f>$K$603*$V$603</f>
        <v>0</v>
      </c>
      <c r="AC603" s="6">
        <f>$M$603*$W$603</f>
        <v>30514.35</v>
      </c>
      <c r="AD603" s="6">
        <f>$O$603*$X$603</f>
        <v>0</v>
      </c>
      <c r="AE603" s="6">
        <f ca="1">$K$603*$Y$603</f>
        <v>0</v>
      </c>
      <c r="AF603" s="6">
        <f ca="1">$M$603*$Z$603</f>
        <v>27950.021685860389</v>
      </c>
      <c r="AG603" s="6">
        <f>$O$603*$AA$603</f>
        <v>0</v>
      </c>
    </row>
    <row r="604" spans="1:33" ht="11.25" customHeight="1" x14ac:dyDescent="0.25">
      <c r="A604" s="4" t="s">
        <v>21</v>
      </c>
      <c r="B604" s="4" t="s">
        <v>41</v>
      </c>
      <c r="C604" s="4" t="s">
        <v>62</v>
      </c>
      <c r="D604" s="4" t="s">
        <v>25</v>
      </c>
      <c r="E604" s="4" t="s">
        <v>25</v>
      </c>
      <c r="F604" s="4" t="s">
        <v>25</v>
      </c>
      <c r="G604" s="4" t="s">
        <v>63</v>
      </c>
      <c r="H604" s="4" t="s">
        <v>25</v>
      </c>
      <c r="I604" s="5">
        <v>44531</v>
      </c>
      <c r="J604" s="6">
        <v>0</v>
      </c>
      <c r="K604" s="6">
        <v>0</v>
      </c>
      <c r="L604" s="6">
        <v>3913.3580000000002</v>
      </c>
      <c r="M604" s="6">
        <v>3913.3580000000002</v>
      </c>
      <c r="N604" s="6">
        <v>0</v>
      </c>
      <c r="O604" s="6">
        <v>0</v>
      </c>
      <c r="P604" s="6">
        <v>0</v>
      </c>
      <c r="Q604" s="4" t="s">
        <v>64</v>
      </c>
      <c r="R604" s="4">
        <v>43</v>
      </c>
      <c r="S604" s="6">
        <v>0</v>
      </c>
      <c r="T604" s="6">
        <v>30</v>
      </c>
      <c r="U604" s="6">
        <v>0</v>
      </c>
      <c r="V604" s="6">
        <f>IF(ISERROR(VLOOKUP($S$604,'TAR FIN'!$A$1:$O$104,15,0)),0,VLOOKUP($S$604,'TAR FIN'!$A$1:$O$104,15,0))</f>
        <v>0</v>
      </c>
      <c r="W604" s="6">
        <f>IF(ISERROR(VLOOKUP($T$604,'TAR FIN'!$A$1:$O$104,15,0)),0,VLOOKUP($T$604,'TAR FIN'!$A$1:$O$104,15,0))</f>
        <v>15</v>
      </c>
      <c r="X604" s="6">
        <f>IF(ISERROR(VLOOKUP($U$604,'TAR FIN'!$A$1:$O$104,15,0)),0,VLOOKUP($U$604,'TAR FIN'!$A$1:$O$104,15,0))</f>
        <v>0</v>
      </c>
      <c r="Y604" s="6">
        <f ca="1">0.72*('TUSD BE'!$AM$17+'TUSD BF'!$AM$17+'TUSD CVA'!$AM$17)*1+('TUSD BE'!$AM$18+'TUSD BF'!$AM$18+'TUSD CVA'!$AM$18)*1</f>
        <v>34.673419765411182</v>
      </c>
      <c r="Z604" s="6">
        <f ca="1">('TUSD BE'!$AM$19+'TUSD BF'!$AM$19+'TUSD CVA'!$AM$19)*1</f>
        <v>13.739448006852705</v>
      </c>
      <c r="AA604" s="6"/>
      <c r="AB604" s="6">
        <f>$K$604*$V$604</f>
        <v>0</v>
      </c>
      <c r="AC604" s="6">
        <f>$M$604*$W$604</f>
        <v>58700.37</v>
      </c>
      <c r="AD604" s="6">
        <f>$O$604*$X$604</f>
        <v>0</v>
      </c>
      <c r="AE604" s="6">
        <f ca="1">$K$604*$Y$604</f>
        <v>0</v>
      </c>
      <c r="AF604" s="6">
        <f ca="1">$M$604*$Z$604</f>
        <v>53767.37877320109</v>
      </c>
      <c r="AG604" s="6">
        <f>$O$604*$AA$604</f>
        <v>0</v>
      </c>
    </row>
    <row r="605" spans="1:33" ht="11.25" customHeight="1" x14ac:dyDescent="0.25">
      <c r="A605" s="4" t="s">
        <v>21</v>
      </c>
      <c r="B605" s="4" t="s">
        <v>41</v>
      </c>
      <c r="C605" s="4" t="s">
        <v>62</v>
      </c>
      <c r="D605" s="4" t="s">
        <v>25</v>
      </c>
      <c r="E605" s="4" t="s">
        <v>25</v>
      </c>
      <c r="F605" s="4" t="s">
        <v>25</v>
      </c>
      <c r="G605" s="4" t="s">
        <v>65</v>
      </c>
      <c r="H605" s="4" t="s">
        <v>25</v>
      </c>
      <c r="I605" s="5">
        <v>44531</v>
      </c>
      <c r="J605" s="6">
        <v>0</v>
      </c>
      <c r="K605" s="6">
        <v>0</v>
      </c>
      <c r="L605" s="6">
        <v>1957.3050000000001</v>
      </c>
      <c r="M605" s="6">
        <v>1957.3050000000001</v>
      </c>
      <c r="N605" s="6">
        <v>0</v>
      </c>
      <c r="O605" s="6">
        <v>0</v>
      </c>
      <c r="P605" s="6">
        <v>0</v>
      </c>
      <c r="Q605" s="4" t="s">
        <v>64</v>
      </c>
      <c r="R605" s="4">
        <v>6611</v>
      </c>
      <c r="S605" s="6">
        <v>0</v>
      </c>
      <c r="T605" s="6">
        <v>36</v>
      </c>
      <c r="U605" s="6">
        <v>0</v>
      </c>
      <c r="V605" s="6">
        <f>IF(ISERROR(VLOOKUP($S$605,'TAR FIN'!$A$1:$O$104,15,0)),0,VLOOKUP($S$605,'TAR FIN'!$A$1:$O$104,15,0))</f>
        <v>0</v>
      </c>
      <c r="W605" s="6">
        <f>IF(ISERROR(VLOOKUP($T$605,'TAR FIN'!$A$1:$O$104,15,0)),0,VLOOKUP($T$605,'TAR FIN'!$A$1:$O$104,15,0))</f>
        <v>15</v>
      </c>
      <c r="X605" s="6">
        <f>IF(ISERROR(VLOOKUP($U$605,'TAR FIN'!$A$1:$O$104,15,0)),0,VLOOKUP($U$605,'TAR FIN'!$A$1:$O$104,15,0))</f>
        <v>0</v>
      </c>
      <c r="Y605" s="6">
        <f ca="1">0.72*('TUSD BE'!$AM$20+'TUSD BF'!$AM$20+'TUSD CVA'!$AM$20)*1+('TUSD BE'!$AM$21+'TUSD BF'!$AM$21+'TUSD CVA'!$AM$21)*1</f>
        <v>34.673419765411182</v>
      </c>
      <c r="Z605" s="6">
        <f ca="1">('TUSD BE'!$AM$22+'TUSD BF'!$AM$22+'TUSD CVA'!$AM$22)*1</f>
        <v>13.739448006852705</v>
      </c>
      <c r="AA605" s="6"/>
      <c r="AB605" s="6">
        <f>$K$605*$V$605</f>
        <v>0</v>
      </c>
      <c r="AC605" s="6">
        <f>$M$605*$W$605</f>
        <v>29359.575000000001</v>
      </c>
      <c r="AD605" s="6">
        <f>$O$605*$X$605</f>
        <v>0</v>
      </c>
      <c r="AE605" s="6">
        <f ca="1">$K$605*$Y$605</f>
        <v>0</v>
      </c>
      <c r="AF605" s="6">
        <f ca="1">$M$605*$Z$605</f>
        <v>26892.290281052832</v>
      </c>
      <c r="AG605" s="6">
        <f>$O$605*$AA$605</f>
        <v>0</v>
      </c>
    </row>
    <row r="606" spans="1:33" ht="11.25" customHeight="1" x14ac:dyDescent="0.25">
      <c r="A606" s="4" t="s">
        <v>21</v>
      </c>
      <c r="B606" s="4" t="s">
        <v>41</v>
      </c>
      <c r="C606" s="4" t="s">
        <v>62</v>
      </c>
      <c r="D606" s="4" t="s">
        <v>25</v>
      </c>
      <c r="E606" s="4" t="s">
        <v>25</v>
      </c>
      <c r="F606" s="4" t="s">
        <v>25</v>
      </c>
      <c r="G606" s="4" t="s">
        <v>63</v>
      </c>
      <c r="H606" s="4" t="s">
        <v>25</v>
      </c>
      <c r="I606" s="5">
        <v>44562</v>
      </c>
      <c r="J606" s="6">
        <v>0</v>
      </c>
      <c r="K606" s="6">
        <v>0</v>
      </c>
      <c r="L606" s="6">
        <v>4013.9430000000002</v>
      </c>
      <c r="M606" s="6">
        <v>4013.9430000000002</v>
      </c>
      <c r="N606" s="6">
        <v>0</v>
      </c>
      <c r="O606" s="6">
        <v>0</v>
      </c>
      <c r="P606" s="6">
        <v>0</v>
      </c>
      <c r="Q606" s="4" t="s">
        <v>64</v>
      </c>
      <c r="R606" s="4">
        <v>43</v>
      </c>
      <c r="S606" s="6">
        <v>0</v>
      </c>
      <c r="T606" s="6">
        <v>30</v>
      </c>
      <c r="U606" s="6">
        <v>0</v>
      </c>
      <c r="V606" s="6">
        <f>IF(ISERROR(VLOOKUP($S$606,'TAR FIN'!$A$1:$O$104,15,0)),0,VLOOKUP($S$606,'TAR FIN'!$A$1:$O$104,15,0))</f>
        <v>0</v>
      </c>
      <c r="W606" s="6">
        <f>IF(ISERROR(VLOOKUP($T$606,'TAR FIN'!$A$1:$O$104,15,0)),0,VLOOKUP($T$606,'TAR FIN'!$A$1:$O$104,15,0))</f>
        <v>15</v>
      </c>
      <c r="X606" s="6">
        <f>IF(ISERROR(VLOOKUP($U$606,'TAR FIN'!$A$1:$O$104,15,0)),0,VLOOKUP($U$606,'TAR FIN'!$A$1:$O$104,15,0))</f>
        <v>0</v>
      </c>
      <c r="Y606" s="6">
        <f ca="1">0.72*('TUSD BE'!$AM$17+'TUSD BF'!$AM$17+'TUSD CVA'!$AM$17)*1+('TUSD BE'!$AM$18+'TUSD BF'!$AM$18+'TUSD CVA'!$AM$18)*1</f>
        <v>34.673419765411182</v>
      </c>
      <c r="Z606" s="6">
        <f ca="1">('TUSD BE'!$AM$19+'TUSD BF'!$AM$19+'TUSD CVA'!$AM$19)*1</f>
        <v>13.739448006852705</v>
      </c>
      <c r="AA606" s="6"/>
      <c r="AB606" s="6">
        <f>$K$606*$V$606</f>
        <v>0</v>
      </c>
      <c r="AC606" s="6">
        <f>$M$606*$W$606</f>
        <v>60209.145000000004</v>
      </c>
      <c r="AD606" s="6">
        <f>$O$606*$X$606</f>
        <v>0</v>
      </c>
      <c r="AE606" s="6">
        <f ca="1">$K$606*$Y$606</f>
        <v>0</v>
      </c>
      <c r="AF606" s="6">
        <f ca="1">$M$606*$Z$606</f>
        <v>55149.36115097037</v>
      </c>
      <c r="AG606" s="6">
        <f>$O$606*$AA$606</f>
        <v>0</v>
      </c>
    </row>
    <row r="607" spans="1:33" ht="11.25" customHeight="1" x14ac:dyDescent="0.25">
      <c r="A607" s="4" t="s">
        <v>21</v>
      </c>
      <c r="B607" s="4" t="s">
        <v>41</v>
      </c>
      <c r="C607" s="4" t="s">
        <v>62</v>
      </c>
      <c r="D607" s="4" t="s">
        <v>25</v>
      </c>
      <c r="E607" s="4" t="s">
        <v>25</v>
      </c>
      <c r="F607" s="4" t="s">
        <v>25</v>
      </c>
      <c r="G607" s="4" t="s">
        <v>65</v>
      </c>
      <c r="H607" s="4" t="s">
        <v>25</v>
      </c>
      <c r="I607" s="5">
        <v>44562</v>
      </c>
      <c r="J607" s="6">
        <v>0</v>
      </c>
      <c r="K607" s="6">
        <v>0</v>
      </c>
      <c r="L607" s="6">
        <v>1860.662</v>
      </c>
      <c r="M607" s="6">
        <v>1860.662</v>
      </c>
      <c r="N607" s="6">
        <v>0</v>
      </c>
      <c r="O607" s="6">
        <v>0</v>
      </c>
      <c r="P607" s="6">
        <v>0</v>
      </c>
      <c r="Q607" s="4" t="s">
        <v>64</v>
      </c>
      <c r="R607" s="4">
        <v>6611</v>
      </c>
      <c r="S607" s="6">
        <v>0</v>
      </c>
      <c r="T607" s="6">
        <v>36</v>
      </c>
      <c r="U607" s="6">
        <v>0</v>
      </c>
      <c r="V607" s="6">
        <f>IF(ISERROR(VLOOKUP($S$607,'TAR FIN'!$A$1:$O$104,15,0)),0,VLOOKUP($S$607,'TAR FIN'!$A$1:$O$104,15,0))</f>
        <v>0</v>
      </c>
      <c r="W607" s="6">
        <f>IF(ISERROR(VLOOKUP($T$607,'TAR FIN'!$A$1:$O$104,15,0)),0,VLOOKUP($T$607,'TAR FIN'!$A$1:$O$104,15,0))</f>
        <v>15</v>
      </c>
      <c r="X607" s="6">
        <f>IF(ISERROR(VLOOKUP($U$607,'TAR FIN'!$A$1:$O$104,15,0)),0,VLOOKUP($U$607,'TAR FIN'!$A$1:$O$104,15,0))</f>
        <v>0</v>
      </c>
      <c r="Y607" s="6">
        <f ca="1">0.72*('TUSD BE'!$AM$20+'TUSD BF'!$AM$20+'TUSD CVA'!$AM$20)*1+('TUSD BE'!$AM$21+'TUSD BF'!$AM$21+'TUSD CVA'!$AM$21)*1</f>
        <v>34.673419765411182</v>
      </c>
      <c r="Z607" s="6">
        <f ca="1">('TUSD BE'!$AM$22+'TUSD BF'!$AM$22+'TUSD CVA'!$AM$22)*1</f>
        <v>13.739448006852705</v>
      </c>
      <c r="AA607" s="6"/>
      <c r="AB607" s="6">
        <f>$K$607*$V$607</f>
        <v>0</v>
      </c>
      <c r="AC607" s="6">
        <f>$M$607*$W$607</f>
        <v>27909.93</v>
      </c>
      <c r="AD607" s="6">
        <f>$O$607*$X$607</f>
        <v>0</v>
      </c>
      <c r="AE607" s="6">
        <f ca="1">$K$607*$Y$607</f>
        <v>0</v>
      </c>
      <c r="AF607" s="6">
        <f ca="1">$M$607*$Z$607</f>
        <v>25564.468807326568</v>
      </c>
      <c r="AG607" s="6">
        <f>$O$607*$AA$607</f>
        <v>0</v>
      </c>
    </row>
    <row r="608" spans="1:33" ht="11.25" customHeight="1" x14ac:dyDescent="0.25">
      <c r="A608" s="4" t="s">
        <v>21</v>
      </c>
      <c r="B608" s="4" t="s">
        <v>41</v>
      </c>
      <c r="C608" s="4" t="s">
        <v>62</v>
      </c>
      <c r="D608" s="4" t="s">
        <v>25</v>
      </c>
      <c r="E608" s="4" t="s">
        <v>25</v>
      </c>
      <c r="F608" s="4" t="s">
        <v>25</v>
      </c>
      <c r="G608" s="4" t="s">
        <v>63</v>
      </c>
      <c r="H608" s="4" t="s">
        <v>25</v>
      </c>
      <c r="I608" s="5">
        <v>44593</v>
      </c>
      <c r="J608" s="6">
        <v>0</v>
      </c>
      <c r="K608" s="6">
        <v>0</v>
      </c>
      <c r="L608" s="6">
        <v>3716.3220000000001</v>
      </c>
      <c r="M608" s="6">
        <v>3716.3220000000001</v>
      </c>
      <c r="N608" s="6">
        <v>0</v>
      </c>
      <c r="O608" s="6">
        <v>0</v>
      </c>
      <c r="P608" s="6">
        <v>0</v>
      </c>
      <c r="Q608" s="4" t="s">
        <v>64</v>
      </c>
      <c r="R608" s="4">
        <v>43</v>
      </c>
      <c r="S608" s="6">
        <v>0</v>
      </c>
      <c r="T608" s="6">
        <v>30</v>
      </c>
      <c r="U608" s="6">
        <v>0</v>
      </c>
      <c r="V608" s="6">
        <f>IF(ISERROR(VLOOKUP($S$608,'TAR FIN'!$A$1:$O$104,15,0)),0,VLOOKUP($S$608,'TAR FIN'!$A$1:$O$104,15,0))</f>
        <v>0</v>
      </c>
      <c r="W608" s="6">
        <f>IF(ISERROR(VLOOKUP($T$608,'TAR FIN'!$A$1:$O$104,15,0)),0,VLOOKUP($T$608,'TAR FIN'!$A$1:$O$104,15,0))</f>
        <v>15</v>
      </c>
      <c r="X608" s="6">
        <f>IF(ISERROR(VLOOKUP($U$608,'TAR FIN'!$A$1:$O$104,15,0)),0,VLOOKUP($U$608,'TAR FIN'!$A$1:$O$104,15,0))</f>
        <v>0</v>
      </c>
      <c r="Y608" s="6">
        <f ca="1">0.72*('TUSD BE'!$AM$17+'TUSD BF'!$AM$17+'TUSD CVA'!$AM$17)*1+('TUSD BE'!$AM$18+'TUSD BF'!$AM$18+'TUSD CVA'!$AM$18)*1</f>
        <v>34.673419765411182</v>
      </c>
      <c r="Z608" s="6">
        <f ca="1">('TUSD BE'!$AM$19+'TUSD BF'!$AM$19+'TUSD CVA'!$AM$19)*1</f>
        <v>13.739448006852705</v>
      </c>
      <c r="AA608" s="6"/>
      <c r="AB608" s="6">
        <f>$K$608*$V$608</f>
        <v>0</v>
      </c>
      <c r="AC608" s="6">
        <f>$M$608*$W$608</f>
        <v>55744.83</v>
      </c>
      <c r="AD608" s="6">
        <f>$O$608*$X$608</f>
        <v>0</v>
      </c>
      <c r="AE608" s="6">
        <f ca="1">$K$608*$Y$608</f>
        <v>0</v>
      </c>
      <c r="AF608" s="6">
        <f ca="1">$M$608*$Z$608</f>
        <v>51060.212895722856</v>
      </c>
      <c r="AG608" s="6">
        <f>$O$608*$AA$608</f>
        <v>0</v>
      </c>
    </row>
    <row r="609" spans="1:33" ht="11.25" customHeight="1" x14ac:dyDescent="0.25">
      <c r="A609" s="4" t="s">
        <v>21</v>
      </c>
      <c r="B609" s="4" t="s">
        <v>41</v>
      </c>
      <c r="C609" s="4" t="s">
        <v>62</v>
      </c>
      <c r="D609" s="4" t="s">
        <v>25</v>
      </c>
      <c r="E609" s="4" t="s">
        <v>25</v>
      </c>
      <c r="F609" s="4" t="s">
        <v>25</v>
      </c>
      <c r="G609" s="4" t="s">
        <v>65</v>
      </c>
      <c r="H609" s="4" t="s">
        <v>25</v>
      </c>
      <c r="I609" s="5">
        <v>44593</v>
      </c>
      <c r="J609" s="6">
        <v>0</v>
      </c>
      <c r="K609" s="6">
        <v>0</v>
      </c>
      <c r="L609" s="6">
        <v>1897.0550000000001</v>
      </c>
      <c r="M609" s="6">
        <v>1897.0550000000001</v>
      </c>
      <c r="N609" s="6">
        <v>0</v>
      </c>
      <c r="O609" s="6">
        <v>0</v>
      </c>
      <c r="P609" s="6">
        <v>0</v>
      </c>
      <c r="Q609" s="4" t="s">
        <v>64</v>
      </c>
      <c r="R609" s="4">
        <v>6611</v>
      </c>
      <c r="S609" s="6">
        <v>0</v>
      </c>
      <c r="T609" s="6">
        <v>36</v>
      </c>
      <c r="U609" s="6">
        <v>0</v>
      </c>
      <c r="V609" s="6">
        <f>IF(ISERROR(VLOOKUP($S$609,'TAR FIN'!$A$1:$O$104,15,0)),0,VLOOKUP($S$609,'TAR FIN'!$A$1:$O$104,15,0))</f>
        <v>0</v>
      </c>
      <c r="W609" s="6">
        <f>IF(ISERROR(VLOOKUP($T$609,'TAR FIN'!$A$1:$O$104,15,0)),0,VLOOKUP($T$609,'TAR FIN'!$A$1:$O$104,15,0))</f>
        <v>15</v>
      </c>
      <c r="X609" s="6">
        <f>IF(ISERROR(VLOOKUP($U$609,'TAR FIN'!$A$1:$O$104,15,0)),0,VLOOKUP($U$609,'TAR FIN'!$A$1:$O$104,15,0))</f>
        <v>0</v>
      </c>
      <c r="Y609" s="6">
        <f ca="1">0.72*('TUSD BE'!$AM$20+'TUSD BF'!$AM$20+'TUSD CVA'!$AM$20)*1+('TUSD BE'!$AM$21+'TUSD BF'!$AM$21+'TUSD CVA'!$AM$21)*1</f>
        <v>34.673419765411182</v>
      </c>
      <c r="Z609" s="6">
        <f ca="1">('TUSD BE'!$AM$22+'TUSD BF'!$AM$22+'TUSD CVA'!$AM$22)*1</f>
        <v>13.739448006852705</v>
      </c>
      <c r="AA609" s="6"/>
      <c r="AB609" s="6">
        <f>$K$609*$V$609</f>
        <v>0</v>
      </c>
      <c r="AC609" s="6">
        <f>$M$609*$W$609</f>
        <v>28455.825000000001</v>
      </c>
      <c r="AD609" s="6">
        <f>$O$609*$X$609</f>
        <v>0</v>
      </c>
      <c r="AE609" s="6">
        <f ca="1">$K$609*$Y$609</f>
        <v>0</v>
      </c>
      <c r="AF609" s="6">
        <f ca="1">$M$609*$Z$609</f>
        <v>26064.488538639958</v>
      </c>
      <c r="AG609" s="6">
        <f>$O$609*$AA$609</f>
        <v>0</v>
      </c>
    </row>
    <row r="610" spans="1:33" ht="11.25" customHeight="1" x14ac:dyDescent="0.25">
      <c r="A610" s="4" t="s">
        <v>21</v>
      </c>
      <c r="B610" s="4" t="s">
        <v>41</v>
      </c>
      <c r="C610" s="4" t="s">
        <v>62</v>
      </c>
      <c r="D610" s="4" t="s">
        <v>25</v>
      </c>
      <c r="E610" s="4" t="s">
        <v>25</v>
      </c>
      <c r="F610" s="4" t="s">
        <v>25</v>
      </c>
      <c r="G610" s="4" t="s">
        <v>63</v>
      </c>
      <c r="H610" s="4" t="s">
        <v>25</v>
      </c>
      <c r="I610" s="5">
        <v>44621</v>
      </c>
      <c r="J610" s="6">
        <v>0</v>
      </c>
      <c r="K610" s="6">
        <v>0</v>
      </c>
      <c r="L610" s="6">
        <v>3512.3440000000001</v>
      </c>
      <c r="M610" s="6">
        <v>3512.3440000000001</v>
      </c>
      <c r="N610" s="6">
        <v>0</v>
      </c>
      <c r="O610" s="6">
        <v>0</v>
      </c>
      <c r="P610" s="6">
        <v>0</v>
      </c>
      <c r="Q610" s="4" t="s">
        <v>64</v>
      </c>
      <c r="R610" s="4">
        <v>43</v>
      </c>
      <c r="S610" s="6">
        <v>0</v>
      </c>
      <c r="T610" s="6">
        <v>30</v>
      </c>
      <c r="U610" s="6">
        <v>0</v>
      </c>
      <c r="V610" s="6">
        <f>IF(ISERROR(VLOOKUP($S$610,'TAR FIN'!$A$1:$O$104,15,0)),0,VLOOKUP($S$610,'TAR FIN'!$A$1:$O$104,15,0))</f>
        <v>0</v>
      </c>
      <c r="W610" s="6">
        <f>IF(ISERROR(VLOOKUP($T$610,'TAR FIN'!$A$1:$O$104,15,0)),0,VLOOKUP($T$610,'TAR FIN'!$A$1:$O$104,15,0))</f>
        <v>15</v>
      </c>
      <c r="X610" s="6">
        <f>IF(ISERROR(VLOOKUP($U$610,'TAR FIN'!$A$1:$O$104,15,0)),0,VLOOKUP($U$610,'TAR FIN'!$A$1:$O$104,15,0))</f>
        <v>0</v>
      </c>
      <c r="Y610" s="6">
        <f ca="1">0.72*('TUSD BE'!$AM$17+'TUSD BF'!$AM$17+'TUSD CVA'!$AM$17)*1+('TUSD BE'!$AM$18+'TUSD BF'!$AM$18+'TUSD CVA'!$AM$18)*1</f>
        <v>34.673419765411182</v>
      </c>
      <c r="Z610" s="6">
        <f ca="1">('TUSD BE'!$AM$19+'TUSD BF'!$AM$19+'TUSD CVA'!$AM$19)*1</f>
        <v>13.739448006852705</v>
      </c>
      <c r="AA610" s="6"/>
      <c r="AB610" s="6">
        <f>$K$610*$V$610</f>
        <v>0</v>
      </c>
      <c r="AC610" s="6">
        <f>$M$610*$W$610</f>
        <v>52685.16</v>
      </c>
      <c r="AD610" s="6">
        <f>$O$610*$X$610</f>
        <v>0</v>
      </c>
      <c r="AE610" s="6">
        <f ca="1">$K$610*$Y$610</f>
        <v>0</v>
      </c>
      <c r="AF610" s="6">
        <f ca="1">$M$610*$Z$610</f>
        <v>48257.667770181055</v>
      </c>
      <c r="AG610" s="6">
        <f>$O$610*$AA$610</f>
        <v>0</v>
      </c>
    </row>
    <row r="611" spans="1:33" ht="11.25" customHeight="1" x14ac:dyDescent="0.25">
      <c r="A611" s="4" t="s">
        <v>21</v>
      </c>
      <c r="B611" s="4" t="s">
        <v>41</v>
      </c>
      <c r="C611" s="4" t="s">
        <v>62</v>
      </c>
      <c r="D611" s="4" t="s">
        <v>25</v>
      </c>
      <c r="E611" s="4" t="s">
        <v>25</v>
      </c>
      <c r="F611" s="4" t="s">
        <v>25</v>
      </c>
      <c r="G611" s="4" t="s">
        <v>65</v>
      </c>
      <c r="H611" s="4" t="s">
        <v>25</v>
      </c>
      <c r="I611" s="5">
        <v>44621</v>
      </c>
      <c r="J611" s="6">
        <v>0</v>
      </c>
      <c r="K611" s="6">
        <v>0</v>
      </c>
      <c r="L611" s="6">
        <v>1873.6849999999999</v>
      </c>
      <c r="M611" s="6">
        <v>1873.6849999999999</v>
      </c>
      <c r="N611" s="6">
        <v>0</v>
      </c>
      <c r="O611" s="6">
        <v>0</v>
      </c>
      <c r="P611" s="6">
        <v>0</v>
      </c>
      <c r="Q611" s="4" t="s">
        <v>64</v>
      </c>
      <c r="R611" s="4">
        <v>6611</v>
      </c>
      <c r="S611" s="6">
        <v>0</v>
      </c>
      <c r="T611" s="6">
        <v>36</v>
      </c>
      <c r="U611" s="6">
        <v>0</v>
      </c>
      <c r="V611" s="6">
        <f>IF(ISERROR(VLOOKUP($S$611,'TAR FIN'!$A$1:$O$104,15,0)),0,VLOOKUP($S$611,'TAR FIN'!$A$1:$O$104,15,0))</f>
        <v>0</v>
      </c>
      <c r="W611" s="6">
        <f>IF(ISERROR(VLOOKUP($T$611,'TAR FIN'!$A$1:$O$104,15,0)),0,VLOOKUP($T$611,'TAR FIN'!$A$1:$O$104,15,0))</f>
        <v>15</v>
      </c>
      <c r="X611" s="6">
        <f>IF(ISERROR(VLOOKUP($U$611,'TAR FIN'!$A$1:$O$104,15,0)),0,VLOOKUP($U$611,'TAR FIN'!$A$1:$O$104,15,0))</f>
        <v>0</v>
      </c>
      <c r="Y611" s="6">
        <f ca="1">0.72*('TUSD BE'!$AM$20+'TUSD BF'!$AM$20+'TUSD CVA'!$AM$20)*1+('TUSD BE'!$AM$21+'TUSD BF'!$AM$21+'TUSD CVA'!$AM$21)*1</f>
        <v>34.673419765411182</v>
      </c>
      <c r="Z611" s="6">
        <f ca="1">('TUSD BE'!$AM$22+'TUSD BF'!$AM$22+'TUSD CVA'!$AM$22)*1</f>
        <v>13.739448006852705</v>
      </c>
      <c r="AA611" s="6"/>
      <c r="AB611" s="6">
        <f>$K$611*$V$611</f>
        <v>0</v>
      </c>
      <c r="AC611" s="6">
        <f>$M$611*$W$611</f>
        <v>28105.274999999998</v>
      </c>
      <c r="AD611" s="6">
        <f>$O$611*$X$611</f>
        <v>0</v>
      </c>
      <c r="AE611" s="6">
        <f ca="1">$K$611*$Y$611</f>
        <v>0</v>
      </c>
      <c r="AF611" s="6">
        <f ca="1">$M$611*$Z$611</f>
        <v>25743.397638719809</v>
      </c>
      <c r="AG611" s="6">
        <f>$O$611*$AA$611</f>
        <v>0</v>
      </c>
    </row>
    <row r="612" spans="1:33" ht="11.25" customHeight="1" x14ac:dyDescent="0.25">
      <c r="A612" s="4" t="s">
        <v>21</v>
      </c>
      <c r="B612" s="4" t="s">
        <v>41</v>
      </c>
      <c r="C612" s="4" t="s">
        <v>62</v>
      </c>
      <c r="D612" s="4" t="s">
        <v>25</v>
      </c>
      <c r="E612" s="4" t="s">
        <v>25</v>
      </c>
      <c r="F612" s="4" t="s">
        <v>25</v>
      </c>
      <c r="G612" s="4" t="s">
        <v>63</v>
      </c>
      <c r="H612" s="4" t="s">
        <v>25</v>
      </c>
      <c r="I612" s="5">
        <v>44652</v>
      </c>
      <c r="J612" s="6">
        <v>0</v>
      </c>
      <c r="K612" s="6">
        <v>0</v>
      </c>
      <c r="L612" s="6">
        <v>3894.2080000000001</v>
      </c>
      <c r="M612" s="6">
        <v>3894.2080000000001</v>
      </c>
      <c r="N612" s="6">
        <v>0</v>
      </c>
      <c r="O612" s="6">
        <v>0</v>
      </c>
      <c r="P612" s="6">
        <v>0</v>
      </c>
      <c r="Q612" s="4" t="s">
        <v>64</v>
      </c>
      <c r="R612" s="4">
        <v>43</v>
      </c>
      <c r="S612" s="6">
        <v>0</v>
      </c>
      <c r="T612" s="6">
        <v>30</v>
      </c>
      <c r="U612" s="6">
        <v>0</v>
      </c>
      <c r="V612" s="6">
        <f>IF(ISERROR(VLOOKUP($S$612,'TAR FIN'!$A$1:$O$104,15,0)),0,VLOOKUP($S$612,'TAR FIN'!$A$1:$O$104,15,0))</f>
        <v>0</v>
      </c>
      <c r="W612" s="6">
        <f>IF(ISERROR(VLOOKUP($T$612,'TAR FIN'!$A$1:$O$104,15,0)),0,VLOOKUP($T$612,'TAR FIN'!$A$1:$O$104,15,0))</f>
        <v>15</v>
      </c>
      <c r="X612" s="6">
        <f>IF(ISERROR(VLOOKUP($U$612,'TAR FIN'!$A$1:$O$104,15,0)),0,VLOOKUP($U$612,'TAR FIN'!$A$1:$O$104,15,0))</f>
        <v>0</v>
      </c>
      <c r="Y612" s="6">
        <f ca="1">0.72*('TUSD BE'!$AM$17+'TUSD BF'!$AM$17+'TUSD CVA'!$AM$17)*1+('TUSD BE'!$AM$18+'TUSD BF'!$AM$18+'TUSD CVA'!$AM$18)*1</f>
        <v>34.673419765411182</v>
      </c>
      <c r="Z612" s="6">
        <f ca="1">('TUSD BE'!$AM$19+'TUSD BF'!$AM$19+'TUSD CVA'!$AM$19)*1</f>
        <v>13.739448006852705</v>
      </c>
      <c r="AA612" s="6"/>
      <c r="AB612" s="6">
        <f>$K$612*$V$612</f>
        <v>0</v>
      </c>
      <c r="AC612" s="6">
        <f>$M$612*$W$612</f>
        <v>58413.120000000003</v>
      </c>
      <c r="AD612" s="6">
        <f>$O$612*$X$612</f>
        <v>0</v>
      </c>
      <c r="AE612" s="6">
        <f ca="1">$K$612*$Y$612</f>
        <v>0</v>
      </c>
      <c r="AF612" s="6">
        <f ca="1">$M$612*$Z$612</f>
        <v>53504.268343869859</v>
      </c>
      <c r="AG612" s="6">
        <f>$O$612*$AA$612</f>
        <v>0</v>
      </c>
    </row>
    <row r="613" spans="1:33" ht="11.25" customHeight="1" x14ac:dyDescent="0.25">
      <c r="A613" s="4" t="s">
        <v>21</v>
      </c>
      <c r="B613" s="4" t="s">
        <v>41</v>
      </c>
      <c r="C613" s="4" t="s">
        <v>62</v>
      </c>
      <c r="D613" s="4" t="s">
        <v>25</v>
      </c>
      <c r="E613" s="4" t="s">
        <v>25</v>
      </c>
      <c r="F613" s="4" t="s">
        <v>25</v>
      </c>
      <c r="G613" s="4" t="s">
        <v>65</v>
      </c>
      <c r="H613" s="4" t="s">
        <v>25</v>
      </c>
      <c r="I613" s="5">
        <v>44652</v>
      </c>
      <c r="J613" s="6">
        <v>0</v>
      </c>
      <c r="K613" s="6">
        <v>0</v>
      </c>
      <c r="L613" s="6">
        <v>2043.826</v>
      </c>
      <c r="M613" s="6">
        <v>2043.826</v>
      </c>
      <c r="N613" s="6">
        <v>0</v>
      </c>
      <c r="O613" s="6">
        <v>0</v>
      </c>
      <c r="P613" s="6">
        <v>0</v>
      </c>
      <c r="Q613" s="4" t="s">
        <v>64</v>
      </c>
      <c r="R613" s="4">
        <v>6611</v>
      </c>
      <c r="S613" s="6">
        <v>0</v>
      </c>
      <c r="T613" s="6">
        <v>36</v>
      </c>
      <c r="U613" s="6">
        <v>0</v>
      </c>
      <c r="V613" s="6">
        <f>IF(ISERROR(VLOOKUP($S$613,'TAR FIN'!$A$1:$O$104,15,0)),0,VLOOKUP($S$613,'TAR FIN'!$A$1:$O$104,15,0))</f>
        <v>0</v>
      </c>
      <c r="W613" s="6">
        <f>IF(ISERROR(VLOOKUP($T$613,'TAR FIN'!$A$1:$O$104,15,0)),0,VLOOKUP($T$613,'TAR FIN'!$A$1:$O$104,15,0))</f>
        <v>15</v>
      </c>
      <c r="X613" s="6">
        <f>IF(ISERROR(VLOOKUP($U$613,'TAR FIN'!$A$1:$O$104,15,0)),0,VLOOKUP($U$613,'TAR FIN'!$A$1:$O$104,15,0))</f>
        <v>0</v>
      </c>
      <c r="Y613" s="6">
        <f ca="1">0.72*('TUSD BE'!$AM$20+'TUSD BF'!$AM$20+'TUSD CVA'!$AM$20)*1+('TUSD BE'!$AM$21+'TUSD BF'!$AM$21+'TUSD CVA'!$AM$21)*1</f>
        <v>34.673419765411182</v>
      </c>
      <c r="Z613" s="6">
        <f ca="1">('TUSD BE'!$AM$22+'TUSD BF'!$AM$22+'TUSD CVA'!$AM$22)*1</f>
        <v>13.739448006852705</v>
      </c>
      <c r="AA613" s="6"/>
      <c r="AB613" s="6">
        <f>$K$613*$V$613</f>
        <v>0</v>
      </c>
      <c r="AC613" s="6">
        <f>$M$613*$W$613</f>
        <v>30657.39</v>
      </c>
      <c r="AD613" s="6">
        <f>$O$613*$X$613</f>
        <v>0</v>
      </c>
      <c r="AE613" s="6">
        <f ca="1">$K$613*$Y$613</f>
        <v>0</v>
      </c>
      <c r="AF613" s="6">
        <f ca="1">$M$613*$Z$613</f>
        <v>28081.041062053737</v>
      </c>
      <c r="AG613" s="6">
        <f>$O$613*$AA$613</f>
        <v>0</v>
      </c>
    </row>
    <row r="614" spans="1:33" ht="11.25" customHeight="1" x14ac:dyDescent="0.25">
      <c r="A614" s="4" t="s">
        <v>21</v>
      </c>
      <c r="B614" s="4" t="s">
        <v>41</v>
      </c>
      <c r="C614" s="4" t="s">
        <v>62</v>
      </c>
      <c r="D614" s="4" t="s">
        <v>25</v>
      </c>
      <c r="E614" s="4" t="s">
        <v>25</v>
      </c>
      <c r="F614" s="4" t="s">
        <v>25</v>
      </c>
      <c r="G614" s="4" t="s">
        <v>63</v>
      </c>
      <c r="H614" s="4" t="s">
        <v>25</v>
      </c>
      <c r="I614" s="5">
        <v>44682</v>
      </c>
      <c r="J614" s="6">
        <v>0</v>
      </c>
      <c r="K614" s="6">
        <v>0</v>
      </c>
      <c r="L614" s="6">
        <v>3705.6680000000001</v>
      </c>
      <c r="M614" s="6">
        <v>3705.6680000000001</v>
      </c>
      <c r="N614" s="6">
        <v>0</v>
      </c>
      <c r="O614" s="6">
        <v>0</v>
      </c>
      <c r="P614" s="6">
        <v>0</v>
      </c>
      <c r="Q614" s="4" t="s">
        <v>64</v>
      </c>
      <c r="R614" s="4">
        <v>43</v>
      </c>
      <c r="S614" s="6">
        <v>0</v>
      </c>
      <c r="T614" s="6">
        <v>30</v>
      </c>
      <c r="U614" s="6">
        <v>0</v>
      </c>
      <c r="V614" s="6">
        <f>IF(ISERROR(VLOOKUP($S$614,'TAR FIN'!$A$1:$O$104,15,0)),0,VLOOKUP($S$614,'TAR FIN'!$A$1:$O$104,15,0))</f>
        <v>0</v>
      </c>
      <c r="W614" s="6">
        <f>IF(ISERROR(VLOOKUP($T$614,'TAR FIN'!$A$1:$O$104,15,0)),0,VLOOKUP($T$614,'TAR FIN'!$A$1:$O$104,15,0))</f>
        <v>15</v>
      </c>
      <c r="X614" s="6">
        <f>IF(ISERROR(VLOOKUP($U$614,'TAR FIN'!$A$1:$O$104,15,0)),0,VLOOKUP($U$614,'TAR FIN'!$A$1:$O$104,15,0))</f>
        <v>0</v>
      </c>
      <c r="Y614" s="6">
        <f ca="1">0.72*('TUSD BE'!$AM$17+'TUSD BF'!$AM$17+'TUSD CVA'!$AM$17)*1+('TUSD BE'!$AM$18+'TUSD BF'!$AM$18+'TUSD CVA'!$AM$18)*1</f>
        <v>34.673419765411182</v>
      </c>
      <c r="Z614" s="6">
        <f ca="1">('TUSD BE'!$AM$19+'TUSD BF'!$AM$19+'TUSD CVA'!$AM$19)*1</f>
        <v>13.739448006852705</v>
      </c>
      <c r="AA614" s="6"/>
      <c r="AB614" s="6">
        <f>$K$614*$V$614</f>
        <v>0</v>
      </c>
      <c r="AC614" s="6">
        <f>$M$614*$W$614</f>
        <v>55585.020000000004</v>
      </c>
      <c r="AD614" s="6">
        <f>$O$614*$X$614</f>
        <v>0</v>
      </c>
      <c r="AE614" s="6">
        <f ca="1">$K$614*$Y$614</f>
        <v>0</v>
      </c>
      <c r="AF614" s="6">
        <f ca="1">$M$614*$Z$614</f>
        <v>50913.83281665785</v>
      </c>
      <c r="AG614" s="6">
        <f>$O$614*$AA$614</f>
        <v>0</v>
      </c>
    </row>
    <row r="615" spans="1:33" ht="11.25" customHeight="1" x14ac:dyDescent="0.25">
      <c r="A615" s="4" t="s">
        <v>21</v>
      </c>
      <c r="B615" s="4" t="s">
        <v>41</v>
      </c>
      <c r="C615" s="4" t="s">
        <v>62</v>
      </c>
      <c r="D615" s="4" t="s">
        <v>25</v>
      </c>
      <c r="E615" s="4" t="s">
        <v>25</v>
      </c>
      <c r="F615" s="4" t="s">
        <v>25</v>
      </c>
      <c r="G615" s="4" t="s">
        <v>65</v>
      </c>
      <c r="H615" s="4" t="s">
        <v>25</v>
      </c>
      <c r="I615" s="5">
        <v>44682</v>
      </c>
      <c r="J615" s="6">
        <v>0</v>
      </c>
      <c r="K615" s="6">
        <v>0</v>
      </c>
      <c r="L615" s="6">
        <v>2131.5149999999999</v>
      </c>
      <c r="M615" s="6">
        <v>2131.5149999999999</v>
      </c>
      <c r="N615" s="6">
        <v>0</v>
      </c>
      <c r="O615" s="6">
        <v>0</v>
      </c>
      <c r="P615" s="6">
        <v>0</v>
      </c>
      <c r="Q615" s="4" t="s">
        <v>64</v>
      </c>
      <c r="R615" s="4">
        <v>6611</v>
      </c>
      <c r="S615" s="6">
        <v>0</v>
      </c>
      <c r="T615" s="6">
        <v>36</v>
      </c>
      <c r="U615" s="6">
        <v>0</v>
      </c>
      <c r="V615" s="6">
        <f>IF(ISERROR(VLOOKUP($S$615,'TAR FIN'!$A$1:$O$104,15,0)),0,VLOOKUP($S$615,'TAR FIN'!$A$1:$O$104,15,0))</f>
        <v>0</v>
      </c>
      <c r="W615" s="6">
        <f>IF(ISERROR(VLOOKUP($T$615,'TAR FIN'!$A$1:$O$104,15,0)),0,VLOOKUP($T$615,'TAR FIN'!$A$1:$O$104,15,0))</f>
        <v>15</v>
      </c>
      <c r="X615" s="6">
        <f>IF(ISERROR(VLOOKUP($U$615,'TAR FIN'!$A$1:$O$104,15,0)),0,VLOOKUP($U$615,'TAR FIN'!$A$1:$O$104,15,0))</f>
        <v>0</v>
      </c>
      <c r="Y615" s="6">
        <f ca="1">0.72*('TUSD BE'!$AM$20+'TUSD BF'!$AM$20+'TUSD CVA'!$AM$20)*1+('TUSD BE'!$AM$21+'TUSD BF'!$AM$21+'TUSD CVA'!$AM$21)*1</f>
        <v>34.673419765411182</v>
      </c>
      <c r="Z615" s="6">
        <f ca="1">('TUSD BE'!$AM$22+'TUSD BF'!$AM$22+'TUSD CVA'!$AM$22)*1</f>
        <v>13.739448006852705</v>
      </c>
      <c r="AA615" s="6"/>
      <c r="AB615" s="6">
        <f>$K$615*$V$615</f>
        <v>0</v>
      </c>
      <c r="AC615" s="6">
        <f>$M$615*$W$615</f>
        <v>31972.724999999999</v>
      </c>
      <c r="AD615" s="6">
        <f>$O$615*$X$615</f>
        <v>0</v>
      </c>
      <c r="AE615" s="6">
        <f ca="1">$K$615*$Y$615</f>
        <v>0</v>
      </c>
      <c r="AF615" s="6">
        <f ca="1">$M$615*$Z$615</f>
        <v>29285.83951832664</v>
      </c>
      <c r="AG615" s="6">
        <f>$O$615*$AA$615</f>
        <v>0</v>
      </c>
    </row>
    <row r="616" spans="1:33" ht="11.25" customHeight="1" x14ac:dyDescent="0.25">
      <c r="A616" s="4" t="s">
        <v>21</v>
      </c>
      <c r="B616" s="4" t="s">
        <v>41</v>
      </c>
      <c r="C616" s="4" t="s">
        <v>62</v>
      </c>
      <c r="D616" s="4" t="s">
        <v>25</v>
      </c>
      <c r="E616" s="4" t="s">
        <v>25</v>
      </c>
      <c r="F616" s="4" t="s">
        <v>25</v>
      </c>
      <c r="G616" s="4" t="s">
        <v>63</v>
      </c>
      <c r="H616" s="4" t="s">
        <v>25</v>
      </c>
      <c r="I616" s="5">
        <v>44713</v>
      </c>
      <c r="J616" s="6">
        <v>0</v>
      </c>
      <c r="K616" s="6">
        <v>0</v>
      </c>
      <c r="L616" s="6">
        <v>3698.556</v>
      </c>
      <c r="M616" s="6">
        <v>3698.556</v>
      </c>
      <c r="N616" s="6">
        <v>0</v>
      </c>
      <c r="O616" s="6">
        <v>0</v>
      </c>
      <c r="P616" s="6">
        <v>0</v>
      </c>
      <c r="Q616" s="4" t="s">
        <v>64</v>
      </c>
      <c r="R616" s="4">
        <v>43</v>
      </c>
      <c r="S616" s="6">
        <v>0</v>
      </c>
      <c r="T616" s="6">
        <v>30</v>
      </c>
      <c r="U616" s="6">
        <v>0</v>
      </c>
      <c r="V616" s="6">
        <f>IF(ISERROR(VLOOKUP($S$616,'TAR FIN'!$A$1:$O$104,15,0)),0,VLOOKUP($S$616,'TAR FIN'!$A$1:$O$104,15,0))</f>
        <v>0</v>
      </c>
      <c r="W616" s="6">
        <f>IF(ISERROR(VLOOKUP($T$616,'TAR FIN'!$A$1:$O$104,15,0)),0,VLOOKUP($T$616,'TAR FIN'!$A$1:$O$104,15,0))</f>
        <v>15</v>
      </c>
      <c r="X616" s="6">
        <f>IF(ISERROR(VLOOKUP($U$616,'TAR FIN'!$A$1:$O$104,15,0)),0,VLOOKUP($U$616,'TAR FIN'!$A$1:$O$104,15,0))</f>
        <v>0</v>
      </c>
      <c r="Y616" s="6">
        <f ca="1">0.72*('TUSD BE'!$AM$17+'TUSD BF'!$AM$17+'TUSD CVA'!$AM$17)*1+('TUSD BE'!$AM$18+'TUSD BF'!$AM$18+'TUSD CVA'!$AM$18)*1</f>
        <v>34.673419765411182</v>
      </c>
      <c r="Z616" s="6">
        <f ca="1">('TUSD BE'!$AM$19+'TUSD BF'!$AM$19+'TUSD CVA'!$AM$19)*1</f>
        <v>13.739448006852705</v>
      </c>
      <c r="AA616" s="6"/>
      <c r="AB616" s="6">
        <f>$K$616*$V$616</f>
        <v>0</v>
      </c>
      <c r="AC616" s="6">
        <f>$M$616*$W$616</f>
        <v>55478.340000000004</v>
      </c>
      <c r="AD616" s="6">
        <f>$O$616*$X$616</f>
        <v>0</v>
      </c>
      <c r="AE616" s="6">
        <f ca="1">$K$616*$Y$616</f>
        <v>0</v>
      </c>
      <c r="AF616" s="6">
        <f ca="1">$M$616*$Z$616</f>
        <v>50816.117862433115</v>
      </c>
      <c r="AG616" s="6">
        <f>$O$616*$AA$616</f>
        <v>0</v>
      </c>
    </row>
    <row r="617" spans="1:33" ht="11.25" customHeight="1" x14ac:dyDescent="0.25">
      <c r="A617" s="4" t="s">
        <v>21</v>
      </c>
      <c r="B617" s="4" t="s">
        <v>41</v>
      </c>
      <c r="C617" s="4" t="s">
        <v>62</v>
      </c>
      <c r="D617" s="4" t="s">
        <v>25</v>
      </c>
      <c r="E617" s="4" t="s">
        <v>25</v>
      </c>
      <c r="F617" s="4" t="s">
        <v>25</v>
      </c>
      <c r="G617" s="4" t="s">
        <v>65</v>
      </c>
      <c r="H617" s="4" t="s">
        <v>25</v>
      </c>
      <c r="I617" s="5">
        <v>44713</v>
      </c>
      <c r="J617" s="6">
        <v>0</v>
      </c>
      <c r="K617" s="6">
        <v>0</v>
      </c>
      <c r="L617" s="6">
        <v>1987.5840000000001</v>
      </c>
      <c r="M617" s="6">
        <v>1987.5840000000001</v>
      </c>
      <c r="N617" s="6">
        <v>0</v>
      </c>
      <c r="O617" s="6">
        <v>0</v>
      </c>
      <c r="P617" s="6">
        <v>0</v>
      </c>
      <c r="Q617" s="4" t="s">
        <v>64</v>
      </c>
      <c r="R617" s="4">
        <v>6611</v>
      </c>
      <c r="S617" s="6">
        <v>0</v>
      </c>
      <c r="T617" s="6">
        <v>36</v>
      </c>
      <c r="U617" s="6">
        <v>0</v>
      </c>
      <c r="V617" s="6">
        <f>IF(ISERROR(VLOOKUP($S$617,'TAR FIN'!$A$1:$O$104,15,0)),0,VLOOKUP($S$617,'TAR FIN'!$A$1:$O$104,15,0))</f>
        <v>0</v>
      </c>
      <c r="W617" s="6">
        <f>IF(ISERROR(VLOOKUP($T$617,'TAR FIN'!$A$1:$O$104,15,0)),0,VLOOKUP($T$617,'TAR FIN'!$A$1:$O$104,15,0))</f>
        <v>15</v>
      </c>
      <c r="X617" s="6">
        <f>IF(ISERROR(VLOOKUP($U$617,'TAR FIN'!$A$1:$O$104,15,0)),0,VLOOKUP($U$617,'TAR FIN'!$A$1:$O$104,15,0))</f>
        <v>0</v>
      </c>
      <c r="Y617" s="6">
        <f ca="1">0.72*('TUSD BE'!$AM$20+'TUSD BF'!$AM$20+'TUSD CVA'!$AM$20)*1+('TUSD BE'!$AM$21+'TUSD BF'!$AM$21+'TUSD CVA'!$AM$21)*1</f>
        <v>34.673419765411182</v>
      </c>
      <c r="Z617" s="6">
        <f ca="1">('TUSD BE'!$AM$22+'TUSD BF'!$AM$22+'TUSD CVA'!$AM$22)*1</f>
        <v>13.739448006852705</v>
      </c>
      <c r="AA617" s="6"/>
      <c r="AB617" s="6">
        <f>$K$617*$V$617</f>
        <v>0</v>
      </c>
      <c r="AC617" s="6">
        <f>$M$617*$W$617</f>
        <v>29813.760000000002</v>
      </c>
      <c r="AD617" s="6">
        <f>$O$617*$X$617</f>
        <v>0</v>
      </c>
      <c r="AE617" s="6">
        <f ca="1">$K$617*$Y$617</f>
        <v>0</v>
      </c>
      <c r="AF617" s="6">
        <f ca="1">$M$617*$Z$617</f>
        <v>27308.307027252325</v>
      </c>
      <c r="AG617" s="6">
        <f>$O$617*$AA$617</f>
        <v>0</v>
      </c>
    </row>
    <row r="618" spans="1:33" ht="11.25" customHeight="1" x14ac:dyDescent="0.25">
      <c r="A618" s="4" t="s">
        <v>57</v>
      </c>
      <c r="B618" s="4" t="s">
        <v>41</v>
      </c>
      <c r="C618" s="4" t="s">
        <v>62</v>
      </c>
      <c r="D618" s="4" t="s">
        <v>25</v>
      </c>
      <c r="E618" s="4" t="s">
        <v>25</v>
      </c>
      <c r="F618" s="4" t="s">
        <v>25</v>
      </c>
      <c r="G618" s="4" t="s">
        <v>63</v>
      </c>
      <c r="H618" s="4" t="s">
        <v>25</v>
      </c>
      <c r="I618" s="5">
        <v>44743</v>
      </c>
      <c r="J618" s="6">
        <v>0</v>
      </c>
      <c r="K618" s="6">
        <v>0</v>
      </c>
      <c r="L618" s="6">
        <v>3698.556</v>
      </c>
      <c r="M618" s="6">
        <v>3698.556</v>
      </c>
      <c r="N618" s="6">
        <v>0</v>
      </c>
      <c r="O618" s="6">
        <v>0</v>
      </c>
      <c r="P618" s="6">
        <v>0</v>
      </c>
      <c r="Q618" s="4" t="s">
        <v>64</v>
      </c>
      <c r="R618" s="4">
        <v>43</v>
      </c>
      <c r="S618" s="6">
        <v>0</v>
      </c>
      <c r="T618" s="6">
        <v>30</v>
      </c>
      <c r="U618" s="6">
        <v>0</v>
      </c>
      <c r="V618" s="6">
        <f>IF(ISERROR(VLOOKUP($S$618,'TAR FIN'!$A$1:$O$104,15,0)),0,VLOOKUP($S$618,'TAR FIN'!$A$1:$O$104,15,0))</f>
        <v>0</v>
      </c>
      <c r="W618" s="6">
        <f>IF(ISERROR(VLOOKUP($T$618,'TAR FIN'!$A$1:$O$104,15,0)),0,VLOOKUP($T$618,'TAR FIN'!$A$1:$O$104,15,0))</f>
        <v>15</v>
      </c>
      <c r="X618" s="6">
        <f>IF(ISERROR(VLOOKUP($U$618,'TAR FIN'!$A$1:$O$104,15,0)),0,VLOOKUP($U$618,'TAR FIN'!$A$1:$O$104,15,0))</f>
        <v>0</v>
      </c>
      <c r="Y618" s="6">
        <f ca="1">0.72*('TUSD BE'!$AM$17+'TUSD BF'!$AM$17+'TUSD CVA'!$AM$17)*1+('TUSD BE'!$AM$18+'TUSD BF'!$AM$18+'TUSD CVA'!$AM$18)*1</f>
        <v>34.673419765411182</v>
      </c>
      <c r="Z618" s="6">
        <f ca="1">('TUSD BE'!$AM$19+'TUSD BF'!$AM$19+'TUSD CVA'!$AM$19)*1</f>
        <v>13.739448006852705</v>
      </c>
      <c r="AA618" s="6"/>
      <c r="AB618" s="6">
        <f>$K$618*$V$618</f>
        <v>0</v>
      </c>
      <c r="AC618" s="6">
        <f>$M$618*$W$618</f>
        <v>55478.340000000004</v>
      </c>
      <c r="AD618" s="6">
        <f>$O$618*$X$618</f>
        <v>0</v>
      </c>
      <c r="AE618" s="6">
        <f ca="1">$K$618*$Y$618</f>
        <v>0</v>
      </c>
      <c r="AF618" s="6">
        <f ca="1">$M$618*$Z$618</f>
        <v>50816.117862433115</v>
      </c>
      <c r="AG618" s="6">
        <f>$O$618*$AA$618</f>
        <v>0</v>
      </c>
    </row>
    <row r="619" spans="1:33" ht="11.25" customHeight="1" x14ac:dyDescent="0.25">
      <c r="A619" s="4" t="s">
        <v>57</v>
      </c>
      <c r="B619" s="4" t="s">
        <v>41</v>
      </c>
      <c r="C619" s="4" t="s">
        <v>62</v>
      </c>
      <c r="D619" s="4" t="s">
        <v>25</v>
      </c>
      <c r="E619" s="4" t="s">
        <v>25</v>
      </c>
      <c r="F619" s="4" t="s">
        <v>25</v>
      </c>
      <c r="G619" s="4" t="s">
        <v>65</v>
      </c>
      <c r="H619" s="4" t="s">
        <v>25</v>
      </c>
      <c r="I619" s="5">
        <v>44743</v>
      </c>
      <c r="J619" s="6">
        <v>0</v>
      </c>
      <c r="K619" s="6">
        <v>0</v>
      </c>
      <c r="L619" s="6">
        <v>1987.5840000000001</v>
      </c>
      <c r="M619" s="6">
        <v>1987.5840000000001</v>
      </c>
      <c r="N619" s="6">
        <v>0</v>
      </c>
      <c r="O619" s="6">
        <v>0</v>
      </c>
      <c r="P619" s="6">
        <v>0</v>
      </c>
      <c r="Q619" s="4" t="s">
        <v>64</v>
      </c>
      <c r="R619" s="4">
        <v>6611</v>
      </c>
      <c r="S619" s="6">
        <v>0</v>
      </c>
      <c r="T619" s="6">
        <v>36</v>
      </c>
      <c r="U619" s="6">
        <v>0</v>
      </c>
      <c r="V619" s="6">
        <f>IF(ISERROR(VLOOKUP($S$619,'TAR FIN'!$A$1:$O$104,15,0)),0,VLOOKUP($S$619,'TAR FIN'!$A$1:$O$104,15,0))</f>
        <v>0</v>
      </c>
      <c r="W619" s="6">
        <f>IF(ISERROR(VLOOKUP($T$619,'TAR FIN'!$A$1:$O$104,15,0)),0,VLOOKUP($T$619,'TAR FIN'!$A$1:$O$104,15,0))</f>
        <v>15</v>
      </c>
      <c r="X619" s="6">
        <f>IF(ISERROR(VLOOKUP($U$619,'TAR FIN'!$A$1:$O$104,15,0)),0,VLOOKUP($U$619,'TAR FIN'!$A$1:$O$104,15,0))</f>
        <v>0</v>
      </c>
      <c r="Y619" s="6">
        <f ca="1">0.72*('TUSD BE'!$AM$20+'TUSD BF'!$AM$20+'TUSD CVA'!$AM$20)*1+('TUSD BE'!$AM$21+'TUSD BF'!$AM$21+'TUSD CVA'!$AM$21)*1</f>
        <v>34.673419765411182</v>
      </c>
      <c r="Z619" s="6">
        <f ca="1">('TUSD BE'!$AM$22+'TUSD BF'!$AM$22+'TUSD CVA'!$AM$22)*1</f>
        <v>13.739448006852705</v>
      </c>
      <c r="AA619" s="6"/>
      <c r="AB619" s="6">
        <f>$K$619*$V$619</f>
        <v>0</v>
      </c>
      <c r="AC619" s="6">
        <f>$M$619*$W$619</f>
        <v>29813.760000000002</v>
      </c>
      <c r="AD619" s="6">
        <f>$O$619*$X$619</f>
        <v>0</v>
      </c>
      <c r="AE619" s="6">
        <f ca="1">$K$619*$Y$619</f>
        <v>0</v>
      </c>
      <c r="AF619" s="6">
        <f ca="1">$M$619*$Z$619</f>
        <v>27308.307027252325</v>
      </c>
      <c r="AG619" s="6">
        <f>$O$619*$AA$619</f>
        <v>0</v>
      </c>
    </row>
    <row r="620" spans="1:33" ht="11.25" customHeight="1" x14ac:dyDescent="0.25">
      <c r="A620" s="4" t="s">
        <v>21</v>
      </c>
      <c r="B620" s="4" t="s">
        <v>41</v>
      </c>
      <c r="C620" s="4" t="s">
        <v>62</v>
      </c>
      <c r="D620" s="4" t="s">
        <v>25</v>
      </c>
      <c r="E620" s="4" t="s">
        <v>25</v>
      </c>
      <c r="F620" s="4" t="s">
        <v>25</v>
      </c>
      <c r="G620" s="4" t="s">
        <v>63</v>
      </c>
      <c r="H620" s="4" t="s">
        <v>34</v>
      </c>
      <c r="I620" s="5">
        <v>44409</v>
      </c>
      <c r="J620" s="6">
        <v>6951</v>
      </c>
      <c r="K620" s="6">
        <v>6951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4" t="s">
        <v>64</v>
      </c>
      <c r="R620" s="4">
        <v>43</v>
      </c>
      <c r="S620" s="6">
        <v>26</v>
      </c>
      <c r="T620" s="6">
        <v>0</v>
      </c>
      <c r="U620" s="6">
        <v>0</v>
      </c>
      <c r="V620" s="6">
        <f>IF(ISERROR(VLOOKUP($S$620,'TAR FIN'!$A$1:$O$104,15,0)),0,VLOOKUP($S$620,'TAR FIN'!$A$1:$O$104,15,0))</f>
        <v>25.64</v>
      </c>
      <c r="W620" s="6">
        <f>IF(ISERROR(VLOOKUP($T$620,'TAR FIN'!$A$1:$O$104,15,0)),0,VLOOKUP($T$620,'TAR FIN'!$A$1:$O$104,15,0))</f>
        <v>0</v>
      </c>
      <c r="X620" s="6">
        <f>IF(ISERROR(VLOOKUP($U$620,'TAR FIN'!$A$1:$O$104,15,0)),0,VLOOKUP($U$620,'TAR FIN'!$A$1:$O$104,15,0))</f>
        <v>0</v>
      </c>
      <c r="Y620" s="6">
        <f ca="1">('TUSD BE'!$AM$17+'TUSD BF'!$AM$17+'TUSD CVA'!$AM$17)*1</f>
        <v>27.749673905241721</v>
      </c>
      <c r="Z620" s="6">
        <f ca="1">('TUSD BE'!$AM$19+'TUSD BF'!$AM$19+'TUSD CVA'!$AM$19)*1</f>
        <v>13.739448006852705</v>
      </c>
      <c r="AA620" s="6"/>
      <c r="AB620" s="6">
        <f>$K$620*$V$620</f>
        <v>178223.64</v>
      </c>
      <c r="AC620" s="6">
        <f>$M$620*$W$620</f>
        <v>0</v>
      </c>
      <c r="AD620" s="6">
        <f>$O$620*$X$620</f>
        <v>0</v>
      </c>
      <c r="AE620" s="6">
        <f ca="1">$K$620*$Y$620</f>
        <v>192887.98331533521</v>
      </c>
      <c r="AF620" s="6">
        <f ca="1">$M$620*$Z$620</f>
        <v>0</v>
      </c>
      <c r="AG620" s="6">
        <f>$O$620*$AA$620</f>
        <v>0</v>
      </c>
    </row>
    <row r="621" spans="1:33" ht="11.25" customHeight="1" x14ac:dyDescent="0.25">
      <c r="A621" s="4" t="s">
        <v>21</v>
      </c>
      <c r="B621" s="4" t="s">
        <v>41</v>
      </c>
      <c r="C621" s="4" t="s">
        <v>62</v>
      </c>
      <c r="D621" s="4" t="s">
        <v>25</v>
      </c>
      <c r="E621" s="4" t="s">
        <v>25</v>
      </c>
      <c r="F621" s="4" t="s">
        <v>25</v>
      </c>
      <c r="G621" s="4" t="s">
        <v>65</v>
      </c>
      <c r="H621" s="4" t="s">
        <v>34</v>
      </c>
      <c r="I621" s="5">
        <v>44409</v>
      </c>
      <c r="J621" s="6">
        <v>1984</v>
      </c>
      <c r="K621" s="6">
        <v>1984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4" t="s">
        <v>64</v>
      </c>
      <c r="R621" s="4">
        <v>6611</v>
      </c>
      <c r="S621" s="6">
        <v>32</v>
      </c>
      <c r="T621" s="6">
        <v>0</v>
      </c>
      <c r="U621" s="6">
        <v>0</v>
      </c>
      <c r="V621" s="6">
        <f>IF(ISERROR(VLOOKUP($S$621,'TAR FIN'!$A$1:$O$104,15,0)),0,VLOOKUP($S$621,'TAR FIN'!$A$1:$O$104,15,0))</f>
        <v>25.64</v>
      </c>
      <c r="W621" s="6">
        <f>IF(ISERROR(VLOOKUP($T$621,'TAR FIN'!$A$1:$O$104,15,0)),0,VLOOKUP($T$621,'TAR FIN'!$A$1:$O$104,15,0))</f>
        <v>0</v>
      </c>
      <c r="X621" s="6">
        <f>IF(ISERROR(VLOOKUP($U$621,'TAR FIN'!$A$1:$O$104,15,0)),0,VLOOKUP($U$621,'TAR FIN'!$A$1:$O$104,15,0))</f>
        <v>0</v>
      </c>
      <c r="Y621" s="6">
        <f ca="1">('TUSD BE'!$AM$20+'TUSD BF'!$AM$20+'TUSD CVA'!$AM$20)*1</f>
        <v>27.749673905241721</v>
      </c>
      <c r="Z621" s="6">
        <f ca="1">('TUSD BE'!$AM$22+'TUSD BF'!$AM$22+'TUSD CVA'!$AM$22)*1</f>
        <v>13.739448006852705</v>
      </c>
      <c r="AA621" s="6"/>
      <c r="AB621" s="6">
        <f>$K$621*$V$621</f>
        <v>50869.760000000002</v>
      </c>
      <c r="AC621" s="6">
        <f>$M$621*$W$621</f>
        <v>0</v>
      </c>
      <c r="AD621" s="6">
        <f>$O$621*$X$621</f>
        <v>0</v>
      </c>
      <c r="AE621" s="6">
        <f ca="1">$K$621*$Y$621</f>
        <v>55055.353027999576</v>
      </c>
      <c r="AF621" s="6">
        <f ca="1">$M$621*$Z$621</f>
        <v>0</v>
      </c>
      <c r="AG621" s="6">
        <f>$O$621*$AA$621</f>
        <v>0</v>
      </c>
    </row>
    <row r="622" spans="1:33" ht="11.25" customHeight="1" x14ac:dyDescent="0.25">
      <c r="A622" s="4" t="s">
        <v>21</v>
      </c>
      <c r="B622" s="4" t="s">
        <v>41</v>
      </c>
      <c r="C622" s="4" t="s">
        <v>62</v>
      </c>
      <c r="D622" s="4" t="s">
        <v>25</v>
      </c>
      <c r="E622" s="4" t="s">
        <v>25</v>
      </c>
      <c r="F622" s="4" t="s">
        <v>25</v>
      </c>
      <c r="G622" s="4" t="s">
        <v>63</v>
      </c>
      <c r="H622" s="4" t="s">
        <v>34</v>
      </c>
      <c r="I622" s="5">
        <v>44440</v>
      </c>
      <c r="J622" s="6">
        <v>6951</v>
      </c>
      <c r="K622" s="6">
        <v>6951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4" t="s">
        <v>64</v>
      </c>
      <c r="R622" s="4">
        <v>43</v>
      </c>
      <c r="S622" s="6">
        <v>26</v>
      </c>
      <c r="T622" s="6">
        <v>0</v>
      </c>
      <c r="U622" s="6">
        <v>0</v>
      </c>
      <c r="V622" s="6">
        <f>IF(ISERROR(VLOOKUP($S$622,'TAR FIN'!$A$1:$O$104,15,0)),0,VLOOKUP($S$622,'TAR FIN'!$A$1:$O$104,15,0))</f>
        <v>25.64</v>
      </c>
      <c r="W622" s="6">
        <f>IF(ISERROR(VLOOKUP($T$622,'TAR FIN'!$A$1:$O$104,15,0)),0,VLOOKUP($T$622,'TAR FIN'!$A$1:$O$104,15,0))</f>
        <v>0</v>
      </c>
      <c r="X622" s="6">
        <f>IF(ISERROR(VLOOKUP($U$622,'TAR FIN'!$A$1:$O$104,15,0)),0,VLOOKUP($U$622,'TAR FIN'!$A$1:$O$104,15,0))</f>
        <v>0</v>
      </c>
      <c r="Y622" s="6">
        <f ca="1">('TUSD BE'!$AM$17+'TUSD BF'!$AM$17+'TUSD CVA'!$AM$17)*1</f>
        <v>27.749673905241721</v>
      </c>
      <c r="Z622" s="6">
        <f ca="1">('TUSD BE'!$AM$19+'TUSD BF'!$AM$19+'TUSD CVA'!$AM$19)*1</f>
        <v>13.739448006852705</v>
      </c>
      <c r="AA622" s="6"/>
      <c r="AB622" s="6">
        <f>$K$622*$V$622</f>
        <v>178223.64</v>
      </c>
      <c r="AC622" s="6">
        <f>$M$622*$W$622</f>
        <v>0</v>
      </c>
      <c r="AD622" s="6">
        <f>$O$622*$X$622</f>
        <v>0</v>
      </c>
      <c r="AE622" s="6">
        <f ca="1">$K$622*$Y$622</f>
        <v>192887.98331533521</v>
      </c>
      <c r="AF622" s="6">
        <f ca="1">$M$622*$Z$622</f>
        <v>0</v>
      </c>
      <c r="AG622" s="6">
        <f>$O$622*$AA$622</f>
        <v>0</v>
      </c>
    </row>
    <row r="623" spans="1:33" ht="11.25" customHeight="1" x14ac:dyDescent="0.25">
      <c r="A623" s="4" t="s">
        <v>21</v>
      </c>
      <c r="B623" s="4" t="s">
        <v>41</v>
      </c>
      <c r="C623" s="4" t="s">
        <v>62</v>
      </c>
      <c r="D623" s="4" t="s">
        <v>25</v>
      </c>
      <c r="E623" s="4" t="s">
        <v>25</v>
      </c>
      <c r="F623" s="4" t="s">
        <v>25</v>
      </c>
      <c r="G623" s="4" t="s">
        <v>65</v>
      </c>
      <c r="H623" s="4" t="s">
        <v>34</v>
      </c>
      <c r="I623" s="5">
        <v>44440</v>
      </c>
      <c r="J623" s="6">
        <v>1980</v>
      </c>
      <c r="K623" s="6">
        <v>1980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4" t="s">
        <v>64</v>
      </c>
      <c r="R623" s="4">
        <v>6611</v>
      </c>
      <c r="S623" s="6">
        <v>32</v>
      </c>
      <c r="T623" s="6">
        <v>0</v>
      </c>
      <c r="U623" s="6">
        <v>0</v>
      </c>
      <c r="V623" s="6">
        <f>IF(ISERROR(VLOOKUP($S$623,'TAR FIN'!$A$1:$O$104,15,0)),0,VLOOKUP($S$623,'TAR FIN'!$A$1:$O$104,15,0))</f>
        <v>25.64</v>
      </c>
      <c r="W623" s="6">
        <f>IF(ISERROR(VLOOKUP($T$623,'TAR FIN'!$A$1:$O$104,15,0)),0,VLOOKUP($T$623,'TAR FIN'!$A$1:$O$104,15,0))</f>
        <v>0</v>
      </c>
      <c r="X623" s="6">
        <f>IF(ISERROR(VLOOKUP($U$623,'TAR FIN'!$A$1:$O$104,15,0)),0,VLOOKUP($U$623,'TAR FIN'!$A$1:$O$104,15,0))</f>
        <v>0</v>
      </c>
      <c r="Y623" s="6">
        <f ca="1">('TUSD BE'!$AM$20+'TUSD BF'!$AM$20+'TUSD CVA'!$AM$20)*1</f>
        <v>27.749673905241721</v>
      </c>
      <c r="Z623" s="6">
        <f ca="1">('TUSD BE'!$AM$22+'TUSD BF'!$AM$22+'TUSD CVA'!$AM$22)*1</f>
        <v>13.739448006852705</v>
      </c>
      <c r="AA623" s="6"/>
      <c r="AB623" s="6">
        <f>$K$623*$V$623</f>
        <v>50767.200000000004</v>
      </c>
      <c r="AC623" s="6">
        <f>$M$623*$W$623</f>
        <v>0</v>
      </c>
      <c r="AD623" s="6">
        <f>$O$623*$X$623</f>
        <v>0</v>
      </c>
      <c r="AE623" s="6">
        <f ca="1">$K$623*$Y$623</f>
        <v>54944.354332378607</v>
      </c>
      <c r="AF623" s="6">
        <f ca="1">$M$623*$Z$623</f>
        <v>0</v>
      </c>
      <c r="AG623" s="6">
        <f>$O$623*$AA$623</f>
        <v>0</v>
      </c>
    </row>
    <row r="624" spans="1:33" ht="11.25" customHeight="1" x14ac:dyDescent="0.25">
      <c r="A624" s="4" t="s">
        <v>21</v>
      </c>
      <c r="B624" s="4" t="s">
        <v>41</v>
      </c>
      <c r="C624" s="4" t="s">
        <v>62</v>
      </c>
      <c r="D624" s="4" t="s">
        <v>25</v>
      </c>
      <c r="E624" s="4" t="s">
        <v>25</v>
      </c>
      <c r="F624" s="4" t="s">
        <v>25</v>
      </c>
      <c r="G624" s="4" t="s">
        <v>63</v>
      </c>
      <c r="H624" s="4" t="s">
        <v>34</v>
      </c>
      <c r="I624" s="5">
        <v>44470</v>
      </c>
      <c r="J624" s="6">
        <v>6951</v>
      </c>
      <c r="K624" s="6">
        <v>6951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4" t="s">
        <v>64</v>
      </c>
      <c r="R624" s="4">
        <v>43</v>
      </c>
      <c r="S624" s="6">
        <v>26</v>
      </c>
      <c r="T624" s="6">
        <v>0</v>
      </c>
      <c r="U624" s="6">
        <v>0</v>
      </c>
      <c r="V624" s="6">
        <f>IF(ISERROR(VLOOKUP($S$624,'TAR FIN'!$A$1:$O$104,15,0)),0,VLOOKUP($S$624,'TAR FIN'!$A$1:$O$104,15,0))</f>
        <v>25.64</v>
      </c>
      <c r="W624" s="6">
        <f>IF(ISERROR(VLOOKUP($T$624,'TAR FIN'!$A$1:$O$104,15,0)),0,VLOOKUP($T$624,'TAR FIN'!$A$1:$O$104,15,0))</f>
        <v>0</v>
      </c>
      <c r="X624" s="6">
        <f>IF(ISERROR(VLOOKUP($U$624,'TAR FIN'!$A$1:$O$104,15,0)),0,VLOOKUP($U$624,'TAR FIN'!$A$1:$O$104,15,0))</f>
        <v>0</v>
      </c>
      <c r="Y624" s="6">
        <f ca="1">('TUSD BE'!$AM$17+'TUSD BF'!$AM$17+'TUSD CVA'!$AM$17)*1</f>
        <v>27.749673905241721</v>
      </c>
      <c r="Z624" s="6">
        <f ca="1">('TUSD BE'!$AM$19+'TUSD BF'!$AM$19+'TUSD CVA'!$AM$19)*1</f>
        <v>13.739448006852705</v>
      </c>
      <c r="AA624" s="6"/>
      <c r="AB624" s="6">
        <f>$K$624*$V$624</f>
        <v>178223.64</v>
      </c>
      <c r="AC624" s="6">
        <f>$M$624*$W$624</f>
        <v>0</v>
      </c>
      <c r="AD624" s="6">
        <f>$O$624*$X$624</f>
        <v>0</v>
      </c>
      <c r="AE624" s="6">
        <f ca="1">$K$624*$Y$624</f>
        <v>192887.98331533521</v>
      </c>
      <c r="AF624" s="6">
        <f ca="1">$M$624*$Z$624</f>
        <v>0</v>
      </c>
      <c r="AG624" s="6">
        <f>$O$624*$AA$624</f>
        <v>0</v>
      </c>
    </row>
    <row r="625" spans="1:33" ht="11.25" customHeight="1" x14ac:dyDescent="0.25">
      <c r="A625" s="4" t="s">
        <v>21</v>
      </c>
      <c r="B625" s="4" t="s">
        <v>41</v>
      </c>
      <c r="C625" s="4" t="s">
        <v>62</v>
      </c>
      <c r="D625" s="4" t="s">
        <v>25</v>
      </c>
      <c r="E625" s="4" t="s">
        <v>25</v>
      </c>
      <c r="F625" s="4" t="s">
        <v>25</v>
      </c>
      <c r="G625" s="4" t="s">
        <v>65</v>
      </c>
      <c r="H625" s="4" t="s">
        <v>34</v>
      </c>
      <c r="I625" s="5">
        <v>44470</v>
      </c>
      <c r="J625" s="6">
        <v>2036</v>
      </c>
      <c r="K625" s="6">
        <v>2036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4" t="s">
        <v>64</v>
      </c>
      <c r="R625" s="4">
        <v>6611</v>
      </c>
      <c r="S625" s="6">
        <v>32</v>
      </c>
      <c r="T625" s="6">
        <v>0</v>
      </c>
      <c r="U625" s="6">
        <v>0</v>
      </c>
      <c r="V625" s="6">
        <f>IF(ISERROR(VLOOKUP($S$625,'TAR FIN'!$A$1:$O$104,15,0)),0,VLOOKUP($S$625,'TAR FIN'!$A$1:$O$104,15,0))</f>
        <v>25.64</v>
      </c>
      <c r="W625" s="6">
        <f>IF(ISERROR(VLOOKUP($T$625,'TAR FIN'!$A$1:$O$104,15,0)),0,VLOOKUP($T$625,'TAR FIN'!$A$1:$O$104,15,0))</f>
        <v>0</v>
      </c>
      <c r="X625" s="6">
        <f>IF(ISERROR(VLOOKUP($U$625,'TAR FIN'!$A$1:$O$104,15,0)),0,VLOOKUP($U$625,'TAR FIN'!$A$1:$O$104,15,0))</f>
        <v>0</v>
      </c>
      <c r="Y625" s="6">
        <f ca="1">('TUSD BE'!$AM$20+'TUSD BF'!$AM$20+'TUSD CVA'!$AM$20)*1</f>
        <v>27.749673905241721</v>
      </c>
      <c r="Z625" s="6">
        <f ca="1">('TUSD BE'!$AM$22+'TUSD BF'!$AM$22+'TUSD CVA'!$AM$22)*1</f>
        <v>13.739448006852705</v>
      </c>
      <c r="AA625" s="6"/>
      <c r="AB625" s="6">
        <f>$K$625*$V$625</f>
        <v>52203.040000000001</v>
      </c>
      <c r="AC625" s="6">
        <f>$M$625*$W$625</f>
        <v>0</v>
      </c>
      <c r="AD625" s="6">
        <f>$O$625*$X$625</f>
        <v>0</v>
      </c>
      <c r="AE625" s="6">
        <f ca="1">$K$625*$Y$625</f>
        <v>56498.336071072146</v>
      </c>
      <c r="AF625" s="6">
        <f ca="1">$M$625*$Z$625</f>
        <v>0</v>
      </c>
      <c r="AG625" s="6">
        <f>$O$625*$AA$625</f>
        <v>0</v>
      </c>
    </row>
    <row r="626" spans="1:33" ht="11.25" customHeight="1" x14ac:dyDescent="0.25">
      <c r="A626" s="4" t="s">
        <v>21</v>
      </c>
      <c r="B626" s="4" t="s">
        <v>41</v>
      </c>
      <c r="C626" s="4" t="s">
        <v>62</v>
      </c>
      <c r="D626" s="4" t="s">
        <v>25</v>
      </c>
      <c r="E626" s="4" t="s">
        <v>25</v>
      </c>
      <c r="F626" s="4" t="s">
        <v>25</v>
      </c>
      <c r="G626" s="4" t="s">
        <v>63</v>
      </c>
      <c r="H626" s="4" t="s">
        <v>34</v>
      </c>
      <c r="I626" s="5">
        <v>44501</v>
      </c>
      <c r="J626" s="6">
        <v>6951</v>
      </c>
      <c r="K626" s="6">
        <v>6951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4" t="s">
        <v>64</v>
      </c>
      <c r="R626" s="4">
        <v>43</v>
      </c>
      <c r="S626" s="6">
        <v>26</v>
      </c>
      <c r="T626" s="6">
        <v>0</v>
      </c>
      <c r="U626" s="6">
        <v>0</v>
      </c>
      <c r="V626" s="6">
        <f>IF(ISERROR(VLOOKUP($S$626,'TAR FIN'!$A$1:$O$104,15,0)),0,VLOOKUP($S$626,'TAR FIN'!$A$1:$O$104,15,0))</f>
        <v>25.64</v>
      </c>
      <c r="W626" s="6">
        <f>IF(ISERROR(VLOOKUP($T$626,'TAR FIN'!$A$1:$O$104,15,0)),0,VLOOKUP($T$626,'TAR FIN'!$A$1:$O$104,15,0))</f>
        <v>0</v>
      </c>
      <c r="X626" s="6">
        <f>IF(ISERROR(VLOOKUP($U$626,'TAR FIN'!$A$1:$O$104,15,0)),0,VLOOKUP($U$626,'TAR FIN'!$A$1:$O$104,15,0))</f>
        <v>0</v>
      </c>
      <c r="Y626" s="6">
        <f ca="1">('TUSD BE'!$AM$17+'TUSD BF'!$AM$17+'TUSD CVA'!$AM$17)*1</f>
        <v>27.749673905241721</v>
      </c>
      <c r="Z626" s="6">
        <f ca="1">('TUSD BE'!$AM$19+'TUSD BF'!$AM$19+'TUSD CVA'!$AM$19)*1</f>
        <v>13.739448006852705</v>
      </c>
      <c r="AA626" s="6"/>
      <c r="AB626" s="6">
        <f>$K$626*$V$626</f>
        <v>178223.64</v>
      </c>
      <c r="AC626" s="6">
        <f>$M$626*$W$626</f>
        <v>0</v>
      </c>
      <c r="AD626" s="6">
        <f>$O$626*$X$626</f>
        <v>0</v>
      </c>
      <c r="AE626" s="6">
        <f ca="1">$K$626*$Y$626</f>
        <v>192887.98331533521</v>
      </c>
      <c r="AF626" s="6">
        <f ca="1">$M$626*$Z$626</f>
        <v>0</v>
      </c>
      <c r="AG626" s="6">
        <f>$O$626*$AA$626</f>
        <v>0</v>
      </c>
    </row>
    <row r="627" spans="1:33" ht="11.25" customHeight="1" x14ac:dyDescent="0.25">
      <c r="A627" s="4" t="s">
        <v>21</v>
      </c>
      <c r="B627" s="4" t="s">
        <v>41</v>
      </c>
      <c r="C627" s="4" t="s">
        <v>62</v>
      </c>
      <c r="D627" s="4" t="s">
        <v>25</v>
      </c>
      <c r="E627" s="4" t="s">
        <v>25</v>
      </c>
      <c r="F627" s="4" t="s">
        <v>25</v>
      </c>
      <c r="G627" s="4" t="s">
        <v>65</v>
      </c>
      <c r="H627" s="4" t="s">
        <v>34</v>
      </c>
      <c r="I627" s="5">
        <v>44501</v>
      </c>
      <c r="J627" s="6">
        <v>1944</v>
      </c>
      <c r="K627" s="6">
        <v>1944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4" t="s">
        <v>64</v>
      </c>
      <c r="R627" s="4">
        <v>6611</v>
      </c>
      <c r="S627" s="6">
        <v>32</v>
      </c>
      <c r="T627" s="6">
        <v>0</v>
      </c>
      <c r="U627" s="6">
        <v>0</v>
      </c>
      <c r="V627" s="6">
        <f>IF(ISERROR(VLOOKUP($S$627,'TAR FIN'!$A$1:$O$104,15,0)),0,VLOOKUP($S$627,'TAR FIN'!$A$1:$O$104,15,0))</f>
        <v>25.64</v>
      </c>
      <c r="W627" s="6">
        <f>IF(ISERROR(VLOOKUP($T$627,'TAR FIN'!$A$1:$O$104,15,0)),0,VLOOKUP($T$627,'TAR FIN'!$A$1:$O$104,15,0))</f>
        <v>0</v>
      </c>
      <c r="X627" s="6">
        <f>IF(ISERROR(VLOOKUP($U$627,'TAR FIN'!$A$1:$O$104,15,0)),0,VLOOKUP($U$627,'TAR FIN'!$A$1:$O$104,15,0))</f>
        <v>0</v>
      </c>
      <c r="Y627" s="6">
        <f ca="1">('TUSD BE'!$AM$20+'TUSD BF'!$AM$20+'TUSD CVA'!$AM$20)*1</f>
        <v>27.749673905241721</v>
      </c>
      <c r="Z627" s="6">
        <f ca="1">('TUSD BE'!$AM$22+'TUSD BF'!$AM$22+'TUSD CVA'!$AM$22)*1</f>
        <v>13.739448006852705</v>
      </c>
      <c r="AA627" s="6"/>
      <c r="AB627" s="6">
        <f>$K$627*$V$627</f>
        <v>49844.160000000003</v>
      </c>
      <c r="AC627" s="6">
        <f>$M$627*$W$627</f>
        <v>0</v>
      </c>
      <c r="AD627" s="6">
        <f>$O$627*$X$627</f>
        <v>0</v>
      </c>
      <c r="AE627" s="6">
        <f ca="1">$K$627*$Y$627</f>
        <v>53945.366071789904</v>
      </c>
      <c r="AF627" s="6">
        <f ca="1">$M$627*$Z$627</f>
        <v>0</v>
      </c>
      <c r="AG627" s="6">
        <f>$O$627*$AA$627</f>
        <v>0</v>
      </c>
    </row>
    <row r="628" spans="1:33" ht="11.25" customHeight="1" x14ac:dyDescent="0.25">
      <c r="A628" s="4" t="s">
        <v>21</v>
      </c>
      <c r="B628" s="4" t="s">
        <v>41</v>
      </c>
      <c r="C628" s="4" t="s">
        <v>62</v>
      </c>
      <c r="D628" s="4" t="s">
        <v>25</v>
      </c>
      <c r="E628" s="4" t="s">
        <v>25</v>
      </c>
      <c r="F628" s="4" t="s">
        <v>25</v>
      </c>
      <c r="G628" s="4" t="s">
        <v>63</v>
      </c>
      <c r="H628" s="4" t="s">
        <v>34</v>
      </c>
      <c r="I628" s="5">
        <v>44531</v>
      </c>
      <c r="J628" s="6">
        <v>6951</v>
      </c>
      <c r="K628" s="6">
        <v>6951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4" t="s">
        <v>64</v>
      </c>
      <c r="R628" s="4">
        <v>43</v>
      </c>
      <c r="S628" s="6">
        <v>26</v>
      </c>
      <c r="T628" s="6">
        <v>0</v>
      </c>
      <c r="U628" s="6">
        <v>0</v>
      </c>
      <c r="V628" s="6">
        <f>IF(ISERROR(VLOOKUP($S$628,'TAR FIN'!$A$1:$O$104,15,0)),0,VLOOKUP($S$628,'TAR FIN'!$A$1:$O$104,15,0))</f>
        <v>25.64</v>
      </c>
      <c r="W628" s="6">
        <f>IF(ISERROR(VLOOKUP($T$628,'TAR FIN'!$A$1:$O$104,15,0)),0,VLOOKUP($T$628,'TAR FIN'!$A$1:$O$104,15,0))</f>
        <v>0</v>
      </c>
      <c r="X628" s="6">
        <f>IF(ISERROR(VLOOKUP($U$628,'TAR FIN'!$A$1:$O$104,15,0)),0,VLOOKUP($U$628,'TAR FIN'!$A$1:$O$104,15,0))</f>
        <v>0</v>
      </c>
      <c r="Y628" s="6">
        <f ca="1">('TUSD BE'!$AM$17+'TUSD BF'!$AM$17+'TUSD CVA'!$AM$17)*1</f>
        <v>27.749673905241721</v>
      </c>
      <c r="Z628" s="6">
        <f ca="1">('TUSD BE'!$AM$19+'TUSD BF'!$AM$19+'TUSD CVA'!$AM$19)*1</f>
        <v>13.739448006852705</v>
      </c>
      <c r="AA628" s="6"/>
      <c r="AB628" s="6">
        <f>$K$628*$V$628</f>
        <v>178223.64</v>
      </c>
      <c r="AC628" s="6">
        <f>$M$628*$W$628</f>
        <v>0</v>
      </c>
      <c r="AD628" s="6">
        <f>$O$628*$X$628</f>
        <v>0</v>
      </c>
      <c r="AE628" s="6">
        <f ca="1">$K$628*$Y$628</f>
        <v>192887.98331533521</v>
      </c>
      <c r="AF628" s="6">
        <f ca="1">$M$628*$Z$628</f>
        <v>0</v>
      </c>
      <c r="AG628" s="6">
        <f>$O$628*$AA$628</f>
        <v>0</v>
      </c>
    </row>
    <row r="629" spans="1:33" ht="11.25" customHeight="1" x14ac:dyDescent="0.25">
      <c r="A629" s="4" t="s">
        <v>21</v>
      </c>
      <c r="B629" s="4" t="s">
        <v>41</v>
      </c>
      <c r="C629" s="4" t="s">
        <v>62</v>
      </c>
      <c r="D629" s="4" t="s">
        <v>25</v>
      </c>
      <c r="E629" s="4" t="s">
        <v>25</v>
      </c>
      <c r="F629" s="4" t="s">
        <v>25</v>
      </c>
      <c r="G629" s="4" t="s">
        <v>65</v>
      </c>
      <c r="H629" s="4" t="s">
        <v>34</v>
      </c>
      <c r="I629" s="5">
        <v>44531</v>
      </c>
      <c r="J629" s="6">
        <v>2272</v>
      </c>
      <c r="K629" s="6">
        <v>2272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4" t="s">
        <v>64</v>
      </c>
      <c r="R629" s="4">
        <v>6611</v>
      </c>
      <c r="S629" s="6">
        <v>32</v>
      </c>
      <c r="T629" s="6">
        <v>0</v>
      </c>
      <c r="U629" s="6">
        <v>0</v>
      </c>
      <c r="V629" s="6">
        <f>IF(ISERROR(VLOOKUP($S$629,'TAR FIN'!$A$1:$O$104,15,0)),0,VLOOKUP($S$629,'TAR FIN'!$A$1:$O$104,15,0))</f>
        <v>25.64</v>
      </c>
      <c r="W629" s="6">
        <f>IF(ISERROR(VLOOKUP($T$629,'TAR FIN'!$A$1:$O$104,15,0)),0,VLOOKUP($T$629,'TAR FIN'!$A$1:$O$104,15,0))</f>
        <v>0</v>
      </c>
      <c r="X629" s="6">
        <f>IF(ISERROR(VLOOKUP($U$629,'TAR FIN'!$A$1:$O$104,15,0)),0,VLOOKUP($U$629,'TAR FIN'!$A$1:$O$104,15,0))</f>
        <v>0</v>
      </c>
      <c r="Y629" s="6">
        <f ca="1">('TUSD BE'!$AM$20+'TUSD BF'!$AM$20+'TUSD CVA'!$AM$20)*1</f>
        <v>27.749673905241721</v>
      </c>
      <c r="Z629" s="6">
        <f ca="1">('TUSD BE'!$AM$22+'TUSD BF'!$AM$22+'TUSD CVA'!$AM$22)*1</f>
        <v>13.739448006852705</v>
      </c>
      <c r="AA629" s="6"/>
      <c r="AB629" s="6">
        <f>$K$629*$V$629</f>
        <v>58254.080000000002</v>
      </c>
      <c r="AC629" s="6">
        <f>$M$629*$W$629</f>
        <v>0</v>
      </c>
      <c r="AD629" s="6">
        <f>$O$629*$X$629</f>
        <v>0</v>
      </c>
      <c r="AE629" s="6">
        <f ca="1">$K$629*$Y$629</f>
        <v>63047.259112709187</v>
      </c>
      <c r="AF629" s="6">
        <f ca="1">$M$629*$Z$629</f>
        <v>0</v>
      </c>
      <c r="AG629" s="6">
        <f>$O$629*$AA$629</f>
        <v>0</v>
      </c>
    </row>
    <row r="630" spans="1:33" ht="11.25" customHeight="1" x14ac:dyDescent="0.25">
      <c r="A630" s="4" t="s">
        <v>21</v>
      </c>
      <c r="B630" s="4" t="s">
        <v>41</v>
      </c>
      <c r="C630" s="4" t="s">
        <v>62</v>
      </c>
      <c r="D630" s="4" t="s">
        <v>25</v>
      </c>
      <c r="E630" s="4" t="s">
        <v>25</v>
      </c>
      <c r="F630" s="4" t="s">
        <v>25</v>
      </c>
      <c r="G630" s="4" t="s">
        <v>63</v>
      </c>
      <c r="H630" s="4" t="s">
        <v>34</v>
      </c>
      <c r="I630" s="5">
        <v>44562</v>
      </c>
      <c r="J630" s="6">
        <v>6951</v>
      </c>
      <c r="K630" s="6">
        <v>6951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4" t="s">
        <v>64</v>
      </c>
      <c r="R630" s="4">
        <v>43</v>
      </c>
      <c r="S630" s="6">
        <v>26</v>
      </c>
      <c r="T630" s="6">
        <v>0</v>
      </c>
      <c r="U630" s="6">
        <v>0</v>
      </c>
      <c r="V630" s="6">
        <f>IF(ISERROR(VLOOKUP($S$630,'TAR FIN'!$A$1:$O$104,15,0)),0,VLOOKUP($S$630,'TAR FIN'!$A$1:$O$104,15,0))</f>
        <v>25.64</v>
      </c>
      <c r="W630" s="6">
        <f>IF(ISERROR(VLOOKUP($T$630,'TAR FIN'!$A$1:$O$104,15,0)),0,VLOOKUP($T$630,'TAR FIN'!$A$1:$O$104,15,0))</f>
        <v>0</v>
      </c>
      <c r="X630" s="6">
        <f>IF(ISERROR(VLOOKUP($U$630,'TAR FIN'!$A$1:$O$104,15,0)),0,VLOOKUP($U$630,'TAR FIN'!$A$1:$O$104,15,0))</f>
        <v>0</v>
      </c>
      <c r="Y630" s="6">
        <f ca="1">('TUSD BE'!$AM$17+'TUSD BF'!$AM$17+'TUSD CVA'!$AM$17)*1</f>
        <v>27.749673905241721</v>
      </c>
      <c r="Z630" s="6">
        <f ca="1">('TUSD BE'!$AM$19+'TUSD BF'!$AM$19+'TUSD CVA'!$AM$19)*1</f>
        <v>13.739448006852705</v>
      </c>
      <c r="AA630" s="6"/>
      <c r="AB630" s="6">
        <f>$K$630*$V$630</f>
        <v>178223.64</v>
      </c>
      <c r="AC630" s="6">
        <f>$M$630*$W$630</f>
        <v>0</v>
      </c>
      <c r="AD630" s="6">
        <f>$O$630*$X$630</f>
        <v>0</v>
      </c>
      <c r="AE630" s="6">
        <f ca="1">$K$630*$Y$630</f>
        <v>192887.98331533521</v>
      </c>
      <c r="AF630" s="6">
        <f ca="1">$M$630*$Z$630</f>
        <v>0</v>
      </c>
      <c r="AG630" s="6">
        <f>$O$630*$AA$630</f>
        <v>0</v>
      </c>
    </row>
    <row r="631" spans="1:33" ht="11.25" customHeight="1" x14ac:dyDescent="0.25">
      <c r="A631" s="4" t="s">
        <v>21</v>
      </c>
      <c r="B631" s="4" t="s">
        <v>41</v>
      </c>
      <c r="C631" s="4" t="s">
        <v>62</v>
      </c>
      <c r="D631" s="4" t="s">
        <v>25</v>
      </c>
      <c r="E631" s="4" t="s">
        <v>25</v>
      </c>
      <c r="F631" s="4" t="s">
        <v>25</v>
      </c>
      <c r="G631" s="4" t="s">
        <v>65</v>
      </c>
      <c r="H631" s="4" t="s">
        <v>34</v>
      </c>
      <c r="I631" s="5">
        <v>44562</v>
      </c>
      <c r="J631" s="6">
        <v>2728</v>
      </c>
      <c r="K631" s="6">
        <v>2728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4" t="s">
        <v>64</v>
      </c>
      <c r="R631" s="4">
        <v>6611</v>
      </c>
      <c r="S631" s="6">
        <v>32</v>
      </c>
      <c r="T631" s="6">
        <v>0</v>
      </c>
      <c r="U631" s="6">
        <v>0</v>
      </c>
      <c r="V631" s="6">
        <f>IF(ISERROR(VLOOKUP($S$631,'TAR FIN'!$A$1:$O$104,15,0)),0,VLOOKUP($S$631,'TAR FIN'!$A$1:$O$104,15,0))</f>
        <v>25.64</v>
      </c>
      <c r="W631" s="6">
        <f>IF(ISERROR(VLOOKUP($T$631,'TAR FIN'!$A$1:$O$104,15,0)),0,VLOOKUP($T$631,'TAR FIN'!$A$1:$O$104,15,0))</f>
        <v>0</v>
      </c>
      <c r="X631" s="6">
        <f>IF(ISERROR(VLOOKUP($U$631,'TAR FIN'!$A$1:$O$104,15,0)),0,VLOOKUP($U$631,'TAR FIN'!$A$1:$O$104,15,0))</f>
        <v>0</v>
      </c>
      <c r="Y631" s="6">
        <f ca="1">('TUSD BE'!$AM$20+'TUSD BF'!$AM$20+'TUSD CVA'!$AM$20)*1</f>
        <v>27.749673905241721</v>
      </c>
      <c r="Z631" s="6">
        <f ca="1">('TUSD BE'!$AM$22+'TUSD BF'!$AM$22+'TUSD CVA'!$AM$22)*1</f>
        <v>13.739448006852705</v>
      </c>
      <c r="AA631" s="6"/>
      <c r="AB631" s="6">
        <f>$K$631*$V$631</f>
        <v>69945.919999999998</v>
      </c>
      <c r="AC631" s="6">
        <f>$M$631*$W$631</f>
        <v>0</v>
      </c>
      <c r="AD631" s="6">
        <f>$O$631*$X$631</f>
        <v>0</v>
      </c>
      <c r="AE631" s="6">
        <f ca="1">$K$631*$Y$631</f>
        <v>75701.110413499409</v>
      </c>
      <c r="AF631" s="6">
        <f ca="1">$M$631*$Z$631</f>
        <v>0</v>
      </c>
      <c r="AG631" s="6">
        <f>$O$631*$AA$631</f>
        <v>0</v>
      </c>
    </row>
    <row r="632" spans="1:33" ht="11.25" customHeight="1" x14ac:dyDescent="0.25">
      <c r="A632" s="4" t="s">
        <v>21</v>
      </c>
      <c r="B632" s="4" t="s">
        <v>41</v>
      </c>
      <c r="C632" s="4" t="s">
        <v>62</v>
      </c>
      <c r="D632" s="4" t="s">
        <v>25</v>
      </c>
      <c r="E632" s="4" t="s">
        <v>25</v>
      </c>
      <c r="F632" s="4" t="s">
        <v>25</v>
      </c>
      <c r="G632" s="4" t="s">
        <v>63</v>
      </c>
      <c r="H632" s="4" t="s">
        <v>34</v>
      </c>
      <c r="I632" s="5">
        <v>44593</v>
      </c>
      <c r="J632" s="6">
        <v>6951</v>
      </c>
      <c r="K632" s="6">
        <v>6951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4" t="s">
        <v>64</v>
      </c>
      <c r="R632" s="4">
        <v>43</v>
      </c>
      <c r="S632" s="6">
        <v>26</v>
      </c>
      <c r="T632" s="6">
        <v>0</v>
      </c>
      <c r="U632" s="6">
        <v>0</v>
      </c>
      <c r="V632" s="6">
        <f>IF(ISERROR(VLOOKUP($S$632,'TAR FIN'!$A$1:$O$104,15,0)),0,VLOOKUP($S$632,'TAR FIN'!$A$1:$O$104,15,0))</f>
        <v>25.64</v>
      </c>
      <c r="W632" s="6">
        <f>IF(ISERROR(VLOOKUP($T$632,'TAR FIN'!$A$1:$O$104,15,0)),0,VLOOKUP($T$632,'TAR FIN'!$A$1:$O$104,15,0))</f>
        <v>0</v>
      </c>
      <c r="X632" s="6">
        <f>IF(ISERROR(VLOOKUP($U$632,'TAR FIN'!$A$1:$O$104,15,0)),0,VLOOKUP($U$632,'TAR FIN'!$A$1:$O$104,15,0))</f>
        <v>0</v>
      </c>
      <c r="Y632" s="6">
        <f ca="1">('TUSD BE'!$AM$17+'TUSD BF'!$AM$17+'TUSD CVA'!$AM$17)*1</f>
        <v>27.749673905241721</v>
      </c>
      <c r="Z632" s="6">
        <f ca="1">('TUSD BE'!$AM$19+'TUSD BF'!$AM$19+'TUSD CVA'!$AM$19)*1</f>
        <v>13.739448006852705</v>
      </c>
      <c r="AA632" s="6"/>
      <c r="AB632" s="6">
        <f>$K$632*$V$632</f>
        <v>178223.64</v>
      </c>
      <c r="AC632" s="6">
        <f>$M$632*$W$632</f>
        <v>0</v>
      </c>
      <c r="AD632" s="6">
        <f>$O$632*$X$632</f>
        <v>0</v>
      </c>
      <c r="AE632" s="6">
        <f ca="1">$K$632*$Y$632</f>
        <v>192887.98331533521</v>
      </c>
      <c r="AF632" s="6">
        <f ca="1">$M$632*$Z$632</f>
        <v>0</v>
      </c>
      <c r="AG632" s="6">
        <f>$O$632*$AA$632</f>
        <v>0</v>
      </c>
    </row>
    <row r="633" spans="1:33" ht="11.25" customHeight="1" x14ac:dyDescent="0.25">
      <c r="A633" s="4" t="s">
        <v>21</v>
      </c>
      <c r="B633" s="4" t="s">
        <v>41</v>
      </c>
      <c r="C633" s="4" t="s">
        <v>62</v>
      </c>
      <c r="D633" s="4" t="s">
        <v>25</v>
      </c>
      <c r="E633" s="4" t="s">
        <v>25</v>
      </c>
      <c r="F633" s="4" t="s">
        <v>25</v>
      </c>
      <c r="G633" s="4" t="s">
        <v>65</v>
      </c>
      <c r="H633" s="4" t="s">
        <v>34</v>
      </c>
      <c r="I633" s="5">
        <v>44593</v>
      </c>
      <c r="J633" s="6">
        <v>2420</v>
      </c>
      <c r="K633" s="6">
        <v>2420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4" t="s">
        <v>64</v>
      </c>
      <c r="R633" s="4">
        <v>6611</v>
      </c>
      <c r="S633" s="6">
        <v>32</v>
      </c>
      <c r="T633" s="6">
        <v>0</v>
      </c>
      <c r="U633" s="6">
        <v>0</v>
      </c>
      <c r="V633" s="6">
        <f>IF(ISERROR(VLOOKUP($S$633,'TAR FIN'!$A$1:$O$104,15,0)),0,VLOOKUP($S$633,'TAR FIN'!$A$1:$O$104,15,0))</f>
        <v>25.64</v>
      </c>
      <c r="W633" s="6">
        <f>IF(ISERROR(VLOOKUP($T$633,'TAR FIN'!$A$1:$O$104,15,0)),0,VLOOKUP($T$633,'TAR FIN'!$A$1:$O$104,15,0))</f>
        <v>0</v>
      </c>
      <c r="X633" s="6">
        <f>IF(ISERROR(VLOOKUP($U$633,'TAR FIN'!$A$1:$O$104,15,0)),0,VLOOKUP($U$633,'TAR FIN'!$A$1:$O$104,15,0))</f>
        <v>0</v>
      </c>
      <c r="Y633" s="6">
        <f ca="1">('TUSD BE'!$AM$20+'TUSD BF'!$AM$20+'TUSD CVA'!$AM$20)*1</f>
        <v>27.749673905241721</v>
      </c>
      <c r="Z633" s="6">
        <f ca="1">('TUSD BE'!$AM$22+'TUSD BF'!$AM$22+'TUSD CVA'!$AM$22)*1</f>
        <v>13.739448006852705</v>
      </c>
      <c r="AA633" s="6"/>
      <c r="AB633" s="6">
        <f>$K$633*$V$633</f>
        <v>62048.800000000003</v>
      </c>
      <c r="AC633" s="6">
        <f>$M$633*$W$633</f>
        <v>0</v>
      </c>
      <c r="AD633" s="6">
        <f>$O$633*$X$633</f>
        <v>0</v>
      </c>
      <c r="AE633" s="6">
        <f ca="1">$K$633*$Y$633</f>
        <v>67154.210850684962</v>
      </c>
      <c r="AF633" s="6">
        <f ca="1">$M$633*$Z$633</f>
        <v>0</v>
      </c>
      <c r="AG633" s="6">
        <f>$O$633*$AA$633</f>
        <v>0</v>
      </c>
    </row>
    <row r="634" spans="1:33" ht="11.25" customHeight="1" x14ac:dyDescent="0.25">
      <c r="A634" s="4" t="s">
        <v>21</v>
      </c>
      <c r="B634" s="4" t="s">
        <v>41</v>
      </c>
      <c r="C634" s="4" t="s">
        <v>62</v>
      </c>
      <c r="D634" s="4" t="s">
        <v>25</v>
      </c>
      <c r="E634" s="4" t="s">
        <v>25</v>
      </c>
      <c r="F634" s="4" t="s">
        <v>25</v>
      </c>
      <c r="G634" s="4" t="s">
        <v>63</v>
      </c>
      <c r="H634" s="4" t="s">
        <v>34</v>
      </c>
      <c r="I634" s="5">
        <v>44621</v>
      </c>
      <c r="J634" s="6">
        <v>6951</v>
      </c>
      <c r="K634" s="6">
        <v>6951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4" t="s">
        <v>64</v>
      </c>
      <c r="R634" s="4">
        <v>43</v>
      </c>
      <c r="S634" s="6">
        <v>26</v>
      </c>
      <c r="T634" s="6">
        <v>0</v>
      </c>
      <c r="U634" s="6">
        <v>0</v>
      </c>
      <c r="V634" s="6">
        <f>IF(ISERROR(VLOOKUP($S$634,'TAR FIN'!$A$1:$O$104,15,0)),0,VLOOKUP($S$634,'TAR FIN'!$A$1:$O$104,15,0))</f>
        <v>25.64</v>
      </c>
      <c r="W634" s="6">
        <f>IF(ISERROR(VLOOKUP($T$634,'TAR FIN'!$A$1:$O$104,15,0)),0,VLOOKUP($T$634,'TAR FIN'!$A$1:$O$104,15,0))</f>
        <v>0</v>
      </c>
      <c r="X634" s="6">
        <f>IF(ISERROR(VLOOKUP($U$634,'TAR FIN'!$A$1:$O$104,15,0)),0,VLOOKUP($U$634,'TAR FIN'!$A$1:$O$104,15,0))</f>
        <v>0</v>
      </c>
      <c r="Y634" s="6">
        <f ca="1">('TUSD BE'!$AM$17+'TUSD BF'!$AM$17+'TUSD CVA'!$AM$17)*1</f>
        <v>27.749673905241721</v>
      </c>
      <c r="Z634" s="6">
        <f ca="1">('TUSD BE'!$AM$19+'TUSD BF'!$AM$19+'TUSD CVA'!$AM$19)*1</f>
        <v>13.739448006852705</v>
      </c>
      <c r="AA634" s="6"/>
      <c r="AB634" s="6">
        <f>$K$634*$V$634</f>
        <v>178223.64</v>
      </c>
      <c r="AC634" s="6">
        <f>$M$634*$W$634</f>
        <v>0</v>
      </c>
      <c r="AD634" s="6">
        <f>$O$634*$X$634</f>
        <v>0</v>
      </c>
      <c r="AE634" s="6">
        <f ca="1">$K$634*$Y$634</f>
        <v>192887.98331533521</v>
      </c>
      <c r="AF634" s="6">
        <f ca="1">$M$634*$Z$634</f>
        <v>0</v>
      </c>
      <c r="AG634" s="6">
        <f>$O$634*$AA$634</f>
        <v>0</v>
      </c>
    </row>
    <row r="635" spans="1:33" ht="11.25" customHeight="1" x14ac:dyDescent="0.25">
      <c r="A635" s="4" t="s">
        <v>21</v>
      </c>
      <c r="B635" s="4" t="s">
        <v>41</v>
      </c>
      <c r="C635" s="4" t="s">
        <v>62</v>
      </c>
      <c r="D635" s="4" t="s">
        <v>25</v>
      </c>
      <c r="E635" s="4" t="s">
        <v>25</v>
      </c>
      <c r="F635" s="4" t="s">
        <v>25</v>
      </c>
      <c r="G635" s="4" t="s">
        <v>65</v>
      </c>
      <c r="H635" s="4" t="s">
        <v>34</v>
      </c>
      <c r="I635" s="5">
        <v>44621</v>
      </c>
      <c r="J635" s="6">
        <v>2452</v>
      </c>
      <c r="K635" s="6">
        <v>2452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4" t="s">
        <v>64</v>
      </c>
      <c r="R635" s="4">
        <v>6611</v>
      </c>
      <c r="S635" s="6">
        <v>32</v>
      </c>
      <c r="T635" s="6">
        <v>0</v>
      </c>
      <c r="U635" s="6">
        <v>0</v>
      </c>
      <c r="V635" s="6">
        <f>IF(ISERROR(VLOOKUP($S$635,'TAR FIN'!$A$1:$O$104,15,0)),0,VLOOKUP($S$635,'TAR FIN'!$A$1:$O$104,15,0))</f>
        <v>25.64</v>
      </c>
      <c r="W635" s="6">
        <f>IF(ISERROR(VLOOKUP($T$635,'TAR FIN'!$A$1:$O$104,15,0)),0,VLOOKUP($T$635,'TAR FIN'!$A$1:$O$104,15,0))</f>
        <v>0</v>
      </c>
      <c r="X635" s="6">
        <f>IF(ISERROR(VLOOKUP($U$635,'TAR FIN'!$A$1:$O$104,15,0)),0,VLOOKUP($U$635,'TAR FIN'!$A$1:$O$104,15,0))</f>
        <v>0</v>
      </c>
      <c r="Y635" s="6">
        <f ca="1">('TUSD BE'!$AM$20+'TUSD BF'!$AM$20+'TUSD CVA'!$AM$20)*1</f>
        <v>27.749673905241721</v>
      </c>
      <c r="Z635" s="6">
        <f ca="1">('TUSD BE'!$AM$22+'TUSD BF'!$AM$22+'TUSD CVA'!$AM$22)*1</f>
        <v>13.739448006852705</v>
      </c>
      <c r="AA635" s="6"/>
      <c r="AB635" s="6">
        <f>$K$635*$V$635</f>
        <v>62869.279999999999</v>
      </c>
      <c r="AC635" s="6">
        <f>$M$635*$W$635</f>
        <v>0</v>
      </c>
      <c r="AD635" s="6">
        <f>$O$635*$X$635</f>
        <v>0</v>
      </c>
      <c r="AE635" s="6">
        <f ca="1">$K$635*$Y$635</f>
        <v>68042.200415652696</v>
      </c>
      <c r="AF635" s="6">
        <f ca="1">$M$635*$Z$635</f>
        <v>0</v>
      </c>
      <c r="AG635" s="6">
        <f>$O$635*$AA$635</f>
        <v>0</v>
      </c>
    </row>
    <row r="636" spans="1:33" ht="11.25" customHeight="1" x14ac:dyDescent="0.25">
      <c r="A636" s="4" t="s">
        <v>21</v>
      </c>
      <c r="B636" s="4" t="s">
        <v>41</v>
      </c>
      <c r="C636" s="4" t="s">
        <v>62</v>
      </c>
      <c r="D636" s="4" t="s">
        <v>25</v>
      </c>
      <c r="E636" s="4" t="s">
        <v>25</v>
      </c>
      <c r="F636" s="4" t="s">
        <v>25</v>
      </c>
      <c r="G636" s="4" t="s">
        <v>63</v>
      </c>
      <c r="H636" s="4" t="s">
        <v>34</v>
      </c>
      <c r="I636" s="5">
        <v>44652</v>
      </c>
      <c r="J636" s="6">
        <v>6951</v>
      </c>
      <c r="K636" s="6">
        <v>6951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4" t="s">
        <v>64</v>
      </c>
      <c r="R636" s="4">
        <v>43</v>
      </c>
      <c r="S636" s="6">
        <v>26</v>
      </c>
      <c r="T636" s="6">
        <v>0</v>
      </c>
      <c r="U636" s="6">
        <v>0</v>
      </c>
      <c r="V636" s="6">
        <f>IF(ISERROR(VLOOKUP($S$636,'TAR FIN'!$A$1:$O$104,15,0)),0,VLOOKUP($S$636,'TAR FIN'!$A$1:$O$104,15,0))</f>
        <v>25.64</v>
      </c>
      <c r="W636" s="6">
        <f>IF(ISERROR(VLOOKUP($T$636,'TAR FIN'!$A$1:$O$104,15,0)),0,VLOOKUP($T$636,'TAR FIN'!$A$1:$O$104,15,0))</f>
        <v>0</v>
      </c>
      <c r="X636" s="6">
        <f>IF(ISERROR(VLOOKUP($U$636,'TAR FIN'!$A$1:$O$104,15,0)),0,VLOOKUP($U$636,'TAR FIN'!$A$1:$O$104,15,0))</f>
        <v>0</v>
      </c>
      <c r="Y636" s="6">
        <f ca="1">('TUSD BE'!$AM$17+'TUSD BF'!$AM$17+'TUSD CVA'!$AM$17)*1</f>
        <v>27.749673905241721</v>
      </c>
      <c r="Z636" s="6">
        <f ca="1">('TUSD BE'!$AM$19+'TUSD BF'!$AM$19+'TUSD CVA'!$AM$19)*1</f>
        <v>13.739448006852705</v>
      </c>
      <c r="AA636" s="6"/>
      <c r="AB636" s="6">
        <f>$K$636*$V$636</f>
        <v>178223.64</v>
      </c>
      <c r="AC636" s="6">
        <f>$M$636*$W$636</f>
        <v>0</v>
      </c>
      <c r="AD636" s="6">
        <f>$O$636*$X$636</f>
        <v>0</v>
      </c>
      <c r="AE636" s="6">
        <f ca="1">$K$636*$Y$636</f>
        <v>192887.98331533521</v>
      </c>
      <c r="AF636" s="6">
        <f ca="1">$M$636*$Z$636</f>
        <v>0</v>
      </c>
      <c r="AG636" s="6">
        <f>$O$636*$AA$636</f>
        <v>0</v>
      </c>
    </row>
    <row r="637" spans="1:33" ht="11.25" customHeight="1" x14ac:dyDescent="0.25">
      <c r="A637" s="4" t="s">
        <v>21</v>
      </c>
      <c r="B637" s="4" t="s">
        <v>41</v>
      </c>
      <c r="C637" s="4" t="s">
        <v>62</v>
      </c>
      <c r="D637" s="4" t="s">
        <v>25</v>
      </c>
      <c r="E637" s="4" t="s">
        <v>25</v>
      </c>
      <c r="F637" s="4" t="s">
        <v>25</v>
      </c>
      <c r="G637" s="4" t="s">
        <v>65</v>
      </c>
      <c r="H637" s="4" t="s">
        <v>34</v>
      </c>
      <c r="I637" s="5">
        <v>44652</v>
      </c>
      <c r="J637" s="6">
        <v>2460</v>
      </c>
      <c r="K637" s="6">
        <v>2460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4" t="s">
        <v>64</v>
      </c>
      <c r="R637" s="4">
        <v>6611</v>
      </c>
      <c r="S637" s="6">
        <v>32</v>
      </c>
      <c r="T637" s="6">
        <v>0</v>
      </c>
      <c r="U637" s="6">
        <v>0</v>
      </c>
      <c r="V637" s="6">
        <f>IF(ISERROR(VLOOKUP($S$637,'TAR FIN'!$A$1:$O$104,15,0)),0,VLOOKUP($S$637,'TAR FIN'!$A$1:$O$104,15,0))</f>
        <v>25.64</v>
      </c>
      <c r="W637" s="6">
        <f>IF(ISERROR(VLOOKUP($T$637,'TAR FIN'!$A$1:$O$104,15,0)),0,VLOOKUP($T$637,'TAR FIN'!$A$1:$O$104,15,0))</f>
        <v>0</v>
      </c>
      <c r="X637" s="6">
        <f>IF(ISERROR(VLOOKUP($U$637,'TAR FIN'!$A$1:$O$104,15,0)),0,VLOOKUP($U$637,'TAR FIN'!$A$1:$O$104,15,0))</f>
        <v>0</v>
      </c>
      <c r="Y637" s="6">
        <f ca="1">('TUSD BE'!$AM$20+'TUSD BF'!$AM$20+'TUSD CVA'!$AM$20)*1</f>
        <v>27.749673905241721</v>
      </c>
      <c r="Z637" s="6">
        <f ca="1">('TUSD BE'!$AM$22+'TUSD BF'!$AM$22+'TUSD CVA'!$AM$22)*1</f>
        <v>13.739448006852705</v>
      </c>
      <c r="AA637" s="6"/>
      <c r="AB637" s="6">
        <f>$K$637*$V$637</f>
        <v>63074.400000000001</v>
      </c>
      <c r="AC637" s="6">
        <f>$M$637*$W$637</f>
        <v>0</v>
      </c>
      <c r="AD637" s="6">
        <f>$O$637*$X$637</f>
        <v>0</v>
      </c>
      <c r="AE637" s="6">
        <f ca="1">$K$637*$Y$637</f>
        <v>68264.197806894634</v>
      </c>
      <c r="AF637" s="6">
        <f ca="1">$M$637*$Z$637</f>
        <v>0</v>
      </c>
      <c r="AG637" s="6">
        <f>$O$637*$AA$637</f>
        <v>0</v>
      </c>
    </row>
    <row r="638" spans="1:33" ht="11.25" customHeight="1" x14ac:dyDescent="0.25">
      <c r="A638" s="4" t="s">
        <v>21</v>
      </c>
      <c r="B638" s="4" t="s">
        <v>41</v>
      </c>
      <c r="C638" s="4" t="s">
        <v>62</v>
      </c>
      <c r="D638" s="4" t="s">
        <v>25</v>
      </c>
      <c r="E638" s="4" t="s">
        <v>25</v>
      </c>
      <c r="F638" s="4" t="s">
        <v>25</v>
      </c>
      <c r="G638" s="4" t="s">
        <v>63</v>
      </c>
      <c r="H638" s="4" t="s">
        <v>34</v>
      </c>
      <c r="I638" s="5">
        <v>44682</v>
      </c>
      <c r="J638" s="6">
        <v>6951</v>
      </c>
      <c r="K638" s="6">
        <v>6951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4" t="s">
        <v>64</v>
      </c>
      <c r="R638" s="4">
        <v>43</v>
      </c>
      <c r="S638" s="6">
        <v>26</v>
      </c>
      <c r="T638" s="6">
        <v>0</v>
      </c>
      <c r="U638" s="6">
        <v>0</v>
      </c>
      <c r="V638" s="6">
        <f>IF(ISERROR(VLOOKUP($S$638,'TAR FIN'!$A$1:$O$104,15,0)),0,VLOOKUP($S$638,'TAR FIN'!$A$1:$O$104,15,0))</f>
        <v>25.64</v>
      </c>
      <c r="W638" s="6">
        <f>IF(ISERROR(VLOOKUP($T$638,'TAR FIN'!$A$1:$O$104,15,0)),0,VLOOKUP($T$638,'TAR FIN'!$A$1:$O$104,15,0))</f>
        <v>0</v>
      </c>
      <c r="X638" s="6">
        <f>IF(ISERROR(VLOOKUP($U$638,'TAR FIN'!$A$1:$O$104,15,0)),0,VLOOKUP($U$638,'TAR FIN'!$A$1:$O$104,15,0))</f>
        <v>0</v>
      </c>
      <c r="Y638" s="6">
        <f ca="1">('TUSD BE'!$AM$17+'TUSD BF'!$AM$17+'TUSD CVA'!$AM$17)*1</f>
        <v>27.749673905241721</v>
      </c>
      <c r="Z638" s="6">
        <f ca="1">('TUSD BE'!$AM$19+'TUSD BF'!$AM$19+'TUSD CVA'!$AM$19)*1</f>
        <v>13.739448006852705</v>
      </c>
      <c r="AA638" s="6"/>
      <c r="AB638" s="6">
        <f>$K$638*$V$638</f>
        <v>178223.64</v>
      </c>
      <c r="AC638" s="6">
        <f>$M$638*$W$638</f>
        <v>0</v>
      </c>
      <c r="AD638" s="6">
        <f>$O$638*$X$638</f>
        <v>0</v>
      </c>
      <c r="AE638" s="6">
        <f ca="1">$K$638*$Y$638</f>
        <v>192887.98331533521</v>
      </c>
      <c r="AF638" s="6">
        <f ca="1">$M$638*$Z$638</f>
        <v>0</v>
      </c>
      <c r="AG638" s="6">
        <f>$O$638*$AA$638</f>
        <v>0</v>
      </c>
    </row>
    <row r="639" spans="1:33" ht="11.25" customHeight="1" x14ac:dyDescent="0.25">
      <c r="A639" s="4" t="s">
        <v>21</v>
      </c>
      <c r="B639" s="4" t="s">
        <v>41</v>
      </c>
      <c r="C639" s="4" t="s">
        <v>62</v>
      </c>
      <c r="D639" s="4" t="s">
        <v>25</v>
      </c>
      <c r="E639" s="4" t="s">
        <v>25</v>
      </c>
      <c r="F639" s="4" t="s">
        <v>25</v>
      </c>
      <c r="G639" s="4" t="s">
        <v>65</v>
      </c>
      <c r="H639" s="4" t="s">
        <v>34</v>
      </c>
      <c r="I639" s="5">
        <v>44682</v>
      </c>
      <c r="J639" s="6">
        <v>2780</v>
      </c>
      <c r="K639" s="6">
        <v>2780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4" t="s">
        <v>64</v>
      </c>
      <c r="R639" s="4">
        <v>6611</v>
      </c>
      <c r="S639" s="6">
        <v>32</v>
      </c>
      <c r="T639" s="6">
        <v>0</v>
      </c>
      <c r="U639" s="6">
        <v>0</v>
      </c>
      <c r="V639" s="6">
        <f>IF(ISERROR(VLOOKUP($S$639,'TAR FIN'!$A$1:$O$104,15,0)),0,VLOOKUP($S$639,'TAR FIN'!$A$1:$O$104,15,0))</f>
        <v>25.64</v>
      </c>
      <c r="W639" s="6">
        <f>IF(ISERROR(VLOOKUP($T$639,'TAR FIN'!$A$1:$O$104,15,0)),0,VLOOKUP($T$639,'TAR FIN'!$A$1:$O$104,15,0))</f>
        <v>0</v>
      </c>
      <c r="X639" s="6">
        <f>IF(ISERROR(VLOOKUP($U$639,'TAR FIN'!$A$1:$O$104,15,0)),0,VLOOKUP($U$639,'TAR FIN'!$A$1:$O$104,15,0))</f>
        <v>0</v>
      </c>
      <c r="Y639" s="6">
        <f ca="1">('TUSD BE'!$AM$20+'TUSD BF'!$AM$20+'TUSD CVA'!$AM$20)*1</f>
        <v>27.749673905241721</v>
      </c>
      <c r="Z639" s="6">
        <f ca="1">('TUSD BE'!$AM$22+'TUSD BF'!$AM$22+'TUSD CVA'!$AM$22)*1</f>
        <v>13.739448006852705</v>
      </c>
      <c r="AA639" s="6"/>
      <c r="AB639" s="6">
        <f>$K$639*$V$639</f>
        <v>71279.199999999997</v>
      </c>
      <c r="AC639" s="6">
        <f>$M$639*$W$639</f>
        <v>0</v>
      </c>
      <c r="AD639" s="6">
        <f>$O$639*$X$639</f>
        <v>0</v>
      </c>
      <c r="AE639" s="6">
        <f ca="1">$K$639*$Y$639</f>
        <v>77144.09345657198</v>
      </c>
      <c r="AF639" s="6">
        <f ca="1">$M$639*$Z$639</f>
        <v>0</v>
      </c>
      <c r="AG639" s="6">
        <f>$O$639*$AA$639</f>
        <v>0</v>
      </c>
    </row>
    <row r="640" spans="1:33" ht="11.25" customHeight="1" x14ac:dyDescent="0.25">
      <c r="A640" s="4" t="s">
        <v>21</v>
      </c>
      <c r="B640" s="4" t="s">
        <v>41</v>
      </c>
      <c r="C640" s="4" t="s">
        <v>62</v>
      </c>
      <c r="D640" s="4" t="s">
        <v>25</v>
      </c>
      <c r="E640" s="4" t="s">
        <v>25</v>
      </c>
      <c r="F640" s="4" t="s">
        <v>25</v>
      </c>
      <c r="G640" s="4" t="s">
        <v>63</v>
      </c>
      <c r="H640" s="4" t="s">
        <v>34</v>
      </c>
      <c r="I640" s="5">
        <v>44713</v>
      </c>
      <c r="J640" s="6">
        <v>7031</v>
      </c>
      <c r="K640" s="6">
        <v>7031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4" t="s">
        <v>64</v>
      </c>
      <c r="R640" s="4">
        <v>43</v>
      </c>
      <c r="S640" s="6">
        <v>26</v>
      </c>
      <c r="T640" s="6">
        <v>0</v>
      </c>
      <c r="U640" s="6">
        <v>0</v>
      </c>
      <c r="V640" s="6">
        <f>IF(ISERROR(VLOOKUP($S$640,'TAR FIN'!$A$1:$O$104,15,0)),0,VLOOKUP($S$640,'TAR FIN'!$A$1:$O$104,15,0))</f>
        <v>25.64</v>
      </c>
      <c r="W640" s="6">
        <f>IF(ISERROR(VLOOKUP($T$640,'TAR FIN'!$A$1:$O$104,15,0)),0,VLOOKUP($T$640,'TAR FIN'!$A$1:$O$104,15,0))</f>
        <v>0</v>
      </c>
      <c r="X640" s="6">
        <f>IF(ISERROR(VLOOKUP($U$640,'TAR FIN'!$A$1:$O$104,15,0)),0,VLOOKUP($U$640,'TAR FIN'!$A$1:$O$104,15,0))</f>
        <v>0</v>
      </c>
      <c r="Y640" s="6">
        <f ca="1">('TUSD BE'!$AM$17+'TUSD BF'!$AM$17+'TUSD CVA'!$AM$17)*1</f>
        <v>27.749673905241721</v>
      </c>
      <c r="Z640" s="6">
        <f ca="1">('TUSD BE'!$AM$19+'TUSD BF'!$AM$19+'TUSD CVA'!$AM$19)*1</f>
        <v>13.739448006852705</v>
      </c>
      <c r="AA640" s="6"/>
      <c r="AB640" s="6">
        <f>$K$640*$V$640</f>
        <v>180274.84</v>
      </c>
      <c r="AC640" s="6">
        <f>$M$640*$W$640</f>
        <v>0</v>
      </c>
      <c r="AD640" s="6">
        <f>$O$640*$X$640</f>
        <v>0</v>
      </c>
      <c r="AE640" s="6">
        <f ca="1">$K$640*$Y$640</f>
        <v>195107.95722775455</v>
      </c>
      <c r="AF640" s="6">
        <f ca="1">$M$640*$Z$640</f>
        <v>0</v>
      </c>
      <c r="AG640" s="6">
        <f>$O$640*$AA$640</f>
        <v>0</v>
      </c>
    </row>
    <row r="641" spans="1:33" ht="11.25" customHeight="1" x14ac:dyDescent="0.25">
      <c r="A641" s="4" t="s">
        <v>21</v>
      </c>
      <c r="B641" s="4" t="s">
        <v>41</v>
      </c>
      <c r="C641" s="4" t="s">
        <v>62</v>
      </c>
      <c r="D641" s="4" t="s">
        <v>25</v>
      </c>
      <c r="E641" s="4" t="s">
        <v>25</v>
      </c>
      <c r="F641" s="4" t="s">
        <v>25</v>
      </c>
      <c r="G641" s="4" t="s">
        <v>65</v>
      </c>
      <c r="H641" s="4" t="s">
        <v>34</v>
      </c>
      <c r="I641" s="5">
        <v>44713</v>
      </c>
      <c r="J641" s="6">
        <v>2544</v>
      </c>
      <c r="K641" s="6">
        <v>2544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4" t="s">
        <v>64</v>
      </c>
      <c r="R641" s="4">
        <v>6611</v>
      </c>
      <c r="S641" s="6">
        <v>32</v>
      </c>
      <c r="T641" s="6">
        <v>0</v>
      </c>
      <c r="U641" s="6">
        <v>0</v>
      </c>
      <c r="V641" s="6">
        <f>IF(ISERROR(VLOOKUP($S$641,'TAR FIN'!$A$1:$O$104,15,0)),0,VLOOKUP($S$641,'TAR FIN'!$A$1:$O$104,15,0))</f>
        <v>25.64</v>
      </c>
      <c r="W641" s="6">
        <f>IF(ISERROR(VLOOKUP($T$641,'TAR FIN'!$A$1:$O$104,15,0)),0,VLOOKUP($T$641,'TAR FIN'!$A$1:$O$104,15,0))</f>
        <v>0</v>
      </c>
      <c r="X641" s="6">
        <f>IF(ISERROR(VLOOKUP($U$641,'TAR FIN'!$A$1:$O$104,15,0)),0,VLOOKUP($U$641,'TAR FIN'!$A$1:$O$104,15,0))</f>
        <v>0</v>
      </c>
      <c r="Y641" s="6">
        <f ca="1">('TUSD BE'!$AM$20+'TUSD BF'!$AM$20+'TUSD CVA'!$AM$20)*1</f>
        <v>27.749673905241721</v>
      </c>
      <c r="Z641" s="6">
        <f ca="1">('TUSD BE'!$AM$22+'TUSD BF'!$AM$22+'TUSD CVA'!$AM$22)*1</f>
        <v>13.739448006852705</v>
      </c>
      <c r="AA641" s="6"/>
      <c r="AB641" s="6">
        <f>$K$641*$V$641</f>
        <v>65228.160000000003</v>
      </c>
      <c r="AC641" s="6">
        <f>$M$641*$W$641</f>
        <v>0</v>
      </c>
      <c r="AD641" s="6">
        <f>$O$641*$X$641</f>
        <v>0</v>
      </c>
      <c r="AE641" s="6">
        <f ca="1">$K$641*$Y$641</f>
        <v>70595.170414934939</v>
      </c>
      <c r="AF641" s="6">
        <f ca="1">$M$641*$Z$641</f>
        <v>0</v>
      </c>
      <c r="AG641" s="6">
        <f>$O$641*$AA$641</f>
        <v>0</v>
      </c>
    </row>
    <row r="642" spans="1:33" ht="11.25" customHeight="1" x14ac:dyDescent="0.25">
      <c r="A642" s="4" t="s">
        <v>57</v>
      </c>
      <c r="B642" s="4" t="s">
        <v>41</v>
      </c>
      <c r="C642" s="4" t="s">
        <v>62</v>
      </c>
      <c r="D642" s="4" t="s">
        <v>25</v>
      </c>
      <c r="E642" s="4" t="s">
        <v>25</v>
      </c>
      <c r="F642" s="4" t="s">
        <v>25</v>
      </c>
      <c r="G642" s="4" t="s">
        <v>63</v>
      </c>
      <c r="H642" s="4" t="s">
        <v>34</v>
      </c>
      <c r="I642" s="5">
        <v>44743</v>
      </c>
      <c r="J642" s="6">
        <v>7031</v>
      </c>
      <c r="K642" s="6">
        <v>7031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4" t="s">
        <v>64</v>
      </c>
      <c r="R642" s="4">
        <v>43</v>
      </c>
      <c r="S642" s="6">
        <v>26</v>
      </c>
      <c r="T642" s="6">
        <v>0</v>
      </c>
      <c r="U642" s="6">
        <v>0</v>
      </c>
      <c r="V642" s="6">
        <f>IF(ISERROR(VLOOKUP($S$642,'TAR FIN'!$A$1:$O$104,15,0)),0,VLOOKUP($S$642,'TAR FIN'!$A$1:$O$104,15,0))</f>
        <v>25.64</v>
      </c>
      <c r="W642" s="6">
        <f>IF(ISERROR(VLOOKUP($T$642,'TAR FIN'!$A$1:$O$104,15,0)),0,VLOOKUP($T$642,'TAR FIN'!$A$1:$O$104,15,0))</f>
        <v>0</v>
      </c>
      <c r="X642" s="6">
        <f>IF(ISERROR(VLOOKUP($U$642,'TAR FIN'!$A$1:$O$104,15,0)),0,VLOOKUP($U$642,'TAR FIN'!$A$1:$O$104,15,0))</f>
        <v>0</v>
      </c>
      <c r="Y642" s="6">
        <f ca="1">('TUSD BE'!$AM$17+'TUSD BF'!$AM$17+'TUSD CVA'!$AM$17)*1</f>
        <v>27.749673905241721</v>
      </c>
      <c r="Z642" s="6">
        <f ca="1">('TUSD BE'!$AM$19+'TUSD BF'!$AM$19+'TUSD CVA'!$AM$19)*1</f>
        <v>13.739448006852705</v>
      </c>
      <c r="AA642" s="6"/>
      <c r="AB642" s="6">
        <f>$K$642*$V$642</f>
        <v>180274.84</v>
      </c>
      <c r="AC642" s="6">
        <f>$M$642*$W$642</f>
        <v>0</v>
      </c>
      <c r="AD642" s="6">
        <f>$O$642*$X$642</f>
        <v>0</v>
      </c>
      <c r="AE642" s="6">
        <f ca="1">$K$642*$Y$642</f>
        <v>195107.95722775455</v>
      </c>
      <c r="AF642" s="6">
        <f ca="1">$M$642*$Z$642</f>
        <v>0</v>
      </c>
      <c r="AG642" s="6">
        <f>$O$642*$AA$642</f>
        <v>0</v>
      </c>
    </row>
    <row r="643" spans="1:33" ht="11.25" customHeight="1" x14ac:dyDescent="0.25">
      <c r="A643" s="4" t="s">
        <v>57</v>
      </c>
      <c r="B643" s="4" t="s">
        <v>41</v>
      </c>
      <c r="C643" s="4" t="s">
        <v>62</v>
      </c>
      <c r="D643" s="4" t="s">
        <v>25</v>
      </c>
      <c r="E643" s="4" t="s">
        <v>25</v>
      </c>
      <c r="F643" s="4" t="s">
        <v>25</v>
      </c>
      <c r="G643" s="4" t="s">
        <v>65</v>
      </c>
      <c r="H643" s="4" t="s">
        <v>34</v>
      </c>
      <c r="I643" s="5">
        <v>44743</v>
      </c>
      <c r="J643" s="6">
        <v>2544</v>
      </c>
      <c r="K643" s="6">
        <v>2544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4" t="s">
        <v>64</v>
      </c>
      <c r="R643" s="4">
        <v>6611</v>
      </c>
      <c r="S643" s="6">
        <v>32</v>
      </c>
      <c r="T643" s="6">
        <v>0</v>
      </c>
      <c r="U643" s="6">
        <v>0</v>
      </c>
      <c r="V643" s="6">
        <f>IF(ISERROR(VLOOKUP($S$643,'TAR FIN'!$A$1:$O$104,15,0)),0,VLOOKUP($S$643,'TAR FIN'!$A$1:$O$104,15,0))</f>
        <v>25.64</v>
      </c>
      <c r="W643" s="6">
        <f>IF(ISERROR(VLOOKUP($T$643,'TAR FIN'!$A$1:$O$104,15,0)),0,VLOOKUP($T$643,'TAR FIN'!$A$1:$O$104,15,0))</f>
        <v>0</v>
      </c>
      <c r="X643" s="6">
        <f>IF(ISERROR(VLOOKUP($U$643,'TAR FIN'!$A$1:$O$104,15,0)),0,VLOOKUP($U$643,'TAR FIN'!$A$1:$O$104,15,0))</f>
        <v>0</v>
      </c>
      <c r="Y643" s="6">
        <f ca="1">('TUSD BE'!$AM$20+'TUSD BF'!$AM$20+'TUSD CVA'!$AM$20)*1</f>
        <v>27.749673905241721</v>
      </c>
      <c r="Z643" s="6">
        <f ca="1">('TUSD BE'!$AM$22+'TUSD BF'!$AM$22+'TUSD CVA'!$AM$22)*1</f>
        <v>13.739448006852705</v>
      </c>
      <c r="AA643" s="6"/>
      <c r="AB643" s="6">
        <f>$K$643*$V$643</f>
        <v>65228.160000000003</v>
      </c>
      <c r="AC643" s="6">
        <f>$M$643*$W$643</f>
        <v>0</v>
      </c>
      <c r="AD643" s="6">
        <f>$O$643*$X$643</f>
        <v>0</v>
      </c>
      <c r="AE643" s="6">
        <f ca="1">$K$643*$Y$643</f>
        <v>70595.170414934939</v>
      </c>
      <c r="AF643" s="6">
        <f ca="1">$M$643*$Z$643</f>
        <v>0</v>
      </c>
      <c r="AG643" s="6">
        <f>$O$643*$AA$643</f>
        <v>0</v>
      </c>
    </row>
    <row r="644" spans="1:33" ht="11.25" customHeight="1" x14ac:dyDescent="0.25">
      <c r="A644" s="4" t="s">
        <v>21</v>
      </c>
      <c r="B644" s="4" t="s">
        <v>41</v>
      </c>
      <c r="C644" s="4" t="s">
        <v>66</v>
      </c>
      <c r="D644" s="4" t="s">
        <v>25</v>
      </c>
      <c r="E644" s="4" t="s">
        <v>25</v>
      </c>
      <c r="F644" s="4" t="s">
        <v>25</v>
      </c>
      <c r="G644" s="4" t="s">
        <v>72</v>
      </c>
      <c r="H644" s="4" t="s">
        <v>25</v>
      </c>
      <c r="I644" s="5">
        <v>44409</v>
      </c>
      <c r="J644" s="6">
        <v>4500</v>
      </c>
      <c r="K644" s="6">
        <v>2250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4" t="s">
        <v>68</v>
      </c>
      <c r="R644" s="4">
        <v>29075</v>
      </c>
      <c r="S644" s="6">
        <v>38</v>
      </c>
      <c r="T644" s="6">
        <v>0</v>
      </c>
      <c r="U644" s="6">
        <v>0</v>
      </c>
      <c r="V644" s="6">
        <f>IF(ISERROR(VLOOKUP($S$644,'TAR FIN'!$A$1:$O$104,15,0)),0,VLOOKUP($S$644,'TAR FIN'!$A$1:$O$104,15,0))</f>
        <v>14.41</v>
      </c>
      <c r="W644" s="6">
        <f>IF(ISERROR(VLOOKUP($T$644,'TAR FIN'!$A$1:$O$104,15,0)),0,VLOOKUP($T$644,'TAR FIN'!$A$1:$O$104,15,0))</f>
        <v>0</v>
      </c>
      <c r="X644" s="6">
        <f>IF(ISERROR(VLOOKUP($U$644,'TAR FIN'!$A$1:$O$104,15,0)),0,VLOOKUP($U$644,'TAR FIN'!$A$1:$O$104,15,0))</f>
        <v>0</v>
      </c>
      <c r="Y644" s="6">
        <f ca="1">('TUSD BE'!$AM$23+'TUSD BF'!$AM$23+'TUSD CVA'!$AM$23)*1</f>
        <v>14.494286200962303</v>
      </c>
      <c r="Z644" s="6"/>
      <c r="AA644" s="6"/>
      <c r="AB644" s="6">
        <f>$K$644*$V$644</f>
        <v>32422.5</v>
      </c>
      <c r="AC644" s="6">
        <f>$M$644*$W$644</f>
        <v>0</v>
      </c>
      <c r="AD644" s="6">
        <f>$O$644*$X$644</f>
        <v>0</v>
      </c>
      <c r="AE644" s="6">
        <f ca="1">$K$644*$Y$644</f>
        <v>32612.143952165185</v>
      </c>
      <c r="AF644" s="6">
        <f>$M$644*$Z$644</f>
        <v>0</v>
      </c>
      <c r="AG644" s="6">
        <f>$O$644*$AA$644</f>
        <v>0</v>
      </c>
    </row>
    <row r="645" spans="1:33" ht="11.25" customHeight="1" x14ac:dyDescent="0.25">
      <c r="A645" s="4" t="s">
        <v>21</v>
      </c>
      <c r="B645" s="4" t="s">
        <v>41</v>
      </c>
      <c r="C645" s="4" t="s">
        <v>66</v>
      </c>
      <c r="D645" s="4" t="s">
        <v>25</v>
      </c>
      <c r="E645" s="4" t="s">
        <v>25</v>
      </c>
      <c r="F645" s="4" t="s">
        <v>25</v>
      </c>
      <c r="G645" s="4" t="s">
        <v>74</v>
      </c>
      <c r="H645" s="4" t="s">
        <v>25</v>
      </c>
      <c r="I645" s="5">
        <v>44409</v>
      </c>
      <c r="J645" s="6">
        <v>3000</v>
      </c>
      <c r="K645" s="6">
        <v>1500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4" t="s">
        <v>68</v>
      </c>
      <c r="S645" s="6">
        <v>38</v>
      </c>
      <c r="T645" s="6">
        <v>0</v>
      </c>
      <c r="U645" s="6">
        <v>0</v>
      </c>
      <c r="V645" s="6">
        <f>IF(ISERROR(VLOOKUP($S$645,'TAR FIN'!$A$1:$O$104,15,0)),0,VLOOKUP($S$645,'TAR FIN'!$A$1:$O$104,15,0))</f>
        <v>14.41</v>
      </c>
      <c r="W645" s="6">
        <f>IF(ISERROR(VLOOKUP($T$645,'TAR FIN'!$A$1:$O$104,15,0)),0,VLOOKUP($T$645,'TAR FIN'!$A$1:$O$104,15,0))</f>
        <v>0</v>
      </c>
      <c r="X645" s="6">
        <f>IF(ISERROR(VLOOKUP($U$645,'TAR FIN'!$A$1:$O$104,15,0)),0,VLOOKUP($U$645,'TAR FIN'!$A$1:$O$104,15,0))</f>
        <v>0</v>
      </c>
      <c r="Y645" s="6">
        <f ca="1">('TUSD BE'!$AM$23+'TUSD BF'!$AM$23+'TUSD CVA'!$AM$23)*1</f>
        <v>14.494286200962303</v>
      </c>
      <c r="Z645" s="6"/>
      <c r="AA645" s="6"/>
      <c r="AB645" s="6">
        <f>$K$645*$V$645</f>
        <v>21615</v>
      </c>
      <c r="AC645" s="6">
        <f>$M$645*$W$645</f>
        <v>0</v>
      </c>
      <c r="AD645" s="6">
        <f>$O$645*$X$645</f>
        <v>0</v>
      </c>
      <c r="AE645" s="6">
        <f ca="1">$K$645*$Y$645</f>
        <v>21741.429301443455</v>
      </c>
      <c r="AF645" s="6">
        <f>$M$645*$Z$645</f>
        <v>0</v>
      </c>
      <c r="AG645" s="6">
        <f>$O$645*$AA$645</f>
        <v>0</v>
      </c>
    </row>
    <row r="646" spans="1:33" ht="11.25" customHeight="1" x14ac:dyDescent="0.25">
      <c r="A646" s="4" t="s">
        <v>21</v>
      </c>
      <c r="B646" s="4" t="s">
        <v>41</v>
      </c>
      <c r="C646" s="4" t="s">
        <v>66</v>
      </c>
      <c r="D646" s="4" t="s">
        <v>25</v>
      </c>
      <c r="E646" s="4" t="s">
        <v>25</v>
      </c>
      <c r="F646" s="4" t="s">
        <v>25</v>
      </c>
      <c r="G646" s="4" t="s">
        <v>80</v>
      </c>
      <c r="H646" s="4" t="s">
        <v>25</v>
      </c>
      <c r="I646" s="5">
        <v>44409</v>
      </c>
      <c r="J646" s="6">
        <v>3000</v>
      </c>
      <c r="K646" s="6">
        <v>1500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4" t="s">
        <v>68</v>
      </c>
      <c r="R646" s="4">
        <v>34891</v>
      </c>
      <c r="S646" s="6">
        <v>38</v>
      </c>
      <c r="T646" s="6">
        <v>0</v>
      </c>
      <c r="U646" s="6">
        <v>0</v>
      </c>
      <c r="V646" s="6">
        <f>IF(ISERROR(VLOOKUP($S$646,'TAR FIN'!$A$1:$O$104,15,0)),0,VLOOKUP($S$646,'TAR FIN'!$A$1:$O$104,15,0))</f>
        <v>14.41</v>
      </c>
      <c r="W646" s="6">
        <f>IF(ISERROR(VLOOKUP($T$646,'TAR FIN'!$A$1:$O$104,15,0)),0,VLOOKUP($T$646,'TAR FIN'!$A$1:$O$104,15,0))</f>
        <v>0</v>
      </c>
      <c r="X646" s="6">
        <f>IF(ISERROR(VLOOKUP($U$646,'TAR FIN'!$A$1:$O$104,15,0)),0,VLOOKUP($U$646,'TAR FIN'!$A$1:$O$104,15,0))</f>
        <v>0</v>
      </c>
      <c r="Y646" s="6">
        <f ca="1">('TUSD BE'!$AM$23+'TUSD BF'!$AM$23+'TUSD CVA'!$AM$23)*1</f>
        <v>14.494286200962303</v>
      </c>
      <c r="Z646" s="6"/>
      <c r="AA646" s="6"/>
      <c r="AB646" s="6">
        <f>$K$646*$V$646</f>
        <v>21615</v>
      </c>
      <c r="AC646" s="6">
        <f>$M$646*$W$646</f>
        <v>0</v>
      </c>
      <c r="AD646" s="6">
        <f>$O$646*$X$646</f>
        <v>0</v>
      </c>
      <c r="AE646" s="6">
        <f ca="1">$K$646*$Y$646</f>
        <v>21741.429301443455</v>
      </c>
      <c r="AF646" s="6">
        <f>$M$646*$Z$646</f>
        <v>0</v>
      </c>
      <c r="AG646" s="6">
        <f>$O$646*$AA$646</f>
        <v>0</v>
      </c>
    </row>
    <row r="647" spans="1:33" ht="11.25" customHeight="1" x14ac:dyDescent="0.25">
      <c r="A647" s="4" t="s">
        <v>21</v>
      </c>
      <c r="B647" s="4" t="s">
        <v>41</v>
      </c>
      <c r="C647" s="4" t="s">
        <v>66</v>
      </c>
      <c r="D647" s="4" t="s">
        <v>25</v>
      </c>
      <c r="E647" s="4" t="s">
        <v>25</v>
      </c>
      <c r="F647" s="4" t="s">
        <v>25</v>
      </c>
      <c r="G647" s="4" t="s">
        <v>81</v>
      </c>
      <c r="H647" s="4" t="s">
        <v>25</v>
      </c>
      <c r="I647" s="5">
        <v>44409</v>
      </c>
      <c r="J647" s="6">
        <v>600</v>
      </c>
      <c r="K647" s="6">
        <v>300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4" t="s">
        <v>68</v>
      </c>
      <c r="R647" s="4">
        <v>34893</v>
      </c>
      <c r="S647" s="6">
        <v>38</v>
      </c>
      <c r="T647" s="6">
        <v>0</v>
      </c>
      <c r="U647" s="6">
        <v>0</v>
      </c>
      <c r="V647" s="6">
        <f>IF(ISERROR(VLOOKUP($S$647,'TAR FIN'!$A$1:$O$104,15,0)),0,VLOOKUP($S$647,'TAR FIN'!$A$1:$O$104,15,0))</f>
        <v>14.41</v>
      </c>
      <c r="W647" s="6">
        <f>IF(ISERROR(VLOOKUP($T$647,'TAR FIN'!$A$1:$O$104,15,0)),0,VLOOKUP($T$647,'TAR FIN'!$A$1:$O$104,15,0))</f>
        <v>0</v>
      </c>
      <c r="X647" s="6">
        <f>IF(ISERROR(VLOOKUP($U$647,'TAR FIN'!$A$1:$O$104,15,0)),0,VLOOKUP($U$647,'TAR FIN'!$A$1:$O$104,15,0))</f>
        <v>0</v>
      </c>
      <c r="Y647" s="6">
        <f ca="1">('TUSD BE'!$AM$23+'TUSD BF'!$AM$23+'TUSD CVA'!$AM$23)*1</f>
        <v>14.494286200962303</v>
      </c>
      <c r="Z647" s="6"/>
      <c r="AA647" s="6"/>
      <c r="AB647" s="6">
        <f>$K$647*$V$647</f>
        <v>4323</v>
      </c>
      <c r="AC647" s="6">
        <f>$M$647*$W$647</f>
        <v>0</v>
      </c>
      <c r="AD647" s="6">
        <f>$O$647*$X$647</f>
        <v>0</v>
      </c>
      <c r="AE647" s="6">
        <f ca="1">$K$647*$Y$647</f>
        <v>4348.2858602886909</v>
      </c>
      <c r="AF647" s="6">
        <f>$M$647*$Z$647</f>
        <v>0</v>
      </c>
      <c r="AG647" s="6">
        <f>$O$647*$AA$647</f>
        <v>0</v>
      </c>
    </row>
    <row r="648" spans="1:33" ht="11.25" customHeight="1" x14ac:dyDescent="0.25">
      <c r="A648" s="4" t="s">
        <v>21</v>
      </c>
      <c r="B648" s="4" t="s">
        <v>41</v>
      </c>
      <c r="C648" s="4" t="s">
        <v>66</v>
      </c>
      <c r="D648" s="4" t="s">
        <v>25</v>
      </c>
      <c r="E648" s="4" t="s">
        <v>25</v>
      </c>
      <c r="F648" s="4" t="s">
        <v>25</v>
      </c>
      <c r="G648" s="4" t="s">
        <v>82</v>
      </c>
      <c r="H648" s="4" t="s">
        <v>25</v>
      </c>
      <c r="I648" s="5">
        <v>44409</v>
      </c>
      <c r="J648" s="6">
        <v>4800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4" t="s">
        <v>68</v>
      </c>
      <c r="R648" s="4">
        <v>43199</v>
      </c>
      <c r="S648" s="6">
        <v>38</v>
      </c>
      <c r="T648" s="6">
        <v>0</v>
      </c>
      <c r="U648" s="6">
        <v>0</v>
      </c>
      <c r="V648" s="6">
        <f>IF(ISERROR(VLOOKUP($S$648,'TAR FIN'!$A$1:$O$104,15,0)),0,VLOOKUP($S$648,'TAR FIN'!$A$1:$O$104,15,0))</f>
        <v>14.41</v>
      </c>
      <c r="W648" s="6">
        <f>IF(ISERROR(VLOOKUP($T$648,'TAR FIN'!$A$1:$O$104,15,0)),0,VLOOKUP($T$648,'TAR FIN'!$A$1:$O$104,15,0))</f>
        <v>0</v>
      </c>
      <c r="X648" s="6">
        <f>IF(ISERROR(VLOOKUP($U$648,'TAR FIN'!$A$1:$O$104,15,0)),0,VLOOKUP($U$648,'TAR FIN'!$A$1:$O$104,15,0))</f>
        <v>0</v>
      </c>
      <c r="Y648" s="6">
        <f ca="1">('TUSD BE'!$AM$23+'TUSD BF'!$AM$23+'TUSD CVA'!$AM$23)*1</f>
        <v>14.494286200962303</v>
      </c>
      <c r="Z648" s="6"/>
      <c r="AA648" s="6"/>
      <c r="AB648" s="6">
        <f>$K$648*$V$648</f>
        <v>0</v>
      </c>
      <c r="AC648" s="6">
        <f>$M$648*$W$648</f>
        <v>0</v>
      </c>
      <c r="AD648" s="6">
        <f>$O$648*$X$648</f>
        <v>0</v>
      </c>
      <c r="AE648" s="6">
        <f ca="1">$K$648*$Y$648</f>
        <v>0</v>
      </c>
      <c r="AF648" s="6">
        <f>$M$648*$Z$648</f>
        <v>0</v>
      </c>
      <c r="AG648" s="6">
        <f>$O$648*$AA$648</f>
        <v>0</v>
      </c>
    </row>
    <row r="649" spans="1:33" ht="11.25" customHeight="1" x14ac:dyDescent="0.25">
      <c r="A649" s="4" t="s">
        <v>21</v>
      </c>
      <c r="B649" s="4" t="s">
        <v>41</v>
      </c>
      <c r="C649" s="4" t="s">
        <v>66</v>
      </c>
      <c r="D649" s="4" t="s">
        <v>25</v>
      </c>
      <c r="E649" s="4" t="s">
        <v>25</v>
      </c>
      <c r="F649" s="4" t="s">
        <v>25</v>
      </c>
      <c r="G649" s="4" t="s">
        <v>83</v>
      </c>
      <c r="H649" s="4" t="s">
        <v>25</v>
      </c>
      <c r="I649" s="5">
        <v>44409</v>
      </c>
      <c r="J649" s="6">
        <v>200</v>
      </c>
      <c r="K649" s="6">
        <v>100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4" t="s">
        <v>68</v>
      </c>
      <c r="S649" s="6">
        <v>38</v>
      </c>
      <c r="T649" s="6">
        <v>0</v>
      </c>
      <c r="U649" s="6">
        <v>0</v>
      </c>
      <c r="V649" s="6">
        <f>IF(ISERROR(VLOOKUP($S$649,'TAR FIN'!$A$1:$O$104,15,0)),0,VLOOKUP($S$649,'TAR FIN'!$A$1:$O$104,15,0))</f>
        <v>14.41</v>
      </c>
      <c r="W649" s="6">
        <f>IF(ISERROR(VLOOKUP($T$649,'TAR FIN'!$A$1:$O$104,15,0)),0,VLOOKUP($T$649,'TAR FIN'!$A$1:$O$104,15,0))</f>
        <v>0</v>
      </c>
      <c r="X649" s="6">
        <f>IF(ISERROR(VLOOKUP($U$649,'TAR FIN'!$A$1:$O$104,15,0)),0,VLOOKUP($U$649,'TAR FIN'!$A$1:$O$104,15,0))</f>
        <v>0</v>
      </c>
      <c r="Y649" s="6">
        <f ca="1">('TUSD BE'!$AM$23+'TUSD BF'!$AM$23+'TUSD CVA'!$AM$23)*1</f>
        <v>14.494286200962303</v>
      </c>
      <c r="Z649" s="6"/>
      <c r="AA649" s="6"/>
      <c r="AB649" s="6">
        <f>$K$649*$V$649</f>
        <v>1441</v>
      </c>
      <c r="AC649" s="6">
        <f>$M$649*$W$649</f>
        <v>0</v>
      </c>
      <c r="AD649" s="6">
        <f>$O$649*$X$649</f>
        <v>0</v>
      </c>
      <c r="AE649" s="6">
        <f ca="1">$K$649*$Y$649</f>
        <v>1449.4286200962304</v>
      </c>
      <c r="AF649" s="6">
        <f>$M$649*$Z$649</f>
        <v>0</v>
      </c>
      <c r="AG649" s="6">
        <f>$O$649*$AA$649</f>
        <v>0</v>
      </c>
    </row>
    <row r="650" spans="1:33" ht="11.25" customHeight="1" x14ac:dyDescent="0.25">
      <c r="A650" s="4" t="s">
        <v>21</v>
      </c>
      <c r="B650" s="4" t="s">
        <v>41</v>
      </c>
      <c r="C650" s="4" t="s">
        <v>66</v>
      </c>
      <c r="D650" s="4" t="s">
        <v>25</v>
      </c>
      <c r="E650" s="4" t="s">
        <v>25</v>
      </c>
      <c r="F650" s="4" t="s">
        <v>25</v>
      </c>
      <c r="G650" s="4" t="s">
        <v>72</v>
      </c>
      <c r="H650" s="4" t="s">
        <v>25</v>
      </c>
      <c r="I650" s="5">
        <v>44440</v>
      </c>
      <c r="J650" s="6">
        <v>4500</v>
      </c>
      <c r="K650" s="6">
        <v>2250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4" t="s">
        <v>68</v>
      </c>
      <c r="R650" s="4">
        <v>29075</v>
      </c>
      <c r="S650" s="6">
        <v>38</v>
      </c>
      <c r="T650" s="6">
        <v>0</v>
      </c>
      <c r="U650" s="6">
        <v>0</v>
      </c>
      <c r="V650" s="6">
        <f>IF(ISERROR(VLOOKUP($S$650,'TAR FIN'!$A$1:$O$104,15,0)),0,VLOOKUP($S$650,'TAR FIN'!$A$1:$O$104,15,0))</f>
        <v>14.41</v>
      </c>
      <c r="W650" s="6">
        <f>IF(ISERROR(VLOOKUP($T$650,'TAR FIN'!$A$1:$O$104,15,0)),0,VLOOKUP($T$650,'TAR FIN'!$A$1:$O$104,15,0))</f>
        <v>0</v>
      </c>
      <c r="X650" s="6">
        <f>IF(ISERROR(VLOOKUP($U$650,'TAR FIN'!$A$1:$O$104,15,0)),0,VLOOKUP($U$650,'TAR FIN'!$A$1:$O$104,15,0))</f>
        <v>0</v>
      </c>
      <c r="Y650" s="6">
        <f ca="1">('TUSD BE'!$AM$23+'TUSD BF'!$AM$23+'TUSD CVA'!$AM$23)*1</f>
        <v>14.494286200962303</v>
      </c>
      <c r="Z650" s="6"/>
      <c r="AA650" s="6"/>
      <c r="AB650" s="6">
        <f>$K$650*$V$650</f>
        <v>32422.5</v>
      </c>
      <c r="AC650" s="6">
        <f>$M$650*$W$650</f>
        <v>0</v>
      </c>
      <c r="AD650" s="6">
        <f>$O$650*$X$650</f>
        <v>0</v>
      </c>
      <c r="AE650" s="6">
        <f ca="1">$K$650*$Y$650</f>
        <v>32612.143952165185</v>
      </c>
      <c r="AF650" s="6">
        <f>$M$650*$Z$650</f>
        <v>0</v>
      </c>
      <c r="AG650" s="6">
        <f>$O$650*$AA$650</f>
        <v>0</v>
      </c>
    </row>
    <row r="651" spans="1:33" ht="11.25" customHeight="1" x14ac:dyDescent="0.25">
      <c r="A651" s="4" t="s">
        <v>21</v>
      </c>
      <c r="B651" s="4" t="s">
        <v>41</v>
      </c>
      <c r="C651" s="4" t="s">
        <v>66</v>
      </c>
      <c r="D651" s="4" t="s">
        <v>25</v>
      </c>
      <c r="E651" s="4" t="s">
        <v>25</v>
      </c>
      <c r="F651" s="4" t="s">
        <v>25</v>
      </c>
      <c r="G651" s="4" t="s">
        <v>74</v>
      </c>
      <c r="H651" s="4" t="s">
        <v>25</v>
      </c>
      <c r="I651" s="5">
        <v>44440</v>
      </c>
      <c r="J651" s="6">
        <v>3000</v>
      </c>
      <c r="K651" s="6">
        <v>1500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4" t="s">
        <v>68</v>
      </c>
      <c r="S651" s="6">
        <v>38</v>
      </c>
      <c r="T651" s="6">
        <v>0</v>
      </c>
      <c r="U651" s="6">
        <v>0</v>
      </c>
      <c r="V651" s="6">
        <f>IF(ISERROR(VLOOKUP($S$651,'TAR FIN'!$A$1:$O$104,15,0)),0,VLOOKUP($S$651,'TAR FIN'!$A$1:$O$104,15,0))</f>
        <v>14.41</v>
      </c>
      <c r="W651" s="6">
        <f>IF(ISERROR(VLOOKUP($T$651,'TAR FIN'!$A$1:$O$104,15,0)),0,VLOOKUP($T$651,'TAR FIN'!$A$1:$O$104,15,0))</f>
        <v>0</v>
      </c>
      <c r="X651" s="6">
        <f>IF(ISERROR(VLOOKUP($U$651,'TAR FIN'!$A$1:$O$104,15,0)),0,VLOOKUP($U$651,'TAR FIN'!$A$1:$O$104,15,0))</f>
        <v>0</v>
      </c>
      <c r="Y651" s="6">
        <f ca="1">('TUSD BE'!$AM$23+'TUSD BF'!$AM$23+'TUSD CVA'!$AM$23)*1</f>
        <v>14.494286200962303</v>
      </c>
      <c r="Z651" s="6"/>
      <c r="AA651" s="6"/>
      <c r="AB651" s="6">
        <f>$K$651*$V$651</f>
        <v>21615</v>
      </c>
      <c r="AC651" s="6">
        <f>$M$651*$W$651</f>
        <v>0</v>
      </c>
      <c r="AD651" s="6">
        <f>$O$651*$X$651</f>
        <v>0</v>
      </c>
      <c r="AE651" s="6">
        <f ca="1">$K$651*$Y$651</f>
        <v>21741.429301443455</v>
      </c>
      <c r="AF651" s="6">
        <f>$M$651*$Z$651</f>
        <v>0</v>
      </c>
      <c r="AG651" s="6">
        <f>$O$651*$AA$651</f>
        <v>0</v>
      </c>
    </row>
    <row r="652" spans="1:33" ht="11.25" customHeight="1" x14ac:dyDescent="0.25">
      <c r="A652" s="4" t="s">
        <v>21</v>
      </c>
      <c r="B652" s="4" t="s">
        <v>41</v>
      </c>
      <c r="C652" s="4" t="s">
        <v>66</v>
      </c>
      <c r="D652" s="4" t="s">
        <v>25</v>
      </c>
      <c r="E652" s="4" t="s">
        <v>25</v>
      </c>
      <c r="F652" s="4" t="s">
        <v>25</v>
      </c>
      <c r="G652" s="4" t="s">
        <v>80</v>
      </c>
      <c r="H652" s="4" t="s">
        <v>25</v>
      </c>
      <c r="I652" s="5">
        <v>44440</v>
      </c>
      <c r="J652" s="6">
        <v>3000</v>
      </c>
      <c r="K652" s="6">
        <v>1500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4" t="s">
        <v>68</v>
      </c>
      <c r="R652" s="4">
        <v>34891</v>
      </c>
      <c r="S652" s="6">
        <v>38</v>
      </c>
      <c r="T652" s="6">
        <v>0</v>
      </c>
      <c r="U652" s="6">
        <v>0</v>
      </c>
      <c r="V652" s="6">
        <f>IF(ISERROR(VLOOKUP($S$652,'TAR FIN'!$A$1:$O$104,15,0)),0,VLOOKUP($S$652,'TAR FIN'!$A$1:$O$104,15,0))</f>
        <v>14.41</v>
      </c>
      <c r="W652" s="6">
        <f>IF(ISERROR(VLOOKUP($T$652,'TAR FIN'!$A$1:$O$104,15,0)),0,VLOOKUP($T$652,'TAR FIN'!$A$1:$O$104,15,0))</f>
        <v>0</v>
      </c>
      <c r="X652" s="6">
        <f>IF(ISERROR(VLOOKUP($U$652,'TAR FIN'!$A$1:$O$104,15,0)),0,VLOOKUP($U$652,'TAR FIN'!$A$1:$O$104,15,0))</f>
        <v>0</v>
      </c>
      <c r="Y652" s="6">
        <f ca="1">('TUSD BE'!$AM$23+'TUSD BF'!$AM$23+'TUSD CVA'!$AM$23)*1</f>
        <v>14.494286200962303</v>
      </c>
      <c r="Z652" s="6"/>
      <c r="AA652" s="6"/>
      <c r="AB652" s="6">
        <f>$K$652*$V$652</f>
        <v>21615</v>
      </c>
      <c r="AC652" s="6">
        <f>$M$652*$W$652</f>
        <v>0</v>
      </c>
      <c r="AD652" s="6">
        <f>$O$652*$X$652</f>
        <v>0</v>
      </c>
      <c r="AE652" s="6">
        <f ca="1">$K$652*$Y$652</f>
        <v>21741.429301443455</v>
      </c>
      <c r="AF652" s="6">
        <f>$M$652*$Z$652</f>
        <v>0</v>
      </c>
      <c r="AG652" s="6">
        <f>$O$652*$AA$652</f>
        <v>0</v>
      </c>
    </row>
    <row r="653" spans="1:33" ht="11.25" customHeight="1" x14ac:dyDescent="0.25">
      <c r="A653" s="4" t="s">
        <v>21</v>
      </c>
      <c r="B653" s="4" t="s">
        <v>41</v>
      </c>
      <c r="C653" s="4" t="s">
        <v>66</v>
      </c>
      <c r="D653" s="4" t="s">
        <v>25</v>
      </c>
      <c r="E653" s="4" t="s">
        <v>25</v>
      </c>
      <c r="F653" s="4" t="s">
        <v>25</v>
      </c>
      <c r="G653" s="4" t="s">
        <v>81</v>
      </c>
      <c r="H653" s="4" t="s">
        <v>25</v>
      </c>
      <c r="I653" s="5">
        <v>44440</v>
      </c>
      <c r="J653" s="6">
        <v>600</v>
      </c>
      <c r="K653" s="6">
        <v>300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4" t="s">
        <v>68</v>
      </c>
      <c r="R653" s="4">
        <v>34893</v>
      </c>
      <c r="S653" s="6">
        <v>38</v>
      </c>
      <c r="T653" s="6">
        <v>0</v>
      </c>
      <c r="U653" s="6">
        <v>0</v>
      </c>
      <c r="V653" s="6">
        <f>IF(ISERROR(VLOOKUP($S$653,'TAR FIN'!$A$1:$O$104,15,0)),0,VLOOKUP($S$653,'TAR FIN'!$A$1:$O$104,15,0))</f>
        <v>14.41</v>
      </c>
      <c r="W653" s="6">
        <f>IF(ISERROR(VLOOKUP($T$653,'TAR FIN'!$A$1:$O$104,15,0)),0,VLOOKUP($T$653,'TAR FIN'!$A$1:$O$104,15,0))</f>
        <v>0</v>
      </c>
      <c r="X653" s="6">
        <f>IF(ISERROR(VLOOKUP($U$653,'TAR FIN'!$A$1:$O$104,15,0)),0,VLOOKUP($U$653,'TAR FIN'!$A$1:$O$104,15,0))</f>
        <v>0</v>
      </c>
      <c r="Y653" s="6">
        <f ca="1">('TUSD BE'!$AM$23+'TUSD BF'!$AM$23+'TUSD CVA'!$AM$23)*1</f>
        <v>14.494286200962303</v>
      </c>
      <c r="Z653" s="6"/>
      <c r="AA653" s="6"/>
      <c r="AB653" s="6">
        <f>$K$653*$V$653</f>
        <v>4323</v>
      </c>
      <c r="AC653" s="6">
        <f>$M$653*$W$653</f>
        <v>0</v>
      </c>
      <c r="AD653" s="6">
        <f>$O$653*$X$653</f>
        <v>0</v>
      </c>
      <c r="AE653" s="6">
        <f ca="1">$K$653*$Y$653</f>
        <v>4348.2858602886909</v>
      </c>
      <c r="AF653" s="6">
        <f>$M$653*$Z$653</f>
        <v>0</v>
      </c>
      <c r="AG653" s="6">
        <f>$O$653*$AA$653</f>
        <v>0</v>
      </c>
    </row>
    <row r="654" spans="1:33" ht="11.25" customHeight="1" x14ac:dyDescent="0.25">
      <c r="A654" s="4" t="s">
        <v>21</v>
      </c>
      <c r="B654" s="4" t="s">
        <v>41</v>
      </c>
      <c r="C654" s="4" t="s">
        <v>66</v>
      </c>
      <c r="D654" s="4" t="s">
        <v>25</v>
      </c>
      <c r="E654" s="4" t="s">
        <v>25</v>
      </c>
      <c r="F654" s="4" t="s">
        <v>25</v>
      </c>
      <c r="G654" s="4" t="s">
        <v>82</v>
      </c>
      <c r="H654" s="4" t="s">
        <v>25</v>
      </c>
      <c r="I654" s="5">
        <v>44440</v>
      </c>
      <c r="J654" s="6">
        <v>4800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4" t="s">
        <v>68</v>
      </c>
      <c r="R654" s="4">
        <v>43199</v>
      </c>
      <c r="S654" s="6">
        <v>38</v>
      </c>
      <c r="T654" s="6">
        <v>0</v>
      </c>
      <c r="U654" s="6">
        <v>0</v>
      </c>
      <c r="V654" s="6">
        <f>IF(ISERROR(VLOOKUP($S$654,'TAR FIN'!$A$1:$O$104,15,0)),0,VLOOKUP($S$654,'TAR FIN'!$A$1:$O$104,15,0))</f>
        <v>14.41</v>
      </c>
      <c r="W654" s="6">
        <f>IF(ISERROR(VLOOKUP($T$654,'TAR FIN'!$A$1:$O$104,15,0)),0,VLOOKUP($T$654,'TAR FIN'!$A$1:$O$104,15,0))</f>
        <v>0</v>
      </c>
      <c r="X654" s="6">
        <f>IF(ISERROR(VLOOKUP($U$654,'TAR FIN'!$A$1:$O$104,15,0)),0,VLOOKUP($U$654,'TAR FIN'!$A$1:$O$104,15,0))</f>
        <v>0</v>
      </c>
      <c r="Y654" s="6">
        <f ca="1">('TUSD BE'!$AM$23+'TUSD BF'!$AM$23+'TUSD CVA'!$AM$23)*1</f>
        <v>14.494286200962303</v>
      </c>
      <c r="Z654" s="6"/>
      <c r="AA654" s="6"/>
      <c r="AB654" s="6">
        <f>$K$654*$V$654</f>
        <v>0</v>
      </c>
      <c r="AC654" s="6">
        <f>$M$654*$W$654</f>
        <v>0</v>
      </c>
      <c r="AD654" s="6">
        <f>$O$654*$X$654</f>
        <v>0</v>
      </c>
      <c r="AE654" s="6">
        <f ca="1">$K$654*$Y$654</f>
        <v>0</v>
      </c>
      <c r="AF654" s="6">
        <f>$M$654*$Z$654</f>
        <v>0</v>
      </c>
      <c r="AG654" s="6">
        <f>$O$654*$AA$654</f>
        <v>0</v>
      </c>
    </row>
    <row r="655" spans="1:33" ht="11.25" customHeight="1" x14ac:dyDescent="0.25">
      <c r="A655" s="4" t="s">
        <v>21</v>
      </c>
      <c r="B655" s="4" t="s">
        <v>41</v>
      </c>
      <c r="C655" s="4" t="s">
        <v>66</v>
      </c>
      <c r="D655" s="4" t="s">
        <v>25</v>
      </c>
      <c r="E655" s="4" t="s">
        <v>25</v>
      </c>
      <c r="F655" s="4" t="s">
        <v>25</v>
      </c>
      <c r="G655" s="4" t="s">
        <v>83</v>
      </c>
      <c r="H655" s="4" t="s">
        <v>25</v>
      </c>
      <c r="I655" s="5">
        <v>44440</v>
      </c>
      <c r="J655" s="6">
        <v>200</v>
      </c>
      <c r="K655" s="6">
        <v>100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4" t="s">
        <v>68</v>
      </c>
      <c r="S655" s="6">
        <v>38</v>
      </c>
      <c r="T655" s="6">
        <v>0</v>
      </c>
      <c r="U655" s="6">
        <v>0</v>
      </c>
      <c r="V655" s="6">
        <f>IF(ISERROR(VLOOKUP($S$655,'TAR FIN'!$A$1:$O$104,15,0)),0,VLOOKUP($S$655,'TAR FIN'!$A$1:$O$104,15,0))</f>
        <v>14.41</v>
      </c>
      <c r="W655" s="6">
        <f>IF(ISERROR(VLOOKUP($T$655,'TAR FIN'!$A$1:$O$104,15,0)),0,VLOOKUP($T$655,'TAR FIN'!$A$1:$O$104,15,0))</f>
        <v>0</v>
      </c>
      <c r="X655" s="6">
        <f>IF(ISERROR(VLOOKUP($U$655,'TAR FIN'!$A$1:$O$104,15,0)),0,VLOOKUP($U$655,'TAR FIN'!$A$1:$O$104,15,0))</f>
        <v>0</v>
      </c>
      <c r="Y655" s="6">
        <f ca="1">('TUSD BE'!$AM$23+'TUSD BF'!$AM$23+'TUSD CVA'!$AM$23)*1</f>
        <v>14.494286200962303</v>
      </c>
      <c r="Z655" s="6"/>
      <c r="AA655" s="6"/>
      <c r="AB655" s="6">
        <f>$K$655*$V$655</f>
        <v>1441</v>
      </c>
      <c r="AC655" s="6">
        <f>$M$655*$W$655</f>
        <v>0</v>
      </c>
      <c r="AD655" s="6">
        <f>$O$655*$X$655</f>
        <v>0</v>
      </c>
      <c r="AE655" s="6">
        <f ca="1">$K$655*$Y$655</f>
        <v>1449.4286200962304</v>
      </c>
      <c r="AF655" s="6">
        <f>$M$655*$Z$655</f>
        <v>0</v>
      </c>
      <c r="AG655" s="6">
        <f>$O$655*$AA$655</f>
        <v>0</v>
      </c>
    </row>
    <row r="656" spans="1:33" ht="11.25" customHeight="1" x14ac:dyDescent="0.25">
      <c r="A656" s="4" t="s">
        <v>21</v>
      </c>
      <c r="B656" s="4" t="s">
        <v>41</v>
      </c>
      <c r="C656" s="4" t="s">
        <v>66</v>
      </c>
      <c r="D656" s="4" t="s">
        <v>25</v>
      </c>
      <c r="E656" s="4" t="s">
        <v>25</v>
      </c>
      <c r="F656" s="4" t="s">
        <v>25</v>
      </c>
      <c r="G656" s="4" t="s">
        <v>84</v>
      </c>
      <c r="H656" s="4" t="s">
        <v>25</v>
      </c>
      <c r="I656" s="5">
        <v>44440</v>
      </c>
      <c r="J656" s="6">
        <v>250</v>
      </c>
      <c r="K656" s="6">
        <v>125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4" t="s">
        <v>68</v>
      </c>
      <c r="S656" s="6">
        <v>38</v>
      </c>
      <c r="T656" s="6">
        <v>0</v>
      </c>
      <c r="U656" s="6">
        <v>0</v>
      </c>
      <c r="V656" s="6">
        <f>IF(ISERROR(VLOOKUP($S$656,'TAR FIN'!$A$1:$O$104,15,0)),0,VLOOKUP($S$656,'TAR FIN'!$A$1:$O$104,15,0))</f>
        <v>14.41</v>
      </c>
      <c r="W656" s="6">
        <f>IF(ISERROR(VLOOKUP($T$656,'TAR FIN'!$A$1:$O$104,15,0)),0,VLOOKUP($T$656,'TAR FIN'!$A$1:$O$104,15,0))</f>
        <v>0</v>
      </c>
      <c r="X656" s="6">
        <f>IF(ISERROR(VLOOKUP($U$656,'TAR FIN'!$A$1:$O$104,15,0)),0,VLOOKUP($U$656,'TAR FIN'!$A$1:$O$104,15,0))</f>
        <v>0</v>
      </c>
      <c r="Y656" s="6">
        <f ca="1">('TUSD BE'!$AM$23+'TUSD BF'!$AM$23+'TUSD CVA'!$AM$23)*1</f>
        <v>14.494286200962303</v>
      </c>
      <c r="Z656" s="6"/>
      <c r="AA656" s="6"/>
      <c r="AB656" s="6">
        <f>$K$656*$V$656</f>
        <v>1801.25</v>
      </c>
      <c r="AC656" s="6">
        <f>$M$656*$W$656</f>
        <v>0</v>
      </c>
      <c r="AD656" s="6">
        <f>$O$656*$X$656</f>
        <v>0</v>
      </c>
      <c r="AE656" s="6">
        <f ca="1">$K$656*$Y$656</f>
        <v>1811.785775120288</v>
      </c>
      <c r="AF656" s="6">
        <f>$M$656*$Z$656</f>
        <v>0</v>
      </c>
      <c r="AG656" s="6">
        <f>$O$656*$AA$656</f>
        <v>0</v>
      </c>
    </row>
    <row r="657" spans="1:33" ht="11.25" customHeight="1" x14ac:dyDescent="0.25">
      <c r="A657" s="4" t="s">
        <v>27</v>
      </c>
      <c r="B657" s="4" t="s">
        <v>41</v>
      </c>
      <c r="C657" s="4" t="s">
        <v>66</v>
      </c>
      <c r="D657" s="4" t="s">
        <v>25</v>
      </c>
      <c r="E657" s="4" t="s">
        <v>25</v>
      </c>
      <c r="F657" s="4" t="s">
        <v>25</v>
      </c>
      <c r="G657" s="4" t="s">
        <v>84</v>
      </c>
      <c r="H657" s="4" t="s">
        <v>25</v>
      </c>
      <c r="I657" s="5">
        <v>44440</v>
      </c>
      <c r="J657" s="6">
        <v>122</v>
      </c>
      <c r="K657" s="6">
        <v>122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4" t="s">
        <v>68</v>
      </c>
      <c r="S657" s="6">
        <v>38</v>
      </c>
      <c r="T657" s="6">
        <v>0</v>
      </c>
      <c r="U657" s="6">
        <v>0</v>
      </c>
      <c r="V657" s="6">
        <f>IF(ISERROR(VLOOKUP($S$657,'TAR FIN'!$A$1:$O$104,15,0)),0,VLOOKUP($S$657,'TAR FIN'!$A$1:$O$104,15,0))</f>
        <v>14.41</v>
      </c>
      <c r="W657" s="6">
        <f>IF(ISERROR(VLOOKUP($T$657,'TAR FIN'!$A$1:$O$104,15,0)),0,VLOOKUP($T$657,'TAR FIN'!$A$1:$O$104,15,0))</f>
        <v>0</v>
      </c>
      <c r="X657" s="6">
        <f>IF(ISERROR(VLOOKUP($U$657,'TAR FIN'!$A$1:$O$104,15,0)),0,VLOOKUP($U$657,'TAR FIN'!$A$1:$O$104,15,0))</f>
        <v>0</v>
      </c>
      <c r="Y657" s="6">
        <f ca="1">('TUSD BE'!$AM$23+'TUSD BF'!$AM$23+'TUSD CVA'!$AM$23)*1</f>
        <v>14.494286200962303</v>
      </c>
      <c r="Z657" s="6"/>
      <c r="AA657" s="6"/>
      <c r="AB657" s="6">
        <f>$K$657*$V$657</f>
        <v>1758.02</v>
      </c>
      <c r="AC657" s="6">
        <f>$M$657*$W$657</f>
        <v>0</v>
      </c>
      <c r="AD657" s="6">
        <f>$O$657*$X$657</f>
        <v>0</v>
      </c>
      <c r="AE657" s="6">
        <f ca="1">$K$657*$Y$657</f>
        <v>1768.3029165174009</v>
      </c>
      <c r="AF657" s="6">
        <f>$M$657*$Z$657</f>
        <v>0</v>
      </c>
      <c r="AG657" s="6">
        <f>$O$657*$AA$657</f>
        <v>0</v>
      </c>
    </row>
    <row r="658" spans="1:33" ht="11.25" customHeight="1" x14ac:dyDescent="0.25">
      <c r="A658" s="4" t="s">
        <v>21</v>
      </c>
      <c r="B658" s="4" t="s">
        <v>41</v>
      </c>
      <c r="C658" s="4" t="s">
        <v>66</v>
      </c>
      <c r="D658" s="4" t="s">
        <v>25</v>
      </c>
      <c r="E658" s="4" t="s">
        <v>25</v>
      </c>
      <c r="F658" s="4" t="s">
        <v>25</v>
      </c>
      <c r="G658" s="4" t="s">
        <v>85</v>
      </c>
      <c r="H658" s="4" t="s">
        <v>25</v>
      </c>
      <c r="I658" s="5">
        <v>44440</v>
      </c>
      <c r="J658" s="6">
        <v>250</v>
      </c>
      <c r="K658" s="6">
        <v>125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4" t="s">
        <v>68</v>
      </c>
      <c r="R658" s="4">
        <v>52044</v>
      </c>
      <c r="S658" s="6">
        <v>38</v>
      </c>
      <c r="T658" s="6">
        <v>0</v>
      </c>
      <c r="U658" s="6">
        <v>0</v>
      </c>
      <c r="V658" s="6">
        <f>IF(ISERROR(VLOOKUP($S$658,'TAR FIN'!$A$1:$O$104,15,0)),0,VLOOKUP($S$658,'TAR FIN'!$A$1:$O$104,15,0))</f>
        <v>14.41</v>
      </c>
      <c r="W658" s="6">
        <f>IF(ISERROR(VLOOKUP($T$658,'TAR FIN'!$A$1:$O$104,15,0)),0,VLOOKUP($T$658,'TAR FIN'!$A$1:$O$104,15,0))</f>
        <v>0</v>
      </c>
      <c r="X658" s="6">
        <f>IF(ISERROR(VLOOKUP($U$658,'TAR FIN'!$A$1:$O$104,15,0)),0,VLOOKUP($U$658,'TAR FIN'!$A$1:$O$104,15,0))</f>
        <v>0</v>
      </c>
      <c r="Y658" s="6">
        <f ca="1">('TUSD BE'!$AM$23+'TUSD BF'!$AM$23+'TUSD CVA'!$AM$23)*1</f>
        <v>14.494286200962303</v>
      </c>
      <c r="Z658" s="6"/>
      <c r="AA658" s="6"/>
      <c r="AB658" s="6">
        <f>$K$658*$V$658</f>
        <v>1801.25</v>
      </c>
      <c r="AC658" s="6">
        <f>$M$658*$W$658</f>
        <v>0</v>
      </c>
      <c r="AD658" s="6">
        <f>$O$658*$X$658</f>
        <v>0</v>
      </c>
      <c r="AE658" s="6">
        <f ca="1">$K$658*$Y$658</f>
        <v>1811.785775120288</v>
      </c>
      <c r="AF658" s="6">
        <f>$M$658*$Z$658</f>
        <v>0</v>
      </c>
      <c r="AG658" s="6">
        <f>$O$658*$AA$658</f>
        <v>0</v>
      </c>
    </row>
    <row r="659" spans="1:33" ht="11.25" customHeight="1" x14ac:dyDescent="0.25">
      <c r="A659" s="4" t="s">
        <v>27</v>
      </c>
      <c r="B659" s="4" t="s">
        <v>41</v>
      </c>
      <c r="C659" s="4" t="s">
        <v>66</v>
      </c>
      <c r="D659" s="4" t="s">
        <v>25</v>
      </c>
      <c r="E659" s="4" t="s">
        <v>25</v>
      </c>
      <c r="F659" s="4" t="s">
        <v>25</v>
      </c>
      <c r="G659" s="4" t="s">
        <v>85</v>
      </c>
      <c r="H659" s="4" t="s">
        <v>25</v>
      </c>
      <c r="I659" s="5">
        <v>44440</v>
      </c>
      <c r="J659" s="6">
        <v>223</v>
      </c>
      <c r="K659" s="6">
        <v>223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4" t="s">
        <v>68</v>
      </c>
      <c r="R659" s="4">
        <v>52044</v>
      </c>
      <c r="S659" s="6">
        <v>38</v>
      </c>
      <c r="T659" s="6">
        <v>0</v>
      </c>
      <c r="U659" s="6">
        <v>0</v>
      </c>
      <c r="V659" s="6">
        <f>IF(ISERROR(VLOOKUP($S$659,'TAR FIN'!$A$1:$O$104,15,0)),0,VLOOKUP($S$659,'TAR FIN'!$A$1:$O$104,15,0))</f>
        <v>14.41</v>
      </c>
      <c r="W659" s="6">
        <f>IF(ISERROR(VLOOKUP($T$659,'TAR FIN'!$A$1:$O$104,15,0)),0,VLOOKUP($T$659,'TAR FIN'!$A$1:$O$104,15,0))</f>
        <v>0</v>
      </c>
      <c r="X659" s="6">
        <f>IF(ISERROR(VLOOKUP($U$659,'TAR FIN'!$A$1:$O$104,15,0)),0,VLOOKUP($U$659,'TAR FIN'!$A$1:$O$104,15,0))</f>
        <v>0</v>
      </c>
      <c r="Y659" s="6">
        <f ca="1">('TUSD BE'!$AM$23+'TUSD BF'!$AM$23+'TUSD CVA'!$AM$23)*1</f>
        <v>14.494286200962303</v>
      </c>
      <c r="Z659" s="6"/>
      <c r="AA659" s="6"/>
      <c r="AB659" s="6">
        <f>$K$659*$V$659</f>
        <v>3213.43</v>
      </c>
      <c r="AC659" s="6">
        <f>$M$659*$W$659</f>
        <v>0</v>
      </c>
      <c r="AD659" s="6">
        <f>$O$659*$X$659</f>
        <v>0</v>
      </c>
      <c r="AE659" s="6">
        <f ca="1">$K$659*$Y$659</f>
        <v>3232.2258228145938</v>
      </c>
      <c r="AF659" s="6">
        <f>$M$659*$Z$659</f>
        <v>0</v>
      </c>
      <c r="AG659" s="6">
        <f>$O$659*$AA$659</f>
        <v>0</v>
      </c>
    </row>
    <row r="660" spans="1:33" ht="11.25" customHeight="1" x14ac:dyDescent="0.25">
      <c r="A660" s="4" t="s">
        <v>21</v>
      </c>
      <c r="B660" s="4" t="s">
        <v>41</v>
      </c>
      <c r="C660" s="4" t="s">
        <v>66</v>
      </c>
      <c r="D660" s="4" t="s">
        <v>25</v>
      </c>
      <c r="E660" s="4" t="s">
        <v>25</v>
      </c>
      <c r="F660" s="4" t="s">
        <v>25</v>
      </c>
      <c r="G660" s="4" t="s">
        <v>72</v>
      </c>
      <c r="H660" s="4" t="s">
        <v>25</v>
      </c>
      <c r="I660" s="5">
        <v>44470</v>
      </c>
      <c r="J660" s="6">
        <v>4500</v>
      </c>
      <c r="K660" s="6">
        <v>2250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4" t="s">
        <v>68</v>
      </c>
      <c r="R660" s="4">
        <v>29075</v>
      </c>
      <c r="S660" s="6">
        <v>38</v>
      </c>
      <c r="T660" s="6">
        <v>0</v>
      </c>
      <c r="U660" s="6">
        <v>0</v>
      </c>
      <c r="V660" s="6">
        <f>IF(ISERROR(VLOOKUP($S$660,'TAR FIN'!$A$1:$O$104,15,0)),0,VLOOKUP($S$660,'TAR FIN'!$A$1:$O$104,15,0))</f>
        <v>14.41</v>
      </c>
      <c r="W660" s="6">
        <f>IF(ISERROR(VLOOKUP($T$660,'TAR FIN'!$A$1:$O$104,15,0)),0,VLOOKUP($T$660,'TAR FIN'!$A$1:$O$104,15,0))</f>
        <v>0</v>
      </c>
      <c r="X660" s="6">
        <f>IF(ISERROR(VLOOKUP($U$660,'TAR FIN'!$A$1:$O$104,15,0)),0,VLOOKUP($U$660,'TAR FIN'!$A$1:$O$104,15,0))</f>
        <v>0</v>
      </c>
      <c r="Y660" s="6">
        <f ca="1">('TUSD BE'!$AM$23+'TUSD BF'!$AM$23+'TUSD CVA'!$AM$23)*1</f>
        <v>14.494286200962303</v>
      </c>
      <c r="Z660" s="6"/>
      <c r="AA660" s="6"/>
      <c r="AB660" s="6">
        <f>$K$660*$V$660</f>
        <v>32422.5</v>
      </c>
      <c r="AC660" s="6">
        <f>$M$660*$W$660</f>
        <v>0</v>
      </c>
      <c r="AD660" s="6">
        <f>$O$660*$X$660</f>
        <v>0</v>
      </c>
      <c r="AE660" s="6">
        <f ca="1">$K$660*$Y$660</f>
        <v>32612.143952165185</v>
      </c>
      <c r="AF660" s="6">
        <f>$M$660*$Z$660</f>
        <v>0</v>
      </c>
      <c r="AG660" s="6">
        <f>$O$660*$AA$660</f>
        <v>0</v>
      </c>
    </row>
    <row r="661" spans="1:33" ht="11.25" customHeight="1" x14ac:dyDescent="0.25">
      <c r="A661" s="4" t="s">
        <v>21</v>
      </c>
      <c r="B661" s="4" t="s">
        <v>41</v>
      </c>
      <c r="C661" s="4" t="s">
        <v>66</v>
      </c>
      <c r="D661" s="4" t="s">
        <v>25</v>
      </c>
      <c r="E661" s="4" t="s">
        <v>25</v>
      </c>
      <c r="F661" s="4" t="s">
        <v>25</v>
      </c>
      <c r="G661" s="4" t="s">
        <v>74</v>
      </c>
      <c r="H661" s="4" t="s">
        <v>25</v>
      </c>
      <c r="I661" s="5">
        <v>44470</v>
      </c>
      <c r="J661" s="6">
        <v>3000</v>
      </c>
      <c r="K661" s="6">
        <v>1500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4" t="s">
        <v>68</v>
      </c>
      <c r="S661" s="6">
        <v>38</v>
      </c>
      <c r="T661" s="6">
        <v>0</v>
      </c>
      <c r="U661" s="6">
        <v>0</v>
      </c>
      <c r="V661" s="6">
        <f>IF(ISERROR(VLOOKUP($S$661,'TAR FIN'!$A$1:$O$104,15,0)),0,VLOOKUP($S$661,'TAR FIN'!$A$1:$O$104,15,0))</f>
        <v>14.41</v>
      </c>
      <c r="W661" s="6">
        <f>IF(ISERROR(VLOOKUP($T$661,'TAR FIN'!$A$1:$O$104,15,0)),0,VLOOKUP($T$661,'TAR FIN'!$A$1:$O$104,15,0))</f>
        <v>0</v>
      </c>
      <c r="X661" s="6">
        <f>IF(ISERROR(VLOOKUP($U$661,'TAR FIN'!$A$1:$O$104,15,0)),0,VLOOKUP($U$661,'TAR FIN'!$A$1:$O$104,15,0))</f>
        <v>0</v>
      </c>
      <c r="Y661" s="6">
        <f ca="1">('TUSD BE'!$AM$23+'TUSD BF'!$AM$23+'TUSD CVA'!$AM$23)*1</f>
        <v>14.494286200962303</v>
      </c>
      <c r="Z661" s="6"/>
      <c r="AA661" s="6"/>
      <c r="AB661" s="6">
        <f>$K$661*$V$661</f>
        <v>21615</v>
      </c>
      <c r="AC661" s="6">
        <f>$M$661*$W$661</f>
        <v>0</v>
      </c>
      <c r="AD661" s="6">
        <f>$O$661*$X$661</f>
        <v>0</v>
      </c>
      <c r="AE661" s="6">
        <f ca="1">$K$661*$Y$661</f>
        <v>21741.429301443455</v>
      </c>
      <c r="AF661" s="6">
        <f>$M$661*$Z$661</f>
        <v>0</v>
      </c>
      <c r="AG661" s="6">
        <f>$O$661*$AA$661</f>
        <v>0</v>
      </c>
    </row>
    <row r="662" spans="1:33" ht="11.25" customHeight="1" x14ac:dyDescent="0.25">
      <c r="A662" s="4" t="s">
        <v>21</v>
      </c>
      <c r="B662" s="4" t="s">
        <v>41</v>
      </c>
      <c r="C662" s="4" t="s">
        <v>66</v>
      </c>
      <c r="D662" s="4" t="s">
        <v>25</v>
      </c>
      <c r="E662" s="4" t="s">
        <v>25</v>
      </c>
      <c r="F662" s="4" t="s">
        <v>25</v>
      </c>
      <c r="G662" s="4" t="s">
        <v>80</v>
      </c>
      <c r="H662" s="4" t="s">
        <v>25</v>
      </c>
      <c r="I662" s="5">
        <v>44470</v>
      </c>
      <c r="J662" s="6">
        <v>3884</v>
      </c>
      <c r="K662" s="6">
        <v>1942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4" t="s">
        <v>68</v>
      </c>
      <c r="R662" s="4">
        <v>34891</v>
      </c>
      <c r="S662" s="6">
        <v>38</v>
      </c>
      <c r="T662" s="6">
        <v>0</v>
      </c>
      <c r="U662" s="6">
        <v>0</v>
      </c>
      <c r="V662" s="6">
        <f>IF(ISERROR(VLOOKUP($S$662,'TAR FIN'!$A$1:$O$104,15,0)),0,VLOOKUP($S$662,'TAR FIN'!$A$1:$O$104,15,0))</f>
        <v>14.41</v>
      </c>
      <c r="W662" s="6">
        <f>IF(ISERROR(VLOOKUP($T$662,'TAR FIN'!$A$1:$O$104,15,0)),0,VLOOKUP($T$662,'TAR FIN'!$A$1:$O$104,15,0))</f>
        <v>0</v>
      </c>
      <c r="X662" s="6">
        <f>IF(ISERROR(VLOOKUP($U$662,'TAR FIN'!$A$1:$O$104,15,0)),0,VLOOKUP($U$662,'TAR FIN'!$A$1:$O$104,15,0))</f>
        <v>0</v>
      </c>
      <c r="Y662" s="6">
        <f ca="1">('TUSD BE'!$AM$23+'TUSD BF'!$AM$23+'TUSD CVA'!$AM$23)*1</f>
        <v>14.494286200962303</v>
      </c>
      <c r="Z662" s="6"/>
      <c r="AA662" s="6"/>
      <c r="AB662" s="6">
        <f>$K$662*$V$662</f>
        <v>27984.22</v>
      </c>
      <c r="AC662" s="6">
        <f>$M$662*$W$662</f>
        <v>0</v>
      </c>
      <c r="AD662" s="6">
        <f>$O$662*$X$662</f>
        <v>0</v>
      </c>
      <c r="AE662" s="6">
        <f ca="1">$K$662*$Y$662</f>
        <v>28147.903802268793</v>
      </c>
      <c r="AF662" s="6">
        <f>$M$662*$Z$662</f>
        <v>0</v>
      </c>
      <c r="AG662" s="6">
        <f>$O$662*$AA$662</f>
        <v>0</v>
      </c>
    </row>
    <row r="663" spans="1:33" ht="11.25" customHeight="1" x14ac:dyDescent="0.25">
      <c r="A663" s="4" t="s">
        <v>21</v>
      </c>
      <c r="B663" s="4" t="s">
        <v>41</v>
      </c>
      <c r="C663" s="4" t="s">
        <v>66</v>
      </c>
      <c r="D663" s="4" t="s">
        <v>25</v>
      </c>
      <c r="E663" s="4" t="s">
        <v>25</v>
      </c>
      <c r="F663" s="4" t="s">
        <v>25</v>
      </c>
      <c r="G663" s="4" t="s">
        <v>81</v>
      </c>
      <c r="H663" s="4" t="s">
        <v>25</v>
      </c>
      <c r="I663" s="5">
        <v>44470</v>
      </c>
      <c r="J663" s="6">
        <v>600</v>
      </c>
      <c r="K663" s="6">
        <v>300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4" t="s">
        <v>68</v>
      </c>
      <c r="R663" s="4">
        <v>34893</v>
      </c>
      <c r="S663" s="6">
        <v>38</v>
      </c>
      <c r="T663" s="6">
        <v>0</v>
      </c>
      <c r="U663" s="6">
        <v>0</v>
      </c>
      <c r="V663" s="6">
        <f>IF(ISERROR(VLOOKUP($S$663,'TAR FIN'!$A$1:$O$104,15,0)),0,VLOOKUP($S$663,'TAR FIN'!$A$1:$O$104,15,0))</f>
        <v>14.41</v>
      </c>
      <c r="W663" s="6">
        <f>IF(ISERROR(VLOOKUP($T$663,'TAR FIN'!$A$1:$O$104,15,0)),0,VLOOKUP($T$663,'TAR FIN'!$A$1:$O$104,15,0))</f>
        <v>0</v>
      </c>
      <c r="X663" s="6">
        <f>IF(ISERROR(VLOOKUP($U$663,'TAR FIN'!$A$1:$O$104,15,0)),0,VLOOKUP($U$663,'TAR FIN'!$A$1:$O$104,15,0))</f>
        <v>0</v>
      </c>
      <c r="Y663" s="6">
        <f ca="1">('TUSD BE'!$AM$23+'TUSD BF'!$AM$23+'TUSD CVA'!$AM$23)*1</f>
        <v>14.494286200962303</v>
      </c>
      <c r="Z663" s="6"/>
      <c r="AA663" s="6"/>
      <c r="AB663" s="6">
        <f>$K$663*$V$663</f>
        <v>4323</v>
      </c>
      <c r="AC663" s="6">
        <f>$M$663*$W$663</f>
        <v>0</v>
      </c>
      <c r="AD663" s="6">
        <f>$O$663*$X$663</f>
        <v>0</v>
      </c>
      <c r="AE663" s="6">
        <f ca="1">$K$663*$Y$663</f>
        <v>4348.2858602886909</v>
      </c>
      <c r="AF663" s="6">
        <f>$M$663*$Z$663</f>
        <v>0</v>
      </c>
      <c r="AG663" s="6">
        <f>$O$663*$AA$663</f>
        <v>0</v>
      </c>
    </row>
    <row r="664" spans="1:33" ht="11.25" customHeight="1" x14ac:dyDescent="0.25">
      <c r="A664" s="4" t="s">
        <v>21</v>
      </c>
      <c r="B664" s="4" t="s">
        <v>41</v>
      </c>
      <c r="C664" s="4" t="s">
        <v>66</v>
      </c>
      <c r="D664" s="4" t="s">
        <v>25</v>
      </c>
      <c r="E664" s="4" t="s">
        <v>25</v>
      </c>
      <c r="F664" s="4" t="s">
        <v>25</v>
      </c>
      <c r="G664" s="4" t="s">
        <v>82</v>
      </c>
      <c r="H664" s="4" t="s">
        <v>25</v>
      </c>
      <c r="I664" s="5">
        <v>44470</v>
      </c>
      <c r="J664" s="6">
        <v>4800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4" t="s">
        <v>68</v>
      </c>
      <c r="R664" s="4">
        <v>43199</v>
      </c>
      <c r="S664" s="6">
        <v>38</v>
      </c>
      <c r="T664" s="6">
        <v>0</v>
      </c>
      <c r="U664" s="6">
        <v>0</v>
      </c>
      <c r="V664" s="6">
        <f>IF(ISERROR(VLOOKUP($S$664,'TAR FIN'!$A$1:$O$104,15,0)),0,VLOOKUP($S$664,'TAR FIN'!$A$1:$O$104,15,0))</f>
        <v>14.41</v>
      </c>
      <c r="W664" s="6">
        <f>IF(ISERROR(VLOOKUP($T$664,'TAR FIN'!$A$1:$O$104,15,0)),0,VLOOKUP($T$664,'TAR FIN'!$A$1:$O$104,15,0))</f>
        <v>0</v>
      </c>
      <c r="X664" s="6">
        <f>IF(ISERROR(VLOOKUP($U$664,'TAR FIN'!$A$1:$O$104,15,0)),0,VLOOKUP($U$664,'TAR FIN'!$A$1:$O$104,15,0))</f>
        <v>0</v>
      </c>
      <c r="Y664" s="6">
        <f ca="1">('TUSD BE'!$AM$23+'TUSD BF'!$AM$23+'TUSD CVA'!$AM$23)*1</f>
        <v>14.494286200962303</v>
      </c>
      <c r="Z664" s="6"/>
      <c r="AA664" s="6"/>
      <c r="AB664" s="6">
        <f>$K$664*$V$664</f>
        <v>0</v>
      </c>
      <c r="AC664" s="6">
        <f>$M$664*$W$664</f>
        <v>0</v>
      </c>
      <c r="AD664" s="6">
        <f>$O$664*$X$664</f>
        <v>0</v>
      </c>
      <c r="AE664" s="6">
        <f ca="1">$K$664*$Y$664</f>
        <v>0</v>
      </c>
      <c r="AF664" s="6">
        <f>$M$664*$Z$664</f>
        <v>0</v>
      </c>
      <c r="AG664" s="6">
        <f>$O$664*$AA$664</f>
        <v>0</v>
      </c>
    </row>
    <row r="665" spans="1:33" ht="11.25" customHeight="1" x14ac:dyDescent="0.25">
      <c r="A665" s="4" t="s">
        <v>21</v>
      </c>
      <c r="B665" s="4" t="s">
        <v>41</v>
      </c>
      <c r="C665" s="4" t="s">
        <v>66</v>
      </c>
      <c r="D665" s="4" t="s">
        <v>25</v>
      </c>
      <c r="E665" s="4" t="s">
        <v>25</v>
      </c>
      <c r="F665" s="4" t="s">
        <v>25</v>
      </c>
      <c r="G665" s="4" t="s">
        <v>83</v>
      </c>
      <c r="H665" s="4" t="s">
        <v>25</v>
      </c>
      <c r="I665" s="5">
        <v>44470</v>
      </c>
      <c r="J665" s="6">
        <v>200</v>
      </c>
      <c r="K665" s="6">
        <v>100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4" t="s">
        <v>68</v>
      </c>
      <c r="S665" s="6">
        <v>38</v>
      </c>
      <c r="T665" s="6">
        <v>0</v>
      </c>
      <c r="U665" s="6">
        <v>0</v>
      </c>
      <c r="V665" s="6">
        <f>IF(ISERROR(VLOOKUP($S$665,'TAR FIN'!$A$1:$O$104,15,0)),0,VLOOKUP($S$665,'TAR FIN'!$A$1:$O$104,15,0))</f>
        <v>14.41</v>
      </c>
      <c r="W665" s="6">
        <f>IF(ISERROR(VLOOKUP($T$665,'TAR FIN'!$A$1:$O$104,15,0)),0,VLOOKUP($T$665,'TAR FIN'!$A$1:$O$104,15,0))</f>
        <v>0</v>
      </c>
      <c r="X665" s="6">
        <f>IF(ISERROR(VLOOKUP($U$665,'TAR FIN'!$A$1:$O$104,15,0)),0,VLOOKUP($U$665,'TAR FIN'!$A$1:$O$104,15,0))</f>
        <v>0</v>
      </c>
      <c r="Y665" s="6">
        <f ca="1">('TUSD BE'!$AM$23+'TUSD BF'!$AM$23+'TUSD CVA'!$AM$23)*1</f>
        <v>14.494286200962303</v>
      </c>
      <c r="Z665" s="6"/>
      <c r="AA665" s="6"/>
      <c r="AB665" s="6">
        <f>$K$665*$V$665</f>
        <v>1441</v>
      </c>
      <c r="AC665" s="6">
        <f>$M$665*$W$665</f>
        <v>0</v>
      </c>
      <c r="AD665" s="6">
        <f>$O$665*$X$665</f>
        <v>0</v>
      </c>
      <c r="AE665" s="6">
        <f ca="1">$K$665*$Y$665</f>
        <v>1449.4286200962304</v>
      </c>
      <c r="AF665" s="6">
        <f>$M$665*$Z$665</f>
        <v>0</v>
      </c>
      <c r="AG665" s="6">
        <f>$O$665*$AA$665</f>
        <v>0</v>
      </c>
    </row>
    <row r="666" spans="1:33" ht="11.25" customHeight="1" x14ac:dyDescent="0.25">
      <c r="A666" s="4" t="s">
        <v>21</v>
      </c>
      <c r="B666" s="4" t="s">
        <v>41</v>
      </c>
      <c r="C666" s="4" t="s">
        <v>66</v>
      </c>
      <c r="D666" s="4" t="s">
        <v>25</v>
      </c>
      <c r="E666" s="4" t="s">
        <v>25</v>
      </c>
      <c r="F666" s="4" t="s">
        <v>25</v>
      </c>
      <c r="G666" s="4" t="s">
        <v>84</v>
      </c>
      <c r="H666" s="4" t="s">
        <v>25</v>
      </c>
      <c r="I666" s="5">
        <v>44470</v>
      </c>
      <c r="J666" s="6">
        <v>250</v>
      </c>
      <c r="K666" s="6">
        <v>125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4" t="s">
        <v>68</v>
      </c>
      <c r="S666" s="6">
        <v>38</v>
      </c>
      <c r="T666" s="6">
        <v>0</v>
      </c>
      <c r="U666" s="6">
        <v>0</v>
      </c>
      <c r="V666" s="6">
        <f>IF(ISERROR(VLOOKUP($S$666,'TAR FIN'!$A$1:$O$104,15,0)),0,VLOOKUP($S$666,'TAR FIN'!$A$1:$O$104,15,0))</f>
        <v>14.41</v>
      </c>
      <c r="W666" s="6">
        <f>IF(ISERROR(VLOOKUP($T$666,'TAR FIN'!$A$1:$O$104,15,0)),0,VLOOKUP($T$666,'TAR FIN'!$A$1:$O$104,15,0))</f>
        <v>0</v>
      </c>
      <c r="X666" s="6">
        <f>IF(ISERROR(VLOOKUP($U$666,'TAR FIN'!$A$1:$O$104,15,0)),0,VLOOKUP($U$666,'TAR FIN'!$A$1:$O$104,15,0))</f>
        <v>0</v>
      </c>
      <c r="Y666" s="6">
        <f ca="1">('TUSD BE'!$AM$23+'TUSD BF'!$AM$23+'TUSD CVA'!$AM$23)*1</f>
        <v>14.494286200962303</v>
      </c>
      <c r="Z666" s="6"/>
      <c r="AA666" s="6"/>
      <c r="AB666" s="6">
        <f>$K$666*$V$666</f>
        <v>1801.25</v>
      </c>
      <c r="AC666" s="6">
        <f>$M$666*$W$666</f>
        <v>0</v>
      </c>
      <c r="AD666" s="6">
        <f>$O$666*$X$666</f>
        <v>0</v>
      </c>
      <c r="AE666" s="6">
        <f ca="1">$K$666*$Y$666</f>
        <v>1811.785775120288</v>
      </c>
      <c r="AF666" s="6">
        <f>$M$666*$Z$666</f>
        <v>0</v>
      </c>
      <c r="AG666" s="6">
        <f>$O$666*$AA$666</f>
        <v>0</v>
      </c>
    </row>
    <row r="667" spans="1:33" ht="11.25" customHeight="1" x14ac:dyDescent="0.25">
      <c r="A667" s="4" t="s">
        <v>21</v>
      </c>
      <c r="B667" s="4" t="s">
        <v>41</v>
      </c>
      <c r="C667" s="4" t="s">
        <v>66</v>
      </c>
      <c r="D667" s="4" t="s">
        <v>25</v>
      </c>
      <c r="E667" s="4" t="s">
        <v>25</v>
      </c>
      <c r="F667" s="4" t="s">
        <v>25</v>
      </c>
      <c r="G667" s="4" t="s">
        <v>85</v>
      </c>
      <c r="H667" s="4" t="s">
        <v>25</v>
      </c>
      <c r="I667" s="5">
        <v>44470</v>
      </c>
      <c r="J667" s="6">
        <v>250</v>
      </c>
      <c r="K667" s="6">
        <v>125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4" t="s">
        <v>68</v>
      </c>
      <c r="R667" s="4">
        <v>52044</v>
      </c>
      <c r="S667" s="6">
        <v>38</v>
      </c>
      <c r="T667" s="6">
        <v>0</v>
      </c>
      <c r="U667" s="6">
        <v>0</v>
      </c>
      <c r="V667" s="6">
        <f>IF(ISERROR(VLOOKUP($S$667,'TAR FIN'!$A$1:$O$104,15,0)),0,VLOOKUP($S$667,'TAR FIN'!$A$1:$O$104,15,0))</f>
        <v>14.41</v>
      </c>
      <c r="W667" s="6">
        <f>IF(ISERROR(VLOOKUP($T$667,'TAR FIN'!$A$1:$O$104,15,0)),0,VLOOKUP($T$667,'TAR FIN'!$A$1:$O$104,15,0))</f>
        <v>0</v>
      </c>
      <c r="X667" s="6">
        <f>IF(ISERROR(VLOOKUP($U$667,'TAR FIN'!$A$1:$O$104,15,0)),0,VLOOKUP($U$667,'TAR FIN'!$A$1:$O$104,15,0))</f>
        <v>0</v>
      </c>
      <c r="Y667" s="6">
        <f ca="1">('TUSD BE'!$AM$23+'TUSD BF'!$AM$23+'TUSD CVA'!$AM$23)*1</f>
        <v>14.494286200962303</v>
      </c>
      <c r="Z667" s="6"/>
      <c r="AA667" s="6"/>
      <c r="AB667" s="6">
        <f>$K$667*$V$667</f>
        <v>1801.25</v>
      </c>
      <c r="AC667" s="6">
        <f>$M$667*$W$667</f>
        <v>0</v>
      </c>
      <c r="AD667" s="6">
        <f>$O$667*$X$667</f>
        <v>0</v>
      </c>
      <c r="AE667" s="6">
        <f ca="1">$K$667*$Y$667</f>
        <v>1811.785775120288</v>
      </c>
      <c r="AF667" s="6">
        <f>$M$667*$Z$667</f>
        <v>0</v>
      </c>
      <c r="AG667" s="6">
        <f>$O$667*$AA$667</f>
        <v>0</v>
      </c>
    </row>
    <row r="668" spans="1:33" ht="11.25" customHeight="1" x14ac:dyDescent="0.25">
      <c r="A668" s="4" t="s">
        <v>21</v>
      </c>
      <c r="B668" s="4" t="s">
        <v>41</v>
      </c>
      <c r="C668" s="4" t="s">
        <v>66</v>
      </c>
      <c r="D668" s="4" t="s">
        <v>25</v>
      </c>
      <c r="E668" s="4" t="s">
        <v>25</v>
      </c>
      <c r="F668" s="4" t="s">
        <v>25</v>
      </c>
      <c r="G668" s="4" t="s">
        <v>72</v>
      </c>
      <c r="H668" s="4" t="s">
        <v>25</v>
      </c>
      <c r="I668" s="5">
        <v>44501</v>
      </c>
      <c r="J668" s="6">
        <v>4500</v>
      </c>
      <c r="K668" s="6">
        <v>2250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4" t="s">
        <v>68</v>
      </c>
      <c r="R668" s="4">
        <v>29075</v>
      </c>
      <c r="S668" s="6">
        <v>38</v>
      </c>
      <c r="T668" s="6">
        <v>0</v>
      </c>
      <c r="U668" s="6">
        <v>0</v>
      </c>
      <c r="V668" s="6">
        <f>IF(ISERROR(VLOOKUP($S$668,'TAR FIN'!$A$1:$O$104,15,0)),0,VLOOKUP($S$668,'TAR FIN'!$A$1:$O$104,15,0))</f>
        <v>14.41</v>
      </c>
      <c r="W668" s="6">
        <f>IF(ISERROR(VLOOKUP($T$668,'TAR FIN'!$A$1:$O$104,15,0)),0,VLOOKUP($T$668,'TAR FIN'!$A$1:$O$104,15,0))</f>
        <v>0</v>
      </c>
      <c r="X668" s="6">
        <f>IF(ISERROR(VLOOKUP($U$668,'TAR FIN'!$A$1:$O$104,15,0)),0,VLOOKUP($U$668,'TAR FIN'!$A$1:$O$104,15,0))</f>
        <v>0</v>
      </c>
      <c r="Y668" s="6">
        <f ca="1">('TUSD BE'!$AM$23+'TUSD BF'!$AM$23+'TUSD CVA'!$AM$23)*1</f>
        <v>14.494286200962303</v>
      </c>
      <c r="Z668" s="6"/>
      <c r="AA668" s="6"/>
      <c r="AB668" s="6">
        <f>$K$668*$V$668</f>
        <v>32422.5</v>
      </c>
      <c r="AC668" s="6">
        <f>$M$668*$W$668</f>
        <v>0</v>
      </c>
      <c r="AD668" s="6">
        <f>$O$668*$X$668</f>
        <v>0</v>
      </c>
      <c r="AE668" s="6">
        <f ca="1">$K$668*$Y$668</f>
        <v>32612.143952165185</v>
      </c>
      <c r="AF668" s="6">
        <f>$M$668*$Z$668</f>
        <v>0</v>
      </c>
      <c r="AG668" s="6">
        <f>$O$668*$AA$668</f>
        <v>0</v>
      </c>
    </row>
    <row r="669" spans="1:33" ht="11.25" customHeight="1" x14ac:dyDescent="0.25">
      <c r="A669" s="4" t="s">
        <v>21</v>
      </c>
      <c r="B669" s="4" t="s">
        <v>41</v>
      </c>
      <c r="C669" s="4" t="s">
        <v>66</v>
      </c>
      <c r="D669" s="4" t="s">
        <v>25</v>
      </c>
      <c r="E669" s="4" t="s">
        <v>25</v>
      </c>
      <c r="F669" s="4" t="s">
        <v>25</v>
      </c>
      <c r="G669" s="4" t="s">
        <v>74</v>
      </c>
      <c r="H669" s="4" t="s">
        <v>25</v>
      </c>
      <c r="I669" s="5">
        <v>44501</v>
      </c>
      <c r="J669" s="6">
        <v>3000</v>
      </c>
      <c r="K669" s="6">
        <v>1500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4" t="s">
        <v>68</v>
      </c>
      <c r="S669" s="6">
        <v>38</v>
      </c>
      <c r="T669" s="6">
        <v>0</v>
      </c>
      <c r="U669" s="6">
        <v>0</v>
      </c>
      <c r="V669" s="6">
        <f>IF(ISERROR(VLOOKUP($S$669,'TAR FIN'!$A$1:$O$104,15,0)),0,VLOOKUP($S$669,'TAR FIN'!$A$1:$O$104,15,0))</f>
        <v>14.41</v>
      </c>
      <c r="W669" s="6">
        <f>IF(ISERROR(VLOOKUP($T$669,'TAR FIN'!$A$1:$O$104,15,0)),0,VLOOKUP($T$669,'TAR FIN'!$A$1:$O$104,15,0))</f>
        <v>0</v>
      </c>
      <c r="X669" s="6">
        <f>IF(ISERROR(VLOOKUP($U$669,'TAR FIN'!$A$1:$O$104,15,0)),0,VLOOKUP($U$669,'TAR FIN'!$A$1:$O$104,15,0))</f>
        <v>0</v>
      </c>
      <c r="Y669" s="6">
        <f ca="1">('TUSD BE'!$AM$23+'TUSD BF'!$AM$23+'TUSD CVA'!$AM$23)*1</f>
        <v>14.494286200962303</v>
      </c>
      <c r="Z669" s="6"/>
      <c r="AA669" s="6"/>
      <c r="AB669" s="6">
        <f>$K$669*$V$669</f>
        <v>21615</v>
      </c>
      <c r="AC669" s="6">
        <f>$M$669*$W$669</f>
        <v>0</v>
      </c>
      <c r="AD669" s="6">
        <f>$O$669*$X$669</f>
        <v>0</v>
      </c>
      <c r="AE669" s="6">
        <f ca="1">$K$669*$Y$669</f>
        <v>21741.429301443455</v>
      </c>
      <c r="AF669" s="6">
        <f>$M$669*$Z$669</f>
        <v>0</v>
      </c>
      <c r="AG669" s="6">
        <f>$O$669*$AA$669</f>
        <v>0</v>
      </c>
    </row>
    <row r="670" spans="1:33" ht="11.25" customHeight="1" x14ac:dyDescent="0.25">
      <c r="A670" s="4" t="s">
        <v>21</v>
      </c>
      <c r="B670" s="4" t="s">
        <v>41</v>
      </c>
      <c r="C670" s="4" t="s">
        <v>66</v>
      </c>
      <c r="D670" s="4" t="s">
        <v>25</v>
      </c>
      <c r="E670" s="4" t="s">
        <v>25</v>
      </c>
      <c r="F670" s="4" t="s">
        <v>25</v>
      </c>
      <c r="G670" s="4" t="s">
        <v>80</v>
      </c>
      <c r="H670" s="4" t="s">
        <v>25</v>
      </c>
      <c r="I670" s="5">
        <v>44501</v>
      </c>
      <c r="J670" s="6">
        <v>4641</v>
      </c>
      <c r="K670" s="6">
        <v>2320.5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4" t="s">
        <v>68</v>
      </c>
      <c r="R670" s="4">
        <v>34891</v>
      </c>
      <c r="S670" s="6">
        <v>38</v>
      </c>
      <c r="T670" s="6">
        <v>0</v>
      </c>
      <c r="U670" s="6">
        <v>0</v>
      </c>
      <c r="V670" s="6">
        <f>IF(ISERROR(VLOOKUP($S$670,'TAR FIN'!$A$1:$O$104,15,0)),0,VLOOKUP($S$670,'TAR FIN'!$A$1:$O$104,15,0))</f>
        <v>14.41</v>
      </c>
      <c r="W670" s="6">
        <f>IF(ISERROR(VLOOKUP($T$670,'TAR FIN'!$A$1:$O$104,15,0)),0,VLOOKUP($T$670,'TAR FIN'!$A$1:$O$104,15,0))</f>
        <v>0</v>
      </c>
      <c r="X670" s="6">
        <f>IF(ISERROR(VLOOKUP($U$670,'TAR FIN'!$A$1:$O$104,15,0)),0,VLOOKUP($U$670,'TAR FIN'!$A$1:$O$104,15,0))</f>
        <v>0</v>
      </c>
      <c r="Y670" s="6">
        <f ca="1">('TUSD BE'!$AM$23+'TUSD BF'!$AM$23+'TUSD CVA'!$AM$23)*1</f>
        <v>14.494286200962303</v>
      </c>
      <c r="Z670" s="6"/>
      <c r="AA670" s="6"/>
      <c r="AB670" s="6">
        <f>$K$670*$V$670</f>
        <v>33438.404999999999</v>
      </c>
      <c r="AC670" s="6">
        <f>$M$670*$W$670</f>
        <v>0</v>
      </c>
      <c r="AD670" s="6">
        <f>$O$670*$X$670</f>
        <v>0</v>
      </c>
      <c r="AE670" s="6">
        <f ca="1">$K$670*$Y$670</f>
        <v>33633.991129333022</v>
      </c>
      <c r="AF670" s="6">
        <f>$M$670*$Z$670</f>
        <v>0</v>
      </c>
      <c r="AG670" s="6">
        <f>$O$670*$AA$670</f>
        <v>0</v>
      </c>
    </row>
    <row r="671" spans="1:33" ht="11.25" customHeight="1" x14ac:dyDescent="0.25">
      <c r="A671" s="4" t="s">
        <v>21</v>
      </c>
      <c r="B671" s="4" t="s">
        <v>41</v>
      </c>
      <c r="C671" s="4" t="s">
        <v>66</v>
      </c>
      <c r="D671" s="4" t="s">
        <v>25</v>
      </c>
      <c r="E671" s="4" t="s">
        <v>25</v>
      </c>
      <c r="F671" s="4" t="s">
        <v>25</v>
      </c>
      <c r="G671" s="4" t="s">
        <v>81</v>
      </c>
      <c r="H671" s="4" t="s">
        <v>25</v>
      </c>
      <c r="I671" s="5">
        <v>44501</v>
      </c>
      <c r="J671" s="6">
        <v>1025</v>
      </c>
      <c r="K671" s="6">
        <v>512.5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4" t="s">
        <v>68</v>
      </c>
      <c r="R671" s="4">
        <v>34893</v>
      </c>
      <c r="S671" s="6">
        <v>38</v>
      </c>
      <c r="T671" s="6">
        <v>0</v>
      </c>
      <c r="U671" s="6">
        <v>0</v>
      </c>
      <c r="V671" s="6">
        <f>IF(ISERROR(VLOOKUP($S$671,'TAR FIN'!$A$1:$O$104,15,0)),0,VLOOKUP($S$671,'TAR FIN'!$A$1:$O$104,15,0))</f>
        <v>14.41</v>
      </c>
      <c r="W671" s="6">
        <f>IF(ISERROR(VLOOKUP($T$671,'TAR FIN'!$A$1:$O$104,15,0)),0,VLOOKUP($T$671,'TAR FIN'!$A$1:$O$104,15,0))</f>
        <v>0</v>
      </c>
      <c r="X671" s="6">
        <f>IF(ISERROR(VLOOKUP($U$671,'TAR FIN'!$A$1:$O$104,15,0)),0,VLOOKUP($U$671,'TAR FIN'!$A$1:$O$104,15,0))</f>
        <v>0</v>
      </c>
      <c r="Y671" s="6">
        <f ca="1">('TUSD BE'!$AM$23+'TUSD BF'!$AM$23+'TUSD CVA'!$AM$23)*1</f>
        <v>14.494286200962303</v>
      </c>
      <c r="Z671" s="6"/>
      <c r="AA671" s="6"/>
      <c r="AB671" s="6">
        <f>$K$671*$V$671</f>
        <v>7385.125</v>
      </c>
      <c r="AC671" s="6">
        <f>$M$671*$W$671</f>
        <v>0</v>
      </c>
      <c r="AD671" s="6">
        <f>$O$671*$X$671</f>
        <v>0</v>
      </c>
      <c r="AE671" s="6">
        <f ca="1">$K$671*$Y$671</f>
        <v>7428.3216779931809</v>
      </c>
      <c r="AF671" s="6">
        <f>$M$671*$Z$671</f>
        <v>0</v>
      </c>
      <c r="AG671" s="6">
        <f>$O$671*$AA$671</f>
        <v>0</v>
      </c>
    </row>
    <row r="672" spans="1:33" ht="11.25" customHeight="1" x14ac:dyDescent="0.25">
      <c r="A672" s="4" t="s">
        <v>27</v>
      </c>
      <c r="B672" s="4" t="s">
        <v>41</v>
      </c>
      <c r="C672" s="4" t="s">
        <v>66</v>
      </c>
      <c r="D672" s="4" t="s">
        <v>25</v>
      </c>
      <c r="E672" s="4" t="s">
        <v>25</v>
      </c>
      <c r="F672" s="4" t="s">
        <v>25</v>
      </c>
      <c r="G672" s="4" t="s">
        <v>81</v>
      </c>
      <c r="H672" s="4" t="s">
        <v>25</v>
      </c>
      <c r="I672" s="5">
        <v>44501</v>
      </c>
      <c r="J672" s="6">
        <v>297</v>
      </c>
      <c r="K672" s="6">
        <v>297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4" t="s">
        <v>68</v>
      </c>
      <c r="R672" s="4">
        <v>34893</v>
      </c>
      <c r="S672" s="6">
        <v>38</v>
      </c>
      <c r="T672" s="6">
        <v>0</v>
      </c>
      <c r="U672" s="6">
        <v>0</v>
      </c>
      <c r="V672" s="6">
        <f>IF(ISERROR(VLOOKUP($S$672,'TAR FIN'!$A$1:$O$104,15,0)),0,VLOOKUP($S$672,'TAR FIN'!$A$1:$O$104,15,0))</f>
        <v>14.41</v>
      </c>
      <c r="W672" s="6">
        <f>IF(ISERROR(VLOOKUP($T$672,'TAR FIN'!$A$1:$O$104,15,0)),0,VLOOKUP($T$672,'TAR FIN'!$A$1:$O$104,15,0))</f>
        <v>0</v>
      </c>
      <c r="X672" s="6">
        <f>IF(ISERROR(VLOOKUP($U$672,'TAR FIN'!$A$1:$O$104,15,0)),0,VLOOKUP($U$672,'TAR FIN'!$A$1:$O$104,15,0))</f>
        <v>0</v>
      </c>
      <c r="Y672" s="6">
        <f ca="1">('TUSD BE'!$AM$23+'TUSD BF'!$AM$23+'TUSD CVA'!$AM$23)*1</f>
        <v>14.494286200962303</v>
      </c>
      <c r="Z672" s="6"/>
      <c r="AA672" s="6"/>
      <c r="AB672" s="6">
        <f>$K$672*$V$672</f>
        <v>4279.7700000000004</v>
      </c>
      <c r="AC672" s="6">
        <f>$M$672*$W$672</f>
        <v>0</v>
      </c>
      <c r="AD672" s="6">
        <f>$O$672*$X$672</f>
        <v>0</v>
      </c>
      <c r="AE672" s="6">
        <f ca="1">$K$672*$Y$672</f>
        <v>4304.8030016858038</v>
      </c>
      <c r="AF672" s="6">
        <f>$M$672*$Z$672</f>
        <v>0</v>
      </c>
      <c r="AG672" s="6">
        <f>$O$672*$AA$672</f>
        <v>0</v>
      </c>
    </row>
    <row r="673" spans="1:33" ht="11.25" customHeight="1" x14ac:dyDescent="0.25">
      <c r="A673" s="4" t="s">
        <v>21</v>
      </c>
      <c r="B673" s="4" t="s">
        <v>41</v>
      </c>
      <c r="C673" s="4" t="s">
        <v>66</v>
      </c>
      <c r="D673" s="4" t="s">
        <v>25</v>
      </c>
      <c r="E673" s="4" t="s">
        <v>25</v>
      </c>
      <c r="F673" s="4" t="s">
        <v>25</v>
      </c>
      <c r="G673" s="4" t="s">
        <v>82</v>
      </c>
      <c r="H673" s="4" t="s">
        <v>25</v>
      </c>
      <c r="I673" s="5">
        <v>44501</v>
      </c>
      <c r="J673" s="6">
        <v>4800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4" t="s">
        <v>68</v>
      </c>
      <c r="R673" s="4">
        <v>43199</v>
      </c>
      <c r="S673" s="6">
        <v>38</v>
      </c>
      <c r="T673" s="6">
        <v>0</v>
      </c>
      <c r="U673" s="6">
        <v>0</v>
      </c>
      <c r="V673" s="6">
        <f>IF(ISERROR(VLOOKUP($S$673,'TAR FIN'!$A$1:$O$104,15,0)),0,VLOOKUP($S$673,'TAR FIN'!$A$1:$O$104,15,0))</f>
        <v>14.41</v>
      </c>
      <c r="W673" s="6">
        <f>IF(ISERROR(VLOOKUP($T$673,'TAR FIN'!$A$1:$O$104,15,0)),0,VLOOKUP($T$673,'TAR FIN'!$A$1:$O$104,15,0))</f>
        <v>0</v>
      </c>
      <c r="X673" s="6">
        <f>IF(ISERROR(VLOOKUP($U$673,'TAR FIN'!$A$1:$O$104,15,0)),0,VLOOKUP($U$673,'TAR FIN'!$A$1:$O$104,15,0))</f>
        <v>0</v>
      </c>
      <c r="Y673" s="6">
        <f ca="1">('TUSD BE'!$AM$23+'TUSD BF'!$AM$23+'TUSD CVA'!$AM$23)*1</f>
        <v>14.494286200962303</v>
      </c>
      <c r="Z673" s="6"/>
      <c r="AA673" s="6"/>
      <c r="AB673" s="6">
        <f>$K$673*$V$673</f>
        <v>0</v>
      </c>
      <c r="AC673" s="6">
        <f>$M$673*$W$673</f>
        <v>0</v>
      </c>
      <c r="AD673" s="6">
        <f>$O$673*$X$673</f>
        <v>0</v>
      </c>
      <c r="AE673" s="6">
        <f ca="1">$K$673*$Y$673</f>
        <v>0</v>
      </c>
      <c r="AF673" s="6">
        <f>$M$673*$Z$673</f>
        <v>0</v>
      </c>
      <c r="AG673" s="6">
        <f>$O$673*$AA$673</f>
        <v>0</v>
      </c>
    </row>
    <row r="674" spans="1:33" ht="11.25" customHeight="1" x14ac:dyDescent="0.25">
      <c r="A674" s="4" t="s">
        <v>21</v>
      </c>
      <c r="B674" s="4" t="s">
        <v>41</v>
      </c>
      <c r="C674" s="4" t="s">
        <v>66</v>
      </c>
      <c r="D674" s="4" t="s">
        <v>25</v>
      </c>
      <c r="E674" s="4" t="s">
        <v>25</v>
      </c>
      <c r="F674" s="4" t="s">
        <v>25</v>
      </c>
      <c r="G674" s="4" t="s">
        <v>83</v>
      </c>
      <c r="H674" s="4" t="s">
        <v>25</v>
      </c>
      <c r="I674" s="5">
        <v>44501</v>
      </c>
      <c r="J674" s="6">
        <v>1645</v>
      </c>
      <c r="K674" s="6">
        <v>822.5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4" t="s">
        <v>68</v>
      </c>
      <c r="S674" s="6">
        <v>38</v>
      </c>
      <c r="T674" s="6">
        <v>0</v>
      </c>
      <c r="U674" s="6">
        <v>0</v>
      </c>
      <c r="V674" s="6">
        <f>IF(ISERROR(VLOOKUP($S$674,'TAR FIN'!$A$1:$O$104,15,0)),0,VLOOKUP($S$674,'TAR FIN'!$A$1:$O$104,15,0))</f>
        <v>14.41</v>
      </c>
      <c r="W674" s="6">
        <f>IF(ISERROR(VLOOKUP($T$674,'TAR FIN'!$A$1:$O$104,15,0)),0,VLOOKUP($T$674,'TAR FIN'!$A$1:$O$104,15,0))</f>
        <v>0</v>
      </c>
      <c r="X674" s="6">
        <f>IF(ISERROR(VLOOKUP($U$674,'TAR FIN'!$A$1:$O$104,15,0)),0,VLOOKUP($U$674,'TAR FIN'!$A$1:$O$104,15,0))</f>
        <v>0</v>
      </c>
      <c r="Y674" s="6">
        <f ca="1">('TUSD BE'!$AM$23+'TUSD BF'!$AM$23+'TUSD CVA'!$AM$23)*1</f>
        <v>14.494286200962303</v>
      </c>
      <c r="Z674" s="6"/>
      <c r="AA674" s="6"/>
      <c r="AB674" s="6">
        <f>$K$674*$V$674</f>
        <v>11852.225</v>
      </c>
      <c r="AC674" s="6">
        <f>$M$674*$W$674</f>
        <v>0</v>
      </c>
      <c r="AD674" s="6">
        <f>$O$674*$X$674</f>
        <v>0</v>
      </c>
      <c r="AE674" s="6">
        <f ca="1">$K$674*$Y$674</f>
        <v>11921.550400291495</v>
      </c>
      <c r="AF674" s="6">
        <f>$M$674*$Z$674</f>
        <v>0</v>
      </c>
      <c r="AG674" s="6">
        <f>$O$674*$AA$674</f>
        <v>0</v>
      </c>
    </row>
    <row r="675" spans="1:33" ht="11.25" customHeight="1" x14ac:dyDescent="0.25">
      <c r="A675" s="4" t="s">
        <v>27</v>
      </c>
      <c r="B675" s="4" t="s">
        <v>41</v>
      </c>
      <c r="C675" s="4" t="s">
        <v>66</v>
      </c>
      <c r="D675" s="4" t="s">
        <v>25</v>
      </c>
      <c r="E675" s="4" t="s">
        <v>25</v>
      </c>
      <c r="F675" s="4" t="s">
        <v>25</v>
      </c>
      <c r="G675" s="4" t="s">
        <v>83</v>
      </c>
      <c r="H675" s="4" t="s">
        <v>25</v>
      </c>
      <c r="I675" s="5">
        <v>44501</v>
      </c>
      <c r="J675" s="6">
        <v>270</v>
      </c>
      <c r="K675" s="6">
        <v>270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4" t="s">
        <v>68</v>
      </c>
      <c r="S675" s="6">
        <v>38</v>
      </c>
      <c r="T675" s="6">
        <v>0</v>
      </c>
      <c r="U675" s="6">
        <v>0</v>
      </c>
      <c r="V675" s="6">
        <f>IF(ISERROR(VLOOKUP($S$675,'TAR FIN'!$A$1:$O$104,15,0)),0,VLOOKUP($S$675,'TAR FIN'!$A$1:$O$104,15,0))</f>
        <v>14.41</v>
      </c>
      <c r="W675" s="6">
        <f>IF(ISERROR(VLOOKUP($T$675,'TAR FIN'!$A$1:$O$104,15,0)),0,VLOOKUP($T$675,'TAR FIN'!$A$1:$O$104,15,0))</f>
        <v>0</v>
      </c>
      <c r="X675" s="6">
        <f>IF(ISERROR(VLOOKUP($U$675,'TAR FIN'!$A$1:$O$104,15,0)),0,VLOOKUP($U$675,'TAR FIN'!$A$1:$O$104,15,0))</f>
        <v>0</v>
      </c>
      <c r="Y675" s="6">
        <f ca="1">('TUSD BE'!$AM$23+'TUSD BF'!$AM$23+'TUSD CVA'!$AM$23)*1</f>
        <v>14.494286200962303</v>
      </c>
      <c r="Z675" s="6"/>
      <c r="AA675" s="6"/>
      <c r="AB675" s="6">
        <f>$K$675*$V$675</f>
        <v>3890.7</v>
      </c>
      <c r="AC675" s="6">
        <f>$M$675*$W$675</f>
        <v>0</v>
      </c>
      <c r="AD675" s="6">
        <f>$O$675*$X$675</f>
        <v>0</v>
      </c>
      <c r="AE675" s="6">
        <f ca="1">$K$675*$Y$675</f>
        <v>3913.457274259822</v>
      </c>
      <c r="AF675" s="6">
        <f>$M$675*$Z$675</f>
        <v>0</v>
      </c>
      <c r="AG675" s="6">
        <f>$O$675*$AA$675</f>
        <v>0</v>
      </c>
    </row>
    <row r="676" spans="1:33" ht="11.25" customHeight="1" x14ac:dyDescent="0.25">
      <c r="A676" s="4" t="s">
        <v>21</v>
      </c>
      <c r="B676" s="4" t="s">
        <v>41</v>
      </c>
      <c r="C676" s="4" t="s">
        <v>66</v>
      </c>
      <c r="D676" s="4" t="s">
        <v>25</v>
      </c>
      <c r="E676" s="4" t="s">
        <v>25</v>
      </c>
      <c r="F676" s="4" t="s">
        <v>25</v>
      </c>
      <c r="G676" s="4" t="s">
        <v>84</v>
      </c>
      <c r="H676" s="4" t="s">
        <v>25</v>
      </c>
      <c r="I676" s="5">
        <v>44501</v>
      </c>
      <c r="J676" s="6">
        <v>250</v>
      </c>
      <c r="K676" s="6">
        <v>125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4" t="s">
        <v>68</v>
      </c>
      <c r="S676" s="6">
        <v>38</v>
      </c>
      <c r="T676" s="6">
        <v>0</v>
      </c>
      <c r="U676" s="6">
        <v>0</v>
      </c>
      <c r="V676" s="6">
        <f>IF(ISERROR(VLOOKUP($S$676,'TAR FIN'!$A$1:$O$104,15,0)),0,VLOOKUP($S$676,'TAR FIN'!$A$1:$O$104,15,0))</f>
        <v>14.41</v>
      </c>
      <c r="W676" s="6">
        <f>IF(ISERROR(VLOOKUP($T$676,'TAR FIN'!$A$1:$O$104,15,0)),0,VLOOKUP($T$676,'TAR FIN'!$A$1:$O$104,15,0))</f>
        <v>0</v>
      </c>
      <c r="X676" s="6">
        <f>IF(ISERROR(VLOOKUP($U$676,'TAR FIN'!$A$1:$O$104,15,0)),0,VLOOKUP($U$676,'TAR FIN'!$A$1:$O$104,15,0))</f>
        <v>0</v>
      </c>
      <c r="Y676" s="6">
        <f ca="1">('TUSD BE'!$AM$23+'TUSD BF'!$AM$23+'TUSD CVA'!$AM$23)*1</f>
        <v>14.494286200962303</v>
      </c>
      <c r="Z676" s="6"/>
      <c r="AA676" s="6"/>
      <c r="AB676" s="6">
        <f>$K$676*$V$676</f>
        <v>1801.25</v>
      </c>
      <c r="AC676" s="6">
        <f>$M$676*$W$676</f>
        <v>0</v>
      </c>
      <c r="AD676" s="6">
        <f>$O$676*$X$676</f>
        <v>0</v>
      </c>
      <c r="AE676" s="6">
        <f ca="1">$K$676*$Y$676</f>
        <v>1811.785775120288</v>
      </c>
      <c r="AF676" s="6">
        <f>$M$676*$Z$676</f>
        <v>0</v>
      </c>
      <c r="AG676" s="6">
        <f>$O$676*$AA$676</f>
        <v>0</v>
      </c>
    </row>
    <row r="677" spans="1:33" ht="11.25" customHeight="1" x14ac:dyDescent="0.25">
      <c r="A677" s="4" t="s">
        <v>21</v>
      </c>
      <c r="B677" s="4" t="s">
        <v>41</v>
      </c>
      <c r="C677" s="4" t="s">
        <v>66</v>
      </c>
      <c r="D677" s="4" t="s">
        <v>25</v>
      </c>
      <c r="E677" s="4" t="s">
        <v>25</v>
      </c>
      <c r="F677" s="4" t="s">
        <v>25</v>
      </c>
      <c r="G677" s="4" t="s">
        <v>85</v>
      </c>
      <c r="H677" s="4" t="s">
        <v>25</v>
      </c>
      <c r="I677" s="5">
        <v>44501</v>
      </c>
      <c r="J677" s="6">
        <v>250</v>
      </c>
      <c r="K677" s="6">
        <v>125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4" t="s">
        <v>68</v>
      </c>
      <c r="R677" s="4">
        <v>52044</v>
      </c>
      <c r="S677" s="6">
        <v>38</v>
      </c>
      <c r="T677" s="6">
        <v>0</v>
      </c>
      <c r="U677" s="6">
        <v>0</v>
      </c>
      <c r="V677" s="6">
        <f>IF(ISERROR(VLOOKUP($S$677,'TAR FIN'!$A$1:$O$104,15,0)),0,VLOOKUP($S$677,'TAR FIN'!$A$1:$O$104,15,0))</f>
        <v>14.41</v>
      </c>
      <c r="W677" s="6">
        <f>IF(ISERROR(VLOOKUP($T$677,'TAR FIN'!$A$1:$O$104,15,0)),0,VLOOKUP($T$677,'TAR FIN'!$A$1:$O$104,15,0))</f>
        <v>0</v>
      </c>
      <c r="X677" s="6">
        <f>IF(ISERROR(VLOOKUP($U$677,'TAR FIN'!$A$1:$O$104,15,0)),0,VLOOKUP($U$677,'TAR FIN'!$A$1:$O$104,15,0))</f>
        <v>0</v>
      </c>
      <c r="Y677" s="6">
        <f ca="1">('TUSD BE'!$AM$23+'TUSD BF'!$AM$23+'TUSD CVA'!$AM$23)*1</f>
        <v>14.494286200962303</v>
      </c>
      <c r="Z677" s="6"/>
      <c r="AA677" s="6"/>
      <c r="AB677" s="6">
        <f>$K$677*$V$677</f>
        <v>1801.25</v>
      </c>
      <c r="AC677" s="6">
        <f>$M$677*$W$677</f>
        <v>0</v>
      </c>
      <c r="AD677" s="6">
        <f>$O$677*$X$677</f>
        <v>0</v>
      </c>
      <c r="AE677" s="6">
        <f ca="1">$K$677*$Y$677</f>
        <v>1811.785775120288</v>
      </c>
      <c r="AF677" s="6">
        <f>$M$677*$Z$677</f>
        <v>0</v>
      </c>
      <c r="AG677" s="6">
        <f>$O$677*$AA$677</f>
        <v>0</v>
      </c>
    </row>
    <row r="678" spans="1:33" ht="11.25" customHeight="1" x14ac:dyDescent="0.25">
      <c r="A678" s="4" t="s">
        <v>21</v>
      </c>
      <c r="B678" s="4" t="s">
        <v>41</v>
      </c>
      <c r="C678" s="4" t="s">
        <v>66</v>
      </c>
      <c r="D678" s="4" t="s">
        <v>25</v>
      </c>
      <c r="E678" s="4" t="s">
        <v>25</v>
      </c>
      <c r="F678" s="4" t="s">
        <v>25</v>
      </c>
      <c r="G678" s="4" t="s">
        <v>72</v>
      </c>
      <c r="H678" s="4" t="s">
        <v>25</v>
      </c>
      <c r="I678" s="5">
        <v>44531</v>
      </c>
      <c r="J678" s="6">
        <v>4500</v>
      </c>
      <c r="K678" s="6">
        <v>2250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4" t="s">
        <v>68</v>
      </c>
      <c r="R678" s="4">
        <v>29075</v>
      </c>
      <c r="S678" s="6">
        <v>38</v>
      </c>
      <c r="T678" s="6">
        <v>0</v>
      </c>
      <c r="U678" s="6">
        <v>0</v>
      </c>
      <c r="V678" s="6">
        <f>IF(ISERROR(VLOOKUP($S$678,'TAR FIN'!$A$1:$O$104,15,0)),0,VLOOKUP($S$678,'TAR FIN'!$A$1:$O$104,15,0))</f>
        <v>14.41</v>
      </c>
      <c r="W678" s="6">
        <f>IF(ISERROR(VLOOKUP($T$678,'TAR FIN'!$A$1:$O$104,15,0)),0,VLOOKUP($T$678,'TAR FIN'!$A$1:$O$104,15,0))</f>
        <v>0</v>
      </c>
      <c r="X678" s="6">
        <f>IF(ISERROR(VLOOKUP($U$678,'TAR FIN'!$A$1:$O$104,15,0)),0,VLOOKUP($U$678,'TAR FIN'!$A$1:$O$104,15,0))</f>
        <v>0</v>
      </c>
      <c r="Y678" s="6">
        <f ca="1">('TUSD BE'!$AM$23+'TUSD BF'!$AM$23+'TUSD CVA'!$AM$23)*1</f>
        <v>14.494286200962303</v>
      </c>
      <c r="Z678" s="6"/>
      <c r="AA678" s="6"/>
      <c r="AB678" s="6">
        <f>$K$678*$V$678</f>
        <v>32422.5</v>
      </c>
      <c r="AC678" s="6">
        <f>$M$678*$W$678</f>
        <v>0</v>
      </c>
      <c r="AD678" s="6">
        <f>$O$678*$X$678</f>
        <v>0</v>
      </c>
      <c r="AE678" s="6">
        <f ca="1">$K$678*$Y$678</f>
        <v>32612.143952165185</v>
      </c>
      <c r="AF678" s="6">
        <f>$M$678*$Z$678</f>
        <v>0</v>
      </c>
      <c r="AG678" s="6">
        <f>$O$678*$AA$678</f>
        <v>0</v>
      </c>
    </row>
    <row r="679" spans="1:33" ht="11.25" customHeight="1" x14ac:dyDescent="0.25">
      <c r="A679" s="4" t="s">
        <v>21</v>
      </c>
      <c r="B679" s="4" t="s">
        <v>41</v>
      </c>
      <c r="C679" s="4" t="s">
        <v>66</v>
      </c>
      <c r="D679" s="4" t="s">
        <v>25</v>
      </c>
      <c r="E679" s="4" t="s">
        <v>25</v>
      </c>
      <c r="F679" s="4" t="s">
        <v>25</v>
      </c>
      <c r="G679" s="4" t="s">
        <v>74</v>
      </c>
      <c r="H679" s="4" t="s">
        <v>25</v>
      </c>
      <c r="I679" s="5">
        <v>44531</v>
      </c>
      <c r="J679" s="6">
        <v>3000</v>
      </c>
      <c r="K679" s="6">
        <v>1500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4" t="s">
        <v>68</v>
      </c>
      <c r="S679" s="6">
        <v>38</v>
      </c>
      <c r="T679" s="6">
        <v>0</v>
      </c>
      <c r="U679" s="6">
        <v>0</v>
      </c>
      <c r="V679" s="6">
        <f>IF(ISERROR(VLOOKUP($S$679,'TAR FIN'!$A$1:$O$104,15,0)),0,VLOOKUP($S$679,'TAR FIN'!$A$1:$O$104,15,0))</f>
        <v>14.41</v>
      </c>
      <c r="W679" s="6">
        <f>IF(ISERROR(VLOOKUP($T$679,'TAR FIN'!$A$1:$O$104,15,0)),0,VLOOKUP($T$679,'TAR FIN'!$A$1:$O$104,15,0))</f>
        <v>0</v>
      </c>
      <c r="X679" s="6">
        <f>IF(ISERROR(VLOOKUP($U$679,'TAR FIN'!$A$1:$O$104,15,0)),0,VLOOKUP($U$679,'TAR FIN'!$A$1:$O$104,15,0))</f>
        <v>0</v>
      </c>
      <c r="Y679" s="6">
        <f ca="1">('TUSD BE'!$AM$23+'TUSD BF'!$AM$23+'TUSD CVA'!$AM$23)*1</f>
        <v>14.494286200962303</v>
      </c>
      <c r="Z679" s="6"/>
      <c r="AA679" s="6"/>
      <c r="AB679" s="6">
        <f>$K$679*$V$679</f>
        <v>21615</v>
      </c>
      <c r="AC679" s="6">
        <f>$M$679*$W$679</f>
        <v>0</v>
      </c>
      <c r="AD679" s="6">
        <f>$O$679*$X$679</f>
        <v>0</v>
      </c>
      <c r="AE679" s="6">
        <f ca="1">$K$679*$Y$679</f>
        <v>21741.429301443455</v>
      </c>
      <c r="AF679" s="6">
        <f>$M$679*$Z$679</f>
        <v>0</v>
      </c>
      <c r="AG679" s="6">
        <f>$O$679*$AA$679</f>
        <v>0</v>
      </c>
    </row>
    <row r="680" spans="1:33" ht="11.25" customHeight="1" x14ac:dyDescent="0.25">
      <c r="A680" s="4" t="s">
        <v>21</v>
      </c>
      <c r="B680" s="4" t="s">
        <v>41</v>
      </c>
      <c r="C680" s="4" t="s">
        <v>66</v>
      </c>
      <c r="D680" s="4" t="s">
        <v>25</v>
      </c>
      <c r="E680" s="4" t="s">
        <v>25</v>
      </c>
      <c r="F680" s="4" t="s">
        <v>25</v>
      </c>
      <c r="G680" s="4" t="s">
        <v>80</v>
      </c>
      <c r="H680" s="4" t="s">
        <v>25</v>
      </c>
      <c r="I680" s="5">
        <v>44531</v>
      </c>
      <c r="J680" s="6">
        <v>4702</v>
      </c>
      <c r="K680" s="6">
        <v>2351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4" t="s">
        <v>68</v>
      </c>
      <c r="R680" s="4">
        <v>34891</v>
      </c>
      <c r="S680" s="6">
        <v>38</v>
      </c>
      <c r="T680" s="6">
        <v>0</v>
      </c>
      <c r="U680" s="6">
        <v>0</v>
      </c>
      <c r="V680" s="6">
        <f>IF(ISERROR(VLOOKUP($S$680,'TAR FIN'!$A$1:$O$104,15,0)),0,VLOOKUP($S$680,'TAR FIN'!$A$1:$O$104,15,0))</f>
        <v>14.41</v>
      </c>
      <c r="W680" s="6">
        <f>IF(ISERROR(VLOOKUP($T$680,'TAR FIN'!$A$1:$O$104,15,0)),0,VLOOKUP($T$680,'TAR FIN'!$A$1:$O$104,15,0))</f>
        <v>0</v>
      </c>
      <c r="X680" s="6">
        <f>IF(ISERROR(VLOOKUP($U$680,'TAR FIN'!$A$1:$O$104,15,0)),0,VLOOKUP($U$680,'TAR FIN'!$A$1:$O$104,15,0))</f>
        <v>0</v>
      </c>
      <c r="Y680" s="6">
        <f ca="1">('TUSD BE'!$AM$23+'TUSD BF'!$AM$23+'TUSD CVA'!$AM$23)*1</f>
        <v>14.494286200962303</v>
      </c>
      <c r="Z680" s="6"/>
      <c r="AA680" s="6"/>
      <c r="AB680" s="6">
        <f>$K$680*$V$680</f>
        <v>33877.910000000003</v>
      </c>
      <c r="AC680" s="6">
        <f>$M$680*$W$680</f>
        <v>0</v>
      </c>
      <c r="AD680" s="6">
        <f>$O$680*$X$680</f>
        <v>0</v>
      </c>
      <c r="AE680" s="6">
        <f ca="1">$K$680*$Y$680</f>
        <v>34076.066858462378</v>
      </c>
      <c r="AF680" s="6">
        <f>$M$680*$Z$680</f>
        <v>0</v>
      </c>
      <c r="AG680" s="6">
        <f>$O$680*$AA$680</f>
        <v>0</v>
      </c>
    </row>
    <row r="681" spans="1:33" ht="11.25" customHeight="1" x14ac:dyDescent="0.25">
      <c r="A681" s="4" t="s">
        <v>21</v>
      </c>
      <c r="B681" s="4" t="s">
        <v>41</v>
      </c>
      <c r="C681" s="4" t="s">
        <v>66</v>
      </c>
      <c r="D681" s="4" t="s">
        <v>25</v>
      </c>
      <c r="E681" s="4" t="s">
        <v>25</v>
      </c>
      <c r="F681" s="4" t="s">
        <v>25</v>
      </c>
      <c r="G681" s="4" t="s">
        <v>81</v>
      </c>
      <c r="H681" s="4" t="s">
        <v>25</v>
      </c>
      <c r="I681" s="5">
        <v>44531</v>
      </c>
      <c r="J681" s="6">
        <v>600</v>
      </c>
      <c r="K681" s="6">
        <v>300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4" t="s">
        <v>68</v>
      </c>
      <c r="R681" s="4">
        <v>34893</v>
      </c>
      <c r="S681" s="6">
        <v>38</v>
      </c>
      <c r="T681" s="6">
        <v>0</v>
      </c>
      <c r="U681" s="6">
        <v>0</v>
      </c>
      <c r="V681" s="6">
        <f>IF(ISERROR(VLOOKUP($S$681,'TAR FIN'!$A$1:$O$104,15,0)),0,VLOOKUP($S$681,'TAR FIN'!$A$1:$O$104,15,0))</f>
        <v>14.41</v>
      </c>
      <c r="W681" s="6">
        <f>IF(ISERROR(VLOOKUP($T$681,'TAR FIN'!$A$1:$O$104,15,0)),0,VLOOKUP($T$681,'TAR FIN'!$A$1:$O$104,15,0))</f>
        <v>0</v>
      </c>
      <c r="X681" s="6">
        <f>IF(ISERROR(VLOOKUP($U$681,'TAR FIN'!$A$1:$O$104,15,0)),0,VLOOKUP($U$681,'TAR FIN'!$A$1:$O$104,15,0))</f>
        <v>0</v>
      </c>
      <c r="Y681" s="6">
        <f ca="1">('TUSD BE'!$AM$23+'TUSD BF'!$AM$23+'TUSD CVA'!$AM$23)*1</f>
        <v>14.494286200962303</v>
      </c>
      <c r="Z681" s="6"/>
      <c r="AA681" s="6"/>
      <c r="AB681" s="6">
        <f>$K$681*$V$681</f>
        <v>4323</v>
      </c>
      <c r="AC681" s="6">
        <f>$M$681*$W$681</f>
        <v>0</v>
      </c>
      <c r="AD681" s="6">
        <f>$O$681*$X$681</f>
        <v>0</v>
      </c>
      <c r="AE681" s="6">
        <f ca="1">$K$681*$Y$681</f>
        <v>4348.2858602886909</v>
      </c>
      <c r="AF681" s="6">
        <f>$M$681*$Z$681</f>
        <v>0</v>
      </c>
      <c r="AG681" s="6">
        <f>$O$681*$AA$681</f>
        <v>0</v>
      </c>
    </row>
    <row r="682" spans="1:33" ht="11.25" customHeight="1" x14ac:dyDescent="0.25">
      <c r="A682" s="4" t="s">
        <v>27</v>
      </c>
      <c r="B682" s="4" t="s">
        <v>41</v>
      </c>
      <c r="C682" s="4" t="s">
        <v>66</v>
      </c>
      <c r="D682" s="4" t="s">
        <v>25</v>
      </c>
      <c r="E682" s="4" t="s">
        <v>25</v>
      </c>
      <c r="F682" s="4" t="s">
        <v>25</v>
      </c>
      <c r="G682" s="4" t="s">
        <v>81</v>
      </c>
      <c r="H682" s="4" t="s">
        <v>25</v>
      </c>
      <c r="I682" s="5">
        <v>44531</v>
      </c>
      <c r="J682" s="6">
        <v>233</v>
      </c>
      <c r="K682" s="6">
        <v>233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4" t="s">
        <v>68</v>
      </c>
      <c r="R682" s="4">
        <v>34893</v>
      </c>
      <c r="S682" s="6">
        <v>38</v>
      </c>
      <c r="T682" s="6">
        <v>0</v>
      </c>
      <c r="U682" s="6">
        <v>0</v>
      </c>
      <c r="V682" s="6">
        <f>IF(ISERROR(VLOOKUP($S$682,'TAR FIN'!$A$1:$O$104,15,0)),0,VLOOKUP($S$682,'TAR FIN'!$A$1:$O$104,15,0))</f>
        <v>14.41</v>
      </c>
      <c r="W682" s="6">
        <f>IF(ISERROR(VLOOKUP($T$682,'TAR FIN'!$A$1:$O$104,15,0)),0,VLOOKUP($T$682,'TAR FIN'!$A$1:$O$104,15,0))</f>
        <v>0</v>
      </c>
      <c r="X682" s="6">
        <f>IF(ISERROR(VLOOKUP($U$682,'TAR FIN'!$A$1:$O$104,15,0)),0,VLOOKUP($U$682,'TAR FIN'!$A$1:$O$104,15,0))</f>
        <v>0</v>
      </c>
      <c r="Y682" s="6">
        <f ca="1">('TUSD BE'!$AM$23+'TUSD BF'!$AM$23+'TUSD CVA'!$AM$23)*1</f>
        <v>14.494286200962303</v>
      </c>
      <c r="Z682" s="6"/>
      <c r="AA682" s="6"/>
      <c r="AB682" s="6">
        <f>$K$682*$V$682</f>
        <v>3357.53</v>
      </c>
      <c r="AC682" s="6">
        <f>$M$682*$W$682</f>
        <v>0</v>
      </c>
      <c r="AD682" s="6">
        <f>$O$682*$X$682</f>
        <v>0</v>
      </c>
      <c r="AE682" s="6">
        <f ca="1">$K$682*$Y$682</f>
        <v>3377.1686848242166</v>
      </c>
      <c r="AF682" s="6">
        <f>$M$682*$Z$682</f>
        <v>0</v>
      </c>
      <c r="AG682" s="6">
        <f>$O$682*$AA$682</f>
        <v>0</v>
      </c>
    </row>
    <row r="683" spans="1:33" ht="11.25" customHeight="1" x14ac:dyDescent="0.25">
      <c r="A683" s="4" t="s">
        <v>21</v>
      </c>
      <c r="B683" s="4" t="s">
        <v>41</v>
      </c>
      <c r="C683" s="4" t="s">
        <v>66</v>
      </c>
      <c r="D683" s="4" t="s">
        <v>25</v>
      </c>
      <c r="E683" s="4" t="s">
        <v>25</v>
      </c>
      <c r="F683" s="4" t="s">
        <v>25</v>
      </c>
      <c r="G683" s="4" t="s">
        <v>82</v>
      </c>
      <c r="H683" s="4" t="s">
        <v>25</v>
      </c>
      <c r="I683" s="5">
        <v>44531</v>
      </c>
      <c r="J683" s="6">
        <v>4800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4" t="s">
        <v>68</v>
      </c>
      <c r="R683" s="4">
        <v>43199</v>
      </c>
      <c r="S683" s="6">
        <v>38</v>
      </c>
      <c r="T683" s="6">
        <v>0</v>
      </c>
      <c r="U683" s="6">
        <v>0</v>
      </c>
      <c r="V683" s="6">
        <f>IF(ISERROR(VLOOKUP($S$683,'TAR FIN'!$A$1:$O$104,15,0)),0,VLOOKUP($S$683,'TAR FIN'!$A$1:$O$104,15,0))</f>
        <v>14.41</v>
      </c>
      <c r="W683" s="6">
        <f>IF(ISERROR(VLOOKUP($T$683,'TAR FIN'!$A$1:$O$104,15,0)),0,VLOOKUP($T$683,'TAR FIN'!$A$1:$O$104,15,0))</f>
        <v>0</v>
      </c>
      <c r="X683" s="6">
        <f>IF(ISERROR(VLOOKUP($U$683,'TAR FIN'!$A$1:$O$104,15,0)),0,VLOOKUP($U$683,'TAR FIN'!$A$1:$O$104,15,0))</f>
        <v>0</v>
      </c>
      <c r="Y683" s="6">
        <f ca="1">('TUSD BE'!$AM$23+'TUSD BF'!$AM$23+'TUSD CVA'!$AM$23)*1</f>
        <v>14.494286200962303</v>
      </c>
      <c r="Z683" s="6"/>
      <c r="AA683" s="6"/>
      <c r="AB683" s="6">
        <f>$K$683*$V$683</f>
        <v>0</v>
      </c>
      <c r="AC683" s="6">
        <f>$M$683*$W$683</f>
        <v>0</v>
      </c>
      <c r="AD683" s="6">
        <f>$O$683*$X$683</f>
        <v>0</v>
      </c>
      <c r="AE683" s="6">
        <f ca="1">$K$683*$Y$683</f>
        <v>0</v>
      </c>
      <c r="AF683" s="6">
        <f>$M$683*$Z$683</f>
        <v>0</v>
      </c>
      <c r="AG683" s="6">
        <f>$O$683*$AA$683</f>
        <v>0</v>
      </c>
    </row>
    <row r="684" spans="1:33" ht="11.25" customHeight="1" x14ac:dyDescent="0.25">
      <c r="A684" s="4" t="s">
        <v>21</v>
      </c>
      <c r="B684" s="4" t="s">
        <v>41</v>
      </c>
      <c r="C684" s="4" t="s">
        <v>66</v>
      </c>
      <c r="D684" s="4" t="s">
        <v>25</v>
      </c>
      <c r="E684" s="4" t="s">
        <v>25</v>
      </c>
      <c r="F684" s="4" t="s">
        <v>25</v>
      </c>
      <c r="G684" s="4" t="s">
        <v>83</v>
      </c>
      <c r="H684" s="4" t="s">
        <v>25</v>
      </c>
      <c r="I684" s="5">
        <v>44531</v>
      </c>
      <c r="J684" s="6">
        <v>2400</v>
      </c>
      <c r="K684" s="6">
        <v>1200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4" t="s">
        <v>68</v>
      </c>
      <c r="S684" s="6">
        <v>38</v>
      </c>
      <c r="T684" s="6">
        <v>0</v>
      </c>
      <c r="U684" s="6">
        <v>0</v>
      </c>
      <c r="V684" s="6">
        <f>IF(ISERROR(VLOOKUP($S$684,'TAR FIN'!$A$1:$O$104,15,0)),0,VLOOKUP($S$684,'TAR FIN'!$A$1:$O$104,15,0))</f>
        <v>14.41</v>
      </c>
      <c r="W684" s="6">
        <f>IF(ISERROR(VLOOKUP($T$684,'TAR FIN'!$A$1:$O$104,15,0)),0,VLOOKUP($T$684,'TAR FIN'!$A$1:$O$104,15,0))</f>
        <v>0</v>
      </c>
      <c r="X684" s="6">
        <f>IF(ISERROR(VLOOKUP($U$684,'TAR FIN'!$A$1:$O$104,15,0)),0,VLOOKUP($U$684,'TAR FIN'!$A$1:$O$104,15,0))</f>
        <v>0</v>
      </c>
      <c r="Y684" s="6">
        <f ca="1">('TUSD BE'!$AM$23+'TUSD BF'!$AM$23+'TUSD CVA'!$AM$23)*1</f>
        <v>14.494286200962303</v>
      </c>
      <c r="Z684" s="6"/>
      <c r="AA684" s="6"/>
      <c r="AB684" s="6">
        <f>$K$684*$V$684</f>
        <v>17292</v>
      </c>
      <c r="AC684" s="6">
        <f>$M$684*$W$684</f>
        <v>0</v>
      </c>
      <c r="AD684" s="6">
        <f>$O$684*$X$684</f>
        <v>0</v>
      </c>
      <c r="AE684" s="6">
        <f ca="1">$K$684*$Y$684</f>
        <v>17393.143441154763</v>
      </c>
      <c r="AF684" s="6">
        <f>$M$684*$Z$684</f>
        <v>0</v>
      </c>
      <c r="AG684" s="6">
        <f>$O$684*$AA$684</f>
        <v>0</v>
      </c>
    </row>
    <row r="685" spans="1:33" ht="11.25" customHeight="1" x14ac:dyDescent="0.25">
      <c r="A685" s="4" t="s">
        <v>21</v>
      </c>
      <c r="B685" s="4" t="s">
        <v>41</v>
      </c>
      <c r="C685" s="4" t="s">
        <v>66</v>
      </c>
      <c r="D685" s="4" t="s">
        <v>25</v>
      </c>
      <c r="E685" s="4" t="s">
        <v>25</v>
      </c>
      <c r="F685" s="4" t="s">
        <v>25</v>
      </c>
      <c r="G685" s="4" t="s">
        <v>84</v>
      </c>
      <c r="H685" s="4" t="s">
        <v>25</v>
      </c>
      <c r="I685" s="5">
        <v>44531</v>
      </c>
      <c r="J685" s="6">
        <v>250</v>
      </c>
      <c r="K685" s="6">
        <v>125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4" t="s">
        <v>68</v>
      </c>
      <c r="S685" s="6">
        <v>38</v>
      </c>
      <c r="T685" s="6">
        <v>0</v>
      </c>
      <c r="U685" s="6">
        <v>0</v>
      </c>
      <c r="V685" s="6">
        <f>IF(ISERROR(VLOOKUP($S$685,'TAR FIN'!$A$1:$O$104,15,0)),0,VLOOKUP($S$685,'TAR FIN'!$A$1:$O$104,15,0))</f>
        <v>14.41</v>
      </c>
      <c r="W685" s="6">
        <f>IF(ISERROR(VLOOKUP($T$685,'TAR FIN'!$A$1:$O$104,15,0)),0,VLOOKUP($T$685,'TAR FIN'!$A$1:$O$104,15,0))</f>
        <v>0</v>
      </c>
      <c r="X685" s="6">
        <f>IF(ISERROR(VLOOKUP($U$685,'TAR FIN'!$A$1:$O$104,15,0)),0,VLOOKUP($U$685,'TAR FIN'!$A$1:$O$104,15,0))</f>
        <v>0</v>
      </c>
      <c r="Y685" s="6">
        <f ca="1">('TUSD BE'!$AM$23+'TUSD BF'!$AM$23+'TUSD CVA'!$AM$23)*1</f>
        <v>14.494286200962303</v>
      </c>
      <c r="Z685" s="6"/>
      <c r="AA685" s="6"/>
      <c r="AB685" s="6">
        <f>$K$685*$V$685</f>
        <v>1801.25</v>
      </c>
      <c r="AC685" s="6">
        <f>$M$685*$W$685</f>
        <v>0</v>
      </c>
      <c r="AD685" s="6">
        <f>$O$685*$X$685</f>
        <v>0</v>
      </c>
      <c r="AE685" s="6">
        <f ca="1">$K$685*$Y$685</f>
        <v>1811.785775120288</v>
      </c>
      <c r="AF685" s="6">
        <f>$M$685*$Z$685</f>
        <v>0</v>
      </c>
      <c r="AG685" s="6">
        <f>$O$685*$AA$685</f>
        <v>0</v>
      </c>
    </row>
    <row r="686" spans="1:33" ht="11.25" customHeight="1" x14ac:dyDescent="0.25">
      <c r="A686" s="4" t="s">
        <v>21</v>
      </c>
      <c r="B686" s="4" t="s">
        <v>41</v>
      </c>
      <c r="C686" s="4" t="s">
        <v>66</v>
      </c>
      <c r="D686" s="4" t="s">
        <v>25</v>
      </c>
      <c r="E686" s="4" t="s">
        <v>25</v>
      </c>
      <c r="F686" s="4" t="s">
        <v>25</v>
      </c>
      <c r="G686" s="4" t="s">
        <v>85</v>
      </c>
      <c r="H686" s="4" t="s">
        <v>25</v>
      </c>
      <c r="I686" s="5">
        <v>44531</v>
      </c>
      <c r="J686" s="6">
        <v>250</v>
      </c>
      <c r="K686" s="6">
        <v>125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4" t="s">
        <v>68</v>
      </c>
      <c r="R686" s="4">
        <v>52044</v>
      </c>
      <c r="S686" s="6">
        <v>38</v>
      </c>
      <c r="T686" s="6">
        <v>0</v>
      </c>
      <c r="U686" s="6">
        <v>0</v>
      </c>
      <c r="V686" s="6">
        <f>IF(ISERROR(VLOOKUP($S$686,'TAR FIN'!$A$1:$O$104,15,0)),0,VLOOKUP($S$686,'TAR FIN'!$A$1:$O$104,15,0))</f>
        <v>14.41</v>
      </c>
      <c r="W686" s="6">
        <f>IF(ISERROR(VLOOKUP($T$686,'TAR FIN'!$A$1:$O$104,15,0)),0,VLOOKUP($T$686,'TAR FIN'!$A$1:$O$104,15,0))</f>
        <v>0</v>
      </c>
      <c r="X686" s="6">
        <f>IF(ISERROR(VLOOKUP($U$686,'TAR FIN'!$A$1:$O$104,15,0)),0,VLOOKUP($U$686,'TAR FIN'!$A$1:$O$104,15,0))</f>
        <v>0</v>
      </c>
      <c r="Y686" s="6">
        <f ca="1">('TUSD BE'!$AM$23+'TUSD BF'!$AM$23+'TUSD CVA'!$AM$23)*1</f>
        <v>14.494286200962303</v>
      </c>
      <c r="Z686" s="6"/>
      <c r="AA686" s="6"/>
      <c r="AB686" s="6">
        <f>$K$686*$V$686</f>
        <v>1801.25</v>
      </c>
      <c r="AC686" s="6">
        <f>$M$686*$W$686</f>
        <v>0</v>
      </c>
      <c r="AD686" s="6">
        <f>$O$686*$X$686</f>
        <v>0</v>
      </c>
      <c r="AE686" s="6">
        <f ca="1">$K$686*$Y$686</f>
        <v>1811.785775120288</v>
      </c>
      <c r="AF686" s="6">
        <f>$M$686*$Z$686</f>
        <v>0</v>
      </c>
      <c r="AG686" s="6">
        <f>$O$686*$AA$686</f>
        <v>0</v>
      </c>
    </row>
    <row r="687" spans="1:33" ht="11.25" customHeight="1" x14ac:dyDescent="0.25">
      <c r="A687" s="4" t="s">
        <v>21</v>
      </c>
      <c r="B687" s="4" t="s">
        <v>41</v>
      </c>
      <c r="C687" s="4" t="s">
        <v>66</v>
      </c>
      <c r="D687" s="4" t="s">
        <v>25</v>
      </c>
      <c r="E687" s="4" t="s">
        <v>25</v>
      </c>
      <c r="F687" s="4" t="s">
        <v>25</v>
      </c>
      <c r="G687" s="4" t="s">
        <v>72</v>
      </c>
      <c r="H687" s="4" t="s">
        <v>25</v>
      </c>
      <c r="I687" s="5">
        <v>44562</v>
      </c>
      <c r="J687" s="6">
        <v>4500</v>
      </c>
      <c r="K687" s="6">
        <v>2250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4" t="s">
        <v>68</v>
      </c>
      <c r="R687" s="4">
        <v>29075</v>
      </c>
      <c r="S687" s="6">
        <v>38</v>
      </c>
      <c r="T687" s="6">
        <v>0</v>
      </c>
      <c r="U687" s="6">
        <v>0</v>
      </c>
      <c r="V687" s="6">
        <f>IF(ISERROR(VLOOKUP($S$687,'TAR FIN'!$A$1:$O$104,15,0)),0,VLOOKUP($S$687,'TAR FIN'!$A$1:$O$104,15,0))</f>
        <v>14.41</v>
      </c>
      <c r="W687" s="6">
        <f>IF(ISERROR(VLOOKUP($T$687,'TAR FIN'!$A$1:$O$104,15,0)),0,VLOOKUP($T$687,'TAR FIN'!$A$1:$O$104,15,0))</f>
        <v>0</v>
      </c>
      <c r="X687" s="6">
        <f>IF(ISERROR(VLOOKUP($U$687,'TAR FIN'!$A$1:$O$104,15,0)),0,VLOOKUP($U$687,'TAR FIN'!$A$1:$O$104,15,0))</f>
        <v>0</v>
      </c>
      <c r="Y687" s="6">
        <f ca="1">('TUSD BE'!$AM$23+'TUSD BF'!$AM$23+'TUSD CVA'!$AM$23)*1</f>
        <v>14.494286200962303</v>
      </c>
      <c r="Z687" s="6"/>
      <c r="AA687" s="6"/>
      <c r="AB687" s="6">
        <f>$K$687*$V$687</f>
        <v>32422.5</v>
      </c>
      <c r="AC687" s="6">
        <f>$M$687*$W$687</f>
        <v>0</v>
      </c>
      <c r="AD687" s="6">
        <f>$O$687*$X$687</f>
        <v>0</v>
      </c>
      <c r="AE687" s="6">
        <f ca="1">$K$687*$Y$687</f>
        <v>32612.143952165185</v>
      </c>
      <c r="AF687" s="6">
        <f>$M$687*$Z$687</f>
        <v>0</v>
      </c>
      <c r="AG687" s="6">
        <f>$O$687*$AA$687</f>
        <v>0</v>
      </c>
    </row>
    <row r="688" spans="1:33" ht="11.25" customHeight="1" x14ac:dyDescent="0.25">
      <c r="A688" s="4" t="s">
        <v>21</v>
      </c>
      <c r="B688" s="4" t="s">
        <v>41</v>
      </c>
      <c r="C688" s="4" t="s">
        <v>66</v>
      </c>
      <c r="D688" s="4" t="s">
        <v>25</v>
      </c>
      <c r="E688" s="4" t="s">
        <v>25</v>
      </c>
      <c r="F688" s="4" t="s">
        <v>25</v>
      </c>
      <c r="G688" s="4" t="s">
        <v>74</v>
      </c>
      <c r="H688" s="4" t="s">
        <v>25</v>
      </c>
      <c r="I688" s="5">
        <v>44562</v>
      </c>
      <c r="J688" s="6">
        <v>3000</v>
      </c>
      <c r="K688" s="6">
        <v>1500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4" t="s">
        <v>68</v>
      </c>
      <c r="S688" s="6">
        <v>38</v>
      </c>
      <c r="T688" s="6">
        <v>0</v>
      </c>
      <c r="U688" s="6">
        <v>0</v>
      </c>
      <c r="V688" s="6">
        <f>IF(ISERROR(VLOOKUP($S$688,'TAR FIN'!$A$1:$O$104,15,0)),0,VLOOKUP($S$688,'TAR FIN'!$A$1:$O$104,15,0))</f>
        <v>14.41</v>
      </c>
      <c r="W688" s="6">
        <f>IF(ISERROR(VLOOKUP($T$688,'TAR FIN'!$A$1:$O$104,15,0)),0,VLOOKUP($T$688,'TAR FIN'!$A$1:$O$104,15,0))</f>
        <v>0</v>
      </c>
      <c r="X688" s="6">
        <f>IF(ISERROR(VLOOKUP($U$688,'TAR FIN'!$A$1:$O$104,15,0)),0,VLOOKUP($U$688,'TAR FIN'!$A$1:$O$104,15,0))</f>
        <v>0</v>
      </c>
      <c r="Y688" s="6">
        <f ca="1">('TUSD BE'!$AM$23+'TUSD BF'!$AM$23+'TUSD CVA'!$AM$23)*1</f>
        <v>14.494286200962303</v>
      </c>
      <c r="Z688" s="6"/>
      <c r="AA688" s="6"/>
      <c r="AB688" s="6">
        <f>$K$688*$V$688</f>
        <v>21615</v>
      </c>
      <c r="AC688" s="6">
        <f>$M$688*$W$688</f>
        <v>0</v>
      </c>
      <c r="AD688" s="6">
        <f>$O$688*$X$688</f>
        <v>0</v>
      </c>
      <c r="AE688" s="6">
        <f ca="1">$K$688*$Y$688</f>
        <v>21741.429301443455</v>
      </c>
      <c r="AF688" s="6">
        <f>$M$688*$Z$688</f>
        <v>0</v>
      </c>
      <c r="AG688" s="6">
        <f>$O$688*$AA$688</f>
        <v>0</v>
      </c>
    </row>
    <row r="689" spans="1:33" ht="11.25" customHeight="1" x14ac:dyDescent="0.25">
      <c r="A689" s="4" t="s">
        <v>21</v>
      </c>
      <c r="B689" s="4" t="s">
        <v>41</v>
      </c>
      <c r="C689" s="4" t="s">
        <v>66</v>
      </c>
      <c r="D689" s="4" t="s">
        <v>25</v>
      </c>
      <c r="E689" s="4" t="s">
        <v>25</v>
      </c>
      <c r="F689" s="4" t="s">
        <v>25</v>
      </c>
      <c r="G689" s="4" t="s">
        <v>80</v>
      </c>
      <c r="H689" s="4" t="s">
        <v>25</v>
      </c>
      <c r="I689" s="5">
        <v>44562</v>
      </c>
      <c r="J689" s="6">
        <v>4689</v>
      </c>
      <c r="K689" s="6">
        <v>2344.5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4" t="s">
        <v>68</v>
      </c>
      <c r="R689" s="4">
        <v>34891</v>
      </c>
      <c r="S689" s="6">
        <v>38</v>
      </c>
      <c r="T689" s="6">
        <v>0</v>
      </c>
      <c r="U689" s="6">
        <v>0</v>
      </c>
      <c r="V689" s="6">
        <f>IF(ISERROR(VLOOKUP($S$689,'TAR FIN'!$A$1:$O$104,15,0)),0,VLOOKUP($S$689,'TAR FIN'!$A$1:$O$104,15,0))</f>
        <v>14.41</v>
      </c>
      <c r="W689" s="6">
        <f>IF(ISERROR(VLOOKUP($T$689,'TAR FIN'!$A$1:$O$104,15,0)),0,VLOOKUP($T$689,'TAR FIN'!$A$1:$O$104,15,0))</f>
        <v>0</v>
      </c>
      <c r="X689" s="6">
        <f>IF(ISERROR(VLOOKUP($U$689,'TAR FIN'!$A$1:$O$104,15,0)),0,VLOOKUP($U$689,'TAR FIN'!$A$1:$O$104,15,0))</f>
        <v>0</v>
      </c>
      <c r="Y689" s="6">
        <f ca="1">('TUSD BE'!$AM$23+'TUSD BF'!$AM$23+'TUSD CVA'!$AM$23)*1</f>
        <v>14.494286200962303</v>
      </c>
      <c r="Z689" s="6"/>
      <c r="AA689" s="6"/>
      <c r="AB689" s="6">
        <f>$K$689*$V$689</f>
        <v>33784.245000000003</v>
      </c>
      <c r="AC689" s="6">
        <f>$M$689*$W$689</f>
        <v>0</v>
      </c>
      <c r="AD689" s="6">
        <f>$O$689*$X$689</f>
        <v>0</v>
      </c>
      <c r="AE689" s="6">
        <f ca="1">$K$689*$Y$689</f>
        <v>33981.853998156119</v>
      </c>
      <c r="AF689" s="6">
        <f>$M$689*$Z$689</f>
        <v>0</v>
      </c>
      <c r="AG689" s="6">
        <f>$O$689*$AA$689</f>
        <v>0</v>
      </c>
    </row>
    <row r="690" spans="1:33" ht="11.25" customHeight="1" x14ac:dyDescent="0.25">
      <c r="A690" s="4" t="s">
        <v>21</v>
      </c>
      <c r="B690" s="4" t="s">
        <v>41</v>
      </c>
      <c r="C690" s="4" t="s">
        <v>66</v>
      </c>
      <c r="D690" s="4" t="s">
        <v>25</v>
      </c>
      <c r="E690" s="4" t="s">
        <v>25</v>
      </c>
      <c r="F690" s="4" t="s">
        <v>25</v>
      </c>
      <c r="G690" s="4" t="s">
        <v>81</v>
      </c>
      <c r="H690" s="4" t="s">
        <v>25</v>
      </c>
      <c r="I690" s="5">
        <v>44562</v>
      </c>
      <c r="J690" s="6">
        <v>600</v>
      </c>
      <c r="K690" s="6">
        <v>300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4" t="s">
        <v>68</v>
      </c>
      <c r="R690" s="4">
        <v>34893</v>
      </c>
      <c r="S690" s="6">
        <v>38</v>
      </c>
      <c r="T690" s="6">
        <v>0</v>
      </c>
      <c r="U690" s="6">
        <v>0</v>
      </c>
      <c r="V690" s="6">
        <f>IF(ISERROR(VLOOKUP($S$690,'TAR FIN'!$A$1:$O$104,15,0)),0,VLOOKUP($S$690,'TAR FIN'!$A$1:$O$104,15,0))</f>
        <v>14.41</v>
      </c>
      <c r="W690" s="6">
        <f>IF(ISERROR(VLOOKUP($T$690,'TAR FIN'!$A$1:$O$104,15,0)),0,VLOOKUP($T$690,'TAR FIN'!$A$1:$O$104,15,0))</f>
        <v>0</v>
      </c>
      <c r="X690" s="6">
        <f>IF(ISERROR(VLOOKUP($U$690,'TAR FIN'!$A$1:$O$104,15,0)),0,VLOOKUP($U$690,'TAR FIN'!$A$1:$O$104,15,0))</f>
        <v>0</v>
      </c>
      <c r="Y690" s="6">
        <f ca="1">('TUSD BE'!$AM$23+'TUSD BF'!$AM$23+'TUSD CVA'!$AM$23)*1</f>
        <v>14.494286200962303</v>
      </c>
      <c r="Z690" s="6"/>
      <c r="AA690" s="6"/>
      <c r="AB690" s="6">
        <f>$K$690*$V$690</f>
        <v>4323</v>
      </c>
      <c r="AC690" s="6">
        <f>$M$690*$W$690</f>
        <v>0</v>
      </c>
      <c r="AD690" s="6">
        <f>$O$690*$X$690</f>
        <v>0</v>
      </c>
      <c r="AE690" s="6">
        <f ca="1">$K$690*$Y$690</f>
        <v>4348.2858602886909</v>
      </c>
      <c r="AF690" s="6">
        <f>$M$690*$Z$690</f>
        <v>0</v>
      </c>
      <c r="AG690" s="6">
        <f>$O$690*$AA$690</f>
        <v>0</v>
      </c>
    </row>
    <row r="691" spans="1:33" ht="11.25" customHeight="1" x14ac:dyDescent="0.25">
      <c r="A691" s="4" t="s">
        <v>27</v>
      </c>
      <c r="B691" s="4" t="s">
        <v>41</v>
      </c>
      <c r="C691" s="4" t="s">
        <v>66</v>
      </c>
      <c r="D691" s="4" t="s">
        <v>25</v>
      </c>
      <c r="E691" s="4" t="s">
        <v>25</v>
      </c>
      <c r="F691" s="4" t="s">
        <v>25</v>
      </c>
      <c r="G691" s="4" t="s">
        <v>81</v>
      </c>
      <c r="H691" s="4" t="s">
        <v>25</v>
      </c>
      <c r="I691" s="5">
        <v>44562</v>
      </c>
      <c r="J691" s="6">
        <v>211</v>
      </c>
      <c r="K691" s="6">
        <v>211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4" t="s">
        <v>68</v>
      </c>
      <c r="R691" s="4">
        <v>34893</v>
      </c>
      <c r="S691" s="6">
        <v>38</v>
      </c>
      <c r="T691" s="6">
        <v>0</v>
      </c>
      <c r="U691" s="6">
        <v>0</v>
      </c>
      <c r="V691" s="6">
        <f>IF(ISERROR(VLOOKUP($S$691,'TAR FIN'!$A$1:$O$104,15,0)),0,VLOOKUP($S$691,'TAR FIN'!$A$1:$O$104,15,0))</f>
        <v>14.41</v>
      </c>
      <c r="W691" s="6">
        <f>IF(ISERROR(VLOOKUP($T$691,'TAR FIN'!$A$1:$O$104,15,0)),0,VLOOKUP($T$691,'TAR FIN'!$A$1:$O$104,15,0))</f>
        <v>0</v>
      </c>
      <c r="X691" s="6">
        <f>IF(ISERROR(VLOOKUP($U$691,'TAR FIN'!$A$1:$O$104,15,0)),0,VLOOKUP($U$691,'TAR FIN'!$A$1:$O$104,15,0))</f>
        <v>0</v>
      </c>
      <c r="Y691" s="6">
        <f ca="1">('TUSD BE'!$AM$23+'TUSD BF'!$AM$23+'TUSD CVA'!$AM$23)*1</f>
        <v>14.494286200962303</v>
      </c>
      <c r="Z691" s="6"/>
      <c r="AA691" s="6"/>
      <c r="AB691" s="6">
        <f>$K$691*$V$691</f>
        <v>3040.51</v>
      </c>
      <c r="AC691" s="6">
        <f>$M$691*$W$691</f>
        <v>0</v>
      </c>
      <c r="AD691" s="6">
        <f>$O$691*$X$691</f>
        <v>0</v>
      </c>
      <c r="AE691" s="6">
        <f ca="1">$K$691*$Y$691</f>
        <v>3058.294388403046</v>
      </c>
      <c r="AF691" s="6">
        <f>$M$691*$Z$691</f>
        <v>0</v>
      </c>
      <c r="AG691" s="6">
        <f>$O$691*$AA$691</f>
        <v>0</v>
      </c>
    </row>
    <row r="692" spans="1:33" ht="11.25" customHeight="1" x14ac:dyDescent="0.25">
      <c r="A692" s="4" t="s">
        <v>21</v>
      </c>
      <c r="B692" s="4" t="s">
        <v>41</v>
      </c>
      <c r="C692" s="4" t="s">
        <v>66</v>
      </c>
      <c r="D692" s="4" t="s">
        <v>25</v>
      </c>
      <c r="E692" s="4" t="s">
        <v>25</v>
      </c>
      <c r="F692" s="4" t="s">
        <v>25</v>
      </c>
      <c r="G692" s="4" t="s">
        <v>82</v>
      </c>
      <c r="H692" s="4" t="s">
        <v>25</v>
      </c>
      <c r="I692" s="5">
        <v>44562</v>
      </c>
      <c r="J692" s="6">
        <v>4800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4" t="s">
        <v>68</v>
      </c>
      <c r="R692" s="4">
        <v>43199</v>
      </c>
      <c r="S692" s="6">
        <v>38</v>
      </c>
      <c r="T692" s="6">
        <v>0</v>
      </c>
      <c r="U692" s="6">
        <v>0</v>
      </c>
      <c r="V692" s="6">
        <f>IF(ISERROR(VLOOKUP($S$692,'TAR FIN'!$A$1:$O$104,15,0)),0,VLOOKUP($S$692,'TAR FIN'!$A$1:$O$104,15,0))</f>
        <v>14.41</v>
      </c>
      <c r="W692" s="6">
        <f>IF(ISERROR(VLOOKUP($T$692,'TAR FIN'!$A$1:$O$104,15,0)),0,VLOOKUP($T$692,'TAR FIN'!$A$1:$O$104,15,0))</f>
        <v>0</v>
      </c>
      <c r="X692" s="6">
        <f>IF(ISERROR(VLOOKUP($U$692,'TAR FIN'!$A$1:$O$104,15,0)),0,VLOOKUP($U$692,'TAR FIN'!$A$1:$O$104,15,0))</f>
        <v>0</v>
      </c>
      <c r="Y692" s="6">
        <f ca="1">('TUSD BE'!$AM$23+'TUSD BF'!$AM$23+'TUSD CVA'!$AM$23)*1</f>
        <v>14.494286200962303</v>
      </c>
      <c r="Z692" s="6"/>
      <c r="AA692" s="6"/>
      <c r="AB692" s="6">
        <f>$K$692*$V$692</f>
        <v>0</v>
      </c>
      <c r="AC692" s="6">
        <f>$M$692*$W$692</f>
        <v>0</v>
      </c>
      <c r="AD692" s="6">
        <f>$O$692*$X$692</f>
        <v>0</v>
      </c>
      <c r="AE692" s="6">
        <f ca="1">$K$692*$Y$692</f>
        <v>0</v>
      </c>
      <c r="AF692" s="6">
        <f>$M$692*$Z$692</f>
        <v>0</v>
      </c>
      <c r="AG692" s="6">
        <f>$O$692*$AA$692</f>
        <v>0</v>
      </c>
    </row>
    <row r="693" spans="1:33" ht="11.25" customHeight="1" x14ac:dyDescent="0.25">
      <c r="A693" s="4" t="s">
        <v>21</v>
      </c>
      <c r="B693" s="4" t="s">
        <v>41</v>
      </c>
      <c r="C693" s="4" t="s">
        <v>66</v>
      </c>
      <c r="D693" s="4" t="s">
        <v>25</v>
      </c>
      <c r="E693" s="4" t="s">
        <v>25</v>
      </c>
      <c r="F693" s="4" t="s">
        <v>25</v>
      </c>
      <c r="G693" s="4" t="s">
        <v>83</v>
      </c>
      <c r="H693" s="4" t="s">
        <v>25</v>
      </c>
      <c r="I693" s="5">
        <v>44562</v>
      </c>
      <c r="J693" s="6">
        <v>2400</v>
      </c>
      <c r="K693" s="6">
        <v>1200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4" t="s">
        <v>68</v>
      </c>
      <c r="S693" s="6">
        <v>38</v>
      </c>
      <c r="T693" s="6">
        <v>0</v>
      </c>
      <c r="U693" s="6">
        <v>0</v>
      </c>
      <c r="V693" s="6">
        <f>IF(ISERROR(VLOOKUP($S$693,'TAR FIN'!$A$1:$O$104,15,0)),0,VLOOKUP($S$693,'TAR FIN'!$A$1:$O$104,15,0))</f>
        <v>14.41</v>
      </c>
      <c r="W693" s="6">
        <f>IF(ISERROR(VLOOKUP($T$693,'TAR FIN'!$A$1:$O$104,15,0)),0,VLOOKUP($T$693,'TAR FIN'!$A$1:$O$104,15,0))</f>
        <v>0</v>
      </c>
      <c r="X693" s="6">
        <f>IF(ISERROR(VLOOKUP($U$693,'TAR FIN'!$A$1:$O$104,15,0)),0,VLOOKUP($U$693,'TAR FIN'!$A$1:$O$104,15,0))</f>
        <v>0</v>
      </c>
      <c r="Y693" s="6">
        <f ca="1">('TUSD BE'!$AM$23+'TUSD BF'!$AM$23+'TUSD CVA'!$AM$23)*1</f>
        <v>14.494286200962303</v>
      </c>
      <c r="Z693" s="6"/>
      <c r="AA693" s="6"/>
      <c r="AB693" s="6">
        <f>$K$693*$V$693</f>
        <v>17292</v>
      </c>
      <c r="AC693" s="6">
        <f>$M$693*$W$693</f>
        <v>0</v>
      </c>
      <c r="AD693" s="6">
        <f>$O$693*$X$693</f>
        <v>0</v>
      </c>
      <c r="AE693" s="6">
        <f ca="1">$K$693*$Y$693</f>
        <v>17393.143441154763</v>
      </c>
      <c r="AF693" s="6">
        <f>$M$693*$Z$693</f>
        <v>0</v>
      </c>
      <c r="AG693" s="6">
        <f>$O$693*$AA$693</f>
        <v>0</v>
      </c>
    </row>
    <row r="694" spans="1:33" ht="11.25" customHeight="1" x14ac:dyDescent="0.25">
      <c r="A694" s="4" t="s">
        <v>21</v>
      </c>
      <c r="B694" s="4" t="s">
        <v>41</v>
      </c>
      <c r="C694" s="4" t="s">
        <v>66</v>
      </c>
      <c r="D694" s="4" t="s">
        <v>25</v>
      </c>
      <c r="E694" s="4" t="s">
        <v>25</v>
      </c>
      <c r="F694" s="4" t="s">
        <v>25</v>
      </c>
      <c r="G694" s="4" t="s">
        <v>84</v>
      </c>
      <c r="H694" s="4" t="s">
        <v>25</v>
      </c>
      <c r="I694" s="5">
        <v>44562</v>
      </c>
      <c r="J694" s="6">
        <v>250</v>
      </c>
      <c r="K694" s="6">
        <v>125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4" t="s">
        <v>68</v>
      </c>
      <c r="S694" s="6">
        <v>38</v>
      </c>
      <c r="T694" s="6">
        <v>0</v>
      </c>
      <c r="U694" s="6">
        <v>0</v>
      </c>
      <c r="V694" s="6">
        <f>IF(ISERROR(VLOOKUP($S$694,'TAR FIN'!$A$1:$O$104,15,0)),0,VLOOKUP($S$694,'TAR FIN'!$A$1:$O$104,15,0))</f>
        <v>14.41</v>
      </c>
      <c r="W694" s="6">
        <f>IF(ISERROR(VLOOKUP($T$694,'TAR FIN'!$A$1:$O$104,15,0)),0,VLOOKUP($T$694,'TAR FIN'!$A$1:$O$104,15,0))</f>
        <v>0</v>
      </c>
      <c r="X694" s="6">
        <f>IF(ISERROR(VLOOKUP($U$694,'TAR FIN'!$A$1:$O$104,15,0)),0,VLOOKUP($U$694,'TAR FIN'!$A$1:$O$104,15,0))</f>
        <v>0</v>
      </c>
      <c r="Y694" s="6">
        <f ca="1">('TUSD BE'!$AM$23+'TUSD BF'!$AM$23+'TUSD CVA'!$AM$23)*1</f>
        <v>14.494286200962303</v>
      </c>
      <c r="Z694" s="6"/>
      <c r="AA694" s="6"/>
      <c r="AB694" s="6">
        <f>$K$694*$V$694</f>
        <v>1801.25</v>
      </c>
      <c r="AC694" s="6">
        <f>$M$694*$W$694</f>
        <v>0</v>
      </c>
      <c r="AD694" s="6">
        <f>$O$694*$X$694</f>
        <v>0</v>
      </c>
      <c r="AE694" s="6">
        <f ca="1">$K$694*$Y$694</f>
        <v>1811.785775120288</v>
      </c>
      <c r="AF694" s="6">
        <f>$M$694*$Z$694</f>
        <v>0</v>
      </c>
      <c r="AG694" s="6">
        <f>$O$694*$AA$694</f>
        <v>0</v>
      </c>
    </row>
    <row r="695" spans="1:33" ht="11.25" customHeight="1" x14ac:dyDescent="0.25">
      <c r="A695" s="4" t="s">
        <v>21</v>
      </c>
      <c r="B695" s="4" t="s">
        <v>41</v>
      </c>
      <c r="C695" s="4" t="s">
        <v>66</v>
      </c>
      <c r="D695" s="4" t="s">
        <v>25</v>
      </c>
      <c r="E695" s="4" t="s">
        <v>25</v>
      </c>
      <c r="F695" s="4" t="s">
        <v>25</v>
      </c>
      <c r="G695" s="4" t="s">
        <v>85</v>
      </c>
      <c r="H695" s="4" t="s">
        <v>25</v>
      </c>
      <c r="I695" s="5">
        <v>44562</v>
      </c>
      <c r="J695" s="6">
        <v>250</v>
      </c>
      <c r="K695" s="6">
        <v>125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4" t="s">
        <v>68</v>
      </c>
      <c r="R695" s="4">
        <v>52044</v>
      </c>
      <c r="S695" s="6">
        <v>38</v>
      </c>
      <c r="T695" s="6">
        <v>0</v>
      </c>
      <c r="U695" s="6">
        <v>0</v>
      </c>
      <c r="V695" s="6">
        <f>IF(ISERROR(VLOOKUP($S$695,'TAR FIN'!$A$1:$O$104,15,0)),0,VLOOKUP($S$695,'TAR FIN'!$A$1:$O$104,15,0))</f>
        <v>14.41</v>
      </c>
      <c r="W695" s="6">
        <f>IF(ISERROR(VLOOKUP($T$695,'TAR FIN'!$A$1:$O$104,15,0)),0,VLOOKUP($T$695,'TAR FIN'!$A$1:$O$104,15,0))</f>
        <v>0</v>
      </c>
      <c r="X695" s="6">
        <f>IF(ISERROR(VLOOKUP($U$695,'TAR FIN'!$A$1:$O$104,15,0)),0,VLOOKUP($U$695,'TAR FIN'!$A$1:$O$104,15,0))</f>
        <v>0</v>
      </c>
      <c r="Y695" s="6">
        <f ca="1">('TUSD BE'!$AM$23+'TUSD BF'!$AM$23+'TUSD CVA'!$AM$23)*1</f>
        <v>14.494286200962303</v>
      </c>
      <c r="Z695" s="6"/>
      <c r="AA695" s="6"/>
      <c r="AB695" s="6">
        <f>$K$695*$V$695</f>
        <v>1801.25</v>
      </c>
      <c r="AC695" s="6">
        <f>$M$695*$W$695</f>
        <v>0</v>
      </c>
      <c r="AD695" s="6">
        <f>$O$695*$X$695</f>
        <v>0</v>
      </c>
      <c r="AE695" s="6">
        <f ca="1">$K$695*$Y$695</f>
        <v>1811.785775120288</v>
      </c>
      <c r="AF695" s="6">
        <f>$M$695*$Z$695</f>
        <v>0</v>
      </c>
      <c r="AG695" s="6">
        <f>$O$695*$AA$695</f>
        <v>0</v>
      </c>
    </row>
    <row r="696" spans="1:33" ht="11.25" customHeight="1" x14ac:dyDescent="0.25">
      <c r="A696" s="4" t="s">
        <v>21</v>
      </c>
      <c r="B696" s="4" t="s">
        <v>41</v>
      </c>
      <c r="C696" s="4" t="s">
        <v>66</v>
      </c>
      <c r="D696" s="4" t="s">
        <v>25</v>
      </c>
      <c r="E696" s="4" t="s">
        <v>25</v>
      </c>
      <c r="F696" s="4" t="s">
        <v>25</v>
      </c>
      <c r="G696" s="4" t="s">
        <v>72</v>
      </c>
      <c r="H696" s="4" t="s">
        <v>25</v>
      </c>
      <c r="I696" s="5">
        <v>44593</v>
      </c>
      <c r="J696" s="6">
        <v>4500</v>
      </c>
      <c r="K696" s="6">
        <v>2250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4" t="s">
        <v>68</v>
      </c>
      <c r="R696" s="4">
        <v>29075</v>
      </c>
      <c r="S696" s="6">
        <v>38</v>
      </c>
      <c r="T696" s="6">
        <v>0</v>
      </c>
      <c r="U696" s="6">
        <v>0</v>
      </c>
      <c r="V696" s="6">
        <f>IF(ISERROR(VLOOKUP($S$696,'TAR FIN'!$A$1:$O$104,15,0)),0,VLOOKUP($S$696,'TAR FIN'!$A$1:$O$104,15,0))</f>
        <v>14.41</v>
      </c>
      <c r="W696" s="6">
        <f>IF(ISERROR(VLOOKUP($T$696,'TAR FIN'!$A$1:$O$104,15,0)),0,VLOOKUP($T$696,'TAR FIN'!$A$1:$O$104,15,0))</f>
        <v>0</v>
      </c>
      <c r="X696" s="6">
        <f>IF(ISERROR(VLOOKUP($U$696,'TAR FIN'!$A$1:$O$104,15,0)),0,VLOOKUP($U$696,'TAR FIN'!$A$1:$O$104,15,0))</f>
        <v>0</v>
      </c>
      <c r="Y696" s="6">
        <f ca="1">('TUSD BE'!$AM$23+'TUSD BF'!$AM$23+'TUSD CVA'!$AM$23)*1</f>
        <v>14.494286200962303</v>
      </c>
      <c r="Z696" s="6"/>
      <c r="AA696" s="6"/>
      <c r="AB696" s="6">
        <f>$K$696*$V$696</f>
        <v>32422.5</v>
      </c>
      <c r="AC696" s="6">
        <f>$M$696*$W$696</f>
        <v>0</v>
      </c>
      <c r="AD696" s="6">
        <f>$O$696*$X$696</f>
        <v>0</v>
      </c>
      <c r="AE696" s="6">
        <f ca="1">$K$696*$Y$696</f>
        <v>32612.143952165185</v>
      </c>
      <c r="AF696" s="6">
        <f>$M$696*$Z$696</f>
        <v>0</v>
      </c>
      <c r="AG696" s="6">
        <f>$O$696*$AA$696</f>
        <v>0</v>
      </c>
    </row>
    <row r="697" spans="1:33" ht="11.25" customHeight="1" x14ac:dyDescent="0.25">
      <c r="A697" s="4" t="s">
        <v>21</v>
      </c>
      <c r="B697" s="4" t="s">
        <v>41</v>
      </c>
      <c r="C697" s="4" t="s">
        <v>66</v>
      </c>
      <c r="D697" s="4" t="s">
        <v>25</v>
      </c>
      <c r="E697" s="4" t="s">
        <v>25</v>
      </c>
      <c r="F697" s="4" t="s">
        <v>25</v>
      </c>
      <c r="G697" s="4" t="s">
        <v>74</v>
      </c>
      <c r="H697" s="4" t="s">
        <v>25</v>
      </c>
      <c r="I697" s="5">
        <v>44593</v>
      </c>
      <c r="J697" s="6">
        <v>3000</v>
      </c>
      <c r="K697" s="6">
        <v>1500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4" t="s">
        <v>68</v>
      </c>
      <c r="S697" s="6">
        <v>38</v>
      </c>
      <c r="T697" s="6">
        <v>0</v>
      </c>
      <c r="U697" s="6">
        <v>0</v>
      </c>
      <c r="V697" s="6">
        <f>IF(ISERROR(VLOOKUP($S$697,'TAR FIN'!$A$1:$O$104,15,0)),0,VLOOKUP($S$697,'TAR FIN'!$A$1:$O$104,15,0))</f>
        <v>14.41</v>
      </c>
      <c r="W697" s="6">
        <f>IF(ISERROR(VLOOKUP($T$697,'TAR FIN'!$A$1:$O$104,15,0)),0,VLOOKUP($T$697,'TAR FIN'!$A$1:$O$104,15,0))</f>
        <v>0</v>
      </c>
      <c r="X697" s="6">
        <f>IF(ISERROR(VLOOKUP($U$697,'TAR FIN'!$A$1:$O$104,15,0)),0,VLOOKUP($U$697,'TAR FIN'!$A$1:$O$104,15,0))</f>
        <v>0</v>
      </c>
      <c r="Y697" s="6">
        <f ca="1">('TUSD BE'!$AM$23+'TUSD BF'!$AM$23+'TUSD CVA'!$AM$23)*1</f>
        <v>14.494286200962303</v>
      </c>
      <c r="Z697" s="6"/>
      <c r="AA697" s="6"/>
      <c r="AB697" s="6">
        <f>$K$697*$V$697</f>
        <v>21615</v>
      </c>
      <c r="AC697" s="6">
        <f>$M$697*$W$697</f>
        <v>0</v>
      </c>
      <c r="AD697" s="6">
        <f>$O$697*$X$697</f>
        <v>0</v>
      </c>
      <c r="AE697" s="6">
        <f ca="1">$K$697*$Y$697</f>
        <v>21741.429301443455</v>
      </c>
      <c r="AF697" s="6">
        <f>$M$697*$Z$697</f>
        <v>0</v>
      </c>
      <c r="AG697" s="6">
        <f>$O$697*$AA$697</f>
        <v>0</v>
      </c>
    </row>
    <row r="698" spans="1:33" ht="11.25" customHeight="1" x14ac:dyDescent="0.25">
      <c r="A698" s="4" t="s">
        <v>21</v>
      </c>
      <c r="B698" s="4" t="s">
        <v>41</v>
      </c>
      <c r="C698" s="4" t="s">
        <v>66</v>
      </c>
      <c r="D698" s="4" t="s">
        <v>25</v>
      </c>
      <c r="E698" s="4" t="s">
        <v>25</v>
      </c>
      <c r="F698" s="4" t="s">
        <v>25</v>
      </c>
      <c r="G698" s="4" t="s">
        <v>80</v>
      </c>
      <c r="H698" s="4" t="s">
        <v>25</v>
      </c>
      <c r="I698" s="5">
        <v>44593</v>
      </c>
      <c r="J698" s="6">
        <v>3000</v>
      </c>
      <c r="K698" s="6">
        <v>1500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4" t="s">
        <v>68</v>
      </c>
      <c r="R698" s="4">
        <v>34891</v>
      </c>
      <c r="S698" s="6">
        <v>38</v>
      </c>
      <c r="T698" s="6">
        <v>0</v>
      </c>
      <c r="U698" s="6">
        <v>0</v>
      </c>
      <c r="V698" s="6">
        <f>IF(ISERROR(VLOOKUP($S$698,'TAR FIN'!$A$1:$O$104,15,0)),0,VLOOKUP($S$698,'TAR FIN'!$A$1:$O$104,15,0))</f>
        <v>14.41</v>
      </c>
      <c r="W698" s="6">
        <f>IF(ISERROR(VLOOKUP($T$698,'TAR FIN'!$A$1:$O$104,15,0)),0,VLOOKUP($T$698,'TAR FIN'!$A$1:$O$104,15,0))</f>
        <v>0</v>
      </c>
      <c r="X698" s="6">
        <f>IF(ISERROR(VLOOKUP($U$698,'TAR FIN'!$A$1:$O$104,15,0)),0,VLOOKUP($U$698,'TAR FIN'!$A$1:$O$104,15,0))</f>
        <v>0</v>
      </c>
      <c r="Y698" s="6">
        <f ca="1">('TUSD BE'!$AM$23+'TUSD BF'!$AM$23+'TUSD CVA'!$AM$23)*1</f>
        <v>14.494286200962303</v>
      </c>
      <c r="Z698" s="6"/>
      <c r="AA698" s="6"/>
      <c r="AB698" s="6">
        <f>$K$698*$V$698</f>
        <v>21615</v>
      </c>
      <c r="AC698" s="6">
        <f>$M$698*$W$698</f>
        <v>0</v>
      </c>
      <c r="AD698" s="6">
        <f>$O$698*$X$698</f>
        <v>0</v>
      </c>
      <c r="AE698" s="6">
        <f ca="1">$K$698*$Y$698</f>
        <v>21741.429301443455</v>
      </c>
      <c r="AF698" s="6">
        <f>$M$698*$Z$698</f>
        <v>0</v>
      </c>
      <c r="AG698" s="6">
        <f>$O$698*$AA$698</f>
        <v>0</v>
      </c>
    </row>
    <row r="699" spans="1:33" ht="11.25" customHeight="1" x14ac:dyDescent="0.25">
      <c r="A699" s="4" t="s">
        <v>21</v>
      </c>
      <c r="B699" s="4" t="s">
        <v>41</v>
      </c>
      <c r="C699" s="4" t="s">
        <v>66</v>
      </c>
      <c r="D699" s="4" t="s">
        <v>25</v>
      </c>
      <c r="E699" s="4" t="s">
        <v>25</v>
      </c>
      <c r="F699" s="4" t="s">
        <v>25</v>
      </c>
      <c r="G699" s="4" t="s">
        <v>81</v>
      </c>
      <c r="H699" s="4" t="s">
        <v>25</v>
      </c>
      <c r="I699" s="5">
        <v>44593</v>
      </c>
      <c r="J699" s="6">
        <v>600</v>
      </c>
      <c r="K699" s="6">
        <v>300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4" t="s">
        <v>68</v>
      </c>
      <c r="R699" s="4">
        <v>34893</v>
      </c>
      <c r="S699" s="6">
        <v>38</v>
      </c>
      <c r="T699" s="6">
        <v>0</v>
      </c>
      <c r="U699" s="6">
        <v>0</v>
      </c>
      <c r="V699" s="6">
        <f>IF(ISERROR(VLOOKUP($S$699,'TAR FIN'!$A$1:$O$104,15,0)),0,VLOOKUP($S$699,'TAR FIN'!$A$1:$O$104,15,0))</f>
        <v>14.41</v>
      </c>
      <c r="W699" s="6">
        <f>IF(ISERROR(VLOOKUP($T$699,'TAR FIN'!$A$1:$O$104,15,0)),0,VLOOKUP($T$699,'TAR FIN'!$A$1:$O$104,15,0))</f>
        <v>0</v>
      </c>
      <c r="X699" s="6">
        <f>IF(ISERROR(VLOOKUP($U$699,'TAR FIN'!$A$1:$O$104,15,0)),0,VLOOKUP($U$699,'TAR FIN'!$A$1:$O$104,15,0))</f>
        <v>0</v>
      </c>
      <c r="Y699" s="6">
        <f ca="1">('TUSD BE'!$AM$23+'TUSD BF'!$AM$23+'TUSD CVA'!$AM$23)*1</f>
        <v>14.494286200962303</v>
      </c>
      <c r="Z699" s="6"/>
      <c r="AA699" s="6"/>
      <c r="AB699" s="6">
        <f>$K$699*$V$699</f>
        <v>4323</v>
      </c>
      <c r="AC699" s="6">
        <f>$M$699*$W$699</f>
        <v>0</v>
      </c>
      <c r="AD699" s="6">
        <f>$O$699*$X$699</f>
        <v>0</v>
      </c>
      <c r="AE699" s="6">
        <f ca="1">$K$699*$Y$699</f>
        <v>4348.2858602886909</v>
      </c>
      <c r="AF699" s="6">
        <f>$M$699*$Z$699</f>
        <v>0</v>
      </c>
      <c r="AG699" s="6">
        <f>$O$699*$AA$699</f>
        <v>0</v>
      </c>
    </row>
    <row r="700" spans="1:33" ht="11.25" customHeight="1" x14ac:dyDescent="0.25">
      <c r="A700" s="4" t="s">
        <v>21</v>
      </c>
      <c r="B700" s="4" t="s">
        <v>41</v>
      </c>
      <c r="C700" s="4" t="s">
        <v>66</v>
      </c>
      <c r="D700" s="4" t="s">
        <v>25</v>
      </c>
      <c r="E700" s="4" t="s">
        <v>25</v>
      </c>
      <c r="F700" s="4" t="s">
        <v>25</v>
      </c>
      <c r="G700" s="4" t="s">
        <v>82</v>
      </c>
      <c r="H700" s="4" t="s">
        <v>25</v>
      </c>
      <c r="I700" s="5">
        <v>44593</v>
      </c>
      <c r="J700" s="6">
        <v>4800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4" t="s">
        <v>68</v>
      </c>
      <c r="R700" s="4">
        <v>43199</v>
      </c>
      <c r="S700" s="6">
        <v>38</v>
      </c>
      <c r="T700" s="6">
        <v>0</v>
      </c>
      <c r="U700" s="6">
        <v>0</v>
      </c>
      <c r="V700" s="6">
        <f>IF(ISERROR(VLOOKUP($S$700,'TAR FIN'!$A$1:$O$104,15,0)),0,VLOOKUP($S$700,'TAR FIN'!$A$1:$O$104,15,0))</f>
        <v>14.41</v>
      </c>
      <c r="W700" s="6">
        <f>IF(ISERROR(VLOOKUP($T$700,'TAR FIN'!$A$1:$O$104,15,0)),0,VLOOKUP($T$700,'TAR FIN'!$A$1:$O$104,15,0))</f>
        <v>0</v>
      </c>
      <c r="X700" s="6">
        <f>IF(ISERROR(VLOOKUP($U$700,'TAR FIN'!$A$1:$O$104,15,0)),0,VLOOKUP($U$700,'TAR FIN'!$A$1:$O$104,15,0))</f>
        <v>0</v>
      </c>
      <c r="Y700" s="6">
        <f ca="1">('TUSD BE'!$AM$23+'TUSD BF'!$AM$23+'TUSD CVA'!$AM$23)*1</f>
        <v>14.494286200962303</v>
      </c>
      <c r="Z700" s="6"/>
      <c r="AA700" s="6"/>
      <c r="AB700" s="6">
        <f>$K$700*$V$700</f>
        <v>0</v>
      </c>
      <c r="AC700" s="6">
        <f>$M$700*$W$700</f>
        <v>0</v>
      </c>
      <c r="AD700" s="6">
        <f>$O$700*$X$700</f>
        <v>0</v>
      </c>
      <c r="AE700" s="6">
        <f ca="1">$K$700*$Y$700</f>
        <v>0</v>
      </c>
      <c r="AF700" s="6">
        <f>$M$700*$Z$700</f>
        <v>0</v>
      </c>
      <c r="AG700" s="6">
        <f>$O$700*$AA$700</f>
        <v>0</v>
      </c>
    </row>
    <row r="701" spans="1:33" ht="11.25" customHeight="1" x14ac:dyDescent="0.25">
      <c r="A701" s="4" t="s">
        <v>21</v>
      </c>
      <c r="B701" s="4" t="s">
        <v>41</v>
      </c>
      <c r="C701" s="4" t="s">
        <v>66</v>
      </c>
      <c r="D701" s="4" t="s">
        <v>25</v>
      </c>
      <c r="E701" s="4" t="s">
        <v>25</v>
      </c>
      <c r="F701" s="4" t="s">
        <v>25</v>
      </c>
      <c r="G701" s="4" t="s">
        <v>83</v>
      </c>
      <c r="H701" s="4" t="s">
        <v>25</v>
      </c>
      <c r="I701" s="5">
        <v>44593</v>
      </c>
      <c r="J701" s="6">
        <v>2400</v>
      </c>
      <c r="K701" s="6">
        <v>1200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4" t="s">
        <v>68</v>
      </c>
      <c r="S701" s="6">
        <v>38</v>
      </c>
      <c r="T701" s="6">
        <v>0</v>
      </c>
      <c r="U701" s="6">
        <v>0</v>
      </c>
      <c r="V701" s="6">
        <f>IF(ISERROR(VLOOKUP($S$701,'TAR FIN'!$A$1:$O$104,15,0)),0,VLOOKUP($S$701,'TAR FIN'!$A$1:$O$104,15,0))</f>
        <v>14.41</v>
      </c>
      <c r="W701" s="6">
        <f>IF(ISERROR(VLOOKUP($T$701,'TAR FIN'!$A$1:$O$104,15,0)),0,VLOOKUP($T$701,'TAR FIN'!$A$1:$O$104,15,0))</f>
        <v>0</v>
      </c>
      <c r="X701" s="6">
        <f>IF(ISERROR(VLOOKUP($U$701,'TAR FIN'!$A$1:$O$104,15,0)),0,VLOOKUP($U$701,'TAR FIN'!$A$1:$O$104,15,0))</f>
        <v>0</v>
      </c>
      <c r="Y701" s="6">
        <f ca="1">('TUSD BE'!$AM$23+'TUSD BF'!$AM$23+'TUSD CVA'!$AM$23)*1</f>
        <v>14.494286200962303</v>
      </c>
      <c r="Z701" s="6"/>
      <c r="AA701" s="6"/>
      <c r="AB701" s="6">
        <f>$K$701*$V$701</f>
        <v>17292</v>
      </c>
      <c r="AC701" s="6">
        <f>$M$701*$W$701</f>
        <v>0</v>
      </c>
      <c r="AD701" s="6">
        <f>$O$701*$X$701</f>
        <v>0</v>
      </c>
      <c r="AE701" s="6">
        <f ca="1">$K$701*$Y$701</f>
        <v>17393.143441154763</v>
      </c>
      <c r="AF701" s="6">
        <f>$M$701*$Z$701</f>
        <v>0</v>
      </c>
      <c r="AG701" s="6">
        <f>$O$701*$AA$701</f>
        <v>0</v>
      </c>
    </row>
    <row r="702" spans="1:33" ht="11.25" customHeight="1" x14ac:dyDescent="0.25">
      <c r="A702" s="4" t="s">
        <v>21</v>
      </c>
      <c r="B702" s="4" t="s">
        <v>41</v>
      </c>
      <c r="C702" s="4" t="s">
        <v>66</v>
      </c>
      <c r="D702" s="4" t="s">
        <v>25</v>
      </c>
      <c r="E702" s="4" t="s">
        <v>25</v>
      </c>
      <c r="F702" s="4" t="s">
        <v>25</v>
      </c>
      <c r="G702" s="4" t="s">
        <v>84</v>
      </c>
      <c r="H702" s="4" t="s">
        <v>25</v>
      </c>
      <c r="I702" s="5">
        <v>44593</v>
      </c>
      <c r="J702" s="6">
        <v>250</v>
      </c>
      <c r="K702" s="6">
        <v>125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4" t="s">
        <v>68</v>
      </c>
      <c r="S702" s="6">
        <v>38</v>
      </c>
      <c r="T702" s="6">
        <v>0</v>
      </c>
      <c r="U702" s="6">
        <v>0</v>
      </c>
      <c r="V702" s="6">
        <f>IF(ISERROR(VLOOKUP($S$702,'TAR FIN'!$A$1:$O$104,15,0)),0,VLOOKUP($S$702,'TAR FIN'!$A$1:$O$104,15,0))</f>
        <v>14.41</v>
      </c>
      <c r="W702" s="6">
        <f>IF(ISERROR(VLOOKUP($T$702,'TAR FIN'!$A$1:$O$104,15,0)),0,VLOOKUP($T$702,'TAR FIN'!$A$1:$O$104,15,0))</f>
        <v>0</v>
      </c>
      <c r="X702" s="6">
        <f>IF(ISERROR(VLOOKUP($U$702,'TAR FIN'!$A$1:$O$104,15,0)),0,VLOOKUP($U$702,'TAR FIN'!$A$1:$O$104,15,0))</f>
        <v>0</v>
      </c>
      <c r="Y702" s="6">
        <f ca="1">('TUSD BE'!$AM$23+'TUSD BF'!$AM$23+'TUSD CVA'!$AM$23)*1</f>
        <v>14.494286200962303</v>
      </c>
      <c r="Z702" s="6"/>
      <c r="AA702" s="6"/>
      <c r="AB702" s="6">
        <f>$K$702*$V$702</f>
        <v>1801.25</v>
      </c>
      <c r="AC702" s="6">
        <f>$M$702*$W$702</f>
        <v>0</v>
      </c>
      <c r="AD702" s="6">
        <f>$O$702*$X$702</f>
        <v>0</v>
      </c>
      <c r="AE702" s="6">
        <f ca="1">$K$702*$Y$702</f>
        <v>1811.785775120288</v>
      </c>
      <c r="AF702" s="6">
        <f>$M$702*$Z$702</f>
        <v>0</v>
      </c>
      <c r="AG702" s="6">
        <f>$O$702*$AA$702</f>
        <v>0</v>
      </c>
    </row>
    <row r="703" spans="1:33" ht="11.25" customHeight="1" x14ac:dyDescent="0.25">
      <c r="A703" s="4" t="s">
        <v>21</v>
      </c>
      <c r="B703" s="4" t="s">
        <v>41</v>
      </c>
      <c r="C703" s="4" t="s">
        <v>66</v>
      </c>
      <c r="D703" s="4" t="s">
        <v>25</v>
      </c>
      <c r="E703" s="4" t="s">
        <v>25</v>
      </c>
      <c r="F703" s="4" t="s">
        <v>25</v>
      </c>
      <c r="G703" s="4" t="s">
        <v>85</v>
      </c>
      <c r="H703" s="4" t="s">
        <v>25</v>
      </c>
      <c r="I703" s="5">
        <v>44593</v>
      </c>
      <c r="J703" s="6">
        <v>250</v>
      </c>
      <c r="K703" s="6">
        <v>125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4" t="s">
        <v>68</v>
      </c>
      <c r="R703" s="4">
        <v>52044</v>
      </c>
      <c r="S703" s="6">
        <v>38</v>
      </c>
      <c r="T703" s="6">
        <v>0</v>
      </c>
      <c r="U703" s="6">
        <v>0</v>
      </c>
      <c r="V703" s="6">
        <f>IF(ISERROR(VLOOKUP($S$703,'TAR FIN'!$A$1:$O$104,15,0)),0,VLOOKUP($S$703,'TAR FIN'!$A$1:$O$104,15,0))</f>
        <v>14.41</v>
      </c>
      <c r="W703" s="6">
        <f>IF(ISERROR(VLOOKUP($T$703,'TAR FIN'!$A$1:$O$104,15,0)),0,VLOOKUP($T$703,'TAR FIN'!$A$1:$O$104,15,0))</f>
        <v>0</v>
      </c>
      <c r="X703" s="6">
        <f>IF(ISERROR(VLOOKUP($U$703,'TAR FIN'!$A$1:$O$104,15,0)),0,VLOOKUP($U$703,'TAR FIN'!$A$1:$O$104,15,0))</f>
        <v>0</v>
      </c>
      <c r="Y703" s="6">
        <f ca="1">('TUSD BE'!$AM$23+'TUSD BF'!$AM$23+'TUSD CVA'!$AM$23)*1</f>
        <v>14.494286200962303</v>
      </c>
      <c r="Z703" s="6"/>
      <c r="AA703" s="6"/>
      <c r="AB703" s="6">
        <f>$K$703*$V$703</f>
        <v>1801.25</v>
      </c>
      <c r="AC703" s="6">
        <f>$M$703*$W$703</f>
        <v>0</v>
      </c>
      <c r="AD703" s="6">
        <f>$O$703*$X$703</f>
        <v>0</v>
      </c>
      <c r="AE703" s="6">
        <f ca="1">$K$703*$Y$703</f>
        <v>1811.785775120288</v>
      </c>
      <c r="AF703" s="6">
        <f>$M$703*$Z$703</f>
        <v>0</v>
      </c>
      <c r="AG703" s="6">
        <f>$O$703*$AA$703</f>
        <v>0</v>
      </c>
    </row>
    <row r="704" spans="1:33" ht="11.25" customHeight="1" x14ac:dyDescent="0.25">
      <c r="A704" s="4" t="s">
        <v>21</v>
      </c>
      <c r="B704" s="4" t="s">
        <v>41</v>
      </c>
      <c r="C704" s="4" t="s">
        <v>66</v>
      </c>
      <c r="D704" s="4" t="s">
        <v>25</v>
      </c>
      <c r="E704" s="4" t="s">
        <v>25</v>
      </c>
      <c r="F704" s="4" t="s">
        <v>25</v>
      </c>
      <c r="G704" s="4" t="s">
        <v>72</v>
      </c>
      <c r="H704" s="4" t="s">
        <v>25</v>
      </c>
      <c r="I704" s="5">
        <v>44621</v>
      </c>
      <c r="J704" s="6">
        <v>4500</v>
      </c>
      <c r="K704" s="6">
        <v>2250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4" t="s">
        <v>68</v>
      </c>
      <c r="R704" s="4">
        <v>29075</v>
      </c>
      <c r="S704" s="6">
        <v>38</v>
      </c>
      <c r="T704" s="6">
        <v>0</v>
      </c>
      <c r="U704" s="6">
        <v>0</v>
      </c>
      <c r="V704" s="6">
        <f>IF(ISERROR(VLOOKUP($S$704,'TAR FIN'!$A$1:$O$104,15,0)),0,VLOOKUP($S$704,'TAR FIN'!$A$1:$O$104,15,0))</f>
        <v>14.41</v>
      </c>
      <c r="W704" s="6">
        <f>IF(ISERROR(VLOOKUP($T$704,'TAR FIN'!$A$1:$O$104,15,0)),0,VLOOKUP($T$704,'TAR FIN'!$A$1:$O$104,15,0))</f>
        <v>0</v>
      </c>
      <c r="X704" s="6">
        <f>IF(ISERROR(VLOOKUP($U$704,'TAR FIN'!$A$1:$O$104,15,0)),0,VLOOKUP($U$704,'TAR FIN'!$A$1:$O$104,15,0))</f>
        <v>0</v>
      </c>
      <c r="Y704" s="6">
        <f ca="1">('TUSD BE'!$AM$23+'TUSD BF'!$AM$23+'TUSD CVA'!$AM$23)*1</f>
        <v>14.494286200962303</v>
      </c>
      <c r="Z704" s="6"/>
      <c r="AA704" s="6"/>
      <c r="AB704" s="6">
        <f>$K$704*$V$704</f>
        <v>32422.5</v>
      </c>
      <c r="AC704" s="6">
        <f>$M$704*$W$704</f>
        <v>0</v>
      </c>
      <c r="AD704" s="6">
        <f>$O$704*$X$704</f>
        <v>0</v>
      </c>
      <c r="AE704" s="6">
        <f ca="1">$K$704*$Y$704</f>
        <v>32612.143952165185</v>
      </c>
      <c r="AF704" s="6">
        <f>$M$704*$Z$704</f>
        <v>0</v>
      </c>
      <c r="AG704" s="6">
        <f>$O$704*$AA$704</f>
        <v>0</v>
      </c>
    </row>
    <row r="705" spans="1:33" ht="11.25" customHeight="1" x14ac:dyDescent="0.25">
      <c r="A705" s="4" t="s">
        <v>21</v>
      </c>
      <c r="B705" s="4" t="s">
        <v>41</v>
      </c>
      <c r="C705" s="4" t="s">
        <v>66</v>
      </c>
      <c r="D705" s="4" t="s">
        <v>25</v>
      </c>
      <c r="E705" s="4" t="s">
        <v>25</v>
      </c>
      <c r="F705" s="4" t="s">
        <v>25</v>
      </c>
      <c r="G705" s="4" t="s">
        <v>74</v>
      </c>
      <c r="H705" s="4" t="s">
        <v>25</v>
      </c>
      <c r="I705" s="5">
        <v>44621</v>
      </c>
      <c r="J705" s="6">
        <v>3000</v>
      </c>
      <c r="K705" s="6">
        <v>1500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4" t="s">
        <v>68</v>
      </c>
      <c r="S705" s="6">
        <v>38</v>
      </c>
      <c r="T705" s="6">
        <v>0</v>
      </c>
      <c r="U705" s="6">
        <v>0</v>
      </c>
      <c r="V705" s="6">
        <f>IF(ISERROR(VLOOKUP($S$705,'TAR FIN'!$A$1:$O$104,15,0)),0,VLOOKUP($S$705,'TAR FIN'!$A$1:$O$104,15,0))</f>
        <v>14.41</v>
      </c>
      <c r="W705" s="6">
        <f>IF(ISERROR(VLOOKUP($T$705,'TAR FIN'!$A$1:$O$104,15,0)),0,VLOOKUP($T$705,'TAR FIN'!$A$1:$O$104,15,0))</f>
        <v>0</v>
      </c>
      <c r="X705" s="6">
        <f>IF(ISERROR(VLOOKUP($U$705,'TAR FIN'!$A$1:$O$104,15,0)),0,VLOOKUP($U$705,'TAR FIN'!$A$1:$O$104,15,0))</f>
        <v>0</v>
      </c>
      <c r="Y705" s="6">
        <f ca="1">('TUSD BE'!$AM$23+'TUSD BF'!$AM$23+'TUSD CVA'!$AM$23)*1</f>
        <v>14.494286200962303</v>
      </c>
      <c r="Z705" s="6"/>
      <c r="AA705" s="6"/>
      <c r="AB705" s="6">
        <f>$K$705*$V$705</f>
        <v>21615</v>
      </c>
      <c r="AC705" s="6">
        <f>$M$705*$W$705</f>
        <v>0</v>
      </c>
      <c r="AD705" s="6">
        <f>$O$705*$X$705</f>
        <v>0</v>
      </c>
      <c r="AE705" s="6">
        <f ca="1">$K$705*$Y$705</f>
        <v>21741.429301443455</v>
      </c>
      <c r="AF705" s="6">
        <f>$M$705*$Z$705</f>
        <v>0</v>
      </c>
      <c r="AG705" s="6">
        <f>$O$705*$AA$705</f>
        <v>0</v>
      </c>
    </row>
    <row r="706" spans="1:33" ht="11.25" customHeight="1" x14ac:dyDescent="0.25">
      <c r="A706" s="4" t="s">
        <v>21</v>
      </c>
      <c r="B706" s="4" t="s">
        <v>41</v>
      </c>
      <c r="C706" s="4" t="s">
        <v>66</v>
      </c>
      <c r="D706" s="4" t="s">
        <v>25</v>
      </c>
      <c r="E706" s="4" t="s">
        <v>25</v>
      </c>
      <c r="F706" s="4" t="s">
        <v>25</v>
      </c>
      <c r="G706" s="4" t="s">
        <v>80</v>
      </c>
      <c r="H706" s="4" t="s">
        <v>25</v>
      </c>
      <c r="I706" s="5">
        <v>44621</v>
      </c>
      <c r="J706" s="6">
        <v>3000</v>
      </c>
      <c r="K706" s="6">
        <v>1500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4" t="s">
        <v>68</v>
      </c>
      <c r="R706" s="4">
        <v>34891</v>
      </c>
      <c r="S706" s="6">
        <v>38</v>
      </c>
      <c r="T706" s="6">
        <v>0</v>
      </c>
      <c r="U706" s="6">
        <v>0</v>
      </c>
      <c r="V706" s="6">
        <f>IF(ISERROR(VLOOKUP($S$706,'TAR FIN'!$A$1:$O$104,15,0)),0,VLOOKUP($S$706,'TAR FIN'!$A$1:$O$104,15,0))</f>
        <v>14.41</v>
      </c>
      <c r="W706" s="6">
        <f>IF(ISERROR(VLOOKUP($T$706,'TAR FIN'!$A$1:$O$104,15,0)),0,VLOOKUP($T$706,'TAR FIN'!$A$1:$O$104,15,0))</f>
        <v>0</v>
      </c>
      <c r="X706" s="6">
        <f>IF(ISERROR(VLOOKUP($U$706,'TAR FIN'!$A$1:$O$104,15,0)),0,VLOOKUP($U$706,'TAR FIN'!$A$1:$O$104,15,0))</f>
        <v>0</v>
      </c>
      <c r="Y706" s="6">
        <f ca="1">('TUSD BE'!$AM$23+'TUSD BF'!$AM$23+'TUSD CVA'!$AM$23)*1</f>
        <v>14.494286200962303</v>
      </c>
      <c r="Z706" s="6"/>
      <c r="AA706" s="6"/>
      <c r="AB706" s="6">
        <f>$K$706*$V$706</f>
        <v>21615</v>
      </c>
      <c r="AC706" s="6">
        <f>$M$706*$W$706</f>
        <v>0</v>
      </c>
      <c r="AD706" s="6">
        <f>$O$706*$X$706</f>
        <v>0</v>
      </c>
      <c r="AE706" s="6">
        <f ca="1">$K$706*$Y$706</f>
        <v>21741.429301443455</v>
      </c>
      <c r="AF706" s="6">
        <f>$M$706*$Z$706</f>
        <v>0</v>
      </c>
      <c r="AG706" s="6">
        <f>$O$706*$AA$706</f>
        <v>0</v>
      </c>
    </row>
    <row r="707" spans="1:33" ht="11.25" customHeight="1" x14ac:dyDescent="0.25">
      <c r="A707" s="4" t="s">
        <v>21</v>
      </c>
      <c r="B707" s="4" t="s">
        <v>41</v>
      </c>
      <c r="C707" s="4" t="s">
        <v>66</v>
      </c>
      <c r="D707" s="4" t="s">
        <v>25</v>
      </c>
      <c r="E707" s="4" t="s">
        <v>25</v>
      </c>
      <c r="F707" s="4" t="s">
        <v>25</v>
      </c>
      <c r="G707" s="4" t="s">
        <v>81</v>
      </c>
      <c r="H707" s="4" t="s">
        <v>25</v>
      </c>
      <c r="I707" s="5">
        <v>44621</v>
      </c>
      <c r="J707" s="6">
        <v>600</v>
      </c>
      <c r="K707" s="6">
        <v>300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4" t="s">
        <v>68</v>
      </c>
      <c r="R707" s="4">
        <v>34893</v>
      </c>
      <c r="S707" s="6">
        <v>38</v>
      </c>
      <c r="T707" s="6">
        <v>0</v>
      </c>
      <c r="U707" s="6">
        <v>0</v>
      </c>
      <c r="V707" s="6">
        <f>IF(ISERROR(VLOOKUP($S$707,'TAR FIN'!$A$1:$O$104,15,0)),0,VLOOKUP($S$707,'TAR FIN'!$A$1:$O$104,15,0))</f>
        <v>14.41</v>
      </c>
      <c r="W707" s="6">
        <f>IF(ISERROR(VLOOKUP($T$707,'TAR FIN'!$A$1:$O$104,15,0)),0,VLOOKUP($T$707,'TAR FIN'!$A$1:$O$104,15,0))</f>
        <v>0</v>
      </c>
      <c r="X707" s="6">
        <f>IF(ISERROR(VLOOKUP($U$707,'TAR FIN'!$A$1:$O$104,15,0)),0,VLOOKUP($U$707,'TAR FIN'!$A$1:$O$104,15,0))</f>
        <v>0</v>
      </c>
      <c r="Y707" s="6">
        <f ca="1">('TUSD BE'!$AM$23+'TUSD BF'!$AM$23+'TUSD CVA'!$AM$23)*1</f>
        <v>14.494286200962303</v>
      </c>
      <c r="Z707" s="6"/>
      <c r="AA707" s="6"/>
      <c r="AB707" s="6">
        <f>$K$707*$V$707</f>
        <v>4323</v>
      </c>
      <c r="AC707" s="6">
        <f>$M$707*$W$707</f>
        <v>0</v>
      </c>
      <c r="AD707" s="6">
        <f>$O$707*$X$707</f>
        <v>0</v>
      </c>
      <c r="AE707" s="6">
        <f ca="1">$K$707*$Y$707</f>
        <v>4348.2858602886909</v>
      </c>
      <c r="AF707" s="6">
        <f>$M$707*$Z$707</f>
        <v>0</v>
      </c>
      <c r="AG707" s="6">
        <f>$O$707*$AA$707</f>
        <v>0</v>
      </c>
    </row>
    <row r="708" spans="1:33" ht="11.25" customHeight="1" x14ac:dyDescent="0.25">
      <c r="A708" s="4" t="s">
        <v>21</v>
      </c>
      <c r="B708" s="4" t="s">
        <v>41</v>
      </c>
      <c r="C708" s="4" t="s">
        <v>66</v>
      </c>
      <c r="D708" s="4" t="s">
        <v>25</v>
      </c>
      <c r="E708" s="4" t="s">
        <v>25</v>
      </c>
      <c r="F708" s="4" t="s">
        <v>25</v>
      </c>
      <c r="G708" s="4" t="s">
        <v>82</v>
      </c>
      <c r="H708" s="4" t="s">
        <v>25</v>
      </c>
      <c r="I708" s="5">
        <v>44621</v>
      </c>
      <c r="J708" s="6">
        <v>4800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4" t="s">
        <v>68</v>
      </c>
      <c r="R708" s="4">
        <v>43199</v>
      </c>
      <c r="S708" s="6">
        <v>38</v>
      </c>
      <c r="T708" s="6">
        <v>0</v>
      </c>
      <c r="U708" s="6">
        <v>0</v>
      </c>
      <c r="V708" s="6">
        <f>IF(ISERROR(VLOOKUP($S$708,'TAR FIN'!$A$1:$O$104,15,0)),0,VLOOKUP($S$708,'TAR FIN'!$A$1:$O$104,15,0))</f>
        <v>14.41</v>
      </c>
      <c r="W708" s="6">
        <f>IF(ISERROR(VLOOKUP($T$708,'TAR FIN'!$A$1:$O$104,15,0)),0,VLOOKUP($T$708,'TAR FIN'!$A$1:$O$104,15,0))</f>
        <v>0</v>
      </c>
      <c r="X708" s="6">
        <f>IF(ISERROR(VLOOKUP($U$708,'TAR FIN'!$A$1:$O$104,15,0)),0,VLOOKUP($U$708,'TAR FIN'!$A$1:$O$104,15,0))</f>
        <v>0</v>
      </c>
      <c r="Y708" s="6">
        <f ca="1">('TUSD BE'!$AM$23+'TUSD BF'!$AM$23+'TUSD CVA'!$AM$23)*1</f>
        <v>14.494286200962303</v>
      </c>
      <c r="Z708" s="6"/>
      <c r="AA708" s="6"/>
      <c r="AB708" s="6">
        <f>$K$708*$V$708</f>
        <v>0</v>
      </c>
      <c r="AC708" s="6">
        <f>$M$708*$W$708</f>
        <v>0</v>
      </c>
      <c r="AD708" s="6">
        <f>$O$708*$X$708</f>
        <v>0</v>
      </c>
      <c r="AE708" s="6">
        <f ca="1">$K$708*$Y$708</f>
        <v>0</v>
      </c>
      <c r="AF708" s="6">
        <f>$M$708*$Z$708</f>
        <v>0</v>
      </c>
      <c r="AG708" s="6">
        <f>$O$708*$AA$708</f>
        <v>0</v>
      </c>
    </row>
    <row r="709" spans="1:33" ht="11.25" customHeight="1" x14ac:dyDescent="0.25">
      <c r="A709" s="4" t="s">
        <v>21</v>
      </c>
      <c r="B709" s="4" t="s">
        <v>41</v>
      </c>
      <c r="C709" s="4" t="s">
        <v>66</v>
      </c>
      <c r="D709" s="4" t="s">
        <v>25</v>
      </c>
      <c r="E709" s="4" t="s">
        <v>25</v>
      </c>
      <c r="F709" s="4" t="s">
        <v>25</v>
      </c>
      <c r="G709" s="4" t="s">
        <v>83</v>
      </c>
      <c r="H709" s="4" t="s">
        <v>25</v>
      </c>
      <c r="I709" s="5">
        <v>44621</v>
      </c>
      <c r="J709" s="6">
        <v>2400</v>
      </c>
      <c r="K709" s="6">
        <v>1200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4" t="s">
        <v>68</v>
      </c>
      <c r="S709" s="6">
        <v>38</v>
      </c>
      <c r="T709" s="6">
        <v>0</v>
      </c>
      <c r="U709" s="6">
        <v>0</v>
      </c>
      <c r="V709" s="6">
        <f>IF(ISERROR(VLOOKUP($S$709,'TAR FIN'!$A$1:$O$104,15,0)),0,VLOOKUP($S$709,'TAR FIN'!$A$1:$O$104,15,0))</f>
        <v>14.41</v>
      </c>
      <c r="W709" s="6">
        <f>IF(ISERROR(VLOOKUP($T$709,'TAR FIN'!$A$1:$O$104,15,0)),0,VLOOKUP($T$709,'TAR FIN'!$A$1:$O$104,15,0))</f>
        <v>0</v>
      </c>
      <c r="X709" s="6">
        <f>IF(ISERROR(VLOOKUP($U$709,'TAR FIN'!$A$1:$O$104,15,0)),0,VLOOKUP($U$709,'TAR FIN'!$A$1:$O$104,15,0))</f>
        <v>0</v>
      </c>
      <c r="Y709" s="6">
        <f ca="1">('TUSD BE'!$AM$23+'TUSD BF'!$AM$23+'TUSD CVA'!$AM$23)*1</f>
        <v>14.494286200962303</v>
      </c>
      <c r="Z709" s="6"/>
      <c r="AA709" s="6"/>
      <c r="AB709" s="6">
        <f>$K$709*$V$709</f>
        <v>17292</v>
      </c>
      <c r="AC709" s="6">
        <f>$M$709*$W$709</f>
        <v>0</v>
      </c>
      <c r="AD709" s="6">
        <f>$O$709*$X$709</f>
        <v>0</v>
      </c>
      <c r="AE709" s="6">
        <f ca="1">$K$709*$Y$709</f>
        <v>17393.143441154763</v>
      </c>
      <c r="AF709" s="6">
        <f>$M$709*$Z$709</f>
        <v>0</v>
      </c>
      <c r="AG709" s="6">
        <f>$O$709*$AA$709</f>
        <v>0</v>
      </c>
    </row>
    <row r="710" spans="1:33" ht="11.25" customHeight="1" x14ac:dyDescent="0.25">
      <c r="A710" s="4" t="s">
        <v>21</v>
      </c>
      <c r="B710" s="4" t="s">
        <v>41</v>
      </c>
      <c r="C710" s="4" t="s">
        <v>66</v>
      </c>
      <c r="D710" s="4" t="s">
        <v>25</v>
      </c>
      <c r="E710" s="4" t="s">
        <v>25</v>
      </c>
      <c r="F710" s="4" t="s">
        <v>25</v>
      </c>
      <c r="G710" s="4" t="s">
        <v>84</v>
      </c>
      <c r="H710" s="4" t="s">
        <v>25</v>
      </c>
      <c r="I710" s="5">
        <v>44621</v>
      </c>
      <c r="J710" s="6">
        <v>250</v>
      </c>
      <c r="K710" s="6">
        <v>125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4" t="s">
        <v>68</v>
      </c>
      <c r="S710" s="6">
        <v>38</v>
      </c>
      <c r="T710" s="6">
        <v>0</v>
      </c>
      <c r="U710" s="6">
        <v>0</v>
      </c>
      <c r="V710" s="6">
        <f>IF(ISERROR(VLOOKUP($S$710,'TAR FIN'!$A$1:$O$104,15,0)),0,VLOOKUP($S$710,'TAR FIN'!$A$1:$O$104,15,0))</f>
        <v>14.41</v>
      </c>
      <c r="W710" s="6">
        <f>IF(ISERROR(VLOOKUP($T$710,'TAR FIN'!$A$1:$O$104,15,0)),0,VLOOKUP($T$710,'TAR FIN'!$A$1:$O$104,15,0))</f>
        <v>0</v>
      </c>
      <c r="X710" s="6">
        <f>IF(ISERROR(VLOOKUP($U$710,'TAR FIN'!$A$1:$O$104,15,0)),0,VLOOKUP($U$710,'TAR FIN'!$A$1:$O$104,15,0))</f>
        <v>0</v>
      </c>
      <c r="Y710" s="6">
        <f ca="1">('TUSD BE'!$AM$23+'TUSD BF'!$AM$23+'TUSD CVA'!$AM$23)*1</f>
        <v>14.494286200962303</v>
      </c>
      <c r="Z710" s="6"/>
      <c r="AA710" s="6"/>
      <c r="AB710" s="6">
        <f>$K$710*$V$710</f>
        <v>1801.25</v>
      </c>
      <c r="AC710" s="6">
        <f>$M$710*$W$710</f>
        <v>0</v>
      </c>
      <c r="AD710" s="6">
        <f>$O$710*$X$710</f>
        <v>0</v>
      </c>
      <c r="AE710" s="6">
        <f ca="1">$K$710*$Y$710</f>
        <v>1811.785775120288</v>
      </c>
      <c r="AF710" s="6">
        <f>$M$710*$Z$710</f>
        <v>0</v>
      </c>
      <c r="AG710" s="6">
        <f>$O$710*$AA$710</f>
        <v>0</v>
      </c>
    </row>
    <row r="711" spans="1:33" ht="11.25" customHeight="1" x14ac:dyDescent="0.25">
      <c r="A711" s="4" t="s">
        <v>21</v>
      </c>
      <c r="B711" s="4" t="s">
        <v>41</v>
      </c>
      <c r="C711" s="4" t="s">
        <v>66</v>
      </c>
      <c r="D711" s="4" t="s">
        <v>25</v>
      </c>
      <c r="E711" s="4" t="s">
        <v>25</v>
      </c>
      <c r="F711" s="4" t="s">
        <v>25</v>
      </c>
      <c r="G711" s="4" t="s">
        <v>85</v>
      </c>
      <c r="H711" s="4" t="s">
        <v>25</v>
      </c>
      <c r="I711" s="5">
        <v>44621</v>
      </c>
      <c r="J711" s="6">
        <v>250</v>
      </c>
      <c r="K711" s="6">
        <v>125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4" t="s">
        <v>68</v>
      </c>
      <c r="R711" s="4">
        <v>52044</v>
      </c>
      <c r="S711" s="6">
        <v>38</v>
      </c>
      <c r="T711" s="6">
        <v>0</v>
      </c>
      <c r="U711" s="6">
        <v>0</v>
      </c>
      <c r="V711" s="6">
        <f>IF(ISERROR(VLOOKUP($S$711,'TAR FIN'!$A$1:$O$104,15,0)),0,VLOOKUP($S$711,'TAR FIN'!$A$1:$O$104,15,0))</f>
        <v>14.41</v>
      </c>
      <c r="W711" s="6">
        <f>IF(ISERROR(VLOOKUP($T$711,'TAR FIN'!$A$1:$O$104,15,0)),0,VLOOKUP($T$711,'TAR FIN'!$A$1:$O$104,15,0))</f>
        <v>0</v>
      </c>
      <c r="X711" s="6">
        <f>IF(ISERROR(VLOOKUP($U$711,'TAR FIN'!$A$1:$O$104,15,0)),0,VLOOKUP($U$711,'TAR FIN'!$A$1:$O$104,15,0))</f>
        <v>0</v>
      </c>
      <c r="Y711" s="6">
        <f ca="1">('TUSD BE'!$AM$23+'TUSD BF'!$AM$23+'TUSD CVA'!$AM$23)*1</f>
        <v>14.494286200962303</v>
      </c>
      <c r="Z711" s="6"/>
      <c r="AA711" s="6"/>
      <c r="AB711" s="6">
        <f>$K$711*$V$711</f>
        <v>1801.25</v>
      </c>
      <c r="AC711" s="6">
        <f>$M$711*$W$711</f>
        <v>0</v>
      </c>
      <c r="AD711" s="6">
        <f>$O$711*$X$711</f>
        <v>0</v>
      </c>
      <c r="AE711" s="6">
        <f ca="1">$K$711*$Y$711</f>
        <v>1811.785775120288</v>
      </c>
      <c r="AF711" s="6">
        <f>$M$711*$Z$711</f>
        <v>0</v>
      </c>
      <c r="AG711" s="6">
        <f>$O$711*$AA$711</f>
        <v>0</v>
      </c>
    </row>
    <row r="712" spans="1:33" ht="11.25" customHeight="1" x14ac:dyDescent="0.25">
      <c r="A712" s="4" t="s">
        <v>21</v>
      </c>
      <c r="B712" s="4" t="s">
        <v>41</v>
      </c>
      <c r="C712" s="4" t="s">
        <v>66</v>
      </c>
      <c r="D712" s="4" t="s">
        <v>25</v>
      </c>
      <c r="E712" s="4" t="s">
        <v>25</v>
      </c>
      <c r="F712" s="4" t="s">
        <v>25</v>
      </c>
      <c r="G712" s="4" t="s">
        <v>72</v>
      </c>
      <c r="H712" s="4" t="s">
        <v>25</v>
      </c>
      <c r="I712" s="5">
        <v>44652</v>
      </c>
      <c r="J712" s="6">
        <v>4500</v>
      </c>
      <c r="K712" s="6">
        <v>2250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4" t="s">
        <v>68</v>
      </c>
      <c r="R712" s="4">
        <v>29075</v>
      </c>
      <c r="S712" s="6">
        <v>38</v>
      </c>
      <c r="T712" s="6">
        <v>0</v>
      </c>
      <c r="U712" s="6">
        <v>0</v>
      </c>
      <c r="V712" s="6">
        <f>IF(ISERROR(VLOOKUP($S$712,'TAR FIN'!$A$1:$O$104,15,0)),0,VLOOKUP($S$712,'TAR FIN'!$A$1:$O$104,15,0))</f>
        <v>14.41</v>
      </c>
      <c r="W712" s="6">
        <f>IF(ISERROR(VLOOKUP($T$712,'TAR FIN'!$A$1:$O$104,15,0)),0,VLOOKUP($T$712,'TAR FIN'!$A$1:$O$104,15,0))</f>
        <v>0</v>
      </c>
      <c r="X712" s="6">
        <f>IF(ISERROR(VLOOKUP($U$712,'TAR FIN'!$A$1:$O$104,15,0)),0,VLOOKUP($U$712,'TAR FIN'!$A$1:$O$104,15,0))</f>
        <v>0</v>
      </c>
      <c r="Y712" s="6">
        <f ca="1">('TUSD BE'!$AM$23+'TUSD BF'!$AM$23+'TUSD CVA'!$AM$23)*1</f>
        <v>14.494286200962303</v>
      </c>
      <c r="Z712" s="6"/>
      <c r="AA712" s="6"/>
      <c r="AB712" s="6">
        <f>$K$712*$V$712</f>
        <v>32422.5</v>
      </c>
      <c r="AC712" s="6">
        <f>$M$712*$W$712</f>
        <v>0</v>
      </c>
      <c r="AD712" s="6">
        <f>$O$712*$X$712</f>
        <v>0</v>
      </c>
      <c r="AE712" s="6">
        <f ca="1">$K$712*$Y$712</f>
        <v>32612.143952165185</v>
      </c>
      <c r="AF712" s="6">
        <f>$M$712*$Z$712</f>
        <v>0</v>
      </c>
      <c r="AG712" s="6">
        <f>$O$712*$AA$712</f>
        <v>0</v>
      </c>
    </row>
    <row r="713" spans="1:33" ht="11.25" customHeight="1" x14ac:dyDescent="0.25">
      <c r="A713" s="4" t="s">
        <v>21</v>
      </c>
      <c r="B713" s="4" t="s">
        <v>41</v>
      </c>
      <c r="C713" s="4" t="s">
        <v>66</v>
      </c>
      <c r="D713" s="4" t="s">
        <v>25</v>
      </c>
      <c r="E713" s="4" t="s">
        <v>25</v>
      </c>
      <c r="F713" s="4" t="s">
        <v>25</v>
      </c>
      <c r="G713" s="4" t="s">
        <v>74</v>
      </c>
      <c r="H713" s="4" t="s">
        <v>25</v>
      </c>
      <c r="I713" s="5">
        <v>44652</v>
      </c>
      <c r="J713" s="6">
        <v>3000</v>
      </c>
      <c r="K713" s="6">
        <v>1500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4" t="s">
        <v>68</v>
      </c>
      <c r="S713" s="6">
        <v>38</v>
      </c>
      <c r="T713" s="6">
        <v>0</v>
      </c>
      <c r="U713" s="6">
        <v>0</v>
      </c>
      <c r="V713" s="6">
        <f>IF(ISERROR(VLOOKUP($S$713,'TAR FIN'!$A$1:$O$104,15,0)),0,VLOOKUP($S$713,'TAR FIN'!$A$1:$O$104,15,0))</f>
        <v>14.41</v>
      </c>
      <c r="W713" s="6">
        <f>IF(ISERROR(VLOOKUP($T$713,'TAR FIN'!$A$1:$O$104,15,0)),0,VLOOKUP($T$713,'TAR FIN'!$A$1:$O$104,15,0))</f>
        <v>0</v>
      </c>
      <c r="X713" s="6">
        <f>IF(ISERROR(VLOOKUP($U$713,'TAR FIN'!$A$1:$O$104,15,0)),0,VLOOKUP($U$713,'TAR FIN'!$A$1:$O$104,15,0))</f>
        <v>0</v>
      </c>
      <c r="Y713" s="6">
        <f ca="1">('TUSD BE'!$AM$23+'TUSD BF'!$AM$23+'TUSD CVA'!$AM$23)*1</f>
        <v>14.494286200962303</v>
      </c>
      <c r="Z713" s="6"/>
      <c r="AA713" s="6"/>
      <c r="AB713" s="6">
        <f>$K$713*$V$713</f>
        <v>21615</v>
      </c>
      <c r="AC713" s="6">
        <f>$M$713*$W$713</f>
        <v>0</v>
      </c>
      <c r="AD713" s="6">
        <f>$O$713*$X$713</f>
        <v>0</v>
      </c>
      <c r="AE713" s="6">
        <f ca="1">$K$713*$Y$713</f>
        <v>21741.429301443455</v>
      </c>
      <c r="AF713" s="6">
        <f>$M$713*$Z$713</f>
        <v>0</v>
      </c>
      <c r="AG713" s="6">
        <f>$O$713*$AA$713</f>
        <v>0</v>
      </c>
    </row>
    <row r="714" spans="1:33" ht="11.25" customHeight="1" x14ac:dyDescent="0.25">
      <c r="A714" s="4" t="s">
        <v>21</v>
      </c>
      <c r="B714" s="4" t="s">
        <v>41</v>
      </c>
      <c r="C714" s="4" t="s">
        <v>66</v>
      </c>
      <c r="D714" s="4" t="s">
        <v>25</v>
      </c>
      <c r="E714" s="4" t="s">
        <v>25</v>
      </c>
      <c r="F714" s="4" t="s">
        <v>25</v>
      </c>
      <c r="G714" s="4" t="s">
        <v>80</v>
      </c>
      <c r="H714" s="4" t="s">
        <v>25</v>
      </c>
      <c r="I714" s="5">
        <v>44652</v>
      </c>
      <c r="J714" s="6">
        <v>3000</v>
      </c>
      <c r="K714" s="6">
        <v>1500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4" t="s">
        <v>68</v>
      </c>
      <c r="R714" s="4">
        <v>34891</v>
      </c>
      <c r="S714" s="6">
        <v>38</v>
      </c>
      <c r="T714" s="6">
        <v>0</v>
      </c>
      <c r="U714" s="6">
        <v>0</v>
      </c>
      <c r="V714" s="6">
        <f>IF(ISERROR(VLOOKUP($S$714,'TAR FIN'!$A$1:$O$104,15,0)),0,VLOOKUP($S$714,'TAR FIN'!$A$1:$O$104,15,0))</f>
        <v>14.41</v>
      </c>
      <c r="W714" s="6">
        <f>IF(ISERROR(VLOOKUP($T$714,'TAR FIN'!$A$1:$O$104,15,0)),0,VLOOKUP($T$714,'TAR FIN'!$A$1:$O$104,15,0))</f>
        <v>0</v>
      </c>
      <c r="X714" s="6">
        <f>IF(ISERROR(VLOOKUP($U$714,'TAR FIN'!$A$1:$O$104,15,0)),0,VLOOKUP($U$714,'TAR FIN'!$A$1:$O$104,15,0))</f>
        <v>0</v>
      </c>
      <c r="Y714" s="6">
        <f ca="1">('TUSD BE'!$AM$23+'TUSD BF'!$AM$23+'TUSD CVA'!$AM$23)*1</f>
        <v>14.494286200962303</v>
      </c>
      <c r="Z714" s="6"/>
      <c r="AA714" s="6"/>
      <c r="AB714" s="6">
        <f>$K$714*$V$714</f>
        <v>21615</v>
      </c>
      <c r="AC714" s="6">
        <f>$M$714*$W$714</f>
        <v>0</v>
      </c>
      <c r="AD714" s="6">
        <f>$O$714*$X$714</f>
        <v>0</v>
      </c>
      <c r="AE714" s="6">
        <f ca="1">$K$714*$Y$714</f>
        <v>21741.429301443455</v>
      </c>
      <c r="AF714" s="6">
        <f>$M$714*$Z$714</f>
        <v>0</v>
      </c>
      <c r="AG714" s="6">
        <f>$O$714*$AA$714</f>
        <v>0</v>
      </c>
    </row>
    <row r="715" spans="1:33" ht="11.25" customHeight="1" x14ac:dyDescent="0.25">
      <c r="A715" s="4" t="s">
        <v>21</v>
      </c>
      <c r="B715" s="4" t="s">
        <v>41</v>
      </c>
      <c r="C715" s="4" t="s">
        <v>66</v>
      </c>
      <c r="D715" s="4" t="s">
        <v>25</v>
      </c>
      <c r="E715" s="4" t="s">
        <v>25</v>
      </c>
      <c r="F715" s="4" t="s">
        <v>25</v>
      </c>
      <c r="G715" s="4" t="s">
        <v>81</v>
      </c>
      <c r="H715" s="4" t="s">
        <v>25</v>
      </c>
      <c r="I715" s="5">
        <v>44652</v>
      </c>
      <c r="J715" s="6">
        <v>600</v>
      </c>
      <c r="K715" s="6">
        <v>300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4" t="s">
        <v>68</v>
      </c>
      <c r="R715" s="4">
        <v>34893</v>
      </c>
      <c r="S715" s="6">
        <v>38</v>
      </c>
      <c r="T715" s="6">
        <v>0</v>
      </c>
      <c r="U715" s="6">
        <v>0</v>
      </c>
      <c r="V715" s="6">
        <f>IF(ISERROR(VLOOKUP($S$715,'TAR FIN'!$A$1:$O$104,15,0)),0,VLOOKUP($S$715,'TAR FIN'!$A$1:$O$104,15,0))</f>
        <v>14.41</v>
      </c>
      <c r="W715" s="6">
        <f>IF(ISERROR(VLOOKUP($T$715,'TAR FIN'!$A$1:$O$104,15,0)),0,VLOOKUP($T$715,'TAR FIN'!$A$1:$O$104,15,0))</f>
        <v>0</v>
      </c>
      <c r="X715" s="6">
        <f>IF(ISERROR(VLOOKUP($U$715,'TAR FIN'!$A$1:$O$104,15,0)),0,VLOOKUP($U$715,'TAR FIN'!$A$1:$O$104,15,0))</f>
        <v>0</v>
      </c>
      <c r="Y715" s="6">
        <f ca="1">('TUSD BE'!$AM$23+'TUSD BF'!$AM$23+'TUSD CVA'!$AM$23)*1</f>
        <v>14.494286200962303</v>
      </c>
      <c r="Z715" s="6"/>
      <c r="AA715" s="6"/>
      <c r="AB715" s="6">
        <f>$K$715*$V$715</f>
        <v>4323</v>
      </c>
      <c r="AC715" s="6">
        <f>$M$715*$W$715</f>
        <v>0</v>
      </c>
      <c r="AD715" s="6">
        <f>$O$715*$X$715</f>
        <v>0</v>
      </c>
      <c r="AE715" s="6">
        <f ca="1">$K$715*$Y$715</f>
        <v>4348.2858602886909</v>
      </c>
      <c r="AF715" s="6">
        <f>$M$715*$Z$715</f>
        <v>0</v>
      </c>
      <c r="AG715" s="6">
        <f>$O$715*$AA$715</f>
        <v>0</v>
      </c>
    </row>
    <row r="716" spans="1:33" ht="11.25" customHeight="1" x14ac:dyDescent="0.25">
      <c r="A716" s="4" t="s">
        <v>21</v>
      </c>
      <c r="B716" s="4" t="s">
        <v>41</v>
      </c>
      <c r="C716" s="4" t="s">
        <v>66</v>
      </c>
      <c r="D716" s="4" t="s">
        <v>25</v>
      </c>
      <c r="E716" s="4" t="s">
        <v>25</v>
      </c>
      <c r="F716" s="4" t="s">
        <v>25</v>
      </c>
      <c r="G716" s="4" t="s">
        <v>82</v>
      </c>
      <c r="H716" s="4" t="s">
        <v>25</v>
      </c>
      <c r="I716" s="5">
        <v>44652</v>
      </c>
      <c r="J716" s="6">
        <v>4800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4" t="s">
        <v>68</v>
      </c>
      <c r="R716" s="4">
        <v>43199</v>
      </c>
      <c r="S716" s="6">
        <v>38</v>
      </c>
      <c r="T716" s="6">
        <v>0</v>
      </c>
      <c r="U716" s="6">
        <v>0</v>
      </c>
      <c r="V716" s="6">
        <f>IF(ISERROR(VLOOKUP($S$716,'TAR FIN'!$A$1:$O$104,15,0)),0,VLOOKUP($S$716,'TAR FIN'!$A$1:$O$104,15,0))</f>
        <v>14.41</v>
      </c>
      <c r="W716" s="6">
        <f>IF(ISERROR(VLOOKUP($T$716,'TAR FIN'!$A$1:$O$104,15,0)),0,VLOOKUP($T$716,'TAR FIN'!$A$1:$O$104,15,0))</f>
        <v>0</v>
      </c>
      <c r="X716" s="6">
        <f>IF(ISERROR(VLOOKUP($U$716,'TAR FIN'!$A$1:$O$104,15,0)),0,VLOOKUP($U$716,'TAR FIN'!$A$1:$O$104,15,0))</f>
        <v>0</v>
      </c>
      <c r="Y716" s="6">
        <f ca="1">('TUSD BE'!$AM$23+'TUSD BF'!$AM$23+'TUSD CVA'!$AM$23)*1</f>
        <v>14.494286200962303</v>
      </c>
      <c r="Z716" s="6"/>
      <c r="AA716" s="6"/>
      <c r="AB716" s="6">
        <f>$K$716*$V$716</f>
        <v>0</v>
      </c>
      <c r="AC716" s="6">
        <f>$M$716*$W$716</f>
        <v>0</v>
      </c>
      <c r="AD716" s="6">
        <f>$O$716*$X$716</f>
        <v>0</v>
      </c>
      <c r="AE716" s="6">
        <f ca="1">$K$716*$Y$716</f>
        <v>0</v>
      </c>
      <c r="AF716" s="6">
        <f>$M$716*$Z$716</f>
        <v>0</v>
      </c>
      <c r="AG716" s="6">
        <f>$O$716*$AA$716</f>
        <v>0</v>
      </c>
    </row>
    <row r="717" spans="1:33" ht="11.25" customHeight="1" x14ac:dyDescent="0.25">
      <c r="A717" s="4" t="s">
        <v>21</v>
      </c>
      <c r="B717" s="4" t="s">
        <v>41</v>
      </c>
      <c r="C717" s="4" t="s">
        <v>66</v>
      </c>
      <c r="D717" s="4" t="s">
        <v>25</v>
      </c>
      <c r="E717" s="4" t="s">
        <v>25</v>
      </c>
      <c r="F717" s="4" t="s">
        <v>25</v>
      </c>
      <c r="G717" s="4" t="s">
        <v>83</v>
      </c>
      <c r="H717" s="4" t="s">
        <v>25</v>
      </c>
      <c r="I717" s="5">
        <v>44652</v>
      </c>
      <c r="J717" s="6">
        <v>2400</v>
      </c>
      <c r="K717" s="6">
        <v>1200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4" t="s">
        <v>68</v>
      </c>
      <c r="S717" s="6">
        <v>38</v>
      </c>
      <c r="T717" s="6">
        <v>0</v>
      </c>
      <c r="U717" s="6">
        <v>0</v>
      </c>
      <c r="V717" s="6">
        <f>IF(ISERROR(VLOOKUP($S$717,'TAR FIN'!$A$1:$O$104,15,0)),0,VLOOKUP($S$717,'TAR FIN'!$A$1:$O$104,15,0))</f>
        <v>14.41</v>
      </c>
      <c r="W717" s="6">
        <f>IF(ISERROR(VLOOKUP($T$717,'TAR FIN'!$A$1:$O$104,15,0)),0,VLOOKUP($T$717,'TAR FIN'!$A$1:$O$104,15,0))</f>
        <v>0</v>
      </c>
      <c r="X717" s="6">
        <f>IF(ISERROR(VLOOKUP($U$717,'TAR FIN'!$A$1:$O$104,15,0)),0,VLOOKUP($U$717,'TAR FIN'!$A$1:$O$104,15,0))</f>
        <v>0</v>
      </c>
      <c r="Y717" s="6">
        <f ca="1">('TUSD BE'!$AM$23+'TUSD BF'!$AM$23+'TUSD CVA'!$AM$23)*1</f>
        <v>14.494286200962303</v>
      </c>
      <c r="Z717" s="6"/>
      <c r="AA717" s="6"/>
      <c r="AB717" s="6">
        <f>$K$717*$V$717</f>
        <v>17292</v>
      </c>
      <c r="AC717" s="6">
        <f>$M$717*$W$717</f>
        <v>0</v>
      </c>
      <c r="AD717" s="6">
        <f>$O$717*$X$717</f>
        <v>0</v>
      </c>
      <c r="AE717" s="6">
        <f ca="1">$K$717*$Y$717</f>
        <v>17393.143441154763</v>
      </c>
      <c r="AF717" s="6">
        <f>$M$717*$Z$717</f>
        <v>0</v>
      </c>
      <c r="AG717" s="6">
        <f>$O$717*$AA$717</f>
        <v>0</v>
      </c>
    </row>
    <row r="718" spans="1:33" ht="11.25" customHeight="1" x14ac:dyDescent="0.25">
      <c r="A718" s="4" t="s">
        <v>21</v>
      </c>
      <c r="B718" s="4" t="s">
        <v>41</v>
      </c>
      <c r="C718" s="4" t="s">
        <v>66</v>
      </c>
      <c r="D718" s="4" t="s">
        <v>25</v>
      </c>
      <c r="E718" s="4" t="s">
        <v>25</v>
      </c>
      <c r="F718" s="4" t="s">
        <v>25</v>
      </c>
      <c r="G718" s="4" t="s">
        <v>84</v>
      </c>
      <c r="H718" s="4" t="s">
        <v>25</v>
      </c>
      <c r="I718" s="5">
        <v>44652</v>
      </c>
      <c r="J718" s="6">
        <v>250</v>
      </c>
      <c r="K718" s="6">
        <v>125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4" t="s">
        <v>68</v>
      </c>
      <c r="S718" s="6">
        <v>38</v>
      </c>
      <c r="T718" s="6">
        <v>0</v>
      </c>
      <c r="U718" s="6">
        <v>0</v>
      </c>
      <c r="V718" s="6">
        <f>IF(ISERROR(VLOOKUP($S$718,'TAR FIN'!$A$1:$O$104,15,0)),0,VLOOKUP($S$718,'TAR FIN'!$A$1:$O$104,15,0))</f>
        <v>14.41</v>
      </c>
      <c r="W718" s="6">
        <f>IF(ISERROR(VLOOKUP($T$718,'TAR FIN'!$A$1:$O$104,15,0)),0,VLOOKUP($T$718,'TAR FIN'!$A$1:$O$104,15,0))</f>
        <v>0</v>
      </c>
      <c r="X718" s="6">
        <f>IF(ISERROR(VLOOKUP($U$718,'TAR FIN'!$A$1:$O$104,15,0)),0,VLOOKUP($U$718,'TAR FIN'!$A$1:$O$104,15,0))</f>
        <v>0</v>
      </c>
      <c r="Y718" s="6">
        <f ca="1">('TUSD BE'!$AM$23+'TUSD BF'!$AM$23+'TUSD CVA'!$AM$23)*1</f>
        <v>14.494286200962303</v>
      </c>
      <c r="Z718" s="6"/>
      <c r="AA718" s="6"/>
      <c r="AB718" s="6">
        <f>$K$718*$V$718</f>
        <v>1801.25</v>
      </c>
      <c r="AC718" s="6">
        <f>$M$718*$W$718</f>
        <v>0</v>
      </c>
      <c r="AD718" s="6">
        <f>$O$718*$X$718</f>
        <v>0</v>
      </c>
      <c r="AE718" s="6">
        <f ca="1">$K$718*$Y$718</f>
        <v>1811.785775120288</v>
      </c>
      <c r="AF718" s="6">
        <f>$M$718*$Z$718</f>
        <v>0</v>
      </c>
      <c r="AG718" s="6">
        <f>$O$718*$AA$718</f>
        <v>0</v>
      </c>
    </row>
    <row r="719" spans="1:33" ht="11.25" customHeight="1" x14ac:dyDescent="0.25">
      <c r="A719" s="4" t="s">
        <v>21</v>
      </c>
      <c r="B719" s="4" t="s">
        <v>41</v>
      </c>
      <c r="C719" s="4" t="s">
        <v>66</v>
      </c>
      <c r="D719" s="4" t="s">
        <v>25</v>
      </c>
      <c r="E719" s="4" t="s">
        <v>25</v>
      </c>
      <c r="F719" s="4" t="s">
        <v>25</v>
      </c>
      <c r="G719" s="4" t="s">
        <v>85</v>
      </c>
      <c r="H719" s="4" t="s">
        <v>25</v>
      </c>
      <c r="I719" s="5">
        <v>44652</v>
      </c>
      <c r="J719" s="6">
        <v>250</v>
      </c>
      <c r="K719" s="6">
        <v>125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4" t="s">
        <v>68</v>
      </c>
      <c r="R719" s="4">
        <v>52044</v>
      </c>
      <c r="S719" s="6">
        <v>38</v>
      </c>
      <c r="T719" s="6">
        <v>0</v>
      </c>
      <c r="U719" s="6">
        <v>0</v>
      </c>
      <c r="V719" s="6">
        <f>IF(ISERROR(VLOOKUP($S$719,'TAR FIN'!$A$1:$O$104,15,0)),0,VLOOKUP($S$719,'TAR FIN'!$A$1:$O$104,15,0))</f>
        <v>14.41</v>
      </c>
      <c r="W719" s="6">
        <f>IF(ISERROR(VLOOKUP($T$719,'TAR FIN'!$A$1:$O$104,15,0)),0,VLOOKUP($T$719,'TAR FIN'!$A$1:$O$104,15,0))</f>
        <v>0</v>
      </c>
      <c r="X719" s="6">
        <f>IF(ISERROR(VLOOKUP($U$719,'TAR FIN'!$A$1:$O$104,15,0)),0,VLOOKUP($U$719,'TAR FIN'!$A$1:$O$104,15,0))</f>
        <v>0</v>
      </c>
      <c r="Y719" s="6">
        <f ca="1">('TUSD BE'!$AM$23+'TUSD BF'!$AM$23+'TUSD CVA'!$AM$23)*1</f>
        <v>14.494286200962303</v>
      </c>
      <c r="Z719" s="6"/>
      <c r="AA719" s="6"/>
      <c r="AB719" s="6">
        <f>$K$719*$V$719</f>
        <v>1801.25</v>
      </c>
      <c r="AC719" s="6">
        <f>$M$719*$W$719</f>
        <v>0</v>
      </c>
      <c r="AD719" s="6">
        <f>$O$719*$X$719</f>
        <v>0</v>
      </c>
      <c r="AE719" s="6">
        <f ca="1">$K$719*$Y$719</f>
        <v>1811.785775120288</v>
      </c>
      <c r="AF719" s="6">
        <f>$M$719*$Z$719</f>
        <v>0</v>
      </c>
      <c r="AG719" s="6">
        <f>$O$719*$AA$719</f>
        <v>0</v>
      </c>
    </row>
    <row r="720" spans="1:33" ht="11.25" customHeight="1" x14ac:dyDescent="0.25">
      <c r="A720" s="4" t="s">
        <v>21</v>
      </c>
      <c r="B720" s="4" t="s">
        <v>41</v>
      </c>
      <c r="C720" s="4" t="s">
        <v>66</v>
      </c>
      <c r="D720" s="4" t="s">
        <v>25</v>
      </c>
      <c r="E720" s="4" t="s">
        <v>25</v>
      </c>
      <c r="F720" s="4" t="s">
        <v>25</v>
      </c>
      <c r="G720" s="4" t="s">
        <v>72</v>
      </c>
      <c r="H720" s="4" t="s">
        <v>25</v>
      </c>
      <c r="I720" s="5">
        <v>44682</v>
      </c>
      <c r="J720" s="6">
        <v>4500</v>
      </c>
      <c r="K720" s="6">
        <v>2250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4" t="s">
        <v>68</v>
      </c>
      <c r="R720" s="4">
        <v>29075</v>
      </c>
      <c r="S720" s="6">
        <v>38</v>
      </c>
      <c r="T720" s="6">
        <v>0</v>
      </c>
      <c r="U720" s="6">
        <v>0</v>
      </c>
      <c r="V720" s="6">
        <f>IF(ISERROR(VLOOKUP($S$720,'TAR FIN'!$A$1:$O$104,15,0)),0,VLOOKUP($S$720,'TAR FIN'!$A$1:$O$104,15,0))</f>
        <v>14.41</v>
      </c>
      <c r="W720" s="6">
        <f>IF(ISERROR(VLOOKUP($T$720,'TAR FIN'!$A$1:$O$104,15,0)),0,VLOOKUP($T$720,'TAR FIN'!$A$1:$O$104,15,0))</f>
        <v>0</v>
      </c>
      <c r="X720" s="6">
        <f>IF(ISERROR(VLOOKUP($U$720,'TAR FIN'!$A$1:$O$104,15,0)),0,VLOOKUP($U$720,'TAR FIN'!$A$1:$O$104,15,0))</f>
        <v>0</v>
      </c>
      <c r="Y720" s="6">
        <f ca="1">('TUSD BE'!$AM$23+'TUSD BF'!$AM$23+'TUSD CVA'!$AM$23)*1</f>
        <v>14.494286200962303</v>
      </c>
      <c r="Z720" s="6"/>
      <c r="AA720" s="6"/>
      <c r="AB720" s="6">
        <f>$K$720*$V$720</f>
        <v>32422.5</v>
      </c>
      <c r="AC720" s="6">
        <f>$M$720*$W$720</f>
        <v>0</v>
      </c>
      <c r="AD720" s="6">
        <f>$O$720*$X$720</f>
        <v>0</v>
      </c>
      <c r="AE720" s="6">
        <f ca="1">$K$720*$Y$720</f>
        <v>32612.143952165185</v>
      </c>
      <c r="AF720" s="6">
        <f>$M$720*$Z$720</f>
        <v>0</v>
      </c>
      <c r="AG720" s="6">
        <f>$O$720*$AA$720</f>
        <v>0</v>
      </c>
    </row>
    <row r="721" spans="1:33" ht="11.25" customHeight="1" x14ac:dyDescent="0.25">
      <c r="A721" s="4" t="s">
        <v>21</v>
      </c>
      <c r="B721" s="4" t="s">
        <v>41</v>
      </c>
      <c r="C721" s="4" t="s">
        <v>66</v>
      </c>
      <c r="D721" s="4" t="s">
        <v>25</v>
      </c>
      <c r="E721" s="4" t="s">
        <v>25</v>
      </c>
      <c r="F721" s="4" t="s">
        <v>25</v>
      </c>
      <c r="G721" s="4" t="s">
        <v>74</v>
      </c>
      <c r="H721" s="4" t="s">
        <v>25</v>
      </c>
      <c r="I721" s="5">
        <v>44682</v>
      </c>
      <c r="J721" s="6">
        <v>3000</v>
      </c>
      <c r="K721" s="6">
        <v>1500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4" t="s">
        <v>68</v>
      </c>
      <c r="S721" s="6">
        <v>38</v>
      </c>
      <c r="T721" s="6">
        <v>0</v>
      </c>
      <c r="U721" s="6">
        <v>0</v>
      </c>
      <c r="V721" s="6">
        <f>IF(ISERROR(VLOOKUP($S$721,'TAR FIN'!$A$1:$O$104,15,0)),0,VLOOKUP($S$721,'TAR FIN'!$A$1:$O$104,15,0))</f>
        <v>14.41</v>
      </c>
      <c r="W721" s="6">
        <f>IF(ISERROR(VLOOKUP($T$721,'TAR FIN'!$A$1:$O$104,15,0)),0,VLOOKUP($T$721,'TAR FIN'!$A$1:$O$104,15,0))</f>
        <v>0</v>
      </c>
      <c r="X721" s="6">
        <f>IF(ISERROR(VLOOKUP($U$721,'TAR FIN'!$A$1:$O$104,15,0)),0,VLOOKUP($U$721,'TAR FIN'!$A$1:$O$104,15,0))</f>
        <v>0</v>
      </c>
      <c r="Y721" s="6">
        <f ca="1">('TUSD BE'!$AM$23+'TUSD BF'!$AM$23+'TUSD CVA'!$AM$23)*1</f>
        <v>14.494286200962303</v>
      </c>
      <c r="Z721" s="6"/>
      <c r="AA721" s="6"/>
      <c r="AB721" s="6">
        <f>$K$721*$V$721</f>
        <v>21615</v>
      </c>
      <c r="AC721" s="6">
        <f>$M$721*$W$721</f>
        <v>0</v>
      </c>
      <c r="AD721" s="6">
        <f>$O$721*$X$721</f>
        <v>0</v>
      </c>
      <c r="AE721" s="6">
        <f ca="1">$K$721*$Y$721</f>
        <v>21741.429301443455</v>
      </c>
      <c r="AF721" s="6">
        <f>$M$721*$Z$721</f>
        <v>0</v>
      </c>
      <c r="AG721" s="6">
        <f>$O$721*$AA$721</f>
        <v>0</v>
      </c>
    </row>
    <row r="722" spans="1:33" ht="11.25" customHeight="1" x14ac:dyDescent="0.25">
      <c r="A722" s="4" t="s">
        <v>21</v>
      </c>
      <c r="B722" s="4" t="s">
        <v>41</v>
      </c>
      <c r="C722" s="4" t="s">
        <v>66</v>
      </c>
      <c r="D722" s="4" t="s">
        <v>25</v>
      </c>
      <c r="E722" s="4" t="s">
        <v>25</v>
      </c>
      <c r="F722" s="4" t="s">
        <v>25</v>
      </c>
      <c r="G722" s="4" t="s">
        <v>80</v>
      </c>
      <c r="H722" s="4" t="s">
        <v>25</v>
      </c>
      <c r="I722" s="5">
        <v>44682</v>
      </c>
      <c r="J722" s="6">
        <v>3000</v>
      </c>
      <c r="K722" s="6">
        <v>1500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4" t="s">
        <v>68</v>
      </c>
      <c r="R722" s="4">
        <v>34891</v>
      </c>
      <c r="S722" s="6">
        <v>38</v>
      </c>
      <c r="T722" s="6">
        <v>0</v>
      </c>
      <c r="U722" s="6">
        <v>0</v>
      </c>
      <c r="V722" s="6">
        <f>IF(ISERROR(VLOOKUP($S$722,'TAR FIN'!$A$1:$O$104,15,0)),0,VLOOKUP($S$722,'TAR FIN'!$A$1:$O$104,15,0))</f>
        <v>14.41</v>
      </c>
      <c r="W722" s="6">
        <f>IF(ISERROR(VLOOKUP($T$722,'TAR FIN'!$A$1:$O$104,15,0)),0,VLOOKUP($T$722,'TAR FIN'!$A$1:$O$104,15,0))</f>
        <v>0</v>
      </c>
      <c r="X722" s="6">
        <f>IF(ISERROR(VLOOKUP($U$722,'TAR FIN'!$A$1:$O$104,15,0)),0,VLOOKUP($U$722,'TAR FIN'!$A$1:$O$104,15,0))</f>
        <v>0</v>
      </c>
      <c r="Y722" s="6">
        <f ca="1">('TUSD BE'!$AM$23+'TUSD BF'!$AM$23+'TUSD CVA'!$AM$23)*1</f>
        <v>14.494286200962303</v>
      </c>
      <c r="Z722" s="6"/>
      <c r="AA722" s="6"/>
      <c r="AB722" s="6">
        <f>$K$722*$V$722</f>
        <v>21615</v>
      </c>
      <c r="AC722" s="6">
        <f>$M$722*$W$722</f>
        <v>0</v>
      </c>
      <c r="AD722" s="6">
        <f>$O$722*$X$722</f>
        <v>0</v>
      </c>
      <c r="AE722" s="6">
        <f ca="1">$K$722*$Y$722</f>
        <v>21741.429301443455</v>
      </c>
      <c r="AF722" s="6">
        <f>$M$722*$Z$722</f>
        <v>0</v>
      </c>
      <c r="AG722" s="6">
        <f>$O$722*$AA$722</f>
        <v>0</v>
      </c>
    </row>
    <row r="723" spans="1:33" ht="11.25" customHeight="1" x14ac:dyDescent="0.25">
      <c r="A723" s="4" t="s">
        <v>21</v>
      </c>
      <c r="B723" s="4" t="s">
        <v>41</v>
      </c>
      <c r="C723" s="4" t="s">
        <v>66</v>
      </c>
      <c r="D723" s="4" t="s">
        <v>25</v>
      </c>
      <c r="E723" s="4" t="s">
        <v>25</v>
      </c>
      <c r="F723" s="4" t="s">
        <v>25</v>
      </c>
      <c r="G723" s="4" t="s">
        <v>81</v>
      </c>
      <c r="H723" s="4" t="s">
        <v>25</v>
      </c>
      <c r="I723" s="5">
        <v>44682</v>
      </c>
      <c r="J723" s="6">
        <v>600</v>
      </c>
      <c r="K723" s="6">
        <v>300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4" t="s">
        <v>68</v>
      </c>
      <c r="R723" s="4">
        <v>34893</v>
      </c>
      <c r="S723" s="6">
        <v>38</v>
      </c>
      <c r="T723" s="6">
        <v>0</v>
      </c>
      <c r="U723" s="6">
        <v>0</v>
      </c>
      <c r="V723" s="6">
        <f>IF(ISERROR(VLOOKUP($S$723,'TAR FIN'!$A$1:$O$104,15,0)),0,VLOOKUP($S$723,'TAR FIN'!$A$1:$O$104,15,0))</f>
        <v>14.41</v>
      </c>
      <c r="W723" s="6">
        <f>IF(ISERROR(VLOOKUP($T$723,'TAR FIN'!$A$1:$O$104,15,0)),0,VLOOKUP($T$723,'TAR FIN'!$A$1:$O$104,15,0))</f>
        <v>0</v>
      </c>
      <c r="X723" s="6">
        <f>IF(ISERROR(VLOOKUP($U$723,'TAR FIN'!$A$1:$O$104,15,0)),0,VLOOKUP($U$723,'TAR FIN'!$A$1:$O$104,15,0))</f>
        <v>0</v>
      </c>
      <c r="Y723" s="6">
        <f ca="1">('TUSD BE'!$AM$23+'TUSD BF'!$AM$23+'TUSD CVA'!$AM$23)*1</f>
        <v>14.494286200962303</v>
      </c>
      <c r="Z723" s="6"/>
      <c r="AA723" s="6"/>
      <c r="AB723" s="6">
        <f>$K$723*$V$723</f>
        <v>4323</v>
      </c>
      <c r="AC723" s="6">
        <f>$M$723*$W$723</f>
        <v>0</v>
      </c>
      <c r="AD723" s="6">
        <f>$O$723*$X$723</f>
        <v>0</v>
      </c>
      <c r="AE723" s="6">
        <f ca="1">$K$723*$Y$723</f>
        <v>4348.2858602886909</v>
      </c>
      <c r="AF723" s="6">
        <f>$M$723*$Z$723</f>
        <v>0</v>
      </c>
      <c r="AG723" s="6">
        <f>$O$723*$AA$723</f>
        <v>0</v>
      </c>
    </row>
    <row r="724" spans="1:33" ht="11.25" customHeight="1" x14ac:dyDescent="0.25">
      <c r="A724" s="4" t="s">
        <v>21</v>
      </c>
      <c r="B724" s="4" t="s">
        <v>41</v>
      </c>
      <c r="C724" s="4" t="s">
        <v>66</v>
      </c>
      <c r="D724" s="4" t="s">
        <v>25</v>
      </c>
      <c r="E724" s="4" t="s">
        <v>25</v>
      </c>
      <c r="F724" s="4" t="s">
        <v>25</v>
      </c>
      <c r="G724" s="4" t="s">
        <v>82</v>
      </c>
      <c r="H724" s="4" t="s">
        <v>25</v>
      </c>
      <c r="I724" s="5">
        <v>44682</v>
      </c>
      <c r="J724" s="6">
        <v>4800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4" t="s">
        <v>68</v>
      </c>
      <c r="R724" s="4">
        <v>43199</v>
      </c>
      <c r="S724" s="6">
        <v>38</v>
      </c>
      <c r="T724" s="6">
        <v>0</v>
      </c>
      <c r="U724" s="6">
        <v>0</v>
      </c>
      <c r="V724" s="6">
        <f>IF(ISERROR(VLOOKUP($S$724,'TAR FIN'!$A$1:$O$104,15,0)),0,VLOOKUP($S$724,'TAR FIN'!$A$1:$O$104,15,0))</f>
        <v>14.41</v>
      </c>
      <c r="W724" s="6">
        <f>IF(ISERROR(VLOOKUP($T$724,'TAR FIN'!$A$1:$O$104,15,0)),0,VLOOKUP($T$724,'TAR FIN'!$A$1:$O$104,15,0))</f>
        <v>0</v>
      </c>
      <c r="X724" s="6">
        <f>IF(ISERROR(VLOOKUP($U$724,'TAR FIN'!$A$1:$O$104,15,0)),0,VLOOKUP($U$724,'TAR FIN'!$A$1:$O$104,15,0))</f>
        <v>0</v>
      </c>
      <c r="Y724" s="6">
        <f ca="1">('TUSD BE'!$AM$23+'TUSD BF'!$AM$23+'TUSD CVA'!$AM$23)*1</f>
        <v>14.494286200962303</v>
      </c>
      <c r="Z724" s="6"/>
      <c r="AA724" s="6"/>
      <c r="AB724" s="6">
        <f>$K$724*$V$724</f>
        <v>0</v>
      </c>
      <c r="AC724" s="6">
        <f>$M$724*$W$724</f>
        <v>0</v>
      </c>
      <c r="AD724" s="6">
        <f>$O$724*$X$724</f>
        <v>0</v>
      </c>
      <c r="AE724" s="6">
        <f ca="1">$K$724*$Y$724</f>
        <v>0</v>
      </c>
      <c r="AF724" s="6">
        <f>$M$724*$Z$724</f>
        <v>0</v>
      </c>
      <c r="AG724" s="6">
        <f>$O$724*$AA$724</f>
        <v>0</v>
      </c>
    </row>
    <row r="725" spans="1:33" ht="11.25" customHeight="1" x14ac:dyDescent="0.25">
      <c r="A725" s="4" t="s">
        <v>21</v>
      </c>
      <c r="B725" s="4" t="s">
        <v>41</v>
      </c>
      <c r="C725" s="4" t="s">
        <v>66</v>
      </c>
      <c r="D725" s="4" t="s">
        <v>25</v>
      </c>
      <c r="E725" s="4" t="s">
        <v>25</v>
      </c>
      <c r="F725" s="4" t="s">
        <v>25</v>
      </c>
      <c r="G725" s="4" t="s">
        <v>83</v>
      </c>
      <c r="H725" s="4" t="s">
        <v>25</v>
      </c>
      <c r="I725" s="5">
        <v>44682</v>
      </c>
      <c r="J725" s="6">
        <v>2400</v>
      </c>
      <c r="K725" s="6">
        <v>1200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4" t="s">
        <v>68</v>
      </c>
      <c r="S725" s="6">
        <v>38</v>
      </c>
      <c r="T725" s="6">
        <v>0</v>
      </c>
      <c r="U725" s="6">
        <v>0</v>
      </c>
      <c r="V725" s="6">
        <f>IF(ISERROR(VLOOKUP($S$725,'TAR FIN'!$A$1:$O$104,15,0)),0,VLOOKUP($S$725,'TAR FIN'!$A$1:$O$104,15,0))</f>
        <v>14.41</v>
      </c>
      <c r="W725" s="6">
        <f>IF(ISERROR(VLOOKUP($T$725,'TAR FIN'!$A$1:$O$104,15,0)),0,VLOOKUP($T$725,'TAR FIN'!$A$1:$O$104,15,0))</f>
        <v>0</v>
      </c>
      <c r="X725" s="6">
        <f>IF(ISERROR(VLOOKUP($U$725,'TAR FIN'!$A$1:$O$104,15,0)),0,VLOOKUP($U$725,'TAR FIN'!$A$1:$O$104,15,0))</f>
        <v>0</v>
      </c>
      <c r="Y725" s="6">
        <f ca="1">('TUSD BE'!$AM$23+'TUSD BF'!$AM$23+'TUSD CVA'!$AM$23)*1</f>
        <v>14.494286200962303</v>
      </c>
      <c r="Z725" s="6"/>
      <c r="AA725" s="6"/>
      <c r="AB725" s="6">
        <f>$K$725*$V$725</f>
        <v>17292</v>
      </c>
      <c r="AC725" s="6">
        <f>$M$725*$W$725</f>
        <v>0</v>
      </c>
      <c r="AD725" s="6">
        <f>$O$725*$X$725</f>
        <v>0</v>
      </c>
      <c r="AE725" s="6">
        <f ca="1">$K$725*$Y$725</f>
        <v>17393.143441154763</v>
      </c>
      <c r="AF725" s="6">
        <f>$M$725*$Z$725</f>
        <v>0</v>
      </c>
      <c r="AG725" s="6">
        <f>$O$725*$AA$725</f>
        <v>0</v>
      </c>
    </row>
    <row r="726" spans="1:33" ht="11.25" customHeight="1" x14ac:dyDescent="0.25">
      <c r="A726" s="4" t="s">
        <v>21</v>
      </c>
      <c r="B726" s="4" t="s">
        <v>41</v>
      </c>
      <c r="C726" s="4" t="s">
        <v>66</v>
      </c>
      <c r="D726" s="4" t="s">
        <v>25</v>
      </c>
      <c r="E726" s="4" t="s">
        <v>25</v>
      </c>
      <c r="F726" s="4" t="s">
        <v>25</v>
      </c>
      <c r="G726" s="4" t="s">
        <v>84</v>
      </c>
      <c r="H726" s="4" t="s">
        <v>25</v>
      </c>
      <c r="I726" s="5">
        <v>44682</v>
      </c>
      <c r="J726" s="6">
        <v>250</v>
      </c>
      <c r="K726" s="6">
        <v>125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4" t="s">
        <v>68</v>
      </c>
      <c r="S726" s="6">
        <v>38</v>
      </c>
      <c r="T726" s="6">
        <v>0</v>
      </c>
      <c r="U726" s="6">
        <v>0</v>
      </c>
      <c r="V726" s="6">
        <f>IF(ISERROR(VLOOKUP($S$726,'TAR FIN'!$A$1:$O$104,15,0)),0,VLOOKUP($S$726,'TAR FIN'!$A$1:$O$104,15,0))</f>
        <v>14.41</v>
      </c>
      <c r="W726" s="6">
        <f>IF(ISERROR(VLOOKUP($T$726,'TAR FIN'!$A$1:$O$104,15,0)),0,VLOOKUP($T$726,'TAR FIN'!$A$1:$O$104,15,0))</f>
        <v>0</v>
      </c>
      <c r="X726" s="6">
        <f>IF(ISERROR(VLOOKUP($U$726,'TAR FIN'!$A$1:$O$104,15,0)),0,VLOOKUP($U$726,'TAR FIN'!$A$1:$O$104,15,0))</f>
        <v>0</v>
      </c>
      <c r="Y726" s="6">
        <f ca="1">('TUSD BE'!$AM$23+'TUSD BF'!$AM$23+'TUSD CVA'!$AM$23)*1</f>
        <v>14.494286200962303</v>
      </c>
      <c r="Z726" s="6"/>
      <c r="AA726" s="6"/>
      <c r="AB726" s="6">
        <f>$K$726*$V$726</f>
        <v>1801.25</v>
      </c>
      <c r="AC726" s="6">
        <f>$M$726*$W$726</f>
        <v>0</v>
      </c>
      <c r="AD726" s="6">
        <f>$O$726*$X$726</f>
        <v>0</v>
      </c>
      <c r="AE726" s="6">
        <f ca="1">$K$726*$Y$726</f>
        <v>1811.785775120288</v>
      </c>
      <c r="AF726" s="6">
        <f>$M$726*$Z$726</f>
        <v>0</v>
      </c>
      <c r="AG726" s="6">
        <f>$O$726*$AA$726</f>
        <v>0</v>
      </c>
    </row>
    <row r="727" spans="1:33" ht="11.25" customHeight="1" x14ac:dyDescent="0.25">
      <c r="A727" s="4" t="s">
        <v>21</v>
      </c>
      <c r="B727" s="4" t="s">
        <v>41</v>
      </c>
      <c r="C727" s="4" t="s">
        <v>66</v>
      </c>
      <c r="D727" s="4" t="s">
        <v>25</v>
      </c>
      <c r="E727" s="4" t="s">
        <v>25</v>
      </c>
      <c r="F727" s="4" t="s">
        <v>25</v>
      </c>
      <c r="G727" s="4" t="s">
        <v>85</v>
      </c>
      <c r="H727" s="4" t="s">
        <v>25</v>
      </c>
      <c r="I727" s="5">
        <v>44682</v>
      </c>
      <c r="J727" s="6">
        <v>250</v>
      </c>
      <c r="K727" s="6">
        <v>125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4" t="s">
        <v>68</v>
      </c>
      <c r="R727" s="4">
        <v>52044</v>
      </c>
      <c r="S727" s="6">
        <v>38</v>
      </c>
      <c r="T727" s="6">
        <v>0</v>
      </c>
      <c r="U727" s="6">
        <v>0</v>
      </c>
      <c r="V727" s="6">
        <f>IF(ISERROR(VLOOKUP($S$727,'TAR FIN'!$A$1:$O$104,15,0)),0,VLOOKUP($S$727,'TAR FIN'!$A$1:$O$104,15,0))</f>
        <v>14.41</v>
      </c>
      <c r="W727" s="6">
        <f>IF(ISERROR(VLOOKUP($T$727,'TAR FIN'!$A$1:$O$104,15,0)),0,VLOOKUP($T$727,'TAR FIN'!$A$1:$O$104,15,0))</f>
        <v>0</v>
      </c>
      <c r="X727" s="6">
        <f>IF(ISERROR(VLOOKUP($U$727,'TAR FIN'!$A$1:$O$104,15,0)),0,VLOOKUP($U$727,'TAR FIN'!$A$1:$O$104,15,0))</f>
        <v>0</v>
      </c>
      <c r="Y727" s="6">
        <f ca="1">('TUSD BE'!$AM$23+'TUSD BF'!$AM$23+'TUSD CVA'!$AM$23)*1</f>
        <v>14.494286200962303</v>
      </c>
      <c r="Z727" s="6"/>
      <c r="AA727" s="6"/>
      <c r="AB727" s="6">
        <f>$K$727*$V$727</f>
        <v>1801.25</v>
      </c>
      <c r="AC727" s="6">
        <f>$M$727*$W$727</f>
        <v>0</v>
      </c>
      <c r="AD727" s="6">
        <f>$O$727*$X$727</f>
        <v>0</v>
      </c>
      <c r="AE727" s="6">
        <f ca="1">$K$727*$Y$727</f>
        <v>1811.785775120288</v>
      </c>
      <c r="AF727" s="6">
        <f>$M$727*$Z$727</f>
        <v>0</v>
      </c>
      <c r="AG727" s="6">
        <f>$O$727*$AA$727</f>
        <v>0</v>
      </c>
    </row>
    <row r="728" spans="1:33" ht="11.25" customHeight="1" x14ac:dyDescent="0.25">
      <c r="A728" s="4" t="s">
        <v>21</v>
      </c>
      <c r="B728" s="4" t="s">
        <v>41</v>
      </c>
      <c r="C728" s="4" t="s">
        <v>66</v>
      </c>
      <c r="D728" s="4" t="s">
        <v>25</v>
      </c>
      <c r="E728" s="4" t="s">
        <v>25</v>
      </c>
      <c r="F728" s="4" t="s">
        <v>25</v>
      </c>
      <c r="G728" s="4" t="s">
        <v>72</v>
      </c>
      <c r="H728" s="4" t="s">
        <v>25</v>
      </c>
      <c r="I728" s="5">
        <v>44713</v>
      </c>
      <c r="J728" s="6">
        <v>4500</v>
      </c>
      <c r="K728" s="6">
        <v>2250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4" t="s">
        <v>68</v>
      </c>
      <c r="R728" s="4">
        <v>29075</v>
      </c>
      <c r="S728" s="6">
        <v>38</v>
      </c>
      <c r="T728" s="6">
        <v>0</v>
      </c>
      <c r="U728" s="6">
        <v>0</v>
      </c>
      <c r="V728" s="6">
        <f>IF(ISERROR(VLOOKUP($S$728,'TAR FIN'!$A$1:$O$104,15,0)),0,VLOOKUP($S$728,'TAR FIN'!$A$1:$O$104,15,0))</f>
        <v>14.41</v>
      </c>
      <c r="W728" s="6">
        <f>IF(ISERROR(VLOOKUP($T$728,'TAR FIN'!$A$1:$O$104,15,0)),0,VLOOKUP($T$728,'TAR FIN'!$A$1:$O$104,15,0))</f>
        <v>0</v>
      </c>
      <c r="X728" s="6">
        <f>IF(ISERROR(VLOOKUP($U$728,'TAR FIN'!$A$1:$O$104,15,0)),0,VLOOKUP($U$728,'TAR FIN'!$A$1:$O$104,15,0))</f>
        <v>0</v>
      </c>
      <c r="Y728" s="6">
        <f ca="1">('TUSD BE'!$AM$23+'TUSD BF'!$AM$23+'TUSD CVA'!$AM$23)*1</f>
        <v>14.494286200962303</v>
      </c>
      <c r="Z728" s="6"/>
      <c r="AA728" s="6"/>
      <c r="AB728" s="6">
        <f>$K$728*$V$728</f>
        <v>32422.5</v>
      </c>
      <c r="AC728" s="6">
        <f>$M$728*$W$728</f>
        <v>0</v>
      </c>
      <c r="AD728" s="6">
        <f>$O$728*$X$728</f>
        <v>0</v>
      </c>
      <c r="AE728" s="6">
        <f ca="1">$K$728*$Y$728</f>
        <v>32612.143952165185</v>
      </c>
      <c r="AF728" s="6">
        <f>$M$728*$Z$728</f>
        <v>0</v>
      </c>
      <c r="AG728" s="6">
        <f>$O$728*$AA$728</f>
        <v>0</v>
      </c>
    </row>
    <row r="729" spans="1:33" ht="11.25" customHeight="1" x14ac:dyDescent="0.25">
      <c r="A729" s="4" t="s">
        <v>21</v>
      </c>
      <c r="B729" s="4" t="s">
        <v>41</v>
      </c>
      <c r="C729" s="4" t="s">
        <v>66</v>
      </c>
      <c r="D729" s="4" t="s">
        <v>25</v>
      </c>
      <c r="E729" s="4" t="s">
        <v>25</v>
      </c>
      <c r="F729" s="4" t="s">
        <v>25</v>
      </c>
      <c r="G729" s="4" t="s">
        <v>74</v>
      </c>
      <c r="H729" s="4" t="s">
        <v>25</v>
      </c>
      <c r="I729" s="5">
        <v>44713</v>
      </c>
      <c r="J729" s="6">
        <v>3000</v>
      </c>
      <c r="K729" s="6">
        <v>1500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4" t="s">
        <v>68</v>
      </c>
      <c r="S729" s="6">
        <v>38</v>
      </c>
      <c r="T729" s="6">
        <v>0</v>
      </c>
      <c r="U729" s="6">
        <v>0</v>
      </c>
      <c r="V729" s="6">
        <f>IF(ISERROR(VLOOKUP($S$729,'TAR FIN'!$A$1:$O$104,15,0)),0,VLOOKUP($S$729,'TAR FIN'!$A$1:$O$104,15,0))</f>
        <v>14.41</v>
      </c>
      <c r="W729" s="6">
        <f>IF(ISERROR(VLOOKUP($T$729,'TAR FIN'!$A$1:$O$104,15,0)),0,VLOOKUP($T$729,'TAR FIN'!$A$1:$O$104,15,0))</f>
        <v>0</v>
      </c>
      <c r="X729" s="6">
        <f>IF(ISERROR(VLOOKUP($U$729,'TAR FIN'!$A$1:$O$104,15,0)),0,VLOOKUP($U$729,'TAR FIN'!$A$1:$O$104,15,0))</f>
        <v>0</v>
      </c>
      <c r="Y729" s="6">
        <f ca="1">('TUSD BE'!$AM$23+'TUSD BF'!$AM$23+'TUSD CVA'!$AM$23)*1</f>
        <v>14.494286200962303</v>
      </c>
      <c r="Z729" s="6"/>
      <c r="AA729" s="6"/>
      <c r="AB729" s="6">
        <f>$K$729*$V$729</f>
        <v>21615</v>
      </c>
      <c r="AC729" s="6">
        <f>$M$729*$W$729</f>
        <v>0</v>
      </c>
      <c r="AD729" s="6">
        <f>$O$729*$X$729</f>
        <v>0</v>
      </c>
      <c r="AE729" s="6">
        <f ca="1">$K$729*$Y$729</f>
        <v>21741.429301443455</v>
      </c>
      <c r="AF729" s="6">
        <f>$M$729*$Z$729</f>
        <v>0</v>
      </c>
      <c r="AG729" s="6">
        <f>$O$729*$AA$729</f>
        <v>0</v>
      </c>
    </row>
    <row r="730" spans="1:33" ht="11.25" customHeight="1" x14ac:dyDescent="0.25">
      <c r="A730" s="4" t="s">
        <v>21</v>
      </c>
      <c r="B730" s="4" t="s">
        <v>41</v>
      </c>
      <c r="C730" s="4" t="s">
        <v>66</v>
      </c>
      <c r="D730" s="4" t="s">
        <v>25</v>
      </c>
      <c r="E730" s="4" t="s">
        <v>25</v>
      </c>
      <c r="F730" s="4" t="s">
        <v>25</v>
      </c>
      <c r="G730" s="4" t="s">
        <v>80</v>
      </c>
      <c r="H730" s="4" t="s">
        <v>25</v>
      </c>
      <c r="I730" s="5">
        <v>44713</v>
      </c>
      <c r="J730" s="6">
        <v>3000</v>
      </c>
      <c r="K730" s="6">
        <v>1500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4" t="s">
        <v>68</v>
      </c>
      <c r="R730" s="4">
        <v>34891</v>
      </c>
      <c r="S730" s="6">
        <v>38</v>
      </c>
      <c r="T730" s="6">
        <v>0</v>
      </c>
      <c r="U730" s="6">
        <v>0</v>
      </c>
      <c r="V730" s="6">
        <f>IF(ISERROR(VLOOKUP($S$730,'TAR FIN'!$A$1:$O$104,15,0)),0,VLOOKUP($S$730,'TAR FIN'!$A$1:$O$104,15,0))</f>
        <v>14.41</v>
      </c>
      <c r="W730" s="6">
        <f>IF(ISERROR(VLOOKUP($T$730,'TAR FIN'!$A$1:$O$104,15,0)),0,VLOOKUP($T$730,'TAR FIN'!$A$1:$O$104,15,0))</f>
        <v>0</v>
      </c>
      <c r="X730" s="6">
        <f>IF(ISERROR(VLOOKUP($U$730,'TAR FIN'!$A$1:$O$104,15,0)),0,VLOOKUP($U$730,'TAR FIN'!$A$1:$O$104,15,0))</f>
        <v>0</v>
      </c>
      <c r="Y730" s="6">
        <f ca="1">('TUSD BE'!$AM$23+'TUSD BF'!$AM$23+'TUSD CVA'!$AM$23)*1</f>
        <v>14.494286200962303</v>
      </c>
      <c r="Z730" s="6"/>
      <c r="AA730" s="6"/>
      <c r="AB730" s="6">
        <f>$K$730*$V$730</f>
        <v>21615</v>
      </c>
      <c r="AC730" s="6">
        <f>$M$730*$W$730</f>
        <v>0</v>
      </c>
      <c r="AD730" s="6">
        <f>$O$730*$X$730</f>
        <v>0</v>
      </c>
      <c r="AE730" s="6">
        <f ca="1">$K$730*$Y$730</f>
        <v>21741.429301443455</v>
      </c>
      <c r="AF730" s="6">
        <f>$M$730*$Z$730</f>
        <v>0</v>
      </c>
      <c r="AG730" s="6">
        <f>$O$730*$AA$730</f>
        <v>0</v>
      </c>
    </row>
    <row r="731" spans="1:33" ht="11.25" customHeight="1" x14ac:dyDescent="0.25">
      <c r="A731" s="4" t="s">
        <v>21</v>
      </c>
      <c r="B731" s="4" t="s">
        <v>41</v>
      </c>
      <c r="C731" s="4" t="s">
        <v>66</v>
      </c>
      <c r="D731" s="4" t="s">
        <v>25</v>
      </c>
      <c r="E731" s="4" t="s">
        <v>25</v>
      </c>
      <c r="F731" s="4" t="s">
        <v>25</v>
      </c>
      <c r="G731" s="4" t="s">
        <v>81</v>
      </c>
      <c r="H731" s="4" t="s">
        <v>25</v>
      </c>
      <c r="I731" s="5">
        <v>44713</v>
      </c>
      <c r="J731" s="6">
        <v>600</v>
      </c>
      <c r="K731" s="6">
        <v>300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4" t="s">
        <v>68</v>
      </c>
      <c r="R731" s="4">
        <v>34893</v>
      </c>
      <c r="S731" s="6">
        <v>38</v>
      </c>
      <c r="T731" s="6">
        <v>0</v>
      </c>
      <c r="U731" s="6">
        <v>0</v>
      </c>
      <c r="V731" s="6">
        <f>IF(ISERROR(VLOOKUP($S$731,'TAR FIN'!$A$1:$O$104,15,0)),0,VLOOKUP($S$731,'TAR FIN'!$A$1:$O$104,15,0))</f>
        <v>14.41</v>
      </c>
      <c r="W731" s="6">
        <f>IF(ISERROR(VLOOKUP($T$731,'TAR FIN'!$A$1:$O$104,15,0)),0,VLOOKUP($T$731,'TAR FIN'!$A$1:$O$104,15,0))</f>
        <v>0</v>
      </c>
      <c r="X731" s="6">
        <f>IF(ISERROR(VLOOKUP($U$731,'TAR FIN'!$A$1:$O$104,15,0)),0,VLOOKUP($U$731,'TAR FIN'!$A$1:$O$104,15,0))</f>
        <v>0</v>
      </c>
      <c r="Y731" s="6">
        <f ca="1">('TUSD BE'!$AM$23+'TUSD BF'!$AM$23+'TUSD CVA'!$AM$23)*1</f>
        <v>14.494286200962303</v>
      </c>
      <c r="Z731" s="6"/>
      <c r="AA731" s="6"/>
      <c r="AB731" s="6">
        <f>$K$731*$V$731</f>
        <v>4323</v>
      </c>
      <c r="AC731" s="6">
        <f>$M$731*$W$731</f>
        <v>0</v>
      </c>
      <c r="AD731" s="6">
        <f>$O$731*$X$731</f>
        <v>0</v>
      </c>
      <c r="AE731" s="6">
        <f ca="1">$K$731*$Y$731</f>
        <v>4348.2858602886909</v>
      </c>
      <c r="AF731" s="6">
        <f>$M$731*$Z$731</f>
        <v>0</v>
      </c>
      <c r="AG731" s="6">
        <f>$O$731*$AA$731</f>
        <v>0</v>
      </c>
    </row>
    <row r="732" spans="1:33" ht="11.25" customHeight="1" x14ac:dyDescent="0.25">
      <c r="A732" s="4" t="s">
        <v>21</v>
      </c>
      <c r="B732" s="4" t="s">
        <v>41</v>
      </c>
      <c r="C732" s="4" t="s">
        <v>66</v>
      </c>
      <c r="D732" s="4" t="s">
        <v>25</v>
      </c>
      <c r="E732" s="4" t="s">
        <v>25</v>
      </c>
      <c r="F732" s="4" t="s">
        <v>25</v>
      </c>
      <c r="G732" s="4" t="s">
        <v>82</v>
      </c>
      <c r="H732" s="4" t="s">
        <v>25</v>
      </c>
      <c r="I732" s="5">
        <v>44713</v>
      </c>
      <c r="J732" s="6">
        <v>4800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4" t="s">
        <v>68</v>
      </c>
      <c r="R732" s="4">
        <v>43199</v>
      </c>
      <c r="S732" s="6">
        <v>38</v>
      </c>
      <c r="T732" s="6">
        <v>0</v>
      </c>
      <c r="U732" s="6">
        <v>0</v>
      </c>
      <c r="V732" s="6">
        <f>IF(ISERROR(VLOOKUP($S$732,'TAR FIN'!$A$1:$O$104,15,0)),0,VLOOKUP($S$732,'TAR FIN'!$A$1:$O$104,15,0))</f>
        <v>14.41</v>
      </c>
      <c r="W732" s="6">
        <f>IF(ISERROR(VLOOKUP($T$732,'TAR FIN'!$A$1:$O$104,15,0)),0,VLOOKUP($T$732,'TAR FIN'!$A$1:$O$104,15,0))</f>
        <v>0</v>
      </c>
      <c r="X732" s="6">
        <f>IF(ISERROR(VLOOKUP($U$732,'TAR FIN'!$A$1:$O$104,15,0)),0,VLOOKUP($U$732,'TAR FIN'!$A$1:$O$104,15,0))</f>
        <v>0</v>
      </c>
      <c r="Y732" s="6">
        <f ca="1">('TUSD BE'!$AM$23+'TUSD BF'!$AM$23+'TUSD CVA'!$AM$23)*1</f>
        <v>14.494286200962303</v>
      </c>
      <c r="Z732" s="6"/>
      <c r="AA732" s="6"/>
      <c r="AB732" s="6">
        <f>$K$732*$V$732</f>
        <v>0</v>
      </c>
      <c r="AC732" s="6">
        <f>$M$732*$W$732</f>
        <v>0</v>
      </c>
      <c r="AD732" s="6">
        <f>$O$732*$X$732</f>
        <v>0</v>
      </c>
      <c r="AE732" s="6">
        <f ca="1">$K$732*$Y$732</f>
        <v>0</v>
      </c>
      <c r="AF732" s="6">
        <f>$M$732*$Z$732</f>
        <v>0</v>
      </c>
      <c r="AG732" s="6">
        <f>$O$732*$AA$732</f>
        <v>0</v>
      </c>
    </row>
    <row r="733" spans="1:33" ht="11.25" customHeight="1" x14ac:dyDescent="0.25">
      <c r="A733" s="4" t="s">
        <v>21</v>
      </c>
      <c r="B733" s="4" t="s">
        <v>41</v>
      </c>
      <c r="C733" s="4" t="s">
        <v>66</v>
      </c>
      <c r="D733" s="4" t="s">
        <v>25</v>
      </c>
      <c r="E733" s="4" t="s">
        <v>25</v>
      </c>
      <c r="F733" s="4" t="s">
        <v>25</v>
      </c>
      <c r="G733" s="4" t="s">
        <v>83</v>
      </c>
      <c r="H733" s="4" t="s">
        <v>25</v>
      </c>
      <c r="I733" s="5">
        <v>44713</v>
      </c>
      <c r="J733" s="6">
        <v>2400</v>
      </c>
      <c r="K733" s="6">
        <v>1200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4" t="s">
        <v>68</v>
      </c>
      <c r="S733" s="6">
        <v>38</v>
      </c>
      <c r="T733" s="6">
        <v>0</v>
      </c>
      <c r="U733" s="6">
        <v>0</v>
      </c>
      <c r="V733" s="6">
        <f>IF(ISERROR(VLOOKUP($S$733,'TAR FIN'!$A$1:$O$104,15,0)),0,VLOOKUP($S$733,'TAR FIN'!$A$1:$O$104,15,0))</f>
        <v>14.41</v>
      </c>
      <c r="W733" s="6">
        <f>IF(ISERROR(VLOOKUP($T$733,'TAR FIN'!$A$1:$O$104,15,0)),0,VLOOKUP($T$733,'TAR FIN'!$A$1:$O$104,15,0))</f>
        <v>0</v>
      </c>
      <c r="X733" s="6">
        <f>IF(ISERROR(VLOOKUP($U$733,'TAR FIN'!$A$1:$O$104,15,0)),0,VLOOKUP($U$733,'TAR FIN'!$A$1:$O$104,15,0))</f>
        <v>0</v>
      </c>
      <c r="Y733" s="6">
        <f ca="1">('TUSD BE'!$AM$23+'TUSD BF'!$AM$23+'TUSD CVA'!$AM$23)*1</f>
        <v>14.494286200962303</v>
      </c>
      <c r="Z733" s="6"/>
      <c r="AA733" s="6"/>
      <c r="AB733" s="6">
        <f>$K$733*$V$733</f>
        <v>17292</v>
      </c>
      <c r="AC733" s="6">
        <f>$M$733*$W$733</f>
        <v>0</v>
      </c>
      <c r="AD733" s="6">
        <f>$O$733*$X$733</f>
        <v>0</v>
      </c>
      <c r="AE733" s="6">
        <f ca="1">$K$733*$Y$733</f>
        <v>17393.143441154763</v>
      </c>
      <c r="AF733" s="6">
        <f>$M$733*$Z$733</f>
        <v>0</v>
      </c>
      <c r="AG733" s="6">
        <f>$O$733*$AA$733</f>
        <v>0</v>
      </c>
    </row>
    <row r="734" spans="1:33" ht="11.25" customHeight="1" x14ac:dyDescent="0.25">
      <c r="A734" s="4" t="s">
        <v>21</v>
      </c>
      <c r="B734" s="4" t="s">
        <v>41</v>
      </c>
      <c r="C734" s="4" t="s">
        <v>66</v>
      </c>
      <c r="D734" s="4" t="s">
        <v>25</v>
      </c>
      <c r="E734" s="4" t="s">
        <v>25</v>
      </c>
      <c r="F734" s="4" t="s">
        <v>25</v>
      </c>
      <c r="G734" s="4" t="s">
        <v>84</v>
      </c>
      <c r="H734" s="4" t="s">
        <v>25</v>
      </c>
      <c r="I734" s="5">
        <v>44713</v>
      </c>
      <c r="J734" s="6">
        <v>250</v>
      </c>
      <c r="K734" s="6">
        <v>125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4" t="s">
        <v>68</v>
      </c>
      <c r="S734" s="6">
        <v>38</v>
      </c>
      <c r="T734" s="6">
        <v>0</v>
      </c>
      <c r="U734" s="6">
        <v>0</v>
      </c>
      <c r="V734" s="6">
        <f>IF(ISERROR(VLOOKUP($S$734,'TAR FIN'!$A$1:$O$104,15,0)),0,VLOOKUP($S$734,'TAR FIN'!$A$1:$O$104,15,0))</f>
        <v>14.41</v>
      </c>
      <c r="W734" s="6">
        <f>IF(ISERROR(VLOOKUP($T$734,'TAR FIN'!$A$1:$O$104,15,0)),0,VLOOKUP($T$734,'TAR FIN'!$A$1:$O$104,15,0))</f>
        <v>0</v>
      </c>
      <c r="X734" s="6">
        <f>IF(ISERROR(VLOOKUP($U$734,'TAR FIN'!$A$1:$O$104,15,0)),0,VLOOKUP($U$734,'TAR FIN'!$A$1:$O$104,15,0))</f>
        <v>0</v>
      </c>
      <c r="Y734" s="6">
        <f ca="1">('TUSD BE'!$AM$23+'TUSD BF'!$AM$23+'TUSD CVA'!$AM$23)*1</f>
        <v>14.494286200962303</v>
      </c>
      <c r="Z734" s="6"/>
      <c r="AA734" s="6"/>
      <c r="AB734" s="6">
        <f>$K$734*$V$734</f>
        <v>1801.25</v>
      </c>
      <c r="AC734" s="6">
        <f>$M$734*$W$734</f>
        <v>0</v>
      </c>
      <c r="AD734" s="6">
        <f>$O$734*$X$734</f>
        <v>0</v>
      </c>
      <c r="AE734" s="6">
        <f ca="1">$K$734*$Y$734</f>
        <v>1811.785775120288</v>
      </c>
      <c r="AF734" s="6">
        <f>$M$734*$Z$734</f>
        <v>0</v>
      </c>
      <c r="AG734" s="6">
        <f>$O$734*$AA$734</f>
        <v>0</v>
      </c>
    </row>
    <row r="735" spans="1:33" ht="11.25" customHeight="1" x14ac:dyDescent="0.25">
      <c r="A735" s="4" t="s">
        <v>21</v>
      </c>
      <c r="B735" s="4" t="s">
        <v>41</v>
      </c>
      <c r="C735" s="4" t="s">
        <v>66</v>
      </c>
      <c r="D735" s="4" t="s">
        <v>25</v>
      </c>
      <c r="E735" s="4" t="s">
        <v>25</v>
      </c>
      <c r="F735" s="4" t="s">
        <v>25</v>
      </c>
      <c r="G735" s="4" t="s">
        <v>85</v>
      </c>
      <c r="H735" s="4" t="s">
        <v>25</v>
      </c>
      <c r="I735" s="5">
        <v>44713</v>
      </c>
      <c r="J735" s="6">
        <v>250</v>
      </c>
      <c r="K735" s="6">
        <v>125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4" t="s">
        <v>68</v>
      </c>
      <c r="R735" s="4">
        <v>52044</v>
      </c>
      <c r="S735" s="6">
        <v>38</v>
      </c>
      <c r="T735" s="6">
        <v>0</v>
      </c>
      <c r="U735" s="6">
        <v>0</v>
      </c>
      <c r="V735" s="6">
        <f>IF(ISERROR(VLOOKUP($S$735,'TAR FIN'!$A$1:$O$104,15,0)),0,VLOOKUP($S$735,'TAR FIN'!$A$1:$O$104,15,0))</f>
        <v>14.41</v>
      </c>
      <c r="W735" s="6">
        <f>IF(ISERROR(VLOOKUP($T$735,'TAR FIN'!$A$1:$O$104,15,0)),0,VLOOKUP($T$735,'TAR FIN'!$A$1:$O$104,15,0))</f>
        <v>0</v>
      </c>
      <c r="X735" s="6">
        <f>IF(ISERROR(VLOOKUP($U$735,'TAR FIN'!$A$1:$O$104,15,0)),0,VLOOKUP($U$735,'TAR FIN'!$A$1:$O$104,15,0))</f>
        <v>0</v>
      </c>
      <c r="Y735" s="6">
        <f ca="1">('TUSD BE'!$AM$23+'TUSD BF'!$AM$23+'TUSD CVA'!$AM$23)*1</f>
        <v>14.494286200962303</v>
      </c>
      <c r="Z735" s="6"/>
      <c r="AA735" s="6"/>
      <c r="AB735" s="6">
        <f>$K$735*$V$735</f>
        <v>1801.25</v>
      </c>
      <c r="AC735" s="6">
        <f>$M$735*$W$735</f>
        <v>0</v>
      </c>
      <c r="AD735" s="6">
        <f>$O$735*$X$735</f>
        <v>0</v>
      </c>
      <c r="AE735" s="6">
        <f ca="1">$K$735*$Y$735</f>
        <v>1811.785775120288</v>
      </c>
      <c r="AF735" s="6">
        <f>$M$735*$Z$735</f>
        <v>0</v>
      </c>
      <c r="AG735" s="6">
        <f>$O$735*$AA$735</f>
        <v>0</v>
      </c>
    </row>
    <row r="736" spans="1:33" ht="11.25" customHeight="1" x14ac:dyDescent="0.25">
      <c r="A736" s="4" t="s">
        <v>57</v>
      </c>
      <c r="B736" s="4" t="s">
        <v>41</v>
      </c>
      <c r="C736" s="4" t="s">
        <v>66</v>
      </c>
      <c r="D736" s="4" t="s">
        <v>25</v>
      </c>
      <c r="E736" s="4" t="s">
        <v>25</v>
      </c>
      <c r="F736" s="4" t="s">
        <v>25</v>
      </c>
      <c r="G736" s="4" t="s">
        <v>72</v>
      </c>
      <c r="H736" s="4" t="s">
        <v>25</v>
      </c>
      <c r="I736" s="5">
        <v>44743</v>
      </c>
      <c r="J736" s="6">
        <v>4500</v>
      </c>
      <c r="K736" s="6">
        <v>2250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4" t="s">
        <v>68</v>
      </c>
      <c r="R736" s="4">
        <v>29075</v>
      </c>
      <c r="S736" s="6">
        <v>38</v>
      </c>
      <c r="T736" s="6">
        <v>0</v>
      </c>
      <c r="U736" s="6">
        <v>0</v>
      </c>
      <c r="V736" s="6">
        <f>IF(ISERROR(VLOOKUP($S$736,'TAR FIN'!$A$1:$O$104,15,0)),0,VLOOKUP($S$736,'TAR FIN'!$A$1:$O$104,15,0))</f>
        <v>14.41</v>
      </c>
      <c r="W736" s="6">
        <f>IF(ISERROR(VLOOKUP($T$736,'TAR FIN'!$A$1:$O$104,15,0)),0,VLOOKUP($T$736,'TAR FIN'!$A$1:$O$104,15,0))</f>
        <v>0</v>
      </c>
      <c r="X736" s="6">
        <f>IF(ISERROR(VLOOKUP($U$736,'TAR FIN'!$A$1:$O$104,15,0)),0,VLOOKUP($U$736,'TAR FIN'!$A$1:$O$104,15,0))</f>
        <v>0</v>
      </c>
      <c r="Y736" s="6">
        <f ca="1">('TUSD BE'!$AM$23+'TUSD BF'!$AM$23+'TUSD CVA'!$AM$23)*1</f>
        <v>14.494286200962303</v>
      </c>
      <c r="Z736" s="6"/>
      <c r="AA736" s="6"/>
      <c r="AB736" s="6">
        <f>$K$736*$V$736</f>
        <v>32422.5</v>
      </c>
      <c r="AC736" s="6">
        <f>$M$736*$W$736</f>
        <v>0</v>
      </c>
      <c r="AD736" s="6">
        <f>$O$736*$X$736</f>
        <v>0</v>
      </c>
      <c r="AE736" s="6">
        <f ca="1">$K$736*$Y$736</f>
        <v>32612.143952165185</v>
      </c>
      <c r="AF736" s="6">
        <f>$M$736*$Z$736</f>
        <v>0</v>
      </c>
      <c r="AG736" s="6">
        <f>$O$736*$AA$736</f>
        <v>0</v>
      </c>
    </row>
    <row r="737" spans="1:33" ht="11.25" customHeight="1" x14ac:dyDescent="0.25">
      <c r="A737" s="4" t="s">
        <v>57</v>
      </c>
      <c r="B737" s="4" t="s">
        <v>41</v>
      </c>
      <c r="C737" s="4" t="s">
        <v>66</v>
      </c>
      <c r="D737" s="4" t="s">
        <v>25</v>
      </c>
      <c r="E737" s="4" t="s">
        <v>25</v>
      </c>
      <c r="F737" s="4" t="s">
        <v>25</v>
      </c>
      <c r="G737" s="4" t="s">
        <v>74</v>
      </c>
      <c r="H737" s="4" t="s">
        <v>25</v>
      </c>
      <c r="I737" s="5">
        <v>44743</v>
      </c>
      <c r="J737" s="6">
        <v>3000</v>
      </c>
      <c r="K737" s="6">
        <v>1500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4" t="s">
        <v>68</v>
      </c>
      <c r="S737" s="6">
        <v>38</v>
      </c>
      <c r="T737" s="6">
        <v>0</v>
      </c>
      <c r="U737" s="6">
        <v>0</v>
      </c>
      <c r="V737" s="6">
        <f>IF(ISERROR(VLOOKUP($S$737,'TAR FIN'!$A$1:$O$104,15,0)),0,VLOOKUP($S$737,'TAR FIN'!$A$1:$O$104,15,0))</f>
        <v>14.41</v>
      </c>
      <c r="W737" s="6">
        <f>IF(ISERROR(VLOOKUP($T$737,'TAR FIN'!$A$1:$O$104,15,0)),0,VLOOKUP($T$737,'TAR FIN'!$A$1:$O$104,15,0))</f>
        <v>0</v>
      </c>
      <c r="X737" s="6">
        <f>IF(ISERROR(VLOOKUP($U$737,'TAR FIN'!$A$1:$O$104,15,0)),0,VLOOKUP($U$737,'TAR FIN'!$A$1:$O$104,15,0))</f>
        <v>0</v>
      </c>
      <c r="Y737" s="6">
        <f ca="1">('TUSD BE'!$AM$23+'TUSD BF'!$AM$23+'TUSD CVA'!$AM$23)*1</f>
        <v>14.494286200962303</v>
      </c>
      <c r="Z737" s="6"/>
      <c r="AA737" s="6"/>
      <c r="AB737" s="6">
        <f>$K$737*$V$737</f>
        <v>21615</v>
      </c>
      <c r="AC737" s="6">
        <f>$M$737*$W$737</f>
        <v>0</v>
      </c>
      <c r="AD737" s="6">
        <f>$O$737*$X$737</f>
        <v>0</v>
      </c>
      <c r="AE737" s="6">
        <f ca="1">$K$737*$Y$737</f>
        <v>21741.429301443455</v>
      </c>
      <c r="AF737" s="6">
        <f>$M$737*$Z$737</f>
        <v>0</v>
      </c>
      <c r="AG737" s="6">
        <f>$O$737*$AA$737</f>
        <v>0</v>
      </c>
    </row>
    <row r="738" spans="1:33" ht="11.25" customHeight="1" x14ac:dyDescent="0.25">
      <c r="A738" s="4" t="s">
        <v>57</v>
      </c>
      <c r="B738" s="4" t="s">
        <v>41</v>
      </c>
      <c r="C738" s="4" t="s">
        <v>66</v>
      </c>
      <c r="D738" s="4" t="s">
        <v>25</v>
      </c>
      <c r="E738" s="4" t="s">
        <v>25</v>
      </c>
      <c r="F738" s="4" t="s">
        <v>25</v>
      </c>
      <c r="G738" s="4" t="s">
        <v>80</v>
      </c>
      <c r="H738" s="4" t="s">
        <v>25</v>
      </c>
      <c r="I738" s="5">
        <v>44743</v>
      </c>
      <c r="J738" s="6">
        <v>3000</v>
      </c>
      <c r="K738" s="6">
        <v>1500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4" t="s">
        <v>68</v>
      </c>
      <c r="R738" s="4">
        <v>34891</v>
      </c>
      <c r="S738" s="6">
        <v>38</v>
      </c>
      <c r="T738" s="6">
        <v>0</v>
      </c>
      <c r="U738" s="6">
        <v>0</v>
      </c>
      <c r="V738" s="6">
        <f>IF(ISERROR(VLOOKUP($S$738,'TAR FIN'!$A$1:$O$104,15,0)),0,VLOOKUP($S$738,'TAR FIN'!$A$1:$O$104,15,0))</f>
        <v>14.41</v>
      </c>
      <c r="W738" s="6">
        <f>IF(ISERROR(VLOOKUP($T$738,'TAR FIN'!$A$1:$O$104,15,0)),0,VLOOKUP($T$738,'TAR FIN'!$A$1:$O$104,15,0))</f>
        <v>0</v>
      </c>
      <c r="X738" s="6">
        <f>IF(ISERROR(VLOOKUP($U$738,'TAR FIN'!$A$1:$O$104,15,0)),0,VLOOKUP($U$738,'TAR FIN'!$A$1:$O$104,15,0))</f>
        <v>0</v>
      </c>
      <c r="Y738" s="6">
        <f ca="1">('TUSD BE'!$AM$23+'TUSD BF'!$AM$23+'TUSD CVA'!$AM$23)*1</f>
        <v>14.494286200962303</v>
      </c>
      <c r="Z738" s="6"/>
      <c r="AA738" s="6"/>
      <c r="AB738" s="6">
        <f>$K$738*$V$738</f>
        <v>21615</v>
      </c>
      <c r="AC738" s="6">
        <f>$M$738*$W$738</f>
        <v>0</v>
      </c>
      <c r="AD738" s="6">
        <f>$O$738*$X$738</f>
        <v>0</v>
      </c>
      <c r="AE738" s="6">
        <f ca="1">$K$738*$Y$738</f>
        <v>21741.429301443455</v>
      </c>
      <c r="AF738" s="6">
        <f>$M$738*$Z$738</f>
        <v>0</v>
      </c>
      <c r="AG738" s="6">
        <f>$O$738*$AA$738</f>
        <v>0</v>
      </c>
    </row>
    <row r="739" spans="1:33" ht="11.25" customHeight="1" x14ac:dyDescent="0.25">
      <c r="A739" s="4" t="s">
        <v>57</v>
      </c>
      <c r="B739" s="4" t="s">
        <v>41</v>
      </c>
      <c r="C739" s="4" t="s">
        <v>66</v>
      </c>
      <c r="D739" s="4" t="s">
        <v>25</v>
      </c>
      <c r="E739" s="4" t="s">
        <v>25</v>
      </c>
      <c r="F739" s="4" t="s">
        <v>25</v>
      </c>
      <c r="G739" s="4" t="s">
        <v>81</v>
      </c>
      <c r="H739" s="4" t="s">
        <v>25</v>
      </c>
      <c r="I739" s="5">
        <v>44743</v>
      </c>
      <c r="J739" s="6">
        <v>600</v>
      </c>
      <c r="K739" s="6">
        <v>300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4" t="s">
        <v>68</v>
      </c>
      <c r="R739" s="4">
        <v>34893</v>
      </c>
      <c r="S739" s="6">
        <v>38</v>
      </c>
      <c r="T739" s="6">
        <v>0</v>
      </c>
      <c r="U739" s="6">
        <v>0</v>
      </c>
      <c r="V739" s="6">
        <f>IF(ISERROR(VLOOKUP($S$739,'TAR FIN'!$A$1:$O$104,15,0)),0,VLOOKUP($S$739,'TAR FIN'!$A$1:$O$104,15,0))</f>
        <v>14.41</v>
      </c>
      <c r="W739" s="6">
        <f>IF(ISERROR(VLOOKUP($T$739,'TAR FIN'!$A$1:$O$104,15,0)),0,VLOOKUP($T$739,'TAR FIN'!$A$1:$O$104,15,0))</f>
        <v>0</v>
      </c>
      <c r="X739" s="6">
        <f>IF(ISERROR(VLOOKUP($U$739,'TAR FIN'!$A$1:$O$104,15,0)),0,VLOOKUP($U$739,'TAR FIN'!$A$1:$O$104,15,0))</f>
        <v>0</v>
      </c>
      <c r="Y739" s="6">
        <f ca="1">('TUSD BE'!$AM$23+'TUSD BF'!$AM$23+'TUSD CVA'!$AM$23)*1</f>
        <v>14.494286200962303</v>
      </c>
      <c r="Z739" s="6"/>
      <c r="AA739" s="6"/>
      <c r="AB739" s="6">
        <f>$K$739*$V$739</f>
        <v>4323</v>
      </c>
      <c r="AC739" s="6">
        <f>$M$739*$W$739</f>
        <v>0</v>
      </c>
      <c r="AD739" s="6">
        <f>$O$739*$X$739</f>
        <v>0</v>
      </c>
      <c r="AE739" s="6">
        <f ca="1">$K$739*$Y$739</f>
        <v>4348.2858602886909</v>
      </c>
      <c r="AF739" s="6">
        <f>$M$739*$Z$739</f>
        <v>0</v>
      </c>
      <c r="AG739" s="6">
        <f>$O$739*$AA$739</f>
        <v>0</v>
      </c>
    </row>
    <row r="740" spans="1:33" ht="11.25" customHeight="1" x14ac:dyDescent="0.25">
      <c r="A740" s="4" t="s">
        <v>57</v>
      </c>
      <c r="B740" s="4" t="s">
        <v>41</v>
      </c>
      <c r="C740" s="4" t="s">
        <v>66</v>
      </c>
      <c r="D740" s="4" t="s">
        <v>25</v>
      </c>
      <c r="E740" s="4" t="s">
        <v>25</v>
      </c>
      <c r="F740" s="4" t="s">
        <v>25</v>
      </c>
      <c r="G740" s="4" t="s">
        <v>82</v>
      </c>
      <c r="H740" s="4" t="s">
        <v>25</v>
      </c>
      <c r="I740" s="5">
        <v>44743</v>
      </c>
      <c r="J740" s="6">
        <v>4800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4" t="s">
        <v>68</v>
      </c>
      <c r="R740" s="4">
        <v>43199</v>
      </c>
      <c r="S740" s="6">
        <v>38</v>
      </c>
      <c r="T740" s="6">
        <v>0</v>
      </c>
      <c r="U740" s="6">
        <v>0</v>
      </c>
      <c r="V740" s="6">
        <f>IF(ISERROR(VLOOKUP($S$740,'TAR FIN'!$A$1:$O$104,15,0)),0,VLOOKUP($S$740,'TAR FIN'!$A$1:$O$104,15,0))</f>
        <v>14.41</v>
      </c>
      <c r="W740" s="6">
        <f>IF(ISERROR(VLOOKUP($T$740,'TAR FIN'!$A$1:$O$104,15,0)),0,VLOOKUP($T$740,'TAR FIN'!$A$1:$O$104,15,0))</f>
        <v>0</v>
      </c>
      <c r="X740" s="6">
        <f>IF(ISERROR(VLOOKUP($U$740,'TAR FIN'!$A$1:$O$104,15,0)),0,VLOOKUP($U$740,'TAR FIN'!$A$1:$O$104,15,0))</f>
        <v>0</v>
      </c>
      <c r="Y740" s="6">
        <f ca="1">('TUSD BE'!$AM$23+'TUSD BF'!$AM$23+'TUSD CVA'!$AM$23)*1</f>
        <v>14.494286200962303</v>
      </c>
      <c r="Z740" s="6"/>
      <c r="AA740" s="6"/>
      <c r="AB740" s="6">
        <f>$K$740*$V$740</f>
        <v>0</v>
      </c>
      <c r="AC740" s="6">
        <f>$M$740*$W$740</f>
        <v>0</v>
      </c>
      <c r="AD740" s="6">
        <f>$O$740*$X$740</f>
        <v>0</v>
      </c>
      <c r="AE740" s="6">
        <f ca="1">$K$740*$Y$740</f>
        <v>0</v>
      </c>
      <c r="AF740" s="6">
        <f>$M$740*$Z$740</f>
        <v>0</v>
      </c>
      <c r="AG740" s="6">
        <f>$O$740*$AA$740</f>
        <v>0</v>
      </c>
    </row>
    <row r="741" spans="1:33" ht="11.25" customHeight="1" x14ac:dyDescent="0.25">
      <c r="A741" s="4" t="s">
        <v>57</v>
      </c>
      <c r="B741" s="4" t="s">
        <v>41</v>
      </c>
      <c r="C741" s="4" t="s">
        <v>66</v>
      </c>
      <c r="D741" s="4" t="s">
        <v>25</v>
      </c>
      <c r="E741" s="4" t="s">
        <v>25</v>
      </c>
      <c r="F741" s="4" t="s">
        <v>25</v>
      </c>
      <c r="G741" s="4" t="s">
        <v>83</v>
      </c>
      <c r="H741" s="4" t="s">
        <v>25</v>
      </c>
      <c r="I741" s="5">
        <v>44743</v>
      </c>
      <c r="J741" s="6">
        <v>2400</v>
      </c>
      <c r="K741" s="6">
        <v>1200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4" t="s">
        <v>68</v>
      </c>
      <c r="S741" s="6">
        <v>38</v>
      </c>
      <c r="T741" s="6">
        <v>0</v>
      </c>
      <c r="U741" s="6">
        <v>0</v>
      </c>
      <c r="V741" s="6">
        <f>IF(ISERROR(VLOOKUP($S$741,'TAR FIN'!$A$1:$O$104,15,0)),0,VLOOKUP($S$741,'TAR FIN'!$A$1:$O$104,15,0))</f>
        <v>14.41</v>
      </c>
      <c r="W741" s="6">
        <f>IF(ISERROR(VLOOKUP($T$741,'TAR FIN'!$A$1:$O$104,15,0)),0,VLOOKUP($T$741,'TAR FIN'!$A$1:$O$104,15,0))</f>
        <v>0</v>
      </c>
      <c r="X741" s="6">
        <f>IF(ISERROR(VLOOKUP($U$741,'TAR FIN'!$A$1:$O$104,15,0)),0,VLOOKUP($U$741,'TAR FIN'!$A$1:$O$104,15,0))</f>
        <v>0</v>
      </c>
      <c r="Y741" s="6">
        <f ca="1">('TUSD BE'!$AM$23+'TUSD BF'!$AM$23+'TUSD CVA'!$AM$23)*1</f>
        <v>14.494286200962303</v>
      </c>
      <c r="Z741" s="6"/>
      <c r="AA741" s="6"/>
      <c r="AB741" s="6">
        <f>$K$741*$V$741</f>
        <v>17292</v>
      </c>
      <c r="AC741" s="6">
        <f>$M$741*$W$741</f>
        <v>0</v>
      </c>
      <c r="AD741" s="6">
        <f>$O$741*$X$741</f>
        <v>0</v>
      </c>
      <c r="AE741" s="6">
        <f ca="1">$K$741*$Y$741</f>
        <v>17393.143441154763</v>
      </c>
      <c r="AF741" s="6">
        <f>$M$741*$Z$741</f>
        <v>0</v>
      </c>
      <c r="AG741" s="6">
        <f>$O$741*$AA$741</f>
        <v>0</v>
      </c>
    </row>
    <row r="742" spans="1:33" ht="11.25" customHeight="1" x14ac:dyDescent="0.25">
      <c r="A742" s="4" t="s">
        <v>57</v>
      </c>
      <c r="B742" s="4" t="s">
        <v>41</v>
      </c>
      <c r="C742" s="4" t="s">
        <v>66</v>
      </c>
      <c r="D742" s="4" t="s">
        <v>25</v>
      </c>
      <c r="E742" s="4" t="s">
        <v>25</v>
      </c>
      <c r="F742" s="4" t="s">
        <v>25</v>
      </c>
      <c r="G742" s="4" t="s">
        <v>84</v>
      </c>
      <c r="H742" s="4" t="s">
        <v>25</v>
      </c>
      <c r="I742" s="5">
        <v>44743</v>
      </c>
      <c r="J742" s="6">
        <v>250</v>
      </c>
      <c r="K742" s="6">
        <v>125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4" t="s">
        <v>68</v>
      </c>
      <c r="S742" s="6">
        <v>38</v>
      </c>
      <c r="T742" s="6">
        <v>0</v>
      </c>
      <c r="U742" s="6">
        <v>0</v>
      </c>
      <c r="V742" s="6">
        <f>IF(ISERROR(VLOOKUP($S$742,'TAR FIN'!$A$1:$O$104,15,0)),0,VLOOKUP($S$742,'TAR FIN'!$A$1:$O$104,15,0))</f>
        <v>14.41</v>
      </c>
      <c r="W742" s="6">
        <f>IF(ISERROR(VLOOKUP($T$742,'TAR FIN'!$A$1:$O$104,15,0)),0,VLOOKUP($T$742,'TAR FIN'!$A$1:$O$104,15,0))</f>
        <v>0</v>
      </c>
      <c r="X742" s="6">
        <f>IF(ISERROR(VLOOKUP($U$742,'TAR FIN'!$A$1:$O$104,15,0)),0,VLOOKUP($U$742,'TAR FIN'!$A$1:$O$104,15,0))</f>
        <v>0</v>
      </c>
      <c r="Y742" s="6">
        <f ca="1">('TUSD BE'!$AM$23+'TUSD BF'!$AM$23+'TUSD CVA'!$AM$23)*1</f>
        <v>14.494286200962303</v>
      </c>
      <c r="Z742" s="6"/>
      <c r="AA742" s="6"/>
      <c r="AB742" s="6">
        <f>$K$742*$V$742</f>
        <v>1801.25</v>
      </c>
      <c r="AC742" s="6">
        <f>$M$742*$W$742</f>
        <v>0</v>
      </c>
      <c r="AD742" s="6">
        <f>$O$742*$X$742</f>
        <v>0</v>
      </c>
      <c r="AE742" s="6">
        <f ca="1">$K$742*$Y$742</f>
        <v>1811.785775120288</v>
      </c>
      <c r="AF742" s="6">
        <f>$M$742*$Z$742</f>
        <v>0</v>
      </c>
      <c r="AG742" s="6">
        <f>$O$742*$AA$742</f>
        <v>0</v>
      </c>
    </row>
    <row r="743" spans="1:33" ht="11.25" customHeight="1" x14ac:dyDescent="0.25">
      <c r="A743" s="4" t="s">
        <v>57</v>
      </c>
      <c r="B743" s="4" t="s">
        <v>41</v>
      </c>
      <c r="C743" s="4" t="s">
        <v>66</v>
      </c>
      <c r="D743" s="4" t="s">
        <v>25</v>
      </c>
      <c r="E743" s="4" t="s">
        <v>25</v>
      </c>
      <c r="F743" s="4" t="s">
        <v>25</v>
      </c>
      <c r="G743" s="4" t="s">
        <v>85</v>
      </c>
      <c r="H743" s="4" t="s">
        <v>25</v>
      </c>
      <c r="I743" s="5">
        <v>44743</v>
      </c>
      <c r="J743" s="6">
        <v>250</v>
      </c>
      <c r="K743" s="6">
        <v>125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4" t="s">
        <v>68</v>
      </c>
      <c r="R743" s="4">
        <v>52044</v>
      </c>
      <c r="S743" s="6">
        <v>38</v>
      </c>
      <c r="T743" s="6">
        <v>0</v>
      </c>
      <c r="U743" s="6">
        <v>0</v>
      </c>
      <c r="V743" s="6">
        <f>IF(ISERROR(VLOOKUP($S$743,'TAR FIN'!$A$1:$O$104,15,0)),0,VLOOKUP($S$743,'TAR FIN'!$A$1:$O$104,15,0))</f>
        <v>14.41</v>
      </c>
      <c r="W743" s="6">
        <f>IF(ISERROR(VLOOKUP($T$743,'TAR FIN'!$A$1:$O$104,15,0)),0,VLOOKUP($T$743,'TAR FIN'!$A$1:$O$104,15,0))</f>
        <v>0</v>
      </c>
      <c r="X743" s="6">
        <f>IF(ISERROR(VLOOKUP($U$743,'TAR FIN'!$A$1:$O$104,15,0)),0,VLOOKUP($U$743,'TAR FIN'!$A$1:$O$104,15,0))</f>
        <v>0</v>
      </c>
      <c r="Y743" s="6">
        <f ca="1">('TUSD BE'!$AM$23+'TUSD BF'!$AM$23+'TUSD CVA'!$AM$23)*1</f>
        <v>14.494286200962303</v>
      </c>
      <c r="Z743" s="6"/>
      <c r="AA743" s="6"/>
      <c r="AB743" s="6">
        <f>$K$743*$V$743</f>
        <v>1801.25</v>
      </c>
      <c r="AC743" s="6">
        <f>$M$743*$W$743</f>
        <v>0</v>
      </c>
      <c r="AD743" s="6">
        <f>$O$743*$X$743</f>
        <v>0</v>
      </c>
      <c r="AE743" s="6">
        <f ca="1">$K$743*$Y$743</f>
        <v>1811.785775120288</v>
      </c>
      <c r="AF743" s="6">
        <f>$M$743*$Z$743</f>
        <v>0</v>
      </c>
      <c r="AG743" s="6">
        <f>$O$743*$AA$743</f>
        <v>0</v>
      </c>
    </row>
    <row r="744" spans="1:33" ht="11.25" customHeight="1" x14ac:dyDescent="0.25">
      <c r="A744" s="4" t="s">
        <v>21</v>
      </c>
      <c r="B744" s="4" t="s">
        <v>41</v>
      </c>
      <c r="C744" s="4" t="s">
        <v>42</v>
      </c>
      <c r="D744" s="4" t="s">
        <v>43</v>
      </c>
      <c r="E744" s="4" t="s">
        <v>25</v>
      </c>
      <c r="F744" s="4" t="s">
        <v>25</v>
      </c>
      <c r="G744" s="4" t="s">
        <v>25</v>
      </c>
      <c r="H744" s="4" t="s">
        <v>35</v>
      </c>
      <c r="I744" s="5">
        <v>44409</v>
      </c>
      <c r="J744" s="6">
        <v>0</v>
      </c>
      <c r="K744" s="6">
        <v>0</v>
      </c>
      <c r="L744" s="6">
        <v>10179.378000000001</v>
      </c>
      <c r="M744" s="6">
        <v>10179.378000000001</v>
      </c>
      <c r="N744" s="6">
        <v>10179.378000000001</v>
      </c>
      <c r="O744" s="6">
        <v>10179.378000000001</v>
      </c>
      <c r="P744" s="6">
        <v>0</v>
      </c>
      <c r="Q744" s="4" t="s">
        <v>26</v>
      </c>
      <c r="R744" s="4">
        <v>0</v>
      </c>
      <c r="S744" s="6">
        <v>0</v>
      </c>
      <c r="T744" s="6">
        <v>44</v>
      </c>
      <c r="U744" s="6">
        <v>67</v>
      </c>
      <c r="V744" s="6">
        <f>IF(ISERROR(VLOOKUP($S$744,'TAR FIN'!$A$1:$O$104,15,0)),0,VLOOKUP($S$744,'TAR FIN'!$A$1:$O$104,15,0))</f>
        <v>0</v>
      </c>
      <c r="W744" s="6">
        <f>IF(ISERROR(VLOOKUP($T$744,'TAR FIN'!$A$1:$O$104,15,0)),0,VLOOKUP($T$744,'TAR FIN'!$A$1:$O$104,15,0))</f>
        <v>62.57</v>
      </c>
      <c r="X744" s="6">
        <f>IF(ISERROR(VLOOKUP($U$744,'TAR FIN'!$A$1:$O$104,15,0)),0,VLOOKUP($U$744,'TAR FIN'!$A$1:$O$104,15,0))</f>
        <v>242.82</v>
      </c>
      <c r="Y744" s="6"/>
      <c r="Z744" s="6">
        <f ca="1">('TUSD BE'!$AM$26+'TUSD BF'!$AM$26+'TUSD CVA'!$AM$26)*1</f>
        <v>77.876201961015255</v>
      </c>
      <c r="AA744" s="6">
        <f>('TE BE'!$AB$8+'TE BF'!$AB$8+'TE CVA'!$AB$8)*1</f>
        <v>231.76257384332172</v>
      </c>
      <c r="AB744" s="6">
        <f>$K$744*$V$744</f>
        <v>0</v>
      </c>
      <c r="AC744" s="6">
        <f>$M$744*$W$744</f>
        <v>636923.68145999999</v>
      </c>
      <c r="AD744" s="6">
        <f>$O$744*$X$744</f>
        <v>2471756.5659600003</v>
      </c>
      <c r="AE744" s="6">
        <f>$K$744*$Y$744</f>
        <v>0</v>
      </c>
      <c r="AF744" s="6">
        <f ca="1">$M$744*$Z$744</f>
        <v>792731.29696551559</v>
      </c>
      <c r="AG744" s="6">
        <f>$O$744*$AA$744</f>
        <v>2359198.8454040848</v>
      </c>
    </row>
    <row r="745" spans="1:33" ht="11.25" customHeight="1" x14ac:dyDescent="0.25">
      <c r="A745" s="4" t="s">
        <v>28</v>
      </c>
      <c r="B745" s="4" t="s">
        <v>41</v>
      </c>
      <c r="C745" s="4" t="s">
        <v>42</v>
      </c>
      <c r="D745" s="4" t="s">
        <v>43</v>
      </c>
      <c r="E745" s="4" t="s">
        <v>25</v>
      </c>
      <c r="F745" s="4" t="s">
        <v>25</v>
      </c>
      <c r="G745" s="4" t="s">
        <v>25</v>
      </c>
      <c r="H745" s="4" t="s">
        <v>35</v>
      </c>
      <c r="I745" s="5">
        <v>44409</v>
      </c>
      <c r="J745" s="6">
        <v>0</v>
      </c>
      <c r="K745" s="6">
        <v>0</v>
      </c>
      <c r="L745" s="6">
        <v>354.34699999999998</v>
      </c>
      <c r="M745" s="6">
        <v>354.34699999999998</v>
      </c>
      <c r="N745" s="6">
        <v>354.34699999999998</v>
      </c>
      <c r="O745" s="6">
        <v>354.34699999999998</v>
      </c>
      <c r="P745" s="6">
        <v>0</v>
      </c>
      <c r="Q745" s="4" t="s">
        <v>26</v>
      </c>
      <c r="R745" s="4">
        <v>0</v>
      </c>
      <c r="S745" s="6">
        <v>0</v>
      </c>
      <c r="T745" s="6">
        <v>44</v>
      </c>
      <c r="U745" s="6">
        <v>67</v>
      </c>
      <c r="V745" s="6">
        <f>IF(ISERROR(VLOOKUP($S$745,'TAR FIN'!$A$1:$O$104,15,0)),0,VLOOKUP($S$745,'TAR FIN'!$A$1:$O$104,15,0))</f>
        <v>0</v>
      </c>
      <c r="W745" s="6">
        <f>IF(ISERROR(VLOOKUP($T$745,'TAR FIN'!$A$1:$O$104,15,0)),0,VLOOKUP($T$745,'TAR FIN'!$A$1:$O$104,15,0))</f>
        <v>62.57</v>
      </c>
      <c r="X745" s="6">
        <f>IF(ISERROR(VLOOKUP($U$745,'TAR FIN'!$A$1:$O$104,15,0)),0,VLOOKUP($U$745,'TAR FIN'!$A$1:$O$104,15,0))</f>
        <v>242.82</v>
      </c>
      <c r="Y745" s="6"/>
      <c r="Z745" s="6">
        <f ca="1">('TUSD BE'!$AM$26+'TUSD BF'!$AM$26+'TUSD CVA'!$AM$26)*1</f>
        <v>77.876201961015255</v>
      </c>
      <c r="AA745" s="6">
        <f>('TE BE'!$AB$8+'TE BF'!$AB$8+'TE CVA'!$AB$8)*1</f>
        <v>231.76257384332172</v>
      </c>
      <c r="AB745" s="6">
        <f>$K$745*$V$745</f>
        <v>0</v>
      </c>
      <c r="AC745" s="6">
        <f>$M$745*$W$745</f>
        <v>22171.49179</v>
      </c>
      <c r="AD745" s="6">
        <f>$O$745*$X$745</f>
        <v>86042.538539999994</v>
      </c>
      <c r="AE745" s="6">
        <f>$K$745*$Y$745</f>
        <v>0</v>
      </c>
      <c r="AF745" s="6">
        <f ca="1">$M$745*$Z$745</f>
        <v>27595.19853627987</v>
      </c>
      <c r="AG745" s="6">
        <f>$O$745*$AA$745</f>
        <v>82124.372753659511</v>
      </c>
    </row>
    <row r="746" spans="1:33" ht="11.25" customHeight="1" x14ac:dyDescent="0.25">
      <c r="A746" s="4" t="s">
        <v>28</v>
      </c>
      <c r="B746" s="4" t="s">
        <v>41</v>
      </c>
      <c r="C746" s="4" t="s">
        <v>42</v>
      </c>
      <c r="D746" s="4" t="s">
        <v>43</v>
      </c>
      <c r="E746" s="4" t="s">
        <v>25</v>
      </c>
      <c r="F746" s="4" t="s">
        <v>25</v>
      </c>
      <c r="G746" s="4" t="s">
        <v>25</v>
      </c>
      <c r="H746" s="4" t="s">
        <v>35</v>
      </c>
      <c r="I746" s="5">
        <v>44409</v>
      </c>
      <c r="J746" s="6">
        <v>0</v>
      </c>
      <c r="K746" s="6">
        <v>0</v>
      </c>
      <c r="L746" s="6">
        <v>-2.347</v>
      </c>
      <c r="M746" s="6">
        <v>-2.347</v>
      </c>
      <c r="N746" s="6">
        <v>-2.347</v>
      </c>
      <c r="O746" s="6">
        <v>-2.347</v>
      </c>
      <c r="P746" s="6">
        <v>0</v>
      </c>
      <c r="Q746" s="4" t="s">
        <v>26</v>
      </c>
      <c r="R746" s="4">
        <v>0</v>
      </c>
      <c r="S746" s="6">
        <v>0</v>
      </c>
      <c r="T746" s="6">
        <v>44</v>
      </c>
      <c r="U746" s="6">
        <v>67</v>
      </c>
      <c r="V746" s="6">
        <f>IF(ISERROR(VLOOKUP($S$746,'TAR FIN'!$A$1:$O$104,15,0)),0,VLOOKUP($S$746,'TAR FIN'!$A$1:$O$104,15,0))</f>
        <v>0</v>
      </c>
      <c r="W746" s="6">
        <f>IF(ISERROR(VLOOKUP($T$746,'TAR FIN'!$A$1:$O$104,15,0)),0,VLOOKUP($T$746,'TAR FIN'!$A$1:$O$104,15,0))</f>
        <v>62.57</v>
      </c>
      <c r="X746" s="6">
        <f>IF(ISERROR(VLOOKUP($U$746,'TAR FIN'!$A$1:$O$104,15,0)),0,VLOOKUP($U$746,'TAR FIN'!$A$1:$O$104,15,0))</f>
        <v>242.82</v>
      </c>
      <c r="Y746" s="6"/>
      <c r="Z746" s="6">
        <f ca="1">('TUSD BE'!$AM$26+'TUSD BF'!$AM$26+'TUSD CVA'!$AM$26)*1</f>
        <v>77.876201961015255</v>
      </c>
      <c r="AA746" s="6">
        <f>('TE BE'!$AB$8+'TE BF'!$AB$8+'TE CVA'!$AB$8)*1</f>
        <v>231.76257384332172</v>
      </c>
      <c r="AB746" s="6">
        <f>$K$746*$V$746</f>
        <v>0</v>
      </c>
      <c r="AC746" s="6">
        <f>$M$746*$W$746</f>
        <v>-146.85178999999999</v>
      </c>
      <c r="AD746" s="6">
        <f>$O$746*$X$746</f>
        <v>-569.89854000000003</v>
      </c>
      <c r="AE746" s="6">
        <f>$K$746*$Y$746</f>
        <v>0</v>
      </c>
      <c r="AF746" s="6">
        <f ca="1">$M$746*$Z$746</f>
        <v>-182.7754460025028</v>
      </c>
      <c r="AG746" s="6">
        <f>$O$746*$AA$746</f>
        <v>-543.94676081027603</v>
      </c>
    </row>
    <row r="747" spans="1:33" ht="11.25" customHeight="1" x14ac:dyDescent="0.25">
      <c r="A747" s="4" t="s">
        <v>21</v>
      </c>
      <c r="B747" s="4" t="s">
        <v>41</v>
      </c>
      <c r="C747" s="4" t="s">
        <v>42</v>
      </c>
      <c r="D747" s="4" t="s">
        <v>43</v>
      </c>
      <c r="E747" s="4" t="s">
        <v>25</v>
      </c>
      <c r="F747" s="4" t="s">
        <v>25</v>
      </c>
      <c r="G747" s="4" t="s">
        <v>25</v>
      </c>
      <c r="H747" s="4" t="s">
        <v>35</v>
      </c>
      <c r="I747" s="5">
        <v>44409</v>
      </c>
      <c r="J747" s="6">
        <v>0</v>
      </c>
      <c r="K747" s="6">
        <v>0</v>
      </c>
      <c r="L747" s="6">
        <v>13.048999999999999</v>
      </c>
      <c r="M747" s="6">
        <v>13.048999999999999</v>
      </c>
      <c r="N747" s="6">
        <v>0</v>
      </c>
      <c r="O747" s="6">
        <v>0</v>
      </c>
      <c r="P747" s="6">
        <v>0</v>
      </c>
      <c r="Q747" s="4" t="s">
        <v>58</v>
      </c>
      <c r="R747" s="4">
        <v>0</v>
      </c>
      <c r="S747" s="6">
        <v>0</v>
      </c>
      <c r="T747" s="6">
        <v>44</v>
      </c>
      <c r="U747" s="6">
        <v>0</v>
      </c>
      <c r="V747" s="6">
        <f>IF(ISERROR(VLOOKUP($S$747,'TAR FIN'!$A$1:$O$104,15,0)),0,VLOOKUP($S$747,'TAR FIN'!$A$1:$O$104,15,0))</f>
        <v>0</v>
      </c>
      <c r="W747" s="6">
        <f>IF(ISERROR(VLOOKUP($T$747,'TAR FIN'!$A$1:$O$104,15,0)),0,VLOOKUP($T$747,'TAR FIN'!$A$1:$O$104,15,0))</f>
        <v>62.57</v>
      </c>
      <c r="X747" s="6">
        <f>IF(ISERROR(VLOOKUP($U$747,'TAR FIN'!$A$1:$O$104,15,0)),0,VLOOKUP($U$747,'TAR FIN'!$A$1:$O$104,15,0))</f>
        <v>0</v>
      </c>
      <c r="Y747" s="6"/>
      <c r="Z747" s="6">
        <f ca="1">('TUSD BE'!$AM$26+'TUSD BF'!$AM$26+'TUSD CVA'!$AM$26)*1</f>
        <v>77.876201961015255</v>
      </c>
      <c r="AA747" s="6"/>
      <c r="AB747" s="6">
        <f>$K$747*$V$747</f>
        <v>0</v>
      </c>
      <c r="AC747" s="6">
        <f>$M$747*$W$747</f>
        <v>816.47592999999995</v>
      </c>
      <c r="AD747" s="6">
        <f>$O$747*$X$747</f>
        <v>0</v>
      </c>
      <c r="AE747" s="6">
        <f>$K$747*$Y$747</f>
        <v>0</v>
      </c>
      <c r="AF747" s="6">
        <f ca="1">$M$747*$Z$747</f>
        <v>1016.206559389288</v>
      </c>
      <c r="AG747" s="6">
        <f>$O$747*$AA$747</f>
        <v>0</v>
      </c>
    </row>
    <row r="748" spans="1:33" ht="11.25" customHeight="1" x14ac:dyDescent="0.25">
      <c r="A748" s="4" t="s">
        <v>21</v>
      </c>
      <c r="B748" s="4" t="s">
        <v>41</v>
      </c>
      <c r="C748" s="4" t="s">
        <v>42</v>
      </c>
      <c r="D748" s="4" t="s">
        <v>43</v>
      </c>
      <c r="E748" s="4" t="s">
        <v>25</v>
      </c>
      <c r="F748" s="4" t="s">
        <v>25</v>
      </c>
      <c r="G748" s="4" t="s">
        <v>25</v>
      </c>
      <c r="H748" s="4" t="s">
        <v>35</v>
      </c>
      <c r="I748" s="5">
        <v>44440</v>
      </c>
      <c r="J748" s="6">
        <v>0</v>
      </c>
      <c r="K748" s="6">
        <v>0</v>
      </c>
      <c r="L748" s="6">
        <v>10558.073</v>
      </c>
      <c r="M748" s="6">
        <v>10558.073</v>
      </c>
      <c r="N748" s="6">
        <v>10558.073</v>
      </c>
      <c r="O748" s="6">
        <v>10558.073</v>
      </c>
      <c r="P748" s="6">
        <v>0</v>
      </c>
      <c r="Q748" s="4" t="s">
        <v>26</v>
      </c>
      <c r="R748" s="4">
        <v>0</v>
      </c>
      <c r="S748" s="6">
        <v>0</v>
      </c>
      <c r="T748" s="6">
        <v>44</v>
      </c>
      <c r="U748" s="6">
        <v>67</v>
      </c>
      <c r="V748" s="6">
        <f>IF(ISERROR(VLOOKUP($S$748,'TAR FIN'!$A$1:$O$104,15,0)),0,VLOOKUP($S$748,'TAR FIN'!$A$1:$O$104,15,0))</f>
        <v>0</v>
      </c>
      <c r="W748" s="6">
        <f>IF(ISERROR(VLOOKUP($T$748,'TAR FIN'!$A$1:$O$104,15,0)),0,VLOOKUP($T$748,'TAR FIN'!$A$1:$O$104,15,0))</f>
        <v>62.57</v>
      </c>
      <c r="X748" s="6">
        <f>IF(ISERROR(VLOOKUP($U$748,'TAR FIN'!$A$1:$O$104,15,0)),0,VLOOKUP($U$748,'TAR FIN'!$A$1:$O$104,15,0))</f>
        <v>242.82</v>
      </c>
      <c r="Y748" s="6"/>
      <c r="Z748" s="6">
        <f ca="1">('TUSD BE'!$AM$26+'TUSD BF'!$AM$26+'TUSD CVA'!$AM$26)*1</f>
        <v>77.876201961015255</v>
      </c>
      <c r="AA748" s="6">
        <f>('TE BE'!$AB$8+'TE BF'!$AB$8+'TE CVA'!$AB$8)*1</f>
        <v>231.76257384332172</v>
      </c>
      <c r="AB748" s="6">
        <f>$K$748*$V$748</f>
        <v>0</v>
      </c>
      <c r="AC748" s="6">
        <f>$M$748*$W$748</f>
        <v>660618.62760999997</v>
      </c>
      <c r="AD748" s="6">
        <f>$O$748*$X$748</f>
        <v>2563711.2858600002</v>
      </c>
      <c r="AE748" s="6">
        <f>$K$748*$Y$748</f>
        <v>0</v>
      </c>
      <c r="AF748" s="6">
        <f ca="1">$M$748*$Z$748</f>
        <v>822222.6252671422</v>
      </c>
      <c r="AG748" s="6">
        <f>$O$748*$AA$748</f>
        <v>2446966.1733056814</v>
      </c>
    </row>
    <row r="749" spans="1:33" ht="11.25" customHeight="1" x14ac:dyDescent="0.25">
      <c r="A749" s="4" t="s">
        <v>28</v>
      </c>
      <c r="B749" s="4" t="s">
        <v>41</v>
      </c>
      <c r="C749" s="4" t="s">
        <v>42</v>
      </c>
      <c r="D749" s="4" t="s">
        <v>43</v>
      </c>
      <c r="E749" s="4" t="s">
        <v>25</v>
      </c>
      <c r="F749" s="4" t="s">
        <v>25</v>
      </c>
      <c r="G749" s="4" t="s">
        <v>25</v>
      </c>
      <c r="H749" s="4" t="s">
        <v>35</v>
      </c>
      <c r="I749" s="5">
        <v>44440</v>
      </c>
      <c r="J749" s="6">
        <v>0</v>
      </c>
      <c r="K749" s="6">
        <v>0</v>
      </c>
      <c r="L749" s="6">
        <v>444.69600000000003</v>
      </c>
      <c r="M749" s="6">
        <v>444.69600000000003</v>
      </c>
      <c r="N749" s="6">
        <v>444.69600000000003</v>
      </c>
      <c r="O749" s="6">
        <v>444.69600000000003</v>
      </c>
      <c r="P749" s="6">
        <v>0</v>
      </c>
      <c r="Q749" s="4" t="s">
        <v>26</v>
      </c>
      <c r="R749" s="4">
        <v>0</v>
      </c>
      <c r="S749" s="6">
        <v>0</v>
      </c>
      <c r="T749" s="6">
        <v>44</v>
      </c>
      <c r="U749" s="6">
        <v>67</v>
      </c>
      <c r="V749" s="6">
        <f>IF(ISERROR(VLOOKUP($S$749,'TAR FIN'!$A$1:$O$104,15,0)),0,VLOOKUP($S$749,'TAR FIN'!$A$1:$O$104,15,0))</f>
        <v>0</v>
      </c>
      <c r="W749" s="6">
        <f>IF(ISERROR(VLOOKUP($T$749,'TAR FIN'!$A$1:$O$104,15,0)),0,VLOOKUP($T$749,'TAR FIN'!$A$1:$O$104,15,0))</f>
        <v>62.57</v>
      </c>
      <c r="X749" s="6">
        <f>IF(ISERROR(VLOOKUP($U$749,'TAR FIN'!$A$1:$O$104,15,0)),0,VLOOKUP($U$749,'TAR FIN'!$A$1:$O$104,15,0))</f>
        <v>242.82</v>
      </c>
      <c r="Y749" s="6"/>
      <c r="Z749" s="6">
        <f ca="1">('TUSD BE'!$AM$26+'TUSD BF'!$AM$26+'TUSD CVA'!$AM$26)*1</f>
        <v>77.876201961015255</v>
      </c>
      <c r="AA749" s="6">
        <f>('TE BE'!$AB$8+'TE BF'!$AB$8+'TE CVA'!$AB$8)*1</f>
        <v>231.76257384332172</v>
      </c>
      <c r="AB749" s="6">
        <f>$K$749*$V$749</f>
        <v>0</v>
      </c>
      <c r="AC749" s="6">
        <f>$M$749*$W$749</f>
        <v>27824.628720000001</v>
      </c>
      <c r="AD749" s="6">
        <f>$O$749*$X$749</f>
        <v>107981.08272000001</v>
      </c>
      <c r="AE749" s="6">
        <f>$K$749*$Y$749</f>
        <v>0</v>
      </c>
      <c r="AF749" s="6">
        <f ca="1">$M$749*$Z$749</f>
        <v>34631.235507255638</v>
      </c>
      <c r="AG749" s="6">
        <f>$O$749*$AA$749</f>
        <v>103063.8895378298</v>
      </c>
    </row>
    <row r="750" spans="1:33" ht="11.25" customHeight="1" x14ac:dyDescent="0.25">
      <c r="A750" s="4" t="s">
        <v>28</v>
      </c>
      <c r="B750" s="4" t="s">
        <v>41</v>
      </c>
      <c r="C750" s="4" t="s">
        <v>42</v>
      </c>
      <c r="D750" s="4" t="s">
        <v>43</v>
      </c>
      <c r="E750" s="4" t="s">
        <v>25</v>
      </c>
      <c r="F750" s="4" t="s">
        <v>25</v>
      </c>
      <c r="G750" s="4" t="s">
        <v>25</v>
      </c>
      <c r="H750" s="4" t="s">
        <v>35</v>
      </c>
      <c r="I750" s="5">
        <v>44440</v>
      </c>
      <c r="J750" s="6">
        <v>0</v>
      </c>
      <c r="K750" s="6">
        <v>0</v>
      </c>
      <c r="L750" s="6">
        <v>0.54200000000000004</v>
      </c>
      <c r="M750" s="6">
        <v>0.54200000000000004</v>
      </c>
      <c r="N750" s="6">
        <v>0.54200000000000004</v>
      </c>
      <c r="O750" s="6">
        <v>0.54200000000000004</v>
      </c>
      <c r="P750" s="6">
        <v>0</v>
      </c>
      <c r="Q750" s="4" t="s">
        <v>26</v>
      </c>
      <c r="R750" s="4">
        <v>0</v>
      </c>
      <c r="S750" s="6">
        <v>0</v>
      </c>
      <c r="T750" s="6">
        <v>44</v>
      </c>
      <c r="U750" s="6">
        <v>67</v>
      </c>
      <c r="V750" s="6">
        <f>IF(ISERROR(VLOOKUP($S$750,'TAR FIN'!$A$1:$O$104,15,0)),0,VLOOKUP($S$750,'TAR FIN'!$A$1:$O$104,15,0))</f>
        <v>0</v>
      </c>
      <c r="W750" s="6">
        <f>IF(ISERROR(VLOOKUP($T$750,'TAR FIN'!$A$1:$O$104,15,0)),0,VLOOKUP($T$750,'TAR FIN'!$A$1:$O$104,15,0))</f>
        <v>62.57</v>
      </c>
      <c r="X750" s="6">
        <f>IF(ISERROR(VLOOKUP($U$750,'TAR FIN'!$A$1:$O$104,15,0)),0,VLOOKUP($U$750,'TAR FIN'!$A$1:$O$104,15,0))</f>
        <v>242.82</v>
      </c>
      <c r="Y750" s="6"/>
      <c r="Z750" s="6">
        <f ca="1">('TUSD BE'!$AM$26+'TUSD BF'!$AM$26+'TUSD CVA'!$AM$26)*1</f>
        <v>77.876201961015255</v>
      </c>
      <c r="AA750" s="6">
        <f>('TE BE'!$AB$8+'TE BF'!$AB$8+'TE CVA'!$AB$8)*1</f>
        <v>231.76257384332172</v>
      </c>
      <c r="AB750" s="6">
        <f>$K$750*$V$750</f>
        <v>0</v>
      </c>
      <c r="AC750" s="6">
        <f>$M$750*$W$750</f>
        <v>33.912939999999999</v>
      </c>
      <c r="AD750" s="6">
        <f>$O$750*$X$750</f>
        <v>131.60844</v>
      </c>
      <c r="AE750" s="6">
        <f>$K$750*$Y$750</f>
        <v>0</v>
      </c>
      <c r="AF750" s="6">
        <f ca="1">$M$750*$Z$750</f>
        <v>42.208901462870273</v>
      </c>
      <c r="AG750" s="6">
        <f>$O$750*$AA$750</f>
        <v>125.61531502308038</v>
      </c>
    </row>
    <row r="751" spans="1:33" ht="11.25" customHeight="1" x14ac:dyDescent="0.25">
      <c r="A751" s="4" t="s">
        <v>21</v>
      </c>
      <c r="B751" s="4" t="s">
        <v>41</v>
      </c>
      <c r="C751" s="4" t="s">
        <v>42</v>
      </c>
      <c r="D751" s="4" t="s">
        <v>43</v>
      </c>
      <c r="E751" s="4" t="s">
        <v>25</v>
      </c>
      <c r="F751" s="4" t="s">
        <v>25</v>
      </c>
      <c r="G751" s="4" t="s">
        <v>25</v>
      </c>
      <c r="H751" s="4" t="s">
        <v>35</v>
      </c>
      <c r="I751" s="5">
        <v>44440</v>
      </c>
      <c r="J751" s="6">
        <v>0</v>
      </c>
      <c r="K751" s="6">
        <v>0</v>
      </c>
      <c r="L751" s="6">
        <v>36.709000000000003</v>
      </c>
      <c r="M751" s="6">
        <v>36.709000000000003</v>
      </c>
      <c r="N751" s="6">
        <v>0</v>
      </c>
      <c r="O751" s="6">
        <v>0</v>
      </c>
      <c r="P751" s="6">
        <v>0</v>
      </c>
      <c r="Q751" s="4" t="s">
        <v>58</v>
      </c>
      <c r="R751" s="4">
        <v>0</v>
      </c>
      <c r="S751" s="6">
        <v>0</v>
      </c>
      <c r="T751" s="6">
        <v>44</v>
      </c>
      <c r="U751" s="6">
        <v>0</v>
      </c>
      <c r="V751" s="6">
        <f>IF(ISERROR(VLOOKUP($S$751,'TAR FIN'!$A$1:$O$104,15,0)),0,VLOOKUP($S$751,'TAR FIN'!$A$1:$O$104,15,0))</f>
        <v>0</v>
      </c>
      <c r="W751" s="6">
        <f>IF(ISERROR(VLOOKUP($T$751,'TAR FIN'!$A$1:$O$104,15,0)),0,VLOOKUP($T$751,'TAR FIN'!$A$1:$O$104,15,0))</f>
        <v>62.57</v>
      </c>
      <c r="X751" s="6">
        <f>IF(ISERROR(VLOOKUP($U$751,'TAR FIN'!$A$1:$O$104,15,0)),0,VLOOKUP($U$751,'TAR FIN'!$A$1:$O$104,15,0))</f>
        <v>0</v>
      </c>
      <c r="Y751" s="6"/>
      <c r="Z751" s="6">
        <f ca="1">('TUSD BE'!$AM$26+'TUSD BF'!$AM$26+'TUSD CVA'!$AM$26)*1</f>
        <v>77.876201961015255</v>
      </c>
      <c r="AA751" s="6"/>
      <c r="AB751" s="6">
        <f>$K$751*$V$751</f>
        <v>0</v>
      </c>
      <c r="AC751" s="6">
        <f>$M$751*$W$751</f>
        <v>2296.8821300000004</v>
      </c>
      <c r="AD751" s="6">
        <f>$O$751*$X$751</f>
        <v>0</v>
      </c>
      <c r="AE751" s="6">
        <f>$K$751*$Y$751</f>
        <v>0</v>
      </c>
      <c r="AF751" s="6">
        <f ca="1">$M$751*$Z$751</f>
        <v>2858.7574977869094</v>
      </c>
      <c r="AG751" s="6">
        <f>$O$751*$AA$751</f>
        <v>0</v>
      </c>
    </row>
    <row r="752" spans="1:33" ht="11.25" customHeight="1" x14ac:dyDescent="0.25">
      <c r="A752" s="4" t="s">
        <v>21</v>
      </c>
      <c r="B752" s="4" t="s">
        <v>41</v>
      </c>
      <c r="C752" s="4" t="s">
        <v>42</v>
      </c>
      <c r="D752" s="4" t="s">
        <v>43</v>
      </c>
      <c r="E752" s="4" t="s">
        <v>25</v>
      </c>
      <c r="F752" s="4" t="s">
        <v>25</v>
      </c>
      <c r="G752" s="4" t="s">
        <v>25</v>
      </c>
      <c r="H752" s="4" t="s">
        <v>35</v>
      </c>
      <c r="I752" s="5">
        <v>44470</v>
      </c>
      <c r="J752" s="6">
        <v>0</v>
      </c>
      <c r="K752" s="6">
        <v>0</v>
      </c>
      <c r="L752" s="6">
        <v>11646.715</v>
      </c>
      <c r="M752" s="6">
        <v>11646.715</v>
      </c>
      <c r="N752" s="6">
        <v>11646.715</v>
      </c>
      <c r="O752" s="6">
        <v>11646.715</v>
      </c>
      <c r="P752" s="6">
        <v>0</v>
      </c>
      <c r="Q752" s="4" t="s">
        <v>26</v>
      </c>
      <c r="R752" s="4">
        <v>0</v>
      </c>
      <c r="S752" s="6">
        <v>0</v>
      </c>
      <c r="T752" s="6">
        <v>44</v>
      </c>
      <c r="U752" s="6">
        <v>67</v>
      </c>
      <c r="V752" s="6">
        <f>IF(ISERROR(VLOOKUP($S$752,'TAR FIN'!$A$1:$O$104,15,0)),0,VLOOKUP($S$752,'TAR FIN'!$A$1:$O$104,15,0))</f>
        <v>0</v>
      </c>
      <c r="W752" s="6">
        <f>IF(ISERROR(VLOOKUP($T$752,'TAR FIN'!$A$1:$O$104,15,0)),0,VLOOKUP($T$752,'TAR FIN'!$A$1:$O$104,15,0))</f>
        <v>62.57</v>
      </c>
      <c r="X752" s="6">
        <f>IF(ISERROR(VLOOKUP($U$752,'TAR FIN'!$A$1:$O$104,15,0)),0,VLOOKUP($U$752,'TAR FIN'!$A$1:$O$104,15,0))</f>
        <v>242.82</v>
      </c>
      <c r="Y752" s="6"/>
      <c r="Z752" s="6">
        <f ca="1">('TUSD BE'!$AM$26+'TUSD BF'!$AM$26+'TUSD CVA'!$AM$26)*1</f>
        <v>77.876201961015255</v>
      </c>
      <c r="AA752" s="6">
        <f>('TE BE'!$AB$8+'TE BF'!$AB$8+'TE CVA'!$AB$8)*1</f>
        <v>231.76257384332172</v>
      </c>
      <c r="AB752" s="6">
        <f>$K$752*$V$752</f>
        <v>0</v>
      </c>
      <c r="AC752" s="6">
        <f>$M$752*$W$752</f>
        <v>728734.95755000005</v>
      </c>
      <c r="AD752" s="6">
        <f>$O$752*$X$752</f>
        <v>2828055.3363000001</v>
      </c>
      <c r="AE752" s="6">
        <f>$K$752*$Y$752</f>
        <v>0</v>
      </c>
      <c r="AF752" s="6">
        <f ca="1">$M$752*$Z$752</f>
        <v>907001.92952238582</v>
      </c>
      <c r="AG752" s="6">
        <f>$O$752*$AA$752</f>
        <v>2699272.6452196226</v>
      </c>
    </row>
    <row r="753" spans="1:33" ht="11.25" customHeight="1" x14ac:dyDescent="0.25">
      <c r="A753" s="4" t="s">
        <v>27</v>
      </c>
      <c r="B753" s="4" t="s">
        <v>41</v>
      </c>
      <c r="C753" s="4" t="s">
        <v>42</v>
      </c>
      <c r="D753" s="4" t="s">
        <v>43</v>
      </c>
      <c r="E753" s="4" t="s">
        <v>25</v>
      </c>
      <c r="F753" s="4" t="s">
        <v>25</v>
      </c>
      <c r="G753" s="4" t="s">
        <v>25</v>
      </c>
      <c r="H753" s="4" t="s">
        <v>35</v>
      </c>
      <c r="I753" s="5">
        <v>44470</v>
      </c>
      <c r="J753" s="6">
        <v>0</v>
      </c>
      <c r="K753" s="6">
        <v>0</v>
      </c>
      <c r="L753" s="6">
        <v>-25.53</v>
      </c>
      <c r="M753" s="6">
        <v>-25.53</v>
      </c>
      <c r="N753" s="6">
        <v>-25.53</v>
      </c>
      <c r="O753" s="6">
        <v>-25.53</v>
      </c>
      <c r="P753" s="6">
        <v>0</v>
      </c>
      <c r="Q753" s="4" t="s">
        <v>26</v>
      </c>
      <c r="R753" s="4">
        <v>0</v>
      </c>
      <c r="S753" s="6">
        <v>0</v>
      </c>
      <c r="T753" s="6">
        <v>44</v>
      </c>
      <c r="U753" s="6">
        <v>67</v>
      </c>
      <c r="V753" s="6">
        <f>IF(ISERROR(VLOOKUP($S$753,'TAR FIN'!$A$1:$O$104,15,0)),0,VLOOKUP($S$753,'TAR FIN'!$A$1:$O$104,15,0))</f>
        <v>0</v>
      </c>
      <c r="W753" s="6">
        <f>IF(ISERROR(VLOOKUP($T$753,'TAR FIN'!$A$1:$O$104,15,0)),0,VLOOKUP($T$753,'TAR FIN'!$A$1:$O$104,15,0))</f>
        <v>62.57</v>
      </c>
      <c r="X753" s="6">
        <f>IF(ISERROR(VLOOKUP($U$753,'TAR FIN'!$A$1:$O$104,15,0)),0,VLOOKUP($U$753,'TAR FIN'!$A$1:$O$104,15,0))</f>
        <v>242.82</v>
      </c>
      <c r="Y753" s="6"/>
      <c r="Z753" s="6">
        <f ca="1">('TUSD BE'!$AM$26+'TUSD BF'!$AM$26+'TUSD CVA'!$AM$26)*1</f>
        <v>77.876201961015255</v>
      </c>
      <c r="AA753" s="6">
        <f>('TE BE'!$AB$8+'TE BF'!$AB$8+'TE CVA'!$AB$8)*1</f>
        <v>231.76257384332172</v>
      </c>
      <c r="AB753" s="6">
        <f>$K$753*$V$753</f>
        <v>0</v>
      </c>
      <c r="AC753" s="6">
        <f>$M$753*$W$753</f>
        <v>-1597.4121</v>
      </c>
      <c r="AD753" s="6">
        <f>$O$753*$X$753</f>
        <v>-6199.1945999999998</v>
      </c>
      <c r="AE753" s="6">
        <f>$K$753*$Y$753</f>
        <v>0</v>
      </c>
      <c r="AF753" s="6">
        <f ca="1">$M$753*$Z$753</f>
        <v>-1988.1794360647195</v>
      </c>
      <c r="AG753" s="6">
        <f>$O$753*$AA$753</f>
        <v>-5916.898510220004</v>
      </c>
    </row>
    <row r="754" spans="1:33" ht="11.25" customHeight="1" x14ac:dyDescent="0.25">
      <c r="A754" s="4" t="s">
        <v>28</v>
      </c>
      <c r="B754" s="4" t="s">
        <v>41</v>
      </c>
      <c r="C754" s="4" t="s">
        <v>42</v>
      </c>
      <c r="D754" s="4" t="s">
        <v>43</v>
      </c>
      <c r="E754" s="4" t="s">
        <v>25</v>
      </c>
      <c r="F754" s="4" t="s">
        <v>25</v>
      </c>
      <c r="G754" s="4" t="s">
        <v>25</v>
      </c>
      <c r="H754" s="4" t="s">
        <v>35</v>
      </c>
      <c r="I754" s="5">
        <v>44470</v>
      </c>
      <c r="J754" s="6">
        <v>0</v>
      </c>
      <c r="K754" s="6">
        <v>0</v>
      </c>
      <c r="L754" s="6">
        <v>632.53599999999994</v>
      </c>
      <c r="M754" s="6">
        <v>632.53599999999994</v>
      </c>
      <c r="N754" s="6">
        <v>632.53599999999994</v>
      </c>
      <c r="O754" s="6">
        <v>632.53599999999994</v>
      </c>
      <c r="P754" s="6">
        <v>0</v>
      </c>
      <c r="Q754" s="4" t="s">
        <v>26</v>
      </c>
      <c r="R754" s="4">
        <v>0</v>
      </c>
      <c r="S754" s="6">
        <v>0</v>
      </c>
      <c r="T754" s="6">
        <v>44</v>
      </c>
      <c r="U754" s="6">
        <v>67</v>
      </c>
      <c r="V754" s="6">
        <f>IF(ISERROR(VLOOKUP($S$754,'TAR FIN'!$A$1:$O$104,15,0)),0,VLOOKUP($S$754,'TAR FIN'!$A$1:$O$104,15,0))</f>
        <v>0</v>
      </c>
      <c r="W754" s="6">
        <f>IF(ISERROR(VLOOKUP($T$754,'TAR FIN'!$A$1:$O$104,15,0)),0,VLOOKUP($T$754,'TAR FIN'!$A$1:$O$104,15,0))</f>
        <v>62.57</v>
      </c>
      <c r="X754" s="6">
        <f>IF(ISERROR(VLOOKUP($U$754,'TAR FIN'!$A$1:$O$104,15,0)),0,VLOOKUP($U$754,'TAR FIN'!$A$1:$O$104,15,0))</f>
        <v>242.82</v>
      </c>
      <c r="Y754" s="6"/>
      <c r="Z754" s="6">
        <f ca="1">('TUSD BE'!$AM$26+'TUSD BF'!$AM$26+'TUSD CVA'!$AM$26)*1</f>
        <v>77.876201961015255</v>
      </c>
      <c r="AA754" s="6">
        <f>('TE BE'!$AB$8+'TE BF'!$AB$8+'TE CVA'!$AB$8)*1</f>
        <v>231.76257384332172</v>
      </c>
      <c r="AB754" s="6">
        <f>$K$754*$V$754</f>
        <v>0</v>
      </c>
      <c r="AC754" s="6">
        <f>$M$754*$W$754</f>
        <v>39577.777519999996</v>
      </c>
      <c r="AD754" s="6">
        <f>$O$754*$X$754</f>
        <v>153592.39151999998</v>
      </c>
      <c r="AE754" s="6">
        <f>$K$754*$Y$754</f>
        <v>0</v>
      </c>
      <c r="AF754" s="6">
        <f ca="1">$M$754*$Z$754</f>
        <v>49259.501283612743</v>
      </c>
      <c r="AG754" s="6">
        <f>$O$754*$AA$754</f>
        <v>146598.17140855934</v>
      </c>
    </row>
    <row r="755" spans="1:33" ht="11.25" customHeight="1" x14ac:dyDescent="0.25">
      <c r="A755" s="4" t="s">
        <v>21</v>
      </c>
      <c r="B755" s="4" t="s">
        <v>41</v>
      </c>
      <c r="C755" s="4" t="s">
        <v>42</v>
      </c>
      <c r="D755" s="4" t="s">
        <v>43</v>
      </c>
      <c r="E755" s="4" t="s">
        <v>25</v>
      </c>
      <c r="F755" s="4" t="s">
        <v>25</v>
      </c>
      <c r="G755" s="4" t="s">
        <v>25</v>
      </c>
      <c r="H755" s="4" t="s">
        <v>35</v>
      </c>
      <c r="I755" s="5">
        <v>44470</v>
      </c>
      <c r="J755" s="6">
        <v>0</v>
      </c>
      <c r="K755" s="6">
        <v>0</v>
      </c>
      <c r="L755" s="6">
        <v>26.274000000000001</v>
      </c>
      <c r="M755" s="6">
        <v>26.274000000000001</v>
      </c>
      <c r="N755" s="6">
        <v>0</v>
      </c>
      <c r="O755" s="6">
        <v>0</v>
      </c>
      <c r="P755" s="6">
        <v>0</v>
      </c>
      <c r="Q755" s="4" t="s">
        <v>58</v>
      </c>
      <c r="R755" s="4">
        <v>0</v>
      </c>
      <c r="S755" s="6">
        <v>0</v>
      </c>
      <c r="T755" s="6">
        <v>44</v>
      </c>
      <c r="U755" s="6">
        <v>0</v>
      </c>
      <c r="V755" s="6">
        <f>IF(ISERROR(VLOOKUP($S$755,'TAR FIN'!$A$1:$O$104,15,0)),0,VLOOKUP($S$755,'TAR FIN'!$A$1:$O$104,15,0))</f>
        <v>0</v>
      </c>
      <c r="W755" s="6">
        <f>IF(ISERROR(VLOOKUP($T$755,'TAR FIN'!$A$1:$O$104,15,0)),0,VLOOKUP($T$755,'TAR FIN'!$A$1:$O$104,15,0))</f>
        <v>62.57</v>
      </c>
      <c r="X755" s="6">
        <f>IF(ISERROR(VLOOKUP($U$755,'TAR FIN'!$A$1:$O$104,15,0)),0,VLOOKUP($U$755,'TAR FIN'!$A$1:$O$104,15,0))</f>
        <v>0</v>
      </c>
      <c r="Y755" s="6"/>
      <c r="Z755" s="6">
        <f ca="1">('TUSD BE'!$AM$26+'TUSD BF'!$AM$26+'TUSD CVA'!$AM$26)*1</f>
        <v>77.876201961015255</v>
      </c>
      <c r="AA755" s="6"/>
      <c r="AB755" s="6">
        <f>$K$755*$V$755</f>
        <v>0</v>
      </c>
      <c r="AC755" s="6">
        <f>$M$755*$W$755</f>
        <v>1643.9641800000002</v>
      </c>
      <c r="AD755" s="6">
        <f>$O$755*$X$755</f>
        <v>0</v>
      </c>
      <c r="AE755" s="6">
        <f>$K$755*$Y$755</f>
        <v>0</v>
      </c>
      <c r="AF755" s="6">
        <f ca="1">$M$755*$Z$755</f>
        <v>2046.1193303237148</v>
      </c>
      <c r="AG755" s="6">
        <f>$O$755*$AA$755</f>
        <v>0</v>
      </c>
    </row>
    <row r="756" spans="1:33" ht="11.25" customHeight="1" x14ac:dyDescent="0.25">
      <c r="A756" s="4" t="s">
        <v>21</v>
      </c>
      <c r="B756" s="4" t="s">
        <v>41</v>
      </c>
      <c r="C756" s="4" t="s">
        <v>42</v>
      </c>
      <c r="D756" s="4" t="s">
        <v>43</v>
      </c>
      <c r="E756" s="4" t="s">
        <v>25</v>
      </c>
      <c r="F756" s="4" t="s">
        <v>25</v>
      </c>
      <c r="G756" s="4" t="s">
        <v>25</v>
      </c>
      <c r="H756" s="4" t="s">
        <v>35</v>
      </c>
      <c r="I756" s="5">
        <v>44501</v>
      </c>
      <c r="J756" s="6">
        <v>0</v>
      </c>
      <c r="K756" s="6">
        <v>0</v>
      </c>
      <c r="L756" s="6">
        <v>11792.344999999999</v>
      </c>
      <c r="M756" s="6">
        <v>11792.344999999999</v>
      </c>
      <c r="N756" s="6">
        <v>11792.344999999999</v>
      </c>
      <c r="O756" s="6">
        <v>11792.344999999999</v>
      </c>
      <c r="P756" s="6">
        <v>0</v>
      </c>
      <c r="Q756" s="4" t="s">
        <v>26</v>
      </c>
      <c r="R756" s="4">
        <v>0</v>
      </c>
      <c r="S756" s="6">
        <v>0</v>
      </c>
      <c r="T756" s="6">
        <v>44</v>
      </c>
      <c r="U756" s="6">
        <v>67</v>
      </c>
      <c r="V756" s="6">
        <f>IF(ISERROR(VLOOKUP($S$756,'TAR FIN'!$A$1:$O$104,15,0)),0,VLOOKUP($S$756,'TAR FIN'!$A$1:$O$104,15,0))</f>
        <v>0</v>
      </c>
      <c r="W756" s="6">
        <f>IF(ISERROR(VLOOKUP($T$756,'TAR FIN'!$A$1:$O$104,15,0)),0,VLOOKUP($T$756,'TAR FIN'!$A$1:$O$104,15,0))</f>
        <v>62.57</v>
      </c>
      <c r="X756" s="6">
        <f>IF(ISERROR(VLOOKUP($U$756,'TAR FIN'!$A$1:$O$104,15,0)),0,VLOOKUP($U$756,'TAR FIN'!$A$1:$O$104,15,0))</f>
        <v>242.82</v>
      </c>
      <c r="Y756" s="6"/>
      <c r="Z756" s="6">
        <f ca="1">('TUSD BE'!$AM$26+'TUSD BF'!$AM$26+'TUSD CVA'!$AM$26)*1</f>
        <v>77.876201961015255</v>
      </c>
      <c r="AA756" s="6">
        <f>('TE BE'!$AB$8+'TE BF'!$AB$8+'TE CVA'!$AB$8)*1</f>
        <v>231.76257384332172</v>
      </c>
      <c r="AB756" s="6">
        <f>$K$756*$V$756</f>
        <v>0</v>
      </c>
      <c r="AC756" s="6">
        <f>$M$756*$W$756</f>
        <v>737847.02665000001</v>
      </c>
      <c r="AD756" s="6">
        <f>$O$756*$X$756</f>
        <v>2863417.2128999997</v>
      </c>
      <c r="AE756" s="6">
        <f>$K$756*$Y$756</f>
        <v>0</v>
      </c>
      <c r="AF756" s="6">
        <f ca="1">$M$756*$Z$756</f>
        <v>918343.0408139684</v>
      </c>
      <c r="AG756" s="6">
        <f>$O$756*$AA$756</f>
        <v>2733024.2288484257</v>
      </c>
    </row>
    <row r="757" spans="1:33" ht="11.25" customHeight="1" x14ac:dyDescent="0.25">
      <c r="A757" s="4" t="s">
        <v>27</v>
      </c>
      <c r="B757" s="4" t="s">
        <v>41</v>
      </c>
      <c r="C757" s="4" t="s">
        <v>42</v>
      </c>
      <c r="D757" s="4" t="s">
        <v>43</v>
      </c>
      <c r="E757" s="4" t="s">
        <v>25</v>
      </c>
      <c r="F757" s="4" t="s">
        <v>25</v>
      </c>
      <c r="G757" s="4" t="s">
        <v>25</v>
      </c>
      <c r="H757" s="4" t="s">
        <v>35</v>
      </c>
      <c r="I757" s="5">
        <v>44501</v>
      </c>
      <c r="J757" s="6">
        <v>0</v>
      </c>
      <c r="K757" s="6">
        <v>0</v>
      </c>
      <c r="L757" s="6">
        <v>-127.76600000000001</v>
      </c>
      <c r="M757" s="6">
        <v>-127.76600000000001</v>
      </c>
      <c r="N757" s="6">
        <v>-127.76600000000001</v>
      </c>
      <c r="O757" s="6">
        <v>-127.76600000000001</v>
      </c>
      <c r="P757" s="6">
        <v>0</v>
      </c>
      <c r="Q757" s="4" t="s">
        <v>26</v>
      </c>
      <c r="R757" s="4">
        <v>0</v>
      </c>
      <c r="S757" s="6">
        <v>0</v>
      </c>
      <c r="T757" s="6">
        <v>44</v>
      </c>
      <c r="U757" s="6">
        <v>67</v>
      </c>
      <c r="V757" s="6">
        <f>IF(ISERROR(VLOOKUP($S$757,'TAR FIN'!$A$1:$O$104,15,0)),0,VLOOKUP($S$757,'TAR FIN'!$A$1:$O$104,15,0))</f>
        <v>0</v>
      </c>
      <c r="W757" s="6">
        <f>IF(ISERROR(VLOOKUP($T$757,'TAR FIN'!$A$1:$O$104,15,0)),0,VLOOKUP($T$757,'TAR FIN'!$A$1:$O$104,15,0))</f>
        <v>62.57</v>
      </c>
      <c r="X757" s="6">
        <f>IF(ISERROR(VLOOKUP($U$757,'TAR FIN'!$A$1:$O$104,15,0)),0,VLOOKUP($U$757,'TAR FIN'!$A$1:$O$104,15,0))</f>
        <v>242.82</v>
      </c>
      <c r="Y757" s="6"/>
      <c r="Z757" s="6">
        <f ca="1">('TUSD BE'!$AM$26+'TUSD BF'!$AM$26+'TUSD CVA'!$AM$26)*1</f>
        <v>77.876201961015255</v>
      </c>
      <c r="AA757" s="6">
        <f>('TE BE'!$AB$8+'TE BF'!$AB$8+'TE CVA'!$AB$8)*1</f>
        <v>231.76257384332172</v>
      </c>
      <c r="AB757" s="6">
        <f>$K$757*$V$757</f>
        <v>0</v>
      </c>
      <c r="AC757" s="6">
        <f>$M$757*$W$757</f>
        <v>-7994.31862</v>
      </c>
      <c r="AD757" s="6">
        <f>$O$757*$X$757</f>
        <v>-31024.14012</v>
      </c>
      <c r="AE757" s="6">
        <f>$K$757*$Y$757</f>
        <v>0</v>
      </c>
      <c r="AF757" s="6">
        <f ca="1">$M$757*$Z$757</f>
        <v>-9949.9308197510763</v>
      </c>
      <c r="AG757" s="6">
        <f>$O$757*$AA$757</f>
        <v>-29611.377009665845</v>
      </c>
    </row>
    <row r="758" spans="1:33" ht="11.25" customHeight="1" x14ac:dyDescent="0.25">
      <c r="A758" s="4" t="s">
        <v>28</v>
      </c>
      <c r="B758" s="4" t="s">
        <v>41</v>
      </c>
      <c r="C758" s="4" t="s">
        <v>42</v>
      </c>
      <c r="D758" s="4" t="s">
        <v>43</v>
      </c>
      <c r="E758" s="4" t="s">
        <v>25</v>
      </c>
      <c r="F758" s="4" t="s">
        <v>25</v>
      </c>
      <c r="G758" s="4" t="s">
        <v>25</v>
      </c>
      <c r="H758" s="4" t="s">
        <v>35</v>
      </c>
      <c r="I758" s="5">
        <v>44501</v>
      </c>
      <c r="J758" s="6">
        <v>0</v>
      </c>
      <c r="K758" s="6">
        <v>0</v>
      </c>
      <c r="L758" s="6">
        <v>562.83000000000004</v>
      </c>
      <c r="M758" s="6">
        <v>562.83000000000004</v>
      </c>
      <c r="N758" s="6">
        <v>562.83000000000004</v>
      </c>
      <c r="O758" s="6">
        <v>562.83000000000004</v>
      </c>
      <c r="P758" s="6">
        <v>0</v>
      </c>
      <c r="Q758" s="4" t="s">
        <v>26</v>
      </c>
      <c r="R758" s="4">
        <v>0</v>
      </c>
      <c r="S758" s="6">
        <v>0</v>
      </c>
      <c r="T758" s="6">
        <v>44</v>
      </c>
      <c r="U758" s="6">
        <v>67</v>
      </c>
      <c r="V758" s="6">
        <f>IF(ISERROR(VLOOKUP($S$758,'TAR FIN'!$A$1:$O$104,15,0)),0,VLOOKUP($S$758,'TAR FIN'!$A$1:$O$104,15,0))</f>
        <v>0</v>
      </c>
      <c r="W758" s="6">
        <f>IF(ISERROR(VLOOKUP($T$758,'TAR FIN'!$A$1:$O$104,15,0)),0,VLOOKUP($T$758,'TAR FIN'!$A$1:$O$104,15,0))</f>
        <v>62.57</v>
      </c>
      <c r="X758" s="6">
        <f>IF(ISERROR(VLOOKUP($U$758,'TAR FIN'!$A$1:$O$104,15,0)),0,VLOOKUP($U$758,'TAR FIN'!$A$1:$O$104,15,0))</f>
        <v>242.82</v>
      </c>
      <c r="Y758" s="6"/>
      <c r="Z758" s="6">
        <f ca="1">('TUSD BE'!$AM$26+'TUSD BF'!$AM$26+'TUSD CVA'!$AM$26)*1</f>
        <v>77.876201961015255</v>
      </c>
      <c r="AA758" s="6">
        <f>('TE BE'!$AB$8+'TE BF'!$AB$8+'TE CVA'!$AB$8)*1</f>
        <v>231.76257384332172</v>
      </c>
      <c r="AB758" s="6">
        <f>$K$758*$V$758</f>
        <v>0</v>
      </c>
      <c r="AC758" s="6">
        <f>$M$758*$W$758</f>
        <v>35216.273100000006</v>
      </c>
      <c r="AD758" s="6">
        <f>$O$758*$X$758</f>
        <v>136666.3806</v>
      </c>
      <c r="AE758" s="6">
        <f>$K$758*$Y$758</f>
        <v>0</v>
      </c>
      <c r="AF758" s="6">
        <f ca="1">$M$758*$Z$758</f>
        <v>43831.062749718221</v>
      </c>
      <c r="AG758" s="6">
        <f>$O$758*$AA$758</f>
        <v>130442.92943623677</v>
      </c>
    </row>
    <row r="759" spans="1:33" ht="11.25" customHeight="1" x14ac:dyDescent="0.25">
      <c r="A759" s="4" t="s">
        <v>21</v>
      </c>
      <c r="B759" s="4" t="s">
        <v>41</v>
      </c>
      <c r="C759" s="4" t="s">
        <v>42</v>
      </c>
      <c r="D759" s="4" t="s">
        <v>43</v>
      </c>
      <c r="E759" s="4" t="s">
        <v>25</v>
      </c>
      <c r="F759" s="4" t="s">
        <v>25</v>
      </c>
      <c r="G759" s="4" t="s">
        <v>25</v>
      </c>
      <c r="H759" s="4" t="s">
        <v>35</v>
      </c>
      <c r="I759" s="5">
        <v>44501</v>
      </c>
      <c r="J759" s="6">
        <v>0</v>
      </c>
      <c r="K759" s="6">
        <v>0</v>
      </c>
      <c r="L759" s="6">
        <v>16.843</v>
      </c>
      <c r="M759" s="6">
        <v>16.843</v>
      </c>
      <c r="N759" s="6">
        <v>0</v>
      </c>
      <c r="O759" s="6">
        <v>0</v>
      </c>
      <c r="P759" s="6">
        <v>0</v>
      </c>
      <c r="Q759" s="4" t="s">
        <v>58</v>
      </c>
      <c r="R759" s="4">
        <v>0</v>
      </c>
      <c r="S759" s="6">
        <v>0</v>
      </c>
      <c r="T759" s="6">
        <v>44</v>
      </c>
      <c r="U759" s="6">
        <v>0</v>
      </c>
      <c r="V759" s="6">
        <f>IF(ISERROR(VLOOKUP($S$759,'TAR FIN'!$A$1:$O$104,15,0)),0,VLOOKUP($S$759,'TAR FIN'!$A$1:$O$104,15,0))</f>
        <v>0</v>
      </c>
      <c r="W759" s="6">
        <f>IF(ISERROR(VLOOKUP($T$759,'TAR FIN'!$A$1:$O$104,15,0)),0,VLOOKUP($T$759,'TAR FIN'!$A$1:$O$104,15,0))</f>
        <v>62.57</v>
      </c>
      <c r="X759" s="6">
        <f>IF(ISERROR(VLOOKUP($U$759,'TAR FIN'!$A$1:$O$104,15,0)),0,VLOOKUP($U$759,'TAR FIN'!$A$1:$O$104,15,0))</f>
        <v>0</v>
      </c>
      <c r="Y759" s="6"/>
      <c r="Z759" s="6">
        <f ca="1">('TUSD BE'!$AM$26+'TUSD BF'!$AM$26+'TUSD CVA'!$AM$26)*1</f>
        <v>77.876201961015255</v>
      </c>
      <c r="AA759" s="6"/>
      <c r="AB759" s="6">
        <f>$K$759*$V$759</f>
        <v>0</v>
      </c>
      <c r="AC759" s="6">
        <f>$M$759*$W$759</f>
        <v>1053.8665100000001</v>
      </c>
      <c r="AD759" s="6">
        <f>$O$759*$X$759</f>
        <v>0</v>
      </c>
      <c r="AE759" s="6">
        <f>$K$759*$Y$759</f>
        <v>0</v>
      </c>
      <c r="AF759" s="6">
        <f ca="1">$M$759*$Z$759</f>
        <v>1311.66886962938</v>
      </c>
      <c r="AG759" s="6">
        <f>$O$759*$AA$759</f>
        <v>0</v>
      </c>
    </row>
    <row r="760" spans="1:33" ht="11.25" customHeight="1" x14ac:dyDescent="0.25">
      <c r="A760" s="4" t="s">
        <v>21</v>
      </c>
      <c r="B760" s="4" t="s">
        <v>41</v>
      </c>
      <c r="C760" s="4" t="s">
        <v>42</v>
      </c>
      <c r="D760" s="4" t="s">
        <v>43</v>
      </c>
      <c r="E760" s="4" t="s">
        <v>25</v>
      </c>
      <c r="F760" s="4" t="s">
        <v>25</v>
      </c>
      <c r="G760" s="4" t="s">
        <v>25</v>
      </c>
      <c r="H760" s="4" t="s">
        <v>35</v>
      </c>
      <c r="I760" s="5">
        <v>44531</v>
      </c>
      <c r="J760" s="6">
        <v>0</v>
      </c>
      <c r="K760" s="6">
        <v>0</v>
      </c>
      <c r="L760" s="6">
        <v>12065.823</v>
      </c>
      <c r="M760" s="6">
        <v>12065.823</v>
      </c>
      <c r="N760" s="6">
        <v>12065.823</v>
      </c>
      <c r="O760" s="6">
        <v>12065.823</v>
      </c>
      <c r="P760" s="6">
        <v>0</v>
      </c>
      <c r="Q760" s="4" t="s">
        <v>26</v>
      </c>
      <c r="R760" s="4">
        <v>0</v>
      </c>
      <c r="S760" s="6">
        <v>0</v>
      </c>
      <c r="T760" s="6">
        <v>44</v>
      </c>
      <c r="U760" s="6">
        <v>67</v>
      </c>
      <c r="V760" s="6">
        <f>IF(ISERROR(VLOOKUP($S$760,'TAR FIN'!$A$1:$O$104,15,0)),0,VLOOKUP($S$760,'TAR FIN'!$A$1:$O$104,15,0))</f>
        <v>0</v>
      </c>
      <c r="W760" s="6">
        <f>IF(ISERROR(VLOOKUP($T$760,'TAR FIN'!$A$1:$O$104,15,0)),0,VLOOKUP($T$760,'TAR FIN'!$A$1:$O$104,15,0))</f>
        <v>62.57</v>
      </c>
      <c r="X760" s="6">
        <f>IF(ISERROR(VLOOKUP($U$760,'TAR FIN'!$A$1:$O$104,15,0)),0,VLOOKUP($U$760,'TAR FIN'!$A$1:$O$104,15,0))</f>
        <v>242.82</v>
      </c>
      <c r="Y760" s="6"/>
      <c r="Z760" s="6">
        <f ca="1">('TUSD BE'!$AM$26+'TUSD BF'!$AM$26+'TUSD CVA'!$AM$26)*1</f>
        <v>77.876201961015255</v>
      </c>
      <c r="AA760" s="6">
        <f>('TE BE'!$AB$8+'TE BF'!$AB$8+'TE CVA'!$AB$8)*1</f>
        <v>231.76257384332172</v>
      </c>
      <c r="AB760" s="6">
        <f>$K$760*$V$760</f>
        <v>0</v>
      </c>
      <c r="AC760" s="6">
        <f>$M$760*$W$760</f>
        <v>754958.54511000006</v>
      </c>
      <c r="AD760" s="6">
        <f>$O$760*$X$760</f>
        <v>2929823.1408600002</v>
      </c>
      <c r="AE760" s="6">
        <f>$K$760*$Y$760</f>
        <v>0</v>
      </c>
      <c r="AF760" s="6">
        <f ca="1">$M$760*$Z$760</f>
        <v>939640.46877386305</v>
      </c>
      <c r="AG760" s="6">
        <f>$O$760*$AA$760</f>
        <v>2796406.1940179495</v>
      </c>
    </row>
    <row r="761" spans="1:33" ht="11.25" customHeight="1" x14ac:dyDescent="0.25">
      <c r="A761" s="4" t="s">
        <v>27</v>
      </c>
      <c r="B761" s="4" t="s">
        <v>41</v>
      </c>
      <c r="C761" s="4" t="s">
        <v>42</v>
      </c>
      <c r="D761" s="4" t="s">
        <v>43</v>
      </c>
      <c r="E761" s="4" t="s">
        <v>25</v>
      </c>
      <c r="F761" s="4" t="s">
        <v>25</v>
      </c>
      <c r="G761" s="4" t="s">
        <v>25</v>
      </c>
      <c r="H761" s="4" t="s">
        <v>35</v>
      </c>
      <c r="I761" s="5">
        <v>44531</v>
      </c>
      <c r="J761" s="6">
        <v>0</v>
      </c>
      <c r="K761" s="6">
        <v>0</v>
      </c>
      <c r="L761" s="6">
        <v>-37.938000000000002</v>
      </c>
      <c r="M761" s="6">
        <v>-37.938000000000002</v>
      </c>
      <c r="N761" s="6">
        <v>-37.938000000000002</v>
      </c>
      <c r="O761" s="6">
        <v>-37.938000000000002</v>
      </c>
      <c r="P761" s="6">
        <v>0</v>
      </c>
      <c r="Q761" s="4" t="s">
        <v>26</v>
      </c>
      <c r="R761" s="4">
        <v>0</v>
      </c>
      <c r="S761" s="6">
        <v>0</v>
      </c>
      <c r="T761" s="6">
        <v>44</v>
      </c>
      <c r="U761" s="6">
        <v>67</v>
      </c>
      <c r="V761" s="6">
        <f>IF(ISERROR(VLOOKUP($S$761,'TAR FIN'!$A$1:$O$104,15,0)),0,VLOOKUP($S$761,'TAR FIN'!$A$1:$O$104,15,0))</f>
        <v>0</v>
      </c>
      <c r="W761" s="6">
        <f>IF(ISERROR(VLOOKUP($T$761,'TAR FIN'!$A$1:$O$104,15,0)),0,VLOOKUP($T$761,'TAR FIN'!$A$1:$O$104,15,0))</f>
        <v>62.57</v>
      </c>
      <c r="X761" s="6">
        <f>IF(ISERROR(VLOOKUP($U$761,'TAR FIN'!$A$1:$O$104,15,0)),0,VLOOKUP($U$761,'TAR FIN'!$A$1:$O$104,15,0))</f>
        <v>242.82</v>
      </c>
      <c r="Y761" s="6"/>
      <c r="Z761" s="6">
        <f ca="1">('TUSD BE'!$AM$26+'TUSD BF'!$AM$26+'TUSD CVA'!$AM$26)*1</f>
        <v>77.876201961015255</v>
      </c>
      <c r="AA761" s="6">
        <f>('TE BE'!$AB$8+'TE BF'!$AB$8+'TE CVA'!$AB$8)*1</f>
        <v>231.76257384332172</v>
      </c>
      <c r="AB761" s="6">
        <f>$K$761*$V$761</f>
        <v>0</v>
      </c>
      <c r="AC761" s="6">
        <f>$M$761*$W$761</f>
        <v>-2373.7806600000004</v>
      </c>
      <c r="AD761" s="6">
        <f>$O$761*$X$761</f>
        <v>-9212.105160000001</v>
      </c>
      <c r="AE761" s="6">
        <f>$K$761*$Y$761</f>
        <v>0</v>
      </c>
      <c r="AF761" s="6">
        <f ca="1">$M$761*$Z$761</f>
        <v>-2954.4673499969967</v>
      </c>
      <c r="AG761" s="6">
        <f>$O$761*$AA$761</f>
        <v>-8792.6085264679405</v>
      </c>
    </row>
    <row r="762" spans="1:33" ht="11.25" customHeight="1" x14ac:dyDescent="0.25">
      <c r="A762" s="4" t="s">
        <v>28</v>
      </c>
      <c r="B762" s="4" t="s">
        <v>41</v>
      </c>
      <c r="C762" s="4" t="s">
        <v>42</v>
      </c>
      <c r="D762" s="4" t="s">
        <v>43</v>
      </c>
      <c r="E762" s="4" t="s">
        <v>25</v>
      </c>
      <c r="F762" s="4" t="s">
        <v>25</v>
      </c>
      <c r="G762" s="4" t="s">
        <v>25</v>
      </c>
      <c r="H762" s="4" t="s">
        <v>35</v>
      </c>
      <c r="I762" s="5">
        <v>44531</v>
      </c>
      <c r="J762" s="6">
        <v>0</v>
      </c>
      <c r="K762" s="6">
        <v>0</v>
      </c>
      <c r="L762" s="6">
        <v>679.02800000000002</v>
      </c>
      <c r="M762" s="6">
        <v>679.02800000000002</v>
      </c>
      <c r="N762" s="6">
        <v>679.02800000000002</v>
      </c>
      <c r="O762" s="6">
        <v>679.02800000000002</v>
      </c>
      <c r="P762" s="6">
        <v>0</v>
      </c>
      <c r="Q762" s="4" t="s">
        <v>26</v>
      </c>
      <c r="R762" s="4">
        <v>0</v>
      </c>
      <c r="S762" s="6">
        <v>0</v>
      </c>
      <c r="T762" s="6">
        <v>44</v>
      </c>
      <c r="U762" s="6">
        <v>67</v>
      </c>
      <c r="V762" s="6">
        <f>IF(ISERROR(VLOOKUP($S$762,'TAR FIN'!$A$1:$O$104,15,0)),0,VLOOKUP($S$762,'TAR FIN'!$A$1:$O$104,15,0))</f>
        <v>0</v>
      </c>
      <c r="W762" s="6">
        <f>IF(ISERROR(VLOOKUP($T$762,'TAR FIN'!$A$1:$O$104,15,0)),0,VLOOKUP($T$762,'TAR FIN'!$A$1:$O$104,15,0))</f>
        <v>62.57</v>
      </c>
      <c r="X762" s="6">
        <f>IF(ISERROR(VLOOKUP($U$762,'TAR FIN'!$A$1:$O$104,15,0)),0,VLOOKUP($U$762,'TAR FIN'!$A$1:$O$104,15,0))</f>
        <v>242.82</v>
      </c>
      <c r="Y762" s="6"/>
      <c r="Z762" s="6">
        <f ca="1">('TUSD BE'!$AM$26+'TUSD BF'!$AM$26+'TUSD CVA'!$AM$26)*1</f>
        <v>77.876201961015255</v>
      </c>
      <c r="AA762" s="6">
        <f>('TE BE'!$AB$8+'TE BF'!$AB$8+'TE CVA'!$AB$8)*1</f>
        <v>231.76257384332172</v>
      </c>
      <c r="AB762" s="6">
        <f>$K$762*$V$762</f>
        <v>0</v>
      </c>
      <c r="AC762" s="6">
        <f>$M$762*$W$762</f>
        <v>42486.78196</v>
      </c>
      <c r="AD762" s="6">
        <f>$O$762*$X$762</f>
        <v>164881.57896000001</v>
      </c>
      <c r="AE762" s="6">
        <f>$K$762*$Y$762</f>
        <v>0</v>
      </c>
      <c r="AF762" s="6">
        <f ca="1">$M$762*$Z$762</f>
        <v>52880.12166518427</v>
      </c>
      <c r="AG762" s="6">
        <f>$O$762*$AA$762</f>
        <v>157373.27699168306</v>
      </c>
    </row>
    <row r="763" spans="1:33" ht="11.25" customHeight="1" x14ac:dyDescent="0.25">
      <c r="A763" s="4" t="s">
        <v>21</v>
      </c>
      <c r="B763" s="4" t="s">
        <v>41</v>
      </c>
      <c r="C763" s="4" t="s">
        <v>42</v>
      </c>
      <c r="D763" s="4" t="s">
        <v>43</v>
      </c>
      <c r="E763" s="4" t="s">
        <v>25</v>
      </c>
      <c r="F763" s="4" t="s">
        <v>25</v>
      </c>
      <c r="G763" s="4" t="s">
        <v>25</v>
      </c>
      <c r="H763" s="4" t="s">
        <v>35</v>
      </c>
      <c r="I763" s="5">
        <v>44531</v>
      </c>
      <c r="J763" s="6">
        <v>0</v>
      </c>
      <c r="K763" s="6">
        <v>0</v>
      </c>
      <c r="L763" s="6">
        <v>16.596</v>
      </c>
      <c r="M763" s="6">
        <v>16.596</v>
      </c>
      <c r="N763" s="6">
        <v>0</v>
      </c>
      <c r="O763" s="6">
        <v>0</v>
      </c>
      <c r="P763" s="6">
        <v>0</v>
      </c>
      <c r="Q763" s="4" t="s">
        <v>58</v>
      </c>
      <c r="R763" s="4">
        <v>0</v>
      </c>
      <c r="S763" s="6">
        <v>0</v>
      </c>
      <c r="T763" s="6">
        <v>44</v>
      </c>
      <c r="U763" s="6">
        <v>0</v>
      </c>
      <c r="V763" s="6">
        <f>IF(ISERROR(VLOOKUP($S$763,'TAR FIN'!$A$1:$O$104,15,0)),0,VLOOKUP($S$763,'TAR FIN'!$A$1:$O$104,15,0))</f>
        <v>0</v>
      </c>
      <c r="W763" s="6">
        <f>IF(ISERROR(VLOOKUP($T$763,'TAR FIN'!$A$1:$O$104,15,0)),0,VLOOKUP($T$763,'TAR FIN'!$A$1:$O$104,15,0))</f>
        <v>62.57</v>
      </c>
      <c r="X763" s="6">
        <f>IF(ISERROR(VLOOKUP($U$763,'TAR FIN'!$A$1:$O$104,15,0)),0,VLOOKUP($U$763,'TAR FIN'!$A$1:$O$104,15,0))</f>
        <v>0</v>
      </c>
      <c r="Y763" s="6"/>
      <c r="Z763" s="6">
        <f ca="1">('TUSD BE'!$AM$26+'TUSD BF'!$AM$26+'TUSD CVA'!$AM$26)*1</f>
        <v>77.876201961015255</v>
      </c>
      <c r="AA763" s="6"/>
      <c r="AB763" s="6">
        <f>$K$763*$V$763</f>
        <v>0</v>
      </c>
      <c r="AC763" s="6">
        <f>$M$763*$W$763</f>
        <v>1038.4117200000001</v>
      </c>
      <c r="AD763" s="6">
        <f>$O$763*$X$763</f>
        <v>0</v>
      </c>
      <c r="AE763" s="6">
        <f>$K$763*$Y$763</f>
        <v>0</v>
      </c>
      <c r="AF763" s="6">
        <f ca="1">$M$763*$Z$763</f>
        <v>1292.4334477450093</v>
      </c>
      <c r="AG763" s="6">
        <f>$O$763*$AA$763</f>
        <v>0</v>
      </c>
    </row>
    <row r="764" spans="1:33" ht="11.25" customHeight="1" x14ac:dyDescent="0.25">
      <c r="A764" s="4" t="s">
        <v>21</v>
      </c>
      <c r="B764" s="4" t="s">
        <v>41</v>
      </c>
      <c r="C764" s="4" t="s">
        <v>42</v>
      </c>
      <c r="D764" s="4" t="s">
        <v>43</v>
      </c>
      <c r="E764" s="4" t="s">
        <v>25</v>
      </c>
      <c r="F764" s="4" t="s">
        <v>25</v>
      </c>
      <c r="G764" s="4" t="s">
        <v>25</v>
      </c>
      <c r="H764" s="4" t="s">
        <v>35</v>
      </c>
      <c r="I764" s="5">
        <v>44562</v>
      </c>
      <c r="J764" s="6">
        <v>0</v>
      </c>
      <c r="K764" s="6">
        <v>0</v>
      </c>
      <c r="L764" s="6">
        <v>11556.489</v>
      </c>
      <c r="M764" s="6">
        <v>11556.489</v>
      </c>
      <c r="N764" s="6">
        <v>11556.489</v>
      </c>
      <c r="O764" s="6">
        <v>11556.489</v>
      </c>
      <c r="P764" s="6">
        <v>0</v>
      </c>
      <c r="Q764" s="4" t="s">
        <v>26</v>
      </c>
      <c r="R764" s="4">
        <v>0</v>
      </c>
      <c r="S764" s="6">
        <v>0</v>
      </c>
      <c r="T764" s="6">
        <v>44</v>
      </c>
      <c r="U764" s="6">
        <v>67</v>
      </c>
      <c r="V764" s="6">
        <f>IF(ISERROR(VLOOKUP($S$764,'TAR FIN'!$A$1:$O$104,15,0)),0,VLOOKUP($S$764,'TAR FIN'!$A$1:$O$104,15,0))</f>
        <v>0</v>
      </c>
      <c r="W764" s="6">
        <f>IF(ISERROR(VLOOKUP($T$764,'TAR FIN'!$A$1:$O$104,15,0)),0,VLOOKUP($T$764,'TAR FIN'!$A$1:$O$104,15,0))</f>
        <v>62.57</v>
      </c>
      <c r="X764" s="6">
        <f>IF(ISERROR(VLOOKUP($U$764,'TAR FIN'!$A$1:$O$104,15,0)),0,VLOOKUP($U$764,'TAR FIN'!$A$1:$O$104,15,0))</f>
        <v>242.82</v>
      </c>
      <c r="Y764" s="6"/>
      <c r="Z764" s="6">
        <f ca="1">('TUSD BE'!$AM$26+'TUSD BF'!$AM$26+'TUSD CVA'!$AM$26)*1</f>
        <v>77.876201961015255</v>
      </c>
      <c r="AA764" s="6">
        <f>('TE BE'!$AB$8+'TE BF'!$AB$8+'TE CVA'!$AB$8)*1</f>
        <v>231.76257384332172</v>
      </c>
      <c r="AB764" s="6">
        <f>$K$764*$V$764</f>
        <v>0</v>
      </c>
      <c r="AC764" s="6">
        <f>$M$764*$W$764</f>
        <v>723089.51673000003</v>
      </c>
      <c r="AD764" s="6">
        <f>$O$764*$X$764</f>
        <v>2806146.6589799998</v>
      </c>
      <c r="AE764" s="6">
        <f>$K$764*$Y$764</f>
        <v>0</v>
      </c>
      <c r="AF764" s="6">
        <f ca="1">$M$764*$Z$764</f>
        <v>899975.47132425115</v>
      </c>
      <c r="AG764" s="6">
        <f>$O$764*$AA$764</f>
        <v>2678361.6352320351</v>
      </c>
    </row>
    <row r="765" spans="1:33" ht="11.25" customHeight="1" x14ac:dyDescent="0.25">
      <c r="A765" s="4" t="s">
        <v>28</v>
      </c>
      <c r="B765" s="4" t="s">
        <v>41</v>
      </c>
      <c r="C765" s="4" t="s">
        <v>42</v>
      </c>
      <c r="D765" s="4" t="s">
        <v>43</v>
      </c>
      <c r="E765" s="4" t="s">
        <v>25</v>
      </c>
      <c r="F765" s="4" t="s">
        <v>25</v>
      </c>
      <c r="G765" s="4" t="s">
        <v>25</v>
      </c>
      <c r="H765" s="4" t="s">
        <v>35</v>
      </c>
      <c r="I765" s="5">
        <v>44562</v>
      </c>
      <c r="J765" s="6">
        <v>0</v>
      </c>
      <c r="K765" s="6">
        <v>0</v>
      </c>
      <c r="L765" s="6">
        <v>529.077</v>
      </c>
      <c r="M765" s="6">
        <v>529.077</v>
      </c>
      <c r="N765" s="6">
        <v>529.077</v>
      </c>
      <c r="O765" s="6">
        <v>529.077</v>
      </c>
      <c r="P765" s="6">
        <v>0</v>
      </c>
      <c r="Q765" s="4" t="s">
        <v>26</v>
      </c>
      <c r="R765" s="4">
        <v>0</v>
      </c>
      <c r="S765" s="6">
        <v>0</v>
      </c>
      <c r="T765" s="6">
        <v>44</v>
      </c>
      <c r="U765" s="6">
        <v>67</v>
      </c>
      <c r="V765" s="6">
        <f>IF(ISERROR(VLOOKUP($S$765,'TAR FIN'!$A$1:$O$104,15,0)),0,VLOOKUP($S$765,'TAR FIN'!$A$1:$O$104,15,0))</f>
        <v>0</v>
      </c>
      <c r="W765" s="6">
        <f>IF(ISERROR(VLOOKUP($T$765,'TAR FIN'!$A$1:$O$104,15,0)),0,VLOOKUP($T$765,'TAR FIN'!$A$1:$O$104,15,0))</f>
        <v>62.57</v>
      </c>
      <c r="X765" s="6">
        <f>IF(ISERROR(VLOOKUP($U$765,'TAR FIN'!$A$1:$O$104,15,0)),0,VLOOKUP($U$765,'TAR FIN'!$A$1:$O$104,15,0))</f>
        <v>242.82</v>
      </c>
      <c r="Y765" s="6"/>
      <c r="Z765" s="6">
        <f ca="1">('TUSD BE'!$AM$26+'TUSD BF'!$AM$26+'TUSD CVA'!$AM$26)*1</f>
        <v>77.876201961015255</v>
      </c>
      <c r="AA765" s="6">
        <f>('TE BE'!$AB$8+'TE BF'!$AB$8+'TE CVA'!$AB$8)*1</f>
        <v>231.76257384332172</v>
      </c>
      <c r="AB765" s="6">
        <f>$K$765*$V$765</f>
        <v>0</v>
      </c>
      <c r="AC765" s="6">
        <f>$M$765*$W$765</f>
        <v>33104.347889999997</v>
      </c>
      <c r="AD765" s="6">
        <f>$O$765*$X$765</f>
        <v>128470.47714</v>
      </c>
      <c r="AE765" s="6">
        <f>$K$765*$Y$765</f>
        <v>0</v>
      </c>
      <c r="AF765" s="6">
        <f ca="1">$M$765*$Z$765</f>
        <v>41202.507304928069</v>
      </c>
      <c r="AG765" s="6">
        <f>$O$765*$AA$765</f>
        <v>122620.24728130312</v>
      </c>
    </row>
    <row r="766" spans="1:33" ht="11.25" customHeight="1" x14ac:dyDescent="0.25">
      <c r="A766" s="4" t="s">
        <v>28</v>
      </c>
      <c r="B766" s="4" t="s">
        <v>41</v>
      </c>
      <c r="C766" s="4" t="s">
        <v>42</v>
      </c>
      <c r="D766" s="4" t="s">
        <v>43</v>
      </c>
      <c r="E766" s="4" t="s">
        <v>25</v>
      </c>
      <c r="F766" s="4" t="s">
        <v>25</v>
      </c>
      <c r="G766" s="4" t="s">
        <v>25</v>
      </c>
      <c r="H766" s="4" t="s">
        <v>35</v>
      </c>
      <c r="I766" s="5">
        <v>44562</v>
      </c>
      <c r="J766" s="6">
        <v>0</v>
      </c>
      <c r="K766" s="6">
        <v>0</v>
      </c>
      <c r="L766" s="6">
        <v>-39.090000000000003</v>
      </c>
      <c r="M766" s="6">
        <v>-39.090000000000003</v>
      </c>
      <c r="N766" s="6">
        <v>-39.090000000000003</v>
      </c>
      <c r="O766" s="6">
        <v>-39.090000000000003</v>
      </c>
      <c r="P766" s="6">
        <v>0</v>
      </c>
      <c r="Q766" s="4" t="s">
        <v>26</v>
      </c>
      <c r="R766" s="4">
        <v>0</v>
      </c>
      <c r="S766" s="6">
        <v>0</v>
      </c>
      <c r="T766" s="6">
        <v>44</v>
      </c>
      <c r="U766" s="6">
        <v>67</v>
      </c>
      <c r="V766" s="6">
        <f>IF(ISERROR(VLOOKUP($S$766,'TAR FIN'!$A$1:$O$104,15,0)),0,VLOOKUP($S$766,'TAR FIN'!$A$1:$O$104,15,0))</f>
        <v>0</v>
      </c>
      <c r="W766" s="6">
        <f>IF(ISERROR(VLOOKUP($T$766,'TAR FIN'!$A$1:$O$104,15,0)),0,VLOOKUP($T$766,'TAR FIN'!$A$1:$O$104,15,0))</f>
        <v>62.57</v>
      </c>
      <c r="X766" s="6">
        <f>IF(ISERROR(VLOOKUP($U$766,'TAR FIN'!$A$1:$O$104,15,0)),0,VLOOKUP($U$766,'TAR FIN'!$A$1:$O$104,15,0))</f>
        <v>242.82</v>
      </c>
      <c r="Y766" s="6"/>
      <c r="Z766" s="6">
        <f ca="1">('TUSD BE'!$AM$26+'TUSD BF'!$AM$26+'TUSD CVA'!$AM$26)*1</f>
        <v>77.876201961015255</v>
      </c>
      <c r="AA766" s="6">
        <f>('TE BE'!$AB$8+'TE BF'!$AB$8+'TE CVA'!$AB$8)*1</f>
        <v>231.76257384332172</v>
      </c>
      <c r="AB766" s="6">
        <f>$K$766*$V$766</f>
        <v>0</v>
      </c>
      <c r="AC766" s="6">
        <f>$M$766*$W$766</f>
        <v>-2445.8613</v>
      </c>
      <c r="AD766" s="6">
        <f>$O$766*$X$766</f>
        <v>-9491.8338000000003</v>
      </c>
      <c r="AE766" s="6">
        <f>$K$766*$Y$766</f>
        <v>0</v>
      </c>
      <c r="AF766" s="6">
        <f ca="1">$M$766*$Z$766</f>
        <v>-3044.1807346560868</v>
      </c>
      <c r="AG766" s="6">
        <f>$O$766*$AA$766</f>
        <v>-9059.5990115354471</v>
      </c>
    </row>
    <row r="767" spans="1:33" ht="11.25" customHeight="1" x14ac:dyDescent="0.25">
      <c r="A767" s="4" t="s">
        <v>21</v>
      </c>
      <c r="B767" s="4" t="s">
        <v>41</v>
      </c>
      <c r="C767" s="4" t="s">
        <v>42</v>
      </c>
      <c r="D767" s="4" t="s">
        <v>43</v>
      </c>
      <c r="E767" s="4" t="s">
        <v>25</v>
      </c>
      <c r="F767" s="4" t="s">
        <v>25</v>
      </c>
      <c r="G767" s="4" t="s">
        <v>25</v>
      </c>
      <c r="H767" s="4" t="s">
        <v>35</v>
      </c>
      <c r="I767" s="5">
        <v>44593</v>
      </c>
      <c r="J767" s="6">
        <v>0</v>
      </c>
      <c r="K767" s="6">
        <v>0</v>
      </c>
      <c r="L767" s="6">
        <v>11001.540999999999</v>
      </c>
      <c r="M767" s="6">
        <v>11001.540999999999</v>
      </c>
      <c r="N767" s="6">
        <v>11001.540999999999</v>
      </c>
      <c r="O767" s="6">
        <v>11001.540999999999</v>
      </c>
      <c r="P767" s="6">
        <v>0</v>
      </c>
      <c r="Q767" s="4" t="s">
        <v>26</v>
      </c>
      <c r="R767" s="4">
        <v>0</v>
      </c>
      <c r="S767" s="6">
        <v>0</v>
      </c>
      <c r="T767" s="6">
        <v>44</v>
      </c>
      <c r="U767" s="6">
        <v>67</v>
      </c>
      <c r="V767" s="6">
        <f>IF(ISERROR(VLOOKUP($S$767,'TAR FIN'!$A$1:$O$104,15,0)),0,VLOOKUP($S$767,'TAR FIN'!$A$1:$O$104,15,0))</f>
        <v>0</v>
      </c>
      <c r="W767" s="6">
        <f>IF(ISERROR(VLOOKUP($T$767,'TAR FIN'!$A$1:$O$104,15,0)),0,VLOOKUP($T$767,'TAR FIN'!$A$1:$O$104,15,0))</f>
        <v>62.57</v>
      </c>
      <c r="X767" s="6">
        <f>IF(ISERROR(VLOOKUP($U$767,'TAR FIN'!$A$1:$O$104,15,0)),0,VLOOKUP($U$767,'TAR FIN'!$A$1:$O$104,15,0))</f>
        <v>242.82</v>
      </c>
      <c r="Y767" s="6"/>
      <c r="Z767" s="6">
        <f ca="1">('TUSD BE'!$AM$26+'TUSD BF'!$AM$26+'TUSD CVA'!$AM$26)*1</f>
        <v>77.876201961015255</v>
      </c>
      <c r="AA767" s="6">
        <f>('TE BE'!$AB$8+'TE BF'!$AB$8+'TE CVA'!$AB$8)*1</f>
        <v>231.76257384332172</v>
      </c>
      <c r="AB767" s="6">
        <f>$K$767*$V$767</f>
        <v>0</v>
      </c>
      <c r="AC767" s="6">
        <f>$M$767*$W$767</f>
        <v>688366.42036999995</v>
      </c>
      <c r="AD767" s="6">
        <f>$O$767*$X$767</f>
        <v>2671394.1856199997</v>
      </c>
      <c r="AE767" s="6">
        <f>$K$767*$Y$767</f>
        <v>0</v>
      </c>
      <c r="AF767" s="6">
        <f ca="1">$M$767*$Z$767</f>
        <v>856758.22879838967</v>
      </c>
      <c r="AG767" s="6">
        <f>$O$767*$AA$767</f>
        <v>2549745.4584028311</v>
      </c>
    </row>
    <row r="768" spans="1:33" ht="11.25" customHeight="1" x14ac:dyDescent="0.25">
      <c r="A768" s="4" t="s">
        <v>27</v>
      </c>
      <c r="B768" s="4" t="s">
        <v>41</v>
      </c>
      <c r="C768" s="4" t="s">
        <v>42</v>
      </c>
      <c r="D768" s="4" t="s">
        <v>43</v>
      </c>
      <c r="E768" s="4" t="s">
        <v>25</v>
      </c>
      <c r="F768" s="4" t="s">
        <v>25</v>
      </c>
      <c r="G768" s="4" t="s">
        <v>25</v>
      </c>
      <c r="H768" s="4" t="s">
        <v>35</v>
      </c>
      <c r="I768" s="5">
        <v>44593</v>
      </c>
      <c r="J768" s="6">
        <v>0</v>
      </c>
      <c r="K768" s="6">
        <v>0</v>
      </c>
      <c r="L768" s="6">
        <v>-48.62</v>
      </c>
      <c r="M768" s="6">
        <v>-48.62</v>
      </c>
      <c r="N768" s="6">
        <v>-48.62</v>
      </c>
      <c r="O768" s="6">
        <v>-48.62</v>
      </c>
      <c r="P768" s="6">
        <v>0</v>
      </c>
      <c r="Q768" s="4" t="s">
        <v>26</v>
      </c>
      <c r="R768" s="4">
        <v>0</v>
      </c>
      <c r="S768" s="6">
        <v>0</v>
      </c>
      <c r="T768" s="6">
        <v>44</v>
      </c>
      <c r="U768" s="6">
        <v>67</v>
      </c>
      <c r="V768" s="6">
        <f>IF(ISERROR(VLOOKUP($S$768,'TAR FIN'!$A$1:$O$104,15,0)),0,VLOOKUP($S$768,'TAR FIN'!$A$1:$O$104,15,0))</f>
        <v>0</v>
      </c>
      <c r="W768" s="6">
        <f>IF(ISERROR(VLOOKUP($T$768,'TAR FIN'!$A$1:$O$104,15,0)),0,VLOOKUP($T$768,'TAR FIN'!$A$1:$O$104,15,0))</f>
        <v>62.57</v>
      </c>
      <c r="X768" s="6">
        <f>IF(ISERROR(VLOOKUP($U$768,'TAR FIN'!$A$1:$O$104,15,0)),0,VLOOKUP($U$768,'TAR FIN'!$A$1:$O$104,15,0))</f>
        <v>242.82</v>
      </c>
      <c r="Y768" s="6"/>
      <c r="Z768" s="6">
        <f ca="1">('TUSD BE'!$AM$26+'TUSD BF'!$AM$26+'TUSD CVA'!$AM$26)*1</f>
        <v>77.876201961015255</v>
      </c>
      <c r="AA768" s="6">
        <f>('TE BE'!$AB$8+'TE BF'!$AB$8+'TE CVA'!$AB$8)*1</f>
        <v>231.76257384332172</v>
      </c>
      <c r="AB768" s="6">
        <f>$K$768*$V$768</f>
        <v>0</v>
      </c>
      <c r="AC768" s="6">
        <f>$M$768*$W$768</f>
        <v>-3042.1533999999997</v>
      </c>
      <c r="AD768" s="6">
        <f>$O$768*$X$768</f>
        <v>-11805.908399999998</v>
      </c>
      <c r="AE768" s="6">
        <f>$K$768*$Y$768</f>
        <v>0</v>
      </c>
      <c r="AF768" s="6">
        <f ca="1">$M$768*$Z$768</f>
        <v>-3786.3409393445613</v>
      </c>
      <c r="AG768" s="6">
        <f>$O$768*$AA$768</f>
        <v>-11268.296340262301</v>
      </c>
    </row>
    <row r="769" spans="1:33" ht="11.25" customHeight="1" x14ac:dyDescent="0.25">
      <c r="A769" s="4" t="s">
        <v>28</v>
      </c>
      <c r="B769" s="4" t="s">
        <v>41</v>
      </c>
      <c r="C769" s="4" t="s">
        <v>42</v>
      </c>
      <c r="D769" s="4" t="s">
        <v>43</v>
      </c>
      <c r="E769" s="4" t="s">
        <v>25</v>
      </c>
      <c r="F769" s="4" t="s">
        <v>25</v>
      </c>
      <c r="G769" s="4" t="s">
        <v>25</v>
      </c>
      <c r="H769" s="4" t="s">
        <v>35</v>
      </c>
      <c r="I769" s="5">
        <v>44593</v>
      </c>
      <c r="J769" s="6">
        <v>0</v>
      </c>
      <c r="K769" s="6">
        <v>0</v>
      </c>
      <c r="L769" s="6">
        <v>586.09900000000005</v>
      </c>
      <c r="M769" s="6">
        <v>586.09900000000005</v>
      </c>
      <c r="N769" s="6">
        <v>586.09900000000005</v>
      </c>
      <c r="O769" s="6">
        <v>586.09900000000005</v>
      </c>
      <c r="P769" s="6">
        <v>0</v>
      </c>
      <c r="Q769" s="4" t="s">
        <v>26</v>
      </c>
      <c r="R769" s="4">
        <v>0</v>
      </c>
      <c r="S769" s="6">
        <v>0</v>
      </c>
      <c r="T769" s="6">
        <v>44</v>
      </c>
      <c r="U769" s="6">
        <v>67</v>
      </c>
      <c r="V769" s="6">
        <f>IF(ISERROR(VLOOKUP($S$769,'TAR FIN'!$A$1:$O$104,15,0)),0,VLOOKUP($S$769,'TAR FIN'!$A$1:$O$104,15,0))</f>
        <v>0</v>
      </c>
      <c r="W769" s="6">
        <f>IF(ISERROR(VLOOKUP($T$769,'TAR FIN'!$A$1:$O$104,15,0)),0,VLOOKUP($T$769,'TAR FIN'!$A$1:$O$104,15,0))</f>
        <v>62.57</v>
      </c>
      <c r="X769" s="6">
        <f>IF(ISERROR(VLOOKUP($U$769,'TAR FIN'!$A$1:$O$104,15,0)),0,VLOOKUP($U$769,'TAR FIN'!$A$1:$O$104,15,0))</f>
        <v>242.82</v>
      </c>
      <c r="Y769" s="6"/>
      <c r="Z769" s="6">
        <f ca="1">('TUSD BE'!$AM$26+'TUSD BF'!$AM$26+'TUSD CVA'!$AM$26)*1</f>
        <v>77.876201961015255</v>
      </c>
      <c r="AA769" s="6">
        <f>('TE BE'!$AB$8+'TE BF'!$AB$8+'TE CVA'!$AB$8)*1</f>
        <v>231.76257384332172</v>
      </c>
      <c r="AB769" s="6">
        <f>$K$769*$V$769</f>
        <v>0</v>
      </c>
      <c r="AC769" s="6">
        <f>$M$769*$W$769</f>
        <v>36672.21443</v>
      </c>
      <c r="AD769" s="6">
        <f>$O$769*$X$769</f>
        <v>142316.55918000001</v>
      </c>
      <c r="AE769" s="6">
        <f>$K$769*$Y$769</f>
        <v>0</v>
      </c>
      <c r="AF769" s="6">
        <f ca="1">$M$769*$Z$769</f>
        <v>45643.164093149084</v>
      </c>
      <c r="AG769" s="6">
        <f>$O$769*$AA$769</f>
        <v>135835.81276699703</v>
      </c>
    </row>
    <row r="770" spans="1:33" ht="11.25" customHeight="1" x14ac:dyDescent="0.25">
      <c r="A770" s="4" t="s">
        <v>28</v>
      </c>
      <c r="B770" s="4" t="s">
        <v>41</v>
      </c>
      <c r="C770" s="4" t="s">
        <v>42</v>
      </c>
      <c r="D770" s="4" t="s">
        <v>43</v>
      </c>
      <c r="E770" s="4" t="s">
        <v>25</v>
      </c>
      <c r="F770" s="4" t="s">
        <v>25</v>
      </c>
      <c r="G770" s="4" t="s">
        <v>25</v>
      </c>
      <c r="H770" s="4" t="s">
        <v>35</v>
      </c>
      <c r="I770" s="5">
        <v>44593</v>
      </c>
      <c r="J770" s="6">
        <v>0</v>
      </c>
      <c r="K770" s="6">
        <v>0</v>
      </c>
      <c r="L770" s="6">
        <v>-13.651999999999999</v>
      </c>
      <c r="M770" s="6">
        <v>-13.651999999999999</v>
      </c>
      <c r="N770" s="6">
        <v>-13.651999999999999</v>
      </c>
      <c r="O770" s="6">
        <v>-13.651999999999999</v>
      </c>
      <c r="P770" s="6">
        <v>0</v>
      </c>
      <c r="Q770" s="4" t="s">
        <v>26</v>
      </c>
      <c r="R770" s="4">
        <v>0</v>
      </c>
      <c r="S770" s="6">
        <v>0</v>
      </c>
      <c r="T770" s="6">
        <v>44</v>
      </c>
      <c r="U770" s="6">
        <v>67</v>
      </c>
      <c r="V770" s="6">
        <f>IF(ISERROR(VLOOKUP($S$770,'TAR FIN'!$A$1:$O$104,15,0)),0,VLOOKUP($S$770,'TAR FIN'!$A$1:$O$104,15,0))</f>
        <v>0</v>
      </c>
      <c r="W770" s="6">
        <f>IF(ISERROR(VLOOKUP($T$770,'TAR FIN'!$A$1:$O$104,15,0)),0,VLOOKUP($T$770,'TAR FIN'!$A$1:$O$104,15,0))</f>
        <v>62.57</v>
      </c>
      <c r="X770" s="6">
        <f>IF(ISERROR(VLOOKUP($U$770,'TAR FIN'!$A$1:$O$104,15,0)),0,VLOOKUP($U$770,'TAR FIN'!$A$1:$O$104,15,0))</f>
        <v>242.82</v>
      </c>
      <c r="Y770" s="6"/>
      <c r="Z770" s="6">
        <f ca="1">('TUSD BE'!$AM$26+'TUSD BF'!$AM$26+'TUSD CVA'!$AM$26)*1</f>
        <v>77.876201961015255</v>
      </c>
      <c r="AA770" s="6">
        <f>('TE BE'!$AB$8+'TE BF'!$AB$8+'TE CVA'!$AB$8)*1</f>
        <v>231.76257384332172</v>
      </c>
      <c r="AB770" s="6">
        <f>$K$770*$V$770</f>
        <v>0</v>
      </c>
      <c r="AC770" s="6">
        <f>$M$770*$W$770</f>
        <v>-854.2056399999999</v>
      </c>
      <c r="AD770" s="6">
        <f>$O$770*$X$770</f>
        <v>-3314.9786399999998</v>
      </c>
      <c r="AE770" s="6">
        <f>$K$770*$Y$770</f>
        <v>0</v>
      </c>
      <c r="AF770" s="6">
        <f ca="1">$M$770*$Z$770</f>
        <v>-1063.1659091717802</v>
      </c>
      <c r="AG770" s="6">
        <f>$O$770*$AA$770</f>
        <v>-3164.0226581090278</v>
      </c>
    </row>
    <row r="771" spans="1:33" ht="11.25" customHeight="1" x14ac:dyDescent="0.25">
      <c r="A771" s="4" t="s">
        <v>21</v>
      </c>
      <c r="B771" s="4" t="s">
        <v>41</v>
      </c>
      <c r="C771" s="4" t="s">
        <v>42</v>
      </c>
      <c r="D771" s="4" t="s">
        <v>43</v>
      </c>
      <c r="E771" s="4" t="s">
        <v>25</v>
      </c>
      <c r="F771" s="4" t="s">
        <v>25</v>
      </c>
      <c r="G771" s="4" t="s">
        <v>25</v>
      </c>
      <c r="H771" s="4" t="s">
        <v>35</v>
      </c>
      <c r="I771" s="5">
        <v>44621</v>
      </c>
      <c r="J771" s="6">
        <v>0</v>
      </c>
      <c r="K771" s="6">
        <v>0</v>
      </c>
      <c r="L771" s="6">
        <v>11596.415999999999</v>
      </c>
      <c r="M771" s="6">
        <v>11596.415999999999</v>
      </c>
      <c r="N771" s="6">
        <v>11596.415999999999</v>
      </c>
      <c r="O771" s="6">
        <v>11596.415999999999</v>
      </c>
      <c r="P771" s="6">
        <v>0</v>
      </c>
      <c r="Q771" s="4" t="s">
        <v>26</v>
      </c>
      <c r="R771" s="4">
        <v>0</v>
      </c>
      <c r="S771" s="6">
        <v>0</v>
      </c>
      <c r="T771" s="6">
        <v>44</v>
      </c>
      <c r="U771" s="6">
        <v>67</v>
      </c>
      <c r="V771" s="6">
        <f>IF(ISERROR(VLOOKUP($S$771,'TAR FIN'!$A$1:$O$104,15,0)),0,VLOOKUP($S$771,'TAR FIN'!$A$1:$O$104,15,0))</f>
        <v>0</v>
      </c>
      <c r="W771" s="6">
        <f>IF(ISERROR(VLOOKUP($T$771,'TAR FIN'!$A$1:$O$104,15,0)),0,VLOOKUP($T$771,'TAR FIN'!$A$1:$O$104,15,0))</f>
        <v>62.57</v>
      </c>
      <c r="X771" s="6">
        <f>IF(ISERROR(VLOOKUP($U$771,'TAR FIN'!$A$1:$O$104,15,0)),0,VLOOKUP($U$771,'TAR FIN'!$A$1:$O$104,15,0))</f>
        <v>242.82</v>
      </c>
      <c r="Y771" s="6"/>
      <c r="Z771" s="6">
        <f ca="1">('TUSD BE'!$AM$26+'TUSD BF'!$AM$26+'TUSD CVA'!$AM$26)*1</f>
        <v>77.876201961015255</v>
      </c>
      <c r="AA771" s="6">
        <f>('TE BE'!$AB$8+'TE BF'!$AB$8+'TE CVA'!$AB$8)*1</f>
        <v>231.76257384332172</v>
      </c>
      <c r="AB771" s="6">
        <f>$K$771*$V$771</f>
        <v>0</v>
      </c>
      <c r="AC771" s="6">
        <f>$M$771*$W$771</f>
        <v>725587.74911999993</v>
      </c>
      <c r="AD771" s="6">
        <f>$O$771*$X$771</f>
        <v>2815841.7331199995</v>
      </c>
      <c r="AE771" s="6">
        <f>$K$771*$Y$771</f>
        <v>0</v>
      </c>
      <c r="AF771" s="6">
        <f ca="1">$M$771*$Z$771</f>
        <v>903084.83443994867</v>
      </c>
      <c r="AG771" s="6">
        <f>$O$771*$AA$771</f>
        <v>2687615.2195178773</v>
      </c>
    </row>
    <row r="772" spans="1:33" ht="11.25" customHeight="1" x14ac:dyDescent="0.25">
      <c r="A772" s="4" t="s">
        <v>28</v>
      </c>
      <c r="B772" s="4" t="s">
        <v>41</v>
      </c>
      <c r="C772" s="4" t="s">
        <v>42</v>
      </c>
      <c r="D772" s="4" t="s">
        <v>43</v>
      </c>
      <c r="E772" s="4" t="s">
        <v>25</v>
      </c>
      <c r="F772" s="4" t="s">
        <v>25</v>
      </c>
      <c r="G772" s="4" t="s">
        <v>25</v>
      </c>
      <c r="H772" s="4" t="s">
        <v>35</v>
      </c>
      <c r="I772" s="5">
        <v>44621</v>
      </c>
      <c r="J772" s="6">
        <v>0</v>
      </c>
      <c r="K772" s="6">
        <v>0</v>
      </c>
      <c r="L772" s="6">
        <v>797.14599999999996</v>
      </c>
      <c r="M772" s="6">
        <v>797.14599999999996</v>
      </c>
      <c r="N772" s="6">
        <v>797.14599999999996</v>
      </c>
      <c r="O772" s="6">
        <v>797.14599999999996</v>
      </c>
      <c r="P772" s="6">
        <v>0</v>
      </c>
      <c r="Q772" s="4" t="s">
        <v>26</v>
      </c>
      <c r="R772" s="4">
        <v>0</v>
      </c>
      <c r="S772" s="6">
        <v>0</v>
      </c>
      <c r="T772" s="6">
        <v>44</v>
      </c>
      <c r="U772" s="6">
        <v>67</v>
      </c>
      <c r="V772" s="6">
        <f>IF(ISERROR(VLOOKUP($S$772,'TAR FIN'!$A$1:$O$104,15,0)),0,VLOOKUP($S$772,'TAR FIN'!$A$1:$O$104,15,0))</f>
        <v>0</v>
      </c>
      <c r="W772" s="6">
        <f>IF(ISERROR(VLOOKUP($T$772,'TAR FIN'!$A$1:$O$104,15,0)),0,VLOOKUP($T$772,'TAR FIN'!$A$1:$O$104,15,0))</f>
        <v>62.57</v>
      </c>
      <c r="X772" s="6">
        <f>IF(ISERROR(VLOOKUP($U$772,'TAR FIN'!$A$1:$O$104,15,0)),0,VLOOKUP($U$772,'TAR FIN'!$A$1:$O$104,15,0))</f>
        <v>242.82</v>
      </c>
      <c r="Y772" s="6"/>
      <c r="Z772" s="6">
        <f ca="1">('TUSD BE'!$AM$26+'TUSD BF'!$AM$26+'TUSD CVA'!$AM$26)*1</f>
        <v>77.876201961015255</v>
      </c>
      <c r="AA772" s="6">
        <f>('TE BE'!$AB$8+'TE BF'!$AB$8+'TE CVA'!$AB$8)*1</f>
        <v>231.76257384332172</v>
      </c>
      <c r="AB772" s="6">
        <f>$K$772*$V$772</f>
        <v>0</v>
      </c>
      <c r="AC772" s="6">
        <f>$M$772*$W$772</f>
        <v>49877.425219999997</v>
      </c>
      <c r="AD772" s="6">
        <f>$O$772*$X$772</f>
        <v>193562.99171999999</v>
      </c>
      <c r="AE772" s="6">
        <f>$K$772*$Y$772</f>
        <v>0</v>
      </c>
      <c r="AF772" s="6">
        <f ca="1">$M$772*$Z$772</f>
        <v>62078.702888415464</v>
      </c>
      <c r="AG772" s="6">
        <f>$O$772*$AA$772</f>
        <v>184748.60868890851</v>
      </c>
    </row>
    <row r="773" spans="1:33" ht="11.25" customHeight="1" x14ac:dyDescent="0.25">
      <c r="A773" s="4" t="s">
        <v>21</v>
      </c>
      <c r="B773" s="4" t="s">
        <v>41</v>
      </c>
      <c r="C773" s="4" t="s">
        <v>42</v>
      </c>
      <c r="D773" s="4" t="s">
        <v>43</v>
      </c>
      <c r="E773" s="4" t="s">
        <v>25</v>
      </c>
      <c r="F773" s="4" t="s">
        <v>25</v>
      </c>
      <c r="G773" s="4" t="s">
        <v>25</v>
      </c>
      <c r="H773" s="4" t="s">
        <v>35</v>
      </c>
      <c r="I773" s="5">
        <v>44652</v>
      </c>
      <c r="J773" s="6">
        <v>0</v>
      </c>
      <c r="K773" s="6">
        <v>0</v>
      </c>
      <c r="L773" s="6">
        <v>11429.665999999999</v>
      </c>
      <c r="M773" s="6">
        <v>11429.665999999999</v>
      </c>
      <c r="N773" s="6">
        <v>11429.665999999999</v>
      </c>
      <c r="O773" s="6">
        <v>11429.665999999999</v>
      </c>
      <c r="P773" s="6">
        <v>0</v>
      </c>
      <c r="Q773" s="4" t="s">
        <v>26</v>
      </c>
      <c r="R773" s="4">
        <v>0</v>
      </c>
      <c r="S773" s="6">
        <v>0</v>
      </c>
      <c r="T773" s="6">
        <v>44</v>
      </c>
      <c r="U773" s="6">
        <v>67</v>
      </c>
      <c r="V773" s="6">
        <f>IF(ISERROR(VLOOKUP($S$773,'TAR FIN'!$A$1:$O$104,15,0)),0,VLOOKUP($S$773,'TAR FIN'!$A$1:$O$104,15,0))</f>
        <v>0</v>
      </c>
      <c r="W773" s="6">
        <f>IF(ISERROR(VLOOKUP($T$773,'TAR FIN'!$A$1:$O$104,15,0)),0,VLOOKUP($T$773,'TAR FIN'!$A$1:$O$104,15,0))</f>
        <v>62.57</v>
      </c>
      <c r="X773" s="6">
        <f>IF(ISERROR(VLOOKUP($U$773,'TAR FIN'!$A$1:$O$104,15,0)),0,VLOOKUP($U$773,'TAR FIN'!$A$1:$O$104,15,0))</f>
        <v>242.82</v>
      </c>
      <c r="Y773" s="6"/>
      <c r="Z773" s="6">
        <f ca="1">('TUSD BE'!$AM$26+'TUSD BF'!$AM$26+'TUSD CVA'!$AM$26)*1</f>
        <v>77.876201961015255</v>
      </c>
      <c r="AA773" s="6">
        <f>('TE BE'!$AB$8+'TE BF'!$AB$8+'TE CVA'!$AB$8)*1</f>
        <v>231.76257384332172</v>
      </c>
      <c r="AB773" s="6">
        <f>$K$773*$V$773</f>
        <v>0</v>
      </c>
      <c r="AC773" s="6">
        <f>$M$773*$W$773</f>
        <v>715154.20161999995</v>
      </c>
      <c r="AD773" s="6">
        <f>$O$773*$X$773</f>
        <v>2775351.4981199997</v>
      </c>
      <c r="AE773" s="6">
        <f>$K$773*$Y$773</f>
        <v>0</v>
      </c>
      <c r="AF773" s="6">
        <f ca="1">$M$773*$Z$773</f>
        <v>890098.9777629493</v>
      </c>
      <c r="AG773" s="6">
        <f>$O$773*$AA$773</f>
        <v>2648968.8103295034</v>
      </c>
    </row>
    <row r="774" spans="1:33" ht="11.25" customHeight="1" x14ac:dyDescent="0.25">
      <c r="A774" s="4" t="s">
        <v>27</v>
      </c>
      <c r="B774" s="4" t="s">
        <v>41</v>
      </c>
      <c r="C774" s="4" t="s">
        <v>42</v>
      </c>
      <c r="D774" s="4" t="s">
        <v>43</v>
      </c>
      <c r="E774" s="4" t="s">
        <v>25</v>
      </c>
      <c r="F774" s="4" t="s">
        <v>25</v>
      </c>
      <c r="G774" s="4" t="s">
        <v>25</v>
      </c>
      <c r="H774" s="4" t="s">
        <v>35</v>
      </c>
      <c r="I774" s="5">
        <v>44652</v>
      </c>
      <c r="J774" s="6">
        <v>0</v>
      </c>
      <c r="K774" s="6">
        <v>0</v>
      </c>
      <c r="L774" s="6">
        <v>31.545000000000002</v>
      </c>
      <c r="M774" s="6">
        <v>31.545000000000002</v>
      </c>
      <c r="N774" s="6">
        <v>31.545000000000002</v>
      </c>
      <c r="O774" s="6">
        <v>31.545000000000002</v>
      </c>
      <c r="P774" s="6">
        <v>0</v>
      </c>
      <c r="Q774" s="4" t="s">
        <v>26</v>
      </c>
      <c r="R774" s="4">
        <v>0</v>
      </c>
      <c r="S774" s="6">
        <v>0</v>
      </c>
      <c r="T774" s="6">
        <v>44</v>
      </c>
      <c r="U774" s="6">
        <v>67</v>
      </c>
      <c r="V774" s="6">
        <f>IF(ISERROR(VLOOKUP($S$774,'TAR FIN'!$A$1:$O$104,15,0)),0,VLOOKUP($S$774,'TAR FIN'!$A$1:$O$104,15,0))</f>
        <v>0</v>
      </c>
      <c r="W774" s="6">
        <f>IF(ISERROR(VLOOKUP($T$774,'TAR FIN'!$A$1:$O$104,15,0)),0,VLOOKUP($T$774,'TAR FIN'!$A$1:$O$104,15,0))</f>
        <v>62.57</v>
      </c>
      <c r="X774" s="6">
        <f>IF(ISERROR(VLOOKUP($U$774,'TAR FIN'!$A$1:$O$104,15,0)),0,VLOOKUP($U$774,'TAR FIN'!$A$1:$O$104,15,0))</f>
        <v>242.82</v>
      </c>
      <c r="Y774" s="6"/>
      <c r="Z774" s="6">
        <f ca="1">('TUSD BE'!$AM$26+'TUSD BF'!$AM$26+'TUSD CVA'!$AM$26)*1</f>
        <v>77.876201961015255</v>
      </c>
      <c r="AA774" s="6">
        <f>('TE BE'!$AB$8+'TE BF'!$AB$8+'TE CVA'!$AB$8)*1</f>
        <v>231.76257384332172</v>
      </c>
      <c r="AB774" s="6">
        <f>$K$774*$V$774</f>
        <v>0</v>
      </c>
      <c r="AC774" s="6">
        <f>$M$774*$W$774</f>
        <v>1973.7706500000002</v>
      </c>
      <c r="AD774" s="6">
        <f>$O$774*$X$774</f>
        <v>7659.7569000000003</v>
      </c>
      <c r="AE774" s="6">
        <f>$K$774*$Y$774</f>
        <v>0</v>
      </c>
      <c r="AF774" s="6">
        <f ca="1">$M$774*$Z$774</f>
        <v>2456.6047908602263</v>
      </c>
      <c r="AG774" s="6">
        <f>$O$774*$AA$774</f>
        <v>7310.9503918875844</v>
      </c>
    </row>
    <row r="775" spans="1:33" ht="11.25" customHeight="1" x14ac:dyDescent="0.25">
      <c r="A775" s="4" t="s">
        <v>28</v>
      </c>
      <c r="B775" s="4" t="s">
        <v>41</v>
      </c>
      <c r="C775" s="4" t="s">
        <v>42</v>
      </c>
      <c r="D775" s="4" t="s">
        <v>43</v>
      </c>
      <c r="E775" s="4" t="s">
        <v>25</v>
      </c>
      <c r="F775" s="4" t="s">
        <v>25</v>
      </c>
      <c r="G775" s="4" t="s">
        <v>25</v>
      </c>
      <c r="H775" s="4" t="s">
        <v>35</v>
      </c>
      <c r="I775" s="5">
        <v>44652</v>
      </c>
      <c r="J775" s="6">
        <v>0</v>
      </c>
      <c r="K775" s="6">
        <v>0</v>
      </c>
      <c r="L775" s="6">
        <v>704.81799999999998</v>
      </c>
      <c r="M775" s="6">
        <v>704.81799999999998</v>
      </c>
      <c r="N775" s="6">
        <v>704.81799999999998</v>
      </c>
      <c r="O775" s="6">
        <v>704.81799999999998</v>
      </c>
      <c r="P775" s="6">
        <v>0</v>
      </c>
      <c r="Q775" s="4" t="s">
        <v>26</v>
      </c>
      <c r="R775" s="4">
        <v>0</v>
      </c>
      <c r="S775" s="6">
        <v>0</v>
      </c>
      <c r="T775" s="6">
        <v>44</v>
      </c>
      <c r="U775" s="6">
        <v>67</v>
      </c>
      <c r="V775" s="6">
        <f>IF(ISERROR(VLOOKUP($S$775,'TAR FIN'!$A$1:$O$104,15,0)),0,VLOOKUP($S$775,'TAR FIN'!$A$1:$O$104,15,0))</f>
        <v>0</v>
      </c>
      <c r="W775" s="6">
        <f>IF(ISERROR(VLOOKUP($T$775,'TAR FIN'!$A$1:$O$104,15,0)),0,VLOOKUP($T$775,'TAR FIN'!$A$1:$O$104,15,0))</f>
        <v>62.57</v>
      </c>
      <c r="X775" s="6">
        <f>IF(ISERROR(VLOOKUP($U$775,'TAR FIN'!$A$1:$O$104,15,0)),0,VLOOKUP($U$775,'TAR FIN'!$A$1:$O$104,15,0))</f>
        <v>242.82</v>
      </c>
      <c r="Y775" s="6"/>
      <c r="Z775" s="6">
        <f ca="1">('TUSD BE'!$AM$26+'TUSD BF'!$AM$26+'TUSD CVA'!$AM$26)*1</f>
        <v>77.876201961015255</v>
      </c>
      <c r="AA775" s="6">
        <f>('TE BE'!$AB$8+'TE BF'!$AB$8+'TE CVA'!$AB$8)*1</f>
        <v>231.76257384332172</v>
      </c>
      <c r="AB775" s="6">
        <f>$K$775*$V$775</f>
        <v>0</v>
      </c>
      <c r="AC775" s="6">
        <f>$M$775*$W$775</f>
        <v>44100.46226</v>
      </c>
      <c r="AD775" s="6">
        <f>$O$775*$X$775</f>
        <v>171143.90675999998</v>
      </c>
      <c r="AE775" s="6">
        <f>$K$775*$Y$775</f>
        <v>0</v>
      </c>
      <c r="AF775" s="6">
        <f ca="1">$M$775*$Z$775</f>
        <v>54888.548913758852</v>
      </c>
      <c r="AG775" s="6">
        <f>$O$775*$AA$775</f>
        <v>163350.43377110231</v>
      </c>
    </row>
    <row r="776" spans="1:33" ht="11.25" customHeight="1" x14ac:dyDescent="0.25">
      <c r="A776" s="4" t="s">
        <v>28</v>
      </c>
      <c r="B776" s="4" t="s">
        <v>41</v>
      </c>
      <c r="C776" s="4" t="s">
        <v>42</v>
      </c>
      <c r="D776" s="4" t="s">
        <v>43</v>
      </c>
      <c r="E776" s="4" t="s">
        <v>25</v>
      </c>
      <c r="F776" s="4" t="s">
        <v>25</v>
      </c>
      <c r="G776" s="4" t="s">
        <v>25</v>
      </c>
      <c r="H776" s="4" t="s">
        <v>35</v>
      </c>
      <c r="I776" s="5">
        <v>44652</v>
      </c>
      <c r="J776" s="6">
        <v>0</v>
      </c>
      <c r="K776" s="6">
        <v>0</v>
      </c>
      <c r="L776" s="6">
        <v>1.284</v>
      </c>
      <c r="M776" s="6">
        <v>1.284</v>
      </c>
      <c r="N776" s="6">
        <v>1.284</v>
      </c>
      <c r="O776" s="6">
        <v>1.284</v>
      </c>
      <c r="P776" s="6">
        <v>0</v>
      </c>
      <c r="Q776" s="4" t="s">
        <v>26</v>
      </c>
      <c r="R776" s="4">
        <v>0</v>
      </c>
      <c r="S776" s="6">
        <v>0</v>
      </c>
      <c r="T776" s="6">
        <v>44</v>
      </c>
      <c r="U776" s="6">
        <v>67</v>
      </c>
      <c r="V776" s="6">
        <f>IF(ISERROR(VLOOKUP($S$776,'TAR FIN'!$A$1:$O$104,15,0)),0,VLOOKUP($S$776,'TAR FIN'!$A$1:$O$104,15,0))</f>
        <v>0</v>
      </c>
      <c r="W776" s="6">
        <f>IF(ISERROR(VLOOKUP($T$776,'TAR FIN'!$A$1:$O$104,15,0)),0,VLOOKUP($T$776,'TAR FIN'!$A$1:$O$104,15,0))</f>
        <v>62.57</v>
      </c>
      <c r="X776" s="6">
        <f>IF(ISERROR(VLOOKUP($U$776,'TAR FIN'!$A$1:$O$104,15,0)),0,VLOOKUP($U$776,'TAR FIN'!$A$1:$O$104,15,0))</f>
        <v>242.82</v>
      </c>
      <c r="Y776" s="6"/>
      <c r="Z776" s="6">
        <f ca="1">('TUSD BE'!$AM$26+'TUSD BF'!$AM$26+'TUSD CVA'!$AM$26)*1</f>
        <v>77.876201961015255</v>
      </c>
      <c r="AA776" s="6">
        <f>('TE BE'!$AB$8+'TE BF'!$AB$8+'TE CVA'!$AB$8)*1</f>
        <v>231.76257384332172</v>
      </c>
      <c r="AB776" s="6">
        <f>$K$776*$V$776</f>
        <v>0</v>
      </c>
      <c r="AC776" s="6">
        <f>$M$776*$W$776</f>
        <v>80.339880000000008</v>
      </c>
      <c r="AD776" s="6">
        <f>$O$776*$X$776</f>
        <v>311.78088000000002</v>
      </c>
      <c r="AE776" s="6">
        <f>$K$776*$Y$776</f>
        <v>0</v>
      </c>
      <c r="AF776" s="6">
        <f ca="1">$M$776*$Z$776</f>
        <v>99.993043317943588</v>
      </c>
      <c r="AG776" s="6">
        <f>$O$776*$AA$776</f>
        <v>297.58314481482512</v>
      </c>
    </row>
    <row r="777" spans="1:33" ht="11.25" customHeight="1" x14ac:dyDescent="0.25">
      <c r="A777" s="4" t="s">
        <v>21</v>
      </c>
      <c r="B777" s="4" t="s">
        <v>41</v>
      </c>
      <c r="C777" s="4" t="s">
        <v>42</v>
      </c>
      <c r="D777" s="4" t="s">
        <v>43</v>
      </c>
      <c r="E777" s="4" t="s">
        <v>25</v>
      </c>
      <c r="F777" s="4" t="s">
        <v>25</v>
      </c>
      <c r="G777" s="4" t="s">
        <v>25</v>
      </c>
      <c r="H777" s="4" t="s">
        <v>35</v>
      </c>
      <c r="I777" s="5">
        <v>44682</v>
      </c>
      <c r="J777" s="6">
        <v>0</v>
      </c>
      <c r="K777" s="6">
        <v>0</v>
      </c>
      <c r="L777" s="6">
        <v>11324.556</v>
      </c>
      <c r="M777" s="6">
        <v>11324.556</v>
      </c>
      <c r="N777" s="6">
        <v>11324.556</v>
      </c>
      <c r="O777" s="6">
        <v>11324.556</v>
      </c>
      <c r="P777" s="6">
        <v>0</v>
      </c>
      <c r="Q777" s="4" t="s">
        <v>26</v>
      </c>
      <c r="R777" s="4">
        <v>0</v>
      </c>
      <c r="S777" s="6">
        <v>0</v>
      </c>
      <c r="T777" s="6">
        <v>44</v>
      </c>
      <c r="U777" s="6">
        <v>67</v>
      </c>
      <c r="V777" s="6">
        <f>IF(ISERROR(VLOOKUP($S$777,'TAR FIN'!$A$1:$O$104,15,0)),0,VLOOKUP($S$777,'TAR FIN'!$A$1:$O$104,15,0))</f>
        <v>0</v>
      </c>
      <c r="W777" s="6">
        <f>IF(ISERROR(VLOOKUP($T$777,'TAR FIN'!$A$1:$O$104,15,0)),0,VLOOKUP($T$777,'TAR FIN'!$A$1:$O$104,15,0))</f>
        <v>62.57</v>
      </c>
      <c r="X777" s="6">
        <f>IF(ISERROR(VLOOKUP($U$777,'TAR FIN'!$A$1:$O$104,15,0)),0,VLOOKUP($U$777,'TAR FIN'!$A$1:$O$104,15,0))</f>
        <v>242.82</v>
      </c>
      <c r="Y777" s="6"/>
      <c r="Z777" s="6">
        <f ca="1">('TUSD BE'!$AM$26+'TUSD BF'!$AM$26+'TUSD CVA'!$AM$26)*1</f>
        <v>77.876201961015255</v>
      </c>
      <c r="AA777" s="6">
        <f>('TE BE'!$AB$8+'TE BF'!$AB$8+'TE CVA'!$AB$8)*1</f>
        <v>231.76257384332172</v>
      </c>
      <c r="AB777" s="6">
        <f>$K$777*$V$777</f>
        <v>0</v>
      </c>
      <c r="AC777" s="6">
        <f>$M$777*$W$777</f>
        <v>708577.46892000001</v>
      </c>
      <c r="AD777" s="6">
        <f>$O$777*$X$777</f>
        <v>2749828.6879199999</v>
      </c>
      <c r="AE777" s="6">
        <f>$K$777*$Y$777</f>
        <v>0</v>
      </c>
      <c r="AF777" s="6">
        <f ca="1">$M$777*$Z$777</f>
        <v>881913.41017482709</v>
      </c>
      <c r="AG777" s="6">
        <f>$O$777*$AA$777</f>
        <v>2624608.246192832</v>
      </c>
    </row>
    <row r="778" spans="1:33" ht="11.25" customHeight="1" x14ac:dyDescent="0.25">
      <c r="A778" s="4" t="s">
        <v>27</v>
      </c>
      <c r="B778" s="4" t="s">
        <v>41</v>
      </c>
      <c r="C778" s="4" t="s">
        <v>42</v>
      </c>
      <c r="D778" s="4" t="s">
        <v>43</v>
      </c>
      <c r="E778" s="4" t="s">
        <v>25</v>
      </c>
      <c r="F778" s="4" t="s">
        <v>25</v>
      </c>
      <c r="G778" s="4" t="s">
        <v>25</v>
      </c>
      <c r="H778" s="4" t="s">
        <v>35</v>
      </c>
      <c r="I778" s="5">
        <v>44682</v>
      </c>
      <c r="J778" s="6">
        <v>0</v>
      </c>
      <c r="K778" s="6">
        <v>0</v>
      </c>
      <c r="L778" s="6">
        <v>3.4609999999999999</v>
      </c>
      <c r="M778" s="6">
        <v>3.4609999999999999</v>
      </c>
      <c r="N778" s="6">
        <v>3.4609999999999999</v>
      </c>
      <c r="O778" s="6">
        <v>3.4609999999999999</v>
      </c>
      <c r="P778" s="6">
        <v>0</v>
      </c>
      <c r="Q778" s="4" t="s">
        <v>26</v>
      </c>
      <c r="R778" s="4">
        <v>0</v>
      </c>
      <c r="S778" s="6">
        <v>0</v>
      </c>
      <c r="T778" s="6">
        <v>44</v>
      </c>
      <c r="U778" s="6">
        <v>67</v>
      </c>
      <c r="V778" s="6">
        <f>IF(ISERROR(VLOOKUP($S$778,'TAR FIN'!$A$1:$O$104,15,0)),0,VLOOKUP($S$778,'TAR FIN'!$A$1:$O$104,15,0))</f>
        <v>0</v>
      </c>
      <c r="W778" s="6">
        <f>IF(ISERROR(VLOOKUP($T$778,'TAR FIN'!$A$1:$O$104,15,0)),0,VLOOKUP($T$778,'TAR FIN'!$A$1:$O$104,15,0))</f>
        <v>62.57</v>
      </c>
      <c r="X778" s="6">
        <f>IF(ISERROR(VLOOKUP($U$778,'TAR FIN'!$A$1:$O$104,15,0)),0,VLOOKUP($U$778,'TAR FIN'!$A$1:$O$104,15,0))</f>
        <v>242.82</v>
      </c>
      <c r="Y778" s="6"/>
      <c r="Z778" s="6">
        <f ca="1">('TUSD BE'!$AM$26+'TUSD BF'!$AM$26+'TUSD CVA'!$AM$26)*1</f>
        <v>77.876201961015255</v>
      </c>
      <c r="AA778" s="6">
        <f>('TE BE'!$AB$8+'TE BF'!$AB$8+'TE CVA'!$AB$8)*1</f>
        <v>231.76257384332172</v>
      </c>
      <c r="AB778" s="6">
        <f>$K$778*$V$778</f>
        <v>0</v>
      </c>
      <c r="AC778" s="6">
        <f>$M$778*$W$778</f>
        <v>216.55476999999999</v>
      </c>
      <c r="AD778" s="6">
        <f>$O$778*$X$778</f>
        <v>840.40001999999993</v>
      </c>
      <c r="AE778" s="6">
        <f>$K$778*$Y$778</f>
        <v>0</v>
      </c>
      <c r="AF778" s="6">
        <f ca="1">$M$778*$Z$778</f>
        <v>269.52953498707376</v>
      </c>
      <c r="AG778" s="6">
        <f>$O$778*$AA$778</f>
        <v>802.1302680717364</v>
      </c>
    </row>
    <row r="779" spans="1:33" ht="11.25" customHeight="1" x14ac:dyDescent="0.25">
      <c r="A779" s="4" t="s">
        <v>28</v>
      </c>
      <c r="B779" s="4" t="s">
        <v>41</v>
      </c>
      <c r="C779" s="4" t="s">
        <v>42</v>
      </c>
      <c r="D779" s="4" t="s">
        <v>43</v>
      </c>
      <c r="E779" s="4" t="s">
        <v>25</v>
      </c>
      <c r="F779" s="4" t="s">
        <v>25</v>
      </c>
      <c r="G779" s="4" t="s">
        <v>25</v>
      </c>
      <c r="H779" s="4" t="s">
        <v>35</v>
      </c>
      <c r="I779" s="5">
        <v>44682</v>
      </c>
      <c r="J779" s="6">
        <v>0</v>
      </c>
      <c r="K779" s="6">
        <v>0</v>
      </c>
      <c r="L779" s="6">
        <v>822.24900000000002</v>
      </c>
      <c r="M779" s="6">
        <v>822.24900000000002</v>
      </c>
      <c r="N779" s="6">
        <v>822.24900000000002</v>
      </c>
      <c r="O779" s="6">
        <v>822.24900000000002</v>
      </c>
      <c r="P779" s="6">
        <v>0</v>
      </c>
      <c r="Q779" s="4" t="s">
        <v>26</v>
      </c>
      <c r="R779" s="4">
        <v>0</v>
      </c>
      <c r="S779" s="6">
        <v>0</v>
      </c>
      <c r="T779" s="6">
        <v>44</v>
      </c>
      <c r="U779" s="6">
        <v>67</v>
      </c>
      <c r="V779" s="6">
        <f>IF(ISERROR(VLOOKUP($S$779,'TAR FIN'!$A$1:$O$104,15,0)),0,VLOOKUP($S$779,'TAR FIN'!$A$1:$O$104,15,0))</f>
        <v>0</v>
      </c>
      <c r="W779" s="6">
        <f>IF(ISERROR(VLOOKUP($T$779,'TAR FIN'!$A$1:$O$104,15,0)),0,VLOOKUP($T$779,'TAR FIN'!$A$1:$O$104,15,0))</f>
        <v>62.57</v>
      </c>
      <c r="X779" s="6">
        <f>IF(ISERROR(VLOOKUP($U$779,'TAR FIN'!$A$1:$O$104,15,0)),0,VLOOKUP($U$779,'TAR FIN'!$A$1:$O$104,15,0))</f>
        <v>242.82</v>
      </c>
      <c r="Y779" s="6"/>
      <c r="Z779" s="6">
        <f ca="1">('TUSD BE'!$AM$26+'TUSD BF'!$AM$26+'TUSD CVA'!$AM$26)*1</f>
        <v>77.876201961015255</v>
      </c>
      <c r="AA779" s="6">
        <f>('TE BE'!$AB$8+'TE BF'!$AB$8+'TE CVA'!$AB$8)*1</f>
        <v>231.76257384332172</v>
      </c>
      <c r="AB779" s="6">
        <f>$K$779*$V$779</f>
        <v>0</v>
      </c>
      <c r="AC779" s="6">
        <f>$M$779*$W$779</f>
        <v>51448.119930000001</v>
      </c>
      <c r="AD779" s="6">
        <f>$O$779*$X$779</f>
        <v>199658.50218000001</v>
      </c>
      <c r="AE779" s="6">
        <f>$K$779*$Y$779</f>
        <v>0</v>
      </c>
      <c r="AF779" s="6">
        <f ca="1">$M$779*$Z$779</f>
        <v>64033.629186242833</v>
      </c>
      <c r="AG779" s="6">
        <f>$O$779*$AA$779</f>
        <v>190566.54458009746</v>
      </c>
    </row>
    <row r="780" spans="1:33" ht="11.25" customHeight="1" x14ac:dyDescent="0.25">
      <c r="A780" s="4" t="s">
        <v>21</v>
      </c>
      <c r="B780" s="4" t="s">
        <v>41</v>
      </c>
      <c r="C780" s="4" t="s">
        <v>42</v>
      </c>
      <c r="D780" s="4" t="s">
        <v>43</v>
      </c>
      <c r="E780" s="4" t="s">
        <v>25</v>
      </c>
      <c r="F780" s="4" t="s">
        <v>25</v>
      </c>
      <c r="G780" s="4" t="s">
        <v>25</v>
      </c>
      <c r="H780" s="4" t="s">
        <v>35</v>
      </c>
      <c r="I780" s="5">
        <v>44713</v>
      </c>
      <c r="J780" s="6">
        <v>0</v>
      </c>
      <c r="K780" s="6">
        <v>0</v>
      </c>
      <c r="L780" s="6">
        <v>10196.415000000001</v>
      </c>
      <c r="M780" s="6">
        <v>10196.415000000001</v>
      </c>
      <c r="N780" s="6">
        <v>10196.415000000001</v>
      </c>
      <c r="O780" s="6">
        <v>10196.415000000001</v>
      </c>
      <c r="P780" s="6">
        <v>0</v>
      </c>
      <c r="Q780" s="4" t="s">
        <v>26</v>
      </c>
      <c r="R780" s="4">
        <v>0</v>
      </c>
      <c r="S780" s="6">
        <v>0</v>
      </c>
      <c r="T780" s="6">
        <v>44</v>
      </c>
      <c r="U780" s="6">
        <v>67</v>
      </c>
      <c r="V780" s="6">
        <f>IF(ISERROR(VLOOKUP($S$780,'TAR FIN'!$A$1:$O$104,15,0)),0,VLOOKUP($S$780,'TAR FIN'!$A$1:$O$104,15,0))</f>
        <v>0</v>
      </c>
      <c r="W780" s="6">
        <f>IF(ISERROR(VLOOKUP($T$780,'TAR FIN'!$A$1:$O$104,15,0)),0,VLOOKUP($T$780,'TAR FIN'!$A$1:$O$104,15,0))</f>
        <v>62.57</v>
      </c>
      <c r="X780" s="6">
        <f>IF(ISERROR(VLOOKUP($U$780,'TAR FIN'!$A$1:$O$104,15,0)),0,VLOOKUP($U$780,'TAR FIN'!$A$1:$O$104,15,0))</f>
        <v>242.82</v>
      </c>
      <c r="Y780" s="6"/>
      <c r="Z780" s="6">
        <f ca="1">('TUSD BE'!$AM$26+'TUSD BF'!$AM$26+'TUSD CVA'!$AM$26)*1</f>
        <v>77.876201961015255</v>
      </c>
      <c r="AA780" s="6">
        <f>('TE BE'!$AB$8+'TE BF'!$AB$8+'TE CVA'!$AB$8)*1</f>
        <v>231.76257384332172</v>
      </c>
      <c r="AB780" s="6">
        <f>$K$780*$V$780</f>
        <v>0</v>
      </c>
      <c r="AC780" s="6">
        <f>$M$780*$W$780</f>
        <v>637989.6865500001</v>
      </c>
      <c r="AD780" s="6">
        <f>$O$780*$X$780</f>
        <v>2475893.4903000002</v>
      </c>
      <c r="AE780" s="6">
        <f>$K$780*$Y$780</f>
        <v>0</v>
      </c>
      <c r="AF780" s="6">
        <f ca="1">$M$780*$Z$780</f>
        <v>794058.07381832541</v>
      </c>
      <c r="AG780" s="6">
        <f>$O$780*$AA$780</f>
        <v>2363147.3843746535</v>
      </c>
    </row>
    <row r="781" spans="1:33" ht="11.25" customHeight="1" x14ac:dyDescent="0.25">
      <c r="A781" s="4" t="s">
        <v>27</v>
      </c>
      <c r="B781" s="4" t="s">
        <v>41</v>
      </c>
      <c r="C781" s="4" t="s">
        <v>42</v>
      </c>
      <c r="D781" s="4" t="s">
        <v>43</v>
      </c>
      <c r="E781" s="4" t="s">
        <v>25</v>
      </c>
      <c r="F781" s="4" t="s">
        <v>25</v>
      </c>
      <c r="G781" s="4" t="s">
        <v>25</v>
      </c>
      <c r="H781" s="4" t="s">
        <v>35</v>
      </c>
      <c r="I781" s="5">
        <v>44713</v>
      </c>
      <c r="J781" s="6">
        <v>0</v>
      </c>
      <c r="K781" s="6">
        <v>0</v>
      </c>
      <c r="L781" s="6">
        <v>2.4380000000000002</v>
      </c>
      <c r="M781" s="6">
        <v>2.4380000000000002</v>
      </c>
      <c r="N781" s="6">
        <v>2.4380000000000002</v>
      </c>
      <c r="O781" s="6">
        <v>2.4380000000000002</v>
      </c>
      <c r="P781" s="6">
        <v>0</v>
      </c>
      <c r="Q781" s="4" t="s">
        <v>26</v>
      </c>
      <c r="R781" s="4">
        <v>0</v>
      </c>
      <c r="S781" s="6">
        <v>0</v>
      </c>
      <c r="T781" s="6">
        <v>44</v>
      </c>
      <c r="U781" s="6">
        <v>67</v>
      </c>
      <c r="V781" s="6">
        <f>IF(ISERROR(VLOOKUP($S$781,'TAR FIN'!$A$1:$O$104,15,0)),0,VLOOKUP($S$781,'TAR FIN'!$A$1:$O$104,15,0))</f>
        <v>0</v>
      </c>
      <c r="W781" s="6">
        <f>IF(ISERROR(VLOOKUP($T$781,'TAR FIN'!$A$1:$O$104,15,0)),0,VLOOKUP($T$781,'TAR FIN'!$A$1:$O$104,15,0))</f>
        <v>62.57</v>
      </c>
      <c r="X781" s="6">
        <f>IF(ISERROR(VLOOKUP($U$781,'TAR FIN'!$A$1:$O$104,15,0)),0,VLOOKUP($U$781,'TAR FIN'!$A$1:$O$104,15,0))</f>
        <v>242.82</v>
      </c>
      <c r="Y781" s="6"/>
      <c r="Z781" s="6">
        <f ca="1">('TUSD BE'!$AM$26+'TUSD BF'!$AM$26+'TUSD CVA'!$AM$26)*1</f>
        <v>77.876201961015255</v>
      </c>
      <c r="AA781" s="6">
        <f>('TE BE'!$AB$8+'TE BF'!$AB$8+'TE CVA'!$AB$8)*1</f>
        <v>231.76257384332172</v>
      </c>
      <c r="AB781" s="6">
        <f>$K$781*$V$781</f>
        <v>0</v>
      </c>
      <c r="AC781" s="6">
        <f>$M$781*$W$781</f>
        <v>152.54566</v>
      </c>
      <c r="AD781" s="6">
        <f>$O$781*$X$781</f>
        <v>591.99516000000006</v>
      </c>
      <c r="AE781" s="6">
        <f>$K$781*$Y$781</f>
        <v>0</v>
      </c>
      <c r="AF781" s="6">
        <f ca="1">$M$781*$Z$781</f>
        <v>189.86218038095521</v>
      </c>
      <c r="AG781" s="6">
        <f>$O$781*$AA$781</f>
        <v>565.03715503001843</v>
      </c>
    </row>
    <row r="782" spans="1:33" ht="11.25" customHeight="1" x14ac:dyDescent="0.25">
      <c r="A782" s="4" t="s">
        <v>28</v>
      </c>
      <c r="B782" s="4" t="s">
        <v>41</v>
      </c>
      <c r="C782" s="4" t="s">
        <v>42</v>
      </c>
      <c r="D782" s="4" t="s">
        <v>43</v>
      </c>
      <c r="E782" s="4" t="s">
        <v>25</v>
      </c>
      <c r="F782" s="4" t="s">
        <v>25</v>
      </c>
      <c r="G782" s="4" t="s">
        <v>25</v>
      </c>
      <c r="H782" s="4" t="s">
        <v>35</v>
      </c>
      <c r="I782" s="5">
        <v>44713</v>
      </c>
      <c r="J782" s="6">
        <v>0</v>
      </c>
      <c r="K782" s="6">
        <v>0</v>
      </c>
      <c r="L782" s="6">
        <v>693.97900000000004</v>
      </c>
      <c r="M782" s="6">
        <v>693.97900000000004</v>
      </c>
      <c r="N782" s="6">
        <v>693.97900000000004</v>
      </c>
      <c r="O782" s="6">
        <v>693.97900000000004</v>
      </c>
      <c r="P782" s="6">
        <v>0</v>
      </c>
      <c r="Q782" s="4" t="s">
        <v>26</v>
      </c>
      <c r="R782" s="4">
        <v>0</v>
      </c>
      <c r="S782" s="6">
        <v>0</v>
      </c>
      <c r="T782" s="6">
        <v>44</v>
      </c>
      <c r="U782" s="6">
        <v>67</v>
      </c>
      <c r="V782" s="6">
        <f>IF(ISERROR(VLOOKUP($S$782,'TAR FIN'!$A$1:$O$104,15,0)),0,VLOOKUP($S$782,'TAR FIN'!$A$1:$O$104,15,0))</f>
        <v>0</v>
      </c>
      <c r="W782" s="6">
        <f>IF(ISERROR(VLOOKUP($T$782,'TAR FIN'!$A$1:$O$104,15,0)),0,VLOOKUP($T$782,'TAR FIN'!$A$1:$O$104,15,0))</f>
        <v>62.57</v>
      </c>
      <c r="X782" s="6">
        <f>IF(ISERROR(VLOOKUP($U$782,'TAR FIN'!$A$1:$O$104,15,0)),0,VLOOKUP($U$782,'TAR FIN'!$A$1:$O$104,15,0))</f>
        <v>242.82</v>
      </c>
      <c r="Y782" s="6"/>
      <c r="Z782" s="6">
        <f ca="1">('TUSD BE'!$AM$26+'TUSD BF'!$AM$26+'TUSD CVA'!$AM$26)*1</f>
        <v>77.876201961015255</v>
      </c>
      <c r="AA782" s="6">
        <f>('TE BE'!$AB$8+'TE BF'!$AB$8+'TE CVA'!$AB$8)*1</f>
        <v>231.76257384332172</v>
      </c>
      <c r="AB782" s="6">
        <f>$K$782*$V$782</f>
        <v>0</v>
      </c>
      <c r="AC782" s="6">
        <f>$M$782*$W$782</f>
        <v>43422.266030000006</v>
      </c>
      <c r="AD782" s="6">
        <f>$O$782*$X$782</f>
        <v>168511.98078000001</v>
      </c>
      <c r="AE782" s="6">
        <f>$K$782*$Y$782</f>
        <v>0</v>
      </c>
      <c r="AF782" s="6">
        <f ca="1">$M$782*$Z$782</f>
        <v>54044.44876070341</v>
      </c>
      <c r="AG782" s="6">
        <f>$O$782*$AA$782</f>
        <v>160838.35923321458</v>
      </c>
    </row>
    <row r="783" spans="1:33" ht="11.25" customHeight="1" x14ac:dyDescent="0.25">
      <c r="A783" s="4" t="s">
        <v>28</v>
      </c>
      <c r="B783" s="4" t="s">
        <v>41</v>
      </c>
      <c r="C783" s="4" t="s">
        <v>42</v>
      </c>
      <c r="D783" s="4" t="s">
        <v>43</v>
      </c>
      <c r="E783" s="4" t="s">
        <v>25</v>
      </c>
      <c r="F783" s="4" t="s">
        <v>25</v>
      </c>
      <c r="G783" s="4" t="s">
        <v>25</v>
      </c>
      <c r="H783" s="4" t="s">
        <v>35</v>
      </c>
      <c r="I783" s="5">
        <v>44713</v>
      </c>
      <c r="J783" s="6">
        <v>0</v>
      </c>
      <c r="K783" s="6">
        <v>0</v>
      </c>
      <c r="L783" s="6">
        <v>-10.134</v>
      </c>
      <c r="M783" s="6">
        <v>-10.134</v>
      </c>
      <c r="N783" s="6">
        <v>-10.134</v>
      </c>
      <c r="O783" s="6">
        <v>-10.134</v>
      </c>
      <c r="P783" s="6">
        <v>0</v>
      </c>
      <c r="Q783" s="4" t="s">
        <v>26</v>
      </c>
      <c r="R783" s="4">
        <v>0</v>
      </c>
      <c r="S783" s="6">
        <v>0</v>
      </c>
      <c r="T783" s="6">
        <v>44</v>
      </c>
      <c r="U783" s="6">
        <v>67</v>
      </c>
      <c r="V783" s="6">
        <f>IF(ISERROR(VLOOKUP($S$783,'TAR FIN'!$A$1:$O$104,15,0)),0,VLOOKUP($S$783,'TAR FIN'!$A$1:$O$104,15,0))</f>
        <v>0</v>
      </c>
      <c r="W783" s="6">
        <f>IF(ISERROR(VLOOKUP($T$783,'TAR FIN'!$A$1:$O$104,15,0)),0,VLOOKUP($T$783,'TAR FIN'!$A$1:$O$104,15,0))</f>
        <v>62.57</v>
      </c>
      <c r="X783" s="6">
        <f>IF(ISERROR(VLOOKUP($U$783,'TAR FIN'!$A$1:$O$104,15,0)),0,VLOOKUP($U$783,'TAR FIN'!$A$1:$O$104,15,0))</f>
        <v>242.82</v>
      </c>
      <c r="Y783" s="6"/>
      <c r="Z783" s="6">
        <f ca="1">('TUSD BE'!$AM$26+'TUSD BF'!$AM$26+'TUSD CVA'!$AM$26)*1</f>
        <v>77.876201961015255</v>
      </c>
      <c r="AA783" s="6">
        <f>('TE BE'!$AB$8+'TE BF'!$AB$8+'TE CVA'!$AB$8)*1</f>
        <v>231.76257384332172</v>
      </c>
      <c r="AB783" s="6">
        <f>$K$783*$V$783</f>
        <v>0</v>
      </c>
      <c r="AC783" s="6">
        <f>$M$783*$W$783</f>
        <v>-634.08438000000001</v>
      </c>
      <c r="AD783" s="6">
        <f>$O$783*$X$783</f>
        <v>-2460.7378800000001</v>
      </c>
      <c r="AE783" s="6">
        <f>$K$783*$Y$783</f>
        <v>0</v>
      </c>
      <c r="AF783" s="6">
        <f ca="1">$M$783*$Z$783</f>
        <v>-789.19743067292859</v>
      </c>
      <c r="AG783" s="6">
        <f>$O$783*$AA$783</f>
        <v>-2348.6819233282222</v>
      </c>
    </row>
    <row r="784" spans="1:33" ht="11.25" customHeight="1" x14ac:dyDescent="0.25">
      <c r="A784" s="4" t="s">
        <v>57</v>
      </c>
      <c r="B784" s="4" t="s">
        <v>41</v>
      </c>
      <c r="C784" s="4" t="s">
        <v>42</v>
      </c>
      <c r="D784" s="4" t="s">
        <v>43</v>
      </c>
      <c r="E784" s="4" t="s">
        <v>25</v>
      </c>
      <c r="F784" s="4" t="s">
        <v>25</v>
      </c>
      <c r="G784" s="4" t="s">
        <v>25</v>
      </c>
      <c r="H784" s="4" t="s">
        <v>35</v>
      </c>
      <c r="I784" s="5">
        <v>44743</v>
      </c>
      <c r="J784" s="6">
        <v>0</v>
      </c>
      <c r="K784" s="6">
        <v>0</v>
      </c>
      <c r="L784" s="6">
        <v>10196.415000000001</v>
      </c>
      <c r="M784" s="6">
        <v>10196.415000000001</v>
      </c>
      <c r="N784" s="6">
        <v>10196.415000000001</v>
      </c>
      <c r="O784" s="6">
        <v>10196.415000000001</v>
      </c>
      <c r="P784" s="6">
        <v>0</v>
      </c>
      <c r="Q784" s="4" t="s">
        <v>26</v>
      </c>
      <c r="R784" s="4">
        <v>0</v>
      </c>
      <c r="S784" s="6">
        <v>0</v>
      </c>
      <c r="T784" s="6">
        <v>44</v>
      </c>
      <c r="U784" s="6">
        <v>67</v>
      </c>
      <c r="V784" s="6">
        <f>IF(ISERROR(VLOOKUP($S$784,'TAR FIN'!$A$1:$O$104,15,0)),0,VLOOKUP($S$784,'TAR FIN'!$A$1:$O$104,15,0))</f>
        <v>0</v>
      </c>
      <c r="W784" s="6">
        <f>IF(ISERROR(VLOOKUP($T$784,'TAR FIN'!$A$1:$O$104,15,0)),0,VLOOKUP($T$784,'TAR FIN'!$A$1:$O$104,15,0))</f>
        <v>62.57</v>
      </c>
      <c r="X784" s="6">
        <f>IF(ISERROR(VLOOKUP($U$784,'TAR FIN'!$A$1:$O$104,15,0)),0,VLOOKUP($U$784,'TAR FIN'!$A$1:$O$104,15,0))</f>
        <v>242.82</v>
      </c>
      <c r="Y784" s="6"/>
      <c r="Z784" s="6">
        <f ca="1">('TUSD BE'!$AM$26+'TUSD BF'!$AM$26+'TUSD CVA'!$AM$26)*1</f>
        <v>77.876201961015255</v>
      </c>
      <c r="AA784" s="6">
        <f>('TE BE'!$AB$8+'TE BF'!$AB$8+'TE CVA'!$AB$8)*1</f>
        <v>231.76257384332172</v>
      </c>
      <c r="AB784" s="6">
        <f>$K$784*$V$784</f>
        <v>0</v>
      </c>
      <c r="AC784" s="6">
        <f>$M$784*$W$784</f>
        <v>637989.6865500001</v>
      </c>
      <c r="AD784" s="6">
        <f>$O$784*$X$784</f>
        <v>2475893.4903000002</v>
      </c>
      <c r="AE784" s="6">
        <f>$K$784*$Y$784</f>
        <v>0</v>
      </c>
      <c r="AF784" s="6">
        <f ca="1">$M$784*$Z$784</f>
        <v>794058.07381832541</v>
      </c>
      <c r="AG784" s="6">
        <f>$O$784*$AA$784</f>
        <v>2363147.3843746535</v>
      </c>
    </row>
    <row r="785" spans="1:33" ht="11.25" customHeight="1" x14ac:dyDescent="0.25">
      <c r="A785" s="4" t="s">
        <v>57</v>
      </c>
      <c r="B785" s="4" t="s">
        <v>41</v>
      </c>
      <c r="C785" s="4" t="s">
        <v>42</v>
      </c>
      <c r="D785" s="4" t="s">
        <v>43</v>
      </c>
      <c r="E785" s="4" t="s">
        <v>25</v>
      </c>
      <c r="F785" s="4" t="s">
        <v>25</v>
      </c>
      <c r="G785" s="4" t="s">
        <v>25</v>
      </c>
      <c r="H785" s="4" t="s">
        <v>35</v>
      </c>
      <c r="I785" s="5">
        <v>44743</v>
      </c>
      <c r="J785" s="6">
        <v>0</v>
      </c>
      <c r="K785" s="6">
        <v>0</v>
      </c>
      <c r="L785" s="6">
        <v>2.4380000000000002</v>
      </c>
      <c r="M785" s="6">
        <v>2.4380000000000002</v>
      </c>
      <c r="N785" s="6">
        <v>2.4380000000000002</v>
      </c>
      <c r="O785" s="6">
        <v>2.4380000000000002</v>
      </c>
      <c r="P785" s="6">
        <v>0</v>
      </c>
      <c r="Q785" s="4" t="s">
        <v>26</v>
      </c>
      <c r="R785" s="4">
        <v>0</v>
      </c>
      <c r="S785" s="6">
        <v>0</v>
      </c>
      <c r="T785" s="6">
        <v>44</v>
      </c>
      <c r="U785" s="6">
        <v>67</v>
      </c>
      <c r="V785" s="6">
        <f>IF(ISERROR(VLOOKUP($S$785,'TAR FIN'!$A$1:$O$104,15,0)),0,VLOOKUP($S$785,'TAR FIN'!$A$1:$O$104,15,0))</f>
        <v>0</v>
      </c>
      <c r="W785" s="6">
        <f>IF(ISERROR(VLOOKUP($T$785,'TAR FIN'!$A$1:$O$104,15,0)),0,VLOOKUP($T$785,'TAR FIN'!$A$1:$O$104,15,0))</f>
        <v>62.57</v>
      </c>
      <c r="X785" s="6">
        <f>IF(ISERROR(VLOOKUP($U$785,'TAR FIN'!$A$1:$O$104,15,0)),0,VLOOKUP($U$785,'TAR FIN'!$A$1:$O$104,15,0))</f>
        <v>242.82</v>
      </c>
      <c r="Y785" s="6"/>
      <c r="Z785" s="6">
        <f ca="1">('TUSD BE'!$AM$26+'TUSD BF'!$AM$26+'TUSD CVA'!$AM$26)*1</f>
        <v>77.876201961015255</v>
      </c>
      <c r="AA785" s="6">
        <f>('TE BE'!$AB$8+'TE BF'!$AB$8+'TE CVA'!$AB$8)*1</f>
        <v>231.76257384332172</v>
      </c>
      <c r="AB785" s="6">
        <f>$K$785*$V$785</f>
        <v>0</v>
      </c>
      <c r="AC785" s="6">
        <f>$M$785*$W$785</f>
        <v>152.54566</v>
      </c>
      <c r="AD785" s="6">
        <f>$O$785*$X$785</f>
        <v>591.99516000000006</v>
      </c>
      <c r="AE785" s="6">
        <f>$K$785*$Y$785</f>
        <v>0</v>
      </c>
      <c r="AF785" s="6">
        <f ca="1">$M$785*$Z$785</f>
        <v>189.86218038095521</v>
      </c>
      <c r="AG785" s="6">
        <f>$O$785*$AA$785</f>
        <v>565.03715503001843</v>
      </c>
    </row>
    <row r="786" spans="1:33" ht="11.25" customHeight="1" x14ac:dyDescent="0.25">
      <c r="A786" s="4" t="s">
        <v>57</v>
      </c>
      <c r="B786" s="4" t="s">
        <v>41</v>
      </c>
      <c r="C786" s="4" t="s">
        <v>42</v>
      </c>
      <c r="D786" s="4" t="s">
        <v>43</v>
      </c>
      <c r="E786" s="4" t="s">
        <v>25</v>
      </c>
      <c r="F786" s="4" t="s">
        <v>25</v>
      </c>
      <c r="G786" s="4" t="s">
        <v>25</v>
      </c>
      <c r="H786" s="4" t="s">
        <v>35</v>
      </c>
      <c r="I786" s="5">
        <v>44743</v>
      </c>
      <c r="J786" s="6">
        <v>0</v>
      </c>
      <c r="K786" s="6">
        <v>0</v>
      </c>
      <c r="L786" s="6">
        <v>693.97900000000004</v>
      </c>
      <c r="M786" s="6">
        <v>693.97900000000004</v>
      </c>
      <c r="N786" s="6">
        <v>693.97900000000004</v>
      </c>
      <c r="O786" s="6">
        <v>693.97900000000004</v>
      </c>
      <c r="P786" s="6">
        <v>0</v>
      </c>
      <c r="Q786" s="4" t="s">
        <v>26</v>
      </c>
      <c r="R786" s="4">
        <v>0</v>
      </c>
      <c r="S786" s="6">
        <v>0</v>
      </c>
      <c r="T786" s="6">
        <v>44</v>
      </c>
      <c r="U786" s="6">
        <v>67</v>
      </c>
      <c r="V786" s="6">
        <f>IF(ISERROR(VLOOKUP($S$786,'TAR FIN'!$A$1:$O$104,15,0)),0,VLOOKUP($S$786,'TAR FIN'!$A$1:$O$104,15,0))</f>
        <v>0</v>
      </c>
      <c r="W786" s="6">
        <f>IF(ISERROR(VLOOKUP($T$786,'TAR FIN'!$A$1:$O$104,15,0)),0,VLOOKUP($T$786,'TAR FIN'!$A$1:$O$104,15,0))</f>
        <v>62.57</v>
      </c>
      <c r="X786" s="6">
        <f>IF(ISERROR(VLOOKUP($U$786,'TAR FIN'!$A$1:$O$104,15,0)),0,VLOOKUP($U$786,'TAR FIN'!$A$1:$O$104,15,0))</f>
        <v>242.82</v>
      </c>
      <c r="Y786" s="6"/>
      <c r="Z786" s="6">
        <f ca="1">('TUSD BE'!$AM$26+'TUSD BF'!$AM$26+'TUSD CVA'!$AM$26)*1</f>
        <v>77.876201961015255</v>
      </c>
      <c r="AA786" s="6">
        <f>('TE BE'!$AB$8+'TE BF'!$AB$8+'TE CVA'!$AB$8)*1</f>
        <v>231.76257384332172</v>
      </c>
      <c r="AB786" s="6">
        <f>$K$786*$V$786</f>
        <v>0</v>
      </c>
      <c r="AC786" s="6">
        <f>$M$786*$W$786</f>
        <v>43422.266030000006</v>
      </c>
      <c r="AD786" s="6">
        <f>$O$786*$X$786</f>
        <v>168511.98078000001</v>
      </c>
      <c r="AE786" s="6">
        <f>$K$786*$Y$786</f>
        <v>0</v>
      </c>
      <c r="AF786" s="6">
        <f ca="1">$M$786*$Z$786</f>
        <v>54044.44876070341</v>
      </c>
      <c r="AG786" s="6">
        <f>$O$786*$AA$786</f>
        <v>160838.35923321458</v>
      </c>
    </row>
    <row r="787" spans="1:33" ht="11.25" customHeight="1" x14ac:dyDescent="0.25">
      <c r="A787" s="4" t="s">
        <v>57</v>
      </c>
      <c r="B787" s="4" t="s">
        <v>41</v>
      </c>
      <c r="C787" s="4" t="s">
        <v>42</v>
      </c>
      <c r="D787" s="4" t="s">
        <v>43</v>
      </c>
      <c r="E787" s="4" t="s">
        <v>25</v>
      </c>
      <c r="F787" s="4" t="s">
        <v>25</v>
      </c>
      <c r="G787" s="4" t="s">
        <v>25</v>
      </c>
      <c r="H787" s="4" t="s">
        <v>35</v>
      </c>
      <c r="I787" s="5">
        <v>44743</v>
      </c>
      <c r="J787" s="6">
        <v>0</v>
      </c>
      <c r="K787" s="6">
        <v>0</v>
      </c>
      <c r="L787" s="6">
        <v>-10.134</v>
      </c>
      <c r="M787" s="6">
        <v>-10.134</v>
      </c>
      <c r="N787" s="6">
        <v>-10.134</v>
      </c>
      <c r="O787" s="6">
        <v>-10.134</v>
      </c>
      <c r="P787" s="6">
        <v>0</v>
      </c>
      <c r="Q787" s="4" t="s">
        <v>26</v>
      </c>
      <c r="R787" s="4">
        <v>0</v>
      </c>
      <c r="S787" s="6">
        <v>0</v>
      </c>
      <c r="T787" s="6">
        <v>44</v>
      </c>
      <c r="U787" s="6">
        <v>67</v>
      </c>
      <c r="V787" s="6">
        <f>IF(ISERROR(VLOOKUP($S$787,'TAR FIN'!$A$1:$O$104,15,0)),0,VLOOKUP($S$787,'TAR FIN'!$A$1:$O$104,15,0))</f>
        <v>0</v>
      </c>
      <c r="W787" s="6">
        <f>IF(ISERROR(VLOOKUP($T$787,'TAR FIN'!$A$1:$O$104,15,0)),0,VLOOKUP($T$787,'TAR FIN'!$A$1:$O$104,15,0))</f>
        <v>62.57</v>
      </c>
      <c r="X787" s="6">
        <f>IF(ISERROR(VLOOKUP($U$787,'TAR FIN'!$A$1:$O$104,15,0)),0,VLOOKUP($U$787,'TAR FIN'!$A$1:$O$104,15,0))</f>
        <v>242.82</v>
      </c>
      <c r="Y787" s="6"/>
      <c r="Z787" s="6">
        <f ca="1">('TUSD BE'!$AM$26+'TUSD BF'!$AM$26+'TUSD CVA'!$AM$26)*1</f>
        <v>77.876201961015255</v>
      </c>
      <c r="AA787" s="6">
        <f>('TE BE'!$AB$8+'TE BF'!$AB$8+'TE CVA'!$AB$8)*1</f>
        <v>231.76257384332172</v>
      </c>
      <c r="AB787" s="6">
        <f>$K$787*$V$787</f>
        <v>0</v>
      </c>
      <c r="AC787" s="6">
        <f>$M$787*$W$787</f>
        <v>-634.08438000000001</v>
      </c>
      <c r="AD787" s="6">
        <f>$O$787*$X$787</f>
        <v>-2460.7378800000001</v>
      </c>
      <c r="AE787" s="6">
        <f>$K$787*$Y$787</f>
        <v>0</v>
      </c>
      <c r="AF787" s="6">
        <f ca="1">$M$787*$Z$787</f>
        <v>-789.19743067292859</v>
      </c>
      <c r="AG787" s="6">
        <f>$O$787*$AA$787</f>
        <v>-2348.6819233282222</v>
      </c>
    </row>
    <row r="788" spans="1:33" ht="11.25" customHeight="1" x14ac:dyDescent="0.25">
      <c r="A788" s="4" t="s">
        <v>21</v>
      </c>
      <c r="B788" s="4" t="s">
        <v>41</v>
      </c>
      <c r="C788" s="4" t="s">
        <v>42</v>
      </c>
      <c r="D788" s="4" t="s">
        <v>43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44409</v>
      </c>
      <c r="J788" s="6">
        <v>52957</v>
      </c>
      <c r="K788" s="6">
        <v>52957</v>
      </c>
      <c r="L788" s="6">
        <v>0</v>
      </c>
      <c r="M788" s="6">
        <v>0</v>
      </c>
      <c r="N788" s="6">
        <v>0</v>
      </c>
      <c r="O788" s="6">
        <v>0</v>
      </c>
      <c r="P788" s="6">
        <v>559</v>
      </c>
      <c r="Q788" s="4" t="s">
        <v>26</v>
      </c>
      <c r="R788" s="4">
        <v>0</v>
      </c>
      <c r="S788" s="6">
        <v>40</v>
      </c>
      <c r="T788" s="6">
        <v>0</v>
      </c>
      <c r="U788" s="6">
        <v>0</v>
      </c>
      <c r="V788" s="6">
        <f>IF(ISERROR(VLOOKUP($S$788,'TAR FIN'!$A$1:$O$104,15,0)),0,VLOOKUP($S$788,'TAR FIN'!$A$1:$O$104,15,0))</f>
        <v>26.22</v>
      </c>
      <c r="W788" s="6">
        <f>IF(ISERROR(VLOOKUP($T$788,'TAR FIN'!$A$1:$O$104,15,0)),0,VLOOKUP($T$788,'TAR FIN'!$A$1:$O$104,15,0))</f>
        <v>0</v>
      </c>
      <c r="X788" s="6">
        <f>IF(ISERROR(VLOOKUP($U$788,'TAR FIN'!$A$1:$O$104,15,0)),0,VLOOKUP($U$788,'TAR FIN'!$A$1:$O$104,15,0))</f>
        <v>0</v>
      </c>
      <c r="Y788" s="6">
        <f ca="1">('TUSD BE'!$AM$24+'TUSD BF'!$AM$24+'TUSD CVA'!$AM$24)*1</f>
        <v>26.280164278980507</v>
      </c>
      <c r="Z788" s="6"/>
      <c r="AA788" s="6"/>
      <c r="AB788" s="6">
        <f>$K$788*$V$788</f>
        <v>1388532.54</v>
      </c>
      <c r="AC788" s="6">
        <f>$M$788*$W$788</f>
        <v>0</v>
      </c>
      <c r="AD788" s="6">
        <f>$O$788*$X$788</f>
        <v>0</v>
      </c>
      <c r="AE788" s="6">
        <f ca="1">$K$788*$Y$788</f>
        <v>1391718.6597219708</v>
      </c>
      <c r="AF788" s="6">
        <f>$M$788*$Z$788</f>
        <v>0</v>
      </c>
      <c r="AG788" s="6">
        <f>$O$788*$AA$788</f>
        <v>0</v>
      </c>
    </row>
    <row r="789" spans="1:33" ht="11.25" customHeight="1" x14ac:dyDescent="0.25">
      <c r="A789" s="4" t="s">
        <v>28</v>
      </c>
      <c r="B789" s="4" t="s">
        <v>41</v>
      </c>
      <c r="C789" s="4" t="s">
        <v>42</v>
      </c>
      <c r="D789" s="4" t="s">
        <v>43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44409</v>
      </c>
      <c r="J789" s="6">
        <v>11870</v>
      </c>
      <c r="K789" s="6">
        <v>11870</v>
      </c>
      <c r="L789" s="6">
        <v>0</v>
      </c>
      <c r="M789" s="6">
        <v>0</v>
      </c>
      <c r="N789" s="6">
        <v>0</v>
      </c>
      <c r="O789" s="6">
        <v>0</v>
      </c>
      <c r="P789" s="6">
        <v>44</v>
      </c>
      <c r="Q789" s="4" t="s">
        <v>26</v>
      </c>
      <c r="R789" s="4">
        <v>0</v>
      </c>
      <c r="S789" s="6">
        <v>40</v>
      </c>
      <c r="T789" s="6">
        <v>0</v>
      </c>
      <c r="U789" s="6">
        <v>0</v>
      </c>
      <c r="V789" s="6">
        <f>IF(ISERROR(VLOOKUP($S$789,'TAR FIN'!$A$1:$O$104,15,0)),0,VLOOKUP($S$789,'TAR FIN'!$A$1:$O$104,15,0))</f>
        <v>26.22</v>
      </c>
      <c r="W789" s="6">
        <f>IF(ISERROR(VLOOKUP($T$789,'TAR FIN'!$A$1:$O$104,15,0)),0,VLOOKUP($T$789,'TAR FIN'!$A$1:$O$104,15,0))</f>
        <v>0</v>
      </c>
      <c r="X789" s="6">
        <f>IF(ISERROR(VLOOKUP($U$789,'TAR FIN'!$A$1:$O$104,15,0)),0,VLOOKUP($U$789,'TAR FIN'!$A$1:$O$104,15,0))</f>
        <v>0</v>
      </c>
      <c r="Y789" s="6">
        <f ca="1">('TUSD BE'!$AM$24+'TUSD BF'!$AM$24+'TUSD CVA'!$AM$24)*1</f>
        <v>26.280164278980507</v>
      </c>
      <c r="Z789" s="6"/>
      <c r="AA789" s="6"/>
      <c r="AB789" s="6">
        <f>$K$789*$V$789</f>
        <v>311231.39999999997</v>
      </c>
      <c r="AC789" s="6">
        <f>$M$789*$W$789</f>
        <v>0</v>
      </c>
      <c r="AD789" s="6">
        <f>$O$789*$X$789</f>
        <v>0</v>
      </c>
      <c r="AE789" s="6">
        <f ca="1">$K$789*$Y$789</f>
        <v>311945.54999149864</v>
      </c>
      <c r="AF789" s="6">
        <f>$M$789*$Z$789</f>
        <v>0</v>
      </c>
      <c r="AG789" s="6">
        <f>$O$789*$AA$789</f>
        <v>0</v>
      </c>
    </row>
    <row r="790" spans="1:33" ht="11.25" customHeight="1" x14ac:dyDescent="0.25">
      <c r="A790" s="4" t="s">
        <v>28</v>
      </c>
      <c r="B790" s="4" t="s">
        <v>41</v>
      </c>
      <c r="C790" s="4" t="s">
        <v>42</v>
      </c>
      <c r="D790" s="4" t="s">
        <v>43</v>
      </c>
      <c r="E790" s="4" t="s">
        <v>25</v>
      </c>
      <c r="F790" s="4" t="s">
        <v>25</v>
      </c>
      <c r="G790" s="4" t="s">
        <v>25</v>
      </c>
      <c r="H790" s="4" t="s">
        <v>25</v>
      </c>
      <c r="I790" s="5">
        <v>44409</v>
      </c>
      <c r="J790" s="6">
        <v>160</v>
      </c>
      <c r="K790" s="6">
        <v>160</v>
      </c>
      <c r="L790" s="6">
        <v>0</v>
      </c>
      <c r="M790" s="6">
        <v>0</v>
      </c>
      <c r="N790" s="6">
        <v>0</v>
      </c>
      <c r="O790" s="6">
        <v>0</v>
      </c>
      <c r="P790" s="6">
        <v>1</v>
      </c>
      <c r="Q790" s="4" t="s">
        <v>26</v>
      </c>
      <c r="R790" s="4">
        <v>0</v>
      </c>
      <c r="S790" s="6">
        <v>40</v>
      </c>
      <c r="T790" s="6">
        <v>0</v>
      </c>
      <c r="U790" s="6">
        <v>0</v>
      </c>
      <c r="V790" s="6">
        <f>IF(ISERROR(VLOOKUP($S$790,'TAR FIN'!$A$1:$O$104,15,0)),0,VLOOKUP($S$790,'TAR FIN'!$A$1:$O$104,15,0))</f>
        <v>26.22</v>
      </c>
      <c r="W790" s="6">
        <f>IF(ISERROR(VLOOKUP($T$790,'TAR FIN'!$A$1:$O$104,15,0)),0,VLOOKUP($T$790,'TAR FIN'!$A$1:$O$104,15,0))</f>
        <v>0</v>
      </c>
      <c r="X790" s="6">
        <f>IF(ISERROR(VLOOKUP($U$790,'TAR FIN'!$A$1:$O$104,15,0)),0,VLOOKUP($U$790,'TAR FIN'!$A$1:$O$104,15,0))</f>
        <v>0</v>
      </c>
      <c r="Y790" s="6">
        <f ca="1">('TUSD BE'!$AM$24+'TUSD BF'!$AM$24+'TUSD CVA'!$AM$24)*1</f>
        <v>26.280164278980507</v>
      </c>
      <c r="Z790" s="6"/>
      <c r="AA790" s="6"/>
      <c r="AB790" s="6">
        <f>$K$790*$V$790</f>
        <v>4195.2</v>
      </c>
      <c r="AC790" s="6">
        <f>$M$790*$W$790</f>
        <v>0</v>
      </c>
      <c r="AD790" s="6">
        <f>$O$790*$X$790</f>
        <v>0</v>
      </c>
      <c r="AE790" s="6">
        <f ca="1">$K$790*$Y$790</f>
        <v>4204.8262846368816</v>
      </c>
      <c r="AF790" s="6">
        <f>$M$790*$Z$790</f>
        <v>0</v>
      </c>
      <c r="AG790" s="6">
        <f>$O$790*$AA$790</f>
        <v>0</v>
      </c>
    </row>
    <row r="791" spans="1:33" ht="11.25" customHeight="1" x14ac:dyDescent="0.25">
      <c r="A791" s="4" t="s">
        <v>21</v>
      </c>
      <c r="B791" s="4" t="s">
        <v>41</v>
      </c>
      <c r="C791" s="4" t="s">
        <v>42</v>
      </c>
      <c r="D791" s="4" t="s">
        <v>43</v>
      </c>
      <c r="E791" s="4" t="s">
        <v>25</v>
      </c>
      <c r="F791" s="4" t="s">
        <v>25</v>
      </c>
      <c r="G791" s="4" t="s">
        <v>25</v>
      </c>
      <c r="H791" s="4" t="s">
        <v>25</v>
      </c>
      <c r="I791" s="5">
        <v>44409</v>
      </c>
      <c r="J791" s="6">
        <v>115</v>
      </c>
      <c r="K791" s="6">
        <v>115</v>
      </c>
      <c r="L791" s="6">
        <v>0</v>
      </c>
      <c r="M791" s="6">
        <v>0</v>
      </c>
      <c r="N791" s="6">
        <v>0</v>
      </c>
      <c r="O791" s="6">
        <v>0</v>
      </c>
      <c r="P791" s="6">
        <v>1</v>
      </c>
      <c r="Q791" s="4" t="s">
        <v>58</v>
      </c>
      <c r="R791" s="4">
        <v>0</v>
      </c>
      <c r="S791" s="6">
        <v>40</v>
      </c>
      <c r="T791" s="6">
        <v>0</v>
      </c>
      <c r="U791" s="6">
        <v>0</v>
      </c>
      <c r="V791" s="6">
        <f>IF(ISERROR(VLOOKUP($S$791,'TAR FIN'!$A$1:$O$104,15,0)),0,VLOOKUP($S$791,'TAR FIN'!$A$1:$O$104,15,0))</f>
        <v>26.22</v>
      </c>
      <c r="W791" s="6">
        <f>IF(ISERROR(VLOOKUP($T$791,'TAR FIN'!$A$1:$O$104,15,0)),0,VLOOKUP($T$791,'TAR FIN'!$A$1:$O$104,15,0))</f>
        <v>0</v>
      </c>
      <c r="X791" s="6">
        <f>IF(ISERROR(VLOOKUP($U$791,'TAR FIN'!$A$1:$O$104,15,0)),0,VLOOKUP($U$791,'TAR FIN'!$A$1:$O$104,15,0))</f>
        <v>0</v>
      </c>
      <c r="Y791" s="6">
        <f ca="1">('TUSD BE'!$AM$24+'TUSD BF'!$AM$24+'TUSD CVA'!$AM$24)*1</f>
        <v>26.280164278980507</v>
      </c>
      <c r="Z791" s="6"/>
      <c r="AA791" s="6"/>
      <c r="AB791" s="6">
        <f>$K$791*$V$791</f>
        <v>3015.2999999999997</v>
      </c>
      <c r="AC791" s="6">
        <f>$M$791*$W$791</f>
        <v>0</v>
      </c>
      <c r="AD791" s="6">
        <f>$O$791*$X$791</f>
        <v>0</v>
      </c>
      <c r="AE791" s="6">
        <f ca="1">$K$791*$Y$791</f>
        <v>3022.2188920827584</v>
      </c>
      <c r="AF791" s="6">
        <f>$M$791*$Z$791</f>
        <v>0</v>
      </c>
      <c r="AG791" s="6">
        <f>$O$791*$AA$791</f>
        <v>0</v>
      </c>
    </row>
    <row r="792" spans="1:33" ht="11.25" customHeight="1" x14ac:dyDescent="0.25">
      <c r="A792" s="4" t="s">
        <v>21</v>
      </c>
      <c r="B792" s="4" t="s">
        <v>41</v>
      </c>
      <c r="C792" s="4" t="s">
        <v>42</v>
      </c>
      <c r="D792" s="4" t="s">
        <v>43</v>
      </c>
      <c r="E792" s="4" t="s">
        <v>25</v>
      </c>
      <c r="F792" s="4" t="s">
        <v>25</v>
      </c>
      <c r="G792" s="4" t="s">
        <v>25</v>
      </c>
      <c r="H792" s="4" t="s">
        <v>25</v>
      </c>
      <c r="I792" s="5">
        <v>44440</v>
      </c>
      <c r="J792" s="6">
        <v>53185</v>
      </c>
      <c r="K792" s="6">
        <v>53185</v>
      </c>
      <c r="L792" s="6">
        <v>0</v>
      </c>
      <c r="M792" s="6">
        <v>0</v>
      </c>
      <c r="N792" s="6">
        <v>0</v>
      </c>
      <c r="O792" s="6">
        <v>0</v>
      </c>
      <c r="P792" s="6">
        <v>561</v>
      </c>
      <c r="Q792" s="4" t="s">
        <v>26</v>
      </c>
      <c r="R792" s="4">
        <v>0</v>
      </c>
      <c r="S792" s="6">
        <v>40</v>
      </c>
      <c r="T792" s="6">
        <v>0</v>
      </c>
      <c r="U792" s="6">
        <v>0</v>
      </c>
      <c r="V792" s="6">
        <f>IF(ISERROR(VLOOKUP($S$792,'TAR FIN'!$A$1:$O$104,15,0)),0,VLOOKUP($S$792,'TAR FIN'!$A$1:$O$104,15,0))</f>
        <v>26.22</v>
      </c>
      <c r="W792" s="6">
        <f>IF(ISERROR(VLOOKUP($T$792,'TAR FIN'!$A$1:$O$104,15,0)),0,VLOOKUP($T$792,'TAR FIN'!$A$1:$O$104,15,0))</f>
        <v>0</v>
      </c>
      <c r="X792" s="6">
        <f>IF(ISERROR(VLOOKUP($U$792,'TAR FIN'!$A$1:$O$104,15,0)),0,VLOOKUP($U$792,'TAR FIN'!$A$1:$O$104,15,0))</f>
        <v>0</v>
      </c>
      <c r="Y792" s="6">
        <f ca="1">('TUSD BE'!$AM$24+'TUSD BF'!$AM$24+'TUSD CVA'!$AM$24)*1</f>
        <v>26.280164278980507</v>
      </c>
      <c r="Z792" s="6"/>
      <c r="AA792" s="6"/>
      <c r="AB792" s="6">
        <f>$K$792*$V$792</f>
        <v>1394510.7</v>
      </c>
      <c r="AC792" s="6">
        <f>$M$792*$W$792</f>
        <v>0</v>
      </c>
      <c r="AD792" s="6">
        <f>$O$792*$X$792</f>
        <v>0</v>
      </c>
      <c r="AE792" s="6">
        <f ca="1">$K$792*$Y$792</f>
        <v>1397710.5371775783</v>
      </c>
      <c r="AF792" s="6">
        <f>$M$792*$Z$792</f>
        <v>0</v>
      </c>
      <c r="AG792" s="6">
        <f>$O$792*$AA$792</f>
        <v>0</v>
      </c>
    </row>
    <row r="793" spans="1:33" ht="11.25" customHeight="1" x14ac:dyDescent="0.25">
      <c r="A793" s="4" t="s">
        <v>28</v>
      </c>
      <c r="B793" s="4" t="s">
        <v>41</v>
      </c>
      <c r="C793" s="4" t="s">
        <v>42</v>
      </c>
      <c r="D793" s="4" t="s">
        <v>43</v>
      </c>
      <c r="E793" s="4" t="s">
        <v>25</v>
      </c>
      <c r="F793" s="4" t="s">
        <v>25</v>
      </c>
      <c r="G793" s="4" t="s">
        <v>25</v>
      </c>
      <c r="H793" s="4" t="s">
        <v>25</v>
      </c>
      <c r="I793" s="5">
        <v>44440</v>
      </c>
      <c r="J793" s="6">
        <v>12553</v>
      </c>
      <c r="K793" s="6">
        <v>12553</v>
      </c>
      <c r="L793" s="6">
        <v>0</v>
      </c>
      <c r="M793" s="6">
        <v>0</v>
      </c>
      <c r="N793" s="6">
        <v>0</v>
      </c>
      <c r="O793" s="6">
        <v>0</v>
      </c>
      <c r="P793" s="6">
        <v>45</v>
      </c>
      <c r="Q793" s="4" t="s">
        <v>26</v>
      </c>
      <c r="R793" s="4">
        <v>0</v>
      </c>
      <c r="S793" s="6">
        <v>40</v>
      </c>
      <c r="T793" s="6">
        <v>0</v>
      </c>
      <c r="U793" s="6">
        <v>0</v>
      </c>
      <c r="V793" s="6">
        <f>IF(ISERROR(VLOOKUP($S$793,'TAR FIN'!$A$1:$O$104,15,0)),0,VLOOKUP($S$793,'TAR FIN'!$A$1:$O$104,15,0))</f>
        <v>26.22</v>
      </c>
      <c r="W793" s="6">
        <f>IF(ISERROR(VLOOKUP($T$793,'TAR FIN'!$A$1:$O$104,15,0)),0,VLOOKUP($T$793,'TAR FIN'!$A$1:$O$104,15,0))</f>
        <v>0</v>
      </c>
      <c r="X793" s="6">
        <f>IF(ISERROR(VLOOKUP($U$793,'TAR FIN'!$A$1:$O$104,15,0)),0,VLOOKUP($U$793,'TAR FIN'!$A$1:$O$104,15,0))</f>
        <v>0</v>
      </c>
      <c r="Y793" s="6">
        <f ca="1">('TUSD BE'!$AM$24+'TUSD BF'!$AM$24+'TUSD CVA'!$AM$24)*1</f>
        <v>26.280164278980507</v>
      </c>
      <c r="Z793" s="6"/>
      <c r="AA793" s="6"/>
      <c r="AB793" s="6">
        <f>$K$793*$V$793</f>
        <v>329139.65999999997</v>
      </c>
      <c r="AC793" s="6">
        <f>$M$793*$W$793</f>
        <v>0</v>
      </c>
      <c r="AD793" s="6">
        <f>$O$793*$X$793</f>
        <v>0</v>
      </c>
      <c r="AE793" s="6">
        <f ca="1">$K$793*$Y$793</f>
        <v>329894.90219404228</v>
      </c>
      <c r="AF793" s="6">
        <f>$M$793*$Z$793</f>
        <v>0</v>
      </c>
      <c r="AG793" s="6">
        <f>$O$793*$AA$793</f>
        <v>0</v>
      </c>
    </row>
    <row r="794" spans="1:33" ht="11.25" customHeight="1" x14ac:dyDescent="0.25">
      <c r="A794" s="4" t="s">
        <v>21</v>
      </c>
      <c r="B794" s="4" t="s">
        <v>41</v>
      </c>
      <c r="C794" s="4" t="s">
        <v>42</v>
      </c>
      <c r="D794" s="4" t="s">
        <v>43</v>
      </c>
      <c r="E794" s="4" t="s">
        <v>25</v>
      </c>
      <c r="F794" s="4" t="s">
        <v>25</v>
      </c>
      <c r="G794" s="4" t="s">
        <v>25</v>
      </c>
      <c r="H794" s="4" t="s">
        <v>25</v>
      </c>
      <c r="I794" s="5">
        <v>44440</v>
      </c>
      <c r="J794" s="6">
        <v>305</v>
      </c>
      <c r="K794" s="6">
        <v>305</v>
      </c>
      <c r="L794" s="6">
        <v>0</v>
      </c>
      <c r="M794" s="6">
        <v>0</v>
      </c>
      <c r="N794" s="6">
        <v>0</v>
      </c>
      <c r="O794" s="6">
        <v>0</v>
      </c>
      <c r="P794" s="6">
        <v>3</v>
      </c>
      <c r="Q794" s="4" t="s">
        <v>58</v>
      </c>
      <c r="R794" s="4">
        <v>0</v>
      </c>
      <c r="S794" s="6">
        <v>40</v>
      </c>
      <c r="T794" s="6">
        <v>0</v>
      </c>
      <c r="U794" s="6">
        <v>0</v>
      </c>
      <c r="V794" s="6">
        <f>IF(ISERROR(VLOOKUP($S$794,'TAR FIN'!$A$1:$O$104,15,0)),0,VLOOKUP($S$794,'TAR FIN'!$A$1:$O$104,15,0))</f>
        <v>26.22</v>
      </c>
      <c r="W794" s="6">
        <f>IF(ISERROR(VLOOKUP($T$794,'TAR FIN'!$A$1:$O$104,15,0)),0,VLOOKUP($T$794,'TAR FIN'!$A$1:$O$104,15,0))</f>
        <v>0</v>
      </c>
      <c r="X794" s="6">
        <f>IF(ISERROR(VLOOKUP($U$794,'TAR FIN'!$A$1:$O$104,15,0)),0,VLOOKUP($U$794,'TAR FIN'!$A$1:$O$104,15,0))</f>
        <v>0</v>
      </c>
      <c r="Y794" s="6">
        <f ca="1">('TUSD BE'!$AM$24+'TUSD BF'!$AM$24+'TUSD CVA'!$AM$24)*1</f>
        <v>26.280164278980507</v>
      </c>
      <c r="Z794" s="6"/>
      <c r="AA794" s="6"/>
      <c r="AB794" s="6">
        <f>$K$794*$V$794</f>
        <v>7997.0999999999995</v>
      </c>
      <c r="AC794" s="6">
        <f>$M$794*$W$794</f>
        <v>0</v>
      </c>
      <c r="AD794" s="6">
        <f>$O$794*$X$794</f>
        <v>0</v>
      </c>
      <c r="AE794" s="6">
        <f ca="1">$K$794*$Y$794</f>
        <v>8015.4501050890549</v>
      </c>
      <c r="AF794" s="6">
        <f>$M$794*$Z$794</f>
        <v>0</v>
      </c>
      <c r="AG794" s="6">
        <f>$O$794*$AA$794</f>
        <v>0</v>
      </c>
    </row>
    <row r="795" spans="1:33" ht="11.25" customHeight="1" x14ac:dyDescent="0.25">
      <c r="A795" s="4" t="s">
        <v>21</v>
      </c>
      <c r="B795" s="4" t="s">
        <v>41</v>
      </c>
      <c r="C795" s="4" t="s">
        <v>42</v>
      </c>
      <c r="D795" s="4" t="s">
        <v>43</v>
      </c>
      <c r="E795" s="4" t="s">
        <v>25</v>
      </c>
      <c r="F795" s="4" t="s">
        <v>25</v>
      </c>
      <c r="G795" s="4" t="s">
        <v>25</v>
      </c>
      <c r="H795" s="4" t="s">
        <v>25</v>
      </c>
      <c r="I795" s="5">
        <v>44470</v>
      </c>
      <c r="J795" s="6">
        <v>53789</v>
      </c>
      <c r="K795" s="6">
        <v>53789</v>
      </c>
      <c r="L795" s="6">
        <v>0</v>
      </c>
      <c r="M795" s="6">
        <v>0</v>
      </c>
      <c r="N795" s="6">
        <v>0</v>
      </c>
      <c r="O795" s="6">
        <v>0</v>
      </c>
      <c r="P795" s="6">
        <v>559</v>
      </c>
      <c r="Q795" s="4" t="s">
        <v>26</v>
      </c>
      <c r="R795" s="4">
        <v>0</v>
      </c>
      <c r="S795" s="6">
        <v>40</v>
      </c>
      <c r="T795" s="6">
        <v>0</v>
      </c>
      <c r="U795" s="6">
        <v>0</v>
      </c>
      <c r="V795" s="6">
        <f>IF(ISERROR(VLOOKUP($S$795,'TAR FIN'!$A$1:$O$104,15,0)),0,VLOOKUP($S$795,'TAR FIN'!$A$1:$O$104,15,0))</f>
        <v>26.22</v>
      </c>
      <c r="W795" s="6">
        <f>IF(ISERROR(VLOOKUP($T$795,'TAR FIN'!$A$1:$O$104,15,0)),0,VLOOKUP($T$795,'TAR FIN'!$A$1:$O$104,15,0))</f>
        <v>0</v>
      </c>
      <c r="X795" s="6">
        <f>IF(ISERROR(VLOOKUP($U$795,'TAR FIN'!$A$1:$O$104,15,0)),0,VLOOKUP($U$795,'TAR FIN'!$A$1:$O$104,15,0))</f>
        <v>0</v>
      </c>
      <c r="Y795" s="6">
        <f ca="1">('TUSD BE'!$AM$24+'TUSD BF'!$AM$24+'TUSD CVA'!$AM$24)*1</f>
        <v>26.280164278980507</v>
      </c>
      <c r="Z795" s="6"/>
      <c r="AA795" s="6"/>
      <c r="AB795" s="6">
        <f>$K$795*$V$795</f>
        <v>1410347.5799999998</v>
      </c>
      <c r="AC795" s="6">
        <f>$M$795*$W$795</f>
        <v>0</v>
      </c>
      <c r="AD795" s="6">
        <f>$O$795*$X$795</f>
        <v>0</v>
      </c>
      <c r="AE795" s="6">
        <f ca="1">$K$795*$Y$795</f>
        <v>1413583.7564020825</v>
      </c>
      <c r="AF795" s="6">
        <f>$M$795*$Z$795</f>
        <v>0</v>
      </c>
      <c r="AG795" s="6">
        <f>$O$795*$AA$795</f>
        <v>0</v>
      </c>
    </row>
    <row r="796" spans="1:33" ht="11.25" customHeight="1" x14ac:dyDescent="0.25">
      <c r="A796" s="4" t="s">
        <v>27</v>
      </c>
      <c r="B796" s="4" t="s">
        <v>41</v>
      </c>
      <c r="C796" s="4" t="s">
        <v>42</v>
      </c>
      <c r="D796" s="4" t="s">
        <v>43</v>
      </c>
      <c r="E796" s="4" t="s">
        <v>25</v>
      </c>
      <c r="F796" s="4" t="s">
        <v>25</v>
      </c>
      <c r="G796" s="4" t="s">
        <v>25</v>
      </c>
      <c r="H796" s="4" t="s">
        <v>25</v>
      </c>
      <c r="I796" s="5">
        <v>44470</v>
      </c>
      <c r="J796" s="6">
        <v>-598</v>
      </c>
      <c r="K796" s="6">
        <v>-598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4" t="s">
        <v>26</v>
      </c>
      <c r="R796" s="4">
        <v>0</v>
      </c>
      <c r="S796" s="6">
        <v>40</v>
      </c>
      <c r="T796" s="6">
        <v>0</v>
      </c>
      <c r="U796" s="6">
        <v>0</v>
      </c>
      <c r="V796" s="6">
        <f>IF(ISERROR(VLOOKUP($S$796,'TAR FIN'!$A$1:$O$104,15,0)),0,VLOOKUP($S$796,'TAR FIN'!$A$1:$O$104,15,0))</f>
        <v>26.22</v>
      </c>
      <c r="W796" s="6">
        <f>IF(ISERROR(VLOOKUP($T$796,'TAR FIN'!$A$1:$O$104,15,0)),0,VLOOKUP($T$796,'TAR FIN'!$A$1:$O$104,15,0))</f>
        <v>0</v>
      </c>
      <c r="X796" s="6">
        <f>IF(ISERROR(VLOOKUP($U$796,'TAR FIN'!$A$1:$O$104,15,0)),0,VLOOKUP($U$796,'TAR FIN'!$A$1:$O$104,15,0))</f>
        <v>0</v>
      </c>
      <c r="Y796" s="6">
        <f ca="1">('TUSD BE'!$AM$24+'TUSD BF'!$AM$24+'TUSD CVA'!$AM$24)*1</f>
        <v>26.280164278980507</v>
      </c>
      <c r="Z796" s="6"/>
      <c r="AA796" s="6"/>
      <c r="AB796" s="6">
        <f>$K$796*$V$796</f>
        <v>-15679.56</v>
      </c>
      <c r="AC796" s="6">
        <f>$M$796*$W$796</f>
        <v>0</v>
      </c>
      <c r="AD796" s="6">
        <f>$O$796*$X$796</f>
        <v>0</v>
      </c>
      <c r="AE796" s="6">
        <f ca="1">$K$796*$Y$796</f>
        <v>-15715.538238830344</v>
      </c>
      <c r="AF796" s="6">
        <f>$M$796*$Z$796</f>
        <v>0</v>
      </c>
      <c r="AG796" s="6">
        <f>$O$796*$AA$796</f>
        <v>0</v>
      </c>
    </row>
    <row r="797" spans="1:33" ht="11.25" customHeight="1" x14ac:dyDescent="0.25">
      <c r="A797" s="4" t="s">
        <v>28</v>
      </c>
      <c r="B797" s="4" t="s">
        <v>41</v>
      </c>
      <c r="C797" s="4" t="s">
        <v>42</v>
      </c>
      <c r="D797" s="4" t="s">
        <v>43</v>
      </c>
      <c r="E797" s="4" t="s">
        <v>25</v>
      </c>
      <c r="F797" s="4" t="s">
        <v>25</v>
      </c>
      <c r="G797" s="4" t="s">
        <v>25</v>
      </c>
      <c r="H797" s="4" t="s">
        <v>25</v>
      </c>
      <c r="I797" s="5">
        <v>44470</v>
      </c>
      <c r="J797" s="6">
        <v>12501</v>
      </c>
      <c r="K797" s="6">
        <v>12501</v>
      </c>
      <c r="L797" s="6">
        <v>0</v>
      </c>
      <c r="M797" s="6">
        <v>0</v>
      </c>
      <c r="N797" s="6">
        <v>0</v>
      </c>
      <c r="O797" s="6">
        <v>0</v>
      </c>
      <c r="P797" s="6">
        <v>50</v>
      </c>
      <c r="Q797" s="4" t="s">
        <v>26</v>
      </c>
      <c r="R797" s="4">
        <v>0</v>
      </c>
      <c r="S797" s="6">
        <v>40</v>
      </c>
      <c r="T797" s="6">
        <v>0</v>
      </c>
      <c r="U797" s="6">
        <v>0</v>
      </c>
      <c r="V797" s="6">
        <f>IF(ISERROR(VLOOKUP($S$797,'TAR FIN'!$A$1:$O$104,15,0)),0,VLOOKUP($S$797,'TAR FIN'!$A$1:$O$104,15,0))</f>
        <v>26.22</v>
      </c>
      <c r="W797" s="6">
        <f>IF(ISERROR(VLOOKUP($T$797,'TAR FIN'!$A$1:$O$104,15,0)),0,VLOOKUP($T$797,'TAR FIN'!$A$1:$O$104,15,0))</f>
        <v>0</v>
      </c>
      <c r="X797" s="6">
        <f>IF(ISERROR(VLOOKUP($U$797,'TAR FIN'!$A$1:$O$104,15,0)),0,VLOOKUP($U$797,'TAR FIN'!$A$1:$O$104,15,0))</f>
        <v>0</v>
      </c>
      <c r="Y797" s="6">
        <f ca="1">('TUSD BE'!$AM$24+'TUSD BF'!$AM$24+'TUSD CVA'!$AM$24)*1</f>
        <v>26.280164278980507</v>
      </c>
      <c r="Z797" s="6"/>
      <c r="AA797" s="6"/>
      <c r="AB797" s="6">
        <f>$K$797*$V$797</f>
        <v>327776.21999999997</v>
      </c>
      <c r="AC797" s="6">
        <f>$M$797*$W$797</f>
        <v>0</v>
      </c>
      <c r="AD797" s="6">
        <f>$O$797*$X$797</f>
        <v>0</v>
      </c>
      <c r="AE797" s="6">
        <f ca="1">$K$797*$Y$797</f>
        <v>328528.33365153533</v>
      </c>
      <c r="AF797" s="6">
        <f>$M$797*$Z$797</f>
        <v>0</v>
      </c>
      <c r="AG797" s="6">
        <f>$O$797*$AA$797</f>
        <v>0</v>
      </c>
    </row>
    <row r="798" spans="1:33" ht="11.25" customHeight="1" x14ac:dyDescent="0.25">
      <c r="A798" s="4" t="s">
        <v>21</v>
      </c>
      <c r="B798" s="4" t="s">
        <v>41</v>
      </c>
      <c r="C798" s="4" t="s">
        <v>42</v>
      </c>
      <c r="D798" s="4" t="s">
        <v>43</v>
      </c>
      <c r="E798" s="4" t="s">
        <v>25</v>
      </c>
      <c r="F798" s="4" t="s">
        <v>25</v>
      </c>
      <c r="G798" s="4" t="s">
        <v>25</v>
      </c>
      <c r="H798" s="4" t="s">
        <v>25</v>
      </c>
      <c r="I798" s="5">
        <v>44470</v>
      </c>
      <c r="J798" s="6">
        <v>215</v>
      </c>
      <c r="K798" s="6">
        <v>215</v>
      </c>
      <c r="L798" s="6">
        <v>0</v>
      </c>
      <c r="M798" s="6">
        <v>0</v>
      </c>
      <c r="N798" s="6">
        <v>0</v>
      </c>
      <c r="O798" s="6">
        <v>0</v>
      </c>
      <c r="P798" s="6">
        <v>2</v>
      </c>
      <c r="Q798" s="4" t="s">
        <v>58</v>
      </c>
      <c r="R798" s="4">
        <v>0</v>
      </c>
      <c r="S798" s="6">
        <v>40</v>
      </c>
      <c r="T798" s="6">
        <v>0</v>
      </c>
      <c r="U798" s="6">
        <v>0</v>
      </c>
      <c r="V798" s="6">
        <f>IF(ISERROR(VLOOKUP($S$798,'TAR FIN'!$A$1:$O$104,15,0)),0,VLOOKUP($S$798,'TAR FIN'!$A$1:$O$104,15,0))</f>
        <v>26.22</v>
      </c>
      <c r="W798" s="6">
        <f>IF(ISERROR(VLOOKUP($T$798,'TAR FIN'!$A$1:$O$104,15,0)),0,VLOOKUP($T$798,'TAR FIN'!$A$1:$O$104,15,0))</f>
        <v>0</v>
      </c>
      <c r="X798" s="6">
        <f>IF(ISERROR(VLOOKUP($U$798,'TAR FIN'!$A$1:$O$104,15,0)),0,VLOOKUP($U$798,'TAR FIN'!$A$1:$O$104,15,0))</f>
        <v>0</v>
      </c>
      <c r="Y798" s="6">
        <f ca="1">('TUSD BE'!$AM$24+'TUSD BF'!$AM$24+'TUSD CVA'!$AM$24)*1</f>
        <v>26.280164278980507</v>
      </c>
      <c r="Z798" s="6"/>
      <c r="AA798" s="6"/>
      <c r="AB798" s="6">
        <f>$K$798*$V$798</f>
        <v>5637.3</v>
      </c>
      <c r="AC798" s="6">
        <f>$M$798*$W$798</f>
        <v>0</v>
      </c>
      <c r="AD798" s="6">
        <f>$O$798*$X$798</f>
        <v>0</v>
      </c>
      <c r="AE798" s="6">
        <f ca="1">$K$798*$Y$798</f>
        <v>5650.2353199808094</v>
      </c>
      <c r="AF798" s="6">
        <f>$M$798*$Z$798</f>
        <v>0</v>
      </c>
      <c r="AG798" s="6">
        <f>$O$798*$AA$798</f>
        <v>0</v>
      </c>
    </row>
    <row r="799" spans="1:33" ht="11.25" customHeight="1" x14ac:dyDescent="0.25">
      <c r="A799" s="4" t="s">
        <v>21</v>
      </c>
      <c r="B799" s="4" t="s">
        <v>41</v>
      </c>
      <c r="C799" s="4" t="s">
        <v>42</v>
      </c>
      <c r="D799" s="4" t="s">
        <v>43</v>
      </c>
      <c r="E799" s="4" t="s">
        <v>25</v>
      </c>
      <c r="F799" s="4" t="s">
        <v>25</v>
      </c>
      <c r="G799" s="4" t="s">
        <v>25</v>
      </c>
      <c r="H799" s="4" t="s">
        <v>25</v>
      </c>
      <c r="I799" s="5">
        <v>44501</v>
      </c>
      <c r="J799" s="6">
        <v>53606</v>
      </c>
      <c r="K799" s="6">
        <v>53606</v>
      </c>
      <c r="L799" s="6">
        <v>0</v>
      </c>
      <c r="M799" s="6">
        <v>0</v>
      </c>
      <c r="N799" s="6">
        <v>0</v>
      </c>
      <c r="O799" s="6">
        <v>0</v>
      </c>
      <c r="P799" s="6">
        <v>549</v>
      </c>
      <c r="Q799" s="4" t="s">
        <v>26</v>
      </c>
      <c r="R799" s="4">
        <v>0</v>
      </c>
      <c r="S799" s="6">
        <v>40</v>
      </c>
      <c r="T799" s="6">
        <v>0</v>
      </c>
      <c r="U799" s="6">
        <v>0</v>
      </c>
      <c r="V799" s="6">
        <f>IF(ISERROR(VLOOKUP($S$799,'TAR FIN'!$A$1:$O$104,15,0)),0,VLOOKUP($S$799,'TAR FIN'!$A$1:$O$104,15,0))</f>
        <v>26.22</v>
      </c>
      <c r="W799" s="6">
        <f>IF(ISERROR(VLOOKUP($T$799,'TAR FIN'!$A$1:$O$104,15,0)),0,VLOOKUP($T$799,'TAR FIN'!$A$1:$O$104,15,0))</f>
        <v>0</v>
      </c>
      <c r="X799" s="6">
        <f>IF(ISERROR(VLOOKUP($U$799,'TAR FIN'!$A$1:$O$104,15,0)),0,VLOOKUP($U$799,'TAR FIN'!$A$1:$O$104,15,0))</f>
        <v>0</v>
      </c>
      <c r="Y799" s="6">
        <f ca="1">('TUSD BE'!$AM$24+'TUSD BF'!$AM$24+'TUSD CVA'!$AM$24)*1</f>
        <v>26.280164278980507</v>
      </c>
      <c r="Z799" s="6"/>
      <c r="AA799" s="6"/>
      <c r="AB799" s="6">
        <f>$K$799*$V$799</f>
        <v>1405549.3199999998</v>
      </c>
      <c r="AC799" s="6">
        <f>$M$799*$W$799</f>
        <v>0</v>
      </c>
      <c r="AD799" s="6">
        <f>$O$799*$X$799</f>
        <v>0</v>
      </c>
      <c r="AE799" s="6">
        <f ca="1">$K$799*$Y$799</f>
        <v>1408774.4863390292</v>
      </c>
      <c r="AF799" s="6">
        <f>$M$799*$Z$799</f>
        <v>0</v>
      </c>
      <c r="AG799" s="6">
        <f>$O$799*$AA$799</f>
        <v>0</v>
      </c>
    </row>
    <row r="800" spans="1:33" ht="11.25" customHeight="1" x14ac:dyDescent="0.25">
      <c r="A800" s="4" t="s">
        <v>27</v>
      </c>
      <c r="B800" s="4" t="s">
        <v>41</v>
      </c>
      <c r="C800" s="4" t="s">
        <v>42</v>
      </c>
      <c r="D800" s="4" t="s">
        <v>43</v>
      </c>
      <c r="E800" s="4" t="s">
        <v>25</v>
      </c>
      <c r="F800" s="4" t="s">
        <v>25</v>
      </c>
      <c r="G800" s="4" t="s">
        <v>25</v>
      </c>
      <c r="H800" s="4" t="s">
        <v>25</v>
      </c>
      <c r="I800" s="5">
        <v>44501</v>
      </c>
      <c r="J800" s="6">
        <v>-622</v>
      </c>
      <c r="K800" s="6">
        <v>-622</v>
      </c>
      <c r="L800" s="6">
        <v>0</v>
      </c>
      <c r="M800" s="6">
        <v>0</v>
      </c>
      <c r="N800" s="6">
        <v>0</v>
      </c>
      <c r="O800" s="6">
        <v>0</v>
      </c>
      <c r="P800" s="6">
        <v>-2</v>
      </c>
      <c r="Q800" s="4" t="s">
        <v>26</v>
      </c>
      <c r="R800" s="4">
        <v>0</v>
      </c>
      <c r="S800" s="6">
        <v>40</v>
      </c>
      <c r="T800" s="6">
        <v>0</v>
      </c>
      <c r="U800" s="6">
        <v>0</v>
      </c>
      <c r="V800" s="6">
        <f>IF(ISERROR(VLOOKUP($S$800,'TAR FIN'!$A$1:$O$104,15,0)),0,VLOOKUP($S$800,'TAR FIN'!$A$1:$O$104,15,0))</f>
        <v>26.22</v>
      </c>
      <c r="W800" s="6">
        <f>IF(ISERROR(VLOOKUP($T$800,'TAR FIN'!$A$1:$O$104,15,0)),0,VLOOKUP($T$800,'TAR FIN'!$A$1:$O$104,15,0))</f>
        <v>0</v>
      </c>
      <c r="X800" s="6">
        <f>IF(ISERROR(VLOOKUP($U$800,'TAR FIN'!$A$1:$O$104,15,0)),0,VLOOKUP($U$800,'TAR FIN'!$A$1:$O$104,15,0))</f>
        <v>0</v>
      </c>
      <c r="Y800" s="6">
        <f ca="1">('TUSD BE'!$AM$24+'TUSD BF'!$AM$24+'TUSD CVA'!$AM$24)*1</f>
        <v>26.280164278980507</v>
      </c>
      <c r="Z800" s="6"/>
      <c r="AA800" s="6"/>
      <c r="AB800" s="6">
        <f>$K$800*$V$800</f>
        <v>-16308.84</v>
      </c>
      <c r="AC800" s="6">
        <f>$M$800*$W$800</f>
        <v>0</v>
      </c>
      <c r="AD800" s="6">
        <f>$O$800*$X$800</f>
        <v>0</v>
      </c>
      <c r="AE800" s="6">
        <f ca="1">$K$800*$Y$800</f>
        <v>-16346.262181525875</v>
      </c>
      <c r="AF800" s="6">
        <f>$M$800*$Z$800</f>
        <v>0</v>
      </c>
      <c r="AG800" s="6">
        <f>$O$800*$AA$800</f>
        <v>0</v>
      </c>
    </row>
    <row r="801" spans="1:33" ht="11.25" customHeight="1" x14ac:dyDescent="0.25">
      <c r="A801" s="4" t="s">
        <v>28</v>
      </c>
      <c r="B801" s="4" t="s">
        <v>41</v>
      </c>
      <c r="C801" s="4" t="s">
        <v>42</v>
      </c>
      <c r="D801" s="4" t="s">
        <v>43</v>
      </c>
      <c r="E801" s="4" t="s">
        <v>25</v>
      </c>
      <c r="F801" s="4" t="s">
        <v>25</v>
      </c>
      <c r="G801" s="4" t="s">
        <v>25</v>
      </c>
      <c r="H801" s="4" t="s">
        <v>25</v>
      </c>
      <c r="I801" s="5">
        <v>44501</v>
      </c>
      <c r="J801" s="6">
        <v>12772</v>
      </c>
      <c r="K801" s="6">
        <v>12772</v>
      </c>
      <c r="L801" s="6">
        <v>0</v>
      </c>
      <c r="M801" s="6">
        <v>0</v>
      </c>
      <c r="N801" s="6">
        <v>0</v>
      </c>
      <c r="O801" s="6">
        <v>0</v>
      </c>
      <c r="P801" s="6">
        <v>52</v>
      </c>
      <c r="Q801" s="4" t="s">
        <v>26</v>
      </c>
      <c r="R801" s="4">
        <v>0</v>
      </c>
      <c r="S801" s="6">
        <v>40</v>
      </c>
      <c r="T801" s="6">
        <v>0</v>
      </c>
      <c r="U801" s="6">
        <v>0</v>
      </c>
      <c r="V801" s="6">
        <f>IF(ISERROR(VLOOKUP($S$801,'TAR FIN'!$A$1:$O$104,15,0)),0,VLOOKUP($S$801,'TAR FIN'!$A$1:$O$104,15,0))</f>
        <v>26.22</v>
      </c>
      <c r="W801" s="6">
        <f>IF(ISERROR(VLOOKUP($T$801,'TAR FIN'!$A$1:$O$104,15,0)),0,VLOOKUP($T$801,'TAR FIN'!$A$1:$O$104,15,0))</f>
        <v>0</v>
      </c>
      <c r="X801" s="6">
        <f>IF(ISERROR(VLOOKUP($U$801,'TAR FIN'!$A$1:$O$104,15,0)),0,VLOOKUP($U$801,'TAR FIN'!$A$1:$O$104,15,0))</f>
        <v>0</v>
      </c>
      <c r="Y801" s="6">
        <f ca="1">('TUSD BE'!$AM$24+'TUSD BF'!$AM$24+'TUSD CVA'!$AM$24)*1</f>
        <v>26.280164278980507</v>
      </c>
      <c r="Z801" s="6"/>
      <c r="AA801" s="6"/>
      <c r="AB801" s="6">
        <f>$K$801*$V$801</f>
        <v>334881.83999999997</v>
      </c>
      <c r="AC801" s="6">
        <f>$M$801*$W$801</f>
        <v>0</v>
      </c>
      <c r="AD801" s="6">
        <f>$O$801*$X$801</f>
        <v>0</v>
      </c>
      <c r="AE801" s="6">
        <f ca="1">$K$801*$Y$801</f>
        <v>335650.25817113905</v>
      </c>
      <c r="AF801" s="6">
        <f>$M$801*$Z$801</f>
        <v>0</v>
      </c>
      <c r="AG801" s="6">
        <f>$O$801*$AA$801</f>
        <v>0</v>
      </c>
    </row>
    <row r="802" spans="1:33" ht="11.25" customHeight="1" x14ac:dyDescent="0.25">
      <c r="A802" s="4" t="s">
        <v>21</v>
      </c>
      <c r="B802" s="4" t="s">
        <v>41</v>
      </c>
      <c r="C802" s="4" t="s">
        <v>42</v>
      </c>
      <c r="D802" s="4" t="s">
        <v>43</v>
      </c>
      <c r="E802" s="4" t="s">
        <v>25</v>
      </c>
      <c r="F802" s="4" t="s">
        <v>25</v>
      </c>
      <c r="G802" s="4" t="s">
        <v>25</v>
      </c>
      <c r="H802" s="4" t="s">
        <v>25</v>
      </c>
      <c r="I802" s="5">
        <v>44501</v>
      </c>
      <c r="J802" s="6">
        <v>115</v>
      </c>
      <c r="K802" s="6">
        <v>115</v>
      </c>
      <c r="L802" s="6">
        <v>0</v>
      </c>
      <c r="M802" s="6">
        <v>0</v>
      </c>
      <c r="N802" s="6">
        <v>0</v>
      </c>
      <c r="O802" s="6">
        <v>0</v>
      </c>
      <c r="P802" s="6">
        <v>1</v>
      </c>
      <c r="Q802" s="4" t="s">
        <v>58</v>
      </c>
      <c r="R802" s="4">
        <v>0</v>
      </c>
      <c r="S802" s="6">
        <v>40</v>
      </c>
      <c r="T802" s="6">
        <v>0</v>
      </c>
      <c r="U802" s="6">
        <v>0</v>
      </c>
      <c r="V802" s="6">
        <f>IF(ISERROR(VLOOKUP($S$802,'TAR FIN'!$A$1:$O$104,15,0)),0,VLOOKUP($S$802,'TAR FIN'!$A$1:$O$104,15,0))</f>
        <v>26.22</v>
      </c>
      <c r="W802" s="6">
        <f>IF(ISERROR(VLOOKUP($T$802,'TAR FIN'!$A$1:$O$104,15,0)),0,VLOOKUP($T$802,'TAR FIN'!$A$1:$O$104,15,0))</f>
        <v>0</v>
      </c>
      <c r="X802" s="6">
        <f>IF(ISERROR(VLOOKUP($U$802,'TAR FIN'!$A$1:$O$104,15,0)),0,VLOOKUP($U$802,'TAR FIN'!$A$1:$O$104,15,0))</f>
        <v>0</v>
      </c>
      <c r="Y802" s="6">
        <f ca="1">('TUSD BE'!$AM$24+'TUSD BF'!$AM$24+'TUSD CVA'!$AM$24)*1</f>
        <v>26.280164278980507</v>
      </c>
      <c r="Z802" s="6"/>
      <c r="AA802" s="6"/>
      <c r="AB802" s="6">
        <f>$K$802*$V$802</f>
        <v>3015.2999999999997</v>
      </c>
      <c r="AC802" s="6">
        <f>$M$802*$W$802</f>
        <v>0</v>
      </c>
      <c r="AD802" s="6">
        <f>$O$802*$X$802</f>
        <v>0</v>
      </c>
      <c r="AE802" s="6">
        <f ca="1">$K$802*$Y$802</f>
        <v>3022.2188920827584</v>
      </c>
      <c r="AF802" s="6">
        <f>$M$802*$Z$802</f>
        <v>0</v>
      </c>
      <c r="AG802" s="6">
        <f>$O$802*$AA$802</f>
        <v>0</v>
      </c>
    </row>
    <row r="803" spans="1:33" ht="11.25" customHeight="1" x14ac:dyDescent="0.25">
      <c r="A803" s="4" t="s">
        <v>21</v>
      </c>
      <c r="B803" s="4" t="s">
        <v>41</v>
      </c>
      <c r="C803" s="4" t="s">
        <v>42</v>
      </c>
      <c r="D803" s="4" t="s">
        <v>43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44531</v>
      </c>
      <c r="J803" s="6">
        <v>54848</v>
      </c>
      <c r="K803" s="6">
        <v>54848</v>
      </c>
      <c r="L803" s="6">
        <v>0</v>
      </c>
      <c r="M803" s="6">
        <v>0</v>
      </c>
      <c r="N803" s="6">
        <v>0</v>
      </c>
      <c r="O803" s="6">
        <v>0</v>
      </c>
      <c r="P803" s="6">
        <v>549</v>
      </c>
      <c r="Q803" s="4" t="s">
        <v>26</v>
      </c>
      <c r="R803" s="4">
        <v>0</v>
      </c>
      <c r="S803" s="6">
        <v>40</v>
      </c>
      <c r="T803" s="6">
        <v>0</v>
      </c>
      <c r="U803" s="6">
        <v>0</v>
      </c>
      <c r="V803" s="6">
        <f>IF(ISERROR(VLOOKUP($S$803,'TAR FIN'!$A$1:$O$104,15,0)),0,VLOOKUP($S$803,'TAR FIN'!$A$1:$O$104,15,0))</f>
        <v>26.22</v>
      </c>
      <c r="W803" s="6">
        <f>IF(ISERROR(VLOOKUP($T$803,'TAR FIN'!$A$1:$O$104,15,0)),0,VLOOKUP($T$803,'TAR FIN'!$A$1:$O$104,15,0))</f>
        <v>0</v>
      </c>
      <c r="X803" s="6">
        <f>IF(ISERROR(VLOOKUP($U$803,'TAR FIN'!$A$1:$O$104,15,0)),0,VLOOKUP($U$803,'TAR FIN'!$A$1:$O$104,15,0))</f>
        <v>0</v>
      </c>
      <c r="Y803" s="6">
        <f ca="1">('TUSD BE'!$AM$24+'TUSD BF'!$AM$24+'TUSD CVA'!$AM$24)*1</f>
        <v>26.280164278980507</v>
      </c>
      <c r="Z803" s="6"/>
      <c r="AA803" s="6"/>
      <c r="AB803" s="6">
        <f>$K$803*$V$803</f>
        <v>1438114.5599999998</v>
      </c>
      <c r="AC803" s="6">
        <f>$M$803*$W$803</f>
        <v>0</v>
      </c>
      <c r="AD803" s="6">
        <f>$O$803*$X$803</f>
        <v>0</v>
      </c>
      <c r="AE803" s="6">
        <f ca="1">$K$803*$Y$803</f>
        <v>1441414.4503735229</v>
      </c>
      <c r="AF803" s="6">
        <f>$M$803*$Z$803</f>
        <v>0</v>
      </c>
      <c r="AG803" s="6">
        <f>$O$803*$AA$803</f>
        <v>0</v>
      </c>
    </row>
    <row r="804" spans="1:33" ht="11.25" customHeight="1" x14ac:dyDescent="0.25">
      <c r="A804" s="4" t="s">
        <v>27</v>
      </c>
      <c r="B804" s="4" t="s">
        <v>41</v>
      </c>
      <c r="C804" s="4" t="s">
        <v>42</v>
      </c>
      <c r="D804" s="4" t="s">
        <v>43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44531</v>
      </c>
      <c r="J804" s="6">
        <v>-34</v>
      </c>
      <c r="K804" s="6">
        <v>-34</v>
      </c>
      <c r="L804" s="6">
        <v>0</v>
      </c>
      <c r="M804" s="6">
        <v>0</v>
      </c>
      <c r="N804" s="6">
        <v>0</v>
      </c>
      <c r="O804" s="6">
        <v>0</v>
      </c>
      <c r="P804" s="6">
        <v>-1</v>
      </c>
      <c r="Q804" s="4" t="s">
        <v>26</v>
      </c>
      <c r="R804" s="4">
        <v>0</v>
      </c>
      <c r="S804" s="6">
        <v>40</v>
      </c>
      <c r="T804" s="6">
        <v>0</v>
      </c>
      <c r="U804" s="6">
        <v>0</v>
      </c>
      <c r="V804" s="6">
        <f>IF(ISERROR(VLOOKUP($S$804,'TAR FIN'!$A$1:$O$104,15,0)),0,VLOOKUP($S$804,'TAR FIN'!$A$1:$O$104,15,0))</f>
        <v>26.22</v>
      </c>
      <c r="W804" s="6">
        <f>IF(ISERROR(VLOOKUP($T$804,'TAR FIN'!$A$1:$O$104,15,0)),0,VLOOKUP($T$804,'TAR FIN'!$A$1:$O$104,15,0))</f>
        <v>0</v>
      </c>
      <c r="X804" s="6">
        <f>IF(ISERROR(VLOOKUP($U$804,'TAR FIN'!$A$1:$O$104,15,0)),0,VLOOKUP($U$804,'TAR FIN'!$A$1:$O$104,15,0))</f>
        <v>0</v>
      </c>
      <c r="Y804" s="6">
        <f ca="1">('TUSD BE'!$AM$24+'TUSD BF'!$AM$24+'TUSD CVA'!$AM$24)*1</f>
        <v>26.280164278980507</v>
      </c>
      <c r="Z804" s="6"/>
      <c r="AA804" s="6"/>
      <c r="AB804" s="6">
        <f>$K$804*$V$804</f>
        <v>-891.48</v>
      </c>
      <c r="AC804" s="6">
        <f>$M$804*$W$804</f>
        <v>0</v>
      </c>
      <c r="AD804" s="6">
        <f>$O$804*$X$804</f>
        <v>0</v>
      </c>
      <c r="AE804" s="6">
        <f ca="1">$K$804*$Y$804</f>
        <v>-893.52558548533727</v>
      </c>
      <c r="AF804" s="6">
        <f>$M$804*$Z$804</f>
        <v>0</v>
      </c>
      <c r="AG804" s="6">
        <f>$O$804*$AA$804</f>
        <v>0</v>
      </c>
    </row>
    <row r="805" spans="1:33" ht="11.25" customHeight="1" x14ac:dyDescent="0.25">
      <c r="A805" s="4" t="s">
        <v>28</v>
      </c>
      <c r="B805" s="4" t="s">
        <v>41</v>
      </c>
      <c r="C805" s="4" t="s">
        <v>42</v>
      </c>
      <c r="D805" s="4" t="s">
        <v>43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44531</v>
      </c>
      <c r="J805" s="6">
        <v>13084</v>
      </c>
      <c r="K805" s="6">
        <v>13084</v>
      </c>
      <c r="L805" s="6">
        <v>0</v>
      </c>
      <c r="M805" s="6">
        <v>0</v>
      </c>
      <c r="N805" s="6">
        <v>0</v>
      </c>
      <c r="O805" s="6">
        <v>0</v>
      </c>
      <c r="P805" s="6">
        <v>56</v>
      </c>
      <c r="Q805" s="4" t="s">
        <v>26</v>
      </c>
      <c r="R805" s="4">
        <v>0</v>
      </c>
      <c r="S805" s="6">
        <v>40</v>
      </c>
      <c r="T805" s="6">
        <v>0</v>
      </c>
      <c r="U805" s="6">
        <v>0</v>
      </c>
      <c r="V805" s="6">
        <f>IF(ISERROR(VLOOKUP($S$805,'TAR FIN'!$A$1:$O$104,15,0)),0,VLOOKUP($S$805,'TAR FIN'!$A$1:$O$104,15,0))</f>
        <v>26.22</v>
      </c>
      <c r="W805" s="6">
        <f>IF(ISERROR(VLOOKUP($T$805,'TAR FIN'!$A$1:$O$104,15,0)),0,VLOOKUP($T$805,'TAR FIN'!$A$1:$O$104,15,0))</f>
        <v>0</v>
      </c>
      <c r="X805" s="6">
        <f>IF(ISERROR(VLOOKUP($U$805,'TAR FIN'!$A$1:$O$104,15,0)),0,VLOOKUP($U$805,'TAR FIN'!$A$1:$O$104,15,0))</f>
        <v>0</v>
      </c>
      <c r="Y805" s="6">
        <f ca="1">('TUSD BE'!$AM$24+'TUSD BF'!$AM$24+'TUSD CVA'!$AM$24)*1</f>
        <v>26.280164278980507</v>
      </c>
      <c r="Z805" s="6"/>
      <c r="AA805" s="6"/>
      <c r="AB805" s="6">
        <f>$K$805*$V$805</f>
        <v>343062.48</v>
      </c>
      <c r="AC805" s="6">
        <f>$M$805*$W$805</f>
        <v>0</v>
      </c>
      <c r="AD805" s="6">
        <f>$O$805*$X$805</f>
        <v>0</v>
      </c>
      <c r="AE805" s="6">
        <f ca="1">$K$805*$Y$805</f>
        <v>343849.66942618095</v>
      </c>
      <c r="AF805" s="6">
        <f>$M$805*$Z$805</f>
        <v>0</v>
      </c>
      <c r="AG805" s="6">
        <f>$O$805*$AA$805</f>
        <v>0</v>
      </c>
    </row>
    <row r="806" spans="1:33" ht="11.25" customHeight="1" x14ac:dyDescent="0.25">
      <c r="A806" s="4" t="s">
        <v>21</v>
      </c>
      <c r="B806" s="4" t="s">
        <v>41</v>
      </c>
      <c r="C806" s="4" t="s">
        <v>42</v>
      </c>
      <c r="D806" s="4" t="s">
        <v>43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44531</v>
      </c>
      <c r="J806" s="6">
        <v>115</v>
      </c>
      <c r="K806" s="6">
        <v>115</v>
      </c>
      <c r="L806" s="6">
        <v>0</v>
      </c>
      <c r="M806" s="6">
        <v>0</v>
      </c>
      <c r="N806" s="6">
        <v>0</v>
      </c>
      <c r="O806" s="6">
        <v>0</v>
      </c>
      <c r="P806" s="6">
        <v>1</v>
      </c>
      <c r="Q806" s="4" t="s">
        <v>58</v>
      </c>
      <c r="R806" s="4">
        <v>0</v>
      </c>
      <c r="S806" s="6">
        <v>40</v>
      </c>
      <c r="T806" s="6">
        <v>0</v>
      </c>
      <c r="U806" s="6">
        <v>0</v>
      </c>
      <c r="V806" s="6">
        <f>IF(ISERROR(VLOOKUP($S$806,'TAR FIN'!$A$1:$O$104,15,0)),0,VLOOKUP($S$806,'TAR FIN'!$A$1:$O$104,15,0))</f>
        <v>26.22</v>
      </c>
      <c r="W806" s="6">
        <f>IF(ISERROR(VLOOKUP($T$806,'TAR FIN'!$A$1:$O$104,15,0)),0,VLOOKUP($T$806,'TAR FIN'!$A$1:$O$104,15,0))</f>
        <v>0</v>
      </c>
      <c r="X806" s="6">
        <f>IF(ISERROR(VLOOKUP($U$806,'TAR FIN'!$A$1:$O$104,15,0)),0,VLOOKUP($U$806,'TAR FIN'!$A$1:$O$104,15,0))</f>
        <v>0</v>
      </c>
      <c r="Y806" s="6">
        <f ca="1">('TUSD BE'!$AM$24+'TUSD BF'!$AM$24+'TUSD CVA'!$AM$24)*1</f>
        <v>26.280164278980507</v>
      </c>
      <c r="Z806" s="6"/>
      <c r="AA806" s="6"/>
      <c r="AB806" s="6">
        <f>$K$806*$V$806</f>
        <v>3015.2999999999997</v>
      </c>
      <c r="AC806" s="6">
        <f>$M$806*$W$806</f>
        <v>0</v>
      </c>
      <c r="AD806" s="6">
        <f>$O$806*$X$806</f>
        <v>0</v>
      </c>
      <c r="AE806" s="6">
        <f ca="1">$K$806*$Y$806</f>
        <v>3022.2188920827584</v>
      </c>
      <c r="AF806" s="6">
        <f>$M$806*$Z$806</f>
        <v>0</v>
      </c>
      <c r="AG806" s="6">
        <f>$O$806*$AA$806</f>
        <v>0</v>
      </c>
    </row>
    <row r="807" spans="1:33" ht="11.25" customHeight="1" x14ac:dyDescent="0.25">
      <c r="A807" s="4" t="s">
        <v>21</v>
      </c>
      <c r="B807" s="4" t="s">
        <v>41</v>
      </c>
      <c r="C807" s="4" t="s">
        <v>42</v>
      </c>
      <c r="D807" s="4" t="s">
        <v>43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44562</v>
      </c>
      <c r="J807" s="6">
        <v>53534</v>
      </c>
      <c r="K807" s="6">
        <v>53534</v>
      </c>
      <c r="L807" s="6">
        <v>0</v>
      </c>
      <c r="M807" s="6">
        <v>0</v>
      </c>
      <c r="N807" s="6">
        <v>0</v>
      </c>
      <c r="O807" s="6">
        <v>0</v>
      </c>
      <c r="P807" s="6">
        <v>540</v>
      </c>
      <c r="Q807" s="4" t="s">
        <v>26</v>
      </c>
      <c r="R807" s="4">
        <v>0</v>
      </c>
      <c r="S807" s="6">
        <v>40</v>
      </c>
      <c r="T807" s="6">
        <v>0</v>
      </c>
      <c r="U807" s="6">
        <v>0</v>
      </c>
      <c r="V807" s="6">
        <f>IF(ISERROR(VLOOKUP($S$807,'TAR FIN'!$A$1:$O$104,15,0)),0,VLOOKUP($S$807,'TAR FIN'!$A$1:$O$104,15,0))</f>
        <v>26.22</v>
      </c>
      <c r="W807" s="6">
        <f>IF(ISERROR(VLOOKUP($T$807,'TAR FIN'!$A$1:$O$104,15,0)),0,VLOOKUP($T$807,'TAR FIN'!$A$1:$O$104,15,0))</f>
        <v>0</v>
      </c>
      <c r="X807" s="6">
        <f>IF(ISERROR(VLOOKUP($U$807,'TAR FIN'!$A$1:$O$104,15,0)),0,VLOOKUP($U$807,'TAR FIN'!$A$1:$O$104,15,0))</f>
        <v>0</v>
      </c>
      <c r="Y807" s="6">
        <f ca="1">('TUSD BE'!$AM$24+'TUSD BF'!$AM$24+'TUSD CVA'!$AM$24)*1</f>
        <v>26.280164278980507</v>
      </c>
      <c r="Z807" s="6"/>
      <c r="AA807" s="6"/>
      <c r="AB807" s="6">
        <f>$K$807*$V$807</f>
        <v>1403661.48</v>
      </c>
      <c r="AC807" s="6">
        <f>$M$807*$W$807</f>
        <v>0</v>
      </c>
      <c r="AD807" s="6">
        <f>$O$807*$X$807</f>
        <v>0</v>
      </c>
      <c r="AE807" s="6">
        <f ca="1">$K$807*$Y$807</f>
        <v>1406882.3145109424</v>
      </c>
      <c r="AF807" s="6">
        <f>$M$807*$Z$807</f>
        <v>0</v>
      </c>
      <c r="AG807" s="6">
        <f>$O$807*$AA$807</f>
        <v>0</v>
      </c>
    </row>
    <row r="808" spans="1:33" ht="11.25" customHeight="1" x14ac:dyDescent="0.25">
      <c r="A808" s="4" t="s">
        <v>27</v>
      </c>
      <c r="B808" s="4" t="s">
        <v>41</v>
      </c>
      <c r="C808" s="4" t="s">
        <v>42</v>
      </c>
      <c r="D808" s="4" t="s">
        <v>43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44562</v>
      </c>
      <c r="J808" s="6">
        <v>-707</v>
      </c>
      <c r="K808" s="6">
        <v>-707</v>
      </c>
      <c r="L808" s="6">
        <v>0</v>
      </c>
      <c r="M808" s="6">
        <v>0</v>
      </c>
      <c r="N808" s="6">
        <v>0</v>
      </c>
      <c r="O808" s="6">
        <v>0</v>
      </c>
      <c r="P808" s="6">
        <v>1</v>
      </c>
      <c r="Q808" s="4" t="s">
        <v>26</v>
      </c>
      <c r="R808" s="4">
        <v>0</v>
      </c>
      <c r="S808" s="6">
        <v>40</v>
      </c>
      <c r="T808" s="6">
        <v>0</v>
      </c>
      <c r="U808" s="6">
        <v>0</v>
      </c>
      <c r="V808" s="6">
        <f>IF(ISERROR(VLOOKUP($S$808,'TAR FIN'!$A$1:$O$104,15,0)),0,VLOOKUP($S$808,'TAR FIN'!$A$1:$O$104,15,0))</f>
        <v>26.22</v>
      </c>
      <c r="W808" s="6">
        <f>IF(ISERROR(VLOOKUP($T$808,'TAR FIN'!$A$1:$O$104,15,0)),0,VLOOKUP($T$808,'TAR FIN'!$A$1:$O$104,15,0))</f>
        <v>0</v>
      </c>
      <c r="X808" s="6">
        <f>IF(ISERROR(VLOOKUP($U$808,'TAR FIN'!$A$1:$O$104,15,0)),0,VLOOKUP($U$808,'TAR FIN'!$A$1:$O$104,15,0))</f>
        <v>0</v>
      </c>
      <c r="Y808" s="6">
        <f ca="1">('TUSD BE'!$AM$24+'TUSD BF'!$AM$24+'TUSD CVA'!$AM$24)*1</f>
        <v>26.280164278980507</v>
      </c>
      <c r="Z808" s="6"/>
      <c r="AA808" s="6"/>
      <c r="AB808" s="6">
        <f>$K$808*$V$808</f>
        <v>-18537.54</v>
      </c>
      <c r="AC808" s="6">
        <f>$M$808*$W$808</f>
        <v>0</v>
      </c>
      <c r="AD808" s="6">
        <f>$O$808*$X$808</f>
        <v>0</v>
      </c>
      <c r="AE808" s="6">
        <f ca="1">$K$808*$Y$808</f>
        <v>-18580.076145239218</v>
      </c>
      <c r="AF808" s="6">
        <f>$M$808*$Z$808</f>
        <v>0</v>
      </c>
      <c r="AG808" s="6">
        <f>$O$808*$AA$808</f>
        <v>0</v>
      </c>
    </row>
    <row r="809" spans="1:33" ht="11.25" customHeight="1" x14ac:dyDescent="0.25">
      <c r="A809" s="4" t="s">
        <v>28</v>
      </c>
      <c r="B809" s="4" t="s">
        <v>41</v>
      </c>
      <c r="C809" s="4" t="s">
        <v>42</v>
      </c>
      <c r="D809" s="4" t="s">
        <v>43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44562</v>
      </c>
      <c r="J809" s="6">
        <v>13223</v>
      </c>
      <c r="K809" s="6">
        <v>13223</v>
      </c>
      <c r="L809" s="6">
        <v>0</v>
      </c>
      <c r="M809" s="6">
        <v>0</v>
      </c>
      <c r="N809" s="6">
        <v>0</v>
      </c>
      <c r="O809" s="6">
        <v>0</v>
      </c>
      <c r="P809" s="6">
        <v>58</v>
      </c>
      <c r="Q809" s="4" t="s">
        <v>26</v>
      </c>
      <c r="R809" s="4">
        <v>0</v>
      </c>
      <c r="S809" s="6">
        <v>40</v>
      </c>
      <c r="T809" s="6">
        <v>0</v>
      </c>
      <c r="U809" s="6">
        <v>0</v>
      </c>
      <c r="V809" s="6">
        <f>IF(ISERROR(VLOOKUP($S$809,'TAR FIN'!$A$1:$O$104,15,0)),0,VLOOKUP($S$809,'TAR FIN'!$A$1:$O$104,15,0))</f>
        <v>26.22</v>
      </c>
      <c r="W809" s="6">
        <f>IF(ISERROR(VLOOKUP($T$809,'TAR FIN'!$A$1:$O$104,15,0)),0,VLOOKUP($T$809,'TAR FIN'!$A$1:$O$104,15,0))</f>
        <v>0</v>
      </c>
      <c r="X809" s="6">
        <f>IF(ISERROR(VLOOKUP($U$809,'TAR FIN'!$A$1:$O$104,15,0)),0,VLOOKUP($U$809,'TAR FIN'!$A$1:$O$104,15,0))</f>
        <v>0</v>
      </c>
      <c r="Y809" s="6">
        <f ca="1">('TUSD BE'!$AM$24+'TUSD BF'!$AM$24+'TUSD CVA'!$AM$24)*1</f>
        <v>26.280164278980507</v>
      </c>
      <c r="Z809" s="6"/>
      <c r="AA809" s="6"/>
      <c r="AB809" s="6">
        <f>$K$809*$V$809</f>
        <v>346707.06</v>
      </c>
      <c r="AC809" s="6">
        <f>$M$809*$W$809</f>
        <v>0</v>
      </c>
      <c r="AD809" s="6">
        <f>$O$809*$X$809</f>
        <v>0</v>
      </c>
      <c r="AE809" s="6">
        <f ca="1">$K$809*$Y$809</f>
        <v>347502.61226095923</v>
      </c>
      <c r="AF809" s="6">
        <f>$M$809*$Z$809</f>
        <v>0</v>
      </c>
      <c r="AG809" s="6">
        <f>$O$809*$AA$809</f>
        <v>0</v>
      </c>
    </row>
    <row r="810" spans="1:33" ht="11.25" customHeight="1" x14ac:dyDescent="0.25">
      <c r="A810" s="4" t="s">
        <v>21</v>
      </c>
      <c r="B810" s="4" t="s">
        <v>41</v>
      </c>
      <c r="C810" s="4" t="s">
        <v>42</v>
      </c>
      <c r="D810" s="4" t="s">
        <v>43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44593</v>
      </c>
      <c r="J810" s="6">
        <v>54109</v>
      </c>
      <c r="K810" s="6">
        <v>54109</v>
      </c>
      <c r="L810" s="6">
        <v>0</v>
      </c>
      <c r="M810" s="6">
        <v>0</v>
      </c>
      <c r="N810" s="6">
        <v>0</v>
      </c>
      <c r="O810" s="6">
        <v>0</v>
      </c>
      <c r="P810" s="6">
        <v>539</v>
      </c>
      <c r="Q810" s="4" t="s">
        <v>26</v>
      </c>
      <c r="R810" s="4">
        <v>0</v>
      </c>
      <c r="S810" s="6">
        <v>40</v>
      </c>
      <c r="T810" s="6">
        <v>0</v>
      </c>
      <c r="U810" s="6">
        <v>0</v>
      </c>
      <c r="V810" s="6">
        <f>IF(ISERROR(VLOOKUP($S$810,'TAR FIN'!$A$1:$O$104,15,0)),0,VLOOKUP($S$810,'TAR FIN'!$A$1:$O$104,15,0))</f>
        <v>26.22</v>
      </c>
      <c r="W810" s="6">
        <f>IF(ISERROR(VLOOKUP($T$810,'TAR FIN'!$A$1:$O$104,15,0)),0,VLOOKUP($T$810,'TAR FIN'!$A$1:$O$104,15,0))</f>
        <v>0</v>
      </c>
      <c r="X810" s="6">
        <f>IF(ISERROR(VLOOKUP($U$810,'TAR FIN'!$A$1:$O$104,15,0)),0,VLOOKUP($U$810,'TAR FIN'!$A$1:$O$104,15,0))</f>
        <v>0</v>
      </c>
      <c r="Y810" s="6">
        <f ca="1">('TUSD BE'!$AM$24+'TUSD BF'!$AM$24+'TUSD CVA'!$AM$24)*1</f>
        <v>26.280164278980507</v>
      </c>
      <c r="Z810" s="6"/>
      <c r="AA810" s="6"/>
      <c r="AB810" s="6">
        <f>$K$810*$V$810</f>
        <v>1418737.98</v>
      </c>
      <c r="AC810" s="6">
        <f>$M$810*$W$810</f>
        <v>0</v>
      </c>
      <c r="AD810" s="6">
        <f>$O$810*$X$810</f>
        <v>0</v>
      </c>
      <c r="AE810" s="6">
        <f ca="1">$K$810*$Y$810</f>
        <v>1421993.4089713562</v>
      </c>
      <c r="AF810" s="6">
        <f>$M$810*$Z$810</f>
        <v>0</v>
      </c>
      <c r="AG810" s="6">
        <f>$O$810*$AA$810</f>
        <v>0</v>
      </c>
    </row>
    <row r="811" spans="1:33" ht="11.25" customHeight="1" x14ac:dyDescent="0.25">
      <c r="A811" s="4" t="s">
        <v>27</v>
      </c>
      <c r="B811" s="4" t="s">
        <v>41</v>
      </c>
      <c r="C811" s="4" t="s">
        <v>42</v>
      </c>
      <c r="D811" s="4" t="s">
        <v>43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44593</v>
      </c>
      <c r="J811" s="6">
        <v>-474</v>
      </c>
      <c r="K811" s="6">
        <v>-474</v>
      </c>
      <c r="L811" s="6">
        <v>0</v>
      </c>
      <c r="M811" s="6">
        <v>0</v>
      </c>
      <c r="N811" s="6">
        <v>0</v>
      </c>
      <c r="O811" s="6">
        <v>0</v>
      </c>
      <c r="P811" s="6">
        <v>1</v>
      </c>
      <c r="Q811" s="4" t="s">
        <v>26</v>
      </c>
      <c r="R811" s="4">
        <v>0</v>
      </c>
      <c r="S811" s="6">
        <v>40</v>
      </c>
      <c r="T811" s="6">
        <v>0</v>
      </c>
      <c r="U811" s="6">
        <v>0</v>
      </c>
      <c r="V811" s="6">
        <f>IF(ISERROR(VLOOKUP($S$811,'TAR FIN'!$A$1:$O$104,15,0)),0,VLOOKUP($S$811,'TAR FIN'!$A$1:$O$104,15,0))</f>
        <v>26.22</v>
      </c>
      <c r="W811" s="6">
        <f>IF(ISERROR(VLOOKUP($T$811,'TAR FIN'!$A$1:$O$104,15,0)),0,VLOOKUP($T$811,'TAR FIN'!$A$1:$O$104,15,0))</f>
        <v>0</v>
      </c>
      <c r="X811" s="6">
        <f>IF(ISERROR(VLOOKUP($U$811,'TAR FIN'!$A$1:$O$104,15,0)),0,VLOOKUP($U$811,'TAR FIN'!$A$1:$O$104,15,0))</f>
        <v>0</v>
      </c>
      <c r="Y811" s="6">
        <f ca="1">('TUSD BE'!$AM$24+'TUSD BF'!$AM$24+'TUSD CVA'!$AM$24)*1</f>
        <v>26.280164278980507</v>
      </c>
      <c r="Z811" s="6"/>
      <c r="AA811" s="6"/>
      <c r="AB811" s="6">
        <f>$K$811*$V$811</f>
        <v>-12428.279999999999</v>
      </c>
      <c r="AC811" s="6">
        <f>$M$811*$W$811</f>
        <v>0</v>
      </c>
      <c r="AD811" s="6">
        <f>$O$811*$X$811</f>
        <v>0</v>
      </c>
      <c r="AE811" s="6">
        <f ca="1">$K$811*$Y$811</f>
        <v>-12456.797868236761</v>
      </c>
      <c r="AF811" s="6">
        <f>$M$811*$Z$811</f>
        <v>0</v>
      </c>
      <c r="AG811" s="6">
        <f>$O$811*$AA$811</f>
        <v>0</v>
      </c>
    </row>
    <row r="812" spans="1:33" ht="11.25" customHeight="1" x14ac:dyDescent="0.25">
      <c r="A812" s="4" t="s">
        <v>28</v>
      </c>
      <c r="B812" s="4" t="s">
        <v>41</v>
      </c>
      <c r="C812" s="4" t="s">
        <v>42</v>
      </c>
      <c r="D812" s="4" t="s">
        <v>43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44593</v>
      </c>
      <c r="J812" s="6">
        <v>14099</v>
      </c>
      <c r="K812" s="6">
        <v>14099</v>
      </c>
      <c r="L812" s="6">
        <v>0</v>
      </c>
      <c r="M812" s="6">
        <v>0</v>
      </c>
      <c r="N812" s="6">
        <v>0</v>
      </c>
      <c r="O812" s="6">
        <v>0</v>
      </c>
      <c r="P812" s="6">
        <v>63</v>
      </c>
      <c r="Q812" s="4" t="s">
        <v>26</v>
      </c>
      <c r="R812" s="4">
        <v>0</v>
      </c>
      <c r="S812" s="6">
        <v>40</v>
      </c>
      <c r="T812" s="6">
        <v>0</v>
      </c>
      <c r="U812" s="6">
        <v>0</v>
      </c>
      <c r="V812" s="6">
        <f>IF(ISERROR(VLOOKUP($S$812,'TAR FIN'!$A$1:$O$104,15,0)),0,VLOOKUP($S$812,'TAR FIN'!$A$1:$O$104,15,0))</f>
        <v>26.22</v>
      </c>
      <c r="W812" s="6">
        <f>IF(ISERROR(VLOOKUP($T$812,'TAR FIN'!$A$1:$O$104,15,0)),0,VLOOKUP($T$812,'TAR FIN'!$A$1:$O$104,15,0))</f>
        <v>0</v>
      </c>
      <c r="X812" s="6">
        <f>IF(ISERROR(VLOOKUP($U$812,'TAR FIN'!$A$1:$O$104,15,0)),0,VLOOKUP($U$812,'TAR FIN'!$A$1:$O$104,15,0))</f>
        <v>0</v>
      </c>
      <c r="Y812" s="6">
        <f ca="1">('TUSD BE'!$AM$24+'TUSD BF'!$AM$24+'TUSD CVA'!$AM$24)*1</f>
        <v>26.280164278980507</v>
      </c>
      <c r="Z812" s="6"/>
      <c r="AA812" s="6"/>
      <c r="AB812" s="6">
        <f>$K$812*$V$812</f>
        <v>369675.77999999997</v>
      </c>
      <c r="AC812" s="6">
        <f>$M$812*$W$812</f>
        <v>0</v>
      </c>
      <c r="AD812" s="6">
        <f>$O$812*$X$812</f>
        <v>0</v>
      </c>
      <c r="AE812" s="6">
        <f ca="1">$K$812*$Y$812</f>
        <v>370524.03616934619</v>
      </c>
      <c r="AF812" s="6">
        <f>$M$812*$Z$812</f>
        <v>0</v>
      </c>
      <c r="AG812" s="6">
        <f>$O$812*$AA$812</f>
        <v>0</v>
      </c>
    </row>
    <row r="813" spans="1:33" ht="11.25" customHeight="1" x14ac:dyDescent="0.25">
      <c r="A813" s="4" t="s">
        <v>21</v>
      </c>
      <c r="B813" s="4" t="s">
        <v>41</v>
      </c>
      <c r="C813" s="4" t="s">
        <v>42</v>
      </c>
      <c r="D813" s="4" t="s">
        <v>43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44621</v>
      </c>
      <c r="J813" s="6">
        <v>54354</v>
      </c>
      <c r="K813" s="6">
        <v>54354</v>
      </c>
      <c r="L813" s="6">
        <v>0</v>
      </c>
      <c r="M813" s="6">
        <v>0</v>
      </c>
      <c r="N813" s="6">
        <v>0</v>
      </c>
      <c r="O813" s="6">
        <v>0</v>
      </c>
      <c r="P813" s="6">
        <v>536</v>
      </c>
      <c r="Q813" s="4" t="s">
        <v>26</v>
      </c>
      <c r="R813" s="4">
        <v>0</v>
      </c>
      <c r="S813" s="6">
        <v>40</v>
      </c>
      <c r="T813" s="6">
        <v>0</v>
      </c>
      <c r="U813" s="6">
        <v>0</v>
      </c>
      <c r="V813" s="6">
        <f>IF(ISERROR(VLOOKUP($S$813,'TAR FIN'!$A$1:$O$104,15,0)),0,VLOOKUP($S$813,'TAR FIN'!$A$1:$O$104,15,0))</f>
        <v>26.22</v>
      </c>
      <c r="W813" s="6">
        <f>IF(ISERROR(VLOOKUP($T$813,'TAR FIN'!$A$1:$O$104,15,0)),0,VLOOKUP($T$813,'TAR FIN'!$A$1:$O$104,15,0))</f>
        <v>0</v>
      </c>
      <c r="X813" s="6">
        <f>IF(ISERROR(VLOOKUP($U$813,'TAR FIN'!$A$1:$O$104,15,0)),0,VLOOKUP($U$813,'TAR FIN'!$A$1:$O$104,15,0))</f>
        <v>0</v>
      </c>
      <c r="Y813" s="6">
        <f ca="1">('TUSD BE'!$AM$24+'TUSD BF'!$AM$24+'TUSD CVA'!$AM$24)*1</f>
        <v>26.280164278980507</v>
      </c>
      <c r="Z813" s="6"/>
      <c r="AA813" s="6"/>
      <c r="AB813" s="6">
        <f>$K$813*$V$813</f>
        <v>1425161.88</v>
      </c>
      <c r="AC813" s="6">
        <f>$M$813*$W$813</f>
        <v>0</v>
      </c>
      <c r="AD813" s="6">
        <f>$O$813*$X$813</f>
        <v>0</v>
      </c>
      <c r="AE813" s="6">
        <f ca="1">$K$813*$Y$813</f>
        <v>1428432.0492197066</v>
      </c>
      <c r="AF813" s="6">
        <f>$M$813*$Z$813</f>
        <v>0</v>
      </c>
      <c r="AG813" s="6">
        <f>$O$813*$AA$813</f>
        <v>0</v>
      </c>
    </row>
    <row r="814" spans="1:33" ht="11.25" customHeight="1" x14ac:dyDescent="0.25">
      <c r="A814" s="4" t="s">
        <v>28</v>
      </c>
      <c r="B814" s="4" t="s">
        <v>41</v>
      </c>
      <c r="C814" s="4" t="s">
        <v>42</v>
      </c>
      <c r="D814" s="4" t="s">
        <v>43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44621</v>
      </c>
      <c r="J814" s="6">
        <v>15678</v>
      </c>
      <c r="K814" s="6">
        <v>15678</v>
      </c>
      <c r="L814" s="6">
        <v>0</v>
      </c>
      <c r="M814" s="6">
        <v>0</v>
      </c>
      <c r="N814" s="6">
        <v>0</v>
      </c>
      <c r="O814" s="6">
        <v>0</v>
      </c>
      <c r="P814" s="6">
        <v>68</v>
      </c>
      <c r="Q814" s="4" t="s">
        <v>26</v>
      </c>
      <c r="R814" s="4">
        <v>0</v>
      </c>
      <c r="S814" s="6">
        <v>40</v>
      </c>
      <c r="T814" s="6">
        <v>0</v>
      </c>
      <c r="U814" s="6">
        <v>0</v>
      </c>
      <c r="V814" s="6">
        <f>IF(ISERROR(VLOOKUP($S$814,'TAR FIN'!$A$1:$O$104,15,0)),0,VLOOKUP($S$814,'TAR FIN'!$A$1:$O$104,15,0))</f>
        <v>26.22</v>
      </c>
      <c r="W814" s="6">
        <f>IF(ISERROR(VLOOKUP($T$814,'TAR FIN'!$A$1:$O$104,15,0)),0,VLOOKUP($T$814,'TAR FIN'!$A$1:$O$104,15,0))</f>
        <v>0</v>
      </c>
      <c r="X814" s="6">
        <f>IF(ISERROR(VLOOKUP($U$814,'TAR FIN'!$A$1:$O$104,15,0)),0,VLOOKUP($U$814,'TAR FIN'!$A$1:$O$104,15,0))</f>
        <v>0</v>
      </c>
      <c r="Y814" s="6">
        <f ca="1">('TUSD BE'!$AM$24+'TUSD BF'!$AM$24+'TUSD CVA'!$AM$24)*1</f>
        <v>26.280164278980507</v>
      </c>
      <c r="Z814" s="6"/>
      <c r="AA814" s="6"/>
      <c r="AB814" s="6">
        <f>$K$814*$V$814</f>
        <v>411077.16</v>
      </c>
      <c r="AC814" s="6">
        <f>$M$814*$W$814</f>
        <v>0</v>
      </c>
      <c r="AD814" s="6">
        <f>$O$814*$X$814</f>
        <v>0</v>
      </c>
      <c r="AE814" s="6">
        <f ca="1">$K$814*$Y$814</f>
        <v>412020.41556585638</v>
      </c>
      <c r="AF814" s="6">
        <f>$M$814*$Z$814</f>
        <v>0</v>
      </c>
      <c r="AG814" s="6">
        <f>$O$814*$AA$814</f>
        <v>0</v>
      </c>
    </row>
    <row r="815" spans="1:33" ht="11.25" customHeight="1" x14ac:dyDescent="0.25">
      <c r="A815" s="4" t="s">
        <v>21</v>
      </c>
      <c r="B815" s="4" t="s">
        <v>41</v>
      </c>
      <c r="C815" s="4" t="s">
        <v>42</v>
      </c>
      <c r="D815" s="4" t="s">
        <v>43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44652</v>
      </c>
      <c r="J815" s="6">
        <v>54353</v>
      </c>
      <c r="K815" s="6">
        <v>54353</v>
      </c>
      <c r="L815" s="6">
        <v>0</v>
      </c>
      <c r="M815" s="6">
        <v>0</v>
      </c>
      <c r="N815" s="6">
        <v>0</v>
      </c>
      <c r="O815" s="6">
        <v>0</v>
      </c>
      <c r="P815" s="6">
        <v>534</v>
      </c>
      <c r="Q815" s="4" t="s">
        <v>26</v>
      </c>
      <c r="R815" s="4">
        <v>0</v>
      </c>
      <c r="S815" s="6">
        <v>40</v>
      </c>
      <c r="T815" s="6">
        <v>0</v>
      </c>
      <c r="U815" s="6">
        <v>0</v>
      </c>
      <c r="V815" s="6">
        <f>IF(ISERROR(VLOOKUP($S$815,'TAR FIN'!$A$1:$O$104,15,0)),0,VLOOKUP($S$815,'TAR FIN'!$A$1:$O$104,15,0))</f>
        <v>26.22</v>
      </c>
      <c r="W815" s="6">
        <f>IF(ISERROR(VLOOKUP($T$815,'TAR FIN'!$A$1:$O$104,15,0)),0,VLOOKUP($T$815,'TAR FIN'!$A$1:$O$104,15,0))</f>
        <v>0</v>
      </c>
      <c r="X815" s="6">
        <f>IF(ISERROR(VLOOKUP($U$815,'TAR FIN'!$A$1:$O$104,15,0)),0,VLOOKUP($U$815,'TAR FIN'!$A$1:$O$104,15,0))</f>
        <v>0</v>
      </c>
      <c r="Y815" s="6">
        <f ca="1">('TUSD BE'!$AM$24+'TUSD BF'!$AM$24+'TUSD CVA'!$AM$24)*1</f>
        <v>26.280164278980507</v>
      </c>
      <c r="Z815" s="6"/>
      <c r="AA815" s="6"/>
      <c r="AB815" s="6">
        <f>$K$815*$V$815</f>
        <v>1425135.66</v>
      </c>
      <c r="AC815" s="6">
        <f>$M$815*$W$815</f>
        <v>0</v>
      </c>
      <c r="AD815" s="6">
        <f>$O$815*$X$815</f>
        <v>0</v>
      </c>
      <c r="AE815" s="6">
        <f ca="1">$K$815*$Y$815</f>
        <v>1428405.7690554275</v>
      </c>
      <c r="AF815" s="6">
        <f>$M$815*$Z$815</f>
        <v>0</v>
      </c>
      <c r="AG815" s="6">
        <f>$O$815*$AA$815</f>
        <v>0</v>
      </c>
    </row>
    <row r="816" spans="1:33" ht="11.25" customHeight="1" x14ac:dyDescent="0.25">
      <c r="A816" s="4" t="s">
        <v>27</v>
      </c>
      <c r="B816" s="4" t="s">
        <v>41</v>
      </c>
      <c r="C816" s="4" t="s">
        <v>42</v>
      </c>
      <c r="D816" s="4" t="s">
        <v>43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44652</v>
      </c>
      <c r="J816" s="6">
        <v>-38</v>
      </c>
      <c r="K816" s="6">
        <v>-38</v>
      </c>
      <c r="L816" s="6">
        <v>0</v>
      </c>
      <c r="M816" s="6">
        <v>0</v>
      </c>
      <c r="N816" s="6">
        <v>0</v>
      </c>
      <c r="O816" s="6">
        <v>0</v>
      </c>
      <c r="P816" s="6">
        <v>1</v>
      </c>
      <c r="Q816" s="4" t="s">
        <v>26</v>
      </c>
      <c r="R816" s="4">
        <v>0</v>
      </c>
      <c r="S816" s="6">
        <v>40</v>
      </c>
      <c r="T816" s="6">
        <v>0</v>
      </c>
      <c r="U816" s="6">
        <v>0</v>
      </c>
      <c r="V816" s="6">
        <f>IF(ISERROR(VLOOKUP($S$816,'TAR FIN'!$A$1:$O$104,15,0)),0,VLOOKUP($S$816,'TAR FIN'!$A$1:$O$104,15,0))</f>
        <v>26.22</v>
      </c>
      <c r="W816" s="6">
        <f>IF(ISERROR(VLOOKUP($T$816,'TAR FIN'!$A$1:$O$104,15,0)),0,VLOOKUP($T$816,'TAR FIN'!$A$1:$O$104,15,0))</f>
        <v>0</v>
      </c>
      <c r="X816" s="6">
        <f>IF(ISERROR(VLOOKUP($U$816,'TAR FIN'!$A$1:$O$104,15,0)),0,VLOOKUP($U$816,'TAR FIN'!$A$1:$O$104,15,0))</f>
        <v>0</v>
      </c>
      <c r="Y816" s="6">
        <f ca="1">('TUSD BE'!$AM$24+'TUSD BF'!$AM$24+'TUSD CVA'!$AM$24)*1</f>
        <v>26.280164278980507</v>
      </c>
      <c r="Z816" s="6"/>
      <c r="AA816" s="6"/>
      <c r="AB816" s="6">
        <f>$K$816*$V$816</f>
        <v>-996.3599999999999</v>
      </c>
      <c r="AC816" s="6">
        <f>$M$816*$W$816</f>
        <v>0</v>
      </c>
      <c r="AD816" s="6">
        <f>$O$816*$X$816</f>
        <v>0</v>
      </c>
      <c r="AE816" s="6">
        <f ca="1">$K$816*$Y$816</f>
        <v>-998.64624260125925</v>
      </c>
      <c r="AF816" s="6">
        <f>$M$816*$Z$816</f>
        <v>0</v>
      </c>
      <c r="AG816" s="6">
        <f>$O$816*$AA$816</f>
        <v>0</v>
      </c>
    </row>
    <row r="817" spans="1:33" ht="11.25" customHeight="1" x14ac:dyDescent="0.25">
      <c r="A817" s="4" t="s">
        <v>28</v>
      </c>
      <c r="B817" s="4" t="s">
        <v>41</v>
      </c>
      <c r="C817" s="4" t="s">
        <v>42</v>
      </c>
      <c r="D817" s="4" t="s">
        <v>43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44652</v>
      </c>
      <c r="J817" s="6">
        <v>17214</v>
      </c>
      <c r="K817" s="6">
        <v>17214</v>
      </c>
      <c r="L817" s="6">
        <v>0</v>
      </c>
      <c r="M817" s="6">
        <v>0</v>
      </c>
      <c r="N817" s="6">
        <v>0</v>
      </c>
      <c r="O817" s="6">
        <v>0</v>
      </c>
      <c r="P817" s="6">
        <v>70</v>
      </c>
      <c r="Q817" s="4" t="s">
        <v>26</v>
      </c>
      <c r="R817" s="4">
        <v>0</v>
      </c>
      <c r="S817" s="6">
        <v>40</v>
      </c>
      <c r="T817" s="6">
        <v>0</v>
      </c>
      <c r="U817" s="6">
        <v>0</v>
      </c>
      <c r="V817" s="6">
        <f>IF(ISERROR(VLOOKUP($S$817,'TAR FIN'!$A$1:$O$104,15,0)),0,VLOOKUP($S$817,'TAR FIN'!$A$1:$O$104,15,0))</f>
        <v>26.22</v>
      </c>
      <c r="W817" s="6">
        <f>IF(ISERROR(VLOOKUP($T$817,'TAR FIN'!$A$1:$O$104,15,0)),0,VLOOKUP($T$817,'TAR FIN'!$A$1:$O$104,15,0))</f>
        <v>0</v>
      </c>
      <c r="X817" s="6">
        <f>IF(ISERROR(VLOOKUP($U$817,'TAR FIN'!$A$1:$O$104,15,0)),0,VLOOKUP($U$817,'TAR FIN'!$A$1:$O$104,15,0))</f>
        <v>0</v>
      </c>
      <c r="Y817" s="6">
        <f ca="1">('TUSD BE'!$AM$24+'TUSD BF'!$AM$24+'TUSD CVA'!$AM$24)*1</f>
        <v>26.280164278980507</v>
      </c>
      <c r="Z817" s="6"/>
      <c r="AA817" s="6"/>
      <c r="AB817" s="6">
        <f>$K$817*$V$817</f>
        <v>451351.07999999996</v>
      </c>
      <c r="AC817" s="6">
        <f>$M$817*$W$817</f>
        <v>0</v>
      </c>
      <c r="AD817" s="6">
        <f>$O$817*$X$817</f>
        <v>0</v>
      </c>
      <c r="AE817" s="6">
        <f ca="1">$K$817*$Y$817</f>
        <v>452386.74789837043</v>
      </c>
      <c r="AF817" s="6">
        <f>$M$817*$Z$817</f>
        <v>0</v>
      </c>
      <c r="AG817" s="6">
        <f>$O$817*$AA$817</f>
        <v>0</v>
      </c>
    </row>
    <row r="818" spans="1:33" ht="11.25" customHeight="1" x14ac:dyDescent="0.25">
      <c r="A818" s="4" t="s">
        <v>28</v>
      </c>
      <c r="B818" s="4" t="s">
        <v>41</v>
      </c>
      <c r="C818" s="4" t="s">
        <v>42</v>
      </c>
      <c r="D818" s="4" t="s">
        <v>43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44652</v>
      </c>
      <c r="J818" s="6">
        <v>-29</v>
      </c>
      <c r="K818" s="6">
        <v>-29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4" t="s">
        <v>26</v>
      </c>
      <c r="R818" s="4">
        <v>0</v>
      </c>
      <c r="S818" s="6">
        <v>40</v>
      </c>
      <c r="T818" s="6">
        <v>0</v>
      </c>
      <c r="U818" s="6">
        <v>0</v>
      </c>
      <c r="V818" s="6">
        <f>IF(ISERROR(VLOOKUP($S$818,'TAR FIN'!$A$1:$O$104,15,0)),0,VLOOKUP($S$818,'TAR FIN'!$A$1:$O$104,15,0))</f>
        <v>26.22</v>
      </c>
      <c r="W818" s="6">
        <f>IF(ISERROR(VLOOKUP($T$818,'TAR FIN'!$A$1:$O$104,15,0)),0,VLOOKUP($T$818,'TAR FIN'!$A$1:$O$104,15,0))</f>
        <v>0</v>
      </c>
      <c r="X818" s="6">
        <f>IF(ISERROR(VLOOKUP($U$818,'TAR FIN'!$A$1:$O$104,15,0)),0,VLOOKUP($U$818,'TAR FIN'!$A$1:$O$104,15,0))</f>
        <v>0</v>
      </c>
      <c r="Y818" s="6">
        <f ca="1">('TUSD BE'!$AM$24+'TUSD BF'!$AM$24+'TUSD CVA'!$AM$24)*1</f>
        <v>26.280164278980507</v>
      </c>
      <c r="Z818" s="6"/>
      <c r="AA818" s="6"/>
      <c r="AB818" s="6">
        <f>$K$818*$V$818</f>
        <v>-760.38</v>
      </c>
      <c r="AC818" s="6">
        <f>$M$818*$W$818</f>
        <v>0</v>
      </c>
      <c r="AD818" s="6">
        <f>$O$818*$X$818</f>
        <v>0</v>
      </c>
      <c r="AE818" s="6">
        <f ca="1">$K$818*$Y$818</f>
        <v>-762.12476409043472</v>
      </c>
      <c r="AF818" s="6">
        <f>$M$818*$Z$818</f>
        <v>0</v>
      </c>
      <c r="AG818" s="6">
        <f>$O$818*$AA$818</f>
        <v>0</v>
      </c>
    </row>
    <row r="819" spans="1:33" ht="11.25" customHeight="1" x14ac:dyDescent="0.25">
      <c r="A819" s="4" t="s">
        <v>21</v>
      </c>
      <c r="B819" s="4" t="s">
        <v>41</v>
      </c>
      <c r="C819" s="4" t="s">
        <v>42</v>
      </c>
      <c r="D819" s="4" t="s">
        <v>43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44682</v>
      </c>
      <c r="J819" s="6">
        <v>54836</v>
      </c>
      <c r="K819" s="6">
        <v>54836</v>
      </c>
      <c r="L819" s="6">
        <v>0</v>
      </c>
      <c r="M819" s="6">
        <v>0</v>
      </c>
      <c r="N819" s="6">
        <v>0</v>
      </c>
      <c r="O819" s="6">
        <v>0</v>
      </c>
      <c r="P819" s="6">
        <v>531</v>
      </c>
      <c r="Q819" s="4" t="s">
        <v>26</v>
      </c>
      <c r="R819" s="4">
        <v>0</v>
      </c>
      <c r="S819" s="6">
        <v>40</v>
      </c>
      <c r="T819" s="6">
        <v>0</v>
      </c>
      <c r="U819" s="6">
        <v>0</v>
      </c>
      <c r="V819" s="6">
        <f>IF(ISERROR(VLOOKUP($S$819,'TAR FIN'!$A$1:$O$104,15,0)),0,VLOOKUP($S$819,'TAR FIN'!$A$1:$O$104,15,0))</f>
        <v>26.22</v>
      </c>
      <c r="W819" s="6">
        <f>IF(ISERROR(VLOOKUP($T$819,'TAR FIN'!$A$1:$O$104,15,0)),0,VLOOKUP($T$819,'TAR FIN'!$A$1:$O$104,15,0))</f>
        <v>0</v>
      </c>
      <c r="X819" s="6">
        <f>IF(ISERROR(VLOOKUP($U$819,'TAR FIN'!$A$1:$O$104,15,0)),0,VLOOKUP($U$819,'TAR FIN'!$A$1:$O$104,15,0))</f>
        <v>0</v>
      </c>
      <c r="Y819" s="6">
        <f ca="1">('TUSD BE'!$AM$24+'TUSD BF'!$AM$24+'TUSD CVA'!$AM$24)*1</f>
        <v>26.280164278980507</v>
      </c>
      <c r="Z819" s="6"/>
      <c r="AA819" s="6"/>
      <c r="AB819" s="6">
        <f>$K$819*$V$819</f>
        <v>1437799.92</v>
      </c>
      <c r="AC819" s="6">
        <f>$M$819*$W$819</f>
        <v>0</v>
      </c>
      <c r="AD819" s="6">
        <f>$O$819*$X$819</f>
        <v>0</v>
      </c>
      <c r="AE819" s="6">
        <f ca="1">$K$819*$Y$819</f>
        <v>1441099.0884021751</v>
      </c>
      <c r="AF819" s="6">
        <f>$M$819*$Z$819</f>
        <v>0</v>
      </c>
      <c r="AG819" s="6">
        <f>$O$819*$AA$819</f>
        <v>0</v>
      </c>
    </row>
    <row r="820" spans="1:33" ht="11.25" customHeight="1" x14ac:dyDescent="0.25">
      <c r="A820" s="4" t="s">
        <v>27</v>
      </c>
      <c r="B820" s="4" t="s">
        <v>41</v>
      </c>
      <c r="C820" s="4" t="s">
        <v>42</v>
      </c>
      <c r="D820" s="4" t="s">
        <v>43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44682</v>
      </c>
      <c r="J820" s="6">
        <v>-30</v>
      </c>
      <c r="K820" s="6">
        <v>-30</v>
      </c>
      <c r="L820" s="6">
        <v>0</v>
      </c>
      <c r="M820" s="6">
        <v>0</v>
      </c>
      <c r="N820" s="6">
        <v>0</v>
      </c>
      <c r="O820" s="6">
        <v>0</v>
      </c>
      <c r="P820" s="6">
        <v>-1</v>
      </c>
      <c r="Q820" s="4" t="s">
        <v>26</v>
      </c>
      <c r="R820" s="4">
        <v>0</v>
      </c>
      <c r="S820" s="6">
        <v>40</v>
      </c>
      <c r="T820" s="6">
        <v>0</v>
      </c>
      <c r="U820" s="6">
        <v>0</v>
      </c>
      <c r="V820" s="6">
        <f>IF(ISERROR(VLOOKUP($S$820,'TAR FIN'!$A$1:$O$104,15,0)),0,VLOOKUP($S$820,'TAR FIN'!$A$1:$O$104,15,0))</f>
        <v>26.22</v>
      </c>
      <c r="W820" s="6">
        <f>IF(ISERROR(VLOOKUP($T$820,'TAR FIN'!$A$1:$O$104,15,0)),0,VLOOKUP($T$820,'TAR FIN'!$A$1:$O$104,15,0))</f>
        <v>0</v>
      </c>
      <c r="X820" s="6">
        <f>IF(ISERROR(VLOOKUP($U$820,'TAR FIN'!$A$1:$O$104,15,0)),0,VLOOKUP($U$820,'TAR FIN'!$A$1:$O$104,15,0))</f>
        <v>0</v>
      </c>
      <c r="Y820" s="6">
        <f ca="1">('TUSD BE'!$AM$24+'TUSD BF'!$AM$24+'TUSD CVA'!$AM$24)*1</f>
        <v>26.280164278980507</v>
      </c>
      <c r="Z820" s="6"/>
      <c r="AA820" s="6"/>
      <c r="AB820" s="6">
        <f>$K$820*$V$820</f>
        <v>-786.59999999999991</v>
      </c>
      <c r="AC820" s="6">
        <f>$M$820*$W$820</f>
        <v>0</v>
      </c>
      <c r="AD820" s="6">
        <f>$O$820*$X$820</f>
        <v>0</v>
      </c>
      <c r="AE820" s="6">
        <f ca="1">$K$820*$Y$820</f>
        <v>-788.40492836941519</v>
      </c>
      <c r="AF820" s="6">
        <f>$M$820*$Z$820</f>
        <v>0</v>
      </c>
      <c r="AG820" s="6">
        <f>$O$820*$AA$820</f>
        <v>0</v>
      </c>
    </row>
    <row r="821" spans="1:33" ht="11.25" customHeight="1" x14ac:dyDescent="0.25">
      <c r="A821" s="4" t="s">
        <v>28</v>
      </c>
      <c r="B821" s="4" t="s">
        <v>41</v>
      </c>
      <c r="C821" s="4" t="s">
        <v>42</v>
      </c>
      <c r="D821" s="4" t="s">
        <v>43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44682</v>
      </c>
      <c r="J821" s="6">
        <v>17688</v>
      </c>
      <c r="K821" s="6">
        <v>17688</v>
      </c>
      <c r="L821" s="6">
        <v>0</v>
      </c>
      <c r="M821" s="6">
        <v>0</v>
      </c>
      <c r="N821" s="6">
        <v>0</v>
      </c>
      <c r="O821" s="6">
        <v>0</v>
      </c>
      <c r="P821" s="6">
        <v>72</v>
      </c>
      <c r="Q821" s="4" t="s">
        <v>26</v>
      </c>
      <c r="R821" s="4">
        <v>0</v>
      </c>
      <c r="S821" s="6">
        <v>40</v>
      </c>
      <c r="T821" s="6">
        <v>0</v>
      </c>
      <c r="U821" s="6">
        <v>0</v>
      </c>
      <c r="V821" s="6">
        <f>IF(ISERROR(VLOOKUP($S$821,'TAR FIN'!$A$1:$O$104,15,0)),0,VLOOKUP($S$821,'TAR FIN'!$A$1:$O$104,15,0))</f>
        <v>26.22</v>
      </c>
      <c r="W821" s="6">
        <f>IF(ISERROR(VLOOKUP($T$821,'TAR FIN'!$A$1:$O$104,15,0)),0,VLOOKUP($T$821,'TAR FIN'!$A$1:$O$104,15,0))</f>
        <v>0</v>
      </c>
      <c r="X821" s="6">
        <f>IF(ISERROR(VLOOKUP($U$821,'TAR FIN'!$A$1:$O$104,15,0)),0,VLOOKUP($U$821,'TAR FIN'!$A$1:$O$104,15,0))</f>
        <v>0</v>
      </c>
      <c r="Y821" s="6">
        <f ca="1">('TUSD BE'!$AM$24+'TUSD BF'!$AM$24+'TUSD CVA'!$AM$24)*1</f>
        <v>26.280164278980507</v>
      </c>
      <c r="Z821" s="6"/>
      <c r="AA821" s="6"/>
      <c r="AB821" s="6">
        <f>$K$821*$V$821</f>
        <v>463779.36</v>
      </c>
      <c r="AC821" s="6">
        <f>$M$821*$W$821</f>
        <v>0</v>
      </c>
      <c r="AD821" s="6">
        <f>$O$821*$X$821</f>
        <v>0</v>
      </c>
      <c r="AE821" s="6">
        <f ca="1">$K$821*$Y$821</f>
        <v>464843.54576660722</v>
      </c>
      <c r="AF821" s="6">
        <f>$M$821*$Z$821</f>
        <v>0</v>
      </c>
      <c r="AG821" s="6">
        <f>$O$821*$AA$821</f>
        <v>0</v>
      </c>
    </row>
    <row r="822" spans="1:33" ht="11.25" customHeight="1" x14ac:dyDescent="0.25">
      <c r="A822" s="4" t="s">
        <v>21</v>
      </c>
      <c r="B822" s="4" t="s">
        <v>41</v>
      </c>
      <c r="C822" s="4" t="s">
        <v>42</v>
      </c>
      <c r="D822" s="4" t="s">
        <v>43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44713</v>
      </c>
      <c r="J822" s="6">
        <v>53630</v>
      </c>
      <c r="K822" s="6">
        <v>53630</v>
      </c>
      <c r="L822" s="6">
        <v>0</v>
      </c>
      <c r="M822" s="6">
        <v>0</v>
      </c>
      <c r="N822" s="6">
        <v>0</v>
      </c>
      <c r="O822" s="6">
        <v>0</v>
      </c>
      <c r="P822" s="6">
        <v>524</v>
      </c>
      <c r="Q822" s="4" t="s">
        <v>26</v>
      </c>
      <c r="R822" s="4">
        <v>0</v>
      </c>
      <c r="S822" s="6">
        <v>40</v>
      </c>
      <c r="T822" s="6">
        <v>0</v>
      </c>
      <c r="U822" s="6">
        <v>0</v>
      </c>
      <c r="V822" s="6">
        <f>IF(ISERROR(VLOOKUP($S$822,'TAR FIN'!$A$1:$O$104,15,0)),0,VLOOKUP($S$822,'TAR FIN'!$A$1:$O$104,15,0))</f>
        <v>26.22</v>
      </c>
      <c r="W822" s="6">
        <f>IF(ISERROR(VLOOKUP($T$822,'TAR FIN'!$A$1:$O$104,15,0)),0,VLOOKUP($T$822,'TAR FIN'!$A$1:$O$104,15,0))</f>
        <v>0</v>
      </c>
      <c r="X822" s="6">
        <f>IF(ISERROR(VLOOKUP($U$822,'TAR FIN'!$A$1:$O$104,15,0)),0,VLOOKUP($U$822,'TAR FIN'!$A$1:$O$104,15,0))</f>
        <v>0</v>
      </c>
      <c r="Y822" s="6">
        <f ca="1">('TUSD BE'!$AM$24+'TUSD BF'!$AM$24+'TUSD CVA'!$AM$24)*1</f>
        <v>26.280164278980507</v>
      </c>
      <c r="Z822" s="6"/>
      <c r="AA822" s="6"/>
      <c r="AB822" s="6">
        <f>$K$822*$V$822</f>
        <v>1406178.5999999999</v>
      </c>
      <c r="AC822" s="6">
        <f>$M$822*$W$822</f>
        <v>0</v>
      </c>
      <c r="AD822" s="6">
        <f>$O$822*$X$822</f>
        <v>0</v>
      </c>
      <c r="AE822" s="6">
        <f ca="1">$K$822*$Y$822</f>
        <v>1409405.2102817246</v>
      </c>
      <c r="AF822" s="6">
        <f>$M$822*$Z$822</f>
        <v>0</v>
      </c>
      <c r="AG822" s="6">
        <f>$O$822*$AA$822</f>
        <v>0</v>
      </c>
    </row>
    <row r="823" spans="1:33" ht="11.25" customHeight="1" x14ac:dyDescent="0.25">
      <c r="A823" s="4" t="s">
        <v>28</v>
      </c>
      <c r="B823" s="4" t="s">
        <v>41</v>
      </c>
      <c r="C823" s="4" t="s">
        <v>42</v>
      </c>
      <c r="D823" s="4" t="s">
        <v>43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44713</v>
      </c>
      <c r="J823" s="6">
        <v>18022</v>
      </c>
      <c r="K823" s="6">
        <v>18022</v>
      </c>
      <c r="L823" s="6">
        <v>0</v>
      </c>
      <c r="M823" s="6">
        <v>0</v>
      </c>
      <c r="N823" s="6">
        <v>0</v>
      </c>
      <c r="O823" s="6">
        <v>0</v>
      </c>
      <c r="P823" s="6">
        <v>75</v>
      </c>
      <c r="Q823" s="4" t="s">
        <v>26</v>
      </c>
      <c r="R823" s="4">
        <v>0</v>
      </c>
      <c r="S823" s="6">
        <v>40</v>
      </c>
      <c r="T823" s="6">
        <v>0</v>
      </c>
      <c r="U823" s="6">
        <v>0</v>
      </c>
      <c r="V823" s="6">
        <f>IF(ISERROR(VLOOKUP($S$823,'TAR FIN'!$A$1:$O$104,15,0)),0,VLOOKUP($S$823,'TAR FIN'!$A$1:$O$104,15,0))</f>
        <v>26.22</v>
      </c>
      <c r="W823" s="6">
        <f>IF(ISERROR(VLOOKUP($T$823,'TAR FIN'!$A$1:$O$104,15,0)),0,VLOOKUP($T$823,'TAR FIN'!$A$1:$O$104,15,0))</f>
        <v>0</v>
      </c>
      <c r="X823" s="6">
        <f>IF(ISERROR(VLOOKUP($U$823,'TAR FIN'!$A$1:$O$104,15,0)),0,VLOOKUP($U$823,'TAR FIN'!$A$1:$O$104,15,0))</f>
        <v>0</v>
      </c>
      <c r="Y823" s="6">
        <f ca="1">('TUSD BE'!$AM$24+'TUSD BF'!$AM$24+'TUSD CVA'!$AM$24)*1</f>
        <v>26.280164278980507</v>
      </c>
      <c r="Z823" s="6"/>
      <c r="AA823" s="6"/>
      <c r="AB823" s="6">
        <f>$K$823*$V$823</f>
        <v>472536.83999999997</v>
      </c>
      <c r="AC823" s="6">
        <f>$M$823*$W$823</f>
        <v>0</v>
      </c>
      <c r="AD823" s="6">
        <f>$O$823*$X$823</f>
        <v>0</v>
      </c>
      <c r="AE823" s="6">
        <f ca="1">$K$823*$Y$823</f>
        <v>473621.12063578668</v>
      </c>
      <c r="AF823" s="6">
        <f>$M$823*$Z$823</f>
        <v>0</v>
      </c>
      <c r="AG823" s="6">
        <f>$O$823*$AA$823</f>
        <v>0</v>
      </c>
    </row>
    <row r="824" spans="1:33" ht="11.25" customHeight="1" x14ac:dyDescent="0.25">
      <c r="A824" s="4" t="s">
        <v>28</v>
      </c>
      <c r="B824" s="4" t="s">
        <v>41</v>
      </c>
      <c r="C824" s="4" t="s">
        <v>42</v>
      </c>
      <c r="D824" s="4" t="s">
        <v>43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44713</v>
      </c>
      <c r="J824" s="6">
        <v>-38</v>
      </c>
      <c r="K824" s="6">
        <v>-38</v>
      </c>
      <c r="L824" s="6">
        <v>0</v>
      </c>
      <c r="M824" s="6">
        <v>0</v>
      </c>
      <c r="N824" s="6">
        <v>0</v>
      </c>
      <c r="O824" s="6">
        <v>0</v>
      </c>
      <c r="P824" s="6">
        <v>-1</v>
      </c>
      <c r="Q824" s="4" t="s">
        <v>26</v>
      </c>
      <c r="R824" s="4">
        <v>0</v>
      </c>
      <c r="S824" s="6">
        <v>40</v>
      </c>
      <c r="T824" s="6">
        <v>0</v>
      </c>
      <c r="U824" s="6">
        <v>0</v>
      </c>
      <c r="V824" s="6">
        <f>IF(ISERROR(VLOOKUP($S$824,'TAR FIN'!$A$1:$O$104,15,0)),0,VLOOKUP($S$824,'TAR FIN'!$A$1:$O$104,15,0))</f>
        <v>26.22</v>
      </c>
      <c r="W824" s="6">
        <f>IF(ISERROR(VLOOKUP($T$824,'TAR FIN'!$A$1:$O$104,15,0)),0,VLOOKUP($T$824,'TAR FIN'!$A$1:$O$104,15,0))</f>
        <v>0</v>
      </c>
      <c r="X824" s="6">
        <f>IF(ISERROR(VLOOKUP($U$824,'TAR FIN'!$A$1:$O$104,15,0)),0,VLOOKUP($U$824,'TAR FIN'!$A$1:$O$104,15,0))</f>
        <v>0</v>
      </c>
      <c r="Y824" s="6">
        <f ca="1">('TUSD BE'!$AM$24+'TUSD BF'!$AM$24+'TUSD CVA'!$AM$24)*1</f>
        <v>26.280164278980507</v>
      </c>
      <c r="Z824" s="6"/>
      <c r="AA824" s="6"/>
      <c r="AB824" s="6">
        <f>$K$824*$V$824</f>
        <v>-996.3599999999999</v>
      </c>
      <c r="AC824" s="6">
        <f>$M$824*$W$824</f>
        <v>0</v>
      </c>
      <c r="AD824" s="6">
        <f>$O$824*$X$824</f>
        <v>0</v>
      </c>
      <c r="AE824" s="6">
        <f ca="1">$K$824*$Y$824</f>
        <v>-998.64624260125925</v>
      </c>
      <c r="AF824" s="6">
        <f>$M$824*$Z$824</f>
        <v>0</v>
      </c>
      <c r="AG824" s="6">
        <f>$O$824*$AA$824</f>
        <v>0</v>
      </c>
    </row>
    <row r="825" spans="1:33" ht="11.25" customHeight="1" x14ac:dyDescent="0.25">
      <c r="A825" s="4" t="s">
        <v>57</v>
      </c>
      <c r="B825" s="4" t="s">
        <v>41</v>
      </c>
      <c r="C825" s="4" t="s">
        <v>42</v>
      </c>
      <c r="D825" s="4" t="s">
        <v>43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44743</v>
      </c>
      <c r="J825" s="6">
        <v>53630</v>
      </c>
      <c r="K825" s="6">
        <v>53630</v>
      </c>
      <c r="L825" s="6">
        <v>0</v>
      </c>
      <c r="M825" s="6">
        <v>0</v>
      </c>
      <c r="N825" s="6">
        <v>0</v>
      </c>
      <c r="O825" s="6">
        <v>0</v>
      </c>
      <c r="P825" s="6">
        <v>524</v>
      </c>
      <c r="Q825" s="4" t="s">
        <v>26</v>
      </c>
      <c r="R825" s="4">
        <v>0</v>
      </c>
      <c r="S825" s="6">
        <v>40</v>
      </c>
      <c r="T825" s="6">
        <v>0</v>
      </c>
      <c r="U825" s="6">
        <v>0</v>
      </c>
      <c r="V825" s="6">
        <f>IF(ISERROR(VLOOKUP($S$825,'TAR FIN'!$A$1:$O$104,15,0)),0,VLOOKUP($S$825,'TAR FIN'!$A$1:$O$104,15,0))</f>
        <v>26.22</v>
      </c>
      <c r="W825" s="6">
        <f>IF(ISERROR(VLOOKUP($T$825,'TAR FIN'!$A$1:$O$104,15,0)),0,VLOOKUP($T$825,'TAR FIN'!$A$1:$O$104,15,0))</f>
        <v>0</v>
      </c>
      <c r="X825" s="6">
        <f>IF(ISERROR(VLOOKUP($U$825,'TAR FIN'!$A$1:$O$104,15,0)),0,VLOOKUP($U$825,'TAR FIN'!$A$1:$O$104,15,0))</f>
        <v>0</v>
      </c>
      <c r="Y825" s="6">
        <f ca="1">('TUSD BE'!$AM$24+'TUSD BF'!$AM$24+'TUSD CVA'!$AM$24)*1</f>
        <v>26.280164278980507</v>
      </c>
      <c r="Z825" s="6"/>
      <c r="AA825" s="6"/>
      <c r="AB825" s="6">
        <f>$K$825*$V$825</f>
        <v>1406178.5999999999</v>
      </c>
      <c r="AC825" s="6">
        <f>$M$825*$W$825</f>
        <v>0</v>
      </c>
      <c r="AD825" s="6">
        <f>$O$825*$X$825</f>
        <v>0</v>
      </c>
      <c r="AE825" s="6">
        <f ca="1">$K$825*$Y$825</f>
        <v>1409405.2102817246</v>
      </c>
      <c r="AF825" s="6">
        <f>$M$825*$Z$825</f>
        <v>0</v>
      </c>
      <c r="AG825" s="6">
        <f>$O$825*$AA$825</f>
        <v>0</v>
      </c>
    </row>
    <row r="826" spans="1:33" ht="11.25" customHeight="1" x14ac:dyDescent="0.25">
      <c r="A826" s="4" t="s">
        <v>57</v>
      </c>
      <c r="B826" s="4" t="s">
        <v>41</v>
      </c>
      <c r="C826" s="4" t="s">
        <v>42</v>
      </c>
      <c r="D826" s="4" t="s">
        <v>43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44743</v>
      </c>
      <c r="J826" s="6">
        <v>18022</v>
      </c>
      <c r="K826" s="6">
        <v>18022</v>
      </c>
      <c r="L826" s="6">
        <v>0</v>
      </c>
      <c r="M826" s="6">
        <v>0</v>
      </c>
      <c r="N826" s="6">
        <v>0</v>
      </c>
      <c r="O826" s="6">
        <v>0</v>
      </c>
      <c r="P826" s="6">
        <v>75</v>
      </c>
      <c r="Q826" s="4" t="s">
        <v>26</v>
      </c>
      <c r="R826" s="4">
        <v>0</v>
      </c>
      <c r="S826" s="6">
        <v>40</v>
      </c>
      <c r="T826" s="6">
        <v>0</v>
      </c>
      <c r="U826" s="6">
        <v>0</v>
      </c>
      <c r="V826" s="6">
        <f>IF(ISERROR(VLOOKUP($S$826,'TAR FIN'!$A$1:$O$104,15,0)),0,VLOOKUP($S$826,'TAR FIN'!$A$1:$O$104,15,0))</f>
        <v>26.22</v>
      </c>
      <c r="W826" s="6">
        <f>IF(ISERROR(VLOOKUP($T$826,'TAR FIN'!$A$1:$O$104,15,0)),0,VLOOKUP($T$826,'TAR FIN'!$A$1:$O$104,15,0))</f>
        <v>0</v>
      </c>
      <c r="X826" s="6">
        <f>IF(ISERROR(VLOOKUP($U$826,'TAR FIN'!$A$1:$O$104,15,0)),0,VLOOKUP($U$826,'TAR FIN'!$A$1:$O$104,15,0))</f>
        <v>0</v>
      </c>
      <c r="Y826" s="6">
        <f ca="1">('TUSD BE'!$AM$24+'TUSD BF'!$AM$24+'TUSD CVA'!$AM$24)*1</f>
        <v>26.280164278980507</v>
      </c>
      <c r="Z826" s="6"/>
      <c r="AA826" s="6"/>
      <c r="AB826" s="6">
        <f>$K$826*$V$826</f>
        <v>472536.83999999997</v>
      </c>
      <c r="AC826" s="6">
        <f>$M$826*$W$826</f>
        <v>0</v>
      </c>
      <c r="AD826" s="6">
        <f>$O$826*$X$826</f>
        <v>0</v>
      </c>
      <c r="AE826" s="6">
        <f ca="1">$K$826*$Y$826</f>
        <v>473621.12063578668</v>
      </c>
      <c r="AF826" s="6">
        <f>$M$826*$Z$826</f>
        <v>0</v>
      </c>
      <c r="AG826" s="6">
        <f>$O$826*$AA$826</f>
        <v>0</v>
      </c>
    </row>
    <row r="827" spans="1:33" ht="11.25" customHeight="1" x14ac:dyDescent="0.25">
      <c r="A827" s="4" t="s">
        <v>57</v>
      </c>
      <c r="B827" s="4" t="s">
        <v>41</v>
      </c>
      <c r="C827" s="4" t="s">
        <v>42</v>
      </c>
      <c r="D827" s="4" t="s">
        <v>43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44743</v>
      </c>
      <c r="J827" s="6">
        <v>-38</v>
      </c>
      <c r="K827" s="6">
        <v>-38</v>
      </c>
      <c r="L827" s="6">
        <v>0</v>
      </c>
      <c r="M827" s="6">
        <v>0</v>
      </c>
      <c r="N827" s="6">
        <v>0</v>
      </c>
      <c r="O827" s="6">
        <v>0</v>
      </c>
      <c r="P827" s="6">
        <v>-1</v>
      </c>
      <c r="Q827" s="4" t="s">
        <v>26</v>
      </c>
      <c r="R827" s="4">
        <v>0</v>
      </c>
      <c r="S827" s="6">
        <v>40</v>
      </c>
      <c r="T827" s="6">
        <v>0</v>
      </c>
      <c r="U827" s="6">
        <v>0</v>
      </c>
      <c r="V827" s="6">
        <f>IF(ISERROR(VLOOKUP($S$827,'TAR FIN'!$A$1:$O$104,15,0)),0,VLOOKUP($S$827,'TAR FIN'!$A$1:$O$104,15,0))</f>
        <v>26.22</v>
      </c>
      <c r="W827" s="6">
        <f>IF(ISERROR(VLOOKUP($T$827,'TAR FIN'!$A$1:$O$104,15,0)),0,VLOOKUP($T$827,'TAR FIN'!$A$1:$O$104,15,0))</f>
        <v>0</v>
      </c>
      <c r="X827" s="6">
        <f>IF(ISERROR(VLOOKUP($U$827,'TAR FIN'!$A$1:$O$104,15,0)),0,VLOOKUP($U$827,'TAR FIN'!$A$1:$O$104,15,0))</f>
        <v>0</v>
      </c>
      <c r="Y827" s="6">
        <f ca="1">('TUSD BE'!$AM$24+'TUSD BF'!$AM$24+'TUSD CVA'!$AM$24)*1</f>
        <v>26.280164278980507</v>
      </c>
      <c r="Z827" s="6"/>
      <c r="AA827" s="6"/>
      <c r="AB827" s="6">
        <f>$K$827*$V$827</f>
        <v>-996.3599999999999</v>
      </c>
      <c r="AC827" s="6">
        <f>$M$827*$W$827</f>
        <v>0</v>
      </c>
      <c r="AD827" s="6">
        <f>$O$827*$X$827</f>
        <v>0</v>
      </c>
      <c r="AE827" s="6">
        <f ca="1">$K$827*$Y$827</f>
        <v>-998.64624260125925</v>
      </c>
      <c r="AF827" s="6">
        <f>$M$827*$Z$827</f>
        <v>0</v>
      </c>
      <c r="AG827" s="6">
        <f>$O$827*$AA$827</f>
        <v>0</v>
      </c>
    </row>
    <row r="828" spans="1:33" ht="11.25" customHeight="1" x14ac:dyDescent="0.25">
      <c r="A828" s="4" t="s">
        <v>21</v>
      </c>
      <c r="B828" s="4" t="s">
        <v>41</v>
      </c>
      <c r="C828" s="4" t="s">
        <v>42</v>
      </c>
      <c r="D828" s="4" t="s">
        <v>43</v>
      </c>
      <c r="E828" s="4" t="s">
        <v>25</v>
      </c>
      <c r="F828" s="4" t="s">
        <v>25</v>
      </c>
      <c r="G828" s="4" t="s">
        <v>25</v>
      </c>
      <c r="H828" s="4" t="s">
        <v>34</v>
      </c>
      <c r="I828" s="5">
        <v>44409</v>
      </c>
      <c r="J828" s="6">
        <v>0</v>
      </c>
      <c r="K828" s="6">
        <v>0</v>
      </c>
      <c r="L828" s="6">
        <v>650.86800000000005</v>
      </c>
      <c r="M828" s="6">
        <v>650.86800000000005</v>
      </c>
      <c r="N828" s="6">
        <v>650.86800000000005</v>
      </c>
      <c r="O828" s="6">
        <v>650.86800000000005</v>
      </c>
      <c r="P828" s="6">
        <v>0</v>
      </c>
      <c r="Q828" s="4" t="s">
        <v>26</v>
      </c>
      <c r="R828" s="4">
        <v>0</v>
      </c>
      <c r="S828" s="6">
        <v>0</v>
      </c>
      <c r="T828" s="6">
        <v>42</v>
      </c>
      <c r="U828" s="6">
        <v>66</v>
      </c>
      <c r="V828" s="6">
        <f>IF(ISERROR(VLOOKUP($S$828,'TAR FIN'!$A$1:$O$104,15,0)),0,VLOOKUP($S$828,'TAR FIN'!$A$1:$O$104,15,0))</f>
        <v>0</v>
      </c>
      <c r="W828" s="6">
        <f>IF(ISERROR(VLOOKUP($T$828,'TAR FIN'!$A$1:$O$104,15,0)),0,VLOOKUP($T$828,'TAR FIN'!$A$1:$O$104,15,0))</f>
        <v>1330.19</v>
      </c>
      <c r="X828" s="6">
        <f>IF(ISERROR(VLOOKUP($U$828,'TAR FIN'!$A$1:$O$104,15,0)),0,VLOOKUP($U$828,'TAR FIN'!$A$1:$O$104,15,0))</f>
        <v>397.62</v>
      </c>
      <c r="Y828" s="6"/>
      <c r="Z828" s="6">
        <f ca="1">('TUSD BE'!$AM$25+'TUSD BF'!$AM$25+'TUSD CVA'!$AM$25)*1</f>
        <v>1345.857743809549</v>
      </c>
      <c r="AA828" s="6">
        <f>('TE BE'!$AB$7+'TE BF'!$AB$7+'TE CVA'!$AB$7)*1</f>
        <v>360.26029187567116</v>
      </c>
      <c r="AB828" s="6">
        <f>$K$828*$V$828</f>
        <v>0</v>
      </c>
      <c r="AC828" s="6">
        <f>$M$828*$W$828</f>
        <v>865778.10492000007</v>
      </c>
      <c r="AD828" s="6">
        <f>$O$828*$X$828</f>
        <v>258798.13416000002</v>
      </c>
      <c r="AE828" s="6">
        <f>$K$828*$Y$828</f>
        <v>0</v>
      </c>
      <c r="AF828" s="6">
        <f ca="1">$M$828*$Z$828</f>
        <v>875975.73799783364</v>
      </c>
      <c r="AG828" s="6">
        <f>$O$828*$AA$828</f>
        <v>234481.89565253435</v>
      </c>
    </row>
    <row r="829" spans="1:33" ht="11.25" customHeight="1" x14ac:dyDescent="0.25">
      <c r="A829" s="4" t="s">
        <v>28</v>
      </c>
      <c r="B829" s="4" t="s">
        <v>41</v>
      </c>
      <c r="C829" s="4" t="s">
        <v>42</v>
      </c>
      <c r="D829" s="4" t="s">
        <v>43</v>
      </c>
      <c r="E829" s="4" t="s">
        <v>25</v>
      </c>
      <c r="F829" s="4" t="s">
        <v>25</v>
      </c>
      <c r="G829" s="4" t="s">
        <v>25</v>
      </c>
      <c r="H829" s="4" t="s">
        <v>34</v>
      </c>
      <c r="I829" s="5">
        <v>44409</v>
      </c>
      <c r="J829" s="6">
        <v>0</v>
      </c>
      <c r="K829" s="6">
        <v>0</v>
      </c>
      <c r="L829" s="6">
        <v>48.954999999999998</v>
      </c>
      <c r="M829" s="6">
        <v>48.954999999999998</v>
      </c>
      <c r="N829" s="6">
        <v>48.954999999999998</v>
      </c>
      <c r="O829" s="6">
        <v>48.954999999999998</v>
      </c>
      <c r="P829" s="6">
        <v>0</v>
      </c>
      <c r="Q829" s="4" t="s">
        <v>26</v>
      </c>
      <c r="R829" s="4">
        <v>0</v>
      </c>
      <c r="S829" s="6">
        <v>0</v>
      </c>
      <c r="T829" s="6">
        <v>42</v>
      </c>
      <c r="U829" s="6">
        <v>66</v>
      </c>
      <c r="V829" s="6">
        <f>IF(ISERROR(VLOOKUP($S$829,'TAR FIN'!$A$1:$O$104,15,0)),0,VLOOKUP($S$829,'TAR FIN'!$A$1:$O$104,15,0))</f>
        <v>0</v>
      </c>
      <c r="W829" s="6">
        <f>IF(ISERROR(VLOOKUP($T$829,'TAR FIN'!$A$1:$O$104,15,0)),0,VLOOKUP($T$829,'TAR FIN'!$A$1:$O$104,15,0))</f>
        <v>1330.19</v>
      </c>
      <c r="X829" s="6">
        <f>IF(ISERROR(VLOOKUP($U$829,'TAR FIN'!$A$1:$O$104,15,0)),0,VLOOKUP($U$829,'TAR FIN'!$A$1:$O$104,15,0))</f>
        <v>397.62</v>
      </c>
      <c r="Y829" s="6"/>
      <c r="Z829" s="6">
        <f ca="1">('TUSD BE'!$AM$25+'TUSD BF'!$AM$25+'TUSD CVA'!$AM$25)*1</f>
        <v>1345.857743809549</v>
      </c>
      <c r="AA829" s="6">
        <f>('TE BE'!$AB$7+'TE BF'!$AB$7+'TE CVA'!$AB$7)*1</f>
        <v>360.26029187567116</v>
      </c>
      <c r="AB829" s="6">
        <f>$K$829*$V$829</f>
        <v>0</v>
      </c>
      <c r="AC829" s="6">
        <f>$M$829*$W$829</f>
        <v>65119.45145</v>
      </c>
      <c r="AD829" s="6">
        <f>$O$829*$X$829</f>
        <v>19465.487099999998</v>
      </c>
      <c r="AE829" s="6">
        <f>$K$829*$Y$829</f>
        <v>0</v>
      </c>
      <c r="AF829" s="6">
        <f ca="1">$M$829*$Z$829</f>
        <v>65886.465848196473</v>
      </c>
      <c r="AG829" s="6">
        <f>$O$829*$AA$829</f>
        <v>17636.542588773482</v>
      </c>
    </row>
    <row r="830" spans="1:33" ht="11.25" customHeight="1" x14ac:dyDescent="0.25">
      <c r="A830" s="4" t="s">
        <v>28</v>
      </c>
      <c r="B830" s="4" t="s">
        <v>41</v>
      </c>
      <c r="C830" s="4" t="s">
        <v>42</v>
      </c>
      <c r="D830" s="4" t="s">
        <v>43</v>
      </c>
      <c r="E830" s="4" t="s">
        <v>25</v>
      </c>
      <c r="F830" s="4" t="s">
        <v>25</v>
      </c>
      <c r="G830" s="4" t="s">
        <v>25</v>
      </c>
      <c r="H830" s="4" t="s">
        <v>34</v>
      </c>
      <c r="I830" s="5">
        <v>44409</v>
      </c>
      <c r="J830" s="6">
        <v>0</v>
      </c>
      <c r="K830" s="6">
        <v>0</v>
      </c>
      <c r="L830" s="6">
        <v>4.7560000000000002</v>
      </c>
      <c r="M830" s="6">
        <v>4.7560000000000002</v>
      </c>
      <c r="N830" s="6">
        <v>4.7560000000000002</v>
      </c>
      <c r="O830" s="6">
        <v>4.7560000000000002</v>
      </c>
      <c r="P830" s="6">
        <v>0</v>
      </c>
      <c r="Q830" s="4" t="s">
        <v>26</v>
      </c>
      <c r="R830" s="4">
        <v>0</v>
      </c>
      <c r="S830" s="6">
        <v>0</v>
      </c>
      <c r="T830" s="6">
        <v>42</v>
      </c>
      <c r="U830" s="6">
        <v>66</v>
      </c>
      <c r="V830" s="6">
        <f>IF(ISERROR(VLOOKUP($S$830,'TAR FIN'!$A$1:$O$104,15,0)),0,VLOOKUP($S$830,'TAR FIN'!$A$1:$O$104,15,0))</f>
        <v>0</v>
      </c>
      <c r="W830" s="6">
        <f>IF(ISERROR(VLOOKUP($T$830,'TAR FIN'!$A$1:$O$104,15,0)),0,VLOOKUP($T$830,'TAR FIN'!$A$1:$O$104,15,0))</f>
        <v>1330.19</v>
      </c>
      <c r="X830" s="6">
        <f>IF(ISERROR(VLOOKUP($U$830,'TAR FIN'!$A$1:$O$104,15,0)),0,VLOOKUP($U$830,'TAR FIN'!$A$1:$O$104,15,0))</f>
        <v>397.62</v>
      </c>
      <c r="Y830" s="6"/>
      <c r="Z830" s="6">
        <f ca="1">('TUSD BE'!$AM$25+'TUSD BF'!$AM$25+'TUSD CVA'!$AM$25)*1</f>
        <v>1345.857743809549</v>
      </c>
      <c r="AA830" s="6">
        <f>('TE BE'!$AB$7+'TE BF'!$AB$7+'TE CVA'!$AB$7)*1</f>
        <v>360.26029187567116</v>
      </c>
      <c r="AB830" s="6">
        <f>$K$830*$V$830</f>
        <v>0</v>
      </c>
      <c r="AC830" s="6">
        <f>$M$830*$W$830</f>
        <v>6326.3836400000009</v>
      </c>
      <c r="AD830" s="6">
        <f>$O$830*$X$830</f>
        <v>1891.0807200000002</v>
      </c>
      <c r="AE830" s="6">
        <f>$K$830*$Y$830</f>
        <v>0</v>
      </c>
      <c r="AF830" s="6">
        <f ca="1">$M$830*$Z$830</f>
        <v>6400.8994295582152</v>
      </c>
      <c r="AG830" s="6">
        <f>$O$830*$AA$830</f>
        <v>1713.3979481606921</v>
      </c>
    </row>
    <row r="831" spans="1:33" ht="11.25" customHeight="1" x14ac:dyDescent="0.25">
      <c r="A831" s="4" t="s">
        <v>21</v>
      </c>
      <c r="B831" s="4" t="s">
        <v>41</v>
      </c>
      <c r="C831" s="4" t="s">
        <v>42</v>
      </c>
      <c r="D831" s="4" t="s">
        <v>43</v>
      </c>
      <c r="E831" s="4" t="s">
        <v>25</v>
      </c>
      <c r="F831" s="4" t="s">
        <v>25</v>
      </c>
      <c r="G831" s="4" t="s">
        <v>25</v>
      </c>
      <c r="H831" s="4" t="s">
        <v>34</v>
      </c>
      <c r="I831" s="5">
        <v>44409</v>
      </c>
      <c r="J831" s="6">
        <v>0</v>
      </c>
      <c r="K831" s="6">
        <v>0</v>
      </c>
      <c r="L831" s="6">
        <v>1.02</v>
      </c>
      <c r="M831" s="6">
        <v>1.02</v>
      </c>
      <c r="N831" s="6">
        <v>0</v>
      </c>
      <c r="O831" s="6">
        <v>0</v>
      </c>
      <c r="P831" s="6">
        <v>0</v>
      </c>
      <c r="Q831" s="4" t="s">
        <v>58</v>
      </c>
      <c r="R831" s="4">
        <v>0</v>
      </c>
      <c r="S831" s="6">
        <v>0</v>
      </c>
      <c r="T831" s="6">
        <v>42</v>
      </c>
      <c r="U831" s="6">
        <v>0</v>
      </c>
      <c r="V831" s="6">
        <f>IF(ISERROR(VLOOKUP($S$831,'TAR FIN'!$A$1:$O$104,15,0)),0,VLOOKUP($S$831,'TAR FIN'!$A$1:$O$104,15,0))</f>
        <v>0</v>
      </c>
      <c r="W831" s="6">
        <f>IF(ISERROR(VLOOKUP($T$831,'TAR FIN'!$A$1:$O$104,15,0)),0,VLOOKUP($T$831,'TAR FIN'!$A$1:$O$104,15,0))</f>
        <v>1330.19</v>
      </c>
      <c r="X831" s="6">
        <f>IF(ISERROR(VLOOKUP($U$831,'TAR FIN'!$A$1:$O$104,15,0)),0,VLOOKUP($U$831,'TAR FIN'!$A$1:$O$104,15,0))</f>
        <v>0</v>
      </c>
      <c r="Y831" s="6"/>
      <c r="Z831" s="6">
        <f ca="1">('TUSD BE'!$AM$25+'TUSD BF'!$AM$25+'TUSD CVA'!$AM$25)*1</f>
        <v>1345.857743809549</v>
      </c>
      <c r="AA831" s="6"/>
      <c r="AB831" s="6">
        <f>$K$831*$V$831</f>
        <v>0</v>
      </c>
      <c r="AC831" s="6">
        <f>$M$831*$W$831</f>
        <v>1356.7938000000001</v>
      </c>
      <c r="AD831" s="6">
        <f>$O$831*$X$831</f>
        <v>0</v>
      </c>
      <c r="AE831" s="6">
        <f>$K$831*$Y$831</f>
        <v>0</v>
      </c>
      <c r="AF831" s="6">
        <f ca="1">$M$831*$Z$831</f>
        <v>1372.77489868574</v>
      </c>
      <c r="AG831" s="6">
        <f>$O$831*$AA$831</f>
        <v>0</v>
      </c>
    </row>
    <row r="832" spans="1:33" ht="11.25" customHeight="1" x14ac:dyDescent="0.25">
      <c r="A832" s="4" t="s">
        <v>21</v>
      </c>
      <c r="B832" s="4" t="s">
        <v>41</v>
      </c>
      <c r="C832" s="4" t="s">
        <v>42</v>
      </c>
      <c r="D832" s="4" t="s">
        <v>43</v>
      </c>
      <c r="E832" s="4" t="s">
        <v>25</v>
      </c>
      <c r="F832" s="4" t="s">
        <v>25</v>
      </c>
      <c r="G832" s="4" t="s">
        <v>25</v>
      </c>
      <c r="H832" s="4" t="s">
        <v>34</v>
      </c>
      <c r="I832" s="5">
        <v>44440</v>
      </c>
      <c r="J832" s="6">
        <v>0</v>
      </c>
      <c r="K832" s="6">
        <v>0</v>
      </c>
      <c r="L832" s="6">
        <v>655.86599999999999</v>
      </c>
      <c r="M832" s="6">
        <v>655.86599999999999</v>
      </c>
      <c r="N832" s="6">
        <v>655.86599999999999</v>
      </c>
      <c r="O832" s="6">
        <v>655.86599999999999</v>
      </c>
      <c r="P832" s="6">
        <v>0</v>
      </c>
      <c r="Q832" s="4" t="s">
        <v>26</v>
      </c>
      <c r="R832" s="4">
        <v>0</v>
      </c>
      <c r="S832" s="6">
        <v>0</v>
      </c>
      <c r="T832" s="6">
        <v>42</v>
      </c>
      <c r="U832" s="6">
        <v>66</v>
      </c>
      <c r="V832" s="6">
        <f>IF(ISERROR(VLOOKUP($S$832,'TAR FIN'!$A$1:$O$104,15,0)),0,VLOOKUP($S$832,'TAR FIN'!$A$1:$O$104,15,0))</f>
        <v>0</v>
      </c>
      <c r="W832" s="6">
        <f>IF(ISERROR(VLOOKUP($T$832,'TAR FIN'!$A$1:$O$104,15,0)),0,VLOOKUP($T$832,'TAR FIN'!$A$1:$O$104,15,0))</f>
        <v>1330.19</v>
      </c>
      <c r="X832" s="6">
        <f>IF(ISERROR(VLOOKUP($U$832,'TAR FIN'!$A$1:$O$104,15,0)),0,VLOOKUP($U$832,'TAR FIN'!$A$1:$O$104,15,0))</f>
        <v>397.62</v>
      </c>
      <c r="Y832" s="6"/>
      <c r="Z832" s="6">
        <f ca="1">('TUSD BE'!$AM$25+'TUSD BF'!$AM$25+'TUSD CVA'!$AM$25)*1</f>
        <v>1345.857743809549</v>
      </c>
      <c r="AA832" s="6">
        <f>('TE BE'!$AB$7+'TE BF'!$AB$7+'TE CVA'!$AB$7)*1</f>
        <v>360.26029187567116</v>
      </c>
      <c r="AB832" s="6">
        <f>$K$832*$V$832</f>
        <v>0</v>
      </c>
      <c r="AC832" s="6">
        <f>$M$832*$W$832</f>
        <v>872426.39454000001</v>
      </c>
      <c r="AD832" s="6">
        <f>$O$832*$X$832</f>
        <v>260785.43891999999</v>
      </c>
      <c r="AE832" s="6">
        <f>$K$832*$Y$832</f>
        <v>0</v>
      </c>
      <c r="AF832" s="6">
        <f ca="1">$M$832*$Z$832</f>
        <v>882702.33500139369</v>
      </c>
      <c r="AG832" s="6">
        <f>$O$832*$AA$832</f>
        <v>236282.47659132894</v>
      </c>
    </row>
    <row r="833" spans="1:33" ht="11.25" customHeight="1" x14ac:dyDescent="0.25">
      <c r="A833" s="4" t="s">
        <v>28</v>
      </c>
      <c r="B833" s="4" t="s">
        <v>41</v>
      </c>
      <c r="C833" s="4" t="s">
        <v>42</v>
      </c>
      <c r="D833" s="4" t="s">
        <v>43</v>
      </c>
      <c r="E833" s="4" t="s">
        <v>25</v>
      </c>
      <c r="F833" s="4" t="s">
        <v>25</v>
      </c>
      <c r="G833" s="4" t="s">
        <v>25</v>
      </c>
      <c r="H833" s="4" t="s">
        <v>34</v>
      </c>
      <c r="I833" s="5">
        <v>44440</v>
      </c>
      <c r="J833" s="6">
        <v>0</v>
      </c>
      <c r="K833" s="6">
        <v>0</v>
      </c>
      <c r="L833" s="6">
        <v>62.988999999999997</v>
      </c>
      <c r="M833" s="6">
        <v>62.988999999999997</v>
      </c>
      <c r="N833" s="6">
        <v>62.988999999999997</v>
      </c>
      <c r="O833" s="6">
        <v>62.988999999999997</v>
      </c>
      <c r="P833" s="6">
        <v>0</v>
      </c>
      <c r="Q833" s="4" t="s">
        <v>26</v>
      </c>
      <c r="R833" s="4">
        <v>0</v>
      </c>
      <c r="S833" s="6">
        <v>0</v>
      </c>
      <c r="T833" s="6">
        <v>42</v>
      </c>
      <c r="U833" s="6">
        <v>66</v>
      </c>
      <c r="V833" s="6">
        <f>IF(ISERROR(VLOOKUP($S$833,'TAR FIN'!$A$1:$O$104,15,0)),0,VLOOKUP($S$833,'TAR FIN'!$A$1:$O$104,15,0))</f>
        <v>0</v>
      </c>
      <c r="W833" s="6">
        <f>IF(ISERROR(VLOOKUP($T$833,'TAR FIN'!$A$1:$O$104,15,0)),0,VLOOKUP($T$833,'TAR FIN'!$A$1:$O$104,15,0))</f>
        <v>1330.19</v>
      </c>
      <c r="X833" s="6">
        <f>IF(ISERROR(VLOOKUP($U$833,'TAR FIN'!$A$1:$O$104,15,0)),0,VLOOKUP($U$833,'TAR FIN'!$A$1:$O$104,15,0))</f>
        <v>397.62</v>
      </c>
      <c r="Y833" s="6"/>
      <c r="Z833" s="6">
        <f ca="1">('TUSD BE'!$AM$25+'TUSD BF'!$AM$25+'TUSD CVA'!$AM$25)*1</f>
        <v>1345.857743809549</v>
      </c>
      <c r="AA833" s="6">
        <f>('TE BE'!$AB$7+'TE BF'!$AB$7+'TE CVA'!$AB$7)*1</f>
        <v>360.26029187567116</v>
      </c>
      <c r="AB833" s="6">
        <f>$K$833*$V$833</f>
        <v>0</v>
      </c>
      <c r="AC833" s="6">
        <f>$M$833*$W$833</f>
        <v>83787.337910000002</v>
      </c>
      <c r="AD833" s="6">
        <f>$O$833*$X$833</f>
        <v>25045.686180000001</v>
      </c>
      <c r="AE833" s="6">
        <f>$K$833*$Y$833</f>
        <v>0</v>
      </c>
      <c r="AF833" s="6">
        <f ca="1">$M$833*$Z$833</f>
        <v>84774.233424819671</v>
      </c>
      <c r="AG833" s="6">
        <f>$O$833*$AA$833</f>
        <v>22692.435524956651</v>
      </c>
    </row>
    <row r="834" spans="1:33" ht="11.25" customHeight="1" x14ac:dyDescent="0.25">
      <c r="A834" s="4" t="s">
        <v>21</v>
      </c>
      <c r="B834" s="4" t="s">
        <v>41</v>
      </c>
      <c r="C834" s="4" t="s">
        <v>42</v>
      </c>
      <c r="D834" s="4" t="s">
        <v>43</v>
      </c>
      <c r="E834" s="4" t="s">
        <v>25</v>
      </c>
      <c r="F834" s="4" t="s">
        <v>25</v>
      </c>
      <c r="G834" s="4" t="s">
        <v>25</v>
      </c>
      <c r="H834" s="4" t="s">
        <v>34</v>
      </c>
      <c r="I834" s="5">
        <v>44440</v>
      </c>
      <c r="J834" s="6">
        <v>0</v>
      </c>
      <c r="K834" s="6">
        <v>0</v>
      </c>
      <c r="L834" s="6">
        <v>2.637</v>
      </c>
      <c r="M834" s="6">
        <v>2.637</v>
      </c>
      <c r="N834" s="6">
        <v>0</v>
      </c>
      <c r="O834" s="6">
        <v>0</v>
      </c>
      <c r="P834" s="6">
        <v>0</v>
      </c>
      <c r="Q834" s="4" t="s">
        <v>58</v>
      </c>
      <c r="R834" s="4">
        <v>0</v>
      </c>
      <c r="S834" s="6">
        <v>0</v>
      </c>
      <c r="T834" s="6">
        <v>42</v>
      </c>
      <c r="U834" s="6">
        <v>0</v>
      </c>
      <c r="V834" s="6">
        <f>IF(ISERROR(VLOOKUP($S$834,'TAR FIN'!$A$1:$O$104,15,0)),0,VLOOKUP($S$834,'TAR FIN'!$A$1:$O$104,15,0))</f>
        <v>0</v>
      </c>
      <c r="W834" s="6">
        <f>IF(ISERROR(VLOOKUP($T$834,'TAR FIN'!$A$1:$O$104,15,0)),0,VLOOKUP($T$834,'TAR FIN'!$A$1:$O$104,15,0))</f>
        <v>1330.19</v>
      </c>
      <c r="X834" s="6">
        <f>IF(ISERROR(VLOOKUP($U$834,'TAR FIN'!$A$1:$O$104,15,0)),0,VLOOKUP($U$834,'TAR FIN'!$A$1:$O$104,15,0))</f>
        <v>0</v>
      </c>
      <c r="Y834" s="6"/>
      <c r="Z834" s="6">
        <f ca="1">('TUSD BE'!$AM$25+'TUSD BF'!$AM$25+'TUSD CVA'!$AM$25)*1</f>
        <v>1345.857743809549</v>
      </c>
      <c r="AA834" s="6"/>
      <c r="AB834" s="6">
        <f>$K$834*$V$834</f>
        <v>0</v>
      </c>
      <c r="AC834" s="6">
        <f>$M$834*$W$834</f>
        <v>3507.7110299999999</v>
      </c>
      <c r="AD834" s="6">
        <f>$O$834*$X$834</f>
        <v>0</v>
      </c>
      <c r="AE834" s="6">
        <f>$K$834*$Y$834</f>
        <v>0</v>
      </c>
      <c r="AF834" s="6">
        <f ca="1">$M$834*$Z$834</f>
        <v>3549.0268704257805</v>
      </c>
      <c r="AG834" s="6">
        <f>$O$834*$AA$834</f>
        <v>0</v>
      </c>
    </row>
    <row r="835" spans="1:33" ht="11.25" customHeight="1" x14ac:dyDescent="0.25">
      <c r="A835" s="4" t="s">
        <v>21</v>
      </c>
      <c r="B835" s="4" t="s">
        <v>41</v>
      </c>
      <c r="C835" s="4" t="s">
        <v>42</v>
      </c>
      <c r="D835" s="4" t="s">
        <v>43</v>
      </c>
      <c r="E835" s="4" t="s">
        <v>25</v>
      </c>
      <c r="F835" s="4" t="s">
        <v>25</v>
      </c>
      <c r="G835" s="4" t="s">
        <v>25</v>
      </c>
      <c r="H835" s="4" t="s">
        <v>34</v>
      </c>
      <c r="I835" s="5">
        <v>44470</v>
      </c>
      <c r="J835" s="6">
        <v>0</v>
      </c>
      <c r="K835" s="6">
        <v>0</v>
      </c>
      <c r="L835" s="6">
        <v>744.03800000000001</v>
      </c>
      <c r="M835" s="6">
        <v>744.03800000000001</v>
      </c>
      <c r="N835" s="6">
        <v>744.03800000000001</v>
      </c>
      <c r="O835" s="6">
        <v>744.03800000000001</v>
      </c>
      <c r="P835" s="6">
        <v>0</v>
      </c>
      <c r="Q835" s="4" t="s">
        <v>26</v>
      </c>
      <c r="R835" s="4">
        <v>0</v>
      </c>
      <c r="S835" s="6">
        <v>0</v>
      </c>
      <c r="T835" s="6">
        <v>42</v>
      </c>
      <c r="U835" s="6">
        <v>66</v>
      </c>
      <c r="V835" s="6">
        <f>IF(ISERROR(VLOOKUP($S$835,'TAR FIN'!$A$1:$O$104,15,0)),0,VLOOKUP($S$835,'TAR FIN'!$A$1:$O$104,15,0))</f>
        <v>0</v>
      </c>
      <c r="W835" s="6">
        <f>IF(ISERROR(VLOOKUP($T$835,'TAR FIN'!$A$1:$O$104,15,0)),0,VLOOKUP($T$835,'TAR FIN'!$A$1:$O$104,15,0))</f>
        <v>1330.19</v>
      </c>
      <c r="X835" s="6">
        <f>IF(ISERROR(VLOOKUP($U$835,'TAR FIN'!$A$1:$O$104,15,0)),0,VLOOKUP($U$835,'TAR FIN'!$A$1:$O$104,15,0))</f>
        <v>397.62</v>
      </c>
      <c r="Y835" s="6"/>
      <c r="Z835" s="6">
        <f ca="1">('TUSD BE'!$AM$25+'TUSD BF'!$AM$25+'TUSD CVA'!$AM$25)*1</f>
        <v>1345.857743809549</v>
      </c>
      <c r="AA835" s="6">
        <f>('TE BE'!$AB$7+'TE BF'!$AB$7+'TE CVA'!$AB$7)*1</f>
        <v>360.26029187567116</v>
      </c>
      <c r="AB835" s="6">
        <f>$K$835*$V$835</f>
        <v>0</v>
      </c>
      <c r="AC835" s="6">
        <f>$M$835*$W$835</f>
        <v>989711.90722000005</v>
      </c>
      <c r="AD835" s="6">
        <f>$O$835*$X$835</f>
        <v>295844.38955999998</v>
      </c>
      <c r="AE835" s="6">
        <f>$K$835*$Y$835</f>
        <v>0</v>
      </c>
      <c r="AF835" s="6">
        <f ca="1">$M$835*$Z$835</f>
        <v>1001369.3039885692</v>
      </c>
      <c r="AG835" s="6">
        <f>$O$835*$AA$835</f>
        <v>268047.34704659064</v>
      </c>
    </row>
    <row r="836" spans="1:33" ht="11.25" customHeight="1" x14ac:dyDescent="0.25">
      <c r="A836" s="4" t="s">
        <v>27</v>
      </c>
      <c r="B836" s="4" t="s">
        <v>41</v>
      </c>
      <c r="C836" s="4" t="s">
        <v>42</v>
      </c>
      <c r="D836" s="4" t="s">
        <v>43</v>
      </c>
      <c r="E836" s="4" t="s">
        <v>25</v>
      </c>
      <c r="F836" s="4" t="s">
        <v>25</v>
      </c>
      <c r="G836" s="4" t="s">
        <v>25</v>
      </c>
      <c r="H836" s="4" t="s">
        <v>34</v>
      </c>
      <c r="I836" s="5">
        <v>44470</v>
      </c>
      <c r="J836" s="6">
        <v>0</v>
      </c>
      <c r="K836" s="6">
        <v>0</v>
      </c>
      <c r="L836" s="6">
        <v>-0.73899999999999999</v>
      </c>
      <c r="M836" s="6">
        <v>-0.73899999999999999</v>
      </c>
      <c r="N836" s="6">
        <v>-0.73899999999999999</v>
      </c>
      <c r="O836" s="6">
        <v>-0.73899999999999999</v>
      </c>
      <c r="P836" s="6">
        <v>0</v>
      </c>
      <c r="Q836" s="4" t="s">
        <v>26</v>
      </c>
      <c r="R836" s="4">
        <v>0</v>
      </c>
      <c r="S836" s="6">
        <v>0</v>
      </c>
      <c r="T836" s="6">
        <v>42</v>
      </c>
      <c r="U836" s="6">
        <v>66</v>
      </c>
      <c r="V836" s="6">
        <f>IF(ISERROR(VLOOKUP($S$836,'TAR FIN'!$A$1:$O$104,15,0)),0,VLOOKUP($S$836,'TAR FIN'!$A$1:$O$104,15,0))</f>
        <v>0</v>
      </c>
      <c r="W836" s="6">
        <f>IF(ISERROR(VLOOKUP($T$836,'TAR FIN'!$A$1:$O$104,15,0)),0,VLOOKUP($T$836,'TAR FIN'!$A$1:$O$104,15,0))</f>
        <v>1330.19</v>
      </c>
      <c r="X836" s="6">
        <f>IF(ISERROR(VLOOKUP($U$836,'TAR FIN'!$A$1:$O$104,15,0)),0,VLOOKUP($U$836,'TAR FIN'!$A$1:$O$104,15,0))</f>
        <v>397.62</v>
      </c>
      <c r="Y836" s="6"/>
      <c r="Z836" s="6">
        <f ca="1">('TUSD BE'!$AM$25+'TUSD BF'!$AM$25+'TUSD CVA'!$AM$25)*1</f>
        <v>1345.857743809549</v>
      </c>
      <c r="AA836" s="6">
        <f>('TE BE'!$AB$7+'TE BF'!$AB$7+'TE CVA'!$AB$7)*1</f>
        <v>360.26029187567116</v>
      </c>
      <c r="AB836" s="6">
        <f>$K$836*$V$836</f>
        <v>0</v>
      </c>
      <c r="AC836" s="6">
        <f>$M$836*$W$836</f>
        <v>-983.01040999999998</v>
      </c>
      <c r="AD836" s="6">
        <f>$O$836*$X$836</f>
        <v>-293.84118000000001</v>
      </c>
      <c r="AE836" s="6">
        <f>$K$836*$Y$836</f>
        <v>0</v>
      </c>
      <c r="AF836" s="6">
        <f ca="1">$M$836*$Z$836</f>
        <v>-994.58887267525665</v>
      </c>
      <c r="AG836" s="6">
        <f>$O$836*$AA$836</f>
        <v>-266.23235569612098</v>
      </c>
    </row>
    <row r="837" spans="1:33" ht="11.25" customHeight="1" x14ac:dyDescent="0.25">
      <c r="A837" s="4" t="s">
        <v>28</v>
      </c>
      <c r="B837" s="4" t="s">
        <v>41</v>
      </c>
      <c r="C837" s="4" t="s">
        <v>42</v>
      </c>
      <c r="D837" s="4" t="s">
        <v>43</v>
      </c>
      <c r="E837" s="4" t="s">
        <v>25</v>
      </c>
      <c r="F837" s="4" t="s">
        <v>25</v>
      </c>
      <c r="G837" s="4" t="s">
        <v>25</v>
      </c>
      <c r="H837" s="4" t="s">
        <v>34</v>
      </c>
      <c r="I837" s="5">
        <v>44470</v>
      </c>
      <c r="J837" s="6">
        <v>0</v>
      </c>
      <c r="K837" s="6">
        <v>0</v>
      </c>
      <c r="L837" s="6">
        <v>73.391999999999996</v>
      </c>
      <c r="M837" s="6">
        <v>73.391999999999996</v>
      </c>
      <c r="N837" s="6">
        <v>73.391999999999996</v>
      </c>
      <c r="O837" s="6">
        <v>73.391999999999996</v>
      </c>
      <c r="P837" s="6">
        <v>0</v>
      </c>
      <c r="Q837" s="4" t="s">
        <v>26</v>
      </c>
      <c r="R837" s="4">
        <v>0</v>
      </c>
      <c r="S837" s="6">
        <v>0</v>
      </c>
      <c r="T837" s="6">
        <v>42</v>
      </c>
      <c r="U837" s="6">
        <v>66</v>
      </c>
      <c r="V837" s="6">
        <f>IF(ISERROR(VLOOKUP($S$837,'TAR FIN'!$A$1:$O$104,15,0)),0,VLOOKUP($S$837,'TAR FIN'!$A$1:$O$104,15,0))</f>
        <v>0</v>
      </c>
      <c r="W837" s="6">
        <f>IF(ISERROR(VLOOKUP($T$837,'TAR FIN'!$A$1:$O$104,15,0)),0,VLOOKUP($T$837,'TAR FIN'!$A$1:$O$104,15,0))</f>
        <v>1330.19</v>
      </c>
      <c r="X837" s="6">
        <f>IF(ISERROR(VLOOKUP($U$837,'TAR FIN'!$A$1:$O$104,15,0)),0,VLOOKUP($U$837,'TAR FIN'!$A$1:$O$104,15,0))</f>
        <v>397.62</v>
      </c>
      <c r="Y837" s="6"/>
      <c r="Z837" s="6">
        <f ca="1">('TUSD BE'!$AM$25+'TUSD BF'!$AM$25+'TUSD CVA'!$AM$25)*1</f>
        <v>1345.857743809549</v>
      </c>
      <c r="AA837" s="6">
        <f>('TE BE'!$AB$7+'TE BF'!$AB$7+'TE CVA'!$AB$7)*1</f>
        <v>360.26029187567116</v>
      </c>
      <c r="AB837" s="6">
        <f>$K$837*$V$837</f>
        <v>0</v>
      </c>
      <c r="AC837" s="6">
        <f>$M$837*$W$837</f>
        <v>97625.304479999992</v>
      </c>
      <c r="AD837" s="6">
        <f>$O$837*$X$837</f>
        <v>29182.127039999999</v>
      </c>
      <c r="AE837" s="6">
        <f>$K$837*$Y$837</f>
        <v>0</v>
      </c>
      <c r="AF837" s="6">
        <f ca="1">$M$837*$Z$837</f>
        <v>98775.191533670411</v>
      </c>
      <c r="AG837" s="6">
        <f>$O$837*$AA$837</f>
        <v>26440.223341339257</v>
      </c>
    </row>
    <row r="838" spans="1:33" ht="11.25" customHeight="1" x14ac:dyDescent="0.25">
      <c r="A838" s="4" t="s">
        <v>21</v>
      </c>
      <c r="B838" s="4" t="s">
        <v>41</v>
      </c>
      <c r="C838" s="4" t="s">
        <v>42</v>
      </c>
      <c r="D838" s="4" t="s">
        <v>43</v>
      </c>
      <c r="E838" s="4" t="s">
        <v>25</v>
      </c>
      <c r="F838" s="4" t="s">
        <v>25</v>
      </c>
      <c r="G838" s="4" t="s">
        <v>25</v>
      </c>
      <c r="H838" s="4" t="s">
        <v>34</v>
      </c>
      <c r="I838" s="5">
        <v>44470</v>
      </c>
      <c r="J838" s="6">
        <v>0</v>
      </c>
      <c r="K838" s="6">
        <v>0</v>
      </c>
      <c r="L838" s="6">
        <v>1.835</v>
      </c>
      <c r="M838" s="6">
        <v>1.835</v>
      </c>
      <c r="N838" s="6">
        <v>0</v>
      </c>
      <c r="O838" s="6">
        <v>0</v>
      </c>
      <c r="P838" s="6">
        <v>0</v>
      </c>
      <c r="Q838" s="4" t="s">
        <v>58</v>
      </c>
      <c r="R838" s="4">
        <v>0</v>
      </c>
      <c r="S838" s="6">
        <v>0</v>
      </c>
      <c r="T838" s="6">
        <v>42</v>
      </c>
      <c r="U838" s="6">
        <v>0</v>
      </c>
      <c r="V838" s="6">
        <f>IF(ISERROR(VLOOKUP($S$838,'TAR FIN'!$A$1:$O$104,15,0)),0,VLOOKUP($S$838,'TAR FIN'!$A$1:$O$104,15,0))</f>
        <v>0</v>
      </c>
      <c r="W838" s="6">
        <f>IF(ISERROR(VLOOKUP($T$838,'TAR FIN'!$A$1:$O$104,15,0)),0,VLOOKUP($T$838,'TAR FIN'!$A$1:$O$104,15,0))</f>
        <v>1330.19</v>
      </c>
      <c r="X838" s="6">
        <f>IF(ISERROR(VLOOKUP($U$838,'TAR FIN'!$A$1:$O$104,15,0)),0,VLOOKUP($U$838,'TAR FIN'!$A$1:$O$104,15,0))</f>
        <v>0</v>
      </c>
      <c r="Y838" s="6"/>
      <c r="Z838" s="6">
        <f ca="1">('TUSD BE'!$AM$25+'TUSD BF'!$AM$25+'TUSD CVA'!$AM$25)*1</f>
        <v>1345.857743809549</v>
      </c>
      <c r="AA838" s="6"/>
      <c r="AB838" s="6">
        <f>$K$838*$V$838</f>
        <v>0</v>
      </c>
      <c r="AC838" s="6">
        <f>$M$838*$W$838</f>
        <v>2440.8986500000001</v>
      </c>
      <c r="AD838" s="6">
        <f>$O$838*$X$838</f>
        <v>0</v>
      </c>
      <c r="AE838" s="6">
        <f>$K$838*$Y$838</f>
        <v>0</v>
      </c>
      <c r="AF838" s="6">
        <f ca="1">$M$838*$Z$838</f>
        <v>2469.6489598905223</v>
      </c>
      <c r="AG838" s="6">
        <f>$O$838*$AA$838</f>
        <v>0</v>
      </c>
    </row>
    <row r="839" spans="1:33" ht="11.25" customHeight="1" x14ac:dyDescent="0.25">
      <c r="A839" s="4" t="s">
        <v>21</v>
      </c>
      <c r="B839" s="4" t="s">
        <v>41</v>
      </c>
      <c r="C839" s="4" t="s">
        <v>42</v>
      </c>
      <c r="D839" s="4" t="s">
        <v>43</v>
      </c>
      <c r="E839" s="4" t="s">
        <v>25</v>
      </c>
      <c r="F839" s="4" t="s">
        <v>25</v>
      </c>
      <c r="G839" s="4" t="s">
        <v>25</v>
      </c>
      <c r="H839" s="4" t="s">
        <v>34</v>
      </c>
      <c r="I839" s="5">
        <v>44501</v>
      </c>
      <c r="J839" s="6">
        <v>0</v>
      </c>
      <c r="K839" s="6">
        <v>0</v>
      </c>
      <c r="L839" s="6">
        <v>723.38599999999997</v>
      </c>
      <c r="M839" s="6">
        <v>723.38599999999997</v>
      </c>
      <c r="N839" s="6">
        <v>723.38599999999997</v>
      </c>
      <c r="O839" s="6">
        <v>723.38599999999997</v>
      </c>
      <c r="P839" s="6">
        <v>0</v>
      </c>
      <c r="Q839" s="4" t="s">
        <v>26</v>
      </c>
      <c r="R839" s="4">
        <v>0</v>
      </c>
      <c r="S839" s="6">
        <v>0</v>
      </c>
      <c r="T839" s="6">
        <v>42</v>
      </c>
      <c r="U839" s="6">
        <v>66</v>
      </c>
      <c r="V839" s="6">
        <f>IF(ISERROR(VLOOKUP($S$839,'TAR FIN'!$A$1:$O$104,15,0)),0,VLOOKUP($S$839,'TAR FIN'!$A$1:$O$104,15,0))</f>
        <v>0</v>
      </c>
      <c r="W839" s="6">
        <f>IF(ISERROR(VLOOKUP($T$839,'TAR FIN'!$A$1:$O$104,15,0)),0,VLOOKUP($T$839,'TAR FIN'!$A$1:$O$104,15,0))</f>
        <v>1330.19</v>
      </c>
      <c r="X839" s="6">
        <f>IF(ISERROR(VLOOKUP($U$839,'TAR FIN'!$A$1:$O$104,15,0)),0,VLOOKUP($U$839,'TAR FIN'!$A$1:$O$104,15,0))</f>
        <v>397.62</v>
      </c>
      <c r="Y839" s="6"/>
      <c r="Z839" s="6">
        <f ca="1">('TUSD BE'!$AM$25+'TUSD BF'!$AM$25+'TUSD CVA'!$AM$25)*1</f>
        <v>1345.857743809549</v>
      </c>
      <c r="AA839" s="6">
        <f>('TE BE'!$AB$7+'TE BF'!$AB$7+'TE CVA'!$AB$7)*1</f>
        <v>360.26029187567116</v>
      </c>
      <c r="AB839" s="6">
        <f>$K$839*$V$839</f>
        <v>0</v>
      </c>
      <c r="AC839" s="6">
        <f>$M$839*$W$839</f>
        <v>962240.82334</v>
      </c>
      <c r="AD839" s="6">
        <f>$O$839*$X$839</f>
        <v>287632.74131999997</v>
      </c>
      <c r="AE839" s="6">
        <f>$K$839*$Y$839</f>
        <v>0</v>
      </c>
      <c r="AF839" s="6">
        <f ca="1">$M$839*$Z$839</f>
        <v>973574.64986341435</v>
      </c>
      <c r="AG839" s="6">
        <f>$O$839*$AA$839</f>
        <v>260607.25149877425</v>
      </c>
    </row>
    <row r="840" spans="1:33" ht="11.25" customHeight="1" x14ac:dyDescent="0.25">
      <c r="A840" s="4" t="s">
        <v>27</v>
      </c>
      <c r="B840" s="4" t="s">
        <v>41</v>
      </c>
      <c r="C840" s="4" t="s">
        <v>42</v>
      </c>
      <c r="D840" s="4" t="s">
        <v>43</v>
      </c>
      <c r="E840" s="4" t="s">
        <v>25</v>
      </c>
      <c r="F840" s="4" t="s">
        <v>25</v>
      </c>
      <c r="G840" s="4" t="s">
        <v>25</v>
      </c>
      <c r="H840" s="4" t="s">
        <v>34</v>
      </c>
      <c r="I840" s="5">
        <v>44501</v>
      </c>
      <c r="J840" s="6">
        <v>0</v>
      </c>
      <c r="K840" s="6">
        <v>0</v>
      </c>
      <c r="L840" s="6">
        <v>-25.914000000000001</v>
      </c>
      <c r="M840" s="6">
        <v>-25.914000000000001</v>
      </c>
      <c r="N840" s="6">
        <v>-25.914000000000001</v>
      </c>
      <c r="O840" s="6">
        <v>-25.914000000000001</v>
      </c>
      <c r="P840" s="6">
        <v>0</v>
      </c>
      <c r="Q840" s="4" t="s">
        <v>26</v>
      </c>
      <c r="R840" s="4">
        <v>0</v>
      </c>
      <c r="S840" s="6">
        <v>0</v>
      </c>
      <c r="T840" s="6">
        <v>42</v>
      </c>
      <c r="U840" s="6">
        <v>66</v>
      </c>
      <c r="V840" s="6">
        <f>IF(ISERROR(VLOOKUP($S$840,'TAR FIN'!$A$1:$O$104,15,0)),0,VLOOKUP($S$840,'TAR FIN'!$A$1:$O$104,15,0))</f>
        <v>0</v>
      </c>
      <c r="W840" s="6">
        <f>IF(ISERROR(VLOOKUP($T$840,'TAR FIN'!$A$1:$O$104,15,0)),0,VLOOKUP($T$840,'TAR FIN'!$A$1:$O$104,15,0))</f>
        <v>1330.19</v>
      </c>
      <c r="X840" s="6">
        <f>IF(ISERROR(VLOOKUP($U$840,'TAR FIN'!$A$1:$O$104,15,0)),0,VLOOKUP($U$840,'TAR FIN'!$A$1:$O$104,15,0))</f>
        <v>397.62</v>
      </c>
      <c r="Y840" s="6"/>
      <c r="Z840" s="6">
        <f ca="1">('TUSD BE'!$AM$25+'TUSD BF'!$AM$25+'TUSD CVA'!$AM$25)*1</f>
        <v>1345.857743809549</v>
      </c>
      <c r="AA840" s="6">
        <f>('TE BE'!$AB$7+'TE BF'!$AB$7+'TE CVA'!$AB$7)*1</f>
        <v>360.26029187567116</v>
      </c>
      <c r="AB840" s="6">
        <f>$K$840*$V$840</f>
        <v>0</v>
      </c>
      <c r="AC840" s="6">
        <f>$M$840*$W$840</f>
        <v>-34470.543660000003</v>
      </c>
      <c r="AD840" s="6">
        <f>$O$840*$X$840</f>
        <v>-10303.92468</v>
      </c>
      <c r="AE840" s="6">
        <f>$K$840*$Y$840</f>
        <v>0</v>
      </c>
      <c r="AF840" s="6">
        <f ca="1">$M$840*$Z$840</f>
        <v>-34876.557573080652</v>
      </c>
      <c r="AG840" s="6">
        <f>$O$840*$AA$840</f>
        <v>-9335.7852036661425</v>
      </c>
    </row>
    <row r="841" spans="1:33" ht="11.25" customHeight="1" x14ac:dyDescent="0.25">
      <c r="A841" s="4" t="s">
        <v>28</v>
      </c>
      <c r="B841" s="4" t="s">
        <v>41</v>
      </c>
      <c r="C841" s="4" t="s">
        <v>42</v>
      </c>
      <c r="D841" s="4" t="s">
        <v>43</v>
      </c>
      <c r="E841" s="4" t="s">
        <v>25</v>
      </c>
      <c r="F841" s="4" t="s">
        <v>25</v>
      </c>
      <c r="G841" s="4" t="s">
        <v>25</v>
      </c>
      <c r="H841" s="4" t="s">
        <v>34</v>
      </c>
      <c r="I841" s="5">
        <v>44501</v>
      </c>
      <c r="J841" s="6">
        <v>0</v>
      </c>
      <c r="K841" s="6">
        <v>0</v>
      </c>
      <c r="L841" s="6">
        <v>70.212000000000003</v>
      </c>
      <c r="M841" s="6">
        <v>70.212000000000003</v>
      </c>
      <c r="N841" s="6">
        <v>70.212000000000003</v>
      </c>
      <c r="O841" s="6">
        <v>70.212000000000003</v>
      </c>
      <c r="P841" s="6">
        <v>0</v>
      </c>
      <c r="Q841" s="4" t="s">
        <v>26</v>
      </c>
      <c r="R841" s="4">
        <v>0</v>
      </c>
      <c r="S841" s="6">
        <v>0</v>
      </c>
      <c r="T841" s="6">
        <v>42</v>
      </c>
      <c r="U841" s="6">
        <v>66</v>
      </c>
      <c r="V841" s="6">
        <f>IF(ISERROR(VLOOKUP($S$841,'TAR FIN'!$A$1:$O$104,15,0)),0,VLOOKUP($S$841,'TAR FIN'!$A$1:$O$104,15,0))</f>
        <v>0</v>
      </c>
      <c r="W841" s="6">
        <f>IF(ISERROR(VLOOKUP($T$841,'TAR FIN'!$A$1:$O$104,15,0)),0,VLOOKUP($T$841,'TAR FIN'!$A$1:$O$104,15,0))</f>
        <v>1330.19</v>
      </c>
      <c r="X841" s="6">
        <f>IF(ISERROR(VLOOKUP($U$841,'TAR FIN'!$A$1:$O$104,15,0)),0,VLOOKUP($U$841,'TAR FIN'!$A$1:$O$104,15,0))</f>
        <v>397.62</v>
      </c>
      <c r="Y841" s="6"/>
      <c r="Z841" s="6">
        <f ca="1">('TUSD BE'!$AM$25+'TUSD BF'!$AM$25+'TUSD CVA'!$AM$25)*1</f>
        <v>1345.857743809549</v>
      </c>
      <c r="AA841" s="6">
        <f>('TE BE'!$AB$7+'TE BF'!$AB$7+'TE CVA'!$AB$7)*1</f>
        <v>360.26029187567116</v>
      </c>
      <c r="AB841" s="6">
        <f>$K$841*$V$841</f>
        <v>0</v>
      </c>
      <c r="AC841" s="6">
        <f>$M$841*$W$841</f>
        <v>93395.30028000001</v>
      </c>
      <c r="AD841" s="6">
        <f>$O$841*$X$841</f>
        <v>27917.695440000003</v>
      </c>
      <c r="AE841" s="6">
        <f>$K$841*$Y$841</f>
        <v>0</v>
      </c>
      <c r="AF841" s="6">
        <f ca="1">$M$841*$Z$841</f>
        <v>94495.363908356056</v>
      </c>
      <c r="AG841" s="6">
        <f>$O$841*$AA$841</f>
        <v>25294.595613174624</v>
      </c>
    </row>
    <row r="842" spans="1:33" ht="11.25" customHeight="1" x14ac:dyDescent="0.25">
      <c r="A842" s="4" t="s">
        <v>21</v>
      </c>
      <c r="B842" s="4" t="s">
        <v>41</v>
      </c>
      <c r="C842" s="4" t="s">
        <v>42</v>
      </c>
      <c r="D842" s="4" t="s">
        <v>43</v>
      </c>
      <c r="E842" s="4" t="s">
        <v>25</v>
      </c>
      <c r="F842" s="4" t="s">
        <v>25</v>
      </c>
      <c r="G842" s="4" t="s">
        <v>25</v>
      </c>
      <c r="H842" s="4" t="s">
        <v>34</v>
      </c>
      <c r="I842" s="5">
        <v>44501</v>
      </c>
      <c r="J842" s="6">
        <v>0</v>
      </c>
      <c r="K842" s="6">
        <v>0</v>
      </c>
      <c r="L842" s="6">
        <v>0.96499999999999997</v>
      </c>
      <c r="M842" s="6">
        <v>0.96499999999999997</v>
      </c>
      <c r="N842" s="6">
        <v>0</v>
      </c>
      <c r="O842" s="6">
        <v>0</v>
      </c>
      <c r="P842" s="6">
        <v>0</v>
      </c>
      <c r="Q842" s="4" t="s">
        <v>58</v>
      </c>
      <c r="R842" s="4">
        <v>0</v>
      </c>
      <c r="S842" s="6">
        <v>0</v>
      </c>
      <c r="T842" s="6">
        <v>42</v>
      </c>
      <c r="U842" s="6">
        <v>0</v>
      </c>
      <c r="V842" s="6">
        <f>IF(ISERROR(VLOOKUP($S$842,'TAR FIN'!$A$1:$O$104,15,0)),0,VLOOKUP($S$842,'TAR FIN'!$A$1:$O$104,15,0))</f>
        <v>0</v>
      </c>
      <c r="W842" s="6">
        <f>IF(ISERROR(VLOOKUP($T$842,'TAR FIN'!$A$1:$O$104,15,0)),0,VLOOKUP($T$842,'TAR FIN'!$A$1:$O$104,15,0))</f>
        <v>1330.19</v>
      </c>
      <c r="X842" s="6">
        <f>IF(ISERROR(VLOOKUP($U$842,'TAR FIN'!$A$1:$O$104,15,0)),0,VLOOKUP($U$842,'TAR FIN'!$A$1:$O$104,15,0))</f>
        <v>0</v>
      </c>
      <c r="Y842" s="6"/>
      <c r="Z842" s="6">
        <f ca="1">('TUSD BE'!$AM$25+'TUSD BF'!$AM$25+'TUSD CVA'!$AM$25)*1</f>
        <v>1345.857743809549</v>
      </c>
      <c r="AA842" s="6"/>
      <c r="AB842" s="6">
        <f>$K$842*$V$842</f>
        <v>0</v>
      </c>
      <c r="AC842" s="6">
        <f>$M$842*$W$842</f>
        <v>1283.6333500000001</v>
      </c>
      <c r="AD842" s="6">
        <f>$O$842*$X$842</f>
        <v>0</v>
      </c>
      <c r="AE842" s="6">
        <f>$K$842*$Y$842</f>
        <v>0</v>
      </c>
      <c r="AF842" s="6">
        <f ca="1">$M$842*$Z$842</f>
        <v>1298.7527227762148</v>
      </c>
      <c r="AG842" s="6">
        <f>$O$842*$AA$842</f>
        <v>0</v>
      </c>
    </row>
    <row r="843" spans="1:33" ht="11.25" customHeight="1" x14ac:dyDescent="0.25">
      <c r="A843" s="4" t="s">
        <v>21</v>
      </c>
      <c r="B843" s="4" t="s">
        <v>41</v>
      </c>
      <c r="C843" s="4" t="s">
        <v>42</v>
      </c>
      <c r="D843" s="4" t="s">
        <v>43</v>
      </c>
      <c r="E843" s="4" t="s">
        <v>25</v>
      </c>
      <c r="F843" s="4" t="s">
        <v>25</v>
      </c>
      <c r="G843" s="4" t="s">
        <v>25</v>
      </c>
      <c r="H843" s="4" t="s">
        <v>34</v>
      </c>
      <c r="I843" s="5">
        <v>44531</v>
      </c>
      <c r="J843" s="6">
        <v>0</v>
      </c>
      <c r="K843" s="6">
        <v>0</v>
      </c>
      <c r="L843" s="6">
        <v>845.05799999999999</v>
      </c>
      <c r="M843" s="6">
        <v>845.05799999999999</v>
      </c>
      <c r="N843" s="6">
        <v>845.05799999999999</v>
      </c>
      <c r="O843" s="6">
        <v>845.05799999999999</v>
      </c>
      <c r="P843" s="6">
        <v>0</v>
      </c>
      <c r="Q843" s="4" t="s">
        <v>26</v>
      </c>
      <c r="R843" s="4">
        <v>0</v>
      </c>
      <c r="S843" s="6">
        <v>0</v>
      </c>
      <c r="T843" s="6">
        <v>42</v>
      </c>
      <c r="U843" s="6">
        <v>66</v>
      </c>
      <c r="V843" s="6">
        <f>IF(ISERROR(VLOOKUP($S$843,'TAR FIN'!$A$1:$O$104,15,0)),0,VLOOKUP($S$843,'TAR FIN'!$A$1:$O$104,15,0))</f>
        <v>0</v>
      </c>
      <c r="W843" s="6">
        <f>IF(ISERROR(VLOOKUP($T$843,'TAR FIN'!$A$1:$O$104,15,0)),0,VLOOKUP($T$843,'TAR FIN'!$A$1:$O$104,15,0))</f>
        <v>1330.19</v>
      </c>
      <c r="X843" s="6">
        <f>IF(ISERROR(VLOOKUP($U$843,'TAR FIN'!$A$1:$O$104,15,0)),0,VLOOKUP($U$843,'TAR FIN'!$A$1:$O$104,15,0))</f>
        <v>397.62</v>
      </c>
      <c r="Y843" s="6"/>
      <c r="Z843" s="6">
        <f ca="1">('TUSD BE'!$AM$25+'TUSD BF'!$AM$25+'TUSD CVA'!$AM$25)*1</f>
        <v>1345.857743809549</v>
      </c>
      <c r="AA843" s="6">
        <f>('TE BE'!$AB$7+'TE BF'!$AB$7+'TE CVA'!$AB$7)*1</f>
        <v>360.26029187567116</v>
      </c>
      <c r="AB843" s="6">
        <f>$K$843*$V$843</f>
        <v>0</v>
      </c>
      <c r="AC843" s="6">
        <f>$M$843*$W$843</f>
        <v>1124087.70102</v>
      </c>
      <c r="AD843" s="6">
        <f>$O$843*$X$843</f>
        <v>336011.96195999999</v>
      </c>
      <c r="AE843" s="6">
        <f>$K$843*$Y$843</f>
        <v>0</v>
      </c>
      <c r="AF843" s="6">
        <f ca="1">$M$843*$Z$843</f>
        <v>1137327.8532682098</v>
      </c>
      <c r="AG843" s="6">
        <f>$O$843*$AA$843</f>
        <v>304440.8417318709</v>
      </c>
    </row>
    <row r="844" spans="1:33" ht="11.25" customHeight="1" x14ac:dyDescent="0.25">
      <c r="A844" s="4" t="s">
        <v>27</v>
      </c>
      <c r="B844" s="4" t="s">
        <v>41</v>
      </c>
      <c r="C844" s="4" t="s">
        <v>42</v>
      </c>
      <c r="D844" s="4" t="s">
        <v>43</v>
      </c>
      <c r="E844" s="4" t="s">
        <v>25</v>
      </c>
      <c r="F844" s="4" t="s">
        <v>25</v>
      </c>
      <c r="G844" s="4" t="s">
        <v>25</v>
      </c>
      <c r="H844" s="4" t="s">
        <v>34</v>
      </c>
      <c r="I844" s="5">
        <v>44531</v>
      </c>
      <c r="J844" s="6">
        <v>0</v>
      </c>
      <c r="K844" s="6">
        <v>0</v>
      </c>
      <c r="L844" s="6">
        <v>-8.718</v>
      </c>
      <c r="M844" s="6">
        <v>-8.718</v>
      </c>
      <c r="N844" s="6">
        <v>-8.718</v>
      </c>
      <c r="O844" s="6">
        <v>-8.718</v>
      </c>
      <c r="P844" s="6">
        <v>0</v>
      </c>
      <c r="Q844" s="4" t="s">
        <v>26</v>
      </c>
      <c r="R844" s="4">
        <v>0</v>
      </c>
      <c r="S844" s="6">
        <v>0</v>
      </c>
      <c r="T844" s="6">
        <v>42</v>
      </c>
      <c r="U844" s="6">
        <v>66</v>
      </c>
      <c r="V844" s="6">
        <f>IF(ISERROR(VLOOKUP($S$844,'TAR FIN'!$A$1:$O$104,15,0)),0,VLOOKUP($S$844,'TAR FIN'!$A$1:$O$104,15,0))</f>
        <v>0</v>
      </c>
      <c r="W844" s="6">
        <f>IF(ISERROR(VLOOKUP($T$844,'TAR FIN'!$A$1:$O$104,15,0)),0,VLOOKUP($T$844,'TAR FIN'!$A$1:$O$104,15,0))</f>
        <v>1330.19</v>
      </c>
      <c r="X844" s="6">
        <f>IF(ISERROR(VLOOKUP($U$844,'TAR FIN'!$A$1:$O$104,15,0)),0,VLOOKUP($U$844,'TAR FIN'!$A$1:$O$104,15,0))</f>
        <v>397.62</v>
      </c>
      <c r="Y844" s="6"/>
      <c r="Z844" s="6">
        <f ca="1">('TUSD BE'!$AM$25+'TUSD BF'!$AM$25+'TUSD CVA'!$AM$25)*1</f>
        <v>1345.857743809549</v>
      </c>
      <c r="AA844" s="6">
        <f>('TE BE'!$AB$7+'TE BF'!$AB$7+'TE CVA'!$AB$7)*1</f>
        <v>360.26029187567116</v>
      </c>
      <c r="AB844" s="6">
        <f>$K$844*$V$844</f>
        <v>0</v>
      </c>
      <c r="AC844" s="6">
        <f>$M$844*$W$844</f>
        <v>-11596.59642</v>
      </c>
      <c r="AD844" s="6">
        <f>$O$844*$X$844</f>
        <v>-3466.4511600000001</v>
      </c>
      <c r="AE844" s="6">
        <f>$K$844*$Y$844</f>
        <v>0</v>
      </c>
      <c r="AF844" s="6">
        <f ca="1">$M$844*$Z$844</f>
        <v>-11733.187810531648</v>
      </c>
      <c r="AG844" s="6">
        <f>$O$844*$AA$844</f>
        <v>-3140.749224572101</v>
      </c>
    </row>
    <row r="845" spans="1:33" ht="11.25" customHeight="1" x14ac:dyDescent="0.25">
      <c r="A845" s="4" t="s">
        <v>28</v>
      </c>
      <c r="B845" s="4" t="s">
        <v>41</v>
      </c>
      <c r="C845" s="4" t="s">
        <v>42</v>
      </c>
      <c r="D845" s="4" t="s">
        <v>43</v>
      </c>
      <c r="E845" s="4" t="s">
        <v>25</v>
      </c>
      <c r="F845" s="4" t="s">
        <v>25</v>
      </c>
      <c r="G845" s="4" t="s">
        <v>25</v>
      </c>
      <c r="H845" s="4" t="s">
        <v>34</v>
      </c>
      <c r="I845" s="5">
        <v>44531</v>
      </c>
      <c r="J845" s="6">
        <v>0</v>
      </c>
      <c r="K845" s="6">
        <v>0</v>
      </c>
      <c r="L845" s="6">
        <v>89.019000000000005</v>
      </c>
      <c r="M845" s="6">
        <v>89.019000000000005</v>
      </c>
      <c r="N845" s="6">
        <v>89.019000000000005</v>
      </c>
      <c r="O845" s="6">
        <v>89.019000000000005</v>
      </c>
      <c r="P845" s="6">
        <v>0</v>
      </c>
      <c r="Q845" s="4" t="s">
        <v>26</v>
      </c>
      <c r="R845" s="4">
        <v>0</v>
      </c>
      <c r="S845" s="6">
        <v>0</v>
      </c>
      <c r="T845" s="6">
        <v>42</v>
      </c>
      <c r="U845" s="6">
        <v>66</v>
      </c>
      <c r="V845" s="6">
        <f>IF(ISERROR(VLOOKUP($S$845,'TAR FIN'!$A$1:$O$104,15,0)),0,VLOOKUP($S$845,'TAR FIN'!$A$1:$O$104,15,0))</f>
        <v>0</v>
      </c>
      <c r="W845" s="6">
        <f>IF(ISERROR(VLOOKUP($T$845,'TAR FIN'!$A$1:$O$104,15,0)),0,VLOOKUP($T$845,'TAR FIN'!$A$1:$O$104,15,0))</f>
        <v>1330.19</v>
      </c>
      <c r="X845" s="6">
        <f>IF(ISERROR(VLOOKUP($U$845,'TAR FIN'!$A$1:$O$104,15,0)),0,VLOOKUP($U$845,'TAR FIN'!$A$1:$O$104,15,0))</f>
        <v>397.62</v>
      </c>
      <c r="Y845" s="6"/>
      <c r="Z845" s="6">
        <f ca="1">('TUSD BE'!$AM$25+'TUSD BF'!$AM$25+'TUSD CVA'!$AM$25)*1</f>
        <v>1345.857743809549</v>
      </c>
      <c r="AA845" s="6">
        <f>('TE BE'!$AB$7+'TE BF'!$AB$7+'TE CVA'!$AB$7)*1</f>
        <v>360.26029187567116</v>
      </c>
      <c r="AB845" s="6">
        <f>$K$845*$V$845</f>
        <v>0</v>
      </c>
      <c r="AC845" s="6">
        <f>$M$845*$W$845</f>
        <v>118412.18361000001</v>
      </c>
      <c r="AD845" s="6">
        <f>$O$845*$X$845</f>
        <v>35395.734780000006</v>
      </c>
      <c r="AE845" s="6">
        <f>$K$845*$Y$845</f>
        <v>0</v>
      </c>
      <c r="AF845" s="6">
        <f ca="1">$M$845*$Z$845</f>
        <v>119806.91049618224</v>
      </c>
      <c r="AG845" s="6">
        <f>$O$845*$AA$845</f>
        <v>32070.010922480371</v>
      </c>
    </row>
    <row r="846" spans="1:33" ht="11.25" customHeight="1" x14ac:dyDescent="0.25">
      <c r="A846" s="4" t="s">
        <v>21</v>
      </c>
      <c r="B846" s="4" t="s">
        <v>41</v>
      </c>
      <c r="C846" s="4" t="s">
        <v>42</v>
      </c>
      <c r="D846" s="4" t="s">
        <v>43</v>
      </c>
      <c r="E846" s="4" t="s">
        <v>25</v>
      </c>
      <c r="F846" s="4" t="s">
        <v>25</v>
      </c>
      <c r="G846" s="4" t="s">
        <v>25</v>
      </c>
      <c r="H846" s="4" t="s">
        <v>34</v>
      </c>
      <c r="I846" s="5">
        <v>44531</v>
      </c>
      <c r="J846" s="6">
        <v>0</v>
      </c>
      <c r="K846" s="6">
        <v>0</v>
      </c>
      <c r="L846" s="6">
        <v>1.284</v>
      </c>
      <c r="M846" s="6">
        <v>1.284</v>
      </c>
      <c r="N846" s="6">
        <v>0</v>
      </c>
      <c r="O846" s="6">
        <v>0</v>
      </c>
      <c r="P846" s="6">
        <v>0</v>
      </c>
      <c r="Q846" s="4" t="s">
        <v>58</v>
      </c>
      <c r="R846" s="4">
        <v>0</v>
      </c>
      <c r="S846" s="6">
        <v>0</v>
      </c>
      <c r="T846" s="6">
        <v>42</v>
      </c>
      <c r="U846" s="6">
        <v>0</v>
      </c>
      <c r="V846" s="6">
        <f>IF(ISERROR(VLOOKUP($S$846,'TAR FIN'!$A$1:$O$104,15,0)),0,VLOOKUP($S$846,'TAR FIN'!$A$1:$O$104,15,0))</f>
        <v>0</v>
      </c>
      <c r="W846" s="6">
        <f>IF(ISERROR(VLOOKUP($T$846,'TAR FIN'!$A$1:$O$104,15,0)),0,VLOOKUP($T$846,'TAR FIN'!$A$1:$O$104,15,0))</f>
        <v>1330.19</v>
      </c>
      <c r="X846" s="6">
        <f>IF(ISERROR(VLOOKUP($U$846,'TAR FIN'!$A$1:$O$104,15,0)),0,VLOOKUP($U$846,'TAR FIN'!$A$1:$O$104,15,0))</f>
        <v>0</v>
      </c>
      <c r="Y846" s="6"/>
      <c r="Z846" s="6">
        <f ca="1">('TUSD BE'!$AM$25+'TUSD BF'!$AM$25+'TUSD CVA'!$AM$25)*1</f>
        <v>1345.857743809549</v>
      </c>
      <c r="AA846" s="6"/>
      <c r="AB846" s="6">
        <f>$K$846*$V$846</f>
        <v>0</v>
      </c>
      <c r="AC846" s="6">
        <f>$M$846*$W$846</f>
        <v>1707.96396</v>
      </c>
      <c r="AD846" s="6">
        <f>$O$846*$X$846</f>
        <v>0</v>
      </c>
      <c r="AE846" s="6">
        <f>$K$846*$Y$846</f>
        <v>0</v>
      </c>
      <c r="AF846" s="6">
        <f ca="1">$M$846*$Z$846</f>
        <v>1728.0813430514609</v>
      </c>
      <c r="AG846" s="6">
        <f>$O$846*$AA$846</f>
        <v>0</v>
      </c>
    </row>
    <row r="847" spans="1:33" ht="11.25" customHeight="1" x14ac:dyDescent="0.25">
      <c r="A847" s="4" t="s">
        <v>21</v>
      </c>
      <c r="B847" s="4" t="s">
        <v>41</v>
      </c>
      <c r="C847" s="4" t="s">
        <v>42</v>
      </c>
      <c r="D847" s="4" t="s">
        <v>43</v>
      </c>
      <c r="E847" s="4" t="s">
        <v>25</v>
      </c>
      <c r="F847" s="4" t="s">
        <v>25</v>
      </c>
      <c r="G847" s="4" t="s">
        <v>25</v>
      </c>
      <c r="H847" s="4" t="s">
        <v>34</v>
      </c>
      <c r="I847" s="5">
        <v>44562</v>
      </c>
      <c r="J847" s="6">
        <v>0</v>
      </c>
      <c r="K847" s="6">
        <v>0</v>
      </c>
      <c r="L847" s="6">
        <v>853.14400000000001</v>
      </c>
      <c r="M847" s="6">
        <v>853.14400000000001</v>
      </c>
      <c r="N847" s="6">
        <v>853.14400000000001</v>
      </c>
      <c r="O847" s="6">
        <v>853.14400000000001</v>
      </c>
      <c r="P847" s="6">
        <v>0</v>
      </c>
      <c r="Q847" s="4" t="s">
        <v>26</v>
      </c>
      <c r="R847" s="4">
        <v>0</v>
      </c>
      <c r="S847" s="6">
        <v>0</v>
      </c>
      <c r="T847" s="6">
        <v>42</v>
      </c>
      <c r="U847" s="6">
        <v>66</v>
      </c>
      <c r="V847" s="6">
        <f>IF(ISERROR(VLOOKUP($S$847,'TAR FIN'!$A$1:$O$104,15,0)),0,VLOOKUP($S$847,'TAR FIN'!$A$1:$O$104,15,0))</f>
        <v>0</v>
      </c>
      <c r="W847" s="6">
        <f>IF(ISERROR(VLOOKUP($T$847,'TAR FIN'!$A$1:$O$104,15,0)),0,VLOOKUP($T$847,'TAR FIN'!$A$1:$O$104,15,0))</f>
        <v>1330.19</v>
      </c>
      <c r="X847" s="6">
        <f>IF(ISERROR(VLOOKUP($U$847,'TAR FIN'!$A$1:$O$104,15,0)),0,VLOOKUP($U$847,'TAR FIN'!$A$1:$O$104,15,0))</f>
        <v>397.62</v>
      </c>
      <c r="Y847" s="6"/>
      <c r="Z847" s="6">
        <f ca="1">('TUSD BE'!$AM$25+'TUSD BF'!$AM$25+'TUSD CVA'!$AM$25)*1</f>
        <v>1345.857743809549</v>
      </c>
      <c r="AA847" s="6">
        <f>('TE BE'!$AB$7+'TE BF'!$AB$7+'TE CVA'!$AB$7)*1</f>
        <v>360.26029187567116</v>
      </c>
      <c r="AB847" s="6">
        <f>$K$847*$V$847</f>
        <v>0</v>
      </c>
      <c r="AC847" s="6">
        <f>$M$847*$W$847</f>
        <v>1134843.61736</v>
      </c>
      <c r="AD847" s="6">
        <f>$O$847*$X$847</f>
        <v>339227.11728000001</v>
      </c>
      <c r="AE847" s="6">
        <f>$K$847*$Y$847</f>
        <v>0</v>
      </c>
      <c r="AF847" s="6">
        <f ca="1">$M$847*$Z$847</f>
        <v>1148210.4589846539</v>
      </c>
      <c r="AG847" s="6">
        <f>$O$847*$AA$847</f>
        <v>307353.90645197761</v>
      </c>
    </row>
    <row r="848" spans="1:33" ht="11.25" customHeight="1" x14ac:dyDescent="0.25">
      <c r="A848" s="4" t="s">
        <v>28</v>
      </c>
      <c r="B848" s="4" t="s">
        <v>41</v>
      </c>
      <c r="C848" s="4" t="s">
        <v>42</v>
      </c>
      <c r="D848" s="4" t="s">
        <v>43</v>
      </c>
      <c r="E848" s="4" t="s">
        <v>25</v>
      </c>
      <c r="F848" s="4" t="s">
        <v>25</v>
      </c>
      <c r="G848" s="4" t="s">
        <v>25</v>
      </c>
      <c r="H848" s="4" t="s">
        <v>34</v>
      </c>
      <c r="I848" s="5">
        <v>44562</v>
      </c>
      <c r="J848" s="6">
        <v>0</v>
      </c>
      <c r="K848" s="6">
        <v>0</v>
      </c>
      <c r="L848" s="6">
        <v>71.245999999999995</v>
      </c>
      <c r="M848" s="6">
        <v>71.245999999999995</v>
      </c>
      <c r="N848" s="6">
        <v>71.245999999999995</v>
      </c>
      <c r="O848" s="6">
        <v>71.245999999999995</v>
      </c>
      <c r="P848" s="6">
        <v>0</v>
      </c>
      <c r="Q848" s="4" t="s">
        <v>26</v>
      </c>
      <c r="R848" s="4">
        <v>0</v>
      </c>
      <c r="S848" s="6">
        <v>0</v>
      </c>
      <c r="T848" s="6">
        <v>42</v>
      </c>
      <c r="U848" s="6">
        <v>66</v>
      </c>
      <c r="V848" s="6">
        <f>IF(ISERROR(VLOOKUP($S$848,'TAR FIN'!$A$1:$O$104,15,0)),0,VLOOKUP($S$848,'TAR FIN'!$A$1:$O$104,15,0))</f>
        <v>0</v>
      </c>
      <c r="W848" s="6">
        <f>IF(ISERROR(VLOOKUP($T$848,'TAR FIN'!$A$1:$O$104,15,0)),0,VLOOKUP($T$848,'TAR FIN'!$A$1:$O$104,15,0))</f>
        <v>1330.19</v>
      </c>
      <c r="X848" s="6">
        <f>IF(ISERROR(VLOOKUP($U$848,'TAR FIN'!$A$1:$O$104,15,0)),0,VLOOKUP($U$848,'TAR FIN'!$A$1:$O$104,15,0))</f>
        <v>397.62</v>
      </c>
      <c r="Y848" s="6"/>
      <c r="Z848" s="6">
        <f ca="1">('TUSD BE'!$AM$25+'TUSD BF'!$AM$25+'TUSD CVA'!$AM$25)*1</f>
        <v>1345.857743809549</v>
      </c>
      <c r="AA848" s="6">
        <f>('TE BE'!$AB$7+'TE BF'!$AB$7+'TE CVA'!$AB$7)*1</f>
        <v>360.26029187567116</v>
      </c>
      <c r="AB848" s="6">
        <f>$K$848*$V$848</f>
        <v>0</v>
      </c>
      <c r="AC848" s="6">
        <f>$M$848*$W$848</f>
        <v>94770.716740000003</v>
      </c>
      <c r="AD848" s="6">
        <f>$O$848*$X$848</f>
        <v>28328.834519999997</v>
      </c>
      <c r="AE848" s="6">
        <f>$K$848*$Y$848</f>
        <v>0</v>
      </c>
      <c r="AF848" s="6">
        <f ca="1">$M$848*$Z$848</f>
        <v>95886.980815455114</v>
      </c>
      <c r="AG848" s="6">
        <f>$O$848*$AA$848</f>
        <v>25667.104754974065</v>
      </c>
    </row>
    <row r="849" spans="1:33" ht="11.25" customHeight="1" x14ac:dyDescent="0.25">
      <c r="A849" s="4" t="s">
        <v>21</v>
      </c>
      <c r="B849" s="4" t="s">
        <v>41</v>
      </c>
      <c r="C849" s="4" t="s">
        <v>42</v>
      </c>
      <c r="D849" s="4" t="s">
        <v>43</v>
      </c>
      <c r="E849" s="4" t="s">
        <v>25</v>
      </c>
      <c r="F849" s="4" t="s">
        <v>25</v>
      </c>
      <c r="G849" s="4" t="s">
        <v>25</v>
      </c>
      <c r="H849" s="4" t="s">
        <v>34</v>
      </c>
      <c r="I849" s="5">
        <v>44593</v>
      </c>
      <c r="J849" s="6">
        <v>0</v>
      </c>
      <c r="K849" s="6">
        <v>0</v>
      </c>
      <c r="L849" s="6">
        <v>786.74699999999996</v>
      </c>
      <c r="M849" s="6">
        <v>786.74699999999996</v>
      </c>
      <c r="N849" s="6">
        <v>786.74699999999996</v>
      </c>
      <c r="O849" s="6">
        <v>786.74699999999996</v>
      </c>
      <c r="P849" s="6">
        <v>0</v>
      </c>
      <c r="Q849" s="4" t="s">
        <v>26</v>
      </c>
      <c r="R849" s="4">
        <v>0</v>
      </c>
      <c r="S849" s="6">
        <v>0</v>
      </c>
      <c r="T849" s="6">
        <v>42</v>
      </c>
      <c r="U849" s="6">
        <v>66</v>
      </c>
      <c r="V849" s="6">
        <f>IF(ISERROR(VLOOKUP($S$849,'TAR FIN'!$A$1:$O$104,15,0)),0,VLOOKUP($S$849,'TAR FIN'!$A$1:$O$104,15,0))</f>
        <v>0</v>
      </c>
      <c r="W849" s="6">
        <f>IF(ISERROR(VLOOKUP($T$849,'TAR FIN'!$A$1:$O$104,15,0)),0,VLOOKUP($T$849,'TAR FIN'!$A$1:$O$104,15,0))</f>
        <v>1330.19</v>
      </c>
      <c r="X849" s="6">
        <f>IF(ISERROR(VLOOKUP($U$849,'TAR FIN'!$A$1:$O$104,15,0)),0,VLOOKUP($U$849,'TAR FIN'!$A$1:$O$104,15,0))</f>
        <v>397.62</v>
      </c>
      <c r="Y849" s="6"/>
      <c r="Z849" s="6">
        <f ca="1">('TUSD BE'!$AM$25+'TUSD BF'!$AM$25+'TUSD CVA'!$AM$25)*1</f>
        <v>1345.857743809549</v>
      </c>
      <c r="AA849" s="6">
        <f>('TE BE'!$AB$7+'TE BF'!$AB$7+'TE CVA'!$AB$7)*1</f>
        <v>360.26029187567116</v>
      </c>
      <c r="AB849" s="6">
        <f>$K$849*$V$849</f>
        <v>0</v>
      </c>
      <c r="AC849" s="6">
        <f>$M$849*$W$849</f>
        <v>1046522.99193</v>
      </c>
      <c r="AD849" s="6">
        <f>$O$849*$X$849</f>
        <v>312826.34213999996</v>
      </c>
      <c r="AE849" s="6">
        <f>$K$849*$Y$849</f>
        <v>0</v>
      </c>
      <c r="AF849" s="6">
        <f ca="1">$M$849*$Z$849</f>
        <v>1058849.5423689312</v>
      </c>
      <c r="AG849" s="6">
        <f>$O$849*$AA$849</f>
        <v>283433.70385230862</v>
      </c>
    </row>
    <row r="850" spans="1:33" ht="11.25" customHeight="1" x14ac:dyDescent="0.25">
      <c r="A850" s="4" t="s">
        <v>27</v>
      </c>
      <c r="B850" s="4" t="s">
        <v>41</v>
      </c>
      <c r="C850" s="4" t="s">
        <v>42</v>
      </c>
      <c r="D850" s="4" t="s">
        <v>43</v>
      </c>
      <c r="E850" s="4" t="s">
        <v>25</v>
      </c>
      <c r="F850" s="4" t="s">
        <v>25</v>
      </c>
      <c r="G850" s="4" t="s">
        <v>25</v>
      </c>
      <c r="H850" s="4" t="s">
        <v>34</v>
      </c>
      <c r="I850" s="5">
        <v>44593</v>
      </c>
      <c r="J850" s="6">
        <v>0</v>
      </c>
      <c r="K850" s="6">
        <v>0</v>
      </c>
      <c r="L850" s="6">
        <v>-5.1340000000000003</v>
      </c>
      <c r="M850" s="6">
        <v>-5.1340000000000003</v>
      </c>
      <c r="N850" s="6">
        <v>-5.1340000000000003</v>
      </c>
      <c r="O850" s="6">
        <v>-5.1340000000000003</v>
      </c>
      <c r="P850" s="6">
        <v>0</v>
      </c>
      <c r="Q850" s="4" t="s">
        <v>26</v>
      </c>
      <c r="R850" s="4">
        <v>0</v>
      </c>
      <c r="S850" s="6">
        <v>0</v>
      </c>
      <c r="T850" s="6">
        <v>42</v>
      </c>
      <c r="U850" s="6">
        <v>66</v>
      </c>
      <c r="V850" s="6">
        <f>IF(ISERROR(VLOOKUP($S$850,'TAR FIN'!$A$1:$O$104,15,0)),0,VLOOKUP($S$850,'TAR FIN'!$A$1:$O$104,15,0))</f>
        <v>0</v>
      </c>
      <c r="W850" s="6">
        <f>IF(ISERROR(VLOOKUP($T$850,'TAR FIN'!$A$1:$O$104,15,0)),0,VLOOKUP($T$850,'TAR FIN'!$A$1:$O$104,15,0))</f>
        <v>1330.19</v>
      </c>
      <c r="X850" s="6">
        <f>IF(ISERROR(VLOOKUP($U$850,'TAR FIN'!$A$1:$O$104,15,0)),0,VLOOKUP($U$850,'TAR FIN'!$A$1:$O$104,15,0))</f>
        <v>397.62</v>
      </c>
      <c r="Y850" s="6"/>
      <c r="Z850" s="6">
        <f ca="1">('TUSD BE'!$AM$25+'TUSD BF'!$AM$25+'TUSD CVA'!$AM$25)*1</f>
        <v>1345.857743809549</v>
      </c>
      <c r="AA850" s="6">
        <f>('TE BE'!$AB$7+'TE BF'!$AB$7+'TE CVA'!$AB$7)*1</f>
        <v>360.26029187567116</v>
      </c>
      <c r="AB850" s="6">
        <f>$K$850*$V$850</f>
        <v>0</v>
      </c>
      <c r="AC850" s="6">
        <f>$M$850*$W$850</f>
        <v>-6829.1954600000008</v>
      </c>
      <c r="AD850" s="6">
        <f>$O$850*$X$850</f>
        <v>-2041.3810800000001</v>
      </c>
      <c r="AE850" s="6">
        <f>$K$850*$Y$850</f>
        <v>0</v>
      </c>
      <c r="AF850" s="6">
        <f ca="1">$M$850*$Z$850</f>
        <v>-6909.6336567182252</v>
      </c>
      <c r="AG850" s="6">
        <f>$O$850*$AA$850</f>
        <v>-1849.5763384896959</v>
      </c>
    </row>
    <row r="851" spans="1:33" ht="11.25" customHeight="1" x14ac:dyDescent="0.25">
      <c r="A851" s="4" t="s">
        <v>28</v>
      </c>
      <c r="B851" s="4" t="s">
        <v>41</v>
      </c>
      <c r="C851" s="4" t="s">
        <v>42</v>
      </c>
      <c r="D851" s="4" t="s">
        <v>43</v>
      </c>
      <c r="E851" s="4" t="s">
        <v>25</v>
      </c>
      <c r="F851" s="4" t="s">
        <v>25</v>
      </c>
      <c r="G851" s="4" t="s">
        <v>25</v>
      </c>
      <c r="H851" s="4" t="s">
        <v>34</v>
      </c>
      <c r="I851" s="5">
        <v>44593</v>
      </c>
      <c r="J851" s="6">
        <v>0</v>
      </c>
      <c r="K851" s="6">
        <v>0</v>
      </c>
      <c r="L851" s="6">
        <v>69.754000000000005</v>
      </c>
      <c r="M851" s="6">
        <v>69.754000000000005</v>
      </c>
      <c r="N851" s="6">
        <v>69.754000000000005</v>
      </c>
      <c r="O851" s="6">
        <v>69.754000000000005</v>
      </c>
      <c r="P851" s="6">
        <v>0</v>
      </c>
      <c r="Q851" s="4" t="s">
        <v>26</v>
      </c>
      <c r="R851" s="4">
        <v>0</v>
      </c>
      <c r="S851" s="6">
        <v>0</v>
      </c>
      <c r="T851" s="6">
        <v>42</v>
      </c>
      <c r="U851" s="6">
        <v>66</v>
      </c>
      <c r="V851" s="6">
        <f>IF(ISERROR(VLOOKUP($S$851,'TAR FIN'!$A$1:$O$104,15,0)),0,VLOOKUP($S$851,'TAR FIN'!$A$1:$O$104,15,0))</f>
        <v>0</v>
      </c>
      <c r="W851" s="6">
        <f>IF(ISERROR(VLOOKUP($T$851,'TAR FIN'!$A$1:$O$104,15,0)),0,VLOOKUP($T$851,'TAR FIN'!$A$1:$O$104,15,0))</f>
        <v>1330.19</v>
      </c>
      <c r="X851" s="6">
        <f>IF(ISERROR(VLOOKUP($U$851,'TAR FIN'!$A$1:$O$104,15,0)),0,VLOOKUP($U$851,'TAR FIN'!$A$1:$O$104,15,0))</f>
        <v>397.62</v>
      </c>
      <c r="Y851" s="6"/>
      <c r="Z851" s="6">
        <f ca="1">('TUSD BE'!$AM$25+'TUSD BF'!$AM$25+'TUSD CVA'!$AM$25)*1</f>
        <v>1345.857743809549</v>
      </c>
      <c r="AA851" s="6">
        <f>('TE BE'!$AB$7+'TE BF'!$AB$7+'TE CVA'!$AB$7)*1</f>
        <v>360.26029187567116</v>
      </c>
      <c r="AB851" s="6">
        <f>$K$851*$V$851</f>
        <v>0</v>
      </c>
      <c r="AC851" s="6">
        <f>$M$851*$W$851</f>
        <v>92786.073260000005</v>
      </c>
      <c r="AD851" s="6">
        <f>$O$851*$X$851</f>
        <v>27735.585480000002</v>
      </c>
      <c r="AE851" s="6">
        <f>$K$851*$Y$851</f>
        <v>0</v>
      </c>
      <c r="AF851" s="6">
        <f ca="1">$M$851*$Z$851</f>
        <v>93878.961061691283</v>
      </c>
      <c r="AG851" s="6">
        <f>$O$851*$AA$851</f>
        <v>25129.596399495567</v>
      </c>
    </row>
    <row r="852" spans="1:33" ht="11.25" customHeight="1" x14ac:dyDescent="0.25">
      <c r="A852" s="4" t="s">
        <v>28</v>
      </c>
      <c r="B852" s="4" t="s">
        <v>41</v>
      </c>
      <c r="C852" s="4" t="s">
        <v>42</v>
      </c>
      <c r="D852" s="4" t="s">
        <v>43</v>
      </c>
      <c r="E852" s="4" t="s">
        <v>25</v>
      </c>
      <c r="F852" s="4" t="s">
        <v>25</v>
      </c>
      <c r="G852" s="4" t="s">
        <v>25</v>
      </c>
      <c r="H852" s="4" t="s">
        <v>34</v>
      </c>
      <c r="I852" s="5">
        <v>44593</v>
      </c>
      <c r="J852" s="6">
        <v>0</v>
      </c>
      <c r="K852" s="6">
        <v>0</v>
      </c>
      <c r="L852" s="6">
        <v>-21.218</v>
      </c>
      <c r="M852" s="6">
        <v>-21.218</v>
      </c>
      <c r="N852" s="6">
        <v>-21.218</v>
      </c>
      <c r="O852" s="6">
        <v>-21.218</v>
      </c>
      <c r="P852" s="6">
        <v>0</v>
      </c>
      <c r="Q852" s="4" t="s">
        <v>26</v>
      </c>
      <c r="R852" s="4">
        <v>0</v>
      </c>
      <c r="S852" s="6">
        <v>0</v>
      </c>
      <c r="T852" s="6">
        <v>42</v>
      </c>
      <c r="U852" s="6">
        <v>66</v>
      </c>
      <c r="V852" s="6">
        <f>IF(ISERROR(VLOOKUP($S$852,'TAR FIN'!$A$1:$O$104,15,0)),0,VLOOKUP($S$852,'TAR FIN'!$A$1:$O$104,15,0))</f>
        <v>0</v>
      </c>
      <c r="W852" s="6">
        <f>IF(ISERROR(VLOOKUP($T$852,'TAR FIN'!$A$1:$O$104,15,0)),0,VLOOKUP($T$852,'TAR FIN'!$A$1:$O$104,15,0))</f>
        <v>1330.19</v>
      </c>
      <c r="X852" s="6">
        <f>IF(ISERROR(VLOOKUP($U$852,'TAR FIN'!$A$1:$O$104,15,0)),0,VLOOKUP($U$852,'TAR FIN'!$A$1:$O$104,15,0))</f>
        <v>397.62</v>
      </c>
      <c r="Y852" s="6"/>
      <c r="Z852" s="6">
        <f ca="1">('TUSD BE'!$AM$25+'TUSD BF'!$AM$25+'TUSD CVA'!$AM$25)*1</f>
        <v>1345.857743809549</v>
      </c>
      <c r="AA852" s="6">
        <f>('TE BE'!$AB$7+'TE BF'!$AB$7+'TE CVA'!$AB$7)*1</f>
        <v>360.26029187567116</v>
      </c>
      <c r="AB852" s="6">
        <f>$K$852*$V$852</f>
        <v>0</v>
      </c>
      <c r="AC852" s="6">
        <f>$M$852*$W$852</f>
        <v>-28223.971420000002</v>
      </c>
      <c r="AD852" s="6">
        <f>$O$852*$X$852</f>
        <v>-8436.7011600000005</v>
      </c>
      <c r="AE852" s="6">
        <f>$K$852*$Y$852</f>
        <v>0</v>
      </c>
      <c r="AF852" s="6">
        <f ca="1">$M$852*$Z$852</f>
        <v>-28556.409608151011</v>
      </c>
      <c r="AG852" s="6">
        <f>$O$852*$AA$852</f>
        <v>-7644.0028730179902</v>
      </c>
    </row>
    <row r="853" spans="1:33" ht="11.25" customHeight="1" x14ac:dyDescent="0.25">
      <c r="A853" s="4" t="s">
        <v>21</v>
      </c>
      <c r="B853" s="4" t="s">
        <v>41</v>
      </c>
      <c r="C853" s="4" t="s">
        <v>42</v>
      </c>
      <c r="D853" s="4" t="s">
        <v>43</v>
      </c>
      <c r="E853" s="4" t="s">
        <v>25</v>
      </c>
      <c r="F853" s="4" t="s">
        <v>25</v>
      </c>
      <c r="G853" s="4" t="s">
        <v>25</v>
      </c>
      <c r="H853" s="4" t="s">
        <v>34</v>
      </c>
      <c r="I853" s="5">
        <v>44621</v>
      </c>
      <c r="J853" s="6">
        <v>0</v>
      </c>
      <c r="K853" s="6">
        <v>0</v>
      </c>
      <c r="L853" s="6">
        <v>845.57299999999998</v>
      </c>
      <c r="M853" s="6">
        <v>845.57299999999998</v>
      </c>
      <c r="N853" s="6">
        <v>845.57299999999998</v>
      </c>
      <c r="O853" s="6">
        <v>845.57299999999998</v>
      </c>
      <c r="P853" s="6">
        <v>0</v>
      </c>
      <c r="Q853" s="4" t="s">
        <v>26</v>
      </c>
      <c r="R853" s="4">
        <v>0</v>
      </c>
      <c r="S853" s="6">
        <v>0</v>
      </c>
      <c r="T853" s="6">
        <v>42</v>
      </c>
      <c r="U853" s="6">
        <v>66</v>
      </c>
      <c r="V853" s="6">
        <f>IF(ISERROR(VLOOKUP($S$853,'TAR FIN'!$A$1:$O$104,15,0)),0,VLOOKUP($S$853,'TAR FIN'!$A$1:$O$104,15,0))</f>
        <v>0</v>
      </c>
      <c r="W853" s="6">
        <f>IF(ISERROR(VLOOKUP($T$853,'TAR FIN'!$A$1:$O$104,15,0)),0,VLOOKUP($T$853,'TAR FIN'!$A$1:$O$104,15,0))</f>
        <v>1330.19</v>
      </c>
      <c r="X853" s="6">
        <f>IF(ISERROR(VLOOKUP($U$853,'TAR FIN'!$A$1:$O$104,15,0)),0,VLOOKUP($U$853,'TAR FIN'!$A$1:$O$104,15,0))</f>
        <v>397.62</v>
      </c>
      <c r="Y853" s="6"/>
      <c r="Z853" s="6">
        <f ca="1">('TUSD BE'!$AM$25+'TUSD BF'!$AM$25+'TUSD CVA'!$AM$25)*1</f>
        <v>1345.857743809549</v>
      </c>
      <c r="AA853" s="6">
        <f>('TE BE'!$AB$7+'TE BF'!$AB$7+'TE CVA'!$AB$7)*1</f>
        <v>360.26029187567116</v>
      </c>
      <c r="AB853" s="6">
        <f>$K$853*$V$853</f>
        <v>0</v>
      </c>
      <c r="AC853" s="6">
        <f>$M$853*$W$853</f>
        <v>1124772.74887</v>
      </c>
      <c r="AD853" s="6">
        <f>$O$853*$X$853</f>
        <v>336216.73625999998</v>
      </c>
      <c r="AE853" s="6">
        <f>$K$853*$Y$853</f>
        <v>0</v>
      </c>
      <c r="AF853" s="6">
        <f ca="1">$M$853*$Z$853</f>
        <v>1138020.9700062717</v>
      </c>
      <c r="AG853" s="6">
        <f>$O$853*$AA$853</f>
        <v>304626.37578218686</v>
      </c>
    </row>
    <row r="854" spans="1:33" ht="11.25" customHeight="1" x14ac:dyDescent="0.25">
      <c r="A854" s="4" t="s">
        <v>28</v>
      </c>
      <c r="B854" s="4" t="s">
        <v>41</v>
      </c>
      <c r="C854" s="4" t="s">
        <v>42</v>
      </c>
      <c r="D854" s="4" t="s">
        <v>43</v>
      </c>
      <c r="E854" s="4" t="s">
        <v>25</v>
      </c>
      <c r="F854" s="4" t="s">
        <v>25</v>
      </c>
      <c r="G854" s="4" t="s">
        <v>25</v>
      </c>
      <c r="H854" s="4" t="s">
        <v>34</v>
      </c>
      <c r="I854" s="5">
        <v>44621</v>
      </c>
      <c r="J854" s="6">
        <v>0</v>
      </c>
      <c r="K854" s="6">
        <v>0</v>
      </c>
      <c r="L854" s="6">
        <v>118.858</v>
      </c>
      <c r="M854" s="6">
        <v>118.858</v>
      </c>
      <c r="N854" s="6">
        <v>118.858</v>
      </c>
      <c r="O854" s="6">
        <v>118.858</v>
      </c>
      <c r="P854" s="6">
        <v>0</v>
      </c>
      <c r="Q854" s="4" t="s">
        <v>26</v>
      </c>
      <c r="R854" s="4">
        <v>0</v>
      </c>
      <c r="S854" s="6">
        <v>0</v>
      </c>
      <c r="T854" s="6">
        <v>42</v>
      </c>
      <c r="U854" s="6">
        <v>66</v>
      </c>
      <c r="V854" s="6">
        <f>IF(ISERROR(VLOOKUP($S$854,'TAR FIN'!$A$1:$O$104,15,0)),0,VLOOKUP($S$854,'TAR FIN'!$A$1:$O$104,15,0))</f>
        <v>0</v>
      </c>
      <c r="W854" s="6">
        <f>IF(ISERROR(VLOOKUP($T$854,'TAR FIN'!$A$1:$O$104,15,0)),0,VLOOKUP($T$854,'TAR FIN'!$A$1:$O$104,15,0))</f>
        <v>1330.19</v>
      </c>
      <c r="X854" s="6">
        <f>IF(ISERROR(VLOOKUP($U$854,'TAR FIN'!$A$1:$O$104,15,0)),0,VLOOKUP($U$854,'TAR FIN'!$A$1:$O$104,15,0))</f>
        <v>397.62</v>
      </c>
      <c r="Y854" s="6"/>
      <c r="Z854" s="6">
        <f ca="1">('TUSD BE'!$AM$25+'TUSD BF'!$AM$25+'TUSD CVA'!$AM$25)*1</f>
        <v>1345.857743809549</v>
      </c>
      <c r="AA854" s="6">
        <f>('TE BE'!$AB$7+'TE BF'!$AB$7+'TE CVA'!$AB$7)*1</f>
        <v>360.26029187567116</v>
      </c>
      <c r="AB854" s="6">
        <f>$K$854*$V$854</f>
        <v>0</v>
      </c>
      <c r="AC854" s="6">
        <f>$M$854*$W$854</f>
        <v>158103.72302</v>
      </c>
      <c r="AD854" s="6">
        <f>$O$854*$X$854</f>
        <v>47260.31796</v>
      </c>
      <c r="AE854" s="6">
        <f>$K$854*$Y$854</f>
        <v>0</v>
      </c>
      <c r="AF854" s="6">
        <f ca="1">$M$854*$Z$854</f>
        <v>159965.95971371539</v>
      </c>
      <c r="AG854" s="6">
        <f>$O$854*$AA$854</f>
        <v>42819.81777175852</v>
      </c>
    </row>
    <row r="855" spans="1:33" ht="11.25" customHeight="1" x14ac:dyDescent="0.25">
      <c r="A855" s="4" t="s">
        <v>21</v>
      </c>
      <c r="B855" s="4" t="s">
        <v>41</v>
      </c>
      <c r="C855" s="4" t="s">
        <v>42</v>
      </c>
      <c r="D855" s="4" t="s">
        <v>43</v>
      </c>
      <c r="E855" s="4" t="s">
        <v>25</v>
      </c>
      <c r="F855" s="4" t="s">
        <v>25</v>
      </c>
      <c r="G855" s="4" t="s">
        <v>25</v>
      </c>
      <c r="H855" s="4" t="s">
        <v>34</v>
      </c>
      <c r="I855" s="5">
        <v>44652</v>
      </c>
      <c r="J855" s="6">
        <v>0</v>
      </c>
      <c r="K855" s="6">
        <v>0</v>
      </c>
      <c r="L855" s="6">
        <v>808.17399999999998</v>
      </c>
      <c r="M855" s="6">
        <v>808.17399999999998</v>
      </c>
      <c r="N855" s="6">
        <v>808.17399999999998</v>
      </c>
      <c r="O855" s="6">
        <v>808.17399999999998</v>
      </c>
      <c r="P855" s="6">
        <v>0</v>
      </c>
      <c r="Q855" s="4" t="s">
        <v>26</v>
      </c>
      <c r="R855" s="4">
        <v>0</v>
      </c>
      <c r="S855" s="6">
        <v>0</v>
      </c>
      <c r="T855" s="6">
        <v>42</v>
      </c>
      <c r="U855" s="6">
        <v>66</v>
      </c>
      <c r="V855" s="6">
        <f>IF(ISERROR(VLOOKUP($S$855,'TAR FIN'!$A$1:$O$104,15,0)),0,VLOOKUP($S$855,'TAR FIN'!$A$1:$O$104,15,0))</f>
        <v>0</v>
      </c>
      <c r="W855" s="6">
        <f>IF(ISERROR(VLOOKUP($T$855,'TAR FIN'!$A$1:$O$104,15,0)),0,VLOOKUP($T$855,'TAR FIN'!$A$1:$O$104,15,0))</f>
        <v>1330.19</v>
      </c>
      <c r="X855" s="6">
        <f>IF(ISERROR(VLOOKUP($U$855,'TAR FIN'!$A$1:$O$104,15,0)),0,VLOOKUP($U$855,'TAR FIN'!$A$1:$O$104,15,0))</f>
        <v>397.62</v>
      </c>
      <c r="Y855" s="6"/>
      <c r="Z855" s="6">
        <f ca="1">('TUSD BE'!$AM$25+'TUSD BF'!$AM$25+'TUSD CVA'!$AM$25)*1</f>
        <v>1345.857743809549</v>
      </c>
      <c r="AA855" s="6">
        <f>('TE BE'!$AB$7+'TE BF'!$AB$7+'TE CVA'!$AB$7)*1</f>
        <v>360.26029187567116</v>
      </c>
      <c r="AB855" s="6">
        <f>$K$855*$V$855</f>
        <v>0</v>
      </c>
      <c r="AC855" s="6">
        <f>$M$855*$W$855</f>
        <v>1075024.97306</v>
      </c>
      <c r="AD855" s="6">
        <f>$O$855*$X$855</f>
        <v>321346.14587999997</v>
      </c>
      <c r="AE855" s="6">
        <f>$K$855*$Y$855</f>
        <v>0</v>
      </c>
      <c r="AF855" s="6">
        <f ca="1">$M$855*$Z$855</f>
        <v>1087687.2362455383</v>
      </c>
      <c r="AG855" s="6">
        <f>$O$855*$AA$855</f>
        <v>291153.00112632866</v>
      </c>
    </row>
    <row r="856" spans="1:33" ht="11.25" customHeight="1" x14ac:dyDescent="0.25">
      <c r="A856" s="4" t="s">
        <v>27</v>
      </c>
      <c r="B856" s="4" t="s">
        <v>41</v>
      </c>
      <c r="C856" s="4" t="s">
        <v>42</v>
      </c>
      <c r="D856" s="4" t="s">
        <v>43</v>
      </c>
      <c r="E856" s="4" t="s">
        <v>25</v>
      </c>
      <c r="F856" s="4" t="s">
        <v>25</v>
      </c>
      <c r="G856" s="4" t="s">
        <v>25</v>
      </c>
      <c r="H856" s="4" t="s">
        <v>34</v>
      </c>
      <c r="I856" s="5">
        <v>44652</v>
      </c>
      <c r="J856" s="6">
        <v>0</v>
      </c>
      <c r="K856" s="6">
        <v>0</v>
      </c>
      <c r="L856" s="6">
        <v>5.7229999999999999</v>
      </c>
      <c r="M856" s="6">
        <v>5.7229999999999999</v>
      </c>
      <c r="N856" s="6">
        <v>5.7229999999999999</v>
      </c>
      <c r="O856" s="6">
        <v>5.7229999999999999</v>
      </c>
      <c r="P856" s="6">
        <v>0</v>
      </c>
      <c r="Q856" s="4" t="s">
        <v>26</v>
      </c>
      <c r="R856" s="4">
        <v>0</v>
      </c>
      <c r="S856" s="6">
        <v>0</v>
      </c>
      <c r="T856" s="6">
        <v>42</v>
      </c>
      <c r="U856" s="6">
        <v>66</v>
      </c>
      <c r="V856" s="6">
        <f>IF(ISERROR(VLOOKUP($S$856,'TAR FIN'!$A$1:$O$104,15,0)),0,VLOOKUP($S$856,'TAR FIN'!$A$1:$O$104,15,0))</f>
        <v>0</v>
      </c>
      <c r="W856" s="6">
        <f>IF(ISERROR(VLOOKUP($T$856,'TAR FIN'!$A$1:$O$104,15,0)),0,VLOOKUP($T$856,'TAR FIN'!$A$1:$O$104,15,0))</f>
        <v>1330.19</v>
      </c>
      <c r="X856" s="6">
        <f>IF(ISERROR(VLOOKUP($U$856,'TAR FIN'!$A$1:$O$104,15,0)),0,VLOOKUP($U$856,'TAR FIN'!$A$1:$O$104,15,0))</f>
        <v>397.62</v>
      </c>
      <c r="Y856" s="6"/>
      <c r="Z856" s="6">
        <f ca="1">('TUSD BE'!$AM$25+'TUSD BF'!$AM$25+'TUSD CVA'!$AM$25)*1</f>
        <v>1345.857743809549</v>
      </c>
      <c r="AA856" s="6">
        <f>('TE BE'!$AB$7+'TE BF'!$AB$7+'TE CVA'!$AB$7)*1</f>
        <v>360.26029187567116</v>
      </c>
      <c r="AB856" s="6">
        <f>$K$856*$V$856</f>
        <v>0</v>
      </c>
      <c r="AC856" s="6">
        <f>$M$856*$W$856</f>
        <v>7612.6773700000003</v>
      </c>
      <c r="AD856" s="6">
        <f>$O$856*$X$856</f>
        <v>2275.57926</v>
      </c>
      <c r="AE856" s="6">
        <f>$K$856*$Y$856</f>
        <v>0</v>
      </c>
      <c r="AF856" s="6">
        <f ca="1">$M$856*$Z$856</f>
        <v>7702.3438678220491</v>
      </c>
      <c r="AG856" s="6">
        <f>$O$856*$AA$856</f>
        <v>2061.7696504044661</v>
      </c>
    </row>
    <row r="857" spans="1:33" ht="11.25" customHeight="1" x14ac:dyDescent="0.25">
      <c r="A857" s="4" t="s">
        <v>28</v>
      </c>
      <c r="B857" s="4" t="s">
        <v>41</v>
      </c>
      <c r="C857" s="4" t="s">
        <v>42</v>
      </c>
      <c r="D857" s="4" t="s">
        <v>43</v>
      </c>
      <c r="E857" s="4" t="s">
        <v>25</v>
      </c>
      <c r="F857" s="4" t="s">
        <v>25</v>
      </c>
      <c r="G857" s="4" t="s">
        <v>25</v>
      </c>
      <c r="H857" s="4" t="s">
        <v>34</v>
      </c>
      <c r="I857" s="5">
        <v>44652</v>
      </c>
      <c r="J857" s="6">
        <v>0</v>
      </c>
      <c r="K857" s="6">
        <v>0</v>
      </c>
      <c r="L857" s="6">
        <v>94.355999999999995</v>
      </c>
      <c r="M857" s="6">
        <v>94.355999999999995</v>
      </c>
      <c r="N857" s="6">
        <v>94.355999999999995</v>
      </c>
      <c r="O857" s="6">
        <v>94.355999999999995</v>
      </c>
      <c r="P857" s="6">
        <v>0</v>
      </c>
      <c r="Q857" s="4" t="s">
        <v>26</v>
      </c>
      <c r="R857" s="4">
        <v>0</v>
      </c>
      <c r="S857" s="6">
        <v>0</v>
      </c>
      <c r="T857" s="6">
        <v>42</v>
      </c>
      <c r="U857" s="6">
        <v>66</v>
      </c>
      <c r="V857" s="6">
        <f>IF(ISERROR(VLOOKUP($S$857,'TAR FIN'!$A$1:$O$104,15,0)),0,VLOOKUP($S$857,'TAR FIN'!$A$1:$O$104,15,0))</f>
        <v>0</v>
      </c>
      <c r="W857" s="6">
        <f>IF(ISERROR(VLOOKUP($T$857,'TAR FIN'!$A$1:$O$104,15,0)),0,VLOOKUP($T$857,'TAR FIN'!$A$1:$O$104,15,0))</f>
        <v>1330.19</v>
      </c>
      <c r="X857" s="6">
        <f>IF(ISERROR(VLOOKUP($U$857,'TAR FIN'!$A$1:$O$104,15,0)),0,VLOOKUP($U$857,'TAR FIN'!$A$1:$O$104,15,0))</f>
        <v>397.62</v>
      </c>
      <c r="Y857" s="6"/>
      <c r="Z857" s="6">
        <f ca="1">('TUSD BE'!$AM$25+'TUSD BF'!$AM$25+'TUSD CVA'!$AM$25)*1</f>
        <v>1345.857743809549</v>
      </c>
      <c r="AA857" s="6">
        <f>('TE BE'!$AB$7+'TE BF'!$AB$7+'TE CVA'!$AB$7)*1</f>
        <v>360.26029187567116</v>
      </c>
      <c r="AB857" s="6">
        <f>$K$857*$V$857</f>
        <v>0</v>
      </c>
      <c r="AC857" s="6">
        <f>$M$857*$W$857</f>
        <v>125511.40764</v>
      </c>
      <c r="AD857" s="6">
        <f>$O$857*$X$857</f>
        <v>37517.832719999999</v>
      </c>
      <c r="AE857" s="6">
        <f>$K$857*$Y$857</f>
        <v>0</v>
      </c>
      <c r="AF857" s="6">
        <f ca="1">$M$857*$Z$857</f>
        <v>126989.7532748938</v>
      </c>
      <c r="AG857" s="6">
        <f>$O$857*$AA$857</f>
        <v>33992.720100220824</v>
      </c>
    </row>
    <row r="858" spans="1:33" ht="11.25" customHeight="1" x14ac:dyDescent="0.25">
      <c r="A858" s="4" t="s">
        <v>28</v>
      </c>
      <c r="B858" s="4" t="s">
        <v>41</v>
      </c>
      <c r="C858" s="4" t="s">
        <v>42</v>
      </c>
      <c r="D858" s="4" t="s">
        <v>43</v>
      </c>
      <c r="E858" s="4" t="s">
        <v>25</v>
      </c>
      <c r="F858" s="4" t="s">
        <v>25</v>
      </c>
      <c r="G858" s="4" t="s">
        <v>25</v>
      </c>
      <c r="H858" s="4" t="s">
        <v>34</v>
      </c>
      <c r="I858" s="5">
        <v>44652</v>
      </c>
      <c r="J858" s="6">
        <v>0</v>
      </c>
      <c r="K858" s="6">
        <v>0</v>
      </c>
      <c r="L858" s="6">
        <v>-2E-3</v>
      </c>
      <c r="M858" s="6">
        <v>-2E-3</v>
      </c>
      <c r="N858" s="6">
        <v>-2E-3</v>
      </c>
      <c r="O858" s="6">
        <v>-2E-3</v>
      </c>
      <c r="P858" s="6">
        <v>0</v>
      </c>
      <c r="Q858" s="4" t="s">
        <v>26</v>
      </c>
      <c r="R858" s="4">
        <v>0</v>
      </c>
      <c r="S858" s="6">
        <v>0</v>
      </c>
      <c r="T858" s="6">
        <v>42</v>
      </c>
      <c r="U858" s="6">
        <v>66</v>
      </c>
      <c r="V858" s="6">
        <f>IF(ISERROR(VLOOKUP($S$858,'TAR FIN'!$A$1:$O$104,15,0)),0,VLOOKUP($S$858,'TAR FIN'!$A$1:$O$104,15,0))</f>
        <v>0</v>
      </c>
      <c r="W858" s="6">
        <f>IF(ISERROR(VLOOKUP($T$858,'TAR FIN'!$A$1:$O$104,15,0)),0,VLOOKUP($T$858,'TAR FIN'!$A$1:$O$104,15,0))</f>
        <v>1330.19</v>
      </c>
      <c r="X858" s="6">
        <f>IF(ISERROR(VLOOKUP($U$858,'TAR FIN'!$A$1:$O$104,15,0)),0,VLOOKUP($U$858,'TAR FIN'!$A$1:$O$104,15,0))</f>
        <v>397.62</v>
      </c>
      <c r="Y858" s="6"/>
      <c r="Z858" s="6">
        <f ca="1">('TUSD BE'!$AM$25+'TUSD BF'!$AM$25+'TUSD CVA'!$AM$25)*1</f>
        <v>1345.857743809549</v>
      </c>
      <c r="AA858" s="6">
        <f>('TE BE'!$AB$7+'TE BF'!$AB$7+'TE CVA'!$AB$7)*1</f>
        <v>360.26029187567116</v>
      </c>
      <c r="AB858" s="6">
        <f>$K$858*$V$858</f>
        <v>0</v>
      </c>
      <c r="AC858" s="6">
        <f>$M$858*$W$858</f>
        <v>-2.66038</v>
      </c>
      <c r="AD858" s="6">
        <f>$O$858*$X$858</f>
        <v>-0.79524000000000006</v>
      </c>
      <c r="AE858" s="6">
        <f>$K$858*$Y$858</f>
        <v>0</v>
      </c>
      <c r="AF858" s="6">
        <f ca="1">$M$858*$Z$858</f>
        <v>-2.6917154876190978</v>
      </c>
      <c r="AG858" s="6">
        <f>$O$858*$AA$858</f>
        <v>-0.72052058375134231</v>
      </c>
    </row>
    <row r="859" spans="1:33" ht="11.25" customHeight="1" x14ac:dyDescent="0.25">
      <c r="A859" s="4" t="s">
        <v>21</v>
      </c>
      <c r="B859" s="4" t="s">
        <v>41</v>
      </c>
      <c r="C859" s="4" t="s">
        <v>42</v>
      </c>
      <c r="D859" s="4" t="s">
        <v>43</v>
      </c>
      <c r="E859" s="4" t="s">
        <v>25</v>
      </c>
      <c r="F859" s="4" t="s">
        <v>25</v>
      </c>
      <c r="G859" s="4" t="s">
        <v>25</v>
      </c>
      <c r="H859" s="4" t="s">
        <v>34</v>
      </c>
      <c r="I859" s="5">
        <v>44682</v>
      </c>
      <c r="J859" s="6">
        <v>0</v>
      </c>
      <c r="K859" s="6">
        <v>0</v>
      </c>
      <c r="L859" s="6">
        <v>842.45500000000004</v>
      </c>
      <c r="M859" s="6">
        <v>842.45500000000004</v>
      </c>
      <c r="N859" s="6">
        <v>842.45500000000004</v>
      </c>
      <c r="O859" s="6">
        <v>842.45500000000004</v>
      </c>
      <c r="P859" s="6">
        <v>0</v>
      </c>
      <c r="Q859" s="4" t="s">
        <v>26</v>
      </c>
      <c r="R859" s="4">
        <v>0</v>
      </c>
      <c r="S859" s="6">
        <v>0</v>
      </c>
      <c r="T859" s="6">
        <v>42</v>
      </c>
      <c r="U859" s="6">
        <v>66</v>
      </c>
      <c r="V859" s="6">
        <f>IF(ISERROR(VLOOKUP($S$859,'TAR FIN'!$A$1:$O$104,15,0)),0,VLOOKUP($S$859,'TAR FIN'!$A$1:$O$104,15,0))</f>
        <v>0</v>
      </c>
      <c r="W859" s="6">
        <f>IF(ISERROR(VLOOKUP($T$859,'TAR FIN'!$A$1:$O$104,15,0)),0,VLOOKUP($T$859,'TAR FIN'!$A$1:$O$104,15,0))</f>
        <v>1330.19</v>
      </c>
      <c r="X859" s="6">
        <f>IF(ISERROR(VLOOKUP($U$859,'TAR FIN'!$A$1:$O$104,15,0)),0,VLOOKUP($U$859,'TAR FIN'!$A$1:$O$104,15,0))</f>
        <v>397.62</v>
      </c>
      <c r="Y859" s="6"/>
      <c r="Z859" s="6">
        <f ca="1">('TUSD BE'!$AM$25+'TUSD BF'!$AM$25+'TUSD CVA'!$AM$25)*1</f>
        <v>1345.857743809549</v>
      </c>
      <c r="AA859" s="6">
        <f>('TE BE'!$AB$7+'TE BF'!$AB$7+'TE CVA'!$AB$7)*1</f>
        <v>360.26029187567116</v>
      </c>
      <c r="AB859" s="6">
        <f>$K$859*$V$859</f>
        <v>0</v>
      </c>
      <c r="AC859" s="6">
        <f>$M$859*$W$859</f>
        <v>1120625.2164500002</v>
      </c>
      <c r="AD859" s="6">
        <f>$O$859*$X$859</f>
        <v>334976.9571</v>
      </c>
      <c r="AE859" s="6">
        <f>$K$859*$Y$859</f>
        <v>0</v>
      </c>
      <c r="AF859" s="6">
        <f ca="1">$M$859*$Z$859</f>
        <v>1133824.5855610736</v>
      </c>
      <c r="AG859" s="6">
        <f>$O$859*$AA$859</f>
        <v>303503.08419211855</v>
      </c>
    </row>
    <row r="860" spans="1:33" ht="11.25" customHeight="1" x14ac:dyDescent="0.25">
      <c r="A860" s="4" t="s">
        <v>27</v>
      </c>
      <c r="B860" s="4" t="s">
        <v>41</v>
      </c>
      <c r="C860" s="4" t="s">
        <v>42</v>
      </c>
      <c r="D860" s="4" t="s">
        <v>43</v>
      </c>
      <c r="E860" s="4" t="s">
        <v>25</v>
      </c>
      <c r="F860" s="4" t="s">
        <v>25</v>
      </c>
      <c r="G860" s="4" t="s">
        <v>25</v>
      </c>
      <c r="H860" s="4" t="s">
        <v>34</v>
      </c>
      <c r="I860" s="5">
        <v>44682</v>
      </c>
      <c r="J860" s="6">
        <v>0</v>
      </c>
      <c r="K860" s="6">
        <v>0</v>
      </c>
      <c r="L860" s="6">
        <v>-0.13200000000000001</v>
      </c>
      <c r="M860" s="6">
        <v>-0.13200000000000001</v>
      </c>
      <c r="N860" s="6">
        <v>-0.13200000000000001</v>
      </c>
      <c r="O860" s="6">
        <v>-0.13200000000000001</v>
      </c>
      <c r="P860" s="6">
        <v>0</v>
      </c>
      <c r="Q860" s="4" t="s">
        <v>26</v>
      </c>
      <c r="R860" s="4">
        <v>0</v>
      </c>
      <c r="S860" s="6">
        <v>0</v>
      </c>
      <c r="T860" s="6">
        <v>42</v>
      </c>
      <c r="U860" s="6">
        <v>66</v>
      </c>
      <c r="V860" s="6">
        <f>IF(ISERROR(VLOOKUP($S$860,'TAR FIN'!$A$1:$O$104,15,0)),0,VLOOKUP($S$860,'TAR FIN'!$A$1:$O$104,15,0))</f>
        <v>0</v>
      </c>
      <c r="W860" s="6">
        <f>IF(ISERROR(VLOOKUP($T$860,'TAR FIN'!$A$1:$O$104,15,0)),0,VLOOKUP($T$860,'TAR FIN'!$A$1:$O$104,15,0))</f>
        <v>1330.19</v>
      </c>
      <c r="X860" s="6">
        <f>IF(ISERROR(VLOOKUP($U$860,'TAR FIN'!$A$1:$O$104,15,0)),0,VLOOKUP($U$860,'TAR FIN'!$A$1:$O$104,15,0))</f>
        <v>397.62</v>
      </c>
      <c r="Y860" s="6"/>
      <c r="Z860" s="6">
        <f ca="1">('TUSD BE'!$AM$25+'TUSD BF'!$AM$25+'TUSD CVA'!$AM$25)*1</f>
        <v>1345.857743809549</v>
      </c>
      <c r="AA860" s="6">
        <f>('TE BE'!$AB$7+'TE BF'!$AB$7+'TE CVA'!$AB$7)*1</f>
        <v>360.26029187567116</v>
      </c>
      <c r="AB860" s="6">
        <f>$K$860*$V$860</f>
        <v>0</v>
      </c>
      <c r="AC860" s="6">
        <f>$M$860*$W$860</f>
        <v>-175.58508</v>
      </c>
      <c r="AD860" s="6">
        <f>$O$860*$X$860</f>
        <v>-52.485840000000003</v>
      </c>
      <c r="AE860" s="6">
        <f>$K$860*$Y$860</f>
        <v>0</v>
      </c>
      <c r="AF860" s="6">
        <f ca="1">$M$860*$Z$860</f>
        <v>-177.65322218286047</v>
      </c>
      <c r="AG860" s="6">
        <f>$O$860*$AA$860</f>
        <v>-47.554358527588597</v>
      </c>
    </row>
    <row r="861" spans="1:33" ht="11.25" customHeight="1" x14ac:dyDescent="0.25">
      <c r="A861" s="4" t="s">
        <v>28</v>
      </c>
      <c r="B861" s="4" t="s">
        <v>41</v>
      </c>
      <c r="C861" s="4" t="s">
        <v>42</v>
      </c>
      <c r="D861" s="4" t="s">
        <v>43</v>
      </c>
      <c r="E861" s="4" t="s">
        <v>25</v>
      </c>
      <c r="F861" s="4" t="s">
        <v>25</v>
      </c>
      <c r="G861" s="4" t="s">
        <v>25</v>
      </c>
      <c r="H861" s="4" t="s">
        <v>34</v>
      </c>
      <c r="I861" s="5">
        <v>44682</v>
      </c>
      <c r="J861" s="6">
        <v>0</v>
      </c>
      <c r="K861" s="6">
        <v>0</v>
      </c>
      <c r="L861" s="6">
        <v>112.30200000000001</v>
      </c>
      <c r="M861" s="6">
        <v>112.30200000000001</v>
      </c>
      <c r="N861" s="6">
        <v>112.30200000000001</v>
      </c>
      <c r="O861" s="6">
        <v>112.30200000000001</v>
      </c>
      <c r="P861" s="6">
        <v>0</v>
      </c>
      <c r="Q861" s="4" t="s">
        <v>26</v>
      </c>
      <c r="R861" s="4">
        <v>0</v>
      </c>
      <c r="S861" s="6">
        <v>0</v>
      </c>
      <c r="T861" s="6">
        <v>42</v>
      </c>
      <c r="U861" s="6">
        <v>66</v>
      </c>
      <c r="V861" s="6">
        <f>IF(ISERROR(VLOOKUP($S$861,'TAR FIN'!$A$1:$O$104,15,0)),0,VLOOKUP($S$861,'TAR FIN'!$A$1:$O$104,15,0))</f>
        <v>0</v>
      </c>
      <c r="W861" s="6">
        <f>IF(ISERROR(VLOOKUP($T$861,'TAR FIN'!$A$1:$O$104,15,0)),0,VLOOKUP($T$861,'TAR FIN'!$A$1:$O$104,15,0))</f>
        <v>1330.19</v>
      </c>
      <c r="X861" s="6">
        <f>IF(ISERROR(VLOOKUP($U$861,'TAR FIN'!$A$1:$O$104,15,0)),0,VLOOKUP($U$861,'TAR FIN'!$A$1:$O$104,15,0))</f>
        <v>397.62</v>
      </c>
      <c r="Y861" s="6"/>
      <c r="Z861" s="6">
        <f ca="1">('TUSD BE'!$AM$25+'TUSD BF'!$AM$25+'TUSD CVA'!$AM$25)*1</f>
        <v>1345.857743809549</v>
      </c>
      <c r="AA861" s="6">
        <f>('TE BE'!$AB$7+'TE BF'!$AB$7+'TE CVA'!$AB$7)*1</f>
        <v>360.26029187567116</v>
      </c>
      <c r="AB861" s="6">
        <f>$K$861*$V$861</f>
        <v>0</v>
      </c>
      <c r="AC861" s="6">
        <f>$M$861*$W$861</f>
        <v>149382.99738000002</v>
      </c>
      <c r="AD861" s="6">
        <f>$O$861*$X$861</f>
        <v>44653.521240000002</v>
      </c>
      <c r="AE861" s="6">
        <f>$K$861*$Y$861</f>
        <v>0</v>
      </c>
      <c r="AF861" s="6">
        <f ca="1">$M$861*$Z$861</f>
        <v>151142.51634529998</v>
      </c>
      <c r="AG861" s="6">
        <f>$O$861*$AA$861</f>
        <v>40457.951298221626</v>
      </c>
    </row>
    <row r="862" spans="1:33" ht="11.25" customHeight="1" x14ac:dyDescent="0.25">
      <c r="A862" s="4" t="s">
        <v>21</v>
      </c>
      <c r="B862" s="4" t="s">
        <v>41</v>
      </c>
      <c r="C862" s="4" t="s">
        <v>42</v>
      </c>
      <c r="D862" s="4" t="s">
        <v>43</v>
      </c>
      <c r="E862" s="4" t="s">
        <v>25</v>
      </c>
      <c r="F862" s="4" t="s">
        <v>25</v>
      </c>
      <c r="G862" s="4" t="s">
        <v>25</v>
      </c>
      <c r="H862" s="4" t="s">
        <v>34</v>
      </c>
      <c r="I862" s="5">
        <v>44713</v>
      </c>
      <c r="J862" s="6">
        <v>0</v>
      </c>
      <c r="K862" s="6">
        <v>0</v>
      </c>
      <c r="L862" s="6">
        <v>838.82299999999998</v>
      </c>
      <c r="M862" s="6">
        <v>838.82299999999998</v>
      </c>
      <c r="N862" s="6">
        <v>838.82299999999998</v>
      </c>
      <c r="O862" s="6">
        <v>838.82299999999998</v>
      </c>
      <c r="P862" s="6">
        <v>0</v>
      </c>
      <c r="Q862" s="4" t="s">
        <v>26</v>
      </c>
      <c r="R862" s="4">
        <v>0</v>
      </c>
      <c r="S862" s="6">
        <v>0</v>
      </c>
      <c r="T862" s="6">
        <v>42</v>
      </c>
      <c r="U862" s="6">
        <v>66</v>
      </c>
      <c r="V862" s="6">
        <f>IF(ISERROR(VLOOKUP($S$862,'TAR FIN'!$A$1:$O$104,15,0)),0,VLOOKUP($S$862,'TAR FIN'!$A$1:$O$104,15,0))</f>
        <v>0</v>
      </c>
      <c r="W862" s="6">
        <f>IF(ISERROR(VLOOKUP($T$862,'TAR FIN'!$A$1:$O$104,15,0)),0,VLOOKUP($T$862,'TAR FIN'!$A$1:$O$104,15,0))</f>
        <v>1330.19</v>
      </c>
      <c r="X862" s="6">
        <f>IF(ISERROR(VLOOKUP($U$862,'TAR FIN'!$A$1:$O$104,15,0)),0,VLOOKUP($U$862,'TAR FIN'!$A$1:$O$104,15,0))</f>
        <v>397.62</v>
      </c>
      <c r="Y862" s="6"/>
      <c r="Z862" s="6">
        <f ca="1">('TUSD BE'!$AM$25+'TUSD BF'!$AM$25+'TUSD CVA'!$AM$25)*1</f>
        <v>1345.857743809549</v>
      </c>
      <c r="AA862" s="6">
        <f>('TE BE'!$AB$7+'TE BF'!$AB$7+'TE CVA'!$AB$7)*1</f>
        <v>360.26029187567116</v>
      </c>
      <c r="AB862" s="6">
        <f>$K$862*$V$862</f>
        <v>0</v>
      </c>
      <c r="AC862" s="6">
        <f>$M$862*$W$862</f>
        <v>1115793.96637</v>
      </c>
      <c r="AD862" s="6">
        <f>$O$862*$X$862</f>
        <v>333532.80125999998</v>
      </c>
      <c r="AE862" s="6">
        <f>$K$862*$Y$862</f>
        <v>0</v>
      </c>
      <c r="AF862" s="6">
        <f ca="1">$M$862*$Z$862</f>
        <v>1128936.4302355573</v>
      </c>
      <c r="AG862" s="6">
        <f>$O$862*$AA$862</f>
        <v>302194.61881202611</v>
      </c>
    </row>
    <row r="863" spans="1:33" ht="11.25" customHeight="1" x14ac:dyDescent="0.25">
      <c r="A863" s="4" t="s">
        <v>27</v>
      </c>
      <c r="B863" s="4" t="s">
        <v>41</v>
      </c>
      <c r="C863" s="4" t="s">
        <v>42</v>
      </c>
      <c r="D863" s="4" t="s">
        <v>43</v>
      </c>
      <c r="E863" s="4" t="s">
        <v>25</v>
      </c>
      <c r="F863" s="4" t="s">
        <v>25</v>
      </c>
      <c r="G863" s="4" t="s">
        <v>25</v>
      </c>
      <c r="H863" s="4" t="s">
        <v>34</v>
      </c>
      <c r="I863" s="5">
        <v>44713</v>
      </c>
      <c r="J863" s="6">
        <v>0</v>
      </c>
      <c r="K863" s="6">
        <v>0</v>
      </c>
      <c r="L863" s="6">
        <v>0.38600000000000001</v>
      </c>
      <c r="M863" s="6">
        <v>0.38600000000000001</v>
      </c>
      <c r="N863" s="6">
        <v>0.38600000000000001</v>
      </c>
      <c r="O863" s="6">
        <v>0.38600000000000001</v>
      </c>
      <c r="P863" s="6">
        <v>0</v>
      </c>
      <c r="Q863" s="4" t="s">
        <v>26</v>
      </c>
      <c r="R863" s="4">
        <v>0</v>
      </c>
      <c r="S863" s="6">
        <v>0</v>
      </c>
      <c r="T863" s="6">
        <v>42</v>
      </c>
      <c r="U863" s="6">
        <v>66</v>
      </c>
      <c r="V863" s="6">
        <f>IF(ISERROR(VLOOKUP($S$863,'TAR FIN'!$A$1:$O$104,15,0)),0,VLOOKUP($S$863,'TAR FIN'!$A$1:$O$104,15,0))</f>
        <v>0</v>
      </c>
      <c r="W863" s="6">
        <f>IF(ISERROR(VLOOKUP($T$863,'TAR FIN'!$A$1:$O$104,15,0)),0,VLOOKUP($T$863,'TAR FIN'!$A$1:$O$104,15,0))</f>
        <v>1330.19</v>
      </c>
      <c r="X863" s="6">
        <f>IF(ISERROR(VLOOKUP($U$863,'TAR FIN'!$A$1:$O$104,15,0)),0,VLOOKUP($U$863,'TAR FIN'!$A$1:$O$104,15,0))</f>
        <v>397.62</v>
      </c>
      <c r="Y863" s="6"/>
      <c r="Z863" s="6">
        <f ca="1">('TUSD BE'!$AM$25+'TUSD BF'!$AM$25+'TUSD CVA'!$AM$25)*1</f>
        <v>1345.857743809549</v>
      </c>
      <c r="AA863" s="6">
        <f>('TE BE'!$AB$7+'TE BF'!$AB$7+'TE CVA'!$AB$7)*1</f>
        <v>360.26029187567116</v>
      </c>
      <c r="AB863" s="6">
        <f>$K$863*$V$863</f>
        <v>0</v>
      </c>
      <c r="AC863" s="6">
        <f>$M$863*$W$863</f>
        <v>513.45334000000003</v>
      </c>
      <c r="AD863" s="6">
        <f>$O$863*$X$863</f>
        <v>153.48132000000001</v>
      </c>
      <c r="AE863" s="6">
        <f>$K$863*$Y$863</f>
        <v>0</v>
      </c>
      <c r="AF863" s="6">
        <f ca="1">$M$863*$Z$863</f>
        <v>519.50108911048596</v>
      </c>
      <c r="AG863" s="6">
        <f>$O$863*$AA$863</f>
        <v>139.06047266400907</v>
      </c>
    </row>
    <row r="864" spans="1:33" ht="11.25" customHeight="1" x14ac:dyDescent="0.25">
      <c r="A864" s="4" t="s">
        <v>28</v>
      </c>
      <c r="B864" s="4" t="s">
        <v>41</v>
      </c>
      <c r="C864" s="4" t="s">
        <v>42</v>
      </c>
      <c r="D864" s="4" t="s">
        <v>43</v>
      </c>
      <c r="E864" s="4" t="s">
        <v>25</v>
      </c>
      <c r="F864" s="4" t="s">
        <v>25</v>
      </c>
      <c r="G864" s="4" t="s">
        <v>25</v>
      </c>
      <c r="H864" s="4" t="s">
        <v>34</v>
      </c>
      <c r="I864" s="5">
        <v>44713</v>
      </c>
      <c r="J864" s="6">
        <v>0</v>
      </c>
      <c r="K864" s="6">
        <v>0</v>
      </c>
      <c r="L864" s="6">
        <v>98.320999999999998</v>
      </c>
      <c r="M864" s="6">
        <v>98.320999999999998</v>
      </c>
      <c r="N864" s="6">
        <v>98.320999999999998</v>
      </c>
      <c r="O864" s="6">
        <v>98.320999999999998</v>
      </c>
      <c r="P864" s="6">
        <v>0</v>
      </c>
      <c r="Q864" s="4" t="s">
        <v>26</v>
      </c>
      <c r="R864" s="4">
        <v>0</v>
      </c>
      <c r="S864" s="6">
        <v>0</v>
      </c>
      <c r="T864" s="6">
        <v>42</v>
      </c>
      <c r="U864" s="6">
        <v>66</v>
      </c>
      <c r="V864" s="6">
        <f>IF(ISERROR(VLOOKUP($S$864,'TAR FIN'!$A$1:$O$104,15,0)),0,VLOOKUP($S$864,'TAR FIN'!$A$1:$O$104,15,0))</f>
        <v>0</v>
      </c>
      <c r="W864" s="6">
        <f>IF(ISERROR(VLOOKUP($T$864,'TAR FIN'!$A$1:$O$104,15,0)),0,VLOOKUP($T$864,'TAR FIN'!$A$1:$O$104,15,0))</f>
        <v>1330.19</v>
      </c>
      <c r="X864" s="6">
        <f>IF(ISERROR(VLOOKUP($U$864,'TAR FIN'!$A$1:$O$104,15,0)),0,VLOOKUP($U$864,'TAR FIN'!$A$1:$O$104,15,0))</f>
        <v>397.62</v>
      </c>
      <c r="Y864" s="6"/>
      <c r="Z864" s="6">
        <f ca="1">('TUSD BE'!$AM$25+'TUSD BF'!$AM$25+'TUSD CVA'!$AM$25)*1</f>
        <v>1345.857743809549</v>
      </c>
      <c r="AA864" s="6">
        <f>('TE BE'!$AB$7+'TE BF'!$AB$7+'TE CVA'!$AB$7)*1</f>
        <v>360.26029187567116</v>
      </c>
      <c r="AB864" s="6">
        <f>$K$864*$V$864</f>
        <v>0</v>
      </c>
      <c r="AC864" s="6">
        <f>$M$864*$W$864</f>
        <v>130785.61099</v>
      </c>
      <c r="AD864" s="6">
        <f>$O$864*$X$864</f>
        <v>39094.39602</v>
      </c>
      <c r="AE864" s="6">
        <f>$K$864*$Y$864</f>
        <v>0</v>
      </c>
      <c r="AF864" s="6">
        <f ca="1">$M$864*$Z$864</f>
        <v>132326.07922909866</v>
      </c>
      <c r="AG864" s="6">
        <f>$O$864*$AA$864</f>
        <v>35421.152157507866</v>
      </c>
    </row>
    <row r="865" spans="1:33" ht="11.25" customHeight="1" x14ac:dyDescent="0.25">
      <c r="A865" s="4" t="s">
        <v>28</v>
      </c>
      <c r="B865" s="4" t="s">
        <v>41</v>
      </c>
      <c r="C865" s="4" t="s">
        <v>42</v>
      </c>
      <c r="D865" s="4" t="s">
        <v>43</v>
      </c>
      <c r="E865" s="4" t="s">
        <v>25</v>
      </c>
      <c r="F865" s="4" t="s">
        <v>25</v>
      </c>
      <c r="G865" s="4" t="s">
        <v>25</v>
      </c>
      <c r="H865" s="4" t="s">
        <v>34</v>
      </c>
      <c r="I865" s="5">
        <v>44713</v>
      </c>
      <c r="J865" s="6">
        <v>0</v>
      </c>
      <c r="K865" s="6">
        <v>0</v>
      </c>
      <c r="L865" s="6">
        <v>-0.50600000000000001</v>
      </c>
      <c r="M865" s="6">
        <v>-0.50600000000000001</v>
      </c>
      <c r="N865" s="6">
        <v>-0.50600000000000001</v>
      </c>
      <c r="O865" s="6">
        <v>-0.50600000000000001</v>
      </c>
      <c r="P865" s="6">
        <v>0</v>
      </c>
      <c r="Q865" s="4" t="s">
        <v>26</v>
      </c>
      <c r="R865" s="4">
        <v>0</v>
      </c>
      <c r="S865" s="6">
        <v>0</v>
      </c>
      <c r="T865" s="6">
        <v>42</v>
      </c>
      <c r="U865" s="6">
        <v>66</v>
      </c>
      <c r="V865" s="6">
        <f>IF(ISERROR(VLOOKUP($S$865,'TAR FIN'!$A$1:$O$104,15,0)),0,VLOOKUP($S$865,'TAR FIN'!$A$1:$O$104,15,0))</f>
        <v>0</v>
      </c>
      <c r="W865" s="6">
        <f>IF(ISERROR(VLOOKUP($T$865,'TAR FIN'!$A$1:$O$104,15,0)),0,VLOOKUP($T$865,'TAR FIN'!$A$1:$O$104,15,0))</f>
        <v>1330.19</v>
      </c>
      <c r="X865" s="6">
        <f>IF(ISERROR(VLOOKUP($U$865,'TAR FIN'!$A$1:$O$104,15,0)),0,VLOOKUP($U$865,'TAR FIN'!$A$1:$O$104,15,0))</f>
        <v>397.62</v>
      </c>
      <c r="Y865" s="6"/>
      <c r="Z865" s="6">
        <f ca="1">('TUSD BE'!$AM$25+'TUSD BF'!$AM$25+'TUSD CVA'!$AM$25)*1</f>
        <v>1345.857743809549</v>
      </c>
      <c r="AA865" s="6">
        <f>('TE BE'!$AB$7+'TE BF'!$AB$7+'TE CVA'!$AB$7)*1</f>
        <v>360.26029187567116</v>
      </c>
      <c r="AB865" s="6">
        <f>$K$865*$V$865</f>
        <v>0</v>
      </c>
      <c r="AC865" s="6">
        <f>$M$865*$W$865</f>
        <v>-673.07614000000001</v>
      </c>
      <c r="AD865" s="6">
        <f>$O$865*$X$865</f>
        <v>-201.19571999999999</v>
      </c>
      <c r="AE865" s="6">
        <f>$K$865*$Y$865</f>
        <v>0</v>
      </c>
      <c r="AF865" s="6">
        <f ca="1">$M$865*$Z$865</f>
        <v>-681.00401836763183</v>
      </c>
      <c r="AG865" s="6">
        <f>$O$865*$AA$865</f>
        <v>-182.29170768908961</v>
      </c>
    </row>
    <row r="866" spans="1:33" ht="11.25" customHeight="1" x14ac:dyDescent="0.25">
      <c r="A866" s="4" t="s">
        <v>57</v>
      </c>
      <c r="B866" s="4" t="s">
        <v>41</v>
      </c>
      <c r="C866" s="4" t="s">
        <v>42</v>
      </c>
      <c r="D866" s="4" t="s">
        <v>43</v>
      </c>
      <c r="E866" s="4" t="s">
        <v>25</v>
      </c>
      <c r="F866" s="4" t="s">
        <v>25</v>
      </c>
      <c r="G866" s="4" t="s">
        <v>25</v>
      </c>
      <c r="H866" s="4" t="s">
        <v>34</v>
      </c>
      <c r="I866" s="5">
        <v>44743</v>
      </c>
      <c r="J866" s="6">
        <v>0</v>
      </c>
      <c r="K866" s="6">
        <v>0</v>
      </c>
      <c r="L866" s="6">
        <v>838.82299999999998</v>
      </c>
      <c r="M866" s="6">
        <v>838.82299999999998</v>
      </c>
      <c r="N866" s="6">
        <v>838.82299999999998</v>
      </c>
      <c r="O866" s="6">
        <v>838.82299999999998</v>
      </c>
      <c r="P866" s="6">
        <v>0</v>
      </c>
      <c r="Q866" s="4" t="s">
        <v>26</v>
      </c>
      <c r="R866" s="4">
        <v>0</v>
      </c>
      <c r="S866" s="6">
        <v>0</v>
      </c>
      <c r="T866" s="6">
        <v>42</v>
      </c>
      <c r="U866" s="6">
        <v>66</v>
      </c>
      <c r="V866" s="6">
        <f>IF(ISERROR(VLOOKUP($S$866,'TAR FIN'!$A$1:$O$104,15,0)),0,VLOOKUP($S$866,'TAR FIN'!$A$1:$O$104,15,0))</f>
        <v>0</v>
      </c>
      <c r="W866" s="6">
        <f>IF(ISERROR(VLOOKUP($T$866,'TAR FIN'!$A$1:$O$104,15,0)),0,VLOOKUP($T$866,'TAR FIN'!$A$1:$O$104,15,0))</f>
        <v>1330.19</v>
      </c>
      <c r="X866" s="6">
        <f>IF(ISERROR(VLOOKUP($U$866,'TAR FIN'!$A$1:$O$104,15,0)),0,VLOOKUP($U$866,'TAR FIN'!$A$1:$O$104,15,0))</f>
        <v>397.62</v>
      </c>
      <c r="Y866" s="6"/>
      <c r="Z866" s="6">
        <f ca="1">('TUSD BE'!$AM$25+'TUSD BF'!$AM$25+'TUSD CVA'!$AM$25)*1</f>
        <v>1345.857743809549</v>
      </c>
      <c r="AA866" s="6">
        <f>('TE BE'!$AB$7+'TE BF'!$AB$7+'TE CVA'!$AB$7)*1</f>
        <v>360.26029187567116</v>
      </c>
      <c r="AB866" s="6">
        <f>$K$866*$V$866</f>
        <v>0</v>
      </c>
      <c r="AC866" s="6">
        <f>$M$866*$W$866</f>
        <v>1115793.96637</v>
      </c>
      <c r="AD866" s="6">
        <f>$O$866*$X$866</f>
        <v>333532.80125999998</v>
      </c>
      <c r="AE866" s="6">
        <f>$K$866*$Y$866</f>
        <v>0</v>
      </c>
      <c r="AF866" s="6">
        <f ca="1">$M$866*$Z$866</f>
        <v>1128936.4302355573</v>
      </c>
      <c r="AG866" s="6">
        <f>$O$866*$AA$866</f>
        <v>302194.61881202611</v>
      </c>
    </row>
    <row r="867" spans="1:33" ht="11.25" customHeight="1" x14ac:dyDescent="0.25">
      <c r="A867" s="4" t="s">
        <v>57</v>
      </c>
      <c r="B867" s="4" t="s">
        <v>41</v>
      </c>
      <c r="C867" s="4" t="s">
        <v>42</v>
      </c>
      <c r="D867" s="4" t="s">
        <v>43</v>
      </c>
      <c r="E867" s="4" t="s">
        <v>25</v>
      </c>
      <c r="F867" s="4" t="s">
        <v>25</v>
      </c>
      <c r="G867" s="4" t="s">
        <v>25</v>
      </c>
      <c r="H867" s="4" t="s">
        <v>34</v>
      </c>
      <c r="I867" s="5">
        <v>44743</v>
      </c>
      <c r="J867" s="6">
        <v>0</v>
      </c>
      <c r="K867" s="6">
        <v>0</v>
      </c>
      <c r="L867" s="6">
        <v>0.38600000000000001</v>
      </c>
      <c r="M867" s="6">
        <v>0.38600000000000001</v>
      </c>
      <c r="N867" s="6">
        <v>0.38600000000000001</v>
      </c>
      <c r="O867" s="6">
        <v>0.38600000000000001</v>
      </c>
      <c r="P867" s="6">
        <v>0</v>
      </c>
      <c r="Q867" s="4" t="s">
        <v>26</v>
      </c>
      <c r="R867" s="4">
        <v>0</v>
      </c>
      <c r="S867" s="6">
        <v>0</v>
      </c>
      <c r="T867" s="6">
        <v>42</v>
      </c>
      <c r="U867" s="6">
        <v>66</v>
      </c>
      <c r="V867" s="6">
        <f>IF(ISERROR(VLOOKUP($S$867,'TAR FIN'!$A$1:$O$104,15,0)),0,VLOOKUP($S$867,'TAR FIN'!$A$1:$O$104,15,0))</f>
        <v>0</v>
      </c>
      <c r="W867" s="6">
        <f>IF(ISERROR(VLOOKUP($T$867,'TAR FIN'!$A$1:$O$104,15,0)),0,VLOOKUP($T$867,'TAR FIN'!$A$1:$O$104,15,0))</f>
        <v>1330.19</v>
      </c>
      <c r="X867" s="6">
        <f>IF(ISERROR(VLOOKUP($U$867,'TAR FIN'!$A$1:$O$104,15,0)),0,VLOOKUP($U$867,'TAR FIN'!$A$1:$O$104,15,0))</f>
        <v>397.62</v>
      </c>
      <c r="Y867" s="6"/>
      <c r="Z867" s="6">
        <f ca="1">('TUSD BE'!$AM$25+'TUSD BF'!$AM$25+'TUSD CVA'!$AM$25)*1</f>
        <v>1345.857743809549</v>
      </c>
      <c r="AA867" s="6">
        <f>('TE BE'!$AB$7+'TE BF'!$AB$7+'TE CVA'!$AB$7)*1</f>
        <v>360.26029187567116</v>
      </c>
      <c r="AB867" s="6">
        <f>$K$867*$V$867</f>
        <v>0</v>
      </c>
      <c r="AC867" s="6">
        <f>$M$867*$W$867</f>
        <v>513.45334000000003</v>
      </c>
      <c r="AD867" s="6">
        <f>$O$867*$X$867</f>
        <v>153.48132000000001</v>
      </c>
      <c r="AE867" s="6">
        <f>$K$867*$Y$867</f>
        <v>0</v>
      </c>
      <c r="AF867" s="6">
        <f ca="1">$M$867*$Z$867</f>
        <v>519.50108911048596</v>
      </c>
      <c r="AG867" s="6">
        <f>$O$867*$AA$867</f>
        <v>139.06047266400907</v>
      </c>
    </row>
    <row r="868" spans="1:33" ht="11.25" customHeight="1" x14ac:dyDescent="0.25">
      <c r="A868" s="4" t="s">
        <v>57</v>
      </c>
      <c r="B868" s="4" t="s">
        <v>41</v>
      </c>
      <c r="C868" s="4" t="s">
        <v>42</v>
      </c>
      <c r="D868" s="4" t="s">
        <v>43</v>
      </c>
      <c r="E868" s="4" t="s">
        <v>25</v>
      </c>
      <c r="F868" s="4" t="s">
        <v>25</v>
      </c>
      <c r="G868" s="4" t="s">
        <v>25</v>
      </c>
      <c r="H868" s="4" t="s">
        <v>34</v>
      </c>
      <c r="I868" s="5">
        <v>44743</v>
      </c>
      <c r="J868" s="6">
        <v>0</v>
      </c>
      <c r="K868" s="6">
        <v>0</v>
      </c>
      <c r="L868" s="6">
        <v>98.320999999999998</v>
      </c>
      <c r="M868" s="6">
        <v>98.320999999999998</v>
      </c>
      <c r="N868" s="6">
        <v>98.320999999999998</v>
      </c>
      <c r="O868" s="6">
        <v>98.320999999999998</v>
      </c>
      <c r="P868" s="6">
        <v>0</v>
      </c>
      <c r="Q868" s="4" t="s">
        <v>26</v>
      </c>
      <c r="R868" s="4">
        <v>0</v>
      </c>
      <c r="S868" s="6">
        <v>0</v>
      </c>
      <c r="T868" s="6">
        <v>42</v>
      </c>
      <c r="U868" s="6">
        <v>66</v>
      </c>
      <c r="V868" s="6">
        <f>IF(ISERROR(VLOOKUP($S$868,'TAR FIN'!$A$1:$O$104,15,0)),0,VLOOKUP($S$868,'TAR FIN'!$A$1:$O$104,15,0))</f>
        <v>0</v>
      </c>
      <c r="W868" s="6">
        <f>IF(ISERROR(VLOOKUP($T$868,'TAR FIN'!$A$1:$O$104,15,0)),0,VLOOKUP($T$868,'TAR FIN'!$A$1:$O$104,15,0))</f>
        <v>1330.19</v>
      </c>
      <c r="X868" s="6">
        <f>IF(ISERROR(VLOOKUP($U$868,'TAR FIN'!$A$1:$O$104,15,0)),0,VLOOKUP($U$868,'TAR FIN'!$A$1:$O$104,15,0))</f>
        <v>397.62</v>
      </c>
      <c r="Y868" s="6"/>
      <c r="Z868" s="6">
        <f ca="1">('TUSD BE'!$AM$25+'TUSD BF'!$AM$25+'TUSD CVA'!$AM$25)*1</f>
        <v>1345.857743809549</v>
      </c>
      <c r="AA868" s="6">
        <f>('TE BE'!$AB$7+'TE BF'!$AB$7+'TE CVA'!$AB$7)*1</f>
        <v>360.26029187567116</v>
      </c>
      <c r="AB868" s="6">
        <f>$K$868*$V$868</f>
        <v>0</v>
      </c>
      <c r="AC868" s="6">
        <f>$M$868*$W$868</f>
        <v>130785.61099</v>
      </c>
      <c r="AD868" s="6">
        <f>$O$868*$X$868</f>
        <v>39094.39602</v>
      </c>
      <c r="AE868" s="6">
        <f>$K$868*$Y$868</f>
        <v>0</v>
      </c>
      <c r="AF868" s="6">
        <f ca="1">$M$868*$Z$868</f>
        <v>132326.07922909866</v>
      </c>
      <c r="AG868" s="6">
        <f>$O$868*$AA$868</f>
        <v>35421.152157507866</v>
      </c>
    </row>
    <row r="869" spans="1:33" ht="11.25" customHeight="1" x14ac:dyDescent="0.25">
      <c r="A869" s="4" t="s">
        <v>57</v>
      </c>
      <c r="B869" s="4" t="s">
        <v>41</v>
      </c>
      <c r="C869" s="4" t="s">
        <v>42</v>
      </c>
      <c r="D869" s="4" t="s">
        <v>43</v>
      </c>
      <c r="E869" s="4" t="s">
        <v>25</v>
      </c>
      <c r="F869" s="4" t="s">
        <v>25</v>
      </c>
      <c r="G869" s="4" t="s">
        <v>25</v>
      </c>
      <c r="H869" s="4" t="s">
        <v>34</v>
      </c>
      <c r="I869" s="5">
        <v>44743</v>
      </c>
      <c r="J869" s="6">
        <v>0</v>
      </c>
      <c r="K869" s="6">
        <v>0</v>
      </c>
      <c r="L869" s="6">
        <v>-0.50600000000000001</v>
      </c>
      <c r="M869" s="6">
        <v>-0.50600000000000001</v>
      </c>
      <c r="N869" s="6">
        <v>-0.50600000000000001</v>
      </c>
      <c r="O869" s="6">
        <v>-0.50600000000000001</v>
      </c>
      <c r="P869" s="6">
        <v>0</v>
      </c>
      <c r="Q869" s="4" t="s">
        <v>26</v>
      </c>
      <c r="R869" s="4">
        <v>0</v>
      </c>
      <c r="S869" s="6">
        <v>0</v>
      </c>
      <c r="T869" s="6">
        <v>42</v>
      </c>
      <c r="U869" s="6">
        <v>66</v>
      </c>
      <c r="V869" s="6">
        <f>IF(ISERROR(VLOOKUP($S$869,'TAR FIN'!$A$1:$O$104,15,0)),0,VLOOKUP($S$869,'TAR FIN'!$A$1:$O$104,15,0))</f>
        <v>0</v>
      </c>
      <c r="W869" s="6">
        <f>IF(ISERROR(VLOOKUP($T$869,'TAR FIN'!$A$1:$O$104,15,0)),0,VLOOKUP($T$869,'TAR FIN'!$A$1:$O$104,15,0))</f>
        <v>1330.19</v>
      </c>
      <c r="X869" s="6">
        <f>IF(ISERROR(VLOOKUP($U$869,'TAR FIN'!$A$1:$O$104,15,0)),0,VLOOKUP($U$869,'TAR FIN'!$A$1:$O$104,15,0))</f>
        <v>397.62</v>
      </c>
      <c r="Y869" s="6"/>
      <c r="Z869" s="6">
        <f ca="1">('TUSD BE'!$AM$25+'TUSD BF'!$AM$25+'TUSD CVA'!$AM$25)*1</f>
        <v>1345.857743809549</v>
      </c>
      <c r="AA869" s="6">
        <f>('TE BE'!$AB$7+'TE BF'!$AB$7+'TE CVA'!$AB$7)*1</f>
        <v>360.26029187567116</v>
      </c>
      <c r="AB869" s="6">
        <f>$K$869*$V$869</f>
        <v>0</v>
      </c>
      <c r="AC869" s="6">
        <f>$M$869*$W$869</f>
        <v>-673.07614000000001</v>
      </c>
      <c r="AD869" s="6">
        <f>$O$869*$X$869</f>
        <v>-201.19571999999999</v>
      </c>
      <c r="AE869" s="6">
        <f>$K$869*$Y$869</f>
        <v>0</v>
      </c>
      <c r="AF869" s="6">
        <f ca="1">$M$869*$Z$869</f>
        <v>-681.00401836763183</v>
      </c>
      <c r="AG869" s="6">
        <f>$O$869*$AA$869</f>
        <v>-182.29170768908961</v>
      </c>
    </row>
    <row r="870" spans="1:33" ht="11.25" customHeight="1" x14ac:dyDescent="0.25">
      <c r="A870" s="4" t="s">
        <v>21</v>
      </c>
      <c r="B870" s="4" t="s">
        <v>41</v>
      </c>
      <c r="C870" s="4" t="s">
        <v>42</v>
      </c>
      <c r="D870" s="4" t="s">
        <v>52</v>
      </c>
      <c r="E870" s="4" t="s">
        <v>25</v>
      </c>
      <c r="F870" s="4" t="s">
        <v>25</v>
      </c>
      <c r="G870" s="4" t="s">
        <v>25</v>
      </c>
      <c r="H870" s="4" t="s">
        <v>35</v>
      </c>
      <c r="I870" s="5">
        <v>44409</v>
      </c>
      <c r="J870" s="6">
        <v>0</v>
      </c>
      <c r="K870" s="6">
        <v>0</v>
      </c>
      <c r="L870" s="6">
        <v>137.32499999999999</v>
      </c>
      <c r="M870" s="6">
        <v>137.32499999999999</v>
      </c>
      <c r="N870" s="6">
        <v>137.32499999999999</v>
      </c>
      <c r="O870" s="6">
        <v>137.32499999999999</v>
      </c>
      <c r="P870" s="6">
        <v>0</v>
      </c>
      <c r="Q870" s="4" t="s">
        <v>26</v>
      </c>
      <c r="R870" s="4">
        <v>0</v>
      </c>
      <c r="S870" s="6">
        <v>0</v>
      </c>
      <c r="T870" s="6">
        <v>44</v>
      </c>
      <c r="U870" s="6">
        <v>67</v>
      </c>
      <c r="V870" s="6">
        <f>IF(ISERROR(VLOOKUP($S$870,'TAR FIN'!$A$1:$O$104,15,0)),0,VLOOKUP($S$870,'TAR FIN'!$A$1:$O$104,15,0))</f>
        <v>0</v>
      </c>
      <c r="W870" s="6">
        <f>IF(ISERROR(VLOOKUP($T$870,'TAR FIN'!$A$1:$O$104,15,0)),0,VLOOKUP($T$870,'TAR FIN'!$A$1:$O$104,15,0))</f>
        <v>62.57</v>
      </c>
      <c r="X870" s="6">
        <f>IF(ISERROR(VLOOKUP($U$870,'TAR FIN'!$A$1:$O$104,15,0)),0,VLOOKUP($U$870,'TAR FIN'!$A$1:$O$104,15,0))</f>
        <v>242.82</v>
      </c>
      <c r="Y870" s="6"/>
      <c r="Z870" s="6">
        <f ca="1">('TUSD BE'!$AM$26+'TUSD BF'!$AM$26+'TUSD CVA'!$AM$26)*1</f>
        <v>77.876201961015255</v>
      </c>
      <c r="AA870" s="6">
        <f>('TE BE'!$AB$8+'TE BF'!$AB$8+'TE CVA'!$AB$8)*1</f>
        <v>231.76257384332172</v>
      </c>
      <c r="AB870" s="6">
        <f>$K$870*$V$870</f>
        <v>0</v>
      </c>
      <c r="AC870" s="6">
        <f>$M$870*$W$870</f>
        <v>8592.4252500000002</v>
      </c>
      <c r="AD870" s="6">
        <f>$O$870*$X$870</f>
        <v>33345.256499999996</v>
      </c>
      <c r="AE870" s="6">
        <f>$K$870*$Y$870</f>
        <v>0</v>
      </c>
      <c r="AF870" s="6">
        <f ca="1">$M$870*$Z$870</f>
        <v>10694.349434296419</v>
      </c>
      <c r="AG870" s="6">
        <f>$O$870*$AA$870</f>
        <v>31826.795453034152</v>
      </c>
    </row>
    <row r="871" spans="1:33" ht="11.25" customHeight="1" x14ac:dyDescent="0.25">
      <c r="A871" s="4" t="s">
        <v>21</v>
      </c>
      <c r="B871" s="4" t="s">
        <v>41</v>
      </c>
      <c r="C871" s="4" t="s">
        <v>42</v>
      </c>
      <c r="D871" s="4" t="s">
        <v>52</v>
      </c>
      <c r="E871" s="4" t="s">
        <v>25</v>
      </c>
      <c r="F871" s="4" t="s">
        <v>25</v>
      </c>
      <c r="G871" s="4" t="s">
        <v>25</v>
      </c>
      <c r="H871" s="4" t="s">
        <v>35</v>
      </c>
      <c r="I871" s="5">
        <v>44440</v>
      </c>
      <c r="J871" s="6">
        <v>0</v>
      </c>
      <c r="K871" s="6">
        <v>0</v>
      </c>
      <c r="L871" s="6">
        <v>144.19800000000001</v>
      </c>
      <c r="M871" s="6">
        <v>144.19800000000001</v>
      </c>
      <c r="N871" s="6">
        <v>144.19800000000001</v>
      </c>
      <c r="O871" s="6">
        <v>144.19800000000001</v>
      </c>
      <c r="P871" s="6">
        <v>0</v>
      </c>
      <c r="Q871" s="4" t="s">
        <v>26</v>
      </c>
      <c r="R871" s="4">
        <v>0</v>
      </c>
      <c r="S871" s="6">
        <v>0</v>
      </c>
      <c r="T871" s="6">
        <v>44</v>
      </c>
      <c r="U871" s="6">
        <v>67</v>
      </c>
      <c r="V871" s="6">
        <f>IF(ISERROR(VLOOKUP($S$871,'TAR FIN'!$A$1:$O$104,15,0)),0,VLOOKUP($S$871,'TAR FIN'!$A$1:$O$104,15,0))</f>
        <v>0</v>
      </c>
      <c r="W871" s="6">
        <f>IF(ISERROR(VLOOKUP($T$871,'TAR FIN'!$A$1:$O$104,15,0)),0,VLOOKUP($T$871,'TAR FIN'!$A$1:$O$104,15,0))</f>
        <v>62.57</v>
      </c>
      <c r="X871" s="6">
        <f>IF(ISERROR(VLOOKUP($U$871,'TAR FIN'!$A$1:$O$104,15,0)),0,VLOOKUP($U$871,'TAR FIN'!$A$1:$O$104,15,0))</f>
        <v>242.82</v>
      </c>
      <c r="Y871" s="6"/>
      <c r="Z871" s="6">
        <f ca="1">('TUSD BE'!$AM$26+'TUSD BF'!$AM$26+'TUSD CVA'!$AM$26)*1</f>
        <v>77.876201961015255</v>
      </c>
      <c r="AA871" s="6">
        <f>('TE BE'!$AB$8+'TE BF'!$AB$8+'TE CVA'!$AB$8)*1</f>
        <v>231.76257384332172</v>
      </c>
      <c r="AB871" s="6">
        <f>$K$871*$V$871</f>
        <v>0</v>
      </c>
      <c r="AC871" s="6">
        <f>$M$871*$W$871</f>
        <v>9022.4688600000009</v>
      </c>
      <c r="AD871" s="6">
        <f>$O$871*$X$871</f>
        <v>35014.158360000001</v>
      </c>
      <c r="AE871" s="6">
        <f>$K$871*$Y$871</f>
        <v>0</v>
      </c>
      <c r="AF871" s="6">
        <f ca="1">$M$871*$Z$871</f>
        <v>11229.592570374478</v>
      </c>
      <c r="AG871" s="6">
        <f>$O$871*$AA$871</f>
        <v>33419.699623059307</v>
      </c>
    </row>
    <row r="872" spans="1:33" ht="11.25" customHeight="1" x14ac:dyDescent="0.25">
      <c r="A872" s="4" t="s">
        <v>21</v>
      </c>
      <c r="B872" s="4" t="s">
        <v>41</v>
      </c>
      <c r="C872" s="4" t="s">
        <v>42</v>
      </c>
      <c r="D872" s="4" t="s">
        <v>52</v>
      </c>
      <c r="E872" s="4" t="s">
        <v>25</v>
      </c>
      <c r="F872" s="4" t="s">
        <v>25</v>
      </c>
      <c r="G872" s="4" t="s">
        <v>25</v>
      </c>
      <c r="H872" s="4" t="s">
        <v>35</v>
      </c>
      <c r="I872" s="5">
        <v>44470</v>
      </c>
      <c r="J872" s="6">
        <v>0</v>
      </c>
      <c r="K872" s="6">
        <v>0</v>
      </c>
      <c r="L872" s="6">
        <v>149.24</v>
      </c>
      <c r="M872" s="6">
        <v>149.24</v>
      </c>
      <c r="N872" s="6">
        <v>149.24</v>
      </c>
      <c r="O872" s="6">
        <v>149.24</v>
      </c>
      <c r="P872" s="6">
        <v>0</v>
      </c>
      <c r="Q872" s="4" t="s">
        <v>26</v>
      </c>
      <c r="R872" s="4">
        <v>0</v>
      </c>
      <c r="S872" s="6">
        <v>0</v>
      </c>
      <c r="T872" s="6">
        <v>44</v>
      </c>
      <c r="U872" s="6">
        <v>67</v>
      </c>
      <c r="V872" s="6">
        <f>IF(ISERROR(VLOOKUP($S$872,'TAR FIN'!$A$1:$O$104,15,0)),0,VLOOKUP($S$872,'TAR FIN'!$A$1:$O$104,15,0))</f>
        <v>0</v>
      </c>
      <c r="W872" s="6">
        <f>IF(ISERROR(VLOOKUP($T$872,'TAR FIN'!$A$1:$O$104,15,0)),0,VLOOKUP($T$872,'TAR FIN'!$A$1:$O$104,15,0))</f>
        <v>62.57</v>
      </c>
      <c r="X872" s="6">
        <f>IF(ISERROR(VLOOKUP($U$872,'TAR FIN'!$A$1:$O$104,15,0)),0,VLOOKUP($U$872,'TAR FIN'!$A$1:$O$104,15,0))</f>
        <v>242.82</v>
      </c>
      <c r="Y872" s="6"/>
      <c r="Z872" s="6">
        <f ca="1">('TUSD BE'!$AM$26+'TUSD BF'!$AM$26+'TUSD CVA'!$AM$26)*1</f>
        <v>77.876201961015255</v>
      </c>
      <c r="AA872" s="6">
        <f>('TE BE'!$AB$8+'TE BF'!$AB$8+'TE CVA'!$AB$8)*1</f>
        <v>231.76257384332172</v>
      </c>
      <c r="AB872" s="6">
        <f>$K$872*$V$872</f>
        <v>0</v>
      </c>
      <c r="AC872" s="6">
        <f>$M$872*$W$872</f>
        <v>9337.9467999999997</v>
      </c>
      <c r="AD872" s="6">
        <f>$O$872*$X$872</f>
        <v>36238.4568</v>
      </c>
      <c r="AE872" s="6">
        <f>$K$872*$Y$872</f>
        <v>0</v>
      </c>
      <c r="AF872" s="6">
        <f ca="1">$M$872*$Z$872</f>
        <v>11622.244380661918</v>
      </c>
      <c r="AG872" s="6">
        <f>$O$872*$AA$872</f>
        <v>34588.246520377332</v>
      </c>
    </row>
    <row r="873" spans="1:33" ht="11.25" customHeight="1" x14ac:dyDescent="0.25">
      <c r="A873" s="4" t="s">
        <v>21</v>
      </c>
      <c r="B873" s="4" t="s">
        <v>41</v>
      </c>
      <c r="C873" s="4" t="s">
        <v>42</v>
      </c>
      <c r="D873" s="4" t="s">
        <v>52</v>
      </c>
      <c r="E873" s="4" t="s">
        <v>25</v>
      </c>
      <c r="F873" s="4" t="s">
        <v>25</v>
      </c>
      <c r="G873" s="4" t="s">
        <v>25</v>
      </c>
      <c r="H873" s="4" t="s">
        <v>35</v>
      </c>
      <c r="I873" s="5">
        <v>44501</v>
      </c>
      <c r="J873" s="6">
        <v>0</v>
      </c>
      <c r="K873" s="6">
        <v>0</v>
      </c>
      <c r="L873" s="6">
        <v>155.38900000000001</v>
      </c>
      <c r="M873" s="6">
        <v>155.38900000000001</v>
      </c>
      <c r="N873" s="6">
        <v>155.38900000000001</v>
      </c>
      <c r="O873" s="6">
        <v>155.38900000000001</v>
      </c>
      <c r="P873" s="6">
        <v>0</v>
      </c>
      <c r="Q873" s="4" t="s">
        <v>26</v>
      </c>
      <c r="R873" s="4">
        <v>0</v>
      </c>
      <c r="S873" s="6">
        <v>0</v>
      </c>
      <c r="T873" s="6">
        <v>44</v>
      </c>
      <c r="U873" s="6">
        <v>67</v>
      </c>
      <c r="V873" s="6">
        <f>IF(ISERROR(VLOOKUP($S$873,'TAR FIN'!$A$1:$O$104,15,0)),0,VLOOKUP($S$873,'TAR FIN'!$A$1:$O$104,15,0))</f>
        <v>0</v>
      </c>
      <c r="W873" s="6">
        <f>IF(ISERROR(VLOOKUP($T$873,'TAR FIN'!$A$1:$O$104,15,0)),0,VLOOKUP($T$873,'TAR FIN'!$A$1:$O$104,15,0))</f>
        <v>62.57</v>
      </c>
      <c r="X873" s="6">
        <f>IF(ISERROR(VLOOKUP($U$873,'TAR FIN'!$A$1:$O$104,15,0)),0,VLOOKUP($U$873,'TAR FIN'!$A$1:$O$104,15,0))</f>
        <v>242.82</v>
      </c>
      <c r="Y873" s="6"/>
      <c r="Z873" s="6">
        <f ca="1">('TUSD BE'!$AM$26+'TUSD BF'!$AM$26+'TUSD CVA'!$AM$26)*1</f>
        <v>77.876201961015255</v>
      </c>
      <c r="AA873" s="6">
        <f>('TE BE'!$AB$8+'TE BF'!$AB$8+'TE CVA'!$AB$8)*1</f>
        <v>231.76257384332172</v>
      </c>
      <c r="AB873" s="6">
        <f>$K$873*$V$873</f>
        <v>0</v>
      </c>
      <c r="AC873" s="6">
        <f>$M$873*$W$873</f>
        <v>9722.6897300000001</v>
      </c>
      <c r="AD873" s="6">
        <f>$O$873*$X$873</f>
        <v>37731.556980000001</v>
      </c>
      <c r="AE873" s="6">
        <f>$K$873*$Y$873</f>
        <v>0</v>
      </c>
      <c r="AF873" s="6">
        <f ca="1">$M$873*$Z$873</f>
        <v>12101.1051465202</v>
      </c>
      <c r="AG873" s="6">
        <f>$O$873*$AA$873</f>
        <v>36013.354586939924</v>
      </c>
    </row>
    <row r="874" spans="1:33" ht="11.25" customHeight="1" x14ac:dyDescent="0.25">
      <c r="A874" s="4" t="s">
        <v>21</v>
      </c>
      <c r="B874" s="4" t="s">
        <v>41</v>
      </c>
      <c r="C874" s="4" t="s">
        <v>42</v>
      </c>
      <c r="D874" s="4" t="s">
        <v>52</v>
      </c>
      <c r="E874" s="4" t="s">
        <v>25</v>
      </c>
      <c r="F874" s="4" t="s">
        <v>25</v>
      </c>
      <c r="G874" s="4" t="s">
        <v>25</v>
      </c>
      <c r="H874" s="4" t="s">
        <v>35</v>
      </c>
      <c r="I874" s="5">
        <v>44531</v>
      </c>
      <c r="J874" s="6">
        <v>0</v>
      </c>
      <c r="K874" s="6">
        <v>0</v>
      </c>
      <c r="L874" s="6">
        <v>161.82300000000001</v>
      </c>
      <c r="M874" s="6">
        <v>161.82300000000001</v>
      </c>
      <c r="N874" s="6">
        <v>161.82300000000001</v>
      </c>
      <c r="O874" s="6">
        <v>161.82300000000001</v>
      </c>
      <c r="P874" s="6">
        <v>0</v>
      </c>
      <c r="Q874" s="4" t="s">
        <v>26</v>
      </c>
      <c r="R874" s="4">
        <v>0</v>
      </c>
      <c r="S874" s="6">
        <v>0</v>
      </c>
      <c r="T874" s="6">
        <v>44</v>
      </c>
      <c r="U874" s="6">
        <v>67</v>
      </c>
      <c r="V874" s="6">
        <f>IF(ISERROR(VLOOKUP($S$874,'TAR FIN'!$A$1:$O$104,15,0)),0,VLOOKUP($S$874,'TAR FIN'!$A$1:$O$104,15,0))</f>
        <v>0</v>
      </c>
      <c r="W874" s="6">
        <f>IF(ISERROR(VLOOKUP($T$874,'TAR FIN'!$A$1:$O$104,15,0)),0,VLOOKUP($T$874,'TAR FIN'!$A$1:$O$104,15,0))</f>
        <v>62.57</v>
      </c>
      <c r="X874" s="6">
        <f>IF(ISERROR(VLOOKUP($U$874,'TAR FIN'!$A$1:$O$104,15,0)),0,VLOOKUP($U$874,'TAR FIN'!$A$1:$O$104,15,0))</f>
        <v>242.82</v>
      </c>
      <c r="Y874" s="6"/>
      <c r="Z874" s="6">
        <f ca="1">('TUSD BE'!$AM$26+'TUSD BF'!$AM$26+'TUSD CVA'!$AM$26)*1</f>
        <v>77.876201961015255</v>
      </c>
      <c r="AA874" s="6">
        <f>('TE BE'!$AB$8+'TE BF'!$AB$8+'TE CVA'!$AB$8)*1</f>
        <v>231.76257384332172</v>
      </c>
      <c r="AB874" s="6">
        <f>$K$874*$V$874</f>
        <v>0</v>
      </c>
      <c r="AC874" s="6">
        <f>$M$874*$W$874</f>
        <v>10125.26511</v>
      </c>
      <c r="AD874" s="6">
        <f>$O$874*$X$874</f>
        <v>39293.860860000001</v>
      </c>
      <c r="AE874" s="6">
        <f>$K$874*$Y$874</f>
        <v>0</v>
      </c>
      <c r="AF874" s="6">
        <f ca="1">$M$874*$Z$874</f>
        <v>12602.160629937373</v>
      </c>
      <c r="AG874" s="6">
        <f>$O$874*$AA$874</f>
        <v>37504.514987047849</v>
      </c>
    </row>
    <row r="875" spans="1:33" ht="11.25" customHeight="1" x14ac:dyDescent="0.25">
      <c r="A875" s="4" t="s">
        <v>21</v>
      </c>
      <c r="B875" s="4" t="s">
        <v>41</v>
      </c>
      <c r="C875" s="4" t="s">
        <v>42</v>
      </c>
      <c r="D875" s="4" t="s">
        <v>52</v>
      </c>
      <c r="E875" s="4" t="s">
        <v>25</v>
      </c>
      <c r="F875" s="4" t="s">
        <v>25</v>
      </c>
      <c r="G875" s="4" t="s">
        <v>25</v>
      </c>
      <c r="H875" s="4" t="s">
        <v>35</v>
      </c>
      <c r="I875" s="5">
        <v>44562</v>
      </c>
      <c r="J875" s="6">
        <v>0</v>
      </c>
      <c r="K875" s="6">
        <v>0</v>
      </c>
      <c r="L875" s="6">
        <v>147.25700000000001</v>
      </c>
      <c r="M875" s="6">
        <v>147.25700000000001</v>
      </c>
      <c r="N875" s="6">
        <v>147.25700000000001</v>
      </c>
      <c r="O875" s="6">
        <v>147.25700000000001</v>
      </c>
      <c r="P875" s="6">
        <v>0</v>
      </c>
      <c r="Q875" s="4" t="s">
        <v>26</v>
      </c>
      <c r="R875" s="4">
        <v>0</v>
      </c>
      <c r="S875" s="6">
        <v>0</v>
      </c>
      <c r="T875" s="6">
        <v>44</v>
      </c>
      <c r="U875" s="6">
        <v>67</v>
      </c>
      <c r="V875" s="6">
        <f>IF(ISERROR(VLOOKUP($S$875,'TAR FIN'!$A$1:$O$104,15,0)),0,VLOOKUP($S$875,'TAR FIN'!$A$1:$O$104,15,0))</f>
        <v>0</v>
      </c>
      <c r="W875" s="6">
        <f>IF(ISERROR(VLOOKUP($T$875,'TAR FIN'!$A$1:$O$104,15,0)),0,VLOOKUP($T$875,'TAR FIN'!$A$1:$O$104,15,0))</f>
        <v>62.57</v>
      </c>
      <c r="X875" s="6">
        <f>IF(ISERROR(VLOOKUP($U$875,'TAR FIN'!$A$1:$O$104,15,0)),0,VLOOKUP($U$875,'TAR FIN'!$A$1:$O$104,15,0))</f>
        <v>242.82</v>
      </c>
      <c r="Y875" s="6"/>
      <c r="Z875" s="6">
        <f ca="1">('TUSD BE'!$AM$26+'TUSD BF'!$AM$26+'TUSD CVA'!$AM$26)*1</f>
        <v>77.876201961015255</v>
      </c>
      <c r="AA875" s="6">
        <f>('TE BE'!$AB$8+'TE BF'!$AB$8+'TE CVA'!$AB$8)*1</f>
        <v>231.76257384332172</v>
      </c>
      <c r="AB875" s="6">
        <f>$K$875*$V$875</f>
        <v>0</v>
      </c>
      <c r="AC875" s="6">
        <f>$M$875*$W$875</f>
        <v>9213.8704900000012</v>
      </c>
      <c r="AD875" s="6">
        <f>$O$875*$X$875</f>
        <v>35756.944739999999</v>
      </c>
      <c r="AE875" s="6">
        <f>$K$875*$Y$875</f>
        <v>0</v>
      </c>
      <c r="AF875" s="6">
        <f ca="1">$M$875*$Z$875</f>
        <v>11467.815872173223</v>
      </c>
      <c r="AG875" s="6">
        <f>$O$875*$AA$875</f>
        <v>34128.661336446028</v>
      </c>
    </row>
    <row r="876" spans="1:33" ht="11.25" customHeight="1" x14ac:dyDescent="0.25">
      <c r="A876" s="4" t="s">
        <v>21</v>
      </c>
      <c r="B876" s="4" t="s">
        <v>41</v>
      </c>
      <c r="C876" s="4" t="s">
        <v>42</v>
      </c>
      <c r="D876" s="4" t="s">
        <v>52</v>
      </c>
      <c r="E876" s="4" t="s">
        <v>25</v>
      </c>
      <c r="F876" s="4" t="s">
        <v>25</v>
      </c>
      <c r="G876" s="4" t="s">
        <v>25</v>
      </c>
      <c r="H876" s="4" t="s">
        <v>35</v>
      </c>
      <c r="I876" s="5">
        <v>44593</v>
      </c>
      <c r="J876" s="6">
        <v>0</v>
      </c>
      <c r="K876" s="6">
        <v>0</v>
      </c>
      <c r="L876" s="6">
        <v>144.08199999999999</v>
      </c>
      <c r="M876" s="6">
        <v>144.08199999999999</v>
      </c>
      <c r="N876" s="6">
        <v>144.08199999999999</v>
      </c>
      <c r="O876" s="6">
        <v>144.08199999999999</v>
      </c>
      <c r="P876" s="6">
        <v>0</v>
      </c>
      <c r="Q876" s="4" t="s">
        <v>26</v>
      </c>
      <c r="R876" s="4">
        <v>0</v>
      </c>
      <c r="S876" s="6">
        <v>0</v>
      </c>
      <c r="T876" s="6">
        <v>44</v>
      </c>
      <c r="U876" s="6">
        <v>67</v>
      </c>
      <c r="V876" s="6">
        <f>IF(ISERROR(VLOOKUP($S$876,'TAR FIN'!$A$1:$O$104,15,0)),0,VLOOKUP($S$876,'TAR FIN'!$A$1:$O$104,15,0))</f>
        <v>0</v>
      </c>
      <c r="W876" s="6">
        <f>IF(ISERROR(VLOOKUP($T$876,'TAR FIN'!$A$1:$O$104,15,0)),0,VLOOKUP($T$876,'TAR FIN'!$A$1:$O$104,15,0))</f>
        <v>62.57</v>
      </c>
      <c r="X876" s="6">
        <f>IF(ISERROR(VLOOKUP($U$876,'TAR FIN'!$A$1:$O$104,15,0)),0,VLOOKUP($U$876,'TAR FIN'!$A$1:$O$104,15,0))</f>
        <v>242.82</v>
      </c>
      <c r="Y876" s="6"/>
      <c r="Z876" s="6">
        <f ca="1">('TUSD BE'!$AM$26+'TUSD BF'!$AM$26+'TUSD CVA'!$AM$26)*1</f>
        <v>77.876201961015255</v>
      </c>
      <c r="AA876" s="6">
        <f>('TE BE'!$AB$8+'TE BF'!$AB$8+'TE CVA'!$AB$8)*1</f>
        <v>231.76257384332172</v>
      </c>
      <c r="AB876" s="6">
        <f>$K$876*$V$876</f>
        <v>0</v>
      </c>
      <c r="AC876" s="6">
        <f>$M$876*$W$876</f>
        <v>9015.2107400000004</v>
      </c>
      <c r="AD876" s="6">
        <f>$O$876*$X$876</f>
        <v>34985.991239999996</v>
      </c>
      <c r="AE876" s="6">
        <f>$K$876*$Y$876</f>
        <v>0</v>
      </c>
      <c r="AF876" s="6">
        <f ca="1">$M$876*$Z$876</f>
        <v>11220.558930947</v>
      </c>
      <c r="AG876" s="6">
        <f>$O$876*$AA$876</f>
        <v>33392.815164493477</v>
      </c>
    </row>
    <row r="877" spans="1:33" ht="11.25" customHeight="1" x14ac:dyDescent="0.25">
      <c r="A877" s="4" t="s">
        <v>21</v>
      </c>
      <c r="B877" s="4" t="s">
        <v>41</v>
      </c>
      <c r="C877" s="4" t="s">
        <v>42</v>
      </c>
      <c r="D877" s="4" t="s">
        <v>52</v>
      </c>
      <c r="E877" s="4" t="s">
        <v>25</v>
      </c>
      <c r="F877" s="4" t="s">
        <v>25</v>
      </c>
      <c r="G877" s="4" t="s">
        <v>25</v>
      </c>
      <c r="H877" s="4" t="s">
        <v>35</v>
      </c>
      <c r="I877" s="5">
        <v>44621</v>
      </c>
      <c r="J877" s="6">
        <v>0</v>
      </c>
      <c r="K877" s="6">
        <v>0</v>
      </c>
      <c r="L877" s="6">
        <v>164.93899999999999</v>
      </c>
      <c r="M877" s="6">
        <v>164.93899999999999</v>
      </c>
      <c r="N877" s="6">
        <v>164.93899999999999</v>
      </c>
      <c r="O877" s="6">
        <v>164.93899999999999</v>
      </c>
      <c r="P877" s="6">
        <v>0</v>
      </c>
      <c r="Q877" s="4" t="s">
        <v>26</v>
      </c>
      <c r="R877" s="4">
        <v>0</v>
      </c>
      <c r="S877" s="6">
        <v>0</v>
      </c>
      <c r="T877" s="6">
        <v>44</v>
      </c>
      <c r="U877" s="6">
        <v>67</v>
      </c>
      <c r="V877" s="6">
        <f>IF(ISERROR(VLOOKUP($S$877,'TAR FIN'!$A$1:$O$104,15,0)),0,VLOOKUP($S$877,'TAR FIN'!$A$1:$O$104,15,0))</f>
        <v>0</v>
      </c>
      <c r="W877" s="6">
        <f>IF(ISERROR(VLOOKUP($T$877,'TAR FIN'!$A$1:$O$104,15,0)),0,VLOOKUP($T$877,'TAR FIN'!$A$1:$O$104,15,0))</f>
        <v>62.57</v>
      </c>
      <c r="X877" s="6">
        <f>IF(ISERROR(VLOOKUP($U$877,'TAR FIN'!$A$1:$O$104,15,0)),0,VLOOKUP($U$877,'TAR FIN'!$A$1:$O$104,15,0))</f>
        <v>242.82</v>
      </c>
      <c r="Y877" s="6"/>
      <c r="Z877" s="6">
        <f ca="1">('TUSD BE'!$AM$26+'TUSD BF'!$AM$26+'TUSD CVA'!$AM$26)*1</f>
        <v>77.876201961015255</v>
      </c>
      <c r="AA877" s="6">
        <f>('TE BE'!$AB$8+'TE BF'!$AB$8+'TE CVA'!$AB$8)*1</f>
        <v>231.76257384332172</v>
      </c>
      <c r="AB877" s="6">
        <f>$K$877*$V$877</f>
        <v>0</v>
      </c>
      <c r="AC877" s="6">
        <f>$M$877*$W$877</f>
        <v>10320.23323</v>
      </c>
      <c r="AD877" s="6">
        <f>$O$877*$X$877</f>
        <v>40050.487979999998</v>
      </c>
      <c r="AE877" s="6">
        <f>$K$877*$Y$877</f>
        <v>0</v>
      </c>
      <c r="AF877" s="6">
        <f ca="1">$M$877*$Z$877</f>
        <v>12844.822875247895</v>
      </c>
      <c r="AG877" s="6">
        <f>$O$877*$AA$877</f>
        <v>38226.687167143638</v>
      </c>
    </row>
    <row r="878" spans="1:33" ht="11.25" customHeight="1" x14ac:dyDescent="0.25">
      <c r="A878" s="4" t="s">
        <v>21</v>
      </c>
      <c r="B878" s="4" t="s">
        <v>41</v>
      </c>
      <c r="C878" s="4" t="s">
        <v>42</v>
      </c>
      <c r="D878" s="4" t="s">
        <v>52</v>
      </c>
      <c r="E878" s="4" t="s">
        <v>25</v>
      </c>
      <c r="F878" s="4" t="s">
        <v>25</v>
      </c>
      <c r="G878" s="4" t="s">
        <v>25</v>
      </c>
      <c r="H878" s="4" t="s">
        <v>35</v>
      </c>
      <c r="I878" s="5">
        <v>44652</v>
      </c>
      <c r="J878" s="6">
        <v>0</v>
      </c>
      <c r="K878" s="6">
        <v>0</v>
      </c>
      <c r="L878" s="6">
        <v>150.83099999999999</v>
      </c>
      <c r="M878" s="6">
        <v>150.83099999999999</v>
      </c>
      <c r="N878" s="6">
        <v>150.83099999999999</v>
      </c>
      <c r="O878" s="6">
        <v>150.83099999999999</v>
      </c>
      <c r="P878" s="6">
        <v>0</v>
      </c>
      <c r="Q878" s="4" t="s">
        <v>26</v>
      </c>
      <c r="R878" s="4">
        <v>0</v>
      </c>
      <c r="S878" s="6">
        <v>0</v>
      </c>
      <c r="T878" s="6">
        <v>44</v>
      </c>
      <c r="U878" s="6">
        <v>67</v>
      </c>
      <c r="V878" s="6">
        <f>IF(ISERROR(VLOOKUP($S$878,'TAR FIN'!$A$1:$O$104,15,0)),0,VLOOKUP($S$878,'TAR FIN'!$A$1:$O$104,15,0))</f>
        <v>0</v>
      </c>
      <c r="W878" s="6">
        <f>IF(ISERROR(VLOOKUP($T$878,'TAR FIN'!$A$1:$O$104,15,0)),0,VLOOKUP($T$878,'TAR FIN'!$A$1:$O$104,15,0))</f>
        <v>62.57</v>
      </c>
      <c r="X878" s="6">
        <f>IF(ISERROR(VLOOKUP($U$878,'TAR FIN'!$A$1:$O$104,15,0)),0,VLOOKUP($U$878,'TAR FIN'!$A$1:$O$104,15,0))</f>
        <v>242.82</v>
      </c>
      <c r="Y878" s="6"/>
      <c r="Z878" s="6">
        <f ca="1">('TUSD BE'!$AM$26+'TUSD BF'!$AM$26+'TUSD CVA'!$AM$26)*1</f>
        <v>77.876201961015255</v>
      </c>
      <c r="AA878" s="6">
        <f>('TE BE'!$AB$8+'TE BF'!$AB$8+'TE CVA'!$AB$8)*1</f>
        <v>231.76257384332172</v>
      </c>
      <c r="AB878" s="6">
        <f>$K$878*$V$878</f>
        <v>0</v>
      </c>
      <c r="AC878" s="6">
        <f>$M$878*$W$878</f>
        <v>9437.4956700000002</v>
      </c>
      <c r="AD878" s="6">
        <f>$O$878*$X$878</f>
        <v>36624.78342</v>
      </c>
      <c r="AE878" s="6">
        <f>$K$878*$Y$878</f>
        <v>0</v>
      </c>
      <c r="AF878" s="6">
        <f ca="1">$M$878*$Z$878</f>
        <v>11746.14541798189</v>
      </c>
      <c r="AG878" s="6">
        <f>$O$878*$AA$878</f>
        <v>34956.980775362055</v>
      </c>
    </row>
    <row r="879" spans="1:33" ht="11.25" customHeight="1" x14ac:dyDescent="0.25">
      <c r="A879" s="4" t="s">
        <v>21</v>
      </c>
      <c r="B879" s="4" t="s">
        <v>41</v>
      </c>
      <c r="C879" s="4" t="s">
        <v>42</v>
      </c>
      <c r="D879" s="4" t="s">
        <v>52</v>
      </c>
      <c r="E879" s="4" t="s">
        <v>25</v>
      </c>
      <c r="F879" s="4" t="s">
        <v>25</v>
      </c>
      <c r="G879" s="4" t="s">
        <v>25</v>
      </c>
      <c r="H879" s="4" t="s">
        <v>35</v>
      </c>
      <c r="I879" s="5">
        <v>44682</v>
      </c>
      <c r="J879" s="6">
        <v>0</v>
      </c>
      <c r="K879" s="6">
        <v>0</v>
      </c>
      <c r="L879" s="6">
        <v>157.08500000000001</v>
      </c>
      <c r="M879" s="6">
        <v>157.08500000000001</v>
      </c>
      <c r="N879" s="6">
        <v>157.08500000000001</v>
      </c>
      <c r="O879" s="6">
        <v>157.08500000000001</v>
      </c>
      <c r="P879" s="6">
        <v>0</v>
      </c>
      <c r="Q879" s="4" t="s">
        <v>26</v>
      </c>
      <c r="R879" s="4">
        <v>0</v>
      </c>
      <c r="S879" s="6">
        <v>0</v>
      </c>
      <c r="T879" s="6">
        <v>44</v>
      </c>
      <c r="U879" s="6">
        <v>67</v>
      </c>
      <c r="V879" s="6">
        <f>IF(ISERROR(VLOOKUP($S$879,'TAR FIN'!$A$1:$O$104,15,0)),0,VLOOKUP($S$879,'TAR FIN'!$A$1:$O$104,15,0))</f>
        <v>0</v>
      </c>
      <c r="W879" s="6">
        <f>IF(ISERROR(VLOOKUP($T$879,'TAR FIN'!$A$1:$O$104,15,0)),0,VLOOKUP($T$879,'TAR FIN'!$A$1:$O$104,15,0))</f>
        <v>62.57</v>
      </c>
      <c r="X879" s="6">
        <f>IF(ISERROR(VLOOKUP($U$879,'TAR FIN'!$A$1:$O$104,15,0)),0,VLOOKUP($U$879,'TAR FIN'!$A$1:$O$104,15,0))</f>
        <v>242.82</v>
      </c>
      <c r="Y879" s="6"/>
      <c r="Z879" s="6">
        <f ca="1">('TUSD BE'!$AM$26+'TUSD BF'!$AM$26+'TUSD CVA'!$AM$26)*1</f>
        <v>77.876201961015255</v>
      </c>
      <c r="AA879" s="6">
        <f>('TE BE'!$AB$8+'TE BF'!$AB$8+'TE CVA'!$AB$8)*1</f>
        <v>231.76257384332172</v>
      </c>
      <c r="AB879" s="6">
        <f>$K$879*$V$879</f>
        <v>0</v>
      </c>
      <c r="AC879" s="6">
        <f>$M$879*$W$879</f>
        <v>9828.8084500000004</v>
      </c>
      <c r="AD879" s="6">
        <f>$O$879*$X$879</f>
        <v>38143.379699999998</v>
      </c>
      <c r="AE879" s="6">
        <f>$K$879*$Y$879</f>
        <v>0</v>
      </c>
      <c r="AF879" s="6">
        <f ca="1">$M$879*$Z$879</f>
        <v>12233.183185046082</v>
      </c>
      <c r="AG879" s="6">
        <f>$O$879*$AA$879</f>
        <v>36406.423912178194</v>
      </c>
    </row>
    <row r="880" spans="1:33" ht="11.25" customHeight="1" x14ac:dyDescent="0.25">
      <c r="A880" s="4" t="s">
        <v>21</v>
      </c>
      <c r="B880" s="4" t="s">
        <v>41</v>
      </c>
      <c r="C880" s="4" t="s">
        <v>42</v>
      </c>
      <c r="D880" s="4" t="s">
        <v>52</v>
      </c>
      <c r="E880" s="4" t="s">
        <v>25</v>
      </c>
      <c r="F880" s="4" t="s">
        <v>25</v>
      </c>
      <c r="G880" s="4" t="s">
        <v>25</v>
      </c>
      <c r="H880" s="4" t="s">
        <v>35</v>
      </c>
      <c r="I880" s="5">
        <v>44713</v>
      </c>
      <c r="J880" s="6">
        <v>0</v>
      </c>
      <c r="K880" s="6">
        <v>0</v>
      </c>
      <c r="L880" s="6">
        <v>137.815</v>
      </c>
      <c r="M880" s="6">
        <v>137.815</v>
      </c>
      <c r="N880" s="6">
        <v>137.815</v>
      </c>
      <c r="O880" s="6">
        <v>137.815</v>
      </c>
      <c r="P880" s="6">
        <v>0</v>
      </c>
      <c r="Q880" s="4" t="s">
        <v>26</v>
      </c>
      <c r="R880" s="4">
        <v>0</v>
      </c>
      <c r="S880" s="6">
        <v>0</v>
      </c>
      <c r="T880" s="6">
        <v>44</v>
      </c>
      <c r="U880" s="6">
        <v>67</v>
      </c>
      <c r="V880" s="6">
        <f>IF(ISERROR(VLOOKUP($S$880,'TAR FIN'!$A$1:$O$104,15,0)),0,VLOOKUP($S$880,'TAR FIN'!$A$1:$O$104,15,0))</f>
        <v>0</v>
      </c>
      <c r="W880" s="6">
        <f>IF(ISERROR(VLOOKUP($T$880,'TAR FIN'!$A$1:$O$104,15,0)),0,VLOOKUP($T$880,'TAR FIN'!$A$1:$O$104,15,0))</f>
        <v>62.57</v>
      </c>
      <c r="X880" s="6">
        <f>IF(ISERROR(VLOOKUP($U$880,'TAR FIN'!$A$1:$O$104,15,0)),0,VLOOKUP($U$880,'TAR FIN'!$A$1:$O$104,15,0))</f>
        <v>242.82</v>
      </c>
      <c r="Y880" s="6"/>
      <c r="Z880" s="6">
        <f ca="1">('TUSD BE'!$AM$26+'TUSD BF'!$AM$26+'TUSD CVA'!$AM$26)*1</f>
        <v>77.876201961015255</v>
      </c>
      <c r="AA880" s="6">
        <f>('TE BE'!$AB$8+'TE BF'!$AB$8+'TE CVA'!$AB$8)*1</f>
        <v>231.76257384332172</v>
      </c>
      <c r="AB880" s="6">
        <f>$K$880*$V$880</f>
        <v>0</v>
      </c>
      <c r="AC880" s="6">
        <f>$M$880*$W$880</f>
        <v>8623.0845499999996</v>
      </c>
      <c r="AD880" s="6">
        <f>$O$880*$X$880</f>
        <v>33464.238299999997</v>
      </c>
      <c r="AE880" s="6">
        <f>$K$880*$Y$880</f>
        <v>0</v>
      </c>
      <c r="AF880" s="6">
        <f ca="1">$M$880*$Z$880</f>
        <v>10732.508773257317</v>
      </c>
      <c r="AG880" s="6">
        <f>$O$880*$AA$880</f>
        <v>31940.359114217383</v>
      </c>
    </row>
    <row r="881" spans="1:33" ht="11.25" customHeight="1" x14ac:dyDescent="0.25">
      <c r="A881" s="4" t="s">
        <v>57</v>
      </c>
      <c r="B881" s="4" t="s">
        <v>41</v>
      </c>
      <c r="C881" s="4" t="s">
        <v>42</v>
      </c>
      <c r="D881" s="4" t="s">
        <v>52</v>
      </c>
      <c r="E881" s="4" t="s">
        <v>25</v>
      </c>
      <c r="F881" s="4" t="s">
        <v>25</v>
      </c>
      <c r="G881" s="4" t="s">
        <v>25</v>
      </c>
      <c r="H881" s="4" t="s">
        <v>35</v>
      </c>
      <c r="I881" s="5">
        <v>44743</v>
      </c>
      <c r="J881" s="6">
        <v>0</v>
      </c>
      <c r="K881" s="6">
        <v>0</v>
      </c>
      <c r="L881" s="6">
        <v>137.815</v>
      </c>
      <c r="M881" s="6">
        <v>137.815</v>
      </c>
      <c r="N881" s="6">
        <v>137.815</v>
      </c>
      <c r="O881" s="6">
        <v>137.815</v>
      </c>
      <c r="P881" s="6">
        <v>0</v>
      </c>
      <c r="Q881" s="4" t="s">
        <v>26</v>
      </c>
      <c r="R881" s="4">
        <v>0</v>
      </c>
      <c r="S881" s="6">
        <v>0</v>
      </c>
      <c r="T881" s="6">
        <v>44</v>
      </c>
      <c r="U881" s="6">
        <v>67</v>
      </c>
      <c r="V881" s="6">
        <f>IF(ISERROR(VLOOKUP($S$881,'TAR FIN'!$A$1:$O$104,15,0)),0,VLOOKUP($S$881,'TAR FIN'!$A$1:$O$104,15,0))</f>
        <v>0</v>
      </c>
      <c r="W881" s="6">
        <f>IF(ISERROR(VLOOKUP($T$881,'TAR FIN'!$A$1:$O$104,15,0)),0,VLOOKUP($T$881,'TAR FIN'!$A$1:$O$104,15,0))</f>
        <v>62.57</v>
      </c>
      <c r="X881" s="6">
        <f>IF(ISERROR(VLOOKUP($U$881,'TAR FIN'!$A$1:$O$104,15,0)),0,VLOOKUP($U$881,'TAR FIN'!$A$1:$O$104,15,0))</f>
        <v>242.82</v>
      </c>
      <c r="Y881" s="6"/>
      <c r="Z881" s="6">
        <f ca="1">('TUSD BE'!$AM$26+'TUSD BF'!$AM$26+'TUSD CVA'!$AM$26)*1</f>
        <v>77.876201961015255</v>
      </c>
      <c r="AA881" s="6">
        <f>('TE BE'!$AB$8+'TE BF'!$AB$8+'TE CVA'!$AB$8)*1</f>
        <v>231.76257384332172</v>
      </c>
      <c r="AB881" s="6">
        <f>$K$881*$V$881</f>
        <v>0</v>
      </c>
      <c r="AC881" s="6">
        <f>$M$881*$W$881</f>
        <v>8623.0845499999996</v>
      </c>
      <c r="AD881" s="6">
        <f>$O$881*$X$881</f>
        <v>33464.238299999997</v>
      </c>
      <c r="AE881" s="6">
        <f>$K$881*$Y$881</f>
        <v>0</v>
      </c>
      <c r="AF881" s="6">
        <f ca="1">$M$881*$Z$881</f>
        <v>10732.508773257317</v>
      </c>
      <c r="AG881" s="6">
        <f>$O$881*$AA$881</f>
        <v>31940.359114217383</v>
      </c>
    </row>
    <row r="882" spans="1:33" ht="11.25" customHeight="1" x14ac:dyDescent="0.25">
      <c r="A882" s="4" t="s">
        <v>21</v>
      </c>
      <c r="B882" s="4" t="s">
        <v>41</v>
      </c>
      <c r="C882" s="4" t="s">
        <v>42</v>
      </c>
      <c r="D882" s="4" t="s">
        <v>52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44409</v>
      </c>
      <c r="J882" s="6">
        <v>696</v>
      </c>
      <c r="K882" s="6">
        <v>696</v>
      </c>
      <c r="L882" s="6">
        <v>0</v>
      </c>
      <c r="M882" s="6">
        <v>0</v>
      </c>
      <c r="N882" s="6">
        <v>0</v>
      </c>
      <c r="O882" s="6">
        <v>0</v>
      </c>
      <c r="P882" s="6">
        <v>4</v>
      </c>
      <c r="Q882" s="4" t="s">
        <v>26</v>
      </c>
      <c r="R882" s="4">
        <v>0</v>
      </c>
      <c r="S882" s="6">
        <v>40</v>
      </c>
      <c r="T882" s="6">
        <v>0</v>
      </c>
      <c r="U882" s="6">
        <v>0</v>
      </c>
      <c r="V882" s="6">
        <f>IF(ISERROR(VLOOKUP($S$882,'TAR FIN'!$A$1:$O$104,15,0)),0,VLOOKUP($S$882,'TAR FIN'!$A$1:$O$104,15,0))</f>
        <v>26.22</v>
      </c>
      <c r="W882" s="6">
        <f>IF(ISERROR(VLOOKUP($T$882,'TAR FIN'!$A$1:$O$104,15,0)),0,VLOOKUP($T$882,'TAR FIN'!$A$1:$O$104,15,0))</f>
        <v>0</v>
      </c>
      <c r="X882" s="6">
        <f>IF(ISERROR(VLOOKUP($U$882,'TAR FIN'!$A$1:$O$104,15,0)),0,VLOOKUP($U$882,'TAR FIN'!$A$1:$O$104,15,0))</f>
        <v>0</v>
      </c>
      <c r="Y882" s="6">
        <f ca="1">('TUSD BE'!$AM$24+'TUSD BF'!$AM$24+'TUSD CVA'!$AM$24)*1</f>
        <v>26.280164278980507</v>
      </c>
      <c r="Z882" s="6"/>
      <c r="AA882" s="6"/>
      <c r="AB882" s="6">
        <f>$K$882*$V$882</f>
        <v>18249.12</v>
      </c>
      <c r="AC882" s="6">
        <f>$M$882*$W$882</f>
        <v>0</v>
      </c>
      <c r="AD882" s="6">
        <f>$O$882*$X$882</f>
        <v>0</v>
      </c>
      <c r="AE882" s="6">
        <f ca="1">$K$882*$Y$882</f>
        <v>18290.994338170432</v>
      </c>
      <c r="AF882" s="6">
        <f>$M$882*$Z$882</f>
        <v>0</v>
      </c>
      <c r="AG882" s="6">
        <f>$O$882*$AA$882</f>
        <v>0</v>
      </c>
    </row>
    <row r="883" spans="1:33" ht="11.25" customHeight="1" x14ac:dyDescent="0.25">
      <c r="A883" s="4" t="s">
        <v>21</v>
      </c>
      <c r="B883" s="4" t="s">
        <v>41</v>
      </c>
      <c r="C883" s="4" t="s">
        <v>42</v>
      </c>
      <c r="D883" s="4" t="s">
        <v>52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44440</v>
      </c>
      <c r="J883" s="6">
        <v>699</v>
      </c>
      <c r="K883" s="6">
        <v>699</v>
      </c>
      <c r="L883" s="6">
        <v>0</v>
      </c>
      <c r="M883" s="6">
        <v>0</v>
      </c>
      <c r="N883" s="6">
        <v>0</v>
      </c>
      <c r="O883" s="6">
        <v>0</v>
      </c>
      <c r="P883" s="6">
        <v>4</v>
      </c>
      <c r="Q883" s="4" t="s">
        <v>26</v>
      </c>
      <c r="R883" s="4">
        <v>0</v>
      </c>
      <c r="S883" s="6">
        <v>40</v>
      </c>
      <c r="T883" s="6">
        <v>0</v>
      </c>
      <c r="U883" s="6">
        <v>0</v>
      </c>
      <c r="V883" s="6">
        <f>IF(ISERROR(VLOOKUP($S$883,'TAR FIN'!$A$1:$O$104,15,0)),0,VLOOKUP($S$883,'TAR FIN'!$A$1:$O$104,15,0))</f>
        <v>26.22</v>
      </c>
      <c r="W883" s="6">
        <f>IF(ISERROR(VLOOKUP($T$883,'TAR FIN'!$A$1:$O$104,15,0)),0,VLOOKUP($T$883,'TAR FIN'!$A$1:$O$104,15,0))</f>
        <v>0</v>
      </c>
      <c r="X883" s="6">
        <f>IF(ISERROR(VLOOKUP($U$883,'TAR FIN'!$A$1:$O$104,15,0)),0,VLOOKUP($U$883,'TAR FIN'!$A$1:$O$104,15,0))</f>
        <v>0</v>
      </c>
      <c r="Y883" s="6">
        <f ca="1">('TUSD BE'!$AM$24+'TUSD BF'!$AM$24+'TUSD CVA'!$AM$24)*1</f>
        <v>26.280164278980507</v>
      </c>
      <c r="Z883" s="6"/>
      <c r="AA883" s="6"/>
      <c r="AB883" s="6">
        <f>$K$883*$V$883</f>
        <v>18327.78</v>
      </c>
      <c r="AC883" s="6">
        <f>$M$883*$W$883</f>
        <v>0</v>
      </c>
      <c r="AD883" s="6">
        <f>$O$883*$X$883</f>
        <v>0</v>
      </c>
      <c r="AE883" s="6">
        <f ca="1">$K$883*$Y$883</f>
        <v>18369.834831007374</v>
      </c>
      <c r="AF883" s="6">
        <f>$M$883*$Z$883</f>
        <v>0</v>
      </c>
      <c r="AG883" s="6">
        <f>$O$883*$AA$883</f>
        <v>0</v>
      </c>
    </row>
    <row r="884" spans="1:33" ht="11.25" customHeight="1" x14ac:dyDescent="0.25">
      <c r="A884" s="4" t="s">
        <v>21</v>
      </c>
      <c r="B884" s="4" t="s">
        <v>41</v>
      </c>
      <c r="C884" s="4" t="s">
        <v>42</v>
      </c>
      <c r="D884" s="4" t="s">
        <v>52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44470</v>
      </c>
      <c r="J884" s="6">
        <v>699</v>
      </c>
      <c r="K884" s="6">
        <v>699</v>
      </c>
      <c r="L884" s="6">
        <v>0</v>
      </c>
      <c r="M884" s="6">
        <v>0</v>
      </c>
      <c r="N884" s="6">
        <v>0</v>
      </c>
      <c r="O884" s="6">
        <v>0</v>
      </c>
      <c r="P884" s="6">
        <v>4</v>
      </c>
      <c r="Q884" s="4" t="s">
        <v>26</v>
      </c>
      <c r="R884" s="4">
        <v>0</v>
      </c>
      <c r="S884" s="6">
        <v>40</v>
      </c>
      <c r="T884" s="6">
        <v>0</v>
      </c>
      <c r="U884" s="6">
        <v>0</v>
      </c>
      <c r="V884" s="6">
        <f>IF(ISERROR(VLOOKUP($S$884,'TAR FIN'!$A$1:$O$104,15,0)),0,VLOOKUP($S$884,'TAR FIN'!$A$1:$O$104,15,0))</f>
        <v>26.22</v>
      </c>
      <c r="W884" s="6">
        <f>IF(ISERROR(VLOOKUP($T$884,'TAR FIN'!$A$1:$O$104,15,0)),0,VLOOKUP($T$884,'TAR FIN'!$A$1:$O$104,15,0))</f>
        <v>0</v>
      </c>
      <c r="X884" s="6">
        <f>IF(ISERROR(VLOOKUP($U$884,'TAR FIN'!$A$1:$O$104,15,0)),0,VLOOKUP($U$884,'TAR FIN'!$A$1:$O$104,15,0))</f>
        <v>0</v>
      </c>
      <c r="Y884" s="6">
        <f ca="1">('TUSD BE'!$AM$24+'TUSD BF'!$AM$24+'TUSD CVA'!$AM$24)*1</f>
        <v>26.280164278980507</v>
      </c>
      <c r="Z884" s="6"/>
      <c r="AA884" s="6"/>
      <c r="AB884" s="6">
        <f>$K$884*$V$884</f>
        <v>18327.78</v>
      </c>
      <c r="AC884" s="6">
        <f>$M$884*$W$884</f>
        <v>0</v>
      </c>
      <c r="AD884" s="6">
        <f>$O$884*$X$884</f>
        <v>0</v>
      </c>
      <c r="AE884" s="6">
        <f ca="1">$K$884*$Y$884</f>
        <v>18369.834831007374</v>
      </c>
      <c r="AF884" s="6">
        <f>$M$884*$Z$884</f>
        <v>0</v>
      </c>
      <c r="AG884" s="6">
        <f>$O$884*$AA$884</f>
        <v>0</v>
      </c>
    </row>
    <row r="885" spans="1:33" ht="11.25" customHeight="1" x14ac:dyDescent="0.25">
      <c r="A885" s="4" t="s">
        <v>21</v>
      </c>
      <c r="B885" s="4" t="s">
        <v>41</v>
      </c>
      <c r="C885" s="4" t="s">
        <v>42</v>
      </c>
      <c r="D885" s="4" t="s">
        <v>52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44501</v>
      </c>
      <c r="J885" s="6">
        <v>698</v>
      </c>
      <c r="K885" s="6">
        <v>698</v>
      </c>
      <c r="L885" s="6">
        <v>0</v>
      </c>
      <c r="M885" s="6">
        <v>0</v>
      </c>
      <c r="N885" s="6">
        <v>0</v>
      </c>
      <c r="O885" s="6">
        <v>0</v>
      </c>
      <c r="P885" s="6">
        <v>4</v>
      </c>
      <c r="Q885" s="4" t="s">
        <v>26</v>
      </c>
      <c r="R885" s="4">
        <v>0</v>
      </c>
      <c r="S885" s="6">
        <v>40</v>
      </c>
      <c r="T885" s="6">
        <v>0</v>
      </c>
      <c r="U885" s="6">
        <v>0</v>
      </c>
      <c r="V885" s="6">
        <f>IF(ISERROR(VLOOKUP($S$885,'TAR FIN'!$A$1:$O$104,15,0)),0,VLOOKUP($S$885,'TAR FIN'!$A$1:$O$104,15,0))</f>
        <v>26.22</v>
      </c>
      <c r="W885" s="6">
        <f>IF(ISERROR(VLOOKUP($T$885,'TAR FIN'!$A$1:$O$104,15,0)),0,VLOOKUP($T$885,'TAR FIN'!$A$1:$O$104,15,0))</f>
        <v>0</v>
      </c>
      <c r="X885" s="6">
        <f>IF(ISERROR(VLOOKUP($U$885,'TAR FIN'!$A$1:$O$104,15,0)),0,VLOOKUP($U$885,'TAR FIN'!$A$1:$O$104,15,0))</f>
        <v>0</v>
      </c>
      <c r="Y885" s="6">
        <f ca="1">('TUSD BE'!$AM$24+'TUSD BF'!$AM$24+'TUSD CVA'!$AM$24)*1</f>
        <v>26.280164278980507</v>
      </c>
      <c r="Z885" s="6"/>
      <c r="AA885" s="6"/>
      <c r="AB885" s="6">
        <f>$K$885*$V$885</f>
        <v>18301.559999999998</v>
      </c>
      <c r="AC885" s="6">
        <f>$M$885*$W$885</f>
        <v>0</v>
      </c>
      <c r="AD885" s="6">
        <f>$O$885*$X$885</f>
        <v>0</v>
      </c>
      <c r="AE885" s="6">
        <f ca="1">$K$885*$Y$885</f>
        <v>18343.554666728392</v>
      </c>
      <c r="AF885" s="6">
        <f>$M$885*$Z$885</f>
        <v>0</v>
      </c>
      <c r="AG885" s="6">
        <f>$O$885*$AA$885</f>
        <v>0</v>
      </c>
    </row>
    <row r="886" spans="1:33" ht="11.25" customHeight="1" x14ac:dyDescent="0.25">
      <c r="A886" s="4" t="s">
        <v>21</v>
      </c>
      <c r="B886" s="4" t="s">
        <v>41</v>
      </c>
      <c r="C886" s="4" t="s">
        <v>42</v>
      </c>
      <c r="D886" s="4" t="s">
        <v>52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44531</v>
      </c>
      <c r="J886" s="6">
        <v>698</v>
      </c>
      <c r="K886" s="6">
        <v>698</v>
      </c>
      <c r="L886" s="6">
        <v>0</v>
      </c>
      <c r="M886" s="6">
        <v>0</v>
      </c>
      <c r="N886" s="6">
        <v>0</v>
      </c>
      <c r="O886" s="6">
        <v>0</v>
      </c>
      <c r="P886" s="6">
        <v>4</v>
      </c>
      <c r="Q886" s="4" t="s">
        <v>26</v>
      </c>
      <c r="R886" s="4">
        <v>0</v>
      </c>
      <c r="S886" s="6">
        <v>40</v>
      </c>
      <c r="T886" s="6">
        <v>0</v>
      </c>
      <c r="U886" s="6">
        <v>0</v>
      </c>
      <c r="V886" s="6">
        <f>IF(ISERROR(VLOOKUP($S$886,'TAR FIN'!$A$1:$O$104,15,0)),0,VLOOKUP($S$886,'TAR FIN'!$A$1:$O$104,15,0))</f>
        <v>26.22</v>
      </c>
      <c r="W886" s="6">
        <f>IF(ISERROR(VLOOKUP($T$886,'TAR FIN'!$A$1:$O$104,15,0)),0,VLOOKUP($T$886,'TAR FIN'!$A$1:$O$104,15,0))</f>
        <v>0</v>
      </c>
      <c r="X886" s="6">
        <f>IF(ISERROR(VLOOKUP($U$886,'TAR FIN'!$A$1:$O$104,15,0)),0,VLOOKUP($U$886,'TAR FIN'!$A$1:$O$104,15,0))</f>
        <v>0</v>
      </c>
      <c r="Y886" s="6">
        <f ca="1">('TUSD BE'!$AM$24+'TUSD BF'!$AM$24+'TUSD CVA'!$AM$24)*1</f>
        <v>26.280164278980507</v>
      </c>
      <c r="Z886" s="6"/>
      <c r="AA886" s="6"/>
      <c r="AB886" s="6">
        <f>$K$886*$V$886</f>
        <v>18301.559999999998</v>
      </c>
      <c r="AC886" s="6">
        <f>$M$886*$W$886</f>
        <v>0</v>
      </c>
      <c r="AD886" s="6">
        <f>$O$886*$X$886</f>
        <v>0</v>
      </c>
      <c r="AE886" s="6">
        <f ca="1">$K$886*$Y$886</f>
        <v>18343.554666728392</v>
      </c>
      <c r="AF886" s="6">
        <f>$M$886*$Z$886</f>
        <v>0</v>
      </c>
      <c r="AG886" s="6">
        <f>$O$886*$AA$886</f>
        <v>0</v>
      </c>
    </row>
    <row r="887" spans="1:33" ht="11.25" customHeight="1" x14ac:dyDescent="0.25">
      <c r="A887" s="4" t="s">
        <v>21</v>
      </c>
      <c r="B887" s="4" t="s">
        <v>41</v>
      </c>
      <c r="C887" s="4" t="s">
        <v>42</v>
      </c>
      <c r="D887" s="4" t="s">
        <v>52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44562</v>
      </c>
      <c r="J887" s="6">
        <v>695</v>
      </c>
      <c r="K887" s="6">
        <v>695</v>
      </c>
      <c r="L887" s="6">
        <v>0</v>
      </c>
      <c r="M887" s="6">
        <v>0</v>
      </c>
      <c r="N887" s="6">
        <v>0</v>
      </c>
      <c r="O887" s="6">
        <v>0</v>
      </c>
      <c r="P887" s="6">
        <v>4</v>
      </c>
      <c r="Q887" s="4" t="s">
        <v>26</v>
      </c>
      <c r="R887" s="4">
        <v>0</v>
      </c>
      <c r="S887" s="6">
        <v>40</v>
      </c>
      <c r="T887" s="6">
        <v>0</v>
      </c>
      <c r="U887" s="6">
        <v>0</v>
      </c>
      <c r="V887" s="6">
        <f>IF(ISERROR(VLOOKUP($S$887,'TAR FIN'!$A$1:$O$104,15,0)),0,VLOOKUP($S$887,'TAR FIN'!$A$1:$O$104,15,0))</f>
        <v>26.22</v>
      </c>
      <c r="W887" s="6">
        <f>IF(ISERROR(VLOOKUP($T$887,'TAR FIN'!$A$1:$O$104,15,0)),0,VLOOKUP($T$887,'TAR FIN'!$A$1:$O$104,15,0))</f>
        <v>0</v>
      </c>
      <c r="X887" s="6">
        <f>IF(ISERROR(VLOOKUP($U$887,'TAR FIN'!$A$1:$O$104,15,0)),0,VLOOKUP($U$887,'TAR FIN'!$A$1:$O$104,15,0))</f>
        <v>0</v>
      </c>
      <c r="Y887" s="6">
        <f ca="1">('TUSD BE'!$AM$24+'TUSD BF'!$AM$24+'TUSD CVA'!$AM$24)*1</f>
        <v>26.280164278980507</v>
      </c>
      <c r="Z887" s="6"/>
      <c r="AA887" s="6"/>
      <c r="AB887" s="6">
        <f>$K$887*$V$887</f>
        <v>18222.899999999998</v>
      </c>
      <c r="AC887" s="6">
        <f>$M$887*$W$887</f>
        <v>0</v>
      </c>
      <c r="AD887" s="6">
        <f>$O$887*$X$887</f>
        <v>0</v>
      </c>
      <c r="AE887" s="6">
        <f ca="1">$K$887*$Y$887</f>
        <v>18264.714173891454</v>
      </c>
      <c r="AF887" s="6">
        <f>$M$887*$Z$887</f>
        <v>0</v>
      </c>
      <c r="AG887" s="6">
        <f>$O$887*$AA$887</f>
        <v>0</v>
      </c>
    </row>
    <row r="888" spans="1:33" ht="11.25" customHeight="1" x14ac:dyDescent="0.25">
      <c r="A888" s="4" t="s">
        <v>21</v>
      </c>
      <c r="B888" s="4" t="s">
        <v>41</v>
      </c>
      <c r="C888" s="4" t="s">
        <v>42</v>
      </c>
      <c r="D888" s="4" t="s">
        <v>52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44593</v>
      </c>
      <c r="J888" s="6">
        <v>695</v>
      </c>
      <c r="K888" s="6">
        <v>695</v>
      </c>
      <c r="L888" s="6">
        <v>0</v>
      </c>
      <c r="M888" s="6">
        <v>0</v>
      </c>
      <c r="N888" s="6">
        <v>0</v>
      </c>
      <c r="O888" s="6">
        <v>0</v>
      </c>
      <c r="P888" s="6">
        <v>4</v>
      </c>
      <c r="Q888" s="4" t="s">
        <v>26</v>
      </c>
      <c r="R888" s="4">
        <v>0</v>
      </c>
      <c r="S888" s="6">
        <v>40</v>
      </c>
      <c r="T888" s="6">
        <v>0</v>
      </c>
      <c r="U888" s="6">
        <v>0</v>
      </c>
      <c r="V888" s="6">
        <f>IF(ISERROR(VLOOKUP($S$888,'TAR FIN'!$A$1:$O$104,15,0)),0,VLOOKUP($S$888,'TAR FIN'!$A$1:$O$104,15,0))</f>
        <v>26.22</v>
      </c>
      <c r="W888" s="6">
        <f>IF(ISERROR(VLOOKUP($T$888,'TAR FIN'!$A$1:$O$104,15,0)),0,VLOOKUP($T$888,'TAR FIN'!$A$1:$O$104,15,0))</f>
        <v>0</v>
      </c>
      <c r="X888" s="6">
        <f>IF(ISERROR(VLOOKUP($U$888,'TAR FIN'!$A$1:$O$104,15,0)),0,VLOOKUP($U$888,'TAR FIN'!$A$1:$O$104,15,0))</f>
        <v>0</v>
      </c>
      <c r="Y888" s="6">
        <f ca="1">('TUSD BE'!$AM$24+'TUSD BF'!$AM$24+'TUSD CVA'!$AM$24)*1</f>
        <v>26.280164278980507</v>
      </c>
      <c r="Z888" s="6"/>
      <c r="AA888" s="6"/>
      <c r="AB888" s="6">
        <f>$K$888*$V$888</f>
        <v>18222.899999999998</v>
      </c>
      <c r="AC888" s="6">
        <f>$M$888*$W$888</f>
        <v>0</v>
      </c>
      <c r="AD888" s="6">
        <f>$O$888*$X$888</f>
        <v>0</v>
      </c>
      <c r="AE888" s="6">
        <f ca="1">$K$888*$Y$888</f>
        <v>18264.714173891454</v>
      </c>
      <c r="AF888" s="6">
        <f>$M$888*$Z$888</f>
        <v>0</v>
      </c>
      <c r="AG888" s="6">
        <f>$O$888*$AA$888</f>
        <v>0</v>
      </c>
    </row>
    <row r="889" spans="1:33" ht="11.25" customHeight="1" x14ac:dyDescent="0.25">
      <c r="A889" s="4" t="s">
        <v>21</v>
      </c>
      <c r="B889" s="4" t="s">
        <v>41</v>
      </c>
      <c r="C889" s="4" t="s">
        <v>42</v>
      </c>
      <c r="D889" s="4" t="s">
        <v>52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44621</v>
      </c>
      <c r="J889" s="6">
        <v>695</v>
      </c>
      <c r="K889" s="6">
        <v>695</v>
      </c>
      <c r="L889" s="6">
        <v>0</v>
      </c>
      <c r="M889" s="6">
        <v>0</v>
      </c>
      <c r="N889" s="6">
        <v>0</v>
      </c>
      <c r="O889" s="6">
        <v>0</v>
      </c>
      <c r="P889" s="6">
        <v>4</v>
      </c>
      <c r="Q889" s="4" t="s">
        <v>26</v>
      </c>
      <c r="R889" s="4">
        <v>0</v>
      </c>
      <c r="S889" s="6">
        <v>40</v>
      </c>
      <c r="T889" s="6">
        <v>0</v>
      </c>
      <c r="U889" s="6">
        <v>0</v>
      </c>
      <c r="V889" s="6">
        <f>IF(ISERROR(VLOOKUP($S$889,'TAR FIN'!$A$1:$O$104,15,0)),0,VLOOKUP($S$889,'TAR FIN'!$A$1:$O$104,15,0))</f>
        <v>26.22</v>
      </c>
      <c r="W889" s="6">
        <f>IF(ISERROR(VLOOKUP($T$889,'TAR FIN'!$A$1:$O$104,15,0)),0,VLOOKUP($T$889,'TAR FIN'!$A$1:$O$104,15,0))</f>
        <v>0</v>
      </c>
      <c r="X889" s="6">
        <f>IF(ISERROR(VLOOKUP($U$889,'TAR FIN'!$A$1:$O$104,15,0)),0,VLOOKUP($U$889,'TAR FIN'!$A$1:$O$104,15,0))</f>
        <v>0</v>
      </c>
      <c r="Y889" s="6">
        <f ca="1">('TUSD BE'!$AM$24+'TUSD BF'!$AM$24+'TUSD CVA'!$AM$24)*1</f>
        <v>26.280164278980507</v>
      </c>
      <c r="Z889" s="6"/>
      <c r="AA889" s="6"/>
      <c r="AB889" s="6">
        <f>$K$889*$V$889</f>
        <v>18222.899999999998</v>
      </c>
      <c r="AC889" s="6">
        <f>$M$889*$W$889</f>
        <v>0</v>
      </c>
      <c r="AD889" s="6">
        <f>$O$889*$X$889</f>
        <v>0</v>
      </c>
      <c r="AE889" s="6">
        <f ca="1">$K$889*$Y$889</f>
        <v>18264.714173891454</v>
      </c>
      <c r="AF889" s="6">
        <f>$M$889*$Z$889</f>
        <v>0</v>
      </c>
      <c r="AG889" s="6">
        <f>$O$889*$AA$889</f>
        <v>0</v>
      </c>
    </row>
    <row r="890" spans="1:33" ht="11.25" customHeight="1" x14ac:dyDescent="0.25">
      <c r="A890" s="4" t="s">
        <v>21</v>
      </c>
      <c r="B890" s="4" t="s">
        <v>41</v>
      </c>
      <c r="C890" s="4" t="s">
        <v>42</v>
      </c>
      <c r="D890" s="4" t="s">
        <v>52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44652</v>
      </c>
      <c r="J890" s="6">
        <v>695</v>
      </c>
      <c r="K890" s="6">
        <v>695</v>
      </c>
      <c r="L890" s="6">
        <v>0</v>
      </c>
      <c r="M890" s="6">
        <v>0</v>
      </c>
      <c r="N890" s="6">
        <v>0</v>
      </c>
      <c r="O890" s="6">
        <v>0</v>
      </c>
      <c r="P890" s="6">
        <v>4</v>
      </c>
      <c r="Q890" s="4" t="s">
        <v>26</v>
      </c>
      <c r="R890" s="4">
        <v>0</v>
      </c>
      <c r="S890" s="6">
        <v>40</v>
      </c>
      <c r="T890" s="6">
        <v>0</v>
      </c>
      <c r="U890" s="6">
        <v>0</v>
      </c>
      <c r="V890" s="6">
        <f>IF(ISERROR(VLOOKUP($S$890,'TAR FIN'!$A$1:$O$104,15,0)),0,VLOOKUP($S$890,'TAR FIN'!$A$1:$O$104,15,0))</f>
        <v>26.22</v>
      </c>
      <c r="W890" s="6">
        <f>IF(ISERROR(VLOOKUP($T$890,'TAR FIN'!$A$1:$O$104,15,0)),0,VLOOKUP($T$890,'TAR FIN'!$A$1:$O$104,15,0))</f>
        <v>0</v>
      </c>
      <c r="X890" s="6">
        <f>IF(ISERROR(VLOOKUP($U$890,'TAR FIN'!$A$1:$O$104,15,0)),0,VLOOKUP($U$890,'TAR FIN'!$A$1:$O$104,15,0))</f>
        <v>0</v>
      </c>
      <c r="Y890" s="6">
        <f ca="1">('TUSD BE'!$AM$24+'TUSD BF'!$AM$24+'TUSD CVA'!$AM$24)*1</f>
        <v>26.280164278980507</v>
      </c>
      <c r="Z890" s="6"/>
      <c r="AA890" s="6"/>
      <c r="AB890" s="6">
        <f>$K$890*$V$890</f>
        <v>18222.899999999998</v>
      </c>
      <c r="AC890" s="6">
        <f>$M$890*$W$890</f>
        <v>0</v>
      </c>
      <c r="AD890" s="6">
        <f>$O$890*$X$890</f>
        <v>0</v>
      </c>
      <c r="AE890" s="6">
        <f ca="1">$K$890*$Y$890</f>
        <v>18264.714173891454</v>
      </c>
      <c r="AF890" s="6">
        <f>$M$890*$Z$890</f>
        <v>0</v>
      </c>
      <c r="AG890" s="6">
        <f>$O$890*$AA$890</f>
        <v>0</v>
      </c>
    </row>
    <row r="891" spans="1:33" ht="11.25" customHeight="1" x14ac:dyDescent="0.25">
      <c r="A891" s="4" t="s">
        <v>21</v>
      </c>
      <c r="B891" s="4" t="s">
        <v>41</v>
      </c>
      <c r="C891" s="4" t="s">
        <v>42</v>
      </c>
      <c r="D891" s="4" t="s">
        <v>52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44682</v>
      </c>
      <c r="J891" s="6">
        <v>695</v>
      </c>
      <c r="K891" s="6">
        <v>695</v>
      </c>
      <c r="L891" s="6">
        <v>0</v>
      </c>
      <c r="M891" s="6">
        <v>0</v>
      </c>
      <c r="N891" s="6">
        <v>0</v>
      </c>
      <c r="O891" s="6">
        <v>0</v>
      </c>
      <c r="P891" s="6">
        <v>4</v>
      </c>
      <c r="Q891" s="4" t="s">
        <v>26</v>
      </c>
      <c r="R891" s="4">
        <v>0</v>
      </c>
      <c r="S891" s="6">
        <v>40</v>
      </c>
      <c r="T891" s="6">
        <v>0</v>
      </c>
      <c r="U891" s="6">
        <v>0</v>
      </c>
      <c r="V891" s="6">
        <f>IF(ISERROR(VLOOKUP($S$891,'TAR FIN'!$A$1:$O$104,15,0)),0,VLOOKUP($S$891,'TAR FIN'!$A$1:$O$104,15,0))</f>
        <v>26.22</v>
      </c>
      <c r="W891" s="6">
        <f>IF(ISERROR(VLOOKUP($T$891,'TAR FIN'!$A$1:$O$104,15,0)),0,VLOOKUP($T$891,'TAR FIN'!$A$1:$O$104,15,0))</f>
        <v>0</v>
      </c>
      <c r="X891" s="6">
        <f>IF(ISERROR(VLOOKUP($U$891,'TAR FIN'!$A$1:$O$104,15,0)),0,VLOOKUP($U$891,'TAR FIN'!$A$1:$O$104,15,0))</f>
        <v>0</v>
      </c>
      <c r="Y891" s="6">
        <f ca="1">('TUSD BE'!$AM$24+'TUSD BF'!$AM$24+'TUSD CVA'!$AM$24)*1</f>
        <v>26.280164278980507</v>
      </c>
      <c r="Z891" s="6"/>
      <c r="AA891" s="6"/>
      <c r="AB891" s="6">
        <f>$K$891*$V$891</f>
        <v>18222.899999999998</v>
      </c>
      <c r="AC891" s="6">
        <f>$M$891*$W$891</f>
        <v>0</v>
      </c>
      <c r="AD891" s="6">
        <f>$O$891*$X$891</f>
        <v>0</v>
      </c>
      <c r="AE891" s="6">
        <f ca="1">$K$891*$Y$891</f>
        <v>18264.714173891454</v>
      </c>
      <c r="AF891" s="6">
        <f>$M$891*$Z$891</f>
        <v>0</v>
      </c>
      <c r="AG891" s="6">
        <f>$O$891*$AA$891</f>
        <v>0</v>
      </c>
    </row>
    <row r="892" spans="1:33" ht="11.25" customHeight="1" x14ac:dyDescent="0.25">
      <c r="A892" s="4" t="s">
        <v>21</v>
      </c>
      <c r="B892" s="4" t="s">
        <v>41</v>
      </c>
      <c r="C892" s="4" t="s">
        <v>42</v>
      </c>
      <c r="D892" s="4" t="s">
        <v>52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44713</v>
      </c>
      <c r="J892" s="6">
        <v>695</v>
      </c>
      <c r="K892" s="6">
        <v>695</v>
      </c>
      <c r="L892" s="6">
        <v>0</v>
      </c>
      <c r="M892" s="6">
        <v>0</v>
      </c>
      <c r="N892" s="6">
        <v>0</v>
      </c>
      <c r="O892" s="6">
        <v>0</v>
      </c>
      <c r="P892" s="6">
        <v>4</v>
      </c>
      <c r="Q892" s="4" t="s">
        <v>26</v>
      </c>
      <c r="R892" s="4">
        <v>0</v>
      </c>
      <c r="S892" s="6">
        <v>40</v>
      </c>
      <c r="T892" s="6">
        <v>0</v>
      </c>
      <c r="U892" s="6">
        <v>0</v>
      </c>
      <c r="V892" s="6">
        <f>IF(ISERROR(VLOOKUP($S$892,'TAR FIN'!$A$1:$O$104,15,0)),0,VLOOKUP($S$892,'TAR FIN'!$A$1:$O$104,15,0))</f>
        <v>26.22</v>
      </c>
      <c r="W892" s="6">
        <f>IF(ISERROR(VLOOKUP($T$892,'TAR FIN'!$A$1:$O$104,15,0)),0,VLOOKUP($T$892,'TAR FIN'!$A$1:$O$104,15,0))</f>
        <v>0</v>
      </c>
      <c r="X892" s="6">
        <f>IF(ISERROR(VLOOKUP($U$892,'TAR FIN'!$A$1:$O$104,15,0)),0,VLOOKUP($U$892,'TAR FIN'!$A$1:$O$104,15,0))</f>
        <v>0</v>
      </c>
      <c r="Y892" s="6">
        <f ca="1">('TUSD BE'!$AM$24+'TUSD BF'!$AM$24+'TUSD CVA'!$AM$24)*1</f>
        <v>26.280164278980507</v>
      </c>
      <c r="Z892" s="6"/>
      <c r="AA892" s="6"/>
      <c r="AB892" s="6">
        <f>$K$892*$V$892</f>
        <v>18222.899999999998</v>
      </c>
      <c r="AC892" s="6">
        <f>$M$892*$W$892</f>
        <v>0</v>
      </c>
      <c r="AD892" s="6">
        <f>$O$892*$X$892</f>
        <v>0</v>
      </c>
      <c r="AE892" s="6">
        <f ca="1">$K$892*$Y$892</f>
        <v>18264.714173891454</v>
      </c>
      <c r="AF892" s="6">
        <f>$M$892*$Z$892</f>
        <v>0</v>
      </c>
      <c r="AG892" s="6">
        <f>$O$892*$AA$892</f>
        <v>0</v>
      </c>
    </row>
    <row r="893" spans="1:33" ht="11.25" customHeight="1" x14ac:dyDescent="0.25">
      <c r="A893" s="4" t="s">
        <v>57</v>
      </c>
      <c r="B893" s="4" t="s">
        <v>41</v>
      </c>
      <c r="C893" s="4" t="s">
        <v>42</v>
      </c>
      <c r="D893" s="4" t="s">
        <v>52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44743</v>
      </c>
      <c r="J893" s="6">
        <v>695</v>
      </c>
      <c r="K893" s="6">
        <v>695</v>
      </c>
      <c r="L893" s="6">
        <v>0</v>
      </c>
      <c r="M893" s="6">
        <v>0</v>
      </c>
      <c r="N893" s="6">
        <v>0</v>
      </c>
      <c r="O893" s="6">
        <v>0</v>
      </c>
      <c r="P893" s="6">
        <v>4</v>
      </c>
      <c r="Q893" s="4" t="s">
        <v>26</v>
      </c>
      <c r="R893" s="4">
        <v>0</v>
      </c>
      <c r="S893" s="6">
        <v>40</v>
      </c>
      <c r="T893" s="6">
        <v>0</v>
      </c>
      <c r="U893" s="6">
        <v>0</v>
      </c>
      <c r="V893" s="6">
        <f>IF(ISERROR(VLOOKUP($S$893,'TAR FIN'!$A$1:$O$104,15,0)),0,VLOOKUP($S$893,'TAR FIN'!$A$1:$O$104,15,0))</f>
        <v>26.22</v>
      </c>
      <c r="W893" s="6">
        <f>IF(ISERROR(VLOOKUP($T$893,'TAR FIN'!$A$1:$O$104,15,0)),0,VLOOKUP($T$893,'TAR FIN'!$A$1:$O$104,15,0))</f>
        <v>0</v>
      </c>
      <c r="X893" s="6">
        <f>IF(ISERROR(VLOOKUP($U$893,'TAR FIN'!$A$1:$O$104,15,0)),0,VLOOKUP($U$893,'TAR FIN'!$A$1:$O$104,15,0))</f>
        <v>0</v>
      </c>
      <c r="Y893" s="6">
        <f ca="1">('TUSD BE'!$AM$24+'TUSD BF'!$AM$24+'TUSD CVA'!$AM$24)*1</f>
        <v>26.280164278980507</v>
      </c>
      <c r="Z893" s="6"/>
      <c r="AA893" s="6"/>
      <c r="AB893" s="6">
        <f>$K$893*$V$893</f>
        <v>18222.899999999998</v>
      </c>
      <c r="AC893" s="6">
        <f>$M$893*$W$893</f>
        <v>0</v>
      </c>
      <c r="AD893" s="6">
        <f>$O$893*$X$893</f>
        <v>0</v>
      </c>
      <c r="AE893" s="6">
        <f ca="1">$K$893*$Y$893</f>
        <v>18264.714173891454</v>
      </c>
      <c r="AF893" s="6">
        <f>$M$893*$Z$893</f>
        <v>0</v>
      </c>
      <c r="AG893" s="6">
        <f>$O$893*$AA$893</f>
        <v>0</v>
      </c>
    </row>
    <row r="894" spans="1:33" ht="11.25" customHeight="1" x14ac:dyDescent="0.25">
      <c r="A894" s="4" t="s">
        <v>21</v>
      </c>
      <c r="B894" s="4" t="s">
        <v>41</v>
      </c>
      <c r="C894" s="4" t="s">
        <v>42</v>
      </c>
      <c r="D894" s="4" t="s">
        <v>52</v>
      </c>
      <c r="E894" s="4" t="s">
        <v>25</v>
      </c>
      <c r="F894" s="4" t="s">
        <v>25</v>
      </c>
      <c r="G894" s="4" t="s">
        <v>25</v>
      </c>
      <c r="H894" s="4" t="s">
        <v>34</v>
      </c>
      <c r="I894" s="5">
        <v>44409</v>
      </c>
      <c r="J894" s="6">
        <v>0</v>
      </c>
      <c r="K894" s="6">
        <v>0</v>
      </c>
      <c r="L894" s="6">
        <v>13.287000000000001</v>
      </c>
      <c r="M894" s="6">
        <v>13.287000000000001</v>
      </c>
      <c r="N894" s="6">
        <v>13.287000000000001</v>
      </c>
      <c r="O894" s="6">
        <v>13.287000000000001</v>
      </c>
      <c r="P894" s="6">
        <v>0</v>
      </c>
      <c r="Q894" s="4" t="s">
        <v>26</v>
      </c>
      <c r="R894" s="4">
        <v>0</v>
      </c>
      <c r="S894" s="6">
        <v>0</v>
      </c>
      <c r="T894" s="6">
        <v>42</v>
      </c>
      <c r="U894" s="6">
        <v>66</v>
      </c>
      <c r="V894" s="6">
        <f>IF(ISERROR(VLOOKUP($S$894,'TAR FIN'!$A$1:$O$104,15,0)),0,VLOOKUP($S$894,'TAR FIN'!$A$1:$O$104,15,0))</f>
        <v>0</v>
      </c>
      <c r="W894" s="6">
        <f>IF(ISERROR(VLOOKUP($T$894,'TAR FIN'!$A$1:$O$104,15,0)),0,VLOOKUP($T$894,'TAR FIN'!$A$1:$O$104,15,0))</f>
        <v>1330.19</v>
      </c>
      <c r="X894" s="6">
        <f>IF(ISERROR(VLOOKUP($U$894,'TAR FIN'!$A$1:$O$104,15,0)),0,VLOOKUP($U$894,'TAR FIN'!$A$1:$O$104,15,0))</f>
        <v>397.62</v>
      </c>
      <c r="Y894" s="6"/>
      <c r="Z894" s="6">
        <f ca="1">('TUSD BE'!$AM$25+'TUSD BF'!$AM$25+'TUSD CVA'!$AM$25)*1</f>
        <v>1345.857743809549</v>
      </c>
      <c r="AA894" s="6">
        <f>('TE BE'!$AB$7+'TE BF'!$AB$7+'TE CVA'!$AB$7)*1</f>
        <v>360.26029187567116</v>
      </c>
      <c r="AB894" s="6">
        <f>$K$894*$V$894</f>
        <v>0</v>
      </c>
      <c r="AC894" s="6">
        <f>$M$894*$W$894</f>
        <v>17674.234530000002</v>
      </c>
      <c r="AD894" s="6">
        <f>$O$894*$X$894</f>
        <v>5283.1769400000003</v>
      </c>
      <c r="AE894" s="6">
        <f>$K$894*$Y$894</f>
        <v>0</v>
      </c>
      <c r="AF894" s="6">
        <f ca="1">$M$894*$Z$894</f>
        <v>17882.41184199748</v>
      </c>
      <c r="AG894" s="6">
        <f>$O$894*$AA$894</f>
        <v>4786.7784981520426</v>
      </c>
    </row>
    <row r="895" spans="1:33" ht="11.25" customHeight="1" x14ac:dyDescent="0.25">
      <c r="A895" s="4" t="s">
        <v>21</v>
      </c>
      <c r="B895" s="4" t="s">
        <v>41</v>
      </c>
      <c r="C895" s="4" t="s">
        <v>42</v>
      </c>
      <c r="D895" s="4" t="s">
        <v>52</v>
      </c>
      <c r="E895" s="4" t="s">
        <v>25</v>
      </c>
      <c r="F895" s="4" t="s">
        <v>25</v>
      </c>
      <c r="G895" s="4" t="s">
        <v>25</v>
      </c>
      <c r="H895" s="4" t="s">
        <v>34</v>
      </c>
      <c r="I895" s="5">
        <v>44440</v>
      </c>
      <c r="J895" s="6">
        <v>0</v>
      </c>
      <c r="K895" s="6">
        <v>0</v>
      </c>
      <c r="L895" s="6">
        <v>12.973000000000001</v>
      </c>
      <c r="M895" s="6">
        <v>12.973000000000001</v>
      </c>
      <c r="N895" s="6">
        <v>12.973000000000001</v>
      </c>
      <c r="O895" s="6">
        <v>12.973000000000001</v>
      </c>
      <c r="P895" s="6">
        <v>0</v>
      </c>
      <c r="Q895" s="4" t="s">
        <v>26</v>
      </c>
      <c r="R895" s="4">
        <v>0</v>
      </c>
      <c r="S895" s="6">
        <v>0</v>
      </c>
      <c r="T895" s="6">
        <v>42</v>
      </c>
      <c r="U895" s="6">
        <v>66</v>
      </c>
      <c r="V895" s="6">
        <f>IF(ISERROR(VLOOKUP($S$895,'TAR FIN'!$A$1:$O$104,15,0)),0,VLOOKUP($S$895,'TAR FIN'!$A$1:$O$104,15,0))</f>
        <v>0</v>
      </c>
      <c r="W895" s="6">
        <f>IF(ISERROR(VLOOKUP($T$895,'TAR FIN'!$A$1:$O$104,15,0)),0,VLOOKUP($T$895,'TAR FIN'!$A$1:$O$104,15,0))</f>
        <v>1330.19</v>
      </c>
      <c r="X895" s="6">
        <f>IF(ISERROR(VLOOKUP($U$895,'TAR FIN'!$A$1:$O$104,15,0)),0,VLOOKUP($U$895,'TAR FIN'!$A$1:$O$104,15,0))</f>
        <v>397.62</v>
      </c>
      <c r="Y895" s="6"/>
      <c r="Z895" s="6">
        <f ca="1">('TUSD BE'!$AM$25+'TUSD BF'!$AM$25+'TUSD CVA'!$AM$25)*1</f>
        <v>1345.857743809549</v>
      </c>
      <c r="AA895" s="6">
        <f>('TE BE'!$AB$7+'TE BF'!$AB$7+'TE CVA'!$AB$7)*1</f>
        <v>360.26029187567116</v>
      </c>
      <c r="AB895" s="6">
        <f>$K$895*$V$895</f>
        <v>0</v>
      </c>
      <c r="AC895" s="6">
        <f>$M$895*$W$895</f>
        <v>17256.55487</v>
      </c>
      <c r="AD895" s="6">
        <f>$O$895*$X$895</f>
        <v>5158.3242600000003</v>
      </c>
      <c r="AE895" s="6">
        <f>$K$895*$Y$895</f>
        <v>0</v>
      </c>
      <c r="AF895" s="6">
        <f ca="1">$M$895*$Z$895</f>
        <v>17459.812510441279</v>
      </c>
      <c r="AG895" s="6">
        <f>$O$895*$AA$895</f>
        <v>4673.6567665030825</v>
      </c>
    </row>
    <row r="896" spans="1:33" ht="11.25" customHeight="1" x14ac:dyDescent="0.25">
      <c r="A896" s="4" t="s">
        <v>21</v>
      </c>
      <c r="B896" s="4" t="s">
        <v>41</v>
      </c>
      <c r="C896" s="4" t="s">
        <v>42</v>
      </c>
      <c r="D896" s="4" t="s">
        <v>52</v>
      </c>
      <c r="E896" s="4" t="s">
        <v>25</v>
      </c>
      <c r="F896" s="4" t="s">
        <v>25</v>
      </c>
      <c r="G896" s="4" t="s">
        <v>25</v>
      </c>
      <c r="H896" s="4" t="s">
        <v>34</v>
      </c>
      <c r="I896" s="5">
        <v>44470</v>
      </c>
      <c r="J896" s="6">
        <v>0</v>
      </c>
      <c r="K896" s="6">
        <v>0</v>
      </c>
      <c r="L896" s="6">
        <v>12.781000000000001</v>
      </c>
      <c r="M896" s="6">
        <v>12.781000000000001</v>
      </c>
      <c r="N896" s="6">
        <v>12.781000000000001</v>
      </c>
      <c r="O896" s="6">
        <v>12.781000000000001</v>
      </c>
      <c r="P896" s="6">
        <v>0</v>
      </c>
      <c r="Q896" s="4" t="s">
        <v>26</v>
      </c>
      <c r="R896" s="4">
        <v>0</v>
      </c>
      <c r="S896" s="6">
        <v>0</v>
      </c>
      <c r="T896" s="6">
        <v>42</v>
      </c>
      <c r="U896" s="6">
        <v>66</v>
      </c>
      <c r="V896" s="6">
        <f>IF(ISERROR(VLOOKUP($S$896,'TAR FIN'!$A$1:$O$104,15,0)),0,VLOOKUP($S$896,'TAR FIN'!$A$1:$O$104,15,0))</f>
        <v>0</v>
      </c>
      <c r="W896" s="6">
        <f>IF(ISERROR(VLOOKUP($T$896,'TAR FIN'!$A$1:$O$104,15,0)),0,VLOOKUP($T$896,'TAR FIN'!$A$1:$O$104,15,0))</f>
        <v>1330.19</v>
      </c>
      <c r="X896" s="6">
        <f>IF(ISERROR(VLOOKUP($U$896,'TAR FIN'!$A$1:$O$104,15,0)),0,VLOOKUP($U$896,'TAR FIN'!$A$1:$O$104,15,0))</f>
        <v>397.62</v>
      </c>
      <c r="Y896" s="6"/>
      <c r="Z896" s="6">
        <f ca="1">('TUSD BE'!$AM$25+'TUSD BF'!$AM$25+'TUSD CVA'!$AM$25)*1</f>
        <v>1345.857743809549</v>
      </c>
      <c r="AA896" s="6">
        <f>('TE BE'!$AB$7+'TE BF'!$AB$7+'TE CVA'!$AB$7)*1</f>
        <v>360.26029187567116</v>
      </c>
      <c r="AB896" s="6">
        <f>$K$896*$V$896</f>
        <v>0</v>
      </c>
      <c r="AC896" s="6">
        <f>$M$896*$W$896</f>
        <v>17001.158390000001</v>
      </c>
      <c r="AD896" s="6">
        <f>$O$896*$X$896</f>
        <v>5081.9812200000006</v>
      </c>
      <c r="AE896" s="6">
        <f>$K$896*$Y$896</f>
        <v>0</v>
      </c>
      <c r="AF896" s="6">
        <f ca="1">$M$896*$Z$896</f>
        <v>17201.407823629845</v>
      </c>
      <c r="AG896" s="6">
        <f>$O$896*$AA$896</f>
        <v>4604.4867904629536</v>
      </c>
    </row>
    <row r="897" spans="1:33" ht="11.25" customHeight="1" x14ac:dyDescent="0.25">
      <c r="A897" s="4" t="s">
        <v>21</v>
      </c>
      <c r="B897" s="4" t="s">
        <v>41</v>
      </c>
      <c r="C897" s="4" t="s">
        <v>42</v>
      </c>
      <c r="D897" s="4" t="s">
        <v>52</v>
      </c>
      <c r="E897" s="4" t="s">
        <v>25</v>
      </c>
      <c r="F897" s="4" t="s">
        <v>25</v>
      </c>
      <c r="G897" s="4" t="s">
        <v>25</v>
      </c>
      <c r="H897" s="4" t="s">
        <v>34</v>
      </c>
      <c r="I897" s="5">
        <v>44501</v>
      </c>
      <c r="J897" s="6">
        <v>0</v>
      </c>
      <c r="K897" s="6">
        <v>0</v>
      </c>
      <c r="L897" s="6">
        <v>12.78</v>
      </c>
      <c r="M897" s="6">
        <v>12.78</v>
      </c>
      <c r="N897" s="6">
        <v>12.78</v>
      </c>
      <c r="O897" s="6">
        <v>12.78</v>
      </c>
      <c r="P897" s="6">
        <v>0</v>
      </c>
      <c r="Q897" s="4" t="s">
        <v>26</v>
      </c>
      <c r="R897" s="4">
        <v>0</v>
      </c>
      <c r="S897" s="6">
        <v>0</v>
      </c>
      <c r="T897" s="6">
        <v>42</v>
      </c>
      <c r="U897" s="6">
        <v>66</v>
      </c>
      <c r="V897" s="6">
        <f>IF(ISERROR(VLOOKUP($S$897,'TAR FIN'!$A$1:$O$104,15,0)),0,VLOOKUP($S$897,'TAR FIN'!$A$1:$O$104,15,0))</f>
        <v>0</v>
      </c>
      <c r="W897" s="6">
        <f>IF(ISERROR(VLOOKUP($T$897,'TAR FIN'!$A$1:$O$104,15,0)),0,VLOOKUP($T$897,'TAR FIN'!$A$1:$O$104,15,0))</f>
        <v>1330.19</v>
      </c>
      <c r="X897" s="6">
        <f>IF(ISERROR(VLOOKUP($U$897,'TAR FIN'!$A$1:$O$104,15,0)),0,VLOOKUP($U$897,'TAR FIN'!$A$1:$O$104,15,0))</f>
        <v>397.62</v>
      </c>
      <c r="Y897" s="6"/>
      <c r="Z897" s="6">
        <f ca="1">('TUSD BE'!$AM$25+'TUSD BF'!$AM$25+'TUSD CVA'!$AM$25)*1</f>
        <v>1345.857743809549</v>
      </c>
      <c r="AA897" s="6">
        <f>('TE BE'!$AB$7+'TE BF'!$AB$7+'TE CVA'!$AB$7)*1</f>
        <v>360.26029187567116</v>
      </c>
      <c r="AB897" s="6">
        <f>$K$897*$V$897</f>
        <v>0</v>
      </c>
      <c r="AC897" s="6">
        <f>$M$897*$W$897</f>
        <v>16999.8282</v>
      </c>
      <c r="AD897" s="6">
        <f>$O$897*$X$897</f>
        <v>5081.5835999999999</v>
      </c>
      <c r="AE897" s="6">
        <f>$K$897*$Y$897</f>
        <v>0</v>
      </c>
      <c r="AF897" s="6">
        <f ca="1">$M$897*$Z$897</f>
        <v>17200.061965886034</v>
      </c>
      <c r="AG897" s="6">
        <f>$O$897*$AA$897</f>
        <v>4604.1265301710773</v>
      </c>
    </row>
    <row r="898" spans="1:33" ht="11.25" customHeight="1" x14ac:dyDescent="0.25">
      <c r="A898" s="4" t="s">
        <v>21</v>
      </c>
      <c r="B898" s="4" t="s">
        <v>41</v>
      </c>
      <c r="C898" s="4" t="s">
        <v>42</v>
      </c>
      <c r="D898" s="4" t="s">
        <v>52</v>
      </c>
      <c r="E898" s="4" t="s">
        <v>25</v>
      </c>
      <c r="F898" s="4" t="s">
        <v>25</v>
      </c>
      <c r="G898" s="4" t="s">
        <v>25</v>
      </c>
      <c r="H898" s="4" t="s">
        <v>34</v>
      </c>
      <c r="I898" s="5">
        <v>44531</v>
      </c>
      <c r="J898" s="6">
        <v>0</v>
      </c>
      <c r="K898" s="6">
        <v>0</v>
      </c>
      <c r="L898" s="6">
        <v>14.375</v>
      </c>
      <c r="M898" s="6">
        <v>14.375</v>
      </c>
      <c r="N898" s="6">
        <v>14.375</v>
      </c>
      <c r="O898" s="6">
        <v>14.375</v>
      </c>
      <c r="P898" s="6">
        <v>0</v>
      </c>
      <c r="Q898" s="4" t="s">
        <v>26</v>
      </c>
      <c r="R898" s="4">
        <v>0</v>
      </c>
      <c r="S898" s="6">
        <v>0</v>
      </c>
      <c r="T898" s="6">
        <v>42</v>
      </c>
      <c r="U898" s="6">
        <v>66</v>
      </c>
      <c r="V898" s="6">
        <f>IF(ISERROR(VLOOKUP($S$898,'TAR FIN'!$A$1:$O$104,15,0)),0,VLOOKUP($S$898,'TAR FIN'!$A$1:$O$104,15,0))</f>
        <v>0</v>
      </c>
      <c r="W898" s="6">
        <f>IF(ISERROR(VLOOKUP($T$898,'TAR FIN'!$A$1:$O$104,15,0)),0,VLOOKUP($T$898,'TAR FIN'!$A$1:$O$104,15,0))</f>
        <v>1330.19</v>
      </c>
      <c r="X898" s="6">
        <f>IF(ISERROR(VLOOKUP($U$898,'TAR FIN'!$A$1:$O$104,15,0)),0,VLOOKUP($U$898,'TAR FIN'!$A$1:$O$104,15,0))</f>
        <v>397.62</v>
      </c>
      <c r="Y898" s="6"/>
      <c r="Z898" s="6">
        <f ca="1">('TUSD BE'!$AM$25+'TUSD BF'!$AM$25+'TUSD CVA'!$AM$25)*1</f>
        <v>1345.857743809549</v>
      </c>
      <c r="AA898" s="6">
        <f>('TE BE'!$AB$7+'TE BF'!$AB$7+'TE CVA'!$AB$7)*1</f>
        <v>360.26029187567116</v>
      </c>
      <c r="AB898" s="6">
        <f>$K$898*$V$898</f>
        <v>0</v>
      </c>
      <c r="AC898" s="6">
        <f>$M$898*$W$898</f>
        <v>19121.481250000001</v>
      </c>
      <c r="AD898" s="6">
        <f>$O$898*$X$898</f>
        <v>5715.7875000000004</v>
      </c>
      <c r="AE898" s="6">
        <f>$K$898*$Y$898</f>
        <v>0</v>
      </c>
      <c r="AF898" s="6">
        <f ca="1">$M$898*$Z$898</f>
        <v>19346.705067262268</v>
      </c>
      <c r="AG898" s="6">
        <f>$O$898*$AA$898</f>
        <v>5178.7416957127725</v>
      </c>
    </row>
    <row r="899" spans="1:33" ht="11.25" customHeight="1" x14ac:dyDescent="0.25">
      <c r="A899" s="4" t="s">
        <v>21</v>
      </c>
      <c r="B899" s="4" t="s">
        <v>41</v>
      </c>
      <c r="C899" s="4" t="s">
        <v>42</v>
      </c>
      <c r="D899" s="4" t="s">
        <v>52</v>
      </c>
      <c r="E899" s="4" t="s">
        <v>25</v>
      </c>
      <c r="F899" s="4" t="s">
        <v>25</v>
      </c>
      <c r="G899" s="4" t="s">
        <v>25</v>
      </c>
      <c r="H899" s="4" t="s">
        <v>34</v>
      </c>
      <c r="I899" s="5">
        <v>44562</v>
      </c>
      <c r="J899" s="6">
        <v>0</v>
      </c>
      <c r="K899" s="6">
        <v>0</v>
      </c>
      <c r="L899" s="6">
        <v>12.573</v>
      </c>
      <c r="M899" s="6">
        <v>12.573</v>
      </c>
      <c r="N899" s="6">
        <v>12.573</v>
      </c>
      <c r="O899" s="6">
        <v>12.573</v>
      </c>
      <c r="P899" s="6">
        <v>0</v>
      </c>
      <c r="Q899" s="4" t="s">
        <v>26</v>
      </c>
      <c r="R899" s="4">
        <v>0</v>
      </c>
      <c r="S899" s="6">
        <v>0</v>
      </c>
      <c r="T899" s="6">
        <v>42</v>
      </c>
      <c r="U899" s="6">
        <v>66</v>
      </c>
      <c r="V899" s="6">
        <f>IF(ISERROR(VLOOKUP($S$899,'TAR FIN'!$A$1:$O$104,15,0)),0,VLOOKUP($S$899,'TAR FIN'!$A$1:$O$104,15,0))</f>
        <v>0</v>
      </c>
      <c r="W899" s="6">
        <f>IF(ISERROR(VLOOKUP($T$899,'TAR FIN'!$A$1:$O$104,15,0)),0,VLOOKUP($T$899,'TAR FIN'!$A$1:$O$104,15,0))</f>
        <v>1330.19</v>
      </c>
      <c r="X899" s="6">
        <f>IF(ISERROR(VLOOKUP($U$899,'TAR FIN'!$A$1:$O$104,15,0)),0,VLOOKUP($U$899,'TAR FIN'!$A$1:$O$104,15,0))</f>
        <v>397.62</v>
      </c>
      <c r="Y899" s="6"/>
      <c r="Z899" s="6">
        <f ca="1">('TUSD BE'!$AM$25+'TUSD BF'!$AM$25+'TUSD CVA'!$AM$25)*1</f>
        <v>1345.857743809549</v>
      </c>
      <c r="AA899" s="6">
        <f>('TE BE'!$AB$7+'TE BF'!$AB$7+'TE CVA'!$AB$7)*1</f>
        <v>360.26029187567116</v>
      </c>
      <c r="AB899" s="6">
        <f>$K$899*$V$899</f>
        <v>0</v>
      </c>
      <c r="AC899" s="6">
        <f>$M$899*$W$899</f>
        <v>16724.478870000003</v>
      </c>
      <c r="AD899" s="6">
        <f>$O$899*$X$899</f>
        <v>4999.2762600000005</v>
      </c>
      <c r="AE899" s="6">
        <f>$K$899*$Y$899</f>
        <v>0</v>
      </c>
      <c r="AF899" s="6">
        <f ca="1">$M$899*$Z$899</f>
        <v>16921.46941291746</v>
      </c>
      <c r="AG899" s="6">
        <f>$O$899*$AA$899</f>
        <v>4529.5526497528135</v>
      </c>
    </row>
    <row r="900" spans="1:33" ht="11.25" customHeight="1" x14ac:dyDescent="0.25">
      <c r="A900" s="4" t="s">
        <v>21</v>
      </c>
      <c r="B900" s="4" t="s">
        <v>41</v>
      </c>
      <c r="C900" s="4" t="s">
        <v>42</v>
      </c>
      <c r="D900" s="4" t="s">
        <v>52</v>
      </c>
      <c r="E900" s="4" t="s">
        <v>25</v>
      </c>
      <c r="F900" s="4" t="s">
        <v>25</v>
      </c>
      <c r="G900" s="4" t="s">
        <v>25</v>
      </c>
      <c r="H900" s="4" t="s">
        <v>34</v>
      </c>
      <c r="I900" s="5">
        <v>44593</v>
      </c>
      <c r="J900" s="6">
        <v>0</v>
      </c>
      <c r="K900" s="6">
        <v>0</v>
      </c>
      <c r="L900" s="6">
        <v>13.137</v>
      </c>
      <c r="M900" s="6">
        <v>13.137</v>
      </c>
      <c r="N900" s="6">
        <v>13.137</v>
      </c>
      <c r="O900" s="6">
        <v>13.137</v>
      </c>
      <c r="P900" s="6">
        <v>0</v>
      </c>
      <c r="Q900" s="4" t="s">
        <v>26</v>
      </c>
      <c r="R900" s="4">
        <v>0</v>
      </c>
      <c r="S900" s="6">
        <v>0</v>
      </c>
      <c r="T900" s="6">
        <v>42</v>
      </c>
      <c r="U900" s="6">
        <v>66</v>
      </c>
      <c r="V900" s="6">
        <f>IF(ISERROR(VLOOKUP($S$900,'TAR FIN'!$A$1:$O$104,15,0)),0,VLOOKUP($S$900,'TAR FIN'!$A$1:$O$104,15,0))</f>
        <v>0</v>
      </c>
      <c r="W900" s="6">
        <f>IF(ISERROR(VLOOKUP($T$900,'TAR FIN'!$A$1:$O$104,15,0)),0,VLOOKUP($T$900,'TAR FIN'!$A$1:$O$104,15,0))</f>
        <v>1330.19</v>
      </c>
      <c r="X900" s="6">
        <f>IF(ISERROR(VLOOKUP($U$900,'TAR FIN'!$A$1:$O$104,15,0)),0,VLOOKUP($U$900,'TAR FIN'!$A$1:$O$104,15,0))</f>
        <v>397.62</v>
      </c>
      <c r="Y900" s="6"/>
      <c r="Z900" s="6">
        <f ca="1">('TUSD BE'!$AM$25+'TUSD BF'!$AM$25+'TUSD CVA'!$AM$25)*1</f>
        <v>1345.857743809549</v>
      </c>
      <c r="AA900" s="6">
        <f>('TE BE'!$AB$7+'TE BF'!$AB$7+'TE CVA'!$AB$7)*1</f>
        <v>360.26029187567116</v>
      </c>
      <c r="AB900" s="6">
        <f>$K$900*$V$900</f>
        <v>0</v>
      </c>
      <c r="AC900" s="6">
        <f>$M$900*$W$900</f>
        <v>17474.706030000001</v>
      </c>
      <c r="AD900" s="6">
        <f>$O$900*$X$900</f>
        <v>5223.5339400000003</v>
      </c>
      <c r="AE900" s="6">
        <f>$K$900*$Y$900</f>
        <v>0</v>
      </c>
      <c r="AF900" s="6">
        <f ca="1">$M$900*$Z$900</f>
        <v>17680.533180426046</v>
      </c>
      <c r="AG900" s="6">
        <f>$O$900*$AA$900</f>
        <v>4732.7394543706923</v>
      </c>
    </row>
    <row r="901" spans="1:33" ht="11.25" customHeight="1" x14ac:dyDescent="0.25">
      <c r="A901" s="4" t="s">
        <v>21</v>
      </c>
      <c r="B901" s="4" t="s">
        <v>41</v>
      </c>
      <c r="C901" s="4" t="s">
        <v>42</v>
      </c>
      <c r="D901" s="4" t="s">
        <v>52</v>
      </c>
      <c r="E901" s="4" t="s">
        <v>25</v>
      </c>
      <c r="F901" s="4" t="s">
        <v>25</v>
      </c>
      <c r="G901" s="4" t="s">
        <v>25</v>
      </c>
      <c r="H901" s="4" t="s">
        <v>34</v>
      </c>
      <c r="I901" s="5">
        <v>44621</v>
      </c>
      <c r="J901" s="6">
        <v>0</v>
      </c>
      <c r="K901" s="6">
        <v>0</v>
      </c>
      <c r="L901" s="6">
        <v>15.026</v>
      </c>
      <c r="M901" s="6">
        <v>15.026</v>
      </c>
      <c r="N901" s="6">
        <v>15.026</v>
      </c>
      <c r="O901" s="6">
        <v>15.026</v>
      </c>
      <c r="P901" s="6">
        <v>0</v>
      </c>
      <c r="Q901" s="4" t="s">
        <v>26</v>
      </c>
      <c r="R901" s="4">
        <v>0</v>
      </c>
      <c r="S901" s="6">
        <v>0</v>
      </c>
      <c r="T901" s="6">
        <v>42</v>
      </c>
      <c r="U901" s="6">
        <v>66</v>
      </c>
      <c r="V901" s="6">
        <f>IF(ISERROR(VLOOKUP($S$901,'TAR FIN'!$A$1:$O$104,15,0)),0,VLOOKUP($S$901,'TAR FIN'!$A$1:$O$104,15,0))</f>
        <v>0</v>
      </c>
      <c r="W901" s="6">
        <f>IF(ISERROR(VLOOKUP($T$901,'TAR FIN'!$A$1:$O$104,15,0)),0,VLOOKUP($T$901,'TAR FIN'!$A$1:$O$104,15,0))</f>
        <v>1330.19</v>
      </c>
      <c r="X901" s="6">
        <f>IF(ISERROR(VLOOKUP($U$901,'TAR FIN'!$A$1:$O$104,15,0)),0,VLOOKUP($U$901,'TAR FIN'!$A$1:$O$104,15,0))</f>
        <v>397.62</v>
      </c>
      <c r="Y901" s="6"/>
      <c r="Z901" s="6">
        <f ca="1">('TUSD BE'!$AM$25+'TUSD BF'!$AM$25+'TUSD CVA'!$AM$25)*1</f>
        <v>1345.857743809549</v>
      </c>
      <c r="AA901" s="6">
        <f>('TE BE'!$AB$7+'TE BF'!$AB$7+'TE CVA'!$AB$7)*1</f>
        <v>360.26029187567116</v>
      </c>
      <c r="AB901" s="6">
        <f>$K$901*$V$901</f>
        <v>0</v>
      </c>
      <c r="AC901" s="6">
        <f>$M$901*$W$901</f>
        <v>19987.434939999999</v>
      </c>
      <c r="AD901" s="6">
        <f>$O$901*$X$901</f>
        <v>5974.6381199999996</v>
      </c>
      <c r="AE901" s="6">
        <f>$K$901*$Y$901</f>
        <v>0</v>
      </c>
      <c r="AF901" s="6">
        <f ca="1">$M$901*$Z$901</f>
        <v>20222.858458482282</v>
      </c>
      <c r="AG901" s="6">
        <f>$O$901*$AA$901</f>
        <v>5413.2711457238347</v>
      </c>
    </row>
    <row r="902" spans="1:33" ht="11.25" customHeight="1" x14ac:dyDescent="0.25">
      <c r="A902" s="4" t="s">
        <v>21</v>
      </c>
      <c r="B902" s="4" t="s">
        <v>41</v>
      </c>
      <c r="C902" s="4" t="s">
        <v>42</v>
      </c>
      <c r="D902" s="4" t="s">
        <v>52</v>
      </c>
      <c r="E902" s="4" t="s">
        <v>25</v>
      </c>
      <c r="F902" s="4" t="s">
        <v>25</v>
      </c>
      <c r="G902" s="4" t="s">
        <v>25</v>
      </c>
      <c r="H902" s="4" t="s">
        <v>34</v>
      </c>
      <c r="I902" s="5">
        <v>44652</v>
      </c>
      <c r="J902" s="6">
        <v>0</v>
      </c>
      <c r="K902" s="6">
        <v>0</v>
      </c>
      <c r="L902" s="6">
        <v>12.442</v>
      </c>
      <c r="M902" s="6">
        <v>12.442</v>
      </c>
      <c r="N902" s="6">
        <v>12.442</v>
      </c>
      <c r="O902" s="6">
        <v>12.442</v>
      </c>
      <c r="P902" s="6">
        <v>0</v>
      </c>
      <c r="Q902" s="4" t="s">
        <v>26</v>
      </c>
      <c r="R902" s="4">
        <v>0</v>
      </c>
      <c r="S902" s="6">
        <v>0</v>
      </c>
      <c r="T902" s="6">
        <v>42</v>
      </c>
      <c r="U902" s="6">
        <v>66</v>
      </c>
      <c r="V902" s="6">
        <f>IF(ISERROR(VLOOKUP($S$902,'TAR FIN'!$A$1:$O$104,15,0)),0,VLOOKUP($S$902,'TAR FIN'!$A$1:$O$104,15,0))</f>
        <v>0</v>
      </c>
      <c r="W902" s="6">
        <f>IF(ISERROR(VLOOKUP($T$902,'TAR FIN'!$A$1:$O$104,15,0)),0,VLOOKUP($T$902,'TAR FIN'!$A$1:$O$104,15,0))</f>
        <v>1330.19</v>
      </c>
      <c r="X902" s="6">
        <f>IF(ISERROR(VLOOKUP($U$902,'TAR FIN'!$A$1:$O$104,15,0)),0,VLOOKUP($U$902,'TAR FIN'!$A$1:$O$104,15,0))</f>
        <v>397.62</v>
      </c>
      <c r="Y902" s="6"/>
      <c r="Z902" s="6">
        <f ca="1">('TUSD BE'!$AM$25+'TUSD BF'!$AM$25+'TUSD CVA'!$AM$25)*1</f>
        <v>1345.857743809549</v>
      </c>
      <c r="AA902" s="6">
        <f>('TE BE'!$AB$7+'TE BF'!$AB$7+'TE CVA'!$AB$7)*1</f>
        <v>360.26029187567116</v>
      </c>
      <c r="AB902" s="6">
        <f>$K$902*$V$902</f>
        <v>0</v>
      </c>
      <c r="AC902" s="6">
        <f>$M$902*$W$902</f>
        <v>16550.223980000002</v>
      </c>
      <c r="AD902" s="6">
        <f>$O$902*$X$902</f>
        <v>4947.18804</v>
      </c>
      <c r="AE902" s="6">
        <f>$K$902*$Y$902</f>
        <v>0</v>
      </c>
      <c r="AF902" s="6">
        <f ca="1">$M$902*$Z$902</f>
        <v>16745.162048478407</v>
      </c>
      <c r="AG902" s="6">
        <f>$O$902*$AA$902</f>
        <v>4482.3585515171008</v>
      </c>
    </row>
    <row r="903" spans="1:33" ht="11.25" customHeight="1" x14ac:dyDescent="0.25">
      <c r="A903" s="4" t="s">
        <v>21</v>
      </c>
      <c r="B903" s="4" t="s">
        <v>41</v>
      </c>
      <c r="C903" s="4" t="s">
        <v>42</v>
      </c>
      <c r="D903" s="4" t="s">
        <v>52</v>
      </c>
      <c r="E903" s="4" t="s">
        <v>25</v>
      </c>
      <c r="F903" s="4" t="s">
        <v>25</v>
      </c>
      <c r="G903" s="4" t="s">
        <v>25</v>
      </c>
      <c r="H903" s="4" t="s">
        <v>34</v>
      </c>
      <c r="I903" s="5">
        <v>44682</v>
      </c>
      <c r="J903" s="6">
        <v>0</v>
      </c>
      <c r="K903" s="6">
        <v>0</v>
      </c>
      <c r="L903" s="6">
        <v>14.101000000000001</v>
      </c>
      <c r="M903" s="6">
        <v>14.101000000000001</v>
      </c>
      <c r="N903" s="6">
        <v>14.101000000000001</v>
      </c>
      <c r="O903" s="6">
        <v>14.101000000000001</v>
      </c>
      <c r="P903" s="6">
        <v>0</v>
      </c>
      <c r="Q903" s="4" t="s">
        <v>26</v>
      </c>
      <c r="R903" s="4">
        <v>0</v>
      </c>
      <c r="S903" s="6">
        <v>0</v>
      </c>
      <c r="T903" s="6">
        <v>42</v>
      </c>
      <c r="U903" s="6">
        <v>66</v>
      </c>
      <c r="V903" s="6">
        <f>IF(ISERROR(VLOOKUP($S$903,'TAR FIN'!$A$1:$O$104,15,0)),0,VLOOKUP($S$903,'TAR FIN'!$A$1:$O$104,15,0))</f>
        <v>0</v>
      </c>
      <c r="W903" s="6">
        <f>IF(ISERROR(VLOOKUP($T$903,'TAR FIN'!$A$1:$O$104,15,0)),0,VLOOKUP($T$903,'TAR FIN'!$A$1:$O$104,15,0))</f>
        <v>1330.19</v>
      </c>
      <c r="X903" s="6">
        <f>IF(ISERROR(VLOOKUP($U$903,'TAR FIN'!$A$1:$O$104,15,0)),0,VLOOKUP($U$903,'TAR FIN'!$A$1:$O$104,15,0))</f>
        <v>397.62</v>
      </c>
      <c r="Y903" s="6"/>
      <c r="Z903" s="6">
        <f ca="1">('TUSD BE'!$AM$25+'TUSD BF'!$AM$25+'TUSD CVA'!$AM$25)*1</f>
        <v>1345.857743809549</v>
      </c>
      <c r="AA903" s="6">
        <f>('TE BE'!$AB$7+'TE BF'!$AB$7+'TE CVA'!$AB$7)*1</f>
        <v>360.26029187567116</v>
      </c>
      <c r="AB903" s="6">
        <f>$K$903*$V$903</f>
        <v>0</v>
      </c>
      <c r="AC903" s="6">
        <f>$M$903*$W$903</f>
        <v>18757.009190000001</v>
      </c>
      <c r="AD903" s="6">
        <f>$O$903*$X$903</f>
        <v>5606.8396200000007</v>
      </c>
      <c r="AE903" s="6">
        <f>$K$903*$Y$903</f>
        <v>0</v>
      </c>
      <c r="AF903" s="6">
        <f ca="1">$M$903*$Z$903</f>
        <v>18977.94004545845</v>
      </c>
      <c r="AG903" s="6">
        <f>$O$903*$AA$903</f>
        <v>5080.0303757388392</v>
      </c>
    </row>
    <row r="904" spans="1:33" ht="11.25" customHeight="1" x14ac:dyDescent="0.25">
      <c r="A904" s="4" t="s">
        <v>21</v>
      </c>
      <c r="B904" s="4" t="s">
        <v>41</v>
      </c>
      <c r="C904" s="4" t="s">
        <v>42</v>
      </c>
      <c r="D904" s="4" t="s">
        <v>52</v>
      </c>
      <c r="E904" s="4" t="s">
        <v>25</v>
      </c>
      <c r="F904" s="4" t="s">
        <v>25</v>
      </c>
      <c r="G904" s="4" t="s">
        <v>25</v>
      </c>
      <c r="H904" s="4" t="s">
        <v>34</v>
      </c>
      <c r="I904" s="5">
        <v>44713</v>
      </c>
      <c r="J904" s="6">
        <v>0</v>
      </c>
      <c r="K904" s="6">
        <v>0</v>
      </c>
      <c r="L904" s="6">
        <v>12.951000000000001</v>
      </c>
      <c r="M904" s="6">
        <v>12.951000000000001</v>
      </c>
      <c r="N904" s="6">
        <v>12.951000000000001</v>
      </c>
      <c r="O904" s="6">
        <v>12.951000000000001</v>
      </c>
      <c r="P904" s="6">
        <v>0</v>
      </c>
      <c r="Q904" s="4" t="s">
        <v>26</v>
      </c>
      <c r="R904" s="4">
        <v>0</v>
      </c>
      <c r="S904" s="6">
        <v>0</v>
      </c>
      <c r="T904" s="6">
        <v>42</v>
      </c>
      <c r="U904" s="6">
        <v>66</v>
      </c>
      <c r="V904" s="6">
        <f>IF(ISERROR(VLOOKUP($S$904,'TAR FIN'!$A$1:$O$104,15,0)),0,VLOOKUP($S$904,'TAR FIN'!$A$1:$O$104,15,0))</f>
        <v>0</v>
      </c>
      <c r="W904" s="6">
        <f>IF(ISERROR(VLOOKUP($T$904,'TAR FIN'!$A$1:$O$104,15,0)),0,VLOOKUP($T$904,'TAR FIN'!$A$1:$O$104,15,0))</f>
        <v>1330.19</v>
      </c>
      <c r="X904" s="6">
        <f>IF(ISERROR(VLOOKUP($U$904,'TAR FIN'!$A$1:$O$104,15,0)),0,VLOOKUP($U$904,'TAR FIN'!$A$1:$O$104,15,0))</f>
        <v>397.62</v>
      </c>
      <c r="Y904" s="6"/>
      <c r="Z904" s="6">
        <f ca="1">('TUSD BE'!$AM$25+'TUSD BF'!$AM$25+'TUSD CVA'!$AM$25)*1</f>
        <v>1345.857743809549</v>
      </c>
      <c r="AA904" s="6">
        <f>('TE BE'!$AB$7+'TE BF'!$AB$7+'TE CVA'!$AB$7)*1</f>
        <v>360.26029187567116</v>
      </c>
      <c r="AB904" s="6">
        <f>$K$904*$V$904</f>
        <v>0</v>
      </c>
      <c r="AC904" s="6">
        <f>$M$904*$W$904</f>
        <v>17227.290690000002</v>
      </c>
      <c r="AD904" s="6">
        <f>$O$904*$X$904</f>
        <v>5149.5766199999998</v>
      </c>
      <c r="AE904" s="6">
        <f>$K$904*$Y$904</f>
        <v>0</v>
      </c>
      <c r="AF904" s="6">
        <f ca="1">$M$904*$Z$904</f>
        <v>17430.20364007747</v>
      </c>
      <c r="AG904" s="6">
        <f>$O$904*$AA$904</f>
        <v>4665.7310400818169</v>
      </c>
    </row>
    <row r="905" spans="1:33" ht="11.25" customHeight="1" x14ac:dyDescent="0.25">
      <c r="A905" s="4" t="s">
        <v>57</v>
      </c>
      <c r="B905" s="4" t="s">
        <v>41</v>
      </c>
      <c r="C905" s="4" t="s">
        <v>42</v>
      </c>
      <c r="D905" s="4" t="s">
        <v>52</v>
      </c>
      <c r="E905" s="4" t="s">
        <v>25</v>
      </c>
      <c r="F905" s="4" t="s">
        <v>25</v>
      </c>
      <c r="G905" s="4" t="s">
        <v>25</v>
      </c>
      <c r="H905" s="4" t="s">
        <v>34</v>
      </c>
      <c r="I905" s="5">
        <v>44743</v>
      </c>
      <c r="J905" s="6">
        <v>0</v>
      </c>
      <c r="K905" s="6">
        <v>0</v>
      </c>
      <c r="L905" s="6">
        <v>12.951000000000001</v>
      </c>
      <c r="M905" s="6">
        <v>12.951000000000001</v>
      </c>
      <c r="N905" s="6">
        <v>12.951000000000001</v>
      </c>
      <c r="O905" s="6">
        <v>12.951000000000001</v>
      </c>
      <c r="P905" s="6">
        <v>0</v>
      </c>
      <c r="Q905" s="4" t="s">
        <v>26</v>
      </c>
      <c r="R905" s="4">
        <v>0</v>
      </c>
      <c r="S905" s="6">
        <v>0</v>
      </c>
      <c r="T905" s="6">
        <v>42</v>
      </c>
      <c r="U905" s="6">
        <v>66</v>
      </c>
      <c r="V905" s="6">
        <f>IF(ISERROR(VLOOKUP($S$905,'TAR FIN'!$A$1:$O$104,15,0)),0,VLOOKUP($S$905,'TAR FIN'!$A$1:$O$104,15,0))</f>
        <v>0</v>
      </c>
      <c r="W905" s="6">
        <f>IF(ISERROR(VLOOKUP($T$905,'TAR FIN'!$A$1:$O$104,15,0)),0,VLOOKUP($T$905,'TAR FIN'!$A$1:$O$104,15,0))</f>
        <v>1330.19</v>
      </c>
      <c r="X905" s="6">
        <f>IF(ISERROR(VLOOKUP($U$905,'TAR FIN'!$A$1:$O$104,15,0)),0,VLOOKUP($U$905,'TAR FIN'!$A$1:$O$104,15,0))</f>
        <v>397.62</v>
      </c>
      <c r="Y905" s="6"/>
      <c r="Z905" s="6">
        <f ca="1">('TUSD BE'!$AM$25+'TUSD BF'!$AM$25+'TUSD CVA'!$AM$25)*1</f>
        <v>1345.857743809549</v>
      </c>
      <c r="AA905" s="6">
        <f>('TE BE'!$AB$7+'TE BF'!$AB$7+'TE CVA'!$AB$7)*1</f>
        <v>360.26029187567116</v>
      </c>
      <c r="AB905" s="6">
        <f>$K$905*$V$905</f>
        <v>0</v>
      </c>
      <c r="AC905" s="6">
        <f>$M$905*$W$905</f>
        <v>17227.290690000002</v>
      </c>
      <c r="AD905" s="6">
        <f>$O$905*$X$905</f>
        <v>5149.5766199999998</v>
      </c>
      <c r="AE905" s="6">
        <f>$K$905*$Y$905</f>
        <v>0</v>
      </c>
      <c r="AF905" s="6">
        <f ca="1">$M$905*$Z$905</f>
        <v>17430.20364007747</v>
      </c>
      <c r="AG905" s="6">
        <f>$O$905*$AA$905</f>
        <v>4665.7310400818169</v>
      </c>
    </row>
    <row r="906" spans="1:33" ht="11.25" customHeight="1" x14ac:dyDescent="0.25">
      <c r="A906" s="4" t="s">
        <v>27</v>
      </c>
      <c r="B906" s="4" t="s">
        <v>41</v>
      </c>
      <c r="C906" s="4" t="s">
        <v>42</v>
      </c>
      <c r="D906" s="4" t="s">
        <v>38</v>
      </c>
      <c r="E906" s="4" t="s">
        <v>25</v>
      </c>
      <c r="F906" s="4" t="s">
        <v>59</v>
      </c>
      <c r="G906" s="4" t="s">
        <v>25</v>
      </c>
      <c r="H906" s="4" t="s">
        <v>35</v>
      </c>
      <c r="I906" s="5">
        <v>44409</v>
      </c>
      <c r="J906" s="6">
        <v>0</v>
      </c>
      <c r="K906" s="6">
        <v>0</v>
      </c>
      <c r="L906" s="6">
        <v>13.065</v>
      </c>
      <c r="M906" s="6">
        <v>13.065</v>
      </c>
      <c r="N906" s="6">
        <v>0</v>
      </c>
      <c r="O906" s="6">
        <v>0</v>
      </c>
      <c r="P906" s="6">
        <v>0</v>
      </c>
      <c r="Q906" s="4" t="s">
        <v>60</v>
      </c>
      <c r="R906" s="4">
        <v>0</v>
      </c>
      <c r="S906" s="6">
        <v>0</v>
      </c>
      <c r="T906" s="6">
        <v>48</v>
      </c>
      <c r="U906" s="6">
        <v>0</v>
      </c>
      <c r="V906" s="6">
        <f>IF(ISERROR(VLOOKUP($S$906,'TAR FIN'!$A$1:$O$104,15,0)),0,VLOOKUP($S$906,'TAR FIN'!$A$1:$O$104,15,0))</f>
        <v>0</v>
      </c>
      <c r="W906" s="6">
        <f>IF(ISERROR(VLOOKUP($T$906,'TAR FIN'!$A$1:$O$104,15,0)),0,VLOOKUP($T$906,'TAR FIN'!$A$1:$O$104,15,0))</f>
        <v>25.05</v>
      </c>
      <c r="X906" s="6">
        <f>IF(ISERROR(VLOOKUP($U$906,'TAR FIN'!$A$1:$O$104,15,0)),0,VLOOKUP($U$906,'TAR FIN'!$A$1:$O$104,15,0))</f>
        <v>0</v>
      </c>
      <c r="Y906" s="6"/>
      <c r="Z906" s="6">
        <f ca="1">('TUSD BE'!$AM$28+'TUSD BF'!$AM$28+'TUSD CVA'!$AM$28)*1</f>
        <v>21.143574932877051</v>
      </c>
      <c r="AA906" s="6"/>
      <c r="AB906" s="6">
        <f>$K$906*$V$906</f>
        <v>0</v>
      </c>
      <c r="AC906" s="6">
        <f>$M$906*$W$906</f>
        <v>327.27825000000001</v>
      </c>
      <c r="AD906" s="6">
        <f>$O$906*$X$906</f>
        <v>0</v>
      </c>
      <c r="AE906" s="6">
        <f>$K$906*$Y$906</f>
        <v>0</v>
      </c>
      <c r="AF906" s="6">
        <f ca="1">$M$906*$Z$906</f>
        <v>276.24080649803864</v>
      </c>
      <c r="AG906" s="6">
        <f>$O$906*$AA$906</f>
        <v>0</v>
      </c>
    </row>
    <row r="907" spans="1:33" ht="11.25" customHeight="1" x14ac:dyDescent="0.25">
      <c r="A907" s="4" t="s">
        <v>27</v>
      </c>
      <c r="B907" s="4" t="s">
        <v>41</v>
      </c>
      <c r="C907" s="4" t="s">
        <v>42</v>
      </c>
      <c r="D907" s="4" t="s">
        <v>38</v>
      </c>
      <c r="E907" s="4" t="s">
        <v>25</v>
      </c>
      <c r="F907" s="4" t="s">
        <v>59</v>
      </c>
      <c r="G907" s="4" t="s">
        <v>25</v>
      </c>
      <c r="H907" s="4" t="s">
        <v>35</v>
      </c>
      <c r="I907" s="5">
        <v>44440</v>
      </c>
      <c r="J907" s="6">
        <v>0</v>
      </c>
      <c r="K907" s="6">
        <v>0</v>
      </c>
      <c r="L907" s="6">
        <v>6.5860000000000003</v>
      </c>
      <c r="M907" s="6">
        <v>6.5860000000000003</v>
      </c>
      <c r="N907" s="6">
        <v>0</v>
      </c>
      <c r="O907" s="6">
        <v>0</v>
      </c>
      <c r="P907" s="6">
        <v>0</v>
      </c>
      <c r="Q907" s="4" t="s">
        <v>60</v>
      </c>
      <c r="R907" s="4">
        <v>0</v>
      </c>
      <c r="S907" s="6">
        <v>0</v>
      </c>
      <c r="T907" s="6">
        <v>48</v>
      </c>
      <c r="U907" s="6">
        <v>0</v>
      </c>
      <c r="V907" s="6">
        <f>IF(ISERROR(VLOOKUP($S$907,'TAR FIN'!$A$1:$O$104,15,0)),0,VLOOKUP($S$907,'TAR FIN'!$A$1:$O$104,15,0))</f>
        <v>0</v>
      </c>
      <c r="W907" s="6">
        <f>IF(ISERROR(VLOOKUP($T$907,'TAR FIN'!$A$1:$O$104,15,0)),0,VLOOKUP($T$907,'TAR FIN'!$A$1:$O$104,15,0))</f>
        <v>25.05</v>
      </c>
      <c r="X907" s="6">
        <f>IF(ISERROR(VLOOKUP($U$907,'TAR FIN'!$A$1:$O$104,15,0)),0,VLOOKUP($U$907,'TAR FIN'!$A$1:$O$104,15,0))</f>
        <v>0</v>
      </c>
      <c r="Y907" s="6"/>
      <c r="Z907" s="6">
        <f ca="1">('TUSD BE'!$AM$28+'TUSD BF'!$AM$28+'TUSD CVA'!$AM$28)*1</f>
        <v>21.143574932877051</v>
      </c>
      <c r="AA907" s="6"/>
      <c r="AB907" s="6">
        <f>$K$907*$V$907</f>
        <v>0</v>
      </c>
      <c r="AC907" s="6">
        <f>$M$907*$W$907</f>
        <v>164.97930000000002</v>
      </c>
      <c r="AD907" s="6">
        <f>$O$907*$X$907</f>
        <v>0</v>
      </c>
      <c r="AE907" s="6">
        <f>$K$907*$Y$907</f>
        <v>0</v>
      </c>
      <c r="AF907" s="6">
        <f ca="1">$M$907*$Z$907</f>
        <v>139.25158450792827</v>
      </c>
      <c r="AG907" s="6">
        <f>$O$907*$AA$907</f>
        <v>0</v>
      </c>
    </row>
    <row r="908" spans="1:33" ht="11.25" customHeight="1" x14ac:dyDescent="0.25">
      <c r="A908" s="4" t="s">
        <v>27</v>
      </c>
      <c r="B908" s="4" t="s">
        <v>41</v>
      </c>
      <c r="C908" s="4" t="s">
        <v>42</v>
      </c>
      <c r="D908" s="4" t="s">
        <v>38</v>
      </c>
      <c r="E908" s="4" t="s">
        <v>25</v>
      </c>
      <c r="F908" s="4" t="s">
        <v>59</v>
      </c>
      <c r="G908" s="4" t="s">
        <v>25</v>
      </c>
      <c r="H908" s="4" t="s">
        <v>35</v>
      </c>
      <c r="I908" s="5">
        <v>44470</v>
      </c>
      <c r="J908" s="6">
        <v>0</v>
      </c>
      <c r="K908" s="6">
        <v>0</v>
      </c>
      <c r="L908" s="6">
        <v>28.431000000000001</v>
      </c>
      <c r="M908" s="6">
        <v>28.431000000000001</v>
      </c>
      <c r="N908" s="6">
        <v>0</v>
      </c>
      <c r="O908" s="6">
        <v>0</v>
      </c>
      <c r="P908" s="6">
        <v>0</v>
      </c>
      <c r="Q908" s="4" t="s">
        <v>60</v>
      </c>
      <c r="R908" s="4">
        <v>0</v>
      </c>
      <c r="S908" s="6">
        <v>0</v>
      </c>
      <c r="T908" s="6">
        <v>48</v>
      </c>
      <c r="U908" s="6">
        <v>0</v>
      </c>
      <c r="V908" s="6">
        <f>IF(ISERROR(VLOOKUP($S$908,'TAR FIN'!$A$1:$O$104,15,0)),0,VLOOKUP($S$908,'TAR FIN'!$A$1:$O$104,15,0))</f>
        <v>0</v>
      </c>
      <c r="W908" s="6">
        <f>IF(ISERROR(VLOOKUP($T$908,'TAR FIN'!$A$1:$O$104,15,0)),0,VLOOKUP($T$908,'TAR FIN'!$A$1:$O$104,15,0))</f>
        <v>25.05</v>
      </c>
      <c r="X908" s="6">
        <f>IF(ISERROR(VLOOKUP($U$908,'TAR FIN'!$A$1:$O$104,15,0)),0,VLOOKUP($U$908,'TAR FIN'!$A$1:$O$104,15,0))</f>
        <v>0</v>
      </c>
      <c r="Y908" s="6"/>
      <c r="Z908" s="6">
        <f ca="1">('TUSD BE'!$AM$28+'TUSD BF'!$AM$28+'TUSD CVA'!$AM$28)*1</f>
        <v>21.143574932877051</v>
      </c>
      <c r="AA908" s="6"/>
      <c r="AB908" s="6">
        <f>$K$908*$V$908</f>
        <v>0</v>
      </c>
      <c r="AC908" s="6">
        <f>$M$908*$W$908</f>
        <v>712.19655</v>
      </c>
      <c r="AD908" s="6">
        <f>$O$908*$X$908</f>
        <v>0</v>
      </c>
      <c r="AE908" s="6">
        <f>$K$908*$Y$908</f>
        <v>0</v>
      </c>
      <c r="AF908" s="6">
        <f ca="1">$M$908*$Z$908</f>
        <v>601.13297891662751</v>
      </c>
      <c r="AG908" s="6">
        <f>$O$908*$AA$908</f>
        <v>0</v>
      </c>
    </row>
    <row r="909" spans="1:33" ht="11.25" customHeight="1" x14ac:dyDescent="0.25">
      <c r="A909" s="4" t="s">
        <v>27</v>
      </c>
      <c r="B909" s="4" t="s">
        <v>41</v>
      </c>
      <c r="C909" s="4" t="s">
        <v>42</v>
      </c>
      <c r="D909" s="4" t="s">
        <v>38</v>
      </c>
      <c r="E909" s="4" t="s">
        <v>25</v>
      </c>
      <c r="F909" s="4" t="s">
        <v>59</v>
      </c>
      <c r="G909" s="4" t="s">
        <v>25</v>
      </c>
      <c r="H909" s="4" t="s">
        <v>35</v>
      </c>
      <c r="I909" s="5">
        <v>44501</v>
      </c>
      <c r="J909" s="6">
        <v>0</v>
      </c>
      <c r="K909" s="6">
        <v>0</v>
      </c>
      <c r="L909" s="6">
        <v>32.764000000000003</v>
      </c>
      <c r="M909" s="6">
        <v>32.764000000000003</v>
      </c>
      <c r="N909" s="6">
        <v>0</v>
      </c>
      <c r="O909" s="6">
        <v>0</v>
      </c>
      <c r="P909" s="6">
        <v>0</v>
      </c>
      <c r="Q909" s="4" t="s">
        <v>60</v>
      </c>
      <c r="R909" s="4">
        <v>0</v>
      </c>
      <c r="S909" s="6">
        <v>0</v>
      </c>
      <c r="T909" s="6">
        <v>48</v>
      </c>
      <c r="U909" s="6">
        <v>0</v>
      </c>
      <c r="V909" s="6">
        <f>IF(ISERROR(VLOOKUP($S$909,'TAR FIN'!$A$1:$O$104,15,0)),0,VLOOKUP($S$909,'TAR FIN'!$A$1:$O$104,15,0))</f>
        <v>0</v>
      </c>
      <c r="W909" s="6">
        <f>IF(ISERROR(VLOOKUP($T$909,'TAR FIN'!$A$1:$O$104,15,0)),0,VLOOKUP($T$909,'TAR FIN'!$A$1:$O$104,15,0))</f>
        <v>25.05</v>
      </c>
      <c r="X909" s="6">
        <f>IF(ISERROR(VLOOKUP($U$909,'TAR FIN'!$A$1:$O$104,15,0)),0,VLOOKUP($U$909,'TAR FIN'!$A$1:$O$104,15,0))</f>
        <v>0</v>
      </c>
      <c r="Y909" s="6"/>
      <c r="Z909" s="6">
        <f ca="1">('TUSD BE'!$AM$28+'TUSD BF'!$AM$28+'TUSD CVA'!$AM$28)*1</f>
        <v>21.143574932877051</v>
      </c>
      <c r="AA909" s="6"/>
      <c r="AB909" s="6">
        <f>$K$909*$V$909</f>
        <v>0</v>
      </c>
      <c r="AC909" s="6">
        <f>$M$909*$W$909</f>
        <v>820.73820000000012</v>
      </c>
      <c r="AD909" s="6">
        <f>$O$909*$X$909</f>
        <v>0</v>
      </c>
      <c r="AE909" s="6">
        <f>$K$909*$Y$909</f>
        <v>0</v>
      </c>
      <c r="AF909" s="6">
        <f ca="1">$M$909*$Z$909</f>
        <v>692.74808910078377</v>
      </c>
      <c r="AG909" s="6">
        <f>$O$909*$AA$909</f>
        <v>0</v>
      </c>
    </row>
    <row r="910" spans="1:33" ht="11.25" customHeight="1" x14ac:dyDescent="0.25">
      <c r="A910" s="4" t="s">
        <v>27</v>
      </c>
      <c r="B910" s="4" t="s">
        <v>41</v>
      </c>
      <c r="C910" s="4" t="s">
        <v>42</v>
      </c>
      <c r="D910" s="4" t="s">
        <v>38</v>
      </c>
      <c r="E910" s="4" t="s">
        <v>25</v>
      </c>
      <c r="F910" s="4" t="s">
        <v>59</v>
      </c>
      <c r="G910" s="4" t="s">
        <v>25</v>
      </c>
      <c r="H910" s="4" t="s">
        <v>35</v>
      </c>
      <c r="I910" s="5">
        <v>44531</v>
      </c>
      <c r="J910" s="6">
        <v>0</v>
      </c>
      <c r="K910" s="6">
        <v>0</v>
      </c>
      <c r="L910" s="6">
        <v>124.36199999999999</v>
      </c>
      <c r="M910" s="6">
        <v>124.36199999999999</v>
      </c>
      <c r="N910" s="6">
        <v>0</v>
      </c>
      <c r="O910" s="6">
        <v>0</v>
      </c>
      <c r="P910" s="6">
        <v>0</v>
      </c>
      <c r="Q910" s="4" t="s">
        <v>60</v>
      </c>
      <c r="R910" s="4">
        <v>0</v>
      </c>
      <c r="S910" s="6">
        <v>0</v>
      </c>
      <c r="T910" s="6">
        <v>48</v>
      </c>
      <c r="U910" s="6">
        <v>0</v>
      </c>
      <c r="V910" s="6">
        <f>IF(ISERROR(VLOOKUP($S$910,'TAR FIN'!$A$1:$O$104,15,0)),0,VLOOKUP($S$910,'TAR FIN'!$A$1:$O$104,15,0))</f>
        <v>0</v>
      </c>
      <c r="W910" s="6">
        <f>IF(ISERROR(VLOOKUP($T$910,'TAR FIN'!$A$1:$O$104,15,0)),0,VLOOKUP($T$910,'TAR FIN'!$A$1:$O$104,15,0))</f>
        <v>25.05</v>
      </c>
      <c r="X910" s="6">
        <f>IF(ISERROR(VLOOKUP($U$910,'TAR FIN'!$A$1:$O$104,15,0)),0,VLOOKUP($U$910,'TAR FIN'!$A$1:$O$104,15,0))</f>
        <v>0</v>
      </c>
      <c r="Y910" s="6"/>
      <c r="Z910" s="6">
        <f ca="1">('TUSD BE'!$AM$28+'TUSD BF'!$AM$28+'TUSD CVA'!$AM$28)*1</f>
        <v>21.143574932877051</v>
      </c>
      <c r="AA910" s="6"/>
      <c r="AB910" s="6">
        <f>$K$910*$V$910</f>
        <v>0</v>
      </c>
      <c r="AC910" s="6">
        <f>$M$910*$W$910</f>
        <v>3115.2680999999998</v>
      </c>
      <c r="AD910" s="6">
        <f>$O$910*$X$910</f>
        <v>0</v>
      </c>
      <c r="AE910" s="6">
        <f>$K$910*$Y$910</f>
        <v>0</v>
      </c>
      <c r="AF910" s="6">
        <f ca="1">$M$910*$Z$910</f>
        <v>2629.4572658024558</v>
      </c>
      <c r="AG910" s="6">
        <f>$O$910*$AA$910</f>
        <v>0</v>
      </c>
    </row>
    <row r="911" spans="1:33" ht="11.25" customHeight="1" x14ac:dyDescent="0.25">
      <c r="A911" s="4" t="s">
        <v>27</v>
      </c>
      <c r="B911" s="4" t="s">
        <v>41</v>
      </c>
      <c r="C911" s="4" t="s">
        <v>42</v>
      </c>
      <c r="D911" s="4" t="s">
        <v>38</v>
      </c>
      <c r="E911" s="4" t="s">
        <v>25</v>
      </c>
      <c r="F911" s="4" t="s">
        <v>59</v>
      </c>
      <c r="G911" s="4" t="s">
        <v>25</v>
      </c>
      <c r="H911" s="4" t="s">
        <v>35</v>
      </c>
      <c r="I911" s="5">
        <v>44562</v>
      </c>
      <c r="J911" s="6">
        <v>0</v>
      </c>
      <c r="K911" s="6">
        <v>0</v>
      </c>
      <c r="L911" s="6">
        <v>167.78200000000001</v>
      </c>
      <c r="M911" s="6">
        <v>167.78200000000001</v>
      </c>
      <c r="N911" s="6">
        <v>0</v>
      </c>
      <c r="O911" s="6">
        <v>0</v>
      </c>
      <c r="P911" s="6">
        <v>0</v>
      </c>
      <c r="Q911" s="4" t="s">
        <v>60</v>
      </c>
      <c r="R911" s="4">
        <v>0</v>
      </c>
      <c r="S911" s="6">
        <v>0</v>
      </c>
      <c r="T911" s="6">
        <v>48</v>
      </c>
      <c r="U911" s="6">
        <v>0</v>
      </c>
      <c r="V911" s="6">
        <f>IF(ISERROR(VLOOKUP($S$911,'TAR FIN'!$A$1:$O$104,15,0)),0,VLOOKUP($S$911,'TAR FIN'!$A$1:$O$104,15,0))</f>
        <v>0</v>
      </c>
      <c r="W911" s="6">
        <f>IF(ISERROR(VLOOKUP($T$911,'TAR FIN'!$A$1:$O$104,15,0)),0,VLOOKUP($T$911,'TAR FIN'!$A$1:$O$104,15,0))</f>
        <v>25.05</v>
      </c>
      <c r="X911" s="6">
        <f>IF(ISERROR(VLOOKUP($U$911,'TAR FIN'!$A$1:$O$104,15,0)),0,VLOOKUP($U$911,'TAR FIN'!$A$1:$O$104,15,0))</f>
        <v>0</v>
      </c>
      <c r="Y911" s="6"/>
      <c r="Z911" s="6">
        <f ca="1">('TUSD BE'!$AM$28+'TUSD BF'!$AM$28+'TUSD CVA'!$AM$28)*1</f>
        <v>21.143574932877051</v>
      </c>
      <c r="AA911" s="6"/>
      <c r="AB911" s="6">
        <f>$K$911*$V$911</f>
        <v>0</v>
      </c>
      <c r="AC911" s="6">
        <f>$M$911*$W$911</f>
        <v>4202.9391000000005</v>
      </c>
      <c r="AD911" s="6">
        <f>$O$911*$X$911</f>
        <v>0</v>
      </c>
      <c r="AE911" s="6">
        <f>$K$911*$Y$911</f>
        <v>0</v>
      </c>
      <c r="AF911" s="6">
        <f ca="1">$M$911*$Z$911</f>
        <v>3547.5112893879777</v>
      </c>
      <c r="AG911" s="6">
        <f>$O$911*$AA$911</f>
        <v>0</v>
      </c>
    </row>
    <row r="912" spans="1:33" ht="11.25" customHeight="1" x14ac:dyDescent="0.25">
      <c r="A912" s="4" t="s">
        <v>27</v>
      </c>
      <c r="B912" s="4" t="s">
        <v>41</v>
      </c>
      <c r="C912" s="4" t="s">
        <v>42</v>
      </c>
      <c r="D912" s="4" t="s">
        <v>38</v>
      </c>
      <c r="E912" s="4" t="s">
        <v>25</v>
      </c>
      <c r="F912" s="4" t="s">
        <v>59</v>
      </c>
      <c r="G912" s="4" t="s">
        <v>25</v>
      </c>
      <c r="H912" s="4" t="s">
        <v>35</v>
      </c>
      <c r="I912" s="5">
        <v>44593</v>
      </c>
      <c r="J912" s="6">
        <v>0</v>
      </c>
      <c r="K912" s="6">
        <v>0</v>
      </c>
      <c r="L912" s="6">
        <v>150.23400000000001</v>
      </c>
      <c r="M912" s="6">
        <v>150.23400000000001</v>
      </c>
      <c r="N912" s="6">
        <v>0</v>
      </c>
      <c r="O912" s="6">
        <v>0</v>
      </c>
      <c r="P912" s="6">
        <v>0</v>
      </c>
      <c r="Q912" s="4" t="s">
        <v>60</v>
      </c>
      <c r="R912" s="4">
        <v>0</v>
      </c>
      <c r="S912" s="6">
        <v>0</v>
      </c>
      <c r="T912" s="6">
        <v>48</v>
      </c>
      <c r="U912" s="6">
        <v>0</v>
      </c>
      <c r="V912" s="6">
        <f>IF(ISERROR(VLOOKUP($S$912,'TAR FIN'!$A$1:$O$104,15,0)),0,VLOOKUP($S$912,'TAR FIN'!$A$1:$O$104,15,0))</f>
        <v>0</v>
      </c>
      <c r="W912" s="6">
        <f>IF(ISERROR(VLOOKUP($T$912,'TAR FIN'!$A$1:$O$104,15,0)),0,VLOOKUP($T$912,'TAR FIN'!$A$1:$O$104,15,0))</f>
        <v>25.05</v>
      </c>
      <c r="X912" s="6">
        <f>IF(ISERROR(VLOOKUP($U$912,'TAR FIN'!$A$1:$O$104,15,0)),0,VLOOKUP($U$912,'TAR FIN'!$A$1:$O$104,15,0))</f>
        <v>0</v>
      </c>
      <c r="Y912" s="6"/>
      <c r="Z912" s="6">
        <f ca="1">('TUSD BE'!$AM$28+'TUSD BF'!$AM$28+'TUSD CVA'!$AM$28)*1</f>
        <v>21.143574932877051</v>
      </c>
      <c r="AA912" s="6"/>
      <c r="AB912" s="6">
        <f>$K$912*$V$912</f>
        <v>0</v>
      </c>
      <c r="AC912" s="6">
        <f>$M$912*$W$912</f>
        <v>3763.3617000000004</v>
      </c>
      <c r="AD912" s="6">
        <f>$O$912*$X$912</f>
        <v>0</v>
      </c>
      <c r="AE912" s="6">
        <f>$K$912*$Y$912</f>
        <v>0</v>
      </c>
      <c r="AF912" s="6">
        <f ca="1">$M$912*$Z$912</f>
        <v>3176.4838364658513</v>
      </c>
      <c r="AG912" s="6">
        <f>$O$912*$AA$912</f>
        <v>0</v>
      </c>
    </row>
    <row r="913" spans="1:33" ht="11.25" customHeight="1" x14ac:dyDescent="0.25">
      <c r="A913" s="4" t="s">
        <v>27</v>
      </c>
      <c r="B913" s="4" t="s">
        <v>41</v>
      </c>
      <c r="C913" s="4" t="s">
        <v>42</v>
      </c>
      <c r="D913" s="4" t="s">
        <v>38</v>
      </c>
      <c r="E913" s="4" t="s">
        <v>25</v>
      </c>
      <c r="F913" s="4" t="s">
        <v>59</v>
      </c>
      <c r="G913" s="4" t="s">
        <v>25</v>
      </c>
      <c r="H913" s="4" t="s">
        <v>35</v>
      </c>
      <c r="I913" s="5">
        <v>44621</v>
      </c>
      <c r="J913" s="6">
        <v>0</v>
      </c>
      <c r="K913" s="6">
        <v>0</v>
      </c>
      <c r="L913" s="6">
        <v>152.11000000000001</v>
      </c>
      <c r="M913" s="6">
        <v>152.11000000000001</v>
      </c>
      <c r="N913" s="6">
        <v>0</v>
      </c>
      <c r="O913" s="6">
        <v>0</v>
      </c>
      <c r="P913" s="6">
        <v>0</v>
      </c>
      <c r="Q913" s="4" t="s">
        <v>60</v>
      </c>
      <c r="R913" s="4">
        <v>0</v>
      </c>
      <c r="S913" s="6">
        <v>0</v>
      </c>
      <c r="T913" s="6">
        <v>48</v>
      </c>
      <c r="U913" s="6">
        <v>0</v>
      </c>
      <c r="V913" s="6">
        <f>IF(ISERROR(VLOOKUP($S$913,'TAR FIN'!$A$1:$O$104,15,0)),0,VLOOKUP($S$913,'TAR FIN'!$A$1:$O$104,15,0))</f>
        <v>0</v>
      </c>
      <c r="W913" s="6">
        <f>IF(ISERROR(VLOOKUP($T$913,'TAR FIN'!$A$1:$O$104,15,0)),0,VLOOKUP($T$913,'TAR FIN'!$A$1:$O$104,15,0))</f>
        <v>25.05</v>
      </c>
      <c r="X913" s="6">
        <f>IF(ISERROR(VLOOKUP($U$913,'TAR FIN'!$A$1:$O$104,15,0)),0,VLOOKUP($U$913,'TAR FIN'!$A$1:$O$104,15,0))</f>
        <v>0</v>
      </c>
      <c r="Y913" s="6"/>
      <c r="Z913" s="6">
        <f ca="1">('TUSD BE'!$AM$28+'TUSD BF'!$AM$28+'TUSD CVA'!$AM$28)*1</f>
        <v>21.143574932877051</v>
      </c>
      <c r="AA913" s="6"/>
      <c r="AB913" s="6">
        <f>$K$913*$V$913</f>
        <v>0</v>
      </c>
      <c r="AC913" s="6">
        <f>$M$913*$W$913</f>
        <v>3810.3555000000006</v>
      </c>
      <c r="AD913" s="6">
        <f>$O$913*$X$913</f>
        <v>0</v>
      </c>
      <c r="AE913" s="6">
        <f>$K$913*$Y$913</f>
        <v>0</v>
      </c>
      <c r="AF913" s="6">
        <f ca="1">$M$913*$Z$913</f>
        <v>3216.1491830399286</v>
      </c>
      <c r="AG913" s="6">
        <f>$O$913*$AA$913</f>
        <v>0</v>
      </c>
    </row>
    <row r="914" spans="1:33" ht="11.25" customHeight="1" x14ac:dyDescent="0.25">
      <c r="A914" s="4" t="s">
        <v>27</v>
      </c>
      <c r="B914" s="4" t="s">
        <v>41</v>
      </c>
      <c r="C914" s="4" t="s">
        <v>42</v>
      </c>
      <c r="D914" s="4" t="s">
        <v>38</v>
      </c>
      <c r="E914" s="4" t="s">
        <v>25</v>
      </c>
      <c r="F914" s="4" t="s">
        <v>59</v>
      </c>
      <c r="G914" s="4" t="s">
        <v>25</v>
      </c>
      <c r="H914" s="4" t="s">
        <v>35</v>
      </c>
      <c r="I914" s="5">
        <v>44652</v>
      </c>
      <c r="J914" s="6">
        <v>0</v>
      </c>
      <c r="K914" s="6">
        <v>0</v>
      </c>
      <c r="L914" s="6">
        <v>140.28399999999999</v>
      </c>
      <c r="M914" s="6">
        <v>140.28399999999999</v>
      </c>
      <c r="N914" s="6">
        <v>0</v>
      </c>
      <c r="O914" s="6">
        <v>0</v>
      </c>
      <c r="P914" s="6">
        <v>0</v>
      </c>
      <c r="Q914" s="4" t="s">
        <v>60</v>
      </c>
      <c r="R914" s="4">
        <v>0</v>
      </c>
      <c r="S914" s="6">
        <v>0</v>
      </c>
      <c r="T914" s="6">
        <v>48</v>
      </c>
      <c r="U914" s="6">
        <v>0</v>
      </c>
      <c r="V914" s="6">
        <f>IF(ISERROR(VLOOKUP($S$914,'TAR FIN'!$A$1:$O$104,15,0)),0,VLOOKUP($S$914,'TAR FIN'!$A$1:$O$104,15,0))</f>
        <v>0</v>
      </c>
      <c r="W914" s="6">
        <f>IF(ISERROR(VLOOKUP($T$914,'TAR FIN'!$A$1:$O$104,15,0)),0,VLOOKUP($T$914,'TAR FIN'!$A$1:$O$104,15,0))</f>
        <v>25.05</v>
      </c>
      <c r="X914" s="6">
        <f>IF(ISERROR(VLOOKUP($U$914,'TAR FIN'!$A$1:$O$104,15,0)),0,VLOOKUP($U$914,'TAR FIN'!$A$1:$O$104,15,0))</f>
        <v>0</v>
      </c>
      <c r="Y914" s="6"/>
      <c r="Z914" s="6">
        <f ca="1">('TUSD BE'!$AM$28+'TUSD BF'!$AM$28+'TUSD CVA'!$AM$28)*1</f>
        <v>21.143574932877051</v>
      </c>
      <c r="AA914" s="6"/>
      <c r="AB914" s="6">
        <f>$K$914*$V$914</f>
        <v>0</v>
      </c>
      <c r="AC914" s="6">
        <f>$M$914*$W$914</f>
        <v>3514.1142</v>
      </c>
      <c r="AD914" s="6">
        <f>$O$914*$X$914</f>
        <v>0</v>
      </c>
      <c r="AE914" s="6">
        <f>$K$914*$Y$914</f>
        <v>0</v>
      </c>
      <c r="AF914" s="6">
        <f ca="1">$M$914*$Z$914</f>
        <v>2966.1052658837239</v>
      </c>
      <c r="AG914" s="6">
        <f>$O$914*$AA$914</f>
        <v>0</v>
      </c>
    </row>
    <row r="915" spans="1:33" ht="11.25" customHeight="1" x14ac:dyDescent="0.25">
      <c r="A915" s="4" t="s">
        <v>27</v>
      </c>
      <c r="B915" s="4" t="s">
        <v>41</v>
      </c>
      <c r="C915" s="4" t="s">
        <v>42</v>
      </c>
      <c r="D915" s="4" t="s">
        <v>38</v>
      </c>
      <c r="E915" s="4" t="s">
        <v>25</v>
      </c>
      <c r="F915" s="4" t="s">
        <v>59</v>
      </c>
      <c r="G915" s="4" t="s">
        <v>25</v>
      </c>
      <c r="H915" s="4" t="s">
        <v>35</v>
      </c>
      <c r="I915" s="5">
        <v>44682</v>
      </c>
      <c r="J915" s="6">
        <v>0</v>
      </c>
      <c r="K915" s="6">
        <v>0</v>
      </c>
      <c r="L915" s="6">
        <v>17.553000000000001</v>
      </c>
      <c r="M915" s="6">
        <v>17.553000000000001</v>
      </c>
      <c r="N915" s="6">
        <v>0</v>
      </c>
      <c r="O915" s="6">
        <v>0</v>
      </c>
      <c r="P915" s="6">
        <v>0</v>
      </c>
      <c r="Q915" s="4" t="s">
        <v>60</v>
      </c>
      <c r="R915" s="4">
        <v>0</v>
      </c>
      <c r="S915" s="6">
        <v>0</v>
      </c>
      <c r="T915" s="6">
        <v>48</v>
      </c>
      <c r="U915" s="6">
        <v>0</v>
      </c>
      <c r="V915" s="6">
        <f>IF(ISERROR(VLOOKUP($S$915,'TAR FIN'!$A$1:$O$104,15,0)),0,VLOOKUP($S$915,'TAR FIN'!$A$1:$O$104,15,0))</f>
        <v>0</v>
      </c>
      <c r="W915" s="6">
        <f>IF(ISERROR(VLOOKUP($T$915,'TAR FIN'!$A$1:$O$104,15,0)),0,VLOOKUP($T$915,'TAR FIN'!$A$1:$O$104,15,0))</f>
        <v>25.05</v>
      </c>
      <c r="X915" s="6">
        <f>IF(ISERROR(VLOOKUP($U$915,'TAR FIN'!$A$1:$O$104,15,0)),0,VLOOKUP($U$915,'TAR FIN'!$A$1:$O$104,15,0))</f>
        <v>0</v>
      </c>
      <c r="Y915" s="6"/>
      <c r="Z915" s="6">
        <f ca="1">('TUSD BE'!$AM$28+'TUSD BF'!$AM$28+'TUSD CVA'!$AM$28)*1</f>
        <v>21.143574932877051</v>
      </c>
      <c r="AA915" s="6"/>
      <c r="AB915" s="6">
        <f>$K$915*$V$915</f>
        <v>0</v>
      </c>
      <c r="AC915" s="6">
        <f>$M$915*$W$915</f>
        <v>439.70265000000001</v>
      </c>
      <c r="AD915" s="6">
        <f>$O$915*$X$915</f>
        <v>0</v>
      </c>
      <c r="AE915" s="6">
        <f>$K$915*$Y$915</f>
        <v>0</v>
      </c>
      <c r="AF915" s="6">
        <f ca="1">$M$915*$Z$915</f>
        <v>371.13317079679092</v>
      </c>
      <c r="AG915" s="6">
        <f>$O$915*$AA$915</f>
        <v>0</v>
      </c>
    </row>
    <row r="916" spans="1:33" ht="11.25" customHeight="1" x14ac:dyDescent="0.25">
      <c r="A916" s="4" t="s">
        <v>27</v>
      </c>
      <c r="B916" s="4" t="s">
        <v>41</v>
      </c>
      <c r="C916" s="4" t="s">
        <v>42</v>
      </c>
      <c r="D916" s="4" t="s">
        <v>38</v>
      </c>
      <c r="E916" s="4" t="s">
        <v>25</v>
      </c>
      <c r="F916" s="4" t="s">
        <v>59</v>
      </c>
      <c r="G916" s="4" t="s">
        <v>25</v>
      </c>
      <c r="H916" s="4" t="s">
        <v>35</v>
      </c>
      <c r="I916" s="5">
        <v>44713</v>
      </c>
      <c r="J916" s="6">
        <v>0</v>
      </c>
      <c r="K916" s="6">
        <v>0</v>
      </c>
      <c r="L916" s="6">
        <v>91.113</v>
      </c>
      <c r="M916" s="6">
        <v>91.113</v>
      </c>
      <c r="N916" s="6">
        <v>0</v>
      </c>
      <c r="O916" s="6">
        <v>0</v>
      </c>
      <c r="P916" s="6">
        <v>0</v>
      </c>
      <c r="Q916" s="4" t="s">
        <v>60</v>
      </c>
      <c r="R916" s="4">
        <v>0</v>
      </c>
      <c r="S916" s="6">
        <v>0</v>
      </c>
      <c r="T916" s="6">
        <v>48</v>
      </c>
      <c r="U916" s="6">
        <v>0</v>
      </c>
      <c r="V916" s="6">
        <f>IF(ISERROR(VLOOKUP($S$916,'TAR FIN'!$A$1:$O$104,15,0)),0,VLOOKUP($S$916,'TAR FIN'!$A$1:$O$104,15,0))</f>
        <v>0</v>
      </c>
      <c r="W916" s="6">
        <f>IF(ISERROR(VLOOKUP($T$916,'TAR FIN'!$A$1:$O$104,15,0)),0,VLOOKUP($T$916,'TAR FIN'!$A$1:$O$104,15,0))</f>
        <v>25.05</v>
      </c>
      <c r="X916" s="6">
        <f>IF(ISERROR(VLOOKUP($U$916,'TAR FIN'!$A$1:$O$104,15,0)),0,VLOOKUP($U$916,'TAR FIN'!$A$1:$O$104,15,0))</f>
        <v>0</v>
      </c>
      <c r="Y916" s="6"/>
      <c r="Z916" s="6">
        <f ca="1">('TUSD BE'!$AM$28+'TUSD BF'!$AM$28+'TUSD CVA'!$AM$28)*1</f>
        <v>21.143574932877051</v>
      </c>
      <c r="AA916" s="6"/>
      <c r="AB916" s="6">
        <f>$K$916*$V$916</f>
        <v>0</v>
      </c>
      <c r="AC916" s="6">
        <f>$M$916*$W$916</f>
        <v>2282.3806500000001</v>
      </c>
      <c r="AD916" s="6">
        <f>$O$916*$X$916</f>
        <v>0</v>
      </c>
      <c r="AE916" s="6">
        <f>$K$916*$Y$916</f>
        <v>0</v>
      </c>
      <c r="AF916" s="6">
        <f ca="1">$M$916*$Z$916</f>
        <v>1926.4545428592266</v>
      </c>
      <c r="AG916" s="6">
        <f>$O$916*$AA$916</f>
        <v>0</v>
      </c>
    </row>
    <row r="917" spans="1:33" ht="11.25" customHeight="1" x14ac:dyDescent="0.25">
      <c r="A917" s="4" t="s">
        <v>57</v>
      </c>
      <c r="B917" s="4" t="s">
        <v>41</v>
      </c>
      <c r="C917" s="4" t="s">
        <v>42</v>
      </c>
      <c r="D917" s="4" t="s">
        <v>38</v>
      </c>
      <c r="E917" s="4" t="s">
        <v>25</v>
      </c>
      <c r="F917" s="4" t="s">
        <v>59</v>
      </c>
      <c r="G917" s="4" t="s">
        <v>25</v>
      </c>
      <c r="H917" s="4" t="s">
        <v>35</v>
      </c>
      <c r="I917" s="5">
        <v>44743</v>
      </c>
      <c r="J917" s="6">
        <v>0</v>
      </c>
      <c r="K917" s="6">
        <v>0</v>
      </c>
      <c r="L917" s="6">
        <v>91.113</v>
      </c>
      <c r="M917" s="6">
        <v>91.113</v>
      </c>
      <c r="N917" s="6">
        <v>0</v>
      </c>
      <c r="O917" s="6">
        <v>0</v>
      </c>
      <c r="P917" s="6">
        <v>0</v>
      </c>
      <c r="Q917" s="4" t="s">
        <v>60</v>
      </c>
      <c r="R917" s="4">
        <v>0</v>
      </c>
      <c r="S917" s="6">
        <v>0</v>
      </c>
      <c r="T917" s="6">
        <v>48</v>
      </c>
      <c r="U917" s="6">
        <v>0</v>
      </c>
      <c r="V917" s="6">
        <f>IF(ISERROR(VLOOKUP($S$917,'TAR FIN'!$A$1:$O$104,15,0)),0,VLOOKUP($S$917,'TAR FIN'!$A$1:$O$104,15,0))</f>
        <v>0</v>
      </c>
      <c r="W917" s="6">
        <f>IF(ISERROR(VLOOKUP($T$917,'TAR FIN'!$A$1:$O$104,15,0)),0,VLOOKUP($T$917,'TAR FIN'!$A$1:$O$104,15,0))</f>
        <v>25.05</v>
      </c>
      <c r="X917" s="6">
        <f>IF(ISERROR(VLOOKUP($U$917,'TAR FIN'!$A$1:$O$104,15,0)),0,VLOOKUP($U$917,'TAR FIN'!$A$1:$O$104,15,0))</f>
        <v>0</v>
      </c>
      <c r="Y917" s="6"/>
      <c r="Z917" s="6">
        <f ca="1">('TUSD BE'!$AM$28+'TUSD BF'!$AM$28+'TUSD CVA'!$AM$28)*1</f>
        <v>21.143574932877051</v>
      </c>
      <c r="AA917" s="6"/>
      <c r="AB917" s="6">
        <f>$K$917*$V$917</f>
        <v>0</v>
      </c>
      <c r="AC917" s="6">
        <f>$M$917*$W$917</f>
        <v>2282.3806500000001</v>
      </c>
      <c r="AD917" s="6">
        <f>$O$917*$X$917</f>
        <v>0</v>
      </c>
      <c r="AE917" s="6">
        <f>$K$917*$Y$917</f>
        <v>0</v>
      </c>
      <c r="AF917" s="6">
        <f ca="1">$M$917*$Z$917</f>
        <v>1926.4545428592266</v>
      </c>
      <c r="AG917" s="6">
        <f>$O$917*$AA$917</f>
        <v>0</v>
      </c>
    </row>
    <row r="918" spans="1:33" ht="11.25" customHeight="1" x14ac:dyDescent="0.25">
      <c r="A918" s="4" t="s">
        <v>21</v>
      </c>
      <c r="B918" s="4" t="s">
        <v>41</v>
      </c>
      <c r="C918" s="4" t="s">
        <v>42</v>
      </c>
      <c r="D918" s="4" t="s">
        <v>38</v>
      </c>
      <c r="E918" s="4" t="s">
        <v>25</v>
      </c>
      <c r="F918" s="4" t="s">
        <v>61</v>
      </c>
      <c r="G918" s="4" t="s">
        <v>25</v>
      </c>
      <c r="H918" s="4" t="s">
        <v>35</v>
      </c>
      <c r="I918" s="5">
        <v>44409</v>
      </c>
      <c r="J918" s="6">
        <v>0</v>
      </c>
      <c r="K918" s="6">
        <v>0</v>
      </c>
      <c r="L918" s="6">
        <v>9065.5460000000003</v>
      </c>
      <c r="M918" s="6">
        <v>9065.5460000000003</v>
      </c>
      <c r="N918" s="6">
        <v>0</v>
      </c>
      <c r="O918" s="6">
        <v>0</v>
      </c>
      <c r="P918" s="6">
        <v>0</v>
      </c>
      <c r="Q918" s="4" t="s">
        <v>58</v>
      </c>
      <c r="R918" s="4">
        <v>0</v>
      </c>
      <c r="S918" s="6">
        <v>0</v>
      </c>
      <c r="T918" s="6">
        <v>44</v>
      </c>
      <c r="U918" s="6">
        <v>0</v>
      </c>
      <c r="V918" s="6">
        <f>IF(ISERROR(VLOOKUP($S$918,'TAR FIN'!$A$1:$O$104,15,0)),0,VLOOKUP($S$918,'TAR FIN'!$A$1:$O$104,15,0))</f>
        <v>0</v>
      </c>
      <c r="W918" s="6">
        <f>IF(ISERROR(VLOOKUP($T$918,'TAR FIN'!$A$1:$O$104,15,0)),0,VLOOKUP($T$918,'TAR FIN'!$A$1:$O$104,15,0))</f>
        <v>62.57</v>
      </c>
      <c r="X918" s="6">
        <f>IF(ISERROR(VLOOKUP($U$918,'TAR FIN'!$A$1:$O$104,15,0)),0,VLOOKUP($U$918,'TAR FIN'!$A$1:$O$104,15,0))</f>
        <v>0</v>
      </c>
      <c r="Y918" s="6"/>
      <c r="Z918" s="6">
        <f ca="1">('TUSD BE'!$AM$26+'TUSD BF'!$AM$26+'TUSD CVA'!$AM$26)*1</f>
        <v>77.876201961015255</v>
      </c>
      <c r="AA918" s="6"/>
      <c r="AB918" s="6">
        <f>$K$918*$V$918</f>
        <v>0</v>
      </c>
      <c r="AC918" s="6">
        <f>$M$918*$W$918</f>
        <v>567231.21322000003</v>
      </c>
      <c r="AD918" s="6">
        <f>$O$918*$X$918</f>
        <v>0</v>
      </c>
      <c r="AE918" s="6">
        <f>$K$918*$Y$918</f>
        <v>0</v>
      </c>
      <c r="AF918" s="6">
        <f ca="1">$M$918*$Z$918</f>
        <v>705990.291182874</v>
      </c>
      <c r="AG918" s="6">
        <f>$O$918*$AA$918</f>
        <v>0</v>
      </c>
    </row>
    <row r="919" spans="1:33" ht="11.25" customHeight="1" x14ac:dyDescent="0.25">
      <c r="A919" s="4" t="s">
        <v>27</v>
      </c>
      <c r="B919" s="4" t="s">
        <v>41</v>
      </c>
      <c r="C919" s="4" t="s">
        <v>42</v>
      </c>
      <c r="D919" s="4" t="s">
        <v>38</v>
      </c>
      <c r="E919" s="4" t="s">
        <v>25</v>
      </c>
      <c r="F919" s="4" t="s">
        <v>61</v>
      </c>
      <c r="G919" s="4" t="s">
        <v>25</v>
      </c>
      <c r="H919" s="4" t="s">
        <v>35</v>
      </c>
      <c r="I919" s="5">
        <v>44409</v>
      </c>
      <c r="J919" s="6">
        <v>0</v>
      </c>
      <c r="K919" s="6">
        <v>0</v>
      </c>
      <c r="L919" s="6">
        <v>-13.065</v>
      </c>
      <c r="M919" s="6">
        <v>-13.065</v>
      </c>
      <c r="N919" s="6">
        <v>0</v>
      </c>
      <c r="O919" s="6">
        <v>0</v>
      </c>
      <c r="P919" s="6">
        <v>0</v>
      </c>
      <c r="Q919" s="4" t="s">
        <v>58</v>
      </c>
      <c r="R919" s="4">
        <v>0</v>
      </c>
      <c r="S919" s="6">
        <v>0</v>
      </c>
      <c r="T919" s="6">
        <v>44</v>
      </c>
      <c r="U919" s="6">
        <v>0</v>
      </c>
      <c r="V919" s="6">
        <f>IF(ISERROR(VLOOKUP($S$919,'TAR FIN'!$A$1:$O$104,15,0)),0,VLOOKUP($S$919,'TAR FIN'!$A$1:$O$104,15,0))</f>
        <v>0</v>
      </c>
      <c r="W919" s="6">
        <f>IF(ISERROR(VLOOKUP($T$919,'TAR FIN'!$A$1:$O$104,15,0)),0,VLOOKUP($T$919,'TAR FIN'!$A$1:$O$104,15,0))</f>
        <v>62.57</v>
      </c>
      <c r="X919" s="6">
        <f>IF(ISERROR(VLOOKUP($U$919,'TAR FIN'!$A$1:$O$104,15,0)),0,VLOOKUP($U$919,'TAR FIN'!$A$1:$O$104,15,0))</f>
        <v>0</v>
      </c>
      <c r="Y919" s="6"/>
      <c r="Z919" s="6">
        <f ca="1">('TUSD BE'!$AM$26+'TUSD BF'!$AM$26+'TUSD CVA'!$AM$26)*1</f>
        <v>77.876201961015255</v>
      </c>
      <c r="AA919" s="6"/>
      <c r="AB919" s="6">
        <f>$K$919*$V$919</f>
        <v>0</v>
      </c>
      <c r="AC919" s="6">
        <f>$M$919*$W$919</f>
        <v>-817.47704999999996</v>
      </c>
      <c r="AD919" s="6">
        <f>$O$919*$X$919</f>
        <v>0</v>
      </c>
      <c r="AE919" s="6">
        <f>$K$919*$Y$919</f>
        <v>0</v>
      </c>
      <c r="AF919" s="6">
        <f ca="1">$M$919*$Z$919</f>
        <v>-1017.4525786206642</v>
      </c>
      <c r="AG919" s="6">
        <f>$O$919*$AA$919</f>
        <v>0</v>
      </c>
    </row>
    <row r="920" spans="1:33" ht="11.25" customHeight="1" x14ac:dyDescent="0.25">
      <c r="A920" s="4" t="s">
        <v>21</v>
      </c>
      <c r="B920" s="4" t="s">
        <v>41</v>
      </c>
      <c r="C920" s="4" t="s">
        <v>42</v>
      </c>
      <c r="D920" s="4" t="s">
        <v>38</v>
      </c>
      <c r="E920" s="4" t="s">
        <v>25</v>
      </c>
      <c r="F920" s="4" t="s">
        <v>61</v>
      </c>
      <c r="G920" s="4" t="s">
        <v>25</v>
      </c>
      <c r="H920" s="4" t="s">
        <v>35</v>
      </c>
      <c r="I920" s="5">
        <v>44440</v>
      </c>
      <c r="J920" s="6">
        <v>0</v>
      </c>
      <c r="K920" s="6">
        <v>0</v>
      </c>
      <c r="L920" s="6">
        <v>9143.0030000000006</v>
      </c>
      <c r="M920" s="6">
        <v>9143.0030000000006</v>
      </c>
      <c r="N920" s="6">
        <v>0</v>
      </c>
      <c r="O920" s="6">
        <v>0</v>
      </c>
      <c r="P920" s="6">
        <v>0</v>
      </c>
      <c r="Q920" s="4" t="s">
        <v>58</v>
      </c>
      <c r="R920" s="4">
        <v>0</v>
      </c>
      <c r="S920" s="6">
        <v>0</v>
      </c>
      <c r="T920" s="6">
        <v>44</v>
      </c>
      <c r="U920" s="6">
        <v>0</v>
      </c>
      <c r="V920" s="6">
        <f>IF(ISERROR(VLOOKUP($S$920,'TAR FIN'!$A$1:$O$104,15,0)),0,VLOOKUP($S$920,'TAR FIN'!$A$1:$O$104,15,0))</f>
        <v>0</v>
      </c>
      <c r="W920" s="6">
        <f>IF(ISERROR(VLOOKUP($T$920,'TAR FIN'!$A$1:$O$104,15,0)),0,VLOOKUP($T$920,'TAR FIN'!$A$1:$O$104,15,0))</f>
        <v>62.57</v>
      </c>
      <c r="X920" s="6">
        <f>IF(ISERROR(VLOOKUP($U$920,'TAR FIN'!$A$1:$O$104,15,0)),0,VLOOKUP($U$920,'TAR FIN'!$A$1:$O$104,15,0))</f>
        <v>0</v>
      </c>
      <c r="Y920" s="6"/>
      <c r="Z920" s="6">
        <f ca="1">('TUSD BE'!$AM$26+'TUSD BF'!$AM$26+'TUSD CVA'!$AM$26)*1</f>
        <v>77.876201961015255</v>
      </c>
      <c r="AA920" s="6"/>
      <c r="AB920" s="6">
        <f>$K$920*$V$920</f>
        <v>0</v>
      </c>
      <c r="AC920" s="6">
        <f>$M$920*$W$920</f>
        <v>572077.69771000009</v>
      </c>
      <c r="AD920" s="6">
        <f>$O$920*$X$920</f>
        <v>0</v>
      </c>
      <c r="AE920" s="6">
        <f>$K$920*$Y$920</f>
        <v>0</v>
      </c>
      <c r="AF920" s="6">
        <f ca="1">$M$920*$Z$920</f>
        <v>712022.34815816837</v>
      </c>
      <c r="AG920" s="6">
        <f>$O$920*$AA$920</f>
        <v>0</v>
      </c>
    </row>
    <row r="921" spans="1:33" ht="11.25" customHeight="1" x14ac:dyDescent="0.25">
      <c r="A921" s="4" t="s">
        <v>27</v>
      </c>
      <c r="B921" s="4" t="s">
        <v>41</v>
      </c>
      <c r="C921" s="4" t="s">
        <v>42</v>
      </c>
      <c r="D921" s="4" t="s">
        <v>38</v>
      </c>
      <c r="E921" s="4" t="s">
        <v>25</v>
      </c>
      <c r="F921" s="4" t="s">
        <v>61</v>
      </c>
      <c r="G921" s="4" t="s">
        <v>25</v>
      </c>
      <c r="H921" s="4" t="s">
        <v>35</v>
      </c>
      <c r="I921" s="5">
        <v>44440</v>
      </c>
      <c r="J921" s="6">
        <v>0</v>
      </c>
      <c r="K921" s="6">
        <v>0</v>
      </c>
      <c r="L921" s="6">
        <v>-6.5860000000000003</v>
      </c>
      <c r="M921" s="6">
        <v>-6.5860000000000003</v>
      </c>
      <c r="N921" s="6">
        <v>0</v>
      </c>
      <c r="O921" s="6">
        <v>0</v>
      </c>
      <c r="P921" s="6">
        <v>0</v>
      </c>
      <c r="Q921" s="4" t="s">
        <v>58</v>
      </c>
      <c r="R921" s="4">
        <v>0</v>
      </c>
      <c r="S921" s="6">
        <v>0</v>
      </c>
      <c r="T921" s="6">
        <v>44</v>
      </c>
      <c r="U921" s="6">
        <v>0</v>
      </c>
      <c r="V921" s="6">
        <f>IF(ISERROR(VLOOKUP($S$921,'TAR FIN'!$A$1:$O$104,15,0)),0,VLOOKUP($S$921,'TAR FIN'!$A$1:$O$104,15,0))</f>
        <v>0</v>
      </c>
      <c r="W921" s="6">
        <f>IF(ISERROR(VLOOKUP($T$921,'TAR FIN'!$A$1:$O$104,15,0)),0,VLOOKUP($T$921,'TAR FIN'!$A$1:$O$104,15,0))</f>
        <v>62.57</v>
      </c>
      <c r="X921" s="6">
        <f>IF(ISERROR(VLOOKUP($U$921,'TAR FIN'!$A$1:$O$104,15,0)),0,VLOOKUP($U$921,'TAR FIN'!$A$1:$O$104,15,0))</f>
        <v>0</v>
      </c>
      <c r="Y921" s="6"/>
      <c r="Z921" s="6">
        <f ca="1">('TUSD BE'!$AM$26+'TUSD BF'!$AM$26+'TUSD CVA'!$AM$26)*1</f>
        <v>77.876201961015255</v>
      </c>
      <c r="AA921" s="6"/>
      <c r="AB921" s="6">
        <f>$K$921*$V$921</f>
        <v>0</v>
      </c>
      <c r="AC921" s="6">
        <f>$M$921*$W$921</f>
        <v>-412.08602000000002</v>
      </c>
      <c r="AD921" s="6">
        <f>$O$921*$X$921</f>
        <v>0</v>
      </c>
      <c r="AE921" s="6">
        <f>$K$921*$Y$921</f>
        <v>0</v>
      </c>
      <c r="AF921" s="6">
        <f ca="1">$M$921*$Z$921</f>
        <v>-512.89266611524647</v>
      </c>
      <c r="AG921" s="6">
        <f>$O$921*$AA$921</f>
        <v>0</v>
      </c>
    </row>
    <row r="922" spans="1:33" ht="11.25" customHeight="1" x14ac:dyDescent="0.25">
      <c r="A922" s="4" t="s">
        <v>21</v>
      </c>
      <c r="B922" s="4" t="s">
        <v>41</v>
      </c>
      <c r="C922" s="4" t="s">
        <v>42</v>
      </c>
      <c r="D922" s="4" t="s">
        <v>38</v>
      </c>
      <c r="E922" s="4" t="s">
        <v>25</v>
      </c>
      <c r="F922" s="4" t="s">
        <v>61</v>
      </c>
      <c r="G922" s="4" t="s">
        <v>25</v>
      </c>
      <c r="H922" s="4" t="s">
        <v>35</v>
      </c>
      <c r="I922" s="5">
        <v>44470</v>
      </c>
      <c r="J922" s="6">
        <v>0</v>
      </c>
      <c r="K922" s="6">
        <v>0</v>
      </c>
      <c r="L922" s="6">
        <v>9559.9210000000003</v>
      </c>
      <c r="M922" s="6">
        <v>9559.9210000000003</v>
      </c>
      <c r="N922" s="6">
        <v>0</v>
      </c>
      <c r="O922" s="6">
        <v>0</v>
      </c>
      <c r="P922" s="6">
        <v>0</v>
      </c>
      <c r="Q922" s="4" t="s">
        <v>58</v>
      </c>
      <c r="R922" s="4">
        <v>0</v>
      </c>
      <c r="S922" s="6">
        <v>0</v>
      </c>
      <c r="T922" s="6">
        <v>44</v>
      </c>
      <c r="U922" s="6">
        <v>0</v>
      </c>
      <c r="V922" s="6">
        <f>IF(ISERROR(VLOOKUP($S$922,'TAR FIN'!$A$1:$O$104,15,0)),0,VLOOKUP($S$922,'TAR FIN'!$A$1:$O$104,15,0))</f>
        <v>0</v>
      </c>
      <c r="W922" s="6">
        <f>IF(ISERROR(VLOOKUP($T$922,'TAR FIN'!$A$1:$O$104,15,0)),0,VLOOKUP($T$922,'TAR FIN'!$A$1:$O$104,15,0))</f>
        <v>62.57</v>
      </c>
      <c r="X922" s="6">
        <f>IF(ISERROR(VLOOKUP($U$922,'TAR FIN'!$A$1:$O$104,15,0)),0,VLOOKUP($U$922,'TAR FIN'!$A$1:$O$104,15,0))</f>
        <v>0</v>
      </c>
      <c r="Y922" s="6"/>
      <c r="Z922" s="6">
        <f ca="1">('TUSD BE'!$AM$26+'TUSD BF'!$AM$26+'TUSD CVA'!$AM$26)*1</f>
        <v>77.876201961015255</v>
      </c>
      <c r="AA922" s="6"/>
      <c r="AB922" s="6">
        <f>$K$922*$V$922</f>
        <v>0</v>
      </c>
      <c r="AC922" s="6">
        <f>$M$922*$W$922</f>
        <v>598164.25696999999</v>
      </c>
      <c r="AD922" s="6">
        <f>$O$922*$X$922</f>
        <v>0</v>
      </c>
      <c r="AE922" s="6">
        <f>$K$922*$Y$922</f>
        <v>0</v>
      </c>
      <c r="AF922" s="6">
        <f ca="1">$M$922*$Z$922</f>
        <v>744490.33852735092</v>
      </c>
      <c r="AG922" s="6">
        <f>$O$922*$AA$922</f>
        <v>0</v>
      </c>
    </row>
    <row r="923" spans="1:33" ht="11.25" customHeight="1" x14ac:dyDescent="0.25">
      <c r="A923" s="4" t="s">
        <v>27</v>
      </c>
      <c r="B923" s="4" t="s">
        <v>41</v>
      </c>
      <c r="C923" s="4" t="s">
        <v>42</v>
      </c>
      <c r="D923" s="4" t="s">
        <v>38</v>
      </c>
      <c r="E923" s="4" t="s">
        <v>25</v>
      </c>
      <c r="F923" s="4" t="s">
        <v>61</v>
      </c>
      <c r="G923" s="4" t="s">
        <v>25</v>
      </c>
      <c r="H923" s="4" t="s">
        <v>35</v>
      </c>
      <c r="I923" s="5">
        <v>44470</v>
      </c>
      <c r="J923" s="6">
        <v>0</v>
      </c>
      <c r="K923" s="6">
        <v>0</v>
      </c>
      <c r="L923" s="6">
        <v>-28.431000000000001</v>
      </c>
      <c r="M923" s="6">
        <v>-28.431000000000001</v>
      </c>
      <c r="N923" s="6">
        <v>0</v>
      </c>
      <c r="O923" s="6">
        <v>0</v>
      </c>
      <c r="P923" s="6">
        <v>0</v>
      </c>
      <c r="Q923" s="4" t="s">
        <v>58</v>
      </c>
      <c r="R923" s="4">
        <v>0</v>
      </c>
      <c r="S923" s="6">
        <v>0</v>
      </c>
      <c r="T923" s="6">
        <v>44</v>
      </c>
      <c r="U923" s="6">
        <v>0</v>
      </c>
      <c r="V923" s="6">
        <f>IF(ISERROR(VLOOKUP($S$923,'TAR FIN'!$A$1:$O$104,15,0)),0,VLOOKUP($S$923,'TAR FIN'!$A$1:$O$104,15,0))</f>
        <v>0</v>
      </c>
      <c r="W923" s="6">
        <f>IF(ISERROR(VLOOKUP($T$923,'TAR FIN'!$A$1:$O$104,15,0)),0,VLOOKUP($T$923,'TAR FIN'!$A$1:$O$104,15,0))</f>
        <v>62.57</v>
      </c>
      <c r="X923" s="6">
        <f>IF(ISERROR(VLOOKUP($U$923,'TAR FIN'!$A$1:$O$104,15,0)),0,VLOOKUP($U$923,'TAR FIN'!$A$1:$O$104,15,0))</f>
        <v>0</v>
      </c>
      <c r="Y923" s="6"/>
      <c r="Z923" s="6">
        <f ca="1">('TUSD BE'!$AM$26+'TUSD BF'!$AM$26+'TUSD CVA'!$AM$26)*1</f>
        <v>77.876201961015255</v>
      </c>
      <c r="AA923" s="6"/>
      <c r="AB923" s="6">
        <f>$K$923*$V$923</f>
        <v>0</v>
      </c>
      <c r="AC923" s="6">
        <f>$M$923*$W$923</f>
        <v>-1778.92767</v>
      </c>
      <c r="AD923" s="6">
        <f>$O$923*$X$923</f>
        <v>0</v>
      </c>
      <c r="AE923" s="6">
        <f>$K$923*$Y$923</f>
        <v>0</v>
      </c>
      <c r="AF923" s="6">
        <f ca="1">$M$923*$Z$923</f>
        <v>-2214.0982979536248</v>
      </c>
      <c r="AG923" s="6">
        <f>$O$923*$AA$923</f>
        <v>0</v>
      </c>
    </row>
    <row r="924" spans="1:33" ht="11.25" customHeight="1" x14ac:dyDescent="0.25">
      <c r="A924" s="4" t="s">
        <v>21</v>
      </c>
      <c r="B924" s="4" t="s">
        <v>41</v>
      </c>
      <c r="C924" s="4" t="s">
        <v>42</v>
      </c>
      <c r="D924" s="4" t="s">
        <v>38</v>
      </c>
      <c r="E924" s="4" t="s">
        <v>25</v>
      </c>
      <c r="F924" s="4" t="s">
        <v>61</v>
      </c>
      <c r="G924" s="4" t="s">
        <v>25</v>
      </c>
      <c r="H924" s="4" t="s">
        <v>35</v>
      </c>
      <c r="I924" s="5">
        <v>44501</v>
      </c>
      <c r="J924" s="6">
        <v>0</v>
      </c>
      <c r="K924" s="6">
        <v>0</v>
      </c>
      <c r="L924" s="6">
        <v>10666.103999999999</v>
      </c>
      <c r="M924" s="6">
        <v>10666.103999999999</v>
      </c>
      <c r="N924" s="6">
        <v>0</v>
      </c>
      <c r="O924" s="6">
        <v>0</v>
      </c>
      <c r="P924" s="6">
        <v>0</v>
      </c>
      <c r="Q924" s="4" t="s">
        <v>58</v>
      </c>
      <c r="R924" s="4">
        <v>0</v>
      </c>
      <c r="S924" s="6">
        <v>0</v>
      </c>
      <c r="T924" s="6">
        <v>44</v>
      </c>
      <c r="U924" s="6">
        <v>0</v>
      </c>
      <c r="V924" s="6">
        <f>IF(ISERROR(VLOOKUP($S$924,'TAR FIN'!$A$1:$O$104,15,0)),0,VLOOKUP($S$924,'TAR FIN'!$A$1:$O$104,15,0))</f>
        <v>0</v>
      </c>
      <c r="W924" s="6">
        <f>IF(ISERROR(VLOOKUP($T$924,'TAR FIN'!$A$1:$O$104,15,0)),0,VLOOKUP($T$924,'TAR FIN'!$A$1:$O$104,15,0))</f>
        <v>62.57</v>
      </c>
      <c r="X924" s="6">
        <f>IF(ISERROR(VLOOKUP($U$924,'TAR FIN'!$A$1:$O$104,15,0)),0,VLOOKUP($U$924,'TAR FIN'!$A$1:$O$104,15,0))</f>
        <v>0</v>
      </c>
      <c r="Y924" s="6"/>
      <c r="Z924" s="6">
        <f ca="1">('TUSD BE'!$AM$26+'TUSD BF'!$AM$26+'TUSD CVA'!$AM$26)*1</f>
        <v>77.876201961015255</v>
      </c>
      <c r="AA924" s="6"/>
      <c r="AB924" s="6">
        <f>$K$924*$V$924</f>
        <v>0</v>
      </c>
      <c r="AC924" s="6">
        <f>$M$924*$W$924</f>
        <v>667378.12728000002</v>
      </c>
      <c r="AD924" s="6">
        <f>$O$924*$X$924</f>
        <v>0</v>
      </c>
      <c r="AE924" s="6">
        <f>$K$924*$Y$924</f>
        <v>0</v>
      </c>
      <c r="AF924" s="6">
        <f ca="1">$M$924*$Z$924</f>
        <v>830635.66924119263</v>
      </c>
      <c r="AG924" s="6">
        <f>$O$924*$AA$924</f>
        <v>0</v>
      </c>
    </row>
    <row r="925" spans="1:33" ht="11.25" customHeight="1" x14ac:dyDescent="0.25">
      <c r="A925" s="4" t="s">
        <v>27</v>
      </c>
      <c r="B925" s="4" t="s">
        <v>41</v>
      </c>
      <c r="C925" s="4" t="s">
        <v>42</v>
      </c>
      <c r="D925" s="4" t="s">
        <v>38</v>
      </c>
      <c r="E925" s="4" t="s">
        <v>25</v>
      </c>
      <c r="F925" s="4" t="s">
        <v>61</v>
      </c>
      <c r="G925" s="4" t="s">
        <v>25</v>
      </c>
      <c r="H925" s="4" t="s">
        <v>35</v>
      </c>
      <c r="I925" s="5">
        <v>44501</v>
      </c>
      <c r="J925" s="6">
        <v>0</v>
      </c>
      <c r="K925" s="6">
        <v>0</v>
      </c>
      <c r="L925" s="6">
        <v>-32.764000000000003</v>
      </c>
      <c r="M925" s="6">
        <v>-32.764000000000003</v>
      </c>
      <c r="N925" s="6">
        <v>0</v>
      </c>
      <c r="O925" s="6">
        <v>0</v>
      </c>
      <c r="P925" s="6">
        <v>0</v>
      </c>
      <c r="Q925" s="4" t="s">
        <v>58</v>
      </c>
      <c r="R925" s="4">
        <v>0</v>
      </c>
      <c r="S925" s="6">
        <v>0</v>
      </c>
      <c r="T925" s="6">
        <v>44</v>
      </c>
      <c r="U925" s="6">
        <v>0</v>
      </c>
      <c r="V925" s="6">
        <f>IF(ISERROR(VLOOKUP($S$925,'TAR FIN'!$A$1:$O$104,15,0)),0,VLOOKUP($S$925,'TAR FIN'!$A$1:$O$104,15,0))</f>
        <v>0</v>
      </c>
      <c r="W925" s="6">
        <f>IF(ISERROR(VLOOKUP($T$925,'TAR FIN'!$A$1:$O$104,15,0)),0,VLOOKUP($T$925,'TAR FIN'!$A$1:$O$104,15,0))</f>
        <v>62.57</v>
      </c>
      <c r="X925" s="6">
        <f>IF(ISERROR(VLOOKUP($U$925,'TAR FIN'!$A$1:$O$104,15,0)),0,VLOOKUP($U$925,'TAR FIN'!$A$1:$O$104,15,0))</f>
        <v>0</v>
      </c>
      <c r="Y925" s="6"/>
      <c r="Z925" s="6">
        <f ca="1">('TUSD BE'!$AM$26+'TUSD BF'!$AM$26+'TUSD CVA'!$AM$26)*1</f>
        <v>77.876201961015255</v>
      </c>
      <c r="AA925" s="6"/>
      <c r="AB925" s="6">
        <f>$K$925*$V$925</f>
        <v>0</v>
      </c>
      <c r="AC925" s="6">
        <f>$M$925*$W$925</f>
        <v>-2050.0434800000003</v>
      </c>
      <c r="AD925" s="6">
        <f>$O$925*$X$925</f>
        <v>0</v>
      </c>
      <c r="AE925" s="6">
        <f>$K$925*$Y$925</f>
        <v>0</v>
      </c>
      <c r="AF925" s="6">
        <f ca="1">$M$925*$Z$925</f>
        <v>-2551.5358810507041</v>
      </c>
      <c r="AG925" s="6">
        <f>$O$925*$AA$925</f>
        <v>0</v>
      </c>
    </row>
    <row r="926" spans="1:33" ht="11.25" customHeight="1" x14ac:dyDescent="0.25">
      <c r="A926" s="4" t="s">
        <v>21</v>
      </c>
      <c r="B926" s="4" t="s">
        <v>41</v>
      </c>
      <c r="C926" s="4" t="s">
        <v>42</v>
      </c>
      <c r="D926" s="4" t="s">
        <v>38</v>
      </c>
      <c r="E926" s="4" t="s">
        <v>25</v>
      </c>
      <c r="F926" s="4" t="s">
        <v>61</v>
      </c>
      <c r="G926" s="4" t="s">
        <v>25</v>
      </c>
      <c r="H926" s="4" t="s">
        <v>35</v>
      </c>
      <c r="I926" s="5">
        <v>44531</v>
      </c>
      <c r="J926" s="6">
        <v>0</v>
      </c>
      <c r="K926" s="6">
        <v>0</v>
      </c>
      <c r="L926" s="6">
        <v>10699.184999999999</v>
      </c>
      <c r="M926" s="6">
        <v>10699.184999999999</v>
      </c>
      <c r="N926" s="6">
        <v>0</v>
      </c>
      <c r="O926" s="6">
        <v>0</v>
      </c>
      <c r="P926" s="6">
        <v>0</v>
      </c>
      <c r="Q926" s="4" t="s">
        <v>58</v>
      </c>
      <c r="R926" s="4">
        <v>0</v>
      </c>
      <c r="S926" s="6">
        <v>0</v>
      </c>
      <c r="T926" s="6">
        <v>44</v>
      </c>
      <c r="U926" s="6">
        <v>0</v>
      </c>
      <c r="V926" s="6">
        <f>IF(ISERROR(VLOOKUP($S$926,'TAR FIN'!$A$1:$O$104,15,0)),0,VLOOKUP($S$926,'TAR FIN'!$A$1:$O$104,15,0))</f>
        <v>0</v>
      </c>
      <c r="W926" s="6">
        <f>IF(ISERROR(VLOOKUP($T$926,'TAR FIN'!$A$1:$O$104,15,0)),0,VLOOKUP($T$926,'TAR FIN'!$A$1:$O$104,15,0))</f>
        <v>62.57</v>
      </c>
      <c r="X926" s="6">
        <f>IF(ISERROR(VLOOKUP($U$926,'TAR FIN'!$A$1:$O$104,15,0)),0,VLOOKUP($U$926,'TAR FIN'!$A$1:$O$104,15,0))</f>
        <v>0</v>
      </c>
      <c r="Y926" s="6"/>
      <c r="Z926" s="6">
        <f ca="1">('TUSD BE'!$AM$26+'TUSD BF'!$AM$26+'TUSD CVA'!$AM$26)*1</f>
        <v>77.876201961015255</v>
      </c>
      <c r="AA926" s="6"/>
      <c r="AB926" s="6">
        <f>$K$926*$V$926</f>
        <v>0</v>
      </c>
      <c r="AC926" s="6">
        <f>$M$926*$W$926</f>
        <v>669448.00544999994</v>
      </c>
      <c r="AD926" s="6">
        <f>$O$926*$X$926</f>
        <v>0</v>
      </c>
      <c r="AE926" s="6">
        <f>$K$926*$Y$926</f>
        <v>0</v>
      </c>
      <c r="AF926" s="6">
        <f ca="1">$M$926*$Z$926</f>
        <v>833211.89187826496</v>
      </c>
      <c r="AG926" s="6">
        <f>$O$926*$AA$926</f>
        <v>0</v>
      </c>
    </row>
    <row r="927" spans="1:33" ht="11.25" customHeight="1" x14ac:dyDescent="0.25">
      <c r="A927" s="4" t="s">
        <v>27</v>
      </c>
      <c r="B927" s="4" t="s">
        <v>41</v>
      </c>
      <c r="C927" s="4" t="s">
        <v>42</v>
      </c>
      <c r="D927" s="4" t="s">
        <v>38</v>
      </c>
      <c r="E927" s="4" t="s">
        <v>25</v>
      </c>
      <c r="F927" s="4" t="s">
        <v>61</v>
      </c>
      <c r="G927" s="4" t="s">
        <v>25</v>
      </c>
      <c r="H927" s="4" t="s">
        <v>35</v>
      </c>
      <c r="I927" s="5">
        <v>44531</v>
      </c>
      <c r="J927" s="6">
        <v>0</v>
      </c>
      <c r="K927" s="6">
        <v>0</v>
      </c>
      <c r="L927" s="6">
        <v>-124.36199999999999</v>
      </c>
      <c r="M927" s="6">
        <v>-124.36199999999999</v>
      </c>
      <c r="N927" s="6">
        <v>0</v>
      </c>
      <c r="O927" s="6">
        <v>0</v>
      </c>
      <c r="P927" s="6">
        <v>0</v>
      </c>
      <c r="Q927" s="4" t="s">
        <v>58</v>
      </c>
      <c r="R927" s="4">
        <v>0</v>
      </c>
      <c r="S927" s="6">
        <v>0</v>
      </c>
      <c r="T927" s="6">
        <v>44</v>
      </c>
      <c r="U927" s="6">
        <v>0</v>
      </c>
      <c r="V927" s="6">
        <f>IF(ISERROR(VLOOKUP($S$927,'TAR FIN'!$A$1:$O$104,15,0)),0,VLOOKUP($S$927,'TAR FIN'!$A$1:$O$104,15,0))</f>
        <v>0</v>
      </c>
      <c r="W927" s="6">
        <f>IF(ISERROR(VLOOKUP($T$927,'TAR FIN'!$A$1:$O$104,15,0)),0,VLOOKUP($T$927,'TAR FIN'!$A$1:$O$104,15,0))</f>
        <v>62.57</v>
      </c>
      <c r="X927" s="6">
        <f>IF(ISERROR(VLOOKUP($U$927,'TAR FIN'!$A$1:$O$104,15,0)),0,VLOOKUP($U$927,'TAR FIN'!$A$1:$O$104,15,0))</f>
        <v>0</v>
      </c>
      <c r="Y927" s="6"/>
      <c r="Z927" s="6">
        <f ca="1">('TUSD BE'!$AM$26+'TUSD BF'!$AM$26+'TUSD CVA'!$AM$26)*1</f>
        <v>77.876201961015255</v>
      </c>
      <c r="AA927" s="6"/>
      <c r="AB927" s="6">
        <f>$K$927*$V$927</f>
        <v>0</v>
      </c>
      <c r="AC927" s="6">
        <f>$M$927*$W$927</f>
        <v>-7781.3303399999995</v>
      </c>
      <c r="AD927" s="6">
        <f>$O$927*$X$927</f>
        <v>0</v>
      </c>
      <c r="AE927" s="6">
        <f>$K$927*$Y$927</f>
        <v>0</v>
      </c>
      <c r="AF927" s="6">
        <f ca="1">$M$927*$Z$927</f>
        <v>-9684.8402282757779</v>
      </c>
      <c r="AG927" s="6">
        <f>$O$927*$AA$927</f>
        <v>0</v>
      </c>
    </row>
    <row r="928" spans="1:33" ht="11.25" customHeight="1" x14ac:dyDescent="0.25">
      <c r="A928" s="4" t="s">
        <v>21</v>
      </c>
      <c r="B928" s="4" t="s">
        <v>41</v>
      </c>
      <c r="C928" s="4" t="s">
        <v>42</v>
      </c>
      <c r="D928" s="4" t="s">
        <v>38</v>
      </c>
      <c r="E928" s="4" t="s">
        <v>25</v>
      </c>
      <c r="F928" s="4" t="s">
        <v>61</v>
      </c>
      <c r="G928" s="4" t="s">
        <v>25</v>
      </c>
      <c r="H928" s="4" t="s">
        <v>35</v>
      </c>
      <c r="I928" s="5">
        <v>44562</v>
      </c>
      <c r="J928" s="6">
        <v>0</v>
      </c>
      <c r="K928" s="6">
        <v>0</v>
      </c>
      <c r="L928" s="6">
        <v>10449.323</v>
      </c>
      <c r="M928" s="6">
        <v>10449.323</v>
      </c>
      <c r="N928" s="6">
        <v>0</v>
      </c>
      <c r="O928" s="6">
        <v>0</v>
      </c>
      <c r="P928" s="6">
        <v>0</v>
      </c>
      <c r="Q928" s="4" t="s">
        <v>58</v>
      </c>
      <c r="R928" s="4">
        <v>0</v>
      </c>
      <c r="S928" s="6">
        <v>0</v>
      </c>
      <c r="T928" s="6">
        <v>44</v>
      </c>
      <c r="U928" s="6">
        <v>0</v>
      </c>
      <c r="V928" s="6">
        <f>IF(ISERROR(VLOOKUP($S$928,'TAR FIN'!$A$1:$O$104,15,0)),0,VLOOKUP($S$928,'TAR FIN'!$A$1:$O$104,15,0))</f>
        <v>0</v>
      </c>
      <c r="W928" s="6">
        <f>IF(ISERROR(VLOOKUP($T$928,'TAR FIN'!$A$1:$O$104,15,0)),0,VLOOKUP($T$928,'TAR FIN'!$A$1:$O$104,15,0))</f>
        <v>62.57</v>
      </c>
      <c r="X928" s="6">
        <f>IF(ISERROR(VLOOKUP($U$928,'TAR FIN'!$A$1:$O$104,15,0)),0,VLOOKUP($U$928,'TAR FIN'!$A$1:$O$104,15,0))</f>
        <v>0</v>
      </c>
      <c r="Y928" s="6"/>
      <c r="Z928" s="6">
        <f ca="1">('TUSD BE'!$AM$26+'TUSD BF'!$AM$26+'TUSD CVA'!$AM$26)*1</f>
        <v>77.876201961015255</v>
      </c>
      <c r="AA928" s="6"/>
      <c r="AB928" s="6">
        <f>$K$928*$V$928</f>
        <v>0</v>
      </c>
      <c r="AC928" s="6">
        <f>$M$928*$W$928</f>
        <v>653814.14011000004</v>
      </c>
      <c r="AD928" s="6">
        <f>$O$928*$X$928</f>
        <v>0</v>
      </c>
      <c r="AE928" s="6">
        <f>$K$928*$Y$928</f>
        <v>0</v>
      </c>
      <c r="AF928" s="6">
        <f ca="1">$M$928*$Z$928</f>
        <v>813753.58830388181</v>
      </c>
      <c r="AG928" s="6">
        <f>$O$928*$AA$928</f>
        <v>0</v>
      </c>
    </row>
    <row r="929" spans="1:33" ht="11.25" customHeight="1" x14ac:dyDescent="0.25">
      <c r="A929" s="4" t="s">
        <v>27</v>
      </c>
      <c r="B929" s="4" t="s">
        <v>41</v>
      </c>
      <c r="C929" s="4" t="s">
        <v>42</v>
      </c>
      <c r="D929" s="4" t="s">
        <v>38</v>
      </c>
      <c r="E929" s="4" t="s">
        <v>25</v>
      </c>
      <c r="F929" s="4" t="s">
        <v>61</v>
      </c>
      <c r="G929" s="4" t="s">
        <v>25</v>
      </c>
      <c r="H929" s="4" t="s">
        <v>35</v>
      </c>
      <c r="I929" s="5">
        <v>44562</v>
      </c>
      <c r="J929" s="6">
        <v>0</v>
      </c>
      <c r="K929" s="6">
        <v>0</v>
      </c>
      <c r="L929" s="6">
        <v>-167.78399999999999</v>
      </c>
      <c r="M929" s="6">
        <v>-167.78399999999999</v>
      </c>
      <c r="N929" s="6">
        <v>0</v>
      </c>
      <c r="O929" s="6">
        <v>0</v>
      </c>
      <c r="P929" s="6">
        <v>0</v>
      </c>
      <c r="Q929" s="4" t="s">
        <v>58</v>
      </c>
      <c r="R929" s="4">
        <v>0</v>
      </c>
      <c r="S929" s="6">
        <v>0</v>
      </c>
      <c r="T929" s="6">
        <v>44</v>
      </c>
      <c r="U929" s="6">
        <v>0</v>
      </c>
      <c r="V929" s="6">
        <f>IF(ISERROR(VLOOKUP($S$929,'TAR FIN'!$A$1:$O$104,15,0)),0,VLOOKUP($S$929,'TAR FIN'!$A$1:$O$104,15,0))</f>
        <v>0</v>
      </c>
      <c r="W929" s="6">
        <f>IF(ISERROR(VLOOKUP($T$929,'TAR FIN'!$A$1:$O$104,15,0)),0,VLOOKUP($T$929,'TAR FIN'!$A$1:$O$104,15,0))</f>
        <v>62.57</v>
      </c>
      <c r="X929" s="6">
        <f>IF(ISERROR(VLOOKUP($U$929,'TAR FIN'!$A$1:$O$104,15,0)),0,VLOOKUP($U$929,'TAR FIN'!$A$1:$O$104,15,0))</f>
        <v>0</v>
      </c>
      <c r="Y929" s="6"/>
      <c r="Z929" s="6">
        <f ca="1">('TUSD BE'!$AM$26+'TUSD BF'!$AM$26+'TUSD CVA'!$AM$26)*1</f>
        <v>77.876201961015255</v>
      </c>
      <c r="AA929" s="6"/>
      <c r="AB929" s="6">
        <f>$K$929*$V$929</f>
        <v>0</v>
      </c>
      <c r="AC929" s="6">
        <f>$M$929*$W$929</f>
        <v>-10498.24488</v>
      </c>
      <c r="AD929" s="6">
        <f>$O$929*$X$929</f>
        <v>0</v>
      </c>
      <c r="AE929" s="6">
        <f>$K$929*$Y$929</f>
        <v>0</v>
      </c>
      <c r="AF929" s="6">
        <f ca="1">$M$929*$Z$929</f>
        <v>-13066.380669826984</v>
      </c>
      <c r="AG929" s="6">
        <f>$O$929*$AA$929</f>
        <v>0</v>
      </c>
    </row>
    <row r="930" spans="1:33" ht="11.25" customHeight="1" x14ac:dyDescent="0.25">
      <c r="A930" s="4" t="s">
        <v>21</v>
      </c>
      <c r="B930" s="4" t="s">
        <v>41</v>
      </c>
      <c r="C930" s="4" t="s">
        <v>42</v>
      </c>
      <c r="D930" s="4" t="s">
        <v>38</v>
      </c>
      <c r="E930" s="4" t="s">
        <v>25</v>
      </c>
      <c r="F930" s="4" t="s">
        <v>61</v>
      </c>
      <c r="G930" s="4" t="s">
        <v>25</v>
      </c>
      <c r="H930" s="4" t="s">
        <v>35</v>
      </c>
      <c r="I930" s="5">
        <v>44593</v>
      </c>
      <c r="J930" s="6">
        <v>0</v>
      </c>
      <c r="K930" s="6">
        <v>0</v>
      </c>
      <c r="L930" s="6">
        <v>10355.275</v>
      </c>
      <c r="M930" s="6">
        <v>10355.275</v>
      </c>
      <c r="N930" s="6">
        <v>0</v>
      </c>
      <c r="O930" s="6">
        <v>0</v>
      </c>
      <c r="P930" s="6">
        <v>0</v>
      </c>
      <c r="Q930" s="4" t="s">
        <v>58</v>
      </c>
      <c r="R930" s="4">
        <v>0</v>
      </c>
      <c r="S930" s="6">
        <v>0</v>
      </c>
      <c r="T930" s="6">
        <v>44</v>
      </c>
      <c r="U930" s="6">
        <v>0</v>
      </c>
      <c r="V930" s="6">
        <f>IF(ISERROR(VLOOKUP($S$930,'TAR FIN'!$A$1:$O$104,15,0)),0,VLOOKUP($S$930,'TAR FIN'!$A$1:$O$104,15,0))</f>
        <v>0</v>
      </c>
      <c r="W930" s="6">
        <f>IF(ISERROR(VLOOKUP($T$930,'TAR FIN'!$A$1:$O$104,15,0)),0,VLOOKUP($T$930,'TAR FIN'!$A$1:$O$104,15,0))</f>
        <v>62.57</v>
      </c>
      <c r="X930" s="6">
        <f>IF(ISERROR(VLOOKUP($U$930,'TAR FIN'!$A$1:$O$104,15,0)),0,VLOOKUP($U$930,'TAR FIN'!$A$1:$O$104,15,0))</f>
        <v>0</v>
      </c>
      <c r="Y930" s="6"/>
      <c r="Z930" s="6">
        <f ca="1">('TUSD BE'!$AM$26+'TUSD BF'!$AM$26+'TUSD CVA'!$AM$26)*1</f>
        <v>77.876201961015255</v>
      </c>
      <c r="AA930" s="6"/>
      <c r="AB930" s="6">
        <f>$K$930*$V$930</f>
        <v>0</v>
      </c>
      <c r="AC930" s="6">
        <f>$M$930*$W$930</f>
        <v>647929.55674999999</v>
      </c>
      <c r="AD930" s="6">
        <f>$O$930*$X$930</f>
        <v>0</v>
      </c>
      <c r="AE930" s="6">
        <f>$K$930*$Y$930</f>
        <v>0</v>
      </c>
      <c r="AF930" s="6">
        <f ca="1">$M$930*$Z$930</f>
        <v>806429.48726185225</v>
      </c>
      <c r="AG930" s="6">
        <f>$O$930*$AA$930</f>
        <v>0</v>
      </c>
    </row>
    <row r="931" spans="1:33" ht="11.25" customHeight="1" x14ac:dyDescent="0.25">
      <c r="A931" s="4" t="s">
        <v>27</v>
      </c>
      <c r="B931" s="4" t="s">
        <v>41</v>
      </c>
      <c r="C931" s="4" t="s">
        <v>42</v>
      </c>
      <c r="D931" s="4" t="s">
        <v>38</v>
      </c>
      <c r="E931" s="4" t="s">
        <v>25</v>
      </c>
      <c r="F931" s="4" t="s">
        <v>61</v>
      </c>
      <c r="G931" s="4" t="s">
        <v>25</v>
      </c>
      <c r="H931" s="4" t="s">
        <v>35</v>
      </c>
      <c r="I931" s="5">
        <v>44593</v>
      </c>
      <c r="J931" s="6">
        <v>0</v>
      </c>
      <c r="K931" s="6">
        <v>0</v>
      </c>
      <c r="L931" s="6">
        <v>-150.23400000000001</v>
      </c>
      <c r="M931" s="6">
        <v>-150.23400000000001</v>
      </c>
      <c r="N931" s="6">
        <v>0</v>
      </c>
      <c r="O931" s="6">
        <v>0</v>
      </c>
      <c r="P931" s="6">
        <v>0</v>
      </c>
      <c r="Q931" s="4" t="s">
        <v>58</v>
      </c>
      <c r="R931" s="4">
        <v>0</v>
      </c>
      <c r="S931" s="6">
        <v>0</v>
      </c>
      <c r="T931" s="6">
        <v>44</v>
      </c>
      <c r="U931" s="6">
        <v>0</v>
      </c>
      <c r="V931" s="6">
        <f>IF(ISERROR(VLOOKUP($S$931,'TAR FIN'!$A$1:$O$104,15,0)),0,VLOOKUP($S$931,'TAR FIN'!$A$1:$O$104,15,0))</f>
        <v>0</v>
      </c>
      <c r="W931" s="6">
        <f>IF(ISERROR(VLOOKUP($T$931,'TAR FIN'!$A$1:$O$104,15,0)),0,VLOOKUP($T$931,'TAR FIN'!$A$1:$O$104,15,0))</f>
        <v>62.57</v>
      </c>
      <c r="X931" s="6">
        <f>IF(ISERROR(VLOOKUP($U$931,'TAR FIN'!$A$1:$O$104,15,0)),0,VLOOKUP($U$931,'TAR FIN'!$A$1:$O$104,15,0))</f>
        <v>0</v>
      </c>
      <c r="Y931" s="6"/>
      <c r="Z931" s="6">
        <f ca="1">('TUSD BE'!$AM$26+'TUSD BF'!$AM$26+'TUSD CVA'!$AM$26)*1</f>
        <v>77.876201961015255</v>
      </c>
      <c r="AA931" s="6"/>
      <c r="AB931" s="6">
        <f>$K$931*$V$931</f>
        <v>0</v>
      </c>
      <c r="AC931" s="6">
        <f>$M$931*$W$931</f>
        <v>-9400.1413800000009</v>
      </c>
      <c r="AD931" s="6">
        <f>$O$931*$X$931</f>
        <v>0</v>
      </c>
      <c r="AE931" s="6">
        <f>$K$931*$Y$931</f>
        <v>0</v>
      </c>
      <c r="AF931" s="6">
        <f ca="1">$M$931*$Z$931</f>
        <v>-11699.653325411167</v>
      </c>
      <c r="AG931" s="6">
        <f>$O$931*$AA$931</f>
        <v>0</v>
      </c>
    </row>
    <row r="932" spans="1:33" ht="11.25" customHeight="1" x14ac:dyDescent="0.25">
      <c r="A932" s="4" t="s">
        <v>21</v>
      </c>
      <c r="B932" s="4" t="s">
        <v>41</v>
      </c>
      <c r="C932" s="4" t="s">
        <v>42</v>
      </c>
      <c r="D932" s="4" t="s">
        <v>38</v>
      </c>
      <c r="E932" s="4" t="s">
        <v>25</v>
      </c>
      <c r="F932" s="4" t="s">
        <v>61</v>
      </c>
      <c r="G932" s="4" t="s">
        <v>25</v>
      </c>
      <c r="H932" s="4" t="s">
        <v>35</v>
      </c>
      <c r="I932" s="5">
        <v>44621</v>
      </c>
      <c r="J932" s="6">
        <v>0</v>
      </c>
      <c r="K932" s="6">
        <v>0</v>
      </c>
      <c r="L932" s="6">
        <v>10053.576999999999</v>
      </c>
      <c r="M932" s="6">
        <v>10053.576999999999</v>
      </c>
      <c r="N932" s="6">
        <v>0</v>
      </c>
      <c r="O932" s="6">
        <v>0</v>
      </c>
      <c r="P932" s="6">
        <v>0</v>
      </c>
      <c r="Q932" s="4" t="s">
        <v>58</v>
      </c>
      <c r="R932" s="4">
        <v>0</v>
      </c>
      <c r="S932" s="6">
        <v>0</v>
      </c>
      <c r="T932" s="6">
        <v>44</v>
      </c>
      <c r="U932" s="6">
        <v>0</v>
      </c>
      <c r="V932" s="6">
        <f>IF(ISERROR(VLOOKUP($S$932,'TAR FIN'!$A$1:$O$104,15,0)),0,VLOOKUP($S$932,'TAR FIN'!$A$1:$O$104,15,0))</f>
        <v>0</v>
      </c>
      <c r="W932" s="6">
        <f>IF(ISERROR(VLOOKUP($T$932,'TAR FIN'!$A$1:$O$104,15,0)),0,VLOOKUP($T$932,'TAR FIN'!$A$1:$O$104,15,0))</f>
        <v>62.57</v>
      </c>
      <c r="X932" s="6">
        <f>IF(ISERROR(VLOOKUP($U$932,'TAR FIN'!$A$1:$O$104,15,0)),0,VLOOKUP($U$932,'TAR FIN'!$A$1:$O$104,15,0))</f>
        <v>0</v>
      </c>
      <c r="Y932" s="6"/>
      <c r="Z932" s="6">
        <f ca="1">('TUSD BE'!$AM$26+'TUSD BF'!$AM$26+'TUSD CVA'!$AM$26)*1</f>
        <v>77.876201961015255</v>
      </c>
      <c r="AA932" s="6"/>
      <c r="AB932" s="6">
        <f>$K$932*$V$932</f>
        <v>0</v>
      </c>
      <c r="AC932" s="6">
        <f>$M$932*$W$932</f>
        <v>629052.31288999994</v>
      </c>
      <c r="AD932" s="6">
        <f>$O$932*$X$932</f>
        <v>0</v>
      </c>
      <c r="AE932" s="6">
        <f>$K$932*$Y$932</f>
        <v>0</v>
      </c>
      <c r="AF932" s="6">
        <f ca="1">$M$932*$Z$932</f>
        <v>782934.39288261777</v>
      </c>
      <c r="AG932" s="6">
        <f>$O$932*$AA$932</f>
        <v>0</v>
      </c>
    </row>
    <row r="933" spans="1:33" ht="11.25" customHeight="1" x14ac:dyDescent="0.25">
      <c r="A933" s="4" t="s">
        <v>27</v>
      </c>
      <c r="B933" s="4" t="s">
        <v>41</v>
      </c>
      <c r="C933" s="4" t="s">
        <v>42</v>
      </c>
      <c r="D933" s="4" t="s">
        <v>38</v>
      </c>
      <c r="E933" s="4" t="s">
        <v>25</v>
      </c>
      <c r="F933" s="4" t="s">
        <v>61</v>
      </c>
      <c r="G933" s="4" t="s">
        <v>25</v>
      </c>
      <c r="H933" s="4" t="s">
        <v>35</v>
      </c>
      <c r="I933" s="5">
        <v>44621</v>
      </c>
      <c r="J933" s="6">
        <v>0</v>
      </c>
      <c r="K933" s="6">
        <v>0</v>
      </c>
      <c r="L933" s="6">
        <v>-152.11000000000001</v>
      </c>
      <c r="M933" s="6">
        <v>-152.11000000000001</v>
      </c>
      <c r="N933" s="6">
        <v>0</v>
      </c>
      <c r="O933" s="6">
        <v>0</v>
      </c>
      <c r="P933" s="6">
        <v>0</v>
      </c>
      <c r="Q933" s="4" t="s">
        <v>58</v>
      </c>
      <c r="R933" s="4">
        <v>0</v>
      </c>
      <c r="S933" s="6">
        <v>0</v>
      </c>
      <c r="T933" s="6">
        <v>44</v>
      </c>
      <c r="U933" s="6">
        <v>0</v>
      </c>
      <c r="V933" s="6">
        <f>IF(ISERROR(VLOOKUP($S$933,'TAR FIN'!$A$1:$O$104,15,0)),0,VLOOKUP($S$933,'TAR FIN'!$A$1:$O$104,15,0))</f>
        <v>0</v>
      </c>
      <c r="W933" s="6">
        <f>IF(ISERROR(VLOOKUP($T$933,'TAR FIN'!$A$1:$O$104,15,0)),0,VLOOKUP($T$933,'TAR FIN'!$A$1:$O$104,15,0))</f>
        <v>62.57</v>
      </c>
      <c r="X933" s="6">
        <f>IF(ISERROR(VLOOKUP($U$933,'TAR FIN'!$A$1:$O$104,15,0)),0,VLOOKUP($U$933,'TAR FIN'!$A$1:$O$104,15,0))</f>
        <v>0</v>
      </c>
      <c r="Y933" s="6"/>
      <c r="Z933" s="6">
        <f ca="1">('TUSD BE'!$AM$26+'TUSD BF'!$AM$26+'TUSD CVA'!$AM$26)*1</f>
        <v>77.876201961015255</v>
      </c>
      <c r="AA933" s="6"/>
      <c r="AB933" s="6">
        <f>$K$933*$V$933</f>
        <v>0</v>
      </c>
      <c r="AC933" s="6">
        <f>$M$933*$W$933</f>
        <v>-9517.5227000000014</v>
      </c>
      <c r="AD933" s="6">
        <f>$O$933*$X$933</f>
        <v>0</v>
      </c>
      <c r="AE933" s="6">
        <f>$K$933*$Y$933</f>
        <v>0</v>
      </c>
      <c r="AF933" s="6">
        <f ca="1">$M$933*$Z$933</f>
        <v>-11845.749080290032</v>
      </c>
      <c r="AG933" s="6">
        <f>$O$933*$AA$933</f>
        <v>0</v>
      </c>
    </row>
    <row r="934" spans="1:33" ht="11.25" customHeight="1" x14ac:dyDescent="0.25">
      <c r="A934" s="4" t="s">
        <v>21</v>
      </c>
      <c r="B934" s="4" t="s">
        <v>41</v>
      </c>
      <c r="C934" s="4" t="s">
        <v>42</v>
      </c>
      <c r="D934" s="4" t="s">
        <v>38</v>
      </c>
      <c r="E934" s="4" t="s">
        <v>25</v>
      </c>
      <c r="F934" s="4" t="s">
        <v>61</v>
      </c>
      <c r="G934" s="4" t="s">
        <v>25</v>
      </c>
      <c r="H934" s="4" t="s">
        <v>35</v>
      </c>
      <c r="I934" s="5">
        <v>44652</v>
      </c>
      <c r="J934" s="6">
        <v>0</v>
      </c>
      <c r="K934" s="6">
        <v>0</v>
      </c>
      <c r="L934" s="6">
        <v>11100.333000000001</v>
      </c>
      <c r="M934" s="6">
        <v>11100.333000000001</v>
      </c>
      <c r="N934" s="6">
        <v>0</v>
      </c>
      <c r="O934" s="6">
        <v>0</v>
      </c>
      <c r="P934" s="6">
        <v>0</v>
      </c>
      <c r="Q934" s="4" t="s">
        <v>58</v>
      </c>
      <c r="R934" s="4">
        <v>0</v>
      </c>
      <c r="S934" s="6">
        <v>0</v>
      </c>
      <c r="T934" s="6">
        <v>44</v>
      </c>
      <c r="U934" s="6">
        <v>0</v>
      </c>
      <c r="V934" s="6">
        <f>IF(ISERROR(VLOOKUP($S$934,'TAR FIN'!$A$1:$O$104,15,0)),0,VLOOKUP($S$934,'TAR FIN'!$A$1:$O$104,15,0))</f>
        <v>0</v>
      </c>
      <c r="W934" s="6">
        <f>IF(ISERROR(VLOOKUP($T$934,'TAR FIN'!$A$1:$O$104,15,0)),0,VLOOKUP($T$934,'TAR FIN'!$A$1:$O$104,15,0))</f>
        <v>62.57</v>
      </c>
      <c r="X934" s="6">
        <f>IF(ISERROR(VLOOKUP($U$934,'TAR FIN'!$A$1:$O$104,15,0)),0,VLOOKUP($U$934,'TAR FIN'!$A$1:$O$104,15,0))</f>
        <v>0</v>
      </c>
      <c r="Y934" s="6"/>
      <c r="Z934" s="6">
        <f ca="1">('TUSD BE'!$AM$26+'TUSD BF'!$AM$26+'TUSD CVA'!$AM$26)*1</f>
        <v>77.876201961015255</v>
      </c>
      <c r="AA934" s="6"/>
      <c r="AB934" s="6">
        <f>$K$934*$V$934</f>
        <v>0</v>
      </c>
      <c r="AC934" s="6">
        <f>$M$934*$W$934</f>
        <v>694547.83581000008</v>
      </c>
      <c r="AD934" s="6">
        <f>$O$934*$X$934</f>
        <v>0</v>
      </c>
      <c r="AE934" s="6">
        <f>$K$934*$Y$934</f>
        <v>0</v>
      </c>
      <c r="AF934" s="6">
        <f ca="1">$M$934*$Z$934</f>
        <v>864451.77454252238</v>
      </c>
      <c r="AG934" s="6">
        <f>$O$934*$AA$934</f>
        <v>0</v>
      </c>
    </row>
    <row r="935" spans="1:33" ht="11.25" customHeight="1" x14ac:dyDescent="0.25">
      <c r="A935" s="4" t="s">
        <v>27</v>
      </c>
      <c r="B935" s="4" t="s">
        <v>41</v>
      </c>
      <c r="C935" s="4" t="s">
        <v>42</v>
      </c>
      <c r="D935" s="4" t="s">
        <v>38</v>
      </c>
      <c r="E935" s="4" t="s">
        <v>25</v>
      </c>
      <c r="F935" s="4" t="s">
        <v>61</v>
      </c>
      <c r="G935" s="4" t="s">
        <v>25</v>
      </c>
      <c r="H935" s="4" t="s">
        <v>35</v>
      </c>
      <c r="I935" s="5">
        <v>44652</v>
      </c>
      <c r="J935" s="6">
        <v>0</v>
      </c>
      <c r="K935" s="6">
        <v>0</v>
      </c>
      <c r="L935" s="6">
        <v>-140.28399999999999</v>
      </c>
      <c r="M935" s="6">
        <v>-140.28399999999999</v>
      </c>
      <c r="N935" s="6">
        <v>0</v>
      </c>
      <c r="O935" s="6">
        <v>0</v>
      </c>
      <c r="P935" s="6">
        <v>0</v>
      </c>
      <c r="Q935" s="4" t="s">
        <v>58</v>
      </c>
      <c r="R935" s="4">
        <v>0</v>
      </c>
      <c r="S935" s="6">
        <v>0</v>
      </c>
      <c r="T935" s="6">
        <v>44</v>
      </c>
      <c r="U935" s="6">
        <v>0</v>
      </c>
      <c r="V935" s="6">
        <f>IF(ISERROR(VLOOKUP($S$935,'TAR FIN'!$A$1:$O$104,15,0)),0,VLOOKUP($S$935,'TAR FIN'!$A$1:$O$104,15,0))</f>
        <v>0</v>
      </c>
      <c r="W935" s="6">
        <f>IF(ISERROR(VLOOKUP($T$935,'TAR FIN'!$A$1:$O$104,15,0)),0,VLOOKUP($T$935,'TAR FIN'!$A$1:$O$104,15,0))</f>
        <v>62.57</v>
      </c>
      <c r="X935" s="6">
        <f>IF(ISERROR(VLOOKUP($U$935,'TAR FIN'!$A$1:$O$104,15,0)),0,VLOOKUP($U$935,'TAR FIN'!$A$1:$O$104,15,0))</f>
        <v>0</v>
      </c>
      <c r="Y935" s="6"/>
      <c r="Z935" s="6">
        <f ca="1">('TUSD BE'!$AM$26+'TUSD BF'!$AM$26+'TUSD CVA'!$AM$26)*1</f>
        <v>77.876201961015255</v>
      </c>
      <c r="AA935" s="6"/>
      <c r="AB935" s="6">
        <f>$K$935*$V$935</f>
        <v>0</v>
      </c>
      <c r="AC935" s="6">
        <f>$M$935*$W$935</f>
        <v>-8777.5698799999991</v>
      </c>
      <c r="AD935" s="6">
        <f>$O$935*$X$935</f>
        <v>0</v>
      </c>
      <c r="AE935" s="6">
        <f>$K$935*$Y$935</f>
        <v>0</v>
      </c>
      <c r="AF935" s="6">
        <f ca="1">$M$935*$Z$935</f>
        <v>-10924.785115899063</v>
      </c>
      <c r="AG935" s="6">
        <f>$O$935*$AA$935</f>
        <v>0</v>
      </c>
    </row>
    <row r="936" spans="1:33" ht="11.25" customHeight="1" x14ac:dyDescent="0.25">
      <c r="A936" s="4" t="s">
        <v>21</v>
      </c>
      <c r="B936" s="4" t="s">
        <v>41</v>
      </c>
      <c r="C936" s="4" t="s">
        <v>42</v>
      </c>
      <c r="D936" s="4" t="s">
        <v>38</v>
      </c>
      <c r="E936" s="4" t="s">
        <v>25</v>
      </c>
      <c r="F936" s="4" t="s">
        <v>61</v>
      </c>
      <c r="G936" s="4" t="s">
        <v>25</v>
      </c>
      <c r="H936" s="4" t="s">
        <v>35</v>
      </c>
      <c r="I936" s="5">
        <v>44682</v>
      </c>
      <c r="J936" s="6">
        <v>0</v>
      </c>
      <c r="K936" s="6">
        <v>0</v>
      </c>
      <c r="L936" s="6">
        <v>10173.319</v>
      </c>
      <c r="M936" s="6">
        <v>10173.319</v>
      </c>
      <c r="N936" s="6">
        <v>0</v>
      </c>
      <c r="O936" s="6">
        <v>0</v>
      </c>
      <c r="P936" s="6">
        <v>0</v>
      </c>
      <c r="Q936" s="4" t="s">
        <v>58</v>
      </c>
      <c r="R936" s="4">
        <v>0</v>
      </c>
      <c r="S936" s="6">
        <v>0</v>
      </c>
      <c r="T936" s="6">
        <v>44</v>
      </c>
      <c r="U936" s="6">
        <v>0</v>
      </c>
      <c r="V936" s="6">
        <f>IF(ISERROR(VLOOKUP($S$936,'TAR FIN'!$A$1:$O$104,15,0)),0,VLOOKUP($S$936,'TAR FIN'!$A$1:$O$104,15,0))</f>
        <v>0</v>
      </c>
      <c r="W936" s="6">
        <f>IF(ISERROR(VLOOKUP($T$936,'TAR FIN'!$A$1:$O$104,15,0)),0,VLOOKUP($T$936,'TAR FIN'!$A$1:$O$104,15,0))</f>
        <v>62.57</v>
      </c>
      <c r="X936" s="6">
        <f>IF(ISERROR(VLOOKUP($U$936,'TAR FIN'!$A$1:$O$104,15,0)),0,VLOOKUP($U$936,'TAR FIN'!$A$1:$O$104,15,0))</f>
        <v>0</v>
      </c>
      <c r="Y936" s="6"/>
      <c r="Z936" s="6">
        <f ca="1">('TUSD BE'!$AM$26+'TUSD BF'!$AM$26+'TUSD CVA'!$AM$26)*1</f>
        <v>77.876201961015255</v>
      </c>
      <c r="AA936" s="6"/>
      <c r="AB936" s="6">
        <f>$K$936*$V$936</f>
        <v>0</v>
      </c>
      <c r="AC936" s="6">
        <f>$M$936*$W$936</f>
        <v>636544.56982999993</v>
      </c>
      <c r="AD936" s="6">
        <f>$O$936*$X$936</f>
        <v>0</v>
      </c>
      <c r="AE936" s="6">
        <f>$K$936*$Y$936</f>
        <v>0</v>
      </c>
      <c r="AF936" s="6">
        <f ca="1">$M$936*$Z$936</f>
        <v>792259.44505783368</v>
      </c>
      <c r="AG936" s="6">
        <f>$O$936*$AA$936</f>
        <v>0</v>
      </c>
    </row>
    <row r="937" spans="1:33" ht="11.25" customHeight="1" x14ac:dyDescent="0.25">
      <c r="A937" s="4" t="s">
        <v>27</v>
      </c>
      <c r="B937" s="4" t="s">
        <v>41</v>
      </c>
      <c r="C937" s="4" t="s">
        <v>42</v>
      </c>
      <c r="D937" s="4" t="s">
        <v>38</v>
      </c>
      <c r="E937" s="4" t="s">
        <v>25</v>
      </c>
      <c r="F937" s="4" t="s">
        <v>61</v>
      </c>
      <c r="G937" s="4" t="s">
        <v>25</v>
      </c>
      <c r="H937" s="4" t="s">
        <v>35</v>
      </c>
      <c r="I937" s="5">
        <v>44682</v>
      </c>
      <c r="J937" s="6">
        <v>0</v>
      </c>
      <c r="K937" s="6">
        <v>0</v>
      </c>
      <c r="L937" s="6">
        <v>-17.553000000000001</v>
      </c>
      <c r="M937" s="6">
        <v>-17.553000000000001</v>
      </c>
      <c r="N937" s="6">
        <v>0</v>
      </c>
      <c r="O937" s="6">
        <v>0</v>
      </c>
      <c r="P937" s="6">
        <v>0</v>
      </c>
      <c r="Q937" s="4" t="s">
        <v>58</v>
      </c>
      <c r="R937" s="4">
        <v>0</v>
      </c>
      <c r="S937" s="6">
        <v>0</v>
      </c>
      <c r="T937" s="6">
        <v>44</v>
      </c>
      <c r="U937" s="6">
        <v>0</v>
      </c>
      <c r="V937" s="6">
        <f>IF(ISERROR(VLOOKUP($S$937,'TAR FIN'!$A$1:$O$104,15,0)),0,VLOOKUP($S$937,'TAR FIN'!$A$1:$O$104,15,0))</f>
        <v>0</v>
      </c>
      <c r="W937" s="6">
        <f>IF(ISERROR(VLOOKUP($T$937,'TAR FIN'!$A$1:$O$104,15,0)),0,VLOOKUP($T$937,'TAR FIN'!$A$1:$O$104,15,0))</f>
        <v>62.57</v>
      </c>
      <c r="X937" s="6">
        <f>IF(ISERROR(VLOOKUP($U$937,'TAR FIN'!$A$1:$O$104,15,0)),0,VLOOKUP($U$937,'TAR FIN'!$A$1:$O$104,15,0))</f>
        <v>0</v>
      </c>
      <c r="Y937" s="6"/>
      <c r="Z937" s="6">
        <f ca="1">('TUSD BE'!$AM$26+'TUSD BF'!$AM$26+'TUSD CVA'!$AM$26)*1</f>
        <v>77.876201961015255</v>
      </c>
      <c r="AA937" s="6"/>
      <c r="AB937" s="6">
        <f>$K$937*$V$937</f>
        <v>0</v>
      </c>
      <c r="AC937" s="6">
        <f>$M$937*$W$937</f>
        <v>-1098.2912100000001</v>
      </c>
      <c r="AD937" s="6">
        <f>$O$937*$X$937</f>
        <v>0</v>
      </c>
      <c r="AE937" s="6">
        <f>$K$937*$Y$937</f>
        <v>0</v>
      </c>
      <c r="AF937" s="6">
        <f ca="1">$M$937*$Z$937</f>
        <v>-1366.9609730217007</v>
      </c>
      <c r="AG937" s="6">
        <f>$O$937*$AA$937</f>
        <v>0</v>
      </c>
    </row>
    <row r="938" spans="1:33" ht="11.25" customHeight="1" x14ac:dyDescent="0.25">
      <c r="A938" s="4" t="s">
        <v>21</v>
      </c>
      <c r="B938" s="4" t="s">
        <v>41</v>
      </c>
      <c r="C938" s="4" t="s">
        <v>42</v>
      </c>
      <c r="D938" s="4" t="s">
        <v>38</v>
      </c>
      <c r="E938" s="4" t="s">
        <v>25</v>
      </c>
      <c r="F938" s="4" t="s">
        <v>61</v>
      </c>
      <c r="G938" s="4" t="s">
        <v>25</v>
      </c>
      <c r="H938" s="4" t="s">
        <v>35</v>
      </c>
      <c r="I938" s="5">
        <v>44713</v>
      </c>
      <c r="J938" s="6">
        <v>0</v>
      </c>
      <c r="K938" s="6">
        <v>0</v>
      </c>
      <c r="L938" s="6">
        <v>11253.813</v>
      </c>
      <c r="M938" s="6">
        <v>11253.813</v>
      </c>
      <c r="N938" s="6">
        <v>0</v>
      </c>
      <c r="O938" s="6">
        <v>0</v>
      </c>
      <c r="P938" s="6">
        <v>0</v>
      </c>
      <c r="Q938" s="4" t="s">
        <v>58</v>
      </c>
      <c r="R938" s="4">
        <v>0</v>
      </c>
      <c r="S938" s="6">
        <v>0</v>
      </c>
      <c r="T938" s="6">
        <v>44</v>
      </c>
      <c r="U938" s="6">
        <v>0</v>
      </c>
      <c r="V938" s="6">
        <f>IF(ISERROR(VLOOKUP($S$938,'TAR FIN'!$A$1:$O$104,15,0)),0,VLOOKUP($S$938,'TAR FIN'!$A$1:$O$104,15,0))</f>
        <v>0</v>
      </c>
      <c r="W938" s="6">
        <f>IF(ISERROR(VLOOKUP($T$938,'TAR FIN'!$A$1:$O$104,15,0)),0,VLOOKUP($T$938,'TAR FIN'!$A$1:$O$104,15,0))</f>
        <v>62.57</v>
      </c>
      <c r="X938" s="6">
        <f>IF(ISERROR(VLOOKUP($U$938,'TAR FIN'!$A$1:$O$104,15,0)),0,VLOOKUP($U$938,'TAR FIN'!$A$1:$O$104,15,0))</f>
        <v>0</v>
      </c>
      <c r="Y938" s="6"/>
      <c r="Z938" s="6">
        <f ca="1">('TUSD BE'!$AM$26+'TUSD BF'!$AM$26+'TUSD CVA'!$AM$26)*1</f>
        <v>77.876201961015255</v>
      </c>
      <c r="AA938" s="6"/>
      <c r="AB938" s="6">
        <f>$K$938*$V$938</f>
        <v>0</v>
      </c>
      <c r="AC938" s="6">
        <f>$M$938*$W$938</f>
        <v>704151.07941000001</v>
      </c>
      <c r="AD938" s="6">
        <f>$O$938*$X$938</f>
        <v>0</v>
      </c>
      <c r="AE938" s="6">
        <f>$K$938*$Y$938</f>
        <v>0</v>
      </c>
      <c r="AF938" s="6">
        <f ca="1">$M$938*$Z$938</f>
        <v>876404.21401949902</v>
      </c>
      <c r="AG938" s="6">
        <f>$O$938*$AA$938</f>
        <v>0</v>
      </c>
    </row>
    <row r="939" spans="1:33" ht="11.25" customHeight="1" x14ac:dyDescent="0.25">
      <c r="A939" s="4" t="s">
        <v>27</v>
      </c>
      <c r="B939" s="4" t="s">
        <v>41</v>
      </c>
      <c r="C939" s="4" t="s">
        <v>42</v>
      </c>
      <c r="D939" s="4" t="s">
        <v>38</v>
      </c>
      <c r="E939" s="4" t="s">
        <v>25</v>
      </c>
      <c r="F939" s="4" t="s">
        <v>61</v>
      </c>
      <c r="G939" s="4" t="s">
        <v>25</v>
      </c>
      <c r="H939" s="4" t="s">
        <v>35</v>
      </c>
      <c r="I939" s="5">
        <v>44713</v>
      </c>
      <c r="J939" s="6">
        <v>0</v>
      </c>
      <c r="K939" s="6">
        <v>0</v>
      </c>
      <c r="L939" s="6">
        <v>-91.113</v>
      </c>
      <c r="M939" s="6">
        <v>-91.113</v>
      </c>
      <c r="N939" s="6">
        <v>0</v>
      </c>
      <c r="O939" s="6">
        <v>0</v>
      </c>
      <c r="P939" s="6">
        <v>0</v>
      </c>
      <c r="Q939" s="4" t="s">
        <v>58</v>
      </c>
      <c r="R939" s="4">
        <v>0</v>
      </c>
      <c r="S939" s="6">
        <v>0</v>
      </c>
      <c r="T939" s="6">
        <v>44</v>
      </c>
      <c r="U939" s="6">
        <v>0</v>
      </c>
      <c r="V939" s="6">
        <f>IF(ISERROR(VLOOKUP($S$939,'TAR FIN'!$A$1:$O$104,15,0)),0,VLOOKUP($S$939,'TAR FIN'!$A$1:$O$104,15,0))</f>
        <v>0</v>
      </c>
      <c r="W939" s="6">
        <f>IF(ISERROR(VLOOKUP($T$939,'TAR FIN'!$A$1:$O$104,15,0)),0,VLOOKUP($T$939,'TAR FIN'!$A$1:$O$104,15,0))</f>
        <v>62.57</v>
      </c>
      <c r="X939" s="6">
        <f>IF(ISERROR(VLOOKUP($U$939,'TAR FIN'!$A$1:$O$104,15,0)),0,VLOOKUP($U$939,'TAR FIN'!$A$1:$O$104,15,0))</f>
        <v>0</v>
      </c>
      <c r="Y939" s="6"/>
      <c r="Z939" s="6">
        <f ca="1">('TUSD BE'!$AM$26+'TUSD BF'!$AM$26+'TUSD CVA'!$AM$26)*1</f>
        <v>77.876201961015255</v>
      </c>
      <c r="AA939" s="6"/>
      <c r="AB939" s="6">
        <f>$K$939*$V$939</f>
        <v>0</v>
      </c>
      <c r="AC939" s="6">
        <f>$M$939*$W$939</f>
        <v>-5700.9404100000002</v>
      </c>
      <c r="AD939" s="6">
        <f>$O$939*$X$939</f>
        <v>0</v>
      </c>
      <c r="AE939" s="6">
        <f>$K$939*$Y$939</f>
        <v>0</v>
      </c>
      <c r="AF939" s="6">
        <f ca="1">$M$939*$Z$939</f>
        <v>-7095.5343892739829</v>
      </c>
      <c r="AG939" s="6">
        <f>$O$939*$AA$939</f>
        <v>0</v>
      </c>
    </row>
    <row r="940" spans="1:33" ht="11.25" customHeight="1" x14ac:dyDescent="0.25">
      <c r="A940" s="4" t="s">
        <v>57</v>
      </c>
      <c r="B940" s="4" t="s">
        <v>41</v>
      </c>
      <c r="C940" s="4" t="s">
        <v>42</v>
      </c>
      <c r="D940" s="4" t="s">
        <v>38</v>
      </c>
      <c r="E940" s="4" t="s">
        <v>25</v>
      </c>
      <c r="F940" s="4" t="s">
        <v>61</v>
      </c>
      <c r="G940" s="4" t="s">
        <v>25</v>
      </c>
      <c r="H940" s="4" t="s">
        <v>35</v>
      </c>
      <c r="I940" s="5">
        <v>44743</v>
      </c>
      <c r="J940" s="6">
        <v>0</v>
      </c>
      <c r="K940" s="6">
        <v>0</v>
      </c>
      <c r="L940" s="6">
        <v>11253.813</v>
      </c>
      <c r="M940" s="6">
        <v>11253.813</v>
      </c>
      <c r="N940" s="6">
        <v>0</v>
      </c>
      <c r="O940" s="6">
        <v>0</v>
      </c>
      <c r="P940" s="6">
        <v>0</v>
      </c>
      <c r="Q940" s="4" t="s">
        <v>58</v>
      </c>
      <c r="R940" s="4">
        <v>0</v>
      </c>
      <c r="S940" s="6">
        <v>0</v>
      </c>
      <c r="T940" s="6">
        <v>44</v>
      </c>
      <c r="U940" s="6">
        <v>0</v>
      </c>
      <c r="V940" s="6">
        <f>IF(ISERROR(VLOOKUP($S$940,'TAR FIN'!$A$1:$O$104,15,0)),0,VLOOKUP($S$940,'TAR FIN'!$A$1:$O$104,15,0))</f>
        <v>0</v>
      </c>
      <c r="W940" s="6">
        <f>IF(ISERROR(VLOOKUP($T$940,'TAR FIN'!$A$1:$O$104,15,0)),0,VLOOKUP($T$940,'TAR FIN'!$A$1:$O$104,15,0))</f>
        <v>62.57</v>
      </c>
      <c r="X940" s="6">
        <f>IF(ISERROR(VLOOKUP($U$940,'TAR FIN'!$A$1:$O$104,15,0)),0,VLOOKUP($U$940,'TAR FIN'!$A$1:$O$104,15,0))</f>
        <v>0</v>
      </c>
      <c r="Y940" s="6"/>
      <c r="Z940" s="6">
        <f ca="1">('TUSD BE'!$AM$26+'TUSD BF'!$AM$26+'TUSD CVA'!$AM$26)*1</f>
        <v>77.876201961015255</v>
      </c>
      <c r="AA940" s="6"/>
      <c r="AB940" s="6">
        <f>$K$940*$V$940</f>
        <v>0</v>
      </c>
      <c r="AC940" s="6">
        <f>$M$940*$W$940</f>
        <v>704151.07941000001</v>
      </c>
      <c r="AD940" s="6">
        <f>$O$940*$X$940</f>
        <v>0</v>
      </c>
      <c r="AE940" s="6">
        <f>$K$940*$Y$940</f>
        <v>0</v>
      </c>
      <c r="AF940" s="6">
        <f ca="1">$M$940*$Z$940</f>
        <v>876404.21401949902</v>
      </c>
      <c r="AG940" s="6">
        <f>$O$940*$AA$940</f>
        <v>0</v>
      </c>
    </row>
    <row r="941" spans="1:33" ht="11.25" customHeight="1" x14ac:dyDescent="0.25">
      <c r="A941" s="4" t="s">
        <v>57</v>
      </c>
      <c r="B941" s="4" t="s">
        <v>41</v>
      </c>
      <c r="C941" s="4" t="s">
        <v>42</v>
      </c>
      <c r="D941" s="4" t="s">
        <v>38</v>
      </c>
      <c r="E941" s="4" t="s">
        <v>25</v>
      </c>
      <c r="F941" s="4" t="s">
        <v>61</v>
      </c>
      <c r="G941" s="4" t="s">
        <v>25</v>
      </c>
      <c r="H941" s="4" t="s">
        <v>35</v>
      </c>
      <c r="I941" s="5">
        <v>44743</v>
      </c>
      <c r="J941" s="6">
        <v>0</v>
      </c>
      <c r="K941" s="6">
        <v>0</v>
      </c>
      <c r="L941" s="6">
        <v>-91.113</v>
      </c>
      <c r="M941" s="6">
        <v>-91.113</v>
      </c>
      <c r="N941" s="6">
        <v>0</v>
      </c>
      <c r="O941" s="6">
        <v>0</v>
      </c>
      <c r="P941" s="6">
        <v>0</v>
      </c>
      <c r="Q941" s="4" t="s">
        <v>58</v>
      </c>
      <c r="R941" s="4">
        <v>0</v>
      </c>
      <c r="S941" s="6">
        <v>0</v>
      </c>
      <c r="T941" s="6">
        <v>44</v>
      </c>
      <c r="U941" s="6">
        <v>0</v>
      </c>
      <c r="V941" s="6">
        <f>IF(ISERROR(VLOOKUP($S$941,'TAR FIN'!$A$1:$O$104,15,0)),0,VLOOKUP($S$941,'TAR FIN'!$A$1:$O$104,15,0))</f>
        <v>0</v>
      </c>
      <c r="W941" s="6">
        <f>IF(ISERROR(VLOOKUP($T$941,'TAR FIN'!$A$1:$O$104,15,0)),0,VLOOKUP($T$941,'TAR FIN'!$A$1:$O$104,15,0))</f>
        <v>62.57</v>
      </c>
      <c r="X941" s="6">
        <f>IF(ISERROR(VLOOKUP($U$941,'TAR FIN'!$A$1:$O$104,15,0)),0,VLOOKUP($U$941,'TAR FIN'!$A$1:$O$104,15,0))</f>
        <v>0</v>
      </c>
      <c r="Y941" s="6"/>
      <c r="Z941" s="6">
        <f ca="1">('TUSD BE'!$AM$26+'TUSD BF'!$AM$26+'TUSD CVA'!$AM$26)*1</f>
        <v>77.876201961015255</v>
      </c>
      <c r="AA941" s="6"/>
      <c r="AB941" s="6">
        <f>$K$941*$V$941</f>
        <v>0</v>
      </c>
      <c r="AC941" s="6">
        <f>$M$941*$W$941</f>
        <v>-5700.9404100000002</v>
      </c>
      <c r="AD941" s="6">
        <f>$O$941*$X$941</f>
        <v>0</v>
      </c>
      <c r="AE941" s="6">
        <f>$K$941*$Y$941</f>
        <v>0</v>
      </c>
      <c r="AF941" s="6">
        <f ca="1">$M$941*$Z$941</f>
        <v>-7095.5343892739829</v>
      </c>
      <c r="AG941" s="6">
        <f>$O$941*$AA$941</f>
        <v>0</v>
      </c>
    </row>
    <row r="942" spans="1:33" ht="11.25" customHeight="1" x14ac:dyDescent="0.25">
      <c r="A942" s="4" t="s">
        <v>21</v>
      </c>
      <c r="B942" s="4" t="s">
        <v>41</v>
      </c>
      <c r="C942" s="4" t="s">
        <v>42</v>
      </c>
      <c r="D942" s="4" t="s">
        <v>38</v>
      </c>
      <c r="E942" s="4" t="s">
        <v>25</v>
      </c>
      <c r="F942" s="4" t="s">
        <v>61</v>
      </c>
      <c r="G942" s="4" t="s">
        <v>25</v>
      </c>
      <c r="H942" s="4" t="s">
        <v>25</v>
      </c>
      <c r="I942" s="5">
        <v>44409</v>
      </c>
      <c r="J942" s="6">
        <v>33170</v>
      </c>
      <c r="K942" s="6">
        <v>14594.8</v>
      </c>
      <c r="L942" s="6">
        <v>0</v>
      </c>
      <c r="M942" s="6">
        <v>0</v>
      </c>
      <c r="N942" s="6">
        <v>0</v>
      </c>
      <c r="O942" s="6">
        <v>0</v>
      </c>
      <c r="P942" s="6">
        <v>63</v>
      </c>
      <c r="Q942" s="4" t="s">
        <v>58</v>
      </c>
      <c r="R942" s="4">
        <v>0</v>
      </c>
      <c r="S942" s="6">
        <v>40</v>
      </c>
      <c r="T942" s="6">
        <v>0</v>
      </c>
      <c r="U942" s="6">
        <v>0</v>
      </c>
      <c r="V942" s="6">
        <f>IF(ISERROR(VLOOKUP($S$942,'TAR FIN'!$A$1:$O$104,15,0)),0,VLOOKUP($S$942,'TAR FIN'!$A$1:$O$104,15,0))</f>
        <v>26.22</v>
      </c>
      <c r="W942" s="6">
        <f>IF(ISERROR(VLOOKUP($T$942,'TAR FIN'!$A$1:$O$104,15,0)),0,VLOOKUP($T$942,'TAR FIN'!$A$1:$O$104,15,0))</f>
        <v>0</v>
      </c>
      <c r="X942" s="6">
        <f>IF(ISERROR(VLOOKUP($U$942,'TAR FIN'!$A$1:$O$104,15,0)),0,VLOOKUP($U$942,'TAR FIN'!$A$1:$O$104,15,0))</f>
        <v>0</v>
      </c>
      <c r="Y942" s="6">
        <f ca="1">('TUSD BE'!$AM$24+'TUSD BF'!$AM$24+'TUSD CVA'!$AM$24)*1</f>
        <v>26.280164278980507</v>
      </c>
      <c r="Z942" s="6"/>
      <c r="AA942" s="6"/>
      <c r="AB942" s="6">
        <f>$K$942*$V$942</f>
        <v>382675.65599999996</v>
      </c>
      <c r="AC942" s="6">
        <f>$M$942*$W$942</f>
        <v>0</v>
      </c>
      <c r="AD942" s="6">
        <f>$O$942*$X$942</f>
        <v>0</v>
      </c>
      <c r="AE942" s="6">
        <f ca="1">$K$942*$Y$942</f>
        <v>383553.7416188647</v>
      </c>
      <c r="AF942" s="6">
        <f>$M$942*$Z$942</f>
        <v>0</v>
      </c>
      <c r="AG942" s="6">
        <f>$O$942*$AA$942</f>
        <v>0</v>
      </c>
    </row>
    <row r="943" spans="1:33" ht="11.25" customHeight="1" x14ac:dyDescent="0.25">
      <c r="A943" s="4" t="s">
        <v>21</v>
      </c>
      <c r="B943" s="4" t="s">
        <v>41</v>
      </c>
      <c r="C943" s="4" t="s">
        <v>42</v>
      </c>
      <c r="D943" s="4" t="s">
        <v>38</v>
      </c>
      <c r="E943" s="4" t="s">
        <v>25</v>
      </c>
      <c r="F943" s="4" t="s">
        <v>61</v>
      </c>
      <c r="G943" s="4" t="s">
        <v>25</v>
      </c>
      <c r="H943" s="4" t="s">
        <v>25</v>
      </c>
      <c r="I943" s="5">
        <v>44440</v>
      </c>
      <c r="J943" s="6">
        <v>34049</v>
      </c>
      <c r="K943" s="6">
        <v>13960.09</v>
      </c>
      <c r="L943" s="6">
        <v>0</v>
      </c>
      <c r="M943" s="6">
        <v>0</v>
      </c>
      <c r="N943" s="6">
        <v>0</v>
      </c>
      <c r="O943" s="6">
        <v>0</v>
      </c>
      <c r="P943" s="6">
        <v>64</v>
      </c>
      <c r="Q943" s="4" t="s">
        <v>58</v>
      </c>
      <c r="R943" s="4">
        <v>0</v>
      </c>
      <c r="S943" s="6">
        <v>40</v>
      </c>
      <c r="T943" s="6">
        <v>0</v>
      </c>
      <c r="U943" s="6">
        <v>0</v>
      </c>
      <c r="V943" s="6">
        <f>IF(ISERROR(VLOOKUP($S$943,'TAR FIN'!$A$1:$O$104,15,0)),0,VLOOKUP($S$943,'TAR FIN'!$A$1:$O$104,15,0))</f>
        <v>26.22</v>
      </c>
      <c r="W943" s="6">
        <f>IF(ISERROR(VLOOKUP($T$943,'TAR FIN'!$A$1:$O$104,15,0)),0,VLOOKUP($T$943,'TAR FIN'!$A$1:$O$104,15,0))</f>
        <v>0</v>
      </c>
      <c r="X943" s="6">
        <f>IF(ISERROR(VLOOKUP($U$943,'TAR FIN'!$A$1:$O$104,15,0)),0,VLOOKUP($U$943,'TAR FIN'!$A$1:$O$104,15,0))</f>
        <v>0</v>
      </c>
      <c r="Y943" s="6">
        <f ca="1">('TUSD BE'!$AM$24+'TUSD BF'!$AM$24+'TUSD CVA'!$AM$24)*1</f>
        <v>26.280164278980507</v>
      </c>
      <c r="Z943" s="6"/>
      <c r="AA943" s="6"/>
      <c r="AB943" s="6">
        <f>$K$943*$V$943</f>
        <v>366033.55979999999</v>
      </c>
      <c r="AC943" s="6">
        <f>$M$943*$W$943</f>
        <v>0</v>
      </c>
      <c r="AD943" s="6">
        <f>$O$943*$X$943</f>
        <v>0</v>
      </c>
      <c r="AE943" s="6">
        <f ca="1">$K$943*$Y$943</f>
        <v>366873.458549353</v>
      </c>
      <c r="AF943" s="6">
        <f>$M$943*$Z$943</f>
        <v>0</v>
      </c>
      <c r="AG943" s="6">
        <f>$O$943*$AA$943</f>
        <v>0</v>
      </c>
    </row>
    <row r="944" spans="1:33" ht="11.25" customHeight="1" x14ac:dyDescent="0.25">
      <c r="A944" s="4" t="s">
        <v>21</v>
      </c>
      <c r="B944" s="4" t="s">
        <v>41</v>
      </c>
      <c r="C944" s="4" t="s">
        <v>42</v>
      </c>
      <c r="D944" s="4" t="s">
        <v>38</v>
      </c>
      <c r="E944" s="4" t="s">
        <v>25</v>
      </c>
      <c r="F944" s="4" t="s">
        <v>61</v>
      </c>
      <c r="G944" s="4" t="s">
        <v>25</v>
      </c>
      <c r="H944" s="4" t="s">
        <v>25</v>
      </c>
      <c r="I944" s="5">
        <v>44470</v>
      </c>
      <c r="J944" s="6">
        <v>35137</v>
      </c>
      <c r="K944" s="6">
        <v>17568.5</v>
      </c>
      <c r="L944" s="6">
        <v>0</v>
      </c>
      <c r="M944" s="6">
        <v>0</v>
      </c>
      <c r="N944" s="6">
        <v>0</v>
      </c>
      <c r="O944" s="6">
        <v>0</v>
      </c>
      <c r="P944" s="6">
        <v>67</v>
      </c>
      <c r="Q944" s="4" t="s">
        <v>58</v>
      </c>
      <c r="R944" s="4">
        <v>0</v>
      </c>
      <c r="S944" s="6">
        <v>40</v>
      </c>
      <c r="T944" s="6">
        <v>0</v>
      </c>
      <c r="U944" s="6">
        <v>0</v>
      </c>
      <c r="V944" s="6">
        <f>IF(ISERROR(VLOOKUP($S$944,'TAR FIN'!$A$1:$O$104,15,0)),0,VLOOKUP($S$944,'TAR FIN'!$A$1:$O$104,15,0))</f>
        <v>26.22</v>
      </c>
      <c r="W944" s="6">
        <f>IF(ISERROR(VLOOKUP($T$944,'TAR FIN'!$A$1:$O$104,15,0)),0,VLOOKUP($T$944,'TAR FIN'!$A$1:$O$104,15,0))</f>
        <v>0</v>
      </c>
      <c r="X944" s="6">
        <f>IF(ISERROR(VLOOKUP($U$944,'TAR FIN'!$A$1:$O$104,15,0)),0,VLOOKUP($U$944,'TAR FIN'!$A$1:$O$104,15,0))</f>
        <v>0</v>
      </c>
      <c r="Y944" s="6">
        <f ca="1">('TUSD BE'!$AM$24+'TUSD BF'!$AM$24+'TUSD CVA'!$AM$24)*1</f>
        <v>26.280164278980507</v>
      </c>
      <c r="Z944" s="6"/>
      <c r="AA944" s="6"/>
      <c r="AB944" s="6">
        <f>$K$944*$V$944</f>
        <v>460646.07</v>
      </c>
      <c r="AC944" s="6">
        <f>$M$944*$W$944</f>
        <v>0</v>
      </c>
      <c r="AD944" s="6">
        <f>$O$944*$X$944</f>
        <v>0</v>
      </c>
      <c r="AE944" s="6">
        <f ca="1">$K$944*$Y$944</f>
        <v>461703.06613526907</v>
      </c>
      <c r="AF944" s="6">
        <f>$M$944*$Z$944</f>
        <v>0</v>
      </c>
      <c r="AG944" s="6">
        <f>$O$944*$AA$944</f>
        <v>0</v>
      </c>
    </row>
    <row r="945" spans="1:33" ht="11.25" customHeight="1" x14ac:dyDescent="0.25">
      <c r="A945" s="4" t="s">
        <v>21</v>
      </c>
      <c r="B945" s="4" t="s">
        <v>41</v>
      </c>
      <c r="C945" s="4" t="s">
        <v>42</v>
      </c>
      <c r="D945" s="4" t="s">
        <v>38</v>
      </c>
      <c r="E945" s="4" t="s">
        <v>25</v>
      </c>
      <c r="F945" s="4" t="s">
        <v>61</v>
      </c>
      <c r="G945" s="4" t="s">
        <v>25</v>
      </c>
      <c r="H945" s="4" t="s">
        <v>25</v>
      </c>
      <c r="I945" s="5">
        <v>44501</v>
      </c>
      <c r="J945" s="6">
        <v>36269</v>
      </c>
      <c r="K945" s="6">
        <v>16683.740000000002</v>
      </c>
      <c r="L945" s="6">
        <v>0</v>
      </c>
      <c r="M945" s="6">
        <v>0</v>
      </c>
      <c r="N945" s="6">
        <v>0</v>
      </c>
      <c r="O945" s="6">
        <v>0</v>
      </c>
      <c r="P945" s="6">
        <v>70</v>
      </c>
      <c r="Q945" s="4" t="s">
        <v>58</v>
      </c>
      <c r="R945" s="4">
        <v>0</v>
      </c>
      <c r="S945" s="6">
        <v>40</v>
      </c>
      <c r="T945" s="6">
        <v>0</v>
      </c>
      <c r="U945" s="6">
        <v>0</v>
      </c>
      <c r="V945" s="6">
        <f>IF(ISERROR(VLOOKUP($S$945,'TAR FIN'!$A$1:$O$104,15,0)),0,VLOOKUP($S$945,'TAR FIN'!$A$1:$O$104,15,0))</f>
        <v>26.22</v>
      </c>
      <c r="W945" s="6">
        <f>IF(ISERROR(VLOOKUP($T$945,'TAR FIN'!$A$1:$O$104,15,0)),0,VLOOKUP($T$945,'TAR FIN'!$A$1:$O$104,15,0))</f>
        <v>0</v>
      </c>
      <c r="X945" s="6">
        <f>IF(ISERROR(VLOOKUP($U$945,'TAR FIN'!$A$1:$O$104,15,0)),0,VLOOKUP($U$945,'TAR FIN'!$A$1:$O$104,15,0))</f>
        <v>0</v>
      </c>
      <c r="Y945" s="6">
        <f ca="1">('TUSD BE'!$AM$24+'TUSD BF'!$AM$24+'TUSD CVA'!$AM$24)*1</f>
        <v>26.280164278980507</v>
      </c>
      <c r="Z945" s="6"/>
      <c r="AA945" s="6"/>
      <c r="AB945" s="6">
        <f>$K$945*$V$945</f>
        <v>437447.66280000005</v>
      </c>
      <c r="AC945" s="6">
        <f>$M$945*$W$945</f>
        <v>0</v>
      </c>
      <c r="AD945" s="6">
        <f>$O$945*$X$945</f>
        <v>0</v>
      </c>
      <c r="AE945" s="6">
        <f ca="1">$K$945*$Y$945</f>
        <v>438451.42798779829</v>
      </c>
      <c r="AF945" s="6">
        <f>$M$945*$Z$945</f>
        <v>0</v>
      </c>
      <c r="AG945" s="6">
        <f>$O$945*$AA$945</f>
        <v>0</v>
      </c>
    </row>
    <row r="946" spans="1:33" ht="11.25" customHeight="1" x14ac:dyDescent="0.25">
      <c r="A946" s="4" t="s">
        <v>21</v>
      </c>
      <c r="B946" s="4" t="s">
        <v>41</v>
      </c>
      <c r="C946" s="4" t="s">
        <v>42</v>
      </c>
      <c r="D946" s="4" t="s">
        <v>38</v>
      </c>
      <c r="E946" s="4" t="s">
        <v>25</v>
      </c>
      <c r="F946" s="4" t="s">
        <v>61</v>
      </c>
      <c r="G946" s="4" t="s">
        <v>25</v>
      </c>
      <c r="H946" s="4" t="s">
        <v>25</v>
      </c>
      <c r="I946" s="5">
        <v>44531</v>
      </c>
      <c r="J946" s="6">
        <v>37278</v>
      </c>
      <c r="K946" s="6">
        <v>17520.66</v>
      </c>
      <c r="L946" s="6">
        <v>0</v>
      </c>
      <c r="M946" s="6">
        <v>0</v>
      </c>
      <c r="N946" s="6">
        <v>0</v>
      </c>
      <c r="O946" s="6">
        <v>0</v>
      </c>
      <c r="P946" s="6">
        <v>71</v>
      </c>
      <c r="Q946" s="4" t="s">
        <v>58</v>
      </c>
      <c r="R946" s="4">
        <v>0</v>
      </c>
      <c r="S946" s="6">
        <v>40</v>
      </c>
      <c r="T946" s="6">
        <v>0</v>
      </c>
      <c r="U946" s="6">
        <v>0</v>
      </c>
      <c r="V946" s="6">
        <f>IF(ISERROR(VLOOKUP($S$946,'TAR FIN'!$A$1:$O$104,15,0)),0,VLOOKUP($S$946,'TAR FIN'!$A$1:$O$104,15,0))</f>
        <v>26.22</v>
      </c>
      <c r="W946" s="6">
        <f>IF(ISERROR(VLOOKUP($T$946,'TAR FIN'!$A$1:$O$104,15,0)),0,VLOOKUP($T$946,'TAR FIN'!$A$1:$O$104,15,0))</f>
        <v>0</v>
      </c>
      <c r="X946" s="6">
        <f>IF(ISERROR(VLOOKUP($U$946,'TAR FIN'!$A$1:$O$104,15,0)),0,VLOOKUP($U$946,'TAR FIN'!$A$1:$O$104,15,0))</f>
        <v>0</v>
      </c>
      <c r="Y946" s="6">
        <f ca="1">('TUSD BE'!$AM$24+'TUSD BF'!$AM$24+'TUSD CVA'!$AM$24)*1</f>
        <v>26.280164278980507</v>
      </c>
      <c r="Z946" s="6"/>
      <c r="AA946" s="6"/>
      <c r="AB946" s="6">
        <f>$K$946*$V$946</f>
        <v>459391.70519999997</v>
      </c>
      <c r="AC946" s="6">
        <f>$M$946*$W$946</f>
        <v>0</v>
      </c>
      <c r="AD946" s="6">
        <f>$O$946*$X$946</f>
        <v>0</v>
      </c>
      <c r="AE946" s="6">
        <f ca="1">$K$946*$Y$946</f>
        <v>460445.8230761626</v>
      </c>
      <c r="AF946" s="6">
        <f>$M$946*$Z$946</f>
        <v>0</v>
      </c>
      <c r="AG946" s="6">
        <f>$O$946*$AA$946</f>
        <v>0</v>
      </c>
    </row>
    <row r="947" spans="1:33" ht="11.25" customHeight="1" x14ac:dyDescent="0.25">
      <c r="A947" s="4" t="s">
        <v>21</v>
      </c>
      <c r="B947" s="4" t="s">
        <v>41</v>
      </c>
      <c r="C947" s="4" t="s">
        <v>42</v>
      </c>
      <c r="D947" s="4" t="s">
        <v>38</v>
      </c>
      <c r="E947" s="4" t="s">
        <v>25</v>
      </c>
      <c r="F947" s="4" t="s">
        <v>61</v>
      </c>
      <c r="G947" s="4" t="s">
        <v>25</v>
      </c>
      <c r="H947" s="4" t="s">
        <v>25</v>
      </c>
      <c r="I947" s="5">
        <v>44562</v>
      </c>
      <c r="J947" s="6">
        <v>37901</v>
      </c>
      <c r="K947" s="6">
        <v>17813.47</v>
      </c>
      <c r="L947" s="6">
        <v>0</v>
      </c>
      <c r="M947" s="6">
        <v>0</v>
      </c>
      <c r="N947" s="6">
        <v>0</v>
      </c>
      <c r="O947" s="6">
        <v>0</v>
      </c>
      <c r="P947" s="6">
        <v>72</v>
      </c>
      <c r="Q947" s="4" t="s">
        <v>58</v>
      </c>
      <c r="R947" s="4">
        <v>0</v>
      </c>
      <c r="S947" s="6">
        <v>40</v>
      </c>
      <c r="T947" s="6">
        <v>0</v>
      </c>
      <c r="U947" s="6">
        <v>0</v>
      </c>
      <c r="V947" s="6">
        <f>IF(ISERROR(VLOOKUP($S$947,'TAR FIN'!$A$1:$O$104,15,0)),0,VLOOKUP($S$947,'TAR FIN'!$A$1:$O$104,15,0))</f>
        <v>26.22</v>
      </c>
      <c r="W947" s="6">
        <f>IF(ISERROR(VLOOKUP($T$947,'TAR FIN'!$A$1:$O$104,15,0)),0,VLOOKUP($T$947,'TAR FIN'!$A$1:$O$104,15,0))</f>
        <v>0</v>
      </c>
      <c r="X947" s="6">
        <f>IF(ISERROR(VLOOKUP($U$947,'TAR FIN'!$A$1:$O$104,15,0)),0,VLOOKUP($U$947,'TAR FIN'!$A$1:$O$104,15,0))</f>
        <v>0</v>
      </c>
      <c r="Y947" s="6">
        <f ca="1">('TUSD BE'!$AM$24+'TUSD BF'!$AM$24+'TUSD CVA'!$AM$24)*1</f>
        <v>26.280164278980507</v>
      </c>
      <c r="Z947" s="6"/>
      <c r="AA947" s="6"/>
      <c r="AB947" s="6">
        <f>$K$947*$V$947</f>
        <v>467069.18340000004</v>
      </c>
      <c r="AC947" s="6">
        <f>$M$947*$W$947</f>
        <v>0</v>
      </c>
      <c r="AD947" s="6">
        <f>$O$947*$X$947</f>
        <v>0</v>
      </c>
      <c r="AE947" s="6">
        <f ca="1">$K$947*$Y$947</f>
        <v>468140.91797869094</v>
      </c>
      <c r="AF947" s="6">
        <f>$M$947*$Z$947</f>
        <v>0</v>
      </c>
      <c r="AG947" s="6">
        <f>$O$947*$AA$947</f>
        <v>0</v>
      </c>
    </row>
    <row r="948" spans="1:33" ht="11.25" customHeight="1" x14ac:dyDescent="0.25">
      <c r="A948" s="4" t="s">
        <v>21</v>
      </c>
      <c r="B948" s="4" t="s">
        <v>41</v>
      </c>
      <c r="C948" s="4" t="s">
        <v>42</v>
      </c>
      <c r="D948" s="4" t="s">
        <v>38</v>
      </c>
      <c r="E948" s="4" t="s">
        <v>25</v>
      </c>
      <c r="F948" s="4" t="s">
        <v>61</v>
      </c>
      <c r="G948" s="4" t="s">
        <v>25</v>
      </c>
      <c r="H948" s="4" t="s">
        <v>25</v>
      </c>
      <c r="I948" s="5">
        <v>44593</v>
      </c>
      <c r="J948" s="6">
        <v>37807</v>
      </c>
      <c r="K948" s="6">
        <v>17391.22</v>
      </c>
      <c r="L948" s="6">
        <v>0</v>
      </c>
      <c r="M948" s="6">
        <v>0</v>
      </c>
      <c r="N948" s="6">
        <v>0</v>
      </c>
      <c r="O948" s="6">
        <v>0</v>
      </c>
      <c r="P948" s="6">
        <v>72</v>
      </c>
      <c r="Q948" s="4" t="s">
        <v>58</v>
      </c>
      <c r="R948" s="4">
        <v>0</v>
      </c>
      <c r="S948" s="6">
        <v>40</v>
      </c>
      <c r="T948" s="6">
        <v>0</v>
      </c>
      <c r="U948" s="6">
        <v>0</v>
      </c>
      <c r="V948" s="6">
        <f>IF(ISERROR(VLOOKUP($S$948,'TAR FIN'!$A$1:$O$104,15,0)),0,VLOOKUP($S$948,'TAR FIN'!$A$1:$O$104,15,0))</f>
        <v>26.22</v>
      </c>
      <c r="W948" s="6">
        <f>IF(ISERROR(VLOOKUP($T$948,'TAR FIN'!$A$1:$O$104,15,0)),0,VLOOKUP($T$948,'TAR FIN'!$A$1:$O$104,15,0))</f>
        <v>0</v>
      </c>
      <c r="X948" s="6">
        <f>IF(ISERROR(VLOOKUP($U$948,'TAR FIN'!$A$1:$O$104,15,0)),0,VLOOKUP($U$948,'TAR FIN'!$A$1:$O$104,15,0))</f>
        <v>0</v>
      </c>
      <c r="Y948" s="6">
        <f ca="1">('TUSD BE'!$AM$24+'TUSD BF'!$AM$24+'TUSD CVA'!$AM$24)*1</f>
        <v>26.280164278980507</v>
      </c>
      <c r="Z948" s="6"/>
      <c r="AA948" s="6"/>
      <c r="AB948" s="6">
        <f>$K$948*$V$948</f>
        <v>455997.78840000002</v>
      </c>
      <c r="AC948" s="6">
        <f>$M$948*$W$948</f>
        <v>0</v>
      </c>
      <c r="AD948" s="6">
        <f>$O$948*$X$948</f>
        <v>0</v>
      </c>
      <c r="AE948" s="6">
        <f ca="1">$K$948*$Y$948</f>
        <v>457044.1186118914</v>
      </c>
      <c r="AF948" s="6">
        <f>$M$948*$Z$948</f>
        <v>0</v>
      </c>
      <c r="AG948" s="6">
        <f>$O$948*$AA$948</f>
        <v>0</v>
      </c>
    </row>
    <row r="949" spans="1:33" ht="11.25" customHeight="1" x14ac:dyDescent="0.25">
      <c r="A949" s="4" t="s">
        <v>21</v>
      </c>
      <c r="B949" s="4" t="s">
        <v>41</v>
      </c>
      <c r="C949" s="4" t="s">
        <v>42</v>
      </c>
      <c r="D949" s="4" t="s">
        <v>38</v>
      </c>
      <c r="E949" s="4" t="s">
        <v>25</v>
      </c>
      <c r="F949" s="4" t="s">
        <v>61</v>
      </c>
      <c r="G949" s="4" t="s">
        <v>25</v>
      </c>
      <c r="H949" s="4" t="s">
        <v>25</v>
      </c>
      <c r="I949" s="5">
        <v>44621</v>
      </c>
      <c r="J949" s="6">
        <v>37786</v>
      </c>
      <c r="K949" s="6">
        <v>17381.560000000001</v>
      </c>
      <c r="L949" s="6">
        <v>0</v>
      </c>
      <c r="M949" s="6">
        <v>0</v>
      </c>
      <c r="N949" s="6">
        <v>0</v>
      </c>
      <c r="O949" s="6">
        <v>0</v>
      </c>
      <c r="P949" s="6">
        <v>72</v>
      </c>
      <c r="Q949" s="4" t="s">
        <v>58</v>
      </c>
      <c r="R949" s="4">
        <v>0</v>
      </c>
      <c r="S949" s="6">
        <v>40</v>
      </c>
      <c r="T949" s="6">
        <v>0</v>
      </c>
      <c r="U949" s="6">
        <v>0</v>
      </c>
      <c r="V949" s="6">
        <f>IF(ISERROR(VLOOKUP($S$949,'TAR FIN'!$A$1:$O$104,15,0)),0,VLOOKUP($S$949,'TAR FIN'!$A$1:$O$104,15,0))</f>
        <v>26.22</v>
      </c>
      <c r="W949" s="6">
        <f>IF(ISERROR(VLOOKUP($T$949,'TAR FIN'!$A$1:$O$104,15,0)),0,VLOOKUP($T$949,'TAR FIN'!$A$1:$O$104,15,0))</f>
        <v>0</v>
      </c>
      <c r="X949" s="6">
        <f>IF(ISERROR(VLOOKUP($U$949,'TAR FIN'!$A$1:$O$104,15,0)),0,VLOOKUP($U$949,'TAR FIN'!$A$1:$O$104,15,0))</f>
        <v>0</v>
      </c>
      <c r="Y949" s="6">
        <f ca="1">('TUSD BE'!$AM$24+'TUSD BF'!$AM$24+'TUSD CVA'!$AM$24)*1</f>
        <v>26.280164278980507</v>
      </c>
      <c r="Z949" s="6"/>
      <c r="AA949" s="6"/>
      <c r="AB949" s="6">
        <f>$K$949*$V$949</f>
        <v>455744.50320000004</v>
      </c>
      <c r="AC949" s="6">
        <f>$M$949*$W$949</f>
        <v>0</v>
      </c>
      <c r="AD949" s="6">
        <f>$O$949*$X$949</f>
        <v>0</v>
      </c>
      <c r="AE949" s="6">
        <f ca="1">$K$949*$Y$949</f>
        <v>456790.25222495646</v>
      </c>
      <c r="AF949" s="6">
        <f>$M$949*$Z$949</f>
        <v>0</v>
      </c>
      <c r="AG949" s="6">
        <f>$O$949*$AA$949</f>
        <v>0</v>
      </c>
    </row>
    <row r="950" spans="1:33" ht="11.25" customHeight="1" x14ac:dyDescent="0.25">
      <c r="A950" s="4" t="s">
        <v>21</v>
      </c>
      <c r="B950" s="4" t="s">
        <v>41</v>
      </c>
      <c r="C950" s="4" t="s">
        <v>42</v>
      </c>
      <c r="D950" s="4" t="s">
        <v>38</v>
      </c>
      <c r="E950" s="4" t="s">
        <v>25</v>
      </c>
      <c r="F950" s="4" t="s">
        <v>61</v>
      </c>
      <c r="G950" s="4" t="s">
        <v>25</v>
      </c>
      <c r="H950" s="4" t="s">
        <v>25</v>
      </c>
      <c r="I950" s="5">
        <v>44652</v>
      </c>
      <c r="J950" s="6">
        <v>36476</v>
      </c>
      <c r="K950" s="6">
        <v>16049.44</v>
      </c>
      <c r="L950" s="6">
        <v>0</v>
      </c>
      <c r="M950" s="6">
        <v>0</v>
      </c>
      <c r="N950" s="6">
        <v>0</v>
      </c>
      <c r="O950" s="6">
        <v>0</v>
      </c>
      <c r="P950" s="6">
        <v>69</v>
      </c>
      <c r="Q950" s="4" t="s">
        <v>58</v>
      </c>
      <c r="R950" s="4">
        <v>0</v>
      </c>
      <c r="S950" s="6">
        <v>40</v>
      </c>
      <c r="T950" s="6">
        <v>0</v>
      </c>
      <c r="U950" s="6">
        <v>0</v>
      </c>
      <c r="V950" s="6">
        <f>IF(ISERROR(VLOOKUP($S$950,'TAR FIN'!$A$1:$O$104,15,0)),0,VLOOKUP($S$950,'TAR FIN'!$A$1:$O$104,15,0))</f>
        <v>26.22</v>
      </c>
      <c r="W950" s="6">
        <f>IF(ISERROR(VLOOKUP($T$950,'TAR FIN'!$A$1:$O$104,15,0)),0,VLOOKUP($T$950,'TAR FIN'!$A$1:$O$104,15,0))</f>
        <v>0</v>
      </c>
      <c r="X950" s="6">
        <f>IF(ISERROR(VLOOKUP($U$950,'TAR FIN'!$A$1:$O$104,15,0)),0,VLOOKUP($U$950,'TAR FIN'!$A$1:$O$104,15,0))</f>
        <v>0</v>
      </c>
      <c r="Y950" s="6">
        <f ca="1">('TUSD BE'!$AM$24+'TUSD BF'!$AM$24+'TUSD CVA'!$AM$24)*1</f>
        <v>26.280164278980507</v>
      </c>
      <c r="Z950" s="6"/>
      <c r="AA950" s="6"/>
      <c r="AB950" s="6">
        <f>$K$950*$V$950</f>
        <v>420816.31679999997</v>
      </c>
      <c r="AC950" s="6">
        <f>$M$950*$W$950</f>
        <v>0</v>
      </c>
      <c r="AD950" s="6">
        <f>$O$950*$X$950</f>
        <v>0</v>
      </c>
      <c r="AE950" s="6">
        <f ca="1">$K$950*$Y$950</f>
        <v>421781.9197856409</v>
      </c>
      <c r="AF950" s="6">
        <f>$M$950*$Z$950</f>
        <v>0</v>
      </c>
      <c r="AG950" s="6">
        <f>$O$950*$AA$950</f>
        <v>0</v>
      </c>
    </row>
    <row r="951" spans="1:33" ht="11.25" customHeight="1" x14ac:dyDescent="0.25">
      <c r="A951" s="4" t="s">
        <v>21</v>
      </c>
      <c r="B951" s="4" t="s">
        <v>41</v>
      </c>
      <c r="C951" s="4" t="s">
        <v>42</v>
      </c>
      <c r="D951" s="4" t="s">
        <v>38</v>
      </c>
      <c r="E951" s="4" t="s">
        <v>25</v>
      </c>
      <c r="F951" s="4" t="s">
        <v>61</v>
      </c>
      <c r="G951" s="4" t="s">
        <v>25</v>
      </c>
      <c r="H951" s="4" t="s">
        <v>25</v>
      </c>
      <c r="I951" s="5">
        <v>44682</v>
      </c>
      <c r="J951" s="6">
        <v>36341</v>
      </c>
      <c r="K951" s="6">
        <v>15990.04</v>
      </c>
      <c r="L951" s="6">
        <v>0</v>
      </c>
      <c r="M951" s="6">
        <v>0</v>
      </c>
      <c r="N951" s="6">
        <v>0</v>
      </c>
      <c r="O951" s="6">
        <v>0</v>
      </c>
      <c r="P951" s="6">
        <v>69</v>
      </c>
      <c r="Q951" s="4" t="s">
        <v>58</v>
      </c>
      <c r="R951" s="4">
        <v>0</v>
      </c>
      <c r="S951" s="6">
        <v>40</v>
      </c>
      <c r="T951" s="6">
        <v>0</v>
      </c>
      <c r="U951" s="6">
        <v>0</v>
      </c>
      <c r="V951" s="6">
        <f>IF(ISERROR(VLOOKUP($S$951,'TAR FIN'!$A$1:$O$104,15,0)),0,VLOOKUP($S$951,'TAR FIN'!$A$1:$O$104,15,0))</f>
        <v>26.22</v>
      </c>
      <c r="W951" s="6">
        <f>IF(ISERROR(VLOOKUP($T$951,'TAR FIN'!$A$1:$O$104,15,0)),0,VLOOKUP($T$951,'TAR FIN'!$A$1:$O$104,15,0))</f>
        <v>0</v>
      </c>
      <c r="X951" s="6">
        <f>IF(ISERROR(VLOOKUP($U$951,'TAR FIN'!$A$1:$O$104,15,0)),0,VLOOKUP($U$951,'TAR FIN'!$A$1:$O$104,15,0))</f>
        <v>0</v>
      </c>
      <c r="Y951" s="6">
        <f ca="1">('TUSD BE'!$AM$24+'TUSD BF'!$AM$24+'TUSD CVA'!$AM$24)*1</f>
        <v>26.280164278980507</v>
      </c>
      <c r="Z951" s="6"/>
      <c r="AA951" s="6"/>
      <c r="AB951" s="6">
        <f>$K$951*$V$951</f>
        <v>419258.84879999998</v>
      </c>
      <c r="AC951" s="6">
        <f>$M$951*$W$951</f>
        <v>0</v>
      </c>
      <c r="AD951" s="6">
        <f>$O$951*$X$951</f>
        <v>0</v>
      </c>
      <c r="AE951" s="6">
        <f ca="1">$K$951*$Y$951</f>
        <v>420220.8780274695</v>
      </c>
      <c r="AF951" s="6">
        <f>$M$951*$Z$951</f>
        <v>0</v>
      </c>
      <c r="AG951" s="6">
        <f>$O$951*$AA$951</f>
        <v>0</v>
      </c>
    </row>
    <row r="952" spans="1:33" ht="11.25" customHeight="1" x14ac:dyDescent="0.25">
      <c r="A952" s="4" t="s">
        <v>21</v>
      </c>
      <c r="B952" s="4" t="s">
        <v>41</v>
      </c>
      <c r="C952" s="4" t="s">
        <v>42</v>
      </c>
      <c r="D952" s="4" t="s">
        <v>38</v>
      </c>
      <c r="E952" s="4" t="s">
        <v>25</v>
      </c>
      <c r="F952" s="4" t="s">
        <v>61</v>
      </c>
      <c r="G952" s="4" t="s">
        <v>25</v>
      </c>
      <c r="H952" s="4" t="s">
        <v>25</v>
      </c>
      <c r="I952" s="5">
        <v>44713</v>
      </c>
      <c r="J952" s="6">
        <v>39911</v>
      </c>
      <c r="K952" s="6">
        <v>16363.51</v>
      </c>
      <c r="L952" s="6">
        <v>0</v>
      </c>
      <c r="M952" s="6">
        <v>0</v>
      </c>
      <c r="N952" s="6">
        <v>0</v>
      </c>
      <c r="O952" s="6">
        <v>0</v>
      </c>
      <c r="P952" s="6">
        <v>71</v>
      </c>
      <c r="Q952" s="4" t="s">
        <v>58</v>
      </c>
      <c r="R952" s="4">
        <v>0</v>
      </c>
      <c r="S952" s="6">
        <v>40</v>
      </c>
      <c r="T952" s="6">
        <v>0</v>
      </c>
      <c r="U952" s="6">
        <v>0</v>
      </c>
      <c r="V952" s="6">
        <f>IF(ISERROR(VLOOKUP($S$952,'TAR FIN'!$A$1:$O$104,15,0)),0,VLOOKUP($S$952,'TAR FIN'!$A$1:$O$104,15,0))</f>
        <v>26.22</v>
      </c>
      <c r="W952" s="6">
        <f>IF(ISERROR(VLOOKUP($T$952,'TAR FIN'!$A$1:$O$104,15,0)),0,VLOOKUP($T$952,'TAR FIN'!$A$1:$O$104,15,0))</f>
        <v>0</v>
      </c>
      <c r="X952" s="6">
        <f>IF(ISERROR(VLOOKUP($U$952,'TAR FIN'!$A$1:$O$104,15,0)),0,VLOOKUP($U$952,'TAR FIN'!$A$1:$O$104,15,0))</f>
        <v>0</v>
      </c>
      <c r="Y952" s="6">
        <f ca="1">('TUSD BE'!$AM$24+'TUSD BF'!$AM$24+'TUSD CVA'!$AM$24)*1</f>
        <v>26.280164278980507</v>
      </c>
      <c r="Z952" s="6"/>
      <c r="AA952" s="6"/>
      <c r="AB952" s="6">
        <f>$K$952*$V$952</f>
        <v>429051.23219999997</v>
      </c>
      <c r="AC952" s="6">
        <f>$M$952*$W$952</f>
        <v>0</v>
      </c>
      <c r="AD952" s="6">
        <f>$O$952*$X$952</f>
        <v>0</v>
      </c>
      <c r="AE952" s="6">
        <f ca="1">$K$952*$Y$952</f>
        <v>430035.73098074034</v>
      </c>
      <c r="AF952" s="6">
        <f>$M$952*$Z$952</f>
        <v>0</v>
      </c>
      <c r="AG952" s="6">
        <f>$O$952*$AA$952</f>
        <v>0</v>
      </c>
    </row>
    <row r="953" spans="1:33" ht="11.25" customHeight="1" x14ac:dyDescent="0.25">
      <c r="A953" s="4" t="s">
        <v>57</v>
      </c>
      <c r="B953" s="4" t="s">
        <v>41</v>
      </c>
      <c r="C953" s="4" t="s">
        <v>42</v>
      </c>
      <c r="D953" s="4" t="s">
        <v>38</v>
      </c>
      <c r="E953" s="4" t="s">
        <v>25</v>
      </c>
      <c r="F953" s="4" t="s">
        <v>61</v>
      </c>
      <c r="G953" s="4" t="s">
        <v>25</v>
      </c>
      <c r="H953" s="4" t="s">
        <v>25</v>
      </c>
      <c r="I953" s="5">
        <v>44743</v>
      </c>
      <c r="J953" s="6">
        <v>39911</v>
      </c>
      <c r="K953" s="6">
        <v>16363.51</v>
      </c>
      <c r="L953" s="6">
        <v>0</v>
      </c>
      <c r="M953" s="6">
        <v>0</v>
      </c>
      <c r="N953" s="6">
        <v>0</v>
      </c>
      <c r="O953" s="6">
        <v>0</v>
      </c>
      <c r="P953" s="6">
        <v>71</v>
      </c>
      <c r="Q953" s="4" t="s">
        <v>58</v>
      </c>
      <c r="R953" s="4">
        <v>0</v>
      </c>
      <c r="S953" s="6">
        <v>40</v>
      </c>
      <c r="T953" s="6">
        <v>0</v>
      </c>
      <c r="U953" s="6">
        <v>0</v>
      </c>
      <c r="V953" s="6">
        <f>IF(ISERROR(VLOOKUP($S$953,'TAR FIN'!$A$1:$O$104,15,0)),0,VLOOKUP($S$953,'TAR FIN'!$A$1:$O$104,15,0))</f>
        <v>26.22</v>
      </c>
      <c r="W953" s="6">
        <f>IF(ISERROR(VLOOKUP($T$953,'TAR FIN'!$A$1:$O$104,15,0)),0,VLOOKUP($T$953,'TAR FIN'!$A$1:$O$104,15,0))</f>
        <v>0</v>
      </c>
      <c r="X953" s="6">
        <f>IF(ISERROR(VLOOKUP($U$953,'TAR FIN'!$A$1:$O$104,15,0)),0,VLOOKUP($U$953,'TAR FIN'!$A$1:$O$104,15,0))</f>
        <v>0</v>
      </c>
      <c r="Y953" s="6">
        <f ca="1">('TUSD BE'!$AM$24+'TUSD BF'!$AM$24+'TUSD CVA'!$AM$24)*1</f>
        <v>26.280164278980507</v>
      </c>
      <c r="Z953" s="6"/>
      <c r="AA953" s="6"/>
      <c r="AB953" s="6">
        <f>$K$953*$V$953</f>
        <v>429051.23219999997</v>
      </c>
      <c r="AC953" s="6">
        <f>$M$953*$W$953</f>
        <v>0</v>
      </c>
      <c r="AD953" s="6">
        <f>$O$953*$X$953</f>
        <v>0</v>
      </c>
      <c r="AE953" s="6">
        <f ca="1">$K$953*$Y$953</f>
        <v>430035.73098074034</v>
      </c>
      <c r="AF953" s="6">
        <f>$M$953*$Z$953</f>
        <v>0</v>
      </c>
      <c r="AG953" s="6">
        <f>$O$953*$AA$953</f>
        <v>0</v>
      </c>
    </row>
    <row r="954" spans="1:33" ht="11.25" customHeight="1" x14ac:dyDescent="0.25">
      <c r="A954" s="4" t="s">
        <v>21</v>
      </c>
      <c r="B954" s="4" t="s">
        <v>41</v>
      </c>
      <c r="C954" s="4" t="s">
        <v>42</v>
      </c>
      <c r="D954" s="4" t="s">
        <v>38</v>
      </c>
      <c r="E954" s="4" t="s">
        <v>25</v>
      </c>
      <c r="F954" s="4" t="s">
        <v>61</v>
      </c>
      <c r="G954" s="4" t="s">
        <v>25</v>
      </c>
      <c r="H954" s="4" t="s">
        <v>34</v>
      </c>
      <c r="I954" s="5">
        <v>44409</v>
      </c>
      <c r="J954" s="6">
        <v>0</v>
      </c>
      <c r="K954" s="6">
        <v>0</v>
      </c>
      <c r="L954" s="6">
        <v>632.36800000000005</v>
      </c>
      <c r="M954" s="6">
        <v>316.18400000000003</v>
      </c>
      <c r="N954" s="6">
        <v>0</v>
      </c>
      <c r="O954" s="6">
        <v>0</v>
      </c>
      <c r="P954" s="6">
        <v>0</v>
      </c>
      <c r="Q954" s="4" t="s">
        <v>58</v>
      </c>
      <c r="R954" s="4">
        <v>0</v>
      </c>
      <c r="S954" s="6">
        <v>0</v>
      </c>
      <c r="T954" s="6">
        <v>42</v>
      </c>
      <c r="U954" s="6">
        <v>0</v>
      </c>
      <c r="V954" s="6">
        <f>IF(ISERROR(VLOOKUP($S$954,'TAR FIN'!$A$1:$O$104,15,0)),0,VLOOKUP($S$954,'TAR FIN'!$A$1:$O$104,15,0))</f>
        <v>0</v>
      </c>
      <c r="W954" s="6">
        <f>IF(ISERROR(VLOOKUP($T$954,'TAR FIN'!$A$1:$O$104,15,0)),0,VLOOKUP($T$954,'TAR FIN'!$A$1:$O$104,15,0))</f>
        <v>1330.19</v>
      </c>
      <c r="X954" s="6">
        <f>IF(ISERROR(VLOOKUP($U$954,'TAR FIN'!$A$1:$O$104,15,0)),0,VLOOKUP($U$954,'TAR FIN'!$A$1:$O$104,15,0))</f>
        <v>0</v>
      </c>
      <c r="Y954" s="6"/>
      <c r="Z954" s="6">
        <f ca="1">('TUSD BE'!$AM$25+'TUSD BF'!$AM$25+'TUSD CVA'!$AM$25)*1</f>
        <v>1345.857743809549</v>
      </c>
      <c r="AA954" s="6"/>
      <c r="AB954" s="6">
        <f>$K$954*$V$954</f>
        <v>0</v>
      </c>
      <c r="AC954" s="6">
        <f>$M$954*$W$954</f>
        <v>420584.79496000003</v>
      </c>
      <c r="AD954" s="6">
        <f>$O$954*$X$954</f>
        <v>0</v>
      </c>
      <c r="AE954" s="6">
        <f>$K$954*$Y$954</f>
        <v>0</v>
      </c>
      <c r="AF954" s="6">
        <f ca="1">$M$954*$Z$954</f>
        <v>425538.68486867845</v>
      </c>
      <c r="AG954" s="6">
        <f>$O$954*$AA$954</f>
        <v>0</v>
      </c>
    </row>
    <row r="955" spans="1:33" ht="11.25" customHeight="1" x14ac:dyDescent="0.25">
      <c r="A955" s="4" t="s">
        <v>21</v>
      </c>
      <c r="B955" s="4" t="s">
        <v>41</v>
      </c>
      <c r="C955" s="4" t="s">
        <v>42</v>
      </c>
      <c r="D955" s="4" t="s">
        <v>38</v>
      </c>
      <c r="E955" s="4" t="s">
        <v>25</v>
      </c>
      <c r="F955" s="4" t="s">
        <v>61</v>
      </c>
      <c r="G955" s="4" t="s">
        <v>25</v>
      </c>
      <c r="H955" s="4" t="s">
        <v>34</v>
      </c>
      <c r="I955" s="5">
        <v>44440</v>
      </c>
      <c r="J955" s="6">
        <v>0</v>
      </c>
      <c r="K955" s="6">
        <v>0</v>
      </c>
      <c r="L955" s="6">
        <v>645.44399999999996</v>
      </c>
      <c r="M955" s="6">
        <v>367.90307999999999</v>
      </c>
      <c r="N955" s="6">
        <v>0</v>
      </c>
      <c r="O955" s="6">
        <v>0</v>
      </c>
      <c r="P955" s="6">
        <v>0</v>
      </c>
      <c r="Q955" s="4" t="s">
        <v>58</v>
      </c>
      <c r="R955" s="4">
        <v>0</v>
      </c>
      <c r="S955" s="6">
        <v>0</v>
      </c>
      <c r="T955" s="6">
        <v>42</v>
      </c>
      <c r="U955" s="6">
        <v>0</v>
      </c>
      <c r="V955" s="6">
        <f>IF(ISERROR(VLOOKUP($S$955,'TAR FIN'!$A$1:$O$104,15,0)),0,VLOOKUP($S$955,'TAR FIN'!$A$1:$O$104,15,0))</f>
        <v>0</v>
      </c>
      <c r="W955" s="6">
        <f>IF(ISERROR(VLOOKUP($T$955,'TAR FIN'!$A$1:$O$104,15,0)),0,VLOOKUP($T$955,'TAR FIN'!$A$1:$O$104,15,0))</f>
        <v>1330.19</v>
      </c>
      <c r="X955" s="6">
        <f>IF(ISERROR(VLOOKUP($U$955,'TAR FIN'!$A$1:$O$104,15,0)),0,VLOOKUP($U$955,'TAR FIN'!$A$1:$O$104,15,0))</f>
        <v>0</v>
      </c>
      <c r="Y955" s="6"/>
      <c r="Z955" s="6">
        <f ca="1">('TUSD BE'!$AM$25+'TUSD BF'!$AM$25+'TUSD CVA'!$AM$25)*1</f>
        <v>1345.857743809549</v>
      </c>
      <c r="AA955" s="6"/>
      <c r="AB955" s="6">
        <f>$K$955*$V$955</f>
        <v>0</v>
      </c>
      <c r="AC955" s="6">
        <f>$M$955*$W$955</f>
        <v>489380.99798520003</v>
      </c>
      <c r="AD955" s="6">
        <f>$O$955*$X$955</f>
        <v>0</v>
      </c>
      <c r="AE955" s="6">
        <f>$K$955*$Y$955</f>
        <v>0</v>
      </c>
      <c r="AF955" s="6">
        <f ca="1">$M$955*$Z$955</f>
        <v>495145.20918938401</v>
      </c>
      <c r="AG955" s="6">
        <f>$O$955*$AA$955</f>
        <v>0</v>
      </c>
    </row>
    <row r="956" spans="1:33" ht="11.25" customHeight="1" x14ac:dyDescent="0.25">
      <c r="A956" s="4" t="s">
        <v>21</v>
      </c>
      <c r="B956" s="4" t="s">
        <v>41</v>
      </c>
      <c r="C956" s="4" t="s">
        <v>42</v>
      </c>
      <c r="D956" s="4" t="s">
        <v>38</v>
      </c>
      <c r="E956" s="4" t="s">
        <v>25</v>
      </c>
      <c r="F956" s="4" t="s">
        <v>61</v>
      </c>
      <c r="G956" s="4" t="s">
        <v>25</v>
      </c>
      <c r="H956" s="4" t="s">
        <v>34</v>
      </c>
      <c r="I956" s="5">
        <v>44470</v>
      </c>
      <c r="J956" s="6">
        <v>0</v>
      </c>
      <c r="K956" s="6">
        <v>0</v>
      </c>
      <c r="L956" s="6">
        <v>701.73599999999999</v>
      </c>
      <c r="M956" s="6">
        <v>336.83328</v>
      </c>
      <c r="N956" s="6">
        <v>0</v>
      </c>
      <c r="O956" s="6">
        <v>0</v>
      </c>
      <c r="P956" s="6">
        <v>0</v>
      </c>
      <c r="Q956" s="4" t="s">
        <v>58</v>
      </c>
      <c r="R956" s="4">
        <v>0</v>
      </c>
      <c r="S956" s="6">
        <v>0</v>
      </c>
      <c r="T956" s="6">
        <v>42</v>
      </c>
      <c r="U956" s="6">
        <v>0</v>
      </c>
      <c r="V956" s="6">
        <f>IF(ISERROR(VLOOKUP($S$956,'TAR FIN'!$A$1:$O$104,15,0)),0,VLOOKUP($S$956,'TAR FIN'!$A$1:$O$104,15,0))</f>
        <v>0</v>
      </c>
      <c r="W956" s="6">
        <f>IF(ISERROR(VLOOKUP($T$956,'TAR FIN'!$A$1:$O$104,15,0)),0,VLOOKUP($T$956,'TAR FIN'!$A$1:$O$104,15,0))</f>
        <v>1330.19</v>
      </c>
      <c r="X956" s="6">
        <f>IF(ISERROR(VLOOKUP($U$956,'TAR FIN'!$A$1:$O$104,15,0)),0,VLOOKUP($U$956,'TAR FIN'!$A$1:$O$104,15,0))</f>
        <v>0</v>
      </c>
      <c r="Y956" s="6"/>
      <c r="Z956" s="6">
        <f ca="1">('TUSD BE'!$AM$25+'TUSD BF'!$AM$25+'TUSD CVA'!$AM$25)*1</f>
        <v>1345.857743809549</v>
      </c>
      <c r="AA956" s="6"/>
      <c r="AB956" s="6">
        <f>$K$956*$V$956</f>
        <v>0</v>
      </c>
      <c r="AC956" s="6">
        <f>$M$956*$W$956</f>
        <v>448052.26072320004</v>
      </c>
      <c r="AD956" s="6">
        <f>$O$956*$X$956</f>
        <v>0</v>
      </c>
      <c r="AE956" s="6">
        <f>$K$956*$Y$956</f>
        <v>0</v>
      </c>
      <c r="AF956" s="6">
        <f ca="1">$M$956*$Z$956</f>
        <v>453329.6782607701</v>
      </c>
      <c r="AG956" s="6">
        <f>$O$956*$AA$956</f>
        <v>0</v>
      </c>
    </row>
    <row r="957" spans="1:33" ht="11.25" customHeight="1" x14ac:dyDescent="0.25">
      <c r="A957" s="4" t="s">
        <v>21</v>
      </c>
      <c r="B957" s="4" t="s">
        <v>41</v>
      </c>
      <c r="C957" s="4" t="s">
        <v>42</v>
      </c>
      <c r="D957" s="4" t="s">
        <v>38</v>
      </c>
      <c r="E957" s="4" t="s">
        <v>25</v>
      </c>
      <c r="F957" s="4" t="s">
        <v>61</v>
      </c>
      <c r="G957" s="4" t="s">
        <v>25</v>
      </c>
      <c r="H957" s="4" t="s">
        <v>34</v>
      </c>
      <c r="I957" s="5">
        <v>44501</v>
      </c>
      <c r="J957" s="6">
        <v>0</v>
      </c>
      <c r="K957" s="6">
        <v>0</v>
      </c>
      <c r="L957" s="6">
        <v>767.41800000000001</v>
      </c>
      <c r="M957" s="6">
        <v>337.66392000000002</v>
      </c>
      <c r="N957" s="6">
        <v>0</v>
      </c>
      <c r="O957" s="6">
        <v>0</v>
      </c>
      <c r="P957" s="6">
        <v>0</v>
      </c>
      <c r="Q957" s="4" t="s">
        <v>58</v>
      </c>
      <c r="R957" s="4">
        <v>0</v>
      </c>
      <c r="S957" s="6">
        <v>0</v>
      </c>
      <c r="T957" s="6">
        <v>42</v>
      </c>
      <c r="U957" s="6">
        <v>0</v>
      </c>
      <c r="V957" s="6">
        <f>IF(ISERROR(VLOOKUP($S$957,'TAR FIN'!$A$1:$O$104,15,0)),0,VLOOKUP($S$957,'TAR FIN'!$A$1:$O$104,15,0))</f>
        <v>0</v>
      </c>
      <c r="W957" s="6">
        <f>IF(ISERROR(VLOOKUP($T$957,'TAR FIN'!$A$1:$O$104,15,0)),0,VLOOKUP($T$957,'TAR FIN'!$A$1:$O$104,15,0))</f>
        <v>1330.19</v>
      </c>
      <c r="X957" s="6">
        <f>IF(ISERROR(VLOOKUP($U$957,'TAR FIN'!$A$1:$O$104,15,0)),0,VLOOKUP($U$957,'TAR FIN'!$A$1:$O$104,15,0))</f>
        <v>0</v>
      </c>
      <c r="Y957" s="6"/>
      <c r="Z957" s="6">
        <f ca="1">('TUSD BE'!$AM$25+'TUSD BF'!$AM$25+'TUSD CVA'!$AM$25)*1</f>
        <v>1345.857743809549</v>
      </c>
      <c r="AA957" s="6"/>
      <c r="AB957" s="6">
        <f>$K$957*$V$957</f>
        <v>0</v>
      </c>
      <c r="AC957" s="6">
        <f>$M$957*$W$957</f>
        <v>449157.16974480002</v>
      </c>
      <c r="AD957" s="6">
        <f>$O$957*$X$957</f>
        <v>0</v>
      </c>
      <c r="AE957" s="6">
        <f>$K$957*$Y$957</f>
        <v>0</v>
      </c>
      <c r="AF957" s="6">
        <f ca="1">$M$957*$Z$957</f>
        <v>454447.60153708805</v>
      </c>
      <c r="AG957" s="6">
        <f>$O$957*$AA$957</f>
        <v>0</v>
      </c>
    </row>
    <row r="958" spans="1:33" ht="11.25" customHeight="1" x14ac:dyDescent="0.25">
      <c r="A958" s="4" t="s">
        <v>21</v>
      </c>
      <c r="B958" s="4" t="s">
        <v>41</v>
      </c>
      <c r="C958" s="4" t="s">
        <v>42</v>
      </c>
      <c r="D958" s="4" t="s">
        <v>38</v>
      </c>
      <c r="E958" s="4" t="s">
        <v>25</v>
      </c>
      <c r="F958" s="4" t="s">
        <v>61</v>
      </c>
      <c r="G958" s="4" t="s">
        <v>25</v>
      </c>
      <c r="H958" s="4" t="s">
        <v>34</v>
      </c>
      <c r="I958" s="5">
        <v>44531</v>
      </c>
      <c r="J958" s="6">
        <v>0</v>
      </c>
      <c r="K958" s="6">
        <v>0</v>
      </c>
      <c r="L958" s="6">
        <v>884.23099999999999</v>
      </c>
      <c r="M958" s="6">
        <v>389.06164000000001</v>
      </c>
      <c r="N958" s="6">
        <v>0</v>
      </c>
      <c r="O958" s="6">
        <v>0</v>
      </c>
      <c r="P958" s="6">
        <v>0</v>
      </c>
      <c r="Q958" s="4" t="s">
        <v>58</v>
      </c>
      <c r="R958" s="4">
        <v>0</v>
      </c>
      <c r="S958" s="6">
        <v>0</v>
      </c>
      <c r="T958" s="6">
        <v>42</v>
      </c>
      <c r="U958" s="6">
        <v>0</v>
      </c>
      <c r="V958" s="6">
        <f>IF(ISERROR(VLOOKUP($S$958,'TAR FIN'!$A$1:$O$104,15,0)),0,VLOOKUP($S$958,'TAR FIN'!$A$1:$O$104,15,0))</f>
        <v>0</v>
      </c>
      <c r="W958" s="6">
        <f>IF(ISERROR(VLOOKUP($T$958,'TAR FIN'!$A$1:$O$104,15,0)),0,VLOOKUP($T$958,'TAR FIN'!$A$1:$O$104,15,0))</f>
        <v>1330.19</v>
      </c>
      <c r="X958" s="6">
        <f>IF(ISERROR(VLOOKUP($U$958,'TAR FIN'!$A$1:$O$104,15,0)),0,VLOOKUP($U$958,'TAR FIN'!$A$1:$O$104,15,0))</f>
        <v>0</v>
      </c>
      <c r="Y958" s="6"/>
      <c r="Z958" s="6">
        <f ca="1">('TUSD BE'!$AM$25+'TUSD BF'!$AM$25+'TUSD CVA'!$AM$25)*1</f>
        <v>1345.857743809549</v>
      </c>
      <c r="AA958" s="6"/>
      <c r="AB958" s="6">
        <f>$K$958*$V$958</f>
        <v>0</v>
      </c>
      <c r="AC958" s="6">
        <f>$M$958*$W$958</f>
        <v>517525.90291160002</v>
      </c>
      <c r="AD958" s="6">
        <f>$O$958*$X$958</f>
        <v>0</v>
      </c>
      <c r="AE958" s="6">
        <f>$K$958*$Y$958</f>
        <v>0</v>
      </c>
      <c r="AF958" s="6">
        <f ca="1">$M$958*$Z$958</f>
        <v>523621.62101324298</v>
      </c>
      <c r="AG958" s="6">
        <f>$O$958*$AA$958</f>
        <v>0</v>
      </c>
    </row>
    <row r="959" spans="1:33" ht="11.25" customHeight="1" x14ac:dyDescent="0.25">
      <c r="A959" s="4" t="s">
        <v>21</v>
      </c>
      <c r="B959" s="4" t="s">
        <v>41</v>
      </c>
      <c r="C959" s="4" t="s">
        <v>42</v>
      </c>
      <c r="D959" s="4" t="s">
        <v>38</v>
      </c>
      <c r="E959" s="4" t="s">
        <v>25</v>
      </c>
      <c r="F959" s="4" t="s">
        <v>61</v>
      </c>
      <c r="G959" s="4" t="s">
        <v>25</v>
      </c>
      <c r="H959" s="4" t="s">
        <v>34</v>
      </c>
      <c r="I959" s="5">
        <v>44562</v>
      </c>
      <c r="J959" s="6">
        <v>0</v>
      </c>
      <c r="K959" s="6">
        <v>0</v>
      </c>
      <c r="L959" s="6">
        <v>933.57500000000005</v>
      </c>
      <c r="M959" s="6">
        <v>420.10874999999999</v>
      </c>
      <c r="N959" s="6">
        <v>0</v>
      </c>
      <c r="O959" s="6">
        <v>0</v>
      </c>
      <c r="P959" s="6">
        <v>0</v>
      </c>
      <c r="Q959" s="4" t="s">
        <v>58</v>
      </c>
      <c r="R959" s="4">
        <v>0</v>
      </c>
      <c r="S959" s="6">
        <v>0</v>
      </c>
      <c r="T959" s="6">
        <v>42</v>
      </c>
      <c r="U959" s="6">
        <v>0</v>
      </c>
      <c r="V959" s="6">
        <f>IF(ISERROR(VLOOKUP($S$959,'TAR FIN'!$A$1:$O$104,15,0)),0,VLOOKUP($S$959,'TAR FIN'!$A$1:$O$104,15,0))</f>
        <v>0</v>
      </c>
      <c r="W959" s="6">
        <f>IF(ISERROR(VLOOKUP($T$959,'TAR FIN'!$A$1:$O$104,15,0)),0,VLOOKUP($T$959,'TAR FIN'!$A$1:$O$104,15,0))</f>
        <v>1330.19</v>
      </c>
      <c r="X959" s="6">
        <f>IF(ISERROR(VLOOKUP($U$959,'TAR FIN'!$A$1:$O$104,15,0)),0,VLOOKUP($U$959,'TAR FIN'!$A$1:$O$104,15,0))</f>
        <v>0</v>
      </c>
      <c r="Y959" s="6"/>
      <c r="Z959" s="6">
        <f ca="1">('TUSD BE'!$AM$25+'TUSD BF'!$AM$25+'TUSD CVA'!$AM$25)*1</f>
        <v>1345.857743809549</v>
      </c>
      <c r="AA959" s="6"/>
      <c r="AB959" s="6">
        <f>$K$959*$V$959</f>
        <v>0</v>
      </c>
      <c r="AC959" s="6">
        <f>$M$959*$W$959</f>
        <v>558824.45816250006</v>
      </c>
      <c r="AD959" s="6">
        <f>$O$959*$X$959</f>
        <v>0</v>
      </c>
      <c r="AE959" s="6">
        <f>$K$959*$Y$959</f>
        <v>0</v>
      </c>
      <c r="AF959" s="6">
        <f ca="1">$M$959*$Z$959</f>
        <v>565406.6144296499</v>
      </c>
      <c r="AG959" s="6">
        <f>$O$959*$AA$959</f>
        <v>0</v>
      </c>
    </row>
    <row r="960" spans="1:33" ht="11.25" customHeight="1" x14ac:dyDescent="0.25">
      <c r="A960" s="4" t="s">
        <v>21</v>
      </c>
      <c r="B960" s="4" t="s">
        <v>41</v>
      </c>
      <c r="C960" s="4" t="s">
        <v>42</v>
      </c>
      <c r="D960" s="4" t="s">
        <v>38</v>
      </c>
      <c r="E960" s="4" t="s">
        <v>25</v>
      </c>
      <c r="F960" s="4" t="s">
        <v>61</v>
      </c>
      <c r="G960" s="4" t="s">
        <v>25</v>
      </c>
      <c r="H960" s="4" t="s">
        <v>34</v>
      </c>
      <c r="I960" s="5">
        <v>44593</v>
      </c>
      <c r="J960" s="6">
        <v>0</v>
      </c>
      <c r="K960" s="6">
        <v>0</v>
      </c>
      <c r="L960" s="6">
        <v>748.96299999999997</v>
      </c>
      <c r="M960" s="6">
        <v>352.01261</v>
      </c>
      <c r="N960" s="6">
        <v>0</v>
      </c>
      <c r="O960" s="6">
        <v>0</v>
      </c>
      <c r="P960" s="6">
        <v>0</v>
      </c>
      <c r="Q960" s="4" t="s">
        <v>58</v>
      </c>
      <c r="R960" s="4">
        <v>0</v>
      </c>
      <c r="S960" s="6">
        <v>0</v>
      </c>
      <c r="T960" s="6">
        <v>42</v>
      </c>
      <c r="U960" s="6">
        <v>0</v>
      </c>
      <c r="V960" s="6">
        <f>IF(ISERROR(VLOOKUP($S$960,'TAR FIN'!$A$1:$O$104,15,0)),0,VLOOKUP($S$960,'TAR FIN'!$A$1:$O$104,15,0))</f>
        <v>0</v>
      </c>
      <c r="W960" s="6">
        <f>IF(ISERROR(VLOOKUP($T$960,'TAR FIN'!$A$1:$O$104,15,0)),0,VLOOKUP($T$960,'TAR FIN'!$A$1:$O$104,15,0))</f>
        <v>1330.19</v>
      </c>
      <c r="X960" s="6">
        <f>IF(ISERROR(VLOOKUP($U$960,'TAR FIN'!$A$1:$O$104,15,0)),0,VLOOKUP($U$960,'TAR FIN'!$A$1:$O$104,15,0))</f>
        <v>0</v>
      </c>
      <c r="Y960" s="6"/>
      <c r="Z960" s="6">
        <f ca="1">('TUSD BE'!$AM$25+'TUSD BF'!$AM$25+'TUSD CVA'!$AM$25)*1</f>
        <v>1345.857743809549</v>
      </c>
      <c r="AA960" s="6"/>
      <c r="AB960" s="6">
        <f>$K$960*$V$960</f>
        <v>0</v>
      </c>
      <c r="AC960" s="6">
        <f>$M$960*$W$960</f>
        <v>468243.65369589999</v>
      </c>
      <c r="AD960" s="6">
        <f>$O$960*$X$960</f>
        <v>0</v>
      </c>
      <c r="AE960" s="6">
        <f>$K$960*$Y$960</f>
        <v>0</v>
      </c>
      <c r="AF960" s="6">
        <f ca="1">$M$960*$Z$960</f>
        <v>473758.89708711067</v>
      </c>
      <c r="AG960" s="6">
        <f>$O$960*$AA$960</f>
        <v>0</v>
      </c>
    </row>
    <row r="961" spans="1:33" ht="11.25" customHeight="1" x14ac:dyDescent="0.25">
      <c r="A961" s="4" t="s">
        <v>21</v>
      </c>
      <c r="B961" s="4" t="s">
        <v>41</v>
      </c>
      <c r="C961" s="4" t="s">
        <v>42</v>
      </c>
      <c r="D961" s="4" t="s">
        <v>38</v>
      </c>
      <c r="E961" s="4" t="s">
        <v>25</v>
      </c>
      <c r="F961" s="4" t="s">
        <v>61</v>
      </c>
      <c r="G961" s="4" t="s">
        <v>25</v>
      </c>
      <c r="H961" s="4" t="s">
        <v>34</v>
      </c>
      <c r="I961" s="5">
        <v>44621</v>
      </c>
      <c r="J961" s="6">
        <v>0</v>
      </c>
      <c r="K961" s="6">
        <v>0</v>
      </c>
      <c r="L961" s="6">
        <v>827.06700000000001</v>
      </c>
      <c r="M961" s="6">
        <v>380.45082000000002</v>
      </c>
      <c r="N961" s="6">
        <v>0</v>
      </c>
      <c r="O961" s="6">
        <v>0</v>
      </c>
      <c r="P961" s="6">
        <v>0</v>
      </c>
      <c r="Q961" s="4" t="s">
        <v>58</v>
      </c>
      <c r="R961" s="4">
        <v>0</v>
      </c>
      <c r="S961" s="6">
        <v>0</v>
      </c>
      <c r="T961" s="6">
        <v>42</v>
      </c>
      <c r="U961" s="6">
        <v>0</v>
      </c>
      <c r="V961" s="6">
        <f>IF(ISERROR(VLOOKUP($S$961,'TAR FIN'!$A$1:$O$104,15,0)),0,VLOOKUP($S$961,'TAR FIN'!$A$1:$O$104,15,0))</f>
        <v>0</v>
      </c>
      <c r="W961" s="6">
        <f>IF(ISERROR(VLOOKUP($T$961,'TAR FIN'!$A$1:$O$104,15,0)),0,VLOOKUP($T$961,'TAR FIN'!$A$1:$O$104,15,0))</f>
        <v>1330.19</v>
      </c>
      <c r="X961" s="6">
        <f>IF(ISERROR(VLOOKUP($U$961,'TAR FIN'!$A$1:$O$104,15,0)),0,VLOOKUP($U$961,'TAR FIN'!$A$1:$O$104,15,0))</f>
        <v>0</v>
      </c>
      <c r="Y961" s="6"/>
      <c r="Z961" s="6">
        <f ca="1">('TUSD BE'!$AM$25+'TUSD BF'!$AM$25+'TUSD CVA'!$AM$25)*1</f>
        <v>1345.857743809549</v>
      </c>
      <c r="AA961" s="6"/>
      <c r="AB961" s="6">
        <f>$K$961*$V$961</f>
        <v>0</v>
      </c>
      <c r="AC961" s="6">
        <f>$M$961*$W$961</f>
        <v>506071.87625580007</v>
      </c>
      <c r="AD961" s="6">
        <f>$O$961*$X$961</f>
        <v>0</v>
      </c>
      <c r="AE961" s="6">
        <f>$K$961*$Y$961</f>
        <v>0</v>
      </c>
      <c r="AF961" s="6">
        <f ca="1">$M$961*$Z$961</f>
        <v>512032.68223569286</v>
      </c>
      <c r="AG961" s="6">
        <f>$O$961*$AA$961</f>
        <v>0</v>
      </c>
    </row>
    <row r="962" spans="1:33" ht="11.25" customHeight="1" x14ac:dyDescent="0.25">
      <c r="A962" s="4" t="s">
        <v>21</v>
      </c>
      <c r="B962" s="4" t="s">
        <v>41</v>
      </c>
      <c r="C962" s="4" t="s">
        <v>42</v>
      </c>
      <c r="D962" s="4" t="s">
        <v>38</v>
      </c>
      <c r="E962" s="4" t="s">
        <v>25</v>
      </c>
      <c r="F962" s="4" t="s">
        <v>61</v>
      </c>
      <c r="G962" s="4" t="s">
        <v>25</v>
      </c>
      <c r="H962" s="4" t="s">
        <v>34</v>
      </c>
      <c r="I962" s="5">
        <v>44652</v>
      </c>
      <c r="J962" s="6">
        <v>0</v>
      </c>
      <c r="K962" s="6">
        <v>0</v>
      </c>
      <c r="L962" s="6">
        <v>998.30899999999997</v>
      </c>
      <c r="M962" s="6">
        <v>429.27287000000001</v>
      </c>
      <c r="N962" s="6">
        <v>0</v>
      </c>
      <c r="O962" s="6">
        <v>0</v>
      </c>
      <c r="P962" s="6">
        <v>0</v>
      </c>
      <c r="Q962" s="4" t="s">
        <v>58</v>
      </c>
      <c r="R962" s="4">
        <v>0</v>
      </c>
      <c r="S962" s="6">
        <v>0</v>
      </c>
      <c r="T962" s="6">
        <v>42</v>
      </c>
      <c r="U962" s="6">
        <v>0</v>
      </c>
      <c r="V962" s="6">
        <f>IF(ISERROR(VLOOKUP($S$962,'TAR FIN'!$A$1:$O$104,15,0)),0,VLOOKUP($S$962,'TAR FIN'!$A$1:$O$104,15,0))</f>
        <v>0</v>
      </c>
      <c r="W962" s="6">
        <f>IF(ISERROR(VLOOKUP($T$962,'TAR FIN'!$A$1:$O$104,15,0)),0,VLOOKUP($T$962,'TAR FIN'!$A$1:$O$104,15,0))</f>
        <v>1330.19</v>
      </c>
      <c r="X962" s="6">
        <f>IF(ISERROR(VLOOKUP($U$962,'TAR FIN'!$A$1:$O$104,15,0)),0,VLOOKUP($U$962,'TAR FIN'!$A$1:$O$104,15,0))</f>
        <v>0</v>
      </c>
      <c r="Y962" s="6"/>
      <c r="Z962" s="6">
        <f ca="1">('TUSD BE'!$AM$25+'TUSD BF'!$AM$25+'TUSD CVA'!$AM$25)*1</f>
        <v>1345.857743809549</v>
      </c>
      <c r="AA962" s="6"/>
      <c r="AB962" s="6">
        <f>$K$962*$V$962</f>
        <v>0</v>
      </c>
      <c r="AC962" s="6">
        <f>$M$962*$W$962</f>
        <v>571014.47894529998</v>
      </c>
      <c r="AD962" s="6">
        <f>$O$962*$X$962</f>
        <v>0</v>
      </c>
      <c r="AE962" s="6">
        <f>$K$962*$Y$962</f>
        <v>0</v>
      </c>
      <c r="AF962" s="6">
        <f ca="1">$M$962*$Z$962</f>
        <v>577740.21629684989</v>
      </c>
      <c r="AG962" s="6">
        <f>$O$962*$AA$962</f>
        <v>0</v>
      </c>
    </row>
    <row r="963" spans="1:33" ht="11.25" customHeight="1" x14ac:dyDescent="0.25">
      <c r="A963" s="4" t="s">
        <v>21</v>
      </c>
      <c r="B963" s="4" t="s">
        <v>41</v>
      </c>
      <c r="C963" s="4" t="s">
        <v>42</v>
      </c>
      <c r="D963" s="4" t="s">
        <v>38</v>
      </c>
      <c r="E963" s="4" t="s">
        <v>25</v>
      </c>
      <c r="F963" s="4" t="s">
        <v>61</v>
      </c>
      <c r="G963" s="4" t="s">
        <v>25</v>
      </c>
      <c r="H963" s="4" t="s">
        <v>34</v>
      </c>
      <c r="I963" s="5">
        <v>44682</v>
      </c>
      <c r="J963" s="6">
        <v>0</v>
      </c>
      <c r="K963" s="6">
        <v>0</v>
      </c>
      <c r="L963" s="6">
        <v>815.83100000000002</v>
      </c>
      <c r="M963" s="6">
        <v>350.80732999999998</v>
      </c>
      <c r="N963" s="6">
        <v>0</v>
      </c>
      <c r="O963" s="6">
        <v>0</v>
      </c>
      <c r="P963" s="6">
        <v>0</v>
      </c>
      <c r="Q963" s="4" t="s">
        <v>58</v>
      </c>
      <c r="R963" s="4">
        <v>0</v>
      </c>
      <c r="S963" s="6">
        <v>0</v>
      </c>
      <c r="T963" s="6">
        <v>42</v>
      </c>
      <c r="U963" s="6">
        <v>0</v>
      </c>
      <c r="V963" s="6">
        <f>IF(ISERROR(VLOOKUP($S$963,'TAR FIN'!$A$1:$O$104,15,0)),0,VLOOKUP($S$963,'TAR FIN'!$A$1:$O$104,15,0))</f>
        <v>0</v>
      </c>
      <c r="W963" s="6">
        <f>IF(ISERROR(VLOOKUP($T$963,'TAR FIN'!$A$1:$O$104,15,0)),0,VLOOKUP($T$963,'TAR FIN'!$A$1:$O$104,15,0))</f>
        <v>1330.19</v>
      </c>
      <c r="X963" s="6">
        <f>IF(ISERROR(VLOOKUP($U$963,'TAR FIN'!$A$1:$O$104,15,0)),0,VLOOKUP($U$963,'TAR FIN'!$A$1:$O$104,15,0))</f>
        <v>0</v>
      </c>
      <c r="Y963" s="6"/>
      <c r="Z963" s="6">
        <f ca="1">('TUSD BE'!$AM$25+'TUSD BF'!$AM$25+'TUSD CVA'!$AM$25)*1</f>
        <v>1345.857743809549</v>
      </c>
      <c r="AA963" s="6"/>
      <c r="AB963" s="6">
        <f>$K$963*$V$963</f>
        <v>0</v>
      </c>
      <c r="AC963" s="6">
        <f>$M$963*$W$963</f>
        <v>466640.40229270002</v>
      </c>
      <c r="AD963" s="6">
        <f>$O$963*$X$963</f>
        <v>0</v>
      </c>
      <c r="AE963" s="6">
        <f>$K$963*$Y$963</f>
        <v>0</v>
      </c>
      <c r="AF963" s="6">
        <f ca="1">$M$963*$Z$963</f>
        <v>472136.76166565187</v>
      </c>
      <c r="AG963" s="6">
        <f>$O$963*$AA$963</f>
        <v>0</v>
      </c>
    </row>
    <row r="964" spans="1:33" ht="11.25" customHeight="1" x14ac:dyDescent="0.25">
      <c r="A964" s="4" t="s">
        <v>21</v>
      </c>
      <c r="B964" s="4" t="s">
        <v>41</v>
      </c>
      <c r="C964" s="4" t="s">
        <v>42</v>
      </c>
      <c r="D964" s="4" t="s">
        <v>38</v>
      </c>
      <c r="E964" s="4" t="s">
        <v>25</v>
      </c>
      <c r="F964" s="4" t="s">
        <v>61</v>
      </c>
      <c r="G964" s="4" t="s">
        <v>25</v>
      </c>
      <c r="H964" s="4" t="s">
        <v>34</v>
      </c>
      <c r="I964" s="5">
        <v>44713</v>
      </c>
      <c r="J964" s="6">
        <v>0</v>
      </c>
      <c r="K964" s="6">
        <v>0</v>
      </c>
      <c r="L964" s="6">
        <v>986.846</v>
      </c>
      <c r="M964" s="6">
        <v>424.34377999999998</v>
      </c>
      <c r="N964" s="6">
        <v>0</v>
      </c>
      <c r="O964" s="6">
        <v>0</v>
      </c>
      <c r="P964" s="6">
        <v>0</v>
      </c>
      <c r="Q964" s="4" t="s">
        <v>58</v>
      </c>
      <c r="R964" s="4">
        <v>0</v>
      </c>
      <c r="S964" s="6">
        <v>0</v>
      </c>
      <c r="T964" s="6">
        <v>42</v>
      </c>
      <c r="U964" s="6">
        <v>0</v>
      </c>
      <c r="V964" s="6">
        <f>IF(ISERROR(VLOOKUP($S$964,'TAR FIN'!$A$1:$O$104,15,0)),0,VLOOKUP($S$964,'TAR FIN'!$A$1:$O$104,15,0))</f>
        <v>0</v>
      </c>
      <c r="W964" s="6">
        <f>IF(ISERROR(VLOOKUP($T$964,'TAR FIN'!$A$1:$O$104,15,0)),0,VLOOKUP($T$964,'TAR FIN'!$A$1:$O$104,15,0))</f>
        <v>1330.19</v>
      </c>
      <c r="X964" s="6">
        <f>IF(ISERROR(VLOOKUP($U$964,'TAR FIN'!$A$1:$O$104,15,0)),0,VLOOKUP($U$964,'TAR FIN'!$A$1:$O$104,15,0))</f>
        <v>0</v>
      </c>
      <c r="Y964" s="6"/>
      <c r="Z964" s="6">
        <f ca="1">('TUSD BE'!$AM$25+'TUSD BF'!$AM$25+'TUSD CVA'!$AM$25)*1</f>
        <v>1345.857743809549</v>
      </c>
      <c r="AA964" s="6"/>
      <c r="AB964" s="6">
        <f>$K$964*$V$964</f>
        <v>0</v>
      </c>
      <c r="AC964" s="6">
        <f>$M$964*$W$964</f>
        <v>564457.85271819995</v>
      </c>
      <c r="AD964" s="6">
        <f>$O$964*$X$964</f>
        <v>0</v>
      </c>
      <c r="AE964" s="6">
        <f>$K$964*$Y$964</f>
        <v>0</v>
      </c>
      <c r="AF964" s="6">
        <f ca="1">$M$964*$Z$964</f>
        <v>571106.36235041555</v>
      </c>
      <c r="AG964" s="6">
        <f>$O$964*$AA$964</f>
        <v>0</v>
      </c>
    </row>
    <row r="965" spans="1:33" ht="11.25" customHeight="1" x14ac:dyDescent="0.25">
      <c r="A965" s="4" t="s">
        <v>57</v>
      </c>
      <c r="B965" s="4" t="s">
        <v>41</v>
      </c>
      <c r="C965" s="4" t="s">
        <v>42</v>
      </c>
      <c r="D965" s="4" t="s">
        <v>38</v>
      </c>
      <c r="E965" s="4" t="s">
        <v>25</v>
      </c>
      <c r="F965" s="4" t="s">
        <v>61</v>
      </c>
      <c r="G965" s="4" t="s">
        <v>25</v>
      </c>
      <c r="H965" s="4" t="s">
        <v>34</v>
      </c>
      <c r="I965" s="5">
        <v>44743</v>
      </c>
      <c r="J965" s="6">
        <v>0</v>
      </c>
      <c r="K965" s="6">
        <v>0</v>
      </c>
      <c r="L965" s="6">
        <v>986.846</v>
      </c>
      <c r="M965" s="6">
        <v>424.34377999999998</v>
      </c>
      <c r="N965" s="6">
        <v>0</v>
      </c>
      <c r="O965" s="6">
        <v>0</v>
      </c>
      <c r="P965" s="6">
        <v>0</v>
      </c>
      <c r="Q965" s="4" t="s">
        <v>58</v>
      </c>
      <c r="R965" s="4">
        <v>0</v>
      </c>
      <c r="S965" s="6">
        <v>0</v>
      </c>
      <c r="T965" s="6">
        <v>42</v>
      </c>
      <c r="U965" s="6">
        <v>0</v>
      </c>
      <c r="V965" s="6">
        <f>IF(ISERROR(VLOOKUP($S$965,'TAR FIN'!$A$1:$O$104,15,0)),0,VLOOKUP($S$965,'TAR FIN'!$A$1:$O$104,15,0))</f>
        <v>0</v>
      </c>
      <c r="W965" s="6">
        <f>IF(ISERROR(VLOOKUP($T$965,'TAR FIN'!$A$1:$O$104,15,0)),0,VLOOKUP($T$965,'TAR FIN'!$A$1:$O$104,15,0))</f>
        <v>1330.19</v>
      </c>
      <c r="X965" s="6">
        <f>IF(ISERROR(VLOOKUP($U$965,'TAR FIN'!$A$1:$O$104,15,0)),0,VLOOKUP($U$965,'TAR FIN'!$A$1:$O$104,15,0))</f>
        <v>0</v>
      </c>
      <c r="Y965" s="6"/>
      <c r="Z965" s="6">
        <f ca="1">('TUSD BE'!$AM$25+'TUSD BF'!$AM$25+'TUSD CVA'!$AM$25)*1</f>
        <v>1345.857743809549</v>
      </c>
      <c r="AA965" s="6"/>
      <c r="AB965" s="6">
        <f>$K$965*$V$965</f>
        <v>0</v>
      </c>
      <c r="AC965" s="6">
        <f>$M$965*$W$965</f>
        <v>564457.85271819995</v>
      </c>
      <c r="AD965" s="6">
        <f>$O$965*$X$965</f>
        <v>0</v>
      </c>
      <c r="AE965" s="6">
        <f>$K$965*$Y$965</f>
        <v>0</v>
      </c>
      <c r="AF965" s="6">
        <f ca="1">$M$965*$Z$965</f>
        <v>571106.36235041555</v>
      </c>
      <c r="AG965" s="6">
        <f>$O$965*$AA$965</f>
        <v>0</v>
      </c>
    </row>
    <row r="966" spans="1:33" ht="11.25" customHeight="1" x14ac:dyDescent="0.25">
      <c r="A966" s="4" t="s">
        <v>21</v>
      </c>
      <c r="B966" s="4" t="s">
        <v>41</v>
      </c>
      <c r="C966" s="4" t="s">
        <v>42</v>
      </c>
      <c r="D966" s="4" t="s">
        <v>38</v>
      </c>
      <c r="E966" s="4" t="s">
        <v>25</v>
      </c>
      <c r="F966" s="4" t="s">
        <v>25</v>
      </c>
      <c r="G966" s="4" t="s">
        <v>25</v>
      </c>
      <c r="H966" s="4" t="s">
        <v>35</v>
      </c>
      <c r="I966" s="5">
        <v>44409</v>
      </c>
      <c r="J966" s="6">
        <v>0</v>
      </c>
      <c r="K966" s="6">
        <v>0</v>
      </c>
      <c r="L966" s="6">
        <v>8562.3870000000006</v>
      </c>
      <c r="M966" s="6">
        <v>8562.3870000000006</v>
      </c>
      <c r="N966" s="6">
        <v>8562.3870000000006</v>
      </c>
      <c r="O966" s="6">
        <v>8562.3870000000006</v>
      </c>
      <c r="P966" s="6">
        <v>0</v>
      </c>
      <c r="Q966" s="4" t="s">
        <v>26</v>
      </c>
      <c r="R966" s="4">
        <v>0</v>
      </c>
      <c r="S966" s="6">
        <v>0</v>
      </c>
      <c r="T966" s="6">
        <v>44</v>
      </c>
      <c r="U966" s="6">
        <v>67</v>
      </c>
      <c r="V966" s="6">
        <f>IF(ISERROR(VLOOKUP($S$966,'TAR FIN'!$A$1:$O$104,15,0)),0,VLOOKUP($S$966,'TAR FIN'!$A$1:$O$104,15,0))</f>
        <v>0</v>
      </c>
      <c r="W966" s="6">
        <f>IF(ISERROR(VLOOKUP($T$966,'TAR FIN'!$A$1:$O$104,15,0)),0,VLOOKUP($T$966,'TAR FIN'!$A$1:$O$104,15,0))</f>
        <v>62.57</v>
      </c>
      <c r="X966" s="6">
        <f>IF(ISERROR(VLOOKUP($U$966,'TAR FIN'!$A$1:$O$104,15,0)),0,VLOOKUP($U$966,'TAR FIN'!$A$1:$O$104,15,0))</f>
        <v>242.82</v>
      </c>
      <c r="Y966" s="6"/>
      <c r="Z966" s="6">
        <f ca="1">('TUSD BE'!$AM$26+'TUSD BF'!$AM$26+'TUSD CVA'!$AM$26)*1</f>
        <v>77.876201961015255</v>
      </c>
      <c r="AA966" s="6">
        <f>('TE BE'!$AB$8+'TE BF'!$AB$8+'TE CVA'!$AB$8)*1</f>
        <v>231.76257384332172</v>
      </c>
      <c r="AB966" s="6">
        <f>$K$966*$V$966</f>
        <v>0</v>
      </c>
      <c r="AC966" s="6">
        <f>$M$966*$W$966</f>
        <v>535748.55459000007</v>
      </c>
      <c r="AD966" s="6">
        <f>$O$966*$X$966</f>
        <v>2079118.81134</v>
      </c>
      <c r="AE966" s="6">
        <f>$K$966*$Y$966</f>
        <v>0</v>
      </c>
      <c r="AF966" s="6">
        <f ca="1">$M$966*$Z$966</f>
        <v>666806.17928037152</v>
      </c>
      <c r="AG966" s="6">
        <f>$O$966*$AA$966</f>
        <v>1984440.849362598</v>
      </c>
    </row>
    <row r="967" spans="1:33" ht="11.25" customHeight="1" x14ac:dyDescent="0.25">
      <c r="A967" s="4" t="s">
        <v>27</v>
      </c>
      <c r="B967" s="4" t="s">
        <v>41</v>
      </c>
      <c r="C967" s="4" t="s">
        <v>42</v>
      </c>
      <c r="D967" s="4" t="s">
        <v>38</v>
      </c>
      <c r="E967" s="4" t="s">
        <v>25</v>
      </c>
      <c r="F967" s="4" t="s">
        <v>25</v>
      </c>
      <c r="G967" s="4" t="s">
        <v>25</v>
      </c>
      <c r="H967" s="4" t="s">
        <v>35</v>
      </c>
      <c r="I967" s="5">
        <v>44409</v>
      </c>
      <c r="J967" s="6">
        <v>0</v>
      </c>
      <c r="K967" s="6">
        <v>0</v>
      </c>
      <c r="L967" s="6">
        <v>-3.2759999999999998</v>
      </c>
      <c r="M967" s="6">
        <v>-3.2759999999999998</v>
      </c>
      <c r="N967" s="6">
        <v>-3.2759999999999998</v>
      </c>
      <c r="O967" s="6">
        <v>-3.2759999999999998</v>
      </c>
      <c r="P967" s="6">
        <v>0</v>
      </c>
      <c r="Q967" s="4" t="s">
        <v>26</v>
      </c>
      <c r="R967" s="4">
        <v>0</v>
      </c>
      <c r="S967" s="6">
        <v>0</v>
      </c>
      <c r="T967" s="6">
        <v>44</v>
      </c>
      <c r="U967" s="6">
        <v>67</v>
      </c>
      <c r="V967" s="6">
        <f>IF(ISERROR(VLOOKUP($S$967,'TAR FIN'!$A$1:$O$104,15,0)),0,VLOOKUP($S$967,'TAR FIN'!$A$1:$O$104,15,0))</f>
        <v>0</v>
      </c>
      <c r="W967" s="6">
        <f>IF(ISERROR(VLOOKUP($T$967,'TAR FIN'!$A$1:$O$104,15,0)),0,VLOOKUP($T$967,'TAR FIN'!$A$1:$O$104,15,0))</f>
        <v>62.57</v>
      </c>
      <c r="X967" s="6">
        <f>IF(ISERROR(VLOOKUP($U$967,'TAR FIN'!$A$1:$O$104,15,0)),0,VLOOKUP($U$967,'TAR FIN'!$A$1:$O$104,15,0))</f>
        <v>242.82</v>
      </c>
      <c r="Y967" s="6"/>
      <c r="Z967" s="6">
        <f ca="1">('TUSD BE'!$AM$26+'TUSD BF'!$AM$26+'TUSD CVA'!$AM$26)*1</f>
        <v>77.876201961015255</v>
      </c>
      <c r="AA967" s="6">
        <f>('TE BE'!$AB$8+'TE BF'!$AB$8+'TE CVA'!$AB$8)*1</f>
        <v>231.76257384332172</v>
      </c>
      <c r="AB967" s="6">
        <f>$K$967*$V$967</f>
        <v>0</v>
      </c>
      <c r="AC967" s="6">
        <f>$M$967*$W$967</f>
        <v>-204.97932</v>
      </c>
      <c r="AD967" s="6">
        <f>$O$967*$X$967</f>
        <v>-795.47831999999994</v>
      </c>
      <c r="AE967" s="6">
        <f>$K$967*$Y$967</f>
        <v>0</v>
      </c>
      <c r="AF967" s="6">
        <f ca="1">$M$967*$Z$967</f>
        <v>-255.12243762428596</v>
      </c>
      <c r="AG967" s="6">
        <f>$O$967*$AA$967</f>
        <v>-759.25419191072194</v>
      </c>
    </row>
    <row r="968" spans="1:33" ht="11.25" customHeight="1" x14ac:dyDescent="0.25">
      <c r="A968" s="4" t="s">
        <v>28</v>
      </c>
      <c r="B968" s="4" t="s">
        <v>41</v>
      </c>
      <c r="C968" s="4" t="s">
        <v>42</v>
      </c>
      <c r="D968" s="4" t="s">
        <v>38</v>
      </c>
      <c r="E968" s="4" t="s">
        <v>25</v>
      </c>
      <c r="F968" s="4" t="s">
        <v>25</v>
      </c>
      <c r="G968" s="4" t="s">
        <v>25</v>
      </c>
      <c r="H968" s="4" t="s">
        <v>35</v>
      </c>
      <c r="I968" s="5">
        <v>44409</v>
      </c>
      <c r="J968" s="6">
        <v>0</v>
      </c>
      <c r="K968" s="6">
        <v>0</v>
      </c>
      <c r="L968" s="6">
        <v>488.25599999999997</v>
      </c>
      <c r="M968" s="6">
        <v>488.25599999999997</v>
      </c>
      <c r="N968" s="6">
        <v>488.25599999999997</v>
      </c>
      <c r="O968" s="6">
        <v>488.25599999999997</v>
      </c>
      <c r="P968" s="6">
        <v>0</v>
      </c>
      <c r="Q968" s="4" t="s">
        <v>26</v>
      </c>
      <c r="R968" s="4">
        <v>0</v>
      </c>
      <c r="S968" s="6">
        <v>0</v>
      </c>
      <c r="T968" s="6">
        <v>44</v>
      </c>
      <c r="U968" s="6">
        <v>67</v>
      </c>
      <c r="V968" s="6">
        <f>IF(ISERROR(VLOOKUP($S$968,'TAR FIN'!$A$1:$O$104,15,0)),0,VLOOKUP($S$968,'TAR FIN'!$A$1:$O$104,15,0))</f>
        <v>0</v>
      </c>
      <c r="W968" s="6">
        <f>IF(ISERROR(VLOOKUP($T$968,'TAR FIN'!$A$1:$O$104,15,0)),0,VLOOKUP($T$968,'TAR FIN'!$A$1:$O$104,15,0))</f>
        <v>62.57</v>
      </c>
      <c r="X968" s="6">
        <f>IF(ISERROR(VLOOKUP($U$968,'TAR FIN'!$A$1:$O$104,15,0)),0,VLOOKUP($U$968,'TAR FIN'!$A$1:$O$104,15,0))</f>
        <v>242.82</v>
      </c>
      <c r="Y968" s="6"/>
      <c r="Z968" s="6">
        <f ca="1">('TUSD BE'!$AM$26+'TUSD BF'!$AM$26+'TUSD CVA'!$AM$26)*1</f>
        <v>77.876201961015255</v>
      </c>
      <c r="AA968" s="6">
        <f>('TE BE'!$AB$8+'TE BF'!$AB$8+'TE CVA'!$AB$8)*1</f>
        <v>231.76257384332172</v>
      </c>
      <c r="AB968" s="6">
        <f>$K$968*$V$968</f>
        <v>0</v>
      </c>
      <c r="AC968" s="6">
        <f>$M$968*$W$968</f>
        <v>30550.177919999998</v>
      </c>
      <c r="AD968" s="6">
        <f>$O$968*$X$968</f>
        <v>118558.32191999999</v>
      </c>
      <c r="AE968" s="6">
        <f>$K$968*$Y$968</f>
        <v>0</v>
      </c>
      <c r="AF968" s="6">
        <f ca="1">$M$968*$Z$968</f>
        <v>38023.522864677463</v>
      </c>
      <c r="AG968" s="6">
        <f>$O$968*$AA$968</f>
        <v>113159.46725444488</v>
      </c>
    </row>
    <row r="969" spans="1:33" ht="11.25" customHeight="1" x14ac:dyDescent="0.25">
      <c r="A969" s="4" t="s">
        <v>21</v>
      </c>
      <c r="B969" s="4" t="s">
        <v>41</v>
      </c>
      <c r="C969" s="4" t="s">
        <v>42</v>
      </c>
      <c r="D969" s="4" t="s">
        <v>38</v>
      </c>
      <c r="E969" s="4" t="s">
        <v>25</v>
      </c>
      <c r="F969" s="4" t="s">
        <v>25</v>
      </c>
      <c r="G969" s="4" t="s">
        <v>25</v>
      </c>
      <c r="H969" s="4" t="s">
        <v>35</v>
      </c>
      <c r="I969" s="5">
        <v>44409</v>
      </c>
      <c r="J969" s="6">
        <v>0</v>
      </c>
      <c r="K969" s="6">
        <v>0</v>
      </c>
      <c r="L969" s="6">
        <v>634.74599999999998</v>
      </c>
      <c r="M969" s="6">
        <v>634.74599999999998</v>
      </c>
      <c r="N969" s="6">
        <v>0</v>
      </c>
      <c r="O969" s="6">
        <v>0</v>
      </c>
      <c r="P969" s="6">
        <v>0</v>
      </c>
      <c r="Q969" s="4" t="s">
        <v>58</v>
      </c>
      <c r="R969" s="4">
        <v>0</v>
      </c>
      <c r="S969" s="6">
        <v>0</v>
      </c>
      <c r="T969" s="6">
        <v>44</v>
      </c>
      <c r="U969" s="6">
        <v>0</v>
      </c>
      <c r="V969" s="6">
        <f>IF(ISERROR(VLOOKUP($S$969,'TAR FIN'!$A$1:$O$104,15,0)),0,VLOOKUP($S$969,'TAR FIN'!$A$1:$O$104,15,0))</f>
        <v>0</v>
      </c>
      <c r="W969" s="6">
        <f>IF(ISERROR(VLOOKUP($T$969,'TAR FIN'!$A$1:$O$104,15,0)),0,VLOOKUP($T$969,'TAR FIN'!$A$1:$O$104,15,0))</f>
        <v>62.57</v>
      </c>
      <c r="X969" s="6">
        <f>IF(ISERROR(VLOOKUP($U$969,'TAR FIN'!$A$1:$O$104,15,0)),0,VLOOKUP($U$969,'TAR FIN'!$A$1:$O$104,15,0))</f>
        <v>0</v>
      </c>
      <c r="Y969" s="6"/>
      <c r="Z969" s="6">
        <f ca="1">('TUSD BE'!$AM$26+'TUSD BF'!$AM$26+'TUSD CVA'!$AM$26)*1</f>
        <v>77.876201961015255</v>
      </c>
      <c r="AA969" s="6"/>
      <c r="AB969" s="6">
        <f>$K$969*$V$969</f>
        <v>0</v>
      </c>
      <c r="AC969" s="6">
        <f>$M$969*$W$969</f>
        <v>39716.057220000002</v>
      </c>
      <c r="AD969" s="6">
        <f>$O$969*$X$969</f>
        <v>0</v>
      </c>
      <c r="AE969" s="6">
        <f>$K$969*$Y$969</f>
        <v>0</v>
      </c>
      <c r="AF969" s="6">
        <f ca="1">$M$969*$Z$969</f>
        <v>49431.607689946584</v>
      </c>
      <c r="AG969" s="6">
        <f>$O$969*$AA$969</f>
        <v>0</v>
      </c>
    </row>
    <row r="970" spans="1:33" ht="11.25" customHeight="1" x14ac:dyDescent="0.25">
      <c r="A970" s="4" t="s">
        <v>21</v>
      </c>
      <c r="B970" s="4" t="s">
        <v>41</v>
      </c>
      <c r="C970" s="4" t="s">
        <v>42</v>
      </c>
      <c r="D970" s="4" t="s">
        <v>38</v>
      </c>
      <c r="E970" s="4" t="s">
        <v>25</v>
      </c>
      <c r="F970" s="4" t="s">
        <v>25</v>
      </c>
      <c r="G970" s="4" t="s">
        <v>25</v>
      </c>
      <c r="H970" s="4" t="s">
        <v>35</v>
      </c>
      <c r="I970" s="5">
        <v>44440</v>
      </c>
      <c r="J970" s="6">
        <v>0</v>
      </c>
      <c r="K970" s="6">
        <v>0</v>
      </c>
      <c r="L970" s="6">
        <v>8507.3719999999994</v>
      </c>
      <c r="M970" s="6">
        <v>8507.3719999999994</v>
      </c>
      <c r="N970" s="6">
        <v>8507.3719999999994</v>
      </c>
      <c r="O970" s="6">
        <v>8507.3719999999994</v>
      </c>
      <c r="P970" s="6">
        <v>0</v>
      </c>
      <c r="Q970" s="4" t="s">
        <v>26</v>
      </c>
      <c r="R970" s="4">
        <v>0</v>
      </c>
      <c r="S970" s="6">
        <v>0</v>
      </c>
      <c r="T970" s="6">
        <v>44</v>
      </c>
      <c r="U970" s="6">
        <v>67</v>
      </c>
      <c r="V970" s="6">
        <f>IF(ISERROR(VLOOKUP($S$970,'TAR FIN'!$A$1:$O$104,15,0)),0,VLOOKUP($S$970,'TAR FIN'!$A$1:$O$104,15,0))</f>
        <v>0</v>
      </c>
      <c r="W970" s="6">
        <f>IF(ISERROR(VLOOKUP($T$970,'TAR FIN'!$A$1:$O$104,15,0)),0,VLOOKUP($T$970,'TAR FIN'!$A$1:$O$104,15,0))</f>
        <v>62.57</v>
      </c>
      <c r="X970" s="6">
        <f>IF(ISERROR(VLOOKUP($U$970,'TAR FIN'!$A$1:$O$104,15,0)),0,VLOOKUP($U$970,'TAR FIN'!$A$1:$O$104,15,0))</f>
        <v>242.82</v>
      </c>
      <c r="Y970" s="6"/>
      <c r="Z970" s="6">
        <f ca="1">('TUSD BE'!$AM$26+'TUSD BF'!$AM$26+'TUSD CVA'!$AM$26)*1</f>
        <v>77.876201961015255</v>
      </c>
      <c r="AA970" s="6">
        <f>('TE BE'!$AB$8+'TE BF'!$AB$8+'TE CVA'!$AB$8)*1</f>
        <v>231.76257384332172</v>
      </c>
      <c r="AB970" s="6">
        <f>$K$970*$V$970</f>
        <v>0</v>
      </c>
      <c r="AC970" s="6">
        <f>$M$970*$W$970</f>
        <v>532306.26604000002</v>
      </c>
      <c r="AD970" s="6">
        <f>$O$970*$X$970</f>
        <v>2065760.0690399997</v>
      </c>
      <c r="AE970" s="6">
        <f>$K$970*$Y$970</f>
        <v>0</v>
      </c>
      <c r="AF970" s="6">
        <f ca="1">$M$970*$Z$970</f>
        <v>662521.8200294862</v>
      </c>
      <c r="AG970" s="6">
        <f>$O$970*$AA$970</f>
        <v>1971690.4313626075</v>
      </c>
    </row>
    <row r="971" spans="1:33" ht="11.25" customHeight="1" x14ac:dyDescent="0.25">
      <c r="A971" s="4" t="s">
        <v>28</v>
      </c>
      <c r="B971" s="4" t="s">
        <v>41</v>
      </c>
      <c r="C971" s="4" t="s">
        <v>42</v>
      </c>
      <c r="D971" s="4" t="s">
        <v>38</v>
      </c>
      <c r="E971" s="4" t="s">
        <v>25</v>
      </c>
      <c r="F971" s="4" t="s">
        <v>25</v>
      </c>
      <c r="G971" s="4" t="s">
        <v>25</v>
      </c>
      <c r="H971" s="4" t="s">
        <v>35</v>
      </c>
      <c r="I971" s="5">
        <v>44440</v>
      </c>
      <c r="J971" s="6">
        <v>0</v>
      </c>
      <c r="K971" s="6">
        <v>0</v>
      </c>
      <c r="L971" s="6">
        <v>452.24900000000002</v>
      </c>
      <c r="M971" s="6">
        <v>452.24900000000002</v>
      </c>
      <c r="N971" s="6">
        <v>452.24900000000002</v>
      </c>
      <c r="O971" s="6">
        <v>452.24900000000002</v>
      </c>
      <c r="P971" s="6">
        <v>0</v>
      </c>
      <c r="Q971" s="4" t="s">
        <v>26</v>
      </c>
      <c r="R971" s="4">
        <v>0</v>
      </c>
      <c r="S971" s="6">
        <v>0</v>
      </c>
      <c r="T971" s="6">
        <v>44</v>
      </c>
      <c r="U971" s="6">
        <v>67</v>
      </c>
      <c r="V971" s="6">
        <f>IF(ISERROR(VLOOKUP($S$971,'TAR FIN'!$A$1:$O$104,15,0)),0,VLOOKUP($S$971,'TAR FIN'!$A$1:$O$104,15,0))</f>
        <v>0</v>
      </c>
      <c r="W971" s="6">
        <f>IF(ISERROR(VLOOKUP($T$971,'TAR FIN'!$A$1:$O$104,15,0)),0,VLOOKUP($T$971,'TAR FIN'!$A$1:$O$104,15,0))</f>
        <v>62.57</v>
      </c>
      <c r="X971" s="6">
        <f>IF(ISERROR(VLOOKUP($U$971,'TAR FIN'!$A$1:$O$104,15,0)),0,VLOOKUP($U$971,'TAR FIN'!$A$1:$O$104,15,0))</f>
        <v>242.82</v>
      </c>
      <c r="Y971" s="6"/>
      <c r="Z971" s="6">
        <f ca="1">('TUSD BE'!$AM$26+'TUSD BF'!$AM$26+'TUSD CVA'!$AM$26)*1</f>
        <v>77.876201961015255</v>
      </c>
      <c r="AA971" s="6">
        <f>('TE BE'!$AB$8+'TE BF'!$AB$8+'TE CVA'!$AB$8)*1</f>
        <v>231.76257384332172</v>
      </c>
      <c r="AB971" s="6">
        <f>$K$971*$V$971</f>
        <v>0</v>
      </c>
      <c r="AC971" s="6">
        <f>$M$971*$W$971</f>
        <v>28297.219930000003</v>
      </c>
      <c r="AD971" s="6">
        <f>$O$971*$X$971</f>
        <v>109815.10218</v>
      </c>
      <c r="AE971" s="6">
        <f>$K$971*$Y$971</f>
        <v>0</v>
      </c>
      <c r="AF971" s="6">
        <f ca="1">$M$971*$Z$971</f>
        <v>35219.434460667188</v>
      </c>
      <c r="AG971" s="6">
        <f>$O$971*$AA$971</f>
        <v>104814.39225806842</v>
      </c>
    </row>
    <row r="972" spans="1:33" ht="11.25" customHeight="1" x14ac:dyDescent="0.25">
      <c r="A972" s="4" t="s">
        <v>21</v>
      </c>
      <c r="B972" s="4" t="s">
        <v>41</v>
      </c>
      <c r="C972" s="4" t="s">
        <v>42</v>
      </c>
      <c r="D972" s="4" t="s">
        <v>38</v>
      </c>
      <c r="E972" s="4" t="s">
        <v>25</v>
      </c>
      <c r="F972" s="4" t="s">
        <v>25</v>
      </c>
      <c r="G972" s="4" t="s">
        <v>25</v>
      </c>
      <c r="H972" s="4" t="s">
        <v>35</v>
      </c>
      <c r="I972" s="5">
        <v>44440</v>
      </c>
      <c r="J972" s="6">
        <v>0</v>
      </c>
      <c r="K972" s="6">
        <v>0</v>
      </c>
      <c r="L972" s="6">
        <v>635.75400000000002</v>
      </c>
      <c r="M972" s="6">
        <v>635.75400000000002</v>
      </c>
      <c r="N972" s="6">
        <v>0</v>
      </c>
      <c r="O972" s="6">
        <v>0</v>
      </c>
      <c r="P972" s="6">
        <v>0</v>
      </c>
      <c r="Q972" s="4" t="s">
        <v>58</v>
      </c>
      <c r="R972" s="4">
        <v>0</v>
      </c>
      <c r="S972" s="6">
        <v>0</v>
      </c>
      <c r="T972" s="6">
        <v>44</v>
      </c>
      <c r="U972" s="6">
        <v>0</v>
      </c>
      <c r="V972" s="6">
        <f>IF(ISERROR(VLOOKUP($S$972,'TAR FIN'!$A$1:$O$104,15,0)),0,VLOOKUP($S$972,'TAR FIN'!$A$1:$O$104,15,0))</f>
        <v>0</v>
      </c>
      <c r="W972" s="6">
        <f>IF(ISERROR(VLOOKUP($T$972,'TAR FIN'!$A$1:$O$104,15,0)),0,VLOOKUP($T$972,'TAR FIN'!$A$1:$O$104,15,0))</f>
        <v>62.57</v>
      </c>
      <c r="X972" s="6">
        <f>IF(ISERROR(VLOOKUP($U$972,'TAR FIN'!$A$1:$O$104,15,0)),0,VLOOKUP($U$972,'TAR FIN'!$A$1:$O$104,15,0))</f>
        <v>0</v>
      </c>
      <c r="Y972" s="6"/>
      <c r="Z972" s="6">
        <f ca="1">('TUSD BE'!$AM$26+'TUSD BF'!$AM$26+'TUSD CVA'!$AM$26)*1</f>
        <v>77.876201961015255</v>
      </c>
      <c r="AA972" s="6"/>
      <c r="AB972" s="6">
        <f>$K$972*$V$972</f>
        <v>0</v>
      </c>
      <c r="AC972" s="6">
        <f>$M$972*$W$972</f>
        <v>39779.127780000003</v>
      </c>
      <c r="AD972" s="6">
        <f>$O$972*$X$972</f>
        <v>0</v>
      </c>
      <c r="AE972" s="6">
        <f>$K$972*$Y$972</f>
        <v>0</v>
      </c>
      <c r="AF972" s="6">
        <f ca="1">$M$972*$Z$972</f>
        <v>49510.106901523293</v>
      </c>
      <c r="AG972" s="6">
        <f>$O$972*$AA$972</f>
        <v>0</v>
      </c>
    </row>
    <row r="973" spans="1:33" ht="11.25" customHeight="1" x14ac:dyDescent="0.25">
      <c r="A973" s="4" t="s">
        <v>21</v>
      </c>
      <c r="B973" s="4" t="s">
        <v>41</v>
      </c>
      <c r="C973" s="4" t="s">
        <v>42</v>
      </c>
      <c r="D973" s="4" t="s">
        <v>38</v>
      </c>
      <c r="E973" s="4" t="s">
        <v>25</v>
      </c>
      <c r="F973" s="4" t="s">
        <v>25</v>
      </c>
      <c r="G973" s="4" t="s">
        <v>25</v>
      </c>
      <c r="H973" s="4" t="s">
        <v>35</v>
      </c>
      <c r="I973" s="5">
        <v>44470</v>
      </c>
      <c r="J973" s="6">
        <v>0</v>
      </c>
      <c r="K973" s="6">
        <v>0</v>
      </c>
      <c r="L973" s="6">
        <v>8686.9719999999998</v>
      </c>
      <c r="M973" s="6">
        <v>8686.9719999999998</v>
      </c>
      <c r="N973" s="6">
        <v>8686.9719999999998</v>
      </c>
      <c r="O973" s="6">
        <v>8686.9719999999998</v>
      </c>
      <c r="P973" s="6">
        <v>0</v>
      </c>
      <c r="Q973" s="4" t="s">
        <v>26</v>
      </c>
      <c r="R973" s="4">
        <v>0</v>
      </c>
      <c r="S973" s="6">
        <v>0</v>
      </c>
      <c r="T973" s="6">
        <v>44</v>
      </c>
      <c r="U973" s="6">
        <v>67</v>
      </c>
      <c r="V973" s="6">
        <f>IF(ISERROR(VLOOKUP($S$973,'TAR FIN'!$A$1:$O$104,15,0)),0,VLOOKUP($S$973,'TAR FIN'!$A$1:$O$104,15,0))</f>
        <v>0</v>
      </c>
      <c r="W973" s="6">
        <f>IF(ISERROR(VLOOKUP($T$973,'TAR FIN'!$A$1:$O$104,15,0)),0,VLOOKUP($T$973,'TAR FIN'!$A$1:$O$104,15,0))</f>
        <v>62.57</v>
      </c>
      <c r="X973" s="6">
        <f>IF(ISERROR(VLOOKUP($U$973,'TAR FIN'!$A$1:$O$104,15,0)),0,VLOOKUP($U$973,'TAR FIN'!$A$1:$O$104,15,0))</f>
        <v>242.82</v>
      </c>
      <c r="Y973" s="6"/>
      <c r="Z973" s="6">
        <f ca="1">('TUSD BE'!$AM$26+'TUSD BF'!$AM$26+'TUSD CVA'!$AM$26)*1</f>
        <v>77.876201961015255</v>
      </c>
      <c r="AA973" s="6">
        <f>('TE BE'!$AB$8+'TE BF'!$AB$8+'TE CVA'!$AB$8)*1</f>
        <v>231.76257384332172</v>
      </c>
      <c r="AB973" s="6">
        <f>$K$973*$V$973</f>
        <v>0</v>
      </c>
      <c r="AC973" s="6">
        <f>$M$973*$W$973</f>
        <v>543543.83803999994</v>
      </c>
      <c r="AD973" s="6">
        <f>$O$973*$X$973</f>
        <v>2109370.54104</v>
      </c>
      <c r="AE973" s="6">
        <f>$K$973*$Y$973</f>
        <v>0</v>
      </c>
      <c r="AF973" s="6">
        <f ca="1">$M$973*$Z$973</f>
        <v>676508.38590168464</v>
      </c>
      <c r="AG973" s="6">
        <f>$O$973*$AA$973</f>
        <v>2013314.9896248681</v>
      </c>
    </row>
    <row r="974" spans="1:33" ht="11.25" customHeight="1" x14ac:dyDescent="0.25">
      <c r="A974" s="4" t="s">
        <v>28</v>
      </c>
      <c r="B974" s="4" t="s">
        <v>41</v>
      </c>
      <c r="C974" s="4" t="s">
        <v>42</v>
      </c>
      <c r="D974" s="4" t="s">
        <v>38</v>
      </c>
      <c r="E974" s="4" t="s">
        <v>25</v>
      </c>
      <c r="F974" s="4" t="s">
        <v>25</v>
      </c>
      <c r="G974" s="4" t="s">
        <v>25</v>
      </c>
      <c r="H974" s="4" t="s">
        <v>35</v>
      </c>
      <c r="I974" s="5">
        <v>44470</v>
      </c>
      <c r="J974" s="6">
        <v>0</v>
      </c>
      <c r="K974" s="6">
        <v>0</v>
      </c>
      <c r="L974" s="6">
        <v>495.75900000000001</v>
      </c>
      <c r="M974" s="6">
        <v>495.75900000000001</v>
      </c>
      <c r="N974" s="6">
        <v>495.75900000000001</v>
      </c>
      <c r="O974" s="6">
        <v>495.75900000000001</v>
      </c>
      <c r="P974" s="6">
        <v>0</v>
      </c>
      <c r="Q974" s="4" t="s">
        <v>26</v>
      </c>
      <c r="R974" s="4">
        <v>0</v>
      </c>
      <c r="S974" s="6">
        <v>0</v>
      </c>
      <c r="T974" s="6">
        <v>44</v>
      </c>
      <c r="U974" s="6">
        <v>67</v>
      </c>
      <c r="V974" s="6">
        <f>IF(ISERROR(VLOOKUP($S$974,'TAR FIN'!$A$1:$O$104,15,0)),0,VLOOKUP($S$974,'TAR FIN'!$A$1:$O$104,15,0))</f>
        <v>0</v>
      </c>
      <c r="W974" s="6">
        <f>IF(ISERROR(VLOOKUP($T$974,'TAR FIN'!$A$1:$O$104,15,0)),0,VLOOKUP($T$974,'TAR FIN'!$A$1:$O$104,15,0))</f>
        <v>62.57</v>
      </c>
      <c r="X974" s="6">
        <f>IF(ISERROR(VLOOKUP($U$974,'TAR FIN'!$A$1:$O$104,15,0)),0,VLOOKUP($U$974,'TAR FIN'!$A$1:$O$104,15,0))</f>
        <v>242.82</v>
      </c>
      <c r="Y974" s="6"/>
      <c r="Z974" s="6">
        <f ca="1">('TUSD BE'!$AM$26+'TUSD BF'!$AM$26+'TUSD CVA'!$AM$26)*1</f>
        <v>77.876201961015255</v>
      </c>
      <c r="AA974" s="6">
        <f>('TE BE'!$AB$8+'TE BF'!$AB$8+'TE CVA'!$AB$8)*1</f>
        <v>231.76257384332172</v>
      </c>
      <c r="AB974" s="6">
        <f>$K$974*$V$974</f>
        <v>0</v>
      </c>
      <c r="AC974" s="6">
        <f>$M$974*$W$974</f>
        <v>31019.640630000002</v>
      </c>
      <c r="AD974" s="6">
        <f>$O$974*$X$974</f>
        <v>120380.20037999999</v>
      </c>
      <c r="AE974" s="6">
        <f>$K$974*$Y$974</f>
        <v>0</v>
      </c>
      <c r="AF974" s="6">
        <f ca="1">$M$974*$Z$974</f>
        <v>38607.82800799096</v>
      </c>
      <c r="AG974" s="6">
        <f>$O$974*$AA$974</f>
        <v>114898.38184599133</v>
      </c>
    </row>
    <row r="975" spans="1:33" ht="11.25" customHeight="1" x14ac:dyDescent="0.25">
      <c r="A975" s="4" t="s">
        <v>28</v>
      </c>
      <c r="B975" s="4" t="s">
        <v>41</v>
      </c>
      <c r="C975" s="4" t="s">
        <v>42</v>
      </c>
      <c r="D975" s="4" t="s">
        <v>38</v>
      </c>
      <c r="E975" s="4" t="s">
        <v>25</v>
      </c>
      <c r="F975" s="4" t="s">
        <v>25</v>
      </c>
      <c r="G975" s="4" t="s">
        <v>25</v>
      </c>
      <c r="H975" s="4" t="s">
        <v>35</v>
      </c>
      <c r="I975" s="5">
        <v>44470</v>
      </c>
      <c r="J975" s="6">
        <v>0</v>
      </c>
      <c r="K975" s="6">
        <v>0</v>
      </c>
      <c r="L975" s="6">
        <v>-3.7570000000000001</v>
      </c>
      <c r="M975" s="6">
        <v>-3.7570000000000001</v>
      </c>
      <c r="N975" s="6">
        <v>-3.7570000000000001</v>
      </c>
      <c r="O975" s="6">
        <v>-3.7570000000000001</v>
      </c>
      <c r="P975" s="6">
        <v>0</v>
      </c>
      <c r="Q975" s="4" t="s">
        <v>26</v>
      </c>
      <c r="R975" s="4">
        <v>0</v>
      </c>
      <c r="S975" s="6">
        <v>0</v>
      </c>
      <c r="T975" s="6">
        <v>44</v>
      </c>
      <c r="U975" s="6">
        <v>67</v>
      </c>
      <c r="V975" s="6">
        <f>IF(ISERROR(VLOOKUP($S$975,'TAR FIN'!$A$1:$O$104,15,0)),0,VLOOKUP($S$975,'TAR FIN'!$A$1:$O$104,15,0))</f>
        <v>0</v>
      </c>
      <c r="W975" s="6">
        <f>IF(ISERROR(VLOOKUP($T$975,'TAR FIN'!$A$1:$O$104,15,0)),0,VLOOKUP($T$975,'TAR FIN'!$A$1:$O$104,15,0))</f>
        <v>62.57</v>
      </c>
      <c r="X975" s="6">
        <f>IF(ISERROR(VLOOKUP($U$975,'TAR FIN'!$A$1:$O$104,15,0)),0,VLOOKUP($U$975,'TAR FIN'!$A$1:$O$104,15,0))</f>
        <v>242.82</v>
      </c>
      <c r="Y975" s="6"/>
      <c r="Z975" s="6">
        <f ca="1">('TUSD BE'!$AM$26+'TUSD BF'!$AM$26+'TUSD CVA'!$AM$26)*1</f>
        <v>77.876201961015255</v>
      </c>
      <c r="AA975" s="6">
        <f>('TE BE'!$AB$8+'TE BF'!$AB$8+'TE CVA'!$AB$8)*1</f>
        <v>231.76257384332172</v>
      </c>
      <c r="AB975" s="6">
        <f>$K$975*$V$975</f>
        <v>0</v>
      </c>
      <c r="AC975" s="6">
        <f>$M$975*$W$975</f>
        <v>-235.07549</v>
      </c>
      <c r="AD975" s="6">
        <f>$O$975*$X$975</f>
        <v>-912.27473999999995</v>
      </c>
      <c r="AE975" s="6">
        <f>$K$975*$Y$975</f>
        <v>0</v>
      </c>
      <c r="AF975" s="6">
        <f ca="1">$M$975*$Z$975</f>
        <v>-292.5808907675343</v>
      </c>
      <c r="AG975" s="6">
        <f>$O$975*$AA$975</f>
        <v>-870.73198992935977</v>
      </c>
    </row>
    <row r="976" spans="1:33" ht="11.25" customHeight="1" x14ac:dyDescent="0.25">
      <c r="A976" s="4" t="s">
        <v>21</v>
      </c>
      <c r="B976" s="4" t="s">
        <v>41</v>
      </c>
      <c r="C976" s="4" t="s">
        <v>42</v>
      </c>
      <c r="D976" s="4" t="s">
        <v>38</v>
      </c>
      <c r="E976" s="4" t="s">
        <v>25</v>
      </c>
      <c r="F976" s="4" t="s">
        <v>25</v>
      </c>
      <c r="G976" s="4" t="s">
        <v>25</v>
      </c>
      <c r="H976" s="4" t="s">
        <v>35</v>
      </c>
      <c r="I976" s="5">
        <v>44470</v>
      </c>
      <c r="J976" s="6">
        <v>0</v>
      </c>
      <c r="K976" s="6">
        <v>0</v>
      </c>
      <c r="L976" s="6">
        <v>749.30499999999995</v>
      </c>
      <c r="M976" s="6">
        <v>749.30499999999995</v>
      </c>
      <c r="N976" s="6">
        <v>0</v>
      </c>
      <c r="O976" s="6">
        <v>0</v>
      </c>
      <c r="P976" s="6">
        <v>0</v>
      </c>
      <c r="Q976" s="4" t="s">
        <v>58</v>
      </c>
      <c r="R976" s="4">
        <v>0</v>
      </c>
      <c r="S976" s="6">
        <v>0</v>
      </c>
      <c r="T976" s="6">
        <v>44</v>
      </c>
      <c r="U976" s="6">
        <v>0</v>
      </c>
      <c r="V976" s="6">
        <f>IF(ISERROR(VLOOKUP($S$976,'TAR FIN'!$A$1:$O$104,15,0)),0,VLOOKUP($S$976,'TAR FIN'!$A$1:$O$104,15,0))</f>
        <v>0</v>
      </c>
      <c r="W976" s="6">
        <f>IF(ISERROR(VLOOKUP($T$976,'TAR FIN'!$A$1:$O$104,15,0)),0,VLOOKUP($T$976,'TAR FIN'!$A$1:$O$104,15,0))</f>
        <v>62.57</v>
      </c>
      <c r="X976" s="6">
        <f>IF(ISERROR(VLOOKUP($U$976,'TAR FIN'!$A$1:$O$104,15,0)),0,VLOOKUP($U$976,'TAR FIN'!$A$1:$O$104,15,0))</f>
        <v>0</v>
      </c>
      <c r="Y976" s="6"/>
      <c r="Z976" s="6">
        <f ca="1">('TUSD BE'!$AM$26+'TUSD BF'!$AM$26+'TUSD CVA'!$AM$26)*1</f>
        <v>77.876201961015255</v>
      </c>
      <c r="AA976" s="6"/>
      <c r="AB976" s="6">
        <f>$K$976*$V$976</f>
        <v>0</v>
      </c>
      <c r="AC976" s="6">
        <f>$M$976*$W$976</f>
        <v>46884.013849999996</v>
      </c>
      <c r="AD976" s="6">
        <f>$O$976*$X$976</f>
        <v>0</v>
      </c>
      <c r="AE976" s="6">
        <f>$K$976*$Y$976</f>
        <v>0</v>
      </c>
      <c r="AF976" s="6">
        <f ca="1">$M$976*$Z$976</f>
        <v>58353.027510398533</v>
      </c>
      <c r="AG976" s="6">
        <f>$O$976*$AA$976</f>
        <v>0</v>
      </c>
    </row>
    <row r="977" spans="1:33" ht="11.25" customHeight="1" x14ac:dyDescent="0.25">
      <c r="A977" s="4" t="s">
        <v>21</v>
      </c>
      <c r="B977" s="4" t="s">
        <v>41</v>
      </c>
      <c r="C977" s="4" t="s">
        <v>42</v>
      </c>
      <c r="D977" s="4" t="s">
        <v>38</v>
      </c>
      <c r="E977" s="4" t="s">
        <v>25</v>
      </c>
      <c r="F977" s="4" t="s">
        <v>25</v>
      </c>
      <c r="G977" s="4" t="s">
        <v>25</v>
      </c>
      <c r="H977" s="4" t="s">
        <v>35</v>
      </c>
      <c r="I977" s="5">
        <v>44501</v>
      </c>
      <c r="J977" s="6">
        <v>0</v>
      </c>
      <c r="K977" s="6">
        <v>0</v>
      </c>
      <c r="L977" s="6">
        <v>8424.3109999999997</v>
      </c>
      <c r="M977" s="6">
        <v>8424.3109999999997</v>
      </c>
      <c r="N977" s="6">
        <v>8424.3109999999997</v>
      </c>
      <c r="O977" s="6">
        <v>8424.3109999999997</v>
      </c>
      <c r="P977" s="6">
        <v>0</v>
      </c>
      <c r="Q977" s="4" t="s">
        <v>26</v>
      </c>
      <c r="R977" s="4">
        <v>0</v>
      </c>
      <c r="S977" s="6">
        <v>0</v>
      </c>
      <c r="T977" s="6">
        <v>44</v>
      </c>
      <c r="U977" s="6">
        <v>67</v>
      </c>
      <c r="V977" s="6">
        <f>IF(ISERROR(VLOOKUP($S$977,'TAR FIN'!$A$1:$O$104,15,0)),0,VLOOKUP($S$977,'TAR FIN'!$A$1:$O$104,15,0))</f>
        <v>0</v>
      </c>
      <c r="W977" s="6">
        <f>IF(ISERROR(VLOOKUP($T$977,'TAR FIN'!$A$1:$O$104,15,0)),0,VLOOKUP($T$977,'TAR FIN'!$A$1:$O$104,15,0))</f>
        <v>62.57</v>
      </c>
      <c r="X977" s="6">
        <f>IF(ISERROR(VLOOKUP($U$977,'TAR FIN'!$A$1:$O$104,15,0)),0,VLOOKUP($U$977,'TAR FIN'!$A$1:$O$104,15,0))</f>
        <v>242.82</v>
      </c>
      <c r="Y977" s="6"/>
      <c r="Z977" s="6">
        <f ca="1">('TUSD BE'!$AM$26+'TUSD BF'!$AM$26+'TUSD CVA'!$AM$26)*1</f>
        <v>77.876201961015255</v>
      </c>
      <c r="AA977" s="6">
        <f>('TE BE'!$AB$8+'TE BF'!$AB$8+'TE CVA'!$AB$8)*1</f>
        <v>231.76257384332172</v>
      </c>
      <c r="AB977" s="6">
        <f>$K$977*$V$977</f>
        <v>0</v>
      </c>
      <c r="AC977" s="6">
        <f>$M$977*$W$977</f>
        <v>527109.13926999993</v>
      </c>
      <c r="AD977" s="6">
        <f>$O$977*$X$977</f>
        <v>2045591.1970199998</v>
      </c>
      <c r="AE977" s="6">
        <f>$K$977*$Y$977</f>
        <v>0</v>
      </c>
      <c r="AF977" s="6">
        <f ca="1">$M$977*$Z$977</f>
        <v>656053.34481840231</v>
      </c>
      <c r="AG977" s="6">
        <f>$O$977*$AA$977</f>
        <v>1952440.0002166075</v>
      </c>
    </row>
    <row r="978" spans="1:33" ht="11.25" customHeight="1" x14ac:dyDescent="0.25">
      <c r="A978" s="4" t="s">
        <v>27</v>
      </c>
      <c r="B978" s="4" t="s">
        <v>41</v>
      </c>
      <c r="C978" s="4" t="s">
        <v>42</v>
      </c>
      <c r="D978" s="4" t="s">
        <v>38</v>
      </c>
      <c r="E978" s="4" t="s">
        <v>25</v>
      </c>
      <c r="F978" s="4" t="s">
        <v>25</v>
      </c>
      <c r="G978" s="4" t="s">
        <v>25</v>
      </c>
      <c r="H978" s="4" t="s">
        <v>35</v>
      </c>
      <c r="I978" s="5">
        <v>44501</v>
      </c>
      <c r="J978" s="6">
        <v>0</v>
      </c>
      <c r="K978" s="6">
        <v>0</v>
      </c>
      <c r="L978" s="6">
        <v>-4.5609999999999999</v>
      </c>
      <c r="M978" s="6">
        <v>-4.5609999999999999</v>
      </c>
      <c r="N978" s="6">
        <v>-4.5609999999999999</v>
      </c>
      <c r="O978" s="6">
        <v>-4.5609999999999999</v>
      </c>
      <c r="P978" s="6">
        <v>0</v>
      </c>
      <c r="Q978" s="4" t="s">
        <v>26</v>
      </c>
      <c r="R978" s="4">
        <v>0</v>
      </c>
      <c r="S978" s="6">
        <v>0</v>
      </c>
      <c r="T978" s="6">
        <v>44</v>
      </c>
      <c r="U978" s="6">
        <v>67</v>
      </c>
      <c r="V978" s="6">
        <f>IF(ISERROR(VLOOKUP($S$978,'TAR FIN'!$A$1:$O$104,15,0)),0,VLOOKUP($S$978,'TAR FIN'!$A$1:$O$104,15,0))</f>
        <v>0</v>
      </c>
      <c r="W978" s="6">
        <f>IF(ISERROR(VLOOKUP($T$978,'TAR FIN'!$A$1:$O$104,15,0)),0,VLOOKUP($T$978,'TAR FIN'!$A$1:$O$104,15,0))</f>
        <v>62.57</v>
      </c>
      <c r="X978" s="6">
        <f>IF(ISERROR(VLOOKUP($U$978,'TAR FIN'!$A$1:$O$104,15,0)),0,VLOOKUP($U$978,'TAR FIN'!$A$1:$O$104,15,0))</f>
        <v>242.82</v>
      </c>
      <c r="Y978" s="6"/>
      <c r="Z978" s="6">
        <f ca="1">('TUSD BE'!$AM$26+'TUSD BF'!$AM$26+'TUSD CVA'!$AM$26)*1</f>
        <v>77.876201961015255</v>
      </c>
      <c r="AA978" s="6">
        <f>('TE BE'!$AB$8+'TE BF'!$AB$8+'TE CVA'!$AB$8)*1</f>
        <v>231.76257384332172</v>
      </c>
      <c r="AB978" s="6">
        <f>$K$978*$V$978</f>
        <v>0</v>
      </c>
      <c r="AC978" s="6">
        <f>$M$978*$W$978</f>
        <v>-285.38177000000002</v>
      </c>
      <c r="AD978" s="6">
        <f>$O$978*$X$978</f>
        <v>-1107.5020199999999</v>
      </c>
      <c r="AE978" s="6">
        <f>$K$978*$Y$978</f>
        <v>0</v>
      </c>
      <c r="AF978" s="6">
        <f ca="1">$M$978*$Z$978</f>
        <v>-355.1933571441906</v>
      </c>
      <c r="AG978" s="6">
        <f>$O$978*$AA$978</f>
        <v>-1057.0690992993902</v>
      </c>
    </row>
    <row r="979" spans="1:33" ht="11.25" customHeight="1" x14ac:dyDescent="0.25">
      <c r="A979" s="4" t="s">
        <v>28</v>
      </c>
      <c r="B979" s="4" t="s">
        <v>41</v>
      </c>
      <c r="C979" s="4" t="s">
        <v>42</v>
      </c>
      <c r="D979" s="4" t="s">
        <v>38</v>
      </c>
      <c r="E979" s="4" t="s">
        <v>25</v>
      </c>
      <c r="F979" s="4" t="s">
        <v>25</v>
      </c>
      <c r="G979" s="4" t="s">
        <v>25</v>
      </c>
      <c r="H979" s="4" t="s">
        <v>35</v>
      </c>
      <c r="I979" s="5">
        <v>44501</v>
      </c>
      <c r="J979" s="6">
        <v>0</v>
      </c>
      <c r="K979" s="6">
        <v>0</v>
      </c>
      <c r="L979" s="6">
        <v>417.06799999999998</v>
      </c>
      <c r="M979" s="6">
        <v>417.06799999999998</v>
      </c>
      <c r="N979" s="6">
        <v>417.06799999999998</v>
      </c>
      <c r="O979" s="6">
        <v>417.06799999999998</v>
      </c>
      <c r="P979" s="6">
        <v>0</v>
      </c>
      <c r="Q979" s="4" t="s">
        <v>26</v>
      </c>
      <c r="R979" s="4">
        <v>0</v>
      </c>
      <c r="S979" s="6">
        <v>0</v>
      </c>
      <c r="T979" s="6">
        <v>44</v>
      </c>
      <c r="U979" s="6">
        <v>67</v>
      </c>
      <c r="V979" s="6">
        <f>IF(ISERROR(VLOOKUP($S$979,'TAR FIN'!$A$1:$O$104,15,0)),0,VLOOKUP($S$979,'TAR FIN'!$A$1:$O$104,15,0))</f>
        <v>0</v>
      </c>
      <c r="W979" s="6">
        <f>IF(ISERROR(VLOOKUP($T$979,'TAR FIN'!$A$1:$O$104,15,0)),0,VLOOKUP($T$979,'TAR FIN'!$A$1:$O$104,15,0))</f>
        <v>62.57</v>
      </c>
      <c r="X979" s="6">
        <f>IF(ISERROR(VLOOKUP($U$979,'TAR FIN'!$A$1:$O$104,15,0)),0,VLOOKUP($U$979,'TAR FIN'!$A$1:$O$104,15,0))</f>
        <v>242.82</v>
      </c>
      <c r="Y979" s="6"/>
      <c r="Z979" s="6">
        <f ca="1">('TUSD BE'!$AM$26+'TUSD BF'!$AM$26+'TUSD CVA'!$AM$26)*1</f>
        <v>77.876201961015255</v>
      </c>
      <c r="AA979" s="6">
        <f>('TE BE'!$AB$8+'TE BF'!$AB$8+'TE CVA'!$AB$8)*1</f>
        <v>231.76257384332172</v>
      </c>
      <c r="AB979" s="6">
        <f>$K$979*$V$979</f>
        <v>0</v>
      </c>
      <c r="AC979" s="6">
        <f>$M$979*$W$979</f>
        <v>26095.944759999998</v>
      </c>
      <c r="AD979" s="6">
        <f>$O$979*$X$979</f>
        <v>101272.45176</v>
      </c>
      <c r="AE979" s="6">
        <f>$K$979*$Y$979</f>
        <v>0</v>
      </c>
      <c r="AF979" s="6">
        <f ca="1">$M$979*$Z$979</f>
        <v>32479.67179947671</v>
      </c>
      <c r="AG979" s="6">
        <f>$O$979*$AA$979</f>
        <v>96660.753147686497</v>
      </c>
    </row>
    <row r="980" spans="1:33" ht="11.25" customHeight="1" x14ac:dyDescent="0.25">
      <c r="A980" s="4" t="s">
        <v>21</v>
      </c>
      <c r="B980" s="4" t="s">
        <v>41</v>
      </c>
      <c r="C980" s="4" t="s">
        <v>42</v>
      </c>
      <c r="D980" s="4" t="s">
        <v>38</v>
      </c>
      <c r="E980" s="4" t="s">
        <v>25</v>
      </c>
      <c r="F980" s="4" t="s">
        <v>25</v>
      </c>
      <c r="G980" s="4" t="s">
        <v>25</v>
      </c>
      <c r="H980" s="4" t="s">
        <v>35</v>
      </c>
      <c r="I980" s="5">
        <v>44501</v>
      </c>
      <c r="J980" s="6">
        <v>0</v>
      </c>
      <c r="K980" s="6">
        <v>0</v>
      </c>
      <c r="L980" s="6">
        <v>876.89200000000005</v>
      </c>
      <c r="M980" s="6">
        <v>876.89200000000005</v>
      </c>
      <c r="N980" s="6">
        <v>0</v>
      </c>
      <c r="O980" s="6">
        <v>0</v>
      </c>
      <c r="P980" s="6">
        <v>0</v>
      </c>
      <c r="Q980" s="4" t="s">
        <v>58</v>
      </c>
      <c r="R980" s="4">
        <v>0</v>
      </c>
      <c r="S980" s="6">
        <v>0</v>
      </c>
      <c r="T980" s="6">
        <v>44</v>
      </c>
      <c r="U980" s="6">
        <v>0</v>
      </c>
      <c r="V980" s="6">
        <f>IF(ISERROR(VLOOKUP($S$980,'TAR FIN'!$A$1:$O$104,15,0)),0,VLOOKUP($S$980,'TAR FIN'!$A$1:$O$104,15,0))</f>
        <v>0</v>
      </c>
      <c r="W980" s="6">
        <f>IF(ISERROR(VLOOKUP($T$980,'TAR FIN'!$A$1:$O$104,15,0)),0,VLOOKUP($T$980,'TAR FIN'!$A$1:$O$104,15,0))</f>
        <v>62.57</v>
      </c>
      <c r="X980" s="6">
        <f>IF(ISERROR(VLOOKUP($U$980,'TAR FIN'!$A$1:$O$104,15,0)),0,VLOOKUP($U$980,'TAR FIN'!$A$1:$O$104,15,0))</f>
        <v>0</v>
      </c>
      <c r="Y980" s="6"/>
      <c r="Z980" s="6">
        <f ca="1">('TUSD BE'!$AM$26+'TUSD BF'!$AM$26+'TUSD CVA'!$AM$26)*1</f>
        <v>77.876201961015255</v>
      </c>
      <c r="AA980" s="6"/>
      <c r="AB980" s="6">
        <f>$K$980*$V$980</f>
        <v>0</v>
      </c>
      <c r="AC980" s="6">
        <f>$M$980*$W$980</f>
        <v>54867.132440000001</v>
      </c>
      <c r="AD980" s="6">
        <f>$O$980*$X$980</f>
        <v>0</v>
      </c>
      <c r="AE980" s="6">
        <f>$K$980*$Y$980</f>
        <v>0</v>
      </c>
      <c r="AF980" s="6">
        <f ca="1">$M$980*$Z$980</f>
        <v>68289.018489998591</v>
      </c>
      <c r="AG980" s="6">
        <f>$O$980*$AA$980</f>
        <v>0</v>
      </c>
    </row>
    <row r="981" spans="1:33" ht="11.25" customHeight="1" x14ac:dyDescent="0.25">
      <c r="A981" s="4" t="s">
        <v>21</v>
      </c>
      <c r="B981" s="4" t="s">
        <v>41</v>
      </c>
      <c r="C981" s="4" t="s">
        <v>42</v>
      </c>
      <c r="D981" s="4" t="s">
        <v>38</v>
      </c>
      <c r="E981" s="4" t="s">
        <v>25</v>
      </c>
      <c r="F981" s="4" t="s">
        <v>25</v>
      </c>
      <c r="G981" s="4" t="s">
        <v>25</v>
      </c>
      <c r="H981" s="4" t="s">
        <v>35</v>
      </c>
      <c r="I981" s="5">
        <v>44531</v>
      </c>
      <c r="J981" s="6">
        <v>0</v>
      </c>
      <c r="K981" s="6">
        <v>0</v>
      </c>
      <c r="L981" s="6">
        <v>8072.3270000000002</v>
      </c>
      <c r="M981" s="6">
        <v>8072.3270000000002</v>
      </c>
      <c r="N981" s="6">
        <v>8072.3270000000002</v>
      </c>
      <c r="O981" s="6">
        <v>8072.3270000000002</v>
      </c>
      <c r="P981" s="6">
        <v>0</v>
      </c>
      <c r="Q981" s="4" t="s">
        <v>26</v>
      </c>
      <c r="R981" s="4">
        <v>0</v>
      </c>
      <c r="S981" s="6">
        <v>0</v>
      </c>
      <c r="T981" s="6">
        <v>44</v>
      </c>
      <c r="U981" s="6">
        <v>67</v>
      </c>
      <c r="V981" s="6">
        <f>IF(ISERROR(VLOOKUP($S$981,'TAR FIN'!$A$1:$O$104,15,0)),0,VLOOKUP($S$981,'TAR FIN'!$A$1:$O$104,15,0))</f>
        <v>0</v>
      </c>
      <c r="W981" s="6">
        <f>IF(ISERROR(VLOOKUP($T$981,'TAR FIN'!$A$1:$O$104,15,0)),0,VLOOKUP($T$981,'TAR FIN'!$A$1:$O$104,15,0))</f>
        <v>62.57</v>
      </c>
      <c r="X981" s="6">
        <f>IF(ISERROR(VLOOKUP($U$981,'TAR FIN'!$A$1:$O$104,15,0)),0,VLOOKUP($U$981,'TAR FIN'!$A$1:$O$104,15,0))</f>
        <v>242.82</v>
      </c>
      <c r="Y981" s="6"/>
      <c r="Z981" s="6">
        <f ca="1">('TUSD BE'!$AM$26+'TUSD BF'!$AM$26+'TUSD CVA'!$AM$26)*1</f>
        <v>77.876201961015255</v>
      </c>
      <c r="AA981" s="6">
        <f>('TE BE'!$AB$8+'TE BF'!$AB$8+'TE CVA'!$AB$8)*1</f>
        <v>231.76257384332172</v>
      </c>
      <c r="AB981" s="6">
        <f>$K$981*$V$981</f>
        <v>0</v>
      </c>
      <c r="AC981" s="6">
        <f>$M$981*$W$981</f>
        <v>505085.50039</v>
      </c>
      <c r="AD981" s="6">
        <f>$O$981*$X$981</f>
        <v>1960122.4421399999</v>
      </c>
      <c r="AE981" s="6">
        <f>$K$981*$Y$981</f>
        <v>0</v>
      </c>
      <c r="AF981" s="6">
        <f ca="1">$M$981*$Z$981</f>
        <v>628642.16774735646</v>
      </c>
      <c r="AG981" s="6">
        <f>$O$981*$AA$981</f>
        <v>1870863.2824249398</v>
      </c>
    </row>
    <row r="982" spans="1:33" ht="11.25" customHeight="1" x14ac:dyDescent="0.25">
      <c r="A982" s="4" t="s">
        <v>27</v>
      </c>
      <c r="B982" s="4" t="s">
        <v>41</v>
      </c>
      <c r="C982" s="4" t="s">
        <v>42</v>
      </c>
      <c r="D982" s="4" t="s">
        <v>38</v>
      </c>
      <c r="E982" s="4" t="s">
        <v>25</v>
      </c>
      <c r="F982" s="4" t="s">
        <v>25</v>
      </c>
      <c r="G982" s="4" t="s">
        <v>25</v>
      </c>
      <c r="H982" s="4" t="s">
        <v>35</v>
      </c>
      <c r="I982" s="5">
        <v>44531</v>
      </c>
      <c r="J982" s="6">
        <v>0</v>
      </c>
      <c r="K982" s="6">
        <v>0</v>
      </c>
      <c r="L982" s="6">
        <v>-34.872</v>
      </c>
      <c r="M982" s="6">
        <v>-34.872</v>
      </c>
      <c r="N982" s="6">
        <v>-34.872</v>
      </c>
      <c r="O982" s="6">
        <v>-34.872</v>
      </c>
      <c r="P982" s="6">
        <v>0</v>
      </c>
      <c r="Q982" s="4" t="s">
        <v>26</v>
      </c>
      <c r="R982" s="4">
        <v>0</v>
      </c>
      <c r="S982" s="6">
        <v>0</v>
      </c>
      <c r="T982" s="6">
        <v>44</v>
      </c>
      <c r="U982" s="6">
        <v>67</v>
      </c>
      <c r="V982" s="6">
        <f>IF(ISERROR(VLOOKUP($S$982,'TAR FIN'!$A$1:$O$104,15,0)),0,VLOOKUP($S$982,'TAR FIN'!$A$1:$O$104,15,0))</f>
        <v>0</v>
      </c>
      <c r="W982" s="6">
        <f>IF(ISERROR(VLOOKUP($T$982,'TAR FIN'!$A$1:$O$104,15,0)),0,VLOOKUP($T$982,'TAR FIN'!$A$1:$O$104,15,0))</f>
        <v>62.57</v>
      </c>
      <c r="X982" s="6">
        <f>IF(ISERROR(VLOOKUP($U$982,'TAR FIN'!$A$1:$O$104,15,0)),0,VLOOKUP($U$982,'TAR FIN'!$A$1:$O$104,15,0))</f>
        <v>242.82</v>
      </c>
      <c r="Y982" s="6"/>
      <c r="Z982" s="6">
        <f ca="1">('TUSD BE'!$AM$26+'TUSD BF'!$AM$26+'TUSD CVA'!$AM$26)*1</f>
        <v>77.876201961015255</v>
      </c>
      <c r="AA982" s="6">
        <f>('TE BE'!$AB$8+'TE BF'!$AB$8+'TE CVA'!$AB$8)*1</f>
        <v>231.76257384332172</v>
      </c>
      <c r="AB982" s="6">
        <f>$K$982*$V$982</f>
        <v>0</v>
      </c>
      <c r="AC982" s="6">
        <f>$M$982*$W$982</f>
        <v>-2181.9410400000002</v>
      </c>
      <c r="AD982" s="6">
        <f>$O$982*$X$982</f>
        <v>-8467.6190399999996</v>
      </c>
      <c r="AE982" s="6">
        <f>$K$982*$Y$982</f>
        <v>0</v>
      </c>
      <c r="AF982" s="6">
        <f ca="1">$M$982*$Z$982</f>
        <v>-2715.6989147845238</v>
      </c>
      <c r="AG982" s="6">
        <f>$O$982*$AA$982</f>
        <v>-8082.0244750643151</v>
      </c>
    </row>
    <row r="983" spans="1:33" ht="11.25" customHeight="1" x14ac:dyDescent="0.25">
      <c r="A983" s="4" t="s">
        <v>28</v>
      </c>
      <c r="B983" s="4" t="s">
        <v>41</v>
      </c>
      <c r="C983" s="4" t="s">
        <v>42</v>
      </c>
      <c r="D983" s="4" t="s">
        <v>38</v>
      </c>
      <c r="E983" s="4" t="s">
        <v>25</v>
      </c>
      <c r="F983" s="4" t="s">
        <v>25</v>
      </c>
      <c r="G983" s="4" t="s">
        <v>25</v>
      </c>
      <c r="H983" s="4" t="s">
        <v>35</v>
      </c>
      <c r="I983" s="5">
        <v>44531</v>
      </c>
      <c r="J983" s="6">
        <v>0</v>
      </c>
      <c r="K983" s="6">
        <v>0</v>
      </c>
      <c r="L983" s="6">
        <v>541.48699999999997</v>
      </c>
      <c r="M983" s="6">
        <v>541.48699999999997</v>
      </c>
      <c r="N983" s="6">
        <v>541.48699999999997</v>
      </c>
      <c r="O983" s="6">
        <v>541.48699999999997</v>
      </c>
      <c r="P983" s="6">
        <v>0</v>
      </c>
      <c r="Q983" s="4" t="s">
        <v>26</v>
      </c>
      <c r="R983" s="4">
        <v>0</v>
      </c>
      <c r="S983" s="6">
        <v>0</v>
      </c>
      <c r="T983" s="6">
        <v>44</v>
      </c>
      <c r="U983" s="6">
        <v>67</v>
      </c>
      <c r="V983" s="6">
        <f>IF(ISERROR(VLOOKUP($S$983,'TAR FIN'!$A$1:$O$104,15,0)),0,VLOOKUP($S$983,'TAR FIN'!$A$1:$O$104,15,0))</f>
        <v>0</v>
      </c>
      <c r="W983" s="6">
        <f>IF(ISERROR(VLOOKUP($T$983,'TAR FIN'!$A$1:$O$104,15,0)),0,VLOOKUP($T$983,'TAR FIN'!$A$1:$O$104,15,0))</f>
        <v>62.57</v>
      </c>
      <c r="X983" s="6">
        <f>IF(ISERROR(VLOOKUP($U$983,'TAR FIN'!$A$1:$O$104,15,0)),0,VLOOKUP($U$983,'TAR FIN'!$A$1:$O$104,15,0))</f>
        <v>242.82</v>
      </c>
      <c r="Y983" s="6"/>
      <c r="Z983" s="6">
        <f ca="1">('TUSD BE'!$AM$26+'TUSD BF'!$AM$26+'TUSD CVA'!$AM$26)*1</f>
        <v>77.876201961015255</v>
      </c>
      <c r="AA983" s="6">
        <f>('TE BE'!$AB$8+'TE BF'!$AB$8+'TE CVA'!$AB$8)*1</f>
        <v>231.76257384332172</v>
      </c>
      <c r="AB983" s="6">
        <f>$K$983*$V$983</f>
        <v>0</v>
      </c>
      <c r="AC983" s="6">
        <f>$M$983*$W$983</f>
        <v>33880.841589999996</v>
      </c>
      <c r="AD983" s="6">
        <f>$O$983*$X$983</f>
        <v>131483.87333999999</v>
      </c>
      <c r="AE983" s="6">
        <f>$K$983*$Y$983</f>
        <v>0</v>
      </c>
      <c r="AF983" s="6">
        <f ca="1">$M$983*$Z$983</f>
        <v>42168.950971264261</v>
      </c>
      <c r="AG983" s="6">
        <f>$O$983*$AA$983</f>
        <v>125496.42082269874</v>
      </c>
    </row>
    <row r="984" spans="1:33" ht="11.25" customHeight="1" x14ac:dyDescent="0.25">
      <c r="A984" s="4" t="s">
        <v>21</v>
      </c>
      <c r="B984" s="4" t="s">
        <v>41</v>
      </c>
      <c r="C984" s="4" t="s">
        <v>42</v>
      </c>
      <c r="D984" s="4" t="s">
        <v>38</v>
      </c>
      <c r="E984" s="4" t="s">
        <v>25</v>
      </c>
      <c r="F984" s="4" t="s">
        <v>25</v>
      </c>
      <c r="G984" s="4" t="s">
        <v>25</v>
      </c>
      <c r="H984" s="4" t="s">
        <v>35</v>
      </c>
      <c r="I984" s="5">
        <v>44531</v>
      </c>
      <c r="J984" s="6">
        <v>0</v>
      </c>
      <c r="K984" s="6">
        <v>0</v>
      </c>
      <c r="L984" s="6">
        <v>864.14300000000003</v>
      </c>
      <c r="M984" s="6">
        <v>864.14300000000003</v>
      </c>
      <c r="N984" s="6">
        <v>0</v>
      </c>
      <c r="O984" s="6">
        <v>0</v>
      </c>
      <c r="P984" s="6">
        <v>0</v>
      </c>
      <c r="Q984" s="4" t="s">
        <v>58</v>
      </c>
      <c r="R984" s="4">
        <v>0</v>
      </c>
      <c r="S984" s="6">
        <v>0</v>
      </c>
      <c r="T984" s="6">
        <v>44</v>
      </c>
      <c r="U984" s="6">
        <v>0</v>
      </c>
      <c r="V984" s="6">
        <f>IF(ISERROR(VLOOKUP($S$984,'TAR FIN'!$A$1:$O$104,15,0)),0,VLOOKUP($S$984,'TAR FIN'!$A$1:$O$104,15,0))</f>
        <v>0</v>
      </c>
      <c r="W984" s="6">
        <f>IF(ISERROR(VLOOKUP($T$984,'TAR FIN'!$A$1:$O$104,15,0)),0,VLOOKUP($T$984,'TAR FIN'!$A$1:$O$104,15,0))</f>
        <v>62.57</v>
      </c>
      <c r="X984" s="6">
        <f>IF(ISERROR(VLOOKUP($U$984,'TAR FIN'!$A$1:$O$104,15,0)),0,VLOOKUP($U$984,'TAR FIN'!$A$1:$O$104,15,0))</f>
        <v>0</v>
      </c>
      <c r="Y984" s="6"/>
      <c r="Z984" s="6">
        <f ca="1">('TUSD BE'!$AM$26+'TUSD BF'!$AM$26+'TUSD CVA'!$AM$26)*1</f>
        <v>77.876201961015255</v>
      </c>
      <c r="AA984" s="6"/>
      <c r="AB984" s="6">
        <f>$K$984*$V$984</f>
        <v>0</v>
      </c>
      <c r="AC984" s="6">
        <f>$M$984*$W$984</f>
        <v>54069.427510000001</v>
      </c>
      <c r="AD984" s="6">
        <f>$O$984*$X$984</f>
        <v>0</v>
      </c>
      <c r="AE984" s="6">
        <f>$K$984*$Y$984</f>
        <v>0</v>
      </c>
      <c r="AF984" s="6">
        <f ca="1">$M$984*$Z$984</f>
        <v>67296.174791197613</v>
      </c>
      <c r="AG984" s="6">
        <f>$O$984*$AA$984</f>
        <v>0</v>
      </c>
    </row>
    <row r="985" spans="1:33" ht="11.25" customHeight="1" x14ac:dyDescent="0.25">
      <c r="A985" s="4" t="s">
        <v>21</v>
      </c>
      <c r="B985" s="4" t="s">
        <v>41</v>
      </c>
      <c r="C985" s="4" t="s">
        <v>42</v>
      </c>
      <c r="D985" s="4" t="s">
        <v>38</v>
      </c>
      <c r="E985" s="4" t="s">
        <v>25</v>
      </c>
      <c r="F985" s="4" t="s">
        <v>25</v>
      </c>
      <c r="G985" s="4" t="s">
        <v>25</v>
      </c>
      <c r="H985" s="4" t="s">
        <v>35</v>
      </c>
      <c r="I985" s="5">
        <v>44562</v>
      </c>
      <c r="J985" s="6">
        <v>0</v>
      </c>
      <c r="K985" s="6">
        <v>0</v>
      </c>
      <c r="L985" s="6">
        <v>8366.7129999999997</v>
      </c>
      <c r="M985" s="6">
        <v>8366.7129999999997</v>
      </c>
      <c r="N985" s="6">
        <v>8366.7129999999997</v>
      </c>
      <c r="O985" s="6">
        <v>8366.7129999999997</v>
      </c>
      <c r="P985" s="6">
        <v>0</v>
      </c>
      <c r="Q985" s="4" t="s">
        <v>26</v>
      </c>
      <c r="R985" s="4">
        <v>0</v>
      </c>
      <c r="S985" s="6">
        <v>0</v>
      </c>
      <c r="T985" s="6">
        <v>44</v>
      </c>
      <c r="U985" s="6">
        <v>67</v>
      </c>
      <c r="V985" s="6">
        <f>IF(ISERROR(VLOOKUP($S$985,'TAR FIN'!$A$1:$O$104,15,0)),0,VLOOKUP($S$985,'TAR FIN'!$A$1:$O$104,15,0))</f>
        <v>0</v>
      </c>
      <c r="W985" s="6">
        <f>IF(ISERROR(VLOOKUP($T$985,'TAR FIN'!$A$1:$O$104,15,0)),0,VLOOKUP($T$985,'TAR FIN'!$A$1:$O$104,15,0))</f>
        <v>62.57</v>
      </c>
      <c r="X985" s="6">
        <f>IF(ISERROR(VLOOKUP($U$985,'TAR FIN'!$A$1:$O$104,15,0)),0,VLOOKUP($U$985,'TAR FIN'!$A$1:$O$104,15,0))</f>
        <v>242.82</v>
      </c>
      <c r="Y985" s="6"/>
      <c r="Z985" s="6">
        <f ca="1">('TUSD BE'!$AM$26+'TUSD BF'!$AM$26+'TUSD CVA'!$AM$26)*1</f>
        <v>77.876201961015255</v>
      </c>
      <c r="AA985" s="6">
        <f>('TE BE'!$AB$8+'TE BF'!$AB$8+'TE CVA'!$AB$8)*1</f>
        <v>231.76257384332172</v>
      </c>
      <c r="AB985" s="6">
        <f>$K$985*$V$985</f>
        <v>0</v>
      </c>
      <c r="AC985" s="6">
        <f>$M$985*$W$985</f>
        <v>523505.23241</v>
      </c>
      <c r="AD985" s="6">
        <f>$O$985*$X$985</f>
        <v>2031605.2506599999</v>
      </c>
      <c r="AE985" s="6">
        <f>$K$985*$Y$985</f>
        <v>0</v>
      </c>
      <c r="AF985" s="6">
        <f ca="1">$M$985*$Z$985</f>
        <v>651567.83133785182</v>
      </c>
      <c r="AG985" s="6">
        <f>$O$985*$AA$985</f>
        <v>1939090.9394883798</v>
      </c>
    </row>
    <row r="986" spans="1:33" ht="11.25" customHeight="1" x14ac:dyDescent="0.25">
      <c r="A986" s="4" t="s">
        <v>27</v>
      </c>
      <c r="B986" s="4" t="s">
        <v>41</v>
      </c>
      <c r="C986" s="4" t="s">
        <v>42</v>
      </c>
      <c r="D986" s="4" t="s">
        <v>38</v>
      </c>
      <c r="E986" s="4" t="s">
        <v>25</v>
      </c>
      <c r="F986" s="4" t="s">
        <v>25</v>
      </c>
      <c r="G986" s="4" t="s">
        <v>25</v>
      </c>
      <c r="H986" s="4" t="s">
        <v>35</v>
      </c>
      <c r="I986" s="5">
        <v>44562</v>
      </c>
      <c r="J986" s="6">
        <v>0</v>
      </c>
      <c r="K986" s="6">
        <v>0</v>
      </c>
      <c r="L986" s="6">
        <v>2.52</v>
      </c>
      <c r="M986" s="6">
        <v>2.52</v>
      </c>
      <c r="N986" s="6">
        <v>2.52</v>
      </c>
      <c r="O986" s="6">
        <v>2.52</v>
      </c>
      <c r="P986" s="6">
        <v>0</v>
      </c>
      <c r="Q986" s="4" t="s">
        <v>26</v>
      </c>
      <c r="R986" s="4">
        <v>0</v>
      </c>
      <c r="S986" s="6">
        <v>0</v>
      </c>
      <c r="T986" s="6">
        <v>44</v>
      </c>
      <c r="U986" s="6">
        <v>67</v>
      </c>
      <c r="V986" s="6">
        <f>IF(ISERROR(VLOOKUP($S$986,'TAR FIN'!$A$1:$O$104,15,0)),0,VLOOKUP($S$986,'TAR FIN'!$A$1:$O$104,15,0))</f>
        <v>0</v>
      </c>
      <c r="W986" s="6">
        <f>IF(ISERROR(VLOOKUP($T$986,'TAR FIN'!$A$1:$O$104,15,0)),0,VLOOKUP($T$986,'TAR FIN'!$A$1:$O$104,15,0))</f>
        <v>62.57</v>
      </c>
      <c r="X986" s="6">
        <f>IF(ISERROR(VLOOKUP($U$986,'TAR FIN'!$A$1:$O$104,15,0)),0,VLOOKUP($U$986,'TAR FIN'!$A$1:$O$104,15,0))</f>
        <v>242.82</v>
      </c>
      <c r="Y986" s="6"/>
      <c r="Z986" s="6">
        <f ca="1">('TUSD BE'!$AM$26+'TUSD BF'!$AM$26+'TUSD CVA'!$AM$26)*1</f>
        <v>77.876201961015255</v>
      </c>
      <c r="AA986" s="6">
        <f>('TE BE'!$AB$8+'TE BF'!$AB$8+'TE CVA'!$AB$8)*1</f>
        <v>231.76257384332172</v>
      </c>
      <c r="AB986" s="6">
        <f>$K$986*$V$986</f>
        <v>0</v>
      </c>
      <c r="AC986" s="6">
        <f>$M$986*$W$986</f>
        <v>157.6764</v>
      </c>
      <c r="AD986" s="6">
        <f>$O$986*$X$986</f>
        <v>611.90639999999996</v>
      </c>
      <c r="AE986" s="6">
        <f>$K$986*$Y$986</f>
        <v>0</v>
      </c>
      <c r="AF986" s="6">
        <f ca="1">$M$986*$Z$986</f>
        <v>196.24802894175843</v>
      </c>
      <c r="AG986" s="6">
        <f>$O$986*$AA$986</f>
        <v>584.04168608517068</v>
      </c>
    </row>
    <row r="987" spans="1:33" ht="11.25" customHeight="1" x14ac:dyDescent="0.25">
      <c r="A987" s="4" t="s">
        <v>28</v>
      </c>
      <c r="B987" s="4" t="s">
        <v>41</v>
      </c>
      <c r="C987" s="4" t="s">
        <v>42</v>
      </c>
      <c r="D987" s="4" t="s">
        <v>38</v>
      </c>
      <c r="E987" s="4" t="s">
        <v>25</v>
      </c>
      <c r="F987" s="4" t="s">
        <v>25</v>
      </c>
      <c r="G987" s="4" t="s">
        <v>25</v>
      </c>
      <c r="H987" s="4" t="s">
        <v>35</v>
      </c>
      <c r="I987" s="5">
        <v>44562</v>
      </c>
      <c r="J987" s="6">
        <v>0</v>
      </c>
      <c r="K987" s="6">
        <v>0</v>
      </c>
      <c r="L987" s="6">
        <v>439.35199999999998</v>
      </c>
      <c r="M987" s="6">
        <v>439.35199999999998</v>
      </c>
      <c r="N987" s="6">
        <v>439.35199999999998</v>
      </c>
      <c r="O987" s="6">
        <v>439.35199999999998</v>
      </c>
      <c r="P987" s="6">
        <v>0</v>
      </c>
      <c r="Q987" s="4" t="s">
        <v>26</v>
      </c>
      <c r="R987" s="4">
        <v>0</v>
      </c>
      <c r="S987" s="6">
        <v>0</v>
      </c>
      <c r="T987" s="6">
        <v>44</v>
      </c>
      <c r="U987" s="6">
        <v>67</v>
      </c>
      <c r="V987" s="6">
        <f>IF(ISERROR(VLOOKUP($S$987,'TAR FIN'!$A$1:$O$104,15,0)),0,VLOOKUP($S$987,'TAR FIN'!$A$1:$O$104,15,0))</f>
        <v>0</v>
      </c>
      <c r="W987" s="6">
        <f>IF(ISERROR(VLOOKUP($T$987,'TAR FIN'!$A$1:$O$104,15,0)),0,VLOOKUP($T$987,'TAR FIN'!$A$1:$O$104,15,0))</f>
        <v>62.57</v>
      </c>
      <c r="X987" s="6">
        <f>IF(ISERROR(VLOOKUP($U$987,'TAR FIN'!$A$1:$O$104,15,0)),0,VLOOKUP($U$987,'TAR FIN'!$A$1:$O$104,15,0))</f>
        <v>242.82</v>
      </c>
      <c r="Y987" s="6"/>
      <c r="Z987" s="6">
        <f ca="1">('TUSD BE'!$AM$26+'TUSD BF'!$AM$26+'TUSD CVA'!$AM$26)*1</f>
        <v>77.876201961015255</v>
      </c>
      <c r="AA987" s="6">
        <f>('TE BE'!$AB$8+'TE BF'!$AB$8+'TE CVA'!$AB$8)*1</f>
        <v>231.76257384332172</v>
      </c>
      <c r="AB987" s="6">
        <f>$K$987*$V$987</f>
        <v>0</v>
      </c>
      <c r="AC987" s="6">
        <f>$M$987*$W$987</f>
        <v>27490.254639999999</v>
      </c>
      <c r="AD987" s="6">
        <f>$O$987*$X$987</f>
        <v>106683.45263999999</v>
      </c>
      <c r="AE987" s="6">
        <f>$K$987*$Y$987</f>
        <v>0</v>
      </c>
      <c r="AF987" s="6">
        <f ca="1">$M$987*$Z$987</f>
        <v>34215.065083975969</v>
      </c>
      <c r="AG987" s="6">
        <f>$O$987*$AA$987</f>
        <v>101825.35034321107</v>
      </c>
    </row>
    <row r="988" spans="1:33" ht="11.25" customHeight="1" x14ac:dyDescent="0.25">
      <c r="A988" s="4" t="s">
        <v>28</v>
      </c>
      <c r="B988" s="4" t="s">
        <v>41</v>
      </c>
      <c r="C988" s="4" t="s">
        <v>42</v>
      </c>
      <c r="D988" s="4" t="s">
        <v>38</v>
      </c>
      <c r="E988" s="4" t="s">
        <v>25</v>
      </c>
      <c r="F988" s="4" t="s">
        <v>25</v>
      </c>
      <c r="G988" s="4" t="s">
        <v>25</v>
      </c>
      <c r="H988" s="4" t="s">
        <v>35</v>
      </c>
      <c r="I988" s="5">
        <v>44562</v>
      </c>
      <c r="J988" s="6">
        <v>0</v>
      </c>
      <c r="K988" s="6">
        <v>0</v>
      </c>
      <c r="L988" s="6">
        <v>6.3170000000000002</v>
      </c>
      <c r="M988" s="6">
        <v>6.3170000000000002</v>
      </c>
      <c r="N988" s="6">
        <v>6.3170000000000002</v>
      </c>
      <c r="O988" s="6">
        <v>6.3170000000000002</v>
      </c>
      <c r="P988" s="6">
        <v>0</v>
      </c>
      <c r="Q988" s="4" t="s">
        <v>26</v>
      </c>
      <c r="R988" s="4">
        <v>0</v>
      </c>
      <c r="S988" s="6">
        <v>0</v>
      </c>
      <c r="T988" s="6">
        <v>44</v>
      </c>
      <c r="U988" s="6">
        <v>67</v>
      </c>
      <c r="V988" s="6">
        <f>IF(ISERROR(VLOOKUP($S$988,'TAR FIN'!$A$1:$O$104,15,0)),0,VLOOKUP($S$988,'TAR FIN'!$A$1:$O$104,15,0))</f>
        <v>0</v>
      </c>
      <c r="W988" s="6">
        <f>IF(ISERROR(VLOOKUP($T$988,'TAR FIN'!$A$1:$O$104,15,0)),0,VLOOKUP($T$988,'TAR FIN'!$A$1:$O$104,15,0))</f>
        <v>62.57</v>
      </c>
      <c r="X988" s="6">
        <f>IF(ISERROR(VLOOKUP($U$988,'TAR FIN'!$A$1:$O$104,15,0)),0,VLOOKUP($U$988,'TAR FIN'!$A$1:$O$104,15,0))</f>
        <v>242.82</v>
      </c>
      <c r="Y988" s="6"/>
      <c r="Z988" s="6">
        <f ca="1">('TUSD BE'!$AM$26+'TUSD BF'!$AM$26+'TUSD CVA'!$AM$26)*1</f>
        <v>77.876201961015255</v>
      </c>
      <c r="AA988" s="6">
        <f>('TE BE'!$AB$8+'TE BF'!$AB$8+'TE CVA'!$AB$8)*1</f>
        <v>231.76257384332172</v>
      </c>
      <c r="AB988" s="6">
        <f>$K$988*$V$988</f>
        <v>0</v>
      </c>
      <c r="AC988" s="6">
        <f>$M$988*$W$988</f>
        <v>395.25469000000004</v>
      </c>
      <c r="AD988" s="6">
        <f>$O$988*$X$988</f>
        <v>1533.8939399999999</v>
      </c>
      <c r="AE988" s="6">
        <f>$K$988*$Y$988</f>
        <v>0</v>
      </c>
      <c r="AF988" s="6">
        <f ca="1">$M$988*$Z$988</f>
        <v>491.94396778773336</v>
      </c>
      <c r="AG988" s="6">
        <f>$O$988*$AA$988</f>
        <v>1464.0441789682634</v>
      </c>
    </row>
    <row r="989" spans="1:33" ht="11.25" customHeight="1" x14ac:dyDescent="0.25">
      <c r="A989" s="4" t="s">
        <v>21</v>
      </c>
      <c r="B989" s="4" t="s">
        <v>41</v>
      </c>
      <c r="C989" s="4" t="s">
        <v>42</v>
      </c>
      <c r="D989" s="4" t="s">
        <v>38</v>
      </c>
      <c r="E989" s="4" t="s">
        <v>25</v>
      </c>
      <c r="F989" s="4" t="s">
        <v>25</v>
      </c>
      <c r="G989" s="4" t="s">
        <v>25</v>
      </c>
      <c r="H989" s="4" t="s">
        <v>35</v>
      </c>
      <c r="I989" s="5">
        <v>44562</v>
      </c>
      <c r="J989" s="6">
        <v>0</v>
      </c>
      <c r="K989" s="6">
        <v>0</v>
      </c>
      <c r="L989" s="6">
        <v>911.78499999999997</v>
      </c>
      <c r="M989" s="6">
        <v>911.78499999999997</v>
      </c>
      <c r="N989" s="6">
        <v>0</v>
      </c>
      <c r="O989" s="6">
        <v>0</v>
      </c>
      <c r="P989" s="6">
        <v>0</v>
      </c>
      <c r="Q989" s="4" t="s">
        <v>58</v>
      </c>
      <c r="R989" s="4">
        <v>0</v>
      </c>
      <c r="S989" s="6">
        <v>0</v>
      </c>
      <c r="T989" s="6">
        <v>44</v>
      </c>
      <c r="U989" s="6">
        <v>0</v>
      </c>
      <c r="V989" s="6">
        <f>IF(ISERROR(VLOOKUP($S$989,'TAR FIN'!$A$1:$O$104,15,0)),0,VLOOKUP($S$989,'TAR FIN'!$A$1:$O$104,15,0))</f>
        <v>0</v>
      </c>
      <c r="W989" s="6">
        <f>IF(ISERROR(VLOOKUP($T$989,'TAR FIN'!$A$1:$O$104,15,0)),0,VLOOKUP($T$989,'TAR FIN'!$A$1:$O$104,15,0))</f>
        <v>62.57</v>
      </c>
      <c r="X989" s="6">
        <f>IF(ISERROR(VLOOKUP($U$989,'TAR FIN'!$A$1:$O$104,15,0)),0,VLOOKUP($U$989,'TAR FIN'!$A$1:$O$104,15,0))</f>
        <v>0</v>
      </c>
      <c r="Y989" s="6"/>
      <c r="Z989" s="6">
        <f ca="1">('TUSD BE'!$AM$26+'TUSD BF'!$AM$26+'TUSD CVA'!$AM$26)*1</f>
        <v>77.876201961015255</v>
      </c>
      <c r="AA989" s="6"/>
      <c r="AB989" s="6">
        <f>$K$989*$V$989</f>
        <v>0</v>
      </c>
      <c r="AC989" s="6">
        <f>$M$989*$W$989</f>
        <v>57050.387449999995</v>
      </c>
      <c r="AD989" s="6">
        <f>$O$989*$X$989</f>
        <v>0</v>
      </c>
      <c r="AE989" s="6">
        <f>$K$989*$Y$989</f>
        <v>0</v>
      </c>
      <c r="AF989" s="6">
        <f ca="1">$M$989*$Z$989</f>
        <v>71006.352805024289</v>
      </c>
      <c r="AG989" s="6">
        <f>$O$989*$AA$989</f>
        <v>0</v>
      </c>
    </row>
    <row r="990" spans="1:33" ht="11.25" customHeight="1" x14ac:dyDescent="0.25">
      <c r="A990" s="4" t="s">
        <v>21</v>
      </c>
      <c r="B990" s="4" t="s">
        <v>41</v>
      </c>
      <c r="C990" s="4" t="s">
        <v>42</v>
      </c>
      <c r="D990" s="4" t="s">
        <v>38</v>
      </c>
      <c r="E990" s="4" t="s">
        <v>25</v>
      </c>
      <c r="F990" s="4" t="s">
        <v>25</v>
      </c>
      <c r="G990" s="4" t="s">
        <v>25</v>
      </c>
      <c r="H990" s="4" t="s">
        <v>35</v>
      </c>
      <c r="I990" s="5">
        <v>44593</v>
      </c>
      <c r="J990" s="6">
        <v>0</v>
      </c>
      <c r="K990" s="6">
        <v>0</v>
      </c>
      <c r="L990" s="6">
        <v>8080.3040000000001</v>
      </c>
      <c r="M990" s="6">
        <v>8080.3040000000001</v>
      </c>
      <c r="N990" s="6">
        <v>8080.3040000000001</v>
      </c>
      <c r="O990" s="6">
        <v>8080.3040000000001</v>
      </c>
      <c r="P990" s="6">
        <v>0</v>
      </c>
      <c r="Q990" s="4" t="s">
        <v>26</v>
      </c>
      <c r="R990" s="4">
        <v>0</v>
      </c>
      <c r="S990" s="6">
        <v>0</v>
      </c>
      <c r="T990" s="6">
        <v>44</v>
      </c>
      <c r="U990" s="6">
        <v>67</v>
      </c>
      <c r="V990" s="6">
        <f>IF(ISERROR(VLOOKUP($S$990,'TAR FIN'!$A$1:$O$104,15,0)),0,VLOOKUP($S$990,'TAR FIN'!$A$1:$O$104,15,0))</f>
        <v>0</v>
      </c>
      <c r="W990" s="6">
        <f>IF(ISERROR(VLOOKUP($T$990,'TAR FIN'!$A$1:$O$104,15,0)),0,VLOOKUP($T$990,'TAR FIN'!$A$1:$O$104,15,0))</f>
        <v>62.57</v>
      </c>
      <c r="X990" s="6">
        <f>IF(ISERROR(VLOOKUP($U$990,'TAR FIN'!$A$1:$O$104,15,0)),0,VLOOKUP($U$990,'TAR FIN'!$A$1:$O$104,15,0))</f>
        <v>242.82</v>
      </c>
      <c r="Y990" s="6"/>
      <c r="Z990" s="6">
        <f ca="1">('TUSD BE'!$AM$26+'TUSD BF'!$AM$26+'TUSD CVA'!$AM$26)*1</f>
        <v>77.876201961015255</v>
      </c>
      <c r="AA990" s="6">
        <f>('TE BE'!$AB$8+'TE BF'!$AB$8+'TE CVA'!$AB$8)*1</f>
        <v>231.76257384332172</v>
      </c>
      <c r="AB990" s="6">
        <f>$K$990*$V$990</f>
        <v>0</v>
      </c>
      <c r="AC990" s="6">
        <f>$M$990*$W$990</f>
        <v>505584.62128000002</v>
      </c>
      <c r="AD990" s="6">
        <f>$O$990*$X$990</f>
        <v>1962059.4172799999</v>
      </c>
      <c r="AE990" s="6">
        <f>$K$990*$Y$990</f>
        <v>0</v>
      </c>
      <c r="AF990" s="6">
        <f ca="1">$M$990*$Z$990</f>
        <v>629263.38621039945</v>
      </c>
      <c r="AG990" s="6">
        <f>$O$990*$AA$990</f>
        <v>1872712.0524764878</v>
      </c>
    </row>
    <row r="991" spans="1:33" ht="11.25" customHeight="1" x14ac:dyDescent="0.25">
      <c r="A991" s="4" t="s">
        <v>28</v>
      </c>
      <c r="B991" s="4" t="s">
        <v>41</v>
      </c>
      <c r="C991" s="4" t="s">
        <v>42</v>
      </c>
      <c r="D991" s="4" t="s">
        <v>38</v>
      </c>
      <c r="E991" s="4" t="s">
        <v>25</v>
      </c>
      <c r="F991" s="4" t="s">
        <v>25</v>
      </c>
      <c r="G991" s="4" t="s">
        <v>25</v>
      </c>
      <c r="H991" s="4" t="s">
        <v>35</v>
      </c>
      <c r="I991" s="5">
        <v>44593</v>
      </c>
      <c r="J991" s="6">
        <v>0</v>
      </c>
      <c r="K991" s="6">
        <v>0</v>
      </c>
      <c r="L991" s="6">
        <v>494.40499999999997</v>
      </c>
      <c r="M991" s="6">
        <v>494.40499999999997</v>
      </c>
      <c r="N991" s="6">
        <v>494.40499999999997</v>
      </c>
      <c r="O991" s="6">
        <v>494.40499999999997</v>
      </c>
      <c r="P991" s="6">
        <v>0</v>
      </c>
      <c r="Q991" s="4" t="s">
        <v>26</v>
      </c>
      <c r="R991" s="4">
        <v>0</v>
      </c>
      <c r="S991" s="6">
        <v>0</v>
      </c>
      <c r="T991" s="6">
        <v>44</v>
      </c>
      <c r="U991" s="6">
        <v>67</v>
      </c>
      <c r="V991" s="6">
        <f>IF(ISERROR(VLOOKUP($S$991,'TAR FIN'!$A$1:$O$104,15,0)),0,VLOOKUP($S$991,'TAR FIN'!$A$1:$O$104,15,0))</f>
        <v>0</v>
      </c>
      <c r="W991" s="6">
        <f>IF(ISERROR(VLOOKUP($T$991,'TAR FIN'!$A$1:$O$104,15,0)),0,VLOOKUP($T$991,'TAR FIN'!$A$1:$O$104,15,0))</f>
        <v>62.57</v>
      </c>
      <c r="X991" s="6">
        <f>IF(ISERROR(VLOOKUP($U$991,'TAR FIN'!$A$1:$O$104,15,0)),0,VLOOKUP($U$991,'TAR FIN'!$A$1:$O$104,15,0))</f>
        <v>242.82</v>
      </c>
      <c r="Y991" s="6"/>
      <c r="Z991" s="6">
        <f ca="1">('TUSD BE'!$AM$26+'TUSD BF'!$AM$26+'TUSD CVA'!$AM$26)*1</f>
        <v>77.876201961015255</v>
      </c>
      <c r="AA991" s="6">
        <f>('TE BE'!$AB$8+'TE BF'!$AB$8+'TE CVA'!$AB$8)*1</f>
        <v>231.76257384332172</v>
      </c>
      <c r="AB991" s="6">
        <f>$K$991*$V$991</f>
        <v>0</v>
      </c>
      <c r="AC991" s="6">
        <f>$M$991*$W$991</f>
        <v>30934.920849999999</v>
      </c>
      <c r="AD991" s="6">
        <f>$O$991*$X$991</f>
        <v>120051.4221</v>
      </c>
      <c r="AE991" s="6">
        <f>$K$991*$Y$991</f>
        <v>0</v>
      </c>
      <c r="AF991" s="6">
        <f ca="1">$M$991*$Z$991</f>
        <v>38502.383630535747</v>
      </c>
      <c r="AG991" s="6">
        <f>$O$991*$AA$991</f>
        <v>114584.57532100746</v>
      </c>
    </row>
    <row r="992" spans="1:33" ht="11.25" customHeight="1" x14ac:dyDescent="0.25">
      <c r="A992" s="4" t="s">
        <v>28</v>
      </c>
      <c r="B992" s="4" t="s">
        <v>41</v>
      </c>
      <c r="C992" s="4" t="s">
        <v>42</v>
      </c>
      <c r="D992" s="4" t="s">
        <v>38</v>
      </c>
      <c r="E992" s="4" t="s">
        <v>25</v>
      </c>
      <c r="F992" s="4" t="s">
        <v>25</v>
      </c>
      <c r="G992" s="4" t="s">
        <v>25</v>
      </c>
      <c r="H992" s="4" t="s">
        <v>35</v>
      </c>
      <c r="I992" s="5">
        <v>44593</v>
      </c>
      <c r="J992" s="6">
        <v>0</v>
      </c>
      <c r="K992" s="6">
        <v>0</v>
      </c>
      <c r="L992" s="6">
        <v>-2.66</v>
      </c>
      <c r="M992" s="6">
        <v>-2.66</v>
      </c>
      <c r="N992" s="6">
        <v>-2.66</v>
      </c>
      <c r="O992" s="6">
        <v>-2.66</v>
      </c>
      <c r="P992" s="6">
        <v>0</v>
      </c>
      <c r="Q992" s="4" t="s">
        <v>26</v>
      </c>
      <c r="R992" s="4">
        <v>0</v>
      </c>
      <c r="S992" s="6">
        <v>0</v>
      </c>
      <c r="T992" s="6">
        <v>44</v>
      </c>
      <c r="U992" s="6">
        <v>67</v>
      </c>
      <c r="V992" s="6">
        <f>IF(ISERROR(VLOOKUP($S$992,'TAR FIN'!$A$1:$O$104,15,0)),0,VLOOKUP($S$992,'TAR FIN'!$A$1:$O$104,15,0))</f>
        <v>0</v>
      </c>
      <c r="W992" s="6">
        <f>IF(ISERROR(VLOOKUP($T$992,'TAR FIN'!$A$1:$O$104,15,0)),0,VLOOKUP($T$992,'TAR FIN'!$A$1:$O$104,15,0))</f>
        <v>62.57</v>
      </c>
      <c r="X992" s="6">
        <f>IF(ISERROR(VLOOKUP($U$992,'TAR FIN'!$A$1:$O$104,15,0)),0,VLOOKUP($U$992,'TAR FIN'!$A$1:$O$104,15,0))</f>
        <v>242.82</v>
      </c>
      <c r="Y992" s="6"/>
      <c r="Z992" s="6">
        <f ca="1">('TUSD BE'!$AM$26+'TUSD BF'!$AM$26+'TUSD CVA'!$AM$26)*1</f>
        <v>77.876201961015255</v>
      </c>
      <c r="AA992" s="6">
        <f>('TE BE'!$AB$8+'TE BF'!$AB$8+'TE CVA'!$AB$8)*1</f>
        <v>231.76257384332172</v>
      </c>
      <c r="AB992" s="6">
        <f>$K$992*$V$992</f>
        <v>0</v>
      </c>
      <c r="AC992" s="6">
        <f>$M$992*$W$992</f>
        <v>-166.43620000000001</v>
      </c>
      <c r="AD992" s="6">
        <f>$O$992*$X$992</f>
        <v>-645.90120000000002</v>
      </c>
      <c r="AE992" s="6">
        <f>$K$992*$Y$992</f>
        <v>0</v>
      </c>
      <c r="AF992" s="6">
        <f ca="1">$M$992*$Z$992</f>
        <v>-207.15069721630059</v>
      </c>
      <c r="AG992" s="6">
        <f>$O$992*$AA$992</f>
        <v>-616.48844642323581</v>
      </c>
    </row>
    <row r="993" spans="1:33" ht="11.25" customHeight="1" x14ac:dyDescent="0.25">
      <c r="A993" s="4" t="s">
        <v>21</v>
      </c>
      <c r="B993" s="4" t="s">
        <v>41</v>
      </c>
      <c r="C993" s="4" t="s">
        <v>42</v>
      </c>
      <c r="D993" s="4" t="s">
        <v>38</v>
      </c>
      <c r="E993" s="4" t="s">
        <v>25</v>
      </c>
      <c r="F993" s="4" t="s">
        <v>25</v>
      </c>
      <c r="G993" s="4" t="s">
        <v>25</v>
      </c>
      <c r="H993" s="4" t="s">
        <v>35</v>
      </c>
      <c r="I993" s="5">
        <v>44593</v>
      </c>
      <c r="J993" s="6">
        <v>0</v>
      </c>
      <c r="K993" s="6">
        <v>0</v>
      </c>
      <c r="L993" s="6">
        <v>971.80700000000002</v>
      </c>
      <c r="M993" s="6">
        <v>971.80700000000002</v>
      </c>
      <c r="N993" s="6">
        <v>0</v>
      </c>
      <c r="O993" s="6">
        <v>0</v>
      </c>
      <c r="P993" s="6">
        <v>0</v>
      </c>
      <c r="Q993" s="4" t="s">
        <v>58</v>
      </c>
      <c r="R993" s="4">
        <v>0</v>
      </c>
      <c r="S993" s="6">
        <v>0</v>
      </c>
      <c r="T993" s="6">
        <v>44</v>
      </c>
      <c r="U993" s="6">
        <v>0</v>
      </c>
      <c r="V993" s="6">
        <f>IF(ISERROR(VLOOKUP($S$993,'TAR FIN'!$A$1:$O$104,15,0)),0,VLOOKUP($S$993,'TAR FIN'!$A$1:$O$104,15,0))</f>
        <v>0</v>
      </c>
      <c r="W993" s="6">
        <f>IF(ISERROR(VLOOKUP($T$993,'TAR FIN'!$A$1:$O$104,15,0)),0,VLOOKUP($T$993,'TAR FIN'!$A$1:$O$104,15,0))</f>
        <v>62.57</v>
      </c>
      <c r="X993" s="6">
        <f>IF(ISERROR(VLOOKUP($U$993,'TAR FIN'!$A$1:$O$104,15,0)),0,VLOOKUP($U$993,'TAR FIN'!$A$1:$O$104,15,0))</f>
        <v>0</v>
      </c>
      <c r="Y993" s="6"/>
      <c r="Z993" s="6">
        <f ca="1">('TUSD BE'!$AM$26+'TUSD BF'!$AM$26+'TUSD CVA'!$AM$26)*1</f>
        <v>77.876201961015255</v>
      </c>
      <c r="AA993" s="6"/>
      <c r="AB993" s="6">
        <f>$K$993*$V$993</f>
        <v>0</v>
      </c>
      <c r="AC993" s="6">
        <f>$M$993*$W$993</f>
        <v>60805.963990000004</v>
      </c>
      <c r="AD993" s="6">
        <f>$O$993*$X$993</f>
        <v>0</v>
      </c>
      <c r="AE993" s="6">
        <f>$K$993*$Y$993</f>
        <v>0</v>
      </c>
      <c r="AF993" s="6">
        <f ca="1">$M$993*$Z$993</f>
        <v>75680.638199128356</v>
      </c>
      <c r="AG993" s="6">
        <f>$O$993*$AA$993</f>
        <v>0</v>
      </c>
    </row>
    <row r="994" spans="1:33" ht="11.25" customHeight="1" x14ac:dyDescent="0.25">
      <c r="A994" s="4" t="s">
        <v>21</v>
      </c>
      <c r="B994" s="4" t="s">
        <v>41</v>
      </c>
      <c r="C994" s="4" t="s">
        <v>42</v>
      </c>
      <c r="D994" s="4" t="s">
        <v>38</v>
      </c>
      <c r="E994" s="4" t="s">
        <v>25</v>
      </c>
      <c r="F994" s="4" t="s">
        <v>25</v>
      </c>
      <c r="G994" s="4" t="s">
        <v>25</v>
      </c>
      <c r="H994" s="4" t="s">
        <v>35</v>
      </c>
      <c r="I994" s="5">
        <v>44621</v>
      </c>
      <c r="J994" s="6">
        <v>0</v>
      </c>
      <c r="K994" s="6">
        <v>0</v>
      </c>
      <c r="L994" s="6">
        <v>8511.68</v>
      </c>
      <c r="M994" s="6">
        <v>8511.68</v>
      </c>
      <c r="N994" s="6">
        <v>8511.68</v>
      </c>
      <c r="O994" s="6">
        <v>8511.68</v>
      </c>
      <c r="P994" s="6">
        <v>0</v>
      </c>
      <c r="Q994" s="4" t="s">
        <v>26</v>
      </c>
      <c r="R994" s="4">
        <v>0</v>
      </c>
      <c r="S994" s="6">
        <v>0</v>
      </c>
      <c r="T994" s="6">
        <v>44</v>
      </c>
      <c r="U994" s="6">
        <v>67</v>
      </c>
      <c r="V994" s="6">
        <f>IF(ISERROR(VLOOKUP($S$994,'TAR FIN'!$A$1:$O$104,15,0)),0,VLOOKUP($S$994,'TAR FIN'!$A$1:$O$104,15,0))</f>
        <v>0</v>
      </c>
      <c r="W994" s="6">
        <f>IF(ISERROR(VLOOKUP($T$994,'TAR FIN'!$A$1:$O$104,15,0)),0,VLOOKUP($T$994,'TAR FIN'!$A$1:$O$104,15,0))</f>
        <v>62.57</v>
      </c>
      <c r="X994" s="6">
        <f>IF(ISERROR(VLOOKUP($U$994,'TAR FIN'!$A$1:$O$104,15,0)),0,VLOOKUP($U$994,'TAR FIN'!$A$1:$O$104,15,0))</f>
        <v>242.82</v>
      </c>
      <c r="Y994" s="6"/>
      <c r="Z994" s="6">
        <f ca="1">('TUSD BE'!$AM$26+'TUSD BF'!$AM$26+'TUSD CVA'!$AM$26)*1</f>
        <v>77.876201961015255</v>
      </c>
      <c r="AA994" s="6">
        <f>('TE BE'!$AB$8+'TE BF'!$AB$8+'TE CVA'!$AB$8)*1</f>
        <v>231.76257384332172</v>
      </c>
      <c r="AB994" s="6">
        <f>$K$994*$V$994</f>
        <v>0</v>
      </c>
      <c r="AC994" s="6">
        <f>$M$994*$W$994</f>
        <v>532575.81760000007</v>
      </c>
      <c r="AD994" s="6">
        <f>$O$994*$X$994</f>
        <v>2066806.1376</v>
      </c>
      <c r="AE994" s="6">
        <f>$K$994*$Y$994</f>
        <v>0</v>
      </c>
      <c r="AF994" s="6">
        <f ca="1">$M$994*$Z$994</f>
        <v>662857.31070753431</v>
      </c>
      <c r="AG994" s="6">
        <f>$O$994*$AA$994</f>
        <v>1972688.8645307247</v>
      </c>
    </row>
    <row r="995" spans="1:33" ht="11.25" customHeight="1" x14ac:dyDescent="0.25">
      <c r="A995" s="4" t="s">
        <v>28</v>
      </c>
      <c r="B995" s="4" t="s">
        <v>41</v>
      </c>
      <c r="C995" s="4" t="s">
        <v>42</v>
      </c>
      <c r="D995" s="4" t="s">
        <v>38</v>
      </c>
      <c r="E995" s="4" t="s">
        <v>25</v>
      </c>
      <c r="F995" s="4" t="s">
        <v>25</v>
      </c>
      <c r="G995" s="4" t="s">
        <v>25</v>
      </c>
      <c r="H995" s="4" t="s">
        <v>35</v>
      </c>
      <c r="I995" s="5">
        <v>44621</v>
      </c>
      <c r="J995" s="6">
        <v>0</v>
      </c>
      <c r="K995" s="6">
        <v>0</v>
      </c>
      <c r="L995" s="6">
        <v>611.16399999999999</v>
      </c>
      <c r="M995" s="6">
        <v>611.16399999999999</v>
      </c>
      <c r="N995" s="6">
        <v>611.16399999999999</v>
      </c>
      <c r="O995" s="6">
        <v>611.16399999999999</v>
      </c>
      <c r="P995" s="6">
        <v>0</v>
      </c>
      <c r="Q995" s="4" t="s">
        <v>26</v>
      </c>
      <c r="R995" s="4">
        <v>0</v>
      </c>
      <c r="S995" s="6">
        <v>0</v>
      </c>
      <c r="T995" s="6">
        <v>44</v>
      </c>
      <c r="U995" s="6">
        <v>67</v>
      </c>
      <c r="V995" s="6">
        <f>IF(ISERROR(VLOOKUP($S$995,'TAR FIN'!$A$1:$O$104,15,0)),0,VLOOKUP($S$995,'TAR FIN'!$A$1:$O$104,15,0))</f>
        <v>0</v>
      </c>
      <c r="W995" s="6">
        <f>IF(ISERROR(VLOOKUP($T$995,'TAR FIN'!$A$1:$O$104,15,0)),0,VLOOKUP($T$995,'TAR FIN'!$A$1:$O$104,15,0))</f>
        <v>62.57</v>
      </c>
      <c r="X995" s="6">
        <f>IF(ISERROR(VLOOKUP($U$995,'TAR FIN'!$A$1:$O$104,15,0)),0,VLOOKUP($U$995,'TAR FIN'!$A$1:$O$104,15,0))</f>
        <v>242.82</v>
      </c>
      <c r="Y995" s="6"/>
      <c r="Z995" s="6">
        <f ca="1">('TUSD BE'!$AM$26+'TUSD BF'!$AM$26+'TUSD CVA'!$AM$26)*1</f>
        <v>77.876201961015255</v>
      </c>
      <c r="AA995" s="6">
        <f>('TE BE'!$AB$8+'TE BF'!$AB$8+'TE CVA'!$AB$8)*1</f>
        <v>231.76257384332172</v>
      </c>
      <c r="AB995" s="6">
        <f>$K$995*$V$995</f>
        <v>0</v>
      </c>
      <c r="AC995" s="6">
        <f>$M$995*$W$995</f>
        <v>38240.531479999998</v>
      </c>
      <c r="AD995" s="6">
        <f>$O$995*$X$995</f>
        <v>148402.84247999999</v>
      </c>
      <c r="AE995" s="6">
        <f>$K$995*$Y$995</f>
        <v>0</v>
      </c>
      <c r="AF995" s="6">
        <f ca="1">$M$995*$Z$995</f>
        <v>47595.131095301927</v>
      </c>
      <c r="AG995" s="6">
        <f>$O$995*$AA$995</f>
        <v>141644.94168037988</v>
      </c>
    </row>
    <row r="996" spans="1:33" ht="11.25" customHeight="1" x14ac:dyDescent="0.25">
      <c r="A996" s="4" t="s">
        <v>21</v>
      </c>
      <c r="B996" s="4" t="s">
        <v>41</v>
      </c>
      <c r="C996" s="4" t="s">
        <v>42</v>
      </c>
      <c r="D996" s="4" t="s">
        <v>38</v>
      </c>
      <c r="E996" s="4" t="s">
        <v>25</v>
      </c>
      <c r="F996" s="4" t="s">
        <v>25</v>
      </c>
      <c r="G996" s="4" t="s">
        <v>25</v>
      </c>
      <c r="H996" s="4" t="s">
        <v>35</v>
      </c>
      <c r="I996" s="5">
        <v>44621</v>
      </c>
      <c r="J996" s="6">
        <v>0</v>
      </c>
      <c r="K996" s="6">
        <v>0</v>
      </c>
      <c r="L996" s="6">
        <v>718.24699999999996</v>
      </c>
      <c r="M996" s="6">
        <v>718.24699999999996</v>
      </c>
      <c r="N996" s="6">
        <v>0</v>
      </c>
      <c r="O996" s="6">
        <v>0</v>
      </c>
      <c r="P996" s="6">
        <v>0</v>
      </c>
      <c r="Q996" s="4" t="s">
        <v>58</v>
      </c>
      <c r="R996" s="4">
        <v>0</v>
      </c>
      <c r="S996" s="6">
        <v>0</v>
      </c>
      <c r="T996" s="6">
        <v>44</v>
      </c>
      <c r="U996" s="6">
        <v>0</v>
      </c>
      <c r="V996" s="6">
        <f>IF(ISERROR(VLOOKUP($S$996,'TAR FIN'!$A$1:$O$104,15,0)),0,VLOOKUP($S$996,'TAR FIN'!$A$1:$O$104,15,0))</f>
        <v>0</v>
      </c>
      <c r="W996" s="6">
        <f>IF(ISERROR(VLOOKUP($T$996,'TAR FIN'!$A$1:$O$104,15,0)),0,VLOOKUP($T$996,'TAR FIN'!$A$1:$O$104,15,0))</f>
        <v>62.57</v>
      </c>
      <c r="X996" s="6">
        <f>IF(ISERROR(VLOOKUP($U$996,'TAR FIN'!$A$1:$O$104,15,0)),0,VLOOKUP($U$996,'TAR FIN'!$A$1:$O$104,15,0))</f>
        <v>0</v>
      </c>
      <c r="Y996" s="6"/>
      <c r="Z996" s="6">
        <f ca="1">('TUSD BE'!$AM$26+'TUSD BF'!$AM$26+'TUSD CVA'!$AM$26)*1</f>
        <v>77.876201961015255</v>
      </c>
      <c r="AA996" s="6"/>
      <c r="AB996" s="6">
        <f>$K$996*$V$996</f>
        <v>0</v>
      </c>
      <c r="AC996" s="6">
        <f>$M$996*$W$996</f>
        <v>44940.714789999998</v>
      </c>
      <c r="AD996" s="6">
        <f>$O$996*$X$996</f>
        <v>0</v>
      </c>
      <c r="AE996" s="6">
        <f>$K$996*$Y$996</f>
        <v>0</v>
      </c>
      <c r="AF996" s="6">
        <f ca="1">$M$996*$Z$996</f>
        <v>55934.348429893318</v>
      </c>
      <c r="AG996" s="6">
        <f>$O$996*$AA$996</f>
        <v>0</v>
      </c>
    </row>
    <row r="997" spans="1:33" ht="11.25" customHeight="1" x14ac:dyDescent="0.25">
      <c r="A997" s="4" t="s">
        <v>21</v>
      </c>
      <c r="B997" s="4" t="s">
        <v>41</v>
      </c>
      <c r="C997" s="4" t="s">
        <v>42</v>
      </c>
      <c r="D997" s="4" t="s">
        <v>38</v>
      </c>
      <c r="E997" s="4" t="s">
        <v>25</v>
      </c>
      <c r="F997" s="4" t="s">
        <v>25</v>
      </c>
      <c r="G997" s="4" t="s">
        <v>25</v>
      </c>
      <c r="H997" s="4" t="s">
        <v>35</v>
      </c>
      <c r="I997" s="5">
        <v>44652</v>
      </c>
      <c r="J997" s="6">
        <v>0</v>
      </c>
      <c r="K997" s="6">
        <v>0</v>
      </c>
      <c r="L997" s="6">
        <v>8209.9879999999994</v>
      </c>
      <c r="M997" s="6">
        <v>8209.9879999999994</v>
      </c>
      <c r="N997" s="6">
        <v>8209.9879999999994</v>
      </c>
      <c r="O997" s="6">
        <v>8209.9879999999994</v>
      </c>
      <c r="P997" s="6">
        <v>0</v>
      </c>
      <c r="Q997" s="4" t="s">
        <v>26</v>
      </c>
      <c r="R997" s="4">
        <v>0</v>
      </c>
      <c r="S997" s="6">
        <v>0</v>
      </c>
      <c r="T997" s="6">
        <v>44</v>
      </c>
      <c r="U997" s="6">
        <v>67</v>
      </c>
      <c r="V997" s="6">
        <f>IF(ISERROR(VLOOKUP($S$997,'TAR FIN'!$A$1:$O$104,15,0)),0,VLOOKUP($S$997,'TAR FIN'!$A$1:$O$104,15,0))</f>
        <v>0</v>
      </c>
      <c r="W997" s="6">
        <f>IF(ISERROR(VLOOKUP($T$997,'TAR FIN'!$A$1:$O$104,15,0)),0,VLOOKUP($T$997,'TAR FIN'!$A$1:$O$104,15,0))</f>
        <v>62.57</v>
      </c>
      <c r="X997" s="6">
        <f>IF(ISERROR(VLOOKUP($U$997,'TAR FIN'!$A$1:$O$104,15,0)),0,VLOOKUP($U$997,'TAR FIN'!$A$1:$O$104,15,0))</f>
        <v>242.82</v>
      </c>
      <c r="Y997" s="6"/>
      <c r="Z997" s="6">
        <f ca="1">('TUSD BE'!$AM$26+'TUSD BF'!$AM$26+'TUSD CVA'!$AM$26)*1</f>
        <v>77.876201961015255</v>
      </c>
      <c r="AA997" s="6">
        <f>('TE BE'!$AB$8+'TE BF'!$AB$8+'TE CVA'!$AB$8)*1</f>
        <v>231.76257384332172</v>
      </c>
      <c r="AB997" s="6">
        <f>$K$997*$V$997</f>
        <v>0</v>
      </c>
      <c r="AC997" s="6">
        <f>$M$997*$W$997</f>
        <v>513698.94915999996</v>
      </c>
      <c r="AD997" s="6">
        <f>$O$997*$X$997</f>
        <v>1993549.2861599999</v>
      </c>
      <c r="AE997" s="6">
        <f>$K$997*$Y$997</f>
        <v>0</v>
      </c>
      <c r="AF997" s="6">
        <f ca="1">$M$997*$Z$997</f>
        <v>639362.68358551164</v>
      </c>
      <c r="AG997" s="6">
        <f>$O$997*$AA$997</f>
        <v>1902767.9501027851</v>
      </c>
    </row>
    <row r="998" spans="1:33" ht="11.25" customHeight="1" x14ac:dyDescent="0.25">
      <c r="A998" s="4" t="s">
        <v>28</v>
      </c>
      <c r="B998" s="4" t="s">
        <v>41</v>
      </c>
      <c r="C998" s="4" t="s">
        <v>42</v>
      </c>
      <c r="D998" s="4" t="s">
        <v>38</v>
      </c>
      <c r="E998" s="4" t="s">
        <v>25</v>
      </c>
      <c r="F998" s="4" t="s">
        <v>25</v>
      </c>
      <c r="G998" s="4" t="s">
        <v>25</v>
      </c>
      <c r="H998" s="4" t="s">
        <v>35</v>
      </c>
      <c r="I998" s="5">
        <v>44652</v>
      </c>
      <c r="J998" s="6">
        <v>0</v>
      </c>
      <c r="K998" s="6">
        <v>0</v>
      </c>
      <c r="L998" s="6">
        <v>578.93200000000002</v>
      </c>
      <c r="M998" s="6">
        <v>578.93200000000002</v>
      </c>
      <c r="N998" s="6">
        <v>578.93200000000002</v>
      </c>
      <c r="O998" s="6">
        <v>578.93200000000002</v>
      </c>
      <c r="P998" s="6">
        <v>0</v>
      </c>
      <c r="Q998" s="4" t="s">
        <v>26</v>
      </c>
      <c r="R998" s="4">
        <v>0</v>
      </c>
      <c r="S998" s="6">
        <v>0</v>
      </c>
      <c r="T998" s="6">
        <v>44</v>
      </c>
      <c r="U998" s="6">
        <v>67</v>
      </c>
      <c r="V998" s="6">
        <f>IF(ISERROR(VLOOKUP($S$998,'TAR FIN'!$A$1:$O$104,15,0)),0,VLOOKUP($S$998,'TAR FIN'!$A$1:$O$104,15,0))</f>
        <v>0</v>
      </c>
      <c r="W998" s="6">
        <f>IF(ISERROR(VLOOKUP($T$998,'TAR FIN'!$A$1:$O$104,15,0)),0,VLOOKUP($T$998,'TAR FIN'!$A$1:$O$104,15,0))</f>
        <v>62.57</v>
      </c>
      <c r="X998" s="6">
        <f>IF(ISERROR(VLOOKUP($U$998,'TAR FIN'!$A$1:$O$104,15,0)),0,VLOOKUP($U$998,'TAR FIN'!$A$1:$O$104,15,0))</f>
        <v>242.82</v>
      </c>
      <c r="Y998" s="6"/>
      <c r="Z998" s="6">
        <f ca="1">('TUSD BE'!$AM$26+'TUSD BF'!$AM$26+'TUSD CVA'!$AM$26)*1</f>
        <v>77.876201961015255</v>
      </c>
      <c r="AA998" s="6">
        <f>('TE BE'!$AB$8+'TE BF'!$AB$8+'TE CVA'!$AB$8)*1</f>
        <v>231.76257384332172</v>
      </c>
      <c r="AB998" s="6">
        <f>$K$998*$V$998</f>
        <v>0</v>
      </c>
      <c r="AC998" s="6">
        <f>$M$998*$W$998</f>
        <v>36223.775240000003</v>
      </c>
      <c r="AD998" s="6">
        <f>$O$998*$X$998</f>
        <v>140576.26824</v>
      </c>
      <c r="AE998" s="6">
        <f>$K$998*$Y$998</f>
        <v>0</v>
      </c>
      <c r="AF998" s="6">
        <f ca="1">$M$998*$Z$998</f>
        <v>45085.025353694487</v>
      </c>
      <c r="AG998" s="6">
        <f>$O$998*$AA$998</f>
        <v>134174.77040026194</v>
      </c>
    </row>
    <row r="999" spans="1:33" ht="11.25" customHeight="1" x14ac:dyDescent="0.25">
      <c r="A999" s="4" t="s">
        <v>21</v>
      </c>
      <c r="B999" s="4" t="s">
        <v>41</v>
      </c>
      <c r="C999" s="4" t="s">
        <v>42</v>
      </c>
      <c r="D999" s="4" t="s">
        <v>38</v>
      </c>
      <c r="E999" s="4" t="s">
        <v>25</v>
      </c>
      <c r="F999" s="4" t="s">
        <v>25</v>
      </c>
      <c r="G999" s="4" t="s">
        <v>25</v>
      </c>
      <c r="H999" s="4" t="s">
        <v>35</v>
      </c>
      <c r="I999" s="5">
        <v>44652</v>
      </c>
      <c r="J999" s="6">
        <v>0</v>
      </c>
      <c r="K999" s="6">
        <v>0</v>
      </c>
      <c r="L999" s="6">
        <v>303.14699999999999</v>
      </c>
      <c r="M999" s="6">
        <v>303.14699999999999</v>
      </c>
      <c r="N999" s="6">
        <v>0</v>
      </c>
      <c r="O999" s="6">
        <v>0</v>
      </c>
      <c r="P999" s="6">
        <v>0</v>
      </c>
      <c r="Q999" s="4" t="s">
        <v>58</v>
      </c>
      <c r="R999" s="4">
        <v>0</v>
      </c>
      <c r="S999" s="6">
        <v>0</v>
      </c>
      <c r="T999" s="6">
        <v>44</v>
      </c>
      <c r="U999" s="6">
        <v>0</v>
      </c>
      <c r="V999" s="6">
        <f>IF(ISERROR(VLOOKUP($S$999,'TAR FIN'!$A$1:$O$104,15,0)),0,VLOOKUP($S$999,'TAR FIN'!$A$1:$O$104,15,0))</f>
        <v>0</v>
      </c>
      <c r="W999" s="6">
        <f>IF(ISERROR(VLOOKUP($T$999,'TAR FIN'!$A$1:$O$104,15,0)),0,VLOOKUP($T$999,'TAR FIN'!$A$1:$O$104,15,0))</f>
        <v>62.57</v>
      </c>
      <c r="X999" s="6">
        <f>IF(ISERROR(VLOOKUP($U$999,'TAR FIN'!$A$1:$O$104,15,0)),0,VLOOKUP($U$999,'TAR FIN'!$A$1:$O$104,15,0))</f>
        <v>0</v>
      </c>
      <c r="Y999" s="6"/>
      <c r="Z999" s="6">
        <f ca="1">('TUSD BE'!$AM$26+'TUSD BF'!$AM$26+'TUSD CVA'!$AM$26)*1</f>
        <v>77.876201961015255</v>
      </c>
      <c r="AA999" s="6"/>
      <c r="AB999" s="6">
        <f>$K$999*$V$999</f>
        <v>0</v>
      </c>
      <c r="AC999" s="6">
        <f>$M$999*$W$999</f>
        <v>18967.907790000001</v>
      </c>
      <c r="AD999" s="6">
        <f>$O$999*$X$999</f>
        <v>0</v>
      </c>
      <c r="AE999" s="6">
        <f>$K$999*$Y$999</f>
        <v>0</v>
      </c>
      <c r="AF999" s="6">
        <f ca="1">$M$999*$Z$999</f>
        <v>23607.936995875891</v>
      </c>
      <c r="AG999" s="6">
        <f>$O$999*$AA$999</f>
        <v>0</v>
      </c>
    </row>
    <row r="1000" spans="1:33" ht="11.25" customHeight="1" x14ac:dyDescent="0.25">
      <c r="A1000" s="4" t="s">
        <v>21</v>
      </c>
      <c r="B1000" s="4" t="s">
        <v>41</v>
      </c>
      <c r="C1000" s="4" t="s">
        <v>42</v>
      </c>
      <c r="D1000" s="4" t="s">
        <v>38</v>
      </c>
      <c r="E1000" s="4" t="s">
        <v>25</v>
      </c>
      <c r="F1000" s="4" t="s">
        <v>25</v>
      </c>
      <c r="G1000" s="4" t="s">
        <v>25</v>
      </c>
      <c r="H1000" s="4" t="s">
        <v>35</v>
      </c>
      <c r="I1000" s="5">
        <v>44682</v>
      </c>
      <c r="J1000" s="6">
        <v>0</v>
      </c>
      <c r="K1000" s="6">
        <v>0</v>
      </c>
      <c r="L1000" s="6">
        <v>8228.134</v>
      </c>
      <c r="M1000" s="6">
        <v>8228.134</v>
      </c>
      <c r="N1000" s="6">
        <v>8228.134</v>
      </c>
      <c r="O1000" s="6">
        <v>8228.134</v>
      </c>
      <c r="P1000" s="6">
        <v>0</v>
      </c>
      <c r="Q1000" s="4" t="s">
        <v>26</v>
      </c>
      <c r="R1000" s="4">
        <v>0</v>
      </c>
      <c r="S1000" s="6">
        <v>0</v>
      </c>
      <c r="T1000" s="6">
        <v>44</v>
      </c>
      <c r="U1000" s="6">
        <v>67</v>
      </c>
      <c r="V1000" s="6">
        <f>IF(ISERROR(VLOOKUP($S$1000,'TAR FIN'!$A$1:$O$104,15,0)),0,VLOOKUP($S$1000,'TAR FIN'!$A$1:$O$104,15,0))</f>
        <v>0</v>
      </c>
      <c r="W1000" s="6">
        <f>IF(ISERROR(VLOOKUP($T$1000,'TAR FIN'!$A$1:$O$104,15,0)),0,VLOOKUP($T$1000,'TAR FIN'!$A$1:$O$104,15,0))</f>
        <v>62.57</v>
      </c>
      <c r="X1000" s="6">
        <f>IF(ISERROR(VLOOKUP($U$1000,'TAR FIN'!$A$1:$O$104,15,0)),0,VLOOKUP($U$1000,'TAR FIN'!$A$1:$O$104,15,0))</f>
        <v>242.82</v>
      </c>
      <c r="Y1000" s="6"/>
      <c r="Z1000" s="6">
        <f ca="1">('TUSD BE'!$AM$26+'TUSD BF'!$AM$26+'TUSD CVA'!$AM$26)*1</f>
        <v>77.876201961015255</v>
      </c>
      <c r="AA1000" s="6">
        <f>('TE BE'!$AB$8+'TE BF'!$AB$8+'TE CVA'!$AB$8)*1</f>
        <v>231.76257384332172</v>
      </c>
      <c r="AB1000" s="6">
        <f>$K$1000*$V$1000</f>
        <v>0</v>
      </c>
      <c r="AC1000" s="6">
        <f>$M$1000*$W$1000</f>
        <v>514834.34438000002</v>
      </c>
      <c r="AD1000" s="6">
        <f>$O$1000*$X$1000</f>
        <v>1997955.4978799999</v>
      </c>
      <c r="AE1000" s="6">
        <f>$K$1000*$Y$1000</f>
        <v>0</v>
      </c>
      <c r="AF1000" s="6">
        <f ca="1">$M$1000*$Z$1000</f>
        <v>640775.82514629629</v>
      </c>
      <c r="AG1000" s="6">
        <f>$O$1000*$AA$1000</f>
        <v>1906973.513767746</v>
      </c>
    </row>
    <row r="1001" spans="1:33" ht="11.25" customHeight="1" x14ac:dyDescent="0.25">
      <c r="A1001" s="4" t="s">
        <v>27</v>
      </c>
      <c r="B1001" s="4" t="s">
        <v>41</v>
      </c>
      <c r="C1001" s="4" t="s">
        <v>42</v>
      </c>
      <c r="D1001" s="4" t="s">
        <v>38</v>
      </c>
      <c r="E1001" s="4" t="s">
        <v>25</v>
      </c>
      <c r="F1001" s="4" t="s">
        <v>25</v>
      </c>
      <c r="G1001" s="4" t="s">
        <v>25</v>
      </c>
      <c r="H1001" s="4" t="s">
        <v>35</v>
      </c>
      <c r="I1001" s="5">
        <v>44682</v>
      </c>
      <c r="J1001" s="6">
        <v>0</v>
      </c>
      <c r="K1001" s="6">
        <v>0</v>
      </c>
      <c r="L1001" s="6">
        <v>3.3479999999999999</v>
      </c>
      <c r="M1001" s="6">
        <v>3.3479999999999999</v>
      </c>
      <c r="N1001" s="6">
        <v>3.3479999999999999</v>
      </c>
      <c r="O1001" s="6">
        <v>3.3479999999999999</v>
      </c>
      <c r="P1001" s="6">
        <v>0</v>
      </c>
      <c r="Q1001" s="4" t="s">
        <v>26</v>
      </c>
      <c r="R1001" s="4">
        <v>0</v>
      </c>
      <c r="S1001" s="6">
        <v>0</v>
      </c>
      <c r="T1001" s="6">
        <v>44</v>
      </c>
      <c r="U1001" s="6">
        <v>67</v>
      </c>
      <c r="V1001" s="6">
        <f>IF(ISERROR(VLOOKUP($S$1001,'TAR FIN'!$A$1:$O$104,15,0)),0,VLOOKUP($S$1001,'TAR FIN'!$A$1:$O$104,15,0))</f>
        <v>0</v>
      </c>
      <c r="W1001" s="6">
        <f>IF(ISERROR(VLOOKUP($T$1001,'TAR FIN'!$A$1:$O$104,15,0)),0,VLOOKUP($T$1001,'TAR FIN'!$A$1:$O$104,15,0))</f>
        <v>62.57</v>
      </c>
      <c r="X1001" s="6">
        <f>IF(ISERROR(VLOOKUP($U$1001,'TAR FIN'!$A$1:$O$104,15,0)),0,VLOOKUP($U$1001,'TAR FIN'!$A$1:$O$104,15,0))</f>
        <v>242.82</v>
      </c>
      <c r="Y1001" s="6"/>
      <c r="Z1001" s="6">
        <f ca="1">('TUSD BE'!$AM$26+'TUSD BF'!$AM$26+'TUSD CVA'!$AM$26)*1</f>
        <v>77.876201961015255</v>
      </c>
      <c r="AA1001" s="6">
        <f>('TE BE'!$AB$8+'TE BF'!$AB$8+'TE CVA'!$AB$8)*1</f>
        <v>231.76257384332172</v>
      </c>
      <c r="AB1001" s="6">
        <f>$K$1001*$V$1001</f>
        <v>0</v>
      </c>
      <c r="AC1001" s="6">
        <f>$M$1001*$W$1001</f>
        <v>209.48435999999998</v>
      </c>
      <c r="AD1001" s="6">
        <f>$O$1001*$X$1001</f>
        <v>812.9613599999999</v>
      </c>
      <c r="AE1001" s="6">
        <f>$K$1001*$Y$1001</f>
        <v>0</v>
      </c>
      <c r="AF1001" s="6">
        <f ca="1">$M$1001*$Z$1001</f>
        <v>260.72952416547906</v>
      </c>
      <c r="AG1001" s="6">
        <f>$O$1001*$AA$1001</f>
        <v>775.94109722744111</v>
      </c>
    </row>
    <row r="1002" spans="1:33" ht="11.25" customHeight="1" x14ac:dyDescent="0.25">
      <c r="A1002" s="4" t="s">
        <v>28</v>
      </c>
      <c r="B1002" s="4" t="s">
        <v>41</v>
      </c>
      <c r="C1002" s="4" t="s">
        <v>42</v>
      </c>
      <c r="D1002" s="4" t="s">
        <v>38</v>
      </c>
      <c r="E1002" s="4" t="s">
        <v>25</v>
      </c>
      <c r="F1002" s="4" t="s">
        <v>25</v>
      </c>
      <c r="G1002" s="4" t="s">
        <v>25</v>
      </c>
      <c r="H1002" s="4" t="s">
        <v>35</v>
      </c>
      <c r="I1002" s="5">
        <v>44682</v>
      </c>
      <c r="J1002" s="6">
        <v>0</v>
      </c>
      <c r="K1002" s="6">
        <v>0</v>
      </c>
      <c r="L1002" s="6">
        <v>699.226</v>
      </c>
      <c r="M1002" s="6">
        <v>699.226</v>
      </c>
      <c r="N1002" s="6">
        <v>699.226</v>
      </c>
      <c r="O1002" s="6">
        <v>699.226</v>
      </c>
      <c r="P1002" s="6">
        <v>0</v>
      </c>
      <c r="Q1002" s="4" t="s">
        <v>26</v>
      </c>
      <c r="R1002" s="4">
        <v>0</v>
      </c>
      <c r="S1002" s="6">
        <v>0</v>
      </c>
      <c r="T1002" s="6">
        <v>44</v>
      </c>
      <c r="U1002" s="6">
        <v>67</v>
      </c>
      <c r="V1002" s="6">
        <f>IF(ISERROR(VLOOKUP($S$1002,'TAR FIN'!$A$1:$O$104,15,0)),0,VLOOKUP($S$1002,'TAR FIN'!$A$1:$O$104,15,0))</f>
        <v>0</v>
      </c>
      <c r="W1002" s="6">
        <f>IF(ISERROR(VLOOKUP($T$1002,'TAR FIN'!$A$1:$O$104,15,0)),0,VLOOKUP($T$1002,'TAR FIN'!$A$1:$O$104,15,0))</f>
        <v>62.57</v>
      </c>
      <c r="X1002" s="6">
        <f>IF(ISERROR(VLOOKUP($U$1002,'TAR FIN'!$A$1:$O$104,15,0)),0,VLOOKUP($U$1002,'TAR FIN'!$A$1:$O$104,15,0))</f>
        <v>242.82</v>
      </c>
      <c r="Y1002" s="6"/>
      <c r="Z1002" s="6">
        <f ca="1">('TUSD BE'!$AM$26+'TUSD BF'!$AM$26+'TUSD CVA'!$AM$26)*1</f>
        <v>77.876201961015255</v>
      </c>
      <c r="AA1002" s="6">
        <f>('TE BE'!$AB$8+'TE BF'!$AB$8+'TE CVA'!$AB$8)*1</f>
        <v>231.76257384332172</v>
      </c>
      <c r="AB1002" s="6">
        <f>$K$1002*$V$1002</f>
        <v>0</v>
      </c>
      <c r="AC1002" s="6">
        <f>$M$1002*$W$1002</f>
        <v>43750.570820000001</v>
      </c>
      <c r="AD1002" s="6">
        <f>$O$1002*$X$1002</f>
        <v>169786.05731999999</v>
      </c>
      <c r="AE1002" s="6">
        <f>$K$1002*$Y$1002</f>
        <v>0</v>
      </c>
      <c r="AF1002" s="6">
        <f ca="1">$M$1002*$Z$1002</f>
        <v>54453.065192392853</v>
      </c>
      <c r="AG1002" s="6">
        <f>$O$1002*$AA$1002</f>
        <v>162054.41745817047</v>
      </c>
    </row>
    <row r="1003" spans="1:33" ht="11.25" customHeight="1" x14ac:dyDescent="0.25">
      <c r="A1003" s="4" t="s">
        <v>21</v>
      </c>
      <c r="B1003" s="4" t="s">
        <v>41</v>
      </c>
      <c r="C1003" s="4" t="s">
        <v>42</v>
      </c>
      <c r="D1003" s="4" t="s">
        <v>38</v>
      </c>
      <c r="E1003" s="4" t="s">
        <v>25</v>
      </c>
      <c r="F1003" s="4" t="s">
        <v>25</v>
      </c>
      <c r="G1003" s="4" t="s">
        <v>25</v>
      </c>
      <c r="H1003" s="4" t="s">
        <v>35</v>
      </c>
      <c r="I1003" s="5">
        <v>44682</v>
      </c>
      <c r="J1003" s="6">
        <v>0</v>
      </c>
      <c r="K1003" s="6">
        <v>0</v>
      </c>
      <c r="L1003" s="6">
        <v>550.42499999999995</v>
      </c>
      <c r="M1003" s="6">
        <v>550.42499999999995</v>
      </c>
      <c r="N1003" s="6">
        <v>0</v>
      </c>
      <c r="O1003" s="6">
        <v>0</v>
      </c>
      <c r="P1003" s="6">
        <v>0</v>
      </c>
      <c r="Q1003" s="4" t="s">
        <v>58</v>
      </c>
      <c r="R1003" s="4">
        <v>0</v>
      </c>
      <c r="S1003" s="6">
        <v>0</v>
      </c>
      <c r="T1003" s="6">
        <v>44</v>
      </c>
      <c r="U1003" s="6">
        <v>0</v>
      </c>
      <c r="V1003" s="6">
        <f>IF(ISERROR(VLOOKUP($S$1003,'TAR FIN'!$A$1:$O$104,15,0)),0,VLOOKUP($S$1003,'TAR FIN'!$A$1:$O$104,15,0))</f>
        <v>0</v>
      </c>
      <c r="W1003" s="6">
        <f>IF(ISERROR(VLOOKUP($T$1003,'TAR FIN'!$A$1:$O$104,15,0)),0,VLOOKUP($T$1003,'TAR FIN'!$A$1:$O$104,15,0))</f>
        <v>62.57</v>
      </c>
      <c r="X1003" s="6">
        <f>IF(ISERROR(VLOOKUP($U$1003,'TAR FIN'!$A$1:$O$104,15,0)),0,VLOOKUP($U$1003,'TAR FIN'!$A$1:$O$104,15,0))</f>
        <v>0</v>
      </c>
      <c r="Y1003" s="6"/>
      <c r="Z1003" s="6">
        <f ca="1">('TUSD BE'!$AM$26+'TUSD BF'!$AM$26+'TUSD CVA'!$AM$26)*1</f>
        <v>77.876201961015255</v>
      </c>
      <c r="AA1003" s="6"/>
      <c r="AB1003" s="6">
        <f>$K$1003*$V$1003</f>
        <v>0</v>
      </c>
      <c r="AC1003" s="6">
        <f>$M$1003*$W$1003</f>
        <v>34440.092249999994</v>
      </c>
      <c r="AD1003" s="6">
        <f>$O$1003*$X$1003</f>
        <v>0</v>
      </c>
      <c r="AE1003" s="6">
        <f>$K$1003*$Y$1003</f>
        <v>0</v>
      </c>
      <c r="AF1003" s="6">
        <f ca="1">$M$1003*$Z$1003</f>
        <v>42865.008464391816</v>
      </c>
      <c r="AG1003" s="6">
        <f>$O$1003*$AA$1003</f>
        <v>0</v>
      </c>
    </row>
    <row r="1004" spans="1:33" ht="11.25" customHeight="1" x14ac:dyDescent="0.25">
      <c r="A1004" s="4" t="s">
        <v>21</v>
      </c>
      <c r="B1004" s="4" t="s">
        <v>41</v>
      </c>
      <c r="C1004" s="4" t="s">
        <v>42</v>
      </c>
      <c r="D1004" s="4" t="s">
        <v>38</v>
      </c>
      <c r="E1004" s="4" t="s">
        <v>25</v>
      </c>
      <c r="F1004" s="4" t="s">
        <v>25</v>
      </c>
      <c r="G1004" s="4" t="s">
        <v>25</v>
      </c>
      <c r="H1004" s="4" t="s">
        <v>35</v>
      </c>
      <c r="I1004" s="5">
        <v>44713</v>
      </c>
      <c r="J1004" s="6">
        <v>0</v>
      </c>
      <c r="K1004" s="6">
        <v>0</v>
      </c>
      <c r="L1004" s="6">
        <v>7850.5230000000001</v>
      </c>
      <c r="M1004" s="6">
        <v>7850.5230000000001</v>
      </c>
      <c r="N1004" s="6">
        <v>7850.5230000000001</v>
      </c>
      <c r="O1004" s="6">
        <v>7850.5230000000001</v>
      </c>
      <c r="P1004" s="6">
        <v>0</v>
      </c>
      <c r="Q1004" s="4" t="s">
        <v>26</v>
      </c>
      <c r="R1004" s="4">
        <v>0</v>
      </c>
      <c r="S1004" s="6">
        <v>0</v>
      </c>
      <c r="T1004" s="6">
        <v>44</v>
      </c>
      <c r="U1004" s="6">
        <v>67</v>
      </c>
      <c r="V1004" s="6">
        <f>IF(ISERROR(VLOOKUP($S$1004,'TAR FIN'!$A$1:$O$104,15,0)),0,VLOOKUP($S$1004,'TAR FIN'!$A$1:$O$104,15,0))</f>
        <v>0</v>
      </c>
      <c r="W1004" s="6">
        <f>IF(ISERROR(VLOOKUP($T$1004,'TAR FIN'!$A$1:$O$104,15,0)),0,VLOOKUP($T$1004,'TAR FIN'!$A$1:$O$104,15,0))</f>
        <v>62.57</v>
      </c>
      <c r="X1004" s="6">
        <f>IF(ISERROR(VLOOKUP($U$1004,'TAR FIN'!$A$1:$O$104,15,0)),0,VLOOKUP($U$1004,'TAR FIN'!$A$1:$O$104,15,0))</f>
        <v>242.82</v>
      </c>
      <c r="Y1004" s="6"/>
      <c r="Z1004" s="6">
        <f ca="1">('TUSD BE'!$AM$26+'TUSD BF'!$AM$26+'TUSD CVA'!$AM$26)*1</f>
        <v>77.876201961015255</v>
      </c>
      <c r="AA1004" s="6">
        <f>('TE BE'!$AB$8+'TE BF'!$AB$8+'TE CVA'!$AB$8)*1</f>
        <v>231.76257384332172</v>
      </c>
      <c r="AB1004" s="6">
        <f>$K$1004*$V$1004</f>
        <v>0</v>
      </c>
      <c r="AC1004" s="6">
        <f>$M$1004*$W$1004</f>
        <v>491207.22411000001</v>
      </c>
      <c r="AD1004" s="6">
        <f>$O$1004*$X$1004</f>
        <v>1906263.99486</v>
      </c>
      <c r="AE1004" s="6">
        <f>$K$1004*$Y$1004</f>
        <v>0</v>
      </c>
      <c r="AF1004" s="6">
        <f ca="1">$M$1004*$Z$1004</f>
        <v>611368.91464759537</v>
      </c>
      <c r="AG1004" s="6">
        <f>$O$1004*$AA$1004</f>
        <v>1819457.4164961956</v>
      </c>
    </row>
    <row r="1005" spans="1:33" ht="11.25" customHeight="1" x14ac:dyDescent="0.25">
      <c r="A1005" s="4" t="s">
        <v>27</v>
      </c>
      <c r="B1005" s="4" t="s">
        <v>41</v>
      </c>
      <c r="C1005" s="4" t="s">
        <v>42</v>
      </c>
      <c r="D1005" s="4" t="s">
        <v>38</v>
      </c>
      <c r="E1005" s="4" t="s">
        <v>25</v>
      </c>
      <c r="F1005" s="4" t="s">
        <v>25</v>
      </c>
      <c r="G1005" s="4" t="s">
        <v>25</v>
      </c>
      <c r="H1005" s="4" t="s">
        <v>35</v>
      </c>
      <c r="I1005" s="5">
        <v>44713</v>
      </c>
      <c r="J1005" s="6">
        <v>0</v>
      </c>
      <c r="K1005" s="6">
        <v>0</v>
      </c>
      <c r="L1005" s="6">
        <v>-16.785</v>
      </c>
      <c r="M1005" s="6">
        <v>-16.785</v>
      </c>
      <c r="N1005" s="6">
        <v>-16.785</v>
      </c>
      <c r="O1005" s="6">
        <v>-16.785</v>
      </c>
      <c r="P1005" s="6">
        <v>0</v>
      </c>
      <c r="Q1005" s="4" t="s">
        <v>26</v>
      </c>
      <c r="R1005" s="4">
        <v>0</v>
      </c>
      <c r="S1005" s="6">
        <v>0</v>
      </c>
      <c r="T1005" s="6">
        <v>44</v>
      </c>
      <c r="U1005" s="6">
        <v>67</v>
      </c>
      <c r="V1005" s="6">
        <f>IF(ISERROR(VLOOKUP($S$1005,'TAR FIN'!$A$1:$O$104,15,0)),0,VLOOKUP($S$1005,'TAR FIN'!$A$1:$O$104,15,0))</f>
        <v>0</v>
      </c>
      <c r="W1005" s="6">
        <f>IF(ISERROR(VLOOKUP($T$1005,'TAR FIN'!$A$1:$O$104,15,0)),0,VLOOKUP($T$1005,'TAR FIN'!$A$1:$O$104,15,0))</f>
        <v>62.57</v>
      </c>
      <c r="X1005" s="6">
        <f>IF(ISERROR(VLOOKUP($U$1005,'TAR FIN'!$A$1:$O$104,15,0)),0,VLOOKUP($U$1005,'TAR FIN'!$A$1:$O$104,15,0))</f>
        <v>242.82</v>
      </c>
      <c r="Y1005" s="6"/>
      <c r="Z1005" s="6">
        <f ca="1">('TUSD BE'!$AM$26+'TUSD BF'!$AM$26+'TUSD CVA'!$AM$26)*1</f>
        <v>77.876201961015255</v>
      </c>
      <c r="AA1005" s="6">
        <f>('TE BE'!$AB$8+'TE BF'!$AB$8+'TE CVA'!$AB$8)*1</f>
        <v>231.76257384332172</v>
      </c>
      <c r="AB1005" s="6">
        <f>$K$1005*$V$1005</f>
        <v>0</v>
      </c>
      <c r="AC1005" s="6">
        <f>$M$1005*$W$1005</f>
        <v>-1050.2374500000001</v>
      </c>
      <c r="AD1005" s="6">
        <f>$O$1005*$X$1005</f>
        <v>-4075.7336999999998</v>
      </c>
      <c r="AE1005" s="6">
        <f>$K$1005*$Y$1005</f>
        <v>0</v>
      </c>
      <c r="AF1005" s="6">
        <f ca="1">$M$1005*$Z$1005</f>
        <v>-1307.1520499156411</v>
      </c>
      <c r="AG1005" s="6">
        <f>$O$1005*$AA$1005</f>
        <v>-3890.1348019601551</v>
      </c>
    </row>
    <row r="1006" spans="1:33" ht="11.25" customHeight="1" x14ac:dyDescent="0.25">
      <c r="A1006" s="4" t="s">
        <v>28</v>
      </c>
      <c r="B1006" s="4" t="s">
        <v>41</v>
      </c>
      <c r="C1006" s="4" t="s">
        <v>42</v>
      </c>
      <c r="D1006" s="4" t="s">
        <v>38</v>
      </c>
      <c r="E1006" s="4" t="s">
        <v>25</v>
      </c>
      <c r="F1006" s="4" t="s">
        <v>25</v>
      </c>
      <c r="G1006" s="4" t="s">
        <v>25</v>
      </c>
      <c r="H1006" s="4" t="s">
        <v>35</v>
      </c>
      <c r="I1006" s="5">
        <v>44713</v>
      </c>
      <c r="J1006" s="6">
        <v>0</v>
      </c>
      <c r="K1006" s="6">
        <v>0</v>
      </c>
      <c r="L1006" s="6">
        <v>751.44600000000003</v>
      </c>
      <c r="M1006" s="6">
        <v>751.44600000000003</v>
      </c>
      <c r="N1006" s="6">
        <v>751.44600000000003</v>
      </c>
      <c r="O1006" s="6">
        <v>751.44600000000003</v>
      </c>
      <c r="P1006" s="6">
        <v>0</v>
      </c>
      <c r="Q1006" s="4" t="s">
        <v>26</v>
      </c>
      <c r="R1006" s="4">
        <v>0</v>
      </c>
      <c r="S1006" s="6">
        <v>0</v>
      </c>
      <c r="T1006" s="6">
        <v>44</v>
      </c>
      <c r="U1006" s="6">
        <v>67</v>
      </c>
      <c r="V1006" s="6">
        <f>IF(ISERROR(VLOOKUP($S$1006,'TAR FIN'!$A$1:$O$104,15,0)),0,VLOOKUP($S$1006,'TAR FIN'!$A$1:$O$104,15,0))</f>
        <v>0</v>
      </c>
      <c r="W1006" s="6">
        <f>IF(ISERROR(VLOOKUP($T$1006,'TAR FIN'!$A$1:$O$104,15,0)),0,VLOOKUP($T$1006,'TAR FIN'!$A$1:$O$104,15,0))</f>
        <v>62.57</v>
      </c>
      <c r="X1006" s="6">
        <f>IF(ISERROR(VLOOKUP($U$1006,'TAR FIN'!$A$1:$O$104,15,0)),0,VLOOKUP($U$1006,'TAR FIN'!$A$1:$O$104,15,0))</f>
        <v>242.82</v>
      </c>
      <c r="Y1006" s="6"/>
      <c r="Z1006" s="6">
        <f ca="1">('TUSD BE'!$AM$26+'TUSD BF'!$AM$26+'TUSD CVA'!$AM$26)*1</f>
        <v>77.876201961015255</v>
      </c>
      <c r="AA1006" s="6">
        <f>('TE BE'!$AB$8+'TE BF'!$AB$8+'TE CVA'!$AB$8)*1</f>
        <v>231.76257384332172</v>
      </c>
      <c r="AB1006" s="6">
        <f>$K$1006*$V$1006</f>
        <v>0</v>
      </c>
      <c r="AC1006" s="6">
        <f>$M$1006*$W$1006</f>
        <v>47017.976220000004</v>
      </c>
      <c r="AD1006" s="6">
        <f>$O$1006*$X$1006</f>
        <v>182466.11772000001</v>
      </c>
      <c r="AE1006" s="6">
        <f>$K$1006*$Y$1006</f>
        <v>0</v>
      </c>
      <c r="AF1006" s="6">
        <f ca="1">$M$1006*$Z$1006</f>
        <v>58519.760458797071</v>
      </c>
      <c r="AG1006" s="6">
        <f>$O$1006*$AA$1006</f>
        <v>174157.05906426875</v>
      </c>
    </row>
    <row r="1007" spans="1:33" ht="11.25" customHeight="1" x14ac:dyDescent="0.25">
      <c r="A1007" s="4" t="s">
        <v>57</v>
      </c>
      <c r="B1007" s="4" t="s">
        <v>41</v>
      </c>
      <c r="C1007" s="4" t="s">
        <v>42</v>
      </c>
      <c r="D1007" s="4" t="s">
        <v>38</v>
      </c>
      <c r="E1007" s="4" t="s">
        <v>25</v>
      </c>
      <c r="F1007" s="4" t="s">
        <v>25</v>
      </c>
      <c r="G1007" s="4" t="s">
        <v>25</v>
      </c>
      <c r="H1007" s="4" t="s">
        <v>35</v>
      </c>
      <c r="I1007" s="5">
        <v>44743</v>
      </c>
      <c r="J1007" s="6">
        <v>0</v>
      </c>
      <c r="K1007" s="6">
        <v>0</v>
      </c>
      <c r="L1007" s="6">
        <v>7850.5230000000001</v>
      </c>
      <c r="M1007" s="6">
        <v>7850.5230000000001</v>
      </c>
      <c r="N1007" s="6">
        <v>7850.5230000000001</v>
      </c>
      <c r="O1007" s="6">
        <v>7850.5230000000001</v>
      </c>
      <c r="P1007" s="6">
        <v>0</v>
      </c>
      <c r="Q1007" s="4" t="s">
        <v>26</v>
      </c>
      <c r="R1007" s="4">
        <v>0</v>
      </c>
      <c r="S1007" s="6">
        <v>0</v>
      </c>
      <c r="T1007" s="6">
        <v>44</v>
      </c>
      <c r="U1007" s="6">
        <v>67</v>
      </c>
      <c r="V1007" s="6">
        <f>IF(ISERROR(VLOOKUP($S$1007,'TAR FIN'!$A$1:$O$104,15,0)),0,VLOOKUP($S$1007,'TAR FIN'!$A$1:$O$104,15,0))</f>
        <v>0</v>
      </c>
      <c r="W1007" s="6">
        <f>IF(ISERROR(VLOOKUP($T$1007,'TAR FIN'!$A$1:$O$104,15,0)),0,VLOOKUP($T$1007,'TAR FIN'!$A$1:$O$104,15,0))</f>
        <v>62.57</v>
      </c>
      <c r="X1007" s="6">
        <f>IF(ISERROR(VLOOKUP($U$1007,'TAR FIN'!$A$1:$O$104,15,0)),0,VLOOKUP($U$1007,'TAR FIN'!$A$1:$O$104,15,0))</f>
        <v>242.82</v>
      </c>
      <c r="Y1007" s="6"/>
      <c r="Z1007" s="6">
        <f ca="1">('TUSD BE'!$AM$26+'TUSD BF'!$AM$26+'TUSD CVA'!$AM$26)*1</f>
        <v>77.876201961015255</v>
      </c>
      <c r="AA1007" s="6">
        <f>('TE BE'!$AB$8+'TE BF'!$AB$8+'TE CVA'!$AB$8)*1</f>
        <v>231.76257384332172</v>
      </c>
      <c r="AB1007" s="6">
        <f>$K$1007*$V$1007</f>
        <v>0</v>
      </c>
      <c r="AC1007" s="6">
        <f>$M$1007*$W$1007</f>
        <v>491207.22411000001</v>
      </c>
      <c r="AD1007" s="6">
        <f>$O$1007*$X$1007</f>
        <v>1906263.99486</v>
      </c>
      <c r="AE1007" s="6">
        <f>$K$1007*$Y$1007</f>
        <v>0</v>
      </c>
      <c r="AF1007" s="6">
        <f ca="1">$M$1007*$Z$1007</f>
        <v>611368.91464759537</v>
      </c>
      <c r="AG1007" s="6">
        <f>$O$1007*$AA$1007</f>
        <v>1819457.4164961956</v>
      </c>
    </row>
    <row r="1008" spans="1:33" ht="11.25" customHeight="1" x14ac:dyDescent="0.25">
      <c r="A1008" s="4" t="s">
        <v>57</v>
      </c>
      <c r="B1008" s="4" t="s">
        <v>41</v>
      </c>
      <c r="C1008" s="4" t="s">
        <v>42</v>
      </c>
      <c r="D1008" s="4" t="s">
        <v>38</v>
      </c>
      <c r="E1008" s="4" t="s">
        <v>25</v>
      </c>
      <c r="F1008" s="4" t="s">
        <v>25</v>
      </c>
      <c r="G1008" s="4" t="s">
        <v>25</v>
      </c>
      <c r="H1008" s="4" t="s">
        <v>35</v>
      </c>
      <c r="I1008" s="5">
        <v>44743</v>
      </c>
      <c r="J1008" s="6">
        <v>0</v>
      </c>
      <c r="K1008" s="6">
        <v>0</v>
      </c>
      <c r="L1008" s="6">
        <v>-16.785</v>
      </c>
      <c r="M1008" s="6">
        <v>-16.785</v>
      </c>
      <c r="N1008" s="6">
        <v>-16.785</v>
      </c>
      <c r="O1008" s="6">
        <v>-16.785</v>
      </c>
      <c r="P1008" s="6">
        <v>0</v>
      </c>
      <c r="Q1008" s="4" t="s">
        <v>26</v>
      </c>
      <c r="R1008" s="4">
        <v>0</v>
      </c>
      <c r="S1008" s="6">
        <v>0</v>
      </c>
      <c r="T1008" s="6">
        <v>44</v>
      </c>
      <c r="U1008" s="6">
        <v>67</v>
      </c>
      <c r="V1008" s="6">
        <f>IF(ISERROR(VLOOKUP($S$1008,'TAR FIN'!$A$1:$O$104,15,0)),0,VLOOKUP($S$1008,'TAR FIN'!$A$1:$O$104,15,0))</f>
        <v>0</v>
      </c>
      <c r="W1008" s="6">
        <f>IF(ISERROR(VLOOKUP($T$1008,'TAR FIN'!$A$1:$O$104,15,0)),0,VLOOKUP($T$1008,'TAR FIN'!$A$1:$O$104,15,0))</f>
        <v>62.57</v>
      </c>
      <c r="X1008" s="6">
        <f>IF(ISERROR(VLOOKUP($U$1008,'TAR FIN'!$A$1:$O$104,15,0)),0,VLOOKUP($U$1008,'TAR FIN'!$A$1:$O$104,15,0))</f>
        <v>242.82</v>
      </c>
      <c r="Y1008" s="6"/>
      <c r="Z1008" s="6">
        <f ca="1">('TUSD BE'!$AM$26+'TUSD BF'!$AM$26+'TUSD CVA'!$AM$26)*1</f>
        <v>77.876201961015255</v>
      </c>
      <c r="AA1008" s="6">
        <f>('TE BE'!$AB$8+'TE BF'!$AB$8+'TE CVA'!$AB$8)*1</f>
        <v>231.76257384332172</v>
      </c>
      <c r="AB1008" s="6">
        <f>$K$1008*$V$1008</f>
        <v>0</v>
      </c>
      <c r="AC1008" s="6">
        <f>$M$1008*$W$1008</f>
        <v>-1050.2374500000001</v>
      </c>
      <c r="AD1008" s="6">
        <f>$O$1008*$X$1008</f>
        <v>-4075.7336999999998</v>
      </c>
      <c r="AE1008" s="6">
        <f>$K$1008*$Y$1008</f>
        <v>0</v>
      </c>
      <c r="AF1008" s="6">
        <f ca="1">$M$1008*$Z$1008</f>
        <v>-1307.1520499156411</v>
      </c>
      <c r="AG1008" s="6">
        <f>$O$1008*$AA$1008</f>
        <v>-3890.1348019601551</v>
      </c>
    </row>
    <row r="1009" spans="1:33" ht="11.25" customHeight="1" x14ac:dyDescent="0.25">
      <c r="A1009" s="4" t="s">
        <v>57</v>
      </c>
      <c r="B1009" s="4" t="s">
        <v>41</v>
      </c>
      <c r="C1009" s="4" t="s">
        <v>42</v>
      </c>
      <c r="D1009" s="4" t="s">
        <v>38</v>
      </c>
      <c r="E1009" s="4" t="s">
        <v>25</v>
      </c>
      <c r="F1009" s="4" t="s">
        <v>25</v>
      </c>
      <c r="G1009" s="4" t="s">
        <v>25</v>
      </c>
      <c r="H1009" s="4" t="s">
        <v>35</v>
      </c>
      <c r="I1009" s="5">
        <v>44743</v>
      </c>
      <c r="J1009" s="6">
        <v>0</v>
      </c>
      <c r="K1009" s="6">
        <v>0</v>
      </c>
      <c r="L1009" s="6">
        <v>751.44600000000003</v>
      </c>
      <c r="M1009" s="6">
        <v>751.44600000000003</v>
      </c>
      <c r="N1009" s="6">
        <v>751.44600000000003</v>
      </c>
      <c r="O1009" s="6">
        <v>751.44600000000003</v>
      </c>
      <c r="P1009" s="6">
        <v>0</v>
      </c>
      <c r="Q1009" s="4" t="s">
        <v>26</v>
      </c>
      <c r="R1009" s="4">
        <v>0</v>
      </c>
      <c r="S1009" s="6">
        <v>0</v>
      </c>
      <c r="T1009" s="6">
        <v>44</v>
      </c>
      <c r="U1009" s="6">
        <v>67</v>
      </c>
      <c r="V1009" s="6">
        <f>IF(ISERROR(VLOOKUP($S$1009,'TAR FIN'!$A$1:$O$104,15,0)),0,VLOOKUP($S$1009,'TAR FIN'!$A$1:$O$104,15,0))</f>
        <v>0</v>
      </c>
      <c r="W1009" s="6">
        <f>IF(ISERROR(VLOOKUP($T$1009,'TAR FIN'!$A$1:$O$104,15,0)),0,VLOOKUP($T$1009,'TAR FIN'!$A$1:$O$104,15,0))</f>
        <v>62.57</v>
      </c>
      <c r="X1009" s="6">
        <f>IF(ISERROR(VLOOKUP($U$1009,'TAR FIN'!$A$1:$O$104,15,0)),0,VLOOKUP($U$1009,'TAR FIN'!$A$1:$O$104,15,0))</f>
        <v>242.82</v>
      </c>
      <c r="Y1009" s="6"/>
      <c r="Z1009" s="6">
        <f ca="1">('TUSD BE'!$AM$26+'TUSD BF'!$AM$26+'TUSD CVA'!$AM$26)*1</f>
        <v>77.876201961015255</v>
      </c>
      <c r="AA1009" s="6">
        <f>('TE BE'!$AB$8+'TE BF'!$AB$8+'TE CVA'!$AB$8)*1</f>
        <v>231.76257384332172</v>
      </c>
      <c r="AB1009" s="6">
        <f>$K$1009*$V$1009</f>
        <v>0</v>
      </c>
      <c r="AC1009" s="6">
        <f>$M$1009*$W$1009</f>
        <v>47017.976220000004</v>
      </c>
      <c r="AD1009" s="6">
        <f>$O$1009*$X$1009</f>
        <v>182466.11772000001</v>
      </c>
      <c r="AE1009" s="6">
        <f>$K$1009*$Y$1009</f>
        <v>0</v>
      </c>
      <c r="AF1009" s="6">
        <f ca="1">$M$1009*$Z$1009</f>
        <v>58519.760458797071</v>
      </c>
      <c r="AG1009" s="6">
        <f>$O$1009*$AA$1009</f>
        <v>174157.05906426875</v>
      </c>
    </row>
    <row r="1010" spans="1:33" ht="11.25" customHeight="1" x14ac:dyDescent="0.25">
      <c r="A1010" s="4" t="s">
        <v>21</v>
      </c>
      <c r="B1010" s="4" t="s">
        <v>41</v>
      </c>
      <c r="C1010" s="4" t="s">
        <v>42</v>
      </c>
      <c r="D1010" s="4" t="s">
        <v>38</v>
      </c>
      <c r="E1010" s="4" t="s">
        <v>25</v>
      </c>
      <c r="F1010" s="4" t="s">
        <v>25</v>
      </c>
      <c r="G1010" s="4" t="s">
        <v>25</v>
      </c>
      <c r="H1010" s="4" t="s">
        <v>25</v>
      </c>
      <c r="I1010" s="5">
        <v>44409</v>
      </c>
      <c r="J1010" s="6">
        <v>45717</v>
      </c>
      <c r="K1010" s="6">
        <v>45717</v>
      </c>
      <c r="L1010" s="6">
        <v>0</v>
      </c>
      <c r="M1010" s="6">
        <v>0</v>
      </c>
      <c r="N1010" s="6">
        <v>0</v>
      </c>
      <c r="O1010" s="6">
        <v>0</v>
      </c>
      <c r="P1010" s="6">
        <v>268</v>
      </c>
      <c r="Q1010" s="4" t="s">
        <v>26</v>
      </c>
      <c r="R1010" s="4">
        <v>0</v>
      </c>
      <c r="S1010" s="6">
        <v>40</v>
      </c>
      <c r="T1010" s="6">
        <v>0</v>
      </c>
      <c r="U1010" s="6">
        <v>0</v>
      </c>
      <c r="V1010" s="6">
        <f>IF(ISERROR(VLOOKUP($S$1010,'TAR FIN'!$A$1:$O$104,15,0)),0,VLOOKUP($S$1010,'TAR FIN'!$A$1:$O$104,15,0))</f>
        <v>26.22</v>
      </c>
      <c r="W1010" s="6">
        <f>IF(ISERROR(VLOOKUP($T$1010,'TAR FIN'!$A$1:$O$104,15,0)),0,VLOOKUP($T$1010,'TAR FIN'!$A$1:$O$104,15,0))</f>
        <v>0</v>
      </c>
      <c r="X1010" s="6">
        <f>IF(ISERROR(VLOOKUP($U$1010,'TAR FIN'!$A$1:$O$104,15,0)),0,VLOOKUP($U$1010,'TAR FIN'!$A$1:$O$104,15,0))</f>
        <v>0</v>
      </c>
      <c r="Y1010" s="6">
        <f ca="1">('TUSD BE'!$AM$24+'TUSD BF'!$AM$24+'TUSD CVA'!$AM$24)*1</f>
        <v>26.280164278980507</v>
      </c>
      <c r="Z1010" s="6"/>
      <c r="AA1010" s="6"/>
      <c r="AB1010" s="6">
        <f>$K$1010*$V$1010</f>
        <v>1198699.74</v>
      </c>
      <c r="AC1010" s="6">
        <f>$M$1010*$W$1010</f>
        <v>0</v>
      </c>
      <c r="AD1010" s="6">
        <f>$O$1010*$X$1010</f>
        <v>0</v>
      </c>
      <c r="AE1010" s="6">
        <f ca="1">$K$1010*$Y$1010</f>
        <v>1201450.2703421519</v>
      </c>
      <c r="AF1010" s="6">
        <f>$M$1010*$Z$1010</f>
        <v>0</v>
      </c>
      <c r="AG1010" s="6">
        <f>$O$1010*$AA$1010</f>
        <v>0</v>
      </c>
    </row>
    <row r="1011" spans="1:33" ht="11.25" customHeight="1" x14ac:dyDescent="0.25">
      <c r="A1011" s="4" t="s">
        <v>27</v>
      </c>
      <c r="B1011" s="4" t="s">
        <v>41</v>
      </c>
      <c r="C1011" s="4" t="s">
        <v>42</v>
      </c>
      <c r="D1011" s="4" t="s">
        <v>38</v>
      </c>
      <c r="E1011" s="4" t="s">
        <v>25</v>
      </c>
      <c r="F1011" s="4" t="s">
        <v>25</v>
      </c>
      <c r="G1011" s="4" t="s">
        <v>25</v>
      </c>
      <c r="H1011" s="4" t="s">
        <v>25</v>
      </c>
      <c r="I1011" s="5">
        <v>44409</v>
      </c>
      <c r="J1011" s="6">
        <v>-68</v>
      </c>
      <c r="K1011" s="6">
        <v>-68</v>
      </c>
      <c r="L1011" s="6">
        <v>0</v>
      </c>
      <c r="M1011" s="6">
        <v>0</v>
      </c>
      <c r="N1011" s="6">
        <v>0</v>
      </c>
      <c r="O1011" s="6">
        <v>0</v>
      </c>
      <c r="P1011" s="6">
        <v>-1</v>
      </c>
      <c r="Q1011" s="4" t="s">
        <v>26</v>
      </c>
      <c r="R1011" s="4">
        <v>0</v>
      </c>
      <c r="S1011" s="6">
        <v>40</v>
      </c>
      <c r="T1011" s="6">
        <v>0</v>
      </c>
      <c r="U1011" s="6">
        <v>0</v>
      </c>
      <c r="V1011" s="6">
        <f>IF(ISERROR(VLOOKUP($S$1011,'TAR FIN'!$A$1:$O$104,15,0)),0,VLOOKUP($S$1011,'TAR FIN'!$A$1:$O$104,15,0))</f>
        <v>26.22</v>
      </c>
      <c r="W1011" s="6">
        <f>IF(ISERROR(VLOOKUP($T$1011,'TAR FIN'!$A$1:$O$104,15,0)),0,VLOOKUP($T$1011,'TAR FIN'!$A$1:$O$104,15,0))</f>
        <v>0</v>
      </c>
      <c r="X1011" s="6">
        <f>IF(ISERROR(VLOOKUP($U$1011,'TAR FIN'!$A$1:$O$104,15,0)),0,VLOOKUP($U$1011,'TAR FIN'!$A$1:$O$104,15,0))</f>
        <v>0</v>
      </c>
      <c r="Y1011" s="6">
        <f ca="1">('TUSD BE'!$AM$24+'TUSD BF'!$AM$24+'TUSD CVA'!$AM$24)*1</f>
        <v>26.280164278980507</v>
      </c>
      <c r="Z1011" s="6"/>
      <c r="AA1011" s="6"/>
      <c r="AB1011" s="6">
        <f>$K$1011*$V$1011</f>
        <v>-1782.96</v>
      </c>
      <c r="AC1011" s="6">
        <f>$M$1011*$W$1011</f>
        <v>0</v>
      </c>
      <c r="AD1011" s="6">
        <f>$O$1011*$X$1011</f>
        <v>0</v>
      </c>
      <c r="AE1011" s="6">
        <f ca="1">$K$1011*$Y$1011</f>
        <v>-1787.0511709706745</v>
      </c>
      <c r="AF1011" s="6">
        <f>$M$1011*$Z$1011</f>
        <v>0</v>
      </c>
      <c r="AG1011" s="6">
        <f>$O$1011*$AA$1011</f>
        <v>0</v>
      </c>
    </row>
    <row r="1012" spans="1:33" ht="11.25" customHeight="1" x14ac:dyDescent="0.25">
      <c r="A1012" s="4" t="s">
        <v>28</v>
      </c>
      <c r="B1012" s="4" t="s">
        <v>41</v>
      </c>
      <c r="C1012" s="4" t="s">
        <v>42</v>
      </c>
      <c r="D1012" s="4" t="s">
        <v>38</v>
      </c>
      <c r="E1012" s="4" t="s">
        <v>25</v>
      </c>
      <c r="F1012" s="4" t="s">
        <v>25</v>
      </c>
      <c r="G1012" s="4" t="s">
        <v>25</v>
      </c>
      <c r="H1012" s="4" t="s">
        <v>25</v>
      </c>
      <c r="I1012" s="5">
        <v>44409</v>
      </c>
      <c r="J1012" s="6">
        <v>8081</v>
      </c>
      <c r="K1012" s="6">
        <v>8081</v>
      </c>
      <c r="L1012" s="6">
        <v>0</v>
      </c>
      <c r="M1012" s="6">
        <v>0</v>
      </c>
      <c r="N1012" s="6">
        <v>0</v>
      </c>
      <c r="O1012" s="6">
        <v>0</v>
      </c>
      <c r="P1012" s="6">
        <v>41</v>
      </c>
      <c r="Q1012" s="4" t="s">
        <v>26</v>
      </c>
      <c r="R1012" s="4">
        <v>0</v>
      </c>
      <c r="S1012" s="6">
        <v>40</v>
      </c>
      <c r="T1012" s="6">
        <v>0</v>
      </c>
      <c r="U1012" s="6">
        <v>0</v>
      </c>
      <c r="V1012" s="6">
        <f>IF(ISERROR(VLOOKUP($S$1012,'TAR FIN'!$A$1:$O$104,15,0)),0,VLOOKUP($S$1012,'TAR FIN'!$A$1:$O$104,15,0))</f>
        <v>26.22</v>
      </c>
      <c r="W1012" s="6">
        <f>IF(ISERROR(VLOOKUP($T$1012,'TAR FIN'!$A$1:$O$104,15,0)),0,VLOOKUP($T$1012,'TAR FIN'!$A$1:$O$104,15,0))</f>
        <v>0</v>
      </c>
      <c r="X1012" s="6">
        <f>IF(ISERROR(VLOOKUP($U$1012,'TAR FIN'!$A$1:$O$104,15,0)),0,VLOOKUP($U$1012,'TAR FIN'!$A$1:$O$104,15,0))</f>
        <v>0</v>
      </c>
      <c r="Y1012" s="6">
        <f ca="1">('TUSD BE'!$AM$24+'TUSD BF'!$AM$24+'TUSD CVA'!$AM$24)*1</f>
        <v>26.280164278980507</v>
      </c>
      <c r="Z1012" s="6"/>
      <c r="AA1012" s="6"/>
      <c r="AB1012" s="6">
        <f>$K$1012*$V$1012</f>
        <v>211883.81999999998</v>
      </c>
      <c r="AC1012" s="6">
        <f>$M$1012*$W$1012</f>
        <v>0</v>
      </c>
      <c r="AD1012" s="6">
        <f>$O$1012*$X$1012</f>
        <v>0</v>
      </c>
      <c r="AE1012" s="6">
        <f ca="1">$K$1012*$Y$1012</f>
        <v>212370.00753844148</v>
      </c>
      <c r="AF1012" s="6">
        <f>$M$1012*$Z$1012</f>
        <v>0</v>
      </c>
      <c r="AG1012" s="6">
        <f>$O$1012*$AA$1012</f>
        <v>0</v>
      </c>
    </row>
    <row r="1013" spans="1:33" ht="11.25" customHeight="1" x14ac:dyDescent="0.25">
      <c r="A1013" s="4" t="s">
        <v>21</v>
      </c>
      <c r="B1013" s="4" t="s">
        <v>41</v>
      </c>
      <c r="C1013" s="4" t="s">
        <v>42</v>
      </c>
      <c r="D1013" s="4" t="s">
        <v>38</v>
      </c>
      <c r="E1013" s="4" t="s">
        <v>25</v>
      </c>
      <c r="F1013" s="4" t="s">
        <v>25</v>
      </c>
      <c r="G1013" s="4" t="s">
        <v>25</v>
      </c>
      <c r="H1013" s="4" t="s">
        <v>25</v>
      </c>
      <c r="I1013" s="5">
        <v>44409</v>
      </c>
      <c r="J1013" s="6">
        <v>3500</v>
      </c>
      <c r="K1013" s="6">
        <v>3500</v>
      </c>
      <c r="L1013" s="6">
        <v>0</v>
      </c>
      <c r="M1013" s="6">
        <v>0</v>
      </c>
      <c r="N1013" s="6">
        <v>0</v>
      </c>
      <c r="O1013" s="6">
        <v>0</v>
      </c>
      <c r="P1013" s="6">
        <v>1</v>
      </c>
      <c r="Q1013" s="4" t="s">
        <v>58</v>
      </c>
      <c r="R1013" s="4">
        <v>0</v>
      </c>
      <c r="S1013" s="6">
        <v>40</v>
      </c>
      <c r="T1013" s="6">
        <v>0</v>
      </c>
      <c r="U1013" s="6">
        <v>0</v>
      </c>
      <c r="V1013" s="6">
        <f>IF(ISERROR(VLOOKUP($S$1013,'TAR FIN'!$A$1:$O$104,15,0)),0,VLOOKUP($S$1013,'TAR FIN'!$A$1:$O$104,15,0))</f>
        <v>26.22</v>
      </c>
      <c r="W1013" s="6">
        <f>IF(ISERROR(VLOOKUP($T$1013,'TAR FIN'!$A$1:$O$104,15,0)),0,VLOOKUP($T$1013,'TAR FIN'!$A$1:$O$104,15,0))</f>
        <v>0</v>
      </c>
      <c r="X1013" s="6">
        <f>IF(ISERROR(VLOOKUP($U$1013,'TAR FIN'!$A$1:$O$104,15,0)),0,VLOOKUP($U$1013,'TAR FIN'!$A$1:$O$104,15,0))</f>
        <v>0</v>
      </c>
      <c r="Y1013" s="6">
        <f ca="1">('TUSD BE'!$AM$24+'TUSD BF'!$AM$24+'TUSD CVA'!$AM$24)*1</f>
        <v>26.280164278980507</v>
      </c>
      <c r="Z1013" s="6"/>
      <c r="AA1013" s="6"/>
      <c r="AB1013" s="6">
        <f>$K$1013*$V$1013</f>
        <v>91770</v>
      </c>
      <c r="AC1013" s="6">
        <f>$M$1013*$W$1013</f>
        <v>0</v>
      </c>
      <c r="AD1013" s="6">
        <f>$O$1013*$X$1013</f>
        <v>0</v>
      </c>
      <c r="AE1013" s="6">
        <f ca="1">$K$1013*$Y$1013</f>
        <v>91980.574976431773</v>
      </c>
      <c r="AF1013" s="6">
        <f>$M$1013*$Z$1013</f>
        <v>0</v>
      </c>
      <c r="AG1013" s="6">
        <f>$O$1013*$AA$1013</f>
        <v>0</v>
      </c>
    </row>
    <row r="1014" spans="1:33" ht="11.25" customHeight="1" x14ac:dyDescent="0.25">
      <c r="A1014" s="4" t="s">
        <v>21</v>
      </c>
      <c r="B1014" s="4" t="s">
        <v>41</v>
      </c>
      <c r="C1014" s="4" t="s">
        <v>42</v>
      </c>
      <c r="D1014" s="4" t="s">
        <v>38</v>
      </c>
      <c r="E1014" s="4" t="s">
        <v>25</v>
      </c>
      <c r="F1014" s="4" t="s">
        <v>25</v>
      </c>
      <c r="G1014" s="4" t="s">
        <v>25</v>
      </c>
      <c r="H1014" s="4" t="s">
        <v>25</v>
      </c>
      <c r="I1014" s="5">
        <v>44440</v>
      </c>
      <c r="J1014" s="6">
        <v>47100</v>
      </c>
      <c r="K1014" s="6">
        <v>47100</v>
      </c>
      <c r="L1014" s="6">
        <v>0</v>
      </c>
      <c r="M1014" s="6">
        <v>0</v>
      </c>
      <c r="N1014" s="6">
        <v>0</v>
      </c>
      <c r="O1014" s="6">
        <v>0</v>
      </c>
      <c r="P1014" s="6">
        <v>272</v>
      </c>
      <c r="Q1014" s="4" t="s">
        <v>26</v>
      </c>
      <c r="R1014" s="4">
        <v>0</v>
      </c>
      <c r="S1014" s="6">
        <v>40</v>
      </c>
      <c r="T1014" s="6">
        <v>0</v>
      </c>
      <c r="U1014" s="6">
        <v>0</v>
      </c>
      <c r="V1014" s="6">
        <f>IF(ISERROR(VLOOKUP($S$1014,'TAR FIN'!$A$1:$O$104,15,0)),0,VLOOKUP($S$1014,'TAR FIN'!$A$1:$O$104,15,0))</f>
        <v>26.22</v>
      </c>
      <c r="W1014" s="6">
        <f>IF(ISERROR(VLOOKUP($T$1014,'TAR FIN'!$A$1:$O$104,15,0)),0,VLOOKUP($T$1014,'TAR FIN'!$A$1:$O$104,15,0))</f>
        <v>0</v>
      </c>
      <c r="X1014" s="6">
        <f>IF(ISERROR(VLOOKUP($U$1014,'TAR FIN'!$A$1:$O$104,15,0)),0,VLOOKUP($U$1014,'TAR FIN'!$A$1:$O$104,15,0))</f>
        <v>0</v>
      </c>
      <c r="Y1014" s="6">
        <f ca="1">('TUSD BE'!$AM$24+'TUSD BF'!$AM$24+'TUSD CVA'!$AM$24)*1</f>
        <v>26.280164278980507</v>
      </c>
      <c r="Z1014" s="6"/>
      <c r="AA1014" s="6"/>
      <c r="AB1014" s="6">
        <f>$K$1014*$V$1014</f>
        <v>1234962</v>
      </c>
      <c r="AC1014" s="6">
        <f>$M$1014*$W$1014</f>
        <v>0</v>
      </c>
      <c r="AD1014" s="6">
        <f>$O$1014*$X$1014</f>
        <v>0</v>
      </c>
      <c r="AE1014" s="6">
        <f ca="1">$K$1014*$Y$1014</f>
        <v>1237795.737539982</v>
      </c>
      <c r="AF1014" s="6">
        <f>$M$1014*$Z$1014</f>
        <v>0</v>
      </c>
      <c r="AG1014" s="6">
        <f>$O$1014*$AA$1014</f>
        <v>0</v>
      </c>
    </row>
    <row r="1015" spans="1:33" ht="11.25" customHeight="1" x14ac:dyDescent="0.25">
      <c r="A1015" s="4" t="s">
        <v>28</v>
      </c>
      <c r="B1015" s="4" t="s">
        <v>41</v>
      </c>
      <c r="C1015" s="4" t="s">
        <v>42</v>
      </c>
      <c r="D1015" s="4" t="s">
        <v>38</v>
      </c>
      <c r="E1015" s="4" t="s">
        <v>25</v>
      </c>
      <c r="F1015" s="4" t="s">
        <v>25</v>
      </c>
      <c r="G1015" s="4" t="s">
        <v>25</v>
      </c>
      <c r="H1015" s="4" t="s">
        <v>25</v>
      </c>
      <c r="I1015" s="5">
        <v>44440</v>
      </c>
      <c r="J1015" s="6">
        <v>8166</v>
      </c>
      <c r="K1015" s="6">
        <v>8166</v>
      </c>
      <c r="L1015" s="6">
        <v>0</v>
      </c>
      <c r="M1015" s="6">
        <v>0</v>
      </c>
      <c r="N1015" s="6">
        <v>0</v>
      </c>
      <c r="O1015" s="6">
        <v>0</v>
      </c>
      <c r="P1015" s="6">
        <v>39</v>
      </c>
      <c r="Q1015" s="4" t="s">
        <v>26</v>
      </c>
      <c r="R1015" s="4">
        <v>0</v>
      </c>
      <c r="S1015" s="6">
        <v>40</v>
      </c>
      <c r="T1015" s="6">
        <v>0</v>
      </c>
      <c r="U1015" s="6">
        <v>0</v>
      </c>
      <c r="V1015" s="6">
        <f>IF(ISERROR(VLOOKUP($S$1015,'TAR FIN'!$A$1:$O$104,15,0)),0,VLOOKUP($S$1015,'TAR FIN'!$A$1:$O$104,15,0))</f>
        <v>26.22</v>
      </c>
      <c r="W1015" s="6">
        <f>IF(ISERROR(VLOOKUP($T$1015,'TAR FIN'!$A$1:$O$104,15,0)),0,VLOOKUP($T$1015,'TAR FIN'!$A$1:$O$104,15,0))</f>
        <v>0</v>
      </c>
      <c r="X1015" s="6">
        <f>IF(ISERROR(VLOOKUP($U$1015,'TAR FIN'!$A$1:$O$104,15,0)),0,VLOOKUP($U$1015,'TAR FIN'!$A$1:$O$104,15,0))</f>
        <v>0</v>
      </c>
      <c r="Y1015" s="6">
        <f ca="1">('TUSD BE'!$AM$24+'TUSD BF'!$AM$24+'TUSD CVA'!$AM$24)*1</f>
        <v>26.280164278980507</v>
      </c>
      <c r="Z1015" s="6"/>
      <c r="AA1015" s="6"/>
      <c r="AB1015" s="6">
        <f>$K$1015*$V$1015</f>
        <v>214112.52</v>
      </c>
      <c r="AC1015" s="6">
        <f>$M$1015*$W$1015</f>
        <v>0</v>
      </c>
      <c r="AD1015" s="6">
        <f>$O$1015*$X$1015</f>
        <v>0</v>
      </c>
      <c r="AE1015" s="6">
        <f ca="1">$K$1015*$Y$1015</f>
        <v>214603.82150215481</v>
      </c>
      <c r="AF1015" s="6">
        <f>$M$1015*$Z$1015</f>
        <v>0</v>
      </c>
      <c r="AG1015" s="6">
        <f>$O$1015*$AA$1015</f>
        <v>0</v>
      </c>
    </row>
    <row r="1016" spans="1:33" ht="11.25" customHeight="1" x14ac:dyDescent="0.25">
      <c r="A1016" s="4" t="s">
        <v>21</v>
      </c>
      <c r="B1016" s="4" t="s">
        <v>41</v>
      </c>
      <c r="C1016" s="4" t="s">
        <v>42</v>
      </c>
      <c r="D1016" s="4" t="s">
        <v>38</v>
      </c>
      <c r="E1016" s="4" t="s">
        <v>25</v>
      </c>
      <c r="F1016" s="4" t="s">
        <v>25</v>
      </c>
      <c r="G1016" s="4" t="s">
        <v>25</v>
      </c>
      <c r="H1016" s="4" t="s">
        <v>25</v>
      </c>
      <c r="I1016" s="5">
        <v>44440</v>
      </c>
      <c r="J1016" s="6">
        <v>3500</v>
      </c>
      <c r="K1016" s="6">
        <v>3500</v>
      </c>
      <c r="L1016" s="6">
        <v>0</v>
      </c>
      <c r="M1016" s="6">
        <v>0</v>
      </c>
      <c r="N1016" s="6">
        <v>0</v>
      </c>
      <c r="O1016" s="6">
        <v>0</v>
      </c>
      <c r="P1016" s="6">
        <v>1</v>
      </c>
      <c r="Q1016" s="4" t="s">
        <v>58</v>
      </c>
      <c r="R1016" s="4">
        <v>0</v>
      </c>
      <c r="S1016" s="6">
        <v>40</v>
      </c>
      <c r="T1016" s="6">
        <v>0</v>
      </c>
      <c r="U1016" s="6">
        <v>0</v>
      </c>
      <c r="V1016" s="6">
        <f>IF(ISERROR(VLOOKUP($S$1016,'TAR FIN'!$A$1:$O$104,15,0)),0,VLOOKUP($S$1016,'TAR FIN'!$A$1:$O$104,15,0))</f>
        <v>26.22</v>
      </c>
      <c r="W1016" s="6">
        <f>IF(ISERROR(VLOOKUP($T$1016,'TAR FIN'!$A$1:$O$104,15,0)),0,VLOOKUP($T$1016,'TAR FIN'!$A$1:$O$104,15,0))</f>
        <v>0</v>
      </c>
      <c r="X1016" s="6">
        <f>IF(ISERROR(VLOOKUP($U$1016,'TAR FIN'!$A$1:$O$104,15,0)),0,VLOOKUP($U$1016,'TAR FIN'!$A$1:$O$104,15,0))</f>
        <v>0</v>
      </c>
      <c r="Y1016" s="6">
        <f ca="1">('TUSD BE'!$AM$24+'TUSD BF'!$AM$24+'TUSD CVA'!$AM$24)*1</f>
        <v>26.280164278980507</v>
      </c>
      <c r="Z1016" s="6"/>
      <c r="AA1016" s="6"/>
      <c r="AB1016" s="6">
        <f>$K$1016*$V$1016</f>
        <v>91770</v>
      </c>
      <c r="AC1016" s="6">
        <f>$M$1016*$W$1016</f>
        <v>0</v>
      </c>
      <c r="AD1016" s="6">
        <f>$O$1016*$X$1016</f>
        <v>0</v>
      </c>
      <c r="AE1016" s="6">
        <f ca="1">$K$1016*$Y$1016</f>
        <v>91980.574976431773</v>
      </c>
      <c r="AF1016" s="6">
        <f>$M$1016*$Z$1016</f>
        <v>0</v>
      </c>
      <c r="AG1016" s="6">
        <f>$O$1016*$AA$1016</f>
        <v>0</v>
      </c>
    </row>
    <row r="1017" spans="1:33" ht="11.25" customHeight="1" x14ac:dyDescent="0.25">
      <c r="A1017" s="4" t="s">
        <v>21</v>
      </c>
      <c r="B1017" s="4" t="s">
        <v>41</v>
      </c>
      <c r="C1017" s="4" t="s">
        <v>42</v>
      </c>
      <c r="D1017" s="4" t="s">
        <v>38</v>
      </c>
      <c r="E1017" s="4" t="s">
        <v>25</v>
      </c>
      <c r="F1017" s="4" t="s">
        <v>25</v>
      </c>
      <c r="G1017" s="4" t="s">
        <v>25</v>
      </c>
      <c r="H1017" s="4" t="s">
        <v>25</v>
      </c>
      <c r="I1017" s="5">
        <v>44470</v>
      </c>
      <c r="J1017" s="6">
        <v>48389</v>
      </c>
      <c r="K1017" s="6">
        <v>48389</v>
      </c>
      <c r="L1017" s="6">
        <v>0</v>
      </c>
      <c r="M1017" s="6">
        <v>0</v>
      </c>
      <c r="N1017" s="6">
        <v>0</v>
      </c>
      <c r="O1017" s="6">
        <v>0</v>
      </c>
      <c r="P1017" s="6">
        <v>269</v>
      </c>
      <c r="Q1017" s="4" t="s">
        <v>26</v>
      </c>
      <c r="R1017" s="4">
        <v>0</v>
      </c>
      <c r="S1017" s="6">
        <v>40</v>
      </c>
      <c r="T1017" s="6">
        <v>0</v>
      </c>
      <c r="U1017" s="6">
        <v>0</v>
      </c>
      <c r="V1017" s="6">
        <f>IF(ISERROR(VLOOKUP($S$1017,'TAR FIN'!$A$1:$O$104,15,0)),0,VLOOKUP($S$1017,'TAR FIN'!$A$1:$O$104,15,0))</f>
        <v>26.22</v>
      </c>
      <c r="W1017" s="6">
        <f>IF(ISERROR(VLOOKUP($T$1017,'TAR FIN'!$A$1:$O$104,15,0)),0,VLOOKUP($T$1017,'TAR FIN'!$A$1:$O$104,15,0))</f>
        <v>0</v>
      </c>
      <c r="X1017" s="6">
        <f>IF(ISERROR(VLOOKUP($U$1017,'TAR FIN'!$A$1:$O$104,15,0)),0,VLOOKUP($U$1017,'TAR FIN'!$A$1:$O$104,15,0))</f>
        <v>0</v>
      </c>
      <c r="Y1017" s="6">
        <f ca="1">('TUSD BE'!$AM$24+'TUSD BF'!$AM$24+'TUSD CVA'!$AM$24)*1</f>
        <v>26.280164278980507</v>
      </c>
      <c r="Z1017" s="6"/>
      <c r="AA1017" s="6"/>
      <c r="AB1017" s="6">
        <f>$K$1017*$V$1017</f>
        <v>1268759.5799999998</v>
      </c>
      <c r="AC1017" s="6">
        <f>$M$1017*$W$1017</f>
        <v>0</v>
      </c>
      <c r="AD1017" s="6">
        <f>$O$1017*$X$1017</f>
        <v>0</v>
      </c>
      <c r="AE1017" s="6">
        <f ca="1">$K$1017*$Y$1017</f>
        <v>1271670.8692955878</v>
      </c>
      <c r="AF1017" s="6">
        <f>$M$1017*$Z$1017</f>
        <v>0</v>
      </c>
      <c r="AG1017" s="6">
        <f>$O$1017*$AA$1017</f>
        <v>0</v>
      </c>
    </row>
    <row r="1018" spans="1:33" ht="11.25" customHeight="1" x14ac:dyDescent="0.25">
      <c r="A1018" s="4" t="s">
        <v>28</v>
      </c>
      <c r="B1018" s="4" t="s">
        <v>41</v>
      </c>
      <c r="C1018" s="4" t="s">
        <v>42</v>
      </c>
      <c r="D1018" s="4" t="s">
        <v>38</v>
      </c>
      <c r="E1018" s="4" t="s">
        <v>25</v>
      </c>
      <c r="F1018" s="4" t="s">
        <v>25</v>
      </c>
      <c r="G1018" s="4" t="s">
        <v>25</v>
      </c>
      <c r="H1018" s="4" t="s">
        <v>25</v>
      </c>
      <c r="I1018" s="5">
        <v>44470</v>
      </c>
      <c r="J1018" s="6">
        <v>8261</v>
      </c>
      <c r="K1018" s="6">
        <v>8261</v>
      </c>
      <c r="L1018" s="6">
        <v>0</v>
      </c>
      <c r="M1018" s="6">
        <v>0</v>
      </c>
      <c r="N1018" s="6">
        <v>0</v>
      </c>
      <c r="O1018" s="6">
        <v>0</v>
      </c>
      <c r="P1018" s="6">
        <v>40</v>
      </c>
      <c r="Q1018" s="4" t="s">
        <v>26</v>
      </c>
      <c r="R1018" s="4">
        <v>0</v>
      </c>
      <c r="S1018" s="6">
        <v>40</v>
      </c>
      <c r="T1018" s="6">
        <v>0</v>
      </c>
      <c r="U1018" s="6">
        <v>0</v>
      </c>
      <c r="V1018" s="6">
        <f>IF(ISERROR(VLOOKUP($S$1018,'TAR FIN'!$A$1:$O$104,15,0)),0,VLOOKUP($S$1018,'TAR FIN'!$A$1:$O$104,15,0))</f>
        <v>26.22</v>
      </c>
      <c r="W1018" s="6">
        <f>IF(ISERROR(VLOOKUP($T$1018,'TAR FIN'!$A$1:$O$104,15,0)),0,VLOOKUP($T$1018,'TAR FIN'!$A$1:$O$104,15,0))</f>
        <v>0</v>
      </c>
      <c r="X1018" s="6">
        <f>IF(ISERROR(VLOOKUP($U$1018,'TAR FIN'!$A$1:$O$104,15,0)),0,VLOOKUP($U$1018,'TAR FIN'!$A$1:$O$104,15,0))</f>
        <v>0</v>
      </c>
      <c r="Y1018" s="6">
        <f ca="1">('TUSD BE'!$AM$24+'TUSD BF'!$AM$24+'TUSD CVA'!$AM$24)*1</f>
        <v>26.280164278980507</v>
      </c>
      <c r="Z1018" s="6"/>
      <c r="AA1018" s="6"/>
      <c r="AB1018" s="6">
        <f>$K$1018*$V$1018</f>
        <v>216603.41999999998</v>
      </c>
      <c r="AC1018" s="6">
        <f>$M$1018*$W$1018</f>
        <v>0</v>
      </c>
      <c r="AD1018" s="6">
        <f>$O$1018*$X$1018</f>
        <v>0</v>
      </c>
      <c r="AE1018" s="6">
        <f ca="1">$K$1018*$Y$1018</f>
        <v>217100.43710865796</v>
      </c>
      <c r="AF1018" s="6">
        <f>$M$1018*$Z$1018</f>
        <v>0</v>
      </c>
      <c r="AG1018" s="6">
        <f>$O$1018*$AA$1018</f>
        <v>0</v>
      </c>
    </row>
    <row r="1019" spans="1:33" ht="11.25" customHeight="1" x14ac:dyDescent="0.25">
      <c r="A1019" s="4" t="s">
        <v>28</v>
      </c>
      <c r="B1019" s="4" t="s">
        <v>41</v>
      </c>
      <c r="C1019" s="4" t="s">
        <v>42</v>
      </c>
      <c r="D1019" s="4" t="s">
        <v>38</v>
      </c>
      <c r="E1019" s="4" t="s">
        <v>25</v>
      </c>
      <c r="F1019" s="4" t="s">
        <v>25</v>
      </c>
      <c r="G1019" s="4" t="s">
        <v>25</v>
      </c>
      <c r="H1019" s="4" t="s">
        <v>25</v>
      </c>
      <c r="I1019" s="5">
        <v>44470</v>
      </c>
      <c r="J1019" s="6">
        <v>-100</v>
      </c>
      <c r="K1019" s="6">
        <v>-100</v>
      </c>
      <c r="L1019" s="6">
        <v>0</v>
      </c>
      <c r="M1019" s="6">
        <v>0</v>
      </c>
      <c r="N1019" s="6">
        <v>0</v>
      </c>
      <c r="O1019" s="6">
        <v>0</v>
      </c>
      <c r="P1019" s="6">
        <v>-1</v>
      </c>
      <c r="Q1019" s="4" t="s">
        <v>26</v>
      </c>
      <c r="R1019" s="4">
        <v>0</v>
      </c>
      <c r="S1019" s="6">
        <v>40</v>
      </c>
      <c r="T1019" s="6">
        <v>0</v>
      </c>
      <c r="U1019" s="6">
        <v>0</v>
      </c>
      <c r="V1019" s="6">
        <f>IF(ISERROR(VLOOKUP($S$1019,'TAR FIN'!$A$1:$O$104,15,0)),0,VLOOKUP($S$1019,'TAR FIN'!$A$1:$O$104,15,0))</f>
        <v>26.22</v>
      </c>
      <c r="W1019" s="6">
        <f>IF(ISERROR(VLOOKUP($T$1019,'TAR FIN'!$A$1:$O$104,15,0)),0,VLOOKUP($T$1019,'TAR FIN'!$A$1:$O$104,15,0))</f>
        <v>0</v>
      </c>
      <c r="X1019" s="6">
        <f>IF(ISERROR(VLOOKUP($U$1019,'TAR FIN'!$A$1:$O$104,15,0)),0,VLOOKUP($U$1019,'TAR FIN'!$A$1:$O$104,15,0))</f>
        <v>0</v>
      </c>
      <c r="Y1019" s="6">
        <f ca="1">('TUSD BE'!$AM$24+'TUSD BF'!$AM$24+'TUSD CVA'!$AM$24)*1</f>
        <v>26.280164278980507</v>
      </c>
      <c r="Z1019" s="6"/>
      <c r="AA1019" s="6"/>
      <c r="AB1019" s="6">
        <f>$K$1019*$V$1019</f>
        <v>-2622</v>
      </c>
      <c r="AC1019" s="6">
        <f>$M$1019*$W$1019</f>
        <v>0</v>
      </c>
      <c r="AD1019" s="6">
        <f>$O$1019*$X$1019</f>
        <v>0</v>
      </c>
      <c r="AE1019" s="6">
        <f ca="1">$K$1019*$Y$1019</f>
        <v>-2628.0164278980506</v>
      </c>
      <c r="AF1019" s="6">
        <f>$M$1019*$Z$1019</f>
        <v>0</v>
      </c>
      <c r="AG1019" s="6">
        <f>$O$1019*$AA$1019</f>
        <v>0</v>
      </c>
    </row>
    <row r="1020" spans="1:33" ht="11.25" customHeight="1" x14ac:dyDescent="0.25">
      <c r="A1020" s="4" t="s">
        <v>21</v>
      </c>
      <c r="B1020" s="4" t="s">
        <v>41</v>
      </c>
      <c r="C1020" s="4" t="s">
        <v>42</v>
      </c>
      <c r="D1020" s="4" t="s">
        <v>38</v>
      </c>
      <c r="E1020" s="4" t="s">
        <v>25</v>
      </c>
      <c r="F1020" s="4" t="s">
        <v>25</v>
      </c>
      <c r="G1020" s="4" t="s">
        <v>25</v>
      </c>
      <c r="H1020" s="4" t="s">
        <v>25</v>
      </c>
      <c r="I1020" s="5">
        <v>44470</v>
      </c>
      <c r="J1020" s="6">
        <v>3500</v>
      </c>
      <c r="K1020" s="6">
        <v>3500</v>
      </c>
      <c r="L1020" s="6">
        <v>0</v>
      </c>
      <c r="M1020" s="6">
        <v>0</v>
      </c>
      <c r="N1020" s="6">
        <v>0</v>
      </c>
      <c r="O1020" s="6">
        <v>0</v>
      </c>
      <c r="P1020" s="6">
        <v>1</v>
      </c>
      <c r="Q1020" s="4" t="s">
        <v>58</v>
      </c>
      <c r="R1020" s="4">
        <v>0</v>
      </c>
      <c r="S1020" s="6">
        <v>40</v>
      </c>
      <c r="T1020" s="6">
        <v>0</v>
      </c>
      <c r="U1020" s="6">
        <v>0</v>
      </c>
      <c r="V1020" s="6">
        <f>IF(ISERROR(VLOOKUP($S$1020,'TAR FIN'!$A$1:$O$104,15,0)),0,VLOOKUP($S$1020,'TAR FIN'!$A$1:$O$104,15,0))</f>
        <v>26.22</v>
      </c>
      <c r="W1020" s="6">
        <f>IF(ISERROR(VLOOKUP($T$1020,'TAR FIN'!$A$1:$O$104,15,0)),0,VLOOKUP($T$1020,'TAR FIN'!$A$1:$O$104,15,0))</f>
        <v>0</v>
      </c>
      <c r="X1020" s="6">
        <f>IF(ISERROR(VLOOKUP($U$1020,'TAR FIN'!$A$1:$O$104,15,0)),0,VLOOKUP($U$1020,'TAR FIN'!$A$1:$O$104,15,0))</f>
        <v>0</v>
      </c>
      <c r="Y1020" s="6">
        <f ca="1">('TUSD BE'!$AM$24+'TUSD BF'!$AM$24+'TUSD CVA'!$AM$24)*1</f>
        <v>26.280164278980507</v>
      </c>
      <c r="Z1020" s="6"/>
      <c r="AA1020" s="6"/>
      <c r="AB1020" s="6">
        <f>$K$1020*$V$1020</f>
        <v>91770</v>
      </c>
      <c r="AC1020" s="6">
        <f>$M$1020*$W$1020</f>
        <v>0</v>
      </c>
      <c r="AD1020" s="6">
        <f>$O$1020*$X$1020</f>
        <v>0</v>
      </c>
      <c r="AE1020" s="6">
        <f ca="1">$K$1020*$Y$1020</f>
        <v>91980.574976431773</v>
      </c>
      <c r="AF1020" s="6">
        <f>$M$1020*$Z$1020</f>
        <v>0</v>
      </c>
      <c r="AG1020" s="6">
        <f>$O$1020*$AA$1020</f>
        <v>0</v>
      </c>
    </row>
    <row r="1021" spans="1:33" ht="11.25" customHeight="1" x14ac:dyDescent="0.25">
      <c r="A1021" s="4" t="s">
        <v>21</v>
      </c>
      <c r="B1021" s="4" t="s">
        <v>41</v>
      </c>
      <c r="C1021" s="4" t="s">
        <v>42</v>
      </c>
      <c r="D1021" s="4" t="s">
        <v>38</v>
      </c>
      <c r="E1021" s="4" t="s">
        <v>25</v>
      </c>
      <c r="F1021" s="4" t="s">
        <v>25</v>
      </c>
      <c r="G1021" s="4" t="s">
        <v>25</v>
      </c>
      <c r="H1021" s="4" t="s">
        <v>25</v>
      </c>
      <c r="I1021" s="5">
        <v>44501</v>
      </c>
      <c r="J1021" s="6">
        <v>48076</v>
      </c>
      <c r="K1021" s="6">
        <v>48076</v>
      </c>
      <c r="L1021" s="6">
        <v>0</v>
      </c>
      <c r="M1021" s="6">
        <v>0</v>
      </c>
      <c r="N1021" s="6">
        <v>0</v>
      </c>
      <c r="O1021" s="6">
        <v>0</v>
      </c>
      <c r="P1021" s="6">
        <v>267</v>
      </c>
      <c r="Q1021" s="4" t="s">
        <v>26</v>
      </c>
      <c r="R1021" s="4">
        <v>0</v>
      </c>
      <c r="S1021" s="6">
        <v>40</v>
      </c>
      <c r="T1021" s="6">
        <v>0</v>
      </c>
      <c r="U1021" s="6">
        <v>0</v>
      </c>
      <c r="V1021" s="6">
        <f>IF(ISERROR(VLOOKUP($S$1021,'TAR FIN'!$A$1:$O$104,15,0)),0,VLOOKUP($S$1021,'TAR FIN'!$A$1:$O$104,15,0))</f>
        <v>26.22</v>
      </c>
      <c r="W1021" s="6">
        <f>IF(ISERROR(VLOOKUP($T$1021,'TAR FIN'!$A$1:$O$104,15,0)),0,VLOOKUP($T$1021,'TAR FIN'!$A$1:$O$104,15,0))</f>
        <v>0</v>
      </c>
      <c r="X1021" s="6">
        <f>IF(ISERROR(VLOOKUP($U$1021,'TAR FIN'!$A$1:$O$104,15,0)),0,VLOOKUP($U$1021,'TAR FIN'!$A$1:$O$104,15,0))</f>
        <v>0</v>
      </c>
      <c r="Y1021" s="6">
        <f ca="1">('TUSD BE'!$AM$24+'TUSD BF'!$AM$24+'TUSD CVA'!$AM$24)*1</f>
        <v>26.280164278980507</v>
      </c>
      <c r="Z1021" s="6"/>
      <c r="AA1021" s="6"/>
      <c r="AB1021" s="6">
        <f>$K$1021*$V$1021</f>
        <v>1260552.72</v>
      </c>
      <c r="AC1021" s="6">
        <f>$M$1021*$W$1021</f>
        <v>0</v>
      </c>
      <c r="AD1021" s="6">
        <f>$O$1021*$X$1021</f>
        <v>0</v>
      </c>
      <c r="AE1021" s="6">
        <f ca="1">$K$1021*$Y$1021</f>
        <v>1263445.1778762669</v>
      </c>
      <c r="AF1021" s="6">
        <f>$M$1021*$Z$1021</f>
        <v>0</v>
      </c>
      <c r="AG1021" s="6">
        <f>$O$1021*$AA$1021</f>
        <v>0</v>
      </c>
    </row>
    <row r="1022" spans="1:33" ht="11.25" customHeight="1" x14ac:dyDescent="0.25">
      <c r="A1022" s="4" t="s">
        <v>27</v>
      </c>
      <c r="B1022" s="4" t="s">
        <v>41</v>
      </c>
      <c r="C1022" s="4" t="s">
        <v>42</v>
      </c>
      <c r="D1022" s="4" t="s">
        <v>38</v>
      </c>
      <c r="E1022" s="4" t="s">
        <v>25</v>
      </c>
      <c r="F1022" s="4" t="s">
        <v>25</v>
      </c>
      <c r="G1022" s="4" t="s">
        <v>25</v>
      </c>
      <c r="H1022" s="4" t="s">
        <v>25</v>
      </c>
      <c r="I1022" s="5">
        <v>44501</v>
      </c>
      <c r="J1022" s="6">
        <v>45</v>
      </c>
      <c r="K1022" s="6">
        <v>45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4" t="s">
        <v>26</v>
      </c>
      <c r="R1022" s="4">
        <v>0</v>
      </c>
      <c r="S1022" s="6">
        <v>40</v>
      </c>
      <c r="T1022" s="6">
        <v>0</v>
      </c>
      <c r="U1022" s="6">
        <v>0</v>
      </c>
      <c r="V1022" s="6">
        <f>IF(ISERROR(VLOOKUP($S$1022,'TAR FIN'!$A$1:$O$104,15,0)),0,VLOOKUP($S$1022,'TAR FIN'!$A$1:$O$104,15,0))</f>
        <v>26.22</v>
      </c>
      <c r="W1022" s="6">
        <f>IF(ISERROR(VLOOKUP($T$1022,'TAR FIN'!$A$1:$O$104,15,0)),0,VLOOKUP($T$1022,'TAR FIN'!$A$1:$O$104,15,0))</f>
        <v>0</v>
      </c>
      <c r="X1022" s="6">
        <f>IF(ISERROR(VLOOKUP($U$1022,'TAR FIN'!$A$1:$O$104,15,0)),0,VLOOKUP($U$1022,'TAR FIN'!$A$1:$O$104,15,0))</f>
        <v>0</v>
      </c>
      <c r="Y1022" s="6">
        <f ca="1">('TUSD BE'!$AM$24+'TUSD BF'!$AM$24+'TUSD CVA'!$AM$24)*1</f>
        <v>26.280164278980507</v>
      </c>
      <c r="Z1022" s="6"/>
      <c r="AA1022" s="6"/>
      <c r="AB1022" s="6">
        <f>$K$1022*$V$1022</f>
        <v>1179.8999999999999</v>
      </c>
      <c r="AC1022" s="6">
        <f>$M$1022*$W$1022</f>
        <v>0</v>
      </c>
      <c r="AD1022" s="6">
        <f>$O$1022*$X$1022</f>
        <v>0</v>
      </c>
      <c r="AE1022" s="6">
        <f ca="1">$K$1022*$Y$1022</f>
        <v>1182.6073925541227</v>
      </c>
      <c r="AF1022" s="6">
        <f>$M$1022*$Z$1022</f>
        <v>0</v>
      </c>
      <c r="AG1022" s="6">
        <f>$O$1022*$AA$1022</f>
        <v>0</v>
      </c>
    </row>
    <row r="1023" spans="1:33" ht="11.25" customHeight="1" x14ac:dyDescent="0.25">
      <c r="A1023" s="4" t="s">
        <v>28</v>
      </c>
      <c r="B1023" s="4" t="s">
        <v>41</v>
      </c>
      <c r="C1023" s="4" t="s">
        <v>42</v>
      </c>
      <c r="D1023" s="4" t="s">
        <v>38</v>
      </c>
      <c r="E1023" s="4" t="s">
        <v>25</v>
      </c>
      <c r="F1023" s="4" t="s">
        <v>25</v>
      </c>
      <c r="G1023" s="4" t="s">
        <v>25</v>
      </c>
      <c r="H1023" s="4" t="s">
        <v>25</v>
      </c>
      <c r="I1023" s="5">
        <v>44501</v>
      </c>
      <c r="J1023" s="6">
        <v>8387</v>
      </c>
      <c r="K1023" s="6">
        <v>8387</v>
      </c>
      <c r="L1023" s="6">
        <v>0</v>
      </c>
      <c r="M1023" s="6">
        <v>0</v>
      </c>
      <c r="N1023" s="6">
        <v>0</v>
      </c>
      <c r="O1023" s="6">
        <v>0</v>
      </c>
      <c r="P1023" s="6">
        <v>41</v>
      </c>
      <c r="Q1023" s="4" t="s">
        <v>26</v>
      </c>
      <c r="R1023" s="4">
        <v>0</v>
      </c>
      <c r="S1023" s="6">
        <v>40</v>
      </c>
      <c r="T1023" s="6">
        <v>0</v>
      </c>
      <c r="U1023" s="6">
        <v>0</v>
      </c>
      <c r="V1023" s="6">
        <f>IF(ISERROR(VLOOKUP($S$1023,'TAR FIN'!$A$1:$O$104,15,0)),0,VLOOKUP($S$1023,'TAR FIN'!$A$1:$O$104,15,0))</f>
        <v>26.22</v>
      </c>
      <c r="W1023" s="6">
        <f>IF(ISERROR(VLOOKUP($T$1023,'TAR FIN'!$A$1:$O$104,15,0)),0,VLOOKUP($T$1023,'TAR FIN'!$A$1:$O$104,15,0))</f>
        <v>0</v>
      </c>
      <c r="X1023" s="6">
        <f>IF(ISERROR(VLOOKUP($U$1023,'TAR FIN'!$A$1:$O$104,15,0)),0,VLOOKUP($U$1023,'TAR FIN'!$A$1:$O$104,15,0))</f>
        <v>0</v>
      </c>
      <c r="Y1023" s="6">
        <f ca="1">('TUSD BE'!$AM$24+'TUSD BF'!$AM$24+'TUSD CVA'!$AM$24)*1</f>
        <v>26.280164278980507</v>
      </c>
      <c r="Z1023" s="6"/>
      <c r="AA1023" s="6"/>
      <c r="AB1023" s="6">
        <f>$K$1023*$V$1023</f>
        <v>219907.13999999998</v>
      </c>
      <c r="AC1023" s="6">
        <f>$M$1023*$W$1023</f>
        <v>0</v>
      </c>
      <c r="AD1023" s="6">
        <f>$O$1023*$X$1023</f>
        <v>0</v>
      </c>
      <c r="AE1023" s="6">
        <f ca="1">$K$1023*$Y$1023</f>
        <v>220411.73780780952</v>
      </c>
      <c r="AF1023" s="6">
        <f>$M$1023*$Z$1023</f>
        <v>0</v>
      </c>
      <c r="AG1023" s="6">
        <f>$O$1023*$AA$1023</f>
        <v>0</v>
      </c>
    </row>
    <row r="1024" spans="1:33" ht="11.25" customHeight="1" x14ac:dyDescent="0.25">
      <c r="A1024" s="4" t="s">
        <v>21</v>
      </c>
      <c r="B1024" s="4" t="s">
        <v>41</v>
      </c>
      <c r="C1024" s="4" t="s">
        <v>42</v>
      </c>
      <c r="D1024" s="4" t="s">
        <v>38</v>
      </c>
      <c r="E1024" s="4" t="s">
        <v>25</v>
      </c>
      <c r="F1024" s="4" t="s">
        <v>25</v>
      </c>
      <c r="G1024" s="4" t="s">
        <v>25</v>
      </c>
      <c r="H1024" s="4" t="s">
        <v>25</v>
      </c>
      <c r="I1024" s="5">
        <v>44501</v>
      </c>
      <c r="J1024" s="6">
        <v>3500</v>
      </c>
      <c r="K1024" s="6">
        <v>3500</v>
      </c>
      <c r="L1024" s="6">
        <v>0</v>
      </c>
      <c r="M1024" s="6">
        <v>0</v>
      </c>
      <c r="N1024" s="6">
        <v>0</v>
      </c>
      <c r="O1024" s="6">
        <v>0</v>
      </c>
      <c r="P1024" s="6">
        <v>1</v>
      </c>
      <c r="Q1024" s="4" t="s">
        <v>58</v>
      </c>
      <c r="R1024" s="4">
        <v>0</v>
      </c>
      <c r="S1024" s="6">
        <v>40</v>
      </c>
      <c r="T1024" s="6">
        <v>0</v>
      </c>
      <c r="U1024" s="6">
        <v>0</v>
      </c>
      <c r="V1024" s="6">
        <f>IF(ISERROR(VLOOKUP($S$1024,'TAR FIN'!$A$1:$O$104,15,0)),0,VLOOKUP($S$1024,'TAR FIN'!$A$1:$O$104,15,0))</f>
        <v>26.22</v>
      </c>
      <c r="W1024" s="6">
        <f>IF(ISERROR(VLOOKUP($T$1024,'TAR FIN'!$A$1:$O$104,15,0)),0,VLOOKUP($T$1024,'TAR FIN'!$A$1:$O$104,15,0))</f>
        <v>0</v>
      </c>
      <c r="X1024" s="6">
        <f>IF(ISERROR(VLOOKUP($U$1024,'TAR FIN'!$A$1:$O$104,15,0)),0,VLOOKUP($U$1024,'TAR FIN'!$A$1:$O$104,15,0))</f>
        <v>0</v>
      </c>
      <c r="Y1024" s="6">
        <f ca="1">('TUSD BE'!$AM$24+'TUSD BF'!$AM$24+'TUSD CVA'!$AM$24)*1</f>
        <v>26.280164278980507</v>
      </c>
      <c r="Z1024" s="6"/>
      <c r="AA1024" s="6"/>
      <c r="AB1024" s="6">
        <f>$K$1024*$V$1024</f>
        <v>91770</v>
      </c>
      <c r="AC1024" s="6">
        <f>$M$1024*$W$1024</f>
        <v>0</v>
      </c>
      <c r="AD1024" s="6">
        <f>$O$1024*$X$1024</f>
        <v>0</v>
      </c>
      <c r="AE1024" s="6">
        <f ca="1">$K$1024*$Y$1024</f>
        <v>91980.574976431773</v>
      </c>
      <c r="AF1024" s="6">
        <f>$M$1024*$Z$1024</f>
        <v>0</v>
      </c>
      <c r="AG1024" s="6">
        <f>$O$1024*$AA$1024</f>
        <v>0</v>
      </c>
    </row>
    <row r="1025" spans="1:33" ht="11.25" customHeight="1" x14ac:dyDescent="0.25">
      <c r="A1025" s="4" t="s">
        <v>21</v>
      </c>
      <c r="B1025" s="4" t="s">
        <v>41</v>
      </c>
      <c r="C1025" s="4" t="s">
        <v>42</v>
      </c>
      <c r="D1025" s="4" t="s">
        <v>38</v>
      </c>
      <c r="E1025" s="4" t="s">
        <v>25</v>
      </c>
      <c r="F1025" s="4" t="s">
        <v>25</v>
      </c>
      <c r="G1025" s="4" t="s">
        <v>25</v>
      </c>
      <c r="H1025" s="4" t="s">
        <v>25</v>
      </c>
      <c r="I1025" s="5">
        <v>44531</v>
      </c>
      <c r="J1025" s="6">
        <v>47129</v>
      </c>
      <c r="K1025" s="6">
        <v>47129</v>
      </c>
      <c r="L1025" s="6">
        <v>0</v>
      </c>
      <c r="M1025" s="6">
        <v>0</v>
      </c>
      <c r="N1025" s="6">
        <v>0</v>
      </c>
      <c r="O1025" s="6">
        <v>0</v>
      </c>
      <c r="P1025" s="6">
        <v>268</v>
      </c>
      <c r="Q1025" s="4" t="s">
        <v>26</v>
      </c>
      <c r="R1025" s="4">
        <v>0</v>
      </c>
      <c r="S1025" s="6">
        <v>40</v>
      </c>
      <c r="T1025" s="6">
        <v>0</v>
      </c>
      <c r="U1025" s="6">
        <v>0</v>
      </c>
      <c r="V1025" s="6">
        <f>IF(ISERROR(VLOOKUP($S$1025,'TAR FIN'!$A$1:$O$104,15,0)),0,VLOOKUP($S$1025,'TAR FIN'!$A$1:$O$104,15,0))</f>
        <v>26.22</v>
      </c>
      <c r="W1025" s="6">
        <f>IF(ISERROR(VLOOKUP($T$1025,'TAR FIN'!$A$1:$O$104,15,0)),0,VLOOKUP($T$1025,'TAR FIN'!$A$1:$O$104,15,0))</f>
        <v>0</v>
      </c>
      <c r="X1025" s="6">
        <f>IF(ISERROR(VLOOKUP($U$1025,'TAR FIN'!$A$1:$O$104,15,0)),0,VLOOKUP($U$1025,'TAR FIN'!$A$1:$O$104,15,0))</f>
        <v>0</v>
      </c>
      <c r="Y1025" s="6">
        <f ca="1">('TUSD BE'!$AM$24+'TUSD BF'!$AM$24+'TUSD CVA'!$AM$24)*1</f>
        <v>26.280164278980507</v>
      </c>
      <c r="Z1025" s="6"/>
      <c r="AA1025" s="6"/>
      <c r="AB1025" s="6">
        <f>$K$1025*$V$1025</f>
        <v>1235722.3799999999</v>
      </c>
      <c r="AC1025" s="6">
        <f>$M$1025*$W$1025</f>
        <v>0</v>
      </c>
      <c r="AD1025" s="6">
        <f>$O$1025*$X$1025</f>
        <v>0</v>
      </c>
      <c r="AE1025" s="6">
        <f ca="1">$K$1025*$Y$1025</f>
        <v>1238557.8623040724</v>
      </c>
      <c r="AF1025" s="6">
        <f>$M$1025*$Z$1025</f>
        <v>0</v>
      </c>
      <c r="AG1025" s="6">
        <f>$O$1025*$AA$1025</f>
        <v>0</v>
      </c>
    </row>
    <row r="1026" spans="1:33" ht="11.25" customHeight="1" x14ac:dyDescent="0.25">
      <c r="A1026" s="4" t="s">
        <v>27</v>
      </c>
      <c r="B1026" s="4" t="s">
        <v>41</v>
      </c>
      <c r="C1026" s="4" t="s">
        <v>42</v>
      </c>
      <c r="D1026" s="4" t="s">
        <v>38</v>
      </c>
      <c r="E1026" s="4" t="s">
        <v>25</v>
      </c>
      <c r="F1026" s="4" t="s">
        <v>25</v>
      </c>
      <c r="G1026" s="4" t="s">
        <v>25</v>
      </c>
      <c r="H1026" s="4" t="s">
        <v>25</v>
      </c>
      <c r="I1026" s="5">
        <v>44531</v>
      </c>
      <c r="J1026" s="6">
        <v>-226</v>
      </c>
      <c r="K1026" s="6">
        <v>-226</v>
      </c>
      <c r="L1026" s="6">
        <v>0</v>
      </c>
      <c r="M1026" s="6">
        <v>0</v>
      </c>
      <c r="N1026" s="6">
        <v>0</v>
      </c>
      <c r="O1026" s="6">
        <v>0</v>
      </c>
      <c r="P1026" s="6">
        <v>-1</v>
      </c>
      <c r="Q1026" s="4" t="s">
        <v>26</v>
      </c>
      <c r="R1026" s="4">
        <v>0</v>
      </c>
      <c r="S1026" s="6">
        <v>40</v>
      </c>
      <c r="T1026" s="6">
        <v>0</v>
      </c>
      <c r="U1026" s="6">
        <v>0</v>
      </c>
      <c r="V1026" s="6">
        <f>IF(ISERROR(VLOOKUP($S$1026,'TAR FIN'!$A$1:$O$104,15,0)),0,VLOOKUP($S$1026,'TAR FIN'!$A$1:$O$104,15,0))</f>
        <v>26.22</v>
      </c>
      <c r="W1026" s="6">
        <f>IF(ISERROR(VLOOKUP($T$1026,'TAR FIN'!$A$1:$O$104,15,0)),0,VLOOKUP($T$1026,'TAR FIN'!$A$1:$O$104,15,0))</f>
        <v>0</v>
      </c>
      <c r="X1026" s="6">
        <f>IF(ISERROR(VLOOKUP($U$1026,'TAR FIN'!$A$1:$O$104,15,0)),0,VLOOKUP($U$1026,'TAR FIN'!$A$1:$O$104,15,0))</f>
        <v>0</v>
      </c>
      <c r="Y1026" s="6">
        <f ca="1">('TUSD BE'!$AM$24+'TUSD BF'!$AM$24+'TUSD CVA'!$AM$24)*1</f>
        <v>26.280164278980507</v>
      </c>
      <c r="Z1026" s="6"/>
      <c r="AA1026" s="6"/>
      <c r="AB1026" s="6">
        <f>$K$1026*$V$1026</f>
        <v>-5925.7199999999993</v>
      </c>
      <c r="AC1026" s="6">
        <f>$M$1026*$W$1026</f>
        <v>0</v>
      </c>
      <c r="AD1026" s="6">
        <f>$O$1026*$X$1026</f>
        <v>0</v>
      </c>
      <c r="AE1026" s="6">
        <f ca="1">$K$1026*$Y$1026</f>
        <v>-5939.317127049595</v>
      </c>
      <c r="AF1026" s="6">
        <f>$M$1026*$Z$1026</f>
        <v>0</v>
      </c>
      <c r="AG1026" s="6">
        <f>$O$1026*$AA$1026</f>
        <v>0</v>
      </c>
    </row>
    <row r="1027" spans="1:33" ht="11.25" customHeight="1" x14ac:dyDescent="0.25">
      <c r="A1027" s="4" t="s">
        <v>28</v>
      </c>
      <c r="B1027" s="4" t="s">
        <v>41</v>
      </c>
      <c r="C1027" s="4" t="s">
        <v>42</v>
      </c>
      <c r="D1027" s="4" t="s">
        <v>38</v>
      </c>
      <c r="E1027" s="4" t="s">
        <v>25</v>
      </c>
      <c r="F1027" s="4" t="s">
        <v>25</v>
      </c>
      <c r="G1027" s="4" t="s">
        <v>25</v>
      </c>
      <c r="H1027" s="4" t="s">
        <v>25</v>
      </c>
      <c r="I1027" s="5">
        <v>44531</v>
      </c>
      <c r="J1027" s="6">
        <v>9053</v>
      </c>
      <c r="K1027" s="6">
        <v>9053</v>
      </c>
      <c r="L1027" s="6">
        <v>0</v>
      </c>
      <c r="M1027" s="6">
        <v>0</v>
      </c>
      <c r="N1027" s="6">
        <v>0</v>
      </c>
      <c r="O1027" s="6">
        <v>0</v>
      </c>
      <c r="P1027" s="6">
        <v>43</v>
      </c>
      <c r="Q1027" s="4" t="s">
        <v>26</v>
      </c>
      <c r="R1027" s="4">
        <v>0</v>
      </c>
      <c r="S1027" s="6">
        <v>40</v>
      </c>
      <c r="T1027" s="6">
        <v>0</v>
      </c>
      <c r="U1027" s="6">
        <v>0</v>
      </c>
      <c r="V1027" s="6">
        <f>IF(ISERROR(VLOOKUP($S$1027,'TAR FIN'!$A$1:$O$104,15,0)),0,VLOOKUP($S$1027,'TAR FIN'!$A$1:$O$104,15,0))</f>
        <v>26.22</v>
      </c>
      <c r="W1027" s="6">
        <f>IF(ISERROR(VLOOKUP($T$1027,'TAR FIN'!$A$1:$O$104,15,0)),0,VLOOKUP($T$1027,'TAR FIN'!$A$1:$O$104,15,0))</f>
        <v>0</v>
      </c>
      <c r="X1027" s="6">
        <f>IF(ISERROR(VLOOKUP($U$1027,'TAR FIN'!$A$1:$O$104,15,0)),0,VLOOKUP($U$1027,'TAR FIN'!$A$1:$O$104,15,0))</f>
        <v>0</v>
      </c>
      <c r="Y1027" s="6">
        <f ca="1">('TUSD BE'!$AM$24+'TUSD BF'!$AM$24+'TUSD CVA'!$AM$24)*1</f>
        <v>26.280164278980507</v>
      </c>
      <c r="Z1027" s="6"/>
      <c r="AA1027" s="6"/>
      <c r="AB1027" s="6">
        <f>$K$1027*$V$1027</f>
        <v>237369.66</v>
      </c>
      <c r="AC1027" s="6">
        <f>$M$1027*$W$1027</f>
        <v>0</v>
      </c>
      <c r="AD1027" s="6">
        <f>$O$1027*$X$1027</f>
        <v>0</v>
      </c>
      <c r="AE1027" s="6">
        <f ca="1">$K$1027*$Y$1027</f>
        <v>237914.32721761052</v>
      </c>
      <c r="AF1027" s="6">
        <f>$M$1027*$Z$1027</f>
        <v>0</v>
      </c>
      <c r="AG1027" s="6">
        <f>$O$1027*$AA$1027</f>
        <v>0</v>
      </c>
    </row>
    <row r="1028" spans="1:33" ht="11.25" customHeight="1" x14ac:dyDescent="0.25">
      <c r="A1028" s="4" t="s">
        <v>21</v>
      </c>
      <c r="B1028" s="4" t="s">
        <v>41</v>
      </c>
      <c r="C1028" s="4" t="s">
        <v>42</v>
      </c>
      <c r="D1028" s="4" t="s">
        <v>38</v>
      </c>
      <c r="E1028" s="4" t="s">
        <v>25</v>
      </c>
      <c r="F1028" s="4" t="s">
        <v>25</v>
      </c>
      <c r="G1028" s="4" t="s">
        <v>25</v>
      </c>
      <c r="H1028" s="4" t="s">
        <v>25</v>
      </c>
      <c r="I1028" s="5">
        <v>44531</v>
      </c>
      <c r="J1028" s="6">
        <v>3500</v>
      </c>
      <c r="K1028" s="6">
        <v>3500</v>
      </c>
      <c r="L1028" s="6">
        <v>0</v>
      </c>
      <c r="M1028" s="6">
        <v>0</v>
      </c>
      <c r="N1028" s="6">
        <v>0</v>
      </c>
      <c r="O1028" s="6">
        <v>0</v>
      </c>
      <c r="P1028" s="6">
        <v>1</v>
      </c>
      <c r="Q1028" s="4" t="s">
        <v>58</v>
      </c>
      <c r="R1028" s="4">
        <v>0</v>
      </c>
      <c r="S1028" s="6">
        <v>40</v>
      </c>
      <c r="T1028" s="6">
        <v>0</v>
      </c>
      <c r="U1028" s="6">
        <v>0</v>
      </c>
      <c r="V1028" s="6">
        <f>IF(ISERROR(VLOOKUP($S$1028,'TAR FIN'!$A$1:$O$104,15,0)),0,VLOOKUP($S$1028,'TAR FIN'!$A$1:$O$104,15,0))</f>
        <v>26.22</v>
      </c>
      <c r="W1028" s="6">
        <f>IF(ISERROR(VLOOKUP($T$1028,'TAR FIN'!$A$1:$O$104,15,0)),0,VLOOKUP($T$1028,'TAR FIN'!$A$1:$O$104,15,0))</f>
        <v>0</v>
      </c>
      <c r="X1028" s="6">
        <f>IF(ISERROR(VLOOKUP($U$1028,'TAR FIN'!$A$1:$O$104,15,0)),0,VLOOKUP($U$1028,'TAR FIN'!$A$1:$O$104,15,0))</f>
        <v>0</v>
      </c>
      <c r="Y1028" s="6">
        <f ca="1">('TUSD BE'!$AM$24+'TUSD BF'!$AM$24+'TUSD CVA'!$AM$24)*1</f>
        <v>26.280164278980507</v>
      </c>
      <c r="Z1028" s="6"/>
      <c r="AA1028" s="6"/>
      <c r="AB1028" s="6">
        <f>$K$1028*$V$1028</f>
        <v>91770</v>
      </c>
      <c r="AC1028" s="6">
        <f>$M$1028*$W$1028</f>
        <v>0</v>
      </c>
      <c r="AD1028" s="6">
        <f>$O$1028*$X$1028</f>
        <v>0</v>
      </c>
      <c r="AE1028" s="6">
        <f ca="1">$K$1028*$Y$1028</f>
        <v>91980.574976431773</v>
      </c>
      <c r="AF1028" s="6">
        <f>$M$1028*$Z$1028</f>
        <v>0</v>
      </c>
      <c r="AG1028" s="6">
        <f>$O$1028*$AA$1028</f>
        <v>0</v>
      </c>
    </row>
    <row r="1029" spans="1:33" ht="11.25" customHeight="1" x14ac:dyDescent="0.25">
      <c r="A1029" s="4" t="s">
        <v>21</v>
      </c>
      <c r="B1029" s="4" t="s">
        <v>41</v>
      </c>
      <c r="C1029" s="4" t="s">
        <v>42</v>
      </c>
      <c r="D1029" s="4" t="s">
        <v>38</v>
      </c>
      <c r="E1029" s="4" t="s">
        <v>25</v>
      </c>
      <c r="F1029" s="4" t="s">
        <v>25</v>
      </c>
      <c r="G1029" s="4" t="s">
        <v>25</v>
      </c>
      <c r="H1029" s="4" t="s">
        <v>25</v>
      </c>
      <c r="I1029" s="5">
        <v>44562</v>
      </c>
      <c r="J1029" s="6">
        <v>48277</v>
      </c>
      <c r="K1029" s="6">
        <v>48277</v>
      </c>
      <c r="L1029" s="6">
        <v>0</v>
      </c>
      <c r="M1029" s="6">
        <v>0</v>
      </c>
      <c r="N1029" s="6">
        <v>0</v>
      </c>
      <c r="O1029" s="6">
        <v>0</v>
      </c>
      <c r="P1029" s="6">
        <v>269</v>
      </c>
      <c r="Q1029" s="4" t="s">
        <v>26</v>
      </c>
      <c r="R1029" s="4">
        <v>0</v>
      </c>
      <c r="S1029" s="6">
        <v>40</v>
      </c>
      <c r="T1029" s="6">
        <v>0</v>
      </c>
      <c r="U1029" s="6">
        <v>0</v>
      </c>
      <c r="V1029" s="6">
        <f>IF(ISERROR(VLOOKUP($S$1029,'TAR FIN'!$A$1:$O$104,15,0)),0,VLOOKUP($S$1029,'TAR FIN'!$A$1:$O$104,15,0))</f>
        <v>26.22</v>
      </c>
      <c r="W1029" s="6">
        <f>IF(ISERROR(VLOOKUP($T$1029,'TAR FIN'!$A$1:$O$104,15,0)),0,VLOOKUP($T$1029,'TAR FIN'!$A$1:$O$104,15,0))</f>
        <v>0</v>
      </c>
      <c r="X1029" s="6">
        <f>IF(ISERROR(VLOOKUP($U$1029,'TAR FIN'!$A$1:$O$104,15,0)),0,VLOOKUP($U$1029,'TAR FIN'!$A$1:$O$104,15,0))</f>
        <v>0</v>
      </c>
      <c r="Y1029" s="6">
        <f ca="1">('TUSD BE'!$AM$24+'TUSD BF'!$AM$24+'TUSD CVA'!$AM$24)*1</f>
        <v>26.280164278980507</v>
      </c>
      <c r="Z1029" s="6"/>
      <c r="AA1029" s="6"/>
      <c r="AB1029" s="6">
        <f>$K$1029*$V$1029</f>
        <v>1265822.94</v>
      </c>
      <c r="AC1029" s="6">
        <f>$M$1029*$W$1029</f>
        <v>0</v>
      </c>
      <c r="AD1029" s="6">
        <f>$O$1029*$X$1029</f>
        <v>0</v>
      </c>
      <c r="AE1029" s="6">
        <f ca="1">$K$1029*$Y$1029</f>
        <v>1268727.4908963419</v>
      </c>
      <c r="AF1029" s="6">
        <f>$M$1029*$Z$1029</f>
        <v>0</v>
      </c>
      <c r="AG1029" s="6">
        <f>$O$1029*$AA$1029</f>
        <v>0</v>
      </c>
    </row>
    <row r="1030" spans="1:33" ht="11.25" customHeight="1" x14ac:dyDescent="0.25">
      <c r="A1030" s="4" t="s">
        <v>28</v>
      </c>
      <c r="B1030" s="4" t="s">
        <v>41</v>
      </c>
      <c r="C1030" s="4" t="s">
        <v>42</v>
      </c>
      <c r="D1030" s="4" t="s">
        <v>38</v>
      </c>
      <c r="E1030" s="4" t="s">
        <v>25</v>
      </c>
      <c r="F1030" s="4" t="s">
        <v>25</v>
      </c>
      <c r="G1030" s="4" t="s">
        <v>25</v>
      </c>
      <c r="H1030" s="4" t="s">
        <v>25</v>
      </c>
      <c r="I1030" s="5">
        <v>44562</v>
      </c>
      <c r="J1030" s="6">
        <v>8554</v>
      </c>
      <c r="K1030" s="6">
        <v>8554</v>
      </c>
      <c r="L1030" s="6">
        <v>0</v>
      </c>
      <c r="M1030" s="6">
        <v>0</v>
      </c>
      <c r="N1030" s="6">
        <v>0</v>
      </c>
      <c r="O1030" s="6">
        <v>0</v>
      </c>
      <c r="P1030" s="6">
        <v>44</v>
      </c>
      <c r="Q1030" s="4" t="s">
        <v>26</v>
      </c>
      <c r="R1030" s="4">
        <v>0</v>
      </c>
      <c r="S1030" s="6">
        <v>40</v>
      </c>
      <c r="T1030" s="6">
        <v>0</v>
      </c>
      <c r="U1030" s="6">
        <v>0</v>
      </c>
      <c r="V1030" s="6">
        <f>IF(ISERROR(VLOOKUP($S$1030,'TAR FIN'!$A$1:$O$104,15,0)),0,VLOOKUP($S$1030,'TAR FIN'!$A$1:$O$104,15,0))</f>
        <v>26.22</v>
      </c>
      <c r="W1030" s="6">
        <f>IF(ISERROR(VLOOKUP($T$1030,'TAR FIN'!$A$1:$O$104,15,0)),0,VLOOKUP($T$1030,'TAR FIN'!$A$1:$O$104,15,0))</f>
        <v>0</v>
      </c>
      <c r="X1030" s="6">
        <f>IF(ISERROR(VLOOKUP($U$1030,'TAR FIN'!$A$1:$O$104,15,0)),0,VLOOKUP($U$1030,'TAR FIN'!$A$1:$O$104,15,0))</f>
        <v>0</v>
      </c>
      <c r="Y1030" s="6">
        <f ca="1">('TUSD BE'!$AM$24+'TUSD BF'!$AM$24+'TUSD CVA'!$AM$24)*1</f>
        <v>26.280164278980507</v>
      </c>
      <c r="Z1030" s="6"/>
      <c r="AA1030" s="6"/>
      <c r="AB1030" s="6">
        <f>$K$1030*$V$1030</f>
        <v>224285.88</v>
      </c>
      <c r="AC1030" s="6">
        <f>$M$1030*$W$1030</f>
        <v>0</v>
      </c>
      <c r="AD1030" s="6">
        <f>$O$1030*$X$1030</f>
        <v>0</v>
      </c>
      <c r="AE1030" s="6">
        <f ca="1">$K$1030*$Y$1030</f>
        <v>224800.52524239925</v>
      </c>
      <c r="AF1030" s="6">
        <f>$M$1030*$Z$1030</f>
        <v>0</v>
      </c>
      <c r="AG1030" s="6">
        <f>$O$1030*$AA$1030</f>
        <v>0</v>
      </c>
    </row>
    <row r="1031" spans="1:33" ht="11.25" customHeight="1" x14ac:dyDescent="0.25">
      <c r="A1031" s="4" t="s">
        <v>21</v>
      </c>
      <c r="B1031" s="4" t="s">
        <v>41</v>
      </c>
      <c r="C1031" s="4" t="s">
        <v>42</v>
      </c>
      <c r="D1031" s="4" t="s">
        <v>38</v>
      </c>
      <c r="E1031" s="4" t="s">
        <v>25</v>
      </c>
      <c r="F1031" s="4" t="s">
        <v>25</v>
      </c>
      <c r="G1031" s="4" t="s">
        <v>25</v>
      </c>
      <c r="H1031" s="4" t="s">
        <v>25</v>
      </c>
      <c r="I1031" s="5">
        <v>44562</v>
      </c>
      <c r="J1031" s="6">
        <v>3500</v>
      </c>
      <c r="K1031" s="6">
        <v>3500</v>
      </c>
      <c r="L1031" s="6">
        <v>0</v>
      </c>
      <c r="M1031" s="6">
        <v>0</v>
      </c>
      <c r="N1031" s="6">
        <v>0</v>
      </c>
      <c r="O1031" s="6">
        <v>0</v>
      </c>
      <c r="P1031" s="6">
        <v>1</v>
      </c>
      <c r="Q1031" s="4" t="s">
        <v>58</v>
      </c>
      <c r="R1031" s="4">
        <v>0</v>
      </c>
      <c r="S1031" s="6">
        <v>40</v>
      </c>
      <c r="T1031" s="6">
        <v>0</v>
      </c>
      <c r="U1031" s="6">
        <v>0</v>
      </c>
      <c r="V1031" s="6">
        <f>IF(ISERROR(VLOOKUP($S$1031,'TAR FIN'!$A$1:$O$104,15,0)),0,VLOOKUP($S$1031,'TAR FIN'!$A$1:$O$104,15,0))</f>
        <v>26.22</v>
      </c>
      <c r="W1031" s="6">
        <f>IF(ISERROR(VLOOKUP($T$1031,'TAR FIN'!$A$1:$O$104,15,0)),0,VLOOKUP($T$1031,'TAR FIN'!$A$1:$O$104,15,0))</f>
        <v>0</v>
      </c>
      <c r="X1031" s="6">
        <f>IF(ISERROR(VLOOKUP($U$1031,'TAR FIN'!$A$1:$O$104,15,0)),0,VLOOKUP($U$1031,'TAR FIN'!$A$1:$O$104,15,0))</f>
        <v>0</v>
      </c>
      <c r="Y1031" s="6">
        <f ca="1">('TUSD BE'!$AM$24+'TUSD BF'!$AM$24+'TUSD CVA'!$AM$24)*1</f>
        <v>26.280164278980507</v>
      </c>
      <c r="Z1031" s="6"/>
      <c r="AA1031" s="6"/>
      <c r="AB1031" s="6">
        <f>$K$1031*$V$1031</f>
        <v>91770</v>
      </c>
      <c r="AC1031" s="6">
        <f>$M$1031*$W$1031</f>
        <v>0</v>
      </c>
      <c r="AD1031" s="6">
        <f>$O$1031*$X$1031</f>
        <v>0</v>
      </c>
      <c r="AE1031" s="6">
        <f ca="1">$K$1031*$Y$1031</f>
        <v>91980.574976431773</v>
      </c>
      <c r="AF1031" s="6">
        <f>$M$1031*$Z$1031</f>
        <v>0</v>
      </c>
      <c r="AG1031" s="6">
        <f>$O$1031*$AA$1031</f>
        <v>0</v>
      </c>
    </row>
    <row r="1032" spans="1:33" ht="11.25" customHeight="1" x14ac:dyDescent="0.25">
      <c r="A1032" s="4" t="s">
        <v>21</v>
      </c>
      <c r="B1032" s="4" t="s">
        <v>41</v>
      </c>
      <c r="C1032" s="4" t="s">
        <v>42</v>
      </c>
      <c r="D1032" s="4" t="s">
        <v>38</v>
      </c>
      <c r="E1032" s="4" t="s">
        <v>25</v>
      </c>
      <c r="F1032" s="4" t="s">
        <v>25</v>
      </c>
      <c r="G1032" s="4" t="s">
        <v>25</v>
      </c>
      <c r="H1032" s="4" t="s">
        <v>25</v>
      </c>
      <c r="I1032" s="5">
        <v>44593</v>
      </c>
      <c r="J1032" s="6">
        <v>47002</v>
      </c>
      <c r="K1032" s="6">
        <v>47002</v>
      </c>
      <c r="L1032" s="6">
        <v>0</v>
      </c>
      <c r="M1032" s="6">
        <v>0</v>
      </c>
      <c r="N1032" s="6">
        <v>0</v>
      </c>
      <c r="O1032" s="6">
        <v>0</v>
      </c>
      <c r="P1032" s="6">
        <v>269</v>
      </c>
      <c r="Q1032" s="4" t="s">
        <v>26</v>
      </c>
      <c r="R1032" s="4">
        <v>0</v>
      </c>
      <c r="S1032" s="6">
        <v>40</v>
      </c>
      <c r="T1032" s="6">
        <v>0</v>
      </c>
      <c r="U1032" s="6">
        <v>0</v>
      </c>
      <c r="V1032" s="6">
        <f>IF(ISERROR(VLOOKUP($S$1032,'TAR FIN'!$A$1:$O$104,15,0)),0,VLOOKUP($S$1032,'TAR FIN'!$A$1:$O$104,15,0))</f>
        <v>26.22</v>
      </c>
      <c r="W1032" s="6">
        <f>IF(ISERROR(VLOOKUP($T$1032,'TAR FIN'!$A$1:$O$104,15,0)),0,VLOOKUP($T$1032,'TAR FIN'!$A$1:$O$104,15,0))</f>
        <v>0</v>
      </c>
      <c r="X1032" s="6">
        <f>IF(ISERROR(VLOOKUP($U$1032,'TAR FIN'!$A$1:$O$104,15,0)),0,VLOOKUP($U$1032,'TAR FIN'!$A$1:$O$104,15,0))</f>
        <v>0</v>
      </c>
      <c r="Y1032" s="6">
        <f ca="1">('TUSD BE'!$AM$24+'TUSD BF'!$AM$24+'TUSD CVA'!$AM$24)*1</f>
        <v>26.280164278980507</v>
      </c>
      <c r="Z1032" s="6"/>
      <c r="AA1032" s="6"/>
      <c r="AB1032" s="6">
        <f>$K$1032*$V$1032</f>
        <v>1232392.44</v>
      </c>
      <c r="AC1032" s="6">
        <f>$M$1032*$W$1032</f>
        <v>0</v>
      </c>
      <c r="AD1032" s="6">
        <f>$O$1032*$X$1032</f>
        <v>0</v>
      </c>
      <c r="AE1032" s="6">
        <f ca="1">$K$1032*$Y$1032</f>
        <v>1235220.2814406417</v>
      </c>
      <c r="AF1032" s="6">
        <f>$M$1032*$Z$1032</f>
        <v>0</v>
      </c>
      <c r="AG1032" s="6">
        <f>$O$1032*$AA$1032</f>
        <v>0</v>
      </c>
    </row>
    <row r="1033" spans="1:33" ht="11.25" customHeight="1" x14ac:dyDescent="0.25">
      <c r="A1033" s="4" t="s">
        <v>28</v>
      </c>
      <c r="B1033" s="4" t="s">
        <v>41</v>
      </c>
      <c r="C1033" s="4" t="s">
        <v>42</v>
      </c>
      <c r="D1033" s="4" t="s">
        <v>38</v>
      </c>
      <c r="E1033" s="4" t="s">
        <v>25</v>
      </c>
      <c r="F1033" s="4" t="s">
        <v>25</v>
      </c>
      <c r="G1033" s="4" t="s">
        <v>25</v>
      </c>
      <c r="H1033" s="4" t="s">
        <v>25</v>
      </c>
      <c r="I1033" s="5">
        <v>44593</v>
      </c>
      <c r="J1033" s="6">
        <v>8519</v>
      </c>
      <c r="K1033" s="6">
        <v>8519</v>
      </c>
      <c r="L1033" s="6">
        <v>0</v>
      </c>
      <c r="M1033" s="6">
        <v>0</v>
      </c>
      <c r="N1033" s="6">
        <v>0</v>
      </c>
      <c r="O1033" s="6">
        <v>0</v>
      </c>
      <c r="P1033" s="6">
        <v>44</v>
      </c>
      <c r="Q1033" s="4" t="s">
        <v>26</v>
      </c>
      <c r="R1033" s="4">
        <v>0</v>
      </c>
      <c r="S1033" s="6">
        <v>40</v>
      </c>
      <c r="T1033" s="6">
        <v>0</v>
      </c>
      <c r="U1033" s="6">
        <v>0</v>
      </c>
      <c r="V1033" s="6">
        <f>IF(ISERROR(VLOOKUP($S$1033,'TAR FIN'!$A$1:$O$104,15,0)),0,VLOOKUP($S$1033,'TAR FIN'!$A$1:$O$104,15,0))</f>
        <v>26.22</v>
      </c>
      <c r="W1033" s="6">
        <f>IF(ISERROR(VLOOKUP($T$1033,'TAR FIN'!$A$1:$O$104,15,0)),0,VLOOKUP($T$1033,'TAR FIN'!$A$1:$O$104,15,0))</f>
        <v>0</v>
      </c>
      <c r="X1033" s="6">
        <f>IF(ISERROR(VLOOKUP($U$1033,'TAR FIN'!$A$1:$O$104,15,0)),0,VLOOKUP($U$1033,'TAR FIN'!$A$1:$O$104,15,0))</f>
        <v>0</v>
      </c>
      <c r="Y1033" s="6">
        <f ca="1">('TUSD BE'!$AM$24+'TUSD BF'!$AM$24+'TUSD CVA'!$AM$24)*1</f>
        <v>26.280164278980507</v>
      </c>
      <c r="Z1033" s="6"/>
      <c r="AA1033" s="6"/>
      <c r="AB1033" s="6">
        <f>$K$1033*$V$1033</f>
        <v>223368.18</v>
      </c>
      <c r="AC1033" s="6">
        <f>$M$1033*$W$1033</f>
        <v>0</v>
      </c>
      <c r="AD1033" s="6">
        <f>$O$1033*$X$1033</f>
        <v>0</v>
      </c>
      <c r="AE1033" s="6">
        <f ca="1">$K$1033*$Y$1033</f>
        <v>223880.71949263493</v>
      </c>
      <c r="AF1033" s="6">
        <f>$M$1033*$Z$1033</f>
        <v>0</v>
      </c>
      <c r="AG1033" s="6">
        <f>$O$1033*$AA$1033</f>
        <v>0</v>
      </c>
    </row>
    <row r="1034" spans="1:33" ht="11.25" customHeight="1" x14ac:dyDescent="0.25">
      <c r="A1034" s="4" t="s">
        <v>21</v>
      </c>
      <c r="B1034" s="4" t="s">
        <v>41</v>
      </c>
      <c r="C1034" s="4" t="s">
        <v>42</v>
      </c>
      <c r="D1034" s="4" t="s">
        <v>38</v>
      </c>
      <c r="E1034" s="4" t="s">
        <v>25</v>
      </c>
      <c r="F1034" s="4" t="s">
        <v>25</v>
      </c>
      <c r="G1034" s="4" t="s">
        <v>25</v>
      </c>
      <c r="H1034" s="4" t="s">
        <v>25</v>
      </c>
      <c r="I1034" s="5">
        <v>44593</v>
      </c>
      <c r="J1034" s="6">
        <v>3500</v>
      </c>
      <c r="K1034" s="6">
        <v>3500</v>
      </c>
      <c r="L1034" s="6">
        <v>0</v>
      </c>
      <c r="M1034" s="6">
        <v>0</v>
      </c>
      <c r="N1034" s="6">
        <v>0</v>
      </c>
      <c r="O1034" s="6">
        <v>0</v>
      </c>
      <c r="P1034" s="6">
        <v>1</v>
      </c>
      <c r="Q1034" s="4" t="s">
        <v>58</v>
      </c>
      <c r="R1034" s="4">
        <v>0</v>
      </c>
      <c r="S1034" s="6">
        <v>40</v>
      </c>
      <c r="T1034" s="6">
        <v>0</v>
      </c>
      <c r="U1034" s="6">
        <v>0</v>
      </c>
      <c r="V1034" s="6">
        <f>IF(ISERROR(VLOOKUP($S$1034,'TAR FIN'!$A$1:$O$104,15,0)),0,VLOOKUP($S$1034,'TAR FIN'!$A$1:$O$104,15,0))</f>
        <v>26.22</v>
      </c>
      <c r="W1034" s="6">
        <f>IF(ISERROR(VLOOKUP($T$1034,'TAR FIN'!$A$1:$O$104,15,0)),0,VLOOKUP($T$1034,'TAR FIN'!$A$1:$O$104,15,0))</f>
        <v>0</v>
      </c>
      <c r="X1034" s="6">
        <f>IF(ISERROR(VLOOKUP($U$1034,'TAR FIN'!$A$1:$O$104,15,0)),0,VLOOKUP($U$1034,'TAR FIN'!$A$1:$O$104,15,0))</f>
        <v>0</v>
      </c>
      <c r="Y1034" s="6">
        <f ca="1">('TUSD BE'!$AM$24+'TUSD BF'!$AM$24+'TUSD CVA'!$AM$24)*1</f>
        <v>26.280164278980507</v>
      </c>
      <c r="Z1034" s="6"/>
      <c r="AA1034" s="6"/>
      <c r="AB1034" s="6">
        <f>$K$1034*$V$1034</f>
        <v>91770</v>
      </c>
      <c r="AC1034" s="6">
        <f>$M$1034*$W$1034</f>
        <v>0</v>
      </c>
      <c r="AD1034" s="6">
        <f>$O$1034*$X$1034</f>
        <v>0</v>
      </c>
      <c r="AE1034" s="6">
        <f ca="1">$K$1034*$Y$1034</f>
        <v>91980.574976431773</v>
      </c>
      <c r="AF1034" s="6">
        <f>$M$1034*$Z$1034</f>
        <v>0</v>
      </c>
      <c r="AG1034" s="6">
        <f>$O$1034*$AA$1034</f>
        <v>0</v>
      </c>
    </row>
    <row r="1035" spans="1:33" ht="11.25" customHeight="1" x14ac:dyDescent="0.25">
      <c r="A1035" s="4" t="s">
        <v>21</v>
      </c>
      <c r="B1035" s="4" t="s">
        <v>41</v>
      </c>
      <c r="C1035" s="4" t="s">
        <v>42</v>
      </c>
      <c r="D1035" s="4" t="s">
        <v>38</v>
      </c>
      <c r="E1035" s="4" t="s">
        <v>25</v>
      </c>
      <c r="F1035" s="4" t="s">
        <v>25</v>
      </c>
      <c r="G1035" s="4" t="s">
        <v>25</v>
      </c>
      <c r="H1035" s="4" t="s">
        <v>25</v>
      </c>
      <c r="I1035" s="5">
        <v>44621</v>
      </c>
      <c r="J1035" s="6">
        <v>46095</v>
      </c>
      <c r="K1035" s="6">
        <v>46095</v>
      </c>
      <c r="L1035" s="6">
        <v>0</v>
      </c>
      <c r="M1035" s="6">
        <v>0</v>
      </c>
      <c r="N1035" s="6">
        <v>0</v>
      </c>
      <c r="O1035" s="6">
        <v>0</v>
      </c>
      <c r="P1035" s="6">
        <v>266</v>
      </c>
      <c r="Q1035" s="4" t="s">
        <v>26</v>
      </c>
      <c r="R1035" s="4">
        <v>0</v>
      </c>
      <c r="S1035" s="6">
        <v>40</v>
      </c>
      <c r="T1035" s="6">
        <v>0</v>
      </c>
      <c r="U1035" s="6">
        <v>0</v>
      </c>
      <c r="V1035" s="6">
        <f>IF(ISERROR(VLOOKUP($S$1035,'TAR FIN'!$A$1:$O$104,15,0)),0,VLOOKUP($S$1035,'TAR FIN'!$A$1:$O$104,15,0))</f>
        <v>26.22</v>
      </c>
      <c r="W1035" s="6">
        <f>IF(ISERROR(VLOOKUP($T$1035,'TAR FIN'!$A$1:$O$104,15,0)),0,VLOOKUP($T$1035,'TAR FIN'!$A$1:$O$104,15,0))</f>
        <v>0</v>
      </c>
      <c r="X1035" s="6">
        <f>IF(ISERROR(VLOOKUP($U$1035,'TAR FIN'!$A$1:$O$104,15,0)),0,VLOOKUP($U$1035,'TAR FIN'!$A$1:$O$104,15,0))</f>
        <v>0</v>
      </c>
      <c r="Y1035" s="6">
        <f ca="1">('TUSD BE'!$AM$24+'TUSD BF'!$AM$24+'TUSD CVA'!$AM$24)*1</f>
        <v>26.280164278980507</v>
      </c>
      <c r="Z1035" s="6"/>
      <c r="AA1035" s="6"/>
      <c r="AB1035" s="6">
        <f>$K$1035*$V$1035</f>
        <v>1208610.8999999999</v>
      </c>
      <c r="AC1035" s="6">
        <f>$M$1035*$W$1035</f>
        <v>0</v>
      </c>
      <c r="AD1035" s="6">
        <f>$O$1035*$X$1035</f>
        <v>0</v>
      </c>
      <c r="AE1035" s="6">
        <f ca="1">$K$1035*$Y$1035</f>
        <v>1211384.1724396064</v>
      </c>
      <c r="AF1035" s="6">
        <f>$M$1035*$Z$1035</f>
        <v>0</v>
      </c>
      <c r="AG1035" s="6">
        <f>$O$1035*$AA$1035</f>
        <v>0</v>
      </c>
    </row>
    <row r="1036" spans="1:33" ht="11.25" customHeight="1" x14ac:dyDescent="0.25">
      <c r="A1036" s="4" t="s">
        <v>28</v>
      </c>
      <c r="B1036" s="4" t="s">
        <v>41</v>
      </c>
      <c r="C1036" s="4" t="s">
        <v>42</v>
      </c>
      <c r="D1036" s="4" t="s">
        <v>38</v>
      </c>
      <c r="E1036" s="4" t="s">
        <v>25</v>
      </c>
      <c r="F1036" s="4" t="s">
        <v>25</v>
      </c>
      <c r="G1036" s="4" t="s">
        <v>25</v>
      </c>
      <c r="H1036" s="4" t="s">
        <v>25</v>
      </c>
      <c r="I1036" s="5">
        <v>44621</v>
      </c>
      <c r="J1036" s="6">
        <v>9261</v>
      </c>
      <c r="K1036" s="6">
        <v>9261</v>
      </c>
      <c r="L1036" s="6">
        <v>0</v>
      </c>
      <c r="M1036" s="6">
        <v>0</v>
      </c>
      <c r="N1036" s="6">
        <v>0</v>
      </c>
      <c r="O1036" s="6">
        <v>0</v>
      </c>
      <c r="P1036" s="6">
        <v>47</v>
      </c>
      <c r="Q1036" s="4" t="s">
        <v>26</v>
      </c>
      <c r="R1036" s="4">
        <v>0</v>
      </c>
      <c r="S1036" s="6">
        <v>40</v>
      </c>
      <c r="T1036" s="6">
        <v>0</v>
      </c>
      <c r="U1036" s="6">
        <v>0</v>
      </c>
      <c r="V1036" s="6">
        <f>IF(ISERROR(VLOOKUP($S$1036,'TAR FIN'!$A$1:$O$104,15,0)),0,VLOOKUP($S$1036,'TAR FIN'!$A$1:$O$104,15,0))</f>
        <v>26.22</v>
      </c>
      <c r="W1036" s="6">
        <f>IF(ISERROR(VLOOKUP($T$1036,'TAR FIN'!$A$1:$O$104,15,0)),0,VLOOKUP($T$1036,'TAR FIN'!$A$1:$O$104,15,0))</f>
        <v>0</v>
      </c>
      <c r="X1036" s="6">
        <f>IF(ISERROR(VLOOKUP($U$1036,'TAR FIN'!$A$1:$O$104,15,0)),0,VLOOKUP($U$1036,'TAR FIN'!$A$1:$O$104,15,0))</f>
        <v>0</v>
      </c>
      <c r="Y1036" s="6">
        <f ca="1">('TUSD BE'!$AM$24+'TUSD BF'!$AM$24+'TUSD CVA'!$AM$24)*1</f>
        <v>26.280164278980507</v>
      </c>
      <c r="Z1036" s="6"/>
      <c r="AA1036" s="6"/>
      <c r="AB1036" s="6">
        <f>$K$1036*$V$1036</f>
        <v>242823.41999999998</v>
      </c>
      <c r="AC1036" s="6">
        <f>$M$1036*$W$1036</f>
        <v>0</v>
      </c>
      <c r="AD1036" s="6">
        <f>$O$1036*$X$1036</f>
        <v>0</v>
      </c>
      <c r="AE1036" s="6">
        <f ca="1">$K$1036*$Y$1036</f>
        <v>243380.60138763848</v>
      </c>
      <c r="AF1036" s="6">
        <f>$M$1036*$Z$1036</f>
        <v>0</v>
      </c>
      <c r="AG1036" s="6">
        <f>$O$1036*$AA$1036</f>
        <v>0</v>
      </c>
    </row>
    <row r="1037" spans="1:33" ht="11.25" customHeight="1" x14ac:dyDescent="0.25">
      <c r="A1037" s="4" t="s">
        <v>21</v>
      </c>
      <c r="B1037" s="4" t="s">
        <v>41</v>
      </c>
      <c r="C1037" s="4" t="s">
        <v>42</v>
      </c>
      <c r="D1037" s="4" t="s">
        <v>38</v>
      </c>
      <c r="E1037" s="4" t="s">
        <v>25</v>
      </c>
      <c r="F1037" s="4" t="s">
        <v>25</v>
      </c>
      <c r="G1037" s="4" t="s">
        <v>25</v>
      </c>
      <c r="H1037" s="4" t="s">
        <v>25</v>
      </c>
      <c r="I1037" s="5">
        <v>44621</v>
      </c>
      <c r="J1037" s="6">
        <v>3500</v>
      </c>
      <c r="K1037" s="6">
        <v>3500</v>
      </c>
      <c r="L1037" s="6">
        <v>0</v>
      </c>
      <c r="M1037" s="6">
        <v>0</v>
      </c>
      <c r="N1037" s="6">
        <v>0</v>
      </c>
      <c r="O1037" s="6">
        <v>0</v>
      </c>
      <c r="P1037" s="6">
        <v>1</v>
      </c>
      <c r="Q1037" s="4" t="s">
        <v>58</v>
      </c>
      <c r="R1037" s="4">
        <v>0</v>
      </c>
      <c r="S1037" s="6">
        <v>40</v>
      </c>
      <c r="T1037" s="6">
        <v>0</v>
      </c>
      <c r="U1037" s="6">
        <v>0</v>
      </c>
      <c r="V1037" s="6">
        <f>IF(ISERROR(VLOOKUP($S$1037,'TAR FIN'!$A$1:$O$104,15,0)),0,VLOOKUP($S$1037,'TAR FIN'!$A$1:$O$104,15,0))</f>
        <v>26.22</v>
      </c>
      <c r="W1037" s="6">
        <f>IF(ISERROR(VLOOKUP($T$1037,'TAR FIN'!$A$1:$O$104,15,0)),0,VLOOKUP($T$1037,'TAR FIN'!$A$1:$O$104,15,0))</f>
        <v>0</v>
      </c>
      <c r="X1037" s="6">
        <f>IF(ISERROR(VLOOKUP($U$1037,'TAR FIN'!$A$1:$O$104,15,0)),0,VLOOKUP($U$1037,'TAR FIN'!$A$1:$O$104,15,0))</f>
        <v>0</v>
      </c>
      <c r="Y1037" s="6">
        <f ca="1">('TUSD BE'!$AM$24+'TUSD BF'!$AM$24+'TUSD CVA'!$AM$24)*1</f>
        <v>26.280164278980507</v>
      </c>
      <c r="Z1037" s="6"/>
      <c r="AA1037" s="6"/>
      <c r="AB1037" s="6">
        <f>$K$1037*$V$1037</f>
        <v>91770</v>
      </c>
      <c r="AC1037" s="6">
        <f>$M$1037*$W$1037</f>
        <v>0</v>
      </c>
      <c r="AD1037" s="6">
        <f>$O$1037*$X$1037</f>
        <v>0</v>
      </c>
      <c r="AE1037" s="6">
        <f ca="1">$K$1037*$Y$1037</f>
        <v>91980.574976431773</v>
      </c>
      <c r="AF1037" s="6">
        <f>$M$1037*$Z$1037</f>
        <v>0</v>
      </c>
      <c r="AG1037" s="6">
        <f>$O$1037*$AA$1037</f>
        <v>0</v>
      </c>
    </row>
    <row r="1038" spans="1:33" ht="11.25" customHeight="1" x14ac:dyDescent="0.25">
      <c r="A1038" s="4" t="s">
        <v>21</v>
      </c>
      <c r="B1038" s="4" t="s">
        <v>41</v>
      </c>
      <c r="C1038" s="4" t="s">
        <v>42</v>
      </c>
      <c r="D1038" s="4" t="s">
        <v>38</v>
      </c>
      <c r="E1038" s="4" t="s">
        <v>25</v>
      </c>
      <c r="F1038" s="4" t="s">
        <v>25</v>
      </c>
      <c r="G1038" s="4" t="s">
        <v>25</v>
      </c>
      <c r="H1038" s="4" t="s">
        <v>25</v>
      </c>
      <c r="I1038" s="5">
        <v>44652</v>
      </c>
      <c r="J1038" s="6">
        <v>44811</v>
      </c>
      <c r="K1038" s="6">
        <v>44811</v>
      </c>
      <c r="L1038" s="6">
        <v>0</v>
      </c>
      <c r="M1038" s="6">
        <v>0</v>
      </c>
      <c r="N1038" s="6">
        <v>0</v>
      </c>
      <c r="O1038" s="6">
        <v>0</v>
      </c>
      <c r="P1038" s="6">
        <v>268</v>
      </c>
      <c r="Q1038" s="4" t="s">
        <v>26</v>
      </c>
      <c r="R1038" s="4">
        <v>0</v>
      </c>
      <c r="S1038" s="6">
        <v>40</v>
      </c>
      <c r="T1038" s="6">
        <v>0</v>
      </c>
      <c r="U1038" s="6">
        <v>0</v>
      </c>
      <c r="V1038" s="6">
        <f>IF(ISERROR(VLOOKUP($S$1038,'TAR FIN'!$A$1:$O$104,15,0)),0,VLOOKUP($S$1038,'TAR FIN'!$A$1:$O$104,15,0))</f>
        <v>26.22</v>
      </c>
      <c r="W1038" s="6">
        <f>IF(ISERROR(VLOOKUP($T$1038,'TAR FIN'!$A$1:$O$104,15,0)),0,VLOOKUP($T$1038,'TAR FIN'!$A$1:$O$104,15,0))</f>
        <v>0</v>
      </c>
      <c r="X1038" s="6">
        <f>IF(ISERROR(VLOOKUP($U$1038,'TAR FIN'!$A$1:$O$104,15,0)),0,VLOOKUP($U$1038,'TAR FIN'!$A$1:$O$104,15,0))</f>
        <v>0</v>
      </c>
      <c r="Y1038" s="6">
        <f ca="1">('TUSD BE'!$AM$24+'TUSD BF'!$AM$24+'TUSD CVA'!$AM$24)*1</f>
        <v>26.280164278980507</v>
      </c>
      <c r="Z1038" s="6"/>
      <c r="AA1038" s="6"/>
      <c r="AB1038" s="6">
        <f>$K$1038*$V$1038</f>
        <v>1174944.42</v>
      </c>
      <c r="AC1038" s="6">
        <f>$M$1038*$W$1038</f>
        <v>0</v>
      </c>
      <c r="AD1038" s="6">
        <f>$O$1038*$X$1038</f>
        <v>0</v>
      </c>
      <c r="AE1038" s="6">
        <f ca="1">$K$1038*$Y$1038</f>
        <v>1177640.4415053956</v>
      </c>
      <c r="AF1038" s="6">
        <f>$M$1038*$Z$1038</f>
        <v>0</v>
      </c>
      <c r="AG1038" s="6">
        <f>$O$1038*$AA$1038</f>
        <v>0</v>
      </c>
    </row>
    <row r="1039" spans="1:33" ht="11.25" customHeight="1" x14ac:dyDescent="0.25">
      <c r="A1039" s="4" t="s">
        <v>27</v>
      </c>
      <c r="B1039" s="4" t="s">
        <v>41</v>
      </c>
      <c r="C1039" s="4" t="s">
        <v>42</v>
      </c>
      <c r="D1039" s="4" t="s">
        <v>38</v>
      </c>
      <c r="E1039" s="4" t="s">
        <v>25</v>
      </c>
      <c r="F1039" s="4" t="s">
        <v>25</v>
      </c>
      <c r="G1039" s="4" t="s">
        <v>25</v>
      </c>
      <c r="H1039" s="4" t="s">
        <v>25</v>
      </c>
      <c r="I1039" s="5">
        <v>44652</v>
      </c>
      <c r="J1039" s="6">
        <v>-259</v>
      </c>
      <c r="K1039" s="6">
        <v>-259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4" t="s">
        <v>26</v>
      </c>
      <c r="R1039" s="4">
        <v>0</v>
      </c>
      <c r="S1039" s="6">
        <v>40</v>
      </c>
      <c r="T1039" s="6">
        <v>0</v>
      </c>
      <c r="U1039" s="6">
        <v>0</v>
      </c>
      <c r="V1039" s="6">
        <f>IF(ISERROR(VLOOKUP($S$1039,'TAR FIN'!$A$1:$O$104,15,0)),0,VLOOKUP($S$1039,'TAR FIN'!$A$1:$O$104,15,0))</f>
        <v>26.22</v>
      </c>
      <c r="W1039" s="6">
        <f>IF(ISERROR(VLOOKUP($T$1039,'TAR FIN'!$A$1:$O$104,15,0)),0,VLOOKUP($T$1039,'TAR FIN'!$A$1:$O$104,15,0))</f>
        <v>0</v>
      </c>
      <c r="X1039" s="6">
        <f>IF(ISERROR(VLOOKUP($U$1039,'TAR FIN'!$A$1:$O$104,15,0)),0,VLOOKUP($U$1039,'TAR FIN'!$A$1:$O$104,15,0))</f>
        <v>0</v>
      </c>
      <c r="Y1039" s="6">
        <f ca="1">('TUSD BE'!$AM$24+'TUSD BF'!$AM$24+'TUSD CVA'!$AM$24)*1</f>
        <v>26.280164278980507</v>
      </c>
      <c r="Z1039" s="6"/>
      <c r="AA1039" s="6"/>
      <c r="AB1039" s="6">
        <f>$K$1039*$V$1039</f>
        <v>-6790.98</v>
      </c>
      <c r="AC1039" s="6">
        <f>$M$1039*$W$1039</f>
        <v>0</v>
      </c>
      <c r="AD1039" s="6">
        <f>$O$1039*$X$1039</f>
        <v>0</v>
      </c>
      <c r="AE1039" s="6">
        <f ca="1">$K$1039*$Y$1039</f>
        <v>-6806.5625482559517</v>
      </c>
      <c r="AF1039" s="6">
        <f>$M$1039*$Z$1039</f>
        <v>0</v>
      </c>
      <c r="AG1039" s="6">
        <f>$O$1039*$AA$1039</f>
        <v>0</v>
      </c>
    </row>
    <row r="1040" spans="1:33" ht="11.25" customHeight="1" x14ac:dyDescent="0.25">
      <c r="A1040" s="4" t="s">
        <v>28</v>
      </c>
      <c r="B1040" s="4" t="s">
        <v>41</v>
      </c>
      <c r="C1040" s="4" t="s">
        <v>42</v>
      </c>
      <c r="D1040" s="4" t="s">
        <v>38</v>
      </c>
      <c r="E1040" s="4" t="s">
        <v>25</v>
      </c>
      <c r="F1040" s="4" t="s">
        <v>25</v>
      </c>
      <c r="G1040" s="4" t="s">
        <v>25</v>
      </c>
      <c r="H1040" s="4" t="s">
        <v>25</v>
      </c>
      <c r="I1040" s="5">
        <v>44652</v>
      </c>
      <c r="J1040" s="6">
        <v>9130</v>
      </c>
      <c r="K1040" s="6">
        <v>9130</v>
      </c>
      <c r="L1040" s="6">
        <v>0</v>
      </c>
      <c r="M1040" s="6">
        <v>0</v>
      </c>
      <c r="N1040" s="6">
        <v>0</v>
      </c>
      <c r="O1040" s="6">
        <v>0</v>
      </c>
      <c r="P1040" s="6">
        <v>46</v>
      </c>
      <c r="Q1040" s="4" t="s">
        <v>26</v>
      </c>
      <c r="R1040" s="4">
        <v>0</v>
      </c>
      <c r="S1040" s="6">
        <v>40</v>
      </c>
      <c r="T1040" s="6">
        <v>0</v>
      </c>
      <c r="U1040" s="6">
        <v>0</v>
      </c>
      <c r="V1040" s="6">
        <f>IF(ISERROR(VLOOKUP($S$1040,'TAR FIN'!$A$1:$O$104,15,0)),0,VLOOKUP($S$1040,'TAR FIN'!$A$1:$O$104,15,0))</f>
        <v>26.22</v>
      </c>
      <c r="W1040" s="6">
        <f>IF(ISERROR(VLOOKUP($T$1040,'TAR FIN'!$A$1:$O$104,15,0)),0,VLOOKUP($T$1040,'TAR FIN'!$A$1:$O$104,15,0))</f>
        <v>0</v>
      </c>
      <c r="X1040" s="6">
        <f>IF(ISERROR(VLOOKUP($U$1040,'TAR FIN'!$A$1:$O$104,15,0)),0,VLOOKUP($U$1040,'TAR FIN'!$A$1:$O$104,15,0))</f>
        <v>0</v>
      </c>
      <c r="Y1040" s="6">
        <f ca="1">('TUSD BE'!$AM$24+'TUSD BF'!$AM$24+'TUSD CVA'!$AM$24)*1</f>
        <v>26.280164278980507</v>
      </c>
      <c r="Z1040" s="6"/>
      <c r="AA1040" s="6"/>
      <c r="AB1040" s="6">
        <f>$K$1040*$V$1040</f>
        <v>239388.59999999998</v>
      </c>
      <c r="AC1040" s="6">
        <f>$M$1040*$W$1040</f>
        <v>0</v>
      </c>
      <c r="AD1040" s="6">
        <f>$O$1040*$X$1040</f>
        <v>0</v>
      </c>
      <c r="AE1040" s="6">
        <f ca="1">$K$1040*$Y$1040</f>
        <v>239937.89986709203</v>
      </c>
      <c r="AF1040" s="6">
        <f>$M$1040*$Z$1040</f>
        <v>0</v>
      </c>
      <c r="AG1040" s="6">
        <f>$O$1040*$AA$1040</f>
        <v>0</v>
      </c>
    </row>
    <row r="1041" spans="1:33" ht="11.25" customHeight="1" x14ac:dyDescent="0.25">
      <c r="A1041" s="4" t="s">
        <v>21</v>
      </c>
      <c r="B1041" s="4" t="s">
        <v>41</v>
      </c>
      <c r="C1041" s="4" t="s">
        <v>42</v>
      </c>
      <c r="D1041" s="4" t="s">
        <v>38</v>
      </c>
      <c r="E1041" s="4" t="s">
        <v>25</v>
      </c>
      <c r="F1041" s="4" t="s">
        <v>25</v>
      </c>
      <c r="G1041" s="4" t="s">
        <v>25</v>
      </c>
      <c r="H1041" s="4" t="s">
        <v>25</v>
      </c>
      <c r="I1041" s="5">
        <v>44652</v>
      </c>
      <c r="J1041" s="6">
        <v>3500</v>
      </c>
      <c r="K1041" s="6">
        <v>3500</v>
      </c>
      <c r="L1041" s="6">
        <v>0</v>
      </c>
      <c r="M1041" s="6">
        <v>0</v>
      </c>
      <c r="N1041" s="6">
        <v>0</v>
      </c>
      <c r="O1041" s="6">
        <v>0</v>
      </c>
      <c r="P1041" s="6">
        <v>1</v>
      </c>
      <c r="Q1041" s="4" t="s">
        <v>58</v>
      </c>
      <c r="R1041" s="4">
        <v>0</v>
      </c>
      <c r="S1041" s="6">
        <v>40</v>
      </c>
      <c r="T1041" s="6">
        <v>0</v>
      </c>
      <c r="U1041" s="6">
        <v>0</v>
      </c>
      <c r="V1041" s="6">
        <f>IF(ISERROR(VLOOKUP($S$1041,'TAR FIN'!$A$1:$O$104,15,0)),0,VLOOKUP($S$1041,'TAR FIN'!$A$1:$O$104,15,0))</f>
        <v>26.22</v>
      </c>
      <c r="W1041" s="6">
        <f>IF(ISERROR(VLOOKUP($T$1041,'TAR FIN'!$A$1:$O$104,15,0)),0,VLOOKUP($T$1041,'TAR FIN'!$A$1:$O$104,15,0))</f>
        <v>0</v>
      </c>
      <c r="X1041" s="6">
        <f>IF(ISERROR(VLOOKUP($U$1041,'TAR FIN'!$A$1:$O$104,15,0)),0,VLOOKUP($U$1041,'TAR FIN'!$A$1:$O$104,15,0))</f>
        <v>0</v>
      </c>
      <c r="Y1041" s="6">
        <f ca="1">('TUSD BE'!$AM$24+'TUSD BF'!$AM$24+'TUSD CVA'!$AM$24)*1</f>
        <v>26.280164278980507</v>
      </c>
      <c r="Z1041" s="6"/>
      <c r="AA1041" s="6"/>
      <c r="AB1041" s="6">
        <f>$K$1041*$V$1041</f>
        <v>91770</v>
      </c>
      <c r="AC1041" s="6">
        <f>$M$1041*$W$1041</f>
        <v>0</v>
      </c>
      <c r="AD1041" s="6">
        <f>$O$1041*$X$1041</f>
        <v>0</v>
      </c>
      <c r="AE1041" s="6">
        <f ca="1">$K$1041*$Y$1041</f>
        <v>91980.574976431773</v>
      </c>
      <c r="AF1041" s="6">
        <f>$M$1041*$Z$1041</f>
        <v>0</v>
      </c>
      <c r="AG1041" s="6">
        <f>$O$1041*$AA$1041</f>
        <v>0</v>
      </c>
    </row>
    <row r="1042" spans="1:33" ht="11.25" customHeight="1" x14ac:dyDescent="0.25">
      <c r="A1042" s="4" t="s">
        <v>21</v>
      </c>
      <c r="B1042" s="4" t="s">
        <v>41</v>
      </c>
      <c r="C1042" s="4" t="s">
        <v>42</v>
      </c>
      <c r="D1042" s="4" t="s">
        <v>38</v>
      </c>
      <c r="E1042" s="4" t="s">
        <v>25</v>
      </c>
      <c r="F1042" s="4" t="s">
        <v>25</v>
      </c>
      <c r="G1042" s="4" t="s">
        <v>25</v>
      </c>
      <c r="H1042" s="4" t="s">
        <v>25</v>
      </c>
      <c r="I1042" s="5">
        <v>44682</v>
      </c>
      <c r="J1042" s="6">
        <v>44747</v>
      </c>
      <c r="K1042" s="6">
        <v>44747</v>
      </c>
      <c r="L1042" s="6">
        <v>0</v>
      </c>
      <c r="M1042" s="6">
        <v>0</v>
      </c>
      <c r="N1042" s="6">
        <v>0</v>
      </c>
      <c r="O1042" s="6">
        <v>0</v>
      </c>
      <c r="P1042" s="6">
        <v>261</v>
      </c>
      <c r="Q1042" s="4" t="s">
        <v>26</v>
      </c>
      <c r="R1042" s="4">
        <v>0</v>
      </c>
      <c r="S1042" s="6">
        <v>40</v>
      </c>
      <c r="T1042" s="6">
        <v>0</v>
      </c>
      <c r="U1042" s="6">
        <v>0</v>
      </c>
      <c r="V1042" s="6">
        <f>IF(ISERROR(VLOOKUP($S$1042,'TAR FIN'!$A$1:$O$104,15,0)),0,VLOOKUP($S$1042,'TAR FIN'!$A$1:$O$104,15,0))</f>
        <v>26.22</v>
      </c>
      <c r="W1042" s="6">
        <f>IF(ISERROR(VLOOKUP($T$1042,'TAR FIN'!$A$1:$O$104,15,0)),0,VLOOKUP($T$1042,'TAR FIN'!$A$1:$O$104,15,0))</f>
        <v>0</v>
      </c>
      <c r="X1042" s="6">
        <f>IF(ISERROR(VLOOKUP($U$1042,'TAR FIN'!$A$1:$O$104,15,0)),0,VLOOKUP($U$1042,'TAR FIN'!$A$1:$O$104,15,0))</f>
        <v>0</v>
      </c>
      <c r="Y1042" s="6">
        <f ca="1">('TUSD BE'!$AM$24+'TUSD BF'!$AM$24+'TUSD CVA'!$AM$24)*1</f>
        <v>26.280164278980507</v>
      </c>
      <c r="Z1042" s="6"/>
      <c r="AA1042" s="6"/>
      <c r="AB1042" s="6">
        <f>$K$1042*$V$1042</f>
        <v>1173266.3399999999</v>
      </c>
      <c r="AC1042" s="6">
        <f>$M$1042*$W$1042</f>
        <v>0</v>
      </c>
      <c r="AD1042" s="6">
        <f>$O$1042*$X$1042</f>
        <v>0</v>
      </c>
      <c r="AE1042" s="6">
        <f ca="1">$K$1042*$Y$1042</f>
        <v>1175958.5109915407</v>
      </c>
      <c r="AF1042" s="6">
        <f>$M$1042*$Z$1042</f>
        <v>0</v>
      </c>
      <c r="AG1042" s="6">
        <f>$O$1042*$AA$1042</f>
        <v>0</v>
      </c>
    </row>
    <row r="1043" spans="1:33" ht="11.25" customHeight="1" x14ac:dyDescent="0.25">
      <c r="A1043" s="4" t="s">
        <v>28</v>
      </c>
      <c r="B1043" s="4" t="s">
        <v>41</v>
      </c>
      <c r="C1043" s="4" t="s">
        <v>42</v>
      </c>
      <c r="D1043" s="4" t="s">
        <v>38</v>
      </c>
      <c r="E1043" s="4" t="s">
        <v>25</v>
      </c>
      <c r="F1043" s="4" t="s">
        <v>25</v>
      </c>
      <c r="G1043" s="4" t="s">
        <v>25</v>
      </c>
      <c r="H1043" s="4" t="s">
        <v>25</v>
      </c>
      <c r="I1043" s="5">
        <v>44682</v>
      </c>
      <c r="J1043" s="6">
        <v>9683</v>
      </c>
      <c r="K1043" s="6">
        <v>9683</v>
      </c>
      <c r="L1043" s="6">
        <v>0</v>
      </c>
      <c r="M1043" s="6">
        <v>0</v>
      </c>
      <c r="N1043" s="6">
        <v>0</v>
      </c>
      <c r="O1043" s="6">
        <v>0</v>
      </c>
      <c r="P1043" s="6">
        <v>48</v>
      </c>
      <c r="Q1043" s="4" t="s">
        <v>26</v>
      </c>
      <c r="R1043" s="4">
        <v>0</v>
      </c>
      <c r="S1043" s="6">
        <v>40</v>
      </c>
      <c r="T1043" s="6">
        <v>0</v>
      </c>
      <c r="U1043" s="6">
        <v>0</v>
      </c>
      <c r="V1043" s="6">
        <f>IF(ISERROR(VLOOKUP($S$1043,'TAR FIN'!$A$1:$O$104,15,0)),0,VLOOKUP($S$1043,'TAR FIN'!$A$1:$O$104,15,0))</f>
        <v>26.22</v>
      </c>
      <c r="W1043" s="6">
        <f>IF(ISERROR(VLOOKUP($T$1043,'TAR FIN'!$A$1:$O$104,15,0)),0,VLOOKUP($T$1043,'TAR FIN'!$A$1:$O$104,15,0))</f>
        <v>0</v>
      </c>
      <c r="X1043" s="6">
        <f>IF(ISERROR(VLOOKUP($U$1043,'TAR FIN'!$A$1:$O$104,15,0)),0,VLOOKUP($U$1043,'TAR FIN'!$A$1:$O$104,15,0))</f>
        <v>0</v>
      </c>
      <c r="Y1043" s="6">
        <f ca="1">('TUSD BE'!$AM$24+'TUSD BF'!$AM$24+'TUSD CVA'!$AM$24)*1</f>
        <v>26.280164278980507</v>
      </c>
      <c r="Z1043" s="6"/>
      <c r="AA1043" s="6"/>
      <c r="AB1043" s="6">
        <f>$K$1043*$V$1043</f>
        <v>253888.25999999998</v>
      </c>
      <c r="AC1043" s="6">
        <f>$M$1043*$W$1043</f>
        <v>0</v>
      </c>
      <c r="AD1043" s="6">
        <f>$O$1043*$X$1043</f>
        <v>0</v>
      </c>
      <c r="AE1043" s="6">
        <f ca="1">$K$1043*$Y$1043</f>
        <v>254470.83071336825</v>
      </c>
      <c r="AF1043" s="6">
        <f>$M$1043*$Z$1043</f>
        <v>0</v>
      </c>
      <c r="AG1043" s="6">
        <f>$O$1043*$AA$1043</f>
        <v>0</v>
      </c>
    </row>
    <row r="1044" spans="1:33" ht="11.25" customHeight="1" x14ac:dyDescent="0.25">
      <c r="A1044" s="4" t="s">
        <v>21</v>
      </c>
      <c r="B1044" s="4" t="s">
        <v>41</v>
      </c>
      <c r="C1044" s="4" t="s">
        <v>42</v>
      </c>
      <c r="D1044" s="4" t="s">
        <v>38</v>
      </c>
      <c r="E1044" s="4" t="s">
        <v>25</v>
      </c>
      <c r="F1044" s="4" t="s">
        <v>25</v>
      </c>
      <c r="G1044" s="4" t="s">
        <v>25</v>
      </c>
      <c r="H1044" s="4" t="s">
        <v>25</v>
      </c>
      <c r="I1044" s="5">
        <v>44682</v>
      </c>
      <c r="J1044" s="6">
        <v>3500</v>
      </c>
      <c r="K1044" s="6">
        <v>3500</v>
      </c>
      <c r="L1044" s="6">
        <v>0</v>
      </c>
      <c r="M1044" s="6">
        <v>0</v>
      </c>
      <c r="N1044" s="6">
        <v>0</v>
      </c>
      <c r="O1044" s="6">
        <v>0</v>
      </c>
      <c r="P1044" s="6">
        <v>1</v>
      </c>
      <c r="Q1044" s="4" t="s">
        <v>58</v>
      </c>
      <c r="R1044" s="4">
        <v>0</v>
      </c>
      <c r="S1044" s="6">
        <v>40</v>
      </c>
      <c r="T1044" s="6">
        <v>0</v>
      </c>
      <c r="U1044" s="6">
        <v>0</v>
      </c>
      <c r="V1044" s="6">
        <f>IF(ISERROR(VLOOKUP($S$1044,'TAR FIN'!$A$1:$O$104,15,0)),0,VLOOKUP($S$1044,'TAR FIN'!$A$1:$O$104,15,0))</f>
        <v>26.22</v>
      </c>
      <c r="W1044" s="6">
        <f>IF(ISERROR(VLOOKUP($T$1044,'TAR FIN'!$A$1:$O$104,15,0)),0,VLOOKUP($T$1044,'TAR FIN'!$A$1:$O$104,15,0))</f>
        <v>0</v>
      </c>
      <c r="X1044" s="6">
        <f>IF(ISERROR(VLOOKUP($U$1044,'TAR FIN'!$A$1:$O$104,15,0)),0,VLOOKUP($U$1044,'TAR FIN'!$A$1:$O$104,15,0))</f>
        <v>0</v>
      </c>
      <c r="Y1044" s="6">
        <f ca="1">('TUSD BE'!$AM$24+'TUSD BF'!$AM$24+'TUSD CVA'!$AM$24)*1</f>
        <v>26.280164278980507</v>
      </c>
      <c r="Z1044" s="6"/>
      <c r="AA1044" s="6"/>
      <c r="AB1044" s="6">
        <f>$K$1044*$V$1044</f>
        <v>91770</v>
      </c>
      <c r="AC1044" s="6">
        <f>$M$1044*$W$1044</f>
        <v>0</v>
      </c>
      <c r="AD1044" s="6">
        <f>$O$1044*$X$1044</f>
        <v>0</v>
      </c>
      <c r="AE1044" s="6">
        <f ca="1">$K$1044*$Y$1044</f>
        <v>91980.574976431773</v>
      </c>
      <c r="AF1044" s="6">
        <f>$M$1044*$Z$1044</f>
        <v>0</v>
      </c>
      <c r="AG1044" s="6">
        <f>$O$1044*$AA$1044</f>
        <v>0</v>
      </c>
    </row>
    <row r="1045" spans="1:33" ht="11.25" customHeight="1" x14ac:dyDescent="0.25">
      <c r="A1045" s="4" t="s">
        <v>21</v>
      </c>
      <c r="B1045" s="4" t="s">
        <v>41</v>
      </c>
      <c r="C1045" s="4" t="s">
        <v>42</v>
      </c>
      <c r="D1045" s="4" t="s">
        <v>38</v>
      </c>
      <c r="E1045" s="4" t="s">
        <v>25</v>
      </c>
      <c r="F1045" s="4" t="s">
        <v>25</v>
      </c>
      <c r="G1045" s="4" t="s">
        <v>25</v>
      </c>
      <c r="H1045" s="4" t="s">
        <v>25</v>
      </c>
      <c r="I1045" s="5">
        <v>44713</v>
      </c>
      <c r="J1045" s="6">
        <v>44992</v>
      </c>
      <c r="K1045" s="6">
        <v>44992</v>
      </c>
      <c r="L1045" s="6">
        <v>0</v>
      </c>
      <c r="M1045" s="6">
        <v>0</v>
      </c>
      <c r="N1045" s="6">
        <v>0</v>
      </c>
      <c r="O1045" s="6">
        <v>0</v>
      </c>
      <c r="P1045" s="6">
        <v>261</v>
      </c>
      <c r="Q1045" s="4" t="s">
        <v>26</v>
      </c>
      <c r="R1045" s="4">
        <v>0</v>
      </c>
      <c r="S1045" s="6">
        <v>40</v>
      </c>
      <c r="T1045" s="6">
        <v>0</v>
      </c>
      <c r="U1045" s="6">
        <v>0</v>
      </c>
      <c r="V1045" s="6">
        <f>IF(ISERROR(VLOOKUP($S$1045,'TAR FIN'!$A$1:$O$104,15,0)),0,VLOOKUP($S$1045,'TAR FIN'!$A$1:$O$104,15,0))</f>
        <v>26.22</v>
      </c>
      <c r="W1045" s="6">
        <f>IF(ISERROR(VLOOKUP($T$1045,'TAR FIN'!$A$1:$O$104,15,0)),0,VLOOKUP($T$1045,'TAR FIN'!$A$1:$O$104,15,0))</f>
        <v>0</v>
      </c>
      <c r="X1045" s="6">
        <f>IF(ISERROR(VLOOKUP($U$1045,'TAR FIN'!$A$1:$O$104,15,0)),0,VLOOKUP($U$1045,'TAR FIN'!$A$1:$O$104,15,0))</f>
        <v>0</v>
      </c>
      <c r="Y1045" s="6">
        <f ca="1">('TUSD BE'!$AM$24+'TUSD BF'!$AM$24+'TUSD CVA'!$AM$24)*1</f>
        <v>26.280164278980507</v>
      </c>
      <c r="Z1045" s="6"/>
      <c r="AA1045" s="6"/>
      <c r="AB1045" s="6">
        <f>$K$1045*$V$1045</f>
        <v>1179690.24</v>
      </c>
      <c r="AC1045" s="6">
        <f>$M$1045*$W$1045</f>
        <v>0</v>
      </c>
      <c r="AD1045" s="6">
        <f>$O$1045*$X$1045</f>
        <v>0</v>
      </c>
      <c r="AE1045" s="6">
        <f ca="1">$K$1045*$Y$1045</f>
        <v>1182397.1512398911</v>
      </c>
      <c r="AF1045" s="6">
        <f>$M$1045*$Z$1045</f>
        <v>0</v>
      </c>
      <c r="AG1045" s="6">
        <f>$O$1045*$AA$1045</f>
        <v>0</v>
      </c>
    </row>
    <row r="1046" spans="1:33" ht="11.25" customHeight="1" x14ac:dyDescent="0.25">
      <c r="A1046" s="4" t="s">
        <v>28</v>
      </c>
      <c r="B1046" s="4" t="s">
        <v>41</v>
      </c>
      <c r="C1046" s="4" t="s">
        <v>42</v>
      </c>
      <c r="D1046" s="4" t="s">
        <v>38</v>
      </c>
      <c r="E1046" s="4" t="s">
        <v>25</v>
      </c>
      <c r="F1046" s="4" t="s">
        <v>25</v>
      </c>
      <c r="G1046" s="4" t="s">
        <v>25</v>
      </c>
      <c r="H1046" s="4" t="s">
        <v>25</v>
      </c>
      <c r="I1046" s="5">
        <v>44713</v>
      </c>
      <c r="J1046" s="6">
        <v>9757</v>
      </c>
      <c r="K1046" s="6">
        <v>9757</v>
      </c>
      <c r="L1046" s="6">
        <v>0</v>
      </c>
      <c r="M1046" s="6">
        <v>0</v>
      </c>
      <c r="N1046" s="6">
        <v>0</v>
      </c>
      <c r="O1046" s="6">
        <v>0</v>
      </c>
      <c r="P1046" s="6">
        <v>48</v>
      </c>
      <c r="Q1046" s="4" t="s">
        <v>26</v>
      </c>
      <c r="R1046" s="4">
        <v>0</v>
      </c>
      <c r="S1046" s="6">
        <v>40</v>
      </c>
      <c r="T1046" s="6">
        <v>0</v>
      </c>
      <c r="U1046" s="6">
        <v>0</v>
      </c>
      <c r="V1046" s="6">
        <f>IF(ISERROR(VLOOKUP($S$1046,'TAR FIN'!$A$1:$O$104,15,0)),0,VLOOKUP($S$1046,'TAR FIN'!$A$1:$O$104,15,0))</f>
        <v>26.22</v>
      </c>
      <c r="W1046" s="6">
        <f>IF(ISERROR(VLOOKUP($T$1046,'TAR FIN'!$A$1:$O$104,15,0)),0,VLOOKUP($T$1046,'TAR FIN'!$A$1:$O$104,15,0))</f>
        <v>0</v>
      </c>
      <c r="X1046" s="6">
        <f>IF(ISERROR(VLOOKUP($U$1046,'TAR FIN'!$A$1:$O$104,15,0)),0,VLOOKUP($U$1046,'TAR FIN'!$A$1:$O$104,15,0))</f>
        <v>0</v>
      </c>
      <c r="Y1046" s="6">
        <f ca="1">('TUSD BE'!$AM$24+'TUSD BF'!$AM$24+'TUSD CVA'!$AM$24)*1</f>
        <v>26.280164278980507</v>
      </c>
      <c r="Z1046" s="6"/>
      <c r="AA1046" s="6"/>
      <c r="AB1046" s="6">
        <f>$K$1046*$V$1046</f>
        <v>255828.53999999998</v>
      </c>
      <c r="AC1046" s="6">
        <f>$M$1046*$W$1046</f>
        <v>0</v>
      </c>
      <c r="AD1046" s="6">
        <f>$O$1046*$X$1046</f>
        <v>0</v>
      </c>
      <c r="AE1046" s="6">
        <f ca="1">$K$1046*$Y$1046</f>
        <v>256415.5628700128</v>
      </c>
      <c r="AF1046" s="6">
        <f>$M$1046*$Z$1046</f>
        <v>0</v>
      </c>
      <c r="AG1046" s="6">
        <f>$O$1046*$AA$1046</f>
        <v>0</v>
      </c>
    </row>
    <row r="1047" spans="1:33" ht="11.25" customHeight="1" x14ac:dyDescent="0.25">
      <c r="A1047" s="4" t="s">
        <v>57</v>
      </c>
      <c r="B1047" s="4" t="s">
        <v>41</v>
      </c>
      <c r="C1047" s="4" t="s">
        <v>42</v>
      </c>
      <c r="D1047" s="4" t="s">
        <v>38</v>
      </c>
      <c r="E1047" s="4" t="s">
        <v>25</v>
      </c>
      <c r="F1047" s="4" t="s">
        <v>25</v>
      </c>
      <c r="G1047" s="4" t="s">
        <v>25</v>
      </c>
      <c r="H1047" s="4" t="s">
        <v>25</v>
      </c>
      <c r="I1047" s="5">
        <v>44743</v>
      </c>
      <c r="J1047" s="6">
        <v>44992</v>
      </c>
      <c r="K1047" s="6">
        <v>44992</v>
      </c>
      <c r="L1047" s="6">
        <v>0</v>
      </c>
      <c r="M1047" s="6">
        <v>0</v>
      </c>
      <c r="N1047" s="6">
        <v>0</v>
      </c>
      <c r="O1047" s="6">
        <v>0</v>
      </c>
      <c r="P1047" s="6">
        <v>261</v>
      </c>
      <c r="Q1047" s="4" t="s">
        <v>26</v>
      </c>
      <c r="R1047" s="4">
        <v>0</v>
      </c>
      <c r="S1047" s="6">
        <v>40</v>
      </c>
      <c r="T1047" s="6">
        <v>0</v>
      </c>
      <c r="U1047" s="6">
        <v>0</v>
      </c>
      <c r="V1047" s="6">
        <f>IF(ISERROR(VLOOKUP($S$1047,'TAR FIN'!$A$1:$O$104,15,0)),0,VLOOKUP($S$1047,'TAR FIN'!$A$1:$O$104,15,0))</f>
        <v>26.22</v>
      </c>
      <c r="W1047" s="6">
        <f>IF(ISERROR(VLOOKUP($T$1047,'TAR FIN'!$A$1:$O$104,15,0)),0,VLOOKUP($T$1047,'TAR FIN'!$A$1:$O$104,15,0))</f>
        <v>0</v>
      </c>
      <c r="X1047" s="6">
        <f>IF(ISERROR(VLOOKUP($U$1047,'TAR FIN'!$A$1:$O$104,15,0)),0,VLOOKUP($U$1047,'TAR FIN'!$A$1:$O$104,15,0))</f>
        <v>0</v>
      </c>
      <c r="Y1047" s="6">
        <f ca="1">('TUSD BE'!$AM$24+'TUSD BF'!$AM$24+'TUSD CVA'!$AM$24)*1</f>
        <v>26.280164278980507</v>
      </c>
      <c r="Z1047" s="6"/>
      <c r="AA1047" s="6"/>
      <c r="AB1047" s="6">
        <f>$K$1047*$V$1047</f>
        <v>1179690.24</v>
      </c>
      <c r="AC1047" s="6">
        <f>$M$1047*$W$1047</f>
        <v>0</v>
      </c>
      <c r="AD1047" s="6">
        <f>$O$1047*$X$1047</f>
        <v>0</v>
      </c>
      <c r="AE1047" s="6">
        <f ca="1">$K$1047*$Y$1047</f>
        <v>1182397.1512398911</v>
      </c>
      <c r="AF1047" s="6">
        <f>$M$1047*$Z$1047</f>
        <v>0</v>
      </c>
      <c r="AG1047" s="6">
        <f>$O$1047*$AA$1047</f>
        <v>0</v>
      </c>
    </row>
    <row r="1048" spans="1:33" ht="11.25" customHeight="1" x14ac:dyDescent="0.25">
      <c r="A1048" s="4" t="s">
        <v>57</v>
      </c>
      <c r="B1048" s="4" t="s">
        <v>41</v>
      </c>
      <c r="C1048" s="4" t="s">
        <v>42</v>
      </c>
      <c r="D1048" s="4" t="s">
        <v>38</v>
      </c>
      <c r="E1048" s="4" t="s">
        <v>25</v>
      </c>
      <c r="F1048" s="4" t="s">
        <v>25</v>
      </c>
      <c r="G1048" s="4" t="s">
        <v>25</v>
      </c>
      <c r="H1048" s="4" t="s">
        <v>25</v>
      </c>
      <c r="I1048" s="5">
        <v>44743</v>
      </c>
      <c r="J1048" s="6">
        <v>9757</v>
      </c>
      <c r="K1048" s="6">
        <v>9757</v>
      </c>
      <c r="L1048" s="6">
        <v>0</v>
      </c>
      <c r="M1048" s="6">
        <v>0</v>
      </c>
      <c r="N1048" s="6">
        <v>0</v>
      </c>
      <c r="O1048" s="6">
        <v>0</v>
      </c>
      <c r="P1048" s="6">
        <v>48</v>
      </c>
      <c r="Q1048" s="4" t="s">
        <v>26</v>
      </c>
      <c r="R1048" s="4">
        <v>0</v>
      </c>
      <c r="S1048" s="6">
        <v>40</v>
      </c>
      <c r="T1048" s="6">
        <v>0</v>
      </c>
      <c r="U1048" s="6">
        <v>0</v>
      </c>
      <c r="V1048" s="6">
        <f>IF(ISERROR(VLOOKUP($S$1048,'TAR FIN'!$A$1:$O$104,15,0)),0,VLOOKUP($S$1048,'TAR FIN'!$A$1:$O$104,15,0))</f>
        <v>26.22</v>
      </c>
      <c r="W1048" s="6">
        <f>IF(ISERROR(VLOOKUP($T$1048,'TAR FIN'!$A$1:$O$104,15,0)),0,VLOOKUP($T$1048,'TAR FIN'!$A$1:$O$104,15,0))</f>
        <v>0</v>
      </c>
      <c r="X1048" s="6">
        <f>IF(ISERROR(VLOOKUP($U$1048,'TAR FIN'!$A$1:$O$104,15,0)),0,VLOOKUP($U$1048,'TAR FIN'!$A$1:$O$104,15,0))</f>
        <v>0</v>
      </c>
      <c r="Y1048" s="6">
        <f ca="1">('TUSD BE'!$AM$24+'TUSD BF'!$AM$24+'TUSD CVA'!$AM$24)*1</f>
        <v>26.280164278980507</v>
      </c>
      <c r="Z1048" s="6"/>
      <c r="AA1048" s="6"/>
      <c r="AB1048" s="6">
        <f>$K$1048*$V$1048</f>
        <v>255828.53999999998</v>
      </c>
      <c r="AC1048" s="6">
        <f>$M$1048*$W$1048</f>
        <v>0</v>
      </c>
      <c r="AD1048" s="6">
        <f>$O$1048*$X$1048</f>
        <v>0</v>
      </c>
      <c r="AE1048" s="6">
        <f ca="1">$K$1048*$Y$1048</f>
        <v>256415.5628700128</v>
      </c>
      <c r="AF1048" s="6">
        <f>$M$1048*$Z$1048</f>
        <v>0</v>
      </c>
      <c r="AG1048" s="6">
        <f>$O$1048*$AA$1048</f>
        <v>0</v>
      </c>
    </row>
    <row r="1049" spans="1:33" ht="11.25" customHeight="1" x14ac:dyDescent="0.25">
      <c r="A1049" s="4" t="s">
        <v>21</v>
      </c>
      <c r="B1049" s="4" t="s">
        <v>41</v>
      </c>
      <c r="C1049" s="4" t="s">
        <v>42</v>
      </c>
      <c r="D1049" s="4" t="s">
        <v>38</v>
      </c>
      <c r="E1049" s="4" t="s">
        <v>25</v>
      </c>
      <c r="F1049" s="4" t="s">
        <v>25</v>
      </c>
      <c r="G1049" s="4" t="s">
        <v>25</v>
      </c>
      <c r="H1049" s="4" t="s">
        <v>34</v>
      </c>
      <c r="I1049" s="5">
        <v>44409</v>
      </c>
      <c r="J1049" s="6">
        <v>0</v>
      </c>
      <c r="K1049" s="6">
        <v>0</v>
      </c>
      <c r="L1049" s="6">
        <v>263.971</v>
      </c>
      <c r="M1049" s="6">
        <v>263.971</v>
      </c>
      <c r="N1049" s="6">
        <v>263.971</v>
      </c>
      <c r="O1049" s="6">
        <v>263.971</v>
      </c>
      <c r="P1049" s="6">
        <v>0</v>
      </c>
      <c r="Q1049" s="4" t="s">
        <v>26</v>
      </c>
      <c r="R1049" s="4">
        <v>0</v>
      </c>
      <c r="S1049" s="6">
        <v>0</v>
      </c>
      <c r="T1049" s="6">
        <v>42</v>
      </c>
      <c r="U1049" s="6">
        <v>66</v>
      </c>
      <c r="V1049" s="6">
        <f>IF(ISERROR(VLOOKUP($S$1049,'TAR FIN'!$A$1:$O$104,15,0)),0,VLOOKUP($S$1049,'TAR FIN'!$A$1:$O$104,15,0))</f>
        <v>0</v>
      </c>
      <c r="W1049" s="6">
        <f>IF(ISERROR(VLOOKUP($T$1049,'TAR FIN'!$A$1:$O$104,15,0)),0,VLOOKUP($T$1049,'TAR FIN'!$A$1:$O$104,15,0))</f>
        <v>1330.19</v>
      </c>
      <c r="X1049" s="6">
        <f>IF(ISERROR(VLOOKUP($U$1049,'TAR FIN'!$A$1:$O$104,15,0)),0,VLOOKUP($U$1049,'TAR FIN'!$A$1:$O$104,15,0))</f>
        <v>397.62</v>
      </c>
      <c r="Y1049" s="6"/>
      <c r="Z1049" s="6">
        <f ca="1">('TUSD BE'!$AM$25+'TUSD BF'!$AM$25+'TUSD CVA'!$AM$25)*1</f>
        <v>1345.857743809549</v>
      </c>
      <c r="AA1049" s="6">
        <f>('TE BE'!$AB$7+'TE BF'!$AB$7+'TE CVA'!$AB$7)*1</f>
        <v>360.26029187567116</v>
      </c>
      <c r="AB1049" s="6">
        <f>$K$1049*$V$1049</f>
        <v>0</v>
      </c>
      <c r="AC1049" s="6">
        <f>$M$1049*$W$1049</f>
        <v>351131.58449000004</v>
      </c>
      <c r="AD1049" s="6">
        <f>$O$1049*$X$1049</f>
        <v>104960.14902</v>
      </c>
      <c r="AE1049" s="6">
        <f>$K$1049*$Y$1049</f>
        <v>0</v>
      </c>
      <c r="AF1049" s="6">
        <f ca="1">$M$1049*$Z$1049</f>
        <v>355267.41449115047</v>
      </c>
      <c r="AG1049" s="6">
        <f>$O$1049*$AA$1049</f>
        <v>95098.269506712793</v>
      </c>
    </row>
    <row r="1050" spans="1:33" ht="11.25" customHeight="1" x14ac:dyDescent="0.25">
      <c r="A1050" s="4" t="s">
        <v>27</v>
      </c>
      <c r="B1050" s="4" t="s">
        <v>41</v>
      </c>
      <c r="C1050" s="4" t="s">
        <v>42</v>
      </c>
      <c r="D1050" s="4" t="s">
        <v>38</v>
      </c>
      <c r="E1050" s="4" t="s">
        <v>25</v>
      </c>
      <c r="F1050" s="4" t="s">
        <v>25</v>
      </c>
      <c r="G1050" s="4" t="s">
        <v>25</v>
      </c>
      <c r="H1050" s="4" t="s">
        <v>34</v>
      </c>
      <c r="I1050" s="5">
        <v>44409</v>
      </c>
      <c r="J1050" s="6">
        <v>0</v>
      </c>
      <c r="K1050" s="6">
        <v>0</v>
      </c>
      <c r="L1050" s="6">
        <v>2.3780000000000001</v>
      </c>
      <c r="M1050" s="6">
        <v>2.3780000000000001</v>
      </c>
      <c r="N1050" s="6">
        <v>2.3780000000000001</v>
      </c>
      <c r="O1050" s="6">
        <v>2.3780000000000001</v>
      </c>
      <c r="P1050" s="6">
        <v>0</v>
      </c>
      <c r="Q1050" s="4" t="s">
        <v>26</v>
      </c>
      <c r="R1050" s="4">
        <v>0</v>
      </c>
      <c r="S1050" s="6">
        <v>0</v>
      </c>
      <c r="T1050" s="6">
        <v>42</v>
      </c>
      <c r="U1050" s="6">
        <v>66</v>
      </c>
      <c r="V1050" s="6">
        <f>IF(ISERROR(VLOOKUP($S$1050,'TAR FIN'!$A$1:$O$104,15,0)),0,VLOOKUP($S$1050,'TAR FIN'!$A$1:$O$104,15,0))</f>
        <v>0</v>
      </c>
      <c r="W1050" s="6">
        <f>IF(ISERROR(VLOOKUP($T$1050,'TAR FIN'!$A$1:$O$104,15,0)),0,VLOOKUP($T$1050,'TAR FIN'!$A$1:$O$104,15,0))</f>
        <v>1330.19</v>
      </c>
      <c r="X1050" s="6">
        <f>IF(ISERROR(VLOOKUP($U$1050,'TAR FIN'!$A$1:$O$104,15,0)),0,VLOOKUP($U$1050,'TAR FIN'!$A$1:$O$104,15,0))</f>
        <v>397.62</v>
      </c>
      <c r="Y1050" s="6"/>
      <c r="Z1050" s="6">
        <f ca="1">('TUSD BE'!$AM$25+'TUSD BF'!$AM$25+'TUSD CVA'!$AM$25)*1</f>
        <v>1345.857743809549</v>
      </c>
      <c r="AA1050" s="6">
        <f>('TE BE'!$AB$7+'TE BF'!$AB$7+'TE CVA'!$AB$7)*1</f>
        <v>360.26029187567116</v>
      </c>
      <c r="AB1050" s="6">
        <f>$K$1050*$V$1050</f>
        <v>0</v>
      </c>
      <c r="AC1050" s="6">
        <f>$M$1050*$W$1050</f>
        <v>3163.1918200000005</v>
      </c>
      <c r="AD1050" s="6">
        <f>$O$1050*$X$1050</f>
        <v>945.54036000000008</v>
      </c>
      <c r="AE1050" s="6">
        <f>$K$1050*$Y$1050</f>
        <v>0</v>
      </c>
      <c r="AF1050" s="6">
        <f ca="1">$M$1050*$Z$1050</f>
        <v>3200.4497147791076</v>
      </c>
      <c r="AG1050" s="6">
        <f>$O$1050*$AA$1050</f>
        <v>856.69897408034603</v>
      </c>
    </row>
    <row r="1051" spans="1:33" ht="11.25" customHeight="1" x14ac:dyDescent="0.25">
      <c r="A1051" s="4" t="s">
        <v>28</v>
      </c>
      <c r="B1051" s="4" t="s">
        <v>41</v>
      </c>
      <c r="C1051" s="4" t="s">
        <v>42</v>
      </c>
      <c r="D1051" s="4" t="s">
        <v>38</v>
      </c>
      <c r="E1051" s="4" t="s">
        <v>25</v>
      </c>
      <c r="F1051" s="4" t="s">
        <v>25</v>
      </c>
      <c r="G1051" s="4" t="s">
        <v>25</v>
      </c>
      <c r="H1051" s="4" t="s">
        <v>34</v>
      </c>
      <c r="I1051" s="5">
        <v>44409</v>
      </c>
      <c r="J1051" s="6">
        <v>0</v>
      </c>
      <c r="K1051" s="6">
        <v>0</v>
      </c>
      <c r="L1051" s="6">
        <v>13.427</v>
      </c>
      <c r="M1051" s="6">
        <v>13.427</v>
      </c>
      <c r="N1051" s="6">
        <v>13.427</v>
      </c>
      <c r="O1051" s="6">
        <v>13.427</v>
      </c>
      <c r="P1051" s="6">
        <v>0</v>
      </c>
      <c r="Q1051" s="4" t="s">
        <v>26</v>
      </c>
      <c r="R1051" s="4">
        <v>0</v>
      </c>
      <c r="S1051" s="6">
        <v>0</v>
      </c>
      <c r="T1051" s="6">
        <v>42</v>
      </c>
      <c r="U1051" s="6">
        <v>66</v>
      </c>
      <c r="V1051" s="6">
        <f>IF(ISERROR(VLOOKUP($S$1051,'TAR FIN'!$A$1:$O$104,15,0)),0,VLOOKUP($S$1051,'TAR FIN'!$A$1:$O$104,15,0))</f>
        <v>0</v>
      </c>
      <c r="W1051" s="6">
        <f>IF(ISERROR(VLOOKUP($T$1051,'TAR FIN'!$A$1:$O$104,15,0)),0,VLOOKUP($T$1051,'TAR FIN'!$A$1:$O$104,15,0))</f>
        <v>1330.19</v>
      </c>
      <c r="X1051" s="6">
        <f>IF(ISERROR(VLOOKUP($U$1051,'TAR FIN'!$A$1:$O$104,15,0)),0,VLOOKUP($U$1051,'TAR FIN'!$A$1:$O$104,15,0))</f>
        <v>397.62</v>
      </c>
      <c r="Y1051" s="6"/>
      <c r="Z1051" s="6">
        <f ca="1">('TUSD BE'!$AM$25+'TUSD BF'!$AM$25+'TUSD CVA'!$AM$25)*1</f>
        <v>1345.857743809549</v>
      </c>
      <c r="AA1051" s="6">
        <f>('TE BE'!$AB$7+'TE BF'!$AB$7+'TE CVA'!$AB$7)*1</f>
        <v>360.26029187567116</v>
      </c>
      <c r="AB1051" s="6">
        <f>$K$1051*$V$1051</f>
        <v>0</v>
      </c>
      <c r="AC1051" s="6">
        <f>$M$1051*$W$1051</f>
        <v>17860.46113</v>
      </c>
      <c r="AD1051" s="6">
        <f>$O$1051*$X$1051</f>
        <v>5338.8437400000003</v>
      </c>
      <c r="AE1051" s="6">
        <f>$K$1051*$Y$1051</f>
        <v>0</v>
      </c>
      <c r="AF1051" s="6">
        <f ca="1">$M$1051*$Z$1051</f>
        <v>18070.831926130813</v>
      </c>
      <c r="AG1051" s="6">
        <f>$O$1051*$AA$1051</f>
        <v>4837.2149390146369</v>
      </c>
    </row>
    <row r="1052" spans="1:33" ht="11.25" customHeight="1" x14ac:dyDescent="0.25">
      <c r="A1052" s="4" t="s">
        <v>21</v>
      </c>
      <c r="B1052" s="4" t="s">
        <v>41</v>
      </c>
      <c r="C1052" s="4" t="s">
        <v>42</v>
      </c>
      <c r="D1052" s="4" t="s">
        <v>38</v>
      </c>
      <c r="E1052" s="4" t="s">
        <v>25</v>
      </c>
      <c r="F1052" s="4" t="s">
        <v>25</v>
      </c>
      <c r="G1052" s="4" t="s">
        <v>25</v>
      </c>
      <c r="H1052" s="4" t="s">
        <v>34</v>
      </c>
      <c r="I1052" s="5">
        <v>44409</v>
      </c>
      <c r="J1052" s="6">
        <v>0</v>
      </c>
      <c r="K1052" s="6">
        <v>0</v>
      </c>
      <c r="L1052" s="6">
        <v>1.2110000000000001</v>
      </c>
      <c r="M1052" s="6">
        <v>1.2110000000000001</v>
      </c>
      <c r="N1052" s="6">
        <v>0</v>
      </c>
      <c r="O1052" s="6">
        <v>0</v>
      </c>
      <c r="P1052" s="6">
        <v>0</v>
      </c>
      <c r="Q1052" s="4" t="s">
        <v>58</v>
      </c>
      <c r="R1052" s="4">
        <v>0</v>
      </c>
      <c r="S1052" s="6">
        <v>0</v>
      </c>
      <c r="T1052" s="6">
        <v>42</v>
      </c>
      <c r="U1052" s="6">
        <v>0</v>
      </c>
      <c r="V1052" s="6">
        <f>IF(ISERROR(VLOOKUP($S$1052,'TAR FIN'!$A$1:$O$104,15,0)),0,VLOOKUP($S$1052,'TAR FIN'!$A$1:$O$104,15,0))</f>
        <v>0</v>
      </c>
      <c r="W1052" s="6">
        <f>IF(ISERROR(VLOOKUP($T$1052,'TAR FIN'!$A$1:$O$104,15,0)),0,VLOOKUP($T$1052,'TAR FIN'!$A$1:$O$104,15,0))</f>
        <v>1330.19</v>
      </c>
      <c r="X1052" s="6">
        <f>IF(ISERROR(VLOOKUP($U$1052,'TAR FIN'!$A$1:$O$104,15,0)),0,VLOOKUP($U$1052,'TAR FIN'!$A$1:$O$104,15,0))</f>
        <v>0</v>
      </c>
      <c r="Y1052" s="6"/>
      <c r="Z1052" s="6">
        <f ca="1">('TUSD BE'!$AM$25+'TUSD BF'!$AM$25+'TUSD CVA'!$AM$25)*1</f>
        <v>1345.857743809549</v>
      </c>
      <c r="AA1052" s="6"/>
      <c r="AB1052" s="6">
        <f>$K$1052*$V$1052</f>
        <v>0</v>
      </c>
      <c r="AC1052" s="6">
        <f>$M$1052*$W$1052</f>
        <v>1610.8600900000001</v>
      </c>
      <c r="AD1052" s="6">
        <f>$O$1052*$X$1052</f>
        <v>0</v>
      </c>
      <c r="AE1052" s="6">
        <f>$K$1052*$Y$1052</f>
        <v>0</v>
      </c>
      <c r="AF1052" s="6">
        <f ca="1">$M$1052*$Z$1052</f>
        <v>1629.833727753364</v>
      </c>
      <c r="AG1052" s="6">
        <f>$O$1052*$AA$1052</f>
        <v>0</v>
      </c>
    </row>
    <row r="1053" spans="1:33" ht="11.25" customHeight="1" x14ac:dyDescent="0.25">
      <c r="A1053" s="4" t="s">
        <v>21</v>
      </c>
      <c r="B1053" s="4" t="s">
        <v>41</v>
      </c>
      <c r="C1053" s="4" t="s">
        <v>42</v>
      </c>
      <c r="D1053" s="4" t="s">
        <v>38</v>
      </c>
      <c r="E1053" s="4" t="s">
        <v>25</v>
      </c>
      <c r="F1053" s="4" t="s">
        <v>25</v>
      </c>
      <c r="G1053" s="4" t="s">
        <v>25</v>
      </c>
      <c r="H1053" s="4" t="s">
        <v>34</v>
      </c>
      <c r="I1053" s="5">
        <v>44440</v>
      </c>
      <c r="J1053" s="6">
        <v>0</v>
      </c>
      <c r="K1053" s="6">
        <v>0</v>
      </c>
      <c r="L1053" s="6">
        <v>236.56899999999999</v>
      </c>
      <c r="M1053" s="6">
        <v>236.56899999999999</v>
      </c>
      <c r="N1053" s="6">
        <v>236.56899999999999</v>
      </c>
      <c r="O1053" s="6">
        <v>236.56899999999999</v>
      </c>
      <c r="P1053" s="6">
        <v>0</v>
      </c>
      <c r="Q1053" s="4" t="s">
        <v>26</v>
      </c>
      <c r="R1053" s="4">
        <v>0</v>
      </c>
      <c r="S1053" s="6">
        <v>0</v>
      </c>
      <c r="T1053" s="6">
        <v>42</v>
      </c>
      <c r="U1053" s="6">
        <v>66</v>
      </c>
      <c r="V1053" s="6">
        <f>IF(ISERROR(VLOOKUP($S$1053,'TAR FIN'!$A$1:$O$104,15,0)),0,VLOOKUP($S$1053,'TAR FIN'!$A$1:$O$104,15,0))</f>
        <v>0</v>
      </c>
      <c r="W1053" s="6">
        <f>IF(ISERROR(VLOOKUP($T$1053,'TAR FIN'!$A$1:$O$104,15,0)),0,VLOOKUP($T$1053,'TAR FIN'!$A$1:$O$104,15,0))</f>
        <v>1330.19</v>
      </c>
      <c r="X1053" s="6">
        <f>IF(ISERROR(VLOOKUP($U$1053,'TAR FIN'!$A$1:$O$104,15,0)),0,VLOOKUP($U$1053,'TAR FIN'!$A$1:$O$104,15,0))</f>
        <v>397.62</v>
      </c>
      <c r="Y1053" s="6"/>
      <c r="Z1053" s="6">
        <f ca="1">('TUSD BE'!$AM$25+'TUSD BF'!$AM$25+'TUSD CVA'!$AM$25)*1</f>
        <v>1345.857743809549</v>
      </c>
      <c r="AA1053" s="6">
        <f>('TE BE'!$AB$7+'TE BF'!$AB$7+'TE CVA'!$AB$7)*1</f>
        <v>360.26029187567116</v>
      </c>
      <c r="AB1053" s="6">
        <f>$K$1053*$V$1053</f>
        <v>0</v>
      </c>
      <c r="AC1053" s="6">
        <f>$M$1053*$W$1053</f>
        <v>314681.71811000002</v>
      </c>
      <c r="AD1053" s="6">
        <f>$O$1053*$X$1053</f>
        <v>94064.56577999999</v>
      </c>
      <c r="AE1053" s="6">
        <f>$K$1053*$Y$1053</f>
        <v>0</v>
      </c>
      <c r="AF1053" s="6">
        <f ca="1">$M$1053*$Z$1053</f>
        <v>318388.22059528116</v>
      </c>
      <c r="AG1053" s="6">
        <f>$O$1053*$AA$1053</f>
        <v>85226.41698873564</v>
      </c>
    </row>
    <row r="1054" spans="1:33" ht="11.25" customHeight="1" x14ac:dyDescent="0.25">
      <c r="A1054" s="4" t="s">
        <v>28</v>
      </c>
      <c r="B1054" s="4" t="s">
        <v>41</v>
      </c>
      <c r="C1054" s="4" t="s">
        <v>42</v>
      </c>
      <c r="D1054" s="4" t="s">
        <v>38</v>
      </c>
      <c r="E1054" s="4" t="s">
        <v>25</v>
      </c>
      <c r="F1054" s="4" t="s">
        <v>25</v>
      </c>
      <c r="G1054" s="4" t="s">
        <v>25</v>
      </c>
      <c r="H1054" s="4" t="s">
        <v>34</v>
      </c>
      <c r="I1054" s="5">
        <v>44440</v>
      </c>
      <c r="J1054" s="6">
        <v>0</v>
      </c>
      <c r="K1054" s="6">
        <v>0</v>
      </c>
      <c r="L1054" s="6">
        <v>29.055</v>
      </c>
      <c r="M1054" s="6">
        <v>29.055</v>
      </c>
      <c r="N1054" s="6">
        <v>29.055</v>
      </c>
      <c r="O1054" s="6">
        <v>29.055</v>
      </c>
      <c r="P1054" s="6">
        <v>0</v>
      </c>
      <c r="Q1054" s="4" t="s">
        <v>26</v>
      </c>
      <c r="R1054" s="4">
        <v>0</v>
      </c>
      <c r="S1054" s="6">
        <v>0</v>
      </c>
      <c r="T1054" s="6">
        <v>42</v>
      </c>
      <c r="U1054" s="6">
        <v>66</v>
      </c>
      <c r="V1054" s="6">
        <f>IF(ISERROR(VLOOKUP($S$1054,'TAR FIN'!$A$1:$O$104,15,0)),0,VLOOKUP($S$1054,'TAR FIN'!$A$1:$O$104,15,0))</f>
        <v>0</v>
      </c>
      <c r="W1054" s="6">
        <f>IF(ISERROR(VLOOKUP($T$1054,'TAR FIN'!$A$1:$O$104,15,0)),0,VLOOKUP($T$1054,'TAR FIN'!$A$1:$O$104,15,0))</f>
        <v>1330.19</v>
      </c>
      <c r="X1054" s="6">
        <f>IF(ISERROR(VLOOKUP($U$1054,'TAR FIN'!$A$1:$O$104,15,0)),0,VLOOKUP($U$1054,'TAR FIN'!$A$1:$O$104,15,0))</f>
        <v>397.62</v>
      </c>
      <c r="Y1054" s="6"/>
      <c r="Z1054" s="6">
        <f ca="1">('TUSD BE'!$AM$25+'TUSD BF'!$AM$25+'TUSD CVA'!$AM$25)*1</f>
        <v>1345.857743809549</v>
      </c>
      <c r="AA1054" s="6">
        <f>('TE BE'!$AB$7+'TE BF'!$AB$7+'TE CVA'!$AB$7)*1</f>
        <v>360.26029187567116</v>
      </c>
      <c r="AB1054" s="6">
        <f>$K$1054*$V$1054</f>
        <v>0</v>
      </c>
      <c r="AC1054" s="6">
        <f>$M$1054*$W$1054</f>
        <v>38648.670449999998</v>
      </c>
      <c r="AD1054" s="6">
        <f>$O$1054*$X$1054</f>
        <v>11552.849099999999</v>
      </c>
      <c r="AE1054" s="6">
        <f>$K$1054*$Y$1054</f>
        <v>0</v>
      </c>
      <c r="AF1054" s="6">
        <f ca="1">$M$1054*$Z$1054</f>
        <v>39103.896746386446</v>
      </c>
      <c r="AG1054" s="6">
        <f>$O$1054*$AA$1054</f>
        <v>10467.362780447625</v>
      </c>
    </row>
    <row r="1055" spans="1:33" ht="11.25" customHeight="1" x14ac:dyDescent="0.25">
      <c r="A1055" s="4" t="s">
        <v>21</v>
      </c>
      <c r="B1055" s="4" t="s">
        <v>41</v>
      </c>
      <c r="C1055" s="4" t="s">
        <v>42</v>
      </c>
      <c r="D1055" s="4" t="s">
        <v>38</v>
      </c>
      <c r="E1055" s="4" t="s">
        <v>25</v>
      </c>
      <c r="F1055" s="4" t="s">
        <v>25</v>
      </c>
      <c r="G1055" s="4" t="s">
        <v>25</v>
      </c>
      <c r="H1055" s="4" t="s">
        <v>34</v>
      </c>
      <c r="I1055" s="5">
        <v>44440</v>
      </c>
      <c r="J1055" s="6">
        <v>0</v>
      </c>
      <c r="K1055" s="6">
        <v>0</v>
      </c>
      <c r="L1055" s="6">
        <v>0.79300000000000004</v>
      </c>
      <c r="M1055" s="6">
        <v>0.79300000000000004</v>
      </c>
      <c r="N1055" s="6">
        <v>0</v>
      </c>
      <c r="O1055" s="6">
        <v>0</v>
      </c>
      <c r="P1055" s="6">
        <v>0</v>
      </c>
      <c r="Q1055" s="4" t="s">
        <v>58</v>
      </c>
      <c r="R1055" s="4">
        <v>0</v>
      </c>
      <c r="S1055" s="6">
        <v>0</v>
      </c>
      <c r="T1055" s="6">
        <v>42</v>
      </c>
      <c r="U1055" s="6">
        <v>0</v>
      </c>
      <c r="V1055" s="6">
        <f>IF(ISERROR(VLOOKUP($S$1055,'TAR FIN'!$A$1:$O$104,15,0)),0,VLOOKUP($S$1055,'TAR FIN'!$A$1:$O$104,15,0))</f>
        <v>0</v>
      </c>
      <c r="W1055" s="6">
        <f>IF(ISERROR(VLOOKUP($T$1055,'TAR FIN'!$A$1:$O$104,15,0)),0,VLOOKUP($T$1055,'TAR FIN'!$A$1:$O$104,15,0))</f>
        <v>1330.19</v>
      </c>
      <c r="X1055" s="6">
        <f>IF(ISERROR(VLOOKUP($U$1055,'TAR FIN'!$A$1:$O$104,15,0)),0,VLOOKUP($U$1055,'TAR FIN'!$A$1:$O$104,15,0))</f>
        <v>0</v>
      </c>
      <c r="Y1055" s="6"/>
      <c r="Z1055" s="6">
        <f ca="1">('TUSD BE'!$AM$25+'TUSD BF'!$AM$25+'TUSD CVA'!$AM$25)*1</f>
        <v>1345.857743809549</v>
      </c>
      <c r="AA1055" s="6"/>
      <c r="AB1055" s="6">
        <f>$K$1055*$V$1055</f>
        <v>0</v>
      </c>
      <c r="AC1055" s="6">
        <f>$M$1055*$W$1055</f>
        <v>1054.84067</v>
      </c>
      <c r="AD1055" s="6">
        <f>$O$1055*$X$1055</f>
        <v>0</v>
      </c>
      <c r="AE1055" s="6">
        <f>$K$1055*$Y$1055</f>
        <v>0</v>
      </c>
      <c r="AF1055" s="6">
        <f ca="1">$M$1055*$Z$1055</f>
        <v>1067.2651908409723</v>
      </c>
      <c r="AG1055" s="6">
        <f>$O$1055*$AA$1055</f>
        <v>0</v>
      </c>
    </row>
    <row r="1056" spans="1:33" ht="11.25" customHeight="1" x14ac:dyDescent="0.25">
      <c r="A1056" s="4" t="s">
        <v>21</v>
      </c>
      <c r="B1056" s="4" t="s">
        <v>41</v>
      </c>
      <c r="C1056" s="4" t="s">
        <v>42</v>
      </c>
      <c r="D1056" s="4" t="s">
        <v>38</v>
      </c>
      <c r="E1056" s="4" t="s">
        <v>25</v>
      </c>
      <c r="F1056" s="4" t="s">
        <v>25</v>
      </c>
      <c r="G1056" s="4" t="s">
        <v>25</v>
      </c>
      <c r="H1056" s="4" t="s">
        <v>34</v>
      </c>
      <c r="I1056" s="5">
        <v>44470</v>
      </c>
      <c r="J1056" s="6">
        <v>0</v>
      </c>
      <c r="K1056" s="6">
        <v>0</v>
      </c>
      <c r="L1056" s="6">
        <v>231.71100000000001</v>
      </c>
      <c r="M1056" s="6">
        <v>231.71100000000001</v>
      </c>
      <c r="N1056" s="6">
        <v>231.71100000000001</v>
      </c>
      <c r="O1056" s="6">
        <v>231.71100000000001</v>
      </c>
      <c r="P1056" s="6">
        <v>0</v>
      </c>
      <c r="Q1056" s="4" t="s">
        <v>26</v>
      </c>
      <c r="R1056" s="4">
        <v>0</v>
      </c>
      <c r="S1056" s="6">
        <v>0</v>
      </c>
      <c r="T1056" s="6">
        <v>42</v>
      </c>
      <c r="U1056" s="6">
        <v>66</v>
      </c>
      <c r="V1056" s="6">
        <f>IF(ISERROR(VLOOKUP($S$1056,'TAR FIN'!$A$1:$O$104,15,0)),0,VLOOKUP($S$1056,'TAR FIN'!$A$1:$O$104,15,0))</f>
        <v>0</v>
      </c>
      <c r="W1056" s="6">
        <f>IF(ISERROR(VLOOKUP($T$1056,'TAR FIN'!$A$1:$O$104,15,0)),0,VLOOKUP($T$1056,'TAR FIN'!$A$1:$O$104,15,0))</f>
        <v>1330.19</v>
      </c>
      <c r="X1056" s="6">
        <f>IF(ISERROR(VLOOKUP($U$1056,'TAR FIN'!$A$1:$O$104,15,0)),0,VLOOKUP($U$1056,'TAR FIN'!$A$1:$O$104,15,0))</f>
        <v>397.62</v>
      </c>
      <c r="Y1056" s="6"/>
      <c r="Z1056" s="6">
        <f ca="1">('TUSD BE'!$AM$25+'TUSD BF'!$AM$25+'TUSD CVA'!$AM$25)*1</f>
        <v>1345.857743809549</v>
      </c>
      <c r="AA1056" s="6">
        <f>('TE BE'!$AB$7+'TE BF'!$AB$7+'TE CVA'!$AB$7)*1</f>
        <v>360.26029187567116</v>
      </c>
      <c r="AB1056" s="6">
        <f>$K$1056*$V$1056</f>
        <v>0</v>
      </c>
      <c r="AC1056" s="6">
        <f>$M$1056*$W$1056</f>
        <v>308219.65509000001</v>
      </c>
      <c r="AD1056" s="6">
        <f>$O$1056*$X$1056</f>
        <v>92132.927820000012</v>
      </c>
      <c r="AE1056" s="6">
        <f>$K$1056*$Y$1056</f>
        <v>0</v>
      </c>
      <c r="AF1056" s="6">
        <f ca="1">$M$1056*$Z$1056</f>
        <v>311850.04367585439</v>
      </c>
      <c r="AG1056" s="6">
        <f>$O$1056*$AA$1056</f>
        <v>83476.272490803647</v>
      </c>
    </row>
    <row r="1057" spans="1:33" ht="11.25" customHeight="1" x14ac:dyDescent="0.25">
      <c r="A1057" s="4" t="s">
        <v>28</v>
      </c>
      <c r="B1057" s="4" t="s">
        <v>41</v>
      </c>
      <c r="C1057" s="4" t="s">
        <v>42</v>
      </c>
      <c r="D1057" s="4" t="s">
        <v>38</v>
      </c>
      <c r="E1057" s="4" t="s">
        <v>25</v>
      </c>
      <c r="F1057" s="4" t="s">
        <v>25</v>
      </c>
      <c r="G1057" s="4" t="s">
        <v>25</v>
      </c>
      <c r="H1057" s="4" t="s">
        <v>34</v>
      </c>
      <c r="I1057" s="5">
        <v>44470</v>
      </c>
      <c r="J1057" s="6">
        <v>0</v>
      </c>
      <c r="K1057" s="6">
        <v>0</v>
      </c>
      <c r="L1057" s="6">
        <v>27.687000000000001</v>
      </c>
      <c r="M1057" s="6">
        <v>27.687000000000001</v>
      </c>
      <c r="N1057" s="6">
        <v>27.687000000000001</v>
      </c>
      <c r="O1057" s="6">
        <v>27.687000000000001</v>
      </c>
      <c r="P1057" s="6">
        <v>0</v>
      </c>
      <c r="Q1057" s="4" t="s">
        <v>26</v>
      </c>
      <c r="R1057" s="4">
        <v>0</v>
      </c>
      <c r="S1057" s="6">
        <v>0</v>
      </c>
      <c r="T1057" s="6">
        <v>42</v>
      </c>
      <c r="U1057" s="6">
        <v>66</v>
      </c>
      <c r="V1057" s="6">
        <f>IF(ISERROR(VLOOKUP($S$1057,'TAR FIN'!$A$1:$O$104,15,0)),0,VLOOKUP($S$1057,'TAR FIN'!$A$1:$O$104,15,0))</f>
        <v>0</v>
      </c>
      <c r="W1057" s="6">
        <f>IF(ISERROR(VLOOKUP($T$1057,'TAR FIN'!$A$1:$O$104,15,0)),0,VLOOKUP($T$1057,'TAR FIN'!$A$1:$O$104,15,0))</f>
        <v>1330.19</v>
      </c>
      <c r="X1057" s="6">
        <f>IF(ISERROR(VLOOKUP($U$1057,'TAR FIN'!$A$1:$O$104,15,0)),0,VLOOKUP($U$1057,'TAR FIN'!$A$1:$O$104,15,0))</f>
        <v>397.62</v>
      </c>
      <c r="Y1057" s="6"/>
      <c r="Z1057" s="6">
        <f ca="1">('TUSD BE'!$AM$25+'TUSD BF'!$AM$25+'TUSD CVA'!$AM$25)*1</f>
        <v>1345.857743809549</v>
      </c>
      <c r="AA1057" s="6">
        <f>('TE BE'!$AB$7+'TE BF'!$AB$7+'TE CVA'!$AB$7)*1</f>
        <v>360.26029187567116</v>
      </c>
      <c r="AB1057" s="6">
        <f>$K$1057*$V$1057</f>
        <v>0</v>
      </c>
      <c r="AC1057" s="6">
        <f>$M$1057*$W$1057</f>
        <v>36828.970530000006</v>
      </c>
      <c r="AD1057" s="6">
        <f>$O$1057*$X$1057</f>
        <v>11008.90494</v>
      </c>
      <c r="AE1057" s="6">
        <f>$K$1057*$Y$1057</f>
        <v>0</v>
      </c>
      <c r="AF1057" s="6">
        <f ca="1">$M$1057*$Z$1057</f>
        <v>37262.763352854985</v>
      </c>
      <c r="AG1057" s="6">
        <f>$O$1057*$AA$1057</f>
        <v>9974.526701161707</v>
      </c>
    </row>
    <row r="1058" spans="1:33" ht="11.25" customHeight="1" x14ac:dyDescent="0.25">
      <c r="A1058" s="4" t="s">
        <v>28</v>
      </c>
      <c r="B1058" s="4" t="s">
        <v>41</v>
      </c>
      <c r="C1058" s="4" t="s">
        <v>42</v>
      </c>
      <c r="D1058" s="4" t="s">
        <v>38</v>
      </c>
      <c r="E1058" s="4" t="s">
        <v>25</v>
      </c>
      <c r="F1058" s="4" t="s">
        <v>25</v>
      </c>
      <c r="G1058" s="4" t="s">
        <v>25</v>
      </c>
      <c r="H1058" s="4" t="s">
        <v>34</v>
      </c>
      <c r="I1058" s="5">
        <v>44470</v>
      </c>
      <c r="J1058" s="6">
        <v>0</v>
      </c>
      <c r="K1058" s="6">
        <v>0</v>
      </c>
      <c r="L1058" s="6">
        <v>-1.62</v>
      </c>
      <c r="M1058" s="6">
        <v>-1.62</v>
      </c>
      <c r="N1058" s="6">
        <v>-1.62</v>
      </c>
      <c r="O1058" s="6">
        <v>-1.62</v>
      </c>
      <c r="P1058" s="6">
        <v>0</v>
      </c>
      <c r="Q1058" s="4" t="s">
        <v>26</v>
      </c>
      <c r="R1058" s="4">
        <v>0</v>
      </c>
      <c r="S1058" s="6">
        <v>0</v>
      </c>
      <c r="T1058" s="6">
        <v>42</v>
      </c>
      <c r="U1058" s="6">
        <v>66</v>
      </c>
      <c r="V1058" s="6">
        <f>IF(ISERROR(VLOOKUP($S$1058,'TAR FIN'!$A$1:$O$104,15,0)),0,VLOOKUP($S$1058,'TAR FIN'!$A$1:$O$104,15,0))</f>
        <v>0</v>
      </c>
      <c r="W1058" s="6">
        <f>IF(ISERROR(VLOOKUP($T$1058,'TAR FIN'!$A$1:$O$104,15,0)),0,VLOOKUP($T$1058,'TAR FIN'!$A$1:$O$104,15,0))</f>
        <v>1330.19</v>
      </c>
      <c r="X1058" s="6">
        <f>IF(ISERROR(VLOOKUP($U$1058,'TAR FIN'!$A$1:$O$104,15,0)),0,VLOOKUP($U$1058,'TAR FIN'!$A$1:$O$104,15,0))</f>
        <v>397.62</v>
      </c>
      <c r="Y1058" s="6"/>
      <c r="Z1058" s="6">
        <f ca="1">('TUSD BE'!$AM$25+'TUSD BF'!$AM$25+'TUSD CVA'!$AM$25)*1</f>
        <v>1345.857743809549</v>
      </c>
      <c r="AA1058" s="6">
        <f>('TE BE'!$AB$7+'TE BF'!$AB$7+'TE CVA'!$AB$7)*1</f>
        <v>360.26029187567116</v>
      </c>
      <c r="AB1058" s="6">
        <f>$K$1058*$V$1058</f>
        <v>0</v>
      </c>
      <c r="AC1058" s="6">
        <f>$M$1058*$W$1058</f>
        <v>-2154.9078000000004</v>
      </c>
      <c r="AD1058" s="6">
        <f>$O$1058*$X$1058</f>
        <v>-644.14440000000002</v>
      </c>
      <c r="AE1058" s="6">
        <f>$K$1058*$Y$1058</f>
        <v>0</v>
      </c>
      <c r="AF1058" s="6">
        <f ca="1">$M$1058*$Z$1058</f>
        <v>-2180.2895449714697</v>
      </c>
      <c r="AG1058" s="6">
        <f>$O$1058*$AA$1058</f>
        <v>-583.6216728385873</v>
      </c>
    </row>
    <row r="1059" spans="1:33" ht="11.25" customHeight="1" x14ac:dyDescent="0.25">
      <c r="A1059" s="4" t="s">
        <v>21</v>
      </c>
      <c r="B1059" s="4" t="s">
        <v>41</v>
      </c>
      <c r="C1059" s="4" t="s">
        <v>42</v>
      </c>
      <c r="D1059" s="4" t="s">
        <v>38</v>
      </c>
      <c r="E1059" s="4" t="s">
        <v>25</v>
      </c>
      <c r="F1059" s="4" t="s">
        <v>25</v>
      </c>
      <c r="G1059" s="4" t="s">
        <v>25</v>
      </c>
      <c r="H1059" s="4" t="s">
        <v>34</v>
      </c>
      <c r="I1059" s="5">
        <v>44470</v>
      </c>
      <c r="J1059" s="6">
        <v>0</v>
      </c>
      <c r="K1059" s="6">
        <v>0</v>
      </c>
      <c r="L1059" s="6">
        <v>5.7480000000000002</v>
      </c>
      <c r="M1059" s="6">
        <v>5.7480000000000002</v>
      </c>
      <c r="N1059" s="6">
        <v>0</v>
      </c>
      <c r="O1059" s="6">
        <v>0</v>
      </c>
      <c r="P1059" s="6">
        <v>0</v>
      </c>
      <c r="Q1059" s="4" t="s">
        <v>58</v>
      </c>
      <c r="R1059" s="4">
        <v>0</v>
      </c>
      <c r="S1059" s="6">
        <v>0</v>
      </c>
      <c r="T1059" s="6">
        <v>42</v>
      </c>
      <c r="U1059" s="6">
        <v>0</v>
      </c>
      <c r="V1059" s="6">
        <f>IF(ISERROR(VLOOKUP($S$1059,'TAR FIN'!$A$1:$O$104,15,0)),0,VLOOKUP($S$1059,'TAR FIN'!$A$1:$O$104,15,0))</f>
        <v>0</v>
      </c>
      <c r="W1059" s="6">
        <f>IF(ISERROR(VLOOKUP($T$1059,'TAR FIN'!$A$1:$O$104,15,0)),0,VLOOKUP($T$1059,'TAR FIN'!$A$1:$O$104,15,0))</f>
        <v>1330.19</v>
      </c>
      <c r="X1059" s="6">
        <f>IF(ISERROR(VLOOKUP($U$1059,'TAR FIN'!$A$1:$O$104,15,0)),0,VLOOKUP($U$1059,'TAR FIN'!$A$1:$O$104,15,0))</f>
        <v>0</v>
      </c>
      <c r="Y1059" s="6"/>
      <c r="Z1059" s="6">
        <f ca="1">('TUSD BE'!$AM$25+'TUSD BF'!$AM$25+'TUSD CVA'!$AM$25)*1</f>
        <v>1345.857743809549</v>
      </c>
      <c r="AA1059" s="6"/>
      <c r="AB1059" s="6">
        <f>$K$1059*$V$1059</f>
        <v>0</v>
      </c>
      <c r="AC1059" s="6">
        <f>$M$1059*$W$1059</f>
        <v>7645.9321200000004</v>
      </c>
      <c r="AD1059" s="6">
        <f>$O$1059*$X$1059</f>
        <v>0</v>
      </c>
      <c r="AE1059" s="6">
        <f>$K$1059*$Y$1059</f>
        <v>0</v>
      </c>
      <c r="AF1059" s="6">
        <f ca="1">$M$1059*$Z$1059</f>
        <v>7735.9903114172876</v>
      </c>
      <c r="AG1059" s="6">
        <f>$O$1059*$AA$1059</f>
        <v>0</v>
      </c>
    </row>
    <row r="1060" spans="1:33" ht="11.25" customHeight="1" x14ac:dyDescent="0.25">
      <c r="A1060" s="4" t="s">
        <v>21</v>
      </c>
      <c r="B1060" s="4" t="s">
        <v>41</v>
      </c>
      <c r="C1060" s="4" t="s">
        <v>42</v>
      </c>
      <c r="D1060" s="4" t="s">
        <v>38</v>
      </c>
      <c r="E1060" s="4" t="s">
        <v>25</v>
      </c>
      <c r="F1060" s="4" t="s">
        <v>25</v>
      </c>
      <c r="G1060" s="4" t="s">
        <v>25</v>
      </c>
      <c r="H1060" s="4" t="s">
        <v>34</v>
      </c>
      <c r="I1060" s="5">
        <v>44501</v>
      </c>
      <c r="J1060" s="6">
        <v>0</v>
      </c>
      <c r="K1060" s="6">
        <v>0</v>
      </c>
      <c r="L1060" s="6">
        <v>229.233</v>
      </c>
      <c r="M1060" s="6">
        <v>229.233</v>
      </c>
      <c r="N1060" s="6">
        <v>229.233</v>
      </c>
      <c r="O1060" s="6">
        <v>229.233</v>
      </c>
      <c r="P1060" s="6">
        <v>0</v>
      </c>
      <c r="Q1060" s="4" t="s">
        <v>26</v>
      </c>
      <c r="R1060" s="4">
        <v>0</v>
      </c>
      <c r="S1060" s="6">
        <v>0</v>
      </c>
      <c r="T1060" s="6">
        <v>42</v>
      </c>
      <c r="U1060" s="6">
        <v>66</v>
      </c>
      <c r="V1060" s="6">
        <f>IF(ISERROR(VLOOKUP($S$1060,'TAR FIN'!$A$1:$O$104,15,0)),0,VLOOKUP($S$1060,'TAR FIN'!$A$1:$O$104,15,0))</f>
        <v>0</v>
      </c>
      <c r="W1060" s="6">
        <f>IF(ISERROR(VLOOKUP($T$1060,'TAR FIN'!$A$1:$O$104,15,0)),0,VLOOKUP($T$1060,'TAR FIN'!$A$1:$O$104,15,0))</f>
        <v>1330.19</v>
      </c>
      <c r="X1060" s="6">
        <f>IF(ISERROR(VLOOKUP($U$1060,'TAR FIN'!$A$1:$O$104,15,0)),0,VLOOKUP($U$1060,'TAR FIN'!$A$1:$O$104,15,0))</f>
        <v>397.62</v>
      </c>
      <c r="Y1060" s="6"/>
      <c r="Z1060" s="6">
        <f ca="1">('TUSD BE'!$AM$25+'TUSD BF'!$AM$25+'TUSD CVA'!$AM$25)*1</f>
        <v>1345.857743809549</v>
      </c>
      <c r="AA1060" s="6">
        <f>('TE BE'!$AB$7+'TE BF'!$AB$7+'TE CVA'!$AB$7)*1</f>
        <v>360.26029187567116</v>
      </c>
      <c r="AB1060" s="6">
        <f>$K$1060*$V$1060</f>
        <v>0</v>
      </c>
      <c r="AC1060" s="6">
        <f>$M$1060*$W$1060</f>
        <v>304923.44427000004</v>
      </c>
      <c r="AD1060" s="6">
        <f>$O$1060*$X$1060</f>
        <v>91147.625459999996</v>
      </c>
      <c r="AE1060" s="6">
        <f>$K$1060*$Y$1060</f>
        <v>0</v>
      </c>
      <c r="AF1060" s="6">
        <f ca="1">$M$1060*$Z$1060</f>
        <v>308515.00818669435</v>
      </c>
      <c r="AG1060" s="6">
        <f>$O$1060*$AA$1060</f>
        <v>82583.547487535732</v>
      </c>
    </row>
    <row r="1061" spans="1:33" ht="11.25" customHeight="1" x14ac:dyDescent="0.25">
      <c r="A1061" s="4" t="s">
        <v>27</v>
      </c>
      <c r="B1061" s="4" t="s">
        <v>41</v>
      </c>
      <c r="C1061" s="4" t="s">
        <v>42</v>
      </c>
      <c r="D1061" s="4" t="s">
        <v>38</v>
      </c>
      <c r="E1061" s="4" t="s">
        <v>25</v>
      </c>
      <c r="F1061" s="4" t="s">
        <v>25</v>
      </c>
      <c r="G1061" s="4" t="s">
        <v>25</v>
      </c>
      <c r="H1061" s="4" t="s">
        <v>34</v>
      </c>
      <c r="I1061" s="5">
        <v>44501</v>
      </c>
      <c r="J1061" s="6">
        <v>0</v>
      </c>
      <c r="K1061" s="6">
        <v>0</v>
      </c>
      <c r="L1061" s="6">
        <v>-0.35799999999999998</v>
      </c>
      <c r="M1061" s="6">
        <v>-0.35799999999999998</v>
      </c>
      <c r="N1061" s="6">
        <v>-0.35799999999999998</v>
      </c>
      <c r="O1061" s="6">
        <v>-0.35799999999999998</v>
      </c>
      <c r="P1061" s="6">
        <v>0</v>
      </c>
      <c r="Q1061" s="4" t="s">
        <v>26</v>
      </c>
      <c r="R1061" s="4">
        <v>0</v>
      </c>
      <c r="S1061" s="6">
        <v>0</v>
      </c>
      <c r="T1061" s="6">
        <v>42</v>
      </c>
      <c r="U1061" s="6">
        <v>66</v>
      </c>
      <c r="V1061" s="6">
        <f>IF(ISERROR(VLOOKUP($S$1061,'TAR FIN'!$A$1:$O$104,15,0)),0,VLOOKUP($S$1061,'TAR FIN'!$A$1:$O$104,15,0))</f>
        <v>0</v>
      </c>
      <c r="W1061" s="6">
        <f>IF(ISERROR(VLOOKUP($T$1061,'TAR FIN'!$A$1:$O$104,15,0)),0,VLOOKUP($T$1061,'TAR FIN'!$A$1:$O$104,15,0))</f>
        <v>1330.19</v>
      </c>
      <c r="X1061" s="6">
        <f>IF(ISERROR(VLOOKUP($U$1061,'TAR FIN'!$A$1:$O$104,15,0)),0,VLOOKUP($U$1061,'TAR FIN'!$A$1:$O$104,15,0))</f>
        <v>397.62</v>
      </c>
      <c r="Y1061" s="6"/>
      <c r="Z1061" s="6">
        <f ca="1">('TUSD BE'!$AM$25+'TUSD BF'!$AM$25+'TUSD CVA'!$AM$25)*1</f>
        <v>1345.857743809549</v>
      </c>
      <c r="AA1061" s="6">
        <f>('TE BE'!$AB$7+'TE BF'!$AB$7+'TE CVA'!$AB$7)*1</f>
        <v>360.26029187567116</v>
      </c>
      <c r="AB1061" s="6">
        <f>$K$1061*$V$1061</f>
        <v>0</v>
      </c>
      <c r="AC1061" s="6">
        <f>$M$1061*$W$1061</f>
        <v>-476.20801999999998</v>
      </c>
      <c r="AD1061" s="6">
        <f>$O$1061*$X$1061</f>
        <v>-142.34796</v>
      </c>
      <c r="AE1061" s="6">
        <f>$K$1061*$Y$1061</f>
        <v>0</v>
      </c>
      <c r="AF1061" s="6">
        <f ca="1">$M$1061*$Z$1061</f>
        <v>-481.8170722838185</v>
      </c>
      <c r="AG1061" s="6">
        <f>$O$1061*$AA$1061</f>
        <v>-128.97318449149026</v>
      </c>
    </row>
    <row r="1062" spans="1:33" ht="11.25" customHeight="1" x14ac:dyDescent="0.25">
      <c r="A1062" s="4" t="s">
        <v>28</v>
      </c>
      <c r="B1062" s="4" t="s">
        <v>41</v>
      </c>
      <c r="C1062" s="4" t="s">
        <v>42</v>
      </c>
      <c r="D1062" s="4" t="s">
        <v>38</v>
      </c>
      <c r="E1062" s="4" t="s">
        <v>25</v>
      </c>
      <c r="F1062" s="4" t="s">
        <v>25</v>
      </c>
      <c r="G1062" s="4" t="s">
        <v>25</v>
      </c>
      <c r="H1062" s="4" t="s">
        <v>34</v>
      </c>
      <c r="I1062" s="5">
        <v>44501</v>
      </c>
      <c r="J1062" s="6">
        <v>0</v>
      </c>
      <c r="K1062" s="6">
        <v>0</v>
      </c>
      <c r="L1062" s="6">
        <v>22.312999999999999</v>
      </c>
      <c r="M1062" s="6">
        <v>22.312999999999999</v>
      </c>
      <c r="N1062" s="6">
        <v>22.312999999999999</v>
      </c>
      <c r="O1062" s="6">
        <v>22.312999999999999</v>
      </c>
      <c r="P1062" s="6">
        <v>0</v>
      </c>
      <c r="Q1062" s="4" t="s">
        <v>26</v>
      </c>
      <c r="R1062" s="4">
        <v>0</v>
      </c>
      <c r="S1062" s="6">
        <v>0</v>
      </c>
      <c r="T1062" s="6">
        <v>42</v>
      </c>
      <c r="U1062" s="6">
        <v>66</v>
      </c>
      <c r="V1062" s="6">
        <f>IF(ISERROR(VLOOKUP($S$1062,'TAR FIN'!$A$1:$O$104,15,0)),0,VLOOKUP($S$1062,'TAR FIN'!$A$1:$O$104,15,0))</f>
        <v>0</v>
      </c>
      <c r="W1062" s="6">
        <f>IF(ISERROR(VLOOKUP($T$1062,'TAR FIN'!$A$1:$O$104,15,0)),0,VLOOKUP($T$1062,'TAR FIN'!$A$1:$O$104,15,0))</f>
        <v>1330.19</v>
      </c>
      <c r="X1062" s="6">
        <f>IF(ISERROR(VLOOKUP($U$1062,'TAR FIN'!$A$1:$O$104,15,0)),0,VLOOKUP($U$1062,'TAR FIN'!$A$1:$O$104,15,0))</f>
        <v>397.62</v>
      </c>
      <c r="Y1062" s="6"/>
      <c r="Z1062" s="6">
        <f ca="1">('TUSD BE'!$AM$25+'TUSD BF'!$AM$25+'TUSD CVA'!$AM$25)*1</f>
        <v>1345.857743809549</v>
      </c>
      <c r="AA1062" s="6">
        <f>('TE BE'!$AB$7+'TE BF'!$AB$7+'TE CVA'!$AB$7)*1</f>
        <v>360.26029187567116</v>
      </c>
      <c r="AB1062" s="6">
        <f>$K$1062*$V$1062</f>
        <v>0</v>
      </c>
      <c r="AC1062" s="6">
        <f>$M$1062*$W$1062</f>
        <v>29680.529470000001</v>
      </c>
      <c r="AD1062" s="6">
        <f>$O$1062*$X$1062</f>
        <v>8872.0950599999996</v>
      </c>
      <c r="AE1062" s="6">
        <f>$K$1062*$Y$1062</f>
        <v>0</v>
      </c>
      <c r="AF1062" s="6">
        <f ca="1">$M$1062*$Z$1062</f>
        <v>30030.123837622465</v>
      </c>
      <c r="AG1062" s="6">
        <f>$O$1062*$AA$1062</f>
        <v>8038.4878926218498</v>
      </c>
    </row>
    <row r="1063" spans="1:33" ht="11.25" customHeight="1" x14ac:dyDescent="0.25">
      <c r="A1063" s="4" t="s">
        <v>21</v>
      </c>
      <c r="B1063" s="4" t="s">
        <v>41</v>
      </c>
      <c r="C1063" s="4" t="s">
        <v>42</v>
      </c>
      <c r="D1063" s="4" t="s">
        <v>38</v>
      </c>
      <c r="E1063" s="4" t="s">
        <v>25</v>
      </c>
      <c r="F1063" s="4" t="s">
        <v>25</v>
      </c>
      <c r="G1063" s="4" t="s">
        <v>25</v>
      </c>
      <c r="H1063" s="4" t="s">
        <v>34</v>
      </c>
      <c r="I1063" s="5">
        <v>44501</v>
      </c>
      <c r="J1063" s="6">
        <v>0</v>
      </c>
      <c r="K1063" s="6">
        <v>0</v>
      </c>
      <c r="L1063" s="6">
        <v>5.5090000000000003</v>
      </c>
      <c r="M1063" s="6">
        <v>5.5090000000000003</v>
      </c>
      <c r="N1063" s="6">
        <v>0</v>
      </c>
      <c r="O1063" s="6">
        <v>0</v>
      </c>
      <c r="P1063" s="6">
        <v>0</v>
      </c>
      <c r="Q1063" s="4" t="s">
        <v>58</v>
      </c>
      <c r="R1063" s="4">
        <v>0</v>
      </c>
      <c r="S1063" s="6">
        <v>0</v>
      </c>
      <c r="T1063" s="6">
        <v>42</v>
      </c>
      <c r="U1063" s="6">
        <v>0</v>
      </c>
      <c r="V1063" s="6">
        <f>IF(ISERROR(VLOOKUP($S$1063,'TAR FIN'!$A$1:$O$104,15,0)),0,VLOOKUP($S$1063,'TAR FIN'!$A$1:$O$104,15,0))</f>
        <v>0</v>
      </c>
      <c r="W1063" s="6">
        <f>IF(ISERROR(VLOOKUP($T$1063,'TAR FIN'!$A$1:$O$104,15,0)),0,VLOOKUP($T$1063,'TAR FIN'!$A$1:$O$104,15,0))</f>
        <v>1330.19</v>
      </c>
      <c r="X1063" s="6">
        <f>IF(ISERROR(VLOOKUP($U$1063,'TAR FIN'!$A$1:$O$104,15,0)),0,VLOOKUP($U$1063,'TAR FIN'!$A$1:$O$104,15,0))</f>
        <v>0</v>
      </c>
      <c r="Y1063" s="6"/>
      <c r="Z1063" s="6">
        <f ca="1">('TUSD BE'!$AM$25+'TUSD BF'!$AM$25+'TUSD CVA'!$AM$25)*1</f>
        <v>1345.857743809549</v>
      </c>
      <c r="AA1063" s="6"/>
      <c r="AB1063" s="6">
        <f>$K$1063*$V$1063</f>
        <v>0</v>
      </c>
      <c r="AC1063" s="6">
        <f>$M$1063*$W$1063</f>
        <v>7328.0167100000008</v>
      </c>
      <c r="AD1063" s="6">
        <f>$O$1063*$X$1063</f>
        <v>0</v>
      </c>
      <c r="AE1063" s="6">
        <f>$K$1063*$Y$1063</f>
        <v>0</v>
      </c>
      <c r="AF1063" s="6">
        <f ca="1">$M$1063*$Z$1063</f>
        <v>7414.3303106468056</v>
      </c>
      <c r="AG1063" s="6">
        <f>$O$1063*$AA$1063</f>
        <v>0</v>
      </c>
    </row>
    <row r="1064" spans="1:33" ht="11.25" customHeight="1" x14ac:dyDescent="0.25">
      <c r="A1064" s="4" t="s">
        <v>21</v>
      </c>
      <c r="B1064" s="4" t="s">
        <v>41</v>
      </c>
      <c r="C1064" s="4" t="s">
        <v>42</v>
      </c>
      <c r="D1064" s="4" t="s">
        <v>38</v>
      </c>
      <c r="E1064" s="4" t="s">
        <v>25</v>
      </c>
      <c r="F1064" s="4" t="s">
        <v>25</v>
      </c>
      <c r="G1064" s="4" t="s">
        <v>25</v>
      </c>
      <c r="H1064" s="4" t="s">
        <v>34</v>
      </c>
      <c r="I1064" s="5">
        <v>44531</v>
      </c>
      <c r="J1064" s="6">
        <v>0</v>
      </c>
      <c r="K1064" s="6">
        <v>0</v>
      </c>
      <c r="L1064" s="6">
        <v>252.99600000000001</v>
      </c>
      <c r="M1064" s="6">
        <v>252.99600000000001</v>
      </c>
      <c r="N1064" s="6">
        <v>252.99600000000001</v>
      </c>
      <c r="O1064" s="6">
        <v>252.99600000000001</v>
      </c>
      <c r="P1064" s="6">
        <v>0</v>
      </c>
      <c r="Q1064" s="4" t="s">
        <v>26</v>
      </c>
      <c r="R1064" s="4">
        <v>0</v>
      </c>
      <c r="S1064" s="6">
        <v>0</v>
      </c>
      <c r="T1064" s="6">
        <v>42</v>
      </c>
      <c r="U1064" s="6">
        <v>66</v>
      </c>
      <c r="V1064" s="6">
        <f>IF(ISERROR(VLOOKUP($S$1064,'TAR FIN'!$A$1:$O$104,15,0)),0,VLOOKUP($S$1064,'TAR FIN'!$A$1:$O$104,15,0))</f>
        <v>0</v>
      </c>
      <c r="W1064" s="6">
        <f>IF(ISERROR(VLOOKUP($T$1064,'TAR FIN'!$A$1:$O$104,15,0)),0,VLOOKUP($T$1064,'TAR FIN'!$A$1:$O$104,15,0))</f>
        <v>1330.19</v>
      </c>
      <c r="X1064" s="6">
        <f>IF(ISERROR(VLOOKUP($U$1064,'TAR FIN'!$A$1:$O$104,15,0)),0,VLOOKUP($U$1064,'TAR FIN'!$A$1:$O$104,15,0))</f>
        <v>397.62</v>
      </c>
      <c r="Y1064" s="6"/>
      <c r="Z1064" s="6">
        <f ca="1">('TUSD BE'!$AM$25+'TUSD BF'!$AM$25+'TUSD CVA'!$AM$25)*1</f>
        <v>1345.857743809549</v>
      </c>
      <c r="AA1064" s="6">
        <f>('TE BE'!$AB$7+'TE BF'!$AB$7+'TE CVA'!$AB$7)*1</f>
        <v>360.26029187567116</v>
      </c>
      <c r="AB1064" s="6">
        <f>$K$1064*$V$1064</f>
        <v>0</v>
      </c>
      <c r="AC1064" s="6">
        <f>$M$1064*$W$1064</f>
        <v>336532.74924000003</v>
      </c>
      <c r="AD1064" s="6">
        <f>$O$1064*$X$1064</f>
        <v>100596.26952</v>
      </c>
      <c r="AE1064" s="6">
        <f>$K$1064*$Y$1064</f>
        <v>0</v>
      </c>
      <c r="AF1064" s="6">
        <f ca="1">$M$1064*$Z$1064</f>
        <v>340496.62575284066</v>
      </c>
      <c r="AG1064" s="6">
        <f>$O$1064*$AA$1064</f>
        <v>91144.412803377301</v>
      </c>
    </row>
    <row r="1065" spans="1:33" ht="11.25" customHeight="1" x14ac:dyDescent="0.25">
      <c r="A1065" s="4" t="s">
        <v>27</v>
      </c>
      <c r="B1065" s="4" t="s">
        <v>41</v>
      </c>
      <c r="C1065" s="4" t="s">
        <v>42</v>
      </c>
      <c r="D1065" s="4" t="s">
        <v>38</v>
      </c>
      <c r="E1065" s="4" t="s">
        <v>25</v>
      </c>
      <c r="F1065" s="4" t="s">
        <v>25</v>
      </c>
      <c r="G1065" s="4" t="s">
        <v>25</v>
      </c>
      <c r="H1065" s="4" t="s">
        <v>34</v>
      </c>
      <c r="I1065" s="5">
        <v>44531</v>
      </c>
      <c r="J1065" s="6">
        <v>0</v>
      </c>
      <c r="K1065" s="6">
        <v>0</v>
      </c>
      <c r="L1065" s="6">
        <v>-1.3420000000000001</v>
      </c>
      <c r="M1065" s="6">
        <v>-1.3420000000000001</v>
      </c>
      <c r="N1065" s="6">
        <v>-1.3420000000000001</v>
      </c>
      <c r="O1065" s="6">
        <v>-1.3420000000000001</v>
      </c>
      <c r="P1065" s="6">
        <v>0</v>
      </c>
      <c r="Q1065" s="4" t="s">
        <v>26</v>
      </c>
      <c r="R1065" s="4">
        <v>0</v>
      </c>
      <c r="S1065" s="6">
        <v>0</v>
      </c>
      <c r="T1065" s="6">
        <v>42</v>
      </c>
      <c r="U1065" s="6">
        <v>66</v>
      </c>
      <c r="V1065" s="6">
        <f>IF(ISERROR(VLOOKUP($S$1065,'TAR FIN'!$A$1:$O$104,15,0)),0,VLOOKUP($S$1065,'TAR FIN'!$A$1:$O$104,15,0))</f>
        <v>0</v>
      </c>
      <c r="W1065" s="6">
        <f>IF(ISERROR(VLOOKUP($T$1065,'TAR FIN'!$A$1:$O$104,15,0)),0,VLOOKUP($T$1065,'TAR FIN'!$A$1:$O$104,15,0))</f>
        <v>1330.19</v>
      </c>
      <c r="X1065" s="6">
        <f>IF(ISERROR(VLOOKUP($U$1065,'TAR FIN'!$A$1:$O$104,15,0)),0,VLOOKUP($U$1065,'TAR FIN'!$A$1:$O$104,15,0))</f>
        <v>397.62</v>
      </c>
      <c r="Y1065" s="6"/>
      <c r="Z1065" s="6">
        <f ca="1">('TUSD BE'!$AM$25+'TUSD BF'!$AM$25+'TUSD CVA'!$AM$25)*1</f>
        <v>1345.857743809549</v>
      </c>
      <c r="AA1065" s="6">
        <f>('TE BE'!$AB$7+'TE BF'!$AB$7+'TE CVA'!$AB$7)*1</f>
        <v>360.26029187567116</v>
      </c>
      <c r="AB1065" s="6">
        <f>$K$1065*$V$1065</f>
        <v>0</v>
      </c>
      <c r="AC1065" s="6">
        <f>$M$1065*$W$1065</f>
        <v>-1785.1149800000003</v>
      </c>
      <c r="AD1065" s="6">
        <f>$O$1065*$X$1065</f>
        <v>-533.60604000000001</v>
      </c>
      <c r="AE1065" s="6">
        <f>$K$1065*$Y$1065</f>
        <v>0</v>
      </c>
      <c r="AF1065" s="6">
        <f ca="1">$M$1065*$Z$1065</f>
        <v>-1806.1410921924148</v>
      </c>
      <c r="AG1065" s="6">
        <f>$O$1065*$AA$1065</f>
        <v>-483.46931169715072</v>
      </c>
    </row>
    <row r="1066" spans="1:33" ht="11.25" customHeight="1" x14ac:dyDescent="0.25">
      <c r="A1066" s="4" t="s">
        <v>28</v>
      </c>
      <c r="B1066" s="4" t="s">
        <v>41</v>
      </c>
      <c r="C1066" s="4" t="s">
        <v>42</v>
      </c>
      <c r="D1066" s="4" t="s">
        <v>38</v>
      </c>
      <c r="E1066" s="4" t="s">
        <v>25</v>
      </c>
      <c r="F1066" s="4" t="s">
        <v>25</v>
      </c>
      <c r="G1066" s="4" t="s">
        <v>25</v>
      </c>
      <c r="H1066" s="4" t="s">
        <v>34</v>
      </c>
      <c r="I1066" s="5">
        <v>44531</v>
      </c>
      <c r="J1066" s="6">
        <v>0</v>
      </c>
      <c r="K1066" s="6">
        <v>0</v>
      </c>
      <c r="L1066" s="6">
        <v>35.844000000000001</v>
      </c>
      <c r="M1066" s="6">
        <v>35.844000000000001</v>
      </c>
      <c r="N1066" s="6">
        <v>35.844000000000001</v>
      </c>
      <c r="O1066" s="6">
        <v>35.844000000000001</v>
      </c>
      <c r="P1066" s="6">
        <v>0</v>
      </c>
      <c r="Q1066" s="4" t="s">
        <v>26</v>
      </c>
      <c r="R1066" s="4">
        <v>0</v>
      </c>
      <c r="S1066" s="6">
        <v>0</v>
      </c>
      <c r="T1066" s="6">
        <v>42</v>
      </c>
      <c r="U1066" s="6">
        <v>66</v>
      </c>
      <c r="V1066" s="6">
        <f>IF(ISERROR(VLOOKUP($S$1066,'TAR FIN'!$A$1:$O$104,15,0)),0,VLOOKUP($S$1066,'TAR FIN'!$A$1:$O$104,15,0))</f>
        <v>0</v>
      </c>
      <c r="W1066" s="6">
        <f>IF(ISERROR(VLOOKUP($T$1066,'TAR FIN'!$A$1:$O$104,15,0)),0,VLOOKUP($T$1066,'TAR FIN'!$A$1:$O$104,15,0))</f>
        <v>1330.19</v>
      </c>
      <c r="X1066" s="6">
        <f>IF(ISERROR(VLOOKUP($U$1066,'TAR FIN'!$A$1:$O$104,15,0)),0,VLOOKUP($U$1066,'TAR FIN'!$A$1:$O$104,15,0))</f>
        <v>397.62</v>
      </c>
      <c r="Y1066" s="6"/>
      <c r="Z1066" s="6">
        <f ca="1">('TUSD BE'!$AM$25+'TUSD BF'!$AM$25+'TUSD CVA'!$AM$25)*1</f>
        <v>1345.857743809549</v>
      </c>
      <c r="AA1066" s="6">
        <f>('TE BE'!$AB$7+'TE BF'!$AB$7+'TE CVA'!$AB$7)*1</f>
        <v>360.26029187567116</v>
      </c>
      <c r="AB1066" s="6">
        <f>$K$1066*$V$1066</f>
        <v>0</v>
      </c>
      <c r="AC1066" s="6">
        <f>$M$1066*$W$1066</f>
        <v>47679.33036</v>
      </c>
      <c r="AD1066" s="6">
        <f>$O$1066*$X$1066</f>
        <v>14252.291280000001</v>
      </c>
      <c r="AE1066" s="6">
        <f>$K$1066*$Y$1066</f>
        <v>0</v>
      </c>
      <c r="AF1066" s="6">
        <f ca="1">$M$1066*$Z$1066</f>
        <v>48240.924969109474</v>
      </c>
      <c r="AG1066" s="6">
        <f>$O$1066*$AA$1066</f>
        <v>12913.169901991558</v>
      </c>
    </row>
    <row r="1067" spans="1:33" ht="11.25" customHeight="1" x14ac:dyDescent="0.25">
      <c r="A1067" s="4" t="s">
        <v>21</v>
      </c>
      <c r="B1067" s="4" t="s">
        <v>41</v>
      </c>
      <c r="C1067" s="4" t="s">
        <v>42</v>
      </c>
      <c r="D1067" s="4" t="s">
        <v>38</v>
      </c>
      <c r="E1067" s="4" t="s">
        <v>25</v>
      </c>
      <c r="F1067" s="4" t="s">
        <v>25</v>
      </c>
      <c r="G1067" s="4" t="s">
        <v>25</v>
      </c>
      <c r="H1067" s="4" t="s">
        <v>34</v>
      </c>
      <c r="I1067" s="5">
        <v>44531</v>
      </c>
      <c r="J1067" s="6">
        <v>0</v>
      </c>
      <c r="K1067" s="6">
        <v>0</v>
      </c>
      <c r="L1067" s="6">
        <v>0.61799999999999999</v>
      </c>
      <c r="M1067" s="6">
        <v>0.61799999999999999</v>
      </c>
      <c r="N1067" s="6">
        <v>0</v>
      </c>
      <c r="O1067" s="6">
        <v>0</v>
      </c>
      <c r="P1067" s="6">
        <v>0</v>
      </c>
      <c r="Q1067" s="4" t="s">
        <v>58</v>
      </c>
      <c r="R1067" s="4">
        <v>0</v>
      </c>
      <c r="S1067" s="6">
        <v>0</v>
      </c>
      <c r="T1067" s="6">
        <v>42</v>
      </c>
      <c r="U1067" s="6">
        <v>0</v>
      </c>
      <c r="V1067" s="6">
        <f>IF(ISERROR(VLOOKUP($S$1067,'TAR FIN'!$A$1:$O$104,15,0)),0,VLOOKUP($S$1067,'TAR FIN'!$A$1:$O$104,15,0))</f>
        <v>0</v>
      </c>
      <c r="W1067" s="6">
        <f>IF(ISERROR(VLOOKUP($T$1067,'TAR FIN'!$A$1:$O$104,15,0)),0,VLOOKUP($T$1067,'TAR FIN'!$A$1:$O$104,15,0))</f>
        <v>1330.19</v>
      </c>
      <c r="X1067" s="6">
        <f>IF(ISERROR(VLOOKUP($U$1067,'TAR FIN'!$A$1:$O$104,15,0)),0,VLOOKUP($U$1067,'TAR FIN'!$A$1:$O$104,15,0))</f>
        <v>0</v>
      </c>
      <c r="Y1067" s="6"/>
      <c r="Z1067" s="6">
        <f ca="1">('TUSD BE'!$AM$25+'TUSD BF'!$AM$25+'TUSD CVA'!$AM$25)*1</f>
        <v>1345.857743809549</v>
      </c>
      <c r="AA1067" s="6"/>
      <c r="AB1067" s="6">
        <f>$K$1067*$V$1067</f>
        <v>0</v>
      </c>
      <c r="AC1067" s="6">
        <f>$M$1067*$W$1067</f>
        <v>822.05741999999998</v>
      </c>
      <c r="AD1067" s="6">
        <f>$O$1067*$X$1067</f>
        <v>0</v>
      </c>
      <c r="AE1067" s="6">
        <f>$K$1067*$Y$1067</f>
        <v>0</v>
      </c>
      <c r="AF1067" s="6">
        <f ca="1">$M$1067*$Z$1067</f>
        <v>831.74008567430121</v>
      </c>
      <c r="AG1067" s="6">
        <f>$O$1067*$AA$1067</f>
        <v>0</v>
      </c>
    </row>
    <row r="1068" spans="1:33" ht="11.25" customHeight="1" x14ac:dyDescent="0.25">
      <c r="A1068" s="4" t="s">
        <v>21</v>
      </c>
      <c r="B1068" s="4" t="s">
        <v>41</v>
      </c>
      <c r="C1068" s="4" t="s">
        <v>42</v>
      </c>
      <c r="D1068" s="4" t="s">
        <v>38</v>
      </c>
      <c r="E1068" s="4" t="s">
        <v>25</v>
      </c>
      <c r="F1068" s="4" t="s">
        <v>25</v>
      </c>
      <c r="G1068" s="4" t="s">
        <v>25</v>
      </c>
      <c r="H1068" s="4" t="s">
        <v>34</v>
      </c>
      <c r="I1068" s="5">
        <v>44562</v>
      </c>
      <c r="J1068" s="6">
        <v>0</v>
      </c>
      <c r="K1068" s="6">
        <v>0</v>
      </c>
      <c r="L1068" s="6">
        <v>252.74799999999999</v>
      </c>
      <c r="M1068" s="6">
        <v>252.74799999999999</v>
      </c>
      <c r="N1068" s="6">
        <v>252.74799999999999</v>
      </c>
      <c r="O1068" s="6">
        <v>252.74799999999999</v>
      </c>
      <c r="P1068" s="6">
        <v>0</v>
      </c>
      <c r="Q1068" s="4" t="s">
        <v>26</v>
      </c>
      <c r="R1068" s="4">
        <v>0</v>
      </c>
      <c r="S1068" s="6">
        <v>0</v>
      </c>
      <c r="T1068" s="6">
        <v>42</v>
      </c>
      <c r="U1068" s="6">
        <v>66</v>
      </c>
      <c r="V1068" s="6">
        <f>IF(ISERROR(VLOOKUP($S$1068,'TAR FIN'!$A$1:$O$104,15,0)),0,VLOOKUP($S$1068,'TAR FIN'!$A$1:$O$104,15,0))</f>
        <v>0</v>
      </c>
      <c r="W1068" s="6">
        <f>IF(ISERROR(VLOOKUP($T$1068,'TAR FIN'!$A$1:$O$104,15,0)),0,VLOOKUP($T$1068,'TAR FIN'!$A$1:$O$104,15,0))</f>
        <v>1330.19</v>
      </c>
      <c r="X1068" s="6">
        <f>IF(ISERROR(VLOOKUP($U$1068,'TAR FIN'!$A$1:$O$104,15,0)),0,VLOOKUP($U$1068,'TAR FIN'!$A$1:$O$104,15,0))</f>
        <v>397.62</v>
      </c>
      <c r="Y1068" s="6"/>
      <c r="Z1068" s="6">
        <f ca="1">('TUSD BE'!$AM$25+'TUSD BF'!$AM$25+'TUSD CVA'!$AM$25)*1</f>
        <v>1345.857743809549</v>
      </c>
      <c r="AA1068" s="6">
        <f>('TE BE'!$AB$7+'TE BF'!$AB$7+'TE CVA'!$AB$7)*1</f>
        <v>360.26029187567116</v>
      </c>
      <c r="AB1068" s="6">
        <f>$K$1068*$V$1068</f>
        <v>0</v>
      </c>
      <c r="AC1068" s="6">
        <f>$M$1068*$W$1068</f>
        <v>336202.86212000001</v>
      </c>
      <c r="AD1068" s="6">
        <f>$O$1068*$X$1068</f>
        <v>100497.65976</v>
      </c>
      <c r="AE1068" s="6">
        <f>$K$1068*$Y$1068</f>
        <v>0</v>
      </c>
      <c r="AF1068" s="6">
        <f ca="1">$M$1068*$Z$1068</f>
        <v>340162.85303237586</v>
      </c>
      <c r="AG1068" s="6">
        <f>$O$1068*$AA$1068</f>
        <v>91055.068250992132</v>
      </c>
    </row>
    <row r="1069" spans="1:33" ht="11.25" customHeight="1" x14ac:dyDescent="0.25">
      <c r="A1069" s="4" t="s">
        <v>27</v>
      </c>
      <c r="B1069" s="4" t="s">
        <v>41</v>
      </c>
      <c r="C1069" s="4" t="s">
        <v>42</v>
      </c>
      <c r="D1069" s="4" t="s">
        <v>38</v>
      </c>
      <c r="E1069" s="4" t="s">
        <v>25</v>
      </c>
      <c r="F1069" s="4" t="s">
        <v>25</v>
      </c>
      <c r="G1069" s="4" t="s">
        <v>25</v>
      </c>
      <c r="H1069" s="4" t="s">
        <v>34</v>
      </c>
      <c r="I1069" s="5">
        <v>44562</v>
      </c>
      <c r="J1069" s="6">
        <v>0</v>
      </c>
      <c r="K1069" s="6">
        <v>0</v>
      </c>
      <c r="L1069" s="6">
        <v>6.5000000000000002E-2</v>
      </c>
      <c r="M1069" s="6">
        <v>6.5000000000000002E-2</v>
      </c>
      <c r="N1069" s="6">
        <v>6.5000000000000002E-2</v>
      </c>
      <c r="O1069" s="6">
        <v>6.5000000000000002E-2</v>
      </c>
      <c r="P1069" s="6">
        <v>0</v>
      </c>
      <c r="Q1069" s="4" t="s">
        <v>26</v>
      </c>
      <c r="R1069" s="4">
        <v>0</v>
      </c>
      <c r="S1069" s="6">
        <v>0</v>
      </c>
      <c r="T1069" s="6">
        <v>42</v>
      </c>
      <c r="U1069" s="6">
        <v>66</v>
      </c>
      <c r="V1069" s="6">
        <f>IF(ISERROR(VLOOKUP($S$1069,'TAR FIN'!$A$1:$O$104,15,0)),0,VLOOKUP($S$1069,'TAR FIN'!$A$1:$O$104,15,0))</f>
        <v>0</v>
      </c>
      <c r="W1069" s="6">
        <f>IF(ISERROR(VLOOKUP($T$1069,'TAR FIN'!$A$1:$O$104,15,0)),0,VLOOKUP($T$1069,'TAR FIN'!$A$1:$O$104,15,0))</f>
        <v>1330.19</v>
      </c>
      <c r="X1069" s="6">
        <f>IF(ISERROR(VLOOKUP($U$1069,'TAR FIN'!$A$1:$O$104,15,0)),0,VLOOKUP($U$1069,'TAR FIN'!$A$1:$O$104,15,0))</f>
        <v>397.62</v>
      </c>
      <c r="Y1069" s="6"/>
      <c r="Z1069" s="6">
        <f ca="1">('TUSD BE'!$AM$25+'TUSD BF'!$AM$25+'TUSD CVA'!$AM$25)*1</f>
        <v>1345.857743809549</v>
      </c>
      <c r="AA1069" s="6">
        <f>('TE BE'!$AB$7+'TE BF'!$AB$7+'TE CVA'!$AB$7)*1</f>
        <v>360.26029187567116</v>
      </c>
      <c r="AB1069" s="6">
        <f>$K$1069*$V$1069</f>
        <v>0</v>
      </c>
      <c r="AC1069" s="6">
        <f>$M$1069*$W$1069</f>
        <v>86.462350000000001</v>
      </c>
      <c r="AD1069" s="6">
        <f>$O$1069*$X$1069</f>
        <v>25.845300000000002</v>
      </c>
      <c r="AE1069" s="6">
        <f>$K$1069*$Y$1069</f>
        <v>0</v>
      </c>
      <c r="AF1069" s="6">
        <f ca="1">$M$1069*$Z$1069</f>
        <v>87.480753347620691</v>
      </c>
      <c r="AG1069" s="6">
        <f>$O$1069*$AA$1069</f>
        <v>23.416918971918626</v>
      </c>
    </row>
    <row r="1070" spans="1:33" ht="11.25" customHeight="1" x14ac:dyDescent="0.25">
      <c r="A1070" s="4" t="s">
        <v>28</v>
      </c>
      <c r="B1070" s="4" t="s">
        <v>41</v>
      </c>
      <c r="C1070" s="4" t="s">
        <v>42</v>
      </c>
      <c r="D1070" s="4" t="s">
        <v>38</v>
      </c>
      <c r="E1070" s="4" t="s">
        <v>25</v>
      </c>
      <c r="F1070" s="4" t="s">
        <v>25</v>
      </c>
      <c r="G1070" s="4" t="s">
        <v>25</v>
      </c>
      <c r="H1070" s="4" t="s">
        <v>34</v>
      </c>
      <c r="I1070" s="5">
        <v>44562</v>
      </c>
      <c r="J1070" s="6">
        <v>0</v>
      </c>
      <c r="K1070" s="6">
        <v>0</v>
      </c>
      <c r="L1070" s="6">
        <v>29.045999999999999</v>
      </c>
      <c r="M1070" s="6">
        <v>29.045999999999999</v>
      </c>
      <c r="N1070" s="6">
        <v>29.045999999999999</v>
      </c>
      <c r="O1070" s="6">
        <v>29.045999999999999</v>
      </c>
      <c r="P1070" s="6">
        <v>0</v>
      </c>
      <c r="Q1070" s="4" t="s">
        <v>26</v>
      </c>
      <c r="R1070" s="4">
        <v>0</v>
      </c>
      <c r="S1070" s="6">
        <v>0</v>
      </c>
      <c r="T1070" s="6">
        <v>42</v>
      </c>
      <c r="U1070" s="6">
        <v>66</v>
      </c>
      <c r="V1070" s="6">
        <f>IF(ISERROR(VLOOKUP($S$1070,'TAR FIN'!$A$1:$O$104,15,0)),0,VLOOKUP($S$1070,'TAR FIN'!$A$1:$O$104,15,0))</f>
        <v>0</v>
      </c>
      <c r="W1070" s="6">
        <f>IF(ISERROR(VLOOKUP($T$1070,'TAR FIN'!$A$1:$O$104,15,0)),0,VLOOKUP($T$1070,'TAR FIN'!$A$1:$O$104,15,0))</f>
        <v>1330.19</v>
      </c>
      <c r="X1070" s="6">
        <f>IF(ISERROR(VLOOKUP($U$1070,'TAR FIN'!$A$1:$O$104,15,0)),0,VLOOKUP($U$1070,'TAR FIN'!$A$1:$O$104,15,0))</f>
        <v>397.62</v>
      </c>
      <c r="Y1070" s="6"/>
      <c r="Z1070" s="6">
        <f ca="1">('TUSD BE'!$AM$25+'TUSD BF'!$AM$25+'TUSD CVA'!$AM$25)*1</f>
        <v>1345.857743809549</v>
      </c>
      <c r="AA1070" s="6">
        <f>('TE BE'!$AB$7+'TE BF'!$AB$7+'TE CVA'!$AB$7)*1</f>
        <v>360.26029187567116</v>
      </c>
      <c r="AB1070" s="6">
        <f>$K$1070*$V$1070</f>
        <v>0</v>
      </c>
      <c r="AC1070" s="6">
        <f>$M$1070*$W$1070</f>
        <v>38636.69874</v>
      </c>
      <c r="AD1070" s="6">
        <f>$O$1070*$X$1070</f>
        <v>11549.27052</v>
      </c>
      <c r="AE1070" s="6">
        <f>$K$1070*$Y$1070</f>
        <v>0</v>
      </c>
      <c r="AF1070" s="6">
        <f ca="1">$M$1070*$Z$1070</f>
        <v>39091.784026692156</v>
      </c>
      <c r="AG1070" s="6">
        <f>$O$1070*$AA$1070</f>
        <v>10464.120437820744</v>
      </c>
    </row>
    <row r="1071" spans="1:33" ht="11.25" customHeight="1" x14ac:dyDescent="0.25">
      <c r="A1071" s="4" t="s">
        <v>21</v>
      </c>
      <c r="B1071" s="4" t="s">
        <v>41</v>
      </c>
      <c r="C1071" s="4" t="s">
        <v>42</v>
      </c>
      <c r="D1071" s="4" t="s">
        <v>38</v>
      </c>
      <c r="E1071" s="4" t="s">
        <v>25</v>
      </c>
      <c r="F1071" s="4" t="s">
        <v>25</v>
      </c>
      <c r="G1071" s="4" t="s">
        <v>25</v>
      </c>
      <c r="H1071" s="4" t="s">
        <v>34</v>
      </c>
      <c r="I1071" s="5">
        <v>44562</v>
      </c>
      <c r="J1071" s="6">
        <v>0</v>
      </c>
      <c r="K1071" s="6">
        <v>0</v>
      </c>
      <c r="L1071" s="6">
        <v>6.0830000000000002</v>
      </c>
      <c r="M1071" s="6">
        <v>6.0830000000000002</v>
      </c>
      <c r="N1071" s="6">
        <v>0</v>
      </c>
      <c r="O1071" s="6">
        <v>0</v>
      </c>
      <c r="P1071" s="6">
        <v>0</v>
      </c>
      <c r="Q1071" s="4" t="s">
        <v>58</v>
      </c>
      <c r="R1071" s="4">
        <v>0</v>
      </c>
      <c r="S1071" s="6">
        <v>0</v>
      </c>
      <c r="T1071" s="6">
        <v>42</v>
      </c>
      <c r="U1071" s="6">
        <v>0</v>
      </c>
      <c r="V1071" s="6">
        <f>IF(ISERROR(VLOOKUP($S$1071,'TAR FIN'!$A$1:$O$104,15,0)),0,VLOOKUP($S$1071,'TAR FIN'!$A$1:$O$104,15,0))</f>
        <v>0</v>
      </c>
      <c r="W1071" s="6">
        <f>IF(ISERROR(VLOOKUP($T$1071,'TAR FIN'!$A$1:$O$104,15,0)),0,VLOOKUP($T$1071,'TAR FIN'!$A$1:$O$104,15,0))</f>
        <v>1330.19</v>
      </c>
      <c r="X1071" s="6">
        <f>IF(ISERROR(VLOOKUP($U$1071,'TAR FIN'!$A$1:$O$104,15,0)),0,VLOOKUP($U$1071,'TAR FIN'!$A$1:$O$104,15,0))</f>
        <v>0</v>
      </c>
      <c r="Y1071" s="6"/>
      <c r="Z1071" s="6">
        <f ca="1">('TUSD BE'!$AM$25+'TUSD BF'!$AM$25+'TUSD CVA'!$AM$25)*1</f>
        <v>1345.857743809549</v>
      </c>
      <c r="AA1071" s="6"/>
      <c r="AB1071" s="6">
        <f>$K$1071*$V$1071</f>
        <v>0</v>
      </c>
      <c r="AC1071" s="6">
        <f>$M$1071*$W$1071</f>
        <v>8091.5457700000006</v>
      </c>
      <c r="AD1071" s="6">
        <f>$O$1071*$X$1071</f>
        <v>0</v>
      </c>
      <c r="AE1071" s="6">
        <f>$K$1071*$Y$1071</f>
        <v>0</v>
      </c>
      <c r="AF1071" s="6">
        <f ca="1">$M$1071*$Z$1071</f>
        <v>8186.8526555934868</v>
      </c>
      <c r="AG1071" s="6">
        <f>$O$1071*$AA$1071</f>
        <v>0</v>
      </c>
    </row>
    <row r="1072" spans="1:33" ht="11.25" customHeight="1" x14ac:dyDescent="0.25">
      <c r="A1072" s="4" t="s">
        <v>21</v>
      </c>
      <c r="B1072" s="4" t="s">
        <v>41</v>
      </c>
      <c r="C1072" s="4" t="s">
        <v>42</v>
      </c>
      <c r="D1072" s="4" t="s">
        <v>38</v>
      </c>
      <c r="E1072" s="4" t="s">
        <v>25</v>
      </c>
      <c r="F1072" s="4" t="s">
        <v>25</v>
      </c>
      <c r="G1072" s="4" t="s">
        <v>25</v>
      </c>
      <c r="H1072" s="4" t="s">
        <v>34</v>
      </c>
      <c r="I1072" s="5">
        <v>44593</v>
      </c>
      <c r="J1072" s="6">
        <v>0</v>
      </c>
      <c r="K1072" s="6">
        <v>0</v>
      </c>
      <c r="L1072" s="6">
        <v>245.905</v>
      </c>
      <c r="M1072" s="6">
        <v>245.905</v>
      </c>
      <c r="N1072" s="6">
        <v>245.905</v>
      </c>
      <c r="O1072" s="6">
        <v>245.905</v>
      </c>
      <c r="P1072" s="6">
        <v>0</v>
      </c>
      <c r="Q1072" s="4" t="s">
        <v>26</v>
      </c>
      <c r="R1072" s="4">
        <v>0</v>
      </c>
      <c r="S1072" s="6">
        <v>0</v>
      </c>
      <c r="T1072" s="6">
        <v>42</v>
      </c>
      <c r="U1072" s="6">
        <v>66</v>
      </c>
      <c r="V1072" s="6">
        <f>IF(ISERROR(VLOOKUP($S$1072,'TAR FIN'!$A$1:$O$104,15,0)),0,VLOOKUP($S$1072,'TAR FIN'!$A$1:$O$104,15,0))</f>
        <v>0</v>
      </c>
      <c r="W1072" s="6">
        <f>IF(ISERROR(VLOOKUP($T$1072,'TAR FIN'!$A$1:$O$104,15,0)),0,VLOOKUP($T$1072,'TAR FIN'!$A$1:$O$104,15,0))</f>
        <v>1330.19</v>
      </c>
      <c r="X1072" s="6">
        <f>IF(ISERROR(VLOOKUP($U$1072,'TAR FIN'!$A$1:$O$104,15,0)),0,VLOOKUP($U$1072,'TAR FIN'!$A$1:$O$104,15,0))</f>
        <v>397.62</v>
      </c>
      <c r="Y1072" s="6"/>
      <c r="Z1072" s="6">
        <f ca="1">('TUSD BE'!$AM$25+'TUSD BF'!$AM$25+'TUSD CVA'!$AM$25)*1</f>
        <v>1345.857743809549</v>
      </c>
      <c r="AA1072" s="6">
        <f>('TE BE'!$AB$7+'TE BF'!$AB$7+'TE CVA'!$AB$7)*1</f>
        <v>360.26029187567116</v>
      </c>
      <c r="AB1072" s="6">
        <f>$K$1072*$V$1072</f>
        <v>0</v>
      </c>
      <c r="AC1072" s="6">
        <f>$M$1072*$W$1072</f>
        <v>327100.37195</v>
      </c>
      <c r="AD1072" s="6">
        <f>$O$1072*$X$1072</f>
        <v>97776.746100000004</v>
      </c>
      <c r="AE1072" s="6">
        <f>$K$1072*$Y$1072</f>
        <v>0</v>
      </c>
      <c r="AF1072" s="6">
        <f ca="1">$M$1072*$Z$1072</f>
        <v>330953.14849148714</v>
      </c>
      <c r="AG1072" s="6">
        <f>$O$1072*$AA$1072</f>
        <v>88589.807073686912</v>
      </c>
    </row>
    <row r="1073" spans="1:33" ht="11.25" customHeight="1" x14ac:dyDescent="0.25">
      <c r="A1073" s="4" t="s">
        <v>28</v>
      </c>
      <c r="B1073" s="4" t="s">
        <v>41</v>
      </c>
      <c r="C1073" s="4" t="s">
        <v>42</v>
      </c>
      <c r="D1073" s="4" t="s">
        <v>38</v>
      </c>
      <c r="E1073" s="4" t="s">
        <v>25</v>
      </c>
      <c r="F1073" s="4" t="s">
        <v>25</v>
      </c>
      <c r="G1073" s="4" t="s">
        <v>25</v>
      </c>
      <c r="H1073" s="4" t="s">
        <v>34</v>
      </c>
      <c r="I1073" s="5">
        <v>44593</v>
      </c>
      <c r="J1073" s="6">
        <v>0</v>
      </c>
      <c r="K1073" s="6">
        <v>0</v>
      </c>
      <c r="L1073" s="6">
        <v>19.027999999999999</v>
      </c>
      <c r="M1073" s="6">
        <v>19.027999999999999</v>
      </c>
      <c r="N1073" s="6">
        <v>19.027999999999999</v>
      </c>
      <c r="O1073" s="6">
        <v>19.027999999999999</v>
      </c>
      <c r="P1073" s="6">
        <v>0</v>
      </c>
      <c r="Q1073" s="4" t="s">
        <v>26</v>
      </c>
      <c r="R1073" s="4">
        <v>0</v>
      </c>
      <c r="S1073" s="6">
        <v>0</v>
      </c>
      <c r="T1073" s="6">
        <v>42</v>
      </c>
      <c r="U1073" s="6">
        <v>66</v>
      </c>
      <c r="V1073" s="6">
        <f>IF(ISERROR(VLOOKUP($S$1073,'TAR FIN'!$A$1:$O$104,15,0)),0,VLOOKUP($S$1073,'TAR FIN'!$A$1:$O$104,15,0))</f>
        <v>0</v>
      </c>
      <c r="W1073" s="6">
        <f>IF(ISERROR(VLOOKUP($T$1073,'TAR FIN'!$A$1:$O$104,15,0)),0,VLOOKUP($T$1073,'TAR FIN'!$A$1:$O$104,15,0))</f>
        <v>1330.19</v>
      </c>
      <c r="X1073" s="6">
        <f>IF(ISERROR(VLOOKUP($U$1073,'TAR FIN'!$A$1:$O$104,15,0)),0,VLOOKUP($U$1073,'TAR FIN'!$A$1:$O$104,15,0))</f>
        <v>397.62</v>
      </c>
      <c r="Y1073" s="6"/>
      <c r="Z1073" s="6">
        <f ca="1">('TUSD BE'!$AM$25+'TUSD BF'!$AM$25+'TUSD CVA'!$AM$25)*1</f>
        <v>1345.857743809549</v>
      </c>
      <c r="AA1073" s="6">
        <f>('TE BE'!$AB$7+'TE BF'!$AB$7+'TE CVA'!$AB$7)*1</f>
        <v>360.26029187567116</v>
      </c>
      <c r="AB1073" s="6">
        <f>$K$1073*$V$1073</f>
        <v>0</v>
      </c>
      <c r="AC1073" s="6">
        <f>$M$1073*$W$1073</f>
        <v>25310.855319999999</v>
      </c>
      <c r="AD1073" s="6">
        <f>$O$1073*$X$1073</f>
        <v>7565.9133599999996</v>
      </c>
      <c r="AE1073" s="6">
        <f>$K$1073*$Y$1073</f>
        <v>0</v>
      </c>
      <c r="AF1073" s="6">
        <f ca="1">$M$1073*$Z$1073</f>
        <v>25608.981149208095</v>
      </c>
      <c r="AG1073" s="6">
        <f>$O$1073*$AA$1073</f>
        <v>6855.0328338102699</v>
      </c>
    </row>
    <row r="1074" spans="1:33" ht="11.25" customHeight="1" x14ac:dyDescent="0.25">
      <c r="A1074" s="4" t="s">
        <v>28</v>
      </c>
      <c r="B1074" s="4" t="s">
        <v>41</v>
      </c>
      <c r="C1074" s="4" t="s">
        <v>42</v>
      </c>
      <c r="D1074" s="4" t="s">
        <v>38</v>
      </c>
      <c r="E1074" s="4" t="s">
        <v>25</v>
      </c>
      <c r="F1074" s="4" t="s">
        <v>25</v>
      </c>
      <c r="G1074" s="4" t="s">
        <v>25</v>
      </c>
      <c r="H1074" s="4" t="s">
        <v>34</v>
      </c>
      <c r="I1074" s="5">
        <v>44593</v>
      </c>
      <c r="J1074" s="6">
        <v>0</v>
      </c>
      <c r="K1074" s="6">
        <v>0</v>
      </c>
      <c r="L1074" s="6">
        <v>-0.185</v>
      </c>
      <c r="M1074" s="6">
        <v>-0.185</v>
      </c>
      <c r="N1074" s="6">
        <v>-0.185</v>
      </c>
      <c r="O1074" s="6">
        <v>-0.185</v>
      </c>
      <c r="P1074" s="6">
        <v>0</v>
      </c>
      <c r="Q1074" s="4" t="s">
        <v>26</v>
      </c>
      <c r="R1074" s="4">
        <v>0</v>
      </c>
      <c r="S1074" s="6">
        <v>0</v>
      </c>
      <c r="T1074" s="6">
        <v>42</v>
      </c>
      <c r="U1074" s="6">
        <v>66</v>
      </c>
      <c r="V1074" s="6">
        <f>IF(ISERROR(VLOOKUP($S$1074,'TAR FIN'!$A$1:$O$104,15,0)),0,VLOOKUP($S$1074,'TAR FIN'!$A$1:$O$104,15,0))</f>
        <v>0</v>
      </c>
      <c r="W1074" s="6">
        <f>IF(ISERROR(VLOOKUP($T$1074,'TAR FIN'!$A$1:$O$104,15,0)),0,VLOOKUP($T$1074,'TAR FIN'!$A$1:$O$104,15,0))</f>
        <v>1330.19</v>
      </c>
      <c r="X1074" s="6">
        <f>IF(ISERROR(VLOOKUP($U$1074,'TAR FIN'!$A$1:$O$104,15,0)),0,VLOOKUP($U$1074,'TAR FIN'!$A$1:$O$104,15,0))</f>
        <v>397.62</v>
      </c>
      <c r="Y1074" s="6"/>
      <c r="Z1074" s="6">
        <f ca="1">('TUSD BE'!$AM$25+'TUSD BF'!$AM$25+'TUSD CVA'!$AM$25)*1</f>
        <v>1345.857743809549</v>
      </c>
      <c r="AA1074" s="6">
        <f>('TE BE'!$AB$7+'TE BF'!$AB$7+'TE CVA'!$AB$7)*1</f>
        <v>360.26029187567116</v>
      </c>
      <c r="AB1074" s="6">
        <f>$K$1074*$V$1074</f>
        <v>0</v>
      </c>
      <c r="AC1074" s="6">
        <f>$M$1074*$W$1074</f>
        <v>-246.08515</v>
      </c>
      <c r="AD1074" s="6">
        <f>$O$1074*$X$1074</f>
        <v>-73.559700000000007</v>
      </c>
      <c r="AE1074" s="6">
        <f>$K$1074*$Y$1074</f>
        <v>0</v>
      </c>
      <c r="AF1074" s="6">
        <f ca="1">$M$1074*$Z$1074</f>
        <v>-248.98368260476656</v>
      </c>
      <c r="AG1074" s="6">
        <f>$O$1074*$AA$1074</f>
        <v>-66.64815399699917</v>
      </c>
    </row>
    <row r="1075" spans="1:33" ht="11.25" customHeight="1" x14ac:dyDescent="0.25">
      <c r="A1075" s="4" t="s">
        <v>21</v>
      </c>
      <c r="B1075" s="4" t="s">
        <v>41</v>
      </c>
      <c r="C1075" s="4" t="s">
        <v>42</v>
      </c>
      <c r="D1075" s="4" t="s">
        <v>38</v>
      </c>
      <c r="E1075" s="4" t="s">
        <v>25</v>
      </c>
      <c r="F1075" s="4" t="s">
        <v>25</v>
      </c>
      <c r="G1075" s="4" t="s">
        <v>25</v>
      </c>
      <c r="H1075" s="4" t="s">
        <v>34</v>
      </c>
      <c r="I1075" s="5">
        <v>44593</v>
      </c>
      <c r="J1075" s="6">
        <v>0</v>
      </c>
      <c r="K1075" s="6">
        <v>0</v>
      </c>
      <c r="L1075" s="6">
        <v>15.33</v>
      </c>
      <c r="M1075" s="6">
        <v>15.33</v>
      </c>
      <c r="N1075" s="6">
        <v>0</v>
      </c>
      <c r="O1075" s="6">
        <v>0</v>
      </c>
      <c r="P1075" s="6">
        <v>0</v>
      </c>
      <c r="Q1075" s="4" t="s">
        <v>58</v>
      </c>
      <c r="R1075" s="4">
        <v>0</v>
      </c>
      <c r="S1075" s="6">
        <v>0</v>
      </c>
      <c r="T1075" s="6">
        <v>42</v>
      </c>
      <c r="U1075" s="6">
        <v>0</v>
      </c>
      <c r="V1075" s="6">
        <f>IF(ISERROR(VLOOKUP($S$1075,'TAR FIN'!$A$1:$O$104,15,0)),0,VLOOKUP($S$1075,'TAR FIN'!$A$1:$O$104,15,0))</f>
        <v>0</v>
      </c>
      <c r="W1075" s="6">
        <f>IF(ISERROR(VLOOKUP($T$1075,'TAR FIN'!$A$1:$O$104,15,0)),0,VLOOKUP($T$1075,'TAR FIN'!$A$1:$O$104,15,0))</f>
        <v>1330.19</v>
      </c>
      <c r="X1075" s="6">
        <f>IF(ISERROR(VLOOKUP($U$1075,'TAR FIN'!$A$1:$O$104,15,0)),0,VLOOKUP($U$1075,'TAR FIN'!$A$1:$O$104,15,0))</f>
        <v>0</v>
      </c>
      <c r="Y1075" s="6"/>
      <c r="Z1075" s="6">
        <f ca="1">('TUSD BE'!$AM$25+'TUSD BF'!$AM$25+'TUSD CVA'!$AM$25)*1</f>
        <v>1345.857743809549</v>
      </c>
      <c r="AA1075" s="6"/>
      <c r="AB1075" s="6">
        <f>$K$1075*$V$1075</f>
        <v>0</v>
      </c>
      <c r="AC1075" s="6">
        <f>$M$1075*$W$1075</f>
        <v>20391.812700000002</v>
      </c>
      <c r="AD1075" s="6">
        <f>$O$1075*$X$1075</f>
        <v>0</v>
      </c>
      <c r="AE1075" s="6">
        <f>$K$1075*$Y$1075</f>
        <v>0</v>
      </c>
      <c r="AF1075" s="6">
        <f ca="1">$M$1075*$Z$1075</f>
        <v>20631.999212600385</v>
      </c>
      <c r="AG1075" s="6">
        <f>$O$1075*$AA$1075</f>
        <v>0</v>
      </c>
    </row>
    <row r="1076" spans="1:33" ht="11.25" customHeight="1" x14ac:dyDescent="0.25">
      <c r="A1076" s="4" t="s">
        <v>21</v>
      </c>
      <c r="B1076" s="4" t="s">
        <v>41</v>
      </c>
      <c r="C1076" s="4" t="s">
        <v>42</v>
      </c>
      <c r="D1076" s="4" t="s">
        <v>38</v>
      </c>
      <c r="E1076" s="4" t="s">
        <v>25</v>
      </c>
      <c r="F1076" s="4" t="s">
        <v>25</v>
      </c>
      <c r="G1076" s="4" t="s">
        <v>25</v>
      </c>
      <c r="H1076" s="4" t="s">
        <v>34</v>
      </c>
      <c r="I1076" s="5">
        <v>44621</v>
      </c>
      <c r="J1076" s="6">
        <v>0</v>
      </c>
      <c r="K1076" s="6">
        <v>0</v>
      </c>
      <c r="L1076" s="6">
        <v>269.95600000000002</v>
      </c>
      <c r="M1076" s="6">
        <v>269.95600000000002</v>
      </c>
      <c r="N1076" s="6">
        <v>269.95600000000002</v>
      </c>
      <c r="O1076" s="6">
        <v>269.95600000000002</v>
      </c>
      <c r="P1076" s="6">
        <v>0</v>
      </c>
      <c r="Q1076" s="4" t="s">
        <v>26</v>
      </c>
      <c r="R1076" s="4">
        <v>0</v>
      </c>
      <c r="S1076" s="6">
        <v>0</v>
      </c>
      <c r="T1076" s="6">
        <v>42</v>
      </c>
      <c r="U1076" s="6">
        <v>66</v>
      </c>
      <c r="V1076" s="6">
        <f>IF(ISERROR(VLOOKUP($S$1076,'TAR FIN'!$A$1:$O$104,15,0)),0,VLOOKUP($S$1076,'TAR FIN'!$A$1:$O$104,15,0))</f>
        <v>0</v>
      </c>
      <c r="W1076" s="6">
        <f>IF(ISERROR(VLOOKUP($T$1076,'TAR FIN'!$A$1:$O$104,15,0)),0,VLOOKUP($T$1076,'TAR FIN'!$A$1:$O$104,15,0))</f>
        <v>1330.19</v>
      </c>
      <c r="X1076" s="6">
        <f>IF(ISERROR(VLOOKUP($U$1076,'TAR FIN'!$A$1:$O$104,15,0)),0,VLOOKUP($U$1076,'TAR FIN'!$A$1:$O$104,15,0))</f>
        <v>397.62</v>
      </c>
      <c r="Y1076" s="6"/>
      <c r="Z1076" s="6">
        <f ca="1">('TUSD BE'!$AM$25+'TUSD BF'!$AM$25+'TUSD CVA'!$AM$25)*1</f>
        <v>1345.857743809549</v>
      </c>
      <c r="AA1076" s="6">
        <f>('TE BE'!$AB$7+'TE BF'!$AB$7+'TE CVA'!$AB$7)*1</f>
        <v>360.26029187567116</v>
      </c>
      <c r="AB1076" s="6">
        <f>$K$1076*$V$1076</f>
        <v>0</v>
      </c>
      <c r="AC1076" s="6">
        <f>$M$1076*$W$1076</f>
        <v>359092.77164000005</v>
      </c>
      <c r="AD1076" s="6">
        <f>$O$1076*$X$1076</f>
        <v>107339.90472000001</v>
      </c>
      <c r="AE1076" s="6">
        <f>$K$1076*$Y$1076</f>
        <v>0</v>
      </c>
      <c r="AF1076" s="6">
        <f ca="1">$M$1076*$Z$1076</f>
        <v>363322.37308785063</v>
      </c>
      <c r="AG1076" s="6">
        <f>$O$1076*$AA$1076</f>
        <v>97254.42735358869</v>
      </c>
    </row>
    <row r="1077" spans="1:33" ht="11.25" customHeight="1" x14ac:dyDescent="0.25">
      <c r="A1077" s="4" t="s">
        <v>28</v>
      </c>
      <c r="B1077" s="4" t="s">
        <v>41</v>
      </c>
      <c r="C1077" s="4" t="s">
        <v>42</v>
      </c>
      <c r="D1077" s="4" t="s">
        <v>38</v>
      </c>
      <c r="E1077" s="4" t="s">
        <v>25</v>
      </c>
      <c r="F1077" s="4" t="s">
        <v>25</v>
      </c>
      <c r="G1077" s="4" t="s">
        <v>25</v>
      </c>
      <c r="H1077" s="4" t="s">
        <v>34</v>
      </c>
      <c r="I1077" s="5">
        <v>44621</v>
      </c>
      <c r="J1077" s="6">
        <v>0</v>
      </c>
      <c r="K1077" s="6">
        <v>0</v>
      </c>
      <c r="L1077" s="6">
        <v>15.276</v>
      </c>
      <c r="M1077" s="6">
        <v>15.276</v>
      </c>
      <c r="N1077" s="6">
        <v>15.276</v>
      </c>
      <c r="O1077" s="6">
        <v>15.276</v>
      </c>
      <c r="P1077" s="6">
        <v>0</v>
      </c>
      <c r="Q1077" s="4" t="s">
        <v>26</v>
      </c>
      <c r="R1077" s="4">
        <v>0</v>
      </c>
      <c r="S1077" s="6">
        <v>0</v>
      </c>
      <c r="T1077" s="6">
        <v>42</v>
      </c>
      <c r="U1077" s="6">
        <v>66</v>
      </c>
      <c r="V1077" s="6">
        <f>IF(ISERROR(VLOOKUP($S$1077,'TAR FIN'!$A$1:$O$104,15,0)),0,VLOOKUP($S$1077,'TAR FIN'!$A$1:$O$104,15,0))</f>
        <v>0</v>
      </c>
      <c r="W1077" s="6">
        <f>IF(ISERROR(VLOOKUP($T$1077,'TAR FIN'!$A$1:$O$104,15,0)),0,VLOOKUP($T$1077,'TAR FIN'!$A$1:$O$104,15,0))</f>
        <v>1330.19</v>
      </c>
      <c r="X1077" s="6">
        <f>IF(ISERROR(VLOOKUP($U$1077,'TAR FIN'!$A$1:$O$104,15,0)),0,VLOOKUP($U$1077,'TAR FIN'!$A$1:$O$104,15,0))</f>
        <v>397.62</v>
      </c>
      <c r="Y1077" s="6"/>
      <c r="Z1077" s="6">
        <f ca="1">('TUSD BE'!$AM$25+'TUSD BF'!$AM$25+'TUSD CVA'!$AM$25)*1</f>
        <v>1345.857743809549</v>
      </c>
      <c r="AA1077" s="6">
        <f>('TE BE'!$AB$7+'TE BF'!$AB$7+'TE CVA'!$AB$7)*1</f>
        <v>360.26029187567116</v>
      </c>
      <c r="AB1077" s="6">
        <f>$K$1077*$V$1077</f>
        <v>0</v>
      </c>
      <c r="AC1077" s="6">
        <f>$M$1077*$W$1077</f>
        <v>20319.98244</v>
      </c>
      <c r="AD1077" s="6">
        <f>$O$1077*$X$1077</f>
        <v>6074.0431200000003</v>
      </c>
      <c r="AE1077" s="6">
        <f>$K$1077*$Y$1077</f>
        <v>0</v>
      </c>
      <c r="AF1077" s="6">
        <f ca="1">$M$1077*$Z$1077</f>
        <v>20559.32289443467</v>
      </c>
      <c r="AG1077" s="6">
        <f>$O$1077*$AA$1077</f>
        <v>5503.3362186927525</v>
      </c>
    </row>
    <row r="1078" spans="1:33" ht="11.25" customHeight="1" x14ac:dyDescent="0.25">
      <c r="A1078" s="4" t="s">
        <v>21</v>
      </c>
      <c r="B1078" s="4" t="s">
        <v>41</v>
      </c>
      <c r="C1078" s="4" t="s">
        <v>42</v>
      </c>
      <c r="D1078" s="4" t="s">
        <v>38</v>
      </c>
      <c r="E1078" s="4" t="s">
        <v>25</v>
      </c>
      <c r="F1078" s="4" t="s">
        <v>25</v>
      </c>
      <c r="G1078" s="4" t="s">
        <v>25</v>
      </c>
      <c r="H1078" s="4" t="s">
        <v>34</v>
      </c>
      <c r="I1078" s="5">
        <v>44621</v>
      </c>
      <c r="J1078" s="6">
        <v>0</v>
      </c>
      <c r="K1078" s="6">
        <v>0</v>
      </c>
      <c r="L1078" s="6">
        <v>14.558</v>
      </c>
      <c r="M1078" s="6">
        <v>14.558</v>
      </c>
      <c r="N1078" s="6">
        <v>0</v>
      </c>
      <c r="O1078" s="6">
        <v>0</v>
      </c>
      <c r="P1078" s="6">
        <v>0</v>
      </c>
      <c r="Q1078" s="4" t="s">
        <v>58</v>
      </c>
      <c r="R1078" s="4">
        <v>0</v>
      </c>
      <c r="S1078" s="6">
        <v>0</v>
      </c>
      <c r="T1078" s="6">
        <v>42</v>
      </c>
      <c r="U1078" s="6">
        <v>0</v>
      </c>
      <c r="V1078" s="6">
        <f>IF(ISERROR(VLOOKUP($S$1078,'TAR FIN'!$A$1:$O$104,15,0)),0,VLOOKUP($S$1078,'TAR FIN'!$A$1:$O$104,15,0))</f>
        <v>0</v>
      </c>
      <c r="W1078" s="6">
        <f>IF(ISERROR(VLOOKUP($T$1078,'TAR FIN'!$A$1:$O$104,15,0)),0,VLOOKUP($T$1078,'TAR FIN'!$A$1:$O$104,15,0))</f>
        <v>1330.19</v>
      </c>
      <c r="X1078" s="6">
        <f>IF(ISERROR(VLOOKUP($U$1078,'TAR FIN'!$A$1:$O$104,15,0)),0,VLOOKUP($U$1078,'TAR FIN'!$A$1:$O$104,15,0))</f>
        <v>0</v>
      </c>
      <c r="Y1078" s="6"/>
      <c r="Z1078" s="6">
        <f ca="1">('TUSD BE'!$AM$25+'TUSD BF'!$AM$25+'TUSD CVA'!$AM$25)*1</f>
        <v>1345.857743809549</v>
      </c>
      <c r="AA1078" s="6"/>
      <c r="AB1078" s="6">
        <f>$K$1078*$V$1078</f>
        <v>0</v>
      </c>
      <c r="AC1078" s="6">
        <f>$M$1078*$W$1078</f>
        <v>19364.906020000002</v>
      </c>
      <c r="AD1078" s="6">
        <f>$O$1078*$X$1078</f>
        <v>0</v>
      </c>
      <c r="AE1078" s="6">
        <f>$K$1078*$Y$1078</f>
        <v>0</v>
      </c>
      <c r="AF1078" s="6">
        <f ca="1">$M$1078*$Z$1078</f>
        <v>19592.997034379416</v>
      </c>
      <c r="AG1078" s="6">
        <f>$O$1078*$AA$1078</f>
        <v>0</v>
      </c>
    </row>
    <row r="1079" spans="1:33" ht="11.25" customHeight="1" x14ac:dyDescent="0.25">
      <c r="A1079" s="4" t="s">
        <v>21</v>
      </c>
      <c r="B1079" s="4" t="s">
        <v>41</v>
      </c>
      <c r="C1079" s="4" t="s">
        <v>42</v>
      </c>
      <c r="D1079" s="4" t="s">
        <v>38</v>
      </c>
      <c r="E1079" s="4" t="s">
        <v>25</v>
      </c>
      <c r="F1079" s="4" t="s">
        <v>25</v>
      </c>
      <c r="G1079" s="4" t="s">
        <v>25</v>
      </c>
      <c r="H1079" s="4" t="s">
        <v>34</v>
      </c>
      <c r="I1079" s="5">
        <v>44652</v>
      </c>
      <c r="J1079" s="6">
        <v>0</v>
      </c>
      <c r="K1079" s="6">
        <v>0</v>
      </c>
      <c r="L1079" s="6">
        <v>258.42599999999999</v>
      </c>
      <c r="M1079" s="6">
        <v>258.42599999999999</v>
      </c>
      <c r="N1079" s="6">
        <v>258.42599999999999</v>
      </c>
      <c r="O1079" s="6">
        <v>258.42599999999999</v>
      </c>
      <c r="P1079" s="6">
        <v>0</v>
      </c>
      <c r="Q1079" s="4" t="s">
        <v>26</v>
      </c>
      <c r="R1079" s="4">
        <v>0</v>
      </c>
      <c r="S1079" s="6">
        <v>0</v>
      </c>
      <c r="T1079" s="6">
        <v>42</v>
      </c>
      <c r="U1079" s="6">
        <v>66</v>
      </c>
      <c r="V1079" s="6">
        <f>IF(ISERROR(VLOOKUP($S$1079,'TAR FIN'!$A$1:$O$104,15,0)),0,VLOOKUP($S$1079,'TAR FIN'!$A$1:$O$104,15,0))</f>
        <v>0</v>
      </c>
      <c r="W1079" s="6">
        <f>IF(ISERROR(VLOOKUP($T$1079,'TAR FIN'!$A$1:$O$104,15,0)),0,VLOOKUP($T$1079,'TAR FIN'!$A$1:$O$104,15,0))</f>
        <v>1330.19</v>
      </c>
      <c r="X1079" s="6">
        <f>IF(ISERROR(VLOOKUP($U$1079,'TAR FIN'!$A$1:$O$104,15,0)),0,VLOOKUP($U$1079,'TAR FIN'!$A$1:$O$104,15,0))</f>
        <v>397.62</v>
      </c>
      <c r="Y1079" s="6"/>
      <c r="Z1079" s="6">
        <f ca="1">('TUSD BE'!$AM$25+'TUSD BF'!$AM$25+'TUSD CVA'!$AM$25)*1</f>
        <v>1345.857743809549</v>
      </c>
      <c r="AA1079" s="6">
        <f>('TE BE'!$AB$7+'TE BF'!$AB$7+'TE CVA'!$AB$7)*1</f>
        <v>360.26029187567116</v>
      </c>
      <c r="AB1079" s="6">
        <f>$K$1079*$V$1079</f>
        <v>0</v>
      </c>
      <c r="AC1079" s="6">
        <f>$M$1079*$W$1079</f>
        <v>343755.68093999999</v>
      </c>
      <c r="AD1079" s="6">
        <f>$O$1079*$X$1079</f>
        <v>102755.34612</v>
      </c>
      <c r="AE1079" s="6">
        <f>$K$1079*$Y$1079</f>
        <v>0</v>
      </c>
      <c r="AF1079" s="6">
        <f ca="1">$M$1079*$Z$1079</f>
        <v>347804.63330172648</v>
      </c>
      <c r="AG1079" s="6">
        <f>$O$1079*$AA$1079</f>
        <v>93100.626188262191</v>
      </c>
    </row>
    <row r="1080" spans="1:33" ht="11.25" customHeight="1" x14ac:dyDescent="0.25">
      <c r="A1080" s="4" t="s">
        <v>28</v>
      </c>
      <c r="B1080" s="4" t="s">
        <v>41</v>
      </c>
      <c r="C1080" s="4" t="s">
        <v>42</v>
      </c>
      <c r="D1080" s="4" t="s">
        <v>38</v>
      </c>
      <c r="E1080" s="4" t="s">
        <v>25</v>
      </c>
      <c r="F1080" s="4" t="s">
        <v>25</v>
      </c>
      <c r="G1080" s="4" t="s">
        <v>25</v>
      </c>
      <c r="H1080" s="4" t="s">
        <v>34</v>
      </c>
      <c r="I1080" s="5">
        <v>44652</v>
      </c>
      <c r="J1080" s="6">
        <v>0</v>
      </c>
      <c r="K1080" s="6">
        <v>0</v>
      </c>
      <c r="L1080" s="6">
        <v>24.678000000000001</v>
      </c>
      <c r="M1080" s="6">
        <v>24.678000000000001</v>
      </c>
      <c r="N1080" s="6">
        <v>24.678000000000001</v>
      </c>
      <c r="O1080" s="6">
        <v>24.678000000000001</v>
      </c>
      <c r="P1080" s="6">
        <v>0</v>
      </c>
      <c r="Q1080" s="4" t="s">
        <v>26</v>
      </c>
      <c r="R1080" s="4">
        <v>0</v>
      </c>
      <c r="S1080" s="6">
        <v>0</v>
      </c>
      <c r="T1080" s="6">
        <v>42</v>
      </c>
      <c r="U1080" s="6">
        <v>66</v>
      </c>
      <c r="V1080" s="6">
        <f>IF(ISERROR(VLOOKUP($S$1080,'TAR FIN'!$A$1:$O$104,15,0)),0,VLOOKUP($S$1080,'TAR FIN'!$A$1:$O$104,15,0))</f>
        <v>0</v>
      </c>
      <c r="W1080" s="6">
        <f>IF(ISERROR(VLOOKUP($T$1080,'TAR FIN'!$A$1:$O$104,15,0)),0,VLOOKUP($T$1080,'TAR FIN'!$A$1:$O$104,15,0))</f>
        <v>1330.19</v>
      </c>
      <c r="X1080" s="6">
        <f>IF(ISERROR(VLOOKUP($U$1080,'TAR FIN'!$A$1:$O$104,15,0)),0,VLOOKUP($U$1080,'TAR FIN'!$A$1:$O$104,15,0))</f>
        <v>397.62</v>
      </c>
      <c r="Y1080" s="6"/>
      <c r="Z1080" s="6">
        <f ca="1">('TUSD BE'!$AM$25+'TUSD BF'!$AM$25+'TUSD CVA'!$AM$25)*1</f>
        <v>1345.857743809549</v>
      </c>
      <c r="AA1080" s="6">
        <f>('TE BE'!$AB$7+'TE BF'!$AB$7+'TE CVA'!$AB$7)*1</f>
        <v>360.26029187567116</v>
      </c>
      <c r="AB1080" s="6">
        <f>$K$1080*$V$1080</f>
        <v>0</v>
      </c>
      <c r="AC1080" s="6">
        <f>$M$1080*$W$1080</f>
        <v>32826.428820000001</v>
      </c>
      <c r="AD1080" s="6">
        <f>$O$1080*$X$1080</f>
        <v>9812.4663600000003</v>
      </c>
      <c r="AE1080" s="6">
        <f>$K$1080*$Y$1080</f>
        <v>0</v>
      </c>
      <c r="AF1080" s="6">
        <f ca="1">$M$1080*$Z$1080</f>
        <v>33213.077401732051</v>
      </c>
      <c r="AG1080" s="6">
        <f>$O$1080*$AA$1080</f>
        <v>8890.5034829078122</v>
      </c>
    </row>
    <row r="1081" spans="1:33" ht="11.25" customHeight="1" x14ac:dyDescent="0.25">
      <c r="A1081" s="4" t="s">
        <v>21</v>
      </c>
      <c r="B1081" s="4" t="s">
        <v>41</v>
      </c>
      <c r="C1081" s="4" t="s">
        <v>42</v>
      </c>
      <c r="D1081" s="4" t="s">
        <v>38</v>
      </c>
      <c r="E1081" s="4" t="s">
        <v>25</v>
      </c>
      <c r="F1081" s="4" t="s">
        <v>25</v>
      </c>
      <c r="G1081" s="4" t="s">
        <v>25</v>
      </c>
      <c r="H1081" s="4" t="s">
        <v>34</v>
      </c>
      <c r="I1081" s="5">
        <v>44652</v>
      </c>
      <c r="J1081" s="6">
        <v>0</v>
      </c>
      <c r="K1081" s="6">
        <v>0</v>
      </c>
      <c r="L1081" s="6">
        <v>16.007000000000001</v>
      </c>
      <c r="M1081" s="6">
        <v>16.007000000000001</v>
      </c>
      <c r="N1081" s="6">
        <v>0</v>
      </c>
      <c r="O1081" s="6">
        <v>0</v>
      </c>
      <c r="P1081" s="6">
        <v>0</v>
      </c>
      <c r="Q1081" s="4" t="s">
        <v>58</v>
      </c>
      <c r="R1081" s="4">
        <v>0</v>
      </c>
      <c r="S1081" s="6">
        <v>0</v>
      </c>
      <c r="T1081" s="6">
        <v>42</v>
      </c>
      <c r="U1081" s="6">
        <v>0</v>
      </c>
      <c r="V1081" s="6">
        <f>IF(ISERROR(VLOOKUP($S$1081,'TAR FIN'!$A$1:$O$104,15,0)),0,VLOOKUP($S$1081,'TAR FIN'!$A$1:$O$104,15,0))</f>
        <v>0</v>
      </c>
      <c r="W1081" s="6">
        <f>IF(ISERROR(VLOOKUP($T$1081,'TAR FIN'!$A$1:$O$104,15,0)),0,VLOOKUP($T$1081,'TAR FIN'!$A$1:$O$104,15,0))</f>
        <v>1330.19</v>
      </c>
      <c r="X1081" s="6">
        <f>IF(ISERROR(VLOOKUP($U$1081,'TAR FIN'!$A$1:$O$104,15,0)),0,VLOOKUP($U$1081,'TAR FIN'!$A$1:$O$104,15,0))</f>
        <v>0</v>
      </c>
      <c r="Y1081" s="6"/>
      <c r="Z1081" s="6">
        <f ca="1">('TUSD BE'!$AM$25+'TUSD BF'!$AM$25+'TUSD CVA'!$AM$25)*1</f>
        <v>1345.857743809549</v>
      </c>
      <c r="AA1081" s="6"/>
      <c r="AB1081" s="6">
        <f>$K$1081*$V$1081</f>
        <v>0</v>
      </c>
      <c r="AC1081" s="6">
        <f>$M$1081*$W$1081</f>
        <v>21292.351330000001</v>
      </c>
      <c r="AD1081" s="6">
        <f>$O$1081*$X$1081</f>
        <v>0</v>
      </c>
      <c r="AE1081" s="6">
        <f>$K$1081*$Y$1081</f>
        <v>0</v>
      </c>
      <c r="AF1081" s="6">
        <f ca="1">$M$1081*$Z$1081</f>
        <v>21543.144905159454</v>
      </c>
      <c r="AG1081" s="6">
        <f>$O$1081*$AA$1081</f>
        <v>0</v>
      </c>
    </row>
    <row r="1082" spans="1:33" ht="11.25" customHeight="1" x14ac:dyDescent="0.25">
      <c r="A1082" s="4" t="s">
        <v>21</v>
      </c>
      <c r="B1082" s="4" t="s">
        <v>41</v>
      </c>
      <c r="C1082" s="4" t="s">
        <v>42</v>
      </c>
      <c r="D1082" s="4" t="s">
        <v>38</v>
      </c>
      <c r="E1082" s="4" t="s">
        <v>25</v>
      </c>
      <c r="F1082" s="4" t="s">
        <v>25</v>
      </c>
      <c r="G1082" s="4" t="s">
        <v>25</v>
      </c>
      <c r="H1082" s="4" t="s">
        <v>34</v>
      </c>
      <c r="I1082" s="5">
        <v>44682</v>
      </c>
      <c r="J1082" s="6">
        <v>0</v>
      </c>
      <c r="K1082" s="6">
        <v>0</v>
      </c>
      <c r="L1082" s="6">
        <v>272.28399999999999</v>
      </c>
      <c r="M1082" s="6">
        <v>272.28399999999999</v>
      </c>
      <c r="N1082" s="6">
        <v>272.28399999999999</v>
      </c>
      <c r="O1082" s="6">
        <v>272.28399999999999</v>
      </c>
      <c r="P1082" s="6">
        <v>0</v>
      </c>
      <c r="Q1082" s="4" t="s">
        <v>26</v>
      </c>
      <c r="R1082" s="4">
        <v>0</v>
      </c>
      <c r="S1082" s="6">
        <v>0</v>
      </c>
      <c r="T1082" s="6">
        <v>42</v>
      </c>
      <c r="U1082" s="6">
        <v>66</v>
      </c>
      <c r="V1082" s="6">
        <f>IF(ISERROR(VLOOKUP($S$1082,'TAR FIN'!$A$1:$O$104,15,0)),0,VLOOKUP($S$1082,'TAR FIN'!$A$1:$O$104,15,0))</f>
        <v>0</v>
      </c>
      <c r="W1082" s="6">
        <f>IF(ISERROR(VLOOKUP($T$1082,'TAR FIN'!$A$1:$O$104,15,0)),0,VLOOKUP($T$1082,'TAR FIN'!$A$1:$O$104,15,0))</f>
        <v>1330.19</v>
      </c>
      <c r="X1082" s="6">
        <f>IF(ISERROR(VLOOKUP($U$1082,'TAR FIN'!$A$1:$O$104,15,0)),0,VLOOKUP($U$1082,'TAR FIN'!$A$1:$O$104,15,0))</f>
        <v>397.62</v>
      </c>
      <c r="Y1082" s="6"/>
      <c r="Z1082" s="6">
        <f ca="1">('TUSD BE'!$AM$25+'TUSD BF'!$AM$25+'TUSD CVA'!$AM$25)*1</f>
        <v>1345.857743809549</v>
      </c>
      <c r="AA1082" s="6">
        <f>('TE BE'!$AB$7+'TE BF'!$AB$7+'TE CVA'!$AB$7)*1</f>
        <v>360.26029187567116</v>
      </c>
      <c r="AB1082" s="6">
        <f>$K$1082*$V$1082</f>
        <v>0</v>
      </c>
      <c r="AC1082" s="6">
        <f>$M$1082*$W$1082</f>
        <v>362189.45396000001</v>
      </c>
      <c r="AD1082" s="6">
        <f>$O$1082*$X$1082</f>
        <v>108265.56408</v>
      </c>
      <c r="AE1082" s="6">
        <f>$K$1082*$Y$1082</f>
        <v>0</v>
      </c>
      <c r="AF1082" s="6">
        <f ca="1">$M$1082*$Z$1082</f>
        <v>366455.5299154392</v>
      </c>
      <c r="AG1082" s="6">
        <f>$O$1082*$AA$1082</f>
        <v>98093.113313075242</v>
      </c>
    </row>
    <row r="1083" spans="1:33" ht="11.25" customHeight="1" x14ac:dyDescent="0.25">
      <c r="A1083" s="4" t="s">
        <v>27</v>
      </c>
      <c r="B1083" s="4" t="s">
        <v>41</v>
      </c>
      <c r="C1083" s="4" t="s">
        <v>42</v>
      </c>
      <c r="D1083" s="4" t="s">
        <v>38</v>
      </c>
      <c r="E1083" s="4" t="s">
        <v>25</v>
      </c>
      <c r="F1083" s="4" t="s">
        <v>25</v>
      </c>
      <c r="G1083" s="4" t="s">
        <v>25</v>
      </c>
      <c r="H1083" s="4" t="s">
        <v>34</v>
      </c>
      <c r="I1083" s="5">
        <v>44682</v>
      </c>
      <c r="J1083" s="6">
        <v>0</v>
      </c>
      <c r="K1083" s="6">
        <v>0</v>
      </c>
      <c r="L1083" s="6">
        <v>-1.98</v>
      </c>
      <c r="M1083" s="6">
        <v>-1.98</v>
      </c>
      <c r="N1083" s="6">
        <v>-1.98</v>
      </c>
      <c r="O1083" s="6">
        <v>-1.98</v>
      </c>
      <c r="P1083" s="6">
        <v>0</v>
      </c>
      <c r="Q1083" s="4" t="s">
        <v>26</v>
      </c>
      <c r="R1083" s="4">
        <v>0</v>
      </c>
      <c r="S1083" s="6">
        <v>0</v>
      </c>
      <c r="T1083" s="6">
        <v>42</v>
      </c>
      <c r="U1083" s="6">
        <v>66</v>
      </c>
      <c r="V1083" s="6">
        <f>IF(ISERROR(VLOOKUP($S$1083,'TAR FIN'!$A$1:$O$104,15,0)),0,VLOOKUP($S$1083,'TAR FIN'!$A$1:$O$104,15,0))</f>
        <v>0</v>
      </c>
      <c r="W1083" s="6">
        <f>IF(ISERROR(VLOOKUP($T$1083,'TAR FIN'!$A$1:$O$104,15,0)),0,VLOOKUP($T$1083,'TAR FIN'!$A$1:$O$104,15,0))</f>
        <v>1330.19</v>
      </c>
      <c r="X1083" s="6">
        <f>IF(ISERROR(VLOOKUP($U$1083,'TAR FIN'!$A$1:$O$104,15,0)),0,VLOOKUP($U$1083,'TAR FIN'!$A$1:$O$104,15,0))</f>
        <v>397.62</v>
      </c>
      <c r="Y1083" s="6"/>
      <c r="Z1083" s="6">
        <f ca="1">('TUSD BE'!$AM$25+'TUSD BF'!$AM$25+'TUSD CVA'!$AM$25)*1</f>
        <v>1345.857743809549</v>
      </c>
      <c r="AA1083" s="6">
        <f>('TE BE'!$AB$7+'TE BF'!$AB$7+'TE CVA'!$AB$7)*1</f>
        <v>360.26029187567116</v>
      </c>
      <c r="AB1083" s="6">
        <f>$K$1083*$V$1083</f>
        <v>0</v>
      </c>
      <c r="AC1083" s="6">
        <f>$M$1083*$W$1083</f>
        <v>-2633.7762000000002</v>
      </c>
      <c r="AD1083" s="6">
        <f>$O$1083*$X$1083</f>
        <v>-787.2876</v>
      </c>
      <c r="AE1083" s="6">
        <f>$K$1083*$Y$1083</f>
        <v>0</v>
      </c>
      <c r="AF1083" s="6">
        <f ca="1">$M$1083*$Z$1083</f>
        <v>-2664.798332742907</v>
      </c>
      <c r="AG1083" s="6">
        <f>$O$1083*$AA$1083</f>
        <v>-713.31537791382891</v>
      </c>
    </row>
    <row r="1084" spans="1:33" ht="11.25" customHeight="1" x14ac:dyDescent="0.25">
      <c r="A1084" s="4" t="s">
        <v>28</v>
      </c>
      <c r="B1084" s="4" t="s">
        <v>41</v>
      </c>
      <c r="C1084" s="4" t="s">
        <v>42</v>
      </c>
      <c r="D1084" s="4" t="s">
        <v>38</v>
      </c>
      <c r="E1084" s="4" t="s">
        <v>25</v>
      </c>
      <c r="F1084" s="4" t="s">
        <v>25</v>
      </c>
      <c r="G1084" s="4" t="s">
        <v>25</v>
      </c>
      <c r="H1084" s="4" t="s">
        <v>34</v>
      </c>
      <c r="I1084" s="5">
        <v>44682</v>
      </c>
      <c r="J1084" s="6">
        <v>0</v>
      </c>
      <c r="K1084" s="6">
        <v>0</v>
      </c>
      <c r="L1084" s="6">
        <v>35.722999999999999</v>
      </c>
      <c r="M1084" s="6">
        <v>35.722999999999999</v>
      </c>
      <c r="N1084" s="6">
        <v>35.722999999999999</v>
      </c>
      <c r="O1084" s="6">
        <v>35.722999999999999</v>
      </c>
      <c r="P1084" s="6">
        <v>0</v>
      </c>
      <c r="Q1084" s="4" t="s">
        <v>26</v>
      </c>
      <c r="R1084" s="4">
        <v>0</v>
      </c>
      <c r="S1084" s="6">
        <v>0</v>
      </c>
      <c r="T1084" s="6">
        <v>42</v>
      </c>
      <c r="U1084" s="6">
        <v>66</v>
      </c>
      <c r="V1084" s="6">
        <f>IF(ISERROR(VLOOKUP($S$1084,'TAR FIN'!$A$1:$O$104,15,0)),0,VLOOKUP($S$1084,'TAR FIN'!$A$1:$O$104,15,0))</f>
        <v>0</v>
      </c>
      <c r="W1084" s="6">
        <f>IF(ISERROR(VLOOKUP($T$1084,'TAR FIN'!$A$1:$O$104,15,0)),0,VLOOKUP($T$1084,'TAR FIN'!$A$1:$O$104,15,0))</f>
        <v>1330.19</v>
      </c>
      <c r="X1084" s="6">
        <f>IF(ISERROR(VLOOKUP($U$1084,'TAR FIN'!$A$1:$O$104,15,0)),0,VLOOKUP($U$1084,'TAR FIN'!$A$1:$O$104,15,0))</f>
        <v>397.62</v>
      </c>
      <c r="Y1084" s="6"/>
      <c r="Z1084" s="6">
        <f ca="1">('TUSD BE'!$AM$25+'TUSD BF'!$AM$25+'TUSD CVA'!$AM$25)*1</f>
        <v>1345.857743809549</v>
      </c>
      <c r="AA1084" s="6">
        <f>('TE BE'!$AB$7+'TE BF'!$AB$7+'TE CVA'!$AB$7)*1</f>
        <v>360.26029187567116</v>
      </c>
      <c r="AB1084" s="6">
        <f>$K$1084*$V$1084</f>
        <v>0</v>
      </c>
      <c r="AC1084" s="6">
        <f>$M$1084*$W$1084</f>
        <v>47518.377370000002</v>
      </c>
      <c r="AD1084" s="6">
        <f>$O$1084*$X$1084</f>
        <v>14204.179259999999</v>
      </c>
      <c r="AE1084" s="6">
        <f>$K$1084*$Y$1084</f>
        <v>0</v>
      </c>
      <c r="AF1084" s="6">
        <f ca="1">$M$1084*$Z$1084</f>
        <v>48078.076182108518</v>
      </c>
      <c r="AG1084" s="6">
        <f>$O$1084*$AA$1084</f>
        <v>12869.5784066746</v>
      </c>
    </row>
    <row r="1085" spans="1:33" ht="11.25" customHeight="1" x14ac:dyDescent="0.25">
      <c r="A1085" s="4" t="s">
        <v>21</v>
      </c>
      <c r="B1085" s="4" t="s">
        <v>41</v>
      </c>
      <c r="C1085" s="4" t="s">
        <v>42</v>
      </c>
      <c r="D1085" s="4" t="s">
        <v>38</v>
      </c>
      <c r="E1085" s="4" t="s">
        <v>25</v>
      </c>
      <c r="F1085" s="4" t="s">
        <v>25</v>
      </c>
      <c r="G1085" s="4" t="s">
        <v>25</v>
      </c>
      <c r="H1085" s="4" t="s">
        <v>34</v>
      </c>
      <c r="I1085" s="5">
        <v>44682</v>
      </c>
      <c r="J1085" s="6">
        <v>0</v>
      </c>
      <c r="K1085" s="6">
        <v>0</v>
      </c>
      <c r="L1085" s="6">
        <v>9.1809999999999992</v>
      </c>
      <c r="M1085" s="6">
        <v>9.1809999999999992</v>
      </c>
      <c r="N1085" s="6">
        <v>0</v>
      </c>
      <c r="O1085" s="6">
        <v>0</v>
      </c>
      <c r="P1085" s="6">
        <v>0</v>
      </c>
      <c r="Q1085" s="4" t="s">
        <v>58</v>
      </c>
      <c r="R1085" s="4">
        <v>0</v>
      </c>
      <c r="S1085" s="6">
        <v>0</v>
      </c>
      <c r="T1085" s="6">
        <v>42</v>
      </c>
      <c r="U1085" s="6">
        <v>0</v>
      </c>
      <c r="V1085" s="6">
        <f>IF(ISERROR(VLOOKUP($S$1085,'TAR FIN'!$A$1:$O$104,15,0)),0,VLOOKUP($S$1085,'TAR FIN'!$A$1:$O$104,15,0))</f>
        <v>0</v>
      </c>
      <c r="W1085" s="6">
        <f>IF(ISERROR(VLOOKUP($T$1085,'TAR FIN'!$A$1:$O$104,15,0)),0,VLOOKUP($T$1085,'TAR FIN'!$A$1:$O$104,15,0))</f>
        <v>1330.19</v>
      </c>
      <c r="X1085" s="6">
        <f>IF(ISERROR(VLOOKUP($U$1085,'TAR FIN'!$A$1:$O$104,15,0)),0,VLOOKUP($U$1085,'TAR FIN'!$A$1:$O$104,15,0))</f>
        <v>0</v>
      </c>
      <c r="Y1085" s="6"/>
      <c r="Z1085" s="6">
        <f ca="1">('TUSD BE'!$AM$25+'TUSD BF'!$AM$25+'TUSD CVA'!$AM$25)*1</f>
        <v>1345.857743809549</v>
      </c>
      <c r="AA1085" s="6"/>
      <c r="AB1085" s="6">
        <f>$K$1085*$V$1085</f>
        <v>0</v>
      </c>
      <c r="AC1085" s="6">
        <f>$M$1085*$W$1085</f>
        <v>12212.474389999999</v>
      </c>
      <c r="AD1085" s="6">
        <f>$O$1085*$X$1085</f>
        <v>0</v>
      </c>
      <c r="AE1085" s="6">
        <f>$K$1085*$Y$1085</f>
        <v>0</v>
      </c>
      <c r="AF1085" s="6">
        <f ca="1">$M$1085*$Z$1085</f>
        <v>12356.319945915468</v>
      </c>
      <c r="AG1085" s="6">
        <f>$O$1085*$AA$1085</f>
        <v>0</v>
      </c>
    </row>
    <row r="1086" spans="1:33" ht="11.25" customHeight="1" x14ac:dyDescent="0.25">
      <c r="A1086" s="4" t="s">
        <v>21</v>
      </c>
      <c r="B1086" s="4" t="s">
        <v>41</v>
      </c>
      <c r="C1086" s="4" t="s">
        <v>42</v>
      </c>
      <c r="D1086" s="4" t="s">
        <v>38</v>
      </c>
      <c r="E1086" s="4" t="s">
        <v>25</v>
      </c>
      <c r="F1086" s="4" t="s">
        <v>25</v>
      </c>
      <c r="G1086" s="4" t="s">
        <v>25</v>
      </c>
      <c r="H1086" s="4" t="s">
        <v>34</v>
      </c>
      <c r="I1086" s="5">
        <v>44713</v>
      </c>
      <c r="J1086" s="6">
        <v>0</v>
      </c>
      <c r="K1086" s="6">
        <v>0</v>
      </c>
      <c r="L1086" s="6">
        <v>288.91199999999998</v>
      </c>
      <c r="M1086" s="6">
        <v>288.91199999999998</v>
      </c>
      <c r="N1086" s="6">
        <v>288.91199999999998</v>
      </c>
      <c r="O1086" s="6">
        <v>288.91199999999998</v>
      </c>
      <c r="P1086" s="6">
        <v>0</v>
      </c>
      <c r="Q1086" s="4" t="s">
        <v>26</v>
      </c>
      <c r="R1086" s="4">
        <v>0</v>
      </c>
      <c r="S1086" s="6">
        <v>0</v>
      </c>
      <c r="T1086" s="6">
        <v>42</v>
      </c>
      <c r="U1086" s="6">
        <v>66</v>
      </c>
      <c r="V1086" s="6">
        <f>IF(ISERROR(VLOOKUP($S$1086,'TAR FIN'!$A$1:$O$104,15,0)),0,VLOOKUP($S$1086,'TAR FIN'!$A$1:$O$104,15,0))</f>
        <v>0</v>
      </c>
      <c r="W1086" s="6">
        <f>IF(ISERROR(VLOOKUP($T$1086,'TAR FIN'!$A$1:$O$104,15,0)),0,VLOOKUP($T$1086,'TAR FIN'!$A$1:$O$104,15,0))</f>
        <v>1330.19</v>
      </c>
      <c r="X1086" s="6">
        <f>IF(ISERROR(VLOOKUP($U$1086,'TAR FIN'!$A$1:$O$104,15,0)),0,VLOOKUP($U$1086,'TAR FIN'!$A$1:$O$104,15,0))</f>
        <v>397.62</v>
      </c>
      <c r="Y1086" s="6"/>
      <c r="Z1086" s="6">
        <f ca="1">('TUSD BE'!$AM$25+'TUSD BF'!$AM$25+'TUSD CVA'!$AM$25)*1</f>
        <v>1345.857743809549</v>
      </c>
      <c r="AA1086" s="6">
        <f>('TE BE'!$AB$7+'TE BF'!$AB$7+'TE CVA'!$AB$7)*1</f>
        <v>360.26029187567116</v>
      </c>
      <c r="AB1086" s="6">
        <f>$K$1086*$V$1086</f>
        <v>0</v>
      </c>
      <c r="AC1086" s="6">
        <f>$M$1086*$W$1086</f>
        <v>384307.85327999998</v>
      </c>
      <c r="AD1086" s="6">
        <f>$O$1086*$X$1086</f>
        <v>114877.18943999999</v>
      </c>
      <c r="AE1086" s="6">
        <f>$K$1086*$Y$1086</f>
        <v>0</v>
      </c>
      <c r="AF1086" s="6">
        <f ca="1">$M$1086*$Z$1086</f>
        <v>388834.4524795044</v>
      </c>
      <c r="AG1086" s="6">
        <f>$O$1086*$AA$1086</f>
        <v>104083.52144638389</v>
      </c>
    </row>
    <row r="1087" spans="1:33" ht="11.25" customHeight="1" x14ac:dyDescent="0.25">
      <c r="A1087" s="4" t="s">
        <v>27</v>
      </c>
      <c r="B1087" s="4" t="s">
        <v>41</v>
      </c>
      <c r="C1087" s="4" t="s">
        <v>42</v>
      </c>
      <c r="D1087" s="4" t="s">
        <v>38</v>
      </c>
      <c r="E1087" s="4" t="s">
        <v>25</v>
      </c>
      <c r="F1087" s="4" t="s">
        <v>25</v>
      </c>
      <c r="G1087" s="4" t="s">
        <v>25</v>
      </c>
      <c r="H1087" s="4" t="s">
        <v>34</v>
      </c>
      <c r="I1087" s="5">
        <v>44713</v>
      </c>
      <c r="J1087" s="6">
        <v>0</v>
      </c>
      <c r="K1087" s="6">
        <v>0</v>
      </c>
      <c r="L1087" s="6">
        <v>-0.16900000000000001</v>
      </c>
      <c r="M1087" s="6">
        <v>-0.16900000000000001</v>
      </c>
      <c r="N1087" s="6">
        <v>-0.16900000000000001</v>
      </c>
      <c r="O1087" s="6">
        <v>-0.16900000000000001</v>
      </c>
      <c r="P1087" s="6">
        <v>0</v>
      </c>
      <c r="Q1087" s="4" t="s">
        <v>26</v>
      </c>
      <c r="R1087" s="4">
        <v>0</v>
      </c>
      <c r="S1087" s="6">
        <v>0</v>
      </c>
      <c r="T1087" s="6">
        <v>42</v>
      </c>
      <c r="U1087" s="6">
        <v>66</v>
      </c>
      <c r="V1087" s="6">
        <f>IF(ISERROR(VLOOKUP($S$1087,'TAR FIN'!$A$1:$O$104,15,0)),0,VLOOKUP($S$1087,'TAR FIN'!$A$1:$O$104,15,0))</f>
        <v>0</v>
      </c>
      <c r="W1087" s="6">
        <f>IF(ISERROR(VLOOKUP($T$1087,'TAR FIN'!$A$1:$O$104,15,0)),0,VLOOKUP($T$1087,'TAR FIN'!$A$1:$O$104,15,0))</f>
        <v>1330.19</v>
      </c>
      <c r="X1087" s="6">
        <f>IF(ISERROR(VLOOKUP($U$1087,'TAR FIN'!$A$1:$O$104,15,0)),0,VLOOKUP($U$1087,'TAR FIN'!$A$1:$O$104,15,0))</f>
        <v>397.62</v>
      </c>
      <c r="Y1087" s="6"/>
      <c r="Z1087" s="6">
        <f ca="1">('TUSD BE'!$AM$25+'TUSD BF'!$AM$25+'TUSD CVA'!$AM$25)*1</f>
        <v>1345.857743809549</v>
      </c>
      <c r="AA1087" s="6">
        <f>('TE BE'!$AB$7+'TE BF'!$AB$7+'TE CVA'!$AB$7)*1</f>
        <v>360.26029187567116</v>
      </c>
      <c r="AB1087" s="6">
        <f>$K$1087*$V$1087</f>
        <v>0</v>
      </c>
      <c r="AC1087" s="6">
        <f>$M$1087*$W$1087</f>
        <v>-224.80211000000003</v>
      </c>
      <c r="AD1087" s="6">
        <f>$O$1087*$X$1087</f>
        <v>-67.197780000000009</v>
      </c>
      <c r="AE1087" s="6">
        <f>$K$1087*$Y$1087</f>
        <v>0</v>
      </c>
      <c r="AF1087" s="6">
        <f ca="1">$M$1087*$Z$1087</f>
        <v>-227.44995870381379</v>
      </c>
      <c r="AG1087" s="6">
        <f>$O$1087*$AA$1087</f>
        <v>-60.883989326988427</v>
      </c>
    </row>
    <row r="1088" spans="1:33" ht="11.25" customHeight="1" x14ac:dyDescent="0.25">
      <c r="A1088" s="4" t="s">
        <v>28</v>
      </c>
      <c r="B1088" s="4" t="s">
        <v>41</v>
      </c>
      <c r="C1088" s="4" t="s">
        <v>42</v>
      </c>
      <c r="D1088" s="4" t="s">
        <v>38</v>
      </c>
      <c r="E1088" s="4" t="s">
        <v>25</v>
      </c>
      <c r="F1088" s="4" t="s">
        <v>25</v>
      </c>
      <c r="G1088" s="4" t="s">
        <v>25</v>
      </c>
      <c r="H1088" s="4" t="s">
        <v>34</v>
      </c>
      <c r="I1088" s="5">
        <v>44713</v>
      </c>
      <c r="J1088" s="6">
        <v>0</v>
      </c>
      <c r="K1088" s="6">
        <v>0</v>
      </c>
      <c r="L1088" s="6">
        <v>10.967000000000001</v>
      </c>
      <c r="M1088" s="6">
        <v>10.967000000000001</v>
      </c>
      <c r="N1088" s="6">
        <v>10.967000000000001</v>
      </c>
      <c r="O1088" s="6">
        <v>10.967000000000001</v>
      </c>
      <c r="P1088" s="6">
        <v>0</v>
      </c>
      <c r="Q1088" s="4" t="s">
        <v>26</v>
      </c>
      <c r="R1088" s="4">
        <v>0</v>
      </c>
      <c r="S1088" s="6">
        <v>0</v>
      </c>
      <c r="T1088" s="6">
        <v>42</v>
      </c>
      <c r="U1088" s="6">
        <v>66</v>
      </c>
      <c r="V1088" s="6">
        <f>IF(ISERROR(VLOOKUP($S$1088,'TAR FIN'!$A$1:$O$104,15,0)),0,VLOOKUP($S$1088,'TAR FIN'!$A$1:$O$104,15,0))</f>
        <v>0</v>
      </c>
      <c r="W1088" s="6">
        <f>IF(ISERROR(VLOOKUP($T$1088,'TAR FIN'!$A$1:$O$104,15,0)),0,VLOOKUP($T$1088,'TAR FIN'!$A$1:$O$104,15,0))</f>
        <v>1330.19</v>
      </c>
      <c r="X1088" s="6">
        <f>IF(ISERROR(VLOOKUP($U$1088,'TAR FIN'!$A$1:$O$104,15,0)),0,VLOOKUP($U$1088,'TAR FIN'!$A$1:$O$104,15,0))</f>
        <v>397.62</v>
      </c>
      <c r="Y1088" s="6"/>
      <c r="Z1088" s="6">
        <f ca="1">('TUSD BE'!$AM$25+'TUSD BF'!$AM$25+'TUSD CVA'!$AM$25)*1</f>
        <v>1345.857743809549</v>
      </c>
      <c r="AA1088" s="6">
        <f>('TE BE'!$AB$7+'TE BF'!$AB$7+'TE CVA'!$AB$7)*1</f>
        <v>360.26029187567116</v>
      </c>
      <c r="AB1088" s="6">
        <f>$K$1088*$V$1088</f>
        <v>0</v>
      </c>
      <c r="AC1088" s="6">
        <f>$M$1088*$W$1088</f>
        <v>14588.193730000001</v>
      </c>
      <c r="AD1088" s="6">
        <f>$O$1088*$X$1088</f>
        <v>4360.6985400000003</v>
      </c>
      <c r="AE1088" s="6">
        <f>$K$1088*$Y$1088</f>
        <v>0</v>
      </c>
      <c r="AF1088" s="6">
        <f ca="1">$M$1088*$Z$1088</f>
        <v>14760.021876359324</v>
      </c>
      <c r="AG1088" s="6">
        <f>$O$1088*$AA$1088</f>
        <v>3950.974621000486</v>
      </c>
    </row>
    <row r="1089" spans="1:33" ht="11.25" customHeight="1" x14ac:dyDescent="0.25">
      <c r="A1089" s="4" t="s">
        <v>57</v>
      </c>
      <c r="B1089" s="4" t="s">
        <v>41</v>
      </c>
      <c r="C1089" s="4" t="s">
        <v>42</v>
      </c>
      <c r="D1089" s="4" t="s">
        <v>38</v>
      </c>
      <c r="E1089" s="4" t="s">
        <v>25</v>
      </c>
      <c r="F1089" s="4" t="s">
        <v>25</v>
      </c>
      <c r="G1089" s="4" t="s">
        <v>25</v>
      </c>
      <c r="H1089" s="4" t="s">
        <v>34</v>
      </c>
      <c r="I1089" s="5">
        <v>44743</v>
      </c>
      <c r="J1089" s="6">
        <v>0</v>
      </c>
      <c r="K1089" s="6">
        <v>0</v>
      </c>
      <c r="L1089" s="6">
        <v>288.91199999999998</v>
      </c>
      <c r="M1089" s="6">
        <v>288.91199999999998</v>
      </c>
      <c r="N1089" s="6">
        <v>288.91199999999998</v>
      </c>
      <c r="O1089" s="6">
        <v>288.91199999999998</v>
      </c>
      <c r="P1089" s="6">
        <v>0</v>
      </c>
      <c r="Q1089" s="4" t="s">
        <v>26</v>
      </c>
      <c r="R1089" s="4">
        <v>0</v>
      </c>
      <c r="S1089" s="6">
        <v>0</v>
      </c>
      <c r="T1089" s="6">
        <v>42</v>
      </c>
      <c r="U1089" s="6">
        <v>66</v>
      </c>
      <c r="V1089" s="6">
        <f>IF(ISERROR(VLOOKUP($S$1089,'TAR FIN'!$A$1:$O$104,15,0)),0,VLOOKUP($S$1089,'TAR FIN'!$A$1:$O$104,15,0))</f>
        <v>0</v>
      </c>
      <c r="W1089" s="6">
        <f>IF(ISERROR(VLOOKUP($T$1089,'TAR FIN'!$A$1:$O$104,15,0)),0,VLOOKUP($T$1089,'TAR FIN'!$A$1:$O$104,15,0))</f>
        <v>1330.19</v>
      </c>
      <c r="X1089" s="6">
        <f>IF(ISERROR(VLOOKUP($U$1089,'TAR FIN'!$A$1:$O$104,15,0)),0,VLOOKUP($U$1089,'TAR FIN'!$A$1:$O$104,15,0))</f>
        <v>397.62</v>
      </c>
      <c r="Y1089" s="6"/>
      <c r="Z1089" s="6">
        <f ca="1">('TUSD BE'!$AM$25+'TUSD BF'!$AM$25+'TUSD CVA'!$AM$25)*1</f>
        <v>1345.857743809549</v>
      </c>
      <c r="AA1089" s="6">
        <f>('TE BE'!$AB$7+'TE BF'!$AB$7+'TE CVA'!$AB$7)*1</f>
        <v>360.26029187567116</v>
      </c>
      <c r="AB1089" s="6">
        <f>$K$1089*$V$1089</f>
        <v>0</v>
      </c>
      <c r="AC1089" s="6">
        <f>$M$1089*$W$1089</f>
        <v>384307.85327999998</v>
      </c>
      <c r="AD1089" s="6">
        <f>$O$1089*$X$1089</f>
        <v>114877.18943999999</v>
      </c>
      <c r="AE1089" s="6">
        <f>$K$1089*$Y$1089</f>
        <v>0</v>
      </c>
      <c r="AF1089" s="6">
        <f ca="1">$M$1089*$Z$1089</f>
        <v>388834.4524795044</v>
      </c>
      <c r="AG1089" s="6">
        <f>$O$1089*$AA$1089</f>
        <v>104083.52144638389</v>
      </c>
    </row>
    <row r="1090" spans="1:33" ht="11.25" customHeight="1" x14ac:dyDescent="0.25">
      <c r="A1090" s="4" t="s">
        <v>57</v>
      </c>
      <c r="B1090" s="4" t="s">
        <v>41</v>
      </c>
      <c r="C1090" s="4" t="s">
        <v>42</v>
      </c>
      <c r="D1090" s="4" t="s">
        <v>38</v>
      </c>
      <c r="E1090" s="4" t="s">
        <v>25</v>
      </c>
      <c r="F1090" s="4" t="s">
        <v>25</v>
      </c>
      <c r="G1090" s="4" t="s">
        <v>25</v>
      </c>
      <c r="H1090" s="4" t="s">
        <v>34</v>
      </c>
      <c r="I1090" s="5">
        <v>44743</v>
      </c>
      <c r="J1090" s="6">
        <v>0</v>
      </c>
      <c r="K1090" s="6">
        <v>0</v>
      </c>
      <c r="L1090" s="6">
        <v>-0.16900000000000001</v>
      </c>
      <c r="M1090" s="6">
        <v>-0.16900000000000001</v>
      </c>
      <c r="N1090" s="6">
        <v>-0.16900000000000001</v>
      </c>
      <c r="O1090" s="6">
        <v>-0.16900000000000001</v>
      </c>
      <c r="P1090" s="6">
        <v>0</v>
      </c>
      <c r="Q1090" s="4" t="s">
        <v>26</v>
      </c>
      <c r="R1090" s="4">
        <v>0</v>
      </c>
      <c r="S1090" s="6">
        <v>0</v>
      </c>
      <c r="T1090" s="6">
        <v>42</v>
      </c>
      <c r="U1090" s="6">
        <v>66</v>
      </c>
      <c r="V1090" s="6">
        <f>IF(ISERROR(VLOOKUP($S$1090,'TAR FIN'!$A$1:$O$104,15,0)),0,VLOOKUP($S$1090,'TAR FIN'!$A$1:$O$104,15,0))</f>
        <v>0</v>
      </c>
      <c r="W1090" s="6">
        <f>IF(ISERROR(VLOOKUP($T$1090,'TAR FIN'!$A$1:$O$104,15,0)),0,VLOOKUP($T$1090,'TAR FIN'!$A$1:$O$104,15,0))</f>
        <v>1330.19</v>
      </c>
      <c r="X1090" s="6">
        <f>IF(ISERROR(VLOOKUP($U$1090,'TAR FIN'!$A$1:$O$104,15,0)),0,VLOOKUP($U$1090,'TAR FIN'!$A$1:$O$104,15,0))</f>
        <v>397.62</v>
      </c>
      <c r="Y1090" s="6"/>
      <c r="Z1090" s="6">
        <f ca="1">('TUSD BE'!$AM$25+'TUSD BF'!$AM$25+'TUSD CVA'!$AM$25)*1</f>
        <v>1345.857743809549</v>
      </c>
      <c r="AA1090" s="6">
        <f>('TE BE'!$AB$7+'TE BF'!$AB$7+'TE CVA'!$AB$7)*1</f>
        <v>360.26029187567116</v>
      </c>
      <c r="AB1090" s="6">
        <f>$K$1090*$V$1090</f>
        <v>0</v>
      </c>
      <c r="AC1090" s="6">
        <f>$M$1090*$W$1090</f>
        <v>-224.80211000000003</v>
      </c>
      <c r="AD1090" s="6">
        <f>$O$1090*$X$1090</f>
        <v>-67.197780000000009</v>
      </c>
      <c r="AE1090" s="6">
        <f>$K$1090*$Y$1090</f>
        <v>0</v>
      </c>
      <c r="AF1090" s="6">
        <f ca="1">$M$1090*$Z$1090</f>
        <v>-227.44995870381379</v>
      </c>
      <c r="AG1090" s="6">
        <f>$O$1090*$AA$1090</f>
        <v>-60.883989326988427</v>
      </c>
    </row>
    <row r="1091" spans="1:33" ht="11.25" customHeight="1" x14ac:dyDescent="0.25">
      <c r="A1091" s="4" t="s">
        <v>57</v>
      </c>
      <c r="B1091" s="4" t="s">
        <v>41</v>
      </c>
      <c r="C1091" s="4" t="s">
        <v>42</v>
      </c>
      <c r="D1091" s="4" t="s">
        <v>38</v>
      </c>
      <c r="E1091" s="4" t="s">
        <v>25</v>
      </c>
      <c r="F1091" s="4" t="s">
        <v>25</v>
      </c>
      <c r="G1091" s="4" t="s">
        <v>25</v>
      </c>
      <c r="H1091" s="4" t="s">
        <v>34</v>
      </c>
      <c r="I1091" s="5">
        <v>44743</v>
      </c>
      <c r="J1091" s="6">
        <v>0</v>
      </c>
      <c r="K1091" s="6">
        <v>0</v>
      </c>
      <c r="L1091" s="6">
        <v>10.967000000000001</v>
      </c>
      <c r="M1091" s="6">
        <v>10.967000000000001</v>
      </c>
      <c r="N1091" s="6">
        <v>10.967000000000001</v>
      </c>
      <c r="O1091" s="6">
        <v>10.967000000000001</v>
      </c>
      <c r="P1091" s="6">
        <v>0</v>
      </c>
      <c r="Q1091" s="4" t="s">
        <v>26</v>
      </c>
      <c r="R1091" s="4">
        <v>0</v>
      </c>
      <c r="S1091" s="6">
        <v>0</v>
      </c>
      <c r="T1091" s="6">
        <v>42</v>
      </c>
      <c r="U1091" s="6">
        <v>66</v>
      </c>
      <c r="V1091" s="6">
        <f>IF(ISERROR(VLOOKUP($S$1091,'TAR FIN'!$A$1:$O$104,15,0)),0,VLOOKUP($S$1091,'TAR FIN'!$A$1:$O$104,15,0))</f>
        <v>0</v>
      </c>
      <c r="W1091" s="6">
        <f>IF(ISERROR(VLOOKUP($T$1091,'TAR FIN'!$A$1:$O$104,15,0)),0,VLOOKUP($T$1091,'TAR FIN'!$A$1:$O$104,15,0))</f>
        <v>1330.19</v>
      </c>
      <c r="X1091" s="6">
        <f>IF(ISERROR(VLOOKUP($U$1091,'TAR FIN'!$A$1:$O$104,15,0)),0,VLOOKUP($U$1091,'TAR FIN'!$A$1:$O$104,15,0))</f>
        <v>397.62</v>
      </c>
      <c r="Y1091" s="6"/>
      <c r="Z1091" s="6">
        <f ca="1">('TUSD BE'!$AM$25+'TUSD BF'!$AM$25+'TUSD CVA'!$AM$25)*1</f>
        <v>1345.857743809549</v>
      </c>
      <c r="AA1091" s="6">
        <f>('TE BE'!$AB$7+'TE BF'!$AB$7+'TE CVA'!$AB$7)*1</f>
        <v>360.26029187567116</v>
      </c>
      <c r="AB1091" s="6">
        <f>$K$1091*$V$1091</f>
        <v>0</v>
      </c>
      <c r="AC1091" s="6">
        <f>$M$1091*$W$1091</f>
        <v>14588.193730000001</v>
      </c>
      <c r="AD1091" s="6">
        <f>$O$1091*$X$1091</f>
        <v>4360.6985400000003</v>
      </c>
      <c r="AE1091" s="6">
        <f>$K$1091*$Y$1091</f>
        <v>0</v>
      </c>
      <c r="AF1091" s="6">
        <f ca="1">$M$1091*$Z$1091</f>
        <v>14760.021876359324</v>
      </c>
      <c r="AG1091" s="6">
        <f>$O$1091*$AA$1091</f>
        <v>3950.974621000486</v>
      </c>
    </row>
    <row r="1092" spans="1:33" ht="11.25" customHeight="1" x14ac:dyDescent="0.25">
      <c r="A1092" s="4" t="s">
        <v>21</v>
      </c>
      <c r="B1092" s="4" t="s">
        <v>41</v>
      </c>
      <c r="C1092" s="4" t="s">
        <v>42</v>
      </c>
      <c r="D1092" s="4" t="s">
        <v>46</v>
      </c>
      <c r="E1092" s="4" t="s">
        <v>25</v>
      </c>
      <c r="F1092" s="4" t="s">
        <v>25</v>
      </c>
      <c r="G1092" s="4" t="s">
        <v>25</v>
      </c>
      <c r="H1092" s="4" t="s">
        <v>35</v>
      </c>
      <c r="I1092" s="5">
        <v>44409</v>
      </c>
      <c r="J1092" s="6">
        <v>0</v>
      </c>
      <c r="K1092" s="6">
        <v>0</v>
      </c>
      <c r="L1092" s="6">
        <v>6091.6229999999996</v>
      </c>
      <c r="M1092" s="6">
        <v>6091.6229999999996</v>
      </c>
      <c r="N1092" s="6">
        <v>6091.6229999999996</v>
      </c>
      <c r="O1092" s="6">
        <v>6091.6229999999996</v>
      </c>
      <c r="P1092" s="6">
        <v>0</v>
      </c>
      <c r="Q1092" s="4" t="s">
        <v>26</v>
      </c>
      <c r="R1092" s="4">
        <v>0</v>
      </c>
      <c r="S1092" s="6">
        <v>0</v>
      </c>
      <c r="T1092" s="6">
        <v>44</v>
      </c>
      <c r="U1092" s="6">
        <v>67</v>
      </c>
      <c r="V1092" s="6">
        <f>IF(ISERROR(VLOOKUP($S$1092,'TAR FIN'!$A$1:$O$104,15,0)),0,VLOOKUP($S$1092,'TAR FIN'!$A$1:$O$104,15,0))</f>
        <v>0</v>
      </c>
      <c r="W1092" s="6">
        <f>IF(ISERROR(VLOOKUP($T$1092,'TAR FIN'!$A$1:$O$104,15,0)),0,VLOOKUP($T$1092,'TAR FIN'!$A$1:$O$104,15,0))</f>
        <v>62.57</v>
      </c>
      <c r="X1092" s="6">
        <f>IF(ISERROR(VLOOKUP($U$1092,'TAR FIN'!$A$1:$O$104,15,0)),0,VLOOKUP($U$1092,'TAR FIN'!$A$1:$O$104,15,0))</f>
        <v>242.82</v>
      </c>
      <c r="Y1092" s="6"/>
      <c r="Z1092" s="6">
        <f ca="1">('TUSD BE'!$AM$26+'TUSD BF'!$AM$26+'TUSD CVA'!$AM$26)*1</f>
        <v>77.876201961015255</v>
      </c>
      <c r="AA1092" s="6">
        <f>('TE BE'!$AB$8+'TE BF'!$AB$8+'TE CVA'!$AB$8)*1</f>
        <v>231.76257384332172</v>
      </c>
      <c r="AB1092" s="6">
        <f>$K$1092*$V$1092</f>
        <v>0</v>
      </c>
      <c r="AC1092" s="6">
        <f>$M$1092*$W$1092</f>
        <v>381152.85110999999</v>
      </c>
      <c r="AD1092" s="6">
        <f>$O$1092*$X$1092</f>
        <v>1479167.8968599997</v>
      </c>
      <c r="AE1092" s="6">
        <f>$K$1092*$Y$1092</f>
        <v>0</v>
      </c>
      <c r="AF1092" s="6">
        <f ca="1">$M$1092*$Z$1092</f>
        <v>474392.46301836561</v>
      </c>
      <c r="AG1092" s="6">
        <f>$O$1092*$AA$1092</f>
        <v>1411810.2253631768</v>
      </c>
    </row>
    <row r="1093" spans="1:33" ht="11.25" customHeight="1" x14ac:dyDescent="0.25">
      <c r="A1093" s="4" t="s">
        <v>27</v>
      </c>
      <c r="B1093" s="4" t="s">
        <v>41</v>
      </c>
      <c r="C1093" s="4" t="s">
        <v>42</v>
      </c>
      <c r="D1093" s="4" t="s">
        <v>46</v>
      </c>
      <c r="E1093" s="4" t="s">
        <v>25</v>
      </c>
      <c r="F1093" s="4" t="s">
        <v>25</v>
      </c>
      <c r="G1093" s="4" t="s">
        <v>25</v>
      </c>
      <c r="H1093" s="4" t="s">
        <v>35</v>
      </c>
      <c r="I1093" s="5">
        <v>44409</v>
      </c>
      <c r="J1093" s="6">
        <v>0</v>
      </c>
      <c r="K1093" s="6">
        <v>0</v>
      </c>
      <c r="L1093" s="6">
        <v>-0.60499999999999998</v>
      </c>
      <c r="M1093" s="6">
        <v>-0.60499999999999998</v>
      </c>
      <c r="N1093" s="6">
        <v>-0.60499999999999998</v>
      </c>
      <c r="O1093" s="6">
        <v>-0.60499999999999998</v>
      </c>
      <c r="P1093" s="6">
        <v>0</v>
      </c>
      <c r="Q1093" s="4" t="s">
        <v>26</v>
      </c>
      <c r="R1093" s="4">
        <v>0</v>
      </c>
      <c r="S1093" s="6">
        <v>0</v>
      </c>
      <c r="T1093" s="6">
        <v>44</v>
      </c>
      <c r="U1093" s="6">
        <v>67</v>
      </c>
      <c r="V1093" s="6">
        <f>IF(ISERROR(VLOOKUP($S$1093,'TAR FIN'!$A$1:$O$104,15,0)),0,VLOOKUP($S$1093,'TAR FIN'!$A$1:$O$104,15,0))</f>
        <v>0</v>
      </c>
      <c r="W1093" s="6">
        <f>IF(ISERROR(VLOOKUP($T$1093,'TAR FIN'!$A$1:$O$104,15,0)),0,VLOOKUP($T$1093,'TAR FIN'!$A$1:$O$104,15,0))</f>
        <v>62.57</v>
      </c>
      <c r="X1093" s="6">
        <f>IF(ISERROR(VLOOKUP($U$1093,'TAR FIN'!$A$1:$O$104,15,0)),0,VLOOKUP($U$1093,'TAR FIN'!$A$1:$O$104,15,0))</f>
        <v>242.82</v>
      </c>
      <c r="Y1093" s="6"/>
      <c r="Z1093" s="6">
        <f ca="1">('TUSD BE'!$AM$26+'TUSD BF'!$AM$26+'TUSD CVA'!$AM$26)*1</f>
        <v>77.876201961015255</v>
      </c>
      <c r="AA1093" s="6">
        <f>('TE BE'!$AB$8+'TE BF'!$AB$8+'TE CVA'!$AB$8)*1</f>
        <v>231.76257384332172</v>
      </c>
      <c r="AB1093" s="6">
        <f>$K$1093*$V$1093</f>
        <v>0</v>
      </c>
      <c r="AC1093" s="6">
        <f>$M$1093*$W$1093</f>
        <v>-37.854849999999999</v>
      </c>
      <c r="AD1093" s="6">
        <f>$O$1093*$X$1093</f>
        <v>-146.90609999999998</v>
      </c>
      <c r="AE1093" s="6">
        <f>$K$1093*$Y$1093</f>
        <v>0</v>
      </c>
      <c r="AF1093" s="6">
        <f ca="1">$M$1093*$Z$1093</f>
        <v>-47.115102186414227</v>
      </c>
      <c r="AG1093" s="6">
        <f>$O$1093*$AA$1093</f>
        <v>-140.21635717520962</v>
      </c>
    </row>
    <row r="1094" spans="1:33" ht="11.25" customHeight="1" x14ac:dyDescent="0.25">
      <c r="A1094" s="4" t="s">
        <v>28</v>
      </c>
      <c r="B1094" s="4" t="s">
        <v>41</v>
      </c>
      <c r="C1094" s="4" t="s">
        <v>42</v>
      </c>
      <c r="D1094" s="4" t="s">
        <v>46</v>
      </c>
      <c r="E1094" s="4" t="s">
        <v>25</v>
      </c>
      <c r="F1094" s="4" t="s">
        <v>25</v>
      </c>
      <c r="G1094" s="4" t="s">
        <v>25</v>
      </c>
      <c r="H1094" s="4" t="s">
        <v>35</v>
      </c>
      <c r="I1094" s="5">
        <v>44409</v>
      </c>
      <c r="J1094" s="6">
        <v>0</v>
      </c>
      <c r="K1094" s="6">
        <v>0</v>
      </c>
      <c r="L1094" s="6">
        <v>119.15900000000001</v>
      </c>
      <c r="M1094" s="6">
        <v>119.15900000000001</v>
      </c>
      <c r="N1094" s="6">
        <v>119.15900000000001</v>
      </c>
      <c r="O1094" s="6">
        <v>119.15900000000001</v>
      </c>
      <c r="P1094" s="6">
        <v>0</v>
      </c>
      <c r="Q1094" s="4" t="s">
        <v>26</v>
      </c>
      <c r="R1094" s="4">
        <v>0</v>
      </c>
      <c r="S1094" s="6">
        <v>0</v>
      </c>
      <c r="T1094" s="6">
        <v>44</v>
      </c>
      <c r="U1094" s="6">
        <v>67</v>
      </c>
      <c r="V1094" s="6">
        <f>IF(ISERROR(VLOOKUP($S$1094,'TAR FIN'!$A$1:$O$104,15,0)),0,VLOOKUP($S$1094,'TAR FIN'!$A$1:$O$104,15,0))</f>
        <v>0</v>
      </c>
      <c r="W1094" s="6">
        <f>IF(ISERROR(VLOOKUP($T$1094,'TAR FIN'!$A$1:$O$104,15,0)),0,VLOOKUP($T$1094,'TAR FIN'!$A$1:$O$104,15,0))</f>
        <v>62.57</v>
      </c>
      <c r="X1094" s="6">
        <f>IF(ISERROR(VLOOKUP($U$1094,'TAR FIN'!$A$1:$O$104,15,0)),0,VLOOKUP($U$1094,'TAR FIN'!$A$1:$O$104,15,0))</f>
        <v>242.82</v>
      </c>
      <c r="Y1094" s="6"/>
      <c r="Z1094" s="6">
        <f ca="1">('TUSD BE'!$AM$26+'TUSD BF'!$AM$26+'TUSD CVA'!$AM$26)*1</f>
        <v>77.876201961015255</v>
      </c>
      <c r="AA1094" s="6">
        <f>('TE BE'!$AB$8+'TE BF'!$AB$8+'TE CVA'!$AB$8)*1</f>
        <v>231.76257384332172</v>
      </c>
      <c r="AB1094" s="6">
        <f>$K$1094*$V$1094</f>
        <v>0</v>
      </c>
      <c r="AC1094" s="6">
        <f>$M$1094*$W$1094</f>
        <v>7455.7786300000007</v>
      </c>
      <c r="AD1094" s="6">
        <f>$O$1094*$X$1094</f>
        <v>28934.18838</v>
      </c>
      <c r="AE1094" s="6">
        <f>$K$1094*$Y$1094</f>
        <v>0</v>
      </c>
      <c r="AF1094" s="6">
        <f ca="1">$M$1094*$Z$1094</f>
        <v>9279.6503494726167</v>
      </c>
      <c r="AG1094" s="6">
        <f>$O$1094*$AA$1094</f>
        <v>27616.596536596375</v>
      </c>
    </row>
    <row r="1095" spans="1:33" ht="11.25" customHeight="1" x14ac:dyDescent="0.25">
      <c r="A1095" s="4" t="s">
        <v>21</v>
      </c>
      <c r="B1095" s="4" t="s">
        <v>41</v>
      </c>
      <c r="C1095" s="4" t="s">
        <v>42</v>
      </c>
      <c r="D1095" s="4" t="s">
        <v>46</v>
      </c>
      <c r="E1095" s="4" t="s">
        <v>25</v>
      </c>
      <c r="F1095" s="4" t="s">
        <v>25</v>
      </c>
      <c r="G1095" s="4" t="s">
        <v>25</v>
      </c>
      <c r="H1095" s="4" t="s">
        <v>35</v>
      </c>
      <c r="I1095" s="5">
        <v>44440</v>
      </c>
      <c r="J1095" s="6">
        <v>0</v>
      </c>
      <c r="K1095" s="6">
        <v>0</v>
      </c>
      <c r="L1095" s="6">
        <v>6536.3530000000001</v>
      </c>
      <c r="M1095" s="6">
        <v>6536.3530000000001</v>
      </c>
      <c r="N1095" s="6">
        <v>6536.3530000000001</v>
      </c>
      <c r="O1095" s="6">
        <v>6536.3530000000001</v>
      </c>
      <c r="P1095" s="6">
        <v>0</v>
      </c>
      <c r="Q1095" s="4" t="s">
        <v>26</v>
      </c>
      <c r="R1095" s="4">
        <v>0</v>
      </c>
      <c r="S1095" s="6">
        <v>0</v>
      </c>
      <c r="T1095" s="6">
        <v>44</v>
      </c>
      <c r="U1095" s="6">
        <v>67</v>
      </c>
      <c r="V1095" s="6">
        <f>IF(ISERROR(VLOOKUP($S$1095,'TAR FIN'!$A$1:$O$104,15,0)),0,VLOOKUP($S$1095,'TAR FIN'!$A$1:$O$104,15,0))</f>
        <v>0</v>
      </c>
      <c r="W1095" s="6">
        <f>IF(ISERROR(VLOOKUP($T$1095,'TAR FIN'!$A$1:$O$104,15,0)),0,VLOOKUP($T$1095,'TAR FIN'!$A$1:$O$104,15,0))</f>
        <v>62.57</v>
      </c>
      <c r="X1095" s="6">
        <f>IF(ISERROR(VLOOKUP($U$1095,'TAR FIN'!$A$1:$O$104,15,0)),0,VLOOKUP($U$1095,'TAR FIN'!$A$1:$O$104,15,0))</f>
        <v>242.82</v>
      </c>
      <c r="Y1095" s="6"/>
      <c r="Z1095" s="6">
        <f ca="1">('TUSD BE'!$AM$26+'TUSD BF'!$AM$26+'TUSD CVA'!$AM$26)*1</f>
        <v>77.876201961015255</v>
      </c>
      <c r="AA1095" s="6">
        <f>('TE BE'!$AB$8+'TE BF'!$AB$8+'TE CVA'!$AB$8)*1</f>
        <v>231.76257384332172</v>
      </c>
      <c r="AB1095" s="6">
        <f>$K$1095*$V$1095</f>
        <v>0</v>
      </c>
      <c r="AC1095" s="6">
        <f>$M$1095*$W$1095</f>
        <v>408979.60720999999</v>
      </c>
      <c r="AD1095" s="6">
        <f>$O$1095*$X$1095</f>
        <v>1587157.2354599999</v>
      </c>
      <c r="AE1095" s="6">
        <f>$K$1095*$Y$1095</f>
        <v>0</v>
      </c>
      <c r="AF1095" s="6">
        <f ca="1">$M$1095*$Z$1095</f>
        <v>509026.34631648794</v>
      </c>
      <c r="AG1095" s="6">
        <f>$O$1095*$AA$1095</f>
        <v>1514881.9948285175</v>
      </c>
    </row>
    <row r="1096" spans="1:33" ht="11.25" customHeight="1" x14ac:dyDescent="0.25">
      <c r="A1096" s="4" t="s">
        <v>27</v>
      </c>
      <c r="B1096" s="4" t="s">
        <v>41</v>
      </c>
      <c r="C1096" s="4" t="s">
        <v>42</v>
      </c>
      <c r="D1096" s="4" t="s">
        <v>46</v>
      </c>
      <c r="E1096" s="4" t="s">
        <v>25</v>
      </c>
      <c r="F1096" s="4" t="s">
        <v>25</v>
      </c>
      <c r="G1096" s="4" t="s">
        <v>25</v>
      </c>
      <c r="H1096" s="4" t="s">
        <v>35</v>
      </c>
      <c r="I1096" s="5">
        <v>44440</v>
      </c>
      <c r="J1096" s="6">
        <v>0</v>
      </c>
      <c r="K1096" s="6">
        <v>0</v>
      </c>
      <c r="L1096" s="6">
        <v>-121.8</v>
      </c>
      <c r="M1096" s="6">
        <v>-121.8</v>
      </c>
      <c r="N1096" s="6">
        <v>-121.8</v>
      </c>
      <c r="O1096" s="6">
        <v>-121.8</v>
      </c>
      <c r="P1096" s="6">
        <v>0</v>
      </c>
      <c r="Q1096" s="4" t="s">
        <v>26</v>
      </c>
      <c r="R1096" s="4">
        <v>0</v>
      </c>
      <c r="S1096" s="6">
        <v>0</v>
      </c>
      <c r="T1096" s="6">
        <v>44</v>
      </c>
      <c r="U1096" s="6">
        <v>67</v>
      </c>
      <c r="V1096" s="6">
        <f>IF(ISERROR(VLOOKUP($S$1096,'TAR FIN'!$A$1:$O$104,15,0)),0,VLOOKUP($S$1096,'TAR FIN'!$A$1:$O$104,15,0))</f>
        <v>0</v>
      </c>
      <c r="W1096" s="6">
        <f>IF(ISERROR(VLOOKUP($T$1096,'TAR FIN'!$A$1:$O$104,15,0)),0,VLOOKUP($T$1096,'TAR FIN'!$A$1:$O$104,15,0))</f>
        <v>62.57</v>
      </c>
      <c r="X1096" s="6">
        <f>IF(ISERROR(VLOOKUP($U$1096,'TAR FIN'!$A$1:$O$104,15,0)),0,VLOOKUP($U$1096,'TAR FIN'!$A$1:$O$104,15,0))</f>
        <v>242.82</v>
      </c>
      <c r="Y1096" s="6"/>
      <c r="Z1096" s="6">
        <f ca="1">('TUSD BE'!$AM$26+'TUSD BF'!$AM$26+'TUSD CVA'!$AM$26)*1</f>
        <v>77.876201961015255</v>
      </c>
      <c r="AA1096" s="6">
        <f>('TE BE'!$AB$8+'TE BF'!$AB$8+'TE CVA'!$AB$8)*1</f>
        <v>231.76257384332172</v>
      </c>
      <c r="AB1096" s="6">
        <f>$K$1096*$V$1096</f>
        <v>0</v>
      </c>
      <c r="AC1096" s="6">
        <f>$M$1096*$W$1096</f>
        <v>-7621.0259999999998</v>
      </c>
      <c r="AD1096" s="6">
        <f>$O$1096*$X$1096</f>
        <v>-29575.475999999999</v>
      </c>
      <c r="AE1096" s="6">
        <f>$K$1096*$Y$1096</f>
        <v>0</v>
      </c>
      <c r="AF1096" s="6">
        <f ca="1">$M$1096*$Z$1096</f>
        <v>-9485.3213988516582</v>
      </c>
      <c r="AG1096" s="6">
        <f>$O$1096*$AA$1096</f>
        <v>-28228.681494116583</v>
      </c>
    </row>
    <row r="1097" spans="1:33" ht="11.25" customHeight="1" x14ac:dyDescent="0.25">
      <c r="A1097" s="4" t="s">
        <v>28</v>
      </c>
      <c r="B1097" s="4" t="s">
        <v>41</v>
      </c>
      <c r="C1097" s="4" t="s">
        <v>42</v>
      </c>
      <c r="D1097" s="4" t="s">
        <v>46</v>
      </c>
      <c r="E1097" s="4" t="s">
        <v>25</v>
      </c>
      <c r="F1097" s="4" t="s">
        <v>25</v>
      </c>
      <c r="G1097" s="4" t="s">
        <v>25</v>
      </c>
      <c r="H1097" s="4" t="s">
        <v>35</v>
      </c>
      <c r="I1097" s="5">
        <v>44440</v>
      </c>
      <c r="J1097" s="6">
        <v>0</v>
      </c>
      <c r="K1097" s="6">
        <v>0</v>
      </c>
      <c r="L1097" s="6">
        <v>141.476</v>
      </c>
      <c r="M1097" s="6">
        <v>141.476</v>
      </c>
      <c r="N1097" s="6">
        <v>141.476</v>
      </c>
      <c r="O1097" s="6">
        <v>141.476</v>
      </c>
      <c r="P1097" s="6">
        <v>0</v>
      </c>
      <c r="Q1097" s="4" t="s">
        <v>26</v>
      </c>
      <c r="R1097" s="4">
        <v>0</v>
      </c>
      <c r="S1097" s="6">
        <v>0</v>
      </c>
      <c r="T1097" s="6">
        <v>44</v>
      </c>
      <c r="U1097" s="6">
        <v>67</v>
      </c>
      <c r="V1097" s="6">
        <f>IF(ISERROR(VLOOKUP($S$1097,'TAR FIN'!$A$1:$O$104,15,0)),0,VLOOKUP($S$1097,'TAR FIN'!$A$1:$O$104,15,0))</f>
        <v>0</v>
      </c>
      <c r="W1097" s="6">
        <f>IF(ISERROR(VLOOKUP($T$1097,'TAR FIN'!$A$1:$O$104,15,0)),0,VLOOKUP($T$1097,'TAR FIN'!$A$1:$O$104,15,0))</f>
        <v>62.57</v>
      </c>
      <c r="X1097" s="6">
        <f>IF(ISERROR(VLOOKUP($U$1097,'TAR FIN'!$A$1:$O$104,15,0)),0,VLOOKUP($U$1097,'TAR FIN'!$A$1:$O$104,15,0))</f>
        <v>242.82</v>
      </c>
      <c r="Y1097" s="6"/>
      <c r="Z1097" s="6">
        <f ca="1">('TUSD BE'!$AM$26+'TUSD BF'!$AM$26+'TUSD CVA'!$AM$26)*1</f>
        <v>77.876201961015255</v>
      </c>
      <c r="AA1097" s="6">
        <f>('TE BE'!$AB$8+'TE BF'!$AB$8+'TE CVA'!$AB$8)*1</f>
        <v>231.76257384332172</v>
      </c>
      <c r="AB1097" s="6">
        <f>$K$1097*$V$1097</f>
        <v>0</v>
      </c>
      <c r="AC1097" s="6">
        <f>$M$1097*$W$1097</f>
        <v>8852.1533199999994</v>
      </c>
      <c r="AD1097" s="6">
        <f>$O$1097*$X$1097</f>
        <v>34353.202319999997</v>
      </c>
      <c r="AE1097" s="6">
        <f>$K$1097*$Y$1097</f>
        <v>0</v>
      </c>
      <c r="AF1097" s="6">
        <f ca="1">$M$1097*$Z$1097</f>
        <v>11017.613548636595</v>
      </c>
      <c r="AG1097" s="6">
        <f>$O$1097*$AA$1097</f>
        <v>32788.841897057784</v>
      </c>
    </row>
    <row r="1098" spans="1:33" ht="11.25" customHeight="1" x14ac:dyDescent="0.25">
      <c r="A1098" s="4" t="s">
        <v>21</v>
      </c>
      <c r="B1098" s="4" t="s">
        <v>41</v>
      </c>
      <c r="C1098" s="4" t="s">
        <v>42</v>
      </c>
      <c r="D1098" s="4" t="s">
        <v>46</v>
      </c>
      <c r="E1098" s="4" t="s">
        <v>25</v>
      </c>
      <c r="F1098" s="4" t="s">
        <v>25</v>
      </c>
      <c r="G1098" s="4" t="s">
        <v>25</v>
      </c>
      <c r="H1098" s="4" t="s">
        <v>35</v>
      </c>
      <c r="I1098" s="5">
        <v>44470</v>
      </c>
      <c r="J1098" s="6">
        <v>0</v>
      </c>
      <c r="K1098" s="6">
        <v>0</v>
      </c>
      <c r="L1098" s="6">
        <v>7273.1719999999996</v>
      </c>
      <c r="M1098" s="6">
        <v>7273.1719999999996</v>
      </c>
      <c r="N1098" s="6">
        <v>7273.1719999999996</v>
      </c>
      <c r="O1098" s="6">
        <v>7273.1719999999996</v>
      </c>
      <c r="P1098" s="6">
        <v>0</v>
      </c>
      <c r="Q1098" s="4" t="s">
        <v>26</v>
      </c>
      <c r="R1098" s="4">
        <v>0</v>
      </c>
      <c r="S1098" s="6">
        <v>0</v>
      </c>
      <c r="T1098" s="6">
        <v>44</v>
      </c>
      <c r="U1098" s="6">
        <v>67</v>
      </c>
      <c r="V1098" s="6">
        <f>IF(ISERROR(VLOOKUP($S$1098,'TAR FIN'!$A$1:$O$104,15,0)),0,VLOOKUP($S$1098,'TAR FIN'!$A$1:$O$104,15,0))</f>
        <v>0</v>
      </c>
      <c r="W1098" s="6">
        <f>IF(ISERROR(VLOOKUP($T$1098,'TAR FIN'!$A$1:$O$104,15,0)),0,VLOOKUP($T$1098,'TAR FIN'!$A$1:$O$104,15,0))</f>
        <v>62.57</v>
      </c>
      <c r="X1098" s="6">
        <f>IF(ISERROR(VLOOKUP($U$1098,'TAR FIN'!$A$1:$O$104,15,0)),0,VLOOKUP($U$1098,'TAR FIN'!$A$1:$O$104,15,0))</f>
        <v>242.82</v>
      </c>
      <c r="Y1098" s="6"/>
      <c r="Z1098" s="6">
        <f ca="1">('TUSD BE'!$AM$26+'TUSD BF'!$AM$26+'TUSD CVA'!$AM$26)*1</f>
        <v>77.876201961015255</v>
      </c>
      <c r="AA1098" s="6">
        <f>('TE BE'!$AB$8+'TE BF'!$AB$8+'TE CVA'!$AB$8)*1</f>
        <v>231.76257384332172</v>
      </c>
      <c r="AB1098" s="6">
        <f>$K$1098*$V$1098</f>
        <v>0</v>
      </c>
      <c r="AC1098" s="6">
        <f>$M$1098*$W$1098</f>
        <v>455082.37203999999</v>
      </c>
      <c r="AD1098" s="6">
        <f>$O$1098*$X$1098</f>
        <v>1766071.6250399998</v>
      </c>
      <c r="AE1098" s="6">
        <f>$K$1098*$Y$1098</f>
        <v>0</v>
      </c>
      <c r="AF1098" s="6">
        <f ca="1">$M$1098*$Z$1098</f>
        <v>566407.01156920125</v>
      </c>
      <c r="AG1098" s="6">
        <f>$O$1098*$AA$1098</f>
        <v>1685649.0627251798</v>
      </c>
    </row>
    <row r="1099" spans="1:33" ht="11.25" customHeight="1" x14ac:dyDescent="0.25">
      <c r="A1099" s="4" t="s">
        <v>27</v>
      </c>
      <c r="B1099" s="4" t="s">
        <v>41</v>
      </c>
      <c r="C1099" s="4" t="s">
        <v>42</v>
      </c>
      <c r="D1099" s="4" t="s">
        <v>46</v>
      </c>
      <c r="E1099" s="4" t="s">
        <v>25</v>
      </c>
      <c r="F1099" s="4" t="s">
        <v>25</v>
      </c>
      <c r="G1099" s="4" t="s">
        <v>25</v>
      </c>
      <c r="H1099" s="4" t="s">
        <v>35</v>
      </c>
      <c r="I1099" s="5">
        <v>44470</v>
      </c>
      <c r="J1099" s="6">
        <v>0</v>
      </c>
      <c r="K1099" s="6">
        <v>0</v>
      </c>
      <c r="L1099" s="6">
        <v>2.9209999999999998</v>
      </c>
      <c r="M1099" s="6">
        <v>2.9209999999999998</v>
      </c>
      <c r="N1099" s="6">
        <v>2.9209999999999998</v>
      </c>
      <c r="O1099" s="6">
        <v>2.9209999999999998</v>
      </c>
      <c r="P1099" s="6">
        <v>0</v>
      </c>
      <c r="Q1099" s="4" t="s">
        <v>26</v>
      </c>
      <c r="R1099" s="4">
        <v>0</v>
      </c>
      <c r="S1099" s="6">
        <v>0</v>
      </c>
      <c r="T1099" s="6">
        <v>44</v>
      </c>
      <c r="U1099" s="6">
        <v>67</v>
      </c>
      <c r="V1099" s="6">
        <f>IF(ISERROR(VLOOKUP($S$1099,'TAR FIN'!$A$1:$O$104,15,0)),0,VLOOKUP($S$1099,'TAR FIN'!$A$1:$O$104,15,0))</f>
        <v>0</v>
      </c>
      <c r="W1099" s="6">
        <f>IF(ISERROR(VLOOKUP($T$1099,'TAR FIN'!$A$1:$O$104,15,0)),0,VLOOKUP($T$1099,'TAR FIN'!$A$1:$O$104,15,0))</f>
        <v>62.57</v>
      </c>
      <c r="X1099" s="6">
        <f>IF(ISERROR(VLOOKUP($U$1099,'TAR FIN'!$A$1:$O$104,15,0)),0,VLOOKUP($U$1099,'TAR FIN'!$A$1:$O$104,15,0))</f>
        <v>242.82</v>
      </c>
      <c r="Y1099" s="6"/>
      <c r="Z1099" s="6">
        <f ca="1">('TUSD BE'!$AM$26+'TUSD BF'!$AM$26+'TUSD CVA'!$AM$26)*1</f>
        <v>77.876201961015255</v>
      </c>
      <c r="AA1099" s="6">
        <f>('TE BE'!$AB$8+'TE BF'!$AB$8+'TE CVA'!$AB$8)*1</f>
        <v>231.76257384332172</v>
      </c>
      <c r="AB1099" s="6">
        <f>$K$1099*$V$1099</f>
        <v>0</v>
      </c>
      <c r="AC1099" s="6">
        <f>$M$1099*$W$1099</f>
        <v>182.76696999999999</v>
      </c>
      <c r="AD1099" s="6">
        <f>$O$1099*$X$1099</f>
        <v>709.27721999999994</v>
      </c>
      <c r="AE1099" s="6">
        <f>$K$1099*$Y$1099</f>
        <v>0</v>
      </c>
      <c r="AF1099" s="6">
        <f ca="1">$M$1099*$Z$1099</f>
        <v>227.47638592812555</v>
      </c>
      <c r="AG1099" s="6">
        <f>$O$1099*$AA$1099</f>
        <v>676.97847819634273</v>
      </c>
    </row>
    <row r="1100" spans="1:33" ht="11.25" customHeight="1" x14ac:dyDescent="0.25">
      <c r="A1100" s="4" t="s">
        <v>28</v>
      </c>
      <c r="B1100" s="4" t="s">
        <v>41</v>
      </c>
      <c r="C1100" s="4" t="s">
        <v>42</v>
      </c>
      <c r="D1100" s="4" t="s">
        <v>46</v>
      </c>
      <c r="E1100" s="4" t="s">
        <v>25</v>
      </c>
      <c r="F1100" s="4" t="s">
        <v>25</v>
      </c>
      <c r="G1100" s="4" t="s">
        <v>25</v>
      </c>
      <c r="H1100" s="4" t="s">
        <v>35</v>
      </c>
      <c r="I1100" s="5">
        <v>44470</v>
      </c>
      <c r="J1100" s="6">
        <v>0</v>
      </c>
      <c r="K1100" s="6">
        <v>0</v>
      </c>
      <c r="L1100" s="6">
        <v>163.89</v>
      </c>
      <c r="M1100" s="6">
        <v>163.89</v>
      </c>
      <c r="N1100" s="6">
        <v>163.89</v>
      </c>
      <c r="O1100" s="6">
        <v>163.89</v>
      </c>
      <c r="P1100" s="6">
        <v>0</v>
      </c>
      <c r="Q1100" s="4" t="s">
        <v>26</v>
      </c>
      <c r="R1100" s="4">
        <v>0</v>
      </c>
      <c r="S1100" s="6">
        <v>0</v>
      </c>
      <c r="T1100" s="6">
        <v>44</v>
      </c>
      <c r="U1100" s="6">
        <v>67</v>
      </c>
      <c r="V1100" s="6">
        <f>IF(ISERROR(VLOOKUP($S$1100,'TAR FIN'!$A$1:$O$104,15,0)),0,VLOOKUP($S$1100,'TAR FIN'!$A$1:$O$104,15,0))</f>
        <v>0</v>
      </c>
      <c r="W1100" s="6">
        <f>IF(ISERROR(VLOOKUP($T$1100,'TAR FIN'!$A$1:$O$104,15,0)),0,VLOOKUP($T$1100,'TAR FIN'!$A$1:$O$104,15,0))</f>
        <v>62.57</v>
      </c>
      <c r="X1100" s="6">
        <f>IF(ISERROR(VLOOKUP($U$1100,'TAR FIN'!$A$1:$O$104,15,0)),0,VLOOKUP($U$1100,'TAR FIN'!$A$1:$O$104,15,0))</f>
        <v>242.82</v>
      </c>
      <c r="Y1100" s="6"/>
      <c r="Z1100" s="6">
        <f ca="1">('TUSD BE'!$AM$26+'TUSD BF'!$AM$26+'TUSD CVA'!$AM$26)*1</f>
        <v>77.876201961015255</v>
      </c>
      <c r="AA1100" s="6">
        <f>('TE BE'!$AB$8+'TE BF'!$AB$8+'TE CVA'!$AB$8)*1</f>
        <v>231.76257384332172</v>
      </c>
      <c r="AB1100" s="6">
        <f>$K$1100*$V$1100</f>
        <v>0</v>
      </c>
      <c r="AC1100" s="6">
        <f>$M$1100*$W$1100</f>
        <v>10254.597299999999</v>
      </c>
      <c r="AD1100" s="6">
        <f>$O$1100*$X$1100</f>
        <v>39795.769799999995</v>
      </c>
      <c r="AE1100" s="6">
        <f>$K$1100*$Y$1100</f>
        <v>0</v>
      </c>
      <c r="AF1100" s="6">
        <f ca="1">$M$1100*$Z$1100</f>
        <v>12763.130739390788</v>
      </c>
      <c r="AG1100" s="6">
        <f>$O$1100*$AA$1100</f>
        <v>37983.56822718199</v>
      </c>
    </row>
    <row r="1101" spans="1:33" ht="11.25" customHeight="1" x14ac:dyDescent="0.25">
      <c r="A1101" s="4" t="s">
        <v>21</v>
      </c>
      <c r="B1101" s="4" t="s">
        <v>41</v>
      </c>
      <c r="C1101" s="4" t="s">
        <v>42</v>
      </c>
      <c r="D1101" s="4" t="s">
        <v>46</v>
      </c>
      <c r="E1101" s="4" t="s">
        <v>25</v>
      </c>
      <c r="F1101" s="4" t="s">
        <v>25</v>
      </c>
      <c r="G1101" s="4" t="s">
        <v>25</v>
      </c>
      <c r="H1101" s="4" t="s">
        <v>35</v>
      </c>
      <c r="I1101" s="5">
        <v>44501</v>
      </c>
      <c r="J1101" s="6">
        <v>0</v>
      </c>
      <c r="K1101" s="6">
        <v>0</v>
      </c>
      <c r="L1101" s="6">
        <v>7854.3410000000003</v>
      </c>
      <c r="M1101" s="6">
        <v>7854.3410000000003</v>
      </c>
      <c r="N1101" s="6">
        <v>7854.3410000000003</v>
      </c>
      <c r="O1101" s="6">
        <v>7854.3410000000003</v>
      </c>
      <c r="P1101" s="6">
        <v>0</v>
      </c>
      <c r="Q1101" s="4" t="s">
        <v>26</v>
      </c>
      <c r="R1101" s="4">
        <v>0</v>
      </c>
      <c r="S1101" s="6">
        <v>0</v>
      </c>
      <c r="T1101" s="6">
        <v>44</v>
      </c>
      <c r="U1101" s="6">
        <v>67</v>
      </c>
      <c r="V1101" s="6">
        <f>IF(ISERROR(VLOOKUP($S$1101,'TAR FIN'!$A$1:$O$104,15,0)),0,VLOOKUP($S$1101,'TAR FIN'!$A$1:$O$104,15,0))</f>
        <v>0</v>
      </c>
      <c r="W1101" s="6">
        <f>IF(ISERROR(VLOOKUP($T$1101,'TAR FIN'!$A$1:$O$104,15,0)),0,VLOOKUP($T$1101,'TAR FIN'!$A$1:$O$104,15,0))</f>
        <v>62.57</v>
      </c>
      <c r="X1101" s="6">
        <f>IF(ISERROR(VLOOKUP($U$1101,'TAR FIN'!$A$1:$O$104,15,0)),0,VLOOKUP($U$1101,'TAR FIN'!$A$1:$O$104,15,0))</f>
        <v>242.82</v>
      </c>
      <c r="Y1101" s="6"/>
      <c r="Z1101" s="6">
        <f ca="1">('TUSD BE'!$AM$26+'TUSD BF'!$AM$26+'TUSD CVA'!$AM$26)*1</f>
        <v>77.876201961015255</v>
      </c>
      <c r="AA1101" s="6">
        <f>('TE BE'!$AB$8+'TE BF'!$AB$8+'TE CVA'!$AB$8)*1</f>
        <v>231.76257384332172</v>
      </c>
      <c r="AB1101" s="6">
        <f>$K$1101*$V$1101</f>
        <v>0</v>
      </c>
      <c r="AC1101" s="6">
        <f>$M$1101*$W$1101</f>
        <v>491446.11637</v>
      </c>
      <c r="AD1101" s="6">
        <f>$O$1101*$X$1101</f>
        <v>1907191.0816200001</v>
      </c>
      <c r="AE1101" s="6">
        <f>$K$1101*$Y$1101</f>
        <v>0</v>
      </c>
      <c r="AF1101" s="6">
        <f ca="1">$M$1101*$Z$1101</f>
        <v>611666.2459866826</v>
      </c>
      <c r="AG1101" s="6">
        <f>$O$1101*$AA$1101</f>
        <v>1820342.2860031293</v>
      </c>
    </row>
    <row r="1102" spans="1:33" ht="11.25" customHeight="1" x14ac:dyDescent="0.25">
      <c r="A1102" s="4" t="s">
        <v>28</v>
      </c>
      <c r="B1102" s="4" t="s">
        <v>41</v>
      </c>
      <c r="C1102" s="4" t="s">
        <v>42</v>
      </c>
      <c r="D1102" s="4" t="s">
        <v>46</v>
      </c>
      <c r="E1102" s="4" t="s">
        <v>25</v>
      </c>
      <c r="F1102" s="4" t="s">
        <v>25</v>
      </c>
      <c r="G1102" s="4" t="s">
        <v>25</v>
      </c>
      <c r="H1102" s="4" t="s">
        <v>35</v>
      </c>
      <c r="I1102" s="5">
        <v>44501</v>
      </c>
      <c r="J1102" s="6">
        <v>0</v>
      </c>
      <c r="K1102" s="6">
        <v>0</v>
      </c>
      <c r="L1102" s="6">
        <v>170.649</v>
      </c>
      <c r="M1102" s="6">
        <v>170.649</v>
      </c>
      <c r="N1102" s="6">
        <v>170.649</v>
      </c>
      <c r="O1102" s="6">
        <v>170.649</v>
      </c>
      <c r="P1102" s="6">
        <v>0</v>
      </c>
      <c r="Q1102" s="4" t="s">
        <v>26</v>
      </c>
      <c r="R1102" s="4">
        <v>0</v>
      </c>
      <c r="S1102" s="6">
        <v>0</v>
      </c>
      <c r="T1102" s="6">
        <v>44</v>
      </c>
      <c r="U1102" s="6">
        <v>67</v>
      </c>
      <c r="V1102" s="6">
        <f>IF(ISERROR(VLOOKUP($S$1102,'TAR FIN'!$A$1:$O$104,15,0)),0,VLOOKUP($S$1102,'TAR FIN'!$A$1:$O$104,15,0))</f>
        <v>0</v>
      </c>
      <c r="W1102" s="6">
        <f>IF(ISERROR(VLOOKUP($T$1102,'TAR FIN'!$A$1:$O$104,15,0)),0,VLOOKUP($T$1102,'TAR FIN'!$A$1:$O$104,15,0))</f>
        <v>62.57</v>
      </c>
      <c r="X1102" s="6">
        <f>IF(ISERROR(VLOOKUP($U$1102,'TAR FIN'!$A$1:$O$104,15,0)),0,VLOOKUP($U$1102,'TAR FIN'!$A$1:$O$104,15,0))</f>
        <v>242.82</v>
      </c>
      <c r="Y1102" s="6"/>
      <c r="Z1102" s="6">
        <f ca="1">('TUSD BE'!$AM$26+'TUSD BF'!$AM$26+'TUSD CVA'!$AM$26)*1</f>
        <v>77.876201961015255</v>
      </c>
      <c r="AA1102" s="6">
        <f>('TE BE'!$AB$8+'TE BF'!$AB$8+'TE CVA'!$AB$8)*1</f>
        <v>231.76257384332172</v>
      </c>
      <c r="AB1102" s="6">
        <f>$K$1102*$V$1102</f>
        <v>0</v>
      </c>
      <c r="AC1102" s="6">
        <f>$M$1102*$W$1102</f>
        <v>10677.50793</v>
      </c>
      <c r="AD1102" s="6">
        <f>$O$1102*$X$1102</f>
        <v>41436.990180000001</v>
      </c>
      <c r="AE1102" s="6">
        <f>$K$1102*$Y$1102</f>
        <v>0</v>
      </c>
      <c r="AF1102" s="6">
        <f ca="1">$M$1102*$Z$1102</f>
        <v>13289.495988445293</v>
      </c>
      <c r="AG1102" s="6">
        <f>$O$1102*$AA$1102</f>
        <v>39550.051463789008</v>
      </c>
    </row>
    <row r="1103" spans="1:33" ht="11.25" customHeight="1" x14ac:dyDescent="0.25">
      <c r="A1103" s="4" t="s">
        <v>21</v>
      </c>
      <c r="B1103" s="4" t="s">
        <v>41</v>
      </c>
      <c r="C1103" s="4" t="s">
        <v>42</v>
      </c>
      <c r="D1103" s="4" t="s">
        <v>46</v>
      </c>
      <c r="E1103" s="4" t="s">
        <v>25</v>
      </c>
      <c r="F1103" s="4" t="s">
        <v>25</v>
      </c>
      <c r="G1103" s="4" t="s">
        <v>25</v>
      </c>
      <c r="H1103" s="4" t="s">
        <v>35</v>
      </c>
      <c r="I1103" s="5">
        <v>44531</v>
      </c>
      <c r="J1103" s="6">
        <v>0</v>
      </c>
      <c r="K1103" s="6">
        <v>0</v>
      </c>
      <c r="L1103" s="6">
        <v>7959.6980000000003</v>
      </c>
      <c r="M1103" s="6">
        <v>7959.6980000000003</v>
      </c>
      <c r="N1103" s="6">
        <v>7959.6980000000003</v>
      </c>
      <c r="O1103" s="6">
        <v>7959.6980000000003</v>
      </c>
      <c r="P1103" s="6">
        <v>0</v>
      </c>
      <c r="Q1103" s="4" t="s">
        <v>26</v>
      </c>
      <c r="R1103" s="4">
        <v>0</v>
      </c>
      <c r="S1103" s="6">
        <v>0</v>
      </c>
      <c r="T1103" s="6">
        <v>44</v>
      </c>
      <c r="U1103" s="6">
        <v>67</v>
      </c>
      <c r="V1103" s="6">
        <f>IF(ISERROR(VLOOKUP($S$1103,'TAR FIN'!$A$1:$O$104,15,0)),0,VLOOKUP($S$1103,'TAR FIN'!$A$1:$O$104,15,0))</f>
        <v>0</v>
      </c>
      <c r="W1103" s="6">
        <f>IF(ISERROR(VLOOKUP($T$1103,'TAR FIN'!$A$1:$O$104,15,0)),0,VLOOKUP($T$1103,'TAR FIN'!$A$1:$O$104,15,0))</f>
        <v>62.57</v>
      </c>
      <c r="X1103" s="6">
        <f>IF(ISERROR(VLOOKUP($U$1103,'TAR FIN'!$A$1:$O$104,15,0)),0,VLOOKUP($U$1103,'TAR FIN'!$A$1:$O$104,15,0))</f>
        <v>242.82</v>
      </c>
      <c r="Y1103" s="6"/>
      <c r="Z1103" s="6">
        <f ca="1">('TUSD BE'!$AM$26+'TUSD BF'!$AM$26+'TUSD CVA'!$AM$26)*1</f>
        <v>77.876201961015255</v>
      </c>
      <c r="AA1103" s="6">
        <f>('TE BE'!$AB$8+'TE BF'!$AB$8+'TE CVA'!$AB$8)*1</f>
        <v>231.76257384332172</v>
      </c>
      <c r="AB1103" s="6">
        <f>$K$1103*$V$1103</f>
        <v>0</v>
      </c>
      <c r="AC1103" s="6">
        <f>$M$1103*$W$1103</f>
        <v>498038.30386000004</v>
      </c>
      <c r="AD1103" s="6">
        <f>$O$1103*$X$1103</f>
        <v>1932773.86836</v>
      </c>
      <c r="AE1103" s="6">
        <f>$K$1103*$Y$1103</f>
        <v>0</v>
      </c>
      <c r="AF1103" s="6">
        <f ca="1">$M$1103*$Z$1103</f>
        <v>619871.04899668926</v>
      </c>
      <c r="AG1103" s="6">
        <f>$O$1103*$AA$1103</f>
        <v>1844760.0954955402</v>
      </c>
    </row>
    <row r="1104" spans="1:33" ht="11.25" customHeight="1" x14ac:dyDescent="0.25">
      <c r="A1104" s="4" t="s">
        <v>28</v>
      </c>
      <c r="B1104" s="4" t="s">
        <v>41</v>
      </c>
      <c r="C1104" s="4" t="s">
        <v>42</v>
      </c>
      <c r="D1104" s="4" t="s">
        <v>46</v>
      </c>
      <c r="E1104" s="4" t="s">
        <v>25</v>
      </c>
      <c r="F1104" s="4" t="s">
        <v>25</v>
      </c>
      <c r="G1104" s="4" t="s">
        <v>25</v>
      </c>
      <c r="H1104" s="4" t="s">
        <v>35</v>
      </c>
      <c r="I1104" s="5">
        <v>44531</v>
      </c>
      <c r="J1104" s="6">
        <v>0</v>
      </c>
      <c r="K1104" s="6">
        <v>0</v>
      </c>
      <c r="L1104" s="6">
        <v>182.31100000000001</v>
      </c>
      <c r="M1104" s="6">
        <v>182.31100000000001</v>
      </c>
      <c r="N1104" s="6">
        <v>182.31100000000001</v>
      </c>
      <c r="O1104" s="6">
        <v>182.31100000000001</v>
      </c>
      <c r="P1104" s="6">
        <v>0</v>
      </c>
      <c r="Q1104" s="4" t="s">
        <v>26</v>
      </c>
      <c r="R1104" s="4">
        <v>0</v>
      </c>
      <c r="S1104" s="6">
        <v>0</v>
      </c>
      <c r="T1104" s="6">
        <v>44</v>
      </c>
      <c r="U1104" s="6">
        <v>67</v>
      </c>
      <c r="V1104" s="6">
        <f>IF(ISERROR(VLOOKUP($S$1104,'TAR FIN'!$A$1:$O$104,15,0)),0,VLOOKUP($S$1104,'TAR FIN'!$A$1:$O$104,15,0))</f>
        <v>0</v>
      </c>
      <c r="W1104" s="6">
        <f>IF(ISERROR(VLOOKUP($T$1104,'TAR FIN'!$A$1:$O$104,15,0)),0,VLOOKUP($T$1104,'TAR FIN'!$A$1:$O$104,15,0))</f>
        <v>62.57</v>
      </c>
      <c r="X1104" s="6">
        <f>IF(ISERROR(VLOOKUP($U$1104,'TAR FIN'!$A$1:$O$104,15,0)),0,VLOOKUP($U$1104,'TAR FIN'!$A$1:$O$104,15,0))</f>
        <v>242.82</v>
      </c>
      <c r="Y1104" s="6"/>
      <c r="Z1104" s="6">
        <f ca="1">('TUSD BE'!$AM$26+'TUSD BF'!$AM$26+'TUSD CVA'!$AM$26)*1</f>
        <v>77.876201961015255</v>
      </c>
      <c r="AA1104" s="6">
        <f>('TE BE'!$AB$8+'TE BF'!$AB$8+'TE CVA'!$AB$8)*1</f>
        <v>231.76257384332172</v>
      </c>
      <c r="AB1104" s="6">
        <f>$K$1104*$V$1104</f>
        <v>0</v>
      </c>
      <c r="AC1104" s="6">
        <f>$M$1104*$W$1104</f>
        <v>11407.199270000001</v>
      </c>
      <c r="AD1104" s="6">
        <f>$O$1104*$X$1104</f>
        <v>44268.757019999997</v>
      </c>
      <c r="AE1104" s="6">
        <f>$K$1104*$Y$1104</f>
        <v>0</v>
      </c>
      <c r="AF1104" s="6">
        <f ca="1">$M$1104*$Z$1104</f>
        <v>14197.688255714653</v>
      </c>
      <c r="AG1104" s="6">
        <f>$O$1104*$AA$1104</f>
        <v>42252.866599949826</v>
      </c>
    </row>
    <row r="1105" spans="1:33" ht="11.25" customHeight="1" x14ac:dyDescent="0.25">
      <c r="A1105" s="4" t="s">
        <v>21</v>
      </c>
      <c r="B1105" s="4" t="s">
        <v>41</v>
      </c>
      <c r="C1105" s="4" t="s">
        <v>42</v>
      </c>
      <c r="D1105" s="4" t="s">
        <v>46</v>
      </c>
      <c r="E1105" s="4" t="s">
        <v>25</v>
      </c>
      <c r="F1105" s="4" t="s">
        <v>25</v>
      </c>
      <c r="G1105" s="4" t="s">
        <v>25</v>
      </c>
      <c r="H1105" s="4" t="s">
        <v>35</v>
      </c>
      <c r="I1105" s="5">
        <v>44562</v>
      </c>
      <c r="J1105" s="6">
        <v>0</v>
      </c>
      <c r="K1105" s="6">
        <v>0</v>
      </c>
      <c r="L1105" s="6">
        <v>7523.2740000000003</v>
      </c>
      <c r="M1105" s="6">
        <v>7523.2740000000003</v>
      </c>
      <c r="N1105" s="6">
        <v>7523.2740000000003</v>
      </c>
      <c r="O1105" s="6">
        <v>7523.2740000000003</v>
      </c>
      <c r="P1105" s="6">
        <v>0</v>
      </c>
      <c r="Q1105" s="4" t="s">
        <v>26</v>
      </c>
      <c r="R1105" s="4">
        <v>0</v>
      </c>
      <c r="S1105" s="6">
        <v>0</v>
      </c>
      <c r="T1105" s="6">
        <v>44</v>
      </c>
      <c r="U1105" s="6">
        <v>67</v>
      </c>
      <c r="V1105" s="6">
        <f>IF(ISERROR(VLOOKUP($S$1105,'TAR FIN'!$A$1:$O$104,15,0)),0,VLOOKUP($S$1105,'TAR FIN'!$A$1:$O$104,15,0))</f>
        <v>0</v>
      </c>
      <c r="W1105" s="6">
        <f>IF(ISERROR(VLOOKUP($T$1105,'TAR FIN'!$A$1:$O$104,15,0)),0,VLOOKUP($T$1105,'TAR FIN'!$A$1:$O$104,15,0))</f>
        <v>62.57</v>
      </c>
      <c r="X1105" s="6">
        <f>IF(ISERROR(VLOOKUP($U$1105,'TAR FIN'!$A$1:$O$104,15,0)),0,VLOOKUP($U$1105,'TAR FIN'!$A$1:$O$104,15,0))</f>
        <v>242.82</v>
      </c>
      <c r="Y1105" s="6"/>
      <c r="Z1105" s="6">
        <f ca="1">('TUSD BE'!$AM$26+'TUSD BF'!$AM$26+'TUSD CVA'!$AM$26)*1</f>
        <v>77.876201961015255</v>
      </c>
      <c r="AA1105" s="6">
        <f>('TE BE'!$AB$8+'TE BF'!$AB$8+'TE CVA'!$AB$8)*1</f>
        <v>231.76257384332172</v>
      </c>
      <c r="AB1105" s="6">
        <f>$K$1105*$V$1105</f>
        <v>0</v>
      </c>
      <c r="AC1105" s="6">
        <f>$M$1105*$W$1105</f>
        <v>470731.25418000005</v>
      </c>
      <c r="AD1105" s="6">
        <f>$O$1105*$X$1105</f>
        <v>1826801.39268</v>
      </c>
      <c r="AE1105" s="6">
        <f>$K$1105*$Y$1105</f>
        <v>0</v>
      </c>
      <c r="AF1105" s="6">
        <f ca="1">$M$1105*$Z$1105</f>
        <v>585884.0054320551</v>
      </c>
      <c r="AG1105" s="6">
        <f>$O$1105*$AA$1105</f>
        <v>1743613.3459685424</v>
      </c>
    </row>
    <row r="1106" spans="1:33" ht="11.25" customHeight="1" x14ac:dyDescent="0.25">
      <c r="A1106" s="4" t="s">
        <v>28</v>
      </c>
      <c r="B1106" s="4" t="s">
        <v>41</v>
      </c>
      <c r="C1106" s="4" t="s">
        <v>42</v>
      </c>
      <c r="D1106" s="4" t="s">
        <v>46</v>
      </c>
      <c r="E1106" s="4" t="s">
        <v>25</v>
      </c>
      <c r="F1106" s="4" t="s">
        <v>25</v>
      </c>
      <c r="G1106" s="4" t="s">
        <v>25</v>
      </c>
      <c r="H1106" s="4" t="s">
        <v>35</v>
      </c>
      <c r="I1106" s="5">
        <v>44562</v>
      </c>
      <c r="J1106" s="6">
        <v>0</v>
      </c>
      <c r="K1106" s="6">
        <v>0</v>
      </c>
      <c r="L1106" s="6">
        <v>142.25700000000001</v>
      </c>
      <c r="M1106" s="6">
        <v>142.25700000000001</v>
      </c>
      <c r="N1106" s="6">
        <v>142.25700000000001</v>
      </c>
      <c r="O1106" s="6">
        <v>142.25700000000001</v>
      </c>
      <c r="P1106" s="6">
        <v>0</v>
      </c>
      <c r="Q1106" s="4" t="s">
        <v>26</v>
      </c>
      <c r="R1106" s="4">
        <v>0</v>
      </c>
      <c r="S1106" s="6">
        <v>0</v>
      </c>
      <c r="T1106" s="6">
        <v>44</v>
      </c>
      <c r="U1106" s="6">
        <v>67</v>
      </c>
      <c r="V1106" s="6">
        <f>IF(ISERROR(VLOOKUP($S$1106,'TAR FIN'!$A$1:$O$104,15,0)),0,VLOOKUP($S$1106,'TAR FIN'!$A$1:$O$104,15,0))</f>
        <v>0</v>
      </c>
      <c r="W1106" s="6">
        <f>IF(ISERROR(VLOOKUP($T$1106,'TAR FIN'!$A$1:$O$104,15,0)),0,VLOOKUP($T$1106,'TAR FIN'!$A$1:$O$104,15,0))</f>
        <v>62.57</v>
      </c>
      <c r="X1106" s="6">
        <f>IF(ISERROR(VLOOKUP($U$1106,'TAR FIN'!$A$1:$O$104,15,0)),0,VLOOKUP($U$1106,'TAR FIN'!$A$1:$O$104,15,0))</f>
        <v>242.82</v>
      </c>
      <c r="Y1106" s="6"/>
      <c r="Z1106" s="6">
        <f ca="1">('TUSD BE'!$AM$26+'TUSD BF'!$AM$26+'TUSD CVA'!$AM$26)*1</f>
        <v>77.876201961015255</v>
      </c>
      <c r="AA1106" s="6">
        <f>('TE BE'!$AB$8+'TE BF'!$AB$8+'TE CVA'!$AB$8)*1</f>
        <v>231.76257384332172</v>
      </c>
      <c r="AB1106" s="6">
        <f>$K$1106*$V$1106</f>
        <v>0</v>
      </c>
      <c r="AC1106" s="6">
        <f>$M$1106*$W$1106</f>
        <v>8901.0204900000008</v>
      </c>
      <c r="AD1106" s="6">
        <f>$O$1106*$X$1106</f>
        <v>34542.84474</v>
      </c>
      <c r="AE1106" s="6">
        <f>$K$1106*$Y$1106</f>
        <v>0</v>
      </c>
      <c r="AF1106" s="6">
        <f ca="1">$M$1106*$Z$1106</f>
        <v>11078.434862368147</v>
      </c>
      <c r="AG1106" s="6">
        <f>$O$1106*$AA$1106</f>
        <v>32969.848467229422</v>
      </c>
    </row>
    <row r="1107" spans="1:33" ht="11.25" customHeight="1" x14ac:dyDescent="0.25">
      <c r="A1107" s="4" t="s">
        <v>21</v>
      </c>
      <c r="B1107" s="4" t="s">
        <v>41</v>
      </c>
      <c r="C1107" s="4" t="s">
        <v>42</v>
      </c>
      <c r="D1107" s="4" t="s">
        <v>46</v>
      </c>
      <c r="E1107" s="4" t="s">
        <v>25</v>
      </c>
      <c r="F1107" s="4" t="s">
        <v>25</v>
      </c>
      <c r="G1107" s="4" t="s">
        <v>25</v>
      </c>
      <c r="H1107" s="4" t="s">
        <v>35</v>
      </c>
      <c r="I1107" s="5">
        <v>44593</v>
      </c>
      <c r="J1107" s="6">
        <v>0</v>
      </c>
      <c r="K1107" s="6">
        <v>0</v>
      </c>
      <c r="L1107" s="6">
        <v>7308.4430000000002</v>
      </c>
      <c r="M1107" s="6">
        <v>7308.4430000000002</v>
      </c>
      <c r="N1107" s="6">
        <v>7308.4430000000002</v>
      </c>
      <c r="O1107" s="6">
        <v>7308.4430000000002</v>
      </c>
      <c r="P1107" s="6">
        <v>0</v>
      </c>
      <c r="Q1107" s="4" t="s">
        <v>26</v>
      </c>
      <c r="R1107" s="4">
        <v>0</v>
      </c>
      <c r="S1107" s="6">
        <v>0</v>
      </c>
      <c r="T1107" s="6">
        <v>44</v>
      </c>
      <c r="U1107" s="6">
        <v>67</v>
      </c>
      <c r="V1107" s="6">
        <f>IF(ISERROR(VLOOKUP($S$1107,'TAR FIN'!$A$1:$O$104,15,0)),0,VLOOKUP($S$1107,'TAR FIN'!$A$1:$O$104,15,0))</f>
        <v>0</v>
      </c>
      <c r="W1107" s="6">
        <f>IF(ISERROR(VLOOKUP($T$1107,'TAR FIN'!$A$1:$O$104,15,0)),0,VLOOKUP($T$1107,'TAR FIN'!$A$1:$O$104,15,0))</f>
        <v>62.57</v>
      </c>
      <c r="X1107" s="6">
        <f>IF(ISERROR(VLOOKUP($U$1107,'TAR FIN'!$A$1:$O$104,15,0)),0,VLOOKUP($U$1107,'TAR FIN'!$A$1:$O$104,15,0))</f>
        <v>242.82</v>
      </c>
      <c r="Y1107" s="6"/>
      <c r="Z1107" s="6">
        <f ca="1">('TUSD BE'!$AM$26+'TUSD BF'!$AM$26+'TUSD CVA'!$AM$26)*1</f>
        <v>77.876201961015255</v>
      </c>
      <c r="AA1107" s="6">
        <f>('TE BE'!$AB$8+'TE BF'!$AB$8+'TE CVA'!$AB$8)*1</f>
        <v>231.76257384332172</v>
      </c>
      <c r="AB1107" s="6">
        <f>$K$1107*$V$1107</f>
        <v>0</v>
      </c>
      <c r="AC1107" s="6">
        <f>$M$1107*$W$1107</f>
        <v>457289.27851000003</v>
      </c>
      <c r="AD1107" s="6">
        <f>$O$1107*$X$1107</f>
        <v>1774636.1292600001</v>
      </c>
      <c r="AE1107" s="6">
        <f>$K$1107*$Y$1107</f>
        <v>0</v>
      </c>
      <c r="AF1107" s="6">
        <f ca="1">$M$1107*$Z$1107</f>
        <v>569153.78308856825</v>
      </c>
      <c r="AG1107" s="6">
        <f>$O$1107*$AA$1107</f>
        <v>1693823.5604672078</v>
      </c>
    </row>
    <row r="1108" spans="1:33" ht="11.25" customHeight="1" x14ac:dyDescent="0.25">
      <c r="A1108" s="4" t="s">
        <v>28</v>
      </c>
      <c r="B1108" s="4" t="s">
        <v>41</v>
      </c>
      <c r="C1108" s="4" t="s">
        <v>42</v>
      </c>
      <c r="D1108" s="4" t="s">
        <v>46</v>
      </c>
      <c r="E1108" s="4" t="s">
        <v>25</v>
      </c>
      <c r="F1108" s="4" t="s">
        <v>25</v>
      </c>
      <c r="G1108" s="4" t="s">
        <v>25</v>
      </c>
      <c r="H1108" s="4" t="s">
        <v>35</v>
      </c>
      <c r="I1108" s="5">
        <v>44593</v>
      </c>
      <c r="J1108" s="6">
        <v>0</v>
      </c>
      <c r="K1108" s="6">
        <v>0</v>
      </c>
      <c r="L1108" s="6">
        <v>135.14099999999999</v>
      </c>
      <c r="M1108" s="6">
        <v>135.14099999999999</v>
      </c>
      <c r="N1108" s="6">
        <v>135.14099999999999</v>
      </c>
      <c r="O1108" s="6">
        <v>135.14099999999999</v>
      </c>
      <c r="P1108" s="6">
        <v>0</v>
      </c>
      <c r="Q1108" s="4" t="s">
        <v>26</v>
      </c>
      <c r="R1108" s="4">
        <v>0</v>
      </c>
      <c r="S1108" s="6">
        <v>0</v>
      </c>
      <c r="T1108" s="6">
        <v>44</v>
      </c>
      <c r="U1108" s="6">
        <v>67</v>
      </c>
      <c r="V1108" s="6">
        <f>IF(ISERROR(VLOOKUP($S$1108,'TAR FIN'!$A$1:$O$104,15,0)),0,VLOOKUP($S$1108,'TAR FIN'!$A$1:$O$104,15,0))</f>
        <v>0</v>
      </c>
      <c r="W1108" s="6">
        <f>IF(ISERROR(VLOOKUP($T$1108,'TAR FIN'!$A$1:$O$104,15,0)),0,VLOOKUP($T$1108,'TAR FIN'!$A$1:$O$104,15,0))</f>
        <v>62.57</v>
      </c>
      <c r="X1108" s="6">
        <f>IF(ISERROR(VLOOKUP($U$1108,'TAR FIN'!$A$1:$O$104,15,0)),0,VLOOKUP($U$1108,'TAR FIN'!$A$1:$O$104,15,0))</f>
        <v>242.82</v>
      </c>
      <c r="Y1108" s="6"/>
      <c r="Z1108" s="6">
        <f ca="1">('TUSD BE'!$AM$26+'TUSD BF'!$AM$26+'TUSD CVA'!$AM$26)*1</f>
        <v>77.876201961015255</v>
      </c>
      <c r="AA1108" s="6">
        <f>('TE BE'!$AB$8+'TE BF'!$AB$8+'TE CVA'!$AB$8)*1</f>
        <v>231.76257384332172</v>
      </c>
      <c r="AB1108" s="6">
        <f>$K$1108*$V$1108</f>
        <v>0</v>
      </c>
      <c r="AC1108" s="6">
        <f>$M$1108*$W$1108</f>
        <v>8455.7723699999988</v>
      </c>
      <c r="AD1108" s="6">
        <f>$O$1108*$X$1108</f>
        <v>32814.937619999997</v>
      </c>
      <c r="AE1108" s="6">
        <f>$K$1108*$Y$1108</f>
        <v>0</v>
      </c>
      <c r="AF1108" s="6">
        <f ca="1">$M$1108*$Z$1108</f>
        <v>10524.267809213561</v>
      </c>
      <c r="AG1108" s="6">
        <f>$O$1108*$AA$1108</f>
        <v>31320.625991760338</v>
      </c>
    </row>
    <row r="1109" spans="1:33" ht="11.25" customHeight="1" x14ac:dyDescent="0.25">
      <c r="A1109" s="4" t="s">
        <v>21</v>
      </c>
      <c r="B1109" s="4" t="s">
        <v>41</v>
      </c>
      <c r="C1109" s="4" t="s">
        <v>42</v>
      </c>
      <c r="D1109" s="4" t="s">
        <v>46</v>
      </c>
      <c r="E1109" s="4" t="s">
        <v>25</v>
      </c>
      <c r="F1109" s="4" t="s">
        <v>25</v>
      </c>
      <c r="G1109" s="4" t="s">
        <v>25</v>
      </c>
      <c r="H1109" s="4" t="s">
        <v>35</v>
      </c>
      <c r="I1109" s="5">
        <v>44621</v>
      </c>
      <c r="J1109" s="6">
        <v>0</v>
      </c>
      <c r="K1109" s="6">
        <v>0</v>
      </c>
      <c r="L1109" s="6">
        <v>8097.817</v>
      </c>
      <c r="M1109" s="6">
        <v>8097.817</v>
      </c>
      <c r="N1109" s="6">
        <v>8097.817</v>
      </c>
      <c r="O1109" s="6">
        <v>8097.817</v>
      </c>
      <c r="P1109" s="6">
        <v>0</v>
      </c>
      <c r="Q1109" s="4" t="s">
        <v>26</v>
      </c>
      <c r="R1109" s="4">
        <v>0</v>
      </c>
      <c r="S1109" s="6">
        <v>0</v>
      </c>
      <c r="T1109" s="6">
        <v>44</v>
      </c>
      <c r="U1109" s="6">
        <v>67</v>
      </c>
      <c r="V1109" s="6">
        <f>IF(ISERROR(VLOOKUP($S$1109,'TAR FIN'!$A$1:$O$104,15,0)),0,VLOOKUP($S$1109,'TAR FIN'!$A$1:$O$104,15,0))</f>
        <v>0</v>
      </c>
      <c r="W1109" s="6">
        <f>IF(ISERROR(VLOOKUP($T$1109,'TAR FIN'!$A$1:$O$104,15,0)),0,VLOOKUP($T$1109,'TAR FIN'!$A$1:$O$104,15,0))</f>
        <v>62.57</v>
      </c>
      <c r="X1109" s="6">
        <f>IF(ISERROR(VLOOKUP($U$1109,'TAR FIN'!$A$1:$O$104,15,0)),0,VLOOKUP($U$1109,'TAR FIN'!$A$1:$O$104,15,0))</f>
        <v>242.82</v>
      </c>
      <c r="Y1109" s="6"/>
      <c r="Z1109" s="6">
        <f ca="1">('TUSD BE'!$AM$26+'TUSD BF'!$AM$26+'TUSD CVA'!$AM$26)*1</f>
        <v>77.876201961015255</v>
      </c>
      <c r="AA1109" s="6">
        <f>('TE BE'!$AB$8+'TE BF'!$AB$8+'TE CVA'!$AB$8)*1</f>
        <v>231.76257384332172</v>
      </c>
      <c r="AB1109" s="6">
        <f>$K$1109*$V$1109</f>
        <v>0</v>
      </c>
      <c r="AC1109" s="6">
        <f>$M$1109*$W$1109</f>
        <v>506680.40969</v>
      </c>
      <c r="AD1109" s="6">
        <f>$O$1109*$X$1109</f>
        <v>1966311.9239399999</v>
      </c>
      <c r="AE1109" s="6">
        <f>$K$1109*$Y$1109</f>
        <v>0</v>
      </c>
      <c r="AF1109" s="6">
        <f ca="1">$M$1109*$Z$1109</f>
        <v>630627.23213534267</v>
      </c>
      <c r="AG1109" s="6">
        <f>$O$1109*$AA$1109</f>
        <v>1876770.910432206</v>
      </c>
    </row>
    <row r="1110" spans="1:33" ht="11.25" customHeight="1" x14ac:dyDescent="0.25">
      <c r="A1110" s="4" t="s">
        <v>28</v>
      </c>
      <c r="B1110" s="4" t="s">
        <v>41</v>
      </c>
      <c r="C1110" s="4" t="s">
        <v>42</v>
      </c>
      <c r="D1110" s="4" t="s">
        <v>46</v>
      </c>
      <c r="E1110" s="4" t="s">
        <v>25</v>
      </c>
      <c r="F1110" s="4" t="s">
        <v>25</v>
      </c>
      <c r="G1110" s="4" t="s">
        <v>25</v>
      </c>
      <c r="H1110" s="4" t="s">
        <v>35</v>
      </c>
      <c r="I1110" s="5">
        <v>44621</v>
      </c>
      <c r="J1110" s="6">
        <v>0</v>
      </c>
      <c r="K1110" s="6">
        <v>0</v>
      </c>
      <c r="L1110" s="6">
        <v>182.16800000000001</v>
      </c>
      <c r="M1110" s="6">
        <v>182.16800000000001</v>
      </c>
      <c r="N1110" s="6">
        <v>182.16800000000001</v>
      </c>
      <c r="O1110" s="6">
        <v>182.16800000000001</v>
      </c>
      <c r="P1110" s="6">
        <v>0</v>
      </c>
      <c r="Q1110" s="4" t="s">
        <v>26</v>
      </c>
      <c r="R1110" s="4">
        <v>0</v>
      </c>
      <c r="S1110" s="6">
        <v>0</v>
      </c>
      <c r="T1110" s="6">
        <v>44</v>
      </c>
      <c r="U1110" s="6">
        <v>67</v>
      </c>
      <c r="V1110" s="6">
        <f>IF(ISERROR(VLOOKUP($S$1110,'TAR FIN'!$A$1:$O$104,15,0)),0,VLOOKUP($S$1110,'TAR FIN'!$A$1:$O$104,15,0))</f>
        <v>0</v>
      </c>
      <c r="W1110" s="6">
        <f>IF(ISERROR(VLOOKUP($T$1110,'TAR FIN'!$A$1:$O$104,15,0)),0,VLOOKUP($T$1110,'TAR FIN'!$A$1:$O$104,15,0))</f>
        <v>62.57</v>
      </c>
      <c r="X1110" s="6">
        <f>IF(ISERROR(VLOOKUP($U$1110,'TAR FIN'!$A$1:$O$104,15,0)),0,VLOOKUP($U$1110,'TAR FIN'!$A$1:$O$104,15,0))</f>
        <v>242.82</v>
      </c>
      <c r="Y1110" s="6"/>
      <c r="Z1110" s="6">
        <f ca="1">('TUSD BE'!$AM$26+'TUSD BF'!$AM$26+'TUSD CVA'!$AM$26)*1</f>
        <v>77.876201961015255</v>
      </c>
      <c r="AA1110" s="6">
        <f>('TE BE'!$AB$8+'TE BF'!$AB$8+'TE CVA'!$AB$8)*1</f>
        <v>231.76257384332172</v>
      </c>
      <c r="AB1110" s="6">
        <f>$K$1110*$V$1110</f>
        <v>0</v>
      </c>
      <c r="AC1110" s="6">
        <f>$M$1110*$W$1110</f>
        <v>11398.251760000001</v>
      </c>
      <c r="AD1110" s="6">
        <f>$O$1110*$X$1110</f>
        <v>44234.033759999998</v>
      </c>
      <c r="AE1110" s="6">
        <f>$K$1110*$Y$1110</f>
        <v>0</v>
      </c>
      <c r="AF1110" s="6">
        <f ca="1">$M$1110*$Z$1110</f>
        <v>14186.551958834227</v>
      </c>
      <c r="AG1110" s="6">
        <f>$O$1110*$AA$1110</f>
        <v>42219.724551890235</v>
      </c>
    </row>
    <row r="1111" spans="1:33" ht="11.25" customHeight="1" x14ac:dyDescent="0.25">
      <c r="A1111" s="4" t="s">
        <v>21</v>
      </c>
      <c r="B1111" s="4" t="s">
        <v>41</v>
      </c>
      <c r="C1111" s="4" t="s">
        <v>42</v>
      </c>
      <c r="D1111" s="4" t="s">
        <v>46</v>
      </c>
      <c r="E1111" s="4" t="s">
        <v>25</v>
      </c>
      <c r="F1111" s="4" t="s">
        <v>25</v>
      </c>
      <c r="G1111" s="4" t="s">
        <v>25</v>
      </c>
      <c r="H1111" s="4" t="s">
        <v>35</v>
      </c>
      <c r="I1111" s="5">
        <v>44652</v>
      </c>
      <c r="J1111" s="6">
        <v>0</v>
      </c>
      <c r="K1111" s="6">
        <v>0</v>
      </c>
      <c r="L1111" s="6">
        <v>8065.8779999999997</v>
      </c>
      <c r="M1111" s="6">
        <v>8065.8779999999997</v>
      </c>
      <c r="N1111" s="6">
        <v>8065.8779999999997</v>
      </c>
      <c r="O1111" s="6">
        <v>8065.8779999999997</v>
      </c>
      <c r="P1111" s="6">
        <v>0</v>
      </c>
      <c r="Q1111" s="4" t="s">
        <v>26</v>
      </c>
      <c r="R1111" s="4">
        <v>0</v>
      </c>
      <c r="S1111" s="6">
        <v>0</v>
      </c>
      <c r="T1111" s="6">
        <v>44</v>
      </c>
      <c r="U1111" s="6">
        <v>67</v>
      </c>
      <c r="V1111" s="6">
        <f>IF(ISERROR(VLOOKUP($S$1111,'TAR FIN'!$A$1:$O$104,15,0)),0,VLOOKUP($S$1111,'TAR FIN'!$A$1:$O$104,15,0))</f>
        <v>0</v>
      </c>
      <c r="W1111" s="6">
        <f>IF(ISERROR(VLOOKUP($T$1111,'TAR FIN'!$A$1:$O$104,15,0)),0,VLOOKUP($T$1111,'TAR FIN'!$A$1:$O$104,15,0))</f>
        <v>62.57</v>
      </c>
      <c r="X1111" s="6">
        <f>IF(ISERROR(VLOOKUP($U$1111,'TAR FIN'!$A$1:$O$104,15,0)),0,VLOOKUP($U$1111,'TAR FIN'!$A$1:$O$104,15,0))</f>
        <v>242.82</v>
      </c>
      <c r="Y1111" s="6"/>
      <c r="Z1111" s="6">
        <f ca="1">('TUSD BE'!$AM$26+'TUSD BF'!$AM$26+'TUSD CVA'!$AM$26)*1</f>
        <v>77.876201961015255</v>
      </c>
      <c r="AA1111" s="6">
        <f>('TE BE'!$AB$8+'TE BF'!$AB$8+'TE CVA'!$AB$8)*1</f>
        <v>231.76257384332172</v>
      </c>
      <c r="AB1111" s="6">
        <f>$K$1111*$V$1111</f>
        <v>0</v>
      </c>
      <c r="AC1111" s="6">
        <f>$M$1111*$W$1111</f>
        <v>504681.98645999999</v>
      </c>
      <c r="AD1111" s="6">
        <f>$O$1111*$X$1111</f>
        <v>1958556.49596</v>
      </c>
      <c r="AE1111" s="6">
        <f>$K$1111*$Y$1111</f>
        <v>0</v>
      </c>
      <c r="AF1111" s="6">
        <f ca="1">$M$1111*$Z$1111</f>
        <v>628139.94412090979</v>
      </c>
      <c r="AG1111" s="6">
        <f>$O$1111*$AA$1111</f>
        <v>1869368.645586224</v>
      </c>
    </row>
    <row r="1112" spans="1:33" ht="11.25" customHeight="1" x14ac:dyDescent="0.25">
      <c r="A1112" s="4" t="s">
        <v>28</v>
      </c>
      <c r="B1112" s="4" t="s">
        <v>41</v>
      </c>
      <c r="C1112" s="4" t="s">
        <v>42</v>
      </c>
      <c r="D1112" s="4" t="s">
        <v>46</v>
      </c>
      <c r="E1112" s="4" t="s">
        <v>25</v>
      </c>
      <c r="F1112" s="4" t="s">
        <v>25</v>
      </c>
      <c r="G1112" s="4" t="s">
        <v>25</v>
      </c>
      <c r="H1112" s="4" t="s">
        <v>35</v>
      </c>
      <c r="I1112" s="5">
        <v>44652</v>
      </c>
      <c r="J1112" s="6">
        <v>0</v>
      </c>
      <c r="K1112" s="6">
        <v>0</v>
      </c>
      <c r="L1112" s="6">
        <v>187.572</v>
      </c>
      <c r="M1112" s="6">
        <v>187.572</v>
      </c>
      <c r="N1112" s="6">
        <v>187.572</v>
      </c>
      <c r="O1112" s="6">
        <v>187.572</v>
      </c>
      <c r="P1112" s="6">
        <v>0</v>
      </c>
      <c r="Q1112" s="4" t="s">
        <v>26</v>
      </c>
      <c r="R1112" s="4">
        <v>0</v>
      </c>
      <c r="S1112" s="6">
        <v>0</v>
      </c>
      <c r="T1112" s="6">
        <v>44</v>
      </c>
      <c r="U1112" s="6">
        <v>67</v>
      </c>
      <c r="V1112" s="6">
        <f>IF(ISERROR(VLOOKUP($S$1112,'TAR FIN'!$A$1:$O$104,15,0)),0,VLOOKUP($S$1112,'TAR FIN'!$A$1:$O$104,15,0))</f>
        <v>0</v>
      </c>
      <c r="W1112" s="6">
        <f>IF(ISERROR(VLOOKUP($T$1112,'TAR FIN'!$A$1:$O$104,15,0)),0,VLOOKUP($T$1112,'TAR FIN'!$A$1:$O$104,15,0))</f>
        <v>62.57</v>
      </c>
      <c r="X1112" s="6">
        <f>IF(ISERROR(VLOOKUP($U$1112,'TAR FIN'!$A$1:$O$104,15,0)),0,VLOOKUP($U$1112,'TAR FIN'!$A$1:$O$104,15,0))</f>
        <v>242.82</v>
      </c>
      <c r="Y1112" s="6"/>
      <c r="Z1112" s="6">
        <f ca="1">('TUSD BE'!$AM$26+'TUSD BF'!$AM$26+'TUSD CVA'!$AM$26)*1</f>
        <v>77.876201961015255</v>
      </c>
      <c r="AA1112" s="6">
        <f>('TE BE'!$AB$8+'TE BF'!$AB$8+'TE CVA'!$AB$8)*1</f>
        <v>231.76257384332172</v>
      </c>
      <c r="AB1112" s="6">
        <f>$K$1112*$V$1112</f>
        <v>0</v>
      </c>
      <c r="AC1112" s="6">
        <f>$M$1112*$W$1112</f>
        <v>11736.38004</v>
      </c>
      <c r="AD1112" s="6">
        <f>$O$1112*$X$1112</f>
        <v>45546.233039999999</v>
      </c>
      <c r="AE1112" s="6">
        <f>$K$1112*$Y$1112</f>
        <v>0</v>
      </c>
      <c r="AF1112" s="6">
        <f ca="1">$M$1112*$Z$1112</f>
        <v>14607.394954231553</v>
      </c>
      <c r="AG1112" s="6">
        <f>$O$1112*$AA$1112</f>
        <v>43472.169500939541</v>
      </c>
    </row>
    <row r="1113" spans="1:33" ht="11.25" customHeight="1" x14ac:dyDescent="0.25">
      <c r="A1113" s="4" t="s">
        <v>21</v>
      </c>
      <c r="B1113" s="4" t="s">
        <v>41</v>
      </c>
      <c r="C1113" s="4" t="s">
        <v>42</v>
      </c>
      <c r="D1113" s="4" t="s">
        <v>46</v>
      </c>
      <c r="E1113" s="4" t="s">
        <v>25</v>
      </c>
      <c r="F1113" s="4" t="s">
        <v>25</v>
      </c>
      <c r="G1113" s="4" t="s">
        <v>25</v>
      </c>
      <c r="H1113" s="4" t="s">
        <v>35</v>
      </c>
      <c r="I1113" s="5">
        <v>44682</v>
      </c>
      <c r="J1113" s="6">
        <v>0</v>
      </c>
      <c r="K1113" s="6">
        <v>0</v>
      </c>
      <c r="L1113" s="6">
        <v>7581.9979999999996</v>
      </c>
      <c r="M1113" s="6">
        <v>7581.9979999999996</v>
      </c>
      <c r="N1113" s="6">
        <v>7581.9979999999996</v>
      </c>
      <c r="O1113" s="6">
        <v>7581.9979999999996</v>
      </c>
      <c r="P1113" s="6">
        <v>0</v>
      </c>
      <c r="Q1113" s="4" t="s">
        <v>26</v>
      </c>
      <c r="R1113" s="4">
        <v>0</v>
      </c>
      <c r="S1113" s="6">
        <v>0</v>
      </c>
      <c r="T1113" s="6">
        <v>44</v>
      </c>
      <c r="U1113" s="6">
        <v>67</v>
      </c>
      <c r="V1113" s="6">
        <f>IF(ISERROR(VLOOKUP($S$1113,'TAR FIN'!$A$1:$O$104,15,0)),0,VLOOKUP($S$1113,'TAR FIN'!$A$1:$O$104,15,0))</f>
        <v>0</v>
      </c>
      <c r="W1113" s="6">
        <f>IF(ISERROR(VLOOKUP($T$1113,'TAR FIN'!$A$1:$O$104,15,0)),0,VLOOKUP($T$1113,'TAR FIN'!$A$1:$O$104,15,0))</f>
        <v>62.57</v>
      </c>
      <c r="X1113" s="6">
        <f>IF(ISERROR(VLOOKUP($U$1113,'TAR FIN'!$A$1:$O$104,15,0)),0,VLOOKUP($U$1113,'TAR FIN'!$A$1:$O$104,15,0))</f>
        <v>242.82</v>
      </c>
      <c r="Y1113" s="6"/>
      <c r="Z1113" s="6">
        <f ca="1">('TUSD BE'!$AM$26+'TUSD BF'!$AM$26+'TUSD CVA'!$AM$26)*1</f>
        <v>77.876201961015255</v>
      </c>
      <c r="AA1113" s="6">
        <f>('TE BE'!$AB$8+'TE BF'!$AB$8+'TE CVA'!$AB$8)*1</f>
        <v>231.76257384332172</v>
      </c>
      <c r="AB1113" s="6">
        <f>$K$1113*$V$1113</f>
        <v>0</v>
      </c>
      <c r="AC1113" s="6">
        <f>$M$1113*$W$1113</f>
        <v>474405.61485999997</v>
      </c>
      <c r="AD1113" s="6">
        <f>$O$1113*$X$1113</f>
        <v>1841060.7543599999</v>
      </c>
      <c r="AE1113" s="6">
        <f>$K$1113*$Y$1113</f>
        <v>0</v>
      </c>
      <c r="AF1113" s="6">
        <f ca="1">$M$1113*$Z$1113</f>
        <v>590457.20751601376</v>
      </c>
      <c r="AG1113" s="6">
        <f>$O$1113*$AA$1113</f>
        <v>1757223.3713549175</v>
      </c>
    </row>
    <row r="1114" spans="1:33" ht="11.25" customHeight="1" x14ac:dyDescent="0.25">
      <c r="A1114" s="4" t="s">
        <v>28</v>
      </c>
      <c r="B1114" s="4" t="s">
        <v>41</v>
      </c>
      <c r="C1114" s="4" t="s">
        <v>42</v>
      </c>
      <c r="D1114" s="4" t="s">
        <v>46</v>
      </c>
      <c r="E1114" s="4" t="s">
        <v>25</v>
      </c>
      <c r="F1114" s="4" t="s">
        <v>25</v>
      </c>
      <c r="G1114" s="4" t="s">
        <v>25</v>
      </c>
      <c r="H1114" s="4" t="s">
        <v>35</v>
      </c>
      <c r="I1114" s="5">
        <v>44682</v>
      </c>
      <c r="J1114" s="6">
        <v>0</v>
      </c>
      <c r="K1114" s="6">
        <v>0</v>
      </c>
      <c r="L1114" s="6">
        <v>205.87700000000001</v>
      </c>
      <c r="M1114" s="6">
        <v>205.87700000000001</v>
      </c>
      <c r="N1114" s="6">
        <v>205.87700000000001</v>
      </c>
      <c r="O1114" s="6">
        <v>205.87700000000001</v>
      </c>
      <c r="P1114" s="6">
        <v>0</v>
      </c>
      <c r="Q1114" s="4" t="s">
        <v>26</v>
      </c>
      <c r="R1114" s="4">
        <v>0</v>
      </c>
      <c r="S1114" s="6">
        <v>0</v>
      </c>
      <c r="T1114" s="6">
        <v>44</v>
      </c>
      <c r="U1114" s="6">
        <v>67</v>
      </c>
      <c r="V1114" s="6">
        <f>IF(ISERROR(VLOOKUP($S$1114,'TAR FIN'!$A$1:$O$104,15,0)),0,VLOOKUP($S$1114,'TAR FIN'!$A$1:$O$104,15,0))</f>
        <v>0</v>
      </c>
      <c r="W1114" s="6">
        <f>IF(ISERROR(VLOOKUP($T$1114,'TAR FIN'!$A$1:$O$104,15,0)),0,VLOOKUP($T$1114,'TAR FIN'!$A$1:$O$104,15,0))</f>
        <v>62.57</v>
      </c>
      <c r="X1114" s="6">
        <f>IF(ISERROR(VLOOKUP($U$1114,'TAR FIN'!$A$1:$O$104,15,0)),0,VLOOKUP($U$1114,'TAR FIN'!$A$1:$O$104,15,0))</f>
        <v>242.82</v>
      </c>
      <c r="Y1114" s="6"/>
      <c r="Z1114" s="6">
        <f ca="1">('TUSD BE'!$AM$26+'TUSD BF'!$AM$26+'TUSD CVA'!$AM$26)*1</f>
        <v>77.876201961015255</v>
      </c>
      <c r="AA1114" s="6">
        <f>('TE BE'!$AB$8+'TE BF'!$AB$8+'TE CVA'!$AB$8)*1</f>
        <v>231.76257384332172</v>
      </c>
      <c r="AB1114" s="6">
        <f>$K$1114*$V$1114</f>
        <v>0</v>
      </c>
      <c r="AC1114" s="6">
        <f>$M$1114*$W$1114</f>
        <v>12881.723890000001</v>
      </c>
      <c r="AD1114" s="6">
        <f>$O$1114*$X$1114</f>
        <v>49991.053140000004</v>
      </c>
      <c r="AE1114" s="6">
        <f>$K$1114*$Y$1114</f>
        <v>0</v>
      </c>
      <c r="AF1114" s="6">
        <f ca="1">$M$1114*$Z$1114</f>
        <v>16032.918831127938</v>
      </c>
      <c r="AG1114" s="6">
        <f>$O$1114*$AA$1114</f>
        <v>47714.583415141547</v>
      </c>
    </row>
    <row r="1115" spans="1:33" ht="11.25" customHeight="1" x14ac:dyDescent="0.25">
      <c r="A1115" s="4" t="s">
        <v>21</v>
      </c>
      <c r="B1115" s="4" t="s">
        <v>41</v>
      </c>
      <c r="C1115" s="4" t="s">
        <v>42</v>
      </c>
      <c r="D1115" s="4" t="s">
        <v>46</v>
      </c>
      <c r="E1115" s="4" t="s">
        <v>25</v>
      </c>
      <c r="F1115" s="4" t="s">
        <v>25</v>
      </c>
      <c r="G1115" s="4" t="s">
        <v>25</v>
      </c>
      <c r="H1115" s="4" t="s">
        <v>35</v>
      </c>
      <c r="I1115" s="5">
        <v>44713</v>
      </c>
      <c r="J1115" s="6">
        <v>0</v>
      </c>
      <c r="K1115" s="6">
        <v>0</v>
      </c>
      <c r="L1115" s="6">
        <v>6672.8950000000004</v>
      </c>
      <c r="M1115" s="6">
        <v>6672.8950000000004</v>
      </c>
      <c r="N1115" s="6">
        <v>6672.8950000000004</v>
      </c>
      <c r="O1115" s="6">
        <v>6672.8950000000004</v>
      </c>
      <c r="P1115" s="6">
        <v>0</v>
      </c>
      <c r="Q1115" s="4" t="s">
        <v>26</v>
      </c>
      <c r="R1115" s="4">
        <v>0</v>
      </c>
      <c r="S1115" s="6">
        <v>0</v>
      </c>
      <c r="T1115" s="6">
        <v>44</v>
      </c>
      <c r="U1115" s="6">
        <v>67</v>
      </c>
      <c r="V1115" s="6">
        <f>IF(ISERROR(VLOOKUP($S$1115,'TAR FIN'!$A$1:$O$104,15,0)),0,VLOOKUP($S$1115,'TAR FIN'!$A$1:$O$104,15,0))</f>
        <v>0</v>
      </c>
      <c r="W1115" s="6">
        <f>IF(ISERROR(VLOOKUP($T$1115,'TAR FIN'!$A$1:$O$104,15,0)),0,VLOOKUP($T$1115,'TAR FIN'!$A$1:$O$104,15,0))</f>
        <v>62.57</v>
      </c>
      <c r="X1115" s="6">
        <f>IF(ISERROR(VLOOKUP($U$1115,'TAR FIN'!$A$1:$O$104,15,0)),0,VLOOKUP($U$1115,'TAR FIN'!$A$1:$O$104,15,0))</f>
        <v>242.82</v>
      </c>
      <c r="Y1115" s="6"/>
      <c r="Z1115" s="6">
        <f ca="1">('TUSD BE'!$AM$26+'TUSD BF'!$AM$26+'TUSD CVA'!$AM$26)*1</f>
        <v>77.876201961015255</v>
      </c>
      <c r="AA1115" s="6">
        <f>('TE BE'!$AB$8+'TE BF'!$AB$8+'TE CVA'!$AB$8)*1</f>
        <v>231.76257384332172</v>
      </c>
      <c r="AB1115" s="6">
        <f>$K$1115*$V$1115</f>
        <v>0</v>
      </c>
      <c r="AC1115" s="6">
        <f>$M$1115*$W$1115</f>
        <v>417523.04015000002</v>
      </c>
      <c r="AD1115" s="6">
        <f>$O$1115*$X$1115</f>
        <v>1620312.3639</v>
      </c>
      <c r="AE1115" s="6">
        <f>$K$1115*$Y$1115</f>
        <v>0</v>
      </c>
      <c r="AF1115" s="6">
        <f ca="1">$M$1115*$Z$1115</f>
        <v>519659.71868464892</v>
      </c>
      <c r="AG1115" s="6">
        <f>$O$1115*$AA$1115</f>
        <v>1546527.3201862324</v>
      </c>
    </row>
    <row r="1116" spans="1:33" ht="11.25" customHeight="1" x14ac:dyDescent="0.25">
      <c r="A1116" s="4" t="s">
        <v>27</v>
      </c>
      <c r="B1116" s="4" t="s">
        <v>41</v>
      </c>
      <c r="C1116" s="4" t="s">
        <v>42</v>
      </c>
      <c r="D1116" s="4" t="s">
        <v>46</v>
      </c>
      <c r="E1116" s="4" t="s">
        <v>25</v>
      </c>
      <c r="F1116" s="4" t="s">
        <v>25</v>
      </c>
      <c r="G1116" s="4" t="s">
        <v>25</v>
      </c>
      <c r="H1116" s="4" t="s">
        <v>35</v>
      </c>
      <c r="I1116" s="5">
        <v>44713</v>
      </c>
      <c r="J1116" s="6">
        <v>0</v>
      </c>
      <c r="K1116" s="6">
        <v>0</v>
      </c>
      <c r="L1116" s="6">
        <v>-5.7839999999999998</v>
      </c>
      <c r="M1116" s="6">
        <v>-5.7839999999999998</v>
      </c>
      <c r="N1116" s="6">
        <v>-5.7839999999999998</v>
      </c>
      <c r="O1116" s="6">
        <v>-5.7839999999999998</v>
      </c>
      <c r="P1116" s="6">
        <v>0</v>
      </c>
      <c r="Q1116" s="4" t="s">
        <v>26</v>
      </c>
      <c r="R1116" s="4">
        <v>0</v>
      </c>
      <c r="S1116" s="6">
        <v>0</v>
      </c>
      <c r="T1116" s="6">
        <v>44</v>
      </c>
      <c r="U1116" s="6">
        <v>67</v>
      </c>
      <c r="V1116" s="6">
        <f>IF(ISERROR(VLOOKUP($S$1116,'TAR FIN'!$A$1:$O$104,15,0)),0,VLOOKUP($S$1116,'TAR FIN'!$A$1:$O$104,15,0))</f>
        <v>0</v>
      </c>
      <c r="W1116" s="6">
        <f>IF(ISERROR(VLOOKUP($T$1116,'TAR FIN'!$A$1:$O$104,15,0)),0,VLOOKUP($T$1116,'TAR FIN'!$A$1:$O$104,15,0))</f>
        <v>62.57</v>
      </c>
      <c r="X1116" s="6">
        <f>IF(ISERROR(VLOOKUP($U$1116,'TAR FIN'!$A$1:$O$104,15,0)),0,VLOOKUP($U$1116,'TAR FIN'!$A$1:$O$104,15,0))</f>
        <v>242.82</v>
      </c>
      <c r="Y1116" s="6"/>
      <c r="Z1116" s="6">
        <f ca="1">('TUSD BE'!$AM$26+'TUSD BF'!$AM$26+'TUSD CVA'!$AM$26)*1</f>
        <v>77.876201961015255</v>
      </c>
      <c r="AA1116" s="6">
        <f>('TE BE'!$AB$8+'TE BF'!$AB$8+'TE CVA'!$AB$8)*1</f>
        <v>231.76257384332172</v>
      </c>
      <c r="AB1116" s="6">
        <f>$K$1116*$V$1116</f>
        <v>0</v>
      </c>
      <c r="AC1116" s="6">
        <f>$M$1116*$W$1116</f>
        <v>-361.90487999999999</v>
      </c>
      <c r="AD1116" s="6">
        <f>$O$1116*$X$1116</f>
        <v>-1404.4708799999999</v>
      </c>
      <c r="AE1116" s="6">
        <f>$K$1116*$Y$1116</f>
        <v>0</v>
      </c>
      <c r="AF1116" s="6">
        <f ca="1">$M$1116*$Z$1116</f>
        <v>-450.43595214251224</v>
      </c>
      <c r="AG1116" s="6">
        <f>$O$1116*$AA$1116</f>
        <v>-1340.5147271097728</v>
      </c>
    </row>
    <row r="1117" spans="1:33" ht="11.25" customHeight="1" x14ac:dyDescent="0.25">
      <c r="A1117" s="4" t="s">
        <v>28</v>
      </c>
      <c r="B1117" s="4" t="s">
        <v>41</v>
      </c>
      <c r="C1117" s="4" t="s">
        <v>42</v>
      </c>
      <c r="D1117" s="4" t="s">
        <v>46</v>
      </c>
      <c r="E1117" s="4" t="s">
        <v>25</v>
      </c>
      <c r="F1117" s="4" t="s">
        <v>25</v>
      </c>
      <c r="G1117" s="4" t="s">
        <v>25</v>
      </c>
      <c r="H1117" s="4" t="s">
        <v>35</v>
      </c>
      <c r="I1117" s="5">
        <v>44713</v>
      </c>
      <c r="J1117" s="6">
        <v>0</v>
      </c>
      <c r="K1117" s="6">
        <v>0</v>
      </c>
      <c r="L1117" s="6">
        <v>183.42</v>
      </c>
      <c r="M1117" s="6">
        <v>183.42</v>
      </c>
      <c r="N1117" s="6">
        <v>183.42</v>
      </c>
      <c r="O1117" s="6">
        <v>183.42</v>
      </c>
      <c r="P1117" s="6">
        <v>0</v>
      </c>
      <c r="Q1117" s="4" t="s">
        <v>26</v>
      </c>
      <c r="R1117" s="4">
        <v>0</v>
      </c>
      <c r="S1117" s="6">
        <v>0</v>
      </c>
      <c r="T1117" s="6">
        <v>44</v>
      </c>
      <c r="U1117" s="6">
        <v>67</v>
      </c>
      <c r="V1117" s="6">
        <f>IF(ISERROR(VLOOKUP($S$1117,'TAR FIN'!$A$1:$O$104,15,0)),0,VLOOKUP($S$1117,'TAR FIN'!$A$1:$O$104,15,0))</f>
        <v>0</v>
      </c>
      <c r="W1117" s="6">
        <f>IF(ISERROR(VLOOKUP($T$1117,'TAR FIN'!$A$1:$O$104,15,0)),0,VLOOKUP($T$1117,'TAR FIN'!$A$1:$O$104,15,0))</f>
        <v>62.57</v>
      </c>
      <c r="X1117" s="6">
        <f>IF(ISERROR(VLOOKUP($U$1117,'TAR FIN'!$A$1:$O$104,15,0)),0,VLOOKUP($U$1117,'TAR FIN'!$A$1:$O$104,15,0))</f>
        <v>242.82</v>
      </c>
      <c r="Y1117" s="6"/>
      <c r="Z1117" s="6">
        <f ca="1">('TUSD BE'!$AM$26+'TUSD BF'!$AM$26+'TUSD CVA'!$AM$26)*1</f>
        <v>77.876201961015255</v>
      </c>
      <c r="AA1117" s="6">
        <f>('TE BE'!$AB$8+'TE BF'!$AB$8+'TE CVA'!$AB$8)*1</f>
        <v>231.76257384332172</v>
      </c>
      <c r="AB1117" s="6">
        <f>$K$1117*$V$1117</f>
        <v>0</v>
      </c>
      <c r="AC1117" s="6">
        <f>$M$1117*$W$1117</f>
        <v>11476.589399999999</v>
      </c>
      <c r="AD1117" s="6">
        <f>$O$1117*$X$1117</f>
        <v>44538.044399999999</v>
      </c>
      <c r="AE1117" s="6">
        <f>$K$1117*$Y$1117</f>
        <v>0</v>
      </c>
      <c r="AF1117" s="6">
        <f ca="1">$M$1117*$Z$1117</f>
        <v>14284.052963689417</v>
      </c>
      <c r="AG1117" s="6">
        <f>$O$1117*$AA$1117</f>
        <v>42509.891294342066</v>
      </c>
    </row>
    <row r="1118" spans="1:33" ht="11.25" customHeight="1" x14ac:dyDescent="0.25">
      <c r="A1118" s="4" t="s">
        <v>57</v>
      </c>
      <c r="B1118" s="4" t="s">
        <v>41</v>
      </c>
      <c r="C1118" s="4" t="s">
        <v>42</v>
      </c>
      <c r="D1118" s="4" t="s">
        <v>46</v>
      </c>
      <c r="E1118" s="4" t="s">
        <v>25</v>
      </c>
      <c r="F1118" s="4" t="s">
        <v>25</v>
      </c>
      <c r="G1118" s="4" t="s">
        <v>25</v>
      </c>
      <c r="H1118" s="4" t="s">
        <v>35</v>
      </c>
      <c r="I1118" s="5">
        <v>44743</v>
      </c>
      <c r="J1118" s="6">
        <v>0</v>
      </c>
      <c r="K1118" s="6">
        <v>0</v>
      </c>
      <c r="L1118" s="6">
        <v>6672.8950000000004</v>
      </c>
      <c r="M1118" s="6">
        <v>6672.8950000000004</v>
      </c>
      <c r="N1118" s="6">
        <v>6672.8950000000004</v>
      </c>
      <c r="O1118" s="6">
        <v>6672.8950000000004</v>
      </c>
      <c r="P1118" s="6">
        <v>0</v>
      </c>
      <c r="Q1118" s="4" t="s">
        <v>26</v>
      </c>
      <c r="R1118" s="4">
        <v>0</v>
      </c>
      <c r="S1118" s="6">
        <v>0</v>
      </c>
      <c r="T1118" s="6">
        <v>44</v>
      </c>
      <c r="U1118" s="6">
        <v>67</v>
      </c>
      <c r="V1118" s="6">
        <f>IF(ISERROR(VLOOKUP($S$1118,'TAR FIN'!$A$1:$O$104,15,0)),0,VLOOKUP($S$1118,'TAR FIN'!$A$1:$O$104,15,0))</f>
        <v>0</v>
      </c>
      <c r="W1118" s="6">
        <f>IF(ISERROR(VLOOKUP($T$1118,'TAR FIN'!$A$1:$O$104,15,0)),0,VLOOKUP($T$1118,'TAR FIN'!$A$1:$O$104,15,0))</f>
        <v>62.57</v>
      </c>
      <c r="X1118" s="6">
        <f>IF(ISERROR(VLOOKUP($U$1118,'TAR FIN'!$A$1:$O$104,15,0)),0,VLOOKUP($U$1118,'TAR FIN'!$A$1:$O$104,15,0))</f>
        <v>242.82</v>
      </c>
      <c r="Y1118" s="6"/>
      <c r="Z1118" s="6">
        <f ca="1">('TUSD BE'!$AM$26+'TUSD BF'!$AM$26+'TUSD CVA'!$AM$26)*1</f>
        <v>77.876201961015255</v>
      </c>
      <c r="AA1118" s="6">
        <f>('TE BE'!$AB$8+'TE BF'!$AB$8+'TE CVA'!$AB$8)*1</f>
        <v>231.76257384332172</v>
      </c>
      <c r="AB1118" s="6">
        <f>$K$1118*$V$1118</f>
        <v>0</v>
      </c>
      <c r="AC1118" s="6">
        <f>$M$1118*$W$1118</f>
        <v>417523.04015000002</v>
      </c>
      <c r="AD1118" s="6">
        <f>$O$1118*$X$1118</f>
        <v>1620312.3639</v>
      </c>
      <c r="AE1118" s="6">
        <f>$K$1118*$Y$1118</f>
        <v>0</v>
      </c>
      <c r="AF1118" s="6">
        <f ca="1">$M$1118*$Z$1118</f>
        <v>519659.71868464892</v>
      </c>
      <c r="AG1118" s="6">
        <f>$O$1118*$AA$1118</f>
        <v>1546527.3201862324</v>
      </c>
    </row>
    <row r="1119" spans="1:33" ht="11.25" customHeight="1" x14ac:dyDescent="0.25">
      <c r="A1119" s="4" t="s">
        <v>57</v>
      </c>
      <c r="B1119" s="4" t="s">
        <v>41</v>
      </c>
      <c r="C1119" s="4" t="s">
        <v>42</v>
      </c>
      <c r="D1119" s="4" t="s">
        <v>46</v>
      </c>
      <c r="E1119" s="4" t="s">
        <v>25</v>
      </c>
      <c r="F1119" s="4" t="s">
        <v>25</v>
      </c>
      <c r="G1119" s="4" t="s">
        <v>25</v>
      </c>
      <c r="H1119" s="4" t="s">
        <v>35</v>
      </c>
      <c r="I1119" s="5">
        <v>44743</v>
      </c>
      <c r="J1119" s="6">
        <v>0</v>
      </c>
      <c r="K1119" s="6">
        <v>0</v>
      </c>
      <c r="L1119" s="6">
        <v>-5.7839999999999998</v>
      </c>
      <c r="M1119" s="6">
        <v>-5.7839999999999998</v>
      </c>
      <c r="N1119" s="6">
        <v>-5.7839999999999998</v>
      </c>
      <c r="O1119" s="6">
        <v>-5.7839999999999998</v>
      </c>
      <c r="P1119" s="6">
        <v>0</v>
      </c>
      <c r="Q1119" s="4" t="s">
        <v>26</v>
      </c>
      <c r="R1119" s="4">
        <v>0</v>
      </c>
      <c r="S1119" s="6">
        <v>0</v>
      </c>
      <c r="T1119" s="6">
        <v>44</v>
      </c>
      <c r="U1119" s="6">
        <v>67</v>
      </c>
      <c r="V1119" s="6">
        <f>IF(ISERROR(VLOOKUP($S$1119,'TAR FIN'!$A$1:$O$104,15,0)),0,VLOOKUP($S$1119,'TAR FIN'!$A$1:$O$104,15,0))</f>
        <v>0</v>
      </c>
      <c r="W1119" s="6">
        <f>IF(ISERROR(VLOOKUP($T$1119,'TAR FIN'!$A$1:$O$104,15,0)),0,VLOOKUP($T$1119,'TAR FIN'!$A$1:$O$104,15,0))</f>
        <v>62.57</v>
      </c>
      <c r="X1119" s="6">
        <f>IF(ISERROR(VLOOKUP($U$1119,'TAR FIN'!$A$1:$O$104,15,0)),0,VLOOKUP($U$1119,'TAR FIN'!$A$1:$O$104,15,0))</f>
        <v>242.82</v>
      </c>
      <c r="Y1119" s="6"/>
      <c r="Z1119" s="6">
        <f ca="1">('TUSD BE'!$AM$26+'TUSD BF'!$AM$26+'TUSD CVA'!$AM$26)*1</f>
        <v>77.876201961015255</v>
      </c>
      <c r="AA1119" s="6">
        <f>('TE BE'!$AB$8+'TE BF'!$AB$8+'TE CVA'!$AB$8)*1</f>
        <v>231.76257384332172</v>
      </c>
      <c r="AB1119" s="6">
        <f>$K$1119*$V$1119</f>
        <v>0</v>
      </c>
      <c r="AC1119" s="6">
        <f>$M$1119*$W$1119</f>
        <v>-361.90487999999999</v>
      </c>
      <c r="AD1119" s="6">
        <f>$O$1119*$X$1119</f>
        <v>-1404.4708799999999</v>
      </c>
      <c r="AE1119" s="6">
        <f>$K$1119*$Y$1119</f>
        <v>0</v>
      </c>
      <c r="AF1119" s="6">
        <f ca="1">$M$1119*$Z$1119</f>
        <v>-450.43595214251224</v>
      </c>
      <c r="AG1119" s="6">
        <f>$O$1119*$AA$1119</f>
        <v>-1340.5147271097728</v>
      </c>
    </row>
    <row r="1120" spans="1:33" ht="11.25" customHeight="1" x14ac:dyDescent="0.25">
      <c r="A1120" s="4" t="s">
        <v>57</v>
      </c>
      <c r="B1120" s="4" t="s">
        <v>41</v>
      </c>
      <c r="C1120" s="4" t="s">
        <v>42</v>
      </c>
      <c r="D1120" s="4" t="s">
        <v>46</v>
      </c>
      <c r="E1120" s="4" t="s">
        <v>25</v>
      </c>
      <c r="F1120" s="4" t="s">
        <v>25</v>
      </c>
      <c r="G1120" s="4" t="s">
        <v>25</v>
      </c>
      <c r="H1120" s="4" t="s">
        <v>35</v>
      </c>
      <c r="I1120" s="5">
        <v>44743</v>
      </c>
      <c r="J1120" s="6">
        <v>0</v>
      </c>
      <c r="K1120" s="6">
        <v>0</v>
      </c>
      <c r="L1120" s="6">
        <v>183.42</v>
      </c>
      <c r="M1120" s="6">
        <v>183.42</v>
      </c>
      <c r="N1120" s="6">
        <v>183.42</v>
      </c>
      <c r="O1120" s="6">
        <v>183.42</v>
      </c>
      <c r="P1120" s="6">
        <v>0</v>
      </c>
      <c r="Q1120" s="4" t="s">
        <v>26</v>
      </c>
      <c r="R1120" s="4">
        <v>0</v>
      </c>
      <c r="S1120" s="6">
        <v>0</v>
      </c>
      <c r="T1120" s="6">
        <v>44</v>
      </c>
      <c r="U1120" s="6">
        <v>67</v>
      </c>
      <c r="V1120" s="6">
        <f>IF(ISERROR(VLOOKUP($S$1120,'TAR FIN'!$A$1:$O$104,15,0)),0,VLOOKUP($S$1120,'TAR FIN'!$A$1:$O$104,15,0))</f>
        <v>0</v>
      </c>
      <c r="W1120" s="6">
        <f>IF(ISERROR(VLOOKUP($T$1120,'TAR FIN'!$A$1:$O$104,15,0)),0,VLOOKUP($T$1120,'TAR FIN'!$A$1:$O$104,15,0))</f>
        <v>62.57</v>
      </c>
      <c r="X1120" s="6">
        <f>IF(ISERROR(VLOOKUP($U$1120,'TAR FIN'!$A$1:$O$104,15,0)),0,VLOOKUP($U$1120,'TAR FIN'!$A$1:$O$104,15,0))</f>
        <v>242.82</v>
      </c>
      <c r="Y1120" s="6"/>
      <c r="Z1120" s="6">
        <f ca="1">('TUSD BE'!$AM$26+'TUSD BF'!$AM$26+'TUSD CVA'!$AM$26)*1</f>
        <v>77.876201961015255</v>
      </c>
      <c r="AA1120" s="6">
        <f>('TE BE'!$AB$8+'TE BF'!$AB$8+'TE CVA'!$AB$8)*1</f>
        <v>231.76257384332172</v>
      </c>
      <c r="AB1120" s="6">
        <f>$K$1120*$V$1120</f>
        <v>0</v>
      </c>
      <c r="AC1120" s="6">
        <f>$M$1120*$W$1120</f>
        <v>11476.589399999999</v>
      </c>
      <c r="AD1120" s="6">
        <f>$O$1120*$X$1120</f>
        <v>44538.044399999999</v>
      </c>
      <c r="AE1120" s="6">
        <f>$K$1120*$Y$1120</f>
        <v>0</v>
      </c>
      <c r="AF1120" s="6">
        <f ca="1">$M$1120*$Z$1120</f>
        <v>14284.052963689417</v>
      </c>
      <c r="AG1120" s="6">
        <f>$O$1120*$AA$1120</f>
        <v>42509.891294342066</v>
      </c>
    </row>
    <row r="1121" spans="1:33" ht="11.25" customHeight="1" x14ac:dyDescent="0.25">
      <c r="A1121" s="4" t="s">
        <v>21</v>
      </c>
      <c r="B1121" s="4" t="s">
        <v>41</v>
      </c>
      <c r="C1121" s="4" t="s">
        <v>42</v>
      </c>
      <c r="D1121" s="4" t="s">
        <v>46</v>
      </c>
      <c r="E1121" s="4" t="s">
        <v>25</v>
      </c>
      <c r="F1121" s="4" t="s">
        <v>25</v>
      </c>
      <c r="G1121" s="4" t="s">
        <v>25</v>
      </c>
      <c r="H1121" s="4" t="s">
        <v>25</v>
      </c>
      <c r="I1121" s="5">
        <v>44409</v>
      </c>
      <c r="J1121" s="6">
        <v>47398</v>
      </c>
      <c r="K1121" s="6">
        <v>47398</v>
      </c>
      <c r="L1121" s="6">
        <v>0</v>
      </c>
      <c r="M1121" s="6">
        <v>0</v>
      </c>
      <c r="N1121" s="6">
        <v>0</v>
      </c>
      <c r="O1121" s="6">
        <v>0</v>
      </c>
      <c r="P1121" s="6">
        <v>367</v>
      </c>
      <c r="Q1121" s="4" t="s">
        <v>26</v>
      </c>
      <c r="R1121" s="4">
        <v>0</v>
      </c>
      <c r="S1121" s="6">
        <v>40</v>
      </c>
      <c r="T1121" s="6">
        <v>0</v>
      </c>
      <c r="U1121" s="6">
        <v>0</v>
      </c>
      <c r="V1121" s="6">
        <f>IF(ISERROR(VLOOKUP($S$1121,'TAR FIN'!$A$1:$O$104,15,0)),0,VLOOKUP($S$1121,'TAR FIN'!$A$1:$O$104,15,0))</f>
        <v>26.22</v>
      </c>
      <c r="W1121" s="6">
        <f>IF(ISERROR(VLOOKUP($T$1121,'TAR FIN'!$A$1:$O$104,15,0)),0,VLOOKUP($T$1121,'TAR FIN'!$A$1:$O$104,15,0))</f>
        <v>0</v>
      </c>
      <c r="X1121" s="6">
        <f>IF(ISERROR(VLOOKUP($U$1121,'TAR FIN'!$A$1:$O$104,15,0)),0,VLOOKUP($U$1121,'TAR FIN'!$A$1:$O$104,15,0))</f>
        <v>0</v>
      </c>
      <c r="Y1121" s="6">
        <f ca="1">('TUSD BE'!$AM$24+'TUSD BF'!$AM$24+'TUSD CVA'!$AM$24)*1</f>
        <v>26.280164278980507</v>
      </c>
      <c r="Z1121" s="6"/>
      <c r="AA1121" s="6"/>
      <c r="AB1121" s="6">
        <f>$K$1121*$V$1121</f>
        <v>1242775.56</v>
      </c>
      <c r="AC1121" s="6">
        <f>$M$1121*$W$1121</f>
        <v>0</v>
      </c>
      <c r="AD1121" s="6">
        <f>$O$1121*$X$1121</f>
        <v>0</v>
      </c>
      <c r="AE1121" s="6">
        <f ca="1">$K$1121*$Y$1121</f>
        <v>1245627.2264951181</v>
      </c>
      <c r="AF1121" s="6">
        <f>$M$1121*$Z$1121</f>
        <v>0</v>
      </c>
      <c r="AG1121" s="6">
        <f>$O$1121*$AA$1121</f>
        <v>0</v>
      </c>
    </row>
    <row r="1122" spans="1:33" ht="11.25" customHeight="1" x14ac:dyDescent="0.25">
      <c r="A1122" s="4" t="s">
        <v>28</v>
      </c>
      <c r="B1122" s="4" t="s">
        <v>41</v>
      </c>
      <c r="C1122" s="4" t="s">
        <v>42</v>
      </c>
      <c r="D1122" s="4" t="s">
        <v>46</v>
      </c>
      <c r="E1122" s="4" t="s">
        <v>25</v>
      </c>
      <c r="F1122" s="4" t="s">
        <v>25</v>
      </c>
      <c r="G1122" s="4" t="s">
        <v>25</v>
      </c>
      <c r="H1122" s="4" t="s">
        <v>25</v>
      </c>
      <c r="I1122" s="5">
        <v>44409</v>
      </c>
      <c r="J1122" s="6">
        <v>1475</v>
      </c>
      <c r="K1122" s="6">
        <v>1475</v>
      </c>
      <c r="L1122" s="6">
        <v>0</v>
      </c>
      <c r="M1122" s="6">
        <v>0</v>
      </c>
      <c r="N1122" s="6">
        <v>0</v>
      </c>
      <c r="O1122" s="6">
        <v>0</v>
      </c>
      <c r="P1122" s="6">
        <v>7</v>
      </c>
      <c r="Q1122" s="4" t="s">
        <v>26</v>
      </c>
      <c r="R1122" s="4">
        <v>0</v>
      </c>
      <c r="S1122" s="6">
        <v>40</v>
      </c>
      <c r="T1122" s="6">
        <v>0</v>
      </c>
      <c r="U1122" s="6">
        <v>0</v>
      </c>
      <c r="V1122" s="6">
        <f>IF(ISERROR(VLOOKUP($S$1122,'TAR FIN'!$A$1:$O$104,15,0)),0,VLOOKUP($S$1122,'TAR FIN'!$A$1:$O$104,15,0))</f>
        <v>26.22</v>
      </c>
      <c r="W1122" s="6">
        <f>IF(ISERROR(VLOOKUP($T$1122,'TAR FIN'!$A$1:$O$104,15,0)),0,VLOOKUP($T$1122,'TAR FIN'!$A$1:$O$104,15,0))</f>
        <v>0</v>
      </c>
      <c r="X1122" s="6">
        <f>IF(ISERROR(VLOOKUP($U$1122,'TAR FIN'!$A$1:$O$104,15,0)),0,VLOOKUP($U$1122,'TAR FIN'!$A$1:$O$104,15,0))</f>
        <v>0</v>
      </c>
      <c r="Y1122" s="6">
        <f ca="1">('TUSD BE'!$AM$24+'TUSD BF'!$AM$24+'TUSD CVA'!$AM$24)*1</f>
        <v>26.280164278980507</v>
      </c>
      <c r="Z1122" s="6"/>
      <c r="AA1122" s="6"/>
      <c r="AB1122" s="6">
        <f>$K$1122*$V$1122</f>
        <v>38674.5</v>
      </c>
      <c r="AC1122" s="6">
        <f>$M$1122*$W$1122</f>
        <v>0</v>
      </c>
      <c r="AD1122" s="6">
        <f>$O$1122*$X$1122</f>
        <v>0</v>
      </c>
      <c r="AE1122" s="6">
        <f ca="1">$K$1122*$Y$1122</f>
        <v>38763.242311496251</v>
      </c>
      <c r="AF1122" s="6">
        <f>$M$1122*$Z$1122</f>
        <v>0</v>
      </c>
      <c r="AG1122" s="6">
        <f>$O$1122*$AA$1122</f>
        <v>0</v>
      </c>
    </row>
    <row r="1123" spans="1:33" ht="11.25" customHeight="1" x14ac:dyDescent="0.25">
      <c r="A1123" s="4" t="s">
        <v>21</v>
      </c>
      <c r="B1123" s="4" t="s">
        <v>41</v>
      </c>
      <c r="C1123" s="4" t="s">
        <v>42</v>
      </c>
      <c r="D1123" s="4" t="s">
        <v>46</v>
      </c>
      <c r="E1123" s="4" t="s">
        <v>25</v>
      </c>
      <c r="F1123" s="4" t="s">
        <v>25</v>
      </c>
      <c r="G1123" s="4" t="s">
        <v>25</v>
      </c>
      <c r="H1123" s="4" t="s">
        <v>25</v>
      </c>
      <c r="I1123" s="5">
        <v>44440</v>
      </c>
      <c r="J1123" s="6">
        <v>47374</v>
      </c>
      <c r="K1123" s="6">
        <v>47374</v>
      </c>
      <c r="L1123" s="6">
        <v>0</v>
      </c>
      <c r="M1123" s="6">
        <v>0</v>
      </c>
      <c r="N1123" s="6">
        <v>0</v>
      </c>
      <c r="O1123" s="6">
        <v>0</v>
      </c>
      <c r="P1123" s="6">
        <v>368</v>
      </c>
      <c r="Q1123" s="4" t="s">
        <v>26</v>
      </c>
      <c r="R1123" s="4">
        <v>0</v>
      </c>
      <c r="S1123" s="6">
        <v>40</v>
      </c>
      <c r="T1123" s="6">
        <v>0</v>
      </c>
      <c r="U1123" s="6">
        <v>0</v>
      </c>
      <c r="V1123" s="6">
        <f>IF(ISERROR(VLOOKUP($S$1123,'TAR FIN'!$A$1:$O$104,15,0)),0,VLOOKUP($S$1123,'TAR FIN'!$A$1:$O$104,15,0))</f>
        <v>26.22</v>
      </c>
      <c r="W1123" s="6">
        <f>IF(ISERROR(VLOOKUP($T$1123,'TAR FIN'!$A$1:$O$104,15,0)),0,VLOOKUP($T$1123,'TAR FIN'!$A$1:$O$104,15,0))</f>
        <v>0</v>
      </c>
      <c r="X1123" s="6">
        <f>IF(ISERROR(VLOOKUP($U$1123,'TAR FIN'!$A$1:$O$104,15,0)),0,VLOOKUP($U$1123,'TAR FIN'!$A$1:$O$104,15,0))</f>
        <v>0</v>
      </c>
      <c r="Y1123" s="6">
        <f ca="1">('TUSD BE'!$AM$24+'TUSD BF'!$AM$24+'TUSD CVA'!$AM$24)*1</f>
        <v>26.280164278980507</v>
      </c>
      <c r="Z1123" s="6"/>
      <c r="AA1123" s="6"/>
      <c r="AB1123" s="6">
        <f>$K$1123*$V$1123</f>
        <v>1242146.28</v>
      </c>
      <c r="AC1123" s="6">
        <f>$M$1123*$W$1123</f>
        <v>0</v>
      </c>
      <c r="AD1123" s="6">
        <f>$O$1123*$X$1123</f>
        <v>0</v>
      </c>
      <c r="AE1123" s="6">
        <f ca="1">$K$1123*$Y$1123</f>
        <v>1244996.5025524225</v>
      </c>
      <c r="AF1123" s="6">
        <f>$M$1123*$Z$1123</f>
        <v>0</v>
      </c>
      <c r="AG1123" s="6">
        <f>$O$1123*$AA$1123</f>
        <v>0</v>
      </c>
    </row>
    <row r="1124" spans="1:33" ht="11.25" customHeight="1" x14ac:dyDescent="0.25">
      <c r="A1124" s="4" t="s">
        <v>27</v>
      </c>
      <c r="B1124" s="4" t="s">
        <v>41</v>
      </c>
      <c r="C1124" s="4" t="s">
        <v>42</v>
      </c>
      <c r="D1124" s="4" t="s">
        <v>46</v>
      </c>
      <c r="E1124" s="4" t="s">
        <v>25</v>
      </c>
      <c r="F1124" s="4" t="s">
        <v>25</v>
      </c>
      <c r="G1124" s="4" t="s">
        <v>25</v>
      </c>
      <c r="H1124" s="4" t="s">
        <v>25</v>
      </c>
      <c r="I1124" s="5">
        <v>44440</v>
      </c>
      <c r="J1124" s="6">
        <v>-638</v>
      </c>
      <c r="K1124" s="6">
        <v>-638</v>
      </c>
      <c r="L1124" s="6">
        <v>0</v>
      </c>
      <c r="M1124" s="6">
        <v>0</v>
      </c>
      <c r="N1124" s="6">
        <v>0</v>
      </c>
      <c r="O1124" s="6">
        <v>0</v>
      </c>
      <c r="P1124" s="6">
        <v>-6</v>
      </c>
      <c r="Q1124" s="4" t="s">
        <v>26</v>
      </c>
      <c r="R1124" s="4">
        <v>0</v>
      </c>
      <c r="S1124" s="6">
        <v>40</v>
      </c>
      <c r="T1124" s="6">
        <v>0</v>
      </c>
      <c r="U1124" s="6">
        <v>0</v>
      </c>
      <c r="V1124" s="6">
        <f>IF(ISERROR(VLOOKUP($S$1124,'TAR FIN'!$A$1:$O$104,15,0)),0,VLOOKUP($S$1124,'TAR FIN'!$A$1:$O$104,15,0))</f>
        <v>26.22</v>
      </c>
      <c r="W1124" s="6">
        <f>IF(ISERROR(VLOOKUP($T$1124,'TAR FIN'!$A$1:$O$104,15,0)),0,VLOOKUP($T$1124,'TAR FIN'!$A$1:$O$104,15,0))</f>
        <v>0</v>
      </c>
      <c r="X1124" s="6">
        <f>IF(ISERROR(VLOOKUP($U$1124,'TAR FIN'!$A$1:$O$104,15,0)),0,VLOOKUP($U$1124,'TAR FIN'!$A$1:$O$104,15,0))</f>
        <v>0</v>
      </c>
      <c r="Y1124" s="6">
        <f ca="1">('TUSD BE'!$AM$24+'TUSD BF'!$AM$24+'TUSD CVA'!$AM$24)*1</f>
        <v>26.280164278980507</v>
      </c>
      <c r="Z1124" s="6"/>
      <c r="AA1124" s="6"/>
      <c r="AB1124" s="6">
        <f>$K$1124*$V$1124</f>
        <v>-16728.36</v>
      </c>
      <c r="AC1124" s="6">
        <f>$M$1124*$W$1124</f>
        <v>0</v>
      </c>
      <c r="AD1124" s="6">
        <f>$O$1124*$X$1124</f>
        <v>0</v>
      </c>
      <c r="AE1124" s="6">
        <f ca="1">$K$1124*$Y$1124</f>
        <v>-16766.744809989563</v>
      </c>
      <c r="AF1124" s="6">
        <f>$M$1124*$Z$1124</f>
        <v>0</v>
      </c>
      <c r="AG1124" s="6">
        <f>$O$1124*$AA$1124</f>
        <v>0</v>
      </c>
    </row>
    <row r="1125" spans="1:33" ht="11.25" customHeight="1" x14ac:dyDescent="0.25">
      <c r="A1125" s="4" t="s">
        <v>28</v>
      </c>
      <c r="B1125" s="4" t="s">
        <v>41</v>
      </c>
      <c r="C1125" s="4" t="s">
        <v>42</v>
      </c>
      <c r="D1125" s="4" t="s">
        <v>46</v>
      </c>
      <c r="E1125" s="4" t="s">
        <v>25</v>
      </c>
      <c r="F1125" s="4" t="s">
        <v>25</v>
      </c>
      <c r="G1125" s="4" t="s">
        <v>25</v>
      </c>
      <c r="H1125" s="4" t="s">
        <v>25</v>
      </c>
      <c r="I1125" s="5">
        <v>44440</v>
      </c>
      <c r="J1125" s="6">
        <v>1475</v>
      </c>
      <c r="K1125" s="6">
        <v>1475</v>
      </c>
      <c r="L1125" s="6">
        <v>0</v>
      </c>
      <c r="M1125" s="6">
        <v>0</v>
      </c>
      <c r="N1125" s="6">
        <v>0</v>
      </c>
      <c r="O1125" s="6">
        <v>0</v>
      </c>
      <c r="P1125" s="6">
        <v>7</v>
      </c>
      <c r="Q1125" s="4" t="s">
        <v>26</v>
      </c>
      <c r="R1125" s="4">
        <v>0</v>
      </c>
      <c r="S1125" s="6">
        <v>40</v>
      </c>
      <c r="T1125" s="6">
        <v>0</v>
      </c>
      <c r="U1125" s="6">
        <v>0</v>
      </c>
      <c r="V1125" s="6">
        <f>IF(ISERROR(VLOOKUP($S$1125,'TAR FIN'!$A$1:$O$104,15,0)),0,VLOOKUP($S$1125,'TAR FIN'!$A$1:$O$104,15,0))</f>
        <v>26.22</v>
      </c>
      <c r="W1125" s="6">
        <f>IF(ISERROR(VLOOKUP($T$1125,'TAR FIN'!$A$1:$O$104,15,0)),0,VLOOKUP($T$1125,'TAR FIN'!$A$1:$O$104,15,0))</f>
        <v>0</v>
      </c>
      <c r="X1125" s="6">
        <f>IF(ISERROR(VLOOKUP($U$1125,'TAR FIN'!$A$1:$O$104,15,0)),0,VLOOKUP($U$1125,'TAR FIN'!$A$1:$O$104,15,0))</f>
        <v>0</v>
      </c>
      <c r="Y1125" s="6">
        <f ca="1">('TUSD BE'!$AM$24+'TUSD BF'!$AM$24+'TUSD CVA'!$AM$24)*1</f>
        <v>26.280164278980507</v>
      </c>
      <c r="Z1125" s="6"/>
      <c r="AA1125" s="6"/>
      <c r="AB1125" s="6">
        <f>$K$1125*$V$1125</f>
        <v>38674.5</v>
      </c>
      <c r="AC1125" s="6">
        <f>$M$1125*$W$1125</f>
        <v>0</v>
      </c>
      <c r="AD1125" s="6">
        <f>$O$1125*$X$1125</f>
        <v>0</v>
      </c>
      <c r="AE1125" s="6">
        <f ca="1">$K$1125*$Y$1125</f>
        <v>38763.242311496251</v>
      </c>
      <c r="AF1125" s="6">
        <f>$M$1125*$Z$1125</f>
        <v>0</v>
      </c>
      <c r="AG1125" s="6">
        <f>$O$1125*$AA$1125</f>
        <v>0</v>
      </c>
    </row>
    <row r="1126" spans="1:33" ht="11.25" customHeight="1" x14ac:dyDescent="0.25">
      <c r="A1126" s="4" t="s">
        <v>21</v>
      </c>
      <c r="B1126" s="4" t="s">
        <v>41</v>
      </c>
      <c r="C1126" s="4" t="s">
        <v>42</v>
      </c>
      <c r="D1126" s="4" t="s">
        <v>46</v>
      </c>
      <c r="E1126" s="4" t="s">
        <v>25</v>
      </c>
      <c r="F1126" s="4" t="s">
        <v>25</v>
      </c>
      <c r="G1126" s="4" t="s">
        <v>25</v>
      </c>
      <c r="H1126" s="4" t="s">
        <v>25</v>
      </c>
      <c r="I1126" s="5">
        <v>44470</v>
      </c>
      <c r="J1126" s="6">
        <v>47501</v>
      </c>
      <c r="K1126" s="6">
        <v>47501</v>
      </c>
      <c r="L1126" s="6">
        <v>0</v>
      </c>
      <c r="M1126" s="6">
        <v>0</v>
      </c>
      <c r="N1126" s="6">
        <v>0</v>
      </c>
      <c r="O1126" s="6">
        <v>0</v>
      </c>
      <c r="P1126" s="6">
        <v>368</v>
      </c>
      <c r="Q1126" s="4" t="s">
        <v>26</v>
      </c>
      <c r="R1126" s="4">
        <v>0</v>
      </c>
      <c r="S1126" s="6">
        <v>40</v>
      </c>
      <c r="T1126" s="6">
        <v>0</v>
      </c>
      <c r="U1126" s="6">
        <v>0</v>
      </c>
      <c r="V1126" s="6">
        <f>IF(ISERROR(VLOOKUP($S$1126,'TAR FIN'!$A$1:$O$104,15,0)),0,VLOOKUP($S$1126,'TAR FIN'!$A$1:$O$104,15,0))</f>
        <v>26.22</v>
      </c>
      <c r="W1126" s="6">
        <f>IF(ISERROR(VLOOKUP($T$1126,'TAR FIN'!$A$1:$O$104,15,0)),0,VLOOKUP($T$1126,'TAR FIN'!$A$1:$O$104,15,0))</f>
        <v>0</v>
      </c>
      <c r="X1126" s="6">
        <f>IF(ISERROR(VLOOKUP($U$1126,'TAR FIN'!$A$1:$O$104,15,0)),0,VLOOKUP($U$1126,'TAR FIN'!$A$1:$O$104,15,0))</f>
        <v>0</v>
      </c>
      <c r="Y1126" s="6">
        <f ca="1">('TUSD BE'!$AM$24+'TUSD BF'!$AM$24+'TUSD CVA'!$AM$24)*1</f>
        <v>26.280164278980507</v>
      </c>
      <c r="Z1126" s="6"/>
      <c r="AA1126" s="6"/>
      <c r="AB1126" s="6">
        <f>$K$1126*$V$1126</f>
        <v>1245476.22</v>
      </c>
      <c r="AC1126" s="6">
        <f>$M$1126*$W$1126</f>
        <v>0</v>
      </c>
      <c r="AD1126" s="6">
        <f>$O$1126*$X$1126</f>
        <v>0</v>
      </c>
      <c r="AE1126" s="6">
        <f ca="1">$K$1126*$Y$1126</f>
        <v>1248334.0834158531</v>
      </c>
      <c r="AF1126" s="6">
        <f>$M$1126*$Z$1126</f>
        <v>0</v>
      </c>
      <c r="AG1126" s="6">
        <f>$O$1126*$AA$1126</f>
        <v>0</v>
      </c>
    </row>
    <row r="1127" spans="1:33" ht="11.25" customHeight="1" x14ac:dyDescent="0.25">
      <c r="A1127" s="4" t="s">
        <v>27</v>
      </c>
      <c r="B1127" s="4" t="s">
        <v>41</v>
      </c>
      <c r="C1127" s="4" t="s">
        <v>42</v>
      </c>
      <c r="D1127" s="4" t="s">
        <v>46</v>
      </c>
      <c r="E1127" s="4" t="s">
        <v>25</v>
      </c>
      <c r="F1127" s="4" t="s">
        <v>25</v>
      </c>
      <c r="G1127" s="4" t="s">
        <v>25</v>
      </c>
      <c r="H1127" s="4" t="s">
        <v>25</v>
      </c>
      <c r="I1127" s="5">
        <v>44470</v>
      </c>
      <c r="J1127" s="6">
        <v>30</v>
      </c>
      <c r="K1127" s="6">
        <v>30</v>
      </c>
      <c r="L1127" s="6">
        <v>0</v>
      </c>
      <c r="M1127" s="6">
        <v>0</v>
      </c>
      <c r="N1127" s="6">
        <v>0</v>
      </c>
      <c r="O1127" s="6">
        <v>0</v>
      </c>
      <c r="P1127" s="6">
        <v>1</v>
      </c>
      <c r="Q1127" s="4" t="s">
        <v>26</v>
      </c>
      <c r="R1127" s="4">
        <v>0</v>
      </c>
      <c r="S1127" s="6">
        <v>40</v>
      </c>
      <c r="T1127" s="6">
        <v>0</v>
      </c>
      <c r="U1127" s="6">
        <v>0</v>
      </c>
      <c r="V1127" s="6">
        <f>IF(ISERROR(VLOOKUP($S$1127,'TAR FIN'!$A$1:$O$104,15,0)),0,VLOOKUP($S$1127,'TAR FIN'!$A$1:$O$104,15,0))</f>
        <v>26.22</v>
      </c>
      <c r="W1127" s="6">
        <f>IF(ISERROR(VLOOKUP($T$1127,'TAR FIN'!$A$1:$O$104,15,0)),0,VLOOKUP($T$1127,'TAR FIN'!$A$1:$O$104,15,0))</f>
        <v>0</v>
      </c>
      <c r="X1127" s="6">
        <f>IF(ISERROR(VLOOKUP($U$1127,'TAR FIN'!$A$1:$O$104,15,0)),0,VLOOKUP($U$1127,'TAR FIN'!$A$1:$O$104,15,0))</f>
        <v>0</v>
      </c>
      <c r="Y1127" s="6">
        <f ca="1">('TUSD BE'!$AM$24+'TUSD BF'!$AM$24+'TUSD CVA'!$AM$24)*1</f>
        <v>26.280164278980507</v>
      </c>
      <c r="Z1127" s="6"/>
      <c r="AA1127" s="6"/>
      <c r="AB1127" s="6">
        <f>$K$1127*$V$1127</f>
        <v>786.59999999999991</v>
      </c>
      <c r="AC1127" s="6">
        <f>$M$1127*$W$1127</f>
        <v>0</v>
      </c>
      <c r="AD1127" s="6">
        <f>$O$1127*$X$1127</f>
        <v>0</v>
      </c>
      <c r="AE1127" s="6">
        <f ca="1">$K$1127*$Y$1127</f>
        <v>788.40492836941519</v>
      </c>
      <c r="AF1127" s="6">
        <f>$M$1127*$Z$1127</f>
        <v>0</v>
      </c>
      <c r="AG1127" s="6">
        <f>$O$1127*$AA$1127</f>
        <v>0</v>
      </c>
    </row>
    <row r="1128" spans="1:33" ht="11.25" customHeight="1" x14ac:dyDescent="0.25">
      <c r="A1128" s="4" t="s">
        <v>28</v>
      </c>
      <c r="B1128" s="4" t="s">
        <v>41</v>
      </c>
      <c r="C1128" s="4" t="s">
        <v>42</v>
      </c>
      <c r="D1128" s="4" t="s">
        <v>46</v>
      </c>
      <c r="E1128" s="4" t="s">
        <v>25</v>
      </c>
      <c r="F1128" s="4" t="s">
        <v>25</v>
      </c>
      <c r="G1128" s="4" t="s">
        <v>25</v>
      </c>
      <c r="H1128" s="4" t="s">
        <v>25</v>
      </c>
      <c r="I1128" s="5">
        <v>44470</v>
      </c>
      <c r="J1128" s="6">
        <v>1710</v>
      </c>
      <c r="K1128" s="6">
        <v>1710</v>
      </c>
      <c r="L1128" s="6">
        <v>0</v>
      </c>
      <c r="M1128" s="6">
        <v>0</v>
      </c>
      <c r="N1128" s="6">
        <v>0</v>
      </c>
      <c r="O1128" s="6">
        <v>0</v>
      </c>
      <c r="P1128" s="6">
        <v>8</v>
      </c>
      <c r="Q1128" s="4" t="s">
        <v>26</v>
      </c>
      <c r="R1128" s="4">
        <v>0</v>
      </c>
      <c r="S1128" s="6">
        <v>40</v>
      </c>
      <c r="T1128" s="6">
        <v>0</v>
      </c>
      <c r="U1128" s="6">
        <v>0</v>
      </c>
      <c r="V1128" s="6">
        <f>IF(ISERROR(VLOOKUP($S$1128,'TAR FIN'!$A$1:$O$104,15,0)),0,VLOOKUP($S$1128,'TAR FIN'!$A$1:$O$104,15,0))</f>
        <v>26.22</v>
      </c>
      <c r="W1128" s="6">
        <f>IF(ISERROR(VLOOKUP($T$1128,'TAR FIN'!$A$1:$O$104,15,0)),0,VLOOKUP($T$1128,'TAR FIN'!$A$1:$O$104,15,0))</f>
        <v>0</v>
      </c>
      <c r="X1128" s="6">
        <f>IF(ISERROR(VLOOKUP($U$1128,'TAR FIN'!$A$1:$O$104,15,0)),0,VLOOKUP($U$1128,'TAR FIN'!$A$1:$O$104,15,0))</f>
        <v>0</v>
      </c>
      <c r="Y1128" s="6">
        <f ca="1">('TUSD BE'!$AM$24+'TUSD BF'!$AM$24+'TUSD CVA'!$AM$24)*1</f>
        <v>26.280164278980507</v>
      </c>
      <c r="Z1128" s="6"/>
      <c r="AA1128" s="6"/>
      <c r="AB1128" s="6">
        <f>$K$1128*$V$1128</f>
        <v>44836.2</v>
      </c>
      <c r="AC1128" s="6">
        <f>$M$1128*$W$1128</f>
        <v>0</v>
      </c>
      <c r="AD1128" s="6">
        <f>$O$1128*$X$1128</f>
        <v>0</v>
      </c>
      <c r="AE1128" s="6">
        <f ca="1">$K$1128*$Y$1128</f>
        <v>44939.080917056664</v>
      </c>
      <c r="AF1128" s="6">
        <f>$M$1128*$Z$1128</f>
        <v>0</v>
      </c>
      <c r="AG1128" s="6">
        <f>$O$1128*$AA$1128</f>
        <v>0</v>
      </c>
    </row>
    <row r="1129" spans="1:33" ht="11.25" customHeight="1" x14ac:dyDescent="0.25">
      <c r="A1129" s="4" t="s">
        <v>21</v>
      </c>
      <c r="B1129" s="4" t="s">
        <v>41</v>
      </c>
      <c r="C1129" s="4" t="s">
        <v>42</v>
      </c>
      <c r="D1129" s="4" t="s">
        <v>46</v>
      </c>
      <c r="E1129" s="4" t="s">
        <v>25</v>
      </c>
      <c r="F1129" s="4" t="s">
        <v>25</v>
      </c>
      <c r="G1129" s="4" t="s">
        <v>25</v>
      </c>
      <c r="H1129" s="4" t="s">
        <v>25</v>
      </c>
      <c r="I1129" s="5">
        <v>44501</v>
      </c>
      <c r="J1129" s="6">
        <v>48231</v>
      </c>
      <c r="K1129" s="6">
        <v>48231</v>
      </c>
      <c r="L1129" s="6">
        <v>0</v>
      </c>
      <c r="M1129" s="6">
        <v>0</v>
      </c>
      <c r="N1129" s="6">
        <v>0</v>
      </c>
      <c r="O1129" s="6">
        <v>0</v>
      </c>
      <c r="P1129" s="6">
        <v>371</v>
      </c>
      <c r="Q1129" s="4" t="s">
        <v>26</v>
      </c>
      <c r="R1129" s="4">
        <v>0</v>
      </c>
      <c r="S1129" s="6">
        <v>40</v>
      </c>
      <c r="T1129" s="6">
        <v>0</v>
      </c>
      <c r="U1129" s="6">
        <v>0</v>
      </c>
      <c r="V1129" s="6">
        <f>IF(ISERROR(VLOOKUP($S$1129,'TAR FIN'!$A$1:$O$104,15,0)),0,VLOOKUP($S$1129,'TAR FIN'!$A$1:$O$104,15,0))</f>
        <v>26.22</v>
      </c>
      <c r="W1129" s="6">
        <f>IF(ISERROR(VLOOKUP($T$1129,'TAR FIN'!$A$1:$O$104,15,0)),0,VLOOKUP($T$1129,'TAR FIN'!$A$1:$O$104,15,0))</f>
        <v>0</v>
      </c>
      <c r="X1129" s="6">
        <f>IF(ISERROR(VLOOKUP($U$1129,'TAR FIN'!$A$1:$O$104,15,0)),0,VLOOKUP($U$1129,'TAR FIN'!$A$1:$O$104,15,0))</f>
        <v>0</v>
      </c>
      <c r="Y1129" s="6">
        <f ca="1">('TUSD BE'!$AM$24+'TUSD BF'!$AM$24+'TUSD CVA'!$AM$24)*1</f>
        <v>26.280164278980507</v>
      </c>
      <c r="Z1129" s="6"/>
      <c r="AA1129" s="6"/>
      <c r="AB1129" s="6">
        <f>$K$1129*$V$1129</f>
        <v>1264616.8199999998</v>
      </c>
      <c r="AC1129" s="6">
        <f>$M$1129*$W$1129</f>
        <v>0</v>
      </c>
      <c r="AD1129" s="6">
        <f>$O$1129*$X$1129</f>
        <v>0</v>
      </c>
      <c r="AE1129" s="6">
        <f ca="1">$K$1129*$Y$1129</f>
        <v>1267518.6033395089</v>
      </c>
      <c r="AF1129" s="6">
        <f>$M$1129*$Z$1129</f>
        <v>0</v>
      </c>
      <c r="AG1129" s="6">
        <f>$O$1129*$AA$1129</f>
        <v>0</v>
      </c>
    </row>
    <row r="1130" spans="1:33" ht="11.25" customHeight="1" x14ac:dyDescent="0.25">
      <c r="A1130" s="4" t="s">
        <v>28</v>
      </c>
      <c r="B1130" s="4" t="s">
        <v>41</v>
      </c>
      <c r="C1130" s="4" t="s">
        <v>42</v>
      </c>
      <c r="D1130" s="4" t="s">
        <v>46</v>
      </c>
      <c r="E1130" s="4" t="s">
        <v>25</v>
      </c>
      <c r="F1130" s="4" t="s">
        <v>25</v>
      </c>
      <c r="G1130" s="4" t="s">
        <v>25</v>
      </c>
      <c r="H1130" s="4" t="s">
        <v>25</v>
      </c>
      <c r="I1130" s="5">
        <v>44501</v>
      </c>
      <c r="J1130" s="6">
        <v>1710</v>
      </c>
      <c r="K1130" s="6">
        <v>1710</v>
      </c>
      <c r="L1130" s="6">
        <v>0</v>
      </c>
      <c r="M1130" s="6">
        <v>0</v>
      </c>
      <c r="N1130" s="6">
        <v>0</v>
      </c>
      <c r="O1130" s="6">
        <v>0</v>
      </c>
      <c r="P1130" s="6">
        <v>8</v>
      </c>
      <c r="Q1130" s="4" t="s">
        <v>26</v>
      </c>
      <c r="R1130" s="4">
        <v>0</v>
      </c>
      <c r="S1130" s="6">
        <v>40</v>
      </c>
      <c r="T1130" s="6">
        <v>0</v>
      </c>
      <c r="U1130" s="6">
        <v>0</v>
      </c>
      <c r="V1130" s="6">
        <f>IF(ISERROR(VLOOKUP($S$1130,'TAR FIN'!$A$1:$O$104,15,0)),0,VLOOKUP($S$1130,'TAR FIN'!$A$1:$O$104,15,0))</f>
        <v>26.22</v>
      </c>
      <c r="W1130" s="6">
        <f>IF(ISERROR(VLOOKUP($T$1130,'TAR FIN'!$A$1:$O$104,15,0)),0,VLOOKUP($T$1130,'TAR FIN'!$A$1:$O$104,15,0))</f>
        <v>0</v>
      </c>
      <c r="X1130" s="6">
        <f>IF(ISERROR(VLOOKUP($U$1130,'TAR FIN'!$A$1:$O$104,15,0)),0,VLOOKUP($U$1130,'TAR FIN'!$A$1:$O$104,15,0))</f>
        <v>0</v>
      </c>
      <c r="Y1130" s="6">
        <f ca="1">('TUSD BE'!$AM$24+'TUSD BF'!$AM$24+'TUSD CVA'!$AM$24)*1</f>
        <v>26.280164278980507</v>
      </c>
      <c r="Z1130" s="6"/>
      <c r="AA1130" s="6"/>
      <c r="AB1130" s="6">
        <f>$K$1130*$V$1130</f>
        <v>44836.2</v>
      </c>
      <c r="AC1130" s="6">
        <f>$M$1130*$W$1130</f>
        <v>0</v>
      </c>
      <c r="AD1130" s="6">
        <f>$O$1130*$X$1130</f>
        <v>0</v>
      </c>
      <c r="AE1130" s="6">
        <f ca="1">$K$1130*$Y$1130</f>
        <v>44939.080917056664</v>
      </c>
      <c r="AF1130" s="6">
        <f>$M$1130*$Z$1130</f>
        <v>0</v>
      </c>
      <c r="AG1130" s="6">
        <f>$O$1130*$AA$1130</f>
        <v>0</v>
      </c>
    </row>
    <row r="1131" spans="1:33" ht="11.25" customHeight="1" x14ac:dyDescent="0.25">
      <c r="A1131" s="4" t="s">
        <v>21</v>
      </c>
      <c r="B1131" s="4" t="s">
        <v>41</v>
      </c>
      <c r="C1131" s="4" t="s">
        <v>42</v>
      </c>
      <c r="D1131" s="4" t="s">
        <v>46</v>
      </c>
      <c r="E1131" s="4" t="s">
        <v>25</v>
      </c>
      <c r="F1131" s="4" t="s">
        <v>25</v>
      </c>
      <c r="G1131" s="4" t="s">
        <v>25</v>
      </c>
      <c r="H1131" s="4" t="s">
        <v>25</v>
      </c>
      <c r="I1131" s="5">
        <v>44531</v>
      </c>
      <c r="J1131" s="6">
        <v>48404</v>
      </c>
      <c r="K1131" s="6">
        <v>48404</v>
      </c>
      <c r="L1131" s="6">
        <v>0</v>
      </c>
      <c r="M1131" s="6">
        <v>0</v>
      </c>
      <c r="N1131" s="6">
        <v>0</v>
      </c>
      <c r="O1131" s="6">
        <v>0</v>
      </c>
      <c r="P1131" s="6">
        <v>373</v>
      </c>
      <c r="Q1131" s="4" t="s">
        <v>26</v>
      </c>
      <c r="R1131" s="4">
        <v>0</v>
      </c>
      <c r="S1131" s="6">
        <v>40</v>
      </c>
      <c r="T1131" s="6">
        <v>0</v>
      </c>
      <c r="U1131" s="6">
        <v>0</v>
      </c>
      <c r="V1131" s="6">
        <f>IF(ISERROR(VLOOKUP($S$1131,'TAR FIN'!$A$1:$O$104,15,0)),0,VLOOKUP($S$1131,'TAR FIN'!$A$1:$O$104,15,0))</f>
        <v>26.22</v>
      </c>
      <c r="W1131" s="6">
        <f>IF(ISERROR(VLOOKUP($T$1131,'TAR FIN'!$A$1:$O$104,15,0)),0,VLOOKUP($T$1131,'TAR FIN'!$A$1:$O$104,15,0))</f>
        <v>0</v>
      </c>
      <c r="X1131" s="6">
        <f>IF(ISERROR(VLOOKUP($U$1131,'TAR FIN'!$A$1:$O$104,15,0)),0,VLOOKUP($U$1131,'TAR FIN'!$A$1:$O$104,15,0))</f>
        <v>0</v>
      </c>
      <c r="Y1131" s="6">
        <f ca="1">('TUSD BE'!$AM$24+'TUSD BF'!$AM$24+'TUSD CVA'!$AM$24)*1</f>
        <v>26.280164278980507</v>
      </c>
      <c r="Z1131" s="6"/>
      <c r="AA1131" s="6"/>
      <c r="AB1131" s="6">
        <f>$K$1131*$V$1131</f>
        <v>1269152.8799999999</v>
      </c>
      <c r="AC1131" s="6">
        <f>$M$1131*$W$1131</f>
        <v>0</v>
      </c>
      <c r="AD1131" s="6">
        <f>$O$1131*$X$1131</f>
        <v>0</v>
      </c>
      <c r="AE1131" s="6">
        <f ca="1">$K$1131*$Y$1131</f>
        <v>1272065.0717597725</v>
      </c>
      <c r="AF1131" s="6">
        <f>$M$1131*$Z$1131</f>
        <v>0</v>
      </c>
      <c r="AG1131" s="6">
        <f>$O$1131*$AA$1131</f>
        <v>0</v>
      </c>
    </row>
    <row r="1132" spans="1:33" ht="11.25" customHeight="1" x14ac:dyDescent="0.25">
      <c r="A1132" s="4" t="s">
        <v>28</v>
      </c>
      <c r="B1132" s="4" t="s">
        <v>41</v>
      </c>
      <c r="C1132" s="4" t="s">
        <v>42</v>
      </c>
      <c r="D1132" s="4" t="s">
        <v>46</v>
      </c>
      <c r="E1132" s="4" t="s">
        <v>25</v>
      </c>
      <c r="F1132" s="4" t="s">
        <v>25</v>
      </c>
      <c r="G1132" s="4" t="s">
        <v>25</v>
      </c>
      <c r="H1132" s="4" t="s">
        <v>25</v>
      </c>
      <c r="I1132" s="5">
        <v>44531</v>
      </c>
      <c r="J1132" s="6">
        <v>1715</v>
      </c>
      <c r="K1132" s="6">
        <v>1715</v>
      </c>
      <c r="L1132" s="6">
        <v>0</v>
      </c>
      <c r="M1132" s="6">
        <v>0</v>
      </c>
      <c r="N1132" s="6">
        <v>0</v>
      </c>
      <c r="O1132" s="6">
        <v>0</v>
      </c>
      <c r="P1132" s="6">
        <v>8</v>
      </c>
      <c r="Q1132" s="4" t="s">
        <v>26</v>
      </c>
      <c r="R1132" s="4">
        <v>0</v>
      </c>
      <c r="S1132" s="6">
        <v>40</v>
      </c>
      <c r="T1132" s="6">
        <v>0</v>
      </c>
      <c r="U1132" s="6">
        <v>0</v>
      </c>
      <c r="V1132" s="6">
        <f>IF(ISERROR(VLOOKUP($S$1132,'TAR FIN'!$A$1:$O$104,15,0)),0,VLOOKUP($S$1132,'TAR FIN'!$A$1:$O$104,15,0))</f>
        <v>26.22</v>
      </c>
      <c r="W1132" s="6">
        <f>IF(ISERROR(VLOOKUP($T$1132,'TAR FIN'!$A$1:$O$104,15,0)),0,VLOOKUP($T$1132,'TAR FIN'!$A$1:$O$104,15,0))</f>
        <v>0</v>
      </c>
      <c r="X1132" s="6">
        <f>IF(ISERROR(VLOOKUP($U$1132,'TAR FIN'!$A$1:$O$104,15,0)),0,VLOOKUP($U$1132,'TAR FIN'!$A$1:$O$104,15,0))</f>
        <v>0</v>
      </c>
      <c r="Y1132" s="6">
        <f ca="1">('TUSD BE'!$AM$24+'TUSD BF'!$AM$24+'TUSD CVA'!$AM$24)*1</f>
        <v>26.280164278980507</v>
      </c>
      <c r="Z1132" s="6"/>
      <c r="AA1132" s="6"/>
      <c r="AB1132" s="6">
        <f>$K$1132*$V$1132</f>
        <v>44967.299999999996</v>
      </c>
      <c r="AC1132" s="6">
        <f>$M$1132*$W$1132</f>
        <v>0</v>
      </c>
      <c r="AD1132" s="6">
        <f>$O$1132*$X$1132</f>
        <v>0</v>
      </c>
      <c r="AE1132" s="6">
        <f ca="1">$K$1132*$Y$1132</f>
        <v>45070.48173845157</v>
      </c>
      <c r="AF1132" s="6">
        <f>$M$1132*$Z$1132</f>
        <v>0</v>
      </c>
      <c r="AG1132" s="6">
        <f>$O$1132*$AA$1132</f>
        <v>0</v>
      </c>
    </row>
    <row r="1133" spans="1:33" ht="11.25" customHeight="1" x14ac:dyDescent="0.25">
      <c r="A1133" s="4" t="s">
        <v>21</v>
      </c>
      <c r="B1133" s="4" t="s">
        <v>41</v>
      </c>
      <c r="C1133" s="4" t="s">
        <v>42</v>
      </c>
      <c r="D1133" s="4" t="s">
        <v>46</v>
      </c>
      <c r="E1133" s="4" t="s">
        <v>25</v>
      </c>
      <c r="F1133" s="4" t="s">
        <v>25</v>
      </c>
      <c r="G1133" s="4" t="s">
        <v>25</v>
      </c>
      <c r="H1133" s="4" t="s">
        <v>25</v>
      </c>
      <c r="I1133" s="5">
        <v>44562</v>
      </c>
      <c r="J1133" s="6">
        <v>47605</v>
      </c>
      <c r="K1133" s="6">
        <v>47605</v>
      </c>
      <c r="L1133" s="6">
        <v>0</v>
      </c>
      <c r="M1133" s="6">
        <v>0</v>
      </c>
      <c r="N1133" s="6">
        <v>0</v>
      </c>
      <c r="O1133" s="6">
        <v>0</v>
      </c>
      <c r="P1133" s="6">
        <v>373</v>
      </c>
      <c r="Q1133" s="4" t="s">
        <v>26</v>
      </c>
      <c r="R1133" s="4">
        <v>0</v>
      </c>
      <c r="S1133" s="6">
        <v>40</v>
      </c>
      <c r="T1133" s="6">
        <v>0</v>
      </c>
      <c r="U1133" s="6">
        <v>0</v>
      </c>
      <c r="V1133" s="6">
        <f>IF(ISERROR(VLOOKUP($S$1133,'TAR FIN'!$A$1:$O$104,15,0)),0,VLOOKUP($S$1133,'TAR FIN'!$A$1:$O$104,15,0))</f>
        <v>26.22</v>
      </c>
      <c r="W1133" s="6">
        <f>IF(ISERROR(VLOOKUP($T$1133,'TAR FIN'!$A$1:$O$104,15,0)),0,VLOOKUP($T$1133,'TAR FIN'!$A$1:$O$104,15,0))</f>
        <v>0</v>
      </c>
      <c r="X1133" s="6">
        <f>IF(ISERROR(VLOOKUP($U$1133,'TAR FIN'!$A$1:$O$104,15,0)),0,VLOOKUP($U$1133,'TAR FIN'!$A$1:$O$104,15,0))</f>
        <v>0</v>
      </c>
      <c r="Y1133" s="6">
        <f ca="1">('TUSD BE'!$AM$24+'TUSD BF'!$AM$24+'TUSD CVA'!$AM$24)*1</f>
        <v>26.280164278980507</v>
      </c>
      <c r="Z1133" s="6"/>
      <c r="AA1133" s="6"/>
      <c r="AB1133" s="6">
        <f>$K$1133*$V$1133</f>
        <v>1248203.0999999999</v>
      </c>
      <c r="AC1133" s="6">
        <f>$M$1133*$W$1133</f>
        <v>0</v>
      </c>
      <c r="AD1133" s="6">
        <f>$O$1133*$X$1133</f>
        <v>0</v>
      </c>
      <c r="AE1133" s="6">
        <f ca="1">$K$1133*$Y$1133</f>
        <v>1251067.2205008671</v>
      </c>
      <c r="AF1133" s="6">
        <f>$M$1133*$Z$1133</f>
        <v>0</v>
      </c>
      <c r="AG1133" s="6">
        <f>$O$1133*$AA$1133</f>
        <v>0</v>
      </c>
    </row>
    <row r="1134" spans="1:33" ht="11.25" customHeight="1" x14ac:dyDescent="0.25">
      <c r="A1134" s="4" t="s">
        <v>28</v>
      </c>
      <c r="B1134" s="4" t="s">
        <v>41</v>
      </c>
      <c r="C1134" s="4" t="s">
        <v>42</v>
      </c>
      <c r="D1134" s="4" t="s">
        <v>46</v>
      </c>
      <c r="E1134" s="4" t="s">
        <v>25</v>
      </c>
      <c r="F1134" s="4" t="s">
        <v>25</v>
      </c>
      <c r="G1134" s="4" t="s">
        <v>25</v>
      </c>
      <c r="H1134" s="4" t="s">
        <v>25</v>
      </c>
      <c r="I1134" s="5">
        <v>44562</v>
      </c>
      <c r="J1134" s="6">
        <v>1718</v>
      </c>
      <c r="K1134" s="6">
        <v>1718</v>
      </c>
      <c r="L1134" s="6">
        <v>0</v>
      </c>
      <c r="M1134" s="6">
        <v>0</v>
      </c>
      <c r="N1134" s="6">
        <v>0</v>
      </c>
      <c r="O1134" s="6">
        <v>0</v>
      </c>
      <c r="P1134" s="6">
        <v>8</v>
      </c>
      <c r="Q1134" s="4" t="s">
        <v>26</v>
      </c>
      <c r="R1134" s="4">
        <v>0</v>
      </c>
      <c r="S1134" s="6">
        <v>40</v>
      </c>
      <c r="T1134" s="6">
        <v>0</v>
      </c>
      <c r="U1134" s="6">
        <v>0</v>
      </c>
      <c r="V1134" s="6">
        <f>IF(ISERROR(VLOOKUP($S$1134,'TAR FIN'!$A$1:$O$104,15,0)),0,VLOOKUP($S$1134,'TAR FIN'!$A$1:$O$104,15,0))</f>
        <v>26.22</v>
      </c>
      <c r="W1134" s="6">
        <f>IF(ISERROR(VLOOKUP($T$1134,'TAR FIN'!$A$1:$O$104,15,0)),0,VLOOKUP($T$1134,'TAR FIN'!$A$1:$O$104,15,0))</f>
        <v>0</v>
      </c>
      <c r="X1134" s="6">
        <f>IF(ISERROR(VLOOKUP($U$1134,'TAR FIN'!$A$1:$O$104,15,0)),0,VLOOKUP($U$1134,'TAR FIN'!$A$1:$O$104,15,0))</f>
        <v>0</v>
      </c>
      <c r="Y1134" s="6">
        <f ca="1">('TUSD BE'!$AM$24+'TUSD BF'!$AM$24+'TUSD CVA'!$AM$24)*1</f>
        <v>26.280164278980507</v>
      </c>
      <c r="Z1134" s="6"/>
      <c r="AA1134" s="6"/>
      <c r="AB1134" s="6">
        <f>$K$1134*$V$1134</f>
        <v>45045.96</v>
      </c>
      <c r="AC1134" s="6">
        <f>$M$1134*$W$1134</f>
        <v>0</v>
      </c>
      <c r="AD1134" s="6">
        <f>$O$1134*$X$1134</f>
        <v>0</v>
      </c>
      <c r="AE1134" s="6">
        <f ca="1">$K$1134*$Y$1134</f>
        <v>45149.322231288512</v>
      </c>
      <c r="AF1134" s="6">
        <f>$M$1134*$Z$1134</f>
        <v>0</v>
      </c>
      <c r="AG1134" s="6">
        <f>$O$1134*$AA$1134</f>
        <v>0</v>
      </c>
    </row>
    <row r="1135" spans="1:33" ht="11.25" customHeight="1" x14ac:dyDescent="0.25">
      <c r="A1135" s="4" t="s">
        <v>21</v>
      </c>
      <c r="B1135" s="4" t="s">
        <v>41</v>
      </c>
      <c r="C1135" s="4" t="s">
        <v>42</v>
      </c>
      <c r="D1135" s="4" t="s">
        <v>46</v>
      </c>
      <c r="E1135" s="4" t="s">
        <v>25</v>
      </c>
      <c r="F1135" s="4" t="s">
        <v>25</v>
      </c>
      <c r="G1135" s="4" t="s">
        <v>25</v>
      </c>
      <c r="H1135" s="4" t="s">
        <v>25</v>
      </c>
      <c r="I1135" s="5">
        <v>44593</v>
      </c>
      <c r="J1135" s="6">
        <v>47252</v>
      </c>
      <c r="K1135" s="6">
        <v>47252</v>
      </c>
      <c r="L1135" s="6">
        <v>0</v>
      </c>
      <c r="M1135" s="6">
        <v>0</v>
      </c>
      <c r="N1135" s="6">
        <v>0</v>
      </c>
      <c r="O1135" s="6">
        <v>0</v>
      </c>
      <c r="P1135" s="6">
        <v>371</v>
      </c>
      <c r="Q1135" s="4" t="s">
        <v>26</v>
      </c>
      <c r="R1135" s="4">
        <v>0</v>
      </c>
      <c r="S1135" s="6">
        <v>40</v>
      </c>
      <c r="T1135" s="6">
        <v>0</v>
      </c>
      <c r="U1135" s="6">
        <v>0</v>
      </c>
      <c r="V1135" s="6">
        <f>IF(ISERROR(VLOOKUP($S$1135,'TAR FIN'!$A$1:$O$104,15,0)),0,VLOOKUP($S$1135,'TAR FIN'!$A$1:$O$104,15,0))</f>
        <v>26.22</v>
      </c>
      <c r="W1135" s="6">
        <f>IF(ISERROR(VLOOKUP($T$1135,'TAR FIN'!$A$1:$O$104,15,0)),0,VLOOKUP($T$1135,'TAR FIN'!$A$1:$O$104,15,0))</f>
        <v>0</v>
      </c>
      <c r="X1135" s="6">
        <f>IF(ISERROR(VLOOKUP($U$1135,'TAR FIN'!$A$1:$O$104,15,0)),0,VLOOKUP($U$1135,'TAR FIN'!$A$1:$O$104,15,0))</f>
        <v>0</v>
      </c>
      <c r="Y1135" s="6">
        <f ca="1">('TUSD BE'!$AM$24+'TUSD BF'!$AM$24+'TUSD CVA'!$AM$24)*1</f>
        <v>26.280164278980507</v>
      </c>
      <c r="Z1135" s="6"/>
      <c r="AA1135" s="6"/>
      <c r="AB1135" s="6">
        <f>$K$1135*$V$1135</f>
        <v>1238947.44</v>
      </c>
      <c r="AC1135" s="6">
        <f>$M$1135*$W$1135</f>
        <v>0</v>
      </c>
      <c r="AD1135" s="6">
        <f>$O$1135*$X$1135</f>
        <v>0</v>
      </c>
      <c r="AE1135" s="6">
        <f ca="1">$K$1135*$Y$1135</f>
        <v>1241790.3225103868</v>
      </c>
      <c r="AF1135" s="6">
        <f>$M$1135*$Z$1135</f>
        <v>0</v>
      </c>
      <c r="AG1135" s="6">
        <f>$O$1135*$AA$1135</f>
        <v>0</v>
      </c>
    </row>
    <row r="1136" spans="1:33" ht="11.25" customHeight="1" x14ac:dyDescent="0.25">
      <c r="A1136" s="4" t="s">
        <v>28</v>
      </c>
      <c r="B1136" s="4" t="s">
        <v>41</v>
      </c>
      <c r="C1136" s="4" t="s">
        <v>42</v>
      </c>
      <c r="D1136" s="4" t="s">
        <v>46</v>
      </c>
      <c r="E1136" s="4" t="s">
        <v>25</v>
      </c>
      <c r="F1136" s="4" t="s">
        <v>25</v>
      </c>
      <c r="G1136" s="4" t="s">
        <v>25</v>
      </c>
      <c r="H1136" s="4" t="s">
        <v>25</v>
      </c>
      <c r="I1136" s="5">
        <v>44593</v>
      </c>
      <c r="J1136" s="6">
        <v>1804</v>
      </c>
      <c r="K1136" s="6">
        <v>1804</v>
      </c>
      <c r="L1136" s="6">
        <v>0</v>
      </c>
      <c r="M1136" s="6">
        <v>0</v>
      </c>
      <c r="N1136" s="6">
        <v>0</v>
      </c>
      <c r="O1136" s="6">
        <v>0</v>
      </c>
      <c r="P1136" s="6">
        <v>9</v>
      </c>
      <c r="Q1136" s="4" t="s">
        <v>26</v>
      </c>
      <c r="R1136" s="4">
        <v>0</v>
      </c>
      <c r="S1136" s="6">
        <v>40</v>
      </c>
      <c r="T1136" s="6">
        <v>0</v>
      </c>
      <c r="U1136" s="6">
        <v>0</v>
      </c>
      <c r="V1136" s="6">
        <f>IF(ISERROR(VLOOKUP($S$1136,'TAR FIN'!$A$1:$O$104,15,0)),0,VLOOKUP($S$1136,'TAR FIN'!$A$1:$O$104,15,0))</f>
        <v>26.22</v>
      </c>
      <c r="W1136" s="6">
        <f>IF(ISERROR(VLOOKUP($T$1136,'TAR FIN'!$A$1:$O$104,15,0)),0,VLOOKUP($T$1136,'TAR FIN'!$A$1:$O$104,15,0))</f>
        <v>0</v>
      </c>
      <c r="X1136" s="6">
        <f>IF(ISERROR(VLOOKUP($U$1136,'TAR FIN'!$A$1:$O$104,15,0)),0,VLOOKUP($U$1136,'TAR FIN'!$A$1:$O$104,15,0))</f>
        <v>0</v>
      </c>
      <c r="Y1136" s="6">
        <f ca="1">('TUSD BE'!$AM$24+'TUSD BF'!$AM$24+'TUSD CVA'!$AM$24)*1</f>
        <v>26.280164278980507</v>
      </c>
      <c r="Z1136" s="6"/>
      <c r="AA1136" s="6"/>
      <c r="AB1136" s="6">
        <f>$K$1136*$V$1136</f>
        <v>47300.88</v>
      </c>
      <c r="AC1136" s="6">
        <f>$M$1136*$W$1136</f>
        <v>0</v>
      </c>
      <c r="AD1136" s="6">
        <f>$O$1136*$X$1136</f>
        <v>0</v>
      </c>
      <c r="AE1136" s="6">
        <f ca="1">$K$1136*$Y$1136</f>
        <v>47409.416359280833</v>
      </c>
      <c r="AF1136" s="6">
        <f>$M$1136*$Z$1136</f>
        <v>0</v>
      </c>
      <c r="AG1136" s="6">
        <f>$O$1136*$AA$1136</f>
        <v>0</v>
      </c>
    </row>
    <row r="1137" spans="1:33" ht="11.25" customHeight="1" x14ac:dyDescent="0.25">
      <c r="A1137" s="4" t="s">
        <v>21</v>
      </c>
      <c r="B1137" s="4" t="s">
        <v>41</v>
      </c>
      <c r="C1137" s="4" t="s">
        <v>42</v>
      </c>
      <c r="D1137" s="4" t="s">
        <v>46</v>
      </c>
      <c r="E1137" s="4" t="s">
        <v>25</v>
      </c>
      <c r="F1137" s="4" t="s">
        <v>25</v>
      </c>
      <c r="G1137" s="4" t="s">
        <v>25</v>
      </c>
      <c r="H1137" s="4" t="s">
        <v>25</v>
      </c>
      <c r="I1137" s="5">
        <v>44621</v>
      </c>
      <c r="J1137" s="6">
        <v>47575</v>
      </c>
      <c r="K1137" s="6">
        <v>47575</v>
      </c>
      <c r="L1137" s="6">
        <v>0</v>
      </c>
      <c r="M1137" s="6">
        <v>0</v>
      </c>
      <c r="N1137" s="6">
        <v>0</v>
      </c>
      <c r="O1137" s="6">
        <v>0</v>
      </c>
      <c r="P1137" s="6">
        <v>372</v>
      </c>
      <c r="Q1137" s="4" t="s">
        <v>26</v>
      </c>
      <c r="R1137" s="4">
        <v>0</v>
      </c>
      <c r="S1137" s="6">
        <v>40</v>
      </c>
      <c r="T1137" s="6">
        <v>0</v>
      </c>
      <c r="U1137" s="6">
        <v>0</v>
      </c>
      <c r="V1137" s="6">
        <f>IF(ISERROR(VLOOKUP($S$1137,'TAR FIN'!$A$1:$O$104,15,0)),0,VLOOKUP($S$1137,'TAR FIN'!$A$1:$O$104,15,0))</f>
        <v>26.22</v>
      </c>
      <c r="W1137" s="6">
        <f>IF(ISERROR(VLOOKUP($T$1137,'TAR FIN'!$A$1:$O$104,15,0)),0,VLOOKUP($T$1137,'TAR FIN'!$A$1:$O$104,15,0))</f>
        <v>0</v>
      </c>
      <c r="X1137" s="6">
        <f>IF(ISERROR(VLOOKUP($U$1137,'TAR FIN'!$A$1:$O$104,15,0)),0,VLOOKUP($U$1137,'TAR FIN'!$A$1:$O$104,15,0))</f>
        <v>0</v>
      </c>
      <c r="Y1137" s="6">
        <f ca="1">('TUSD BE'!$AM$24+'TUSD BF'!$AM$24+'TUSD CVA'!$AM$24)*1</f>
        <v>26.280164278980507</v>
      </c>
      <c r="Z1137" s="6"/>
      <c r="AA1137" s="6"/>
      <c r="AB1137" s="6">
        <f>$K$1137*$V$1137</f>
        <v>1247416.5</v>
      </c>
      <c r="AC1137" s="6">
        <f>$M$1137*$W$1137</f>
        <v>0</v>
      </c>
      <c r="AD1137" s="6">
        <f>$O$1137*$X$1137</f>
        <v>0</v>
      </c>
      <c r="AE1137" s="6">
        <f ca="1">$K$1137*$Y$1137</f>
        <v>1250278.8155724977</v>
      </c>
      <c r="AF1137" s="6">
        <f>$M$1137*$Z$1137</f>
        <v>0</v>
      </c>
      <c r="AG1137" s="6">
        <f>$O$1137*$AA$1137</f>
        <v>0</v>
      </c>
    </row>
    <row r="1138" spans="1:33" ht="11.25" customHeight="1" x14ac:dyDescent="0.25">
      <c r="A1138" s="4" t="s">
        <v>28</v>
      </c>
      <c r="B1138" s="4" t="s">
        <v>41</v>
      </c>
      <c r="C1138" s="4" t="s">
        <v>42</v>
      </c>
      <c r="D1138" s="4" t="s">
        <v>46</v>
      </c>
      <c r="E1138" s="4" t="s">
        <v>25</v>
      </c>
      <c r="F1138" s="4" t="s">
        <v>25</v>
      </c>
      <c r="G1138" s="4" t="s">
        <v>25</v>
      </c>
      <c r="H1138" s="4" t="s">
        <v>25</v>
      </c>
      <c r="I1138" s="5">
        <v>44621</v>
      </c>
      <c r="J1138" s="6">
        <v>1801</v>
      </c>
      <c r="K1138" s="6">
        <v>1801</v>
      </c>
      <c r="L1138" s="6">
        <v>0</v>
      </c>
      <c r="M1138" s="6">
        <v>0</v>
      </c>
      <c r="N1138" s="6">
        <v>0</v>
      </c>
      <c r="O1138" s="6">
        <v>0</v>
      </c>
      <c r="P1138" s="6">
        <v>9</v>
      </c>
      <c r="Q1138" s="4" t="s">
        <v>26</v>
      </c>
      <c r="R1138" s="4">
        <v>0</v>
      </c>
      <c r="S1138" s="6">
        <v>40</v>
      </c>
      <c r="T1138" s="6">
        <v>0</v>
      </c>
      <c r="U1138" s="6">
        <v>0</v>
      </c>
      <c r="V1138" s="6">
        <f>IF(ISERROR(VLOOKUP($S$1138,'TAR FIN'!$A$1:$O$104,15,0)),0,VLOOKUP($S$1138,'TAR FIN'!$A$1:$O$104,15,0))</f>
        <v>26.22</v>
      </c>
      <c r="W1138" s="6">
        <f>IF(ISERROR(VLOOKUP($T$1138,'TAR FIN'!$A$1:$O$104,15,0)),0,VLOOKUP($T$1138,'TAR FIN'!$A$1:$O$104,15,0))</f>
        <v>0</v>
      </c>
      <c r="X1138" s="6">
        <f>IF(ISERROR(VLOOKUP($U$1138,'TAR FIN'!$A$1:$O$104,15,0)),0,VLOOKUP($U$1138,'TAR FIN'!$A$1:$O$104,15,0))</f>
        <v>0</v>
      </c>
      <c r="Y1138" s="6">
        <f ca="1">('TUSD BE'!$AM$24+'TUSD BF'!$AM$24+'TUSD CVA'!$AM$24)*1</f>
        <v>26.280164278980507</v>
      </c>
      <c r="Z1138" s="6"/>
      <c r="AA1138" s="6"/>
      <c r="AB1138" s="6">
        <f>$K$1138*$V$1138</f>
        <v>47222.22</v>
      </c>
      <c r="AC1138" s="6">
        <f>$M$1138*$W$1138</f>
        <v>0</v>
      </c>
      <c r="AD1138" s="6">
        <f>$O$1138*$X$1138</f>
        <v>0</v>
      </c>
      <c r="AE1138" s="6">
        <f ca="1">$K$1138*$Y$1138</f>
        <v>47330.575866443891</v>
      </c>
      <c r="AF1138" s="6">
        <f>$M$1138*$Z$1138</f>
        <v>0</v>
      </c>
      <c r="AG1138" s="6">
        <f>$O$1138*$AA$1138</f>
        <v>0</v>
      </c>
    </row>
    <row r="1139" spans="1:33" ht="11.25" customHeight="1" x14ac:dyDescent="0.25">
      <c r="A1139" s="4" t="s">
        <v>21</v>
      </c>
      <c r="B1139" s="4" t="s">
        <v>41</v>
      </c>
      <c r="C1139" s="4" t="s">
        <v>42</v>
      </c>
      <c r="D1139" s="4" t="s">
        <v>46</v>
      </c>
      <c r="E1139" s="4" t="s">
        <v>25</v>
      </c>
      <c r="F1139" s="4" t="s">
        <v>25</v>
      </c>
      <c r="G1139" s="4" t="s">
        <v>25</v>
      </c>
      <c r="H1139" s="4" t="s">
        <v>25</v>
      </c>
      <c r="I1139" s="5">
        <v>44652</v>
      </c>
      <c r="J1139" s="6">
        <v>47753</v>
      </c>
      <c r="K1139" s="6">
        <v>47753</v>
      </c>
      <c r="L1139" s="6">
        <v>0</v>
      </c>
      <c r="M1139" s="6">
        <v>0</v>
      </c>
      <c r="N1139" s="6">
        <v>0</v>
      </c>
      <c r="O1139" s="6">
        <v>0</v>
      </c>
      <c r="P1139" s="6">
        <v>372</v>
      </c>
      <c r="Q1139" s="4" t="s">
        <v>26</v>
      </c>
      <c r="R1139" s="4">
        <v>0</v>
      </c>
      <c r="S1139" s="6">
        <v>40</v>
      </c>
      <c r="T1139" s="6">
        <v>0</v>
      </c>
      <c r="U1139" s="6">
        <v>0</v>
      </c>
      <c r="V1139" s="6">
        <f>IF(ISERROR(VLOOKUP($S$1139,'TAR FIN'!$A$1:$O$104,15,0)),0,VLOOKUP($S$1139,'TAR FIN'!$A$1:$O$104,15,0))</f>
        <v>26.22</v>
      </c>
      <c r="W1139" s="6">
        <f>IF(ISERROR(VLOOKUP($T$1139,'TAR FIN'!$A$1:$O$104,15,0)),0,VLOOKUP($T$1139,'TAR FIN'!$A$1:$O$104,15,0))</f>
        <v>0</v>
      </c>
      <c r="X1139" s="6">
        <f>IF(ISERROR(VLOOKUP($U$1139,'TAR FIN'!$A$1:$O$104,15,0)),0,VLOOKUP($U$1139,'TAR FIN'!$A$1:$O$104,15,0))</f>
        <v>0</v>
      </c>
      <c r="Y1139" s="6">
        <f ca="1">('TUSD BE'!$AM$24+'TUSD BF'!$AM$24+'TUSD CVA'!$AM$24)*1</f>
        <v>26.280164278980507</v>
      </c>
      <c r="Z1139" s="6"/>
      <c r="AA1139" s="6"/>
      <c r="AB1139" s="6">
        <f>$K$1139*$V$1139</f>
        <v>1252083.6599999999</v>
      </c>
      <c r="AC1139" s="6">
        <f>$M$1139*$W$1139</f>
        <v>0</v>
      </c>
      <c r="AD1139" s="6">
        <f>$O$1139*$X$1139</f>
        <v>0</v>
      </c>
      <c r="AE1139" s="6">
        <f ca="1">$K$1139*$Y$1139</f>
        <v>1254956.6848141563</v>
      </c>
      <c r="AF1139" s="6">
        <f>$M$1139*$Z$1139</f>
        <v>0</v>
      </c>
      <c r="AG1139" s="6">
        <f>$O$1139*$AA$1139</f>
        <v>0</v>
      </c>
    </row>
    <row r="1140" spans="1:33" ht="11.25" customHeight="1" x14ac:dyDescent="0.25">
      <c r="A1140" s="4" t="s">
        <v>28</v>
      </c>
      <c r="B1140" s="4" t="s">
        <v>41</v>
      </c>
      <c r="C1140" s="4" t="s">
        <v>42</v>
      </c>
      <c r="D1140" s="4" t="s">
        <v>46</v>
      </c>
      <c r="E1140" s="4" t="s">
        <v>25</v>
      </c>
      <c r="F1140" s="4" t="s">
        <v>25</v>
      </c>
      <c r="G1140" s="4" t="s">
        <v>25</v>
      </c>
      <c r="H1140" s="4" t="s">
        <v>25</v>
      </c>
      <c r="I1140" s="5">
        <v>44652</v>
      </c>
      <c r="J1140" s="6">
        <v>1802</v>
      </c>
      <c r="K1140" s="6">
        <v>1802</v>
      </c>
      <c r="L1140" s="6">
        <v>0</v>
      </c>
      <c r="M1140" s="6">
        <v>0</v>
      </c>
      <c r="N1140" s="6">
        <v>0</v>
      </c>
      <c r="O1140" s="6">
        <v>0</v>
      </c>
      <c r="P1140" s="6">
        <v>9</v>
      </c>
      <c r="Q1140" s="4" t="s">
        <v>26</v>
      </c>
      <c r="R1140" s="4">
        <v>0</v>
      </c>
      <c r="S1140" s="6">
        <v>40</v>
      </c>
      <c r="T1140" s="6">
        <v>0</v>
      </c>
      <c r="U1140" s="6">
        <v>0</v>
      </c>
      <c r="V1140" s="6">
        <f>IF(ISERROR(VLOOKUP($S$1140,'TAR FIN'!$A$1:$O$104,15,0)),0,VLOOKUP($S$1140,'TAR FIN'!$A$1:$O$104,15,0))</f>
        <v>26.22</v>
      </c>
      <c r="W1140" s="6">
        <f>IF(ISERROR(VLOOKUP($T$1140,'TAR FIN'!$A$1:$O$104,15,0)),0,VLOOKUP($T$1140,'TAR FIN'!$A$1:$O$104,15,0))</f>
        <v>0</v>
      </c>
      <c r="X1140" s="6">
        <f>IF(ISERROR(VLOOKUP($U$1140,'TAR FIN'!$A$1:$O$104,15,0)),0,VLOOKUP($U$1140,'TAR FIN'!$A$1:$O$104,15,0))</f>
        <v>0</v>
      </c>
      <c r="Y1140" s="6">
        <f ca="1">('TUSD BE'!$AM$24+'TUSD BF'!$AM$24+'TUSD CVA'!$AM$24)*1</f>
        <v>26.280164278980507</v>
      </c>
      <c r="Z1140" s="6"/>
      <c r="AA1140" s="6"/>
      <c r="AB1140" s="6">
        <f>$K$1140*$V$1140</f>
        <v>47248.439999999995</v>
      </c>
      <c r="AC1140" s="6">
        <f>$M$1140*$W$1140</f>
        <v>0</v>
      </c>
      <c r="AD1140" s="6">
        <f>$O$1140*$X$1140</f>
        <v>0</v>
      </c>
      <c r="AE1140" s="6">
        <f ca="1">$K$1140*$Y$1140</f>
        <v>47356.856030722876</v>
      </c>
      <c r="AF1140" s="6">
        <f>$M$1140*$Z$1140</f>
        <v>0</v>
      </c>
      <c r="AG1140" s="6">
        <f>$O$1140*$AA$1140</f>
        <v>0</v>
      </c>
    </row>
    <row r="1141" spans="1:33" ht="11.25" customHeight="1" x14ac:dyDescent="0.25">
      <c r="A1141" s="4" t="s">
        <v>21</v>
      </c>
      <c r="B1141" s="4" t="s">
        <v>41</v>
      </c>
      <c r="C1141" s="4" t="s">
        <v>42</v>
      </c>
      <c r="D1141" s="4" t="s">
        <v>46</v>
      </c>
      <c r="E1141" s="4" t="s">
        <v>25</v>
      </c>
      <c r="F1141" s="4" t="s">
        <v>25</v>
      </c>
      <c r="G1141" s="4" t="s">
        <v>25</v>
      </c>
      <c r="H1141" s="4" t="s">
        <v>25</v>
      </c>
      <c r="I1141" s="5">
        <v>44682</v>
      </c>
      <c r="J1141" s="6">
        <v>46491</v>
      </c>
      <c r="K1141" s="6">
        <v>46491</v>
      </c>
      <c r="L1141" s="6">
        <v>0</v>
      </c>
      <c r="M1141" s="6">
        <v>0</v>
      </c>
      <c r="N1141" s="6">
        <v>0</v>
      </c>
      <c r="O1141" s="6">
        <v>0</v>
      </c>
      <c r="P1141" s="6">
        <v>374</v>
      </c>
      <c r="Q1141" s="4" t="s">
        <v>26</v>
      </c>
      <c r="R1141" s="4">
        <v>0</v>
      </c>
      <c r="S1141" s="6">
        <v>40</v>
      </c>
      <c r="T1141" s="6">
        <v>0</v>
      </c>
      <c r="U1141" s="6">
        <v>0</v>
      </c>
      <c r="V1141" s="6">
        <f>IF(ISERROR(VLOOKUP($S$1141,'TAR FIN'!$A$1:$O$104,15,0)),0,VLOOKUP($S$1141,'TAR FIN'!$A$1:$O$104,15,0))</f>
        <v>26.22</v>
      </c>
      <c r="W1141" s="6">
        <f>IF(ISERROR(VLOOKUP($T$1141,'TAR FIN'!$A$1:$O$104,15,0)),0,VLOOKUP($T$1141,'TAR FIN'!$A$1:$O$104,15,0))</f>
        <v>0</v>
      </c>
      <c r="X1141" s="6">
        <f>IF(ISERROR(VLOOKUP($U$1141,'TAR FIN'!$A$1:$O$104,15,0)),0,VLOOKUP($U$1141,'TAR FIN'!$A$1:$O$104,15,0))</f>
        <v>0</v>
      </c>
      <c r="Y1141" s="6">
        <f ca="1">('TUSD BE'!$AM$24+'TUSD BF'!$AM$24+'TUSD CVA'!$AM$24)*1</f>
        <v>26.280164278980507</v>
      </c>
      <c r="Z1141" s="6"/>
      <c r="AA1141" s="6"/>
      <c r="AB1141" s="6">
        <f>$K$1141*$V$1141</f>
        <v>1218994.02</v>
      </c>
      <c r="AC1141" s="6">
        <f>$M$1141*$W$1141</f>
        <v>0</v>
      </c>
      <c r="AD1141" s="6">
        <f>$O$1141*$X$1141</f>
        <v>0</v>
      </c>
      <c r="AE1141" s="6">
        <f ca="1">$K$1141*$Y$1141</f>
        <v>1221791.1174940828</v>
      </c>
      <c r="AF1141" s="6">
        <f>$M$1141*$Z$1141</f>
        <v>0</v>
      </c>
      <c r="AG1141" s="6">
        <f>$O$1141*$AA$1141</f>
        <v>0</v>
      </c>
    </row>
    <row r="1142" spans="1:33" ht="11.25" customHeight="1" x14ac:dyDescent="0.25">
      <c r="A1142" s="4" t="s">
        <v>28</v>
      </c>
      <c r="B1142" s="4" t="s">
        <v>41</v>
      </c>
      <c r="C1142" s="4" t="s">
        <v>42</v>
      </c>
      <c r="D1142" s="4" t="s">
        <v>46</v>
      </c>
      <c r="E1142" s="4" t="s">
        <v>25</v>
      </c>
      <c r="F1142" s="4" t="s">
        <v>25</v>
      </c>
      <c r="G1142" s="4" t="s">
        <v>25</v>
      </c>
      <c r="H1142" s="4" t="s">
        <v>25</v>
      </c>
      <c r="I1142" s="5">
        <v>44682</v>
      </c>
      <c r="J1142" s="6">
        <v>1805</v>
      </c>
      <c r="K1142" s="6">
        <v>1805</v>
      </c>
      <c r="L1142" s="6">
        <v>0</v>
      </c>
      <c r="M1142" s="6">
        <v>0</v>
      </c>
      <c r="N1142" s="6">
        <v>0</v>
      </c>
      <c r="O1142" s="6">
        <v>0</v>
      </c>
      <c r="P1142" s="6">
        <v>9</v>
      </c>
      <c r="Q1142" s="4" t="s">
        <v>26</v>
      </c>
      <c r="R1142" s="4">
        <v>0</v>
      </c>
      <c r="S1142" s="6">
        <v>40</v>
      </c>
      <c r="T1142" s="6">
        <v>0</v>
      </c>
      <c r="U1142" s="6">
        <v>0</v>
      </c>
      <c r="V1142" s="6">
        <f>IF(ISERROR(VLOOKUP($S$1142,'TAR FIN'!$A$1:$O$104,15,0)),0,VLOOKUP($S$1142,'TAR FIN'!$A$1:$O$104,15,0))</f>
        <v>26.22</v>
      </c>
      <c r="W1142" s="6">
        <f>IF(ISERROR(VLOOKUP($T$1142,'TAR FIN'!$A$1:$O$104,15,0)),0,VLOOKUP($T$1142,'TAR FIN'!$A$1:$O$104,15,0))</f>
        <v>0</v>
      </c>
      <c r="X1142" s="6">
        <f>IF(ISERROR(VLOOKUP($U$1142,'TAR FIN'!$A$1:$O$104,15,0)),0,VLOOKUP($U$1142,'TAR FIN'!$A$1:$O$104,15,0))</f>
        <v>0</v>
      </c>
      <c r="Y1142" s="6">
        <f ca="1">('TUSD BE'!$AM$24+'TUSD BF'!$AM$24+'TUSD CVA'!$AM$24)*1</f>
        <v>26.280164278980507</v>
      </c>
      <c r="Z1142" s="6"/>
      <c r="AA1142" s="6"/>
      <c r="AB1142" s="6">
        <f>$K$1142*$V$1142</f>
        <v>47327.1</v>
      </c>
      <c r="AC1142" s="6">
        <f>$M$1142*$W$1142</f>
        <v>0</v>
      </c>
      <c r="AD1142" s="6">
        <f>$O$1142*$X$1142</f>
        <v>0</v>
      </c>
      <c r="AE1142" s="6">
        <f ca="1">$K$1142*$Y$1142</f>
        <v>47435.696523559818</v>
      </c>
      <c r="AF1142" s="6">
        <f>$M$1142*$Z$1142</f>
        <v>0</v>
      </c>
      <c r="AG1142" s="6">
        <f>$O$1142*$AA$1142</f>
        <v>0</v>
      </c>
    </row>
    <row r="1143" spans="1:33" ht="11.25" customHeight="1" x14ac:dyDescent="0.25">
      <c r="A1143" s="4" t="s">
        <v>21</v>
      </c>
      <c r="B1143" s="4" t="s">
        <v>41</v>
      </c>
      <c r="C1143" s="4" t="s">
        <v>42</v>
      </c>
      <c r="D1143" s="4" t="s">
        <v>46</v>
      </c>
      <c r="E1143" s="4" t="s">
        <v>25</v>
      </c>
      <c r="F1143" s="4" t="s">
        <v>25</v>
      </c>
      <c r="G1143" s="4" t="s">
        <v>25</v>
      </c>
      <c r="H1143" s="4" t="s">
        <v>25</v>
      </c>
      <c r="I1143" s="5">
        <v>44713</v>
      </c>
      <c r="J1143" s="6">
        <v>45894</v>
      </c>
      <c r="K1143" s="6">
        <v>45894</v>
      </c>
      <c r="L1143" s="6">
        <v>0</v>
      </c>
      <c r="M1143" s="6">
        <v>0</v>
      </c>
      <c r="N1143" s="6">
        <v>0</v>
      </c>
      <c r="O1143" s="6">
        <v>0</v>
      </c>
      <c r="P1143" s="6">
        <v>374</v>
      </c>
      <c r="Q1143" s="4" t="s">
        <v>26</v>
      </c>
      <c r="R1143" s="4">
        <v>0</v>
      </c>
      <c r="S1143" s="6">
        <v>40</v>
      </c>
      <c r="T1143" s="6">
        <v>0</v>
      </c>
      <c r="U1143" s="6">
        <v>0</v>
      </c>
      <c r="V1143" s="6">
        <f>IF(ISERROR(VLOOKUP($S$1143,'TAR FIN'!$A$1:$O$104,15,0)),0,VLOOKUP($S$1143,'TAR FIN'!$A$1:$O$104,15,0))</f>
        <v>26.22</v>
      </c>
      <c r="W1143" s="6">
        <f>IF(ISERROR(VLOOKUP($T$1143,'TAR FIN'!$A$1:$O$104,15,0)),0,VLOOKUP($T$1143,'TAR FIN'!$A$1:$O$104,15,0))</f>
        <v>0</v>
      </c>
      <c r="X1143" s="6">
        <f>IF(ISERROR(VLOOKUP($U$1143,'TAR FIN'!$A$1:$O$104,15,0)),0,VLOOKUP($U$1143,'TAR FIN'!$A$1:$O$104,15,0))</f>
        <v>0</v>
      </c>
      <c r="Y1143" s="6">
        <f ca="1">('TUSD BE'!$AM$24+'TUSD BF'!$AM$24+'TUSD CVA'!$AM$24)*1</f>
        <v>26.280164278980507</v>
      </c>
      <c r="Z1143" s="6"/>
      <c r="AA1143" s="6"/>
      <c r="AB1143" s="6">
        <f>$K$1143*$V$1143</f>
        <v>1203340.68</v>
      </c>
      <c r="AC1143" s="6">
        <f>$M$1143*$W$1143</f>
        <v>0</v>
      </c>
      <c r="AD1143" s="6">
        <f>$O$1143*$X$1143</f>
        <v>0</v>
      </c>
      <c r="AE1143" s="6">
        <f ca="1">$K$1143*$Y$1143</f>
        <v>1206101.8594195314</v>
      </c>
      <c r="AF1143" s="6">
        <f>$M$1143*$Z$1143</f>
        <v>0</v>
      </c>
      <c r="AG1143" s="6">
        <f>$O$1143*$AA$1143</f>
        <v>0</v>
      </c>
    </row>
    <row r="1144" spans="1:33" ht="11.25" customHeight="1" x14ac:dyDescent="0.25">
      <c r="A1144" s="4" t="s">
        <v>28</v>
      </c>
      <c r="B1144" s="4" t="s">
        <v>41</v>
      </c>
      <c r="C1144" s="4" t="s">
        <v>42</v>
      </c>
      <c r="D1144" s="4" t="s">
        <v>46</v>
      </c>
      <c r="E1144" s="4" t="s">
        <v>25</v>
      </c>
      <c r="F1144" s="4" t="s">
        <v>25</v>
      </c>
      <c r="G1144" s="4" t="s">
        <v>25</v>
      </c>
      <c r="H1144" s="4" t="s">
        <v>25</v>
      </c>
      <c r="I1144" s="5">
        <v>44713</v>
      </c>
      <c r="J1144" s="6">
        <v>1867</v>
      </c>
      <c r="K1144" s="6">
        <v>1867</v>
      </c>
      <c r="L1144" s="6">
        <v>0</v>
      </c>
      <c r="M1144" s="6">
        <v>0</v>
      </c>
      <c r="N1144" s="6">
        <v>0</v>
      </c>
      <c r="O1144" s="6">
        <v>0</v>
      </c>
      <c r="P1144" s="6">
        <v>10</v>
      </c>
      <c r="Q1144" s="4" t="s">
        <v>26</v>
      </c>
      <c r="R1144" s="4">
        <v>0</v>
      </c>
      <c r="S1144" s="6">
        <v>40</v>
      </c>
      <c r="T1144" s="6">
        <v>0</v>
      </c>
      <c r="U1144" s="6">
        <v>0</v>
      </c>
      <c r="V1144" s="6">
        <f>IF(ISERROR(VLOOKUP($S$1144,'TAR FIN'!$A$1:$O$104,15,0)),0,VLOOKUP($S$1144,'TAR FIN'!$A$1:$O$104,15,0))</f>
        <v>26.22</v>
      </c>
      <c r="W1144" s="6">
        <f>IF(ISERROR(VLOOKUP($T$1144,'TAR FIN'!$A$1:$O$104,15,0)),0,VLOOKUP($T$1144,'TAR FIN'!$A$1:$O$104,15,0))</f>
        <v>0</v>
      </c>
      <c r="X1144" s="6">
        <f>IF(ISERROR(VLOOKUP($U$1144,'TAR FIN'!$A$1:$O$104,15,0)),0,VLOOKUP($U$1144,'TAR FIN'!$A$1:$O$104,15,0))</f>
        <v>0</v>
      </c>
      <c r="Y1144" s="6">
        <f ca="1">('TUSD BE'!$AM$24+'TUSD BF'!$AM$24+'TUSD CVA'!$AM$24)*1</f>
        <v>26.280164278980507</v>
      </c>
      <c r="Z1144" s="6"/>
      <c r="AA1144" s="6"/>
      <c r="AB1144" s="6">
        <f>$K$1144*$V$1144</f>
        <v>48952.74</v>
      </c>
      <c r="AC1144" s="6">
        <f>$M$1144*$W$1144</f>
        <v>0</v>
      </c>
      <c r="AD1144" s="6">
        <f>$O$1144*$X$1144</f>
        <v>0</v>
      </c>
      <c r="AE1144" s="6">
        <f ca="1">$K$1144*$Y$1144</f>
        <v>49065.066708856604</v>
      </c>
      <c r="AF1144" s="6">
        <f>$M$1144*$Z$1144</f>
        <v>0</v>
      </c>
      <c r="AG1144" s="6">
        <f>$O$1144*$AA$1144</f>
        <v>0</v>
      </c>
    </row>
    <row r="1145" spans="1:33" ht="11.25" customHeight="1" x14ac:dyDescent="0.25">
      <c r="A1145" s="4" t="s">
        <v>57</v>
      </c>
      <c r="B1145" s="4" t="s">
        <v>41</v>
      </c>
      <c r="C1145" s="4" t="s">
        <v>42</v>
      </c>
      <c r="D1145" s="4" t="s">
        <v>46</v>
      </c>
      <c r="E1145" s="4" t="s">
        <v>25</v>
      </c>
      <c r="F1145" s="4" t="s">
        <v>25</v>
      </c>
      <c r="G1145" s="4" t="s">
        <v>25</v>
      </c>
      <c r="H1145" s="4" t="s">
        <v>25</v>
      </c>
      <c r="I1145" s="5">
        <v>44743</v>
      </c>
      <c r="J1145" s="6">
        <v>45894</v>
      </c>
      <c r="K1145" s="6">
        <v>45894</v>
      </c>
      <c r="L1145" s="6">
        <v>0</v>
      </c>
      <c r="M1145" s="6">
        <v>0</v>
      </c>
      <c r="N1145" s="6">
        <v>0</v>
      </c>
      <c r="O1145" s="6">
        <v>0</v>
      </c>
      <c r="P1145" s="6">
        <v>374</v>
      </c>
      <c r="Q1145" s="4" t="s">
        <v>26</v>
      </c>
      <c r="R1145" s="4">
        <v>0</v>
      </c>
      <c r="S1145" s="6">
        <v>40</v>
      </c>
      <c r="T1145" s="6">
        <v>0</v>
      </c>
      <c r="U1145" s="6">
        <v>0</v>
      </c>
      <c r="V1145" s="6">
        <f>IF(ISERROR(VLOOKUP($S$1145,'TAR FIN'!$A$1:$O$104,15,0)),0,VLOOKUP($S$1145,'TAR FIN'!$A$1:$O$104,15,0))</f>
        <v>26.22</v>
      </c>
      <c r="W1145" s="6">
        <f>IF(ISERROR(VLOOKUP($T$1145,'TAR FIN'!$A$1:$O$104,15,0)),0,VLOOKUP($T$1145,'TAR FIN'!$A$1:$O$104,15,0))</f>
        <v>0</v>
      </c>
      <c r="X1145" s="6">
        <f>IF(ISERROR(VLOOKUP($U$1145,'TAR FIN'!$A$1:$O$104,15,0)),0,VLOOKUP($U$1145,'TAR FIN'!$A$1:$O$104,15,0))</f>
        <v>0</v>
      </c>
      <c r="Y1145" s="6">
        <f ca="1">('TUSD BE'!$AM$24+'TUSD BF'!$AM$24+'TUSD CVA'!$AM$24)*1</f>
        <v>26.280164278980507</v>
      </c>
      <c r="Z1145" s="6"/>
      <c r="AA1145" s="6"/>
      <c r="AB1145" s="6">
        <f>$K$1145*$V$1145</f>
        <v>1203340.68</v>
      </c>
      <c r="AC1145" s="6">
        <f>$M$1145*$W$1145</f>
        <v>0</v>
      </c>
      <c r="AD1145" s="6">
        <f>$O$1145*$X$1145</f>
        <v>0</v>
      </c>
      <c r="AE1145" s="6">
        <f ca="1">$K$1145*$Y$1145</f>
        <v>1206101.8594195314</v>
      </c>
      <c r="AF1145" s="6">
        <f>$M$1145*$Z$1145</f>
        <v>0</v>
      </c>
      <c r="AG1145" s="6">
        <f>$O$1145*$AA$1145</f>
        <v>0</v>
      </c>
    </row>
    <row r="1146" spans="1:33" ht="11.25" customHeight="1" x14ac:dyDescent="0.25">
      <c r="A1146" s="4" t="s">
        <v>57</v>
      </c>
      <c r="B1146" s="4" t="s">
        <v>41</v>
      </c>
      <c r="C1146" s="4" t="s">
        <v>42</v>
      </c>
      <c r="D1146" s="4" t="s">
        <v>46</v>
      </c>
      <c r="E1146" s="4" t="s">
        <v>25</v>
      </c>
      <c r="F1146" s="4" t="s">
        <v>25</v>
      </c>
      <c r="G1146" s="4" t="s">
        <v>25</v>
      </c>
      <c r="H1146" s="4" t="s">
        <v>25</v>
      </c>
      <c r="I1146" s="5">
        <v>44743</v>
      </c>
      <c r="J1146" s="6">
        <v>1867</v>
      </c>
      <c r="K1146" s="6">
        <v>1867</v>
      </c>
      <c r="L1146" s="6">
        <v>0</v>
      </c>
      <c r="M1146" s="6">
        <v>0</v>
      </c>
      <c r="N1146" s="6">
        <v>0</v>
      </c>
      <c r="O1146" s="6">
        <v>0</v>
      </c>
      <c r="P1146" s="6">
        <v>10</v>
      </c>
      <c r="Q1146" s="4" t="s">
        <v>26</v>
      </c>
      <c r="R1146" s="4">
        <v>0</v>
      </c>
      <c r="S1146" s="6">
        <v>40</v>
      </c>
      <c r="T1146" s="6">
        <v>0</v>
      </c>
      <c r="U1146" s="6">
        <v>0</v>
      </c>
      <c r="V1146" s="6">
        <f>IF(ISERROR(VLOOKUP($S$1146,'TAR FIN'!$A$1:$O$104,15,0)),0,VLOOKUP($S$1146,'TAR FIN'!$A$1:$O$104,15,0))</f>
        <v>26.22</v>
      </c>
      <c r="W1146" s="6">
        <f>IF(ISERROR(VLOOKUP($T$1146,'TAR FIN'!$A$1:$O$104,15,0)),0,VLOOKUP($T$1146,'TAR FIN'!$A$1:$O$104,15,0))</f>
        <v>0</v>
      </c>
      <c r="X1146" s="6">
        <f>IF(ISERROR(VLOOKUP($U$1146,'TAR FIN'!$A$1:$O$104,15,0)),0,VLOOKUP($U$1146,'TAR FIN'!$A$1:$O$104,15,0))</f>
        <v>0</v>
      </c>
      <c r="Y1146" s="6">
        <f ca="1">('TUSD BE'!$AM$24+'TUSD BF'!$AM$24+'TUSD CVA'!$AM$24)*1</f>
        <v>26.280164278980507</v>
      </c>
      <c r="Z1146" s="6"/>
      <c r="AA1146" s="6"/>
      <c r="AB1146" s="6">
        <f>$K$1146*$V$1146</f>
        <v>48952.74</v>
      </c>
      <c r="AC1146" s="6">
        <f>$M$1146*$W$1146</f>
        <v>0</v>
      </c>
      <c r="AD1146" s="6">
        <f>$O$1146*$X$1146</f>
        <v>0</v>
      </c>
      <c r="AE1146" s="6">
        <f ca="1">$K$1146*$Y$1146</f>
        <v>49065.066708856604</v>
      </c>
      <c r="AF1146" s="6">
        <f>$M$1146*$Z$1146</f>
        <v>0</v>
      </c>
      <c r="AG1146" s="6">
        <f>$O$1146*$AA$1146</f>
        <v>0</v>
      </c>
    </row>
    <row r="1147" spans="1:33" ht="11.25" customHeight="1" x14ac:dyDescent="0.25">
      <c r="A1147" s="4" t="s">
        <v>21</v>
      </c>
      <c r="B1147" s="4" t="s">
        <v>41</v>
      </c>
      <c r="C1147" s="4" t="s">
        <v>42</v>
      </c>
      <c r="D1147" s="4" t="s">
        <v>46</v>
      </c>
      <c r="E1147" s="4" t="s">
        <v>25</v>
      </c>
      <c r="F1147" s="4" t="s">
        <v>25</v>
      </c>
      <c r="G1147" s="4" t="s">
        <v>25</v>
      </c>
      <c r="H1147" s="4" t="s">
        <v>34</v>
      </c>
      <c r="I1147" s="5">
        <v>44409</v>
      </c>
      <c r="J1147" s="6">
        <v>0</v>
      </c>
      <c r="K1147" s="6">
        <v>0</v>
      </c>
      <c r="L1147" s="6">
        <v>575.70899999999995</v>
      </c>
      <c r="M1147" s="6">
        <v>575.70899999999995</v>
      </c>
      <c r="N1147" s="6">
        <v>575.70899999999995</v>
      </c>
      <c r="O1147" s="6">
        <v>575.70899999999995</v>
      </c>
      <c r="P1147" s="6">
        <v>0</v>
      </c>
      <c r="Q1147" s="4" t="s">
        <v>26</v>
      </c>
      <c r="R1147" s="4">
        <v>0</v>
      </c>
      <c r="S1147" s="6">
        <v>0</v>
      </c>
      <c r="T1147" s="6">
        <v>42</v>
      </c>
      <c r="U1147" s="6">
        <v>66</v>
      </c>
      <c r="V1147" s="6">
        <f>IF(ISERROR(VLOOKUP($S$1147,'TAR FIN'!$A$1:$O$104,15,0)),0,VLOOKUP($S$1147,'TAR FIN'!$A$1:$O$104,15,0))</f>
        <v>0</v>
      </c>
      <c r="W1147" s="6">
        <f>IF(ISERROR(VLOOKUP($T$1147,'TAR FIN'!$A$1:$O$104,15,0)),0,VLOOKUP($T$1147,'TAR FIN'!$A$1:$O$104,15,0))</f>
        <v>1330.19</v>
      </c>
      <c r="X1147" s="6">
        <f>IF(ISERROR(VLOOKUP($U$1147,'TAR FIN'!$A$1:$O$104,15,0)),0,VLOOKUP($U$1147,'TAR FIN'!$A$1:$O$104,15,0))</f>
        <v>397.62</v>
      </c>
      <c r="Y1147" s="6"/>
      <c r="Z1147" s="6">
        <f ca="1">('TUSD BE'!$AM$25+'TUSD BF'!$AM$25+'TUSD CVA'!$AM$25)*1</f>
        <v>1345.857743809549</v>
      </c>
      <c r="AA1147" s="6">
        <f>('TE BE'!$AB$7+'TE BF'!$AB$7+'TE CVA'!$AB$7)*1</f>
        <v>360.26029187567116</v>
      </c>
      <c r="AB1147" s="6">
        <f>$K$1147*$V$1147</f>
        <v>0</v>
      </c>
      <c r="AC1147" s="6">
        <f>$M$1147*$W$1147</f>
        <v>765802.35470999999</v>
      </c>
      <c r="AD1147" s="6">
        <f>$O$1147*$X$1147</f>
        <v>228913.41257999997</v>
      </c>
      <c r="AE1147" s="6">
        <f>$K$1147*$Y$1147</f>
        <v>0</v>
      </c>
      <c r="AF1147" s="6">
        <f ca="1">$M$1147*$Z$1147</f>
        <v>774822.41583085153</v>
      </c>
      <c r="AG1147" s="6">
        <f>$O$1147*$AA$1147</f>
        <v>207405.09237545074</v>
      </c>
    </row>
    <row r="1148" spans="1:33" ht="11.25" customHeight="1" x14ac:dyDescent="0.25">
      <c r="A1148" s="4" t="s">
        <v>28</v>
      </c>
      <c r="B1148" s="4" t="s">
        <v>41</v>
      </c>
      <c r="C1148" s="4" t="s">
        <v>42</v>
      </c>
      <c r="D1148" s="4" t="s">
        <v>46</v>
      </c>
      <c r="E1148" s="4" t="s">
        <v>25</v>
      </c>
      <c r="F1148" s="4" t="s">
        <v>25</v>
      </c>
      <c r="G1148" s="4" t="s">
        <v>25</v>
      </c>
      <c r="H1148" s="4" t="s">
        <v>34</v>
      </c>
      <c r="I1148" s="5">
        <v>44409</v>
      </c>
      <c r="J1148" s="6">
        <v>0</v>
      </c>
      <c r="K1148" s="6">
        <v>0</v>
      </c>
      <c r="L1148" s="6">
        <v>12.456</v>
      </c>
      <c r="M1148" s="6">
        <v>12.456</v>
      </c>
      <c r="N1148" s="6">
        <v>12.456</v>
      </c>
      <c r="O1148" s="6">
        <v>12.456</v>
      </c>
      <c r="P1148" s="6">
        <v>0</v>
      </c>
      <c r="Q1148" s="4" t="s">
        <v>26</v>
      </c>
      <c r="R1148" s="4">
        <v>0</v>
      </c>
      <c r="S1148" s="6">
        <v>0</v>
      </c>
      <c r="T1148" s="6">
        <v>42</v>
      </c>
      <c r="U1148" s="6">
        <v>66</v>
      </c>
      <c r="V1148" s="6">
        <f>IF(ISERROR(VLOOKUP($S$1148,'TAR FIN'!$A$1:$O$104,15,0)),0,VLOOKUP($S$1148,'TAR FIN'!$A$1:$O$104,15,0))</f>
        <v>0</v>
      </c>
      <c r="W1148" s="6">
        <f>IF(ISERROR(VLOOKUP($T$1148,'TAR FIN'!$A$1:$O$104,15,0)),0,VLOOKUP($T$1148,'TAR FIN'!$A$1:$O$104,15,0))</f>
        <v>1330.19</v>
      </c>
      <c r="X1148" s="6">
        <f>IF(ISERROR(VLOOKUP($U$1148,'TAR FIN'!$A$1:$O$104,15,0)),0,VLOOKUP($U$1148,'TAR FIN'!$A$1:$O$104,15,0))</f>
        <v>397.62</v>
      </c>
      <c r="Y1148" s="6"/>
      <c r="Z1148" s="6">
        <f ca="1">('TUSD BE'!$AM$25+'TUSD BF'!$AM$25+'TUSD CVA'!$AM$25)*1</f>
        <v>1345.857743809549</v>
      </c>
      <c r="AA1148" s="6">
        <f>('TE BE'!$AB$7+'TE BF'!$AB$7+'TE CVA'!$AB$7)*1</f>
        <v>360.26029187567116</v>
      </c>
      <c r="AB1148" s="6">
        <f>$K$1148*$V$1148</f>
        <v>0</v>
      </c>
      <c r="AC1148" s="6">
        <f>$M$1148*$W$1148</f>
        <v>16568.84664</v>
      </c>
      <c r="AD1148" s="6">
        <f>$O$1148*$X$1148</f>
        <v>4952.7547199999999</v>
      </c>
      <c r="AE1148" s="6">
        <f>$K$1148*$Y$1148</f>
        <v>0</v>
      </c>
      <c r="AF1148" s="6">
        <f ca="1">$M$1148*$Z$1148</f>
        <v>16764.004056891743</v>
      </c>
      <c r="AG1148" s="6">
        <f>$O$1148*$AA$1148</f>
        <v>4487.4021956033594</v>
      </c>
    </row>
    <row r="1149" spans="1:33" ht="11.25" customHeight="1" x14ac:dyDescent="0.25">
      <c r="A1149" s="4" t="s">
        <v>21</v>
      </c>
      <c r="B1149" s="4" t="s">
        <v>41</v>
      </c>
      <c r="C1149" s="4" t="s">
        <v>42</v>
      </c>
      <c r="D1149" s="4" t="s">
        <v>46</v>
      </c>
      <c r="E1149" s="4" t="s">
        <v>25</v>
      </c>
      <c r="F1149" s="4" t="s">
        <v>25</v>
      </c>
      <c r="G1149" s="4" t="s">
        <v>25</v>
      </c>
      <c r="H1149" s="4" t="s">
        <v>34</v>
      </c>
      <c r="I1149" s="5">
        <v>44440</v>
      </c>
      <c r="J1149" s="6">
        <v>0</v>
      </c>
      <c r="K1149" s="6">
        <v>0</v>
      </c>
      <c r="L1149" s="6">
        <v>606.61300000000006</v>
      </c>
      <c r="M1149" s="6">
        <v>606.61300000000006</v>
      </c>
      <c r="N1149" s="6">
        <v>606.61300000000006</v>
      </c>
      <c r="O1149" s="6">
        <v>606.61300000000006</v>
      </c>
      <c r="P1149" s="6">
        <v>0</v>
      </c>
      <c r="Q1149" s="4" t="s">
        <v>26</v>
      </c>
      <c r="R1149" s="4">
        <v>0</v>
      </c>
      <c r="S1149" s="6">
        <v>0</v>
      </c>
      <c r="T1149" s="6">
        <v>42</v>
      </c>
      <c r="U1149" s="6">
        <v>66</v>
      </c>
      <c r="V1149" s="6">
        <f>IF(ISERROR(VLOOKUP($S$1149,'TAR FIN'!$A$1:$O$104,15,0)),0,VLOOKUP($S$1149,'TAR FIN'!$A$1:$O$104,15,0))</f>
        <v>0</v>
      </c>
      <c r="W1149" s="6">
        <f>IF(ISERROR(VLOOKUP($T$1149,'TAR FIN'!$A$1:$O$104,15,0)),0,VLOOKUP($T$1149,'TAR FIN'!$A$1:$O$104,15,0))</f>
        <v>1330.19</v>
      </c>
      <c r="X1149" s="6">
        <f>IF(ISERROR(VLOOKUP($U$1149,'TAR FIN'!$A$1:$O$104,15,0)),0,VLOOKUP($U$1149,'TAR FIN'!$A$1:$O$104,15,0))</f>
        <v>397.62</v>
      </c>
      <c r="Y1149" s="6"/>
      <c r="Z1149" s="6">
        <f ca="1">('TUSD BE'!$AM$25+'TUSD BF'!$AM$25+'TUSD CVA'!$AM$25)*1</f>
        <v>1345.857743809549</v>
      </c>
      <c r="AA1149" s="6">
        <f>('TE BE'!$AB$7+'TE BF'!$AB$7+'TE CVA'!$AB$7)*1</f>
        <v>360.26029187567116</v>
      </c>
      <c r="AB1149" s="6">
        <f>$K$1149*$V$1149</f>
        <v>0</v>
      </c>
      <c r="AC1149" s="6">
        <f>$M$1149*$W$1149</f>
        <v>806910.54647000006</v>
      </c>
      <c r="AD1149" s="6">
        <f>$O$1149*$X$1149</f>
        <v>241201.46106000003</v>
      </c>
      <c r="AE1149" s="6">
        <f>$K$1149*$Y$1149</f>
        <v>0</v>
      </c>
      <c r="AF1149" s="6">
        <f ca="1">$M$1149*$Z$1149</f>
        <v>816414.80354554206</v>
      </c>
      <c r="AG1149" s="6">
        <f>$O$1149*$AA$1149</f>
        <v>218538.57643557654</v>
      </c>
    </row>
    <row r="1150" spans="1:33" ht="11.25" customHeight="1" x14ac:dyDescent="0.25">
      <c r="A1150" s="4" t="s">
        <v>27</v>
      </c>
      <c r="B1150" s="4" t="s">
        <v>41</v>
      </c>
      <c r="C1150" s="4" t="s">
        <v>42</v>
      </c>
      <c r="D1150" s="4" t="s">
        <v>46</v>
      </c>
      <c r="E1150" s="4" t="s">
        <v>25</v>
      </c>
      <c r="F1150" s="4" t="s">
        <v>25</v>
      </c>
      <c r="G1150" s="4" t="s">
        <v>25</v>
      </c>
      <c r="H1150" s="4" t="s">
        <v>34</v>
      </c>
      <c r="I1150" s="5">
        <v>44440</v>
      </c>
      <c r="J1150" s="6">
        <v>0</v>
      </c>
      <c r="K1150" s="6">
        <v>0</v>
      </c>
      <c r="L1150" s="6">
        <v>-13.2</v>
      </c>
      <c r="M1150" s="6">
        <v>-13.2</v>
      </c>
      <c r="N1150" s="6">
        <v>-13.2</v>
      </c>
      <c r="O1150" s="6">
        <v>-13.2</v>
      </c>
      <c r="P1150" s="6">
        <v>0</v>
      </c>
      <c r="Q1150" s="4" t="s">
        <v>26</v>
      </c>
      <c r="R1150" s="4">
        <v>0</v>
      </c>
      <c r="S1150" s="6">
        <v>0</v>
      </c>
      <c r="T1150" s="6">
        <v>42</v>
      </c>
      <c r="U1150" s="6">
        <v>66</v>
      </c>
      <c r="V1150" s="6">
        <f>IF(ISERROR(VLOOKUP($S$1150,'TAR FIN'!$A$1:$O$104,15,0)),0,VLOOKUP($S$1150,'TAR FIN'!$A$1:$O$104,15,0))</f>
        <v>0</v>
      </c>
      <c r="W1150" s="6">
        <f>IF(ISERROR(VLOOKUP($T$1150,'TAR FIN'!$A$1:$O$104,15,0)),0,VLOOKUP($T$1150,'TAR FIN'!$A$1:$O$104,15,0))</f>
        <v>1330.19</v>
      </c>
      <c r="X1150" s="6">
        <f>IF(ISERROR(VLOOKUP($U$1150,'TAR FIN'!$A$1:$O$104,15,0)),0,VLOOKUP($U$1150,'TAR FIN'!$A$1:$O$104,15,0))</f>
        <v>397.62</v>
      </c>
      <c r="Y1150" s="6"/>
      <c r="Z1150" s="6">
        <f ca="1">('TUSD BE'!$AM$25+'TUSD BF'!$AM$25+'TUSD CVA'!$AM$25)*1</f>
        <v>1345.857743809549</v>
      </c>
      <c r="AA1150" s="6">
        <f>('TE BE'!$AB$7+'TE BF'!$AB$7+'TE CVA'!$AB$7)*1</f>
        <v>360.26029187567116</v>
      </c>
      <c r="AB1150" s="6">
        <f>$K$1150*$V$1150</f>
        <v>0</v>
      </c>
      <c r="AC1150" s="6">
        <f>$M$1150*$W$1150</f>
        <v>-17558.507999999998</v>
      </c>
      <c r="AD1150" s="6">
        <f>$O$1150*$X$1150</f>
        <v>-5248.5839999999998</v>
      </c>
      <c r="AE1150" s="6">
        <f>$K$1150*$Y$1150</f>
        <v>0</v>
      </c>
      <c r="AF1150" s="6">
        <f ca="1">$M$1150*$Z$1150</f>
        <v>-17765.322218286045</v>
      </c>
      <c r="AG1150" s="6">
        <f>$O$1150*$AA$1150</f>
        <v>-4755.4358527588593</v>
      </c>
    </row>
    <row r="1151" spans="1:33" ht="11.25" customHeight="1" x14ac:dyDescent="0.25">
      <c r="A1151" s="4" t="s">
        <v>28</v>
      </c>
      <c r="B1151" s="4" t="s">
        <v>41</v>
      </c>
      <c r="C1151" s="4" t="s">
        <v>42</v>
      </c>
      <c r="D1151" s="4" t="s">
        <v>46</v>
      </c>
      <c r="E1151" s="4" t="s">
        <v>25</v>
      </c>
      <c r="F1151" s="4" t="s">
        <v>25</v>
      </c>
      <c r="G1151" s="4" t="s">
        <v>25</v>
      </c>
      <c r="H1151" s="4" t="s">
        <v>34</v>
      </c>
      <c r="I1151" s="5">
        <v>44440</v>
      </c>
      <c r="J1151" s="6">
        <v>0</v>
      </c>
      <c r="K1151" s="6">
        <v>0</v>
      </c>
      <c r="L1151" s="6">
        <v>13.782</v>
      </c>
      <c r="M1151" s="6">
        <v>13.782</v>
      </c>
      <c r="N1151" s="6">
        <v>13.782</v>
      </c>
      <c r="O1151" s="6">
        <v>13.782</v>
      </c>
      <c r="P1151" s="6">
        <v>0</v>
      </c>
      <c r="Q1151" s="4" t="s">
        <v>26</v>
      </c>
      <c r="R1151" s="4">
        <v>0</v>
      </c>
      <c r="S1151" s="6">
        <v>0</v>
      </c>
      <c r="T1151" s="6">
        <v>42</v>
      </c>
      <c r="U1151" s="6">
        <v>66</v>
      </c>
      <c r="V1151" s="6">
        <f>IF(ISERROR(VLOOKUP($S$1151,'TAR FIN'!$A$1:$O$104,15,0)),0,VLOOKUP($S$1151,'TAR FIN'!$A$1:$O$104,15,0))</f>
        <v>0</v>
      </c>
      <c r="W1151" s="6">
        <f>IF(ISERROR(VLOOKUP($T$1151,'TAR FIN'!$A$1:$O$104,15,0)),0,VLOOKUP($T$1151,'TAR FIN'!$A$1:$O$104,15,0))</f>
        <v>1330.19</v>
      </c>
      <c r="X1151" s="6">
        <f>IF(ISERROR(VLOOKUP($U$1151,'TAR FIN'!$A$1:$O$104,15,0)),0,VLOOKUP($U$1151,'TAR FIN'!$A$1:$O$104,15,0))</f>
        <v>397.62</v>
      </c>
      <c r="Y1151" s="6"/>
      <c r="Z1151" s="6">
        <f ca="1">('TUSD BE'!$AM$25+'TUSD BF'!$AM$25+'TUSD CVA'!$AM$25)*1</f>
        <v>1345.857743809549</v>
      </c>
      <c r="AA1151" s="6">
        <f>('TE BE'!$AB$7+'TE BF'!$AB$7+'TE CVA'!$AB$7)*1</f>
        <v>360.26029187567116</v>
      </c>
      <c r="AB1151" s="6">
        <f>$K$1151*$V$1151</f>
        <v>0</v>
      </c>
      <c r="AC1151" s="6">
        <f>$M$1151*$W$1151</f>
        <v>18332.67858</v>
      </c>
      <c r="AD1151" s="6">
        <f>$O$1151*$X$1151</f>
        <v>5479.9988400000002</v>
      </c>
      <c r="AE1151" s="6">
        <f>$K$1151*$Y$1151</f>
        <v>0</v>
      </c>
      <c r="AF1151" s="6">
        <f ca="1">$M$1151*$Z$1151</f>
        <v>18548.611425183204</v>
      </c>
      <c r="AG1151" s="6">
        <f>$O$1151*$AA$1151</f>
        <v>4965.1073426305002</v>
      </c>
    </row>
    <row r="1152" spans="1:33" ht="11.25" customHeight="1" x14ac:dyDescent="0.25">
      <c r="A1152" s="4" t="s">
        <v>21</v>
      </c>
      <c r="B1152" s="4" t="s">
        <v>41</v>
      </c>
      <c r="C1152" s="4" t="s">
        <v>42</v>
      </c>
      <c r="D1152" s="4" t="s">
        <v>46</v>
      </c>
      <c r="E1152" s="4" t="s">
        <v>25</v>
      </c>
      <c r="F1152" s="4" t="s">
        <v>25</v>
      </c>
      <c r="G1152" s="4" t="s">
        <v>25</v>
      </c>
      <c r="H1152" s="4" t="s">
        <v>34</v>
      </c>
      <c r="I1152" s="5">
        <v>44470</v>
      </c>
      <c r="J1152" s="6">
        <v>0</v>
      </c>
      <c r="K1152" s="6">
        <v>0</v>
      </c>
      <c r="L1152" s="6">
        <v>615.47900000000004</v>
      </c>
      <c r="M1152" s="6">
        <v>615.47900000000004</v>
      </c>
      <c r="N1152" s="6">
        <v>615.47900000000004</v>
      </c>
      <c r="O1152" s="6">
        <v>615.47900000000004</v>
      </c>
      <c r="P1152" s="6">
        <v>0</v>
      </c>
      <c r="Q1152" s="4" t="s">
        <v>26</v>
      </c>
      <c r="R1152" s="4">
        <v>0</v>
      </c>
      <c r="S1152" s="6">
        <v>0</v>
      </c>
      <c r="T1152" s="6">
        <v>42</v>
      </c>
      <c r="U1152" s="6">
        <v>66</v>
      </c>
      <c r="V1152" s="6">
        <f>IF(ISERROR(VLOOKUP($S$1152,'TAR FIN'!$A$1:$O$104,15,0)),0,VLOOKUP($S$1152,'TAR FIN'!$A$1:$O$104,15,0))</f>
        <v>0</v>
      </c>
      <c r="W1152" s="6">
        <f>IF(ISERROR(VLOOKUP($T$1152,'TAR FIN'!$A$1:$O$104,15,0)),0,VLOOKUP($T$1152,'TAR FIN'!$A$1:$O$104,15,0))</f>
        <v>1330.19</v>
      </c>
      <c r="X1152" s="6">
        <f>IF(ISERROR(VLOOKUP($U$1152,'TAR FIN'!$A$1:$O$104,15,0)),0,VLOOKUP($U$1152,'TAR FIN'!$A$1:$O$104,15,0))</f>
        <v>397.62</v>
      </c>
      <c r="Y1152" s="6"/>
      <c r="Z1152" s="6">
        <f ca="1">('TUSD BE'!$AM$25+'TUSD BF'!$AM$25+'TUSD CVA'!$AM$25)*1</f>
        <v>1345.857743809549</v>
      </c>
      <c r="AA1152" s="6">
        <f>('TE BE'!$AB$7+'TE BF'!$AB$7+'TE CVA'!$AB$7)*1</f>
        <v>360.26029187567116</v>
      </c>
      <c r="AB1152" s="6">
        <f>$K$1152*$V$1152</f>
        <v>0</v>
      </c>
      <c r="AC1152" s="6">
        <f>$M$1152*$W$1152</f>
        <v>818704.01101000013</v>
      </c>
      <c r="AD1152" s="6">
        <f>$O$1152*$X$1152</f>
        <v>244726.75998000003</v>
      </c>
      <c r="AE1152" s="6">
        <f>$K$1152*$Y$1152</f>
        <v>0</v>
      </c>
      <c r="AF1152" s="6">
        <f ca="1">$M$1152*$Z$1152</f>
        <v>828347.17830215744</v>
      </c>
      <c r="AG1152" s="6">
        <f>$O$1152*$AA$1152</f>
        <v>221732.64418334622</v>
      </c>
    </row>
    <row r="1153" spans="1:33" ht="11.25" customHeight="1" x14ac:dyDescent="0.25">
      <c r="A1153" s="4" t="s">
        <v>27</v>
      </c>
      <c r="B1153" s="4" t="s">
        <v>41</v>
      </c>
      <c r="C1153" s="4" t="s">
        <v>42</v>
      </c>
      <c r="D1153" s="4" t="s">
        <v>46</v>
      </c>
      <c r="E1153" s="4" t="s">
        <v>25</v>
      </c>
      <c r="F1153" s="4" t="s">
        <v>25</v>
      </c>
      <c r="G1153" s="4" t="s">
        <v>25</v>
      </c>
      <c r="H1153" s="4" t="s">
        <v>34</v>
      </c>
      <c r="I1153" s="5">
        <v>44470</v>
      </c>
      <c r="J1153" s="6">
        <v>0</v>
      </c>
      <c r="K1153" s="6">
        <v>0</v>
      </c>
      <c r="L1153" s="6">
        <v>0.308</v>
      </c>
      <c r="M1153" s="6">
        <v>0.308</v>
      </c>
      <c r="N1153" s="6">
        <v>0.308</v>
      </c>
      <c r="O1153" s="6">
        <v>0.308</v>
      </c>
      <c r="P1153" s="6">
        <v>0</v>
      </c>
      <c r="Q1153" s="4" t="s">
        <v>26</v>
      </c>
      <c r="R1153" s="4">
        <v>0</v>
      </c>
      <c r="S1153" s="6">
        <v>0</v>
      </c>
      <c r="T1153" s="6">
        <v>42</v>
      </c>
      <c r="U1153" s="6">
        <v>66</v>
      </c>
      <c r="V1153" s="6">
        <f>IF(ISERROR(VLOOKUP($S$1153,'TAR FIN'!$A$1:$O$104,15,0)),0,VLOOKUP($S$1153,'TAR FIN'!$A$1:$O$104,15,0))</f>
        <v>0</v>
      </c>
      <c r="W1153" s="6">
        <f>IF(ISERROR(VLOOKUP($T$1153,'TAR FIN'!$A$1:$O$104,15,0)),0,VLOOKUP($T$1153,'TAR FIN'!$A$1:$O$104,15,0))</f>
        <v>1330.19</v>
      </c>
      <c r="X1153" s="6">
        <f>IF(ISERROR(VLOOKUP($U$1153,'TAR FIN'!$A$1:$O$104,15,0)),0,VLOOKUP($U$1153,'TAR FIN'!$A$1:$O$104,15,0))</f>
        <v>397.62</v>
      </c>
      <c r="Y1153" s="6"/>
      <c r="Z1153" s="6">
        <f ca="1">('TUSD BE'!$AM$25+'TUSD BF'!$AM$25+'TUSD CVA'!$AM$25)*1</f>
        <v>1345.857743809549</v>
      </c>
      <c r="AA1153" s="6">
        <f>('TE BE'!$AB$7+'TE BF'!$AB$7+'TE CVA'!$AB$7)*1</f>
        <v>360.26029187567116</v>
      </c>
      <c r="AB1153" s="6">
        <f>$K$1153*$V$1153</f>
        <v>0</v>
      </c>
      <c r="AC1153" s="6">
        <f>$M$1153*$W$1153</f>
        <v>409.69852000000003</v>
      </c>
      <c r="AD1153" s="6">
        <f>$O$1153*$X$1153</f>
        <v>122.46696</v>
      </c>
      <c r="AE1153" s="6">
        <f>$K$1153*$Y$1153</f>
        <v>0</v>
      </c>
      <c r="AF1153" s="6">
        <f ca="1">$M$1153*$Z$1153</f>
        <v>414.52418509334109</v>
      </c>
      <c r="AG1153" s="6">
        <f>$O$1153*$AA$1153</f>
        <v>110.96016989770672</v>
      </c>
    </row>
    <row r="1154" spans="1:33" ht="11.25" customHeight="1" x14ac:dyDescent="0.25">
      <c r="A1154" s="4" t="s">
        <v>28</v>
      </c>
      <c r="B1154" s="4" t="s">
        <v>41</v>
      </c>
      <c r="C1154" s="4" t="s">
        <v>42</v>
      </c>
      <c r="D1154" s="4" t="s">
        <v>46</v>
      </c>
      <c r="E1154" s="4" t="s">
        <v>25</v>
      </c>
      <c r="F1154" s="4" t="s">
        <v>25</v>
      </c>
      <c r="G1154" s="4" t="s">
        <v>25</v>
      </c>
      <c r="H1154" s="4" t="s">
        <v>34</v>
      </c>
      <c r="I1154" s="5">
        <v>44470</v>
      </c>
      <c r="J1154" s="6">
        <v>0</v>
      </c>
      <c r="K1154" s="6">
        <v>0</v>
      </c>
      <c r="L1154" s="6">
        <v>13.97</v>
      </c>
      <c r="M1154" s="6">
        <v>13.97</v>
      </c>
      <c r="N1154" s="6">
        <v>13.97</v>
      </c>
      <c r="O1154" s="6">
        <v>13.97</v>
      </c>
      <c r="P1154" s="6">
        <v>0</v>
      </c>
      <c r="Q1154" s="4" t="s">
        <v>26</v>
      </c>
      <c r="R1154" s="4">
        <v>0</v>
      </c>
      <c r="S1154" s="6">
        <v>0</v>
      </c>
      <c r="T1154" s="6">
        <v>42</v>
      </c>
      <c r="U1154" s="6">
        <v>66</v>
      </c>
      <c r="V1154" s="6">
        <f>IF(ISERROR(VLOOKUP($S$1154,'TAR FIN'!$A$1:$O$104,15,0)),0,VLOOKUP($S$1154,'TAR FIN'!$A$1:$O$104,15,0))</f>
        <v>0</v>
      </c>
      <c r="W1154" s="6">
        <f>IF(ISERROR(VLOOKUP($T$1154,'TAR FIN'!$A$1:$O$104,15,0)),0,VLOOKUP($T$1154,'TAR FIN'!$A$1:$O$104,15,0))</f>
        <v>1330.19</v>
      </c>
      <c r="X1154" s="6">
        <f>IF(ISERROR(VLOOKUP($U$1154,'TAR FIN'!$A$1:$O$104,15,0)),0,VLOOKUP($U$1154,'TAR FIN'!$A$1:$O$104,15,0))</f>
        <v>397.62</v>
      </c>
      <c r="Y1154" s="6"/>
      <c r="Z1154" s="6">
        <f ca="1">('TUSD BE'!$AM$25+'TUSD BF'!$AM$25+'TUSD CVA'!$AM$25)*1</f>
        <v>1345.857743809549</v>
      </c>
      <c r="AA1154" s="6">
        <f>('TE BE'!$AB$7+'TE BF'!$AB$7+'TE CVA'!$AB$7)*1</f>
        <v>360.26029187567116</v>
      </c>
      <c r="AB1154" s="6">
        <f>$K$1154*$V$1154</f>
        <v>0</v>
      </c>
      <c r="AC1154" s="6">
        <f>$M$1154*$W$1154</f>
        <v>18582.754300000001</v>
      </c>
      <c r="AD1154" s="6">
        <f>$O$1154*$X$1154</f>
        <v>5554.7514000000001</v>
      </c>
      <c r="AE1154" s="6">
        <f>$K$1154*$Y$1154</f>
        <v>0</v>
      </c>
      <c r="AF1154" s="6">
        <f ca="1">$M$1154*$Z$1154</f>
        <v>18801.6326810194</v>
      </c>
      <c r="AG1154" s="6">
        <f>$O$1154*$AA$1154</f>
        <v>5032.8362775031264</v>
      </c>
    </row>
    <row r="1155" spans="1:33" ht="11.25" customHeight="1" x14ac:dyDescent="0.25">
      <c r="A1155" s="4" t="s">
        <v>21</v>
      </c>
      <c r="B1155" s="4" t="s">
        <v>41</v>
      </c>
      <c r="C1155" s="4" t="s">
        <v>42</v>
      </c>
      <c r="D1155" s="4" t="s">
        <v>46</v>
      </c>
      <c r="E1155" s="4" t="s">
        <v>25</v>
      </c>
      <c r="F1155" s="4" t="s">
        <v>25</v>
      </c>
      <c r="G1155" s="4" t="s">
        <v>25</v>
      </c>
      <c r="H1155" s="4" t="s">
        <v>34</v>
      </c>
      <c r="I1155" s="5">
        <v>44501</v>
      </c>
      <c r="J1155" s="6">
        <v>0</v>
      </c>
      <c r="K1155" s="6">
        <v>0</v>
      </c>
      <c r="L1155" s="6">
        <v>671.66899999999998</v>
      </c>
      <c r="M1155" s="6">
        <v>671.66899999999998</v>
      </c>
      <c r="N1155" s="6">
        <v>671.66899999999998</v>
      </c>
      <c r="O1155" s="6">
        <v>671.66899999999998</v>
      </c>
      <c r="P1155" s="6">
        <v>0</v>
      </c>
      <c r="Q1155" s="4" t="s">
        <v>26</v>
      </c>
      <c r="R1155" s="4">
        <v>0</v>
      </c>
      <c r="S1155" s="6">
        <v>0</v>
      </c>
      <c r="T1155" s="6">
        <v>42</v>
      </c>
      <c r="U1155" s="6">
        <v>66</v>
      </c>
      <c r="V1155" s="6">
        <f>IF(ISERROR(VLOOKUP($S$1155,'TAR FIN'!$A$1:$O$104,15,0)),0,VLOOKUP($S$1155,'TAR FIN'!$A$1:$O$104,15,0))</f>
        <v>0</v>
      </c>
      <c r="W1155" s="6">
        <f>IF(ISERROR(VLOOKUP($T$1155,'TAR FIN'!$A$1:$O$104,15,0)),0,VLOOKUP($T$1155,'TAR FIN'!$A$1:$O$104,15,0))</f>
        <v>1330.19</v>
      </c>
      <c r="X1155" s="6">
        <f>IF(ISERROR(VLOOKUP($U$1155,'TAR FIN'!$A$1:$O$104,15,0)),0,VLOOKUP($U$1155,'TAR FIN'!$A$1:$O$104,15,0))</f>
        <v>397.62</v>
      </c>
      <c r="Y1155" s="6"/>
      <c r="Z1155" s="6">
        <f ca="1">('TUSD BE'!$AM$25+'TUSD BF'!$AM$25+'TUSD CVA'!$AM$25)*1</f>
        <v>1345.857743809549</v>
      </c>
      <c r="AA1155" s="6">
        <f>('TE BE'!$AB$7+'TE BF'!$AB$7+'TE CVA'!$AB$7)*1</f>
        <v>360.26029187567116</v>
      </c>
      <c r="AB1155" s="6">
        <f>$K$1155*$V$1155</f>
        <v>0</v>
      </c>
      <c r="AC1155" s="6">
        <f>$M$1155*$W$1155</f>
        <v>893447.38711000001</v>
      </c>
      <c r="AD1155" s="6">
        <f>$O$1155*$X$1155</f>
        <v>267069.02778</v>
      </c>
      <c r="AE1155" s="6">
        <f>$K$1155*$Y$1155</f>
        <v>0</v>
      </c>
      <c r="AF1155" s="6">
        <f ca="1">$M$1155*$Z$1155</f>
        <v>903970.9249268159</v>
      </c>
      <c r="AG1155" s="6">
        <f>$O$1155*$AA$1155</f>
        <v>241975.66998384017</v>
      </c>
    </row>
    <row r="1156" spans="1:33" ht="11.25" customHeight="1" x14ac:dyDescent="0.25">
      <c r="A1156" s="4" t="s">
        <v>28</v>
      </c>
      <c r="B1156" s="4" t="s">
        <v>41</v>
      </c>
      <c r="C1156" s="4" t="s">
        <v>42</v>
      </c>
      <c r="D1156" s="4" t="s">
        <v>46</v>
      </c>
      <c r="E1156" s="4" t="s">
        <v>25</v>
      </c>
      <c r="F1156" s="4" t="s">
        <v>25</v>
      </c>
      <c r="G1156" s="4" t="s">
        <v>25</v>
      </c>
      <c r="H1156" s="4" t="s">
        <v>34</v>
      </c>
      <c r="I1156" s="5">
        <v>44501</v>
      </c>
      <c r="J1156" s="6">
        <v>0</v>
      </c>
      <c r="K1156" s="6">
        <v>0</v>
      </c>
      <c r="L1156" s="6">
        <v>14.625</v>
      </c>
      <c r="M1156" s="6">
        <v>14.625</v>
      </c>
      <c r="N1156" s="6">
        <v>14.625</v>
      </c>
      <c r="O1156" s="6">
        <v>14.625</v>
      </c>
      <c r="P1156" s="6">
        <v>0</v>
      </c>
      <c r="Q1156" s="4" t="s">
        <v>26</v>
      </c>
      <c r="R1156" s="4">
        <v>0</v>
      </c>
      <c r="S1156" s="6">
        <v>0</v>
      </c>
      <c r="T1156" s="6">
        <v>42</v>
      </c>
      <c r="U1156" s="6">
        <v>66</v>
      </c>
      <c r="V1156" s="6">
        <f>IF(ISERROR(VLOOKUP($S$1156,'TAR FIN'!$A$1:$O$104,15,0)),0,VLOOKUP($S$1156,'TAR FIN'!$A$1:$O$104,15,0))</f>
        <v>0</v>
      </c>
      <c r="W1156" s="6">
        <f>IF(ISERROR(VLOOKUP($T$1156,'TAR FIN'!$A$1:$O$104,15,0)),0,VLOOKUP($T$1156,'TAR FIN'!$A$1:$O$104,15,0))</f>
        <v>1330.19</v>
      </c>
      <c r="X1156" s="6">
        <f>IF(ISERROR(VLOOKUP($U$1156,'TAR FIN'!$A$1:$O$104,15,0)),0,VLOOKUP($U$1156,'TAR FIN'!$A$1:$O$104,15,0))</f>
        <v>397.62</v>
      </c>
      <c r="Y1156" s="6"/>
      <c r="Z1156" s="6">
        <f ca="1">('TUSD BE'!$AM$25+'TUSD BF'!$AM$25+'TUSD CVA'!$AM$25)*1</f>
        <v>1345.857743809549</v>
      </c>
      <c r="AA1156" s="6">
        <f>('TE BE'!$AB$7+'TE BF'!$AB$7+'TE CVA'!$AB$7)*1</f>
        <v>360.26029187567116</v>
      </c>
      <c r="AB1156" s="6">
        <f>$K$1156*$V$1156</f>
        <v>0</v>
      </c>
      <c r="AC1156" s="6">
        <f>$M$1156*$W$1156</f>
        <v>19454.028750000001</v>
      </c>
      <c r="AD1156" s="6">
        <f>$O$1156*$X$1156</f>
        <v>5815.1925000000001</v>
      </c>
      <c r="AE1156" s="6">
        <f>$K$1156*$Y$1156</f>
        <v>0</v>
      </c>
      <c r="AF1156" s="6">
        <f ca="1">$M$1156*$Z$1156</f>
        <v>19683.169503214653</v>
      </c>
      <c r="AG1156" s="6">
        <f>$O$1156*$AA$1156</f>
        <v>5268.8067686816903</v>
      </c>
    </row>
    <row r="1157" spans="1:33" ht="11.25" customHeight="1" x14ac:dyDescent="0.25">
      <c r="A1157" s="4" t="s">
        <v>21</v>
      </c>
      <c r="B1157" s="4" t="s">
        <v>41</v>
      </c>
      <c r="C1157" s="4" t="s">
        <v>42</v>
      </c>
      <c r="D1157" s="4" t="s">
        <v>46</v>
      </c>
      <c r="E1157" s="4" t="s">
        <v>25</v>
      </c>
      <c r="F1157" s="4" t="s">
        <v>25</v>
      </c>
      <c r="G1157" s="4" t="s">
        <v>25</v>
      </c>
      <c r="H1157" s="4" t="s">
        <v>34</v>
      </c>
      <c r="I1157" s="5">
        <v>44531</v>
      </c>
      <c r="J1157" s="6">
        <v>0</v>
      </c>
      <c r="K1157" s="6">
        <v>0</v>
      </c>
      <c r="L1157" s="6">
        <v>743.4</v>
      </c>
      <c r="M1157" s="6">
        <v>743.4</v>
      </c>
      <c r="N1157" s="6">
        <v>743.4</v>
      </c>
      <c r="O1157" s="6">
        <v>743.4</v>
      </c>
      <c r="P1157" s="6">
        <v>0</v>
      </c>
      <c r="Q1157" s="4" t="s">
        <v>26</v>
      </c>
      <c r="R1157" s="4">
        <v>0</v>
      </c>
      <c r="S1157" s="6">
        <v>0</v>
      </c>
      <c r="T1157" s="6">
        <v>42</v>
      </c>
      <c r="U1157" s="6">
        <v>66</v>
      </c>
      <c r="V1157" s="6">
        <f>IF(ISERROR(VLOOKUP($S$1157,'TAR FIN'!$A$1:$O$104,15,0)),0,VLOOKUP($S$1157,'TAR FIN'!$A$1:$O$104,15,0))</f>
        <v>0</v>
      </c>
      <c r="W1157" s="6">
        <f>IF(ISERROR(VLOOKUP($T$1157,'TAR FIN'!$A$1:$O$104,15,0)),0,VLOOKUP($T$1157,'TAR FIN'!$A$1:$O$104,15,0))</f>
        <v>1330.19</v>
      </c>
      <c r="X1157" s="6">
        <f>IF(ISERROR(VLOOKUP($U$1157,'TAR FIN'!$A$1:$O$104,15,0)),0,VLOOKUP($U$1157,'TAR FIN'!$A$1:$O$104,15,0))</f>
        <v>397.62</v>
      </c>
      <c r="Y1157" s="6"/>
      <c r="Z1157" s="6">
        <f ca="1">('TUSD BE'!$AM$25+'TUSD BF'!$AM$25+'TUSD CVA'!$AM$25)*1</f>
        <v>1345.857743809549</v>
      </c>
      <c r="AA1157" s="6">
        <f>('TE BE'!$AB$7+'TE BF'!$AB$7+'TE CVA'!$AB$7)*1</f>
        <v>360.26029187567116</v>
      </c>
      <c r="AB1157" s="6">
        <f>$K$1157*$V$1157</f>
        <v>0</v>
      </c>
      <c r="AC1157" s="6">
        <f>$M$1157*$W$1157</f>
        <v>988863.24600000004</v>
      </c>
      <c r="AD1157" s="6">
        <f>$O$1157*$X$1157</f>
        <v>295590.70799999998</v>
      </c>
      <c r="AE1157" s="6">
        <f>$K$1157*$Y$1157</f>
        <v>0</v>
      </c>
      <c r="AF1157" s="6">
        <f ca="1">$M$1157*$Z$1157</f>
        <v>1000510.6467480187</v>
      </c>
      <c r="AG1157" s="6">
        <f>$O$1157*$AA$1157</f>
        <v>267817.50098037394</v>
      </c>
    </row>
    <row r="1158" spans="1:33" ht="11.25" customHeight="1" x14ac:dyDescent="0.25">
      <c r="A1158" s="4" t="s">
        <v>28</v>
      </c>
      <c r="B1158" s="4" t="s">
        <v>41</v>
      </c>
      <c r="C1158" s="4" t="s">
        <v>42</v>
      </c>
      <c r="D1158" s="4" t="s">
        <v>46</v>
      </c>
      <c r="E1158" s="4" t="s">
        <v>25</v>
      </c>
      <c r="F1158" s="4" t="s">
        <v>25</v>
      </c>
      <c r="G1158" s="4" t="s">
        <v>25</v>
      </c>
      <c r="H1158" s="4" t="s">
        <v>34</v>
      </c>
      <c r="I1158" s="5">
        <v>44531</v>
      </c>
      <c r="J1158" s="6">
        <v>0</v>
      </c>
      <c r="K1158" s="6">
        <v>0</v>
      </c>
      <c r="L1158" s="6">
        <v>15.911</v>
      </c>
      <c r="M1158" s="6">
        <v>15.911</v>
      </c>
      <c r="N1158" s="6">
        <v>15.911</v>
      </c>
      <c r="O1158" s="6">
        <v>15.911</v>
      </c>
      <c r="P1158" s="6">
        <v>0</v>
      </c>
      <c r="Q1158" s="4" t="s">
        <v>26</v>
      </c>
      <c r="R1158" s="4">
        <v>0</v>
      </c>
      <c r="S1158" s="6">
        <v>0</v>
      </c>
      <c r="T1158" s="6">
        <v>42</v>
      </c>
      <c r="U1158" s="6">
        <v>66</v>
      </c>
      <c r="V1158" s="6">
        <f>IF(ISERROR(VLOOKUP($S$1158,'TAR FIN'!$A$1:$O$104,15,0)),0,VLOOKUP($S$1158,'TAR FIN'!$A$1:$O$104,15,0))</f>
        <v>0</v>
      </c>
      <c r="W1158" s="6">
        <f>IF(ISERROR(VLOOKUP($T$1158,'TAR FIN'!$A$1:$O$104,15,0)),0,VLOOKUP($T$1158,'TAR FIN'!$A$1:$O$104,15,0))</f>
        <v>1330.19</v>
      </c>
      <c r="X1158" s="6">
        <f>IF(ISERROR(VLOOKUP($U$1158,'TAR FIN'!$A$1:$O$104,15,0)),0,VLOOKUP($U$1158,'TAR FIN'!$A$1:$O$104,15,0))</f>
        <v>397.62</v>
      </c>
      <c r="Y1158" s="6"/>
      <c r="Z1158" s="6">
        <f ca="1">('TUSD BE'!$AM$25+'TUSD BF'!$AM$25+'TUSD CVA'!$AM$25)*1</f>
        <v>1345.857743809549</v>
      </c>
      <c r="AA1158" s="6">
        <f>('TE BE'!$AB$7+'TE BF'!$AB$7+'TE CVA'!$AB$7)*1</f>
        <v>360.26029187567116</v>
      </c>
      <c r="AB1158" s="6">
        <f>$K$1158*$V$1158</f>
        <v>0</v>
      </c>
      <c r="AC1158" s="6">
        <f>$M$1158*$W$1158</f>
        <v>21164.65309</v>
      </c>
      <c r="AD1158" s="6">
        <f>$O$1158*$X$1158</f>
        <v>6326.5318200000002</v>
      </c>
      <c r="AE1158" s="6">
        <f>$K$1158*$Y$1158</f>
        <v>0</v>
      </c>
      <c r="AF1158" s="6">
        <f ca="1">$M$1158*$Z$1158</f>
        <v>21413.942561753734</v>
      </c>
      <c r="AG1158" s="6">
        <f>$O$1158*$AA$1158</f>
        <v>5732.1015040338034</v>
      </c>
    </row>
    <row r="1159" spans="1:33" ht="11.25" customHeight="1" x14ac:dyDescent="0.25">
      <c r="A1159" s="4" t="s">
        <v>21</v>
      </c>
      <c r="B1159" s="4" t="s">
        <v>41</v>
      </c>
      <c r="C1159" s="4" t="s">
        <v>42</v>
      </c>
      <c r="D1159" s="4" t="s">
        <v>46</v>
      </c>
      <c r="E1159" s="4" t="s">
        <v>25</v>
      </c>
      <c r="F1159" s="4" t="s">
        <v>25</v>
      </c>
      <c r="G1159" s="4" t="s">
        <v>25</v>
      </c>
      <c r="H1159" s="4" t="s">
        <v>34</v>
      </c>
      <c r="I1159" s="5">
        <v>44562</v>
      </c>
      <c r="J1159" s="6">
        <v>0</v>
      </c>
      <c r="K1159" s="6">
        <v>0</v>
      </c>
      <c r="L1159" s="6">
        <v>679.01700000000005</v>
      </c>
      <c r="M1159" s="6">
        <v>679.01700000000005</v>
      </c>
      <c r="N1159" s="6">
        <v>679.01700000000005</v>
      </c>
      <c r="O1159" s="6">
        <v>679.01700000000005</v>
      </c>
      <c r="P1159" s="6">
        <v>0</v>
      </c>
      <c r="Q1159" s="4" t="s">
        <v>26</v>
      </c>
      <c r="R1159" s="4">
        <v>0</v>
      </c>
      <c r="S1159" s="6">
        <v>0</v>
      </c>
      <c r="T1159" s="6">
        <v>42</v>
      </c>
      <c r="U1159" s="6">
        <v>66</v>
      </c>
      <c r="V1159" s="6">
        <f>IF(ISERROR(VLOOKUP($S$1159,'TAR FIN'!$A$1:$O$104,15,0)),0,VLOOKUP($S$1159,'TAR FIN'!$A$1:$O$104,15,0))</f>
        <v>0</v>
      </c>
      <c r="W1159" s="6">
        <f>IF(ISERROR(VLOOKUP($T$1159,'TAR FIN'!$A$1:$O$104,15,0)),0,VLOOKUP($T$1159,'TAR FIN'!$A$1:$O$104,15,0))</f>
        <v>1330.19</v>
      </c>
      <c r="X1159" s="6">
        <f>IF(ISERROR(VLOOKUP($U$1159,'TAR FIN'!$A$1:$O$104,15,0)),0,VLOOKUP($U$1159,'TAR FIN'!$A$1:$O$104,15,0))</f>
        <v>397.62</v>
      </c>
      <c r="Y1159" s="6"/>
      <c r="Z1159" s="6">
        <f ca="1">('TUSD BE'!$AM$25+'TUSD BF'!$AM$25+'TUSD CVA'!$AM$25)*1</f>
        <v>1345.857743809549</v>
      </c>
      <c r="AA1159" s="6">
        <f>('TE BE'!$AB$7+'TE BF'!$AB$7+'TE CVA'!$AB$7)*1</f>
        <v>360.26029187567116</v>
      </c>
      <c r="AB1159" s="6">
        <f>$K$1159*$V$1159</f>
        <v>0</v>
      </c>
      <c r="AC1159" s="6">
        <f>$M$1159*$W$1159</f>
        <v>903221.62323000014</v>
      </c>
      <c r="AD1159" s="6">
        <f>$O$1159*$X$1159</f>
        <v>269990.73954000004</v>
      </c>
      <c r="AE1159" s="6">
        <f>$K$1159*$Y$1159</f>
        <v>0</v>
      </c>
      <c r="AF1159" s="6">
        <f ca="1">$M$1159*$Z$1159</f>
        <v>913860.28762832854</v>
      </c>
      <c r="AG1159" s="6">
        <f>$O$1159*$AA$1159</f>
        <v>244622.86260854261</v>
      </c>
    </row>
    <row r="1160" spans="1:33" ht="11.25" customHeight="1" x14ac:dyDescent="0.25">
      <c r="A1160" s="4" t="s">
        <v>28</v>
      </c>
      <c r="B1160" s="4" t="s">
        <v>41</v>
      </c>
      <c r="C1160" s="4" t="s">
        <v>42</v>
      </c>
      <c r="D1160" s="4" t="s">
        <v>46</v>
      </c>
      <c r="E1160" s="4" t="s">
        <v>25</v>
      </c>
      <c r="F1160" s="4" t="s">
        <v>25</v>
      </c>
      <c r="G1160" s="4" t="s">
        <v>25</v>
      </c>
      <c r="H1160" s="4" t="s">
        <v>34</v>
      </c>
      <c r="I1160" s="5">
        <v>44562</v>
      </c>
      <c r="J1160" s="6">
        <v>0</v>
      </c>
      <c r="K1160" s="6">
        <v>0</v>
      </c>
      <c r="L1160" s="6">
        <v>14.08</v>
      </c>
      <c r="M1160" s="6">
        <v>14.08</v>
      </c>
      <c r="N1160" s="6">
        <v>14.08</v>
      </c>
      <c r="O1160" s="6">
        <v>14.08</v>
      </c>
      <c r="P1160" s="6">
        <v>0</v>
      </c>
      <c r="Q1160" s="4" t="s">
        <v>26</v>
      </c>
      <c r="R1160" s="4">
        <v>0</v>
      </c>
      <c r="S1160" s="6">
        <v>0</v>
      </c>
      <c r="T1160" s="6">
        <v>42</v>
      </c>
      <c r="U1160" s="6">
        <v>66</v>
      </c>
      <c r="V1160" s="6">
        <f>IF(ISERROR(VLOOKUP($S$1160,'TAR FIN'!$A$1:$O$104,15,0)),0,VLOOKUP($S$1160,'TAR FIN'!$A$1:$O$104,15,0))</f>
        <v>0</v>
      </c>
      <c r="W1160" s="6">
        <f>IF(ISERROR(VLOOKUP($T$1160,'TAR FIN'!$A$1:$O$104,15,0)),0,VLOOKUP($T$1160,'TAR FIN'!$A$1:$O$104,15,0))</f>
        <v>1330.19</v>
      </c>
      <c r="X1160" s="6">
        <f>IF(ISERROR(VLOOKUP($U$1160,'TAR FIN'!$A$1:$O$104,15,0)),0,VLOOKUP($U$1160,'TAR FIN'!$A$1:$O$104,15,0))</f>
        <v>397.62</v>
      </c>
      <c r="Y1160" s="6"/>
      <c r="Z1160" s="6">
        <f ca="1">('TUSD BE'!$AM$25+'TUSD BF'!$AM$25+'TUSD CVA'!$AM$25)*1</f>
        <v>1345.857743809549</v>
      </c>
      <c r="AA1160" s="6">
        <f>('TE BE'!$AB$7+'TE BF'!$AB$7+'TE CVA'!$AB$7)*1</f>
        <v>360.26029187567116</v>
      </c>
      <c r="AB1160" s="6">
        <f>$K$1160*$V$1160</f>
        <v>0</v>
      </c>
      <c r="AC1160" s="6">
        <f>$M$1160*$W$1160</f>
        <v>18729.075199999999</v>
      </c>
      <c r="AD1160" s="6">
        <f>$O$1160*$X$1160</f>
        <v>5598.4895999999999</v>
      </c>
      <c r="AE1160" s="6">
        <f>$K$1160*$Y$1160</f>
        <v>0</v>
      </c>
      <c r="AF1160" s="6">
        <f ca="1">$M$1160*$Z$1160</f>
        <v>18949.677032838448</v>
      </c>
      <c r="AG1160" s="6">
        <f>$O$1160*$AA$1160</f>
        <v>5072.4649096094499</v>
      </c>
    </row>
    <row r="1161" spans="1:33" ht="11.25" customHeight="1" x14ac:dyDescent="0.25">
      <c r="A1161" s="4" t="s">
        <v>21</v>
      </c>
      <c r="B1161" s="4" t="s">
        <v>41</v>
      </c>
      <c r="C1161" s="4" t="s">
        <v>42</v>
      </c>
      <c r="D1161" s="4" t="s">
        <v>46</v>
      </c>
      <c r="E1161" s="4" t="s">
        <v>25</v>
      </c>
      <c r="F1161" s="4" t="s">
        <v>25</v>
      </c>
      <c r="G1161" s="4" t="s">
        <v>25</v>
      </c>
      <c r="H1161" s="4" t="s">
        <v>34</v>
      </c>
      <c r="I1161" s="5">
        <v>44593</v>
      </c>
      <c r="J1161" s="6">
        <v>0</v>
      </c>
      <c r="K1161" s="6">
        <v>0</v>
      </c>
      <c r="L1161" s="6">
        <v>651.74800000000005</v>
      </c>
      <c r="M1161" s="6">
        <v>651.74800000000005</v>
      </c>
      <c r="N1161" s="6">
        <v>651.74800000000005</v>
      </c>
      <c r="O1161" s="6">
        <v>651.74800000000005</v>
      </c>
      <c r="P1161" s="6">
        <v>0</v>
      </c>
      <c r="Q1161" s="4" t="s">
        <v>26</v>
      </c>
      <c r="R1161" s="4">
        <v>0</v>
      </c>
      <c r="S1161" s="6">
        <v>0</v>
      </c>
      <c r="T1161" s="6">
        <v>42</v>
      </c>
      <c r="U1161" s="6">
        <v>66</v>
      </c>
      <c r="V1161" s="6">
        <f>IF(ISERROR(VLOOKUP($S$1161,'TAR FIN'!$A$1:$O$104,15,0)),0,VLOOKUP($S$1161,'TAR FIN'!$A$1:$O$104,15,0))</f>
        <v>0</v>
      </c>
      <c r="W1161" s="6">
        <f>IF(ISERROR(VLOOKUP($T$1161,'TAR FIN'!$A$1:$O$104,15,0)),0,VLOOKUP($T$1161,'TAR FIN'!$A$1:$O$104,15,0))</f>
        <v>1330.19</v>
      </c>
      <c r="X1161" s="6">
        <f>IF(ISERROR(VLOOKUP($U$1161,'TAR FIN'!$A$1:$O$104,15,0)),0,VLOOKUP($U$1161,'TAR FIN'!$A$1:$O$104,15,0))</f>
        <v>397.62</v>
      </c>
      <c r="Y1161" s="6"/>
      <c r="Z1161" s="6">
        <f ca="1">('TUSD BE'!$AM$25+'TUSD BF'!$AM$25+'TUSD CVA'!$AM$25)*1</f>
        <v>1345.857743809549</v>
      </c>
      <c r="AA1161" s="6">
        <f>('TE BE'!$AB$7+'TE BF'!$AB$7+'TE CVA'!$AB$7)*1</f>
        <v>360.26029187567116</v>
      </c>
      <c r="AB1161" s="6">
        <f>$K$1161*$V$1161</f>
        <v>0</v>
      </c>
      <c r="AC1161" s="6">
        <f>$M$1161*$W$1161</f>
        <v>866948.67212000012</v>
      </c>
      <c r="AD1161" s="6">
        <f>$O$1161*$X$1161</f>
        <v>259148.03976000001</v>
      </c>
      <c r="AE1161" s="6">
        <f>$K$1161*$Y$1161</f>
        <v>0</v>
      </c>
      <c r="AF1161" s="6">
        <f ca="1">$M$1161*$Z$1161</f>
        <v>877160.09281238599</v>
      </c>
      <c r="AG1161" s="6">
        <f>$O$1161*$AA$1161</f>
        <v>234798.92470938494</v>
      </c>
    </row>
    <row r="1162" spans="1:33" ht="11.25" customHeight="1" x14ac:dyDescent="0.25">
      <c r="A1162" s="4" t="s">
        <v>28</v>
      </c>
      <c r="B1162" s="4" t="s">
        <v>41</v>
      </c>
      <c r="C1162" s="4" t="s">
        <v>42</v>
      </c>
      <c r="D1162" s="4" t="s">
        <v>46</v>
      </c>
      <c r="E1162" s="4" t="s">
        <v>25</v>
      </c>
      <c r="F1162" s="4" t="s">
        <v>25</v>
      </c>
      <c r="G1162" s="4" t="s">
        <v>25</v>
      </c>
      <c r="H1162" s="4" t="s">
        <v>34</v>
      </c>
      <c r="I1162" s="5">
        <v>44593</v>
      </c>
      <c r="J1162" s="6">
        <v>0</v>
      </c>
      <c r="K1162" s="6">
        <v>0</v>
      </c>
      <c r="L1162" s="6">
        <v>13.449</v>
      </c>
      <c r="M1162" s="6">
        <v>13.449</v>
      </c>
      <c r="N1162" s="6">
        <v>13.449</v>
      </c>
      <c r="O1162" s="6">
        <v>13.449</v>
      </c>
      <c r="P1162" s="6">
        <v>0</v>
      </c>
      <c r="Q1162" s="4" t="s">
        <v>26</v>
      </c>
      <c r="R1162" s="4">
        <v>0</v>
      </c>
      <c r="S1162" s="6">
        <v>0</v>
      </c>
      <c r="T1162" s="6">
        <v>42</v>
      </c>
      <c r="U1162" s="6">
        <v>66</v>
      </c>
      <c r="V1162" s="6">
        <f>IF(ISERROR(VLOOKUP($S$1162,'TAR FIN'!$A$1:$O$104,15,0)),0,VLOOKUP($S$1162,'TAR FIN'!$A$1:$O$104,15,0))</f>
        <v>0</v>
      </c>
      <c r="W1162" s="6">
        <f>IF(ISERROR(VLOOKUP($T$1162,'TAR FIN'!$A$1:$O$104,15,0)),0,VLOOKUP($T$1162,'TAR FIN'!$A$1:$O$104,15,0))</f>
        <v>1330.19</v>
      </c>
      <c r="X1162" s="6">
        <f>IF(ISERROR(VLOOKUP($U$1162,'TAR FIN'!$A$1:$O$104,15,0)),0,VLOOKUP($U$1162,'TAR FIN'!$A$1:$O$104,15,0))</f>
        <v>397.62</v>
      </c>
      <c r="Y1162" s="6"/>
      <c r="Z1162" s="6">
        <f ca="1">('TUSD BE'!$AM$25+'TUSD BF'!$AM$25+'TUSD CVA'!$AM$25)*1</f>
        <v>1345.857743809549</v>
      </c>
      <c r="AA1162" s="6">
        <f>('TE BE'!$AB$7+'TE BF'!$AB$7+'TE CVA'!$AB$7)*1</f>
        <v>360.26029187567116</v>
      </c>
      <c r="AB1162" s="6">
        <f>$K$1162*$V$1162</f>
        <v>0</v>
      </c>
      <c r="AC1162" s="6">
        <f>$M$1162*$W$1162</f>
        <v>17889.725310000002</v>
      </c>
      <c r="AD1162" s="6">
        <f>$O$1162*$X$1162</f>
        <v>5347.5913799999998</v>
      </c>
      <c r="AE1162" s="6">
        <f>$K$1162*$Y$1162</f>
        <v>0</v>
      </c>
      <c r="AF1162" s="6">
        <f ca="1">$M$1162*$Z$1162</f>
        <v>18100.440796494626</v>
      </c>
      <c r="AG1162" s="6">
        <f>$O$1162*$AA$1162</f>
        <v>4845.1406654359016</v>
      </c>
    </row>
    <row r="1163" spans="1:33" ht="11.25" customHeight="1" x14ac:dyDescent="0.25">
      <c r="A1163" s="4" t="s">
        <v>21</v>
      </c>
      <c r="B1163" s="4" t="s">
        <v>41</v>
      </c>
      <c r="C1163" s="4" t="s">
        <v>42</v>
      </c>
      <c r="D1163" s="4" t="s">
        <v>46</v>
      </c>
      <c r="E1163" s="4" t="s">
        <v>25</v>
      </c>
      <c r="F1163" s="4" t="s">
        <v>25</v>
      </c>
      <c r="G1163" s="4" t="s">
        <v>25</v>
      </c>
      <c r="H1163" s="4" t="s">
        <v>34</v>
      </c>
      <c r="I1163" s="5">
        <v>44621</v>
      </c>
      <c r="J1163" s="6">
        <v>0</v>
      </c>
      <c r="K1163" s="6">
        <v>0</v>
      </c>
      <c r="L1163" s="6">
        <v>728.37</v>
      </c>
      <c r="M1163" s="6">
        <v>728.37</v>
      </c>
      <c r="N1163" s="6">
        <v>728.37</v>
      </c>
      <c r="O1163" s="6">
        <v>728.37</v>
      </c>
      <c r="P1163" s="6">
        <v>0</v>
      </c>
      <c r="Q1163" s="4" t="s">
        <v>26</v>
      </c>
      <c r="R1163" s="4">
        <v>0</v>
      </c>
      <c r="S1163" s="6">
        <v>0</v>
      </c>
      <c r="T1163" s="6">
        <v>42</v>
      </c>
      <c r="U1163" s="6">
        <v>66</v>
      </c>
      <c r="V1163" s="6">
        <f>IF(ISERROR(VLOOKUP($S$1163,'TAR FIN'!$A$1:$O$104,15,0)),0,VLOOKUP($S$1163,'TAR FIN'!$A$1:$O$104,15,0))</f>
        <v>0</v>
      </c>
      <c r="W1163" s="6">
        <f>IF(ISERROR(VLOOKUP($T$1163,'TAR FIN'!$A$1:$O$104,15,0)),0,VLOOKUP($T$1163,'TAR FIN'!$A$1:$O$104,15,0))</f>
        <v>1330.19</v>
      </c>
      <c r="X1163" s="6">
        <f>IF(ISERROR(VLOOKUP($U$1163,'TAR FIN'!$A$1:$O$104,15,0)),0,VLOOKUP($U$1163,'TAR FIN'!$A$1:$O$104,15,0))</f>
        <v>397.62</v>
      </c>
      <c r="Y1163" s="6"/>
      <c r="Z1163" s="6">
        <f ca="1">('TUSD BE'!$AM$25+'TUSD BF'!$AM$25+'TUSD CVA'!$AM$25)*1</f>
        <v>1345.857743809549</v>
      </c>
      <c r="AA1163" s="6">
        <f>('TE BE'!$AB$7+'TE BF'!$AB$7+'TE CVA'!$AB$7)*1</f>
        <v>360.26029187567116</v>
      </c>
      <c r="AB1163" s="6">
        <f>$K$1163*$V$1163</f>
        <v>0</v>
      </c>
      <c r="AC1163" s="6">
        <f>$M$1163*$W$1163</f>
        <v>968870.49030000006</v>
      </c>
      <c r="AD1163" s="6">
        <f>$O$1163*$X$1163</f>
        <v>289614.47940000001</v>
      </c>
      <c r="AE1163" s="6">
        <f>$K$1163*$Y$1163</f>
        <v>0</v>
      </c>
      <c r="AF1163" s="6">
        <f ca="1">$M$1163*$Z$1163</f>
        <v>980282.40485856123</v>
      </c>
      <c r="AG1163" s="6">
        <f>$O$1163*$AA$1163</f>
        <v>262402.78879348258</v>
      </c>
    </row>
    <row r="1164" spans="1:33" ht="11.25" customHeight="1" x14ac:dyDescent="0.25">
      <c r="A1164" s="4" t="s">
        <v>28</v>
      </c>
      <c r="B1164" s="4" t="s">
        <v>41</v>
      </c>
      <c r="C1164" s="4" t="s">
        <v>42</v>
      </c>
      <c r="D1164" s="4" t="s">
        <v>46</v>
      </c>
      <c r="E1164" s="4" t="s">
        <v>25</v>
      </c>
      <c r="F1164" s="4" t="s">
        <v>25</v>
      </c>
      <c r="G1164" s="4" t="s">
        <v>25</v>
      </c>
      <c r="H1164" s="4" t="s">
        <v>34</v>
      </c>
      <c r="I1164" s="5">
        <v>44621</v>
      </c>
      <c r="J1164" s="6">
        <v>0</v>
      </c>
      <c r="K1164" s="6">
        <v>0</v>
      </c>
      <c r="L1164" s="6">
        <v>14.617000000000001</v>
      </c>
      <c r="M1164" s="6">
        <v>14.617000000000001</v>
      </c>
      <c r="N1164" s="6">
        <v>14.617000000000001</v>
      </c>
      <c r="O1164" s="6">
        <v>14.617000000000001</v>
      </c>
      <c r="P1164" s="6">
        <v>0</v>
      </c>
      <c r="Q1164" s="4" t="s">
        <v>26</v>
      </c>
      <c r="R1164" s="4">
        <v>0</v>
      </c>
      <c r="S1164" s="6">
        <v>0</v>
      </c>
      <c r="T1164" s="6">
        <v>42</v>
      </c>
      <c r="U1164" s="6">
        <v>66</v>
      </c>
      <c r="V1164" s="6">
        <f>IF(ISERROR(VLOOKUP($S$1164,'TAR FIN'!$A$1:$O$104,15,0)),0,VLOOKUP($S$1164,'TAR FIN'!$A$1:$O$104,15,0))</f>
        <v>0</v>
      </c>
      <c r="W1164" s="6">
        <f>IF(ISERROR(VLOOKUP($T$1164,'TAR FIN'!$A$1:$O$104,15,0)),0,VLOOKUP($T$1164,'TAR FIN'!$A$1:$O$104,15,0))</f>
        <v>1330.19</v>
      </c>
      <c r="X1164" s="6">
        <f>IF(ISERROR(VLOOKUP($U$1164,'TAR FIN'!$A$1:$O$104,15,0)),0,VLOOKUP($U$1164,'TAR FIN'!$A$1:$O$104,15,0))</f>
        <v>397.62</v>
      </c>
      <c r="Y1164" s="6"/>
      <c r="Z1164" s="6">
        <f ca="1">('TUSD BE'!$AM$25+'TUSD BF'!$AM$25+'TUSD CVA'!$AM$25)*1</f>
        <v>1345.857743809549</v>
      </c>
      <c r="AA1164" s="6">
        <f>('TE BE'!$AB$7+'TE BF'!$AB$7+'TE CVA'!$AB$7)*1</f>
        <v>360.26029187567116</v>
      </c>
      <c r="AB1164" s="6">
        <f>$K$1164*$V$1164</f>
        <v>0</v>
      </c>
      <c r="AC1164" s="6">
        <f>$M$1164*$W$1164</f>
        <v>19443.38723</v>
      </c>
      <c r="AD1164" s="6">
        <f>$O$1164*$X$1164</f>
        <v>5812.0115400000004</v>
      </c>
      <c r="AE1164" s="6">
        <f>$K$1164*$Y$1164</f>
        <v>0</v>
      </c>
      <c r="AF1164" s="6">
        <f ca="1">$M$1164*$Z$1164</f>
        <v>19672.40264126418</v>
      </c>
      <c r="AG1164" s="6">
        <f>$O$1164*$AA$1164</f>
        <v>5265.924686346686</v>
      </c>
    </row>
    <row r="1165" spans="1:33" ht="11.25" customHeight="1" x14ac:dyDescent="0.25">
      <c r="A1165" s="4" t="s">
        <v>21</v>
      </c>
      <c r="B1165" s="4" t="s">
        <v>41</v>
      </c>
      <c r="C1165" s="4" t="s">
        <v>42</v>
      </c>
      <c r="D1165" s="4" t="s">
        <v>46</v>
      </c>
      <c r="E1165" s="4" t="s">
        <v>25</v>
      </c>
      <c r="F1165" s="4" t="s">
        <v>25</v>
      </c>
      <c r="G1165" s="4" t="s">
        <v>25</v>
      </c>
      <c r="H1165" s="4" t="s">
        <v>34</v>
      </c>
      <c r="I1165" s="5">
        <v>44652</v>
      </c>
      <c r="J1165" s="6">
        <v>0</v>
      </c>
      <c r="K1165" s="6">
        <v>0</v>
      </c>
      <c r="L1165" s="6">
        <v>685.32100000000003</v>
      </c>
      <c r="M1165" s="6">
        <v>685.32100000000003</v>
      </c>
      <c r="N1165" s="6">
        <v>685.32100000000003</v>
      </c>
      <c r="O1165" s="6">
        <v>685.32100000000003</v>
      </c>
      <c r="P1165" s="6">
        <v>0</v>
      </c>
      <c r="Q1165" s="4" t="s">
        <v>26</v>
      </c>
      <c r="R1165" s="4">
        <v>0</v>
      </c>
      <c r="S1165" s="6">
        <v>0</v>
      </c>
      <c r="T1165" s="6">
        <v>42</v>
      </c>
      <c r="U1165" s="6">
        <v>66</v>
      </c>
      <c r="V1165" s="6">
        <f>IF(ISERROR(VLOOKUP($S$1165,'TAR FIN'!$A$1:$O$104,15,0)),0,VLOOKUP($S$1165,'TAR FIN'!$A$1:$O$104,15,0))</f>
        <v>0</v>
      </c>
      <c r="W1165" s="6">
        <f>IF(ISERROR(VLOOKUP($T$1165,'TAR FIN'!$A$1:$O$104,15,0)),0,VLOOKUP($T$1165,'TAR FIN'!$A$1:$O$104,15,0))</f>
        <v>1330.19</v>
      </c>
      <c r="X1165" s="6">
        <f>IF(ISERROR(VLOOKUP($U$1165,'TAR FIN'!$A$1:$O$104,15,0)),0,VLOOKUP($U$1165,'TAR FIN'!$A$1:$O$104,15,0))</f>
        <v>397.62</v>
      </c>
      <c r="Y1165" s="6"/>
      <c r="Z1165" s="6">
        <f ca="1">('TUSD BE'!$AM$25+'TUSD BF'!$AM$25+'TUSD CVA'!$AM$25)*1</f>
        <v>1345.857743809549</v>
      </c>
      <c r="AA1165" s="6">
        <f>('TE BE'!$AB$7+'TE BF'!$AB$7+'TE CVA'!$AB$7)*1</f>
        <v>360.26029187567116</v>
      </c>
      <c r="AB1165" s="6">
        <f>$K$1165*$V$1165</f>
        <v>0</v>
      </c>
      <c r="AC1165" s="6">
        <f>$M$1165*$W$1165</f>
        <v>911607.1409900001</v>
      </c>
      <c r="AD1165" s="6">
        <f>$O$1165*$X$1165</f>
        <v>272497.33601999999</v>
      </c>
      <c r="AE1165" s="6">
        <f>$K$1165*$Y$1165</f>
        <v>0</v>
      </c>
      <c r="AF1165" s="6">
        <f ca="1">$M$1165*$Z$1165</f>
        <v>922344.57484530401</v>
      </c>
      <c r="AG1165" s="6">
        <f>$O$1165*$AA$1165</f>
        <v>246893.94348852686</v>
      </c>
    </row>
    <row r="1166" spans="1:33" ht="11.25" customHeight="1" x14ac:dyDescent="0.25">
      <c r="A1166" s="4" t="s">
        <v>28</v>
      </c>
      <c r="B1166" s="4" t="s">
        <v>41</v>
      </c>
      <c r="C1166" s="4" t="s">
        <v>42</v>
      </c>
      <c r="D1166" s="4" t="s">
        <v>46</v>
      </c>
      <c r="E1166" s="4" t="s">
        <v>25</v>
      </c>
      <c r="F1166" s="4" t="s">
        <v>25</v>
      </c>
      <c r="G1166" s="4" t="s">
        <v>25</v>
      </c>
      <c r="H1166" s="4" t="s">
        <v>34</v>
      </c>
      <c r="I1166" s="5">
        <v>44652</v>
      </c>
      <c r="J1166" s="6">
        <v>0</v>
      </c>
      <c r="K1166" s="6">
        <v>0</v>
      </c>
      <c r="L1166" s="6">
        <v>14.603999999999999</v>
      </c>
      <c r="M1166" s="6">
        <v>14.603999999999999</v>
      </c>
      <c r="N1166" s="6">
        <v>14.603999999999999</v>
      </c>
      <c r="O1166" s="6">
        <v>14.603999999999999</v>
      </c>
      <c r="P1166" s="6">
        <v>0</v>
      </c>
      <c r="Q1166" s="4" t="s">
        <v>26</v>
      </c>
      <c r="R1166" s="4">
        <v>0</v>
      </c>
      <c r="S1166" s="6">
        <v>0</v>
      </c>
      <c r="T1166" s="6">
        <v>42</v>
      </c>
      <c r="U1166" s="6">
        <v>66</v>
      </c>
      <c r="V1166" s="6">
        <f>IF(ISERROR(VLOOKUP($S$1166,'TAR FIN'!$A$1:$O$104,15,0)),0,VLOOKUP($S$1166,'TAR FIN'!$A$1:$O$104,15,0))</f>
        <v>0</v>
      </c>
      <c r="W1166" s="6">
        <f>IF(ISERROR(VLOOKUP($T$1166,'TAR FIN'!$A$1:$O$104,15,0)),0,VLOOKUP($T$1166,'TAR FIN'!$A$1:$O$104,15,0))</f>
        <v>1330.19</v>
      </c>
      <c r="X1166" s="6">
        <f>IF(ISERROR(VLOOKUP($U$1166,'TAR FIN'!$A$1:$O$104,15,0)),0,VLOOKUP($U$1166,'TAR FIN'!$A$1:$O$104,15,0))</f>
        <v>397.62</v>
      </c>
      <c r="Y1166" s="6"/>
      <c r="Z1166" s="6">
        <f ca="1">('TUSD BE'!$AM$25+'TUSD BF'!$AM$25+'TUSD CVA'!$AM$25)*1</f>
        <v>1345.857743809549</v>
      </c>
      <c r="AA1166" s="6">
        <f>('TE BE'!$AB$7+'TE BF'!$AB$7+'TE CVA'!$AB$7)*1</f>
        <v>360.26029187567116</v>
      </c>
      <c r="AB1166" s="6">
        <f>$K$1166*$V$1166</f>
        <v>0</v>
      </c>
      <c r="AC1166" s="6">
        <f>$M$1166*$W$1166</f>
        <v>19426.09476</v>
      </c>
      <c r="AD1166" s="6">
        <f>$O$1166*$X$1166</f>
        <v>5806.8424799999993</v>
      </c>
      <c r="AE1166" s="6">
        <f>$K$1166*$Y$1166</f>
        <v>0</v>
      </c>
      <c r="AF1166" s="6">
        <f ca="1">$M$1166*$Z$1166</f>
        <v>19654.906490594651</v>
      </c>
      <c r="AG1166" s="6">
        <f>$O$1166*$AA$1166</f>
        <v>5261.241302552301</v>
      </c>
    </row>
    <row r="1167" spans="1:33" ht="11.25" customHeight="1" x14ac:dyDescent="0.25">
      <c r="A1167" s="4" t="s">
        <v>21</v>
      </c>
      <c r="B1167" s="4" t="s">
        <v>41</v>
      </c>
      <c r="C1167" s="4" t="s">
        <v>42</v>
      </c>
      <c r="D1167" s="4" t="s">
        <v>46</v>
      </c>
      <c r="E1167" s="4" t="s">
        <v>25</v>
      </c>
      <c r="F1167" s="4" t="s">
        <v>25</v>
      </c>
      <c r="G1167" s="4" t="s">
        <v>25</v>
      </c>
      <c r="H1167" s="4" t="s">
        <v>34</v>
      </c>
      <c r="I1167" s="5">
        <v>44682</v>
      </c>
      <c r="J1167" s="6">
        <v>0</v>
      </c>
      <c r="K1167" s="6">
        <v>0</v>
      </c>
      <c r="L1167" s="6">
        <v>702.39099999999996</v>
      </c>
      <c r="M1167" s="6">
        <v>702.39099999999996</v>
      </c>
      <c r="N1167" s="6">
        <v>702.39099999999996</v>
      </c>
      <c r="O1167" s="6">
        <v>702.39099999999996</v>
      </c>
      <c r="P1167" s="6">
        <v>0</v>
      </c>
      <c r="Q1167" s="4" t="s">
        <v>26</v>
      </c>
      <c r="R1167" s="4">
        <v>0</v>
      </c>
      <c r="S1167" s="6">
        <v>0</v>
      </c>
      <c r="T1167" s="6">
        <v>42</v>
      </c>
      <c r="U1167" s="6">
        <v>66</v>
      </c>
      <c r="V1167" s="6">
        <f>IF(ISERROR(VLOOKUP($S$1167,'TAR FIN'!$A$1:$O$104,15,0)),0,VLOOKUP($S$1167,'TAR FIN'!$A$1:$O$104,15,0))</f>
        <v>0</v>
      </c>
      <c r="W1167" s="6">
        <f>IF(ISERROR(VLOOKUP($T$1167,'TAR FIN'!$A$1:$O$104,15,0)),0,VLOOKUP($T$1167,'TAR FIN'!$A$1:$O$104,15,0))</f>
        <v>1330.19</v>
      </c>
      <c r="X1167" s="6">
        <f>IF(ISERROR(VLOOKUP($U$1167,'TAR FIN'!$A$1:$O$104,15,0)),0,VLOOKUP($U$1167,'TAR FIN'!$A$1:$O$104,15,0))</f>
        <v>397.62</v>
      </c>
      <c r="Y1167" s="6"/>
      <c r="Z1167" s="6">
        <f ca="1">('TUSD BE'!$AM$25+'TUSD BF'!$AM$25+'TUSD CVA'!$AM$25)*1</f>
        <v>1345.857743809549</v>
      </c>
      <c r="AA1167" s="6">
        <f>('TE BE'!$AB$7+'TE BF'!$AB$7+'TE CVA'!$AB$7)*1</f>
        <v>360.26029187567116</v>
      </c>
      <c r="AB1167" s="6">
        <f>$K$1167*$V$1167</f>
        <v>0</v>
      </c>
      <c r="AC1167" s="6">
        <f>$M$1167*$W$1167</f>
        <v>934313.48428999993</v>
      </c>
      <c r="AD1167" s="6">
        <f>$O$1167*$X$1167</f>
        <v>279284.70941999997</v>
      </c>
      <c r="AE1167" s="6">
        <f>$K$1167*$Y$1167</f>
        <v>0</v>
      </c>
      <c r="AF1167" s="6">
        <f ca="1">$M$1167*$Z$1167</f>
        <v>945318.36653213284</v>
      </c>
      <c r="AG1167" s="6">
        <f>$O$1167*$AA$1167</f>
        <v>253043.58667084452</v>
      </c>
    </row>
    <row r="1168" spans="1:33" ht="11.25" customHeight="1" x14ac:dyDescent="0.25">
      <c r="A1168" s="4" t="s">
        <v>28</v>
      </c>
      <c r="B1168" s="4" t="s">
        <v>41</v>
      </c>
      <c r="C1168" s="4" t="s">
        <v>42</v>
      </c>
      <c r="D1168" s="4" t="s">
        <v>46</v>
      </c>
      <c r="E1168" s="4" t="s">
        <v>25</v>
      </c>
      <c r="F1168" s="4" t="s">
        <v>25</v>
      </c>
      <c r="G1168" s="4" t="s">
        <v>25</v>
      </c>
      <c r="H1168" s="4" t="s">
        <v>34</v>
      </c>
      <c r="I1168" s="5">
        <v>44682</v>
      </c>
      <c r="J1168" s="6">
        <v>0</v>
      </c>
      <c r="K1168" s="6">
        <v>0</v>
      </c>
      <c r="L1168" s="6">
        <v>15.439</v>
      </c>
      <c r="M1168" s="6">
        <v>15.439</v>
      </c>
      <c r="N1168" s="6">
        <v>15.439</v>
      </c>
      <c r="O1168" s="6">
        <v>15.439</v>
      </c>
      <c r="P1168" s="6">
        <v>0</v>
      </c>
      <c r="Q1168" s="4" t="s">
        <v>26</v>
      </c>
      <c r="R1168" s="4">
        <v>0</v>
      </c>
      <c r="S1168" s="6">
        <v>0</v>
      </c>
      <c r="T1168" s="6">
        <v>42</v>
      </c>
      <c r="U1168" s="6">
        <v>66</v>
      </c>
      <c r="V1168" s="6">
        <f>IF(ISERROR(VLOOKUP($S$1168,'TAR FIN'!$A$1:$O$104,15,0)),0,VLOOKUP($S$1168,'TAR FIN'!$A$1:$O$104,15,0))</f>
        <v>0</v>
      </c>
      <c r="W1168" s="6">
        <f>IF(ISERROR(VLOOKUP($T$1168,'TAR FIN'!$A$1:$O$104,15,0)),0,VLOOKUP($T$1168,'TAR FIN'!$A$1:$O$104,15,0))</f>
        <v>1330.19</v>
      </c>
      <c r="X1168" s="6">
        <f>IF(ISERROR(VLOOKUP($U$1168,'TAR FIN'!$A$1:$O$104,15,0)),0,VLOOKUP($U$1168,'TAR FIN'!$A$1:$O$104,15,0))</f>
        <v>397.62</v>
      </c>
      <c r="Y1168" s="6"/>
      <c r="Z1168" s="6">
        <f ca="1">('TUSD BE'!$AM$25+'TUSD BF'!$AM$25+'TUSD CVA'!$AM$25)*1</f>
        <v>1345.857743809549</v>
      </c>
      <c r="AA1168" s="6">
        <f>('TE BE'!$AB$7+'TE BF'!$AB$7+'TE CVA'!$AB$7)*1</f>
        <v>360.26029187567116</v>
      </c>
      <c r="AB1168" s="6">
        <f>$K$1168*$V$1168</f>
        <v>0</v>
      </c>
      <c r="AC1168" s="6">
        <f>$M$1168*$W$1168</f>
        <v>20536.80341</v>
      </c>
      <c r="AD1168" s="6">
        <f>$O$1168*$X$1168</f>
        <v>6138.8551800000005</v>
      </c>
      <c r="AE1168" s="6">
        <f>$K$1168*$Y$1168</f>
        <v>0</v>
      </c>
      <c r="AF1168" s="6">
        <f ca="1">$M$1168*$Z$1168</f>
        <v>20778.697706675626</v>
      </c>
      <c r="AG1168" s="6">
        <f>$O$1168*$AA$1168</f>
        <v>5562.0586462684869</v>
      </c>
    </row>
    <row r="1169" spans="1:33" ht="11.25" customHeight="1" x14ac:dyDescent="0.25">
      <c r="A1169" s="4" t="s">
        <v>21</v>
      </c>
      <c r="B1169" s="4" t="s">
        <v>41</v>
      </c>
      <c r="C1169" s="4" t="s">
        <v>42</v>
      </c>
      <c r="D1169" s="4" t="s">
        <v>46</v>
      </c>
      <c r="E1169" s="4" t="s">
        <v>25</v>
      </c>
      <c r="F1169" s="4" t="s">
        <v>25</v>
      </c>
      <c r="G1169" s="4" t="s">
        <v>25</v>
      </c>
      <c r="H1169" s="4" t="s">
        <v>34</v>
      </c>
      <c r="I1169" s="5">
        <v>44713</v>
      </c>
      <c r="J1169" s="6">
        <v>0</v>
      </c>
      <c r="K1169" s="6">
        <v>0</v>
      </c>
      <c r="L1169" s="6">
        <v>635.02700000000004</v>
      </c>
      <c r="M1169" s="6">
        <v>635.02700000000004</v>
      </c>
      <c r="N1169" s="6">
        <v>635.02700000000004</v>
      </c>
      <c r="O1169" s="6">
        <v>635.02700000000004</v>
      </c>
      <c r="P1169" s="6">
        <v>0</v>
      </c>
      <c r="Q1169" s="4" t="s">
        <v>26</v>
      </c>
      <c r="R1169" s="4">
        <v>0</v>
      </c>
      <c r="S1169" s="6">
        <v>0</v>
      </c>
      <c r="T1169" s="6">
        <v>42</v>
      </c>
      <c r="U1169" s="6">
        <v>66</v>
      </c>
      <c r="V1169" s="6">
        <f>IF(ISERROR(VLOOKUP($S$1169,'TAR FIN'!$A$1:$O$104,15,0)),0,VLOOKUP($S$1169,'TAR FIN'!$A$1:$O$104,15,0))</f>
        <v>0</v>
      </c>
      <c r="W1169" s="6">
        <f>IF(ISERROR(VLOOKUP($T$1169,'TAR FIN'!$A$1:$O$104,15,0)),0,VLOOKUP($T$1169,'TAR FIN'!$A$1:$O$104,15,0))</f>
        <v>1330.19</v>
      </c>
      <c r="X1169" s="6">
        <f>IF(ISERROR(VLOOKUP($U$1169,'TAR FIN'!$A$1:$O$104,15,0)),0,VLOOKUP($U$1169,'TAR FIN'!$A$1:$O$104,15,0))</f>
        <v>397.62</v>
      </c>
      <c r="Y1169" s="6"/>
      <c r="Z1169" s="6">
        <f ca="1">('TUSD BE'!$AM$25+'TUSD BF'!$AM$25+'TUSD CVA'!$AM$25)*1</f>
        <v>1345.857743809549</v>
      </c>
      <c r="AA1169" s="6">
        <f>('TE BE'!$AB$7+'TE BF'!$AB$7+'TE CVA'!$AB$7)*1</f>
        <v>360.26029187567116</v>
      </c>
      <c r="AB1169" s="6">
        <f>$K$1169*$V$1169</f>
        <v>0</v>
      </c>
      <c r="AC1169" s="6">
        <f>$M$1169*$W$1169</f>
        <v>844706.56513000012</v>
      </c>
      <c r="AD1169" s="6">
        <f>$O$1169*$X$1169</f>
        <v>252499.43574000002</v>
      </c>
      <c r="AE1169" s="6">
        <f>$K$1169*$Y$1169</f>
        <v>0</v>
      </c>
      <c r="AF1169" s="6">
        <f ca="1">$M$1169*$Z$1169</f>
        <v>854656.00547814649</v>
      </c>
      <c r="AG1169" s="6">
        <f>$O$1169*$AA$1169</f>
        <v>228775.01236893184</v>
      </c>
    </row>
    <row r="1170" spans="1:33" ht="11.25" customHeight="1" x14ac:dyDescent="0.25">
      <c r="A1170" s="4" t="s">
        <v>27</v>
      </c>
      <c r="B1170" s="4" t="s">
        <v>41</v>
      </c>
      <c r="C1170" s="4" t="s">
        <v>42</v>
      </c>
      <c r="D1170" s="4" t="s">
        <v>46</v>
      </c>
      <c r="E1170" s="4" t="s">
        <v>25</v>
      </c>
      <c r="F1170" s="4" t="s">
        <v>25</v>
      </c>
      <c r="G1170" s="4" t="s">
        <v>25</v>
      </c>
      <c r="H1170" s="4" t="s">
        <v>34</v>
      </c>
      <c r="I1170" s="5">
        <v>44713</v>
      </c>
      <c r="J1170" s="6">
        <v>0</v>
      </c>
      <c r="K1170" s="6">
        <v>0</v>
      </c>
      <c r="L1170" s="6">
        <v>-0.76600000000000001</v>
      </c>
      <c r="M1170" s="6">
        <v>-0.76600000000000001</v>
      </c>
      <c r="N1170" s="6">
        <v>-0.76600000000000001</v>
      </c>
      <c r="O1170" s="6">
        <v>-0.76600000000000001</v>
      </c>
      <c r="P1170" s="6">
        <v>0</v>
      </c>
      <c r="Q1170" s="4" t="s">
        <v>26</v>
      </c>
      <c r="R1170" s="4">
        <v>0</v>
      </c>
      <c r="S1170" s="6">
        <v>0</v>
      </c>
      <c r="T1170" s="6">
        <v>42</v>
      </c>
      <c r="U1170" s="6">
        <v>66</v>
      </c>
      <c r="V1170" s="6">
        <f>IF(ISERROR(VLOOKUP($S$1170,'TAR FIN'!$A$1:$O$104,15,0)),0,VLOOKUP($S$1170,'TAR FIN'!$A$1:$O$104,15,0))</f>
        <v>0</v>
      </c>
      <c r="W1170" s="6">
        <f>IF(ISERROR(VLOOKUP($T$1170,'TAR FIN'!$A$1:$O$104,15,0)),0,VLOOKUP($T$1170,'TAR FIN'!$A$1:$O$104,15,0))</f>
        <v>1330.19</v>
      </c>
      <c r="X1170" s="6">
        <f>IF(ISERROR(VLOOKUP($U$1170,'TAR FIN'!$A$1:$O$104,15,0)),0,VLOOKUP($U$1170,'TAR FIN'!$A$1:$O$104,15,0))</f>
        <v>397.62</v>
      </c>
      <c r="Y1170" s="6"/>
      <c r="Z1170" s="6">
        <f ca="1">('TUSD BE'!$AM$25+'TUSD BF'!$AM$25+'TUSD CVA'!$AM$25)*1</f>
        <v>1345.857743809549</v>
      </c>
      <c r="AA1170" s="6">
        <f>('TE BE'!$AB$7+'TE BF'!$AB$7+'TE CVA'!$AB$7)*1</f>
        <v>360.26029187567116</v>
      </c>
      <c r="AB1170" s="6">
        <f>$K$1170*$V$1170</f>
        <v>0</v>
      </c>
      <c r="AC1170" s="6">
        <f>$M$1170*$W$1170</f>
        <v>-1018.9255400000001</v>
      </c>
      <c r="AD1170" s="6">
        <f>$O$1170*$X$1170</f>
        <v>-304.57692000000003</v>
      </c>
      <c r="AE1170" s="6">
        <f>$K$1170*$Y$1170</f>
        <v>0</v>
      </c>
      <c r="AF1170" s="6">
        <f ca="1">$M$1170*$Z$1170</f>
        <v>-1030.9270317581145</v>
      </c>
      <c r="AG1170" s="6">
        <f>$O$1170*$AA$1170</f>
        <v>-275.95938357676414</v>
      </c>
    </row>
    <row r="1171" spans="1:33" ht="11.25" customHeight="1" x14ac:dyDescent="0.25">
      <c r="A1171" s="4" t="s">
        <v>28</v>
      </c>
      <c r="B1171" s="4" t="s">
        <v>41</v>
      </c>
      <c r="C1171" s="4" t="s">
        <v>42</v>
      </c>
      <c r="D1171" s="4" t="s">
        <v>46</v>
      </c>
      <c r="E1171" s="4" t="s">
        <v>25</v>
      </c>
      <c r="F1171" s="4" t="s">
        <v>25</v>
      </c>
      <c r="G1171" s="4" t="s">
        <v>25</v>
      </c>
      <c r="H1171" s="4" t="s">
        <v>34</v>
      </c>
      <c r="I1171" s="5">
        <v>44713</v>
      </c>
      <c r="J1171" s="6">
        <v>0</v>
      </c>
      <c r="K1171" s="6">
        <v>0</v>
      </c>
      <c r="L1171" s="6">
        <v>15.151999999999999</v>
      </c>
      <c r="M1171" s="6">
        <v>15.151999999999999</v>
      </c>
      <c r="N1171" s="6">
        <v>15.151999999999999</v>
      </c>
      <c r="O1171" s="6">
        <v>15.151999999999999</v>
      </c>
      <c r="P1171" s="6">
        <v>0</v>
      </c>
      <c r="Q1171" s="4" t="s">
        <v>26</v>
      </c>
      <c r="R1171" s="4">
        <v>0</v>
      </c>
      <c r="S1171" s="6">
        <v>0</v>
      </c>
      <c r="T1171" s="6">
        <v>42</v>
      </c>
      <c r="U1171" s="6">
        <v>66</v>
      </c>
      <c r="V1171" s="6">
        <f>IF(ISERROR(VLOOKUP($S$1171,'TAR FIN'!$A$1:$O$104,15,0)),0,VLOOKUP($S$1171,'TAR FIN'!$A$1:$O$104,15,0))</f>
        <v>0</v>
      </c>
      <c r="W1171" s="6">
        <f>IF(ISERROR(VLOOKUP($T$1171,'TAR FIN'!$A$1:$O$104,15,0)),0,VLOOKUP($T$1171,'TAR FIN'!$A$1:$O$104,15,0))</f>
        <v>1330.19</v>
      </c>
      <c r="X1171" s="6">
        <f>IF(ISERROR(VLOOKUP($U$1171,'TAR FIN'!$A$1:$O$104,15,0)),0,VLOOKUP($U$1171,'TAR FIN'!$A$1:$O$104,15,0))</f>
        <v>397.62</v>
      </c>
      <c r="Y1171" s="6"/>
      <c r="Z1171" s="6">
        <f ca="1">('TUSD BE'!$AM$25+'TUSD BF'!$AM$25+'TUSD CVA'!$AM$25)*1</f>
        <v>1345.857743809549</v>
      </c>
      <c r="AA1171" s="6">
        <f>('TE BE'!$AB$7+'TE BF'!$AB$7+'TE CVA'!$AB$7)*1</f>
        <v>360.26029187567116</v>
      </c>
      <c r="AB1171" s="6">
        <f>$K$1171*$V$1171</f>
        <v>0</v>
      </c>
      <c r="AC1171" s="6">
        <f>$M$1171*$W$1171</f>
        <v>20155.03888</v>
      </c>
      <c r="AD1171" s="6">
        <f>$O$1171*$X$1171</f>
        <v>6024.7382399999997</v>
      </c>
      <c r="AE1171" s="6">
        <f>$K$1171*$Y$1171</f>
        <v>0</v>
      </c>
      <c r="AF1171" s="6">
        <f ca="1">$M$1171*$Z$1171</f>
        <v>20392.436534202287</v>
      </c>
      <c r="AG1171" s="6">
        <f>$O$1171*$AA$1171</f>
        <v>5458.6639425001695</v>
      </c>
    </row>
    <row r="1172" spans="1:33" ht="11.25" customHeight="1" x14ac:dyDescent="0.25">
      <c r="A1172" s="4" t="s">
        <v>57</v>
      </c>
      <c r="B1172" s="4" t="s">
        <v>41</v>
      </c>
      <c r="C1172" s="4" t="s">
        <v>42</v>
      </c>
      <c r="D1172" s="4" t="s">
        <v>46</v>
      </c>
      <c r="E1172" s="4" t="s">
        <v>25</v>
      </c>
      <c r="F1172" s="4" t="s">
        <v>25</v>
      </c>
      <c r="G1172" s="4" t="s">
        <v>25</v>
      </c>
      <c r="H1172" s="4" t="s">
        <v>34</v>
      </c>
      <c r="I1172" s="5">
        <v>44743</v>
      </c>
      <c r="J1172" s="6">
        <v>0</v>
      </c>
      <c r="K1172" s="6">
        <v>0</v>
      </c>
      <c r="L1172" s="6">
        <v>635.02700000000004</v>
      </c>
      <c r="M1172" s="6">
        <v>635.02700000000004</v>
      </c>
      <c r="N1172" s="6">
        <v>635.02700000000004</v>
      </c>
      <c r="O1172" s="6">
        <v>635.02700000000004</v>
      </c>
      <c r="P1172" s="6">
        <v>0</v>
      </c>
      <c r="Q1172" s="4" t="s">
        <v>26</v>
      </c>
      <c r="R1172" s="4">
        <v>0</v>
      </c>
      <c r="S1172" s="6">
        <v>0</v>
      </c>
      <c r="T1172" s="6">
        <v>42</v>
      </c>
      <c r="U1172" s="6">
        <v>66</v>
      </c>
      <c r="V1172" s="6">
        <f>IF(ISERROR(VLOOKUP($S$1172,'TAR FIN'!$A$1:$O$104,15,0)),0,VLOOKUP($S$1172,'TAR FIN'!$A$1:$O$104,15,0))</f>
        <v>0</v>
      </c>
      <c r="W1172" s="6">
        <f>IF(ISERROR(VLOOKUP($T$1172,'TAR FIN'!$A$1:$O$104,15,0)),0,VLOOKUP($T$1172,'TAR FIN'!$A$1:$O$104,15,0))</f>
        <v>1330.19</v>
      </c>
      <c r="X1172" s="6">
        <f>IF(ISERROR(VLOOKUP($U$1172,'TAR FIN'!$A$1:$O$104,15,0)),0,VLOOKUP($U$1172,'TAR FIN'!$A$1:$O$104,15,0))</f>
        <v>397.62</v>
      </c>
      <c r="Y1172" s="6"/>
      <c r="Z1172" s="6">
        <f ca="1">('TUSD BE'!$AM$25+'TUSD BF'!$AM$25+'TUSD CVA'!$AM$25)*1</f>
        <v>1345.857743809549</v>
      </c>
      <c r="AA1172" s="6">
        <f>('TE BE'!$AB$7+'TE BF'!$AB$7+'TE CVA'!$AB$7)*1</f>
        <v>360.26029187567116</v>
      </c>
      <c r="AB1172" s="6">
        <f>$K$1172*$V$1172</f>
        <v>0</v>
      </c>
      <c r="AC1172" s="6">
        <f>$M$1172*$W$1172</f>
        <v>844706.56513000012</v>
      </c>
      <c r="AD1172" s="6">
        <f>$O$1172*$X$1172</f>
        <v>252499.43574000002</v>
      </c>
      <c r="AE1172" s="6">
        <f>$K$1172*$Y$1172</f>
        <v>0</v>
      </c>
      <c r="AF1172" s="6">
        <f ca="1">$M$1172*$Z$1172</f>
        <v>854656.00547814649</v>
      </c>
      <c r="AG1172" s="6">
        <f>$O$1172*$AA$1172</f>
        <v>228775.01236893184</v>
      </c>
    </row>
    <row r="1173" spans="1:33" ht="11.25" customHeight="1" x14ac:dyDescent="0.25">
      <c r="A1173" s="4" t="s">
        <v>57</v>
      </c>
      <c r="B1173" s="4" t="s">
        <v>41</v>
      </c>
      <c r="C1173" s="4" t="s">
        <v>42</v>
      </c>
      <c r="D1173" s="4" t="s">
        <v>46</v>
      </c>
      <c r="E1173" s="4" t="s">
        <v>25</v>
      </c>
      <c r="F1173" s="4" t="s">
        <v>25</v>
      </c>
      <c r="G1173" s="4" t="s">
        <v>25</v>
      </c>
      <c r="H1173" s="4" t="s">
        <v>34</v>
      </c>
      <c r="I1173" s="5">
        <v>44743</v>
      </c>
      <c r="J1173" s="6">
        <v>0</v>
      </c>
      <c r="K1173" s="6">
        <v>0</v>
      </c>
      <c r="L1173" s="6">
        <v>-0.76600000000000001</v>
      </c>
      <c r="M1173" s="6">
        <v>-0.76600000000000001</v>
      </c>
      <c r="N1173" s="6">
        <v>-0.76600000000000001</v>
      </c>
      <c r="O1173" s="6">
        <v>-0.76600000000000001</v>
      </c>
      <c r="P1173" s="6">
        <v>0</v>
      </c>
      <c r="Q1173" s="4" t="s">
        <v>26</v>
      </c>
      <c r="R1173" s="4">
        <v>0</v>
      </c>
      <c r="S1173" s="6">
        <v>0</v>
      </c>
      <c r="T1173" s="6">
        <v>42</v>
      </c>
      <c r="U1173" s="6">
        <v>66</v>
      </c>
      <c r="V1173" s="6">
        <f>IF(ISERROR(VLOOKUP($S$1173,'TAR FIN'!$A$1:$O$104,15,0)),0,VLOOKUP($S$1173,'TAR FIN'!$A$1:$O$104,15,0))</f>
        <v>0</v>
      </c>
      <c r="W1173" s="6">
        <f>IF(ISERROR(VLOOKUP($T$1173,'TAR FIN'!$A$1:$O$104,15,0)),0,VLOOKUP($T$1173,'TAR FIN'!$A$1:$O$104,15,0))</f>
        <v>1330.19</v>
      </c>
      <c r="X1173" s="6">
        <f>IF(ISERROR(VLOOKUP($U$1173,'TAR FIN'!$A$1:$O$104,15,0)),0,VLOOKUP($U$1173,'TAR FIN'!$A$1:$O$104,15,0))</f>
        <v>397.62</v>
      </c>
      <c r="Y1173" s="6"/>
      <c r="Z1173" s="6">
        <f ca="1">('TUSD BE'!$AM$25+'TUSD BF'!$AM$25+'TUSD CVA'!$AM$25)*1</f>
        <v>1345.857743809549</v>
      </c>
      <c r="AA1173" s="6">
        <f>('TE BE'!$AB$7+'TE BF'!$AB$7+'TE CVA'!$AB$7)*1</f>
        <v>360.26029187567116</v>
      </c>
      <c r="AB1173" s="6">
        <f>$K$1173*$V$1173</f>
        <v>0</v>
      </c>
      <c r="AC1173" s="6">
        <f>$M$1173*$W$1173</f>
        <v>-1018.9255400000001</v>
      </c>
      <c r="AD1173" s="6">
        <f>$O$1173*$X$1173</f>
        <v>-304.57692000000003</v>
      </c>
      <c r="AE1173" s="6">
        <f>$K$1173*$Y$1173</f>
        <v>0</v>
      </c>
      <c r="AF1173" s="6">
        <f ca="1">$M$1173*$Z$1173</f>
        <v>-1030.9270317581145</v>
      </c>
      <c r="AG1173" s="6">
        <f>$O$1173*$AA$1173</f>
        <v>-275.95938357676414</v>
      </c>
    </row>
    <row r="1174" spans="1:33" ht="11.25" customHeight="1" x14ac:dyDescent="0.25">
      <c r="A1174" s="4" t="s">
        <v>57</v>
      </c>
      <c r="B1174" s="4" t="s">
        <v>41</v>
      </c>
      <c r="C1174" s="4" t="s">
        <v>42</v>
      </c>
      <c r="D1174" s="4" t="s">
        <v>46</v>
      </c>
      <c r="E1174" s="4" t="s">
        <v>25</v>
      </c>
      <c r="F1174" s="4" t="s">
        <v>25</v>
      </c>
      <c r="G1174" s="4" t="s">
        <v>25</v>
      </c>
      <c r="H1174" s="4" t="s">
        <v>34</v>
      </c>
      <c r="I1174" s="5">
        <v>44743</v>
      </c>
      <c r="J1174" s="6">
        <v>0</v>
      </c>
      <c r="K1174" s="6">
        <v>0</v>
      </c>
      <c r="L1174" s="6">
        <v>15.151999999999999</v>
      </c>
      <c r="M1174" s="6">
        <v>15.151999999999999</v>
      </c>
      <c r="N1174" s="6">
        <v>15.151999999999999</v>
      </c>
      <c r="O1174" s="6">
        <v>15.151999999999999</v>
      </c>
      <c r="P1174" s="6">
        <v>0</v>
      </c>
      <c r="Q1174" s="4" t="s">
        <v>26</v>
      </c>
      <c r="R1174" s="4">
        <v>0</v>
      </c>
      <c r="S1174" s="6">
        <v>0</v>
      </c>
      <c r="T1174" s="6">
        <v>42</v>
      </c>
      <c r="U1174" s="6">
        <v>66</v>
      </c>
      <c r="V1174" s="6">
        <f>IF(ISERROR(VLOOKUP($S$1174,'TAR FIN'!$A$1:$O$104,15,0)),0,VLOOKUP($S$1174,'TAR FIN'!$A$1:$O$104,15,0))</f>
        <v>0</v>
      </c>
      <c r="W1174" s="6">
        <f>IF(ISERROR(VLOOKUP($T$1174,'TAR FIN'!$A$1:$O$104,15,0)),0,VLOOKUP($T$1174,'TAR FIN'!$A$1:$O$104,15,0))</f>
        <v>1330.19</v>
      </c>
      <c r="X1174" s="6">
        <f>IF(ISERROR(VLOOKUP($U$1174,'TAR FIN'!$A$1:$O$104,15,0)),0,VLOOKUP($U$1174,'TAR FIN'!$A$1:$O$104,15,0))</f>
        <v>397.62</v>
      </c>
      <c r="Y1174" s="6"/>
      <c r="Z1174" s="6">
        <f ca="1">('TUSD BE'!$AM$25+'TUSD BF'!$AM$25+'TUSD CVA'!$AM$25)*1</f>
        <v>1345.857743809549</v>
      </c>
      <c r="AA1174" s="6">
        <f>('TE BE'!$AB$7+'TE BF'!$AB$7+'TE CVA'!$AB$7)*1</f>
        <v>360.26029187567116</v>
      </c>
      <c r="AB1174" s="6">
        <f>$K$1174*$V$1174</f>
        <v>0</v>
      </c>
      <c r="AC1174" s="6">
        <f>$M$1174*$W$1174</f>
        <v>20155.03888</v>
      </c>
      <c r="AD1174" s="6">
        <f>$O$1174*$X$1174</f>
        <v>6024.7382399999997</v>
      </c>
      <c r="AE1174" s="6">
        <f>$K$1174*$Y$1174</f>
        <v>0</v>
      </c>
      <c r="AF1174" s="6">
        <f ca="1">$M$1174*$Z$1174</f>
        <v>20392.436534202287</v>
      </c>
      <c r="AG1174" s="6">
        <f>$O$1174*$AA$1174</f>
        <v>5458.6639425001695</v>
      </c>
    </row>
    <row r="1175" spans="1:33" ht="11.25" customHeight="1" x14ac:dyDescent="0.25">
      <c r="A1175" s="4" t="s">
        <v>21</v>
      </c>
      <c r="B1175" s="4" t="s">
        <v>41</v>
      </c>
      <c r="C1175" s="4" t="s">
        <v>42</v>
      </c>
      <c r="D1175" s="4" t="s">
        <v>45</v>
      </c>
      <c r="E1175" s="4" t="s">
        <v>53</v>
      </c>
      <c r="F1175" s="4" t="s">
        <v>55</v>
      </c>
      <c r="G1175" s="4" t="s">
        <v>25</v>
      </c>
      <c r="H1175" s="4" t="s">
        <v>35</v>
      </c>
      <c r="I1175" s="5">
        <v>44409</v>
      </c>
      <c r="J1175" s="6">
        <v>0</v>
      </c>
      <c r="K1175" s="6">
        <v>0</v>
      </c>
      <c r="L1175" s="6">
        <v>1077.326</v>
      </c>
      <c r="M1175" s="6">
        <v>107.73260000000001</v>
      </c>
      <c r="N1175" s="6">
        <v>1077.326</v>
      </c>
      <c r="O1175" s="6">
        <v>107.73260000000001</v>
      </c>
      <c r="P1175" s="6">
        <v>0</v>
      </c>
      <c r="Q1175" s="4" t="s">
        <v>26</v>
      </c>
      <c r="R1175" s="4">
        <v>0</v>
      </c>
      <c r="S1175" s="6">
        <v>0</v>
      </c>
      <c r="T1175" s="6">
        <v>44</v>
      </c>
      <c r="U1175" s="6">
        <v>67</v>
      </c>
      <c r="V1175" s="6">
        <f>IF(ISERROR(VLOOKUP($S$1175,'TAR FIN'!$A$1:$O$104,15,0)),0,VLOOKUP($S$1175,'TAR FIN'!$A$1:$O$104,15,0))</f>
        <v>0</v>
      </c>
      <c r="W1175" s="6">
        <f>IF(ISERROR(VLOOKUP($T$1175,'TAR FIN'!$A$1:$O$104,15,0)),0,VLOOKUP($T$1175,'TAR FIN'!$A$1:$O$104,15,0))</f>
        <v>62.57</v>
      </c>
      <c r="X1175" s="6">
        <f>IF(ISERROR(VLOOKUP($U$1175,'TAR FIN'!$A$1:$O$104,15,0)),0,VLOOKUP($U$1175,'TAR FIN'!$A$1:$O$104,15,0))</f>
        <v>242.82</v>
      </c>
      <c r="Y1175" s="6"/>
      <c r="Z1175" s="6">
        <f ca="1">('TUSD BE'!$AM$26+'TUSD BF'!$AM$26+'TUSD CVA'!$AM$26)*1</f>
        <v>77.876201961015255</v>
      </c>
      <c r="AA1175" s="6">
        <f>('TE BE'!$AB$8+'TE BF'!$AB$8+'TE CVA'!$AB$8)*1</f>
        <v>231.76257384332172</v>
      </c>
      <c r="AB1175" s="6">
        <f>$K$1175*$V$1175</f>
        <v>0</v>
      </c>
      <c r="AC1175" s="6">
        <f>$M$1175*$W$1175</f>
        <v>6740.8287820000005</v>
      </c>
      <c r="AD1175" s="6">
        <f>$O$1175*$X$1175</f>
        <v>26159.629932</v>
      </c>
      <c r="AE1175" s="6">
        <f>$K$1175*$Y$1175</f>
        <v>0</v>
      </c>
      <c r="AF1175" s="6">
        <f ca="1">$M$1175*$Z$1175</f>
        <v>8389.8057153852733</v>
      </c>
      <c r="AG1175" s="6">
        <f>$O$1175*$AA$1175</f>
        <v>24968.384662833043</v>
      </c>
    </row>
    <row r="1176" spans="1:33" ht="11.25" customHeight="1" x14ac:dyDescent="0.25">
      <c r="A1176" s="4" t="s">
        <v>27</v>
      </c>
      <c r="B1176" s="4" t="s">
        <v>41</v>
      </c>
      <c r="C1176" s="4" t="s">
        <v>42</v>
      </c>
      <c r="D1176" s="4" t="s">
        <v>45</v>
      </c>
      <c r="E1176" s="4" t="s">
        <v>53</v>
      </c>
      <c r="F1176" s="4" t="s">
        <v>55</v>
      </c>
      <c r="G1176" s="4" t="s">
        <v>25</v>
      </c>
      <c r="H1176" s="4" t="s">
        <v>35</v>
      </c>
      <c r="I1176" s="5">
        <v>44409</v>
      </c>
      <c r="J1176" s="6">
        <v>0</v>
      </c>
      <c r="K1176" s="6">
        <v>0</v>
      </c>
      <c r="L1176" s="6">
        <v>-18.64</v>
      </c>
      <c r="M1176" s="6">
        <v>-1.8640000000000001</v>
      </c>
      <c r="N1176" s="6">
        <v>-18.64</v>
      </c>
      <c r="O1176" s="6">
        <v>-1.8640000000000001</v>
      </c>
      <c r="P1176" s="6">
        <v>0</v>
      </c>
      <c r="Q1176" s="4" t="s">
        <v>26</v>
      </c>
      <c r="R1176" s="4">
        <v>0</v>
      </c>
      <c r="S1176" s="6">
        <v>0</v>
      </c>
      <c r="T1176" s="6">
        <v>44</v>
      </c>
      <c r="U1176" s="6">
        <v>67</v>
      </c>
      <c r="V1176" s="6">
        <f>IF(ISERROR(VLOOKUP($S$1176,'TAR FIN'!$A$1:$O$104,15,0)),0,VLOOKUP($S$1176,'TAR FIN'!$A$1:$O$104,15,0))</f>
        <v>0</v>
      </c>
      <c r="W1176" s="6">
        <f>IF(ISERROR(VLOOKUP($T$1176,'TAR FIN'!$A$1:$O$104,15,0)),0,VLOOKUP($T$1176,'TAR FIN'!$A$1:$O$104,15,0))</f>
        <v>62.57</v>
      </c>
      <c r="X1176" s="6">
        <f>IF(ISERROR(VLOOKUP($U$1176,'TAR FIN'!$A$1:$O$104,15,0)),0,VLOOKUP($U$1176,'TAR FIN'!$A$1:$O$104,15,0))</f>
        <v>242.82</v>
      </c>
      <c r="Y1176" s="6"/>
      <c r="Z1176" s="6">
        <f ca="1">('TUSD BE'!$AM$26+'TUSD BF'!$AM$26+'TUSD CVA'!$AM$26)*1</f>
        <v>77.876201961015255</v>
      </c>
      <c r="AA1176" s="6">
        <f>('TE BE'!$AB$8+'TE BF'!$AB$8+'TE CVA'!$AB$8)*1</f>
        <v>231.76257384332172</v>
      </c>
      <c r="AB1176" s="6">
        <f>$K$1176*$V$1176</f>
        <v>0</v>
      </c>
      <c r="AC1176" s="6">
        <f>$M$1176*$W$1176</f>
        <v>-116.63048000000001</v>
      </c>
      <c r="AD1176" s="6">
        <f>$O$1176*$X$1176</f>
        <v>-452.61648000000002</v>
      </c>
      <c r="AE1176" s="6">
        <f>$K$1176*$Y$1176</f>
        <v>0</v>
      </c>
      <c r="AF1176" s="6">
        <f ca="1">$M$1176*$Z$1176</f>
        <v>-145.16124045533243</v>
      </c>
      <c r="AG1176" s="6">
        <f>$O$1176*$AA$1176</f>
        <v>-432.00543764395172</v>
      </c>
    </row>
    <row r="1177" spans="1:33" ht="11.25" customHeight="1" x14ac:dyDescent="0.25">
      <c r="A1177" s="4" t="s">
        <v>28</v>
      </c>
      <c r="B1177" s="4" t="s">
        <v>41</v>
      </c>
      <c r="C1177" s="4" t="s">
        <v>42</v>
      </c>
      <c r="D1177" s="4" t="s">
        <v>45</v>
      </c>
      <c r="E1177" s="4" t="s">
        <v>53</v>
      </c>
      <c r="F1177" s="4" t="s">
        <v>55</v>
      </c>
      <c r="G1177" s="4" t="s">
        <v>25</v>
      </c>
      <c r="H1177" s="4" t="s">
        <v>35</v>
      </c>
      <c r="I1177" s="5">
        <v>44409</v>
      </c>
      <c r="J1177" s="6">
        <v>0</v>
      </c>
      <c r="K1177" s="6">
        <v>0</v>
      </c>
      <c r="L1177" s="6">
        <v>29.556000000000001</v>
      </c>
      <c r="M1177" s="6">
        <v>2.9556</v>
      </c>
      <c r="N1177" s="6">
        <v>29.556000000000001</v>
      </c>
      <c r="O1177" s="6">
        <v>2.9556</v>
      </c>
      <c r="P1177" s="6">
        <v>0</v>
      </c>
      <c r="Q1177" s="4" t="s">
        <v>26</v>
      </c>
      <c r="R1177" s="4">
        <v>0</v>
      </c>
      <c r="S1177" s="6">
        <v>0</v>
      </c>
      <c r="T1177" s="6">
        <v>44</v>
      </c>
      <c r="U1177" s="6">
        <v>67</v>
      </c>
      <c r="V1177" s="6">
        <f>IF(ISERROR(VLOOKUP($S$1177,'TAR FIN'!$A$1:$O$104,15,0)),0,VLOOKUP($S$1177,'TAR FIN'!$A$1:$O$104,15,0))</f>
        <v>0</v>
      </c>
      <c r="W1177" s="6">
        <f>IF(ISERROR(VLOOKUP($T$1177,'TAR FIN'!$A$1:$O$104,15,0)),0,VLOOKUP($T$1177,'TAR FIN'!$A$1:$O$104,15,0))</f>
        <v>62.57</v>
      </c>
      <c r="X1177" s="6">
        <f>IF(ISERROR(VLOOKUP($U$1177,'TAR FIN'!$A$1:$O$104,15,0)),0,VLOOKUP($U$1177,'TAR FIN'!$A$1:$O$104,15,0))</f>
        <v>242.82</v>
      </c>
      <c r="Y1177" s="6"/>
      <c r="Z1177" s="6">
        <f ca="1">('TUSD BE'!$AM$26+'TUSD BF'!$AM$26+'TUSD CVA'!$AM$26)*1</f>
        <v>77.876201961015255</v>
      </c>
      <c r="AA1177" s="6">
        <f>('TE BE'!$AB$8+'TE BF'!$AB$8+'TE CVA'!$AB$8)*1</f>
        <v>231.76257384332172</v>
      </c>
      <c r="AB1177" s="6">
        <f>$K$1177*$V$1177</f>
        <v>0</v>
      </c>
      <c r="AC1177" s="6">
        <f>$M$1177*$W$1177</f>
        <v>184.931892</v>
      </c>
      <c r="AD1177" s="6">
        <f>$O$1177*$X$1177</f>
        <v>717.67879199999993</v>
      </c>
      <c r="AE1177" s="6">
        <f>$K$1177*$Y$1177</f>
        <v>0</v>
      </c>
      <c r="AF1177" s="6">
        <f ca="1">$M$1177*$Z$1177</f>
        <v>230.17090251597668</v>
      </c>
      <c r="AG1177" s="6">
        <f>$O$1177*$AA$1177</f>
        <v>684.99746325132162</v>
      </c>
    </row>
    <row r="1178" spans="1:33" ht="11.25" customHeight="1" x14ac:dyDescent="0.25">
      <c r="A1178" s="4" t="s">
        <v>28</v>
      </c>
      <c r="B1178" s="4" t="s">
        <v>41</v>
      </c>
      <c r="C1178" s="4" t="s">
        <v>42</v>
      </c>
      <c r="D1178" s="4" t="s">
        <v>45</v>
      </c>
      <c r="E1178" s="4" t="s">
        <v>53</v>
      </c>
      <c r="F1178" s="4" t="s">
        <v>55</v>
      </c>
      <c r="G1178" s="4" t="s">
        <v>25</v>
      </c>
      <c r="H1178" s="4" t="s">
        <v>35</v>
      </c>
      <c r="I1178" s="5">
        <v>44409</v>
      </c>
      <c r="J1178" s="6">
        <v>0</v>
      </c>
      <c r="K1178" s="6">
        <v>0</v>
      </c>
      <c r="L1178" s="6">
        <v>-26.67</v>
      </c>
      <c r="M1178" s="6">
        <v>-2.6669999999999998</v>
      </c>
      <c r="N1178" s="6">
        <v>-26.67</v>
      </c>
      <c r="O1178" s="6">
        <v>-2.6669999999999998</v>
      </c>
      <c r="P1178" s="6">
        <v>0</v>
      </c>
      <c r="Q1178" s="4" t="s">
        <v>26</v>
      </c>
      <c r="R1178" s="4">
        <v>0</v>
      </c>
      <c r="S1178" s="6">
        <v>0</v>
      </c>
      <c r="T1178" s="6">
        <v>44</v>
      </c>
      <c r="U1178" s="6">
        <v>67</v>
      </c>
      <c r="V1178" s="6">
        <f>IF(ISERROR(VLOOKUP($S$1178,'TAR FIN'!$A$1:$O$104,15,0)),0,VLOOKUP($S$1178,'TAR FIN'!$A$1:$O$104,15,0))</f>
        <v>0</v>
      </c>
      <c r="W1178" s="6">
        <f>IF(ISERROR(VLOOKUP($T$1178,'TAR FIN'!$A$1:$O$104,15,0)),0,VLOOKUP($T$1178,'TAR FIN'!$A$1:$O$104,15,0))</f>
        <v>62.57</v>
      </c>
      <c r="X1178" s="6">
        <f>IF(ISERROR(VLOOKUP($U$1178,'TAR FIN'!$A$1:$O$104,15,0)),0,VLOOKUP($U$1178,'TAR FIN'!$A$1:$O$104,15,0))</f>
        <v>242.82</v>
      </c>
      <c r="Y1178" s="6"/>
      <c r="Z1178" s="6">
        <f ca="1">('TUSD BE'!$AM$26+'TUSD BF'!$AM$26+'TUSD CVA'!$AM$26)*1</f>
        <v>77.876201961015255</v>
      </c>
      <c r="AA1178" s="6">
        <f>('TE BE'!$AB$8+'TE BF'!$AB$8+'TE CVA'!$AB$8)*1</f>
        <v>231.76257384332172</v>
      </c>
      <c r="AB1178" s="6">
        <f>$K$1178*$V$1178</f>
        <v>0</v>
      </c>
      <c r="AC1178" s="6">
        <f>$M$1178*$W$1178</f>
        <v>-166.87419</v>
      </c>
      <c r="AD1178" s="6">
        <f>$O$1178*$X$1178</f>
        <v>-647.60093999999992</v>
      </c>
      <c r="AE1178" s="6">
        <f>$K$1178*$Y$1178</f>
        <v>0</v>
      </c>
      <c r="AF1178" s="6">
        <f ca="1">$M$1178*$Z$1178</f>
        <v>-207.69583063002767</v>
      </c>
      <c r="AG1178" s="6">
        <f>$O$1178*$AA$1178</f>
        <v>-618.11078444013901</v>
      </c>
    </row>
    <row r="1179" spans="1:33" ht="11.25" customHeight="1" x14ac:dyDescent="0.25">
      <c r="A1179" s="4" t="s">
        <v>21</v>
      </c>
      <c r="B1179" s="4" t="s">
        <v>41</v>
      </c>
      <c r="C1179" s="4" t="s">
        <v>42</v>
      </c>
      <c r="D1179" s="4" t="s">
        <v>45</v>
      </c>
      <c r="E1179" s="4" t="s">
        <v>53</v>
      </c>
      <c r="F1179" s="4" t="s">
        <v>55</v>
      </c>
      <c r="G1179" s="4" t="s">
        <v>25</v>
      </c>
      <c r="H1179" s="4" t="s">
        <v>35</v>
      </c>
      <c r="I1179" s="5">
        <v>44440</v>
      </c>
      <c r="J1179" s="6">
        <v>0</v>
      </c>
      <c r="K1179" s="6">
        <v>0</v>
      </c>
      <c r="L1179" s="6">
        <v>1455.296</v>
      </c>
      <c r="M1179" s="6">
        <v>145.52959999999999</v>
      </c>
      <c r="N1179" s="6">
        <v>1455.296</v>
      </c>
      <c r="O1179" s="6">
        <v>145.52959999999999</v>
      </c>
      <c r="P1179" s="6">
        <v>0</v>
      </c>
      <c r="Q1179" s="4" t="s">
        <v>26</v>
      </c>
      <c r="R1179" s="4">
        <v>0</v>
      </c>
      <c r="S1179" s="6">
        <v>0</v>
      </c>
      <c r="T1179" s="6">
        <v>44</v>
      </c>
      <c r="U1179" s="6">
        <v>67</v>
      </c>
      <c r="V1179" s="6">
        <f>IF(ISERROR(VLOOKUP($S$1179,'TAR FIN'!$A$1:$O$104,15,0)),0,VLOOKUP($S$1179,'TAR FIN'!$A$1:$O$104,15,0))</f>
        <v>0</v>
      </c>
      <c r="W1179" s="6">
        <f>IF(ISERROR(VLOOKUP($T$1179,'TAR FIN'!$A$1:$O$104,15,0)),0,VLOOKUP($T$1179,'TAR FIN'!$A$1:$O$104,15,0))</f>
        <v>62.57</v>
      </c>
      <c r="X1179" s="6">
        <f>IF(ISERROR(VLOOKUP($U$1179,'TAR FIN'!$A$1:$O$104,15,0)),0,VLOOKUP($U$1179,'TAR FIN'!$A$1:$O$104,15,0))</f>
        <v>242.82</v>
      </c>
      <c r="Y1179" s="6"/>
      <c r="Z1179" s="6">
        <f ca="1">('TUSD BE'!$AM$26+'TUSD BF'!$AM$26+'TUSD CVA'!$AM$26)*1</f>
        <v>77.876201961015255</v>
      </c>
      <c r="AA1179" s="6">
        <f>('TE BE'!$AB$8+'TE BF'!$AB$8+'TE CVA'!$AB$8)*1</f>
        <v>231.76257384332172</v>
      </c>
      <c r="AB1179" s="6">
        <f>$K$1179*$V$1179</f>
        <v>0</v>
      </c>
      <c r="AC1179" s="6">
        <f>$M$1179*$W$1179</f>
        <v>9105.7870719999992</v>
      </c>
      <c r="AD1179" s="6">
        <f>$O$1179*$X$1179</f>
        <v>35337.497471999995</v>
      </c>
      <c r="AE1179" s="6">
        <f>$K$1179*$Y$1179</f>
        <v>0</v>
      </c>
      <c r="AF1179" s="6">
        <f ca="1">$M$1179*$Z$1179</f>
        <v>11333.292520905765</v>
      </c>
      <c r="AG1179" s="6">
        <f>$O$1179*$AA$1179</f>
        <v>33728.314666389073</v>
      </c>
    </row>
    <row r="1180" spans="1:33" ht="11.25" customHeight="1" x14ac:dyDescent="0.25">
      <c r="A1180" s="4" t="s">
        <v>28</v>
      </c>
      <c r="B1180" s="4" t="s">
        <v>41</v>
      </c>
      <c r="C1180" s="4" t="s">
        <v>42</v>
      </c>
      <c r="D1180" s="4" t="s">
        <v>45</v>
      </c>
      <c r="E1180" s="4" t="s">
        <v>53</v>
      </c>
      <c r="F1180" s="4" t="s">
        <v>55</v>
      </c>
      <c r="G1180" s="4" t="s">
        <v>25</v>
      </c>
      <c r="H1180" s="4" t="s">
        <v>35</v>
      </c>
      <c r="I1180" s="5">
        <v>44440</v>
      </c>
      <c r="J1180" s="6">
        <v>0</v>
      </c>
      <c r="K1180" s="6">
        <v>0</v>
      </c>
      <c r="L1180" s="6">
        <v>0.25600000000000001</v>
      </c>
      <c r="M1180" s="6">
        <v>2.5600000000000001E-2</v>
      </c>
      <c r="N1180" s="6">
        <v>0.25600000000000001</v>
      </c>
      <c r="O1180" s="6">
        <v>2.5600000000000001E-2</v>
      </c>
      <c r="P1180" s="6">
        <v>0</v>
      </c>
      <c r="Q1180" s="4" t="s">
        <v>26</v>
      </c>
      <c r="R1180" s="4">
        <v>0</v>
      </c>
      <c r="S1180" s="6">
        <v>0</v>
      </c>
      <c r="T1180" s="6">
        <v>44</v>
      </c>
      <c r="U1180" s="6">
        <v>67</v>
      </c>
      <c r="V1180" s="6">
        <f>IF(ISERROR(VLOOKUP($S$1180,'TAR FIN'!$A$1:$O$104,15,0)),0,VLOOKUP($S$1180,'TAR FIN'!$A$1:$O$104,15,0))</f>
        <v>0</v>
      </c>
      <c r="W1180" s="6">
        <f>IF(ISERROR(VLOOKUP($T$1180,'TAR FIN'!$A$1:$O$104,15,0)),0,VLOOKUP($T$1180,'TAR FIN'!$A$1:$O$104,15,0))</f>
        <v>62.57</v>
      </c>
      <c r="X1180" s="6">
        <f>IF(ISERROR(VLOOKUP($U$1180,'TAR FIN'!$A$1:$O$104,15,0)),0,VLOOKUP($U$1180,'TAR FIN'!$A$1:$O$104,15,0))</f>
        <v>242.82</v>
      </c>
      <c r="Y1180" s="6"/>
      <c r="Z1180" s="6">
        <f ca="1">('TUSD BE'!$AM$26+'TUSD BF'!$AM$26+'TUSD CVA'!$AM$26)*1</f>
        <v>77.876201961015255</v>
      </c>
      <c r="AA1180" s="6">
        <f>('TE BE'!$AB$8+'TE BF'!$AB$8+'TE CVA'!$AB$8)*1</f>
        <v>231.76257384332172</v>
      </c>
      <c r="AB1180" s="6">
        <f>$K$1180*$V$1180</f>
        <v>0</v>
      </c>
      <c r="AC1180" s="6">
        <f>$M$1180*$W$1180</f>
        <v>1.6017920000000001</v>
      </c>
      <c r="AD1180" s="6">
        <f>$O$1180*$X$1180</f>
        <v>6.2161920000000004</v>
      </c>
      <c r="AE1180" s="6">
        <f>$K$1180*$Y$1180</f>
        <v>0</v>
      </c>
      <c r="AF1180" s="6">
        <f ca="1">$M$1180*$Z$1180</f>
        <v>1.9936307702019906</v>
      </c>
      <c r="AG1180" s="6">
        <f>$O$1180*$AA$1180</f>
        <v>5.9331218903890361</v>
      </c>
    </row>
    <row r="1181" spans="1:33" ht="11.25" customHeight="1" x14ac:dyDescent="0.25">
      <c r="A1181" s="4" t="s">
        <v>21</v>
      </c>
      <c r="B1181" s="4" t="s">
        <v>41</v>
      </c>
      <c r="C1181" s="4" t="s">
        <v>42</v>
      </c>
      <c r="D1181" s="4" t="s">
        <v>45</v>
      </c>
      <c r="E1181" s="4" t="s">
        <v>53</v>
      </c>
      <c r="F1181" s="4" t="s">
        <v>55</v>
      </c>
      <c r="G1181" s="4" t="s">
        <v>25</v>
      </c>
      <c r="H1181" s="4" t="s">
        <v>35</v>
      </c>
      <c r="I1181" s="5">
        <v>44470</v>
      </c>
      <c r="J1181" s="6">
        <v>0</v>
      </c>
      <c r="K1181" s="6">
        <v>0</v>
      </c>
      <c r="L1181" s="6">
        <v>1622.479</v>
      </c>
      <c r="M1181" s="6">
        <v>162.24789999999999</v>
      </c>
      <c r="N1181" s="6">
        <v>1622.479</v>
      </c>
      <c r="O1181" s="6">
        <v>162.24789999999999</v>
      </c>
      <c r="P1181" s="6">
        <v>0</v>
      </c>
      <c r="Q1181" s="4" t="s">
        <v>26</v>
      </c>
      <c r="R1181" s="4">
        <v>0</v>
      </c>
      <c r="S1181" s="6">
        <v>0</v>
      </c>
      <c r="T1181" s="6">
        <v>44</v>
      </c>
      <c r="U1181" s="6">
        <v>67</v>
      </c>
      <c r="V1181" s="6">
        <f>IF(ISERROR(VLOOKUP($S$1181,'TAR FIN'!$A$1:$O$104,15,0)),0,VLOOKUP($S$1181,'TAR FIN'!$A$1:$O$104,15,0))</f>
        <v>0</v>
      </c>
      <c r="W1181" s="6">
        <f>IF(ISERROR(VLOOKUP($T$1181,'TAR FIN'!$A$1:$O$104,15,0)),0,VLOOKUP($T$1181,'TAR FIN'!$A$1:$O$104,15,0))</f>
        <v>62.57</v>
      </c>
      <c r="X1181" s="6">
        <f>IF(ISERROR(VLOOKUP($U$1181,'TAR FIN'!$A$1:$O$104,15,0)),0,VLOOKUP($U$1181,'TAR FIN'!$A$1:$O$104,15,0))</f>
        <v>242.82</v>
      </c>
      <c r="Y1181" s="6"/>
      <c r="Z1181" s="6">
        <f ca="1">('TUSD BE'!$AM$26+'TUSD BF'!$AM$26+'TUSD CVA'!$AM$26)*1</f>
        <v>77.876201961015255</v>
      </c>
      <c r="AA1181" s="6">
        <f>('TE BE'!$AB$8+'TE BF'!$AB$8+'TE CVA'!$AB$8)*1</f>
        <v>231.76257384332172</v>
      </c>
      <c r="AB1181" s="6">
        <f>$K$1181*$V$1181</f>
        <v>0</v>
      </c>
      <c r="AC1181" s="6">
        <f>$M$1181*$W$1181</f>
        <v>10151.851102999999</v>
      </c>
      <c r="AD1181" s="6">
        <f>$O$1181*$X$1181</f>
        <v>39397.035077999994</v>
      </c>
      <c r="AE1181" s="6">
        <f>$K$1181*$Y$1181</f>
        <v>0</v>
      </c>
      <c r="AF1181" s="6">
        <f ca="1">$M$1181*$Z$1181</f>
        <v>12635.250228150606</v>
      </c>
      <c r="AG1181" s="6">
        <f>$O$1181*$AA$1181</f>
        <v>37602.990904673876</v>
      </c>
    </row>
    <row r="1182" spans="1:33" ht="11.25" customHeight="1" x14ac:dyDescent="0.25">
      <c r="A1182" s="4" t="s">
        <v>27</v>
      </c>
      <c r="B1182" s="4" t="s">
        <v>41</v>
      </c>
      <c r="C1182" s="4" t="s">
        <v>42</v>
      </c>
      <c r="D1182" s="4" t="s">
        <v>45</v>
      </c>
      <c r="E1182" s="4" t="s">
        <v>53</v>
      </c>
      <c r="F1182" s="4" t="s">
        <v>55</v>
      </c>
      <c r="G1182" s="4" t="s">
        <v>25</v>
      </c>
      <c r="H1182" s="4" t="s">
        <v>35</v>
      </c>
      <c r="I1182" s="5">
        <v>44470</v>
      </c>
      <c r="J1182" s="6">
        <v>0</v>
      </c>
      <c r="K1182" s="6">
        <v>0</v>
      </c>
      <c r="L1182" s="6">
        <v>-58.344999999999999</v>
      </c>
      <c r="M1182" s="6">
        <v>-5.8345000000000002</v>
      </c>
      <c r="N1182" s="6">
        <v>-58.344999999999999</v>
      </c>
      <c r="O1182" s="6">
        <v>-5.8345000000000002</v>
      </c>
      <c r="P1182" s="6">
        <v>0</v>
      </c>
      <c r="Q1182" s="4" t="s">
        <v>26</v>
      </c>
      <c r="R1182" s="4">
        <v>0</v>
      </c>
      <c r="S1182" s="6">
        <v>0</v>
      </c>
      <c r="T1182" s="6">
        <v>44</v>
      </c>
      <c r="U1182" s="6">
        <v>67</v>
      </c>
      <c r="V1182" s="6">
        <f>IF(ISERROR(VLOOKUP($S$1182,'TAR FIN'!$A$1:$O$104,15,0)),0,VLOOKUP($S$1182,'TAR FIN'!$A$1:$O$104,15,0))</f>
        <v>0</v>
      </c>
      <c r="W1182" s="6">
        <f>IF(ISERROR(VLOOKUP($T$1182,'TAR FIN'!$A$1:$O$104,15,0)),0,VLOOKUP($T$1182,'TAR FIN'!$A$1:$O$104,15,0))</f>
        <v>62.57</v>
      </c>
      <c r="X1182" s="6">
        <f>IF(ISERROR(VLOOKUP($U$1182,'TAR FIN'!$A$1:$O$104,15,0)),0,VLOOKUP($U$1182,'TAR FIN'!$A$1:$O$104,15,0))</f>
        <v>242.82</v>
      </c>
      <c r="Y1182" s="6"/>
      <c r="Z1182" s="6">
        <f ca="1">('TUSD BE'!$AM$26+'TUSD BF'!$AM$26+'TUSD CVA'!$AM$26)*1</f>
        <v>77.876201961015255</v>
      </c>
      <c r="AA1182" s="6">
        <f>('TE BE'!$AB$8+'TE BF'!$AB$8+'TE CVA'!$AB$8)*1</f>
        <v>231.76257384332172</v>
      </c>
      <c r="AB1182" s="6">
        <f>$K$1182*$V$1182</f>
        <v>0</v>
      </c>
      <c r="AC1182" s="6">
        <f>$M$1182*$W$1182</f>
        <v>-365.06466499999999</v>
      </c>
      <c r="AD1182" s="6">
        <f>$O$1182*$X$1182</f>
        <v>-1416.7332900000001</v>
      </c>
      <c r="AE1182" s="6">
        <f>$K$1182*$Y$1182</f>
        <v>0</v>
      </c>
      <c r="AF1182" s="6">
        <f ca="1">$M$1182*$Z$1182</f>
        <v>-454.3687003415435</v>
      </c>
      <c r="AG1182" s="6">
        <f>$O$1182*$AA$1182</f>
        <v>-1352.2187370888605</v>
      </c>
    </row>
    <row r="1183" spans="1:33" ht="11.25" customHeight="1" x14ac:dyDescent="0.25">
      <c r="A1183" s="4" t="s">
        <v>28</v>
      </c>
      <c r="B1183" s="4" t="s">
        <v>41</v>
      </c>
      <c r="C1183" s="4" t="s">
        <v>42</v>
      </c>
      <c r="D1183" s="4" t="s">
        <v>45</v>
      </c>
      <c r="E1183" s="4" t="s">
        <v>53</v>
      </c>
      <c r="F1183" s="4" t="s">
        <v>55</v>
      </c>
      <c r="G1183" s="4" t="s">
        <v>25</v>
      </c>
      <c r="H1183" s="4" t="s">
        <v>35</v>
      </c>
      <c r="I1183" s="5">
        <v>44470</v>
      </c>
      <c r="J1183" s="6">
        <v>0</v>
      </c>
      <c r="K1183" s="6">
        <v>0</v>
      </c>
      <c r="L1183" s="6">
        <v>7.6360000000000001</v>
      </c>
      <c r="M1183" s="6">
        <v>0.76359999999999995</v>
      </c>
      <c r="N1183" s="6">
        <v>7.6360000000000001</v>
      </c>
      <c r="O1183" s="6">
        <v>0.76359999999999995</v>
      </c>
      <c r="P1183" s="6">
        <v>0</v>
      </c>
      <c r="Q1183" s="4" t="s">
        <v>26</v>
      </c>
      <c r="R1183" s="4">
        <v>0</v>
      </c>
      <c r="S1183" s="6">
        <v>0</v>
      </c>
      <c r="T1183" s="6">
        <v>44</v>
      </c>
      <c r="U1183" s="6">
        <v>67</v>
      </c>
      <c r="V1183" s="6">
        <f>IF(ISERROR(VLOOKUP($S$1183,'TAR FIN'!$A$1:$O$104,15,0)),0,VLOOKUP($S$1183,'TAR FIN'!$A$1:$O$104,15,0))</f>
        <v>0</v>
      </c>
      <c r="W1183" s="6">
        <f>IF(ISERROR(VLOOKUP($T$1183,'TAR FIN'!$A$1:$O$104,15,0)),0,VLOOKUP($T$1183,'TAR FIN'!$A$1:$O$104,15,0))</f>
        <v>62.57</v>
      </c>
      <c r="X1183" s="6">
        <f>IF(ISERROR(VLOOKUP($U$1183,'TAR FIN'!$A$1:$O$104,15,0)),0,VLOOKUP($U$1183,'TAR FIN'!$A$1:$O$104,15,0))</f>
        <v>242.82</v>
      </c>
      <c r="Y1183" s="6"/>
      <c r="Z1183" s="6">
        <f ca="1">('TUSD BE'!$AM$26+'TUSD BF'!$AM$26+'TUSD CVA'!$AM$26)*1</f>
        <v>77.876201961015255</v>
      </c>
      <c r="AA1183" s="6">
        <f>('TE BE'!$AB$8+'TE BF'!$AB$8+'TE CVA'!$AB$8)*1</f>
        <v>231.76257384332172</v>
      </c>
      <c r="AB1183" s="6">
        <f>$K$1183*$V$1183</f>
        <v>0</v>
      </c>
      <c r="AC1183" s="6">
        <f>$M$1183*$W$1183</f>
        <v>47.778451999999994</v>
      </c>
      <c r="AD1183" s="6">
        <f>$O$1183*$X$1183</f>
        <v>185.41735199999999</v>
      </c>
      <c r="AE1183" s="6">
        <f>$K$1183*$Y$1183</f>
        <v>0</v>
      </c>
      <c r="AF1183" s="6">
        <f ca="1">$M$1183*$Z$1183</f>
        <v>59.466267817431245</v>
      </c>
      <c r="AG1183" s="6">
        <f>$O$1183*$AA$1183</f>
        <v>176.97390138676045</v>
      </c>
    </row>
    <row r="1184" spans="1:33" ht="11.25" customHeight="1" x14ac:dyDescent="0.25">
      <c r="A1184" s="4" t="s">
        <v>21</v>
      </c>
      <c r="B1184" s="4" t="s">
        <v>41</v>
      </c>
      <c r="C1184" s="4" t="s">
        <v>42</v>
      </c>
      <c r="D1184" s="4" t="s">
        <v>45</v>
      </c>
      <c r="E1184" s="4" t="s">
        <v>53</v>
      </c>
      <c r="F1184" s="4" t="s">
        <v>55</v>
      </c>
      <c r="G1184" s="4" t="s">
        <v>25</v>
      </c>
      <c r="H1184" s="4" t="s">
        <v>35</v>
      </c>
      <c r="I1184" s="5">
        <v>44501</v>
      </c>
      <c r="J1184" s="6">
        <v>0</v>
      </c>
      <c r="K1184" s="6">
        <v>0</v>
      </c>
      <c r="L1184" s="6">
        <v>1939.4159999999999</v>
      </c>
      <c r="M1184" s="6">
        <v>193.94159999999999</v>
      </c>
      <c r="N1184" s="6">
        <v>1939.4159999999999</v>
      </c>
      <c r="O1184" s="6">
        <v>193.94159999999999</v>
      </c>
      <c r="P1184" s="6">
        <v>0</v>
      </c>
      <c r="Q1184" s="4" t="s">
        <v>26</v>
      </c>
      <c r="R1184" s="4">
        <v>0</v>
      </c>
      <c r="S1184" s="6">
        <v>0</v>
      </c>
      <c r="T1184" s="6">
        <v>44</v>
      </c>
      <c r="U1184" s="6">
        <v>67</v>
      </c>
      <c r="V1184" s="6">
        <f>IF(ISERROR(VLOOKUP($S$1184,'TAR FIN'!$A$1:$O$104,15,0)),0,VLOOKUP($S$1184,'TAR FIN'!$A$1:$O$104,15,0))</f>
        <v>0</v>
      </c>
      <c r="W1184" s="6">
        <f>IF(ISERROR(VLOOKUP($T$1184,'TAR FIN'!$A$1:$O$104,15,0)),0,VLOOKUP($T$1184,'TAR FIN'!$A$1:$O$104,15,0))</f>
        <v>62.57</v>
      </c>
      <c r="X1184" s="6">
        <f>IF(ISERROR(VLOOKUP($U$1184,'TAR FIN'!$A$1:$O$104,15,0)),0,VLOOKUP($U$1184,'TAR FIN'!$A$1:$O$104,15,0))</f>
        <v>242.82</v>
      </c>
      <c r="Y1184" s="6"/>
      <c r="Z1184" s="6">
        <f ca="1">('TUSD BE'!$AM$26+'TUSD BF'!$AM$26+'TUSD CVA'!$AM$26)*1</f>
        <v>77.876201961015255</v>
      </c>
      <c r="AA1184" s="6">
        <f>('TE BE'!$AB$8+'TE BF'!$AB$8+'TE CVA'!$AB$8)*1</f>
        <v>231.76257384332172</v>
      </c>
      <c r="AB1184" s="6">
        <f>$K$1184*$V$1184</f>
        <v>0</v>
      </c>
      <c r="AC1184" s="6">
        <f>$M$1184*$W$1184</f>
        <v>12134.925911999999</v>
      </c>
      <c r="AD1184" s="6">
        <f>$O$1184*$X$1184</f>
        <v>47092.899311999994</v>
      </c>
      <c r="AE1184" s="6">
        <f>$K$1184*$Y$1184</f>
        <v>0</v>
      </c>
      <c r="AF1184" s="6">
        <f ca="1">$M$1184*$Z$1184</f>
        <v>15103.435210242436</v>
      </c>
      <c r="AG1184" s="6">
        <f>$O$1184*$AA$1184</f>
        <v>44948.404391291959</v>
      </c>
    </row>
    <row r="1185" spans="1:33" ht="11.25" customHeight="1" x14ac:dyDescent="0.25">
      <c r="A1185" s="4" t="s">
        <v>27</v>
      </c>
      <c r="B1185" s="4" t="s">
        <v>41</v>
      </c>
      <c r="C1185" s="4" t="s">
        <v>42</v>
      </c>
      <c r="D1185" s="4" t="s">
        <v>45</v>
      </c>
      <c r="E1185" s="4" t="s">
        <v>53</v>
      </c>
      <c r="F1185" s="4" t="s">
        <v>55</v>
      </c>
      <c r="G1185" s="4" t="s">
        <v>25</v>
      </c>
      <c r="H1185" s="4" t="s">
        <v>35</v>
      </c>
      <c r="I1185" s="5">
        <v>44501</v>
      </c>
      <c r="J1185" s="6">
        <v>0</v>
      </c>
      <c r="K1185" s="6">
        <v>0</v>
      </c>
      <c r="L1185" s="6">
        <v>-34.674999999999997</v>
      </c>
      <c r="M1185" s="6">
        <v>-3.4674999999999998</v>
      </c>
      <c r="N1185" s="6">
        <v>-34.674999999999997</v>
      </c>
      <c r="O1185" s="6">
        <v>-3.4674999999999998</v>
      </c>
      <c r="P1185" s="6">
        <v>0</v>
      </c>
      <c r="Q1185" s="4" t="s">
        <v>26</v>
      </c>
      <c r="R1185" s="4">
        <v>0</v>
      </c>
      <c r="S1185" s="6">
        <v>0</v>
      </c>
      <c r="T1185" s="6">
        <v>44</v>
      </c>
      <c r="U1185" s="6">
        <v>67</v>
      </c>
      <c r="V1185" s="6">
        <f>IF(ISERROR(VLOOKUP($S$1185,'TAR FIN'!$A$1:$O$104,15,0)),0,VLOOKUP($S$1185,'TAR FIN'!$A$1:$O$104,15,0))</f>
        <v>0</v>
      </c>
      <c r="W1185" s="6">
        <f>IF(ISERROR(VLOOKUP($T$1185,'TAR FIN'!$A$1:$O$104,15,0)),0,VLOOKUP($T$1185,'TAR FIN'!$A$1:$O$104,15,0))</f>
        <v>62.57</v>
      </c>
      <c r="X1185" s="6">
        <f>IF(ISERROR(VLOOKUP($U$1185,'TAR FIN'!$A$1:$O$104,15,0)),0,VLOOKUP($U$1185,'TAR FIN'!$A$1:$O$104,15,0))</f>
        <v>242.82</v>
      </c>
      <c r="Y1185" s="6"/>
      <c r="Z1185" s="6">
        <f ca="1">('TUSD BE'!$AM$26+'TUSD BF'!$AM$26+'TUSD CVA'!$AM$26)*1</f>
        <v>77.876201961015255</v>
      </c>
      <c r="AA1185" s="6">
        <f>('TE BE'!$AB$8+'TE BF'!$AB$8+'TE CVA'!$AB$8)*1</f>
        <v>231.76257384332172</v>
      </c>
      <c r="AB1185" s="6">
        <f>$K$1185*$V$1185</f>
        <v>0</v>
      </c>
      <c r="AC1185" s="6">
        <f>$M$1185*$W$1185</f>
        <v>-216.96147499999998</v>
      </c>
      <c r="AD1185" s="6">
        <f>$O$1185*$X$1185</f>
        <v>-841.97834999999998</v>
      </c>
      <c r="AE1185" s="6">
        <f>$K$1185*$Y$1185</f>
        <v>0</v>
      </c>
      <c r="AF1185" s="6">
        <f ca="1">$M$1185*$Z$1185</f>
        <v>-270.03573029982039</v>
      </c>
      <c r="AG1185" s="6">
        <f>$O$1185*$AA$1185</f>
        <v>-803.63672480171806</v>
      </c>
    </row>
    <row r="1186" spans="1:33" ht="11.25" customHeight="1" x14ac:dyDescent="0.25">
      <c r="A1186" s="4" t="s">
        <v>28</v>
      </c>
      <c r="B1186" s="4" t="s">
        <v>41</v>
      </c>
      <c r="C1186" s="4" t="s">
        <v>42</v>
      </c>
      <c r="D1186" s="4" t="s">
        <v>45</v>
      </c>
      <c r="E1186" s="4" t="s">
        <v>53</v>
      </c>
      <c r="F1186" s="4" t="s">
        <v>55</v>
      </c>
      <c r="G1186" s="4" t="s">
        <v>25</v>
      </c>
      <c r="H1186" s="4" t="s">
        <v>35</v>
      </c>
      <c r="I1186" s="5">
        <v>44501</v>
      </c>
      <c r="J1186" s="6">
        <v>0</v>
      </c>
      <c r="K1186" s="6">
        <v>0</v>
      </c>
      <c r="L1186" s="6">
        <v>16.544</v>
      </c>
      <c r="M1186" s="6">
        <v>1.6544000000000001</v>
      </c>
      <c r="N1186" s="6">
        <v>16.544</v>
      </c>
      <c r="O1186" s="6">
        <v>1.6544000000000001</v>
      </c>
      <c r="P1186" s="6">
        <v>0</v>
      </c>
      <c r="Q1186" s="4" t="s">
        <v>26</v>
      </c>
      <c r="R1186" s="4">
        <v>0</v>
      </c>
      <c r="S1186" s="6">
        <v>0</v>
      </c>
      <c r="T1186" s="6">
        <v>44</v>
      </c>
      <c r="U1186" s="6">
        <v>67</v>
      </c>
      <c r="V1186" s="6">
        <f>IF(ISERROR(VLOOKUP($S$1186,'TAR FIN'!$A$1:$O$104,15,0)),0,VLOOKUP($S$1186,'TAR FIN'!$A$1:$O$104,15,0))</f>
        <v>0</v>
      </c>
      <c r="W1186" s="6">
        <f>IF(ISERROR(VLOOKUP($T$1186,'TAR FIN'!$A$1:$O$104,15,0)),0,VLOOKUP($T$1186,'TAR FIN'!$A$1:$O$104,15,0))</f>
        <v>62.57</v>
      </c>
      <c r="X1186" s="6">
        <f>IF(ISERROR(VLOOKUP($U$1186,'TAR FIN'!$A$1:$O$104,15,0)),0,VLOOKUP($U$1186,'TAR FIN'!$A$1:$O$104,15,0))</f>
        <v>242.82</v>
      </c>
      <c r="Y1186" s="6"/>
      <c r="Z1186" s="6">
        <f ca="1">('TUSD BE'!$AM$26+'TUSD BF'!$AM$26+'TUSD CVA'!$AM$26)*1</f>
        <v>77.876201961015255</v>
      </c>
      <c r="AA1186" s="6">
        <f>('TE BE'!$AB$8+'TE BF'!$AB$8+'TE CVA'!$AB$8)*1</f>
        <v>231.76257384332172</v>
      </c>
      <c r="AB1186" s="6">
        <f>$K$1186*$V$1186</f>
        <v>0</v>
      </c>
      <c r="AC1186" s="6">
        <f>$M$1186*$W$1186</f>
        <v>103.51580800000001</v>
      </c>
      <c r="AD1186" s="6">
        <f>$O$1186*$X$1186</f>
        <v>401.721408</v>
      </c>
      <c r="AE1186" s="6">
        <f>$K$1186*$Y$1186</f>
        <v>0</v>
      </c>
      <c r="AF1186" s="6">
        <f ca="1">$M$1186*$Z$1186</f>
        <v>128.83838852430364</v>
      </c>
      <c r="AG1186" s="6">
        <f>$O$1186*$AA$1186</f>
        <v>383.42800216639148</v>
      </c>
    </row>
    <row r="1187" spans="1:33" ht="11.25" customHeight="1" x14ac:dyDescent="0.25">
      <c r="A1187" s="4" t="s">
        <v>28</v>
      </c>
      <c r="B1187" s="4" t="s">
        <v>41</v>
      </c>
      <c r="C1187" s="4" t="s">
        <v>42</v>
      </c>
      <c r="D1187" s="4" t="s">
        <v>45</v>
      </c>
      <c r="E1187" s="4" t="s">
        <v>53</v>
      </c>
      <c r="F1187" s="4" t="s">
        <v>55</v>
      </c>
      <c r="G1187" s="4" t="s">
        <v>25</v>
      </c>
      <c r="H1187" s="4" t="s">
        <v>35</v>
      </c>
      <c r="I1187" s="5">
        <v>44501</v>
      </c>
      <c r="J1187" s="6">
        <v>0</v>
      </c>
      <c r="K1187" s="6">
        <v>0</v>
      </c>
      <c r="L1187" s="6">
        <v>41.655999999999999</v>
      </c>
      <c r="M1187" s="6">
        <v>4.1656000000000004</v>
      </c>
      <c r="N1187" s="6">
        <v>41.655999999999999</v>
      </c>
      <c r="O1187" s="6">
        <v>4.1656000000000004</v>
      </c>
      <c r="P1187" s="6">
        <v>0</v>
      </c>
      <c r="Q1187" s="4" t="s">
        <v>26</v>
      </c>
      <c r="R1187" s="4">
        <v>0</v>
      </c>
      <c r="S1187" s="6">
        <v>0</v>
      </c>
      <c r="T1187" s="6">
        <v>44</v>
      </c>
      <c r="U1187" s="6">
        <v>67</v>
      </c>
      <c r="V1187" s="6">
        <f>IF(ISERROR(VLOOKUP($S$1187,'TAR FIN'!$A$1:$O$104,15,0)),0,VLOOKUP($S$1187,'TAR FIN'!$A$1:$O$104,15,0))</f>
        <v>0</v>
      </c>
      <c r="W1187" s="6">
        <f>IF(ISERROR(VLOOKUP($T$1187,'TAR FIN'!$A$1:$O$104,15,0)),0,VLOOKUP($T$1187,'TAR FIN'!$A$1:$O$104,15,0))</f>
        <v>62.57</v>
      </c>
      <c r="X1187" s="6">
        <f>IF(ISERROR(VLOOKUP($U$1187,'TAR FIN'!$A$1:$O$104,15,0)),0,VLOOKUP($U$1187,'TAR FIN'!$A$1:$O$104,15,0))</f>
        <v>242.82</v>
      </c>
      <c r="Y1187" s="6"/>
      <c r="Z1187" s="6">
        <f ca="1">('TUSD BE'!$AM$26+'TUSD BF'!$AM$26+'TUSD CVA'!$AM$26)*1</f>
        <v>77.876201961015255</v>
      </c>
      <c r="AA1187" s="6">
        <f>('TE BE'!$AB$8+'TE BF'!$AB$8+'TE CVA'!$AB$8)*1</f>
        <v>231.76257384332172</v>
      </c>
      <c r="AB1187" s="6">
        <f>$K$1187*$V$1187</f>
        <v>0</v>
      </c>
      <c r="AC1187" s="6">
        <f>$M$1187*$W$1187</f>
        <v>260.641592</v>
      </c>
      <c r="AD1187" s="6">
        <f>$O$1187*$X$1187</f>
        <v>1011.4909920000001</v>
      </c>
      <c r="AE1187" s="6">
        <f>$K$1187*$Y$1187</f>
        <v>0</v>
      </c>
      <c r="AF1187" s="6">
        <f ca="1">$M$1187*$Z$1187</f>
        <v>324.4011068888052</v>
      </c>
      <c r="AG1187" s="6">
        <f>$O$1187*$AA$1187</f>
        <v>965.43017760174109</v>
      </c>
    </row>
    <row r="1188" spans="1:33" ht="11.25" customHeight="1" x14ac:dyDescent="0.25">
      <c r="A1188" s="4" t="s">
        <v>21</v>
      </c>
      <c r="B1188" s="4" t="s">
        <v>41</v>
      </c>
      <c r="C1188" s="4" t="s">
        <v>42</v>
      </c>
      <c r="D1188" s="4" t="s">
        <v>45</v>
      </c>
      <c r="E1188" s="4" t="s">
        <v>53</v>
      </c>
      <c r="F1188" s="4" t="s">
        <v>55</v>
      </c>
      <c r="G1188" s="4" t="s">
        <v>25</v>
      </c>
      <c r="H1188" s="4" t="s">
        <v>35</v>
      </c>
      <c r="I1188" s="5">
        <v>44531</v>
      </c>
      <c r="J1188" s="6">
        <v>0</v>
      </c>
      <c r="K1188" s="6">
        <v>0</v>
      </c>
      <c r="L1188" s="6">
        <v>2144.2049999999999</v>
      </c>
      <c r="M1188" s="6">
        <v>214.4205</v>
      </c>
      <c r="N1188" s="6">
        <v>2144.2049999999999</v>
      </c>
      <c r="O1188" s="6">
        <v>214.4205</v>
      </c>
      <c r="P1188" s="6">
        <v>0</v>
      </c>
      <c r="Q1188" s="4" t="s">
        <v>26</v>
      </c>
      <c r="R1188" s="4">
        <v>0</v>
      </c>
      <c r="S1188" s="6">
        <v>0</v>
      </c>
      <c r="T1188" s="6">
        <v>44</v>
      </c>
      <c r="U1188" s="6">
        <v>67</v>
      </c>
      <c r="V1188" s="6">
        <f>IF(ISERROR(VLOOKUP($S$1188,'TAR FIN'!$A$1:$O$104,15,0)),0,VLOOKUP($S$1188,'TAR FIN'!$A$1:$O$104,15,0))</f>
        <v>0</v>
      </c>
      <c r="W1188" s="6">
        <f>IF(ISERROR(VLOOKUP($T$1188,'TAR FIN'!$A$1:$O$104,15,0)),0,VLOOKUP($T$1188,'TAR FIN'!$A$1:$O$104,15,0))</f>
        <v>62.57</v>
      </c>
      <c r="X1188" s="6">
        <f>IF(ISERROR(VLOOKUP($U$1188,'TAR FIN'!$A$1:$O$104,15,0)),0,VLOOKUP($U$1188,'TAR FIN'!$A$1:$O$104,15,0))</f>
        <v>242.82</v>
      </c>
      <c r="Y1188" s="6"/>
      <c r="Z1188" s="6">
        <f ca="1">('TUSD BE'!$AM$26+'TUSD BF'!$AM$26+'TUSD CVA'!$AM$26)*1</f>
        <v>77.876201961015255</v>
      </c>
      <c r="AA1188" s="6">
        <f>('TE BE'!$AB$8+'TE BF'!$AB$8+'TE CVA'!$AB$8)*1</f>
        <v>231.76257384332172</v>
      </c>
      <c r="AB1188" s="6">
        <f>$K$1188*$V$1188</f>
        <v>0</v>
      </c>
      <c r="AC1188" s="6">
        <f>$M$1188*$W$1188</f>
        <v>13416.290685</v>
      </c>
      <c r="AD1188" s="6">
        <f>$O$1188*$X$1188</f>
        <v>52065.585809999997</v>
      </c>
      <c r="AE1188" s="6">
        <f>$K$1188*$Y$1188</f>
        <v>0</v>
      </c>
      <c r="AF1188" s="6">
        <f ca="1">$M$1188*$Z$1188</f>
        <v>16698.25416258187</v>
      </c>
      <c r="AG1188" s="6">
        <f>$O$1188*$AA$1188</f>
        <v>49694.646964771964</v>
      </c>
    </row>
    <row r="1189" spans="1:33" ht="11.25" customHeight="1" x14ac:dyDescent="0.25">
      <c r="A1189" s="4" t="s">
        <v>27</v>
      </c>
      <c r="B1189" s="4" t="s">
        <v>41</v>
      </c>
      <c r="C1189" s="4" t="s">
        <v>42</v>
      </c>
      <c r="D1189" s="4" t="s">
        <v>45</v>
      </c>
      <c r="E1189" s="4" t="s">
        <v>53</v>
      </c>
      <c r="F1189" s="4" t="s">
        <v>55</v>
      </c>
      <c r="G1189" s="4" t="s">
        <v>25</v>
      </c>
      <c r="H1189" s="4" t="s">
        <v>35</v>
      </c>
      <c r="I1189" s="5">
        <v>44531</v>
      </c>
      <c r="J1189" s="6">
        <v>0</v>
      </c>
      <c r="K1189" s="6">
        <v>0</v>
      </c>
      <c r="L1189" s="6">
        <v>22.911999999999999</v>
      </c>
      <c r="M1189" s="6">
        <v>2.2911999999999999</v>
      </c>
      <c r="N1189" s="6">
        <v>22.911999999999999</v>
      </c>
      <c r="O1189" s="6">
        <v>2.2911999999999999</v>
      </c>
      <c r="P1189" s="6">
        <v>0</v>
      </c>
      <c r="Q1189" s="4" t="s">
        <v>26</v>
      </c>
      <c r="R1189" s="4">
        <v>0</v>
      </c>
      <c r="S1189" s="6">
        <v>0</v>
      </c>
      <c r="T1189" s="6">
        <v>44</v>
      </c>
      <c r="U1189" s="6">
        <v>67</v>
      </c>
      <c r="V1189" s="6">
        <f>IF(ISERROR(VLOOKUP($S$1189,'TAR FIN'!$A$1:$O$104,15,0)),0,VLOOKUP($S$1189,'TAR FIN'!$A$1:$O$104,15,0))</f>
        <v>0</v>
      </c>
      <c r="W1189" s="6">
        <f>IF(ISERROR(VLOOKUP($T$1189,'TAR FIN'!$A$1:$O$104,15,0)),0,VLOOKUP($T$1189,'TAR FIN'!$A$1:$O$104,15,0))</f>
        <v>62.57</v>
      </c>
      <c r="X1189" s="6">
        <f>IF(ISERROR(VLOOKUP($U$1189,'TAR FIN'!$A$1:$O$104,15,0)),0,VLOOKUP($U$1189,'TAR FIN'!$A$1:$O$104,15,0))</f>
        <v>242.82</v>
      </c>
      <c r="Y1189" s="6"/>
      <c r="Z1189" s="6">
        <f ca="1">('TUSD BE'!$AM$26+'TUSD BF'!$AM$26+'TUSD CVA'!$AM$26)*1</f>
        <v>77.876201961015255</v>
      </c>
      <c r="AA1189" s="6">
        <f>('TE BE'!$AB$8+'TE BF'!$AB$8+'TE CVA'!$AB$8)*1</f>
        <v>231.76257384332172</v>
      </c>
      <c r="AB1189" s="6">
        <f>$K$1189*$V$1189</f>
        <v>0</v>
      </c>
      <c r="AC1189" s="6">
        <f>$M$1189*$W$1189</f>
        <v>143.36038399999998</v>
      </c>
      <c r="AD1189" s="6">
        <f>$O$1189*$X$1189</f>
        <v>556.34918399999992</v>
      </c>
      <c r="AE1189" s="6">
        <f>$K$1189*$Y$1189</f>
        <v>0</v>
      </c>
      <c r="AF1189" s="6">
        <f ca="1">$M$1189*$Z$1189</f>
        <v>178.42995393307814</v>
      </c>
      <c r="AG1189" s="6">
        <f>$O$1189*$AA$1189</f>
        <v>531.01440918981871</v>
      </c>
    </row>
    <row r="1190" spans="1:33" ht="11.25" customHeight="1" x14ac:dyDescent="0.25">
      <c r="A1190" s="4" t="s">
        <v>28</v>
      </c>
      <c r="B1190" s="4" t="s">
        <v>41</v>
      </c>
      <c r="C1190" s="4" t="s">
        <v>42</v>
      </c>
      <c r="D1190" s="4" t="s">
        <v>45</v>
      </c>
      <c r="E1190" s="4" t="s">
        <v>53</v>
      </c>
      <c r="F1190" s="4" t="s">
        <v>55</v>
      </c>
      <c r="G1190" s="4" t="s">
        <v>25</v>
      </c>
      <c r="H1190" s="4" t="s">
        <v>35</v>
      </c>
      <c r="I1190" s="5">
        <v>44531</v>
      </c>
      <c r="J1190" s="6">
        <v>0</v>
      </c>
      <c r="K1190" s="6">
        <v>0</v>
      </c>
      <c r="L1190" s="6">
        <v>20.131</v>
      </c>
      <c r="M1190" s="6">
        <v>2.0131000000000001</v>
      </c>
      <c r="N1190" s="6">
        <v>20.131</v>
      </c>
      <c r="O1190" s="6">
        <v>2.0131000000000001</v>
      </c>
      <c r="P1190" s="6">
        <v>0</v>
      </c>
      <c r="Q1190" s="4" t="s">
        <v>26</v>
      </c>
      <c r="R1190" s="4">
        <v>0</v>
      </c>
      <c r="S1190" s="6">
        <v>0</v>
      </c>
      <c r="T1190" s="6">
        <v>44</v>
      </c>
      <c r="U1190" s="6">
        <v>67</v>
      </c>
      <c r="V1190" s="6">
        <f>IF(ISERROR(VLOOKUP($S$1190,'TAR FIN'!$A$1:$O$104,15,0)),0,VLOOKUP($S$1190,'TAR FIN'!$A$1:$O$104,15,0))</f>
        <v>0</v>
      </c>
      <c r="W1190" s="6">
        <f>IF(ISERROR(VLOOKUP($T$1190,'TAR FIN'!$A$1:$O$104,15,0)),0,VLOOKUP($T$1190,'TAR FIN'!$A$1:$O$104,15,0))</f>
        <v>62.57</v>
      </c>
      <c r="X1190" s="6">
        <f>IF(ISERROR(VLOOKUP($U$1190,'TAR FIN'!$A$1:$O$104,15,0)),0,VLOOKUP($U$1190,'TAR FIN'!$A$1:$O$104,15,0))</f>
        <v>242.82</v>
      </c>
      <c r="Y1190" s="6"/>
      <c r="Z1190" s="6">
        <f ca="1">('TUSD BE'!$AM$26+'TUSD BF'!$AM$26+'TUSD CVA'!$AM$26)*1</f>
        <v>77.876201961015255</v>
      </c>
      <c r="AA1190" s="6">
        <f>('TE BE'!$AB$8+'TE BF'!$AB$8+'TE CVA'!$AB$8)*1</f>
        <v>231.76257384332172</v>
      </c>
      <c r="AB1190" s="6">
        <f>$K$1190*$V$1190</f>
        <v>0</v>
      </c>
      <c r="AC1190" s="6">
        <f>$M$1190*$W$1190</f>
        <v>125.95966700000001</v>
      </c>
      <c r="AD1190" s="6">
        <f>$O$1190*$X$1190</f>
        <v>488.820942</v>
      </c>
      <c r="AE1190" s="6">
        <f>$K$1190*$Y$1190</f>
        <v>0</v>
      </c>
      <c r="AF1190" s="6">
        <f ca="1">$M$1190*$Z$1190</f>
        <v>156.77258216771983</v>
      </c>
      <c r="AG1190" s="6">
        <f>$O$1190*$AA$1190</f>
        <v>466.56123740399096</v>
      </c>
    </row>
    <row r="1191" spans="1:33" ht="11.25" customHeight="1" x14ac:dyDescent="0.25">
      <c r="A1191" s="4" t="s">
        <v>21</v>
      </c>
      <c r="B1191" s="4" t="s">
        <v>41</v>
      </c>
      <c r="C1191" s="4" t="s">
        <v>42</v>
      </c>
      <c r="D1191" s="4" t="s">
        <v>45</v>
      </c>
      <c r="E1191" s="4" t="s">
        <v>53</v>
      </c>
      <c r="F1191" s="4" t="s">
        <v>55</v>
      </c>
      <c r="G1191" s="4" t="s">
        <v>25</v>
      </c>
      <c r="H1191" s="4" t="s">
        <v>35</v>
      </c>
      <c r="I1191" s="5">
        <v>44562</v>
      </c>
      <c r="J1191" s="6">
        <v>0</v>
      </c>
      <c r="K1191" s="6">
        <v>0</v>
      </c>
      <c r="L1191" s="6">
        <v>1625.114</v>
      </c>
      <c r="M1191" s="6">
        <v>162.51140000000001</v>
      </c>
      <c r="N1191" s="6">
        <v>1625.114</v>
      </c>
      <c r="O1191" s="6">
        <v>162.51140000000001</v>
      </c>
      <c r="P1191" s="6">
        <v>0</v>
      </c>
      <c r="Q1191" s="4" t="s">
        <v>26</v>
      </c>
      <c r="R1191" s="4">
        <v>0</v>
      </c>
      <c r="S1191" s="6">
        <v>0</v>
      </c>
      <c r="T1191" s="6">
        <v>44</v>
      </c>
      <c r="U1191" s="6">
        <v>67</v>
      </c>
      <c r="V1191" s="6">
        <f>IF(ISERROR(VLOOKUP($S$1191,'TAR FIN'!$A$1:$O$104,15,0)),0,VLOOKUP($S$1191,'TAR FIN'!$A$1:$O$104,15,0))</f>
        <v>0</v>
      </c>
      <c r="W1191" s="6">
        <f>IF(ISERROR(VLOOKUP($T$1191,'TAR FIN'!$A$1:$O$104,15,0)),0,VLOOKUP($T$1191,'TAR FIN'!$A$1:$O$104,15,0))</f>
        <v>62.57</v>
      </c>
      <c r="X1191" s="6">
        <f>IF(ISERROR(VLOOKUP($U$1191,'TAR FIN'!$A$1:$O$104,15,0)),0,VLOOKUP($U$1191,'TAR FIN'!$A$1:$O$104,15,0))</f>
        <v>242.82</v>
      </c>
      <c r="Y1191" s="6"/>
      <c r="Z1191" s="6">
        <f ca="1">('TUSD BE'!$AM$26+'TUSD BF'!$AM$26+'TUSD CVA'!$AM$26)*1</f>
        <v>77.876201961015255</v>
      </c>
      <c r="AA1191" s="6">
        <f>('TE BE'!$AB$8+'TE BF'!$AB$8+'TE CVA'!$AB$8)*1</f>
        <v>231.76257384332172</v>
      </c>
      <c r="AB1191" s="6">
        <f>$K$1191*$V$1191</f>
        <v>0</v>
      </c>
      <c r="AC1191" s="6">
        <f>$M$1191*$W$1191</f>
        <v>10168.338298000001</v>
      </c>
      <c r="AD1191" s="6">
        <f>$O$1191*$X$1191</f>
        <v>39461.018148000003</v>
      </c>
      <c r="AE1191" s="6">
        <f>$K$1191*$Y$1191</f>
        <v>0</v>
      </c>
      <c r="AF1191" s="6">
        <f ca="1">$M$1191*$Z$1191</f>
        <v>12655.770607367334</v>
      </c>
      <c r="AG1191" s="6">
        <f>$O$1191*$AA$1191</f>
        <v>37664.060342881596</v>
      </c>
    </row>
    <row r="1192" spans="1:33" ht="11.25" customHeight="1" x14ac:dyDescent="0.25">
      <c r="A1192" s="4" t="s">
        <v>27</v>
      </c>
      <c r="B1192" s="4" t="s">
        <v>41</v>
      </c>
      <c r="C1192" s="4" t="s">
        <v>42</v>
      </c>
      <c r="D1192" s="4" t="s">
        <v>45</v>
      </c>
      <c r="E1192" s="4" t="s">
        <v>53</v>
      </c>
      <c r="F1192" s="4" t="s">
        <v>55</v>
      </c>
      <c r="G1192" s="4" t="s">
        <v>25</v>
      </c>
      <c r="H1192" s="4" t="s">
        <v>35</v>
      </c>
      <c r="I1192" s="5">
        <v>44562</v>
      </c>
      <c r="J1192" s="6">
        <v>0</v>
      </c>
      <c r="K1192" s="6">
        <v>0</v>
      </c>
      <c r="L1192" s="6">
        <v>-55.65</v>
      </c>
      <c r="M1192" s="6">
        <v>-5.5650000000000004</v>
      </c>
      <c r="N1192" s="6">
        <v>-55.65</v>
      </c>
      <c r="O1192" s="6">
        <v>-5.5650000000000004</v>
      </c>
      <c r="P1192" s="6">
        <v>0</v>
      </c>
      <c r="Q1192" s="4" t="s">
        <v>26</v>
      </c>
      <c r="R1192" s="4">
        <v>0</v>
      </c>
      <c r="S1192" s="6">
        <v>0</v>
      </c>
      <c r="T1192" s="6">
        <v>44</v>
      </c>
      <c r="U1192" s="6">
        <v>67</v>
      </c>
      <c r="V1192" s="6">
        <f>IF(ISERROR(VLOOKUP($S$1192,'TAR FIN'!$A$1:$O$104,15,0)),0,VLOOKUP($S$1192,'TAR FIN'!$A$1:$O$104,15,0))</f>
        <v>0</v>
      </c>
      <c r="W1192" s="6">
        <f>IF(ISERROR(VLOOKUP($T$1192,'TAR FIN'!$A$1:$O$104,15,0)),0,VLOOKUP($T$1192,'TAR FIN'!$A$1:$O$104,15,0))</f>
        <v>62.57</v>
      </c>
      <c r="X1192" s="6">
        <f>IF(ISERROR(VLOOKUP($U$1192,'TAR FIN'!$A$1:$O$104,15,0)),0,VLOOKUP($U$1192,'TAR FIN'!$A$1:$O$104,15,0))</f>
        <v>242.82</v>
      </c>
      <c r="Y1192" s="6"/>
      <c r="Z1192" s="6">
        <f ca="1">('TUSD BE'!$AM$26+'TUSD BF'!$AM$26+'TUSD CVA'!$AM$26)*1</f>
        <v>77.876201961015255</v>
      </c>
      <c r="AA1192" s="6">
        <f>('TE BE'!$AB$8+'TE BF'!$AB$8+'TE CVA'!$AB$8)*1</f>
        <v>231.76257384332172</v>
      </c>
      <c r="AB1192" s="6">
        <f>$K$1192*$V$1192</f>
        <v>0</v>
      </c>
      <c r="AC1192" s="6">
        <f>$M$1192*$W$1192</f>
        <v>-348.20205000000004</v>
      </c>
      <c r="AD1192" s="6">
        <f>$O$1192*$X$1192</f>
        <v>-1351.2933</v>
      </c>
      <c r="AE1192" s="6">
        <f>$K$1192*$Y$1192</f>
        <v>0</v>
      </c>
      <c r="AF1192" s="6">
        <f ca="1">$M$1192*$Z$1192</f>
        <v>-433.3810639130499</v>
      </c>
      <c r="AG1192" s="6">
        <f>$O$1192*$AA$1192</f>
        <v>-1289.7587234380856</v>
      </c>
    </row>
    <row r="1193" spans="1:33" ht="11.25" customHeight="1" x14ac:dyDescent="0.25">
      <c r="A1193" s="4" t="s">
        <v>28</v>
      </c>
      <c r="B1193" s="4" t="s">
        <v>41</v>
      </c>
      <c r="C1193" s="4" t="s">
        <v>42</v>
      </c>
      <c r="D1193" s="4" t="s">
        <v>45</v>
      </c>
      <c r="E1193" s="4" t="s">
        <v>53</v>
      </c>
      <c r="F1193" s="4" t="s">
        <v>55</v>
      </c>
      <c r="G1193" s="4" t="s">
        <v>25</v>
      </c>
      <c r="H1193" s="4" t="s">
        <v>35</v>
      </c>
      <c r="I1193" s="5">
        <v>44562</v>
      </c>
      <c r="J1193" s="6">
        <v>0</v>
      </c>
      <c r="K1193" s="6">
        <v>0</v>
      </c>
      <c r="L1193" s="6">
        <v>7.0730000000000004</v>
      </c>
      <c r="M1193" s="6">
        <v>0.70730000000000004</v>
      </c>
      <c r="N1193" s="6">
        <v>7.0730000000000004</v>
      </c>
      <c r="O1193" s="6">
        <v>0.70730000000000004</v>
      </c>
      <c r="P1193" s="6">
        <v>0</v>
      </c>
      <c r="Q1193" s="4" t="s">
        <v>26</v>
      </c>
      <c r="R1193" s="4">
        <v>0</v>
      </c>
      <c r="S1193" s="6">
        <v>0</v>
      </c>
      <c r="T1193" s="6">
        <v>44</v>
      </c>
      <c r="U1193" s="6">
        <v>67</v>
      </c>
      <c r="V1193" s="6">
        <f>IF(ISERROR(VLOOKUP($S$1193,'TAR FIN'!$A$1:$O$104,15,0)),0,VLOOKUP($S$1193,'TAR FIN'!$A$1:$O$104,15,0))</f>
        <v>0</v>
      </c>
      <c r="W1193" s="6">
        <f>IF(ISERROR(VLOOKUP($T$1193,'TAR FIN'!$A$1:$O$104,15,0)),0,VLOOKUP($T$1193,'TAR FIN'!$A$1:$O$104,15,0))</f>
        <v>62.57</v>
      </c>
      <c r="X1193" s="6">
        <f>IF(ISERROR(VLOOKUP($U$1193,'TAR FIN'!$A$1:$O$104,15,0)),0,VLOOKUP($U$1193,'TAR FIN'!$A$1:$O$104,15,0))</f>
        <v>242.82</v>
      </c>
      <c r="Y1193" s="6"/>
      <c r="Z1193" s="6">
        <f ca="1">('TUSD BE'!$AM$26+'TUSD BF'!$AM$26+'TUSD CVA'!$AM$26)*1</f>
        <v>77.876201961015255</v>
      </c>
      <c r="AA1193" s="6">
        <f>('TE BE'!$AB$8+'TE BF'!$AB$8+'TE CVA'!$AB$8)*1</f>
        <v>231.76257384332172</v>
      </c>
      <c r="AB1193" s="6">
        <f>$K$1193*$V$1193</f>
        <v>0</v>
      </c>
      <c r="AC1193" s="6">
        <f>$M$1193*$W$1193</f>
        <v>44.255761</v>
      </c>
      <c r="AD1193" s="6">
        <f>$O$1193*$X$1193</f>
        <v>171.74658600000001</v>
      </c>
      <c r="AE1193" s="6">
        <f>$K$1193*$Y$1193</f>
        <v>0</v>
      </c>
      <c r="AF1193" s="6">
        <f ca="1">$M$1193*$Z$1193</f>
        <v>55.081837647026092</v>
      </c>
      <c r="AG1193" s="6">
        <f>$O$1193*$AA$1193</f>
        <v>163.92566847938147</v>
      </c>
    </row>
    <row r="1194" spans="1:33" ht="11.25" customHeight="1" x14ac:dyDescent="0.25">
      <c r="A1194" s="4" t="s">
        <v>21</v>
      </c>
      <c r="B1194" s="4" t="s">
        <v>41</v>
      </c>
      <c r="C1194" s="4" t="s">
        <v>42</v>
      </c>
      <c r="D1194" s="4" t="s">
        <v>45</v>
      </c>
      <c r="E1194" s="4" t="s">
        <v>53</v>
      </c>
      <c r="F1194" s="4" t="s">
        <v>55</v>
      </c>
      <c r="G1194" s="4" t="s">
        <v>25</v>
      </c>
      <c r="H1194" s="4" t="s">
        <v>35</v>
      </c>
      <c r="I1194" s="5">
        <v>44593</v>
      </c>
      <c r="J1194" s="6">
        <v>0</v>
      </c>
      <c r="K1194" s="6">
        <v>0</v>
      </c>
      <c r="L1194" s="6">
        <v>1502.08</v>
      </c>
      <c r="M1194" s="6">
        <v>150.208</v>
      </c>
      <c r="N1194" s="6">
        <v>1502.08</v>
      </c>
      <c r="O1194" s="6">
        <v>150.208</v>
      </c>
      <c r="P1194" s="6">
        <v>0</v>
      </c>
      <c r="Q1194" s="4" t="s">
        <v>26</v>
      </c>
      <c r="R1194" s="4">
        <v>0</v>
      </c>
      <c r="S1194" s="6">
        <v>0</v>
      </c>
      <c r="T1194" s="6">
        <v>44</v>
      </c>
      <c r="U1194" s="6">
        <v>67</v>
      </c>
      <c r="V1194" s="6">
        <f>IF(ISERROR(VLOOKUP($S$1194,'TAR FIN'!$A$1:$O$104,15,0)),0,VLOOKUP($S$1194,'TAR FIN'!$A$1:$O$104,15,0))</f>
        <v>0</v>
      </c>
      <c r="W1194" s="6">
        <f>IF(ISERROR(VLOOKUP($T$1194,'TAR FIN'!$A$1:$O$104,15,0)),0,VLOOKUP($T$1194,'TAR FIN'!$A$1:$O$104,15,0))</f>
        <v>62.57</v>
      </c>
      <c r="X1194" s="6">
        <f>IF(ISERROR(VLOOKUP($U$1194,'TAR FIN'!$A$1:$O$104,15,0)),0,VLOOKUP($U$1194,'TAR FIN'!$A$1:$O$104,15,0))</f>
        <v>242.82</v>
      </c>
      <c r="Y1194" s="6"/>
      <c r="Z1194" s="6">
        <f ca="1">('TUSD BE'!$AM$26+'TUSD BF'!$AM$26+'TUSD CVA'!$AM$26)*1</f>
        <v>77.876201961015255</v>
      </c>
      <c r="AA1194" s="6">
        <f>('TE BE'!$AB$8+'TE BF'!$AB$8+'TE CVA'!$AB$8)*1</f>
        <v>231.76257384332172</v>
      </c>
      <c r="AB1194" s="6">
        <f>$K$1194*$V$1194</f>
        <v>0</v>
      </c>
      <c r="AC1194" s="6">
        <f>$M$1194*$W$1194</f>
        <v>9398.5145599999996</v>
      </c>
      <c r="AD1194" s="6">
        <f>$O$1194*$X$1194</f>
        <v>36473.506560000002</v>
      </c>
      <c r="AE1194" s="6">
        <f>$K$1194*$Y$1194</f>
        <v>0</v>
      </c>
      <c r="AF1194" s="6">
        <f ca="1">$M$1194*$Z$1194</f>
        <v>11697.628544160179</v>
      </c>
      <c r="AG1194" s="6">
        <f>$O$1194*$AA$1194</f>
        <v>34812.592691857666</v>
      </c>
    </row>
    <row r="1195" spans="1:33" ht="11.25" customHeight="1" x14ac:dyDescent="0.25">
      <c r="A1195" s="4" t="s">
        <v>27</v>
      </c>
      <c r="B1195" s="4" t="s">
        <v>41</v>
      </c>
      <c r="C1195" s="4" t="s">
        <v>42</v>
      </c>
      <c r="D1195" s="4" t="s">
        <v>45</v>
      </c>
      <c r="E1195" s="4" t="s">
        <v>53</v>
      </c>
      <c r="F1195" s="4" t="s">
        <v>55</v>
      </c>
      <c r="G1195" s="4" t="s">
        <v>25</v>
      </c>
      <c r="H1195" s="4" t="s">
        <v>35</v>
      </c>
      <c r="I1195" s="5">
        <v>44593</v>
      </c>
      <c r="J1195" s="6">
        <v>0</v>
      </c>
      <c r="K1195" s="6">
        <v>0</v>
      </c>
      <c r="L1195" s="6">
        <v>-5.5590000000000002</v>
      </c>
      <c r="M1195" s="6">
        <v>-0.55589999999999995</v>
      </c>
      <c r="N1195" s="6">
        <v>-5.5590000000000002</v>
      </c>
      <c r="O1195" s="6">
        <v>-0.55589999999999995</v>
      </c>
      <c r="P1195" s="6">
        <v>0</v>
      </c>
      <c r="Q1195" s="4" t="s">
        <v>26</v>
      </c>
      <c r="R1195" s="4">
        <v>0</v>
      </c>
      <c r="S1195" s="6">
        <v>0</v>
      </c>
      <c r="T1195" s="6">
        <v>44</v>
      </c>
      <c r="U1195" s="6">
        <v>67</v>
      </c>
      <c r="V1195" s="6">
        <f>IF(ISERROR(VLOOKUP($S$1195,'TAR FIN'!$A$1:$O$104,15,0)),0,VLOOKUP($S$1195,'TAR FIN'!$A$1:$O$104,15,0))</f>
        <v>0</v>
      </c>
      <c r="W1195" s="6">
        <f>IF(ISERROR(VLOOKUP($T$1195,'TAR FIN'!$A$1:$O$104,15,0)),0,VLOOKUP($T$1195,'TAR FIN'!$A$1:$O$104,15,0))</f>
        <v>62.57</v>
      </c>
      <c r="X1195" s="6">
        <f>IF(ISERROR(VLOOKUP($U$1195,'TAR FIN'!$A$1:$O$104,15,0)),0,VLOOKUP($U$1195,'TAR FIN'!$A$1:$O$104,15,0))</f>
        <v>242.82</v>
      </c>
      <c r="Y1195" s="6"/>
      <c r="Z1195" s="6">
        <f ca="1">('TUSD BE'!$AM$26+'TUSD BF'!$AM$26+'TUSD CVA'!$AM$26)*1</f>
        <v>77.876201961015255</v>
      </c>
      <c r="AA1195" s="6">
        <f>('TE BE'!$AB$8+'TE BF'!$AB$8+'TE CVA'!$AB$8)*1</f>
        <v>231.76257384332172</v>
      </c>
      <c r="AB1195" s="6">
        <f>$K$1195*$V$1195</f>
        <v>0</v>
      </c>
      <c r="AC1195" s="6">
        <f>$M$1195*$W$1195</f>
        <v>-34.782662999999999</v>
      </c>
      <c r="AD1195" s="6">
        <f>$O$1195*$X$1195</f>
        <v>-134.98363799999998</v>
      </c>
      <c r="AE1195" s="6">
        <f>$K$1195*$Y$1195</f>
        <v>0</v>
      </c>
      <c r="AF1195" s="6">
        <f ca="1">$M$1195*$Z$1195</f>
        <v>-43.291380670128376</v>
      </c>
      <c r="AG1195" s="6">
        <f>$O$1195*$AA$1195</f>
        <v>-128.83681479950252</v>
      </c>
    </row>
    <row r="1196" spans="1:33" ht="11.25" customHeight="1" x14ac:dyDescent="0.25">
      <c r="A1196" s="4" t="s">
        <v>28</v>
      </c>
      <c r="B1196" s="4" t="s">
        <v>41</v>
      </c>
      <c r="C1196" s="4" t="s">
        <v>42</v>
      </c>
      <c r="D1196" s="4" t="s">
        <v>45</v>
      </c>
      <c r="E1196" s="4" t="s">
        <v>53</v>
      </c>
      <c r="F1196" s="4" t="s">
        <v>55</v>
      </c>
      <c r="G1196" s="4" t="s">
        <v>25</v>
      </c>
      <c r="H1196" s="4" t="s">
        <v>35</v>
      </c>
      <c r="I1196" s="5">
        <v>44593</v>
      </c>
      <c r="J1196" s="6">
        <v>0</v>
      </c>
      <c r="K1196" s="6">
        <v>0</v>
      </c>
      <c r="L1196" s="6">
        <v>0.193</v>
      </c>
      <c r="M1196" s="6">
        <v>1.9300000000000001E-2</v>
      </c>
      <c r="N1196" s="6">
        <v>0.193</v>
      </c>
      <c r="O1196" s="6">
        <v>1.9300000000000001E-2</v>
      </c>
      <c r="P1196" s="6">
        <v>0</v>
      </c>
      <c r="Q1196" s="4" t="s">
        <v>26</v>
      </c>
      <c r="R1196" s="4">
        <v>0</v>
      </c>
      <c r="S1196" s="6">
        <v>0</v>
      </c>
      <c r="T1196" s="6">
        <v>44</v>
      </c>
      <c r="U1196" s="6">
        <v>67</v>
      </c>
      <c r="V1196" s="6">
        <f>IF(ISERROR(VLOOKUP($S$1196,'TAR FIN'!$A$1:$O$104,15,0)),0,VLOOKUP($S$1196,'TAR FIN'!$A$1:$O$104,15,0))</f>
        <v>0</v>
      </c>
      <c r="W1196" s="6">
        <f>IF(ISERROR(VLOOKUP($T$1196,'TAR FIN'!$A$1:$O$104,15,0)),0,VLOOKUP($T$1196,'TAR FIN'!$A$1:$O$104,15,0))</f>
        <v>62.57</v>
      </c>
      <c r="X1196" s="6">
        <f>IF(ISERROR(VLOOKUP($U$1196,'TAR FIN'!$A$1:$O$104,15,0)),0,VLOOKUP($U$1196,'TAR FIN'!$A$1:$O$104,15,0))</f>
        <v>242.82</v>
      </c>
      <c r="Y1196" s="6"/>
      <c r="Z1196" s="6">
        <f ca="1">('TUSD BE'!$AM$26+'TUSD BF'!$AM$26+'TUSD CVA'!$AM$26)*1</f>
        <v>77.876201961015255</v>
      </c>
      <c r="AA1196" s="6">
        <f>('TE BE'!$AB$8+'TE BF'!$AB$8+'TE CVA'!$AB$8)*1</f>
        <v>231.76257384332172</v>
      </c>
      <c r="AB1196" s="6">
        <f>$K$1196*$V$1196</f>
        <v>0</v>
      </c>
      <c r="AC1196" s="6">
        <f>$M$1196*$W$1196</f>
        <v>1.2076010000000001</v>
      </c>
      <c r="AD1196" s="6">
        <f>$O$1196*$X$1196</f>
        <v>4.686426</v>
      </c>
      <c r="AE1196" s="6">
        <f>$K$1196*$Y$1196</f>
        <v>0</v>
      </c>
      <c r="AF1196" s="6">
        <f ca="1">$M$1196*$Z$1196</f>
        <v>1.5030106978475946</v>
      </c>
      <c r="AG1196" s="6">
        <f>$O$1196*$AA$1196</f>
        <v>4.4730176751761093</v>
      </c>
    </row>
    <row r="1197" spans="1:33" ht="11.25" customHeight="1" x14ac:dyDescent="0.25">
      <c r="A1197" s="4" t="s">
        <v>21</v>
      </c>
      <c r="B1197" s="4" t="s">
        <v>41</v>
      </c>
      <c r="C1197" s="4" t="s">
        <v>42</v>
      </c>
      <c r="D1197" s="4" t="s">
        <v>45</v>
      </c>
      <c r="E1197" s="4" t="s">
        <v>53</v>
      </c>
      <c r="F1197" s="4" t="s">
        <v>55</v>
      </c>
      <c r="G1197" s="4" t="s">
        <v>25</v>
      </c>
      <c r="H1197" s="4" t="s">
        <v>35</v>
      </c>
      <c r="I1197" s="5">
        <v>44621</v>
      </c>
      <c r="J1197" s="6">
        <v>0</v>
      </c>
      <c r="K1197" s="6">
        <v>0</v>
      </c>
      <c r="L1197" s="6">
        <v>1412.0119999999999</v>
      </c>
      <c r="M1197" s="6">
        <v>141.2012</v>
      </c>
      <c r="N1197" s="6">
        <v>1412.0119999999999</v>
      </c>
      <c r="O1197" s="6">
        <v>141.2012</v>
      </c>
      <c r="P1197" s="6">
        <v>0</v>
      </c>
      <c r="Q1197" s="4" t="s">
        <v>26</v>
      </c>
      <c r="R1197" s="4">
        <v>0</v>
      </c>
      <c r="S1197" s="6">
        <v>0</v>
      </c>
      <c r="T1197" s="6">
        <v>44</v>
      </c>
      <c r="U1197" s="6">
        <v>67</v>
      </c>
      <c r="V1197" s="6">
        <f>IF(ISERROR(VLOOKUP($S$1197,'TAR FIN'!$A$1:$O$104,15,0)),0,VLOOKUP($S$1197,'TAR FIN'!$A$1:$O$104,15,0))</f>
        <v>0</v>
      </c>
      <c r="W1197" s="6">
        <f>IF(ISERROR(VLOOKUP($T$1197,'TAR FIN'!$A$1:$O$104,15,0)),0,VLOOKUP($T$1197,'TAR FIN'!$A$1:$O$104,15,0))</f>
        <v>62.57</v>
      </c>
      <c r="X1197" s="6">
        <f>IF(ISERROR(VLOOKUP($U$1197,'TAR FIN'!$A$1:$O$104,15,0)),0,VLOOKUP($U$1197,'TAR FIN'!$A$1:$O$104,15,0))</f>
        <v>242.82</v>
      </c>
      <c r="Y1197" s="6"/>
      <c r="Z1197" s="6">
        <f ca="1">('TUSD BE'!$AM$26+'TUSD BF'!$AM$26+'TUSD CVA'!$AM$26)*1</f>
        <v>77.876201961015255</v>
      </c>
      <c r="AA1197" s="6">
        <f>('TE BE'!$AB$8+'TE BF'!$AB$8+'TE CVA'!$AB$8)*1</f>
        <v>231.76257384332172</v>
      </c>
      <c r="AB1197" s="6">
        <f>$K$1197*$V$1197</f>
        <v>0</v>
      </c>
      <c r="AC1197" s="6">
        <f>$M$1197*$W$1197</f>
        <v>8834.9590840000001</v>
      </c>
      <c r="AD1197" s="6">
        <f>$O$1197*$X$1197</f>
        <v>34286.475383999998</v>
      </c>
      <c r="AE1197" s="6">
        <f>$K$1197*$Y$1197</f>
        <v>0</v>
      </c>
      <c r="AF1197" s="6">
        <f ca="1">$M$1197*$Z$1197</f>
        <v>10996.213168337707</v>
      </c>
      <c r="AG1197" s="6">
        <f>$O$1197*$AA$1197</f>
        <v>32725.153541765638</v>
      </c>
    </row>
    <row r="1198" spans="1:33" ht="11.25" customHeight="1" x14ac:dyDescent="0.25">
      <c r="A1198" s="4" t="s">
        <v>28</v>
      </c>
      <c r="B1198" s="4" t="s">
        <v>41</v>
      </c>
      <c r="C1198" s="4" t="s">
        <v>42</v>
      </c>
      <c r="D1198" s="4" t="s">
        <v>45</v>
      </c>
      <c r="E1198" s="4" t="s">
        <v>53</v>
      </c>
      <c r="F1198" s="4" t="s">
        <v>55</v>
      </c>
      <c r="G1198" s="4" t="s">
        <v>25</v>
      </c>
      <c r="H1198" s="4" t="s">
        <v>35</v>
      </c>
      <c r="I1198" s="5">
        <v>44621</v>
      </c>
      <c r="J1198" s="6">
        <v>0</v>
      </c>
      <c r="K1198" s="6">
        <v>0</v>
      </c>
      <c r="L1198" s="6">
        <v>10.467000000000001</v>
      </c>
      <c r="M1198" s="6">
        <v>1.0467</v>
      </c>
      <c r="N1198" s="6">
        <v>10.467000000000001</v>
      </c>
      <c r="O1198" s="6">
        <v>1.0467</v>
      </c>
      <c r="P1198" s="6">
        <v>0</v>
      </c>
      <c r="Q1198" s="4" t="s">
        <v>26</v>
      </c>
      <c r="R1198" s="4">
        <v>0</v>
      </c>
      <c r="S1198" s="6">
        <v>0</v>
      </c>
      <c r="T1198" s="6">
        <v>44</v>
      </c>
      <c r="U1198" s="6">
        <v>67</v>
      </c>
      <c r="V1198" s="6">
        <f>IF(ISERROR(VLOOKUP($S$1198,'TAR FIN'!$A$1:$O$104,15,0)),0,VLOOKUP($S$1198,'TAR FIN'!$A$1:$O$104,15,0))</f>
        <v>0</v>
      </c>
      <c r="W1198" s="6">
        <f>IF(ISERROR(VLOOKUP($T$1198,'TAR FIN'!$A$1:$O$104,15,0)),0,VLOOKUP($T$1198,'TAR FIN'!$A$1:$O$104,15,0))</f>
        <v>62.57</v>
      </c>
      <c r="X1198" s="6">
        <f>IF(ISERROR(VLOOKUP($U$1198,'TAR FIN'!$A$1:$O$104,15,0)),0,VLOOKUP($U$1198,'TAR FIN'!$A$1:$O$104,15,0))</f>
        <v>242.82</v>
      </c>
      <c r="Y1198" s="6"/>
      <c r="Z1198" s="6">
        <f ca="1">('TUSD BE'!$AM$26+'TUSD BF'!$AM$26+'TUSD CVA'!$AM$26)*1</f>
        <v>77.876201961015255</v>
      </c>
      <c r="AA1198" s="6">
        <f>('TE BE'!$AB$8+'TE BF'!$AB$8+'TE CVA'!$AB$8)*1</f>
        <v>231.76257384332172</v>
      </c>
      <c r="AB1198" s="6">
        <f>$K$1198*$V$1198</f>
        <v>0</v>
      </c>
      <c r="AC1198" s="6">
        <f>$M$1198*$W$1198</f>
        <v>65.492018999999999</v>
      </c>
      <c r="AD1198" s="6">
        <f>$O$1198*$X$1198</f>
        <v>254.15969399999997</v>
      </c>
      <c r="AE1198" s="6">
        <f>$K$1198*$Y$1198</f>
        <v>0</v>
      </c>
      <c r="AF1198" s="6">
        <f ca="1">$M$1198*$Z$1198</f>
        <v>81.513020592594671</v>
      </c>
      <c r="AG1198" s="6">
        <f>$O$1198*$AA$1198</f>
        <v>242.58588604180483</v>
      </c>
    </row>
    <row r="1199" spans="1:33" ht="11.25" customHeight="1" x14ac:dyDescent="0.25">
      <c r="A1199" s="4" t="s">
        <v>21</v>
      </c>
      <c r="B1199" s="4" t="s">
        <v>41</v>
      </c>
      <c r="C1199" s="4" t="s">
        <v>42</v>
      </c>
      <c r="D1199" s="4" t="s">
        <v>45</v>
      </c>
      <c r="E1199" s="4" t="s">
        <v>53</v>
      </c>
      <c r="F1199" s="4" t="s">
        <v>55</v>
      </c>
      <c r="G1199" s="4" t="s">
        <v>25</v>
      </c>
      <c r="H1199" s="4" t="s">
        <v>35</v>
      </c>
      <c r="I1199" s="5">
        <v>44652</v>
      </c>
      <c r="J1199" s="6">
        <v>0</v>
      </c>
      <c r="K1199" s="6">
        <v>0</v>
      </c>
      <c r="L1199" s="6">
        <v>1244.174</v>
      </c>
      <c r="M1199" s="6">
        <v>124.4174</v>
      </c>
      <c r="N1199" s="6">
        <v>1244.174</v>
      </c>
      <c r="O1199" s="6">
        <v>124.4174</v>
      </c>
      <c r="P1199" s="6">
        <v>0</v>
      </c>
      <c r="Q1199" s="4" t="s">
        <v>26</v>
      </c>
      <c r="R1199" s="4">
        <v>0</v>
      </c>
      <c r="S1199" s="6">
        <v>0</v>
      </c>
      <c r="T1199" s="6">
        <v>44</v>
      </c>
      <c r="U1199" s="6">
        <v>67</v>
      </c>
      <c r="V1199" s="6">
        <f>IF(ISERROR(VLOOKUP($S$1199,'TAR FIN'!$A$1:$O$104,15,0)),0,VLOOKUP($S$1199,'TAR FIN'!$A$1:$O$104,15,0))</f>
        <v>0</v>
      </c>
      <c r="W1199" s="6">
        <f>IF(ISERROR(VLOOKUP($T$1199,'TAR FIN'!$A$1:$O$104,15,0)),0,VLOOKUP($T$1199,'TAR FIN'!$A$1:$O$104,15,0))</f>
        <v>62.57</v>
      </c>
      <c r="X1199" s="6">
        <f>IF(ISERROR(VLOOKUP($U$1199,'TAR FIN'!$A$1:$O$104,15,0)),0,VLOOKUP($U$1199,'TAR FIN'!$A$1:$O$104,15,0))</f>
        <v>242.82</v>
      </c>
      <c r="Y1199" s="6"/>
      <c r="Z1199" s="6">
        <f ca="1">('TUSD BE'!$AM$26+'TUSD BF'!$AM$26+'TUSD CVA'!$AM$26)*1</f>
        <v>77.876201961015255</v>
      </c>
      <c r="AA1199" s="6">
        <f>('TE BE'!$AB$8+'TE BF'!$AB$8+'TE CVA'!$AB$8)*1</f>
        <v>231.76257384332172</v>
      </c>
      <c r="AB1199" s="6">
        <f>$K$1199*$V$1199</f>
        <v>0</v>
      </c>
      <c r="AC1199" s="6">
        <f>$M$1199*$W$1199</f>
        <v>7784.7967180000005</v>
      </c>
      <c r="AD1199" s="6">
        <f>$O$1199*$X$1199</f>
        <v>30211.033068000001</v>
      </c>
      <c r="AE1199" s="6">
        <f>$K$1199*$Y$1199</f>
        <v>0</v>
      </c>
      <c r="AF1199" s="6">
        <f ca="1">$M$1199*$Z$1199</f>
        <v>9689.1545698644186</v>
      </c>
      <c r="AG1199" s="6">
        <f>$O$1199*$AA$1199</f>
        <v>28835.296854894095</v>
      </c>
    </row>
    <row r="1200" spans="1:33" ht="11.25" customHeight="1" x14ac:dyDescent="0.25">
      <c r="A1200" s="4" t="s">
        <v>27</v>
      </c>
      <c r="B1200" s="4" t="s">
        <v>41</v>
      </c>
      <c r="C1200" s="4" t="s">
        <v>42</v>
      </c>
      <c r="D1200" s="4" t="s">
        <v>45</v>
      </c>
      <c r="E1200" s="4" t="s">
        <v>53</v>
      </c>
      <c r="F1200" s="4" t="s">
        <v>55</v>
      </c>
      <c r="G1200" s="4" t="s">
        <v>25</v>
      </c>
      <c r="H1200" s="4" t="s">
        <v>35</v>
      </c>
      <c r="I1200" s="5">
        <v>44652</v>
      </c>
      <c r="J1200" s="6">
        <v>0</v>
      </c>
      <c r="K1200" s="6">
        <v>0</v>
      </c>
      <c r="L1200" s="6">
        <v>-11.851000000000001</v>
      </c>
      <c r="M1200" s="6">
        <v>-1.1851</v>
      </c>
      <c r="N1200" s="6">
        <v>-11.851000000000001</v>
      </c>
      <c r="O1200" s="6">
        <v>-1.1851</v>
      </c>
      <c r="P1200" s="6">
        <v>0</v>
      </c>
      <c r="Q1200" s="4" t="s">
        <v>26</v>
      </c>
      <c r="R1200" s="4">
        <v>0</v>
      </c>
      <c r="S1200" s="6">
        <v>0</v>
      </c>
      <c r="T1200" s="6">
        <v>44</v>
      </c>
      <c r="U1200" s="6">
        <v>67</v>
      </c>
      <c r="V1200" s="6">
        <f>IF(ISERROR(VLOOKUP($S$1200,'TAR FIN'!$A$1:$O$104,15,0)),0,VLOOKUP($S$1200,'TAR FIN'!$A$1:$O$104,15,0))</f>
        <v>0</v>
      </c>
      <c r="W1200" s="6">
        <f>IF(ISERROR(VLOOKUP($T$1200,'TAR FIN'!$A$1:$O$104,15,0)),0,VLOOKUP($T$1200,'TAR FIN'!$A$1:$O$104,15,0))</f>
        <v>62.57</v>
      </c>
      <c r="X1200" s="6">
        <f>IF(ISERROR(VLOOKUP($U$1200,'TAR FIN'!$A$1:$O$104,15,0)),0,VLOOKUP($U$1200,'TAR FIN'!$A$1:$O$104,15,0))</f>
        <v>242.82</v>
      </c>
      <c r="Y1200" s="6"/>
      <c r="Z1200" s="6">
        <f ca="1">('TUSD BE'!$AM$26+'TUSD BF'!$AM$26+'TUSD CVA'!$AM$26)*1</f>
        <v>77.876201961015255</v>
      </c>
      <c r="AA1200" s="6">
        <f>('TE BE'!$AB$8+'TE BF'!$AB$8+'TE CVA'!$AB$8)*1</f>
        <v>231.76257384332172</v>
      </c>
      <c r="AB1200" s="6">
        <f>$K$1200*$V$1200</f>
        <v>0</v>
      </c>
      <c r="AC1200" s="6">
        <f>$M$1200*$W$1200</f>
        <v>-74.151707000000002</v>
      </c>
      <c r="AD1200" s="6">
        <f>$O$1200*$X$1200</f>
        <v>-287.76598200000001</v>
      </c>
      <c r="AE1200" s="6">
        <f>$K$1200*$Y$1200</f>
        <v>0</v>
      </c>
      <c r="AF1200" s="6">
        <f ca="1">$M$1200*$Z$1200</f>
        <v>-92.291086943999176</v>
      </c>
      <c r="AG1200" s="6">
        <f>$O$1200*$AA$1200</f>
        <v>-274.66182626172059</v>
      </c>
    </row>
    <row r="1201" spans="1:33" ht="11.25" customHeight="1" x14ac:dyDescent="0.25">
      <c r="A1201" s="4" t="s">
        <v>28</v>
      </c>
      <c r="B1201" s="4" t="s">
        <v>41</v>
      </c>
      <c r="C1201" s="4" t="s">
        <v>42</v>
      </c>
      <c r="D1201" s="4" t="s">
        <v>45</v>
      </c>
      <c r="E1201" s="4" t="s">
        <v>53</v>
      </c>
      <c r="F1201" s="4" t="s">
        <v>55</v>
      </c>
      <c r="G1201" s="4" t="s">
        <v>25</v>
      </c>
      <c r="H1201" s="4" t="s">
        <v>35</v>
      </c>
      <c r="I1201" s="5">
        <v>44652</v>
      </c>
      <c r="J1201" s="6">
        <v>0</v>
      </c>
      <c r="K1201" s="6">
        <v>0</v>
      </c>
      <c r="L1201" s="6">
        <v>4.0919999999999996</v>
      </c>
      <c r="M1201" s="6">
        <v>0.40920000000000001</v>
      </c>
      <c r="N1201" s="6">
        <v>4.0919999999999996</v>
      </c>
      <c r="O1201" s="6">
        <v>0.40920000000000001</v>
      </c>
      <c r="P1201" s="6">
        <v>0</v>
      </c>
      <c r="Q1201" s="4" t="s">
        <v>26</v>
      </c>
      <c r="R1201" s="4">
        <v>0</v>
      </c>
      <c r="S1201" s="6">
        <v>0</v>
      </c>
      <c r="T1201" s="6">
        <v>44</v>
      </c>
      <c r="U1201" s="6">
        <v>67</v>
      </c>
      <c r="V1201" s="6">
        <f>IF(ISERROR(VLOOKUP($S$1201,'TAR FIN'!$A$1:$O$104,15,0)),0,VLOOKUP($S$1201,'TAR FIN'!$A$1:$O$104,15,0))</f>
        <v>0</v>
      </c>
      <c r="W1201" s="6">
        <f>IF(ISERROR(VLOOKUP($T$1201,'TAR FIN'!$A$1:$O$104,15,0)),0,VLOOKUP($T$1201,'TAR FIN'!$A$1:$O$104,15,0))</f>
        <v>62.57</v>
      </c>
      <c r="X1201" s="6">
        <f>IF(ISERROR(VLOOKUP($U$1201,'TAR FIN'!$A$1:$O$104,15,0)),0,VLOOKUP($U$1201,'TAR FIN'!$A$1:$O$104,15,0))</f>
        <v>242.82</v>
      </c>
      <c r="Y1201" s="6"/>
      <c r="Z1201" s="6">
        <f ca="1">('TUSD BE'!$AM$26+'TUSD BF'!$AM$26+'TUSD CVA'!$AM$26)*1</f>
        <v>77.876201961015255</v>
      </c>
      <c r="AA1201" s="6">
        <f>('TE BE'!$AB$8+'TE BF'!$AB$8+'TE CVA'!$AB$8)*1</f>
        <v>231.76257384332172</v>
      </c>
      <c r="AB1201" s="6">
        <f>$K$1201*$V$1201</f>
        <v>0</v>
      </c>
      <c r="AC1201" s="6">
        <f>$M$1201*$W$1201</f>
        <v>25.603643999999999</v>
      </c>
      <c r="AD1201" s="6">
        <f>$O$1201*$X$1201</f>
        <v>99.361943999999994</v>
      </c>
      <c r="AE1201" s="6">
        <f>$K$1201*$Y$1201</f>
        <v>0</v>
      </c>
      <c r="AF1201" s="6">
        <f ca="1">$M$1201*$Z$1201</f>
        <v>31.866941842447442</v>
      </c>
      <c r="AG1201" s="6">
        <f>$O$1201*$AA$1201</f>
        <v>94.837245216687251</v>
      </c>
    </row>
    <row r="1202" spans="1:33" ht="11.25" customHeight="1" x14ac:dyDescent="0.25">
      <c r="A1202" s="4" t="s">
        <v>28</v>
      </c>
      <c r="B1202" s="4" t="s">
        <v>41</v>
      </c>
      <c r="C1202" s="4" t="s">
        <v>42</v>
      </c>
      <c r="D1202" s="4" t="s">
        <v>45</v>
      </c>
      <c r="E1202" s="4" t="s">
        <v>53</v>
      </c>
      <c r="F1202" s="4" t="s">
        <v>55</v>
      </c>
      <c r="G1202" s="4" t="s">
        <v>25</v>
      </c>
      <c r="H1202" s="4" t="s">
        <v>35</v>
      </c>
      <c r="I1202" s="5">
        <v>44652</v>
      </c>
      <c r="J1202" s="6">
        <v>0</v>
      </c>
      <c r="K1202" s="6">
        <v>0</v>
      </c>
      <c r="L1202" s="6">
        <v>52.59</v>
      </c>
      <c r="M1202" s="6">
        <v>5.2590000000000003</v>
      </c>
      <c r="N1202" s="6">
        <v>52.59</v>
      </c>
      <c r="O1202" s="6">
        <v>5.2590000000000003</v>
      </c>
      <c r="P1202" s="6">
        <v>0</v>
      </c>
      <c r="Q1202" s="4" t="s">
        <v>26</v>
      </c>
      <c r="R1202" s="4">
        <v>0</v>
      </c>
      <c r="S1202" s="6">
        <v>0</v>
      </c>
      <c r="T1202" s="6">
        <v>44</v>
      </c>
      <c r="U1202" s="6">
        <v>67</v>
      </c>
      <c r="V1202" s="6">
        <f>IF(ISERROR(VLOOKUP($S$1202,'TAR FIN'!$A$1:$O$104,15,0)),0,VLOOKUP($S$1202,'TAR FIN'!$A$1:$O$104,15,0))</f>
        <v>0</v>
      </c>
      <c r="W1202" s="6">
        <f>IF(ISERROR(VLOOKUP($T$1202,'TAR FIN'!$A$1:$O$104,15,0)),0,VLOOKUP($T$1202,'TAR FIN'!$A$1:$O$104,15,0))</f>
        <v>62.57</v>
      </c>
      <c r="X1202" s="6">
        <f>IF(ISERROR(VLOOKUP($U$1202,'TAR FIN'!$A$1:$O$104,15,0)),0,VLOOKUP($U$1202,'TAR FIN'!$A$1:$O$104,15,0))</f>
        <v>242.82</v>
      </c>
      <c r="Y1202" s="6"/>
      <c r="Z1202" s="6">
        <f ca="1">('TUSD BE'!$AM$26+'TUSD BF'!$AM$26+'TUSD CVA'!$AM$26)*1</f>
        <v>77.876201961015255</v>
      </c>
      <c r="AA1202" s="6">
        <f>('TE BE'!$AB$8+'TE BF'!$AB$8+'TE CVA'!$AB$8)*1</f>
        <v>231.76257384332172</v>
      </c>
      <c r="AB1202" s="6">
        <f>$K$1202*$V$1202</f>
        <v>0</v>
      </c>
      <c r="AC1202" s="6">
        <f>$M$1202*$W$1202</f>
        <v>329.05563000000001</v>
      </c>
      <c r="AD1202" s="6">
        <f>$O$1202*$X$1202</f>
        <v>1276.99038</v>
      </c>
      <c r="AE1202" s="6">
        <f>$K$1202*$Y$1202</f>
        <v>0</v>
      </c>
      <c r="AF1202" s="6">
        <f ca="1">$M$1202*$Z$1202</f>
        <v>409.55094611297926</v>
      </c>
      <c r="AG1202" s="6">
        <f>$O$1202*$AA$1202</f>
        <v>1218.8393758420291</v>
      </c>
    </row>
    <row r="1203" spans="1:33" ht="11.25" customHeight="1" x14ac:dyDescent="0.25">
      <c r="A1203" s="4" t="s">
        <v>21</v>
      </c>
      <c r="B1203" s="4" t="s">
        <v>41</v>
      </c>
      <c r="C1203" s="4" t="s">
        <v>42</v>
      </c>
      <c r="D1203" s="4" t="s">
        <v>45</v>
      </c>
      <c r="E1203" s="4" t="s">
        <v>53</v>
      </c>
      <c r="F1203" s="4" t="s">
        <v>55</v>
      </c>
      <c r="G1203" s="4" t="s">
        <v>25</v>
      </c>
      <c r="H1203" s="4" t="s">
        <v>35</v>
      </c>
      <c r="I1203" s="5">
        <v>44682</v>
      </c>
      <c r="J1203" s="6">
        <v>0</v>
      </c>
      <c r="K1203" s="6">
        <v>0</v>
      </c>
      <c r="L1203" s="6">
        <v>798.85400000000004</v>
      </c>
      <c r="M1203" s="6">
        <v>79.885400000000004</v>
      </c>
      <c r="N1203" s="6">
        <v>798.85400000000004</v>
      </c>
      <c r="O1203" s="6">
        <v>79.885400000000004</v>
      </c>
      <c r="P1203" s="6">
        <v>0</v>
      </c>
      <c r="Q1203" s="4" t="s">
        <v>26</v>
      </c>
      <c r="R1203" s="4">
        <v>0</v>
      </c>
      <c r="S1203" s="6">
        <v>0</v>
      </c>
      <c r="T1203" s="6">
        <v>44</v>
      </c>
      <c r="U1203" s="6">
        <v>67</v>
      </c>
      <c r="V1203" s="6">
        <f>IF(ISERROR(VLOOKUP($S$1203,'TAR FIN'!$A$1:$O$104,15,0)),0,VLOOKUP($S$1203,'TAR FIN'!$A$1:$O$104,15,0))</f>
        <v>0</v>
      </c>
      <c r="W1203" s="6">
        <f>IF(ISERROR(VLOOKUP($T$1203,'TAR FIN'!$A$1:$O$104,15,0)),0,VLOOKUP($T$1203,'TAR FIN'!$A$1:$O$104,15,0))</f>
        <v>62.57</v>
      </c>
      <c r="X1203" s="6">
        <f>IF(ISERROR(VLOOKUP($U$1203,'TAR FIN'!$A$1:$O$104,15,0)),0,VLOOKUP($U$1203,'TAR FIN'!$A$1:$O$104,15,0))</f>
        <v>242.82</v>
      </c>
      <c r="Y1203" s="6"/>
      <c r="Z1203" s="6">
        <f ca="1">('TUSD BE'!$AM$26+'TUSD BF'!$AM$26+'TUSD CVA'!$AM$26)*1</f>
        <v>77.876201961015255</v>
      </c>
      <c r="AA1203" s="6">
        <f>('TE BE'!$AB$8+'TE BF'!$AB$8+'TE CVA'!$AB$8)*1</f>
        <v>231.76257384332172</v>
      </c>
      <c r="AB1203" s="6">
        <f>$K$1203*$V$1203</f>
        <v>0</v>
      </c>
      <c r="AC1203" s="6">
        <f>$M$1203*$W$1203</f>
        <v>4998.429478</v>
      </c>
      <c r="AD1203" s="6">
        <f>$O$1203*$X$1203</f>
        <v>19397.772828000001</v>
      </c>
      <c r="AE1203" s="6">
        <f>$K$1203*$Y$1203</f>
        <v>0</v>
      </c>
      <c r="AF1203" s="6">
        <f ca="1">$M$1203*$Z$1203</f>
        <v>6221.1715441364886</v>
      </c>
      <c r="AG1203" s="6">
        <f>$O$1203*$AA$1203</f>
        <v>18514.445916503293</v>
      </c>
    </row>
    <row r="1204" spans="1:33" ht="11.25" customHeight="1" x14ac:dyDescent="0.25">
      <c r="A1204" s="4" t="s">
        <v>28</v>
      </c>
      <c r="B1204" s="4" t="s">
        <v>41</v>
      </c>
      <c r="C1204" s="4" t="s">
        <v>42</v>
      </c>
      <c r="D1204" s="4" t="s">
        <v>45</v>
      </c>
      <c r="E1204" s="4" t="s">
        <v>53</v>
      </c>
      <c r="F1204" s="4" t="s">
        <v>55</v>
      </c>
      <c r="G1204" s="4" t="s">
        <v>25</v>
      </c>
      <c r="H1204" s="4" t="s">
        <v>35</v>
      </c>
      <c r="I1204" s="5">
        <v>44682</v>
      </c>
      <c r="J1204" s="6">
        <v>0</v>
      </c>
      <c r="K1204" s="6">
        <v>0</v>
      </c>
      <c r="L1204" s="6">
        <v>4.6029999999999998</v>
      </c>
      <c r="M1204" s="6">
        <v>0.46029999999999999</v>
      </c>
      <c r="N1204" s="6">
        <v>4.6029999999999998</v>
      </c>
      <c r="O1204" s="6">
        <v>0.46029999999999999</v>
      </c>
      <c r="P1204" s="6">
        <v>0</v>
      </c>
      <c r="Q1204" s="4" t="s">
        <v>26</v>
      </c>
      <c r="R1204" s="4">
        <v>0</v>
      </c>
      <c r="S1204" s="6">
        <v>0</v>
      </c>
      <c r="T1204" s="6">
        <v>44</v>
      </c>
      <c r="U1204" s="6">
        <v>67</v>
      </c>
      <c r="V1204" s="6">
        <f>IF(ISERROR(VLOOKUP($S$1204,'TAR FIN'!$A$1:$O$104,15,0)),0,VLOOKUP($S$1204,'TAR FIN'!$A$1:$O$104,15,0))</f>
        <v>0</v>
      </c>
      <c r="W1204" s="6">
        <f>IF(ISERROR(VLOOKUP($T$1204,'TAR FIN'!$A$1:$O$104,15,0)),0,VLOOKUP($T$1204,'TAR FIN'!$A$1:$O$104,15,0))</f>
        <v>62.57</v>
      </c>
      <c r="X1204" s="6">
        <f>IF(ISERROR(VLOOKUP($U$1204,'TAR FIN'!$A$1:$O$104,15,0)),0,VLOOKUP($U$1204,'TAR FIN'!$A$1:$O$104,15,0))</f>
        <v>242.82</v>
      </c>
      <c r="Y1204" s="6"/>
      <c r="Z1204" s="6">
        <f ca="1">('TUSD BE'!$AM$26+'TUSD BF'!$AM$26+'TUSD CVA'!$AM$26)*1</f>
        <v>77.876201961015255</v>
      </c>
      <c r="AA1204" s="6">
        <f>('TE BE'!$AB$8+'TE BF'!$AB$8+'TE CVA'!$AB$8)*1</f>
        <v>231.76257384332172</v>
      </c>
      <c r="AB1204" s="6">
        <f>$K$1204*$V$1204</f>
        <v>0</v>
      </c>
      <c r="AC1204" s="6">
        <f>$M$1204*$W$1204</f>
        <v>28.800971000000001</v>
      </c>
      <c r="AD1204" s="6">
        <f>$O$1204*$X$1204</f>
        <v>111.77004599999999</v>
      </c>
      <c r="AE1204" s="6">
        <f>$K$1204*$Y$1204</f>
        <v>0</v>
      </c>
      <c r="AF1204" s="6">
        <f ca="1">$M$1204*$Z$1204</f>
        <v>35.846415762655319</v>
      </c>
      <c r="AG1204" s="6">
        <f>$O$1204*$AA$1204</f>
        <v>106.68031274008098</v>
      </c>
    </row>
    <row r="1205" spans="1:33" ht="11.25" customHeight="1" x14ac:dyDescent="0.25">
      <c r="A1205" s="4" t="s">
        <v>21</v>
      </c>
      <c r="B1205" s="4" t="s">
        <v>41</v>
      </c>
      <c r="C1205" s="4" t="s">
        <v>42</v>
      </c>
      <c r="D1205" s="4" t="s">
        <v>45</v>
      </c>
      <c r="E1205" s="4" t="s">
        <v>53</v>
      </c>
      <c r="F1205" s="4" t="s">
        <v>55</v>
      </c>
      <c r="G1205" s="4" t="s">
        <v>25</v>
      </c>
      <c r="H1205" s="4" t="s">
        <v>35</v>
      </c>
      <c r="I1205" s="5">
        <v>44713</v>
      </c>
      <c r="J1205" s="6">
        <v>0</v>
      </c>
      <c r="K1205" s="6">
        <v>0</v>
      </c>
      <c r="L1205" s="6">
        <v>533.52800000000002</v>
      </c>
      <c r="M1205" s="6">
        <v>53.352800000000002</v>
      </c>
      <c r="N1205" s="6">
        <v>533.52800000000002</v>
      </c>
      <c r="O1205" s="6">
        <v>53.352800000000002</v>
      </c>
      <c r="P1205" s="6">
        <v>0</v>
      </c>
      <c r="Q1205" s="4" t="s">
        <v>26</v>
      </c>
      <c r="R1205" s="4">
        <v>0</v>
      </c>
      <c r="S1205" s="6">
        <v>0</v>
      </c>
      <c r="T1205" s="6">
        <v>44</v>
      </c>
      <c r="U1205" s="6">
        <v>67</v>
      </c>
      <c r="V1205" s="6">
        <f>IF(ISERROR(VLOOKUP($S$1205,'TAR FIN'!$A$1:$O$104,15,0)),0,VLOOKUP($S$1205,'TAR FIN'!$A$1:$O$104,15,0))</f>
        <v>0</v>
      </c>
      <c r="W1205" s="6">
        <f>IF(ISERROR(VLOOKUP($T$1205,'TAR FIN'!$A$1:$O$104,15,0)),0,VLOOKUP($T$1205,'TAR FIN'!$A$1:$O$104,15,0))</f>
        <v>62.57</v>
      </c>
      <c r="X1205" s="6">
        <f>IF(ISERROR(VLOOKUP($U$1205,'TAR FIN'!$A$1:$O$104,15,0)),0,VLOOKUP($U$1205,'TAR FIN'!$A$1:$O$104,15,0))</f>
        <v>242.82</v>
      </c>
      <c r="Y1205" s="6"/>
      <c r="Z1205" s="6">
        <f ca="1">('TUSD BE'!$AM$26+'TUSD BF'!$AM$26+'TUSD CVA'!$AM$26)*1</f>
        <v>77.876201961015255</v>
      </c>
      <c r="AA1205" s="6">
        <f>('TE BE'!$AB$8+'TE BF'!$AB$8+'TE CVA'!$AB$8)*1</f>
        <v>231.76257384332172</v>
      </c>
      <c r="AB1205" s="6">
        <f>$K$1205*$V$1205</f>
        <v>0</v>
      </c>
      <c r="AC1205" s="6">
        <f>$M$1205*$W$1205</f>
        <v>3338.2846960000002</v>
      </c>
      <c r="AD1205" s="6">
        <f>$O$1205*$X$1205</f>
        <v>12955.126896</v>
      </c>
      <c r="AE1205" s="6">
        <f>$K$1205*$Y$1205</f>
        <v>0</v>
      </c>
      <c r="AF1205" s="6">
        <f ca="1">$M$1205*$Z$1205</f>
        <v>4154.9134279856553</v>
      </c>
      <c r="AG1205" s="6">
        <f>$O$1205*$AA$1205</f>
        <v>12365.182249747975</v>
      </c>
    </row>
    <row r="1206" spans="1:33" ht="11.25" customHeight="1" x14ac:dyDescent="0.25">
      <c r="A1206" s="4" t="s">
        <v>27</v>
      </c>
      <c r="B1206" s="4" t="s">
        <v>41</v>
      </c>
      <c r="C1206" s="4" t="s">
        <v>42</v>
      </c>
      <c r="D1206" s="4" t="s">
        <v>45</v>
      </c>
      <c r="E1206" s="4" t="s">
        <v>53</v>
      </c>
      <c r="F1206" s="4" t="s">
        <v>55</v>
      </c>
      <c r="G1206" s="4" t="s">
        <v>25</v>
      </c>
      <c r="H1206" s="4" t="s">
        <v>35</v>
      </c>
      <c r="I1206" s="5">
        <v>44713</v>
      </c>
      <c r="J1206" s="6">
        <v>0</v>
      </c>
      <c r="K1206" s="6">
        <v>0</v>
      </c>
      <c r="L1206" s="6">
        <v>-26.832000000000001</v>
      </c>
      <c r="M1206" s="6">
        <v>-2.6831999999999998</v>
      </c>
      <c r="N1206" s="6">
        <v>-26.832000000000001</v>
      </c>
      <c r="O1206" s="6">
        <v>-2.6831999999999998</v>
      </c>
      <c r="P1206" s="6">
        <v>0</v>
      </c>
      <c r="Q1206" s="4" t="s">
        <v>26</v>
      </c>
      <c r="R1206" s="4">
        <v>0</v>
      </c>
      <c r="S1206" s="6">
        <v>0</v>
      </c>
      <c r="T1206" s="6">
        <v>44</v>
      </c>
      <c r="U1206" s="6">
        <v>67</v>
      </c>
      <c r="V1206" s="6">
        <f>IF(ISERROR(VLOOKUP($S$1206,'TAR FIN'!$A$1:$O$104,15,0)),0,VLOOKUP($S$1206,'TAR FIN'!$A$1:$O$104,15,0))</f>
        <v>0</v>
      </c>
      <c r="W1206" s="6">
        <f>IF(ISERROR(VLOOKUP($T$1206,'TAR FIN'!$A$1:$O$104,15,0)),0,VLOOKUP($T$1206,'TAR FIN'!$A$1:$O$104,15,0))</f>
        <v>62.57</v>
      </c>
      <c r="X1206" s="6">
        <f>IF(ISERROR(VLOOKUP($U$1206,'TAR FIN'!$A$1:$O$104,15,0)),0,VLOOKUP($U$1206,'TAR FIN'!$A$1:$O$104,15,0))</f>
        <v>242.82</v>
      </c>
      <c r="Y1206" s="6"/>
      <c r="Z1206" s="6">
        <f ca="1">('TUSD BE'!$AM$26+'TUSD BF'!$AM$26+'TUSD CVA'!$AM$26)*1</f>
        <v>77.876201961015255</v>
      </c>
      <c r="AA1206" s="6">
        <f>('TE BE'!$AB$8+'TE BF'!$AB$8+'TE CVA'!$AB$8)*1</f>
        <v>231.76257384332172</v>
      </c>
      <c r="AB1206" s="6">
        <f>$K$1206*$V$1206</f>
        <v>0</v>
      </c>
      <c r="AC1206" s="6">
        <f>$M$1206*$W$1206</f>
        <v>-167.88782399999999</v>
      </c>
      <c r="AD1206" s="6">
        <f>$O$1206*$X$1206</f>
        <v>-651.53462399999989</v>
      </c>
      <c r="AE1206" s="6">
        <f>$K$1206*$Y$1206</f>
        <v>0</v>
      </c>
      <c r="AF1206" s="6">
        <f ca="1">$M$1206*$Z$1206</f>
        <v>-208.9574251017961</v>
      </c>
      <c r="AG1206" s="6">
        <f>$O$1206*$AA$1206</f>
        <v>-621.86533813640074</v>
      </c>
    </row>
    <row r="1207" spans="1:33" ht="11.25" customHeight="1" x14ac:dyDescent="0.25">
      <c r="A1207" s="4" t="s">
        <v>28</v>
      </c>
      <c r="B1207" s="4" t="s">
        <v>41</v>
      </c>
      <c r="C1207" s="4" t="s">
        <v>42</v>
      </c>
      <c r="D1207" s="4" t="s">
        <v>45</v>
      </c>
      <c r="E1207" s="4" t="s">
        <v>53</v>
      </c>
      <c r="F1207" s="4" t="s">
        <v>55</v>
      </c>
      <c r="G1207" s="4" t="s">
        <v>25</v>
      </c>
      <c r="H1207" s="4" t="s">
        <v>35</v>
      </c>
      <c r="I1207" s="5">
        <v>44713</v>
      </c>
      <c r="J1207" s="6">
        <v>0</v>
      </c>
      <c r="K1207" s="6">
        <v>0</v>
      </c>
      <c r="L1207" s="6">
        <v>0.72499999999999998</v>
      </c>
      <c r="M1207" s="6">
        <v>7.2499999999999995E-2</v>
      </c>
      <c r="N1207" s="6">
        <v>0.72499999999999998</v>
      </c>
      <c r="O1207" s="6">
        <v>7.2499999999999995E-2</v>
      </c>
      <c r="P1207" s="6">
        <v>0</v>
      </c>
      <c r="Q1207" s="4" t="s">
        <v>26</v>
      </c>
      <c r="R1207" s="4">
        <v>0</v>
      </c>
      <c r="S1207" s="6">
        <v>0</v>
      </c>
      <c r="T1207" s="6">
        <v>44</v>
      </c>
      <c r="U1207" s="6">
        <v>67</v>
      </c>
      <c r="V1207" s="6">
        <f>IF(ISERROR(VLOOKUP($S$1207,'TAR FIN'!$A$1:$O$104,15,0)),0,VLOOKUP($S$1207,'TAR FIN'!$A$1:$O$104,15,0))</f>
        <v>0</v>
      </c>
      <c r="W1207" s="6">
        <f>IF(ISERROR(VLOOKUP($T$1207,'TAR FIN'!$A$1:$O$104,15,0)),0,VLOOKUP($T$1207,'TAR FIN'!$A$1:$O$104,15,0))</f>
        <v>62.57</v>
      </c>
      <c r="X1207" s="6">
        <f>IF(ISERROR(VLOOKUP($U$1207,'TAR FIN'!$A$1:$O$104,15,0)),0,VLOOKUP($U$1207,'TAR FIN'!$A$1:$O$104,15,0))</f>
        <v>242.82</v>
      </c>
      <c r="Y1207" s="6"/>
      <c r="Z1207" s="6">
        <f ca="1">('TUSD BE'!$AM$26+'TUSD BF'!$AM$26+'TUSD CVA'!$AM$26)*1</f>
        <v>77.876201961015255</v>
      </c>
      <c r="AA1207" s="6">
        <f>('TE BE'!$AB$8+'TE BF'!$AB$8+'TE CVA'!$AB$8)*1</f>
        <v>231.76257384332172</v>
      </c>
      <c r="AB1207" s="6">
        <f>$K$1207*$V$1207</f>
        <v>0</v>
      </c>
      <c r="AC1207" s="6">
        <f>$M$1207*$W$1207</f>
        <v>4.5363249999999997</v>
      </c>
      <c r="AD1207" s="6">
        <f>$O$1207*$X$1207</f>
        <v>17.60445</v>
      </c>
      <c r="AE1207" s="6">
        <f>$K$1207*$Y$1207</f>
        <v>0</v>
      </c>
      <c r="AF1207" s="6">
        <f ca="1">$M$1207*$Z$1207</f>
        <v>5.6460246421736056</v>
      </c>
      <c r="AG1207" s="6">
        <f>$O$1207*$AA$1207</f>
        <v>16.802786603640822</v>
      </c>
    </row>
    <row r="1208" spans="1:33" ht="11.25" customHeight="1" x14ac:dyDescent="0.25">
      <c r="A1208" s="4" t="s">
        <v>57</v>
      </c>
      <c r="B1208" s="4" t="s">
        <v>41</v>
      </c>
      <c r="C1208" s="4" t="s">
        <v>42</v>
      </c>
      <c r="D1208" s="4" t="s">
        <v>45</v>
      </c>
      <c r="E1208" s="4" t="s">
        <v>53</v>
      </c>
      <c r="F1208" s="4" t="s">
        <v>55</v>
      </c>
      <c r="G1208" s="4" t="s">
        <v>25</v>
      </c>
      <c r="H1208" s="4" t="s">
        <v>35</v>
      </c>
      <c r="I1208" s="5">
        <v>44743</v>
      </c>
      <c r="J1208" s="6">
        <v>0</v>
      </c>
      <c r="K1208" s="6">
        <v>0</v>
      </c>
      <c r="L1208" s="6">
        <v>533.52800000000002</v>
      </c>
      <c r="M1208" s="6">
        <v>53.352800000000002</v>
      </c>
      <c r="N1208" s="6">
        <v>533.52800000000002</v>
      </c>
      <c r="O1208" s="6">
        <v>53.352800000000002</v>
      </c>
      <c r="P1208" s="6">
        <v>0</v>
      </c>
      <c r="Q1208" s="4" t="s">
        <v>26</v>
      </c>
      <c r="R1208" s="4">
        <v>0</v>
      </c>
      <c r="S1208" s="6">
        <v>0</v>
      </c>
      <c r="T1208" s="6">
        <v>44</v>
      </c>
      <c r="U1208" s="6">
        <v>67</v>
      </c>
      <c r="V1208" s="6">
        <f>IF(ISERROR(VLOOKUP($S$1208,'TAR FIN'!$A$1:$O$104,15,0)),0,VLOOKUP($S$1208,'TAR FIN'!$A$1:$O$104,15,0))</f>
        <v>0</v>
      </c>
      <c r="W1208" s="6">
        <f>IF(ISERROR(VLOOKUP($T$1208,'TAR FIN'!$A$1:$O$104,15,0)),0,VLOOKUP($T$1208,'TAR FIN'!$A$1:$O$104,15,0))</f>
        <v>62.57</v>
      </c>
      <c r="X1208" s="6">
        <f>IF(ISERROR(VLOOKUP($U$1208,'TAR FIN'!$A$1:$O$104,15,0)),0,VLOOKUP($U$1208,'TAR FIN'!$A$1:$O$104,15,0))</f>
        <v>242.82</v>
      </c>
      <c r="Y1208" s="6"/>
      <c r="Z1208" s="6">
        <f ca="1">('TUSD BE'!$AM$26+'TUSD BF'!$AM$26+'TUSD CVA'!$AM$26)*1</f>
        <v>77.876201961015255</v>
      </c>
      <c r="AA1208" s="6">
        <f>('TE BE'!$AB$8+'TE BF'!$AB$8+'TE CVA'!$AB$8)*1</f>
        <v>231.76257384332172</v>
      </c>
      <c r="AB1208" s="6">
        <f>$K$1208*$V$1208</f>
        <v>0</v>
      </c>
      <c r="AC1208" s="6">
        <f>$M$1208*$W$1208</f>
        <v>3338.2846960000002</v>
      </c>
      <c r="AD1208" s="6">
        <f>$O$1208*$X$1208</f>
        <v>12955.126896</v>
      </c>
      <c r="AE1208" s="6">
        <f>$K$1208*$Y$1208</f>
        <v>0</v>
      </c>
      <c r="AF1208" s="6">
        <f ca="1">$M$1208*$Z$1208</f>
        <v>4154.9134279856553</v>
      </c>
      <c r="AG1208" s="6">
        <f>$O$1208*$AA$1208</f>
        <v>12365.182249747975</v>
      </c>
    </row>
    <row r="1209" spans="1:33" ht="11.25" customHeight="1" x14ac:dyDescent="0.25">
      <c r="A1209" s="4" t="s">
        <v>57</v>
      </c>
      <c r="B1209" s="4" t="s">
        <v>41</v>
      </c>
      <c r="C1209" s="4" t="s">
        <v>42</v>
      </c>
      <c r="D1209" s="4" t="s">
        <v>45</v>
      </c>
      <c r="E1209" s="4" t="s">
        <v>53</v>
      </c>
      <c r="F1209" s="4" t="s">
        <v>55</v>
      </c>
      <c r="G1209" s="4" t="s">
        <v>25</v>
      </c>
      <c r="H1209" s="4" t="s">
        <v>35</v>
      </c>
      <c r="I1209" s="5">
        <v>44743</v>
      </c>
      <c r="J1209" s="6">
        <v>0</v>
      </c>
      <c r="K1209" s="6">
        <v>0</v>
      </c>
      <c r="L1209" s="6">
        <v>-26.832000000000001</v>
      </c>
      <c r="M1209" s="6">
        <v>-2.6831999999999998</v>
      </c>
      <c r="N1209" s="6">
        <v>-26.832000000000001</v>
      </c>
      <c r="O1209" s="6">
        <v>-2.6831999999999998</v>
      </c>
      <c r="P1209" s="6">
        <v>0</v>
      </c>
      <c r="Q1209" s="4" t="s">
        <v>26</v>
      </c>
      <c r="R1209" s="4">
        <v>0</v>
      </c>
      <c r="S1209" s="6">
        <v>0</v>
      </c>
      <c r="T1209" s="6">
        <v>44</v>
      </c>
      <c r="U1209" s="6">
        <v>67</v>
      </c>
      <c r="V1209" s="6">
        <f>IF(ISERROR(VLOOKUP($S$1209,'TAR FIN'!$A$1:$O$104,15,0)),0,VLOOKUP($S$1209,'TAR FIN'!$A$1:$O$104,15,0))</f>
        <v>0</v>
      </c>
      <c r="W1209" s="6">
        <f>IF(ISERROR(VLOOKUP($T$1209,'TAR FIN'!$A$1:$O$104,15,0)),0,VLOOKUP($T$1209,'TAR FIN'!$A$1:$O$104,15,0))</f>
        <v>62.57</v>
      </c>
      <c r="X1209" s="6">
        <f>IF(ISERROR(VLOOKUP($U$1209,'TAR FIN'!$A$1:$O$104,15,0)),0,VLOOKUP($U$1209,'TAR FIN'!$A$1:$O$104,15,0))</f>
        <v>242.82</v>
      </c>
      <c r="Y1209" s="6"/>
      <c r="Z1209" s="6">
        <f ca="1">('TUSD BE'!$AM$26+'TUSD BF'!$AM$26+'TUSD CVA'!$AM$26)*1</f>
        <v>77.876201961015255</v>
      </c>
      <c r="AA1209" s="6">
        <f>('TE BE'!$AB$8+'TE BF'!$AB$8+'TE CVA'!$AB$8)*1</f>
        <v>231.76257384332172</v>
      </c>
      <c r="AB1209" s="6">
        <f>$K$1209*$V$1209</f>
        <v>0</v>
      </c>
      <c r="AC1209" s="6">
        <f>$M$1209*$W$1209</f>
        <v>-167.88782399999999</v>
      </c>
      <c r="AD1209" s="6">
        <f>$O$1209*$X$1209</f>
        <v>-651.53462399999989</v>
      </c>
      <c r="AE1209" s="6">
        <f>$K$1209*$Y$1209</f>
        <v>0</v>
      </c>
      <c r="AF1209" s="6">
        <f ca="1">$M$1209*$Z$1209</f>
        <v>-208.9574251017961</v>
      </c>
      <c r="AG1209" s="6">
        <f>$O$1209*$AA$1209</f>
        <v>-621.86533813640074</v>
      </c>
    </row>
    <row r="1210" spans="1:33" ht="11.25" customHeight="1" x14ac:dyDescent="0.25">
      <c r="A1210" s="4" t="s">
        <v>57</v>
      </c>
      <c r="B1210" s="4" t="s">
        <v>41</v>
      </c>
      <c r="C1210" s="4" t="s">
        <v>42</v>
      </c>
      <c r="D1210" s="4" t="s">
        <v>45</v>
      </c>
      <c r="E1210" s="4" t="s">
        <v>53</v>
      </c>
      <c r="F1210" s="4" t="s">
        <v>55</v>
      </c>
      <c r="G1210" s="4" t="s">
        <v>25</v>
      </c>
      <c r="H1210" s="4" t="s">
        <v>35</v>
      </c>
      <c r="I1210" s="5">
        <v>44743</v>
      </c>
      <c r="J1210" s="6">
        <v>0</v>
      </c>
      <c r="K1210" s="6">
        <v>0</v>
      </c>
      <c r="L1210" s="6">
        <v>0.72499999999999998</v>
      </c>
      <c r="M1210" s="6">
        <v>7.2499999999999995E-2</v>
      </c>
      <c r="N1210" s="6">
        <v>0.72499999999999998</v>
      </c>
      <c r="O1210" s="6">
        <v>7.2499999999999995E-2</v>
      </c>
      <c r="P1210" s="6">
        <v>0</v>
      </c>
      <c r="Q1210" s="4" t="s">
        <v>26</v>
      </c>
      <c r="R1210" s="4">
        <v>0</v>
      </c>
      <c r="S1210" s="6">
        <v>0</v>
      </c>
      <c r="T1210" s="6">
        <v>44</v>
      </c>
      <c r="U1210" s="6">
        <v>67</v>
      </c>
      <c r="V1210" s="6">
        <f>IF(ISERROR(VLOOKUP($S$1210,'TAR FIN'!$A$1:$O$104,15,0)),0,VLOOKUP($S$1210,'TAR FIN'!$A$1:$O$104,15,0))</f>
        <v>0</v>
      </c>
      <c r="W1210" s="6">
        <f>IF(ISERROR(VLOOKUP($T$1210,'TAR FIN'!$A$1:$O$104,15,0)),0,VLOOKUP($T$1210,'TAR FIN'!$A$1:$O$104,15,0))</f>
        <v>62.57</v>
      </c>
      <c r="X1210" s="6">
        <f>IF(ISERROR(VLOOKUP($U$1210,'TAR FIN'!$A$1:$O$104,15,0)),0,VLOOKUP($U$1210,'TAR FIN'!$A$1:$O$104,15,0))</f>
        <v>242.82</v>
      </c>
      <c r="Y1210" s="6"/>
      <c r="Z1210" s="6">
        <f ca="1">('TUSD BE'!$AM$26+'TUSD BF'!$AM$26+'TUSD CVA'!$AM$26)*1</f>
        <v>77.876201961015255</v>
      </c>
      <c r="AA1210" s="6">
        <f>('TE BE'!$AB$8+'TE BF'!$AB$8+'TE CVA'!$AB$8)*1</f>
        <v>231.76257384332172</v>
      </c>
      <c r="AB1210" s="6">
        <f>$K$1210*$V$1210</f>
        <v>0</v>
      </c>
      <c r="AC1210" s="6">
        <f>$M$1210*$W$1210</f>
        <v>4.5363249999999997</v>
      </c>
      <c r="AD1210" s="6">
        <f>$O$1210*$X$1210</f>
        <v>17.60445</v>
      </c>
      <c r="AE1210" s="6">
        <f>$K$1210*$Y$1210</f>
        <v>0</v>
      </c>
      <c r="AF1210" s="6">
        <f ca="1">$M$1210*$Z$1210</f>
        <v>5.6460246421736056</v>
      </c>
      <c r="AG1210" s="6">
        <f>$O$1210*$AA$1210</f>
        <v>16.802786603640822</v>
      </c>
    </row>
    <row r="1211" spans="1:33" ht="11.25" customHeight="1" x14ac:dyDescent="0.25">
      <c r="A1211" s="4" t="s">
        <v>21</v>
      </c>
      <c r="B1211" s="4" t="s">
        <v>41</v>
      </c>
      <c r="C1211" s="4" t="s">
        <v>42</v>
      </c>
      <c r="D1211" s="4" t="s">
        <v>45</v>
      </c>
      <c r="E1211" s="4" t="s">
        <v>53</v>
      </c>
      <c r="F1211" s="4" t="s">
        <v>25</v>
      </c>
      <c r="G1211" s="4" t="s">
        <v>25</v>
      </c>
      <c r="H1211" s="4" t="s">
        <v>35</v>
      </c>
      <c r="I1211" s="5">
        <v>44409</v>
      </c>
      <c r="J1211" s="6">
        <v>0</v>
      </c>
      <c r="K1211" s="60">
        <v>0</v>
      </c>
      <c r="L1211" s="6">
        <v>1338.748</v>
      </c>
      <c r="M1211" s="60">
        <v>1338.748</v>
      </c>
      <c r="N1211" s="6">
        <v>1338.748</v>
      </c>
      <c r="O1211" s="60">
        <v>1338.748</v>
      </c>
      <c r="P1211" s="6">
        <v>0</v>
      </c>
      <c r="Q1211" s="4" t="s">
        <v>26</v>
      </c>
      <c r="R1211" s="4">
        <v>0</v>
      </c>
      <c r="S1211" s="6">
        <v>0</v>
      </c>
      <c r="T1211" s="6">
        <v>44</v>
      </c>
      <c r="U1211" s="6">
        <v>67</v>
      </c>
      <c r="V1211" s="60">
        <f>IF(ISERROR(VLOOKUP($S$1211,'TAR FIN'!$A$1:$O$104,15,0)),0,VLOOKUP($S$1211,'TAR FIN'!$A$1:$O$104,15,0))</f>
        <v>0</v>
      </c>
      <c r="W1211" s="60">
        <f>IF(ISERROR(VLOOKUP($T$1211,'TAR FIN'!$A$1:$O$104,15,0)),0,VLOOKUP($T$1211,'TAR FIN'!$A$1:$O$104,15,0))*(1-0.04)</f>
        <v>60.0672</v>
      </c>
      <c r="X1211" s="60">
        <f>IF(ISERROR(VLOOKUP($U$1211,'TAR FIN'!$A$1:$O$104,15,0)),0,VLOOKUP($U$1211,'TAR FIN'!$A$1:$O$104,15,0))*(1-0.04)</f>
        <v>233.10719999999998</v>
      </c>
      <c r="Y1211" s="60"/>
      <c r="Z1211" s="60">
        <f ca="1">('TUSD BE'!$AM$26+'TUSD BF'!$AM$26+'TUSD CVA'!$AM$26)*1*(1-0.02)</f>
        <v>76.318677921794944</v>
      </c>
      <c r="AA1211" s="60">
        <f>('TE BE'!$AB$8+'TE BF'!$AB$8+'TE CVA'!$AB$8)*1*(1-0.02)</f>
        <v>227.12732236645527</v>
      </c>
      <c r="AB1211" s="6">
        <f>$K$1211*$V$1211</f>
        <v>0</v>
      </c>
      <c r="AC1211" s="6">
        <f>$M$1211*$W$1211</f>
        <v>80414.843865600007</v>
      </c>
      <c r="AD1211" s="6">
        <f>$O$1211*$X$1211</f>
        <v>312071.79778560001</v>
      </c>
      <c r="AE1211" s="6">
        <f>$K$1211*$Y$1211</f>
        <v>0</v>
      </c>
      <c r="AF1211" s="6">
        <f ca="1">$M$1211*$Z$1211</f>
        <v>102171.47743044714</v>
      </c>
      <c r="AG1211" s="6">
        <f>$O$1211*$AA$1211</f>
        <v>304066.24856344727</v>
      </c>
    </row>
    <row r="1212" spans="1:33" ht="11.25" customHeight="1" x14ac:dyDescent="0.25">
      <c r="A1212" s="4" t="s">
        <v>27</v>
      </c>
      <c r="B1212" s="4" t="s">
        <v>41</v>
      </c>
      <c r="C1212" s="4" t="s">
        <v>42</v>
      </c>
      <c r="D1212" s="4" t="s">
        <v>45</v>
      </c>
      <c r="E1212" s="4" t="s">
        <v>53</v>
      </c>
      <c r="F1212" s="4" t="s">
        <v>25</v>
      </c>
      <c r="G1212" s="4" t="s">
        <v>25</v>
      </c>
      <c r="H1212" s="4" t="s">
        <v>35</v>
      </c>
      <c r="I1212" s="5">
        <v>44409</v>
      </c>
      <c r="J1212" s="6">
        <v>0</v>
      </c>
      <c r="K1212" s="60">
        <v>0</v>
      </c>
      <c r="L1212" s="6">
        <v>-31.73</v>
      </c>
      <c r="M1212" s="60">
        <v>-31.73</v>
      </c>
      <c r="N1212" s="6">
        <v>-31.73</v>
      </c>
      <c r="O1212" s="60">
        <v>-31.73</v>
      </c>
      <c r="P1212" s="6">
        <v>0</v>
      </c>
      <c r="Q1212" s="4" t="s">
        <v>26</v>
      </c>
      <c r="R1212" s="4">
        <v>0</v>
      </c>
      <c r="S1212" s="6">
        <v>0</v>
      </c>
      <c r="T1212" s="6">
        <v>44</v>
      </c>
      <c r="U1212" s="6">
        <v>67</v>
      </c>
      <c r="V1212" s="60">
        <f>IF(ISERROR(VLOOKUP($S$1212,'TAR FIN'!$A$1:$O$104,15,0)),0,VLOOKUP($S$1212,'TAR FIN'!$A$1:$O$104,15,0))</f>
        <v>0</v>
      </c>
      <c r="W1212" s="60">
        <f>IF(ISERROR(VLOOKUP($T$1212,'TAR FIN'!$A$1:$O$104,15,0)),0,VLOOKUP($T$1212,'TAR FIN'!$A$1:$O$104,15,0))*(1-0.04)</f>
        <v>60.0672</v>
      </c>
      <c r="X1212" s="60">
        <f>IF(ISERROR(VLOOKUP($U$1212,'TAR FIN'!$A$1:$O$104,15,0)),0,VLOOKUP($U$1212,'TAR FIN'!$A$1:$O$104,15,0))*(1-0.04)</f>
        <v>233.10719999999998</v>
      </c>
      <c r="Y1212" s="60"/>
      <c r="Z1212" s="60">
        <f ca="1">('TUSD BE'!$AM$26+'TUSD BF'!$AM$26+'TUSD CVA'!$AM$26)*1*(1-0.02)</f>
        <v>76.318677921794944</v>
      </c>
      <c r="AA1212" s="60">
        <f>('TE BE'!$AB$8+'TE BF'!$AB$8+'TE CVA'!$AB$8)*1*(1-0.02)</f>
        <v>227.12732236645527</v>
      </c>
      <c r="AB1212" s="6">
        <f>$K$1212*$V$1212</f>
        <v>0</v>
      </c>
      <c r="AC1212" s="6">
        <f>$M$1212*$W$1212</f>
        <v>-1905.9322560000001</v>
      </c>
      <c r="AD1212" s="6">
        <f>$O$1212*$X$1212</f>
        <v>-7396.4914559999997</v>
      </c>
      <c r="AE1212" s="6">
        <f>$K$1212*$Y$1212</f>
        <v>0</v>
      </c>
      <c r="AF1212" s="6">
        <f ca="1">$M$1212*$Z$1212</f>
        <v>-2421.5916504585534</v>
      </c>
      <c r="AG1212" s="6">
        <f>$O$1212*$AA$1212</f>
        <v>-7206.7499386876261</v>
      </c>
    </row>
    <row r="1213" spans="1:33" ht="11.25" customHeight="1" x14ac:dyDescent="0.25">
      <c r="A1213" s="4" t="s">
        <v>28</v>
      </c>
      <c r="B1213" s="4" t="s">
        <v>41</v>
      </c>
      <c r="C1213" s="4" t="s">
        <v>42</v>
      </c>
      <c r="D1213" s="4" t="s">
        <v>45</v>
      </c>
      <c r="E1213" s="4" t="s">
        <v>53</v>
      </c>
      <c r="F1213" s="4" t="s">
        <v>25</v>
      </c>
      <c r="G1213" s="4" t="s">
        <v>25</v>
      </c>
      <c r="H1213" s="4" t="s">
        <v>35</v>
      </c>
      <c r="I1213" s="5">
        <v>44409</v>
      </c>
      <c r="J1213" s="6">
        <v>0</v>
      </c>
      <c r="K1213" s="60">
        <v>0</v>
      </c>
      <c r="L1213" s="6">
        <v>23.425000000000001</v>
      </c>
      <c r="M1213" s="60">
        <v>23.425000000000001</v>
      </c>
      <c r="N1213" s="6">
        <v>23.425000000000001</v>
      </c>
      <c r="O1213" s="60">
        <v>23.425000000000001</v>
      </c>
      <c r="P1213" s="6">
        <v>0</v>
      </c>
      <c r="Q1213" s="4" t="s">
        <v>26</v>
      </c>
      <c r="R1213" s="4">
        <v>0</v>
      </c>
      <c r="S1213" s="6">
        <v>0</v>
      </c>
      <c r="T1213" s="6">
        <v>44</v>
      </c>
      <c r="U1213" s="6">
        <v>67</v>
      </c>
      <c r="V1213" s="60">
        <f>IF(ISERROR(VLOOKUP($S$1213,'TAR FIN'!$A$1:$O$104,15,0)),0,VLOOKUP($S$1213,'TAR FIN'!$A$1:$O$104,15,0))</f>
        <v>0</v>
      </c>
      <c r="W1213" s="60">
        <f>IF(ISERROR(VLOOKUP($T$1213,'TAR FIN'!$A$1:$O$104,15,0)),0,VLOOKUP($T$1213,'TAR FIN'!$A$1:$O$104,15,0))*(1-0.04)</f>
        <v>60.0672</v>
      </c>
      <c r="X1213" s="60">
        <f>IF(ISERROR(VLOOKUP($U$1213,'TAR FIN'!$A$1:$O$104,15,0)),0,VLOOKUP($U$1213,'TAR FIN'!$A$1:$O$104,15,0))*(1-0.04)</f>
        <v>233.10719999999998</v>
      </c>
      <c r="Y1213" s="60"/>
      <c r="Z1213" s="60">
        <f ca="1">('TUSD BE'!$AM$26+'TUSD BF'!$AM$26+'TUSD CVA'!$AM$26)*1*(1-0.02)</f>
        <v>76.318677921794944</v>
      </c>
      <c r="AA1213" s="60">
        <f>('TE BE'!$AB$8+'TE BF'!$AB$8+'TE CVA'!$AB$8)*1*(1-0.02)</f>
        <v>227.12732236645527</v>
      </c>
      <c r="AB1213" s="6">
        <f>$K$1213*$V$1213</f>
        <v>0</v>
      </c>
      <c r="AC1213" s="6">
        <f>$M$1213*$W$1213</f>
        <v>1407.0741600000001</v>
      </c>
      <c r="AD1213" s="6">
        <f>$O$1213*$X$1213</f>
        <v>5460.5361599999997</v>
      </c>
      <c r="AE1213" s="6">
        <f>$K$1213*$Y$1213</f>
        <v>0</v>
      </c>
      <c r="AF1213" s="6">
        <f ca="1">$M$1213*$Z$1213</f>
        <v>1787.7650303180467</v>
      </c>
      <c r="AG1213" s="6">
        <f>$O$1213*$AA$1213</f>
        <v>5320.4575264342147</v>
      </c>
    </row>
    <row r="1214" spans="1:33" ht="11.25" customHeight="1" x14ac:dyDescent="0.25">
      <c r="A1214" s="4" t="s">
        <v>28</v>
      </c>
      <c r="B1214" s="4" t="s">
        <v>41</v>
      </c>
      <c r="C1214" s="4" t="s">
        <v>42</v>
      </c>
      <c r="D1214" s="4" t="s">
        <v>45</v>
      </c>
      <c r="E1214" s="4" t="s">
        <v>53</v>
      </c>
      <c r="F1214" s="4" t="s">
        <v>25</v>
      </c>
      <c r="G1214" s="4" t="s">
        <v>25</v>
      </c>
      <c r="H1214" s="4" t="s">
        <v>35</v>
      </c>
      <c r="I1214" s="5">
        <v>44409</v>
      </c>
      <c r="J1214" s="6">
        <v>0</v>
      </c>
      <c r="K1214" s="60">
        <v>0</v>
      </c>
      <c r="L1214" s="6">
        <v>-49.35</v>
      </c>
      <c r="M1214" s="60">
        <v>-49.35</v>
      </c>
      <c r="N1214" s="6">
        <v>-49.35</v>
      </c>
      <c r="O1214" s="60">
        <v>-49.35</v>
      </c>
      <c r="P1214" s="6">
        <v>0</v>
      </c>
      <c r="Q1214" s="4" t="s">
        <v>26</v>
      </c>
      <c r="R1214" s="4">
        <v>0</v>
      </c>
      <c r="S1214" s="6">
        <v>0</v>
      </c>
      <c r="T1214" s="6">
        <v>44</v>
      </c>
      <c r="U1214" s="6">
        <v>67</v>
      </c>
      <c r="V1214" s="60">
        <f>IF(ISERROR(VLOOKUP($S$1214,'TAR FIN'!$A$1:$O$104,15,0)),0,VLOOKUP($S$1214,'TAR FIN'!$A$1:$O$104,15,0))</f>
        <v>0</v>
      </c>
      <c r="W1214" s="60">
        <f>IF(ISERROR(VLOOKUP($T$1214,'TAR FIN'!$A$1:$O$104,15,0)),0,VLOOKUP($T$1214,'TAR FIN'!$A$1:$O$104,15,0))*(1-0.04)</f>
        <v>60.0672</v>
      </c>
      <c r="X1214" s="60">
        <f>IF(ISERROR(VLOOKUP($U$1214,'TAR FIN'!$A$1:$O$104,15,0)),0,VLOOKUP($U$1214,'TAR FIN'!$A$1:$O$104,15,0))*(1-0.04)</f>
        <v>233.10719999999998</v>
      </c>
      <c r="Y1214" s="60"/>
      <c r="Z1214" s="60">
        <f ca="1">('TUSD BE'!$AM$26+'TUSD BF'!$AM$26+'TUSD CVA'!$AM$26)*1*(1-0.02)</f>
        <v>76.318677921794944</v>
      </c>
      <c r="AA1214" s="60">
        <f>('TE BE'!$AB$8+'TE BF'!$AB$8+'TE CVA'!$AB$8)*1*(1-0.02)</f>
        <v>227.12732236645527</v>
      </c>
      <c r="AB1214" s="6">
        <f>$K$1214*$V$1214</f>
        <v>0</v>
      </c>
      <c r="AC1214" s="6">
        <f>$M$1214*$W$1214</f>
        <v>-2964.3163199999999</v>
      </c>
      <c r="AD1214" s="6">
        <f>$O$1214*$X$1214</f>
        <v>-11503.840319999999</v>
      </c>
      <c r="AE1214" s="6">
        <f>$K$1214*$Y$1214</f>
        <v>0</v>
      </c>
      <c r="AF1214" s="6">
        <f ca="1">$M$1214*$Z$1214</f>
        <v>-3766.3267554405807</v>
      </c>
      <c r="AG1214" s="6">
        <f>$O$1214*$AA$1214</f>
        <v>-11208.733358784568</v>
      </c>
    </row>
    <row r="1215" spans="1:33" ht="11.25" customHeight="1" x14ac:dyDescent="0.25">
      <c r="A1215" s="4" t="s">
        <v>21</v>
      </c>
      <c r="B1215" s="4" t="s">
        <v>41</v>
      </c>
      <c r="C1215" s="4" t="s">
        <v>42</v>
      </c>
      <c r="D1215" s="4" t="s">
        <v>45</v>
      </c>
      <c r="E1215" s="4" t="s">
        <v>53</v>
      </c>
      <c r="F1215" s="4" t="s">
        <v>25</v>
      </c>
      <c r="G1215" s="4" t="s">
        <v>25</v>
      </c>
      <c r="H1215" s="4" t="s">
        <v>35</v>
      </c>
      <c r="I1215" s="5">
        <v>44440</v>
      </c>
      <c r="J1215" s="6">
        <v>0</v>
      </c>
      <c r="K1215" s="60">
        <v>0</v>
      </c>
      <c r="L1215" s="6">
        <v>1734.5719999999999</v>
      </c>
      <c r="M1215" s="60">
        <v>1734.5719999999999</v>
      </c>
      <c r="N1215" s="6">
        <v>1734.5719999999999</v>
      </c>
      <c r="O1215" s="60">
        <v>1734.5719999999999</v>
      </c>
      <c r="P1215" s="6">
        <v>0</v>
      </c>
      <c r="Q1215" s="4" t="s">
        <v>26</v>
      </c>
      <c r="R1215" s="4">
        <v>0</v>
      </c>
      <c r="S1215" s="6">
        <v>0</v>
      </c>
      <c r="T1215" s="6">
        <v>44</v>
      </c>
      <c r="U1215" s="6">
        <v>67</v>
      </c>
      <c r="V1215" s="60">
        <f>IF(ISERROR(VLOOKUP($S$1215,'TAR FIN'!$A$1:$O$104,15,0)),0,VLOOKUP($S$1215,'TAR FIN'!$A$1:$O$104,15,0))</f>
        <v>0</v>
      </c>
      <c r="W1215" s="60">
        <f>IF(ISERROR(VLOOKUP($T$1215,'TAR FIN'!$A$1:$O$104,15,0)),0,VLOOKUP($T$1215,'TAR FIN'!$A$1:$O$104,15,0))*(1-0.04)</f>
        <v>60.0672</v>
      </c>
      <c r="X1215" s="60">
        <f>IF(ISERROR(VLOOKUP($U$1215,'TAR FIN'!$A$1:$O$104,15,0)),0,VLOOKUP($U$1215,'TAR FIN'!$A$1:$O$104,15,0))*(1-0.04)</f>
        <v>233.10719999999998</v>
      </c>
      <c r="Y1215" s="60"/>
      <c r="Z1215" s="60">
        <f ca="1">('TUSD BE'!$AM$26+'TUSD BF'!$AM$26+'TUSD CVA'!$AM$26)*1*(1-0.02)</f>
        <v>76.318677921794944</v>
      </c>
      <c r="AA1215" s="60">
        <f>('TE BE'!$AB$8+'TE BF'!$AB$8+'TE CVA'!$AB$8)*1*(1-0.02)</f>
        <v>227.12732236645527</v>
      </c>
      <c r="AB1215" s="6">
        <f>$K$1215*$V$1215</f>
        <v>0</v>
      </c>
      <c r="AC1215" s="6">
        <f>$M$1215*$W$1215</f>
        <v>104190.8832384</v>
      </c>
      <c r="AD1215" s="6">
        <f>$O$1215*$X$1215</f>
        <v>404341.22211839992</v>
      </c>
      <c r="AE1215" s="6">
        <f>$K$1215*$Y$1215</f>
        <v>0</v>
      </c>
      <c r="AF1215" s="6">
        <f ca="1">$M$1215*$Z$1215</f>
        <v>132380.2418001637</v>
      </c>
      <c r="AG1215" s="6">
        <f>$O$1215*$AA$1215</f>
        <v>393968.69381182705</v>
      </c>
    </row>
    <row r="1216" spans="1:33" ht="11.25" customHeight="1" x14ac:dyDescent="0.25">
      <c r="A1216" s="4" t="s">
        <v>21</v>
      </c>
      <c r="B1216" s="4" t="s">
        <v>41</v>
      </c>
      <c r="C1216" s="4" t="s">
        <v>42</v>
      </c>
      <c r="D1216" s="4" t="s">
        <v>45</v>
      </c>
      <c r="E1216" s="4" t="s">
        <v>53</v>
      </c>
      <c r="F1216" s="4" t="s">
        <v>25</v>
      </c>
      <c r="G1216" s="4" t="s">
        <v>25</v>
      </c>
      <c r="H1216" s="4" t="s">
        <v>35</v>
      </c>
      <c r="I1216" s="5">
        <v>44470</v>
      </c>
      <c r="J1216" s="6">
        <v>0</v>
      </c>
      <c r="K1216" s="60">
        <v>0</v>
      </c>
      <c r="L1216" s="6">
        <v>2228.7159999999999</v>
      </c>
      <c r="M1216" s="60">
        <v>2228.7159999999999</v>
      </c>
      <c r="N1216" s="6">
        <v>2228.7159999999999</v>
      </c>
      <c r="O1216" s="60">
        <v>2228.7159999999999</v>
      </c>
      <c r="P1216" s="6">
        <v>0</v>
      </c>
      <c r="Q1216" s="4" t="s">
        <v>26</v>
      </c>
      <c r="R1216" s="4">
        <v>0</v>
      </c>
      <c r="S1216" s="6">
        <v>0</v>
      </c>
      <c r="T1216" s="6">
        <v>44</v>
      </c>
      <c r="U1216" s="6">
        <v>67</v>
      </c>
      <c r="V1216" s="60">
        <f>IF(ISERROR(VLOOKUP($S$1216,'TAR FIN'!$A$1:$O$104,15,0)),0,VLOOKUP($S$1216,'TAR FIN'!$A$1:$O$104,15,0))</f>
        <v>0</v>
      </c>
      <c r="W1216" s="60">
        <f>IF(ISERROR(VLOOKUP($T$1216,'TAR FIN'!$A$1:$O$104,15,0)),0,VLOOKUP($T$1216,'TAR FIN'!$A$1:$O$104,15,0))*(1-0.04)</f>
        <v>60.0672</v>
      </c>
      <c r="X1216" s="60">
        <f>IF(ISERROR(VLOOKUP($U$1216,'TAR FIN'!$A$1:$O$104,15,0)),0,VLOOKUP($U$1216,'TAR FIN'!$A$1:$O$104,15,0))*(1-0.04)</f>
        <v>233.10719999999998</v>
      </c>
      <c r="Y1216" s="60"/>
      <c r="Z1216" s="60">
        <f ca="1">('TUSD BE'!$AM$26+'TUSD BF'!$AM$26+'TUSD CVA'!$AM$26)*1*(1-0.02)</f>
        <v>76.318677921794944</v>
      </c>
      <c r="AA1216" s="60">
        <f>('TE BE'!$AB$8+'TE BF'!$AB$8+'TE CVA'!$AB$8)*1*(1-0.02)</f>
        <v>227.12732236645527</v>
      </c>
      <c r="AB1216" s="6">
        <f>$K$1216*$V$1216</f>
        <v>0</v>
      </c>
      <c r="AC1216" s="6">
        <f>$M$1216*$W$1216</f>
        <v>133872.7297152</v>
      </c>
      <c r="AD1216" s="6">
        <f>$O$1216*$X$1216</f>
        <v>519529.74635519995</v>
      </c>
      <c r="AE1216" s="6">
        <f>$K$1216*$Y$1216</f>
        <v>0</v>
      </c>
      <c r="AF1216" s="6">
        <f ca="1">$M$1216*$Z$1216</f>
        <v>170092.65858315112</v>
      </c>
      <c r="AG1216" s="6">
        <f>$O$1216*$AA$1216</f>
        <v>506202.29739527672</v>
      </c>
    </row>
    <row r="1217" spans="1:33" ht="11.25" customHeight="1" x14ac:dyDescent="0.25">
      <c r="A1217" s="4" t="s">
        <v>27</v>
      </c>
      <c r="B1217" s="4" t="s">
        <v>41</v>
      </c>
      <c r="C1217" s="4" t="s">
        <v>42</v>
      </c>
      <c r="D1217" s="4" t="s">
        <v>45</v>
      </c>
      <c r="E1217" s="4" t="s">
        <v>53</v>
      </c>
      <c r="F1217" s="4" t="s">
        <v>25</v>
      </c>
      <c r="G1217" s="4" t="s">
        <v>25</v>
      </c>
      <c r="H1217" s="4" t="s">
        <v>35</v>
      </c>
      <c r="I1217" s="5">
        <v>44470</v>
      </c>
      <c r="J1217" s="6">
        <v>0</v>
      </c>
      <c r="K1217" s="60">
        <v>0</v>
      </c>
      <c r="L1217" s="6">
        <v>-65.650000000000006</v>
      </c>
      <c r="M1217" s="60">
        <v>-65.650000000000006</v>
      </c>
      <c r="N1217" s="6">
        <v>-65.650000000000006</v>
      </c>
      <c r="O1217" s="60">
        <v>-65.650000000000006</v>
      </c>
      <c r="P1217" s="6">
        <v>0</v>
      </c>
      <c r="Q1217" s="4" t="s">
        <v>26</v>
      </c>
      <c r="R1217" s="4">
        <v>0</v>
      </c>
      <c r="S1217" s="6">
        <v>0</v>
      </c>
      <c r="T1217" s="6">
        <v>44</v>
      </c>
      <c r="U1217" s="6">
        <v>67</v>
      </c>
      <c r="V1217" s="60">
        <f>IF(ISERROR(VLOOKUP($S$1217,'TAR FIN'!$A$1:$O$104,15,0)),0,VLOOKUP($S$1217,'TAR FIN'!$A$1:$O$104,15,0))</f>
        <v>0</v>
      </c>
      <c r="W1217" s="60">
        <f>IF(ISERROR(VLOOKUP($T$1217,'TAR FIN'!$A$1:$O$104,15,0)),0,VLOOKUP($T$1217,'TAR FIN'!$A$1:$O$104,15,0))*(1-0.04)</f>
        <v>60.0672</v>
      </c>
      <c r="X1217" s="60">
        <f>IF(ISERROR(VLOOKUP($U$1217,'TAR FIN'!$A$1:$O$104,15,0)),0,VLOOKUP($U$1217,'TAR FIN'!$A$1:$O$104,15,0))*(1-0.04)</f>
        <v>233.10719999999998</v>
      </c>
      <c r="Y1217" s="60"/>
      <c r="Z1217" s="60">
        <f ca="1">('TUSD BE'!$AM$26+'TUSD BF'!$AM$26+'TUSD CVA'!$AM$26)*1*(1-0.02)</f>
        <v>76.318677921794944</v>
      </c>
      <c r="AA1217" s="60">
        <f>('TE BE'!$AB$8+'TE BF'!$AB$8+'TE CVA'!$AB$8)*1*(1-0.02)</f>
        <v>227.12732236645527</v>
      </c>
      <c r="AB1217" s="6">
        <f>$K$1217*$V$1217</f>
        <v>0</v>
      </c>
      <c r="AC1217" s="6">
        <f>$M$1217*$W$1217</f>
        <v>-3943.4116800000002</v>
      </c>
      <c r="AD1217" s="6">
        <f>$O$1217*$X$1217</f>
        <v>-15303.48768</v>
      </c>
      <c r="AE1217" s="6">
        <f>$K$1217*$Y$1217</f>
        <v>0</v>
      </c>
      <c r="AF1217" s="6">
        <f ca="1">$M$1217*$Z$1217</f>
        <v>-5010.3212055658387</v>
      </c>
      <c r="AG1217" s="6">
        <f>$O$1217*$AA$1217</f>
        <v>-14910.90871335779</v>
      </c>
    </row>
    <row r="1218" spans="1:33" ht="11.25" customHeight="1" x14ac:dyDescent="0.25">
      <c r="A1218" s="4" t="s">
        <v>21</v>
      </c>
      <c r="B1218" s="4" t="s">
        <v>41</v>
      </c>
      <c r="C1218" s="4" t="s">
        <v>42</v>
      </c>
      <c r="D1218" s="4" t="s">
        <v>45</v>
      </c>
      <c r="E1218" s="4" t="s">
        <v>53</v>
      </c>
      <c r="F1218" s="4" t="s">
        <v>25</v>
      </c>
      <c r="G1218" s="4" t="s">
        <v>25</v>
      </c>
      <c r="H1218" s="4" t="s">
        <v>35</v>
      </c>
      <c r="I1218" s="5">
        <v>44501</v>
      </c>
      <c r="J1218" s="6">
        <v>0</v>
      </c>
      <c r="K1218" s="60">
        <v>0</v>
      </c>
      <c r="L1218" s="6">
        <v>2764.9520000000002</v>
      </c>
      <c r="M1218" s="60">
        <v>2764.9520000000002</v>
      </c>
      <c r="N1218" s="6">
        <v>2764.9520000000002</v>
      </c>
      <c r="O1218" s="60">
        <v>2764.9520000000002</v>
      </c>
      <c r="P1218" s="6">
        <v>0</v>
      </c>
      <c r="Q1218" s="4" t="s">
        <v>26</v>
      </c>
      <c r="R1218" s="4">
        <v>0</v>
      </c>
      <c r="S1218" s="6">
        <v>0</v>
      </c>
      <c r="T1218" s="6">
        <v>44</v>
      </c>
      <c r="U1218" s="6">
        <v>67</v>
      </c>
      <c r="V1218" s="60">
        <f>IF(ISERROR(VLOOKUP($S$1218,'TAR FIN'!$A$1:$O$104,15,0)),0,VLOOKUP($S$1218,'TAR FIN'!$A$1:$O$104,15,0))</f>
        <v>0</v>
      </c>
      <c r="W1218" s="60">
        <f>IF(ISERROR(VLOOKUP($T$1218,'TAR FIN'!$A$1:$O$104,15,0)),0,VLOOKUP($T$1218,'TAR FIN'!$A$1:$O$104,15,0))*(1-0.04)</f>
        <v>60.0672</v>
      </c>
      <c r="X1218" s="60">
        <f>IF(ISERROR(VLOOKUP($U$1218,'TAR FIN'!$A$1:$O$104,15,0)),0,VLOOKUP($U$1218,'TAR FIN'!$A$1:$O$104,15,0))*(1-0.04)</f>
        <v>233.10719999999998</v>
      </c>
      <c r="Y1218" s="60"/>
      <c r="Z1218" s="60">
        <f ca="1">('TUSD BE'!$AM$26+'TUSD BF'!$AM$26+'TUSD CVA'!$AM$26)*1*(1-0.02)</f>
        <v>76.318677921794944</v>
      </c>
      <c r="AA1218" s="60">
        <f>('TE BE'!$AB$8+'TE BF'!$AB$8+'TE CVA'!$AB$8)*1*(1-0.02)</f>
        <v>227.12732236645527</v>
      </c>
      <c r="AB1218" s="6">
        <f>$K$1218*$V$1218</f>
        <v>0</v>
      </c>
      <c r="AC1218" s="6">
        <f>$M$1218*$W$1218</f>
        <v>166082.92477440002</v>
      </c>
      <c r="AD1218" s="6">
        <f>$O$1218*$X$1218</f>
        <v>644530.21885439998</v>
      </c>
      <c r="AE1218" s="6">
        <f>$K$1218*$Y$1218</f>
        <v>0</v>
      </c>
      <c r="AF1218" s="6">
        <f ca="1">$M$1218*$Z$1218</f>
        <v>211017.48115722279</v>
      </c>
      <c r="AG1218" s="6">
        <f>$O$1218*$AA$1218</f>
        <v>627996.14423177531</v>
      </c>
    </row>
    <row r="1219" spans="1:33" ht="11.25" customHeight="1" x14ac:dyDescent="0.25">
      <c r="A1219" s="4" t="s">
        <v>27</v>
      </c>
      <c r="B1219" s="4" t="s">
        <v>41</v>
      </c>
      <c r="C1219" s="4" t="s">
        <v>42</v>
      </c>
      <c r="D1219" s="4" t="s">
        <v>45</v>
      </c>
      <c r="E1219" s="4" t="s">
        <v>53</v>
      </c>
      <c r="F1219" s="4" t="s">
        <v>25</v>
      </c>
      <c r="G1219" s="4" t="s">
        <v>25</v>
      </c>
      <c r="H1219" s="4" t="s">
        <v>35</v>
      </c>
      <c r="I1219" s="5">
        <v>44501</v>
      </c>
      <c r="J1219" s="6">
        <v>0</v>
      </c>
      <c r="K1219" s="60">
        <v>0</v>
      </c>
      <c r="L1219" s="6">
        <v>-65.512</v>
      </c>
      <c r="M1219" s="60">
        <v>-65.512</v>
      </c>
      <c r="N1219" s="6">
        <v>-65.512</v>
      </c>
      <c r="O1219" s="60">
        <v>-65.512</v>
      </c>
      <c r="P1219" s="6">
        <v>0</v>
      </c>
      <c r="Q1219" s="4" t="s">
        <v>26</v>
      </c>
      <c r="R1219" s="4">
        <v>0</v>
      </c>
      <c r="S1219" s="6">
        <v>0</v>
      </c>
      <c r="T1219" s="6">
        <v>44</v>
      </c>
      <c r="U1219" s="6">
        <v>67</v>
      </c>
      <c r="V1219" s="60">
        <f>IF(ISERROR(VLOOKUP($S$1219,'TAR FIN'!$A$1:$O$104,15,0)),0,VLOOKUP($S$1219,'TAR FIN'!$A$1:$O$104,15,0))</f>
        <v>0</v>
      </c>
      <c r="W1219" s="60">
        <f>IF(ISERROR(VLOOKUP($T$1219,'TAR FIN'!$A$1:$O$104,15,0)),0,VLOOKUP($T$1219,'TAR FIN'!$A$1:$O$104,15,0))*(1-0.04)</f>
        <v>60.0672</v>
      </c>
      <c r="X1219" s="60">
        <f>IF(ISERROR(VLOOKUP($U$1219,'TAR FIN'!$A$1:$O$104,15,0)),0,VLOOKUP($U$1219,'TAR FIN'!$A$1:$O$104,15,0))*(1-0.04)</f>
        <v>233.10719999999998</v>
      </c>
      <c r="Y1219" s="60"/>
      <c r="Z1219" s="60">
        <f ca="1">('TUSD BE'!$AM$26+'TUSD BF'!$AM$26+'TUSD CVA'!$AM$26)*1*(1-0.02)</f>
        <v>76.318677921794944</v>
      </c>
      <c r="AA1219" s="60">
        <f>('TE BE'!$AB$8+'TE BF'!$AB$8+'TE CVA'!$AB$8)*1*(1-0.02)</f>
        <v>227.12732236645527</v>
      </c>
      <c r="AB1219" s="6">
        <f>$K$1219*$V$1219</f>
        <v>0</v>
      </c>
      <c r="AC1219" s="6">
        <f>$M$1219*$W$1219</f>
        <v>-3935.1224063999998</v>
      </c>
      <c r="AD1219" s="6">
        <f>$O$1219*$X$1219</f>
        <v>-15271.318886399999</v>
      </c>
      <c r="AE1219" s="6">
        <f>$K$1219*$Y$1219</f>
        <v>0</v>
      </c>
      <c r="AF1219" s="6">
        <f ca="1">$M$1219*$Z$1219</f>
        <v>-4999.7892280126307</v>
      </c>
      <c r="AG1219" s="6">
        <f>$O$1219*$AA$1219</f>
        <v>-14879.565142871217</v>
      </c>
    </row>
    <row r="1220" spans="1:33" ht="11.25" customHeight="1" x14ac:dyDescent="0.25">
      <c r="A1220" s="4" t="s">
        <v>28</v>
      </c>
      <c r="B1220" s="4" t="s">
        <v>41</v>
      </c>
      <c r="C1220" s="4" t="s">
        <v>42</v>
      </c>
      <c r="D1220" s="4" t="s">
        <v>45</v>
      </c>
      <c r="E1220" s="4" t="s">
        <v>53</v>
      </c>
      <c r="F1220" s="4" t="s">
        <v>25</v>
      </c>
      <c r="G1220" s="4" t="s">
        <v>25</v>
      </c>
      <c r="H1220" s="4" t="s">
        <v>35</v>
      </c>
      <c r="I1220" s="5">
        <v>44501</v>
      </c>
      <c r="J1220" s="6">
        <v>0</v>
      </c>
      <c r="K1220" s="60">
        <v>0</v>
      </c>
      <c r="L1220" s="6">
        <v>39.298000000000002</v>
      </c>
      <c r="M1220" s="60">
        <v>39.298000000000002</v>
      </c>
      <c r="N1220" s="6">
        <v>39.298000000000002</v>
      </c>
      <c r="O1220" s="60">
        <v>39.298000000000002</v>
      </c>
      <c r="P1220" s="6">
        <v>0</v>
      </c>
      <c r="Q1220" s="4" t="s">
        <v>26</v>
      </c>
      <c r="R1220" s="4">
        <v>0</v>
      </c>
      <c r="S1220" s="6">
        <v>0</v>
      </c>
      <c r="T1220" s="6">
        <v>44</v>
      </c>
      <c r="U1220" s="6">
        <v>67</v>
      </c>
      <c r="V1220" s="60">
        <f>IF(ISERROR(VLOOKUP($S$1220,'TAR FIN'!$A$1:$O$104,15,0)),0,VLOOKUP($S$1220,'TAR FIN'!$A$1:$O$104,15,0))</f>
        <v>0</v>
      </c>
      <c r="W1220" s="60">
        <f>IF(ISERROR(VLOOKUP($T$1220,'TAR FIN'!$A$1:$O$104,15,0)),0,VLOOKUP($T$1220,'TAR FIN'!$A$1:$O$104,15,0))*(1-0.04)</f>
        <v>60.0672</v>
      </c>
      <c r="X1220" s="60">
        <f>IF(ISERROR(VLOOKUP($U$1220,'TAR FIN'!$A$1:$O$104,15,0)),0,VLOOKUP($U$1220,'TAR FIN'!$A$1:$O$104,15,0))*(1-0.04)</f>
        <v>233.10719999999998</v>
      </c>
      <c r="Y1220" s="60"/>
      <c r="Z1220" s="60">
        <f ca="1">('TUSD BE'!$AM$26+'TUSD BF'!$AM$26+'TUSD CVA'!$AM$26)*1*(1-0.02)</f>
        <v>76.318677921794944</v>
      </c>
      <c r="AA1220" s="60">
        <f>('TE BE'!$AB$8+'TE BF'!$AB$8+'TE CVA'!$AB$8)*1*(1-0.02)</f>
        <v>227.12732236645527</v>
      </c>
      <c r="AB1220" s="6">
        <f>$K$1220*$V$1220</f>
        <v>0</v>
      </c>
      <c r="AC1220" s="6">
        <f>$M$1220*$W$1220</f>
        <v>2360.5208256000001</v>
      </c>
      <c r="AD1220" s="6">
        <f>$O$1220*$X$1220</f>
        <v>9160.6467455999991</v>
      </c>
      <c r="AE1220" s="6">
        <f>$K$1220*$Y$1220</f>
        <v>0</v>
      </c>
      <c r="AF1220" s="6">
        <f ca="1">$M$1220*$Z$1220</f>
        <v>2999.1714049706979</v>
      </c>
      <c r="AG1220" s="6">
        <f>$O$1220*$AA$1220</f>
        <v>8925.6495143569591</v>
      </c>
    </row>
    <row r="1221" spans="1:33" ht="11.25" customHeight="1" x14ac:dyDescent="0.25">
      <c r="A1221" s="4" t="s">
        <v>21</v>
      </c>
      <c r="B1221" s="4" t="s">
        <v>41</v>
      </c>
      <c r="C1221" s="4" t="s">
        <v>42</v>
      </c>
      <c r="D1221" s="4" t="s">
        <v>45</v>
      </c>
      <c r="E1221" s="4" t="s">
        <v>53</v>
      </c>
      <c r="F1221" s="4" t="s">
        <v>25</v>
      </c>
      <c r="G1221" s="4" t="s">
        <v>25</v>
      </c>
      <c r="H1221" s="4" t="s">
        <v>35</v>
      </c>
      <c r="I1221" s="5">
        <v>44531</v>
      </c>
      <c r="J1221" s="6">
        <v>0</v>
      </c>
      <c r="K1221" s="60">
        <v>0</v>
      </c>
      <c r="L1221" s="6">
        <v>3025.9940000000001</v>
      </c>
      <c r="M1221" s="60">
        <v>3025.9940000000001</v>
      </c>
      <c r="N1221" s="6">
        <v>3025.9940000000001</v>
      </c>
      <c r="O1221" s="60">
        <v>3025.9940000000001</v>
      </c>
      <c r="P1221" s="6">
        <v>0</v>
      </c>
      <c r="Q1221" s="4" t="s">
        <v>26</v>
      </c>
      <c r="R1221" s="4">
        <v>0</v>
      </c>
      <c r="S1221" s="6">
        <v>0</v>
      </c>
      <c r="T1221" s="6">
        <v>44</v>
      </c>
      <c r="U1221" s="6">
        <v>67</v>
      </c>
      <c r="V1221" s="60">
        <f>IF(ISERROR(VLOOKUP($S$1221,'TAR FIN'!$A$1:$O$104,15,0)),0,VLOOKUP($S$1221,'TAR FIN'!$A$1:$O$104,15,0))</f>
        <v>0</v>
      </c>
      <c r="W1221" s="60">
        <f>IF(ISERROR(VLOOKUP($T$1221,'TAR FIN'!$A$1:$O$104,15,0)),0,VLOOKUP($T$1221,'TAR FIN'!$A$1:$O$104,15,0))*(1-0.04)</f>
        <v>60.0672</v>
      </c>
      <c r="X1221" s="60">
        <f>IF(ISERROR(VLOOKUP($U$1221,'TAR FIN'!$A$1:$O$104,15,0)),0,VLOOKUP($U$1221,'TAR FIN'!$A$1:$O$104,15,0))*(1-0.04)</f>
        <v>233.10719999999998</v>
      </c>
      <c r="Y1221" s="60"/>
      <c r="Z1221" s="60">
        <f ca="1">('TUSD BE'!$AM$26+'TUSD BF'!$AM$26+'TUSD CVA'!$AM$26)*1*(1-0.02)</f>
        <v>76.318677921794944</v>
      </c>
      <c r="AA1221" s="60">
        <f>('TE BE'!$AB$8+'TE BF'!$AB$8+'TE CVA'!$AB$8)*1*(1-0.02)</f>
        <v>227.12732236645527</v>
      </c>
      <c r="AB1221" s="6">
        <f>$K$1221*$V$1221</f>
        <v>0</v>
      </c>
      <c r="AC1221" s="6">
        <f>$M$1221*$W$1221</f>
        <v>181762.98679680002</v>
      </c>
      <c r="AD1221" s="6">
        <f>$O$1221*$X$1221</f>
        <v>705380.98855679994</v>
      </c>
      <c r="AE1221" s="6">
        <f>$K$1221*$Y$1221</f>
        <v>0</v>
      </c>
      <c r="AF1221" s="6">
        <f ca="1">$M$1221*$Z$1221</f>
        <v>230939.86147928398</v>
      </c>
      <c r="AG1221" s="6">
        <f>$O$1221*$AA$1221</f>
        <v>687285.91471695947</v>
      </c>
    </row>
    <row r="1222" spans="1:33" ht="11.25" customHeight="1" x14ac:dyDescent="0.25">
      <c r="A1222" s="4" t="s">
        <v>27</v>
      </c>
      <c r="B1222" s="4" t="s">
        <v>41</v>
      </c>
      <c r="C1222" s="4" t="s">
        <v>42</v>
      </c>
      <c r="D1222" s="4" t="s">
        <v>45</v>
      </c>
      <c r="E1222" s="4" t="s">
        <v>53</v>
      </c>
      <c r="F1222" s="4" t="s">
        <v>25</v>
      </c>
      <c r="G1222" s="4" t="s">
        <v>25</v>
      </c>
      <c r="H1222" s="4" t="s">
        <v>35</v>
      </c>
      <c r="I1222" s="5">
        <v>44531</v>
      </c>
      <c r="J1222" s="6">
        <v>0</v>
      </c>
      <c r="K1222" s="60">
        <v>0</v>
      </c>
      <c r="L1222" s="6">
        <v>-27.626999999999999</v>
      </c>
      <c r="M1222" s="60">
        <v>-27.626999999999999</v>
      </c>
      <c r="N1222" s="6">
        <v>-27.626999999999999</v>
      </c>
      <c r="O1222" s="60">
        <v>-27.626999999999999</v>
      </c>
      <c r="P1222" s="6">
        <v>0</v>
      </c>
      <c r="Q1222" s="4" t="s">
        <v>26</v>
      </c>
      <c r="R1222" s="4">
        <v>0</v>
      </c>
      <c r="S1222" s="6">
        <v>0</v>
      </c>
      <c r="T1222" s="6">
        <v>44</v>
      </c>
      <c r="U1222" s="6">
        <v>67</v>
      </c>
      <c r="V1222" s="60">
        <f>IF(ISERROR(VLOOKUP($S$1222,'TAR FIN'!$A$1:$O$104,15,0)),0,VLOOKUP($S$1222,'TAR FIN'!$A$1:$O$104,15,0))</f>
        <v>0</v>
      </c>
      <c r="W1222" s="60">
        <f>IF(ISERROR(VLOOKUP($T$1222,'TAR FIN'!$A$1:$O$104,15,0)),0,VLOOKUP($T$1222,'TAR FIN'!$A$1:$O$104,15,0))*(1-0.04)</f>
        <v>60.0672</v>
      </c>
      <c r="X1222" s="60">
        <f>IF(ISERROR(VLOOKUP($U$1222,'TAR FIN'!$A$1:$O$104,15,0)),0,VLOOKUP($U$1222,'TAR FIN'!$A$1:$O$104,15,0))*(1-0.04)</f>
        <v>233.10719999999998</v>
      </c>
      <c r="Y1222" s="60"/>
      <c r="Z1222" s="60">
        <f ca="1">('TUSD BE'!$AM$26+'TUSD BF'!$AM$26+'TUSD CVA'!$AM$26)*1*(1-0.02)</f>
        <v>76.318677921794944</v>
      </c>
      <c r="AA1222" s="60">
        <f>('TE BE'!$AB$8+'TE BF'!$AB$8+'TE CVA'!$AB$8)*1*(1-0.02)</f>
        <v>227.12732236645527</v>
      </c>
      <c r="AB1222" s="6">
        <f>$K$1222*$V$1222</f>
        <v>0</v>
      </c>
      <c r="AC1222" s="6">
        <f>$M$1222*$W$1222</f>
        <v>-1659.4765344</v>
      </c>
      <c r="AD1222" s="6">
        <f>$O$1222*$X$1222</f>
        <v>-6440.0526143999987</v>
      </c>
      <c r="AE1222" s="6">
        <f>$K$1222*$Y$1222</f>
        <v>0</v>
      </c>
      <c r="AF1222" s="6">
        <f ca="1">$M$1222*$Z$1222</f>
        <v>-2108.4561149454289</v>
      </c>
      <c r="AG1222" s="6">
        <f>$O$1222*$AA$1222</f>
        <v>-6274.8465350180595</v>
      </c>
    </row>
    <row r="1223" spans="1:33" ht="11.25" customHeight="1" x14ac:dyDescent="0.25">
      <c r="A1223" s="4" t="s">
        <v>28</v>
      </c>
      <c r="B1223" s="4" t="s">
        <v>41</v>
      </c>
      <c r="C1223" s="4" t="s">
        <v>42</v>
      </c>
      <c r="D1223" s="4" t="s">
        <v>45</v>
      </c>
      <c r="E1223" s="4" t="s">
        <v>53</v>
      </c>
      <c r="F1223" s="4" t="s">
        <v>25</v>
      </c>
      <c r="G1223" s="4" t="s">
        <v>25</v>
      </c>
      <c r="H1223" s="4" t="s">
        <v>35</v>
      </c>
      <c r="I1223" s="5">
        <v>44531</v>
      </c>
      <c r="J1223" s="6">
        <v>0</v>
      </c>
      <c r="K1223" s="60">
        <v>0</v>
      </c>
      <c r="L1223" s="6">
        <v>11.375</v>
      </c>
      <c r="M1223" s="60">
        <v>11.375</v>
      </c>
      <c r="N1223" s="6">
        <v>11.375</v>
      </c>
      <c r="O1223" s="60">
        <v>11.375</v>
      </c>
      <c r="P1223" s="6">
        <v>0</v>
      </c>
      <c r="Q1223" s="4" t="s">
        <v>26</v>
      </c>
      <c r="R1223" s="4">
        <v>0</v>
      </c>
      <c r="S1223" s="6">
        <v>0</v>
      </c>
      <c r="T1223" s="6">
        <v>44</v>
      </c>
      <c r="U1223" s="6">
        <v>67</v>
      </c>
      <c r="V1223" s="60">
        <f>IF(ISERROR(VLOOKUP($S$1223,'TAR FIN'!$A$1:$O$104,15,0)),0,VLOOKUP($S$1223,'TAR FIN'!$A$1:$O$104,15,0))</f>
        <v>0</v>
      </c>
      <c r="W1223" s="60">
        <f>IF(ISERROR(VLOOKUP($T$1223,'TAR FIN'!$A$1:$O$104,15,0)),0,VLOOKUP($T$1223,'TAR FIN'!$A$1:$O$104,15,0))*(1-0.04)</f>
        <v>60.0672</v>
      </c>
      <c r="X1223" s="60">
        <f>IF(ISERROR(VLOOKUP($U$1223,'TAR FIN'!$A$1:$O$104,15,0)),0,VLOOKUP($U$1223,'TAR FIN'!$A$1:$O$104,15,0))*(1-0.04)</f>
        <v>233.10719999999998</v>
      </c>
      <c r="Y1223" s="60"/>
      <c r="Z1223" s="60">
        <f ca="1">('TUSD BE'!$AM$26+'TUSD BF'!$AM$26+'TUSD CVA'!$AM$26)*1*(1-0.02)</f>
        <v>76.318677921794944</v>
      </c>
      <c r="AA1223" s="60">
        <f>('TE BE'!$AB$8+'TE BF'!$AB$8+'TE CVA'!$AB$8)*1*(1-0.02)</f>
        <v>227.12732236645527</v>
      </c>
      <c r="AB1223" s="6">
        <f>$K$1223*$V$1223</f>
        <v>0</v>
      </c>
      <c r="AC1223" s="6">
        <f>$M$1223*$W$1223</f>
        <v>683.26440000000002</v>
      </c>
      <c r="AD1223" s="6">
        <f>$O$1223*$X$1223</f>
        <v>2651.5944</v>
      </c>
      <c r="AE1223" s="6">
        <f>$K$1223*$Y$1223</f>
        <v>0</v>
      </c>
      <c r="AF1223" s="6">
        <f ca="1">$M$1223*$Z$1223</f>
        <v>868.1249613604175</v>
      </c>
      <c r="AG1223" s="6">
        <f>$O$1223*$AA$1223</f>
        <v>2583.5732919184288</v>
      </c>
    </row>
    <row r="1224" spans="1:33" ht="11.25" customHeight="1" x14ac:dyDescent="0.25">
      <c r="A1224" s="4" t="s">
        <v>21</v>
      </c>
      <c r="B1224" s="4" t="s">
        <v>41</v>
      </c>
      <c r="C1224" s="4" t="s">
        <v>42</v>
      </c>
      <c r="D1224" s="4" t="s">
        <v>45</v>
      </c>
      <c r="E1224" s="4" t="s">
        <v>53</v>
      </c>
      <c r="F1224" s="4" t="s">
        <v>25</v>
      </c>
      <c r="G1224" s="4" t="s">
        <v>25</v>
      </c>
      <c r="H1224" s="4" t="s">
        <v>35</v>
      </c>
      <c r="I1224" s="5">
        <v>44562</v>
      </c>
      <c r="J1224" s="6">
        <v>0</v>
      </c>
      <c r="K1224" s="60">
        <v>0</v>
      </c>
      <c r="L1224" s="6">
        <v>2144.0500000000002</v>
      </c>
      <c r="M1224" s="60">
        <v>2144.0500000000002</v>
      </c>
      <c r="N1224" s="6">
        <v>2144.0500000000002</v>
      </c>
      <c r="O1224" s="60">
        <v>2144.0500000000002</v>
      </c>
      <c r="P1224" s="6">
        <v>0</v>
      </c>
      <c r="Q1224" s="4" t="s">
        <v>26</v>
      </c>
      <c r="R1224" s="4">
        <v>0</v>
      </c>
      <c r="S1224" s="6">
        <v>0</v>
      </c>
      <c r="T1224" s="6">
        <v>44</v>
      </c>
      <c r="U1224" s="6">
        <v>67</v>
      </c>
      <c r="V1224" s="60">
        <f>IF(ISERROR(VLOOKUP($S$1224,'TAR FIN'!$A$1:$O$104,15,0)),0,VLOOKUP($S$1224,'TAR FIN'!$A$1:$O$104,15,0))</f>
        <v>0</v>
      </c>
      <c r="W1224" s="60">
        <f>IF(ISERROR(VLOOKUP($T$1224,'TAR FIN'!$A$1:$O$104,15,0)),0,VLOOKUP($T$1224,'TAR FIN'!$A$1:$O$104,15,0))*(1-0.04)</f>
        <v>60.0672</v>
      </c>
      <c r="X1224" s="60">
        <f>IF(ISERROR(VLOOKUP($U$1224,'TAR FIN'!$A$1:$O$104,15,0)),0,VLOOKUP($U$1224,'TAR FIN'!$A$1:$O$104,15,0))*(1-0.04)</f>
        <v>233.10719999999998</v>
      </c>
      <c r="Y1224" s="60"/>
      <c r="Z1224" s="60">
        <f ca="1">('TUSD BE'!$AM$26+'TUSD BF'!$AM$26+'TUSD CVA'!$AM$26)*1*(1-0.02)</f>
        <v>76.318677921794944</v>
      </c>
      <c r="AA1224" s="60">
        <f>('TE BE'!$AB$8+'TE BF'!$AB$8+'TE CVA'!$AB$8)*1*(1-0.02)</f>
        <v>227.12732236645527</v>
      </c>
      <c r="AB1224" s="6">
        <f>$K$1224*$V$1224</f>
        <v>0</v>
      </c>
      <c r="AC1224" s="6">
        <f>$M$1224*$W$1224</f>
        <v>128787.08016000001</v>
      </c>
      <c r="AD1224" s="6">
        <f>$O$1224*$X$1224</f>
        <v>499793.49215999997</v>
      </c>
      <c r="AE1224" s="6">
        <f>$K$1224*$Y$1224</f>
        <v>0</v>
      </c>
      <c r="AF1224" s="6">
        <f ca="1">$M$1224*$Z$1224</f>
        <v>163631.06139822447</v>
      </c>
      <c r="AG1224" s="6">
        <f>$O$1224*$AA$1224</f>
        <v>486972.33551979845</v>
      </c>
    </row>
    <row r="1225" spans="1:33" ht="11.25" customHeight="1" x14ac:dyDescent="0.25">
      <c r="A1225" s="4" t="s">
        <v>27</v>
      </c>
      <c r="B1225" s="4" t="s">
        <v>41</v>
      </c>
      <c r="C1225" s="4" t="s">
        <v>42</v>
      </c>
      <c r="D1225" s="4" t="s">
        <v>45</v>
      </c>
      <c r="E1225" s="4" t="s">
        <v>53</v>
      </c>
      <c r="F1225" s="4" t="s">
        <v>25</v>
      </c>
      <c r="G1225" s="4" t="s">
        <v>25</v>
      </c>
      <c r="H1225" s="4" t="s">
        <v>35</v>
      </c>
      <c r="I1225" s="5">
        <v>44562</v>
      </c>
      <c r="J1225" s="6">
        <v>0</v>
      </c>
      <c r="K1225" s="60">
        <v>0</v>
      </c>
      <c r="L1225" s="6">
        <v>-149.74</v>
      </c>
      <c r="M1225" s="60">
        <v>-149.74</v>
      </c>
      <c r="N1225" s="6">
        <v>-149.74</v>
      </c>
      <c r="O1225" s="60">
        <v>-149.74</v>
      </c>
      <c r="P1225" s="6">
        <v>0</v>
      </c>
      <c r="Q1225" s="4" t="s">
        <v>26</v>
      </c>
      <c r="R1225" s="4">
        <v>0</v>
      </c>
      <c r="S1225" s="6">
        <v>0</v>
      </c>
      <c r="T1225" s="6">
        <v>44</v>
      </c>
      <c r="U1225" s="6">
        <v>67</v>
      </c>
      <c r="V1225" s="60">
        <f>IF(ISERROR(VLOOKUP($S$1225,'TAR FIN'!$A$1:$O$104,15,0)),0,VLOOKUP($S$1225,'TAR FIN'!$A$1:$O$104,15,0))</f>
        <v>0</v>
      </c>
      <c r="W1225" s="60">
        <f>IF(ISERROR(VLOOKUP($T$1225,'TAR FIN'!$A$1:$O$104,15,0)),0,VLOOKUP($T$1225,'TAR FIN'!$A$1:$O$104,15,0))*(1-0.04)</f>
        <v>60.0672</v>
      </c>
      <c r="X1225" s="60">
        <f>IF(ISERROR(VLOOKUP($U$1225,'TAR FIN'!$A$1:$O$104,15,0)),0,VLOOKUP($U$1225,'TAR FIN'!$A$1:$O$104,15,0))*(1-0.04)</f>
        <v>233.10719999999998</v>
      </c>
      <c r="Y1225" s="60"/>
      <c r="Z1225" s="60">
        <f ca="1">('TUSD BE'!$AM$26+'TUSD BF'!$AM$26+'TUSD CVA'!$AM$26)*1*(1-0.02)</f>
        <v>76.318677921794944</v>
      </c>
      <c r="AA1225" s="60">
        <f>('TE BE'!$AB$8+'TE BF'!$AB$8+'TE CVA'!$AB$8)*1*(1-0.02)</f>
        <v>227.12732236645527</v>
      </c>
      <c r="AB1225" s="6">
        <f>$K$1225*$V$1225</f>
        <v>0</v>
      </c>
      <c r="AC1225" s="6">
        <f>$M$1225*$W$1225</f>
        <v>-8994.462528</v>
      </c>
      <c r="AD1225" s="6">
        <f>$O$1225*$X$1225</f>
        <v>-34905.472128000001</v>
      </c>
      <c r="AE1225" s="6">
        <f>$K$1225*$Y$1225</f>
        <v>0</v>
      </c>
      <c r="AF1225" s="6">
        <f ca="1">$M$1225*$Z$1225</f>
        <v>-11427.958832009575</v>
      </c>
      <c r="AG1225" s="6">
        <f>$O$1225*$AA$1225</f>
        <v>-34010.045251153017</v>
      </c>
    </row>
    <row r="1226" spans="1:33" ht="11.25" customHeight="1" x14ac:dyDescent="0.25">
      <c r="A1226" s="4" t="s">
        <v>21</v>
      </c>
      <c r="B1226" s="4" t="s">
        <v>41</v>
      </c>
      <c r="C1226" s="4" t="s">
        <v>42</v>
      </c>
      <c r="D1226" s="4" t="s">
        <v>45</v>
      </c>
      <c r="E1226" s="4" t="s">
        <v>53</v>
      </c>
      <c r="F1226" s="4" t="s">
        <v>25</v>
      </c>
      <c r="G1226" s="4" t="s">
        <v>25</v>
      </c>
      <c r="H1226" s="4" t="s">
        <v>35</v>
      </c>
      <c r="I1226" s="5">
        <v>44593</v>
      </c>
      <c r="J1226" s="6">
        <v>0</v>
      </c>
      <c r="K1226" s="60">
        <v>0</v>
      </c>
      <c r="L1226" s="6">
        <v>2003.865</v>
      </c>
      <c r="M1226" s="60">
        <v>2003.865</v>
      </c>
      <c r="N1226" s="6">
        <v>2003.865</v>
      </c>
      <c r="O1226" s="60">
        <v>2003.865</v>
      </c>
      <c r="P1226" s="6">
        <v>0</v>
      </c>
      <c r="Q1226" s="4" t="s">
        <v>26</v>
      </c>
      <c r="R1226" s="4">
        <v>0</v>
      </c>
      <c r="S1226" s="6">
        <v>0</v>
      </c>
      <c r="T1226" s="6">
        <v>44</v>
      </c>
      <c r="U1226" s="6">
        <v>67</v>
      </c>
      <c r="V1226" s="60">
        <f>IF(ISERROR(VLOOKUP($S$1226,'TAR FIN'!$A$1:$O$104,15,0)),0,VLOOKUP($S$1226,'TAR FIN'!$A$1:$O$104,15,0))</f>
        <v>0</v>
      </c>
      <c r="W1226" s="60">
        <f>IF(ISERROR(VLOOKUP($T$1226,'TAR FIN'!$A$1:$O$104,15,0)),0,VLOOKUP($T$1226,'TAR FIN'!$A$1:$O$104,15,0))*(1-0.04)</f>
        <v>60.0672</v>
      </c>
      <c r="X1226" s="60">
        <f>IF(ISERROR(VLOOKUP($U$1226,'TAR FIN'!$A$1:$O$104,15,0)),0,VLOOKUP($U$1226,'TAR FIN'!$A$1:$O$104,15,0))*(1-0.04)</f>
        <v>233.10719999999998</v>
      </c>
      <c r="Y1226" s="60"/>
      <c r="Z1226" s="60">
        <f ca="1">('TUSD BE'!$AM$26+'TUSD BF'!$AM$26+'TUSD CVA'!$AM$26)*1*(1-0.02)</f>
        <v>76.318677921794944</v>
      </c>
      <c r="AA1226" s="60">
        <f>('TE BE'!$AB$8+'TE BF'!$AB$8+'TE CVA'!$AB$8)*1*(1-0.02)</f>
        <v>227.12732236645527</v>
      </c>
      <c r="AB1226" s="6">
        <f>$K$1226*$V$1226</f>
        <v>0</v>
      </c>
      <c r="AC1226" s="6">
        <f>$M$1226*$W$1226</f>
        <v>120366.55972799999</v>
      </c>
      <c r="AD1226" s="6">
        <f>$O$1226*$X$1226</f>
        <v>467115.35932799993</v>
      </c>
      <c r="AE1226" s="6">
        <f>$K$1226*$Y$1226</f>
        <v>0</v>
      </c>
      <c r="AF1226" s="6">
        <f ca="1">$M$1226*$Z$1226</f>
        <v>152932.32753375763</v>
      </c>
      <c r="AG1226" s="6">
        <f>$O$1226*$AA$1226</f>
        <v>455132.49183385691</v>
      </c>
    </row>
    <row r="1227" spans="1:33" ht="11.25" customHeight="1" x14ac:dyDescent="0.25">
      <c r="A1227" s="4" t="s">
        <v>27</v>
      </c>
      <c r="B1227" s="4" t="s">
        <v>41</v>
      </c>
      <c r="C1227" s="4" t="s">
        <v>42</v>
      </c>
      <c r="D1227" s="4" t="s">
        <v>45</v>
      </c>
      <c r="E1227" s="4" t="s">
        <v>53</v>
      </c>
      <c r="F1227" s="4" t="s">
        <v>25</v>
      </c>
      <c r="G1227" s="4" t="s">
        <v>25</v>
      </c>
      <c r="H1227" s="4" t="s">
        <v>35</v>
      </c>
      <c r="I1227" s="5">
        <v>44593</v>
      </c>
      <c r="J1227" s="6">
        <v>0</v>
      </c>
      <c r="K1227" s="60">
        <v>0</v>
      </c>
      <c r="L1227" s="6">
        <v>-65.468999999999994</v>
      </c>
      <c r="M1227" s="60">
        <v>-65.468999999999994</v>
      </c>
      <c r="N1227" s="6">
        <v>-65.468999999999994</v>
      </c>
      <c r="O1227" s="60">
        <v>-65.468999999999994</v>
      </c>
      <c r="P1227" s="6">
        <v>0</v>
      </c>
      <c r="Q1227" s="4" t="s">
        <v>26</v>
      </c>
      <c r="R1227" s="4">
        <v>0</v>
      </c>
      <c r="S1227" s="6">
        <v>0</v>
      </c>
      <c r="T1227" s="6">
        <v>44</v>
      </c>
      <c r="U1227" s="6">
        <v>67</v>
      </c>
      <c r="V1227" s="60">
        <f>IF(ISERROR(VLOOKUP($S$1227,'TAR FIN'!$A$1:$O$104,15,0)),0,VLOOKUP($S$1227,'TAR FIN'!$A$1:$O$104,15,0))</f>
        <v>0</v>
      </c>
      <c r="W1227" s="60">
        <f>IF(ISERROR(VLOOKUP($T$1227,'TAR FIN'!$A$1:$O$104,15,0)),0,VLOOKUP($T$1227,'TAR FIN'!$A$1:$O$104,15,0))*(1-0.04)</f>
        <v>60.0672</v>
      </c>
      <c r="X1227" s="60">
        <f>IF(ISERROR(VLOOKUP($U$1227,'TAR FIN'!$A$1:$O$104,15,0)),0,VLOOKUP($U$1227,'TAR FIN'!$A$1:$O$104,15,0))*(1-0.04)</f>
        <v>233.10719999999998</v>
      </c>
      <c r="Y1227" s="60"/>
      <c r="Z1227" s="60">
        <f ca="1">('TUSD BE'!$AM$26+'TUSD BF'!$AM$26+'TUSD CVA'!$AM$26)*1*(1-0.02)</f>
        <v>76.318677921794944</v>
      </c>
      <c r="AA1227" s="60">
        <f>('TE BE'!$AB$8+'TE BF'!$AB$8+'TE CVA'!$AB$8)*1*(1-0.02)</f>
        <v>227.12732236645527</v>
      </c>
      <c r="AB1227" s="6">
        <f>$K$1227*$V$1227</f>
        <v>0</v>
      </c>
      <c r="AC1227" s="6">
        <f>$M$1227*$W$1227</f>
        <v>-3932.5395167999995</v>
      </c>
      <c r="AD1227" s="6">
        <f>$O$1227*$X$1227</f>
        <v>-15261.295276799998</v>
      </c>
      <c r="AE1227" s="6">
        <f>$K$1227*$Y$1227</f>
        <v>0</v>
      </c>
      <c r="AF1227" s="6">
        <f ca="1">$M$1227*$Z$1227</f>
        <v>-4996.5075248619924</v>
      </c>
      <c r="AG1227" s="6">
        <f>$O$1227*$AA$1227</f>
        <v>-14869.798668009458</v>
      </c>
    </row>
    <row r="1228" spans="1:33" ht="11.25" customHeight="1" x14ac:dyDescent="0.25">
      <c r="A1228" s="4" t="s">
        <v>21</v>
      </c>
      <c r="B1228" s="4" t="s">
        <v>41</v>
      </c>
      <c r="C1228" s="4" t="s">
        <v>42</v>
      </c>
      <c r="D1228" s="4" t="s">
        <v>45</v>
      </c>
      <c r="E1228" s="4" t="s">
        <v>53</v>
      </c>
      <c r="F1228" s="4" t="s">
        <v>25</v>
      </c>
      <c r="G1228" s="4" t="s">
        <v>25</v>
      </c>
      <c r="H1228" s="4" t="s">
        <v>35</v>
      </c>
      <c r="I1228" s="5">
        <v>44621</v>
      </c>
      <c r="J1228" s="6">
        <v>0</v>
      </c>
      <c r="K1228" s="60">
        <v>0</v>
      </c>
      <c r="L1228" s="6">
        <v>1956.866</v>
      </c>
      <c r="M1228" s="60">
        <v>1956.866</v>
      </c>
      <c r="N1228" s="6">
        <v>1956.866</v>
      </c>
      <c r="O1228" s="60">
        <v>1956.866</v>
      </c>
      <c r="P1228" s="6">
        <v>0</v>
      </c>
      <c r="Q1228" s="4" t="s">
        <v>26</v>
      </c>
      <c r="R1228" s="4">
        <v>0</v>
      </c>
      <c r="S1228" s="6">
        <v>0</v>
      </c>
      <c r="T1228" s="6">
        <v>44</v>
      </c>
      <c r="U1228" s="6">
        <v>67</v>
      </c>
      <c r="V1228" s="60">
        <f>IF(ISERROR(VLOOKUP($S$1228,'TAR FIN'!$A$1:$O$104,15,0)),0,VLOOKUP($S$1228,'TAR FIN'!$A$1:$O$104,15,0))</f>
        <v>0</v>
      </c>
      <c r="W1228" s="60">
        <f>IF(ISERROR(VLOOKUP($T$1228,'TAR FIN'!$A$1:$O$104,15,0)),0,VLOOKUP($T$1228,'TAR FIN'!$A$1:$O$104,15,0))*(1-0.04)</f>
        <v>60.0672</v>
      </c>
      <c r="X1228" s="60">
        <f>IF(ISERROR(VLOOKUP($U$1228,'TAR FIN'!$A$1:$O$104,15,0)),0,VLOOKUP($U$1228,'TAR FIN'!$A$1:$O$104,15,0))*(1-0.04)</f>
        <v>233.10719999999998</v>
      </c>
      <c r="Y1228" s="60"/>
      <c r="Z1228" s="60">
        <f ca="1">('TUSD BE'!$AM$26+'TUSD BF'!$AM$26+'TUSD CVA'!$AM$26)*1*(1-0.02)</f>
        <v>76.318677921794944</v>
      </c>
      <c r="AA1228" s="60">
        <f>('TE BE'!$AB$8+'TE BF'!$AB$8+'TE CVA'!$AB$8)*1*(1-0.02)</f>
        <v>227.12732236645527</v>
      </c>
      <c r="AB1228" s="6">
        <f>$K$1228*$V$1228</f>
        <v>0</v>
      </c>
      <c r="AC1228" s="6">
        <f>$M$1228*$W$1228</f>
        <v>117543.46139519999</v>
      </c>
      <c r="AD1228" s="6">
        <f>$O$1228*$X$1228</f>
        <v>456159.55403519998</v>
      </c>
      <c r="AE1228" s="6">
        <f>$K$1228*$Y$1228</f>
        <v>0</v>
      </c>
      <c r="AF1228" s="6">
        <f ca="1">$M$1228*$Z$1228</f>
        <v>149345.42599011119</v>
      </c>
      <c r="AG1228" s="6">
        <f>$O$1228*$AA$1228</f>
        <v>444457.73480995587</v>
      </c>
    </row>
    <row r="1229" spans="1:33" ht="11.25" customHeight="1" x14ac:dyDescent="0.25">
      <c r="A1229" s="4" t="s">
        <v>27</v>
      </c>
      <c r="B1229" s="4" t="s">
        <v>41</v>
      </c>
      <c r="C1229" s="4" t="s">
        <v>42</v>
      </c>
      <c r="D1229" s="4" t="s">
        <v>45</v>
      </c>
      <c r="E1229" s="4" t="s">
        <v>53</v>
      </c>
      <c r="F1229" s="4" t="s">
        <v>25</v>
      </c>
      <c r="G1229" s="4" t="s">
        <v>25</v>
      </c>
      <c r="H1229" s="4" t="s">
        <v>35</v>
      </c>
      <c r="I1229" s="5">
        <v>44621</v>
      </c>
      <c r="J1229" s="6">
        <v>0</v>
      </c>
      <c r="K1229" s="60">
        <v>0</v>
      </c>
      <c r="L1229" s="6">
        <v>7.1749999999999998</v>
      </c>
      <c r="M1229" s="60">
        <v>7.1749999999999998</v>
      </c>
      <c r="N1229" s="6">
        <v>7.1749999999999998</v>
      </c>
      <c r="O1229" s="60">
        <v>7.1749999999999998</v>
      </c>
      <c r="P1229" s="6">
        <v>0</v>
      </c>
      <c r="Q1229" s="4" t="s">
        <v>26</v>
      </c>
      <c r="R1229" s="4">
        <v>0</v>
      </c>
      <c r="S1229" s="6">
        <v>0</v>
      </c>
      <c r="T1229" s="6">
        <v>44</v>
      </c>
      <c r="U1229" s="6">
        <v>67</v>
      </c>
      <c r="V1229" s="60">
        <f>IF(ISERROR(VLOOKUP($S$1229,'TAR FIN'!$A$1:$O$104,15,0)),0,VLOOKUP($S$1229,'TAR FIN'!$A$1:$O$104,15,0))</f>
        <v>0</v>
      </c>
      <c r="W1229" s="60">
        <f>IF(ISERROR(VLOOKUP($T$1229,'TAR FIN'!$A$1:$O$104,15,0)),0,VLOOKUP($T$1229,'TAR FIN'!$A$1:$O$104,15,0))*(1-0.04)</f>
        <v>60.0672</v>
      </c>
      <c r="X1229" s="60">
        <f>IF(ISERROR(VLOOKUP($U$1229,'TAR FIN'!$A$1:$O$104,15,0)),0,VLOOKUP($U$1229,'TAR FIN'!$A$1:$O$104,15,0))*(1-0.04)</f>
        <v>233.10719999999998</v>
      </c>
      <c r="Y1229" s="60"/>
      <c r="Z1229" s="60">
        <f ca="1">('TUSD BE'!$AM$26+'TUSD BF'!$AM$26+'TUSD CVA'!$AM$26)*1*(1-0.02)</f>
        <v>76.318677921794944</v>
      </c>
      <c r="AA1229" s="60">
        <f>('TE BE'!$AB$8+'TE BF'!$AB$8+'TE CVA'!$AB$8)*1*(1-0.02)</f>
        <v>227.12732236645527</v>
      </c>
      <c r="AB1229" s="6">
        <f>$K$1229*$V$1229</f>
        <v>0</v>
      </c>
      <c r="AC1229" s="6">
        <f>$M$1229*$W$1229</f>
        <v>430.98215999999996</v>
      </c>
      <c r="AD1229" s="6">
        <f>$O$1229*$X$1229</f>
        <v>1672.5441599999997</v>
      </c>
      <c r="AE1229" s="6">
        <f>$K$1229*$Y$1229</f>
        <v>0</v>
      </c>
      <c r="AF1229" s="6">
        <f ca="1">$M$1229*$Z$1229</f>
        <v>547.58651408887874</v>
      </c>
      <c r="AG1229" s="6">
        <f>$O$1229*$AA$1229</f>
        <v>1629.6385379793167</v>
      </c>
    </row>
    <row r="1230" spans="1:33" ht="11.25" customHeight="1" x14ac:dyDescent="0.25">
      <c r="A1230" s="4" t="s">
        <v>21</v>
      </c>
      <c r="B1230" s="4" t="s">
        <v>41</v>
      </c>
      <c r="C1230" s="4" t="s">
        <v>42</v>
      </c>
      <c r="D1230" s="4" t="s">
        <v>45</v>
      </c>
      <c r="E1230" s="4" t="s">
        <v>53</v>
      </c>
      <c r="F1230" s="4" t="s">
        <v>25</v>
      </c>
      <c r="G1230" s="4" t="s">
        <v>25</v>
      </c>
      <c r="H1230" s="4" t="s">
        <v>35</v>
      </c>
      <c r="I1230" s="5">
        <v>44652</v>
      </c>
      <c r="J1230" s="6">
        <v>0</v>
      </c>
      <c r="K1230" s="60">
        <v>0</v>
      </c>
      <c r="L1230" s="6">
        <v>1746.6479999999999</v>
      </c>
      <c r="M1230" s="60">
        <v>1746.6479999999999</v>
      </c>
      <c r="N1230" s="6">
        <v>1746.6479999999999</v>
      </c>
      <c r="O1230" s="60">
        <v>1746.6479999999999</v>
      </c>
      <c r="P1230" s="6">
        <v>0</v>
      </c>
      <c r="Q1230" s="4" t="s">
        <v>26</v>
      </c>
      <c r="R1230" s="4">
        <v>0</v>
      </c>
      <c r="S1230" s="6">
        <v>0</v>
      </c>
      <c r="T1230" s="6">
        <v>44</v>
      </c>
      <c r="U1230" s="6">
        <v>67</v>
      </c>
      <c r="V1230" s="60">
        <f>IF(ISERROR(VLOOKUP($S$1230,'TAR FIN'!$A$1:$O$104,15,0)),0,VLOOKUP($S$1230,'TAR FIN'!$A$1:$O$104,15,0))</f>
        <v>0</v>
      </c>
      <c r="W1230" s="60">
        <f>IF(ISERROR(VLOOKUP($T$1230,'TAR FIN'!$A$1:$O$104,15,0)),0,VLOOKUP($T$1230,'TAR FIN'!$A$1:$O$104,15,0))*(1-0.04)</f>
        <v>60.0672</v>
      </c>
      <c r="X1230" s="60">
        <f>IF(ISERROR(VLOOKUP($U$1230,'TAR FIN'!$A$1:$O$104,15,0)),0,VLOOKUP($U$1230,'TAR FIN'!$A$1:$O$104,15,0))*(1-0.04)</f>
        <v>233.10719999999998</v>
      </c>
      <c r="Y1230" s="60"/>
      <c r="Z1230" s="60">
        <f ca="1">('TUSD BE'!$AM$26+'TUSD BF'!$AM$26+'TUSD CVA'!$AM$26)*1*(1-0.02)</f>
        <v>76.318677921794944</v>
      </c>
      <c r="AA1230" s="60">
        <f>('TE BE'!$AB$8+'TE BF'!$AB$8+'TE CVA'!$AB$8)*1*(1-0.02)</f>
        <v>227.12732236645527</v>
      </c>
      <c r="AB1230" s="6">
        <f>$K$1230*$V$1230</f>
        <v>0</v>
      </c>
      <c r="AC1230" s="6">
        <f>$M$1230*$W$1230</f>
        <v>104916.25474559999</v>
      </c>
      <c r="AD1230" s="6">
        <f>$O$1230*$X$1230</f>
        <v>407156.22466559993</v>
      </c>
      <c r="AE1230" s="6">
        <f>$K$1230*$Y$1230</f>
        <v>0</v>
      </c>
      <c r="AF1230" s="6">
        <f ca="1">$M$1230*$Z$1230</f>
        <v>133301.86615474729</v>
      </c>
      <c r="AG1230" s="6">
        <f>$O$1230*$AA$1230</f>
        <v>396711.48335672438</v>
      </c>
    </row>
    <row r="1231" spans="1:33" ht="11.25" customHeight="1" x14ac:dyDescent="0.25">
      <c r="A1231" s="4" t="s">
        <v>27</v>
      </c>
      <c r="B1231" s="4" t="s">
        <v>41</v>
      </c>
      <c r="C1231" s="4" t="s">
        <v>42</v>
      </c>
      <c r="D1231" s="4" t="s">
        <v>45</v>
      </c>
      <c r="E1231" s="4" t="s">
        <v>53</v>
      </c>
      <c r="F1231" s="4" t="s">
        <v>25</v>
      </c>
      <c r="G1231" s="4" t="s">
        <v>25</v>
      </c>
      <c r="H1231" s="4" t="s">
        <v>35</v>
      </c>
      <c r="I1231" s="5">
        <v>44652</v>
      </c>
      <c r="J1231" s="6">
        <v>0</v>
      </c>
      <c r="K1231" s="60">
        <v>0</v>
      </c>
      <c r="L1231" s="6">
        <v>-22.260999999999999</v>
      </c>
      <c r="M1231" s="60">
        <v>-22.260999999999999</v>
      </c>
      <c r="N1231" s="6">
        <v>-22.260999999999999</v>
      </c>
      <c r="O1231" s="60">
        <v>-22.260999999999999</v>
      </c>
      <c r="P1231" s="6">
        <v>0</v>
      </c>
      <c r="Q1231" s="4" t="s">
        <v>26</v>
      </c>
      <c r="R1231" s="4">
        <v>0</v>
      </c>
      <c r="S1231" s="6">
        <v>0</v>
      </c>
      <c r="T1231" s="6">
        <v>44</v>
      </c>
      <c r="U1231" s="6">
        <v>67</v>
      </c>
      <c r="V1231" s="60">
        <f>IF(ISERROR(VLOOKUP($S$1231,'TAR FIN'!$A$1:$O$104,15,0)),0,VLOOKUP($S$1231,'TAR FIN'!$A$1:$O$104,15,0))</f>
        <v>0</v>
      </c>
      <c r="W1231" s="60">
        <f>IF(ISERROR(VLOOKUP($T$1231,'TAR FIN'!$A$1:$O$104,15,0)),0,VLOOKUP($T$1231,'TAR FIN'!$A$1:$O$104,15,0))*(1-0.04)</f>
        <v>60.0672</v>
      </c>
      <c r="X1231" s="60">
        <f>IF(ISERROR(VLOOKUP($U$1231,'TAR FIN'!$A$1:$O$104,15,0)),0,VLOOKUP($U$1231,'TAR FIN'!$A$1:$O$104,15,0))*(1-0.04)</f>
        <v>233.10719999999998</v>
      </c>
      <c r="Y1231" s="60"/>
      <c r="Z1231" s="60">
        <f ca="1">('TUSD BE'!$AM$26+'TUSD BF'!$AM$26+'TUSD CVA'!$AM$26)*1*(1-0.02)</f>
        <v>76.318677921794944</v>
      </c>
      <c r="AA1231" s="60">
        <f>('TE BE'!$AB$8+'TE BF'!$AB$8+'TE CVA'!$AB$8)*1*(1-0.02)</f>
        <v>227.12732236645527</v>
      </c>
      <c r="AB1231" s="6">
        <f>$K$1231*$V$1231</f>
        <v>0</v>
      </c>
      <c r="AC1231" s="6">
        <f>$M$1231*$W$1231</f>
        <v>-1337.1559391999999</v>
      </c>
      <c r="AD1231" s="6">
        <f>$O$1231*$X$1231</f>
        <v>-5189.1993791999994</v>
      </c>
      <c r="AE1231" s="6">
        <f>$K$1231*$Y$1231</f>
        <v>0</v>
      </c>
      <c r="AF1231" s="6">
        <f ca="1">$M$1231*$Z$1231</f>
        <v>-1698.9300892170772</v>
      </c>
      <c r="AG1231" s="6">
        <f>$O$1231*$AA$1231</f>
        <v>-5056.0813231996608</v>
      </c>
    </row>
    <row r="1232" spans="1:33" ht="11.25" customHeight="1" x14ac:dyDescent="0.25">
      <c r="A1232" s="4" t="s">
        <v>28</v>
      </c>
      <c r="B1232" s="4" t="s">
        <v>41</v>
      </c>
      <c r="C1232" s="4" t="s">
        <v>42</v>
      </c>
      <c r="D1232" s="4" t="s">
        <v>45</v>
      </c>
      <c r="E1232" s="4" t="s">
        <v>53</v>
      </c>
      <c r="F1232" s="4" t="s">
        <v>25</v>
      </c>
      <c r="G1232" s="4" t="s">
        <v>25</v>
      </c>
      <c r="H1232" s="4" t="s">
        <v>35</v>
      </c>
      <c r="I1232" s="5">
        <v>44652</v>
      </c>
      <c r="J1232" s="6">
        <v>0</v>
      </c>
      <c r="K1232" s="60">
        <v>0</v>
      </c>
      <c r="L1232" s="6">
        <v>0.41299999999999998</v>
      </c>
      <c r="M1232" s="60">
        <v>0.41299999999999998</v>
      </c>
      <c r="N1232" s="6">
        <v>0.41299999999999998</v>
      </c>
      <c r="O1232" s="60">
        <v>0.41299999999999998</v>
      </c>
      <c r="P1232" s="6">
        <v>0</v>
      </c>
      <c r="Q1232" s="4" t="s">
        <v>26</v>
      </c>
      <c r="R1232" s="4">
        <v>0</v>
      </c>
      <c r="S1232" s="6">
        <v>0</v>
      </c>
      <c r="T1232" s="6">
        <v>44</v>
      </c>
      <c r="U1232" s="6">
        <v>67</v>
      </c>
      <c r="V1232" s="60">
        <f>IF(ISERROR(VLOOKUP($S$1232,'TAR FIN'!$A$1:$O$104,15,0)),0,VLOOKUP($S$1232,'TAR FIN'!$A$1:$O$104,15,0))</f>
        <v>0</v>
      </c>
      <c r="W1232" s="60">
        <f>IF(ISERROR(VLOOKUP($T$1232,'TAR FIN'!$A$1:$O$104,15,0)),0,VLOOKUP($T$1232,'TAR FIN'!$A$1:$O$104,15,0))*(1-0.04)</f>
        <v>60.0672</v>
      </c>
      <c r="X1232" s="60">
        <f>IF(ISERROR(VLOOKUP($U$1232,'TAR FIN'!$A$1:$O$104,15,0)),0,VLOOKUP($U$1232,'TAR FIN'!$A$1:$O$104,15,0))*(1-0.04)</f>
        <v>233.10719999999998</v>
      </c>
      <c r="Y1232" s="60"/>
      <c r="Z1232" s="60">
        <f ca="1">('TUSD BE'!$AM$26+'TUSD BF'!$AM$26+'TUSD CVA'!$AM$26)*1*(1-0.02)</f>
        <v>76.318677921794944</v>
      </c>
      <c r="AA1232" s="60">
        <f>('TE BE'!$AB$8+'TE BF'!$AB$8+'TE CVA'!$AB$8)*1*(1-0.02)</f>
        <v>227.12732236645527</v>
      </c>
      <c r="AB1232" s="6">
        <f>$K$1232*$V$1232</f>
        <v>0</v>
      </c>
      <c r="AC1232" s="6">
        <f>$M$1232*$W$1232</f>
        <v>24.807753599999998</v>
      </c>
      <c r="AD1232" s="6">
        <f>$O$1232*$X$1232</f>
        <v>96.273273599999982</v>
      </c>
      <c r="AE1232" s="6">
        <f>$K$1232*$Y$1232</f>
        <v>0</v>
      </c>
      <c r="AF1232" s="6">
        <f ca="1">$M$1232*$Z$1232</f>
        <v>31.519613981701308</v>
      </c>
      <c r="AG1232" s="6">
        <f>$O$1232*$AA$1232</f>
        <v>93.803584137346022</v>
      </c>
    </row>
    <row r="1233" spans="1:33" ht="11.25" customHeight="1" x14ac:dyDescent="0.25">
      <c r="A1233" s="4" t="s">
        <v>28</v>
      </c>
      <c r="B1233" s="4" t="s">
        <v>41</v>
      </c>
      <c r="C1233" s="4" t="s">
        <v>42</v>
      </c>
      <c r="D1233" s="4" t="s">
        <v>45</v>
      </c>
      <c r="E1233" s="4" t="s">
        <v>53</v>
      </c>
      <c r="F1233" s="4" t="s">
        <v>25</v>
      </c>
      <c r="G1233" s="4" t="s">
        <v>25</v>
      </c>
      <c r="H1233" s="4" t="s">
        <v>35</v>
      </c>
      <c r="I1233" s="5">
        <v>44652</v>
      </c>
      <c r="J1233" s="6">
        <v>0</v>
      </c>
      <c r="K1233" s="60">
        <v>0</v>
      </c>
      <c r="L1233" s="6">
        <v>-32.792000000000002</v>
      </c>
      <c r="M1233" s="60">
        <v>-32.792000000000002</v>
      </c>
      <c r="N1233" s="6">
        <v>-32.792000000000002</v>
      </c>
      <c r="O1233" s="60">
        <v>-32.792000000000002</v>
      </c>
      <c r="P1233" s="6">
        <v>0</v>
      </c>
      <c r="Q1233" s="4" t="s">
        <v>26</v>
      </c>
      <c r="R1233" s="4">
        <v>0</v>
      </c>
      <c r="S1233" s="6">
        <v>0</v>
      </c>
      <c r="T1233" s="6">
        <v>44</v>
      </c>
      <c r="U1233" s="6">
        <v>67</v>
      </c>
      <c r="V1233" s="60">
        <f>IF(ISERROR(VLOOKUP($S$1233,'TAR FIN'!$A$1:$O$104,15,0)),0,VLOOKUP($S$1233,'TAR FIN'!$A$1:$O$104,15,0))</f>
        <v>0</v>
      </c>
      <c r="W1233" s="60">
        <f>IF(ISERROR(VLOOKUP($T$1233,'TAR FIN'!$A$1:$O$104,15,0)),0,VLOOKUP($T$1233,'TAR FIN'!$A$1:$O$104,15,0))*(1-0.04)</f>
        <v>60.0672</v>
      </c>
      <c r="X1233" s="60">
        <f>IF(ISERROR(VLOOKUP($U$1233,'TAR FIN'!$A$1:$O$104,15,0)),0,VLOOKUP($U$1233,'TAR FIN'!$A$1:$O$104,15,0))*(1-0.04)</f>
        <v>233.10719999999998</v>
      </c>
      <c r="Y1233" s="60"/>
      <c r="Z1233" s="60">
        <f ca="1">('TUSD BE'!$AM$26+'TUSD BF'!$AM$26+'TUSD CVA'!$AM$26)*1*(1-0.02)</f>
        <v>76.318677921794944</v>
      </c>
      <c r="AA1233" s="60">
        <f>('TE BE'!$AB$8+'TE BF'!$AB$8+'TE CVA'!$AB$8)*1*(1-0.02)</f>
        <v>227.12732236645527</v>
      </c>
      <c r="AB1233" s="6">
        <f>$K$1233*$V$1233</f>
        <v>0</v>
      </c>
      <c r="AC1233" s="6">
        <f>$M$1233*$W$1233</f>
        <v>-1969.7236224000001</v>
      </c>
      <c r="AD1233" s="6">
        <f>$O$1233*$X$1233</f>
        <v>-7644.0513023999993</v>
      </c>
      <c r="AE1233" s="6">
        <f>$K$1233*$Y$1233</f>
        <v>0</v>
      </c>
      <c r="AF1233" s="6">
        <f ca="1">$M$1233*$Z$1233</f>
        <v>-2502.6420864114998</v>
      </c>
      <c r="AG1233" s="6">
        <f>$O$1233*$AA$1233</f>
        <v>-7447.9591550408013</v>
      </c>
    </row>
    <row r="1234" spans="1:33" ht="11.25" customHeight="1" x14ac:dyDescent="0.25">
      <c r="A1234" s="4" t="s">
        <v>21</v>
      </c>
      <c r="B1234" s="4" t="s">
        <v>41</v>
      </c>
      <c r="C1234" s="4" t="s">
        <v>42</v>
      </c>
      <c r="D1234" s="4" t="s">
        <v>45</v>
      </c>
      <c r="E1234" s="4" t="s">
        <v>53</v>
      </c>
      <c r="F1234" s="4" t="s">
        <v>25</v>
      </c>
      <c r="G1234" s="4" t="s">
        <v>25</v>
      </c>
      <c r="H1234" s="4" t="s">
        <v>35</v>
      </c>
      <c r="I1234" s="5">
        <v>44682</v>
      </c>
      <c r="J1234" s="6">
        <v>0</v>
      </c>
      <c r="K1234" s="60">
        <v>0</v>
      </c>
      <c r="L1234" s="6">
        <v>1020.328</v>
      </c>
      <c r="M1234" s="60">
        <v>1020.328</v>
      </c>
      <c r="N1234" s="6">
        <v>1020.328</v>
      </c>
      <c r="O1234" s="60">
        <v>1020.328</v>
      </c>
      <c r="P1234" s="6">
        <v>0</v>
      </c>
      <c r="Q1234" s="4" t="s">
        <v>26</v>
      </c>
      <c r="R1234" s="4">
        <v>0</v>
      </c>
      <c r="S1234" s="6">
        <v>0</v>
      </c>
      <c r="T1234" s="6">
        <v>44</v>
      </c>
      <c r="U1234" s="6">
        <v>67</v>
      </c>
      <c r="V1234" s="60">
        <f>IF(ISERROR(VLOOKUP($S$1234,'TAR FIN'!$A$1:$O$104,15,0)),0,VLOOKUP($S$1234,'TAR FIN'!$A$1:$O$104,15,0))</f>
        <v>0</v>
      </c>
      <c r="W1234" s="60">
        <f>IF(ISERROR(VLOOKUP($T$1234,'TAR FIN'!$A$1:$O$104,15,0)),0,VLOOKUP($T$1234,'TAR FIN'!$A$1:$O$104,15,0))*(1-0.04)</f>
        <v>60.0672</v>
      </c>
      <c r="X1234" s="60">
        <f>IF(ISERROR(VLOOKUP($U$1234,'TAR FIN'!$A$1:$O$104,15,0)),0,VLOOKUP($U$1234,'TAR FIN'!$A$1:$O$104,15,0))*(1-0.04)</f>
        <v>233.10719999999998</v>
      </c>
      <c r="Y1234" s="60"/>
      <c r="Z1234" s="60">
        <f ca="1">('TUSD BE'!$AM$26+'TUSD BF'!$AM$26+'TUSD CVA'!$AM$26)*1*(1-0.02)</f>
        <v>76.318677921794944</v>
      </c>
      <c r="AA1234" s="60">
        <f>('TE BE'!$AB$8+'TE BF'!$AB$8+'TE CVA'!$AB$8)*1*(1-0.02)</f>
        <v>227.12732236645527</v>
      </c>
      <c r="AB1234" s="6">
        <f>$K$1234*$V$1234</f>
        <v>0</v>
      </c>
      <c r="AC1234" s="6">
        <f>$M$1234*$W$1234</f>
        <v>61288.246041599996</v>
      </c>
      <c r="AD1234" s="6">
        <f>$O$1234*$X$1234</f>
        <v>237845.80316159996</v>
      </c>
      <c r="AE1234" s="6">
        <f>$K$1234*$Y$1234</f>
        <v>0</v>
      </c>
      <c r="AF1234" s="6">
        <f ca="1">$M$1234*$Z$1234</f>
        <v>77870.084006589183</v>
      </c>
      <c r="AG1234" s="6">
        <f>$O$1234*$AA$1234</f>
        <v>231744.36657552057</v>
      </c>
    </row>
    <row r="1235" spans="1:33" ht="11.25" customHeight="1" x14ac:dyDescent="0.25">
      <c r="A1235" s="4" t="s">
        <v>28</v>
      </c>
      <c r="B1235" s="4" t="s">
        <v>41</v>
      </c>
      <c r="C1235" s="4" t="s">
        <v>42</v>
      </c>
      <c r="D1235" s="4" t="s">
        <v>45</v>
      </c>
      <c r="E1235" s="4" t="s">
        <v>53</v>
      </c>
      <c r="F1235" s="4" t="s">
        <v>25</v>
      </c>
      <c r="G1235" s="4" t="s">
        <v>25</v>
      </c>
      <c r="H1235" s="4" t="s">
        <v>35</v>
      </c>
      <c r="I1235" s="5">
        <v>44682</v>
      </c>
      <c r="J1235" s="6">
        <v>0</v>
      </c>
      <c r="K1235" s="60">
        <v>0</v>
      </c>
      <c r="L1235" s="6">
        <v>2.202</v>
      </c>
      <c r="M1235" s="60">
        <v>2.202</v>
      </c>
      <c r="N1235" s="6">
        <v>2.202</v>
      </c>
      <c r="O1235" s="60">
        <v>2.202</v>
      </c>
      <c r="P1235" s="6">
        <v>0</v>
      </c>
      <c r="Q1235" s="4" t="s">
        <v>26</v>
      </c>
      <c r="R1235" s="4">
        <v>0</v>
      </c>
      <c r="S1235" s="6">
        <v>0</v>
      </c>
      <c r="T1235" s="6">
        <v>44</v>
      </c>
      <c r="U1235" s="6">
        <v>67</v>
      </c>
      <c r="V1235" s="60">
        <f>IF(ISERROR(VLOOKUP($S$1235,'TAR FIN'!$A$1:$O$104,15,0)),0,VLOOKUP($S$1235,'TAR FIN'!$A$1:$O$104,15,0))</f>
        <v>0</v>
      </c>
      <c r="W1235" s="60">
        <f>IF(ISERROR(VLOOKUP($T$1235,'TAR FIN'!$A$1:$O$104,15,0)),0,VLOOKUP($T$1235,'TAR FIN'!$A$1:$O$104,15,0))*(1-0.04)</f>
        <v>60.0672</v>
      </c>
      <c r="X1235" s="60">
        <f>IF(ISERROR(VLOOKUP($U$1235,'TAR FIN'!$A$1:$O$104,15,0)),0,VLOOKUP($U$1235,'TAR FIN'!$A$1:$O$104,15,0))*(1-0.04)</f>
        <v>233.10719999999998</v>
      </c>
      <c r="Y1235" s="60"/>
      <c r="Z1235" s="60">
        <f ca="1">('TUSD BE'!$AM$26+'TUSD BF'!$AM$26+'TUSD CVA'!$AM$26)*1*(1-0.02)</f>
        <v>76.318677921794944</v>
      </c>
      <c r="AA1235" s="60">
        <f>('TE BE'!$AB$8+'TE BF'!$AB$8+'TE CVA'!$AB$8)*1*(1-0.02)</f>
        <v>227.12732236645527</v>
      </c>
      <c r="AB1235" s="6">
        <f>$K$1235*$V$1235</f>
        <v>0</v>
      </c>
      <c r="AC1235" s="6">
        <f>$M$1235*$W$1235</f>
        <v>132.26797439999999</v>
      </c>
      <c r="AD1235" s="6">
        <f>$O$1235*$X$1235</f>
        <v>513.30205439999997</v>
      </c>
      <c r="AE1235" s="6">
        <f>$K$1235*$Y$1235</f>
        <v>0</v>
      </c>
      <c r="AF1235" s="6">
        <f ca="1">$M$1235*$Z$1235</f>
        <v>168.05372878379245</v>
      </c>
      <c r="AG1235" s="6">
        <f>$O$1235*$AA$1235</f>
        <v>500.13436385093451</v>
      </c>
    </row>
    <row r="1236" spans="1:33" ht="11.25" customHeight="1" x14ac:dyDescent="0.25">
      <c r="A1236" s="4" t="s">
        <v>21</v>
      </c>
      <c r="B1236" s="4" t="s">
        <v>41</v>
      </c>
      <c r="C1236" s="4" t="s">
        <v>42</v>
      </c>
      <c r="D1236" s="4" t="s">
        <v>45</v>
      </c>
      <c r="E1236" s="4" t="s">
        <v>53</v>
      </c>
      <c r="F1236" s="4" t="s">
        <v>25</v>
      </c>
      <c r="G1236" s="4" t="s">
        <v>25</v>
      </c>
      <c r="H1236" s="4" t="s">
        <v>35</v>
      </c>
      <c r="I1236" s="5">
        <v>44713</v>
      </c>
      <c r="J1236" s="6">
        <v>0</v>
      </c>
      <c r="K1236" s="60">
        <v>0</v>
      </c>
      <c r="L1236" s="6">
        <v>723.52</v>
      </c>
      <c r="M1236" s="60">
        <v>723.52</v>
      </c>
      <c r="N1236" s="6">
        <v>723.52</v>
      </c>
      <c r="O1236" s="60">
        <v>723.52</v>
      </c>
      <c r="P1236" s="6">
        <v>0</v>
      </c>
      <c r="Q1236" s="4" t="s">
        <v>26</v>
      </c>
      <c r="R1236" s="4">
        <v>0</v>
      </c>
      <c r="S1236" s="6">
        <v>0</v>
      </c>
      <c r="T1236" s="6">
        <v>44</v>
      </c>
      <c r="U1236" s="6">
        <v>67</v>
      </c>
      <c r="V1236" s="60">
        <f>IF(ISERROR(VLOOKUP($S$1236,'TAR FIN'!$A$1:$O$104,15,0)),0,VLOOKUP($S$1236,'TAR FIN'!$A$1:$O$104,15,0))</f>
        <v>0</v>
      </c>
      <c r="W1236" s="60">
        <f>IF(ISERROR(VLOOKUP($T$1236,'TAR FIN'!$A$1:$O$104,15,0)),0,VLOOKUP($T$1236,'TAR FIN'!$A$1:$O$104,15,0))*(1-0.04)</f>
        <v>60.0672</v>
      </c>
      <c r="X1236" s="60">
        <f>IF(ISERROR(VLOOKUP($U$1236,'TAR FIN'!$A$1:$O$104,15,0)),0,VLOOKUP($U$1236,'TAR FIN'!$A$1:$O$104,15,0))*(1-0.04)</f>
        <v>233.10719999999998</v>
      </c>
      <c r="Y1236" s="60"/>
      <c r="Z1236" s="60">
        <f ca="1">('TUSD BE'!$AM$26+'TUSD BF'!$AM$26+'TUSD CVA'!$AM$26)*1*(1-0.02)</f>
        <v>76.318677921794944</v>
      </c>
      <c r="AA1236" s="60">
        <f>('TE BE'!$AB$8+'TE BF'!$AB$8+'TE CVA'!$AB$8)*1*(1-0.02)</f>
        <v>227.12732236645527</v>
      </c>
      <c r="AB1236" s="6">
        <f>$K$1236*$V$1236</f>
        <v>0</v>
      </c>
      <c r="AC1236" s="6">
        <f>$M$1236*$W$1236</f>
        <v>43459.820544000002</v>
      </c>
      <c r="AD1236" s="6">
        <f>$O$1236*$X$1236</f>
        <v>168657.72134399999</v>
      </c>
      <c r="AE1236" s="6">
        <f>$K$1236*$Y$1236</f>
        <v>0</v>
      </c>
      <c r="AF1236" s="6">
        <f ca="1">$M$1236*$Z$1236</f>
        <v>55218.089849977077</v>
      </c>
      <c r="AG1236" s="6">
        <f>$O$1236*$AA$1236</f>
        <v>164331.16027857771</v>
      </c>
    </row>
    <row r="1237" spans="1:33" ht="11.25" customHeight="1" x14ac:dyDescent="0.25">
      <c r="A1237" s="4" t="s">
        <v>27</v>
      </c>
      <c r="B1237" s="4" t="s">
        <v>41</v>
      </c>
      <c r="C1237" s="4" t="s">
        <v>42</v>
      </c>
      <c r="D1237" s="4" t="s">
        <v>45</v>
      </c>
      <c r="E1237" s="4" t="s">
        <v>53</v>
      </c>
      <c r="F1237" s="4" t="s">
        <v>25</v>
      </c>
      <c r="G1237" s="4" t="s">
        <v>25</v>
      </c>
      <c r="H1237" s="4" t="s">
        <v>35</v>
      </c>
      <c r="I1237" s="5">
        <v>44713</v>
      </c>
      <c r="J1237" s="6">
        <v>0</v>
      </c>
      <c r="K1237" s="60">
        <v>0</v>
      </c>
      <c r="L1237" s="6">
        <v>-5.359</v>
      </c>
      <c r="M1237" s="60">
        <v>-5.359</v>
      </c>
      <c r="N1237" s="6">
        <v>-5.359</v>
      </c>
      <c r="O1237" s="60">
        <v>-5.359</v>
      </c>
      <c r="P1237" s="6">
        <v>0</v>
      </c>
      <c r="Q1237" s="4" t="s">
        <v>26</v>
      </c>
      <c r="R1237" s="4">
        <v>0</v>
      </c>
      <c r="S1237" s="6">
        <v>0</v>
      </c>
      <c r="T1237" s="6">
        <v>44</v>
      </c>
      <c r="U1237" s="6">
        <v>67</v>
      </c>
      <c r="V1237" s="60">
        <f>IF(ISERROR(VLOOKUP($S$1237,'TAR FIN'!$A$1:$O$104,15,0)),0,VLOOKUP($S$1237,'TAR FIN'!$A$1:$O$104,15,0))</f>
        <v>0</v>
      </c>
      <c r="W1237" s="60">
        <f>IF(ISERROR(VLOOKUP($T$1237,'TAR FIN'!$A$1:$O$104,15,0)),0,VLOOKUP($T$1237,'TAR FIN'!$A$1:$O$104,15,0))*(1-0.04)</f>
        <v>60.0672</v>
      </c>
      <c r="X1237" s="60">
        <f>IF(ISERROR(VLOOKUP($U$1237,'TAR FIN'!$A$1:$O$104,15,0)),0,VLOOKUP($U$1237,'TAR FIN'!$A$1:$O$104,15,0))*(1-0.04)</f>
        <v>233.10719999999998</v>
      </c>
      <c r="Y1237" s="60"/>
      <c r="Z1237" s="60">
        <f ca="1">('TUSD BE'!$AM$26+'TUSD BF'!$AM$26+'TUSD CVA'!$AM$26)*1*(1-0.02)</f>
        <v>76.318677921794944</v>
      </c>
      <c r="AA1237" s="60">
        <f>('TE BE'!$AB$8+'TE BF'!$AB$8+'TE CVA'!$AB$8)*1*(1-0.02)</f>
        <v>227.12732236645527</v>
      </c>
      <c r="AB1237" s="6">
        <f>$K$1237*$V$1237</f>
        <v>0</v>
      </c>
      <c r="AC1237" s="6">
        <f>$M$1237*$W$1237</f>
        <v>-321.90012480000001</v>
      </c>
      <c r="AD1237" s="6">
        <f>$O$1237*$X$1237</f>
        <v>-1249.2214847999999</v>
      </c>
      <c r="AE1237" s="6">
        <f>$K$1237*$Y$1237</f>
        <v>0</v>
      </c>
      <c r="AF1237" s="6">
        <f ca="1">$M$1237*$Z$1237</f>
        <v>-408.99179498289908</v>
      </c>
      <c r="AG1237" s="6">
        <f>$O$1237*$AA$1237</f>
        <v>-1217.1753205618338</v>
      </c>
    </row>
    <row r="1238" spans="1:33" ht="11.25" customHeight="1" x14ac:dyDescent="0.25">
      <c r="A1238" s="4" t="s">
        <v>57</v>
      </c>
      <c r="B1238" s="4" t="s">
        <v>41</v>
      </c>
      <c r="C1238" s="4" t="s">
        <v>42</v>
      </c>
      <c r="D1238" s="4" t="s">
        <v>45</v>
      </c>
      <c r="E1238" s="4" t="s">
        <v>53</v>
      </c>
      <c r="F1238" s="4" t="s">
        <v>25</v>
      </c>
      <c r="G1238" s="4" t="s">
        <v>25</v>
      </c>
      <c r="H1238" s="4" t="s">
        <v>35</v>
      </c>
      <c r="I1238" s="5">
        <v>44743</v>
      </c>
      <c r="J1238" s="6">
        <v>0</v>
      </c>
      <c r="K1238" s="60">
        <v>0</v>
      </c>
      <c r="L1238" s="6">
        <v>723.52</v>
      </c>
      <c r="M1238" s="60">
        <v>723.52</v>
      </c>
      <c r="N1238" s="6">
        <v>723.52</v>
      </c>
      <c r="O1238" s="60">
        <v>723.52</v>
      </c>
      <c r="P1238" s="6">
        <v>0</v>
      </c>
      <c r="Q1238" s="4" t="s">
        <v>26</v>
      </c>
      <c r="R1238" s="4">
        <v>0</v>
      </c>
      <c r="S1238" s="6">
        <v>0</v>
      </c>
      <c r="T1238" s="6">
        <v>44</v>
      </c>
      <c r="U1238" s="6">
        <v>67</v>
      </c>
      <c r="V1238" s="60">
        <f>IF(ISERROR(VLOOKUP($S$1238,'TAR FIN'!$A$1:$O$104,15,0)),0,VLOOKUP($S$1238,'TAR FIN'!$A$1:$O$104,15,0))</f>
        <v>0</v>
      </c>
      <c r="W1238" s="60">
        <f>IF(ISERROR(VLOOKUP($T$1238,'TAR FIN'!$A$1:$O$104,15,0)),0,VLOOKUP($T$1238,'TAR FIN'!$A$1:$O$104,15,0))*(1-0.04)</f>
        <v>60.0672</v>
      </c>
      <c r="X1238" s="60">
        <f>IF(ISERROR(VLOOKUP($U$1238,'TAR FIN'!$A$1:$O$104,15,0)),0,VLOOKUP($U$1238,'TAR FIN'!$A$1:$O$104,15,0))*(1-0.04)</f>
        <v>233.10719999999998</v>
      </c>
      <c r="Y1238" s="60"/>
      <c r="Z1238" s="60">
        <f ca="1">('TUSD BE'!$AM$26+'TUSD BF'!$AM$26+'TUSD CVA'!$AM$26)*1*(1-0.02)</f>
        <v>76.318677921794944</v>
      </c>
      <c r="AA1238" s="60">
        <f>('TE BE'!$AB$8+'TE BF'!$AB$8+'TE CVA'!$AB$8)*1*(1-0.02)</f>
        <v>227.12732236645527</v>
      </c>
      <c r="AB1238" s="6">
        <f>$K$1238*$V$1238</f>
        <v>0</v>
      </c>
      <c r="AC1238" s="6">
        <f>$M$1238*$W$1238</f>
        <v>43459.820544000002</v>
      </c>
      <c r="AD1238" s="6">
        <f>$O$1238*$X$1238</f>
        <v>168657.72134399999</v>
      </c>
      <c r="AE1238" s="6">
        <f>$K$1238*$Y$1238</f>
        <v>0</v>
      </c>
      <c r="AF1238" s="6">
        <f ca="1">$M$1238*$Z$1238</f>
        <v>55218.089849977077</v>
      </c>
      <c r="AG1238" s="6">
        <f>$O$1238*$AA$1238</f>
        <v>164331.16027857771</v>
      </c>
    </row>
    <row r="1239" spans="1:33" ht="11.25" customHeight="1" x14ac:dyDescent="0.25">
      <c r="A1239" s="4" t="s">
        <v>57</v>
      </c>
      <c r="B1239" s="4" t="s">
        <v>41</v>
      </c>
      <c r="C1239" s="4" t="s">
        <v>42</v>
      </c>
      <c r="D1239" s="4" t="s">
        <v>45</v>
      </c>
      <c r="E1239" s="4" t="s">
        <v>53</v>
      </c>
      <c r="F1239" s="4" t="s">
        <v>25</v>
      </c>
      <c r="G1239" s="4" t="s">
        <v>25</v>
      </c>
      <c r="H1239" s="4" t="s">
        <v>35</v>
      </c>
      <c r="I1239" s="5">
        <v>44743</v>
      </c>
      <c r="J1239" s="6">
        <v>0</v>
      </c>
      <c r="K1239" s="60">
        <v>0</v>
      </c>
      <c r="L1239" s="6">
        <v>-5.359</v>
      </c>
      <c r="M1239" s="60">
        <v>-5.359</v>
      </c>
      <c r="N1239" s="6">
        <v>-5.359</v>
      </c>
      <c r="O1239" s="60">
        <v>-5.359</v>
      </c>
      <c r="P1239" s="6">
        <v>0</v>
      </c>
      <c r="Q1239" s="4" t="s">
        <v>26</v>
      </c>
      <c r="R1239" s="4">
        <v>0</v>
      </c>
      <c r="S1239" s="6">
        <v>0</v>
      </c>
      <c r="T1239" s="6">
        <v>44</v>
      </c>
      <c r="U1239" s="6">
        <v>67</v>
      </c>
      <c r="V1239" s="60">
        <f>IF(ISERROR(VLOOKUP($S$1239,'TAR FIN'!$A$1:$O$104,15,0)),0,VLOOKUP($S$1239,'TAR FIN'!$A$1:$O$104,15,0))</f>
        <v>0</v>
      </c>
      <c r="W1239" s="60">
        <f>IF(ISERROR(VLOOKUP($T$1239,'TAR FIN'!$A$1:$O$104,15,0)),0,VLOOKUP($T$1239,'TAR FIN'!$A$1:$O$104,15,0))*(1-0.04)</f>
        <v>60.0672</v>
      </c>
      <c r="X1239" s="60">
        <f>IF(ISERROR(VLOOKUP($U$1239,'TAR FIN'!$A$1:$O$104,15,0)),0,VLOOKUP($U$1239,'TAR FIN'!$A$1:$O$104,15,0))*(1-0.04)</f>
        <v>233.10719999999998</v>
      </c>
      <c r="Y1239" s="60"/>
      <c r="Z1239" s="60">
        <f ca="1">('TUSD BE'!$AM$26+'TUSD BF'!$AM$26+'TUSD CVA'!$AM$26)*1*(1-0.02)</f>
        <v>76.318677921794944</v>
      </c>
      <c r="AA1239" s="60">
        <f>('TE BE'!$AB$8+'TE BF'!$AB$8+'TE CVA'!$AB$8)*1*(1-0.02)</f>
        <v>227.12732236645527</v>
      </c>
      <c r="AB1239" s="6">
        <f>$K$1239*$V$1239</f>
        <v>0</v>
      </c>
      <c r="AC1239" s="6">
        <f>$M$1239*$W$1239</f>
        <v>-321.90012480000001</v>
      </c>
      <c r="AD1239" s="6">
        <f>$O$1239*$X$1239</f>
        <v>-1249.2214847999999</v>
      </c>
      <c r="AE1239" s="6">
        <f>$K$1239*$Y$1239</f>
        <v>0</v>
      </c>
      <c r="AF1239" s="6">
        <f ca="1">$M$1239*$Z$1239</f>
        <v>-408.99179498289908</v>
      </c>
      <c r="AG1239" s="6">
        <f>$O$1239*$AA$1239</f>
        <v>-1217.1753205618338</v>
      </c>
    </row>
    <row r="1240" spans="1:33" ht="11.25" customHeight="1" x14ac:dyDescent="0.25">
      <c r="A1240" s="4" t="s">
        <v>21</v>
      </c>
      <c r="B1240" s="4" t="s">
        <v>41</v>
      </c>
      <c r="C1240" s="4" t="s">
        <v>42</v>
      </c>
      <c r="D1240" s="4" t="s">
        <v>45</v>
      </c>
      <c r="E1240" s="4" t="s">
        <v>53</v>
      </c>
      <c r="F1240" s="4" t="s">
        <v>25</v>
      </c>
      <c r="G1240" s="4" t="s">
        <v>25</v>
      </c>
      <c r="H1240" s="4" t="s">
        <v>25</v>
      </c>
      <c r="I1240" s="5">
        <v>44409</v>
      </c>
      <c r="J1240" s="6">
        <v>13023</v>
      </c>
      <c r="K1240" s="60">
        <v>13023</v>
      </c>
      <c r="L1240" s="6">
        <v>0</v>
      </c>
      <c r="M1240" s="60">
        <v>0</v>
      </c>
      <c r="N1240" s="6">
        <v>0</v>
      </c>
      <c r="O1240" s="60">
        <v>0</v>
      </c>
      <c r="P1240" s="6">
        <v>84</v>
      </c>
      <c r="Q1240" s="4" t="s">
        <v>26</v>
      </c>
      <c r="R1240" s="4">
        <v>0</v>
      </c>
      <c r="S1240" s="6">
        <v>40</v>
      </c>
      <c r="T1240" s="6">
        <v>0</v>
      </c>
      <c r="U1240" s="6">
        <v>0</v>
      </c>
      <c r="V1240" s="60">
        <f>IF(ISERROR(VLOOKUP($S$1240,'TAR FIN'!$A$1:$O$104,15,0)),0,VLOOKUP($S$1240,'TAR FIN'!$A$1:$O$104,15,0))*(1-0.04)</f>
        <v>25.171199999999999</v>
      </c>
      <c r="W1240" s="60">
        <f>IF(ISERROR(VLOOKUP($T$1240,'TAR FIN'!$A$1:$O$104,15,0)),0,VLOOKUP($T$1240,'TAR FIN'!$A$1:$O$104,15,0))</f>
        <v>0</v>
      </c>
      <c r="X1240" s="60">
        <f>IF(ISERROR(VLOOKUP($U$1240,'TAR FIN'!$A$1:$O$104,15,0)),0,VLOOKUP($U$1240,'TAR FIN'!$A$1:$O$104,15,0))</f>
        <v>0</v>
      </c>
      <c r="Y1240" s="60">
        <f ca="1">('TUSD BE'!$AM$24+'TUSD BF'!$AM$24+'TUSD CVA'!$AM$24)*1*(1-0.02)</f>
        <v>25.754560993400897</v>
      </c>
      <c r="Z1240" s="60"/>
      <c r="AA1240" s="60"/>
      <c r="AB1240" s="6">
        <f>$K$1240*$V$1240</f>
        <v>327804.53759999998</v>
      </c>
      <c r="AC1240" s="6">
        <f>$M$1240*$W$1240</f>
        <v>0</v>
      </c>
      <c r="AD1240" s="6">
        <f>$O$1240*$X$1240</f>
        <v>0</v>
      </c>
      <c r="AE1240" s="6">
        <f ca="1">$K$1240*$Y$1240</f>
        <v>335401.64781705989</v>
      </c>
      <c r="AF1240" s="6">
        <f>$M$1240*$Z$1240</f>
        <v>0</v>
      </c>
      <c r="AG1240" s="6">
        <f>$O$1240*$AA$1240</f>
        <v>0</v>
      </c>
    </row>
    <row r="1241" spans="1:33" ht="11.25" customHeight="1" x14ac:dyDescent="0.25">
      <c r="A1241" s="4" t="s">
        <v>27</v>
      </c>
      <c r="B1241" s="4" t="s">
        <v>41</v>
      </c>
      <c r="C1241" s="4" t="s">
        <v>42</v>
      </c>
      <c r="D1241" s="4" t="s">
        <v>45</v>
      </c>
      <c r="E1241" s="4" t="s">
        <v>53</v>
      </c>
      <c r="F1241" s="4" t="s">
        <v>25</v>
      </c>
      <c r="G1241" s="4" t="s">
        <v>25</v>
      </c>
      <c r="H1241" s="4" t="s">
        <v>25</v>
      </c>
      <c r="I1241" s="5">
        <v>44409</v>
      </c>
      <c r="J1241" s="6">
        <v>-44</v>
      </c>
      <c r="K1241" s="60">
        <v>-44</v>
      </c>
      <c r="L1241" s="6">
        <v>0</v>
      </c>
      <c r="M1241" s="60">
        <v>0</v>
      </c>
      <c r="N1241" s="6">
        <v>0</v>
      </c>
      <c r="O1241" s="60">
        <v>0</v>
      </c>
      <c r="P1241" s="6">
        <v>-2</v>
      </c>
      <c r="Q1241" s="4" t="s">
        <v>26</v>
      </c>
      <c r="R1241" s="4">
        <v>0</v>
      </c>
      <c r="S1241" s="6">
        <v>40</v>
      </c>
      <c r="T1241" s="6">
        <v>0</v>
      </c>
      <c r="U1241" s="6">
        <v>0</v>
      </c>
      <c r="V1241" s="60">
        <f>IF(ISERROR(VLOOKUP($S$1241,'TAR FIN'!$A$1:$O$104,15,0)),0,VLOOKUP($S$1241,'TAR FIN'!$A$1:$O$104,15,0))*(1-0.04)</f>
        <v>25.171199999999999</v>
      </c>
      <c r="W1241" s="60">
        <f>IF(ISERROR(VLOOKUP($T$1241,'TAR FIN'!$A$1:$O$104,15,0)),0,VLOOKUP($T$1241,'TAR FIN'!$A$1:$O$104,15,0))</f>
        <v>0</v>
      </c>
      <c r="X1241" s="60">
        <f>IF(ISERROR(VLOOKUP($U$1241,'TAR FIN'!$A$1:$O$104,15,0)),0,VLOOKUP($U$1241,'TAR FIN'!$A$1:$O$104,15,0))</f>
        <v>0</v>
      </c>
      <c r="Y1241" s="60">
        <f ca="1">('TUSD BE'!$AM$24+'TUSD BF'!$AM$24+'TUSD CVA'!$AM$24)*1*(1-0.02)</f>
        <v>25.754560993400897</v>
      </c>
      <c r="Z1241" s="60"/>
      <c r="AA1241" s="60"/>
      <c r="AB1241" s="6">
        <f>$K$1241*$V$1241</f>
        <v>-1107.5328</v>
      </c>
      <c r="AC1241" s="6">
        <f>$M$1241*$W$1241</f>
        <v>0</v>
      </c>
      <c r="AD1241" s="6">
        <f>$O$1241*$X$1241</f>
        <v>0</v>
      </c>
      <c r="AE1241" s="6">
        <f ca="1">$K$1241*$Y$1241</f>
        <v>-1133.2006837096394</v>
      </c>
      <c r="AF1241" s="6">
        <f>$M$1241*$Z$1241</f>
        <v>0</v>
      </c>
      <c r="AG1241" s="6">
        <f>$O$1241*$AA$1241</f>
        <v>0</v>
      </c>
    </row>
    <row r="1242" spans="1:33" ht="11.25" customHeight="1" x14ac:dyDescent="0.25">
      <c r="A1242" s="4" t="s">
        <v>28</v>
      </c>
      <c r="B1242" s="4" t="s">
        <v>41</v>
      </c>
      <c r="C1242" s="4" t="s">
        <v>42</v>
      </c>
      <c r="D1242" s="4" t="s">
        <v>45</v>
      </c>
      <c r="E1242" s="4" t="s">
        <v>53</v>
      </c>
      <c r="F1242" s="4" t="s">
        <v>25</v>
      </c>
      <c r="G1242" s="4" t="s">
        <v>25</v>
      </c>
      <c r="H1242" s="4" t="s">
        <v>25</v>
      </c>
      <c r="I1242" s="5">
        <v>44409</v>
      </c>
      <c r="J1242" s="6">
        <v>152</v>
      </c>
      <c r="K1242" s="60">
        <v>152</v>
      </c>
      <c r="L1242" s="6">
        <v>0</v>
      </c>
      <c r="M1242" s="60">
        <v>0</v>
      </c>
      <c r="N1242" s="6">
        <v>0</v>
      </c>
      <c r="O1242" s="60">
        <v>0</v>
      </c>
      <c r="P1242" s="6">
        <v>2</v>
      </c>
      <c r="Q1242" s="4" t="s">
        <v>26</v>
      </c>
      <c r="R1242" s="4">
        <v>0</v>
      </c>
      <c r="S1242" s="6">
        <v>40</v>
      </c>
      <c r="T1242" s="6">
        <v>0</v>
      </c>
      <c r="U1242" s="6">
        <v>0</v>
      </c>
      <c r="V1242" s="60">
        <f>IF(ISERROR(VLOOKUP($S$1242,'TAR FIN'!$A$1:$O$104,15,0)),0,VLOOKUP($S$1242,'TAR FIN'!$A$1:$O$104,15,0))*(1-0.04)</f>
        <v>25.171199999999999</v>
      </c>
      <c r="W1242" s="60">
        <f>IF(ISERROR(VLOOKUP($T$1242,'TAR FIN'!$A$1:$O$104,15,0)),0,VLOOKUP($T$1242,'TAR FIN'!$A$1:$O$104,15,0))</f>
        <v>0</v>
      </c>
      <c r="X1242" s="60">
        <f>IF(ISERROR(VLOOKUP($U$1242,'TAR FIN'!$A$1:$O$104,15,0)),0,VLOOKUP($U$1242,'TAR FIN'!$A$1:$O$104,15,0))</f>
        <v>0</v>
      </c>
      <c r="Y1242" s="60">
        <f ca="1">('TUSD BE'!$AM$24+'TUSD BF'!$AM$24+'TUSD CVA'!$AM$24)*1*(1-0.02)</f>
        <v>25.754560993400897</v>
      </c>
      <c r="Z1242" s="60"/>
      <c r="AA1242" s="60"/>
      <c r="AB1242" s="6">
        <f>$K$1242*$V$1242</f>
        <v>3826.0223999999998</v>
      </c>
      <c r="AC1242" s="6">
        <f>$M$1242*$W$1242</f>
        <v>0</v>
      </c>
      <c r="AD1242" s="6">
        <f>$O$1242*$X$1242</f>
        <v>0</v>
      </c>
      <c r="AE1242" s="6">
        <f ca="1">$K$1242*$Y$1242</f>
        <v>3914.6932709969365</v>
      </c>
      <c r="AF1242" s="6">
        <f>$M$1242*$Z$1242</f>
        <v>0</v>
      </c>
      <c r="AG1242" s="6">
        <f>$O$1242*$AA$1242</f>
        <v>0</v>
      </c>
    </row>
    <row r="1243" spans="1:33" ht="11.25" customHeight="1" x14ac:dyDescent="0.25">
      <c r="A1243" s="4" t="s">
        <v>28</v>
      </c>
      <c r="B1243" s="4" t="s">
        <v>41</v>
      </c>
      <c r="C1243" s="4" t="s">
        <v>42</v>
      </c>
      <c r="D1243" s="4" t="s">
        <v>45</v>
      </c>
      <c r="E1243" s="4" t="s">
        <v>53</v>
      </c>
      <c r="F1243" s="4" t="s">
        <v>25</v>
      </c>
      <c r="G1243" s="4" t="s">
        <v>25</v>
      </c>
      <c r="H1243" s="4" t="s">
        <v>25</v>
      </c>
      <c r="I1243" s="5">
        <v>44409</v>
      </c>
      <c r="J1243" s="6">
        <v>-22</v>
      </c>
      <c r="K1243" s="60">
        <v>-22</v>
      </c>
      <c r="L1243" s="6">
        <v>0</v>
      </c>
      <c r="M1243" s="60">
        <v>0</v>
      </c>
      <c r="N1243" s="6">
        <v>0</v>
      </c>
      <c r="O1243" s="60">
        <v>0</v>
      </c>
      <c r="P1243" s="6">
        <v>-4</v>
      </c>
      <c r="Q1243" s="4" t="s">
        <v>26</v>
      </c>
      <c r="R1243" s="4">
        <v>0</v>
      </c>
      <c r="S1243" s="6">
        <v>40</v>
      </c>
      <c r="T1243" s="6">
        <v>0</v>
      </c>
      <c r="U1243" s="6">
        <v>0</v>
      </c>
      <c r="V1243" s="60">
        <f>IF(ISERROR(VLOOKUP($S$1243,'TAR FIN'!$A$1:$O$104,15,0)),0,VLOOKUP($S$1243,'TAR FIN'!$A$1:$O$104,15,0))*(1-0.04)</f>
        <v>25.171199999999999</v>
      </c>
      <c r="W1243" s="60">
        <f>IF(ISERROR(VLOOKUP($T$1243,'TAR FIN'!$A$1:$O$104,15,0)),0,VLOOKUP($T$1243,'TAR FIN'!$A$1:$O$104,15,0))</f>
        <v>0</v>
      </c>
      <c r="X1243" s="60">
        <f>IF(ISERROR(VLOOKUP($U$1243,'TAR FIN'!$A$1:$O$104,15,0)),0,VLOOKUP($U$1243,'TAR FIN'!$A$1:$O$104,15,0))</f>
        <v>0</v>
      </c>
      <c r="Y1243" s="60">
        <f ca="1">('TUSD BE'!$AM$24+'TUSD BF'!$AM$24+'TUSD CVA'!$AM$24)*1*(1-0.02)</f>
        <v>25.754560993400897</v>
      </c>
      <c r="Z1243" s="60"/>
      <c r="AA1243" s="60"/>
      <c r="AB1243" s="6">
        <f>$K$1243*$V$1243</f>
        <v>-553.76639999999998</v>
      </c>
      <c r="AC1243" s="6">
        <f>$M$1243*$W$1243</f>
        <v>0</v>
      </c>
      <c r="AD1243" s="6">
        <f>$O$1243*$X$1243</f>
        <v>0</v>
      </c>
      <c r="AE1243" s="6">
        <f ca="1">$K$1243*$Y$1243</f>
        <v>-566.6003418548197</v>
      </c>
      <c r="AF1243" s="6">
        <f>$M$1243*$Z$1243</f>
        <v>0</v>
      </c>
      <c r="AG1243" s="6">
        <f>$O$1243*$AA$1243</f>
        <v>0</v>
      </c>
    </row>
    <row r="1244" spans="1:33" ht="11.25" customHeight="1" x14ac:dyDescent="0.25">
      <c r="A1244" s="4" t="s">
        <v>21</v>
      </c>
      <c r="B1244" s="4" t="s">
        <v>41</v>
      </c>
      <c r="C1244" s="4" t="s">
        <v>42</v>
      </c>
      <c r="D1244" s="4" t="s">
        <v>45</v>
      </c>
      <c r="E1244" s="4" t="s">
        <v>53</v>
      </c>
      <c r="F1244" s="4" t="s">
        <v>25</v>
      </c>
      <c r="G1244" s="4" t="s">
        <v>25</v>
      </c>
      <c r="H1244" s="4" t="s">
        <v>25</v>
      </c>
      <c r="I1244" s="5">
        <v>44440</v>
      </c>
      <c r="J1244" s="6">
        <v>12578</v>
      </c>
      <c r="K1244" s="60">
        <v>12578</v>
      </c>
      <c r="L1244" s="6">
        <v>0</v>
      </c>
      <c r="M1244" s="60">
        <v>0</v>
      </c>
      <c r="N1244" s="6">
        <v>0</v>
      </c>
      <c r="O1244" s="60">
        <v>0</v>
      </c>
      <c r="P1244" s="6">
        <v>104</v>
      </c>
      <c r="Q1244" s="4" t="s">
        <v>26</v>
      </c>
      <c r="R1244" s="4">
        <v>0</v>
      </c>
      <c r="S1244" s="6">
        <v>40</v>
      </c>
      <c r="T1244" s="6">
        <v>0</v>
      </c>
      <c r="U1244" s="6">
        <v>0</v>
      </c>
      <c r="V1244" s="60">
        <f>IF(ISERROR(VLOOKUP($S$1244,'TAR FIN'!$A$1:$O$104,15,0)),0,VLOOKUP($S$1244,'TAR FIN'!$A$1:$O$104,15,0))*(1-0.04)</f>
        <v>25.171199999999999</v>
      </c>
      <c r="W1244" s="60">
        <f>IF(ISERROR(VLOOKUP($T$1244,'TAR FIN'!$A$1:$O$104,15,0)),0,VLOOKUP($T$1244,'TAR FIN'!$A$1:$O$104,15,0))</f>
        <v>0</v>
      </c>
      <c r="X1244" s="60">
        <f>IF(ISERROR(VLOOKUP($U$1244,'TAR FIN'!$A$1:$O$104,15,0)),0,VLOOKUP($U$1244,'TAR FIN'!$A$1:$O$104,15,0))</f>
        <v>0</v>
      </c>
      <c r="Y1244" s="60">
        <f ca="1">('TUSD BE'!$AM$24+'TUSD BF'!$AM$24+'TUSD CVA'!$AM$24)*1*(1-0.02)</f>
        <v>25.754560993400897</v>
      </c>
      <c r="Z1244" s="60"/>
      <c r="AA1244" s="60"/>
      <c r="AB1244" s="6">
        <f>$K$1244*$V$1244</f>
        <v>316603.35359999997</v>
      </c>
      <c r="AC1244" s="6">
        <f>$M$1244*$W$1244</f>
        <v>0</v>
      </c>
      <c r="AD1244" s="6">
        <f>$O$1244*$X$1244</f>
        <v>0</v>
      </c>
      <c r="AE1244" s="6">
        <f ca="1">$K$1244*$Y$1244</f>
        <v>323940.86817499646</v>
      </c>
      <c r="AF1244" s="6">
        <f>$M$1244*$Z$1244</f>
        <v>0</v>
      </c>
      <c r="AG1244" s="6">
        <f>$O$1244*$AA$1244</f>
        <v>0</v>
      </c>
    </row>
    <row r="1245" spans="1:33" ht="11.25" customHeight="1" x14ac:dyDescent="0.25">
      <c r="A1245" s="4" t="s">
        <v>28</v>
      </c>
      <c r="B1245" s="4" t="s">
        <v>41</v>
      </c>
      <c r="C1245" s="4" t="s">
        <v>42</v>
      </c>
      <c r="D1245" s="4" t="s">
        <v>45</v>
      </c>
      <c r="E1245" s="4" t="s">
        <v>53</v>
      </c>
      <c r="F1245" s="4" t="s">
        <v>25</v>
      </c>
      <c r="G1245" s="4" t="s">
        <v>25</v>
      </c>
      <c r="H1245" s="4" t="s">
        <v>25</v>
      </c>
      <c r="I1245" s="5">
        <v>44440</v>
      </c>
      <c r="J1245" s="6">
        <v>62</v>
      </c>
      <c r="K1245" s="60">
        <v>62</v>
      </c>
      <c r="L1245" s="6">
        <v>0</v>
      </c>
      <c r="M1245" s="60">
        <v>0</v>
      </c>
      <c r="N1245" s="6">
        <v>0</v>
      </c>
      <c r="O1245" s="60">
        <v>0</v>
      </c>
      <c r="P1245" s="6">
        <v>1</v>
      </c>
      <c r="Q1245" s="4" t="s">
        <v>26</v>
      </c>
      <c r="R1245" s="4">
        <v>0</v>
      </c>
      <c r="S1245" s="6">
        <v>40</v>
      </c>
      <c r="T1245" s="6">
        <v>0</v>
      </c>
      <c r="U1245" s="6">
        <v>0</v>
      </c>
      <c r="V1245" s="60">
        <f>IF(ISERROR(VLOOKUP($S$1245,'TAR FIN'!$A$1:$O$104,15,0)),0,VLOOKUP($S$1245,'TAR FIN'!$A$1:$O$104,15,0))*(1-0.04)</f>
        <v>25.171199999999999</v>
      </c>
      <c r="W1245" s="60">
        <f>IF(ISERROR(VLOOKUP($T$1245,'TAR FIN'!$A$1:$O$104,15,0)),0,VLOOKUP($T$1245,'TAR FIN'!$A$1:$O$104,15,0))</f>
        <v>0</v>
      </c>
      <c r="X1245" s="60">
        <f>IF(ISERROR(VLOOKUP($U$1245,'TAR FIN'!$A$1:$O$104,15,0)),0,VLOOKUP($U$1245,'TAR FIN'!$A$1:$O$104,15,0))</f>
        <v>0</v>
      </c>
      <c r="Y1245" s="60">
        <f ca="1">('TUSD BE'!$AM$24+'TUSD BF'!$AM$24+'TUSD CVA'!$AM$24)*1*(1-0.02)</f>
        <v>25.754560993400897</v>
      </c>
      <c r="Z1245" s="60"/>
      <c r="AA1245" s="60"/>
      <c r="AB1245" s="6">
        <f>$K$1245*$V$1245</f>
        <v>1560.6143999999999</v>
      </c>
      <c r="AC1245" s="6">
        <f>$M$1245*$W$1245</f>
        <v>0</v>
      </c>
      <c r="AD1245" s="6">
        <f>$O$1245*$X$1245</f>
        <v>0</v>
      </c>
      <c r="AE1245" s="6">
        <f ca="1">$K$1245*$Y$1245</f>
        <v>1596.7827815908556</v>
      </c>
      <c r="AF1245" s="6">
        <f>$M$1245*$Z$1245</f>
        <v>0</v>
      </c>
      <c r="AG1245" s="6">
        <f>$O$1245*$AA$1245</f>
        <v>0</v>
      </c>
    </row>
    <row r="1246" spans="1:33" ht="11.25" customHeight="1" x14ac:dyDescent="0.25">
      <c r="A1246" s="4" t="s">
        <v>21</v>
      </c>
      <c r="B1246" s="4" t="s">
        <v>41</v>
      </c>
      <c r="C1246" s="4" t="s">
        <v>42</v>
      </c>
      <c r="D1246" s="4" t="s">
        <v>45</v>
      </c>
      <c r="E1246" s="4" t="s">
        <v>53</v>
      </c>
      <c r="F1246" s="4" t="s">
        <v>25</v>
      </c>
      <c r="G1246" s="4" t="s">
        <v>25</v>
      </c>
      <c r="H1246" s="4" t="s">
        <v>25</v>
      </c>
      <c r="I1246" s="5">
        <v>44470</v>
      </c>
      <c r="J1246" s="6">
        <v>16352</v>
      </c>
      <c r="K1246" s="60">
        <v>16352</v>
      </c>
      <c r="L1246" s="6">
        <v>0</v>
      </c>
      <c r="M1246" s="60">
        <v>0</v>
      </c>
      <c r="N1246" s="6">
        <v>0</v>
      </c>
      <c r="O1246" s="60">
        <v>0</v>
      </c>
      <c r="P1246" s="6">
        <v>102</v>
      </c>
      <c r="Q1246" s="4" t="s">
        <v>26</v>
      </c>
      <c r="R1246" s="4">
        <v>0</v>
      </c>
      <c r="S1246" s="6">
        <v>40</v>
      </c>
      <c r="T1246" s="6">
        <v>0</v>
      </c>
      <c r="U1246" s="6">
        <v>0</v>
      </c>
      <c r="V1246" s="60">
        <f>IF(ISERROR(VLOOKUP($S$1246,'TAR FIN'!$A$1:$O$104,15,0)),0,VLOOKUP($S$1246,'TAR FIN'!$A$1:$O$104,15,0))*(1-0.04)</f>
        <v>25.171199999999999</v>
      </c>
      <c r="W1246" s="60">
        <f>IF(ISERROR(VLOOKUP($T$1246,'TAR FIN'!$A$1:$O$104,15,0)),0,VLOOKUP($T$1246,'TAR FIN'!$A$1:$O$104,15,0))</f>
        <v>0</v>
      </c>
      <c r="X1246" s="60">
        <f>IF(ISERROR(VLOOKUP($U$1246,'TAR FIN'!$A$1:$O$104,15,0)),0,VLOOKUP($U$1246,'TAR FIN'!$A$1:$O$104,15,0))</f>
        <v>0</v>
      </c>
      <c r="Y1246" s="60">
        <f ca="1">('TUSD BE'!$AM$24+'TUSD BF'!$AM$24+'TUSD CVA'!$AM$24)*1*(1-0.02)</f>
        <v>25.754560993400897</v>
      </c>
      <c r="Z1246" s="60"/>
      <c r="AA1246" s="60"/>
      <c r="AB1246" s="6">
        <f>$K$1246*$V$1246</f>
        <v>411599.46239999996</v>
      </c>
      <c r="AC1246" s="6">
        <f>$M$1246*$W$1246</f>
        <v>0</v>
      </c>
      <c r="AD1246" s="6">
        <f>$O$1246*$X$1246</f>
        <v>0</v>
      </c>
      <c r="AE1246" s="6">
        <f ca="1">$K$1246*$Y$1246</f>
        <v>421138.58136409149</v>
      </c>
      <c r="AF1246" s="6">
        <f>$M$1246*$Z$1246</f>
        <v>0</v>
      </c>
      <c r="AG1246" s="6">
        <f>$O$1246*$AA$1246</f>
        <v>0</v>
      </c>
    </row>
    <row r="1247" spans="1:33" ht="11.25" customHeight="1" x14ac:dyDescent="0.25">
      <c r="A1247" s="4" t="s">
        <v>27</v>
      </c>
      <c r="B1247" s="4" t="s">
        <v>41</v>
      </c>
      <c r="C1247" s="4" t="s">
        <v>42</v>
      </c>
      <c r="D1247" s="4" t="s">
        <v>45</v>
      </c>
      <c r="E1247" s="4" t="s">
        <v>53</v>
      </c>
      <c r="F1247" s="4" t="s">
        <v>25</v>
      </c>
      <c r="G1247" s="4" t="s">
        <v>25</v>
      </c>
      <c r="H1247" s="4" t="s">
        <v>25</v>
      </c>
      <c r="I1247" s="5">
        <v>44470</v>
      </c>
      <c r="J1247" s="6">
        <v>65</v>
      </c>
      <c r="K1247" s="60">
        <v>65</v>
      </c>
      <c r="L1247" s="6">
        <v>0</v>
      </c>
      <c r="M1247" s="60">
        <v>0</v>
      </c>
      <c r="N1247" s="6">
        <v>0</v>
      </c>
      <c r="O1247" s="60">
        <v>0</v>
      </c>
      <c r="P1247" s="6">
        <v>-4</v>
      </c>
      <c r="Q1247" s="4" t="s">
        <v>26</v>
      </c>
      <c r="R1247" s="4">
        <v>0</v>
      </c>
      <c r="S1247" s="6">
        <v>40</v>
      </c>
      <c r="T1247" s="6">
        <v>0</v>
      </c>
      <c r="U1247" s="6">
        <v>0</v>
      </c>
      <c r="V1247" s="60">
        <f>IF(ISERROR(VLOOKUP($S$1247,'TAR FIN'!$A$1:$O$104,15,0)),0,VLOOKUP($S$1247,'TAR FIN'!$A$1:$O$104,15,0))*(1-0.04)</f>
        <v>25.171199999999999</v>
      </c>
      <c r="W1247" s="60">
        <f>IF(ISERROR(VLOOKUP($T$1247,'TAR FIN'!$A$1:$O$104,15,0)),0,VLOOKUP($T$1247,'TAR FIN'!$A$1:$O$104,15,0))</f>
        <v>0</v>
      </c>
      <c r="X1247" s="60">
        <f>IF(ISERROR(VLOOKUP($U$1247,'TAR FIN'!$A$1:$O$104,15,0)),0,VLOOKUP($U$1247,'TAR FIN'!$A$1:$O$104,15,0))</f>
        <v>0</v>
      </c>
      <c r="Y1247" s="60">
        <f ca="1">('TUSD BE'!$AM$24+'TUSD BF'!$AM$24+'TUSD CVA'!$AM$24)*1*(1-0.02)</f>
        <v>25.754560993400897</v>
      </c>
      <c r="Z1247" s="60"/>
      <c r="AA1247" s="60"/>
      <c r="AB1247" s="6">
        <f>$K$1247*$V$1247</f>
        <v>1636.1279999999999</v>
      </c>
      <c r="AC1247" s="6">
        <f>$M$1247*$W$1247</f>
        <v>0</v>
      </c>
      <c r="AD1247" s="6">
        <f>$O$1247*$X$1247</f>
        <v>0</v>
      </c>
      <c r="AE1247" s="6">
        <f ca="1">$K$1247*$Y$1247</f>
        <v>1674.0464645710583</v>
      </c>
      <c r="AF1247" s="6">
        <f>$M$1247*$Z$1247</f>
        <v>0</v>
      </c>
      <c r="AG1247" s="6">
        <f>$O$1247*$AA$1247</f>
        <v>0</v>
      </c>
    </row>
    <row r="1248" spans="1:33" ht="11.25" customHeight="1" x14ac:dyDescent="0.25">
      <c r="A1248" s="4" t="s">
        <v>28</v>
      </c>
      <c r="B1248" s="4" t="s">
        <v>41</v>
      </c>
      <c r="C1248" s="4" t="s">
        <v>42</v>
      </c>
      <c r="D1248" s="4" t="s">
        <v>45</v>
      </c>
      <c r="E1248" s="4" t="s">
        <v>53</v>
      </c>
      <c r="F1248" s="4" t="s">
        <v>25</v>
      </c>
      <c r="G1248" s="4" t="s">
        <v>25</v>
      </c>
      <c r="H1248" s="4" t="s">
        <v>25</v>
      </c>
      <c r="I1248" s="5">
        <v>44470</v>
      </c>
      <c r="J1248" s="6">
        <v>126</v>
      </c>
      <c r="K1248" s="60">
        <v>126</v>
      </c>
      <c r="L1248" s="6">
        <v>0</v>
      </c>
      <c r="M1248" s="60">
        <v>0</v>
      </c>
      <c r="N1248" s="6">
        <v>0</v>
      </c>
      <c r="O1248" s="60">
        <v>0</v>
      </c>
      <c r="P1248" s="6">
        <v>1</v>
      </c>
      <c r="Q1248" s="4" t="s">
        <v>26</v>
      </c>
      <c r="R1248" s="4">
        <v>0</v>
      </c>
      <c r="S1248" s="6">
        <v>40</v>
      </c>
      <c r="T1248" s="6">
        <v>0</v>
      </c>
      <c r="U1248" s="6">
        <v>0</v>
      </c>
      <c r="V1248" s="60">
        <f>IF(ISERROR(VLOOKUP($S$1248,'TAR FIN'!$A$1:$O$104,15,0)),0,VLOOKUP($S$1248,'TAR FIN'!$A$1:$O$104,15,0))*(1-0.04)</f>
        <v>25.171199999999999</v>
      </c>
      <c r="W1248" s="60">
        <f>IF(ISERROR(VLOOKUP($T$1248,'TAR FIN'!$A$1:$O$104,15,0)),0,VLOOKUP($T$1248,'TAR FIN'!$A$1:$O$104,15,0))</f>
        <v>0</v>
      </c>
      <c r="X1248" s="60">
        <f>IF(ISERROR(VLOOKUP($U$1248,'TAR FIN'!$A$1:$O$104,15,0)),0,VLOOKUP($U$1248,'TAR FIN'!$A$1:$O$104,15,0))</f>
        <v>0</v>
      </c>
      <c r="Y1248" s="60">
        <f ca="1">('TUSD BE'!$AM$24+'TUSD BF'!$AM$24+'TUSD CVA'!$AM$24)*1*(1-0.02)</f>
        <v>25.754560993400897</v>
      </c>
      <c r="Z1248" s="60"/>
      <c r="AA1248" s="60"/>
      <c r="AB1248" s="6">
        <f>$K$1248*$V$1248</f>
        <v>3171.5711999999999</v>
      </c>
      <c r="AC1248" s="6">
        <f>$M$1248*$W$1248</f>
        <v>0</v>
      </c>
      <c r="AD1248" s="6">
        <f>$O$1248*$X$1248</f>
        <v>0</v>
      </c>
      <c r="AE1248" s="6">
        <f ca="1">$K$1248*$Y$1248</f>
        <v>3245.074685168513</v>
      </c>
      <c r="AF1248" s="6">
        <f>$M$1248*$Z$1248</f>
        <v>0</v>
      </c>
      <c r="AG1248" s="6">
        <f>$O$1248*$AA$1248</f>
        <v>0</v>
      </c>
    </row>
    <row r="1249" spans="1:33" ht="11.25" customHeight="1" x14ac:dyDescent="0.25">
      <c r="A1249" s="4" t="s">
        <v>21</v>
      </c>
      <c r="B1249" s="4" t="s">
        <v>41</v>
      </c>
      <c r="C1249" s="4" t="s">
        <v>42</v>
      </c>
      <c r="D1249" s="4" t="s">
        <v>45</v>
      </c>
      <c r="E1249" s="4" t="s">
        <v>53</v>
      </c>
      <c r="F1249" s="4" t="s">
        <v>25</v>
      </c>
      <c r="G1249" s="4" t="s">
        <v>25</v>
      </c>
      <c r="H1249" s="4" t="s">
        <v>25</v>
      </c>
      <c r="I1249" s="5">
        <v>44501</v>
      </c>
      <c r="J1249" s="6">
        <v>16067</v>
      </c>
      <c r="K1249" s="60">
        <v>16067</v>
      </c>
      <c r="L1249" s="6">
        <v>0</v>
      </c>
      <c r="M1249" s="60">
        <v>0</v>
      </c>
      <c r="N1249" s="6">
        <v>0</v>
      </c>
      <c r="O1249" s="60">
        <v>0</v>
      </c>
      <c r="P1249" s="6">
        <v>109</v>
      </c>
      <c r="Q1249" s="4" t="s">
        <v>26</v>
      </c>
      <c r="R1249" s="4">
        <v>0</v>
      </c>
      <c r="S1249" s="6">
        <v>40</v>
      </c>
      <c r="T1249" s="6">
        <v>0</v>
      </c>
      <c r="U1249" s="6">
        <v>0</v>
      </c>
      <c r="V1249" s="60">
        <f>IF(ISERROR(VLOOKUP($S$1249,'TAR FIN'!$A$1:$O$104,15,0)),0,VLOOKUP($S$1249,'TAR FIN'!$A$1:$O$104,15,0))*(1-0.04)</f>
        <v>25.171199999999999</v>
      </c>
      <c r="W1249" s="60">
        <f>IF(ISERROR(VLOOKUP($T$1249,'TAR FIN'!$A$1:$O$104,15,0)),0,VLOOKUP($T$1249,'TAR FIN'!$A$1:$O$104,15,0))</f>
        <v>0</v>
      </c>
      <c r="X1249" s="60">
        <f>IF(ISERROR(VLOOKUP($U$1249,'TAR FIN'!$A$1:$O$104,15,0)),0,VLOOKUP($U$1249,'TAR FIN'!$A$1:$O$104,15,0))</f>
        <v>0</v>
      </c>
      <c r="Y1249" s="60">
        <f ca="1">('TUSD BE'!$AM$24+'TUSD BF'!$AM$24+'TUSD CVA'!$AM$24)*1*(1-0.02)</f>
        <v>25.754560993400897</v>
      </c>
      <c r="Z1249" s="60"/>
      <c r="AA1249" s="60"/>
      <c r="AB1249" s="6">
        <f>$K$1249*$V$1249</f>
        <v>404425.6704</v>
      </c>
      <c r="AC1249" s="6">
        <f>$M$1249*$W$1249</f>
        <v>0</v>
      </c>
      <c r="AD1249" s="6">
        <f>$O$1249*$X$1249</f>
        <v>0</v>
      </c>
      <c r="AE1249" s="6">
        <f ca="1">$K$1249*$Y$1249</f>
        <v>413798.53148097219</v>
      </c>
      <c r="AF1249" s="6">
        <f>$M$1249*$Z$1249</f>
        <v>0</v>
      </c>
      <c r="AG1249" s="6">
        <f>$O$1249*$AA$1249</f>
        <v>0</v>
      </c>
    </row>
    <row r="1250" spans="1:33" ht="11.25" customHeight="1" x14ac:dyDescent="0.25">
      <c r="A1250" s="4" t="s">
        <v>27</v>
      </c>
      <c r="B1250" s="4" t="s">
        <v>41</v>
      </c>
      <c r="C1250" s="4" t="s">
        <v>42</v>
      </c>
      <c r="D1250" s="4" t="s">
        <v>45</v>
      </c>
      <c r="E1250" s="4" t="s">
        <v>53</v>
      </c>
      <c r="F1250" s="4" t="s">
        <v>25</v>
      </c>
      <c r="G1250" s="4" t="s">
        <v>25</v>
      </c>
      <c r="H1250" s="4" t="s">
        <v>25</v>
      </c>
      <c r="I1250" s="5">
        <v>44501</v>
      </c>
      <c r="J1250" s="6">
        <v>-46</v>
      </c>
      <c r="K1250" s="60">
        <v>-46</v>
      </c>
      <c r="L1250" s="6">
        <v>0</v>
      </c>
      <c r="M1250" s="60">
        <v>0</v>
      </c>
      <c r="N1250" s="6">
        <v>0</v>
      </c>
      <c r="O1250" s="60">
        <v>0</v>
      </c>
      <c r="P1250" s="6">
        <v>-1</v>
      </c>
      <c r="Q1250" s="4" t="s">
        <v>26</v>
      </c>
      <c r="R1250" s="4">
        <v>0</v>
      </c>
      <c r="S1250" s="6">
        <v>40</v>
      </c>
      <c r="T1250" s="6">
        <v>0</v>
      </c>
      <c r="U1250" s="6">
        <v>0</v>
      </c>
      <c r="V1250" s="60">
        <f>IF(ISERROR(VLOOKUP($S$1250,'TAR FIN'!$A$1:$O$104,15,0)),0,VLOOKUP($S$1250,'TAR FIN'!$A$1:$O$104,15,0))*(1-0.04)</f>
        <v>25.171199999999999</v>
      </c>
      <c r="W1250" s="60">
        <f>IF(ISERROR(VLOOKUP($T$1250,'TAR FIN'!$A$1:$O$104,15,0)),0,VLOOKUP($T$1250,'TAR FIN'!$A$1:$O$104,15,0))</f>
        <v>0</v>
      </c>
      <c r="X1250" s="60">
        <f>IF(ISERROR(VLOOKUP($U$1250,'TAR FIN'!$A$1:$O$104,15,0)),0,VLOOKUP($U$1250,'TAR FIN'!$A$1:$O$104,15,0))</f>
        <v>0</v>
      </c>
      <c r="Y1250" s="60">
        <f ca="1">('TUSD BE'!$AM$24+'TUSD BF'!$AM$24+'TUSD CVA'!$AM$24)*1*(1-0.02)</f>
        <v>25.754560993400897</v>
      </c>
      <c r="Z1250" s="60"/>
      <c r="AA1250" s="60"/>
      <c r="AB1250" s="6">
        <f>$K$1250*$V$1250</f>
        <v>-1157.8751999999999</v>
      </c>
      <c r="AC1250" s="6">
        <f>$M$1250*$W$1250</f>
        <v>0</v>
      </c>
      <c r="AD1250" s="6">
        <f>$O$1250*$X$1250</f>
        <v>0</v>
      </c>
      <c r="AE1250" s="6">
        <f ca="1">$K$1250*$Y$1250</f>
        <v>-1184.7098056964412</v>
      </c>
      <c r="AF1250" s="6">
        <f>$M$1250*$Z$1250</f>
        <v>0</v>
      </c>
      <c r="AG1250" s="6">
        <f>$O$1250*$AA$1250</f>
        <v>0</v>
      </c>
    </row>
    <row r="1251" spans="1:33" ht="11.25" customHeight="1" x14ac:dyDescent="0.25">
      <c r="A1251" s="4" t="s">
        <v>28</v>
      </c>
      <c r="B1251" s="4" t="s">
        <v>41</v>
      </c>
      <c r="C1251" s="4" t="s">
        <v>42</v>
      </c>
      <c r="D1251" s="4" t="s">
        <v>45</v>
      </c>
      <c r="E1251" s="4" t="s">
        <v>53</v>
      </c>
      <c r="F1251" s="4" t="s">
        <v>25</v>
      </c>
      <c r="G1251" s="4" t="s">
        <v>25</v>
      </c>
      <c r="H1251" s="4" t="s">
        <v>25</v>
      </c>
      <c r="I1251" s="5">
        <v>44501</v>
      </c>
      <c r="J1251" s="6">
        <v>216</v>
      </c>
      <c r="K1251" s="60">
        <v>216</v>
      </c>
      <c r="L1251" s="6">
        <v>0</v>
      </c>
      <c r="M1251" s="60">
        <v>0</v>
      </c>
      <c r="N1251" s="6">
        <v>0</v>
      </c>
      <c r="O1251" s="60">
        <v>0</v>
      </c>
      <c r="P1251" s="6">
        <v>2</v>
      </c>
      <c r="Q1251" s="4" t="s">
        <v>26</v>
      </c>
      <c r="R1251" s="4">
        <v>0</v>
      </c>
      <c r="S1251" s="6">
        <v>40</v>
      </c>
      <c r="T1251" s="6">
        <v>0</v>
      </c>
      <c r="U1251" s="6">
        <v>0</v>
      </c>
      <c r="V1251" s="60">
        <f>IF(ISERROR(VLOOKUP($S$1251,'TAR FIN'!$A$1:$O$104,15,0)),0,VLOOKUP($S$1251,'TAR FIN'!$A$1:$O$104,15,0))*(1-0.04)</f>
        <v>25.171199999999999</v>
      </c>
      <c r="W1251" s="60">
        <f>IF(ISERROR(VLOOKUP($T$1251,'TAR FIN'!$A$1:$O$104,15,0)),0,VLOOKUP($T$1251,'TAR FIN'!$A$1:$O$104,15,0))</f>
        <v>0</v>
      </c>
      <c r="X1251" s="60">
        <f>IF(ISERROR(VLOOKUP($U$1251,'TAR FIN'!$A$1:$O$104,15,0)),0,VLOOKUP($U$1251,'TAR FIN'!$A$1:$O$104,15,0))</f>
        <v>0</v>
      </c>
      <c r="Y1251" s="60">
        <f ca="1">('TUSD BE'!$AM$24+'TUSD BF'!$AM$24+'TUSD CVA'!$AM$24)*1*(1-0.02)</f>
        <v>25.754560993400897</v>
      </c>
      <c r="Z1251" s="60"/>
      <c r="AA1251" s="60"/>
      <c r="AB1251" s="6">
        <f>$K$1251*$V$1251</f>
        <v>5436.9791999999998</v>
      </c>
      <c r="AC1251" s="6">
        <f>$M$1251*$W$1251</f>
        <v>0</v>
      </c>
      <c r="AD1251" s="6">
        <f>$O$1251*$X$1251</f>
        <v>0</v>
      </c>
      <c r="AE1251" s="6">
        <f ca="1">$K$1251*$Y$1251</f>
        <v>5562.9851745745937</v>
      </c>
      <c r="AF1251" s="6">
        <f>$M$1251*$Z$1251</f>
        <v>0</v>
      </c>
      <c r="AG1251" s="6">
        <f>$O$1251*$AA$1251</f>
        <v>0</v>
      </c>
    </row>
    <row r="1252" spans="1:33" ht="11.25" customHeight="1" x14ac:dyDescent="0.25">
      <c r="A1252" s="4" t="s">
        <v>28</v>
      </c>
      <c r="B1252" s="4" t="s">
        <v>41</v>
      </c>
      <c r="C1252" s="4" t="s">
        <v>42</v>
      </c>
      <c r="D1252" s="4" t="s">
        <v>45</v>
      </c>
      <c r="E1252" s="4" t="s">
        <v>53</v>
      </c>
      <c r="F1252" s="4" t="s">
        <v>25</v>
      </c>
      <c r="G1252" s="4" t="s">
        <v>25</v>
      </c>
      <c r="H1252" s="4" t="s">
        <v>25</v>
      </c>
      <c r="I1252" s="5">
        <v>44501</v>
      </c>
      <c r="J1252" s="6">
        <v>241</v>
      </c>
      <c r="K1252" s="60">
        <v>241</v>
      </c>
      <c r="L1252" s="6">
        <v>0</v>
      </c>
      <c r="M1252" s="60">
        <v>0</v>
      </c>
      <c r="N1252" s="6">
        <v>0</v>
      </c>
      <c r="O1252" s="60">
        <v>0</v>
      </c>
      <c r="P1252" s="6">
        <v>1</v>
      </c>
      <c r="Q1252" s="4" t="s">
        <v>26</v>
      </c>
      <c r="R1252" s="4">
        <v>0</v>
      </c>
      <c r="S1252" s="6">
        <v>40</v>
      </c>
      <c r="T1252" s="6">
        <v>0</v>
      </c>
      <c r="U1252" s="6">
        <v>0</v>
      </c>
      <c r="V1252" s="60">
        <f>IF(ISERROR(VLOOKUP($S$1252,'TAR FIN'!$A$1:$O$104,15,0)),0,VLOOKUP($S$1252,'TAR FIN'!$A$1:$O$104,15,0))*(1-0.04)</f>
        <v>25.171199999999999</v>
      </c>
      <c r="W1252" s="60">
        <f>IF(ISERROR(VLOOKUP($T$1252,'TAR FIN'!$A$1:$O$104,15,0)),0,VLOOKUP($T$1252,'TAR FIN'!$A$1:$O$104,15,0))</f>
        <v>0</v>
      </c>
      <c r="X1252" s="60">
        <f>IF(ISERROR(VLOOKUP($U$1252,'TAR FIN'!$A$1:$O$104,15,0)),0,VLOOKUP($U$1252,'TAR FIN'!$A$1:$O$104,15,0))</f>
        <v>0</v>
      </c>
      <c r="Y1252" s="60">
        <f ca="1">('TUSD BE'!$AM$24+'TUSD BF'!$AM$24+'TUSD CVA'!$AM$24)*1*(1-0.02)</f>
        <v>25.754560993400897</v>
      </c>
      <c r="Z1252" s="60"/>
      <c r="AA1252" s="60"/>
      <c r="AB1252" s="6">
        <f>$K$1252*$V$1252</f>
        <v>6066.2591999999995</v>
      </c>
      <c r="AC1252" s="6">
        <f>$M$1252*$W$1252</f>
        <v>0</v>
      </c>
      <c r="AD1252" s="6">
        <f>$O$1252*$X$1252</f>
        <v>0</v>
      </c>
      <c r="AE1252" s="6">
        <f ca="1">$K$1252*$Y$1252</f>
        <v>6206.8491994096166</v>
      </c>
      <c r="AF1252" s="6">
        <f>$M$1252*$Z$1252</f>
        <v>0</v>
      </c>
      <c r="AG1252" s="6">
        <f>$O$1252*$AA$1252</f>
        <v>0</v>
      </c>
    </row>
    <row r="1253" spans="1:33" ht="11.25" customHeight="1" x14ac:dyDescent="0.25">
      <c r="A1253" s="4" t="s">
        <v>21</v>
      </c>
      <c r="B1253" s="4" t="s">
        <v>41</v>
      </c>
      <c r="C1253" s="4" t="s">
        <v>42</v>
      </c>
      <c r="D1253" s="4" t="s">
        <v>45</v>
      </c>
      <c r="E1253" s="4" t="s">
        <v>53</v>
      </c>
      <c r="F1253" s="4" t="s">
        <v>25</v>
      </c>
      <c r="G1253" s="4" t="s">
        <v>25</v>
      </c>
      <c r="H1253" s="4" t="s">
        <v>25</v>
      </c>
      <c r="I1253" s="5">
        <v>44531</v>
      </c>
      <c r="J1253" s="6">
        <v>18098</v>
      </c>
      <c r="K1253" s="60">
        <v>18098</v>
      </c>
      <c r="L1253" s="6">
        <v>0</v>
      </c>
      <c r="M1253" s="60">
        <v>0</v>
      </c>
      <c r="N1253" s="6">
        <v>0</v>
      </c>
      <c r="O1253" s="60">
        <v>0</v>
      </c>
      <c r="P1253" s="6">
        <v>109</v>
      </c>
      <c r="Q1253" s="4" t="s">
        <v>26</v>
      </c>
      <c r="R1253" s="4">
        <v>0</v>
      </c>
      <c r="S1253" s="6">
        <v>40</v>
      </c>
      <c r="T1253" s="6">
        <v>0</v>
      </c>
      <c r="U1253" s="6">
        <v>0</v>
      </c>
      <c r="V1253" s="60">
        <f>IF(ISERROR(VLOOKUP($S$1253,'TAR FIN'!$A$1:$O$104,15,0)),0,VLOOKUP($S$1253,'TAR FIN'!$A$1:$O$104,15,0))*(1-0.04)</f>
        <v>25.171199999999999</v>
      </c>
      <c r="W1253" s="60">
        <f>IF(ISERROR(VLOOKUP($T$1253,'TAR FIN'!$A$1:$O$104,15,0)),0,VLOOKUP($T$1253,'TAR FIN'!$A$1:$O$104,15,0))</f>
        <v>0</v>
      </c>
      <c r="X1253" s="60">
        <f>IF(ISERROR(VLOOKUP($U$1253,'TAR FIN'!$A$1:$O$104,15,0)),0,VLOOKUP($U$1253,'TAR FIN'!$A$1:$O$104,15,0))</f>
        <v>0</v>
      </c>
      <c r="Y1253" s="60">
        <f ca="1">('TUSD BE'!$AM$24+'TUSD BF'!$AM$24+'TUSD CVA'!$AM$24)*1*(1-0.02)</f>
        <v>25.754560993400897</v>
      </c>
      <c r="Z1253" s="60"/>
      <c r="AA1253" s="60"/>
      <c r="AB1253" s="6">
        <f>$K$1253*$V$1253</f>
        <v>455548.37760000001</v>
      </c>
      <c r="AC1253" s="6">
        <f>$M$1253*$W$1253</f>
        <v>0</v>
      </c>
      <c r="AD1253" s="6">
        <f>$O$1253*$X$1253</f>
        <v>0</v>
      </c>
      <c r="AE1253" s="6">
        <f ca="1">$K$1253*$Y$1253</f>
        <v>466106.04485856945</v>
      </c>
      <c r="AF1253" s="6">
        <f>$M$1253*$Z$1253</f>
        <v>0</v>
      </c>
      <c r="AG1253" s="6">
        <f>$O$1253*$AA$1253</f>
        <v>0</v>
      </c>
    </row>
    <row r="1254" spans="1:33" ht="11.25" customHeight="1" x14ac:dyDescent="0.25">
      <c r="A1254" s="4" t="s">
        <v>27</v>
      </c>
      <c r="B1254" s="4" t="s">
        <v>41</v>
      </c>
      <c r="C1254" s="4" t="s">
        <v>42</v>
      </c>
      <c r="D1254" s="4" t="s">
        <v>45</v>
      </c>
      <c r="E1254" s="4" t="s">
        <v>53</v>
      </c>
      <c r="F1254" s="4" t="s">
        <v>25</v>
      </c>
      <c r="G1254" s="4" t="s">
        <v>25</v>
      </c>
      <c r="H1254" s="4" t="s">
        <v>25</v>
      </c>
      <c r="I1254" s="5">
        <v>44531</v>
      </c>
      <c r="J1254" s="6">
        <v>-7</v>
      </c>
      <c r="K1254" s="60">
        <v>-7</v>
      </c>
      <c r="L1254" s="6">
        <v>0</v>
      </c>
      <c r="M1254" s="60">
        <v>0</v>
      </c>
      <c r="N1254" s="6">
        <v>0</v>
      </c>
      <c r="O1254" s="60">
        <v>0</v>
      </c>
      <c r="P1254" s="6">
        <v>1</v>
      </c>
      <c r="Q1254" s="4" t="s">
        <v>26</v>
      </c>
      <c r="R1254" s="4">
        <v>0</v>
      </c>
      <c r="S1254" s="6">
        <v>40</v>
      </c>
      <c r="T1254" s="6">
        <v>0</v>
      </c>
      <c r="U1254" s="6">
        <v>0</v>
      </c>
      <c r="V1254" s="60">
        <f>IF(ISERROR(VLOOKUP($S$1254,'TAR FIN'!$A$1:$O$104,15,0)),0,VLOOKUP($S$1254,'TAR FIN'!$A$1:$O$104,15,0))*(1-0.04)</f>
        <v>25.171199999999999</v>
      </c>
      <c r="W1254" s="60">
        <f>IF(ISERROR(VLOOKUP($T$1254,'TAR FIN'!$A$1:$O$104,15,0)),0,VLOOKUP($T$1254,'TAR FIN'!$A$1:$O$104,15,0))</f>
        <v>0</v>
      </c>
      <c r="X1254" s="60">
        <f>IF(ISERROR(VLOOKUP($U$1254,'TAR FIN'!$A$1:$O$104,15,0)),0,VLOOKUP($U$1254,'TAR FIN'!$A$1:$O$104,15,0))</f>
        <v>0</v>
      </c>
      <c r="Y1254" s="60">
        <f ca="1">('TUSD BE'!$AM$24+'TUSD BF'!$AM$24+'TUSD CVA'!$AM$24)*1*(1-0.02)</f>
        <v>25.754560993400897</v>
      </c>
      <c r="Z1254" s="60"/>
      <c r="AA1254" s="60"/>
      <c r="AB1254" s="6">
        <f>$K$1254*$V$1254</f>
        <v>-176.19839999999999</v>
      </c>
      <c r="AC1254" s="6">
        <f>$M$1254*$W$1254</f>
        <v>0</v>
      </c>
      <c r="AD1254" s="6">
        <f>$O$1254*$X$1254</f>
        <v>0</v>
      </c>
      <c r="AE1254" s="6">
        <f ca="1">$K$1254*$Y$1254</f>
        <v>-180.28192695380628</v>
      </c>
      <c r="AF1254" s="6">
        <f>$M$1254*$Z$1254</f>
        <v>0</v>
      </c>
      <c r="AG1254" s="6">
        <f>$O$1254*$AA$1254</f>
        <v>0</v>
      </c>
    </row>
    <row r="1255" spans="1:33" ht="11.25" customHeight="1" x14ac:dyDescent="0.25">
      <c r="A1255" s="4" t="s">
        <v>28</v>
      </c>
      <c r="B1255" s="4" t="s">
        <v>41</v>
      </c>
      <c r="C1255" s="4" t="s">
        <v>42</v>
      </c>
      <c r="D1255" s="4" t="s">
        <v>45</v>
      </c>
      <c r="E1255" s="4" t="s">
        <v>53</v>
      </c>
      <c r="F1255" s="4" t="s">
        <v>25</v>
      </c>
      <c r="G1255" s="4" t="s">
        <v>25</v>
      </c>
      <c r="H1255" s="4" t="s">
        <v>25</v>
      </c>
      <c r="I1255" s="5">
        <v>44531</v>
      </c>
      <c r="J1255" s="6">
        <v>153</v>
      </c>
      <c r="K1255" s="60">
        <v>153</v>
      </c>
      <c r="L1255" s="6">
        <v>0</v>
      </c>
      <c r="M1255" s="60">
        <v>0</v>
      </c>
      <c r="N1255" s="6">
        <v>0</v>
      </c>
      <c r="O1255" s="60">
        <v>0</v>
      </c>
      <c r="P1255" s="6">
        <v>2</v>
      </c>
      <c r="Q1255" s="4" t="s">
        <v>26</v>
      </c>
      <c r="R1255" s="4">
        <v>0</v>
      </c>
      <c r="S1255" s="6">
        <v>40</v>
      </c>
      <c r="T1255" s="6">
        <v>0</v>
      </c>
      <c r="U1255" s="6">
        <v>0</v>
      </c>
      <c r="V1255" s="60">
        <f>IF(ISERROR(VLOOKUP($S$1255,'TAR FIN'!$A$1:$O$104,15,0)),0,VLOOKUP($S$1255,'TAR FIN'!$A$1:$O$104,15,0))*(1-0.04)</f>
        <v>25.171199999999999</v>
      </c>
      <c r="W1255" s="60">
        <f>IF(ISERROR(VLOOKUP($T$1255,'TAR FIN'!$A$1:$O$104,15,0)),0,VLOOKUP($T$1255,'TAR FIN'!$A$1:$O$104,15,0))</f>
        <v>0</v>
      </c>
      <c r="X1255" s="60">
        <f>IF(ISERROR(VLOOKUP($U$1255,'TAR FIN'!$A$1:$O$104,15,0)),0,VLOOKUP($U$1255,'TAR FIN'!$A$1:$O$104,15,0))</f>
        <v>0</v>
      </c>
      <c r="Y1255" s="60">
        <f ca="1">('TUSD BE'!$AM$24+'TUSD BF'!$AM$24+'TUSD CVA'!$AM$24)*1*(1-0.02)</f>
        <v>25.754560993400897</v>
      </c>
      <c r="Z1255" s="60"/>
      <c r="AA1255" s="60"/>
      <c r="AB1255" s="6">
        <f>$K$1255*$V$1255</f>
        <v>3851.1935999999996</v>
      </c>
      <c r="AC1255" s="6">
        <f>$M$1255*$W$1255</f>
        <v>0</v>
      </c>
      <c r="AD1255" s="6">
        <f>$O$1255*$X$1255</f>
        <v>0</v>
      </c>
      <c r="AE1255" s="6">
        <f ca="1">$K$1255*$Y$1255</f>
        <v>3940.4478319903374</v>
      </c>
      <c r="AF1255" s="6">
        <f>$M$1255*$Z$1255</f>
        <v>0</v>
      </c>
      <c r="AG1255" s="6">
        <f>$O$1255*$AA$1255</f>
        <v>0</v>
      </c>
    </row>
    <row r="1256" spans="1:33" ht="11.25" customHeight="1" x14ac:dyDescent="0.25">
      <c r="A1256" s="4" t="s">
        <v>21</v>
      </c>
      <c r="B1256" s="4" t="s">
        <v>41</v>
      </c>
      <c r="C1256" s="4" t="s">
        <v>42</v>
      </c>
      <c r="D1256" s="4" t="s">
        <v>45</v>
      </c>
      <c r="E1256" s="4" t="s">
        <v>53</v>
      </c>
      <c r="F1256" s="4" t="s">
        <v>25</v>
      </c>
      <c r="G1256" s="4" t="s">
        <v>25</v>
      </c>
      <c r="H1256" s="4" t="s">
        <v>25</v>
      </c>
      <c r="I1256" s="5">
        <v>44562</v>
      </c>
      <c r="J1256" s="6">
        <v>18151</v>
      </c>
      <c r="K1256" s="60">
        <v>18151</v>
      </c>
      <c r="L1256" s="6">
        <v>0</v>
      </c>
      <c r="M1256" s="60">
        <v>0</v>
      </c>
      <c r="N1256" s="6">
        <v>0</v>
      </c>
      <c r="O1256" s="60">
        <v>0</v>
      </c>
      <c r="P1256" s="6">
        <v>109</v>
      </c>
      <c r="Q1256" s="4" t="s">
        <v>26</v>
      </c>
      <c r="R1256" s="4">
        <v>0</v>
      </c>
      <c r="S1256" s="6">
        <v>40</v>
      </c>
      <c r="T1256" s="6">
        <v>0</v>
      </c>
      <c r="U1256" s="6">
        <v>0</v>
      </c>
      <c r="V1256" s="60">
        <f>IF(ISERROR(VLOOKUP($S$1256,'TAR FIN'!$A$1:$O$104,15,0)),0,VLOOKUP($S$1256,'TAR FIN'!$A$1:$O$104,15,0))*(1-0.04)</f>
        <v>25.171199999999999</v>
      </c>
      <c r="W1256" s="60">
        <f>IF(ISERROR(VLOOKUP($T$1256,'TAR FIN'!$A$1:$O$104,15,0)),0,VLOOKUP($T$1256,'TAR FIN'!$A$1:$O$104,15,0))</f>
        <v>0</v>
      </c>
      <c r="X1256" s="60">
        <f>IF(ISERROR(VLOOKUP($U$1256,'TAR FIN'!$A$1:$O$104,15,0)),0,VLOOKUP($U$1256,'TAR FIN'!$A$1:$O$104,15,0))</f>
        <v>0</v>
      </c>
      <c r="Y1256" s="60">
        <f ca="1">('TUSD BE'!$AM$24+'TUSD BF'!$AM$24+'TUSD CVA'!$AM$24)*1*(1-0.02)</f>
        <v>25.754560993400897</v>
      </c>
      <c r="Z1256" s="60"/>
      <c r="AA1256" s="60"/>
      <c r="AB1256" s="6">
        <f>$K$1256*$V$1256</f>
        <v>456882.45119999995</v>
      </c>
      <c r="AC1256" s="6">
        <f>$M$1256*$W$1256</f>
        <v>0</v>
      </c>
      <c r="AD1256" s="6">
        <f>$O$1256*$X$1256</f>
        <v>0</v>
      </c>
      <c r="AE1256" s="6">
        <f ca="1">$K$1256*$Y$1256</f>
        <v>467471.03659121966</v>
      </c>
      <c r="AF1256" s="6">
        <f>$M$1256*$Z$1256</f>
        <v>0</v>
      </c>
      <c r="AG1256" s="6">
        <f>$O$1256*$AA$1256</f>
        <v>0</v>
      </c>
    </row>
    <row r="1257" spans="1:33" ht="11.25" customHeight="1" x14ac:dyDescent="0.25">
      <c r="A1257" s="4" t="s">
        <v>27</v>
      </c>
      <c r="B1257" s="4" t="s">
        <v>41</v>
      </c>
      <c r="C1257" s="4" t="s">
        <v>42</v>
      </c>
      <c r="D1257" s="4" t="s">
        <v>45</v>
      </c>
      <c r="E1257" s="4" t="s">
        <v>53</v>
      </c>
      <c r="F1257" s="4" t="s">
        <v>25</v>
      </c>
      <c r="G1257" s="4" t="s">
        <v>25</v>
      </c>
      <c r="H1257" s="4" t="s">
        <v>25</v>
      </c>
      <c r="I1257" s="5">
        <v>44562</v>
      </c>
      <c r="J1257" s="6">
        <v>-172</v>
      </c>
      <c r="K1257" s="60">
        <v>-172</v>
      </c>
      <c r="L1257" s="6">
        <v>0</v>
      </c>
      <c r="M1257" s="60">
        <v>0</v>
      </c>
      <c r="N1257" s="6">
        <v>0</v>
      </c>
      <c r="O1257" s="60">
        <v>0</v>
      </c>
      <c r="P1257" s="6">
        <v>0</v>
      </c>
      <c r="Q1257" s="4" t="s">
        <v>26</v>
      </c>
      <c r="R1257" s="4">
        <v>0</v>
      </c>
      <c r="S1257" s="6">
        <v>40</v>
      </c>
      <c r="T1257" s="6">
        <v>0</v>
      </c>
      <c r="U1257" s="6">
        <v>0</v>
      </c>
      <c r="V1257" s="60">
        <f>IF(ISERROR(VLOOKUP($S$1257,'TAR FIN'!$A$1:$O$104,15,0)),0,VLOOKUP($S$1257,'TAR FIN'!$A$1:$O$104,15,0))*(1-0.04)</f>
        <v>25.171199999999999</v>
      </c>
      <c r="W1257" s="60">
        <f>IF(ISERROR(VLOOKUP($T$1257,'TAR FIN'!$A$1:$O$104,15,0)),0,VLOOKUP($T$1257,'TAR FIN'!$A$1:$O$104,15,0))</f>
        <v>0</v>
      </c>
      <c r="X1257" s="60">
        <f>IF(ISERROR(VLOOKUP($U$1257,'TAR FIN'!$A$1:$O$104,15,0)),0,VLOOKUP($U$1257,'TAR FIN'!$A$1:$O$104,15,0))</f>
        <v>0</v>
      </c>
      <c r="Y1257" s="60">
        <f ca="1">('TUSD BE'!$AM$24+'TUSD BF'!$AM$24+'TUSD CVA'!$AM$24)*1*(1-0.02)</f>
        <v>25.754560993400897</v>
      </c>
      <c r="Z1257" s="60"/>
      <c r="AA1257" s="60"/>
      <c r="AB1257" s="6">
        <f>$K$1257*$V$1257</f>
        <v>-4329.4463999999998</v>
      </c>
      <c r="AC1257" s="6">
        <f>$M$1257*$W$1257</f>
        <v>0</v>
      </c>
      <c r="AD1257" s="6">
        <f>$O$1257*$X$1257</f>
        <v>0</v>
      </c>
      <c r="AE1257" s="6">
        <f ca="1">$K$1257*$Y$1257</f>
        <v>-4429.784490864954</v>
      </c>
      <c r="AF1257" s="6">
        <f>$M$1257*$Z$1257</f>
        <v>0</v>
      </c>
      <c r="AG1257" s="6">
        <f>$O$1257*$AA$1257</f>
        <v>0</v>
      </c>
    </row>
    <row r="1258" spans="1:33" ht="11.25" customHeight="1" x14ac:dyDescent="0.25">
      <c r="A1258" s="4" t="s">
        <v>28</v>
      </c>
      <c r="B1258" s="4" t="s">
        <v>41</v>
      </c>
      <c r="C1258" s="4" t="s">
        <v>42</v>
      </c>
      <c r="D1258" s="4" t="s">
        <v>45</v>
      </c>
      <c r="E1258" s="4" t="s">
        <v>53</v>
      </c>
      <c r="F1258" s="4" t="s">
        <v>25</v>
      </c>
      <c r="G1258" s="4" t="s">
        <v>25</v>
      </c>
      <c r="H1258" s="4" t="s">
        <v>25</v>
      </c>
      <c r="I1258" s="5">
        <v>44562</v>
      </c>
      <c r="J1258" s="6">
        <v>129</v>
      </c>
      <c r="K1258" s="60">
        <v>129</v>
      </c>
      <c r="L1258" s="6">
        <v>0</v>
      </c>
      <c r="M1258" s="60">
        <v>0</v>
      </c>
      <c r="N1258" s="6">
        <v>0</v>
      </c>
      <c r="O1258" s="60">
        <v>0</v>
      </c>
      <c r="P1258" s="6">
        <v>2</v>
      </c>
      <c r="Q1258" s="4" t="s">
        <v>26</v>
      </c>
      <c r="R1258" s="4">
        <v>0</v>
      </c>
      <c r="S1258" s="6">
        <v>40</v>
      </c>
      <c r="T1258" s="6">
        <v>0</v>
      </c>
      <c r="U1258" s="6">
        <v>0</v>
      </c>
      <c r="V1258" s="60">
        <f>IF(ISERROR(VLOOKUP($S$1258,'TAR FIN'!$A$1:$O$104,15,0)),0,VLOOKUP($S$1258,'TAR FIN'!$A$1:$O$104,15,0))*(1-0.04)</f>
        <v>25.171199999999999</v>
      </c>
      <c r="W1258" s="60">
        <f>IF(ISERROR(VLOOKUP($T$1258,'TAR FIN'!$A$1:$O$104,15,0)),0,VLOOKUP($T$1258,'TAR FIN'!$A$1:$O$104,15,0))</f>
        <v>0</v>
      </c>
      <c r="X1258" s="60">
        <f>IF(ISERROR(VLOOKUP($U$1258,'TAR FIN'!$A$1:$O$104,15,0)),0,VLOOKUP($U$1258,'TAR FIN'!$A$1:$O$104,15,0))</f>
        <v>0</v>
      </c>
      <c r="Y1258" s="60">
        <f ca="1">('TUSD BE'!$AM$24+'TUSD BF'!$AM$24+'TUSD CVA'!$AM$24)*1*(1-0.02)</f>
        <v>25.754560993400897</v>
      </c>
      <c r="Z1258" s="60"/>
      <c r="AA1258" s="60"/>
      <c r="AB1258" s="6">
        <f>$K$1258*$V$1258</f>
        <v>3247.0847999999996</v>
      </c>
      <c r="AC1258" s="6">
        <f>$M$1258*$W$1258</f>
        <v>0</v>
      </c>
      <c r="AD1258" s="6">
        <f>$O$1258*$X$1258</f>
        <v>0</v>
      </c>
      <c r="AE1258" s="6">
        <f ca="1">$K$1258*$Y$1258</f>
        <v>3322.3383681487157</v>
      </c>
      <c r="AF1258" s="6">
        <f>$M$1258*$Z$1258</f>
        <v>0</v>
      </c>
      <c r="AG1258" s="6">
        <f>$O$1258*$AA$1258</f>
        <v>0</v>
      </c>
    </row>
    <row r="1259" spans="1:33" ht="11.25" customHeight="1" x14ac:dyDescent="0.25">
      <c r="A1259" s="4" t="s">
        <v>21</v>
      </c>
      <c r="B1259" s="4" t="s">
        <v>41</v>
      </c>
      <c r="C1259" s="4" t="s">
        <v>42</v>
      </c>
      <c r="D1259" s="4" t="s">
        <v>45</v>
      </c>
      <c r="E1259" s="4" t="s">
        <v>53</v>
      </c>
      <c r="F1259" s="4" t="s">
        <v>25</v>
      </c>
      <c r="G1259" s="4" t="s">
        <v>25</v>
      </c>
      <c r="H1259" s="4" t="s">
        <v>25</v>
      </c>
      <c r="I1259" s="5">
        <v>44593</v>
      </c>
      <c r="J1259" s="6">
        <v>16868</v>
      </c>
      <c r="K1259" s="60">
        <v>16868</v>
      </c>
      <c r="L1259" s="6">
        <v>0</v>
      </c>
      <c r="M1259" s="60">
        <v>0</v>
      </c>
      <c r="N1259" s="6">
        <v>0</v>
      </c>
      <c r="O1259" s="60">
        <v>0</v>
      </c>
      <c r="P1259" s="6">
        <v>117</v>
      </c>
      <c r="Q1259" s="4" t="s">
        <v>26</v>
      </c>
      <c r="R1259" s="4">
        <v>0</v>
      </c>
      <c r="S1259" s="6">
        <v>40</v>
      </c>
      <c r="T1259" s="6">
        <v>0</v>
      </c>
      <c r="U1259" s="6">
        <v>0</v>
      </c>
      <c r="V1259" s="60">
        <f>IF(ISERROR(VLOOKUP($S$1259,'TAR FIN'!$A$1:$O$104,15,0)),0,VLOOKUP($S$1259,'TAR FIN'!$A$1:$O$104,15,0))*(1-0.04)</f>
        <v>25.171199999999999</v>
      </c>
      <c r="W1259" s="60">
        <f>IF(ISERROR(VLOOKUP($T$1259,'TAR FIN'!$A$1:$O$104,15,0)),0,VLOOKUP($T$1259,'TAR FIN'!$A$1:$O$104,15,0))</f>
        <v>0</v>
      </c>
      <c r="X1259" s="60">
        <f>IF(ISERROR(VLOOKUP($U$1259,'TAR FIN'!$A$1:$O$104,15,0)),0,VLOOKUP($U$1259,'TAR FIN'!$A$1:$O$104,15,0))</f>
        <v>0</v>
      </c>
      <c r="Y1259" s="60">
        <f ca="1">('TUSD BE'!$AM$24+'TUSD BF'!$AM$24+'TUSD CVA'!$AM$24)*1*(1-0.02)</f>
        <v>25.754560993400897</v>
      </c>
      <c r="Z1259" s="60"/>
      <c r="AA1259" s="60"/>
      <c r="AB1259" s="6">
        <f>$K$1259*$V$1259</f>
        <v>424587.80160000001</v>
      </c>
      <c r="AC1259" s="6">
        <f>$M$1259*$W$1259</f>
        <v>0</v>
      </c>
      <c r="AD1259" s="6">
        <f>$O$1259*$X$1259</f>
        <v>0</v>
      </c>
      <c r="AE1259" s="6">
        <f ca="1">$K$1259*$Y$1259</f>
        <v>434427.93483668636</v>
      </c>
      <c r="AF1259" s="6">
        <f>$M$1259*$Z$1259</f>
        <v>0</v>
      </c>
      <c r="AG1259" s="6">
        <f>$O$1259*$AA$1259</f>
        <v>0</v>
      </c>
    </row>
    <row r="1260" spans="1:33" ht="11.25" customHeight="1" x14ac:dyDescent="0.25">
      <c r="A1260" s="4" t="s">
        <v>27</v>
      </c>
      <c r="B1260" s="4" t="s">
        <v>41</v>
      </c>
      <c r="C1260" s="4" t="s">
        <v>42</v>
      </c>
      <c r="D1260" s="4" t="s">
        <v>45</v>
      </c>
      <c r="E1260" s="4" t="s">
        <v>53</v>
      </c>
      <c r="F1260" s="4" t="s">
        <v>25</v>
      </c>
      <c r="G1260" s="4" t="s">
        <v>25</v>
      </c>
      <c r="H1260" s="4" t="s">
        <v>25</v>
      </c>
      <c r="I1260" s="5">
        <v>44593</v>
      </c>
      <c r="J1260" s="6">
        <v>-304</v>
      </c>
      <c r="K1260" s="60">
        <v>-304</v>
      </c>
      <c r="L1260" s="6">
        <v>0</v>
      </c>
      <c r="M1260" s="60">
        <v>0</v>
      </c>
      <c r="N1260" s="6">
        <v>0</v>
      </c>
      <c r="O1260" s="60">
        <v>0</v>
      </c>
      <c r="P1260" s="6">
        <v>-1</v>
      </c>
      <c r="Q1260" s="4" t="s">
        <v>26</v>
      </c>
      <c r="R1260" s="4">
        <v>0</v>
      </c>
      <c r="S1260" s="6">
        <v>40</v>
      </c>
      <c r="T1260" s="6">
        <v>0</v>
      </c>
      <c r="U1260" s="6">
        <v>0</v>
      </c>
      <c r="V1260" s="60">
        <f>IF(ISERROR(VLOOKUP($S$1260,'TAR FIN'!$A$1:$O$104,15,0)),0,VLOOKUP($S$1260,'TAR FIN'!$A$1:$O$104,15,0))*(1-0.04)</f>
        <v>25.171199999999999</v>
      </c>
      <c r="W1260" s="60">
        <f>IF(ISERROR(VLOOKUP($T$1260,'TAR FIN'!$A$1:$O$104,15,0)),0,VLOOKUP($T$1260,'TAR FIN'!$A$1:$O$104,15,0))</f>
        <v>0</v>
      </c>
      <c r="X1260" s="60">
        <f>IF(ISERROR(VLOOKUP($U$1260,'TAR FIN'!$A$1:$O$104,15,0)),0,VLOOKUP($U$1260,'TAR FIN'!$A$1:$O$104,15,0))</f>
        <v>0</v>
      </c>
      <c r="Y1260" s="60">
        <f ca="1">('TUSD BE'!$AM$24+'TUSD BF'!$AM$24+'TUSD CVA'!$AM$24)*1*(1-0.02)</f>
        <v>25.754560993400897</v>
      </c>
      <c r="Z1260" s="60"/>
      <c r="AA1260" s="60"/>
      <c r="AB1260" s="6">
        <f>$K$1260*$V$1260</f>
        <v>-7652.0447999999997</v>
      </c>
      <c r="AC1260" s="6">
        <f>$M$1260*$W$1260</f>
        <v>0</v>
      </c>
      <c r="AD1260" s="6">
        <f>$O$1260*$X$1260</f>
        <v>0</v>
      </c>
      <c r="AE1260" s="6">
        <f ca="1">$K$1260*$Y$1260</f>
        <v>-7829.3865419938729</v>
      </c>
      <c r="AF1260" s="6">
        <f>$M$1260*$Z$1260</f>
        <v>0</v>
      </c>
      <c r="AG1260" s="6">
        <f>$O$1260*$AA$1260</f>
        <v>0</v>
      </c>
    </row>
    <row r="1261" spans="1:33" ht="11.25" customHeight="1" x14ac:dyDescent="0.25">
      <c r="A1261" s="4" t="s">
        <v>28</v>
      </c>
      <c r="B1261" s="4" t="s">
        <v>41</v>
      </c>
      <c r="C1261" s="4" t="s">
        <v>42</v>
      </c>
      <c r="D1261" s="4" t="s">
        <v>45</v>
      </c>
      <c r="E1261" s="4" t="s">
        <v>53</v>
      </c>
      <c r="F1261" s="4" t="s">
        <v>25</v>
      </c>
      <c r="G1261" s="4" t="s">
        <v>25</v>
      </c>
      <c r="H1261" s="4" t="s">
        <v>25</v>
      </c>
      <c r="I1261" s="5">
        <v>44593</v>
      </c>
      <c r="J1261" s="6">
        <v>36</v>
      </c>
      <c r="K1261" s="60">
        <v>36</v>
      </c>
      <c r="L1261" s="6">
        <v>0</v>
      </c>
      <c r="M1261" s="60">
        <v>0</v>
      </c>
      <c r="N1261" s="6">
        <v>0</v>
      </c>
      <c r="O1261" s="60">
        <v>0</v>
      </c>
      <c r="P1261" s="6">
        <v>2</v>
      </c>
      <c r="Q1261" s="4" t="s">
        <v>26</v>
      </c>
      <c r="R1261" s="4">
        <v>0</v>
      </c>
      <c r="S1261" s="6">
        <v>40</v>
      </c>
      <c r="T1261" s="6">
        <v>0</v>
      </c>
      <c r="U1261" s="6">
        <v>0</v>
      </c>
      <c r="V1261" s="60">
        <f>IF(ISERROR(VLOOKUP($S$1261,'TAR FIN'!$A$1:$O$104,15,0)),0,VLOOKUP($S$1261,'TAR FIN'!$A$1:$O$104,15,0))*(1-0.04)</f>
        <v>25.171199999999999</v>
      </c>
      <c r="W1261" s="60">
        <f>IF(ISERROR(VLOOKUP($T$1261,'TAR FIN'!$A$1:$O$104,15,0)),0,VLOOKUP($T$1261,'TAR FIN'!$A$1:$O$104,15,0))</f>
        <v>0</v>
      </c>
      <c r="X1261" s="60">
        <f>IF(ISERROR(VLOOKUP($U$1261,'TAR FIN'!$A$1:$O$104,15,0)),0,VLOOKUP($U$1261,'TAR FIN'!$A$1:$O$104,15,0))</f>
        <v>0</v>
      </c>
      <c r="Y1261" s="60">
        <f ca="1">('TUSD BE'!$AM$24+'TUSD BF'!$AM$24+'TUSD CVA'!$AM$24)*1*(1-0.02)</f>
        <v>25.754560993400897</v>
      </c>
      <c r="Z1261" s="60"/>
      <c r="AA1261" s="60"/>
      <c r="AB1261" s="6">
        <f>$K$1261*$V$1261</f>
        <v>906.16319999999996</v>
      </c>
      <c r="AC1261" s="6">
        <f>$M$1261*$W$1261</f>
        <v>0</v>
      </c>
      <c r="AD1261" s="6">
        <f>$O$1261*$X$1261</f>
        <v>0</v>
      </c>
      <c r="AE1261" s="6">
        <f ca="1">$K$1261*$Y$1261</f>
        <v>927.16419576243231</v>
      </c>
      <c r="AF1261" s="6">
        <f>$M$1261*$Z$1261</f>
        <v>0</v>
      </c>
      <c r="AG1261" s="6">
        <f>$O$1261*$AA$1261</f>
        <v>0</v>
      </c>
    </row>
    <row r="1262" spans="1:33" ht="11.25" customHeight="1" x14ac:dyDescent="0.25">
      <c r="A1262" s="4" t="s">
        <v>21</v>
      </c>
      <c r="B1262" s="4" t="s">
        <v>41</v>
      </c>
      <c r="C1262" s="4" t="s">
        <v>42</v>
      </c>
      <c r="D1262" s="4" t="s">
        <v>45</v>
      </c>
      <c r="E1262" s="4" t="s">
        <v>53</v>
      </c>
      <c r="F1262" s="4" t="s">
        <v>25</v>
      </c>
      <c r="G1262" s="4" t="s">
        <v>25</v>
      </c>
      <c r="H1262" s="4" t="s">
        <v>25</v>
      </c>
      <c r="I1262" s="5">
        <v>44621</v>
      </c>
      <c r="J1262" s="6">
        <v>15596</v>
      </c>
      <c r="K1262" s="60">
        <v>15596</v>
      </c>
      <c r="L1262" s="6">
        <v>0</v>
      </c>
      <c r="M1262" s="60">
        <v>0</v>
      </c>
      <c r="N1262" s="6">
        <v>0</v>
      </c>
      <c r="O1262" s="60">
        <v>0</v>
      </c>
      <c r="P1262" s="6">
        <v>110</v>
      </c>
      <c r="Q1262" s="4" t="s">
        <v>26</v>
      </c>
      <c r="R1262" s="4">
        <v>0</v>
      </c>
      <c r="S1262" s="6">
        <v>40</v>
      </c>
      <c r="T1262" s="6">
        <v>0</v>
      </c>
      <c r="U1262" s="6">
        <v>0</v>
      </c>
      <c r="V1262" s="60">
        <f>IF(ISERROR(VLOOKUP($S$1262,'TAR FIN'!$A$1:$O$104,15,0)),0,VLOOKUP($S$1262,'TAR FIN'!$A$1:$O$104,15,0))*(1-0.04)</f>
        <v>25.171199999999999</v>
      </c>
      <c r="W1262" s="60">
        <f>IF(ISERROR(VLOOKUP($T$1262,'TAR FIN'!$A$1:$O$104,15,0)),0,VLOOKUP($T$1262,'TAR FIN'!$A$1:$O$104,15,0))</f>
        <v>0</v>
      </c>
      <c r="X1262" s="60">
        <f>IF(ISERROR(VLOOKUP($U$1262,'TAR FIN'!$A$1:$O$104,15,0)),0,VLOOKUP($U$1262,'TAR FIN'!$A$1:$O$104,15,0))</f>
        <v>0</v>
      </c>
      <c r="Y1262" s="60">
        <f ca="1">('TUSD BE'!$AM$24+'TUSD BF'!$AM$24+'TUSD CVA'!$AM$24)*1*(1-0.02)</f>
        <v>25.754560993400897</v>
      </c>
      <c r="Z1262" s="60"/>
      <c r="AA1262" s="60"/>
      <c r="AB1262" s="6">
        <f>$K$1262*$V$1262</f>
        <v>392570.03519999998</v>
      </c>
      <c r="AC1262" s="6">
        <f>$M$1262*$W$1262</f>
        <v>0</v>
      </c>
      <c r="AD1262" s="6">
        <f>$O$1262*$X$1262</f>
        <v>0</v>
      </c>
      <c r="AE1262" s="6">
        <f ca="1">$K$1262*$Y$1262</f>
        <v>401668.13325308042</v>
      </c>
      <c r="AF1262" s="6">
        <f>$M$1262*$Z$1262</f>
        <v>0</v>
      </c>
      <c r="AG1262" s="6">
        <f>$O$1262*$AA$1262</f>
        <v>0</v>
      </c>
    </row>
    <row r="1263" spans="1:33" ht="11.25" customHeight="1" x14ac:dyDescent="0.25">
      <c r="A1263" s="4" t="s">
        <v>28</v>
      </c>
      <c r="B1263" s="4" t="s">
        <v>41</v>
      </c>
      <c r="C1263" s="4" t="s">
        <v>42</v>
      </c>
      <c r="D1263" s="4" t="s">
        <v>45</v>
      </c>
      <c r="E1263" s="4" t="s">
        <v>53</v>
      </c>
      <c r="F1263" s="4" t="s">
        <v>25</v>
      </c>
      <c r="G1263" s="4" t="s">
        <v>25</v>
      </c>
      <c r="H1263" s="4" t="s">
        <v>25</v>
      </c>
      <c r="I1263" s="5">
        <v>44621</v>
      </c>
      <c r="J1263" s="6">
        <v>89</v>
      </c>
      <c r="K1263" s="60">
        <v>89</v>
      </c>
      <c r="L1263" s="6">
        <v>0</v>
      </c>
      <c r="M1263" s="60">
        <v>0</v>
      </c>
      <c r="N1263" s="6">
        <v>0</v>
      </c>
      <c r="O1263" s="60">
        <v>0</v>
      </c>
      <c r="P1263" s="6">
        <v>3</v>
      </c>
      <c r="Q1263" s="4" t="s">
        <v>26</v>
      </c>
      <c r="R1263" s="4">
        <v>0</v>
      </c>
      <c r="S1263" s="6">
        <v>40</v>
      </c>
      <c r="T1263" s="6">
        <v>0</v>
      </c>
      <c r="U1263" s="6">
        <v>0</v>
      </c>
      <c r="V1263" s="60">
        <f>IF(ISERROR(VLOOKUP($S$1263,'TAR FIN'!$A$1:$O$104,15,0)),0,VLOOKUP($S$1263,'TAR FIN'!$A$1:$O$104,15,0))*(1-0.04)</f>
        <v>25.171199999999999</v>
      </c>
      <c r="W1263" s="60">
        <f>IF(ISERROR(VLOOKUP($T$1263,'TAR FIN'!$A$1:$O$104,15,0)),0,VLOOKUP($T$1263,'TAR FIN'!$A$1:$O$104,15,0))</f>
        <v>0</v>
      </c>
      <c r="X1263" s="60">
        <f>IF(ISERROR(VLOOKUP($U$1263,'TAR FIN'!$A$1:$O$104,15,0)),0,VLOOKUP($U$1263,'TAR FIN'!$A$1:$O$104,15,0))</f>
        <v>0</v>
      </c>
      <c r="Y1263" s="60">
        <f ca="1">('TUSD BE'!$AM$24+'TUSD BF'!$AM$24+'TUSD CVA'!$AM$24)*1*(1-0.02)</f>
        <v>25.754560993400897</v>
      </c>
      <c r="Z1263" s="60"/>
      <c r="AA1263" s="60"/>
      <c r="AB1263" s="6">
        <f>$K$1263*$V$1263</f>
        <v>2240.2367999999997</v>
      </c>
      <c r="AC1263" s="6">
        <f>$M$1263*$W$1263</f>
        <v>0</v>
      </c>
      <c r="AD1263" s="6">
        <f>$O$1263*$X$1263</f>
        <v>0</v>
      </c>
      <c r="AE1263" s="6">
        <f ca="1">$K$1263*$Y$1263</f>
        <v>2292.1559284126797</v>
      </c>
      <c r="AF1263" s="6">
        <f>$M$1263*$Z$1263</f>
        <v>0</v>
      </c>
      <c r="AG1263" s="6">
        <f>$O$1263*$AA$1263</f>
        <v>0</v>
      </c>
    </row>
    <row r="1264" spans="1:33" ht="11.25" customHeight="1" x14ac:dyDescent="0.25">
      <c r="A1264" s="4" t="s">
        <v>21</v>
      </c>
      <c r="B1264" s="4" t="s">
        <v>41</v>
      </c>
      <c r="C1264" s="4" t="s">
        <v>42</v>
      </c>
      <c r="D1264" s="4" t="s">
        <v>45</v>
      </c>
      <c r="E1264" s="4" t="s">
        <v>53</v>
      </c>
      <c r="F1264" s="4" t="s">
        <v>25</v>
      </c>
      <c r="G1264" s="4" t="s">
        <v>25</v>
      </c>
      <c r="H1264" s="4" t="s">
        <v>25</v>
      </c>
      <c r="I1264" s="5">
        <v>44652</v>
      </c>
      <c r="J1264" s="6">
        <v>13951</v>
      </c>
      <c r="K1264" s="60">
        <v>13951</v>
      </c>
      <c r="L1264" s="6">
        <v>0</v>
      </c>
      <c r="M1264" s="60">
        <v>0</v>
      </c>
      <c r="N1264" s="6">
        <v>0</v>
      </c>
      <c r="O1264" s="60">
        <v>0</v>
      </c>
      <c r="P1264" s="6">
        <v>112</v>
      </c>
      <c r="Q1264" s="4" t="s">
        <v>26</v>
      </c>
      <c r="R1264" s="4">
        <v>0</v>
      </c>
      <c r="S1264" s="6">
        <v>40</v>
      </c>
      <c r="T1264" s="6">
        <v>0</v>
      </c>
      <c r="U1264" s="6">
        <v>0</v>
      </c>
      <c r="V1264" s="60">
        <f>IF(ISERROR(VLOOKUP($S$1264,'TAR FIN'!$A$1:$O$104,15,0)),0,VLOOKUP($S$1264,'TAR FIN'!$A$1:$O$104,15,0))*(1-0.04)</f>
        <v>25.171199999999999</v>
      </c>
      <c r="W1264" s="60">
        <f>IF(ISERROR(VLOOKUP($T$1264,'TAR FIN'!$A$1:$O$104,15,0)),0,VLOOKUP($T$1264,'TAR FIN'!$A$1:$O$104,15,0))</f>
        <v>0</v>
      </c>
      <c r="X1264" s="60">
        <f>IF(ISERROR(VLOOKUP($U$1264,'TAR FIN'!$A$1:$O$104,15,0)),0,VLOOKUP($U$1264,'TAR FIN'!$A$1:$O$104,15,0))</f>
        <v>0</v>
      </c>
      <c r="Y1264" s="60">
        <f ca="1">('TUSD BE'!$AM$24+'TUSD BF'!$AM$24+'TUSD CVA'!$AM$24)*1*(1-0.02)</f>
        <v>25.754560993400897</v>
      </c>
      <c r="Z1264" s="60"/>
      <c r="AA1264" s="60"/>
      <c r="AB1264" s="6">
        <f>$K$1264*$V$1264</f>
        <v>351163.41119999997</v>
      </c>
      <c r="AC1264" s="6">
        <f>$M$1264*$W$1264</f>
        <v>0</v>
      </c>
      <c r="AD1264" s="6">
        <f>$O$1264*$X$1264</f>
        <v>0</v>
      </c>
      <c r="AE1264" s="6">
        <f ca="1">$K$1264*$Y$1264</f>
        <v>359301.88041893591</v>
      </c>
      <c r="AF1264" s="6">
        <f>$M$1264*$Z$1264</f>
        <v>0</v>
      </c>
      <c r="AG1264" s="6">
        <f>$O$1264*$AA$1264</f>
        <v>0</v>
      </c>
    </row>
    <row r="1265" spans="1:33" ht="11.25" customHeight="1" x14ac:dyDescent="0.25">
      <c r="A1265" s="4" t="s">
        <v>27</v>
      </c>
      <c r="B1265" s="4" t="s">
        <v>41</v>
      </c>
      <c r="C1265" s="4" t="s">
        <v>42</v>
      </c>
      <c r="D1265" s="4" t="s">
        <v>45</v>
      </c>
      <c r="E1265" s="4" t="s">
        <v>53</v>
      </c>
      <c r="F1265" s="4" t="s">
        <v>25</v>
      </c>
      <c r="G1265" s="4" t="s">
        <v>25</v>
      </c>
      <c r="H1265" s="4" t="s">
        <v>25</v>
      </c>
      <c r="I1265" s="5">
        <v>44652</v>
      </c>
      <c r="J1265" s="6">
        <v>-17</v>
      </c>
      <c r="K1265" s="60">
        <v>-17</v>
      </c>
      <c r="L1265" s="6">
        <v>0</v>
      </c>
      <c r="M1265" s="60">
        <v>0</v>
      </c>
      <c r="N1265" s="6">
        <v>0</v>
      </c>
      <c r="O1265" s="60">
        <v>0</v>
      </c>
      <c r="P1265" s="6">
        <v>-1</v>
      </c>
      <c r="Q1265" s="4" t="s">
        <v>26</v>
      </c>
      <c r="R1265" s="4">
        <v>0</v>
      </c>
      <c r="S1265" s="6">
        <v>40</v>
      </c>
      <c r="T1265" s="6">
        <v>0</v>
      </c>
      <c r="U1265" s="6">
        <v>0</v>
      </c>
      <c r="V1265" s="60">
        <f>IF(ISERROR(VLOOKUP($S$1265,'TAR FIN'!$A$1:$O$104,15,0)),0,VLOOKUP($S$1265,'TAR FIN'!$A$1:$O$104,15,0))*(1-0.04)</f>
        <v>25.171199999999999</v>
      </c>
      <c r="W1265" s="60">
        <f>IF(ISERROR(VLOOKUP($T$1265,'TAR FIN'!$A$1:$O$104,15,0)),0,VLOOKUP($T$1265,'TAR FIN'!$A$1:$O$104,15,0))</f>
        <v>0</v>
      </c>
      <c r="X1265" s="60">
        <f>IF(ISERROR(VLOOKUP($U$1265,'TAR FIN'!$A$1:$O$104,15,0)),0,VLOOKUP($U$1265,'TAR FIN'!$A$1:$O$104,15,0))</f>
        <v>0</v>
      </c>
      <c r="Y1265" s="60">
        <f ca="1">('TUSD BE'!$AM$24+'TUSD BF'!$AM$24+'TUSD CVA'!$AM$24)*1*(1-0.02)</f>
        <v>25.754560993400897</v>
      </c>
      <c r="Z1265" s="60"/>
      <c r="AA1265" s="60"/>
      <c r="AB1265" s="6">
        <f>$K$1265*$V$1265</f>
        <v>-427.91039999999998</v>
      </c>
      <c r="AC1265" s="6">
        <f>$M$1265*$W$1265</f>
        <v>0</v>
      </c>
      <c r="AD1265" s="6">
        <f>$O$1265*$X$1265</f>
        <v>0</v>
      </c>
      <c r="AE1265" s="6">
        <f ca="1">$K$1265*$Y$1265</f>
        <v>-437.82753688781526</v>
      </c>
      <c r="AF1265" s="6">
        <f>$M$1265*$Z$1265</f>
        <v>0</v>
      </c>
      <c r="AG1265" s="6">
        <f>$O$1265*$AA$1265</f>
        <v>0</v>
      </c>
    </row>
    <row r="1266" spans="1:33" ht="11.25" customHeight="1" x14ac:dyDescent="0.25">
      <c r="A1266" s="4" t="s">
        <v>28</v>
      </c>
      <c r="B1266" s="4" t="s">
        <v>41</v>
      </c>
      <c r="C1266" s="4" t="s">
        <v>42</v>
      </c>
      <c r="D1266" s="4" t="s">
        <v>45</v>
      </c>
      <c r="E1266" s="4" t="s">
        <v>53</v>
      </c>
      <c r="F1266" s="4" t="s">
        <v>25</v>
      </c>
      <c r="G1266" s="4" t="s">
        <v>25</v>
      </c>
      <c r="H1266" s="4" t="s">
        <v>25</v>
      </c>
      <c r="I1266" s="5">
        <v>44652</v>
      </c>
      <c r="J1266" s="6">
        <v>232</v>
      </c>
      <c r="K1266" s="60">
        <v>232</v>
      </c>
      <c r="L1266" s="6">
        <v>0</v>
      </c>
      <c r="M1266" s="60">
        <v>0</v>
      </c>
      <c r="N1266" s="6">
        <v>0</v>
      </c>
      <c r="O1266" s="60">
        <v>0</v>
      </c>
      <c r="P1266" s="6">
        <v>3</v>
      </c>
      <c r="Q1266" s="4" t="s">
        <v>26</v>
      </c>
      <c r="R1266" s="4">
        <v>0</v>
      </c>
      <c r="S1266" s="6">
        <v>40</v>
      </c>
      <c r="T1266" s="6">
        <v>0</v>
      </c>
      <c r="U1266" s="6">
        <v>0</v>
      </c>
      <c r="V1266" s="60">
        <f>IF(ISERROR(VLOOKUP($S$1266,'TAR FIN'!$A$1:$O$104,15,0)),0,VLOOKUP($S$1266,'TAR FIN'!$A$1:$O$104,15,0))*(1-0.04)</f>
        <v>25.171199999999999</v>
      </c>
      <c r="W1266" s="60">
        <f>IF(ISERROR(VLOOKUP($T$1266,'TAR FIN'!$A$1:$O$104,15,0)),0,VLOOKUP($T$1266,'TAR FIN'!$A$1:$O$104,15,0))</f>
        <v>0</v>
      </c>
      <c r="X1266" s="60">
        <f>IF(ISERROR(VLOOKUP($U$1266,'TAR FIN'!$A$1:$O$104,15,0)),0,VLOOKUP($U$1266,'TAR FIN'!$A$1:$O$104,15,0))</f>
        <v>0</v>
      </c>
      <c r="Y1266" s="60">
        <f ca="1">('TUSD BE'!$AM$24+'TUSD BF'!$AM$24+'TUSD CVA'!$AM$24)*1*(1-0.02)</f>
        <v>25.754560993400897</v>
      </c>
      <c r="Z1266" s="60"/>
      <c r="AA1266" s="60"/>
      <c r="AB1266" s="6">
        <f>$K$1266*$V$1266</f>
        <v>5839.7183999999997</v>
      </c>
      <c r="AC1266" s="6">
        <f>$M$1266*$W$1266</f>
        <v>0</v>
      </c>
      <c r="AD1266" s="6">
        <f>$O$1266*$X$1266</f>
        <v>0</v>
      </c>
      <c r="AE1266" s="6">
        <f ca="1">$K$1266*$Y$1266</f>
        <v>5975.0581504690081</v>
      </c>
      <c r="AF1266" s="6">
        <f>$M$1266*$Z$1266</f>
        <v>0</v>
      </c>
      <c r="AG1266" s="6">
        <f>$O$1266*$AA$1266</f>
        <v>0</v>
      </c>
    </row>
    <row r="1267" spans="1:33" ht="11.25" customHeight="1" x14ac:dyDescent="0.25">
      <c r="A1267" s="4" t="s">
        <v>28</v>
      </c>
      <c r="B1267" s="4" t="s">
        <v>41</v>
      </c>
      <c r="C1267" s="4" t="s">
        <v>42</v>
      </c>
      <c r="D1267" s="4" t="s">
        <v>45</v>
      </c>
      <c r="E1267" s="4" t="s">
        <v>53</v>
      </c>
      <c r="F1267" s="4" t="s">
        <v>25</v>
      </c>
      <c r="G1267" s="4" t="s">
        <v>25</v>
      </c>
      <c r="H1267" s="4" t="s">
        <v>25</v>
      </c>
      <c r="I1267" s="5">
        <v>44652</v>
      </c>
      <c r="J1267" s="6">
        <v>575</v>
      </c>
      <c r="K1267" s="60">
        <v>575</v>
      </c>
      <c r="L1267" s="6">
        <v>0</v>
      </c>
      <c r="M1267" s="60">
        <v>0</v>
      </c>
      <c r="N1267" s="6">
        <v>0</v>
      </c>
      <c r="O1267" s="60">
        <v>0</v>
      </c>
      <c r="P1267" s="6">
        <v>6</v>
      </c>
      <c r="Q1267" s="4" t="s">
        <v>26</v>
      </c>
      <c r="R1267" s="4">
        <v>0</v>
      </c>
      <c r="S1267" s="6">
        <v>40</v>
      </c>
      <c r="T1267" s="6">
        <v>0</v>
      </c>
      <c r="U1267" s="6">
        <v>0</v>
      </c>
      <c r="V1267" s="60">
        <f>IF(ISERROR(VLOOKUP($S$1267,'TAR FIN'!$A$1:$O$104,15,0)),0,VLOOKUP($S$1267,'TAR FIN'!$A$1:$O$104,15,0))*(1-0.04)</f>
        <v>25.171199999999999</v>
      </c>
      <c r="W1267" s="60">
        <f>IF(ISERROR(VLOOKUP($T$1267,'TAR FIN'!$A$1:$O$104,15,0)),0,VLOOKUP($T$1267,'TAR FIN'!$A$1:$O$104,15,0))</f>
        <v>0</v>
      </c>
      <c r="X1267" s="60">
        <f>IF(ISERROR(VLOOKUP($U$1267,'TAR FIN'!$A$1:$O$104,15,0)),0,VLOOKUP($U$1267,'TAR FIN'!$A$1:$O$104,15,0))</f>
        <v>0</v>
      </c>
      <c r="Y1267" s="60">
        <f ca="1">('TUSD BE'!$AM$24+'TUSD BF'!$AM$24+'TUSD CVA'!$AM$24)*1*(1-0.02)</f>
        <v>25.754560993400897</v>
      </c>
      <c r="Z1267" s="60"/>
      <c r="AA1267" s="60"/>
      <c r="AB1267" s="6">
        <f>$K$1267*$V$1267</f>
        <v>14473.439999999999</v>
      </c>
      <c r="AC1267" s="6">
        <f>$M$1267*$W$1267</f>
        <v>0</v>
      </c>
      <c r="AD1267" s="6">
        <f>$O$1267*$X$1267</f>
        <v>0</v>
      </c>
      <c r="AE1267" s="6">
        <f ca="1">$K$1267*$Y$1267</f>
        <v>14808.872571205517</v>
      </c>
      <c r="AF1267" s="6">
        <f>$M$1267*$Z$1267</f>
        <v>0</v>
      </c>
      <c r="AG1267" s="6">
        <f>$O$1267*$AA$1267</f>
        <v>0</v>
      </c>
    </row>
    <row r="1268" spans="1:33" ht="11.25" customHeight="1" x14ac:dyDescent="0.25">
      <c r="A1268" s="4" t="s">
        <v>21</v>
      </c>
      <c r="B1268" s="4" t="s">
        <v>41</v>
      </c>
      <c r="C1268" s="4" t="s">
        <v>42</v>
      </c>
      <c r="D1268" s="4" t="s">
        <v>45</v>
      </c>
      <c r="E1268" s="4" t="s">
        <v>53</v>
      </c>
      <c r="F1268" s="4" t="s">
        <v>25</v>
      </c>
      <c r="G1268" s="4" t="s">
        <v>25</v>
      </c>
      <c r="H1268" s="4" t="s">
        <v>25</v>
      </c>
      <c r="I1268" s="5">
        <v>44682</v>
      </c>
      <c r="J1268" s="6">
        <v>10682</v>
      </c>
      <c r="K1268" s="60">
        <v>10682</v>
      </c>
      <c r="L1268" s="6">
        <v>0</v>
      </c>
      <c r="M1268" s="60">
        <v>0</v>
      </c>
      <c r="N1268" s="6">
        <v>0</v>
      </c>
      <c r="O1268" s="60">
        <v>0</v>
      </c>
      <c r="P1268" s="6">
        <v>99</v>
      </c>
      <c r="Q1268" s="4" t="s">
        <v>26</v>
      </c>
      <c r="R1268" s="4">
        <v>0</v>
      </c>
      <c r="S1268" s="6">
        <v>40</v>
      </c>
      <c r="T1268" s="6">
        <v>0</v>
      </c>
      <c r="U1268" s="6">
        <v>0</v>
      </c>
      <c r="V1268" s="60">
        <f>IF(ISERROR(VLOOKUP($S$1268,'TAR FIN'!$A$1:$O$104,15,0)),0,VLOOKUP($S$1268,'TAR FIN'!$A$1:$O$104,15,0))*(1-0.04)</f>
        <v>25.171199999999999</v>
      </c>
      <c r="W1268" s="60">
        <f>IF(ISERROR(VLOOKUP($T$1268,'TAR FIN'!$A$1:$O$104,15,0)),0,VLOOKUP($T$1268,'TAR FIN'!$A$1:$O$104,15,0))</f>
        <v>0</v>
      </c>
      <c r="X1268" s="60">
        <f>IF(ISERROR(VLOOKUP($U$1268,'TAR FIN'!$A$1:$O$104,15,0)),0,VLOOKUP($U$1268,'TAR FIN'!$A$1:$O$104,15,0))</f>
        <v>0</v>
      </c>
      <c r="Y1268" s="60">
        <f ca="1">('TUSD BE'!$AM$24+'TUSD BF'!$AM$24+'TUSD CVA'!$AM$24)*1*(1-0.02)</f>
        <v>25.754560993400897</v>
      </c>
      <c r="Z1268" s="60"/>
      <c r="AA1268" s="60"/>
      <c r="AB1268" s="6">
        <f>$K$1268*$V$1268</f>
        <v>268878.75839999999</v>
      </c>
      <c r="AC1268" s="6">
        <f>$M$1268*$W$1268</f>
        <v>0</v>
      </c>
      <c r="AD1268" s="6">
        <f>$O$1268*$X$1268</f>
        <v>0</v>
      </c>
      <c r="AE1268" s="6">
        <f ca="1">$K$1268*$Y$1268</f>
        <v>275110.22053150838</v>
      </c>
      <c r="AF1268" s="6">
        <f>$M$1268*$Z$1268</f>
        <v>0</v>
      </c>
      <c r="AG1268" s="6">
        <f>$O$1268*$AA$1268</f>
        <v>0</v>
      </c>
    </row>
    <row r="1269" spans="1:33" ht="11.25" customHeight="1" x14ac:dyDescent="0.25">
      <c r="A1269" s="4" t="s">
        <v>28</v>
      </c>
      <c r="B1269" s="4" t="s">
        <v>41</v>
      </c>
      <c r="C1269" s="4" t="s">
        <v>42</v>
      </c>
      <c r="D1269" s="4" t="s">
        <v>45</v>
      </c>
      <c r="E1269" s="4" t="s">
        <v>53</v>
      </c>
      <c r="F1269" s="4" t="s">
        <v>25</v>
      </c>
      <c r="G1269" s="4" t="s">
        <v>25</v>
      </c>
      <c r="H1269" s="4" t="s">
        <v>25</v>
      </c>
      <c r="I1269" s="5">
        <v>44682</v>
      </c>
      <c r="J1269" s="6">
        <v>140</v>
      </c>
      <c r="K1269" s="60">
        <v>140</v>
      </c>
      <c r="L1269" s="6">
        <v>0</v>
      </c>
      <c r="M1269" s="60">
        <v>0</v>
      </c>
      <c r="N1269" s="6">
        <v>0</v>
      </c>
      <c r="O1269" s="60">
        <v>0</v>
      </c>
      <c r="P1269" s="6">
        <v>3</v>
      </c>
      <c r="Q1269" s="4" t="s">
        <v>26</v>
      </c>
      <c r="R1269" s="4">
        <v>0</v>
      </c>
      <c r="S1269" s="6">
        <v>40</v>
      </c>
      <c r="T1269" s="6">
        <v>0</v>
      </c>
      <c r="U1269" s="6">
        <v>0</v>
      </c>
      <c r="V1269" s="60">
        <f>IF(ISERROR(VLOOKUP($S$1269,'TAR FIN'!$A$1:$O$104,15,0)),0,VLOOKUP($S$1269,'TAR FIN'!$A$1:$O$104,15,0))*(1-0.04)</f>
        <v>25.171199999999999</v>
      </c>
      <c r="W1269" s="60">
        <f>IF(ISERROR(VLOOKUP($T$1269,'TAR FIN'!$A$1:$O$104,15,0)),0,VLOOKUP($T$1269,'TAR FIN'!$A$1:$O$104,15,0))</f>
        <v>0</v>
      </c>
      <c r="X1269" s="60">
        <f>IF(ISERROR(VLOOKUP($U$1269,'TAR FIN'!$A$1:$O$104,15,0)),0,VLOOKUP($U$1269,'TAR FIN'!$A$1:$O$104,15,0))</f>
        <v>0</v>
      </c>
      <c r="Y1269" s="60">
        <f ca="1">('TUSD BE'!$AM$24+'TUSD BF'!$AM$24+'TUSD CVA'!$AM$24)*1*(1-0.02)</f>
        <v>25.754560993400897</v>
      </c>
      <c r="Z1269" s="60"/>
      <c r="AA1269" s="60"/>
      <c r="AB1269" s="6">
        <f>$K$1269*$V$1269</f>
        <v>3523.9679999999998</v>
      </c>
      <c r="AC1269" s="6">
        <f>$M$1269*$W$1269</f>
        <v>0</v>
      </c>
      <c r="AD1269" s="6">
        <f>$O$1269*$X$1269</f>
        <v>0</v>
      </c>
      <c r="AE1269" s="6">
        <f ca="1">$K$1269*$Y$1269</f>
        <v>3605.6385390761257</v>
      </c>
      <c r="AF1269" s="6">
        <f>$M$1269*$Z$1269</f>
        <v>0</v>
      </c>
      <c r="AG1269" s="6">
        <f>$O$1269*$AA$1269</f>
        <v>0</v>
      </c>
    </row>
    <row r="1270" spans="1:33" ht="11.25" customHeight="1" x14ac:dyDescent="0.25">
      <c r="A1270" s="4" t="s">
        <v>21</v>
      </c>
      <c r="B1270" s="4" t="s">
        <v>41</v>
      </c>
      <c r="C1270" s="4" t="s">
        <v>42</v>
      </c>
      <c r="D1270" s="4" t="s">
        <v>45</v>
      </c>
      <c r="E1270" s="4" t="s">
        <v>53</v>
      </c>
      <c r="F1270" s="4" t="s">
        <v>25</v>
      </c>
      <c r="G1270" s="4" t="s">
        <v>25</v>
      </c>
      <c r="H1270" s="4" t="s">
        <v>25</v>
      </c>
      <c r="I1270" s="5">
        <v>44713</v>
      </c>
      <c r="J1270" s="6">
        <v>8574</v>
      </c>
      <c r="K1270" s="60">
        <v>8574</v>
      </c>
      <c r="L1270" s="6">
        <v>0</v>
      </c>
      <c r="M1270" s="60">
        <v>0</v>
      </c>
      <c r="N1270" s="6">
        <v>0</v>
      </c>
      <c r="O1270" s="60">
        <v>0</v>
      </c>
      <c r="P1270" s="6">
        <v>94</v>
      </c>
      <c r="Q1270" s="4" t="s">
        <v>26</v>
      </c>
      <c r="R1270" s="4">
        <v>0</v>
      </c>
      <c r="S1270" s="6">
        <v>40</v>
      </c>
      <c r="T1270" s="6">
        <v>0</v>
      </c>
      <c r="U1270" s="6">
        <v>0</v>
      </c>
      <c r="V1270" s="60">
        <f>IF(ISERROR(VLOOKUP($S$1270,'TAR FIN'!$A$1:$O$104,15,0)),0,VLOOKUP($S$1270,'TAR FIN'!$A$1:$O$104,15,0))*(1-0.04)</f>
        <v>25.171199999999999</v>
      </c>
      <c r="W1270" s="60">
        <f>IF(ISERROR(VLOOKUP($T$1270,'TAR FIN'!$A$1:$O$104,15,0)),0,VLOOKUP($T$1270,'TAR FIN'!$A$1:$O$104,15,0))</f>
        <v>0</v>
      </c>
      <c r="X1270" s="60">
        <f>IF(ISERROR(VLOOKUP($U$1270,'TAR FIN'!$A$1:$O$104,15,0)),0,VLOOKUP($U$1270,'TAR FIN'!$A$1:$O$104,15,0))</f>
        <v>0</v>
      </c>
      <c r="Y1270" s="60">
        <f ca="1">('TUSD BE'!$AM$24+'TUSD BF'!$AM$24+'TUSD CVA'!$AM$24)*1*(1-0.02)</f>
        <v>25.754560993400897</v>
      </c>
      <c r="Z1270" s="60"/>
      <c r="AA1270" s="60"/>
      <c r="AB1270" s="6">
        <f>$K$1270*$V$1270</f>
        <v>215817.8688</v>
      </c>
      <c r="AC1270" s="6">
        <f>$M$1270*$W$1270</f>
        <v>0</v>
      </c>
      <c r="AD1270" s="6">
        <f>$O$1270*$X$1270</f>
        <v>0</v>
      </c>
      <c r="AE1270" s="6">
        <f ca="1">$K$1270*$Y$1270</f>
        <v>220819.60595741929</v>
      </c>
      <c r="AF1270" s="6">
        <f>$M$1270*$Z$1270</f>
        <v>0</v>
      </c>
      <c r="AG1270" s="6">
        <f>$O$1270*$AA$1270</f>
        <v>0</v>
      </c>
    </row>
    <row r="1271" spans="1:33" ht="11.25" customHeight="1" x14ac:dyDescent="0.25">
      <c r="A1271" s="4" t="s">
        <v>27</v>
      </c>
      <c r="B1271" s="4" t="s">
        <v>41</v>
      </c>
      <c r="C1271" s="4" t="s">
        <v>42</v>
      </c>
      <c r="D1271" s="4" t="s">
        <v>45</v>
      </c>
      <c r="E1271" s="4" t="s">
        <v>53</v>
      </c>
      <c r="F1271" s="4" t="s">
        <v>25</v>
      </c>
      <c r="G1271" s="4" t="s">
        <v>25</v>
      </c>
      <c r="H1271" s="4" t="s">
        <v>25</v>
      </c>
      <c r="I1271" s="5">
        <v>44713</v>
      </c>
      <c r="J1271" s="6">
        <v>272</v>
      </c>
      <c r="K1271" s="60">
        <v>272</v>
      </c>
      <c r="L1271" s="6">
        <v>0</v>
      </c>
      <c r="M1271" s="60">
        <v>0</v>
      </c>
      <c r="N1271" s="6">
        <v>0</v>
      </c>
      <c r="O1271" s="60">
        <v>0</v>
      </c>
      <c r="P1271" s="6">
        <v>0</v>
      </c>
      <c r="Q1271" s="4" t="s">
        <v>26</v>
      </c>
      <c r="R1271" s="4">
        <v>0</v>
      </c>
      <c r="S1271" s="6">
        <v>40</v>
      </c>
      <c r="T1271" s="6">
        <v>0</v>
      </c>
      <c r="U1271" s="6">
        <v>0</v>
      </c>
      <c r="V1271" s="60">
        <f>IF(ISERROR(VLOOKUP($S$1271,'TAR FIN'!$A$1:$O$104,15,0)),0,VLOOKUP($S$1271,'TAR FIN'!$A$1:$O$104,15,0))*(1-0.04)</f>
        <v>25.171199999999999</v>
      </c>
      <c r="W1271" s="60">
        <f>IF(ISERROR(VLOOKUP($T$1271,'TAR FIN'!$A$1:$O$104,15,0)),0,VLOOKUP($T$1271,'TAR FIN'!$A$1:$O$104,15,0))</f>
        <v>0</v>
      </c>
      <c r="X1271" s="60">
        <f>IF(ISERROR(VLOOKUP($U$1271,'TAR FIN'!$A$1:$O$104,15,0)),0,VLOOKUP($U$1271,'TAR FIN'!$A$1:$O$104,15,0))</f>
        <v>0</v>
      </c>
      <c r="Y1271" s="60">
        <f ca="1">('TUSD BE'!$AM$24+'TUSD BF'!$AM$24+'TUSD CVA'!$AM$24)*1*(1-0.02)</f>
        <v>25.754560993400897</v>
      </c>
      <c r="Z1271" s="60"/>
      <c r="AA1271" s="60"/>
      <c r="AB1271" s="6">
        <f>$K$1271*$V$1271</f>
        <v>6846.5663999999997</v>
      </c>
      <c r="AC1271" s="6">
        <f>$M$1271*$W$1271</f>
        <v>0</v>
      </c>
      <c r="AD1271" s="6">
        <f>$O$1271*$X$1271</f>
        <v>0</v>
      </c>
      <c r="AE1271" s="6">
        <f ca="1">$K$1271*$Y$1271</f>
        <v>7005.2405902050441</v>
      </c>
      <c r="AF1271" s="6">
        <f>$M$1271*$Z$1271</f>
        <v>0</v>
      </c>
      <c r="AG1271" s="6">
        <f>$O$1271*$AA$1271</f>
        <v>0</v>
      </c>
    </row>
    <row r="1272" spans="1:33" ht="11.25" customHeight="1" x14ac:dyDescent="0.25">
      <c r="A1272" s="4" t="s">
        <v>28</v>
      </c>
      <c r="B1272" s="4" t="s">
        <v>41</v>
      </c>
      <c r="C1272" s="4" t="s">
        <v>42</v>
      </c>
      <c r="D1272" s="4" t="s">
        <v>45</v>
      </c>
      <c r="E1272" s="4" t="s">
        <v>53</v>
      </c>
      <c r="F1272" s="4" t="s">
        <v>25</v>
      </c>
      <c r="G1272" s="4" t="s">
        <v>25</v>
      </c>
      <c r="H1272" s="4" t="s">
        <v>25</v>
      </c>
      <c r="I1272" s="5">
        <v>44713</v>
      </c>
      <c r="J1272" s="6">
        <v>47</v>
      </c>
      <c r="K1272" s="60">
        <v>47</v>
      </c>
      <c r="L1272" s="6">
        <v>0</v>
      </c>
      <c r="M1272" s="60">
        <v>0</v>
      </c>
      <c r="N1272" s="6">
        <v>0</v>
      </c>
      <c r="O1272" s="60">
        <v>0</v>
      </c>
      <c r="P1272" s="6">
        <v>3</v>
      </c>
      <c r="Q1272" s="4" t="s">
        <v>26</v>
      </c>
      <c r="R1272" s="4">
        <v>0</v>
      </c>
      <c r="S1272" s="6">
        <v>40</v>
      </c>
      <c r="T1272" s="6">
        <v>0</v>
      </c>
      <c r="U1272" s="6">
        <v>0</v>
      </c>
      <c r="V1272" s="60">
        <f>IF(ISERROR(VLOOKUP($S$1272,'TAR FIN'!$A$1:$O$104,15,0)),0,VLOOKUP($S$1272,'TAR FIN'!$A$1:$O$104,15,0))*(1-0.04)</f>
        <v>25.171199999999999</v>
      </c>
      <c r="W1272" s="60">
        <f>IF(ISERROR(VLOOKUP($T$1272,'TAR FIN'!$A$1:$O$104,15,0)),0,VLOOKUP($T$1272,'TAR FIN'!$A$1:$O$104,15,0))</f>
        <v>0</v>
      </c>
      <c r="X1272" s="60">
        <f>IF(ISERROR(VLOOKUP($U$1272,'TAR FIN'!$A$1:$O$104,15,0)),0,VLOOKUP($U$1272,'TAR FIN'!$A$1:$O$104,15,0))</f>
        <v>0</v>
      </c>
      <c r="Y1272" s="60">
        <f ca="1">('TUSD BE'!$AM$24+'TUSD BF'!$AM$24+'TUSD CVA'!$AM$24)*1*(1-0.02)</f>
        <v>25.754560993400897</v>
      </c>
      <c r="Z1272" s="60"/>
      <c r="AA1272" s="60"/>
      <c r="AB1272" s="6">
        <f>$K$1272*$V$1272</f>
        <v>1183.0463999999999</v>
      </c>
      <c r="AC1272" s="6">
        <f>$M$1272*$W$1272</f>
        <v>0</v>
      </c>
      <c r="AD1272" s="6">
        <f>$O$1272*$X$1272</f>
        <v>0</v>
      </c>
      <c r="AE1272" s="6">
        <f ca="1">$K$1272*$Y$1272</f>
        <v>1210.4643666898421</v>
      </c>
      <c r="AF1272" s="6">
        <f>$M$1272*$Z$1272</f>
        <v>0</v>
      </c>
      <c r="AG1272" s="6">
        <f>$O$1272*$AA$1272</f>
        <v>0</v>
      </c>
    </row>
    <row r="1273" spans="1:33" ht="11.25" customHeight="1" x14ac:dyDescent="0.25">
      <c r="A1273" s="4" t="s">
        <v>57</v>
      </c>
      <c r="B1273" s="4" t="s">
        <v>41</v>
      </c>
      <c r="C1273" s="4" t="s">
        <v>42</v>
      </c>
      <c r="D1273" s="4" t="s">
        <v>45</v>
      </c>
      <c r="E1273" s="4" t="s">
        <v>53</v>
      </c>
      <c r="F1273" s="4" t="s">
        <v>25</v>
      </c>
      <c r="G1273" s="4" t="s">
        <v>25</v>
      </c>
      <c r="H1273" s="4" t="s">
        <v>25</v>
      </c>
      <c r="I1273" s="5">
        <v>44743</v>
      </c>
      <c r="J1273" s="6">
        <v>8574</v>
      </c>
      <c r="K1273" s="60">
        <v>8574</v>
      </c>
      <c r="L1273" s="6">
        <v>0</v>
      </c>
      <c r="M1273" s="60">
        <v>0</v>
      </c>
      <c r="N1273" s="6">
        <v>0</v>
      </c>
      <c r="O1273" s="60">
        <v>0</v>
      </c>
      <c r="P1273" s="6">
        <v>94</v>
      </c>
      <c r="Q1273" s="4" t="s">
        <v>26</v>
      </c>
      <c r="R1273" s="4">
        <v>0</v>
      </c>
      <c r="S1273" s="6">
        <v>40</v>
      </c>
      <c r="T1273" s="6">
        <v>0</v>
      </c>
      <c r="U1273" s="6">
        <v>0</v>
      </c>
      <c r="V1273" s="60">
        <f>IF(ISERROR(VLOOKUP($S$1273,'TAR FIN'!$A$1:$O$104,15,0)),0,VLOOKUP($S$1273,'TAR FIN'!$A$1:$O$104,15,0))*(1-0.04)</f>
        <v>25.171199999999999</v>
      </c>
      <c r="W1273" s="60">
        <f>IF(ISERROR(VLOOKUP($T$1273,'TAR FIN'!$A$1:$O$104,15,0)),0,VLOOKUP($T$1273,'TAR FIN'!$A$1:$O$104,15,0))</f>
        <v>0</v>
      </c>
      <c r="X1273" s="60">
        <f>IF(ISERROR(VLOOKUP($U$1273,'TAR FIN'!$A$1:$O$104,15,0)),0,VLOOKUP($U$1273,'TAR FIN'!$A$1:$O$104,15,0))</f>
        <v>0</v>
      </c>
      <c r="Y1273" s="60">
        <f ca="1">('TUSD BE'!$AM$24+'TUSD BF'!$AM$24+'TUSD CVA'!$AM$24)*1*(1-0.02)</f>
        <v>25.754560993400897</v>
      </c>
      <c r="Z1273" s="60"/>
      <c r="AA1273" s="60"/>
      <c r="AB1273" s="6">
        <f>$K$1273*$V$1273</f>
        <v>215817.8688</v>
      </c>
      <c r="AC1273" s="6">
        <f>$M$1273*$W$1273</f>
        <v>0</v>
      </c>
      <c r="AD1273" s="6">
        <f>$O$1273*$X$1273</f>
        <v>0</v>
      </c>
      <c r="AE1273" s="6">
        <f ca="1">$K$1273*$Y$1273</f>
        <v>220819.60595741929</v>
      </c>
      <c r="AF1273" s="6">
        <f>$M$1273*$Z$1273</f>
        <v>0</v>
      </c>
      <c r="AG1273" s="6">
        <f>$O$1273*$AA$1273</f>
        <v>0</v>
      </c>
    </row>
    <row r="1274" spans="1:33" ht="11.25" customHeight="1" x14ac:dyDescent="0.25">
      <c r="A1274" s="4" t="s">
        <v>57</v>
      </c>
      <c r="B1274" s="4" t="s">
        <v>41</v>
      </c>
      <c r="C1274" s="4" t="s">
        <v>42</v>
      </c>
      <c r="D1274" s="4" t="s">
        <v>45</v>
      </c>
      <c r="E1274" s="4" t="s">
        <v>53</v>
      </c>
      <c r="F1274" s="4" t="s">
        <v>25</v>
      </c>
      <c r="G1274" s="4" t="s">
        <v>25</v>
      </c>
      <c r="H1274" s="4" t="s">
        <v>25</v>
      </c>
      <c r="I1274" s="5">
        <v>44743</v>
      </c>
      <c r="J1274" s="6">
        <v>272</v>
      </c>
      <c r="K1274" s="60">
        <v>272</v>
      </c>
      <c r="L1274" s="6">
        <v>0</v>
      </c>
      <c r="M1274" s="60">
        <v>0</v>
      </c>
      <c r="N1274" s="6">
        <v>0</v>
      </c>
      <c r="O1274" s="60">
        <v>0</v>
      </c>
      <c r="P1274" s="6">
        <v>0</v>
      </c>
      <c r="Q1274" s="4" t="s">
        <v>26</v>
      </c>
      <c r="R1274" s="4">
        <v>0</v>
      </c>
      <c r="S1274" s="6">
        <v>40</v>
      </c>
      <c r="T1274" s="6">
        <v>0</v>
      </c>
      <c r="U1274" s="6">
        <v>0</v>
      </c>
      <c r="V1274" s="60">
        <f>IF(ISERROR(VLOOKUP($S$1274,'TAR FIN'!$A$1:$O$104,15,0)),0,VLOOKUP($S$1274,'TAR FIN'!$A$1:$O$104,15,0))*(1-0.04)</f>
        <v>25.171199999999999</v>
      </c>
      <c r="W1274" s="60">
        <f>IF(ISERROR(VLOOKUP($T$1274,'TAR FIN'!$A$1:$O$104,15,0)),0,VLOOKUP($T$1274,'TAR FIN'!$A$1:$O$104,15,0))</f>
        <v>0</v>
      </c>
      <c r="X1274" s="60">
        <f>IF(ISERROR(VLOOKUP($U$1274,'TAR FIN'!$A$1:$O$104,15,0)),0,VLOOKUP($U$1274,'TAR FIN'!$A$1:$O$104,15,0))</f>
        <v>0</v>
      </c>
      <c r="Y1274" s="60">
        <f ca="1">('TUSD BE'!$AM$24+'TUSD BF'!$AM$24+'TUSD CVA'!$AM$24)*1*(1-0.02)</f>
        <v>25.754560993400897</v>
      </c>
      <c r="Z1274" s="60"/>
      <c r="AA1274" s="60"/>
      <c r="AB1274" s="6">
        <f>$K$1274*$V$1274</f>
        <v>6846.5663999999997</v>
      </c>
      <c r="AC1274" s="6">
        <f>$M$1274*$W$1274</f>
        <v>0</v>
      </c>
      <c r="AD1274" s="6">
        <f>$O$1274*$X$1274</f>
        <v>0</v>
      </c>
      <c r="AE1274" s="6">
        <f ca="1">$K$1274*$Y$1274</f>
        <v>7005.2405902050441</v>
      </c>
      <c r="AF1274" s="6">
        <f>$M$1274*$Z$1274</f>
        <v>0</v>
      </c>
      <c r="AG1274" s="6">
        <f>$O$1274*$AA$1274</f>
        <v>0</v>
      </c>
    </row>
    <row r="1275" spans="1:33" ht="11.25" customHeight="1" x14ac:dyDescent="0.25">
      <c r="A1275" s="4" t="s">
        <v>57</v>
      </c>
      <c r="B1275" s="4" t="s">
        <v>41</v>
      </c>
      <c r="C1275" s="4" t="s">
        <v>42</v>
      </c>
      <c r="D1275" s="4" t="s">
        <v>45</v>
      </c>
      <c r="E1275" s="4" t="s">
        <v>53</v>
      </c>
      <c r="F1275" s="4" t="s">
        <v>25</v>
      </c>
      <c r="G1275" s="4" t="s">
        <v>25</v>
      </c>
      <c r="H1275" s="4" t="s">
        <v>25</v>
      </c>
      <c r="I1275" s="5">
        <v>44743</v>
      </c>
      <c r="J1275" s="6">
        <v>47</v>
      </c>
      <c r="K1275" s="60">
        <v>47</v>
      </c>
      <c r="L1275" s="6">
        <v>0</v>
      </c>
      <c r="M1275" s="60">
        <v>0</v>
      </c>
      <c r="N1275" s="6">
        <v>0</v>
      </c>
      <c r="O1275" s="60">
        <v>0</v>
      </c>
      <c r="P1275" s="6">
        <v>3</v>
      </c>
      <c r="Q1275" s="4" t="s">
        <v>26</v>
      </c>
      <c r="R1275" s="4">
        <v>0</v>
      </c>
      <c r="S1275" s="6">
        <v>40</v>
      </c>
      <c r="T1275" s="6">
        <v>0</v>
      </c>
      <c r="U1275" s="6">
        <v>0</v>
      </c>
      <c r="V1275" s="60">
        <f>IF(ISERROR(VLOOKUP($S$1275,'TAR FIN'!$A$1:$O$104,15,0)),0,VLOOKUP($S$1275,'TAR FIN'!$A$1:$O$104,15,0))*(1-0.04)</f>
        <v>25.171199999999999</v>
      </c>
      <c r="W1275" s="60">
        <f>IF(ISERROR(VLOOKUP($T$1275,'TAR FIN'!$A$1:$O$104,15,0)),0,VLOOKUP($T$1275,'TAR FIN'!$A$1:$O$104,15,0))</f>
        <v>0</v>
      </c>
      <c r="X1275" s="60">
        <f>IF(ISERROR(VLOOKUP($U$1275,'TAR FIN'!$A$1:$O$104,15,0)),0,VLOOKUP($U$1275,'TAR FIN'!$A$1:$O$104,15,0))</f>
        <v>0</v>
      </c>
      <c r="Y1275" s="60">
        <f ca="1">('TUSD BE'!$AM$24+'TUSD BF'!$AM$24+'TUSD CVA'!$AM$24)*1*(1-0.02)</f>
        <v>25.754560993400897</v>
      </c>
      <c r="Z1275" s="60"/>
      <c r="AA1275" s="60"/>
      <c r="AB1275" s="6">
        <f>$K$1275*$V$1275</f>
        <v>1183.0463999999999</v>
      </c>
      <c r="AC1275" s="6">
        <f>$M$1275*$W$1275</f>
        <v>0</v>
      </c>
      <c r="AD1275" s="6">
        <f>$O$1275*$X$1275</f>
        <v>0</v>
      </c>
      <c r="AE1275" s="6">
        <f ca="1">$K$1275*$Y$1275</f>
        <v>1210.4643666898421</v>
      </c>
      <c r="AF1275" s="6">
        <f>$M$1275*$Z$1275</f>
        <v>0</v>
      </c>
      <c r="AG1275" s="6">
        <f>$O$1275*$AA$1275</f>
        <v>0</v>
      </c>
    </row>
    <row r="1276" spans="1:33" ht="11.25" customHeight="1" x14ac:dyDescent="0.25">
      <c r="A1276" s="4" t="s">
        <v>21</v>
      </c>
      <c r="B1276" s="4" t="s">
        <v>41</v>
      </c>
      <c r="C1276" s="4" t="s">
        <v>42</v>
      </c>
      <c r="D1276" s="4" t="s">
        <v>45</v>
      </c>
      <c r="E1276" s="4" t="s">
        <v>53</v>
      </c>
      <c r="F1276" s="4" t="s">
        <v>25</v>
      </c>
      <c r="G1276" s="4" t="s">
        <v>25</v>
      </c>
      <c r="H1276" s="4" t="s">
        <v>34</v>
      </c>
      <c r="I1276" s="5">
        <v>44409</v>
      </c>
      <c r="J1276" s="6">
        <v>0</v>
      </c>
      <c r="K1276" s="60">
        <v>0</v>
      </c>
      <c r="L1276" s="6">
        <v>47.573999999999998</v>
      </c>
      <c r="M1276" s="60">
        <v>47.573999999999998</v>
      </c>
      <c r="N1276" s="6">
        <v>47.573999999999998</v>
      </c>
      <c r="O1276" s="60">
        <v>47.573999999999998</v>
      </c>
      <c r="P1276" s="6">
        <v>0</v>
      </c>
      <c r="Q1276" s="4" t="s">
        <v>26</v>
      </c>
      <c r="R1276" s="4">
        <v>0</v>
      </c>
      <c r="S1276" s="6">
        <v>0</v>
      </c>
      <c r="T1276" s="6">
        <v>42</v>
      </c>
      <c r="U1276" s="6">
        <v>66</v>
      </c>
      <c r="V1276" s="60">
        <f>IF(ISERROR(VLOOKUP($S$1276,'TAR FIN'!$A$1:$O$104,15,0)),0,VLOOKUP($S$1276,'TAR FIN'!$A$1:$O$104,15,0))</f>
        <v>0</v>
      </c>
      <c r="W1276" s="60">
        <f>IF(ISERROR(VLOOKUP($T$1276,'TAR FIN'!$A$1:$O$104,15,0)),0,VLOOKUP($T$1276,'TAR FIN'!$A$1:$O$104,15,0))*(1-0.04)</f>
        <v>1276.9824000000001</v>
      </c>
      <c r="X1276" s="60">
        <f>IF(ISERROR(VLOOKUP($U$1276,'TAR FIN'!$A$1:$O$104,15,0)),0,VLOOKUP($U$1276,'TAR FIN'!$A$1:$O$104,15,0))*(1-0.04)</f>
        <v>381.71519999999998</v>
      </c>
      <c r="Y1276" s="60"/>
      <c r="Z1276" s="60">
        <f ca="1">('TUSD BE'!$AM$25+'TUSD BF'!$AM$25+'TUSD CVA'!$AM$25)*1*(1-0.02)</f>
        <v>1318.940588933358</v>
      </c>
      <c r="AA1276" s="60">
        <f>('TE BE'!$AB$7+'TE BF'!$AB$7+'TE CVA'!$AB$7)*1*(1-0.02)</f>
        <v>353.05508603815775</v>
      </c>
      <c r="AB1276" s="6">
        <f>$K$1276*$V$1276</f>
        <v>0</v>
      </c>
      <c r="AC1276" s="6">
        <f>$M$1276*$W$1276</f>
        <v>60751.160697600004</v>
      </c>
      <c r="AD1276" s="6">
        <f>$O$1276*$X$1276</f>
        <v>18159.7189248</v>
      </c>
      <c r="AE1276" s="6">
        <f>$K$1276*$Y$1276</f>
        <v>0</v>
      </c>
      <c r="AF1276" s="6">
        <f ca="1">$M$1276*$Z$1276</f>
        <v>62747.279577915571</v>
      </c>
      <c r="AG1276" s="6">
        <f>$O$1276*$AA$1276</f>
        <v>16796.242663179317</v>
      </c>
    </row>
    <row r="1277" spans="1:33" ht="11.25" customHeight="1" x14ac:dyDescent="0.25">
      <c r="A1277" s="4" t="s">
        <v>28</v>
      </c>
      <c r="B1277" s="4" t="s">
        <v>41</v>
      </c>
      <c r="C1277" s="4" t="s">
        <v>42</v>
      </c>
      <c r="D1277" s="4" t="s">
        <v>45</v>
      </c>
      <c r="E1277" s="4" t="s">
        <v>53</v>
      </c>
      <c r="F1277" s="4" t="s">
        <v>25</v>
      </c>
      <c r="G1277" s="4" t="s">
        <v>25</v>
      </c>
      <c r="H1277" s="4" t="s">
        <v>34</v>
      </c>
      <c r="I1277" s="5">
        <v>44409</v>
      </c>
      <c r="J1277" s="6">
        <v>0</v>
      </c>
      <c r="K1277" s="60">
        <v>0</v>
      </c>
      <c r="L1277" s="6">
        <v>5.0999999999999997E-2</v>
      </c>
      <c r="M1277" s="60">
        <v>5.0999999999999997E-2</v>
      </c>
      <c r="N1277" s="6">
        <v>5.0999999999999997E-2</v>
      </c>
      <c r="O1277" s="60">
        <v>5.0999999999999997E-2</v>
      </c>
      <c r="P1277" s="6">
        <v>0</v>
      </c>
      <c r="Q1277" s="4" t="s">
        <v>26</v>
      </c>
      <c r="R1277" s="4">
        <v>0</v>
      </c>
      <c r="S1277" s="6">
        <v>0</v>
      </c>
      <c r="T1277" s="6">
        <v>42</v>
      </c>
      <c r="U1277" s="6">
        <v>66</v>
      </c>
      <c r="V1277" s="60">
        <f>IF(ISERROR(VLOOKUP($S$1277,'TAR FIN'!$A$1:$O$104,15,0)),0,VLOOKUP($S$1277,'TAR FIN'!$A$1:$O$104,15,0))</f>
        <v>0</v>
      </c>
      <c r="W1277" s="60">
        <f>IF(ISERROR(VLOOKUP($T$1277,'TAR FIN'!$A$1:$O$104,15,0)),0,VLOOKUP($T$1277,'TAR FIN'!$A$1:$O$104,15,0))*(1-0.04)</f>
        <v>1276.9824000000001</v>
      </c>
      <c r="X1277" s="60">
        <f>IF(ISERROR(VLOOKUP($U$1277,'TAR FIN'!$A$1:$O$104,15,0)),0,VLOOKUP($U$1277,'TAR FIN'!$A$1:$O$104,15,0))*(1-0.04)</f>
        <v>381.71519999999998</v>
      </c>
      <c r="Y1277" s="60"/>
      <c r="Z1277" s="60">
        <f ca="1">('TUSD BE'!$AM$25+'TUSD BF'!$AM$25+'TUSD CVA'!$AM$25)*1*(1-0.02)</f>
        <v>1318.940588933358</v>
      </c>
      <c r="AA1277" s="60">
        <f>('TE BE'!$AB$7+'TE BF'!$AB$7+'TE CVA'!$AB$7)*1*(1-0.02)</f>
        <v>353.05508603815775</v>
      </c>
      <c r="AB1277" s="6">
        <f>$K$1277*$V$1277</f>
        <v>0</v>
      </c>
      <c r="AC1277" s="6">
        <f>$M$1277*$W$1277</f>
        <v>65.126102400000008</v>
      </c>
      <c r="AD1277" s="6">
        <f>$O$1277*$X$1277</f>
        <v>19.467475199999999</v>
      </c>
      <c r="AE1277" s="6">
        <f>$K$1277*$Y$1277</f>
        <v>0</v>
      </c>
      <c r="AF1277" s="6">
        <f ca="1">$M$1277*$Z$1277</f>
        <v>67.265970035601256</v>
      </c>
      <c r="AG1277" s="6">
        <f>$O$1277*$AA$1277</f>
        <v>18.005809387946044</v>
      </c>
    </row>
    <row r="1278" spans="1:33" ht="11.25" customHeight="1" x14ac:dyDescent="0.25">
      <c r="A1278" s="4" t="s">
        <v>21</v>
      </c>
      <c r="B1278" s="4" t="s">
        <v>41</v>
      </c>
      <c r="C1278" s="4" t="s">
        <v>42</v>
      </c>
      <c r="D1278" s="4" t="s">
        <v>45</v>
      </c>
      <c r="E1278" s="4" t="s">
        <v>53</v>
      </c>
      <c r="F1278" s="4" t="s">
        <v>25</v>
      </c>
      <c r="G1278" s="4" t="s">
        <v>25</v>
      </c>
      <c r="H1278" s="4" t="s">
        <v>34</v>
      </c>
      <c r="I1278" s="5">
        <v>44440</v>
      </c>
      <c r="J1278" s="6">
        <v>0</v>
      </c>
      <c r="K1278" s="60">
        <v>0</v>
      </c>
      <c r="L1278" s="6">
        <v>53.497</v>
      </c>
      <c r="M1278" s="60">
        <v>53.497</v>
      </c>
      <c r="N1278" s="6">
        <v>53.497</v>
      </c>
      <c r="O1278" s="60">
        <v>53.497</v>
      </c>
      <c r="P1278" s="6">
        <v>0</v>
      </c>
      <c r="Q1278" s="4" t="s">
        <v>26</v>
      </c>
      <c r="R1278" s="4">
        <v>0</v>
      </c>
      <c r="S1278" s="6">
        <v>0</v>
      </c>
      <c r="T1278" s="6">
        <v>42</v>
      </c>
      <c r="U1278" s="6">
        <v>66</v>
      </c>
      <c r="V1278" s="60">
        <f>IF(ISERROR(VLOOKUP($S$1278,'TAR FIN'!$A$1:$O$104,15,0)),0,VLOOKUP($S$1278,'TAR FIN'!$A$1:$O$104,15,0))</f>
        <v>0</v>
      </c>
      <c r="W1278" s="60">
        <f>IF(ISERROR(VLOOKUP($T$1278,'TAR FIN'!$A$1:$O$104,15,0)),0,VLOOKUP($T$1278,'TAR FIN'!$A$1:$O$104,15,0))*(1-0.04)</f>
        <v>1276.9824000000001</v>
      </c>
      <c r="X1278" s="60">
        <f>IF(ISERROR(VLOOKUP($U$1278,'TAR FIN'!$A$1:$O$104,15,0)),0,VLOOKUP($U$1278,'TAR FIN'!$A$1:$O$104,15,0))*(1-0.04)</f>
        <v>381.71519999999998</v>
      </c>
      <c r="Y1278" s="60"/>
      <c r="Z1278" s="60">
        <f ca="1">('TUSD BE'!$AM$25+'TUSD BF'!$AM$25+'TUSD CVA'!$AM$25)*1*(1-0.02)</f>
        <v>1318.940588933358</v>
      </c>
      <c r="AA1278" s="60">
        <f>('TE BE'!$AB$7+'TE BF'!$AB$7+'TE CVA'!$AB$7)*1*(1-0.02)</f>
        <v>353.05508603815775</v>
      </c>
      <c r="AB1278" s="6">
        <f>$K$1278*$V$1278</f>
        <v>0</v>
      </c>
      <c r="AC1278" s="6">
        <f>$M$1278*$W$1278</f>
        <v>68314.727452799998</v>
      </c>
      <c r="AD1278" s="6">
        <f>$O$1278*$X$1278</f>
        <v>20420.618054399998</v>
      </c>
      <c r="AE1278" s="6">
        <f>$K$1278*$Y$1278</f>
        <v>0</v>
      </c>
      <c r="AF1278" s="6">
        <f ca="1">$M$1278*$Z$1278</f>
        <v>70559.364686167857</v>
      </c>
      <c r="AG1278" s="6">
        <f>$O$1278*$AA$1278</f>
        <v>18887.387937783325</v>
      </c>
    </row>
    <row r="1279" spans="1:33" ht="11.25" customHeight="1" x14ac:dyDescent="0.25">
      <c r="A1279" s="4" t="s">
        <v>21</v>
      </c>
      <c r="B1279" s="4" t="s">
        <v>41</v>
      </c>
      <c r="C1279" s="4" t="s">
        <v>42</v>
      </c>
      <c r="D1279" s="4" t="s">
        <v>45</v>
      </c>
      <c r="E1279" s="4" t="s">
        <v>53</v>
      </c>
      <c r="F1279" s="4" t="s">
        <v>25</v>
      </c>
      <c r="G1279" s="4" t="s">
        <v>25</v>
      </c>
      <c r="H1279" s="4" t="s">
        <v>34</v>
      </c>
      <c r="I1279" s="5">
        <v>44470</v>
      </c>
      <c r="J1279" s="6">
        <v>0</v>
      </c>
      <c r="K1279" s="60">
        <v>0</v>
      </c>
      <c r="L1279" s="6">
        <v>83.451999999999998</v>
      </c>
      <c r="M1279" s="60">
        <v>83.451999999999998</v>
      </c>
      <c r="N1279" s="6">
        <v>83.451999999999998</v>
      </c>
      <c r="O1279" s="60">
        <v>83.451999999999998</v>
      </c>
      <c r="P1279" s="6">
        <v>0</v>
      </c>
      <c r="Q1279" s="4" t="s">
        <v>26</v>
      </c>
      <c r="R1279" s="4">
        <v>0</v>
      </c>
      <c r="S1279" s="6">
        <v>0</v>
      </c>
      <c r="T1279" s="6">
        <v>42</v>
      </c>
      <c r="U1279" s="6">
        <v>66</v>
      </c>
      <c r="V1279" s="60">
        <f>IF(ISERROR(VLOOKUP($S$1279,'TAR FIN'!$A$1:$O$104,15,0)),0,VLOOKUP($S$1279,'TAR FIN'!$A$1:$O$104,15,0))</f>
        <v>0</v>
      </c>
      <c r="W1279" s="60">
        <f>IF(ISERROR(VLOOKUP($T$1279,'TAR FIN'!$A$1:$O$104,15,0)),0,VLOOKUP($T$1279,'TAR FIN'!$A$1:$O$104,15,0))*(1-0.04)</f>
        <v>1276.9824000000001</v>
      </c>
      <c r="X1279" s="60">
        <f>IF(ISERROR(VLOOKUP($U$1279,'TAR FIN'!$A$1:$O$104,15,0)),0,VLOOKUP($U$1279,'TAR FIN'!$A$1:$O$104,15,0))*(1-0.04)</f>
        <v>381.71519999999998</v>
      </c>
      <c r="Y1279" s="60"/>
      <c r="Z1279" s="60">
        <f ca="1">('TUSD BE'!$AM$25+'TUSD BF'!$AM$25+'TUSD CVA'!$AM$25)*1*(1-0.02)</f>
        <v>1318.940588933358</v>
      </c>
      <c r="AA1279" s="60">
        <f>('TE BE'!$AB$7+'TE BF'!$AB$7+'TE CVA'!$AB$7)*1*(1-0.02)</f>
        <v>353.05508603815775</v>
      </c>
      <c r="AB1279" s="6">
        <f>$K$1279*$V$1279</f>
        <v>0</v>
      </c>
      <c r="AC1279" s="6">
        <f>$M$1279*$W$1279</f>
        <v>106566.7352448</v>
      </c>
      <c r="AD1279" s="6">
        <f>$O$1279*$X$1279</f>
        <v>31854.896870399996</v>
      </c>
      <c r="AE1279" s="6">
        <f>$K$1279*$Y$1279</f>
        <v>0</v>
      </c>
      <c r="AF1279" s="6">
        <f ca="1">$M$1279*$Z$1279</f>
        <v>110068.23002766659</v>
      </c>
      <c r="AG1279" s="6">
        <f>$O$1279*$AA$1279</f>
        <v>29463.153040056339</v>
      </c>
    </row>
    <row r="1280" spans="1:33" ht="11.25" customHeight="1" x14ac:dyDescent="0.25">
      <c r="A1280" s="4" t="s">
        <v>27</v>
      </c>
      <c r="B1280" s="4" t="s">
        <v>41</v>
      </c>
      <c r="C1280" s="4" t="s">
        <v>42</v>
      </c>
      <c r="D1280" s="4" t="s">
        <v>45</v>
      </c>
      <c r="E1280" s="4" t="s">
        <v>53</v>
      </c>
      <c r="F1280" s="4" t="s">
        <v>25</v>
      </c>
      <c r="G1280" s="4" t="s">
        <v>25</v>
      </c>
      <c r="H1280" s="4" t="s">
        <v>34</v>
      </c>
      <c r="I1280" s="5">
        <v>44470</v>
      </c>
      <c r="J1280" s="6">
        <v>0</v>
      </c>
      <c r="K1280" s="60">
        <v>0</v>
      </c>
      <c r="L1280" s="6">
        <v>-0.56699999999999995</v>
      </c>
      <c r="M1280" s="60">
        <v>-0.56699999999999995</v>
      </c>
      <c r="N1280" s="6">
        <v>-0.56699999999999995</v>
      </c>
      <c r="O1280" s="60">
        <v>-0.56699999999999995</v>
      </c>
      <c r="P1280" s="6">
        <v>0</v>
      </c>
      <c r="Q1280" s="4" t="s">
        <v>26</v>
      </c>
      <c r="R1280" s="4">
        <v>0</v>
      </c>
      <c r="S1280" s="6">
        <v>0</v>
      </c>
      <c r="T1280" s="6">
        <v>42</v>
      </c>
      <c r="U1280" s="6">
        <v>66</v>
      </c>
      <c r="V1280" s="60">
        <f>IF(ISERROR(VLOOKUP($S$1280,'TAR FIN'!$A$1:$O$104,15,0)),0,VLOOKUP($S$1280,'TAR FIN'!$A$1:$O$104,15,0))</f>
        <v>0</v>
      </c>
      <c r="W1280" s="60">
        <f>IF(ISERROR(VLOOKUP($T$1280,'TAR FIN'!$A$1:$O$104,15,0)),0,VLOOKUP($T$1280,'TAR FIN'!$A$1:$O$104,15,0))*(1-0.04)</f>
        <v>1276.9824000000001</v>
      </c>
      <c r="X1280" s="60">
        <f>IF(ISERROR(VLOOKUP($U$1280,'TAR FIN'!$A$1:$O$104,15,0)),0,VLOOKUP($U$1280,'TAR FIN'!$A$1:$O$104,15,0))*(1-0.04)</f>
        <v>381.71519999999998</v>
      </c>
      <c r="Y1280" s="60"/>
      <c r="Z1280" s="60">
        <f ca="1">('TUSD BE'!$AM$25+'TUSD BF'!$AM$25+'TUSD CVA'!$AM$25)*1*(1-0.02)</f>
        <v>1318.940588933358</v>
      </c>
      <c r="AA1280" s="60">
        <f>('TE BE'!$AB$7+'TE BF'!$AB$7+'TE CVA'!$AB$7)*1*(1-0.02)</f>
        <v>353.05508603815775</v>
      </c>
      <c r="AB1280" s="6">
        <f>$K$1280*$V$1280</f>
        <v>0</v>
      </c>
      <c r="AC1280" s="6">
        <f>$M$1280*$W$1280</f>
        <v>-724.04902079999999</v>
      </c>
      <c r="AD1280" s="6">
        <f>$O$1280*$X$1280</f>
        <v>-216.43251839999996</v>
      </c>
      <c r="AE1280" s="6">
        <f>$K$1280*$Y$1280</f>
        <v>0</v>
      </c>
      <c r="AF1280" s="6">
        <f ca="1">$M$1280*$Z$1280</f>
        <v>-747.8393139252139</v>
      </c>
      <c r="AG1280" s="6">
        <f>$O$1280*$AA$1280</f>
        <v>-200.18223378363544</v>
      </c>
    </row>
    <row r="1281" spans="1:33" ht="11.25" customHeight="1" x14ac:dyDescent="0.25">
      <c r="A1281" s="4" t="s">
        <v>21</v>
      </c>
      <c r="B1281" s="4" t="s">
        <v>41</v>
      </c>
      <c r="C1281" s="4" t="s">
        <v>42</v>
      </c>
      <c r="D1281" s="4" t="s">
        <v>45</v>
      </c>
      <c r="E1281" s="4" t="s">
        <v>53</v>
      </c>
      <c r="F1281" s="4" t="s">
        <v>25</v>
      </c>
      <c r="G1281" s="4" t="s">
        <v>25</v>
      </c>
      <c r="H1281" s="4" t="s">
        <v>34</v>
      </c>
      <c r="I1281" s="5">
        <v>44501</v>
      </c>
      <c r="J1281" s="6">
        <v>0</v>
      </c>
      <c r="K1281" s="60">
        <v>0</v>
      </c>
      <c r="L1281" s="6">
        <v>125.313</v>
      </c>
      <c r="M1281" s="60">
        <v>125.313</v>
      </c>
      <c r="N1281" s="6">
        <v>125.313</v>
      </c>
      <c r="O1281" s="60">
        <v>125.313</v>
      </c>
      <c r="P1281" s="6">
        <v>0</v>
      </c>
      <c r="Q1281" s="4" t="s">
        <v>26</v>
      </c>
      <c r="R1281" s="4">
        <v>0</v>
      </c>
      <c r="S1281" s="6">
        <v>0</v>
      </c>
      <c r="T1281" s="6">
        <v>42</v>
      </c>
      <c r="U1281" s="6">
        <v>66</v>
      </c>
      <c r="V1281" s="60">
        <f>IF(ISERROR(VLOOKUP($S$1281,'TAR FIN'!$A$1:$O$104,15,0)),0,VLOOKUP($S$1281,'TAR FIN'!$A$1:$O$104,15,0))</f>
        <v>0</v>
      </c>
      <c r="W1281" s="60">
        <f>IF(ISERROR(VLOOKUP($T$1281,'TAR FIN'!$A$1:$O$104,15,0)),0,VLOOKUP($T$1281,'TAR FIN'!$A$1:$O$104,15,0))*(1-0.04)</f>
        <v>1276.9824000000001</v>
      </c>
      <c r="X1281" s="60">
        <f>IF(ISERROR(VLOOKUP($U$1281,'TAR FIN'!$A$1:$O$104,15,0)),0,VLOOKUP($U$1281,'TAR FIN'!$A$1:$O$104,15,0))*(1-0.04)</f>
        <v>381.71519999999998</v>
      </c>
      <c r="Y1281" s="60"/>
      <c r="Z1281" s="60">
        <f ca="1">('TUSD BE'!$AM$25+'TUSD BF'!$AM$25+'TUSD CVA'!$AM$25)*1*(1-0.02)</f>
        <v>1318.940588933358</v>
      </c>
      <c r="AA1281" s="60">
        <f>('TE BE'!$AB$7+'TE BF'!$AB$7+'TE CVA'!$AB$7)*1*(1-0.02)</f>
        <v>353.05508603815775</v>
      </c>
      <c r="AB1281" s="6">
        <f>$K$1281*$V$1281</f>
        <v>0</v>
      </c>
      <c r="AC1281" s="6">
        <f>$M$1281*$W$1281</f>
        <v>160022.49549120001</v>
      </c>
      <c r="AD1281" s="6">
        <f>$O$1281*$X$1281</f>
        <v>47833.8768576</v>
      </c>
      <c r="AE1281" s="6">
        <f>$K$1281*$Y$1281</f>
        <v>0</v>
      </c>
      <c r="AF1281" s="6">
        <f ca="1">$M$1281*$Z$1281</f>
        <v>165280.4020210059</v>
      </c>
      <c r="AG1281" s="6">
        <f>$O$1281*$AA$1281</f>
        <v>44242.391996699662</v>
      </c>
    </row>
    <row r="1282" spans="1:33" ht="11.25" customHeight="1" x14ac:dyDescent="0.25">
      <c r="A1282" s="4" t="s">
        <v>27</v>
      </c>
      <c r="B1282" s="4" t="s">
        <v>41</v>
      </c>
      <c r="C1282" s="4" t="s">
        <v>42</v>
      </c>
      <c r="D1282" s="4" t="s">
        <v>45</v>
      </c>
      <c r="E1282" s="4" t="s">
        <v>53</v>
      </c>
      <c r="F1282" s="4" t="s">
        <v>25</v>
      </c>
      <c r="G1282" s="4" t="s">
        <v>25</v>
      </c>
      <c r="H1282" s="4" t="s">
        <v>34</v>
      </c>
      <c r="I1282" s="5">
        <v>44501</v>
      </c>
      <c r="J1282" s="6">
        <v>0</v>
      </c>
      <c r="K1282" s="60">
        <v>0</v>
      </c>
      <c r="L1282" s="6">
        <v>-10.221</v>
      </c>
      <c r="M1282" s="60">
        <v>-10.221</v>
      </c>
      <c r="N1282" s="6">
        <v>-10.221</v>
      </c>
      <c r="O1282" s="60">
        <v>-10.221</v>
      </c>
      <c r="P1282" s="6">
        <v>0</v>
      </c>
      <c r="Q1282" s="4" t="s">
        <v>26</v>
      </c>
      <c r="R1282" s="4">
        <v>0</v>
      </c>
      <c r="S1282" s="6">
        <v>0</v>
      </c>
      <c r="T1282" s="6">
        <v>42</v>
      </c>
      <c r="U1282" s="6">
        <v>66</v>
      </c>
      <c r="V1282" s="60">
        <f>IF(ISERROR(VLOOKUP($S$1282,'TAR FIN'!$A$1:$O$104,15,0)),0,VLOOKUP($S$1282,'TAR FIN'!$A$1:$O$104,15,0))</f>
        <v>0</v>
      </c>
      <c r="W1282" s="60">
        <f>IF(ISERROR(VLOOKUP($T$1282,'TAR FIN'!$A$1:$O$104,15,0)),0,VLOOKUP($T$1282,'TAR FIN'!$A$1:$O$104,15,0))*(1-0.04)</f>
        <v>1276.9824000000001</v>
      </c>
      <c r="X1282" s="60">
        <f>IF(ISERROR(VLOOKUP($U$1282,'TAR FIN'!$A$1:$O$104,15,0)),0,VLOOKUP($U$1282,'TAR FIN'!$A$1:$O$104,15,0))*(1-0.04)</f>
        <v>381.71519999999998</v>
      </c>
      <c r="Y1282" s="60"/>
      <c r="Z1282" s="60">
        <f ca="1">('TUSD BE'!$AM$25+'TUSD BF'!$AM$25+'TUSD CVA'!$AM$25)*1*(1-0.02)</f>
        <v>1318.940588933358</v>
      </c>
      <c r="AA1282" s="60">
        <f>('TE BE'!$AB$7+'TE BF'!$AB$7+'TE CVA'!$AB$7)*1*(1-0.02)</f>
        <v>353.05508603815775</v>
      </c>
      <c r="AB1282" s="6">
        <f>$K$1282*$V$1282</f>
        <v>0</v>
      </c>
      <c r="AC1282" s="6">
        <f>$M$1282*$W$1282</f>
        <v>-13052.037110400001</v>
      </c>
      <c r="AD1282" s="6">
        <f>$O$1282*$X$1282</f>
        <v>-3901.5110591999996</v>
      </c>
      <c r="AE1282" s="6">
        <f>$K$1282*$Y$1282</f>
        <v>0</v>
      </c>
      <c r="AF1282" s="6">
        <f ca="1">$M$1282*$Z$1282</f>
        <v>-13480.891759487851</v>
      </c>
      <c r="AG1282" s="6">
        <f>$O$1282*$AA$1282</f>
        <v>-3608.5760343960105</v>
      </c>
    </row>
    <row r="1283" spans="1:33" ht="11.25" customHeight="1" x14ac:dyDescent="0.25">
      <c r="A1283" s="4" t="s">
        <v>28</v>
      </c>
      <c r="B1283" s="4" t="s">
        <v>41</v>
      </c>
      <c r="C1283" s="4" t="s">
        <v>42</v>
      </c>
      <c r="D1283" s="4" t="s">
        <v>45</v>
      </c>
      <c r="E1283" s="4" t="s">
        <v>53</v>
      </c>
      <c r="F1283" s="4" t="s">
        <v>25</v>
      </c>
      <c r="G1283" s="4" t="s">
        <v>25</v>
      </c>
      <c r="H1283" s="4" t="s">
        <v>34</v>
      </c>
      <c r="I1283" s="5">
        <v>44501</v>
      </c>
      <c r="J1283" s="6">
        <v>0</v>
      </c>
      <c r="K1283" s="60">
        <v>0</v>
      </c>
      <c r="L1283" s="6">
        <v>0.41</v>
      </c>
      <c r="M1283" s="60">
        <v>0.41</v>
      </c>
      <c r="N1283" s="6">
        <v>0.41</v>
      </c>
      <c r="O1283" s="60">
        <v>0.41</v>
      </c>
      <c r="P1283" s="6">
        <v>0</v>
      </c>
      <c r="Q1283" s="4" t="s">
        <v>26</v>
      </c>
      <c r="R1283" s="4">
        <v>0</v>
      </c>
      <c r="S1283" s="6">
        <v>0</v>
      </c>
      <c r="T1283" s="6">
        <v>42</v>
      </c>
      <c r="U1283" s="6">
        <v>66</v>
      </c>
      <c r="V1283" s="60">
        <f>IF(ISERROR(VLOOKUP($S$1283,'TAR FIN'!$A$1:$O$104,15,0)),0,VLOOKUP($S$1283,'TAR FIN'!$A$1:$O$104,15,0))</f>
        <v>0</v>
      </c>
      <c r="W1283" s="60">
        <f>IF(ISERROR(VLOOKUP($T$1283,'TAR FIN'!$A$1:$O$104,15,0)),0,VLOOKUP($T$1283,'TAR FIN'!$A$1:$O$104,15,0))*(1-0.04)</f>
        <v>1276.9824000000001</v>
      </c>
      <c r="X1283" s="60">
        <f>IF(ISERROR(VLOOKUP($U$1283,'TAR FIN'!$A$1:$O$104,15,0)),0,VLOOKUP($U$1283,'TAR FIN'!$A$1:$O$104,15,0))*(1-0.04)</f>
        <v>381.71519999999998</v>
      </c>
      <c r="Y1283" s="60"/>
      <c r="Z1283" s="60">
        <f ca="1">('TUSD BE'!$AM$25+'TUSD BF'!$AM$25+'TUSD CVA'!$AM$25)*1*(1-0.02)</f>
        <v>1318.940588933358</v>
      </c>
      <c r="AA1283" s="60">
        <f>('TE BE'!$AB$7+'TE BF'!$AB$7+'TE CVA'!$AB$7)*1*(1-0.02)</f>
        <v>353.05508603815775</v>
      </c>
      <c r="AB1283" s="6">
        <f>$K$1283*$V$1283</f>
        <v>0</v>
      </c>
      <c r="AC1283" s="6">
        <f>$M$1283*$W$1283</f>
        <v>523.56278399999997</v>
      </c>
      <c r="AD1283" s="6">
        <f>$O$1283*$X$1283</f>
        <v>156.503232</v>
      </c>
      <c r="AE1283" s="6">
        <f>$K$1283*$Y$1283</f>
        <v>0</v>
      </c>
      <c r="AF1283" s="6">
        <f ca="1">$M$1283*$Z$1283</f>
        <v>540.76564146267674</v>
      </c>
      <c r="AG1283" s="6">
        <f>$O$1283*$AA$1283</f>
        <v>144.75258527564466</v>
      </c>
    </row>
    <row r="1284" spans="1:33" ht="11.25" customHeight="1" x14ac:dyDescent="0.25">
      <c r="A1284" s="4" t="s">
        <v>28</v>
      </c>
      <c r="B1284" s="4" t="s">
        <v>41</v>
      </c>
      <c r="C1284" s="4" t="s">
        <v>42</v>
      </c>
      <c r="D1284" s="4" t="s">
        <v>45</v>
      </c>
      <c r="E1284" s="4" t="s">
        <v>53</v>
      </c>
      <c r="F1284" s="4" t="s">
        <v>25</v>
      </c>
      <c r="G1284" s="4" t="s">
        <v>25</v>
      </c>
      <c r="H1284" s="4" t="s">
        <v>34</v>
      </c>
      <c r="I1284" s="5">
        <v>44501</v>
      </c>
      <c r="J1284" s="6">
        <v>0</v>
      </c>
      <c r="K1284" s="60">
        <v>0</v>
      </c>
      <c r="L1284" s="6">
        <v>0.32800000000000001</v>
      </c>
      <c r="M1284" s="60">
        <v>0.32800000000000001</v>
      </c>
      <c r="N1284" s="6">
        <v>0.32800000000000001</v>
      </c>
      <c r="O1284" s="60">
        <v>0.32800000000000001</v>
      </c>
      <c r="P1284" s="6">
        <v>0</v>
      </c>
      <c r="Q1284" s="4" t="s">
        <v>26</v>
      </c>
      <c r="R1284" s="4">
        <v>0</v>
      </c>
      <c r="S1284" s="6">
        <v>0</v>
      </c>
      <c r="T1284" s="6">
        <v>42</v>
      </c>
      <c r="U1284" s="6">
        <v>66</v>
      </c>
      <c r="V1284" s="60">
        <f>IF(ISERROR(VLOOKUP($S$1284,'TAR FIN'!$A$1:$O$104,15,0)),0,VLOOKUP($S$1284,'TAR FIN'!$A$1:$O$104,15,0))</f>
        <v>0</v>
      </c>
      <c r="W1284" s="60">
        <f>IF(ISERROR(VLOOKUP($T$1284,'TAR FIN'!$A$1:$O$104,15,0)),0,VLOOKUP($T$1284,'TAR FIN'!$A$1:$O$104,15,0))*(1-0.04)</f>
        <v>1276.9824000000001</v>
      </c>
      <c r="X1284" s="60">
        <f>IF(ISERROR(VLOOKUP($U$1284,'TAR FIN'!$A$1:$O$104,15,0)),0,VLOOKUP($U$1284,'TAR FIN'!$A$1:$O$104,15,0))*(1-0.04)</f>
        <v>381.71519999999998</v>
      </c>
      <c r="Y1284" s="60"/>
      <c r="Z1284" s="60">
        <f ca="1">('TUSD BE'!$AM$25+'TUSD BF'!$AM$25+'TUSD CVA'!$AM$25)*1*(1-0.02)</f>
        <v>1318.940588933358</v>
      </c>
      <c r="AA1284" s="60">
        <f>('TE BE'!$AB$7+'TE BF'!$AB$7+'TE CVA'!$AB$7)*1*(1-0.02)</f>
        <v>353.05508603815775</v>
      </c>
      <c r="AB1284" s="6">
        <f>$K$1284*$V$1284</f>
        <v>0</v>
      </c>
      <c r="AC1284" s="6">
        <f>$M$1284*$W$1284</f>
        <v>418.85022720000006</v>
      </c>
      <c r="AD1284" s="6">
        <f>$O$1284*$X$1284</f>
        <v>125.20258560000001</v>
      </c>
      <c r="AE1284" s="6">
        <f>$K$1284*$Y$1284</f>
        <v>0</v>
      </c>
      <c r="AF1284" s="6">
        <f ca="1">$M$1284*$Z$1284</f>
        <v>432.61251317014143</v>
      </c>
      <c r="AG1284" s="6">
        <f>$O$1284*$AA$1284</f>
        <v>115.80206822051575</v>
      </c>
    </row>
    <row r="1285" spans="1:33" ht="11.25" customHeight="1" x14ac:dyDescent="0.25">
      <c r="A1285" s="4" t="s">
        <v>21</v>
      </c>
      <c r="B1285" s="4" t="s">
        <v>41</v>
      </c>
      <c r="C1285" s="4" t="s">
        <v>42</v>
      </c>
      <c r="D1285" s="4" t="s">
        <v>45</v>
      </c>
      <c r="E1285" s="4" t="s">
        <v>53</v>
      </c>
      <c r="F1285" s="4" t="s">
        <v>25</v>
      </c>
      <c r="G1285" s="4" t="s">
        <v>25</v>
      </c>
      <c r="H1285" s="4" t="s">
        <v>34</v>
      </c>
      <c r="I1285" s="5">
        <v>44531</v>
      </c>
      <c r="J1285" s="6">
        <v>0</v>
      </c>
      <c r="K1285" s="60">
        <v>0</v>
      </c>
      <c r="L1285" s="6">
        <v>150.51900000000001</v>
      </c>
      <c r="M1285" s="60">
        <v>150.51900000000001</v>
      </c>
      <c r="N1285" s="6">
        <v>150.51900000000001</v>
      </c>
      <c r="O1285" s="60">
        <v>150.51900000000001</v>
      </c>
      <c r="P1285" s="6">
        <v>0</v>
      </c>
      <c r="Q1285" s="4" t="s">
        <v>26</v>
      </c>
      <c r="R1285" s="4">
        <v>0</v>
      </c>
      <c r="S1285" s="6">
        <v>0</v>
      </c>
      <c r="T1285" s="6">
        <v>42</v>
      </c>
      <c r="U1285" s="6">
        <v>66</v>
      </c>
      <c r="V1285" s="60">
        <f>IF(ISERROR(VLOOKUP($S$1285,'TAR FIN'!$A$1:$O$104,15,0)),0,VLOOKUP($S$1285,'TAR FIN'!$A$1:$O$104,15,0))</f>
        <v>0</v>
      </c>
      <c r="W1285" s="60">
        <f>IF(ISERROR(VLOOKUP($T$1285,'TAR FIN'!$A$1:$O$104,15,0)),0,VLOOKUP($T$1285,'TAR FIN'!$A$1:$O$104,15,0))*(1-0.04)</f>
        <v>1276.9824000000001</v>
      </c>
      <c r="X1285" s="60">
        <f>IF(ISERROR(VLOOKUP($U$1285,'TAR FIN'!$A$1:$O$104,15,0)),0,VLOOKUP($U$1285,'TAR FIN'!$A$1:$O$104,15,0))*(1-0.04)</f>
        <v>381.71519999999998</v>
      </c>
      <c r="Y1285" s="60"/>
      <c r="Z1285" s="60">
        <f ca="1">('TUSD BE'!$AM$25+'TUSD BF'!$AM$25+'TUSD CVA'!$AM$25)*1*(1-0.02)</f>
        <v>1318.940588933358</v>
      </c>
      <c r="AA1285" s="60">
        <f>('TE BE'!$AB$7+'TE BF'!$AB$7+'TE CVA'!$AB$7)*1*(1-0.02)</f>
        <v>353.05508603815775</v>
      </c>
      <c r="AB1285" s="6">
        <f>$K$1285*$V$1285</f>
        <v>0</v>
      </c>
      <c r="AC1285" s="6">
        <f>$M$1285*$W$1285</f>
        <v>192210.11386560003</v>
      </c>
      <c r="AD1285" s="6">
        <f>$O$1285*$X$1285</f>
        <v>57455.390188799996</v>
      </c>
      <c r="AE1285" s="6">
        <f>$K$1285*$Y$1285</f>
        <v>0</v>
      </c>
      <c r="AF1285" s="6">
        <f ca="1">$M$1285*$Z$1285</f>
        <v>198525.61850566012</v>
      </c>
      <c r="AG1285" s="6">
        <f>$O$1285*$AA$1285</f>
        <v>53141.498495377469</v>
      </c>
    </row>
    <row r="1286" spans="1:33" ht="11.25" customHeight="1" x14ac:dyDescent="0.25">
      <c r="A1286" s="4" t="s">
        <v>27</v>
      </c>
      <c r="B1286" s="4" t="s">
        <v>41</v>
      </c>
      <c r="C1286" s="4" t="s">
        <v>42</v>
      </c>
      <c r="D1286" s="4" t="s">
        <v>45</v>
      </c>
      <c r="E1286" s="4" t="s">
        <v>53</v>
      </c>
      <c r="F1286" s="4" t="s">
        <v>25</v>
      </c>
      <c r="G1286" s="4" t="s">
        <v>25</v>
      </c>
      <c r="H1286" s="4" t="s">
        <v>34</v>
      </c>
      <c r="I1286" s="5">
        <v>44531</v>
      </c>
      <c r="J1286" s="6">
        <v>0</v>
      </c>
      <c r="K1286" s="60">
        <v>0</v>
      </c>
      <c r="L1286" s="6">
        <v>-5.5469999999999997</v>
      </c>
      <c r="M1286" s="60">
        <v>-5.5469999999999997</v>
      </c>
      <c r="N1286" s="6">
        <v>-5.5469999999999997</v>
      </c>
      <c r="O1286" s="60">
        <v>-5.5469999999999997</v>
      </c>
      <c r="P1286" s="6">
        <v>0</v>
      </c>
      <c r="Q1286" s="4" t="s">
        <v>26</v>
      </c>
      <c r="R1286" s="4">
        <v>0</v>
      </c>
      <c r="S1286" s="6">
        <v>0</v>
      </c>
      <c r="T1286" s="6">
        <v>42</v>
      </c>
      <c r="U1286" s="6">
        <v>66</v>
      </c>
      <c r="V1286" s="60">
        <f>IF(ISERROR(VLOOKUP($S$1286,'TAR FIN'!$A$1:$O$104,15,0)),0,VLOOKUP($S$1286,'TAR FIN'!$A$1:$O$104,15,0))</f>
        <v>0</v>
      </c>
      <c r="W1286" s="60">
        <f>IF(ISERROR(VLOOKUP($T$1286,'TAR FIN'!$A$1:$O$104,15,0)),0,VLOOKUP($T$1286,'TAR FIN'!$A$1:$O$104,15,0))*(1-0.04)</f>
        <v>1276.9824000000001</v>
      </c>
      <c r="X1286" s="60">
        <f>IF(ISERROR(VLOOKUP($U$1286,'TAR FIN'!$A$1:$O$104,15,0)),0,VLOOKUP($U$1286,'TAR FIN'!$A$1:$O$104,15,0))*(1-0.04)</f>
        <v>381.71519999999998</v>
      </c>
      <c r="Y1286" s="60"/>
      <c r="Z1286" s="60">
        <f ca="1">('TUSD BE'!$AM$25+'TUSD BF'!$AM$25+'TUSD CVA'!$AM$25)*1*(1-0.02)</f>
        <v>1318.940588933358</v>
      </c>
      <c r="AA1286" s="60">
        <f>('TE BE'!$AB$7+'TE BF'!$AB$7+'TE CVA'!$AB$7)*1*(1-0.02)</f>
        <v>353.05508603815775</v>
      </c>
      <c r="AB1286" s="6">
        <f>$K$1286*$V$1286</f>
        <v>0</v>
      </c>
      <c r="AC1286" s="6">
        <f>$M$1286*$W$1286</f>
        <v>-7083.4213728000004</v>
      </c>
      <c r="AD1286" s="6">
        <f>$O$1286*$X$1286</f>
        <v>-2117.3742143999998</v>
      </c>
      <c r="AE1286" s="6">
        <f>$K$1286*$Y$1286</f>
        <v>0</v>
      </c>
      <c r="AF1286" s="6">
        <f ca="1">$M$1286*$Z$1286</f>
        <v>-7316.1634468133361</v>
      </c>
      <c r="AG1286" s="6">
        <f>$O$1286*$AA$1286</f>
        <v>-1958.3965622536609</v>
      </c>
    </row>
    <row r="1287" spans="1:33" ht="11.25" customHeight="1" x14ac:dyDescent="0.25">
      <c r="A1287" s="4" t="s">
        <v>28</v>
      </c>
      <c r="B1287" s="4" t="s">
        <v>41</v>
      </c>
      <c r="C1287" s="4" t="s">
        <v>42</v>
      </c>
      <c r="D1287" s="4" t="s">
        <v>45</v>
      </c>
      <c r="E1287" s="4" t="s">
        <v>53</v>
      </c>
      <c r="F1287" s="4" t="s">
        <v>25</v>
      </c>
      <c r="G1287" s="4" t="s">
        <v>25</v>
      </c>
      <c r="H1287" s="4" t="s">
        <v>34</v>
      </c>
      <c r="I1287" s="5">
        <v>44531</v>
      </c>
      <c r="J1287" s="6">
        <v>0</v>
      </c>
      <c r="K1287" s="60">
        <v>0</v>
      </c>
      <c r="L1287" s="6">
        <v>8.2000000000000003E-2</v>
      </c>
      <c r="M1287" s="60">
        <v>8.2000000000000003E-2</v>
      </c>
      <c r="N1287" s="6">
        <v>8.2000000000000003E-2</v>
      </c>
      <c r="O1287" s="60">
        <v>8.2000000000000003E-2</v>
      </c>
      <c r="P1287" s="6">
        <v>0</v>
      </c>
      <c r="Q1287" s="4" t="s">
        <v>26</v>
      </c>
      <c r="R1287" s="4">
        <v>0</v>
      </c>
      <c r="S1287" s="6">
        <v>0</v>
      </c>
      <c r="T1287" s="6">
        <v>42</v>
      </c>
      <c r="U1287" s="6">
        <v>66</v>
      </c>
      <c r="V1287" s="60">
        <f>IF(ISERROR(VLOOKUP($S$1287,'TAR FIN'!$A$1:$O$104,15,0)),0,VLOOKUP($S$1287,'TAR FIN'!$A$1:$O$104,15,0))</f>
        <v>0</v>
      </c>
      <c r="W1287" s="60">
        <f>IF(ISERROR(VLOOKUP($T$1287,'TAR FIN'!$A$1:$O$104,15,0)),0,VLOOKUP($T$1287,'TAR FIN'!$A$1:$O$104,15,0))*(1-0.04)</f>
        <v>1276.9824000000001</v>
      </c>
      <c r="X1287" s="60">
        <f>IF(ISERROR(VLOOKUP($U$1287,'TAR FIN'!$A$1:$O$104,15,0)),0,VLOOKUP($U$1287,'TAR FIN'!$A$1:$O$104,15,0))*(1-0.04)</f>
        <v>381.71519999999998</v>
      </c>
      <c r="Y1287" s="60"/>
      <c r="Z1287" s="60">
        <f ca="1">('TUSD BE'!$AM$25+'TUSD BF'!$AM$25+'TUSD CVA'!$AM$25)*1*(1-0.02)</f>
        <v>1318.940588933358</v>
      </c>
      <c r="AA1287" s="60">
        <f>('TE BE'!$AB$7+'TE BF'!$AB$7+'TE CVA'!$AB$7)*1*(1-0.02)</f>
        <v>353.05508603815775</v>
      </c>
      <c r="AB1287" s="6">
        <f>$K$1287*$V$1287</f>
        <v>0</v>
      </c>
      <c r="AC1287" s="6">
        <f>$M$1287*$W$1287</f>
        <v>104.71255680000002</v>
      </c>
      <c r="AD1287" s="6">
        <f>$O$1287*$X$1287</f>
        <v>31.300646400000002</v>
      </c>
      <c r="AE1287" s="6">
        <f>$K$1287*$Y$1287</f>
        <v>0</v>
      </c>
      <c r="AF1287" s="6">
        <f ca="1">$M$1287*$Z$1287</f>
        <v>108.15312829253536</v>
      </c>
      <c r="AG1287" s="6">
        <f>$O$1287*$AA$1287</f>
        <v>28.950517055128937</v>
      </c>
    </row>
    <row r="1288" spans="1:33" ht="11.25" customHeight="1" x14ac:dyDescent="0.25">
      <c r="A1288" s="4" t="s">
        <v>21</v>
      </c>
      <c r="B1288" s="4" t="s">
        <v>41</v>
      </c>
      <c r="C1288" s="4" t="s">
        <v>42</v>
      </c>
      <c r="D1288" s="4" t="s">
        <v>45</v>
      </c>
      <c r="E1288" s="4" t="s">
        <v>53</v>
      </c>
      <c r="F1288" s="4" t="s">
        <v>25</v>
      </c>
      <c r="G1288" s="4" t="s">
        <v>25</v>
      </c>
      <c r="H1288" s="4" t="s">
        <v>34</v>
      </c>
      <c r="I1288" s="5">
        <v>44562</v>
      </c>
      <c r="J1288" s="6">
        <v>0</v>
      </c>
      <c r="K1288" s="60">
        <v>0</v>
      </c>
      <c r="L1288" s="6">
        <v>120.78400000000001</v>
      </c>
      <c r="M1288" s="60">
        <v>120.78400000000001</v>
      </c>
      <c r="N1288" s="6">
        <v>120.78400000000001</v>
      </c>
      <c r="O1288" s="60">
        <v>120.78400000000001</v>
      </c>
      <c r="P1288" s="6">
        <v>0</v>
      </c>
      <c r="Q1288" s="4" t="s">
        <v>26</v>
      </c>
      <c r="R1288" s="4">
        <v>0</v>
      </c>
      <c r="S1288" s="6">
        <v>0</v>
      </c>
      <c r="T1288" s="6">
        <v>42</v>
      </c>
      <c r="U1288" s="6">
        <v>66</v>
      </c>
      <c r="V1288" s="60">
        <f>IF(ISERROR(VLOOKUP($S$1288,'TAR FIN'!$A$1:$O$104,15,0)),0,VLOOKUP($S$1288,'TAR FIN'!$A$1:$O$104,15,0))</f>
        <v>0</v>
      </c>
      <c r="W1288" s="60">
        <f>IF(ISERROR(VLOOKUP($T$1288,'TAR FIN'!$A$1:$O$104,15,0)),0,VLOOKUP($T$1288,'TAR FIN'!$A$1:$O$104,15,0))*(1-0.04)</f>
        <v>1276.9824000000001</v>
      </c>
      <c r="X1288" s="60">
        <f>IF(ISERROR(VLOOKUP($U$1288,'TAR FIN'!$A$1:$O$104,15,0)),0,VLOOKUP($U$1288,'TAR FIN'!$A$1:$O$104,15,0))*(1-0.04)</f>
        <v>381.71519999999998</v>
      </c>
      <c r="Y1288" s="60"/>
      <c r="Z1288" s="60">
        <f ca="1">('TUSD BE'!$AM$25+'TUSD BF'!$AM$25+'TUSD CVA'!$AM$25)*1*(1-0.02)</f>
        <v>1318.940588933358</v>
      </c>
      <c r="AA1288" s="60">
        <f>('TE BE'!$AB$7+'TE BF'!$AB$7+'TE CVA'!$AB$7)*1*(1-0.02)</f>
        <v>353.05508603815775</v>
      </c>
      <c r="AB1288" s="6">
        <f>$K$1288*$V$1288</f>
        <v>0</v>
      </c>
      <c r="AC1288" s="6">
        <f>$M$1288*$W$1288</f>
        <v>154239.04220160001</v>
      </c>
      <c r="AD1288" s="6">
        <f>$O$1288*$X$1288</f>
        <v>46105.088716799997</v>
      </c>
      <c r="AE1288" s="6">
        <f>$K$1288*$Y$1288</f>
        <v>0</v>
      </c>
      <c r="AF1288" s="6">
        <f ca="1">$M$1288*$Z$1288</f>
        <v>159306.92009372672</v>
      </c>
      <c r="AG1288" s="6">
        <f>$O$1288*$AA$1288</f>
        <v>42643.405512032848</v>
      </c>
    </row>
    <row r="1289" spans="1:33" ht="11.25" customHeight="1" x14ac:dyDescent="0.25">
      <c r="A1289" s="4" t="s">
        <v>27</v>
      </c>
      <c r="B1289" s="4" t="s">
        <v>41</v>
      </c>
      <c r="C1289" s="4" t="s">
        <v>42</v>
      </c>
      <c r="D1289" s="4" t="s">
        <v>45</v>
      </c>
      <c r="E1289" s="4" t="s">
        <v>53</v>
      </c>
      <c r="F1289" s="4" t="s">
        <v>25</v>
      </c>
      <c r="G1289" s="4" t="s">
        <v>25</v>
      </c>
      <c r="H1289" s="4" t="s">
        <v>34</v>
      </c>
      <c r="I1289" s="5">
        <v>44562</v>
      </c>
      <c r="J1289" s="6">
        <v>0</v>
      </c>
      <c r="K1289" s="60">
        <v>0</v>
      </c>
      <c r="L1289" s="6">
        <v>-1.861</v>
      </c>
      <c r="M1289" s="60">
        <v>-1.861</v>
      </c>
      <c r="N1289" s="6">
        <v>-1.861</v>
      </c>
      <c r="O1289" s="60">
        <v>-1.861</v>
      </c>
      <c r="P1289" s="6">
        <v>0</v>
      </c>
      <c r="Q1289" s="4" t="s">
        <v>26</v>
      </c>
      <c r="R1289" s="4">
        <v>0</v>
      </c>
      <c r="S1289" s="6">
        <v>0</v>
      </c>
      <c r="T1289" s="6">
        <v>42</v>
      </c>
      <c r="U1289" s="6">
        <v>66</v>
      </c>
      <c r="V1289" s="60">
        <f>IF(ISERROR(VLOOKUP($S$1289,'TAR FIN'!$A$1:$O$104,15,0)),0,VLOOKUP($S$1289,'TAR FIN'!$A$1:$O$104,15,0))</f>
        <v>0</v>
      </c>
      <c r="W1289" s="60">
        <f>IF(ISERROR(VLOOKUP($T$1289,'TAR FIN'!$A$1:$O$104,15,0)),0,VLOOKUP($T$1289,'TAR FIN'!$A$1:$O$104,15,0))*(1-0.04)</f>
        <v>1276.9824000000001</v>
      </c>
      <c r="X1289" s="60">
        <f>IF(ISERROR(VLOOKUP($U$1289,'TAR FIN'!$A$1:$O$104,15,0)),0,VLOOKUP($U$1289,'TAR FIN'!$A$1:$O$104,15,0))*(1-0.04)</f>
        <v>381.71519999999998</v>
      </c>
      <c r="Y1289" s="60"/>
      <c r="Z1289" s="60">
        <f ca="1">('TUSD BE'!$AM$25+'TUSD BF'!$AM$25+'TUSD CVA'!$AM$25)*1*(1-0.02)</f>
        <v>1318.940588933358</v>
      </c>
      <c r="AA1289" s="60">
        <f>('TE BE'!$AB$7+'TE BF'!$AB$7+'TE CVA'!$AB$7)*1*(1-0.02)</f>
        <v>353.05508603815775</v>
      </c>
      <c r="AB1289" s="6">
        <f>$K$1289*$V$1289</f>
        <v>0</v>
      </c>
      <c r="AC1289" s="6">
        <f>$M$1289*$W$1289</f>
        <v>-2376.4642464000003</v>
      </c>
      <c r="AD1289" s="6">
        <f>$O$1289*$X$1289</f>
        <v>-710.37198719999992</v>
      </c>
      <c r="AE1289" s="6">
        <f>$K$1289*$Y$1289</f>
        <v>0</v>
      </c>
      <c r="AF1289" s="6">
        <f ca="1">$M$1289*$Z$1289</f>
        <v>-2454.5484360049791</v>
      </c>
      <c r="AG1289" s="6">
        <f>$O$1289*$AA$1289</f>
        <v>-657.03551511701153</v>
      </c>
    </row>
    <row r="1290" spans="1:33" ht="11.25" customHeight="1" x14ac:dyDescent="0.25">
      <c r="A1290" s="4" t="s">
        <v>21</v>
      </c>
      <c r="B1290" s="4" t="s">
        <v>41</v>
      </c>
      <c r="C1290" s="4" t="s">
        <v>42</v>
      </c>
      <c r="D1290" s="4" t="s">
        <v>45</v>
      </c>
      <c r="E1290" s="4" t="s">
        <v>53</v>
      </c>
      <c r="F1290" s="4" t="s">
        <v>25</v>
      </c>
      <c r="G1290" s="4" t="s">
        <v>25</v>
      </c>
      <c r="H1290" s="4" t="s">
        <v>34</v>
      </c>
      <c r="I1290" s="5">
        <v>44593</v>
      </c>
      <c r="J1290" s="6">
        <v>0</v>
      </c>
      <c r="K1290" s="60">
        <v>0</v>
      </c>
      <c r="L1290" s="6">
        <v>97.376999999999995</v>
      </c>
      <c r="M1290" s="60">
        <v>97.376999999999995</v>
      </c>
      <c r="N1290" s="6">
        <v>97.376999999999995</v>
      </c>
      <c r="O1290" s="60">
        <v>97.376999999999995</v>
      </c>
      <c r="P1290" s="6">
        <v>0</v>
      </c>
      <c r="Q1290" s="4" t="s">
        <v>26</v>
      </c>
      <c r="R1290" s="4">
        <v>0</v>
      </c>
      <c r="S1290" s="6">
        <v>0</v>
      </c>
      <c r="T1290" s="6">
        <v>42</v>
      </c>
      <c r="U1290" s="6">
        <v>66</v>
      </c>
      <c r="V1290" s="60">
        <f>IF(ISERROR(VLOOKUP($S$1290,'TAR FIN'!$A$1:$O$104,15,0)),0,VLOOKUP($S$1290,'TAR FIN'!$A$1:$O$104,15,0))</f>
        <v>0</v>
      </c>
      <c r="W1290" s="60">
        <f>IF(ISERROR(VLOOKUP($T$1290,'TAR FIN'!$A$1:$O$104,15,0)),0,VLOOKUP($T$1290,'TAR FIN'!$A$1:$O$104,15,0))*(1-0.04)</f>
        <v>1276.9824000000001</v>
      </c>
      <c r="X1290" s="60">
        <f>IF(ISERROR(VLOOKUP($U$1290,'TAR FIN'!$A$1:$O$104,15,0)),0,VLOOKUP($U$1290,'TAR FIN'!$A$1:$O$104,15,0))*(1-0.04)</f>
        <v>381.71519999999998</v>
      </c>
      <c r="Y1290" s="60"/>
      <c r="Z1290" s="60">
        <f ca="1">('TUSD BE'!$AM$25+'TUSD BF'!$AM$25+'TUSD CVA'!$AM$25)*1*(1-0.02)</f>
        <v>1318.940588933358</v>
      </c>
      <c r="AA1290" s="60">
        <f>('TE BE'!$AB$7+'TE BF'!$AB$7+'TE CVA'!$AB$7)*1*(1-0.02)</f>
        <v>353.05508603815775</v>
      </c>
      <c r="AB1290" s="6">
        <f>$K$1290*$V$1290</f>
        <v>0</v>
      </c>
      <c r="AC1290" s="6">
        <f>$M$1290*$W$1290</f>
        <v>124348.7151648</v>
      </c>
      <c r="AD1290" s="6">
        <f>$O$1290*$X$1290</f>
        <v>37170.281030399994</v>
      </c>
      <c r="AE1290" s="6">
        <f>$K$1290*$Y$1290</f>
        <v>0</v>
      </c>
      <c r="AF1290" s="6">
        <f ca="1">$M$1290*$Z$1290</f>
        <v>128434.47772856359</v>
      </c>
      <c r="AG1290" s="6">
        <f>$O$1290*$AA$1290</f>
        <v>34379.445113137685</v>
      </c>
    </row>
    <row r="1291" spans="1:33" ht="11.25" customHeight="1" x14ac:dyDescent="0.25">
      <c r="A1291" s="4" t="s">
        <v>27</v>
      </c>
      <c r="B1291" s="4" t="s">
        <v>41</v>
      </c>
      <c r="C1291" s="4" t="s">
        <v>42</v>
      </c>
      <c r="D1291" s="4" t="s">
        <v>45</v>
      </c>
      <c r="E1291" s="4" t="s">
        <v>53</v>
      </c>
      <c r="F1291" s="4" t="s">
        <v>25</v>
      </c>
      <c r="G1291" s="4" t="s">
        <v>25</v>
      </c>
      <c r="H1291" s="4" t="s">
        <v>34</v>
      </c>
      <c r="I1291" s="5">
        <v>44593</v>
      </c>
      <c r="J1291" s="6">
        <v>0</v>
      </c>
      <c r="K1291" s="60">
        <v>0</v>
      </c>
      <c r="L1291" s="6">
        <v>-1.9E-2</v>
      </c>
      <c r="M1291" s="60">
        <v>-1.9E-2</v>
      </c>
      <c r="N1291" s="6">
        <v>-1.9E-2</v>
      </c>
      <c r="O1291" s="60">
        <v>-1.9E-2</v>
      </c>
      <c r="P1291" s="6">
        <v>0</v>
      </c>
      <c r="Q1291" s="4" t="s">
        <v>26</v>
      </c>
      <c r="R1291" s="4">
        <v>0</v>
      </c>
      <c r="S1291" s="6">
        <v>0</v>
      </c>
      <c r="T1291" s="6">
        <v>42</v>
      </c>
      <c r="U1291" s="6">
        <v>66</v>
      </c>
      <c r="V1291" s="60">
        <f>IF(ISERROR(VLOOKUP($S$1291,'TAR FIN'!$A$1:$O$104,15,0)),0,VLOOKUP($S$1291,'TAR FIN'!$A$1:$O$104,15,0))</f>
        <v>0</v>
      </c>
      <c r="W1291" s="60">
        <f>IF(ISERROR(VLOOKUP($T$1291,'TAR FIN'!$A$1:$O$104,15,0)),0,VLOOKUP($T$1291,'TAR FIN'!$A$1:$O$104,15,0))*(1-0.04)</f>
        <v>1276.9824000000001</v>
      </c>
      <c r="X1291" s="60">
        <f>IF(ISERROR(VLOOKUP($U$1291,'TAR FIN'!$A$1:$O$104,15,0)),0,VLOOKUP($U$1291,'TAR FIN'!$A$1:$O$104,15,0))*(1-0.04)</f>
        <v>381.71519999999998</v>
      </c>
      <c r="Y1291" s="60"/>
      <c r="Z1291" s="60">
        <f ca="1">('TUSD BE'!$AM$25+'TUSD BF'!$AM$25+'TUSD CVA'!$AM$25)*1*(1-0.02)</f>
        <v>1318.940588933358</v>
      </c>
      <c r="AA1291" s="60">
        <f>('TE BE'!$AB$7+'TE BF'!$AB$7+'TE CVA'!$AB$7)*1*(1-0.02)</f>
        <v>353.05508603815775</v>
      </c>
      <c r="AB1291" s="6">
        <f>$K$1291*$V$1291</f>
        <v>0</v>
      </c>
      <c r="AC1291" s="6">
        <f>$M$1291*$W$1291</f>
        <v>-24.262665600000002</v>
      </c>
      <c r="AD1291" s="6">
        <f>$O$1291*$X$1291</f>
        <v>-7.2525887999999998</v>
      </c>
      <c r="AE1291" s="6">
        <f>$K$1291*$Y$1291</f>
        <v>0</v>
      </c>
      <c r="AF1291" s="6">
        <f ca="1">$M$1291*$Z$1291</f>
        <v>-25.059871189733801</v>
      </c>
      <c r="AG1291" s="6">
        <f>$O$1291*$AA$1291</f>
        <v>-6.7080466347249974</v>
      </c>
    </row>
    <row r="1292" spans="1:33" ht="11.25" customHeight="1" x14ac:dyDescent="0.25">
      <c r="A1292" s="4" t="s">
        <v>21</v>
      </c>
      <c r="B1292" s="4" t="s">
        <v>41</v>
      </c>
      <c r="C1292" s="4" t="s">
        <v>42</v>
      </c>
      <c r="D1292" s="4" t="s">
        <v>45</v>
      </c>
      <c r="E1292" s="4" t="s">
        <v>53</v>
      </c>
      <c r="F1292" s="4" t="s">
        <v>25</v>
      </c>
      <c r="G1292" s="4" t="s">
        <v>25</v>
      </c>
      <c r="H1292" s="4" t="s">
        <v>34</v>
      </c>
      <c r="I1292" s="5">
        <v>44621</v>
      </c>
      <c r="J1292" s="6">
        <v>0</v>
      </c>
      <c r="K1292" s="60">
        <v>0</v>
      </c>
      <c r="L1292" s="6">
        <v>91.048000000000002</v>
      </c>
      <c r="M1292" s="60">
        <v>91.048000000000002</v>
      </c>
      <c r="N1292" s="6">
        <v>91.048000000000002</v>
      </c>
      <c r="O1292" s="60">
        <v>91.048000000000002</v>
      </c>
      <c r="P1292" s="6">
        <v>0</v>
      </c>
      <c r="Q1292" s="4" t="s">
        <v>26</v>
      </c>
      <c r="R1292" s="4">
        <v>0</v>
      </c>
      <c r="S1292" s="6">
        <v>0</v>
      </c>
      <c r="T1292" s="6">
        <v>42</v>
      </c>
      <c r="U1292" s="6">
        <v>66</v>
      </c>
      <c r="V1292" s="60">
        <f>IF(ISERROR(VLOOKUP($S$1292,'TAR FIN'!$A$1:$O$104,15,0)),0,VLOOKUP($S$1292,'TAR FIN'!$A$1:$O$104,15,0))</f>
        <v>0</v>
      </c>
      <c r="W1292" s="60">
        <f>IF(ISERROR(VLOOKUP($T$1292,'TAR FIN'!$A$1:$O$104,15,0)),0,VLOOKUP($T$1292,'TAR FIN'!$A$1:$O$104,15,0))*(1-0.04)</f>
        <v>1276.9824000000001</v>
      </c>
      <c r="X1292" s="60">
        <f>IF(ISERROR(VLOOKUP($U$1292,'TAR FIN'!$A$1:$O$104,15,0)),0,VLOOKUP($U$1292,'TAR FIN'!$A$1:$O$104,15,0))*(1-0.04)</f>
        <v>381.71519999999998</v>
      </c>
      <c r="Y1292" s="60"/>
      <c r="Z1292" s="60">
        <f ca="1">('TUSD BE'!$AM$25+'TUSD BF'!$AM$25+'TUSD CVA'!$AM$25)*1*(1-0.02)</f>
        <v>1318.940588933358</v>
      </c>
      <c r="AA1292" s="60">
        <f>('TE BE'!$AB$7+'TE BF'!$AB$7+'TE CVA'!$AB$7)*1*(1-0.02)</f>
        <v>353.05508603815775</v>
      </c>
      <c r="AB1292" s="6">
        <f>$K$1292*$V$1292</f>
        <v>0</v>
      </c>
      <c r="AC1292" s="6">
        <f>$M$1292*$W$1292</f>
        <v>116266.69355520001</v>
      </c>
      <c r="AD1292" s="6">
        <f>$O$1292*$X$1292</f>
        <v>34754.405529600001</v>
      </c>
      <c r="AE1292" s="6">
        <f>$K$1292*$Y$1292</f>
        <v>0</v>
      </c>
      <c r="AF1292" s="6">
        <f ca="1">$M$1292*$Z$1292</f>
        <v>120086.90274120438</v>
      </c>
      <c r="AG1292" s="6">
        <f>$O$1292*$AA$1292</f>
        <v>32144.959473602186</v>
      </c>
    </row>
    <row r="1293" spans="1:33" ht="11.25" customHeight="1" x14ac:dyDescent="0.25">
      <c r="A1293" s="4" t="s">
        <v>21</v>
      </c>
      <c r="B1293" s="4" t="s">
        <v>41</v>
      </c>
      <c r="C1293" s="4" t="s">
        <v>42</v>
      </c>
      <c r="D1293" s="4" t="s">
        <v>45</v>
      </c>
      <c r="E1293" s="4" t="s">
        <v>53</v>
      </c>
      <c r="F1293" s="4" t="s">
        <v>25</v>
      </c>
      <c r="G1293" s="4" t="s">
        <v>25</v>
      </c>
      <c r="H1293" s="4" t="s">
        <v>34</v>
      </c>
      <c r="I1293" s="5">
        <v>44652</v>
      </c>
      <c r="J1293" s="6">
        <v>0</v>
      </c>
      <c r="K1293" s="60">
        <v>0</v>
      </c>
      <c r="L1293" s="6">
        <v>87.200999999999993</v>
      </c>
      <c r="M1293" s="60">
        <v>87.200999999999993</v>
      </c>
      <c r="N1293" s="6">
        <v>87.200999999999993</v>
      </c>
      <c r="O1293" s="60">
        <v>87.200999999999993</v>
      </c>
      <c r="P1293" s="6">
        <v>0</v>
      </c>
      <c r="Q1293" s="4" t="s">
        <v>26</v>
      </c>
      <c r="R1293" s="4">
        <v>0</v>
      </c>
      <c r="S1293" s="6">
        <v>0</v>
      </c>
      <c r="T1293" s="6">
        <v>42</v>
      </c>
      <c r="U1293" s="6">
        <v>66</v>
      </c>
      <c r="V1293" s="60">
        <f>IF(ISERROR(VLOOKUP($S$1293,'TAR FIN'!$A$1:$O$104,15,0)),0,VLOOKUP($S$1293,'TAR FIN'!$A$1:$O$104,15,0))</f>
        <v>0</v>
      </c>
      <c r="W1293" s="60">
        <f>IF(ISERROR(VLOOKUP($T$1293,'TAR FIN'!$A$1:$O$104,15,0)),0,VLOOKUP($T$1293,'TAR FIN'!$A$1:$O$104,15,0))*(1-0.04)</f>
        <v>1276.9824000000001</v>
      </c>
      <c r="X1293" s="60">
        <f>IF(ISERROR(VLOOKUP($U$1293,'TAR FIN'!$A$1:$O$104,15,0)),0,VLOOKUP($U$1293,'TAR FIN'!$A$1:$O$104,15,0))*(1-0.04)</f>
        <v>381.71519999999998</v>
      </c>
      <c r="Y1293" s="60"/>
      <c r="Z1293" s="60">
        <f ca="1">('TUSD BE'!$AM$25+'TUSD BF'!$AM$25+'TUSD CVA'!$AM$25)*1*(1-0.02)</f>
        <v>1318.940588933358</v>
      </c>
      <c r="AA1293" s="60">
        <f>('TE BE'!$AB$7+'TE BF'!$AB$7+'TE CVA'!$AB$7)*1*(1-0.02)</f>
        <v>353.05508603815775</v>
      </c>
      <c r="AB1293" s="6">
        <f>$K$1293*$V$1293</f>
        <v>0</v>
      </c>
      <c r="AC1293" s="6">
        <f>$M$1293*$W$1293</f>
        <v>111354.1422624</v>
      </c>
      <c r="AD1293" s="6">
        <f>$O$1293*$X$1293</f>
        <v>33285.947155199996</v>
      </c>
      <c r="AE1293" s="6">
        <f>$K$1293*$Y$1293</f>
        <v>0</v>
      </c>
      <c r="AF1293" s="6">
        <f ca="1">$M$1293*$Z$1293</f>
        <v>115012.93829557774</v>
      </c>
      <c r="AG1293" s="6">
        <f>$O$1293*$AA$1293</f>
        <v>30786.756557613393</v>
      </c>
    </row>
    <row r="1294" spans="1:33" ht="11.25" customHeight="1" x14ac:dyDescent="0.25">
      <c r="A1294" s="4" t="s">
        <v>27</v>
      </c>
      <c r="B1294" s="4" t="s">
        <v>41</v>
      </c>
      <c r="C1294" s="4" t="s">
        <v>42</v>
      </c>
      <c r="D1294" s="4" t="s">
        <v>45</v>
      </c>
      <c r="E1294" s="4" t="s">
        <v>53</v>
      </c>
      <c r="F1294" s="4" t="s">
        <v>25</v>
      </c>
      <c r="G1294" s="4" t="s">
        <v>25</v>
      </c>
      <c r="H1294" s="4" t="s">
        <v>34</v>
      </c>
      <c r="I1294" s="5">
        <v>44652</v>
      </c>
      <c r="J1294" s="6">
        <v>0</v>
      </c>
      <c r="K1294" s="60">
        <v>0</v>
      </c>
      <c r="L1294" s="6">
        <v>-2.931</v>
      </c>
      <c r="M1294" s="60">
        <v>-2.931</v>
      </c>
      <c r="N1294" s="6">
        <v>-2.931</v>
      </c>
      <c r="O1294" s="60">
        <v>-2.931</v>
      </c>
      <c r="P1294" s="6">
        <v>0</v>
      </c>
      <c r="Q1294" s="4" t="s">
        <v>26</v>
      </c>
      <c r="R1294" s="4">
        <v>0</v>
      </c>
      <c r="S1294" s="6">
        <v>0</v>
      </c>
      <c r="T1294" s="6">
        <v>42</v>
      </c>
      <c r="U1294" s="6">
        <v>66</v>
      </c>
      <c r="V1294" s="60">
        <f>IF(ISERROR(VLOOKUP($S$1294,'TAR FIN'!$A$1:$O$104,15,0)),0,VLOOKUP($S$1294,'TAR FIN'!$A$1:$O$104,15,0))</f>
        <v>0</v>
      </c>
      <c r="W1294" s="60">
        <f>IF(ISERROR(VLOOKUP($T$1294,'TAR FIN'!$A$1:$O$104,15,0)),0,VLOOKUP($T$1294,'TAR FIN'!$A$1:$O$104,15,0))*(1-0.04)</f>
        <v>1276.9824000000001</v>
      </c>
      <c r="X1294" s="60">
        <f>IF(ISERROR(VLOOKUP($U$1294,'TAR FIN'!$A$1:$O$104,15,0)),0,VLOOKUP($U$1294,'TAR FIN'!$A$1:$O$104,15,0))*(1-0.04)</f>
        <v>381.71519999999998</v>
      </c>
      <c r="Y1294" s="60"/>
      <c r="Z1294" s="60">
        <f ca="1">('TUSD BE'!$AM$25+'TUSD BF'!$AM$25+'TUSD CVA'!$AM$25)*1*(1-0.02)</f>
        <v>1318.940588933358</v>
      </c>
      <c r="AA1294" s="60">
        <f>('TE BE'!$AB$7+'TE BF'!$AB$7+'TE CVA'!$AB$7)*1*(1-0.02)</f>
        <v>353.05508603815775</v>
      </c>
      <c r="AB1294" s="6">
        <f>$K$1294*$V$1294</f>
        <v>0</v>
      </c>
      <c r="AC1294" s="6">
        <f>$M$1294*$W$1294</f>
        <v>-3742.8354144000004</v>
      </c>
      <c r="AD1294" s="6">
        <f>$O$1294*$X$1294</f>
        <v>-1118.8072511999999</v>
      </c>
      <c r="AE1294" s="6">
        <f>$K$1294*$Y$1294</f>
        <v>0</v>
      </c>
      <c r="AF1294" s="6">
        <f ca="1">$M$1294*$Z$1294</f>
        <v>-3865.8148661636724</v>
      </c>
      <c r="AG1294" s="6">
        <f>$O$1294*$AA$1294</f>
        <v>-1034.8044571778405</v>
      </c>
    </row>
    <row r="1295" spans="1:33" ht="11.25" customHeight="1" x14ac:dyDescent="0.25">
      <c r="A1295" s="4" t="s">
        <v>28</v>
      </c>
      <c r="B1295" s="4" t="s">
        <v>41</v>
      </c>
      <c r="C1295" s="4" t="s">
        <v>42</v>
      </c>
      <c r="D1295" s="4" t="s">
        <v>45</v>
      </c>
      <c r="E1295" s="4" t="s">
        <v>53</v>
      </c>
      <c r="F1295" s="4" t="s">
        <v>25</v>
      </c>
      <c r="G1295" s="4" t="s">
        <v>25</v>
      </c>
      <c r="H1295" s="4" t="s">
        <v>34</v>
      </c>
      <c r="I1295" s="5">
        <v>44652</v>
      </c>
      <c r="J1295" s="6">
        <v>0</v>
      </c>
      <c r="K1295" s="60">
        <v>0</v>
      </c>
      <c r="L1295" s="6">
        <v>0.89</v>
      </c>
      <c r="M1295" s="60">
        <v>0.89</v>
      </c>
      <c r="N1295" s="6">
        <v>0.89</v>
      </c>
      <c r="O1295" s="60">
        <v>0.89</v>
      </c>
      <c r="P1295" s="6">
        <v>0</v>
      </c>
      <c r="Q1295" s="4" t="s">
        <v>26</v>
      </c>
      <c r="R1295" s="4">
        <v>0</v>
      </c>
      <c r="S1295" s="6">
        <v>0</v>
      </c>
      <c r="T1295" s="6">
        <v>42</v>
      </c>
      <c r="U1295" s="6">
        <v>66</v>
      </c>
      <c r="V1295" s="60">
        <f>IF(ISERROR(VLOOKUP($S$1295,'TAR FIN'!$A$1:$O$104,15,0)),0,VLOOKUP($S$1295,'TAR FIN'!$A$1:$O$104,15,0))</f>
        <v>0</v>
      </c>
      <c r="W1295" s="60">
        <f>IF(ISERROR(VLOOKUP($T$1295,'TAR FIN'!$A$1:$O$104,15,0)),0,VLOOKUP($T$1295,'TAR FIN'!$A$1:$O$104,15,0))*(1-0.04)</f>
        <v>1276.9824000000001</v>
      </c>
      <c r="X1295" s="60">
        <f>IF(ISERROR(VLOOKUP($U$1295,'TAR FIN'!$A$1:$O$104,15,0)),0,VLOOKUP($U$1295,'TAR FIN'!$A$1:$O$104,15,0))*(1-0.04)</f>
        <v>381.71519999999998</v>
      </c>
      <c r="Y1295" s="60"/>
      <c r="Z1295" s="60">
        <f ca="1">('TUSD BE'!$AM$25+'TUSD BF'!$AM$25+'TUSD CVA'!$AM$25)*1*(1-0.02)</f>
        <v>1318.940588933358</v>
      </c>
      <c r="AA1295" s="60">
        <f>('TE BE'!$AB$7+'TE BF'!$AB$7+'TE CVA'!$AB$7)*1*(1-0.02)</f>
        <v>353.05508603815775</v>
      </c>
      <c r="AB1295" s="6">
        <f>$K$1295*$V$1295</f>
        <v>0</v>
      </c>
      <c r="AC1295" s="6">
        <f>$M$1295*$W$1295</f>
        <v>1136.5143360000002</v>
      </c>
      <c r="AD1295" s="6">
        <f>$O$1295*$X$1295</f>
        <v>339.72652799999997</v>
      </c>
      <c r="AE1295" s="6">
        <f>$K$1295*$Y$1295</f>
        <v>0</v>
      </c>
      <c r="AF1295" s="6">
        <f ca="1">$M$1295*$Z$1295</f>
        <v>1173.8571241506886</v>
      </c>
      <c r="AG1295" s="6">
        <f>$O$1295*$AA$1295</f>
        <v>314.21902657396038</v>
      </c>
    </row>
    <row r="1296" spans="1:33" ht="11.25" customHeight="1" x14ac:dyDescent="0.25">
      <c r="A1296" s="4" t="s">
        <v>21</v>
      </c>
      <c r="B1296" s="4" t="s">
        <v>41</v>
      </c>
      <c r="C1296" s="4" t="s">
        <v>42</v>
      </c>
      <c r="D1296" s="4" t="s">
        <v>45</v>
      </c>
      <c r="E1296" s="4" t="s">
        <v>53</v>
      </c>
      <c r="F1296" s="4" t="s">
        <v>25</v>
      </c>
      <c r="G1296" s="4" t="s">
        <v>25</v>
      </c>
      <c r="H1296" s="4" t="s">
        <v>34</v>
      </c>
      <c r="I1296" s="5">
        <v>44682</v>
      </c>
      <c r="J1296" s="6">
        <v>0</v>
      </c>
      <c r="K1296" s="60">
        <v>0</v>
      </c>
      <c r="L1296" s="6">
        <v>43.365000000000002</v>
      </c>
      <c r="M1296" s="60">
        <v>43.365000000000002</v>
      </c>
      <c r="N1296" s="6">
        <v>43.365000000000002</v>
      </c>
      <c r="O1296" s="60">
        <v>43.365000000000002</v>
      </c>
      <c r="P1296" s="6">
        <v>0</v>
      </c>
      <c r="Q1296" s="4" t="s">
        <v>26</v>
      </c>
      <c r="R1296" s="4">
        <v>0</v>
      </c>
      <c r="S1296" s="6">
        <v>0</v>
      </c>
      <c r="T1296" s="6">
        <v>42</v>
      </c>
      <c r="U1296" s="6">
        <v>66</v>
      </c>
      <c r="V1296" s="60">
        <f>IF(ISERROR(VLOOKUP($S$1296,'TAR FIN'!$A$1:$O$104,15,0)),0,VLOOKUP($S$1296,'TAR FIN'!$A$1:$O$104,15,0))</f>
        <v>0</v>
      </c>
      <c r="W1296" s="60">
        <f>IF(ISERROR(VLOOKUP($T$1296,'TAR FIN'!$A$1:$O$104,15,0)),0,VLOOKUP($T$1296,'TAR FIN'!$A$1:$O$104,15,0))*(1-0.04)</f>
        <v>1276.9824000000001</v>
      </c>
      <c r="X1296" s="60">
        <f>IF(ISERROR(VLOOKUP($U$1296,'TAR FIN'!$A$1:$O$104,15,0)),0,VLOOKUP($U$1296,'TAR FIN'!$A$1:$O$104,15,0))*(1-0.04)</f>
        <v>381.71519999999998</v>
      </c>
      <c r="Y1296" s="60"/>
      <c r="Z1296" s="60">
        <f ca="1">('TUSD BE'!$AM$25+'TUSD BF'!$AM$25+'TUSD CVA'!$AM$25)*1*(1-0.02)</f>
        <v>1318.940588933358</v>
      </c>
      <c r="AA1296" s="60">
        <f>('TE BE'!$AB$7+'TE BF'!$AB$7+'TE CVA'!$AB$7)*1*(1-0.02)</f>
        <v>353.05508603815775</v>
      </c>
      <c r="AB1296" s="6">
        <f>$K$1296*$V$1296</f>
        <v>0</v>
      </c>
      <c r="AC1296" s="6">
        <f>$M$1296*$W$1296</f>
        <v>55376.341776000008</v>
      </c>
      <c r="AD1296" s="6">
        <f>$O$1296*$X$1296</f>
        <v>16553.079647999999</v>
      </c>
      <c r="AE1296" s="6">
        <f>$K$1296*$Y$1296</f>
        <v>0</v>
      </c>
      <c r="AF1296" s="6">
        <f ca="1">$M$1296*$Z$1296</f>
        <v>57195.858639095073</v>
      </c>
      <c r="AG1296" s="6">
        <f>$O$1296*$AA$1296</f>
        <v>15310.233806044711</v>
      </c>
    </row>
    <row r="1297" spans="1:33" ht="11.25" customHeight="1" x14ac:dyDescent="0.25">
      <c r="A1297" s="4" t="s">
        <v>28</v>
      </c>
      <c r="B1297" s="4" t="s">
        <v>41</v>
      </c>
      <c r="C1297" s="4" t="s">
        <v>42</v>
      </c>
      <c r="D1297" s="4" t="s">
        <v>45</v>
      </c>
      <c r="E1297" s="4" t="s">
        <v>53</v>
      </c>
      <c r="F1297" s="4" t="s">
        <v>25</v>
      </c>
      <c r="G1297" s="4" t="s">
        <v>25</v>
      </c>
      <c r="H1297" s="4" t="s">
        <v>34</v>
      </c>
      <c r="I1297" s="5">
        <v>44682</v>
      </c>
      <c r="J1297" s="6">
        <v>0</v>
      </c>
      <c r="K1297" s="60">
        <v>0</v>
      </c>
      <c r="L1297" s="6">
        <v>1.7889999999999999</v>
      </c>
      <c r="M1297" s="60">
        <v>1.7889999999999999</v>
      </c>
      <c r="N1297" s="6">
        <v>1.7889999999999999</v>
      </c>
      <c r="O1297" s="60">
        <v>1.7889999999999999</v>
      </c>
      <c r="P1297" s="6">
        <v>0</v>
      </c>
      <c r="Q1297" s="4" t="s">
        <v>26</v>
      </c>
      <c r="R1297" s="4">
        <v>0</v>
      </c>
      <c r="S1297" s="6">
        <v>0</v>
      </c>
      <c r="T1297" s="6">
        <v>42</v>
      </c>
      <c r="U1297" s="6">
        <v>66</v>
      </c>
      <c r="V1297" s="60">
        <f>IF(ISERROR(VLOOKUP($S$1297,'TAR FIN'!$A$1:$O$104,15,0)),0,VLOOKUP($S$1297,'TAR FIN'!$A$1:$O$104,15,0))</f>
        <v>0</v>
      </c>
      <c r="W1297" s="60">
        <f>IF(ISERROR(VLOOKUP($T$1297,'TAR FIN'!$A$1:$O$104,15,0)),0,VLOOKUP($T$1297,'TAR FIN'!$A$1:$O$104,15,0))*(1-0.04)</f>
        <v>1276.9824000000001</v>
      </c>
      <c r="X1297" s="60">
        <f>IF(ISERROR(VLOOKUP($U$1297,'TAR FIN'!$A$1:$O$104,15,0)),0,VLOOKUP($U$1297,'TAR FIN'!$A$1:$O$104,15,0))*(1-0.04)</f>
        <v>381.71519999999998</v>
      </c>
      <c r="Y1297" s="60"/>
      <c r="Z1297" s="60">
        <f ca="1">('TUSD BE'!$AM$25+'TUSD BF'!$AM$25+'TUSD CVA'!$AM$25)*1*(1-0.02)</f>
        <v>1318.940588933358</v>
      </c>
      <c r="AA1297" s="60">
        <f>('TE BE'!$AB$7+'TE BF'!$AB$7+'TE CVA'!$AB$7)*1*(1-0.02)</f>
        <v>353.05508603815775</v>
      </c>
      <c r="AB1297" s="6">
        <f>$K$1297*$V$1297</f>
        <v>0</v>
      </c>
      <c r="AC1297" s="6">
        <f>$M$1297*$W$1297</f>
        <v>2284.5215136000002</v>
      </c>
      <c r="AD1297" s="6">
        <f>$O$1297*$X$1297</f>
        <v>682.88849279999999</v>
      </c>
      <c r="AE1297" s="6">
        <f>$K$1297*$Y$1297</f>
        <v>0</v>
      </c>
      <c r="AF1297" s="6">
        <f ca="1">$M$1297*$Z$1297</f>
        <v>2359.5847136017774</v>
      </c>
      <c r="AG1297" s="6">
        <f>$O$1297*$AA$1297</f>
        <v>631.61554892226422</v>
      </c>
    </row>
    <row r="1298" spans="1:33" ht="11.25" customHeight="1" x14ac:dyDescent="0.25">
      <c r="A1298" s="4" t="s">
        <v>21</v>
      </c>
      <c r="B1298" s="4" t="s">
        <v>41</v>
      </c>
      <c r="C1298" s="4" t="s">
        <v>42</v>
      </c>
      <c r="D1298" s="4" t="s">
        <v>45</v>
      </c>
      <c r="E1298" s="4" t="s">
        <v>53</v>
      </c>
      <c r="F1298" s="4" t="s">
        <v>25</v>
      </c>
      <c r="G1298" s="4" t="s">
        <v>25</v>
      </c>
      <c r="H1298" s="4" t="s">
        <v>34</v>
      </c>
      <c r="I1298" s="5">
        <v>44713</v>
      </c>
      <c r="J1298" s="6">
        <v>0</v>
      </c>
      <c r="K1298" s="60">
        <v>0</v>
      </c>
      <c r="L1298" s="6">
        <v>42.155000000000001</v>
      </c>
      <c r="M1298" s="60">
        <v>42.155000000000001</v>
      </c>
      <c r="N1298" s="6">
        <v>42.155000000000001</v>
      </c>
      <c r="O1298" s="60">
        <v>42.155000000000001</v>
      </c>
      <c r="P1298" s="6">
        <v>0</v>
      </c>
      <c r="Q1298" s="4" t="s">
        <v>26</v>
      </c>
      <c r="R1298" s="4">
        <v>0</v>
      </c>
      <c r="S1298" s="6">
        <v>0</v>
      </c>
      <c r="T1298" s="6">
        <v>42</v>
      </c>
      <c r="U1298" s="6">
        <v>66</v>
      </c>
      <c r="V1298" s="60">
        <f>IF(ISERROR(VLOOKUP($S$1298,'TAR FIN'!$A$1:$O$104,15,0)),0,VLOOKUP($S$1298,'TAR FIN'!$A$1:$O$104,15,0))</f>
        <v>0</v>
      </c>
      <c r="W1298" s="60">
        <f>IF(ISERROR(VLOOKUP($T$1298,'TAR FIN'!$A$1:$O$104,15,0)),0,VLOOKUP($T$1298,'TAR FIN'!$A$1:$O$104,15,0))*(1-0.04)</f>
        <v>1276.9824000000001</v>
      </c>
      <c r="X1298" s="60">
        <f>IF(ISERROR(VLOOKUP($U$1298,'TAR FIN'!$A$1:$O$104,15,0)),0,VLOOKUP($U$1298,'TAR FIN'!$A$1:$O$104,15,0))*(1-0.04)</f>
        <v>381.71519999999998</v>
      </c>
      <c r="Y1298" s="60"/>
      <c r="Z1298" s="60">
        <f ca="1">('TUSD BE'!$AM$25+'TUSD BF'!$AM$25+'TUSD CVA'!$AM$25)*1*(1-0.02)</f>
        <v>1318.940588933358</v>
      </c>
      <c r="AA1298" s="60">
        <f>('TE BE'!$AB$7+'TE BF'!$AB$7+'TE CVA'!$AB$7)*1*(1-0.02)</f>
        <v>353.05508603815775</v>
      </c>
      <c r="AB1298" s="6">
        <f>$K$1298*$V$1298</f>
        <v>0</v>
      </c>
      <c r="AC1298" s="6">
        <f>$M$1298*$W$1298</f>
        <v>53831.193072000009</v>
      </c>
      <c r="AD1298" s="6">
        <f>$O$1298*$X$1298</f>
        <v>16091.204255999999</v>
      </c>
      <c r="AE1298" s="6">
        <f>$K$1298*$Y$1298</f>
        <v>0</v>
      </c>
      <c r="AF1298" s="6">
        <f ca="1">$M$1298*$Z$1298</f>
        <v>55599.940526485705</v>
      </c>
      <c r="AG1298" s="6">
        <f>$O$1298*$AA$1298</f>
        <v>14883.037151938541</v>
      </c>
    </row>
    <row r="1299" spans="1:33" ht="11.25" customHeight="1" x14ac:dyDescent="0.25">
      <c r="A1299" s="4" t="s">
        <v>27</v>
      </c>
      <c r="B1299" s="4" t="s">
        <v>41</v>
      </c>
      <c r="C1299" s="4" t="s">
        <v>42</v>
      </c>
      <c r="D1299" s="4" t="s">
        <v>45</v>
      </c>
      <c r="E1299" s="4" t="s">
        <v>53</v>
      </c>
      <c r="F1299" s="4" t="s">
        <v>25</v>
      </c>
      <c r="G1299" s="4" t="s">
        <v>25</v>
      </c>
      <c r="H1299" s="4" t="s">
        <v>34</v>
      </c>
      <c r="I1299" s="5">
        <v>44713</v>
      </c>
      <c r="J1299" s="6">
        <v>0</v>
      </c>
      <c r="K1299" s="60">
        <v>0</v>
      </c>
      <c r="L1299" s="6">
        <v>-5.8000000000000003E-2</v>
      </c>
      <c r="M1299" s="60">
        <v>-5.8000000000000003E-2</v>
      </c>
      <c r="N1299" s="6">
        <v>-5.8000000000000003E-2</v>
      </c>
      <c r="O1299" s="60">
        <v>-5.8000000000000003E-2</v>
      </c>
      <c r="P1299" s="6">
        <v>0</v>
      </c>
      <c r="Q1299" s="4" t="s">
        <v>26</v>
      </c>
      <c r="R1299" s="4">
        <v>0</v>
      </c>
      <c r="S1299" s="6">
        <v>0</v>
      </c>
      <c r="T1299" s="6">
        <v>42</v>
      </c>
      <c r="U1299" s="6">
        <v>66</v>
      </c>
      <c r="V1299" s="60">
        <f>IF(ISERROR(VLOOKUP($S$1299,'TAR FIN'!$A$1:$O$104,15,0)),0,VLOOKUP($S$1299,'TAR FIN'!$A$1:$O$104,15,0))</f>
        <v>0</v>
      </c>
      <c r="W1299" s="60">
        <f>IF(ISERROR(VLOOKUP($T$1299,'TAR FIN'!$A$1:$O$104,15,0)),0,VLOOKUP($T$1299,'TAR FIN'!$A$1:$O$104,15,0))*(1-0.04)</f>
        <v>1276.9824000000001</v>
      </c>
      <c r="X1299" s="60">
        <f>IF(ISERROR(VLOOKUP($U$1299,'TAR FIN'!$A$1:$O$104,15,0)),0,VLOOKUP($U$1299,'TAR FIN'!$A$1:$O$104,15,0))*(1-0.04)</f>
        <v>381.71519999999998</v>
      </c>
      <c r="Y1299" s="60"/>
      <c r="Z1299" s="60">
        <f ca="1">('TUSD BE'!$AM$25+'TUSD BF'!$AM$25+'TUSD CVA'!$AM$25)*1*(1-0.02)</f>
        <v>1318.940588933358</v>
      </c>
      <c r="AA1299" s="60">
        <f>('TE BE'!$AB$7+'TE BF'!$AB$7+'TE CVA'!$AB$7)*1*(1-0.02)</f>
        <v>353.05508603815775</v>
      </c>
      <c r="AB1299" s="6">
        <f>$K$1299*$V$1299</f>
        <v>0</v>
      </c>
      <c r="AC1299" s="6">
        <f>$M$1299*$W$1299</f>
        <v>-74.06497920000001</v>
      </c>
      <c r="AD1299" s="6">
        <f>$O$1299*$X$1299</f>
        <v>-22.1394816</v>
      </c>
      <c r="AE1299" s="6">
        <f>$K$1299*$Y$1299</f>
        <v>0</v>
      </c>
      <c r="AF1299" s="6">
        <f ca="1">$M$1299*$Z$1299</f>
        <v>-76.498554158134766</v>
      </c>
      <c r="AG1299" s="6">
        <f>$O$1299*$AA$1299</f>
        <v>-20.47719499021315</v>
      </c>
    </row>
    <row r="1300" spans="1:33" ht="11.25" customHeight="1" x14ac:dyDescent="0.25">
      <c r="A1300" s="4" t="s">
        <v>57</v>
      </c>
      <c r="B1300" s="4" t="s">
        <v>41</v>
      </c>
      <c r="C1300" s="4" t="s">
        <v>42</v>
      </c>
      <c r="D1300" s="4" t="s">
        <v>45</v>
      </c>
      <c r="E1300" s="4" t="s">
        <v>53</v>
      </c>
      <c r="F1300" s="4" t="s">
        <v>25</v>
      </c>
      <c r="G1300" s="4" t="s">
        <v>25</v>
      </c>
      <c r="H1300" s="4" t="s">
        <v>34</v>
      </c>
      <c r="I1300" s="5">
        <v>44743</v>
      </c>
      <c r="J1300" s="6">
        <v>0</v>
      </c>
      <c r="K1300" s="60">
        <v>0</v>
      </c>
      <c r="L1300" s="6">
        <v>42.155000000000001</v>
      </c>
      <c r="M1300" s="60">
        <v>42.155000000000001</v>
      </c>
      <c r="N1300" s="6">
        <v>42.155000000000001</v>
      </c>
      <c r="O1300" s="60">
        <v>42.155000000000001</v>
      </c>
      <c r="P1300" s="6">
        <v>0</v>
      </c>
      <c r="Q1300" s="4" t="s">
        <v>26</v>
      </c>
      <c r="R1300" s="4">
        <v>0</v>
      </c>
      <c r="S1300" s="6">
        <v>0</v>
      </c>
      <c r="T1300" s="6">
        <v>42</v>
      </c>
      <c r="U1300" s="6">
        <v>66</v>
      </c>
      <c r="V1300" s="60">
        <f>IF(ISERROR(VLOOKUP($S$1300,'TAR FIN'!$A$1:$O$104,15,0)),0,VLOOKUP($S$1300,'TAR FIN'!$A$1:$O$104,15,0))</f>
        <v>0</v>
      </c>
      <c r="W1300" s="60">
        <f>IF(ISERROR(VLOOKUP($T$1300,'TAR FIN'!$A$1:$O$104,15,0)),0,VLOOKUP($T$1300,'TAR FIN'!$A$1:$O$104,15,0))*(1-0.04)</f>
        <v>1276.9824000000001</v>
      </c>
      <c r="X1300" s="60">
        <f>IF(ISERROR(VLOOKUP($U$1300,'TAR FIN'!$A$1:$O$104,15,0)),0,VLOOKUP($U$1300,'TAR FIN'!$A$1:$O$104,15,0))*(1-0.04)</f>
        <v>381.71519999999998</v>
      </c>
      <c r="Y1300" s="60"/>
      <c r="Z1300" s="60">
        <f ca="1">('TUSD BE'!$AM$25+'TUSD BF'!$AM$25+'TUSD CVA'!$AM$25)*1*(1-0.02)</f>
        <v>1318.940588933358</v>
      </c>
      <c r="AA1300" s="60">
        <f>('TE BE'!$AB$7+'TE BF'!$AB$7+'TE CVA'!$AB$7)*1*(1-0.02)</f>
        <v>353.05508603815775</v>
      </c>
      <c r="AB1300" s="6">
        <f>$K$1300*$V$1300</f>
        <v>0</v>
      </c>
      <c r="AC1300" s="6">
        <f>$M$1300*$W$1300</f>
        <v>53831.193072000009</v>
      </c>
      <c r="AD1300" s="6">
        <f>$O$1300*$X$1300</f>
        <v>16091.204255999999</v>
      </c>
      <c r="AE1300" s="6">
        <f>$K$1300*$Y$1300</f>
        <v>0</v>
      </c>
      <c r="AF1300" s="6">
        <f ca="1">$M$1300*$Z$1300</f>
        <v>55599.940526485705</v>
      </c>
      <c r="AG1300" s="6">
        <f>$O$1300*$AA$1300</f>
        <v>14883.037151938541</v>
      </c>
    </row>
    <row r="1301" spans="1:33" ht="11.25" customHeight="1" x14ac:dyDescent="0.25">
      <c r="A1301" s="4" t="s">
        <v>57</v>
      </c>
      <c r="B1301" s="4" t="s">
        <v>41</v>
      </c>
      <c r="C1301" s="4" t="s">
        <v>42</v>
      </c>
      <c r="D1301" s="4" t="s">
        <v>45</v>
      </c>
      <c r="E1301" s="4" t="s">
        <v>53</v>
      </c>
      <c r="F1301" s="4" t="s">
        <v>25</v>
      </c>
      <c r="G1301" s="4" t="s">
        <v>25</v>
      </c>
      <c r="H1301" s="4" t="s">
        <v>34</v>
      </c>
      <c r="I1301" s="5">
        <v>44743</v>
      </c>
      <c r="J1301" s="6">
        <v>0</v>
      </c>
      <c r="K1301" s="60">
        <v>0</v>
      </c>
      <c r="L1301" s="6">
        <v>-5.8000000000000003E-2</v>
      </c>
      <c r="M1301" s="60">
        <v>-5.8000000000000003E-2</v>
      </c>
      <c r="N1301" s="6">
        <v>-5.8000000000000003E-2</v>
      </c>
      <c r="O1301" s="60">
        <v>-5.8000000000000003E-2</v>
      </c>
      <c r="P1301" s="6">
        <v>0</v>
      </c>
      <c r="Q1301" s="4" t="s">
        <v>26</v>
      </c>
      <c r="R1301" s="4">
        <v>0</v>
      </c>
      <c r="S1301" s="6">
        <v>0</v>
      </c>
      <c r="T1301" s="6">
        <v>42</v>
      </c>
      <c r="U1301" s="6">
        <v>66</v>
      </c>
      <c r="V1301" s="60">
        <f>IF(ISERROR(VLOOKUP($S$1301,'TAR FIN'!$A$1:$O$104,15,0)),0,VLOOKUP($S$1301,'TAR FIN'!$A$1:$O$104,15,0))</f>
        <v>0</v>
      </c>
      <c r="W1301" s="60">
        <f>IF(ISERROR(VLOOKUP($T$1301,'TAR FIN'!$A$1:$O$104,15,0)),0,VLOOKUP($T$1301,'TAR FIN'!$A$1:$O$104,15,0))*(1-0.04)</f>
        <v>1276.9824000000001</v>
      </c>
      <c r="X1301" s="60">
        <f>IF(ISERROR(VLOOKUP($U$1301,'TAR FIN'!$A$1:$O$104,15,0)),0,VLOOKUP($U$1301,'TAR FIN'!$A$1:$O$104,15,0))*(1-0.04)</f>
        <v>381.71519999999998</v>
      </c>
      <c r="Y1301" s="60"/>
      <c r="Z1301" s="60">
        <f ca="1">('TUSD BE'!$AM$25+'TUSD BF'!$AM$25+'TUSD CVA'!$AM$25)*1*(1-0.02)</f>
        <v>1318.940588933358</v>
      </c>
      <c r="AA1301" s="60">
        <f>('TE BE'!$AB$7+'TE BF'!$AB$7+'TE CVA'!$AB$7)*1*(1-0.02)</f>
        <v>353.05508603815775</v>
      </c>
      <c r="AB1301" s="6">
        <f>$K$1301*$V$1301</f>
        <v>0</v>
      </c>
      <c r="AC1301" s="6">
        <f>$M$1301*$W$1301</f>
        <v>-74.06497920000001</v>
      </c>
      <c r="AD1301" s="6">
        <f>$O$1301*$X$1301</f>
        <v>-22.1394816</v>
      </c>
      <c r="AE1301" s="6">
        <f>$K$1301*$Y$1301</f>
        <v>0</v>
      </c>
      <c r="AF1301" s="6">
        <f ca="1">$M$1301*$Z$1301</f>
        <v>-76.498554158134766</v>
      </c>
      <c r="AG1301" s="6">
        <f>$O$1301*$AA$1301</f>
        <v>-20.47719499021315</v>
      </c>
    </row>
    <row r="1302" spans="1:33" ht="11.25" customHeight="1" x14ac:dyDescent="0.25">
      <c r="A1302" s="4" t="s">
        <v>21</v>
      </c>
      <c r="B1302" s="4" t="s">
        <v>41</v>
      </c>
      <c r="C1302" s="4" t="s">
        <v>42</v>
      </c>
      <c r="D1302" s="4" t="s">
        <v>45</v>
      </c>
      <c r="E1302" s="4" t="s">
        <v>25</v>
      </c>
      <c r="F1302" s="4" t="s">
        <v>25</v>
      </c>
      <c r="G1302" s="4" t="s">
        <v>25</v>
      </c>
      <c r="H1302" s="4" t="s">
        <v>35</v>
      </c>
      <c r="I1302" s="5">
        <v>44409</v>
      </c>
      <c r="J1302" s="6">
        <v>0</v>
      </c>
      <c r="K1302" s="60">
        <v>0</v>
      </c>
      <c r="L1302" s="6">
        <v>1229.2660000000001</v>
      </c>
      <c r="M1302" s="60">
        <v>1229.2660000000001</v>
      </c>
      <c r="N1302" s="6">
        <v>1229.2660000000001</v>
      </c>
      <c r="O1302" s="60">
        <v>1229.2660000000001</v>
      </c>
      <c r="P1302" s="6">
        <v>0</v>
      </c>
      <c r="Q1302" s="4" t="s">
        <v>26</v>
      </c>
      <c r="R1302" s="4">
        <v>0</v>
      </c>
      <c r="S1302" s="6">
        <v>0</v>
      </c>
      <c r="T1302" s="6">
        <v>44</v>
      </c>
      <c r="U1302" s="6">
        <v>67</v>
      </c>
      <c r="V1302" s="60">
        <f>IF(ISERROR(VLOOKUP($S$1302,'TAR FIN'!$A$1:$O$104,15,0)),0,VLOOKUP($S$1302,'TAR FIN'!$A$1:$O$104,15,0))</f>
        <v>0</v>
      </c>
      <c r="W1302" s="60">
        <f>IF(ISERROR(VLOOKUP($T$1302,'TAR FIN'!$A$1:$O$104,15,0)),0,VLOOKUP($T$1302,'TAR FIN'!$A$1:$O$104,15,0))*(1-0.04)</f>
        <v>60.0672</v>
      </c>
      <c r="X1302" s="60">
        <f>IF(ISERROR(VLOOKUP($U$1302,'TAR FIN'!$A$1:$O$104,15,0)),0,VLOOKUP($U$1302,'TAR FIN'!$A$1:$O$104,15,0))*(1-0.04)</f>
        <v>233.10719999999998</v>
      </c>
      <c r="Y1302" s="60"/>
      <c r="Z1302" s="60">
        <f ca="1">('TUSD BE'!$AM$26+'TUSD BF'!$AM$26+'TUSD CVA'!$AM$26)*1*(1-0.02)</f>
        <v>76.318677921794944</v>
      </c>
      <c r="AA1302" s="60">
        <f>('TE BE'!$AB$8+'TE BF'!$AB$8+'TE CVA'!$AB$8)*1*(1-0.02)</f>
        <v>227.12732236645527</v>
      </c>
      <c r="AB1302" s="6">
        <f>$K$1302*$V$1302</f>
        <v>0</v>
      </c>
      <c r="AC1302" s="6">
        <f>$M$1302*$W$1302</f>
        <v>73838.566675200011</v>
      </c>
      <c r="AD1302" s="6">
        <f>$O$1302*$X$1302</f>
        <v>286550.75531520002</v>
      </c>
      <c r="AE1302" s="6">
        <f>$K$1302*$Y$1302</f>
        <v>0</v>
      </c>
      <c r="AF1302" s="6">
        <f ca="1">$M$1302*$Z$1302</f>
        <v>93815.955934213183</v>
      </c>
      <c r="AG1302" s="6">
        <f>$O$1302*$AA$1302</f>
        <v>279199.89505612303</v>
      </c>
    </row>
    <row r="1303" spans="1:33" ht="11.25" customHeight="1" x14ac:dyDescent="0.25">
      <c r="A1303" s="4" t="s">
        <v>28</v>
      </c>
      <c r="B1303" s="4" t="s">
        <v>41</v>
      </c>
      <c r="C1303" s="4" t="s">
        <v>42</v>
      </c>
      <c r="D1303" s="4" t="s">
        <v>45</v>
      </c>
      <c r="E1303" s="4" t="s">
        <v>25</v>
      </c>
      <c r="F1303" s="4" t="s">
        <v>25</v>
      </c>
      <c r="G1303" s="4" t="s">
        <v>25</v>
      </c>
      <c r="H1303" s="4" t="s">
        <v>35</v>
      </c>
      <c r="I1303" s="5">
        <v>44409</v>
      </c>
      <c r="J1303" s="6">
        <v>0</v>
      </c>
      <c r="K1303" s="60">
        <v>0</v>
      </c>
      <c r="L1303" s="6">
        <v>39.07</v>
      </c>
      <c r="M1303" s="60">
        <v>39.07</v>
      </c>
      <c r="N1303" s="6">
        <v>39.07</v>
      </c>
      <c r="O1303" s="60">
        <v>39.07</v>
      </c>
      <c r="P1303" s="6">
        <v>0</v>
      </c>
      <c r="Q1303" s="4" t="s">
        <v>26</v>
      </c>
      <c r="R1303" s="4">
        <v>0</v>
      </c>
      <c r="S1303" s="6">
        <v>0</v>
      </c>
      <c r="T1303" s="6">
        <v>44</v>
      </c>
      <c r="U1303" s="6">
        <v>67</v>
      </c>
      <c r="V1303" s="60">
        <f>IF(ISERROR(VLOOKUP($S$1303,'TAR FIN'!$A$1:$O$104,15,0)),0,VLOOKUP($S$1303,'TAR FIN'!$A$1:$O$104,15,0))</f>
        <v>0</v>
      </c>
      <c r="W1303" s="60">
        <f>IF(ISERROR(VLOOKUP($T$1303,'TAR FIN'!$A$1:$O$104,15,0)),0,VLOOKUP($T$1303,'TAR FIN'!$A$1:$O$104,15,0))*(1-0.04)</f>
        <v>60.0672</v>
      </c>
      <c r="X1303" s="60">
        <f>IF(ISERROR(VLOOKUP($U$1303,'TAR FIN'!$A$1:$O$104,15,0)),0,VLOOKUP($U$1303,'TAR FIN'!$A$1:$O$104,15,0))*(1-0.04)</f>
        <v>233.10719999999998</v>
      </c>
      <c r="Y1303" s="60"/>
      <c r="Z1303" s="60">
        <f ca="1">('TUSD BE'!$AM$26+'TUSD BF'!$AM$26+'TUSD CVA'!$AM$26)*1*(1-0.02)</f>
        <v>76.318677921794944</v>
      </c>
      <c r="AA1303" s="60">
        <f>('TE BE'!$AB$8+'TE BF'!$AB$8+'TE CVA'!$AB$8)*1*(1-0.02)</f>
        <v>227.12732236645527</v>
      </c>
      <c r="AB1303" s="6">
        <f>$K$1303*$V$1303</f>
        <v>0</v>
      </c>
      <c r="AC1303" s="6">
        <f>$M$1303*$W$1303</f>
        <v>2346.8255039999999</v>
      </c>
      <c r="AD1303" s="6">
        <f>$O$1303*$X$1303</f>
        <v>9107.4983039999988</v>
      </c>
      <c r="AE1303" s="6">
        <f>$K$1303*$Y$1303</f>
        <v>0</v>
      </c>
      <c r="AF1303" s="6">
        <f ca="1">$M$1303*$Z$1303</f>
        <v>2981.7707464045284</v>
      </c>
      <c r="AG1303" s="6">
        <f>$O$1303*$AA$1303</f>
        <v>8873.8644848574077</v>
      </c>
    </row>
    <row r="1304" spans="1:33" ht="11.25" customHeight="1" x14ac:dyDescent="0.25">
      <c r="A1304" s="4" t="s">
        <v>21</v>
      </c>
      <c r="B1304" s="4" t="s">
        <v>41</v>
      </c>
      <c r="C1304" s="4" t="s">
        <v>42</v>
      </c>
      <c r="D1304" s="4" t="s">
        <v>45</v>
      </c>
      <c r="E1304" s="4" t="s">
        <v>25</v>
      </c>
      <c r="F1304" s="4" t="s">
        <v>25</v>
      </c>
      <c r="G1304" s="4" t="s">
        <v>25</v>
      </c>
      <c r="H1304" s="4" t="s">
        <v>35</v>
      </c>
      <c r="I1304" s="5">
        <v>44440</v>
      </c>
      <c r="J1304" s="6">
        <v>0</v>
      </c>
      <c r="K1304" s="60">
        <v>0</v>
      </c>
      <c r="L1304" s="6">
        <v>1262.5540000000001</v>
      </c>
      <c r="M1304" s="60">
        <v>1262.5540000000001</v>
      </c>
      <c r="N1304" s="6">
        <v>1262.5540000000001</v>
      </c>
      <c r="O1304" s="60">
        <v>1262.5540000000001</v>
      </c>
      <c r="P1304" s="6">
        <v>0</v>
      </c>
      <c r="Q1304" s="4" t="s">
        <v>26</v>
      </c>
      <c r="R1304" s="4">
        <v>0</v>
      </c>
      <c r="S1304" s="6">
        <v>0</v>
      </c>
      <c r="T1304" s="6">
        <v>44</v>
      </c>
      <c r="U1304" s="6">
        <v>67</v>
      </c>
      <c r="V1304" s="60">
        <f>IF(ISERROR(VLOOKUP($S$1304,'TAR FIN'!$A$1:$O$104,15,0)),0,VLOOKUP($S$1304,'TAR FIN'!$A$1:$O$104,15,0))</f>
        <v>0</v>
      </c>
      <c r="W1304" s="60">
        <f>IF(ISERROR(VLOOKUP($T$1304,'TAR FIN'!$A$1:$O$104,15,0)),0,VLOOKUP($T$1304,'TAR FIN'!$A$1:$O$104,15,0))*(1-0.04)</f>
        <v>60.0672</v>
      </c>
      <c r="X1304" s="60">
        <f>IF(ISERROR(VLOOKUP($U$1304,'TAR FIN'!$A$1:$O$104,15,0)),0,VLOOKUP($U$1304,'TAR FIN'!$A$1:$O$104,15,0))*(1-0.04)</f>
        <v>233.10719999999998</v>
      </c>
      <c r="Y1304" s="60"/>
      <c r="Z1304" s="60">
        <f ca="1">('TUSD BE'!$AM$26+'TUSD BF'!$AM$26+'TUSD CVA'!$AM$26)*1*(1-0.02)</f>
        <v>76.318677921794944</v>
      </c>
      <c r="AA1304" s="60">
        <f>('TE BE'!$AB$8+'TE BF'!$AB$8+'TE CVA'!$AB$8)*1*(1-0.02)</f>
        <v>227.12732236645527</v>
      </c>
      <c r="AB1304" s="6">
        <f>$K$1304*$V$1304</f>
        <v>0</v>
      </c>
      <c r="AC1304" s="6">
        <f>$M$1304*$W$1304</f>
        <v>75838.083628799999</v>
      </c>
      <c r="AD1304" s="6">
        <f>$O$1304*$X$1304</f>
        <v>294310.42778879998</v>
      </c>
      <c r="AE1304" s="6">
        <f>$K$1304*$Y$1304</f>
        <v>0</v>
      </c>
      <c r="AF1304" s="6">
        <f ca="1">$M$1304*$Z$1304</f>
        <v>96356.452084873905</v>
      </c>
      <c r="AG1304" s="6">
        <f>$O$1304*$AA$1304</f>
        <v>286760.50936305762</v>
      </c>
    </row>
    <row r="1305" spans="1:33" ht="11.25" customHeight="1" x14ac:dyDescent="0.25">
      <c r="A1305" s="4" t="s">
        <v>28</v>
      </c>
      <c r="B1305" s="4" t="s">
        <v>41</v>
      </c>
      <c r="C1305" s="4" t="s">
        <v>42</v>
      </c>
      <c r="D1305" s="4" t="s">
        <v>45</v>
      </c>
      <c r="E1305" s="4" t="s">
        <v>25</v>
      </c>
      <c r="F1305" s="4" t="s">
        <v>25</v>
      </c>
      <c r="G1305" s="4" t="s">
        <v>25</v>
      </c>
      <c r="H1305" s="4" t="s">
        <v>35</v>
      </c>
      <c r="I1305" s="5">
        <v>44440</v>
      </c>
      <c r="J1305" s="6">
        <v>0</v>
      </c>
      <c r="K1305" s="60">
        <v>0</v>
      </c>
      <c r="L1305" s="6">
        <v>52.603000000000002</v>
      </c>
      <c r="M1305" s="60">
        <v>52.603000000000002</v>
      </c>
      <c r="N1305" s="6">
        <v>52.603000000000002</v>
      </c>
      <c r="O1305" s="60">
        <v>52.603000000000002</v>
      </c>
      <c r="P1305" s="6">
        <v>0</v>
      </c>
      <c r="Q1305" s="4" t="s">
        <v>26</v>
      </c>
      <c r="R1305" s="4">
        <v>0</v>
      </c>
      <c r="S1305" s="6">
        <v>0</v>
      </c>
      <c r="T1305" s="6">
        <v>44</v>
      </c>
      <c r="U1305" s="6">
        <v>67</v>
      </c>
      <c r="V1305" s="60">
        <f>IF(ISERROR(VLOOKUP($S$1305,'TAR FIN'!$A$1:$O$104,15,0)),0,VLOOKUP($S$1305,'TAR FIN'!$A$1:$O$104,15,0))</f>
        <v>0</v>
      </c>
      <c r="W1305" s="60">
        <f>IF(ISERROR(VLOOKUP($T$1305,'TAR FIN'!$A$1:$O$104,15,0)),0,VLOOKUP($T$1305,'TAR FIN'!$A$1:$O$104,15,0))*(1-0.04)</f>
        <v>60.0672</v>
      </c>
      <c r="X1305" s="60">
        <f>IF(ISERROR(VLOOKUP($U$1305,'TAR FIN'!$A$1:$O$104,15,0)),0,VLOOKUP($U$1305,'TAR FIN'!$A$1:$O$104,15,0))*(1-0.04)</f>
        <v>233.10719999999998</v>
      </c>
      <c r="Y1305" s="60"/>
      <c r="Z1305" s="60">
        <f ca="1">('TUSD BE'!$AM$26+'TUSD BF'!$AM$26+'TUSD CVA'!$AM$26)*1*(1-0.02)</f>
        <v>76.318677921794944</v>
      </c>
      <c r="AA1305" s="60">
        <f>('TE BE'!$AB$8+'TE BF'!$AB$8+'TE CVA'!$AB$8)*1*(1-0.02)</f>
        <v>227.12732236645527</v>
      </c>
      <c r="AB1305" s="6">
        <f>$K$1305*$V$1305</f>
        <v>0</v>
      </c>
      <c r="AC1305" s="6">
        <f>$M$1305*$W$1305</f>
        <v>3159.7149216000003</v>
      </c>
      <c r="AD1305" s="6">
        <f>$O$1305*$X$1305</f>
        <v>12262.138041599999</v>
      </c>
      <c r="AE1305" s="6">
        <f>$K$1305*$Y$1305</f>
        <v>0</v>
      </c>
      <c r="AF1305" s="6">
        <f ca="1">$M$1305*$Z$1305</f>
        <v>4014.5914147201797</v>
      </c>
      <c r="AG1305" s="6">
        <f>$O$1305*$AA$1305</f>
        <v>11947.578538442647</v>
      </c>
    </row>
    <row r="1306" spans="1:33" ht="11.25" customHeight="1" x14ac:dyDescent="0.25">
      <c r="A1306" s="4" t="s">
        <v>21</v>
      </c>
      <c r="B1306" s="4" t="s">
        <v>41</v>
      </c>
      <c r="C1306" s="4" t="s">
        <v>42</v>
      </c>
      <c r="D1306" s="4" t="s">
        <v>45</v>
      </c>
      <c r="E1306" s="4" t="s">
        <v>25</v>
      </c>
      <c r="F1306" s="4" t="s">
        <v>25</v>
      </c>
      <c r="G1306" s="4" t="s">
        <v>25</v>
      </c>
      <c r="H1306" s="4" t="s">
        <v>35</v>
      </c>
      <c r="I1306" s="5">
        <v>44470</v>
      </c>
      <c r="J1306" s="6">
        <v>0</v>
      </c>
      <c r="K1306" s="60">
        <v>0</v>
      </c>
      <c r="L1306" s="6">
        <v>1138.732</v>
      </c>
      <c r="M1306" s="60">
        <v>1138.732</v>
      </c>
      <c r="N1306" s="6">
        <v>1138.732</v>
      </c>
      <c r="O1306" s="60">
        <v>1138.732</v>
      </c>
      <c r="P1306" s="6">
        <v>0</v>
      </c>
      <c r="Q1306" s="4" t="s">
        <v>26</v>
      </c>
      <c r="R1306" s="4">
        <v>0</v>
      </c>
      <c r="S1306" s="6">
        <v>0</v>
      </c>
      <c r="T1306" s="6">
        <v>44</v>
      </c>
      <c r="U1306" s="6">
        <v>67</v>
      </c>
      <c r="V1306" s="60">
        <f>IF(ISERROR(VLOOKUP($S$1306,'TAR FIN'!$A$1:$O$104,15,0)),0,VLOOKUP($S$1306,'TAR FIN'!$A$1:$O$104,15,0))</f>
        <v>0</v>
      </c>
      <c r="W1306" s="60">
        <f>IF(ISERROR(VLOOKUP($T$1306,'TAR FIN'!$A$1:$O$104,15,0)),0,VLOOKUP($T$1306,'TAR FIN'!$A$1:$O$104,15,0))*(1-0.04)</f>
        <v>60.0672</v>
      </c>
      <c r="X1306" s="60">
        <f>IF(ISERROR(VLOOKUP($U$1306,'TAR FIN'!$A$1:$O$104,15,0)),0,VLOOKUP($U$1306,'TAR FIN'!$A$1:$O$104,15,0))*(1-0.04)</f>
        <v>233.10719999999998</v>
      </c>
      <c r="Y1306" s="60"/>
      <c r="Z1306" s="60">
        <f ca="1">('TUSD BE'!$AM$26+'TUSD BF'!$AM$26+'TUSD CVA'!$AM$26)*1*(1-0.02)</f>
        <v>76.318677921794944</v>
      </c>
      <c r="AA1306" s="60">
        <f>('TE BE'!$AB$8+'TE BF'!$AB$8+'TE CVA'!$AB$8)*1*(1-0.02)</f>
        <v>227.12732236645527</v>
      </c>
      <c r="AB1306" s="6">
        <f>$K$1306*$V$1306</f>
        <v>0</v>
      </c>
      <c r="AC1306" s="6">
        <f>$M$1306*$W$1306</f>
        <v>68400.442790400004</v>
      </c>
      <c r="AD1306" s="6">
        <f>$O$1306*$X$1306</f>
        <v>265446.62807039998</v>
      </c>
      <c r="AE1306" s="6">
        <f>$K$1306*$Y$1306</f>
        <v>0</v>
      </c>
      <c r="AF1306" s="6">
        <f ca="1">$M$1306*$Z$1306</f>
        <v>86906.520747241404</v>
      </c>
      <c r="AG1306" s="6">
        <f>$O$1306*$AA$1306</f>
        <v>258637.15005299833</v>
      </c>
    </row>
    <row r="1307" spans="1:33" ht="11.25" customHeight="1" x14ac:dyDescent="0.25">
      <c r="A1307" s="4" t="s">
        <v>28</v>
      </c>
      <c r="B1307" s="4" t="s">
        <v>41</v>
      </c>
      <c r="C1307" s="4" t="s">
        <v>42</v>
      </c>
      <c r="D1307" s="4" t="s">
        <v>45</v>
      </c>
      <c r="E1307" s="4" t="s">
        <v>25</v>
      </c>
      <c r="F1307" s="4" t="s">
        <v>25</v>
      </c>
      <c r="G1307" s="4" t="s">
        <v>25</v>
      </c>
      <c r="H1307" s="4" t="s">
        <v>35</v>
      </c>
      <c r="I1307" s="5">
        <v>44470</v>
      </c>
      <c r="J1307" s="6">
        <v>0</v>
      </c>
      <c r="K1307" s="60">
        <v>0</v>
      </c>
      <c r="L1307" s="6">
        <v>76.242999999999995</v>
      </c>
      <c r="M1307" s="60">
        <v>76.242999999999995</v>
      </c>
      <c r="N1307" s="6">
        <v>76.242999999999995</v>
      </c>
      <c r="O1307" s="60">
        <v>76.242999999999995</v>
      </c>
      <c r="P1307" s="6">
        <v>0</v>
      </c>
      <c r="Q1307" s="4" t="s">
        <v>26</v>
      </c>
      <c r="R1307" s="4">
        <v>0</v>
      </c>
      <c r="S1307" s="6">
        <v>0</v>
      </c>
      <c r="T1307" s="6">
        <v>44</v>
      </c>
      <c r="U1307" s="6">
        <v>67</v>
      </c>
      <c r="V1307" s="60">
        <f>IF(ISERROR(VLOOKUP($S$1307,'TAR FIN'!$A$1:$O$104,15,0)),0,VLOOKUP($S$1307,'TAR FIN'!$A$1:$O$104,15,0))</f>
        <v>0</v>
      </c>
      <c r="W1307" s="60">
        <f>IF(ISERROR(VLOOKUP($T$1307,'TAR FIN'!$A$1:$O$104,15,0)),0,VLOOKUP($T$1307,'TAR FIN'!$A$1:$O$104,15,0))*(1-0.04)</f>
        <v>60.0672</v>
      </c>
      <c r="X1307" s="60">
        <f>IF(ISERROR(VLOOKUP($U$1307,'TAR FIN'!$A$1:$O$104,15,0)),0,VLOOKUP($U$1307,'TAR FIN'!$A$1:$O$104,15,0))*(1-0.04)</f>
        <v>233.10719999999998</v>
      </c>
      <c r="Y1307" s="60"/>
      <c r="Z1307" s="60">
        <f ca="1">('TUSD BE'!$AM$26+'TUSD BF'!$AM$26+'TUSD CVA'!$AM$26)*1*(1-0.02)</f>
        <v>76.318677921794944</v>
      </c>
      <c r="AA1307" s="60">
        <f>('TE BE'!$AB$8+'TE BF'!$AB$8+'TE CVA'!$AB$8)*1*(1-0.02)</f>
        <v>227.12732236645527</v>
      </c>
      <c r="AB1307" s="6">
        <f>$K$1307*$V$1307</f>
        <v>0</v>
      </c>
      <c r="AC1307" s="6">
        <f>$M$1307*$W$1307</f>
        <v>4579.7035295999995</v>
      </c>
      <c r="AD1307" s="6">
        <f>$O$1307*$X$1307</f>
        <v>17772.792249599996</v>
      </c>
      <c r="AE1307" s="6">
        <f>$K$1307*$Y$1307</f>
        <v>0</v>
      </c>
      <c r="AF1307" s="6">
        <f ca="1">$M$1307*$Z$1307</f>
        <v>5818.7649607914118</v>
      </c>
      <c r="AG1307" s="6">
        <f>$O$1307*$AA$1307</f>
        <v>17316.868439185648</v>
      </c>
    </row>
    <row r="1308" spans="1:33" ht="11.25" customHeight="1" x14ac:dyDescent="0.25">
      <c r="A1308" s="4" t="s">
        <v>21</v>
      </c>
      <c r="B1308" s="4" t="s">
        <v>41</v>
      </c>
      <c r="C1308" s="4" t="s">
        <v>42</v>
      </c>
      <c r="D1308" s="4" t="s">
        <v>45</v>
      </c>
      <c r="E1308" s="4" t="s">
        <v>25</v>
      </c>
      <c r="F1308" s="4" t="s">
        <v>25</v>
      </c>
      <c r="G1308" s="4" t="s">
        <v>25</v>
      </c>
      <c r="H1308" s="4" t="s">
        <v>35</v>
      </c>
      <c r="I1308" s="5">
        <v>44501</v>
      </c>
      <c r="J1308" s="6">
        <v>0</v>
      </c>
      <c r="K1308" s="60">
        <v>0</v>
      </c>
      <c r="L1308" s="6">
        <v>1077.4010000000001</v>
      </c>
      <c r="M1308" s="60">
        <v>1077.4010000000001</v>
      </c>
      <c r="N1308" s="6">
        <v>1077.4010000000001</v>
      </c>
      <c r="O1308" s="60">
        <v>1077.4010000000001</v>
      </c>
      <c r="P1308" s="6">
        <v>0</v>
      </c>
      <c r="Q1308" s="4" t="s">
        <v>26</v>
      </c>
      <c r="R1308" s="4">
        <v>0</v>
      </c>
      <c r="S1308" s="6">
        <v>0</v>
      </c>
      <c r="T1308" s="6">
        <v>44</v>
      </c>
      <c r="U1308" s="6">
        <v>67</v>
      </c>
      <c r="V1308" s="60">
        <f>IF(ISERROR(VLOOKUP($S$1308,'TAR FIN'!$A$1:$O$104,15,0)),0,VLOOKUP($S$1308,'TAR FIN'!$A$1:$O$104,15,0))</f>
        <v>0</v>
      </c>
      <c r="W1308" s="60">
        <f>IF(ISERROR(VLOOKUP($T$1308,'TAR FIN'!$A$1:$O$104,15,0)),0,VLOOKUP($T$1308,'TAR FIN'!$A$1:$O$104,15,0))*(1-0.04)</f>
        <v>60.0672</v>
      </c>
      <c r="X1308" s="60">
        <f>IF(ISERROR(VLOOKUP($U$1308,'TAR FIN'!$A$1:$O$104,15,0)),0,VLOOKUP($U$1308,'TAR FIN'!$A$1:$O$104,15,0))*(1-0.04)</f>
        <v>233.10719999999998</v>
      </c>
      <c r="Y1308" s="60"/>
      <c r="Z1308" s="60">
        <f ca="1">('TUSD BE'!$AM$26+'TUSD BF'!$AM$26+'TUSD CVA'!$AM$26)*1*(1-0.02)</f>
        <v>76.318677921794944</v>
      </c>
      <c r="AA1308" s="60">
        <f>('TE BE'!$AB$8+'TE BF'!$AB$8+'TE CVA'!$AB$8)*1*(1-0.02)</f>
        <v>227.12732236645527</v>
      </c>
      <c r="AB1308" s="6">
        <f>$K$1308*$V$1308</f>
        <v>0</v>
      </c>
      <c r="AC1308" s="6">
        <f>$M$1308*$W$1308</f>
        <v>64716.461347200006</v>
      </c>
      <c r="AD1308" s="6">
        <f>$O$1308*$X$1308</f>
        <v>251149.9303872</v>
      </c>
      <c r="AE1308" s="6">
        <f>$K$1308*$Y$1308</f>
        <v>0</v>
      </c>
      <c r="AF1308" s="6">
        <f ca="1">$M$1308*$Z$1308</f>
        <v>82225.819911619794</v>
      </c>
      <c r="AG1308" s="6">
        <f>$O$1308*$AA$1308</f>
        <v>244707.2042449413</v>
      </c>
    </row>
    <row r="1309" spans="1:33" ht="11.25" customHeight="1" x14ac:dyDescent="0.25">
      <c r="A1309" s="4" t="s">
        <v>28</v>
      </c>
      <c r="B1309" s="4" t="s">
        <v>41</v>
      </c>
      <c r="C1309" s="4" t="s">
        <v>42</v>
      </c>
      <c r="D1309" s="4" t="s">
        <v>45</v>
      </c>
      <c r="E1309" s="4" t="s">
        <v>25</v>
      </c>
      <c r="F1309" s="4" t="s">
        <v>25</v>
      </c>
      <c r="G1309" s="4" t="s">
        <v>25</v>
      </c>
      <c r="H1309" s="4" t="s">
        <v>35</v>
      </c>
      <c r="I1309" s="5">
        <v>44501</v>
      </c>
      <c r="J1309" s="6">
        <v>0</v>
      </c>
      <c r="K1309" s="60">
        <v>0</v>
      </c>
      <c r="L1309" s="6">
        <v>46.671999999999997</v>
      </c>
      <c r="M1309" s="60">
        <v>46.671999999999997</v>
      </c>
      <c r="N1309" s="6">
        <v>46.671999999999997</v>
      </c>
      <c r="O1309" s="60">
        <v>46.671999999999997</v>
      </c>
      <c r="P1309" s="6">
        <v>0</v>
      </c>
      <c r="Q1309" s="4" t="s">
        <v>26</v>
      </c>
      <c r="R1309" s="4">
        <v>0</v>
      </c>
      <c r="S1309" s="6">
        <v>0</v>
      </c>
      <c r="T1309" s="6">
        <v>44</v>
      </c>
      <c r="U1309" s="6">
        <v>67</v>
      </c>
      <c r="V1309" s="60">
        <f>IF(ISERROR(VLOOKUP($S$1309,'TAR FIN'!$A$1:$O$104,15,0)),0,VLOOKUP($S$1309,'TAR FIN'!$A$1:$O$104,15,0))</f>
        <v>0</v>
      </c>
      <c r="W1309" s="60">
        <f>IF(ISERROR(VLOOKUP($T$1309,'TAR FIN'!$A$1:$O$104,15,0)),0,VLOOKUP($T$1309,'TAR FIN'!$A$1:$O$104,15,0))*(1-0.04)</f>
        <v>60.0672</v>
      </c>
      <c r="X1309" s="60">
        <f>IF(ISERROR(VLOOKUP($U$1309,'TAR FIN'!$A$1:$O$104,15,0)),0,VLOOKUP($U$1309,'TAR FIN'!$A$1:$O$104,15,0))*(1-0.04)</f>
        <v>233.10719999999998</v>
      </c>
      <c r="Y1309" s="60"/>
      <c r="Z1309" s="60">
        <f ca="1">('TUSD BE'!$AM$26+'TUSD BF'!$AM$26+'TUSD CVA'!$AM$26)*1*(1-0.02)</f>
        <v>76.318677921794944</v>
      </c>
      <c r="AA1309" s="60">
        <f>('TE BE'!$AB$8+'TE BF'!$AB$8+'TE CVA'!$AB$8)*1*(1-0.02)</f>
        <v>227.12732236645527</v>
      </c>
      <c r="AB1309" s="6">
        <f>$K$1309*$V$1309</f>
        <v>0</v>
      </c>
      <c r="AC1309" s="6">
        <f>$M$1309*$W$1309</f>
        <v>2803.4563583999998</v>
      </c>
      <c r="AD1309" s="6">
        <f>$O$1309*$X$1309</f>
        <v>10879.579238399998</v>
      </c>
      <c r="AE1309" s="6">
        <f>$K$1309*$Y$1309</f>
        <v>0</v>
      </c>
      <c r="AF1309" s="6">
        <f ca="1">$M$1309*$Z$1309</f>
        <v>3561.9453359660133</v>
      </c>
      <c r="AG1309" s="6">
        <f>$O$1309*$AA$1309</f>
        <v>10600.4863894872</v>
      </c>
    </row>
    <row r="1310" spans="1:33" ht="11.25" customHeight="1" x14ac:dyDescent="0.25">
      <c r="A1310" s="4" t="s">
        <v>28</v>
      </c>
      <c r="B1310" s="4" t="s">
        <v>41</v>
      </c>
      <c r="C1310" s="4" t="s">
        <v>42</v>
      </c>
      <c r="D1310" s="4" t="s">
        <v>45</v>
      </c>
      <c r="E1310" s="4" t="s">
        <v>25</v>
      </c>
      <c r="F1310" s="4" t="s">
        <v>25</v>
      </c>
      <c r="G1310" s="4" t="s">
        <v>25</v>
      </c>
      <c r="H1310" s="4" t="s">
        <v>35</v>
      </c>
      <c r="I1310" s="5">
        <v>44501</v>
      </c>
      <c r="J1310" s="6">
        <v>0</v>
      </c>
      <c r="K1310" s="60">
        <v>0</v>
      </c>
      <c r="L1310" s="6">
        <v>-41.655999999999999</v>
      </c>
      <c r="M1310" s="60">
        <v>-41.655999999999999</v>
      </c>
      <c r="N1310" s="6">
        <v>-41.655999999999999</v>
      </c>
      <c r="O1310" s="60">
        <v>-41.655999999999999</v>
      </c>
      <c r="P1310" s="6">
        <v>0</v>
      </c>
      <c r="Q1310" s="4" t="s">
        <v>26</v>
      </c>
      <c r="R1310" s="4">
        <v>0</v>
      </c>
      <c r="S1310" s="6">
        <v>0</v>
      </c>
      <c r="T1310" s="6">
        <v>44</v>
      </c>
      <c r="U1310" s="6">
        <v>67</v>
      </c>
      <c r="V1310" s="60">
        <f>IF(ISERROR(VLOOKUP($S$1310,'TAR FIN'!$A$1:$O$104,15,0)),0,VLOOKUP($S$1310,'TAR FIN'!$A$1:$O$104,15,0))</f>
        <v>0</v>
      </c>
      <c r="W1310" s="60">
        <f>IF(ISERROR(VLOOKUP($T$1310,'TAR FIN'!$A$1:$O$104,15,0)),0,VLOOKUP($T$1310,'TAR FIN'!$A$1:$O$104,15,0))*(1-0.04)</f>
        <v>60.0672</v>
      </c>
      <c r="X1310" s="60">
        <f>IF(ISERROR(VLOOKUP($U$1310,'TAR FIN'!$A$1:$O$104,15,0)),0,VLOOKUP($U$1310,'TAR FIN'!$A$1:$O$104,15,0))*(1-0.04)</f>
        <v>233.10719999999998</v>
      </c>
      <c r="Y1310" s="60"/>
      <c r="Z1310" s="60">
        <f ca="1">('TUSD BE'!$AM$26+'TUSD BF'!$AM$26+'TUSD CVA'!$AM$26)*1*(1-0.02)</f>
        <v>76.318677921794944</v>
      </c>
      <c r="AA1310" s="60">
        <f>('TE BE'!$AB$8+'TE BF'!$AB$8+'TE CVA'!$AB$8)*1*(1-0.02)</f>
        <v>227.12732236645527</v>
      </c>
      <c r="AB1310" s="6">
        <f>$K$1310*$V$1310</f>
        <v>0</v>
      </c>
      <c r="AC1310" s="6">
        <f>$M$1310*$W$1310</f>
        <v>-2502.1592832000001</v>
      </c>
      <c r="AD1310" s="6">
        <f>$O$1310*$X$1310</f>
        <v>-9710.3135231999986</v>
      </c>
      <c r="AE1310" s="6">
        <f>$K$1310*$Y$1310</f>
        <v>0</v>
      </c>
      <c r="AF1310" s="6">
        <f ca="1">$M$1310*$Z$1310</f>
        <v>-3179.1308475102901</v>
      </c>
      <c r="AG1310" s="6">
        <f>$O$1310*$AA$1310</f>
        <v>-9461.2157404970603</v>
      </c>
    </row>
    <row r="1311" spans="1:33" ht="11.25" customHeight="1" x14ac:dyDescent="0.25">
      <c r="A1311" s="4" t="s">
        <v>21</v>
      </c>
      <c r="B1311" s="4" t="s">
        <v>41</v>
      </c>
      <c r="C1311" s="4" t="s">
        <v>42</v>
      </c>
      <c r="D1311" s="4" t="s">
        <v>45</v>
      </c>
      <c r="E1311" s="4" t="s">
        <v>25</v>
      </c>
      <c r="F1311" s="4" t="s">
        <v>25</v>
      </c>
      <c r="G1311" s="4" t="s">
        <v>25</v>
      </c>
      <c r="H1311" s="4" t="s">
        <v>35</v>
      </c>
      <c r="I1311" s="5">
        <v>44531</v>
      </c>
      <c r="J1311" s="6">
        <v>0</v>
      </c>
      <c r="K1311" s="60">
        <v>0</v>
      </c>
      <c r="L1311" s="6">
        <v>1180.106</v>
      </c>
      <c r="M1311" s="60">
        <v>1180.106</v>
      </c>
      <c r="N1311" s="6">
        <v>1180.106</v>
      </c>
      <c r="O1311" s="60">
        <v>1180.106</v>
      </c>
      <c r="P1311" s="6">
        <v>0</v>
      </c>
      <c r="Q1311" s="4" t="s">
        <v>26</v>
      </c>
      <c r="R1311" s="4">
        <v>0</v>
      </c>
      <c r="S1311" s="6">
        <v>0</v>
      </c>
      <c r="T1311" s="6">
        <v>44</v>
      </c>
      <c r="U1311" s="6">
        <v>67</v>
      </c>
      <c r="V1311" s="60">
        <f>IF(ISERROR(VLOOKUP($S$1311,'TAR FIN'!$A$1:$O$104,15,0)),0,VLOOKUP($S$1311,'TAR FIN'!$A$1:$O$104,15,0))</f>
        <v>0</v>
      </c>
      <c r="W1311" s="60">
        <f>IF(ISERROR(VLOOKUP($T$1311,'TAR FIN'!$A$1:$O$104,15,0)),0,VLOOKUP($T$1311,'TAR FIN'!$A$1:$O$104,15,0))*(1-0.04)</f>
        <v>60.0672</v>
      </c>
      <c r="X1311" s="60">
        <f>IF(ISERROR(VLOOKUP($U$1311,'TAR FIN'!$A$1:$O$104,15,0)),0,VLOOKUP($U$1311,'TAR FIN'!$A$1:$O$104,15,0))*(1-0.04)</f>
        <v>233.10719999999998</v>
      </c>
      <c r="Y1311" s="60"/>
      <c r="Z1311" s="60">
        <f ca="1">('TUSD BE'!$AM$26+'TUSD BF'!$AM$26+'TUSD CVA'!$AM$26)*1*(1-0.02)</f>
        <v>76.318677921794944</v>
      </c>
      <c r="AA1311" s="60">
        <f>('TE BE'!$AB$8+'TE BF'!$AB$8+'TE CVA'!$AB$8)*1*(1-0.02)</f>
        <v>227.12732236645527</v>
      </c>
      <c r="AB1311" s="6">
        <f>$K$1311*$V$1311</f>
        <v>0</v>
      </c>
      <c r="AC1311" s="6">
        <f>$M$1311*$W$1311</f>
        <v>70885.663123199993</v>
      </c>
      <c r="AD1311" s="6">
        <f>$O$1311*$X$1311</f>
        <v>275091.20536319999</v>
      </c>
      <c r="AE1311" s="6">
        <f>$K$1311*$Y$1311</f>
        <v>0</v>
      </c>
      <c r="AF1311" s="6">
        <f ca="1">$M$1311*$Z$1311</f>
        <v>90064.129727577747</v>
      </c>
      <c r="AG1311" s="6">
        <f>$O$1311*$AA$1311</f>
        <v>268034.31588858808</v>
      </c>
    </row>
    <row r="1312" spans="1:33" ht="11.25" customHeight="1" x14ac:dyDescent="0.25">
      <c r="A1312" s="4" t="s">
        <v>27</v>
      </c>
      <c r="B1312" s="4" t="s">
        <v>41</v>
      </c>
      <c r="C1312" s="4" t="s">
        <v>42</v>
      </c>
      <c r="D1312" s="4" t="s">
        <v>45</v>
      </c>
      <c r="E1312" s="4" t="s">
        <v>25</v>
      </c>
      <c r="F1312" s="4" t="s">
        <v>25</v>
      </c>
      <c r="G1312" s="4" t="s">
        <v>25</v>
      </c>
      <c r="H1312" s="4" t="s">
        <v>35</v>
      </c>
      <c r="I1312" s="5">
        <v>44531</v>
      </c>
      <c r="J1312" s="6">
        <v>0</v>
      </c>
      <c r="K1312" s="60">
        <v>0</v>
      </c>
      <c r="L1312" s="6">
        <v>-6.8970000000000002</v>
      </c>
      <c r="M1312" s="60">
        <v>-6.8970000000000002</v>
      </c>
      <c r="N1312" s="6">
        <v>-6.8970000000000002</v>
      </c>
      <c r="O1312" s="60">
        <v>-6.8970000000000002</v>
      </c>
      <c r="P1312" s="6">
        <v>0</v>
      </c>
      <c r="Q1312" s="4" t="s">
        <v>26</v>
      </c>
      <c r="R1312" s="4">
        <v>0</v>
      </c>
      <c r="S1312" s="6">
        <v>0</v>
      </c>
      <c r="T1312" s="6">
        <v>44</v>
      </c>
      <c r="U1312" s="6">
        <v>67</v>
      </c>
      <c r="V1312" s="60">
        <f>IF(ISERROR(VLOOKUP($S$1312,'TAR FIN'!$A$1:$O$104,15,0)),0,VLOOKUP($S$1312,'TAR FIN'!$A$1:$O$104,15,0))</f>
        <v>0</v>
      </c>
      <c r="W1312" s="60">
        <f>IF(ISERROR(VLOOKUP($T$1312,'TAR FIN'!$A$1:$O$104,15,0)),0,VLOOKUP($T$1312,'TAR FIN'!$A$1:$O$104,15,0))*(1-0.04)</f>
        <v>60.0672</v>
      </c>
      <c r="X1312" s="60">
        <f>IF(ISERROR(VLOOKUP($U$1312,'TAR FIN'!$A$1:$O$104,15,0)),0,VLOOKUP($U$1312,'TAR FIN'!$A$1:$O$104,15,0))*(1-0.04)</f>
        <v>233.10719999999998</v>
      </c>
      <c r="Y1312" s="60"/>
      <c r="Z1312" s="60">
        <f ca="1">('TUSD BE'!$AM$26+'TUSD BF'!$AM$26+'TUSD CVA'!$AM$26)*1*(1-0.02)</f>
        <v>76.318677921794944</v>
      </c>
      <c r="AA1312" s="60">
        <f>('TE BE'!$AB$8+'TE BF'!$AB$8+'TE CVA'!$AB$8)*1*(1-0.02)</f>
        <v>227.12732236645527</v>
      </c>
      <c r="AB1312" s="6">
        <f>$K$1312*$V$1312</f>
        <v>0</v>
      </c>
      <c r="AC1312" s="6">
        <f>$M$1312*$W$1312</f>
        <v>-414.28347840000004</v>
      </c>
      <c r="AD1312" s="6">
        <f>$O$1312*$X$1312</f>
        <v>-1607.7403583999999</v>
      </c>
      <c r="AE1312" s="6">
        <f>$K$1312*$Y$1312</f>
        <v>0</v>
      </c>
      <c r="AF1312" s="6">
        <f ca="1">$M$1312*$Z$1312</f>
        <v>-526.36992162661977</v>
      </c>
      <c r="AG1312" s="6">
        <f>$O$1312*$AA$1312</f>
        <v>-1566.497142361442</v>
      </c>
    </row>
    <row r="1313" spans="1:33" ht="11.25" customHeight="1" x14ac:dyDescent="0.25">
      <c r="A1313" s="4" t="s">
        <v>28</v>
      </c>
      <c r="B1313" s="4" t="s">
        <v>41</v>
      </c>
      <c r="C1313" s="4" t="s">
        <v>42</v>
      </c>
      <c r="D1313" s="4" t="s">
        <v>45</v>
      </c>
      <c r="E1313" s="4" t="s">
        <v>25</v>
      </c>
      <c r="F1313" s="4" t="s">
        <v>25</v>
      </c>
      <c r="G1313" s="4" t="s">
        <v>25</v>
      </c>
      <c r="H1313" s="4" t="s">
        <v>35</v>
      </c>
      <c r="I1313" s="5">
        <v>44531</v>
      </c>
      <c r="J1313" s="6">
        <v>0</v>
      </c>
      <c r="K1313" s="60">
        <v>0</v>
      </c>
      <c r="L1313" s="6">
        <v>32.405000000000001</v>
      </c>
      <c r="M1313" s="60">
        <v>32.405000000000001</v>
      </c>
      <c r="N1313" s="6">
        <v>32.405000000000001</v>
      </c>
      <c r="O1313" s="60">
        <v>32.405000000000001</v>
      </c>
      <c r="P1313" s="6">
        <v>0</v>
      </c>
      <c r="Q1313" s="4" t="s">
        <v>26</v>
      </c>
      <c r="R1313" s="4">
        <v>0</v>
      </c>
      <c r="S1313" s="6">
        <v>0</v>
      </c>
      <c r="T1313" s="6">
        <v>44</v>
      </c>
      <c r="U1313" s="6">
        <v>67</v>
      </c>
      <c r="V1313" s="60">
        <f>IF(ISERROR(VLOOKUP($S$1313,'TAR FIN'!$A$1:$O$104,15,0)),0,VLOOKUP($S$1313,'TAR FIN'!$A$1:$O$104,15,0))</f>
        <v>0</v>
      </c>
      <c r="W1313" s="60">
        <f>IF(ISERROR(VLOOKUP($T$1313,'TAR FIN'!$A$1:$O$104,15,0)),0,VLOOKUP($T$1313,'TAR FIN'!$A$1:$O$104,15,0))*(1-0.04)</f>
        <v>60.0672</v>
      </c>
      <c r="X1313" s="60">
        <f>IF(ISERROR(VLOOKUP($U$1313,'TAR FIN'!$A$1:$O$104,15,0)),0,VLOOKUP($U$1313,'TAR FIN'!$A$1:$O$104,15,0))*(1-0.04)</f>
        <v>233.10719999999998</v>
      </c>
      <c r="Y1313" s="60"/>
      <c r="Z1313" s="60">
        <f ca="1">('TUSD BE'!$AM$26+'TUSD BF'!$AM$26+'TUSD CVA'!$AM$26)*1*(1-0.02)</f>
        <v>76.318677921794944</v>
      </c>
      <c r="AA1313" s="60">
        <f>('TE BE'!$AB$8+'TE BF'!$AB$8+'TE CVA'!$AB$8)*1*(1-0.02)</f>
        <v>227.12732236645527</v>
      </c>
      <c r="AB1313" s="6">
        <f>$K$1313*$V$1313</f>
        <v>0</v>
      </c>
      <c r="AC1313" s="6">
        <f>$M$1313*$W$1313</f>
        <v>1946.4776160000001</v>
      </c>
      <c r="AD1313" s="6">
        <f>$O$1313*$X$1313</f>
        <v>7553.8388159999995</v>
      </c>
      <c r="AE1313" s="6">
        <f>$K$1313*$Y$1313</f>
        <v>0</v>
      </c>
      <c r="AF1313" s="6">
        <f ca="1">$M$1313*$Z$1313</f>
        <v>2473.1067580557651</v>
      </c>
      <c r="AG1313" s="6">
        <f>$O$1313*$AA$1313</f>
        <v>7360.0608812849832</v>
      </c>
    </row>
    <row r="1314" spans="1:33" ht="11.25" customHeight="1" x14ac:dyDescent="0.25">
      <c r="A1314" s="4" t="s">
        <v>21</v>
      </c>
      <c r="B1314" s="4" t="s">
        <v>41</v>
      </c>
      <c r="C1314" s="4" t="s">
        <v>42</v>
      </c>
      <c r="D1314" s="4" t="s">
        <v>45</v>
      </c>
      <c r="E1314" s="4" t="s">
        <v>25</v>
      </c>
      <c r="F1314" s="4" t="s">
        <v>25</v>
      </c>
      <c r="G1314" s="4" t="s">
        <v>25</v>
      </c>
      <c r="H1314" s="4" t="s">
        <v>35</v>
      </c>
      <c r="I1314" s="5">
        <v>44562</v>
      </c>
      <c r="J1314" s="6">
        <v>0</v>
      </c>
      <c r="K1314" s="60">
        <v>0</v>
      </c>
      <c r="L1314" s="6">
        <v>1193.9010000000001</v>
      </c>
      <c r="M1314" s="60">
        <v>1193.9010000000001</v>
      </c>
      <c r="N1314" s="6">
        <v>1193.9010000000001</v>
      </c>
      <c r="O1314" s="60">
        <v>1193.9010000000001</v>
      </c>
      <c r="P1314" s="6">
        <v>0</v>
      </c>
      <c r="Q1314" s="4" t="s">
        <v>26</v>
      </c>
      <c r="R1314" s="4">
        <v>0</v>
      </c>
      <c r="S1314" s="6">
        <v>0</v>
      </c>
      <c r="T1314" s="6">
        <v>44</v>
      </c>
      <c r="U1314" s="6">
        <v>67</v>
      </c>
      <c r="V1314" s="60">
        <f>IF(ISERROR(VLOOKUP($S$1314,'TAR FIN'!$A$1:$O$104,15,0)),0,VLOOKUP($S$1314,'TAR FIN'!$A$1:$O$104,15,0))</f>
        <v>0</v>
      </c>
      <c r="W1314" s="60">
        <f>IF(ISERROR(VLOOKUP($T$1314,'TAR FIN'!$A$1:$O$104,15,0)),0,VLOOKUP($T$1314,'TAR FIN'!$A$1:$O$104,15,0))*(1-0.04)</f>
        <v>60.0672</v>
      </c>
      <c r="X1314" s="60">
        <f>IF(ISERROR(VLOOKUP($U$1314,'TAR FIN'!$A$1:$O$104,15,0)),0,VLOOKUP($U$1314,'TAR FIN'!$A$1:$O$104,15,0))*(1-0.04)</f>
        <v>233.10719999999998</v>
      </c>
      <c r="Y1314" s="60"/>
      <c r="Z1314" s="60">
        <f ca="1">('TUSD BE'!$AM$26+'TUSD BF'!$AM$26+'TUSD CVA'!$AM$26)*1*(1-0.02)</f>
        <v>76.318677921794944</v>
      </c>
      <c r="AA1314" s="60">
        <f>('TE BE'!$AB$8+'TE BF'!$AB$8+'TE CVA'!$AB$8)*1*(1-0.02)</f>
        <v>227.12732236645527</v>
      </c>
      <c r="AB1314" s="6">
        <f>$K$1314*$V$1314</f>
        <v>0</v>
      </c>
      <c r="AC1314" s="6">
        <f>$M$1314*$W$1314</f>
        <v>71714.290147200009</v>
      </c>
      <c r="AD1314" s="6">
        <f>$O$1314*$X$1314</f>
        <v>278306.91918719996</v>
      </c>
      <c r="AE1314" s="6">
        <f>$K$1314*$Y$1314</f>
        <v>0</v>
      </c>
      <c r="AF1314" s="6">
        <f ca="1">$M$1314*$Z$1314</f>
        <v>91116.945889508905</v>
      </c>
      <c r="AG1314" s="6">
        <f>$O$1314*$AA$1314</f>
        <v>271167.53730063332</v>
      </c>
    </row>
    <row r="1315" spans="1:33" ht="11.25" customHeight="1" x14ac:dyDescent="0.25">
      <c r="A1315" s="4" t="s">
        <v>28</v>
      </c>
      <c r="B1315" s="4" t="s">
        <v>41</v>
      </c>
      <c r="C1315" s="4" t="s">
        <v>42</v>
      </c>
      <c r="D1315" s="4" t="s">
        <v>45</v>
      </c>
      <c r="E1315" s="4" t="s">
        <v>25</v>
      </c>
      <c r="F1315" s="4" t="s">
        <v>25</v>
      </c>
      <c r="G1315" s="4" t="s">
        <v>25</v>
      </c>
      <c r="H1315" s="4" t="s">
        <v>35</v>
      </c>
      <c r="I1315" s="5">
        <v>44562</v>
      </c>
      <c r="J1315" s="6">
        <v>0</v>
      </c>
      <c r="K1315" s="60">
        <v>0</v>
      </c>
      <c r="L1315" s="6">
        <v>90.117000000000004</v>
      </c>
      <c r="M1315" s="60">
        <v>90.117000000000004</v>
      </c>
      <c r="N1315" s="6">
        <v>90.117000000000004</v>
      </c>
      <c r="O1315" s="60">
        <v>90.117000000000004</v>
      </c>
      <c r="P1315" s="6">
        <v>0</v>
      </c>
      <c r="Q1315" s="4" t="s">
        <v>26</v>
      </c>
      <c r="R1315" s="4">
        <v>0</v>
      </c>
      <c r="S1315" s="6">
        <v>0</v>
      </c>
      <c r="T1315" s="6">
        <v>44</v>
      </c>
      <c r="U1315" s="6">
        <v>67</v>
      </c>
      <c r="V1315" s="60">
        <f>IF(ISERROR(VLOOKUP($S$1315,'TAR FIN'!$A$1:$O$104,15,0)),0,VLOOKUP($S$1315,'TAR FIN'!$A$1:$O$104,15,0))</f>
        <v>0</v>
      </c>
      <c r="W1315" s="60">
        <f>IF(ISERROR(VLOOKUP($T$1315,'TAR FIN'!$A$1:$O$104,15,0)),0,VLOOKUP($T$1315,'TAR FIN'!$A$1:$O$104,15,0))*(1-0.04)</f>
        <v>60.0672</v>
      </c>
      <c r="X1315" s="60">
        <f>IF(ISERROR(VLOOKUP($U$1315,'TAR FIN'!$A$1:$O$104,15,0)),0,VLOOKUP($U$1315,'TAR FIN'!$A$1:$O$104,15,0))*(1-0.04)</f>
        <v>233.10719999999998</v>
      </c>
      <c r="Y1315" s="60"/>
      <c r="Z1315" s="60">
        <f ca="1">('TUSD BE'!$AM$26+'TUSD BF'!$AM$26+'TUSD CVA'!$AM$26)*1*(1-0.02)</f>
        <v>76.318677921794944</v>
      </c>
      <c r="AA1315" s="60">
        <f>('TE BE'!$AB$8+'TE BF'!$AB$8+'TE CVA'!$AB$8)*1*(1-0.02)</f>
        <v>227.12732236645527</v>
      </c>
      <c r="AB1315" s="6">
        <f>$K$1315*$V$1315</f>
        <v>0</v>
      </c>
      <c r="AC1315" s="6">
        <f>$M$1315*$W$1315</f>
        <v>5413.0758624</v>
      </c>
      <c r="AD1315" s="6">
        <f>$O$1315*$X$1315</f>
        <v>21006.921542399999</v>
      </c>
      <c r="AE1315" s="6">
        <f>$K$1315*$Y$1315</f>
        <v>0</v>
      </c>
      <c r="AF1315" s="6">
        <f ca="1">$M$1315*$Z$1315</f>
        <v>6877.610298278395</v>
      </c>
      <c r="AG1315" s="6">
        <f>$O$1315*$AA$1315</f>
        <v>20468.032909697849</v>
      </c>
    </row>
    <row r="1316" spans="1:33" ht="11.25" customHeight="1" x14ac:dyDescent="0.25">
      <c r="A1316" s="4" t="s">
        <v>21</v>
      </c>
      <c r="B1316" s="4" t="s">
        <v>41</v>
      </c>
      <c r="C1316" s="4" t="s">
        <v>42</v>
      </c>
      <c r="D1316" s="4" t="s">
        <v>45</v>
      </c>
      <c r="E1316" s="4" t="s">
        <v>25</v>
      </c>
      <c r="F1316" s="4" t="s">
        <v>25</v>
      </c>
      <c r="G1316" s="4" t="s">
        <v>25</v>
      </c>
      <c r="H1316" s="4" t="s">
        <v>35</v>
      </c>
      <c r="I1316" s="5">
        <v>44593</v>
      </c>
      <c r="J1316" s="6">
        <v>0</v>
      </c>
      <c r="K1316" s="60">
        <v>0</v>
      </c>
      <c r="L1316" s="6">
        <v>999.81799999999998</v>
      </c>
      <c r="M1316" s="60">
        <v>999.81799999999998</v>
      </c>
      <c r="N1316" s="6">
        <v>999.81799999999998</v>
      </c>
      <c r="O1316" s="60">
        <v>999.81799999999998</v>
      </c>
      <c r="P1316" s="6">
        <v>0</v>
      </c>
      <c r="Q1316" s="4" t="s">
        <v>26</v>
      </c>
      <c r="R1316" s="4">
        <v>0</v>
      </c>
      <c r="S1316" s="6">
        <v>0</v>
      </c>
      <c r="T1316" s="6">
        <v>44</v>
      </c>
      <c r="U1316" s="6">
        <v>67</v>
      </c>
      <c r="V1316" s="60">
        <f>IF(ISERROR(VLOOKUP($S$1316,'TAR FIN'!$A$1:$O$104,15,0)),0,VLOOKUP($S$1316,'TAR FIN'!$A$1:$O$104,15,0))</f>
        <v>0</v>
      </c>
      <c r="W1316" s="60">
        <f>IF(ISERROR(VLOOKUP($T$1316,'TAR FIN'!$A$1:$O$104,15,0)),0,VLOOKUP($T$1316,'TAR FIN'!$A$1:$O$104,15,0))*(1-0.04)</f>
        <v>60.0672</v>
      </c>
      <c r="X1316" s="60">
        <f>IF(ISERROR(VLOOKUP($U$1316,'TAR FIN'!$A$1:$O$104,15,0)),0,VLOOKUP($U$1316,'TAR FIN'!$A$1:$O$104,15,0))*(1-0.04)</f>
        <v>233.10719999999998</v>
      </c>
      <c r="Y1316" s="60"/>
      <c r="Z1316" s="60">
        <f ca="1">('TUSD BE'!$AM$26+'TUSD BF'!$AM$26+'TUSD CVA'!$AM$26)*1*(1-0.02)</f>
        <v>76.318677921794944</v>
      </c>
      <c r="AA1316" s="60">
        <f>('TE BE'!$AB$8+'TE BF'!$AB$8+'TE CVA'!$AB$8)*1*(1-0.02)</f>
        <v>227.12732236645527</v>
      </c>
      <c r="AB1316" s="6">
        <f>$K$1316*$V$1316</f>
        <v>0</v>
      </c>
      <c r="AC1316" s="6">
        <f>$M$1316*$W$1316</f>
        <v>60056.267769599996</v>
      </c>
      <c r="AD1316" s="6">
        <f>$O$1316*$X$1316</f>
        <v>233064.77448959998</v>
      </c>
      <c r="AE1316" s="6">
        <f>$K$1316*$Y$1316</f>
        <v>0</v>
      </c>
      <c r="AF1316" s="6">
        <f ca="1">$M$1316*$Z$1316</f>
        <v>76304.787922413176</v>
      </c>
      <c r="AG1316" s="6">
        <f>$O$1316*$AA$1316</f>
        <v>227085.98519378458</v>
      </c>
    </row>
    <row r="1317" spans="1:33" ht="11.25" customHeight="1" x14ac:dyDescent="0.25">
      <c r="A1317" s="4" t="s">
        <v>27</v>
      </c>
      <c r="B1317" s="4" t="s">
        <v>41</v>
      </c>
      <c r="C1317" s="4" t="s">
        <v>42</v>
      </c>
      <c r="D1317" s="4" t="s">
        <v>45</v>
      </c>
      <c r="E1317" s="4" t="s">
        <v>25</v>
      </c>
      <c r="F1317" s="4" t="s">
        <v>25</v>
      </c>
      <c r="G1317" s="4" t="s">
        <v>25</v>
      </c>
      <c r="H1317" s="4" t="s">
        <v>35</v>
      </c>
      <c r="I1317" s="5">
        <v>44593</v>
      </c>
      <c r="J1317" s="6">
        <v>0</v>
      </c>
      <c r="K1317" s="60">
        <v>0</v>
      </c>
      <c r="L1317" s="6">
        <v>45.15</v>
      </c>
      <c r="M1317" s="60">
        <v>45.15</v>
      </c>
      <c r="N1317" s="6">
        <v>45.15</v>
      </c>
      <c r="O1317" s="60">
        <v>45.15</v>
      </c>
      <c r="P1317" s="6">
        <v>0</v>
      </c>
      <c r="Q1317" s="4" t="s">
        <v>26</v>
      </c>
      <c r="R1317" s="4">
        <v>0</v>
      </c>
      <c r="S1317" s="6">
        <v>0</v>
      </c>
      <c r="T1317" s="6">
        <v>44</v>
      </c>
      <c r="U1317" s="6">
        <v>67</v>
      </c>
      <c r="V1317" s="60">
        <f>IF(ISERROR(VLOOKUP($S$1317,'TAR FIN'!$A$1:$O$104,15,0)),0,VLOOKUP($S$1317,'TAR FIN'!$A$1:$O$104,15,0))</f>
        <v>0</v>
      </c>
      <c r="W1317" s="60">
        <f>IF(ISERROR(VLOOKUP($T$1317,'TAR FIN'!$A$1:$O$104,15,0)),0,VLOOKUP($T$1317,'TAR FIN'!$A$1:$O$104,15,0))*(1-0.04)</f>
        <v>60.0672</v>
      </c>
      <c r="X1317" s="60">
        <f>IF(ISERROR(VLOOKUP($U$1317,'TAR FIN'!$A$1:$O$104,15,0)),0,VLOOKUP($U$1317,'TAR FIN'!$A$1:$O$104,15,0))*(1-0.04)</f>
        <v>233.10719999999998</v>
      </c>
      <c r="Y1317" s="60"/>
      <c r="Z1317" s="60">
        <f ca="1">('TUSD BE'!$AM$26+'TUSD BF'!$AM$26+'TUSD CVA'!$AM$26)*1*(1-0.02)</f>
        <v>76.318677921794944</v>
      </c>
      <c r="AA1317" s="60">
        <f>('TE BE'!$AB$8+'TE BF'!$AB$8+'TE CVA'!$AB$8)*1*(1-0.02)</f>
        <v>227.12732236645527</v>
      </c>
      <c r="AB1317" s="6">
        <f>$K$1317*$V$1317</f>
        <v>0</v>
      </c>
      <c r="AC1317" s="6">
        <f>$M$1317*$W$1317</f>
        <v>2712.0340799999999</v>
      </c>
      <c r="AD1317" s="6">
        <f>$O$1317*$X$1317</f>
        <v>10524.790079999999</v>
      </c>
      <c r="AE1317" s="6">
        <f>$K$1317*$Y$1317</f>
        <v>0</v>
      </c>
      <c r="AF1317" s="6">
        <f ca="1">$M$1317*$Z$1317</f>
        <v>3445.7883081690416</v>
      </c>
      <c r="AG1317" s="6">
        <f>$O$1317*$AA$1317</f>
        <v>10254.798604845455</v>
      </c>
    </row>
    <row r="1318" spans="1:33" ht="11.25" customHeight="1" x14ac:dyDescent="0.25">
      <c r="A1318" s="4" t="s">
        <v>28</v>
      </c>
      <c r="B1318" s="4" t="s">
        <v>41</v>
      </c>
      <c r="C1318" s="4" t="s">
        <v>42</v>
      </c>
      <c r="D1318" s="4" t="s">
        <v>45</v>
      </c>
      <c r="E1318" s="4" t="s">
        <v>25</v>
      </c>
      <c r="F1318" s="4" t="s">
        <v>25</v>
      </c>
      <c r="G1318" s="4" t="s">
        <v>25</v>
      </c>
      <c r="H1318" s="4" t="s">
        <v>35</v>
      </c>
      <c r="I1318" s="5">
        <v>44593</v>
      </c>
      <c r="J1318" s="6">
        <v>0</v>
      </c>
      <c r="K1318" s="60">
        <v>0</v>
      </c>
      <c r="L1318" s="6">
        <v>42.384999999999998</v>
      </c>
      <c r="M1318" s="60">
        <v>42.384999999999998</v>
      </c>
      <c r="N1318" s="6">
        <v>42.384999999999998</v>
      </c>
      <c r="O1318" s="60">
        <v>42.384999999999998</v>
      </c>
      <c r="P1318" s="6">
        <v>0</v>
      </c>
      <c r="Q1318" s="4" t="s">
        <v>26</v>
      </c>
      <c r="R1318" s="4">
        <v>0</v>
      </c>
      <c r="S1318" s="6">
        <v>0</v>
      </c>
      <c r="T1318" s="6">
        <v>44</v>
      </c>
      <c r="U1318" s="6">
        <v>67</v>
      </c>
      <c r="V1318" s="60">
        <f>IF(ISERROR(VLOOKUP($S$1318,'TAR FIN'!$A$1:$O$104,15,0)),0,VLOOKUP($S$1318,'TAR FIN'!$A$1:$O$104,15,0))</f>
        <v>0</v>
      </c>
      <c r="W1318" s="60">
        <f>IF(ISERROR(VLOOKUP($T$1318,'TAR FIN'!$A$1:$O$104,15,0)),0,VLOOKUP($T$1318,'TAR FIN'!$A$1:$O$104,15,0))*(1-0.04)</f>
        <v>60.0672</v>
      </c>
      <c r="X1318" s="60">
        <f>IF(ISERROR(VLOOKUP($U$1318,'TAR FIN'!$A$1:$O$104,15,0)),0,VLOOKUP($U$1318,'TAR FIN'!$A$1:$O$104,15,0))*(1-0.04)</f>
        <v>233.10719999999998</v>
      </c>
      <c r="Y1318" s="60"/>
      <c r="Z1318" s="60">
        <f ca="1">('TUSD BE'!$AM$26+'TUSD BF'!$AM$26+'TUSD CVA'!$AM$26)*1*(1-0.02)</f>
        <v>76.318677921794944</v>
      </c>
      <c r="AA1318" s="60">
        <f>('TE BE'!$AB$8+'TE BF'!$AB$8+'TE CVA'!$AB$8)*1*(1-0.02)</f>
        <v>227.12732236645527</v>
      </c>
      <c r="AB1318" s="6">
        <f>$K$1318*$V$1318</f>
        <v>0</v>
      </c>
      <c r="AC1318" s="6">
        <f>$M$1318*$W$1318</f>
        <v>2545.9482720000001</v>
      </c>
      <c r="AD1318" s="6">
        <f>$O$1318*$X$1318</f>
        <v>9880.2486719999979</v>
      </c>
      <c r="AE1318" s="6">
        <f>$K$1318*$Y$1318</f>
        <v>0</v>
      </c>
      <c r="AF1318" s="6">
        <f ca="1">$M$1318*$Z$1318</f>
        <v>3234.7671637152785</v>
      </c>
      <c r="AG1318" s="6">
        <f>$O$1318*$AA$1318</f>
        <v>9626.7915585022056</v>
      </c>
    </row>
    <row r="1319" spans="1:33" ht="11.25" customHeight="1" x14ac:dyDescent="0.25">
      <c r="A1319" s="4" t="s">
        <v>21</v>
      </c>
      <c r="B1319" s="4" t="s">
        <v>41</v>
      </c>
      <c r="C1319" s="4" t="s">
        <v>42</v>
      </c>
      <c r="D1319" s="4" t="s">
        <v>45</v>
      </c>
      <c r="E1319" s="4" t="s">
        <v>25</v>
      </c>
      <c r="F1319" s="4" t="s">
        <v>25</v>
      </c>
      <c r="G1319" s="4" t="s">
        <v>25</v>
      </c>
      <c r="H1319" s="4" t="s">
        <v>35</v>
      </c>
      <c r="I1319" s="5">
        <v>44621</v>
      </c>
      <c r="J1319" s="6">
        <v>0</v>
      </c>
      <c r="K1319" s="60">
        <v>0</v>
      </c>
      <c r="L1319" s="6">
        <v>1049.3699999999999</v>
      </c>
      <c r="M1319" s="60">
        <v>1049.3699999999999</v>
      </c>
      <c r="N1319" s="6">
        <v>1049.3699999999999</v>
      </c>
      <c r="O1319" s="60">
        <v>1049.3699999999999</v>
      </c>
      <c r="P1319" s="6">
        <v>0</v>
      </c>
      <c r="Q1319" s="4" t="s">
        <v>26</v>
      </c>
      <c r="R1319" s="4">
        <v>0</v>
      </c>
      <c r="S1319" s="6">
        <v>0</v>
      </c>
      <c r="T1319" s="6">
        <v>44</v>
      </c>
      <c r="U1319" s="6">
        <v>67</v>
      </c>
      <c r="V1319" s="60">
        <f>IF(ISERROR(VLOOKUP($S$1319,'TAR FIN'!$A$1:$O$104,15,0)),0,VLOOKUP($S$1319,'TAR FIN'!$A$1:$O$104,15,0))</f>
        <v>0</v>
      </c>
      <c r="W1319" s="60">
        <f>IF(ISERROR(VLOOKUP($T$1319,'TAR FIN'!$A$1:$O$104,15,0)),0,VLOOKUP($T$1319,'TAR FIN'!$A$1:$O$104,15,0))*(1-0.04)</f>
        <v>60.0672</v>
      </c>
      <c r="X1319" s="60">
        <f>IF(ISERROR(VLOOKUP($U$1319,'TAR FIN'!$A$1:$O$104,15,0)),0,VLOOKUP($U$1319,'TAR FIN'!$A$1:$O$104,15,0))*(1-0.04)</f>
        <v>233.10719999999998</v>
      </c>
      <c r="Y1319" s="60"/>
      <c r="Z1319" s="60">
        <f ca="1">('TUSD BE'!$AM$26+'TUSD BF'!$AM$26+'TUSD CVA'!$AM$26)*1*(1-0.02)</f>
        <v>76.318677921794944</v>
      </c>
      <c r="AA1319" s="60">
        <f>('TE BE'!$AB$8+'TE BF'!$AB$8+'TE CVA'!$AB$8)*1*(1-0.02)</f>
        <v>227.12732236645527</v>
      </c>
      <c r="AB1319" s="6">
        <f>$K$1319*$V$1319</f>
        <v>0</v>
      </c>
      <c r="AC1319" s="6">
        <f>$M$1319*$W$1319</f>
        <v>63032.717663999996</v>
      </c>
      <c r="AD1319" s="6">
        <f>$O$1319*$X$1319</f>
        <v>244615.70246399994</v>
      </c>
      <c r="AE1319" s="6">
        <f>$K$1319*$Y$1319</f>
        <v>0</v>
      </c>
      <c r="AF1319" s="6">
        <f ca="1">$M$1319*$Z$1319</f>
        <v>80086.531050793958</v>
      </c>
      <c r="AG1319" s="6">
        <f>$O$1319*$AA$1319</f>
        <v>238340.59827168714</v>
      </c>
    </row>
    <row r="1320" spans="1:33" ht="11.25" customHeight="1" x14ac:dyDescent="0.25">
      <c r="A1320" s="4" t="s">
        <v>27</v>
      </c>
      <c r="B1320" s="4" t="s">
        <v>41</v>
      </c>
      <c r="C1320" s="4" t="s">
        <v>42</v>
      </c>
      <c r="D1320" s="4" t="s">
        <v>45</v>
      </c>
      <c r="E1320" s="4" t="s">
        <v>25</v>
      </c>
      <c r="F1320" s="4" t="s">
        <v>25</v>
      </c>
      <c r="G1320" s="4" t="s">
        <v>25</v>
      </c>
      <c r="H1320" s="4" t="s">
        <v>35</v>
      </c>
      <c r="I1320" s="5">
        <v>44621</v>
      </c>
      <c r="J1320" s="6">
        <v>0</v>
      </c>
      <c r="K1320" s="60">
        <v>0</v>
      </c>
      <c r="L1320" s="6">
        <v>-28.718</v>
      </c>
      <c r="M1320" s="60">
        <v>-28.718</v>
      </c>
      <c r="N1320" s="6">
        <v>-28.718</v>
      </c>
      <c r="O1320" s="60">
        <v>-28.718</v>
      </c>
      <c r="P1320" s="6">
        <v>0</v>
      </c>
      <c r="Q1320" s="4" t="s">
        <v>26</v>
      </c>
      <c r="R1320" s="4">
        <v>0</v>
      </c>
      <c r="S1320" s="6">
        <v>0</v>
      </c>
      <c r="T1320" s="6">
        <v>44</v>
      </c>
      <c r="U1320" s="6">
        <v>67</v>
      </c>
      <c r="V1320" s="60">
        <f>IF(ISERROR(VLOOKUP($S$1320,'TAR FIN'!$A$1:$O$104,15,0)),0,VLOOKUP($S$1320,'TAR FIN'!$A$1:$O$104,15,0))</f>
        <v>0</v>
      </c>
      <c r="W1320" s="60">
        <f>IF(ISERROR(VLOOKUP($T$1320,'TAR FIN'!$A$1:$O$104,15,0)),0,VLOOKUP($T$1320,'TAR FIN'!$A$1:$O$104,15,0))*(1-0.04)</f>
        <v>60.0672</v>
      </c>
      <c r="X1320" s="60">
        <f>IF(ISERROR(VLOOKUP($U$1320,'TAR FIN'!$A$1:$O$104,15,0)),0,VLOOKUP($U$1320,'TAR FIN'!$A$1:$O$104,15,0))*(1-0.04)</f>
        <v>233.10719999999998</v>
      </c>
      <c r="Y1320" s="60"/>
      <c r="Z1320" s="60">
        <f ca="1">('TUSD BE'!$AM$26+'TUSD BF'!$AM$26+'TUSD CVA'!$AM$26)*1*(1-0.02)</f>
        <v>76.318677921794944</v>
      </c>
      <c r="AA1320" s="60">
        <f>('TE BE'!$AB$8+'TE BF'!$AB$8+'TE CVA'!$AB$8)*1*(1-0.02)</f>
        <v>227.12732236645527</v>
      </c>
      <c r="AB1320" s="6">
        <f>$K$1320*$V$1320</f>
        <v>0</v>
      </c>
      <c r="AC1320" s="6">
        <f>$M$1320*$W$1320</f>
        <v>-1725.0098496000001</v>
      </c>
      <c r="AD1320" s="6">
        <f>$O$1320*$X$1320</f>
        <v>-6694.3725695999992</v>
      </c>
      <c r="AE1320" s="6">
        <f>$K$1320*$Y$1320</f>
        <v>0</v>
      </c>
      <c r="AF1320" s="6">
        <f ca="1">$M$1320*$Z$1320</f>
        <v>-2191.7197925581072</v>
      </c>
      <c r="AG1320" s="6">
        <f>$O$1320*$AA$1320</f>
        <v>-6522.642443719863</v>
      </c>
    </row>
    <row r="1321" spans="1:33" ht="11.25" customHeight="1" x14ac:dyDescent="0.25">
      <c r="A1321" s="4" t="s">
        <v>28</v>
      </c>
      <c r="B1321" s="4" t="s">
        <v>41</v>
      </c>
      <c r="C1321" s="4" t="s">
        <v>42</v>
      </c>
      <c r="D1321" s="4" t="s">
        <v>45</v>
      </c>
      <c r="E1321" s="4" t="s">
        <v>25</v>
      </c>
      <c r="F1321" s="4" t="s">
        <v>25</v>
      </c>
      <c r="G1321" s="4" t="s">
        <v>25</v>
      </c>
      <c r="H1321" s="4" t="s">
        <v>35</v>
      </c>
      <c r="I1321" s="5">
        <v>44621</v>
      </c>
      <c r="J1321" s="6">
        <v>0</v>
      </c>
      <c r="K1321" s="60">
        <v>0</v>
      </c>
      <c r="L1321" s="6">
        <v>28.227</v>
      </c>
      <c r="M1321" s="60">
        <v>28.227</v>
      </c>
      <c r="N1321" s="6">
        <v>28.227</v>
      </c>
      <c r="O1321" s="60">
        <v>28.227</v>
      </c>
      <c r="P1321" s="6">
        <v>0</v>
      </c>
      <c r="Q1321" s="4" t="s">
        <v>26</v>
      </c>
      <c r="R1321" s="4">
        <v>0</v>
      </c>
      <c r="S1321" s="6">
        <v>0</v>
      </c>
      <c r="T1321" s="6">
        <v>44</v>
      </c>
      <c r="U1321" s="6">
        <v>67</v>
      </c>
      <c r="V1321" s="60">
        <f>IF(ISERROR(VLOOKUP($S$1321,'TAR FIN'!$A$1:$O$104,15,0)),0,VLOOKUP($S$1321,'TAR FIN'!$A$1:$O$104,15,0))</f>
        <v>0</v>
      </c>
      <c r="W1321" s="60">
        <f>IF(ISERROR(VLOOKUP($T$1321,'TAR FIN'!$A$1:$O$104,15,0)),0,VLOOKUP($T$1321,'TAR FIN'!$A$1:$O$104,15,0))*(1-0.04)</f>
        <v>60.0672</v>
      </c>
      <c r="X1321" s="60">
        <f>IF(ISERROR(VLOOKUP($U$1321,'TAR FIN'!$A$1:$O$104,15,0)),0,VLOOKUP($U$1321,'TAR FIN'!$A$1:$O$104,15,0))*(1-0.04)</f>
        <v>233.10719999999998</v>
      </c>
      <c r="Y1321" s="60"/>
      <c r="Z1321" s="60">
        <f ca="1">('TUSD BE'!$AM$26+'TUSD BF'!$AM$26+'TUSD CVA'!$AM$26)*1*(1-0.02)</f>
        <v>76.318677921794944</v>
      </c>
      <c r="AA1321" s="60">
        <f>('TE BE'!$AB$8+'TE BF'!$AB$8+'TE CVA'!$AB$8)*1*(1-0.02)</f>
        <v>227.12732236645527</v>
      </c>
      <c r="AB1321" s="6">
        <f>$K$1321*$V$1321</f>
        <v>0</v>
      </c>
      <c r="AC1321" s="6">
        <f>$M$1321*$W$1321</f>
        <v>1695.5168544000001</v>
      </c>
      <c r="AD1321" s="6">
        <f>$O$1321*$X$1321</f>
        <v>6579.9169343999993</v>
      </c>
      <c r="AE1321" s="6">
        <f>$K$1321*$Y$1321</f>
        <v>0</v>
      </c>
      <c r="AF1321" s="6">
        <f ca="1">$M$1321*$Z$1321</f>
        <v>2154.2473216985059</v>
      </c>
      <c r="AG1321" s="6">
        <f>$O$1321*$AA$1321</f>
        <v>6411.1229284379333</v>
      </c>
    </row>
    <row r="1322" spans="1:33" ht="11.25" customHeight="1" x14ac:dyDescent="0.25">
      <c r="A1322" s="4" t="s">
        <v>21</v>
      </c>
      <c r="B1322" s="4" t="s">
        <v>41</v>
      </c>
      <c r="C1322" s="4" t="s">
        <v>42</v>
      </c>
      <c r="D1322" s="4" t="s">
        <v>45</v>
      </c>
      <c r="E1322" s="4" t="s">
        <v>25</v>
      </c>
      <c r="F1322" s="4" t="s">
        <v>25</v>
      </c>
      <c r="G1322" s="4" t="s">
        <v>25</v>
      </c>
      <c r="H1322" s="4" t="s">
        <v>35</v>
      </c>
      <c r="I1322" s="5">
        <v>44652</v>
      </c>
      <c r="J1322" s="6">
        <v>0</v>
      </c>
      <c r="K1322" s="60">
        <v>0</v>
      </c>
      <c r="L1322" s="6">
        <v>1056.098</v>
      </c>
      <c r="M1322" s="60">
        <v>1056.098</v>
      </c>
      <c r="N1322" s="6">
        <v>1056.098</v>
      </c>
      <c r="O1322" s="60">
        <v>1056.098</v>
      </c>
      <c r="P1322" s="6">
        <v>0</v>
      </c>
      <c r="Q1322" s="4" t="s">
        <v>26</v>
      </c>
      <c r="R1322" s="4">
        <v>0</v>
      </c>
      <c r="S1322" s="6">
        <v>0</v>
      </c>
      <c r="T1322" s="6">
        <v>44</v>
      </c>
      <c r="U1322" s="6">
        <v>67</v>
      </c>
      <c r="V1322" s="60">
        <f>IF(ISERROR(VLOOKUP($S$1322,'TAR FIN'!$A$1:$O$104,15,0)),0,VLOOKUP($S$1322,'TAR FIN'!$A$1:$O$104,15,0))</f>
        <v>0</v>
      </c>
      <c r="W1322" s="60">
        <f>IF(ISERROR(VLOOKUP($T$1322,'TAR FIN'!$A$1:$O$104,15,0)),0,VLOOKUP($T$1322,'TAR FIN'!$A$1:$O$104,15,0))*(1-0.04)</f>
        <v>60.0672</v>
      </c>
      <c r="X1322" s="60">
        <f>IF(ISERROR(VLOOKUP($U$1322,'TAR FIN'!$A$1:$O$104,15,0)),0,VLOOKUP($U$1322,'TAR FIN'!$A$1:$O$104,15,0))*(1-0.04)</f>
        <v>233.10719999999998</v>
      </c>
      <c r="Y1322" s="60"/>
      <c r="Z1322" s="60">
        <f ca="1">('TUSD BE'!$AM$26+'TUSD BF'!$AM$26+'TUSD CVA'!$AM$26)*1*(1-0.02)</f>
        <v>76.318677921794944</v>
      </c>
      <c r="AA1322" s="60">
        <f>('TE BE'!$AB$8+'TE BF'!$AB$8+'TE CVA'!$AB$8)*1*(1-0.02)</f>
        <v>227.12732236645527</v>
      </c>
      <c r="AB1322" s="6">
        <f>$K$1322*$V$1322</f>
        <v>0</v>
      </c>
      <c r="AC1322" s="6">
        <f>$M$1322*$W$1322</f>
        <v>63436.849785599996</v>
      </c>
      <c r="AD1322" s="6">
        <f>$O$1322*$X$1322</f>
        <v>246184.04770559998</v>
      </c>
      <c r="AE1322" s="6">
        <f>$K$1322*$Y$1322</f>
        <v>0</v>
      </c>
      <c r="AF1322" s="6">
        <f ca="1">$M$1322*$Z$1322</f>
        <v>80600.003115851796</v>
      </c>
      <c r="AG1322" s="6">
        <f>$O$1322*$AA$1322</f>
        <v>239868.71089656866</v>
      </c>
    </row>
    <row r="1323" spans="1:33" ht="11.25" customHeight="1" x14ac:dyDescent="0.25">
      <c r="A1323" s="4" t="s">
        <v>27</v>
      </c>
      <c r="B1323" s="4" t="s">
        <v>41</v>
      </c>
      <c r="C1323" s="4" t="s">
        <v>42</v>
      </c>
      <c r="D1323" s="4" t="s">
        <v>45</v>
      </c>
      <c r="E1323" s="4" t="s">
        <v>25</v>
      </c>
      <c r="F1323" s="4" t="s">
        <v>25</v>
      </c>
      <c r="G1323" s="4" t="s">
        <v>25</v>
      </c>
      <c r="H1323" s="4" t="s">
        <v>35</v>
      </c>
      <c r="I1323" s="5">
        <v>44652</v>
      </c>
      <c r="J1323" s="6">
        <v>0</v>
      </c>
      <c r="K1323" s="60">
        <v>0</v>
      </c>
      <c r="L1323" s="6">
        <v>1.07</v>
      </c>
      <c r="M1323" s="60">
        <v>1.07</v>
      </c>
      <c r="N1323" s="6">
        <v>1.07</v>
      </c>
      <c r="O1323" s="60">
        <v>1.07</v>
      </c>
      <c r="P1323" s="6">
        <v>0</v>
      </c>
      <c r="Q1323" s="4" t="s">
        <v>26</v>
      </c>
      <c r="R1323" s="4">
        <v>0</v>
      </c>
      <c r="S1323" s="6">
        <v>0</v>
      </c>
      <c r="T1323" s="6">
        <v>44</v>
      </c>
      <c r="U1323" s="6">
        <v>67</v>
      </c>
      <c r="V1323" s="60">
        <f>IF(ISERROR(VLOOKUP($S$1323,'TAR FIN'!$A$1:$O$104,15,0)),0,VLOOKUP($S$1323,'TAR FIN'!$A$1:$O$104,15,0))</f>
        <v>0</v>
      </c>
      <c r="W1323" s="60">
        <f>IF(ISERROR(VLOOKUP($T$1323,'TAR FIN'!$A$1:$O$104,15,0)),0,VLOOKUP($T$1323,'TAR FIN'!$A$1:$O$104,15,0))*(1-0.04)</f>
        <v>60.0672</v>
      </c>
      <c r="X1323" s="60">
        <f>IF(ISERROR(VLOOKUP($U$1323,'TAR FIN'!$A$1:$O$104,15,0)),0,VLOOKUP($U$1323,'TAR FIN'!$A$1:$O$104,15,0))*(1-0.04)</f>
        <v>233.10719999999998</v>
      </c>
      <c r="Y1323" s="60"/>
      <c r="Z1323" s="60">
        <f ca="1">('TUSD BE'!$AM$26+'TUSD BF'!$AM$26+'TUSD CVA'!$AM$26)*1*(1-0.02)</f>
        <v>76.318677921794944</v>
      </c>
      <c r="AA1323" s="60">
        <f>('TE BE'!$AB$8+'TE BF'!$AB$8+'TE CVA'!$AB$8)*1*(1-0.02)</f>
        <v>227.12732236645527</v>
      </c>
      <c r="AB1323" s="6">
        <f>$K$1323*$V$1323</f>
        <v>0</v>
      </c>
      <c r="AC1323" s="6">
        <f>$M$1323*$W$1323</f>
        <v>64.271904000000006</v>
      </c>
      <c r="AD1323" s="6">
        <f>$O$1323*$X$1323</f>
        <v>249.42470399999999</v>
      </c>
      <c r="AE1323" s="6">
        <f>$K$1323*$Y$1323</f>
        <v>0</v>
      </c>
      <c r="AF1323" s="6">
        <f ca="1">$M$1323*$Z$1323</f>
        <v>81.660985376320596</v>
      </c>
      <c r="AG1323" s="6">
        <f>$O$1323*$AA$1323</f>
        <v>243.02623493210714</v>
      </c>
    </row>
    <row r="1324" spans="1:33" ht="11.25" customHeight="1" x14ac:dyDescent="0.25">
      <c r="A1324" s="4" t="s">
        <v>28</v>
      </c>
      <c r="B1324" s="4" t="s">
        <v>41</v>
      </c>
      <c r="C1324" s="4" t="s">
        <v>42</v>
      </c>
      <c r="D1324" s="4" t="s">
        <v>45</v>
      </c>
      <c r="E1324" s="4" t="s">
        <v>25</v>
      </c>
      <c r="F1324" s="4" t="s">
        <v>25</v>
      </c>
      <c r="G1324" s="4" t="s">
        <v>25</v>
      </c>
      <c r="H1324" s="4" t="s">
        <v>35</v>
      </c>
      <c r="I1324" s="5">
        <v>44652</v>
      </c>
      <c r="J1324" s="6">
        <v>0</v>
      </c>
      <c r="K1324" s="60">
        <v>0</v>
      </c>
      <c r="L1324" s="6">
        <v>40.970999999999997</v>
      </c>
      <c r="M1324" s="60">
        <v>40.970999999999997</v>
      </c>
      <c r="N1324" s="6">
        <v>40.970999999999997</v>
      </c>
      <c r="O1324" s="60">
        <v>40.970999999999997</v>
      </c>
      <c r="P1324" s="6">
        <v>0</v>
      </c>
      <c r="Q1324" s="4" t="s">
        <v>26</v>
      </c>
      <c r="R1324" s="4">
        <v>0</v>
      </c>
      <c r="S1324" s="6">
        <v>0</v>
      </c>
      <c r="T1324" s="6">
        <v>44</v>
      </c>
      <c r="U1324" s="6">
        <v>67</v>
      </c>
      <c r="V1324" s="60">
        <f>IF(ISERROR(VLOOKUP($S$1324,'TAR FIN'!$A$1:$O$104,15,0)),0,VLOOKUP($S$1324,'TAR FIN'!$A$1:$O$104,15,0))</f>
        <v>0</v>
      </c>
      <c r="W1324" s="60">
        <f>IF(ISERROR(VLOOKUP($T$1324,'TAR FIN'!$A$1:$O$104,15,0)),0,VLOOKUP($T$1324,'TAR FIN'!$A$1:$O$104,15,0))*(1-0.04)</f>
        <v>60.0672</v>
      </c>
      <c r="X1324" s="60">
        <f>IF(ISERROR(VLOOKUP($U$1324,'TAR FIN'!$A$1:$O$104,15,0)),0,VLOOKUP($U$1324,'TAR FIN'!$A$1:$O$104,15,0))*(1-0.04)</f>
        <v>233.10719999999998</v>
      </c>
      <c r="Y1324" s="60"/>
      <c r="Z1324" s="60">
        <f ca="1">('TUSD BE'!$AM$26+'TUSD BF'!$AM$26+'TUSD CVA'!$AM$26)*1*(1-0.02)</f>
        <v>76.318677921794944</v>
      </c>
      <c r="AA1324" s="60">
        <f>('TE BE'!$AB$8+'TE BF'!$AB$8+'TE CVA'!$AB$8)*1*(1-0.02)</f>
        <v>227.12732236645527</v>
      </c>
      <c r="AB1324" s="6">
        <f>$K$1324*$V$1324</f>
        <v>0</v>
      </c>
      <c r="AC1324" s="6">
        <f>$M$1324*$W$1324</f>
        <v>2461.0132511999996</v>
      </c>
      <c r="AD1324" s="6">
        <f>$O$1324*$X$1324</f>
        <v>9550.635091199998</v>
      </c>
      <c r="AE1324" s="6">
        <f>$K$1324*$Y$1324</f>
        <v>0</v>
      </c>
      <c r="AF1324" s="6">
        <f ca="1">$M$1324*$Z$1324</f>
        <v>3126.8525531338605</v>
      </c>
      <c r="AG1324" s="6">
        <f>$O$1324*$AA$1324</f>
        <v>9305.6335246760391</v>
      </c>
    </row>
    <row r="1325" spans="1:33" ht="11.25" customHeight="1" x14ac:dyDescent="0.25">
      <c r="A1325" s="4" t="s">
        <v>28</v>
      </c>
      <c r="B1325" s="4" t="s">
        <v>41</v>
      </c>
      <c r="C1325" s="4" t="s">
        <v>42</v>
      </c>
      <c r="D1325" s="4" t="s">
        <v>45</v>
      </c>
      <c r="E1325" s="4" t="s">
        <v>25</v>
      </c>
      <c r="F1325" s="4" t="s">
        <v>25</v>
      </c>
      <c r="G1325" s="4" t="s">
        <v>25</v>
      </c>
      <c r="H1325" s="4" t="s">
        <v>35</v>
      </c>
      <c r="I1325" s="5">
        <v>44652</v>
      </c>
      <c r="J1325" s="6">
        <v>0</v>
      </c>
      <c r="K1325" s="60">
        <v>0</v>
      </c>
      <c r="L1325" s="6">
        <v>-75.525000000000006</v>
      </c>
      <c r="M1325" s="60">
        <v>-75.525000000000006</v>
      </c>
      <c r="N1325" s="6">
        <v>-75.525000000000006</v>
      </c>
      <c r="O1325" s="60">
        <v>-75.525000000000006</v>
      </c>
      <c r="P1325" s="6">
        <v>0</v>
      </c>
      <c r="Q1325" s="4" t="s">
        <v>26</v>
      </c>
      <c r="R1325" s="4">
        <v>0</v>
      </c>
      <c r="S1325" s="6">
        <v>0</v>
      </c>
      <c r="T1325" s="6">
        <v>44</v>
      </c>
      <c r="U1325" s="6">
        <v>67</v>
      </c>
      <c r="V1325" s="60">
        <f>IF(ISERROR(VLOOKUP($S$1325,'TAR FIN'!$A$1:$O$104,15,0)),0,VLOOKUP($S$1325,'TAR FIN'!$A$1:$O$104,15,0))</f>
        <v>0</v>
      </c>
      <c r="W1325" s="60">
        <f>IF(ISERROR(VLOOKUP($T$1325,'TAR FIN'!$A$1:$O$104,15,0)),0,VLOOKUP($T$1325,'TAR FIN'!$A$1:$O$104,15,0))*(1-0.04)</f>
        <v>60.0672</v>
      </c>
      <c r="X1325" s="60">
        <f>IF(ISERROR(VLOOKUP($U$1325,'TAR FIN'!$A$1:$O$104,15,0)),0,VLOOKUP($U$1325,'TAR FIN'!$A$1:$O$104,15,0))*(1-0.04)</f>
        <v>233.10719999999998</v>
      </c>
      <c r="Y1325" s="60"/>
      <c r="Z1325" s="60">
        <f ca="1">('TUSD BE'!$AM$26+'TUSD BF'!$AM$26+'TUSD CVA'!$AM$26)*1*(1-0.02)</f>
        <v>76.318677921794944</v>
      </c>
      <c r="AA1325" s="60">
        <f>('TE BE'!$AB$8+'TE BF'!$AB$8+'TE CVA'!$AB$8)*1*(1-0.02)</f>
        <v>227.12732236645527</v>
      </c>
      <c r="AB1325" s="6">
        <f>$K$1325*$V$1325</f>
        <v>0</v>
      </c>
      <c r="AC1325" s="6">
        <f>$M$1325*$W$1325</f>
        <v>-4536.57528</v>
      </c>
      <c r="AD1325" s="6">
        <f>$O$1325*$X$1325</f>
        <v>-17605.421279999999</v>
      </c>
      <c r="AE1325" s="6">
        <f>$K$1325*$Y$1325</f>
        <v>0</v>
      </c>
      <c r="AF1325" s="6">
        <f ca="1">$M$1325*$Z$1325</f>
        <v>-5763.9681500435636</v>
      </c>
      <c r="AG1325" s="6">
        <f>$O$1325*$AA$1325</f>
        <v>-17153.791021726534</v>
      </c>
    </row>
    <row r="1326" spans="1:33" ht="11.25" customHeight="1" x14ac:dyDescent="0.25">
      <c r="A1326" s="4" t="s">
        <v>21</v>
      </c>
      <c r="B1326" s="4" t="s">
        <v>41</v>
      </c>
      <c r="C1326" s="4" t="s">
        <v>42</v>
      </c>
      <c r="D1326" s="4" t="s">
        <v>45</v>
      </c>
      <c r="E1326" s="4" t="s">
        <v>25</v>
      </c>
      <c r="F1326" s="4" t="s">
        <v>25</v>
      </c>
      <c r="G1326" s="4" t="s">
        <v>25</v>
      </c>
      <c r="H1326" s="4" t="s">
        <v>35</v>
      </c>
      <c r="I1326" s="5">
        <v>44682</v>
      </c>
      <c r="J1326" s="6">
        <v>0</v>
      </c>
      <c r="K1326" s="60">
        <v>0</v>
      </c>
      <c r="L1326" s="6">
        <v>1185.383</v>
      </c>
      <c r="M1326" s="60">
        <v>1185.383</v>
      </c>
      <c r="N1326" s="6">
        <v>1185.383</v>
      </c>
      <c r="O1326" s="60">
        <v>1185.383</v>
      </c>
      <c r="P1326" s="6">
        <v>0</v>
      </c>
      <c r="Q1326" s="4" t="s">
        <v>26</v>
      </c>
      <c r="R1326" s="4">
        <v>0</v>
      </c>
      <c r="S1326" s="6">
        <v>0</v>
      </c>
      <c r="T1326" s="6">
        <v>44</v>
      </c>
      <c r="U1326" s="6">
        <v>67</v>
      </c>
      <c r="V1326" s="60">
        <f>IF(ISERROR(VLOOKUP($S$1326,'TAR FIN'!$A$1:$O$104,15,0)),0,VLOOKUP($S$1326,'TAR FIN'!$A$1:$O$104,15,0))</f>
        <v>0</v>
      </c>
      <c r="W1326" s="60">
        <f>IF(ISERROR(VLOOKUP($T$1326,'TAR FIN'!$A$1:$O$104,15,0)),0,VLOOKUP($T$1326,'TAR FIN'!$A$1:$O$104,15,0))*(1-0.04)</f>
        <v>60.0672</v>
      </c>
      <c r="X1326" s="60">
        <f>IF(ISERROR(VLOOKUP($U$1326,'TAR FIN'!$A$1:$O$104,15,0)),0,VLOOKUP($U$1326,'TAR FIN'!$A$1:$O$104,15,0))*(1-0.04)</f>
        <v>233.10719999999998</v>
      </c>
      <c r="Y1326" s="60"/>
      <c r="Z1326" s="60">
        <f ca="1">('TUSD BE'!$AM$26+'TUSD BF'!$AM$26+'TUSD CVA'!$AM$26)*1*(1-0.02)</f>
        <v>76.318677921794944</v>
      </c>
      <c r="AA1326" s="60">
        <f>('TE BE'!$AB$8+'TE BF'!$AB$8+'TE CVA'!$AB$8)*1*(1-0.02)</f>
        <v>227.12732236645527</v>
      </c>
      <c r="AB1326" s="6">
        <f>$K$1326*$V$1326</f>
        <v>0</v>
      </c>
      <c r="AC1326" s="6">
        <f>$M$1326*$W$1326</f>
        <v>71202.637737600002</v>
      </c>
      <c r="AD1326" s="6">
        <f>$O$1326*$X$1326</f>
        <v>276321.31205760001</v>
      </c>
      <c r="AE1326" s="6">
        <f>$K$1326*$Y$1326</f>
        <v>0</v>
      </c>
      <c r="AF1326" s="6">
        <f ca="1">$M$1326*$Z$1326</f>
        <v>90466.863390971062</v>
      </c>
      <c r="AG1326" s="6">
        <f>$O$1326*$AA$1326</f>
        <v>269232.86676871584</v>
      </c>
    </row>
    <row r="1327" spans="1:33" ht="11.25" customHeight="1" x14ac:dyDescent="0.25">
      <c r="A1327" s="4" t="s">
        <v>28</v>
      </c>
      <c r="B1327" s="4" t="s">
        <v>41</v>
      </c>
      <c r="C1327" s="4" t="s">
        <v>42</v>
      </c>
      <c r="D1327" s="4" t="s">
        <v>45</v>
      </c>
      <c r="E1327" s="4" t="s">
        <v>25</v>
      </c>
      <c r="F1327" s="4" t="s">
        <v>25</v>
      </c>
      <c r="G1327" s="4" t="s">
        <v>25</v>
      </c>
      <c r="H1327" s="4" t="s">
        <v>35</v>
      </c>
      <c r="I1327" s="5">
        <v>44682</v>
      </c>
      <c r="J1327" s="6">
        <v>0</v>
      </c>
      <c r="K1327" s="60">
        <v>0</v>
      </c>
      <c r="L1327" s="6">
        <v>40.915999999999997</v>
      </c>
      <c r="M1327" s="60">
        <v>40.915999999999997</v>
      </c>
      <c r="N1327" s="6">
        <v>40.915999999999997</v>
      </c>
      <c r="O1327" s="60">
        <v>40.915999999999997</v>
      </c>
      <c r="P1327" s="6">
        <v>0</v>
      </c>
      <c r="Q1327" s="4" t="s">
        <v>26</v>
      </c>
      <c r="R1327" s="4">
        <v>0</v>
      </c>
      <c r="S1327" s="6">
        <v>0</v>
      </c>
      <c r="T1327" s="6">
        <v>44</v>
      </c>
      <c r="U1327" s="6">
        <v>67</v>
      </c>
      <c r="V1327" s="60">
        <f>IF(ISERROR(VLOOKUP($S$1327,'TAR FIN'!$A$1:$O$104,15,0)),0,VLOOKUP($S$1327,'TAR FIN'!$A$1:$O$104,15,0))</f>
        <v>0</v>
      </c>
      <c r="W1327" s="60">
        <f>IF(ISERROR(VLOOKUP($T$1327,'TAR FIN'!$A$1:$O$104,15,0)),0,VLOOKUP($T$1327,'TAR FIN'!$A$1:$O$104,15,0))*(1-0.04)</f>
        <v>60.0672</v>
      </c>
      <c r="X1327" s="60">
        <f>IF(ISERROR(VLOOKUP($U$1327,'TAR FIN'!$A$1:$O$104,15,0)),0,VLOOKUP($U$1327,'TAR FIN'!$A$1:$O$104,15,0))*(1-0.04)</f>
        <v>233.10719999999998</v>
      </c>
      <c r="Y1327" s="60"/>
      <c r="Z1327" s="60">
        <f ca="1">('TUSD BE'!$AM$26+'TUSD BF'!$AM$26+'TUSD CVA'!$AM$26)*1*(1-0.02)</f>
        <v>76.318677921794944</v>
      </c>
      <c r="AA1327" s="60">
        <f>('TE BE'!$AB$8+'TE BF'!$AB$8+'TE CVA'!$AB$8)*1*(1-0.02)</f>
        <v>227.12732236645527</v>
      </c>
      <c r="AB1327" s="6">
        <f>$K$1327*$V$1327</f>
        <v>0</v>
      </c>
      <c r="AC1327" s="6">
        <f>$M$1327*$W$1327</f>
        <v>2457.7095551999996</v>
      </c>
      <c r="AD1327" s="6">
        <f>$O$1327*$X$1327</f>
        <v>9537.8141951999987</v>
      </c>
      <c r="AE1327" s="6">
        <f>$K$1327*$Y$1327</f>
        <v>0</v>
      </c>
      <c r="AF1327" s="6">
        <f ca="1">$M$1327*$Z$1327</f>
        <v>3122.6550258481616</v>
      </c>
      <c r="AG1327" s="6">
        <f>$O$1327*$AA$1327</f>
        <v>9293.1415219458831</v>
      </c>
    </row>
    <row r="1328" spans="1:33" ht="11.25" customHeight="1" x14ac:dyDescent="0.25">
      <c r="A1328" s="4" t="s">
        <v>21</v>
      </c>
      <c r="B1328" s="4" t="s">
        <v>41</v>
      </c>
      <c r="C1328" s="4" t="s">
        <v>42</v>
      </c>
      <c r="D1328" s="4" t="s">
        <v>45</v>
      </c>
      <c r="E1328" s="4" t="s">
        <v>25</v>
      </c>
      <c r="F1328" s="4" t="s">
        <v>25</v>
      </c>
      <c r="G1328" s="4" t="s">
        <v>25</v>
      </c>
      <c r="H1328" s="4" t="s">
        <v>35</v>
      </c>
      <c r="I1328" s="5">
        <v>44713</v>
      </c>
      <c r="J1328" s="6">
        <v>0</v>
      </c>
      <c r="K1328" s="60">
        <v>0</v>
      </c>
      <c r="L1328" s="6">
        <v>1157.3920000000001</v>
      </c>
      <c r="M1328" s="60">
        <v>1157.3920000000001</v>
      </c>
      <c r="N1328" s="6">
        <v>1157.3920000000001</v>
      </c>
      <c r="O1328" s="60">
        <v>1157.3920000000001</v>
      </c>
      <c r="P1328" s="6">
        <v>0</v>
      </c>
      <c r="Q1328" s="4" t="s">
        <v>26</v>
      </c>
      <c r="R1328" s="4">
        <v>0</v>
      </c>
      <c r="S1328" s="6">
        <v>0</v>
      </c>
      <c r="T1328" s="6">
        <v>44</v>
      </c>
      <c r="U1328" s="6">
        <v>67</v>
      </c>
      <c r="V1328" s="60">
        <f>IF(ISERROR(VLOOKUP($S$1328,'TAR FIN'!$A$1:$O$104,15,0)),0,VLOOKUP($S$1328,'TAR FIN'!$A$1:$O$104,15,0))</f>
        <v>0</v>
      </c>
      <c r="W1328" s="60">
        <f>IF(ISERROR(VLOOKUP($T$1328,'TAR FIN'!$A$1:$O$104,15,0)),0,VLOOKUP($T$1328,'TAR FIN'!$A$1:$O$104,15,0))*(1-0.04)</f>
        <v>60.0672</v>
      </c>
      <c r="X1328" s="60">
        <f>IF(ISERROR(VLOOKUP($U$1328,'TAR FIN'!$A$1:$O$104,15,0)),0,VLOOKUP($U$1328,'TAR FIN'!$A$1:$O$104,15,0))*(1-0.04)</f>
        <v>233.10719999999998</v>
      </c>
      <c r="Y1328" s="60"/>
      <c r="Z1328" s="60">
        <f ca="1">('TUSD BE'!$AM$26+'TUSD BF'!$AM$26+'TUSD CVA'!$AM$26)*1*(1-0.02)</f>
        <v>76.318677921794944</v>
      </c>
      <c r="AA1328" s="60">
        <f>('TE BE'!$AB$8+'TE BF'!$AB$8+'TE CVA'!$AB$8)*1*(1-0.02)</f>
        <v>227.12732236645527</v>
      </c>
      <c r="AB1328" s="6">
        <f>$K$1328*$V$1328</f>
        <v>0</v>
      </c>
      <c r="AC1328" s="6">
        <f>$M$1328*$W$1328</f>
        <v>69521.296742400009</v>
      </c>
      <c r="AD1328" s="6">
        <f>$O$1328*$X$1328</f>
        <v>269796.40842240001</v>
      </c>
      <c r="AE1328" s="6">
        <f>$K$1328*$Y$1328</f>
        <v>0</v>
      </c>
      <c r="AF1328" s="6">
        <f ca="1">$M$1328*$Z$1328</f>
        <v>88330.627277262101</v>
      </c>
      <c r="AG1328" s="6">
        <f>$O$1328*$AA$1328</f>
        <v>262875.34588835639</v>
      </c>
    </row>
    <row r="1329" spans="1:33" ht="11.25" customHeight="1" x14ac:dyDescent="0.25">
      <c r="A1329" s="4" t="s">
        <v>28</v>
      </c>
      <c r="B1329" s="4" t="s">
        <v>41</v>
      </c>
      <c r="C1329" s="4" t="s">
        <v>42</v>
      </c>
      <c r="D1329" s="4" t="s">
        <v>45</v>
      </c>
      <c r="E1329" s="4" t="s">
        <v>25</v>
      </c>
      <c r="F1329" s="4" t="s">
        <v>25</v>
      </c>
      <c r="G1329" s="4" t="s">
        <v>25</v>
      </c>
      <c r="H1329" s="4" t="s">
        <v>35</v>
      </c>
      <c r="I1329" s="5">
        <v>44713</v>
      </c>
      <c r="J1329" s="6">
        <v>0</v>
      </c>
      <c r="K1329" s="60">
        <v>0</v>
      </c>
      <c r="L1329" s="6">
        <v>41.808999999999997</v>
      </c>
      <c r="M1329" s="60">
        <v>41.808999999999997</v>
      </c>
      <c r="N1329" s="6">
        <v>41.808999999999997</v>
      </c>
      <c r="O1329" s="60">
        <v>41.808999999999997</v>
      </c>
      <c r="P1329" s="6">
        <v>0</v>
      </c>
      <c r="Q1329" s="4" t="s">
        <v>26</v>
      </c>
      <c r="R1329" s="4">
        <v>0</v>
      </c>
      <c r="S1329" s="6">
        <v>0</v>
      </c>
      <c r="T1329" s="6">
        <v>44</v>
      </c>
      <c r="U1329" s="6">
        <v>67</v>
      </c>
      <c r="V1329" s="60">
        <f>IF(ISERROR(VLOOKUP($S$1329,'TAR FIN'!$A$1:$O$104,15,0)),0,VLOOKUP($S$1329,'TAR FIN'!$A$1:$O$104,15,0))</f>
        <v>0</v>
      </c>
      <c r="W1329" s="60">
        <f>IF(ISERROR(VLOOKUP($T$1329,'TAR FIN'!$A$1:$O$104,15,0)),0,VLOOKUP($T$1329,'TAR FIN'!$A$1:$O$104,15,0))*(1-0.04)</f>
        <v>60.0672</v>
      </c>
      <c r="X1329" s="60">
        <f>IF(ISERROR(VLOOKUP($U$1329,'TAR FIN'!$A$1:$O$104,15,0)),0,VLOOKUP($U$1329,'TAR FIN'!$A$1:$O$104,15,0))*(1-0.04)</f>
        <v>233.10719999999998</v>
      </c>
      <c r="Y1329" s="60"/>
      <c r="Z1329" s="60">
        <f ca="1">('TUSD BE'!$AM$26+'TUSD BF'!$AM$26+'TUSD CVA'!$AM$26)*1*(1-0.02)</f>
        <v>76.318677921794944</v>
      </c>
      <c r="AA1329" s="60">
        <f>('TE BE'!$AB$8+'TE BF'!$AB$8+'TE CVA'!$AB$8)*1*(1-0.02)</f>
        <v>227.12732236645527</v>
      </c>
      <c r="AB1329" s="6">
        <f>$K$1329*$V$1329</f>
        <v>0</v>
      </c>
      <c r="AC1329" s="6">
        <f>$M$1329*$W$1329</f>
        <v>2511.3495647999998</v>
      </c>
      <c r="AD1329" s="6">
        <f>$O$1329*$X$1329</f>
        <v>9745.9789247999979</v>
      </c>
      <c r="AE1329" s="6">
        <f>$K$1329*$Y$1329</f>
        <v>0</v>
      </c>
      <c r="AF1329" s="6">
        <f ca="1">$M$1329*$Z$1329</f>
        <v>3190.8076052323245</v>
      </c>
      <c r="AG1329" s="6">
        <f>$O$1329*$AA$1329</f>
        <v>9495.9662208191276</v>
      </c>
    </row>
    <row r="1330" spans="1:33" ht="11.25" customHeight="1" x14ac:dyDescent="0.25">
      <c r="A1330" s="4" t="s">
        <v>57</v>
      </c>
      <c r="B1330" s="4" t="s">
        <v>41</v>
      </c>
      <c r="C1330" s="4" t="s">
        <v>42</v>
      </c>
      <c r="D1330" s="4" t="s">
        <v>45</v>
      </c>
      <c r="E1330" s="4" t="s">
        <v>25</v>
      </c>
      <c r="F1330" s="4" t="s">
        <v>25</v>
      </c>
      <c r="G1330" s="4" t="s">
        <v>25</v>
      </c>
      <c r="H1330" s="4" t="s">
        <v>35</v>
      </c>
      <c r="I1330" s="5">
        <v>44743</v>
      </c>
      <c r="J1330" s="6">
        <v>0</v>
      </c>
      <c r="K1330" s="60">
        <v>0</v>
      </c>
      <c r="L1330" s="6">
        <v>1157.3920000000001</v>
      </c>
      <c r="M1330" s="60">
        <v>1157.3920000000001</v>
      </c>
      <c r="N1330" s="6">
        <v>1157.3920000000001</v>
      </c>
      <c r="O1330" s="60">
        <v>1157.3920000000001</v>
      </c>
      <c r="P1330" s="6">
        <v>0</v>
      </c>
      <c r="Q1330" s="4" t="s">
        <v>26</v>
      </c>
      <c r="R1330" s="4">
        <v>0</v>
      </c>
      <c r="S1330" s="6">
        <v>0</v>
      </c>
      <c r="T1330" s="6">
        <v>44</v>
      </c>
      <c r="U1330" s="6">
        <v>67</v>
      </c>
      <c r="V1330" s="60">
        <f>IF(ISERROR(VLOOKUP($S$1330,'TAR FIN'!$A$1:$O$104,15,0)),0,VLOOKUP($S$1330,'TAR FIN'!$A$1:$O$104,15,0))</f>
        <v>0</v>
      </c>
      <c r="W1330" s="60">
        <f>IF(ISERROR(VLOOKUP($T$1330,'TAR FIN'!$A$1:$O$104,15,0)),0,VLOOKUP($T$1330,'TAR FIN'!$A$1:$O$104,15,0))*(1-0.04)</f>
        <v>60.0672</v>
      </c>
      <c r="X1330" s="60">
        <f>IF(ISERROR(VLOOKUP($U$1330,'TAR FIN'!$A$1:$O$104,15,0)),0,VLOOKUP($U$1330,'TAR FIN'!$A$1:$O$104,15,0))*(1-0.04)</f>
        <v>233.10719999999998</v>
      </c>
      <c r="Y1330" s="60"/>
      <c r="Z1330" s="60">
        <f ca="1">('TUSD BE'!$AM$26+'TUSD BF'!$AM$26+'TUSD CVA'!$AM$26)*1*(1-0.02)</f>
        <v>76.318677921794944</v>
      </c>
      <c r="AA1330" s="60">
        <f>('TE BE'!$AB$8+'TE BF'!$AB$8+'TE CVA'!$AB$8)*1*(1-0.02)</f>
        <v>227.12732236645527</v>
      </c>
      <c r="AB1330" s="6">
        <f>$K$1330*$V$1330</f>
        <v>0</v>
      </c>
      <c r="AC1330" s="6">
        <f>$M$1330*$W$1330</f>
        <v>69521.296742400009</v>
      </c>
      <c r="AD1330" s="6">
        <f>$O$1330*$X$1330</f>
        <v>269796.40842240001</v>
      </c>
      <c r="AE1330" s="6">
        <f>$K$1330*$Y$1330</f>
        <v>0</v>
      </c>
      <c r="AF1330" s="6">
        <f ca="1">$M$1330*$Z$1330</f>
        <v>88330.627277262101</v>
      </c>
      <c r="AG1330" s="6">
        <f>$O$1330*$AA$1330</f>
        <v>262875.34588835639</v>
      </c>
    </row>
    <row r="1331" spans="1:33" ht="11.25" customHeight="1" x14ac:dyDescent="0.25">
      <c r="A1331" s="4" t="s">
        <v>57</v>
      </c>
      <c r="B1331" s="4" t="s">
        <v>41</v>
      </c>
      <c r="C1331" s="4" t="s">
        <v>42</v>
      </c>
      <c r="D1331" s="4" t="s">
        <v>45</v>
      </c>
      <c r="E1331" s="4" t="s">
        <v>25</v>
      </c>
      <c r="F1331" s="4" t="s">
        <v>25</v>
      </c>
      <c r="G1331" s="4" t="s">
        <v>25</v>
      </c>
      <c r="H1331" s="4" t="s">
        <v>35</v>
      </c>
      <c r="I1331" s="5">
        <v>44743</v>
      </c>
      <c r="J1331" s="6">
        <v>0</v>
      </c>
      <c r="K1331" s="60">
        <v>0</v>
      </c>
      <c r="L1331" s="6">
        <v>41.808999999999997</v>
      </c>
      <c r="M1331" s="60">
        <v>41.808999999999997</v>
      </c>
      <c r="N1331" s="6">
        <v>41.808999999999997</v>
      </c>
      <c r="O1331" s="60">
        <v>41.808999999999997</v>
      </c>
      <c r="P1331" s="6">
        <v>0</v>
      </c>
      <c r="Q1331" s="4" t="s">
        <v>26</v>
      </c>
      <c r="R1331" s="4">
        <v>0</v>
      </c>
      <c r="S1331" s="6">
        <v>0</v>
      </c>
      <c r="T1331" s="6">
        <v>44</v>
      </c>
      <c r="U1331" s="6">
        <v>67</v>
      </c>
      <c r="V1331" s="60">
        <f>IF(ISERROR(VLOOKUP($S$1331,'TAR FIN'!$A$1:$O$104,15,0)),0,VLOOKUP($S$1331,'TAR FIN'!$A$1:$O$104,15,0))</f>
        <v>0</v>
      </c>
      <c r="W1331" s="60">
        <f>IF(ISERROR(VLOOKUP($T$1331,'TAR FIN'!$A$1:$O$104,15,0)),0,VLOOKUP($T$1331,'TAR FIN'!$A$1:$O$104,15,0))*(1-0.04)</f>
        <v>60.0672</v>
      </c>
      <c r="X1331" s="60">
        <f>IF(ISERROR(VLOOKUP($U$1331,'TAR FIN'!$A$1:$O$104,15,0)),0,VLOOKUP($U$1331,'TAR FIN'!$A$1:$O$104,15,0))*(1-0.04)</f>
        <v>233.10719999999998</v>
      </c>
      <c r="Y1331" s="60"/>
      <c r="Z1331" s="60">
        <f ca="1">('TUSD BE'!$AM$26+'TUSD BF'!$AM$26+'TUSD CVA'!$AM$26)*1*(1-0.02)</f>
        <v>76.318677921794944</v>
      </c>
      <c r="AA1331" s="60">
        <f>('TE BE'!$AB$8+'TE BF'!$AB$8+'TE CVA'!$AB$8)*1*(1-0.02)</f>
        <v>227.12732236645527</v>
      </c>
      <c r="AB1331" s="6">
        <f>$K$1331*$V$1331</f>
        <v>0</v>
      </c>
      <c r="AC1331" s="6">
        <f>$M$1331*$W$1331</f>
        <v>2511.3495647999998</v>
      </c>
      <c r="AD1331" s="6">
        <f>$O$1331*$X$1331</f>
        <v>9745.9789247999979</v>
      </c>
      <c r="AE1331" s="6">
        <f>$K$1331*$Y$1331</f>
        <v>0</v>
      </c>
      <c r="AF1331" s="6">
        <f ca="1">$M$1331*$Z$1331</f>
        <v>3190.8076052323245</v>
      </c>
      <c r="AG1331" s="6">
        <f>$O$1331*$AA$1331</f>
        <v>9495.9662208191276</v>
      </c>
    </row>
    <row r="1332" spans="1:33" ht="11.25" customHeight="1" x14ac:dyDescent="0.25">
      <c r="A1332" s="4" t="s">
        <v>21</v>
      </c>
      <c r="B1332" s="4" t="s">
        <v>41</v>
      </c>
      <c r="C1332" s="4" t="s">
        <v>42</v>
      </c>
      <c r="D1332" s="4" t="s">
        <v>45</v>
      </c>
      <c r="E1332" s="4" t="s">
        <v>25</v>
      </c>
      <c r="F1332" s="4" t="s">
        <v>25</v>
      </c>
      <c r="G1332" s="4" t="s">
        <v>25</v>
      </c>
      <c r="H1332" s="4" t="s">
        <v>25</v>
      </c>
      <c r="I1332" s="5">
        <v>44409</v>
      </c>
      <c r="J1332" s="6">
        <v>5580</v>
      </c>
      <c r="K1332" s="60">
        <v>5580</v>
      </c>
      <c r="L1332" s="6">
        <v>0</v>
      </c>
      <c r="M1332" s="60">
        <v>0</v>
      </c>
      <c r="N1332" s="6">
        <v>0</v>
      </c>
      <c r="O1332" s="60">
        <v>0</v>
      </c>
      <c r="P1332" s="6">
        <v>70</v>
      </c>
      <c r="Q1332" s="4" t="s">
        <v>26</v>
      </c>
      <c r="R1332" s="4">
        <v>0</v>
      </c>
      <c r="S1332" s="6">
        <v>40</v>
      </c>
      <c r="T1332" s="6">
        <v>0</v>
      </c>
      <c r="U1332" s="6">
        <v>0</v>
      </c>
      <c r="V1332" s="60">
        <f>IF(ISERROR(VLOOKUP($S$1332,'TAR FIN'!$A$1:$O$104,15,0)),0,VLOOKUP($S$1332,'TAR FIN'!$A$1:$O$104,15,0))*(1-0.04)</f>
        <v>25.171199999999999</v>
      </c>
      <c r="W1332" s="60">
        <f>IF(ISERROR(VLOOKUP($T$1332,'TAR FIN'!$A$1:$O$104,15,0)),0,VLOOKUP($T$1332,'TAR FIN'!$A$1:$O$104,15,0))</f>
        <v>0</v>
      </c>
      <c r="X1332" s="60">
        <f>IF(ISERROR(VLOOKUP($U$1332,'TAR FIN'!$A$1:$O$104,15,0)),0,VLOOKUP($U$1332,'TAR FIN'!$A$1:$O$104,15,0))</f>
        <v>0</v>
      </c>
      <c r="Y1332" s="60">
        <f ca="1">('TUSD BE'!$AM$24+'TUSD BF'!$AM$24+'TUSD CVA'!$AM$24)*1*(1-0.02)</f>
        <v>25.754560993400897</v>
      </c>
      <c r="Z1332" s="60"/>
      <c r="AA1332" s="60"/>
      <c r="AB1332" s="6">
        <f>$K$1332*$V$1332</f>
        <v>140455.296</v>
      </c>
      <c r="AC1332" s="6">
        <f>$M$1332*$W$1332</f>
        <v>0</v>
      </c>
      <c r="AD1332" s="6">
        <f>$O$1332*$X$1332</f>
        <v>0</v>
      </c>
      <c r="AE1332" s="6">
        <f ca="1">$K$1332*$Y$1332</f>
        <v>143710.45034317701</v>
      </c>
      <c r="AF1332" s="6">
        <f>$M$1332*$Z$1332</f>
        <v>0</v>
      </c>
      <c r="AG1332" s="6">
        <f>$O$1332*$AA$1332</f>
        <v>0</v>
      </c>
    </row>
    <row r="1333" spans="1:33" ht="11.25" customHeight="1" x14ac:dyDescent="0.25">
      <c r="A1333" s="4" t="s">
        <v>27</v>
      </c>
      <c r="B1333" s="4" t="s">
        <v>41</v>
      </c>
      <c r="C1333" s="4" t="s">
        <v>42</v>
      </c>
      <c r="D1333" s="4" t="s">
        <v>45</v>
      </c>
      <c r="E1333" s="4" t="s">
        <v>25</v>
      </c>
      <c r="F1333" s="4" t="s">
        <v>25</v>
      </c>
      <c r="G1333" s="4" t="s">
        <v>25</v>
      </c>
      <c r="H1333" s="4" t="s">
        <v>25</v>
      </c>
      <c r="I1333" s="5">
        <v>44409</v>
      </c>
      <c r="J1333" s="6">
        <v>44</v>
      </c>
      <c r="K1333" s="60">
        <v>44</v>
      </c>
      <c r="L1333" s="6">
        <v>0</v>
      </c>
      <c r="M1333" s="60">
        <v>0</v>
      </c>
      <c r="N1333" s="6">
        <v>0</v>
      </c>
      <c r="O1333" s="60">
        <v>0</v>
      </c>
      <c r="P1333" s="6">
        <v>2</v>
      </c>
      <c r="Q1333" s="4" t="s">
        <v>26</v>
      </c>
      <c r="R1333" s="4">
        <v>0</v>
      </c>
      <c r="S1333" s="6">
        <v>40</v>
      </c>
      <c r="T1333" s="6">
        <v>0</v>
      </c>
      <c r="U1333" s="6">
        <v>0</v>
      </c>
      <c r="V1333" s="60">
        <f>IF(ISERROR(VLOOKUP($S$1333,'TAR FIN'!$A$1:$O$104,15,0)),0,VLOOKUP($S$1333,'TAR FIN'!$A$1:$O$104,15,0))*(1-0.04)</f>
        <v>25.171199999999999</v>
      </c>
      <c r="W1333" s="60">
        <f>IF(ISERROR(VLOOKUP($T$1333,'TAR FIN'!$A$1:$O$104,15,0)),0,VLOOKUP($T$1333,'TAR FIN'!$A$1:$O$104,15,0))</f>
        <v>0</v>
      </c>
      <c r="X1333" s="60">
        <f>IF(ISERROR(VLOOKUP($U$1333,'TAR FIN'!$A$1:$O$104,15,0)),0,VLOOKUP($U$1333,'TAR FIN'!$A$1:$O$104,15,0))</f>
        <v>0</v>
      </c>
      <c r="Y1333" s="60">
        <f ca="1">('TUSD BE'!$AM$24+'TUSD BF'!$AM$24+'TUSD CVA'!$AM$24)*1*(1-0.02)</f>
        <v>25.754560993400897</v>
      </c>
      <c r="Z1333" s="60"/>
      <c r="AA1333" s="60"/>
      <c r="AB1333" s="6">
        <f>$K$1333*$V$1333</f>
        <v>1107.5328</v>
      </c>
      <c r="AC1333" s="6">
        <f>$M$1333*$W$1333</f>
        <v>0</v>
      </c>
      <c r="AD1333" s="6">
        <f>$O$1333*$X$1333</f>
        <v>0</v>
      </c>
      <c r="AE1333" s="6">
        <f ca="1">$K$1333*$Y$1333</f>
        <v>1133.2006837096394</v>
      </c>
      <c r="AF1333" s="6">
        <f>$M$1333*$Z$1333</f>
        <v>0</v>
      </c>
      <c r="AG1333" s="6">
        <f>$O$1333*$AA$1333</f>
        <v>0</v>
      </c>
    </row>
    <row r="1334" spans="1:33" ht="11.25" customHeight="1" x14ac:dyDescent="0.25">
      <c r="A1334" s="4" t="s">
        <v>28</v>
      </c>
      <c r="B1334" s="4" t="s">
        <v>41</v>
      </c>
      <c r="C1334" s="4" t="s">
        <v>42</v>
      </c>
      <c r="D1334" s="4" t="s">
        <v>45</v>
      </c>
      <c r="E1334" s="4" t="s">
        <v>25</v>
      </c>
      <c r="F1334" s="4" t="s">
        <v>25</v>
      </c>
      <c r="G1334" s="4" t="s">
        <v>25</v>
      </c>
      <c r="H1334" s="4" t="s">
        <v>25</v>
      </c>
      <c r="I1334" s="5">
        <v>44409</v>
      </c>
      <c r="J1334" s="6">
        <v>308</v>
      </c>
      <c r="K1334" s="60">
        <v>308</v>
      </c>
      <c r="L1334" s="6">
        <v>0</v>
      </c>
      <c r="M1334" s="60">
        <v>0</v>
      </c>
      <c r="N1334" s="6">
        <v>0</v>
      </c>
      <c r="O1334" s="60">
        <v>0</v>
      </c>
      <c r="P1334" s="6">
        <v>4</v>
      </c>
      <c r="Q1334" s="4" t="s">
        <v>26</v>
      </c>
      <c r="R1334" s="4">
        <v>0</v>
      </c>
      <c r="S1334" s="6">
        <v>40</v>
      </c>
      <c r="T1334" s="6">
        <v>0</v>
      </c>
      <c r="U1334" s="6">
        <v>0</v>
      </c>
      <c r="V1334" s="60">
        <f>IF(ISERROR(VLOOKUP($S$1334,'TAR FIN'!$A$1:$O$104,15,0)),0,VLOOKUP($S$1334,'TAR FIN'!$A$1:$O$104,15,0))*(1-0.04)</f>
        <v>25.171199999999999</v>
      </c>
      <c r="W1334" s="60">
        <f>IF(ISERROR(VLOOKUP($T$1334,'TAR FIN'!$A$1:$O$104,15,0)),0,VLOOKUP($T$1334,'TAR FIN'!$A$1:$O$104,15,0))</f>
        <v>0</v>
      </c>
      <c r="X1334" s="60">
        <f>IF(ISERROR(VLOOKUP($U$1334,'TAR FIN'!$A$1:$O$104,15,0)),0,VLOOKUP($U$1334,'TAR FIN'!$A$1:$O$104,15,0))</f>
        <v>0</v>
      </c>
      <c r="Y1334" s="60">
        <f ca="1">('TUSD BE'!$AM$24+'TUSD BF'!$AM$24+'TUSD CVA'!$AM$24)*1*(1-0.02)</f>
        <v>25.754560993400897</v>
      </c>
      <c r="Z1334" s="60"/>
      <c r="AA1334" s="60"/>
      <c r="AB1334" s="6">
        <f>$K$1334*$V$1334</f>
        <v>7752.7295999999997</v>
      </c>
      <c r="AC1334" s="6">
        <f>$M$1334*$W$1334</f>
        <v>0</v>
      </c>
      <c r="AD1334" s="6">
        <f>$O$1334*$X$1334</f>
        <v>0</v>
      </c>
      <c r="AE1334" s="6">
        <f ca="1">$K$1334*$Y$1334</f>
        <v>7932.4047859674765</v>
      </c>
      <c r="AF1334" s="6">
        <f>$M$1334*$Z$1334</f>
        <v>0</v>
      </c>
      <c r="AG1334" s="6">
        <f>$O$1334*$AA$1334</f>
        <v>0</v>
      </c>
    </row>
    <row r="1335" spans="1:33" ht="11.25" customHeight="1" x14ac:dyDescent="0.25">
      <c r="A1335" s="4" t="s">
        <v>28</v>
      </c>
      <c r="B1335" s="4" t="s">
        <v>41</v>
      </c>
      <c r="C1335" s="4" t="s">
        <v>42</v>
      </c>
      <c r="D1335" s="4" t="s">
        <v>45</v>
      </c>
      <c r="E1335" s="4" t="s">
        <v>25</v>
      </c>
      <c r="F1335" s="4" t="s">
        <v>25</v>
      </c>
      <c r="G1335" s="4" t="s">
        <v>25</v>
      </c>
      <c r="H1335" s="4" t="s">
        <v>25</v>
      </c>
      <c r="I1335" s="5">
        <v>44409</v>
      </c>
      <c r="J1335" s="6">
        <v>44</v>
      </c>
      <c r="K1335" s="60">
        <v>44</v>
      </c>
      <c r="L1335" s="6">
        <v>0</v>
      </c>
      <c r="M1335" s="60">
        <v>0</v>
      </c>
      <c r="N1335" s="6">
        <v>0</v>
      </c>
      <c r="O1335" s="60">
        <v>0</v>
      </c>
      <c r="P1335" s="6">
        <v>4</v>
      </c>
      <c r="Q1335" s="4" t="s">
        <v>26</v>
      </c>
      <c r="R1335" s="4">
        <v>0</v>
      </c>
      <c r="S1335" s="6">
        <v>40</v>
      </c>
      <c r="T1335" s="6">
        <v>0</v>
      </c>
      <c r="U1335" s="6">
        <v>0</v>
      </c>
      <c r="V1335" s="60">
        <f>IF(ISERROR(VLOOKUP($S$1335,'TAR FIN'!$A$1:$O$104,15,0)),0,VLOOKUP($S$1335,'TAR FIN'!$A$1:$O$104,15,0))*(1-0.04)</f>
        <v>25.171199999999999</v>
      </c>
      <c r="W1335" s="60">
        <f>IF(ISERROR(VLOOKUP($T$1335,'TAR FIN'!$A$1:$O$104,15,0)),0,VLOOKUP($T$1335,'TAR FIN'!$A$1:$O$104,15,0))</f>
        <v>0</v>
      </c>
      <c r="X1335" s="60">
        <f>IF(ISERROR(VLOOKUP($U$1335,'TAR FIN'!$A$1:$O$104,15,0)),0,VLOOKUP($U$1335,'TAR FIN'!$A$1:$O$104,15,0))</f>
        <v>0</v>
      </c>
      <c r="Y1335" s="60">
        <f ca="1">('TUSD BE'!$AM$24+'TUSD BF'!$AM$24+'TUSD CVA'!$AM$24)*1*(1-0.02)</f>
        <v>25.754560993400897</v>
      </c>
      <c r="Z1335" s="60"/>
      <c r="AA1335" s="60"/>
      <c r="AB1335" s="6">
        <f>$K$1335*$V$1335</f>
        <v>1107.5328</v>
      </c>
      <c r="AC1335" s="6">
        <f>$M$1335*$W$1335</f>
        <v>0</v>
      </c>
      <c r="AD1335" s="6">
        <f>$O$1335*$X$1335</f>
        <v>0</v>
      </c>
      <c r="AE1335" s="6">
        <f ca="1">$K$1335*$Y$1335</f>
        <v>1133.2006837096394</v>
      </c>
      <c r="AF1335" s="6">
        <f>$M$1335*$Z$1335</f>
        <v>0</v>
      </c>
      <c r="AG1335" s="6">
        <f>$O$1335*$AA$1335</f>
        <v>0</v>
      </c>
    </row>
    <row r="1336" spans="1:33" ht="11.25" customHeight="1" x14ac:dyDescent="0.25">
      <c r="A1336" s="4" t="s">
        <v>21</v>
      </c>
      <c r="B1336" s="4" t="s">
        <v>41</v>
      </c>
      <c r="C1336" s="4" t="s">
        <v>42</v>
      </c>
      <c r="D1336" s="4" t="s">
        <v>45</v>
      </c>
      <c r="E1336" s="4" t="s">
        <v>25</v>
      </c>
      <c r="F1336" s="4" t="s">
        <v>25</v>
      </c>
      <c r="G1336" s="4" t="s">
        <v>25</v>
      </c>
      <c r="H1336" s="4" t="s">
        <v>25</v>
      </c>
      <c r="I1336" s="5">
        <v>44440</v>
      </c>
      <c r="J1336" s="6">
        <v>4891</v>
      </c>
      <c r="K1336" s="60">
        <v>4891</v>
      </c>
      <c r="L1336" s="6">
        <v>0</v>
      </c>
      <c r="M1336" s="60">
        <v>0</v>
      </c>
      <c r="N1336" s="6">
        <v>0</v>
      </c>
      <c r="O1336" s="60">
        <v>0</v>
      </c>
      <c r="P1336" s="6">
        <v>52</v>
      </c>
      <c r="Q1336" s="4" t="s">
        <v>26</v>
      </c>
      <c r="R1336" s="4">
        <v>0</v>
      </c>
      <c r="S1336" s="6">
        <v>40</v>
      </c>
      <c r="T1336" s="6">
        <v>0</v>
      </c>
      <c r="U1336" s="6">
        <v>0</v>
      </c>
      <c r="V1336" s="60">
        <f>IF(ISERROR(VLOOKUP($S$1336,'TAR FIN'!$A$1:$O$104,15,0)),0,VLOOKUP($S$1336,'TAR FIN'!$A$1:$O$104,15,0))*(1-0.04)</f>
        <v>25.171199999999999</v>
      </c>
      <c r="W1336" s="60">
        <f>IF(ISERROR(VLOOKUP($T$1336,'TAR FIN'!$A$1:$O$104,15,0)),0,VLOOKUP($T$1336,'TAR FIN'!$A$1:$O$104,15,0))</f>
        <v>0</v>
      </c>
      <c r="X1336" s="60">
        <f>IF(ISERROR(VLOOKUP($U$1336,'TAR FIN'!$A$1:$O$104,15,0)),0,VLOOKUP($U$1336,'TAR FIN'!$A$1:$O$104,15,0))</f>
        <v>0</v>
      </c>
      <c r="Y1336" s="60">
        <f ca="1">('TUSD BE'!$AM$24+'TUSD BF'!$AM$24+'TUSD CVA'!$AM$24)*1*(1-0.02)</f>
        <v>25.754560993400897</v>
      </c>
      <c r="Z1336" s="60"/>
      <c r="AA1336" s="60"/>
      <c r="AB1336" s="6">
        <f>$K$1336*$V$1336</f>
        <v>123112.33919999999</v>
      </c>
      <c r="AC1336" s="6">
        <f>$M$1336*$W$1336</f>
        <v>0</v>
      </c>
      <c r="AD1336" s="6">
        <f>$O$1336*$X$1336</f>
        <v>0</v>
      </c>
      <c r="AE1336" s="6">
        <f ca="1">$K$1336*$Y$1336</f>
        <v>125965.55781872378</v>
      </c>
      <c r="AF1336" s="6">
        <f>$M$1336*$Z$1336</f>
        <v>0</v>
      </c>
      <c r="AG1336" s="6">
        <f>$O$1336*$AA$1336</f>
        <v>0</v>
      </c>
    </row>
    <row r="1337" spans="1:33" ht="11.25" customHeight="1" x14ac:dyDescent="0.25">
      <c r="A1337" s="4" t="s">
        <v>27</v>
      </c>
      <c r="B1337" s="4" t="s">
        <v>41</v>
      </c>
      <c r="C1337" s="4" t="s">
        <v>42</v>
      </c>
      <c r="D1337" s="4" t="s">
        <v>45</v>
      </c>
      <c r="E1337" s="4" t="s">
        <v>25</v>
      </c>
      <c r="F1337" s="4" t="s">
        <v>25</v>
      </c>
      <c r="G1337" s="4" t="s">
        <v>25</v>
      </c>
      <c r="H1337" s="4" t="s">
        <v>25</v>
      </c>
      <c r="I1337" s="5">
        <v>44440</v>
      </c>
      <c r="J1337" s="6">
        <v>-219</v>
      </c>
      <c r="K1337" s="60">
        <v>-219</v>
      </c>
      <c r="L1337" s="6">
        <v>0</v>
      </c>
      <c r="M1337" s="60">
        <v>0</v>
      </c>
      <c r="N1337" s="6">
        <v>0</v>
      </c>
      <c r="O1337" s="60">
        <v>0</v>
      </c>
      <c r="P1337" s="6">
        <v>0</v>
      </c>
      <c r="Q1337" s="4" t="s">
        <v>26</v>
      </c>
      <c r="R1337" s="4">
        <v>0</v>
      </c>
      <c r="S1337" s="6">
        <v>40</v>
      </c>
      <c r="T1337" s="6">
        <v>0</v>
      </c>
      <c r="U1337" s="6">
        <v>0</v>
      </c>
      <c r="V1337" s="60">
        <f>IF(ISERROR(VLOOKUP($S$1337,'TAR FIN'!$A$1:$O$104,15,0)),0,VLOOKUP($S$1337,'TAR FIN'!$A$1:$O$104,15,0))*(1-0.04)</f>
        <v>25.171199999999999</v>
      </c>
      <c r="W1337" s="60">
        <f>IF(ISERROR(VLOOKUP($T$1337,'TAR FIN'!$A$1:$O$104,15,0)),0,VLOOKUP($T$1337,'TAR FIN'!$A$1:$O$104,15,0))</f>
        <v>0</v>
      </c>
      <c r="X1337" s="60">
        <f>IF(ISERROR(VLOOKUP($U$1337,'TAR FIN'!$A$1:$O$104,15,0)),0,VLOOKUP($U$1337,'TAR FIN'!$A$1:$O$104,15,0))</f>
        <v>0</v>
      </c>
      <c r="Y1337" s="60">
        <f ca="1">('TUSD BE'!$AM$24+'TUSD BF'!$AM$24+'TUSD CVA'!$AM$24)*1*(1-0.02)</f>
        <v>25.754560993400897</v>
      </c>
      <c r="Z1337" s="60"/>
      <c r="AA1337" s="60"/>
      <c r="AB1337" s="6">
        <f>$K$1337*$V$1337</f>
        <v>-5512.4928</v>
      </c>
      <c r="AC1337" s="6">
        <f>$M$1337*$W$1337</f>
        <v>0</v>
      </c>
      <c r="AD1337" s="6">
        <f>$O$1337*$X$1337</f>
        <v>0</v>
      </c>
      <c r="AE1337" s="6">
        <f ca="1">$K$1337*$Y$1337</f>
        <v>-5640.2488575547968</v>
      </c>
      <c r="AF1337" s="6">
        <f>$M$1337*$Z$1337</f>
        <v>0</v>
      </c>
      <c r="AG1337" s="6">
        <f>$O$1337*$AA$1337</f>
        <v>0</v>
      </c>
    </row>
    <row r="1338" spans="1:33" ht="11.25" customHeight="1" x14ac:dyDescent="0.25">
      <c r="A1338" s="4" t="s">
        <v>28</v>
      </c>
      <c r="B1338" s="4" t="s">
        <v>41</v>
      </c>
      <c r="C1338" s="4" t="s">
        <v>42</v>
      </c>
      <c r="D1338" s="4" t="s">
        <v>45</v>
      </c>
      <c r="E1338" s="4" t="s">
        <v>25</v>
      </c>
      <c r="F1338" s="4" t="s">
        <v>25</v>
      </c>
      <c r="G1338" s="4" t="s">
        <v>25</v>
      </c>
      <c r="H1338" s="4" t="s">
        <v>25</v>
      </c>
      <c r="I1338" s="5">
        <v>44440</v>
      </c>
      <c r="J1338" s="6">
        <v>468</v>
      </c>
      <c r="K1338" s="60">
        <v>468</v>
      </c>
      <c r="L1338" s="6">
        <v>0</v>
      </c>
      <c r="M1338" s="60">
        <v>0</v>
      </c>
      <c r="N1338" s="6">
        <v>0</v>
      </c>
      <c r="O1338" s="60">
        <v>0</v>
      </c>
      <c r="P1338" s="6">
        <v>5</v>
      </c>
      <c r="Q1338" s="4" t="s">
        <v>26</v>
      </c>
      <c r="R1338" s="4">
        <v>0</v>
      </c>
      <c r="S1338" s="6">
        <v>40</v>
      </c>
      <c r="T1338" s="6">
        <v>0</v>
      </c>
      <c r="U1338" s="6">
        <v>0</v>
      </c>
      <c r="V1338" s="60">
        <f>IF(ISERROR(VLOOKUP($S$1338,'TAR FIN'!$A$1:$O$104,15,0)),0,VLOOKUP($S$1338,'TAR FIN'!$A$1:$O$104,15,0))*(1-0.04)</f>
        <v>25.171199999999999</v>
      </c>
      <c r="W1338" s="60">
        <f>IF(ISERROR(VLOOKUP($T$1338,'TAR FIN'!$A$1:$O$104,15,0)),0,VLOOKUP($T$1338,'TAR FIN'!$A$1:$O$104,15,0))</f>
        <v>0</v>
      </c>
      <c r="X1338" s="60">
        <f>IF(ISERROR(VLOOKUP($U$1338,'TAR FIN'!$A$1:$O$104,15,0)),0,VLOOKUP($U$1338,'TAR FIN'!$A$1:$O$104,15,0))</f>
        <v>0</v>
      </c>
      <c r="Y1338" s="60">
        <f ca="1">('TUSD BE'!$AM$24+'TUSD BF'!$AM$24+'TUSD CVA'!$AM$24)*1*(1-0.02)</f>
        <v>25.754560993400897</v>
      </c>
      <c r="Z1338" s="60"/>
      <c r="AA1338" s="60"/>
      <c r="AB1338" s="6">
        <f>$K$1338*$V$1338</f>
        <v>11780.121599999999</v>
      </c>
      <c r="AC1338" s="6">
        <f>$M$1338*$W$1338</f>
        <v>0</v>
      </c>
      <c r="AD1338" s="6">
        <f>$O$1338*$X$1338</f>
        <v>0</v>
      </c>
      <c r="AE1338" s="6">
        <f ca="1">$K$1338*$Y$1338</f>
        <v>12053.13454491162</v>
      </c>
      <c r="AF1338" s="6">
        <f>$M$1338*$Z$1338</f>
        <v>0</v>
      </c>
      <c r="AG1338" s="6">
        <f>$O$1338*$AA$1338</f>
        <v>0</v>
      </c>
    </row>
    <row r="1339" spans="1:33" ht="11.25" customHeight="1" x14ac:dyDescent="0.25">
      <c r="A1339" s="4" t="s">
        <v>21</v>
      </c>
      <c r="B1339" s="4" t="s">
        <v>41</v>
      </c>
      <c r="C1339" s="4" t="s">
        <v>42</v>
      </c>
      <c r="D1339" s="4" t="s">
        <v>45</v>
      </c>
      <c r="E1339" s="4" t="s">
        <v>25</v>
      </c>
      <c r="F1339" s="4" t="s">
        <v>25</v>
      </c>
      <c r="G1339" s="4" t="s">
        <v>25</v>
      </c>
      <c r="H1339" s="4" t="s">
        <v>25</v>
      </c>
      <c r="I1339" s="5">
        <v>44470</v>
      </c>
      <c r="J1339" s="6">
        <v>5809</v>
      </c>
      <c r="K1339" s="60">
        <v>5809</v>
      </c>
      <c r="L1339" s="6">
        <v>0</v>
      </c>
      <c r="M1339" s="60">
        <v>0</v>
      </c>
      <c r="N1339" s="6">
        <v>0</v>
      </c>
      <c r="O1339" s="60">
        <v>0</v>
      </c>
      <c r="P1339" s="6">
        <v>55</v>
      </c>
      <c r="Q1339" s="4" t="s">
        <v>26</v>
      </c>
      <c r="R1339" s="4">
        <v>0</v>
      </c>
      <c r="S1339" s="6">
        <v>40</v>
      </c>
      <c r="T1339" s="6">
        <v>0</v>
      </c>
      <c r="U1339" s="6">
        <v>0</v>
      </c>
      <c r="V1339" s="60">
        <f>IF(ISERROR(VLOOKUP($S$1339,'TAR FIN'!$A$1:$O$104,15,0)),0,VLOOKUP($S$1339,'TAR FIN'!$A$1:$O$104,15,0))*(1-0.04)</f>
        <v>25.171199999999999</v>
      </c>
      <c r="W1339" s="60">
        <f>IF(ISERROR(VLOOKUP($T$1339,'TAR FIN'!$A$1:$O$104,15,0)),0,VLOOKUP($T$1339,'TAR FIN'!$A$1:$O$104,15,0))</f>
        <v>0</v>
      </c>
      <c r="X1339" s="60">
        <f>IF(ISERROR(VLOOKUP($U$1339,'TAR FIN'!$A$1:$O$104,15,0)),0,VLOOKUP($U$1339,'TAR FIN'!$A$1:$O$104,15,0))</f>
        <v>0</v>
      </c>
      <c r="Y1339" s="60">
        <f ca="1">('TUSD BE'!$AM$24+'TUSD BF'!$AM$24+'TUSD CVA'!$AM$24)*1*(1-0.02)</f>
        <v>25.754560993400897</v>
      </c>
      <c r="Z1339" s="60"/>
      <c r="AA1339" s="60"/>
      <c r="AB1339" s="6">
        <f>$K$1339*$V$1339</f>
        <v>146219.50079999998</v>
      </c>
      <c r="AC1339" s="6">
        <f>$M$1339*$W$1339</f>
        <v>0</v>
      </c>
      <c r="AD1339" s="6">
        <f>$O$1339*$X$1339</f>
        <v>0</v>
      </c>
      <c r="AE1339" s="6">
        <f ca="1">$K$1339*$Y$1339</f>
        <v>149608.24481066581</v>
      </c>
      <c r="AF1339" s="6">
        <f>$M$1339*$Z$1339</f>
        <v>0</v>
      </c>
      <c r="AG1339" s="6">
        <f>$O$1339*$AA$1339</f>
        <v>0</v>
      </c>
    </row>
    <row r="1340" spans="1:33" ht="11.25" customHeight="1" x14ac:dyDescent="0.25">
      <c r="A1340" s="4" t="s">
        <v>27</v>
      </c>
      <c r="B1340" s="4" t="s">
        <v>41</v>
      </c>
      <c r="C1340" s="4" t="s">
        <v>42</v>
      </c>
      <c r="D1340" s="4" t="s">
        <v>45</v>
      </c>
      <c r="E1340" s="4" t="s">
        <v>25</v>
      </c>
      <c r="F1340" s="4" t="s">
        <v>25</v>
      </c>
      <c r="G1340" s="4" t="s">
        <v>25</v>
      </c>
      <c r="H1340" s="4" t="s">
        <v>25</v>
      </c>
      <c r="I1340" s="5">
        <v>44470</v>
      </c>
      <c r="J1340" s="6">
        <v>70</v>
      </c>
      <c r="K1340" s="60">
        <v>70</v>
      </c>
      <c r="L1340" s="6">
        <v>0</v>
      </c>
      <c r="M1340" s="60">
        <v>0</v>
      </c>
      <c r="N1340" s="6">
        <v>0</v>
      </c>
      <c r="O1340" s="60">
        <v>0</v>
      </c>
      <c r="P1340" s="6">
        <v>4</v>
      </c>
      <c r="Q1340" s="4" t="s">
        <v>26</v>
      </c>
      <c r="R1340" s="4">
        <v>0</v>
      </c>
      <c r="S1340" s="6">
        <v>40</v>
      </c>
      <c r="T1340" s="6">
        <v>0</v>
      </c>
      <c r="U1340" s="6">
        <v>0</v>
      </c>
      <c r="V1340" s="60">
        <f>IF(ISERROR(VLOOKUP($S$1340,'TAR FIN'!$A$1:$O$104,15,0)),0,VLOOKUP($S$1340,'TAR FIN'!$A$1:$O$104,15,0))*(1-0.04)</f>
        <v>25.171199999999999</v>
      </c>
      <c r="W1340" s="60">
        <f>IF(ISERROR(VLOOKUP($T$1340,'TAR FIN'!$A$1:$O$104,15,0)),0,VLOOKUP($T$1340,'TAR FIN'!$A$1:$O$104,15,0))</f>
        <v>0</v>
      </c>
      <c r="X1340" s="60">
        <f>IF(ISERROR(VLOOKUP($U$1340,'TAR FIN'!$A$1:$O$104,15,0)),0,VLOOKUP($U$1340,'TAR FIN'!$A$1:$O$104,15,0))</f>
        <v>0</v>
      </c>
      <c r="Y1340" s="60">
        <f ca="1">('TUSD BE'!$AM$24+'TUSD BF'!$AM$24+'TUSD CVA'!$AM$24)*1*(1-0.02)</f>
        <v>25.754560993400897</v>
      </c>
      <c r="Z1340" s="60"/>
      <c r="AA1340" s="60"/>
      <c r="AB1340" s="6">
        <f>$K$1340*$V$1340</f>
        <v>1761.9839999999999</v>
      </c>
      <c r="AC1340" s="6">
        <f>$M$1340*$W$1340</f>
        <v>0</v>
      </c>
      <c r="AD1340" s="6">
        <f>$O$1340*$X$1340</f>
        <v>0</v>
      </c>
      <c r="AE1340" s="6">
        <f ca="1">$K$1340*$Y$1340</f>
        <v>1802.8192695380628</v>
      </c>
      <c r="AF1340" s="6">
        <f>$M$1340*$Z$1340</f>
        <v>0</v>
      </c>
      <c r="AG1340" s="6">
        <f>$O$1340*$AA$1340</f>
        <v>0</v>
      </c>
    </row>
    <row r="1341" spans="1:33" ht="11.25" customHeight="1" x14ac:dyDescent="0.25">
      <c r="A1341" s="4" t="s">
        <v>28</v>
      </c>
      <c r="B1341" s="4" t="s">
        <v>41</v>
      </c>
      <c r="C1341" s="4" t="s">
        <v>42</v>
      </c>
      <c r="D1341" s="4" t="s">
        <v>45</v>
      </c>
      <c r="E1341" s="4" t="s">
        <v>25</v>
      </c>
      <c r="F1341" s="4" t="s">
        <v>25</v>
      </c>
      <c r="G1341" s="4" t="s">
        <v>25</v>
      </c>
      <c r="H1341" s="4" t="s">
        <v>25</v>
      </c>
      <c r="I1341" s="5">
        <v>44470</v>
      </c>
      <c r="J1341" s="6">
        <v>564</v>
      </c>
      <c r="K1341" s="60">
        <v>564</v>
      </c>
      <c r="L1341" s="6">
        <v>0</v>
      </c>
      <c r="M1341" s="60">
        <v>0</v>
      </c>
      <c r="N1341" s="6">
        <v>0</v>
      </c>
      <c r="O1341" s="60">
        <v>0</v>
      </c>
      <c r="P1341" s="6">
        <v>5</v>
      </c>
      <c r="Q1341" s="4" t="s">
        <v>26</v>
      </c>
      <c r="R1341" s="4">
        <v>0</v>
      </c>
      <c r="S1341" s="6">
        <v>40</v>
      </c>
      <c r="T1341" s="6">
        <v>0</v>
      </c>
      <c r="U1341" s="6">
        <v>0</v>
      </c>
      <c r="V1341" s="60">
        <f>IF(ISERROR(VLOOKUP($S$1341,'TAR FIN'!$A$1:$O$104,15,0)),0,VLOOKUP($S$1341,'TAR FIN'!$A$1:$O$104,15,0))*(1-0.04)</f>
        <v>25.171199999999999</v>
      </c>
      <c r="W1341" s="60">
        <f>IF(ISERROR(VLOOKUP($T$1341,'TAR FIN'!$A$1:$O$104,15,0)),0,VLOOKUP($T$1341,'TAR FIN'!$A$1:$O$104,15,0))</f>
        <v>0</v>
      </c>
      <c r="X1341" s="60">
        <f>IF(ISERROR(VLOOKUP($U$1341,'TAR FIN'!$A$1:$O$104,15,0)),0,VLOOKUP($U$1341,'TAR FIN'!$A$1:$O$104,15,0))</f>
        <v>0</v>
      </c>
      <c r="Y1341" s="60">
        <f ca="1">('TUSD BE'!$AM$24+'TUSD BF'!$AM$24+'TUSD CVA'!$AM$24)*1*(1-0.02)</f>
        <v>25.754560993400897</v>
      </c>
      <c r="Z1341" s="60"/>
      <c r="AA1341" s="60"/>
      <c r="AB1341" s="6">
        <f>$K$1341*$V$1341</f>
        <v>14196.556799999998</v>
      </c>
      <c r="AC1341" s="6">
        <f>$M$1341*$W$1341</f>
        <v>0</v>
      </c>
      <c r="AD1341" s="6">
        <f>$O$1341*$X$1341</f>
        <v>0</v>
      </c>
      <c r="AE1341" s="6">
        <f ca="1">$K$1341*$Y$1341</f>
        <v>14525.572400278106</v>
      </c>
      <c r="AF1341" s="6">
        <f>$M$1341*$Z$1341</f>
        <v>0</v>
      </c>
      <c r="AG1341" s="6">
        <f>$O$1341*$AA$1341</f>
        <v>0</v>
      </c>
    </row>
    <row r="1342" spans="1:33" ht="11.25" customHeight="1" x14ac:dyDescent="0.25">
      <c r="A1342" s="4" t="s">
        <v>21</v>
      </c>
      <c r="B1342" s="4" t="s">
        <v>41</v>
      </c>
      <c r="C1342" s="4" t="s">
        <v>42</v>
      </c>
      <c r="D1342" s="4" t="s">
        <v>45</v>
      </c>
      <c r="E1342" s="4" t="s">
        <v>25</v>
      </c>
      <c r="F1342" s="4" t="s">
        <v>25</v>
      </c>
      <c r="G1342" s="4" t="s">
        <v>25</v>
      </c>
      <c r="H1342" s="4" t="s">
        <v>25</v>
      </c>
      <c r="I1342" s="5">
        <v>44501</v>
      </c>
      <c r="J1342" s="6">
        <v>7448</v>
      </c>
      <c r="K1342" s="60">
        <v>7448</v>
      </c>
      <c r="L1342" s="6">
        <v>0</v>
      </c>
      <c r="M1342" s="60">
        <v>0</v>
      </c>
      <c r="N1342" s="6">
        <v>0</v>
      </c>
      <c r="O1342" s="60">
        <v>0</v>
      </c>
      <c r="P1342" s="6">
        <v>44</v>
      </c>
      <c r="Q1342" s="4" t="s">
        <v>26</v>
      </c>
      <c r="R1342" s="4">
        <v>0</v>
      </c>
      <c r="S1342" s="6">
        <v>40</v>
      </c>
      <c r="T1342" s="6">
        <v>0</v>
      </c>
      <c r="U1342" s="6">
        <v>0</v>
      </c>
      <c r="V1342" s="60">
        <f>IF(ISERROR(VLOOKUP($S$1342,'TAR FIN'!$A$1:$O$104,15,0)),0,VLOOKUP($S$1342,'TAR FIN'!$A$1:$O$104,15,0))*(1-0.04)</f>
        <v>25.171199999999999</v>
      </c>
      <c r="W1342" s="60">
        <f>IF(ISERROR(VLOOKUP($T$1342,'TAR FIN'!$A$1:$O$104,15,0)),0,VLOOKUP($T$1342,'TAR FIN'!$A$1:$O$104,15,0))</f>
        <v>0</v>
      </c>
      <c r="X1342" s="60">
        <f>IF(ISERROR(VLOOKUP($U$1342,'TAR FIN'!$A$1:$O$104,15,0)),0,VLOOKUP($U$1342,'TAR FIN'!$A$1:$O$104,15,0))</f>
        <v>0</v>
      </c>
      <c r="Y1342" s="60">
        <f ca="1">('TUSD BE'!$AM$24+'TUSD BF'!$AM$24+'TUSD CVA'!$AM$24)*1*(1-0.02)</f>
        <v>25.754560993400897</v>
      </c>
      <c r="Z1342" s="60"/>
      <c r="AA1342" s="60"/>
      <c r="AB1342" s="6">
        <f>$K$1342*$V$1342</f>
        <v>187475.09759999998</v>
      </c>
      <c r="AC1342" s="6">
        <f>$M$1342*$W$1342</f>
        <v>0</v>
      </c>
      <c r="AD1342" s="6">
        <f>$O$1342*$X$1342</f>
        <v>0</v>
      </c>
      <c r="AE1342" s="6">
        <f ca="1">$K$1342*$Y$1342</f>
        <v>191819.97027884988</v>
      </c>
      <c r="AF1342" s="6">
        <f>$M$1342*$Z$1342</f>
        <v>0</v>
      </c>
      <c r="AG1342" s="6">
        <f>$O$1342*$AA$1342</f>
        <v>0</v>
      </c>
    </row>
    <row r="1343" spans="1:33" ht="11.25" customHeight="1" x14ac:dyDescent="0.25">
      <c r="A1343" s="4" t="s">
        <v>27</v>
      </c>
      <c r="B1343" s="4" t="s">
        <v>41</v>
      </c>
      <c r="C1343" s="4" t="s">
        <v>42</v>
      </c>
      <c r="D1343" s="4" t="s">
        <v>45</v>
      </c>
      <c r="E1343" s="4" t="s">
        <v>25</v>
      </c>
      <c r="F1343" s="4" t="s">
        <v>25</v>
      </c>
      <c r="G1343" s="4" t="s">
        <v>25</v>
      </c>
      <c r="H1343" s="4" t="s">
        <v>25</v>
      </c>
      <c r="I1343" s="5">
        <v>44501</v>
      </c>
      <c r="J1343" s="6">
        <v>46</v>
      </c>
      <c r="K1343" s="60">
        <v>46</v>
      </c>
      <c r="L1343" s="6">
        <v>0</v>
      </c>
      <c r="M1343" s="60">
        <v>0</v>
      </c>
      <c r="N1343" s="6">
        <v>0</v>
      </c>
      <c r="O1343" s="60">
        <v>0</v>
      </c>
      <c r="P1343" s="6">
        <v>1</v>
      </c>
      <c r="Q1343" s="4" t="s">
        <v>26</v>
      </c>
      <c r="R1343" s="4">
        <v>0</v>
      </c>
      <c r="S1343" s="6">
        <v>40</v>
      </c>
      <c r="T1343" s="6">
        <v>0</v>
      </c>
      <c r="U1343" s="6">
        <v>0</v>
      </c>
      <c r="V1343" s="60">
        <f>IF(ISERROR(VLOOKUP($S$1343,'TAR FIN'!$A$1:$O$104,15,0)),0,VLOOKUP($S$1343,'TAR FIN'!$A$1:$O$104,15,0))*(1-0.04)</f>
        <v>25.171199999999999</v>
      </c>
      <c r="W1343" s="60">
        <f>IF(ISERROR(VLOOKUP($T$1343,'TAR FIN'!$A$1:$O$104,15,0)),0,VLOOKUP($T$1343,'TAR FIN'!$A$1:$O$104,15,0))</f>
        <v>0</v>
      </c>
      <c r="X1343" s="60">
        <f>IF(ISERROR(VLOOKUP($U$1343,'TAR FIN'!$A$1:$O$104,15,0)),0,VLOOKUP($U$1343,'TAR FIN'!$A$1:$O$104,15,0))</f>
        <v>0</v>
      </c>
      <c r="Y1343" s="60">
        <f ca="1">('TUSD BE'!$AM$24+'TUSD BF'!$AM$24+'TUSD CVA'!$AM$24)*1*(1-0.02)</f>
        <v>25.754560993400897</v>
      </c>
      <c r="Z1343" s="60"/>
      <c r="AA1343" s="60"/>
      <c r="AB1343" s="6">
        <f>$K$1343*$V$1343</f>
        <v>1157.8751999999999</v>
      </c>
      <c r="AC1343" s="6">
        <f>$M$1343*$W$1343</f>
        <v>0</v>
      </c>
      <c r="AD1343" s="6">
        <f>$O$1343*$X$1343</f>
        <v>0</v>
      </c>
      <c r="AE1343" s="6">
        <f ca="1">$K$1343*$Y$1343</f>
        <v>1184.7098056964412</v>
      </c>
      <c r="AF1343" s="6">
        <f>$M$1343*$Z$1343</f>
        <v>0</v>
      </c>
      <c r="AG1343" s="6">
        <f>$O$1343*$AA$1343</f>
        <v>0</v>
      </c>
    </row>
    <row r="1344" spans="1:33" ht="11.25" customHeight="1" x14ac:dyDescent="0.25">
      <c r="A1344" s="4" t="s">
        <v>28</v>
      </c>
      <c r="B1344" s="4" t="s">
        <v>41</v>
      </c>
      <c r="C1344" s="4" t="s">
        <v>42</v>
      </c>
      <c r="D1344" s="4" t="s">
        <v>45</v>
      </c>
      <c r="E1344" s="4" t="s">
        <v>25</v>
      </c>
      <c r="F1344" s="4" t="s">
        <v>25</v>
      </c>
      <c r="G1344" s="4" t="s">
        <v>25</v>
      </c>
      <c r="H1344" s="4" t="s">
        <v>25</v>
      </c>
      <c r="I1344" s="5">
        <v>44501</v>
      </c>
      <c r="J1344" s="6">
        <v>340</v>
      </c>
      <c r="K1344" s="60">
        <v>340</v>
      </c>
      <c r="L1344" s="6">
        <v>0</v>
      </c>
      <c r="M1344" s="60">
        <v>0</v>
      </c>
      <c r="N1344" s="6">
        <v>0</v>
      </c>
      <c r="O1344" s="60">
        <v>0</v>
      </c>
      <c r="P1344" s="6">
        <v>4</v>
      </c>
      <c r="Q1344" s="4" t="s">
        <v>26</v>
      </c>
      <c r="R1344" s="4">
        <v>0</v>
      </c>
      <c r="S1344" s="6">
        <v>40</v>
      </c>
      <c r="T1344" s="6">
        <v>0</v>
      </c>
      <c r="U1344" s="6">
        <v>0</v>
      </c>
      <c r="V1344" s="60">
        <f>IF(ISERROR(VLOOKUP($S$1344,'TAR FIN'!$A$1:$O$104,15,0)),0,VLOOKUP($S$1344,'TAR FIN'!$A$1:$O$104,15,0))*(1-0.04)</f>
        <v>25.171199999999999</v>
      </c>
      <c r="W1344" s="60">
        <f>IF(ISERROR(VLOOKUP($T$1344,'TAR FIN'!$A$1:$O$104,15,0)),0,VLOOKUP($T$1344,'TAR FIN'!$A$1:$O$104,15,0))</f>
        <v>0</v>
      </c>
      <c r="X1344" s="60">
        <f>IF(ISERROR(VLOOKUP($U$1344,'TAR FIN'!$A$1:$O$104,15,0)),0,VLOOKUP($U$1344,'TAR FIN'!$A$1:$O$104,15,0))</f>
        <v>0</v>
      </c>
      <c r="Y1344" s="60">
        <f ca="1">('TUSD BE'!$AM$24+'TUSD BF'!$AM$24+'TUSD CVA'!$AM$24)*1*(1-0.02)</f>
        <v>25.754560993400897</v>
      </c>
      <c r="Z1344" s="60"/>
      <c r="AA1344" s="60"/>
      <c r="AB1344" s="6">
        <f>$K$1344*$V$1344</f>
        <v>8558.2079999999987</v>
      </c>
      <c r="AC1344" s="6">
        <f>$M$1344*$W$1344</f>
        <v>0</v>
      </c>
      <c r="AD1344" s="6">
        <f>$O$1344*$X$1344</f>
        <v>0</v>
      </c>
      <c r="AE1344" s="6">
        <f ca="1">$K$1344*$Y$1344</f>
        <v>8756.5507377563044</v>
      </c>
      <c r="AF1344" s="6">
        <f>$M$1344*$Z$1344</f>
        <v>0</v>
      </c>
      <c r="AG1344" s="6">
        <f>$O$1344*$AA$1344</f>
        <v>0</v>
      </c>
    </row>
    <row r="1345" spans="1:33" ht="11.25" customHeight="1" x14ac:dyDescent="0.25">
      <c r="A1345" s="4" t="s">
        <v>28</v>
      </c>
      <c r="B1345" s="4" t="s">
        <v>41</v>
      </c>
      <c r="C1345" s="4" t="s">
        <v>42</v>
      </c>
      <c r="D1345" s="4" t="s">
        <v>45</v>
      </c>
      <c r="E1345" s="4" t="s">
        <v>25</v>
      </c>
      <c r="F1345" s="4" t="s">
        <v>25</v>
      </c>
      <c r="G1345" s="4" t="s">
        <v>25</v>
      </c>
      <c r="H1345" s="4" t="s">
        <v>25</v>
      </c>
      <c r="I1345" s="5">
        <v>44501</v>
      </c>
      <c r="J1345" s="6">
        <v>-241</v>
      </c>
      <c r="K1345" s="60">
        <v>-241</v>
      </c>
      <c r="L1345" s="6">
        <v>0</v>
      </c>
      <c r="M1345" s="60">
        <v>0</v>
      </c>
      <c r="N1345" s="6">
        <v>0</v>
      </c>
      <c r="O1345" s="60">
        <v>0</v>
      </c>
      <c r="P1345" s="6">
        <v>-1</v>
      </c>
      <c r="Q1345" s="4" t="s">
        <v>26</v>
      </c>
      <c r="R1345" s="4">
        <v>0</v>
      </c>
      <c r="S1345" s="6">
        <v>40</v>
      </c>
      <c r="T1345" s="6">
        <v>0</v>
      </c>
      <c r="U1345" s="6">
        <v>0</v>
      </c>
      <c r="V1345" s="60">
        <f>IF(ISERROR(VLOOKUP($S$1345,'TAR FIN'!$A$1:$O$104,15,0)),0,VLOOKUP($S$1345,'TAR FIN'!$A$1:$O$104,15,0))*(1-0.04)</f>
        <v>25.171199999999999</v>
      </c>
      <c r="W1345" s="60">
        <f>IF(ISERROR(VLOOKUP($T$1345,'TAR FIN'!$A$1:$O$104,15,0)),0,VLOOKUP($T$1345,'TAR FIN'!$A$1:$O$104,15,0))</f>
        <v>0</v>
      </c>
      <c r="X1345" s="60">
        <f>IF(ISERROR(VLOOKUP($U$1345,'TAR FIN'!$A$1:$O$104,15,0)),0,VLOOKUP($U$1345,'TAR FIN'!$A$1:$O$104,15,0))</f>
        <v>0</v>
      </c>
      <c r="Y1345" s="60">
        <f ca="1">('TUSD BE'!$AM$24+'TUSD BF'!$AM$24+'TUSD CVA'!$AM$24)*1*(1-0.02)</f>
        <v>25.754560993400897</v>
      </c>
      <c r="Z1345" s="60"/>
      <c r="AA1345" s="60"/>
      <c r="AB1345" s="6">
        <f>$K$1345*$V$1345</f>
        <v>-6066.2591999999995</v>
      </c>
      <c r="AC1345" s="6">
        <f>$M$1345*$W$1345</f>
        <v>0</v>
      </c>
      <c r="AD1345" s="6">
        <f>$O$1345*$X$1345</f>
        <v>0</v>
      </c>
      <c r="AE1345" s="6">
        <f ca="1">$K$1345*$Y$1345</f>
        <v>-6206.8491994096166</v>
      </c>
      <c r="AF1345" s="6">
        <f>$M$1345*$Z$1345</f>
        <v>0</v>
      </c>
      <c r="AG1345" s="6">
        <f>$O$1345*$AA$1345</f>
        <v>0</v>
      </c>
    </row>
    <row r="1346" spans="1:33" ht="11.25" customHeight="1" x14ac:dyDescent="0.25">
      <c r="A1346" s="4" t="s">
        <v>21</v>
      </c>
      <c r="B1346" s="4" t="s">
        <v>41</v>
      </c>
      <c r="C1346" s="4" t="s">
        <v>42</v>
      </c>
      <c r="D1346" s="4" t="s">
        <v>45</v>
      </c>
      <c r="E1346" s="4" t="s">
        <v>25</v>
      </c>
      <c r="F1346" s="4" t="s">
        <v>25</v>
      </c>
      <c r="G1346" s="4" t="s">
        <v>25</v>
      </c>
      <c r="H1346" s="4" t="s">
        <v>25</v>
      </c>
      <c r="I1346" s="5">
        <v>44531</v>
      </c>
      <c r="J1346" s="6">
        <v>5500</v>
      </c>
      <c r="K1346" s="60">
        <v>5500</v>
      </c>
      <c r="L1346" s="6">
        <v>0</v>
      </c>
      <c r="M1346" s="60">
        <v>0</v>
      </c>
      <c r="N1346" s="6">
        <v>0</v>
      </c>
      <c r="O1346" s="60">
        <v>0</v>
      </c>
      <c r="P1346" s="6">
        <v>47</v>
      </c>
      <c r="Q1346" s="4" t="s">
        <v>26</v>
      </c>
      <c r="R1346" s="4">
        <v>0</v>
      </c>
      <c r="S1346" s="6">
        <v>40</v>
      </c>
      <c r="T1346" s="6">
        <v>0</v>
      </c>
      <c r="U1346" s="6">
        <v>0</v>
      </c>
      <c r="V1346" s="60">
        <f>IF(ISERROR(VLOOKUP($S$1346,'TAR FIN'!$A$1:$O$104,15,0)),0,VLOOKUP($S$1346,'TAR FIN'!$A$1:$O$104,15,0))*(1-0.04)</f>
        <v>25.171199999999999</v>
      </c>
      <c r="W1346" s="60">
        <f>IF(ISERROR(VLOOKUP($T$1346,'TAR FIN'!$A$1:$O$104,15,0)),0,VLOOKUP($T$1346,'TAR FIN'!$A$1:$O$104,15,0))</f>
        <v>0</v>
      </c>
      <c r="X1346" s="60">
        <f>IF(ISERROR(VLOOKUP($U$1346,'TAR FIN'!$A$1:$O$104,15,0)),0,VLOOKUP($U$1346,'TAR FIN'!$A$1:$O$104,15,0))</f>
        <v>0</v>
      </c>
      <c r="Y1346" s="60">
        <f ca="1">('TUSD BE'!$AM$24+'TUSD BF'!$AM$24+'TUSD CVA'!$AM$24)*1*(1-0.02)</f>
        <v>25.754560993400897</v>
      </c>
      <c r="Z1346" s="60"/>
      <c r="AA1346" s="60"/>
      <c r="AB1346" s="6">
        <f>$K$1346*$V$1346</f>
        <v>138441.60000000001</v>
      </c>
      <c r="AC1346" s="6">
        <f>$M$1346*$W$1346</f>
        <v>0</v>
      </c>
      <c r="AD1346" s="6">
        <f>$O$1346*$X$1346</f>
        <v>0</v>
      </c>
      <c r="AE1346" s="6">
        <f ca="1">$K$1346*$Y$1346</f>
        <v>141650.08546370495</v>
      </c>
      <c r="AF1346" s="6">
        <f>$M$1346*$Z$1346</f>
        <v>0</v>
      </c>
      <c r="AG1346" s="6">
        <f>$O$1346*$AA$1346</f>
        <v>0</v>
      </c>
    </row>
    <row r="1347" spans="1:33" ht="11.25" customHeight="1" x14ac:dyDescent="0.25">
      <c r="A1347" s="4" t="s">
        <v>27</v>
      </c>
      <c r="B1347" s="4" t="s">
        <v>41</v>
      </c>
      <c r="C1347" s="4" t="s">
        <v>42</v>
      </c>
      <c r="D1347" s="4" t="s">
        <v>45</v>
      </c>
      <c r="E1347" s="4" t="s">
        <v>25</v>
      </c>
      <c r="F1347" s="4" t="s">
        <v>25</v>
      </c>
      <c r="G1347" s="4" t="s">
        <v>25</v>
      </c>
      <c r="H1347" s="4" t="s">
        <v>25</v>
      </c>
      <c r="I1347" s="5">
        <v>44531</v>
      </c>
      <c r="J1347" s="6">
        <v>-49</v>
      </c>
      <c r="K1347" s="60">
        <v>-49</v>
      </c>
      <c r="L1347" s="6">
        <v>0</v>
      </c>
      <c r="M1347" s="60">
        <v>0</v>
      </c>
      <c r="N1347" s="6">
        <v>0</v>
      </c>
      <c r="O1347" s="60">
        <v>0</v>
      </c>
      <c r="P1347" s="6">
        <v>-1</v>
      </c>
      <c r="Q1347" s="4" t="s">
        <v>26</v>
      </c>
      <c r="R1347" s="4">
        <v>0</v>
      </c>
      <c r="S1347" s="6">
        <v>40</v>
      </c>
      <c r="T1347" s="6">
        <v>0</v>
      </c>
      <c r="U1347" s="6">
        <v>0</v>
      </c>
      <c r="V1347" s="60">
        <f>IF(ISERROR(VLOOKUP($S$1347,'TAR FIN'!$A$1:$O$104,15,0)),0,VLOOKUP($S$1347,'TAR FIN'!$A$1:$O$104,15,0))*(1-0.04)</f>
        <v>25.171199999999999</v>
      </c>
      <c r="W1347" s="60">
        <f>IF(ISERROR(VLOOKUP($T$1347,'TAR FIN'!$A$1:$O$104,15,0)),0,VLOOKUP($T$1347,'TAR FIN'!$A$1:$O$104,15,0))</f>
        <v>0</v>
      </c>
      <c r="X1347" s="60">
        <f>IF(ISERROR(VLOOKUP($U$1347,'TAR FIN'!$A$1:$O$104,15,0)),0,VLOOKUP($U$1347,'TAR FIN'!$A$1:$O$104,15,0))</f>
        <v>0</v>
      </c>
      <c r="Y1347" s="60">
        <f ca="1">('TUSD BE'!$AM$24+'TUSD BF'!$AM$24+'TUSD CVA'!$AM$24)*1*(1-0.02)</f>
        <v>25.754560993400897</v>
      </c>
      <c r="Z1347" s="60"/>
      <c r="AA1347" s="60"/>
      <c r="AB1347" s="6">
        <f>$K$1347*$V$1347</f>
        <v>-1233.3887999999999</v>
      </c>
      <c r="AC1347" s="6">
        <f>$M$1347*$W$1347</f>
        <v>0</v>
      </c>
      <c r="AD1347" s="6">
        <f>$O$1347*$X$1347</f>
        <v>0</v>
      </c>
      <c r="AE1347" s="6">
        <f ca="1">$K$1347*$Y$1347</f>
        <v>-1261.9734886766439</v>
      </c>
      <c r="AF1347" s="6">
        <f>$M$1347*$Z$1347</f>
        <v>0</v>
      </c>
      <c r="AG1347" s="6">
        <f>$O$1347*$AA$1347</f>
        <v>0</v>
      </c>
    </row>
    <row r="1348" spans="1:33" ht="11.25" customHeight="1" x14ac:dyDescent="0.25">
      <c r="A1348" s="4" t="s">
        <v>28</v>
      </c>
      <c r="B1348" s="4" t="s">
        <v>41</v>
      </c>
      <c r="C1348" s="4" t="s">
        <v>42</v>
      </c>
      <c r="D1348" s="4" t="s">
        <v>45</v>
      </c>
      <c r="E1348" s="4" t="s">
        <v>25</v>
      </c>
      <c r="F1348" s="4" t="s">
        <v>25</v>
      </c>
      <c r="G1348" s="4" t="s">
        <v>25</v>
      </c>
      <c r="H1348" s="4" t="s">
        <v>25</v>
      </c>
      <c r="I1348" s="5">
        <v>44531</v>
      </c>
      <c r="J1348" s="6">
        <v>329</v>
      </c>
      <c r="K1348" s="60">
        <v>329</v>
      </c>
      <c r="L1348" s="6">
        <v>0</v>
      </c>
      <c r="M1348" s="60">
        <v>0</v>
      </c>
      <c r="N1348" s="6">
        <v>0</v>
      </c>
      <c r="O1348" s="60">
        <v>0</v>
      </c>
      <c r="P1348" s="6">
        <v>4</v>
      </c>
      <c r="Q1348" s="4" t="s">
        <v>26</v>
      </c>
      <c r="R1348" s="4">
        <v>0</v>
      </c>
      <c r="S1348" s="6">
        <v>40</v>
      </c>
      <c r="T1348" s="6">
        <v>0</v>
      </c>
      <c r="U1348" s="6">
        <v>0</v>
      </c>
      <c r="V1348" s="60">
        <f>IF(ISERROR(VLOOKUP($S$1348,'TAR FIN'!$A$1:$O$104,15,0)),0,VLOOKUP($S$1348,'TAR FIN'!$A$1:$O$104,15,0))*(1-0.04)</f>
        <v>25.171199999999999</v>
      </c>
      <c r="W1348" s="60">
        <f>IF(ISERROR(VLOOKUP($T$1348,'TAR FIN'!$A$1:$O$104,15,0)),0,VLOOKUP($T$1348,'TAR FIN'!$A$1:$O$104,15,0))</f>
        <v>0</v>
      </c>
      <c r="X1348" s="60">
        <f>IF(ISERROR(VLOOKUP($U$1348,'TAR FIN'!$A$1:$O$104,15,0)),0,VLOOKUP($U$1348,'TAR FIN'!$A$1:$O$104,15,0))</f>
        <v>0</v>
      </c>
      <c r="Y1348" s="60">
        <f ca="1">('TUSD BE'!$AM$24+'TUSD BF'!$AM$24+'TUSD CVA'!$AM$24)*1*(1-0.02)</f>
        <v>25.754560993400897</v>
      </c>
      <c r="Z1348" s="60"/>
      <c r="AA1348" s="60"/>
      <c r="AB1348" s="6">
        <f>$K$1348*$V$1348</f>
        <v>8281.3248000000003</v>
      </c>
      <c r="AC1348" s="6">
        <f>$M$1348*$W$1348</f>
        <v>0</v>
      </c>
      <c r="AD1348" s="6">
        <f>$O$1348*$X$1348</f>
        <v>0</v>
      </c>
      <c r="AE1348" s="6">
        <f ca="1">$K$1348*$Y$1348</f>
        <v>8473.2505668288959</v>
      </c>
      <c r="AF1348" s="6">
        <f>$M$1348*$Z$1348</f>
        <v>0</v>
      </c>
      <c r="AG1348" s="6">
        <f>$O$1348*$AA$1348</f>
        <v>0</v>
      </c>
    </row>
    <row r="1349" spans="1:33" ht="11.25" customHeight="1" x14ac:dyDescent="0.25">
      <c r="A1349" s="4" t="s">
        <v>21</v>
      </c>
      <c r="B1349" s="4" t="s">
        <v>41</v>
      </c>
      <c r="C1349" s="4" t="s">
        <v>42</v>
      </c>
      <c r="D1349" s="4" t="s">
        <v>45</v>
      </c>
      <c r="E1349" s="4" t="s">
        <v>25</v>
      </c>
      <c r="F1349" s="4" t="s">
        <v>25</v>
      </c>
      <c r="G1349" s="4" t="s">
        <v>25</v>
      </c>
      <c r="H1349" s="4" t="s">
        <v>25</v>
      </c>
      <c r="I1349" s="5">
        <v>44562</v>
      </c>
      <c r="J1349" s="6">
        <v>3939</v>
      </c>
      <c r="K1349" s="60">
        <v>3939</v>
      </c>
      <c r="L1349" s="6">
        <v>0</v>
      </c>
      <c r="M1349" s="60">
        <v>0</v>
      </c>
      <c r="N1349" s="6">
        <v>0</v>
      </c>
      <c r="O1349" s="60">
        <v>0</v>
      </c>
      <c r="P1349" s="6">
        <v>44</v>
      </c>
      <c r="Q1349" s="4" t="s">
        <v>26</v>
      </c>
      <c r="R1349" s="4">
        <v>0</v>
      </c>
      <c r="S1349" s="6">
        <v>40</v>
      </c>
      <c r="T1349" s="6">
        <v>0</v>
      </c>
      <c r="U1349" s="6">
        <v>0</v>
      </c>
      <c r="V1349" s="60">
        <f>IF(ISERROR(VLOOKUP($S$1349,'TAR FIN'!$A$1:$O$104,15,0)),0,VLOOKUP($S$1349,'TAR FIN'!$A$1:$O$104,15,0))*(1-0.04)</f>
        <v>25.171199999999999</v>
      </c>
      <c r="W1349" s="60">
        <f>IF(ISERROR(VLOOKUP($T$1349,'TAR FIN'!$A$1:$O$104,15,0)),0,VLOOKUP($T$1349,'TAR FIN'!$A$1:$O$104,15,0))</f>
        <v>0</v>
      </c>
      <c r="X1349" s="60">
        <f>IF(ISERROR(VLOOKUP($U$1349,'TAR FIN'!$A$1:$O$104,15,0)),0,VLOOKUP($U$1349,'TAR FIN'!$A$1:$O$104,15,0))</f>
        <v>0</v>
      </c>
      <c r="Y1349" s="60">
        <f ca="1">('TUSD BE'!$AM$24+'TUSD BF'!$AM$24+'TUSD CVA'!$AM$24)*1*(1-0.02)</f>
        <v>25.754560993400897</v>
      </c>
      <c r="Z1349" s="60"/>
      <c r="AA1349" s="60"/>
      <c r="AB1349" s="6">
        <f>$K$1349*$V$1349</f>
        <v>99149.356799999994</v>
      </c>
      <c r="AC1349" s="6">
        <f>$M$1349*$W$1349</f>
        <v>0</v>
      </c>
      <c r="AD1349" s="6">
        <f>$O$1349*$X$1349</f>
        <v>0</v>
      </c>
      <c r="AE1349" s="6">
        <f ca="1">$K$1349*$Y$1349</f>
        <v>101447.21575300614</v>
      </c>
      <c r="AF1349" s="6">
        <f>$M$1349*$Z$1349</f>
        <v>0</v>
      </c>
      <c r="AG1349" s="6">
        <f>$O$1349*$AA$1349</f>
        <v>0</v>
      </c>
    </row>
    <row r="1350" spans="1:33" ht="11.25" customHeight="1" x14ac:dyDescent="0.25">
      <c r="A1350" s="4" t="s">
        <v>28</v>
      </c>
      <c r="B1350" s="4" t="s">
        <v>41</v>
      </c>
      <c r="C1350" s="4" t="s">
        <v>42</v>
      </c>
      <c r="D1350" s="4" t="s">
        <v>45</v>
      </c>
      <c r="E1350" s="4" t="s">
        <v>25</v>
      </c>
      <c r="F1350" s="4" t="s">
        <v>25</v>
      </c>
      <c r="G1350" s="4" t="s">
        <v>25</v>
      </c>
      <c r="H1350" s="4" t="s">
        <v>25</v>
      </c>
      <c r="I1350" s="5">
        <v>44562</v>
      </c>
      <c r="J1350" s="6">
        <v>249</v>
      </c>
      <c r="K1350" s="60">
        <v>249</v>
      </c>
      <c r="L1350" s="6">
        <v>0</v>
      </c>
      <c r="M1350" s="60">
        <v>0</v>
      </c>
      <c r="N1350" s="6">
        <v>0</v>
      </c>
      <c r="O1350" s="60">
        <v>0</v>
      </c>
      <c r="P1350" s="6">
        <v>4</v>
      </c>
      <c r="Q1350" s="4" t="s">
        <v>26</v>
      </c>
      <c r="R1350" s="4">
        <v>0</v>
      </c>
      <c r="S1350" s="6">
        <v>40</v>
      </c>
      <c r="T1350" s="6">
        <v>0</v>
      </c>
      <c r="U1350" s="6">
        <v>0</v>
      </c>
      <c r="V1350" s="60">
        <f>IF(ISERROR(VLOOKUP($S$1350,'TAR FIN'!$A$1:$O$104,15,0)),0,VLOOKUP($S$1350,'TAR FIN'!$A$1:$O$104,15,0))*(1-0.04)</f>
        <v>25.171199999999999</v>
      </c>
      <c r="W1350" s="60">
        <f>IF(ISERROR(VLOOKUP($T$1350,'TAR FIN'!$A$1:$O$104,15,0)),0,VLOOKUP($T$1350,'TAR FIN'!$A$1:$O$104,15,0))</f>
        <v>0</v>
      </c>
      <c r="X1350" s="60">
        <f>IF(ISERROR(VLOOKUP($U$1350,'TAR FIN'!$A$1:$O$104,15,0)),0,VLOOKUP($U$1350,'TAR FIN'!$A$1:$O$104,15,0))</f>
        <v>0</v>
      </c>
      <c r="Y1350" s="60">
        <f ca="1">('TUSD BE'!$AM$24+'TUSD BF'!$AM$24+'TUSD CVA'!$AM$24)*1*(1-0.02)</f>
        <v>25.754560993400897</v>
      </c>
      <c r="Z1350" s="60"/>
      <c r="AA1350" s="60"/>
      <c r="AB1350" s="6">
        <f>$K$1350*$V$1350</f>
        <v>6267.6287999999995</v>
      </c>
      <c r="AC1350" s="6">
        <f>$M$1350*$W$1350</f>
        <v>0</v>
      </c>
      <c r="AD1350" s="6">
        <f>$O$1350*$X$1350</f>
        <v>0</v>
      </c>
      <c r="AE1350" s="6">
        <f ca="1">$K$1350*$Y$1350</f>
        <v>6412.8856873568238</v>
      </c>
      <c r="AF1350" s="6">
        <f>$M$1350*$Z$1350</f>
        <v>0</v>
      </c>
      <c r="AG1350" s="6">
        <f>$O$1350*$AA$1350</f>
        <v>0</v>
      </c>
    </row>
    <row r="1351" spans="1:33" ht="11.25" customHeight="1" x14ac:dyDescent="0.25">
      <c r="A1351" s="4" t="s">
        <v>21</v>
      </c>
      <c r="B1351" s="4" t="s">
        <v>41</v>
      </c>
      <c r="C1351" s="4" t="s">
        <v>42</v>
      </c>
      <c r="D1351" s="4" t="s">
        <v>45</v>
      </c>
      <c r="E1351" s="4" t="s">
        <v>25</v>
      </c>
      <c r="F1351" s="4" t="s">
        <v>25</v>
      </c>
      <c r="G1351" s="4" t="s">
        <v>25</v>
      </c>
      <c r="H1351" s="4" t="s">
        <v>25</v>
      </c>
      <c r="I1351" s="5">
        <v>44593</v>
      </c>
      <c r="J1351" s="6">
        <v>4123</v>
      </c>
      <c r="K1351" s="60">
        <v>4123</v>
      </c>
      <c r="L1351" s="6">
        <v>0</v>
      </c>
      <c r="M1351" s="60">
        <v>0</v>
      </c>
      <c r="N1351" s="6">
        <v>0</v>
      </c>
      <c r="O1351" s="60">
        <v>0</v>
      </c>
      <c r="P1351" s="6">
        <v>39</v>
      </c>
      <c r="Q1351" s="4" t="s">
        <v>26</v>
      </c>
      <c r="R1351" s="4">
        <v>0</v>
      </c>
      <c r="S1351" s="6">
        <v>40</v>
      </c>
      <c r="T1351" s="6">
        <v>0</v>
      </c>
      <c r="U1351" s="6">
        <v>0</v>
      </c>
      <c r="V1351" s="60">
        <f>IF(ISERROR(VLOOKUP($S$1351,'TAR FIN'!$A$1:$O$104,15,0)),0,VLOOKUP($S$1351,'TAR FIN'!$A$1:$O$104,15,0))*(1-0.04)</f>
        <v>25.171199999999999</v>
      </c>
      <c r="W1351" s="60">
        <f>IF(ISERROR(VLOOKUP($T$1351,'TAR FIN'!$A$1:$O$104,15,0)),0,VLOOKUP($T$1351,'TAR FIN'!$A$1:$O$104,15,0))</f>
        <v>0</v>
      </c>
      <c r="X1351" s="60">
        <f>IF(ISERROR(VLOOKUP($U$1351,'TAR FIN'!$A$1:$O$104,15,0)),0,VLOOKUP($U$1351,'TAR FIN'!$A$1:$O$104,15,0))</f>
        <v>0</v>
      </c>
      <c r="Y1351" s="60">
        <f ca="1">('TUSD BE'!$AM$24+'TUSD BF'!$AM$24+'TUSD CVA'!$AM$24)*1*(1-0.02)</f>
        <v>25.754560993400897</v>
      </c>
      <c r="Z1351" s="60"/>
      <c r="AA1351" s="60"/>
      <c r="AB1351" s="6">
        <f>$K$1351*$V$1351</f>
        <v>103780.85759999999</v>
      </c>
      <c r="AC1351" s="6">
        <f>$M$1351*$W$1351</f>
        <v>0</v>
      </c>
      <c r="AD1351" s="6">
        <f>$O$1351*$X$1351</f>
        <v>0</v>
      </c>
      <c r="AE1351" s="6">
        <f ca="1">$K$1351*$Y$1351</f>
        <v>106186.05497579189</v>
      </c>
      <c r="AF1351" s="6">
        <f>$M$1351*$Z$1351</f>
        <v>0</v>
      </c>
      <c r="AG1351" s="6">
        <f>$O$1351*$AA$1351</f>
        <v>0</v>
      </c>
    </row>
    <row r="1352" spans="1:33" ht="11.25" customHeight="1" x14ac:dyDescent="0.25">
      <c r="A1352" s="4" t="s">
        <v>27</v>
      </c>
      <c r="B1352" s="4" t="s">
        <v>41</v>
      </c>
      <c r="C1352" s="4" t="s">
        <v>42</v>
      </c>
      <c r="D1352" s="4" t="s">
        <v>45</v>
      </c>
      <c r="E1352" s="4" t="s">
        <v>25</v>
      </c>
      <c r="F1352" s="4" t="s">
        <v>25</v>
      </c>
      <c r="G1352" s="4" t="s">
        <v>25</v>
      </c>
      <c r="H1352" s="4" t="s">
        <v>25</v>
      </c>
      <c r="I1352" s="5">
        <v>44593</v>
      </c>
      <c r="J1352" s="6">
        <v>304</v>
      </c>
      <c r="K1352" s="60">
        <v>304</v>
      </c>
      <c r="L1352" s="6">
        <v>0</v>
      </c>
      <c r="M1352" s="60">
        <v>0</v>
      </c>
      <c r="N1352" s="6">
        <v>0</v>
      </c>
      <c r="O1352" s="60">
        <v>0</v>
      </c>
      <c r="P1352" s="6">
        <v>1</v>
      </c>
      <c r="Q1352" s="4" t="s">
        <v>26</v>
      </c>
      <c r="R1352" s="4">
        <v>0</v>
      </c>
      <c r="S1352" s="6">
        <v>40</v>
      </c>
      <c r="T1352" s="6">
        <v>0</v>
      </c>
      <c r="U1352" s="6">
        <v>0</v>
      </c>
      <c r="V1352" s="60">
        <f>IF(ISERROR(VLOOKUP($S$1352,'TAR FIN'!$A$1:$O$104,15,0)),0,VLOOKUP($S$1352,'TAR FIN'!$A$1:$O$104,15,0))*(1-0.04)</f>
        <v>25.171199999999999</v>
      </c>
      <c r="W1352" s="60">
        <f>IF(ISERROR(VLOOKUP($T$1352,'TAR FIN'!$A$1:$O$104,15,0)),0,VLOOKUP($T$1352,'TAR FIN'!$A$1:$O$104,15,0))</f>
        <v>0</v>
      </c>
      <c r="X1352" s="60">
        <f>IF(ISERROR(VLOOKUP($U$1352,'TAR FIN'!$A$1:$O$104,15,0)),0,VLOOKUP($U$1352,'TAR FIN'!$A$1:$O$104,15,0))</f>
        <v>0</v>
      </c>
      <c r="Y1352" s="60">
        <f ca="1">('TUSD BE'!$AM$24+'TUSD BF'!$AM$24+'TUSD CVA'!$AM$24)*1*(1-0.02)</f>
        <v>25.754560993400897</v>
      </c>
      <c r="Z1352" s="60"/>
      <c r="AA1352" s="60"/>
      <c r="AB1352" s="6">
        <f>$K$1352*$V$1352</f>
        <v>7652.0447999999997</v>
      </c>
      <c r="AC1352" s="6">
        <f>$M$1352*$W$1352</f>
        <v>0</v>
      </c>
      <c r="AD1352" s="6">
        <f>$O$1352*$X$1352</f>
        <v>0</v>
      </c>
      <c r="AE1352" s="6">
        <f ca="1">$K$1352*$Y$1352</f>
        <v>7829.3865419938729</v>
      </c>
      <c r="AF1352" s="6">
        <f>$M$1352*$Z$1352</f>
        <v>0</v>
      </c>
      <c r="AG1352" s="6">
        <f>$O$1352*$AA$1352</f>
        <v>0</v>
      </c>
    </row>
    <row r="1353" spans="1:33" ht="11.25" customHeight="1" x14ac:dyDescent="0.25">
      <c r="A1353" s="4" t="s">
        <v>28</v>
      </c>
      <c r="B1353" s="4" t="s">
        <v>41</v>
      </c>
      <c r="C1353" s="4" t="s">
        <v>42</v>
      </c>
      <c r="D1353" s="4" t="s">
        <v>45</v>
      </c>
      <c r="E1353" s="4" t="s">
        <v>25</v>
      </c>
      <c r="F1353" s="4" t="s">
        <v>25</v>
      </c>
      <c r="G1353" s="4" t="s">
        <v>25</v>
      </c>
      <c r="H1353" s="4" t="s">
        <v>25</v>
      </c>
      <c r="I1353" s="5">
        <v>44593</v>
      </c>
      <c r="J1353" s="6">
        <v>225</v>
      </c>
      <c r="K1353" s="60">
        <v>225</v>
      </c>
      <c r="L1353" s="6">
        <v>0</v>
      </c>
      <c r="M1353" s="60">
        <v>0</v>
      </c>
      <c r="N1353" s="6">
        <v>0</v>
      </c>
      <c r="O1353" s="60">
        <v>0</v>
      </c>
      <c r="P1353" s="6">
        <v>4</v>
      </c>
      <c r="Q1353" s="4" t="s">
        <v>26</v>
      </c>
      <c r="R1353" s="4">
        <v>0</v>
      </c>
      <c r="S1353" s="6">
        <v>40</v>
      </c>
      <c r="T1353" s="6">
        <v>0</v>
      </c>
      <c r="U1353" s="6">
        <v>0</v>
      </c>
      <c r="V1353" s="60">
        <f>IF(ISERROR(VLOOKUP($S$1353,'TAR FIN'!$A$1:$O$104,15,0)),0,VLOOKUP($S$1353,'TAR FIN'!$A$1:$O$104,15,0))*(1-0.04)</f>
        <v>25.171199999999999</v>
      </c>
      <c r="W1353" s="60">
        <f>IF(ISERROR(VLOOKUP($T$1353,'TAR FIN'!$A$1:$O$104,15,0)),0,VLOOKUP($T$1353,'TAR FIN'!$A$1:$O$104,15,0))</f>
        <v>0</v>
      </c>
      <c r="X1353" s="60">
        <f>IF(ISERROR(VLOOKUP($U$1353,'TAR FIN'!$A$1:$O$104,15,0)),0,VLOOKUP($U$1353,'TAR FIN'!$A$1:$O$104,15,0))</f>
        <v>0</v>
      </c>
      <c r="Y1353" s="60">
        <f ca="1">('TUSD BE'!$AM$24+'TUSD BF'!$AM$24+'TUSD CVA'!$AM$24)*1*(1-0.02)</f>
        <v>25.754560993400897</v>
      </c>
      <c r="Z1353" s="60"/>
      <c r="AA1353" s="60"/>
      <c r="AB1353" s="6">
        <f>$K$1353*$V$1353</f>
        <v>5663.5199999999995</v>
      </c>
      <c r="AC1353" s="6">
        <f>$M$1353*$W$1353</f>
        <v>0</v>
      </c>
      <c r="AD1353" s="6">
        <f>$O$1353*$X$1353</f>
        <v>0</v>
      </c>
      <c r="AE1353" s="6">
        <f ca="1">$K$1353*$Y$1353</f>
        <v>5794.7762235152022</v>
      </c>
      <c r="AF1353" s="6">
        <f>$M$1353*$Z$1353</f>
        <v>0</v>
      </c>
      <c r="AG1353" s="6">
        <f>$O$1353*$AA$1353</f>
        <v>0</v>
      </c>
    </row>
    <row r="1354" spans="1:33" ht="11.25" customHeight="1" x14ac:dyDescent="0.25">
      <c r="A1354" s="4" t="s">
        <v>21</v>
      </c>
      <c r="B1354" s="4" t="s">
        <v>41</v>
      </c>
      <c r="C1354" s="4" t="s">
        <v>42</v>
      </c>
      <c r="D1354" s="4" t="s">
        <v>45</v>
      </c>
      <c r="E1354" s="4" t="s">
        <v>25</v>
      </c>
      <c r="F1354" s="4" t="s">
        <v>25</v>
      </c>
      <c r="G1354" s="4" t="s">
        <v>25</v>
      </c>
      <c r="H1354" s="4" t="s">
        <v>25</v>
      </c>
      <c r="I1354" s="5">
        <v>44621</v>
      </c>
      <c r="J1354" s="6">
        <v>4304</v>
      </c>
      <c r="K1354" s="60">
        <v>4304</v>
      </c>
      <c r="L1354" s="6">
        <v>0</v>
      </c>
      <c r="M1354" s="60">
        <v>0</v>
      </c>
      <c r="N1354" s="6">
        <v>0</v>
      </c>
      <c r="O1354" s="60">
        <v>0</v>
      </c>
      <c r="P1354" s="6">
        <v>47</v>
      </c>
      <c r="Q1354" s="4" t="s">
        <v>26</v>
      </c>
      <c r="R1354" s="4">
        <v>0</v>
      </c>
      <c r="S1354" s="6">
        <v>40</v>
      </c>
      <c r="T1354" s="6">
        <v>0</v>
      </c>
      <c r="U1354" s="6">
        <v>0</v>
      </c>
      <c r="V1354" s="60">
        <f>IF(ISERROR(VLOOKUP($S$1354,'TAR FIN'!$A$1:$O$104,15,0)),0,VLOOKUP($S$1354,'TAR FIN'!$A$1:$O$104,15,0))*(1-0.04)</f>
        <v>25.171199999999999</v>
      </c>
      <c r="W1354" s="60">
        <f>IF(ISERROR(VLOOKUP($T$1354,'TAR FIN'!$A$1:$O$104,15,0)),0,VLOOKUP($T$1354,'TAR FIN'!$A$1:$O$104,15,0))</f>
        <v>0</v>
      </c>
      <c r="X1354" s="60">
        <f>IF(ISERROR(VLOOKUP($U$1354,'TAR FIN'!$A$1:$O$104,15,0)),0,VLOOKUP($U$1354,'TAR FIN'!$A$1:$O$104,15,0))</f>
        <v>0</v>
      </c>
      <c r="Y1354" s="60">
        <f ca="1">('TUSD BE'!$AM$24+'TUSD BF'!$AM$24+'TUSD CVA'!$AM$24)*1*(1-0.02)</f>
        <v>25.754560993400897</v>
      </c>
      <c r="Z1354" s="60"/>
      <c r="AA1354" s="60"/>
      <c r="AB1354" s="6">
        <f>$K$1354*$V$1354</f>
        <v>108336.84479999999</v>
      </c>
      <c r="AC1354" s="6">
        <f>$M$1354*$W$1354</f>
        <v>0</v>
      </c>
      <c r="AD1354" s="6">
        <f>$O$1354*$X$1354</f>
        <v>0</v>
      </c>
      <c r="AE1354" s="6">
        <f ca="1">$K$1354*$Y$1354</f>
        <v>110847.63051559746</v>
      </c>
      <c r="AF1354" s="6">
        <f>$M$1354*$Z$1354</f>
        <v>0</v>
      </c>
      <c r="AG1354" s="6">
        <f>$O$1354*$AA$1354</f>
        <v>0</v>
      </c>
    </row>
    <row r="1355" spans="1:33" ht="11.25" customHeight="1" x14ac:dyDescent="0.25">
      <c r="A1355" s="4" t="s">
        <v>28</v>
      </c>
      <c r="B1355" s="4" t="s">
        <v>41</v>
      </c>
      <c r="C1355" s="4" t="s">
        <v>42</v>
      </c>
      <c r="D1355" s="4" t="s">
        <v>45</v>
      </c>
      <c r="E1355" s="4" t="s">
        <v>25</v>
      </c>
      <c r="F1355" s="4" t="s">
        <v>25</v>
      </c>
      <c r="G1355" s="4" t="s">
        <v>25</v>
      </c>
      <c r="H1355" s="4" t="s">
        <v>25</v>
      </c>
      <c r="I1355" s="5">
        <v>44621</v>
      </c>
      <c r="J1355" s="6">
        <v>208</v>
      </c>
      <c r="K1355" s="60">
        <v>208</v>
      </c>
      <c r="L1355" s="6">
        <v>0</v>
      </c>
      <c r="M1355" s="60">
        <v>0</v>
      </c>
      <c r="N1355" s="6">
        <v>0</v>
      </c>
      <c r="O1355" s="60">
        <v>0</v>
      </c>
      <c r="P1355" s="6">
        <v>3</v>
      </c>
      <c r="Q1355" s="4" t="s">
        <v>26</v>
      </c>
      <c r="R1355" s="4">
        <v>0</v>
      </c>
      <c r="S1355" s="6">
        <v>40</v>
      </c>
      <c r="T1355" s="6">
        <v>0</v>
      </c>
      <c r="U1355" s="6">
        <v>0</v>
      </c>
      <c r="V1355" s="60">
        <f>IF(ISERROR(VLOOKUP($S$1355,'TAR FIN'!$A$1:$O$104,15,0)),0,VLOOKUP($S$1355,'TAR FIN'!$A$1:$O$104,15,0))*(1-0.04)</f>
        <v>25.171199999999999</v>
      </c>
      <c r="W1355" s="60">
        <f>IF(ISERROR(VLOOKUP($T$1355,'TAR FIN'!$A$1:$O$104,15,0)),0,VLOOKUP($T$1355,'TAR FIN'!$A$1:$O$104,15,0))</f>
        <v>0</v>
      </c>
      <c r="X1355" s="60">
        <f>IF(ISERROR(VLOOKUP($U$1355,'TAR FIN'!$A$1:$O$104,15,0)),0,VLOOKUP($U$1355,'TAR FIN'!$A$1:$O$104,15,0))</f>
        <v>0</v>
      </c>
      <c r="Y1355" s="60">
        <f ca="1">('TUSD BE'!$AM$24+'TUSD BF'!$AM$24+'TUSD CVA'!$AM$24)*1*(1-0.02)</f>
        <v>25.754560993400897</v>
      </c>
      <c r="Z1355" s="60"/>
      <c r="AA1355" s="60"/>
      <c r="AB1355" s="6">
        <f>$K$1355*$V$1355</f>
        <v>5235.6095999999998</v>
      </c>
      <c r="AC1355" s="6">
        <f>$M$1355*$W$1355</f>
        <v>0</v>
      </c>
      <c r="AD1355" s="6">
        <f>$O$1355*$X$1355</f>
        <v>0</v>
      </c>
      <c r="AE1355" s="6">
        <f ca="1">$K$1355*$Y$1355</f>
        <v>5356.9486866273865</v>
      </c>
      <c r="AF1355" s="6">
        <f>$M$1355*$Z$1355</f>
        <v>0</v>
      </c>
      <c r="AG1355" s="6">
        <f>$O$1355*$AA$1355</f>
        <v>0</v>
      </c>
    </row>
    <row r="1356" spans="1:33" ht="11.25" customHeight="1" x14ac:dyDescent="0.25">
      <c r="A1356" s="4" t="s">
        <v>21</v>
      </c>
      <c r="B1356" s="4" t="s">
        <v>41</v>
      </c>
      <c r="C1356" s="4" t="s">
        <v>42</v>
      </c>
      <c r="D1356" s="4" t="s">
        <v>45</v>
      </c>
      <c r="E1356" s="4" t="s">
        <v>25</v>
      </c>
      <c r="F1356" s="4" t="s">
        <v>25</v>
      </c>
      <c r="G1356" s="4" t="s">
        <v>25</v>
      </c>
      <c r="H1356" s="4" t="s">
        <v>25</v>
      </c>
      <c r="I1356" s="5">
        <v>44652</v>
      </c>
      <c r="J1356" s="6">
        <v>4682</v>
      </c>
      <c r="K1356" s="60">
        <v>4682</v>
      </c>
      <c r="L1356" s="6">
        <v>0</v>
      </c>
      <c r="M1356" s="60">
        <v>0</v>
      </c>
      <c r="N1356" s="6">
        <v>0</v>
      </c>
      <c r="O1356" s="60">
        <v>0</v>
      </c>
      <c r="P1356" s="6">
        <v>47</v>
      </c>
      <c r="Q1356" s="4" t="s">
        <v>26</v>
      </c>
      <c r="R1356" s="4">
        <v>0</v>
      </c>
      <c r="S1356" s="6">
        <v>40</v>
      </c>
      <c r="T1356" s="6">
        <v>0</v>
      </c>
      <c r="U1356" s="6">
        <v>0</v>
      </c>
      <c r="V1356" s="60">
        <f>IF(ISERROR(VLOOKUP($S$1356,'TAR FIN'!$A$1:$O$104,15,0)),0,VLOOKUP($S$1356,'TAR FIN'!$A$1:$O$104,15,0))*(1-0.04)</f>
        <v>25.171199999999999</v>
      </c>
      <c r="W1356" s="60">
        <f>IF(ISERROR(VLOOKUP($T$1356,'TAR FIN'!$A$1:$O$104,15,0)),0,VLOOKUP($T$1356,'TAR FIN'!$A$1:$O$104,15,0))</f>
        <v>0</v>
      </c>
      <c r="X1356" s="60">
        <f>IF(ISERROR(VLOOKUP($U$1356,'TAR FIN'!$A$1:$O$104,15,0)),0,VLOOKUP($U$1356,'TAR FIN'!$A$1:$O$104,15,0))</f>
        <v>0</v>
      </c>
      <c r="Y1356" s="60">
        <f ca="1">('TUSD BE'!$AM$24+'TUSD BF'!$AM$24+'TUSD CVA'!$AM$24)*1*(1-0.02)</f>
        <v>25.754560993400897</v>
      </c>
      <c r="Z1356" s="60"/>
      <c r="AA1356" s="60"/>
      <c r="AB1356" s="6">
        <f>$K$1356*$V$1356</f>
        <v>117851.55839999999</v>
      </c>
      <c r="AC1356" s="6">
        <f>$M$1356*$W$1356</f>
        <v>0</v>
      </c>
      <c r="AD1356" s="6">
        <f>$O$1356*$X$1356</f>
        <v>0</v>
      </c>
      <c r="AE1356" s="6">
        <f ca="1">$K$1356*$Y$1356</f>
        <v>120582.854571103</v>
      </c>
      <c r="AF1356" s="6">
        <f>$M$1356*$Z$1356</f>
        <v>0</v>
      </c>
      <c r="AG1356" s="6">
        <f>$O$1356*$AA$1356</f>
        <v>0</v>
      </c>
    </row>
    <row r="1357" spans="1:33" ht="11.25" customHeight="1" x14ac:dyDescent="0.25">
      <c r="A1357" s="4" t="s">
        <v>27</v>
      </c>
      <c r="B1357" s="4" t="s">
        <v>41</v>
      </c>
      <c r="C1357" s="4" t="s">
        <v>42</v>
      </c>
      <c r="D1357" s="4" t="s">
        <v>45</v>
      </c>
      <c r="E1357" s="4" t="s">
        <v>25</v>
      </c>
      <c r="F1357" s="4" t="s">
        <v>25</v>
      </c>
      <c r="G1357" s="4" t="s">
        <v>25</v>
      </c>
      <c r="H1357" s="4" t="s">
        <v>25</v>
      </c>
      <c r="I1357" s="5">
        <v>44652</v>
      </c>
      <c r="J1357" s="6">
        <v>17</v>
      </c>
      <c r="K1357" s="60">
        <v>17</v>
      </c>
      <c r="L1357" s="6">
        <v>0</v>
      </c>
      <c r="M1357" s="60">
        <v>0</v>
      </c>
      <c r="N1357" s="6">
        <v>0</v>
      </c>
      <c r="O1357" s="60">
        <v>0</v>
      </c>
      <c r="P1357" s="6">
        <v>1</v>
      </c>
      <c r="Q1357" s="4" t="s">
        <v>26</v>
      </c>
      <c r="R1357" s="4">
        <v>0</v>
      </c>
      <c r="S1357" s="6">
        <v>40</v>
      </c>
      <c r="T1357" s="6">
        <v>0</v>
      </c>
      <c r="U1357" s="6">
        <v>0</v>
      </c>
      <c r="V1357" s="60">
        <f>IF(ISERROR(VLOOKUP($S$1357,'TAR FIN'!$A$1:$O$104,15,0)),0,VLOOKUP($S$1357,'TAR FIN'!$A$1:$O$104,15,0))*(1-0.04)</f>
        <v>25.171199999999999</v>
      </c>
      <c r="W1357" s="60">
        <f>IF(ISERROR(VLOOKUP($T$1357,'TAR FIN'!$A$1:$O$104,15,0)),0,VLOOKUP($T$1357,'TAR FIN'!$A$1:$O$104,15,0))</f>
        <v>0</v>
      </c>
      <c r="X1357" s="60">
        <f>IF(ISERROR(VLOOKUP($U$1357,'TAR FIN'!$A$1:$O$104,15,0)),0,VLOOKUP($U$1357,'TAR FIN'!$A$1:$O$104,15,0))</f>
        <v>0</v>
      </c>
      <c r="Y1357" s="60">
        <f ca="1">('TUSD BE'!$AM$24+'TUSD BF'!$AM$24+'TUSD CVA'!$AM$24)*1*(1-0.02)</f>
        <v>25.754560993400897</v>
      </c>
      <c r="Z1357" s="60"/>
      <c r="AA1357" s="60"/>
      <c r="AB1357" s="6">
        <f>$K$1357*$V$1357</f>
        <v>427.91039999999998</v>
      </c>
      <c r="AC1357" s="6">
        <f>$M$1357*$W$1357</f>
        <v>0</v>
      </c>
      <c r="AD1357" s="6">
        <f>$O$1357*$X$1357</f>
        <v>0</v>
      </c>
      <c r="AE1357" s="6">
        <f ca="1">$K$1357*$Y$1357</f>
        <v>437.82753688781526</v>
      </c>
      <c r="AF1357" s="6">
        <f>$M$1357*$Z$1357</f>
        <v>0</v>
      </c>
      <c r="AG1357" s="6">
        <f>$O$1357*$AA$1357</f>
        <v>0</v>
      </c>
    </row>
    <row r="1358" spans="1:33" ht="11.25" customHeight="1" x14ac:dyDescent="0.25">
      <c r="A1358" s="4" t="s">
        <v>28</v>
      </c>
      <c r="B1358" s="4" t="s">
        <v>41</v>
      </c>
      <c r="C1358" s="4" t="s">
        <v>42</v>
      </c>
      <c r="D1358" s="4" t="s">
        <v>45</v>
      </c>
      <c r="E1358" s="4" t="s">
        <v>25</v>
      </c>
      <c r="F1358" s="4" t="s">
        <v>25</v>
      </c>
      <c r="G1358" s="4" t="s">
        <v>25</v>
      </c>
      <c r="H1358" s="4" t="s">
        <v>25</v>
      </c>
      <c r="I1358" s="5">
        <v>44652</v>
      </c>
      <c r="J1358" s="6">
        <v>217</v>
      </c>
      <c r="K1358" s="60">
        <v>217</v>
      </c>
      <c r="L1358" s="6">
        <v>0</v>
      </c>
      <c r="M1358" s="60">
        <v>0</v>
      </c>
      <c r="N1358" s="6">
        <v>0</v>
      </c>
      <c r="O1358" s="60">
        <v>0</v>
      </c>
      <c r="P1358" s="6">
        <v>3</v>
      </c>
      <c r="Q1358" s="4" t="s">
        <v>26</v>
      </c>
      <c r="R1358" s="4">
        <v>0</v>
      </c>
      <c r="S1358" s="6">
        <v>40</v>
      </c>
      <c r="T1358" s="6">
        <v>0</v>
      </c>
      <c r="U1358" s="6">
        <v>0</v>
      </c>
      <c r="V1358" s="60">
        <f>IF(ISERROR(VLOOKUP($S$1358,'TAR FIN'!$A$1:$O$104,15,0)),0,VLOOKUP($S$1358,'TAR FIN'!$A$1:$O$104,15,0))*(1-0.04)</f>
        <v>25.171199999999999</v>
      </c>
      <c r="W1358" s="60">
        <f>IF(ISERROR(VLOOKUP($T$1358,'TAR FIN'!$A$1:$O$104,15,0)),0,VLOOKUP($T$1358,'TAR FIN'!$A$1:$O$104,15,0))</f>
        <v>0</v>
      </c>
      <c r="X1358" s="60">
        <f>IF(ISERROR(VLOOKUP($U$1358,'TAR FIN'!$A$1:$O$104,15,0)),0,VLOOKUP($U$1358,'TAR FIN'!$A$1:$O$104,15,0))</f>
        <v>0</v>
      </c>
      <c r="Y1358" s="60">
        <f ca="1">('TUSD BE'!$AM$24+'TUSD BF'!$AM$24+'TUSD CVA'!$AM$24)*1*(1-0.02)</f>
        <v>25.754560993400897</v>
      </c>
      <c r="Z1358" s="60"/>
      <c r="AA1358" s="60"/>
      <c r="AB1358" s="6">
        <f>$K$1358*$V$1358</f>
        <v>5462.1503999999995</v>
      </c>
      <c r="AC1358" s="6">
        <f>$M$1358*$W$1358</f>
        <v>0</v>
      </c>
      <c r="AD1358" s="6">
        <f>$O$1358*$X$1358</f>
        <v>0</v>
      </c>
      <c r="AE1358" s="6">
        <f ca="1">$K$1358*$Y$1358</f>
        <v>5588.739735567995</v>
      </c>
      <c r="AF1358" s="6">
        <f>$M$1358*$Z$1358</f>
        <v>0</v>
      </c>
      <c r="AG1358" s="6">
        <f>$O$1358*$AA$1358</f>
        <v>0</v>
      </c>
    </row>
    <row r="1359" spans="1:33" ht="11.25" customHeight="1" x14ac:dyDescent="0.25">
      <c r="A1359" s="4" t="s">
        <v>28</v>
      </c>
      <c r="B1359" s="4" t="s">
        <v>41</v>
      </c>
      <c r="C1359" s="4" t="s">
        <v>42</v>
      </c>
      <c r="D1359" s="4" t="s">
        <v>45</v>
      </c>
      <c r="E1359" s="4" t="s">
        <v>25</v>
      </c>
      <c r="F1359" s="4" t="s">
        <v>25</v>
      </c>
      <c r="G1359" s="4" t="s">
        <v>25</v>
      </c>
      <c r="H1359" s="4" t="s">
        <v>25</v>
      </c>
      <c r="I1359" s="5">
        <v>44652</v>
      </c>
      <c r="J1359" s="6">
        <v>-520</v>
      </c>
      <c r="K1359" s="60">
        <v>-520</v>
      </c>
      <c r="L1359" s="6">
        <v>0</v>
      </c>
      <c r="M1359" s="60">
        <v>0</v>
      </c>
      <c r="N1359" s="6">
        <v>0</v>
      </c>
      <c r="O1359" s="60">
        <v>0</v>
      </c>
      <c r="P1359" s="6">
        <v>-6</v>
      </c>
      <c r="Q1359" s="4" t="s">
        <v>26</v>
      </c>
      <c r="R1359" s="4">
        <v>0</v>
      </c>
      <c r="S1359" s="6">
        <v>40</v>
      </c>
      <c r="T1359" s="6">
        <v>0</v>
      </c>
      <c r="U1359" s="6">
        <v>0</v>
      </c>
      <c r="V1359" s="60">
        <f>IF(ISERROR(VLOOKUP($S$1359,'TAR FIN'!$A$1:$O$104,15,0)),0,VLOOKUP($S$1359,'TAR FIN'!$A$1:$O$104,15,0))*(1-0.04)</f>
        <v>25.171199999999999</v>
      </c>
      <c r="W1359" s="60">
        <f>IF(ISERROR(VLOOKUP($T$1359,'TAR FIN'!$A$1:$O$104,15,0)),0,VLOOKUP($T$1359,'TAR FIN'!$A$1:$O$104,15,0))</f>
        <v>0</v>
      </c>
      <c r="X1359" s="60">
        <f>IF(ISERROR(VLOOKUP($U$1359,'TAR FIN'!$A$1:$O$104,15,0)),0,VLOOKUP($U$1359,'TAR FIN'!$A$1:$O$104,15,0))</f>
        <v>0</v>
      </c>
      <c r="Y1359" s="60">
        <f ca="1">('TUSD BE'!$AM$24+'TUSD BF'!$AM$24+'TUSD CVA'!$AM$24)*1*(1-0.02)</f>
        <v>25.754560993400897</v>
      </c>
      <c r="Z1359" s="60"/>
      <c r="AA1359" s="60"/>
      <c r="AB1359" s="6">
        <f>$K$1359*$V$1359</f>
        <v>-13089.023999999999</v>
      </c>
      <c r="AC1359" s="6">
        <f>$M$1359*$W$1359</f>
        <v>0</v>
      </c>
      <c r="AD1359" s="6">
        <f>$O$1359*$X$1359</f>
        <v>0</v>
      </c>
      <c r="AE1359" s="6">
        <f ca="1">$K$1359*$Y$1359</f>
        <v>-13392.371716568467</v>
      </c>
      <c r="AF1359" s="6">
        <f>$M$1359*$Z$1359</f>
        <v>0</v>
      </c>
      <c r="AG1359" s="6">
        <f>$O$1359*$AA$1359</f>
        <v>0</v>
      </c>
    </row>
    <row r="1360" spans="1:33" ht="11.25" customHeight="1" x14ac:dyDescent="0.25">
      <c r="A1360" s="4" t="s">
        <v>21</v>
      </c>
      <c r="B1360" s="4" t="s">
        <v>41</v>
      </c>
      <c r="C1360" s="4" t="s">
        <v>42</v>
      </c>
      <c r="D1360" s="4" t="s">
        <v>45</v>
      </c>
      <c r="E1360" s="4" t="s">
        <v>25</v>
      </c>
      <c r="F1360" s="4" t="s">
        <v>25</v>
      </c>
      <c r="G1360" s="4" t="s">
        <v>25</v>
      </c>
      <c r="H1360" s="4" t="s">
        <v>25</v>
      </c>
      <c r="I1360" s="5">
        <v>44682</v>
      </c>
      <c r="J1360" s="6">
        <v>4598</v>
      </c>
      <c r="K1360" s="60">
        <v>4598</v>
      </c>
      <c r="L1360" s="6">
        <v>0</v>
      </c>
      <c r="M1360" s="60">
        <v>0</v>
      </c>
      <c r="N1360" s="6">
        <v>0</v>
      </c>
      <c r="O1360" s="60">
        <v>0</v>
      </c>
      <c r="P1360" s="6">
        <v>53</v>
      </c>
      <c r="Q1360" s="4" t="s">
        <v>26</v>
      </c>
      <c r="R1360" s="4">
        <v>0</v>
      </c>
      <c r="S1360" s="6">
        <v>40</v>
      </c>
      <c r="T1360" s="6">
        <v>0</v>
      </c>
      <c r="U1360" s="6">
        <v>0</v>
      </c>
      <c r="V1360" s="60">
        <f>IF(ISERROR(VLOOKUP($S$1360,'TAR FIN'!$A$1:$O$104,15,0)),0,VLOOKUP($S$1360,'TAR FIN'!$A$1:$O$104,15,0))*(1-0.04)</f>
        <v>25.171199999999999</v>
      </c>
      <c r="W1360" s="60">
        <f>IF(ISERROR(VLOOKUP($T$1360,'TAR FIN'!$A$1:$O$104,15,0)),0,VLOOKUP($T$1360,'TAR FIN'!$A$1:$O$104,15,0))</f>
        <v>0</v>
      </c>
      <c r="X1360" s="60">
        <f>IF(ISERROR(VLOOKUP($U$1360,'TAR FIN'!$A$1:$O$104,15,0)),0,VLOOKUP($U$1360,'TAR FIN'!$A$1:$O$104,15,0))</f>
        <v>0</v>
      </c>
      <c r="Y1360" s="60">
        <f ca="1">('TUSD BE'!$AM$24+'TUSD BF'!$AM$24+'TUSD CVA'!$AM$24)*1*(1-0.02)</f>
        <v>25.754560993400897</v>
      </c>
      <c r="Z1360" s="60"/>
      <c r="AA1360" s="60"/>
      <c r="AB1360" s="6">
        <f>$K$1360*$V$1360</f>
        <v>115737.1776</v>
      </c>
      <c r="AC1360" s="6">
        <f>$M$1360*$W$1360</f>
        <v>0</v>
      </c>
      <c r="AD1360" s="6">
        <f>$O$1360*$X$1360</f>
        <v>0</v>
      </c>
      <c r="AE1360" s="6">
        <f ca="1">$K$1360*$Y$1360</f>
        <v>118419.47144765733</v>
      </c>
      <c r="AF1360" s="6">
        <f>$M$1360*$Z$1360</f>
        <v>0</v>
      </c>
      <c r="AG1360" s="6">
        <f>$O$1360*$AA$1360</f>
        <v>0</v>
      </c>
    </row>
    <row r="1361" spans="1:33" ht="11.25" customHeight="1" x14ac:dyDescent="0.25">
      <c r="A1361" s="4" t="s">
        <v>28</v>
      </c>
      <c r="B1361" s="4" t="s">
        <v>41</v>
      </c>
      <c r="C1361" s="4" t="s">
        <v>42</v>
      </c>
      <c r="D1361" s="4" t="s">
        <v>45</v>
      </c>
      <c r="E1361" s="4" t="s">
        <v>25</v>
      </c>
      <c r="F1361" s="4" t="s">
        <v>25</v>
      </c>
      <c r="G1361" s="4" t="s">
        <v>25</v>
      </c>
      <c r="H1361" s="4" t="s">
        <v>25</v>
      </c>
      <c r="I1361" s="5">
        <v>44682</v>
      </c>
      <c r="J1361" s="6">
        <v>214</v>
      </c>
      <c r="K1361" s="60">
        <v>214</v>
      </c>
      <c r="L1361" s="6">
        <v>0</v>
      </c>
      <c r="M1361" s="60">
        <v>0</v>
      </c>
      <c r="N1361" s="6">
        <v>0</v>
      </c>
      <c r="O1361" s="60">
        <v>0</v>
      </c>
      <c r="P1361" s="6">
        <v>3</v>
      </c>
      <c r="Q1361" s="4" t="s">
        <v>26</v>
      </c>
      <c r="R1361" s="4">
        <v>0</v>
      </c>
      <c r="S1361" s="6">
        <v>40</v>
      </c>
      <c r="T1361" s="6">
        <v>0</v>
      </c>
      <c r="U1361" s="6">
        <v>0</v>
      </c>
      <c r="V1361" s="60">
        <f>IF(ISERROR(VLOOKUP($S$1361,'TAR FIN'!$A$1:$O$104,15,0)),0,VLOOKUP($S$1361,'TAR FIN'!$A$1:$O$104,15,0))*(1-0.04)</f>
        <v>25.171199999999999</v>
      </c>
      <c r="W1361" s="60">
        <f>IF(ISERROR(VLOOKUP($T$1361,'TAR FIN'!$A$1:$O$104,15,0)),0,VLOOKUP($T$1361,'TAR FIN'!$A$1:$O$104,15,0))</f>
        <v>0</v>
      </c>
      <c r="X1361" s="60">
        <f>IF(ISERROR(VLOOKUP($U$1361,'TAR FIN'!$A$1:$O$104,15,0)),0,VLOOKUP($U$1361,'TAR FIN'!$A$1:$O$104,15,0))</f>
        <v>0</v>
      </c>
      <c r="Y1361" s="60">
        <f ca="1">('TUSD BE'!$AM$24+'TUSD BF'!$AM$24+'TUSD CVA'!$AM$24)*1*(1-0.02)</f>
        <v>25.754560993400897</v>
      </c>
      <c r="Z1361" s="60"/>
      <c r="AA1361" s="60"/>
      <c r="AB1361" s="6">
        <f>$K$1361*$V$1361</f>
        <v>5386.6368000000002</v>
      </c>
      <c r="AC1361" s="6">
        <f>$M$1361*$W$1361</f>
        <v>0</v>
      </c>
      <c r="AD1361" s="6">
        <f>$O$1361*$X$1361</f>
        <v>0</v>
      </c>
      <c r="AE1361" s="6">
        <f ca="1">$K$1361*$Y$1361</f>
        <v>5511.4760525877919</v>
      </c>
      <c r="AF1361" s="6">
        <f>$M$1361*$Z$1361</f>
        <v>0</v>
      </c>
      <c r="AG1361" s="6">
        <f>$O$1361*$AA$1361</f>
        <v>0</v>
      </c>
    </row>
    <row r="1362" spans="1:33" ht="11.25" customHeight="1" x14ac:dyDescent="0.25">
      <c r="A1362" s="4" t="s">
        <v>21</v>
      </c>
      <c r="B1362" s="4" t="s">
        <v>41</v>
      </c>
      <c r="C1362" s="4" t="s">
        <v>42</v>
      </c>
      <c r="D1362" s="4" t="s">
        <v>45</v>
      </c>
      <c r="E1362" s="4" t="s">
        <v>25</v>
      </c>
      <c r="F1362" s="4" t="s">
        <v>25</v>
      </c>
      <c r="G1362" s="4" t="s">
        <v>25</v>
      </c>
      <c r="H1362" s="4" t="s">
        <v>25</v>
      </c>
      <c r="I1362" s="5">
        <v>44713</v>
      </c>
      <c r="J1362" s="6">
        <v>4745</v>
      </c>
      <c r="K1362" s="60">
        <v>4745</v>
      </c>
      <c r="L1362" s="6">
        <v>0</v>
      </c>
      <c r="M1362" s="60">
        <v>0</v>
      </c>
      <c r="N1362" s="6">
        <v>0</v>
      </c>
      <c r="O1362" s="60">
        <v>0</v>
      </c>
      <c r="P1362" s="6">
        <v>60</v>
      </c>
      <c r="Q1362" s="4" t="s">
        <v>26</v>
      </c>
      <c r="R1362" s="4">
        <v>0</v>
      </c>
      <c r="S1362" s="6">
        <v>40</v>
      </c>
      <c r="T1362" s="6">
        <v>0</v>
      </c>
      <c r="U1362" s="6">
        <v>0</v>
      </c>
      <c r="V1362" s="60">
        <f>IF(ISERROR(VLOOKUP($S$1362,'TAR FIN'!$A$1:$O$104,15,0)),0,VLOOKUP($S$1362,'TAR FIN'!$A$1:$O$104,15,0))*(1-0.04)</f>
        <v>25.171199999999999</v>
      </c>
      <c r="W1362" s="60">
        <f>IF(ISERROR(VLOOKUP($T$1362,'TAR FIN'!$A$1:$O$104,15,0)),0,VLOOKUP($T$1362,'TAR FIN'!$A$1:$O$104,15,0))</f>
        <v>0</v>
      </c>
      <c r="X1362" s="60">
        <f>IF(ISERROR(VLOOKUP($U$1362,'TAR FIN'!$A$1:$O$104,15,0)),0,VLOOKUP($U$1362,'TAR FIN'!$A$1:$O$104,15,0))</f>
        <v>0</v>
      </c>
      <c r="Y1362" s="60">
        <f ca="1">('TUSD BE'!$AM$24+'TUSD BF'!$AM$24+'TUSD CVA'!$AM$24)*1*(1-0.02)</f>
        <v>25.754560993400897</v>
      </c>
      <c r="Z1362" s="60"/>
      <c r="AA1362" s="60"/>
      <c r="AB1362" s="6">
        <f>$K$1362*$V$1362</f>
        <v>119437.344</v>
      </c>
      <c r="AC1362" s="6">
        <f>$M$1362*$W$1362</f>
        <v>0</v>
      </c>
      <c r="AD1362" s="6">
        <f>$O$1362*$X$1362</f>
        <v>0</v>
      </c>
      <c r="AE1362" s="6">
        <f ca="1">$K$1362*$Y$1362</f>
        <v>122205.39191368726</v>
      </c>
      <c r="AF1362" s="6">
        <f>$M$1362*$Z$1362</f>
        <v>0</v>
      </c>
      <c r="AG1362" s="6">
        <f>$O$1362*$AA$1362</f>
        <v>0</v>
      </c>
    </row>
    <row r="1363" spans="1:33" ht="11.25" customHeight="1" x14ac:dyDescent="0.25">
      <c r="A1363" s="4" t="s">
        <v>28</v>
      </c>
      <c r="B1363" s="4" t="s">
        <v>41</v>
      </c>
      <c r="C1363" s="4" t="s">
        <v>42</v>
      </c>
      <c r="D1363" s="4" t="s">
        <v>45</v>
      </c>
      <c r="E1363" s="4" t="s">
        <v>25</v>
      </c>
      <c r="F1363" s="4" t="s">
        <v>25</v>
      </c>
      <c r="G1363" s="4" t="s">
        <v>25</v>
      </c>
      <c r="H1363" s="4" t="s">
        <v>25</v>
      </c>
      <c r="I1363" s="5">
        <v>44713</v>
      </c>
      <c r="J1363" s="6">
        <v>204</v>
      </c>
      <c r="K1363" s="60">
        <v>204</v>
      </c>
      <c r="L1363" s="6">
        <v>0</v>
      </c>
      <c r="M1363" s="60">
        <v>0</v>
      </c>
      <c r="N1363" s="6">
        <v>0</v>
      </c>
      <c r="O1363" s="60">
        <v>0</v>
      </c>
      <c r="P1363" s="6">
        <v>3</v>
      </c>
      <c r="Q1363" s="4" t="s">
        <v>26</v>
      </c>
      <c r="R1363" s="4">
        <v>0</v>
      </c>
      <c r="S1363" s="6">
        <v>40</v>
      </c>
      <c r="T1363" s="6">
        <v>0</v>
      </c>
      <c r="U1363" s="6">
        <v>0</v>
      </c>
      <c r="V1363" s="60">
        <f>IF(ISERROR(VLOOKUP($S$1363,'TAR FIN'!$A$1:$O$104,15,0)),0,VLOOKUP($S$1363,'TAR FIN'!$A$1:$O$104,15,0))*(1-0.04)</f>
        <v>25.171199999999999</v>
      </c>
      <c r="W1363" s="60">
        <f>IF(ISERROR(VLOOKUP($T$1363,'TAR FIN'!$A$1:$O$104,15,0)),0,VLOOKUP($T$1363,'TAR FIN'!$A$1:$O$104,15,0))</f>
        <v>0</v>
      </c>
      <c r="X1363" s="60">
        <f>IF(ISERROR(VLOOKUP($U$1363,'TAR FIN'!$A$1:$O$104,15,0)),0,VLOOKUP($U$1363,'TAR FIN'!$A$1:$O$104,15,0))</f>
        <v>0</v>
      </c>
      <c r="Y1363" s="60">
        <f ca="1">('TUSD BE'!$AM$24+'TUSD BF'!$AM$24+'TUSD CVA'!$AM$24)*1*(1-0.02)</f>
        <v>25.754560993400897</v>
      </c>
      <c r="Z1363" s="60"/>
      <c r="AA1363" s="60"/>
      <c r="AB1363" s="6">
        <f>$K$1363*$V$1363</f>
        <v>5134.9247999999998</v>
      </c>
      <c r="AC1363" s="6">
        <f>$M$1363*$W$1363</f>
        <v>0</v>
      </c>
      <c r="AD1363" s="6">
        <f>$O$1363*$X$1363</f>
        <v>0</v>
      </c>
      <c r="AE1363" s="6">
        <f ca="1">$K$1363*$Y$1363</f>
        <v>5253.9304426537828</v>
      </c>
      <c r="AF1363" s="6">
        <f>$M$1363*$Z$1363</f>
        <v>0</v>
      </c>
      <c r="AG1363" s="6">
        <f>$O$1363*$AA$1363</f>
        <v>0</v>
      </c>
    </row>
    <row r="1364" spans="1:33" ht="11.25" customHeight="1" x14ac:dyDescent="0.25">
      <c r="A1364" s="4" t="s">
        <v>57</v>
      </c>
      <c r="B1364" s="4" t="s">
        <v>41</v>
      </c>
      <c r="C1364" s="4" t="s">
        <v>42</v>
      </c>
      <c r="D1364" s="4" t="s">
        <v>45</v>
      </c>
      <c r="E1364" s="4" t="s">
        <v>25</v>
      </c>
      <c r="F1364" s="4" t="s">
        <v>25</v>
      </c>
      <c r="G1364" s="4" t="s">
        <v>25</v>
      </c>
      <c r="H1364" s="4" t="s">
        <v>25</v>
      </c>
      <c r="I1364" s="5">
        <v>44743</v>
      </c>
      <c r="J1364" s="6">
        <v>4745</v>
      </c>
      <c r="K1364" s="60">
        <v>4745</v>
      </c>
      <c r="L1364" s="6">
        <v>0</v>
      </c>
      <c r="M1364" s="60">
        <v>0</v>
      </c>
      <c r="N1364" s="6">
        <v>0</v>
      </c>
      <c r="O1364" s="60">
        <v>0</v>
      </c>
      <c r="P1364" s="6">
        <v>60</v>
      </c>
      <c r="Q1364" s="4" t="s">
        <v>26</v>
      </c>
      <c r="R1364" s="4">
        <v>0</v>
      </c>
      <c r="S1364" s="6">
        <v>40</v>
      </c>
      <c r="T1364" s="6">
        <v>0</v>
      </c>
      <c r="U1364" s="6">
        <v>0</v>
      </c>
      <c r="V1364" s="60">
        <f>IF(ISERROR(VLOOKUP($S$1364,'TAR FIN'!$A$1:$O$104,15,0)),0,VLOOKUP($S$1364,'TAR FIN'!$A$1:$O$104,15,0))*(1-0.04)</f>
        <v>25.171199999999999</v>
      </c>
      <c r="W1364" s="60">
        <f>IF(ISERROR(VLOOKUP($T$1364,'TAR FIN'!$A$1:$O$104,15,0)),0,VLOOKUP($T$1364,'TAR FIN'!$A$1:$O$104,15,0))</f>
        <v>0</v>
      </c>
      <c r="X1364" s="60">
        <f>IF(ISERROR(VLOOKUP($U$1364,'TAR FIN'!$A$1:$O$104,15,0)),0,VLOOKUP($U$1364,'TAR FIN'!$A$1:$O$104,15,0))</f>
        <v>0</v>
      </c>
      <c r="Y1364" s="60">
        <f ca="1">('TUSD BE'!$AM$24+'TUSD BF'!$AM$24+'TUSD CVA'!$AM$24)*1*(1-0.02)</f>
        <v>25.754560993400897</v>
      </c>
      <c r="Z1364" s="60"/>
      <c r="AA1364" s="60"/>
      <c r="AB1364" s="6">
        <f>$K$1364*$V$1364</f>
        <v>119437.344</v>
      </c>
      <c r="AC1364" s="6">
        <f>$M$1364*$W$1364</f>
        <v>0</v>
      </c>
      <c r="AD1364" s="6">
        <f>$O$1364*$X$1364</f>
        <v>0</v>
      </c>
      <c r="AE1364" s="6">
        <f ca="1">$K$1364*$Y$1364</f>
        <v>122205.39191368726</v>
      </c>
      <c r="AF1364" s="6">
        <f>$M$1364*$Z$1364</f>
        <v>0</v>
      </c>
      <c r="AG1364" s="6">
        <f>$O$1364*$AA$1364</f>
        <v>0</v>
      </c>
    </row>
    <row r="1365" spans="1:33" ht="11.25" customHeight="1" x14ac:dyDescent="0.25">
      <c r="A1365" s="4" t="s">
        <v>57</v>
      </c>
      <c r="B1365" s="4" t="s">
        <v>41</v>
      </c>
      <c r="C1365" s="4" t="s">
        <v>42</v>
      </c>
      <c r="D1365" s="4" t="s">
        <v>45</v>
      </c>
      <c r="E1365" s="4" t="s">
        <v>25</v>
      </c>
      <c r="F1365" s="4" t="s">
        <v>25</v>
      </c>
      <c r="G1365" s="4" t="s">
        <v>25</v>
      </c>
      <c r="H1365" s="4" t="s">
        <v>25</v>
      </c>
      <c r="I1365" s="5">
        <v>44743</v>
      </c>
      <c r="J1365" s="6">
        <v>204</v>
      </c>
      <c r="K1365" s="60">
        <v>204</v>
      </c>
      <c r="L1365" s="6">
        <v>0</v>
      </c>
      <c r="M1365" s="60">
        <v>0</v>
      </c>
      <c r="N1365" s="6">
        <v>0</v>
      </c>
      <c r="O1365" s="60">
        <v>0</v>
      </c>
      <c r="P1365" s="6">
        <v>3</v>
      </c>
      <c r="Q1365" s="4" t="s">
        <v>26</v>
      </c>
      <c r="R1365" s="4">
        <v>0</v>
      </c>
      <c r="S1365" s="6">
        <v>40</v>
      </c>
      <c r="T1365" s="6">
        <v>0</v>
      </c>
      <c r="U1365" s="6">
        <v>0</v>
      </c>
      <c r="V1365" s="60">
        <f>IF(ISERROR(VLOOKUP($S$1365,'TAR FIN'!$A$1:$O$104,15,0)),0,VLOOKUP($S$1365,'TAR FIN'!$A$1:$O$104,15,0))*(1-0.04)</f>
        <v>25.171199999999999</v>
      </c>
      <c r="W1365" s="60">
        <f>IF(ISERROR(VLOOKUP($T$1365,'TAR FIN'!$A$1:$O$104,15,0)),0,VLOOKUP($T$1365,'TAR FIN'!$A$1:$O$104,15,0))</f>
        <v>0</v>
      </c>
      <c r="X1365" s="60">
        <f>IF(ISERROR(VLOOKUP($U$1365,'TAR FIN'!$A$1:$O$104,15,0)),0,VLOOKUP($U$1365,'TAR FIN'!$A$1:$O$104,15,0))</f>
        <v>0</v>
      </c>
      <c r="Y1365" s="60">
        <f ca="1">('TUSD BE'!$AM$24+'TUSD BF'!$AM$24+'TUSD CVA'!$AM$24)*1*(1-0.02)</f>
        <v>25.754560993400897</v>
      </c>
      <c r="Z1365" s="60"/>
      <c r="AA1365" s="60"/>
      <c r="AB1365" s="6">
        <f>$K$1365*$V$1365</f>
        <v>5134.9247999999998</v>
      </c>
      <c r="AC1365" s="6">
        <f>$M$1365*$W$1365</f>
        <v>0</v>
      </c>
      <c r="AD1365" s="6">
        <f>$O$1365*$X$1365</f>
        <v>0</v>
      </c>
      <c r="AE1365" s="6">
        <f ca="1">$K$1365*$Y$1365</f>
        <v>5253.9304426537828</v>
      </c>
      <c r="AF1365" s="6">
        <f>$M$1365*$Z$1365</f>
        <v>0</v>
      </c>
      <c r="AG1365" s="6">
        <f>$O$1365*$AA$1365</f>
        <v>0</v>
      </c>
    </row>
    <row r="1366" spans="1:33" ht="11.25" customHeight="1" x14ac:dyDescent="0.25">
      <c r="A1366" s="4" t="s">
        <v>21</v>
      </c>
      <c r="B1366" s="4" t="s">
        <v>41</v>
      </c>
      <c r="C1366" s="4" t="s">
        <v>42</v>
      </c>
      <c r="D1366" s="4" t="s">
        <v>45</v>
      </c>
      <c r="E1366" s="4" t="s">
        <v>25</v>
      </c>
      <c r="F1366" s="4" t="s">
        <v>25</v>
      </c>
      <c r="G1366" s="4" t="s">
        <v>25</v>
      </c>
      <c r="H1366" s="4" t="s">
        <v>34</v>
      </c>
      <c r="I1366" s="5">
        <v>44409</v>
      </c>
      <c r="J1366" s="6">
        <v>0</v>
      </c>
      <c r="K1366" s="60">
        <v>0</v>
      </c>
      <c r="L1366" s="6">
        <v>62.174999999999997</v>
      </c>
      <c r="M1366" s="60">
        <v>62.174999999999997</v>
      </c>
      <c r="N1366" s="6">
        <v>62.174999999999997</v>
      </c>
      <c r="O1366" s="60">
        <v>62.174999999999997</v>
      </c>
      <c r="P1366" s="6">
        <v>0</v>
      </c>
      <c r="Q1366" s="4" t="s">
        <v>26</v>
      </c>
      <c r="R1366" s="4">
        <v>0</v>
      </c>
      <c r="S1366" s="6">
        <v>0</v>
      </c>
      <c r="T1366" s="6">
        <v>42</v>
      </c>
      <c r="U1366" s="6">
        <v>66</v>
      </c>
      <c r="V1366" s="60">
        <f>IF(ISERROR(VLOOKUP($S$1366,'TAR FIN'!$A$1:$O$104,15,0)),0,VLOOKUP($S$1366,'TAR FIN'!$A$1:$O$104,15,0))</f>
        <v>0</v>
      </c>
      <c r="W1366" s="60">
        <f>IF(ISERROR(VLOOKUP($T$1366,'TAR FIN'!$A$1:$O$104,15,0)),0,VLOOKUP($T$1366,'TAR FIN'!$A$1:$O$104,15,0))*(1-0.04)</f>
        <v>1276.9824000000001</v>
      </c>
      <c r="X1366" s="60">
        <f>IF(ISERROR(VLOOKUP($U$1366,'TAR FIN'!$A$1:$O$104,15,0)),0,VLOOKUP($U$1366,'TAR FIN'!$A$1:$O$104,15,0))*(1-0.04)</f>
        <v>381.71519999999998</v>
      </c>
      <c r="Y1366" s="60"/>
      <c r="Z1366" s="60">
        <f ca="1">('TUSD BE'!$AM$25+'TUSD BF'!$AM$25+'TUSD CVA'!$AM$25)*1*(1-0.02)</f>
        <v>1318.940588933358</v>
      </c>
      <c r="AA1366" s="60">
        <f>('TE BE'!$AB$7+'TE BF'!$AB$7+'TE CVA'!$AB$7)*1*(1-0.02)</f>
        <v>353.05508603815775</v>
      </c>
      <c r="AB1366" s="6">
        <f>$K$1366*$V$1366</f>
        <v>0</v>
      </c>
      <c r="AC1366" s="6">
        <f>$M$1366*$W$1366</f>
        <v>79396.380720000001</v>
      </c>
      <c r="AD1366" s="6">
        <f>$O$1366*$X$1366</f>
        <v>23733.142559999997</v>
      </c>
      <c r="AE1366" s="6">
        <f>$K$1366*$Y$1366</f>
        <v>0</v>
      </c>
      <c r="AF1366" s="6">
        <f ca="1">$M$1366*$Z$1366</f>
        <v>82005.13111693153</v>
      </c>
      <c r="AG1366" s="6">
        <f>$O$1366*$AA$1366</f>
        <v>21951.199974422456</v>
      </c>
    </row>
    <row r="1367" spans="1:33" ht="11.25" customHeight="1" x14ac:dyDescent="0.25">
      <c r="A1367" s="4" t="s">
        <v>28</v>
      </c>
      <c r="B1367" s="4" t="s">
        <v>41</v>
      </c>
      <c r="C1367" s="4" t="s">
        <v>42</v>
      </c>
      <c r="D1367" s="4" t="s">
        <v>45</v>
      </c>
      <c r="E1367" s="4" t="s">
        <v>25</v>
      </c>
      <c r="F1367" s="4" t="s">
        <v>25</v>
      </c>
      <c r="G1367" s="4" t="s">
        <v>25</v>
      </c>
      <c r="H1367" s="4" t="s">
        <v>34</v>
      </c>
      <c r="I1367" s="5">
        <v>44409</v>
      </c>
      <c r="J1367" s="6">
        <v>0</v>
      </c>
      <c r="K1367" s="60">
        <v>0</v>
      </c>
      <c r="L1367" s="6">
        <v>5.22</v>
      </c>
      <c r="M1367" s="60">
        <v>5.22</v>
      </c>
      <c r="N1367" s="6">
        <v>5.22</v>
      </c>
      <c r="O1367" s="60">
        <v>5.22</v>
      </c>
      <c r="P1367" s="6">
        <v>0</v>
      </c>
      <c r="Q1367" s="4" t="s">
        <v>26</v>
      </c>
      <c r="R1367" s="4">
        <v>0</v>
      </c>
      <c r="S1367" s="6">
        <v>0</v>
      </c>
      <c r="T1367" s="6">
        <v>42</v>
      </c>
      <c r="U1367" s="6">
        <v>66</v>
      </c>
      <c r="V1367" s="60">
        <f>IF(ISERROR(VLOOKUP($S$1367,'TAR FIN'!$A$1:$O$104,15,0)),0,VLOOKUP($S$1367,'TAR FIN'!$A$1:$O$104,15,0))</f>
        <v>0</v>
      </c>
      <c r="W1367" s="60">
        <f>IF(ISERROR(VLOOKUP($T$1367,'TAR FIN'!$A$1:$O$104,15,0)),0,VLOOKUP($T$1367,'TAR FIN'!$A$1:$O$104,15,0))*(1-0.04)</f>
        <v>1276.9824000000001</v>
      </c>
      <c r="X1367" s="60">
        <f>IF(ISERROR(VLOOKUP($U$1367,'TAR FIN'!$A$1:$O$104,15,0)),0,VLOOKUP($U$1367,'TAR FIN'!$A$1:$O$104,15,0))*(1-0.04)</f>
        <v>381.71519999999998</v>
      </c>
      <c r="Y1367" s="60"/>
      <c r="Z1367" s="60">
        <f ca="1">('TUSD BE'!$AM$25+'TUSD BF'!$AM$25+'TUSD CVA'!$AM$25)*1*(1-0.02)</f>
        <v>1318.940588933358</v>
      </c>
      <c r="AA1367" s="60">
        <f>('TE BE'!$AB$7+'TE BF'!$AB$7+'TE CVA'!$AB$7)*1*(1-0.02)</f>
        <v>353.05508603815775</v>
      </c>
      <c r="AB1367" s="6">
        <f>$K$1367*$V$1367</f>
        <v>0</v>
      </c>
      <c r="AC1367" s="6">
        <f>$M$1367*$W$1367</f>
        <v>6665.8481280000005</v>
      </c>
      <c r="AD1367" s="6">
        <f>$O$1367*$X$1367</f>
        <v>1992.5533439999997</v>
      </c>
      <c r="AE1367" s="6">
        <f>$K$1367*$Y$1367</f>
        <v>0</v>
      </c>
      <c r="AF1367" s="6">
        <f ca="1">$M$1367*$Z$1367</f>
        <v>6884.8698742321285</v>
      </c>
      <c r="AG1367" s="6">
        <f>$O$1367*$AA$1367</f>
        <v>1842.9475491191833</v>
      </c>
    </row>
    <row r="1368" spans="1:33" ht="11.25" customHeight="1" x14ac:dyDescent="0.25">
      <c r="A1368" s="4" t="s">
        <v>21</v>
      </c>
      <c r="B1368" s="4" t="s">
        <v>41</v>
      </c>
      <c r="C1368" s="4" t="s">
        <v>42</v>
      </c>
      <c r="D1368" s="4" t="s">
        <v>45</v>
      </c>
      <c r="E1368" s="4" t="s">
        <v>25</v>
      </c>
      <c r="F1368" s="4" t="s">
        <v>25</v>
      </c>
      <c r="G1368" s="4" t="s">
        <v>25</v>
      </c>
      <c r="H1368" s="4" t="s">
        <v>34</v>
      </c>
      <c r="I1368" s="5">
        <v>44440</v>
      </c>
      <c r="J1368" s="6">
        <v>0</v>
      </c>
      <c r="K1368" s="60">
        <v>0</v>
      </c>
      <c r="L1368" s="6">
        <v>72.335999999999999</v>
      </c>
      <c r="M1368" s="60">
        <v>72.335999999999999</v>
      </c>
      <c r="N1368" s="6">
        <v>72.335999999999999</v>
      </c>
      <c r="O1368" s="60">
        <v>72.335999999999999</v>
      </c>
      <c r="P1368" s="6">
        <v>0</v>
      </c>
      <c r="Q1368" s="4" t="s">
        <v>26</v>
      </c>
      <c r="R1368" s="4">
        <v>0</v>
      </c>
      <c r="S1368" s="6">
        <v>0</v>
      </c>
      <c r="T1368" s="6">
        <v>42</v>
      </c>
      <c r="U1368" s="6">
        <v>66</v>
      </c>
      <c r="V1368" s="60">
        <f>IF(ISERROR(VLOOKUP($S$1368,'TAR FIN'!$A$1:$O$104,15,0)),0,VLOOKUP($S$1368,'TAR FIN'!$A$1:$O$104,15,0))</f>
        <v>0</v>
      </c>
      <c r="W1368" s="60">
        <f>IF(ISERROR(VLOOKUP($T$1368,'TAR FIN'!$A$1:$O$104,15,0)),0,VLOOKUP($T$1368,'TAR FIN'!$A$1:$O$104,15,0))*(1-0.04)</f>
        <v>1276.9824000000001</v>
      </c>
      <c r="X1368" s="60">
        <f>IF(ISERROR(VLOOKUP($U$1368,'TAR FIN'!$A$1:$O$104,15,0)),0,VLOOKUP($U$1368,'TAR FIN'!$A$1:$O$104,15,0))*(1-0.04)</f>
        <v>381.71519999999998</v>
      </c>
      <c r="Y1368" s="60"/>
      <c r="Z1368" s="60">
        <f ca="1">('TUSD BE'!$AM$25+'TUSD BF'!$AM$25+'TUSD CVA'!$AM$25)*1*(1-0.02)</f>
        <v>1318.940588933358</v>
      </c>
      <c r="AA1368" s="60">
        <f>('TE BE'!$AB$7+'TE BF'!$AB$7+'TE CVA'!$AB$7)*1*(1-0.02)</f>
        <v>353.05508603815775</v>
      </c>
      <c r="AB1368" s="6">
        <f>$K$1368*$V$1368</f>
        <v>0</v>
      </c>
      <c r="AC1368" s="6">
        <f>$M$1368*$W$1368</f>
        <v>92371.798886400007</v>
      </c>
      <c r="AD1368" s="6">
        <f>$O$1368*$X$1368</f>
        <v>27611.750707199997</v>
      </c>
      <c r="AE1368" s="6">
        <f>$K$1368*$Y$1368</f>
        <v>0</v>
      </c>
      <c r="AF1368" s="6">
        <f ca="1">$M$1368*$Z$1368</f>
        <v>95406.886441083378</v>
      </c>
      <c r="AG1368" s="6">
        <f>$O$1368*$AA$1368</f>
        <v>25538.592703656177</v>
      </c>
    </row>
    <row r="1369" spans="1:33" ht="11.25" customHeight="1" x14ac:dyDescent="0.25">
      <c r="A1369" s="4" t="s">
        <v>28</v>
      </c>
      <c r="B1369" s="4" t="s">
        <v>41</v>
      </c>
      <c r="C1369" s="4" t="s">
        <v>42</v>
      </c>
      <c r="D1369" s="4" t="s">
        <v>45</v>
      </c>
      <c r="E1369" s="4" t="s">
        <v>25</v>
      </c>
      <c r="F1369" s="4" t="s">
        <v>25</v>
      </c>
      <c r="G1369" s="4" t="s">
        <v>25</v>
      </c>
      <c r="H1369" s="4" t="s">
        <v>34</v>
      </c>
      <c r="I1369" s="5">
        <v>44440</v>
      </c>
      <c r="J1369" s="6">
        <v>0</v>
      </c>
      <c r="K1369" s="60">
        <v>0</v>
      </c>
      <c r="L1369" s="6">
        <v>5.0069999999999997</v>
      </c>
      <c r="M1369" s="60">
        <v>5.0069999999999997</v>
      </c>
      <c r="N1369" s="6">
        <v>5.0069999999999997</v>
      </c>
      <c r="O1369" s="60">
        <v>5.0069999999999997</v>
      </c>
      <c r="P1369" s="6">
        <v>0</v>
      </c>
      <c r="Q1369" s="4" t="s">
        <v>26</v>
      </c>
      <c r="R1369" s="4">
        <v>0</v>
      </c>
      <c r="S1369" s="6">
        <v>0</v>
      </c>
      <c r="T1369" s="6">
        <v>42</v>
      </c>
      <c r="U1369" s="6">
        <v>66</v>
      </c>
      <c r="V1369" s="60">
        <f>IF(ISERROR(VLOOKUP($S$1369,'TAR FIN'!$A$1:$O$104,15,0)),0,VLOOKUP($S$1369,'TAR FIN'!$A$1:$O$104,15,0))</f>
        <v>0</v>
      </c>
      <c r="W1369" s="60">
        <f>IF(ISERROR(VLOOKUP($T$1369,'TAR FIN'!$A$1:$O$104,15,0)),0,VLOOKUP($T$1369,'TAR FIN'!$A$1:$O$104,15,0))*(1-0.04)</f>
        <v>1276.9824000000001</v>
      </c>
      <c r="X1369" s="60">
        <f>IF(ISERROR(VLOOKUP($U$1369,'TAR FIN'!$A$1:$O$104,15,0)),0,VLOOKUP($U$1369,'TAR FIN'!$A$1:$O$104,15,0))*(1-0.04)</f>
        <v>381.71519999999998</v>
      </c>
      <c r="Y1369" s="60"/>
      <c r="Z1369" s="60">
        <f ca="1">('TUSD BE'!$AM$25+'TUSD BF'!$AM$25+'TUSD CVA'!$AM$25)*1*(1-0.02)</f>
        <v>1318.940588933358</v>
      </c>
      <c r="AA1369" s="60">
        <f>('TE BE'!$AB$7+'TE BF'!$AB$7+'TE CVA'!$AB$7)*1*(1-0.02)</f>
        <v>353.05508603815775</v>
      </c>
      <c r="AB1369" s="6">
        <f>$K$1369*$V$1369</f>
        <v>0</v>
      </c>
      <c r="AC1369" s="6">
        <f>$M$1369*$W$1369</f>
        <v>6393.8508768000002</v>
      </c>
      <c r="AD1369" s="6">
        <f>$O$1369*$X$1369</f>
        <v>1911.2480063999999</v>
      </c>
      <c r="AE1369" s="6">
        <f>$K$1369*$Y$1369</f>
        <v>0</v>
      </c>
      <c r="AF1369" s="6">
        <f ca="1">$M$1369*$Z$1369</f>
        <v>6603.9355287893231</v>
      </c>
      <c r="AG1369" s="6">
        <f>$O$1369*$AA$1369</f>
        <v>1767.7468157930557</v>
      </c>
    </row>
    <row r="1370" spans="1:33" ht="11.25" customHeight="1" x14ac:dyDescent="0.25">
      <c r="A1370" s="4" t="s">
        <v>21</v>
      </c>
      <c r="B1370" s="4" t="s">
        <v>41</v>
      </c>
      <c r="C1370" s="4" t="s">
        <v>42</v>
      </c>
      <c r="D1370" s="4" t="s">
        <v>45</v>
      </c>
      <c r="E1370" s="4" t="s">
        <v>25</v>
      </c>
      <c r="F1370" s="4" t="s">
        <v>25</v>
      </c>
      <c r="G1370" s="4" t="s">
        <v>25</v>
      </c>
      <c r="H1370" s="4" t="s">
        <v>34</v>
      </c>
      <c r="I1370" s="5">
        <v>44470</v>
      </c>
      <c r="J1370" s="6">
        <v>0</v>
      </c>
      <c r="K1370" s="60">
        <v>0</v>
      </c>
      <c r="L1370" s="6">
        <v>36.887</v>
      </c>
      <c r="M1370" s="60">
        <v>36.887</v>
      </c>
      <c r="N1370" s="6">
        <v>36.887</v>
      </c>
      <c r="O1370" s="60">
        <v>36.887</v>
      </c>
      <c r="P1370" s="6">
        <v>0</v>
      </c>
      <c r="Q1370" s="4" t="s">
        <v>26</v>
      </c>
      <c r="R1370" s="4">
        <v>0</v>
      </c>
      <c r="S1370" s="6">
        <v>0</v>
      </c>
      <c r="T1370" s="6">
        <v>42</v>
      </c>
      <c r="U1370" s="6">
        <v>66</v>
      </c>
      <c r="V1370" s="60">
        <f>IF(ISERROR(VLOOKUP($S$1370,'TAR FIN'!$A$1:$O$104,15,0)),0,VLOOKUP($S$1370,'TAR FIN'!$A$1:$O$104,15,0))</f>
        <v>0</v>
      </c>
      <c r="W1370" s="60">
        <f>IF(ISERROR(VLOOKUP($T$1370,'TAR FIN'!$A$1:$O$104,15,0)),0,VLOOKUP($T$1370,'TAR FIN'!$A$1:$O$104,15,0))*(1-0.04)</f>
        <v>1276.9824000000001</v>
      </c>
      <c r="X1370" s="60">
        <f>IF(ISERROR(VLOOKUP($U$1370,'TAR FIN'!$A$1:$O$104,15,0)),0,VLOOKUP($U$1370,'TAR FIN'!$A$1:$O$104,15,0))*(1-0.04)</f>
        <v>381.71519999999998</v>
      </c>
      <c r="Y1370" s="60"/>
      <c r="Z1370" s="60">
        <f ca="1">('TUSD BE'!$AM$25+'TUSD BF'!$AM$25+'TUSD CVA'!$AM$25)*1*(1-0.02)</f>
        <v>1318.940588933358</v>
      </c>
      <c r="AA1370" s="60">
        <f>('TE BE'!$AB$7+'TE BF'!$AB$7+'TE CVA'!$AB$7)*1*(1-0.02)</f>
        <v>353.05508603815775</v>
      </c>
      <c r="AB1370" s="6">
        <f>$K$1370*$V$1370</f>
        <v>0</v>
      </c>
      <c r="AC1370" s="6">
        <f>$M$1370*$W$1370</f>
        <v>47104.049788800003</v>
      </c>
      <c r="AD1370" s="6">
        <f>$O$1370*$X$1370</f>
        <v>14080.3285824</v>
      </c>
      <c r="AE1370" s="6">
        <f>$K$1370*$Y$1370</f>
        <v>0</v>
      </c>
      <c r="AF1370" s="6">
        <f ca="1">$M$1370*$Z$1370</f>
        <v>48651.761503984773</v>
      </c>
      <c r="AG1370" s="6">
        <f>$O$1370*$AA$1370</f>
        <v>13023.142958689525</v>
      </c>
    </row>
    <row r="1371" spans="1:33" ht="11.25" customHeight="1" x14ac:dyDescent="0.25">
      <c r="A1371" s="4" t="s">
        <v>28</v>
      </c>
      <c r="B1371" s="4" t="s">
        <v>41</v>
      </c>
      <c r="C1371" s="4" t="s">
        <v>42</v>
      </c>
      <c r="D1371" s="4" t="s">
        <v>45</v>
      </c>
      <c r="E1371" s="4" t="s">
        <v>25</v>
      </c>
      <c r="F1371" s="4" t="s">
        <v>25</v>
      </c>
      <c r="G1371" s="4" t="s">
        <v>25</v>
      </c>
      <c r="H1371" s="4" t="s">
        <v>34</v>
      </c>
      <c r="I1371" s="5">
        <v>44470</v>
      </c>
      <c r="J1371" s="6">
        <v>0</v>
      </c>
      <c r="K1371" s="60">
        <v>0</v>
      </c>
      <c r="L1371" s="6">
        <v>5.41</v>
      </c>
      <c r="M1371" s="60">
        <v>5.41</v>
      </c>
      <c r="N1371" s="6">
        <v>5.41</v>
      </c>
      <c r="O1371" s="60">
        <v>5.41</v>
      </c>
      <c r="P1371" s="6">
        <v>0</v>
      </c>
      <c r="Q1371" s="4" t="s">
        <v>26</v>
      </c>
      <c r="R1371" s="4">
        <v>0</v>
      </c>
      <c r="S1371" s="6">
        <v>0</v>
      </c>
      <c r="T1371" s="6">
        <v>42</v>
      </c>
      <c r="U1371" s="6">
        <v>66</v>
      </c>
      <c r="V1371" s="60">
        <f>IF(ISERROR(VLOOKUP($S$1371,'TAR FIN'!$A$1:$O$104,15,0)),0,VLOOKUP($S$1371,'TAR FIN'!$A$1:$O$104,15,0))</f>
        <v>0</v>
      </c>
      <c r="W1371" s="60">
        <f>IF(ISERROR(VLOOKUP($T$1371,'TAR FIN'!$A$1:$O$104,15,0)),0,VLOOKUP($T$1371,'TAR FIN'!$A$1:$O$104,15,0))*(1-0.04)</f>
        <v>1276.9824000000001</v>
      </c>
      <c r="X1371" s="60">
        <f>IF(ISERROR(VLOOKUP($U$1371,'TAR FIN'!$A$1:$O$104,15,0)),0,VLOOKUP($U$1371,'TAR FIN'!$A$1:$O$104,15,0))*(1-0.04)</f>
        <v>381.71519999999998</v>
      </c>
      <c r="Y1371" s="60"/>
      <c r="Z1371" s="60">
        <f ca="1">('TUSD BE'!$AM$25+'TUSD BF'!$AM$25+'TUSD CVA'!$AM$25)*1*(1-0.02)</f>
        <v>1318.940588933358</v>
      </c>
      <c r="AA1371" s="60">
        <f>('TE BE'!$AB$7+'TE BF'!$AB$7+'TE CVA'!$AB$7)*1*(1-0.02)</f>
        <v>353.05508603815775</v>
      </c>
      <c r="AB1371" s="6">
        <f>$K$1371*$V$1371</f>
        <v>0</v>
      </c>
      <c r="AC1371" s="6">
        <f>$M$1371*$W$1371</f>
        <v>6908.4747840000009</v>
      </c>
      <c r="AD1371" s="6">
        <f>$O$1371*$X$1371</f>
        <v>2065.079232</v>
      </c>
      <c r="AE1371" s="6">
        <f>$K$1371*$Y$1371</f>
        <v>0</v>
      </c>
      <c r="AF1371" s="6">
        <f ca="1">$M$1371*$Z$1371</f>
        <v>7135.4685861294665</v>
      </c>
      <c r="AG1371" s="6">
        <f>$O$1371*$AA$1371</f>
        <v>1910.0280154664335</v>
      </c>
    </row>
    <row r="1372" spans="1:33" ht="11.25" customHeight="1" x14ac:dyDescent="0.25">
      <c r="A1372" s="4" t="s">
        <v>21</v>
      </c>
      <c r="B1372" s="4" t="s">
        <v>41</v>
      </c>
      <c r="C1372" s="4" t="s">
        <v>42</v>
      </c>
      <c r="D1372" s="4" t="s">
        <v>45</v>
      </c>
      <c r="E1372" s="4" t="s">
        <v>25</v>
      </c>
      <c r="F1372" s="4" t="s">
        <v>25</v>
      </c>
      <c r="G1372" s="4" t="s">
        <v>25</v>
      </c>
      <c r="H1372" s="4" t="s">
        <v>34</v>
      </c>
      <c r="I1372" s="5">
        <v>44501</v>
      </c>
      <c r="J1372" s="6">
        <v>0</v>
      </c>
      <c r="K1372" s="60">
        <v>0</v>
      </c>
      <c r="L1372" s="6">
        <v>29.646000000000001</v>
      </c>
      <c r="M1372" s="60">
        <v>29.646000000000001</v>
      </c>
      <c r="N1372" s="6">
        <v>29.646000000000001</v>
      </c>
      <c r="O1372" s="60">
        <v>29.646000000000001</v>
      </c>
      <c r="P1372" s="6">
        <v>0</v>
      </c>
      <c r="Q1372" s="4" t="s">
        <v>26</v>
      </c>
      <c r="R1372" s="4">
        <v>0</v>
      </c>
      <c r="S1372" s="6">
        <v>0</v>
      </c>
      <c r="T1372" s="6">
        <v>42</v>
      </c>
      <c r="U1372" s="6">
        <v>66</v>
      </c>
      <c r="V1372" s="60">
        <f>IF(ISERROR(VLOOKUP($S$1372,'TAR FIN'!$A$1:$O$104,15,0)),0,VLOOKUP($S$1372,'TAR FIN'!$A$1:$O$104,15,0))</f>
        <v>0</v>
      </c>
      <c r="W1372" s="60">
        <f>IF(ISERROR(VLOOKUP($T$1372,'TAR FIN'!$A$1:$O$104,15,0)),0,VLOOKUP($T$1372,'TAR FIN'!$A$1:$O$104,15,0))*(1-0.04)</f>
        <v>1276.9824000000001</v>
      </c>
      <c r="X1372" s="60">
        <f>IF(ISERROR(VLOOKUP($U$1372,'TAR FIN'!$A$1:$O$104,15,0)),0,VLOOKUP($U$1372,'TAR FIN'!$A$1:$O$104,15,0))*(1-0.04)</f>
        <v>381.71519999999998</v>
      </c>
      <c r="Y1372" s="60"/>
      <c r="Z1372" s="60">
        <f ca="1">('TUSD BE'!$AM$25+'TUSD BF'!$AM$25+'TUSD CVA'!$AM$25)*1*(1-0.02)</f>
        <v>1318.940588933358</v>
      </c>
      <c r="AA1372" s="60">
        <f>('TE BE'!$AB$7+'TE BF'!$AB$7+'TE CVA'!$AB$7)*1*(1-0.02)</f>
        <v>353.05508603815775</v>
      </c>
      <c r="AB1372" s="6">
        <f>$K$1372*$V$1372</f>
        <v>0</v>
      </c>
      <c r="AC1372" s="6">
        <f>$M$1372*$W$1372</f>
        <v>37857.420230400006</v>
      </c>
      <c r="AD1372" s="6">
        <f>$O$1372*$X$1372</f>
        <v>11316.3288192</v>
      </c>
      <c r="AE1372" s="6">
        <f>$K$1372*$Y$1372</f>
        <v>0</v>
      </c>
      <c r="AF1372" s="6">
        <f ca="1">$M$1372*$Z$1372</f>
        <v>39101.312699518334</v>
      </c>
      <c r="AG1372" s="6">
        <f>$O$1372*$AA$1372</f>
        <v>10466.671080687225</v>
      </c>
    </row>
    <row r="1373" spans="1:33" ht="11.25" customHeight="1" x14ac:dyDescent="0.25">
      <c r="A1373" s="4" t="s">
        <v>28</v>
      </c>
      <c r="B1373" s="4" t="s">
        <v>41</v>
      </c>
      <c r="C1373" s="4" t="s">
        <v>42</v>
      </c>
      <c r="D1373" s="4" t="s">
        <v>45</v>
      </c>
      <c r="E1373" s="4" t="s">
        <v>25</v>
      </c>
      <c r="F1373" s="4" t="s">
        <v>25</v>
      </c>
      <c r="G1373" s="4" t="s">
        <v>25</v>
      </c>
      <c r="H1373" s="4" t="s">
        <v>34</v>
      </c>
      <c r="I1373" s="5">
        <v>44501</v>
      </c>
      <c r="J1373" s="6">
        <v>0</v>
      </c>
      <c r="K1373" s="60">
        <v>0</v>
      </c>
      <c r="L1373" s="6">
        <v>5.5730000000000004</v>
      </c>
      <c r="M1373" s="60">
        <v>5.5730000000000004</v>
      </c>
      <c r="N1373" s="6">
        <v>5.5730000000000004</v>
      </c>
      <c r="O1373" s="60">
        <v>5.5730000000000004</v>
      </c>
      <c r="P1373" s="6">
        <v>0</v>
      </c>
      <c r="Q1373" s="4" t="s">
        <v>26</v>
      </c>
      <c r="R1373" s="4">
        <v>0</v>
      </c>
      <c r="S1373" s="6">
        <v>0</v>
      </c>
      <c r="T1373" s="6">
        <v>42</v>
      </c>
      <c r="U1373" s="6">
        <v>66</v>
      </c>
      <c r="V1373" s="60">
        <f>IF(ISERROR(VLOOKUP($S$1373,'TAR FIN'!$A$1:$O$104,15,0)),0,VLOOKUP($S$1373,'TAR FIN'!$A$1:$O$104,15,0))</f>
        <v>0</v>
      </c>
      <c r="W1373" s="60">
        <f>IF(ISERROR(VLOOKUP($T$1373,'TAR FIN'!$A$1:$O$104,15,0)),0,VLOOKUP($T$1373,'TAR FIN'!$A$1:$O$104,15,0))*(1-0.04)</f>
        <v>1276.9824000000001</v>
      </c>
      <c r="X1373" s="60">
        <f>IF(ISERROR(VLOOKUP($U$1373,'TAR FIN'!$A$1:$O$104,15,0)),0,VLOOKUP($U$1373,'TAR FIN'!$A$1:$O$104,15,0))*(1-0.04)</f>
        <v>381.71519999999998</v>
      </c>
      <c r="Y1373" s="60"/>
      <c r="Z1373" s="60">
        <f ca="1">('TUSD BE'!$AM$25+'TUSD BF'!$AM$25+'TUSD CVA'!$AM$25)*1*(1-0.02)</f>
        <v>1318.940588933358</v>
      </c>
      <c r="AA1373" s="60">
        <f>('TE BE'!$AB$7+'TE BF'!$AB$7+'TE CVA'!$AB$7)*1*(1-0.02)</f>
        <v>353.05508603815775</v>
      </c>
      <c r="AB1373" s="6">
        <f>$K$1373*$V$1373</f>
        <v>0</v>
      </c>
      <c r="AC1373" s="6">
        <f>$M$1373*$W$1373</f>
        <v>7116.6229152000014</v>
      </c>
      <c r="AD1373" s="6">
        <f>$O$1373*$X$1373</f>
        <v>2127.2988095999999</v>
      </c>
      <c r="AE1373" s="6">
        <f>$K$1373*$Y$1373</f>
        <v>0</v>
      </c>
      <c r="AF1373" s="6">
        <f ca="1">$M$1373*$Z$1373</f>
        <v>7350.4559021256046</v>
      </c>
      <c r="AG1373" s="6">
        <f>$O$1373*$AA$1373</f>
        <v>1967.5759944906533</v>
      </c>
    </row>
    <row r="1374" spans="1:33" ht="11.25" customHeight="1" x14ac:dyDescent="0.25">
      <c r="A1374" s="4" t="s">
        <v>28</v>
      </c>
      <c r="B1374" s="4" t="s">
        <v>41</v>
      </c>
      <c r="C1374" s="4" t="s">
        <v>42</v>
      </c>
      <c r="D1374" s="4" t="s">
        <v>45</v>
      </c>
      <c r="E1374" s="4" t="s">
        <v>25</v>
      </c>
      <c r="F1374" s="4" t="s">
        <v>25</v>
      </c>
      <c r="G1374" s="4" t="s">
        <v>25</v>
      </c>
      <c r="H1374" s="4" t="s">
        <v>34</v>
      </c>
      <c r="I1374" s="5">
        <v>44501</v>
      </c>
      <c r="J1374" s="6">
        <v>0</v>
      </c>
      <c r="K1374" s="60">
        <v>0</v>
      </c>
      <c r="L1374" s="6">
        <v>-0.32800000000000001</v>
      </c>
      <c r="M1374" s="60">
        <v>-0.32800000000000001</v>
      </c>
      <c r="N1374" s="6">
        <v>-0.32800000000000001</v>
      </c>
      <c r="O1374" s="60">
        <v>-0.32800000000000001</v>
      </c>
      <c r="P1374" s="6">
        <v>0</v>
      </c>
      <c r="Q1374" s="4" t="s">
        <v>26</v>
      </c>
      <c r="R1374" s="4">
        <v>0</v>
      </c>
      <c r="S1374" s="6">
        <v>0</v>
      </c>
      <c r="T1374" s="6">
        <v>42</v>
      </c>
      <c r="U1374" s="6">
        <v>66</v>
      </c>
      <c r="V1374" s="60">
        <f>IF(ISERROR(VLOOKUP($S$1374,'TAR FIN'!$A$1:$O$104,15,0)),0,VLOOKUP($S$1374,'TAR FIN'!$A$1:$O$104,15,0))</f>
        <v>0</v>
      </c>
      <c r="W1374" s="60">
        <f>IF(ISERROR(VLOOKUP($T$1374,'TAR FIN'!$A$1:$O$104,15,0)),0,VLOOKUP($T$1374,'TAR FIN'!$A$1:$O$104,15,0))*(1-0.04)</f>
        <v>1276.9824000000001</v>
      </c>
      <c r="X1374" s="60">
        <f>IF(ISERROR(VLOOKUP($U$1374,'TAR FIN'!$A$1:$O$104,15,0)),0,VLOOKUP($U$1374,'TAR FIN'!$A$1:$O$104,15,0))*(1-0.04)</f>
        <v>381.71519999999998</v>
      </c>
      <c r="Y1374" s="60"/>
      <c r="Z1374" s="60">
        <f ca="1">('TUSD BE'!$AM$25+'TUSD BF'!$AM$25+'TUSD CVA'!$AM$25)*1*(1-0.02)</f>
        <v>1318.940588933358</v>
      </c>
      <c r="AA1374" s="60">
        <f>('TE BE'!$AB$7+'TE BF'!$AB$7+'TE CVA'!$AB$7)*1*(1-0.02)</f>
        <v>353.05508603815775</v>
      </c>
      <c r="AB1374" s="6">
        <f>$K$1374*$V$1374</f>
        <v>0</v>
      </c>
      <c r="AC1374" s="6">
        <f>$M$1374*$W$1374</f>
        <v>-418.85022720000006</v>
      </c>
      <c r="AD1374" s="6">
        <f>$O$1374*$X$1374</f>
        <v>-125.20258560000001</v>
      </c>
      <c r="AE1374" s="6">
        <f>$K$1374*$Y$1374</f>
        <v>0</v>
      </c>
      <c r="AF1374" s="6">
        <f ca="1">$M$1374*$Z$1374</f>
        <v>-432.61251317014143</v>
      </c>
      <c r="AG1374" s="6">
        <f>$O$1374*$AA$1374</f>
        <v>-115.80206822051575</v>
      </c>
    </row>
    <row r="1375" spans="1:33" ht="11.25" customHeight="1" x14ac:dyDescent="0.25">
      <c r="A1375" s="4" t="s">
        <v>21</v>
      </c>
      <c r="B1375" s="4" t="s">
        <v>41</v>
      </c>
      <c r="C1375" s="4" t="s">
        <v>42</v>
      </c>
      <c r="D1375" s="4" t="s">
        <v>45</v>
      </c>
      <c r="E1375" s="4" t="s">
        <v>25</v>
      </c>
      <c r="F1375" s="4" t="s">
        <v>25</v>
      </c>
      <c r="G1375" s="4" t="s">
        <v>25</v>
      </c>
      <c r="H1375" s="4" t="s">
        <v>34</v>
      </c>
      <c r="I1375" s="5">
        <v>44531</v>
      </c>
      <c r="J1375" s="6">
        <v>0</v>
      </c>
      <c r="K1375" s="60">
        <v>0</v>
      </c>
      <c r="L1375" s="6">
        <v>51.064999999999998</v>
      </c>
      <c r="M1375" s="60">
        <v>51.064999999999998</v>
      </c>
      <c r="N1375" s="6">
        <v>51.064999999999998</v>
      </c>
      <c r="O1375" s="60">
        <v>51.064999999999998</v>
      </c>
      <c r="P1375" s="6">
        <v>0</v>
      </c>
      <c r="Q1375" s="4" t="s">
        <v>26</v>
      </c>
      <c r="R1375" s="4">
        <v>0</v>
      </c>
      <c r="S1375" s="6">
        <v>0</v>
      </c>
      <c r="T1375" s="6">
        <v>42</v>
      </c>
      <c r="U1375" s="6">
        <v>66</v>
      </c>
      <c r="V1375" s="60">
        <f>IF(ISERROR(VLOOKUP($S$1375,'TAR FIN'!$A$1:$O$104,15,0)),0,VLOOKUP($S$1375,'TAR FIN'!$A$1:$O$104,15,0))</f>
        <v>0</v>
      </c>
      <c r="W1375" s="60">
        <f>IF(ISERROR(VLOOKUP($T$1375,'TAR FIN'!$A$1:$O$104,15,0)),0,VLOOKUP($T$1375,'TAR FIN'!$A$1:$O$104,15,0))*(1-0.04)</f>
        <v>1276.9824000000001</v>
      </c>
      <c r="X1375" s="60">
        <f>IF(ISERROR(VLOOKUP($U$1375,'TAR FIN'!$A$1:$O$104,15,0)),0,VLOOKUP($U$1375,'TAR FIN'!$A$1:$O$104,15,0))*(1-0.04)</f>
        <v>381.71519999999998</v>
      </c>
      <c r="Y1375" s="60"/>
      <c r="Z1375" s="60">
        <f ca="1">('TUSD BE'!$AM$25+'TUSD BF'!$AM$25+'TUSD CVA'!$AM$25)*1*(1-0.02)</f>
        <v>1318.940588933358</v>
      </c>
      <c r="AA1375" s="60">
        <f>('TE BE'!$AB$7+'TE BF'!$AB$7+'TE CVA'!$AB$7)*1*(1-0.02)</f>
        <v>353.05508603815775</v>
      </c>
      <c r="AB1375" s="6">
        <f>$K$1375*$V$1375</f>
        <v>0</v>
      </c>
      <c r="AC1375" s="6">
        <f>$M$1375*$W$1375</f>
        <v>65209.106255999999</v>
      </c>
      <c r="AD1375" s="6">
        <f>$O$1375*$X$1375</f>
        <v>19492.286687999997</v>
      </c>
      <c r="AE1375" s="6">
        <f>$K$1375*$Y$1375</f>
        <v>0</v>
      </c>
      <c r="AF1375" s="6">
        <f ca="1">$M$1375*$Z$1375</f>
        <v>67351.701173881927</v>
      </c>
      <c r="AG1375" s="6">
        <f>$O$1375*$AA$1375</f>
        <v>18028.757968538524</v>
      </c>
    </row>
    <row r="1376" spans="1:33" ht="11.25" customHeight="1" x14ac:dyDescent="0.25">
      <c r="A1376" s="4" t="s">
        <v>28</v>
      </c>
      <c r="B1376" s="4" t="s">
        <v>41</v>
      </c>
      <c r="C1376" s="4" t="s">
        <v>42</v>
      </c>
      <c r="D1376" s="4" t="s">
        <v>45</v>
      </c>
      <c r="E1376" s="4" t="s">
        <v>25</v>
      </c>
      <c r="F1376" s="4" t="s">
        <v>25</v>
      </c>
      <c r="G1376" s="4" t="s">
        <v>25</v>
      </c>
      <c r="H1376" s="4" t="s">
        <v>34</v>
      </c>
      <c r="I1376" s="5">
        <v>44531</v>
      </c>
      <c r="J1376" s="6">
        <v>0</v>
      </c>
      <c r="K1376" s="60">
        <v>0</v>
      </c>
      <c r="L1376" s="6">
        <v>5.8719999999999999</v>
      </c>
      <c r="M1376" s="60">
        <v>5.8719999999999999</v>
      </c>
      <c r="N1376" s="6">
        <v>5.8719999999999999</v>
      </c>
      <c r="O1376" s="60">
        <v>5.8719999999999999</v>
      </c>
      <c r="P1376" s="6">
        <v>0</v>
      </c>
      <c r="Q1376" s="4" t="s">
        <v>26</v>
      </c>
      <c r="R1376" s="4">
        <v>0</v>
      </c>
      <c r="S1376" s="6">
        <v>0</v>
      </c>
      <c r="T1376" s="6">
        <v>42</v>
      </c>
      <c r="U1376" s="6">
        <v>66</v>
      </c>
      <c r="V1376" s="60">
        <f>IF(ISERROR(VLOOKUP($S$1376,'TAR FIN'!$A$1:$O$104,15,0)),0,VLOOKUP($S$1376,'TAR FIN'!$A$1:$O$104,15,0))</f>
        <v>0</v>
      </c>
      <c r="W1376" s="60">
        <f>IF(ISERROR(VLOOKUP($T$1376,'TAR FIN'!$A$1:$O$104,15,0)),0,VLOOKUP($T$1376,'TAR FIN'!$A$1:$O$104,15,0))*(1-0.04)</f>
        <v>1276.9824000000001</v>
      </c>
      <c r="X1376" s="60">
        <f>IF(ISERROR(VLOOKUP($U$1376,'TAR FIN'!$A$1:$O$104,15,0)),0,VLOOKUP($U$1376,'TAR FIN'!$A$1:$O$104,15,0))*(1-0.04)</f>
        <v>381.71519999999998</v>
      </c>
      <c r="Y1376" s="60"/>
      <c r="Z1376" s="60">
        <f ca="1">('TUSD BE'!$AM$25+'TUSD BF'!$AM$25+'TUSD CVA'!$AM$25)*1*(1-0.02)</f>
        <v>1318.940588933358</v>
      </c>
      <c r="AA1376" s="60">
        <f>('TE BE'!$AB$7+'TE BF'!$AB$7+'TE CVA'!$AB$7)*1*(1-0.02)</f>
        <v>353.05508603815775</v>
      </c>
      <c r="AB1376" s="6">
        <f>$K$1376*$V$1376</f>
        <v>0</v>
      </c>
      <c r="AC1376" s="6">
        <f>$M$1376*$W$1376</f>
        <v>7498.4406528000009</v>
      </c>
      <c r="AD1376" s="6">
        <f>$O$1376*$X$1376</f>
        <v>2241.4316543999998</v>
      </c>
      <c r="AE1376" s="6">
        <f>$K$1376*$Y$1376</f>
        <v>0</v>
      </c>
      <c r="AF1376" s="6">
        <f ca="1">$M$1376*$Z$1376</f>
        <v>7744.8191382166779</v>
      </c>
      <c r="AG1376" s="6">
        <f>$O$1376*$AA$1376</f>
        <v>2073.1394652160625</v>
      </c>
    </row>
    <row r="1377" spans="1:33" ht="11.25" customHeight="1" x14ac:dyDescent="0.25">
      <c r="A1377" s="4" t="s">
        <v>21</v>
      </c>
      <c r="B1377" s="4" t="s">
        <v>41</v>
      </c>
      <c r="C1377" s="4" t="s">
        <v>42</v>
      </c>
      <c r="D1377" s="4" t="s">
        <v>45</v>
      </c>
      <c r="E1377" s="4" t="s">
        <v>25</v>
      </c>
      <c r="F1377" s="4" t="s">
        <v>25</v>
      </c>
      <c r="G1377" s="4" t="s">
        <v>25</v>
      </c>
      <c r="H1377" s="4" t="s">
        <v>34</v>
      </c>
      <c r="I1377" s="5">
        <v>44562</v>
      </c>
      <c r="J1377" s="6">
        <v>0</v>
      </c>
      <c r="K1377" s="60">
        <v>0</v>
      </c>
      <c r="L1377" s="6">
        <v>43.834000000000003</v>
      </c>
      <c r="M1377" s="60">
        <v>43.834000000000003</v>
      </c>
      <c r="N1377" s="6">
        <v>43.834000000000003</v>
      </c>
      <c r="O1377" s="60">
        <v>43.834000000000003</v>
      </c>
      <c r="P1377" s="6">
        <v>0</v>
      </c>
      <c r="Q1377" s="4" t="s">
        <v>26</v>
      </c>
      <c r="R1377" s="4">
        <v>0</v>
      </c>
      <c r="S1377" s="6">
        <v>0</v>
      </c>
      <c r="T1377" s="6">
        <v>42</v>
      </c>
      <c r="U1377" s="6">
        <v>66</v>
      </c>
      <c r="V1377" s="60">
        <f>IF(ISERROR(VLOOKUP($S$1377,'TAR FIN'!$A$1:$O$104,15,0)),0,VLOOKUP($S$1377,'TAR FIN'!$A$1:$O$104,15,0))</f>
        <v>0</v>
      </c>
      <c r="W1377" s="60">
        <f>IF(ISERROR(VLOOKUP($T$1377,'TAR FIN'!$A$1:$O$104,15,0)),0,VLOOKUP($T$1377,'TAR FIN'!$A$1:$O$104,15,0))*(1-0.04)</f>
        <v>1276.9824000000001</v>
      </c>
      <c r="X1377" s="60">
        <f>IF(ISERROR(VLOOKUP($U$1377,'TAR FIN'!$A$1:$O$104,15,0)),0,VLOOKUP($U$1377,'TAR FIN'!$A$1:$O$104,15,0))*(1-0.04)</f>
        <v>381.71519999999998</v>
      </c>
      <c r="Y1377" s="60"/>
      <c r="Z1377" s="60">
        <f ca="1">('TUSD BE'!$AM$25+'TUSD BF'!$AM$25+'TUSD CVA'!$AM$25)*1*(1-0.02)</f>
        <v>1318.940588933358</v>
      </c>
      <c r="AA1377" s="60">
        <f>('TE BE'!$AB$7+'TE BF'!$AB$7+'TE CVA'!$AB$7)*1*(1-0.02)</f>
        <v>353.05508603815775</v>
      </c>
      <c r="AB1377" s="6">
        <f>$K$1377*$V$1377</f>
        <v>0</v>
      </c>
      <c r="AC1377" s="6">
        <f>$M$1377*$W$1377</f>
        <v>55975.246521600006</v>
      </c>
      <c r="AD1377" s="6">
        <f>$O$1377*$X$1377</f>
        <v>16732.104076800002</v>
      </c>
      <c r="AE1377" s="6">
        <f>$K$1377*$Y$1377</f>
        <v>0</v>
      </c>
      <c r="AF1377" s="6">
        <f ca="1">$M$1377*$Z$1377</f>
        <v>57814.441775304818</v>
      </c>
      <c r="AG1377" s="6">
        <f>$O$1377*$AA$1377</f>
        <v>15475.816641396608</v>
      </c>
    </row>
    <row r="1378" spans="1:33" ht="11.25" customHeight="1" x14ac:dyDescent="0.25">
      <c r="A1378" s="4" t="s">
        <v>28</v>
      </c>
      <c r="B1378" s="4" t="s">
        <v>41</v>
      </c>
      <c r="C1378" s="4" t="s">
        <v>42</v>
      </c>
      <c r="D1378" s="4" t="s">
        <v>45</v>
      </c>
      <c r="E1378" s="4" t="s">
        <v>25</v>
      </c>
      <c r="F1378" s="4" t="s">
        <v>25</v>
      </c>
      <c r="G1378" s="4" t="s">
        <v>25</v>
      </c>
      <c r="H1378" s="4" t="s">
        <v>34</v>
      </c>
      <c r="I1378" s="5">
        <v>44562</v>
      </c>
      <c r="J1378" s="6">
        <v>0</v>
      </c>
      <c r="K1378" s="60">
        <v>0</v>
      </c>
      <c r="L1378" s="6">
        <v>5.3609999999999998</v>
      </c>
      <c r="M1378" s="60">
        <v>5.3609999999999998</v>
      </c>
      <c r="N1378" s="6">
        <v>5.3609999999999998</v>
      </c>
      <c r="O1378" s="60">
        <v>5.3609999999999998</v>
      </c>
      <c r="P1378" s="6">
        <v>0</v>
      </c>
      <c r="Q1378" s="4" t="s">
        <v>26</v>
      </c>
      <c r="R1378" s="4">
        <v>0</v>
      </c>
      <c r="S1378" s="6">
        <v>0</v>
      </c>
      <c r="T1378" s="6">
        <v>42</v>
      </c>
      <c r="U1378" s="6">
        <v>66</v>
      </c>
      <c r="V1378" s="60">
        <f>IF(ISERROR(VLOOKUP($S$1378,'TAR FIN'!$A$1:$O$104,15,0)),0,VLOOKUP($S$1378,'TAR FIN'!$A$1:$O$104,15,0))</f>
        <v>0</v>
      </c>
      <c r="W1378" s="60">
        <f>IF(ISERROR(VLOOKUP($T$1378,'TAR FIN'!$A$1:$O$104,15,0)),0,VLOOKUP($T$1378,'TAR FIN'!$A$1:$O$104,15,0))*(1-0.04)</f>
        <v>1276.9824000000001</v>
      </c>
      <c r="X1378" s="60">
        <f>IF(ISERROR(VLOOKUP($U$1378,'TAR FIN'!$A$1:$O$104,15,0)),0,VLOOKUP($U$1378,'TAR FIN'!$A$1:$O$104,15,0))*(1-0.04)</f>
        <v>381.71519999999998</v>
      </c>
      <c r="Y1378" s="60"/>
      <c r="Z1378" s="60">
        <f ca="1">('TUSD BE'!$AM$25+'TUSD BF'!$AM$25+'TUSD CVA'!$AM$25)*1*(1-0.02)</f>
        <v>1318.940588933358</v>
      </c>
      <c r="AA1378" s="60">
        <f>('TE BE'!$AB$7+'TE BF'!$AB$7+'TE CVA'!$AB$7)*1*(1-0.02)</f>
        <v>353.05508603815775</v>
      </c>
      <c r="AB1378" s="6">
        <f>$K$1378*$V$1378</f>
        <v>0</v>
      </c>
      <c r="AC1378" s="6">
        <f>$M$1378*$W$1378</f>
        <v>6845.9026463999999</v>
      </c>
      <c r="AD1378" s="6">
        <f>$O$1378*$X$1378</f>
        <v>2046.3751871999998</v>
      </c>
      <c r="AE1378" s="6">
        <f>$K$1378*$Y$1378</f>
        <v>0</v>
      </c>
      <c r="AF1378" s="6">
        <f ca="1">$M$1378*$Z$1378</f>
        <v>7070.8404972717317</v>
      </c>
      <c r="AG1378" s="6">
        <f>$O$1378*$AA$1378</f>
        <v>1892.7283162505637</v>
      </c>
    </row>
    <row r="1379" spans="1:33" ht="11.25" customHeight="1" x14ac:dyDescent="0.25">
      <c r="A1379" s="4" t="s">
        <v>21</v>
      </c>
      <c r="B1379" s="4" t="s">
        <v>41</v>
      </c>
      <c r="C1379" s="4" t="s">
        <v>42</v>
      </c>
      <c r="D1379" s="4" t="s">
        <v>45</v>
      </c>
      <c r="E1379" s="4" t="s">
        <v>25</v>
      </c>
      <c r="F1379" s="4" t="s">
        <v>25</v>
      </c>
      <c r="G1379" s="4" t="s">
        <v>25</v>
      </c>
      <c r="H1379" s="4" t="s">
        <v>34</v>
      </c>
      <c r="I1379" s="5">
        <v>44593</v>
      </c>
      <c r="J1379" s="6">
        <v>0</v>
      </c>
      <c r="K1379" s="60">
        <v>0</v>
      </c>
      <c r="L1379" s="6">
        <v>32.957000000000001</v>
      </c>
      <c r="M1379" s="60">
        <v>32.957000000000001</v>
      </c>
      <c r="N1379" s="6">
        <v>32.957000000000001</v>
      </c>
      <c r="O1379" s="60">
        <v>32.957000000000001</v>
      </c>
      <c r="P1379" s="6">
        <v>0</v>
      </c>
      <c r="Q1379" s="4" t="s">
        <v>26</v>
      </c>
      <c r="R1379" s="4">
        <v>0</v>
      </c>
      <c r="S1379" s="6">
        <v>0</v>
      </c>
      <c r="T1379" s="6">
        <v>42</v>
      </c>
      <c r="U1379" s="6">
        <v>66</v>
      </c>
      <c r="V1379" s="60">
        <f>IF(ISERROR(VLOOKUP($S$1379,'TAR FIN'!$A$1:$O$104,15,0)),0,VLOOKUP($S$1379,'TAR FIN'!$A$1:$O$104,15,0))</f>
        <v>0</v>
      </c>
      <c r="W1379" s="60">
        <f>IF(ISERROR(VLOOKUP($T$1379,'TAR FIN'!$A$1:$O$104,15,0)),0,VLOOKUP($T$1379,'TAR FIN'!$A$1:$O$104,15,0))*(1-0.04)</f>
        <v>1276.9824000000001</v>
      </c>
      <c r="X1379" s="60">
        <f>IF(ISERROR(VLOOKUP($U$1379,'TAR FIN'!$A$1:$O$104,15,0)),0,VLOOKUP($U$1379,'TAR FIN'!$A$1:$O$104,15,0))*(1-0.04)</f>
        <v>381.71519999999998</v>
      </c>
      <c r="Y1379" s="60"/>
      <c r="Z1379" s="60">
        <f ca="1">('TUSD BE'!$AM$25+'TUSD BF'!$AM$25+'TUSD CVA'!$AM$25)*1*(1-0.02)</f>
        <v>1318.940588933358</v>
      </c>
      <c r="AA1379" s="60">
        <f>('TE BE'!$AB$7+'TE BF'!$AB$7+'TE CVA'!$AB$7)*1*(1-0.02)</f>
        <v>353.05508603815775</v>
      </c>
      <c r="AB1379" s="6">
        <f>$K$1379*$V$1379</f>
        <v>0</v>
      </c>
      <c r="AC1379" s="6">
        <f>$M$1379*$W$1379</f>
        <v>42085.508956800004</v>
      </c>
      <c r="AD1379" s="6">
        <f>$O$1379*$X$1379</f>
        <v>12580.1878464</v>
      </c>
      <c r="AE1379" s="6">
        <f>$K$1379*$Y$1379</f>
        <v>0</v>
      </c>
      <c r="AF1379" s="6">
        <f ca="1">$M$1379*$Z$1379</f>
        <v>43468.324989476678</v>
      </c>
      <c r="AG1379" s="6">
        <f>$O$1379*$AA$1379</f>
        <v>11635.636470559566</v>
      </c>
    </row>
    <row r="1380" spans="1:33" ht="11.25" customHeight="1" x14ac:dyDescent="0.25">
      <c r="A1380" s="4" t="s">
        <v>28</v>
      </c>
      <c r="B1380" s="4" t="s">
        <v>41</v>
      </c>
      <c r="C1380" s="4" t="s">
        <v>42</v>
      </c>
      <c r="D1380" s="4" t="s">
        <v>45</v>
      </c>
      <c r="E1380" s="4" t="s">
        <v>25</v>
      </c>
      <c r="F1380" s="4" t="s">
        <v>25</v>
      </c>
      <c r="G1380" s="4" t="s">
        <v>25</v>
      </c>
      <c r="H1380" s="4" t="s">
        <v>34</v>
      </c>
      <c r="I1380" s="5">
        <v>44593</v>
      </c>
      <c r="J1380" s="6">
        <v>0</v>
      </c>
      <c r="K1380" s="60">
        <v>0</v>
      </c>
      <c r="L1380" s="6">
        <v>5.0780000000000003</v>
      </c>
      <c r="M1380" s="60">
        <v>5.0780000000000003</v>
      </c>
      <c r="N1380" s="6">
        <v>5.0780000000000003</v>
      </c>
      <c r="O1380" s="60">
        <v>5.0780000000000003</v>
      </c>
      <c r="P1380" s="6">
        <v>0</v>
      </c>
      <c r="Q1380" s="4" t="s">
        <v>26</v>
      </c>
      <c r="R1380" s="4">
        <v>0</v>
      </c>
      <c r="S1380" s="6">
        <v>0</v>
      </c>
      <c r="T1380" s="6">
        <v>42</v>
      </c>
      <c r="U1380" s="6">
        <v>66</v>
      </c>
      <c r="V1380" s="60">
        <f>IF(ISERROR(VLOOKUP($S$1380,'TAR FIN'!$A$1:$O$104,15,0)),0,VLOOKUP($S$1380,'TAR FIN'!$A$1:$O$104,15,0))</f>
        <v>0</v>
      </c>
      <c r="W1380" s="60">
        <f>IF(ISERROR(VLOOKUP($T$1380,'TAR FIN'!$A$1:$O$104,15,0)),0,VLOOKUP($T$1380,'TAR FIN'!$A$1:$O$104,15,0))*(1-0.04)</f>
        <v>1276.9824000000001</v>
      </c>
      <c r="X1380" s="60">
        <f>IF(ISERROR(VLOOKUP($U$1380,'TAR FIN'!$A$1:$O$104,15,0)),0,VLOOKUP($U$1380,'TAR FIN'!$A$1:$O$104,15,0))*(1-0.04)</f>
        <v>381.71519999999998</v>
      </c>
      <c r="Y1380" s="60"/>
      <c r="Z1380" s="60">
        <f ca="1">('TUSD BE'!$AM$25+'TUSD BF'!$AM$25+'TUSD CVA'!$AM$25)*1*(1-0.02)</f>
        <v>1318.940588933358</v>
      </c>
      <c r="AA1380" s="60">
        <f>('TE BE'!$AB$7+'TE BF'!$AB$7+'TE CVA'!$AB$7)*1*(1-0.02)</f>
        <v>353.05508603815775</v>
      </c>
      <c r="AB1380" s="6">
        <f>$K$1380*$V$1380</f>
        <v>0</v>
      </c>
      <c r="AC1380" s="6">
        <f>$M$1380*$W$1380</f>
        <v>6484.5166272000006</v>
      </c>
      <c r="AD1380" s="6">
        <f>$O$1380*$X$1380</f>
        <v>1938.3497855999999</v>
      </c>
      <c r="AE1380" s="6">
        <f>$K$1380*$Y$1380</f>
        <v>0</v>
      </c>
      <c r="AF1380" s="6">
        <f ca="1">$M$1380*$Z$1380</f>
        <v>6697.5803106035919</v>
      </c>
      <c r="AG1380" s="6">
        <f>$O$1380*$AA$1380</f>
        <v>1792.8137269017652</v>
      </c>
    </row>
    <row r="1381" spans="1:33" ht="11.25" customHeight="1" x14ac:dyDescent="0.25">
      <c r="A1381" s="4" t="s">
        <v>21</v>
      </c>
      <c r="B1381" s="4" t="s">
        <v>41</v>
      </c>
      <c r="C1381" s="4" t="s">
        <v>42</v>
      </c>
      <c r="D1381" s="4" t="s">
        <v>45</v>
      </c>
      <c r="E1381" s="4" t="s">
        <v>25</v>
      </c>
      <c r="F1381" s="4" t="s">
        <v>25</v>
      </c>
      <c r="G1381" s="4" t="s">
        <v>25</v>
      </c>
      <c r="H1381" s="4" t="s">
        <v>34</v>
      </c>
      <c r="I1381" s="5">
        <v>44621</v>
      </c>
      <c r="J1381" s="6">
        <v>0</v>
      </c>
      <c r="K1381" s="60">
        <v>0</v>
      </c>
      <c r="L1381" s="6">
        <v>28.315999999999999</v>
      </c>
      <c r="M1381" s="60">
        <v>28.315999999999999</v>
      </c>
      <c r="N1381" s="6">
        <v>28.315999999999999</v>
      </c>
      <c r="O1381" s="60">
        <v>28.315999999999999</v>
      </c>
      <c r="P1381" s="6">
        <v>0</v>
      </c>
      <c r="Q1381" s="4" t="s">
        <v>26</v>
      </c>
      <c r="R1381" s="4">
        <v>0</v>
      </c>
      <c r="S1381" s="6">
        <v>0</v>
      </c>
      <c r="T1381" s="6">
        <v>42</v>
      </c>
      <c r="U1381" s="6">
        <v>66</v>
      </c>
      <c r="V1381" s="60">
        <f>IF(ISERROR(VLOOKUP($S$1381,'TAR FIN'!$A$1:$O$104,15,0)),0,VLOOKUP($S$1381,'TAR FIN'!$A$1:$O$104,15,0))</f>
        <v>0</v>
      </c>
      <c r="W1381" s="60">
        <f>IF(ISERROR(VLOOKUP($T$1381,'TAR FIN'!$A$1:$O$104,15,0)),0,VLOOKUP($T$1381,'TAR FIN'!$A$1:$O$104,15,0))*(1-0.04)</f>
        <v>1276.9824000000001</v>
      </c>
      <c r="X1381" s="60">
        <f>IF(ISERROR(VLOOKUP($U$1381,'TAR FIN'!$A$1:$O$104,15,0)),0,VLOOKUP($U$1381,'TAR FIN'!$A$1:$O$104,15,0))*(1-0.04)</f>
        <v>381.71519999999998</v>
      </c>
      <c r="Y1381" s="60"/>
      <c r="Z1381" s="60">
        <f ca="1">('TUSD BE'!$AM$25+'TUSD BF'!$AM$25+'TUSD CVA'!$AM$25)*1*(1-0.02)</f>
        <v>1318.940588933358</v>
      </c>
      <c r="AA1381" s="60">
        <f>('TE BE'!$AB$7+'TE BF'!$AB$7+'TE CVA'!$AB$7)*1*(1-0.02)</f>
        <v>353.05508603815775</v>
      </c>
      <c r="AB1381" s="6">
        <f>$K$1381*$V$1381</f>
        <v>0</v>
      </c>
      <c r="AC1381" s="6">
        <f>$M$1381*$W$1381</f>
        <v>36159.033638400004</v>
      </c>
      <c r="AD1381" s="6">
        <f>$O$1381*$X$1381</f>
        <v>10808.647603199999</v>
      </c>
      <c r="AE1381" s="6">
        <f>$K$1381*$Y$1381</f>
        <v>0</v>
      </c>
      <c r="AF1381" s="6">
        <f ca="1">$M$1381*$Z$1381</f>
        <v>37347.121716236965</v>
      </c>
      <c r="AG1381" s="6">
        <f>$O$1381*$AA$1381</f>
        <v>9997.1078162564754</v>
      </c>
    </row>
    <row r="1382" spans="1:33" ht="11.25" customHeight="1" x14ac:dyDescent="0.25">
      <c r="A1382" s="4" t="s">
        <v>27</v>
      </c>
      <c r="B1382" s="4" t="s">
        <v>41</v>
      </c>
      <c r="C1382" s="4" t="s">
        <v>42</v>
      </c>
      <c r="D1382" s="4" t="s">
        <v>45</v>
      </c>
      <c r="E1382" s="4" t="s">
        <v>25</v>
      </c>
      <c r="F1382" s="4" t="s">
        <v>25</v>
      </c>
      <c r="G1382" s="4" t="s">
        <v>25</v>
      </c>
      <c r="H1382" s="4" t="s">
        <v>34</v>
      </c>
      <c r="I1382" s="5">
        <v>44621</v>
      </c>
      <c r="J1382" s="6">
        <v>0</v>
      </c>
      <c r="K1382" s="60">
        <v>0</v>
      </c>
      <c r="L1382" s="6">
        <v>-3.9660000000000002</v>
      </c>
      <c r="M1382" s="60">
        <v>-3.9660000000000002</v>
      </c>
      <c r="N1382" s="6">
        <v>-3.9660000000000002</v>
      </c>
      <c r="O1382" s="60">
        <v>-3.9660000000000002</v>
      </c>
      <c r="P1382" s="6">
        <v>0</v>
      </c>
      <c r="Q1382" s="4" t="s">
        <v>26</v>
      </c>
      <c r="R1382" s="4">
        <v>0</v>
      </c>
      <c r="S1382" s="6">
        <v>0</v>
      </c>
      <c r="T1382" s="6">
        <v>42</v>
      </c>
      <c r="U1382" s="6">
        <v>66</v>
      </c>
      <c r="V1382" s="60">
        <f>IF(ISERROR(VLOOKUP($S$1382,'TAR FIN'!$A$1:$O$104,15,0)),0,VLOOKUP($S$1382,'TAR FIN'!$A$1:$O$104,15,0))</f>
        <v>0</v>
      </c>
      <c r="W1382" s="60">
        <f>IF(ISERROR(VLOOKUP($T$1382,'TAR FIN'!$A$1:$O$104,15,0)),0,VLOOKUP($T$1382,'TAR FIN'!$A$1:$O$104,15,0))*(1-0.04)</f>
        <v>1276.9824000000001</v>
      </c>
      <c r="X1382" s="60">
        <f>IF(ISERROR(VLOOKUP($U$1382,'TAR FIN'!$A$1:$O$104,15,0)),0,VLOOKUP($U$1382,'TAR FIN'!$A$1:$O$104,15,0))*(1-0.04)</f>
        <v>381.71519999999998</v>
      </c>
      <c r="Y1382" s="60"/>
      <c r="Z1382" s="60">
        <f ca="1">('TUSD BE'!$AM$25+'TUSD BF'!$AM$25+'TUSD CVA'!$AM$25)*1*(1-0.02)</f>
        <v>1318.940588933358</v>
      </c>
      <c r="AA1382" s="60">
        <f>('TE BE'!$AB$7+'TE BF'!$AB$7+'TE CVA'!$AB$7)*1*(1-0.02)</f>
        <v>353.05508603815775</v>
      </c>
      <c r="AB1382" s="6">
        <f>$K$1382*$V$1382</f>
        <v>0</v>
      </c>
      <c r="AC1382" s="6">
        <f>$M$1382*$W$1382</f>
        <v>-5064.5121984000007</v>
      </c>
      <c r="AD1382" s="6">
        <f>$O$1382*$X$1382</f>
        <v>-1513.8824832</v>
      </c>
      <c r="AE1382" s="6">
        <f>$K$1382*$Y$1382</f>
        <v>0</v>
      </c>
      <c r="AF1382" s="6">
        <f ca="1">$M$1382*$Z$1382</f>
        <v>-5230.918375709698</v>
      </c>
      <c r="AG1382" s="6">
        <f>$O$1382*$AA$1382</f>
        <v>-1400.2164712273336</v>
      </c>
    </row>
    <row r="1383" spans="1:33" ht="11.25" customHeight="1" x14ac:dyDescent="0.25">
      <c r="A1383" s="4" t="s">
        <v>28</v>
      </c>
      <c r="B1383" s="4" t="s">
        <v>41</v>
      </c>
      <c r="C1383" s="4" t="s">
        <v>42</v>
      </c>
      <c r="D1383" s="4" t="s">
        <v>45</v>
      </c>
      <c r="E1383" s="4" t="s">
        <v>25</v>
      </c>
      <c r="F1383" s="4" t="s">
        <v>25</v>
      </c>
      <c r="G1383" s="4" t="s">
        <v>25</v>
      </c>
      <c r="H1383" s="4" t="s">
        <v>34</v>
      </c>
      <c r="I1383" s="5">
        <v>44621</v>
      </c>
      <c r="J1383" s="6">
        <v>0</v>
      </c>
      <c r="K1383" s="60">
        <v>0</v>
      </c>
      <c r="L1383" s="6">
        <v>5.1529999999999996</v>
      </c>
      <c r="M1383" s="60">
        <v>5.1529999999999996</v>
      </c>
      <c r="N1383" s="6">
        <v>5.1529999999999996</v>
      </c>
      <c r="O1383" s="60">
        <v>5.1529999999999996</v>
      </c>
      <c r="P1383" s="6">
        <v>0</v>
      </c>
      <c r="Q1383" s="4" t="s">
        <v>26</v>
      </c>
      <c r="R1383" s="4">
        <v>0</v>
      </c>
      <c r="S1383" s="6">
        <v>0</v>
      </c>
      <c r="T1383" s="6">
        <v>42</v>
      </c>
      <c r="U1383" s="6">
        <v>66</v>
      </c>
      <c r="V1383" s="60">
        <f>IF(ISERROR(VLOOKUP($S$1383,'TAR FIN'!$A$1:$O$104,15,0)),0,VLOOKUP($S$1383,'TAR FIN'!$A$1:$O$104,15,0))</f>
        <v>0</v>
      </c>
      <c r="W1383" s="60">
        <f>IF(ISERROR(VLOOKUP($T$1383,'TAR FIN'!$A$1:$O$104,15,0)),0,VLOOKUP($T$1383,'TAR FIN'!$A$1:$O$104,15,0))*(1-0.04)</f>
        <v>1276.9824000000001</v>
      </c>
      <c r="X1383" s="60">
        <f>IF(ISERROR(VLOOKUP($U$1383,'TAR FIN'!$A$1:$O$104,15,0)),0,VLOOKUP($U$1383,'TAR FIN'!$A$1:$O$104,15,0))*(1-0.04)</f>
        <v>381.71519999999998</v>
      </c>
      <c r="Y1383" s="60"/>
      <c r="Z1383" s="60">
        <f ca="1">('TUSD BE'!$AM$25+'TUSD BF'!$AM$25+'TUSD CVA'!$AM$25)*1*(1-0.02)</f>
        <v>1318.940588933358</v>
      </c>
      <c r="AA1383" s="60">
        <f>('TE BE'!$AB$7+'TE BF'!$AB$7+'TE CVA'!$AB$7)*1*(1-0.02)</f>
        <v>353.05508603815775</v>
      </c>
      <c r="AB1383" s="6">
        <f>$K$1383*$V$1383</f>
        <v>0</v>
      </c>
      <c r="AC1383" s="6">
        <f>$M$1383*$W$1383</f>
        <v>6580.2903071999999</v>
      </c>
      <c r="AD1383" s="6">
        <f>$O$1383*$X$1383</f>
        <v>1966.9784255999998</v>
      </c>
      <c r="AE1383" s="6">
        <f>$K$1383*$Y$1383</f>
        <v>0</v>
      </c>
      <c r="AF1383" s="6">
        <f ca="1">$M$1383*$Z$1383</f>
        <v>6796.5008547735933</v>
      </c>
      <c r="AG1383" s="6">
        <f>$O$1383*$AA$1383</f>
        <v>1819.2928583546268</v>
      </c>
    </row>
    <row r="1384" spans="1:33" ht="11.25" customHeight="1" x14ac:dyDescent="0.25">
      <c r="A1384" s="4" t="s">
        <v>21</v>
      </c>
      <c r="B1384" s="4" t="s">
        <v>41</v>
      </c>
      <c r="C1384" s="4" t="s">
        <v>42</v>
      </c>
      <c r="D1384" s="4" t="s">
        <v>45</v>
      </c>
      <c r="E1384" s="4" t="s">
        <v>25</v>
      </c>
      <c r="F1384" s="4" t="s">
        <v>25</v>
      </c>
      <c r="G1384" s="4" t="s">
        <v>25</v>
      </c>
      <c r="H1384" s="4" t="s">
        <v>34</v>
      </c>
      <c r="I1384" s="5">
        <v>44652</v>
      </c>
      <c r="J1384" s="6">
        <v>0</v>
      </c>
      <c r="K1384" s="60">
        <v>0</v>
      </c>
      <c r="L1384" s="6">
        <v>35.521999999999998</v>
      </c>
      <c r="M1384" s="60">
        <v>35.521999999999998</v>
      </c>
      <c r="N1384" s="6">
        <v>35.521999999999998</v>
      </c>
      <c r="O1384" s="60">
        <v>35.521999999999998</v>
      </c>
      <c r="P1384" s="6">
        <v>0</v>
      </c>
      <c r="Q1384" s="4" t="s">
        <v>26</v>
      </c>
      <c r="R1384" s="4">
        <v>0</v>
      </c>
      <c r="S1384" s="6">
        <v>0</v>
      </c>
      <c r="T1384" s="6">
        <v>42</v>
      </c>
      <c r="U1384" s="6">
        <v>66</v>
      </c>
      <c r="V1384" s="60">
        <f>IF(ISERROR(VLOOKUP($S$1384,'TAR FIN'!$A$1:$O$104,15,0)),0,VLOOKUP($S$1384,'TAR FIN'!$A$1:$O$104,15,0))</f>
        <v>0</v>
      </c>
      <c r="W1384" s="60">
        <f>IF(ISERROR(VLOOKUP($T$1384,'TAR FIN'!$A$1:$O$104,15,0)),0,VLOOKUP($T$1384,'TAR FIN'!$A$1:$O$104,15,0))*(1-0.04)</f>
        <v>1276.9824000000001</v>
      </c>
      <c r="X1384" s="60">
        <f>IF(ISERROR(VLOOKUP($U$1384,'TAR FIN'!$A$1:$O$104,15,0)),0,VLOOKUP($U$1384,'TAR FIN'!$A$1:$O$104,15,0))*(1-0.04)</f>
        <v>381.71519999999998</v>
      </c>
      <c r="Y1384" s="60"/>
      <c r="Z1384" s="60">
        <f ca="1">('TUSD BE'!$AM$25+'TUSD BF'!$AM$25+'TUSD CVA'!$AM$25)*1*(1-0.02)</f>
        <v>1318.940588933358</v>
      </c>
      <c r="AA1384" s="60">
        <f>('TE BE'!$AB$7+'TE BF'!$AB$7+'TE CVA'!$AB$7)*1*(1-0.02)</f>
        <v>353.05508603815775</v>
      </c>
      <c r="AB1384" s="6">
        <f>$K$1384*$V$1384</f>
        <v>0</v>
      </c>
      <c r="AC1384" s="6">
        <f>$M$1384*$W$1384</f>
        <v>45360.968812799998</v>
      </c>
      <c r="AD1384" s="6">
        <f>$O$1384*$X$1384</f>
        <v>13559.287334399998</v>
      </c>
      <c r="AE1384" s="6">
        <f>$K$1384*$Y$1384</f>
        <v>0</v>
      </c>
      <c r="AF1384" s="6">
        <f ca="1">$M$1384*$Z$1384</f>
        <v>46851.407600090737</v>
      </c>
      <c r="AG1384" s="6">
        <f>$O$1384*$AA$1384</f>
        <v>12541.22276624744</v>
      </c>
    </row>
    <row r="1385" spans="1:33" ht="11.25" customHeight="1" x14ac:dyDescent="0.25">
      <c r="A1385" s="4" t="s">
        <v>27</v>
      </c>
      <c r="B1385" s="4" t="s">
        <v>41</v>
      </c>
      <c r="C1385" s="4" t="s">
        <v>42</v>
      </c>
      <c r="D1385" s="4" t="s">
        <v>45</v>
      </c>
      <c r="E1385" s="4" t="s">
        <v>25</v>
      </c>
      <c r="F1385" s="4" t="s">
        <v>25</v>
      </c>
      <c r="G1385" s="4" t="s">
        <v>25</v>
      </c>
      <c r="H1385" s="4" t="s">
        <v>34</v>
      </c>
      <c r="I1385" s="5">
        <v>44652</v>
      </c>
      <c r="J1385" s="6">
        <v>0</v>
      </c>
      <c r="K1385" s="60">
        <v>0</v>
      </c>
      <c r="L1385" s="6">
        <v>0.152</v>
      </c>
      <c r="M1385" s="60">
        <v>0.152</v>
      </c>
      <c r="N1385" s="6">
        <v>0.152</v>
      </c>
      <c r="O1385" s="60">
        <v>0.152</v>
      </c>
      <c r="P1385" s="6">
        <v>0</v>
      </c>
      <c r="Q1385" s="4" t="s">
        <v>26</v>
      </c>
      <c r="R1385" s="4">
        <v>0</v>
      </c>
      <c r="S1385" s="6">
        <v>0</v>
      </c>
      <c r="T1385" s="6">
        <v>42</v>
      </c>
      <c r="U1385" s="6">
        <v>66</v>
      </c>
      <c r="V1385" s="60">
        <f>IF(ISERROR(VLOOKUP($S$1385,'TAR FIN'!$A$1:$O$104,15,0)),0,VLOOKUP($S$1385,'TAR FIN'!$A$1:$O$104,15,0))</f>
        <v>0</v>
      </c>
      <c r="W1385" s="60">
        <f>IF(ISERROR(VLOOKUP($T$1385,'TAR FIN'!$A$1:$O$104,15,0)),0,VLOOKUP($T$1385,'TAR FIN'!$A$1:$O$104,15,0))*(1-0.04)</f>
        <v>1276.9824000000001</v>
      </c>
      <c r="X1385" s="60">
        <f>IF(ISERROR(VLOOKUP($U$1385,'TAR FIN'!$A$1:$O$104,15,0)),0,VLOOKUP($U$1385,'TAR FIN'!$A$1:$O$104,15,0))*(1-0.04)</f>
        <v>381.71519999999998</v>
      </c>
      <c r="Y1385" s="60"/>
      <c r="Z1385" s="60">
        <f ca="1">('TUSD BE'!$AM$25+'TUSD BF'!$AM$25+'TUSD CVA'!$AM$25)*1*(1-0.02)</f>
        <v>1318.940588933358</v>
      </c>
      <c r="AA1385" s="60">
        <f>('TE BE'!$AB$7+'TE BF'!$AB$7+'TE CVA'!$AB$7)*1*(1-0.02)</f>
        <v>353.05508603815775</v>
      </c>
      <c r="AB1385" s="6">
        <f>$K$1385*$V$1385</f>
        <v>0</v>
      </c>
      <c r="AC1385" s="6">
        <f>$M$1385*$W$1385</f>
        <v>194.10132480000001</v>
      </c>
      <c r="AD1385" s="6">
        <f>$O$1385*$X$1385</f>
        <v>58.020710399999999</v>
      </c>
      <c r="AE1385" s="6">
        <f>$K$1385*$Y$1385</f>
        <v>0</v>
      </c>
      <c r="AF1385" s="6">
        <f ca="1">$M$1385*$Z$1385</f>
        <v>200.47896951787041</v>
      </c>
      <c r="AG1385" s="6">
        <f>$O$1385*$AA$1385</f>
        <v>53.664373077799979</v>
      </c>
    </row>
    <row r="1386" spans="1:33" ht="11.25" customHeight="1" x14ac:dyDescent="0.25">
      <c r="A1386" s="4" t="s">
        <v>28</v>
      </c>
      <c r="B1386" s="4" t="s">
        <v>41</v>
      </c>
      <c r="C1386" s="4" t="s">
        <v>42</v>
      </c>
      <c r="D1386" s="4" t="s">
        <v>45</v>
      </c>
      <c r="E1386" s="4" t="s">
        <v>25</v>
      </c>
      <c r="F1386" s="4" t="s">
        <v>25</v>
      </c>
      <c r="G1386" s="4" t="s">
        <v>25</v>
      </c>
      <c r="H1386" s="4" t="s">
        <v>34</v>
      </c>
      <c r="I1386" s="5">
        <v>44652</v>
      </c>
      <c r="J1386" s="6">
        <v>0</v>
      </c>
      <c r="K1386" s="60">
        <v>0</v>
      </c>
      <c r="L1386" s="6">
        <v>4.6909999999999998</v>
      </c>
      <c r="M1386" s="60">
        <v>4.6909999999999998</v>
      </c>
      <c r="N1386" s="6">
        <v>4.6909999999999998</v>
      </c>
      <c r="O1386" s="60">
        <v>4.6909999999999998</v>
      </c>
      <c r="P1386" s="6">
        <v>0</v>
      </c>
      <c r="Q1386" s="4" t="s">
        <v>26</v>
      </c>
      <c r="R1386" s="4">
        <v>0</v>
      </c>
      <c r="S1386" s="6">
        <v>0</v>
      </c>
      <c r="T1386" s="6">
        <v>42</v>
      </c>
      <c r="U1386" s="6">
        <v>66</v>
      </c>
      <c r="V1386" s="60">
        <f>IF(ISERROR(VLOOKUP($S$1386,'TAR FIN'!$A$1:$O$104,15,0)),0,VLOOKUP($S$1386,'TAR FIN'!$A$1:$O$104,15,0))</f>
        <v>0</v>
      </c>
      <c r="W1386" s="60">
        <f>IF(ISERROR(VLOOKUP($T$1386,'TAR FIN'!$A$1:$O$104,15,0)),0,VLOOKUP($T$1386,'TAR FIN'!$A$1:$O$104,15,0))*(1-0.04)</f>
        <v>1276.9824000000001</v>
      </c>
      <c r="X1386" s="60">
        <f>IF(ISERROR(VLOOKUP($U$1386,'TAR FIN'!$A$1:$O$104,15,0)),0,VLOOKUP($U$1386,'TAR FIN'!$A$1:$O$104,15,0))*(1-0.04)</f>
        <v>381.71519999999998</v>
      </c>
      <c r="Y1386" s="60"/>
      <c r="Z1386" s="60">
        <f ca="1">('TUSD BE'!$AM$25+'TUSD BF'!$AM$25+'TUSD CVA'!$AM$25)*1*(1-0.02)</f>
        <v>1318.940588933358</v>
      </c>
      <c r="AA1386" s="60">
        <f>('TE BE'!$AB$7+'TE BF'!$AB$7+'TE CVA'!$AB$7)*1*(1-0.02)</f>
        <v>353.05508603815775</v>
      </c>
      <c r="AB1386" s="6">
        <f>$K$1386*$V$1386</f>
        <v>0</v>
      </c>
      <c r="AC1386" s="6">
        <f>$M$1386*$W$1386</f>
        <v>5990.3244384</v>
      </c>
      <c r="AD1386" s="6">
        <f>$O$1386*$X$1386</f>
        <v>1790.6260031999998</v>
      </c>
      <c r="AE1386" s="6">
        <f>$K$1386*$Y$1386</f>
        <v>0</v>
      </c>
      <c r="AF1386" s="6">
        <f ca="1">$M$1386*$Z$1386</f>
        <v>6187.150302686382</v>
      </c>
      <c r="AG1386" s="6">
        <f>$O$1386*$AA$1386</f>
        <v>1656.1814086049981</v>
      </c>
    </row>
    <row r="1387" spans="1:33" ht="11.25" customHeight="1" x14ac:dyDescent="0.25">
      <c r="A1387" s="4" t="s">
        <v>28</v>
      </c>
      <c r="B1387" s="4" t="s">
        <v>41</v>
      </c>
      <c r="C1387" s="4" t="s">
        <v>42</v>
      </c>
      <c r="D1387" s="4" t="s">
        <v>45</v>
      </c>
      <c r="E1387" s="4" t="s">
        <v>25</v>
      </c>
      <c r="F1387" s="4" t="s">
        <v>25</v>
      </c>
      <c r="G1387" s="4" t="s">
        <v>25</v>
      </c>
      <c r="H1387" s="4" t="s">
        <v>34</v>
      </c>
      <c r="I1387" s="5">
        <v>44652</v>
      </c>
      <c r="J1387" s="6">
        <v>0</v>
      </c>
      <c r="K1387" s="60">
        <v>0</v>
      </c>
      <c r="L1387" s="6">
        <v>-5.0999999999999997E-2</v>
      </c>
      <c r="M1387" s="60">
        <v>-5.0999999999999997E-2</v>
      </c>
      <c r="N1387" s="6">
        <v>-5.0999999999999997E-2</v>
      </c>
      <c r="O1387" s="60">
        <v>-5.0999999999999997E-2</v>
      </c>
      <c r="P1387" s="6">
        <v>0</v>
      </c>
      <c r="Q1387" s="4" t="s">
        <v>26</v>
      </c>
      <c r="R1387" s="4">
        <v>0</v>
      </c>
      <c r="S1387" s="6">
        <v>0</v>
      </c>
      <c r="T1387" s="6">
        <v>42</v>
      </c>
      <c r="U1387" s="6">
        <v>66</v>
      </c>
      <c r="V1387" s="60">
        <f>IF(ISERROR(VLOOKUP($S$1387,'TAR FIN'!$A$1:$O$104,15,0)),0,VLOOKUP($S$1387,'TAR FIN'!$A$1:$O$104,15,0))</f>
        <v>0</v>
      </c>
      <c r="W1387" s="60">
        <f>IF(ISERROR(VLOOKUP($T$1387,'TAR FIN'!$A$1:$O$104,15,0)),0,VLOOKUP($T$1387,'TAR FIN'!$A$1:$O$104,15,0))*(1-0.04)</f>
        <v>1276.9824000000001</v>
      </c>
      <c r="X1387" s="60">
        <f>IF(ISERROR(VLOOKUP($U$1387,'TAR FIN'!$A$1:$O$104,15,0)),0,VLOOKUP($U$1387,'TAR FIN'!$A$1:$O$104,15,0))*(1-0.04)</f>
        <v>381.71519999999998</v>
      </c>
      <c r="Y1387" s="60"/>
      <c r="Z1387" s="60">
        <f ca="1">('TUSD BE'!$AM$25+'TUSD BF'!$AM$25+'TUSD CVA'!$AM$25)*1*(1-0.02)</f>
        <v>1318.940588933358</v>
      </c>
      <c r="AA1387" s="60">
        <f>('TE BE'!$AB$7+'TE BF'!$AB$7+'TE CVA'!$AB$7)*1*(1-0.02)</f>
        <v>353.05508603815775</v>
      </c>
      <c r="AB1387" s="6">
        <f>$K$1387*$V$1387</f>
        <v>0</v>
      </c>
      <c r="AC1387" s="6">
        <f>$M$1387*$W$1387</f>
        <v>-65.126102400000008</v>
      </c>
      <c r="AD1387" s="6">
        <f>$O$1387*$X$1387</f>
        <v>-19.467475199999999</v>
      </c>
      <c r="AE1387" s="6">
        <f>$K$1387*$Y$1387</f>
        <v>0</v>
      </c>
      <c r="AF1387" s="6">
        <f ca="1">$M$1387*$Z$1387</f>
        <v>-67.265970035601256</v>
      </c>
      <c r="AG1387" s="6">
        <f>$O$1387*$AA$1387</f>
        <v>-18.005809387946044</v>
      </c>
    </row>
    <row r="1388" spans="1:33" ht="11.25" customHeight="1" x14ac:dyDescent="0.25">
      <c r="A1388" s="4" t="s">
        <v>21</v>
      </c>
      <c r="B1388" s="4" t="s">
        <v>41</v>
      </c>
      <c r="C1388" s="4" t="s">
        <v>42</v>
      </c>
      <c r="D1388" s="4" t="s">
        <v>45</v>
      </c>
      <c r="E1388" s="4" t="s">
        <v>25</v>
      </c>
      <c r="F1388" s="4" t="s">
        <v>25</v>
      </c>
      <c r="G1388" s="4" t="s">
        <v>25</v>
      </c>
      <c r="H1388" s="4" t="s">
        <v>34</v>
      </c>
      <c r="I1388" s="5">
        <v>44682</v>
      </c>
      <c r="J1388" s="6">
        <v>0</v>
      </c>
      <c r="K1388" s="60">
        <v>0</v>
      </c>
      <c r="L1388" s="6">
        <v>41.817999999999998</v>
      </c>
      <c r="M1388" s="60">
        <v>41.817999999999998</v>
      </c>
      <c r="N1388" s="6">
        <v>41.817999999999998</v>
      </c>
      <c r="O1388" s="60">
        <v>41.817999999999998</v>
      </c>
      <c r="P1388" s="6">
        <v>0</v>
      </c>
      <c r="Q1388" s="4" t="s">
        <v>26</v>
      </c>
      <c r="R1388" s="4">
        <v>0</v>
      </c>
      <c r="S1388" s="6">
        <v>0</v>
      </c>
      <c r="T1388" s="6">
        <v>42</v>
      </c>
      <c r="U1388" s="6">
        <v>66</v>
      </c>
      <c r="V1388" s="60">
        <f>IF(ISERROR(VLOOKUP($S$1388,'TAR FIN'!$A$1:$O$104,15,0)),0,VLOOKUP($S$1388,'TAR FIN'!$A$1:$O$104,15,0))</f>
        <v>0</v>
      </c>
      <c r="W1388" s="60">
        <f>IF(ISERROR(VLOOKUP($T$1388,'TAR FIN'!$A$1:$O$104,15,0)),0,VLOOKUP($T$1388,'TAR FIN'!$A$1:$O$104,15,0))*(1-0.04)</f>
        <v>1276.9824000000001</v>
      </c>
      <c r="X1388" s="60">
        <f>IF(ISERROR(VLOOKUP($U$1388,'TAR FIN'!$A$1:$O$104,15,0)),0,VLOOKUP($U$1388,'TAR FIN'!$A$1:$O$104,15,0))*(1-0.04)</f>
        <v>381.71519999999998</v>
      </c>
      <c r="Y1388" s="60"/>
      <c r="Z1388" s="60">
        <f ca="1">('TUSD BE'!$AM$25+'TUSD BF'!$AM$25+'TUSD CVA'!$AM$25)*1*(1-0.02)</f>
        <v>1318.940588933358</v>
      </c>
      <c r="AA1388" s="60">
        <f>('TE BE'!$AB$7+'TE BF'!$AB$7+'TE CVA'!$AB$7)*1*(1-0.02)</f>
        <v>353.05508603815775</v>
      </c>
      <c r="AB1388" s="6">
        <f>$K$1388*$V$1388</f>
        <v>0</v>
      </c>
      <c r="AC1388" s="6">
        <f>$M$1388*$W$1388</f>
        <v>53400.850003200001</v>
      </c>
      <c r="AD1388" s="6">
        <f>$O$1388*$X$1388</f>
        <v>15962.566233599999</v>
      </c>
      <c r="AE1388" s="6">
        <f>$K$1388*$Y$1388</f>
        <v>0</v>
      </c>
      <c r="AF1388" s="6">
        <f ca="1">$M$1388*$Z$1388</f>
        <v>55155.457548015162</v>
      </c>
      <c r="AG1388" s="6">
        <f>$O$1388*$AA$1388</f>
        <v>14764.05758794368</v>
      </c>
    </row>
    <row r="1389" spans="1:33" ht="11.25" customHeight="1" x14ac:dyDescent="0.25">
      <c r="A1389" s="4" t="s">
        <v>28</v>
      </c>
      <c r="B1389" s="4" t="s">
        <v>41</v>
      </c>
      <c r="C1389" s="4" t="s">
        <v>42</v>
      </c>
      <c r="D1389" s="4" t="s">
        <v>45</v>
      </c>
      <c r="E1389" s="4" t="s">
        <v>25</v>
      </c>
      <c r="F1389" s="4" t="s">
        <v>25</v>
      </c>
      <c r="G1389" s="4" t="s">
        <v>25</v>
      </c>
      <c r="H1389" s="4" t="s">
        <v>34</v>
      </c>
      <c r="I1389" s="5">
        <v>44682</v>
      </c>
      <c r="J1389" s="6">
        <v>0</v>
      </c>
      <c r="K1389" s="60">
        <v>0</v>
      </c>
      <c r="L1389" s="6">
        <v>5.0430000000000001</v>
      </c>
      <c r="M1389" s="60">
        <v>5.0430000000000001</v>
      </c>
      <c r="N1389" s="6">
        <v>5.0430000000000001</v>
      </c>
      <c r="O1389" s="60">
        <v>5.0430000000000001</v>
      </c>
      <c r="P1389" s="6">
        <v>0</v>
      </c>
      <c r="Q1389" s="4" t="s">
        <v>26</v>
      </c>
      <c r="R1389" s="4">
        <v>0</v>
      </c>
      <c r="S1389" s="6">
        <v>0</v>
      </c>
      <c r="T1389" s="6">
        <v>42</v>
      </c>
      <c r="U1389" s="6">
        <v>66</v>
      </c>
      <c r="V1389" s="60">
        <f>IF(ISERROR(VLOOKUP($S$1389,'TAR FIN'!$A$1:$O$104,15,0)),0,VLOOKUP($S$1389,'TAR FIN'!$A$1:$O$104,15,0))</f>
        <v>0</v>
      </c>
      <c r="W1389" s="60">
        <f>IF(ISERROR(VLOOKUP($T$1389,'TAR FIN'!$A$1:$O$104,15,0)),0,VLOOKUP($T$1389,'TAR FIN'!$A$1:$O$104,15,0))*(1-0.04)</f>
        <v>1276.9824000000001</v>
      </c>
      <c r="X1389" s="60">
        <f>IF(ISERROR(VLOOKUP($U$1389,'TAR FIN'!$A$1:$O$104,15,0)),0,VLOOKUP($U$1389,'TAR FIN'!$A$1:$O$104,15,0))*(1-0.04)</f>
        <v>381.71519999999998</v>
      </c>
      <c r="Y1389" s="60"/>
      <c r="Z1389" s="60">
        <f ca="1">('TUSD BE'!$AM$25+'TUSD BF'!$AM$25+'TUSD CVA'!$AM$25)*1*(1-0.02)</f>
        <v>1318.940588933358</v>
      </c>
      <c r="AA1389" s="60">
        <f>('TE BE'!$AB$7+'TE BF'!$AB$7+'TE CVA'!$AB$7)*1*(1-0.02)</f>
        <v>353.05508603815775</v>
      </c>
      <c r="AB1389" s="6">
        <f>$K$1389*$V$1389</f>
        <v>0</v>
      </c>
      <c r="AC1389" s="6">
        <f>$M$1389*$W$1389</f>
        <v>6439.8222432000002</v>
      </c>
      <c r="AD1389" s="6">
        <f>$O$1389*$X$1389</f>
        <v>1924.9897535999999</v>
      </c>
      <c r="AE1389" s="6">
        <f>$K$1389*$Y$1389</f>
        <v>0</v>
      </c>
      <c r="AF1389" s="6">
        <f ca="1">$M$1389*$Z$1389</f>
        <v>6651.4173899909247</v>
      </c>
      <c r="AG1389" s="6">
        <f>$O$1389*$AA$1389</f>
        <v>1780.4567988904296</v>
      </c>
    </row>
    <row r="1390" spans="1:33" ht="11.25" customHeight="1" x14ac:dyDescent="0.25">
      <c r="A1390" s="4" t="s">
        <v>21</v>
      </c>
      <c r="B1390" s="4" t="s">
        <v>41</v>
      </c>
      <c r="C1390" s="4" t="s">
        <v>42</v>
      </c>
      <c r="D1390" s="4" t="s">
        <v>45</v>
      </c>
      <c r="E1390" s="4" t="s">
        <v>25</v>
      </c>
      <c r="F1390" s="4" t="s">
        <v>25</v>
      </c>
      <c r="G1390" s="4" t="s">
        <v>25</v>
      </c>
      <c r="H1390" s="4" t="s">
        <v>34</v>
      </c>
      <c r="I1390" s="5">
        <v>44713</v>
      </c>
      <c r="J1390" s="6">
        <v>0</v>
      </c>
      <c r="K1390" s="60">
        <v>0</v>
      </c>
      <c r="L1390" s="6">
        <v>34.619999999999997</v>
      </c>
      <c r="M1390" s="60">
        <v>34.619999999999997</v>
      </c>
      <c r="N1390" s="6">
        <v>34.619999999999997</v>
      </c>
      <c r="O1390" s="60">
        <v>34.619999999999997</v>
      </c>
      <c r="P1390" s="6">
        <v>0</v>
      </c>
      <c r="Q1390" s="4" t="s">
        <v>26</v>
      </c>
      <c r="R1390" s="4">
        <v>0</v>
      </c>
      <c r="S1390" s="6">
        <v>0</v>
      </c>
      <c r="T1390" s="6">
        <v>42</v>
      </c>
      <c r="U1390" s="6">
        <v>66</v>
      </c>
      <c r="V1390" s="60">
        <f>IF(ISERROR(VLOOKUP($S$1390,'TAR FIN'!$A$1:$O$104,15,0)),0,VLOOKUP($S$1390,'TAR FIN'!$A$1:$O$104,15,0))</f>
        <v>0</v>
      </c>
      <c r="W1390" s="60">
        <f>IF(ISERROR(VLOOKUP($T$1390,'TAR FIN'!$A$1:$O$104,15,0)),0,VLOOKUP($T$1390,'TAR FIN'!$A$1:$O$104,15,0))*(1-0.04)</f>
        <v>1276.9824000000001</v>
      </c>
      <c r="X1390" s="60">
        <f>IF(ISERROR(VLOOKUP($U$1390,'TAR FIN'!$A$1:$O$104,15,0)),0,VLOOKUP($U$1390,'TAR FIN'!$A$1:$O$104,15,0))*(1-0.04)</f>
        <v>381.71519999999998</v>
      </c>
      <c r="Y1390" s="60"/>
      <c r="Z1390" s="60">
        <f ca="1">('TUSD BE'!$AM$25+'TUSD BF'!$AM$25+'TUSD CVA'!$AM$25)*1*(1-0.02)</f>
        <v>1318.940588933358</v>
      </c>
      <c r="AA1390" s="60">
        <f>('TE BE'!$AB$7+'TE BF'!$AB$7+'TE CVA'!$AB$7)*1*(1-0.02)</f>
        <v>353.05508603815775</v>
      </c>
      <c r="AB1390" s="6">
        <f>$K$1390*$V$1390</f>
        <v>0</v>
      </c>
      <c r="AC1390" s="6">
        <f>$M$1390*$W$1390</f>
        <v>44209.130687999997</v>
      </c>
      <c r="AD1390" s="6">
        <f>$O$1390*$X$1390</f>
        <v>13214.980223999999</v>
      </c>
      <c r="AE1390" s="6">
        <f>$K$1390*$Y$1390</f>
        <v>0</v>
      </c>
      <c r="AF1390" s="6">
        <f ca="1">$M$1390*$Z$1390</f>
        <v>45661.723188872849</v>
      </c>
      <c r="AG1390" s="6">
        <f>$O$1390*$AA$1390</f>
        <v>12222.76707864102</v>
      </c>
    </row>
    <row r="1391" spans="1:33" ht="11.25" customHeight="1" x14ac:dyDescent="0.25">
      <c r="A1391" s="4" t="s">
        <v>28</v>
      </c>
      <c r="B1391" s="4" t="s">
        <v>41</v>
      </c>
      <c r="C1391" s="4" t="s">
        <v>42</v>
      </c>
      <c r="D1391" s="4" t="s">
        <v>45</v>
      </c>
      <c r="E1391" s="4" t="s">
        <v>25</v>
      </c>
      <c r="F1391" s="4" t="s">
        <v>25</v>
      </c>
      <c r="G1391" s="4" t="s">
        <v>25</v>
      </c>
      <c r="H1391" s="4" t="s">
        <v>34</v>
      </c>
      <c r="I1391" s="5">
        <v>44713</v>
      </c>
      <c r="J1391" s="6">
        <v>0</v>
      </c>
      <c r="K1391" s="60">
        <v>0</v>
      </c>
      <c r="L1391" s="6">
        <v>4.3789999999999996</v>
      </c>
      <c r="M1391" s="60">
        <v>4.3789999999999996</v>
      </c>
      <c r="N1391" s="6">
        <v>4.3789999999999996</v>
      </c>
      <c r="O1391" s="60">
        <v>4.3789999999999996</v>
      </c>
      <c r="P1391" s="6">
        <v>0</v>
      </c>
      <c r="Q1391" s="4" t="s">
        <v>26</v>
      </c>
      <c r="R1391" s="4">
        <v>0</v>
      </c>
      <c r="S1391" s="6">
        <v>0</v>
      </c>
      <c r="T1391" s="6">
        <v>42</v>
      </c>
      <c r="U1391" s="6">
        <v>66</v>
      </c>
      <c r="V1391" s="60">
        <f>IF(ISERROR(VLOOKUP($S$1391,'TAR FIN'!$A$1:$O$104,15,0)),0,VLOOKUP($S$1391,'TAR FIN'!$A$1:$O$104,15,0))</f>
        <v>0</v>
      </c>
      <c r="W1391" s="60">
        <f>IF(ISERROR(VLOOKUP($T$1391,'TAR FIN'!$A$1:$O$104,15,0)),0,VLOOKUP($T$1391,'TAR FIN'!$A$1:$O$104,15,0))*(1-0.04)</f>
        <v>1276.9824000000001</v>
      </c>
      <c r="X1391" s="60">
        <f>IF(ISERROR(VLOOKUP($U$1391,'TAR FIN'!$A$1:$O$104,15,0)),0,VLOOKUP($U$1391,'TAR FIN'!$A$1:$O$104,15,0))*(1-0.04)</f>
        <v>381.71519999999998</v>
      </c>
      <c r="Y1391" s="60"/>
      <c r="Z1391" s="60">
        <f ca="1">('TUSD BE'!$AM$25+'TUSD BF'!$AM$25+'TUSD CVA'!$AM$25)*1*(1-0.02)</f>
        <v>1318.940588933358</v>
      </c>
      <c r="AA1391" s="60">
        <f>('TE BE'!$AB$7+'TE BF'!$AB$7+'TE CVA'!$AB$7)*1*(1-0.02)</f>
        <v>353.05508603815775</v>
      </c>
      <c r="AB1391" s="6">
        <f>$K$1391*$V$1391</f>
        <v>0</v>
      </c>
      <c r="AC1391" s="6">
        <f>$M$1391*$W$1391</f>
        <v>5591.9059295999996</v>
      </c>
      <c r="AD1391" s="6">
        <f>$O$1391*$X$1391</f>
        <v>1671.5308607999998</v>
      </c>
      <c r="AE1391" s="6">
        <f>$K$1391*$Y$1391</f>
        <v>0</v>
      </c>
      <c r="AF1391" s="6">
        <f ca="1">$M$1391*$Z$1391</f>
        <v>5775.6408389391736</v>
      </c>
      <c r="AG1391" s="6">
        <f>$O$1391*$AA$1391</f>
        <v>1546.0282217610927</v>
      </c>
    </row>
    <row r="1392" spans="1:33" ht="11.25" customHeight="1" x14ac:dyDescent="0.25">
      <c r="A1392" s="4" t="s">
        <v>57</v>
      </c>
      <c r="B1392" s="4" t="s">
        <v>41</v>
      </c>
      <c r="C1392" s="4" t="s">
        <v>42</v>
      </c>
      <c r="D1392" s="4" t="s">
        <v>45</v>
      </c>
      <c r="E1392" s="4" t="s">
        <v>25</v>
      </c>
      <c r="F1392" s="4" t="s">
        <v>25</v>
      </c>
      <c r="G1392" s="4" t="s">
        <v>25</v>
      </c>
      <c r="H1392" s="4" t="s">
        <v>34</v>
      </c>
      <c r="I1392" s="5">
        <v>44743</v>
      </c>
      <c r="J1392" s="6">
        <v>0</v>
      </c>
      <c r="K1392" s="60">
        <v>0</v>
      </c>
      <c r="L1392" s="6">
        <v>34.619999999999997</v>
      </c>
      <c r="M1392" s="60">
        <v>34.619999999999997</v>
      </c>
      <c r="N1392" s="6">
        <v>34.619999999999997</v>
      </c>
      <c r="O1392" s="60">
        <v>34.619999999999997</v>
      </c>
      <c r="P1392" s="6">
        <v>0</v>
      </c>
      <c r="Q1392" s="4" t="s">
        <v>26</v>
      </c>
      <c r="R1392" s="4">
        <v>0</v>
      </c>
      <c r="S1392" s="6">
        <v>0</v>
      </c>
      <c r="T1392" s="6">
        <v>42</v>
      </c>
      <c r="U1392" s="6">
        <v>66</v>
      </c>
      <c r="V1392" s="60">
        <f>IF(ISERROR(VLOOKUP($S$1392,'TAR FIN'!$A$1:$O$104,15,0)),0,VLOOKUP($S$1392,'TAR FIN'!$A$1:$O$104,15,0))</f>
        <v>0</v>
      </c>
      <c r="W1392" s="60">
        <f>IF(ISERROR(VLOOKUP($T$1392,'TAR FIN'!$A$1:$O$104,15,0)),0,VLOOKUP($T$1392,'TAR FIN'!$A$1:$O$104,15,0))*(1-0.04)</f>
        <v>1276.9824000000001</v>
      </c>
      <c r="X1392" s="60">
        <f>IF(ISERROR(VLOOKUP($U$1392,'TAR FIN'!$A$1:$O$104,15,0)),0,VLOOKUP($U$1392,'TAR FIN'!$A$1:$O$104,15,0))*(1-0.04)</f>
        <v>381.71519999999998</v>
      </c>
      <c r="Y1392" s="60"/>
      <c r="Z1392" s="60">
        <f ca="1">('TUSD BE'!$AM$25+'TUSD BF'!$AM$25+'TUSD CVA'!$AM$25)*1*(1-0.02)</f>
        <v>1318.940588933358</v>
      </c>
      <c r="AA1392" s="60">
        <f>('TE BE'!$AB$7+'TE BF'!$AB$7+'TE CVA'!$AB$7)*1*(1-0.02)</f>
        <v>353.05508603815775</v>
      </c>
      <c r="AB1392" s="6">
        <f>$K$1392*$V$1392</f>
        <v>0</v>
      </c>
      <c r="AC1392" s="6">
        <f>$M$1392*$W$1392</f>
        <v>44209.130687999997</v>
      </c>
      <c r="AD1392" s="6">
        <f>$O$1392*$X$1392</f>
        <v>13214.980223999999</v>
      </c>
      <c r="AE1392" s="6">
        <f>$K$1392*$Y$1392</f>
        <v>0</v>
      </c>
      <c r="AF1392" s="6">
        <f ca="1">$M$1392*$Z$1392</f>
        <v>45661.723188872849</v>
      </c>
      <c r="AG1392" s="6">
        <f>$O$1392*$AA$1392</f>
        <v>12222.76707864102</v>
      </c>
    </row>
    <row r="1393" spans="1:33" ht="11.25" customHeight="1" x14ac:dyDescent="0.25">
      <c r="A1393" s="4" t="s">
        <v>57</v>
      </c>
      <c r="B1393" s="4" t="s">
        <v>41</v>
      </c>
      <c r="C1393" s="4" t="s">
        <v>42</v>
      </c>
      <c r="D1393" s="4" t="s">
        <v>45</v>
      </c>
      <c r="E1393" s="4" t="s">
        <v>25</v>
      </c>
      <c r="F1393" s="4" t="s">
        <v>25</v>
      </c>
      <c r="G1393" s="4" t="s">
        <v>25</v>
      </c>
      <c r="H1393" s="4" t="s">
        <v>34</v>
      </c>
      <c r="I1393" s="5">
        <v>44743</v>
      </c>
      <c r="J1393" s="6">
        <v>0</v>
      </c>
      <c r="K1393" s="60">
        <v>0</v>
      </c>
      <c r="L1393" s="6">
        <v>4.3789999999999996</v>
      </c>
      <c r="M1393" s="60">
        <v>4.3789999999999996</v>
      </c>
      <c r="N1393" s="6">
        <v>4.3789999999999996</v>
      </c>
      <c r="O1393" s="60">
        <v>4.3789999999999996</v>
      </c>
      <c r="P1393" s="6">
        <v>0</v>
      </c>
      <c r="Q1393" s="4" t="s">
        <v>26</v>
      </c>
      <c r="R1393" s="4">
        <v>0</v>
      </c>
      <c r="S1393" s="6">
        <v>0</v>
      </c>
      <c r="T1393" s="6">
        <v>42</v>
      </c>
      <c r="U1393" s="6">
        <v>66</v>
      </c>
      <c r="V1393" s="60">
        <f>IF(ISERROR(VLOOKUP($S$1393,'TAR FIN'!$A$1:$O$104,15,0)),0,VLOOKUP($S$1393,'TAR FIN'!$A$1:$O$104,15,0))</f>
        <v>0</v>
      </c>
      <c r="W1393" s="60">
        <f>IF(ISERROR(VLOOKUP($T$1393,'TAR FIN'!$A$1:$O$104,15,0)),0,VLOOKUP($T$1393,'TAR FIN'!$A$1:$O$104,15,0))*(1-0.04)</f>
        <v>1276.9824000000001</v>
      </c>
      <c r="X1393" s="60">
        <f>IF(ISERROR(VLOOKUP($U$1393,'TAR FIN'!$A$1:$O$104,15,0)),0,VLOOKUP($U$1393,'TAR FIN'!$A$1:$O$104,15,0))*(1-0.04)</f>
        <v>381.71519999999998</v>
      </c>
      <c r="Y1393" s="60"/>
      <c r="Z1393" s="60">
        <f ca="1">('TUSD BE'!$AM$25+'TUSD BF'!$AM$25+'TUSD CVA'!$AM$25)*1*(1-0.02)</f>
        <v>1318.940588933358</v>
      </c>
      <c r="AA1393" s="60">
        <f>('TE BE'!$AB$7+'TE BF'!$AB$7+'TE CVA'!$AB$7)*1*(1-0.02)</f>
        <v>353.05508603815775</v>
      </c>
      <c r="AB1393" s="6">
        <f>$K$1393*$V$1393</f>
        <v>0</v>
      </c>
      <c r="AC1393" s="6">
        <f>$M$1393*$W$1393</f>
        <v>5591.9059295999996</v>
      </c>
      <c r="AD1393" s="6">
        <f>$O$1393*$X$1393</f>
        <v>1671.5308607999998</v>
      </c>
      <c r="AE1393" s="6">
        <f>$K$1393*$Y$1393</f>
        <v>0</v>
      </c>
      <c r="AF1393" s="6">
        <f ca="1">$M$1393*$Z$1393</f>
        <v>5775.6408389391736</v>
      </c>
      <c r="AG1393" s="6">
        <f>$O$1393*$AA$1393</f>
        <v>1546.0282217610927</v>
      </c>
    </row>
    <row r="1394" spans="1:33" ht="11.25" customHeight="1" x14ac:dyDescent="0.25">
      <c r="A1394" s="4" t="s">
        <v>21</v>
      </c>
      <c r="B1394" s="4" t="s">
        <v>41</v>
      </c>
      <c r="C1394" s="4" t="s">
        <v>42</v>
      </c>
      <c r="D1394" s="4" t="s">
        <v>50</v>
      </c>
      <c r="E1394" s="4" t="s">
        <v>51</v>
      </c>
      <c r="F1394" s="4" t="s">
        <v>25</v>
      </c>
      <c r="G1394" s="4" t="s">
        <v>25</v>
      </c>
      <c r="H1394" s="4" t="s">
        <v>35</v>
      </c>
      <c r="I1394" s="5">
        <v>44409</v>
      </c>
      <c r="J1394" s="6">
        <v>0</v>
      </c>
      <c r="K1394" s="60">
        <v>0</v>
      </c>
      <c r="L1394" s="6">
        <v>2140.3910000000001</v>
      </c>
      <c r="M1394" s="60">
        <v>2140.3910000000001</v>
      </c>
      <c r="N1394" s="6">
        <v>2140.3910000000001</v>
      </c>
      <c r="O1394" s="60">
        <v>2140.3910000000001</v>
      </c>
      <c r="P1394" s="6">
        <v>0</v>
      </c>
      <c r="Q1394" s="4" t="s">
        <v>26</v>
      </c>
      <c r="R1394" s="4">
        <v>0</v>
      </c>
      <c r="S1394" s="6">
        <v>0</v>
      </c>
      <c r="T1394" s="6">
        <v>44</v>
      </c>
      <c r="U1394" s="6">
        <v>67</v>
      </c>
      <c r="V1394" s="60">
        <f>IF(ISERROR(VLOOKUP($S$1394,'TAR FIN'!$A$1:$O$104,15,0)),0,VLOOKUP($S$1394,'TAR FIN'!$A$1:$O$104,15,0))</f>
        <v>0</v>
      </c>
      <c r="W1394" s="60">
        <f>IF(ISERROR(VLOOKUP($T$1394,'TAR FIN'!$A$1:$O$104,15,0)),0,VLOOKUP($T$1394,'TAR FIN'!$A$1:$O$104,15,0))*(1-0.06)</f>
        <v>58.815799999999996</v>
      </c>
      <c r="X1394" s="60">
        <f>IF(ISERROR(VLOOKUP($U$1394,'TAR FIN'!$A$1:$O$104,15,0)),0,VLOOKUP($U$1394,'TAR FIN'!$A$1:$O$104,15,0))*(1-0.06)</f>
        <v>228.25079999999997</v>
      </c>
      <c r="Y1394" s="60"/>
      <c r="Z1394" s="60">
        <f ca="1">('TUSD BE'!$AM$26+'TUSD BF'!$AM$26+'TUSD CVA'!$AM$26)*1*(1-0.03)</f>
        <v>75.539915902184802</v>
      </c>
      <c r="AA1394" s="60">
        <f>('TE BE'!$AB$8+'TE BF'!$AB$8+'TE CVA'!$AB$8)*1*(1-0.03)</f>
        <v>224.80969662802207</v>
      </c>
      <c r="AB1394" s="6">
        <f>$K$1394*$V$1394</f>
        <v>0</v>
      </c>
      <c r="AC1394" s="6">
        <f>$M$1394*$W$1394</f>
        <v>125888.8089778</v>
      </c>
      <c r="AD1394" s="6">
        <f>$O$1394*$X$1394</f>
        <v>488545.95806279994</v>
      </c>
      <c r="AE1394" s="6">
        <f>$K$1394*$Y$1394</f>
        <v>0</v>
      </c>
      <c r="AF1394" s="6">
        <f ca="1">$M$1394*$Z$1394</f>
        <v>161684.95613779323</v>
      </c>
      <c r="AG1394" s="6">
        <f>$O$1394*$AA$1394</f>
        <v>481180.6513753488</v>
      </c>
    </row>
    <row r="1395" spans="1:33" ht="11.25" customHeight="1" x14ac:dyDescent="0.25">
      <c r="A1395" s="4" t="s">
        <v>21</v>
      </c>
      <c r="B1395" s="4" t="s">
        <v>41</v>
      </c>
      <c r="C1395" s="4" t="s">
        <v>42</v>
      </c>
      <c r="D1395" s="4" t="s">
        <v>50</v>
      </c>
      <c r="E1395" s="4" t="s">
        <v>51</v>
      </c>
      <c r="F1395" s="4" t="s">
        <v>25</v>
      </c>
      <c r="G1395" s="4" t="s">
        <v>25</v>
      </c>
      <c r="H1395" s="4" t="s">
        <v>35</v>
      </c>
      <c r="I1395" s="5">
        <v>44440</v>
      </c>
      <c r="J1395" s="6">
        <v>0</v>
      </c>
      <c r="K1395" s="60">
        <v>0</v>
      </c>
      <c r="L1395" s="6">
        <v>2002.85</v>
      </c>
      <c r="M1395" s="60">
        <v>2002.85</v>
      </c>
      <c r="N1395" s="6">
        <v>2002.85</v>
      </c>
      <c r="O1395" s="60">
        <v>2002.85</v>
      </c>
      <c r="P1395" s="6">
        <v>0</v>
      </c>
      <c r="Q1395" s="4" t="s">
        <v>26</v>
      </c>
      <c r="R1395" s="4">
        <v>0</v>
      </c>
      <c r="S1395" s="6">
        <v>0</v>
      </c>
      <c r="T1395" s="6">
        <v>44</v>
      </c>
      <c r="U1395" s="6">
        <v>67</v>
      </c>
      <c r="V1395" s="60">
        <f>IF(ISERROR(VLOOKUP($S$1395,'TAR FIN'!$A$1:$O$104,15,0)),0,VLOOKUP($S$1395,'TAR FIN'!$A$1:$O$104,15,0))</f>
        <v>0</v>
      </c>
      <c r="W1395" s="60">
        <f>IF(ISERROR(VLOOKUP($T$1395,'TAR FIN'!$A$1:$O$104,15,0)),0,VLOOKUP($T$1395,'TAR FIN'!$A$1:$O$104,15,0))*(1-0.06)</f>
        <v>58.815799999999996</v>
      </c>
      <c r="X1395" s="60">
        <f>IF(ISERROR(VLOOKUP($U$1395,'TAR FIN'!$A$1:$O$104,15,0)),0,VLOOKUP($U$1395,'TAR FIN'!$A$1:$O$104,15,0))*(1-0.06)</f>
        <v>228.25079999999997</v>
      </c>
      <c r="Y1395" s="60"/>
      <c r="Z1395" s="60">
        <f ca="1">('TUSD BE'!$AM$26+'TUSD BF'!$AM$26+'TUSD CVA'!$AM$26)*1*(1-0.03)</f>
        <v>75.539915902184802</v>
      </c>
      <c r="AA1395" s="60">
        <f>('TE BE'!$AB$8+'TE BF'!$AB$8+'TE CVA'!$AB$8)*1*(1-0.03)</f>
        <v>224.80969662802207</v>
      </c>
      <c r="AB1395" s="6">
        <f>$K$1395*$V$1395</f>
        <v>0</v>
      </c>
      <c r="AC1395" s="6">
        <f>$M$1395*$W$1395</f>
        <v>117799.22502999999</v>
      </c>
      <c r="AD1395" s="6">
        <f>$O$1395*$X$1395</f>
        <v>457152.11477999995</v>
      </c>
      <c r="AE1395" s="6">
        <f>$K$1395*$Y$1395</f>
        <v>0</v>
      </c>
      <c r="AF1395" s="6">
        <f ca="1">$M$1395*$Z$1395</f>
        <v>151295.12056469082</v>
      </c>
      <c r="AG1395" s="6">
        <f>$O$1395*$AA$1395</f>
        <v>450260.10089143401</v>
      </c>
    </row>
    <row r="1396" spans="1:33" ht="11.25" customHeight="1" x14ac:dyDescent="0.25">
      <c r="A1396" s="4" t="s">
        <v>21</v>
      </c>
      <c r="B1396" s="4" t="s">
        <v>41</v>
      </c>
      <c r="C1396" s="4" t="s">
        <v>42</v>
      </c>
      <c r="D1396" s="4" t="s">
        <v>50</v>
      </c>
      <c r="E1396" s="4" t="s">
        <v>51</v>
      </c>
      <c r="F1396" s="4" t="s">
        <v>25</v>
      </c>
      <c r="G1396" s="4" t="s">
        <v>25</v>
      </c>
      <c r="H1396" s="4" t="s">
        <v>35</v>
      </c>
      <c r="I1396" s="5">
        <v>44470</v>
      </c>
      <c r="J1396" s="6">
        <v>0</v>
      </c>
      <c r="K1396" s="60">
        <v>0</v>
      </c>
      <c r="L1396" s="6">
        <v>2107.96</v>
      </c>
      <c r="M1396" s="60">
        <v>2107.96</v>
      </c>
      <c r="N1396" s="6">
        <v>2107.96</v>
      </c>
      <c r="O1396" s="60">
        <v>2107.96</v>
      </c>
      <c r="P1396" s="6">
        <v>0</v>
      </c>
      <c r="Q1396" s="4" t="s">
        <v>26</v>
      </c>
      <c r="R1396" s="4">
        <v>0</v>
      </c>
      <c r="S1396" s="6">
        <v>0</v>
      </c>
      <c r="T1396" s="6">
        <v>44</v>
      </c>
      <c r="U1396" s="6">
        <v>67</v>
      </c>
      <c r="V1396" s="60">
        <f>IF(ISERROR(VLOOKUP($S$1396,'TAR FIN'!$A$1:$O$104,15,0)),0,VLOOKUP($S$1396,'TAR FIN'!$A$1:$O$104,15,0))</f>
        <v>0</v>
      </c>
      <c r="W1396" s="60">
        <f>IF(ISERROR(VLOOKUP($T$1396,'TAR FIN'!$A$1:$O$104,15,0)),0,VLOOKUP($T$1396,'TAR FIN'!$A$1:$O$104,15,0))*(1-0.06)</f>
        <v>58.815799999999996</v>
      </c>
      <c r="X1396" s="60">
        <f>IF(ISERROR(VLOOKUP($U$1396,'TAR FIN'!$A$1:$O$104,15,0)),0,VLOOKUP($U$1396,'TAR FIN'!$A$1:$O$104,15,0))*(1-0.06)</f>
        <v>228.25079999999997</v>
      </c>
      <c r="Y1396" s="60"/>
      <c r="Z1396" s="60">
        <f ca="1">('TUSD BE'!$AM$26+'TUSD BF'!$AM$26+'TUSD CVA'!$AM$26)*1*(1-0.03)</f>
        <v>75.539915902184802</v>
      </c>
      <c r="AA1396" s="60">
        <f>('TE BE'!$AB$8+'TE BF'!$AB$8+'TE CVA'!$AB$8)*1*(1-0.03)</f>
        <v>224.80969662802207</v>
      </c>
      <c r="AB1396" s="6">
        <f>$K$1396*$V$1396</f>
        <v>0</v>
      </c>
      <c r="AC1396" s="6">
        <f>$M$1396*$W$1396</f>
        <v>123981.35376799999</v>
      </c>
      <c r="AD1396" s="6">
        <f>$O$1396*$X$1396</f>
        <v>481143.55636799993</v>
      </c>
      <c r="AE1396" s="6">
        <f>$K$1396*$Y$1396</f>
        <v>0</v>
      </c>
      <c r="AF1396" s="6">
        <f ca="1">$M$1396*$Z$1396</f>
        <v>159235.12112516948</v>
      </c>
      <c r="AG1396" s="6">
        <f>$O$1396*$AA$1396</f>
        <v>473889.84810400539</v>
      </c>
    </row>
    <row r="1397" spans="1:33" ht="11.25" customHeight="1" x14ac:dyDescent="0.25">
      <c r="A1397" s="4" t="s">
        <v>21</v>
      </c>
      <c r="B1397" s="4" t="s">
        <v>41</v>
      </c>
      <c r="C1397" s="4" t="s">
        <v>42</v>
      </c>
      <c r="D1397" s="4" t="s">
        <v>50</v>
      </c>
      <c r="E1397" s="4" t="s">
        <v>51</v>
      </c>
      <c r="F1397" s="4" t="s">
        <v>25</v>
      </c>
      <c r="G1397" s="4" t="s">
        <v>25</v>
      </c>
      <c r="H1397" s="4" t="s">
        <v>35</v>
      </c>
      <c r="I1397" s="5">
        <v>44501</v>
      </c>
      <c r="J1397" s="6">
        <v>0</v>
      </c>
      <c r="K1397" s="60">
        <v>0</v>
      </c>
      <c r="L1397" s="6">
        <v>2219.277</v>
      </c>
      <c r="M1397" s="60">
        <v>2219.277</v>
      </c>
      <c r="N1397" s="6">
        <v>2219.277</v>
      </c>
      <c r="O1397" s="60">
        <v>2219.277</v>
      </c>
      <c r="P1397" s="6">
        <v>0</v>
      </c>
      <c r="Q1397" s="4" t="s">
        <v>26</v>
      </c>
      <c r="R1397" s="4">
        <v>0</v>
      </c>
      <c r="S1397" s="6">
        <v>0</v>
      </c>
      <c r="T1397" s="6">
        <v>44</v>
      </c>
      <c r="U1397" s="6">
        <v>67</v>
      </c>
      <c r="V1397" s="60">
        <f>IF(ISERROR(VLOOKUP($S$1397,'TAR FIN'!$A$1:$O$104,15,0)),0,VLOOKUP($S$1397,'TAR FIN'!$A$1:$O$104,15,0))</f>
        <v>0</v>
      </c>
      <c r="W1397" s="60">
        <f>IF(ISERROR(VLOOKUP($T$1397,'TAR FIN'!$A$1:$O$104,15,0)),0,VLOOKUP($T$1397,'TAR FIN'!$A$1:$O$104,15,0))*(1-0.06)</f>
        <v>58.815799999999996</v>
      </c>
      <c r="X1397" s="60">
        <f>IF(ISERROR(VLOOKUP($U$1397,'TAR FIN'!$A$1:$O$104,15,0)),0,VLOOKUP($U$1397,'TAR FIN'!$A$1:$O$104,15,0))*(1-0.06)</f>
        <v>228.25079999999997</v>
      </c>
      <c r="Y1397" s="60"/>
      <c r="Z1397" s="60">
        <f ca="1">('TUSD BE'!$AM$26+'TUSD BF'!$AM$26+'TUSD CVA'!$AM$26)*1*(1-0.03)</f>
        <v>75.539915902184802</v>
      </c>
      <c r="AA1397" s="60">
        <f>('TE BE'!$AB$8+'TE BF'!$AB$8+'TE CVA'!$AB$8)*1*(1-0.03)</f>
        <v>224.80969662802207</v>
      </c>
      <c r="AB1397" s="6">
        <f>$K$1397*$V$1397</f>
        <v>0</v>
      </c>
      <c r="AC1397" s="6">
        <f>$M$1397*$W$1397</f>
        <v>130528.55217659999</v>
      </c>
      <c r="AD1397" s="6">
        <f>$O$1397*$X$1397</f>
        <v>506551.75067159993</v>
      </c>
      <c r="AE1397" s="6">
        <f>$K$1397*$Y$1397</f>
        <v>0</v>
      </c>
      <c r="AF1397" s="6">
        <f ca="1">$M$1397*$Z$1397</f>
        <v>167643.997943653</v>
      </c>
      <c r="AG1397" s="6">
        <f>$O$1397*$AA$1397</f>
        <v>498914.98910354695</v>
      </c>
    </row>
    <row r="1398" spans="1:33" ht="11.25" customHeight="1" x14ac:dyDescent="0.25">
      <c r="A1398" s="4" t="s">
        <v>21</v>
      </c>
      <c r="B1398" s="4" t="s">
        <v>41</v>
      </c>
      <c r="C1398" s="4" t="s">
        <v>42</v>
      </c>
      <c r="D1398" s="4" t="s">
        <v>50</v>
      </c>
      <c r="E1398" s="4" t="s">
        <v>51</v>
      </c>
      <c r="F1398" s="4" t="s">
        <v>25</v>
      </c>
      <c r="G1398" s="4" t="s">
        <v>25</v>
      </c>
      <c r="H1398" s="4" t="s">
        <v>35</v>
      </c>
      <c r="I1398" s="5">
        <v>44531</v>
      </c>
      <c r="J1398" s="6">
        <v>0</v>
      </c>
      <c r="K1398" s="60">
        <v>0</v>
      </c>
      <c r="L1398" s="6">
        <v>2049.038</v>
      </c>
      <c r="M1398" s="60">
        <v>2049.038</v>
      </c>
      <c r="N1398" s="6">
        <v>2049.038</v>
      </c>
      <c r="O1398" s="60">
        <v>2049.038</v>
      </c>
      <c r="P1398" s="6">
        <v>0</v>
      </c>
      <c r="Q1398" s="4" t="s">
        <v>26</v>
      </c>
      <c r="R1398" s="4">
        <v>0</v>
      </c>
      <c r="S1398" s="6">
        <v>0</v>
      </c>
      <c r="T1398" s="6">
        <v>44</v>
      </c>
      <c r="U1398" s="6">
        <v>67</v>
      </c>
      <c r="V1398" s="60">
        <f>IF(ISERROR(VLOOKUP($S$1398,'TAR FIN'!$A$1:$O$104,15,0)),0,VLOOKUP($S$1398,'TAR FIN'!$A$1:$O$104,15,0))</f>
        <v>0</v>
      </c>
      <c r="W1398" s="60">
        <f>IF(ISERROR(VLOOKUP($T$1398,'TAR FIN'!$A$1:$O$104,15,0)),0,VLOOKUP($T$1398,'TAR FIN'!$A$1:$O$104,15,0))*(1-0.06)</f>
        <v>58.815799999999996</v>
      </c>
      <c r="X1398" s="60">
        <f>IF(ISERROR(VLOOKUP($U$1398,'TAR FIN'!$A$1:$O$104,15,0)),0,VLOOKUP($U$1398,'TAR FIN'!$A$1:$O$104,15,0))*(1-0.06)</f>
        <v>228.25079999999997</v>
      </c>
      <c r="Y1398" s="60"/>
      <c r="Z1398" s="60">
        <f ca="1">('TUSD BE'!$AM$26+'TUSD BF'!$AM$26+'TUSD CVA'!$AM$26)*1*(1-0.03)</f>
        <v>75.539915902184802</v>
      </c>
      <c r="AA1398" s="60">
        <f>('TE BE'!$AB$8+'TE BF'!$AB$8+'TE CVA'!$AB$8)*1*(1-0.03)</f>
        <v>224.80969662802207</v>
      </c>
      <c r="AB1398" s="6">
        <f>$K$1398*$V$1398</f>
        <v>0</v>
      </c>
      <c r="AC1398" s="6">
        <f>$M$1398*$W$1398</f>
        <v>120515.80920039999</v>
      </c>
      <c r="AD1398" s="6">
        <f>$O$1398*$X$1398</f>
        <v>467694.56273039995</v>
      </c>
      <c r="AE1398" s="6">
        <f>$K$1398*$Y$1398</f>
        <v>0</v>
      </c>
      <c r="AF1398" s="6">
        <f ca="1">$M$1398*$Z$1398</f>
        <v>154784.15820038095</v>
      </c>
      <c r="AG1398" s="6">
        <f>$O$1398*$AA$1398</f>
        <v>460643.61115928908</v>
      </c>
    </row>
    <row r="1399" spans="1:33" ht="11.25" customHeight="1" x14ac:dyDescent="0.25">
      <c r="A1399" s="4" t="s">
        <v>21</v>
      </c>
      <c r="B1399" s="4" t="s">
        <v>41</v>
      </c>
      <c r="C1399" s="4" t="s">
        <v>42</v>
      </c>
      <c r="D1399" s="4" t="s">
        <v>50</v>
      </c>
      <c r="E1399" s="4" t="s">
        <v>51</v>
      </c>
      <c r="F1399" s="4" t="s">
        <v>25</v>
      </c>
      <c r="G1399" s="4" t="s">
        <v>25</v>
      </c>
      <c r="H1399" s="4" t="s">
        <v>35</v>
      </c>
      <c r="I1399" s="5">
        <v>44562</v>
      </c>
      <c r="J1399" s="6">
        <v>0</v>
      </c>
      <c r="K1399" s="60">
        <v>0</v>
      </c>
      <c r="L1399" s="6">
        <v>2257.6480000000001</v>
      </c>
      <c r="M1399" s="60">
        <v>2257.6480000000001</v>
      </c>
      <c r="N1399" s="6">
        <v>2257.6480000000001</v>
      </c>
      <c r="O1399" s="60">
        <v>2257.6480000000001</v>
      </c>
      <c r="P1399" s="6">
        <v>0</v>
      </c>
      <c r="Q1399" s="4" t="s">
        <v>26</v>
      </c>
      <c r="R1399" s="4">
        <v>0</v>
      </c>
      <c r="S1399" s="6">
        <v>0</v>
      </c>
      <c r="T1399" s="6">
        <v>44</v>
      </c>
      <c r="U1399" s="6">
        <v>67</v>
      </c>
      <c r="V1399" s="60">
        <f>IF(ISERROR(VLOOKUP($S$1399,'TAR FIN'!$A$1:$O$104,15,0)),0,VLOOKUP($S$1399,'TAR FIN'!$A$1:$O$104,15,0))</f>
        <v>0</v>
      </c>
      <c r="W1399" s="60">
        <f>IF(ISERROR(VLOOKUP($T$1399,'TAR FIN'!$A$1:$O$104,15,0)),0,VLOOKUP($T$1399,'TAR FIN'!$A$1:$O$104,15,0))*(1-0.06)</f>
        <v>58.815799999999996</v>
      </c>
      <c r="X1399" s="60">
        <f>IF(ISERROR(VLOOKUP($U$1399,'TAR FIN'!$A$1:$O$104,15,0)),0,VLOOKUP($U$1399,'TAR FIN'!$A$1:$O$104,15,0))*(1-0.06)</f>
        <v>228.25079999999997</v>
      </c>
      <c r="Y1399" s="60"/>
      <c r="Z1399" s="60">
        <f ca="1">('TUSD BE'!$AM$26+'TUSD BF'!$AM$26+'TUSD CVA'!$AM$26)*1*(1-0.03)</f>
        <v>75.539915902184802</v>
      </c>
      <c r="AA1399" s="60">
        <f>('TE BE'!$AB$8+'TE BF'!$AB$8+'TE CVA'!$AB$8)*1*(1-0.03)</f>
        <v>224.80969662802207</v>
      </c>
      <c r="AB1399" s="6">
        <f>$K$1399*$V$1399</f>
        <v>0</v>
      </c>
      <c r="AC1399" s="6">
        <f>$M$1399*$W$1399</f>
        <v>132785.3732384</v>
      </c>
      <c r="AD1399" s="6">
        <f>$O$1399*$X$1399</f>
        <v>515309.96211839997</v>
      </c>
      <c r="AE1399" s="6">
        <f>$K$1399*$Y$1399</f>
        <v>0</v>
      </c>
      <c r="AF1399" s="6">
        <f ca="1">$M$1399*$Z$1399</f>
        <v>170542.54005673571</v>
      </c>
      <c r="AG1399" s="6">
        <f>$O$1399*$AA$1399</f>
        <v>507541.16197286081</v>
      </c>
    </row>
    <row r="1400" spans="1:33" ht="11.25" customHeight="1" x14ac:dyDescent="0.25">
      <c r="A1400" s="4" t="s">
        <v>21</v>
      </c>
      <c r="B1400" s="4" t="s">
        <v>41</v>
      </c>
      <c r="C1400" s="4" t="s">
        <v>42</v>
      </c>
      <c r="D1400" s="4" t="s">
        <v>50</v>
      </c>
      <c r="E1400" s="4" t="s">
        <v>51</v>
      </c>
      <c r="F1400" s="4" t="s">
        <v>25</v>
      </c>
      <c r="G1400" s="4" t="s">
        <v>25</v>
      </c>
      <c r="H1400" s="4" t="s">
        <v>35</v>
      </c>
      <c r="I1400" s="5">
        <v>44593</v>
      </c>
      <c r="J1400" s="6">
        <v>0</v>
      </c>
      <c r="K1400" s="60">
        <v>0</v>
      </c>
      <c r="L1400" s="6">
        <v>2031.07</v>
      </c>
      <c r="M1400" s="60">
        <v>2031.07</v>
      </c>
      <c r="N1400" s="6">
        <v>2031.07</v>
      </c>
      <c r="O1400" s="60">
        <v>2031.07</v>
      </c>
      <c r="P1400" s="6">
        <v>0</v>
      </c>
      <c r="Q1400" s="4" t="s">
        <v>26</v>
      </c>
      <c r="R1400" s="4">
        <v>0</v>
      </c>
      <c r="S1400" s="6">
        <v>0</v>
      </c>
      <c r="T1400" s="6">
        <v>44</v>
      </c>
      <c r="U1400" s="6">
        <v>67</v>
      </c>
      <c r="V1400" s="60">
        <f>IF(ISERROR(VLOOKUP($S$1400,'TAR FIN'!$A$1:$O$104,15,0)),0,VLOOKUP($S$1400,'TAR FIN'!$A$1:$O$104,15,0))</f>
        <v>0</v>
      </c>
      <c r="W1400" s="60">
        <f>IF(ISERROR(VLOOKUP($T$1400,'TAR FIN'!$A$1:$O$104,15,0)),0,VLOOKUP($T$1400,'TAR FIN'!$A$1:$O$104,15,0))*(1-0.06)</f>
        <v>58.815799999999996</v>
      </c>
      <c r="X1400" s="60">
        <f>IF(ISERROR(VLOOKUP($U$1400,'TAR FIN'!$A$1:$O$104,15,0)),0,VLOOKUP($U$1400,'TAR FIN'!$A$1:$O$104,15,0))*(1-0.06)</f>
        <v>228.25079999999997</v>
      </c>
      <c r="Y1400" s="60"/>
      <c r="Z1400" s="60">
        <f ca="1">('TUSD BE'!$AM$26+'TUSD BF'!$AM$26+'TUSD CVA'!$AM$26)*1*(1-0.03)</f>
        <v>75.539915902184802</v>
      </c>
      <c r="AA1400" s="60">
        <f>('TE BE'!$AB$8+'TE BF'!$AB$8+'TE CVA'!$AB$8)*1*(1-0.03)</f>
        <v>224.80969662802207</v>
      </c>
      <c r="AB1400" s="6">
        <f>$K$1400*$V$1400</f>
        <v>0</v>
      </c>
      <c r="AC1400" s="6">
        <f>$M$1400*$W$1400</f>
        <v>119459.006906</v>
      </c>
      <c r="AD1400" s="6">
        <f>$O$1400*$X$1400</f>
        <v>463593.35235599993</v>
      </c>
      <c r="AE1400" s="6">
        <f>$K$1400*$Y$1400</f>
        <v>0</v>
      </c>
      <c r="AF1400" s="6">
        <f ca="1">$M$1400*$Z$1400</f>
        <v>153426.85699145048</v>
      </c>
      <c r="AG1400" s="6">
        <f>$O$1400*$AA$1400</f>
        <v>456604.23053027678</v>
      </c>
    </row>
    <row r="1401" spans="1:33" ht="11.25" customHeight="1" x14ac:dyDescent="0.25">
      <c r="A1401" s="4" t="s">
        <v>21</v>
      </c>
      <c r="B1401" s="4" t="s">
        <v>41</v>
      </c>
      <c r="C1401" s="4" t="s">
        <v>42</v>
      </c>
      <c r="D1401" s="4" t="s">
        <v>50</v>
      </c>
      <c r="E1401" s="4" t="s">
        <v>51</v>
      </c>
      <c r="F1401" s="4" t="s">
        <v>25</v>
      </c>
      <c r="G1401" s="4" t="s">
        <v>25</v>
      </c>
      <c r="H1401" s="4" t="s">
        <v>35</v>
      </c>
      <c r="I1401" s="5">
        <v>44621</v>
      </c>
      <c r="J1401" s="6">
        <v>0</v>
      </c>
      <c r="K1401" s="60">
        <v>0</v>
      </c>
      <c r="L1401" s="6">
        <v>1982.943</v>
      </c>
      <c r="M1401" s="60">
        <v>1982.943</v>
      </c>
      <c r="N1401" s="6">
        <v>1982.943</v>
      </c>
      <c r="O1401" s="60">
        <v>1982.943</v>
      </c>
      <c r="P1401" s="6">
        <v>0</v>
      </c>
      <c r="Q1401" s="4" t="s">
        <v>26</v>
      </c>
      <c r="R1401" s="4">
        <v>0</v>
      </c>
      <c r="S1401" s="6">
        <v>0</v>
      </c>
      <c r="T1401" s="6">
        <v>44</v>
      </c>
      <c r="U1401" s="6">
        <v>67</v>
      </c>
      <c r="V1401" s="60">
        <f>IF(ISERROR(VLOOKUP($S$1401,'TAR FIN'!$A$1:$O$104,15,0)),0,VLOOKUP($S$1401,'TAR FIN'!$A$1:$O$104,15,0))</f>
        <v>0</v>
      </c>
      <c r="W1401" s="60">
        <f>IF(ISERROR(VLOOKUP($T$1401,'TAR FIN'!$A$1:$O$104,15,0)),0,VLOOKUP($T$1401,'TAR FIN'!$A$1:$O$104,15,0))*(1-0.06)</f>
        <v>58.815799999999996</v>
      </c>
      <c r="X1401" s="60">
        <f>IF(ISERROR(VLOOKUP($U$1401,'TAR FIN'!$A$1:$O$104,15,0)),0,VLOOKUP($U$1401,'TAR FIN'!$A$1:$O$104,15,0))*(1-0.06)</f>
        <v>228.25079999999997</v>
      </c>
      <c r="Y1401" s="60"/>
      <c r="Z1401" s="60">
        <f ca="1">('TUSD BE'!$AM$26+'TUSD BF'!$AM$26+'TUSD CVA'!$AM$26)*1*(1-0.03)</f>
        <v>75.539915902184802</v>
      </c>
      <c r="AA1401" s="60">
        <f>('TE BE'!$AB$8+'TE BF'!$AB$8+'TE CVA'!$AB$8)*1*(1-0.03)</f>
        <v>224.80969662802207</v>
      </c>
      <c r="AB1401" s="6">
        <f>$K$1401*$V$1401</f>
        <v>0</v>
      </c>
      <c r="AC1401" s="6">
        <f>$M$1401*$W$1401</f>
        <v>116628.37889939999</v>
      </c>
      <c r="AD1401" s="6">
        <f>$O$1401*$X$1401</f>
        <v>452608.32610439992</v>
      </c>
      <c r="AE1401" s="6">
        <f>$K$1401*$Y$1401</f>
        <v>0</v>
      </c>
      <c r="AF1401" s="6">
        <f ca="1">$M$1401*$Z$1401</f>
        <v>149791.34745882603</v>
      </c>
      <c r="AG1401" s="6">
        <f>$O$1401*$AA$1401</f>
        <v>445784.81426065997</v>
      </c>
    </row>
    <row r="1402" spans="1:33" ht="11.25" customHeight="1" x14ac:dyDescent="0.25">
      <c r="A1402" s="4" t="s">
        <v>21</v>
      </c>
      <c r="B1402" s="4" t="s">
        <v>41</v>
      </c>
      <c r="C1402" s="4" t="s">
        <v>42</v>
      </c>
      <c r="D1402" s="4" t="s">
        <v>50</v>
      </c>
      <c r="E1402" s="4" t="s">
        <v>51</v>
      </c>
      <c r="F1402" s="4" t="s">
        <v>25</v>
      </c>
      <c r="G1402" s="4" t="s">
        <v>25</v>
      </c>
      <c r="H1402" s="4" t="s">
        <v>35</v>
      </c>
      <c r="I1402" s="5">
        <v>44652</v>
      </c>
      <c r="J1402" s="6">
        <v>0</v>
      </c>
      <c r="K1402" s="60">
        <v>0</v>
      </c>
      <c r="L1402" s="6">
        <v>2214.62</v>
      </c>
      <c r="M1402" s="60">
        <v>2214.62</v>
      </c>
      <c r="N1402" s="6">
        <v>2214.62</v>
      </c>
      <c r="O1402" s="60">
        <v>2214.62</v>
      </c>
      <c r="P1402" s="6">
        <v>0</v>
      </c>
      <c r="Q1402" s="4" t="s">
        <v>26</v>
      </c>
      <c r="R1402" s="4">
        <v>0</v>
      </c>
      <c r="S1402" s="6">
        <v>0</v>
      </c>
      <c r="T1402" s="6">
        <v>44</v>
      </c>
      <c r="U1402" s="6">
        <v>67</v>
      </c>
      <c r="V1402" s="60">
        <f>IF(ISERROR(VLOOKUP($S$1402,'TAR FIN'!$A$1:$O$104,15,0)),0,VLOOKUP($S$1402,'TAR FIN'!$A$1:$O$104,15,0))</f>
        <v>0</v>
      </c>
      <c r="W1402" s="60">
        <f>IF(ISERROR(VLOOKUP($T$1402,'TAR FIN'!$A$1:$O$104,15,0)),0,VLOOKUP($T$1402,'TAR FIN'!$A$1:$O$104,15,0))*(1-0.06)</f>
        <v>58.815799999999996</v>
      </c>
      <c r="X1402" s="60">
        <f>IF(ISERROR(VLOOKUP($U$1402,'TAR FIN'!$A$1:$O$104,15,0)),0,VLOOKUP($U$1402,'TAR FIN'!$A$1:$O$104,15,0))*(1-0.06)</f>
        <v>228.25079999999997</v>
      </c>
      <c r="Y1402" s="60"/>
      <c r="Z1402" s="60">
        <f ca="1">('TUSD BE'!$AM$26+'TUSD BF'!$AM$26+'TUSD CVA'!$AM$26)*1*(1-0.03)</f>
        <v>75.539915902184802</v>
      </c>
      <c r="AA1402" s="60">
        <f>('TE BE'!$AB$8+'TE BF'!$AB$8+'TE CVA'!$AB$8)*1*(1-0.03)</f>
        <v>224.80969662802207</v>
      </c>
      <c r="AB1402" s="6">
        <f>$K$1402*$V$1402</f>
        <v>0</v>
      </c>
      <c r="AC1402" s="6">
        <f>$M$1402*$W$1402</f>
        <v>130254.64699599998</v>
      </c>
      <c r="AD1402" s="6">
        <f>$O$1402*$X$1402</f>
        <v>505488.78669599991</v>
      </c>
      <c r="AE1402" s="6">
        <f>$K$1402*$Y$1402</f>
        <v>0</v>
      </c>
      <c r="AF1402" s="6">
        <f ca="1">$M$1402*$Z$1402</f>
        <v>167292.2085552965</v>
      </c>
      <c r="AG1402" s="6">
        <f>$O$1402*$AA$1402</f>
        <v>497868.05034635018</v>
      </c>
    </row>
    <row r="1403" spans="1:33" ht="11.25" customHeight="1" x14ac:dyDescent="0.25">
      <c r="A1403" s="4" t="s">
        <v>21</v>
      </c>
      <c r="B1403" s="4" t="s">
        <v>41</v>
      </c>
      <c r="C1403" s="4" t="s">
        <v>42</v>
      </c>
      <c r="D1403" s="4" t="s">
        <v>50</v>
      </c>
      <c r="E1403" s="4" t="s">
        <v>51</v>
      </c>
      <c r="F1403" s="4" t="s">
        <v>25</v>
      </c>
      <c r="G1403" s="4" t="s">
        <v>25</v>
      </c>
      <c r="H1403" s="4" t="s">
        <v>35</v>
      </c>
      <c r="I1403" s="5">
        <v>44682</v>
      </c>
      <c r="J1403" s="6">
        <v>0</v>
      </c>
      <c r="K1403" s="60">
        <v>0</v>
      </c>
      <c r="L1403" s="6">
        <v>2133.7860000000001</v>
      </c>
      <c r="M1403" s="60">
        <v>2133.7860000000001</v>
      </c>
      <c r="N1403" s="6">
        <v>2133.7860000000001</v>
      </c>
      <c r="O1403" s="60">
        <v>2133.7860000000001</v>
      </c>
      <c r="P1403" s="6">
        <v>0</v>
      </c>
      <c r="Q1403" s="4" t="s">
        <v>26</v>
      </c>
      <c r="R1403" s="4">
        <v>0</v>
      </c>
      <c r="S1403" s="6">
        <v>0</v>
      </c>
      <c r="T1403" s="6">
        <v>44</v>
      </c>
      <c r="U1403" s="6">
        <v>67</v>
      </c>
      <c r="V1403" s="60">
        <f>IF(ISERROR(VLOOKUP($S$1403,'TAR FIN'!$A$1:$O$104,15,0)),0,VLOOKUP($S$1403,'TAR FIN'!$A$1:$O$104,15,0))</f>
        <v>0</v>
      </c>
      <c r="W1403" s="60">
        <f>IF(ISERROR(VLOOKUP($T$1403,'TAR FIN'!$A$1:$O$104,15,0)),0,VLOOKUP($T$1403,'TAR FIN'!$A$1:$O$104,15,0))*(1-0.06)</f>
        <v>58.815799999999996</v>
      </c>
      <c r="X1403" s="60">
        <f>IF(ISERROR(VLOOKUP($U$1403,'TAR FIN'!$A$1:$O$104,15,0)),0,VLOOKUP($U$1403,'TAR FIN'!$A$1:$O$104,15,0))*(1-0.06)</f>
        <v>228.25079999999997</v>
      </c>
      <c r="Y1403" s="60"/>
      <c r="Z1403" s="60">
        <f ca="1">('TUSD BE'!$AM$26+'TUSD BF'!$AM$26+'TUSD CVA'!$AM$26)*1*(1-0.03)</f>
        <v>75.539915902184802</v>
      </c>
      <c r="AA1403" s="60">
        <f>('TE BE'!$AB$8+'TE BF'!$AB$8+'TE CVA'!$AB$8)*1*(1-0.03)</f>
        <v>224.80969662802207</v>
      </c>
      <c r="AB1403" s="6">
        <f>$K$1403*$V$1403</f>
        <v>0</v>
      </c>
      <c r="AC1403" s="6">
        <f>$M$1403*$W$1403</f>
        <v>125500.3306188</v>
      </c>
      <c r="AD1403" s="6">
        <f>$O$1403*$X$1403</f>
        <v>487038.36152879993</v>
      </c>
      <c r="AE1403" s="6">
        <f>$K$1403*$Y$1403</f>
        <v>0</v>
      </c>
      <c r="AF1403" s="6">
        <f ca="1">$M$1403*$Z$1403</f>
        <v>161186.0149932593</v>
      </c>
      <c r="AG1403" s="6">
        <f>$O$1403*$AA$1403</f>
        <v>479695.78332912072</v>
      </c>
    </row>
    <row r="1404" spans="1:33" ht="11.25" customHeight="1" x14ac:dyDescent="0.25">
      <c r="A1404" s="4" t="s">
        <v>21</v>
      </c>
      <c r="B1404" s="4" t="s">
        <v>41</v>
      </c>
      <c r="C1404" s="4" t="s">
        <v>42</v>
      </c>
      <c r="D1404" s="4" t="s">
        <v>50</v>
      </c>
      <c r="E1404" s="4" t="s">
        <v>51</v>
      </c>
      <c r="F1404" s="4" t="s">
        <v>25</v>
      </c>
      <c r="G1404" s="4" t="s">
        <v>25</v>
      </c>
      <c r="H1404" s="4" t="s">
        <v>35</v>
      </c>
      <c r="I1404" s="5">
        <v>44713</v>
      </c>
      <c r="J1404" s="6">
        <v>0</v>
      </c>
      <c r="K1404" s="60">
        <v>0</v>
      </c>
      <c r="L1404" s="6">
        <v>2217.5650000000001</v>
      </c>
      <c r="M1404" s="60">
        <v>2217.5650000000001</v>
      </c>
      <c r="N1404" s="6">
        <v>2217.5650000000001</v>
      </c>
      <c r="O1404" s="60">
        <v>2217.5650000000001</v>
      </c>
      <c r="P1404" s="6">
        <v>0</v>
      </c>
      <c r="Q1404" s="4" t="s">
        <v>26</v>
      </c>
      <c r="R1404" s="4">
        <v>0</v>
      </c>
      <c r="S1404" s="6">
        <v>0</v>
      </c>
      <c r="T1404" s="6">
        <v>44</v>
      </c>
      <c r="U1404" s="6">
        <v>67</v>
      </c>
      <c r="V1404" s="60">
        <f>IF(ISERROR(VLOOKUP($S$1404,'TAR FIN'!$A$1:$O$104,15,0)),0,VLOOKUP($S$1404,'TAR FIN'!$A$1:$O$104,15,0))</f>
        <v>0</v>
      </c>
      <c r="W1404" s="60">
        <f>IF(ISERROR(VLOOKUP($T$1404,'TAR FIN'!$A$1:$O$104,15,0)),0,VLOOKUP($T$1404,'TAR FIN'!$A$1:$O$104,15,0))*(1-0.06)</f>
        <v>58.815799999999996</v>
      </c>
      <c r="X1404" s="60">
        <f>IF(ISERROR(VLOOKUP($U$1404,'TAR FIN'!$A$1:$O$104,15,0)),0,VLOOKUP($U$1404,'TAR FIN'!$A$1:$O$104,15,0))*(1-0.06)</f>
        <v>228.25079999999997</v>
      </c>
      <c r="Y1404" s="60"/>
      <c r="Z1404" s="60">
        <f ca="1">('TUSD BE'!$AM$26+'TUSD BF'!$AM$26+'TUSD CVA'!$AM$26)*1*(1-0.03)</f>
        <v>75.539915902184802</v>
      </c>
      <c r="AA1404" s="60">
        <f>('TE BE'!$AB$8+'TE BF'!$AB$8+'TE CVA'!$AB$8)*1*(1-0.03)</f>
        <v>224.80969662802207</v>
      </c>
      <c r="AB1404" s="6">
        <f>$K$1404*$V$1404</f>
        <v>0</v>
      </c>
      <c r="AC1404" s="6">
        <f>$M$1404*$W$1404</f>
        <v>130427.85952699999</v>
      </c>
      <c r="AD1404" s="6">
        <f>$O$1404*$X$1404</f>
        <v>506160.98530199996</v>
      </c>
      <c r="AE1404" s="6">
        <f>$K$1404*$Y$1404</f>
        <v>0</v>
      </c>
      <c r="AF1404" s="6">
        <f ca="1">$M$1404*$Z$1404</f>
        <v>167514.67360762844</v>
      </c>
      <c r="AG1404" s="6">
        <f>$O$1404*$AA$1404</f>
        <v>498530.11490291974</v>
      </c>
    </row>
    <row r="1405" spans="1:33" ht="11.25" customHeight="1" x14ac:dyDescent="0.25">
      <c r="A1405" s="4" t="s">
        <v>57</v>
      </c>
      <c r="B1405" s="4" t="s">
        <v>41</v>
      </c>
      <c r="C1405" s="4" t="s">
        <v>42</v>
      </c>
      <c r="D1405" s="4" t="s">
        <v>50</v>
      </c>
      <c r="E1405" s="4" t="s">
        <v>51</v>
      </c>
      <c r="F1405" s="4" t="s">
        <v>25</v>
      </c>
      <c r="G1405" s="4" t="s">
        <v>25</v>
      </c>
      <c r="H1405" s="4" t="s">
        <v>35</v>
      </c>
      <c r="I1405" s="5">
        <v>44743</v>
      </c>
      <c r="J1405" s="6">
        <v>0</v>
      </c>
      <c r="K1405" s="60">
        <v>0</v>
      </c>
      <c r="L1405" s="6">
        <v>2217.5650000000001</v>
      </c>
      <c r="M1405" s="60">
        <v>2217.5650000000001</v>
      </c>
      <c r="N1405" s="6">
        <v>2217.5650000000001</v>
      </c>
      <c r="O1405" s="60">
        <v>2217.5650000000001</v>
      </c>
      <c r="P1405" s="6">
        <v>0</v>
      </c>
      <c r="Q1405" s="4" t="s">
        <v>26</v>
      </c>
      <c r="R1405" s="4">
        <v>0</v>
      </c>
      <c r="S1405" s="6">
        <v>0</v>
      </c>
      <c r="T1405" s="6">
        <v>44</v>
      </c>
      <c r="U1405" s="6">
        <v>67</v>
      </c>
      <c r="V1405" s="60">
        <f>IF(ISERROR(VLOOKUP($S$1405,'TAR FIN'!$A$1:$O$104,15,0)),0,VLOOKUP($S$1405,'TAR FIN'!$A$1:$O$104,15,0))</f>
        <v>0</v>
      </c>
      <c r="W1405" s="60">
        <f>IF(ISERROR(VLOOKUP($T$1405,'TAR FIN'!$A$1:$O$104,15,0)),0,VLOOKUP($T$1405,'TAR FIN'!$A$1:$O$104,15,0))*(1-0.06)</f>
        <v>58.815799999999996</v>
      </c>
      <c r="X1405" s="60">
        <f>IF(ISERROR(VLOOKUP($U$1405,'TAR FIN'!$A$1:$O$104,15,0)),0,VLOOKUP($U$1405,'TAR FIN'!$A$1:$O$104,15,0))*(1-0.06)</f>
        <v>228.25079999999997</v>
      </c>
      <c r="Y1405" s="60"/>
      <c r="Z1405" s="60">
        <f ca="1">('TUSD BE'!$AM$26+'TUSD BF'!$AM$26+'TUSD CVA'!$AM$26)*1*(1-0.03)</f>
        <v>75.539915902184802</v>
      </c>
      <c r="AA1405" s="60">
        <f>('TE BE'!$AB$8+'TE BF'!$AB$8+'TE CVA'!$AB$8)*1*(1-0.03)</f>
        <v>224.80969662802207</v>
      </c>
      <c r="AB1405" s="6">
        <f>$K$1405*$V$1405</f>
        <v>0</v>
      </c>
      <c r="AC1405" s="6">
        <f>$M$1405*$W$1405</f>
        <v>130427.85952699999</v>
      </c>
      <c r="AD1405" s="6">
        <f>$O$1405*$X$1405</f>
        <v>506160.98530199996</v>
      </c>
      <c r="AE1405" s="6">
        <f>$K$1405*$Y$1405</f>
        <v>0</v>
      </c>
      <c r="AF1405" s="6">
        <f ca="1">$M$1405*$Z$1405</f>
        <v>167514.67360762844</v>
      </c>
      <c r="AG1405" s="6">
        <f>$O$1405*$AA$1405</f>
        <v>498530.11490291974</v>
      </c>
    </row>
    <row r="1406" spans="1:33" ht="11.25" customHeight="1" x14ac:dyDescent="0.25">
      <c r="A1406" s="4" t="s">
        <v>21</v>
      </c>
      <c r="B1406" s="4" t="s">
        <v>41</v>
      </c>
      <c r="C1406" s="4" t="s">
        <v>42</v>
      </c>
      <c r="D1406" s="4" t="s">
        <v>50</v>
      </c>
      <c r="E1406" s="4" t="s">
        <v>51</v>
      </c>
      <c r="F1406" s="4" t="s">
        <v>25</v>
      </c>
      <c r="G1406" s="4" t="s">
        <v>25</v>
      </c>
      <c r="H1406" s="4" t="s">
        <v>25</v>
      </c>
      <c r="I1406" s="5">
        <v>44409</v>
      </c>
      <c r="J1406" s="6">
        <v>9684</v>
      </c>
      <c r="K1406" s="61">
        <v>9684</v>
      </c>
      <c r="L1406" s="6">
        <v>0</v>
      </c>
      <c r="M1406" s="60">
        <v>0</v>
      </c>
      <c r="N1406" s="6">
        <v>0</v>
      </c>
      <c r="O1406" s="60">
        <v>0</v>
      </c>
      <c r="P1406" s="6">
        <v>91</v>
      </c>
      <c r="Q1406" s="4" t="s">
        <v>26</v>
      </c>
      <c r="R1406" s="4">
        <v>0</v>
      </c>
      <c r="S1406" s="6">
        <v>40</v>
      </c>
      <c r="T1406" s="6">
        <v>0</v>
      </c>
      <c r="U1406" s="6">
        <v>0</v>
      </c>
      <c r="V1406" s="60">
        <f>IF(ISERROR(VLOOKUP($S$1406,'TAR FIN'!$A$1:$O$104,15,0)),0,VLOOKUP($S$1406,'TAR FIN'!$A$1:$O$104,15,0))*(1-0.06)</f>
        <v>24.646799999999999</v>
      </c>
      <c r="W1406" s="60">
        <f>IF(ISERROR(VLOOKUP($T$1406,'TAR FIN'!$A$1:$O$104,15,0)),0,VLOOKUP($T$1406,'TAR FIN'!$A$1:$O$104,15,0))</f>
        <v>0</v>
      </c>
      <c r="X1406" s="60">
        <f>IF(ISERROR(VLOOKUP($U$1406,'TAR FIN'!$A$1:$O$104,15,0)),0,VLOOKUP($U$1406,'TAR FIN'!$A$1:$O$104,15,0))</f>
        <v>0</v>
      </c>
      <c r="Y1406" s="60">
        <f ca="1">('TUSD BE'!$AM$24+'TUSD BF'!$AM$24+'TUSD CVA'!$AM$24)*1*(1-0.03)</f>
        <v>25.49175935061109</v>
      </c>
      <c r="Z1406" s="60"/>
      <c r="AA1406" s="60"/>
      <c r="AB1406" s="6">
        <f>$K$1406*$V$1406</f>
        <v>238679.61119999998</v>
      </c>
      <c r="AC1406" s="6">
        <f>$M$1406*$W$1406</f>
        <v>0</v>
      </c>
      <c r="AD1406" s="6">
        <f>$O$1406*$X$1406</f>
        <v>0</v>
      </c>
      <c r="AE1406" s="6">
        <f ca="1">$K$1406*$Y$1406</f>
        <v>246862.1975513178</v>
      </c>
      <c r="AF1406" s="6">
        <f>$M$1406*$Z$1406</f>
        <v>0</v>
      </c>
      <c r="AG1406" s="6">
        <f>$O$1406*$AA$1406</f>
        <v>0</v>
      </c>
    </row>
    <row r="1407" spans="1:33" ht="11.25" customHeight="1" x14ac:dyDescent="0.25">
      <c r="A1407" s="4" t="s">
        <v>21</v>
      </c>
      <c r="B1407" s="4" t="s">
        <v>41</v>
      </c>
      <c r="C1407" s="4" t="s">
        <v>42</v>
      </c>
      <c r="D1407" s="4" t="s">
        <v>50</v>
      </c>
      <c r="E1407" s="4" t="s">
        <v>51</v>
      </c>
      <c r="F1407" s="4" t="s">
        <v>25</v>
      </c>
      <c r="G1407" s="4" t="s">
        <v>25</v>
      </c>
      <c r="H1407" s="4" t="s">
        <v>25</v>
      </c>
      <c r="I1407" s="5">
        <v>44440</v>
      </c>
      <c r="J1407" s="6">
        <v>9478</v>
      </c>
      <c r="K1407" s="61">
        <v>9478</v>
      </c>
      <c r="L1407" s="6">
        <v>0</v>
      </c>
      <c r="M1407" s="60">
        <v>0</v>
      </c>
      <c r="N1407" s="6">
        <v>0</v>
      </c>
      <c r="O1407" s="60">
        <v>0</v>
      </c>
      <c r="P1407" s="6">
        <v>91</v>
      </c>
      <c r="Q1407" s="4" t="s">
        <v>26</v>
      </c>
      <c r="R1407" s="4">
        <v>0</v>
      </c>
      <c r="S1407" s="6">
        <v>40</v>
      </c>
      <c r="T1407" s="6">
        <v>0</v>
      </c>
      <c r="U1407" s="6">
        <v>0</v>
      </c>
      <c r="V1407" s="60">
        <f>IF(ISERROR(VLOOKUP($S$1407,'TAR FIN'!$A$1:$O$104,15,0)),0,VLOOKUP($S$1407,'TAR FIN'!$A$1:$O$104,15,0))*(1-0.06)</f>
        <v>24.646799999999999</v>
      </c>
      <c r="W1407" s="60">
        <f>IF(ISERROR(VLOOKUP($T$1407,'TAR FIN'!$A$1:$O$104,15,0)),0,VLOOKUP($T$1407,'TAR FIN'!$A$1:$O$104,15,0))</f>
        <v>0</v>
      </c>
      <c r="X1407" s="60">
        <f>IF(ISERROR(VLOOKUP($U$1407,'TAR FIN'!$A$1:$O$104,15,0)),0,VLOOKUP($U$1407,'TAR FIN'!$A$1:$O$104,15,0))</f>
        <v>0</v>
      </c>
      <c r="Y1407" s="60">
        <f ca="1">('TUSD BE'!$AM$24+'TUSD BF'!$AM$24+'TUSD CVA'!$AM$24)*1*(1-0.03)</f>
        <v>25.49175935061109</v>
      </c>
      <c r="Z1407" s="60"/>
      <c r="AA1407" s="60"/>
      <c r="AB1407" s="6">
        <f>$K$1407*$V$1407</f>
        <v>233602.37039999999</v>
      </c>
      <c r="AC1407" s="6">
        <f>$M$1407*$W$1407</f>
        <v>0</v>
      </c>
      <c r="AD1407" s="6">
        <f>$O$1407*$X$1407</f>
        <v>0</v>
      </c>
      <c r="AE1407" s="6">
        <f ca="1">$K$1407*$Y$1407</f>
        <v>241610.89512509192</v>
      </c>
      <c r="AF1407" s="6">
        <f>$M$1407*$Z$1407</f>
        <v>0</v>
      </c>
      <c r="AG1407" s="6">
        <f>$O$1407*$AA$1407</f>
        <v>0</v>
      </c>
    </row>
    <row r="1408" spans="1:33" ht="11.25" customHeight="1" x14ac:dyDescent="0.25">
      <c r="A1408" s="4" t="s">
        <v>21</v>
      </c>
      <c r="B1408" s="4" t="s">
        <v>41</v>
      </c>
      <c r="C1408" s="4" t="s">
        <v>42</v>
      </c>
      <c r="D1408" s="4" t="s">
        <v>50</v>
      </c>
      <c r="E1408" s="4" t="s">
        <v>51</v>
      </c>
      <c r="F1408" s="4" t="s">
        <v>25</v>
      </c>
      <c r="G1408" s="4" t="s">
        <v>25</v>
      </c>
      <c r="H1408" s="4" t="s">
        <v>25</v>
      </c>
      <c r="I1408" s="5">
        <v>44470</v>
      </c>
      <c r="J1408" s="6">
        <v>9454</v>
      </c>
      <c r="K1408" s="61">
        <v>9454</v>
      </c>
      <c r="L1408" s="6">
        <v>0</v>
      </c>
      <c r="M1408" s="60">
        <v>0</v>
      </c>
      <c r="N1408" s="6">
        <v>0</v>
      </c>
      <c r="O1408" s="60">
        <v>0</v>
      </c>
      <c r="P1408" s="6">
        <v>90</v>
      </c>
      <c r="Q1408" s="4" t="s">
        <v>26</v>
      </c>
      <c r="R1408" s="4">
        <v>0</v>
      </c>
      <c r="S1408" s="6">
        <v>40</v>
      </c>
      <c r="T1408" s="6">
        <v>0</v>
      </c>
      <c r="U1408" s="6">
        <v>0</v>
      </c>
      <c r="V1408" s="60">
        <f>IF(ISERROR(VLOOKUP($S$1408,'TAR FIN'!$A$1:$O$104,15,0)),0,VLOOKUP($S$1408,'TAR FIN'!$A$1:$O$104,15,0))*(1-0.06)</f>
        <v>24.646799999999999</v>
      </c>
      <c r="W1408" s="60">
        <f>IF(ISERROR(VLOOKUP($T$1408,'TAR FIN'!$A$1:$O$104,15,0)),0,VLOOKUP($T$1408,'TAR FIN'!$A$1:$O$104,15,0))</f>
        <v>0</v>
      </c>
      <c r="X1408" s="60">
        <f>IF(ISERROR(VLOOKUP($U$1408,'TAR FIN'!$A$1:$O$104,15,0)),0,VLOOKUP($U$1408,'TAR FIN'!$A$1:$O$104,15,0))</f>
        <v>0</v>
      </c>
      <c r="Y1408" s="60">
        <f ca="1">('TUSD BE'!$AM$24+'TUSD BF'!$AM$24+'TUSD CVA'!$AM$24)*1*(1-0.03)</f>
        <v>25.49175935061109</v>
      </c>
      <c r="Z1408" s="60"/>
      <c r="AA1408" s="60"/>
      <c r="AB1408" s="6">
        <f>$K$1408*$V$1408</f>
        <v>233010.84719999999</v>
      </c>
      <c r="AC1408" s="6">
        <f>$M$1408*$W$1408</f>
        <v>0</v>
      </c>
      <c r="AD1408" s="6">
        <f>$O$1408*$X$1408</f>
        <v>0</v>
      </c>
      <c r="AE1408" s="6">
        <f ca="1">$K$1408*$Y$1408</f>
        <v>240999.09290067723</v>
      </c>
      <c r="AF1408" s="6">
        <f>$M$1408*$Z$1408</f>
        <v>0</v>
      </c>
      <c r="AG1408" s="6">
        <f>$O$1408*$AA$1408</f>
        <v>0</v>
      </c>
    </row>
    <row r="1409" spans="1:33" ht="11.25" customHeight="1" x14ac:dyDescent="0.25">
      <c r="A1409" s="4" t="s">
        <v>21</v>
      </c>
      <c r="B1409" s="4" t="s">
        <v>41</v>
      </c>
      <c r="C1409" s="4" t="s">
        <v>42</v>
      </c>
      <c r="D1409" s="4" t="s">
        <v>50</v>
      </c>
      <c r="E1409" s="4" t="s">
        <v>51</v>
      </c>
      <c r="F1409" s="4" t="s">
        <v>25</v>
      </c>
      <c r="G1409" s="4" t="s">
        <v>25</v>
      </c>
      <c r="H1409" s="4" t="s">
        <v>25</v>
      </c>
      <c r="I1409" s="5">
        <v>44501</v>
      </c>
      <c r="J1409" s="6">
        <v>9444</v>
      </c>
      <c r="K1409" s="61">
        <v>9444</v>
      </c>
      <c r="L1409" s="6">
        <v>0</v>
      </c>
      <c r="M1409" s="60">
        <v>0</v>
      </c>
      <c r="N1409" s="6">
        <v>0</v>
      </c>
      <c r="O1409" s="60">
        <v>0</v>
      </c>
      <c r="P1409" s="6">
        <v>90</v>
      </c>
      <c r="Q1409" s="4" t="s">
        <v>26</v>
      </c>
      <c r="R1409" s="4">
        <v>0</v>
      </c>
      <c r="S1409" s="6">
        <v>40</v>
      </c>
      <c r="T1409" s="6">
        <v>0</v>
      </c>
      <c r="U1409" s="6">
        <v>0</v>
      </c>
      <c r="V1409" s="60">
        <f>IF(ISERROR(VLOOKUP($S$1409,'TAR FIN'!$A$1:$O$104,15,0)),0,VLOOKUP($S$1409,'TAR FIN'!$A$1:$O$104,15,0))*(1-0.06)</f>
        <v>24.646799999999999</v>
      </c>
      <c r="W1409" s="60">
        <f>IF(ISERROR(VLOOKUP($T$1409,'TAR FIN'!$A$1:$O$104,15,0)),0,VLOOKUP($T$1409,'TAR FIN'!$A$1:$O$104,15,0))</f>
        <v>0</v>
      </c>
      <c r="X1409" s="60">
        <f>IF(ISERROR(VLOOKUP($U$1409,'TAR FIN'!$A$1:$O$104,15,0)),0,VLOOKUP($U$1409,'TAR FIN'!$A$1:$O$104,15,0))</f>
        <v>0</v>
      </c>
      <c r="Y1409" s="60">
        <f ca="1">('TUSD BE'!$AM$24+'TUSD BF'!$AM$24+'TUSD CVA'!$AM$24)*1*(1-0.03)</f>
        <v>25.49175935061109</v>
      </c>
      <c r="Z1409" s="60"/>
      <c r="AA1409" s="60"/>
      <c r="AB1409" s="6">
        <f>$K$1409*$V$1409</f>
        <v>232764.3792</v>
      </c>
      <c r="AC1409" s="6">
        <f>$M$1409*$W$1409</f>
        <v>0</v>
      </c>
      <c r="AD1409" s="6">
        <f>$O$1409*$X$1409</f>
        <v>0</v>
      </c>
      <c r="AE1409" s="6">
        <f ca="1">$K$1409*$Y$1409</f>
        <v>240744.17530717113</v>
      </c>
      <c r="AF1409" s="6">
        <f>$M$1409*$Z$1409</f>
        <v>0</v>
      </c>
      <c r="AG1409" s="6">
        <f>$O$1409*$AA$1409</f>
        <v>0</v>
      </c>
    </row>
    <row r="1410" spans="1:33" ht="11.25" customHeight="1" x14ac:dyDescent="0.25">
      <c r="A1410" s="4" t="s">
        <v>21</v>
      </c>
      <c r="B1410" s="4" t="s">
        <v>41</v>
      </c>
      <c r="C1410" s="4" t="s">
        <v>42</v>
      </c>
      <c r="D1410" s="4" t="s">
        <v>50</v>
      </c>
      <c r="E1410" s="4" t="s">
        <v>51</v>
      </c>
      <c r="F1410" s="4" t="s">
        <v>25</v>
      </c>
      <c r="G1410" s="4" t="s">
        <v>25</v>
      </c>
      <c r="H1410" s="4" t="s">
        <v>25</v>
      </c>
      <c r="I1410" s="5">
        <v>44531</v>
      </c>
      <c r="J1410" s="6">
        <v>9479</v>
      </c>
      <c r="K1410" s="61">
        <v>9479</v>
      </c>
      <c r="L1410" s="6">
        <v>0</v>
      </c>
      <c r="M1410" s="60">
        <v>0</v>
      </c>
      <c r="N1410" s="6">
        <v>0</v>
      </c>
      <c r="O1410" s="60">
        <v>0</v>
      </c>
      <c r="P1410" s="6">
        <v>90</v>
      </c>
      <c r="Q1410" s="4" t="s">
        <v>26</v>
      </c>
      <c r="R1410" s="4">
        <v>0</v>
      </c>
      <c r="S1410" s="6">
        <v>40</v>
      </c>
      <c r="T1410" s="6">
        <v>0</v>
      </c>
      <c r="U1410" s="6">
        <v>0</v>
      </c>
      <c r="V1410" s="60">
        <f>IF(ISERROR(VLOOKUP($S$1410,'TAR FIN'!$A$1:$O$104,15,0)),0,VLOOKUP($S$1410,'TAR FIN'!$A$1:$O$104,15,0))*(1-0.06)</f>
        <v>24.646799999999999</v>
      </c>
      <c r="W1410" s="60">
        <f>IF(ISERROR(VLOOKUP($T$1410,'TAR FIN'!$A$1:$O$104,15,0)),0,VLOOKUP($T$1410,'TAR FIN'!$A$1:$O$104,15,0))</f>
        <v>0</v>
      </c>
      <c r="X1410" s="60">
        <f>IF(ISERROR(VLOOKUP($U$1410,'TAR FIN'!$A$1:$O$104,15,0)),0,VLOOKUP($U$1410,'TAR FIN'!$A$1:$O$104,15,0))</f>
        <v>0</v>
      </c>
      <c r="Y1410" s="60">
        <f ca="1">('TUSD BE'!$AM$24+'TUSD BF'!$AM$24+'TUSD CVA'!$AM$24)*1*(1-0.03)</f>
        <v>25.49175935061109</v>
      </c>
      <c r="Z1410" s="60"/>
      <c r="AA1410" s="60"/>
      <c r="AB1410" s="6">
        <f>$K$1410*$V$1410</f>
        <v>233627.0172</v>
      </c>
      <c r="AC1410" s="6">
        <f>$M$1410*$W$1410</f>
        <v>0</v>
      </c>
      <c r="AD1410" s="6">
        <f>$O$1410*$X$1410</f>
        <v>0</v>
      </c>
      <c r="AE1410" s="6">
        <f ca="1">$K$1410*$Y$1410</f>
        <v>241636.38688444253</v>
      </c>
      <c r="AF1410" s="6">
        <f>$M$1410*$Z$1410</f>
        <v>0</v>
      </c>
      <c r="AG1410" s="6">
        <f>$O$1410*$AA$1410</f>
        <v>0</v>
      </c>
    </row>
    <row r="1411" spans="1:33" ht="11.25" customHeight="1" x14ac:dyDescent="0.25">
      <c r="A1411" s="4" t="s">
        <v>21</v>
      </c>
      <c r="B1411" s="4" t="s">
        <v>41</v>
      </c>
      <c r="C1411" s="4" t="s">
        <v>42</v>
      </c>
      <c r="D1411" s="4" t="s">
        <v>50</v>
      </c>
      <c r="E1411" s="4" t="s">
        <v>51</v>
      </c>
      <c r="F1411" s="4" t="s">
        <v>25</v>
      </c>
      <c r="G1411" s="4" t="s">
        <v>25</v>
      </c>
      <c r="H1411" s="4" t="s">
        <v>25</v>
      </c>
      <c r="I1411" s="5">
        <v>44562</v>
      </c>
      <c r="J1411" s="6">
        <v>9549</v>
      </c>
      <c r="K1411" s="61">
        <v>9549</v>
      </c>
      <c r="L1411" s="6">
        <v>0</v>
      </c>
      <c r="M1411" s="60">
        <v>0</v>
      </c>
      <c r="N1411" s="6">
        <v>0</v>
      </c>
      <c r="O1411" s="60">
        <v>0</v>
      </c>
      <c r="P1411" s="6">
        <v>90</v>
      </c>
      <c r="Q1411" s="4" t="s">
        <v>26</v>
      </c>
      <c r="R1411" s="4">
        <v>0</v>
      </c>
      <c r="S1411" s="6">
        <v>40</v>
      </c>
      <c r="T1411" s="6">
        <v>0</v>
      </c>
      <c r="U1411" s="6">
        <v>0</v>
      </c>
      <c r="V1411" s="60">
        <f>IF(ISERROR(VLOOKUP($S$1411,'TAR FIN'!$A$1:$O$104,15,0)),0,VLOOKUP($S$1411,'TAR FIN'!$A$1:$O$104,15,0))*(1-0.06)</f>
        <v>24.646799999999999</v>
      </c>
      <c r="W1411" s="60">
        <f>IF(ISERROR(VLOOKUP($T$1411,'TAR FIN'!$A$1:$O$104,15,0)),0,VLOOKUP($T$1411,'TAR FIN'!$A$1:$O$104,15,0))</f>
        <v>0</v>
      </c>
      <c r="X1411" s="60">
        <f>IF(ISERROR(VLOOKUP($U$1411,'TAR FIN'!$A$1:$O$104,15,0)),0,VLOOKUP($U$1411,'TAR FIN'!$A$1:$O$104,15,0))</f>
        <v>0</v>
      </c>
      <c r="Y1411" s="60">
        <f ca="1">('TUSD BE'!$AM$24+'TUSD BF'!$AM$24+'TUSD CVA'!$AM$24)*1*(1-0.03)</f>
        <v>25.49175935061109</v>
      </c>
      <c r="Z1411" s="60"/>
      <c r="AA1411" s="60"/>
      <c r="AB1411" s="6">
        <f>$K$1411*$V$1411</f>
        <v>235352.29319999999</v>
      </c>
      <c r="AC1411" s="6">
        <f>$M$1411*$W$1411</f>
        <v>0</v>
      </c>
      <c r="AD1411" s="6">
        <f>$O$1411*$X$1411</f>
        <v>0</v>
      </c>
      <c r="AE1411" s="6">
        <f ca="1">$K$1411*$Y$1411</f>
        <v>243420.81003898531</v>
      </c>
      <c r="AF1411" s="6">
        <f>$M$1411*$Z$1411</f>
        <v>0</v>
      </c>
      <c r="AG1411" s="6">
        <f>$O$1411*$AA$1411</f>
        <v>0</v>
      </c>
    </row>
    <row r="1412" spans="1:33" ht="11.25" customHeight="1" x14ac:dyDescent="0.25">
      <c r="A1412" s="4" t="s">
        <v>21</v>
      </c>
      <c r="B1412" s="4" t="s">
        <v>41</v>
      </c>
      <c r="C1412" s="4" t="s">
        <v>42</v>
      </c>
      <c r="D1412" s="4" t="s">
        <v>50</v>
      </c>
      <c r="E1412" s="4" t="s">
        <v>51</v>
      </c>
      <c r="F1412" s="4" t="s">
        <v>25</v>
      </c>
      <c r="G1412" s="4" t="s">
        <v>25</v>
      </c>
      <c r="H1412" s="4" t="s">
        <v>25</v>
      </c>
      <c r="I1412" s="5">
        <v>44593</v>
      </c>
      <c r="J1412" s="6">
        <v>9470</v>
      </c>
      <c r="K1412" s="61">
        <v>9470</v>
      </c>
      <c r="L1412" s="6">
        <v>0</v>
      </c>
      <c r="M1412" s="60">
        <v>0</v>
      </c>
      <c r="N1412" s="6">
        <v>0</v>
      </c>
      <c r="O1412" s="60">
        <v>0</v>
      </c>
      <c r="P1412" s="6">
        <v>92</v>
      </c>
      <c r="Q1412" s="4" t="s">
        <v>26</v>
      </c>
      <c r="R1412" s="4">
        <v>0</v>
      </c>
      <c r="S1412" s="6">
        <v>40</v>
      </c>
      <c r="T1412" s="6">
        <v>0</v>
      </c>
      <c r="U1412" s="6">
        <v>0</v>
      </c>
      <c r="V1412" s="60">
        <f>IF(ISERROR(VLOOKUP($S$1412,'TAR FIN'!$A$1:$O$104,15,0)),0,VLOOKUP($S$1412,'TAR FIN'!$A$1:$O$104,15,0))*(1-0.06)</f>
        <v>24.646799999999999</v>
      </c>
      <c r="W1412" s="60">
        <f>IF(ISERROR(VLOOKUP($T$1412,'TAR FIN'!$A$1:$O$104,15,0)),0,VLOOKUP($T$1412,'TAR FIN'!$A$1:$O$104,15,0))</f>
        <v>0</v>
      </c>
      <c r="X1412" s="60">
        <f>IF(ISERROR(VLOOKUP($U$1412,'TAR FIN'!$A$1:$O$104,15,0)),0,VLOOKUP($U$1412,'TAR FIN'!$A$1:$O$104,15,0))</f>
        <v>0</v>
      </c>
      <c r="Y1412" s="60">
        <f ca="1">('TUSD BE'!$AM$24+'TUSD BF'!$AM$24+'TUSD CVA'!$AM$24)*1*(1-0.03)</f>
        <v>25.49175935061109</v>
      </c>
      <c r="Z1412" s="60"/>
      <c r="AA1412" s="60"/>
      <c r="AB1412" s="6">
        <f>$K$1412*$V$1412</f>
        <v>233405.196</v>
      </c>
      <c r="AC1412" s="6">
        <f>$M$1412*$W$1412</f>
        <v>0</v>
      </c>
      <c r="AD1412" s="6">
        <f>$O$1412*$X$1412</f>
        <v>0</v>
      </c>
      <c r="AE1412" s="6">
        <f ca="1">$K$1412*$Y$1412</f>
        <v>241406.96105028703</v>
      </c>
      <c r="AF1412" s="6">
        <f>$M$1412*$Z$1412</f>
        <v>0</v>
      </c>
      <c r="AG1412" s="6">
        <f>$O$1412*$AA$1412</f>
        <v>0</v>
      </c>
    </row>
    <row r="1413" spans="1:33" ht="11.25" customHeight="1" x14ac:dyDescent="0.25">
      <c r="A1413" s="4" t="s">
        <v>21</v>
      </c>
      <c r="B1413" s="4" t="s">
        <v>41</v>
      </c>
      <c r="C1413" s="4" t="s">
        <v>42</v>
      </c>
      <c r="D1413" s="4" t="s">
        <v>50</v>
      </c>
      <c r="E1413" s="4" t="s">
        <v>51</v>
      </c>
      <c r="F1413" s="4" t="s">
        <v>25</v>
      </c>
      <c r="G1413" s="4" t="s">
        <v>25</v>
      </c>
      <c r="H1413" s="4" t="s">
        <v>25</v>
      </c>
      <c r="I1413" s="5">
        <v>44621</v>
      </c>
      <c r="J1413" s="6">
        <v>9467</v>
      </c>
      <c r="K1413" s="61">
        <v>9467</v>
      </c>
      <c r="L1413" s="6">
        <v>0</v>
      </c>
      <c r="M1413" s="60">
        <v>0</v>
      </c>
      <c r="N1413" s="6">
        <v>0</v>
      </c>
      <c r="O1413" s="60">
        <v>0</v>
      </c>
      <c r="P1413" s="6">
        <v>90</v>
      </c>
      <c r="Q1413" s="4" t="s">
        <v>26</v>
      </c>
      <c r="R1413" s="4">
        <v>0</v>
      </c>
      <c r="S1413" s="6">
        <v>40</v>
      </c>
      <c r="T1413" s="6">
        <v>0</v>
      </c>
      <c r="U1413" s="6">
        <v>0</v>
      </c>
      <c r="V1413" s="60">
        <f>IF(ISERROR(VLOOKUP($S$1413,'TAR FIN'!$A$1:$O$104,15,0)),0,VLOOKUP($S$1413,'TAR FIN'!$A$1:$O$104,15,0))*(1-0.06)</f>
        <v>24.646799999999999</v>
      </c>
      <c r="W1413" s="60">
        <f>IF(ISERROR(VLOOKUP($T$1413,'TAR FIN'!$A$1:$O$104,15,0)),0,VLOOKUP($T$1413,'TAR FIN'!$A$1:$O$104,15,0))</f>
        <v>0</v>
      </c>
      <c r="X1413" s="60">
        <f>IF(ISERROR(VLOOKUP($U$1413,'TAR FIN'!$A$1:$O$104,15,0)),0,VLOOKUP($U$1413,'TAR FIN'!$A$1:$O$104,15,0))</f>
        <v>0</v>
      </c>
      <c r="Y1413" s="60">
        <f ca="1">('TUSD BE'!$AM$24+'TUSD BF'!$AM$24+'TUSD CVA'!$AM$24)*1*(1-0.03)</f>
        <v>25.49175935061109</v>
      </c>
      <c r="Z1413" s="60"/>
      <c r="AA1413" s="60"/>
      <c r="AB1413" s="6">
        <f>$K$1413*$V$1413</f>
        <v>233331.2556</v>
      </c>
      <c r="AC1413" s="6">
        <f>$M$1413*$W$1413</f>
        <v>0</v>
      </c>
      <c r="AD1413" s="6">
        <f>$O$1413*$X$1413</f>
        <v>0</v>
      </c>
      <c r="AE1413" s="6">
        <f ca="1">$K$1413*$Y$1413</f>
        <v>241330.4857722352</v>
      </c>
      <c r="AF1413" s="6">
        <f>$M$1413*$Z$1413</f>
        <v>0</v>
      </c>
      <c r="AG1413" s="6">
        <f>$O$1413*$AA$1413</f>
        <v>0</v>
      </c>
    </row>
    <row r="1414" spans="1:33" ht="11.25" customHeight="1" x14ac:dyDescent="0.25">
      <c r="A1414" s="4" t="s">
        <v>21</v>
      </c>
      <c r="B1414" s="4" t="s">
        <v>41</v>
      </c>
      <c r="C1414" s="4" t="s">
        <v>42</v>
      </c>
      <c r="D1414" s="4" t="s">
        <v>50</v>
      </c>
      <c r="E1414" s="4" t="s">
        <v>51</v>
      </c>
      <c r="F1414" s="4" t="s">
        <v>25</v>
      </c>
      <c r="G1414" s="4" t="s">
        <v>25</v>
      </c>
      <c r="H1414" s="4" t="s">
        <v>25</v>
      </c>
      <c r="I1414" s="5">
        <v>44652</v>
      </c>
      <c r="J1414" s="6">
        <v>9692</v>
      </c>
      <c r="K1414" s="61">
        <v>9692</v>
      </c>
      <c r="L1414" s="6">
        <v>0</v>
      </c>
      <c r="M1414" s="60">
        <v>0</v>
      </c>
      <c r="N1414" s="6">
        <v>0</v>
      </c>
      <c r="O1414" s="60">
        <v>0</v>
      </c>
      <c r="P1414" s="6">
        <v>91</v>
      </c>
      <c r="Q1414" s="4" t="s">
        <v>26</v>
      </c>
      <c r="R1414" s="4">
        <v>0</v>
      </c>
      <c r="S1414" s="6">
        <v>40</v>
      </c>
      <c r="T1414" s="6">
        <v>0</v>
      </c>
      <c r="U1414" s="6">
        <v>0</v>
      </c>
      <c r="V1414" s="60">
        <f>IF(ISERROR(VLOOKUP($S$1414,'TAR FIN'!$A$1:$O$104,15,0)),0,VLOOKUP($S$1414,'TAR FIN'!$A$1:$O$104,15,0))*(1-0.06)</f>
        <v>24.646799999999999</v>
      </c>
      <c r="W1414" s="60">
        <f>IF(ISERROR(VLOOKUP($T$1414,'TAR FIN'!$A$1:$O$104,15,0)),0,VLOOKUP($T$1414,'TAR FIN'!$A$1:$O$104,15,0))</f>
        <v>0</v>
      </c>
      <c r="X1414" s="60">
        <f>IF(ISERROR(VLOOKUP($U$1414,'TAR FIN'!$A$1:$O$104,15,0)),0,VLOOKUP($U$1414,'TAR FIN'!$A$1:$O$104,15,0))</f>
        <v>0</v>
      </c>
      <c r="Y1414" s="60">
        <f ca="1">('TUSD BE'!$AM$24+'TUSD BF'!$AM$24+'TUSD CVA'!$AM$24)*1*(1-0.03)</f>
        <v>25.49175935061109</v>
      </c>
      <c r="Z1414" s="60"/>
      <c r="AA1414" s="60"/>
      <c r="AB1414" s="6">
        <f>$K$1414*$V$1414</f>
        <v>238876.7856</v>
      </c>
      <c r="AC1414" s="6">
        <f>$M$1414*$W$1414</f>
        <v>0</v>
      </c>
      <c r="AD1414" s="6">
        <f>$O$1414*$X$1414</f>
        <v>0</v>
      </c>
      <c r="AE1414" s="6">
        <f ca="1">$K$1414*$Y$1414</f>
        <v>247066.13162612269</v>
      </c>
      <c r="AF1414" s="6">
        <f>$M$1414*$Z$1414</f>
        <v>0</v>
      </c>
      <c r="AG1414" s="6">
        <f>$O$1414*$AA$1414</f>
        <v>0</v>
      </c>
    </row>
    <row r="1415" spans="1:33" ht="11.25" customHeight="1" x14ac:dyDescent="0.25">
      <c r="A1415" s="4" t="s">
        <v>21</v>
      </c>
      <c r="B1415" s="4" t="s">
        <v>41</v>
      </c>
      <c r="C1415" s="4" t="s">
        <v>42</v>
      </c>
      <c r="D1415" s="4" t="s">
        <v>50</v>
      </c>
      <c r="E1415" s="4" t="s">
        <v>51</v>
      </c>
      <c r="F1415" s="4" t="s">
        <v>25</v>
      </c>
      <c r="G1415" s="4" t="s">
        <v>25</v>
      </c>
      <c r="H1415" s="4" t="s">
        <v>25</v>
      </c>
      <c r="I1415" s="5">
        <v>44682</v>
      </c>
      <c r="J1415" s="6">
        <v>9723</v>
      </c>
      <c r="K1415" s="61">
        <v>9723</v>
      </c>
      <c r="L1415" s="6">
        <v>0</v>
      </c>
      <c r="M1415" s="60">
        <v>0</v>
      </c>
      <c r="N1415" s="6">
        <v>0</v>
      </c>
      <c r="O1415" s="60">
        <v>0</v>
      </c>
      <c r="P1415" s="6">
        <v>91</v>
      </c>
      <c r="Q1415" s="4" t="s">
        <v>26</v>
      </c>
      <c r="R1415" s="4">
        <v>0</v>
      </c>
      <c r="S1415" s="6">
        <v>40</v>
      </c>
      <c r="T1415" s="6">
        <v>0</v>
      </c>
      <c r="U1415" s="6">
        <v>0</v>
      </c>
      <c r="V1415" s="60">
        <f>IF(ISERROR(VLOOKUP($S$1415,'TAR FIN'!$A$1:$O$104,15,0)),0,VLOOKUP($S$1415,'TAR FIN'!$A$1:$O$104,15,0))*(1-0.06)</f>
        <v>24.646799999999999</v>
      </c>
      <c r="W1415" s="60">
        <f>IF(ISERROR(VLOOKUP($T$1415,'TAR FIN'!$A$1:$O$104,15,0)),0,VLOOKUP($T$1415,'TAR FIN'!$A$1:$O$104,15,0))</f>
        <v>0</v>
      </c>
      <c r="X1415" s="60">
        <f>IF(ISERROR(VLOOKUP($U$1415,'TAR FIN'!$A$1:$O$104,15,0)),0,VLOOKUP($U$1415,'TAR FIN'!$A$1:$O$104,15,0))</f>
        <v>0</v>
      </c>
      <c r="Y1415" s="60">
        <f ca="1">('TUSD BE'!$AM$24+'TUSD BF'!$AM$24+'TUSD CVA'!$AM$24)*1*(1-0.03)</f>
        <v>25.49175935061109</v>
      </c>
      <c r="Z1415" s="60"/>
      <c r="AA1415" s="60"/>
      <c r="AB1415" s="6">
        <f>$K$1415*$V$1415</f>
        <v>239640.8364</v>
      </c>
      <c r="AC1415" s="6">
        <f>$M$1415*$W$1415</f>
        <v>0</v>
      </c>
      <c r="AD1415" s="6">
        <f>$O$1415*$X$1415</f>
        <v>0</v>
      </c>
      <c r="AE1415" s="6">
        <f ca="1">$K$1415*$Y$1415</f>
        <v>247856.37616599162</v>
      </c>
      <c r="AF1415" s="6">
        <f>$M$1415*$Z$1415</f>
        <v>0</v>
      </c>
      <c r="AG1415" s="6">
        <f>$O$1415*$AA$1415</f>
        <v>0</v>
      </c>
    </row>
    <row r="1416" spans="1:33" ht="11.25" customHeight="1" x14ac:dyDescent="0.25">
      <c r="A1416" s="4" t="s">
        <v>21</v>
      </c>
      <c r="B1416" s="4" t="s">
        <v>41</v>
      </c>
      <c r="C1416" s="4" t="s">
        <v>42</v>
      </c>
      <c r="D1416" s="4" t="s">
        <v>50</v>
      </c>
      <c r="E1416" s="4" t="s">
        <v>51</v>
      </c>
      <c r="F1416" s="4" t="s">
        <v>25</v>
      </c>
      <c r="G1416" s="4" t="s">
        <v>25</v>
      </c>
      <c r="H1416" s="4" t="s">
        <v>25</v>
      </c>
      <c r="I1416" s="5">
        <v>44713</v>
      </c>
      <c r="J1416" s="6">
        <v>9716</v>
      </c>
      <c r="K1416" s="61">
        <v>9716</v>
      </c>
      <c r="L1416" s="6">
        <v>0</v>
      </c>
      <c r="M1416" s="60">
        <v>0</v>
      </c>
      <c r="N1416" s="6">
        <v>0</v>
      </c>
      <c r="O1416" s="60">
        <v>0</v>
      </c>
      <c r="P1416" s="6">
        <v>91</v>
      </c>
      <c r="Q1416" s="4" t="s">
        <v>26</v>
      </c>
      <c r="R1416" s="4">
        <v>0</v>
      </c>
      <c r="S1416" s="6">
        <v>40</v>
      </c>
      <c r="T1416" s="6">
        <v>0</v>
      </c>
      <c r="U1416" s="6">
        <v>0</v>
      </c>
      <c r="V1416" s="60">
        <f>IF(ISERROR(VLOOKUP($S$1416,'TAR FIN'!$A$1:$O$104,15,0)),0,VLOOKUP($S$1416,'TAR FIN'!$A$1:$O$104,15,0))*(1-0.06)</f>
        <v>24.646799999999999</v>
      </c>
      <c r="W1416" s="60">
        <f>IF(ISERROR(VLOOKUP($T$1416,'TAR FIN'!$A$1:$O$104,15,0)),0,VLOOKUP($T$1416,'TAR FIN'!$A$1:$O$104,15,0))</f>
        <v>0</v>
      </c>
      <c r="X1416" s="60">
        <f>IF(ISERROR(VLOOKUP($U$1416,'TAR FIN'!$A$1:$O$104,15,0)),0,VLOOKUP($U$1416,'TAR FIN'!$A$1:$O$104,15,0))</f>
        <v>0</v>
      </c>
      <c r="Y1416" s="60">
        <f ca="1">('TUSD BE'!$AM$24+'TUSD BF'!$AM$24+'TUSD CVA'!$AM$24)*1*(1-0.03)</f>
        <v>25.49175935061109</v>
      </c>
      <c r="Z1416" s="60"/>
      <c r="AA1416" s="60"/>
      <c r="AB1416" s="6">
        <f>$K$1416*$V$1416</f>
        <v>239468.3088</v>
      </c>
      <c r="AC1416" s="6">
        <f>$M$1416*$W$1416</f>
        <v>0</v>
      </c>
      <c r="AD1416" s="6">
        <f>$O$1416*$X$1416</f>
        <v>0</v>
      </c>
      <c r="AE1416" s="6">
        <f ca="1">$K$1416*$Y$1416</f>
        <v>247677.93385053735</v>
      </c>
      <c r="AF1416" s="6">
        <f>$M$1416*$Z$1416</f>
        <v>0</v>
      </c>
      <c r="AG1416" s="6">
        <f>$O$1416*$AA$1416</f>
        <v>0</v>
      </c>
    </row>
    <row r="1417" spans="1:33" ht="11.25" customHeight="1" x14ac:dyDescent="0.25">
      <c r="A1417" s="4" t="s">
        <v>57</v>
      </c>
      <c r="B1417" s="4" t="s">
        <v>41</v>
      </c>
      <c r="C1417" s="4" t="s">
        <v>42</v>
      </c>
      <c r="D1417" s="4" t="s">
        <v>50</v>
      </c>
      <c r="E1417" s="4" t="s">
        <v>51</v>
      </c>
      <c r="F1417" s="4" t="s">
        <v>25</v>
      </c>
      <c r="G1417" s="4" t="s">
        <v>25</v>
      </c>
      <c r="H1417" s="4" t="s">
        <v>25</v>
      </c>
      <c r="I1417" s="5">
        <v>44743</v>
      </c>
      <c r="J1417" s="6">
        <v>9716</v>
      </c>
      <c r="K1417" s="61">
        <v>9716</v>
      </c>
      <c r="L1417" s="6">
        <v>0</v>
      </c>
      <c r="M1417" s="60">
        <v>0</v>
      </c>
      <c r="N1417" s="6">
        <v>0</v>
      </c>
      <c r="O1417" s="60">
        <v>0</v>
      </c>
      <c r="P1417" s="6">
        <v>91</v>
      </c>
      <c r="Q1417" s="4" t="s">
        <v>26</v>
      </c>
      <c r="R1417" s="4">
        <v>0</v>
      </c>
      <c r="S1417" s="6">
        <v>40</v>
      </c>
      <c r="T1417" s="6">
        <v>0</v>
      </c>
      <c r="U1417" s="6">
        <v>0</v>
      </c>
      <c r="V1417" s="60">
        <f>IF(ISERROR(VLOOKUP($S$1417,'TAR FIN'!$A$1:$O$104,15,0)),0,VLOOKUP($S$1417,'TAR FIN'!$A$1:$O$104,15,0))*(1-0.06)</f>
        <v>24.646799999999999</v>
      </c>
      <c r="W1417" s="60">
        <f>IF(ISERROR(VLOOKUP($T$1417,'TAR FIN'!$A$1:$O$104,15,0)),0,VLOOKUP($T$1417,'TAR FIN'!$A$1:$O$104,15,0))</f>
        <v>0</v>
      </c>
      <c r="X1417" s="60">
        <f>IF(ISERROR(VLOOKUP($U$1417,'TAR FIN'!$A$1:$O$104,15,0)),0,VLOOKUP($U$1417,'TAR FIN'!$A$1:$O$104,15,0))</f>
        <v>0</v>
      </c>
      <c r="Y1417" s="60">
        <f ca="1">('TUSD BE'!$AM$24+'TUSD BF'!$AM$24+'TUSD CVA'!$AM$24)*1*(1-0.03)</f>
        <v>25.49175935061109</v>
      </c>
      <c r="Z1417" s="60"/>
      <c r="AA1417" s="60"/>
      <c r="AB1417" s="6">
        <f>$K$1417*$V$1417</f>
        <v>239468.3088</v>
      </c>
      <c r="AC1417" s="6">
        <f>$M$1417*$W$1417</f>
        <v>0</v>
      </c>
      <c r="AD1417" s="6">
        <f>$O$1417*$X$1417</f>
        <v>0</v>
      </c>
      <c r="AE1417" s="6">
        <f ca="1">$K$1417*$Y$1417</f>
        <v>247677.93385053735</v>
      </c>
      <c r="AF1417" s="6">
        <f>$M$1417*$Z$1417</f>
        <v>0</v>
      </c>
      <c r="AG1417" s="6">
        <f>$O$1417*$AA$1417</f>
        <v>0</v>
      </c>
    </row>
    <row r="1418" spans="1:33" ht="11.25" customHeight="1" x14ac:dyDescent="0.25">
      <c r="A1418" s="4" t="s">
        <v>21</v>
      </c>
      <c r="B1418" s="4" t="s">
        <v>41</v>
      </c>
      <c r="C1418" s="4" t="s">
        <v>42</v>
      </c>
      <c r="D1418" s="4" t="s">
        <v>50</v>
      </c>
      <c r="E1418" s="4" t="s">
        <v>51</v>
      </c>
      <c r="F1418" s="4" t="s">
        <v>25</v>
      </c>
      <c r="G1418" s="4" t="s">
        <v>25</v>
      </c>
      <c r="H1418" s="4" t="s">
        <v>34</v>
      </c>
      <c r="I1418" s="5">
        <v>44409</v>
      </c>
      <c r="J1418" s="6">
        <v>0</v>
      </c>
      <c r="K1418" s="60">
        <v>0</v>
      </c>
      <c r="L1418" s="6">
        <v>211.697</v>
      </c>
      <c r="M1418" s="60">
        <v>211.697</v>
      </c>
      <c r="N1418" s="6">
        <v>211.697</v>
      </c>
      <c r="O1418" s="60">
        <v>211.697</v>
      </c>
      <c r="P1418" s="6">
        <v>0</v>
      </c>
      <c r="Q1418" s="4" t="s">
        <v>26</v>
      </c>
      <c r="R1418" s="4">
        <v>0</v>
      </c>
      <c r="S1418" s="6">
        <v>0</v>
      </c>
      <c r="T1418" s="6">
        <v>42</v>
      </c>
      <c r="U1418" s="6">
        <v>66</v>
      </c>
      <c r="V1418" s="60">
        <f>IF(ISERROR(VLOOKUP($S$1418,'TAR FIN'!$A$1:$O$104,15,0)),0,VLOOKUP($S$1418,'TAR FIN'!$A$1:$O$104,15,0))</f>
        <v>0</v>
      </c>
      <c r="W1418" s="60">
        <f>IF(ISERROR(VLOOKUP($T$1418,'TAR FIN'!$A$1:$O$104,15,0)),0,VLOOKUP($T$1418,'TAR FIN'!$A$1:$O$104,15,0))*(1-0.06)</f>
        <v>1250.3786</v>
      </c>
      <c r="X1418" s="60">
        <f>IF(ISERROR(VLOOKUP($U$1418,'TAR FIN'!$A$1:$O$104,15,0)),0,VLOOKUP($U$1418,'TAR FIN'!$A$1:$O$104,15,0))*(1-0.06)</f>
        <v>373.76279999999997</v>
      </c>
      <c r="Y1418" s="60"/>
      <c r="Z1418" s="60">
        <f ca="1">('TUSD BE'!$AM$25+'TUSD BF'!$AM$25+'TUSD CVA'!$AM$25)*1*(1-0.03)</f>
        <v>1305.4820114952624</v>
      </c>
      <c r="AA1418" s="60">
        <f>('TE BE'!$AB$7+'TE BF'!$AB$7+'TE CVA'!$AB$7)*1*(1-0.03)</f>
        <v>349.45248311940099</v>
      </c>
      <c r="AB1418" s="6">
        <f>$K$1418*$V$1418</f>
        <v>0</v>
      </c>
      <c r="AC1418" s="6">
        <f>$M$1418*$W$1418</f>
        <v>264701.39848420001</v>
      </c>
      <c r="AD1418" s="6">
        <f>$O$1418*$X$1418</f>
        <v>79124.4634716</v>
      </c>
      <c r="AE1418" s="6">
        <f>$K$1418*$Y$1418</f>
        <v>0</v>
      </c>
      <c r="AF1418" s="6">
        <f ca="1">$M$1418*$Z$1418</f>
        <v>276366.62538751255</v>
      </c>
      <c r="AG1418" s="6">
        <f>$O$1418*$AA$1418</f>
        <v>73978.042318927837</v>
      </c>
    </row>
    <row r="1419" spans="1:33" ht="11.25" customHeight="1" x14ac:dyDescent="0.25">
      <c r="A1419" s="4" t="s">
        <v>21</v>
      </c>
      <c r="B1419" s="4" t="s">
        <v>41</v>
      </c>
      <c r="C1419" s="4" t="s">
        <v>42</v>
      </c>
      <c r="D1419" s="4" t="s">
        <v>50</v>
      </c>
      <c r="E1419" s="4" t="s">
        <v>51</v>
      </c>
      <c r="F1419" s="4" t="s">
        <v>25</v>
      </c>
      <c r="G1419" s="4" t="s">
        <v>25</v>
      </c>
      <c r="H1419" s="4" t="s">
        <v>34</v>
      </c>
      <c r="I1419" s="5">
        <v>44440</v>
      </c>
      <c r="J1419" s="6">
        <v>0</v>
      </c>
      <c r="K1419" s="60">
        <v>0</v>
      </c>
      <c r="L1419" s="6">
        <v>195.94800000000001</v>
      </c>
      <c r="M1419" s="60">
        <v>195.94800000000001</v>
      </c>
      <c r="N1419" s="6">
        <v>195.94800000000001</v>
      </c>
      <c r="O1419" s="60">
        <v>195.94800000000001</v>
      </c>
      <c r="P1419" s="6">
        <v>0</v>
      </c>
      <c r="Q1419" s="4" t="s">
        <v>26</v>
      </c>
      <c r="R1419" s="4">
        <v>0</v>
      </c>
      <c r="S1419" s="6">
        <v>0</v>
      </c>
      <c r="T1419" s="6">
        <v>42</v>
      </c>
      <c r="U1419" s="6">
        <v>66</v>
      </c>
      <c r="V1419" s="60">
        <f>IF(ISERROR(VLOOKUP($S$1419,'TAR FIN'!$A$1:$O$104,15,0)),0,VLOOKUP($S$1419,'TAR FIN'!$A$1:$O$104,15,0))</f>
        <v>0</v>
      </c>
      <c r="W1419" s="60">
        <f>IF(ISERROR(VLOOKUP($T$1419,'TAR FIN'!$A$1:$O$104,15,0)),0,VLOOKUP($T$1419,'TAR FIN'!$A$1:$O$104,15,0))*(1-0.06)</f>
        <v>1250.3786</v>
      </c>
      <c r="X1419" s="60">
        <f>IF(ISERROR(VLOOKUP($U$1419,'TAR FIN'!$A$1:$O$104,15,0)),0,VLOOKUP($U$1419,'TAR FIN'!$A$1:$O$104,15,0))*(1-0.06)</f>
        <v>373.76279999999997</v>
      </c>
      <c r="Y1419" s="60"/>
      <c r="Z1419" s="60">
        <f ca="1">('TUSD BE'!$AM$25+'TUSD BF'!$AM$25+'TUSD CVA'!$AM$25)*1*(1-0.03)</f>
        <v>1305.4820114952624</v>
      </c>
      <c r="AA1419" s="60">
        <f>('TE BE'!$AB$7+'TE BF'!$AB$7+'TE CVA'!$AB$7)*1*(1-0.03)</f>
        <v>349.45248311940099</v>
      </c>
      <c r="AB1419" s="6">
        <f>$K$1419*$V$1419</f>
        <v>0</v>
      </c>
      <c r="AC1419" s="6">
        <f>$M$1419*$W$1419</f>
        <v>245009.18591280002</v>
      </c>
      <c r="AD1419" s="6">
        <f>$O$1419*$X$1419</f>
        <v>73238.073134399994</v>
      </c>
      <c r="AE1419" s="6">
        <f>$K$1419*$Y$1419</f>
        <v>0</v>
      </c>
      <c r="AF1419" s="6">
        <f ca="1">$M$1419*$Z$1419</f>
        <v>255806.58918847371</v>
      </c>
      <c r="AG1419" s="6">
        <f>$O$1419*$AA$1419</f>
        <v>68474.515162280382</v>
      </c>
    </row>
    <row r="1420" spans="1:33" ht="11.25" customHeight="1" x14ac:dyDescent="0.25">
      <c r="A1420" s="4" t="s">
        <v>21</v>
      </c>
      <c r="B1420" s="4" t="s">
        <v>41</v>
      </c>
      <c r="C1420" s="4" t="s">
        <v>42</v>
      </c>
      <c r="D1420" s="4" t="s">
        <v>50</v>
      </c>
      <c r="E1420" s="4" t="s">
        <v>51</v>
      </c>
      <c r="F1420" s="4" t="s">
        <v>25</v>
      </c>
      <c r="G1420" s="4" t="s">
        <v>25</v>
      </c>
      <c r="H1420" s="4" t="s">
        <v>34</v>
      </c>
      <c r="I1420" s="5">
        <v>44470</v>
      </c>
      <c r="J1420" s="6">
        <v>0</v>
      </c>
      <c r="K1420" s="60">
        <v>0</v>
      </c>
      <c r="L1420" s="6">
        <v>194.745</v>
      </c>
      <c r="M1420" s="60">
        <v>194.745</v>
      </c>
      <c r="N1420" s="6">
        <v>194.745</v>
      </c>
      <c r="O1420" s="60">
        <v>194.745</v>
      </c>
      <c r="P1420" s="6">
        <v>0</v>
      </c>
      <c r="Q1420" s="4" t="s">
        <v>26</v>
      </c>
      <c r="R1420" s="4">
        <v>0</v>
      </c>
      <c r="S1420" s="6">
        <v>0</v>
      </c>
      <c r="T1420" s="6">
        <v>42</v>
      </c>
      <c r="U1420" s="6">
        <v>66</v>
      </c>
      <c r="V1420" s="60">
        <f>IF(ISERROR(VLOOKUP($S$1420,'TAR FIN'!$A$1:$O$104,15,0)),0,VLOOKUP($S$1420,'TAR FIN'!$A$1:$O$104,15,0))</f>
        <v>0</v>
      </c>
      <c r="W1420" s="60">
        <f>IF(ISERROR(VLOOKUP($T$1420,'TAR FIN'!$A$1:$O$104,15,0)),0,VLOOKUP($T$1420,'TAR FIN'!$A$1:$O$104,15,0))*(1-0.06)</f>
        <v>1250.3786</v>
      </c>
      <c r="X1420" s="60">
        <f>IF(ISERROR(VLOOKUP($U$1420,'TAR FIN'!$A$1:$O$104,15,0)),0,VLOOKUP($U$1420,'TAR FIN'!$A$1:$O$104,15,0))*(1-0.06)</f>
        <v>373.76279999999997</v>
      </c>
      <c r="Y1420" s="60"/>
      <c r="Z1420" s="60">
        <f ca="1">('TUSD BE'!$AM$25+'TUSD BF'!$AM$25+'TUSD CVA'!$AM$25)*1*(1-0.03)</f>
        <v>1305.4820114952624</v>
      </c>
      <c r="AA1420" s="60">
        <f>('TE BE'!$AB$7+'TE BF'!$AB$7+'TE CVA'!$AB$7)*1*(1-0.03)</f>
        <v>349.45248311940099</v>
      </c>
      <c r="AB1420" s="6">
        <f>$K$1420*$V$1420</f>
        <v>0</v>
      </c>
      <c r="AC1420" s="6">
        <f>$M$1420*$W$1420</f>
        <v>243504.980457</v>
      </c>
      <c r="AD1420" s="6">
        <f>$O$1420*$X$1420</f>
        <v>72788.436485999991</v>
      </c>
      <c r="AE1420" s="6">
        <f>$K$1420*$Y$1420</f>
        <v>0</v>
      </c>
      <c r="AF1420" s="6">
        <f ca="1">$M$1420*$Z$1420</f>
        <v>254236.09432864489</v>
      </c>
      <c r="AG1420" s="6">
        <f>$O$1420*$AA$1420</f>
        <v>68054.12382508775</v>
      </c>
    </row>
    <row r="1421" spans="1:33" ht="11.25" customHeight="1" x14ac:dyDescent="0.25">
      <c r="A1421" s="4" t="s">
        <v>21</v>
      </c>
      <c r="B1421" s="4" t="s">
        <v>41</v>
      </c>
      <c r="C1421" s="4" t="s">
        <v>42</v>
      </c>
      <c r="D1421" s="4" t="s">
        <v>50</v>
      </c>
      <c r="E1421" s="4" t="s">
        <v>51</v>
      </c>
      <c r="F1421" s="4" t="s">
        <v>25</v>
      </c>
      <c r="G1421" s="4" t="s">
        <v>25</v>
      </c>
      <c r="H1421" s="4" t="s">
        <v>34</v>
      </c>
      <c r="I1421" s="5">
        <v>44501</v>
      </c>
      <c r="J1421" s="6">
        <v>0</v>
      </c>
      <c r="K1421" s="60">
        <v>0</v>
      </c>
      <c r="L1421" s="6">
        <v>201.191</v>
      </c>
      <c r="M1421" s="60">
        <v>201.191</v>
      </c>
      <c r="N1421" s="6">
        <v>201.191</v>
      </c>
      <c r="O1421" s="60">
        <v>201.191</v>
      </c>
      <c r="P1421" s="6">
        <v>0</v>
      </c>
      <c r="Q1421" s="4" t="s">
        <v>26</v>
      </c>
      <c r="R1421" s="4">
        <v>0</v>
      </c>
      <c r="S1421" s="6">
        <v>0</v>
      </c>
      <c r="T1421" s="6">
        <v>42</v>
      </c>
      <c r="U1421" s="6">
        <v>66</v>
      </c>
      <c r="V1421" s="60">
        <f>IF(ISERROR(VLOOKUP($S$1421,'TAR FIN'!$A$1:$O$104,15,0)),0,VLOOKUP($S$1421,'TAR FIN'!$A$1:$O$104,15,0))</f>
        <v>0</v>
      </c>
      <c r="W1421" s="60">
        <f>IF(ISERROR(VLOOKUP($T$1421,'TAR FIN'!$A$1:$O$104,15,0)),0,VLOOKUP($T$1421,'TAR FIN'!$A$1:$O$104,15,0))*(1-0.06)</f>
        <v>1250.3786</v>
      </c>
      <c r="X1421" s="60">
        <f>IF(ISERROR(VLOOKUP($U$1421,'TAR FIN'!$A$1:$O$104,15,0)),0,VLOOKUP($U$1421,'TAR FIN'!$A$1:$O$104,15,0))*(1-0.06)</f>
        <v>373.76279999999997</v>
      </c>
      <c r="Y1421" s="60"/>
      <c r="Z1421" s="60">
        <f ca="1">('TUSD BE'!$AM$25+'TUSD BF'!$AM$25+'TUSD CVA'!$AM$25)*1*(1-0.03)</f>
        <v>1305.4820114952624</v>
      </c>
      <c r="AA1421" s="60">
        <f>('TE BE'!$AB$7+'TE BF'!$AB$7+'TE CVA'!$AB$7)*1*(1-0.03)</f>
        <v>349.45248311940099</v>
      </c>
      <c r="AB1421" s="6">
        <f>$K$1421*$V$1421</f>
        <v>0</v>
      </c>
      <c r="AC1421" s="6">
        <f>$M$1421*$W$1421</f>
        <v>251564.92091260001</v>
      </c>
      <c r="AD1421" s="6">
        <f>$O$1421*$X$1421</f>
        <v>75197.711494799994</v>
      </c>
      <c r="AE1421" s="6">
        <f>$K$1421*$Y$1421</f>
        <v>0</v>
      </c>
      <c r="AF1421" s="6">
        <f ca="1">$M$1421*$Z$1421</f>
        <v>262651.23137474334</v>
      </c>
      <c r="AG1421" s="6">
        <f>$O$1421*$AA$1421</f>
        <v>70306.694531275411</v>
      </c>
    </row>
    <row r="1422" spans="1:33" ht="11.25" customHeight="1" x14ac:dyDescent="0.25">
      <c r="A1422" s="4" t="s">
        <v>21</v>
      </c>
      <c r="B1422" s="4" t="s">
        <v>41</v>
      </c>
      <c r="C1422" s="4" t="s">
        <v>42</v>
      </c>
      <c r="D1422" s="4" t="s">
        <v>50</v>
      </c>
      <c r="E1422" s="4" t="s">
        <v>51</v>
      </c>
      <c r="F1422" s="4" t="s">
        <v>25</v>
      </c>
      <c r="G1422" s="4" t="s">
        <v>25</v>
      </c>
      <c r="H1422" s="4" t="s">
        <v>34</v>
      </c>
      <c r="I1422" s="5">
        <v>44531</v>
      </c>
      <c r="J1422" s="6">
        <v>0</v>
      </c>
      <c r="K1422" s="60">
        <v>0</v>
      </c>
      <c r="L1422" s="6">
        <v>204.17500000000001</v>
      </c>
      <c r="M1422" s="60">
        <v>204.17500000000001</v>
      </c>
      <c r="N1422" s="6">
        <v>204.17500000000001</v>
      </c>
      <c r="O1422" s="60">
        <v>204.17500000000001</v>
      </c>
      <c r="P1422" s="6">
        <v>0</v>
      </c>
      <c r="Q1422" s="4" t="s">
        <v>26</v>
      </c>
      <c r="R1422" s="4">
        <v>0</v>
      </c>
      <c r="S1422" s="6">
        <v>0</v>
      </c>
      <c r="T1422" s="6">
        <v>42</v>
      </c>
      <c r="U1422" s="6">
        <v>66</v>
      </c>
      <c r="V1422" s="60">
        <f>IF(ISERROR(VLOOKUP($S$1422,'TAR FIN'!$A$1:$O$104,15,0)),0,VLOOKUP($S$1422,'TAR FIN'!$A$1:$O$104,15,0))</f>
        <v>0</v>
      </c>
      <c r="W1422" s="60">
        <f>IF(ISERROR(VLOOKUP($T$1422,'TAR FIN'!$A$1:$O$104,15,0)),0,VLOOKUP($T$1422,'TAR FIN'!$A$1:$O$104,15,0))*(1-0.06)</f>
        <v>1250.3786</v>
      </c>
      <c r="X1422" s="60">
        <f>IF(ISERROR(VLOOKUP($U$1422,'TAR FIN'!$A$1:$O$104,15,0)),0,VLOOKUP($U$1422,'TAR FIN'!$A$1:$O$104,15,0))*(1-0.06)</f>
        <v>373.76279999999997</v>
      </c>
      <c r="Y1422" s="60"/>
      <c r="Z1422" s="60">
        <f ca="1">('TUSD BE'!$AM$25+'TUSD BF'!$AM$25+'TUSD CVA'!$AM$25)*1*(1-0.03)</f>
        <v>1305.4820114952624</v>
      </c>
      <c r="AA1422" s="60">
        <f>('TE BE'!$AB$7+'TE BF'!$AB$7+'TE CVA'!$AB$7)*1*(1-0.03)</f>
        <v>349.45248311940099</v>
      </c>
      <c r="AB1422" s="6">
        <f>$K$1422*$V$1422</f>
        <v>0</v>
      </c>
      <c r="AC1422" s="6">
        <f>$M$1422*$W$1422</f>
        <v>255296.05065500003</v>
      </c>
      <c r="AD1422" s="6">
        <f>$O$1422*$X$1422</f>
        <v>76313.019690000001</v>
      </c>
      <c r="AE1422" s="6">
        <f>$K$1422*$Y$1422</f>
        <v>0</v>
      </c>
      <c r="AF1422" s="6">
        <f ca="1">$M$1422*$Z$1422</f>
        <v>266546.78969704523</v>
      </c>
      <c r="AG1422" s="6">
        <f>$O$1422*$AA$1422</f>
        <v>71349.460740903698</v>
      </c>
    </row>
    <row r="1423" spans="1:33" ht="11.25" customHeight="1" x14ac:dyDescent="0.25">
      <c r="A1423" s="4" t="s">
        <v>21</v>
      </c>
      <c r="B1423" s="4" t="s">
        <v>41</v>
      </c>
      <c r="C1423" s="4" t="s">
        <v>42</v>
      </c>
      <c r="D1423" s="4" t="s">
        <v>50</v>
      </c>
      <c r="E1423" s="4" t="s">
        <v>51</v>
      </c>
      <c r="F1423" s="4" t="s">
        <v>25</v>
      </c>
      <c r="G1423" s="4" t="s">
        <v>25</v>
      </c>
      <c r="H1423" s="4" t="s">
        <v>34</v>
      </c>
      <c r="I1423" s="5">
        <v>44562</v>
      </c>
      <c r="J1423" s="6">
        <v>0</v>
      </c>
      <c r="K1423" s="60">
        <v>0</v>
      </c>
      <c r="L1423" s="6">
        <v>219.00800000000001</v>
      </c>
      <c r="M1423" s="60">
        <v>219.00800000000001</v>
      </c>
      <c r="N1423" s="6">
        <v>219.00800000000001</v>
      </c>
      <c r="O1423" s="60">
        <v>219.00800000000001</v>
      </c>
      <c r="P1423" s="6">
        <v>0</v>
      </c>
      <c r="Q1423" s="4" t="s">
        <v>26</v>
      </c>
      <c r="R1423" s="4">
        <v>0</v>
      </c>
      <c r="S1423" s="6">
        <v>0</v>
      </c>
      <c r="T1423" s="6">
        <v>42</v>
      </c>
      <c r="U1423" s="6">
        <v>66</v>
      </c>
      <c r="V1423" s="60">
        <f>IF(ISERROR(VLOOKUP($S$1423,'TAR FIN'!$A$1:$O$104,15,0)),0,VLOOKUP($S$1423,'TAR FIN'!$A$1:$O$104,15,0))</f>
        <v>0</v>
      </c>
      <c r="W1423" s="60">
        <f>IF(ISERROR(VLOOKUP($T$1423,'TAR FIN'!$A$1:$O$104,15,0)),0,VLOOKUP($T$1423,'TAR FIN'!$A$1:$O$104,15,0))*(1-0.06)</f>
        <v>1250.3786</v>
      </c>
      <c r="X1423" s="60">
        <f>IF(ISERROR(VLOOKUP($U$1423,'TAR FIN'!$A$1:$O$104,15,0)),0,VLOOKUP($U$1423,'TAR FIN'!$A$1:$O$104,15,0))*(1-0.06)</f>
        <v>373.76279999999997</v>
      </c>
      <c r="Y1423" s="60"/>
      <c r="Z1423" s="60">
        <f ca="1">('TUSD BE'!$AM$25+'TUSD BF'!$AM$25+'TUSD CVA'!$AM$25)*1*(1-0.03)</f>
        <v>1305.4820114952624</v>
      </c>
      <c r="AA1423" s="60">
        <f>('TE BE'!$AB$7+'TE BF'!$AB$7+'TE CVA'!$AB$7)*1*(1-0.03)</f>
        <v>349.45248311940099</v>
      </c>
      <c r="AB1423" s="6">
        <f>$K$1423*$V$1423</f>
        <v>0</v>
      </c>
      <c r="AC1423" s="6">
        <f>$M$1423*$W$1423</f>
        <v>273842.91642880003</v>
      </c>
      <c r="AD1423" s="6">
        <f>$O$1423*$X$1423</f>
        <v>81857.043302399994</v>
      </c>
      <c r="AE1423" s="6">
        <f>$K$1423*$Y$1423</f>
        <v>0</v>
      </c>
      <c r="AF1423" s="6">
        <f ca="1">$M$1423*$Z$1423</f>
        <v>285911.00437355443</v>
      </c>
      <c r="AG1423" s="6">
        <f>$O$1423*$AA$1423</f>
        <v>76532.889423013781</v>
      </c>
    </row>
    <row r="1424" spans="1:33" ht="11.25" customHeight="1" x14ac:dyDescent="0.25">
      <c r="A1424" s="4" t="s">
        <v>21</v>
      </c>
      <c r="B1424" s="4" t="s">
        <v>41</v>
      </c>
      <c r="C1424" s="4" t="s">
        <v>42</v>
      </c>
      <c r="D1424" s="4" t="s">
        <v>50</v>
      </c>
      <c r="E1424" s="4" t="s">
        <v>51</v>
      </c>
      <c r="F1424" s="4" t="s">
        <v>25</v>
      </c>
      <c r="G1424" s="4" t="s">
        <v>25</v>
      </c>
      <c r="H1424" s="4" t="s">
        <v>34</v>
      </c>
      <c r="I1424" s="5">
        <v>44593</v>
      </c>
      <c r="J1424" s="6">
        <v>0</v>
      </c>
      <c r="K1424" s="60">
        <v>0</v>
      </c>
      <c r="L1424" s="6">
        <v>195.251</v>
      </c>
      <c r="M1424" s="60">
        <v>195.251</v>
      </c>
      <c r="N1424" s="6">
        <v>195.251</v>
      </c>
      <c r="O1424" s="60">
        <v>195.251</v>
      </c>
      <c r="P1424" s="6">
        <v>0</v>
      </c>
      <c r="Q1424" s="4" t="s">
        <v>26</v>
      </c>
      <c r="R1424" s="4">
        <v>0</v>
      </c>
      <c r="S1424" s="6">
        <v>0</v>
      </c>
      <c r="T1424" s="6">
        <v>42</v>
      </c>
      <c r="U1424" s="6">
        <v>66</v>
      </c>
      <c r="V1424" s="60">
        <f>IF(ISERROR(VLOOKUP($S$1424,'TAR FIN'!$A$1:$O$104,15,0)),0,VLOOKUP($S$1424,'TAR FIN'!$A$1:$O$104,15,0))</f>
        <v>0</v>
      </c>
      <c r="W1424" s="60">
        <f>IF(ISERROR(VLOOKUP($T$1424,'TAR FIN'!$A$1:$O$104,15,0)),0,VLOOKUP($T$1424,'TAR FIN'!$A$1:$O$104,15,0))*(1-0.06)</f>
        <v>1250.3786</v>
      </c>
      <c r="X1424" s="60">
        <f>IF(ISERROR(VLOOKUP($U$1424,'TAR FIN'!$A$1:$O$104,15,0)),0,VLOOKUP($U$1424,'TAR FIN'!$A$1:$O$104,15,0))*(1-0.06)</f>
        <v>373.76279999999997</v>
      </c>
      <c r="Y1424" s="60"/>
      <c r="Z1424" s="60">
        <f ca="1">('TUSD BE'!$AM$25+'TUSD BF'!$AM$25+'TUSD CVA'!$AM$25)*1*(1-0.03)</f>
        <v>1305.4820114952624</v>
      </c>
      <c r="AA1424" s="60">
        <f>('TE BE'!$AB$7+'TE BF'!$AB$7+'TE CVA'!$AB$7)*1*(1-0.03)</f>
        <v>349.45248311940099</v>
      </c>
      <c r="AB1424" s="6">
        <f>$K$1424*$V$1424</f>
        <v>0</v>
      </c>
      <c r="AC1424" s="6">
        <f>$M$1424*$W$1424</f>
        <v>244137.67202860001</v>
      </c>
      <c r="AD1424" s="6">
        <f>$O$1424*$X$1424</f>
        <v>72977.5604628</v>
      </c>
      <c r="AE1424" s="6">
        <f>$K$1424*$Y$1424</f>
        <v>0</v>
      </c>
      <c r="AF1424" s="6">
        <f ca="1">$M$1424*$Z$1424</f>
        <v>254896.66822646148</v>
      </c>
      <c r="AG1424" s="6">
        <f>$O$1424*$AA$1424</f>
        <v>68230.946781546168</v>
      </c>
    </row>
    <row r="1425" spans="1:33" ht="11.25" customHeight="1" x14ac:dyDescent="0.25">
      <c r="A1425" s="4" t="s">
        <v>21</v>
      </c>
      <c r="B1425" s="4" t="s">
        <v>41</v>
      </c>
      <c r="C1425" s="4" t="s">
        <v>42</v>
      </c>
      <c r="D1425" s="4" t="s">
        <v>50</v>
      </c>
      <c r="E1425" s="4" t="s">
        <v>51</v>
      </c>
      <c r="F1425" s="4" t="s">
        <v>25</v>
      </c>
      <c r="G1425" s="4" t="s">
        <v>25</v>
      </c>
      <c r="H1425" s="4" t="s">
        <v>34</v>
      </c>
      <c r="I1425" s="5">
        <v>44621</v>
      </c>
      <c r="J1425" s="6">
        <v>0</v>
      </c>
      <c r="K1425" s="60">
        <v>0</v>
      </c>
      <c r="L1425" s="6">
        <v>192.36600000000001</v>
      </c>
      <c r="M1425" s="60">
        <v>192.36600000000001</v>
      </c>
      <c r="N1425" s="6">
        <v>192.36600000000001</v>
      </c>
      <c r="O1425" s="60">
        <v>192.36600000000001</v>
      </c>
      <c r="P1425" s="6">
        <v>0</v>
      </c>
      <c r="Q1425" s="4" t="s">
        <v>26</v>
      </c>
      <c r="R1425" s="4">
        <v>0</v>
      </c>
      <c r="S1425" s="6">
        <v>0</v>
      </c>
      <c r="T1425" s="6">
        <v>42</v>
      </c>
      <c r="U1425" s="6">
        <v>66</v>
      </c>
      <c r="V1425" s="60">
        <f>IF(ISERROR(VLOOKUP($S$1425,'TAR FIN'!$A$1:$O$104,15,0)),0,VLOOKUP($S$1425,'TAR FIN'!$A$1:$O$104,15,0))</f>
        <v>0</v>
      </c>
      <c r="W1425" s="60">
        <f>IF(ISERROR(VLOOKUP($T$1425,'TAR FIN'!$A$1:$O$104,15,0)),0,VLOOKUP($T$1425,'TAR FIN'!$A$1:$O$104,15,0))*(1-0.06)</f>
        <v>1250.3786</v>
      </c>
      <c r="X1425" s="60">
        <f>IF(ISERROR(VLOOKUP($U$1425,'TAR FIN'!$A$1:$O$104,15,0)),0,VLOOKUP($U$1425,'TAR FIN'!$A$1:$O$104,15,0))*(1-0.06)</f>
        <v>373.76279999999997</v>
      </c>
      <c r="Y1425" s="60"/>
      <c r="Z1425" s="60">
        <f ca="1">('TUSD BE'!$AM$25+'TUSD BF'!$AM$25+'TUSD CVA'!$AM$25)*1*(1-0.03)</f>
        <v>1305.4820114952624</v>
      </c>
      <c r="AA1425" s="60">
        <f>('TE BE'!$AB$7+'TE BF'!$AB$7+'TE CVA'!$AB$7)*1*(1-0.03)</f>
        <v>349.45248311940099</v>
      </c>
      <c r="AB1425" s="6">
        <f>$K$1425*$V$1425</f>
        <v>0</v>
      </c>
      <c r="AC1425" s="6">
        <f>$M$1425*$W$1425</f>
        <v>240530.32976760002</v>
      </c>
      <c r="AD1425" s="6">
        <f>$O$1425*$X$1425</f>
        <v>71899.254784799996</v>
      </c>
      <c r="AE1425" s="6">
        <f>$K$1425*$Y$1425</f>
        <v>0</v>
      </c>
      <c r="AF1425" s="6">
        <f ca="1">$M$1425*$Z$1425</f>
        <v>251130.35262329766</v>
      </c>
      <c r="AG1425" s="6">
        <f>$O$1425*$AA$1425</f>
        <v>67222.776367746701</v>
      </c>
    </row>
    <row r="1426" spans="1:33" ht="11.25" customHeight="1" x14ac:dyDescent="0.25">
      <c r="A1426" s="4" t="s">
        <v>21</v>
      </c>
      <c r="B1426" s="4" t="s">
        <v>41</v>
      </c>
      <c r="C1426" s="4" t="s">
        <v>42</v>
      </c>
      <c r="D1426" s="4" t="s">
        <v>50</v>
      </c>
      <c r="E1426" s="4" t="s">
        <v>51</v>
      </c>
      <c r="F1426" s="4" t="s">
        <v>25</v>
      </c>
      <c r="G1426" s="4" t="s">
        <v>25</v>
      </c>
      <c r="H1426" s="4" t="s">
        <v>34</v>
      </c>
      <c r="I1426" s="5">
        <v>44652</v>
      </c>
      <c r="J1426" s="6">
        <v>0</v>
      </c>
      <c r="K1426" s="60">
        <v>0</v>
      </c>
      <c r="L1426" s="6">
        <v>197.28800000000001</v>
      </c>
      <c r="M1426" s="60">
        <v>197.28800000000001</v>
      </c>
      <c r="N1426" s="6">
        <v>197.28800000000001</v>
      </c>
      <c r="O1426" s="60">
        <v>197.28800000000001</v>
      </c>
      <c r="P1426" s="6">
        <v>0</v>
      </c>
      <c r="Q1426" s="4" t="s">
        <v>26</v>
      </c>
      <c r="R1426" s="4">
        <v>0</v>
      </c>
      <c r="S1426" s="6">
        <v>0</v>
      </c>
      <c r="T1426" s="6">
        <v>42</v>
      </c>
      <c r="U1426" s="6">
        <v>66</v>
      </c>
      <c r="V1426" s="60">
        <f>IF(ISERROR(VLOOKUP($S$1426,'TAR FIN'!$A$1:$O$104,15,0)),0,VLOOKUP($S$1426,'TAR FIN'!$A$1:$O$104,15,0))</f>
        <v>0</v>
      </c>
      <c r="W1426" s="60">
        <f>IF(ISERROR(VLOOKUP($T$1426,'TAR FIN'!$A$1:$O$104,15,0)),0,VLOOKUP($T$1426,'TAR FIN'!$A$1:$O$104,15,0))*(1-0.06)</f>
        <v>1250.3786</v>
      </c>
      <c r="X1426" s="60">
        <f>IF(ISERROR(VLOOKUP($U$1426,'TAR FIN'!$A$1:$O$104,15,0)),0,VLOOKUP($U$1426,'TAR FIN'!$A$1:$O$104,15,0))*(1-0.06)</f>
        <v>373.76279999999997</v>
      </c>
      <c r="Y1426" s="60"/>
      <c r="Z1426" s="60">
        <f ca="1">('TUSD BE'!$AM$25+'TUSD BF'!$AM$25+'TUSD CVA'!$AM$25)*1*(1-0.03)</f>
        <v>1305.4820114952624</v>
      </c>
      <c r="AA1426" s="60">
        <f>('TE BE'!$AB$7+'TE BF'!$AB$7+'TE CVA'!$AB$7)*1*(1-0.03)</f>
        <v>349.45248311940099</v>
      </c>
      <c r="AB1426" s="6">
        <f>$K$1426*$V$1426</f>
        <v>0</v>
      </c>
      <c r="AC1426" s="6">
        <f>$M$1426*$W$1426</f>
        <v>246684.69323680003</v>
      </c>
      <c r="AD1426" s="6">
        <f>$O$1426*$X$1426</f>
        <v>73738.915286399992</v>
      </c>
      <c r="AE1426" s="6">
        <f>$K$1426*$Y$1426</f>
        <v>0</v>
      </c>
      <c r="AF1426" s="6">
        <f ca="1">$M$1426*$Z$1426</f>
        <v>257555.93508387735</v>
      </c>
      <c r="AG1426" s="6">
        <f>$O$1426*$AA$1426</f>
        <v>68942.781489660381</v>
      </c>
    </row>
    <row r="1427" spans="1:33" ht="11.25" customHeight="1" x14ac:dyDescent="0.25">
      <c r="A1427" s="4" t="s">
        <v>21</v>
      </c>
      <c r="B1427" s="4" t="s">
        <v>41</v>
      </c>
      <c r="C1427" s="4" t="s">
        <v>42</v>
      </c>
      <c r="D1427" s="4" t="s">
        <v>50</v>
      </c>
      <c r="E1427" s="4" t="s">
        <v>51</v>
      </c>
      <c r="F1427" s="4" t="s">
        <v>25</v>
      </c>
      <c r="G1427" s="4" t="s">
        <v>25</v>
      </c>
      <c r="H1427" s="4" t="s">
        <v>34</v>
      </c>
      <c r="I1427" s="5">
        <v>44682</v>
      </c>
      <c r="J1427" s="6">
        <v>0</v>
      </c>
      <c r="K1427" s="60">
        <v>0</v>
      </c>
      <c r="L1427" s="6">
        <v>209.20500000000001</v>
      </c>
      <c r="M1427" s="60">
        <v>209.20500000000001</v>
      </c>
      <c r="N1427" s="6">
        <v>209.20500000000001</v>
      </c>
      <c r="O1427" s="60">
        <v>209.20500000000001</v>
      </c>
      <c r="P1427" s="6">
        <v>0</v>
      </c>
      <c r="Q1427" s="4" t="s">
        <v>26</v>
      </c>
      <c r="R1427" s="4">
        <v>0</v>
      </c>
      <c r="S1427" s="6">
        <v>0</v>
      </c>
      <c r="T1427" s="6">
        <v>42</v>
      </c>
      <c r="U1427" s="6">
        <v>66</v>
      </c>
      <c r="V1427" s="60">
        <f>IF(ISERROR(VLOOKUP($S$1427,'TAR FIN'!$A$1:$O$104,15,0)),0,VLOOKUP($S$1427,'TAR FIN'!$A$1:$O$104,15,0))</f>
        <v>0</v>
      </c>
      <c r="W1427" s="60">
        <f>IF(ISERROR(VLOOKUP($T$1427,'TAR FIN'!$A$1:$O$104,15,0)),0,VLOOKUP($T$1427,'TAR FIN'!$A$1:$O$104,15,0))*(1-0.06)</f>
        <v>1250.3786</v>
      </c>
      <c r="X1427" s="60">
        <f>IF(ISERROR(VLOOKUP($U$1427,'TAR FIN'!$A$1:$O$104,15,0)),0,VLOOKUP($U$1427,'TAR FIN'!$A$1:$O$104,15,0))*(1-0.06)</f>
        <v>373.76279999999997</v>
      </c>
      <c r="Y1427" s="60"/>
      <c r="Z1427" s="60">
        <f ca="1">('TUSD BE'!$AM$25+'TUSD BF'!$AM$25+'TUSD CVA'!$AM$25)*1*(1-0.03)</f>
        <v>1305.4820114952624</v>
      </c>
      <c r="AA1427" s="60">
        <f>('TE BE'!$AB$7+'TE BF'!$AB$7+'TE CVA'!$AB$7)*1*(1-0.03)</f>
        <v>349.45248311940099</v>
      </c>
      <c r="AB1427" s="6">
        <f>$K$1427*$V$1427</f>
        <v>0</v>
      </c>
      <c r="AC1427" s="6">
        <f>$M$1427*$W$1427</f>
        <v>261585.45501300003</v>
      </c>
      <c r="AD1427" s="6">
        <f>$O$1427*$X$1427</f>
        <v>78193.046573999993</v>
      </c>
      <c r="AE1427" s="6">
        <f>$K$1427*$Y$1427</f>
        <v>0</v>
      </c>
      <c r="AF1427" s="6">
        <f ca="1">$M$1427*$Z$1427</f>
        <v>273113.36421486642</v>
      </c>
      <c r="AG1427" s="6">
        <f>$O$1427*$AA$1427</f>
        <v>73107.206730994294</v>
      </c>
    </row>
    <row r="1428" spans="1:33" ht="11.25" customHeight="1" x14ac:dyDescent="0.25">
      <c r="A1428" s="4" t="s">
        <v>21</v>
      </c>
      <c r="B1428" s="4" t="s">
        <v>41</v>
      </c>
      <c r="C1428" s="4" t="s">
        <v>42</v>
      </c>
      <c r="D1428" s="4" t="s">
        <v>50</v>
      </c>
      <c r="E1428" s="4" t="s">
        <v>51</v>
      </c>
      <c r="F1428" s="4" t="s">
        <v>25</v>
      </c>
      <c r="G1428" s="4" t="s">
        <v>25</v>
      </c>
      <c r="H1428" s="4" t="s">
        <v>34</v>
      </c>
      <c r="I1428" s="5">
        <v>44713</v>
      </c>
      <c r="J1428" s="6">
        <v>0</v>
      </c>
      <c r="K1428" s="60">
        <v>0</v>
      </c>
      <c r="L1428" s="6">
        <v>214.83099999999999</v>
      </c>
      <c r="M1428" s="60">
        <v>214.83099999999999</v>
      </c>
      <c r="N1428" s="6">
        <v>214.83099999999999</v>
      </c>
      <c r="O1428" s="60">
        <v>214.83099999999999</v>
      </c>
      <c r="P1428" s="6">
        <v>0</v>
      </c>
      <c r="Q1428" s="4" t="s">
        <v>26</v>
      </c>
      <c r="R1428" s="4">
        <v>0</v>
      </c>
      <c r="S1428" s="6">
        <v>0</v>
      </c>
      <c r="T1428" s="6">
        <v>42</v>
      </c>
      <c r="U1428" s="6">
        <v>66</v>
      </c>
      <c r="V1428" s="60">
        <f>IF(ISERROR(VLOOKUP($S$1428,'TAR FIN'!$A$1:$O$104,15,0)),0,VLOOKUP($S$1428,'TAR FIN'!$A$1:$O$104,15,0))</f>
        <v>0</v>
      </c>
      <c r="W1428" s="60">
        <f>IF(ISERROR(VLOOKUP($T$1428,'TAR FIN'!$A$1:$O$104,15,0)),0,VLOOKUP($T$1428,'TAR FIN'!$A$1:$O$104,15,0))*(1-0.06)</f>
        <v>1250.3786</v>
      </c>
      <c r="X1428" s="60">
        <f>IF(ISERROR(VLOOKUP($U$1428,'TAR FIN'!$A$1:$O$104,15,0)),0,VLOOKUP($U$1428,'TAR FIN'!$A$1:$O$104,15,0))*(1-0.06)</f>
        <v>373.76279999999997</v>
      </c>
      <c r="Y1428" s="60"/>
      <c r="Z1428" s="60">
        <f ca="1">('TUSD BE'!$AM$25+'TUSD BF'!$AM$25+'TUSD CVA'!$AM$25)*1*(1-0.03)</f>
        <v>1305.4820114952624</v>
      </c>
      <c r="AA1428" s="60">
        <f>('TE BE'!$AB$7+'TE BF'!$AB$7+'TE CVA'!$AB$7)*1*(1-0.03)</f>
        <v>349.45248311940099</v>
      </c>
      <c r="AB1428" s="6">
        <f>$K$1428*$V$1428</f>
        <v>0</v>
      </c>
      <c r="AC1428" s="6">
        <f>$M$1428*$W$1428</f>
        <v>268620.08501659997</v>
      </c>
      <c r="AD1428" s="6">
        <f>$O$1428*$X$1428</f>
        <v>80295.836086799987</v>
      </c>
      <c r="AE1428" s="6">
        <f>$K$1428*$Y$1428</f>
        <v>0</v>
      </c>
      <c r="AF1428" s="6">
        <f ca="1">$M$1428*$Z$1428</f>
        <v>280458.00601153873</v>
      </c>
      <c r="AG1428" s="6">
        <f>$O$1428*$AA$1428</f>
        <v>75073.226401024032</v>
      </c>
    </row>
    <row r="1429" spans="1:33" ht="11.25" customHeight="1" x14ac:dyDescent="0.25">
      <c r="A1429" s="4" t="s">
        <v>57</v>
      </c>
      <c r="B1429" s="4" t="s">
        <v>41</v>
      </c>
      <c r="C1429" s="4" t="s">
        <v>42</v>
      </c>
      <c r="D1429" s="4" t="s">
        <v>50</v>
      </c>
      <c r="E1429" s="4" t="s">
        <v>51</v>
      </c>
      <c r="F1429" s="4" t="s">
        <v>25</v>
      </c>
      <c r="G1429" s="4" t="s">
        <v>25</v>
      </c>
      <c r="H1429" s="4" t="s">
        <v>34</v>
      </c>
      <c r="I1429" s="5">
        <v>44743</v>
      </c>
      <c r="J1429" s="6">
        <v>0</v>
      </c>
      <c r="K1429" s="60">
        <v>0</v>
      </c>
      <c r="L1429" s="6">
        <v>214.83099999999999</v>
      </c>
      <c r="M1429" s="60">
        <v>214.83099999999999</v>
      </c>
      <c r="N1429" s="6">
        <v>214.83099999999999</v>
      </c>
      <c r="O1429" s="60">
        <v>214.83099999999999</v>
      </c>
      <c r="P1429" s="6">
        <v>0</v>
      </c>
      <c r="Q1429" s="4" t="s">
        <v>26</v>
      </c>
      <c r="R1429" s="4">
        <v>0</v>
      </c>
      <c r="S1429" s="6">
        <v>0</v>
      </c>
      <c r="T1429" s="6">
        <v>42</v>
      </c>
      <c r="U1429" s="6">
        <v>66</v>
      </c>
      <c r="V1429" s="60">
        <f>IF(ISERROR(VLOOKUP($S$1429,'TAR FIN'!$A$1:$O$104,15,0)),0,VLOOKUP($S$1429,'TAR FIN'!$A$1:$O$104,15,0))</f>
        <v>0</v>
      </c>
      <c r="W1429" s="60">
        <f>IF(ISERROR(VLOOKUP($T$1429,'TAR FIN'!$A$1:$O$104,15,0)),0,VLOOKUP($T$1429,'TAR FIN'!$A$1:$O$104,15,0))*(1-0.06)</f>
        <v>1250.3786</v>
      </c>
      <c r="X1429" s="60">
        <f>IF(ISERROR(VLOOKUP($U$1429,'TAR FIN'!$A$1:$O$104,15,0)),0,VLOOKUP($U$1429,'TAR FIN'!$A$1:$O$104,15,0))*(1-0.06)</f>
        <v>373.76279999999997</v>
      </c>
      <c r="Y1429" s="60"/>
      <c r="Z1429" s="60">
        <f ca="1">('TUSD BE'!$AM$25+'TUSD BF'!$AM$25+'TUSD CVA'!$AM$25)*1*(1-0.03)</f>
        <v>1305.4820114952624</v>
      </c>
      <c r="AA1429" s="60">
        <f>('TE BE'!$AB$7+'TE BF'!$AB$7+'TE CVA'!$AB$7)*1*(1-0.03)</f>
        <v>349.45248311940099</v>
      </c>
      <c r="AB1429" s="6">
        <f>$K$1429*$V$1429</f>
        <v>0</v>
      </c>
      <c r="AC1429" s="6">
        <f>$M$1429*$W$1429</f>
        <v>268620.08501659997</v>
      </c>
      <c r="AD1429" s="6">
        <f>$O$1429*$X$1429</f>
        <v>80295.836086799987</v>
      </c>
      <c r="AE1429" s="6">
        <f>$K$1429*$Y$1429</f>
        <v>0</v>
      </c>
      <c r="AF1429" s="6">
        <f ca="1">$M$1429*$Z$1429</f>
        <v>280458.00601153873</v>
      </c>
      <c r="AG1429" s="6">
        <f>$O$1429*$AA$1429</f>
        <v>75073.226401024032</v>
      </c>
    </row>
    <row r="1430" spans="1:33" ht="11.25" customHeight="1" x14ac:dyDescent="0.25">
      <c r="A1430" s="4" t="s">
        <v>21</v>
      </c>
      <c r="B1430" s="4" t="s">
        <v>22</v>
      </c>
      <c r="C1430" s="4" t="s">
        <v>33</v>
      </c>
      <c r="D1430" s="4" t="s">
        <v>24</v>
      </c>
      <c r="E1430" s="4" t="s">
        <v>24</v>
      </c>
      <c r="F1430" s="4" t="s">
        <v>25</v>
      </c>
      <c r="G1430" s="4" t="s">
        <v>25</v>
      </c>
      <c r="H1430" s="4" t="s">
        <v>35</v>
      </c>
      <c r="I1430" s="5">
        <v>44409</v>
      </c>
      <c r="J1430" s="6">
        <v>0</v>
      </c>
      <c r="K1430" s="6">
        <v>0</v>
      </c>
      <c r="L1430" s="6">
        <v>103.961</v>
      </c>
      <c r="M1430" s="6">
        <v>103.961</v>
      </c>
      <c r="N1430" s="6">
        <v>103.961</v>
      </c>
      <c r="O1430" s="6">
        <v>103.961</v>
      </c>
      <c r="P1430" s="6">
        <v>0</v>
      </c>
      <c r="Q1430" s="4" t="s">
        <v>26</v>
      </c>
      <c r="R1430" s="4">
        <v>0</v>
      </c>
      <c r="S1430" s="6">
        <v>0</v>
      </c>
      <c r="T1430" s="6">
        <v>62</v>
      </c>
      <c r="U1430" s="6">
        <v>71</v>
      </c>
      <c r="V1430" s="6">
        <f>IF(ISERROR(VLOOKUP($S$1430,'TAR FIN'!$A$1:$O$104,15,0)),0,VLOOKUP($S$1430,'TAR FIN'!$A$1:$O$104,15,0))</f>
        <v>0</v>
      </c>
      <c r="W1430" s="6">
        <f>IF(ISERROR(VLOOKUP($T$1430,'TAR FIN'!$A$1:$O$104,15,0)),0,VLOOKUP($T$1430,'TAR FIN'!$A$1:$O$104,15,0))</f>
        <v>250.09</v>
      </c>
      <c r="X1430" s="6">
        <f>IF(ISERROR(VLOOKUP($U$1430,'TAR FIN'!$A$1:$O$104,15,0)),0,VLOOKUP($U$1430,'TAR FIN'!$A$1:$O$104,15,0))</f>
        <v>242.82</v>
      </c>
      <c r="Y1430" s="6"/>
      <c r="Z1430" s="6">
        <f ca="1">('TUSD BE'!$AM$33+'TUSD BF'!$AM$33+'TUSD CVA'!$AM$33)*1</f>
        <v>265.36383990152245</v>
      </c>
      <c r="AA1430" s="6">
        <f>('TE BE'!$AB$12+'TE BF'!$AB$12+'TE CVA'!$AB$12)*1</f>
        <v>231.76257384332172</v>
      </c>
      <c r="AB1430" s="6">
        <f>$K$1430*$V$1430</f>
        <v>0</v>
      </c>
      <c r="AC1430" s="6">
        <f>$M$1430*$W$1430</f>
        <v>25999.606489999998</v>
      </c>
      <c r="AD1430" s="6">
        <f>$O$1430*$X$1430</f>
        <v>25243.810019999997</v>
      </c>
      <c r="AE1430" s="6">
        <f>$K$1430*$Y$1430</f>
        <v>0</v>
      </c>
      <c r="AF1430" s="6">
        <f ca="1">$M$1430*$Z$1430</f>
        <v>27587.490160002177</v>
      </c>
      <c r="AG1430" s="6">
        <f>$O$1430*$AA$1430</f>
        <v>24094.268939325568</v>
      </c>
    </row>
    <row r="1431" spans="1:33" ht="11.25" customHeight="1" x14ac:dyDescent="0.25">
      <c r="A1431" s="4" t="s">
        <v>28</v>
      </c>
      <c r="B1431" s="4" t="s">
        <v>22</v>
      </c>
      <c r="C1431" s="4" t="s">
        <v>33</v>
      </c>
      <c r="D1431" s="4" t="s">
        <v>24</v>
      </c>
      <c r="E1431" s="4" t="s">
        <v>24</v>
      </c>
      <c r="F1431" s="4" t="s">
        <v>25</v>
      </c>
      <c r="G1431" s="4" t="s">
        <v>25</v>
      </c>
      <c r="H1431" s="4" t="s">
        <v>35</v>
      </c>
      <c r="I1431" s="5">
        <v>44409</v>
      </c>
      <c r="J1431" s="6">
        <v>0</v>
      </c>
      <c r="K1431" s="6">
        <v>0</v>
      </c>
      <c r="L1431" s="6">
        <v>0.13800000000000001</v>
      </c>
      <c r="M1431" s="6">
        <v>0.13800000000000001</v>
      </c>
      <c r="N1431" s="6">
        <v>0.13800000000000001</v>
      </c>
      <c r="O1431" s="6">
        <v>0.13800000000000001</v>
      </c>
      <c r="P1431" s="6">
        <v>0</v>
      </c>
      <c r="Q1431" s="4" t="s">
        <v>26</v>
      </c>
      <c r="R1431" s="4">
        <v>0</v>
      </c>
      <c r="S1431" s="6">
        <v>0</v>
      </c>
      <c r="T1431" s="6">
        <v>62</v>
      </c>
      <c r="U1431" s="6">
        <v>71</v>
      </c>
      <c r="V1431" s="6">
        <f>IF(ISERROR(VLOOKUP($S$1431,'TAR FIN'!$A$1:$O$104,15,0)),0,VLOOKUP($S$1431,'TAR FIN'!$A$1:$O$104,15,0))</f>
        <v>0</v>
      </c>
      <c r="W1431" s="6">
        <f>IF(ISERROR(VLOOKUP($T$1431,'TAR FIN'!$A$1:$O$104,15,0)),0,VLOOKUP($T$1431,'TAR FIN'!$A$1:$O$104,15,0))</f>
        <v>250.09</v>
      </c>
      <c r="X1431" s="6">
        <f>IF(ISERROR(VLOOKUP($U$1431,'TAR FIN'!$A$1:$O$104,15,0)),0,VLOOKUP($U$1431,'TAR FIN'!$A$1:$O$104,15,0))</f>
        <v>242.82</v>
      </c>
      <c r="Y1431" s="6"/>
      <c r="Z1431" s="6">
        <f ca="1">('TUSD BE'!$AM$33+'TUSD BF'!$AM$33+'TUSD CVA'!$AM$33)*1</f>
        <v>265.36383990152245</v>
      </c>
      <c r="AA1431" s="6">
        <f>('TE BE'!$AB$12+'TE BF'!$AB$12+'TE CVA'!$AB$12)*1</f>
        <v>231.76257384332172</v>
      </c>
      <c r="AB1431" s="6">
        <f>$K$1431*$V$1431</f>
        <v>0</v>
      </c>
      <c r="AC1431" s="6">
        <f>$M$1431*$W$1431</f>
        <v>34.512420000000006</v>
      </c>
      <c r="AD1431" s="6">
        <f>$O$1431*$X$1431</f>
        <v>33.509160000000001</v>
      </c>
      <c r="AE1431" s="6">
        <f>$K$1431*$Y$1431</f>
        <v>0</v>
      </c>
      <c r="AF1431" s="6">
        <f ca="1">$M$1431*$Z$1431</f>
        <v>36.620209906410103</v>
      </c>
      <c r="AG1431" s="6">
        <f>$O$1431*$AA$1431</f>
        <v>31.983235190378398</v>
      </c>
    </row>
    <row r="1432" spans="1:33" ht="11.25" customHeight="1" x14ac:dyDescent="0.25">
      <c r="A1432" s="4" t="s">
        <v>21</v>
      </c>
      <c r="B1432" s="4" t="s">
        <v>22</v>
      </c>
      <c r="C1432" s="4" t="s">
        <v>33</v>
      </c>
      <c r="D1432" s="4" t="s">
        <v>24</v>
      </c>
      <c r="E1432" s="4" t="s">
        <v>24</v>
      </c>
      <c r="F1432" s="4" t="s">
        <v>25</v>
      </c>
      <c r="G1432" s="4" t="s">
        <v>25</v>
      </c>
      <c r="H1432" s="4" t="s">
        <v>35</v>
      </c>
      <c r="I1432" s="5">
        <v>44440</v>
      </c>
      <c r="J1432" s="6">
        <v>0</v>
      </c>
      <c r="K1432" s="6">
        <v>0</v>
      </c>
      <c r="L1432" s="6">
        <v>103.15300000000001</v>
      </c>
      <c r="M1432" s="6">
        <v>103.15300000000001</v>
      </c>
      <c r="N1432" s="6">
        <v>103.15300000000001</v>
      </c>
      <c r="O1432" s="6">
        <v>103.15300000000001</v>
      </c>
      <c r="P1432" s="6">
        <v>0</v>
      </c>
      <c r="Q1432" s="4" t="s">
        <v>26</v>
      </c>
      <c r="R1432" s="4">
        <v>0</v>
      </c>
      <c r="S1432" s="6">
        <v>0</v>
      </c>
      <c r="T1432" s="6">
        <v>62</v>
      </c>
      <c r="U1432" s="6">
        <v>71</v>
      </c>
      <c r="V1432" s="6">
        <f>IF(ISERROR(VLOOKUP($S$1432,'TAR FIN'!$A$1:$O$104,15,0)),0,VLOOKUP($S$1432,'TAR FIN'!$A$1:$O$104,15,0))</f>
        <v>0</v>
      </c>
      <c r="W1432" s="6">
        <f>IF(ISERROR(VLOOKUP($T$1432,'TAR FIN'!$A$1:$O$104,15,0)),0,VLOOKUP($T$1432,'TAR FIN'!$A$1:$O$104,15,0))</f>
        <v>250.09</v>
      </c>
      <c r="X1432" s="6">
        <f>IF(ISERROR(VLOOKUP($U$1432,'TAR FIN'!$A$1:$O$104,15,0)),0,VLOOKUP($U$1432,'TAR FIN'!$A$1:$O$104,15,0))</f>
        <v>242.82</v>
      </c>
      <c r="Y1432" s="6"/>
      <c r="Z1432" s="6">
        <f ca="1">('TUSD BE'!$AM$33+'TUSD BF'!$AM$33+'TUSD CVA'!$AM$33)*1</f>
        <v>265.36383990152245</v>
      </c>
      <c r="AA1432" s="6">
        <f>('TE BE'!$AB$12+'TE BF'!$AB$12+'TE CVA'!$AB$12)*1</f>
        <v>231.76257384332172</v>
      </c>
      <c r="AB1432" s="6">
        <f>$K$1432*$V$1432</f>
        <v>0</v>
      </c>
      <c r="AC1432" s="6">
        <f>$M$1432*$W$1432</f>
        <v>25797.533770000002</v>
      </c>
      <c r="AD1432" s="6">
        <f>$O$1432*$X$1432</f>
        <v>25047.61146</v>
      </c>
      <c r="AE1432" s="6">
        <f>$K$1432*$Y$1432</f>
        <v>0</v>
      </c>
      <c r="AF1432" s="6">
        <f ca="1">$M$1432*$Z$1432</f>
        <v>27373.076177361749</v>
      </c>
      <c r="AG1432" s="6">
        <f>$O$1432*$AA$1432</f>
        <v>23907.004779660165</v>
      </c>
    </row>
    <row r="1433" spans="1:33" ht="11.25" customHeight="1" x14ac:dyDescent="0.25">
      <c r="A1433" s="4" t="s">
        <v>28</v>
      </c>
      <c r="B1433" s="4" t="s">
        <v>22</v>
      </c>
      <c r="C1433" s="4" t="s">
        <v>33</v>
      </c>
      <c r="D1433" s="4" t="s">
        <v>24</v>
      </c>
      <c r="E1433" s="4" t="s">
        <v>24</v>
      </c>
      <c r="F1433" s="4" t="s">
        <v>25</v>
      </c>
      <c r="G1433" s="4" t="s">
        <v>25</v>
      </c>
      <c r="H1433" s="4" t="s">
        <v>35</v>
      </c>
      <c r="I1433" s="5">
        <v>44440</v>
      </c>
      <c r="J1433" s="6">
        <v>0</v>
      </c>
      <c r="K1433" s="6">
        <v>0</v>
      </c>
      <c r="L1433" s="6">
        <v>0.25700000000000001</v>
      </c>
      <c r="M1433" s="6">
        <v>0.25700000000000001</v>
      </c>
      <c r="N1433" s="6">
        <v>0.25700000000000001</v>
      </c>
      <c r="O1433" s="6">
        <v>0.25700000000000001</v>
      </c>
      <c r="P1433" s="6">
        <v>0</v>
      </c>
      <c r="Q1433" s="4" t="s">
        <v>26</v>
      </c>
      <c r="R1433" s="4">
        <v>0</v>
      </c>
      <c r="S1433" s="6">
        <v>0</v>
      </c>
      <c r="T1433" s="6">
        <v>62</v>
      </c>
      <c r="U1433" s="6">
        <v>71</v>
      </c>
      <c r="V1433" s="6">
        <f>IF(ISERROR(VLOOKUP($S$1433,'TAR FIN'!$A$1:$O$104,15,0)),0,VLOOKUP($S$1433,'TAR FIN'!$A$1:$O$104,15,0))</f>
        <v>0</v>
      </c>
      <c r="W1433" s="6">
        <f>IF(ISERROR(VLOOKUP($T$1433,'TAR FIN'!$A$1:$O$104,15,0)),0,VLOOKUP($T$1433,'TAR FIN'!$A$1:$O$104,15,0))</f>
        <v>250.09</v>
      </c>
      <c r="X1433" s="6">
        <f>IF(ISERROR(VLOOKUP($U$1433,'TAR FIN'!$A$1:$O$104,15,0)),0,VLOOKUP($U$1433,'TAR FIN'!$A$1:$O$104,15,0))</f>
        <v>242.82</v>
      </c>
      <c r="Y1433" s="6"/>
      <c r="Z1433" s="6">
        <f ca="1">('TUSD BE'!$AM$33+'TUSD BF'!$AM$33+'TUSD CVA'!$AM$33)*1</f>
        <v>265.36383990152245</v>
      </c>
      <c r="AA1433" s="6">
        <f>('TE BE'!$AB$12+'TE BF'!$AB$12+'TE CVA'!$AB$12)*1</f>
        <v>231.76257384332172</v>
      </c>
      <c r="AB1433" s="6">
        <f>$K$1433*$V$1433</f>
        <v>0</v>
      </c>
      <c r="AC1433" s="6">
        <f>$M$1433*$W$1433</f>
        <v>64.273130000000009</v>
      </c>
      <c r="AD1433" s="6">
        <f>$O$1433*$X$1433</f>
        <v>62.404739999999997</v>
      </c>
      <c r="AE1433" s="6">
        <f>$K$1433*$Y$1433</f>
        <v>0</v>
      </c>
      <c r="AF1433" s="6">
        <f ca="1">$M$1433*$Z$1433</f>
        <v>68.198506854691274</v>
      </c>
      <c r="AG1433" s="6">
        <f>$O$1433*$AA$1433</f>
        <v>59.562981477733686</v>
      </c>
    </row>
    <row r="1434" spans="1:33" ht="11.25" customHeight="1" x14ac:dyDescent="0.25">
      <c r="A1434" s="4" t="s">
        <v>21</v>
      </c>
      <c r="B1434" s="4" t="s">
        <v>22</v>
      </c>
      <c r="C1434" s="4" t="s">
        <v>33</v>
      </c>
      <c r="D1434" s="4" t="s">
        <v>24</v>
      </c>
      <c r="E1434" s="4" t="s">
        <v>24</v>
      </c>
      <c r="F1434" s="4" t="s">
        <v>25</v>
      </c>
      <c r="G1434" s="4" t="s">
        <v>25</v>
      </c>
      <c r="H1434" s="4" t="s">
        <v>35</v>
      </c>
      <c r="I1434" s="5">
        <v>44470</v>
      </c>
      <c r="J1434" s="6">
        <v>0</v>
      </c>
      <c r="K1434" s="6">
        <v>0</v>
      </c>
      <c r="L1434" s="6">
        <v>116.256</v>
      </c>
      <c r="M1434" s="6">
        <v>116.256</v>
      </c>
      <c r="N1434" s="6">
        <v>116.256</v>
      </c>
      <c r="O1434" s="6">
        <v>116.256</v>
      </c>
      <c r="P1434" s="6">
        <v>0</v>
      </c>
      <c r="Q1434" s="4" t="s">
        <v>26</v>
      </c>
      <c r="R1434" s="4">
        <v>0</v>
      </c>
      <c r="S1434" s="6">
        <v>0</v>
      </c>
      <c r="T1434" s="6">
        <v>62</v>
      </c>
      <c r="U1434" s="6">
        <v>71</v>
      </c>
      <c r="V1434" s="6">
        <f>IF(ISERROR(VLOOKUP($S$1434,'TAR FIN'!$A$1:$O$104,15,0)),0,VLOOKUP($S$1434,'TAR FIN'!$A$1:$O$104,15,0))</f>
        <v>0</v>
      </c>
      <c r="W1434" s="6">
        <f>IF(ISERROR(VLOOKUP($T$1434,'TAR FIN'!$A$1:$O$104,15,0)),0,VLOOKUP($T$1434,'TAR FIN'!$A$1:$O$104,15,0))</f>
        <v>250.09</v>
      </c>
      <c r="X1434" s="6">
        <f>IF(ISERROR(VLOOKUP($U$1434,'TAR FIN'!$A$1:$O$104,15,0)),0,VLOOKUP($U$1434,'TAR FIN'!$A$1:$O$104,15,0))</f>
        <v>242.82</v>
      </c>
      <c r="Y1434" s="6"/>
      <c r="Z1434" s="6">
        <f ca="1">('TUSD BE'!$AM$33+'TUSD BF'!$AM$33+'TUSD CVA'!$AM$33)*1</f>
        <v>265.36383990152245</v>
      </c>
      <c r="AA1434" s="6">
        <f>('TE BE'!$AB$12+'TE BF'!$AB$12+'TE CVA'!$AB$12)*1</f>
        <v>231.76257384332172</v>
      </c>
      <c r="AB1434" s="6">
        <f>$K$1434*$V$1434</f>
        <v>0</v>
      </c>
      <c r="AC1434" s="6">
        <f>$M$1434*$W$1434</f>
        <v>29074.463039999999</v>
      </c>
      <c r="AD1434" s="6">
        <f>$O$1434*$X$1434</f>
        <v>28229.281919999998</v>
      </c>
      <c r="AE1434" s="6">
        <f>$K$1434*$Y$1434</f>
        <v>0</v>
      </c>
      <c r="AF1434" s="6">
        <f ca="1">$M$1434*$Z$1434</f>
        <v>30850.138571591393</v>
      </c>
      <c r="AG1434" s="6">
        <f>$O$1434*$AA$1434</f>
        <v>26943.789784729208</v>
      </c>
    </row>
    <row r="1435" spans="1:33" ht="11.25" customHeight="1" x14ac:dyDescent="0.25">
      <c r="A1435" s="4" t="s">
        <v>28</v>
      </c>
      <c r="B1435" s="4" t="s">
        <v>22</v>
      </c>
      <c r="C1435" s="4" t="s">
        <v>33</v>
      </c>
      <c r="D1435" s="4" t="s">
        <v>24</v>
      </c>
      <c r="E1435" s="4" t="s">
        <v>24</v>
      </c>
      <c r="F1435" s="4" t="s">
        <v>25</v>
      </c>
      <c r="G1435" s="4" t="s">
        <v>25</v>
      </c>
      <c r="H1435" s="4" t="s">
        <v>35</v>
      </c>
      <c r="I1435" s="5">
        <v>44470</v>
      </c>
      <c r="J1435" s="6">
        <v>0</v>
      </c>
      <c r="K1435" s="6">
        <v>0</v>
      </c>
      <c r="L1435" s="6">
        <v>0.47899999999999998</v>
      </c>
      <c r="M1435" s="6">
        <v>0.47899999999999998</v>
      </c>
      <c r="N1435" s="6">
        <v>0.47899999999999998</v>
      </c>
      <c r="O1435" s="6">
        <v>0.47899999999999998</v>
      </c>
      <c r="P1435" s="6">
        <v>0</v>
      </c>
      <c r="Q1435" s="4" t="s">
        <v>26</v>
      </c>
      <c r="R1435" s="4">
        <v>0</v>
      </c>
      <c r="S1435" s="6">
        <v>0</v>
      </c>
      <c r="T1435" s="6">
        <v>62</v>
      </c>
      <c r="U1435" s="6">
        <v>71</v>
      </c>
      <c r="V1435" s="6">
        <f>IF(ISERROR(VLOOKUP($S$1435,'TAR FIN'!$A$1:$O$104,15,0)),0,VLOOKUP($S$1435,'TAR FIN'!$A$1:$O$104,15,0))</f>
        <v>0</v>
      </c>
      <c r="W1435" s="6">
        <f>IF(ISERROR(VLOOKUP($T$1435,'TAR FIN'!$A$1:$O$104,15,0)),0,VLOOKUP($T$1435,'TAR FIN'!$A$1:$O$104,15,0))</f>
        <v>250.09</v>
      </c>
      <c r="X1435" s="6">
        <f>IF(ISERROR(VLOOKUP($U$1435,'TAR FIN'!$A$1:$O$104,15,0)),0,VLOOKUP($U$1435,'TAR FIN'!$A$1:$O$104,15,0))</f>
        <v>242.82</v>
      </c>
      <c r="Y1435" s="6"/>
      <c r="Z1435" s="6">
        <f ca="1">('TUSD BE'!$AM$33+'TUSD BF'!$AM$33+'TUSD CVA'!$AM$33)*1</f>
        <v>265.36383990152245</v>
      </c>
      <c r="AA1435" s="6">
        <f>('TE BE'!$AB$12+'TE BF'!$AB$12+'TE CVA'!$AB$12)*1</f>
        <v>231.76257384332172</v>
      </c>
      <c r="AB1435" s="6">
        <f>$K$1435*$V$1435</f>
        <v>0</v>
      </c>
      <c r="AC1435" s="6">
        <f>$M$1435*$W$1435</f>
        <v>119.79311</v>
      </c>
      <c r="AD1435" s="6">
        <f>$O$1435*$X$1435</f>
        <v>116.31077999999999</v>
      </c>
      <c r="AE1435" s="6">
        <f>$K$1435*$Y$1435</f>
        <v>0</v>
      </c>
      <c r="AF1435" s="6">
        <f ca="1">$M$1435*$Z$1435</f>
        <v>127.10927931282924</v>
      </c>
      <c r="AG1435" s="6">
        <f>$O$1435*$AA$1435</f>
        <v>111.0142728709511</v>
      </c>
    </row>
    <row r="1436" spans="1:33" ht="11.25" customHeight="1" x14ac:dyDescent="0.25">
      <c r="A1436" s="4" t="s">
        <v>21</v>
      </c>
      <c r="B1436" s="4" t="s">
        <v>22</v>
      </c>
      <c r="C1436" s="4" t="s">
        <v>33</v>
      </c>
      <c r="D1436" s="4" t="s">
        <v>24</v>
      </c>
      <c r="E1436" s="4" t="s">
        <v>24</v>
      </c>
      <c r="F1436" s="4" t="s">
        <v>25</v>
      </c>
      <c r="G1436" s="4" t="s">
        <v>25</v>
      </c>
      <c r="H1436" s="4" t="s">
        <v>35</v>
      </c>
      <c r="I1436" s="5">
        <v>44501</v>
      </c>
      <c r="J1436" s="6">
        <v>0</v>
      </c>
      <c r="K1436" s="6">
        <v>0</v>
      </c>
      <c r="L1436" s="6">
        <v>116.01</v>
      </c>
      <c r="M1436" s="6">
        <v>116.01</v>
      </c>
      <c r="N1436" s="6">
        <v>116.01</v>
      </c>
      <c r="O1436" s="6">
        <v>116.01</v>
      </c>
      <c r="P1436" s="6">
        <v>0</v>
      </c>
      <c r="Q1436" s="4" t="s">
        <v>26</v>
      </c>
      <c r="R1436" s="4">
        <v>0</v>
      </c>
      <c r="S1436" s="6">
        <v>0</v>
      </c>
      <c r="T1436" s="6">
        <v>62</v>
      </c>
      <c r="U1436" s="6">
        <v>71</v>
      </c>
      <c r="V1436" s="6">
        <f>IF(ISERROR(VLOOKUP($S$1436,'TAR FIN'!$A$1:$O$104,15,0)),0,VLOOKUP($S$1436,'TAR FIN'!$A$1:$O$104,15,0))</f>
        <v>0</v>
      </c>
      <c r="W1436" s="6">
        <f>IF(ISERROR(VLOOKUP($T$1436,'TAR FIN'!$A$1:$O$104,15,0)),0,VLOOKUP($T$1436,'TAR FIN'!$A$1:$O$104,15,0))</f>
        <v>250.09</v>
      </c>
      <c r="X1436" s="6">
        <f>IF(ISERROR(VLOOKUP($U$1436,'TAR FIN'!$A$1:$O$104,15,0)),0,VLOOKUP($U$1436,'TAR FIN'!$A$1:$O$104,15,0))</f>
        <v>242.82</v>
      </c>
      <c r="Y1436" s="6"/>
      <c r="Z1436" s="6">
        <f ca="1">('TUSD BE'!$AM$33+'TUSD BF'!$AM$33+'TUSD CVA'!$AM$33)*1</f>
        <v>265.36383990152245</v>
      </c>
      <c r="AA1436" s="6">
        <f>('TE BE'!$AB$12+'TE BF'!$AB$12+'TE CVA'!$AB$12)*1</f>
        <v>231.76257384332172</v>
      </c>
      <c r="AB1436" s="6">
        <f>$K$1436*$V$1436</f>
        <v>0</v>
      </c>
      <c r="AC1436" s="6">
        <f>$M$1436*$W$1436</f>
        <v>29012.940900000001</v>
      </c>
      <c r="AD1436" s="6">
        <f>$O$1436*$X$1436</f>
        <v>28169.548200000001</v>
      </c>
      <c r="AE1436" s="6">
        <f>$K$1436*$Y$1436</f>
        <v>0</v>
      </c>
      <c r="AF1436" s="6">
        <f ca="1">$M$1436*$Z$1436</f>
        <v>30784.859066975619</v>
      </c>
      <c r="AG1436" s="6">
        <f>$O$1436*$AA$1436</f>
        <v>26886.776191563753</v>
      </c>
    </row>
    <row r="1437" spans="1:33" ht="11.25" customHeight="1" x14ac:dyDescent="0.25">
      <c r="A1437" s="4" t="s">
        <v>27</v>
      </c>
      <c r="B1437" s="4" t="s">
        <v>22</v>
      </c>
      <c r="C1437" s="4" t="s">
        <v>33</v>
      </c>
      <c r="D1437" s="4" t="s">
        <v>24</v>
      </c>
      <c r="E1437" s="4" t="s">
        <v>24</v>
      </c>
      <c r="F1437" s="4" t="s">
        <v>25</v>
      </c>
      <c r="G1437" s="4" t="s">
        <v>25</v>
      </c>
      <c r="H1437" s="4" t="s">
        <v>35</v>
      </c>
      <c r="I1437" s="5">
        <v>44501</v>
      </c>
      <c r="J1437" s="6">
        <v>0</v>
      </c>
      <c r="K1437" s="6">
        <v>0</v>
      </c>
      <c r="L1437" s="6">
        <v>0.254</v>
      </c>
      <c r="M1437" s="6">
        <v>0.254</v>
      </c>
      <c r="N1437" s="6">
        <v>0.254</v>
      </c>
      <c r="O1437" s="6">
        <v>0.254</v>
      </c>
      <c r="P1437" s="6">
        <v>0</v>
      </c>
      <c r="Q1437" s="4" t="s">
        <v>26</v>
      </c>
      <c r="R1437" s="4">
        <v>0</v>
      </c>
      <c r="S1437" s="6">
        <v>0</v>
      </c>
      <c r="T1437" s="6">
        <v>62</v>
      </c>
      <c r="U1437" s="6">
        <v>71</v>
      </c>
      <c r="V1437" s="6">
        <f>IF(ISERROR(VLOOKUP($S$1437,'TAR FIN'!$A$1:$O$104,15,0)),0,VLOOKUP($S$1437,'TAR FIN'!$A$1:$O$104,15,0))</f>
        <v>0</v>
      </c>
      <c r="W1437" s="6">
        <f>IF(ISERROR(VLOOKUP($T$1437,'TAR FIN'!$A$1:$O$104,15,0)),0,VLOOKUP($T$1437,'TAR FIN'!$A$1:$O$104,15,0))</f>
        <v>250.09</v>
      </c>
      <c r="X1437" s="6">
        <f>IF(ISERROR(VLOOKUP($U$1437,'TAR FIN'!$A$1:$O$104,15,0)),0,VLOOKUP($U$1437,'TAR FIN'!$A$1:$O$104,15,0))</f>
        <v>242.82</v>
      </c>
      <c r="Y1437" s="6"/>
      <c r="Z1437" s="6">
        <f ca="1">('TUSD BE'!$AM$33+'TUSD BF'!$AM$33+'TUSD CVA'!$AM$33)*1</f>
        <v>265.36383990152245</v>
      </c>
      <c r="AA1437" s="6">
        <f>('TE BE'!$AB$12+'TE BF'!$AB$12+'TE CVA'!$AB$12)*1</f>
        <v>231.76257384332172</v>
      </c>
      <c r="AB1437" s="6">
        <f>$K$1437*$V$1437</f>
        <v>0</v>
      </c>
      <c r="AC1437" s="6">
        <f>$M$1437*$W$1437</f>
        <v>63.522860000000001</v>
      </c>
      <c r="AD1437" s="6">
        <f>$O$1437*$X$1437</f>
        <v>61.676279999999998</v>
      </c>
      <c r="AE1437" s="6">
        <f>$K$1437*$Y$1437</f>
        <v>0</v>
      </c>
      <c r="AF1437" s="6">
        <f ca="1">$M$1437*$Z$1437</f>
        <v>67.402415334986699</v>
      </c>
      <c r="AG1437" s="6">
        <f>$O$1437*$AA$1437</f>
        <v>58.867693756203714</v>
      </c>
    </row>
    <row r="1438" spans="1:33" ht="11.25" customHeight="1" x14ac:dyDescent="0.25">
      <c r="A1438" s="4" t="s">
        <v>28</v>
      </c>
      <c r="B1438" s="4" t="s">
        <v>22</v>
      </c>
      <c r="C1438" s="4" t="s">
        <v>33</v>
      </c>
      <c r="D1438" s="4" t="s">
        <v>24</v>
      </c>
      <c r="E1438" s="4" t="s">
        <v>24</v>
      </c>
      <c r="F1438" s="4" t="s">
        <v>25</v>
      </c>
      <c r="G1438" s="4" t="s">
        <v>25</v>
      </c>
      <c r="H1438" s="4" t="s">
        <v>35</v>
      </c>
      <c r="I1438" s="5">
        <v>44501</v>
      </c>
      <c r="J1438" s="6">
        <v>0</v>
      </c>
      <c r="K1438" s="6">
        <v>0</v>
      </c>
      <c r="L1438" s="6">
        <v>4.2770000000000001</v>
      </c>
      <c r="M1438" s="6">
        <v>4.2770000000000001</v>
      </c>
      <c r="N1438" s="6">
        <v>4.2770000000000001</v>
      </c>
      <c r="O1438" s="6">
        <v>4.2770000000000001</v>
      </c>
      <c r="P1438" s="6">
        <v>0</v>
      </c>
      <c r="Q1438" s="4" t="s">
        <v>26</v>
      </c>
      <c r="R1438" s="4">
        <v>0</v>
      </c>
      <c r="S1438" s="6">
        <v>0</v>
      </c>
      <c r="T1438" s="6">
        <v>62</v>
      </c>
      <c r="U1438" s="6">
        <v>71</v>
      </c>
      <c r="V1438" s="6">
        <f>IF(ISERROR(VLOOKUP($S$1438,'TAR FIN'!$A$1:$O$104,15,0)),0,VLOOKUP($S$1438,'TAR FIN'!$A$1:$O$104,15,0))</f>
        <v>0</v>
      </c>
      <c r="W1438" s="6">
        <f>IF(ISERROR(VLOOKUP($T$1438,'TAR FIN'!$A$1:$O$104,15,0)),0,VLOOKUP($T$1438,'TAR FIN'!$A$1:$O$104,15,0))</f>
        <v>250.09</v>
      </c>
      <c r="X1438" s="6">
        <f>IF(ISERROR(VLOOKUP($U$1438,'TAR FIN'!$A$1:$O$104,15,0)),0,VLOOKUP($U$1438,'TAR FIN'!$A$1:$O$104,15,0))</f>
        <v>242.82</v>
      </c>
      <c r="Y1438" s="6"/>
      <c r="Z1438" s="6">
        <f ca="1">('TUSD BE'!$AM$33+'TUSD BF'!$AM$33+'TUSD CVA'!$AM$33)*1</f>
        <v>265.36383990152245</v>
      </c>
      <c r="AA1438" s="6">
        <f>('TE BE'!$AB$12+'TE BF'!$AB$12+'TE CVA'!$AB$12)*1</f>
        <v>231.76257384332172</v>
      </c>
      <c r="AB1438" s="6">
        <f>$K$1438*$V$1438</f>
        <v>0</v>
      </c>
      <c r="AC1438" s="6">
        <f>$M$1438*$W$1438</f>
        <v>1069.6349299999999</v>
      </c>
      <c r="AD1438" s="6">
        <f>$O$1438*$X$1438</f>
        <v>1038.54114</v>
      </c>
      <c r="AE1438" s="6">
        <f>$K$1438*$Y$1438</f>
        <v>0</v>
      </c>
      <c r="AF1438" s="6">
        <f ca="1">$M$1438*$Z$1438</f>
        <v>1134.9611432588115</v>
      </c>
      <c r="AG1438" s="6">
        <f>$O$1438*$AA$1438</f>
        <v>991.24852832788702</v>
      </c>
    </row>
    <row r="1439" spans="1:33" ht="11.25" customHeight="1" x14ac:dyDescent="0.25">
      <c r="A1439" s="4" t="s">
        <v>21</v>
      </c>
      <c r="B1439" s="4" t="s">
        <v>22</v>
      </c>
      <c r="C1439" s="4" t="s">
        <v>33</v>
      </c>
      <c r="D1439" s="4" t="s">
        <v>24</v>
      </c>
      <c r="E1439" s="4" t="s">
        <v>24</v>
      </c>
      <c r="F1439" s="4" t="s">
        <v>25</v>
      </c>
      <c r="G1439" s="4" t="s">
        <v>25</v>
      </c>
      <c r="H1439" s="4" t="s">
        <v>35</v>
      </c>
      <c r="I1439" s="5">
        <v>44531</v>
      </c>
      <c r="J1439" s="6">
        <v>0</v>
      </c>
      <c r="K1439" s="6">
        <v>0</v>
      </c>
      <c r="L1439" s="6">
        <v>140.398</v>
      </c>
      <c r="M1439" s="6">
        <v>140.398</v>
      </c>
      <c r="N1439" s="6">
        <v>140.398</v>
      </c>
      <c r="O1439" s="6">
        <v>140.398</v>
      </c>
      <c r="P1439" s="6">
        <v>0</v>
      </c>
      <c r="Q1439" s="4" t="s">
        <v>26</v>
      </c>
      <c r="R1439" s="4">
        <v>0</v>
      </c>
      <c r="S1439" s="6">
        <v>0</v>
      </c>
      <c r="T1439" s="6">
        <v>62</v>
      </c>
      <c r="U1439" s="6">
        <v>71</v>
      </c>
      <c r="V1439" s="6">
        <f>IF(ISERROR(VLOOKUP($S$1439,'TAR FIN'!$A$1:$O$104,15,0)),0,VLOOKUP($S$1439,'TAR FIN'!$A$1:$O$104,15,0))</f>
        <v>0</v>
      </c>
      <c r="W1439" s="6">
        <f>IF(ISERROR(VLOOKUP($T$1439,'TAR FIN'!$A$1:$O$104,15,0)),0,VLOOKUP($T$1439,'TAR FIN'!$A$1:$O$104,15,0))</f>
        <v>250.09</v>
      </c>
      <c r="X1439" s="6">
        <f>IF(ISERROR(VLOOKUP($U$1439,'TAR FIN'!$A$1:$O$104,15,0)),0,VLOOKUP($U$1439,'TAR FIN'!$A$1:$O$104,15,0))</f>
        <v>242.82</v>
      </c>
      <c r="Y1439" s="6"/>
      <c r="Z1439" s="6">
        <f ca="1">('TUSD BE'!$AM$33+'TUSD BF'!$AM$33+'TUSD CVA'!$AM$33)*1</f>
        <v>265.36383990152245</v>
      </c>
      <c r="AA1439" s="6">
        <f>('TE BE'!$AB$12+'TE BF'!$AB$12+'TE CVA'!$AB$12)*1</f>
        <v>231.76257384332172</v>
      </c>
      <c r="AB1439" s="6">
        <f>$K$1439*$V$1439</f>
        <v>0</v>
      </c>
      <c r="AC1439" s="6">
        <f>$M$1439*$W$1439</f>
        <v>35112.135819999996</v>
      </c>
      <c r="AD1439" s="6">
        <f>$O$1439*$X$1439</f>
        <v>34091.442360000001</v>
      </c>
      <c r="AE1439" s="6">
        <f>$K$1439*$Y$1439</f>
        <v>0</v>
      </c>
      <c r="AF1439" s="6">
        <f ca="1">$M$1439*$Z$1439</f>
        <v>37256.552394493949</v>
      </c>
      <c r="AG1439" s="6">
        <f>$O$1439*$AA$1439</f>
        <v>32539.001842454683</v>
      </c>
    </row>
    <row r="1440" spans="1:33" ht="11.25" customHeight="1" x14ac:dyDescent="0.25">
      <c r="A1440" s="4" t="s">
        <v>27</v>
      </c>
      <c r="B1440" s="4" t="s">
        <v>22</v>
      </c>
      <c r="C1440" s="4" t="s">
        <v>33</v>
      </c>
      <c r="D1440" s="4" t="s">
        <v>24</v>
      </c>
      <c r="E1440" s="4" t="s">
        <v>24</v>
      </c>
      <c r="F1440" s="4" t="s">
        <v>25</v>
      </c>
      <c r="G1440" s="4" t="s">
        <v>25</v>
      </c>
      <c r="H1440" s="4" t="s">
        <v>35</v>
      </c>
      <c r="I1440" s="5">
        <v>44531</v>
      </c>
      <c r="J1440" s="6">
        <v>0</v>
      </c>
      <c r="K1440" s="6">
        <v>0</v>
      </c>
      <c r="L1440" s="6">
        <v>9.9000000000000005E-2</v>
      </c>
      <c r="M1440" s="6">
        <v>9.9000000000000005E-2</v>
      </c>
      <c r="N1440" s="6">
        <v>9.9000000000000005E-2</v>
      </c>
      <c r="O1440" s="6">
        <v>9.9000000000000005E-2</v>
      </c>
      <c r="P1440" s="6">
        <v>0</v>
      </c>
      <c r="Q1440" s="4" t="s">
        <v>26</v>
      </c>
      <c r="R1440" s="4">
        <v>0</v>
      </c>
      <c r="S1440" s="6">
        <v>0</v>
      </c>
      <c r="T1440" s="6">
        <v>62</v>
      </c>
      <c r="U1440" s="6">
        <v>71</v>
      </c>
      <c r="V1440" s="6">
        <f>IF(ISERROR(VLOOKUP($S$1440,'TAR FIN'!$A$1:$O$104,15,0)),0,VLOOKUP($S$1440,'TAR FIN'!$A$1:$O$104,15,0))</f>
        <v>0</v>
      </c>
      <c r="W1440" s="6">
        <f>IF(ISERROR(VLOOKUP($T$1440,'TAR FIN'!$A$1:$O$104,15,0)),0,VLOOKUP($T$1440,'TAR FIN'!$A$1:$O$104,15,0))</f>
        <v>250.09</v>
      </c>
      <c r="X1440" s="6">
        <f>IF(ISERROR(VLOOKUP($U$1440,'TAR FIN'!$A$1:$O$104,15,0)),0,VLOOKUP($U$1440,'TAR FIN'!$A$1:$O$104,15,0))</f>
        <v>242.82</v>
      </c>
      <c r="Y1440" s="6"/>
      <c r="Z1440" s="6">
        <f ca="1">('TUSD BE'!$AM$33+'TUSD BF'!$AM$33+'TUSD CVA'!$AM$33)*1</f>
        <v>265.36383990152245</v>
      </c>
      <c r="AA1440" s="6">
        <f>('TE BE'!$AB$12+'TE BF'!$AB$12+'TE CVA'!$AB$12)*1</f>
        <v>231.76257384332172</v>
      </c>
      <c r="AB1440" s="6">
        <f>$K$1440*$V$1440</f>
        <v>0</v>
      </c>
      <c r="AC1440" s="6">
        <f>$M$1440*$W$1440</f>
        <v>24.75891</v>
      </c>
      <c r="AD1440" s="6">
        <f>$O$1440*$X$1440</f>
        <v>24.039180000000002</v>
      </c>
      <c r="AE1440" s="6">
        <f>$K$1440*$Y$1440</f>
        <v>0</v>
      </c>
      <c r="AF1440" s="6">
        <f ca="1">$M$1440*$Z$1440</f>
        <v>26.271020150250724</v>
      </c>
      <c r="AG1440" s="6">
        <f>$O$1440*$AA$1440</f>
        <v>22.944494810488852</v>
      </c>
    </row>
    <row r="1441" spans="1:33" ht="11.25" customHeight="1" x14ac:dyDescent="0.25">
      <c r="A1441" s="4" t="s">
        <v>28</v>
      </c>
      <c r="B1441" s="4" t="s">
        <v>22</v>
      </c>
      <c r="C1441" s="4" t="s">
        <v>33</v>
      </c>
      <c r="D1441" s="4" t="s">
        <v>24</v>
      </c>
      <c r="E1441" s="4" t="s">
        <v>24</v>
      </c>
      <c r="F1441" s="4" t="s">
        <v>25</v>
      </c>
      <c r="G1441" s="4" t="s">
        <v>25</v>
      </c>
      <c r="H1441" s="4" t="s">
        <v>35</v>
      </c>
      <c r="I1441" s="5">
        <v>44531</v>
      </c>
      <c r="J1441" s="6">
        <v>0</v>
      </c>
      <c r="K1441" s="6">
        <v>0</v>
      </c>
      <c r="L1441" s="6">
        <v>5.883</v>
      </c>
      <c r="M1441" s="6">
        <v>5.883</v>
      </c>
      <c r="N1441" s="6">
        <v>5.883</v>
      </c>
      <c r="O1441" s="6">
        <v>5.883</v>
      </c>
      <c r="P1441" s="6">
        <v>0</v>
      </c>
      <c r="Q1441" s="4" t="s">
        <v>26</v>
      </c>
      <c r="R1441" s="4">
        <v>0</v>
      </c>
      <c r="S1441" s="6">
        <v>0</v>
      </c>
      <c r="T1441" s="6">
        <v>62</v>
      </c>
      <c r="U1441" s="6">
        <v>71</v>
      </c>
      <c r="V1441" s="6">
        <f>IF(ISERROR(VLOOKUP($S$1441,'TAR FIN'!$A$1:$O$104,15,0)),0,VLOOKUP($S$1441,'TAR FIN'!$A$1:$O$104,15,0))</f>
        <v>0</v>
      </c>
      <c r="W1441" s="6">
        <f>IF(ISERROR(VLOOKUP($T$1441,'TAR FIN'!$A$1:$O$104,15,0)),0,VLOOKUP($T$1441,'TAR FIN'!$A$1:$O$104,15,0))</f>
        <v>250.09</v>
      </c>
      <c r="X1441" s="6">
        <f>IF(ISERROR(VLOOKUP($U$1441,'TAR FIN'!$A$1:$O$104,15,0)),0,VLOOKUP($U$1441,'TAR FIN'!$A$1:$O$104,15,0))</f>
        <v>242.82</v>
      </c>
      <c r="Y1441" s="6"/>
      <c r="Z1441" s="6">
        <f ca="1">('TUSD BE'!$AM$33+'TUSD BF'!$AM$33+'TUSD CVA'!$AM$33)*1</f>
        <v>265.36383990152245</v>
      </c>
      <c r="AA1441" s="6">
        <f>('TE BE'!$AB$12+'TE BF'!$AB$12+'TE CVA'!$AB$12)*1</f>
        <v>231.76257384332172</v>
      </c>
      <c r="AB1441" s="6">
        <f>$K$1441*$V$1441</f>
        <v>0</v>
      </c>
      <c r="AC1441" s="6">
        <f>$M$1441*$W$1441</f>
        <v>1471.2794699999999</v>
      </c>
      <c r="AD1441" s="6">
        <f>$O$1441*$X$1441</f>
        <v>1428.5100600000001</v>
      </c>
      <c r="AE1441" s="6">
        <f>$K$1441*$Y$1441</f>
        <v>0</v>
      </c>
      <c r="AF1441" s="6">
        <f ca="1">$M$1441*$Z$1441</f>
        <v>1561.1354701406567</v>
      </c>
      <c r="AG1441" s="6">
        <f>$O$1441*$AA$1441</f>
        <v>1363.4592219202616</v>
      </c>
    </row>
    <row r="1442" spans="1:33" ht="11.25" customHeight="1" x14ac:dyDescent="0.25">
      <c r="A1442" s="4" t="s">
        <v>21</v>
      </c>
      <c r="B1442" s="4" t="s">
        <v>22</v>
      </c>
      <c r="C1442" s="4" t="s">
        <v>33</v>
      </c>
      <c r="D1442" s="4" t="s">
        <v>24</v>
      </c>
      <c r="E1442" s="4" t="s">
        <v>24</v>
      </c>
      <c r="F1442" s="4" t="s">
        <v>25</v>
      </c>
      <c r="G1442" s="4" t="s">
        <v>25</v>
      </c>
      <c r="H1442" s="4" t="s">
        <v>35</v>
      </c>
      <c r="I1442" s="5">
        <v>44562</v>
      </c>
      <c r="J1442" s="6">
        <v>0</v>
      </c>
      <c r="K1442" s="6">
        <v>0</v>
      </c>
      <c r="L1442" s="6">
        <v>124.02</v>
      </c>
      <c r="M1442" s="6">
        <v>124.02</v>
      </c>
      <c r="N1442" s="6">
        <v>124.02</v>
      </c>
      <c r="O1442" s="6">
        <v>124.02</v>
      </c>
      <c r="P1442" s="6">
        <v>0</v>
      </c>
      <c r="Q1442" s="4" t="s">
        <v>26</v>
      </c>
      <c r="R1442" s="4">
        <v>0</v>
      </c>
      <c r="S1442" s="6">
        <v>0</v>
      </c>
      <c r="T1442" s="6">
        <v>62</v>
      </c>
      <c r="U1442" s="6">
        <v>71</v>
      </c>
      <c r="V1442" s="6">
        <f>IF(ISERROR(VLOOKUP($S$1442,'TAR FIN'!$A$1:$O$104,15,0)),0,VLOOKUP($S$1442,'TAR FIN'!$A$1:$O$104,15,0))</f>
        <v>0</v>
      </c>
      <c r="W1442" s="6">
        <f>IF(ISERROR(VLOOKUP($T$1442,'TAR FIN'!$A$1:$O$104,15,0)),0,VLOOKUP($T$1442,'TAR FIN'!$A$1:$O$104,15,0))</f>
        <v>250.09</v>
      </c>
      <c r="X1442" s="6">
        <f>IF(ISERROR(VLOOKUP($U$1442,'TAR FIN'!$A$1:$O$104,15,0)),0,VLOOKUP($U$1442,'TAR FIN'!$A$1:$O$104,15,0))</f>
        <v>242.82</v>
      </c>
      <c r="Y1442" s="6"/>
      <c r="Z1442" s="6">
        <f ca="1">('TUSD BE'!$AM$33+'TUSD BF'!$AM$33+'TUSD CVA'!$AM$33)*1</f>
        <v>265.36383990152245</v>
      </c>
      <c r="AA1442" s="6">
        <f>('TE BE'!$AB$12+'TE BF'!$AB$12+'TE CVA'!$AB$12)*1</f>
        <v>231.76257384332172</v>
      </c>
      <c r="AB1442" s="6">
        <f>$K$1442*$V$1442</f>
        <v>0</v>
      </c>
      <c r="AC1442" s="6">
        <f>$M$1442*$W$1442</f>
        <v>31016.161799999998</v>
      </c>
      <c r="AD1442" s="6">
        <f>$O$1442*$X$1442</f>
        <v>30114.536399999997</v>
      </c>
      <c r="AE1442" s="6">
        <f>$K$1442*$Y$1442</f>
        <v>0</v>
      </c>
      <c r="AF1442" s="6">
        <f ca="1">$M$1442*$Z$1442</f>
        <v>32910.423424586814</v>
      </c>
      <c r="AG1442" s="6">
        <f>$O$1442*$AA$1442</f>
        <v>28743.194408048759</v>
      </c>
    </row>
    <row r="1443" spans="1:33" ht="11.25" customHeight="1" x14ac:dyDescent="0.25">
      <c r="A1443" s="4" t="s">
        <v>27</v>
      </c>
      <c r="B1443" s="4" t="s">
        <v>22</v>
      </c>
      <c r="C1443" s="4" t="s">
        <v>33</v>
      </c>
      <c r="D1443" s="4" t="s">
        <v>24</v>
      </c>
      <c r="E1443" s="4" t="s">
        <v>24</v>
      </c>
      <c r="F1443" s="4" t="s">
        <v>25</v>
      </c>
      <c r="G1443" s="4" t="s">
        <v>25</v>
      </c>
      <c r="H1443" s="4" t="s">
        <v>35</v>
      </c>
      <c r="I1443" s="5">
        <v>44562</v>
      </c>
      <c r="J1443" s="6">
        <v>0</v>
      </c>
      <c r="K1443" s="6">
        <v>0</v>
      </c>
      <c r="L1443" s="6">
        <v>-5.6459999999999999</v>
      </c>
      <c r="M1443" s="6">
        <v>-5.6459999999999999</v>
      </c>
      <c r="N1443" s="6">
        <v>-5.6459999999999999</v>
      </c>
      <c r="O1443" s="6">
        <v>-5.6459999999999999</v>
      </c>
      <c r="P1443" s="6">
        <v>0</v>
      </c>
      <c r="Q1443" s="4" t="s">
        <v>26</v>
      </c>
      <c r="R1443" s="4">
        <v>0</v>
      </c>
      <c r="S1443" s="6">
        <v>0</v>
      </c>
      <c r="T1443" s="6">
        <v>62</v>
      </c>
      <c r="U1443" s="6">
        <v>71</v>
      </c>
      <c r="V1443" s="6">
        <f>IF(ISERROR(VLOOKUP($S$1443,'TAR FIN'!$A$1:$O$104,15,0)),0,VLOOKUP($S$1443,'TAR FIN'!$A$1:$O$104,15,0))</f>
        <v>0</v>
      </c>
      <c r="W1443" s="6">
        <f>IF(ISERROR(VLOOKUP($T$1443,'TAR FIN'!$A$1:$O$104,15,0)),0,VLOOKUP($T$1443,'TAR FIN'!$A$1:$O$104,15,0))</f>
        <v>250.09</v>
      </c>
      <c r="X1443" s="6">
        <f>IF(ISERROR(VLOOKUP($U$1443,'TAR FIN'!$A$1:$O$104,15,0)),0,VLOOKUP($U$1443,'TAR FIN'!$A$1:$O$104,15,0))</f>
        <v>242.82</v>
      </c>
      <c r="Y1443" s="6"/>
      <c r="Z1443" s="6">
        <f ca="1">('TUSD BE'!$AM$33+'TUSD BF'!$AM$33+'TUSD CVA'!$AM$33)*1</f>
        <v>265.36383990152245</v>
      </c>
      <c r="AA1443" s="6">
        <f>('TE BE'!$AB$12+'TE BF'!$AB$12+'TE CVA'!$AB$12)*1</f>
        <v>231.76257384332172</v>
      </c>
      <c r="AB1443" s="6">
        <f>$K$1443*$V$1443</f>
        <v>0</v>
      </c>
      <c r="AC1443" s="6">
        <f>$M$1443*$W$1443</f>
        <v>-1412.0081399999999</v>
      </c>
      <c r="AD1443" s="6">
        <f>$O$1443*$X$1443</f>
        <v>-1370.96172</v>
      </c>
      <c r="AE1443" s="6">
        <f>$K$1443*$Y$1443</f>
        <v>0</v>
      </c>
      <c r="AF1443" s="6">
        <f ca="1">$M$1443*$Z$1443</f>
        <v>-1498.2442400839957</v>
      </c>
      <c r="AG1443" s="6">
        <f>$O$1443*$AA$1443</f>
        <v>-1308.5314919193945</v>
      </c>
    </row>
    <row r="1444" spans="1:33" ht="11.25" customHeight="1" x14ac:dyDescent="0.25">
      <c r="A1444" s="4" t="s">
        <v>28</v>
      </c>
      <c r="B1444" s="4" t="s">
        <v>22</v>
      </c>
      <c r="C1444" s="4" t="s">
        <v>33</v>
      </c>
      <c r="D1444" s="4" t="s">
        <v>24</v>
      </c>
      <c r="E1444" s="4" t="s">
        <v>24</v>
      </c>
      <c r="F1444" s="4" t="s">
        <v>25</v>
      </c>
      <c r="G1444" s="4" t="s">
        <v>25</v>
      </c>
      <c r="H1444" s="4" t="s">
        <v>35</v>
      </c>
      <c r="I1444" s="5">
        <v>44562</v>
      </c>
      <c r="J1444" s="6">
        <v>0</v>
      </c>
      <c r="K1444" s="6">
        <v>0</v>
      </c>
      <c r="L1444" s="6">
        <v>2.4710000000000001</v>
      </c>
      <c r="M1444" s="6">
        <v>2.4710000000000001</v>
      </c>
      <c r="N1444" s="6">
        <v>2.4710000000000001</v>
      </c>
      <c r="O1444" s="6">
        <v>2.4710000000000001</v>
      </c>
      <c r="P1444" s="6">
        <v>0</v>
      </c>
      <c r="Q1444" s="4" t="s">
        <v>26</v>
      </c>
      <c r="R1444" s="4">
        <v>0</v>
      </c>
      <c r="S1444" s="6">
        <v>0</v>
      </c>
      <c r="T1444" s="6">
        <v>62</v>
      </c>
      <c r="U1444" s="6">
        <v>71</v>
      </c>
      <c r="V1444" s="6">
        <f>IF(ISERROR(VLOOKUP($S$1444,'TAR FIN'!$A$1:$O$104,15,0)),0,VLOOKUP($S$1444,'TAR FIN'!$A$1:$O$104,15,0))</f>
        <v>0</v>
      </c>
      <c r="W1444" s="6">
        <f>IF(ISERROR(VLOOKUP($T$1444,'TAR FIN'!$A$1:$O$104,15,0)),0,VLOOKUP($T$1444,'TAR FIN'!$A$1:$O$104,15,0))</f>
        <v>250.09</v>
      </c>
      <c r="X1444" s="6">
        <f>IF(ISERROR(VLOOKUP($U$1444,'TAR FIN'!$A$1:$O$104,15,0)),0,VLOOKUP($U$1444,'TAR FIN'!$A$1:$O$104,15,0))</f>
        <v>242.82</v>
      </c>
      <c r="Y1444" s="6"/>
      <c r="Z1444" s="6">
        <f ca="1">('TUSD BE'!$AM$33+'TUSD BF'!$AM$33+'TUSD CVA'!$AM$33)*1</f>
        <v>265.36383990152245</v>
      </c>
      <c r="AA1444" s="6">
        <f>('TE BE'!$AB$12+'TE BF'!$AB$12+'TE CVA'!$AB$12)*1</f>
        <v>231.76257384332172</v>
      </c>
      <c r="AB1444" s="6">
        <f>$K$1444*$V$1444</f>
        <v>0</v>
      </c>
      <c r="AC1444" s="6">
        <f>$M$1444*$W$1444</f>
        <v>617.97239000000002</v>
      </c>
      <c r="AD1444" s="6">
        <f>$O$1444*$X$1444</f>
        <v>600.00822000000005</v>
      </c>
      <c r="AE1444" s="6">
        <f>$K$1444*$Y$1444</f>
        <v>0</v>
      </c>
      <c r="AF1444" s="6">
        <f ca="1">$M$1444*$Z$1444</f>
        <v>655.71404839666195</v>
      </c>
      <c r="AG1444" s="6">
        <f>$O$1444*$AA$1444</f>
        <v>572.68531996684794</v>
      </c>
    </row>
    <row r="1445" spans="1:33" ht="11.25" customHeight="1" x14ac:dyDescent="0.25">
      <c r="A1445" s="4" t="s">
        <v>28</v>
      </c>
      <c r="B1445" s="4" t="s">
        <v>22</v>
      </c>
      <c r="C1445" s="4" t="s">
        <v>33</v>
      </c>
      <c r="D1445" s="4" t="s">
        <v>24</v>
      </c>
      <c r="E1445" s="4" t="s">
        <v>24</v>
      </c>
      <c r="F1445" s="4" t="s">
        <v>25</v>
      </c>
      <c r="G1445" s="4" t="s">
        <v>25</v>
      </c>
      <c r="H1445" s="4" t="s">
        <v>35</v>
      </c>
      <c r="I1445" s="5">
        <v>44562</v>
      </c>
      <c r="J1445" s="6">
        <v>0</v>
      </c>
      <c r="K1445" s="6">
        <v>0</v>
      </c>
      <c r="L1445" s="6">
        <v>-2.6749999999999998</v>
      </c>
      <c r="M1445" s="6">
        <v>-2.6749999999999998</v>
      </c>
      <c r="N1445" s="6">
        <v>-2.6749999999999998</v>
      </c>
      <c r="O1445" s="6">
        <v>-2.6749999999999998</v>
      </c>
      <c r="P1445" s="6">
        <v>0</v>
      </c>
      <c r="Q1445" s="4" t="s">
        <v>26</v>
      </c>
      <c r="R1445" s="4">
        <v>0</v>
      </c>
      <c r="S1445" s="6">
        <v>0</v>
      </c>
      <c r="T1445" s="6">
        <v>62</v>
      </c>
      <c r="U1445" s="6">
        <v>71</v>
      </c>
      <c r="V1445" s="6">
        <f>IF(ISERROR(VLOOKUP($S$1445,'TAR FIN'!$A$1:$O$104,15,0)),0,VLOOKUP($S$1445,'TAR FIN'!$A$1:$O$104,15,0))</f>
        <v>0</v>
      </c>
      <c r="W1445" s="6">
        <f>IF(ISERROR(VLOOKUP($T$1445,'TAR FIN'!$A$1:$O$104,15,0)),0,VLOOKUP($T$1445,'TAR FIN'!$A$1:$O$104,15,0))</f>
        <v>250.09</v>
      </c>
      <c r="X1445" s="6">
        <f>IF(ISERROR(VLOOKUP($U$1445,'TAR FIN'!$A$1:$O$104,15,0)),0,VLOOKUP($U$1445,'TAR FIN'!$A$1:$O$104,15,0))</f>
        <v>242.82</v>
      </c>
      <c r="Y1445" s="6"/>
      <c r="Z1445" s="6">
        <f ca="1">('TUSD BE'!$AM$33+'TUSD BF'!$AM$33+'TUSD CVA'!$AM$33)*1</f>
        <v>265.36383990152245</v>
      </c>
      <c r="AA1445" s="6">
        <f>('TE BE'!$AB$12+'TE BF'!$AB$12+'TE CVA'!$AB$12)*1</f>
        <v>231.76257384332172</v>
      </c>
      <c r="AB1445" s="6">
        <f>$K$1445*$V$1445</f>
        <v>0</v>
      </c>
      <c r="AC1445" s="6">
        <f>$M$1445*$W$1445</f>
        <v>-668.99074999999993</v>
      </c>
      <c r="AD1445" s="6">
        <f>$O$1445*$X$1445</f>
        <v>-649.54349999999999</v>
      </c>
      <c r="AE1445" s="6">
        <f>$K$1445*$Y$1445</f>
        <v>0</v>
      </c>
      <c r="AF1445" s="6">
        <f ca="1">$M$1445*$Z$1445</f>
        <v>-709.84827173657254</v>
      </c>
      <c r="AG1445" s="6">
        <f>$O$1445*$AA$1445</f>
        <v>-619.96488503088551</v>
      </c>
    </row>
    <row r="1446" spans="1:33" ht="11.25" customHeight="1" x14ac:dyDescent="0.25">
      <c r="A1446" s="4" t="s">
        <v>21</v>
      </c>
      <c r="B1446" s="4" t="s">
        <v>22</v>
      </c>
      <c r="C1446" s="4" t="s">
        <v>33</v>
      </c>
      <c r="D1446" s="4" t="s">
        <v>24</v>
      </c>
      <c r="E1446" s="4" t="s">
        <v>24</v>
      </c>
      <c r="F1446" s="4" t="s">
        <v>25</v>
      </c>
      <c r="G1446" s="4" t="s">
        <v>25</v>
      </c>
      <c r="H1446" s="4" t="s">
        <v>35</v>
      </c>
      <c r="I1446" s="5">
        <v>44593</v>
      </c>
      <c r="J1446" s="6">
        <v>0</v>
      </c>
      <c r="K1446" s="6">
        <v>0</v>
      </c>
      <c r="L1446" s="6">
        <v>113.831</v>
      </c>
      <c r="M1446" s="6">
        <v>113.831</v>
      </c>
      <c r="N1446" s="6">
        <v>113.831</v>
      </c>
      <c r="O1446" s="6">
        <v>113.831</v>
      </c>
      <c r="P1446" s="6">
        <v>0</v>
      </c>
      <c r="Q1446" s="4" t="s">
        <v>26</v>
      </c>
      <c r="R1446" s="4">
        <v>0</v>
      </c>
      <c r="S1446" s="6">
        <v>0</v>
      </c>
      <c r="T1446" s="6">
        <v>62</v>
      </c>
      <c r="U1446" s="6">
        <v>71</v>
      </c>
      <c r="V1446" s="6">
        <f>IF(ISERROR(VLOOKUP($S$1446,'TAR FIN'!$A$1:$O$104,15,0)),0,VLOOKUP($S$1446,'TAR FIN'!$A$1:$O$104,15,0))</f>
        <v>0</v>
      </c>
      <c r="W1446" s="6">
        <f>IF(ISERROR(VLOOKUP($T$1446,'TAR FIN'!$A$1:$O$104,15,0)),0,VLOOKUP($T$1446,'TAR FIN'!$A$1:$O$104,15,0))</f>
        <v>250.09</v>
      </c>
      <c r="X1446" s="6">
        <f>IF(ISERROR(VLOOKUP($U$1446,'TAR FIN'!$A$1:$O$104,15,0)),0,VLOOKUP($U$1446,'TAR FIN'!$A$1:$O$104,15,0))</f>
        <v>242.82</v>
      </c>
      <c r="Y1446" s="6"/>
      <c r="Z1446" s="6">
        <f ca="1">('TUSD BE'!$AM$33+'TUSD BF'!$AM$33+'TUSD CVA'!$AM$33)*1</f>
        <v>265.36383990152245</v>
      </c>
      <c r="AA1446" s="6">
        <f>('TE BE'!$AB$12+'TE BF'!$AB$12+'TE CVA'!$AB$12)*1</f>
        <v>231.76257384332172</v>
      </c>
      <c r="AB1446" s="6">
        <f>$K$1446*$V$1446</f>
        <v>0</v>
      </c>
      <c r="AC1446" s="6">
        <f>$M$1446*$W$1446</f>
        <v>28467.994790000001</v>
      </c>
      <c r="AD1446" s="6">
        <f>$O$1446*$X$1446</f>
        <v>27640.44342</v>
      </c>
      <c r="AE1446" s="6">
        <f>$K$1446*$Y$1446</f>
        <v>0</v>
      </c>
      <c r="AF1446" s="6">
        <f ca="1">$M$1446*$Z$1446</f>
        <v>30206.631259830203</v>
      </c>
      <c r="AG1446" s="6">
        <f>$O$1446*$AA$1446</f>
        <v>26381.765543159156</v>
      </c>
    </row>
    <row r="1447" spans="1:33" ht="11.25" customHeight="1" x14ac:dyDescent="0.25">
      <c r="A1447" s="4" t="s">
        <v>28</v>
      </c>
      <c r="B1447" s="4" t="s">
        <v>22</v>
      </c>
      <c r="C1447" s="4" t="s">
        <v>33</v>
      </c>
      <c r="D1447" s="4" t="s">
        <v>24</v>
      </c>
      <c r="E1447" s="4" t="s">
        <v>24</v>
      </c>
      <c r="F1447" s="4" t="s">
        <v>25</v>
      </c>
      <c r="G1447" s="4" t="s">
        <v>25</v>
      </c>
      <c r="H1447" s="4" t="s">
        <v>35</v>
      </c>
      <c r="I1447" s="5">
        <v>44593</v>
      </c>
      <c r="J1447" s="6">
        <v>0</v>
      </c>
      <c r="K1447" s="6">
        <v>0</v>
      </c>
      <c r="L1447" s="6">
        <v>2.464</v>
      </c>
      <c r="M1447" s="6">
        <v>2.464</v>
      </c>
      <c r="N1447" s="6">
        <v>2.464</v>
      </c>
      <c r="O1447" s="6">
        <v>2.464</v>
      </c>
      <c r="P1447" s="6">
        <v>0</v>
      </c>
      <c r="Q1447" s="4" t="s">
        <v>26</v>
      </c>
      <c r="R1447" s="4">
        <v>0</v>
      </c>
      <c r="S1447" s="6">
        <v>0</v>
      </c>
      <c r="T1447" s="6">
        <v>62</v>
      </c>
      <c r="U1447" s="6">
        <v>71</v>
      </c>
      <c r="V1447" s="6">
        <f>IF(ISERROR(VLOOKUP($S$1447,'TAR FIN'!$A$1:$O$104,15,0)),0,VLOOKUP($S$1447,'TAR FIN'!$A$1:$O$104,15,0))</f>
        <v>0</v>
      </c>
      <c r="W1447" s="6">
        <f>IF(ISERROR(VLOOKUP($T$1447,'TAR FIN'!$A$1:$O$104,15,0)),0,VLOOKUP($T$1447,'TAR FIN'!$A$1:$O$104,15,0))</f>
        <v>250.09</v>
      </c>
      <c r="X1447" s="6">
        <f>IF(ISERROR(VLOOKUP($U$1447,'TAR FIN'!$A$1:$O$104,15,0)),0,VLOOKUP($U$1447,'TAR FIN'!$A$1:$O$104,15,0))</f>
        <v>242.82</v>
      </c>
      <c r="Y1447" s="6"/>
      <c r="Z1447" s="6">
        <f ca="1">('TUSD BE'!$AM$33+'TUSD BF'!$AM$33+'TUSD CVA'!$AM$33)*1</f>
        <v>265.36383990152245</v>
      </c>
      <c r="AA1447" s="6">
        <f>('TE BE'!$AB$12+'TE BF'!$AB$12+'TE CVA'!$AB$12)*1</f>
        <v>231.76257384332172</v>
      </c>
      <c r="AB1447" s="6">
        <f>$K$1447*$V$1447</f>
        <v>0</v>
      </c>
      <c r="AC1447" s="6">
        <f>$M$1447*$W$1447</f>
        <v>616.22176000000002</v>
      </c>
      <c r="AD1447" s="6">
        <f>$O$1447*$X$1447</f>
        <v>598.30848000000003</v>
      </c>
      <c r="AE1447" s="6">
        <f>$K$1447*$Y$1447</f>
        <v>0</v>
      </c>
      <c r="AF1447" s="6">
        <f ca="1">$M$1447*$Z$1447</f>
        <v>653.85650151735126</v>
      </c>
      <c r="AG1447" s="6">
        <f>$O$1447*$AA$1447</f>
        <v>571.06298194994474</v>
      </c>
    </row>
    <row r="1448" spans="1:33" ht="11.25" customHeight="1" x14ac:dyDescent="0.25">
      <c r="A1448" s="4" t="s">
        <v>28</v>
      </c>
      <c r="B1448" s="4" t="s">
        <v>22</v>
      </c>
      <c r="C1448" s="4" t="s">
        <v>33</v>
      </c>
      <c r="D1448" s="4" t="s">
        <v>24</v>
      </c>
      <c r="E1448" s="4" t="s">
        <v>24</v>
      </c>
      <c r="F1448" s="4" t="s">
        <v>25</v>
      </c>
      <c r="G1448" s="4" t="s">
        <v>25</v>
      </c>
      <c r="H1448" s="4" t="s">
        <v>35</v>
      </c>
      <c r="I1448" s="5">
        <v>44593</v>
      </c>
      <c r="J1448" s="6">
        <v>0</v>
      </c>
      <c r="K1448" s="6">
        <v>0</v>
      </c>
      <c r="L1448" s="6">
        <v>-0.36599999999999999</v>
      </c>
      <c r="M1448" s="6">
        <v>-0.36599999999999999</v>
      </c>
      <c r="N1448" s="6">
        <v>-0.36599999999999999</v>
      </c>
      <c r="O1448" s="6">
        <v>-0.36599999999999999</v>
      </c>
      <c r="P1448" s="6">
        <v>0</v>
      </c>
      <c r="Q1448" s="4" t="s">
        <v>26</v>
      </c>
      <c r="R1448" s="4">
        <v>0</v>
      </c>
      <c r="S1448" s="6">
        <v>0</v>
      </c>
      <c r="T1448" s="6">
        <v>62</v>
      </c>
      <c r="U1448" s="6">
        <v>71</v>
      </c>
      <c r="V1448" s="6">
        <f>IF(ISERROR(VLOOKUP($S$1448,'TAR FIN'!$A$1:$O$104,15,0)),0,VLOOKUP($S$1448,'TAR FIN'!$A$1:$O$104,15,0))</f>
        <v>0</v>
      </c>
      <c r="W1448" s="6">
        <f>IF(ISERROR(VLOOKUP($T$1448,'TAR FIN'!$A$1:$O$104,15,0)),0,VLOOKUP($T$1448,'TAR FIN'!$A$1:$O$104,15,0))</f>
        <v>250.09</v>
      </c>
      <c r="X1448" s="6">
        <f>IF(ISERROR(VLOOKUP($U$1448,'TAR FIN'!$A$1:$O$104,15,0)),0,VLOOKUP($U$1448,'TAR FIN'!$A$1:$O$104,15,0))</f>
        <v>242.82</v>
      </c>
      <c r="Y1448" s="6"/>
      <c r="Z1448" s="6">
        <f ca="1">('TUSD BE'!$AM$33+'TUSD BF'!$AM$33+'TUSD CVA'!$AM$33)*1</f>
        <v>265.36383990152245</v>
      </c>
      <c r="AA1448" s="6">
        <f>('TE BE'!$AB$12+'TE BF'!$AB$12+'TE CVA'!$AB$12)*1</f>
        <v>231.76257384332172</v>
      </c>
      <c r="AB1448" s="6">
        <f>$K$1448*$V$1448</f>
        <v>0</v>
      </c>
      <c r="AC1448" s="6">
        <f>$M$1448*$W$1448</f>
        <v>-91.532939999999996</v>
      </c>
      <c r="AD1448" s="6">
        <f>$O$1448*$X$1448</f>
        <v>-88.872119999999995</v>
      </c>
      <c r="AE1448" s="6">
        <f>$K$1448*$Y$1448</f>
        <v>0</v>
      </c>
      <c r="AF1448" s="6">
        <f ca="1">$M$1448*$Z$1448</f>
        <v>-97.123165403957216</v>
      </c>
      <c r="AG1448" s="6">
        <f>$O$1448*$AA$1448</f>
        <v>-84.825102026655742</v>
      </c>
    </row>
    <row r="1449" spans="1:33" ht="11.25" customHeight="1" x14ac:dyDescent="0.25">
      <c r="A1449" s="4" t="s">
        <v>21</v>
      </c>
      <c r="B1449" s="4" t="s">
        <v>22</v>
      </c>
      <c r="C1449" s="4" t="s">
        <v>33</v>
      </c>
      <c r="D1449" s="4" t="s">
        <v>24</v>
      </c>
      <c r="E1449" s="4" t="s">
        <v>24</v>
      </c>
      <c r="F1449" s="4" t="s">
        <v>25</v>
      </c>
      <c r="G1449" s="4" t="s">
        <v>25</v>
      </c>
      <c r="H1449" s="4" t="s">
        <v>35</v>
      </c>
      <c r="I1449" s="5">
        <v>44621</v>
      </c>
      <c r="J1449" s="6">
        <v>0</v>
      </c>
      <c r="K1449" s="6">
        <v>0</v>
      </c>
      <c r="L1449" s="6">
        <v>120.83499999999999</v>
      </c>
      <c r="M1449" s="6">
        <v>120.83499999999999</v>
      </c>
      <c r="N1449" s="6">
        <v>120.83499999999999</v>
      </c>
      <c r="O1449" s="6">
        <v>120.83499999999999</v>
      </c>
      <c r="P1449" s="6">
        <v>0</v>
      </c>
      <c r="Q1449" s="4" t="s">
        <v>26</v>
      </c>
      <c r="R1449" s="4">
        <v>0</v>
      </c>
      <c r="S1449" s="6">
        <v>0</v>
      </c>
      <c r="T1449" s="6">
        <v>62</v>
      </c>
      <c r="U1449" s="6">
        <v>71</v>
      </c>
      <c r="V1449" s="6">
        <f>IF(ISERROR(VLOOKUP($S$1449,'TAR FIN'!$A$1:$O$104,15,0)),0,VLOOKUP($S$1449,'TAR FIN'!$A$1:$O$104,15,0))</f>
        <v>0</v>
      </c>
      <c r="W1449" s="6">
        <f>IF(ISERROR(VLOOKUP($T$1449,'TAR FIN'!$A$1:$O$104,15,0)),0,VLOOKUP($T$1449,'TAR FIN'!$A$1:$O$104,15,0))</f>
        <v>250.09</v>
      </c>
      <c r="X1449" s="6">
        <f>IF(ISERROR(VLOOKUP($U$1449,'TAR FIN'!$A$1:$O$104,15,0)),0,VLOOKUP($U$1449,'TAR FIN'!$A$1:$O$104,15,0))</f>
        <v>242.82</v>
      </c>
      <c r="Y1449" s="6"/>
      <c r="Z1449" s="6">
        <f ca="1">('TUSD BE'!$AM$33+'TUSD BF'!$AM$33+'TUSD CVA'!$AM$33)*1</f>
        <v>265.36383990152245</v>
      </c>
      <c r="AA1449" s="6">
        <f>('TE BE'!$AB$12+'TE BF'!$AB$12+'TE CVA'!$AB$12)*1</f>
        <v>231.76257384332172</v>
      </c>
      <c r="AB1449" s="6">
        <f>$K$1449*$V$1449</f>
        <v>0</v>
      </c>
      <c r="AC1449" s="6">
        <f>$M$1449*$W$1449</f>
        <v>30219.62515</v>
      </c>
      <c r="AD1449" s="6">
        <f>$O$1449*$X$1449</f>
        <v>29341.154699999999</v>
      </c>
      <c r="AE1449" s="6">
        <f>$K$1449*$Y$1449</f>
        <v>0</v>
      </c>
      <c r="AF1449" s="6">
        <f ca="1">$M$1449*$Z$1449</f>
        <v>32065.239594500465</v>
      </c>
      <c r="AG1449" s="6">
        <f>$O$1449*$AA$1449</f>
        <v>28005.030610357779</v>
      </c>
    </row>
    <row r="1450" spans="1:33" ht="11.25" customHeight="1" x14ac:dyDescent="0.25">
      <c r="A1450" s="4" t="s">
        <v>28</v>
      </c>
      <c r="B1450" s="4" t="s">
        <v>22</v>
      </c>
      <c r="C1450" s="4" t="s">
        <v>33</v>
      </c>
      <c r="D1450" s="4" t="s">
        <v>24</v>
      </c>
      <c r="E1450" s="4" t="s">
        <v>24</v>
      </c>
      <c r="F1450" s="4" t="s">
        <v>25</v>
      </c>
      <c r="G1450" s="4" t="s">
        <v>25</v>
      </c>
      <c r="H1450" s="4" t="s">
        <v>35</v>
      </c>
      <c r="I1450" s="5">
        <v>44621</v>
      </c>
      <c r="J1450" s="6">
        <v>0</v>
      </c>
      <c r="K1450" s="6">
        <v>0</v>
      </c>
      <c r="L1450" s="6">
        <v>5.2610000000000001</v>
      </c>
      <c r="M1450" s="6">
        <v>5.2610000000000001</v>
      </c>
      <c r="N1450" s="6">
        <v>5.2610000000000001</v>
      </c>
      <c r="O1450" s="6">
        <v>5.2610000000000001</v>
      </c>
      <c r="P1450" s="6">
        <v>0</v>
      </c>
      <c r="Q1450" s="4" t="s">
        <v>26</v>
      </c>
      <c r="R1450" s="4">
        <v>0</v>
      </c>
      <c r="S1450" s="6">
        <v>0</v>
      </c>
      <c r="T1450" s="6">
        <v>62</v>
      </c>
      <c r="U1450" s="6">
        <v>71</v>
      </c>
      <c r="V1450" s="6">
        <f>IF(ISERROR(VLOOKUP($S$1450,'TAR FIN'!$A$1:$O$104,15,0)),0,VLOOKUP($S$1450,'TAR FIN'!$A$1:$O$104,15,0))</f>
        <v>0</v>
      </c>
      <c r="W1450" s="6">
        <f>IF(ISERROR(VLOOKUP($T$1450,'TAR FIN'!$A$1:$O$104,15,0)),0,VLOOKUP($T$1450,'TAR FIN'!$A$1:$O$104,15,0))</f>
        <v>250.09</v>
      </c>
      <c r="X1450" s="6">
        <f>IF(ISERROR(VLOOKUP($U$1450,'TAR FIN'!$A$1:$O$104,15,0)),0,VLOOKUP($U$1450,'TAR FIN'!$A$1:$O$104,15,0))</f>
        <v>242.82</v>
      </c>
      <c r="Y1450" s="6"/>
      <c r="Z1450" s="6">
        <f ca="1">('TUSD BE'!$AM$33+'TUSD BF'!$AM$33+'TUSD CVA'!$AM$33)*1</f>
        <v>265.36383990152245</v>
      </c>
      <c r="AA1450" s="6">
        <f>('TE BE'!$AB$12+'TE BF'!$AB$12+'TE CVA'!$AB$12)*1</f>
        <v>231.76257384332172</v>
      </c>
      <c r="AB1450" s="6">
        <f>$K$1450*$V$1450</f>
        <v>0</v>
      </c>
      <c r="AC1450" s="6">
        <f>$M$1450*$W$1450</f>
        <v>1315.7234900000001</v>
      </c>
      <c r="AD1450" s="6">
        <f>$O$1450*$X$1450</f>
        <v>1277.4760200000001</v>
      </c>
      <c r="AE1450" s="6">
        <f>$K$1450*$Y$1450</f>
        <v>0</v>
      </c>
      <c r="AF1450" s="6">
        <f ca="1">$M$1450*$Z$1450</f>
        <v>1396.0791617219097</v>
      </c>
      <c r="AG1450" s="6">
        <f>$O$1450*$AA$1450</f>
        <v>1219.3029009897157</v>
      </c>
    </row>
    <row r="1451" spans="1:33" ht="11.25" customHeight="1" x14ac:dyDescent="0.25">
      <c r="A1451" s="4" t="s">
        <v>21</v>
      </c>
      <c r="B1451" s="4" t="s">
        <v>22</v>
      </c>
      <c r="C1451" s="4" t="s">
        <v>33</v>
      </c>
      <c r="D1451" s="4" t="s">
        <v>24</v>
      </c>
      <c r="E1451" s="4" t="s">
        <v>24</v>
      </c>
      <c r="F1451" s="4" t="s">
        <v>25</v>
      </c>
      <c r="G1451" s="4" t="s">
        <v>25</v>
      </c>
      <c r="H1451" s="4" t="s">
        <v>35</v>
      </c>
      <c r="I1451" s="5">
        <v>44652</v>
      </c>
      <c r="J1451" s="6">
        <v>0</v>
      </c>
      <c r="K1451" s="6">
        <v>0</v>
      </c>
      <c r="L1451" s="6">
        <v>110.782</v>
      </c>
      <c r="M1451" s="6">
        <v>110.782</v>
      </c>
      <c r="N1451" s="6">
        <v>110.782</v>
      </c>
      <c r="O1451" s="6">
        <v>110.782</v>
      </c>
      <c r="P1451" s="6">
        <v>0</v>
      </c>
      <c r="Q1451" s="4" t="s">
        <v>26</v>
      </c>
      <c r="R1451" s="4">
        <v>0</v>
      </c>
      <c r="S1451" s="6">
        <v>0</v>
      </c>
      <c r="T1451" s="6">
        <v>62</v>
      </c>
      <c r="U1451" s="6">
        <v>71</v>
      </c>
      <c r="V1451" s="6">
        <f>IF(ISERROR(VLOOKUP($S$1451,'TAR FIN'!$A$1:$O$104,15,0)),0,VLOOKUP($S$1451,'TAR FIN'!$A$1:$O$104,15,0))</f>
        <v>0</v>
      </c>
      <c r="W1451" s="6">
        <f>IF(ISERROR(VLOOKUP($T$1451,'TAR FIN'!$A$1:$O$104,15,0)),0,VLOOKUP($T$1451,'TAR FIN'!$A$1:$O$104,15,0))</f>
        <v>250.09</v>
      </c>
      <c r="X1451" s="6">
        <f>IF(ISERROR(VLOOKUP($U$1451,'TAR FIN'!$A$1:$O$104,15,0)),0,VLOOKUP($U$1451,'TAR FIN'!$A$1:$O$104,15,0))</f>
        <v>242.82</v>
      </c>
      <c r="Y1451" s="6"/>
      <c r="Z1451" s="6">
        <f ca="1">('TUSD BE'!$AM$33+'TUSD BF'!$AM$33+'TUSD CVA'!$AM$33)*1</f>
        <v>265.36383990152245</v>
      </c>
      <c r="AA1451" s="6">
        <f>('TE BE'!$AB$12+'TE BF'!$AB$12+'TE CVA'!$AB$12)*1</f>
        <v>231.76257384332172</v>
      </c>
      <c r="AB1451" s="6">
        <f>$K$1451*$V$1451</f>
        <v>0</v>
      </c>
      <c r="AC1451" s="6">
        <f>$M$1451*$W$1451</f>
        <v>27705.470379999999</v>
      </c>
      <c r="AD1451" s="6">
        <f>$O$1451*$X$1451</f>
        <v>26900.085239999997</v>
      </c>
      <c r="AE1451" s="6">
        <f>$K$1451*$Y$1451</f>
        <v>0</v>
      </c>
      <c r="AF1451" s="6">
        <f ca="1">$M$1451*$Z$1451</f>
        <v>29397.536911970459</v>
      </c>
      <c r="AG1451" s="6">
        <f>$O$1451*$AA$1451</f>
        <v>25675.121455510867</v>
      </c>
    </row>
    <row r="1452" spans="1:33" ht="11.25" customHeight="1" x14ac:dyDescent="0.25">
      <c r="A1452" s="4" t="s">
        <v>28</v>
      </c>
      <c r="B1452" s="4" t="s">
        <v>22</v>
      </c>
      <c r="C1452" s="4" t="s">
        <v>33</v>
      </c>
      <c r="D1452" s="4" t="s">
        <v>24</v>
      </c>
      <c r="E1452" s="4" t="s">
        <v>24</v>
      </c>
      <c r="F1452" s="4" t="s">
        <v>25</v>
      </c>
      <c r="G1452" s="4" t="s">
        <v>25</v>
      </c>
      <c r="H1452" s="4" t="s">
        <v>35</v>
      </c>
      <c r="I1452" s="5">
        <v>44652</v>
      </c>
      <c r="J1452" s="6">
        <v>0</v>
      </c>
      <c r="K1452" s="6">
        <v>0</v>
      </c>
      <c r="L1452" s="6">
        <v>1.329</v>
      </c>
      <c r="M1452" s="6">
        <v>1.329</v>
      </c>
      <c r="N1452" s="6">
        <v>1.329</v>
      </c>
      <c r="O1452" s="6">
        <v>1.329</v>
      </c>
      <c r="P1452" s="6">
        <v>0</v>
      </c>
      <c r="Q1452" s="4" t="s">
        <v>26</v>
      </c>
      <c r="R1452" s="4">
        <v>0</v>
      </c>
      <c r="S1452" s="6">
        <v>0</v>
      </c>
      <c r="T1452" s="6">
        <v>62</v>
      </c>
      <c r="U1452" s="6">
        <v>71</v>
      </c>
      <c r="V1452" s="6">
        <f>IF(ISERROR(VLOOKUP($S$1452,'TAR FIN'!$A$1:$O$104,15,0)),0,VLOOKUP($S$1452,'TAR FIN'!$A$1:$O$104,15,0))</f>
        <v>0</v>
      </c>
      <c r="W1452" s="6">
        <f>IF(ISERROR(VLOOKUP($T$1452,'TAR FIN'!$A$1:$O$104,15,0)),0,VLOOKUP($T$1452,'TAR FIN'!$A$1:$O$104,15,0))</f>
        <v>250.09</v>
      </c>
      <c r="X1452" s="6">
        <f>IF(ISERROR(VLOOKUP($U$1452,'TAR FIN'!$A$1:$O$104,15,0)),0,VLOOKUP($U$1452,'TAR FIN'!$A$1:$O$104,15,0))</f>
        <v>242.82</v>
      </c>
      <c r="Y1452" s="6"/>
      <c r="Z1452" s="6">
        <f ca="1">('TUSD BE'!$AM$33+'TUSD BF'!$AM$33+'TUSD CVA'!$AM$33)*1</f>
        <v>265.36383990152245</v>
      </c>
      <c r="AA1452" s="6">
        <f>('TE BE'!$AB$12+'TE BF'!$AB$12+'TE CVA'!$AB$12)*1</f>
        <v>231.76257384332172</v>
      </c>
      <c r="AB1452" s="6">
        <f>$K$1452*$V$1452</f>
        <v>0</v>
      </c>
      <c r="AC1452" s="6">
        <f>$M$1452*$W$1452</f>
        <v>332.36960999999997</v>
      </c>
      <c r="AD1452" s="6">
        <f>$O$1452*$X$1452</f>
        <v>322.70777999999996</v>
      </c>
      <c r="AE1452" s="6">
        <f>$K$1452*$Y$1452</f>
        <v>0</v>
      </c>
      <c r="AF1452" s="6">
        <f ca="1">$M$1452*$Z$1452</f>
        <v>352.66854322912332</v>
      </c>
      <c r="AG1452" s="6">
        <f>$O$1452*$AA$1452</f>
        <v>308.01246063777455</v>
      </c>
    </row>
    <row r="1453" spans="1:33" ht="11.25" customHeight="1" x14ac:dyDescent="0.25">
      <c r="A1453" s="4" t="s">
        <v>21</v>
      </c>
      <c r="B1453" s="4" t="s">
        <v>22</v>
      </c>
      <c r="C1453" s="4" t="s">
        <v>33</v>
      </c>
      <c r="D1453" s="4" t="s">
        <v>24</v>
      </c>
      <c r="E1453" s="4" t="s">
        <v>24</v>
      </c>
      <c r="F1453" s="4" t="s">
        <v>25</v>
      </c>
      <c r="G1453" s="4" t="s">
        <v>25</v>
      </c>
      <c r="H1453" s="4" t="s">
        <v>35</v>
      </c>
      <c r="I1453" s="5">
        <v>44682</v>
      </c>
      <c r="J1453" s="6">
        <v>0</v>
      </c>
      <c r="K1453" s="6">
        <v>0</v>
      </c>
      <c r="L1453" s="6">
        <v>109.82599999999999</v>
      </c>
      <c r="M1453" s="6">
        <v>109.82599999999999</v>
      </c>
      <c r="N1453" s="6">
        <v>109.82599999999999</v>
      </c>
      <c r="O1453" s="6">
        <v>109.82599999999999</v>
      </c>
      <c r="P1453" s="6">
        <v>0</v>
      </c>
      <c r="Q1453" s="4" t="s">
        <v>26</v>
      </c>
      <c r="R1453" s="4">
        <v>0</v>
      </c>
      <c r="S1453" s="6">
        <v>0</v>
      </c>
      <c r="T1453" s="6">
        <v>62</v>
      </c>
      <c r="U1453" s="6">
        <v>71</v>
      </c>
      <c r="V1453" s="6">
        <f>IF(ISERROR(VLOOKUP($S$1453,'TAR FIN'!$A$1:$O$104,15,0)),0,VLOOKUP($S$1453,'TAR FIN'!$A$1:$O$104,15,0))</f>
        <v>0</v>
      </c>
      <c r="W1453" s="6">
        <f>IF(ISERROR(VLOOKUP($T$1453,'TAR FIN'!$A$1:$O$104,15,0)),0,VLOOKUP($T$1453,'TAR FIN'!$A$1:$O$104,15,0))</f>
        <v>250.09</v>
      </c>
      <c r="X1453" s="6">
        <f>IF(ISERROR(VLOOKUP($U$1453,'TAR FIN'!$A$1:$O$104,15,0)),0,VLOOKUP($U$1453,'TAR FIN'!$A$1:$O$104,15,0))</f>
        <v>242.82</v>
      </c>
      <c r="Y1453" s="6"/>
      <c r="Z1453" s="6">
        <f ca="1">('TUSD BE'!$AM$33+'TUSD BF'!$AM$33+'TUSD CVA'!$AM$33)*1</f>
        <v>265.36383990152245</v>
      </c>
      <c r="AA1453" s="6">
        <f>('TE BE'!$AB$12+'TE BF'!$AB$12+'TE CVA'!$AB$12)*1</f>
        <v>231.76257384332172</v>
      </c>
      <c r="AB1453" s="6">
        <f>$K$1453*$V$1453</f>
        <v>0</v>
      </c>
      <c r="AC1453" s="6">
        <f>$M$1453*$W$1453</f>
        <v>27466.384340000001</v>
      </c>
      <c r="AD1453" s="6">
        <f>$O$1453*$X$1453</f>
        <v>26667.949319999996</v>
      </c>
      <c r="AE1453" s="6">
        <f>$K$1453*$Y$1453</f>
        <v>0</v>
      </c>
      <c r="AF1453" s="6">
        <f ca="1">$M$1453*$Z$1453</f>
        <v>29143.849081024604</v>
      </c>
      <c r="AG1453" s="6">
        <f>$O$1453*$AA$1453</f>
        <v>25453.556434916649</v>
      </c>
    </row>
    <row r="1454" spans="1:33" ht="11.25" customHeight="1" x14ac:dyDescent="0.25">
      <c r="A1454" s="4" t="s">
        <v>27</v>
      </c>
      <c r="B1454" s="4" t="s">
        <v>22</v>
      </c>
      <c r="C1454" s="4" t="s">
        <v>33</v>
      </c>
      <c r="D1454" s="4" t="s">
        <v>24</v>
      </c>
      <c r="E1454" s="4" t="s">
        <v>24</v>
      </c>
      <c r="F1454" s="4" t="s">
        <v>25</v>
      </c>
      <c r="G1454" s="4" t="s">
        <v>25</v>
      </c>
      <c r="H1454" s="4" t="s">
        <v>35</v>
      </c>
      <c r="I1454" s="5">
        <v>44682</v>
      </c>
      <c r="J1454" s="6">
        <v>0</v>
      </c>
      <c r="K1454" s="6">
        <v>0</v>
      </c>
      <c r="L1454" s="6">
        <v>1.3740000000000001</v>
      </c>
      <c r="M1454" s="6">
        <v>1.3740000000000001</v>
      </c>
      <c r="N1454" s="6">
        <v>1.3740000000000001</v>
      </c>
      <c r="O1454" s="6">
        <v>1.3740000000000001</v>
      </c>
      <c r="P1454" s="6">
        <v>0</v>
      </c>
      <c r="Q1454" s="4" t="s">
        <v>26</v>
      </c>
      <c r="R1454" s="4">
        <v>0</v>
      </c>
      <c r="S1454" s="6">
        <v>0</v>
      </c>
      <c r="T1454" s="6">
        <v>62</v>
      </c>
      <c r="U1454" s="6">
        <v>71</v>
      </c>
      <c r="V1454" s="6">
        <f>IF(ISERROR(VLOOKUP($S$1454,'TAR FIN'!$A$1:$O$104,15,0)),0,VLOOKUP($S$1454,'TAR FIN'!$A$1:$O$104,15,0))</f>
        <v>0</v>
      </c>
      <c r="W1454" s="6">
        <f>IF(ISERROR(VLOOKUP($T$1454,'TAR FIN'!$A$1:$O$104,15,0)),0,VLOOKUP($T$1454,'TAR FIN'!$A$1:$O$104,15,0))</f>
        <v>250.09</v>
      </c>
      <c r="X1454" s="6">
        <f>IF(ISERROR(VLOOKUP($U$1454,'TAR FIN'!$A$1:$O$104,15,0)),0,VLOOKUP($U$1454,'TAR FIN'!$A$1:$O$104,15,0))</f>
        <v>242.82</v>
      </c>
      <c r="Y1454" s="6"/>
      <c r="Z1454" s="6">
        <f ca="1">('TUSD BE'!$AM$33+'TUSD BF'!$AM$33+'TUSD CVA'!$AM$33)*1</f>
        <v>265.36383990152245</v>
      </c>
      <c r="AA1454" s="6">
        <f>('TE BE'!$AB$12+'TE BF'!$AB$12+'TE CVA'!$AB$12)*1</f>
        <v>231.76257384332172</v>
      </c>
      <c r="AB1454" s="6">
        <f>$K$1454*$V$1454</f>
        <v>0</v>
      </c>
      <c r="AC1454" s="6">
        <f>$M$1454*$W$1454</f>
        <v>343.62366000000003</v>
      </c>
      <c r="AD1454" s="6">
        <f>$O$1454*$X$1454</f>
        <v>333.63468</v>
      </c>
      <c r="AE1454" s="6">
        <f>$K$1454*$Y$1454</f>
        <v>0</v>
      </c>
      <c r="AF1454" s="6">
        <f ca="1">$M$1454*$Z$1454</f>
        <v>364.60991602469187</v>
      </c>
      <c r="AG1454" s="6">
        <f>$O$1454*$AA$1454</f>
        <v>318.44177646072404</v>
      </c>
    </row>
    <row r="1455" spans="1:33" ht="11.25" customHeight="1" x14ac:dyDescent="0.25">
      <c r="A1455" s="4" t="s">
        <v>28</v>
      </c>
      <c r="B1455" s="4" t="s">
        <v>22</v>
      </c>
      <c r="C1455" s="4" t="s">
        <v>33</v>
      </c>
      <c r="D1455" s="4" t="s">
        <v>24</v>
      </c>
      <c r="E1455" s="4" t="s">
        <v>24</v>
      </c>
      <c r="F1455" s="4" t="s">
        <v>25</v>
      </c>
      <c r="G1455" s="4" t="s">
        <v>25</v>
      </c>
      <c r="H1455" s="4" t="s">
        <v>35</v>
      </c>
      <c r="I1455" s="5">
        <v>44682</v>
      </c>
      <c r="J1455" s="6">
        <v>0</v>
      </c>
      <c r="K1455" s="6">
        <v>0</v>
      </c>
      <c r="L1455" s="6">
        <v>0.88600000000000001</v>
      </c>
      <c r="M1455" s="6">
        <v>0.88600000000000001</v>
      </c>
      <c r="N1455" s="6">
        <v>0.88600000000000001</v>
      </c>
      <c r="O1455" s="6">
        <v>0.88600000000000001</v>
      </c>
      <c r="P1455" s="6">
        <v>0</v>
      </c>
      <c r="Q1455" s="4" t="s">
        <v>26</v>
      </c>
      <c r="R1455" s="4">
        <v>0</v>
      </c>
      <c r="S1455" s="6">
        <v>0</v>
      </c>
      <c r="T1455" s="6">
        <v>62</v>
      </c>
      <c r="U1455" s="6">
        <v>71</v>
      </c>
      <c r="V1455" s="6">
        <f>IF(ISERROR(VLOOKUP($S$1455,'TAR FIN'!$A$1:$O$104,15,0)),0,VLOOKUP($S$1455,'TAR FIN'!$A$1:$O$104,15,0))</f>
        <v>0</v>
      </c>
      <c r="W1455" s="6">
        <f>IF(ISERROR(VLOOKUP($T$1455,'TAR FIN'!$A$1:$O$104,15,0)),0,VLOOKUP($T$1455,'TAR FIN'!$A$1:$O$104,15,0))</f>
        <v>250.09</v>
      </c>
      <c r="X1455" s="6">
        <f>IF(ISERROR(VLOOKUP($U$1455,'TAR FIN'!$A$1:$O$104,15,0)),0,VLOOKUP($U$1455,'TAR FIN'!$A$1:$O$104,15,0))</f>
        <v>242.82</v>
      </c>
      <c r="Y1455" s="6"/>
      <c r="Z1455" s="6">
        <f ca="1">('TUSD BE'!$AM$33+'TUSD BF'!$AM$33+'TUSD CVA'!$AM$33)*1</f>
        <v>265.36383990152245</v>
      </c>
      <c r="AA1455" s="6">
        <f>('TE BE'!$AB$12+'TE BF'!$AB$12+'TE CVA'!$AB$12)*1</f>
        <v>231.76257384332172</v>
      </c>
      <c r="AB1455" s="6">
        <f>$K$1455*$V$1455</f>
        <v>0</v>
      </c>
      <c r="AC1455" s="6">
        <f>$M$1455*$W$1455</f>
        <v>221.57974000000002</v>
      </c>
      <c r="AD1455" s="6">
        <f>$O$1455*$X$1455</f>
        <v>215.13852</v>
      </c>
      <c r="AE1455" s="6">
        <f>$K$1455*$Y$1455</f>
        <v>0</v>
      </c>
      <c r="AF1455" s="6">
        <f ca="1">$M$1455*$Z$1455</f>
        <v>235.11236215274889</v>
      </c>
      <c r="AG1455" s="6">
        <f>$O$1455*$AA$1455</f>
        <v>205.34164042518304</v>
      </c>
    </row>
    <row r="1456" spans="1:33" ht="11.25" customHeight="1" x14ac:dyDescent="0.25">
      <c r="A1456" s="4" t="s">
        <v>21</v>
      </c>
      <c r="B1456" s="4" t="s">
        <v>22</v>
      </c>
      <c r="C1456" s="4" t="s">
        <v>33</v>
      </c>
      <c r="D1456" s="4" t="s">
        <v>24</v>
      </c>
      <c r="E1456" s="4" t="s">
        <v>24</v>
      </c>
      <c r="F1456" s="4" t="s">
        <v>25</v>
      </c>
      <c r="G1456" s="4" t="s">
        <v>25</v>
      </c>
      <c r="H1456" s="4" t="s">
        <v>35</v>
      </c>
      <c r="I1456" s="5">
        <v>44713</v>
      </c>
      <c r="J1456" s="6">
        <v>0</v>
      </c>
      <c r="K1456" s="6">
        <v>0</v>
      </c>
      <c r="L1456" s="6">
        <v>89.731999999999999</v>
      </c>
      <c r="M1456" s="6">
        <v>89.731999999999999</v>
      </c>
      <c r="N1456" s="6">
        <v>89.731999999999999</v>
      </c>
      <c r="O1456" s="6">
        <v>89.731999999999999</v>
      </c>
      <c r="P1456" s="6">
        <v>0</v>
      </c>
      <c r="Q1456" s="4" t="s">
        <v>26</v>
      </c>
      <c r="R1456" s="4">
        <v>0</v>
      </c>
      <c r="S1456" s="6">
        <v>0</v>
      </c>
      <c r="T1456" s="6">
        <v>62</v>
      </c>
      <c r="U1456" s="6">
        <v>71</v>
      </c>
      <c r="V1456" s="6">
        <f>IF(ISERROR(VLOOKUP($S$1456,'TAR FIN'!$A$1:$O$104,15,0)),0,VLOOKUP($S$1456,'TAR FIN'!$A$1:$O$104,15,0))</f>
        <v>0</v>
      </c>
      <c r="W1456" s="6">
        <f>IF(ISERROR(VLOOKUP($T$1456,'TAR FIN'!$A$1:$O$104,15,0)),0,VLOOKUP($T$1456,'TAR FIN'!$A$1:$O$104,15,0))</f>
        <v>250.09</v>
      </c>
      <c r="X1456" s="6">
        <f>IF(ISERROR(VLOOKUP($U$1456,'TAR FIN'!$A$1:$O$104,15,0)),0,VLOOKUP($U$1456,'TAR FIN'!$A$1:$O$104,15,0))</f>
        <v>242.82</v>
      </c>
      <c r="Y1456" s="6"/>
      <c r="Z1456" s="6">
        <f ca="1">('TUSD BE'!$AM$33+'TUSD BF'!$AM$33+'TUSD CVA'!$AM$33)*1</f>
        <v>265.36383990152245</v>
      </c>
      <c r="AA1456" s="6">
        <f>('TE BE'!$AB$12+'TE BF'!$AB$12+'TE CVA'!$AB$12)*1</f>
        <v>231.76257384332172</v>
      </c>
      <c r="AB1456" s="6">
        <f>$K$1456*$V$1456</f>
        <v>0</v>
      </c>
      <c r="AC1456" s="6">
        <f>$M$1456*$W$1456</f>
        <v>22441.07588</v>
      </c>
      <c r="AD1456" s="6">
        <f>$O$1456*$X$1456</f>
        <v>21788.72424</v>
      </c>
      <c r="AE1456" s="6">
        <f>$K$1456*$Y$1456</f>
        <v>0</v>
      </c>
      <c r="AF1456" s="6">
        <f ca="1">$M$1456*$Z$1456</f>
        <v>23811.628082043411</v>
      </c>
      <c r="AG1456" s="6">
        <f>$O$1456*$AA$1456</f>
        <v>20796.519276108946</v>
      </c>
    </row>
    <row r="1457" spans="1:33" ht="11.25" customHeight="1" x14ac:dyDescent="0.25">
      <c r="A1457" s="4" t="s">
        <v>28</v>
      </c>
      <c r="B1457" s="4" t="s">
        <v>22</v>
      </c>
      <c r="C1457" s="4" t="s">
        <v>33</v>
      </c>
      <c r="D1457" s="4" t="s">
        <v>24</v>
      </c>
      <c r="E1457" s="4" t="s">
        <v>24</v>
      </c>
      <c r="F1457" s="4" t="s">
        <v>25</v>
      </c>
      <c r="G1457" s="4" t="s">
        <v>25</v>
      </c>
      <c r="H1457" s="4" t="s">
        <v>35</v>
      </c>
      <c r="I1457" s="5">
        <v>44713</v>
      </c>
      <c r="J1457" s="6">
        <v>0</v>
      </c>
      <c r="K1457" s="6">
        <v>0</v>
      </c>
      <c r="L1457" s="6">
        <v>1.5329999999999999</v>
      </c>
      <c r="M1457" s="6">
        <v>1.5329999999999999</v>
      </c>
      <c r="N1457" s="6">
        <v>1.5329999999999999</v>
      </c>
      <c r="O1457" s="6">
        <v>1.5329999999999999</v>
      </c>
      <c r="P1457" s="6">
        <v>0</v>
      </c>
      <c r="Q1457" s="4" t="s">
        <v>26</v>
      </c>
      <c r="R1457" s="4">
        <v>0</v>
      </c>
      <c r="S1457" s="6">
        <v>0</v>
      </c>
      <c r="T1457" s="6">
        <v>62</v>
      </c>
      <c r="U1457" s="6">
        <v>71</v>
      </c>
      <c r="V1457" s="6">
        <f>IF(ISERROR(VLOOKUP($S$1457,'TAR FIN'!$A$1:$O$104,15,0)),0,VLOOKUP($S$1457,'TAR FIN'!$A$1:$O$104,15,0))</f>
        <v>0</v>
      </c>
      <c r="W1457" s="6">
        <f>IF(ISERROR(VLOOKUP($T$1457,'TAR FIN'!$A$1:$O$104,15,0)),0,VLOOKUP($T$1457,'TAR FIN'!$A$1:$O$104,15,0))</f>
        <v>250.09</v>
      </c>
      <c r="X1457" s="6">
        <f>IF(ISERROR(VLOOKUP($U$1457,'TAR FIN'!$A$1:$O$104,15,0)),0,VLOOKUP($U$1457,'TAR FIN'!$A$1:$O$104,15,0))</f>
        <v>242.82</v>
      </c>
      <c r="Y1457" s="6"/>
      <c r="Z1457" s="6">
        <f ca="1">('TUSD BE'!$AM$33+'TUSD BF'!$AM$33+'TUSD CVA'!$AM$33)*1</f>
        <v>265.36383990152245</v>
      </c>
      <c r="AA1457" s="6">
        <f>('TE BE'!$AB$12+'TE BF'!$AB$12+'TE CVA'!$AB$12)*1</f>
        <v>231.76257384332172</v>
      </c>
      <c r="AB1457" s="6">
        <f>$K$1457*$V$1457</f>
        <v>0</v>
      </c>
      <c r="AC1457" s="6">
        <f>$M$1457*$W$1457</f>
        <v>383.38797</v>
      </c>
      <c r="AD1457" s="6">
        <f>$O$1457*$X$1457</f>
        <v>372.24305999999996</v>
      </c>
      <c r="AE1457" s="6">
        <f>$K$1457*$Y$1457</f>
        <v>0</v>
      </c>
      <c r="AF1457" s="6">
        <f ca="1">$M$1457*$Z$1457</f>
        <v>406.80276656903391</v>
      </c>
      <c r="AG1457" s="6">
        <f>$O$1457*$AA$1457</f>
        <v>355.29202570181218</v>
      </c>
    </row>
    <row r="1458" spans="1:33" ht="11.25" customHeight="1" x14ac:dyDescent="0.25">
      <c r="A1458" s="4" t="s">
        <v>57</v>
      </c>
      <c r="B1458" s="4" t="s">
        <v>22</v>
      </c>
      <c r="C1458" s="4" t="s">
        <v>33</v>
      </c>
      <c r="D1458" s="4" t="s">
        <v>24</v>
      </c>
      <c r="E1458" s="4" t="s">
        <v>24</v>
      </c>
      <c r="F1458" s="4" t="s">
        <v>25</v>
      </c>
      <c r="G1458" s="4" t="s">
        <v>25</v>
      </c>
      <c r="H1458" s="4" t="s">
        <v>35</v>
      </c>
      <c r="I1458" s="5">
        <v>44743</v>
      </c>
      <c r="J1458" s="6">
        <v>0</v>
      </c>
      <c r="K1458" s="6">
        <v>0</v>
      </c>
      <c r="L1458" s="6">
        <v>89.731999999999999</v>
      </c>
      <c r="M1458" s="6">
        <v>89.731999999999999</v>
      </c>
      <c r="N1458" s="6">
        <v>89.731999999999999</v>
      </c>
      <c r="O1458" s="6">
        <v>89.731999999999999</v>
      </c>
      <c r="P1458" s="6">
        <v>0</v>
      </c>
      <c r="Q1458" s="4" t="s">
        <v>26</v>
      </c>
      <c r="R1458" s="4">
        <v>0</v>
      </c>
      <c r="S1458" s="6">
        <v>0</v>
      </c>
      <c r="T1458" s="6">
        <v>62</v>
      </c>
      <c r="U1458" s="6">
        <v>71</v>
      </c>
      <c r="V1458" s="6">
        <f>IF(ISERROR(VLOOKUP($S$1458,'TAR FIN'!$A$1:$O$104,15,0)),0,VLOOKUP($S$1458,'TAR FIN'!$A$1:$O$104,15,0))</f>
        <v>0</v>
      </c>
      <c r="W1458" s="6">
        <f>IF(ISERROR(VLOOKUP($T$1458,'TAR FIN'!$A$1:$O$104,15,0)),0,VLOOKUP($T$1458,'TAR FIN'!$A$1:$O$104,15,0))</f>
        <v>250.09</v>
      </c>
      <c r="X1458" s="6">
        <f>IF(ISERROR(VLOOKUP($U$1458,'TAR FIN'!$A$1:$O$104,15,0)),0,VLOOKUP($U$1458,'TAR FIN'!$A$1:$O$104,15,0))</f>
        <v>242.82</v>
      </c>
      <c r="Y1458" s="6"/>
      <c r="Z1458" s="6">
        <f ca="1">('TUSD BE'!$AM$33+'TUSD BF'!$AM$33+'TUSD CVA'!$AM$33)*1</f>
        <v>265.36383990152245</v>
      </c>
      <c r="AA1458" s="6">
        <f>('TE BE'!$AB$12+'TE BF'!$AB$12+'TE CVA'!$AB$12)*1</f>
        <v>231.76257384332172</v>
      </c>
      <c r="AB1458" s="6">
        <f>$K$1458*$V$1458</f>
        <v>0</v>
      </c>
      <c r="AC1458" s="6">
        <f>$M$1458*$W$1458</f>
        <v>22441.07588</v>
      </c>
      <c r="AD1458" s="6">
        <f>$O$1458*$X$1458</f>
        <v>21788.72424</v>
      </c>
      <c r="AE1458" s="6">
        <f>$K$1458*$Y$1458</f>
        <v>0</v>
      </c>
      <c r="AF1458" s="6">
        <f ca="1">$M$1458*$Z$1458</f>
        <v>23811.628082043411</v>
      </c>
      <c r="AG1458" s="6">
        <f>$O$1458*$AA$1458</f>
        <v>20796.519276108946</v>
      </c>
    </row>
    <row r="1459" spans="1:33" ht="11.25" customHeight="1" x14ac:dyDescent="0.25">
      <c r="A1459" s="4" t="s">
        <v>57</v>
      </c>
      <c r="B1459" s="4" t="s">
        <v>22</v>
      </c>
      <c r="C1459" s="4" t="s">
        <v>33</v>
      </c>
      <c r="D1459" s="4" t="s">
        <v>24</v>
      </c>
      <c r="E1459" s="4" t="s">
        <v>24</v>
      </c>
      <c r="F1459" s="4" t="s">
        <v>25</v>
      </c>
      <c r="G1459" s="4" t="s">
        <v>25</v>
      </c>
      <c r="H1459" s="4" t="s">
        <v>35</v>
      </c>
      <c r="I1459" s="5">
        <v>44743</v>
      </c>
      <c r="J1459" s="6">
        <v>0</v>
      </c>
      <c r="K1459" s="6">
        <v>0</v>
      </c>
      <c r="L1459" s="6">
        <v>1.5329999999999999</v>
      </c>
      <c r="M1459" s="6">
        <v>1.5329999999999999</v>
      </c>
      <c r="N1459" s="6">
        <v>1.5329999999999999</v>
      </c>
      <c r="O1459" s="6">
        <v>1.5329999999999999</v>
      </c>
      <c r="P1459" s="6">
        <v>0</v>
      </c>
      <c r="Q1459" s="4" t="s">
        <v>26</v>
      </c>
      <c r="R1459" s="4">
        <v>0</v>
      </c>
      <c r="S1459" s="6">
        <v>0</v>
      </c>
      <c r="T1459" s="6">
        <v>62</v>
      </c>
      <c r="U1459" s="6">
        <v>71</v>
      </c>
      <c r="V1459" s="6">
        <f>IF(ISERROR(VLOOKUP($S$1459,'TAR FIN'!$A$1:$O$104,15,0)),0,VLOOKUP($S$1459,'TAR FIN'!$A$1:$O$104,15,0))</f>
        <v>0</v>
      </c>
      <c r="W1459" s="6">
        <f>IF(ISERROR(VLOOKUP($T$1459,'TAR FIN'!$A$1:$O$104,15,0)),0,VLOOKUP($T$1459,'TAR FIN'!$A$1:$O$104,15,0))</f>
        <v>250.09</v>
      </c>
      <c r="X1459" s="6">
        <f>IF(ISERROR(VLOOKUP($U$1459,'TAR FIN'!$A$1:$O$104,15,0)),0,VLOOKUP($U$1459,'TAR FIN'!$A$1:$O$104,15,0))</f>
        <v>242.82</v>
      </c>
      <c r="Y1459" s="6"/>
      <c r="Z1459" s="6">
        <f ca="1">('TUSD BE'!$AM$33+'TUSD BF'!$AM$33+'TUSD CVA'!$AM$33)*1</f>
        <v>265.36383990152245</v>
      </c>
      <c r="AA1459" s="6">
        <f>('TE BE'!$AB$12+'TE BF'!$AB$12+'TE CVA'!$AB$12)*1</f>
        <v>231.76257384332172</v>
      </c>
      <c r="AB1459" s="6">
        <f>$K$1459*$V$1459</f>
        <v>0</v>
      </c>
      <c r="AC1459" s="6">
        <f>$M$1459*$W$1459</f>
        <v>383.38797</v>
      </c>
      <c r="AD1459" s="6">
        <f>$O$1459*$X$1459</f>
        <v>372.24305999999996</v>
      </c>
      <c r="AE1459" s="6">
        <f>$K$1459*$Y$1459</f>
        <v>0</v>
      </c>
      <c r="AF1459" s="6">
        <f ca="1">$M$1459*$Z$1459</f>
        <v>406.80276656903391</v>
      </c>
      <c r="AG1459" s="6">
        <f>$O$1459*$AA$1459</f>
        <v>355.29202570181218</v>
      </c>
    </row>
    <row r="1460" spans="1:33" ht="11.25" customHeight="1" x14ac:dyDescent="0.25">
      <c r="A1460" s="4" t="s">
        <v>21</v>
      </c>
      <c r="B1460" s="4" t="s">
        <v>22</v>
      </c>
      <c r="C1460" s="4" t="s">
        <v>33</v>
      </c>
      <c r="D1460" s="4" t="s">
        <v>24</v>
      </c>
      <c r="E1460" s="4" t="s">
        <v>24</v>
      </c>
      <c r="F1460" s="4" t="s">
        <v>25</v>
      </c>
      <c r="G1460" s="4" t="s">
        <v>25</v>
      </c>
      <c r="H1460" s="4" t="s">
        <v>36</v>
      </c>
      <c r="I1460" s="5">
        <v>44409</v>
      </c>
      <c r="J1460" s="6">
        <v>0</v>
      </c>
      <c r="K1460" s="6">
        <v>0</v>
      </c>
      <c r="L1460" s="6">
        <v>5.984</v>
      </c>
      <c r="M1460" s="6">
        <v>5.984</v>
      </c>
      <c r="N1460" s="6">
        <v>5.984</v>
      </c>
      <c r="O1460" s="6">
        <v>5.984</v>
      </c>
      <c r="P1460" s="6">
        <v>0</v>
      </c>
      <c r="Q1460" s="4" t="s">
        <v>26</v>
      </c>
      <c r="R1460" s="4">
        <v>0</v>
      </c>
      <c r="S1460" s="6">
        <v>0</v>
      </c>
      <c r="T1460" s="6">
        <v>60</v>
      </c>
      <c r="U1460" s="6">
        <v>70</v>
      </c>
      <c r="V1460" s="6">
        <f>IF(ISERROR(VLOOKUP($S$1460,'TAR FIN'!$A$1:$O$104,15,0)),0,VLOOKUP($S$1460,'TAR FIN'!$A$1:$O$104,15,0))</f>
        <v>0</v>
      </c>
      <c r="W1460" s="6">
        <f>IF(ISERROR(VLOOKUP($T$1460,'TAR FIN'!$A$1:$O$104,15,0)),0,VLOOKUP($T$1460,'TAR FIN'!$A$1:$O$104,15,0))</f>
        <v>574.03</v>
      </c>
      <c r="X1460" s="6">
        <f>IF(ISERROR(VLOOKUP($U$1460,'TAR FIN'!$A$1:$O$104,15,0)),0,VLOOKUP($U$1460,'TAR FIN'!$A$1:$O$104,15,0))</f>
        <v>242.82</v>
      </c>
      <c r="Y1460" s="6"/>
      <c r="Z1460" s="6">
        <f ca="1">('TUSD BE'!$AM$32+'TUSD BF'!$AM$32+'TUSD CVA'!$AM$32)*1</f>
        <v>589.79436942597431</v>
      </c>
      <c r="AA1460" s="6">
        <f>('TE BE'!$AB$11+'TE BF'!$AB$11+'TE CVA'!$AB$11)*1</f>
        <v>231.76257384332172</v>
      </c>
      <c r="AB1460" s="6">
        <f>$K$1460*$V$1460</f>
        <v>0</v>
      </c>
      <c r="AC1460" s="6">
        <f>$M$1460*$W$1460</f>
        <v>3434.9955199999999</v>
      </c>
      <c r="AD1460" s="6">
        <f>$O$1460*$X$1460</f>
        <v>1453.0348799999999</v>
      </c>
      <c r="AE1460" s="6">
        <f>$K$1460*$Y$1460</f>
        <v>0</v>
      </c>
      <c r="AF1460" s="6">
        <f ca="1">$M$1460*$Z$1460</f>
        <v>3529.3295066450301</v>
      </c>
      <c r="AG1460" s="6">
        <f>$O$1460*$AA$1460</f>
        <v>1386.8672418784372</v>
      </c>
    </row>
    <row r="1461" spans="1:33" ht="11.25" customHeight="1" x14ac:dyDescent="0.25">
      <c r="A1461" s="4" t="s">
        <v>28</v>
      </c>
      <c r="B1461" s="4" t="s">
        <v>22</v>
      </c>
      <c r="C1461" s="4" t="s">
        <v>33</v>
      </c>
      <c r="D1461" s="4" t="s">
        <v>24</v>
      </c>
      <c r="E1461" s="4" t="s">
        <v>24</v>
      </c>
      <c r="F1461" s="4" t="s">
        <v>25</v>
      </c>
      <c r="G1461" s="4" t="s">
        <v>25</v>
      </c>
      <c r="H1461" s="4" t="s">
        <v>36</v>
      </c>
      <c r="I1461" s="5">
        <v>44409</v>
      </c>
      <c r="J1461" s="6">
        <v>0</v>
      </c>
      <c r="K1461" s="6">
        <v>0</v>
      </c>
      <c r="L1461" s="6">
        <v>6.2E-2</v>
      </c>
      <c r="M1461" s="6">
        <v>6.2E-2</v>
      </c>
      <c r="N1461" s="6">
        <v>6.2E-2</v>
      </c>
      <c r="O1461" s="6">
        <v>6.2E-2</v>
      </c>
      <c r="P1461" s="6">
        <v>0</v>
      </c>
      <c r="Q1461" s="4" t="s">
        <v>26</v>
      </c>
      <c r="R1461" s="4">
        <v>0</v>
      </c>
      <c r="S1461" s="6">
        <v>0</v>
      </c>
      <c r="T1461" s="6">
        <v>60</v>
      </c>
      <c r="U1461" s="6">
        <v>70</v>
      </c>
      <c r="V1461" s="6">
        <f>IF(ISERROR(VLOOKUP($S$1461,'TAR FIN'!$A$1:$O$104,15,0)),0,VLOOKUP($S$1461,'TAR FIN'!$A$1:$O$104,15,0))</f>
        <v>0</v>
      </c>
      <c r="W1461" s="6">
        <f>IF(ISERROR(VLOOKUP($T$1461,'TAR FIN'!$A$1:$O$104,15,0)),0,VLOOKUP($T$1461,'TAR FIN'!$A$1:$O$104,15,0))</f>
        <v>574.03</v>
      </c>
      <c r="X1461" s="6">
        <f>IF(ISERROR(VLOOKUP($U$1461,'TAR FIN'!$A$1:$O$104,15,0)),0,VLOOKUP($U$1461,'TAR FIN'!$A$1:$O$104,15,0))</f>
        <v>242.82</v>
      </c>
      <c r="Y1461" s="6"/>
      <c r="Z1461" s="6">
        <f ca="1">('TUSD BE'!$AM$32+'TUSD BF'!$AM$32+'TUSD CVA'!$AM$32)*1</f>
        <v>589.79436942597431</v>
      </c>
      <c r="AA1461" s="6">
        <f>('TE BE'!$AB$11+'TE BF'!$AB$11+'TE CVA'!$AB$11)*1</f>
        <v>231.76257384332172</v>
      </c>
      <c r="AB1461" s="6">
        <f>$K$1461*$V$1461</f>
        <v>0</v>
      </c>
      <c r="AC1461" s="6">
        <f>$M$1461*$W$1461</f>
        <v>35.589860000000002</v>
      </c>
      <c r="AD1461" s="6">
        <f>$O$1461*$X$1461</f>
        <v>15.054839999999999</v>
      </c>
      <c r="AE1461" s="6">
        <f>$K$1461*$Y$1461</f>
        <v>0</v>
      </c>
      <c r="AF1461" s="6">
        <f ca="1">$M$1461*$Z$1461</f>
        <v>36.567250904410407</v>
      </c>
      <c r="AG1461" s="6">
        <f>$O$1461*$AA$1461</f>
        <v>14.369279578285946</v>
      </c>
    </row>
    <row r="1462" spans="1:33" ht="11.25" customHeight="1" x14ac:dyDescent="0.25">
      <c r="A1462" s="4" t="s">
        <v>21</v>
      </c>
      <c r="B1462" s="4" t="s">
        <v>22</v>
      </c>
      <c r="C1462" s="4" t="s">
        <v>33</v>
      </c>
      <c r="D1462" s="4" t="s">
        <v>24</v>
      </c>
      <c r="E1462" s="4" t="s">
        <v>24</v>
      </c>
      <c r="F1462" s="4" t="s">
        <v>25</v>
      </c>
      <c r="G1462" s="4" t="s">
        <v>25</v>
      </c>
      <c r="H1462" s="4" t="s">
        <v>36</v>
      </c>
      <c r="I1462" s="5">
        <v>44440</v>
      </c>
      <c r="J1462" s="6">
        <v>0</v>
      </c>
      <c r="K1462" s="6">
        <v>0</v>
      </c>
      <c r="L1462" s="6">
        <v>5.601</v>
      </c>
      <c r="M1462" s="6">
        <v>5.601</v>
      </c>
      <c r="N1462" s="6">
        <v>5.601</v>
      </c>
      <c r="O1462" s="6">
        <v>5.601</v>
      </c>
      <c r="P1462" s="6">
        <v>0</v>
      </c>
      <c r="Q1462" s="4" t="s">
        <v>26</v>
      </c>
      <c r="R1462" s="4">
        <v>0</v>
      </c>
      <c r="S1462" s="6">
        <v>0</v>
      </c>
      <c r="T1462" s="6">
        <v>60</v>
      </c>
      <c r="U1462" s="6">
        <v>70</v>
      </c>
      <c r="V1462" s="6">
        <f>IF(ISERROR(VLOOKUP($S$1462,'TAR FIN'!$A$1:$O$104,15,0)),0,VLOOKUP($S$1462,'TAR FIN'!$A$1:$O$104,15,0))</f>
        <v>0</v>
      </c>
      <c r="W1462" s="6">
        <f>IF(ISERROR(VLOOKUP($T$1462,'TAR FIN'!$A$1:$O$104,15,0)),0,VLOOKUP($T$1462,'TAR FIN'!$A$1:$O$104,15,0))</f>
        <v>574.03</v>
      </c>
      <c r="X1462" s="6">
        <f>IF(ISERROR(VLOOKUP($U$1462,'TAR FIN'!$A$1:$O$104,15,0)),0,VLOOKUP($U$1462,'TAR FIN'!$A$1:$O$104,15,0))</f>
        <v>242.82</v>
      </c>
      <c r="Y1462" s="6"/>
      <c r="Z1462" s="6">
        <f ca="1">('TUSD BE'!$AM$32+'TUSD BF'!$AM$32+'TUSD CVA'!$AM$32)*1</f>
        <v>589.79436942597431</v>
      </c>
      <c r="AA1462" s="6">
        <f>('TE BE'!$AB$11+'TE BF'!$AB$11+'TE CVA'!$AB$11)*1</f>
        <v>231.76257384332172</v>
      </c>
      <c r="AB1462" s="6">
        <f>$K$1462*$V$1462</f>
        <v>0</v>
      </c>
      <c r="AC1462" s="6">
        <f>$M$1462*$W$1462</f>
        <v>3215.14203</v>
      </c>
      <c r="AD1462" s="6">
        <f>$O$1462*$X$1462</f>
        <v>1360.0348199999999</v>
      </c>
      <c r="AE1462" s="6">
        <f>$K$1462*$Y$1462</f>
        <v>0</v>
      </c>
      <c r="AF1462" s="6">
        <f ca="1">$M$1462*$Z$1462</f>
        <v>3303.438263154882</v>
      </c>
      <c r="AG1462" s="6">
        <f>$O$1462*$AA$1462</f>
        <v>1298.102176096445</v>
      </c>
    </row>
    <row r="1463" spans="1:33" ht="11.25" customHeight="1" x14ac:dyDescent="0.25">
      <c r="A1463" s="4" t="s">
        <v>28</v>
      </c>
      <c r="B1463" s="4" t="s">
        <v>22</v>
      </c>
      <c r="C1463" s="4" t="s">
        <v>33</v>
      </c>
      <c r="D1463" s="4" t="s">
        <v>24</v>
      </c>
      <c r="E1463" s="4" t="s">
        <v>24</v>
      </c>
      <c r="F1463" s="4" t="s">
        <v>25</v>
      </c>
      <c r="G1463" s="4" t="s">
        <v>25</v>
      </c>
      <c r="H1463" s="4" t="s">
        <v>36</v>
      </c>
      <c r="I1463" s="5">
        <v>44440</v>
      </c>
      <c r="J1463" s="6">
        <v>0</v>
      </c>
      <c r="K1463" s="6">
        <v>0</v>
      </c>
      <c r="L1463" s="6">
        <v>6.0999999999999999E-2</v>
      </c>
      <c r="M1463" s="6">
        <v>6.0999999999999999E-2</v>
      </c>
      <c r="N1463" s="6">
        <v>6.0999999999999999E-2</v>
      </c>
      <c r="O1463" s="6">
        <v>6.0999999999999999E-2</v>
      </c>
      <c r="P1463" s="6">
        <v>0</v>
      </c>
      <c r="Q1463" s="4" t="s">
        <v>26</v>
      </c>
      <c r="R1463" s="4">
        <v>0</v>
      </c>
      <c r="S1463" s="6">
        <v>0</v>
      </c>
      <c r="T1463" s="6">
        <v>60</v>
      </c>
      <c r="U1463" s="6">
        <v>70</v>
      </c>
      <c r="V1463" s="6">
        <f>IF(ISERROR(VLOOKUP($S$1463,'TAR FIN'!$A$1:$O$104,15,0)),0,VLOOKUP($S$1463,'TAR FIN'!$A$1:$O$104,15,0))</f>
        <v>0</v>
      </c>
      <c r="W1463" s="6">
        <f>IF(ISERROR(VLOOKUP($T$1463,'TAR FIN'!$A$1:$O$104,15,0)),0,VLOOKUP($T$1463,'TAR FIN'!$A$1:$O$104,15,0))</f>
        <v>574.03</v>
      </c>
      <c r="X1463" s="6">
        <f>IF(ISERROR(VLOOKUP($U$1463,'TAR FIN'!$A$1:$O$104,15,0)),0,VLOOKUP($U$1463,'TAR FIN'!$A$1:$O$104,15,0))</f>
        <v>242.82</v>
      </c>
      <c r="Y1463" s="6"/>
      <c r="Z1463" s="6">
        <f ca="1">('TUSD BE'!$AM$32+'TUSD BF'!$AM$32+'TUSD CVA'!$AM$32)*1</f>
        <v>589.79436942597431</v>
      </c>
      <c r="AA1463" s="6">
        <f>('TE BE'!$AB$11+'TE BF'!$AB$11+'TE CVA'!$AB$11)*1</f>
        <v>231.76257384332172</v>
      </c>
      <c r="AB1463" s="6">
        <f>$K$1463*$V$1463</f>
        <v>0</v>
      </c>
      <c r="AC1463" s="6">
        <f>$M$1463*$W$1463</f>
        <v>35.015830000000001</v>
      </c>
      <c r="AD1463" s="6">
        <f>$O$1463*$X$1463</f>
        <v>14.812019999999999</v>
      </c>
      <c r="AE1463" s="6">
        <f>$K$1463*$Y$1463</f>
        <v>0</v>
      </c>
      <c r="AF1463" s="6">
        <f ca="1">$M$1463*$Z$1463</f>
        <v>35.977456534984434</v>
      </c>
      <c r="AG1463" s="6">
        <f>$O$1463*$AA$1463</f>
        <v>14.137517004442625</v>
      </c>
    </row>
    <row r="1464" spans="1:33" ht="11.25" customHeight="1" x14ac:dyDescent="0.25">
      <c r="A1464" s="4" t="s">
        <v>21</v>
      </c>
      <c r="B1464" s="4" t="s">
        <v>22</v>
      </c>
      <c r="C1464" s="4" t="s">
        <v>33</v>
      </c>
      <c r="D1464" s="4" t="s">
        <v>24</v>
      </c>
      <c r="E1464" s="4" t="s">
        <v>24</v>
      </c>
      <c r="F1464" s="4" t="s">
        <v>25</v>
      </c>
      <c r="G1464" s="4" t="s">
        <v>25</v>
      </c>
      <c r="H1464" s="4" t="s">
        <v>36</v>
      </c>
      <c r="I1464" s="5">
        <v>44470</v>
      </c>
      <c r="J1464" s="6">
        <v>0</v>
      </c>
      <c r="K1464" s="6">
        <v>0</v>
      </c>
      <c r="L1464" s="6">
        <v>5.7270000000000003</v>
      </c>
      <c r="M1464" s="6">
        <v>5.7270000000000003</v>
      </c>
      <c r="N1464" s="6">
        <v>5.7270000000000003</v>
      </c>
      <c r="O1464" s="6">
        <v>5.7270000000000003</v>
      </c>
      <c r="P1464" s="6">
        <v>0</v>
      </c>
      <c r="Q1464" s="4" t="s">
        <v>26</v>
      </c>
      <c r="R1464" s="4">
        <v>0</v>
      </c>
      <c r="S1464" s="6">
        <v>0</v>
      </c>
      <c r="T1464" s="6">
        <v>60</v>
      </c>
      <c r="U1464" s="6">
        <v>70</v>
      </c>
      <c r="V1464" s="6">
        <f>IF(ISERROR(VLOOKUP($S$1464,'TAR FIN'!$A$1:$O$104,15,0)),0,VLOOKUP($S$1464,'TAR FIN'!$A$1:$O$104,15,0))</f>
        <v>0</v>
      </c>
      <c r="W1464" s="6">
        <f>IF(ISERROR(VLOOKUP($T$1464,'TAR FIN'!$A$1:$O$104,15,0)),0,VLOOKUP($T$1464,'TAR FIN'!$A$1:$O$104,15,0))</f>
        <v>574.03</v>
      </c>
      <c r="X1464" s="6">
        <f>IF(ISERROR(VLOOKUP($U$1464,'TAR FIN'!$A$1:$O$104,15,0)),0,VLOOKUP($U$1464,'TAR FIN'!$A$1:$O$104,15,0))</f>
        <v>242.82</v>
      </c>
      <c r="Y1464" s="6"/>
      <c r="Z1464" s="6">
        <f ca="1">('TUSD BE'!$AM$32+'TUSD BF'!$AM$32+'TUSD CVA'!$AM$32)*1</f>
        <v>589.79436942597431</v>
      </c>
      <c r="AA1464" s="6">
        <f>('TE BE'!$AB$11+'TE BF'!$AB$11+'TE CVA'!$AB$11)*1</f>
        <v>231.76257384332172</v>
      </c>
      <c r="AB1464" s="6">
        <f>$K$1464*$V$1464</f>
        <v>0</v>
      </c>
      <c r="AC1464" s="6">
        <f>$M$1464*$W$1464</f>
        <v>3287.4698100000001</v>
      </c>
      <c r="AD1464" s="6">
        <f>$O$1464*$X$1464</f>
        <v>1390.63014</v>
      </c>
      <c r="AE1464" s="6">
        <f>$K$1464*$Y$1464</f>
        <v>0</v>
      </c>
      <c r="AF1464" s="6">
        <f ca="1">$M$1464*$Z$1464</f>
        <v>3377.752353702555</v>
      </c>
      <c r="AG1464" s="6">
        <f>$O$1464*$AA$1464</f>
        <v>1327.3042604007035</v>
      </c>
    </row>
    <row r="1465" spans="1:33" ht="11.25" customHeight="1" x14ac:dyDescent="0.25">
      <c r="A1465" s="4" t="s">
        <v>28</v>
      </c>
      <c r="B1465" s="4" t="s">
        <v>22</v>
      </c>
      <c r="C1465" s="4" t="s">
        <v>33</v>
      </c>
      <c r="D1465" s="4" t="s">
        <v>24</v>
      </c>
      <c r="E1465" s="4" t="s">
        <v>24</v>
      </c>
      <c r="F1465" s="4" t="s">
        <v>25</v>
      </c>
      <c r="G1465" s="4" t="s">
        <v>25</v>
      </c>
      <c r="H1465" s="4" t="s">
        <v>36</v>
      </c>
      <c r="I1465" s="5">
        <v>44470</v>
      </c>
      <c r="J1465" s="6">
        <v>0</v>
      </c>
      <c r="K1465" s="6">
        <v>0</v>
      </c>
      <c r="L1465" s="6">
        <v>5.7000000000000002E-2</v>
      </c>
      <c r="M1465" s="6">
        <v>5.7000000000000002E-2</v>
      </c>
      <c r="N1465" s="6">
        <v>5.7000000000000002E-2</v>
      </c>
      <c r="O1465" s="6">
        <v>5.7000000000000002E-2</v>
      </c>
      <c r="P1465" s="6">
        <v>0</v>
      </c>
      <c r="Q1465" s="4" t="s">
        <v>26</v>
      </c>
      <c r="R1465" s="4">
        <v>0</v>
      </c>
      <c r="S1465" s="6">
        <v>0</v>
      </c>
      <c r="T1465" s="6">
        <v>60</v>
      </c>
      <c r="U1465" s="6">
        <v>70</v>
      </c>
      <c r="V1465" s="6">
        <f>IF(ISERROR(VLOOKUP($S$1465,'TAR FIN'!$A$1:$O$104,15,0)),0,VLOOKUP($S$1465,'TAR FIN'!$A$1:$O$104,15,0))</f>
        <v>0</v>
      </c>
      <c r="W1465" s="6">
        <f>IF(ISERROR(VLOOKUP($T$1465,'TAR FIN'!$A$1:$O$104,15,0)),0,VLOOKUP($T$1465,'TAR FIN'!$A$1:$O$104,15,0))</f>
        <v>574.03</v>
      </c>
      <c r="X1465" s="6">
        <f>IF(ISERROR(VLOOKUP($U$1465,'TAR FIN'!$A$1:$O$104,15,0)),0,VLOOKUP($U$1465,'TAR FIN'!$A$1:$O$104,15,0))</f>
        <v>242.82</v>
      </c>
      <c r="Y1465" s="6"/>
      <c r="Z1465" s="6">
        <f ca="1">('TUSD BE'!$AM$32+'TUSD BF'!$AM$32+'TUSD CVA'!$AM$32)*1</f>
        <v>589.79436942597431</v>
      </c>
      <c r="AA1465" s="6">
        <f>('TE BE'!$AB$11+'TE BF'!$AB$11+'TE CVA'!$AB$11)*1</f>
        <v>231.76257384332172</v>
      </c>
      <c r="AB1465" s="6">
        <f>$K$1465*$V$1465</f>
        <v>0</v>
      </c>
      <c r="AC1465" s="6">
        <f>$M$1465*$W$1465</f>
        <v>32.719709999999999</v>
      </c>
      <c r="AD1465" s="6">
        <f>$O$1465*$X$1465</f>
        <v>13.84074</v>
      </c>
      <c r="AE1465" s="6">
        <f>$K$1465*$Y$1465</f>
        <v>0</v>
      </c>
      <c r="AF1465" s="6">
        <f ca="1">$M$1465*$Z$1465</f>
        <v>33.618279057280539</v>
      </c>
      <c r="AG1465" s="6">
        <f>$O$1465*$AA$1465</f>
        <v>13.210466709069339</v>
      </c>
    </row>
    <row r="1466" spans="1:33" ht="11.25" customHeight="1" x14ac:dyDescent="0.25">
      <c r="A1466" s="4" t="s">
        <v>21</v>
      </c>
      <c r="B1466" s="4" t="s">
        <v>22</v>
      </c>
      <c r="C1466" s="4" t="s">
        <v>33</v>
      </c>
      <c r="D1466" s="4" t="s">
        <v>24</v>
      </c>
      <c r="E1466" s="4" t="s">
        <v>24</v>
      </c>
      <c r="F1466" s="4" t="s">
        <v>25</v>
      </c>
      <c r="G1466" s="4" t="s">
        <v>25</v>
      </c>
      <c r="H1466" s="4" t="s">
        <v>36</v>
      </c>
      <c r="I1466" s="5">
        <v>44501</v>
      </c>
      <c r="J1466" s="6">
        <v>0</v>
      </c>
      <c r="K1466" s="6">
        <v>0</v>
      </c>
      <c r="L1466" s="6">
        <v>5.4740000000000002</v>
      </c>
      <c r="M1466" s="6">
        <v>5.4740000000000002</v>
      </c>
      <c r="N1466" s="6">
        <v>5.4740000000000002</v>
      </c>
      <c r="O1466" s="6">
        <v>5.4740000000000002</v>
      </c>
      <c r="P1466" s="6">
        <v>0</v>
      </c>
      <c r="Q1466" s="4" t="s">
        <v>26</v>
      </c>
      <c r="R1466" s="4">
        <v>0</v>
      </c>
      <c r="S1466" s="6">
        <v>0</v>
      </c>
      <c r="T1466" s="6">
        <v>60</v>
      </c>
      <c r="U1466" s="6">
        <v>70</v>
      </c>
      <c r="V1466" s="6">
        <f>IF(ISERROR(VLOOKUP($S$1466,'TAR FIN'!$A$1:$O$104,15,0)),0,VLOOKUP($S$1466,'TAR FIN'!$A$1:$O$104,15,0))</f>
        <v>0</v>
      </c>
      <c r="W1466" s="6">
        <f>IF(ISERROR(VLOOKUP($T$1466,'TAR FIN'!$A$1:$O$104,15,0)),0,VLOOKUP($T$1466,'TAR FIN'!$A$1:$O$104,15,0))</f>
        <v>574.03</v>
      </c>
      <c r="X1466" s="6">
        <f>IF(ISERROR(VLOOKUP($U$1466,'TAR FIN'!$A$1:$O$104,15,0)),0,VLOOKUP($U$1466,'TAR FIN'!$A$1:$O$104,15,0))</f>
        <v>242.82</v>
      </c>
      <c r="Y1466" s="6"/>
      <c r="Z1466" s="6">
        <f ca="1">('TUSD BE'!$AM$32+'TUSD BF'!$AM$32+'TUSD CVA'!$AM$32)*1</f>
        <v>589.79436942597431</v>
      </c>
      <c r="AA1466" s="6">
        <f>('TE BE'!$AB$11+'TE BF'!$AB$11+'TE CVA'!$AB$11)*1</f>
        <v>231.76257384332172</v>
      </c>
      <c r="AB1466" s="6">
        <f>$K$1466*$V$1466</f>
        <v>0</v>
      </c>
      <c r="AC1466" s="6">
        <f>$M$1466*$W$1466</f>
        <v>3142.2402200000001</v>
      </c>
      <c r="AD1466" s="6">
        <f>$O$1466*$X$1466</f>
        <v>1329.19668</v>
      </c>
      <c r="AE1466" s="6">
        <f>$K$1466*$Y$1466</f>
        <v>0</v>
      </c>
      <c r="AF1466" s="6">
        <f ca="1">$M$1466*$Z$1466</f>
        <v>3228.5343782377836</v>
      </c>
      <c r="AG1466" s="6">
        <f>$O$1466*$AA$1466</f>
        <v>1268.6683292183432</v>
      </c>
    </row>
    <row r="1467" spans="1:33" ht="11.25" customHeight="1" x14ac:dyDescent="0.25">
      <c r="A1467" s="4" t="s">
        <v>27</v>
      </c>
      <c r="B1467" s="4" t="s">
        <v>22</v>
      </c>
      <c r="C1467" s="4" t="s">
        <v>33</v>
      </c>
      <c r="D1467" s="4" t="s">
        <v>24</v>
      </c>
      <c r="E1467" s="4" t="s">
        <v>24</v>
      </c>
      <c r="F1467" s="4" t="s">
        <v>25</v>
      </c>
      <c r="G1467" s="4" t="s">
        <v>25</v>
      </c>
      <c r="H1467" s="4" t="s">
        <v>36</v>
      </c>
      <c r="I1467" s="5">
        <v>44501</v>
      </c>
      <c r="J1467" s="6">
        <v>0</v>
      </c>
      <c r="K1467" s="6">
        <v>0</v>
      </c>
      <c r="L1467" s="6">
        <v>1.9E-2</v>
      </c>
      <c r="M1467" s="6">
        <v>1.9E-2</v>
      </c>
      <c r="N1467" s="6">
        <v>1.9E-2</v>
      </c>
      <c r="O1467" s="6">
        <v>1.9E-2</v>
      </c>
      <c r="P1467" s="6">
        <v>0</v>
      </c>
      <c r="Q1467" s="4" t="s">
        <v>26</v>
      </c>
      <c r="R1467" s="4">
        <v>0</v>
      </c>
      <c r="S1467" s="6">
        <v>0</v>
      </c>
      <c r="T1467" s="6">
        <v>60</v>
      </c>
      <c r="U1467" s="6">
        <v>70</v>
      </c>
      <c r="V1467" s="6">
        <f>IF(ISERROR(VLOOKUP($S$1467,'TAR FIN'!$A$1:$O$104,15,0)),0,VLOOKUP($S$1467,'TAR FIN'!$A$1:$O$104,15,0))</f>
        <v>0</v>
      </c>
      <c r="W1467" s="6">
        <f>IF(ISERROR(VLOOKUP($T$1467,'TAR FIN'!$A$1:$O$104,15,0)),0,VLOOKUP($T$1467,'TAR FIN'!$A$1:$O$104,15,0))</f>
        <v>574.03</v>
      </c>
      <c r="X1467" s="6">
        <f>IF(ISERROR(VLOOKUP($U$1467,'TAR FIN'!$A$1:$O$104,15,0)),0,VLOOKUP($U$1467,'TAR FIN'!$A$1:$O$104,15,0))</f>
        <v>242.82</v>
      </c>
      <c r="Y1467" s="6"/>
      <c r="Z1467" s="6">
        <f ca="1">('TUSD BE'!$AM$32+'TUSD BF'!$AM$32+'TUSD CVA'!$AM$32)*1</f>
        <v>589.79436942597431</v>
      </c>
      <c r="AA1467" s="6">
        <f>('TE BE'!$AB$11+'TE BF'!$AB$11+'TE CVA'!$AB$11)*1</f>
        <v>231.76257384332172</v>
      </c>
      <c r="AB1467" s="6">
        <f>$K$1467*$V$1467</f>
        <v>0</v>
      </c>
      <c r="AC1467" s="6">
        <f>$M$1467*$W$1467</f>
        <v>10.906569999999999</v>
      </c>
      <c r="AD1467" s="6">
        <f>$O$1467*$X$1467</f>
        <v>4.6135799999999998</v>
      </c>
      <c r="AE1467" s="6">
        <f>$K$1467*$Y$1467</f>
        <v>0</v>
      </c>
      <c r="AF1467" s="6">
        <f ca="1">$M$1467*$Z$1467</f>
        <v>11.206093019093512</v>
      </c>
      <c r="AG1467" s="6">
        <f>$O$1467*$AA$1467</f>
        <v>4.4034889030231126</v>
      </c>
    </row>
    <row r="1468" spans="1:33" ht="11.25" customHeight="1" x14ac:dyDescent="0.25">
      <c r="A1468" s="4" t="s">
        <v>28</v>
      </c>
      <c r="B1468" s="4" t="s">
        <v>22</v>
      </c>
      <c r="C1468" s="4" t="s">
        <v>33</v>
      </c>
      <c r="D1468" s="4" t="s">
        <v>24</v>
      </c>
      <c r="E1468" s="4" t="s">
        <v>24</v>
      </c>
      <c r="F1468" s="4" t="s">
        <v>25</v>
      </c>
      <c r="G1468" s="4" t="s">
        <v>25</v>
      </c>
      <c r="H1468" s="4" t="s">
        <v>36</v>
      </c>
      <c r="I1468" s="5">
        <v>44501</v>
      </c>
      <c r="J1468" s="6">
        <v>0</v>
      </c>
      <c r="K1468" s="6">
        <v>0</v>
      </c>
      <c r="L1468" s="6">
        <v>0.18</v>
      </c>
      <c r="M1468" s="6">
        <v>0.18</v>
      </c>
      <c r="N1468" s="6">
        <v>0.18</v>
      </c>
      <c r="O1468" s="6">
        <v>0.18</v>
      </c>
      <c r="P1468" s="6">
        <v>0</v>
      </c>
      <c r="Q1468" s="4" t="s">
        <v>26</v>
      </c>
      <c r="R1468" s="4">
        <v>0</v>
      </c>
      <c r="S1468" s="6">
        <v>0</v>
      </c>
      <c r="T1468" s="6">
        <v>60</v>
      </c>
      <c r="U1468" s="6">
        <v>70</v>
      </c>
      <c r="V1468" s="6">
        <f>IF(ISERROR(VLOOKUP($S$1468,'TAR FIN'!$A$1:$O$104,15,0)),0,VLOOKUP($S$1468,'TAR FIN'!$A$1:$O$104,15,0))</f>
        <v>0</v>
      </c>
      <c r="W1468" s="6">
        <f>IF(ISERROR(VLOOKUP($T$1468,'TAR FIN'!$A$1:$O$104,15,0)),0,VLOOKUP($T$1468,'TAR FIN'!$A$1:$O$104,15,0))</f>
        <v>574.03</v>
      </c>
      <c r="X1468" s="6">
        <f>IF(ISERROR(VLOOKUP($U$1468,'TAR FIN'!$A$1:$O$104,15,0)),0,VLOOKUP($U$1468,'TAR FIN'!$A$1:$O$104,15,0))</f>
        <v>242.82</v>
      </c>
      <c r="Y1468" s="6"/>
      <c r="Z1468" s="6">
        <f ca="1">('TUSD BE'!$AM$32+'TUSD BF'!$AM$32+'TUSD CVA'!$AM$32)*1</f>
        <v>589.79436942597431</v>
      </c>
      <c r="AA1468" s="6">
        <f>('TE BE'!$AB$11+'TE BF'!$AB$11+'TE CVA'!$AB$11)*1</f>
        <v>231.76257384332172</v>
      </c>
      <c r="AB1468" s="6">
        <f>$K$1468*$V$1468</f>
        <v>0</v>
      </c>
      <c r="AC1468" s="6">
        <f>$M$1468*$W$1468</f>
        <v>103.32539999999999</v>
      </c>
      <c r="AD1468" s="6">
        <f>$O$1468*$X$1468</f>
        <v>43.707599999999999</v>
      </c>
      <c r="AE1468" s="6">
        <f>$K$1468*$Y$1468</f>
        <v>0</v>
      </c>
      <c r="AF1468" s="6">
        <f ca="1">$M$1468*$Z$1468</f>
        <v>106.16298649667537</v>
      </c>
      <c r="AG1468" s="6">
        <f>$O$1468*$AA$1468</f>
        <v>41.717263291797906</v>
      </c>
    </row>
    <row r="1469" spans="1:33" ht="11.25" customHeight="1" x14ac:dyDescent="0.25">
      <c r="A1469" s="4" t="s">
        <v>21</v>
      </c>
      <c r="B1469" s="4" t="s">
        <v>22</v>
      </c>
      <c r="C1469" s="4" t="s">
        <v>33</v>
      </c>
      <c r="D1469" s="4" t="s">
        <v>24</v>
      </c>
      <c r="E1469" s="4" t="s">
        <v>24</v>
      </c>
      <c r="F1469" s="4" t="s">
        <v>25</v>
      </c>
      <c r="G1469" s="4" t="s">
        <v>25</v>
      </c>
      <c r="H1469" s="4" t="s">
        <v>36</v>
      </c>
      <c r="I1469" s="5">
        <v>44531</v>
      </c>
      <c r="J1469" s="6">
        <v>0</v>
      </c>
      <c r="K1469" s="6">
        <v>0</v>
      </c>
      <c r="L1469" s="6">
        <v>7.3079999999999998</v>
      </c>
      <c r="M1469" s="6">
        <v>7.3079999999999998</v>
      </c>
      <c r="N1469" s="6">
        <v>7.3079999999999998</v>
      </c>
      <c r="O1469" s="6">
        <v>7.3079999999999998</v>
      </c>
      <c r="P1469" s="6">
        <v>0</v>
      </c>
      <c r="Q1469" s="4" t="s">
        <v>26</v>
      </c>
      <c r="R1469" s="4">
        <v>0</v>
      </c>
      <c r="S1469" s="6">
        <v>0</v>
      </c>
      <c r="T1469" s="6">
        <v>60</v>
      </c>
      <c r="U1469" s="6">
        <v>70</v>
      </c>
      <c r="V1469" s="6">
        <f>IF(ISERROR(VLOOKUP($S$1469,'TAR FIN'!$A$1:$O$104,15,0)),0,VLOOKUP($S$1469,'TAR FIN'!$A$1:$O$104,15,0))</f>
        <v>0</v>
      </c>
      <c r="W1469" s="6">
        <f>IF(ISERROR(VLOOKUP($T$1469,'TAR FIN'!$A$1:$O$104,15,0)),0,VLOOKUP($T$1469,'TAR FIN'!$A$1:$O$104,15,0))</f>
        <v>574.03</v>
      </c>
      <c r="X1469" s="6">
        <f>IF(ISERROR(VLOOKUP($U$1469,'TAR FIN'!$A$1:$O$104,15,0)),0,VLOOKUP($U$1469,'TAR FIN'!$A$1:$O$104,15,0))</f>
        <v>242.82</v>
      </c>
      <c r="Y1469" s="6"/>
      <c r="Z1469" s="6">
        <f ca="1">('TUSD BE'!$AM$32+'TUSD BF'!$AM$32+'TUSD CVA'!$AM$32)*1</f>
        <v>589.79436942597431</v>
      </c>
      <c r="AA1469" s="6">
        <f>('TE BE'!$AB$11+'TE BF'!$AB$11+'TE CVA'!$AB$11)*1</f>
        <v>231.76257384332172</v>
      </c>
      <c r="AB1469" s="6">
        <f>$K$1469*$V$1469</f>
        <v>0</v>
      </c>
      <c r="AC1469" s="6">
        <f>$M$1469*$W$1469</f>
        <v>4195.0112399999998</v>
      </c>
      <c r="AD1469" s="6">
        <f>$O$1469*$X$1469</f>
        <v>1774.52856</v>
      </c>
      <c r="AE1469" s="6">
        <f>$K$1469*$Y$1469</f>
        <v>0</v>
      </c>
      <c r="AF1469" s="6">
        <f ca="1">$M$1469*$Z$1469</f>
        <v>4310.2172517650206</v>
      </c>
      <c r="AG1469" s="6">
        <f>$O$1469*$AA$1469</f>
        <v>1693.7208896469951</v>
      </c>
    </row>
    <row r="1470" spans="1:33" ht="11.25" customHeight="1" x14ac:dyDescent="0.25">
      <c r="A1470" s="4" t="s">
        <v>27</v>
      </c>
      <c r="B1470" s="4" t="s">
        <v>22</v>
      </c>
      <c r="C1470" s="4" t="s">
        <v>33</v>
      </c>
      <c r="D1470" s="4" t="s">
        <v>24</v>
      </c>
      <c r="E1470" s="4" t="s">
        <v>24</v>
      </c>
      <c r="F1470" s="4" t="s">
        <v>25</v>
      </c>
      <c r="G1470" s="4" t="s">
        <v>25</v>
      </c>
      <c r="H1470" s="4" t="s">
        <v>36</v>
      </c>
      <c r="I1470" s="5">
        <v>44531</v>
      </c>
      <c r="J1470" s="6">
        <v>0</v>
      </c>
      <c r="K1470" s="6">
        <v>0</v>
      </c>
      <c r="L1470" s="6">
        <v>4.0000000000000001E-3</v>
      </c>
      <c r="M1470" s="6">
        <v>4.0000000000000001E-3</v>
      </c>
      <c r="N1470" s="6">
        <v>4.0000000000000001E-3</v>
      </c>
      <c r="O1470" s="6">
        <v>4.0000000000000001E-3</v>
      </c>
      <c r="P1470" s="6">
        <v>0</v>
      </c>
      <c r="Q1470" s="4" t="s">
        <v>26</v>
      </c>
      <c r="R1470" s="4">
        <v>0</v>
      </c>
      <c r="S1470" s="6">
        <v>0</v>
      </c>
      <c r="T1470" s="6">
        <v>60</v>
      </c>
      <c r="U1470" s="6">
        <v>70</v>
      </c>
      <c r="V1470" s="6">
        <f>IF(ISERROR(VLOOKUP($S$1470,'TAR FIN'!$A$1:$O$104,15,0)),0,VLOOKUP($S$1470,'TAR FIN'!$A$1:$O$104,15,0))</f>
        <v>0</v>
      </c>
      <c r="W1470" s="6">
        <f>IF(ISERROR(VLOOKUP($T$1470,'TAR FIN'!$A$1:$O$104,15,0)),0,VLOOKUP($T$1470,'TAR FIN'!$A$1:$O$104,15,0))</f>
        <v>574.03</v>
      </c>
      <c r="X1470" s="6">
        <f>IF(ISERROR(VLOOKUP($U$1470,'TAR FIN'!$A$1:$O$104,15,0)),0,VLOOKUP($U$1470,'TAR FIN'!$A$1:$O$104,15,0))</f>
        <v>242.82</v>
      </c>
      <c r="Y1470" s="6"/>
      <c r="Z1470" s="6">
        <f ca="1">('TUSD BE'!$AM$32+'TUSD BF'!$AM$32+'TUSD CVA'!$AM$32)*1</f>
        <v>589.79436942597431</v>
      </c>
      <c r="AA1470" s="6">
        <f>('TE BE'!$AB$11+'TE BF'!$AB$11+'TE CVA'!$AB$11)*1</f>
        <v>231.76257384332172</v>
      </c>
      <c r="AB1470" s="6">
        <f>$K$1470*$V$1470</f>
        <v>0</v>
      </c>
      <c r="AC1470" s="6">
        <f>$M$1470*$W$1470</f>
        <v>2.2961199999999997</v>
      </c>
      <c r="AD1470" s="6">
        <f>$O$1470*$X$1470</f>
        <v>0.97128000000000003</v>
      </c>
      <c r="AE1470" s="6">
        <f>$K$1470*$Y$1470</f>
        <v>0</v>
      </c>
      <c r="AF1470" s="6">
        <f ca="1">$M$1470*$Z$1470</f>
        <v>2.3591774777038972</v>
      </c>
      <c r="AG1470" s="6">
        <f>$O$1470*$AA$1470</f>
        <v>0.92705029537328687</v>
      </c>
    </row>
    <row r="1471" spans="1:33" ht="11.25" customHeight="1" x14ac:dyDescent="0.25">
      <c r="A1471" s="4" t="s">
        <v>28</v>
      </c>
      <c r="B1471" s="4" t="s">
        <v>22</v>
      </c>
      <c r="C1471" s="4" t="s">
        <v>33</v>
      </c>
      <c r="D1471" s="4" t="s">
        <v>24</v>
      </c>
      <c r="E1471" s="4" t="s">
        <v>24</v>
      </c>
      <c r="F1471" s="4" t="s">
        <v>25</v>
      </c>
      <c r="G1471" s="4" t="s">
        <v>25</v>
      </c>
      <c r="H1471" s="4" t="s">
        <v>36</v>
      </c>
      <c r="I1471" s="5">
        <v>44531</v>
      </c>
      <c r="J1471" s="6">
        <v>0</v>
      </c>
      <c r="K1471" s="6">
        <v>0</v>
      </c>
      <c r="L1471" s="6">
        <v>0.72</v>
      </c>
      <c r="M1471" s="6">
        <v>0.72</v>
      </c>
      <c r="N1471" s="6">
        <v>0.72</v>
      </c>
      <c r="O1471" s="6">
        <v>0.72</v>
      </c>
      <c r="P1471" s="6">
        <v>0</v>
      </c>
      <c r="Q1471" s="4" t="s">
        <v>26</v>
      </c>
      <c r="R1471" s="4">
        <v>0</v>
      </c>
      <c r="S1471" s="6">
        <v>0</v>
      </c>
      <c r="T1471" s="6">
        <v>60</v>
      </c>
      <c r="U1471" s="6">
        <v>70</v>
      </c>
      <c r="V1471" s="6">
        <f>IF(ISERROR(VLOOKUP($S$1471,'TAR FIN'!$A$1:$O$104,15,0)),0,VLOOKUP($S$1471,'TAR FIN'!$A$1:$O$104,15,0))</f>
        <v>0</v>
      </c>
      <c r="W1471" s="6">
        <f>IF(ISERROR(VLOOKUP($T$1471,'TAR FIN'!$A$1:$O$104,15,0)),0,VLOOKUP($T$1471,'TAR FIN'!$A$1:$O$104,15,0))</f>
        <v>574.03</v>
      </c>
      <c r="X1471" s="6">
        <f>IF(ISERROR(VLOOKUP($U$1471,'TAR FIN'!$A$1:$O$104,15,0)),0,VLOOKUP($U$1471,'TAR FIN'!$A$1:$O$104,15,0))</f>
        <v>242.82</v>
      </c>
      <c r="Y1471" s="6"/>
      <c r="Z1471" s="6">
        <f ca="1">('TUSD BE'!$AM$32+'TUSD BF'!$AM$32+'TUSD CVA'!$AM$32)*1</f>
        <v>589.79436942597431</v>
      </c>
      <c r="AA1471" s="6">
        <f>('TE BE'!$AB$11+'TE BF'!$AB$11+'TE CVA'!$AB$11)*1</f>
        <v>231.76257384332172</v>
      </c>
      <c r="AB1471" s="6">
        <f>$K$1471*$V$1471</f>
        <v>0</v>
      </c>
      <c r="AC1471" s="6">
        <f>$M$1471*$W$1471</f>
        <v>413.30159999999995</v>
      </c>
      <c r="AD1471" s="6">
        <f>$O$1471*$X$1471</f>
        <v>174.8304</v>
      </c>
      <c r="AE1471" s="6">
        <f>$K$1471*$Y$1471</f>
        <v>0</v>
      </c>
      <c r="AF1471" s="6">
        <f ca="1">$M$1471*$Z$1471</f>
        <v>424.65194598670149</v>
      </c>
      <c r="AG1471" s="6">
        <f>$O$1471*$AA$1471</f>
        <v>166.86905316719162</v>
      </c>
    </row>
    <row r="1472" spans="1:33" ht="11.25" customHeight="1" x14ac:dyDescent="0.25">
      <c r="A1472" s="4" t="s">
        <v>21</v>
      </c>
      <c r="B1472" s="4" t="s">
        <v>22</v>
      </c>
      <c r="C1472" s="4" t="s">
        <v>33</v>
      </c>
      <c r="D1472" s="4" t="s">
        <v>24</v>
      </c>
      <c r="E1472" s="4" t="s">
        <v>24</v>
      </c>
      <c r="F1472" s="4" t="s">
        <v>25</v>
      </c>
      <c r="G1472" s="4" t="s">
        <v>25</v>
      </c>
      <c r="H1472" s="4" t="s">
        <v>36</v>
      </c>
      <c r="I1472" s="5">
        <v>44562</v>
      </c>
      <c r="J1472" s="6">
        <v>0</v>
      </c>
      <c r="K1472" s="6">
        <v>0</v>
      </c>
      <c r="L1472" s="6">
        <v>6.7380000000000004</v>
      </c>
      <c r="M1472" s="6">
        <v>6.7380000000000004</v>
      </c>
      <c r="N1472" s="6">
        <v>6.7380000000000004</v>
      </c>
      <c r="O1472" s="6">
        <v>6.7380000000000004</v>
      </c>
      <c r="P1472" s="6">
        <v>0</v>
      </c>
      <c r="Q1472" s="4" t="s">
        <v>26</v>
      </c>
      <c r="R1472" s="4">
        <v>0</v>
      </c>
      <c r="S1472" s="6">
        <v>0</v>
      </c>
      <c r="T1472" s="6">
        <v>60</v>
      </c>
      <c r="U1472" s="6">
        <v>70</v>
      </c>
      <c r="V1472" s="6">
        <f>IF(ISERROR(VLOOKUP($S$1472,'TAR FIN'!$A$1:$O$104,15,0)),0,VLOOKUP($S$1472,'TAR FIN'!$A$1:$O$104,15,0))</f>
        <v>0</v>
      </c>
      <c r="W1472" s="6">
        <f>IF(ISERROR(VLOOKUP($T$1472,'TAR FIN'!$A$1:$O$104,15,0)),0,VLOOKUP($T$1472,'TAR FIN'!$A$1:$O$104,15,0))</f>
        <v>574.03</v>
      </c>
      <c r="X1472" s="6">
        <f>IF(ISERROR(VLOOKUP($U$1472,'TAR FIN'!$A$1:$O$104,15,0)),0,VLOOKUP($U$1472,'TAR FIN'!$A$1:$O$104,15,0))</f>
        <v>242.82</v>
      </c>
      <c r="Y1472" s="6"/>
      <c r="Z1472" s="6">
        <f ca="1">('TUSD BE'!$AM$32+'TUSD BF'!$AM$32+'TUSD CVA'!$AM$32)*1</f>
        <v>589.79436942597431</v>
      </c>
      <c r="AA1472" s="6">
        <f>('TE BE'!$AB$11+'TE BF'!$AB$11+'TE CVA'!$AB$11)*1</f>
        <v>231.76257384332172</v>
      </c>
      <c r="AB1472" s="6">
        <f>$K$1472*$V$1472</f>
        <v>0</v>
      </c>
      <c r="AC1472" s="6">
        <f>$M$1472*$W$1472</f>
        <v>3867.81414</v>
      </c>
      <c r="AD1472" s="6">
        <f>$O$1472*$X$1472</f>
        <v>1636.1211600000001</v>
      </c>
      <c r="AE1472" s="6">
        <f>$K$1472*$Y$1472</f>
        <v>0</v>
      </c>
      <c r="AF1472" s="6">
        <f ca="1">$M$1472*$Z$1472</f>
        <v>3974.0344611922151</v>
      </c>
      <c r="AG1472" s="6">
        <f>$O$1472*$AA$1472</f>
        <v>1561.6162225563019</v>
      </c>
    </row>
    <row r="1473" spans="1:33" ht="11.25" customHeight="1" x14ac:dyDescent="0.25">
      <c r="A1473" s="4" t="s">
        <v>27</v>
      </c>
      <c r="B1473" s="4" t="s">
        <v>22</v>
      </c>
      <c r="C1473" s="4" t="s">
        <v>33</v>
      </c>
      <c r="D1473" s="4" t="s">
        <v>24</v>
      </c>
      <c r="E1473" s="4" t="s">
        <v>24</v>
      </c>
      <c r="F1473" s="4" t="s">
        <v>25</v>
      </c>
      <c r="G1473" s="4" t="s">
        <v>25</v>
      </c>
      <c r="H1473" s="4" t="s">
        <v>36</v>
      </c>
      <c r="I1473" s="5">
        <v>44562</v>
      </c>
      <c r="J1473" s="6">
        <v>0</v>
      </c>
      <c r="K1473" s="6">
        <v>0</v>
      </c>
      <c r="L1473" s="6">
        <v>-0.51900000000000002</v>
      </c>
      <c r="M1473" s="6">
        <v>-0.51900000000000002</v>
      </c>
      <c r="N1473" s="6">
        <v>-0.51900000000000002</v>
      </c>
      <c r="O1473" s="6">
        <v>-0.51900000000000002</v>
      </c>
      <c r="P1473" s="6">
        <v>0</v>
      </c>
      <c r="Q1473" s="4" t="s">
        <v>26</v>
      </c>
      <c r="R1473" s="4">
        <v>0</v>
      </c>
      <c r="S1473" s="6">
        <v>0</v>
      </c>
      <c r="T1473" s="6">
        <v>60</v>
      </c>
      <c r="U1473" s="6">
        <v>70</v>
      </c>
      <c r="V1473" s="6">
        <f>IF(ISERROR(VLOOKUP($S$1473,'TAR FIN'!$A$1:$O$104,15,0)),0,VLOOKUP($S$1473,'TAR FIN'!$A$1:$O$104,15,0))</f>
        <v>0</v>
      </c>
      <c r="W1473" s="6">
        <f>IF(ISERROR(VLOOKUP($T$1473,'TAR FIN'!$A$1:$O$104,15,0)),0,VLOOKUP($T$1473,'TAR FIN'!$A$1:$O$104,15,0))</f>
        <v>574.03</v>
      </c>
      <c r="X1473" s="6">
        <f>IF(ISERROR(VLOOKUP($U$1473,'TAR FIN'!$A$1:$O$104,15,0)),0,VLOOKUP($U$1473,'TAR FIN'!$A$1:$O$104,15,0))</f>
        <v>242.82</v>
      </c>
      <c r="Y1473" s="6"/>
      <c r="Z1473" s="6">
        <f ca="1">('TUSD BE'!$AM$32+'TUSD BF'!$AM$32+'TUSD CVA'!$AM$32)*1</f>
        <v>589.79436942597431</v>
      </c>
      <c r="AA1473" s="6">
        <f>('TE BE'!$AB$11+'TE BF'!$AB$11+'TE CVA'!$AB$11)*1</f>
        <v>231.76257384332172</v>
      </c>
      <c r="AB1473" s="6">
        <f>$K$1473*$V$1473</f>
        <v>0</v>
      </c>
      <c r="AC1473" s="6">
        <f>$M$1473*$W$1473</f>
        <v>-297.92156999999997</v>
      </c>
      <c r="AD1473" s="6">
        <f>$O$1473*$X$1473</f>
        <v>-126.02358</v>
      </c>
      <c r="AE1473" s="6">
        <f>$K$1473*$Y$1473</f>
        <v>0</v>
      </c>
      <c r="AF1473" s="6">
        <f ca="1">$M$1473*$Z$1473</f>
        <v>-306.1032777320807</v>
      </c>
      <c r="AG1473" s="6">
        <f>$O$1473*$AA$1473</f>
        <v>-120.28477582468398</v>
      </c>
    </row>
    <row r="1474" spans="1:33" ht="11.25" customHeight="1" x14ac:dyDescent="0.25">
      <c r="A1474" s="4" t="s">
        <v>28</v>
      </c>
      <c r="B1474" s="4" t="s">
        <v>22</v>
      </c>
      <c r="C1474" s="4" t="s">
        <v>33</v>
      </c>
      <c r="D1474" s="4" t="s">
        <v>24</v>
      </c>
      <c r="E1474" s="4" t="s">
        <v>24</v>
      </c>
      <c r="F1474" s="4" t="s">
        <v>25</v>
      </c>
      <c r="G1474" s="4" t="s">
        <v>25</v>
      </c>
      <c r="H1474" s="4" t="s">
        <v>36</v>
      </c>
      <c r="I1474" s="5">
        <v>44562</v>
      </c>
      <c r="J1474" s="6">
        <v>0</v>
      </c>
      <c r="K1474" s="6">
        <v>0</v>
      </c>
      <c r="L1474" s="6">
        <v>0.161</v>
      </c>
      <c r="M1474" s="6">
        <v>0.161</v>
      </c>
      <c r="N1474" s="6">
        <v>0.161</v>
      </c>
      <c r="O1474" s="6">
        <v>0.161</v>
      </c>
      <c r="P1474" s="6">
        <v>0</v>
      </c>
      <c r="Q1474" s="4" t="s">
        <v>26</v>
      </c>
      <c r="R1474" s="4">
        <v>0</v>
      </c>
      <c r="S1474" s="6">
        <v>0</v>
      </c>
      <c r="T1474" s="6">
        <v>60</v>
      </c>
      <c r="U1474" s="6">
        <v>70</v>
      </c>
      <c r="V1474" s="6">
        <f>IF(ISERROR(VLOOKUP($S$1474,'TAR FIN'!$A$1:$O$104,15,0)),0,VLOOKUP($S$1474,'TAR FIN'!$A$1:$O$104,15,0))</f>
        <v>0</v>
      </c>
      <c r="W1474" s="6">
        <f>IF(ISERROR(VLOOKUP($T$1474,'TAR FIN'!$A$1:$O$104,15,0)),0,VLOOKUP($T$1474,'TAR FIN'!$A$1:$O$104,15,0))</f>
        <v>574.03</v>
      </c>
      <c r="X1474" s="6">
        <f>IF(ISERROR(VLOOKUP($U$1474,'TAR FIN'!$A$1:$O$104,15,0)),0,VLOOKUP($U$1474,'TAR FIN'!$A$1:$O$104,15,0))</f>
        <v>242.82</v>
      </c>
      <c r="Y1474" s="6"/>
      <c r="Z1474" s="6">
        <f ca="1">('TUSD BE'!$AM$32+'TUSD BF'!$AM$32+'TUSD CVA'!$AM$32)*1</f>
        <v>589.79436942597431</v>
      </c>
      <c r="AA1474" s="6">
        <f>('TE BE'!$AB$11+'TE BF'!$AB$11+'TE CVA'!$AB$11)*1</f>
        <v>231.76257384332172</v>
      </c>
      <c r="AB1474" s="6">
        <f>$K$1474*$V$1474</f>
        <v>0</v>
      </c>
      <c r="AC1474" s="6">
        <f>$M$1474*$W$1474</f>
        <v>92.41883</v>
      </c>
      <c r="AD1474" s="6">
        <f>$O$1474*$X$1474</f>
        <v>39.09402</v>
      </c>
      <c r="AE1474" s="6">
        <f>$K$1474*$Y$1474</f>
        <v>0</v>
      </c>
      <c r="AF1474" s="6">
        <f ca="1">$M$1474*$Z$1474</f>
        <v>94.956893477581872</v>
      </c>
      <c r="AG1474" s="6">
        <f>$O$1474*$AA$1474</f>
        <v>37.313774388774796</v>
      </c>
    </row>
    <row r="1475" spans="1:33" ht="11.25" customHeight="1" x14ac:dyDescent="0.25">
      <c r="A1475" s="4" t="s">
        <v>28</v>
      </c>
      <c r="B1475" s="4" t="s">
        <v>22</v>
      </c>
      <c r="C1475" s="4" t="s">
        <v>33</v>
      </c>
      <c r="D1475" s="4" t="s">
        <v>24</v>
      </c>
      <c r="E1475" s="4" t="s">
        <v>24</v>
      </c>
      <c r="F1475" s="4" t="s">
        <v>25</v>
      </c>
      <c r="G1475" s="4" t="s">
        <v>25</v>
      </c>
      <c r="H1475" s="4" t="s">
        <v>36</v>
      </c>
      <c r="I1475" s="5">
        <v>44562</v>
      </c>
      <c r="J1475" s="6">
        <v>0</v>
      </c>
      <c r="K1475" s="6">
        <v>0</v>
      </c>
      <c r="L1475" s="6">
        <v>-0.57099999999999995</v>
      </c>
      <c r="M1475" s="6">
        <v>-0.57099999999999995</v>
      </c>
      <c r="N1475" s="6">
        <v>-0.57099999999999995</v>
      </c>
      <c r="O1475" s="6">
        <v>-0.57099999999999995</v>
      </c>
      <c r="P1475" s="6">
        <v>0</v>
      </c>
      <c r="Q1475" s="4" t="s">
        <v>26</v>
      </c>
      <c r="R1475" s="4">
        <v>0</v>
      </c>
      <c r="S1475" s="6">
        <v>0</v>
      </c>
      <c r="T1475" s="6">
        <v>60</v>
      </c>
      <c r="U1475" s="6">
        <v>70</v>
      </c>
      <c r="V1475" s="6">
        <f>IF(ISERROR(VLOOKUP($S$1475,'TAR FIN'!$A$1:$O$104,15,0)),0,VLOOKUP($S$1475,'TAR FIN'!$A$1:$O$104,15,0))</f>
        <v>0</v>
      </c>
      <c r="W1475" s="6">
        <f>IF(ISERROR(VLOOKUP($T$1475,'TAR FIN'!$A$1:$O$104,15,0)),0,VLOOKUP($T$1475,'TAR FIN'!$A$1:$O$104,15,0))</f>
        <v>574.03</v>
      </c>
      <c r="X1475" s="6">
        <f>IF(ISERROR(VLOOKUP($U$1475,'TAR FIN'!$A$1:$O$104,15,0)),0,VLOOKUP($U$1475,'TAR FIN'!$A$1:$O$104,15,0))</f>
        <v>242.82</v>
      </c>
      <c r="Y1475" s="6"/>
      <c r="Z1475" s="6">
        <f ca="1">('TUSD BE'!$AM$32+'TUSD BF'!$AM$32+'TUSD CVA'!$AM$32)*1</f>
        <v>589.79436942597431</v>
      </c>
      <c r="AA1475" s="6">
        <f>('TE BE'!$AB$11+'TE BF'!$AB$11+'TE CVA'!$AB$11)*1</f>
        <v>231.76257384332172</v>
      </c>
      <c r="AB1475" s="6">
        <f>$K$1475*$V$1475</f>
        <v>0</v>
      </c>
      <c r="AC1475" s="6">
        <f>$M$1475*$W$1475</f>
        <v>-327.77112999999997</v>
      </c>
      <c r="AD1475" s="6">
        <f>$O$1475*$X$1475</f>
        <v>-138.65021999999999</v>
      </c>
      <c r="AE1475" s="6">
        <f>$K$1475*$Y$1475</f>
        <v>0</v>
      </c>
      <c r="AF1475" s="6">
        <f ca="1">$M$1475*$Z$1475</f>
        <v>-336.77258494223128</v>
      </c>
      <c r="AG1475" s="6">
        <f>$O$1475*$AA$1475</f>
        <v>-132.33642966453669</v>
      </c>
    </row>
    <row r="1476" spans="1:33" ht="11.25" customHeight="1" x14ac:dyDescent="0.25">
      <c r="A1476" s="4" t="s">
        <v>21</v>
      </c>
      <c r="B1476" s="4" t="s">
        <v>22</v>
      </c>
      <c r="C1476" s="4" t="s">
        <v>33</v>
      </c>
      <c r="D1476" s="4" t="s">
        <v>24</v>
      </c>
      <c r="E1476" s="4" t="s">
        <v>24</v>
      </c>
      <c r="F1476" s="4" t="s">
        <v>25</v>
      </c>
      <c r="G1476" s="4" t="s">
        <v>25</v>
      </c>
      <c r="H1476" s="4" t="s">
        <v>36</v>
      </c>
      <c r="I1476" s="5">
        <v>44593</v>
      </c>
      <c r="J1476" s="6">
        <v>0</v>
      </c>
      <c r="K1476" s="6">
        <v>0</v>
      </c>
      <c r="L1476" s="6">
        <v>6.173</v>
      </c>
      <c r="M1476" s="6">
        <v>6.173</v>
      </c>
      <c r="N1476" s="6">
        <v>6.173</v>
      </c>
      <c r="O1476" s="6">
        <v>6.173</v>
      </c>
      <c r="P1476" s="6">
        <v>0</v>
      </c>
      <c r="Q1476" s="4" t="s">
        <v>26</v>
      </c>
      <c r="R1476" s="4">
        <v>0</v>
      </c>
      <c r="S1476" s="6">
        <v>0</v>
      </c>
      <c r="T1476" s="6">
        <v>60</v>
      </c>
      <c r="U1476" s="6">
        <v>70</v>
      </c>
      <c r="V1476" s="6">
        <f>IF(ISERROR(VLOOKUP($S$1476,'TAR FIN'!$A$1:$O$104,15,0)),0,VLOOKUP($S$1476,'TAR FIN'!$A$1:$O$104,15,0))</f>
        <v>0</v>
      </c>
      <c r="W1476" s="6">
        <f>IF(ISERROR(VLOOKUP($T$1476,'TAR FIN'!$A$1:$O$104,15,0)),0,VLOOKUP($T$1476,'TAR FIN'!$A$1:$O$104,15,0))</f>
        <v>574.03</v>
      </c>
      <c r="X1476" s="6">
        <f>IF(ISERROR(VLOOKUP($U$1476,'TAR FIN'!$A$1:$O$104,15,0)),0,VLOOKUP($U$1476,'TAR FIN'!$A$1:$O$104,15,0))</f>
        <v>242.82</v>
      </c>
      <c r="Y1476" s="6"/>
      <c r="Z1476" s="6">
        <f ca="1">('TUSD BE'!$AM$32+'TUSD BF'!$AM$32+'TUSD CVA'!$AM$32)*1</f>
        <v>589.79436942597431</v>
      </c>
      <c r="AA1476" s="6">
        <f>('TE BE'!$AB$11+'TE BF'!$AB$11+'TE CVA'!$AB$11)*1</f>
        <v>231.76257384332172</v>
      </c>
      <c r="AB1476" s="6">
        <f>$K$1476*$V$1476</f>
        <v>0</v>
      </c>
      <c r="AC1476" s="6">
        <f>$M$1476*$W$1476</f>
        <v>3543.4871899999998</v>
      </c>
      <c r="AD1476" s="6">
        <f>$O$1476*$X$1476</f>
        <v>1498.92786</v>
      </c>
      <c r="AE1476" s="6">
        <f>$K$1476*$Y$1476</f>
        <v>0</v>
      </c>
      <c r="AF1476" s="6">
        <f ca="1">$M$1476*$Z$1476</f>
        <v>3640.8006424665396</v>
      </c>
      <c r="AG1476" s="6">
        <f>$O$1476*$AA$1476</f>
        <v>1430.6703683348251</v>
      </c>
    </row>
    <row r="1477" spans="1:33" ht="11.25" customHeight="1" x14ac:dyDescent="0.25">
      <c r="A1477" s="4" t="s">
        <v>28</v>
      </c>
      <c r="B1477" s="4" t="s">
        <v>22</v>
      </c>
      <c r="C1477" s="4" t="s">
        <v>33</v>
      </c>
      <c r="D1477" s="4" t="s">
        <v>24</v>
      </c>
      <c r="E1477" s="4" t="s">
        <v>24</v>
      </c>
      <c r="F1477" s="4" t="s">
        <v>25</v>
      </c>
      <c r="G1477" s="4" t="s">
        <v>25</v>
      </c>
      <c r="H1477" s="4" t="s">
        <v>36</v>
      </c>
      <c r="I1477" s="5">
        <v>44593</v>
      </c>
      <c r="J1477" s="6">
        <v>0</v>
      </c>
      <c r="K1477" s="6">
        <v>0</v>
      </c>
      <c r="L1477" s="6">
        <v>0.14099999999999999</v>
      </c>
      <c r="M1477" s="6">
        <v>0.14099999999999999</v>
      </c>
      <c r="N1477" s="6">
        <v>0.14099999999999999</v>
      </c>
      <c r="O1477" s="6">
        <v>0.14099999999999999</v>
      </c>
      <c r="P1477" s="6">
        <v>0</v>
      </c>
      <c r="Q1477" s="4" t="s">
        <v>26</v>
      </c>
      <c r="R1477" s="4">
        <v>0</v>
      </c>
      <c r="S1477" s="6">
        <v>0</v>
      </c>
      <c r="T1477" s="6">
        <v>60</v>
      </c>
      <c r="U1477" s="6">
        <v>70</v>
      </c>
      <c r="V1477" s="6">
        <f>IF(ISERROR(VLOOKUP($S$1477,'TAR FIN'!$A$1:$O$104,15,0)),0,VLOOKUP($S$1477,'TAR FIN'!$A$1:$O$104,15,0))</f>
        <v>0</v>
      </c>
      <c r="W1477" s="6">
        <f>IF(ISERROR(VLOOKUP($T$1477,'TAR FIN'!$A$1:$O$104,15,0)),0,VLOOKUP($T$1477,'TAR FIN'!$A$1:$O$104,15,0))</f>
        <v>574.03</v>
      </c>
      <c r="X1477" s="6">
        <f>IF(ISERROR(VLOOKUP($U$1477,'TAR FIN'!$A$1:$O$104,15,0)),0,VLOOKUP($U$1477,'TAR FIN'!$A$1:$O$104,15,0))</f>
        <v>242.82</v>
      </c>
      <c r="Y1477" s="6"/>
      <c r="Z1477" s="6">
        <f ca="1">('TUSD BE'!$AM$32+'TUSD BF'!$AM$32+'TUSD CVA'!$AM$32)*1</f>
        <v>589.79436942597431</v>
      </c>
      <c r="AA1477" s="6">
        <f>('TE BE'!$AB$11+'TE BF'!$AB$11+'TE CVA'!$AB$11)*1</f>
        <v>231.76257384332172</v>
      </c>
      <c r="AB1477" s="6">
        <f>$K$1477*$V$1477</f>
        <v>0</v>
      </c>
      <c r="AC1477" s="6">
        <f>$M$1477*$W$1477</f>
        <v>80.93822999999999</v>
      </c>
      <c r="AD1477" s="6">
        <f>$O$1477*$X$1477</f>
        <v>34.237619999999993</v>
      </c>
      <c r="AE1477" s="6">
        <f>$K$1477*$Y$1477</f>
        <v>0</v>
      </c>
      <c r="AF1477" s="6">
        <f ca="1">$M$1477*$Z$1477</f>
        <v>83.161006089062369</v>
      </c>
      <c r="AG1477" s="6">
        <f>$O$1477*$AA$1477</f>
        <v>32.67852291190836</v>
      </c>
    </row>
    <row r="1478" spans="1:33" ht="11.25" customHeight="1" x14ac:dyDescent="0.25">
      <c r="A1478" s="4" t="s">
        <v>21</v>
      </c>
      <c r="B1478" s="4" t="s">
        <v>22</v>
      </c>
      <c r="C1478" s="4" t="s">
        <v>33</v>
      </c>
      <c r="D1478" s="4" t="s">
        <v>24</v>
      </c>
      <c r="E1478" s="4" t="s">
        <v>24</v>
      </c>
      <c r="F1478" s="4" t="s">
        <v>25</v>
      </c>
      <c r="G1478" s="4" t="s">
        <v>25</v>
      </c>
      <c r="H1478" s="4" t="s">
        <v>36</v>
      </c>
      <c r="I1478" s="5">
        <v>44621</v>
      </c>
      <c r="J1478" s="6">
        <v>0</v>
      </c>
      <c r="K1478" s="6">
        <v>0</v>
      </c>
      <c r="L1478" s="6">
        <v>6.5839999999999996</v>
      </c>
      <c r="M1478" s="6">
        <v>6.5839999999999996</v>
      </c>
      <c r="N1478" s="6">
        <v>6.5839999999999996</v>
      </c>
      <c r="O1478" s="6">
        <v>6.5839999999999996</v>
      </c>
      <c r="P1478" s="6">
        <v>0</v>
      </c>
      <c r="Q1478" s="4" t="s">
        <v>26</v>
      </c>
      <c r="R1478" s="4">
        <v>0</v>
      </c>
      <c r="S1478" s="6">
        <v>0</v>
      </c>
      <c r="T1478" s="6">
        <v>60</v>
      </c>
      <c r="U1478" s="6">
        <v>70</v>
      </c>
      <c r="V1478" s="6">
        <f>IF(ISERROR(VLOOKUP($S$1478,'TAR FIN'!$A$1:$O$104,15,0)),0,VLOOKUP($S$1478,'TAR FIN'!$A$1:$O$104,15,0))</f>
        <v>0</v>
      </c>
      <c r="W1478" s="6">
        <f>IF(ISERROR(VLOOKUP($T$1478,'TAR FIN'!$A$1:$O$104,15,0)),0,VLOOKUP($T$1478,'TAR FIN'!$A$1:$O$104,15,0))</f>
        <v>574.03</v>
      </c>
      <c r="X1478" s="6">
        <f>IF(ISERROR(VLOOKUP($U$1478,'TAR FIN'!$A$1:$O$104,15,0)),0,VLOOKUP($U$1478,'TAR FIN'!$A$1:$O$104,15,0))</f>
        <v>242.82</v>
      </c>
      <c r="Y1478" s="6"/>
      <c r="Z1478" s="6">
        <f ca="1">('TUSD BE'!$AM$32+'TUSD BF'!$AM$32+'TUSD CVA'!$AM$32)*1</f>
        <v>589.79436942597431</v>
      </c>
      <c r="AA1478" s="6">
        <f>('TE BE'!$AB$11+'TE BF'!$AB$11+'TE CVA'!$AB$11)*1</f>
        <v>231.76257384332172</v>
      </c>
      <c r="AB1478" s="6">
        <f>$K$1478*$V$1478</f>
        <v>0</v>
      </c>
      <c r="AC1478" s="6">
        <f>$M$1478*$W$1478</f>
        <v>3779.4135199999996</v>
      </c>
      <c r="AD1478" s="6">
        <f>$O$1478*$X$1478</f>
        <v>1598.7268799999999</v>
      </c>
      <c r="AE1478" s="6">
        <f>$K$1478*$Y$1478</f>
        <v>0</v>
      </c>
      <c r="AF1478" s="6">
        <f ca="1">$M$1478*$Z$1478</f>
        <v>3883.2061283006146</v>
      </c>
      <c r="AG1478" s="6">
        <f>$O$1478*$AA$1478</f>
        <v>1525.9247861844301</v>
      </c>
    </row>
    <row r="1479" spans="1:33" ht="11.25" customHeight="1" x14ac:dyDescent="0.25">
      <c r="A1479" s="4" t="s">
        <v>28</v>
      </c>
      <c r="B1479" s="4" t="s">
        <v>22</v>
      </c>
      <c r="C1479" s="4" t="s">
        <v>33</v>
      </c>
      <c r="D1479" s="4" t="s">
        <v>24</v>
      </c>
      <c r="E1479" s="4" t="s">
        <v>24</v>
      </c>
      <c r="F1479" s="4" t="s">
        <v>25</v>
      </c>
      <c r="G1479" s="4" t="s">
        <v>25</v>
      </c>
      <c r="H1479" s="4" t="s">
        <v>36</v>
      </c>
      <c r="I1479" s="5">
        <v>44621</v>
      </c>
      <c r="J1479" s="6">
        <v>0</v>
      </c>
      <c r="K1479" s="6">
        <v>0</v>
      </c>
      <c r="L1479" s="6">
        <v>0.27800000000000002</v>
      </c>
      <c r="M1479" s="6">
        <v>0.27800000000000002</v>
      </c>
      <c r="N1479" s="6">
        <v>0.27800000000000002</v>
      </c>
      <c r="O1479" s="6">
        <v>0.27800000000000002</v>
      </c>
      <c r="P1479" s="6">
        <v>0</v>
      </c>
      <c r="Q1479" s="4" t="s">
        <v>26</v>
      </c>
      <c r="R1479" s="4">
        <v>0</v>
      </c>
      <c r="S1479" s="6">
        <v>0</v>
      </c>
      <c r="T1479" s="6">
        <v>60</v>
      </c>
      <c r="U1479" s="6">
        <v>70</v>
      </c>
      <c r="V1479" s="6">
        <f>IF(ISERROR(VLOOKUP($S$1479,'TAR FIN'!$A$1:$O$104,15,0)),0,VLOOKUP($S$1479,'TAR FIN'!$A$1:$O$104,15,0))</f>
        <v>0</v>
      </c>
      <c r="W1479" s="6">
        <f>IF(ISERROR(VLOOKUP($T$1479,'TAR FIN'!$A$1:$O$104,15,0)),0,VLOOKUP($T$1479,'TAR FIN'!$A$1:$O$104,15,0))</f>
        <v>574.03</v>
      </c>
      <c r="X1479" s="6">
        <f>IF(ISERROR(VLOOKUP($U$1479,'TAR FIN'!$A$1:$O$104,15,0)),0,VLOOKUP($U$1479,'TAR FIN'!$A$1:$O$104,15,0))</f>
        <v>242.82</v>
      </c>
      <c r="Y1479" s="6"/>
      <c r="Z1479" s="6">
        <f ca="1">('TUSD BE'!$AM$32+'TUSD BF'!$AM$32+'TUSD CVA'!$AM$32)*1</f>
        <v>589.79436942597431</v>
      </c>
      <c r="AA1479" s="6">
        <f>('TE BE'!$AB$11+'TE BF'!$AB$11+'TE CVA'!$AB$11)*1</f>
        <v>231.76257384332172</v>
      </c>
      <c r="AB1479" s="6">
        <f>$K$1479*$V$1479</f>
        <v>0</v>
      </c>
      <c r="AC1479" s="6">
        <f>$M$1479*$W$1479</f>
        <v>159.58034000000001</v>
      </c>
      <c r="AD1479" s="6">
        <f>$O$1479*$X$1479</f>
        <v>67.503960000000006</v>
      </c>
      <c r="AE1479" s="6">
        <f>$K$1479*$Y$1479</f>
        <v>0</v>
      </c>
      <c r="AF1479" s="6">
        <f ca="1">$M$1479*$Z$1479</f>
        <v>163.96283470042087</v>
      </c>
      <c r="AG1479" s="6">
        <f>$O$1479*$AA$1479</f>
        <v>64.429995528443442</v>
      </c>
    </row>
    <row r="1480" spans="1:33" ht="11.25" customHeight="1" x14ac:dyDescent="0.25">
      <c r="A1480" s="4" t="s">
        <v>21</v>
      </c>
      <c r="B1480" s="4" t="s">
        <v>22</v>
      </c>
      <c r="C1480" s="4" t="s">
        <v>33</v>
      </c>
      <c r="D1480" s="4" t="s">
        <v>24</v>
      </c>
      <c r="E1480" s="4" t="s">
        <v>24</v>
      </c>
      <c r="F1480" s="4" t="s">
        <v>25</v>
      </c>
      <c r="G1480" s="4" t="s">
        <v>25</v>
      </c>
      <c r="H1480" s="4" t="s">
        <v>36</v>
      </c>
      <c r="I1480" s="5">
        <v>44652</v>
      </c>
      <c r="J1480" s="6">
        <v>0</v>
      </c>
      <c r="K1480" s="6">
        <v>0</v>
      </c>
      <c r="L1480" s="6">
        <v>5.9349999999999996</v>
      </c>
      <c r="M1480" s="6">
        <v>5.9349999999999996</v>
      </c>
      <c r="N1480" s="6">
        <v>5.9349999999999996</v>
      </c>
      <c r="O1480" s="6">
        <v>5.9349999999999996</v>
      </c>
      <c r="P1480" s="6">
        <v>0</v>
      </c>
      <c r="Q1480" s="4" t="s">
        <v>26</v>
      </c>
      <c r="R1480" s="4">
        <v>0</v>
      </c>
      <c r="S1480" s="6">
        <v>0</v>
      </c>
      <c r="T1480" s="6">
        <v>60</v>
      </c>
      <c r="U1480" s="6">
        <v>70</v>
      </c>
      <c r="V1480" s="6">
        <f>IF(ISERROR(VLOOKUP($S$1480,'TAR FIN'!$A$1:$O$104,15,0)),0,VLOOKUP($S$1480,'TAR FIN'!$A$1:$O$104,15,0))</f>
        <v>0</v>
      </c>
      <c r="W1480" s="6">
        <f>IF(ISERROR(VLOOKUP($T$1480,'TAR FIN'!$A$1:$O$104,15,0)),0,VLOOKUP($T$1480,'TAR FIN'!$A$1:$O$104,15,0))</f>
        <v>574.03</v>
      </c>
      <c r="X1480" s="6">
        <f>IF(ISERROR(VLOOKUP($U$1480,'TAR FIN'!$A$1:$O$104,15,0)),0,VLOOKUP($U$1480,'TAR FIN'!$A$1:$O$104,15,0))</f>
        <v>242.82</v>
      </c>
      <c r="Y1480" s="6"/>
      <c r="Z1480" s="6">
        <f ca="1">('TUSD BE'!$AM$32+'TUSD BF'!$AM$32+'TUSD CVA'!$AM$32)*1</f>
        <v>589.79436942597431</v>
      </c>
      <c r="AA1480" s="6">
        <f>('TE BE'!$AB$11+'TE BF'!$AB$11+'TE CVA'!$AB$11)*1</f>
        <v>231.76257384332172</v>
      </c>
      <c r="AB1480" s="6">
        <f>$K$1480*$V$1480</f>
        <v>0</v>
      </c>
      <c r="AC1480" s="6">
        <f>$M$1480*$W$1480</f>
        <v>3406.8680499999996</v>
      </c>
      <c r="AD1480" s="6">
        <f>$O$1480*$X$1480</f>
        <v>1441.1366999999998</v>
      </c>
      <c r="AE1480" s="6">
        <f>$K$1480*$Y$1480</f>
        <v>0</v>
      </c>
      <c r="AF1480" s="6">
        <f ca="1">$M$1480*$Z$1480</f>
        <v>3500.4295825431573</v>
      </c>
      <c r="AG1480" s="6">
        <f>$O$1480*$AA$1480</f>
        <v>1375.5108757601142</v>
      </c>
    </row>
    <row r="1481" spans="1:33" ht="11.25" customHeight="1" x14ac:dyDescent="0.25">
      <c r="A1481" s="4" t="s">
        <v>28</v>
      </c>
      <c r="B1481" s="4" t="s">
        <v>22</v>
      </c>
      <c r="C1481" s="4" t="s">
        <v>33</v>
      </c>
      <c r="D1481" s="4" t="s">
        <v>24</v>
      </c>
      <c r="E1481" s="4" t="s">
        <v>24</v>
      </c>
      <c r="F1481" s="4" t="s">
        <v>25</v>
      </c>
      <c r="G1481" s="4" t="s">
        <v>25</v>
      </c>
      <c r="H1481" s="4" t="s">
        <v>36</v>
      </c>
      <c r="I1481" s="5">
        <v>44652</v>
      </c>
      <c r="J1481" s="6">
        <v>0</v>
      </c>
      <c r="K1481" s="6">
        <v>0</v>
      </c>
      <c r="L1481" s="6">
        <v>0.13500000000000001</v>
      </c>
      <c r="M1481" s="6">
        <v>0.13500000000000001</v>
      </c>
      <c r="N1481" s="6">
        <v>0.13500000000000001</v>
      </c>
      <c r="O1481" s="6">
        <v>0.13500000000000001</v>
      </c>
      <c r="P1481" s="6">
        <v>0</v>
      </c>
      <c r="Q1481" s="4" t="s">
        <v>26</v>
      </c>
      <c r="R1481" s="4">
        <v>0</v>
      </c>
      <c r="S1481" s="6">
        <v>0</v>
      </c>
      <c r="T1481" s="6">
        <v>60</v>
      </c>
      <c r="U1481" s="6">
        <v>70</v>
      </c>
      <c r="V1481" s="6">
        <f>IF(ISERROR(VLOOKUP($S$1481,'TAR FIN'!$A$1:$O$104,15,0)),0,VLOOKUP($S$1481,'TAR FIN'!$A$1:$O$104,15,0))</f>
        <v>0</v>
      </c>
      <c r="W1481" s="6">
        <f>IF(ISERROR(VLOOKUP($T$1481,'TAR FIN'!$A$1:$O$104,15,0)),0,VLOOKUP($T$1481,'TAR FIN'!$A$1:$O$104,15,0))</f>
        <v>574.03</v>
      </c>
      <c r="X1481" s="6">
        <f>IF(ISERROR(VLOOKUP($U$1481,'TAR FIN'!$A$1:$O$104,15,0)),0,VLOOKUP($U$1481,'TAR FIN'!$A$1:$O$104,15,0))</f>
        <v>242.82</v>
      </c>
      <c r="Y1481" s="6"/>
      <c r="Z1481" s="6">
        <f ca="1">('TUSD BE'!$AM$32+'TUSD BF'!$AM$32+'TUSD CVA'!$AM$32)*1</f>
        <v>589.79436942597431</v>
      </c>
      <c r="AA1481" s="6">
        <f>('TE BE'!$AB$11+'TE BF'!$AB$11+'TE CVA'!$AB$11)*1</f>
        <v>231.76257384332172</v>
      </c>
      <c r="AB1481" s="6">
        <f>$K$1481*$V$1481</f>
        <v>0</v>
      </c>
      <c r="AC1481" s="6">
        <f>$M$1481*$W$1481</f>
        <v>77.494050000000001</v>
      </c>
      <c r="AD1481" s="6">
        <f>$O$1481*$X$1481</f>
        <v>32.780700000000003</v>
      </c>
      <c r="AE1481" s="6">
        <f>$K$1481*$Y$1481</f>
        <v>0</v>
      </c>
      <c r="AF1481" s="6">
        <f ca="1">$M$1481*$Z$1481</f>
        <v>79.62223987250654</v>
      </c>
      <c r="AG1481" s="6">
        <f>$O$1481*$AA$1481</f>
        <v>31.287947468848433</v>
      </c>
    </row>
    <row r="1482" spans="1:33" ht="11.25" customHeight="1" x14ac:dyDescent="0.25">
      <c r="A1482" s="4" t="s">
        <v>21</v>
      </c>
      <c r="B1482" s="4" t="s">
        <v>22</v>
      </c>
      <c r="C1482" s="4" t="s">
        <v>33</v>
      </c>
      <c r="D1482" s="4" t="s">
        <v>24</v>
      </c>
      <c r="E1482" s="4" t="s">
        <v>24</v>
      </c>
      <c r="F1482" s="4" t="s">
        <v>25</v>
      </c>
      <c r="G1482" s="4" t="s">
        <v>25</v>
      </c>
      <c r="H1482" s="4" t="s">
        <v>36</v>
      </c>
      <c r="I1482" s="5">
        <v>44682</v>
      </c>
      <c r="J1482" s="6">
        <v>0</v>
      </c>
      <c r="K1482" s="6">
        <v>0</v>
      </c>
      <c r="L1482" s="6">
        <v>5.9569999999999999</v>
      </c>
      <c r="M1482" s="6">
        <v>5.9569999999999999</v>
      </c>
      <c r="N1482" s="6">
        <v>5.9569999999999999</v>
      </c>
      <c r="O1482" s="6">
        <v>5.9569999999999999</v>
      </c>
      <c r="P1482" s="6">
        <v>0</v>
      </c>
      <c r="Q1482" s="4" t="s">
        <v>26</v>
      </c>
      <c r="R1482" s="4">
        <v>0</v>
      </c>
      <c r="S1482" s="6">
        <v>0</v>
      </c>
      <c r="T1482" s="6">
        <v>60</v>
      </c>
      <c r="U1482" s="6">
        <v>70</v>
      </c>
      <c r="V1482" s="6">
        <f>IF(ISERROR(VLOOKUP($S$1482,'TAR FIN'!$A$1:$O$104,15,0)),0,VLOOKUP($S$1482,'TAR FIN'!$A$1:$O$104,15,0))</f>
        <v>0</v>
      </c>
      <c r="W1482" s="6">
        <f>IF(ISERROR(VLOOKUP($T$1482,'TAR FIN'!$A$1:$O$104,15,0)),0,VLOOKUP($T$1482,'TAR FIN'!$A$1:$O$104,15,0))</f>
        <v>574.03</v>
      </c>
      <c r="X1482" s="6">
        <f>IF(ISERROR(VLOOKUP($U$1482,'TAR FIN'!$A$1:$O$104,15,0)),0,VLOOKUP($U$1482,'TAR FIN'!$A$1:$O$104,15,0))</f>
        <v>242.82</v>
      </c>
      <c r="Y1482" s="6"/>
      <c r="Z1482" s="6">
        <f ca="1">('TUSD BE'!$AM$32+'TUSD BF'!$AM$32+'TUSD CVA'!$AM$32)*1</f>
        <v>589.79436942597431</v>
      </c>
      <c r="AA1482" s="6">
        <f>('TE BE'!$AB$11+'TE BF'!$AB$11+'TE CVA'!$AB$11)*1</f>
        <v>231.76257384332172</v>
      </c>
      <c r="AB1482" s="6">
        <f>$K$1482*$V$1482</f>
        <v>0</v>
      </c>
      <c r="AC1482" s="6">
        <f>$M$1482*$W$1482</f>
        <v>3419.4967099999999</v>
      </c>
      <c r="AD1482" s="6">
        <f>$O$1482*$X$1482</f>
        <v>1446.47874</v>
      </c>
      <c r="AE1482" s="6">
        <f>$K$1482*$Y$1482</f>
        <v>0</v>
      </c>
      <c r="AF1482" s="6">
        <f ca="1">$M$1482*$Z$1482</f>
        <v>3513.4050586705289</v>
      </c>
      <c r="AG1482" s="6">
        <f>$O$1482*$AA$1482</f>
        <v>1380.6096523846675</v>
      </c>
    </row>
    <row r="1483" spans="1:33" ht="11.25" customHeight="1" x14ac:dyDescent="0.25">
      <c r="A1483" s="4" t="s">
        <v>27</v>
      </c>
      <c r="B1483" s="4" t="s">
        <v>22</v>
      </c>
      <c r="C1483" s="4" t="s">
        <v>33</v>
      </c>
      <c r="D1483" s="4" t="s">
        <v>24</v>
      </c>
      <c r="E1483" s="4" t="s">
        <v>24</v>
      </c>
      <c r="F1483" s="4" t="s">
        <v>25</v>
      </c>
      <c r="G1483" s="4" t="s">
        <v>25</v>
      </c>
      <c r="H1483" s="4" t="s">
        <v>36</v>
      </c>
      <c r="I1483" s="5">
        <v>44682</v>
      </c>
      <c r="J1483" s="6">
        <v>0</v>
      </c>
      <c r="K1483" s="6">
        <v>0</v>
      </c>
      <c r="L1483" s="6">
        <v>5.6000000000000001E-2</v>
      </c>
      <c r="M1483" s="6">
        <v>5.6000000000000001E-2</v>
      </c>
      <c r="N1483" s="6">
        <v>5.6000000000000001E-2</v>
      </c>
      <c r="O1483" s="6">
        <v>5.6000000000000001E-2</v>
      </c>
      <c r="P1483" s="6">
        <v>0</v>
      </c>
      <c r="Q1483" s="4" t="s">
        <v>26</v>
      </c>
      <c r="R1483" s="4">
        <v>0</v>
      </c>
      <c r="S1483" s="6">
        <v>0</v>
      </c>
      <c r="T1483" s="6">
        <v>60</v>
      </c>
      <c r="U1483" s="6">
        <v>70</v>
      </c>
      <c r="V1483" s="6">
        <f>IF(ISERROR(VLOOKUP($S$1483,'TAR FIN'!$A$1:$O$104,15,0)),0,VLOOKUP($S$1483,'TAR FIN'!$A$1:$O$104,15,0))</f>
        <v>0</v>
      </c>
      <c r="W1483" s="6">
        <f>IF(ISERROR(VLOOKUP($T$1483,'TAR FIN'!$A$1:$O$104,15,0)),0,VLOOKUP($T$1483,'TAR FIN'!$A$1:$O$104,15,0))</f>
        <v>574.03</v>
      </c>
      <c r="X1483" s="6">
        <f>IF(ISERROR(VLOOKUP($U$1483,'TAR FIN'!$A$1:$O$104,15,0)),0,VLOOKUP($U$1483,'TAR FIN'!$A$1:$O$104,15,0))</f>
        <v>242.82</v>
      </c>
      <c r="Y1483" s="6"/>
      <c r="Z1483" s="6">
        <f ca="1">('TUSD BE'!$AM$32+'TUSD BF'!$AM$32+'TUSD CVA'!$AM$32)*1</f>
        <v>589.79436942597431</v>
      </c>
      <c r="AA1483" s="6">
        <f>('TE BE'!$AB$11+'TE BF'!$AB$11+'TE CVA'!$AB$11)*1</f>
        <v>231.76257384332172</v>
      </c>
      <c r="AB1483" s="6">
        <f>$K$1483*$V$1483</f>
        <v>0</v>
      </c>
      <c r="AC1483" s="6">
        <f>$M$1483*$W$1483</f>
        <v>32.145679999999999</v>
      </c>
      <c r="AD1483" s="6">
        <f>$O$1483*$X$1483</f>
        <v>13.59792</v>
      </c>
      <c r="AE1483" s="6">
        <f>$K$1483*$Y$1483</f>
        <v>0</v>
      </c>
      <c r="AF1483" s="6">
        <f ca="1">$M$1483*$Z$1483</f>
        <v>33.028484687854565</v>
      </c>
      <c r="AG1483" s="6">
        <f>$O$1483*$AA$1483</f>
        <v>12.978704135226016</v>
      </c>
    </row>
    <row r="1484" spans="1:33" ht="11.25" customHeight="1" x14ac:dyDescent="0.25">
      <c r="A1484" s="4" t="s">
        <v>28</v>
      </c>
      <c r="B1484" s="4" t="s">
        <v>22</v>
      </c>
      <c r="C1484" s="4" t="s">
        <v>33</v>
      </c>
      <c r="D1484" s="4" t="s">
        <v>24</v>
      </c>
      <c r="E1484" s="4" t="s">
        <v>24</v>
      </c>
      <c r="F1484" s="4" t="s">
        <v>25</v>
      </c>
      <c r="G1484" s="4" t="s">
        <v>25</v>
      </c>
      <c r="H1484" s="4" t="s">
        <v>36</v>
      </c>
      <c r="I1484" s="5">
        <v>44682</v>
      </c>
      <c r="J1484" s="6">
        <v>0</v>
      </c>
      <c r="K1484" s="6">
        <v>0</v>
      </c>
      <c r="L1484" s="6">
        <v>0.13600000000000001</v>
      </c>
      <c r="M1484" s="6">
        <v>0.13600000000000001</v>
      </c>
      <c r="N1484" s="6">
        <v>0.13600000000000001</v>
      </c>
      <c r="O1484" s="6">
        <v>0.13600000000000001</v>
      </c>
      <c r="P1484" s="6">
        <v>0</v>
      </c>
      <c r="Q1484" s="4" t="s">
        <v>26</v>
      </c>
      <c r="R1484" s="4">
        <v>0</v>
      </c>
      <c r="S1484" s="6">
        <v>0</v>
      </c>
      <c r="T1484" s="6">
        <v>60</v>
      </c>
      <c r="U1484" s="6">
        <v>70</v>
      </c>
      <c r="V1484" s="6">
        <f>IF(ISERROR(VLOOKUP($S$1484,'TAR FIN'!$A$1:$O$104,15,0)),0,VLOOKUP($S$1484,'TAR FIN'!$A$1:$O$104,15,0))</f>
        <v>0</v>
      </c>
      <c r="W1484" s="6">
        <f>IF(ISERROR(VLOOKUP($T$1484,'TAR FIN'!$A$1:$O$104,15,0)),0,VLOOKUP($T$1484,'TAR FIN'!$A$1:$O$104,15,0))</f>
        <v>574.03</v>
      </c>
      <c r="X1484" s="6">
        <f>IF(ISERROR(VLOOKUP($U$1484,'TAR FIN'!$A$1:$O$104,15,0)),0,VLOOKUP($U$1484,'TAR FIN'!$A$1:$O$104,15,0))</f>
        <v>242.82</v>
      </c>
      <c r="Y1484" s="6"/>
      <c r="Z1484" s="6">
        <f ca="1">('TUSD BE'!$AM$32+'TUSD BF'!$AM$32+'TUSD CVA'!$AM$32)*1</f>
        <v>589.79436942597431</v>
      </c>
      <c r="AA1484" s="6">
        <f>('TE BE'!$AB$11+'TE BF'!$AB$11+'TE CVA'!$AB$11)*1</f>
        <v>231.76257384332172</v>
      </c>
      <c r="AB1484" s="6">
        <f>$K$1484*$V$1484</f>
        <v>0</v>
      </c>
      <c r="AC1484" s="6">
        <f>$M$1484*$W$1484</f>
        <v>78.068079999999995</v>
      </c>
      <c r="AD1484" s="6">
        <f>$O$1484*$X$1484</f>
        <v>33.023520000000005</v>
      </c>
      <c r="AE1484" s="6">
        <f>$K$1484*$Y$1484</f>
        <v>0</v>
      </c>
      <c r="AF1484" s="6">
        <f ca="1">$M$1484*$Z$1484</f>
        <v>80.212034241932514</v>
      </c>
      <c r="AG1484" s="6">
        <f>$O$1484*$AA$1484</f>
        <v>31.519710042691756</v>
      </c>
    </row>
    <row r="1485" spans="1:33" ht="11.25" customHeight="1" x14ac:dyDescent="0.25">
      <c r="A1485" s="4" t="s">
        <v>21</v>
      </c>
      <c r="B1485" s="4" t="s">
        <v>22</v>
      </c>
      <c r="C1485" s="4" t="s">
        <v>33</v>
      </c>
      <c r="D1485" s="4" t="s">
        <v>24</v>
      </c>
      <c r="E1485" s="4" t="s">
        <v>24</v>
      </c>
      <c r="F1485" s="4" t="s">
        <v>25</v>
      </c>
      <c r="G1485" s="4" t="s">
        <v>25</v>
      </c>
      <c r="H1485" s="4" t="s">
        <v>36</v>
      </c>
      <c r="I1485" s="5">
        <v>44713</v>
      </c>
      <c r="J1485" s="6">
        <v>0</v>
      </c>
      <c r="K1485" s="6">
        <v>0</v>
      </c>
      <c r="L1485" s="6">
        <v>5.5069999999999997</v>
      </c>
      <c r="M1485" s="6">
        <v>5.5069999999999997</v>
      </c>
      <c r="N1485" s="6">
        <v>5.5069999999999997</v>
      </c>
      <c r="O1485" s="6">
        <v>5.5069999999999997</v>
      </c>
      <c r="P1485" s="6">
        <v>0</v>
      </c>
      <c r="Q1485" s="4" t="s">
        <v>26</v>
      </c>
      <c r="R1485" s="4">
        <v>0</v>
      </c>
      <c r="S1485" s="6">
        <v>0</v>
      </c>
      <c r="T1485" s="6">
        <v>60</v>
      </c>
      <c r="U1485" s="6">
        <v>70</v>
      </c>
      <c r="V1485" s="6">
        <f>IF(ISERROR(VLOOKUP($S$1485,'TAR FIN'!$A$1:$O$104,15,0)),0,VLOOKUP($S$1485,'TAR FIN'!$A$1:$O$104,15,0))</f>
        <v>0</v>
      </c>
      <c r="W1485" s="6">
        <f>IF(ISERROR(VLOOKUP($T$1485,'TAR FIN'!$A$1:$O$104,15,0)),0,VLOOKUP($T$1485,'TAR FIN'!$A$1:$O$104,15,0))</f>
        <v>574.03</v>
      </c>
      <c r="X1485" s="6">
        <f>IF(ISERROR(VLOOKUP($U$1485,'TAR FIN'!$A$1:$O$104,15,0)),0,VLOOKUP($U$1485,'TAR FIN'!$A$1:$O$104,15,0))</f>
        <v>242.82</v>
      </c>
      <c r="Y1485" s="6"/>
      <c r="Z1485" s="6">
        <f ca="1">('TUSD BE'!$AM$32+'TUSD BF'!$AM$32+'TUSD CVA'!$AM$32)*1</f>
        <v>589.79436942597431</v>
      </c>
      <c r="AA1485" s="6">
        <f>('TE BE'!$AB$11+'TE BF'!$AB$11+'TE CVA'!$AB$11)*1</f>
        <v>231.76257384332172</v>
      </c>
      <c r="AB1485" s="6">
        <f>$K$1485*$V$1485</f>
        <v>0</v>
      </c>
      <c r="AC1485" s="6">
        <f>$M$1485*$W$1485</f>
        <v>3161.1832099999997</v>
      </c>
      <c r="AD1485" s="6">
        <f>$O$1485*$X$1485</f>
        <v>1337.2097399999998</v>
      </c>
      <c r="AE1485" s="6">
        <f>$K$1485*$Y$1485</f>
        <v>0</v>
      </c>
      <c r="AF1485" s="6">
        <f ca="1">$M$1485*$Z$1485</f>
        <v>3247.9975924288401</v>
      </c>
      <c r="AG1485" s="6">
        <f>$O$1485*$AA$1485</f>
        <v>1276.3164941551727</v>
      </c>
    </row>
    <row r="1486" spans="1:33" ht="11.25" customHeight="1" x14ac:dyDescent="0.25">
      <c r="A1486" s="4" t="s">
        <v>28</v>
      </c>
      <c r="B1486" s="4" t="s">
        <v>22</v>
      </c>
      <c r="C1486" s="4" t="s">
        <v>33</v>
      </c>
      <c r="D1486" s="4" t="s">
        <v>24</v>
      </c>
      <c r="E1486" s="4" t="s">
        <v>24</v>
      </c>
      <c r="F1486" s="4" t="s">
        <v>25</v>
      </c>
      <c r="G1486" s="4" t="s">
        <v>25</v>
      </c>
      <c r="H1486" s="4" t="s">
        <v>36</v>
      </c>
      <c r="I1486" s="5">
        <v>44713</v>
      </c>
      <c r="J1486" s="6">
        <v>0</v>
      </c>
      <c r="K1486" s="6">
        <v>0</v>
      </c>
      <c r="L1486" s="6">
        <v>0.14000000000000001</v>
      </c>
      <c r="M1486" s="6">
        <v>0.14000000000000001</v>
      </c>
      <c r="N1486" s="6">
        <v>0.14000000000000001</v>
      </c>
      <c r="O1486" s="6">
        <v>0.14000000000000001</v>
      </c>
      <c r="P1486" s="6">
        <v>0</v>
      </c>
      <c r="Q1486" s="4" t="s">
        <v>26</v>
      </c>
      <c r="R1486" s="4">
        <v>0</v>
      </c>
      <c r="S1486" s="6">
        <v>0</v>
      </c>
      <c r="T1486" s="6">
        <v>60</v>
      </c>
      <c r="U1486" s="6">
        <v>70</v>
      </c>
      <c r="V1486" s="6">
        <f>IF(ISERROR(VLOOKUP($S$1486,'TAR FIN'!$A$1:$O$104,15,0)),0,VLOOKUP($S$1486,'TAR FIN'!$A$1:$O$104,15,0))</f>
        <v>0</v>
      </c>
      <c r="W1486" s="6">
        <f>IF(ISERROR(VLOOKUP($T$1486,'TAR FIN'!$A$1:$O$104,15,0)),0,VLOOKUP($T$1486,'TAR FIN'!$A$1:$O$104,15,0))</f>
        <v>574.03</v>
      </c>
      <c r="X1486" s="6">
        <f>IF(ISERROR(VLOOKUP($U$1486,'TAR FIN'!$A$1:$O$104,15,0)),0,VLOOKUP($U$1486,'TAR FIN'!$A$1:$O$104,15,0))</f>
        <v>242.82</v>
      </c>
      <c r="Y1486" s="6"/>
      <c r="Z1486" s="6">
        <f ca="1">('TUSD BE'!$AM$32+'TUSD BF'!$AM$32+'TUSD CVA'!$AM$32)*1</f>
        <v>589.79436942597431</v>
      </c>
      <c r="AA1486" s="6">
        <f>('TE BE'!$AB$11+'TE BF'!$AB$11+'TE CVA'!$AB$11)*1</f>
        <v>231.76257384332172</v>
      </c>
      <c r="AB1486" s="6">
        <f>$K$1486*$V$1486</f>
        <v>0</v>
      </c>
      <c r="AC1486" s="6">
        <f>$M$1486*$W$1486</f>
        <v>80.364199999999997</v>
      </c>
      <c r="AD1486" s="6">
        <f>$O$1486*$X$1486</f>
        <v>33.994800000000005</v>
      </c>
      <c r="AE1486" s="6">
        <f>$K$1486*$Y$1486</f>
        <v>0</v>
      </c>
      <c r="AF1486" s="6">
        <f ca="1">$M$1486*$Z$1486</f>
        <v>82.571211719636409</v>
      </c>
      <c r="AG1486" s="6">
        <f>$O$1486*$AA$1486</f>
        <v>32.44676033806504</v>
      </c>
    </row>
    <row r="1487" spans="1:33" ht="11.25" customHeight="1" x14ac:dyDescent="0.25">
      <c r="A1487" s="4" t="s">
        <v>57</v>
      </c>
      <c r="B1487" s="4" t="s">
        <v>22</v>
      </c>
      <c r="C1487" s="4" t="s">
        <v>33</v>
      </c>
      <c r="D1487" s="4" t="s">
        <v>24</v>
      </c>
      <c r="E1487" s="4" t="s">
        <v>24</v>
      </c>
      <c r="F1487" s="4" t="s">
        <v>25</v>
      </c>
      <c r="G1487" s="4" t="s">
        <v>25</v>
      </c>
      <c r="H1487" s="4" t="s">
        <v>36</v>
      </c>
      <c r="I1487" s="5">
        <v>44743</v>
      </c>
      <c r="J1487" s="6">
        <v>0</v>
      </c>
      <c r="K1487" s="6">
        <v>0</v>
      </c>
      <c r="L1487" s="6">
        <v>5.5069999999999997</v>
      </c>
      <c r="M1487" s="6">
        <v>5.5069999999999997</v>
      </c>
      <c r="N1487" s="6">
        <v>5.5069999999999997</v>
      </c>
      <c r="O1487" s="6">
        <v>5.5069999999999997</v>
      </c>
      <c r="P1487" s="6">
        <v>0</v>
      </c>
      <c r="Q1487" s="4" t="s">
        <v>26</v>
      </c>
      <c r="R1487" s="4">
        <v>0</v>
      </c>
      <c r="S1487" s="6">
        <v>0</v>
      </c>
      <c r="T1487" s="6">
        <v>60</v>
      </c>
      <c r="U1487" s="6">
        <v>70</v>
      </c>
      <c r="V1487" s="6">
        <f>IF(ISERROR(VLOOKUP($S$1487,'TAR FIN'!$A$1:$O$104,15,0)),0,VLOOKUP($S$1487,'TAR FIN'!$A$1:$O$104,15,0))</f>
        <v>0</v>
      </c>
      <c r="W1487" s="6">
        <f>IF(ISERROR(VLOOKUP($T$1487,'TAR FIN'!$A$1:$O$104,15,0)),0,VLOOKUP($T$1487,'TAR FIN'!$A$1:$O$104,15,0))</f>
        <v>574.03</v>
      </c>
      <c r="X1487" s="6">
        <f>IF(ISERROR(VLOOKUP($U$1487,'TAR FIN'!$A$1:$O$104,15,0)),0,VLOOKUP($U$1487,'TAR FIN'!$A$1:$O$104,15,0))</f>
        <v>242.82</v>
      </c>
      <c r="Y1487" s="6"/>
      <c r="Z1487" s="6">
        <f ca="1">('TUSD BE'!$AM$32+'TUSD BF'!$AM$32+'TUSD CVA'!$AM$32)*1</f>
        <v>589.79436942597431</v>
      </c>
      <c r="AA1487" s="6">
        <f>('TE BE'!$AB$11+'TE BF'!$AB$11+'TE CVA'!$AB$11)*1</f>
        <v>231.76257384332172</v>
      </c>
      <c r="AB1487" s="6">
        <f>$K$1487*$V$1487</f>
        <v>0</v>
      </c>
      <c r="AC1487" s="6">
        <f>$M$1487*$W$1487</f>
        <v>3161.1832099999997</v>
      </c>
      <c r="AD1487" s="6">
        <f>$O$1487*$X$1487</f>
        <v>1337.2097399999998</v>
      </c>
      <c r="AE1487" s="6">
        <f>$K$1487*$Y$1487</f>
        <v>0</v>
      </c>
      <c r="AF1487" s="6">
        <f ca="1">$M$1487*$Z$1487</f>
        <v>3247.9975924288401</v>
      </c>
      <c r="AG1487" s="6">
        <f>$O$1487*$AA$1487</f>
        <v>1276.3164941551727</v>
      </c>
    </row>
    <row r="1488" spans="1:33" ht="11.25" customHeight="1" x14ac:dyDescent="0.25">
      <c r="A1488" s="4" t="s">
        <v>57</v>
      </c>
      <c r="B1488" s="4" t="s">
        <v>22</v>
      </c>
      <c r="C1488" s="4" t="s">
        <v>33</v>
      </c>
      <c r="D1488" s="4" t="s">
        <v>24</v>
      </c>
      <c r="E1488" s="4" t="s">
        <v>24</v>
      </c>
      <c r="F1488" s="4" t="s">
        <v>25</v>
      </c>
      <c r="G1488" s="4" t="s">
        <v>25</v>
      </c>
      <c r="H1488" s="4" t="s">
        <v>36</v>
      </c>
      <c r="I1488" s="5">
        <v>44743</v>
      </c>
      <c r="J1488" s="6">
        <v>0</v>
      </c>
      <c r="K1488" s="6">
        <v>0</v>
      </c>
      <c r="L1488" s="6">
        <v>0.14000000000000001</v>
      </c>
      <c r="M1488" s="6">
        <v>0.14000000000000001</v>
      </c>
      <c r="N1488" s="6">
        <v>0.14000000000000001</v>
      </c>
      <c r="O1488" s="6">
        <v>0.14000000000000001</v>
      </c>
      <c r="P1488" s="6">
        <v>0</v>
      </c>
      <c r="Q1488" s="4" t="s">
        <v>26</v>
      </c>
      <c r="R1488" s="4">
        <v>0</v>
      </c>
      <c r="S1488" s="6">
        <v>0</v>
      </c>
      <c r="T1488" s="6">
        <v>60</v>
      </c>
      <c r="U1488" s="6">
        <v>70</v>
      </c>
      <c r="V1488" s="6">
        <f>IF(ISERROR(VLOOKUP($S$1488,'TAR FIN'!$A$1:$O$104,15,0)),0,VLOOKUP($S$1488,'TAR FIN'!$A$1:$O$104,15,0))</f>
        <v>0</v>
      </c>
      <c r="W1488" s="6">
        <f>IF(ISERROR(VLOOKUP($T$1488,'TAR FIN'!$A$1:$O$104,15,0)),0,VLOOKUP($T$1488,'TAR FIN'!$A$1:$O$104,15,0))</f>
        <v>574.03</v>
      </c>
      <c r="X1488" s="6">
        <f>IF(ISERROR(VLOOKUP($U$1488,'TAR FIN'!$A$1:$O$104,15,0)),0,VLOOKUP($U$1488,'TAR FIN'!$A$1:$O$104,15,0))</f>
        <v>242.82</v>
      </c>
      <c r="Y1488" s="6"/>
      <c r="Z1488" s="6">
        <f ca="1">('TUSD BE'!$AM$32+'TUSD BF'!$AM$32+'TUSD CVA'!$AM$32)*1</f>
        <v>589.79436942597431</v>
      </c>
      <c r="AA1488" s="6">
        <f>('TE BE'!$AB$11+'TE BF'!$AB$11+'TE CVA'!$AB$11)*1</f>
        <v>231.76257384332172</v>
      </c>
      <c r="AB1488" s="6">
        <f>$K$1488*$V$1488</f>
        <v>0</v>
      </c>
      <c r="AC1488" s="6">
        <f>$M$1488*$W$1488</f>
        <v>80.364199999999997</v>
      </c>
      <c r="AD1488" s="6">
        <f>$O$1488*$X$1488</f>
        <v>33.994800000000005</v>
      </c>
      <c r="AE1488" s="6">
        <f>$K$1488*$Y$1488</f>
        <v>0</v>
      </c>
      <c r="AF1488" s="6">
        <f ca="1">$M$1488*$Z$1488</f>
        <v>82.571211719636409</v>
      </c>
      <c r="AG1488" s="6">
        <f>$O$1488*$AA$1488</f>
        <v>32.44676033806504</v>
      </c>
    </row>
    <row r="1489" spans="1:33" ht="11.25" customHeight="1" x14ac:dyDescent="0.25">
      <c r="A1489" s="4" t="s">
        <v>21</v>
      </c>
      <c r="B1489" s="4" t="s">
        <v>22</v>
      </c>
      <c r="C1489" s="4" t="s">
        <v>33</v>
      </c>
      <c r="D1489" s="4" t="s">
        <v>24</v>
      </c>
      <c r="E1489" s="4" t="s">
        <v>24</v>
      </c>
      <c r="F1489" s="4" t="s">
        <v>25</v>
      </c>
      <c r="G1489" s="4" t="s">
        <v>25</v>
      </c>
      <c r="H1489" s="4" t="s">
        <v>34</v>
      </c>
      <c r="I1489" s="5">
        <v>44409</v>
      </c>
      <c r="J1489" s="6">
        <v>0</v>
      </c>
      <c r="K1489" s="6">
        <v>0</v>
      </c>
      <c r="L1489" s="6">
        <v>9.2590000000000003</v>
      </c>
      <c r="M1489" s="6">
        <v>9.2590000000000003</v>
      </c>
      <c r="N1489" s="6">
        <v>9.2590000000000003</v>
      </c>
      <c r="O1489" s="6">
        <v>9.2590000000000003</v>
      </c>
      <c r="P1489" s="6">
        <v>0</v>
      </c>
      <c r="Q1489" s="4" t="s">
        <v>26</v>
      </c>
      <c r="R1489" s="4">
        <v>0</v>
      </c>
      <c r="S1489" s="6">
        <v>0</v>
      </c>
      <c r="T1489" s="6">
        <v>58</v>
      </c>
      <c r="U1489" s="6">
        <v>69</v>
      </c>
      <c r="V1489" s="6">
        <f>IF(ISERROR(VLOOKUP($S$1489,'TAR FIN'!$A$1:$O$104,15,0)),0,VLOOKUP($S$1489,'TAR FIN'!$A$1:$O$104,15,0))</f>
        <v>0</v>
      </c>
      <c r="W1489" s="6">
        <f>IF(ISERROR(VLOOKUP($T$1489,'TAR FIN'!$A$1:$O$104,15,0)),0,VLOOKUP($T$1489,'TAR FIN'!$A$1:$O$104,15,0))</f>
        <v>897.96</v>
      </c>
      <c r="X1489" s="6">
        <f>IF(ISERROR(VLOOKUP($U$1489,'TAR FIN'!$A$1:$O$104,15,0)),0,VLOOKUP($U$1489,'TAR FIN'!$A$1:$O$104,15,0))</f>
        <v>397.62</v>
      </c>
      <c r="Y1489" s="6"/>
      <c r="Z1489" s="6">
        <f ca="1">('TUSD BE'!$AM$31+'TUSD BF'!$AM$31+'TUSD CVA'!$AM$31)*1</f>
        <v>914.22505883808685</v>
      </c>
      <c r="AA1489" s="6">
        <f>('TE BE'!$AB$10+'TE BF'!$AB$10+'TE CVA'!$AB$10)*1</f>
        <v>360.26029187567116</v>
      </c>
      <c r="AB1489" s="6">
        <f>$K$1489*$V$1489</f>
        <v>0</v>
      </c>
      <c r="AC1489" s="6">
        <f>$M$1489*$W$1489</f>
        <v>8314.2116400000014</v>
      </c>
      <c r="AD1489" s="6">
        <f>$O$1489*$X$1489</f>
        <v>3681.56358</v>
      </c>
      <c r="AE1489" s="6">
        <f>$K$1489*$Y$1489</f>
        <v>0</v>
      </c>
      <c r="AF1489" s="6">
        <f ca="1">$M$1489*$Z$1489</f>
        <v>8464.8098197818472</v>
      </c>
      <c r="AG1489" s="6">
        <f>$O$1489*$AA$1489</f>
        <v>3335.6500424768392</v>
      </c>
    </row>
    <row r="1490" spans="1:33" ht="11.25" customHeight="1" x14ac:dyDescent="0.25">
      <c r="A1490" s="4" t="s">
        <v>28</v>
      </c>
      <c r="B1490" s="4" t="s">
        <v>22</v>
      </c>
      <c r="C1490" s="4" t="s">
        <v>33</v>
      </c>
      <c r="D1490" s="4" t="s">
        <v>24</v>
      </c>
      <c r="E1490" s="4" t="s">
        <v>24</v>
      </c>
      <c r="F1490" s="4" t="s">
        <v>25</v>
      </c>
      <c r="G1490" s="4" t="s">
        <v>25</v>
      </c>
      <c r="H1490" s="4" t="s">
        <v>34</v>
      </c>
      <c r="I1490" s="5">
        <v>44409</v>
      </c>
      <c r="J1490" s="6">
        <v>0</v>
      </c>
      <c r="K1490" s="6">
        <v>0</v>
      </c>
      <c r="L1490" s="6">
        <v>4.2000000000000003E-2</v>
      </c>
      <c r="M1490" s="6">
        <v>4.2000000000000003E-2</v>
      </c>
      <c r="N1490" s="6">
        <v>4.2000000000000003E-2</v>
      </c>
      <c r="O1490" s="6">
        <v>4.2000000000000003E-2</v>
      </c>
      <c r="P1490" s="6">
        <v>0</v>
      </c>
      <c r="Q1490" s="4" t="s">
        <v>26</v>
      </c>
      <c r="R1490" s="4">
        <v>0</v>
      </c>
      <c r="S1490" s="6">
        <v>0</v>
      </c>
      <c r="T1490" s="6">
        <v>58</v>
      </c>
      <c r="U1490" s="6">
        <v>69</v>
      </c>
      <c r="V1490" s="6">
        <f>IF(ISERROR(VLOOKUP($S$1490,'TAR FIN'!$A$1:$O$104,15,0)),0,VLOOKUP($S$1490,'TAR FIN'!$A$1:$O$104,15,0))</f>
        <v>0</v>
      </c>
      <c r="W1490" s="6">
        <f>IF(ISERROR(VLOOKUP($T$1490,'TAR FIN'!$A$1:$O$104,15,0)),0,VLOOKUP($T$1490,'TAR FIN'!$A$1:$O$104,15,0))</f>
        <v>897.96</v>
      </c>
      <c r="X1490" s="6">
        <f>IF(ISERROR(VLOOKUP($U$1490,'TAR FIN'!$A$1:$O$104,15,0)),0,VLOOKUP($U$1490,'TAR FIN'!$A$1:$O$104,15,0))</f>
        <v>397.62</v>
      </c>
      <c r="Y1490" s="6"/>
      <c r="Z1490" s="6">
        <f ca="1">('TUSD BE'!$AM$31+'TUSD BF'!$AM$31+'TUSD CVA'!$AM$31)*1</f>
        <v>914.22505883808685</v>
      </c>
      <c r="AA1490" s="6">
        <f>('TE BE'!$AB$10+'TE BF'!$AB$10+'TE CVA'!$AB$10)*1</f>
        <v>360.26029187567116</v>
      </c>
      <c r="AB1490" s="6">
        <f>$K$1490*$V$1490</f>
        <v>0</v>
      </c>
      <c r="AC1490" s="6">
        <f>$M$1490*$W$1490</f>
        <v>37.714320000000001</v>
      </c>
      <c r="AD1490" s="6">
        <f>$O$1490*$X$1490</f>
        <v>16.700040000000001</v>
      </c>
      <c r="AE1490" s="6">
        <f>$K$1490*$Y$1490</f>
        <v>0</v>
      </c>
      <c r="AF1490" s="6">
        <f ca="1">$M$1490*$Z$1490</f>
        <v>38.397452471199649</v>
      </c>
      <c r="AG1490" s="6">
        <f>$O$1490*$AA$1490</f>
        <v>15.13093225877819</v>
      </c>
    </row>
    <row r="1491" spans="1:33" ht="11.25" customHeight="1" x14ac:dyDescent="0.25">
      <c r="A1491" s="4" t="s">
        <v>21</v>
      </c>
      <c r="B1491" s="4" t="s">
        <v>22</v>
      </c>
      <c r="C1491" s="4" t="s">
        <v>33</v>
      </c>
      <c r="D1491" s="4" t="s">
        <v>24</v>
      </c>
      <c r="E1491" s="4" t="s">
        <v>24</v>
      </c>
      <c r="F1491" s="4" t="s">
        <v>25</v>
      </c>
      <c r="G1491" s="4" t="s">
        <v>25</v>
      </c>
      <c r="H1491" s="4" t="s">
        <v>34</v>
      </c>
      <c r="I1491" s="5">
        <v>44440</v>
      </c>
      <c r="J1491" s="6">
        <v>0</v>
      </c>
      <c r="K1491" s="6">
        <v>0</v>
      </c>
      <c r="L1491" s="6">
        <v>16.771000000000001</v>
      </c>
      <c r="M1491" s="6">
        <v>16.771000000000001</v>
      </c>
      <c r="N1491" s="6">
        <v>16.771000000000001</v>
      </c>
      <c r="O1491" s="6">
        <v>16.771000000000001</v>
      </c>
      <c r="P1491" s="6">
        <v>0</v>
      </c>
      <c r="Q1491" s="4" t="s">
        <v>26</v>
      </c>
      <c r="R1491" s="4">
        <v>0</v>
      </c>
      <c r="S1491" s="6">
        <v>0</v>
      </c>
      <c r="T1491" s="6">
        <v>58</v>
      </c>
      <c r="U1491" s="6">
        <v>69</v>
      </c>
      <c r="V1491" s="6">
        <f>IF(ISERROR(VLOOKUP($S$1491,'TAR FIN'!$A$1:$O$104,15,0)),0,VLOOKUP($S$1491,'TAR FIN'!$A$1:$O$104,15,0))</f>
        <v>0</v>
      </c>
      <c r="W1491" s="6">
        <f>IF(ISERROR(VLOOKUP($T$1491,'TAR FIN'!$A$1:$O$104,15,0)),0,VLOOKUP($T$1491,'TAR FIN'!$A$1:$O$104,15,0))</f>
        <v>897.96</v>
      </c>
      <c r="X1491" s="6">
        <f>IF(ISERROR(VLOOKUP($U$1491,'TAR FIN'!$A$1:$O$104,15,0)),0,VLOOKUP($U$1491,'TAR FIN'!$A$1:$O$104,15,0))</f>
        <v>397.62</v>
      </c>
      <c r="Y1491" s="6"/>
      <c r="Z1491" s="6">
        <f ca="1">('TUSD BE'!$AM$31+'TUSD BF'!$AM$31+'TUSD CVA'!$AM$31)*1</f>
        <v>914.22505883808685</v>
      </c>
      <c r="AA1491" s="6">
        <f>('TE BE'!$AB$10+'TE BF'!$AB$10+'TE CVA'!$AB$10)*1</f>
        <v>360.26029187567116</v>
      </c>
      <c r="AB1491" s="6">
        <f>$K$1491*$V$1491</f>
        <v>0</v>
      </c>
      <c r="AC1491" s="6">
        <f>$M$1491*$W$1491</f>
        <v>15059.687160000001</v>
      </c>
      <c r="AD1491" s="6">
        <f>$O$1491*$X$1491</f>
        <v>6668.4850200000001</v>
      </c>
      <c r="AE1491" s="6">
        <f>$K$1491*$Y$1491</f>
        <v>0</v>
      </c>
      <c r="AF1491" s="6">
        <f ca="1">$M$1491*$Z$1491</f>
        <v>15332.468461773555</v>
      </c>
      <c r="AG1491" s="6">
        <f>$O$1491*$AA$1491</f>
        <v>6041.9253550468811</v>
      </c>
    </row>
    <row r="1492" spans="1:33" ht="11.25" customHeight="1" x14ac:dyDescent="0.25">
      <c r="A1492" s="4" t="s">
        <v>28</v>
      </c>
      <c r="B1492" s="4" t="s">
        <v>22</v>
      </c>
      <c r="C1492" s="4" t="s">
        <v>33</v>
      </c>
      <c r="D1492" s="4" t="s">
        <v>24</v>
      </c>
      <c r="E1492" s="4" t="s">
        <v>24</v>
      </c>
      <c r="F1492" s="4" t="s">
        <v>25</v>
      </c>
      <c r="G1492" s="4" t="s">
        <v>25</v>
      </c>
      <c r="H1492" s="4" t="s">
        <v>34</v>
      </c>
      <c r="I1492" s="5">
        <v>44440</v>
      </c>
      <c r="J1492" s="6">
        <v>0</v>
      </c>
      <c r="K1492" s="6">
        <v>0</v>
      </c>
      <c r="L1492" s="6">
        <v>0.11600000000000001</v>
      </c>
      <c r="M1492" s="6">
        <v>0.11600000000000001</v>
      </c>
      <c r="N1492" s="6">
        <v>0.11600000000000001</v>
      </c>
      <c r="O1492" s="6">
        <v>0.11600000000000001</v>
      </c>
      <c r="P1492" s="6">
        <v>0</v>
      </c>
      <c r="Q1492" s="4" t="s">
        <v>26</v>
      </c>
      <c r="R1492" s="4">
        <v>0</v>
      </c>
      <c r="S1492" s="6">
        <v>0</v>
      </c>
      <c r="T1492" s="6">
        <v>58</v>
      </c>
      <c r="U1492" s="6">
        <v>69</v>
      </c>
      <c r="V1492" s="6">
        <f>IF(ISERROR(VLOOKUP($S$1492,'TAR FIN'!$A$1:$O$104,15,0)),0,VLOOKUP($S$1492,'TAR FIN'!$A$1:$O$104,15,0))</f>
        <v>0</v>
      </c>
      <c r="W1492" s="6">
        <f>IF(ISERROR(VLOOKUP($T$1492,'TAR FIN'!$A$1:$O$104,15,0)),0,VLOOKUP($T$1492,'TAR FIN'!$A$1:$O$104,15,0))</f>
        <v>897.96</v>
      </c>
      <c r="X1492" s="6">
        <f>IF(ISERROR(VLOOKUP($U$1492,'TAR FIN'!$A$1:$O$104,15,0)),0,VLOOKUP($U$1492,'TAR FIN'!$A$1:$O$104,15,0))</f>
        <v>397.62</v>
      </c>
      <c r="Y1492" s="6"/>
      <c r="Z1492" s="6">
        <f ca="1">('TUSD BE'!$AM$31+'TUSD BF'!$AM$31+'TUSD CVA'!$AM$31)*1</f>
        <v>914.22505883808685</v>
      </c>
      <c r="AA1492" s="6">
        <f>('TE BE'!$AB$10+'TE BF'!$AB$10+'TE CVA'!$AB$10)*1</f>
        <v>360.26029187567116</v>
      </c>
      <c r="AB1492" s="6">
        <f>$K$1492*$V$1492</f>
        <v>0</v>
      </c>
      <c r="AC1492" s="6">
        <f>$M$1492*$W$1492</f>
        <v>104.16336000000001</v>
      </c>
      <c r="AD1492" s="6">
        <f>$O$1492*$X$1492</f>
        <v>46.123920000000005</v>
      </c>
      <c r="AE1492" s="6">
        <f>$K$1492*$Y$1492</f>
        <v>0</v>
      </c>
      <c r="AF1492" s="6">
        <f ca="1">$M$1492*$Z$1492</f>
        <v>106.05010682521808</v>
      </c>
      <c r="AG1492" s="6">
        <f>$O$1492*$AA$1492</f>
        <v>41.790193857577854</v>
      </c>
    </row>
    <row r="1493" spans="1:33" ht="11.25" customHeight="1" x14ac:dyDescent="0.25">
      <c r="A1493" s="4" t="s">
        <v>21</v>
      </c>
      <c r="B1493" s="4" t="s">
        <v>22</v>
      </c>
      <c r="C1493" s="4" t="s">
        <v>33</v>
      </c>
      <c r="D1493" s="4" t="s">
        <v>24</v>
      </c>
      <c r="E1493" s="4" t="s">
        <v>24</v>
      </c>
      <c r="F1493" s="4" t="s">
        <v>25</v>
      </c>
      <c r="G1493" s="4" t="s">
        <v>25</v>
      </c>
      <c r="H1493" s="4" t="s">
        <v>34</v>
      </c>
      <c r="I1493" s="5">
        <v>44470</v>
      </c>
      <c r="J1493" s="6">
        <v>0</v>
      </c>
      <c r="K1493" s="6">
        <v>0</v>
      </c>
      <c r="L1493" s="6">
        <v>13.401999999999999</v>
      </c>
      <c r="M1493" s="6">
        <v>13.401999999999999</v>
      </c>
      <c r="N1493" s="6">
        <v>13.401999999999999</v>
      </c>
      <c r="O1493" s="6">
        <v>13.401999999999999</v>
      </c>
      <c r="P1493" s="6">
        <v>0</v>
      </c>
      <c r="Q1493" s="4" t="s">
        <v>26</v>
      </c>
      <c r="R1493" s="4">
        <v>0</v>
      </c>
      <c r="S1493" s="6">
        <v>0</v>
      </c>
      <c r="T1493" s="6">
        <v>58</v>
      </c>
      <c r="U1493" s="6">
        <v>69</v>
      </c>
      <c r="V1493" s="6">
        <f>IF(ISERROR(VLOOKUP($S$1493,'TAR FIN'!$A$1:$O$104,15,0)),0,VLOOKUP($S$1493,'TAR FIN'!$A$1:$O$104,15,0))</f>
        <v>0</v>
      </c>
      <c r="W1493" s="6">
        <f>IF(ISERROR(VLOOKUP($T$1493,'TAR FIN'!$A$1:$O$104,15,0)),0,VLOOKUP($T$1493,'TAR FIN'!$A$1:$O$104,15,0))</f>
        <v>897.96</v>
      </c>
      <c r="X1493" s="6">
        <f>IF(ISERROR(VLOOKUP($U$1493,'TAR FIN'!$A$1:$O$104,15,0)),0,VLOOKUP($U$1493,'TAR FIN'!$A$1:$O$104,15,0))</f>
        <v>397.62</v>
      </c>
      <c r="Y1493" s="6"/>
      <c r="Z1493" s="6">
        <f ca="1">('TUSD BE'!$AM$31+'TUSD BF'!$AM$31+'TUSD CVA'!$AM$31)*1</f>
        <v>914.22505883808685</v>
      </c>
      <c r="AA1493" s="6">
        <f>('TE BE'!$AB$10+'TE BF'!$AB$10+'TE CVA'!$AB$10)*1</f>
        <v>360.26029187567116</v>
      </c>
      <c r="AB1493" s="6">
        <f>$K$1493*$V$1493</f>
        <v>0</v>
      </c>
      <c r="AC1493" s="6">
        <f>$M$1493*$W$1493</f>
        <v>12034.459919999999</v>
      </c>
      <c r="AD1493" s="6">
        <f>$O$1493*$X$1493</f>
        <v>5328.9032399999996</v>
      </c>
      <c r="AE1493" s="6">
        <f>$K$1493*$Y$1493</f>
        <v>0</v>
      </c>
      <c r="AF1493" s="6">
        <f ca="1">$M$1493*$Z$1493</f>
        <v>12252.44423854804</v>
      </c>
      <c r="AG1493" s="6">
        <f>$O$1493*$AA$1493</f>
        <v>4828.2084317177441</v>
      </c>
    </row>
    <row r="1494" spans="1:33" ht="11.25" customHeight="1" x14ac:dyDescent="0.25">
      <c r="A1494" s="4" t="s">
        <v>27</v>
      </c>
      <c r="B1494" s="4" t="s">
        <v>22</v>
      </c>
      <c r="C1494" s="4" t="s">
        <v>33</v>
      </c>
      <c r="D1494" s="4" t="s">
        <v>24</v>
      </c>
      <c r="E1494" s="4" t="s">
        <v>24</v>
      </c>
      <c r="F1494" s="4" t="s">
        <v>25</v>
      </c>
      <c r="G1494" s="4" t="s">
        <v>25</v>
      </c>
      <c r="H1494" s="4" t="s">
        <v>34</v>
      </c>
      <c r="I1494" s="5">
        <v>44470</v>
      </c>
      <c r="J1494" s="6">
        <v>0</v>
      </c>
      <c r="K1494" s="6">
        <v>0</v>
      </c>
      <c r="L1494" s="6">
        <v>-8.0869999999999997</v>
      </c>
      <c r="M1494" s="6">
        <v>-8.0869999999999997</v>
      </c>
      <c r="N1494" s="6">
        <v>-8.0869999999999997</v>
      </c>
      <c r="O1494" s="6">
        <v>-8.0869999999999997</v>
      </c>
      <c r="P1494" s="6">
        <v>0</v>
      </c>
      <c r="Q1494" s="4" t="s">
        <v>26</v>
      </c>
      <c r="R1494" s="4">
        <v>0</v>
      </c>
      <c r="S1494" s="6">
        <v>0</v>
      </c>
      <c r="T1494" s="6">
        <v>58</v>
      </c>
      <c r="U1494" s="6">
        <v>69</v>
      </c>
      <c r="V1494" s="6">
        <f>IF(ISERROR(VLOOKUP($S$1494,'TAR FIN'!$A$1:$O$104,15,0)),0,VLOOKUP($S$1494,'TAR FIN'!$A$1:$O$104,15,0))</f>
        <v>0</v>
      </c>
      <c r="W1494" s="6">
        <f>IF(ISERROR(VLOOKUP($T$1494,'TAR FIN'!$A$1:$O$104,15,0)),0,VLOOKUP($T$1494,'TAR FIN'!$A$1:$O$104,15,0))</f>
        <v>897.96</v>
      </c>
      <c r="X1494" s="6">
        <f>IF(ISERROR(VLOOKUP($U$1494,'TAR FIN'!$A$1:$O$104,15,0)),0,VLOOKUP($U$1494,'TAR FIN'!$A$1:$O$104,15,0))</f>
        <v>397.62</v>
      </c>
      <c r="Y1494" s="6"/>
      <c r="Z1494" s="6">
        <f ca="1">('TUSD BE'!$AM$31+'TUSD BF'!$AM$31+'TUSD CVA'!$AM$31)*1</f>
        <v>914.22505883808685</v>
      </c>
      <c r="AA1494" s="6">
        <f>('TE BE'!$AB$10+'TE BF'!$AB$10+'TE CVA'!$AB$10)*1</f>
        <v>360.26029187567116</v>
      </c>
      <c r="AB1494" s="6">
        <f>$K$1494*$V$1494</f>
        <v>0</v>
      </c>
      <c r="AC1494" s="6">
        <f>$M$1494*$W$1494</f>
        <v>-7261.8025200000002</v>
      </c>
      <c r="AD1494" s="6">
        <f>$O$1494*$X$1494</f>
        <v>-3215.55294</v>
      </c>
      <c r="AE1494" s="6">
        <f>$K$1494*$Y$1494</f>
        <v>0</v>
      </c>
      <c r="AF1494" s="6">
        <f ca="1">$M$1494*$Z$1494</f>
        <v>-7393.3380508236078</v>
      </c>
      <c r="AG1494" s="6">
        <f>$O$1494*$AA$1494</f>
        <v>-2913.4249803985526</v>
      </c>
    </row>
    <row r="1495" spans="1:33" ht="11.25" customHeight="1" x14ac:dyDescent="0.25">
      <c r="A1495" s="4" t="s">
        <v>28</v>
      </c>
      <c r="B1495" s="4" t="s">
        <v>22</v>
      </c>
      <c r="C1495" s="4" t="s">
        <v>33</v>
      </c>
      <c r="D1495" s="4" t="s">
        <v>24</v>
      </c>
      <c r="E1495" s="4" t="s">
        <v>24</v>
      </c>
      <c r="F1495" s="4" t="s">
        <v>25</v>
      </c>
      <c r="G1495" s="4" t="s">
        <v>25</v>
      </c>
      <c r="H1495" s="4" t="s">
        <v>34</v>
      </c>
      <c r="I1495" s="5">
        <v>44470</v>
      </c>
      <c r="J1495" s="6">
        <v>0</v>
      </c>
      <c r="K1495" s="6">
        <v>0</v>
      </c>
      <c r="L1495" s="6">
        <v>7.9000000000000001E-2</v>
      </c>
      <c r="M1495" s="6">
        <v>7.9000000000000001E-2</v>
      </c>
      <c r="N1495" s="6">
        <v>7.9000000000000001E-2</v>
      </c>
      <c r="O1495" s="6">
        <v>7.9000000000000001E-2</v>
      </c>
      <c r="P1495" s="6">
        <v>0</v>
      </c>
      <c r="Q1495" s="4" t="s">
        <v>26</v>
      </c>
      <c r="R1495" s="4">
        <v>0</v>
      </c>
      <c r="S1495" s="6">
        <v>0</v>
      </c>
      <c r="T1495" s="6">
        <v>58</v>
      </c>
      <c r="U1495" s="6">
        <v>69</v>
      </c>
      <c r="V1495" s="6">
        <f>IF(ISERROR(VLOOKUP($S$1495,'TAR FIN'!$A$1:$O$104,15,0)),0,VLOOKUP($S$1495,'TAR FIN'!$A$1:$O$104,15,0))</f>
        <v>0</v>
      </c>
      <c r="W1495" s="6">
        <f>IF(ISERROR(VLOOKUP($T$1495,'TAR FIN'!$A$1:$O$104,15,0)),0,VLOOKUP($T$1495,'TAR FIN'!$A$1:$O$104,15,0))</f>
        <v>897.96</v>
      </c>
      <c r="X1495" s="6">
        <f>IF(ISERROR(VLOOKUP($U$1495,'TAR FIN'!$A$1:$O$104,15,0)),0,VLOOKUP($U$1495,'TAR FIN'!$A$1:$O$104,15,0))</f>
        <v>397.62</v>
      </c>
      <c r="Y1495" s="6"/>
      <c r="Z1495" s="6">
        <f ca="1">('TUSD BE'!$AM$31+'TUSD BF'!$AM$31+'TUSD CVA'!$AM$31)*1</f>
        <v>914.22505883808685</v>
      </c>
      <c r="AA1495" s="6">
        <f>('TE BE'!$AB$10+'TE BF'!$AB$10+'TE CVA'!$AB$10)*1</f>
        <v>360.26029187567116</v>
      </c>
      <c r="AB1495" s="6">
        <f>$K$1495*$V$1495</f>
        <v>0</v>
      </c>
      <c r="AC1495" s="6">
        <f>$M$1495*$W$1495</f>
        <v>70.938839999999999</v>
      </c>
      <c r="AD1495" s="6">
        <f>$O$1495*$X$1495</f>
        <v>31.41198</v>
      </c>
      <c r="AE1495" s="6">
        <f>$K$1495*$Y$1495</f>
        <v>0</v>
      </c>
      <c r="AF1495" s="6">
        <f ca="1">$M$1495*$Z$1495</f>
        <v>72.223779648208861</v>
      </c>
      <c r="AG1495" s="6">
        <f>$O$1495*$AA$1495</f>
        <v>28.460563058178021</v>
      </c>
    </row>
    <row r="1496" spans="1:33" ht="11.25" customHeight="1" x14ac:dyDescent="0.25">
      <c r="A1496" s="4" t="s">
        <v>21</v>
      </c>
      <c r="B1496" s="4" t="s">
        <v>22</v>
      </c>
      <c r="C1496" s="4" t="s">
        <v>33</v>
      </c>
      <c r="D1496" s="4" t="s">
        <v>24</v>
      </c>
      <c r="E1496" s="4" t="s">
        <v>24</v>
      </c>
      <c r="F1496" s="4" t="s">
        <v>25</v>
      </c>
      <c r="G1496" s="4" t="s">
        <v>25</v>
      </c>
      <c r="H1496" s="4" t="s">
        <v>34</v>
      </c>
      <c r="I1496" s="5">
        <v>44501</v>
      </c>
      <c r="J1496" s="6">
        <v>0</v>
      </c>
      <c r="K1496" s="6">
        <v>0</v>
      </c>
      <c r="L1496" s="6">
        <v>7.8339999999999996</v>
      </c>
      <c r="M1496" s="6">
        <v>7.8339999999999996</v>
      </c>
      <c r="N1496" s="6">
        <v>7.8339999999999996</v>
      </c>
      <c r="O1496" s="6">
        <v>7.8339999999999996</v>
      </c>
      <c r="P1496" s="6">
        <v>0</v>
      </c>
      <c r="Q1496" s="4" t="s">
        <v>26</v>
      </c>
      <c r="R1496" s="4">
        <v>0</v>
      </c>
      <c r="S1496" s="6">
        <v>0</v>
      </c>
      <c r="T1496" s="6">
        <v>58</v>
      </c>
      <c r="U1496" s="6">
        <v>69</v>
      </c>
      <c r="V1496" s="6">
        <f>IF(ISERROR(VLOOKUP($S$1496,'TAR FIN'!$A$1:$O$104,15,0)),0,VLOOKUP($S$1496,'TAR FIN'!$A$1:$O$104,15,0))</f>
        <v>0</v>
      </c>
      <c r="W1496" s="6">
        <f>IF(ISERROR(VLOOKUP($T$1496,'TAR FIN'!$A$1:$O$104,15,0)),0,VLOOKUP($T$1496,'TAR FIN'!$A$1:$O$104,15,0))</f>
        <v>897.96</v>
      </c>
      <c r="X1496" s="6">
        <f>IF(ISERROR(VLOOKUP($U$1496,'TAR FIN'!$A$1:$O$104,15,0)),0,VLOOKUP($U$1496,'TAR FIN'!$A$1:$O$104,15,0))</f>
        <v>397.62</v>
      </c>
      <c r="Y1496" s="6"/>
      <c r="Z1496" s="6">
        <f ca="1">('TUSD BE'!$AM$31+'TUSD BF'!$AM$31+'TUSD CVA'!$AM$31)*1</f>
        <v>914.22505883808685</v>
      </c>
      <c r="AA1496" s="6">
        <f>('TE BE'!$AB$10+'TE BF'!$AB$10+'TE CVA'!$AB$10)*1</f>
        <v>360.26029187567116</v>
      </c>
      <c r="AB1496" s="6">
        <f>$K$1496*$V$1496</f>
        <v>0</v>
      </c>
      <c r="AC1496" s="6">
        <f>$M$1496*$W$1496</f>
        <v>7034.6186399999997</v>
      </c>
      <c r="AD1496" s="6">
        <f>$O$1496*$X$1496</f>
        <v>3114.9550799999997</v>
      </c>
      <c r="AE1496" s="6">
        <f>$K$1496*$Y$1496</f>
        <v>0</v>
      </c>
      <c r="AF1496" s="6">
        <f ca="1">$M$1496*$Z$1496</f>
        <v>7162.0391109375723</v>
      </c>
      <c r="AG1496" s="6">
        <f>$O$1496*$AA$1496</f>
        <v>2822.2791265540077</v>
      </c>
    </row>
    <row r="1497" spans="1:33" ht="11.25" customHeight="1" x14ac:dyDescent="0.25">
      <c r="A1497" s="4" t="s">
        <v>27</v>
      </c>
      <c r="B1497" s="4" t="s">
        <v>22</v>
      </c>
      <c r="C1497" s="4" t="s">
        <v>33</v>
      </c>
      <c r="D1497" s="4" t="s">
        <v>24</v>
      </c>
      <c r="E1497" s="4" t="s">
        <v>24</v>
      </c>
      <c r="F1497" s="4" t="s">
        <v>25</v>
      </c>
      <c r="G1497" s="4" t="s">
        <v>25</v>
      </c>
      <c r="H1497" s="4" t="s">
        <v>34</v>
      </c>
      <c r="I1497" s="5">
        <v>44501</v>
      </c>
      <c r="J1497" s="6">
        <v>0</v>
      </c>
      <c r="K1497" s="6">
        <v>0</v>
      </c>
      <c r="L1497" s="6">
        <v>-4.3490000000000002</v>
      </c>
      <c r="M1497" s="6">
        <v>-4.3490000000000002</v>
      </c>
      <c r="N1497" s="6">
        <v>-4.3490000000000002</v>
      </c>
      <c r="O1497" s="6">
        <v>-4.3490000000000002</v>
      </c>
      <c r="P1497" s="6">
        <v>0</v>
      </c>
      <c r="Q1497" s="4" t="s">
        <v>26</v>
      </c>
      <c r="R1497" s="4">
        <v>0</v>
      </c>
      <c r="S1497" s="6">
        <v>0</v>
      </c>
      <c r="T1497" s="6">
        <v>58</v>
      </c>
      <c r="U1497" s="6">
        <v>69</v>
      </c>
      <c r="V1497" s="6">
        <f>IF(ISERROR(VLOOKUP($S$1497,'TAR FIN'!$A$1:$O$104,15,0)),0,VLOOKUP($S$1497,'TAR FIN'!$A$1:$O$104,15,0))</f>
        <v>0</v>
      </c>
      <c r="W1497" s="6">
        <f>IF(ISERROR(VLOOKUP($T$1497,'TAR FIN'!$A$1:$O$104,15,0)),0,VLOOKUP($T$1497,'TAR FIN'!$A$1:$O$104,15,0))</f>
        <v>897.96</v>
      </c>
      <c r="X1497" s="6">
        <f>IF(ISERROR(VLOOKUP($U$1497,'TAR FIN'!$A$1:$O$104,15,0)),0,VLOOKUP($U$1497,'TAR FIN'!$A$1:$O$104,15,0))</f>
        <v>397.62</v>
      </c>
      <c r="Y1497" s="6"/>
      <c r="Z1497" s="6">
        <f ca="1">('TUSD BE'!$AM$31+'TUSD BF'!$AM$31+'TUSD CVA'!$AM$31)*1</f>
        <v>914.22505883808685</v>
      </c>
      <c r="AA1497" s="6">
        <f>('TE BE'!$AB$10+'TE BF'!$AB$10+'TE CVA'!$AB$10)*1</f>
        <v>360.26029187567116</v>
      </c>
      <c r="AB1497" s="6">
        <f>$K$1497*$V$1497</f>
        <v>0</v>
      </c>
      <c r="AC1497" s="6">
        <f>$M$1497*$W$1497</f>
        <v>-3905.2280400000004</v>
      </c>
      <c r="AD1497" s="6">
        <f>$O$1497*$X$1497</f>
        <v>-1729.2493800000002</v>
      </c>
      <c r="AE1497" s="6">
        <f>$K$1497*$Y$1497</f>
        <v>0</v>
      </c>
      <c r="AF1497" s="6">
        <f ca="1">$M$1497*$Z$1497</f>
        <v>-3975.9647808868399</v>
      </c>
      <c r="AG1497" s="6">
        <f>$O$1497*$AA$1497</f>
        <v>-1566.772009367294</v>
      </c>
    </row>
    <row r="1498" spans="1:33" ht="11.25" customHeight="1" x14ac:dyDescent="0.25">
      <c r="A1498" s="4" t="s">
        <v>28</v>
      </c>
      <c r="B1498" s="4" t="s">
        <v>22</v>
      </c>
      <c r="C1498" s="4" t="s">
        <v>33</v>
      </c>
      <c r="D1498" s="4" t="s">
        <v>24</v>
      </c>
      <c r="E1498" s="4" t="s">
        <v>24</v>
      </c>
      <c r="F1498" s="4" t="s">
        <v>25</v>
      </c>
      <c r="G1498" s="4" t="s">
        <v>25</v>
      </c>
      <c r="H1498" s="4" t="s">
        <v>34</v>
      </c>
      <c r="I1498" s="5">
        <v>44501</v>
      </c>
      <c r="J1498" s="6">
        <v>0</v>
      </c>
      <c r="K1498" s="6">
        <v>0</v>
      </c>
      <c r="L1498" s="6">
        <v>0.36199999999999999</v>
      </c>
      <c r="M1498" s="6">
        <v>0.36199999999999999</v>
      </c>
      <c r="N1498" s="6">
        <v>0.36199999999999999</v>
      </c>
      <c r="O1498" s="6">
        <v>0.36199999999999999</v>
      </c>
      <c r="P1498" s="6">
        <v>0</v>
      </c>
      <c r="Q1498" s="4" t="s">
        <v>26</v>
      </c>
      <c r="R1498" s="4">
        <v>0</v>
      </c>
      <c r="S1498" s="6">
        <v>0</v>
      </c>
      <c r="T1498" s="6">
        <v>58</v>
      </c>
      <c r="U1498" s="6">
        <v>69</v>
      </c>
      <c r="V1498" s="6">
        <f>IF(ISERROR(VLOOKUP($S$1498,'TAR FIN'!$A$1:$O$104,15,0)),0,VLOOKUP($S$1498,'TAR FIN'!$A$1:$O$104,15,0))</f>
        <v>0</v>
      </c>
      <c r="W1498" s="6">
        <f>IF(ISERROR(VLOOKUP($T$1498,'TAR FIN'!$A$1:$O$104,15,0)),0,VLOOKUP($T$1498,'TAR FIN'!$A$1:$O$104,15,0))</f>
        <v>897.96</v>
      </c>
      <c r="X1498" s="6">
        <f>IF(ISERROR(VLOOKUP($U$1498,'TAR FIN'!$A$1:$O$104,15,0)),0,VLOOKUP($U$1498,'TAR FIN'!$A$1:$O$104,15,0))</f>
        <v>397.62</v>
      </c>
      <c r="Y1498" s="6"/>
      <c r="Z1498" s="6">
        <f ca="1">('TUSD BE'!$AM$31+'TUSD BF'!$AM$31+'TUSD CVA'!$AM$31)*1</f>
        <v>914.22505883808685</v>
      </c>
      <c r="AA1498" s="6">
        <f>('TE BE'!$AB$10+'TE BF'!$AB$10+'TE CVA'!$AB$10)*1</f>
        <v>360.26029187567116</v>
      </c>
      <c r="AB1498" s="6">
        <f>$K$1498*$V$1498</f>
        <v>0</v>
      </c>
      <c r="AC1498" s="6">
        <f>$M$1498*$W$1498</f>
        <v>325.06152000000003</v>
      </c>
      <c r="AD1498" s="6">
        <f>$O$1498*$X$1498</f>
        <v>143.93843999999999</v>
      </c>
      <c r="AE1498" s="6">
        <f>$K$1498*$Y$1498</f>
        <v>0</v>
      </c>
      <c r="AF1498" s="6">
        <f ca="1">$M$1498*$Z$1498</f>
        <v>330.94947129938743</v>
      </c>
      <c r="AG1498" s="6">
        <f>$O$1498*$AA$1498</f>
        <v>130.41422565899296</v>
      </c>
    </row>
    <row r="1499" spans="1:33" ht="11.25" customHeight="1" x14ac:dyDescent="0.25">
      <c r="A1499" s="4" t="s">
        <v>21</v>
      </c>
      <c r="B1499" s="4" t="s">
        <v>22</v>
      </c>
      <c r="C1499" s="4" t="s">
        <v>33</v>
      </c>
      <c r="D1499" s="4" t="s">
        <v>24</v>
      </c>
      <c r="E1499" s="4" t="s">
        <v>24</v>
      </c>
      <c r="F1499" s="4" t="s">
        <v>25</v>
      </c>
      <c r="G1499" s="4" t="s">
        <v>25</v>
      </c>
      <c r="H1499" s="4" t="s">
        <v>34</v>
      </c>
      <c r="I1499" s="5">
        <v>44531</v>
      </c>
      <c r="J1499" s="6">
        <v>0</v>
      </c>
      <c r="K1499" s="6">
        <v>0</v>
      </c>
      <c r="L1499" s="6">
        <v>9.9960000000000004</v>
      </c>
      <c r="M1499" s="6">
        <v>9.9960000000000004</v>
      </c>
      <c r="N1499" s="6">
        <v>9.9960000000000004</v>
      </c>
      <c r="O1499" s="6">
        <v>9.9960000000000004</v>
      </c>
      <c r="P1499" s="6">
        <v>0</v>
      </c>
      <c r="Q1499" s="4" t="s">
        <v>26</v>
      </c>
      <c r="R1499" s="4">
        <v>0</v>
      </c>
      <c r="S1499" s="6">
        <v>0</v>
      </c>
      <c r="T1499" s="6">
        <v>58</v>
      </c>
      <c r="U1499" s="6">
        <v>69</v>
      </c>
      <c r="V1499" s="6">
        <f>IF(ISERROR(VLOOKUP($S$1499,'TAR FIN'!$A$1:$O$104,15,0)),0,VLOOKUP($S$1499,'TAR FIN'!$A$1:$O$104,15,0))</f>
        <v>0</v>
      </c>
      <c r="W1499" s="6">
        <f>IF(ISERROR(VLOOKUP($T$1499,'TAR FIN'!$A$1:$O$104,15,0)),0,VLOOKUP($T$1499,'TAR FIN'!$A$1:$O$104,15,0))</f>
        <v>897.96</v>
      </c>
      <c r="X1499" s="6">
        <f>IF(ISERROR(VLOOKUP($U$1499,'TAR FIN'!$A$1:$O$104,15,0)),0,VLOOKUP($U$1499,'TAR FIN'!$A$1:$O$104,15,0))</f>
        <v>397.62</v>
      </c>
      <c r="Y1499" s="6"/>
      <c r="Z1499" s="6">
        <f ca="1">('TUSD BE'!$AM$31+'TUSD BF'!$AM$31+'TUSD CVA'!$AM$31)*1</f>
        <v>914.22505883808685</v>
      </c>
      <c r="AA1499" s="6">
        <f>('TE BE'!$AB$10+'TE BF'!$AB$10+'TE CVA'!$AB$10)*1</f>
        <v>360.26029187567116</v>
      </c>
      <c r="AB1499" s="6">
        <f>$K$1499*$V$1499</f>
        <v>0</v>
      </c>
      <c r="AC1499" s="6">
        <f>$M$1499*$W$1499</f>
        <v>8976.0081600000012</v>
      </c>
      <c r="AD1499" s="6">
        <f>$O$1499*$X$1499</f>
        <v>3974.6095200000004</v>
      </c>
      <c r="AE1499" s="6">
        <f>$K$1499*$Y$1499</f>
        <v>0</v>
      </c>
      <c r="AF1499" s="6">
        <f ca="1">$M$1499*$Z$1499</f>
        <v>9138.5936881455164</v>
      </c>
      <c r="AG1499" s="6">
        <f>$O$1499*$AA$1499</f>
        <v>3601.1618775892089</v>
      </c>
    </row>
    <row r="1500" spans="1:33" ht="11.25" customHeight="1" x14ac:dyDescent="0.25">
      <c r="A1500" s="4" t="s">
        <v>27</v>
      </c>
      <c r="B1500" s="4" t="s">
        <v>22</v>
      </c>
      <c r="C1500" s="4" t="s">
        <v>33</v>
      </c>
      <c r="D1500" s="4" t="s">
        <v>24</v>
      </c>
      <c r="E1500" s="4" t="s">
        <v>24</v>
      </c>
      <c r="F1500" s="4" t="s">
        <v>25</v>
      </c>
      <c r="G1500" s="4" t="s">
        <v>25</v>
      </c>
      <c r="H1500" s="4" t="s">
        <v>34</v>
      </c>
      <c r="I1500" s="5">
        <v>44531</v>
      </c>
      <c r="J1500" s="6">
        <v>0</v>
      </c>
      <c r="K1500" s="6">
        <v>0</v>
      </c>
      <c r="L1500" s="6">
        <v>-0.29199999999999998</v>
      </c>
      <c r="M1500" s="6">
        <v>-0.29199999999999998</v>
      </c>
      <c r="N1500" s="6">
        <v>-0.29199999999999998</v>
      </c>
      <c r="O1500" s="6">
        <v>-0.29199999999999998</v>
      </c>
      <c r="P1500" s="6">
        <v>0</v>
      </c>
      <c r="Q1500" s="4" t="s">
        <v>26</v>
      </c>
      <c r="R1500" s="4">
        <v>0</v>
      </c>
      <c r="S1500" s="6">
        <v>0</v>
      </c>
      <c r="T1500" s="6">
        <v>58</v>
      </c>
      <c r="U1500" s="6">
        <v>69</v>
      </c>
      <c r="V1500" s="6">
        <f>IF(ISERROR(VLOOKUP($S$1500,'TAR FIN'!$A$1:$O$104,15,0)),0,VLOOKUP($S$1500,'TAR FIN'!$A$1:$O$104,15,0))</f>
        <v>0</v>
      </c>
      <c r="W1500" s="6">
        <f>IF(ISERROR(VLOOKUP($T$1500,'TAR FIN'!$A$1:$O$104,15,0)),0,VLOOKUP($T$1500,'TAR FIN'!$A$1:$O$104,15,0))</f>
        <v>897.96</v>
      </c>
      <c r="X1500" s="6">
        <f>IF(ISERROR(VLOOKUP($U$1500,'TAR FIN'!$A$1:$O$104,15,0)),0,VLOOKUP($U$1500,'TAR FIN'!$A$1:$O$104,15,0))</f>
        <v>397.62</v>
      </c>
      <c r="Y1500" s="6"/>
      <c r="Z1500" s="6">
        <f ca="1">('TUSD BE'!$AM$31+'TUSD BF'!$AM$31+'TUSD CVA'!$AM$31)*1</f>
        <v>914.22505883808685</v>
      </c>
      <c r="AA1500" s="6">
        <f>('TE BE'!$AB$10+'TE BF'!$AB$10+'TE CVA'!$AB$10)*1</f>
        <v>360.26029187567116</v>
      </c>
      <c r="AB1500" s="6">
        <f>$K$1500*$V$1500</f>
        <v>0</v>
      </c>
      <c r="AC1500" s="6">
        <f>$M$1500*$W$1500</f>
        <v>-262.20432</v>
      </c>
      <c r="AD1500" s="6">
        <f>$O$1500*$X$1500</f>
        <v>-116.10503999999999</v>
      </c>
      <c r="AE1500" s="6">
        <f>$K$1500*$Y$1500</f>
        <v>0</v>
      </c>
      <c r="AF1500" s="6">
        <f ca="1">$M$1500*$Z$1500</f>
        <v>-266.95371718072136</v>
      </c>
      <c r="AG1500" s="6">
        <f>$O$1500*$AA$1500</f>
        <v>-105.19600522769598</v>
      </c>
    </row>
    <row r="1501" spans="1:33" ht="11.25" customHeight="1" x14ac:dyDescent="0.25">
      <c r="A1501" s="4" t="s">
        <v>28</v>
      </c>
      <c r="B1501" s="4" t="s">
        <v>22</v>
      </c>
      <c r="C1501" s="4" t="s">
        <v>33</v>
      </c>
      <c r="D1501" s="4" t="s">
        <v>24</v>
      </c>
      <c r="E1501" s="4" t="s">
        <v>24</v>
      </c>
      <c r="F1501" s="4" t="s">
        <v>25</v>
      </c>
      <c r="G1501" s="4" t="s">
        <v>25</v>
      </c>
      <c r="H1501" s="4" t="s">
        <v>34</v>
      </c>
      <c r="I1501" s="5">
        <v>44531</v>
      </c>
      <c r="J1501" s="6">
        <v>0</v>
      </c>
      <c r="K1501" s="6">
        <v>0</v>
      </c>
      <c r="L1501" s="6">
        <v>0.53100000000000003</v>
      </c>
      <c r="M1501" s="6">
        <v>0.53100000000000003</v>
      </c>
      <c r="N1501" s="6">
        <v>0.53100000000000003</v>
      </c>
      <c r="O1501" s="6">
        <v>0.53100000000000003</v>
      </c>
      <c r="P1501" s="6">
        <v>0</v>
      </c>
      <c r="Q1501" s="4" t="s">
        <v>26</v>
      </c>
      <c r="R1501" s="4">
        <v>0</v>
      </c>
      <c r="S1501" s="6">
        <v>0</v>
      </c>
      <c r="T1501" s="6">
        <v>58</v>
      </c>
      <c r="U1501" s="6">
        <v>69</v>
      </c>
      <c r="V1501" s="6">
        <f>IF(ISERROR(VLOOKUP($S$1501,'TAR FIN'!$A$1:$O$104,15,0)),0,VLOOKUP($S$1501,'TAR FIN'!$A$1:$O$104,15,0))</f>
        <v>0</v>
      </c>
      <c r="W1501" s="6">
        <f>IF(ISERROR(VLOOKUP($T$1501,'TAR FIN'!$A$1:$O$104,15,0)),0,VLOOKUP($T$1501,'TAR FIN'!$A$1:$O$104,15,0))</f>
        <v>897.96</v>
      </c>
      <c r="X1501" s="6">
        <f>IF(ISERROR(VLOOKUP($U$1501,'TAR FIN'!$A$1:$O$104,15,0)),0,VLOOKUP($U$1501,'TAR FIN'!$A$1:$O$104,15,0))</f>
        <v>397.62</v>
      </c>
      <c r="Y1501" s="6"/>
      <c r="Z1501" s="6">
        <f ca="1">('TUSD BE'!$AM$31+'TUSD BF'!$AM$31+'TUSD CVA'!$AM$31)*1</f>
        <v>914.22505883808685</v>
      </c>
      <c r="AA1501" s="6">
        <f>('TE BE'!$AB$10+'TE BF'!$AB$10+'TE CVA'!$AB$10)*1</f>
        <v>360.26029187567116</v>
      </c>
      <c r="AB1501" s="6">
        <f>$K$1501*$V$1501</f>
        <v>0</v>
      </c>
      <c r="AC1501" s="6">
        <f>$M$1501*$W$1501</f>
        <v>476.81676000000004</v>
      </c>
      <c r="AD1501" s="6">
        <f>$O$1501*$X$1501</f>
        <v>211.13622000000001</v>
      </c>
      <c r="AE1501" s="6">
        <f>$K$1501*$Y$1501</f>
        <v>0</v>
      </c>
      <c r="AF1501" s="6">
        <f ca="1">$M$1501*$Z$1501</f>
        <v>485.45350624302415</v>
      </c>
      <c r="AG1501" s="6">
        <f>$O$1501*$AA$1501</f>
        <v>191.29821498598139</v>
      </c>
    </row>
    <row r="1502" spans="1:33" ht="11.25" customHeight="1" x14ac:dyDescent="0.25">
      <c r="A1502" s="4" t="s">
        <v>21</v>
      </c>
      <c r="B1502" s="4" t="s">
        <v>22</v>
      </c>
      <c r="C1502" s="4" t="s">
        <v>33</v>
      </c>
      <c r="D1502" s="4" t="s">
        <v>24</v>
      </c>
      <c r="E1502" s="4" t="s">
        <v>24</v>
      </c>
      <c r="F1502" s="4" t="s">
        <v>25</v>
      </c>
      <c r="G1502" s="4" t="s">
        <v>25</v>
      </c>
      <c r="H1502" s="4" t="s">
        <v>34</v>
      </c>
      <c r="I1502" s="5">
        <v>44562</v>
      </c>
      <c r="J1502" s="6">
        <v>0</v>
      </c>
      <c r="K1502" s="6">
        <v>0</v>
      </c>
      <c r="L1502" s="6">
        <v>20.518999999999998</v>
      </c>
      <c r="M1502" s="6">
        <v>20.518999999999998</v>
      </c>
      <c r="N1502" s="6">
        <v>20.518999999999998</v>
      </c>
      <c r="O1502" s="6">
        <v>20.518999999999998</v>
      </c>
      <c r="P1502" s="6">
        <v>0</v>
      </c>
      <c r="Q1502" s="4" t="s">
        <v>26</v>
      </c>
      <c r="R1502" s="4">
        <v>0</v>
      </c>
      <c r="S1502" s="6">
        <v>0</v>
      </c>
      <c r="T1502" s="6">
        <v>58</v>
      </c>
      <c r="U1502" s="6">
        <v>69</v>
      </c>
      <c r="V1502" s="6">
        <f>IF(ISERROR(VLOOKUP($S$1502,'TAR FIN'!$A$1:$O$104,15,0)),0,VLOOKUP($S$1502,'TAR FIN'!$A$1:$O$104,15,0))</f>
        <v>0</v>
      </c>
      <c r="W1502" s="6">
        <f>IF(ISERROR(VLOOKUP($T$1502,'TAR FIN'!$A$1:$O$104,15,0)),0,VLOOKUP($T$1502,'TAR FIN'!$A$1:$O$104,15,0))</f>
        <v>897.96</v>
      </c>
      <c r="X1502" s="6">
        <f>IF(ISERROR(VLOOKUP($U$1502,'TAR FIN'!$A$1:$O$104,15,0)),0,VLOOKUP($U$1502,'TAR FIN'!$A$1:$O$104,15,0))</f>
        <v>397.62</v>
      </c>
      <c r="Y1502" s="6"/>
      <c r="Z1502" s="6">
        <f ca="1">('TUSD BE'!$AM$31+'TUSD BF'!$AM$31+'TUSD CVA'!$AM$31)*1</f>
        <v>914.22505883808685</v>
      </c>
      <c r="AA1502" s="6">
        <f>('TE BE'!$AB$10+'TE BF'!$AB$10+'TE CVA'!$AB$10)*1</f>
        <v>360.26029187567116</v>
      </c>
      <c r="AB1502" s="6">
        <f>$K$1502*$V$1502</f>
        <v>0</v>
      </c>
      <c r="AC1502" s="6">
        <f>$M$1502*$W$1502</f>
        <v>18425.241239999999</v>
      </c>
      <c r="AD1502" s="6">
        <f>$O$1502*$X$1502</f>
        <v>8158.7647799999995</v>
      </c>
      <c r="AE1502" s="6">
        <f>$K$1502*$Y$1502</f>
        <v>0</v>
      </c>
      <c r="AF1502" s="6">
        <f ca="1">$M$1502*$Z$1502</f>
        <v>18758.983982298701</v>
      </c>
      <c r="AG1502" s="6">
        <f>$O$1502*$AA$1502</f>
        <v>7392.180928996896</v>
      </c>
    </row>
    <row r="1503" spans="1:33" ht="11.25" customHeight="1" x14ac:dyDescent="0.25">
      <c r="A1503" s="4" t="s">
        <v>27</v>
      </c>
      <c r="B1503" s="4" t="s">
        <v>22</v>
      </c>
      <c r="C1503" s="4" t="s">
        <v>33</v>
      </c>
      <c r="D1503" s="4" t="s">
        <v>24</v>
      </c>
      <c r="E1503" s="4" t="s">
        <v>24</v>
      </c>
      <c r="F1503" s="4" t="s">
        <v>25</v>
      </c>
      <c r="G1503" s="4" t="s">
        <v>25</v>
      </c>
      <c r="H1503" s="4" t="s">
        <v>34</v>
      </c>
      <c r="I1503" s="5">
        <v>44562</v>
      </c>
      <c r="J1503" s="6">
        <v>0</v>
      </c>
      <c r="K1503" s="6">
        <v>0</v>
      </c>
      <c r="L1503" s="6">
        <v>-0.83299999999999996</v>
      </c>
      <c r="M1503" s="6">
        <v>-0.83299999999999996</v>
      </c>
      <c r="N1503" s="6">
        <v>-0.83299999999999996</v>
      </c>
      <c r="O1503" s="6">
        <v>-0.83299999999999996</v>
      </c>
      <c r="P1503" s="6">
        <v>0</v>
      </c>
      <c r="Q1503" s="4" t="s">
        <v>26</v>
      </c>
      <c r="R1503" s="4">
        <v>0</v>
      </c>
      <c r="S1503" s="6">
        <v>0</v>
      </c>
      <c r="T1503" s="6">
        <v>58</v>
      </c>
      <c r="U1503" s="6">
        <v>69</v>
      </c>
      <c r="V1503" s="6">
        <f>IF(ISERROR(VLOOKUP($S$1503,'TAR FIN'!$A$1:$O$104,15,0)),0,VLOOKUP($S$1503,'TAR FIN'!$A$1:$O$104,15,0))</f>
        <v>0</v>
      </c>
      <c r="W1503" s="6">
        <f>IF(ISERROR(VLOOKUP($T$1503,'TAR FIN'!$A$1:$O$104,15,0)),0,VLOOKUP($T$1503,'TAR FIN'!$A$1:$O$104,15,0))</f>
        <v>897.96</v>
      </c>
      <c r="X1503" s="6">
        <f>IF(ISERROR(VLOOKUP($U$1503,'TAR FIN'!$A$1:$O$104,15,0)),0,VLOOKUP($U$1503,'TAR FIN'!$A$1:$O$104,15,0))</f>
        <v>397.62</v>
      </c>
      <c r="Y1503" s="6"/>
      <c r="Z1503" s="6">
        <f ca="1">('TUSD BE'!$AM$31+'TUSD BF'!$AM$31+'TUSD CVA'!$AM$31)*1</f>
        <v>914.22505883808685</v>
      </c>
      <c r="AA1503" s="6">
        <f>('TE BE'!$AB$10+'TE BF'!$AB$10+'TE CVA'!$AB$10)*1</f>
        <v>360.26029187567116</v>
      </c>
      <c r="AB1503" s="6">
        <f>$K$1503*$V$1503</f>
        <v>0</v>
      </c>
      <c r="AC1503" s="6">
        <f>$M$1503*$W$1503</f>
        <v>-748.00067999999999</v>
      </c>
      <c r="AD1503" s="6">
        <f>$O$1503*$X$1503</f>
        <v>-331.21746000000002</v>
      </c>
      <c r="AE1503" s="6">
        <f>$K$1503*$Y$1503</f>
        <v>0</v>
      </c>
      <c r="AF1503" s="6">
        <f ca="1">$M$1503*$Z$1503</f>
        <v>-761.54947401212632</v>
      </c>
      <c r="AG1503" s="6">
        <f>$O$1503*$AA$1503</f>
        <v>-300.09682313243405</v>
      </c>
    </row>
    <row r="1504" spans="1:33" ht="11.25" customHeight="1" x14ac:dyDescent="0.25">
      <c r="A1504" s="4" t="s">
        <v>28</v>
      </c>
      <c r="B1504" s="4" t="s">
        <v>22</v>
      </c>
      <c r="C1504" s="4" t="s">
        <v>33</v>
      </c>
      <c r="D1504" s="4" t="s">
        <v>24</v>
      </c>
      <c r="E1504" s="4" t="s">
        <v>24</v>
      </c>
      <c r="F1504" s="4" t="s">
        <v>25</v>
      </c>
      <c r="G1504" s="4" t="s">
        <v>25</v>
      </c>
      <c r="H1504" s="4" t="s">
        <v>34</v>
      </c>
      <c r="I1504" s="5">
        <v>44562</v>
      </c>
      <c r="J1504" s="6">
        <v>0</v>
      </c>
      <c r="K1504" s="6">
        <v>0</v>
      </c>
      <c r="L1504" s="6">
        <v>0.19900000000000001</v>
      </c>
      <c r="M1504" s="6">
        <v>0.19900000000000001</v>
      </c>
      <c r="N1504" s="6">
        <v>0.19900000000000001</v>
      </c>
      <c r="O1504" s="6">
        <v>0.19900000000000001</v>
      </c>
      <c r="P1504" s="6">
        <v>0</v>
      </c>
      <c r="Q1504" s="4" t="s">
        <v>26</v>
      </c>
      <c r="R1504" s="4">
        <v>0</v>
      </c>
      <c r="S1504" s="6">
        <v>0</v>
      </c>
      <c r="T1504" s="6">
        <v>58</v>
      </c>
      <c r="U1504" s="6">
        <v>69</v>
      </c>
      <c r="V1504" s="6">
        <f>IF(ISERROR(VLOOKUP($S$1504,'TAR FIN'!$A$1:$O$104,15,0)),0,VLOOKUP($S$1504,'TAR FIN'!$A$1:$O$104,15,0))</f>
        <v>0</v>
      </c>
      <c r="W1504" s="6">
        <f>IF(ISERROR(VLOOKUP($T$1504,'TAR FIN'!$A$1:$O$104,15,0)),0,VLOOKUP($T$1504,'TAR FIN'!$A$1:$O$104,15,0))</f>
        <v>897.96</v>
      </c>
      <c r="X1504" s="6">
        <f>IF(ISERROR(VLOOKUP($U$1504,'TAR FIN'!$A$1:$O$104,15,0)),0,VLOOKUP($U$1504,'TAR FIN'!$A$1:$O$104,15,0))</f>
        <v>397.62</v>
      </c>
      <c r="Y1504" s="6"/>
      <c r="Z1504" s="6">
        <f ca="1">('TUSD BE'!$AM$31+'TUSD BF'!$AM$31+'TUSD CVA'!$AM$31)*1</f>
        <v>914.22505883808685</v>
      </c>
      <c r="AA1504" s="6">
        <f>('TE BE'!$AB$10+'TE BF'!$AB$10+'TE CVA'!$AB$10)*1</f>
        <v>360.26029187567116</v>
      </c>
      <c r="AB1504" s="6">
        <f>$K$1504*$V$1504</f>
        <v>0</v>
      </c>
      <c r="AC1504" s="6">
        <f>$M$1504*$W$1504</f>
        <v>178.69404000000003</v>
      </c>
      <c r="AD1504" s="6">
        <f>$O$1504*$X$1504</f>
        <v>79.126380000000012</v>
      </c>
      <c r="AE1504" s="6">
        <f>$K$1504*$Y$1504</f>
        <v>0</v>
      </c>
      <c r="AF1504" s="6">
        <f ca="1">$M$1504*$Z$1504</f>
        <v>181.93078670877929</v>
      </c>
      <c r="AG1504" s="6">
        <f>$O$1504*$AA$1504</f>
        <v>71.691798083258561</v>
      </c>
    </row>
    <row r="1505" spans="1:33" ht="11.25" customHeight="1" x14ac:dyDescent="0.25">
      <c r="A1505" s="4" t="s">
        <v>28</v>
      </c>
      <c r="B1505" s="4" t="s">
        <v>22</v>
      </c>
      <c r="C1505" s="4" t="s">
        <v>33</v>
      </c>
      <c r="D1505" s="4" t="s">
        <v>24</v>
      </c>
      <c r="E1505" s="4" t="s">
        <v>24</v>
      </c>
      <c r="F1505" s="4" t="s">
        <v>25</v>
      </c>
      <c r="G1505" s="4" t="s">
        <v>25</v>
      </c>
      <c r="H1505" s="4" t="s">
        <v>34</v>
      </c>
      <c r="I1505" s="5">
        <v>44562</v>
      </c>
      <c r="J1505" s="6">
        <v>0</v>
      </c>
      <c r="K1505" s="6">
        <v>0</v>
      </c>
      <c r="L1505" s="6">
        <v>-9.6000000000000002E-2</v>
      </c>
      <c r="M1505" s="6">
        <v>-9.6000000000000002E-2</v>
      </c>
      <c r="N1505" s="6">
        <v>-9.6000000000000002E-2</v>
      </c>
      <c r="O1505" s="6">
        <v>-9.6000000000000002E-2</v>
      </c>
      <c r="P1505" s="6">
        <v>0</v>
      </c>
      <c r="Q1505" s="4" t="s">
        <v>26</v>
      </c>
      <c r="R1505" s="4">
        <v>0</v>
      </c>
      <c r="S1505" s="6">
        <v>0</v>
      </c>
      <c r="T1505" s="6">
        <v>58</v>
      </c>
      <c r="U1505" s="6">
        <v>69</v>
      </c>
      <c r="V1505" s="6">
        <f>IF(ISERROR(VLOOKUP($S$1505,'TAR FIN'!$A$1:$O$104,15,0)),0,VLOOKUP($S$1505,'TAR FIN'!$A$1:$O$104,15,0))</f>
        <v>0</v>
      </c>
      <c r="W1505" s="6">
        <f>IF(ISERROR(VLOOKUP($T$1505,'TAR FIN'!$A$1:$O$104,15,0)),0,VLOOKUP($T$1505,'TAR FIN'!$A$1:$O$104,15,0))</f>
        <v>897.96</v>
      </c>
      <c r="X1505" s="6">
        <f>IF(ISERROR(VLOOKUP($U$1505,'TAR FIN'!$A$1:$O$104,15,0)),0,VLOOKUP($U$1505,'TAR FIN'!$A$1:$O$104,15,0))</f>
        <v>397.62</v>
      </c>
      <c r="Y1505" s="6"/>
      <c r="Z1505" s="6">
        <f ca="1">('TUSD BE'!$AM$31+'TUSD BF'!$AM$31+'TUSD CVA'!$AM$31)*1</f>
        <v>914.22505883808685</v>
      </c>
      <c r="AA1505" s="6">
        <f>('TE BE'!$AB$10+'TE BF'!$AB$10+'TE CVA'!$AB$10)*1</f>
        <v>360.26029187567116</v>
      </c>
      <c r="AB1505" s="6">
        <f>$K$1505*$V$1505</f>
        <v>0</v>
      </c>
      <c r="AC1505" s="6">
        <f>$M$1505*$W$1505</f>
        <v>-86.204160000000002</v>
      </c>
      <c r="AD1505" s="6">
        <f>$O$1505*$X$1505</f>
        <v>-38.171520000000001</v>
      </c>
      <c r="AE1505" s="6">
        <f>$K$1505*$Y$1505</f>
        <v>0</v>
      </c>
      <c r="AF1505" s="6">
        <f ca="1">$M$1505*$Z$1505</f>
        <v>-87.765605648456344</v>
      </c>
      <c r="AG1505" s="6">
        <f>$O$1505*$AA$1505</f>
        <v>-34.584988020064429</v>
      </c>
    </row>
    <row r="1506" spans="1:33" ht="11.25" customHeight="1" x14ac:dyDescent="0.25">
      <c r="A1506" s="4" t="s">
        <v>21</v>
      </c>
      <c r="B1506" s="4" t="s">
        <v>22</v>
      </c>
      <c r="C1506" s="4" t="s">
        <v>33</v>
      </c>
      <c r="D1506" s="4" t="s">
        <v>24</v>
      </c>
      <c r="E1506" s="4" t="s">
        <v>24</v>
      </c>
      <c r="F1506" s="4" t="s">
        <v>25</v>
      </c>
      <c r="G1506" s="4" t="s">
        <v>25</v>
      </c>
      <c r="H1506" s="4" t="s">
        <v>34</v>
      </c>
      <c r="I1506" s="5">
        <v>44593</v>
      </c>
      <c r="J1506" s="6">
        <v>0</v>
      </c>
      <c r="K1506" s="6">
        <v>0</v>
      </c>
      <c r="L1506" s="6">
        <v>8.9499999999999993</v>
      </c>
      <c r="M1506" s="6">
        <v>8.9499999999999993</v>
      </c>
      <c r="N1506" s="6">
        <v>8.9499999999999993</v>
      </c>
      <c r="O1506" s="6">
        <v>8.9499999999999993</v>
      </c>
      <c r="P1506" s="6">
        <v>0</v>
      </c>
      <c r="Q1506" s="4" t="s">
        <v>26</v>
      </c>
      <c r="R1506" s="4">
        <v>0</v>
      </c>
      <c r="S1506" s="6">
        <v>0</v>
      </c>
      <c r="T1506" s="6">
        <v>58</v>
      </c>
      <c r="U1506" s="6">
        <v>69</v>
      </c>
      <c r="V1506" s="6">
        <f>IF(ISERROR(VLOOKUP($S$1506,'TAR FIN'!$A$1:$O$104,15,0)),0,VLOOKUP($S$1506,'TAR FIN'!$A$1:$O$104,15,0))</f>
        <v>0</v>
      </c>
      <c r="W1506" s="6">
        <f>IF(ISERROR(VLOOKUP($T$1506,'TAR FIN'!$A$1:$O$104,15,0)),0,VLOOKUP($T$1506,'TAR FIN'!$A$1:$O$104,15,0))</f>
        <v>897.96</v>
      </c>
      <c r="X1506" s="6">
        <f>IF(ISERROR(VLOOKUP($U$1506,'TAR FIN'!$A$1:$O$104,15,0)),0,VLOOKUP($U$1506,'TAR FIN'!$A$1:$O$104,15,0))</f>
        <v>397.62</v>
      </c>
      <c r="Y1506" s="6"/>
      <c r="Z1506" s="6">
        <f ca="1">('TUSD BE'!$AM$31+'TUSD BF'!$AM$31+'TUSD CVA'!$AM$31)*1</f>
        <v>914.22505883808685</v>
      </c>
      <c r="AA1506" s="6">
        <f>('TE BE'!$AB$10+'TE BF'!$AB$10+'TE CVA'!$AB$10)*1</f>
        <v>360.26029187567116</v>
      </c>
      <c r="AB1506" s="6">
        <f>$K$1506*$V$1506</f>
        <v>0</v>
      </c>
      <c r="AC1506" s="6">
        <f>$M$1506*$W$1506</f>
        <v>8036.7419999999993</v>
      </c>
      <c r="AD1506" s="6">
        <f>$O$1506*$X$1506</f>
        <v>3558.6989999999996</v>
      </c>
      <c r="AE1506" s="6">
        <f>$K$1506*$Y$1506</f>
        <v>0</v>
      </c>
      <c r="AF1506" s="6">
        <f ca="1">$M$1506*$Z$1506</f>
        <v>8182.3142766008768</v>
      </c>
      <c r="AG1506" s="6">
        <f>$O$1506*$AA$1506</f>
        <v>3224.3296122872566</v>
      </c>
    </row>
    <row r="1507" spans="1:33" ht="11.25" customHeight="1" x14ac:dyDescent="0.25">
      <c r="A1507" s="4" t="s">
        <v>27</v>
      </c>
      <c r="B1507" s="4" t="s">
        <v>22</v>
      </c>
      <c r="C1507" s="4" t="s">
        <v>33</v>
      </c>
      <c r="D1507" s="4" t="s">
        <v>24</v>
      </c>
      <c r="E1507" s="4" t="s">
        <v>24</v>
      </c>
      <c r="F1507" s="4" t="s">
        <v>25</v>
      </c>
      <c r="G1507" s="4" t="s">
        <v>25</v>
      </c>
      <c r="H1507" s="4" t="s">
        <v>34</v>
      </c>
      <c r="I1507" s="5">
        <v>44593</v>
      </c>
      <c r="J1507" s="6">
        <v>0</v>
      </c>
      <c r="K1507" s="6">
        <v>0</v>
      </c>
      <c r="L1507" s="6">
        <v>-5.7439999999999998</v>
      </c>
      <c r="M1507" s="6">
        <v>-5.7439999999999998</v>
      </c>
      <c r="N1507" s="6">
        <v>-5.7439999999999998</v>
      </c>
      <c r="O1507" s="6">
        <v>-5.7439999999999998</v>
      </c>
      <c r="P1507" s="6">
        <v>0</v>
      </c>
      <c r="Q1507" s="4" t="s">
        <v>26</v>
      </c>
      <c r="R1507" s="4">
        <v>0</v>
      </c>
      <c r="S1507" s="6">
        <v>0</v>
      </c>
      <c r="T1507" s="6">
        <v>58</v>
      </c>
      <c r="U1507" s="6">
        <v>69</v>
      </c>
      <c r="V1507" s="6">
        <f>IF(ISERROR(VLOOKUP($S$1507,'TAR FIN'!$A$1:$O$104,15,0)),0,VLOOKUP($S$1507,'TAR FIN'!$A$1:$O$104,15,0))</f>
        <v>0</v>
      </c>
      <c r="W1507" s="6">
        <f>IF(ISERROR(VLOOKUP($T$1507,'TAR FIN'!$A$1:$O$104,15,0)),0,VLOOKUP($T$1507,'TAR FIN'!$A$1:$O$104,15,0))</f>
        <v>897.96</v>
      </c>
      <c r="X1507" s="6">
        <f>IF(ISERROR(VLOOKUP($U$1507,'TAR FIN'!$A$1:$O$104,15,0)),0,VLOOKUP($U$1507,'TAR FIN'!$A$1:$O$104,15,0))</f>
        <v>397.62</v>
      </c>
      <c r="Y1507" s="6"/>
      <c r="Z1507" s="6">
        <f ca="1">('TUSD BE'!$AM$31+'TUSD BF'!$AM$31+'TUSD CVA'!$AM$31)*1</f>
        <v>914.22505883808685</v>
      </c>
      <c r="AA1507" s="6">
        <f>('TE BE'!$AB$10+'TE BF'!$AB$10+'TE CVA'!$AB$10)*1</f>
        <v>360.26029187567116</v>
      </c>
      <c r="AB1507" s="6">
        <f>$K$1507*$V$1507</f>
        <v>0</v>
      </c>
      <c r="AC1507" s="6">
        <f>$M$1507*$W$1507</f>
        <v>-5157.8822399999999</v>
      </c>
      <c r="AD1507" s="6">
        <f>$O$1507*$X$1507</f>
        <v>-2283.9292799999998</v>
      </c>
      <c r="AE1507" s="6">
        <f>$K$1507*$Y$1507</f>
        <v>0</v>
      </c>
      <c r="AF1507" s="6">
        <f ca="1">$M$1507*$Z$1507</f>
        <v>-5251.308737965971</v>
      </c>
      <c r="AG1507" s="6">
        <f>$O$1507*$AA$1507</f>
        <v>-2069.3351165338549</v>
      </c>
    </row>
    <row r="1508" spans="1:33" ht="11.25" customHeight="1" x14ac:dyDescent="0.25">
      <c r="A1508" s="4" t="s">
        <v>28</v>
      </c>
      <c r="B1508" s="4" t="s">
        <v>22</v>
      </c>
      <c r="C1508" s="4" t="s">
        <v>33</v>
      </c>
      <c r="D1508" s="4" t="s">
        <v>24</v>
      </c>
      <c r="E1508" s="4" t="s">
        <v>24</v>
      </c>
      <c r="F1508" s="4" t="s">
        <v>25</v>
      </c>
      <c r="G1508" s="4" t="s">
        <v>25</v>
      </c>
      <c r="H1508" s="4" t="s">
        <v>34</v>
      </c>
      <c r="I1508" s="5">
        <v>44593</v>
      </c>
      <c r="J1508" s="6">
        <v>0</v>
      </c>
      <c r="K1508" s="6">
        <v>0</v>
      </c>
      <c r="L1508" s="6">
        <v>0.189</v>
      </c>
      <c r="M1508" s="6">
        <v>0.189</v>
      </c>
      <c r="N1508" s="6">
        <v>0.189</v>
      </c>
      <c r="O1508" s="6">
        <v>0.189</v>
      </c>
      <c r="P1508" s="6">
        <v>0</v>
      </c>
      <c r="Q1508" s="4" t="s">
        <v>26</v>
      </c>
      <c r="R1508" s="4">
        <v>0</v>
      </c>
      <c r="S1508" s="6">
        <v>0</v>
      </c>
      <c r="T1508" s="6">
        <v>58</v>
      </c>
      <c r="U1508" s="6">
        <v>69</v>
      </c>
      <c r="V1508" s="6">
        <f>IF(ISERROR(VLOOKUP($S$1508,'TAR FIN'!$A$1:$O$104,15,0)),0,VLOOKUP($S$1508,'TAR FIN'!$A$1:$O$104,15,0))</f>
        <v>0</v>
      </c>
      <c r="W1508" s="6">
        <f>IF(ISERROR(VLOOKUP($T$1508,'TAR FIN'!$A$1:$O$104,15,0)),0,VLOOKUP($T$1508,'TAR FIN'!$A$1:$O$104,15,0))</f>
        <v>897.96</v>
      </c>
      <c r="X1508" s="6">
        <f>IF(ISERROR(VLOOKUP($U$1508,'TAR FIN'!$A$1:$O$104,15,0)),0,VLOOKUP($U$1508,'TAR FIN'!$A$1:$O$104,15,0))</f>
        <v>397.62</v>
      </c>
      <c r="Y1508" s="6"/>
      <c r="Z1508" s="6">
        <f ca="1">('TUSD BE'!$AM$31+'TUSD BF'!$AM$31+'TUSD CVA'!$AM$31)*1</f>
        <v>914.22505883808685</v>
      </c>
      <c r="AA1508" s="6">
        <f>('TE BE'!$AB$10+'TE BF'!$AB$10+'TE CVA'!$AB$10)*1</f>
        <v>360.26029187567116</v>
      </c>
      <c r="AB1508" s="6">
        <f>$K$1508*$V$1508</f>
        <v>0</v>
      </c>
      <c r="AC1508" s="6">
        <f>$M$1508*$W$1508</f>
        <v>169.71444</v>
      </c>
      <c r="AD1508" s="6">
        <f>$O$1508*$X$1508</f>
        <v>75.150180000000006</v>
      </c>
      <c r="AE1508" s="6">
        <f>$K$1508*$Y$1508</f>
        <v>0</v>
      </c>
      <c r="AF1508" s="6">
        <f ca="1">$M$1508*$Z$1508</f>
        <v>172.78853612039842</v>
      </c>
      <c r="AG1508" s="6">
        <f>$O$1508*$AA$1508</f>
        <v>68.089195164501845</v>
      </c>
    </row>
    <row r="1509" spans="1:33" ht="11.25" customHeight="1" x14ac:dyDescent="0.25">
      <c r="A1509" s="4" t="s">
        <v>28</v>
      </c>
      <c r="B1509" s="4" t="s">
        <v>22</v>
      </c>
      <c r="C1509" s="4" t="s">
        <v>33</v>
      </c>
      <c r="D1509" s="4" t="s">
        <v>24</v>
      </c>
      <c r="E1509" s="4" t="s">
        <v>24</v>
      </c>
      <c r="F1509" s="4" t="s">
        <v>25</v>
      </c>
      <c r="G1509" s="4" t="s">
        <v>25</v>
      </c>
      <c r="H1509" s="4" t="s">
        <v>34</v>
      </c>
      <c r="I1509" s="5">
        <v>44593</v>
      </c>
      <c r="J1509" s="6">
        <v>0</v>
      </c>
      <c r="K1509" s="6">
        <v>0</v>
      </c>
      <c r="L1509" s="6">
        <v>-0.216</v>
      </c>
      <c r="M1509" s="6">
        <v>-0.216</v>
      </c>
      <c r="N1509" s="6">
        <v>-0.216</v>
      </c>
      <c r="O1509" s="6">
        <v>-0.216</v>
      </c>
      <c r="P1509" s="6">
        <v>0</v>
      </c>
      <c r="Q1509" s="4" t="s">
        <v>26</v>
      </c>
      <c r="R1509" s="4">
        <v>0</v>
      </c>
      <c r="S1509" s="6">
        <v>0</v>
      </c>
      <c r="T1509" s="6">
        <v>58</v>
      </c>
      <c r="U1509" s="6">
        <v>69</v>
      </c>
      <c r="V1509" s="6">
        <f>IF(ISERROR(VLOOKUP($S$1509,'TAR FIN'!$A$1:$O$104,15,0)),0,VLOOKUP($S$1509,'TAR FIN'!$A$1:$O$104,15,0))</f>
        <v>0</v>
      </c>
      <c r="W1509" s="6">
        <f>IF(ISERROR(VLOOKUP($T$1509,'TAR FIN'!$A$1:$O$104,15,0)),0,VLOOKUP($T$1509,'TAR FIN'!$A$1:$O$104,15,0))</f>
        <v>897.96</v>
      </c>
      <c r="X1509" s="6">
        <f>IF(ISERROR(VLOOKUP($U$1509,'TAR FIN'!$A$1:$O$104,15,0)),0,VLOOKUP($U$1509,'TAR FIN'!$A$1:$O$104,15,0))</f>
        <v>397.62</v>
      </c>
      <c r="Y1509" s="6"/>
      <c r="Z1509" s="6">
        <f ca="1">('TUSD BE'!$AM$31+'TUSD BF'!$AM$31+'TUSD CVA'!$AM$31)*1</f>
        <v>914.22505883808685</v>
      </c>
      <c r="AA1509" s="6">
        <f>('TE BE'!$AB$10+'TE BF'!$AB$10+'TE CVA'!$AB$10)*1</f>
        <v>360.26029187567116</v>
      </c>
      <c r="AB1509" s="6">
        <f>$K$1509*$V$1509</f>
        <v>0</v>
      </c>
      <c r="AC1509" s="6">
        <f>$M$1509*$W$1509</f>
        <v>-193.95936</v>
      </c>
      <c r="AD1509" s="6">
        <f>$O$1509*$X$1509</f>
        <v>-85.885919999999999</v>
      </c>
      <c r="AE1509" s="6">
        <f>$K$1509*$Y$1509</f>
        <v>0</v>
      </c>
      <c r="AF1509" s="6">
        <f ca="1">$M$1509*$Z$1509</f>
        <v>-197.47261270902675</v>
      </c>
      <c r="AG1509" s="6">
        <f>$O$1509*$AA$1509</f>
        <v>-77.816223045144966</v>
      </c>
    </row>
    <row r="1510" spans="1:33" ht="11.25" customHeight="1" x14ac:dyDescent="0.25">
      <c r="A1510" s="4" t="s">
        <v>21</v>
      </c>
      <c r="B1510" s="4" t="s">
        <v>22</v>
      </c>
      <c r="C1510" s="4" t="s">
        <v>33</v>
      </c>
      <c r="D1510" s="4" t="s">
        <v>24</v>
      </c>
      <c r="E1510" s="4" t="s">
        <v>24</v>
      </c>
      <c r="F1510" s="4" t="s">
        <v>25</v>
      </c>
      <c r="G1510" s="4" t="s">
        <v>25</v>
      </c>
      <c r="H1510" s="4" t="s">
        <v>34</v>
      </c>
      <c r="I1510" s="5">
        <v>44621</v>
      </c>
      <c r="J1510" s="6">
        <v>0</v>
      </c>
      <c r="K1510" s="6">
        <v>0</v>
      </c>
      <c r="L1510" s="6">
        <v>9.4960000000000004</v>
      </c>
      <c r="M1510" s="6">
        <v>9.4960000000000004</v>
      </c>
      <c r="N1510" s="6">
        <v>9.4960000000000004</v>
      </c>
      <c r="O1510" s="6">
        <v>9.4960000000000004</v>
      </c>
      <c r="P1510" s="6">
        <v>0</v>
      </c>
      <c r="Q1510" s="4" t="s">
        <v>26</v>
      </c>
      <c r="R1510" s="4">
        <v>0</v>
      </c>
      <c r="S1510" s="6">
        <v>0</v>
      </c>
      <c r="T1510" s="6">
        <v>58</v>
      </c>
      <c r="U1510" s="6">
        <v>69</v>
      </c>
      <c r="V1510" s="6">
        <f>IF(ISERROR(VLOOKUP($S$1510,'TAR FIN'!$A$1:$O$104,15,0)),0,VLOOKUP($S$1510,'TAR FIN'!$A$1:$O$104,15,0))</f>
        <v>0</v>
      </c>
      <c r="W1510" s="6">
        <f>IF(ISERROR(VLOOKUP($T$1510,'TAR FIN'!$A$1:$O$104,15,0)),0,VLOOKUP($T$1510,'TAR FIN'!$A$1:$O$104,15,0))</f>
        <v>897.96</v>
      </c>
      <c r="X1510" s="6">
        <f>IF(ISERROR(VLOOKUP($U$1510,'TAR FIN'!$A$1:$O$104,15,0)),0,VLOOKUP($U$1510,'TAR FIN'!$A$1:$O$104,15,0))</f>
        <v>397.62</v>
      </c>
      <c r="Y1510" s="6"/>
      <c r="Z1510" s="6">
        <f ca="1">('TUSD BE'!$AM$31+'TUSD BF'!$AM$31+'TUSD CVA'!$AM$31)*1</f>
        <v>914.22505883808685</v>
      </c>
      <c r="AA1510" s="6">
        <f>('TE BE'!$AB$10+'TE BF'!$AB$10+'TE CVA'!$AB$10)*1</f>
        <v>360.26029187567116</v>
      </c>
      <c r="AB1510" s="6">
        <f>$K$1510*$V$1510</f>
        <v>0</v>
      </c>
      <c r="AC1510" s="6">
        <f>$M$1510*$W$1510</f>
        <v>8527.0281599999998</v>
      </c>
      <c r="AD1510" s="6">
        <f>$O$1510*$X$1510</f>
        <v>3775.79952</v>
      </c>
      <c r="AE1510" s="6">
        <f>$K$1510*$Y$1510</f>
        <v>0</v>
      </c>
      <c r="AF1510" s="6">
        <f ca="1">$M$1510*$Z$1510</f>
        <v>8681.481158726474</v>
      </c>
      <c r="AG1510" s="6">
        <f>$O$1510*$AA$1510</f>
        <v>3421.0317316513733</v>
      </c>
    </row>
    <row r="1511" spans="1:33" ht="11.25" customHeight="1" x14ac:dyDescent="0.25">
      <c r="A1511" s="4" t="s">
        <v>28</v>
      </c>
      <c r="B1511" s="4" t="s">
        <v>22</v>
      </c>
      <c r="C1511" s="4" t="s">
        <v>33</v>
      </c>
      <c r="D1511" s="4" t="s">
        <v>24</v>
      </c>
      <c r="E1511" s="4" t="s">
        <v>24</v>
      </c>
      <c r="F1511" s="4" t="s">
        <v>25</v>
      </c>
      <c r="G1511" s="4" t="s">
        <v>25</v>
      </c>
      <c r="H1511" s="4" t="s">
        <v>34</v>
      </c>
      <c r="I1511" s="5">
        <v>44621</v>
      </c>
      <c r="J1511" s="6">
        <v>0</v>
      </c>
      <c r="K1511" s="6">
        <v>0</v>
      </c>
      <c r="L1511" s="6">
        <v>0.42299999999999999</v>
      </c>
      <c r="M1511" s="6">
        <v>0.42299999999999999</v>
      </c>
      <c r="N1511" s="6">
        <v>0.42299999999999999</v>
      </c>
      <c r="O1511" s="6">
        <v>0.42299999999999999</v>
      </c>
      <c r="P1511" s="6">
        <v>0</v>
      </c>
      <c r="Q1511" s="4" t="s">
        <v>26</v>
      </c>
      <c r="R1511" s="4">
        <v>0</v>
      </c>
      <c r="S1511" s="6">
        <v>0</v>
      </c>
      <c r="T1511" s="6">
        <v>58</v>
      </c>
      <c r="U1511" s="6">
        <v>69</v>
      </c>
      <c r="V1511" s="6">
        <f>IF(ISERROR(VLOOKUP($S$1511,'TAR FIN'!$A$1:$O$104,15,0)),0,VLOOKUP($S$1511,'TAR FIN'!$A$1:$O$104,15,0))</f>
        <v>0</v>
      </c>
      <c r="W1511" s="6">
        <f>IF(ISERROR(VLOOKUP($T$1511,'TAR FIN'!$A$1:$O$104,15,0)),0,VLOOKUP($T$1511,'TAR FIN'!$A$1:$O$104,15,0))</f>
        <v>897.96</v>
      </c>
      <c r="X1511" s="6">
        <f>IF(ISERROR(VLOOKUP($U$1511,'TAR FIN'!$A$1:$O$104,15,0)),0,VLOOKUP($U$1511,'TAR FIN'!$A$1:$O$104,15,0))</f>
        <v>397.62</v>
      </c>
      <c r="Y1511" s="6"/>
      <c r="Z1511" s="6">
        <f ca="1">('TUSD BE'!$AM$31+'TUSD BF'!$AM$31+'TUSD CVA'!$AM$31)*1</f>
        <v>914.22505883808685</v>
      </c>
      <c r="AA1511" s="6">
        <f>('TE BE'!$AB$10+'TE BF'!$AB$10+'TE CVA'!$AB$10)*1</f>
        <v>360.26029187567116</v>
      </c>
      <c r="AB1511" s="6">
        <f>$K$1511*$V$1511</f>
        <v>0</v>
      </c>
      <c r="AC1511" s="6">
        <f>$M$1511*$W$1511</f>
        <v>379.83708000000001</v>
      </c>
      <c r="AD1511" s="6">
        <f>$O$1511*$X$1511</f>
        <v>168.19326000000001</v>
      </c>
      <c r="AE1511" s="6">
        <f>$K$1511*$Y$1511</f>
        <v>0</v>
      </c>
      <c r="AF1511" s="6">
        <f ca="1">$M$1511*$Z$1511</f>
        <v>386.71719988851072</v>
      </c>
      <c r="AG1511" s="6">
        <f>$O$1511*$AA$1511</f>
        <v>152.39010346340891</v>
      </c>
    </row>
    <row r="1512" spans="1:33" ht="11.25" customHeight="1" x14ac:dyDescent="0.25">
      <c r="A1512" s="4" t="s">
        <v>21</v>
      </c>
      <c r="B1512" s="4" t="s">
        <v>22</v>
      </c>
      <c r="C1512" s="4" t="s">
        <v>33</v>
      </c>
      <c r="D1512" s="4" t="s">
        <v>24</v>
      </c>
      <c r="E1512" s="4" t="s">
        <v>24</v>
      </c>
      <c r="F1512" s="4" t="s">
        <v>25</v>
      </c>
      <c r="G1512" s="4" t="s">
        <v>25</v>
      </c>
      <c r="H1512" s="4" t="s">
        <v>34</v>
      </c>
      <c r="I1512" s="5">
        <v>44652</v>
      </c>
      <c r="J1512" s="6">
        <v>0</v>
      </c>
      <c r="K1512" s="6">
        <v>0</v>
      </c>
      <c r="L1512" s="6">
        <v>7.9119999999999999</v>
      </c>
      <c r="M1512" s="6">
        <v>7.9119999999999999</v>
      </c>
      <c r="N1512" s="6">
        <v>7.9119999999999999</v>
      </c>
      <c r="O1512" s="6">
        <v>7.9119999999999999</v>
      </c>
      <c r="P1512" s="6">
        <v>0</v>
      </c>
      <c r="Q1512" s="4" t="s">
        <v>26</v>
      </c>
      <c r="R1512" s="4">
        <v>0</v>
      </c>
      <c r="S1512" s="6">
        <v>0</v>
      </c>
      <c r="T1512" s="6">
        <v>58</v>
      </c>
      <c r="U1512" s="6">
        <v>69</v>
      </c>
      <c r="V1512" s="6">
        <f>IF(ISERROR(VLOOKUP($S$1512,'TAR FIN'!$A$1:$O$104,15,0)),0,VLOOKUP($S$1512,'TAR FIN'!$A$1:$O$104,15,0))</f>
        <v>0</v>
      </c>
      <c r="W1512" s="6">
        <f>IF(ISERROR(VLOOKUP($T$1512,'TAR FIN'!$A$1:$O$104,15,0)),0,VLOOKUP($T$1512,'TAR FIN'!$A$1:$O$104,15,0))</f>
        <v>897.96</v>
      </c>
      <c r="X1512" s="6">
        <f>IF(ISERROR(VLOOKUP($U$1512,'TAR FIN'!$A$1:$O$104,15,0)),0,VLOOKUP($U$1512,'TAR FIN'!$A$1:$O$104,15,0))</f>
        <v>397.62</v>
      </c>
      <c r="Y1512" s="6"/>
      <c r="Z1512" s="6">
        <f ca="1">('TUSD BE'!$AM$31+'TUSD BF'!$AM$31+'TUSD CVA'!$AM$31)*1</f>
        <v>914.22505883808685</v>
      </c>
      <c r="AA1512" s="6">
        <f>('TE BE'!$AB$10+'TE BF'!$AB$10+'TE CVA'!$AB$10)*1</f>
        <v>360.26029187567116</v>
      </c>
      <c r="AB1512" s="6">
        <f>$K$1512*$V$1512</f>
        <v>0</v>
      </c>
      <c r="AC1512" s="6">
        <f>$M$1512*$W$1512</f>
        <v>7104.6595200000002</v>
      </c>
      <c r="AD1512" s="6">
        <f>$O$1512*$X$1512</f>
        <v>3145.9694399999998</v>
      </c>
      <c r="AE1512" s="6">
        <f>$K$1512*$Y$1512</f>
        <v>0</v>
      </c>
      <c r="AF1512" s="6">
        <f ca="1">$M$1512*$Z$1512</f>
        <v>7233.3486655269435</v>
      </c>
      <c r="AG1512" s="6">
        <f>$O$1512*$AA$1512</f>
        <v>2850.37942932031</v>
      </c>
    </row>
    <row r="1513" spans="1:33" ht="11.25" customHeight="1" x14ac:dyDescent="0.25">
      <c r="A1513" s="4" t="s">
        <v>28</v>
      </c>
      <c r="B1513" s="4" t="s">
        <v>22</v>
      </c>
      <c r="C1513" s="4" t="s">
        <v>33</v>
      </c>
      <c r="D1513" s="4" t="s">
        <v>24</v>
      </c>
      <c r="E1513" s="4" t="s">
        <v>24</v>
      </c>
      <c r="F1513" s="4" t="s">
        <v>25</v>
      </c>
      <c r="G1513" s="4" t="s">
        <v>25</v>
      </c>
      <c r="H1513" s="4" t="s">
        <v>34</v>
      </c>
      <c r="I1513" s="5">
        <v>44652</v>
      </c>
      <c r="J1513" s="6">
        <v>0</v>
      </c>
      <c r="K1513" s="6">
        <v>0</v>
      </c>
      <c r="L1513" s="6">
        <v>0.16200000000000001</v>
      </c>
      <c r="M1513" s="6">
        <v>0.16200000000000001</v>
      </c>
      <c r="N1513" s="6">
        <v>0.16200000000000001</v>
      </c>
      <c r="O1513" s="6">
        <v>0.16200000000000001</v>
      </c>
      <c r="P1513" s="6">
        <v>0</v>
      </c>
      <c r="Q1513" s="4" t="s">
        <v>26</v>
      </c>
      <c r="R1513" s="4">
        <v>0</v>
      </c>
      <c r="S1513" s="6">
        <v>0</v>
      </c>
      <c r="T1513" s="6">
        <v>58</v>
      </c>
      <c r="U1513" s="6">
        <v>69</v>
      </c>
      <c r="V1513" s="6">
        <f>IF(ISERROR(VLOOKUP($S$1513,'TAR FIN'!$A$1:$O$104,15,0)),0,VLOOKUP($S$1513,'TAR FIN'!$A$1:$O$104,15,0))</f>
        <v>0</v>
      </c>
      <c r="W1513" s="6">
        <f>IF(ISERROR(VLOOKUP($T$1513,'TAR FIN'!$A$1:$O$104,15,0)),0,VLOOKUP($T$1513,'TAR FIN'!$A$1:$O$104,15,0))</f>
        <v>897.96</v>
      </c>
      <c r="X1513" s="6">
        <f>IF(ISERROR(VLOOKUP($U$1513,'TAR FIN'!$A$1:$O$104,15,0)),0,VLOOKUP($U$1513,'TAR FIN'!$A$1:$O$104,15,0))</f>
        <v>397.62</v>
      </c>
      <c r="Y1513" s="6"/>
      <c r="Z1513" s="6">
        <f ca="1">('TUSD BE'!$AM$31+'TUSD BF'!$AM$31+'TUSD CVA'!$AM$31)*1</f>
        <v>914.22505883808685</v>
      </c>
      <c r="AA1513" s="6">
        <f>('TE BE'!$AB$10+'TE BF'!$AB$10+'TE CVA'!$AB$10)*1</f>
        <v>360.26029187567116</v>
      </c>
      <c r="AB1513" s="6">
        <f>$K$1513*$V$1513</f>
        <v>0</v>
      </c>
      <c r="AC1513" s="6">
        <f>$M$1513*$W$1513</f>
        <v>145.46952000000002</v>
      </c>
      <c r="AD1513" s="6">
        <f>$O$1513*$X$1513</f>
        <v>64.414439999999999</v>
      </c>
      <c r="AE1513" s="6">
        <f>$K$1513*$Y$1513</f>
        <v>0</v>
      </c>
      <c r="AF1513" s="6">
        <f ca="1">$M$1513*$Z$1513</f>
        <v>148.10445953177006</v>
      </c>
      <c r="AG1513" s="6">
        <f>$O$1513*$AA$1513</f>
        <v>58.362167283858732</v>
      </c>
    </row>
    <row r="1514" spans="1:33" ht="11.25" customHeight="1" x14ac:dyDescent="0.25">
      <c r="A1514" s="4" t="s">
        <v>21</v>
      </c>
      <c r="B1514" s="4" t="s">
        <v>22</v>
      </c>
      <c r="C1514" s="4" t="s">
        <v>33</v>
      </c>
      <c r="D1514" s="4" t="s">
        <v>24</v>
      </c>
      <c r="E1514" s="4" t="s">
        <v>24</v>
      </c>
      <c r="F1514" s="4" t="s">
        <v>25</v>
      </c>
      <c r="G1514" s="4" t="s">
        <v>25</v>
      </c>
      <c r="H1514" s="4" t="s">
        <v>34</v>
      </c>
      <c r="I1514" s="5">
        <v>44682</v>
      </c>
      <c r="J1514" s="6">
        <v>0</v>
      </c>
      <c r="K1514" s="6">
        <v>0</v>
      </c>
      <c r="L1514" s="6">
        <v>8.0280000000000005</v>
      </c>
      <c r="M1514" s="6">
        <v>8.0280000000000005</v>
      </c>
      <c r="N1514" s="6">
        <v>8.0280000000000005</v>
      </c>
      <c r="O1514" s="6">
        <v>8.0280000000000005</v>
      </c>
      <c r="P1514" s="6">
        <v>0</v>
      </c>
      <c r="Q1514" s="4" t="s">
        <v>26</v>
      </c>
      <c r="R1514" s="4">
        <v>0</v>
      </c>
      <c r="S1514" s="6">
        <v>0</v>
      </c>
      <c r="T1514" s="6">
        <v>58</v>
      </c>
      <c r="U1514" s="6">
        <v>69</v>
      </c>
      <c r="V1514" s="6">
        <f>IF(ISERROR(VLOOKUP($S$1514,'TAR FIN'!$A$1:$O$104,15,0)),0,VLOOKUP($S$1514,'TAR FIN'!$A$1:$O$104,15,0))</f>
        <v>0</v>
      </c>
      <c r="W1514" s="6">
        <f>IF(ISERROR(VLOOKUP($T$1514,'TAR FIN'!$A$1:$O$104,15,0)),0,VLOOKUP($T$1514,'TAR FIN'!$A$1:$O$104,15,0))</f>
        <v>897.96</v>
      </c>
      <c r="X1514" s="6">
        <f>IF(ISERROR(VLOOKUP($U$1514,'TAR FIN'!$A$1:$O$104,15,0)),0,VLOOKUP($U$1514,'TAR FIN'!$A$1:$O$104,15,0))</f>
        <v>397.62</v>
      </c>
      <c r="Y1514" s="6"/>
      <c r="Z1514" s="6">
        <f ca="1">('TUSD BE'!$AM$31+'TUSD BF'!$AM$31+'TUSD CVA'!$AM$31)*1</f>
        <v>914.22505883808685</v>
      </c>
      <c r="AA1514" s="6">
        <f>('TE BE'!$AB$10+'TE BF'!$AB$10+'TE CVA'!$AB$10)*1</f>
        <v>360.26029187567116</v>
      </c>
      <c r="AB1514" s="6">
        <f>$K$1514*$V$1514</f>
        <v>0</v>
      </c>
      <c r="AC1514" s="6">
        <f>$M$1514*$W$1514</f>
        <v>7208.8228800000006</v>
      </c>
      <c r="AD1514" s="6">
        <f>$O$1514*$X$1514</f>
        <v>3192.0933600000003</v>
      </c>
      <c r="AE1514" s="6">
        <f>$K$1514*$Y$1514</f>
        <v>0</v>
      </c>
      <c r="AF1514" s="6">
        <f ca="1">$M$1514*$Z$1514</f>
        <v>7339.3987723521614</v>
      </c>
      <c r="AG1514" s="6">
        <f>$O$1514*$AA$1514</f>
        <v>2892.1696231778883</v>
      </c>
    </row>
    <row r="1515" spans="1:33" ht="11.25" customHeight="1" x14ac:dyDescent="0.25">
      <c r="A1515" s="4" t="s">
        <v>27</v>
      </c>
      <c r="B1515" s="4" t="s">
        <v>22</v>
      </c>
      <c r="C1515" s="4" t="s">
        <v>33</v>
      </c>
      <c r="D1515" s="4" t="s">
        <v>24</v>
      </c>
      <c r="E1515" s="4" t="s">
        <v>24</v>
      </c>
      <c r="F1515" s="4" t="s">
        <v>25</v>
      </c>
      <c r="G1515" s="4" t="s">
        <v>25</v>
      </c>
      <c r="H1515" s="4" t="s">
        <v>34</v>
      </c>
      <c r="I1515" s="5">
        <v>44682</v>
      </c>
      <c r="J1515" s="6">
        <v>0</v>
      </c>
      <c r="K1515" s="6">
        <v>0</v>
      </c>
      <c r="L1515" s="6">
        <v>-3.7029999999999998</v>
      </c>
      <c r="M1515" s="6">
        <v>-3.7029999999999998</v>
      </c>
      <c r="N1515" s="6">
        <v>-3.7029999999999998</v>
      </c>
      <c r="O1515" s="6">
        <v>-3.7029999999999998</v>
      </c>
      <c r="P1515" s="6">
        <v>0</v>
      </c>
      <c r="Q1515" s="4" t="s">
        <v>26</v>
      </c>
      <c r="R1515" s="4">
        <v>0</v>
      </c>
      <c r="S1515" s="6">
        <v>0</v>
      </c>
      <c r="T1515" s="6">
        <v>58</v>
      </c>
      <c r="U1515" s="6">
        <v>69</v>
      </c>
      <c r="V1515" s="6">
        <f>IF(ISERROR(VLOOKUP($S$1515,'TAR FIN'!$A$1:$O$104,15,0)),0,VLOOKUP($S$1515,'TAR FIN'!$A$1:$O$104,15,0))</f>
        <v>0</v>
      </c>
      <c r="W1515" s="6">
        <f>IF(ISERROR(VLOOKUP($T$1515,'TAR FIN'!$A$1:$O$104,15,0)),0,VLOOKUP($T$1515,'TAR FIN'!$A$1:$O$104,15,0))</f>
        <v>897.96</v>
      </c>
      <c r="X1515" s="6">
        <f>IF(ISERROR(VLOOKUP($U$1515,'TAR FIN'!$A$1:$O$104,15,0)),0,VLOOKUP($U$1515,'TAR FIN'!$A$1:$O$104,15,0))</f>
        <v>397.62</v>
      </c>
      <c r="Y1515" s="6"/>
      <c r="Z1515" s="6">
        <f ca="1">('TUSD BE'!$AM$31+'TUSD BF'!$AM$31+'TUSD CVA'!$AM$31)*1</f>
        <v>914.22505883808685</v>
      </c>
      <c r="AA1515" s="6">
        <f>('TE BE'!$AB$10+'TE BF'!$AB$10+'TE CVA'!$AB$10)*1</f>
        <v>360.26029187567116</v>
      </c>
      <c r="AB1515" s="6">
        <f>$K$1515*$V$1515</f>
        <v>0</v>
      </c>
      <c r="AC1515" s="6">
        <f>$M$1515*$W$1515</f>
        <v>-3325.14588</v>
      </c>
      <c r="AD1515" s="6">
        <f>$O$1515*$X$1515</f>
        <v>-1472.3868600000001</v>
      </c>
      <c r="AE1515" s="6">
        <f>$K$1515*$Y$1515</f>
        <v>0</v>
      </c>
      <c r="AF1515" s="6">
        <f ca="1">$M$1515*$Z$1515</f>
        <v>-3385.3753928774354</v>
      </c>
      <c r="AG1515" s="6">
        <f>$O$1515*$AA$1515</f>
        <v>-1334.0438608156103</v>
      </c>
    </row>
    <row r="1516" spans="1:33" ht="11.25" customHeight="1" x14ac:dyDescent="0.25">
      <c r="A1516" s="4" t="s">
        <v>28</v>
      </c>
      <c r="B1516" s="4" t="s">
        <v>22</v>
      </c>
      <c r="C1516" s="4" t="s">
        <v>33</v>
      </c>
      <c r="D1516" s="4" t="s">
        <v>24</v>
      </c>
      <c r="E1516" s="4" t="s">
        <v>24</v>
      </c>
      <c r="F1516" s="4" t="s">
        <v>25</v>
      </c>
      <c r="G1516" s="4" t="s">
        <v>25</v>
      </c>
      <c r="H1516" s="4" t="s">
        <v>34</v>
      </c>
      <c r="I1516" s="5">
        <v>44682</v>
      </c>
      <c r="J1516" s="6">
        <v>0</v>
      </c>
      <c r="K1516" s="6">
        <v>0</v>
      </c>
      <c r="L1516" s="6">
        <v>0.16700000000000001</v>
      </c>
      <c r="M1516" s="6">
        <v>0.16700000000000001</v>
      </c>
      <c r="N1516" s="6">
        <v>0.16700000000000001</v>
      </c>
      <c r="O1516" s="6">
        <v>0.16700000000000001</v>
      </c>
      <c r="P1516" s="6">
        <v>0</v>
      </c>
      <c r="Q1516" s="4" t="s">
        <v>26</v>
      </c>
      <c r="R1516" s="4">
        <v>0</v>
      </c>
      <c r="S1516" s="6">
        <v>0</v>
      </c>
      <c r="T1516" s="6">
        <v>58</v>
      </c>
      <c r="U1516" s="6">
        <v>69</v>
      </c>
      <c r="V1516" s="6">
        <f>IF(ISERROR(VLOOKUP($S$1516,'TAR FIN'!$A$1:$O$104,15,0)),0,VLOOKUP($S$1516,'TAR FIN'!$A$1:$O$104,15,0))</f>
        <v>0</v>
      </c>
      <c r="W1516" s="6">
        <f>IF(ISERROR(VLOOKUP($T$1516,'TAR FIN'!$A$1:$O$104,15,0)),0,VLOOKUP($T$1516,'TAR FIN'!$A$1:$O$104,15,0))</f>
        <v>897.96</v>
      </c>
      <c r="X1516" s="6">
        <f>IF(ISERROR(VLOOKUP($U$1516,'TAR FIN'!$A$1:$O$104,15,0)),0,VLOOKUP($U$1516,'TAR FIN'!$A$1:$O$104,15,0))</f>
        <v>397.62</v>
      </c>
      <c r="Y1516" s="6"/>
      <c r="Z1516" s="6">
        <f ca="1">('TUSD BE'!$AM$31+'TUSD BF'!$AM$31+'TUSD CVA'!$AM$31)*1</f>
        <v>914.22505883808685</v>
      </c>
      <c r="AA1516" s="6">
        <f>('TE BE'!$AB$10+'TE BF'!$AB$10+'TE CVA'!$AB$10)*1</f>
        <v>360.26029187567116</v>
      </c>
      <c r="AB1516" s="6">
        <f>$K$1516*$V$1516</f>
        <v>0</v>
      </c>
      <c r="AC1516" s="6">
        <f>$M$1516*$W$1516</f>
        <v>149.95932000000002</v>
      </c>
      <c r="AD1516" s="6">
        <f>$O$1516*$X$1516</f>
        <v>66.402540000000002</v>
      </c>
      <c r="AE1516" s="6">
        <f>$K$1516*$Y$1516</f>
        <v>0</v>
      </c>
      <c r="AF1516" s="6">
        <f ca="1">$M$1516*$Z$1516</f>
        <v>152.6755848259605</v>
      </c>
      <c r="AG1516" s="6">
        <f>$O$1516*$AA$1516</f>
        <v>60.16346874323709</v>
      </c>
    </row>
    <row r="1517" spans="1:33" ht="11.25" customHeight="1" x14ac:dyDescent="0.25">
      <c r="A1517" s="4" t="s">
        <v>21</v>
      </c>
      <c r="B1517" s="4" t="s">
        <v>22</v>
      </c>
      <c r="C1517" s="4" t="s">
        <v>33</v>
      </c>
      <c r="D1517" s="4" t="s">
        <v>24</v>
      </c>
      <c r="E1517" s="4" t="s">
        <v>24</v>
      </c>
      <c r="F1517" s="4" t="s">
        <v>25</v>
      </c>
      <c r="G1517" s="4" t="s">
        <v>25</v>
      </c>
      <c r="H1517" s="4" t="s">
        <v>34</v>
      </c>
      <c r="I1517" s="5">
        <v>44713</v>
      </c>
      <c r="J1517" s="6">
        <v>0</v>
      </c>
      <c r="K1517" s="6">
        <v>0</v>
      </c>
      <c r="L1517" s="6">
        <v>7.9320000000000004</v>
      </c>
      <c r="M1517" s="6">
        <v>7.9320000000000004</v>
      </c>
      <c r="N1517" s="6">
        <v>7.9320000000000004</v>
      </c>
      <c r="O1517" s="6">
        <v>7.9320000000000004</v>
      </c>
      <c r="P1517" s="6">
        <v>0</v>
      </c>
      <c r="Q1517" s="4" t="s">
        <v>26</v>
      </c>
      <c r="R1517" s="4">
        <v>0</v>
      </c>
      <c r="S1517" s="6">
        <v>0</v>
      </c>
      <c r="T1517" s="6">
        <v>58</v>
      </c>
      <c r="U1517" s="6">
        <v>69</v>
      </c>
      <c r="V1517" s="6">
        <f>IF(ISERROR(VLOOKUP($S$1517,'TAR FIN'!$A$1:$O$104,15,0)),0,VLOOKUP($S$1517,'TAR FIN'!$A$1:$O$104,15,0))</f>
        <v>0</v>
      </c>
      <c r="W1517" s="6">
        <f>IF(ISERROR(VLOOKUP($T$1517,'TAR FIN'!$A$1:$O$104,15,0)),0,VLOOKUP($T$1517,'TAR FIN'!$A$1:$O$104,15,0))</f>
        <v>897.96</v>
      </c>
      <c r="X1517" s="6">
        <f>IF(ISERROR(VLOOKUP($U$1517,'TAR FIN'!$A$1:$O$104,15,0)),0,VLOOKUP($U$1517,'TAR FIN'!$A$1:$O$104,15,0))</f>
        <v>397.62</v>
      </c>
      <c r="Y1517" s="6"/>
      <c r="Z1517" s="6">
        <f ca="1">('TUSD BE'!$AM$31+'TUSD BF'!$AM$31+'TUSD CVA'!$AM$31)*1</f>
        <v>914.22505883808685</v>
      </c>
      <c r="AA1517" s="6">
        <f>('TE BE'!$AB$10+'TE BF'!$AB$10+'TE CVA'!$AB$10)*1</f>
        <v>360.26029187567116</v>
      </c>
      <c r="AB1517" s="6">
        <f>$K$1517*$V$1517</f>
        <v>0</v>
      </c>
      <c r="AC1517" s="6">
        <f>$M$1517*$W$1517</f>
        <v>7122.6187200000004</v>
      </c>
      <c r="AD1517" s="6">
        <f>$O$1517*$X$1517</f>
        <v>3153.92184</v>
      </c>
      <c r="AE1517" s="6">
        <f>$K$1517*$Y$1517</f>
        <v>0</v>
      </c>
      <c r="AF1517" s="6">
        <f ca="1">$M$1517*$Z$1517</f>
        <v>7251.6331667037057</v>
      </c>
      <c r="AG1517" s="6">
        <f>$O$1517*$AA$1517</f>
        <v>2857.5846351578239</v>
      </c>
    </row>
    <row r="1518" spans="1:33" ht="11.25" customHeight="1" x14ac:dyDescent="0.25">
      <c r="A1518" s="4" t="s">
        <v>28</v>
      </c>
      <c r="B1518" s="4" t="s">
        <v>22</v>
      </c>
      <c r="C1518" s="4" t="s">
        <v>33</v>
      </c>
      <c r="D1518" s="4" t="s">
        <v>24</v>
      </c>
      <c r="E1518" s="4" t="s">
        <v>24</v>
      </c>
      <c r="F1518" s="4" t="s">
        <v>25</v>
      </c>
      <c r="G1518" s="4" t="s">
        <v>25</v>
      </c>
      <c r="H1518" s="4" t="s">
        <v>34</v>
      </c>
      <c r="I1518" s="5">
        <v>44713</v>
      </c>
      <c r="J1518" s="6">
        <v>0</v>
      </c>
      <c r="K1518" s="6">
        <v>0</v>
      </c>
      <c r="L1518" s="6">
        <v>0.20100000000000001</v>
      </c>
      <c r="M1518" s="6">
        <v>0.20100000000000001</v>
      </c>
      <c r="N1518" s="6">
        <v>0.20100000000000001</v>
      </c>
      <c r="O1518" s="6">
        <v>0.20100000000000001</v>
      </c>
      <c r="P1518" s="6">
        <v>0</v>
      </c>
      <c r="Q1518" s="4" t="s">
        <v>26</v>
      </c>
      <c r="R1518" s="4">
        <v>0</v>
      </c>
      <c r="S1518" s="6">
        <v>0</v>
      </c>
      <c r="T1518" s="6">
        <v>58</v>
      </c>
      <c r="U1518" s="6">
        <v>69</v>
      </c>
      <c r="V1518" s="6">
        <f>IF(ISERROR(VLOOKUP($S$1518,'TAR FIN'!$A$1:$O$104,15,0)),0,VLOOKUP($S$1518,'TAR FIN'!$A$1:$O$104,15,0))</f>
        <v>0</v>
      </c>
      <c r="W1518" s="6">
        <f>IF(ISERROR(VLOOKUP($T$1518,'TAR FIN'!$A$1:$O$104,15,0)),0,VLOOKUP($T$1518,'TAR FIN'!$A$1:$O$104,15,0))</f>
        <v>897.96</v>
      </c>
      <c r="X1518" s="6">
        <f>IF(ISERROR(VLOOKUP($U$1518,'TAR FIN'!$A$1:$O$104,15,0)),0,VLOOKUP($U$1518,'TAR FIN'!$A$1:$O$104,15,0))</f>
        <v>397.62</v>
      </c>
      <c r="Y1518" s="6"/>
      <c r="Z1518" s="6">
        <f ca="1">('TUSD BE'!$AM$31+'TUSD BF'!$AM$31+'TUSD CVA'!$AM$31)*1</f>
        <v>914.22505883808685</v>
      </c>
      <c r="AA1518" s="6">
        <f>('TE BE'!$AB$10+'TE BF'!$AB$10+'TE CVA'!$AB$10)*1</f>
        <v>360.26029187567116</v>
      </c>
      <c r="AB1518" s="6">
        <f>$K$1518*$V$1518</f>
        <v>0</v>
      </c>
      <c r="AC1518" s="6">
        <f>$M$1518*$W$1518</f>
        <v>180.48996000000002</v>
      </c>
      <c r="AD1518" s="6">
        <f>$O$1518*$X$1518</f>
        <v>79.921620000000004</v>
      </c>
      <c r="AE1518" s="6">
        <f>$K$1518*$Y$1518</f>
        <v>0</v>
      </c>
      <c r="AF1518" s="6">
        <f ca="1">$M$1518*$Z$1518</f>
        <v>183.75923682645546</v>
      </c>
      <c r="AG1518" s="6">
        <f>$O$1518*$AA$1518</f>
        <v>72.412318667009913</v>
      </c>
    </row>
    <row r="1519" spans="1:33" ht="11.25" customHeight="1" x14ac:dyDescent="0.25">
      <c r="A1519" s="4" t="s">
        <v>57</v>
      </c>
      <c r="B1519" s="4" t="s">
        <v>22</v>
      </c>
      <c r="C1519" s="4" t="s">
        <v>33</v>
      </c>
      <c r="D1519" s="4" t="s">
        <v>24</v>
      </c>
      <c r="E1519" s="4" t="s">
        <v>24</v>
      </c>
      <c r="F1519" s="4" t="s">
        <v>25</v>
      </c>
      <c r="G1519" s="4" t="s">
        <v>25</v>
      </c>
      <c r="H1519" s="4" t="s">
        <v>34</v>
      </c>
      <c r="I1519" s="5">
        <v>44743</v>
      </c>
      <c r="J1519" s="6">
        <v>0</v>
      </c>
      <c r="K1519" s="6">
        <v>0</v>
      </c>
      <c r="L1519" s="6">
        <v>7.9320000000000004</v>
      </c>
      <c r="M1519" s="6">
        <v>7.9320000000000004</v>
      </c>
      <c r="N1519" s="6">
        <v>7.9320000000000004</v>
      </c>
      <c r="O1519" s="6">
        <v>7.9320000000000004</v>
      </c>
      <c r="P1519" s="6">
        <v>0</v>
      </c>
      <c r="Q1519" s="4" t="s">
        <v>26</v>
      </c>
      <c r="R1519" s="4">
        <v>0</v>
      </c>
      <c r="S1519" s="6">
        <v>0</v>
      </c>
      <c r="T1519" s="6">
        <v>58</v>
      </c>
      <c r="U1519" s="6">
        <v>69</v>
      </c>
      <c r="V1519" s="6">
        <f>IF(ISERROR(VLOOKUP($S$1519,'TAR FIN'!$A$1:$O$104,15,0)),0,VLOOKUP($S$1519,'TAR FIN'!$A$1:$O$104,15,0))</f>
        <v>0</v>
      </c>
      <c r="W1519" s="6">
        <f>IF(ISERROR(VLOOKUP($T$1519,'TAR FIN'!$A$1:$O$104,15,0)),0,VLOOKUP($T$1519,'TAR FIN'!$A$1:$O$104,15,0))</f>
        <v>897.96</v>
      </c>
      <c r="X1519" s="6">
        <f>IF(ISERROR(VLOOKUP($U$1519,'TAR FIN'!$A$1:$O$104,15,0)),0,VLOOKUP($U$1519,'TAR FIN'!$A$1:$O$104,15,0))</f>
        <v>397.62</v>
      </c>
      <c r="Y1519" s="6"/>
      <c r="Z1519" s="6">
        <f ca="1">('TUSD BE'!$AM$31+'TUSD BF'!$AM$31+'TUSD CVA'!$AM$31)*1</f>
        <v>914.22505883808685</v>
      </c>
      <c r="AA1519" s="6">
        <f>('TE BE'!$AB$10+'TE BF'!$AB$10+'TE CVA'!$AB$10)*1</f>
        <v>360.26029187567116</v>
      </c>
      <c r="AB1519" s="6">
        <f>$K$1519*$V$1519</f>
        <v>0</v>
      </c>
      <c r="AC1519" s="6">
        <f>$M$1519*$W$1519</f>
        <v>7122.6187200000004</v>
      </c>
      <c r="AD1519" s="6">
        <f>$O$1519*$X$1519</f>
        <v>3153.92184</v>
      </c>
      <c r="AE1519" s="6">
        <f>$K$1519*$Y$1519</f>
        <v>0</v>
      </c>
      <c r="AF1519" s="6">
        <f ca="1">$M$1519*$Z$1519</f>
        <v>7251.6331667037057</v>
      </c>
      <c r="AG1519" s="6">
        <f>$O$1519*$AA$1519</f>
        <v>2857.5846351578239</v>
      </c>
    </row>
    <row r="1520" spans="1:33" ht="11.25" customHeight="1" x14ac:dyDescent="0.25">
      <c r="A1520" s="4" t="s">
        <v>57</v>
      </c>
      <c r="B1520" s="4" t="s">
        <v>22</v>
      </c>
      <c r="C1520" s="4" t="s">
        <v>33</v>
      </c>
      <c r="D1520" s="4" t="s">
        <v>24</v>
      </c>
      <c r="E1520" s="4" t="s">
        <v>24</v>
      </c>
      <c r="F1520" s="4" t="s">
        <v>25</v>
      </c>
      <c r="G1520" s="4" t="s">
        <v>25</v>
      </c>
      <c r="H1520" s="4" t="s">
        <v>34</v>
      </c>
      <c r="I1520" s="5">
        <v>44743</v>
      </c>
      <c r="J1520" s="6">
        <v>0</v>
      </c>
      <c r="K1520" s="6">
        <v>0</v>
      </c>
      <c r="L1520" s="6">
        <v>0.20100000000000001</v>
      </c>
      <c r="M1520" s="6">
        <v>0.20100000000000001</v>
      </c>
      <c r="N1520" s="6">
        <v>0.20100000000000001</v>
      </c>
      <c r="O1520" s="6">
        <v>0.20100000000000001</v>
      </c>
      <c r="P1520" s="6">
        <v>0</v>
      </c>
      <c r="Q1520" s="4" t="s">
        <v>26</v>
      </c>
      <c r="R1520" s="4">
        <v>0</v>
      </c>
      <c r="S1520" s="6">
        <v>0</v>
      </c>
      <c r="T1520" s="6">
        <v>58</v>
      </c>
      <c r="U1520" s="6">
        <v>69</v>
      </c>
      <c r="V1520" s="6">
        <f>IF(ISERROR(VLOOKUP($S$1520,'TAR FIN'!$A$1:$O$104,15,0)),0,VLOOKUP($S$1520,'TAR FIN'!$A$1:$O$104,15,0))</f>
        <v>0</v>
      </c>
      <c r="W1520" s="6">
        <f>IF(ISERROR(VLOOKUP($T$1520,'TAR FIN'!$A$1:$O$104,15,0)),0,VLOOKUP($T$1520,'TAR FIN'!$A$1:$O$104,15,0))</f>
        <v>897.96</v>
      </c>
      <c r="X1520" s="6">
        <f>IF(ISERROR(VLOOKUP($U$1520,'TAR FIN'!$A$1:$O$104,15,0)),0,VLOOKUP($U$1520,'TAR FIN'!$A$1:$O$104,15,0))</f>
        <v>397.62</v>
      </c>
      <c r="Y1520" s="6"/>
      <c r="Z1520" s="6">
        <f ca="1">('TUSD BE'!$AM$31+'TUSD BF'!$AM$31+'TUSD CVA'!$AM$31)*1</f>
        <v>914.22505883808685</v>
      </c>
      <c r="AA1520" s="6">
        <f>('TE BE'!$AB$10+'TE BF'!$AB$10+'TE CVA'!$AB$10)*1</f>
        <v>360.26029187567116</v>
      </c>
      <c r="AB1520" s="6">
        <f>$K$1520*$V$1520</f>
        <v>0</v>
      </c>
      <c r="AC1520" s="6">
        <f>$M$1520*$W$1520</f>
        <v>180.48996000000002</v>
      </c>
      <c r="AD1520" s="6">
        <f>$O$1520*$X$1520</f>
        <v>79.921620000000004</v>
      </c>
      <c r="AE1520" s="6">
        <f>$K$1520*$Y$1520</f>
        <v>0</v>
      </c>
      <c r="AF1520" s="6">
        <f ca="1">$M$1520*$Z$1520</f>
        <v>183.75923682645546</v>
      </c>
      <c r="AG1520" s="6">
        <f>$O$1520*$AA$1520</f>
        <v>72.412318667009913</v>
      </c>
    </row>
    <row r="1521" spans="1:33" ht="11.25" customHeight="1" x14ac:dyDescent="0.25">
      <c r="A1521" s="4" t="s">
        <v>21</v>
      </c>
      <c r="B1521" s="4" t="s">
        <v>22</v>
      </c>
      <c r="C1521" s="4" t="s">
        <v>23</v>
      </c>
      <c r="D1521" s="4" t="s">
        <v>24</v>
      </c>
      <c r="E1521" s="4" t="s">
        <v>24</v>
      </c>
      <c r="F1521" s="4" t="s">
        <v>25</v>
      </c>
      <c r="G1521" s="4" t="s">
        <v>25</v>
      </c>
      <c r="H1521" s="4" t="s">
        <v>25</v>
      </c>
      <c r="I1521" s="5">
        <v>44409</v>
      </c>
      <c r="J1521" s="6">
        <v>0</v>
      </c>
      <c r="K1521" s="6">
        <v>0</v>
      </c>
      <c r="L1521" s="6">
        <v>107190.459</v>
      </c>
      <c r="M1521" s="6">
        <v>107190.459</v>
      </c>
      <c r="N1521" s="6">
        <v>107190.459</v>
      </c>
      <c r="O1521" s="6">
        <v>107190.459</v>
      </c>
      <c r="P1521" s="6">
        <v>796021</v>
      </c>
      <c r="Q1521" s="4" t="s">
        <v>26</v>
      </c>
      <c r="R1521" s="4">
        <v>0</v>
      </c>
      <c r="S1521" s="6">
        <v>0</v>
      </c>
      <c r="T1521" s="6">
        <v>2</v>
      </c>
      <c r="U1521" s="6">
        <v>72</v>
      </c>
      <c r="V1521" s="6">
        <f>IF(ISERROR(VLOOKUP($S$1521,'TAR FIN'!$A$1:$O$104,15,0)),0,VLOOKUP($S$1521,'TAR FIN'!$A$1:$O$104,15,0))</f>
        <v>0</v>
      </c>
      <c r="W1521" s="6">
        <f>IF(ISERROR(VLOOKUP($T$1521,'TAR FIN'!$A$1:$O$104,15,0)),0,VLOOKUP($T$1521,'TAR FIN'!$A$1:$O$104,15,0))</f>
        <v>341.2</v>
      </c>
      <c r="X1521" s="6">
        <f>IF(ISERROR(VLOOKUP($U$1521,'TAR FIN'!$A$1:$O$104,15,0)),0,VLOOKUP($U$1521,'TAR FIN'!$A$1:$O$104,15,0))</f>
        <v>255.72</v>
      </c>
      <c r="Y1521" s="6"/>
      <c r="Z1521" s="6">
        <f ca="1">('TUSD BE'!$AM$34+'TUSD BF'!$AM$34+'TUSD CVA'!$AM$34)*1</f>
        <v>356.61002995987536</v>
      </c>
      <c r="AA1521" s="6">
        <f>('TE BE'!$AB$13+'TE BF'!$AB$13+'TE CVA'!$AB$13)*1</f>
        <v>242.47071701268419</v>
      </c>
      <c r="AB1521" s="6">
        <f>$K$1521*$V$1521</f>
        <v>0</v>
      </c>
      <c r="AC1521" s="6">
        <f>$M$1521*$W$1521</f>
        <v>36573384.610799998</v>
      </c>
      <c r="AD1521" s="6">
        <f>$O$1521*$X$1521</f>
        <v>27410744.175480001</v>
      </c>
      <c r="AE1521" s="6">
        <f>$K$1521*$Y$1521</f>
        <v>0</v>
      </c>
      <c r="AF1521" s="6">
        <f ca="1">$M$1521*$Z$1521</f>
        <v>38225192.795402795</v>
      </c>
      <c r="AG1521" s="6">
        <f>$O$1521*$AA$1521</f>
        <v>25990547.450648729</v>
      </c>
    </row>
    <row r="1522" spans="1:33" ht="11.25" customHeight="1" x14ac:dyDescent="0.25">
      <c r="A1522" s="4" t="s">
        <v>27</v>
      </c>
      <c r="B1522" s="4" t="s">
        <v>22</v>
      </c>
      <c r="C1522" s="4" t="s">
        <v>23</v>
      </c>
      <c r="D1522" s="4" t="s">
        <v>24</v>
      </c>
      <c r="E1522" s="4" t="s">
        <v>24</v>
      </c>
      <c r="F1522" s="4" t="s">
        <v>25</v>
      </c>
      <c r="G1522" s="4" t="s">
        <v>25</v>
      </c>
      <c r="H1522" s="4" t="s">
        <v>25</v>
      </c>
      <c r="I1522" s="5">
        <v>44409</v>
      </c>
      <c r="J1522" s="6">
        <v>0</v>
      </c>
      <c r="K1522" s="6">
        <v>0</v>
      </c>
      <c r="L1522" s="6">
        <v>-461.32799999999997</v>
      </c>
      <c r="M1522" s="6">
        <v>-461.32799999999997</v>
      </c>
      <c r="N1522" s="6">
        <v>-461.32799999999997</v>
      </c>
      <c r="O1522" s="6">
        <v>-461.32799999999997</v>
      </c>
      <c r="P1522" s="6">
        <v>-1179</v>
      </c>
      <c r="Q1522" s="4" t="s">
        <v>26</v>
      </c>
      <c r="R1522" s="4">
        <v>0</v>
      </c>
      <c r="S1522" s="6">
        <v>0</v>
      </c>
      <c r="T1522" s="6">
        <v>2</v>
      </c>
      <c r="U1522" s="6">
        <v>72</v>
      </c>
      <c r="V1522" s="6">
        <f>IF(ISERROR(VLOOKUP($S$1522,'TAR FIN'!$A$1:$O$104,15,0)),0,VLOOKUP($S$1522,'TAR FIN'!$A$1:$O$104,15,0))</f>
        <v>0</v>
      </c>
      <c r="W1522" s="6">
        <f>IF(ISERROR(VLOOKUP($T$1522,'TAR FIN'!$A$1:$O$104,15,0)),0,VLOOKUP($T$1522,'TAR FIN'!$A$1:$O$104,15,0))</f>
        <v>341.2</v>
      </c>
      <c r="X1522" s="6">
        <f>IF(ISERROR(VLOOKUP($U$1522,'TAR FIN'!$A$1:$O$104,15,0)),0,VLOOKUP($U$1522,'TAR FIN'!$A$1:$O$104,15,0))</f>
        <v>255.72</v>
      </c>
      <c r="Y1522" s="6"/>
      <c r="Z1522" s="6">
        <f ca="1">('TUSD BE'!$AM$34+'TUSD BF'!$AM$34+'TUSD CVA'!$AM$34)*1</f>
        <v>356.61002995987536</v>
      </c>
      <c r="AA1522" s="6">
        <f>('TE BE'!$AB$13+'TE BF'!$AB$13+'TE CVA'!$AB$13)*1</f>
        <v>242.47071701268419</v>
      </c>
      <c r="AB1522" s="6">
        <f>$K$1522*$V$1522</f>
        <v>0</v>
      </c>
      <c r="AC1522" s="6">
        <f>$M$1522*$W$1522</f>
        <v>-157405.11359999998</v>
      </c>
      <c r="AD1522" s="6">
        <f>$O$1522*$X$1522</f>
        <v>-117970.79616</v>
      </c>
      <c r="AE1522" s="6">
        <f>$K$1522*$Y$1522</f>
        <v>0</v>
      </c>
      <c r="AF1522" s="6">
        <f ca="1">$M$1522*$Z$1522</f>
        <v>-164514.19190132938</v>
      </c>
      <c r="AG1522" s="6">
        <f>$O$1522*$AA$1522</f>
        <v>-111858.53093802757</v>
      </c>
    </row>
    <row r="1523" spans="1:33" ht="11.25" customHeight="1" x14ac:dyDescent="0.25">
      <c r="A1523" s="4" t="s">
        <v>28</v>
      </c>
      <c r="B1523" s="4" t="s">
        <v>22</v>
      </c>
      <c r="C1523" s="4" t="s">
        <v>23</v>
      </c>
      <c r="D1523" s="4" t="s">
        <v>24</v>
      </c>
      <c r="E1523" s="4" t="s">
        <v>24</v>
      </c>
      <c r="F1523" s="4" t="s">
        <v>25</v>
      </c>
      <c r="G1523" s="4" t="s">
        <v>25</v>
      </c>
      <c r="H1523" s="4" t="s">
        <v>25</v>
      </c>
      <c r="I1523" s="5">
        <v>44409</v>
      </c>
      <c r="J1523" s="6">
        <v>0</v>
      </c>
      <c r="K1523" s="6">
        <v>0</v>
      </c>
      <c r="L1523" s="6">
        <v>1477.511</v>
      </c>
      <c r="M1523" s="6">
        <v>1477.511</v>
      </c>
      <c r="N1523" s="6">
        <v>1477.511</v>
      </c>
      <c r="O1523" s="6">
        <v>1477.511</v>
      </c>
      <c r="P1523" s="6">
        <v>12238</v>
      </c>
      <c r="Q1523" s="4" t="s">
        <v>26</v>
      </c>
      <c r="R1523" s="4">
        <v>0</v>
      </c>
      <c r="S1523" s="6">
        <v>0</v>
      </c>
      <c r="T1523" s="6">
        <v>2</v>
      </c>
      <c r="U1523" s="6">
        <v>72</v>
      </c>
      <c r="V1523" s="6">
        <f>IF(ISERROR(VLOOKUP($S$1523,'TAR FIN'!$A$1:$O$104,15,0)),0,VLOOKUP($S$1523,'TAR FIN'!$A$1:$O$104,15,0))</f>
        <v>0</v>
      </c>
      <c r="W1523" s="6">
        <f>IF(ISERROR(VLOOKUP($T$1523,'TAR FIN'!$A$1:$O$104,15,0)),0,VLOOKUP($T$1523,'TAR FIN'!$A$1:$O$104,15,0))</f>
        <v>341.2</v>
      </c>
      <c r="X1523" s="6">
        <f>IF(ISERROR(VLOOKUP($U$1523,'TAR FIN'!$A$1:$O$104,15,0)),0,VLOOKUP($U$1523,'TAR FIN'!$A$1:$O$104,15,0))</f>
        <v>255.72</v>
      </c>
      <c r="Y1523" s="6"/>
      <c r="Z1523" s="6">
        <f ca="1">('TUSD BE'!$AM$34+'TUSD BF'!$AM$34+'TUSD CVA'!$AM$34)*1</f>
        <v>356.61002995987536</v>
      </c>
      <c r="AA1523" s="6">
        <f>('TE BE'!$AB$13+'TE BF'!$AB$13+'TE CVA'!$AB$13)*1</f>
        <v>242.47071701268419</v>
      </c>
      <c r="AB1523" s="6">
        <f>$K$1523*$V$1523</f>
        <v>0</v>
      </c>
      <c r="AC1523" s="6">
        <f>$M$1523*$W$1523</f>
        <v>504126.75319999998</v>
      </c>
      <c r="AD1523" s="6">
        <f>$O$1523*$X$1523</f>
        <v>377829.11291999999</v>
      </c>
      <c r="AE1523" s="6">
        <f>$K$1523*$Y$1523</f>
        <v>0</v>
      </c>
      <c r="AF1523" s="6">
        <f ca="1">$M$1523*$Z$1523</f>
        <v>526895.24197604542</v>
      </c>
      <c r="AG1523" s="6">
        <f>$O$1523*$AA$1523</f>
        <v>358253.151564128</v>
      </c>
    </row>
    <row r="1524" spans="1:33" ht="11.25" customHeight="1" x14ac:dyDescent="0.25">
      <c r="A1524" s="4" t="s">
        <v>28</v>
      </c>
      <c r="B1524" s="4" t="s">
        <v>22</v>
      </c>
      <c r="C1524" s="4" t="s">
        <v>23</v>
      </c>
      <c r="D1524" s="4" t="s">
        <v>24</v>
      </c>
      <c r="E1524" s="4" t="s">
        <v>24</v>
      </c>
      <c r="F1524" s="4" t="s">
        <v>25</v>
      </c>
      <c r="G1524" s="4" t="s">
        <v>25</v>
      </c>
      <c r="H1524" s="4" t="s">
        <v>25</v>
      </c>
      <c r="I1524" s="5">
        <v>44409</v>
      </c>
      <c r="J1524" s="6">
        <v>0</v>
      </c>
      <c r="K1524" s="6">
        <v>0</v>
      </c>
      <c r="L1524" s="6">
        <v>-2.9390000000000001</v>
      </c>
      <c r="M1524" s="6">
        <v>-2.9390000000000001</v>
      </c>
      <c r="N1524" s="6">
        <v>-2.9390000000000001</v>
      </c>
      <c r="O1524" s="6">
        <v>-2.9390000000000001</v>
      </c>
      <c r="P1524" s="6">
        <v>0</v>
      </c>
      <c r="Q1524" s="4" t="s">
        <v>26</v>
      </c>
      <c r="R1524" s="4">
        <v>0</v>
      </c>
      <c r="S1524" s="6">
        <v>0</v>
      </c>
      <c r="T1524" s="6">
        <v>2</v>
      </c>
      <c r="U1524" s="6">
        <v>72</v>
      </c>
      <c r="V1524" s="6">
        <f>IF(ISERROR(VLOOKUP($S$1524,'TAR FIN'!$A$1:$O$104,15,0)),0,VLOOKUP($S$1524,'TAR FIN'!$A$1:$O$104,15,0))</f>
        <v>0</v>
      </c>
      <c r="W1524" s="6">
        <f>IF(ISERROR(VLOOKUP($T$1524,'TAR FIN'!$A$1:$O$104,15,0)),0,VLOOKUP($T$1524,'TAR FIN'!$A$1:$O$104,15,0))</f>
        <v>341.2</v>
      </c>
      <c r="X1524" s="6">
        <f>IF(ISERROR(VLOOKUP($U$1524,'TAR FIN'!$A$1:$O$104,15,0)),0,VLOOKUP($U$1524,'TAR FIN'!$A$1:$O$104,15,0))</f>
        <v>255.72</v>
      </c>
      <c r="Y1524" s="6"/>
      <c r="Z1524" s="6">
        <f ca="1">('TUSD BE'!$AM$34+'TUSD BF'!$AM$34+'TUSD CVA'!$AM$34)*1</f>
        <v>356.61002995987536</v>
      </c>
      <c r="AA1524" s="6">
        <f>('TE BE'!$AB$13+'TE BF'!$AB$13+'TE CVA'!$AB$13)*1</f>
        <v>242.47071701268419</v>
      </c>
      <c r="AB1524" s="6">
        <f>$K$1524*$V$1524</f>
        <v>0</v>
      </c>
      <c r="AC1524" s="6">
        <f>$M$1524*$W$1524</f>
        <v>-1002.7868</v>
      </c>
      <c r="AD1524" s="6">
        <f>$O$1524*$X$1524</f>
        <v>-751.56108000000006</v>
      </c>
      <c r="AE1524" s="6">
        <f>$K$1524*$Y$1524</f>
        <v>0</v>
      </c>
      <c r="AF1524" s="6">
        <f ca="1">$M$1524*$Z$1524</f>
        <v>-1048.0768780520737</v>
      </c>
      <c r="AG1524" s="6">
        <f>$O$1524*$AA$1524</f>
        <v>-712.6214373002789</v>
      </c>
    </row>
    <row r="1525" spans="1:33" ht="11.25" customHeight="1" x14ac:dyDescent="0.25">
      <c r="A1525" s="4" t="s">
        <v>21</v>
      </c>
      <c r="B1525" s="4" t="s">
        <v>22</v>
      </c>
      <c r="C1525" s="4" t="s">
        <v>23</v>
      </c>
      <c r="D1525" s="4" t="s">
        <v>24</v>
      </c>
      <c r="E1525" s="4" t="s">
        <v>24</v>
      </c>
      <c r="F1525" s="4" t="s">
        <v>25</v>
      </c>
      <c r="G1525" s="4" t="s">
        <v>25</v>
      </c>
      <c r="H1525" s="4" t="s">
        <v>25</v>
      </c>
      <c r="I1525" s="5">
        <v>44440</v>
      </c>
      <c r="J1525" s="6">
        <v>0</v>
      </c>
      <c r="K1525" s="6">
        <v>0</v>
      </c>
      <c r="L1525" s="6">
        <v>107684.817</v>
      </c>
      <c r="M1525" s="6">
        <v>107684.817</v>
      </c>
      <c r="N1525" s="6">
        <v>107684.817</v>
      </c>
      <c r="O1525" s="6">
        <v>107684.817</v>
      </c>
      <c r="P1525" s="6">
        <v>800974</v>
      </c>
      <c r="Q1525" s="4" t="s">
        <v>26</v>
      </c>
      <c r="R1525" s="4">
        <v>0</v>
      </c>
      <c r="S1525" s="6">
        <v>0</v>
      </c>
      <c r="T1525" s="6">
        <v>2</v>
      </c>
      <c r="U1525" s="6">
        <v>72</v>
      </c>
      <c r="V1525" s="6">
        <f>IF(ISERROR(VLOOKUP($S$1525,'TAR FIN'!$A$1:$O$104,15,0)),0,VLOOKUP($S$1525,'TAR FIN'!$A$1:$O$104,15,0))</f>
        <v>0</v>
      </c>
      <c r="W1525" s="6">
        <f>IF(ISERROR(VLOOKUP($T$1525,'TAR FIN'!$A$1:$O$104,15,0)),0,VLOOKUP($T$1525,'TAR FIN'!$A$1:$O$104,15,0))</f>
        <v>341.2</v>
      </c>
      <c r="X1525" s="6">
        <f>IF(ISERROR(VLOOKUP($U$1525,'TAR FIN'!$A$1:$O$104,15,0)),0,VLOOKUP($U$1525,'TAR FIN'!$A$1:$O$104,15,0))</f>
        <v>255.72</v>
      </c>
      <c r="Y1525" s="6"/>
      <c r="Z1525" s="6">
        <f ca="1">('TUSD BE'!$AM$34+'TUSD BF'!$AM$34+'TUSD CVA'!$AM$34)*1</f>
        <v>356.61002995987536</v>
      </c>
      <c r="AA1525" s="6">
        <f>('TE BE'!$AB$13+'TE BF'!$AB$13+'TE CVA'!$AB$13)*1</f>
        <v>242.47071701268419</v>
      </c>
      <c r="AB1525" s="6">
        <f>$K$1525*$V$1525</f>
        <v>0</v>
      </c>
      <c r="AC1525" s="6">
        <f>$M$1525*$W$1525</f>
        <v>36742059.560399994</v>
      </c>
      <c r="AD1525" s="6">
        <f>$O$1525*$X$1525</f>
        <v>27537161.403239999</v>
      </c>
      <c r="AE1525" s="6">
        <f>$K$1525*$Y$1525</f>
        <v>0</v>
      </c>
      <c r="AF1525" s="6">
        <f ca="1">$M$1525*$Z$1525</f>
        <v>38401485.816593692</v>
      </c>
      <c r="AG1525" s="6">
        <f>$O$1525*$AA$1525</f>
        <v>26110414.789369684</v>
      </c>
    </row>
    <row r="1526" spans="1:33" ht="11.25" customHeight="1" x14ac:dyDescent="0.25">
      <c r="A1526" s="4" t="s">
        <v>27</v>
      </c>
      <c r="B1526" s="4" t="s">
        <v>22</v>
      </c>
      <c r="C1526" s="4" t="s">
        <v>23</v>
      </c>
      <c r="D1526" s="4" t="s">
        <v>24</v>
      </c>
      <c r="E1526" s="4" t="s">
        <v>24</v>
      </c>
      <c r="F1526" s="4" t="s">
        <v>25</v>
      </c>
      <c r="G1526" s="4" t="s">
        <v>25</v>
      </c>
      <c r="H1526" s="4" t="s">
        <v>25</v>
      </c>
      <c r="I1526" s="5">
        <v>44440</v>
      </c>
      <c r="J1526" s="6">
        <v>0</v>
      </c>
      <c r="K1526" s="6">
        <v>0</v>
      </c>
      <c r="L1526" s="6">
        <v>-181.28899999999999</v>
      </c>
      <c r="M1526" s="6">
        <v>-181.28899999999999</v>
      </c>
      <c r="N1526" s="6">
        <v>-181.28899999999999</v>
      </c>
      <c r="O1526" s="6">
        <v>-181.28899999999999</v>
      </c>
      <c r="P1526" s="6">
        <v>-68</v>
      </c>
      <c r="Q1526" s="4" t="s">
        <v>26</v>
      </c>
      <c r="R1526" s="4">
        <v>0</v>
      </c>
      <c r="S1526" s="6">
        <v>0</v>
      </c>
      <c r="T1526" s="6">
        <v>2</v>
      </c>
      <c r="U1526" s="6">
        <v>72</v>
      </c>
      <c r="V1526" s="6">
        <f>IF(ISERROR(VLOOKUP($S$1526,'TAR FIN'!$A$1:$O$104,15,0)),0,VLOOKUP($S$1526,'TAR FIN'!$A$1:$O$104,15,0))</f>
        <v>0</v>
      </c>
      <c r="W1526" s="6">
        <f>IF(ISERROR(VLOOKUP($T$1526,'TAR FIN'!$A$1:$O$104,15,0)),0,VLOOKUP($T$1526,'TAR FIN'!$A$1:$O$104,15,0))</f>
        <v>341.2</v>
      </c>
      <c r="X1526" s="6">
        <f>IF(ISERROR(VLOOKUP($U$1526,'TAR FIN'!$A$1:$O$104,15,0)),0,VLOOKUP($U$1526,'TAR FIN'!$A$1:$O$104,15,0))</f>
        <v>255.72</v>
      </c>
      <c r="Y1526" s="6"/>
      <c r="Z1526" s="6">
        <f ca="1">('TUSD BE'!$AM$34+'TUSD BF'!$AM$34+'TUSD CVA'!$AM$34)*1</f>
        <v>356.61002995987536</v>
      </c>
      <c r="AA1526" s="6">
        <f>('TE BE'!$AB$13+'TE BF'!$AB$13+'TE CVA'!$AB$13)*1</f>
        <v>242.47071701268419</v>
      </c>
      <c r="AB1526" s="6">
        <f>$K$1526*$V$1526</f>
        <v>0</v>
      </c>
      <c r="AC1526" s="6">
        <f>$M$1526*$W$1526</f>
        <v>-61855.806799999991</v>
      </c>
      <c r="AD1526" s="6">
        <f>$O$1526*$X$1526</f>
        <v>-46359.223079999996</v>
      </c>
      <c r="AE1526" s="6">
        <f>$K$1526*$Y$1526</f>
        <v>0</v>
      </c>
      <c r="AF1526" s="6">
        <f ca="1">$M$1526*$Z$1526</f>
        <v>-64649.475721395836</v>
      </c>
      <c r="AG1526" s="6">
        <f>$O$1526*$AA$1526</f>
        <v>-43957.273816512497</v>
      </c>
    </row>
    <row r="1527" spans="1:33" ht="11.25" customHeight="1" x14ac:dyDescent="0.25">
      <c r="A1527" s="4" t="s">
        <v>28</v>
      </c>
      <c r="B1527" s="4" t="s">
        <v>22</v>
      </c>
      <c r="C1527" s="4" t="s">
        <v>23</v>
      </c>
      <c r="D1527" s="4" t="s">
        <v>24</v>
      </c>
      <c r="E1527" s="4" t="s">
        <v>24</v>
      </c>
      <c r="F1527" s="4" t="s">
        <v>25</v>
      </c>
      <c r="G1527" s="4" t="s">
        <v>25</v>
      </c>
      <c r="H1527" s="4" t="s">
        <v>25</v>
      </c>
      <c r="I1527" s="5">
        <v>44440</v>
      </c>
      <c r="J1527" s="6">
        <v>0</v>
      </c>
      <c r="K1527" s="6">
        <v>0</v>
      </c>
      <c r="L1527" s="6">
        <v>1454.088</v>
      </c>
      <c r="M1527" s="6">
        <v>1454.088</v>
      </c>
      <c r="N1527" s="6">
        <v>1454.088</v>
      </c>
      <c r="O1527" s="6">
        <v>1454.088</v>
      </c>
      <c r="P1527" s="6">
        <v>13132</v>
      </c>
      <c r="Q1527" s="4" t="s">
        <v>26</v>
      </c>
      <c r="R1527" s="4">
        <v>0</v>
      </c>
      <c r="S1527" s="6">
        <v>0</v>
      </c>
      <c r="T1527" s="6">
        <v>2</v>
      </c>
      <c r="U1527" s="6">
        <v>72</v>
      </c>
      <c r="V1527" s="6">
        <f>IF(ISERROR(VLOOKUP($S$1527,'TAR FIN'!$A$1:$O$104,15,0)),0,VLOOKUP($S$1527,'TAR FIN'!$A$1:$O$104,15,0))</f>
        <v>0</v>
      </c>
      <c r="W1527" s="6">
        <f>IF(ISERROR(VLOOKUP($T$1527,'TAR FIN'!$A$1:$O$104,15,0)),0,VLOOKUP($T$1527,'TAR FIN'!$A$1:$O$104,15,0))</f>
        <v>341.2</v>
      </c>
      <c r="X1527" s="6">
        <f>IF(ISERROR(VLOOKUP($U$1527,'TAR FIN'!$A$1:$O$104,15,0)),0,VLOOKUP($U$1527,'TAR FIN'!$A$1:$O$104,15,0))</f>
        <v>255.72</v>
      </c>
      <c r="Y1527" s="6"/>
      <c r="Z1527" s="6">
        <f ca="1">('TUSD BE'!$AM$34+'TUSD BF'!$AM$34+'TUSD CVA'!$AM$34)*1</f>
        <v>356.61002995987536</v>
      </c>
      <c r="AA1527" s="6">
        <f>('TE BE'!$AB$13+'TE BF'!$AB$13+'TE CVA'!$AB$13)*1</f>
        <v>242.47071701268419</v>
      </c>
      <c r="AB1527" s="6">
        <f>$K$1527*$V$1527</f>
        <v>0</v>
      </c>
      <c r="AC1527" s="6">
        <f>$M$1527*$W$1527</f>
        <v>496134.82559999998</v>
      </c>
      <c r="AD1527" s="6">
        <f>$O$1527*$X$1527</f>
        <v>371839.38335999998</v>
      </c>
      <c r="AE1527" s="6">
        <f>$K$1527*$Y$1527</f>
        <v>0</v>
      </c>
      <c r="AF1527" s="6">
        <f ca="1">$M$1527*$Z$1527</f>
        <v>518542.36524429522</v>
      </c>
      <c r="AG1527" s="6">
        <f>$O$1527*$AA$1527</f>
        <v>352573.75995953992</v>
      </c>
    </row>
    <row r="1528" spans="1:33" ht="11.25" customHeight="1" x14ac:dyDescent="0.25">
      <c r="A1528" s="4" t="s">
        <v>28</v>
      </c>
      <c r="B1528" s="4" t="s">
        <v>22</v>
      </c>
      <c r="C1528" s="4" t="s">
        <v>23</v>
      </c>
      <c r="D1528" s="4" t="s">
        <v>24</v>
      </c>
      <c r="E1528" s="4" t="s">
        <v>24</v>
      </c>
      <c r="F1528" s="4" t="s">
        <v>25</v>
      </c>
      <c r="G1528" s="4" t="s">
        <v>25</v>
      </c>
      <c r="H1528" s="4" t="s">
        <v>25</v>
      </c>
      <c r="I1528" s="5">
        <v>44440</v>
      </c>
      <c r="J1528" s="6">
        <v>0</v>
      </c>
      <c r="K1528" s="6">
        <v>0</v>
      </c>
      <c r="L1528" s="6">
        <v>-8.2390000000000008</v>
      </c>
      <c r="M1528" s="6">
        <v>-8.2390000000000008</v>
      </c>
      <c r="N1528" s="6">
        <v>-8.2390000000000008</v>
      </c>
      <c r="O1528" s="6">
        <v>-8.2390000000000008</v>
      </c>
      <c r="P1528" s="6">
        <v>0</v>
      </c>
      <c r="Q1528" s="4" t="s">
        <v>26</v>
      </c>
      <c r="R1528" s="4">
        <v>0</v>
      </c>
      <c r="S1528" s="6">
        <v>0</v>
      </c>
      <c r="T1528" s="6">
        <v>2</v>
      </c>
      <c r="U1528" s="6">
        <v>72</v>
      </c>
      <c r="V1528" s="6">
        <f>IF(ISERROR(VLOOKUP($S$1528,'TAR FIN'!$A$1:$O$104,15,0)),0,VLOOKUP($S$1528,'TAR FIN'!$A$1:$O$104,15,0))</f>
        <v>0</v>
      </c>
      <c r="W1528" s="6">
        <f>IF(ISERROR(VLOOKUP($T$1528,'TAR FIN'!$A$1:$O$104,15,0)),0,VLOOKUP($T$1528,'TAR FIN'!$A$1:$O$104,15,0))</f>
        <v>341.2</v>
      </c>
      <c r="X1528" s="6">
        <f>IF(ISERROR(VLOOKUP($U$1528,'TAR FIN'!$A$1:$O$104,15,0)),0,VLOOKUP($U$1528,'TAR FIN'!$A$1:$O$104,15,0))</f>
        <v>255.72</v>
      </c>
      <c r="Y1528" s="6"/>
      <c r="Z1528" s="6">
        <f ca="1">('TUSD BE'!$AM$34+'TUSD BF'!$AM$34+'TUSD CVA'!$AM$34)*1</f>
        <v>356.61002995987536</v>
      </c>
      <c r="AA1528" s="6">
        <f>('TE BE'!$AB$13+'TE BF'!$AB$13+'TE CVA'!$AB$13)*1</f>
        <v>242.47071701268419</v>
      </c>
      <c r="AB1528" s="6">
        <f>$K$1528*$V$1528</f>
        <v>0</v>
      </c>
      <c r="AC1528" s="6">
        <f>$M$1528*$W$1528</f>
        <v>-2811.1468</v>
      </c>
      <c r="AD1528" s="6">
        <f>$O$1528*$X$1528</f>
        <v>-2106.8770800000002</v>
      </c>
      <c r="AE1528" s="6">
        <f>$K$1528*$Y$1528</f>
        <v>0</v>
      </c>
      <c r="AF1528" s="6">
        <f ca="1">$M$1528*$Z$1528</f>
        <v>-2938.1100368394132</v>
      </c>
      <c r="AG1528" s="6">
        <f>$O$1528*$AA$1528</f>
        <v>-1997.7162374675052</v>
      </c>
    </row>
    <row r="1529" spans="1:33" ht="11.25" customHeight="1" x14ac:dyDescent="0.25">
      <c r="A1529" s="4" t="s">
        <v>21</v>
      </c>
      <c r="B1529" s="4" t="s">
        <v>22</v>
      </c>
      <c r="C1529" s="4" t="s">
        <v>23</v>
      </c>
      <c r="D1529" s="4" t="s">
        <v>24</v>
      </c>
      <c r="E1529" s="4" t="s">
        <v>24</v>
      </c>
      <c r="F1529" s="4" t="s">
        <v>25</v>
      </c>
      <c r="G1529" s="4" t="s">
        <v>25</v>
      </c>
      <c r="H1529" s="4" t="s">
        <v>25</v>
      </c>
      <c r="I1529" s="5">
        <v>44470</v>
      </c>
      <c r="J1529" s="6">
        <v>0</v>
      </c>
      <c r="K1529" s="6">
        <v>0</v>
      </c>
      <c r="L1529" s="6">
        <v>116357.45299999999</v>
      </c>
      <c r="M1529" s="6">
        <v>116357.45299999999</v>
      </c>
      <c r="N1529" s="6">
        <v>116357.45299999999</v>
      </c>
      <c r="O1529" s="6">
        <v>116357.45299999999</v>
      </c>
      <c r="P1529" s="6">
        <v>796938</v>
      </c>
      <c r="Q1529" s="4" t="s">
        <v>26</v>
      </c>
      <c r="R1529" s="4">
        <v>0</v>
      </c>
      <c r="S1529" s="6">
        <v>0</v>
      </c>
      <c r="T1529" s="6">
        <v>2</v>
      </c>
      <c r="U1529" s="6">
        <v>72</v>
      </c>
      <c r="V1529" s="6">
        <f>IF(ISERROR(VLOOKUP($S$1529,'TAR FIN'!$A$1:$O$104,15,0)),0,VLOOKUP($S$1529,'TAR FIN'!$A$1:$O$104,15,0))</f>
        <v>0</v>
      </c>
      <c r="W1529" s="6">
        <f>IF(ISERROR(VLOOKUP($T$1529,'TAR FIN'!$A$1:$O$104,15,0)),0,VLOOKUP($T$1529,'TAR FIN'!$A$1:$O$104,15,0))</f>
        <v>341.2</v>
      </c>
      <c r="X1529" s="6">
        <f>IF(ISERROR(VLOOKUP($U$1529,'TAR FIN'!$A$1:$O$104,15,0)),0,VLOOKUP($U$1529,'TAR FIN'!$A$1:$O$104,15,0))</f>
        <v>255.72</v>
      </c>
      <c r="Y1529" s="6"/>
      <c r="Z1529" s="6">
        <f ca="1">('TUSD BE'!$AM$34+'TUSD BF'!$AM$34+'TUSD CVA'!$AM$34)*1</f>
        <v>356.61002995987536</v>
      </c>
      <c r="AA1529" s="6">
        <f>('TE BE'!$AB$13+'TE BF'!$AB$13+'TE CVA'!$AB$13)*1</f>
        <v>242.47071701268419</v>
      </c>
      <c r="AB1529" s="6">
        <f>$K$1529*$V$1529</f>
        <v>0</v>
      </c>
      <c r="AC1529" s="6">
        <f>$M$1529*$W$1529</f>
        <v>39701162.963599995</v>
      </c>
      <c r="AD1529" s="6">
        <f>$O$1529*$X$1529</f>
        <v>29754927.881159998</v>
      </c>
      <c r="AE1529" s="6">
        <f>$K$1529*$Y$1529</f>
        <v>0</v>
      </c>
      <c r="AF1529" s="6">
        <f ca="1">$M$1529*$Z$1529</f>
        <v>41494234.80038479</v>
      </c>
      <c r="AG1529" s="6">
        <f>$O$1529*$AA$1529</f>
        <v>28213275.0586797</v>
      </c>
    </row>
    <row r="1530" spans="1:33" ht="11.25" customHeight="1" x14ac:dyDescent="0.25">
      <c r="A1530" s="4" t="s">
        <v>27</v>
      </c>
      <c r="B1530" s="4" t="s">
        <v>22</v>
      </c>
      <c r="C1530" s="4" t="s">
        <v>23</v>
      </c>
      <c r="D1530" s="4" t="s">
        <v>24</v>
      </c>
      <c r="E1530" s="4" t="s">
        <v>24</v>
      </c>
      <c r="F1530" s="4" t="s">
        <v>25</v>
      </c>
      <c r="G1530" s="4" t="s">
        <v>25</v>
      </c>
      <c r="H1530" s="4" t="s">
        <v>25</v>
      </c>
      <c r="I1530" s="5">
        <v>44470</v>
      </c>
      <c r="J1530" s="6">
        <v>0</v>
      </c>
      <c r="K1530" s="6">
        <v>0</v>
      </c>
      <c r="L1530" s="6">
        <v>-134.37799999999999</v>
      </c>
      <c r="M1530" s="6">
        <v>-134.37799999999999</v>
      </c>
      <c r="N1530" s="6">
        <v>-134.37799999999999</v>
      </c>
      <c r="O1530" s="6">
        <v>-134.37799999999999</v>
      </c>
      <c r="P1530" s="6">
        <v>-65</v>
      </c>
      <c r="Q1530" s="4" t="s">
        <v>26</v>
      </c>
      <c r="R1530" s="4">
        <v>0</v>
      </c>
      <c r="S1530" s="6">
        <v>0</v>
      </c>
      <c r="T1530" s="6">
        <v>2</v>
      </c>
      <c r="U1530" s="6">
        <v>72</v>
      </c>
      <c r="V1530" s="6">
        <f>IF(ISERROR(VLOOKUP($S$1530,'TAR FIN'!$A$1:$O$104,15,0)),0,VLOOKUP($S$1530,'TAR FIN'!$A$1:$O$104,15,0))</f>
        <v>0</v>
      </c>
      <c r="W1530" s="6">
        <f>IF(ISERROR(VLOOKUP($T$1530,'TAR FIN'!$A$1:$O$104,15,0)),0,VLOOKUP($T$1530,'TAR FIN'!$A$1:$O$104,15,0))</f>
        <v>341.2</v>
      </c>
      <c r="X1530" s="6">
        <f>IF(ISERROR(VLOOKUP($U$1530,'TAR FIN'!$A$1:$O$104,15,0)),0,VLOOKUP($U$1530,'TAR FIN'!$A$1:$O$104,15,0))</f>
        <v>255.72</v>
      </c>
      <c r="Y1530" s="6"/>
      <c r="Z1530" s="6">
        <f ca="1">('TUSD BE'!$AM$34+'TUSD BF'!$AM$34+'TUSD CVA'!$AM$34)*1</f>
        <v>356.61002995987536</v>
      </c>
      <c r="AA1530" s="6">
        <f>('TE BE'!$AB$13+'TE BF'!$AB$13+'TE CVA'!$AB$13)*1</f>
        <v>242.47071701268419</v>
      </c>
      <c r="AB1530" s="6">
        <f>$K$1530*$V$1530</f>
        <v>0</v>
      </c>
      <c r="AC1530" s="6">
        <f>$M$1530*$W$1530</f>
        <v>-45849.773599999993</v>
      </c>
      <c r="AD1530" s="6">
        <f>$O$1530*$X$1530</f>
        <v>-34363.142159999996</v>
      </c>
      <c r="AE1530" s="6">
        <f>$K$1530*$Y$1530</f>
        <v>0</v>
      </c>
      <c r="AF1530" s="6">
        <f ca="1">$M$1530*$Z$1530</f>
        <v>-47920.542605948125</v>
      </c>
      <c r="AG1530" s="6">
        <f>$O$1530*$AA$1530</f>
        <v>-32582.730010730473</v>
      </c>
    </row>
    <row r="1531" spans="1:33" ht="11.25" customHeight="1" x14ac:dyDescent="0.25">
      <c r="A1531" s="4" t="s">
        <v>28</v>
      </c>
      <c r="B1531" s="4" t="s">
        <v>22</v>
      </c>
      <c r="C1531" s="4" t="s">
        <v>23</v>
      </c>
      <c r="D1531" s="4" t="s">
        <v>24</v>
      </c>
      <c r="E1531" s="4" t="s">
        <v>24</v>
      </c>
      <c r="F1531" s="4" t="s">
        <v>25</v>
      </c>
      <c r="G1531" s="4" t="s">
        <v>25</v>
      </c>
      <c r="H1531" s="4" t="s">
        <v>25</v>
      </c>
      <c r="I1531" s="5">
        <v>44470</v>
      </c>
      <c r="J1531" s="6">
        <v>0</v>
      </c>
      <c r="K1531" s="6">
        <v>0</v>
      </c>
      <c r="L1531" s="6">
        <v>1719.9639999999999</v>
      </c>
      <c r="M1531" s="6">
        <v>1719.9639999999999</v>
      </c>
      <c r="N1531" s="6">
        <v>1719.9639999999999</v>
      </c>
      <c r="O1531" s="6">
        <v>1719.9639999999999</v>
      </c>
      <c r="P1531" s="6">
        <v>13953</v>
      </c>
      <c r="Q1531" s="4" t="s">
        <v>26</v>
      </c>
      <c r="R1531" s="4">
        <v>0</v>
      </c>
      <c r="S1531" s="6">
        <v>0</v>
      </c>
      <c r="T1531" s="6">
        <v>2</v>
      </c>
      <c r="U1531" s="6">
        <v>72</v>
      </c>
      <c r="V1531" s="6">
        <f>IF(ISERROR(VLOOKUP($S$1531,'TAR FIN'!$A$1:$O$104,15,0)),0,VLOOKUP($S$1531,'TAR FIN'!$A$1:$O$104,15,0))</f>
        <v>0</v>
      </c>
      <c r="W1531" s="6">
        <f>IF(ISERROR(VLOOKUP($T$1531,'TAR FIN'!$A$1:$O$104,15,0)),0,VLOOKUP($T$1531,'TAR FIN'!$A$1:$O$104,15,0))</f>
        <v>341.2</v>
      </c>
      <c r="X1531" s="6">
        <f>IF(ISERROR(VLOOKUP($U$1531,'TAR FIN'!$A$1:$O$104,15,0)),0,VLOOKUP($U$1531,'TAR FIN'!$A$1:$O$104,15,0))</f>
        <v>255.72</v>
      </c>
      <c r="Y1531" s="6"/>
      <c r="Z1531" s="6">
        <f ca="1">('TUSD BE'!$AM$34+'TUSD BF'!$AM$34+'TUSD CVA'!$AM$34)*1</f>
        <v>356.61002995987536</v>
      </c>
      <c r="AA1531" s="6">
        <f>('TE BE'!$AB$13+'TE BF'!$AB$13+'TE CVA'!$AB$13)*1</f>
        <v>242.47071701268419</v>
      </c>
      <c r="AB1531" s="6">
        <f>$K$1531*$V$1531</f>
        <v>0</v>
      </c>
      <c r="AC1531" s="6">
        <f>$M$1531*$W$1531</f>
        <v>586851.71679999994</v>
      </c>
      <c r="AD1531" s="6">
        <f>$O$1531*$X$1531</f>
        <v>439829.19407999999</v>
      </c>
      <c r="AE1531" s="6">
        <f>$K$1531*$Y$1531</f>
        <v>0</v>
      </c>
      <c r="AF1531" s="6">
        <f ca="1">$M$1531*$Z$1531</f>
        <v>613356.41356990708</v>
      </c>
      <c r="AG1531" s="6">
        <f>$O$1531*$AA$1531</f>
        <v>417040.90431600431</v>
      </c>
    </row>
    <row r="1532" spans="1:33" ht="11.25" customHeight="1" x14ac:dyDescent="0.25">
      <c r="A1532" s="4" t="s">
        <v>28</v>
      </c>
      <c r="B1532" s="4" t="s">
        <v>22</v>
      </c>
      <c r="C1532" s="4" t="s">
        <v>23</v>
      </c>
      <c r="D1532" s="4" t="s">
        <v>24</v>
      </c>
      <c r="E1532" s="4" t="s">
        <v>24</v>
      </c>
      <c r="F1532" s="4" t="s">
        <v>25</v>
      </c>
      <c r="G1532" s="4" t="s">
        <v>25</v>
      </c>
      <c r="H1532" s="4" t="s">
        <v>25</v>
      </c>
      <c r="I1532" s="5">
        <v>44470</v>
      </c>
      <c r="J1532" s="6">
        <v>0</v>
      </c>
      <c r="K1532" s="6">
        <v>0</v>
      </c>
      <c r="L1532" s="6">
        <v>-5.2009999999999996</v>
      </c>
      <c r="M1532" s="6">
        <v>-5.2009999999999996</v>
      </c>
      <c r="N1532" s="6">
        <v>-5.2009999999999996</v>
      </c>
      <c r="O1532" s="6">
        <v>-5.2009999999999996</v>
      </c>
      <c r="P1532" s="6">
        <v>0</v>
      </c>
      <c r="Q1532" s="4" t="s">
        <v>26</v>
      </c>
      <c r="R1532" s="4">
        <v>0</v>
      </c>
      <c r="S1532" s="6">
        <v>0</v>
      </c>
      <c r="T1532" s="6">
        <v>2</v>
      </c>
      <c r="U1532" s="6">
        <v>72</v>
      </c>
      <c r="V1532" s="6">
        <f>IF(ISERROR(VLOOKUP($S$1532,'TAR FIN'!$A$1:$O$104,15,0)),0,VLOOKUP($S$1532,'TAR FIN'!$A$1:$O$104,15,0))</f>
        <v>0</v>
      </c>
      <c r="W1532" s="6">
        <f>IF(ISERROR(VLOOKUP($T$1532,'TAR FIN'!$A$1:$O$104,15,0)),0,VLOOKUP($T$1532,'TAR FIN'!$A$1:$O$104,15,0))</f>
        <v>341.2</v>
      </c>
      <c r="X1532" s="6">
        <f>IF(ISERROR(VLOOKUP($U$1532,'TAR FIN'!$A$1:$O$104,15,0)),0,VLOOKUP($U$1532,'TAR FIN'!$A$1:$O$104,15,0))</f>
        <v>255.72</v>
      </c>
      <c r="Y1532" s="6"/>
      <c r="Z1532" s="6">
        <f ca="1">('TUSD BE'!$AM$34+'TUSD BF'!$AM$34+'TUSD CVA'!$AM$34)*1</f>
        <v>356.61002995987536</v>
      </c>
      <c r="AA1532" s="6">
        <f>('TE BE'!$AB$13+'TE BF'!$AB$13+'TE CVA'!$AB$13)*1</f>
        <v>242.47071701268419</v>
      </c>
      <c r="AB1532" s="6">
        <f>$K$1532*$V$1532</f>
        <v>0</v>
      </c>
      <c r="AC1532" s="6">
        <f>$M$1532*$W$1532</f>
        <v>-1774.5811999999999</v>
      </c>
      <c r="AD1532" s="6">
        <f>$O$1532*$X$1532</f>
        <v>-1329.9997199999998</v>
      </c>
      <c r="AE1532" s="6">
        <f>$K$1532*$Y$1532</f>
        <v>0</v>
      </c>
      <c r="AF1532" s="6">
        <f ca="1">$M$1532*$Z$1532</f>
        <v>-1854.7287658213115</v>
      </c>
      <c r="AG1532" s="6">
        <f>$O$1532*$AA$1532</f>
        <v>-1261.0901991829703</v>
      </c>
    </row>
    <row r="1533" spans="1:33" ht="11.25" customHeight="1" x14ac:dyDescent="0.25">
      <c r="A1533" s="4" t="s">
        <v>21</v>
      </c>
      <c r="B1533" s="4" t="s">
        <v>22</v>
      </c>
      <c r="C1533" s="4" t="s">
        <v>23</v>
      </c>
      <c r="D1533" s="4" t="s">
        <v>24</v>
      </c>
      <c r="E1533" s="4" t="s">
        <v>24</v>
      </c>
      <c r="F1533" s="4" t="s">
        <v>25</v>
      </c>
      <c r="G1533" s="4" t="s">
        <v>25</v>
      </c>
      <c r="H1533" s="4" t="s">
        <v>25</v>
      </c>
      <c r="I1533" s="5">
        <v>44501</v>
      </c>
      <c r="J1533" s="6">
        <v>0</v>
      </c>
      <c r="K1533" s="6">
        <v>0</v>
      </c>
      <c r="L1533" s="6">
        <v>116505.031</v>
      </c>
      <c r="M1533" s="6">
        <v>116505.031</v>
      </c>
      <c r="N1533" s="6">
        <v>116505.031</v>
      </c>
      <c r="O1533" s="6">
        <v>116505.031</v>
      </c>
      <c r="P1533" s="6">
        <v>794504</v>
      </c>
      <c r="Q1533" s="4" t="s">
        <v>26</v>
      </c>
      <c r="R1533" s="4">
        <v>0</v>
      </c>
      <c r="S1533" s="6">
        <v>0</v>
      </c>
      <c r="T1533" s="6">
        <v>2</v>
      </c>
      <c r="U1533" s="6">
        <v>72</v>
      </c>
      <c r="V1533" s="6">
        <f>IF(ISERROR(VLOOKUP($S$1533,'TAR FIN'!$A$1:$O$104,15,0)),0,VLOOKUP($S$1533,'TAR FIN'!$A$1:$O$104,15,0))</f>
        <v>0</v>
      </c>
      <c r="W1533" s="6">
        <f>IF(ISERROR(VLOOKUP($T$1533,'TAR FIN'!$A$1:$O$104,15,0)),0,VLOOKUP($T$1533,'TAR FIN'!$A$1:$O$104,15,0))</f>
        <v>341.2</v>
      </c>
      <c r="X1533" s="6">
        <f>IF(ISERROR(VLOOKUP($U$1533,'TAR FIN'!$A$1:$O$104,15,0)),0,VLOOKUP($U$1533,'TAR FIN'!$A$1:$O$104,15,0))</f>
        <v>255.72</v>
      </c>
      <c r="Y1533" s="6"/>
      <c r="Z1533" s="6">
        <f ca="1">('TUSD BE'!$AM$34+'TUSD BF'!$AM$34+'TUSD CVA'!$AM$34)*1</f>
        <v>356.61002995987536</v>
      </c>
      <c r="AA1533" s="6">
        <f>('TE BE'!$AB$13+'TE BF'!$AB$13+'TE CVA'!$AB$13)*1</f>
        <v>242.47071701268419</v>
      </c>
      <c r="AB1533" s="6">
        <f>$K$1533*$V$1533</f>
        <v>0</v>
      </c>
      <c r="AC1533" s="6">
        <f>$M$1533*$W$1533</f>
        <v>39751516.577200003</v>
      </c>
      <c r="AD1533" s="6">
        <f>$O$1533*$X$1533</f>
        <v>29792666.527320001</v>
      </c>
      <c r="AE1533" s="6">
        <f>$K$1533*$Y$1533</f>
        <v>0</v>
      </c>
      <c r="AF1533" s="6">
        <f ca="1">$M$1533*$Z$1533</f>
        <v>41546862.595386207</v>
      </c>
      <c r="AG1533" s="6">
        <f>$O$1533*$AA$1533</f>
        <v>28249058.402155001</v>
      </c>
    </row>
    <row r="1534" spans="1:33" ht="11.25" customHeight="1" x14ac:dyDescent="0.25">
      <c r="A1534" s="4" t="s">
        <v>27</v>
      </c>
      <c r="B1534" s="4" t="s">
        <v>22</v>
      </c>
      <c r="C1534" s="4" t="s">
        <v>23</v>
      </c>
      <c r="D1534" s="4" t="s">
        <v>24</v>
      </c>
      <c r="E1534" s="4" t="s">
        <v>24</v>
      </c>
      <c r="F1534" s="4" t="s">
        <v>25</v>
      </c>
      <c r="G1534" s="4" t="s">
        <v>25</v>
      </c>
      <c r="H1534" s="4" t="s">
        <v>25</v>
      </c>
      <c r="I1534" s="5">
        <v>44501</v>
      </c>
      <c r="J1534" s="6">
        <v>0</v>
      </c>
      <c r="K1534" s="6">
        <v>0</v>
      </c>
      <c r="L1534" s="6">
        <v>-237.12899999999999</v>
      </c>
      <c r="M1534" s="6">
        <v>-237.12899999999999</v>
      </c>
      <c r="N1534" s="6">
        <v>-237.12899999999999</v>
      </c>
      <c r="O1534" s="6">
        <v>-237.12899999999999</v>
      </c>
      <c r="P1534" s="6">
        <v>-155</v>
      </c>
      <c r="Q1534" s="4" t="s">
        <v>26</v>
      </c>
      <c r="R1534" s="4">
        <v>0</v>
      </c>
      <c r="S1534" s="6">
        <v>0</v>
      </c>
      <c r="T1534" s="6">
        <v>2</v>
      </c>
      <c r="U1534" s="6">
        <v>72</v>
      </c>
      <c r="V1534" s="6">
        <f>IF(ISERROR(VLOOKUP($S$1534,'TAR FIN'!$A$1:$O$104,15,0)),0,VLOOKUP($S$1534,'TAR FIN'!$A$1:$O$104,15,0))</f>
        <v>0</v>
      </c>
      <c r="W1534" s="6">
        <f>IF(ISERROR(VLOOKUP($T$1534,'TAR FIN'!$A$1:$O$104,15,0)),0,VLOOKUP($T$1534,'TAR FIN'!$A$1:$O$104,15,0))</f>
        <v>341.2</v>
      </c>
      <c r="X1534" s="6">
        <f>IF(ISERROR(VLOOKUP($U$1534,'TAR FIN'!$A$1:$O$104,15,0)),0,VLOOKUP($U$1534,'TAR FIN'!$A$1:$O$104,15,0))</f>
        <v>255.72</v>
      </c>
      <c r="Y1534" s="6"/>
      <c r="Z1534" s="6">
        <f ca="1">('TUSD BE'!$AM$34+'TUSD BF'!$AM$34+'TUSD CVA'!$AM$34)*1</f>
        <v>356.61002995987536</v>
      </c>
      <c r="AA1534" s="6">
        <f>('TE BE'!$AB$13+'TE BF'!$AB$13+'TE CVA'!$AB$13)*1</f>
        <v>242.47071701268419</v>
      </c>
      <c r="AB1534" s="6">
        <f>$K$1534*$V$1534</f>
        <v>0</v>
      </c>
      <c r="AC1534" s="6">
        <f>$M$1534*$W$1534</f>
        <v>-80908.414799999999</v>
      </c>
      <c r="AD1534" s="6">
        <f>$O$1534*$X$1534</f>
        <v>-60638.62788</v>
      </c>
      <c r="AE1534" s="6">
        <f>$K$1534*$Y$1534</f>
        <v>0</v>
      </c>
      <c r="AF1534" s="6">
        <f ca="1">$M$1534*$Z$1534</f>
        <v>-84562.579794355275</v>
      </c>
      <c r="AG1534" s="6">
        <f>$O$1534*$AA$1534</f>
        <v>-57496.838654500789</v>
      </c>
    </row>
    <row r="1535" spans="1:33" ht="11.25" customHeight="1" x14ac:dyDescent="0.25">
      <c r="A1535" s="4" t="s">
        <v>28</v>
      </c>
      <c r="B1535" s="4" t="s">
        <v>22</v>
      </c>
      <c r="C1535" s="4" t="s">
        <v>23</v>
      </c>
      <c r="D1535" s="4" t="s">
        <v>24</v>
      </c>
      <c r="E1535" s="4" t="s">
        <v>24</v>
      </c>
      <c r="F1535" s="4" t="s">
        <v>25</v>
      </c>
      <c r="G1535" s="4" t="s">
        <v>25</v>
      </c>
      <c r="H1535" s="4" t="s">
        <v>25</v>
      </c>
      <c r="I1535" s="5">
        <v>44501</v>
      </c>
      <c r="J1535" s="6">
        <v>0</v>
      </c>
      <c r="K1535" s="6">
        <v>0</v>
      </c>
      <c r="L1535" s="6">
        <v>1893.8530000000001</v>
      </c>
      <c r="M1535" s="6">
        <v>1893.8530000000001</v>
      </c>
      <c r="N1535" s="6">
        <v>1893.8530000000001</v>
      </c>
      <c r="O1535" s="6">
        <v>1893.8530000000001</v>
      </c>
      <c r="P1535" s="6">
        <v>14760</v>
      </c>
      <c r="Q1535" s="4" t="s">
        <v>26</v>
      </c>
      <c r="R1535" s="4">
        <v>0</v>
      </c>
      <c r="S1535" s="6">
        <v>0</v>
      </c>
      <c r="T1535" s="6">
        <v>2</v>
      </c>
      <c r="U1535" s="6">
        <v>72</v>
      </c>
      <c r="V1535" s="6">
        <f>IF(ISERROR(VLOOKUP($S$1535,'TAR FIN'!$A$1:$O$104,15,0)),0,VLOOKUP($S$1535,'TAR FIN'!$A$1:$O$104,15,0))</f>
        <v>0</v>
      </c>
      <c r="W1535" s="6">
        <f>IF(ISERROR(VLOOKUP($T$1535,'TAR FIN'!$A$1:$O$104,15,0)),0,VLOOKUP($T$1535,'TAR FIN'!$A$1:$O$104,15,0))</f>
        <v>341.2</v>
      </c>
      <c r="X1535" s="6">
        <f>IF(ISERROR(VLOOKUP($U$1535,'TAR FIN'!$A$1:$O$104,15,0)),0,VLOOKUP($U$1535,'TAR FIN'!$A$1:$O$104,15,0))</f>
        <v>255.72</v>
      </c>
      <c r="Y1535" s="6"/>
      <c r="Z1535" s="6">
        <f ca="1">('TUSD BE'!$AM$34+'TUSD BF'!$AM$34+'TUSD CVA'!$AM$34)*1</f>
        <v>356.61002995987536</v>
      </c>
      <c r="AA1535" s="6">
        <f>('TE BE'!$AB$13+'TE BF'!$AB$13+'TE CVA'!$AB$13)*1</f>
        <v>242.47071701268419</v>
      </c>
      <c r="AB1535" s="6">
        <f>$K$1535*$V$1535</f>
        <v>0</v>
      </c>
      <c r="AC1535" s="6">
        <f>$M$1535*$W$1535</f>
        <v>646182.64359999995</v>
      </c>
      <c r="AD1535" s="6">
        <f>$O$1535*$X$1535</f>
        <v>484296.08916000003</v>
      </c>
      <c r="AE1535" s="6">
        <f>$K$1535*$Y$1535</f>
        <v>0</v>
      </c>
      <c r="AF1535" s="6">
        <f ca="1">$M$1535*$Z$1535</f>
        <v>675366.97506959981</v>
      </c>
      <c r="AG1535" s="6">
        <f>$O$1535*$AA$1535</f>
        <v>459203.89482662303</v>
      </c>
    </row>
    <row r="1536" spans="1:33" ht="11.25" customHeight="1" x14ac:dyDescent="0.25">
      <c r="A1536" s="4" t="s">
        <v>28</v>
      </c>
      <c r="B1536" s="4" t="s">
        <v>22</v>
      </c>
      <c r="C1536" s="4" t="s">
        <v>23</v>
      </c>
      <c r="D1536" s="4" t="s">
        <v>24</v>
      </c>
      <c r="E1536" s="4" t="s">
        <v>24</v>
      </c>
      <c r="F1536" s="4" t="s">
        <v>25</v>
      </c>
      <c r="G1536" s="4" t="s">
        <v>25</v>
      </c>
      <c r="H1536" s="4" t="s">
        <v>25</v>
      </c>
      <c r="I1536" s="5">
        <v>44501</v>
      </c>
      <c r="J1536" s="6">
        <v>0</v>
      </c>
      <c r="K1536" s="6">
        <v>0</v>
      </c>
      <c r="L1536" s="6">
        <v>-3.9929999999999999</v>
      </c>
      <c r="M1536" s="6">
        <v>-3.9929999999999999</v>
      </c>
      <c r="N1536" s="6">
        <v>-3.9929999999999999</v>
      </c>
      <c r="O1536" s="6">
        <v>-3.9929999999999999</v>
      </c>
      <c r="P1536" s="6">
        <v>1</v>
      </c>
      <c r="Q1536" s="4" t="s">
        <v>26</v>
      </c>
      <c r="R1536" s="4">
        <v>0</v>
      </c>
      <c r="S1536" s="6">
        <v>0</v>
      </c>
      <c r="T1536" s="6">
        <v>2</v>
      </c>
      <c r="U1536" s="6">
        <v>72</v>
      </c>
      <c r="V1536" s="6">
        <f>IF(ISERROR(VLOOKUP($S$1536,'TAR FIN'!$A$1:$O$104,15,0)),0,VLOOKUP($S$1536,'TAR FIN'!$A$1:$O$104,15,0))</f>
        <v>0</v>
      </c>
      <c r="W1536" s="6">
        <f>IF(ISERROR(VLOOKUP($T$1536,'TAR FIN'!$A$1:$O$104,15,0)),0,VLOOKUP($T$1536,'TAR FIN'!$A$1:$O$104,15,0))</f>
        <v>341.2</v>
      </c>
      <c r="X1536" s="6">
        <f>IF(ISERROR(VLOOKUP($U$1536,'TAR FIN'!$A$1:$O$104,15,0)),0,VLOOKUP($U$1536,'TAR FIN'!$A$1:$O$104,15,0))</f>
        <v>255.72</v>
      </c>
      <c r="Y1536" s="6"/>
      <c r="Z1536" s="6">
        <f ca="1">('TUSD BE'!$AM$34+'TUSD BF'!$AM$34+'TUSD CVA'!$AM$34)*1</f>
        <v>356.61002995987536</v>
      </c>
      <c r="AA1536" s="6">
        <f>('TE BE'!$AB$13+'TE BF'!$AB$13+'TE CVA'!$AB$13)*1</f>
        <v>242.47071701268419</v>
      </c>
      <c r="AB1536" s="6">
        <f>$K$1536*$V$1536</f>
        <v>0</v>
      </c>
      <c r="AC1536" s="6">
        <f>$M$1536*$W$1536</f>
        <v>-1362.4115999999999</v>
      </c>
      <c r="AD1536" s="6">
        <f>$O$1536*$X$1536</f>
        <v>-1021.08996</v>
      </c>
      <c r="AE1536" s="6">
        <f>$K$1536*$Y$1536</f>
        <v>0</v>
      </c>
      <c r="AF1536" s="6">
        <f ca="1">$M$1536*$Z$1536</f>
        <v>-1423.9438496297823</v>
      </c>
      <c r="AG1536" s="6">
        <f>$O$1536*$AA$1536</f>
        <v>-968.18557303164789</v>
      </c>
    </row>
    <row r="1537" spans="1:33" ht="11.25" customHeight="1" x14ac:dyDescent="0.25">
      <c r="A1537" s="4" t="s">
        <v>21</v>
      </c>
      <c r="B1537" s="4" t="s">
        <v>22</v>
      </c>
      <c r="C1537" s="4" t="s">
        <v>23</v>
      </c>
      <c r="D1537" s="4" t="s">
        <v>24</v>
      </c>
      <c r="E1537" s="4" t="s">
        <v>24</v>
      </c>
      <c r="F1537" s="4" t="s">
        <v>25</v>
      </c>
      <c r="G1537" s="4" t="s">
        <v>25</v>
      </c>
      <c r="H1537" s="4" t="s">
        <v>25</v>
      </c>
      <c r="I1537" s="5">
        <v>44531</v>
      </c>
      <c r="J1537" s="6">
        <v>0</v>
      </c>
      <c r="K1537" s="6">
        <v>0</v>
      </c>
      <c r="L1537" s="6">
        <v>129166.337</v>
      </c>
      <c r="M1537" s="6">
        <v>129166.337</v>
      </c>
      <c r="N1537" s="6">
        <v>129166.337</v>
      </c>
      <c r="O1537" s="6">
        <v>129166.337</v>
      </c>
      <c r="P1537" s="6">
        <v>794297</v>
      </c>
      <c r="Q1537" s="4" t="s">
        <v>26</v>
      </c>
      <c r="R1537" s="4">
        <v>0</v>
      </c>
      <c r="S1537" s="6">
        <v>0</v>
      </c>
      <c r="T1537" s="6">
        <v>2</v>
      </c>
      <c r="U1537" s="6">
        <v>72</v>
      </c>
      <c r="V1537" s="6">
        <f>IF(ISERROR(VLOOKUP($S$1537,'TAR FIN'!$A$1:$O$104,15,0)),0,VLOOKUP($S$1537,'TAR FIN'!$A$1:$O$104,15,0))</f>
        <v>0</v>
      </c>
      <c r="W1537" s="6">
        <f>IF(ISERROR(VLOOKUP($T$1537,'TAR FIN'!$A$1:$O$104,15,0)),0,VLOOKUP($T$1537,'TAR FIN'!$A$1:$O$104,15,0))</f>
        <v>341.2</v>
      </c>
      <c r="X1537" s="6">
        <f>IF(ISERROR(VLOOKUP($U$1537,'TAR FIN'!$A$1:$O$104,15,0)),0,VLOOKUP($U$1537,'TAR FIN'!$A$1:$O$104,15,0))</f>
        <v>255.72</v>
      </c>
      <c r="Y1537" s="6"/>
      <c r="Z1537" s="6">
        <f ca="1">('TUSD BE'!$AM$34+'TUSD BF'!$AM$34+'TUSD CVA'!$AM$34)*1</f>
        <v>356.61002995987536</v>
      </c>
      <c r="AA1537" s="6">
        <f>('TE BE'!$AB$13+'TE BF'!$AB$13+'TE CVA'!$AB$13)*1</f>
        <v>242.47071701268419</v>
      </c>
      <c r="AB1537" s="6">
        <f>$K$1537*$V$1537</f>
        <v>0</v>
      </c>
      <c r="AC1537" s="6">
        <f>$M$1537*$W$1537</f>
        <v>44071554.1844</v>
      </c>
      <c r="AD1537" s="6">
        <f>$O$1537*$X$1537</f>
        <v>33030415.697639998</v>
      </c>
      <c r="AE1537" s="6">
        <f>$K$1537*$Y$1537</f>
        <v>0</v>
      </c>
      <c r="AF1537" s="6">
        <f ca="1">$M$1537*$Z$1537</f>
        <v>46062011.307377361</v>
      </c>
      <c r="AG1537" s="6">
        <f>$O$1537*$AA$1537</f>
        <v>31319054.346292</v>
      </c>
    </row>
    <row r="1538" spans="1:33" ht="11.25" customHeight="1" x14ac:dyDescent="0.25">
      <c r="A1538" s="4" t="s">
        <v>27</v>
      </c>
      <c r="B1538" s="4" t="s">
        <v>22</v>
      </c>
      <c r="C1538" s="4" t="s">
        <v>23</v>
      </c>
      <c r="D1538" s="4" t="s">
        <v>24</v>
      </c>
      <c r="E1538" s="4" t="s">
        <v>24</v>
      </c>
      <c r="F1538" s="4" t="s">
        <v>25</v>
      </c>
      <c r="G1538" s="4" t="s">
        <v>25</v>
      </c>
      <c r="H1538" s="4" t="s">
        <v>25</v>
      </c>
      <c r="I1538" s="5">
        <v>44531</v>
      </c>
      <c r="J1538" s="6">
        <v>0</v>
      </c>
      <c r="K1538" s="6">
        <v>0</v>
      </c>
      <c r="L1538" s="6">
        <v>-546.97699999999998</v>
      </c>
      <c r="M1538" s="6">
        <v>-546.97699999999998</v>
      </c>
      <c r="N1538" s="6">
        <v>-546.97699999999998</v>
      </c>
      <c r="O1538" s="6">
        <v>-546.97699999999998</v>
      </c>
      <c r="P1538" s="6">
        <v>-120</v>
      </c>
      <c r="Q1538" s="4" t="s">
        <v>26</v>
      </c>
      <c r="R1538" s="4">
        <v>0</v>
      </c>
      <c r="S1538" s="6">
        <v>0</v>
      </c>
      <c r="T1538" s="6">
        <v>2</v>
      </c>
      <c r="U1538" s="6">
        <v>72</v>
      </c>
      <c r="V1538" s="6">
        <f>IF(ISERROR(VLOOKUP($S$1538,'TAR FIN'!$A$1:$O$104,15,0)),0,VLOOKUP($S$1538,'TAR FIN'!$A$1:$O$104,15,0))</f>
        <v>0</v>
      </c>
      <c r="W1538" s="6">
        <f>IF(ISERROR(VLOOKUP($T$1538,'TAR FIN'!$A$1:$O$104,15,0)),0,VLOOKUP($T$1538,'TAR FIN'!$A$1:$O$104,15,0))</f>
        <v>341.2</v>
      </c>
      <c r="X1538" s="6">
        <f>IF(ISERROR(VLOOKUP($U$1538,'TAR FIN'!$A$1:$O$104,15,0)),0,VLOOKUP($U$1538,'TAR FIN'!$A$1:$O$104,15,0))</f>
        <v>255.72</v>
      </c>
      <c r="Y1538" s="6"/>
      <c r="Z1538" s="6">
        <f ca="1">('TUSD BE'!$AM$34+'TUSD BF'!$AM$34+'TUSD CVA'!$AM$34)*1</f>
        <v>356.61002995987536</v>
      </c>
      <c r="AA1538" s="6">
        <f>('TE BE'!$AB$13+'TE BF'!$AB$13+'TE CVA'!$AB$13)*1</f>
        <v>242.47071701268419</v>
      </c>
      <c r="AB1538" s="6">
        <f>$K$1538*$V$1538</f>
        <v>0</v>
      </c>
      <c r="AC1538" s="6">
        <f>$M$1538*$W$1538</f>
        <v>-186628.55239999999</v>
      </c>
      <c r="AD1538" s="6">
        <f>$O$1538*$X$1538</f>
        <v>-139872.95843999999</v>
      </c>
      <c r="AE1538" s="6">
        <f>$K$1538*$Y$1538</f>
        <v>0</v>
      </c>
      <c r="AF1538" s="6">
        <f ca="1">$M$1538*$Z$1538</f>
        <v>-195057.48435736273</v>
      </c>
      <c r="AG1538" s="6">
        <f>$O$1538*$AA$1538</f>
        <v>-132625.90537944695</v>
      </c>
    </row>
    <row r="1539" spans="1:33" ht="11.25" customHeight="1" x14ac:dyDescent="0.25">
      <c r="A1539" s="4" t="s">
        <v>28</v>
      </c>
      <c r="B1539" s="4" t="s">
        <v>22</v>
      </c>
      <c r="C1539" s="4" t="s">
        <v>23</v>
      </c>
      <c r="D1539" s="4" t="s">
        <v>24</v>
      </c>
      <c r="E1539" s="4" t="s">
        <v>24</v>
      </c>
      <c r="F1539" s="4" t="s">
        <v>25</v>
      </c>
      <c r="G1539" s="4" t="s">
        <v>25</v>
      </c>
      <c r="H1539" s="4" t="s">
        <v>25</v>
      </c>
      <c r="I1539" s="5">
        <v>44531</v>
      </c>
      <c r="J1539" s="6">
        <v>0</v>
      </c>
      <c r="K1539" s="6">
        <v>0</v>
      </c>
      <c r="L1539" s="6">
        <v>2269.3209999999999</v>
      </c>
      <c r="M1539" s="6">
        <v>2269.3209999999999</v>
      </c>
      <c r="N1539" s="6">
        <v>2269.3209999999999</v>
      </c>
      <c r="O1539" s="6">
        <v>2269.3209999999999</v>
      </c>
      <c r="P1539" s="6">
        <v>15579</v>
      </c>
      <c r="Q1539" s="4" t="s">
        <v>26</v>
      </c>
      <c r="R1539" s="4">
        <v>0</v>
      </c>
      <c r="S1539" s="6">
        <v>0</v>
      </c>
      <c r="T1539" s="6">
        <v>2</v>
      </c>
      <c r="U1539" s="6">
        <v>72</v>
      </c>
      <c r="V1539" s="6">
        <f>IF(ISERROR(VLOOKUP($S$1539,'TAR FIN'!$A$1:$O$104,15,0)),0,VLOOKUP($S$1539,'TAR FIN'!$A$1:$O$104,15,0))</f>
        <v>0</v>
      </c>
      <c r="W1539" s="6">
        <f>IF(ISERROR(VLOOKUP($T$1539,'TAR FIN'!$A$1:$O$104,15,0)),0,VLOOKUP($T$1539,'TAR FIN'!$A$1:$O$104,15,0))</f>
        <v>341.2</v>
      </c>
      <c r="X1539" s="6">
        <f>IF(ISERROR(VLOOKUP($U$1539,'TAR FIN'!$A$1:$O$104,15,0)),0,VLOOKUP($U$1539,'TAR FIN'!$A$1:$O$104,15,0))</f>
        <v>255.72</v>
      </c>
      <c r="Y1539" s="6"/>
      <c r="Z1539" s="6">
        <f ca="1">('TUSD BE'!$AM$34+'TUSD BF'!$AM$34+'TUSD CVA'!$AM$34)*1</f>
        <v>356.61002995987536</v>
      </c>
      <c r="AA1539" s="6">
        <f>('TE BE'!$AB$13+'TE BF'!$AB$13+'TE CVA'!$AB$13)*1</f>
        <v>242.47071701268419</v>
      </c>
      <c r="AB1539" s="6">
        <f>$K$1539*$V$1539</f>
        <v>0</v>
      </c>
      <c r="AC1539" s="6">
        <f>$M$1539*$W$1539</f>
        <v>774292.32519999996</v>
      </c>
      <c r="AD1539" s="6">
        <f>$O$1539*$X$1539</f>
        <v>580310.76611999993</v>
      </c>
      <c r="AE1539" s="6">
        <f>$K$1539*$Y$1539</f>
        <v>0</v>
      </c>
      <c r="AF1539" s="6">
        <f ca="1">$M$1539*$Z$1539</f>
        <v>809262.62979857426</v>
      </c>
      <c r="AG1539" s="6">
        <f>$O$1539*$AA$1539</f>
        <v>550243.89000194147</v>
      </c>
    </row>
    <row r="1540" spans="1:33" ht="11.25" customHeight="1" x14ac:dyDescent="0.25">
      <c r="A1540" s="4" t="s">
        <v>28</v>
      </c>
      <c r="B1540" s="4" t="s">
        <v>22</v>
      </c>
      <c r="C1540" s="4" t="s">
        <v>23</v>
      </c>
      <c r="D1540" s="4" t="s">
        <v>24</v>
      </c>
      <c r="E1540" s="4" t="s">
        <v>24</v>
      </c>
      <c r="F1540" s="4" t="s">
        <v>25</v>
      </c>
      <c r="G1540" s="4" t="s">
        <v>25</v>
      </c>
      <c r="H1540" s="4" t="s">
        <v>25</v>
      </c>
      <c r="I1540" s="5">
        <v>44531</v>
      </c>
      <c r="J1540" s="6">
        <v>0</v>
      </c>
      <c r="K1540" s="6">
        <v>0</v>
      </c>
      <c r="L1540" s="6">
        <v>-5.375</v>
      </c>
      <c r="M1540" s="6">
        <v>-5.375</v>
      </c>
      <c r="N1540" s="6">
        <v>-5.375</v>
      </c>
      <c r="O1540" s="6">
        <v>-5.375</v>
      </c>
      <c r="P1540" s="6">
        <v>0</v>
      </c>
      <c r="Q1540" s="4" t="s">
        <v>26</v>
      </c>
      <c r="R1540" s="4">
        <v>0</v>
      </c>
      <c r="S1540" s="6">
        <v>0</v>
      </c>
      <c r="T1540" s="6">
        <v>2</v>
      </c>
      <c r="U1540" s="6">
        <v>72</v>
      </c>
      <c r="V1540" s="6">
        <f>IF(ISERROR(VLOOKUP($S$1540,'TAR FIN'!$A$1:$O$104,15,0)),0,VLOOKUP($S$1540,'TAR FIN'!$A$1:$O$104,15,0))</f>
        <v>0</v>
      </c>
      <c r="W1540" s="6">
        <f>IF(ISERROR(VLOOKUP($T$1540,'TAR FIN'!$A$1:$O$104,15,0)),0,VLOOKUP($T$1540,'TAR FIN'!$A$1:$O$104,15,0))</f>
        <v>341.2</v>
      </c>
      <c r="X1540" s="6">
        <f>IF(ISERROR(VLOOKUP($U$1540,'TAR FIN'!$A$1:$O$104,15,0)),0,VLOOKUP($U$1540,'TAR FIN'!$A$1:$O$104,15,0))</f>
        <v>255.72</v>
      </c>
      <c r="Y1540" s="6"/>
      <c r="Z1540" s="6">
        <f ca="1">('TUSD BE'!$AM$34+'TUSD BF'!$AM$34+'TUSD CVA'!$AM$34)*1</f>
        <v>356.61002995987536</v>
      </c>
      <c r="AA1540" s="6">
        <f>('TE BE'!$AB$13+'TE BF'!$AB$13+'TE CVA'!$AB$13)*1</f>
        <v>242.47071701268419</v>
      </c>
      <c r="AB1540" s="6">
        <f>$K$1540*$V$1540</f>
        <v>0</v>
      </c>
      <c r="AC1540" s="6">
        <f>$M$1540*$W$1540</f>
        <v>-1833.95</v>
      </c>
      <c r="AD1540" s="6">
        <f>$O$1540*$X$1540</f>
        <v>-1374.4949999999999</v>
      </c>
      <c r="AE1540" s="6">
        <f>$K$1540*$Y$1540</f>
        <v>0</v>
      </c>
      <c r="AF1540" s="6">
        <f ca="1">$M$1540*$Z$1540</f>
        <v>-1916.7789110343301</v>
      </c>
      <c r="AG1540" s="6">
        <f>$O$1540*$AA$1540</f>
        <v>-1303.2801039431774</v>
      </c>
    </row>
    <row r="1541" spans="1:33" ht="11.25" customHeight="1" x14ac:dyDescent="0.25">
      <c r="A1541" s="4" t="s">
        <v>21</v>
      </c>
      <c r="B1541" s="4" t="s">
        <v>22</v>
      </c>
      <c r="C1541" s="4" t="s">
        <v>23</v>
      </c>
      <c r="D1541" s="4" t="s">
        <v>24</v>
      </c>
      <c r="E1541" s="4" t="s">
        <v>24</v>
      </c>
      <c r="F1541" s="4" t="s">
        <v>25</v>
      </c>
      <c r="G1541" s="4" t="s">
        <v>25</v>
      </c>
      <c r="H1541" s="4" t="s">
        <v>25</v>
      </c>
      <c r="I1541" s="5">
        <v>44562</v>
      </c>
      <c r="J1541" s="6">
        <v>0</v>
      </c>
      <c r="K1541" s="6">
        <v>0</v>
      </c>
      <c r="L1541" s="6">
        <v>121336.83900000001</v>
      </c>
      <c r="M1541" s="6">
        <v>121336.83900000001</v>
      </c>
      <c r="N1541" s="6">
        <v>121336.83900000001</v>
      </c>
      <c r="O1541" s="6">
        <v>121336.83900000001</v>
      </c>
      <c r="P1541" s="6">
        <v>792015</v>
      </c>
      <c r="Q1541" s="4" t="s">
        <v>26</v>
      </c>
      <c r="R1541" s="4">
        <v>0</v>
      </c>
      <c r="S1541" s="6">
        <v>0</v>
      </c>
      <c r="T1541" s="6">
        <v>2</v>
      </c>
      <c r="U1541" s="6">
        <v>72</v>
      </c>
      <c r="V1541" s="6">
        <f>IF(ISERROR(VLOOKUP($S$1541,'TAR FIN'!$A$1:$O$104,15,0)),0,VLOOKUP($S$1541,'TAR FIN'!$A$1:$O$104,15,0))</f>
        <v>0</v>
      </c>
      <c r="W1541" s="6">
        <f>IF(ISERROR(VLOOKUP($T$1541,'TAR FIN'!$A$1:$O$104,15,0)),0,VLOOKUP($T$1541,'TAR FIN'!$A$1:$O$104,15,0))</f>
        <v>341.2</v>
      </c>
      <c r="X1541" s="6">
        <f>IF(ISERROR(VLOOKUP($U$1541,'TAR FIN'!$A$1:$O$104,15,0)),0,VLOOKUP($U$1541,'TAR FIN'!$A$1:$O$104,15,0))</f>
        <v>255.72</v>
      </c>
      <c r="Y1541" s="6"/>
      <c r="Z1541" s="6">
        <f ca="1">('TUSD BE'!$AM$34+'TUSD BF'!$AM$34+'TUSD CVA'!$AM$34)*1</f>
        <v>356.61002995987536</v>
      </c>
      <c r="AA1541" s="6">
        <f>('TE BE'!$AB$13+'TE BF'!$AB$13+'TE CVA'!$AB$13)*1</f>
        <v>242.47071701268419</v>
      </c>
      <c r="AB1541" s="6">
        <f>$K$1541*$V$1541</f>
        <v>0</v>
      </c>
      <c r="AC1541" s="6">
        <f>$M$1541*$W$1541</f>
        <v>41400129.466800004</v>
      </c>
      <c r="AD1541" s="6">
        <f>$O$1541*$X$1541</f>
        <v>31028256.469080001</v>
      </c>
      <c r="AE1541" s="6">
        <f>$K$1541*$Y$1541</f>
        <v>0</v>
      </c>
      <c r="AF1541" s="6">
        <f ca="1">$M$1541*$Z$1541</f>
        <v>43269933.791026577</v>
      </c>
      <c r="AG1541" s="6">
        <f>$O$1541*$AA$1541</f>
        <v>29420630.352382623</v>
      </c>
    </row>
    <row r="1542" spans="1:33" ht="11.25" customHeight="1" x14ac:dyDescent="0.25">
      <c r="A1542" s="4" t="s">
        <v>27</v>
      </c>
      <c r="B1542" s="4" t="s">
        <v>22</v>
      </c>
      <c r="C1542" s="4" t="s">
        <v>23</v>
      </c>
      <c r="D1542" s="4" t="s">
        <v>24</v>
      </c>
      <c r="E1542" s="4" t="s">
        <v>24</v>
      </c>
      <c r="F1542" s="4" t="s">
        <v>25</v>
      </c>
      <c r="G1542" s="4" t="s">
        <v>25</v>
      </c>
      <c r="H1542" s="4" t="s">
        <v>25</v>
      </c>
      <c r="I1542" s="5">
        <v>44562</v>
      </c>
      <c r="J1542" s="6">
        <v>0</v>
      </c>
      <c r="K1542" s="6">
        <v>0</v>
      </c>
      <c r="L1542" s="6">
        <v>-128.55699999999999</v>
      </c>
      <c r="M1542" s="6">
        <v>-128.55699999999999</v>
      </c>
      <c r="N1542" s="6">
        <v>-128.55699999999999</v>
      </c>
      <c r="O1542" s="6">
        <v>-128.55699999999999</v>
      </c>
      <c r="P1542" s="6">
        <v>-44</v>
      </c>
      <c r="Q1542" s="4" t="s">
        <v>26</v>
      </c>
      <c r="R1542" s="4">
        <v>0</v>
      </c>
      <c r="S1542" s="6">
        <v>0</v>
      </c>
      <c r="T1542" s="6">
        <v>2</v>
      </c>
      <c r="U1542" s="6">
        <v>72</v>
      </c>
      <c r="V1542" s="6">
        <f>IF(ISERROR(VLOOKUP($S$1542,'TAR FIN'!$A$1:$O$104,15,0)),0,VLOOKUP($S$1542,'TAR FIN'!$A$1:$O$104,15,0))</f>
        <v>0</v>
      </c>
      <c r="W1542" s="6">
        <f>IF(ISERROR(VLOOKUP($T$1542,'TAR FIN'!$A$1:$O$104,15,0)),0,VLOOKUP($T$1542,'TAR FIN'!$A$1:$O$104,15,0))</f>
        <v>341.2</v>
      </c>
      <c r="X1542" s="6">
        <f>IF(ISERROR(VLOOKUP($U$1542,'TAR FIN'!$A$1:$O$104,15,0)),0,VLOOKUP($U$1542,'TAR FIN'!$A$1:$O$104,15,0))</f>
        <v>255.72</v>
      </c>
      <c r="Y1542" s="6"/>
      <c r="Z1542" s="6">
        <f ca="1">('TUSD BE'!$AM$34+'TUSD BF'!$AM$34+'TUSD CVA'!$AM$34)*1</f>
        <v>356.61002995987536</v>
      </c>
      <c r="AA1542" s="6">
        <f>('TE BE'!$AB$13+'TE BF'!$AB$13+'TE CVA'!$AB$13)*1</f>
        <v>242.47071701268419</v>
      </c>
      <c r="AB1542" s="6">
        <f>$K$1542*$V$1542</f>
        <v>0</v>
      </c>
      <c r="AC1542" s="6">
        <f>$M$1542*$W$1542</f>
        <v>-43863.648399999991</v>
      </c>
      <c r="AD1542" s="6">
        <f>$O$1542*$X$1542</f>
        <v>-32874.596039999997</v>
      </c>
      <c r="AE1542" s="6">
        <f>$K$1542*$Y$1542</f>
        <v>0</v>
      </c>
      <c r="AF1542" s="6">
        <f ca="1">$M$1542*$Z$1542</f>
        <v>-45844.715621551695</v>
      </c>
      <c r="AG1542" s="6">
        <f>$O$1542*$AA$1542</f>
        <v>-31171.307966999637</v>
      </c>
    </row>
    <row r="1543" spans="1:33" ht="11.25" customHeight="1" x14ac:dyDescent="0.25">
      <c r="A1543" s="4" t="s">
        <v>28</v>
      </c>
      <c r="B1543" s="4" t="s">
        <v>22</v>
      </c>
      <c r="C1543" s="4" t="s">
        <v>23</v>
      </c>
      <c r="D1543" s="4" t="s">
        <v>24</v>
      </c>
      <c r="E1543" s="4" t="s">
        <v>24</v>
      </c>
      <c r="F1543" s="4" t="s">
        <v>25</v>
      </c>
      <c r="G1543" s="4" t="s">
        <v>25</v>
      </c>
      <c r="H1543" s="4" t="s">
        <v>25</v>
      </c>
      <c r="I1543" s="5">
        <v>44562</v>
      </c>
      <c r="J1543" s="6">
        <v>0</v>
      </c>
      <c r="K1543" s="6">
        <v>0</v>
      </c>
      <c r="L1543" s="6">
        <v>2215.3380000000002</v>
      </c>
      <c r="M1543" s="6">
        <v>2215.3380000000002</v>
      </c>
      <c r="N1543" s="6">
        <v>2215.3380000000002</v>
      </c>
      <c r="O1543" s="6">
        <v>2215.3380000000002</v>
      </c>
      <c r="P1543" s="6">
        <v>16407</v>
      </c>
      <c r="Q1543" s="4" t="s">
        <v>26</v>
      </c>
      <c r="R1543" s="4">
        <v>0</v>
      </c>
      <c r="S1543" s="6">
        <v>0</v>
      </c>
      <c r="T1543" s="6">
        <v>2</v>
      </c>
      <c r="U1543" s="6">
        <v>72</v>
      </c>
      <c r="V1543" s="6">
        <f>IF(ISERROR(VLOOKUP($S$1543,'TAR FIN'!$A$1:$O$104,15,0)),0,VLOOKUP($S$1543,'TAR FIN'!$A$1:$O$104,15,0))</f>
        <v>0</v>
      </c>
      <c r="W1543" s="6">
        <f>IF(ISERROR(VLOOKUP($T$1543,'TAR FIN'!$A$1:$O$104,15,0)),0,VLOOKUP($T$1543,'TAR FIN'!$A$1:$O$104,15,0))</f>
        <v>341.2</v>
      </c>
      <c r="X1543" s="6">
        <f>IF(ISERROR(VLOOKUP($U$1543,'TAR FIN'!$A$1:$O$104,15,0)),0,VLOOKUP($U$1543,'TAR FIN'!$A$1:$O$104,15,0))</f>
        <v>255.72</v>
      </c>
      <c r="Y1543" s="6"/>
      <c r="Z1543" s="6">
        <f ca="1">('TUSD BE'!$AM$34+'TUSD BF'!$AM$34+'TUSD CVA'!$AM$34)*1</f>
        <v>356.61002995987536</v>
      </c>
      <c r="AA1543" s="6">
        <f>('TE BE'!$AB$13+'TE BF'!$AB$13+'TE CVA'!$AB$13)*1</f>
        <v>242.47071701268419</v>
      </c>
      <c r="AB1543" s="6">
        <f>$K$1543*$V$1543</f>
        <v>0</v>
      </c>
      <c r="AC1543" s="6">
        <f>$M$1543*$W$1543</f>
        <v>755873.3256000001</v>
      </c>
      <c r="AD1543" s="6">
        <f>$O$1543*$X$1543</f>
        <v>566506.23336000007</v>
      </c>
      <c r="AE1543" s="6">
        <f>$K$1543*$Y$1543</f>
        <v>0</v>
      </c>
      <c r="AF1543" s="6">
        <f ca="1">$M$1543*$Z$1543</f>
        <v>790011.75055125041</v>
      </c>
      <c r="AG1543" s="6">
        <f>$O$1543*$AA$1543</f>
        <v>537154.59328544582</v>
      </c>
    </row>
    <row r="1544" spans="1:33" ht="11.25" customHeight="1" x14ac:dyDescent="0.25">
      <c r="A1544" s="4" t="s">
        <v>28</v>
      </c>
      <c r="B1544" s="4" t="s">
        <v>22</v>
      </c>
      <c r="C1544" s="4" t="s">
        <v>23</v>
      </c>
      <c r="D1544" s="4" t="s">
        <v>24</v>
      </c>
      <c r="E1544" s="4" t="s">
        <v>24</v>
      </c>
      <c r="F1544" s="4" t="s">
        <v>25</v>
      </c>
      <c r="G1544" s="4" t="s">
        <v>25</v>
      </c>
      <c r="H1544" s="4" t="s">
        <v>25</v>
      </c>
      <c r="I1544" s="5">
        <v>44562</v>
      </c>
      <c r="J1544" s="6">
        <v>0</v>
      </c>
      <c r="K1544" s="6">
        <v>0</v>
      </c>
      <c r="L1544" s="6">
        <v>-4.0309999999999997</v>
      </c>
      <c r="M1544" s="6">
        <v>-4.0309999999999997</v>
      </c>
      <c r="N1544" s="6">
        <v>-4.0309999999999997</v>
      </c>
      <c r="O1544" s="6">
        <v>-4.0309999999999997</v>
      </c>
      <c r="P1544" s="6">
        <v>0</v>
      </c>
      <c r="Q1544" s="4" t="s">
        <v>26</v>
      </c>
      <c r="R1544" s="4">
        <v>0</v>
      </c>
      <c r="S1544" s="6">
        <v>0</v>
      </c>
      <c r="T1544" s="6">
        <v>2</v>
      </c>
      <c r="U1544" s="6">
        <v>72</v>
      </c>
      <c r="V1544" s="6">
        <f>IF(ISERROR(VLOOKUP($S$1544,'TAR FIN'!$A$1:$O$104,15,0)),0,VLOOKUP($S$1544,'TAR FIN'!$A$1:$O$104,15,0))</f>
        <v>0</v>
      </c>
      <c r="W1544" s="6">
        <f>IF(ISERROR(VLOOKUP($T$1544,'TAR FIN'!$A$1:$O$104,15,0)),0,VLOOKUP($T$1544,'TAR FIN'!$A$1:$O$104,15,0))</f>
        <v>341.2</v>
      </c>
      <c r="X1544" s="6">
        <f>IF(ISERROR(VLOOKUP($U$1544,'TAR FIN'!$A$1:$O$104,15,0)),0,VLOOKUP($U$1544,'TAR FIN'!$A$1:$O$104,15,0))</f>
        <v>255.72</v>
      </c>
      <c r="Y1544" s="6"/>
      <c r="Z1544" s="6">
        <f ca="1">('TUSD BE'!$AM$34+'TUSD BF'!$AM$34+'TUSD CVA'!$AM$34)*1</f>
        <v>356.61002995987536</v>
      </c>
      <c r="AA1544" s="6">
        <f>('TE BE'!$AB$13+'TE BF'!$AB$13+'TE CVA'!$AB$13)*1</f>
        <v>242.47071701268419</v>
      </c>
      <c r="AB1544" s="6">
        <f>$K$1544*$V$1544</f>
        <v>0</v>
      </c>
      <c r="AC1544" s="6">
        <f>$M$1544*$W$1544</f>
        <v>-1375.3771999999999</v>
      </c>
      <c r="AD1544" s="6">
        <f>$O$1544*$X$1544</f>
        <v>-1030.8073199999999</v>
      </c>
      <c r="AE1544" s="6">
        <f>$K$1544*$Y$1544</f>
        <v>0</v>
      </c>
      <c r="AF1544" s="6">
        <f ca="1">$M$1544*$Z$1544</f>
        <v>-1437.4950307682575</v>
      </c>
      <c r="AG1544" s="6">
        <f>$O$1544*$AA$1544</f>
        <v>-977.39946027812994</v>
      </c>
    </row>
    <row r="1545" spans="1:33" ht="11.25" customHeight="1" x14ac:dyDescent="0.25">
      <c r="A1545" s="4" t="s">
        <v>21</v>
      </c>
      <c r="B1545" s="4" t="s">
        <v>22</v>
      </c>
      <c r="C1545" s="4" t="s">
        <v>23</v>
      </c>
      <c r="D1545" s="4" t="s">
        <v>24</v>
      </c>
      <c r="E1545" s="4" t="s">
        <v>24</v>
      </c>
      <c r="F1545" s="4" t="s">
        <v>25</v>
      </c>
      <c r="G1545" s="4" t="s">
        <v>25</v>
      </c>
      <c r="H1545" s="4" t="s">
        <v>25</v>
      </c>
      <c r="I1545" s="5">
        <v>44593</v>
      </c>
      <c r="J1545" s="6">
        <v>0</v>
      </c>
      <c r="K1545" s="6">
        <v>0</v>
      </c>
      <c r="L1545" s="6">
        <v>112902.54300000001</v>
      </c>
      <c r="M1545" s="6">
        <v>112902.54300000001</v>
      </c>
      <c r="N1545" s="6">
        <v>112902.54300000001</v>
      </c>
      <c r="O1545" s="6">
        <v>112902.54300000001</v>
      </c>
      <c r="P1545" s="6">
        <v>801600</v>
      </c>
      <c r="Q1545" s="4" t="s">
        <v>26</v>
      </c>
      <c r="R1545" s="4">
        <v>0</v>
      </c>
      <c r="S1545" s="6">
        <v>0</v>
      </c>
      <c r="T1545" s="6">
        <v>2</v>
      </c>
      <c r="U1545" s="6">
        <v>72</v>
      </c>
      <c r="V1545" s="6">
        <f>IF(ISERROR(VLOOKUP($S$1545,'TAR FIN'!$A$1:$O$104,15,0)),0,VLOOKUP($S$1545,'TAR FIN'!$A$1:$O$104,15,0))</f>
        <v>0</v>
      </c>
      <c r="W1545" s="6">
        <f>IF(ISERROR(VLOOKUP($T$1545,'TAR FIN'!$A$1:$O$104,15,0)),0,VLOOKUP($T$1545,'TAR FIN'!$A$1:$O$104,15,0))</f>
        <v>341.2</v>
      </c>
      <c r="X1545" s="6">
        <f>IF(ISERROR(VLOOKUP($U$1545,'TAR FIN'!$A$1:$O$104,15,0)),0,VLOOKUP($U$1545,'TAR FIN'!$A$1:$O$104,15,0))</f>
        <v>255.72</v>
      </c>
      <c r="Y1545" s="6"/>
      <c r="Z1545" s="6">
        <f ca="1">('TUSD BE'!$AM$34+'TUSD BF'!$AM$34+'TUSD CVA'!$AM$34)*1</f>
        <v>356.61002995987536</v>
      </c>
      <c r="AA1545" s="6">
        <f>('TE BE'!$AB$13+'TE BF'!$AB$13+'TE CVA'!$AB$13)*1</f>
        <v>242.47071701268419</v>
      </c>
      <c r="AB1545" s="6">
        <f>$K$1545*$V$1545</f>
        <v>0</v>
      </c>
      <c r="AC1545" s="6">
        <f>$M$1545*$W$1545</f>
        <v>38522347.671599999</v>
      </c>
      <c r="AD1545" s="6">
        <f>$O$1545*$X$1545</f>
        <v>28871438.295960002</v>
      </c>
      <c r="AE1545" s="6">
        <f>$K$1545*$Y$1545</f>
        <v>0</v>
      </c>
      <c r="AF1545" s="6">
        <f ca="1">$M$1545*$Z$1545</f>
        <v>40262179.241776116</v>
      </c>
      <c r="AG1545" s="6">
        <f>$O$1545*$AA$1545</f>
        <v>27375560.553765409</v>
      </c>
    </row>
    <row r="1546" spans="1:33" ht="11.25" customHeight="1" x14ac:dyDescent="0.25">
      <c r="A1546" s="4" t="s">
        <v>27</v>
      </c>
      <c r="B1546" s="4" t="s">
        <v>22</v>
      </c>
      <c r="C1546" s="4" t="s">
        <v>23</v>
      </c>
      <c r="D1546" s="4" t="s">
        <v>24</v>
      </c>
      <c r="E1546" s="4" t="s">
        <v>24</v>
      </c>
      <c r="F1546" s="4" t="s">
        <v>25</v>
      </c>
      <c r="G1546" s="4" t="s">
        <v>25</v>
      </c>
      <c r="H1546" s="4" t="s">
        <v>25</v>
      </c>
      <c r="I1546" s="5">
        <v>44593</v>
      </c>
      <c r="J1546" s="6">
        <v>0</v>
      </c>
      <c r="K1546" s="6">
        <v>0</v>
      </c>
      <c r="L1546" s="6">
        <v>-304.97699999999998</v>
      </c>
      <c r="M1546" s="6">
        <v>-304.97699999999998</v>
      </c>
      <c r="N1546" s="6">
        <v>-304.97699999999998</v>
      </c>
      <c r="O1546" s="6">
        <v>-304.97699999999998</v>
      </c>
      <c r="P1546" s="6">
        <v>-97</v>
      </c>
      <c r="Q1546" s="4" t="s">
        <v>26</v>
      </c>
      <c r="R1546" s="4">
        <v>0</v>
      </c>
      <c r="S1546" s="6">
        <v>0</v>
      </c>
      <c r="T1546" s="6">
        <v>2</v>
      </c>
      <c r="U1546" s="6">
        <v>72</v>
      </c>
      <c r="V1546" s="6">
        <f>IF(ISERROR(VLOOKUP($S$1546,'TAR FIN'!$A$1:$O$104,15,0)),0,VLOOKUP($S$1546,'TAR FIN'!$A$1:$O$104,15,0))</f>
        <v>0</v>
      </c>
      <c r="W1546" s="6">
        <f>IF(ISERROR(VLOOKUP($T$1546,'TAR FIN'!$A$1:$O$104,15,0)),0,VLOOKUP($T$1546,'TAR FIN'!$A$1:$O$104,15,0))</f>
        <v>341.2</v>
      </c>
      <c r="X1546" s="6">
        <f>IF(ISERROR(VLOOKUP($U$1546,'TAR FIN'!$A$1:$O$104,15,0)),0,VLOOKUP($U$1546,'TAR FIN'!$A$1:$O$104,15,0))</f>
        <v>255.72</v>
      </c>
      <c r="Y1546" s="6"/>
      <c r="Z1546" s="6">
        <f ca="1">('TUSD BE'!$AM$34+'TUSD BF'!$AM$34+'TUSD CVA'!$AM$34)*1</f>
        <v>356.61002995987536</v>
      </c>
      <c r="AA1546" s="6">
        <f>('TE BE'!$AB$13+'TE BF'!$AB$13+'TE CVA'!$AB$13)*1</f>
        <v>242.47071701268419</v>
      </c>
      <c r="AB1546" s="6">
        <f>$K$1546*$V$1546</f>
        <v>0</v>
      </c>
      <c r="AC1546" s="6">
        <f>$M$1546*$W$1546</f>
        <v>-104058.15239999999</v>
      </c>
      <c r="AD1546" s="6">
        <f>$O$1546*$X$1546</f>
        <v>-77988.718439999997</v>
      </c>
      <c r="AE1546" s="6">
        <f>$K$1546*$Y$1546</f>
        <v>0</v>
      </c>
      <c r="AF1546" s="6">
        <f ca="1">$M$1546*$Z$1546</f>
        <v>-108757.85710707289</v>
      </c>
      <c r="AG1546" s="6">
        <f>$O$1546*$AA$1546</f>
        <v>-73947.991862377385</v>
      </c>
    </row>
    <row r="1547" spans="1:33" ht="11.25" customHeight="1" x14ac:dyDescent="0.25">
      <c r="A1547" s="4" t="s">
        <v>28</v>
      </c>
      <c r="B1547" s="4" t="s">
        <v>22</v>
      </c>
      <c r="C1547" s="4" t="s">
        <v>23</v>
      </c>
      <c r="D1547" s="4" t="s">
        <v>24</v>
      </c>
      <c r="E1547" s="4" t="s">
        <v>24</v>
      </c>
      <c r="F1547" s="4" t="s">
        <v>25</v>
      </c>
      <c r="G1547" s="4" t="s">
        <v>25</v>
      </c>
      <c r="H1547" s="4" t="s">
        <v>25</v>
      </c>
      <c r="I1547" s="5">
        <v>44593</v>
      </c>
      <c r="J1547" s="6">
        <v>0</v>
      </c>
      <c r="K1547" s="6">
        <v>0</v>
      </c>
      <c r="L1547" s="6">
        <v>1951.181</v>
      </c>
      <c r="M1547" s="6">
        <v>1951.181</v>
      </c>
      <c r="N1547" s="6">
        <v>1951.181</v>
      </c>
      <c r="O1547" s="6">
        <v>1951.181</v>
      </c>
      <c r="P1547" s="6">
        <v>17311</v>
      </c>
      <c r="Q1547" s="4" t="s">
        <v>26</v>
      </c>
      <c r="R1547" s="4">
        <v>0</v>
      </c>
      <c r="S1547" s="6">
        <v>0</v>
      </c>
      <c r="T1547" s="6">
        <v>2</v>
      </c>
      <c r="U1547" s="6">
        <v>72</v>
      </c>
      <c r="V1547" s="6">
        <f>IF(ISERROR(VLOOKUP($S$1547,'TAR FIN'!$A$1:$O$104,15,0)),0,VLOOKUP($S$1547,'TAR FIN'!$A$1:$O$104,15,0))</f>
        <v>0</v>
      </c>
      <c r="W1547" s="6">
        <f>IF(ISERROR(VLOOKUP($T$1547,'TAR FIN'!$A$1:$O$104,15,0)),0,VLOOKUP($T$1547,'TAR FIN'!$A$1:$O$104,15,0))</f>
        <v>341.2</v>
      </c>
      <c r="X1547" s="6">
        <f>IF(ISERROR(VLOOKUP($U$1547,'TAR FIN'!$A$1:$O$104,15,0)),0,VLOOKUP($U$1547,'TAR FIN'!$A$1:$O$104,15,0))</f>
        <v>255.72</v>
      </c>
      <c r="Y1547" s="6"/>
      <c r="Z1547" s="6">
        <f ca="1">('TUSD BE'!$AM$34+'TUSD BF'!$AM$34+'TUSD CVA'!$AM$34)*1</f>
        <v>356.61002995987536</v>
      </c>
      <c r="AA1547" s="6">
        <f>('TE BE'!$AB$13+'TE BF'!$AB$13+'TE CVA'!$AB$13)*1</f>
        <v>242.47071701268419</v>
      </c>
      <c r="AB1547" s="6">
        <f>$K$1547*$V$1547</f>
        <v>0</v>
      </c>
      <c r="AC1547" s="6">
        <f>$M$1547*$W$1547</f>
        <v>665742.95719999995</v>
      </c>
      <c r="AD1547" s="6">
        <f>$O$1547*$X$1547</f>
        <v>498956.00532</v>
      </c>
      <c r="AE1547" s="6">
        <f>$K$1547*$Y$1547</f>
        <v>0</v>
      </c>
      <c r="AF1547" s="6">
        <f ca="1">$M$1547*$Z$1547</f>
        <v>695810.71486713958</v>
      </c>
      <c r="AG1547" s="6">
        <f>$O$1547*$AA$1547</f>
        <v>473104.25609152619</v>
      </c>
    </row>
    <row r="1548" spans="1:33" ht="11.25" customHeight="1" x14ac:dyDescent="0.25">
      <c r="A1548" s="4" t="s">
        <v>28</v>
      </c>
      <c r="B1548" s="4" t="s">
        <v>22</v>
      </c>
      <c r="C1548" s="4" t="s">
        <v>23</v>
      </c>
      <c r="D1548" s="4" t="s">
        <v>24</v>
      </c>
      <c r="E1548" s="4" t="s">
        <v>24</v>
      </c>
      <c r="F1548" s="4" t="s">
        <v>25</v>
      </c>
      <c r="G1548" s="4" t="s">
        <v>25</v>
      </c>
      <c r="H1548" s="4" t="s">
        <v>25</v>
      </c>
      <c r="I1548" s="5">
        <v>44593</v>
      </c>
      <c r="J1548" s="6">
        <v>0</v>
      </c>
      <c r="K1548" s="6">
        <v>0</v>
      </c>
      <c r="L1548" s="6">
        <v>1.869</v>
      </c>
      <c r="M1548" s="6">
        <v>1.869</v>
      </c>
      <c r="N1548" s="6">
        <v>1.869</v>
      </c>
      <c r="O1548" s="6">
        <v>1.869</v>
      </c>
      <c r="P1548" s="6">
        <v>0</v>
      </c>
      <c r="Q1548" s="4" t="s">
        <v>26</v>
      </c>
      <c r="R1548" s="4">
        <v>0</v>
      </c>
      <c r="S1548" s="6">
        <v>0</v>
      </c>
      <c r="T1548" s="6">
        <v>2</v>
      </c>
      <c r="U1548" s="6">
        <v>72</v>
      </c>
      <c r="V1548" s="6">
        <f>IF(ISERROR(VLOOKUP($S$1548,'TAR FIN'!$A$1:$O$104,15,0)),0,VLOOKUP($S$1548,'TAR FIN'!$A$1:$O$104,15,0))</f>
        <v>0</v>
      </c>
      <c r="W1548" s="6">
        <f>IF(ISERROR(VLOOKUP($T$1548,'TAR FIN'!$A$1:$O$104,15,0)),0,VLOOKUP($T$1548,'TAR FIN'!$A$1:$O$104,15,0))</f>
        <v>341.2</v>
      </c>
      <c r="X1548" s="6">
        <f>IF(ISERROR(VLOOKUP($U$1548,'TAR FIN'!$A$1:$O$104,15,0)),0,VLOOKUP($U$1548,'TAR FIN'!$A$1:$O$104,15,0))</f>
        <v>255.72</v>
      </c>
      <c r="Y1548" s="6"/>
      <c r="Z1548" s="6">
        <f ca="1">('TUSD BE'!$AM$34+'TUSD BF'!$AM$34+'TUSD CVA'!$AM$34)*1</f>
        <v>356.61002995987536</v>
      </c>
      <c r="AA1548" s="6">
        <f>('TE BE'!$AB$13+'TE BF'!$AB$13+'TE CVA'!$AB$13)*1</f>
        <v>242.47071701268419</v>
      </c>
      <c r="AB1548" s="6">
        <f>$K$1548*$V$1548</f>
        <v>0</v>
      </c>
      <c r="AC1548" s="6">
        <f>$M$1548*$W$1548</f>
        <v>637.70280000000002</v>
      </c>
      <c r="AD1548" s="6">
        <f>$O$1548*$X$1548</f>
        <v>477.94067999999999</v>
      </c>
      <c r="AE1548" s="6">
        <f>$K$1548*$Y$1548</f>
        <v>0</v>
      </c>
      <c r="AF1548" s="6">
        <f ca="1">$M$1548*$Z$1548</f>
        <v>666.50414599500709</v>
      </c>
      <c r="AG1548" s="6">
        <f>$O$1548*$AA$1548</f>
        <v>453.17777009670675</v>
      </c>
    </row>
    <row r="1549" spans="1:33" ht="11.25" customHeight="1" x14ac:dyDescent="0.25">
      <c r="A1549" s="4" t="s">
        <v>21</v>
      </c>
      <c r="B1549" s="4" t="s">
        <v>22</v>
      </c>
      <c r="C1549" s="4" t="s">
        <v>23</v>
      </c>
      <c r="D1549" s="4" t="s">
        <v>24</v>
      </c>
      <c r="E1549" s="4" t="s">
        <v>24</v>
      </c>
      <c r="F1549" s="4" t="s">
        <v>25</v>
      </c>
      <c r="G1549" s="4" t="s">
        <v>25</v>
      </c>
      <c r="H1549" s="4" t="s">
        <v>25</v>
      </c>
      <c r="I1549" s="5">
        <v>44621</v>
      </c>
      <c r="J1549" s="6">
        <v>0</v>
      </c>
      <c r="K1549" s="6">
        <v>0</v>
      </c>
      <c r="L1549" s="6">
        <v>126448.63</v>
      </c>
      <c r="M1549" s="6">
        <v>126448.63</v>
      </c>
      <c r="N1549" s="6">
        <v>126448.63</v>
      </c>
      <c r="O1549" s="6">
        <v>126448.63</v>
      </c>
      <c r="P1549" s="6">
        <v>797344</v>
      </c>
      <c r="Q1549" s="4" t="s">
        <v>26</v>
      </c>
      <c r="R1549" s="4">
        <v>0</v>
      </c>
      <c r="S1549" s="6">
        <v>0</v>
      </c>
      <c r="T1549" s="6">
        <v>2</v>
      </c>
      <c r="U1549" s="6">
        <v>72</v>
      </c>
      <c r="V1549" s="6">
        <f>IF(ISERROR(VLOOKUP($S$1549,'TAR FIN'!$A$1:$O$104,15,0)),0,VLOOKUP($S$1549,'TAR FIN'!$A$1:$O$104,15,0))</f>
        <v>0</v>
      </c>
      <c r="W1549" s="6">
        <f>IF(ISERROR(VLOOKUP($T$1549,'TAR FIN'!$A$1:$O$104,15,0)),0,VLOOKUP($T$1549,'TAR FIN'!$A$1:$O$104,15,0))</f>
        <v>341.2</v>
      </c>
      <c r="X1549" s="6">
        <f>IF(ISERROR(VLOOKUP($U$1549,'TAR FIN'!$A$1:$O$104,15,0)),0,VLOOKUP($U$1549,'TAR FIN'!$A$1:$O$104,15,0))</f>
        <v>255.72</v>
      </c>
      <c r="Y1549" s="6"/>
      <c r="Z1549" s="6">
        <f ca="1">('TUSD BE'!$AM$34+'TUSD BF'!$AM$34+'TUSD CVA'!$AM$34)*1</f>
        <v>356.61002995987536</v>
      </c>
      <c r="AA1549" s="6">
        <f>('TE BE'!$AB$13+'TE BF'!$AB$13+'TE CVA'!$AB$13)*1</f>
        <v>242.47071701268419</v>
      </c>
      <c r="AB1549" s="6">
        <f>$K$1549*$V$1549</f>
        <v>0</v>
      </c>
      <c r="AC1549" s="6">
        <f>$M$1549*$W$1549</f>
        <v>43144272.556000002</v>
      </c>
      <c r="AD1549" s="6">
        <f>$O$1549*$X$1549</f>
        <v>32335443.663600001</v>
      </c>
      <c r="AE1549" s="6">
        <f>$K$1549*$Y$1549</f>
        <v>0</v>
      </c>
      <c r="AF1549" s="6">
        <f ca="1">$M$1549*$Z$1549</f>
        <v>45092849.732685193</v>
      </c>
      <c r="AG1549" s="6">
        <f>$O$1549*$AA$1549</f>
        <v>30660089.981371611</v>
      </c>
    </row>
    <row r="1550" spans="1:33" ht="11.25" customHeight="1" x14ac:dyDescent="0.25">
      <c r="A1550" s="4" t="s">
        <v>27</v>
      </c>
      <c r="B1550" s="4" t="s">
        <v>22</v>
      </c>
      <c r="C1550" s="4" t="s">
        <v>23</v>
      </c>
      <c r="D1550" s="4" t="s">
        <v>24</v>
      </c>
      <c r="E1550" s="4" t="s">
        <v>24</v>
      </c>
      <c r="F1550" s="4" t="s">
        <v>25</v>
      </c>
      <c r="G1550" s="4" t="s">
        <v>25</v>
      </c>
      <c r="H1550" s="4" t="s">
        <v>25</v>
      </c>
      <c r="I1550" s="5">
        <v>44621</v>
      </c>
      <c r="J1550" s="6">
        <v>0</v>
      </c>
      <c r="K1550" s="6">
        <v>0</v>
      </c>
      <c r="L1550" s="6">
        <v>-390.02300000000002</v>
      </c>
      <c r="M1550" s="6">
        <v>-390.02300000000002</v>
      </c>
      <c r="N1550" s="6">
        <v>-390.02300000000002</v>
      </c>
      <c r="O1550" s="6">
        <v>-390.02300000000002</v>
      </c>
      <c r="P1550" s="6">
        <v>-101</v>
      </c>
      <c r="Q1550" s="4" t="s">
        <v>26</v>
      </c>
      <c r="R1550" s="4">
        <v>0</v>
      </c>
      <c r="S1550" s="6">
        <v>0</v>
      </c>
      <c r="T1550" s="6">
        <v>2</v>
      </c>
      <c r="U1550" s="6">
        <v>72</v>
      </c>
      <c r="V1550" s="6">
        <f>IF(ISERROR(VLOOKUP($S$1550,'TAR FIN'!$A$1:$O$104,15,0)),0,VLOOKUP($S$1550,'TAR FIN'!$A$1:$O$104,15,0))</f>
        <v>0</v>
      </c>
      <c r="W1550" s="6">
        <f>IF(ISERROR(VLOOKUP($T$1550,'TAR FIN'!$A$1:$O$104,15,0)),0,VLOOKUP($T$1550,'TAR FIN'!$A$1:$O$104,15,0))</f>
        <v>341.2</v>
      </c>
      <c r="X1550" s="6">
        <f>IF(ISERROR(VLOOKUP($U$1550,'TAR FIN'!$A$1:$O$104,15,0)),0,VLOOKUP($U$1550,'TAR FIN'!$A$1:$O$104,15,0))</f>
        <v>255.72</v>
      </c>
      <c r="Y1550" s="6"/>
      <c r="Z1550" s="6">
        <f ca="1">('TUSD BE'!$AM$34+'TUSD BF'!$AM$34+'TUSD CVA'!$AM$34)*1</f>
        <v>356.61002995987536</v>
      </c>
      <c r="AA1550" s="6">
        <f>('TE BE'!$AB$13+'TE BF'!$AB$13+'TE CVA'!$AB$13)*1</f>
        <v>242.47071701268419</v>
      </c>
      <c r="AB1550" s="6">
        <f>$K$1550*$V$1550</f>
        <v>0</v>
      </c>
      <c r="AC1550" s="6">
        <f>$M$1550*$W$1550</f>
        <v>-133075.84760000001</v>
      </c>
      <c r="AD1550" s="6">
        <f>$O$1550*$X$1550</f>
        <v>-99736.681560000012</v>
      </c>
      <c r="AE1550" s="6">
        <f>$K$1550*$Y$1550</f>
        <v>0</v>
      </c>
      <c r="AF1550" s="6">
        <f ca="1">$M$1550*$Z$1550</f>
        <v>-139086.11371504047</v>
      </c>
      <c r="AG1550" s="6">
        <f>$O$1550*$AA$1550</f>
        <v>-94569.156461438135</v>
      </c>
    </row>
    <row r="1551" spans="1:33" ht="11.25" customHeight="1" x14ac:dyDescent="0.25">
      <c r="A1551" s="4" t="s">
        <v>28</v>
      </c>
      <c r="B1551" s="4" t="s">
        <v>22</v>
      </c>
      <c r="C1551" s="4" t="s">
        <v>23</v>
      </c>
      <c r="D1551" s="4" t="s">
        <v>24</v>
      </c>
      <c r="E1551" s="4" t="s">
        <v>24</v>
      </c>
      <c r="F1551" s="4" t="s">
        <v>25</v>
      </c>
      <c r="G1551" s="4" t="s">
        <v>25</v>
      </c>
      <c r="H1551" s="4" t="s">
        <v>25</v>
      </c>
      <c r="I1551" s="5">
        <v>44621</v>
      </c>
      <c r="J1551" s="6">
        <v>0</v>
      </c>
      <c r="K1551" s="6">
        <v>0</v>
      </c>
      <c r="L1551" s="6">
        <v>2250.663</v>
      </c>
      <c r="M1551" s="6">
        <v>2250.663</v>
      </c>
      <c r="N1551" s="6">
        <v>2250.663</v>
      </c>
      <c r="O1551" s="6">
        <v>2250.663</v>
      </c>
      <c r="P1551" s="6">
        <v>18160</v>
      </c>
      <c r="Q1551" s="4" t="s">
        <v>26</v>
      </c>
      <c r="R1551" s="4">
        <v>0</v>
      </c>
      <c r="S1551" s="6">
        <v>0</v>
      </c>
      <c r="T1551" s="6">
        <v>2</v>
      </c>
      <c r="U1551" s="6">
        <v>72</v>
      </c>
      <c r="V1551" s="6">
        <f>IF(ISERROR(VLOOKUP($S$1551,'TAR FIN'!$A$1:$O$104,15,0)),0,VLOOKUP($S$1551,'TAR FIN'!$A$1:$O$104,15,0))</f>
        <v>0</v>
      </c>
      <c r="W1551" s="6">
        <f>IF(ISERROR(VLOOKUP($T$1551,'TAR FIN'!$A$1:$O$104,15,0)),0,VLOOKUP($T$1551,'TAR FIN'!$A$1:$O$104,15,0))</f>
        <v>341.2</v>
      </c>
      <c r="X1551" s="6">
        <f>IF(ISERROR(VLOOKUP($U$1551,'TAR FIN'!$A$1:$O$104,15,0)),0,VLOOKUP($U$1551,'TAR FIN'!$A$1:$O$104,15,0))</f>
        <v>255.72</v>
      </c>
      <c r="Y1551" s="6"/>
      <c r="Z1551" s="6">
        <f ca="1">('TUSD BE'!$AM$34+'TUSD BF'!$AM$34+'TUSD CVA'!$AM$34)*1</f>
        <v>356.61002995987536</v>
      </c>
      <c r="AA1551" s="6">
        <f>('TE BE'!$AB$13+'TE BF'!$AB$13+'TE CVA'!$AB$13)*1</f>
        <v>242.47071701268419</v>
      </c>
      <c r="AB1551" s="6">
        <f>$K$1551*$V$1551</f>
        <v>0</v>
      </c>
      <c r="AC1551" s="6">
        <f>$M$1551*$W$1551</f>
        <v>767926.2156</v>
      </c>
      <c r="AD1551" s="6">
        <f>$O$1551*$X$1551</f>
        <v>575539.54235999996</v>
      </c>
      <c r="AE1551" s="6">
        <f>$K$1551*$Y$1551</f>
        <v>0</v>
      </c>
      <c r="AF1551" s="6">
        <f ca="1">$M$1551*$Z$1551</f>
        <v>802608.99985958298</v>
      </c>
      <c r="AG1551" s="6">
        <f>$O$1551*$AA$1551</f>
        <v>545719.87136391888</v>
      </c>
    </row>
    <row r="1552" spans="1:33" ht="11.25" customHeight="1" x14ac:dyDescent="0.25">
      <c r="A1552" s="4" t="s">
        <v>28</v>
      </c>
      <c r="B1552" s="4" t="s">
        <v>22</v>
      </c>
      <c r="C1552" s="4" t="s">
        <v>23</v>
      </c>
      <c r="D1552" s="4" t="s">
        <v>24</v>
      </c>
      <c r="E1552" s="4" t="s">
        <v>24</v>
      </c>
      <c r="F1552" s="4" t="s">
        <v>25</v>
      </c>
      <c r="G1552" s="4" t="s">
        <v>25</v>
      </c>
      <c r="H1552" s="4" t="s">
        <v>25</v>
      </c>
      <c r="I1552" s="5">
        <v>44621</v>
      </c>
      <c r="J1552" s="6">
        <v>0</v>
      </c>
      <c r="K1552" s="6">
        <v>0</v>
      </c>
      <c r="L1552" s="6">
        <v>-3.347</v>
      </c>
      <c r="M1552" s="6">
        <v>-3.347</v>
      </c>
      <c r="N1552" s="6">
        <v>-3.347</v>
      </c>
      <c r="O1552" s="6">
        <v>-3.347</v>
      </c>
      <c r="P1552" s="6">
        <v>0</v>
      </c>
      <c r="Q1552" s="4" t="s">
        <v>26</v>
      </c>
      <c r="R1552" s="4">
        <v>0</v>
      </c>
      <c r="S1552" s="6">
        <v>0</v>
      </c>
      <c r="T1552" s="6">
        <v>2</v>
      </c>
      <c r="U1552" s="6">
        <v>72</v>
      </c>
      <c r="V1552" s="6">
        <f>IF(ISERROR(VLOOKUP($S$1552,'TAR FIN'!$A$1:$O$104,15,0)),0,VLOOKUP($S$1552,'TAR FIN'!$A$1:$O$104,15,0))</f>
        <v>0</v>
      </c>
      <c r="W1552" s="6">
        <f>IF(ISERROR(VLOOKUP($T$1552,'TAR FIN'!$A$1:$O$104,15,0)),0,VLOOKUP($T$1552,'TAR FIN'!$A$1:$O$104,15,0))</f>
        <v>341.2</v>
      </c>
      <c r="X1552" s="6">
        <f>IF(ISERROR(VLOOKUP($U$1552,'TAR FIN'!$A$1:$O$104,15,0)),0,VLOOKUP($U$1552,'TAR FIN'!$A$1:$O$104,15,0))</f>
        <v>255.72</v>
      </c>
      <c r="Y1552" s="6"/>
      <c r="Z1552" s="6">
        <f ca="1">('TUSD BE'!$AM$34+'TUSD BF'!$AM$34+'TUSD CVA'!$AM$34)*1</f>
        <v>356.61002995987536</v>
      </c>
      <c r="AA1552" s="6">
        <f>('TE BE'!$AB$13+'TE BF'!$AB$13+'TE CVA'!$AB$13)*1</f>
        <v>242.47071701268419</v>
      </c>
      <c r="AB1552" s="6">
        <f>$K$1552*$V$1552</f>
        <v>0</v>
      </c>
      <c r="AC1552" s="6">
        <f>$M$1552*$W$1552</f>
        <v>-1141.9964</v>
      </c>
      <c r="AD1552" s="6">
        <f>$O$1552*$X$1552</f>
        <v>-855.89484000000004</v>
      </c>
      <c r="AE1552" s="6">
        <f>$K$1552*$Y$1552</f>
        <v>0</v>
      </c>
      <c r="AF1552" s="6">
        <f ca="1">$M$1552*$Z$1552</f>
        <v>-1193.5737702757028</v>
      </c>
      <c r="AG1552" s="6">
        <f>$O$1552*$AA$1552</f>
        <v>-811.54948984145403</v>
      </c>
    </row>
    <row r="1553" spans="1:33" ht="11.25" customHeight="1" x14ac:dyDescent="0.25">
      <c r="A1553" s="4" t="s">
        <v>21</v>
      </c>
      <c r="B1553" s="4" t="s">
        <v>22</v>
      </c>
      <c r="C1553" s="4" t="s">
        <v>23</v>
      </c>
      <c r="D1553" s="4" t="s">
        <v>24</v>
      </c>
      <c r="E1553" s="4" t="s">
        <v>24</v>
      </c>
      <c r="F1553" s="4" t="s">
        <v>25</v>
      </c>
      <c r="G1553" s="4" t="s">
        <v>25</v>
      </c>
      <c r="H1553" s="4" t="s">
        <v>25</v>
      </c>
      <c r="I1553" s="5">
        <v>44652</v>
      </c>
      <c r="J1553" s="6">
        <v>0</v>
      </c>
      <c r="K1553" s="6">
        <v>0</v>
      </c>
      <c r="L1553" s="6">
        <v>116882.645</v>
      </c>
      <c r="M1553" s="6">
        <v>116882.645</v>
      </c>
      <c r="N1553" s="6">
        <v>116882.645</v>
      </c>
      <c r="O1553" s="6">
        <v>116882.645</v>
      </c>
      <c r="P1553" s="6">
        <v>793077</v>
      </c>
      <c r="Q1553" s="4" t="s">
        <v>26</v>
      </c>
      <c r="R1553" s="4">
        <v>0</v>
      </c>
      <c r="S1553" s="6">
        <v>0</v>
      </c>
      <c r="T1553" s="6">
        <v>2</v>
      </c>
      <c r="U1553" s="6">
        <v>72</v>
      </c>
      <c r="V1553" s="6">
        <f>IF(ISERROR(VLOOKUP($S$1553,'TAR FIN'!$A$1:$O$104,15,0)),0,VLOOKUP($S$1553,'TAR FIN'!$A$1:$O$104,15,0))</f>
        <v>0</v>
      </c>
      <c r="W1553" s="6">
        <f>IF(ISERROR(VLOOKUP($T$1553,'TAR FIN'!$A$1:$O$104,15,0)),0,VLOOKUP($T$1553,'TAR FIN'!$A$1:$O$104,15,0))</f>
        <v>341.2</v>
      </c>
      <c r="X1553" s="6">
        <f>IF(ISERROR(VLOOKUP($U$1553,'TAR FIN'!$A$1:$O$104,15,0)),0,VLOOKUP($U$1553,'TAR FIN'!$A$1:$O$104,15,0))</f>
        <v>255.72</v>
      </c>
      <c r="Y1553" s="6"/>
      <c r="Z1553" s="6">
        <f ca="1">('TUSD BE'!$AM$34+'TUSD BF'!$AM$34+'TUSD CVA'!$AM$34)*1</f>
        <v>356.61002995987536</v>
      </c>
      <c r="AA1553" s="6">
        <f>('TE BE'!$AB$13+'TE BF'!$AB$13+'TE CVA'!$AB$13)*1</f>
        <v>242.47071701268419</v>
      </c>
      <c r="AB1553" s="6">
        <f>$K$1553*$V$1553</f>
        <v>0</v>
      </c>
      <c r="AC1553" s="6">
        <f>$M$1553*$W$1553</f>
        <v>39880358.473999999</v>
      </c>
      <c r="AD1553" s="6">
        <f>$O$1553*$X$1553</f>
        <v>29889229.979400001</v>
      </c>
      <c r="AE1553" s="6">
        <f>$K$1553*$Y$1553</f>
        <v>0</v>
      </c>
      <c r="AF1553" s="6">
        <f ca="1">$M$1553*$Z$1553</f>
        <v>41681523.53523948</v>
      </c>
      <c r="AG1553" s="6">
        <f>$O$1553*$AA$1553</f>
        <v>28340618.739489026</v>
      </c>
    </row>
    <row r="1554" spans="1:33" ht="11.25" customHeight="1" x14ac:dyDescent="0.25">
      <c r="A1554" s="4" t="s">
        <v>27</v>
      </c>
      <c r="B1554" s="4" t="s">
        <v>22</v>
      </c>
      <c r="C1554" s="4" t="s">
        <v>23</v>
      </c>
      <c r="D1554" s="4" t="s">
        <v>24</v>
      </c>
      <c r="E1554" s="4" t="s">
        <v>24</v>
      </c>
      <c r="F1554" s="4" t="s">
        <v>25</v>
      </c>
      <c r="G1554" s="4" t="s">
        <v>25</v>
      </c>
      <c r="H1554" s="4" t="s">
        <v>25</v>
      </c>
      <c r="I1554" s="5">
        <v>44652</v>
      </c>
      <c r="J1554" s="6">
        <v>0</v>
      </c>
      <c r="K1554" s="6">
        <v>0</v>
      </c>
      <c r="L1554" s="6">
        <v>-282.37099999999998</v>
      </c>
      <c r="M1554" s="6">
        <v>-282.37099999999998</v>
      </c>
      <c r="N1554" s="6">
        <v>-282.37099999999998</v>
      </c>
      <c r="O1554" s="6">
        <v>-282.37099999999998</v>
      </c>
      <c r="P1554" s="6">
        <v>-89</v>
      </c>
      <c r="Q1554" s="4" t="s">
        <v>26</v>
      </c>
      <c r="R1554" s="4">
        <v>0</v>
      </c>
      <c r="S1554" s="6">
        <v>0</v>
      </c>
      <c r="T1554" s="6">
        <v>2</v>
      </c>
      <c r="U1554" s="6">
        <v>72</v>
      </c>
      <c r="V1554" s="6">
        <f>IF(ISERROR(VLOOKUP($S$1554,'TAR FIN'!$A$1:$O$104,15,0)),0,VLOOKUP($S$1554,'TAR FIN'!$A$1:$O$104,15,0))</f>
        <v>0</v>
      </c>
      <c r="W1554" s="6">
        <f>IF(ISERROR(VLOOKUP($T$1554,'TAR FIN'!$A$1:$O$104,15,0)),0,VLOOKUP($T$1554,'TAR FIN'!$A$1:$O$104,15,0))</f>
        <v>341.2</v>
      </c>
      <c r="X1554" s="6">
        <f>IF(ISERROR(VLOOKUP($U$1554,'TAR FIN'!$A$1:$O$104,15,0)),0,VLOOKUP($U$1554,'TAR FIN'!$A$1:$O$104,15,0))</f>
        <v>255.72</v>
      </c>
      <c r="Y1554" s="6"/>
      <c r="Z1554" s="6">
        <f ca="1">('TUSD BE'!$AM$34+'TUSD BF'!$AM$34+'TUSD CVA'!$AM$34)*1</f>
        <v>356.61002995987536</v>
      </c>
      <c r="AA1554" s="6">
        <f>('TE BE'!$AB$13+'TE BF'!$AB$13+'TE CVA'!$AB$13)*1</f>
        <v>242.47071701268419</v>
      </c>
      <c r="AB1554" s="6">
        <f>$K$1554*$V$1554</f>
        <v>0</v>
      </c>
      <c r="AC1554" s="6">
        <f>$M$1554*$W$1554</f>
        <v>-96344.985199999996</v>
      </c>
      <c r="AD1554" s="6">
        <f>$O$1554*$X$1554</f>
        <v>-72207.912119999994</v>
      </c>
      <c r="AE1554" s="6">
        <f>$K$1554*$Y$1554</f>
        <v>0</v>
      </c>
      <c r="AF1554" s="6">
        <f ca="1">$M$1554*$Z$1554</f>
        <v>-100696.33076979996</v>
      </c>
      <c r="AG1554" s="6">
        <f>$O$1554*$AA$1554</f>
        <v>-68466.698833588642</v>
      </c>
    </row>
    <row r="1555" spans="1:33" ht="11.25" customHeight="1" x14ac:dyDescent="0.25">
      <c r="A1555" s="4" t="s">
        <v>28</v>
      </c>
      <c r="B1555" s="4" t="s">
        <v>22</v>
      </c>
      <c r="C1555" s="4" t="s">
        <v>23</v>
      </c>
      <c r="D1555" s="4" t="s">
        <v>24</v>
      </c>
      <c r="E1555" s="4" t="s">
        <v>24</v>
      </c>
      <c r="F1555" s="4" t="s">
        <v>25</v>
      </c>
      <c r="G1555" s="4" t="s">
        <v>25</v>
      </c>
      <c r="H1555" s="4" t="s">
        <v>25</v>
      </c>
      <c r="I1555" s="5">
        <v>44652</v>
      </c>
      <c r="J1555" s="6">
        <v>0</v>
      </c>
      <c r="K1555" s="6">
        <v>0</v>
      </c>
      <c r="L1555" s="6">
        <v>2162.0259999999998</v>
      </c>
      <c r="M1555" s="6">
        <v>2162.0259999999998</v>
      </c>
      <c r="N1555" s="6">
        <v>2162.0259999999998</v>
      </c>
      <c r="O1555" s="6">
        <v>2162.0259999999998</v>
      </c>
      <c r="P1555" s="6">
        <v>18903</v>
      </c>
      <c r="Q1555" s="4" t="s">
        <v>26</v>
      </c>
      <c r="R1555" s="4">
        <v>0</v>
      </c>
      <c r="S1555" s="6">
        <v>0</v>
      </c>
      <c r="T1555" s="6">
        <v>2</v>
      </c>
      <c r="U1555" s="6">
        <v>72</v>
      </c>
      <c r="V1555" s="6">
        <f>IF(ISERROR(VLOOKUP($S$1555,'TAR FIN'!$A$1:$O$104,15,0)),0,VLOOKUP($S$1555,'TAR FIN'!$A$1:$O$104,15,0))</f>
        <v>0</v>
      </c>
      <c r="W1555" s="6">
        <f>IF(ISERROR(VLOOKUP($T$1555,'TAR FIN'!$A$1:$O$104,15,0)),0,VLOOKUP($T$1555,'TAR FIN'!$A$1:$O$104,15,0))</f>
        <v>341.2</v>
      </c>
      <c r="X1555" s="6">
        <f>IF(ISERROR(VLOOKUP($U$1555,'TAR FIN'!$A$1:$O$104,15,0)),0,VLOOKUP($U$1555,'TAR FIN'!$A$1:$O$104,15,0))</f>
        <v>255.72</v>
      </c>
      <c r="Y1555" s="6"/>
      <c r="Z1555" s="6">
        <f ca="1">('TUSD BE'!$AM$34+'TUSD BF'!$AM$34+'TUSD CVA'!$AM$34)*1</f>
        <v>356.61002995987536</v>
      </c>
      <c r="AA1555" s="6">
        <f>('TE BE'!$AB$13+'TE BF'!$AB$13+'TE CVA'!$AB$13)*1</f>
        <v>242.47071701268419</v>
      </c>
      <c r="AB1555" s="6">
        <f>$K$1555*$V$1555</f>
        <v>0</v>
      </c>
      <c r="AC1555" s="6">
        <f>$M$1555*$W$1555</f>
        <v>737683.27119999996</v>
      </c>
      <c r="AD1555" s="6">
        <f>$O$1555*$X$1555</f>
        <v>552873.28871999995</v>
      </c>
      <c r="AE1555" s="6">
        <f>$K$1555*$Y$1555</f>
        <v>0</v>
      </c>
      <c r="AF1555" s="6">
        <f ca="1">$M$1555*$Z$1555</f>
        <v>771000.15663402947</v>
      </c>
      <c r="AG1555" s="6">
        <f>$O$1555*$AA$1555</f>
        <v>524227.99442006549</v>
      </c>
    </row>
    <row r="1556" spans="1:33" ht="11.25" customHeight="1" x14ac:dyDescent="0.25">
      <c r="A1556" s="4" t="s">
        <v>28</v>
      </c>
      <c r="B1556" s="4" t="s">
        <v>22</v>
      </c>
      <c r="C1556" s="4" t="s">
        <v>23</v>
      </c>
      <c r="D1556" s="4" t="s">
        <v>24</v>
      </c>
      <c r="E1556" s="4" t="s">
        <v>24</v>
      </c>
      <c r="F1556" s="4" t="s">
        <v>25</v>
      </c>
      <c r="G1556" s="4" t="s">
        <v>25</v>
      </c>
      <c r="H1556" s="4" t="s">
        <v>25</v>
      </c>
      <c r="I1556" s="5">
        <v>44652</v>
      </c>
      <c r="J1556" s="6">
        <v>0</v>
      </c>
      <c r="K1556" s="6">
        <v>0</v>
      </c>
      <c r="L1556" s="6">
        <v>-7.0540000000000003</v>
      </c>
      <c r="M1556" s="6">
        <v>-7.0540000000000003</v>
      </c>
      <c r="N1556" s="6">
        <v>-7.0540000000000003</v>
      </c>
      <c r="O1556" s="6">
        <v>-7.0540000000000003</v>
      </c>
      <c r="P1556" s="6">
        <v>-1</v>
      </c>
      <c r="Q1556" s="4" t="s">
        <v>26</v>
      </c>
      <c r="R1556" s="4">
        <v>0</v>
      </c>
      <c r="S1556" s="6">
        <v>0</v>
      </c>
      <c r="T1556" s="6">
        <v>2</v>
      </c>
      <c r="U1556" s="6">
        <v>72</v>
      </c>
      <c r="V1556" s="6">
        <f>IF(ISERROR(VLOOKUP($S$1556,'TAR FIN'!$A$1:$O$104,15,0)),0,VLOOKUP($S$1556,'TAR FIN'!$A$1:$O$104,15,0))</f>
        <v>0</v>
      </c>
      <c r="W1556" s="6">
        <f>IF(ISERROR(VLOOKUP($T$1556,'TAR FIN'!$A$1:$O$104,15,0)),0,VLOOKUP($T$1556,'TAR FIN'!$A$1:$O$104,15,0))</f>
        <v>341.2</v>
      </c>
      <c r="X1556" s="6">
        <f>IF(ISERROR(VLOOKUP($U$1556,'TAR FIN'!$A$1:$O$104,15,0)),0,VLOOKUP($U$1556,'TAR FIN'!$A$1:$O$104,15,0))</f>
        <v>255.72</v>
      </c>
      <c r="Y1556" s="6"/>
      <c r="Z1556" s="6">
        <f ca="1">('TUSD BE'!$AM$34+'TUSD BF'!$AM$34+'TUSD CVA'!$AM$34)*1</f>
        <v>356.61002995987536</v>
      </c>
      <c r="AA1556" s="6">
        <f>('TE BE'!$AB$13+'TE BF'!$AB$13+'TE CVA'!$AB$13)*1</f>
        <v>242.47071701268419</v>
      </c>
      <c r="AB1556" s="6">
        <f>$K$1556*$V$1556</f>
        <v>0</v>
      </c>
      <c r="AC1556" s="6">
        <f>$M$1556*$W$1556</f>
        <v>-2406.8247999999999</v>
      </c>
      <c r="AD1556" s="6">
        <f>$O$1556*$X$1556</f>
        <v>-1803.84888</v>
      </c>
      <c r="AE1556" s="6">
        <f>$K$1556*$Y$1556</f>
        <v>0</v>
      </c>
      <c r="AF1556" s="6">
        <f ca="1">$M$1556*$Z$1556</f>
        <v>-2515.5271513369607</v>
      </c>
      <c r="AG1556" s="6">
        <f>$O$1556*$AA$1556</f>
        <v>-1710.3884378074742</v>
      </c>
    </row>
    <row r="1557" spans="1:33" ht="11.25" customHeight="1" x14ac:dyDescent="0.25">
      <c r="A1557" s="4" t="s">
        <v>21</v>
      </c>
      <c r="B1557" s="4" t="s">
        <v>22</v>
      </c>
      <c r="C1557" s="4" t="s">
        <v>23</v>
      </c>
      <c r="D1557" s="4" t="s">
        <v>24</v>
      </c>
      <c r="E1557" s="4" t="s">
        <v>24</v>
      </c>
      <c r="F1557" s="4" t="s">
        <v>25</v>
      </c>
      <c r="G1557" s="4" t="s">
        <v>25</v>
      </c>
      <c r="H1557" s="4" t="s">
        <v>25</v>
      </c>
      <c r="I1557" s="5">
        <v>44682</v>
      </c>
      <c r="J1557" s="6">
        <v>0</v>
      </c>
      <c r="K1557" s="6">
        <v>0</v>
      </c>
      <c r="L1557" s="6">
        <v>118049.738</v>
      </c>
      <c r="M1557" s="6">
        <v>118049.738</v>
      </c>
      <c r="N1557" s="6">
        <v>118049.738</v>
      </c>
      <c r="O1557" s="6">
        <v>118049.738</v>
      </c>
      <c r="P1557" s="6">
        <v>802997</v>
      </c>
      <c r="Q1557" s="4" t="s">
        <v>26</v>
      </c>
      <c r="R1557" s="4">
        <v>0</v>
      </c>
      <c r="S1557" s="6">
        <v>0</v>
      </c>
      <c r="T1557" s="6">
        <v>2</v>
      </c>
      <c r="U1557" s="6">
        <v>72</v>
      </c>
      <c r="V1557" s="6">
        <f>IF(ISERROR(VLOOKUP($S$1557,'TAR FIN'!$A$1:$O$104,15,0)),0,VLOOKUP($S$1557,'TAR FIN'!$A$1:$O$104,15,0))</f>
        <v>0</v>
      </c>
      <c r="W1557" s="6">
        <f>IF(ISERROR(VLOOKUP($T$1557,'TAR FIN'!$A$1:$O$104,15,0)),0,VLOOKUP($T$1557,'TAR FIN'!$A$1:$O$104,15,0))</f>
        <v>341.2</v>
      </c>
      <c r="X1557" s="6">
        <f>IF(ISERROR(VLOOKUP($U$1557,'TAR FIN'!$A$1:$O$104,15,0)),0,VLOOKUP($U$1557,'TAR FIN'!$A$1:$O$104,15,0))</f>
        <v>255.72</v>
      </c>
      <c r="Y1557" s="6"/>
      <c r="Z1557" s="6">
        <f ca="1">('TUSD BE'!$AM$34+'TUSD BF'!$AM$34+'TUSD CVA'!$AM$34)*1</f>
        <v>356.61002995987536</v>
      </c>
      <c r="AA1557" s="6">
        <f>('TE BE'!$AB$13+'TE BF'!$AB$13+'TE CVA'!$AB$13)*1</f>
        <v>242.47071701268419</v>
      </c>
      <c r="AB1557" s="6">
        <f>$K$1557*$V$1557</f>
        <v>0</v>
      </c>
      <c r="AC1557" s="6">
        <f>$M$1557*$W$1557</f>
        <v>40278570.605599999</v>
      </c>
      <c r="AD1557" s="6">
        <f>$O$1557*$X$1557</f>
        <v>30187679.001359999</v>
      </c>
      <c r="AE1557" s="6">
        <f>$K$1557*$Y$1557</f>
        <v>0</v>
      </c>
      <c r="AF1557" s="6">
        <f ca="1">$M$1557*$Z$1557</f>
        <v>42097720.604935437</v>
      </c>
      <c r="AG1557" s="6">
        <f>$O$1557*$AA$1557</f>
        <v>28623604.61601951</v>
      </c>
    </row>
    <row r="1558" spans="1:33" ht="11.25" customHeight="1" x14ac:dyDescent="0.25">
      <c r="A1558" s="4" t="s">
        <v>27</v>
      </c>
      <c r="B1558" s="4" t="s">
        <v>22</v>
      </c>
      <c r="C1558" s="4" t="s">
        <v>23</v>
      </c>
      <c r="D1558" s="4" t="s">
        <v>24</v>
      </c>
      <c r="E1558" s="4" t="s">
        <v>24</v>
      </c>
      <c r="F1558" s="4" t="s">
        <v>25</v>
      </c>
      <c r="G1558" s="4" t="s">
        <v>25</v>
      </c>
      <c r="H1558" s="4" t="s">
        <v>25</v>
      </c>
      <c r="I1558" s="5">
        <v>44682</v>
      </c>
      <c r="J1558" s="6">
        <v>0</v>
      </c>
      <c r="K1558" s="6">
        <v>0</v>
      </c>
      <c r="L1558" s="6">
        <v>-277.43599999999998</v>
      </c>
      <c r="M1558" s="6">
        <v>-277.43599999999998</v>
      </c>
      <c r="N1558" s="6">
        <v>-277.43599999999998</v>
      </c>
      <c r="O1558" s="6">
        <v>-277.43599999999998</v>
      </c>
      <c r="P1558" s="6">
        <v>-91</v>
      </c>
      <c r="Q1558" s="4" t="s">
        <v>26</v>
      </c>
      <c r="R1558" s="4">
        <v>0</v>
      </c>
      <c r="S1558" s="6">
        <v>0</v>
      </c>
      <c r="T1558" s="6">
        <v>2</v>
      </c>
      <c r="U1558" s="6">
        <v>72</v>
      </c>
      <c r="V1558" s="6">
        <f>IF(ISERROR(VLOOKUP($S$1558,'TAR FIN'!$A$1:$O$104,15,0)),0,VLOOKUP($S$1558,'TAR FIN'!$A$1:$O$104,15,0))</f>
        <v>0</v>
      </c>
      <c r="W1558" s="6">
        <f>IF(ISERROR(VLOOKUP($T$1558,'TAR FIN'!$A$1:$O$104,15,0)),0,VLOOKUP($T$1558,'TAR FIN'!$A$1:$O$104,15,0))</f>
        <v>341.2</v>
      </c>
      <c r="X1558" s="6">
        <f>IF(ISERROR(VLOOKUP($U$1558,'TAR FIN'!$A$1:$O$104,15,0)),0,VLOOKUP($U$1558,'TAR FIN'!$A$1:$O$104,15,0))</f>
        <v>255.72</v>
      </c>
      <c r="Y1558" s="6"/>
      <c r="Z1558" s="6">
        <f ca="1">('TUSD BE'!$AM$34+'TUSD BF'!$AM$34+'TUSD CVA'!$AM$34)*1</f>
        <v>356.61002995987536</v>
      </c>
      <c r="AA1558" s="6">
        <f>('TE BE'!$AB$13+'TE BF'!$AB$13+'TE CVA'!$AB$13)*1</f>
        <v>242.47071701268419</v>
      </c>
      <c r="AB1558" s="6">
        <f>$K$1558*$V$1558</f>
        <v>0</v>
      </c>
      <c r="AC1558" s="6">
        <f>$M$1558*$W$1558</f>
        <v>-94661.163199999995</v>
      </c>
      <c r="AD1558" s="6">
        <f>$O$1558*$X$1558</f>
        <v>-70945.933919999996</v>
      </c>
      <c r="AE1558" s="6">
        <f>$K$1558*$Y$1558</f>
        <v>0</v>
      </c>
      <c r="AF1558" s="6">
        <f ca="1">$M$1558*$Z$1558</f>
        <v>-98936.460271947974</v>
      </c>
      <c r="AG1558" s="6">
        <f>$O$1558*$AA$1558</f>
        <v>-67270.105845131053</v>
      </c>
    </row>
    <row r="1559" spans="1:33" ht="11.25" customHeight="1" x14ac:dyDescent="0.25">
      <c r="A1559" s="4" t="s">
        <v>28</v>
      </c>
      <c r="B1559" s="4" t="s">
        <v>22</v>
      </c>
      <c r="C1559" s="4" t="s">
        <v>23</v>
      </c>
      <c r="D1559" s="4" t="s">
        <v>24</v>
      </c>
      <c r="E1559" s="4" t="s">
        <v>24</v>
      </c>
      <c r="F1559" s="4" t="s">
        <v>25</v>
      </c>
      <c r="G1559" s="4" t="s">
        <v>25</v>
      </c>
      <c r="H1559" s="4" t="s">
        <v>25</v>
      </c>
      <c r="I1559" s="5">
        <v>44682</v>
      </c>
      <c r="J1559" s="6">
        <v>0</v>
      </c>
      <c r="K1559" s="6">
        <v>0</v>
      </c>
      <c r="L1559" s="6">
        <v>2388.252</v>
      </c>
      <c r="M1559" s="6">
        <v>2388.252</v>
      </c>
      <c r="N1559" s="6">
        <v>2388.252</v>
      </c>
      <c r="O1559" s="6">
        <v>2388.252</v>
      </c>
      <c r="P1559" s="6">
        <v>19812</v>
      </c>
      <c r="Q1559" s="4" t="s">
        <v>26</v>
      </c>
      <c r="R1559" s="4">
        <v>0</v>
      </c>
      <c r="S1559" s="6">
        <v>0</v>
      </c>
      <c r="T1559" s="6">
        <v>2</v>
      </c>
      <c r="U1559" s="6">
        <v>72</v>
      </c>
      <c r="V1559" s="6">
        <f>IF(ISERROR(VLOOKUP($S$1559,'TAR FIN'!$A$1:$O$104,15,0)),0,VLOOKUP($S$1559,'TAR FIN'!$A$1:$O$104,15,0))</f>
        <v>0</v>
      </c>
      <c r="W1559" s="6">
        <f>IF(ISERROR(VLOOKUP($T$1559,'TAR FIN'!$A$1:$O$104,15,0)),0,VLOOKUP($T$1559,'TAR FIN'!$A$1:$O$104,15,0))</f>
        <v>341.2</v>
      </c>
      <c r="X1559" s="6">
        <f>IF(ISERROR(VLOOKUP($U$1559,'TAR FIN'!$A$1:$O$104,15,0)),0,VLOOKUP($U$1559,'TAR FIN'!$A$1:$O$104,15,0))</f>
        <v>255.72</v>
      </c>
      <c r="Y1559" s="6"/>
      <c r="Z1559" s="6">
        <f ca="1">('TUSD BE'!$AM$34+'TUSD BF'!$AM$34+'TUSD CVA'!$AM$34)*1</f>
        <v>356.61002995987536</v>
      </c>
      <c r="AA1559" s="6">
        <f>('TE BE'!$AB$13+'TE BF'!$AB$13+'TE CVA'!$AB$13)*1</f>
        <v>242.47071701268419</v>
      </c>
      <c r="AB1559" s="6">
        <f>$K$1559*$V$1559</f>
        <v>0</v>
      </c>
      <c r="AC1559" s="6">
        <f>$M$1559*$W$1559</f>
        <v>814871.58239999996</v>
      </c>
      <c r="AD1559" s="6">
        <f>$O$1559*$X$1559</f>
        <v>610723.80143999995</v>
      </c>
      <c r="AE1559" s="6">
        <f>$K$1559*$Y$1559</f>
        <v>0</v>
      </c>
      <c r="AF1559" s="6">
        <f ca="1">$M$1559*$Z$1559</f>
        <v>851674.61727173219</v>
      </c>
      <c r="AG1559" s="6">
        <f>$O$1559*$AA$1559</f>
        <v>579081.174846977</v>
      </c>
    </row>
    <row r="1560" spans="1:33" ht="11.25" customHeight="1" x14ac:dyDescent="0.25">
      <c r="A1560" s="4" t="s">
        <v>28</v>
      </c>
      <c r="B1560" s="4" t="s">
        <v>22</v>
      </c>
      <c r="C1560" s="4" t="s">
        <v>23</v>
      </c>
      <c r="D1560" s="4" t="s">
        <v>24</v>
      </c>
      <c r="E1560" s="4" t="s">
        <v>24</v>
      </c>
      <c r="F1560" s="4" t="s">
        <v>25</v>
      </c>
      <c r="G1560" s="4" t="s">
        <v>25</v>
      </c>
      <c r="H1560" s="4" t="s">
        <v>25</v>
      </c>
      <c r="I1560" s="5">
        <v>44682</v>
      </c>
      <c r="J1560" s="6">
        <v>0</v>
      </c>
      <c r="K1560" s="6">
        <v>0</v>
      </c>
      <c r="L1560" s="6">
        <v>-1.347</v>
      </c>
      <c r="M1560" s="6">
        <v>-1.347</v>
      </c>
      <c r="N1560" s="6">
        <v>-1.347</v>
      </c>
      <c r="O1560" s="6">
        <v>-1.347</v>
      </c>
      <c r="P1560" s="6">
        <v>0</v>
      </c>
      <c r="Q1560" s="4" t="s">
        <v>26</v>
      </c>
      <c r="R1560" s="4">
        <v>0</v>
      </c>
      <c r="S1560" s="6">
        <v>0</v>
      </c>
      <c r="T1560" s="6">
        <v>2</v>
      </c>
      <c r="U1560" s="6">
        <v>72</v>
      </c>
      <c r="V1560" s="6">
        <f>IF(ISERROR(VLOOKUP($S$1560,'TAR FIN'!$A$1:$O$104,15,0)),0,VLOOKUP($S$1560,'TAR FIN'!$A$1:$O$104,15,0))</f>
        <v>0</v>
      </c>
      <c r="W1560" s="6">
        <f>IF(ISERROR(VLOOKUP($T$1560,'TAR FIN'!$A$1:$O$104,15,0)),0,VLOOKUP($T$1560,'TAR FIN'!$A$1:$O$104,15,0))</f>
        <v>341.2</v>
      </c>
      <c r="X1560" s="6">
        <f>IF(ISERROR(VLOOKUP($U$1560,'TAR FIN'!$A$1:$O$104,15,0)),0,VLOOKUP($U$1560,'TAR FIN'!$A$1:$O$104,15,0))</f>
        <v>255.72</v>
      </c>
      <c r="Y1560" s="6"/>
      <c r="Z1560" s="6">
        <f ca="1">('TUSD BE'!$AM$34+'TUSD BF'!$AM$34+'TUSD CVA'!$AM$34)*1</f>
        <v>356.61002995987536</v>
      </c>
      <c r="AA1560" s="6">
        <f>('TE BE'!$AB$13+'TE BF'!$AB$13+'TE CVA'!$AB$13)*1</f>
        <v>242.47071701268419</v>
      </c>
      <c r="AB1560" s="6">
        <f>$K$1560*$V$1560</f>
        <v>0</v>
      </c>
      <c r="AC1560" s="6">
        <f>$M$1560*$W$1560</f>
        <v>-459.59639999999996</v>
      </c>
      <c r="AD1560" s="6">
        <f>$O$1560*$X$1560</f>
        <v>-344.45483999999999</v>
      </c>
      <c r="AE1560" s="6">
        <f>$K$1560*$Y$1560</f>
        <v>0</v>
      </c>
      <c r="AF1560" s="6">
        <f ca="1">$M$1560*$Z$1560</f>
        <v>-480.3537103559521</v>
      </c>
      <c r="AG1560" s="6">
        <f>$O$1560*$AA$1560</f>
        <v>-326.6080558160856</v>
      </c>
    </row>
    <row r="1561" spans="1:33" ht="11.25" customHeight="1" x14ac:dyDescent="0.25">
      <c r="A1561" s="4" t="s">
        <v>21</v>
      </c>
      <c r="B1561" s="4" t="s">
        <v>22</v>
      </c>
      <c r="C1561" s="4" t="s">
        <v>23</v>
      </c>
      <c r="D1561" s="4" t="s">
        <v>24</v>
      </c>
      <c r="E1561" s="4" t="s">
        <v>24</v>
      </c>
      <c r="F1561" s="4" t="s">
        <v>25</v>
      </c>
      <c r="G1561" s="4" t="s">
        <v>25</v>
      </c>
      <c r="H1561" s="4" t="s">
        <v>25</v>
      </c>
      <c r="I1561" s="5">
        <v>44713</v>
      </c>
      <c r="J1561" s="6">
        <v>0</v>
      </c>
      <c r="K1561" s="6">
        <v>0</v>
      </c>
      <c r="L1561" s="6">
        <v>102437.894</v>
      </c>
      <c r="M1561" s="6">
        <v>102437.894</v>
      </c>
      <c r="N1561" s="6">
        <v>102437.894</v>
      </c>
      <c r="O1561" s="6">
        <v>102437.894</v>
      </c>
      <c r="P1561" s="6">
        <v>799826</v>
      </c>
      <c r="Q1561" s="4" t="s">
        <v>26</v>
      </c>
      <c r="R1561" s="4">
        <v>0</v>
      </c>
      <c r="S1561" s="6">
        <v>0</v>
      </c>
      <c r="T1561" s="6">
        <v>2</v>
      </c>
      <c r="U1561" s="6">
        <v>72</v>
      </c>
      <c r="V1561" s="6">
        <f>IF(ISERROR(VLOOKUP($S$1561,'TAR FIN'!$A$1:$O$104,15,0)),0,VLOOKUP($S$1561,'TAR FIN'!$A$1:$O$104,15,0))</f>
        <v>0</v>
      </c>
      <c r="W1561" s="6">
        <f>IF(ISERROR(VLOOKUP($T$1561,'TAR FIN'!$A$1:$O$104,15,0)),0,VLOOKUP($T$1561,'TAR FIN'!$A$1:$O$104,15,0))</f>
        <v>341.2</v>
      </c>
      <c r="X1561" s="6">
        <f>IF(ISERROR(VLOOKUP($U$1561,'TAR FIN'!$A$1:$O$104,15,0)),0,VLOOKUP($U$1561,'TAR FIN'!$A$1:$O$104,15,0))</f>
        <v>255.72</v>
      </c>
      <c r="Y1561" s="6"/>
      <c r="Z1561" s="6">
        <f ca="1">('TUSD BE'!$AM$34+'TUSD BF'!$AM$34+'TUSD CVA'!$AM$34)*1</f>
        <v>356.61002995987536</v>
      </c>
      <c r="AA1561" s="6">
        <f>('TE BE'!$AB$13+'TE BF'!$AB$13+'TE CVA'!$AB$13)*1</f>
        <v>242.47071701268419</v>
      </c>
      <c r="AB1561" s="6">
        <f>$K$1561*$V$1561</f>
        <v>0</v>
      </c>
      <c r="AC1561" s="6">
        <f>$M$1561*$W$1561</f>
        <v>34951809.432800002</v>
      </c>
      <c r="AD1561" s="6">
        <f>$O$1561*$X$1561</f>
        <v>26195418.253679998</v>
      </c>
      <c r="AE1561" s="6">
        <f>$K$1561*$Y$1561</f>
        <v>0</v>
      </c>
      <c r="AF1561" s="6">
        <f ca="1">$M$1561*$Z$1561</f>
        <v>36530380.448366538</v>
      </c>
      <c r="AG1561" s="6">
        <f>$O$1561*$AA$1561</f>
        <v>24838189.607449342</v>
      </c>
    </row>
    <row r="1562" spans="1:33" ht="11.25" customHeight="1" x14ac:dyDescent="0.25">
      <c r="A1562" s="4" t="s">
        <v>27</v>
      </c>
      <c r="B1562" s="4" t="s">
        <v>22</v>
      </c>
      <c r="C1562" s="4" t="s">
        <v>23</v>
      </c>
      <c r="D1562" s="4" t="s">
        <v>24</v>
      </c>
      <c r="E1562" s="4" t="s">
        <v>24</v>
      </c>
      <c r="F1562" s="4" t="s">
        <v>25</v>
      </c>
      <c r="G1562" s="4" t="s">
        <v>25</v>
      </c>
      <c r="H1562" s="4" t="s">
        <v>25</v>
      </c>
      <c r="I1562" s="5">
        <v>44713</v>
      </c>
      <c r="J1562" s="6">
        <v>0</v>
      </c>
      <c r="K1562" s="6">
        <v>0</v>
      </c>
      <c r="L1562" s="6">
        <v>-233.66</v>
      </c>
      <c r="M1562" s="6">
        <v>-233.66</v>
      </c>
      <c r="N1562" s="6">
        <v>-233.66</v>
      </c>
      <c r="O1562" s="6">
        <v>-233.66</v>
      </c>
      <c r="P1562" s="6">
        <v>-72</v>
      </c>
      <c r="Q1562" s="4" t="s">
        <v>26</v>
      </c>
      <c r="R1562" s="4">
        <v>0</v>
      </c>
      <c r="S1562" s="6">
        <v>0</v>
      </c>
      <c r="T1562" s="6">
        <v>2</v>
      </c>
      <c r="U1562" s="6">
        <v>72</v>
      </c>
      <c r="V1562" s="6">
        <f>IF(ISERROR(VLOOKUP($S$1562,'TAR FIN'!$A$1:$O$104,15,0)),0,VLOOKUP($S$1562,'TAR FIN'!$A$1:$O$104,15,0))</f>
        <v>0</v>
      </c>
      <c r="W1562" s="6">
        <f>IF(ISERROR(VLOOKUP($T$1562,'TAR FIN'!$A$1:$O$104,15,0)),0,VLOOKUP($T$1562,'TAR FIN'!$A$1:$O$104,15,0))</f>
        <v>341.2</v>
      </c>
      <c r="X1562" s="6">
        <f>IF(ISERROR(VLOOKUP($U$1562,'TAR FIN'!$A$1:$O$104,15,0)),0,VLOOKUP($U$1562,'TAR FIN'!$A$1:$O$104,15,0))</f>
        <v>255.72</v>
      </c>
      <c r="Y1562" s="6"/>
      <c r="Z1562" s="6">
        <f ca="1">('TUSD BE'!$AM$34+'TUSD BF'!$AM$34+'TUSD CVA'!$AM$34)*1</f>
        <v>356.61002995987536</v>
      </c>
      <c r="AA1562" s="6">
        <f>('TE BE'!$AB$13+'TE BF'!$AB$13+'TE CVA'!$AB$13)*1</f>
        <v>242.47071701268419</v>
      </c>
      <c r="AB1562" s="6">
        <f>$K$1562*$V$1562</f>
        <v>0</v>
      </c>
      <c r="AC1562" s="6">
        <f>$M$1562*$W$1562</f>
        <v>-79724.792000000001</v>
      </c>
      <c r="AD1562" s="6">
        <f>$O$1562*$X$1562</f>
        <v>-59751.535199999998</v>
      </c>
      <c r="AE1562" s="6">
        <f>$K$1562*$Y$1562</f>
        <v>0</v>
      </c>
      <c r="AF1562" s="6">
        <f ca="1">$M$1562*$Z$1562</f>
        <v>-83325.499600424475</v>
      </c>
      <c r="AG1562" s="6">
        <f>$O$1562*$AA$1562</f>
        <v>-56655.707737183788</v>
      </c>
    </row>
    <row r="1563" spans="1:33" ht="11.25" customHeight="1" x14ac:dyDescent="0.25">
      <c r="A1563" s="4" t="s">
        <v>28</v>
      </c>
      <c r="B1563" s="4" t="s">
        <v>22</v>
      </c>
      <c r="C1563" s="4" t="s">
        <v>23</v>
      </c>
      <c r="D1563" s="4" t="s">
        <v>24</v>
      </c>
      <c r="E1563" s="4" t="s">
        <v>24</v>
      </c>
      <c r="F1563" s="4" t="s">
        <v>25</v>
      </c>
      <c r="G1563" s="4" t="s">
        <v>25</v>
      </c>
      <c r="H1563" s="4" t="s">
        <v>25</v>
      </c>
      <c r="I1563" s="5">
        <v>44713</v>
      </c>
      <c r="J1563" s="6">
        <v>0</v>
      </c>
      <c r="K1563" s="6">
        <v>0</v>
      </c>
      <c r="L1563" s="6">
        <v>2322.538</v>
      </c>
      <c r="M1563" s="6">
        <v>2322.538</v>
      </c>
      <c r="N1563" s="6">
        <v>2322.538</v>
      </c>
      <c r="O1563" s="6">
        <v>2322.538</v>
      </c>
      <c r="P1563" s="6">
        <v>20507</v>
      </c>
      <c r="Q1563" s="4" t="s">
        <v>26</v>
      </c>
      <c r="R1563" s="4">
        <v>0</v>
      </c>
      <c r="S1563" s="6">
        <v>0</v>
      </c>
      <c r="T1563" s="6">
        <v>2</v>
      </c>
      <c r="U1563" s="6">
        <v>72</v>
      </c>
      <c r="V1563" s="6">
        <f>IF(ISERROR(VLOOKUP($S$1563,'TAR FIN'!$A$1:$O$104,15,0)),0,VLOOKUP($S$1563,'TAR FIN'!$A$1:$O$104,15,0))</f>
        <v>0</v>
      </c>
      <c r="W1563" s="6">
        <f>IF(ISERROR(VLOOKUP($T$1563,'TAR FIN'!$A$1:$O$104,15,0)),0,VLOOKUP($T$1563,'TAR FIN'!$A$1:$O$104,15,0))</f>
        <v>341.2</v>
      </c>
      <c r="X1563" s="6">
        <f>IF(ISERROR(VLOOKUP($U$1563,'TAR FIN'!$A$1:$O$104,15,0)),0,VLOOKUP($U$1563,'TAR FIN'!$A$1:$O$104,15,0))</f>
        <v>255.72</v>
      </c>
      <c r="Y1563" s="6"/>
      <c r="Z1563" s="6">
        <f ca="1">('TUSD BE'!$AM$34+'TUSD BF'!$AM$34+'TUSD CVA'!$AM$34)*1</f>
        <v>356.61002995987536</v>
      </c>
      <c r="AA1563" s="6">
        <f>('TE BE'!$AB$13+'TE BF'!$AB$13+'TE CVA'!$AB$13)*1</f>
        <v>242.47071701268419</v>
      </c>
      <c r="AB1563" s="6">
        <f>$K$1563*$V$1563</f>
        <v>0</v>
      </c>
      <c r="AC1563" s="6">
        <f>$M$1563*$W$1563</f>
        <v>792449.9656</v>
      </c>
      <c r="AD1563" s="6">
        <f>$O$1563*$X$1563</f>
        <v>593919.41735999996</v>
      </c>
      <c r="AE1563" s="6">
        <f>$K$1563*$Y$1563</f>
        <v>0</v>
      </c>
      <c r="AF1563" s="6">
        <f ca="1">$M$1563*$Z$1563</f>
        <v>828240.34576294897</v>
      </c>
      <c r="AG1563" s="6">
        <f>$O$1563*$AA$1563</f>
        <v>563147.45414920547</v>
      </c>
    </row>
    <row r="1564" spans="1:33" ht="11.25" customHeight="1" x14ac:dyDescent="0.25">
      <c r="A1564" s="4" t="s">
        <v>28</v>
      </c>
      <c r="B1564" s="4" t="s">
        <v>22</v>
      </c>
      <c r="C1564" s="4" t="s">
        <v>23</v>
      </c>
      <c r="D1564" s="4" t="s">
        <v>24</v>
      </c>
      <c r="E1564" s="4" t="s">
        <v>24</v>
      </c>
      <c r="F1564" s="4" t="s">
        <v>25</v>
      </c>
      <c r="G1564" s="4" t="s">
        <v>25</v>
      </c>
      <c r="H1564" s="4" t="s">
        <v>25</v>
      </c>
      <c r="I1564" s="5">
        <v>44713</v>
      </c>
      <c r="J1564" s="6">
        <v>0</v>
      </c>
      <c r="K1564" s="6">
        <v>0</v>
      </c>
      <c r="L1564" s="6">
        <v>-3.4620000000000002</v>
      </c>
      <c r="M1564" s="6">
        <v>-3.4620000000000002</v>
      </c>
      <c r="N1564" s="6">
        <v>-3.4620000000000002</v>
      </c>
      <c r="O1564" s="6">
        <v>-3.4620000000000002</v>
      </c>
      <c r="P1564" s="6">
        <v>0</v>
      </c>
      <c r="Q1564" s="4" t="s">
        <v>26</v>
      </c>
      <c r="R1564" s="4">
        <v>0</v>
      </c>
      <c r="S1564" s="6">
        <v>0</v>
      </c>
      <c r="T1564" s="6">
        <v>2</v>
      </c>
      <c r="U1564" s="6">
        <v>72</v>
      </c>
      <c r="V1564" s="6">
        <f>IF(ISERROR(VLOOKUP($S$1564,'TAR FIN'!$A$1:$O$104,15,0)),0,VLOOKUP($S$1564,'TAR FIN'!$A$1:$O$104,15,0))</f>
        <v>0</v>
      </c>
      <c r="W1564" s="6">
        <f>IF(ISERROR(VLOOKUP($T$1564,'TAR FIN'!$A$1:$O$104,15,0)),0,VLOOKUP($T$1564,'TAR FIN'!$A$1:$O$104,15,0))</f>
        <v>341.2</v>
      </c>
      <c r="X1564" s="6">
        <f>IF(ISERROR(VLOOKUP($U$1564,'TAR FIN'!$A$1:$O$104,15,0)),0,VLOOKUP($U$1564,'TAR FIN'!$A$1:$O$104,15,0))</f>
        <v>255.72</v>
      </c>
      <c r="Y1564" s="6"/>
      <c r="Z1564" s="6">
        <f ca="1">('TUSD BE'!$AM$34+'TUSD BF'!$AM$34+'TUSD CVA'!$AM$34)*1</f>
        <v>356.61002995987536</v>
      </c>
      <c r="AA1564" s="6">
        <f>('TE BE'!$AB$13+'TE BF'!$AB$13+'TE CVA'!$AB$13)*1</f>
        <v>242.47071701268419</v>
      </c>
      <c r="AB1564" s="6">
        <f>$K$1564*$V$1564</f>
        <v>0</v>
      </c>
      <c r="AC1564" s="6">
        <f>$M$1564*$W$1564</f>
        <v>-1181.2344000000001</v>
      </c>
      <c r="AD1564" s="6">
        <f>$O$1564*$X$1564</f>
        <v>-885.30264</v>
      </c>
      <c r="AE1564" s="6">
        <f>$K$1564*$Y$1564</f>
        <v>0</v>
      </c>
      <c r="AF1564" s="6">
        <f ca="1">$M$1564*$Z$1564</f>
        <v>-1234.5839237210885</v>
      </c>
      <c r="AG1564" s="6">
        <f>$O$1564*$AA$1564</f>
        <v>-839.43362229791273</v>
      </c>
    </row>
    <row r="1565" spans="1:33" ht="11.25" customHeight="1" x14ac:dyDescent="0.25">
      <c r="A1565" s="4" t="s">
        <v>57</v>
      </c>
      <c r="B1565" s="4" t="s">
        <v>22</v>
      </c>
      <c r="C1565" s="4" t="s">
        <v>23</v>
      </c>
      <c r="D1565" s="4" t="s">
        <v>24</v>
      </c>
      <c r="E1565" s="4" t="s">
        <v>24</v>
      </c>
      <c r="F1565" s="4" t="s">
        <v>25</v>
      </c>
      <c r="G1565" s="4" t="s">
        <v>25</v>
      </c>
      <c r="H1565" s="4" t="s">
        <v>25</v>
      </c>
      <c r="I1565" s="5">
        <v>44743</v>
      </c>
      <c r="J1565" s="6">
        <v>0</v>
      </c>
      <c r="K1565" s="6">
        <v>0</v>
      </c>
      <c r="L1565" s="6">
        <v>102437.894</v>
      </c>
      <c r="M1565" s="6">
        <v>102437.894</v>
      </c>
      <c r="N1565" s="6">
        <v>102437.894</v>
      </c>
      <c r="O1565" s="6">
        <v>102437.894</v>
      </c>
      <c r="P1565" s="6">
        <v>799826</v>
      </c>
      <c r="Q1565" s="4" t="s">
        <v>26</v>
      </c>
      <c r="R1565" s="4">
        <v>0</v>
      </c>
      <c r="S1565" s="6">
        <v>0</v>
      </c>
      <c r="T1565" s="6">
        <v>2</v>
      </c>
      <c r="U1565" s="6">
        <v>72</v>
      </c>
      <c r="V1565" s="6">
        <f>IF(ISERROR(VLOOKUP($S$1565,'TAR FIN'!$A$1:$O$104,15,0)),0,VLOOKUP($S$1565,'TAR FIN'!$A$1:$O$104,15,0))</f>
        <v>0</v>
      </c>
      <c r="W1565" s="6">
        <f>IF(ISERROR(VLOOKUP($T$1565,'TAR FIN'!$A$1:$O$104,15,0)),0,VLOOKUP($T$1565,'TAR FIN'!$A$1:$O$104,15,0))</f>
        <v>341.2</v>
      </c>
      <c r="X1565" s="6">
        <f>IF(ISERROR(VLOOKUP($U$1565,'TAR FIN'!$A$1:$O$104,15,0)),0,VLOOKUP($U$1565,'TAR FIN'!$A$1:$O$104,15,0))</f>
        <v>255.72</v>
      </c>
      <c r="Y1565" s="6"/>
      <c r="Z1565" s="6">
        <f ca="1">('TUSD BE'!$AM$34+'TUSD BF'!$AM$34+'TUSD CVA'!$AM$34)*1</f>
        <v>356.61002995987536</v>
      </c>
      <c r="AA1565" s="6">
        <f>('TE BE'!$AB$13+'TE BF'!$AB$13+'TE CVA'!$AB$13)*1</f>
        <v>242.47071701268419</v>
      </c>
      <c r="AB1565" s="6">
        <f>$K$1565*$V$1565</f>
        <v>0</v>
      </c>
      <c r="AC1565" s="6">
        <f>$M$1565*$W$1565</f>
        <v>34951809.432800002</v>
      </c>
      <c r="AD1565" s="6">
        <f>$O$1565*$X$1565</f>
        <v>26195418.253679998</v>
      </c>
      <c r="AE1565" s="6">
        <f>$K$1565*$Y$1565</f>
        <v>0</v>
      </c>
      <c r="AF1565" s="6">
        <f ca="1">$M$1565*$Z$1565</f>
        <v>36530380.448366538</v>
      </c>
      <c r="AG1565" s="6">
        <f>$O$1565*$AA$1565</f>
        <v>24838189.607449342</v>
      </c>
    </row>
    <row r="1566" spans="1:33" ht="11.25" customHeight="1" x14ac:dyDescent="0.25">
      <c r="A1566" s="4" t="s">
        <v>57</v>
      </c>
      <c r="B1566" s="4" t="s">
        <v>22</v>
      </c>
      <c r="C1566" s="4" t="s">
        <v>23</v>
      </c>
      <c r="D1566" s="4" t="s">
        <v>24</v>
      </c>
      <c r="E1566" s="4" t="s">
        <v>24</v>
      </c>
      <c r="F1566" s="4" t="s">
        <v>25</v>
      </c>
      <c r="G1566" s="4" t="s">
        <v>25</v>
      </c>
      <c r="H1566" s="4" t="s">
        <v>25</v>
      </c>
      <c r="I1566" s="5">
        <v>44743</v>
      </c>
      <c r="J1566" s="6">
        <v>0</v>
      </c>
      <c r="K1566" s="6">
        <v>0</v>
      </c>
      <c r="L1566" s="6">
        <v>-233.66</v>
      </c>
      <c r="M1566" s="6">
        <v>-233.66</v>
      </c>
      <c r="N1566" s="6">
        <v>-233.66</v>
      </c>
      <c r="O1566" s="6">
        <v>-233.66</v>
      </c>
      <c r="P1566" s="6">
        <v>-72</v>
      </c>
      <c r="Q1566" s="4" t="s">
        <v>26</v>
      </c>
      <c r="R1566" s="4">
        <v>0</v>
      </c>
      <c r="S1566" s="6">
        <v>0</v>
      </c>
      <c r="T1566" s="6">
        <v>2</v>
      </c>
      <c r="U1566" s="6">
        <v>72</v>
      </c>
      <c r="V1566" s="6">
        <f>IF(ISERROR(VLOOKUP($S$1566,'TAR FIN'!$A$1:$O$104,15,0)),0,VLOOKUP($S$1566,'TAR FIN'!$A$1:$O$104,15,0))</f>
        <v>0</v>
      </c>
      <c r="W1566" s="6">
        <f>IF(ISERROR(VLOOKUP($T$1566,'TAR FIN'!$A$1:$O$104,15,0)),0,VLOOKUP($T$1566,'TAR FIN'!$A$1:$O$104,15,0))</f>
        <v>341.2</v>
      </c>
      <c r="X1566" s="6">
        <f>IF(ISERROR(VLOOKUP($U$1566,'TAR FIN'!$A$1:$O$104,15,0)),0,VLOOKUP($U$1566,'TAR FIN'!$A$1:$O$104,15,0))</f>
        <v>255.72</v>
      </c>
      <c r="Y1566" s="6"/>
      <c r="Z1566" s="6">
        <f ca="1">('TUSD BE'!$AM$34+'TUSD BF'!$AM$34+'TUSD CVA'!$AM$34)*1</f>
        <v>356.61002995987536</v>
      </c>
      <c r="AA1566" s="6">
        <f>('TE BE'!$AB$13+'TE BF'!$AB$13+'TE CVA'!$AB$13)*1</f>
        <v>242.47071701268419</v>
      </c>
      <c r="AB1566" s="6">
        <f>$K$1566*$V$1566</f>
        <v>0</v>
      </c>
      <c r="AC1566" s="6">
        <f>$M$1566*$W$1566</f>
        <v>-79724.792000000001</v>
      </c>
      <c r="AD1566" s="6">
        <f>$O$1566*$X$1566</f>
        <v>-59751.535199999998</v>
      </c>
      <c r="AE1566" s="6">
        <f>$K$1566*$Y$1566</f>
        <v>0</v>
      </c>
      <c r="AF1566" s="6">
        <f ca="1">$M$1566*$Z$1566</f>
        <v>-83325.499600424475</v>
      </c>
      <c r="AG1566" s="6">
        <f>$O$1566*$AA$1566</f>
        <v>-56655.707737183788</v>
      </c>
    </row>
    <row r="1567" spans="1:33" ht="11.25" customHeight="1" x14ac:dyDescent="0.25">
      <c r="A1567" s="4" t="s">
        <v>57</v>
      </c>
      <c r="B1567" s="4" t="s">
        <v>22</v>
      </c>
      <c r="C1567" s="4" t="s">
        <v>23</v>
      </c>
      <c r="D1567" s="4" t="s">
        <v>24</v>
      </c>
      <c r="E1567" s="4" t="s">
        <v>24</v>
      </c>
      <c r="F1567" s="4" t="s">
        <v>25</v>
      </c>
      <c r="G1567" s="4" t="s">
        <v>25</v>
      </c>
      <c r="H1567" s="4" t="s">
        <v>25</v>
      </c>
      <c r="I1567" s="5">
        <v>44743</v>
      </c>
      <c r="J1567" s="6">
        <v>0</v>
      </c>
      <c r="K1567" s="6">
        <v>0</v>
      </c>
      <c r="L1567" s="6">
        <v>2322.538</v>
      </c>
      <c r="M1567" s="6">
        <v>2322.538</v>
      </c>
      <c r="N1567" s="6">
        <v>2322.538</v>
      </c>
      <c r="O1567" s="6">
        <v>2322.538</v>
      </c>
      <c r="P1567" s="6">
        <v>20507</v>
      </c>
      <c r="Q1567" s="4" t="s">
        <v>26</v>
      </c>
      <c r="R1567" s="4">
        <v>0</v>
      </c>
      <c r="S1567" s="6">
        <v>0</v>
      </c>
      <c r="T1567" s="6">
        <v>2</v>
      </c>
      <c r="U1567" s="6">
        <v>72</v>
      </c>
      <c r="V1567" s="6">
        <f>IF(ISERROR(VLOOKUP($S$1567,'TAR FIN'!$A$1:$O$104,15,0)),0,VLOOKUP($S$1567,'TAR FIN'!$A$1:$O$104,15,0))</f>
        <v>0</v>
      </c>
      <c r="W1567" s="6">
        <f>IF(ISERROR(VLOOKUP($T$1567,'TAR FIN'!$A$1:$O$104,15,0)),0,VLOOKUP($T$1567,'TAR FIN'!$A$1:$O$104,15,0))</f>
        <v>341.2</v>
      </c>
      <c r="X1567" s="6">
        <f>IF(ISERROR(VLOOKUP($U$1567,'TAR FIN'!$A$1:$O$104,15,0)),0,VLOOKUP($U$1567,'TAR FIN'!$A$1:$O$104,15,0))</f>
        <v>255.72</v>
      </c>
      <c r="Y1567" s="6"/>
      <c r="Z1567" s="6">
        <f ca="1">('TUSD BE'!$AM$34+'TUSD BF'!$AM$34+'TUSD CVA'!$AM$34)*1</f>
        <v>356.61002995987536</v>
      </c>
      <c r="AA1567" s="6">
        <f>('TE BE'!$AB$13+'TE BF'!$AB$13+'TE CVA'!$AB$13)*1</f>
        <v>242.47071701268419</v>
      </c>
      <c r="AB1567" s="6">
        <f>$K$1567*$V$1567</f>
        <v>0</v>
      </c>
      <c r="AC1567" s="6">
        <f>$M$1567*$W$1567</f>
        <v>792449.9656</v>
      </c>
      <c r="AD1567" s="6">
        <f>$O$1567*$X$1567</f>
        <v>593919.41735999996</v>
      </c>
      <c r="AE1567" s="6">
        <f>$K$1567*$Y$1567</f>
        <v>0</v>
      </c>
      <c r="AF1567" s="6">
        <f ca="1">$M$1567*$Z$1567</f>
        <v>828240.34576294897</v>
      </c>
      <c r="AG1567" s="6">
        <f>$O$1567*$AA$1567</f>
        <v>563147.45414920547</v>
      </c>
    </row>
    <row r="1568" spans="1:33" ht="11.25" customHeight="1" x14ac:dyDescent="0.25">
      <c r="A1568" s="4" t="s">
        <v>57</v>
      </c>
      <c r="B1568" s="4" t="s">
        <v>22</v>
      </c>
      <c r="C1568" s="4" t="s">
        <v>23</v>
      </c>
      <c r="D1568" s="4" t="s">
        <v>24</v>
      </c>
      <c r="E1568" s="4" t="s">
        <v>24</v>
      </c>
      <c r="F1568" s="4" t="s">
        <v>25</v>
      </c>
      <c r="G1568" s="4" t="s">
        <v>25</v>
      </c>
      <c r="H1568" s="4" t="s">
        <v>25</v>
      </c>
      <c r="I1568" s="5">
        <v>44743</v>
      </c>
      <c r="J1568" s="6">
        <v>0</v>
      </c>
      <c r="K1568" s="6">
        <v>0</v>
      </c>
      <c r="L1568" s="6">
        <v>-3.4620000000000002</v>
      </c>
      <c r="M1568" s="6">
        <v>-3.4620000000000002</v>
      </c>
      <c r="N1568" s="6">
        <v>-3.4620000000000002</v>
      </c>
      <c r="O1568" s="6">
        <v>-3.4620000000000002</v>
      </c>
      <c r="P1568" s="6">
        <v>0</v>
      </c>
      <c r="Q1568" s="4" t="s">
        <v>26</v>
      </c>
      <c r="R1568" s="4">
        <v>0</v>
      </c>
      <c r="S1568" s="6">
        <v>0</v>
      </c>
      <c r="T1568" s="6">
        <v>2</v>
      </c>
      <c r="U1568" s="6">
        <v>72</v>
      </c>
      <c r="V1568" s="6">
        <f>IF(ISERROR(VLOOKUP($S$1568,'TAR FIN'!$A$1:$O$104,15,0)),0,VLOOKUP($S$1568,'TAR FIN'!$A$1:$O$104,15,0))</f>
        <v>0</v>
      </c>
      <c r="W1568" s="6">
        <f>IF(ISERROR(VLOOKUP($T$1568,'TAR FIN'!$A$1:$O$104,15,0)),0,VLOOKUP($T$1568,'TAR FIN'!$A$1:$O$104,15,0))</f>
        <v>341.2</v>
      </c>
      <c r="X1568" s="6">
        <f>IF(ISERROR(VLOOKUP($U$1568,'TAR FIN'!$A$1:$O$104,15,0)),0,VLOOKUP($U$1568,'TAR FIN'!$A$1:$O$104,15,0))</f>
        <v>255.72</v>
      </c>
      <c r="Y1568" s="6"/>
      <c r="Z1568" s="6">
        <f ca="1">('TUSD BE'!$AM$34+'TUSD BF'!$AM$34+'TUSD CVA'!$AM$34)*1</f>
        <v>356.61002995987536</v>
      </c>
      <c r="AA1568" s="6">
        <f>('TE BE'!$AB$13+'TE BF'!$AB$13+'TE CVA'!$AB$13)*1</f>
        <v>242.47071701268419</v>
      </c>
      <c r="AB1568" s="6">
        <f>$K$1568*$V$1568</f>
        <v>0</v>
      </c>
      <c r="AC1568" s="6">
        <f>$M$1568*$W$1568</f>
        <v>-1181.2344000000001</v>
      </c>
      <c r="AD1568" s="6">
        <f>$O$1568*$X$1568</f>
        <v>-885.30264</v>
      </c>
      <c r="AE1568" s="6">
        <f>$K$1568*$Y$1568</f>
        <v>0</v>
      </c>
      <c r="AF1568" s="6">
        <f ca="1">$M$1568*$Z$1568</f>
        <v>-1234.5839237210885</v>
      </c>
      <c r="AG1568" s="6">
        <f>$O$1568*$AA$1568</f>
        <v>-839.43362229791273</v>
      </c>
    </row>
    <row r="1569" spans="1:33" ht="11.25" customHeight="1" x14ac:dyDescent="0.25">
      <c r="A1569" s="4" t="s">
        <v>21</v>
      </c>
      <c r="B1569" s="4" t="s">
        <v>22</v>
      </c>
      <c r="C1569" s="4" t="s">
        <v>23</v>
      </c>
      <c r="D1569" s="4" t="s">
        <v>24</v>
      </c>
      <c r="E1569" s="4" t="s">
        <v>29</v>
      </c>
      <c r="F1569" s="4" t="s">
        <v>25</v>
      </c>
      <c r="G1569" s="4" t="s">
        <v>25</v>
      </c>
      <c r="H1569" s="4" t="s">
        <v>25</v>
      </c>
      <c r="I1569" s="5">
        <v>44409</v>
      </c>
      <c r="J1569" s="6">
        <v>0</v>
      </c>
      <c r="K1569" s="6">
        <v>0</v>
      </c>
      <c r="L1569" s="6">
        <v>13046.805</v>
      </c>
      <c r="M1569" s="6">
        <v>13046.805</v>
      </c>
      <c r="N1569" s="6">
        <v>13046.805</v>
      </c>
      <c r="O1569" s="6">
        <v>13046.805</v>
      </c>
      <c r="P1569" s="6">
        <v>45745</v>
      </c>
      <c r="Q1569" s="4" t="s">
        <v>26</v>
      </c>
      <c r="R1569" s="4">
        <v>0</v>
      </c>
      <c r="S1569" s="6">
        <v>0</v>
      </c>
      <c r="T1569" s="6">
        <v>4</v>
      </c>
      <c r="U1569" s="6">
        <v>73</v>
      </c>
      <c r="V1569" s="6">
        <f>IF(ISERROR(VLOOKUP($S$1569,'TAR FIN'!$A$1:$O$104,15,0)),0,VLOOKUP($S$1569,'TAR FIN'!$A$1:$O$104,15,0))</f>
        <v>0</v>
      </c>
      <c r="W1569" s="6">
        <f>IF(ISERROR(VLOOKUP($T$1569,'TAR FIN'!$A$1:$O$104,15,0)),0,VLOOKUP($T$1569,'TAR FIN'!$A$1:$O$104,15,0))</f>
        <v>104.85</v>
      </c>
      <c r="X1569" s="6">
        <f>IF(ISERROR(VLOOKUP($U$1569,'TAR FIN'!$A$1:$O$104,15,0)),0,VLOOKUP($U$1569,'TAR FIN'!$A$1:$O$104,15,0))</f>
        <v>89.5</v>
      </c>
      <c r="Y1569" s="6"/>
      <c r="Z1569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69" s="6">
        <f>('TE BE'!$AB$14+'TE BF'!$AB$14+'TE CVA'!$AB$14)*(1-CUSTOS!$M$34)</f>
        <v>84.864750954439458</v>
      </c>
      <c r="AB1569" s="6">
        <f>$K$1569*$V$1569</f>
        <v>0</v>
      </c>
      <c r="AC1569" s="6">
        <f>$M$1569*$W$1569</f>
        <v>1367957.50425</v>
      </c>
      <c r="AD1569" s="6">
        <f>$O$1569*$X$1569</f>
        <v>1167689.0475000001</v>
      </c>
      <c r="AE1569" s="6">
        <f>$K$1569*$Y$1569</f>
        <v>0</v>
      </c>
      <c r="AF1569" s="6">
        <f ca="1">$M$1569*$Z$1569</f>
        <v>1334573.6335082438</v>
      </c>
      <c r="AG1569" s="6">
        <f>$O$1569*$AA$1569</f>
        <v>1107213.8570761355</v>
      </c>
    </row>
    <row r="1570" spans="1:33" ht="11.25" customHeight="1" x14ac:dyDescent="0.25">
      <c r="A1570" s="4" t="s">
        <v>27</v>
      </c>
      <c r="B1570" s="4" t="s">
        <v>22</v>
      </c>
      <c r="C1570" s="4" t="s">
        <v>23</v>
      </c>
      <c r="D1570" s="4" t="s">
        <v>24</v>
      </c>
      <c r="E1570" s="4" t="s">
        <v>29</v>
      </c>
      <c r="F1570" s="4" t="s">
        <v>25</v>
      </c>
      <c r="G1570" s="4" t="s">
        <v>25</v>
      </c>
      <c r="H1570" s="4" t="s">
        <v>25</v>
      </c>
      <c r="I1570" s="5">
        <v>44409</v>
      </c>
      <c r="J1570" s="6">
        <v>0</v>
      </c>
      <c r="K1570" s="6">
        <v>0</v>
      </c>
      <c r="L1570" s="6">
        <v>2.44</v>
      </c>
      <c r="M1570" s="6">
        <v>2.44</v>
      </c>
      <c r="N1570" s="6">
        <v>2.44</v>
      </c>
      <c r="O1570" s="6">
        <v>2.44</v>
      </c>
      <c r="P1570" s="6">
        <v>32</v>
      </c>
      <c r="Q1570" s="4" t="s">
        <v>26</v>
      </c>
      <c r="R1570" s="4">
        <v>0</v>
      </c>
      <c r="S1570" s="6">
        <v>0</v>
      </c>
      <c r="T1570" s="6">
        <v>4</v>
      </c>
      <c r="U1570" s="6">
        <v>73</v>
      </c>
      <c r="V1570" s="6">
        <f>IF(ISERROR(VLOOKUP($S$1570,'TAR FIN'!$A$1:$O$104,15,0)),0,VLOOKUP($S$1570,'TAR FIN'!$A$1:$O$104,15,0))</f>
        <v>0</v>
      </c>
      <c r="W1570" s="6">
        <f>IF(ISERROR(VLOOKUP($T$1570,'TAR FIN'!$A$1:$O$104,15,0)),0,VLOOKUP($T$1570,'TAR FIN'!$A$1:$O$104,15,0))</f>
        <v>104.85</v>
      </c>
      <c r="X1570" s="6">
        <f>IF(ISERROR(VLOOKUP($U$1570,'TAR FIN'!$A$1:$O$104,15,0)),0,VLOOKUP($U$1570,'TAR FIN'!$A$1:$O$104,15,0))</f>
        <v>89.5</v>
      </c>
      <c r="Y1570" s="6"/>
      <c r="Z1570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70" s="6">
        <f>('TE BE'!$AB$14+'TE BF'!$AB$14+'TE CVA'!$AB$14)*(1-CUSTOS!$M$34)</f>
        <v>84.864750954439458</v>
      </c>
      <c r="AB1570" s="6">
        <f>$K$1570*$V$1570</f>
        <v>0</v>
      </c>
      <c r="AC1570" s="6">
        <f>$M$1570*$W$1570</f>
        <v>255.83399999999997</v>
      </c>
      <c r="AD1570" s="6">
        <f>$O$1570*$X$1570</f>
        <v>218.38</v>
      </c>
      <c r="AE1570" s="6">
        <f>$K$1570*$Y$1570</f>
        <v>0</v>
      </c>
      <c r="AF1570" s="6">
        <f ca="1">$M$1570*$Z$1570</f>
        <v>249.59058296342397</v>
      </c>
      <c r="AG1570" s="6">
        <f>$O$1570*$AA$1570</f>
        <v>207.06999232883229</v>
      </c>
    </row>
    <row r="1571" spans="1:33" ht="11.25" customHeight="1" x14ac:dyDescent="0.25">
      <c r="A1571" s="4" t="s">
        <v>28</v>
      </c>
      <c r="B1571" s="4" t="s">
        <v>22</v>
      </c>
      <c r="C1571" s="4" t="s">
        <v>23</v>
      </c>
      <c r="D1571" s="4" t="s">
        <v>24</v>
      </c>
      <c r="E1571" s="4" t="s">
        <v>29</v>
      </c>
      <c r="F1571" s="4" t="s">
        <v>25</v>
      </c>
      <c r="G1571" s="4" t="s">
        <v>25</v>
      </c>
      <c r="H1571" s="4" t="s">
        <v>25</v>
      </c>
      <c r="I1571" s="5">
        <v>44409</v>
      </c>
      <c r="J1571" s="6">
        <v>0</v>
      </c>
      <c r="K1571" s="6">
        <v>0</v>
      </c>
      <c r="L1571" s="6">
        <v>15.66</v>
      </c>
      <c r="M1571" s="6">
        <v>15.66</v>
      </c>
      <c r="N1571" s="6">
        <v>15.66</v>
      </c>
      <c r="O1571" s="6">
        <v>15.66</v>
      </c>
      <c r="P1571" s="6">
        <v>25</v>
      </c>
      <c r="Q1571" s="4" t="s">
        <v>26</v>
      </c>
      <c r="R1571" s="4">
        <v>0</v>
      </c>
      <c r="S1571" s="6">
        <v>0</v>
      </c>
      <c r="T1571" s="6">
        <v>4</v>
      </c>
      <c r="U1571" s="6">
        <v>73</v>
      </c>
      <c r="V1571" s="6">
        <f>IF(ISERROR(VLOOKUP($S$1571,'TAR FIN'!$A$1:$O$104,15,0)),0,VLOOKUP($S$1571,'TAR FIN'!$A$1:$O$104,15,0))</f>
        <v>0</v>
      </c>
      <c r="W1571" s="6">
        <f>IF(ISERROR(VLOOKUP($T$1571,'TAR FIN'!$A$1:$O$104,15,0)),0,VLOOKUP($T$1571,'TAR FIN'!$A$1:$O$104,15,0))</f>
        <v>104.85</v>
      </c>
      <c r="X1571" s="6">
        <f>IF(ISERROR(VLOOKUP($U$1571,'TAR FIN'!$A$1:$O$104,15,0)),0,VLOOKUP($U$1571,'TAR FIN'!$A$1:$O$104,15,0))</f>
        <v>89.5</v>
      </c>
      <c r="Y1571" s="6"/>
      <c r="Z1571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71" s="6">
        <f>('TE BE'!$AB$14+'TE BF'!$AB$14+'TE CVA'!$AB$14)*(1-CUSTOS!$M$34)</f>
        <v>84.864750954439458</v>
      </c>
      <c r="AB1571" s="6">
        <f>$K$1571*$V$1571</f>
        <v>0</v>
      </c>
      <c r="AC1571" s="6">
        <f>$M$1571*$W$1571</f>
        <v>1641.951</v>
      </c>
      <c r="AD1571" s="6">
        <f>$O$1571*$X$1571</f>
        <v>1401.57</v>
      </c>
      <c r="AE1571" s="6">
        <f>$K$1571*$Y$1571</f>
        <v>0</v>
      </c>
      <c r="AF1571" s="6">
        <f ca="1">$M$1571*$Z$1571</f>
        <v>1601.8805447570571</v>
      </c>
      <c r="AG1571" s="6">
        <f>$O$1571*$AA$1571</f>
        <v>1328.9819999465219</v>
      </c>
    </row>
    <row r="1572" spans="1:33" ht="11.25" customHeight="1" x14ac:dyDescent="0.25">
      <c r="A1572" s="4" t="s">
        <v>21</v>
      </c>
      <c r="B1572" s="4" t="s">
        <v>22</v>
      </c>
      <c r="C1572" s="4" t="s">
        <v>23</v>
      </c>
      <c r="D1572" s="4" t="s">
        <v>24</v>
      </c>
      <c r="E1572" s="4" t="s">
        <v>29</v>
      </c>
      <c r="F1572" s="4" t="s">
        <v>25</v>
      </c>
      <c r="G1572" s="4" t="s">
        <v>25</v>
      </c>
      <c r="H1572" s="4" t="s">
        <v>25</v>
      </c>
      <c r="I1572" s="5">
        <v>44440</v>
      </c>
      <c r="J1572" s="6">
        <v>0</v>
      </c>
      <c r="K1572" s="6">
        <v>0</v>
      </c>
      <c r="L1572" s="6">
        <v>12870.684999999999</v>
      </c>
      <c r="M1572" s="6">
        <v>12870.684999999999</v>
      </c>
      <c r="N1572" s="6">
        <v>12870.684999999999</v>
      </c>
      <c r="O1572" s="6">
        <v>12870.684999999999</v>
      </c>
      <c r="P1572" s="6">
        <v>44002</v>
      </c>
      <c r="Q1572" s="4" t="s">
        <v>26</v>
      </c>
      <c r="R1572" s="4">
        <v>0</v>
      </c>
      <c r="S1572" s="6">
        <v>0</v>
      </c>
      <c r="T1572" s="6">
        <v>4</v>
      </c>
      <c r="U1572" s="6">
        <v>73</v>
      </c>
      <c r="V1572" s="6">
        <f>IF(ISERROR(VLOOKUP($S$1572,'TAR FIN'!$A$1:$O$104,15,0)),0,VLOOKUP($S$1572,'TAR FIN'!$A$1:$O$104,15,0))</f>
        <v>0</v>
      </c>
      <c r="W1572" s="6">
        <f>IF(ISERROR(VLOOKUP($T$1572,'TAR FIN'!$A$1:$O$104,15,0)),0,VLOOKUP($T$1572,'TAR FIN'!$A$1:$O$104,15,0))</f>
        <v>104.85</v>
      </c>
      <c r="X1572" s="6">
        <f>IF(ISERROR(VLOOKUP($U$1572,'TAR FIN'!$A$1:$O$104,15,0)),0,VLOOKUP($U$1572,'TAR FIN'!$A$1:$O$104,15,0))</f>
        <v>89.5</v>
      </c>
      <c r="Y1572" s="6"/>
      <c r="Z1572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72" s="6">
        <f>('TE BE'!$AB$14+'TE BF'!$AB$14+'TE CVA'!$AB$14)*(1-CUSTOS!$M$34)</f>
        <v>84.864750954439458</v>
      </c>
      <c r="AB1572" s="6">
        <f>$K$1572*$V$1572</f>
        <v>0</v>
      </c>
      <c r="AC1572" s="6">
        <f>$M$1572*$W$1572</f>
        <v>1349491.32225</v>
      </c>
      <c r="AD1572" s="6">
        <f>$O$1572*$X$1572</f>
        <v>1151926.3074999999</v>
      </c>
      <c r="AE1572" s="6">
        <f>$K$1572*$Y$1572</f>
        <v>0</v>
      </c>
      <c r="AF1572" s="6">
        <f ca="1">$M$1572*$Z$1572</f>
        <v>1316558.1033969657</v>
      </c>
      <c r="AG1572" s="6">
        <f>$O$1572*$AA$1572</f>
        <v>1092267.4771380397</v>
      </c>
    </row>
    <row r="1573" spans="1:33" ht="11.25" customHeight="1" x14ac:dyDescent="0.25">
      <c r="A1573" s="4" t="s">
        <v>27</v>
      </c>
      <c r="B1573" s="4" t="s">
        <v>22</v>
      </c>
      <c r="C1573" s="4" t="s">
        <v>23</v>
      </c>
      <c r="D1573" s="4" t="s">
        <v>24</v>
      </c>
      <c r="E1573" s="4" t="s">
        <v>29</v>
      </c>
      <c r="F1573" s="4" t="s">
        <v>25</v>
      </c>
      <c r="G1573" s="4" t="s">
        <v>25</v>
      </c>
      <c r="H1573" s="4" t="s">
        <v>25</v>
      </c>
      <c r="I1573" s="5">
        <v>44440</v>
      </c>
      <c r="J1573" s="6">
        <v>0</v>
      </c>
      <c r="K1573" s="6">
        <v>0</v>
      </c>
      <c r="L1573" s="6">
        <v>4.0679999999999996</v>
      </c>
      <c r="M1573" s="6">
        <v>4.0679999999999996</v>
      </c>
      <c r="N1573" s="6">
        <v>4.0679999999999996</v>
      </c>
      <c r="O1573" s="6">
        <v>4.0679999999999996</v>
      </c>
      <c r="P1573" s="6">
        <v>55</v>
      </c>
      <c r="Q1573" s="4" t="s">
        <v>26</v>
      </c>
      <c r="R1573" s="4">
        <v>0</v>
      </c>
      <c r="S1573" s="6">
        <v>0</v>
      </c>
      <c r="T1573" s="6">
        <v>4</v>
      </c>
      <c r="U1573" s="6">
        <v>73</v>
      </c>
      <c r="V1573" s="6">
        <f>IF(ISERROR(VLOOKUP($S$1573,'TAR FIN'!$A$1:$O$104,15,0)),0,VLOOKUP($S$1573,'TAR FIN'!$A$1:$O$104,15,0))</f>
        <v>0</v>
      </c>
      <c r="W1573" s="6">
        <f>IF(ISERROR(VLOOKUP($T$1573,'TAR FIN'!$A$1:$O$104,15,0)),0,VLOOKUP($T$1573,'TAR FIN'!$A$1:$O$104,15,0))</f>
        <v>104.85</v>
      </c>
      <c r="X1573" s="6">
        <f>IF(ISERROR(VLOOKUP($U$1573,'TAR FIN'!$A$1:$O$104,15,0)),0,VLOOKUP($U$1573,'TAR FIN'!$A$1:$O$104,15,0))</f>
        <v>89.5</v>
      </c>
      <c r="Y1573" s="6"/>
      <c r="Z1573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73" s="6">
        <f>('TE BE'!$AB$14+'TE BF'!$AB$14+'TE CVA'!$AB$14)*(1-CUSTOS!$M$34)</f>
        <v>84.864750954439458</v>
      </c>
      <c r="AB1573" s="6">
        <f>$K$1573*$V$1573</f>
        <v>0</v>
      </c>
      <c r="AC1573" s="6">
        <f>$M$1573*$W$1573</f>
        <v>426.52979999999991</v>
      </c>
      <c r="AD1573" s="6">
        <f>$O$1573*$X$1573</f>
        <v>364.08599999999996</v>
      </c>
      <c r="AE1573" s="6">
        <f>$K$1573*$Y$1573</f>
        <v>0</v>
      </c>
      <c r="AF1573" s="6">
        <f ca="1">$M$1573*$Z$1573</f>
        <v>416.12069323574127</v>
      </c>
      <c r="AG1573" s="6">
        <f>$O$1573*$AA$1573</f>
        <v>345.22980688265966</v>
      </c>
    </row>
    <row r="1574" spans="1:33" ht="11.25" customHeight="1" x14ac:dyDescent="0.25">
      <c r="A1574" s="4" t="s">
        <v>28</v>
      </c>
      <c r="B1574" s="4" t="s">
        <v>22</v>
      </c>
      <c r="C1574" s="4" t="s">
        <v>23</v>
      </c>
      <c r="D1574" s="4" t="s">
        <v>24</v>
      </c>
      <c r="E1574" s="4" t="s">
        <v>29</v>
      </c>
      <c r="F1574" s="4" t="s">
        <v>25</v>
      </c>
      <c r="G1574" s="4" t="s">
        <v>25</v>
      </c>
      <c r="H1574" s="4" t="s">
        <v>25</v>
      </c>
      <c r="I1574" s="5">
        <v>44440</v>
      </c>
      <c r="J1574" s="6">
        <v>0</v>
      </c>
      <c r="K1574" s="6">
        <v>0</v>
      </c>
      <c r="L1574" s="6">
        <v>16.829999999999998</v>
      </c>
      <c r="M1574" s="6">
        <v>16.829999999999998</v>
      </c>
      <c r="N1574" s="6">
        <v>16.829999999999998</v>
      </c>
      <c r="O1574" s="6">
        <v>16.829999999999998</v>
      </c>
      <c r="P1574" s="6">
        <v>36</v>
      </c>
      <c r="Q1574" s="4" t="s">
        <v>26</v>
      </c>
      <c r="R1574" s="4">
        <v>0</v>
      </c>
      <c r="S1574" s="6">
        <v>0</v>
      </c>
      <c r="T1574" s="6">
        <v>4</v>
      </c>
      <c r="U1574" s="6">
        <v>73</v>
      </c>
      <c r="V1574" s="6">
        <f>IF(ISERROR(VLOOKUP($S$1574,'TAR FIN'!$A$1:$O$104,15,0)),0,VLOOKUP($S$1574,'TAR FIN'!$A$1:$O$104,15,0))</f>
        <v>0</v>
      </c>
      <c r="W1574" s="6">
        <f>IF(ISERROR(VLOOKUP($T$1574,'TAR FIN'!$A$1:$O$104,15,0)),0,VLOOKUP($T$1574,'TAR FIN'!$A$1:$O$104,15,0))</f>
        <v>104.85</v>
      </c>
      <c r="X1574" s="6">
        <f>IF(ISERROR(VLOOKUP($U$1574,'TAR FIN'!$A$1:$O$104,15,0)),0,VLOOKUP($U$1574,'TAR FIN'!$A$1:$O$104,15,0))</f>
        <v>89.5</v>
      </c>
      <c r="Y1574" s="6"/>
      <c r="Z1574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74" s="6">
        <f>('TE BE'!$AB$14+'TE BF'!$AB$14+'TE CVA'!$AB$14)*(1-CUSTOS!$M$34)</f>
        <v>84.864750954439458</v>
      </c>
      <c r="AB1574" s="6">
        <f>$K$1574*$V$1574</f>
        <v>0</v>
      </c>
      <c r="AC1574" s="6">
        <f>$M$1574*$W$1574</f>
        <v>1764.6254999999996</v>
      </c>
      <c r="AD1574" s="6">
        <f>$O$1574*$X$1574</f>
        <v>1506.2849999999999</v>
      </c>
      <c r="AE1574" s="6">
        <f>$K$1574*$Y$1574</f>
        <v>0</v>
      </c>
      <c r="AF1574" s="6">
        <f ca="1">$M$1574*$Z$1574</f>
        <v>1721.5612751124693</v>
      </c>
      <c r="AG1574" s="6">
        <f>$O$1574*$AA$1574</f>
        <v>1428.273758563216</v>
      </c>
    </row>
    <row r="1575" spans="1:33" ht="11.25" customHeight="1" x14ac:dyDescent="0.25">
      <c r="A1575" s="4" t="s">
        <v>21</v>
      </c>
      <c r="B1575" s="4" t="s">
        <v>22</v>
      </c>
      <c r="C1575" s="4" t="s">
        <v>23</v>
      </c>
      <c r="D1575" s="4" t="s">
        <v>24</v>
      </c>
      <c r="E1575" s="4" t="s">
        <v>29</v>
      </c>
      <c r="F1575" s="4" t="s">
        <v>25</v>
      </c>
      <c r="G1575" s="4" t="s">
        <v>25</v>
      </c>
      <c r="H1575" s="4" t="s">
        <v>25</v>
      </c>
      <c r="I1575" s="5">
        <v>44470</v>
      </c>
      <c r="J1575" s="6">
        <v>0</v>
      </c>
      <c r="K1575" s="6">
        <v>0</v>
      </c>
      <c r="L1575" s="6">
        <v>13028.805</v>
      </c>
      <c r="M1575" s="6">
        <v>13028.805</v>
      </c>
      <c r="N1575" s="6">
        <v>13028.805</v>
      </c>
      <c r="O1575" s="6">
        <v>13028.805</v>
      </c>
      <c r="P1575" s="6">
        <v>42538</v>
      </c>
      <c r="Q1575" s="4" t="s">
        <v>26</v>
      </c>
      <c r="R1575" s="4">
        <v>0</v>
      </c>
      <c r="S1575" s="6">
        <v>0</v>
      </c>
      <c r="T1575" s="6">
        <v>4</v>
      </c>
      <c r="U1575" s="6">
        <v>73</v>
      </c>
      <c r="V1575" s="6">
        <f>IF(ISERROR(VLOOKUP($S$1575,'TAR FIN'!$A$1:$O$104,15,0)),0,VLOOKUP($S$1575,'TAR FIN'!$A$1:$O$104,15,0))</f>
        <v>0</v>
      </c>
      <c r="W1575" s="6">
        <f>IF(ISERROR(VLOOKUP($T$1575,'TAR FIN'!$A$1:$O$104,15,0)),0,VLOOKUP($T$1575,'TAR FIN'!$A$1:$O$104,15,0))</f>
        <v>104.85</v>
      </c>
      <c r="X1575" s="6">
        <f>IF(ISERROR(VLOOKUP($U$1575,'TAR FIN'!$A$1:$O$104,15,0)),0,VLOOKUP($U$1575,'TAR FIN'!$A$1:$O$104,15,0))</f>
        <v>89.5</v>
      </c>
      <c r="Y1575" s="6"/>
      <c r="Z1575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75" s="6">
        <f>('TE BE'!$AB$14+'TE BF'!$AB$14+'TE CVA'!$AB$14)*(1-CUSTOS!$M$34)</f>
        <v>84.864750954439458</v>
      </c>
      <c r="AB1575" s="6">
        <f>$K$1575*$V$1575</f>
        <v>0</v>
      </c>
      <c r="AC1575" s="6">
        <f>$M$1575*$W$1575</f>
        <v>1366070.20425</v>
      </c>
      <c r="AD1575" s="6">
        <f>$O$1575*$X$1575</f>
        <v>1166078.0475000001</v>
      </c>
      <c r="AE1575" s="6">
        <f>$K$1575*$Y$1575</f>
        <v>0</v>
      </c>
      <c r="AF1575" s="6">
        <f ca="1">$M$1575*$Z$1575</f>
        <v>1332732.391502776</v>
      </c>
      <c r="AG1575" s="6">
        <f>$O$1575*$AA$1575</f>
        <v>1105686.2915589556</v>
      </c>
    </row>
    <row r="1576" spans="1:33" ht="11.25" customHeight="1" x14ac:dyDescent="0.25">
      <c r="A1576" s="4" t="s">
        <v>27</v>
      </c>
      <c r="B1576" s="4" t="s">
        <v>22</v>
      </c>
      <c r="C1576" s="4" t="s">
        <v>23</v>
      </c>
      <c r="D1576" s="4" t="s">
        <v>24</v>
      </c>
      <c r="E1576" s="4" t="s">
        <v>29</v>
      </c>
      <c r="F1576" s="4" t="s">
        <v>25</v>
      </c>
      <c r="G1576" s="4" t="s">
        <v>25</v>
      </c>
      <c r="H1576" s="4" t="s">
        <v>25</v>
      </c>
      <c r="I1576" s="5">
        <v>44470</v>
      </c>
      <c r="J1576" s="6">
        <v>0</v>
      </c>
      <c r="K1576" s="6">
        <v>0</v>
      </c>
      <c r="L1576" s="6">
        <v>4.2389999999999999</v>
      </c>
      <c r="M1576" s="6">
        <v>4.2389999999999999</v>
      </c>
      <c r="N1576" s="6">
        <v>4.2389999999999999</v>
      </c>
      <c r="O1576" s="6">
        <v>4.2389999999999999</v>
      </c>
      <c r="P1576" s="6">
        <v>63</v>
      </c>
      <c r="Q1576" s="4" t="s">
        <v>26</v>
      </c>
      <c r="R1576" s="4">
        <v>0</v>
      </c>
      <c r="S1576" s="6">
        <v>0</v>
      </c>
      <c r="T1576" s="6">
        <v>4</v>
      </c>
      <c r="U1576" s="6">
        <v>73</v>
      </c>
      <c r="V1576" s="6">
        <f>IF(ISERROR(VLOOKUP($S$1576,'TAR FIN'!$A$1:$O$104,15,0)),0,VLOOKUP($S$1576,'TAR FIN'!$A$1:$O$104,15,0))</f>
        <v>0</v>
      </c>
      <c r="W1576" s="6">
        <f>IF(ISERROR(VLOOKUP($T$1576,'TAR FIN'!$A$1:$O$104,15,0)),0,VLOOKUP($T$1576,'TAR FIN'!$A$1:$O$104,15,0))</f>
        <v>104.85</v>
      </c>
      <c r="X1576" s="6">
        <f>IF(ISERROR(VLOOKUP($U$1576,'TAR FIN'!$A$1:$O$104,15,0)),0,VLOOKUP($U$1576,'TAR FIN'!$A$1:$O$104,15,0))</f>
        <v>89.5</v>
      </c>
      <c r="Y1576" s="6"/>
      <c r="Z1576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76" s="6">
        <f>('TE BE'!$AB$14+'TE BF'!$AB$14+'TE CVA'!$AB$14)*(1-CUSTOS!$M$34)</f>
        <v>84.864750954439458</v>
      </c>
      <c r="AB1576" s="6">
        <f>$K$1576*$V$1576</f>
        <v>0</v>
      </c>
      <c r="AC1576" s="6">
        <f>$M$1576*$W$1576</f>
        <v>444.45914999999997</v>
      </c>
      <c r="AD1576" s="6">
        <f>$O$1576*$X$1576</f>
        <v>379.39049999999997</v>
      </c>
      <c r="AE1576" s="6">
        <f>$K$1576*$Y$1576</f>
        <v>0</v>
      </c>
      <c r="AF1576" s="6">
        <f ca="1">$M$1576*$Z$1576</f>
        <v>433.61249228768617</v>
      </c>
      <c r="AG1576" s="6">
        <f>$O$1576*$AA$1576</f>
        <v>359.74167929586883</v>
      </c>
    </row>
    <row r="1577" spans="1:33" ht="11.25" customHeight="1" x14ac:dyDescent="0.25">
      <c r="A1577" s="4" t="s">
        <v>28</v>
      </c>
      <c r="B1577" s="4" t="s">
        <v>22</v>
      </c>
      <c r="C1577" s="4" t="s">
        <v>23</v>
      </c>
      <c r="D1577" s="4" t="s">
        <v>24</v>
      </c>
      <c r="E1577" s="4" t="s">
        <v>29</v>
      </c>
      <c r="F1577" s="4" t="s">
        <v>25</v>
      </c>
      <c r="G1577" s="4" t="s">
        <v>25</v>
      </c>
      <c r="H1577" s="4" t="s">
        <v>25</v>
      </c>
      <c r="I1577" s="5">
        <v>44470</v>
      </c>
      <c r="J1577" s="6">
        <v>0</v>
      </c>
      <c r="K1577" s="6">
        <v>0</v>
      </c>
      <c r="L1577" s="6">
        <v>19.05</v>
      </c>
      <c r="M1577" s="6">
        <v>19.05</v>
      </c>
      <c r="N1577" s="6">
        <v>19.05</v>
      </c>
      <c r="O1577" s="6">
        <v>19.05</v>
      </c>
      <c r="P1577" s="6">
        <v>42</v>
      </c>
      <c r="Q1577" s="4" t="s">
        <v>26</v>
      </c>
      <c r="R1577" s="4">
        <v>0</v>
      </c>
      <c r="S1577" s="6">
        <v>0</v>
      </c>
      <c r="T1577" s="6">
        <v>4</v>
      </c>
      <c r="U1577" s="6">
        <v>73</v>
      </c>
      <c r="V1577" s="6">
        <f>IF(ISERROR(VLOOKUP($S$1577,'TAR FIN'!$A$1:$O$104,15,0)),0,VLOOKUP($S$1577,'TAR FIN'!$A$1:$O$104,15,0))</f>
        <v>0</v>
      </c>
      <c r="W1577" s="6">
        <f>IF(ISERROR(VLOOKUP($T$1577,'TAR FIN'!$A$1:$O$104,15,0)),0,VLOOKUP($T$1577,'TAR FIN'!$A$1:$O$104,15,0))</f>
        <v>104.85</v>
      </c>
      <c r="X1577" s="6">
        <f>IF(ISERROR(VLOOKUP($U$1577,'TAR FIN'!$A$1:$O$104,15,0)),0,VLOOKUP($U$1577,'TAR FIN'!$A$1:$O$104,15,0))</f>
        <v>89.5</v>
      </c>
      <c r="Y1577" s="6"/>
      <c r="Z1577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77" s="6">
        <f>('TE BE'!$AB$14+'TE BF'!$AB$14+'TE CVA'!$AB$14)*(1-CUSTOS!$M$34)</f>
        <v>84.864750954439458</v>
      </c>
      <c r="AB1577" s="6">
        <f>$K$1577*$V$1577</f>
        <v>0</v>
      </c>
      <c r="AC1577" s="6">
        <f>$M$1577*$W$1577</f>
        <v>1997.3924999999999</v>
      </c>
      <c r="AD1577" s="6">
        <f>$O$1577*$X$1577</f>
        <v>1704.9750000000001</v>
      </c>
      <c r="AE1577" s="6">
        <f>$K$1577*$Y$1577</f>
        <v>0</v>
      </c>
      <c r="AF1577" s="6">
        <f ca="1">$M$1577*$Z$1577</f>
        <v>1948.647789120175</v>
      </c>
      <c r="AG1577" s="6">
        <f>$O$1577*$AA$1577</f>
        <v>1616.6735056820717</v>
      </c>
    </row>
    <row r="1578" spans="1:33" ht="11.25" customHeight="1" x14ac:dyDescent="0.25">
      <c r="A1578" s="4" t="s">
        <v>21</v>
      </c>
      <c r="B1578" s="4" t="s">
        <v>22</v>
      </c>
      <c r="C1578" s="4" t="s">
        <v>23</v>
      </c>
      <c r="D1578" s="4" t="s">
        <v>24</v>
      </c>
      <c r="E1578" s="4" t="s">
        <v>29</v>
      </c>
      <c r="F1578" s="4" t="s">
        <v>25</v>
      </c>
      <c r="G1578" s="4" t="s">
        <v>25</v>
      </c>
      <c r="H1578" s="4" t="s">
        <v>25</v>
      </c>
      <c r="I1578" s="5">
        <v>44501</v>
      </c>
      <c r="J1578" s="6">
        <v>0</v>
      </c>
      <c r="K1578" s="6">
        <v>0</v>
      </c>
      <c r="L1578" s="6">
        <v>13189</v>
      </c>
      <c r="M1578" s="6">
        <v>13189</v>
      </c>
      <c r="N1578" s="6">
        <v>13189</v>
      </c>
      <c r="O1578" s="6">
        <v>13189</v>
      </c>
      <c r="P1578" s="6">
        <v>42924</v>
      </c>
      <c r="Q1578" s="4" t="s">
        <v>26</v>
      </c>
      <c r="R1578" s="4">
        <v>0</v>
      </c>
      <c r="S1578" s="6">
        <v>0</v>
      </c>
      <c r="T1578" s="6">
        <v>4</v>
      </c>
      <c r="U1578" s="6">
        <v>73</v>
      </c>
      <c r="V1578" s="6">
        <f>IF(ISERROR(VLOOKUP($S$1578,'TAR FIN'!$A$1:$O$104,15,0)),0,VLOOKUP($S$1578,'TAR FIN'!$A$1:$O$104,15,0))</f>
        <v>0</v>
      </c>
      <c r="W1578" s="6">
        <f>IF(ISERROR(VLOOKUP($T$1578,'TAR FIN'!$A$1:$O$104,15,0)),0,VLOOKUP($T$1578,'TAR FIN'!$A$1:$O$104,15,0))</f>
        <v>104.85</v>
      </c>
      <c r="X1578" s="6">
        <f>IF(ISERROR(VLOOKUP($U$1578,'TAR FIN'!$A$1:$O$104,15,0)),0,VLOOKUP($U$1578,'TAR FIN'!$A$1:$O$104,15,0))</f>
        <v>89.5</v>
      </c>
      <c r="Y1578" s="6"/>
      <c r="Z1578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78" s="6">
        <f>('TE BE'!$AB$14+'TE BF'!$AB$14+'TE CVA'!$AB$14)*(1-CUSTOS!$M$34)</f>
        <v>84.864750954439458</v>
      </c>
      <c r="AB1578" s="6">
        <f>$K$1578*$V$1578</f>
        <v>0</v>
      </c>
      <c r="AC1578" s="6">
        <f>$M$1578*$W$1578</f>
        <v>1382866.65</v>
      </c>
      <c r="AD1578" s="6">
        <f>$O$1578*$X$1578</f>
        <v>1180415.5</v>
      </c>
      <c r="AE1578" s="6">
        <f>$K$1578*$Y$1578</f>
        <v>0</v>
      </c>
      <c r="AF1578" s="6">
        <f ca="1">$M$1578*$Z$1578</f>
        <v>1349118.9338953274</v>
      </c>
      <c r="AG1578" s="6">
        <f>$O$1578*$AA$1578</f>
        <v>1119281.2003381019</v>
      </c>
    </row>
    <row r="1579" spans="1:33" ht="11.25" customHeight="1" x14ac:dyDescent="0.25">
      <c r="A1579" s="4" t="s">
        <v>27</v>
      </c>
      <c r="B1579" s="4" t="s">
        <v>22</v>
      </c>
      <c r="C1579" s="4" t="s">
        <v>23</v>
      </c>
      <c r="D1579" s="4" t="s">
        <v>24</v>
      </c>
      <c r="E1579" s="4" t="s">
        <v>29</v>
      </c>
      <c r="F1579" s="4" t="s">
        <v>25</v>
      </c>
      <c r="G1579" s="4" t="s">
        <v>25</v>
      </c>
      <c r="H1579" s="4" t="s">
        <v>25</v>
      </c>
      <c r="I1579" s="5">
        <v>44501</v>
      </c>
      <c r="J1579" s="6">
        <v>0</v>
      </c>
      <c r="K1579" s="6">
        <v>0</v>
      </c>
      <c r="L1579" s="6">
        <v>3.202</v>
      </c>
      <c r="M1579" s="6">
        <v>3.202</v>
      </c>
      <c r="N1579" s="6">
        <v>3.202</v>
      </c>
      <c r="O1579" s="6">
        <v>3.202</v>
      </c>
      <c r="P1579" s="6">
        <v>38</v>
      </c>
      <c r="Q1579" s="4" t="s">
        <v>26</v>
      </c>
      <c r="R1579" s="4">
        <v>0</v>
      </c>
      <c r="S1579" s="6">
        <v>0</v>
      </c>
      <c r="T1579" s="6">
        <v>4</v>
      </c>
      <c r="U1579" s="6">
        <v>73</v>
      </c>
      <c r="V1579" s="6">
        <f>IF(ISERROR(VLOOKUP($S$1579,'TAR FIN'!$A$1:$O$104,15,0)),0,VLOOKUP($S$1579,'TAR FIN'!$A$1:$O$104,15,0))</f>
        <v>0</v>
      </c>
      <c r="W1579" s="6">
        <f>IF(ISERROR(VLOOKUP($T$1579,'TAR FIN'!$A$1:$O$104,15,0)),0,VLOOKUP($T$1579,'TAR FIN'!$A$1:$O$104,15,0))</f>
        <v>104.85</v>
      </c>
      <c r="X1579" s="6">
        <f>IF(ISERROR(VLOOKUP($U$1579,'TAR FIN'!$A$1:$O$104,15,0)),0,VLOOKUP($U$1579,'TAR FIN'!$A$1:$O$104,15,0))</f>
        <v>89.5</v>
      </c>
      <c r="Y1579" s="6"/>
      <c r="Z1579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79" s="6">
        <f>('TE BE'!$AB$14+'TE BF'!$AB$14+'TE CVA'!$AB$14)*(1-CUSTOS!$M$34)</f>
        <v>84.864750954439458</v>
      </c>
      <c r="AB1579" s="6">
        <f>$K$1579*$V$1579</f>
        <v>0</v>
      </c>
      <c r="AC1579" s="6">
        <f>$M$1579*$W$1579</f>
        <v>335.72969999999998</v>
      </c>
      <c r="AD1579" s="6">
        <f>$O$1579*$X$1579</f>
        <v>286.57900000000001</v>
      </c>
      <c r="AE1579" s="6">
        <f>$K$1579*$Y$1579</f>
        <v>0</v>
      </c>
      <c r="AF1579" s="6">
        <f ca="1">$M$1579*$Z$1579</f>
        <v>327.53649452823095</v>
      </c>
      <c r="AG1579" s="6">
        <f>$O$1579*$AA$1579</f>
        <v>271.73693255611516</v>
      </c>
    </row>
    <row r="1580" spans="1:33" ht="11.25" customHeight="1" x14ac:dyDescent="0.25">
      <c r="A1580" s="4" t="s">
        <v>28</v>
      </c>
      <c r="B1580" s="4" t="s">
        <v>22</v>
      </c>
      <c r="C1580" s="4" t="s">
        <v>23</v>
      </c>
      <c r="D1580" s="4" t="s">
        <v>24</v>
      </c>
      <c r="E1580" s="4" t="s">
        <v>29</v>
      </c>
      <c r="F1580" s="4" t="s">
        <v>25</v>
      </c>
      <c r="G1580" s="4" t="s">
        <v>25</v>
      </c>
      <c r="H1580" s="4" t="s">
        <v>25</v>
      </c>
      <c r="I1580" s="5">
        <v>44501</v>
      </c>
      <c r="J1580" s="6">
        <v>0</v>
      </c>
      <c r="K1580" s="6">
        <v>0</v>
      </c>
      <c r="L1580" s="6">
        <v>19.829999999999998</v>
      </c>
      <c r="M1580" s="6">
        <v>19.829999999999998</v>
      </c>
      <c r="N1580" s="6">
        <v>19.829999999999998</v>
      </c>
      <c r="O1580" s="6">
        <v>19.829999999999998</v>
      </c>
      <c r="P1580" s="6">
        <v>8</v>
      </c>
      <c r="Q1580" s="4" t="s">
        <v>26</v>
      </c>
      <c r="R1580" s="4">
        <v>0</v>
      </c>
      <c r="S1580" s="6">
        <v>0</v>
      </c>
      <c r="T1580" s="6">
        <v>4</v>
      </c>
      <c r="U1580" s="6">
        <v>73</v>
      </c>
      <c r="V1580" s="6">
        <f>IF(ISERROR(VLOOKUP($S$1580,'TAR FIN'!$A$1:$O$104,15,0)),0,VLOOKUP($S$1580,'TAR FIN'!$A$1:$O$104,15,0))</f>
        <v>0</v>
      </c>
      <c r="W1580" s="6">
        <f>IF(ISERROR(VLOOKUP($T$1580,'TAR FIN'!$A$1:$O$104,15,0)),0,VLOOKUP($T$1580,'TAR FIN'!$A$1:$O$104,15,0))</f>
        <v>104.85</v>
      </c>
      <c r="X1580" s="6">
        <f>IF(ISERROR(VLOOKUP($U$1580,'TAR FIN'!$A$1:$O$104,15,0)),0,VLOOKUP($U$1580,'TAR FIN'!$A$1:$O$104,15,0))</f>
        <v>89.5</v>
      </c>
      <c r="Y1580" s="6"/>
      <c r="Z1580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80" s="6">
        <f>('TE BE'!$AB$14+'TE BF'!$AB$14+'TE CVA'!$AB$14)*(1-CUSTOS!$M$34)</f>
        <v>84.864750954439458</v>
      </c>
      <c r="AB1580" s="6">
        <f>$K$1580*$V$1580</f>
        <v>0</v>
      </c>
      <c r="AC1580" s="6">
        <f>$M$1580*$W$1580</f>
        <v>2079.1754999999998</v>
      </c>
      <c r="AD1580" s="6">
        <f>$O$1580*$X$1580</f>
        <v>1774.7849999999999</v>
      </c>
      <c r="AE1580" s="6">
        <f>$K$1580*$Y$1580</f>
        <v>0</v>
      </c>
      <c r="AF1580" s="6">
        <f ca="1">$M$1580*$Z$1580</f>
        <v>2028.4349426904496</v>
      </c>
      <c r="AG1580" s="6">
        <f>$O$1580*$AA$1580</f>
        <v>1682.8680114265344</v>
      </c>
    </row>
    <row r="1581" spans="1:33" ht="11.25" customHeight="1" x14ac:dyDescent="0.25">
      <c r="A1581" s="4" t="s">
        <v>21</v>
      </c>
      <c r="B1581" s="4" t="s">
        <v>22</v>
      </c>
      <c r="C1581" s="4" t="s">
        <v>23</v>
      </c>
      <c r="D1581" s="4" t="s">
        <v>24</v>
      </c>
      <c r="E1581" s="4" t="s">
        <v>29</v>
      </c>
      <c r="F1581" s="4" t="s">
        <v>25</v>
      </c>
      <c r="G1581" s="4" t="s">
        <v>25</v>
      </c>
      <c r="H1581" s="4" t="s">
        <v>25</v>
      </c>
      <c r="I1581" s="5">
        <v>44531</v>
      </c>
      <c r="J1581" s="6">
        <v>0</v>
      </c>
      <c r="K1581" s="6">
        <v>0</v>
      </c>
      <c r="L1581" s="6">
        <v>13127.332</v>
      </c>
      <c r="M1581" s="6">
        <v>13127.332</v>
      </c>
      <c r="N1581" s="6">
        <v>13127.332</v>
      </c>
      <c r="O1581" s="6">
        <v>13127.332</v>
      </c>
      <c r="P1581" s="6">
        <v>39320</v>
      </c>
      <c r="Q1581" s="4" t="s">
        <v>26</v>
      </c>
      <c r="R1581" s="4">
        <v>0</v>
      </c>
      <c r="S1581" s="6">
        <v>0</v>
      </c>
      <c r="T1581" s="6">
        <v>4</v>
      </c>
      <c r="U1581" s="6">
        <v>73</v>
      </c>
      <c r="V1581" s="6">
        <f>IF(ISERROR(VLOOKUP($S$1581,'TAR FIN'!$A$1:$O$104,15,0)),0,VLOOKUP($S$1581,'TAR FIN'!$A$1:$O$104,15,0))</f>
        <v>0</v>
      </c>
      <c r="W1581" s="6">
        <f>IF(ISERROR(VLOOKUP($T$1581,'TAR FIN'!$A$1:$O$104,15,0)),0,VLOOKUP($T$1581,'TAR FIN'!$A$1:$O$104,15,0))</f>
        <v>104.85</v>
      </c>
      <c r="X1581" s="6">
        <f>IF(ISERROR(VLOOKUP($U$1581,'TAR FIN'!$A$1:$O$104,15,0)),0,VLOOKUP($U$1581,'TAR FIN'!$A$1:$O$104,15,0))</f>
        <v>89.5</v>
      </c>
      <c r="Y1581" s="6"/>
      <c r="Z1581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81" s="6">
        <f>('TE BE'!$AB$14+'TE BF'!$AB$14+'TE CVA'!$AB$14)*(1-CUSTOS!$M$34)</f>
        <v>84.864750954439458</v>
      </c>
      <c r="AB1581" s="6">
        <f>$K$1581*$V$1581</f>
        <v>0</v>
      </c>
      <c r="AC1581" s="6">
        <f>$M$1581*$W$1581</f>
        <v>1376400.7601999999</v>
      </c>
      <c r="AD1581" s="6">
        <f>$O$1581*$X$1581</f>
        <v>1174896.2139999999</v>
      </c>
      <c r="AE1581" s="6">
        <f>$K$1581*$Y$1581</f>
        <v>0</v>
      </c>
      <c r="AF1581" s="6">
        <f ca="1">$M$1581*$Z$1581</f>
        <v>1342810.8387845946</v>
      </c>
      <c r="AG1581" s="6">
        <f>$O$1581*$AA$1581</f>
        <v>1114047.7608762437</v>
      </c>
    </row>
    <row r="1582" spans="1:33" ht="11.25" customHeight="1" x14ac:dyDescent="0.25">
      <c r="A1582" s="4" t="s">
        <v>27</v>
      </c>
      <c r="B1582" s="4" t="s">
        <v>22</v>
      </c>
      <c r="C1582" s="4" t="s">
        <v>23</v>
      </c>
      <c r="D1582" s="4" t="s">
        <v>24</v>
      </c>
      <c r="E1582" s="4" t="s">
        <v>29</v>
      </c>
      <c r="F1582" s="4" t="s">
        <v>25</v>
      </c>
      <c r="G1582" s="4" t="s">
        <v>25</v>
      </c>
      <c r="H1582" s="4" t="s">
        <v>25</v>
      </c>
      <c r="I1582" s="5">
        <v>44531</v>
      </c>
      <c r="J1582" s="6">
        <v>0</v>
      </c>
      <c r="K1582" s="6">
        <v>0</v>
      </c>
      <c r="L1582" s="6">
        <v>4.2729999999999997</v>
      </c>
      <c r="M1582" s="6">
        <v>4.2729999999999997</v>
      </c>
      <c r="N1582" s="6">
        <v>4.2729999999999997</v>
      </c>
      <c r="O1582" s="6">
        <v>4.2729999999999997</v>
      </c>
      <c r="P1582" s="6">
        <v>42</v>
      </c>
      <c r="Q1582" s="4" t="s">
        <v>26</v>
      </c>
      <c r="R1582" s="4">
        <v>0</v>
      </c>
      <c r="S1582" s="6">
        <v>0</v>
      </c>
      <c r="T1582" s="6">
        <v>4</v>
      </c>
      <c r="U1582" s="6">
        <v>73</v>
      </c>
      <c r="V1582" s="6">
        <f>IF(ISERROR(VLOOKUP($S$1582,'TAR FIN'!$A$1:$O$104,15,0)),0,VLOOKUP($S$1582,'TAR FIN'!$A$1:$O$104,15,0))</f>
        <v>0</v>
      </c>
      <c r="W1582" s="6">
        <f>IF(ISERROR(VLOOKUP($T$1582,'TAR FIN'!$A$1:$O$104,15,0)),0,VLOOKUP($T$1582,'TAR FIN'!$A$1:$O$104,15,0))</f>
        <v>104.85</v>
      </c>
      <c r="X1582" s="6">
        <f>IF(ISERROR(VLOOKUP($U$1582,'TAR FIN'!$A$1:$O$104,15,0)),0,VLOOKUP($U$1582,'TAR FIN'!$A$1:$O$104,15,0))</f>
        <v>89.5</v>
      </c>
      <c r="Y1582" s="6"/>
      <c r="Z1582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82" s="6">
        <f>('TE BE'!$AB$14+'TE BF'!$AB$14+'TE CVA'!$AB$14)*(1-CUSTOS!$M$34)</f>
        <v>84.864750954439458</v>
      </c>
      <c r="AB1582" s="6">
        <f>$K$1582*$V$1582</f>
        <v>0</v>
      </c>
      <c r="AC1582" s="6">
        <f>$M$1582*$W$1582</f>
        <v>448.02404999999993</v>
      </c>
      <c r="AD1582" s="6">
        <f>$O$1582*$X$1582</f>
        <v>382.43349999999998</v>
      </c>
      <c r="AE1582" s="6">
        <f>$K$1582*$Y$1582</f>
        <v>0</v>
      </c>
      <c r="AF1582" s="6">
        <f ca="1">$M$1582*$Z$1582</f>
        <v>437.09039385356994</v>
      </c>
      <c r="AG1582" s="6">
        <f>$O$1582*$AA$1582</f>
        <v>362.62708082831978</v>
      </c>
    </row>
    <row r="1583" spans="1:33" ht="11.25" customHeight="1" x14ac:dyDescent="0.25">
      <c r="A1583" s="4" t="s">
        <v>28</v>
      </c>
      <c r="B1583" s="4" t="s">
        <v>22</v>
      </c>
      <c r="C1583" s="4" t="s">
        <v>23</v>
      </c>
      <c r="D1583" s="4" t="s">
        <v>24</v>
      </c>
      <c r="E1583" s="4" t="s">
        <v>29</v>
      </c>
      <c r="F1583" s="4" t="s">
        <v>25</v>
      </c>
      <c r="G1583" s="4" t="s">
        <v>25</v>
      </c>
      <c r="H1583" s="4" t="s">
        <v>25</v>
      </c>
      <c r="I1583" s="5">
        <v>44531</v>
      </c>
      <c r="J1583" s="6">
        <v>0</v>
      </c>
      <c r="K1583" s="6">
        <v>0</v>
      </c>
      <c r="L1583" s="6">
        <v>21.3</v>
      </c>
      <c r="M1583" s="6">
        <v>21.3</v>
      </c>
      <c r="N1583" s="6">
        <v>21.3</v>
      </c>
      <c r="O1583" s="6">
        <v>21.3</v>
      </c>
      <c r="P1583" s="6">
        <v>37</v>
      </c>
      <c r="Q1583" s="4" t="s">
        <v>26</v>
      </c>
      <c r="R1583" s="4">
        <v>0</v>
      </c>
      <c r="S1583" s="6">
        <v>0</v>
      </c>
      <c r="T1583" s="6">
        <v>4</v>
      </c>
      <c r="U1583" s="6">
        <v>73</v>
      </c>
      <c r="V1583" s="6">
        <f>IF(ISERROR(VLOOKUP($S$1583,'TAR FIN'!$A$1:$O$104,15,0)),0,VLOOKUP($S$1583,'TAR FIN'!$A$1:$O$104,15,0))</f>
        <v>0</v>
      </c>
      <c r="W1583" s="6">
        <f>IF(ISERROR(VLOOKUP($T$1583,'TAR FIN'!$A$1:$O$104,15,0)),0,VLOOKUP($T$1583,'TAR FIN'!$A$1:$O$104,15,0))</f>
        <v>104.85</v>
      </c>
      <c r="X1583" s="6">
        <f>IF(ISERROR(VLOOKUP($U$1583,'TAR FIN'!$A$1:$O$104,15,0)),0,VLOOKUP($U$1583,'TAR FIN'!$A$1:$O$104,15,0))</f>
        <v>89.5</v>
      </c>
      <c r="Y1583" s="6"/>
      <c r="Z1583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83" s="6">
        <f>('TE BE'!$AB$14+'TE BF'!$AB$14+'TE CVA'!$AB$14)*(1-CUSTOS!$M$34)</f>
        <v>84.864750954439458</v>
      </c>
      <c r="AB1583" s="6">
        <f>$K$1583*$V$1583</f>
        <v>0</v>
      </c>
      <c r="AC1583" s="6">
        <f>$M$1583*$W$1583</f>
        <v>2233.3049999999998</v>
      </c>
      <c r="AD1583" s="6">
        <f>$O$1583*$X$1583</f>
        <v>1906.3500000000001</v>
      </c>
      <c r="AE1583" s="6">
        <f>$K$1583*$Y$1583</f>
        <v>0</v>
      </c>
      <c r="AF1583" s="6">
        <f ca="1">$M$1583*$Z$1583</f>
        <v>2178.8030398036603</v>
      </c>
      <c r="AG1583" s="6">
        <f>$O$1583*$AA$1583</f>
        <v>1807.6191953295606</v>
      </c>
    </row>
    <row r="1584" spans="1:33" ht="11.25" customHeight="1" x14ac:dyDescent="0.25">
      <c r="A1584" s="4" t="s">
        <v>21</v>
      </c>
      <c r="B1584" s="4" t="s">
        <v>22</v>
      </c>
      <c r="C1584" s="4" t="s">
        <v>23</v>
      </c>
      <c r="D1584" s="4" t="s">
        <v>24</v>
      </c>
      <c r="E1584" s="4" t="s">
        <v>29</v>
      </c>
      <c r="F1584" s="4" t="s">
        <v>25</v>
      </c>
      <c r="G1584" s="4" t="s">
        <v>25</v>
      </c>
      <c r="H1584" s="4" t="s">
        <v>25</v>
      </c>
      <c r="I1584" s="5">
        <v>44562</v>
      </c>
      <c r="J1584" s="6">
        <v>0</v>
      </c>
      <c r="K1584" s="6">
        <v>0</v>
      </c>
      <c r="L1584" s="6">
        <v>13158.582</v>
      </c>
      <c r="M1584" s="6">
        <v>13158.582</v>
      </c>
      <c r="N1584" s="6">
        <v>13158.582</v>
      </c>
      <c r="O1584" s="6">
        <v>13158.582</v>
      </c>
      <c r="P1584" s="6">
        <v>40119</v>
      </c>
      <c r="Q1584" s="4" t="s">
        <v>26</v>
      </c>
      <c r="R1584" s="4">
        <v>0</v>
      </c>
      <c r="S1584" s="6">
        <v>0</v>
      </c>
      <c r="T1584" s="6">
        <v>4</v>
      </c>
      <c r="U1584" s="6">
        <v>73</v>
      </c>
      <c r="V1584" s="6">
        <f>IF(ISERROR(VLOOKUP($S$1584,'TAR FIN'!$A$1:$O$104,15,0)),0,VLOOKUP($S$1584,'TAR FIN'!$A$1:$O$104,15,0))</f>
        <v>0</v>
      </c>
      <c r="W1584" s="6">
        <f>IF(ISERROR(VLOOKUP($T$1584,'TAR FIN'!$A$1:$O$104,15,0)),0,VLOOKUP($T$1584,'TAR FIN'!$A$1:$O$104,15,0))</f>
        <v>104.85</v>
      </c>
      <c r="X1584" s="6">
        <f>IF(ISERROR(VLOOKUP($U$1584,'TAR FIN'!$A$1:$O$104,15,0)),0,VLOOKUP($U$1584,'TAR FIN'!$A$1:$O$104,15,0))</f>
        <v>89.5</v>
      </c>
      <c r="Y1584" s="6"/>
      <c r="Z1584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84" s="6">
        <f>('TE BE'!$AB$14+'TE BF'!$AB$14+'TE CVA'!$AB$14)*(1-CUSTOS!$M$34)</f>
        <v>84.864750954439458</v>
      </c>
      <c r="AB1584" s="6">
        <f>$K$1584*$V$1584</f>
        <v>0</v>
      </c>
      <c r="AC1584" s="6">
        <f>$M$1584*$W$1584</f>
        <v>1379677.3226999999</v>
      </c>
      <c r="AD1584" s="6">
        <f>$O$1584*$X$1584</f>
        <v>1177693.0889999999</v>
      </c>
      <c r="AE1584" s="6">
        <f>$K$1584*$Y$1584</f>
        <v>0</v>
      </c>
      <c r="AF1584" s="6">
        <f ca="1">$M$1584*$Z$1584</f>
        <v>1346007.4394885318</v>
      </c>
      <c r="AG1584" s="6">
        <f>$O$1584*$AA$1584</f>
        <v>1116699.78434357</v>
      </c>
    </row>
    <row r="1585" spans="1:33" ht="11.25" customHeight="1" x14ac:dyDescent="0.25">
      <c r="A1585" s="4" t="s">
        <v>27</v>
      </c>
      <c r="B1585" s="4" t="s">
        <v>22</v>
      </c>
      <c r="C1585" s="4" t="s">
        <v>23</v>
      </c>
      <c r="D1585" s="4" t="s">
        <v>24</v>
      </c>
      <c r="E1585" s="4" t="s">
        <v>29</v>
      </c>
      <c r="F1585" s="4" t="s">
        <v>25</v>
      </c>
      <c r="G1585" s="4" t="s">
        <v>25</v>
      </c>
      <c r="H1585" s="4" t="s">
        <v>25</v>
      </c>
      <c r="I1585" s="5">
        <v>44562</v>
      </c>
      <c r="J1585" s="6">
        <v>0</v>
      </c>
      <c r="K1585" s="6">
        <v>0</v>
      </c>
      <c r="L1585" s="6">
        <v>6.6429999999999998</v>
      </c>
      <c r="M1585" s="6">
        <v>6.6429999999999998</v>
      </c>
      <c r="N1585" s="6">
        <v>6.6429999999999998</v>
      </c>
      <c r="O1585" s="6">
        <v>6.6429999999999998</v>
      </c>
      <c r="P1585" s="6">
        <v>54</v>
      </c>
      <c r="Q1585" s="4" t="s">
        <v>26</v>
      </c>
      <c r="R1585" s="4">
        <v>0</v>
      </c>
      <c r="S1585" s="6">
        <v>0</v>
      </c>
      <c r="T1585" s="6">
        <v>4</v>
      </c>
      <c r="U1585" s="6">
        <v>73</v>
      </c>
      <c r="V1585" s="6">
        <f>IF(ISERROR(VLOOKUP($S$1585,'TAR FIN'!$A$1:$O$104,15,0)),0,VLOOKUP($S$1585,'TAR FIN'!$A$1:$O$104,15,0))</f>
        <v>0</v>
      </c>
      <c r="W1585" s="6">
        <f>IF(ISERROR(VLOOKUP($T$1585,'TAR FIN'!$A$1:$O$104,15,0)),0,VLOOKUP($T$1585,'TAR FIN'!$A$1:$O$104,15,0))</f>
        <v>104.85</v>
      </c>
      <c r="X1585" s="6">
        <f>IF(ISERROR(VLOOKUP($U$1585,'TAR FIN'!$A$1:$O$104,15,0)),0,VLOOKUP($U$1585,'TAR FIN'!$A$1:$O$104,15,0))</f>
        <v>89.5</v>
      </c>
      <c r="Y1585" s="6"/>
      <c r="Z1585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85" s="6">
        <f>('TE BE'!$AB$14+'TE BF'!$AB$14+'TE CVA'!$AB$14)*(1-CUSTOS!$M$34)</f>
        <v>84.864750954439458</v>
      </c>
      <c r="AB1585" s="6">
        <f>$K$1585*$V$1585</f>
        <v>0</v>
      </c>
      <c r="AC1585" s="6">
        <f>$M$1585*$W$1585</f>
        <v>696.51854999999989</v>
      </c>
      <c r="AD1585" s="6">
        <f>$O$1585*$X$1585</f>
        <v>594.54849999999999</v>
      </c>
      <c r="AE1585" s="6">
        <f>$K$1585*$Y$1585</f>
        <v>0</v>
      </c>
      <c r="AF1585" s="6">
        <f ca="1">$M$1585*$Z$1585</f>
        <v>679.52059124017433</v>
      </c>
      <c r="AG1585" s="6">
        <f>$O$1585*$AA$1585</f>
        <v>563.75654059034127</v>
      </c>
    </row>
    <row r="1586" spans="1:33" ht="11.25" customHeight="1" x14ac:dyDescent="0.25">
      <c r="A1586" s="4" t="s">
        <v>28</v>
      </c>
      <c r="B1586" s="4" t="s">
        <v>22</v>
      </c>
      <c r="C1586" s="4" t="s">
        <v>23</v>
      </c>
      <c r="D1586" s="4" t="s">
        <v>24</v>
      </c>
      <c r="E1586" s="4" t="s">
        <v>29</v>
      </c>
      <c r="F1586" s="4" t="s">
        <v>25</v>
      </c>
      <c r="G1586" s="4" t="s">
        <v>25</v>
      </c>
      <c r="H1586" s="4" t="s">
        <v>25</v>
      </c>
      <c r="I1586" s="5">
        <v>44562</v>
      </c>
      <c r="J1586" s="6">
        <v>0</v>
      </c>
      <c r="K1586" s="6">
        <v>0</v>
      </c>
      <c r="L1586" s="6">
        <v>22.62</v>
      </c>
      <c r="M1586" s="6">
        <v>22.62</v>
      </c>
      <c r="N1586" s="6">
        <v>22.62</v>
      </c>
      <c r="O1586" s="6">
        <v>22.62</v>
      </c>
      <c r="P1586" s="6">
        <v>37</v>
      </c>
      <c r="Q1586" s="4" t="s">
        <v>26</v>
      </c>
      <c r="R1586" s="4">
        <v>0</v>
      </c>
      <c r="S1586" s="6">
        <v>0</v>
      </c>
      <c r="T1586" s="6">
        <v>4</v>
      </c>
      <c r="U1586" s="6">
        <v>73</v>
      </c>
      <c r="V1586" s="6">
        <f>IF(ISERROR(VLOOKUP($S$1586,'TAR FIN'!$A$1:$O$104,15,0)),0,VLOOKUP($S$1586,'TAR FIN'!$A$1:$O$104,15,0))</f>
        <v>0</v>
      </c>
      <c r="W1586" s="6">
        <f>IF(ISERROR(VLOOKUP($T$1586,'TAR FIN'!$A$1:$O$104,15,0)),0,VLOOKUP($T$1586,'TAR FIN'!$A$1:$O$104,15,0))</f>
        <v>104.85</v>
      </c>
      <c r="X1586" s="6">
        <f>IF(ISERROR(VLOOKUP($U$1586,'TAR FIN'!$A$1:$O$104,15,0)),0,VLOOKUP($U$1586,'TAR FIN'!$A$1:$O$104,15,0))</f>
        <v>89.5</v>
      </c>
      <c r="Y1586" s="6"/>
      <c r="Z1586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86" s="6">
        <f>('TE BE'!$AB$14+'TE BF'!$AB$14+'TE CVA'!$AB$14)*(1-CUSTOS!$M$34)</f>
        <v>84.864750954439458</v>
      </c>
      <c r="AB1586" s="6">
        <f>$K$1586*$V$1586</f>
        <v>0</v>
      </c>
      <c r="AC1586" s="6">
        <f>$M$1586*$W$1586</f>
        <v>2371.7069999999999</v>
      </c>
      <c r="AD1586" s="6">
        <f>$O$1586*$X$1586</f>
        <v>2024.49</v>
      </c>
      <c r="AE1586" s="6">
        <f>$K$1586*$Y$1586</f>
        <v>0</v>
      </c>
      <c r="AF1586" s="6">
        <f ca="1">$M$1586*$Z$1586</f>
        <v>2313.8274535379715</v>
      </c>
      <c r="AG1586" s="6">
        <f>$O$1586*$AA$1586</f>
        <v>1919.6406665894206</v>
      </c>
    </row>
    <row r="1587" spans="1:33" ht="11.25" customHeight="1" x14ac:dyDescent="0.25">
      <c r="A1587" s="4" t="s">
        <v>28</v>
      </c>
      <c r="B1587" s="4" t="s">
        <v>22</v>
      </c>
      <c r="C1587" s="4" t="s">
        <v>23</v>
      </c>
      <c r="D1587" s="4" t="s">
        <v>24</v>
      </c>
      <c r="E1587" s="4" t="s">
        <v>29</v>
      </c>
      <c r="F1587" s="4" t="s">
        <v>25</v>
      </c>
      <c r="G1587" s="4" t="s">
        <v>25</v>
      </c>
      <c r="H1587" s="4" t="s">
        <v>25</v>
      </c>
      <c r="I1587" s="5">
        <v>44562</v>
      </c>
      <c r="J1587" s="6">
        <v>0</v>
      </c>
      <c r="K1587" s="6">
        <v>0</v>
      </c>
      <c r="L1587" s="6">
        <v>0.377</v>
      </c>
      <c r="M1587" s="6">
        <v>0.377</v>
      </c>
      <c r="N1587" s="6">
        <v>0.377</v>
      </c>
      <c r="O1587" s="6">
        <v>0.377</v>
      </c>
      <c r="P1587" s="6">
        <v>1</v>
      </c>
      <c r="Q1587" s="4" t="s">
        <v>26</v>
      </c>
      <c r="R1587" s="4">
        <v>0</v>
      </c>
      <c r="S1587" s="6">
        <v>0</v>
      </c>
      <c r="T1587" s="6">
        <v>4</v>
      </c>
      <c r="U1587" s="6">
        <v>73</v>
      </c>
      <c r="V1587" s="6">
        <f>IF(ISERROR(VLOOKUP($S$1587,'TAR FIN'!$A$1:$O$104,15,0)),0,VLOOKUP($S$1587,'TAR FIN'!$A$1:$O$104,15,0))</f>
        <v>0</v>
      </c>
      <c r="W1587" s="6">
        <f>IF(ISERROR(VLOOKUP($T$1587,'TAR FIN'!$A$1:$O$104,15,0)),0,VLOOKUP($T$1587,'TAR FIN'!$A$1:$O$104,15,0))</f>
        <v>104.85</v>
      </c>
      <c r="X1587" s="6">
        <f>IF(ISERROR(VLOOKUP($U$1587,'TAR FIN'!$A$1:$O$104,15,0)),0,VLOOKUP($U$1587,'TAR FIN'!$A$1:$O$104,15,0))</f>
        <v>89.5</v>
      </c>
      <c r="Y1587" s="6"/>
      <c r="Z1587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87" s="6">
        <f>('TE BE'!$AB$14+'TE BF'!$AB$14+'TE CVA'!$AB$14)*(1-CUSTOS!$M$34)</f>
        <v>84.864750954439458</v>
      </c>
      <c r="AB1587" s="6">
        <f>$K$1587*$V$1587</f>
        <v>0</v>
      </c>
      <c r="AC1587" s="6">
        <f>$M$1587*$W$1587</f>
        <v>39.528449999999999</v>
      </c>
      <c r="AD1587" s="6">
        <f>$O$1587*$X$1587</f>
        <v>33.741500000000002</v>
      </c>
      <c r="AE1587" s="6">
        <f>$K$1587*$Y$1587</f>
        <v>0</v>
      </c>
      <c r="AF1587" s="6">
        <f ca="1">$M$1587*$Z$1587</f>
        <v>38.563790892299522</v>
      </c>
      <c r="AG1587" s="6">
        <f>$O$1587*$AA$1587</f>
        <v>31.994011109823674</v>
      </c>
    </row>
    <row r="1588" spans="1:33" ht="11.25" customHeight="1" x14ac:dyDescent="0.25">
      <c r="A1588" s="4" t="s">
        <v>21</v>
      </c>
      <c r="B1588" s="4" t="s">
        <v>22</v>
      </c>
      <c r="C1588" s="4" t="s">
        <v>23</v>
      </c>
      <c r="D1588" s="4" t="s">
        <v>24</v>
      </c>
      <c r="E1588" s="4" t="s">
        <v>29</v>
      </c>
      <c r="F1588" s="4" t="s">
        <v>25</v>
      </c>
      <c r="G1588" s="4" t="s">
        <v>25</v>
      </c>
      <c r="H1588" s="4" t="s">
        <v>25</v>
      </c>
      <c r="I1588" s="5">
        <v>44593</v>
      </c>
      <c r="J1588" s="6">
        <v>0</v>
      </c>
      <c r="K1588" s="6">
        <v>0</v>
      </c>
      <c r="L1588" s="6">
        <v>13427.204</v>
      </c>
      <c r="M1588" s="6">
        <v>13427.204</v>
      </c>
      <c r="N1588" s="6">
        <v>13427.204</v>
      </c>
      <c r="O1588" s="6">
        <v>13427.204</v>
      </c>
      <c r="P1588" s="6">
        <v>43318</v>
      </c>
      <c r="Q1588" s="4" t="s">
        <v>26</v>
      </c>
      <c r="R1588" s="4">
        <v>0</v>
      </c>
      <c r="S1588" s="6">
        <v>0</v>
      </c>
      <c r="T1588" s="6">
        <v>4</v>
      </c>
      <c r="U1588" s="6">
        <v>73</v>
      </c>
      <c r="V1588" s="6">
        <f>IF(ISERROR(VLOOKUP($S$1588,'TAR FIN'!$A$1:$O$104,15,0)),0,VLOOKUP($S$1588,'TAR FIN'!$A$1:$O$104,15,0))</f>
        <v>0</v>
      </c>
      <c r="W1588" s="6">
        <f>IF(ISERROR(VLOOKUP($T$1588,'TAR FIN'!$A$1:$O$104,15,0)),0,VLOOKUP($T$1588,'TAR FIN'!$A$1:$O$104,15,0))</f>
        <v>104.85</v>
      </c>
      <c r="X1588" s="6">
        <f>IF(ISERROR(VLOOKUP($U$1588,'TAR FIN'!$A$1:$O$104,15,0)),0,VLOOKUP($U$1588,'TAR FIN'!$A$1:$O$104,15,0))</f>
        <v>89.5</v>
      </c>
      <c r="Y1588" s="6"/>
      <c r="Z1588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88" s="6">
        <f>('TE BE'!$AB$14+'TE BF'!$AB$14+'TE CVA'!$AB$14)*(1-CUSTOS!$M$34)</f>
        <v>84.864750954439458</v>
      </c>
      <c r="AB1588" s="6">
        <f>$K$1588*$V$1588</f>
        <v>0</v>
      </c>
      <c r="AC1588" s="6">
        <f>$M$1588*$W$1588</f>
        <v>1407842.3393999999</v>
      </c>
      <c r="AD1588" s="6">
        <f>$O$1588*$X$1588</f>
        <v>1201734.7579999999</v>
      </c>
      <c r="AE1588" s="6">
        <f>$K$1588*$Y$1588</f>
        <v>0</v>
      </c>
      <c r="AF1588" s="6">
        <f ca="1">$M$1588*$Z$1588</f>
        <v>1373485.1122659091</v>
      </c>
      <c r="AG1588" s="6">
        <f>$O$1588*$AA$1588</f>
        <v>1139496.3234744533</v>
      </c>
    </row>
    <row r="1589" spans="1:33" ht="11.25" customHeight="1" x14ac:dyDescent="0.25">
      <c r="A1589" s="4" t="s">
        <v>27</v>
      </c>
      <c r="B1589" s="4" t="s">
        <v>22</v>
      </c>
      <c r="C1589" s="4" t="s">
        <v>23</v>
      </c>
      <c r="D1589" s="4" t="s">
        <v>24</v>
      </c>
      <c r="E1589" s="4" t="s">
        <v>29</v>
      </c>
      <c r="F1589" s="4" t="s">
        <v>25</v>
      </c>
      <c r="G1589" s="4" t="s">
        <v>25</v>
      </c>
      <c r="H1589" s="4" t="s">
        <v>25</v>
      </c>
      <c r="I1589" s="5">
        <v>44593</v>
      </c>
      <c r="J1589" s="6">
        <v>0</v>
      </c>
      <c r="K1589" s="6">
        <v>0</v>
      </c>
      <c r="L1589" s="6">
        <v>9.8789999999999996</v>
      </c>
      <c r="M1589" s="6">
        <v>9.8789999999999996</v>
      </c>
      <c r="N1589" s="6">
        <v>9.8789999999999996</v>
      </c>
      <c r="O1589" s="6">
        <v>9.8789999999999996</v>
      </c>
      <c r="P1589" s="6">
        <v>80</v>
      </c>
      <c r="Q1589" s="4" t="s">
        <v>26</v>
      </c>
      <c r="R1589" s="4">
        <v>0</v>
      </c>
      <c r="S1589" s="6">
        <v>0</v>
      </c>
      <c r="T1589" s="6">
        <v>4</v>
      </c>
      <c r="U1589" s="6">
        <v>73</v>
      </c>
      <c r="V1589" s="6">
        <f>IF(ISERROR(VLOOKUP($S$1589,'TAR FIN'!$A$1:$O$104,15,0)),0,VLOOKUP($S$1589,'TAR FIN'!$A$1:$O$104,15,0))</f>
        <v>0</v>
      </c>
      <c r="W1589" s="6">
        <f>IF(ISERROR(VLOOKUP($T$1589,'TAR FIN'!$A$1:$O$104,15,0)),0,VLOOKUP($T$1589,'TAR FIN'!$A$1:$O$104,15,0))</f>
        <v>104.85</v>
      </c>
      <c r="X1589" s="6">
        <f>IF(ISERROR(VLOOKUP($U$1589,'TAR FIN'!$A$1:$O$104,15,0)),0,VLOOKUP($U$1589,'TAR FIN'!$A$1:$O$104,15,0))</f>
        <v>89.5</v>
      </c>
      <c r="Y1589" s="6"/>
      <c r="Z1589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89" s="6">
        <f>('TE BE'!$AB$14+'TE BF'!$AB$14+'TE CVA'!$AB$14)*(1-CUSTOS!$M$34)</f>
        <v>84.864750954439458</v>
      </c>
      <c r="AB1589" s="6">
        <f>$K$1589*$V$1589</f>
        <v>0</v>
      </c>
      <c r="AC1589" s="6">
        <f>$M$1589*$W$1589</f>
        <v>1035.81315</v>
      </c>
      <c r="AD1589" s="6">
        <f>$O$1589*$X$1589</f>
        <v>884.17049999999995</v>
      </c>
      <c r="AE1589" s="6">
        <f>$K$1589*$Y$1589</f>
        <v>0</v>
      </c>
      <c r="AF1589" s="6">
        <f ca="1">$M$1589*$Z$1589</f>
        <v>1010.5349873342891</v>
      </c>
      <c r="AG1589" s="6">
        <f>$O$1589*$AA$1589</f>
        <v>838.37887467890732</v>
      </c>
    </row>
    <row r="1590" spans="1:33" ht="11.25" customHeight="1" x14ac:dyDescent="0.25">
      <c r="A1590" s="4" t="s">
        <v>28</v>
      </c>
      <c r="B1590" s="4" t="s">
        <v>22</v>
      </c>
      <c r="C1590" s="4" t="s">
        <v>23</v>
      </c>
      <c r="D1590" s="4" t="s">
        <v>24</v>
      </c>
      <c r="E1590" s="4" t="s">
        <v>29</v>
      </c>
      <c r="F1590" s="4" t="s">
        <v>25</v>
      </c>
      <c r="G1590" s="4" t="s">
        <v>25</v>
      </c>
      <c r="H1590" s="4" t="s">
        <v>25</v>
      </c>
      <c r="I1590" s="5">
        <v>44593</v>
      </c>
      <c r="J1590" s="6">
        <v>0</v>
      </c>
      <c r="K1590" s="6">
        <v>0</v>
      </c>
      <c r="L1590" s="6">
        <v>24.33</v>
      </c>
      <c r="M1590" s="6">
        <v>24.33</v>
      </c>
      <c r="N1590" s="6">
        <v>24.33</v>
      </c>
      <c r="O1590" s="6">
        <v>24.33</v>
      </c>
      <c r="P1590" s="6">
        <v>49</v>
      </c>
      <c r="Q1590" s="4" t="s">
        <v>26</v>
      </c>
      <c r="R1590" s="4">
        <v>0</v>
      </c>
      <c r="S1590" s="6">
        <v>0</v>
      </c>
      <c r="T1590" s="6">
        <v>4</v>
      </c>
      <c r="U1590" s="6">
        <v>73</v>
      </c>
      <c r="V1590" s="6">
        <f>IF(ISERROR(VLOOKUP($S$1590,'TAR FIN'!$A$1:$O$104,15,0)),0,VLOOKUP($S$1590,'TAR FIN'!$A$1:$O$104,15,0))</f>
        <v>0</v>
      </c>
      <c r="W1590" s="6">
        <f>IF(ISERROR(VLOOKUP($T$1590,'TAR FIN'!$A$1:$O$104,15,0)),0,VLOOKUP($T$1590,'TAR FIN'!$A$1:$O$104,15,0))</f>
        <v>104.85</v>
      </c>
      <c r="X1590" s="6">
        <f>IF(ISERROR(VLOOKUP($U$1590,'TAR FIN'!$A$1:$O$104,15,0)),0,VLOOKUP($U$1590,'TAR FIN'!$A$1:$O$104,15,0))</f>
        <v>89.5</v>
      </c>
      <c r="Y1590" s="6"/>
      <c r="Z1590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90" s="6">
        <f>('TE BE'!$AB$14+'TE BF'!$AB$14+'TE CVA'!$AB$14)*(1-CUSTOS!$M$34)</f>
        <v>84.864750954439458</v>
      </c>
      <c r="AB1590" s="6">
        <f>$K$1590*$V$1590</f>
        <v>0</v>
      </c>
      <c r="AC1590" s="6">
        <f>$M$1590*$W$1590</f>
        <v>2551.0004999999996</v>
      </c>
      <c r="AD1590" s="6">
        <f>$O$1590*$X$1590</f>
        <v>2177.5349999999999</v>
      </c>
      <c r="AE1590" s="6">
        <f>$K$1590*$Y$1590</f>
        <v>0</v>
      </c>
      <c r="AF1590" s="6">
        <f ca="1">$M$1590*$Z$1590</f>
        <v>2488.7454440574202</v>
      </c>
      <c r="AG1590" s="6">
        <f>$O$1590*$AA$1590</f>
        <v>2064.7593907215119</v>
      </c>
    </row>
    <row r="1591" spans="1:33" ht="11.25" customHeight="1" x14ac:dyDescent="0.25">
      <c r="A1591" s="4" t="s">
        <v>21</v>
      </c>
      <c r="B1591" s="4" t="s">
        <v>22</v>
      </c>
      <c r="C1591" s="4" t="s">
        <v>23</v>
      </c>
      <c r="D1591" s="4" t="s">
        <v>24</v>
      </c>
      <c r="E1591" s="4" t="s">
        <v>29</v>
      </c>
      <c r="F1591" s="4" t="s">
        <v>25</v>
      </c>
      <c r="G1591" s="4" t="s">
        <v>25</v>
      </c>
      <c r="H1591" s="4" t="s">
        <v>25</v>
      </c>
      <c r="I1591" s="5">
        <v>44621</v>
      </c>
      <c r="J1591" s="6">
        <v>0</v>
      </c>
      <c r="K1591" s="6">
        <v>0</v>
      </c>
      <c r="L1591" s="6">
        <v>13673.727999999999</v>
      </c>
      <c r="M1591" s="6">
        <v>13673.727999999999</v>
      </c>
      <c r="N1591" s="6">
        <v>13673.727999999999</v>
      </c>
      <c r="O1591" s="6">
        <v>13673.727999999999</v>
      </c>
      <c r="P1591" s="6">
        <v>40150</v>
      </c>
      <c r="Q1591" s="4" t="s">
        <v>26</v>
      </c>
      <c r="R1591" s="4">
        <v>0</v>
      </c>
      <c r="S1591" s="6">
        <v>0</v>
      </c>
      <c r="T1591" s="6">
        <v>4</v>
      </c>
      <c r="U1591" s="6">
        <v>73</v>
      </c>
      <c r="V1591" s="6">
        <f>IF(ISERROR(VLOOKUP($S$1591,'TAR FIN'!$A$1:$O$104,15,0)),0,VLOOKUP($S$1591,'TAR FIN'!$A$1:$O$104,15,0))</f>
        <v>0</v>
      </c>
      <c r="W1591" s="6">
        <f>IF(ISERROR(VLOOKUP($T$1591,'TAR FIN'!$A$1:$O$104,15,0)),0,VLOOKUP($T$1591,'TAR FIN'!$A$1:$O$104,15,0))</f>
        <v>104.85</v>
      </c>
      <c r="X1591" s="6">
        <f>IF(ISERROR(VLOOKUP($U$1591,'TAR FIN'!$A$1:$O$104,15,0)),0,VLOOKUP($U$1591,'TAR FIN'!$A$1:$O$104,15,0))</f>
        <v>89.5</v>
      </c>
      <c r="Y1591" s="6"/>
      <c r="Z1591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91" s="6">
        <f>('TE BE'!$AB$14+'TE BF'!$AB$14+'TE CVA'!$AB$14)*(1-CUSTOS!$M$34)</f>
        <v>84.864750954439458</v>
      </c>
      <c r="AB1591" s="6">
        <f>$K$1591*$V$1591</f>
        <v>0</v>
      </c>
      <c r="AC1591" s="6">
        <f>$M$1591*$W$1591</f>
        <v>1433690.3807999999</v>
      </c>
      <c r="AD1591" s="6">
        <f>$O$1591*$X$1591</f>
        <v>1223798.656</v>
      </c>
      <c r="AE1591" s="6">
        <f>$K$1591*$Y$1591</f>
        <v>0</v>
      </c>
      <c r="AF1591" s="6">
        <f ca="1">$M$1591*$Z$1591</f>
        <v>1398702.353607907</v>
      </c>
      <c r="AG1591" s="6">
        <f>$O$1591*$AA$1591</f>
        <v>1160417.5213387455</v>
      </c>
    </row>
    <row r="1592" spans="1:33" ht="11.25" customHeight="1" x14ac:dyDescent="0.25">
      <c r="A1592" s="4" t="s">
        <v>27</v>
      </c>
      <c r="B1592" s="4" t="s">
        <v>22</v>
      </c>
      <c r="C1592" s="4" t="s">
        <v>23</v>
      </c>
      <c r="D1592" s="4" t="s">
        <v>24</v>
      </c>
      <c r="E1592" s="4" t="s">
        <v>29</v>
      </c>
      <c r="F1592" s="4" t="s">
        <v>25</v>
      </c>
      <c r="G1592" s="4" t="s">
        <v>25</v>
      </c>
      <c r="H1592" s="4" t="s">
        <v>25</v>
      </c>
      <c r="I1592" s="5">
        <v>44621</v>
      </c>
      <c r="J1592" s="6">
        <v>0</v>
      </c>
      <c r="K1592" s="6">
        <v>0</v>
      </c>
      <c r="L1592" s="6">
        <v>3.9249999999999998</v>
      </c>
      <c r="M1592" s="6">
        <v>3.9249999999999998</v>
      </c>
      <c r="N1592" s="6">
        <v>3.9249999999999998</v>
      </c>
      <c r="O1592" s="6">
        <v>3.9249999999999998</v>
      </c>
      <c r="P1592" s="6">
        <v>43</v>
      </c>
      <c r="Q1592" s="4" t="s">
        <v>26</v>
      </c>
      <c r="R1592" s="4">
        <v>0</v>
      </c>
      <c r="S1592" s="6">
        <v>0</v>
      </c>
      <c r="T1592" s="6">
        <v>4</v>
      </c>
      <c r="U1592" s="6">
        <v>73</v>
      </c>
      <c r="V1592" s="6">
        <f>IF(ISERROR(VLOOKUP($S$1592,'TAR FIN'!$A$1:$O$104,15,0)),0,VLOOKUP($S$1592,'TAR FIN'!$A$1:$O$104,15,0))</f>
        <v>0</v>
      </c>
      <c r="W1592" s="6">
        <f>IF(ISERROR(VLOOKUP($T$1592,'TAR FIN'!$A$1:$O$104,15,0)),0,VLOOKUP($T$1592,'TAR FIN'!$A$1:$O$104,15,0))</f>
        <v>104.85</v>
      </c>
      <c r="X1592" s="6">
        <f>IF(ISERROR(VLOOKUP($U$1592,'TAR FIN'!$A$1:$O$104,15,0)),0,VLOOKUP($U$1592,'TAR FIN'!$A$1:$O$104,15,0))</f>
        <v>89.5</v>
      </c>
      <c r="Y1592" s="6"/>
      <c r="Z1592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92" s="6">
        <f>('TE BE'!$AB$14+'TE BF'!$AB$14+'TE CVA'!$AB$14)*(1-CUSTOS!$M$34)</f>
        <v>84.864750954439458</v>
      </c>
      <c r="AB1592" s="6">
        <f>$K$1592*$V$1592</f>
        <v>0</v>
      </c>
      <c r="AC1592" s="6">
        <f>$M$1592*$W$1592</f>
        <v>411.53624999999994</v>
      </c>
      <c r="AD1592" s="6">
        <f>$O$1592*$X$1592</f>
        <v>351.28749999999997</v>
      </c>
      <c r="AE1592" s="6">
        <f>$K$1592*$Y$1592</f>
        <v>0</v>
      </c>
      <c r="AF1592" s="6">
        <f ca="1">$M$1592*$Z$1592</f>
        <v>401.4930484145242</v>
      </c>
      <c r="AG1592" s="6">
        <f>$O$1592*$AA$1592</f>
        <v>333.09414749617486</v>
      </c>
    </row>
    <row r="1593" spans="1:33" ht="11.25" customHeight="1" x14ac:dyDescent="0.25">
      <c r="A1593" s="4" t="s">
        <v>28</v>
      </c>
      <c r="B1593" s="4" t="s">
        <v>22</v>
      </c>
      <c r="C1593" s="4" t="s">
        <v>23</v>
      </c>
      <c r="D1593" s="4" t="s">
        <v>24</v>
      </c>
      <c r="E1593" s="4" t="s">
        <v>29</v>
      </c>
      <c r="F1593" s="4" t="s">
        <v>25</v>
      </c>
      <c r="G1593" s="4" t="s">
        <v>25</v>
      </c>
      <c r="H1593" s="4" t="s">
        <v>25</v>
      </c>
      <c r="I1593" s="5">
        <v>44621</v>
      </c>
      <c r="J1593" s="6">
        <v>0</v>
      </c>
      <c r="K1593" s="6">
        <v>0</v>
      </c>
      <c r="L1593" s="6">
        <v>25.65</v>
      </c>
      <c r="M1593" s="6">
        <v>25.65</v>
      </c>
      <c r="N1593" s="6">
        <v>25.65</v>
      </c>
      <c r="O1593" s="6">
        <v>25.65</v>
      </c>
      <c r="P1593" s="6">
        <v>40</v>
      </c>
      <c r="Q1593" s="4" t="s">
        <v>26</v>
      </c>
      <c r="R1593" s="4">
        <v>0</v>
      </c>
      <c r="S1593" s="6">
        <v>0</v>
      </c>
      <c r="T1593" s="6">
        <v>4</v>
      </c>
      <c r="U1593" s="6">
        <v>73</v>
      </c>
      <c r="V1593" s="6">
        <f>IF(ISERROR(VLOOKUP($S$1593,'TAR FIN'!$A$1:$O$104,15,0)),0,VLOOKUP($S$1593,'TAR FIN'!$A$1:$O$104,15,0))</f>
        <v>0</v>
      </c>
      <c r="W1593" s="6">
        <f>IF(ISERROR(VLOOKUP($T$1593,'TAR FIN'!$A$1:$O$104,15,0)),0,VLOOKUP($T$1593,'TAR FIN'!$A$1:$O$104,15,0))</f>
        <v>104.85</v>
      </c>
      <c r="X1593" s="6">
        <f>IF(ISERROR(VLOOKUP($U$1593,'TAR FIN'!$A$1:$O$104,15,0)),0,VLOOKUP($U$1593,'TAR FIN'!$A$1:$O$104,15,0))</f>
        <v>89.5</v>
      </c>
      <c r="Y1593" s="6"/>
      <c r="Z1593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93" s="6">
        <f>('TE BE'!$AB$14+'TE BF'!$AB$14+'TE CVA'!$AB$14)*(1-CUSTOS!$M$34)</f>
        <v>84.864750954439458</v>
      </c>
      <c r="AB1593" s="6">
        <f>$K$1593*$V$1593</f>
        <v>0</v>
      </c>
      <c r="AC1593" s="6">
        <f>$M$1593*$W$1593</f>
        <v>2689.4024999999997</v>
      </c>
      <c r="AD1593" s="6">
        <f>$O$1593*$X$1593</f>
        <v>2295.6749999999997</v>
      </c>
      <c r="AE1593" s="6">
        <f>$K$1593*$Y$1593</f>
        <v>0</v>
      </c>
      <c r="AF1593" s="6">
        <f ca="1">$M$1593*$Z$1593</f>
        <v>2623.7698577917313</v>
      </c>
      <c r="AG1593" s="6">
        <f>$O$1593*$AA$1593</f>
        <v>2176.7808619813718</v>
      </c>
    </row>
    <row r="1594" spans="1:33" ht="11.25" customHeight="1" x14ac:dyDescent="0.25">
      <c r="A1594" s="4" t="s">
        <v>21</v>
      </c>
      <c r="B1594" s="4" t="s">
        <v>22</v>
      </c>
      <c r="C1594" s="4" t="s">
        <v>23</v>
      </c>
      <c r="D1594" s="4" t="s">
        <v>24</v>
      </c>
      <c r="E1594" s="4" t="s">
        <v>29</v>
      </c>
      <c r="F1594" s="4" t="s">
        <v>25</v>
      </c>
      <c r="G1594" s="4" t="s">
        <v>25</v>
      </c>
      <c r="H1594" s="4" t="s">
        <v>25</v>
      </c>
      <c r="I1594" s="5">
        <v>44652</v>
      </c>
      <c r="J1594" s="6">
        <v>0</v>
      </c>
      <c r="K1594" s="6">
        <v>0</v>
      </c>
      <c r="L1594" s="6">
        <v>13824.705</v>
      </c>
      <c r="M1594" s="6">
        <v>13824.705</v>
      </c>
      <c r="N1594" s="6">
        <v>13824.705</v>
      </c>
      <c r="O1594" s="6">
        <v>13824.705</v>
      </c>
      <c r="P1594" s="6">
        <v>42786</v>
      </c>
      <c r="Q1594" s="4" t="s">
        <v>26</v>
      </c>
      <c r="R1594" s="4">
        <v>0</v>
      </c>
      <c r="S1594" s="6">
        <v>0</v>
      </c>
      <c r="T1594" s="6">
        <v>4</v>
      </c>
      <c r="U1594" s="6">
        <v>73</v>
      </c>
      <c r="V1594" s="6">
        <f>IF(ISERROR(VLOOKUP($S$1594,'TAR FIN'!$A$1:$O$104,15,0)),0,VLOOKUP($S$1594,'TAR FIN'!$A$1:$O$104,15,0))</f>
        <v>0</v>
      </c>
      <c r="W1594" s="6">
        <f>IF(ISERROR(VLOOKUP($T$1594,'TAR FIN'!$A$1:$O$104,15,0)),0,VLOOKUP($T$1594,'TAR FIN'!$A$1:$O$104,15,0))</f>
        <v>104.85</v>
      </c>
      <c r="X1594" s="6">
        <f>IF(ISERROR(VLOOKUP($U$1594,'TAR FIN'!$A$1:$O$104,15,0)),0,VLOOKUP($U$1594,'TAR FIN'!$A$1:$O$104,15,0))</f>
        <v>89.5</v>
      </c>
      <c r="Y1594" s="6"/>
      <c r="Z1594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94" s="6">
        <f>('TE BE'!$AB$14+'TE BF'!$AB$14+'TE CVA'!$AB$14)*(1-CUSTOS!$M$34)</f>
        <v>84.864750954439458</v>
      </c>
      <c r="AB1594" s="6">
        <f>$K$1594*$V$1594</f>
        <v>0</v>
      </c>
      <c r="AC1594" s="6">
        <f>$M$1594*$W$1594</f>
        <v>1449520.3192499999</v>
      </c>
      <c r="AD1594" s="6">
        <f>$O$1594*$X$1594</f>
        <v>1237311.0974999999</v>
      </c>
      <c r="AE1594" s="6">
        <f>$K$1594*$Y$1594</f>
        <v>0</v>
      </c>
      <c r="AF1594" s="6">
        <f ca="1">$M$1594*$Z$1594</f>
        <v>1414145.975511214</v>
      </c>
      <c r="AG1594" s="6">
        <f>$O$1594*$AA$1594</f>
        <v>1173230.146843594</v>
      </c>
    </row>
    <row r="1595" spans="1:33" ht="11.25" customHeight="1" x14ac:dyDescent="0.25">
      <c r="A1595" s="4" t="s">
        <v>27</v>
      </c>
      <c r="B1595" s="4" t="s">
        <v>22</v>
      </c>
      <c r="C1595" s="4" t="s">
        <v>23</v>
      </c>
      <c r="D1595" s="4" t="s">
        <v>24</v>
      </c>
      <c r="E1595" s="4" t="s">
        <v>29</v>
      </c>
      <c r="F1595" s="4" t="s">
        <v>25</v>
      </c>
      <c r="G1595" s="4" t="s">
        <v>25</v>
      </c>
      <c r="H1595" s="4" t="s">
        <v>25</v>
      </c>
      <c r="I1595" s="5">
        <v>44652</v>
      </c>
      <c r="J1595" s="6">
        <v>0</v>
      </c>
      <c r="K1595" s="6">
        <v>0</v>
      </c>
      <c r="L1595" s="6">
        <v>5.8869999999999996</v>
      </c>
      <c r="M1595" s="6">
        <v>5.8869999999999996</v>
      </c>
      <c r="N1595" s="6">
        <v>5.8869999999999996</v>
      </c>
      <c r="O1595" s="6">
        <v>5.8869999999999996</v>
      </c>
      <c r="P1595" s="6">
        <v>47</v>
      </c>
      <c r="Q1595" s="4" t="s">
        <v>26</v>
      </c>
      <c r="R1595" s="4">
        <v>0</v>
      </c>
      <c r="S1595" s="6">
        <v>0</v>
      </c>
      <c r="T1595" s="6">
        <v>4</v>
      </c>
      <c r="U1595" s="6">
        <v>73</v>
      </c>
      <c r="V1595" s="6">
        <f>IF(ISERROR(VLOOKUP($S$1595,'TAR FIN'!$A$1:$O$104,15,0)),0,VLOOKUP($S$1595,'TAR FIN'!$A$1:$O$104,15,0))</f>
        <v>0</v>
      </c>
      <c r="W1595" s="6">
        <f>IF(ISERROR(VLOOKUP($T$1595,'TAR FIN'!$A$1:$O$104,15,0)),0,VLOOKUP($T$1595,'TAR FIN'!$A$1:$O$104,15,0))</f>
        <v>104.85</v>
      </c>
      <c r="X1595" s="6">
        <f>IF(ISERROR(VLOOKUP($U$1595,'TAR FIN'!$A$1:$O$104,15,0)),0,VLOOKUP($U$1595,'TAR FIN'!$A$1:$O$104,15,0))</f>
        <v>89.5</v>
      </c>
      <c r="Y1595" s="6"/>
      <c r="Z1595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95" s="6">
        <f>('TE BE'!$AB$14+'TE BF'!$AB$14+'TE CVA'!$AB$14)*(1-CUSTOS!$M$34)</f>
        <v>84.864750954439458</v>
      </c>
      <c r="AB1595" s="6">
        <f>$K$1595*$V$1595</f>
        <v>0</v>
      </c>
      <c r="AC1595" s="6">
        <f>$M$1595*$W$1595</f>
        <v>617.25194999999997</v>
      </c>
      <c r="AD1595" s="6">
        <f>$O$1595*$X$1595</f>
        <v>526.88649999999996</v>
      </c>
      <c r="AE1595" s="6">
        <f>$K$1595*$Y$1595</f>
        <v>0</v>
      </c>
      <c r="AF1595" s="6">
        <f ca="1">$M$1595*$Z$1595</f>
        <v>602.18842701052324</v>
      </c>
      <c r="AG1595" s="6">
        <f>$O$1595*$AA$1595</f>
        <v>499.59878886878505</v>
      </c>
    </row>
    <row r="1596" spans="1:33" ht="11.25" customHeight="1" x14ac:dyDescent="0.25">
      <c r="A1596" s="4" t="s">
        <v>28</v>
      </c>
      <c r="B1596" s="4" t="s">
        <v>22</v>
      </c>
      <c r="C1596" s="4" t="s">
        <v>23</v>
      </c>
      <c r="D1596" s="4" t="s">
        <v>24</v>
      </c>
      <c r="E1596" s="4" t="s">
        <v>29</v>
      </c>
      <c r="F1596" s="4" t="s">
        <v>25</v>
      </c>
      <c r="G1596" s="4" t="s">
        <v>25</v>
      </c>
      <c r="H1596" s="4" t="s">
        <v>25</v>
      </c>
      <c r="I1596" s="5">
        <v>44652</v>
      </c>
      <c r="J1596" s="6">
        <v>0</v>
      </c>
      <c r="K1596" s="6">
        <v>0</v>
      </c>
      <c r="L1596" s="6">
        <v>26.66</v>
      </c>
      <c r="M1596" s="6">
        <v>26.66</v>
      </c>
      <c r="N1596" s="6">
        <v>26.66</v>
      </c>
      <c r="O1596" s="6">
        <v>26.66</v>
      </c>
      <c r="P1596" s="6">
        <v>44</v>
      </c>
      <c r="Q1596" s="4" t="s">
        <v>26</v>
      </c>
      <c r="R1596" s="4">
        <v>0</v>
      </c>
      <c r="S1596" s="6">
        <v>0</v>
      </c>
      <c r="T1596" s="6">
        <v>4</v>
      </c>
      <c r="U1596" s="6">
        <v>73</v>
      </c>
      <c r="V1596" s="6">
        <f>IF(ISERROR(VLOOKUP($S$1596,'TAR FIN'!$A$1:$O$104,15,0)),0,VLOOKUP($S$1596,'TAR FIN'!$A$1:$O$104,15,0))</f>
        <v>0</v>
      </c>
      <c r="W1596" s="6">
        <f>IF(ISERROR(VLOOKUP($T$1596,'TAR FIN'!$A$1:$O$104,15,0)),0,VLOOKUP($T$1596,'TAR FIN'!$A$1:$O$104,15,0))</f>
        <v>104.85</v>
      </c>
      <c r="X1596" s="6">
        <f>IF(ISERROR(VLOOKUP($U$1596,'TAR FIN'!$A$1:$O$104,15,0)),0,VLOOKUP($U$1596,'TAR FIN'!$A$1:$O$104,15,0))</f>
        <v>89.5</v>
      </c>
      <c r="Y1596" s="6"/>
      <c r="Z1596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96" s="6">
        <f>('TE BE'!$AB$14+'TE BF'!$AB$14+'TE CVA'!$AB$14)*(1-CUSTOS!$M$34)</f>
        <v>84.864750954439458</v>
      </c>
      <c r="AB1596" s="6">
        <f>$K$1596*$V$1596</f>
        <v>0</v>
      </c>
      <c r="AC1596" s="6">
        <f>$M$1596*$W$1596</f>
        <v>2795.3009999999999</v>
      </c>
      <c r="AD1596" s="6">
        <f>$O$1596*$X$1596</f>
        <v>2386.0700000000002</v>
      </c>
      <c r="AE1596" s="6">
        <f>$K$1596*$Y$1596</f>
        <v>0</v>
      </c>
      <c r="AF1596" s="6">
        <f ca="1">$M$1596*$Z$1596</f>
        <v>2727.083992542985</v>
      </c>
      <c r="AG1596" s="6">
        <f>$O$1596*$AA$1596</f>
        <v>2262.4942604453558</v>
      </c>
    </row>
    <row r="1597" spans="1:33" ht="11.25" customHeight="1" x14ac:dyDescent="0.25">
      <c r="A1597" s="4" t="s">
        <v>21</v>
      </c>
      <c r="B1597" s="4" t="s">
        <v>22</v>
      </c>
      <c r="C1597" s="4" t="s">
        <v>23</v>
      </c>
      <c r="D1597" s="4" t="s">
        <v>24</v>
      </c>
      <c r="E1597" s="4" t="s">
        <v>29</v>
      </c>
      <c r="F1597" s="4" t="s">
        <v>25</v>
      </c>
      <c r="G1597" s="4" t="s">
        <v>25</v>
      </c>
      <c r="H1597" s="4" t="s">
        <v>25</v>
      </c>
      <c r="I1597" s="5">
        <v>44682</v>
      </c>
      <c r="J1597" s="6">
        <v>0</v>
      </c>
      <c r="K1597" s="6">
        <v>0</v>
      </c>
      <c r="L1597" s="6">
        <v>13703.281999999999</v>
      </c>
      <c r="M1597" s="6">
        <v>13703.281999999999</v>
      </c>
      <c r="N1597" s="6">
        <v>13703.281999999999</v>
      </c>
      <c r="O1597" s="6">
        <v>13703.281999999999</v>
      </c>
      <c r="P1597" s="6">
        <v>42836</v>
      </c>
      <c r="Q1597" s="4" t="s">
        <v>26</v>
      </c>
      <c r="R1597" s="4">
        <v>0</v>
      </c>
      <c r="S1597" s="6">
        <v>0</v>
      </c>
      <c r="T1597" s="6">
        <v>4</v>
      </c>
      <c r="U1597" s="6">
        <v>73</v>
      </c>
      <c r="V1597" s="6">
        <f>IF(ISERROR(VLOOKUP($S$1597,'TAR FIN'!$A$1:$O$104,15,0)),0,VLOOKUP($S$1597,'TAR FIN'!$A$1:$O$104,15,0))</f>
        <v>0</v>
      </c>
      <c r="W1597" s="6">
        <f>IF(ISERROR(VLOOKUP($T$1597,'TAR FIN'!$A$1:$O$104,15,0)),0,VLOOKUP($T$1597,'TAR FIN'!$A$1:$O$104,15,0))</f>
        <v>104.85</v>
      </c>
      <c r="X1597" s="6">
        <f>IF(ISERROR(VLOOKUP($U$1597,'TAR FIN'!$A$1:$O$104,15,0)),0,VLOOKUP($U$1597,'TAR FIN'!$A$1:$O$104,15,0))</f>
        <v>89.5</v>
      </c>
      <c r="Y1597" s="6"/>
      <c r="Z1597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97" s="6">
        <f>('TE BE'!$AB$14+'TE BF'!$AB$14+'TE CVA'!$AB$14)*(1-CUSTOS!$M$34)</f>
        <v>84.864750954439458</v>
      </c>
      <c r="AB1597" s="6">
        <f>$K$1597*$V$1597</f>
        <v>0</v>
      </c>
      <c r="AC1597" s="6">
        <f>$M$1597*$W$1597</f>
        <v>1436789.1176999998</v>
      </c>
      <c r="AD1597" s="6">
        <f>$O$1597*$X$1597</f>
        <v>1226443.7389999998</v>
      </c>
      <c r="AE1597" s="6">
        <f>$K$1597*$Y$1597</f>
        <v>0</v>
      </c>
      <c r="AF1597" s="6">
        <f ca="1">$M$1597*$Z$1597</f>
        <v>1401725.4683984402</v>
      </c>
      <c r="AG1597" s="6">
        <f>$O$1597*$AA$1597</f>
        <v>1162925.6141884529</v>
      </c>
    </row>
    <row r="1598" spans="1:33" ht="11.25" customHeight="1" x14ac:dyDescent="0.25">
      <c r="A1598" s="4" t="s">
        <v>27</v>
      </c>
      <c r="B1598" s="4" t="s">
        <v>22</v>
      </c>
      <c r="C1598" s="4" t="s">
        <v>23</v>
      </c>
      <c r="D1598" s="4" t="s">
        <v>24</v>
      </c>
      <c r="E1598" s="4" t="s">
        <v>29</v>
      </c>
      <c r="F1598" s="4" t="s">
        <v>25</v>
      </c>
      <c r="G1598" s="4" t="s">
        <v>25</v>
      </c>
      <c r="H1598" s="4" t="s">
        <v>25</v>
      </c>
      <c r="I1598" s="5">
        <v>44682</v>
      </c>
      <c r="J1598" s="6">
        <v>0</v>
      </c>
      <c r="K1598" s="6">
        <v>0</v>
      </c>
      <c r="L1598" s="6">
        <v>5.532</v>
      </c>
      <c r="M1598" s="6">
        <v>5.532</v>
      </c>
      <c r="N1598" s="6">
        <v>5.532</v>
      </c>
      <c r="O1598" s="6">
        <v>5.532</v>
      </c>
      <c r="P1598" s="6">
        <v>54</v>
      </c>
      <c r="Q1598" s="4" t="s">
        <v>26</v>
      </c>
      <c r="R1598" s="4">
        <v>0</v>
      </c>
      <c r="S1598" s="6">
        <v>0</v>
      </c>
      <c r="T1598" s="6">
        <v>4</v>
      </c>
      <c r="U1598" s="6">
        <v>73</v>
      </c>
      <c r="V1598" s="6">
        <f>IF(ISERROR(VLOOKUP($S$1598,'TAR FIN'!$A$1:$O$104,15,0)),0,VLOOKUP($S$1598,'TAR FIN'!$A$1:$O$104,15,0))</f>
        <v>0</v>
      </c>
      <c r="W1598" s="6">
        <f>IF(ISERROR(VLOOKUP($T$1598,'TAR FIN'!$A$1:$O$104,15,0)),0,VLOOKUP($T$1598,'TAR FIN'!$A$1:$O$104,15,0))</f>
        <v>104.85</v>
      </c>
      <c r="X1598" s="6">
        <f>IF(ISERROR(VLOOKUP($U$1598,'TAR FIN'!$A$1:$O$104,15,0)),0,VLOOKUP($U$1598,'TAR FIN'!$A$1:$O$104,15,0))</f>
        <v>89.5</v>
      </c>
      <c r="Y1598" s="6"/>
      <c r="Z1598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98" s="6">
        <f>('TE BE'!$AB$14+'TE BF'!$AB$14+'TE CVA'!$AB$14)*(1-CUSTOS!$M$34)</f>
        <v>84.864750954439458</v>
      </c>
      <c r="AB1598" s="6">
        <f>$K$1598*$V$1598</f>
        <v>0</v>
      </c>
      <c r="AC1598" s="6">
        <f>$M$1598*$W$1598</f>
        <v>580.03019999999992</v>
      </c>
      <c r="AD1598" s="6">
        <f>$O$1598*$X$1598</f>
        <v>495.11399999999998</v>
      </c>
      <c r="AE1598" s="6">
        <f>$K$1598*$Y$1598</f>
        <v>0</v>
      </c>
      <c r="AF1598" s="6">
        <f ca="1">$M$1598*$Z$1598</f>
        <v>565.87504301379568</v>
      </c>
      <c r="AG1598" s="6">
        <f>$O$1598*$AA$1598</f>
        <v>469.47180227995909</v>
      </c>
    </row>
    <row r="1599" spans="1:33" ht="11.25" customHeight="1" x14ac:dyDescent="0.25">
      <c r="A1599" s="4" t="s">
        <v>28</v>
      </c>
      <c r="B1599" s="4" t="s">
        <v>22</v>
      </c>
      <c r="C1599" s="4" t="s">
        <v>23</v>
      </c>
      <c r="D1599" s="4" t="s">
        <v>24</v>
      </c>
      <c r="E1599" s="4" t="s">
        <v>29</v>
      </c>
      <c r="F1599" s="4" t="s">
        <v>25</v>
      </c>
      <c r="G1599" s="4" t="s">
        <v>25</v>
      </c>
      <c r="H1599" s="4" t="s">
        <v>25</v>
      </c>
      <c r="I1599" s="5">
        <v>44682</v>
      </c>
      <c r="J1599" s="6">
        <v>0</v>
      </c>
      <c r="K1599" s="6">
        <v>0</v>
      </c>
      <c r="L1599" s="6">
        <v>26.37</v>
      </c>
      <c r="M1599" s="6">
        <v>26.37</v>
      </c>
      <c r="N1599" s="6">
        <v>26.37</v>
      </c>
      <c r="O1599" s="6">
        <v>26.37</v>
      </c>
      <c r="P1599" s="6">
        <v>28</v>
      </c>
      <c r="Q1599" s="4" t="s">
        <v>26</v>
      </c>
      <c r="R1599" s="4">
        <v>0</v>
      </c>
      <c r="S1599" s="6">
        <v>0</v>
      </c>
      <c r="T1599" s="6">
        <v>4</v>
      </c>
      <c r="U1599" s="6">
        <v>73</v>
      </c>
      <c r="V1599" s="6">
        <f>IF(ISERROR(VLOOKUP($S$1599,'TAR FIN'!$A$1:$O$104,15,0)),0,VLOOKUP($S$1599,'TAR FIN'!$A$1:$O$104,15,0))</f>
        <v>0</v>
      </c>
      <c r="W1599" s="6">
        <f>IF(ISERROR(VLOOKUP($T$1599,'TAR FIN'!$A$1:$O$104,15,0)),0,VLOOKUP($T$1599,'TAR FIN'!$A$1:$O$104,15,0))</f>
        <v>104.85</v>
      </c>
      <c r="X1599" s="6">
        <f>IF(ISERROR(VLOOKUP($U$1599,'TAR FIN'!$A$1:$O$104,15,0)),0,VLOOKUP($U$1599,'TAR FIN'!$A$1:$O$104,15,0))</f>
        <v>89.5</v>
      </c>
      <c r="Y1599" s="6"/>
      <c r="Z1599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599" s="6">
        <f>('TE BE'!$AB$14+'TE BF'!$AB$14+'TE CVA'!$AB$14)*(1-CUSTOS!$M$34)</f>
        <v>84.864750954439458</v>
      </c>
      <c r="AB1599" s="6">
        <f>$K$1599*$V$1599</f>
        <v>0</v>
      </c>
      <c r="AC1599" s="6">
        <f>$M$1599*$W$1599</f>
        <v>2764.8944999999999</v>
      </c>
      <c r="AD1599" s="6">
        <f>$O$1599*$X$1599</f>
        <v>2360.1150000000002</v>
      </c>
      <c r="AE1599" s="6">
        <f>$K$1599*$Y$1599</f>
        <v>0</v>
      </c>
      <c r="AF1599" s="6">
        <f ca="1">$M$1599*$Z$1599</f>
        <v>2697.419538010447</v>
      </c>
      <c r="AG1599" s="6">
        <f>$O$1599*$AA$1599</f>
        <v>2237.8834826685684</v>
      </c>
    </row>
    <row r="1600" spans="1:33" ht="11.25" customHeight="1" x14ac:dyDescent="0.25">
      <c r="A1600" s="4" t="s">
        <v>21</v>
      </c>
      <c r="B1600" s="4" t="s">
        <v>22</v>
      </c>
      <c r="C1600" s="4" t="s">
        <v>23</v>
      </c>
      <c r="D1600" s="4" t="s">
        <v>24</v>
      </c>
      <c r="E1600" s="4" t="s">
        <v>29</v>
      </c>
      <c r="F1600" s="4" t="s">
        <v>25</v>
      </c>
      <c r="G1600" s="4" t="s">
        <v>25</v>
      </c>
      <c r="H1600" s="4" t="s">
        <v>25</v>
      </c>
      <c r="I1600" s="5">
        <v>44713</v>
      </c>
      <c r="J1600" s="6">
        <v>0</v>
      </c>
      <c r="K1600" s="6">
        <v>0</v>
      </c>
      <c r="L1600" s="6">
        <v>13836.76</v>
      </c>
      <c r="M1600" s="6">
        <v>13836.76</v>
      </c>
      <c r="N1600" s="6">
        <v>13836.76</v>
      </c>
      <c r="O1600" s="6">
        <v>13836.76</v>
      </c>
      <c r="P1600" s="6">
        <v>48343</v>
      </c>
      <c r="Q1600" s="4" t="s">
        <v>26</v>
      </c>
      <c r="R1600" s="4">
        <v>0</v>
      </c>
      <c r="S1600" s="6">
        <v>0</v>
      </c>
      <c r="T1600" s="6">
        <v>4</v>
      </c>
      <c r="U1600" s="6">
        <v>73</v>
      </c>
      <c r="V1600" s="6">
        <f>IF(ISERROR(VLOOKUP($S$1600,'TAR FIN'!$A$1:$O$104,15,0)),0,VLOOKUP($S$1600,'TAR FIN'!$A$1:$O$104,15,0))</f>
        <v>0</v>
      </c>
      <c r="W1600" s="6">
        <f>IF(ISERROR(VLOOKUP($T$1600,'TAR FIN'!$A$1:$O$104,15,0)),0,VLOOKUP($T$1600,'TAR FIN'!$A$1:$O$104,15,0))</f>
        <v>104.85</v>
      </c>
      <c r="X1600" s="6">
        <f>IF(ISERROR(VLOOKUP($U$1600,'TAR FIN'!$A$1:$O$104,15,0)),0,VLOOKUP($U$1600,'TAR FIN'!$A$1:$O$104,15,0))</f>
        <v>89.5</v>
      </c>
      <c r="Y1600" s="6"/>
      <c r="Z1600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600" s="6">
        <f>('TE BE'!$AB$14+'TE BF'!$AB$14+'TE CVA'!$AB$14)*(1-CUSTOS!$M$34)</f>
        <v>84.864750954439458</v>
      </c>
      <c r="AB1600" s="6">
        <f>$K$1600*$V$1600</f>
        <v>0</v>
      </c>
      <c r="AC1600" s="6">
        <f>$M$1600*$W$1600</f>
        <v>1450784.2859999998</v>
      </c>
      <c r="AD1600" s="6">
        <f>$O$1600*$X$1600</f>
        <v>1238390.02</v>
      </c>
      <c r="AE1600" s="6">
        <f>$K$1600*$Y$1600</f>
        <v>0</v>
      </c>
      <c r="AF1600" s="6">
        <f ca="1">$M$1600*$Z$1600</f>
        <v>1415379.0961987649</v>
      </c>
      <c r="AG1600" s="6">
        <f>$O$1600*$AA$1600</f>
        <v>1174253.1914163497</v>
      </c>
    </row>
    <row r="1601" spans="1:33" ht="11.25" customHeight="1" x14ac:dyDescent="0.25">
      <c r="A1601" s="4" t="s">
        <v>27</v>
      </c>
      <c r="B1601" s="4" t="s">
        <v>22</v>
      </c>
      <c r="C1601" s="4" t="s">
        <v>23</v>
      </c>
      <c r="D1601" s="4" t="s">
        <v>24</v>
      </c>
      <c r="E1601" s="4" t="s">
        <v>29</v>
      </c>
      <c r="F1601" s="4" t="s">
        <v>25</v>
      </c>
      <c r="G1601" s="4" t="s">
        <v>25</v>
      </c>
      <c r="H1601" s="4" t="s">
        <v>25</v>
      </c>
      <c r="I1601" s="5">
        <v>44713</v>
      </c>
      <c r="J1601" s="6">
        <v>0</v>
      </c>
      <c r="K1601" s="6">
        <v>0</v>
      </c>
      <c r="L1601" s="6">
        <v>6.5830000000000002</v>
      </c>
      <c r="M1601" s="6">
        <v>6.5830000000000002</v>
      </c>
      <c r="N1601" s="6">
        <v>6.5830000000000002</v>
      </c>
      <c r="O1601" s="6">
        <v>6.5830000000000002</v>
      </c>
      <c r="P1601" s="6">
        <v>24</v>
      </c>
      <c r="Q1601" s="4" t="s">
        <v>26</v>
      </c>
      <c r="R1601" s="4">
        <v>0</v>
      </c>
      <c r="S1601" s="6">
        <v>0</v>
      </c>
      <c r="T1601" s="6">
        <v>4</v>
      </c>
      <c r="U1601" s="6">
        <v>73</v>
      </c>
      <c r="V1601" s="6">
        <f>IF(ISERROR(VLOOKUP($S$1601,'TAR FIN'!$A$1:$O$104,15,0)),0,VLOOKUP($S$1601,'TAR FIN'!$A$1:$O$104,15,0))</f>
        <v>0</v>
      </c>
      <c r="W1601" s="6">
        <f>IF(ISERROR(VLOOKUP($T$1601,'TAR FIN'!$A$1:$O$104,15,0)),0,VLOOKUP($T$1601,'TAR FIN'!$A$1:$O$104,15,0))</f>
        <v>104.85</v>
      </c>
      <c r="X1601" s="6">
        <f>IF(ISERROR(VLOOKUP($U$1601,'TAR FIN'!$A$1:$O$104,15,0)),0,VLOOKUP($U$1601,'TAR FIN'!$A$1:$O$104,15,0))</f>
        <v>89.5</v>
      </c>
      <c r="Y1601" s="6"/>
      <c r="Z1601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601" s="6">
        <f>('TE BE'!$AB$14+'TE BF'!$AB$14+'TE CVA'!$AB$14)*(1-CUSTOS!$M$34)</f>
        <v>84.864750954439458</v>
      </c>
      <c r="AB1601" s="6">
        <f>$K$1601*$V$1601</f>
        <v>0</v>
      </c>
      <c r="AC1601" s="6">
        <f>$M$1601*$W$1601</f>
        <v>690.22754999999995</v>
      </c>
      <c r="AD1601" s="6">
        <f>$O$1601*$X$1601</f>
        <v>589.17849999999999</v>
      </c>
      <c r="AE1601" s="6">
        <f>$K$1601*$Y$1601</f>
        <v>0</v>
      </c>
      <c r="AF1601" s="6">
        <f ca="1">$M$1601*$Z$1601</f>
        <v>673.38311788861483</v>
      </c>
      <c r="AG1601" s="6">
        <f>$O$1601*$AA$1601</f>
        <v>558.66465553307501</v>
      </c>
    </row>
    <row r="1602" spans="1:33" ht="11.25" customHeight="1" x14ac:dyDescent="0.25">
      <c r="A1602" s="4" t="s">
        <v>28</v>
      </c>
      <c r="B1602" s="4" t="s">
        <v>22</v>
      </c>
      <c r="C1602" s="4" t="s">
        <v>23</v>
      </c>
      <c r="D1602" s="4" t="s">
        <v>24</v>
      </c>
      <c r="E1602" s="4" t="s">
        <v>29</v>
      </c>
      <c r="F1602" s="4" t="s">
        <v>25</v>
      </c>
      <c r="G1602" s="4" t="s">
        <v>25</v>
      </c>
      <c r="H1602" s="4" t="s">
        <v>25</v>
      </c>
      <c r="I1602" s="5">
        <v>44713</v>
      </c>
      <c r="J1602" s="6">
        <v>0</v>
      </c>
      <c r="K1602" s="6">
        <v>0</v>
      </c>
      <c r="L1602" s="6">
        <v>27.57</v>
      </c>
      <c r="M1602" s="6">
        <v>27.57</v>
      </c>
      <c r="N1602" s="6">
        <v>27.57</v>
      </c>
      <c r="O1602" s="6">
        <v>27.57</v>
      </c>
      <c r="P1602" s="6">
        <v>12</v>
      </c>
      <c r="Q1602" s="4" t="s">
        <v>26</v>
      </c>
      <c r="R1602" s="4">
        <v>0</v>
      </c>
      <c r="S1602" s="6">
        <v>0</v>
      </c>
      <c r="T1602" s="6">
        <v>4</v>
      </c>
      <c r="U1602" s="6">
        <v>73</v>
      </c>
      <c r="V1602" s="6">
        <f>IF(ISERROR(VLOOKUP($S$1602,'TAR FIN'!$A$1:$O$104,15,0)),0,VLOOKUP($S$1602,'TAR FIN'!$A$1:$O$104,15,0))</f>
        <v>0</v>
      </c>
      <c r="W1602" s="6">
        <f>IF(ISERROR(VLOOKUP($T$1602,'TAR FIN'!$A$1:$O$104,15,0)),0,VLOOKUP($T$1602,'TAR FIN'!$A$1:$O$104,15,0))</f>
        <v>104.85</v>
      </c>
      <c r="X1602" s="6">
        <f>IF(ISERROR(VLOOKUP($U$1602,'TAR FIN'!$A$1:$O$104,15,0)),0,VLOOKUP($U$1602,'TAR FIN'!$A$1:$O$104,15,0))</f>
        <v>89.5</v>
      </c>
      <c r="Y1602" s="6"/>
      <c r="Z1602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602" s="6">
        <f>('TE BE'!$AB$14+'TE BF'!$AB$14+'TE CVA'!$AB$14)*(1-CUSTOS!$M$34)</f>
        <v>84.864750954439458</v>
      </c>
      <c r="AB1602" s="6">
        <f>$K$1602*$V$1602</f>
        <v>0</v>
      </c>
      <c r="AC1602" s="6">
        <f>$M$1602*$W$1602</f>
        <v>2890.7145</v>
      </c>
      <c r="AD1602" s="6">
        <f>$O$1602*$X$1602</f>
        <v>2467.5149999999999</v>
      </c>
      <c r="AE1602" s="6">
        <f>$K$1602*$Y$1602</f>
        <v>0</v>
      </c>
      <c r="AF1602" s="6">
        <f ca="1">$M$1602*$Z$1602</f>
        <v>2820.1690050416391</v>
      </c>
      <c r="AG1602" s="6">
        <f>$O$1602*$AA$1602</f>
        <v>2339.721183813896</v>
      </c>
    </row>
    <row r="1603" spans="1:33" ht="11.25" customHeight="1" x14ac:dyDescent="0.25">
      <c r="A1603" s="4" t="s">
        <v>57</v>
      </c>
      <c r="B1603" s="4" t="s">
        <v>22</v>
      </c>
      <c r="C1603" s="4" t="s">
        <v>23</v>
      </c>
      <c r="D1603" s="4" t="s">
        <v>24</v>
      </c>
      <c r="E1603" s="4" t="s">
        <v>29</v>
      </c>
      <c r="F1603" s="4" t="s">
        <v>25</v>
      </c>
      <c r="G1603" s="4" t="s">
        <v>25</v>
      </c>
      <c r="H1603" s="4" t="s">
        <v>25</v>
      </c>
      <c r="I1603" s="5">
        <v>44743</v>
      </c>
      <c r="J1603" s="6">
        <v>0</v>
      </c>
      <c r="K1603" s="6">
        <v>0</v>
      </c>
      <c r="L1603" s="6">
        <v>13836.76</v>
      </c>
      <c r="M1603" s="6">
        <v>13836.76</v>
      </c>
      <c r="N1603" s="6">
        <v>13836.76</v>
      </c>
      <c r="O1603" s="6">
        <v>13836.76</v>
      </c>
      <c r="P1603" s="6">
        <v>48343</v>
      </c>
      <c r="Q1603" s="4" t="s">
        <v>26</v>
      </c>
      <c r="R1603" s="4">
        <v>0</v>
      </c>
      <c r="S1603" s="6">
        <v>0</v>
      </c>
      <c r="T1603" s="6">
        <v>4</v>
      </c>
      <c r="U1603" s="6">
        <v>73</v>
      </c>
      <c r="V1603" s="6">
        <f>IF(ISERROR(VLOOKUP($S$1603,'TAR FIN'!$A$1:$O$104,15,0)),0,VLOOKUP($S$1603,'TAR FIN'!$A$1:$O$104,15,0))</f>
        <v>0</v>
      </c>
      <c r="W1603" s="6">
        <f>IF(ISERROR(VLOOKUP($T$1603,'TAR FIN'!$A$1:$O$104,15,0)),0,VLOOKUP($T$1603,'TAR FIN'!$A$1:$O$104,15,0))</f>
        <v>104.85</v>
      </c>
      <c r="X1603" s="6">
        <f>IF(ISERROR(VLOOKUP($U$1603,'TAR FIN'!$A$1:$O$104,15,0)),0,VLOOKUP($U$1603,'TAR FIN'!$A$1:$O$104,15,0))</f>
        <v>89.5</v>
      </c>
      <c r="Y1603" s="6"/>
      <c r="Z1603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603" s="6">
        <f>('TE BE'!$AB$14+'TE BF'!$AB$14+'TE CVA'!$AB$14)*(1-CUSTOS!$M$34)</f>
        <v>84.864750954439458</v>
      </c>
      <c r="AB1603" s="6">
        <f>$K$1603*$V$1603</f>
        <v>0</v>
      </c>
      <c r="AC1603" s="6">
        <f>$M$1603*$W$1603</f>
        <v>1450784.2859999998</v>
      </c>
      <c r="AD1603" s="6">
        <f>$O$1603*$X$1603</f>
        <v>1238390.02</v>
      </c>
      <c r="AE1603" s="6">
        <f>$K$1603*$Y$1603</f>
        <v>0</v>
      </c>
      <c r="AF1603" s="6">
        <f ca="1">$M$1603*$Z$1603</f>
        <v>1415379.0961987649</v>
      </c>
      <c r="AG1603" s="6">
        <f>$O$1603*$AA$1603</f>
        <v>1174253.1914163497</v>
      </c>
    </row>
    <row r="1604" spans="1:33" ht="11.25" customHeight="1" x14ac:dyDescent="0.25">
      <c r="A1604" s="4" t="s">
        <v>57</v>
      </c>
      <c r="B1604" s="4" t="s">
        <v>22</v>
      </c>
      <c r="C1604" s="4" t="s">
        <v>23</v>
      </c>
      <c r="D1604" s="4" t="s">
        <v>24</v>
      </c>
      <c r="E1604" s="4" t="s">
        <v>29</v>
      </c>
      <c r="F1604" s="4" t="s">
        <v>25</v>
      </c>
      <c r="G1604" s="4" t="s">
        <v>25</v>
      </c>
      <c r="H1604" s="4" t="s">
        <v>25</v>
      </c>
      <c r="I1604" s="5">
        <v>44743</v>
      </c>
      <c r="J1604" s="6">
        <v>0</v>
      </c>
      <c r="K1604" s="6">
        <v>0</v>
      </c>
      <c r="L1604" s="6">
        <v>6.5830000000000002</v>
      </c>
      <c r="M1604" s="6">
        <v>6.5830000000000002</v>
      </c>
      <c r="N1604" s="6">
        <v>6.5830000000000002</v>
      </c>
      <c r="O1604" s="6">
        <v>6.5830000000000002</v>
      </c>
      <c r="P1604" s="6">
        <v>24</v>
      </c>
      <c r="Q1604" s="4" t="s">
        <v>26</v>
      </c>
      <c r="R1604" s="4">
        <v>0</v>
      </c>
      <c r="S1604" s="6">
        <v>0</v>
      </c>
      <c r="T1604" s="6">
        <v>4</v>
      </c>
      <c r="U1604" s="6">
        <v>73</v>
      </c>
      <c r="V1604" s="6">
        <f>IF(ISERROR(VLOOKUP($S$1604,'TAR FIN'!$A$1:$O$104,15,0)),0,VLOOKUP($S$1604,'TAR FIN'!$A$1:$O$104,15,0))</f>
        <v>0</v>
      </c>
      <c r="W1604" s="6">
        <f>IF(ISERROR(VLOOKUP($T$1604,'TAR FIN'!$A$1:$O$104,15,0)),0,VLOOKUP($T$1604,'TAR FIN'!$A$1:$O$104,15,0))</f>
        <v>104.85</v>
      </c>
      <c r="X1604" s="6">
        <f>IF(ISERROR(VLOOKUP($U$1604,'TAR FIN'!$A$1:$O$104,15,0)),0,VLOOKUP($U$1604,'TAR FIN'!$A$1:$O$104,15,0))</f>
        <v>89.5</v>
      </c>
      <c r="Y1604" s="6"/>
      <c r="Z1604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604" s="6">
        <f>('TE BE'!$AB$14+'TE BF'!$AB$14+'TE CVA'!$AB$14)*(1-CUSTOS!$M$34)</f>
        <v>84.864750954439458</v>
      </c>
      <c r="AB1604" s="6">
        <f>$K$1604*$V$1604</f>
        <v>0</v>
      </c>
      <c r="AC1604" s="6">
        <f>$M$1604*$W$1604</f>
        <v>690.22754999999995</v>
      </c>
      <c r="AD1604" s="6">
        <f>$O$1604*$X$1604</f>
        <v>589.17849999999999</v>
      </c>
      <c r="AE1604" s="6">
        <f>$K$1604*$Y$1604</f>
        <v>0</v>
      </c>
      <c r="AF1604" s="6">
        <f ca="1">$M$1604*$Z$1604</f>
        <v>673.38311788861483</v>
      </c>
      <c r="AG1604" s="6">
        <f>$O$1604*$AA$1604</f>
        <v>558.66465553307501</v>
      </c>
    </row>
    <row r="1605" spans="1:33" ht="11.25" customHeight="1" x14ac:dyDescent="0.25">
      <c r="A1605" s="4" t="s">
        <v>57</v>
      </c>
      <c r="B1605" s="4" t="s">
        <v>22</v>
      </c>
      <c r="C1605" s="4" t="s">
        <v>23</v>
      </c>
      <c r="D1605" s="4" t="s">
        <v>24</v>
      </c>
      <c r="E1605" s="4" t="s">
        <v>29</v>
      </c>
      <c r="F1605" s="4" t="s">
        <v>25</v>
      </c>
      <c r="G1605" s="4" t="s">
        <v>25</v>
      </c>
      <c r="H1605" s="4" t="s">
        <v>25</v>
      </c>
      <c r="I1605" s="5">
        <v>44743</v>
      </c>
      <c r="J1605" s="6">
        <v>0</v>
      </c>
      <c r="K1605" s="6">
        <v>0</v>
      </c>
      <c r="L1605" s="6">
        <v>27.57</v>
      </c>
      <c r="M1605" s="6">
        <v>27.57</v>
      </c>
      <c r="N1605" s="6">
        <v>27.57</v>
      </c>
      <c r="O1605" s="6">
        <v>27.57</v>
      </c>
      <c r="P1605" s="6">
        <v>12</v>
      </c>
      <c r="Q1605" s="4" t="s">
        <v>26</v>
      </c>
      <c r="R1605" s="4">
        <v>0</v>
      </c>
      <c r="S1605" s="6">
        <v>0</v>
      </c>
      <c r="T1605" s="6">
        <v>4</v>
      </c>
      <c r="U1605" s="6">
        <v>73</v>
      </c>
      <c r="V1605" s="6">
        <f>IF(ISERROR(VLOOKUP($S$1605,'TAR FIN'!$A$1:$O$104,15,0)),0,VLOOKUP($S$1605,'TAR FIN'!$A$1:$O$104,15,0))</f>
        <v>0</v>
      </c>
      <c r="W1605" s="6">
        <f>IF(ISERROR(VLOOKUP($T$1605,'TAR FIN'!$A$1:$O$104,15,0)),0,VLOOKUP($T$1605,'TAR FIN'!$A$1:$O$104,15,0))</f>
        <v>104.85</v>
      </c>
      <c r="X1605" s="6">
        <f>IF(ISERROR(VLOOKUP($U$1605,'TAR FIN'!$A$1:$O$104,15,0)),0,VLOOKUP($U$1605,'TAR FIN'!$A$1:$O$104,15,0))</f>
        <v>89.5</v>
      </c>
      <c r="Y1605" s="6"/>
      <c r="Z1605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1605" s="6">
        <f>('TE BE'!$AB$14+'TE BF'!$AB$14+'TE CVA'!$AB$14)*(1-CUSTOS!$M$34)</f>
        <v>84.864750954439458</v>
      </c>
      <c r="AB1605" s="6">
        <f>$K$1605*$V$1605</f>
        <v>0</v>
      </c>
      <c r="AC1605" s="6">
        <f>$M$1605*$W$1605</f>
        <v>2890.7145</v>
      </c>
      <c r="AD1605" s="6">
        <f>$O$1605*$X$1605</f>
        <v>2467.5149999999999</v>
      </c>
      <c r="AE1605" s="6">
        <f>$K$1605*$Y$1605</f>
        <v>0</v>
      </c>
      <c r="AF1605" s="6">
        <f ca="1">$M$1605*$Z$1605</f>
        <v>2820.1690050416391</v>
      </c>
      <c r="AG1605" s="6">
        <f>$O$1605*$AA$1605</f>
        <v>2339.721183813896</v>
      </c>
    </row>
    <row r="1606" spans="1:33" ht="11.25" customHeight="1" x14ac:dyDescent="0.25">
      <c r="A1606" s="4" t="s">
        <v>21</v>
      </c>
      <c r="B1606" s="4" t="s">
        <v>22</v>
      </c>
      <c r="C1606" s="4" t="s">
        <v>23</v>
      </c>
      <c r="D1606" s="4" t="s">
        <v>24</v>
      </c>
      <c r="E1606" s="4" t="s">
        <v>30</v>
      </c>
      <c r="F1606" s="4" t="s">
        <v>25</v>
      </c>
      <c r="G1606" s="4" t="s">
        <v>25</v>
      </c>
      <c r="H1606" s="4" t="s">
        <v>25</v>
      </c>
      <c r="I1606" s="5">
        <v>44409</v>
      </c>
      <c r="J1606" s="6">
        <v>0</v>
      </c>
      <c r="K1606" s="6">
        <v>0</v>
      </c>
      <c r="L1606" s="6">
        <v>21068.968000000001</v>
      </c>
      <c r="M1606" s="6">
        <v>21068.968000000001</v>
      </c>
      <c r="N1606" s="6">
        <v>21068.968000000001</v>
      </c>
      <c r="O1606" s="6">
        <v>21068.968000000001</v>
      </c>
      <c r="P1606" s="6">
        <v>200657</v>
      </c>
      <c r="Q1606" s="4" t="s">
        <v>26</v>
      </c>
      <c r="R1606" s="4">
        <v>0</v>
      </c>
      <c r="S1606" s="6">
        <v>0</v>
      </c>
      <c r="T1606" s="6">
        <v>6</v>
      </c>
      <c r="U1606" s="6">
        <v>74</v>
      </c>
      <c r="V1606" s="6">
        <f>IF(ISERROR(VLOOKUP($S$1606,'TAR FIN'!$A$1:$O$104,15,0)),0,VLOOKUP($S$1606,'TAR FIN'!$A$1:$O$104,15,0))</f>
        <v>0</v>
      </c>
      <c r="W1606" s="6">
        <f>IF(ISERROR(VLOOKUP($T$1606,'TAR FIN'!$A$1:$O$104,15,0)),0,VLOOKUP($T$1606,'TAR FIN'!$A$1:$O$104,15,0))</f>
        <v>179.74</v>
      </c>
      <c r="X1606" s="6">
        <f>IF(ISERROR(VLOOKUP($U$1606,'TAR FIN'!$A$1:$O$104,15,0)),0,VLOOKUP($U$1606,'TAR FIN'!$A$1:$O$104,15,0))</f>
        <v>153.43</v>
      </c>
      <c r="Y1606" s="6"/>
      <c r="Z1606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06" s="6">
        <f>('TE BE'!$AB$15+'TE BF'!$AB$15+'TE CVA'!$AB$15)*(1-CUSTOS!$M$35)</f>
        <v>145.48243020761052</v>
      </c>
      <c r="AB1606" s="6">
        <f>$K$1606*$V$1606</f>
        <v>0</v>
      </c>
      <c r="AC1606" s="6">
        <f>$M$1606*$W$1606</f>
        <v>3786936.3083200003</v>
      </c>
      <c r="AD1606" s="6">
        <f>$O$1606*$X$1606</f>
        <v>3232611.7602400002</v>
      </c>
      <c r="AE1606" s="6">
        <f>$K$1606*$Y$1606</f>
        <v>0</v>
      </c>
      <c r="AF1606" s="6">
        <f ca="1">$M$1606*$Z$1606</f>
        <v>3694577.9898532033</v>
      </c>
      <c r="AG1606" s="6">
        <f>$O$1606*$AA$1606</f>
        <v>3065164.6666063797</v>
      </c>
    </row>
    <row r="1607" spans="1:33" ht="11.25" customHeight="1" x14ac:dyDescent="0.25">
      <c r="A1607" s="4" t="s">
        <v>27</v>
      </c>
      <c r="B1607" s="4" t="s">
        <v>22</v>
      </c>
      <c r="C1607" s="4" t="s">
        <v>23</v>
      </c>
      <c r="D1607" s="4" t="s">
        <v>24</v>
      </c>
      <c r="E1607" s="4" t="s">
        <v>30</v>
      </c>
      <c r="F1607" s="4" t="s">
        <v>25</v>
      </c>
      <c r="G1607" s="4" t="s">
        <v>25</v>
      </c>
      <c r="H1607" s="4" t="s">
        <v>25</v>
      </c>
      <c r="I1607" s="5">
        <v>44409</v>
      </c>
      <c r="J1607" s="6">
        <v>0</v>
      </c>
      <c r="K1607" s="6">
        <v>0</v>
      </c>
      <c r="L1607" s="6">
        <v>-3.6280000000000001</v>
      </c>
      <c r="M1607" s="6">
        <v>-3.6280000000000001</v>
      </c>
      <c r="N1607" s="6">
        <v>-3.6280000000000001</v>
      </c>
      <c r="O1607" s="6">
        <v>-3.6280000000000001</v>
      </c>
      <c r="P1607" s="6">
        <v>-12</v>
      </c>
      <c r="Q1607" s="4" t="s">
        <v>26</v>
      </c>
      <c r="R1607" s="4">
        <v>0</v>
      </c>
      <c r="S1607" s="6">
        <v>0</v>
      </c>
      <c r="T1607" s="6">
        <v>6</v>
      </c>
      <c r="U1607" s="6">
        <v>74</v>
      </c>
      <c r="V1607" s="6">
        <f>IF(ISERROR(VLOOKUP($S$1607,'TAR FIN'!$A$1:$O$104,15,0)),0,VLOOKUP($S$1607,'TAR FIN'!$A$1:$O$104,15,0))</f>
        <v>0</v>
      </c>
      <c r="W1607" s="6">
        <f>IF(ISERROR(VLOOKUP($T$1607,'TAR FIN'!$A$1:$O$104,15,0)),0,VLOOKUP($T$1607,'TAR FIN'!$A$1:$O$104,15,0))</f>
        <v>179.74</v>
      </c>
      <c r="X1607" s="6">
        <f>IF(ISERROR(VLOOKUP($U$1607,'TAR FIN'!$A$1:$O$104,15,0)),0,VLOOKUP($U$1607,'TAR FIN'!$A$1:$O$104,15,0))</f>
        <v>153.43</v>
      </c>
      <c r="Y1607" s="6"/>
      <c r="Z1607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07" s="6">
        <f>('TE BE'!$AB$15+'TE BF'!$AB$15+'TE CVA'!$AB$15)*(1-CUSTOS!$M$35)</f>
        <v>145.48243020761052</v>
      </c>
      <c r="AB1607" s="6">
        <f>$K$1607*$V$1607</f>
        <v>0</v>
      </c>
      <c r="AC1607" s="6">
        <f>$M$1607*$W$1607</f>
        <v>-652.09672</v>
      </c>
      <c r="AD1607" s="6">
        <f>$O$1607*$X$1607</f>
        <v>-556.64404000000002</v>
      </c>
      <c r="AE1607" s="6">
        <f>$K$1607*$Y$1607</f>
        <v>0</v>
      </c>
      <c r="AF1607" s="6">
        <f ca="1">$M$1607*$Z$1607</f>
        <v>-636.19295198452153</v>
      </c>
      <c r="AG1607" s="6">
        <f>$O$1607*$AA$1607</f>
        <v>-527.81025679321101</v>
      </c>
    </row>
    <row r="1608" spans="1:33" ht="11.25" customHeight="1" x14ac:dyDescent="0.25">
      <c r="A1608" s="4" t="s">
        <v>28</v>
      </c>
      <c r="B1608" s="4" t="s">
        <v>22</v>
      </c>
      <c r="C1608" s="4" t="s">
        <v>23</v>
      </c>
      <c r="D1608" s="4" t="s">
        <v>24</v>
      </c>
      <c r="E1608" s="4" t="s">
        <v>30</v>
      </c>
      <c r="F1608" s="4" t="s">
        <v>25</v>
      </c>
      <c r="G1608" s="4" t="s">
        <v>25</v>
      </c>
      <c r="H1608" s="4" t="s">
        <v>25</v>
      </c>
      <c r="I1608" s="5">
        <v>44409</v>
      </c>
      <c r="J1608" s="6">
        <v>0</v>
      </c>
      <c r="K1608" s="6">
        <v>0</v>
      </c>
      <c r="L1608" s="6">
        <v>13.291</v>
      </c>
      <c r="M1608" s="6">
        <v>13.291</v>
      </c>
      <c r="N1608" s="6">
        <v>13.291</v>
      </c>
      <c r="O1608" s="6">
        <v>13.291</v>
      </c>
      <c r="P1608" s="6">
        <v>58</v>
      </c>
      <c r="Q1608" s="4" t="s">
        <v>26</v>
      </c>
      <c r="R1608" s="4">
        <v>0</v>
      </c>
      <c r="S1608" s="6">
        <v>0</v>
      </c>
      <c r="T1608" s="6">
        <v>6</v>
      </c>
      <c r="U1608" s="6">
        <v>74</v>
      </c>
      <c r="V1608" s="6">
        <f>IF(ISERROR(VLOOKUP($S$1608,'TAR FIN'!$A$1:$O$104,15,0)),0,VLOOKUP($S$1608,'TAR FIN'!$A$1:$O$104,15,0))</f>
        <v>0</v>
      </c>
      <c r="W1608" s="6">
        <f>IF(ISERROR(VLOOKUP($T$1608,'TAR FIN'!$A$1:$O$104,15,0)),0,VLOOKUP($T$1608,'TAR FIN'!$A$1:$O$104,15,0))</f>
        <v>179.74</v>
      </c>
      <c r="X1608" s="6">
        <f>IF(ISERROR(VLOOKUP($U$1608,'TAR FIN'!$A$1:$O$104,15,0)),0,VLOOKUP($U$1608,'TAR FIN'!$A$1:$O$104,15,0))</f>
        <v>153.43</v>
      </c>
      <c r="Y1608" s="6"/>
      <c r="Z1608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08" s="6">
        <f>('TE BE'!$AB$15+'TE BF'!$AB$15+'TE CVA'!$AB$15)*(1-CUSTOS!$M$35)</f>
        <v>145.48243020761052</v>
      </c>
      <c r="AB1608" s="6">
        <f>$K$1608*$V$1608</f>
        <v>0</v>
      </c>
      <c r="AC1608" s="6">
        <f>$M$1608*$W$1608</f>
        <v>2388.92434</v>
      </c>
      <c r="AD1608" s="6">
        <f>$O$1608*$X$1608</f>
        <v>2039.2381300000002</v>
      </c>
      <c r="AE1608" s="6">
        <f>$K$1608*$Y$1608</f>
        <v>0</v>
      </c>
      <c r="AF1608" s="6">
        <f ca="1">$M$1608*$Z$1608</f>
        <v>2330.6616661593926</v>
      </c>
      <c r="AG1608" s="6">
        <f>$O$1608*$AA$1608</f>
        <v>1933.6069798893516</v>
      </c>
    </row>
    <row r="1609" spans="1:33" ht="11.25" customHeight="1" x14ac:dyDescent="0.25">
      <c r="A1609" s="4" t="s">
        <v>21</v>
      </c>
      <c r="B1609" s="4" t="s">
        <v>22</v>
      </c>
      <c r="C1609" s="4" t="s">
        <v>23</v>
      </c>
      <c r="D1609" s="4" t="s">
        <v>24</v>
      </c>
      <c r="E1609" s="4" t="s">
        <v>30</v>
      </c>
      <c r="F1609" s="4" t="s">
        <v>25</v>
      </c>
      <c r="G1609" s="4" t="s">
        <v>25</v>
      </c>
      <c r="H1609" s="4" t="s">
        <v>25</v>
      </c>
      <c r="I1609" s="5">
        <v>44440</v>
      </c>
      <c r="J1609" s="6">
        <v>0</v>
      </c>
      <c r="K1609" s="6">
        <v>0</v>
      </c>
      <c r="L1609" s="6">
        <v>20728.253000000001</v>
      </c>
      <c r="M1609" s="6">
        <v>20728.253000000001</v>
      </c>
      <c r="N1609" s="6">
        <v>20728.253000000001</v>
      </c>
      <c r="O1609" s="6">
        <v>20728.253000000001</v>
      </c>
      <c r="P1609" s="6">
        <v>201132</v>
      </c>
      <c r="Q1609" s="4" t="s">
        <v>26</v>
      </c>
      <c r="R1609" s="4">
        <v>0</v>
      </c>
      <c r="S1609" s="6">
        <v>0</v>
      </c>
      <c r="T1609" s="6">
        <v>6</v>
      </c>
      <c r="U1609" s="6">
        <v>74</v>
      </c>
      <c r="V1609" s="6">
        <f>IF(ISERROR(VLOOKUP($S$1609,'TAR FIN'!$A$1:$O$104,15,0)),0,VLOOKUP($S$1609,'TAR FIN'!$A$1:$O$104,15,0))</f>
        <v>0</v>
      </c>
      <c r="W1609" s="6">
        <f>IF(ISERROR(VLOOKUP($T$1609,'TAR FIN'!$A$1:$O$104,15,0)),0,VLOOKUP($T$1609,'TAR FIN'!$A$1:$O$104,15,0))</f>
        <v>179.74</v>
      </c>
      <c r="X1609" s="6">
        <f>IF(ISERROR(VLOOKUP($U$1609,'TAR FIN'!$A$1:$O$104,15,0)),0,VLOOKUP($U$1609,'TAR FIN'!$A$1:$O$104,15,0))</f>
        <v>153.43</v>
      </c>
      <c r="Y1609" s="6"/>
      <c r="Z1609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09" s="6">
        <f>('TE BE'!$AB$15+'TE BF'!$AB$15+'TE CVA'!$AB$15)*(1-CUSTOS!$M$35)</f>
        <v>145.48243020761052</v>
      </c>
      <c r="AB1609" s="6">
        <f>$K$1609*$V$1609</f>
        <v>0</v>
      </c>
      <c r="AC1609" s="6">
        <f>$M$1609*$W$1609</f>
        <v>3725696.1942200004</v>
      </c>
      <c r="AD1609" s="6">
        <f>$O$1609*$X$1609</f>
        <v>3180335.8577900003</v>
      </c>
      <c r="AE1609" s="6">
        <f>$K$1609*$Y$1609</f>
        <v>0</v>
      </c>
      <c r="AF1609" s="6">
        <f ca="1">$M$1609*$Z$1609</f>
        <v>3634831.4403395848</v>
      </c>
      <c r="AG1609" s="6">
        <f>$O$1609*$AA$1609</f>
        <v>3015596.6203981936</v>
      </c>
    </row>
    <row r="1610" spans="1:33" ht="11.25" customHeight="1" x14ac:dyDescent="0.25">
      <c r="A1610" s="4" t="s">
        <v>27</v>
      </c>
      <c r="B1610" s="4" t="s">
        <v>22</v>
      </c>
      <c r="C1610" s="4" t="s">
        <v>23</v>
      </c>
      <c r="D1610" s="4" t="s">
        <v>24</v>
      </c>
      <c r="E1610" s="4" t="s">
        <v>30</v>
      </c>
      <c r="F1610" s="4" t="s">
        <v>25</v>
      </c>
      <c r="G1610" s="4" t="s">
        <v>25</v>
      </c>
      <c r="H1610" s="4" t="s">
        <v>25</v>
      </c>
      <c r="I1610" s="5">
        <v>44440</v>
      </c>
      <c r="J1610" s="6">
        <v>0</v>
      </c>
      <c r="K1610" s="6">
        <v>0</v>
      </c>
      <c r="L1610" s="6">
        <v>-3.8239999999999998</v>
      </c>
      <c r="M1610" s="6">
        <v>-3.8239999999999998</v>
      </c>
      <c r="N1610" s="6">
        <v>-3.8239999999999998</v>
      </c>
      <c r="O1610" s="6">
        <v>-3.8239999999999998</v>
      </c>
      <c r="P1610" s="6">
        <v>-8</v>
      </c>
      <c r="Q1610" s="4" t="s">
        <v>26</v>
      </c>
      <c r="R1610" s="4">
        <v>0</v>
      </c>
      <c r="S1610" s="6">
        <v>0</v>
      </c>
      <c r="T1610" s="6">
        <v>6</v>
      </c>
      <c r="U1610" s="6">
        <v>74</v>
      </c>
      <c r="V1610" s="6">
        <f>IF(ISERROR(VLOOKUP($S$1610,'TAR FIN'!$A$1:$O$104,15,0)),0,VLOOKUP($S$1610,'TAR FIN'!$A$1:$O$104,15,0))</f>
        <v>0</v>
      </c>
      <c r="W1610" s="6">
        <f>IF(ISERROR(VLOOKUP($T$1610,'TAR FIN'!$A$1:$O$104,15,0)),0,VLOOKUP($T$1610,'TAR FIN'!$A$1:$O$104,15,0))</f>
        <v>179.74</v>
      </c>
      <c r="X1610" s="6">
        <f>IF(ISERROR(VLOOKUP($U$1610,'TAR FIN'!$A$1:$O$104,15,0)),0,VLOOKUP($U$1610,'TAR FIN'!$A$1:$O$104,15,0))</f>
        <v>153.43</v>
      </c>
      <c r="Y1610" s="6"/>
      <c r="Z1610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10" s="6">
        <f>('TE BE'!$AB$15+'TE BF'!$AB$15+'TE CVA'!$AB$15)*(1-CUSTOS!$M$35)</f>
        <v>145.48243020761052</v>
      </c>
      <c r="AB1610" s="6">
        <f>$K$1610*$V$1610</f>
        <v>0</v>
      </c>
      <c r="AC1610" s="6">
        <f>$M$1610*$W$1610</f>
        <v>-687.32576000000006</v>
      </c>
      <c r="AD1610" s="6">
        <f>$O$1610*$X$1610</f>
        <v>-586.71632</v>
      </c>
      <c r="AE1610" s="6">
        <f>$K$1610*$Y$1610</f>
        <v>0</v>
      </c>
      <c r="AF1610" s="6">
        <f ca="1">$M$1610*$Z$1610</f>
        <v>-670.56280275325526</v>
      </c>
      <c r="AG1610" s="6">
        <f>$O$1610*$AA$1610</f>
        <v>-556.32481311390256</v>
      </c>
    </row>
    <row r="1611" spans="1:33" ht="11.25" customHeight="1" x14ac:dyDescent="0.25">
      <c r="A1611" s="4" t="s">
        <v>28</v>
      </c>
      <c r="B1611" s="4" t="s">
        <v>22</v>
      </c>
      <c r="C1611" s="4" t="s">
        <v>23</v>
      </c>
      <c r="D1611" s="4" t="s">
        <v>24</v>
      </c>
      <c r="E1611" s="4" t="s">
        <v>30</v>
      </c>
      <c r="F1611" s="4" t="s">
        <v>25</v>
      </c>
      <c r="G1611" s="4" t="s">
        <v>25</v>
      </c>
      <c r="H1611" s="4" t="s">
        <v>25</v>
      </c>
      <c r="I1611" s="5">
        <v>44440</v>
      </c>
      <c r="J1611" s="6">
        <v>0</v>
      </c>
      <c r="K1611" s="6">
        <v>0</v>
      </c>
      <c r="L1611" s="6">
        <v>12.747999999999999</v>
      </c>
      <c r="M1611" s="6">
        <v>12.747999999999999</v>
      </c>
      <c r="N1611" s="6">
        <v>12.747999999999999</v>
      </c>
      <c r="O1611" s="6">
        <v>12.747999999999999</v>
      </c>
      <c r="P1611" s="6">
        <v>50</v>
      </c>
      <c r="Q1611" s="4" t="s">
        <v>26</v>
      </c>
      <c r="R1611" s="4">
        <v>0</v>
      </c>
      <c r="S1611" s="6">
        <v>0</v>
      </c>
      <c r="T1611" s="6">
        <v>6</v>
      </c>
      <c r="U1611" s="6">
        <v>74</v>
      </c>
      <c r="V1611" s="6">
        <f>IF(ISERROR(VLOOKUP($S$1611,'TAR FIN'!$A$1:$O$104,15,0)),0,VLOOKUP($S$1611,'TAR FIN'!$A$1:$O$104,15,0))</f>
        <v>0</v>
      </c>
      <c r="W1611" s="6">
        <f>IF(ISERROR(VLOOKUP($T$1611,'TAR FIN'!$A$1:$O$104,15,0)),0,VLOOKUP($T$1611,'TAR FIN'!$A$1:$O$104,15,0))</f>
        <v>179.74</v>
      </c>
      <c r="X1611" s="6">
        <f>IF(ISERROR(VLOOKUP($U$1611,'TAR FIN'!$A$1:$O$104,15,0)),0,VLOOKUP($U$1611,'TAR FIN'!$A$1:$O$104,15,0))</f>
        <v>153.43</v>
      </c>
      <c r="Y1611" s="6"/>
      <c r="Z1611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11" s="6">
        <f>('TE BE'!$AB$15+'TE BF'!$AB$15+'TE CVA'!$AB$15)*(1-CUSTOS!$M$35)</f>
        <v>145.48243020761052</v>
      </c>
      <c r="AB1611" s="6">
        <f>$K$1611*$V$1611</f>
        <v>0</v>
      </c>
      <c r="AC1611" s="6">
        <f>$M$1611*$W$1611</f>
        <v>2291.3255199999999</v>
      </c>
      <c r="AD1611" s="6">
        <f>$O$1611*$X$1611</f>
        <v>1955.9256399999999</v>
      </c>
      <c r="AE1611" s="6">
        <f>$K$1611*$Y$1611</f>
        <v>0</v>
      </c>
      <c r="AF1611" s="6">
        <f ca="1">$M$1611*$Z$1611</f>
        <v>2235.4431510194818</v>
      </c>
      <c r="AG1611" s="6">
        <f>$O$1611*$AA$1611</f>
        <v>1854.6100202866189</v>
      </c>
    </row>
    <row r="1612" spans="1:33" ht="11.25" customHeight="1" x14ac:dyDescent="0.25">
      <c r="A1612" s="4" t="s">
        <v>21</v>
      </c>
      <c r="B1612" s="4" t="s">
        <v>22</v>
      </c>
      <c r="C1612" s="4" t="s">
        <v>23</v>
      </c>
      <c r="D1612" s="4" t="s">
        <v>24</v>
      </c>
      <c r="E1612" s="4" t="s">
        <v>30</v>
      </c>
      <c r="F1612" s="4" t="s">
        <v>25</v>
      </c>
      <c r="G1612" s="4" t="s">
        <v>25</v>
      </c>
      <c r="H1612" s="4" t="s">
        <v>25</v>
      </c>
      <c r="I1612" s="5">
        <v>44470</v>
      </c>
      <c r="J1612" s="6">
        <v>0</v>
      </c>
      <c r="K1612" s="6">
        <v>0</v>
      </c>
      <c r="L1612" s="6">
        <v>21787.931</v>
      </c>
      <c r="M1612" s="6">
        <v>21787.931</v>
      </c>
      <c r="N1612" s="6">
        <v>21787.931</v>
      </c>
      <c r="O1612" s="6">
        <v>21787.931</v>
      </c>
      <c r="P1612" s="6">
        <v>188992</v>
      </c>
      <c r="Q1612" s="4" t="s">
        <v>26</v>
      </c>
      <c r="R1612" s="4">
        <v>0</v>
      </c>
      <c r="S1612" s="6">
        <v>0</v>
      </c>
      <c r="T1612" s="6">
        <v>6</v>
      </c>
      <c r="U1612" s="6">
        <v>74</v>
      </c>
      <c r="V1612" s="6">
        <f>IF(ISERROR(VLOOKUP($S$1612,'TAR FIN'!$A$1:$O$104,15,0)),0,VLOOKUP($S$1612,'TAR FIN'!$A$1:$O$104,15,0))</f>
        <v>0</v>
      </c>
      <c r="W1612" s="6">
        <f>IF(ISERROR(VLOOKUP($T$1612,'TAR FIN'!$A$1:$O$104,15,0)),0,VLOOKUP($T$1612,'TAR FIN'!$A$1:$O$104,15,0))</f>
        <v>179.74</v>
      </c>
      <c r="X1612" s="6">
        <f>IF(ISERROR(VLOOKUP($U$1612,'TAR FIN'!$A$1:$O$104,15,0)),0,VLOOKUP($U$1612,'TAR FIN'!$A$1:$O$104,15,0))</f>
        <v>153.43</v>
      </c>
      <c r="Y1612" s="6"/>
      <c r="Z1612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12" s="6">
        <f>('TE BE'!$AB$15+'TE BF'!$AB$15+'TE CVA'!$AB$15)*(1-CUSTOS!$M$35)</f>
        <v>145.48243020761052</v>
      </c>
      <c r="AB1612" s="6">
        <f>$K$1612*$V$1612</f>
        <v>0</v>
      </c>
      <c r="AC1612" s="6">
        <f>$M$1612*$W$1612</f>
        <v>3916162.7179400004</v>
      </c>
      <c r="AD1612" s="6">
        <f>$O$1612*$X$1612</f>
        <v>3342922.2533300002</v>
      </c>
      <c r="AE1612" s="6">
        <f>$K$1612*$Y$1612</f>
        <v>0</v>
      </c>
      <c r="AF1612" s="6">
        <f ca="1">$M$1612*$Z$1612</f>
        <v>3820652.7399462704</v>
      </c>
      <c r="AG1612" s="6">
        <f>$O$1612*$AA$1612</f>
        <v>3169761.1510757338</v>
      </c>
    </row>
    <row r="1613" spans="1:33" ht="11.25" customHeight="1" x14ac:dyDescent="0.25">
      <c r="A1613" s="4" t="s">
        <v>27</v>
      </c>
      <c r="B1613" s="4" t="s">
        <v>22</v>
      </c>
      <c r="C1613" s="4" t="s">
        <v>23</v>
      </c>
      <c r="D1613" s="4" t="s">
        <v>24</v>
      </c>
      <c r="E1613" s="4" t="s">
        <v>30</v>
      </c>
      <c r="F1613" s="4" t="s">
        <v>25</v>
      </c>
      <c r="G1613" s="4" t="s">
        <v>25</v>
      </c>
      <c r="H1613" s="4" t="s">
        <v>25</v>
      </c>
      <c r="I1613" s="5">
        <v>44470</v>
      </c>
      <c r="J1613" s="6">
        <v>0</v>
      </c>
      <c r="K1613" s="6">
        <v>0</v>
      </c>
      <c r="L1613" s="6">
        <v>-4.6779999999999999</v>
      </c>
      <c r="M1613" s="6">
        <v>-4.6779999999999999</v>
      </c>
      <c r="N1613" s="6">
        <v>-4.6779999999999999</v>
      </c>
      <c r="O1613" s="6">
        <v>-4.6779999999999999</v>
      </c>
      <c r="P1613" s="6">
        <v>-8</v>
      </c>
      <c r="Q1613" s="4" t="s">
        <v>26</v>
      </c>
      <c r="R1613" s="4">
        <v>0</v>
      </c>
      <c r="S1613" s="6">
        <v>0</v>
      </c>
      <c r="T1613" s="6">
        <v>6</v>
      </c>
      <c r="U1613" s="6">
        <v>74</v>
      </c>
      <c r="V1613" s="6">
        <f>IF(ISERROR(VLOOKUP($S$1613,'TAR FIN'!$A$1:$O$104,15,0)),0,VLOOKUP($S$1613,'TAR FIN'!$A$1:$O$104,15,0))</f>
        <v>0</v>
      </c>
      <c r="W1613" s="6">
        <f>IF(ISERROR(VLOOKUP($T$1613,'TAR FIN'!$A$1:$O$104,15,0)),0,VLOOKUP($T$1613,'TAR FIN'!$A$1:$O$104,15,0))</f>
        <v>179.74</v>
      </c>
      <c r="X1613" s="6">
        <f>IF(ISERROR(VLOOKUP($U$1613,'TAR FIN'!$A$1:$O$104,15,0)),0,VLOOKUP($U$1613,'TAR FIN'!$A$1:$O$104,15,0))</f>
        <v>153.43</v>
      </c>
      <c r="Y1613" s="6"/>
      <c r="Z1613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13" s="6">
        <f>('TE BE'!$AB$15+'TE BF'!$AB$15+'TE CVA'!$AB$15)*(1-CUSTOS!$M$35)</f>
        <v>145.48243020761052</v>
      </c>
      <c r="AB1613" s="6">
        <f>$K$1613*$V$1613</f>
        <v>0</v>
      </c>
      <c r="AC1613" s="6">
        <f>$M$1613*$W$1613</f>
        <v>-840.82371999999998</v>
      </c>
      <c r="AD1613" s="6">
        <f>$O$1613*$X$1613</f>
        <v>-717.74554000000001</v>
      </c>
      <c r="AE1613" s="6">
        <f>$K$1613*$Y$1613</f>
        <v>0</v>
      </c>
      <c r="AF1613" s="6">
        <f ca="1">$M$1613*$Z$1613</f>
        <v>-820.31715253130972</v>
      </c>
      <c r="AG1613" s="6">
        <f>$O$1613*$AA$1613</f>
        <v>-680.566808511202</v>
      </c>
    </row>
    <row r="1614" spans="1:33" ht="11.25" customHeight="1" x14ac:dyDescent="0.25">
      <c r="A1614" s="4" t="s">
        <v>28</v>
      </c>
      <c r="B1614" s="4" t="s">
        <v>22</v>
      </c>
      <c r="C1614" s="4" t="s">
        <v>23</v>
      </c>
      <c r="D1614" s="4" t="s">
        <v>24</v>
      </c>
      <c r="E1614" s="4" t="s">
        <v>30</v>
      </c>
      <c r="F1614" s="4" t="s">
        <v>25</v>
      </c>
      <c r="G1614" s="4" t="s">
        <v>25</v>
      </c>
      <c r="H1614" s="4" t="s">
        <v>25</v>
      </c>
      <c r="I1614" s="5">
        <v>44470</v>
      </c>
      <c r="J1614" s="6">
        <v>0</v>
      </c>
      <c r="K1614" s="6">
        <v>0</v>
      </c>
      <c r="L1614" s="6">
        <v>14.361000000000001</v>
      </c>
      <c r="M1614" s="6">
        <v>14.361000000000001</v>
      </c>
      <c r="N1614" s="6">
        <v>14.361000000000001</v>
      </c>
      <c r="O1614" s="6">
        <v>14.361000000000001</v>
      </c>
      <c r="P1614" s="6">
        <v>48</v>
      </c>
      <c r="Q1614" s="4" t="s">
        <v>26</v>
      </c>
      <c r="R1614" s="4">
        <v>0</v>
      </c>
      <c r="S1614" s="6">
        <v>0</v>
      </c>
      <c r="T1614" s="6">
        <v>6</v>
      </c>
      <c r="U1614" s="6">
        <v>74</v>
      </c>
      <c r="V1614" s="6">
        <f>IF(ISERROR(VLOOKUP($S$1614,'TAR FIN'!$A$1:$O$104,15,0)),0,VLOOKUP($S$1614,'TAR FIN'!$A$1:$O$104,15,0))</f>
        <v>0</v>
      </c>
      <c r="W1614" s="6">
        <f>IF(ISERROR(VLOOKUP($T$1614,'TAR FIN'!$A$1:$O$104,15,0)),0,VLOOKUP($T$1614,'TAR FIN'!$A$1:$O$104,15,0))</f>
        <v>179.74</v>
      </c>
      <c r="X1614" s="6">
        <f>IF(ISERROR(VLOOKUP($U$1614,'TAR FIN'!$A$1:$O$104,15,0)),0,VLOOKUP($U$1614,'TAR FIN'!$A$1:$O$104,15,0))</f>
        <v>153.43</v>
      </c>
      <c r="Y1614" s="6"/>
      <c r="Z1614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14" s="6">
        <f>('TE BE'!$AB$15+'TE BF'!$AB$15+'TE CVA'!$AB$15)*(1-CUSTOS!$M$35)</f>
        <v>145.48243020761052</v>
      </c>
      <c r="AB1614" s="6">
        <f>$K$1614*$V$1614</f>
        <v>0</v>
      </c>
      <c r="AC1614" s="6">
        <f>$M$1614*$W$1614</f>
        <v>2581.2461400000002</v>
      </c>
      <c r="AD1614" s="6">
        <f>$O$1614*$X$1614</f>
        <v>2203.40823</v>
      </c>
      <c r="AE1614" s="6">
        <f>$K$1614*$Y$1614</f>
        <v>0</v>
      </c>
      <c r="AF1614" s="6">
        <f ca="1">$M$1614*$Z$1614</f>
        <v>2518.2929943356435</v>
      </c>
      <c r="AG1614" s="6">
        <f>$O$1614*$AA$1614</f>
        <v>2089.2731802114949</v>
      </c>
    </row>
    <row r="1615" spans="1:33" ht="11.25" customHeight="1" x14ac:dyDescent="0.25">
      <c r="A1615" s="4" t="s">
        <v>21</v>
      </c>
      <c r="B1615" s="4" t="s">
        <v>22</v>
      </c>
      <c r="C1615" s="4" t="s">
        <v>23</v>
      </c>
      <c r="D1615" s="4" t="s">
        <v>24</v>
      </c>
      <c r="E1615" s="4" t="s">
        <v>30</v>
      </c>
      <c r="F1615" s="4" t="s">
        <v>25</v>
      </c>
      <c r="G1615" s="4" t="s">
        <v>25</v>
      </c>
      <c r="H1615" s="4" t="s">
        <v>25</v>
      </c>
      <c r="I1615" s="5">
        <v>44501</v>
      </c>
      <c r="J1615" s="6">
        <v>0</v>
      </c>
      <c r="K1615" s="6">
        <v>0</v>
      </c>
      <c r="L1615" s="6">
        <v>22162.739000000001</v>
      </c>
      <c r="M1615" s="6">
        <v>22162.739000000001</v>
      </c>
      <c r="N1615" s="6">
        <v>22162.739000000001</v>
      </c>
      <c r="O1615" s="6">
        <v>22162.739000000001</v>
      </c>
      <c r="P1615" s="6">
        <v>189824</v>
      </c>
      <c r="Q1615" s="4" t="s">
        <v>26</v>
      </c>
      <c r="R1615" s="4">
        <v>0</v>
      </c>
      <c r="S1615" s="6">
        <v>0</v>
      </c>
      <c r="T1615" s="6">
        <v>6</v>
      </c>
      <c r="U1615" s="6">
        <v>74</v>
      </c>
      <c r="V1615" s="6">
        <f>IF(ISERROR(VLOOKUP($S$1615,'TAR FIN'!$A$1:$O$104,15,0)),0,VLOOKUP($S$1615,'TAR FIN'!$A$1:$O$104,15,0))</f>
        <v>0</v>
      </c>
      <c r="W1615" s="6">
        <f>IF(ISERROR(VLOOKUP($T$1615,'TAR FIN'!$A$1:$O$104,15,0)),0,VLOOKUP($T$1615,'TAR FIN'!$A$1:$O$104,15,0))</f>
        <v>179.74</v>
      </c>
      <c r="X1615" s="6">
        <f>IF(ISERROR(VLOOKUP($U$1615,'TAR FIN'!$A$1:$O$104,15,0)),0,VLOOKUP($U$1615,'TAR FIN'!$A$1:$O$104,15,0))</f>
        <v>153.43</v>
      </c>
      <c r="Y1615" s="6"/>
      <c r="Z1615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15" s="6">
        <f>('TE BE'!$AB$15+'TE BF'!$AB$15+'TE CVA'!$AB$15)*(1-CUSTOS!$M$35)</f>
        <v>145.48243020761052</v>
      </c>
      <c r="AB1615" s="6">
        <f>$K$1615*$V$1615</f>
        <v>0</v>
      </c>
      <c r="AC1615" s="6">
        <f>$M$1615*$W$1615</f>
        <v>3983530.7078600004</v>
      </c>
      <c r="AD1615" s="6">
        <f>$O$1615*$X$1615</f>
        <v>3400429.0447700005</v>
      </c>
      <c r="AE1615" s="6">
        <f>$K$1615*$Y$1615</f>
        <v>0</v>
      </c>
      <c r="AF1615" s="6">
        <f ca="1">$M$1615*$Z$1615</f>
        <v>3886377.7145734518</v>
      </c>
      <c r="AG1615" s="6">
        <f>$O$1615*$AA$1615</f>
        <v>3224289.1297769882</v>
      </c>
    </row>
    <row r="1616" spans="1:33" ht="11.25" customHeight="1" x14ac:dyDescent="0.25">
      <c r="A1616" s="4" t="s">
        <v>27</v>
      </c>
      <c r="B1616" s="4" t="s">
        <v>22</v>
      </c>
      <c r="C1616" s="4" t="s">
        <v>23</v>
      </c>
      <c r="D1616" s="4" t="s">
        <v>24</v>
      </c>
      <c r="E1616" s="4" t="s">
        <v>30</v>
      </c>
      <c r="F1616" s="4" t="s">
        <v>25</v>
      </c>
      <c r="G1616" s="4" t="s">
        <v>25</v>
      </c>
      <c r="H1616" s="4" t="s">
        <v>25</v>
      </c>
      <c r="I1616" s="5">
        <v>44501</v>
      </c>
      <c r="J1616" s="6">
        <v>0</v>
      </c>
      <c r="K1616" s="6">
        <v>0</v>
      </c>
      <c r="L1616" s="6">
        <v>-3.3090000000000002</v>
      </c>
      <c r="M1616" s="6">
        <v>-3.3090000000000002</v>
      </c>
      <c r="N1616" s="6">
        <v>-3.3090000000000002</v>
      </c>
      <c r="O1616" s="6">
        <v>-3.3090000000000002</v>
      </c>
      <c r="P1616" s="6">
        <v>-5</v>
      </c>
      <c r="Q1616" s="4" t="s">
        <v>26</v>
      </c>
      <c r="R1616" s="4">
        <v>0</v>
      </c>
      <c r="S1616" s="6">
        <v>0</v>
      </c>
      <c r="T1616" s="6">
        <v>6</v>
      </c>
      <c r="U1616" s="6">
        <v>74</v>
      </c>
      <c r="V1616" s="6">
        <f>IF(ISERROR(VLOOKUP($S$1616,'TAR FIN'!$A$1:$O$104,15,0)),0,VLOOKUP($S$1616,'TAR FIN'!$A$1:$O$104,15,0))</f>
        <v>0</v>
      </c>
      <c r="W1616" s="6">
        <f>IF(ISERROR(VLOOKUP($T$1616,'TAR FIN'!$A$1:$O$104,15,0)),0,VLOOKUP($T$1616,'TAR FIN'!$A$1:$O$104,15,0))</f>
        <v>179.74</v>
      </c>
      <c r="X1616" s="6">
        <f>IF(ISERROR(VLOOKUP($U$1616,'TAR FIN'!$A$1:$O$104,15,0)),0,VLOOKUP($U$1616,'TAR FIN'!$A$1:$O$104,15,0))</f>
        <v>153.43</v>
      </c>
      <c r="Y1616" s="6"/>
      <c r="Z1616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16" s="6">
        <f>('TE BE'!$AB$15+'TE BF'!$AB$15+'TE CVA'!$AB$15)*(1-CUSTOS!$M$35)</f>
        <v>145.48243020761052</v>
      </c>
      <c r="AB1616" s="6">
        <f>$K$1616*$V$1616</f>
        <v>0</v>
      </c>
      <c r="AC1616" s="6">
        <f>$M$1616*$W$1616</f>
        <v>-594.75966000000005</v>
      </c>
      <c r="AD1616" s="6">
        <f>$O$1616*$X$1616</f>
        <v>-507.69987000000003</v>
      </c>
      <c r="AE1616" s="6">
        <f>$K$1616*$Y$1616</f>
        <v>0</v>
      </c>
      <c r="AF1616" s="6">
        <f ca="1">$M$1616*$Z$1616</f>
        <v>-580.25426629459253</v>
      </c>
      <c r="AG1616" s="6">
        <f>$O$1616*$AA$1616</f>
        <v>-481.40136155698326</v>
      </c>
    </row>
    <row r="1617" spans="1:33" ht="11.25" customHeight="1" x14ac:dyDescent="0.25">
      <c r="A1617" s="4" t="s">
        <v>28</v>
      </c>
      <c r="B1617" s="4" t="s">
        <v>22</v>
      </c>
      <c r="C1617" s="4" t="s">
        <v>23</v>
      </c>
      <c r="D1617" s="4" t="s">
        <v>24</v>
      </c>
      <c r="E1617" s="4" t="s">
        <v>30</v>
      </c>
      <c r="F1617" s="4" t="s">
        <v>25</v>
      </c>
      <c r="G1617" s="4" t="s">
        <v>25</v>
      </c>
      <c r="H1617" s="4" t="s">
        <v>25</v>
      </c>
      <c r="I1617" s="5">
        <v>44501</v>
      </c>
      <c r="J1617" s="6">
        <v>0</v>
      </c>
      <c r="K1617" s="6">
        <v>0</v>
      </c>
      <c r="L1617" s="6">
        <v>15.215</v>
      </c>
      <c r="M1617" s="6">
        <v>15.215</v>
      </c>
      <c r="N1617" s="6">
        <v>15.215</v>
      </c>
      <c r="O1617" s="6">
        <v>15.215</v>
      </c>
      <c r="P1617" s="6">
        <v>51</v>
      </c>
      <c r="Q1617" s="4" t="s">
        <v>26</v>
      </c>
      <c r="R1617" s="4">
        <v>0</v>
      </c>
      <c r="S1617" s="6">
        <v>0</v>
      </c>
      <c r="T1617" s="6">
        <v>6</v>
      </c>
      <c r="U1617" s="6">
        <v>74</v>
      </c>
      <c r="V1617" s="6">
        <f>IF(ISERROR(VLOOKUP($S$1617,'TAR FIN'!$A$1:$O$104,15,0)),0,VLOOKUP($S$1617,'TAR FIN'!$A$1:$O$104,15,0))</f>
        <v>0</v>
      </c>
      <c r="W1617" s="6">
        <f>IF(ISERROR(VLOOKUP($T$1617,'TAR FIN'!$A$1:$O$104,15,0)),0,VLOOKUP($T$1617,'TAR FIN'!$A$1:$O$104,15,0))</f>
        <v>179.74</v>
      </c>
      <c r="X1617" s="6">
        <f>IF(ISERROR(VLOOKUP($U$1617,'TAR FIN'!$A$1:$O$104,15,0)),0,VLOOKUP($U$1617,'TAR FIN'!$A$1:$O$104,15,0))</f>
        <v>153.43</v>
      </c>
      <c r="Y1617" s="6"/>
      <c r="Z1617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17" s="6">
        <f>('TE BE'!$AB$15+'TE BF'!$AB$15+'TE CVA'!$AB$15)*(1-CUSTOS!$M$35)</f>
        <v>145.48243020761052</v>
      </c>
      <c r="AB1617" s="6">
        <f>$K$1617*$V$1617</f>
        <v>0</v>
      </c>
      <c r="AC1617" s="6">
        <f>$M$1617*$W$1617</f>
        <v>2734.7440999999999</v>
      </c>
      <c r="AD1617" s="6">
        <f>$O$1617*$X$1617</f>
        <v>2334.4374499999999</v>
      </c>
      <c r="AE1617" s="6">
        <f>$K$1617*$Y$1617</f>
        <v>0</v>
      </c>
      <c r="AF1617" s="6">
        <f ca="1">$M$1617*$Z$1617</f>
        <v>2668.0473441136974</v>
      </c>
      <c r="AG1617" s="6">
        <f>$O$1617*$AA$1617</f>
        <v>2213.5151756087939</v>
      </c>
    </row>
    <row r="1618" spans="1:33" ht="11.25" customHeight="1" x14ac:dyDescent="0.25">
      <c r="A1618" s="4" t="s">
        <v>21</v>
      </c>
      <c r="B1618" s="4" t="s">
        <v>22</v>
      </c>
      <c r="C1618" s="4" t="s">
        <v>23</v>
      </c>
      <c r="D1618" s="4" t="s">
        <v>24</v>
      </c>
      <c r="E1618" s="4" t="s">
        <v>30</v>
      </c>
      <c r="F1618" s="4" t="s">
        <v>25</v>
      </c>
      <c r="G1618" s="4" t="s">
        <v>25</v>
      </c>
      <c r="H1618" s="4" t="s">
        <v>25</v>
      </c>
      <c r="I1618" s="5">
        <v>44531</v>
      </c>
      <c r="J1618" s="6">
        <v>0</v>
      </c>
      <c r="K1618" s="6">
        <v>0</v>
      </c>
      <c r="L1618" s="6">
        <v>23244.647000000001</v>
      </c>
      <c r="M1618" s="6">
        <v>23244.647000000001</v>
      </c>
      <c r="N1618" s="6">
        <v>23244.647000000001</v>
      </c>
      <c r="O1618" s="6">
        <v>23244.647000000001</v>
      </c>
      <c r="P1618" s="6">
        <v>163647</v>
      </c>
      <c r="Q1618" s="4" t="s">
        <v>26</v>
      </c>
      <c r="R1618" s="4">
        <v>0</v>
      </c>
      <c r="S1618" s="6">
        <v>0</v>
      </c>
      <c r="T1618" s="6">
        <v>6</v>
      </c>
      <c r="U1618" s="6">
        <v>74</v>
      </c>
      <c r="V1618" s="6">
        <f>IF(ISERROR(VLOOKUP($S$1618,'TAR FIN'!$A$1:$O$104,15,0)),0,VLOOKUP($S$1618,'TAR FIN'!$A$1:$O$104,15,0))</f>
        <v>0</v>
      </c>
      <c r="W1618" s="6">
        <f>IF(ISERROR(VLOOKUP($T$1618,'TAR FIN'!$A$1:$O$104,15,0)),0,VLOOKUP($T$1618,'TAR FIN'!$A$1:$O$104,15,0))</f>
        <v>179.74</v>
      </c>
      <c r="X1618" s="6">
        <f>IF(ISERROR(VLOOKUP($U$1618,'TAR FIN'!$A$1:$O$104,15,0)),0,VLOOKUP($U$1618,'TAR FIN'!$A$1:$O$104,15,0))</f>
        <v>153.43</v>
      </c>
      <c r="Y1618" s="6"/>
      <c r="Z1618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18" s="6">
        <f>('TE BE'!$AB$15+'TE BF'!$AB$15+'TE CVA'!$AB$15)*(1-CUSTOS!$M$35)</f>
        <v>145.48243020761052</v>
      </c>
      <c r="AB1618" s="6">
        <f>$K$1618*$V$1618</f>
        <v>0</v>
      </c>
      <c r="AC1618" s="6">
        <f>$M$1618*$W$1618</f>
        <v>4177992.8517800001</v>
      </c>
      <c r="AD1618" s="6">
        <f>$O$1618*$X$1618</f>
        <v>3566426.1892100004</v>
      </c>
      <c r="AE1618" s="6">
        <f>$K$1618*$Y$1618</f>
        <v>0</v>
      </c>
      <c r="AF1618" s="6">
        <f ca="1">$M$1618*$Z$1618</f>
        <v>4076097.1865402847</v>
      </c>
      <c r="AG1618" s="6">
        <f>$O$1618*$AA$1618</f>
        <v>3381687.7348780432</v>
      </c>
    </row>
    <row r="1619" spans="1:33" ht="11.25" customHeight="1" x14ac:dyDescent="0.25">
      <c r="A1619" s="4" t="s">
        <v>27</v>
      </c>
      <c r="B1619" s="4" t="s">
        <v>22</v>
      </c>
      <c r="C1619" s="4" t="s">
        <v>23</v>
      </c>
      <c r="D1619" s="4" t="s">
        <v>24</v>
      </c>
      <c r="E1619" s="4" t="s">
        <v>30</v>
      </c>
      <c r="F1619" s="4" t="s">
        <v>25</v>
      </c>
      <c r="G1619" s="4" t="s">
        <v>25</v>
      </c>
      <c r="H1619" s="4" t="s">
        <v>25</v>
      </c>
      <c r="I1619" s="5">
        <v>44531</v>
      </c>
      <c r="J1619" s="6">
        <v>0</v>
      </c>
      <c r="K1619" s="6">
        <v>0</v>
      </c>
      <c r="L1619" s="6">
        <v>-2.8319999999999999</v>
      </c>
      <c r="M1619" s="6">
        <v>-2.8319999999999999</v>
      </c>
      <c r="N1619" s="6">
        <v>-2.8319999999999999</v>
      </c>
      <c r="O1619" s="6">
        <v>-2.8319999999999999</v>
      </c>
      <c r="P1619" s="6">
        <v>-8</v>
      </c>
      <c r="Q1619" s="4" t="s">
        <v>26</v>
      </c>
      <c r="R1619" s="4">
        <v>0</v>
      </c>
      <c r="S1619" s="6">
        <v>0</v>
      </c>
      <c r="T1619" s="6">
        <v>6</v>
      </c>
      <c r="U1619" s="6">
        <v>74</v>
      </c>
      <c r="V1619" s="6">
        <f>IF(ISERROR(VLOOKUP($S$1619,'TAR FIN'!$A$1:$O$104,15,0)),0,VLOOKUP($S$1619,'TAR FIN'!$A$1:$O$104,15,0))</f>
        <v>0</v>
      </c>
      <c r="W1619" s="6">
        <f>IF(ISERROR(VLOOKUP($T$1619,'TAR FIN'!$A$1:$O$104,15,0)),0,VLOOKUP($T$1619,'TAR FIN'!$A$1:$O$104,15,0))</f>
        <v>179.74</v>
      </c>
      <c r="X1619" s="6">
        <f>IF(ISERROR(VLOOKUP($U$1619,'TAR FIN'!$A$1:$O$104,15,0)),0,VLOOKUP($U$1619,'TAR FIN'!$A$1:$O$104,15,0))</f>
        <v>153.43</v>
      </c>
      <c r="Y1619" s="6"/>
      <c r="Z1619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19" s="6">
        <f>('TE BE'!$AB$15+'TE BF'!$AB$15+'TE CVA'!$AB$15)*(1-CUSTOS!$M$35)</f>
        <v>145.48243020761052</v>
      </c>
      <c r="AB1619" s="6">
        <f>$K$1619*$V$1619</f>
        <v>0</v>
      </c>
      <c r="AC1619" s="6">
        <f>$M$1619*$W$1619</f>
        <v>-509.02368000000001</v>
      </c>
      <c r="AD1619" s="6">
        <f>$O$1619*$X$1619</f>
        <v>-434.51375999999999</v>
      </c>
      <c r="AE1619" s="6">
        <f>$K$1619*$Y$1619</f>
        <v>0</v>
      </c>
      <c r="AF1619" s="6">
        <f ca="1">$M$1619*$Z$1619</f>
        <v>-496.6092723319087</v>
      </c>
      <c r="AG1619" s="6">
        <f>$O$1619*$AA$1619</f>
        <v>-412.00624234795299</v>
      </c>
    </row>
    <row r="1620" spans="1:33" ht="11.25" customHeight="1" x14ac:dyDescent="0.25">
      <c r="A1620" s="4" t="s">
        <v>28</v>
      </c>
      <c r="B1620" s="4" t="s">
        <v>22</v>
      </c>
      <c r="C1620" s="4" t="s">
        <v>23</v>
      </c>
      <c r="D1620" s="4" t="s">
        <v>24</v>
      </c>
      <c r="E1620" s="4" t="s">
        <v>30</v>
      </c>
      <c r="F1620" s="4" t="s">
        <v>25</v>
      </c>
      <c r="G1620" s="4" t="s">
        <v>25</v>
      </c>
      <c r="H1620" s="4" t="s">
        <v>25</v>
      </c>
      <c r="I1620" s="5">
        <v>44531</v>
      </c>
      <c r="J1620" s="6">
        <v>0</v>
      </c>
      <c r="K1620" s="6">
        <v>0</v>
      </c>
      <c r="L1620" s="6">
        <v>19.161000000000001</v>
      </c>
      <c r="M1620" s="6">
        <v>19.161000000000001</v>
      </c>
      <c r="N1620" s="6">
        <v>19.161000000000001</v>
      </c>
      <c r="O1620" s="6">
        <v>19.161000000000001</v>
      </c>
      <c r="P1620" s="6">
        <v>39</v>
      </c>
      <c r="Q1620" s="4" t="s">
        <v>26</v>
      </c>
      <c r="R1620" s="4">
        <v>0</v>
      </c>
      <c r="S1620" s="6">
        <v>0</v>
      </c>
      <c r="T1620" s="6">
        <v>6</v>
      </c>
      <c r="U1620" s="6">
        <v>74</v>
      </c>
      <c r="V1620" s="6">
        <f>IF(ISERROR(VLOOKUP($S$1620,'TAR FIN'!$A$1:$O$104,15,0)),0,VLOOKUP($S$1620,'TAR FIN'!$A$1:$O$104,15,0))</f>
        <v>0</v>
      </c>
      <c r="W1620" s="6">
        <f>IF(ISERROR(VLOOKUP($T$1620,'TAR FIN'!$A$1:$O$104,15,0)),0,VLOOKUP($T$1620,'TAR FIN'!$A$1:$O$104,15,0))</f>
        <v>179.74</v>
      </c>
      <c r="X1620" s="6">
        <f>IF(ISERROR(VLOOKUP($U$1620,'TAR FIN'!$A$1:$O$104,15,0)),0,VLOOKUP($U$1620,'TAR FIN'!$A$1:$O$104,15,0))</f>
        <v>153.43</v>
      </c>
      <c r="Y1620" s="6"/>
      <c r="Z1620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20" s="6">
        <f>('TE BE'!$AB$15+'TE BF'!$AB$15+'TE CVA'!$AB$15)*(1-CUSTOS!$M$35)</f>
        <v>145.48243020761052</v>
      </c>
      <c r="AB1620" s="6">
        <f>$K$1620*$V$1620</f>
        <v>0</v>
      </c>
      <c r="AC1620" s="6">
        <f>$M$1620*$W$1620</f>
        <v>3443.9981400000006</v>
      </c>
      <c r="AD1620" s="6">
        <f>$O$1620*$X$1620</f>
        <v>2939.8722300000004</v>
      </c>
      <c r="AE1620" s="6">
        <f>$K$1620*$Y$1620</f>
        <v>0</v>
      </c>
      <c r="AF1620" s="6">
        <f ca="1">$M$1620*$Z$1620</f>
        <v>3360.0036254066754</v>
      </c>
      <c r="AG1620" s="6">
        <f>$O$1620*$AA$1620</f>
        <v>2787.5888452080253</v>
      </c>
    </row>
    <row r="1621" spans="1:33" ht="11.25" customHeight="1" x14ac:dyDescent="0.25">
      <c r="A1621" s="4" t="s">
        <v>21</v>
      </c>
      <c r="B1621" s="4" t="s">
        <v>22</v>
      </c>
      <c r="C1621" s="4" t="s">
        <v>23</v>
      </c>
      <c r="D1621" s="4" t="s">
        <v>24</v>
      </c>
      <c r="E1621" s="4" t="s">
        <v>30</v>
      </c>
      <c r="F1621" s="4" t="s">
        <v>25</v>
      </c>
      <c r="G1621" s="4" t="s">
        <v>25</v>
      </c>
      <c r="H1621" s="4" t="s">
        <v>25</v>
      </c>
      <c r="I1621" s="5">
        <v>44562</v>
      </c>
      <c r="J1621" s="6">
        <v>0</v>
      </c>
      <c r="K1621" s="6">
        <v>0</v>
      </c>
      <c r="L1621" s="6">
        <v>22506.417000000001</v>
      </c>
      <c r="M1621" s="6">
        <v>22506.417000000001</v>
      </c>
      <c r="N1621" s="6">
        <v>22506.417000000001</v>
      </c>
      <c r="O1621" s="6">
        <v>22506.417000000001</v>
      </c>
      <c r="P1621" s="6">
        <v>182803</v>
      </c>
      <c r="Q1621" s="4" t="s">
        <v>26</v>
      </c>
      <c r="R1621" s="4">
        <v>0</v>
      </c>
      <c r="S1621" s="6">
        <v>0</v>
      </c>
      <c r="T1621" s="6">
        <v>6</v>
      </c>
      <c r="U1621" s="6">
        <v>74</v>
      </c>
      <c r="V1621" s="6">
        <f>IF(ISERROR(VLOOKUP($S$1621,'TAR FIN'!$A$1:$O$104,15,0)),0,VLOOKUP($S$1621,'TAR FIN'!$A$1:$O$104,15,0))</f>
        <v>0</v>
      </c>
      <c r="W1621" s="6">
        <f>IF(ISERROR(VLOOKUP($T$1621,'TAR FIN'!$A$1:$O$104,15,0)),0,VLOOKUP($T$1621,'TAR FIN'!$A$1:$O$104,15,0))</f>
        <v>179.74</v>
      </c>
      <c r="X1621" s="6">
        <f>IF(ISERROR(VLOOKUP($U$1621,'TAR FIN'!$A$1:$O$104,15,0)),0,VLOOKUP($U$1621,'TAR FIN'!$A$1:$O$104,15,0))</f>
        <v>153.43</v>
      </c>
      <c r="Y1621" s="6"/>
      <c r="Z1621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21" s="6">
        <f>('TE BE'!$AB$15+'TE BF'!$AB$15+'TE CVA'!$AB$15)*(1-CUSTOS!$M$35)</f>
        <v>145.48243020761052</v>
      </c>
      <c r="AB1621" s="6">
        <f>$K$1621*$V$1621</f>
        <v>0</v>
      </c>
      <c r="AC1621" s="6">
        <f>$M$1621*$W$1621</f>
        <v>4045303.3915800005</v>
      </c>
      <c r="AD1621" s="6">
        <f>$O$1621*$X$1621</f>
        <v>3453159.5603100006</v>
      </c>
      <c r="AE1621" s="6">
        <f>$K$1621*$Y$1621</f>
        <v>0</v>
      </c>
      <c r="AF1621" s="6">
        <f ca="1">$M$1621*$Z$1621</f>
        <v>3946643.8450453747</v>
      </c>
      <c r="AG1621" s="6">
        <f>$O$1621*$AA$1621</f>
        <v>3274288.2404258791</v>
      </c>
    </row>
    <row r="1622" spans="1:33" ht="11.25" customHeight="1" x14ac:dyDescent="0.25">
      <c r="A1622" s="4" t="s">
        <v>27</v>
      </c>
      <c r="B1622" s="4" t="s">
        <v>22</v>
      </c>
      <c r="C1622" s="4" t="s">
        <v>23</v>
      </c>
      <c r="D1622" s="4" t="s">
        <v>24</v>
      </c>
      <c r="E1622" s="4" t="s">
        <v>30</v>
      </c>
      <c r="F1622" s="4" t="s">
        <v>25</v>
      </c>
      <c r="G1622" s="4" t="s">
        <v>25</v>
      </c>
      <c r="H1622" s="4" t="s">
        <v>25</v>
      </c>
      <c r="I1622" s="5">
        <v>44562</v>
      </c>
      <c r="J1622" s="6">
        <v>0</v>
      </c>
      <c r="K1622" s="6">
        <v>0</v>
      </c>
      <c r="L1622" s="6">
        <v>-3.6040000000000001</v>
      </c>
      <c r="M1622" s="6">
        <v>-3.6040000000000001</v>
      </c>
      <c r="N1622" s="6">
        <v>-3.6040000000000001</v>
      </c>
      <c r="O1622" s="6">
        <v>-3.6040000000000001</v>
      </c>
      <c r="P1622" s="6">
        <v>-9</v>
      </c>
      <c r="Q1622" s="4" t="s">
        <v>26</v>
      </c>
      <c r="R1622" s="4">
        <v>0</v>
      </c>
      <c r="S1622" s="6">
        <v>0</v>
      </c>
      <c r="T1622" s="6">
        <v>6</v>
      </c>
      <c r="U1622" s="6">
        <v>74</v>
      </c>
      <c r="V1622" s="6">
        <f>IF(ISERROR(VLOOKUP($S$1622,'TAR FIN'!$A$1:$O$104,15,0)),0,VLOOKUP($S$1622,'TAR FIN'!$A$1:$O$104,15,0))</f>
        <v>0</v>
      </c>
      <c r="W1622" s="6">
        <f>IF(ISERROR(VLOOKUP($T$1622,'TAR FIN'!$A$1:$O$104,15,0)),0,VLOOKUP($T$1622,'TAR FIN'!$A$1:$O$104,15,0))</f>
        <v>179.74</v>
      </c>
      <c r="X1622" s="6">
        <f>IF(ISERROR(VLOOKUP($U$1622,'TAR FIN'!$A$1:$O$104,15,0)),0,VLOOKUP($U$1622,'TAR FIN'!$A$1:$O$104,15,0))</f>
        <v>153.43</v>
      </c>
      <c r="Y1622" s="6"/>
      <c r="Z1622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22" s="6">
        <f>('TE BE'!$AB$15+'TE BF'!$AB$15+'TE CVA'!$AB$15)*(1-CUSTOS!$M$35)</f>
        <v>145.48243020761052</v>
      </c>
      <c r="AB1622" s="6">
        <f>$K$1622*$V$1622</f>
        <v>0</v>
      </c>
      <c r="AC1622" s="6">
        <f>$M$1622*$W$1622</f>
        <v>-647.78296</v>
      </c>
      <c r="AD1622" s="6">
        <f>$O$1622*$X$1622</f>
        <v>-552.96172000000001</v>
      </c>
      <c r="AE1622" s="6">
        <f>$K$1622*$Y$1622</f>
        <v>0</v>
      </c>
      <c r="AF1622" s="6">
        <f ca="1">$M$1622*$Z$1622</f>
        <v>-631.98439882916637</v>
      </c>
      <c r="AG1622" s="6">
        <f>$O$1622*$AA$1622</f>
        <v>-524.31867846822831</v>
      </c>
    </row>
    <row r="1623" spans="1:33" ht="11.25" customHeight="1" x14ac:dyDescent="0.25">
      <c r="A1623" s="4" t="s">
        <v>28</v>
      </c>
      <c r="B1623" s="4" t="s">
        <v>22</v>
      </c>
      <c r="C1623" s="4" t="s">
        <v>23</v>
      </c>
      <c r="D1623" s="4" t="s">
        <v>24</v>
      </c>
      <c r="E1623" s="4" t="s">
        <v>30</v>
      </c>
      <c r="F1623" s="4" t="s">
        <v>25</v>
      </c>
      <c r="G1623" s="4" t="s">
        <v>25</v>
      </c>
      <c r="H1623" s="4" t="s">
        <v>25</v>
      </c>
      <c r="I1623" s="5">
        <v>44562</v>
      </c>
      <c r="J1623" s="6">
        <v>0</v>
      </c>
      <c r="K1623" s="6">
        <v>0</v>
      </c>
      <c r="L1623" s="6">
        <v>19.314</v>
      </c>
      <c r="M1623" s="6">
        <v>19.314</v>
      </c>
      <c r="N1623" s="6">
        <v>19.314</v>
      </c>
      <c r="O1623" s="6">
        <v>19.314</v>
      </c>
      <c r="P1623" s="6">
        <v>58</v>
      </c>
      <c r="Q1623" s="4" t="s">
        <v>26</v>
      </c>
      <c r="R1623" s="4">
        <v>0</v>
      </c>
      <c r="S1623" s="6">
        <v>0</v>
      </c>
      <c r="T1623" s="6">
        <v>6</v>
      </c>
      <c r="U1623" s="6">
        <v>74</v>
      </c>
      <c r="V1623" s="6">
        <f>IF(ISERROR(VLOOKUP($S$1623,'TAR FIN'!$A$1:$O$104,15,0)),0,VLOOKUP($S$1623,'TAR FIN'!$A$1:$O$104,15,0))</f>
        <v>0</v>
      </c>
      <c r="W1623" s="6">
        <f>IF(ISERROR(VLOOKUP($T$1623,'TAR FIN'!$A$1:$O$104,15,0)),0,VLOOKUP($T$1623,'TAR FIN'!$A$1:$O$104,15,0))</f>
        <v>179.74</v>
      </c>
      <c r="X1623" s="6">
        <f>IF(ISERROR(VLOOKUP($U$1623,'TAR FIN'!$A$1:$O$104,15,0)),0,VLOOKUP($U$1623,'TAR FIN'!$A$1:$O$104,15,0))</f>
        <v>153.43</v>
      </c>
      <c r="Y1623" s="6"/>
      <c r="Z1623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23" s="6">
        <f>('TE BE'!$AB$15+'TE BF'!$AB$15+'TE CVA'!$AB$15)*(1-CUSTOS!$M$35)</f>
        <v>145.48243020761052</v>
      </c>
      <c r="AB1623" s="6">
        <f>$K$1623*$V$1623</f>
        <v>0</v>
      </c>
      <c r="AC1623" s="6">
        <f>$M$1623*$W$1623</f>
        <v>3471.49836</v>
      </c>
      <c r="AD1623" s="6">
        <f>$O$1623*$X$1623</f>
        <v>2963.3470200000002</v>
      </c>
      <c r="AE1623" s="6">
        <f>$K$1623*$Y$1623</f>
        <v>0</v>
      </c>
      <c r="AF1623" s="6">
        <f ca="1">$M$1623*$Z$1623</f>
        <v>3386.833151772064</v>
      </c>
      <c r="AG1623" s="6">
        <f>$O$1623*$AA$1623</f>
        <v>2809.8476570297894</v>
      </c>
    </row>
    <row r="1624" spans="1:33" ht="11.25" customHeight="1" x14ac:dyDescent="0.25">
      <c r="A1624" s="4" t="s">
        <v>28</v>
      </c>
      <c r="B1624" s="4" t="s">
        <v>22</v>
      </c>
      <c r="C1624" s="4" t="s">
        <v>23</v>
      </c>
      <c r="D1624" s="4" t="s">
        <v>24</v>
      </c>
      <c r="E1624" s="4" t="s">
        <v>30</v>
      </c>
      <c r="F1624" s="4" t="s">
        <v>25</v>
      </c>
      <c r="G1624" s="4" t="s">
        <v>25</v>
      </c>
      <c r="H1624" s="4" t="s">
        <v>25</v>
      </c>
      <c r="I1624" s="5">
        <v>44562</v>
      </c>
      <c r="J1624" s="6">
        <v>0</v>
      </c>
      <c r="K1624" s="6">
        <v>0</v>
      </c>
      <c r="L1624" s="6">
        <v>-7.0000000000000007E-2</v>
      </c>
      <c r="M1624" s="6">
        <v>-7.0000000000000007E-2</v>
      </c>
      <c r="N1624" s="6">
        <v>-7.0000000000000007E-2</v>
      </c>
      <c r="O1624" s="6">
        <v>-7.0000000000000007E-2</v>
      </c>
      <c r="P1624" s="6">
        <v>0</v>
      </c>
      <c r="Q1624" s="4" t="s">
        <v>26</v>
      </c>
      <c r="R1624" s="4">
        <v>0</v>
      </c>
      <c r="S1624" s="6">
        <v>0</v>
      </c>
      <c r="T1624" s="6">
        <v>6</v>
      </c>
      <c r="U1624" s="6">
        <v>74</v>
      </c>
      <c r="V1624" s="6">
        <f>IF(ISERROR(VLOOKUP($S$1624,'TAR FIN'!$A$1:$O$104,15,0)),0,VLOOKUP($S$1624,'TAR FIN'!$A$1:$O$104,15,0))</f>
        <v>0</v>
      </c>
      <c r="W1624" s="6">
        <f>IF(ISERROR(VLOOKUP($T$1624,'TAR FIN'!$A$1:$O$104,15,0)),0,VLOOKUP($T$1624,'TAR FIN'!$A$1:$O$104,15,0))</f>
        <v>179.74</v>
      </c>
      <c r="X1624" s="6">
        <f>IF(ISERROR(VLOOKUP($U$1624,'TAR FIN'!$A$1:$O$104,15,0)),0,VLOOKUP($U$1624,'TAR FIN'!$A$1:$O$104,15,0))</f>
        <v>153.43</v>
      </c>
      <c r="Y1624" s="6"/>
      <c r="Z1624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24" s="6">
        <f>('TE BE'!$AB$15+'TE BF'!$AB$15+'TE CVA'!$AB$15)*(1-CUSTOS!$M$35)</f>
        <v>145.48243020761052</v>
      </c>
      <c r="AB1624" s="6">
        <f>$K$1624*$V$1624</f>
        <v>0</v>
      </c>
      <c r="AC1624" s="6">
        <f>$M$1624*$W$1624</f>
        <v>-12.581800000000001</v>
      </c>
      <c r="AD1624" s="6">
        <f>$O$1624*$X$1624</f>
        <v>-10.740100000000002</v>
      </c>
      <c r="AE1624" s="6">
        <f>$K$1624*$Y$1624</f>
        <v>0</v>
      </c>
      <c r="AF1624" s="6">
        <f ca="1">$M$1624*$Z$1624</f>
        <v>-12.274946703119214</v>
      </c>
      <c r="AG1624" s="6">
        <f>$O$1624*$AA$1624</f>
        <v>-10.183770114532738</v>
      </c>
    </row>
    <row r="1625" spans="1:33" ht="11.25" customHeight="1" x14ac:dyDescent="0.25">
      <c r="A1625" s="4" t="s">
        <v>21</v>
      </c>
      <c r="B1625" s="4" t="s">
        <v>22</v>
      </c>
      <c r="C1625" s="4" t="s">
        <v>23</v>
      </c>
      <c r="D1625" s="4" t="s">
        <v>24</v>
      </c>
      <c r="E1625" s="4" t="s">
        <v>30</v>
      </c>
      <c r="F1625" s="4" t="s">
        <v>25</v>
      </c>
      <c r="G1625" s="4" t="s">
        <v>25</v>
      </c>
      <c r="H1625" s="4" t="s">
        <v>25</v>
      </c>
      <c r="I1625" s="5">
        <v>44593</v>
      </c>
      <c r="J1625" s="6">
        <v>0</v>
      </c>
      <c r="K1625" s="6">
        <v>0</v>
      </c>
      <c r="L1625" s="6">
        <v>21989.413</v>
      </c>
      <c r="M1625" s="6">
        <v>21989.413</v>
      </c>
      <c r="N1625" s="6">
        <v>21989.413</v>
      </c>
      <c r="O1625" s="6">
        <v>21989.413</v>
      </c>
      <c r="P1625" s="6">
        <v>205753</v>
      </c>
      <c r="Q1625" s="4" t="s">
        <v>26</v>
      </c>
      <c r="R1625" s="4">
        <v>0</v>
      </c>
      <c r="S1625" s="6">
        <v>0</v>
      </c>
      <c r="T1625" s="6">
        <v>6</v>
      </c>
      <c r="U1625" s="6">
        <v>74</v>
      </c>
      <c r="V1625" s="6">
        <f>IF(ISERROR(VLOOKUP($S$1625,'TAR FIN'!$A$1:$O$104,15,0)),0,VLOOKUP($S$1625,'TAR FIN'!$A$1:$O$104,15,0))</f>
        <v>0</v>
      </c>
      <c r="W1625" s="6">
        <f>IF(ISERROR(VLOOKUP($T$1625,'TAR FIN'!$A$1:$O$104,15,0)),0,VLOOKUP($T$1625,'TAR FIN'!$A$1:$O$104,15,0))</f>
        <v>179.74</v>
      </c>
      <c r="X1625" s="6">
        <f>IF(ISERROR(VLOOKUP($U$1625,'TAR FIN'!$A$1:$O$104,15,0)),0,VLOOKUP($U$1625,'TAR FIN'!$A$1:$O$104,15,0))</f>
        <v>153.43</v>
      </c>
      <c r="Y1625" s="6"/>
      <c r="Z1625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25" s="6">
        <f>('TE BE'!$AB$15+'TE BF'!$AB$15+'TE CVA'!$AB$15)*(1-CUSTOS!$M$35)</f>
        <v>145.48243020761052</v>
      </c>
      <c r="AB1625" s="6">
        <f>$K$1625*$V$1625</f>
        <v>0</v>
      </c>
      <c r="AC1625" s="6">
        <f>$M$1625*$W$1625</f>
        <v>3952377.0926200002</v>
      </c>
      <c r="AD1625" s="6">
        <f>$O$1625*$X$1625</f>
        <v>3373835.6365900002</v>
      </c>
      <c r="AE1625" s="6">
        <f>$K$1625*$Y$1625</f>
        <v>0</v>
      </c>
      <c r="AF1625" s="6">
        <f ca="1">$M$1625*$Z$1625</f>
        <v>3855983.8943982399</v>
      </c>
      <c r="AG1625" s="6">
        <f>$O$1625*$AA$1625</f>
        <v>3199073.2420788235</v>
      </c>
    </row>
    <row r="1626" spans="1:33" ht="11.25" customHeight="1" x14ac:dyDescent="0.25">
      <c r="A1626" s="4" t="s">
        <v>27</v>
      </c>
      <c r="B1626" s="4" t="s">
        <v>22</v>
      </c>
      <c r="C1626" s="4" t="s">
        <v>23</v>
      </c>
      <c r="D1626" s="4" t="s">
        <v>24</v>
      </c>
      <c r="E1626" s="4" t="s">
        <v>30</v>
      </c>
      <c r="F1626" s="4" t="s">
        <v>25</v>
      </c>
      <c r="G1626" s="4" t="s">
        <v>25</v>
      </c>
      <c r="H1626" s="4" t="s">
        <v>25</v>
      </c>
      <c r="I1626" s="5">
        <v>44593</v>
      </c>
      <c r="J1626" s="6">
        <v>0</v>
      </c>
      <c r="K1626" s="6">
        <v>0</v>
      </c>
      <c r="L1626" s="6">
        <v>-5.3319999999999999</v>
      </c>
      <c r="M1626" s="6">
        <v>-5.3319999999999999</v>
      </c>
      <c r="N1626" s="6">
        <v>-5.3319999999999999</v>
      </c>
      <c r="O1626" s="6">
        <v>-5.3319999999999999</v>
      </c>
      <c r="P1626" s="6">
        <v>-10</v>
      </c>
      <c r="Q1626" s="4" t="s">
        <v>26</v>
      </c>
      <c r="R1626" s="4">
        <v>0</v>
      </c>
      <c r="S1626" s="6">
        <v>0</v>
      </c>
      <c r="T1626" s="6">
        <v>6</v>
      </c>
      <c r="U1626" s="6">
        <v>74</v>
      </c>
      <c r="V1626" s="6">
        <f>IF(ISERROR(VLOOKUP($S$1626,'TAR FIN'!$A$1:$O$104,15,0)),0,VLOOKUP($S$1626,'TAR FIN'!$A$1:$O$104,15,0))</f>
        <v>0</v>
      </c>
      <c r="W1626" s="6">
        <f>IF(ISERROR(VLOOKUP($T$1626,'TAR FIN'!$A$1:$O$104,15,0)),0,VLOOKUP($T$1626,'TAR FIN'!$A$1:$O$104,15,0))</f>
        <v>179.74</v>
      </c>
      <c r="X1626" s="6">
        <f>IF(ISERROR(VLOOKUP($U$1626,'TAR FIN'!$A$1:$O$104,15,0)),0,VLOOKUP($U$1626,'TAR FIN'!$A$1:$O$104,15,0))</f>
        <v>153.43</v>
      </c>
      <c r="Y1626" s="6"/>
      <c r="Z1626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26" s="6">
        <f>('TE BE'!$AB$15+'TE BF'!$AB$15+'TE CVA'!$AB$15)*(1-CUSTOS!$M$35)</f>
        <v>145.48243020761052</v>
      </c>
      <c r="AB1626" s="6">
        <f>$K$1626*$V$1626</f>
        <v>0</v>
      </c>
      <c r="AC1626" s="6">
        <f>$M$1626*$W$1626</f>
        <v>-958.37368000000004</v>
      </c>
      <c r="AD1626" s="6">
        <f>$O$1626*$X$1626</f>
        <v>-818.08875999999998</v>
      </c>
      <c r="AE1626" s="6">
        <f>$K$1626*$Y$1626</f>
        <v>0</v>
      </c>
      <c r="AF1626" s="6">
        <f ca="1">$M$1626*$Z$1626</f>
        <v>-935.00022601473779</v>
      </c>
      <c r="AG1626" s="6">
        <f>$O$1626*$AA$1626</f>
        <v>-775.71231786697922</v>
      </c>
    </row>
    <row r="1627" spans="1:33" ht="11.25" customHeight="1" x14ac:dyDescent="0.25">
      <c r="A1627" s="4" t="s">
        <v>28</v>
      </c>
      <c r="B1627" s="4" t="s">
        <v>22</v>
      </c>
      <c r="C1627" s="4" t="s">
        <v>23</v>
      </c>
      <c r="D1627" s="4" t="s">
        <v>24</v>
      </c>
      <c r="E1627" s="4" t="s">
        <v>30</v>
      </c>
      <c r="F1627" s="4" t="s">
        <v>25</v>
      </c>
      <c r="G1627" s="4" t="s">
        <v>25</v>
      </c>
      <c r="H1627" s="4" t="s">
        <v>25</v>
      </c>
      <c r="I1627" s="5">
        <v>44593</v>
      </c>
      <c r="J1627" s="6">
        <v>0</v>
      </c>
      <c r="K1627" s="6">
        <v>0</v>
      </c>
      <c r="L1627" s="6">
        <v>18.664999999999999</v>
      </c>
      <c r="M1627" s="6">
        <v>18.664999999999999</v>
      </c>
      <c r="N1627" s="6">
        <v>18.664999999999999</v>
      </c>
      <c r="O1627" s="6">
        <v>18.664999999999999</v>
      </c>
      <c r="P1627" s="6">
        <v>70</v>
      </c>
      <c r="Q1627" s="4" t="s">
        <v>26</v>
      </c>
      <c r="R1627" s="4">
        <v>0</v>
      </c>
      <c r="S1627" s="6">
        <v>0</v>
      </c>
      <c r="T1627" s="6">
        <v>6</v>
      </c>
      <c r="U1627" s="6">
        <v>74</v>
      </c>
      <c r="V1627" s="6">
        <f>IF(ISERROR(VLOOKUP($S$1627,'TAR FIN'!$A$1:$O$104,15,0)),0,VLOOKUP($S$1627,'TAR FIN'!$A$1:$O$104,15,0))</f>
        <v>0</v>
      </c>
      <c r="W1627" s="6">
        <f>IF(ISERROR(VLOOKUP($T$1627,'TAR FIN'!$A$1:$O$104,15,0)),0,VLOOKUP($T$1627,'TAR FIN'!$A$1:$O$104,15,0))</f>
        <v>179.74</v>
      </c>
      <c r="X1627" s="6">
        <f>IF(ISERROR(VLOOKUP($U$1627,'TAR FIN'!$A$1:$O$104,15,0)),0,VLOOKUP($U$1627,'TAR FIN'!$A$1:$O$104,15,0))</f>
        <v>153.43</v>
      </c>
      <c r="Y1627" s="6"/>
      <c r="Z1627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27" s="6">
        <f>('TE BE'!$AB$15+'TE BF'!$AB$15+'TE CVA'!$AB$15)*(1-CUSTOS!$M$35)</f>
        <v>145.48243020761052</v>
      </c>
      <c r="AB1627" s="6">
        <f>$K$1627*$V$1627</f>
        <v>0</v>
      </c>
      <c r="AC1627" s="6">
        <f>$M$1627*$W$1627</f>
        <v>3354.8471</v>
      </c>
      <c r="AD1627" s="6">
        <f>$O$1627*$X$1627</f>
        <v>2863.7709500000001</v>
      </c>
      <c r="AE1627" s="6">
        <f>$K$1627*$Y$1627</f>
        <v>0</v>
      </c>
      <c r="AF1627" s="6">
        <f ca="1">$M$1627*$Z$1627</f>
        <v>3273.0268601960015</v>
      </c>
      <c r="AG1627" s="6">
        <f>$O$1627*$AA$1627</f>
        <v>2715.4295598250501</v>
      </c>
    </row>
    <row r="1628" spans="1:33" ht="11.25" customHeight="1" x14ac:dyDescent="0.25">
      <c r="A1628" s="4" t="s">
        <v>21</v>
      </c>
      <c r="B1628" s="4" t="s">
        <v>22</v>
      </c>
      <c r="C1628" s="4" t="s">
        <v>23</v>
      </c>
      <c r="D1628" s="4" t="s">
        <v>24</v>
      </c>
      <c r="E1628" s="4" t="s">
        <v>30</v>
      </c>
      <c r="F1628" s="4" t="s">
        <v>25</v>
      </c>
      <c r="G1628" s="4" t="s">
        <v>25</v>
      </c>
      <c r="H1628" s="4" t="s">
        <v>25</v>
      </c>
      <c r="I1628" s="5">
        <v>44621</v>
      </c>
      <c r="J1628" s="6">
        <v>0</v>
      </c>
      <c r="K1628" s="6">
        <v>0</v>
      </c>
      <c r="L1628" s="6">
        <v>24009.078000000001</v>
      </c>
      <c r="M1628" s="6">
        <v>24009.078000000001</v>
      </c>
      <c r="N1628" s="6">
        <v>24009.078000000001</v>
      </c>
      <c r="O1628" s="6">
        <v>24009.078000000001</v>
      </c>
      <c r="P1628" s="6">
        <v>175797</v>
      </c>
      <c r="Q1628" s="4" t="s">
        <v>26</v>
      </c>
      <c r="R1628" s="4">
        <v>0</v>
      </c>
      <c r="S1628" s="6">
        <v>0</v>
      </c>
      <c r="T1628" s="6">
        <v>6</v>
      </c>
      <c r="U1628" s="6">
        <v>74</v>
      </c>
      <c r="V1628" s="6">
        <f>IF(ISERROR(VLOOKUP($S$1628,'TAR FIN'!$A$1:$O$104,15,0)),0,VLOOKUP($S$1628,'TAR FIN'!$A$1:$O$104,15,0))</f>
        <v>0</v>
      </c>
      <c r="W1628" s="6">
        <f>IF(ISERROR(VLOOKUP($T$1628,'TAR FIN'!$A$1:$O$104,15,0)),0,VLOOKUP($T$1628,'TAR FIN'!$A$1:$O$104,15,0))</f>
        <v>179.74</v>
      </c>
      <c r="X1628" s="6">
        <f>IF(ISERROR(VLOOKUP($U$1628,'TAR FIN'!$A$1:$O$104,15,0)),0,VLOOKUP($U$1628,'TAR FIN'!$A$1:$O$104,15,0))</f>
        <v>153.43</v>
      </c>
      <c r="Y1628" s="6"/>
      <c r="Z1628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28" s="6">
        <f>('TE BE'!$AB$15+'TE BF'!$AB$15+'TE CVA'!$AB$15)*(1-CUSTOS!$M$35)</f>
        <v>145.48243020761052</v>
      </c>
      <c r="AB1628" s="6">
        <f>$K$1628*$V$1628</f>
        <v>0</v>
      </c>
      <c r="AC1628" s="6">
        <f>$M$1628*$W$1628</f>
        <v>4315391.6797200004</v>
      </c>
      <c r="AD1628" s="6">
        <f>$O$1628*$X$1628</f>
        <v>3683712.8375400002</v>
      </c>
      <c r="AE1628" s="6">
        <f>$K$1628*$Y$1628</f>
        <v>0</v>
      </c>
      <c r="AF1628" s="6">
        <f ca="1">$M$1628*$Z$1628</f>
        <v>4210145.0405861726</v>
      </c>
      <c r="AG1628" s="6">
        <f>$O$1628*$AA$1628</f>
        <v>3492899.0144840772</v>
      </c>
    </row>
    <row r="1629" spans="1:33" ht="11.25" customHeight="1" x14ac:dyDescent="0.25">
      <c r="A1629" s="4" t="s">
        <v>27</v>
      </c>
      <c r="B1629" s="4" t="s">
        <v>22</v>
      </c>
      <c r="C1629" s="4" t="s">
        <v>23</v>
      </c>
      <c r="D1629" s="4" t="s">
        <v>24</v>
      </c>
      <c r="E1629" s="4" t="s">
        <v>30</v>
      </c>
      <c r="F1629" s="4" t="s">
        <v>25</v>
      </c>
      <c r="G1629" s="4" t="s">
        <v>25</v>
      </c>
      <c r="H1629" s="4" t="s">
        <v>25</v>
      </c>
      <c r="I1629" s="5">
        <v>44621</v>
      </c>
      <c r="J1629" s="6">
        <v>0</v>
      </c>
      <c r="K1629" s="6">
        <v>0</v>
      </c>
      <c r="L1629" s="6">
        <v>-2.8959999999999999</v>
      </c>
      <c r="M1629" s="6">
        <v>-2.8959999999999999</v>
      </c>
      <c r="N1629" s="6">
        <v>-2.8959999999999999</v>
      </c>
      <c r="O1629" s="6">
        <v>-2.8959999999999999</v>
      </c>
      <c r="P1629" s="6">
        <v>-7</v>
      </c>
      <c r="Q1629" s="4" t="s">
        <v>26</v>
      </c>
      <c r="R1629" s="4">
        <v>0</v>
      </c>
      <c r="S1629" s="6">
        <v>0</v>
      </c>
      <c r="T1629" s="6">
        <v>6</v>
      </c>
      <c r="U1629" s="6">
        <v>74</v>
      </c>
      <c r="V1629" s="6">
        <f>IF(ISERROR(VLOOKUP($S$1629,'TAR FIN'!$A$1:$O$104,15,0)),0,VLOOKUP($S$1629,'TAR FIN'!$A$1:$O$104,15,0))</f>
        <v>0</v>
      </c>
      <c r="W1629" s="6">
        <f>IF(ISERROR(VLOOKUP($T$1629,'TAR FIN'!$A$1:$O$104,15,0)),0,VLOOKUP($T$1629,'TAR FIN'!$A$1:$O$104,15,0))</f>
        <v>179.74</v>
      </c>
      <c r="X1629" s="6">
        <f>IF(ISERROR(VLOOKUP($U$1629,'TAR FIN'!$A$1:$O$104,15,0)),0,VLOOKUP($U$1629,'TAR FIN'!$A$1:$O$104,15,0))</f>
        <v>153.43</v>
      </c>
      <c r="Y1629" s="6"/>
      <c r="Z1629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29" s="6">
        <f>('TE BE'!$AB$15+'TE BF'!$AB$15+'TE CVA'!$AB$15)*(1-CUSTOS!$M$35)</f>
        <v>145.48243020761052</v>
      </c>
      <c r="AB1629" s="6">
        <f>$K$1629*$V$1629</f>
        <v>0</v>
      </c>
      <c r="AC1629" s="6">
        <f>$M$1629*$W$1629</f>
        <v>-520.52704000000006</v>
      </c>
      <c r="AD1629" s="6">
        <f>$O$1629*$X$1629</f>
        <v>-444.33328</v>
      </c>
      <c r="AE1629" s="6">
        <f>$K$1629*$Y$1629</f>
        <v>0</v>
      </c>
      <c r="AF1629" s="6">
        <f ca="1">$M$1629*$Z$1629</f>
        <v>-507.83208074618915</v>
      </c>
      <c r="AG1629" s="6">
        <f>$O$1629*$AA$1629</f>
        <v>-421.31711788124005</v>
      </c>
    </row>
    <row r="1630" spans="1:33" ht="11.25" customHeight="1" x14ac:dyDescent="0.25">
      <c r="A1630" s="4" t="s">
        <v>28</v>
      </c>
      <c r="B1630" s="4" t="s">
        <v>22</v>
      </c>
      <c r="C1630" s="4" t="s">
        <v>23</v>
      </c>
      <c r="D1630" s="4" t="s">
        <v>24</v>
      </c>
      <c r="E1630" s="4" t="s">
        <v>30</v>
      </c>
      <c r="F1630" s="4" t="s">
        <v>25</v>
      </c>
      <c r="G1630" s="4" t="s">
        <v>25</v>
      </c>
      <c r="H1630" s="4" t="s">
        <v>25</v>
      </c>
      <c r="I1630" s="5">
        <v>44621</v>
      </c>
      <c r="J1630" s="6">
        <v>0</v>
      </c>
      <c r="K1630" s="6">
        <v>0</v>
      </c>
      <c r="L1630" s="6">
        <v>18.558</v>
      </c>
      <c r="M1630" s="6">
        <v>18.558</v>
      </c>
      <c r="N1630" s="6">
        <v>18.558</v>
      </c>
      <c r="O1630" s="6">
        <v>18.558</v>
      </c>
      <c r="P1630" s="6">
        <v>51</v>
      </c>
      <c r="Q1630" s="4" t="s">
        <v>26</v>
      </c>
      <c r="R1630" s="4">
        <v>0</v>
      </c>
      <c r="S1630" s="6">
        <v>0</v>
      </c>
      <c r="T1630" s="6">
        <v>6</v>
      </c>
      <c r="U1630" s="6">
        <v>74</v>
      </c>
      <c r="V1630" s="6">
        <f>IF(ISERROR(VLOOKUP($S$1630,'TAR FIN'!$A$1:$O$104,15,0)),0,VLOOKUP($S$1630,'TAR FIN'!$A$1:$O$104,15,0))</f>
        <v>0</v>
      </c>
      <c r="W1630" s="6">
        <f>IF(ISERROR(VLOOKUP($T$1630,'TAR FIN'!$A$1:$O$104,15,0)),0,VLOOKUP($T$1630,'TAR FIN'!$A$1:$O$104,15,0))</f>
        <v>179.74</v>
      </c>
      <c r="X1630" s="6">
        <f>IF(ISERROR(VLOOKUP($U$1630,'TAR FIN'!$A$1:$O$104,15,0)),0,VLOOKUP($U$1630,'TAR FIN'!$A$1:$O$104,15,0))</f>
        <v>153.43</v>
      </c>
      <c r="Y1630" s="6"/>
      <c r="Z1630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30" s="6">
        <f>('TE BE'!$AB$15+'TE BF'!$AB$15+'TE CVA'!$AB$15)*(1-CUSTOS!$M$35)</f>
        <v>145.48243020761052</v>
      </c>
      <c r="AB1630" s="6">
        <f>$K$1630*$V$1630</f>
        <v>0</v>
      </c>
      <c r="AC1630" s="6">
        <f>$M$1630*$W$1630</f>
        <v>3335.61492</v>
      </c>
      <c r="AD1630" s="6">
        <f>$O$1630*$X$1630</f>
        <v>2847.35394</v>
      </c>
      <c r="AE1630" s="6">
        <f>$K$1630*$Y$1630</f>
        <v>0</v>
      </c>
      <c r="AF1630" s="6">
        <f ca="1">$M$1630*$Z$1630</f>
        <v>3254.2637273783766</v>
      </c>
      <c r="AG1630" s="6">
        <f>$O$1630*$AA$1630</f>
        <v>2699.8629397928362</v>
      </c>
    </row>
    <row r="1631" spans="1:33" ht="11.25" customHeight="1" x14ac:dyDescent="0.25">
      <c r="A1631" s="4" t="s">
        <v>21</v>
      </c>
      <c r="B1631" s="4" t="s">
        <v>22</v>
      </c>
      <c r="C1631" s="4" t="s">
        <v>23</v>
      </c>
      <c r="D1631" s="4" t="s">
        <v>24</v>
      </c>
      <c r="E1631" s="4" t="s">
        <v>30</v>
      </c>
      <c r="F1631" s="4" t="s">
        <v>25</v>
      </c>
      <c r="G1631" s="4" t="s">
        <v>25</v>
      </c>
      <c r="H1631" s="4" t="s">
        <v>25</v>
      </c>
      <c r="I1631" s="5">
        <v>44652</v>
      </c>
      <c r="J1631" s="6">
        <v>0</v>
      </c>
      <c r="K1631" s="6">
        <v>0</v>
      </c>
      <c r="L1631" s="6">
        <v>23322.166000000001</v>
      </c>
      <c r="M1631" s="6">
        <v>23322.166000000001</v>
      </c>
      <c r="N1631" s="6">
        <v>23322.166000000001</v>
      </c>
      <c r="O1631" s="6">
        <v>23322.166000000001</v>
      </c>
      <c r="P1631" s="6">
        <v>198096</v>
      </c>
      <c r="Q1631" s="4" t="s">
        <v>26</v>
      </c>
      <c r="R1631" s="4">
        <v>0</v>
      </c>
      <c r="S1631" s="6">
        <v>0</v>
      </c>
      <c r="T1631" s="6">
        <v>6</v>
      </c>
      <c r="U1631" s="6">
        <v>74</v>
      </c>
      <c r="V1631" s="6">
        <f>IF(ISERROR(VLOOKUP($S$1631,'TAR FIN'!$A$1:$O$104,15,0)),0,VLOOKUP($S$1631,'TAR FIN'!$A$1:$O$104,15,0))</f>
        <v>0</v>
      </c>
      <c r="W1631" s="6">
        <f>IF(ISERROR(VLOOKUP($T$1631,'TAR FIN'!$A$1:$O$104,15,0)),0,VLOOKUP($T$1631,'TAR FIN'!$A$1:$O$104,15,0))</f>
        <v>179.74</v>
      </c>
      <c r="X1631" s="6">
        <f>IF(ISERROR(VLOOKUP($U$1631,'TAR FIN'!$A$1:$O$104,15,0)),0,VLOOKUP($U$1631,'TAR FIN'!$A$1:$O$104,15,0))</f>
        <v>153.43</v>
      </c>
      <c r="Y1631" s="6"/>
      <c r="Z1631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31" s="6">
        <f>('TE BE'!$AB$15+'TE BF'!$AB$15+'TE CVA'!$AB$15)*(1-CUSTOS!$M$35)</f>
        <v>145.48243020761052</v>
      </c>
      <c r="AB1631" s="6">
        <f>$K$1631*$V$1631</f>
        <v>0</v>
      </c>
      <c r="AC1631" s="6">
        <f>$M$1631*$W$1631</f>
        <v>4191926.1168400003</v>
      </c>
      <c r="AD1631" s="6">
        <f>$O$1631*$X$1631</f>
        <v>3578319.9293800001</v>
      </c>
      <c r="AE1631" s="6">
        <f>$K$1631*$Y$1631</f>
        <v>0</v>
      </c>
      <c r="AF1631" s="6">
        <f ca="1">$M$1631*$Z$1631</f>
        <v>4089690.6378757004</v>
      </c>
      <c r="AG1631" s="6">
        <f>$O$1631*$AA$1631</f>
        <v>3392965.3873853073</v>
      </c>
    </row>
    <row r="1632" spans="1:33" ht="11.25" customHeight="1" x14ac:dyDescent="0.25">
      <c r="A1632" s="4" t="s">
        <v>27</v>
      </c>
      <c r="B1632" s="4" t="s">
        <v>22</v>
      </c>
      <c r="C1632" s="4" t="s">
        <v>23</v>
      </c>
      <c r="D1632" s="4" t="s">
        <v>24</v>
      </c>
      <c r="E1632" s="4" t="s">
        <v>30</v>
      </c>
      <c r="F1632" s="4" t="s">
        <v>25</v>
      </c>
      <c r="G1632" s="4" t="s">
        <v>25</v>
      </c>
      <c r="H1632" s="4" t="s">
        <v>25</v>
      </c>
      <c r="I1632" s="5">
        <v>44652</v>
      </c>
      <c r="J1632" s="6">
        <v>0</v>
      </c>
      <c r="K1632" s="6">
        <v>0</v>
      </c>
      <c r="L1632" s="6">
        <v>-3.6139999999999999</v>
      </c>
      <c r="M1632" s="6">
        <v>-3.6139999999999999</v>
      </c>
      <c r="N1632" s="6">
        <v>-3.6139999999999999</v>
      </c>
      <c r="O1632" s="6">
        <v>-3.6139999999999999</v>
      </c>
      <c r="P1632" s="6">
        <v>-3</v>
      </c>
      <c r="Q1632" s="4" t="s">
        <v>26</v>
      </c>
      <c r="R1632" s="4">
        <v>0</v>
      </c>
      <c r="S1632" s="6">
        <v>0</v>
      </c>
      <c r="T1632" s="6">
        <v>6</v>
      </c>
      <c r="U1632" s="6">
        <v>74</v>
      </c>
      <c r="V1632" s="6">
        <f>IF(ISERROR(VLOOKUP($S$1632,'TAR FIN'!$A$1:$O$104,15,0)),0,VLOOKUP($S$1632,'TAR FIN'!$A$1:$O$104,15,0))</f>
        <v>0</v>
      </c>
      <c r="W1632" s="6">
        <f>IF(ISERROR(VLOOKUP($T$1632,'TAR FIN'!$A$1:$O$104,15,0)),0,VLOOKUP($T$1632,'TAR FIN'!$A$1:$O$104,15,0))</f>
        <v>179.74</v>
      </c>
      <c r="X1632" s="6">
        <f>IF(ISERROR(VLOOKUP($U$1632,'TAR FIN'!$A$1:$O$104,15,0)),0,VLOOKUP($U$1632,'TAR FIN'!$A$1:$O$104,15,0))</f>
        <v>153.43</v>
      </c>
      <c r="Y1632" s="6"/>
      <c r="Z1632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32" s="6">
        <f>('TE BE'!$AB$15+'TE BF'!$AB$15+'TE CVA'!$AB$15)*(1-CUSTOS!$M$35)</f>
        <v>145.48243020761052</v>
      </c>
      <c r="AB1632" s="6">
        <f>$K$1632*$V$1632</f>
        <v>0</v>
      </c>
      <c r="AC1632" s="6">
        <f>$M$1632*$W$1632</f>
        <v>-649.58036000000004</v>
      </c>
      <c r="AD1632" s="6">
        <f>$O$1632*$X$1632</f>
        <v>-554.49602000000004</v>
      </c>
      <c r="AE1632" s="6">
        <f>$K$1632*$Y$1632</f>
        <v>0</v>
      </c>
      <c r="AF1632" s="6">
        <f ca="1">$M$1632*$Z$1632</f>
        <v>-633.73796264389762</v>
      </c>
      <c r="AG1632" s="6">
        <f>$O$1632*$AA$1632</f>
        <v>-525.77350277030439</v>
      </c>
    </row>
    <row r="1633" spans="1:33" ht="11.25" customHeight="1" x14ac:dyDescent="0.25">
      <c r="A1633" s="4" t="s">
        <v>28</v>
      </c>
      <c r="B1633" s="4" t="s">
        <v>22</v>
      </c>
      <c r="C1633" s="4" t="s">
        <v>23</v>
      </c>
      <c r="D1633" s="4" t="s">
        <v>24</v>
      </c>
      <c r="E1633" s="4" t="s">
        <v>30</v>
      </c>
      <c r="F1633" s="4" t="s">
        <v>25</v>
      </c>
      <c r="G1633" s="4" t="s">
        <v>25</v>
      </c>
      <c r="H1633" s="4" t="s">
        <v>25</v>
      </c>
      <c r="I1633" s="5">
        <v>44652</v>
      </c>
      <c r="J1633" s="6">
        <v>0</v>
      </c>
      <c r="K1633" s="6">
        <v>0</v>
      </c>
      <c r="L1633" s="6">
        <v>18.727</v>
      </c>
      <c r="M1633" s="6">
        <v>18.727</v>
      </c>
      <c r="N1633" s="6">
        <v>18.727</v>
      </c>
      <c r="O1633" s="6">
        <v>18.727</v>
      </c>
      <c r="P1633" s="6">
        <v>68</v>
      </c>
      <c r="Q1633" s="4" t="s">
        <v>26</v>
      </c>
      <c r="R1633" s="4">
        <v>0</v>
      </c>
      <c r="S1633" s="6">
        <v>0</v>
      </c>
      <c r="T1633" s="6">
        <v>6</v>
      </c>
      <c r="U1633" s="6">
        <v>74</v>
      </c>
      <c r="V1633" s="6">
        <f>IF(ISERROR(VLOOKUP($S$1633,'TAR FIN'!$A$1:$O$104,15,0)),0,VLOOKUP($S$1633,'TAR FIN'!$A$1:$O$104,15,0))</f>
        <v>0</v>
      </c>
      <c r="W1633" s="6">
        <f>IF(ISERROR(VLOOKUP($T$1633,'TAR FIN'!$A$1:$O$104,15,0)),0,VLOOKUP($T$1633,'TAR FIN'!$A$1:$O$104,15,0))</f>
        <v>179.74</v>
      </c>
      <c r="X1633" s="6">
        <f>IF(ISERROR(VLOOKUP($U$1633,'TAR FIN'!$A$1:$O$104,15,0)),0,VLOOKUP($U$1633,'TAR FIN'!$A$1:$O$104,15,0))</f>
        <v>153.43</v>
      </c>
      <c r="Y1633" s="6"/>
      <c r="Z1633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33" s="6">
        <f>('TE BE'!$AB$15+'TE BF'!$AB$15+'TE CVA'!$AB$15)*(1-CUSTOS!$M$35)</f>
        <v>145.48243020761052</v>
      </c>
      <c r="AB1633" s="6">
        <f>$K$1633*$V$1633</f>
        <v>0</v>
      </c>
      <c r="AC1633" s="6">
        <f>$M$1633*$W$1633</f>
        <v>3365.99098</v>
      </c>
      <c r="AD1633" s="6">
        <f>$O$1633*$X$1633</f>
        <v>2873.28361</v>
      </c>
      <c r="AE1633" s="6">
        <f>$K$1633*$Y$1633</f>
        <v>0</v>
      </c>
      <c r="AF1633" s="6">
        <f ca="1">$M$1633*$Z$1633</f>
        <v>3283.8989558473359</v>
      </c>
      <c r="AG1633" s="6">
        <f>$O$1633*$AA$1633</f>
        <v>2724.4494704979224</v>
      </c>
    </row>
    <row r="1634" spans="1:33" ht="11.25" customHeight="1" x14ac:dyDescent="0.25">
      <c r="A1634" s="4" t="s">
        <v>21</v>
      </c>
      <c r="B1634" s="4" t="s">
        <v>22</v>
      </c>
      <c r="C1634" s="4" t="s">
        <v>23</v>
      </c>
      <c r="D1634" s="4" t="s">
        <v>24</v>
      </c>
      <c r="E1634" s="4" t="s">
        <v>30</v>
      </c>
      <c r="F1634" s="4" t="s">
        <v>25</v>
      </c>
      <c r="G1634" s="4" t="s">
        <v>25</v>
      </c>
      <c r="H1634" s="4" t="s">
        <v>25</v>
      </c>
      <c r="I1634" s="5">
        <v>44682</v>
      </c>
      <c r="J1634" s="6">
        <v>0</v>
      </c>
      <c r="K1634" s="6">
        <v>0</v>
      </c>
      <c r="L1634" s="6">
        <v>23247.407999999999</v>
      </c>
      <c r="M1634" s="6">
        <v>23247.407999999999</v>
      </c>
      <c r="N1634" s="6">
        <v>23247.407999999999</v>
      </c>
      <c r="O1634" s="6">
        <v>23247.407999999999</v>
      </c>
      <c r="P1634" s="6">
        <v>192837</v>
      </c>
      <c r="Q1634" s="4" t="s">
        <v>26</v>
      </c>
      <c r="R1634" s="4">
        <v>0</v>
      </c>
      <c r="S1634" s="6">
        <v>0</v>
      </c>
      <c r="T1634" s="6">
        <v>6</v>
      </c>
      <c r="U1634" s="6">
        <v>74</v>
      </c>
      <c r="V1634" s="6">
        <f>IF(ISERROR(VLOOKUP($S$1634,'TAR FIN'!$A$1:$O$104,15,0)),0,VLOOKUP($S$1634,'TAR FIN'!$A$1:$O$104,15,0))</f>
        <v>0</v>
      </c>
      <c r="W1634" s="6">
        <f>IF(ISERROR(VLOOKUP($T$1634,'TAR FIN'!$A$1:$O$104,15,0)),0,VLOOKUP($T$1634,'TAR FIN'!$A$1:$O$104,15,0))</f>
        <v>179.74</v>
      </c>
      <c r="X1634" s="6">
        <f>IF(ISERROR(VLOOKUP($U$1634,'TAR FIN'!$A$1:$O$104,15,0)),0,VLOOKUP($U$1634,'TAR FIN'!$A$1:$O$104,15,0))</f>
        <v>153.43</v>
      </c>
      <c r="Y1634" s="6"/>
      <c r="Z1634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34" s="6">
        <f>('TE BE'!$AB$15+'TE BF'!$AB$15+'TE CVA'!$AB$15)*(1-CUSTOS!$M$35)</f>
        <v>145.48243020761052</v>
      </c>
      <c r="AB1634" s="6">
        <f>$K$1634*$V$1634</f>
        <v>0</v>
      </c>
      <c r="AC1634" s="6">
        <f>$M$1634*$W$1634</f>
        <v>4178489.1139199999</v>
      </c>
      <c r="AD1634" s="6">
        <f>$O$1634*$X$1634</f>
        <v>3566849.80944</v>
      </c>
      <c r="AE1634" s="6">
        <f>$K$1634*$Y$1634</f>
        <v>0</v>
      </c>
      <c r="AF1634" s="6">
        <f ca="1">$M$1634*$Z$1634</f>
        <v>4076581.3455095319</v>
      </c>
      <c r="AG1634" s="6">
        <f>$O$1634*$AA$1634</f>
        <v>3382089.4118678463</v>
      </c>
    </row>
    <row r="1635" spans="1:33" ht="11.25" customHeight="1" x14ac:dyDescent="0.25">
      <c r="A1635" s="4" t="s">
        <v>27</v>
      </c>
      <c r="B1635" s="4" t="s">
        <v>22</v>
      </c>
      <c r="C1635" s="4" t="s">
        <v>23</v>
      </c>
      <c r="D1635" s="4" t="s">
        <v>24</v>
      </c>
      <c r="E1635" s="4" t="s">
        <v>30</v>
      </c>
      <c r="F1635" s="4" t="s">
        <v>25</v>
      </c>
      <c r="G1635" s="4" t="s">
        <v>25</v>
      </c>
      <c r="H1635" s="4" t="s">
        <v>25</v>
      </c>
      <c r="I1635" s="5">
        <v>44682</v>
      </c>
      <c r="J1635" s="6">
        <v>0</v>
      </c>
      <c r="K1635" s="6">
        <v>0</v>
      </c>
      <c r="L1635" s="6">
        <v>-3.7120000000000002</v>
      </c>
      <c r="M1635" s="6">
        <v>-3.7120000000000002</v>
      </c>
      <c r="N1635" s="6">
        <v>-3.7120000000000002</v>
      </c>
      <c r="O1635" s="6">
        <v>-3.7120000000000002</v>
      </c>
      <c r="P1635" s="6">
        <v>-7</v>
      </c>
      <c r="Q1635" s="4" t="s">
        <v>26</v>
      </c>
      <c r="R1635" s="4">
        <v>0</v>
      </c>
      <c r="S1635" s="6">
        <v>0</v>
      </c>
      <c r="T1635" s="6">
        <v>6</v>
      </c>
      <c r="U1635" s="6">
        <v>74</v>
      </c>
      <c r="V1635" s="6">
        <f>IF(ISERROR(VLOOKUP($S$1635,'TAR FIN'!$A$1:$O$104,15,0)),0,VLOOKUP($S$1635,'TAR FIN'!$A$1:$O$104,15,0))</f>
        <v>0</v>
      </c>
      <c r="W1635" s="6">
        <f>IF(ISERROR(VLOOKUP($T$1635,'TAR FIN'!$A$1:$O$104,15,0)),0,VLOOKUP($T$1635,'TAR FIN'!$A$1:$O$104,15,0))</f>
        <v>179.74</v>
      </c>
      <c r="X1635" s="6">
        <f>IF(ISERROR(VLOOKUP($U$1635,'TAR FIN'!$A$1:$O$104,15,0)),0,VLOOKUP($U$1635,'TAR FIN'!$A$1:$O$104,15,0))</f>
        <v>153.43</v>
      </c>
      <c r="Y1635" s="6"/>
      <c r="Z1635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35" s="6">
        <f>('TE BE'!$AB$15+'TE BF'!$AB$15+'TE CVA'!$AB$15)*(1-CUSTOS!$M$35)</f>
        <v>145.48243020761052</v>
      </c>
      <c r="AB1635" s="6">
        <f>$K$1635*$V$1635</f>
        <v>0</v>
      </c>
      <c r="AC1635" s="6">
        <f>$M$1635*$W$1635</f>
        <v>-667.19488000000001</v>
      </c>
      <c r="AD1635" s="6">
        <f>$O$1635*$X$1635</f>
        <v>-569.53216000000009</v>
      </c>
      <c r="AE1635" s="6">
        <f>$K$1635*$Y$1635</f>
        <v>0</v>
      </c>
      <c r="AF1635" s="6">
        <f ca="1">$M$1635*$Z$1635</f>
        <v>-650.92288802826465</v>
      </c>
      <c r="AG1635" s="6">
        <f>$O$1635*$AA$1635</f>
        <v>-540.03078093065028</v>
      </c>
    </row>
    <row r="1636" spans="1:33" ht="11.25" customHeight="1" x14ac:dyDescent="0.25">
      <c r="A1636" s="4" t="s">
        <v>28</v>
      </c>
      <c r="B1636" s="4" t="s">
        <v>22</v>
      </c>
      <c r="C1636" s="4" t="s">
        <v>23</v>
      </c>
      <c r="D1636" s="4" t="s">
        <v>24</v>
      </c>
      <c r="E1636" s="4" t="s">
        <v>30</v>
      </c>
      <c r="F1636" s="4" t="s">
        <v>25</v>
      </c>
      <c r="G1636" s="4" t="s">
        <v>25</v>
      </c>
      <c r="H1636" s="4" t="s">
        <v>25</v>
      </c>
      <c r="I1636" s="5">
        <v>44682</v>
      </c>
      <c r="J1636" s="6">
        <v>0</v>
      </c>
      <c r="K1636" s="6">
        <v>0</v>
      </c>
      <c r="L1636" s="6">
        <v>18.114999999999998</v>
      </c>
      <c r="M1636" s="6">
        <v>18.114999999999998</v>
      </c>
      <c r="N1636" s="6">
        <v>18.114999999999998</v>
      </c>
      <c r="O1636" s="6">
        <v>18.114999999999998</v>
      </c>
      <c r="P1636" s="6">
        <v>74</v>
      </c>
      <c r="Q1636" s="4" t="s">
        <v>26</v>
      </c>
      <c r="R1636" s="4">
        <v>0</v>
      </c>
      <c r="S1636" s="6">
        <v>0</v>
      </c>
      <c r="T1636" s="6">
        <v>6</v>
      </c>
      <c r="U1636" s="6">
        <v>74</v>
      </c>
      <c r="V1636" s="6">
        <f>IF(ISERROR(VLOOKUP($S$1636,'TAR FIN'!$A$1:$O$104,15,0)),0,VLOOKUP($S$1636,'TAR FIN'!$A$1:$O$104,15,0))</f>
        <v>0</v>
      </c>
      <c r="W1636" s="6">
        <f>IF(ISERROR(VLOOKUP($T$1636,'TAR FIN'!$A$1:$O$104,15,0)),0,VLOOKUP($T$1636,'TAR FIN'!$A$1:$O$104,15,0))</f>
        <v>179.74</v>
      </c>
      <c r="X1636" s="6">
        <f>IF(ISERROR(VLOOKUP($U$1636,'TAR FIN'!$A$1:$O$104,15,0)),0,VLOOKUP($U$1636,'TAR FIN'!$A$1:$O$104,15,0))</f>
        <v>153.43</v>
      </c>
      <c r="Y1636" s="6"/>
      <c r="Z1636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36" s="6">
        <f>('TE BE'!$AB$15+'TE BF'!$AB$15+'TE CVA'!$AB$15)*(1-CUSTOS!$M$35)</f>
        <v>145.48243020761052</v>
      </c>
      <c r="AB1636" s="6">
        <f>$K$1636*$V$1636</f>
        <v>0</v>
      </c>
      <c r="AC1636" s="6">
        <f>$M$1636*$W$1636</f>
        <v>3255.9901</v>
      </c>
      <c r="AD1636" s="6">
        <f>$O$1636*$X$1636</f>
        <v>2779.38445</v>
      </c>
      <c r="AE1636" s="6">
        <f>$K$1636*$Y$1636</f>
        <v>0</v>
      </c>
      <c r="AF1636" s="6">
        <f ca="1">$M$1636*$Z$1636</f>
        <v>3176.5808503857788</v>
      </c>
      <c r="AG1636" s="6">
        <f>$O$1636*$AA$1636</f>
        <v>2635.4142232108643</v>
      </c>
    </row>
    <row r="1637" spans="1:33" ht="11.25" customHeight="1" x14ac:dyDescent="0.25">
      <c r="A1637" s="4" t="s">
        <v>21</v>
      </c>
      <c r="B1637" s="4" t="s">
        <v>22</v>
      </c>
      <c r="C1637" s="4" t="s">
        <v>23</v>
      </c>
      <c r="D1637" s="4" t="s">
        <v>24</v>
      </c>
      <c r="E1637" s="4" t="s">
        <v>30</v>
      </c>
      <c r="F1637" s="4" t="s">
        <v>25</v>
      </c>
      <c r="G1637" s="4" t="s">
        <v>25</v>
      </c>
      <c r="H1637" s="4" t="s">
        <v>25</v>
      </c>
      <c r="I1637" s="5">
        <v>44713</v>
      </c>
      <c r="J1637" s="6">
        <v>0</v>
      </c>
      <c r="K1637" s="6">
        <v>0</v>
      </c>
      <c r="L1637" s="6">
        <v>21458.624</v>
      </c>
      <c r="M1637" s="6">
        <v>21458.624</v>
      </c>
      <c r="N1637" s="6">
        <v>21458.624</v>
      </c>
      <c r="O1637" s="6">
        <v>21458.624</v>
      </c>
      <c r="P1637" s="6">
        <v>231567</v>
      </c>
      <c r="Q1637" s="4" t="s">
        <v>26</v>
      </c>
      <c r="R1637" s="4">
        <v>0</v>
      </c>
      <c r="S1637" s="6">
        <v>0</v>
      </c>
      <c r="T1637" s="6">
        <v>6</v>
      </c>
      <c r="U1637" s="6">
        <v>74</v>
      </c>
      <c r="V1637" s="6">
        <f>IF(ISERROR(VLOOKUP($S$1637,'TAR FIN'!$A$1:$O$104,15,0)),0,VLOOKUP($S$1637,'TAR FIN'!$A$1:$O$104,15,0))</f>
        <v>0</v>
      </c>
      <c r="W1637" s="6">
        <f>IF(ISERROR(VLOOKUP($T$1637,'TAR FIN'!$A$1:$O$104,15,0)),0,VLOOKUP($T$1637,'TAR FIN'!$A$1:$O$104,15,0))</f>
        <v>179.74</v>
      </c>
      <c r="X1637" s="6">
        <f>IF(ISERROR(VLOOKUP($U$1637,'TAR FIN'!$A$1:$O$104,15,0)),0,VLOOKUP($U$1637,'TAR FIN'!$A$1:$O$104,15,0))</f>
        <v>153.43</v>
      </c>
      <c r="Y1637" s="6"/>
      <c r="Z1637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37" s="6">
        <f>('TE BE'!$AB$15+'TE BF'!$AB$15+'TE CVA'!$AB$15)*(1-CUSTOS!$M$35)</f>
        <v>145.48243020761052</v>
      </c>
      <c r="AB1637" s="6">
        <f>$K$1637*$V$1637</f>
        <v>0</v>
      </c>
      <c r="AC1637" s="6">
        <f>$M$1637*$W$1637</f>
        <v>3856973.0777600002</v>
      </c>
      <c r="AD1637" s="6">
        <f>$O$1637*$X$1637</f>
        <v>3292396.6803200003</v>
      </c>
      <c r="AE1637" s="6">
        <f>$K$1637*$Y$1637</f>
        <v>0</v>
      </c>
      <c r="AF1637" s="6">
        <f ca="1">$M$1637*$Z$1637</f>
        <v>3762906.6560324975</v>
      </c>
      <c r="AG1637" s="6">
        <f>$O$1637*$AA$1637</f>
        <v>3121852.7684313562</v>
      </c>
    </row>
    <row r="1638" spans="1:33" ht="11.25" customHeight="1" x14ac:dyDescent="0.25">
      <c r="A1638" s="4" t="s">
        <v>27</v>
      </c>
      <c r="B1638" s="4" t="s">
        <v>22</v>
      </c>
      <c r="C1638" s="4" t="s">
        <v>23</v>
      </c>
      <c r="D1638" s="4" t="s">
        <v>24</v>
      </c>
      <c r="E1638" s="4" t="s">
        <v>30</v>
      </c>
      <c r="F1638" s="4" t="s">
        <v>25</v>
      </c>
      <c r="G1638" s="4" t="s">
        <v>25</v>
      </c>
      <c r="H1638" s="4" t="s">
        <v>25</v>
      </c>
      <c r="I1638" s="5">
        <v>44713</v>
      </c>
      <c r="J1638" s="6">
        <v>0</v>
      </c>
      <c r="K1638" s="6">
        <v>0</v>
      </c>
      <c r="L1638" s="6">
        <v>-3.2170000000000001</v>
      </c>
      <c r="M1638" s="6">
        <v>-3.2170000000000001</v>
      </c>
      <c r="N1638" s="6">
        <v>-3.2170000000000001</v>
      </c>
      <c r="O1638" s="6">
        <v>-3.2170000000000001</v>
      </c>
      <c r="P1638" s="6">
        <v>-8</v>
      </c>
      <c r="Q1638" s="4" t="s">
        <v>26</v>
      </c>
      <c r="R1638" s="4">
        <v>0</v>
      </c>
      <c r="S1638" s="6">
        <v>0</v>
      </c>
      <c r="T1638" s="6">
        <v>6</v>
      </c>
      <c r="U1638" s="6">
        <v>74</v>
      </c>
      <c r="V1638" s="6">
        <f>IF(ISERROR(VLOOKUP($S$1638,'TAR FIN'!$A$1:$O$104,15,0)),0,VLOOKUP($S$1638,'TAR FIN'!$A$1:$O$104,15,0))</f>
        <v>0</v>
      </c>
      <c r="W1638" s="6">
        <f>IF(ISERROR(VLOOKUP($T$1638,'TAR FIN'!$A$1:$O$104,15,0)),0,VLOOKUP($T$1638,'TAR FIN'!$A$1:$O$104,15,0))</f>
        <v>179.74</v>
      </c>
      <c r="X1638" s="6">
        <f>IF(ISERROR(VLOOKUP($U$1638,'TAR FIN'!$A$1:$O$104,15,0)),0,VLOOKUP($U$1638,'TAR FIN'!$A$1:$O$104,15,0))</f>
        <v>153.43</v>
      </c>
      <c r="Y1638" s="6"/>
      <c r="Z1638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38" s="6">
        <f>('TE BE'!$AB$15+'TE BF'!$AB$15+'TE CVA'!$AB$15)*(1-CUSTOS!$M$35)</f>
        <v>145.48243020761052</v>
      </c>
      <c r="AB1638" s="6">
        <f>$K$1638*$V$1638</f>
        <v>0</v>
      </c>
      <c r="AC1638" s="6">
        <f>$M$1638*$W$1638</f>
        <v>-578.22358000000008</v>
      </c>
      <c r="AD1638" s="6">
        <f>$O$1638*$X$1638</f>
        <v>-493.58431000000002</v>
      </c>
      <c r="AE1638" s="6">
        <f>$K$1638*$Y$1638</f>
        <v>0</v>
      </c>
      <c r="AF1638" s="6">
        <f ca="1">$M$1638*$Z$1638</f>
        <v>-564.12147919906442</v>
      </c>
      <c r="AG1638" s="6">
        <f>$O$1638*$AA$1638</f>
        <v>-468.01697797788307</v>
      </c>
    </row>
    <row r="1639" spans="1:33" ht="11.25" customHeight="1" x14ac:dyDescent="0.25">
      <c r="A1639" s="4" t="s">
        <v>28</v>
      </c>
      <c r="B1639" s="4" t="s">
        <v>22</v>
      </c>
      <c r="C1639" s="4" t="s">
        <v>23</v>
      </c>
      <c r="D1639" s="4" t="s">
        <v>24</v>
      </c>
      <c r="E1639" s="4" t="s">
        <v>30</v>
      </c>
      <c r="F1639" s="4" t="s">
        <v>25</v>
      </c>
      <c r="G1639" s="4" t="s">
        <v>25</v>
      </c>
      <c r="H1639" s="4" t="s">
        <v>25</v>
      </c>
      <c r="I1639" s="5">
        <v>44713</v>
      </c>
      <c r="J1639" s="6">
        <v>0</v>
      </c>
      <c r="K1639" s="6">
        <v>0</v>
      </c>
      <c r="L1639" s="6">
        <v>19.669</v>
      </c>
      <c r="M1639" s="6">
        <v>19.669</v>
      </c>
      <c r="N1639" s="6">
        <v>19.669</v>
      </c>
      <c r="O1639" s="6">
        <v>19.669</v>
      </c>
      <c r="P1639" s="6">
        <v>97</v>
      </c>
      <c r="Q1639" s="4" t="s">
        <v>26</v>
      </c>
      <c r="R1639" s="4">
        <v>0</v>
      </c>
      <c r="S1639" s="6">
        <v>0</v>
      </c>
      <c r="T1639" s="6">
        <v>6</v>
      </c>
      <c r="U1639" s="6">
        <v>74</v>
      </c>
      <c r="V1639" s="6">
        <f>IF(ISERROR(VLOOKUP($S$1639,'TAR FIN'!$A$1:$O$104,15,0)),0,VLOOKUP($S$1639,'TAR FIN'!$A$1:$O$104,15,0))</f>
        <v>0</v>
      </c>
      <c r="W1639" s="6">
        <f>IF(ISERROR(VLOOKUP($T$1639,'TAR FIN'!$A$1:$O$104,15,0)),0,VLOOKUP($T$1639,'TAR FIN'!$A$1:$O$104,15,0))</f>
        <v>179.74</v>
      </c>
      <c r="X1639" s="6">
        <f>IF(ISERROR(VLOOKUP($U$1639,'TAR FIN'!$A$1:$O$104,15,0)),0,VLOOKUP($U$1639,'TAR FIN'!$A$1:$O$104,15,0))</f>
        <v>153.43</v>
      </c>
      <c r="Y1639" s="6"/>
      <c r="Z1639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39" s="6">
        <f>('TE BE'!$AB$15+'TE BF'!$AB$15+'TE CVA'!$AB$15)*(1-CUSTOS!$M$35)</f>
        <v>145.48243020761052</v>
      </c>
      <c r="AB1639" s="6">
        <f>$K$1639*$V$1639</f>
        <v>0</v>
      </c>
      <c r="AC1639" s="6">
        <f>$M$1639*$W$1639</f>
        <v>3535.3060600000003</v>
      </c>
      <c r="AD1639" s="6">
        <f>$O$1639*$X$1639</f>
        <v>3017.8146700000002</v>
      </c>
      <c r="AE1639" s="6">
        <f>$K$1639*$Y$1639</f>
        <v>0</v>
      </c>
      <c r="AF1639" s="6">
        <f ca="1">$M$1639*$Z$1639</f>
        <v>3449.0846671950258</v>
      </c>
      <c r="AG1639" s="6">
        <f>$O$1639*$AA$1639</f>
        <v>2861.4939197534914</v>
      </c>
    </row>
    <row r="1640" spans="1:33" ht="11.25" customHeight="1" x14ac:dyDescent="0.25">
      <c r="A1640" s="4" t="s">
        <v>57</v>
      </c>
      <c r="B1640" s="4" t="s">
        <v>22</v>
      </c>
      <c r="C1640" s="4" t="s">
        <v>23</v>
      </c>
      <c r="D1640" s="4" t="s">
        <v>24</v>
      </c>
      <c r="E1640" s="4" t="s">
        <v>30</v>
      </c>
      <c r="F1640" s="4" t="s">
        <v>25</v>
      </c>
      <c r="G1640" s="4" t="s">
        <v>25</v>
      </c>
      <c r="H1640" s="4" t="s">
        <v>25</v>
      </c>
      <c r="I1640" s="5">
        <v>44743</v>
      </c>
      <c r="J1640" s="6">
        <v>0</v>
      </c>
      <c r="K1640" s="6">
        <v>0</v>
      </c>
      <c r="L1640" s="6">
        <v>21458.624</v>
      </c>
      <c r="M1640" s="6">
        <v>21458.624</v>
      </c>
      <c r="N1640" s="6">
        <v>21458.624</v>
      </c>
      <c r="O1640" s="6">
        <v>21458.624</v>
      </c>
      <c r="P1640" s="6">
        <v>231567</v>
      </c>
      <c r="Q1640" s="4" t="s">
        <v>26</v>
      </c>
      <c r="R1640" s="4">
        <v>0</v>
      </c>
      <c r="S1640" s="6">
        <v>0</v>
      </c>
      <c r="T1640" s="6">
        <v>6</v>
      </c>
      <c r="U1640" s="6">
        <v>74</v>
      </c>
      <c r="V1640" s="6">
        <f>IF(ISERROR(VLOOKUP($S$1640,'TAR FIN'!$A$1:$O$104,15,0)),0,VLOOKUP($S$1640,'TAR FIN'!$A$1:$O$104,15,0))</f>
        <v>0</v>
      </c>
      <c r="W1640" s="6">
        <f>IF(ISERROR(VLOOKUP($T$1640,'TAR FIN'!$A$1:$O$104,15,0)),0,VLOOKUP($T$1640,'TAR FIN'!$A$1:$O$104,15,0))</f>
        <v>179.74</v>
      </c>
      <c r="X1640" s="6">
        <f>IF(ISERROR(VLOOKUP($U$1640,'TAR FIN'!$A$1:$O$104,15,0)),0,VLOOKUP($U$1640,'TAR FIN'!$A$1:$O$104,15,0))</f>
        <v>153.43</v>
      </c>
      <c r="Y1640" s="6"/>
      <c r="Z1640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40" s="6">
        <f>('TE BE'!$AB$15+'TE BF'!$AB$15+'TE CVA'!$AB$15)*(1-CUSTOS!$M$35)</f>
        <v>145.48243020761052</v>
      </c>
      <c r="AB1640" s="6">
        <f>$K$1640*$V$1640</f>
        <v>0</v>
      </c>
      <c r="AC1640" s="6">
        <f>$M$1640*$W$1640</f>
        <v>3856973.0777600002</v>
      </c>
      <c r="AD1640" s="6">
        <f>$O$1640*$X$1640</f>
        <v>3292396.6803200003</v>
      </c>
      <c r="AE1640" s="6">
        <f>$K$1640*$Y$1640</f>
        <v>0</v>
      </c>
      <c r="AF1640" s="6">
        <f ca="1">$M$1640*$Z$1640</f>
        <v>3762906.6560324975</v>
      </c>
      <c r="AG1640" s="6">
        <f>$O$1640*$AA$1640</f>
        <v>3121852.7684313562</v>
      </c>
    </row>
    <row r="1641" spans="1:33" ht="11.25" customHeight="1" x14ac:dyDescent="0.25">
      <c r="A1641" s="4" t="s">
        <v>57</v>
      </c>
      <c r="B1641" s="4" t="s">
        <v>22</v>
      </c>
      <c r="C1641" s="4" t="s">
        <v>23</v>
      </c>
      <c r="D1641" s="4" t="s">
        <v>24</v>
      </c>
      <c r="E1641" s="4" t="s">
        <v>30</v>
      </c>
      <c r="F1641" s="4" t="s">
        <v>25</v>
      </c>
      <c r="G1641" s="4" t="s">
        <v>25</v>
      </c>
      <c r="H1641" s="4" t="s">
        <v>25</v>
      </c>
      <c r="I1641" s="5">
        <v>44743</v>
      </c>
      <c r="J1641" s="6">
        <v>0</v>
      </c>
      <c r="K1641" s="6">
        <v>0</v>
      </c>
      <c r="L1641" s="6">
        <v>-3.2170000000000001</v>
      </c>
      <c r="M1641" s="6">
        <v>-3.2170000000000001</v>
      </c>
      <c r="N1641" s="6">
        <v>-3.2170000000000001</v>
      </c>
      <c r="O1641" s="6">
        <v>-3.2170000000000001</v>
      </c>
      <c r="P1641" s="6">
        <v>-8</v>
      </c>
      <c r="Q1641" s="4" t="s">
        <v>26</v>
      </c>
      <c r="R1641" s="4">
        <v>0</v>
      </c>
      <c r="S1641" s="6">
        <v>0</v>
      </c>
      <c r="T1641" s="6">
        <v>6</v>
      </c>
      <c r="U1641" s="6">
        <v>74</v>
      </c>
      <c r="V1641" s="6">
        <f>IF(ISERROR(VLOOKUP($S$1641,'TAR FIN'!$A$1:$O$104,15,0)),0,VLOOKUP($S$1641,'TAR FIN'!$A$1:$O$104,15,0))</f>
        <v>0</v>
      </c>
      <c r="W1641" s="6">
        <f>IF(ISERROR(VLOOKUP($T$1641,'TAR FIN'!$A$1:$O$104,15,0)),0,VLOOKUP($T$1641,'TAR FIN'!$A$1:$O$104,15,0))</f>
        <v>179.74</v>
      </c>
      <c r="X1641" s="6">
        <f>IF(ISERROR(VLOOKUP($U$1641,'TAR FIN'!$A$1:$O$104,15,0)),0,VLOOKUP($U$1641,'TAR FIN'!$A$1:$O$104,15,0))</f>
        <v>153.43</v>
      </c>
      <c r="Y1641" s="6"/>
      <c r="Z1641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41" s="6">
        <f>('TE BE'!$AB$15+'TE BF'!$AB$15+'TE CVA'!$AB$15)*(1-CUSTOS!$M$35)</f>
        <v>145.48243020761052</v>
      </c>
      <c r="AB1641" s="6">
        <f>$K$1641*$V$1641</f>
        <v>0</v>
      </c>
      <c r="AC1641" s="6">
        <f>$M$1641*$W$1641</f>
        <v>-578.22358000000008</v>
      </c>
      <c r="AD1641" s="6">
        <f>$O$1641*$X$1641</f>
        <v>-493.58431000000002</v>
      </c>
      <c r="AE1641" s="6">
        <f>$K$1641*$Y$1641</f>
        <v>0</v>
      </c>
      <c r="AF1641" s="6">
        <f ca="1">$M$1641*$Z$1641</f>
        <v>-564.12147919906442</v>
      </c>
      <c r="AG1641" s="6">
        <f>$O$1641*$AA$1641</f>
        <v>-468.01697797788307</v>
      </c>
    </row>
    <row r="1642" spans="1:33" ht="11.25" customHeight="1" x14ac:dyDescent="0.25">
      <c r="A1642" s="4" t="s">
        <v>57</v>
      </c>
      <c r="B1642" s="4" t="s">
        <v>22</v>
      </c>
      <c r="C1642" s="4" t="s">
        <v>23</v>
      </c>
      <c r="D1642" s="4" t="s">
        <v>24</v>
      </c>
      <c r="E1642" s="4" t="s">
        <v>30</v>
      </c>
      <c r="F1642" s="4" t="s">
        <v>25</v>
      </c>
      <c r="G1642" s="4" t="s">
        <v>25</v>
      </c>
      <c r="H1642" s="4" t="s">
        <v>25</v>
      </c>
      <c r="I1642" s="5">
        <v>44743</v>
      </c>
      <c r="J1642" s="6">
        <v>0</v>
      </c>
      <c r="K1642" s="6">
        <v>0</v>
      </c>
      <c r="L1642" s="6">
        <v>19.669</v>
      </c>
      <c r="M1642" s="6">
        <v>19.669</v>
      </c>
      <c r="N1642" s="6">
        <v>19.669</v>
      </c>
      <c r="O1642" s="6">
        <v>19.669</v>
      </c>
      <c r="P1642" s="6">
        <v>97</v>
      </c>
      <c r="Q1642" s="4" t="s">
        <v>26</v>
      </c>
      <c r="R1642" s="4">
        <v>0</v>
      </c>
      <c r="S1642" s="6">
        <v>0</v>
      </c>
      <c r="T1642" s="6">
        <v>6</v>
      </c>
      <c r="U1642" s="6">
        <v>74</v>
      </c>
      <c r="V1642" s="6">
        <f>IF(ISERROR(VLOOKUP($S$1642,'TAR FIN'!$A$1:$O$104,15,0)),0,VLOOKUP($S$1642,'TAR FIN'!$A$1:$O$104,15,0))</f>
        <v>0</v>
      </c>
      <c r="W1642" s="6">
        <f>IF(ISERROR(VLOOKUP($T$1642,'TAR FIN'!$A$1:$O$104,15,0)),0,VLOOKUP($T$1642,'TAR FIN'!$A$1:$O$104,15,0))</f>
        <v>179.74</v>
      </c>
      <c r="X1642" s="6">
        <f>IF(ISERROR(VLOOKUP($U$1642,'TAR FIN'!$A$1:$O$104,15,0)),0,VLOOKUP($U$1642,'TAR FIN'!$A$1:$O$104,15,0))</f>
        <v>153.43</v>
      </c>
      <c r="Y1642" s="6"/>
      <c r="Z1642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1642" s="6">
        <f>('TE BE'!$AB$15+'TE BF'!$AB$15+'TE CVA'!$AB$15)*(1-CUSTOS!$M$35)</f>
        <v>145.48243020761052</v>
      </c>
      <c r="AB1642" s="6">
        <f>$K$1642*$V$1642</f>
        <v>0</v>
      </c>
      <c r="AC1642" s="6">
        <f>$M$1642*$W$1642</f>
        <v>3535.3060600000003</v>
      </c>
      <c r="AD1642" s="6">
        <f>$O$1642*$X$1642</f>
        <v>3017.8146700000002</v>
      </c>
      <c r="AE1642" s="6">
        <f>$K$1642*$Y$1642</f>
        <v>0</v>
      </c>
      <c r="AF1642" s="6">
        <f ca="1">$M$1642*$Z$1642</f>
        <v>3449.0846671950258</v>
      </c>
      <c r="AG1642" s="6">
        <f>$O$1642*$AA$1642</f>
        <v>2861.4939197534914</v>
      </c>
    </row>
    <row r="1643" spans="1:33" ht="11.25" customHeight="1" x14ac:dyDescent="0.25">
      <c r="A1643" s="4" t="s">
        <v>21</v>
      </c>
      <c r="B1643" s="4" t="s">
        <v>22</v>
      </c>
      <c r="C1643" s="4" t="s">
        <v>23</v>
      </c>
      <c r="D1643" s="4" t="s">
        <v>24</v>
      </c>
      <c r="E1643" s="4" t="s">
        <v>31</v>
      </c>
      <c r="F1643" s="4" t="s">
        <v>25</v>
      </c>
      <c r="G1643" s="4" t="s">
        <v>25</v>
      </c>
      <c r="H1643" s="4" t="s">
        <v>25</v>
      </c>
      <c r="I1643" s="5">
        <v>44409</v>
      </c>
      <c r="J1643" s="6">
        <v>0</v>
      </c>
      <c r="K1643" s="6">
        <v>0</v>
      </c>
      <c r="L1643" s="6">
        <v>10356.489</v>
      </c>
      <c r="M1643" s="6">
        <v>10356.489</v>
      </c>
      <c r="N1643" s="6">
        <v>10356.489</v>
      </c>
      <c r="O1643" s="6">
        <v>10356.489</v>
      </c>
      <c r="P1643" s="6">
        <v>163135</v>
      </c>
      <c r="Q1643" s="4" t="s">
        <v>26</v>
      </c>
      <c r="R1643" s="4">
        <v>0</v>
      </c>
      <c r="S1643" s="6">
        <v>0</v>
      </c>
      <c r="T1643" s="6">
        <v>8</v>
      </c>
      <c r="U1643" s="6">
        <v>75</v>
      </c>
      <c r="V1643" s="6">
        <f>IF(ISERROR(VLOOKUP($S$1643,'TAR FIN'!$A$1:$O$104,15,0)),0,VLOOKUP($S$1643,'TAR FIN'!$A$1:$O$104,15,0))</f>
        <v>0</v>
      </c>
      <c r="W1643" s="6">
        <f>IF(ISERROR(VLOOKUP($T$1643,'TAR FIN'!$A$1:$O$104,15,0)),0,VLOOKUP($T$1643,'TAR FIN'!$A$1:$O$104,15,0))</f>
        <v>269.62</v>
      </c>
      <c r="X1643" s="6">
        <f>IF(ISERROR(VLOOKUP($U$1643,'TAR FIN'!$A$1:$O$104,15,0)),0,VLOOKUP($U$1643,'TAR FIN'!$A$1:$O$104,15,0))</f>
        <v>230.15</v>
      </c>
      <c r="Y1643" s="6"/>
      <c r="Z1643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43" s="6">
        <f>('TE BE'!$AB$16+'TE BF'!$AB$16+'TE CVA'!$AB$16)*(1-CUSTOS!$M$36)</f>
        <v>218.22364531141577</v>
      </c>
      <c r="AB1643" s="6">
        <f>$K$1643*$V$1643</f>
        <v>0</v>
      </c>
      <c r="AC1643" s="6">
        <f>$M$1643*$W$1643</f>
        <v>2792316.5641799998</v>
      </c>
      <c r="AD1643" s="6">
        <f>$O$1643*$X$1643</f>
        <v>2383545.9433499998</v>
      </c>
      <c r="AE1643" s="6">
        <f>$K$1643*$Y$1643</f>
        <v>0</v>
      </c>
      <c r="AF1643" s="6">
        <f ca="1">$M$1643*$Z$1643</f>
        <v>2724114.6537094372</v>
      </c>
      <c r="AG1643" s="6">
        <f>$O$1643*$AA$1643</f>
        <v>2260030.7822075789</v>
      </c>
    </row>
    <row r="1644" spans="1:33" ht="11.25" customHeight="1" x14ac:dyDescent="0.25">
      <c r="A1644" s="4" t="s">
        <v>27</v>
      </c>
      <c r="B1644" s="4" t="s">
        <v>22</v>
      </c>
      <c r="C1644" s="4" t="s">
        <v>23</v>
      </c>
      <c r="D1644" s="4" t="s">
        <v>24</v>
      </c>
      <c r="E1644" s="4" t="s">
        <v>31</v>
      </c>
      <c r="F1644" s="4" t="s">
        <v>25</v>
      </c>
      <c r="G1644" s="4" t="s">
        <v>25</v>
      </c>
      <c r="H1644" s="4" t="s">
        <v>25</v>
      </c>
      <c r="I1644" s="5">
        <v>44409</v>
      </c>
      <c r="J1644" s="6">
        <v>0</v>
      </c>
      <c r="K1644" s="6">
        <v>0</v>
      </c>
      <c r="L1644" s="6">
        <v>-2.9860000000000002</v>
      </c>
      <c r="M1644" s="6">
        <v>-2.9860000000000002</v>
      </c>
      <c r="N1644" s="6">
        <v>-2.9860000000000002</v>
      </c>
      <c r="O1644" s="6">
        <v>-2.9860000000000002</v>
      </c>
      <c r="P1644" s="6">
        <v>-31</v>
      </c>
      <c r="Q1644" s="4" t="s">
        <v>26</v>
      </c>
      <c r="R1644" s="4">
        <v>0</v>
      </c>
      <c r="S1644" s="6">
        <v>0</v>
      </c>
      <c r="T1644" s="6">
        <v>8</v>
      </c>
      <c r="U1644" s="6">
        <v>75</v>
      </c>
      <c r="V1644" s="6">
        <f>IF(ISERROR(VLOOKUP($S$1644,'TAR FIN'!$A$1:$O$104,15,0)),0,VLOOKUP($S$1644,'TAR FIN'!$A$1:$O$104,15,0))</f>
        <v>0</v>
      </c>
      <c r="W1644" s="6">
        <f>IF(ISERROR(VLOOKUP($T$1644,'TAR FIN'!$A$1:$O$104,15,0)),0,VLOOKUP($T$1644,'TAR FIN'!$A$1:$O$104,15,0))</f>
        <v>269.62</v>
      </c>
      <c r="X1644" s="6">
        <f>IF(ISERROR(VLOOKUP($U$1644,'TAR FIN'!$A$1:$O$104,15,0)),0,VLOOKUP($U$1644,'TAR FIN'!$A$1:$O$104,15,0))</f>
        <v>230.15</v>
      </c>
      <c r="Y1644" s="6"/>
      <c r="Z1644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44" s="6">
        <f>('TE BE'!$AB$16+'TE BF'!$AB$16+'TE CVA'!$AB$16)*(1-CUSTOS!$M$36)</f>
        <v>218.22364531141577</v>
      </c>
      <c r="AB1644" s="6">
        <f>$K$1644*$V$1644</f>
        <v>0</v>
      </c>
      <c r="AC1644" s="6">
        <f>$M$1644*$W$1644</f>
        <v>-805.08532000000002</v>
      </c>
      <c r="AD1644" s="6">
        <f>$O$1644*$X$1644</f>
        <v>-687.22790000000009</v>
      </c>
      <c r="AE1644" s="6">
        <f>$K$1644*$Y$1644</f>
        <v>0</v>
      </c>
      <c r="AF1644" s="6">
        <f ca="1">$M$1644*$Z$1644</f>
        <v>-785.42123261815664</v>
      </c>
      <c r="AG1644" s="6">
        <f>$O$1644*$AA$1644</f>
        <v>-651.61580489988751</v>
      </c>
    </row>
    <row r="1645" spans="1:33" ht="11.25" customHeight="1" x14ac:dyDescent="0.25">
      <c r="A1645" s="4" t="s">
        <v>28</v>
      </c>
      <c r="B1645" s="4" t="s">
        <v>22</v>
      </c>
      <c r="C1645" s="4" t="s">
        <v>23</v>
      </c>
      <c r="D1645" s="4" t="s">
        <v>24</v>
      </c>
      <c r="E1645" s="4" t="s">
        <v>31</v>
      </c>
      <c r="F1645" s="4" t="s">
        <v>25</v>
      </c>
      <c r="G1645" s="4" t="s">
        <v>25</v>
      </c>
      <c r="H1645" s="4" t="s">
        <v>25</v>
      </c>
      <c r="I1645" s="5">
        <v>44409</v>
      </c>
      <c r="J1645" s="6">
        <v>0</v>
      </c>
      <c r="K1645" s="6">
        <v>0</v>
      </c>
      <c r="L1645" s="6">
        <v>13.97</v>
      </c>
      <c r="M1645" s="6">
        <v>13.97</v>
      </c>
      <c r="N1645" s="6">
        <v>13.97</v>
      </c>
      <c r="O1645" s="6">
        <v>13.97</v>
      </c>
      <c r="P1645" s="6">
        <v>135</v>
      </c>
      <c r="Q1645" s="4" t="s">
        <v>26</v>
      </c>
      <c r="R1645" s="4">
        <v>0</v>
      </c>
      <c r="S1645" s="6">
        <v>0</v>
      </c>
      <c r="T1645" s="6">
        <v>8</v>
      </c>
      <c r="U1645" s="6">
        <v>75</v>
      </c>
      <c r="V1645" s="6">
        <f>IF(ISERROR(VLOOKUP($S$1645,'TAR FIN'!$A$1:$O$104,15,0)),0,VLOOKUP($S$1645,'TAR FIN'!$A$1:$O$104,15,0))</f>
        <v>0</v>
      </c>
      <c r="W1645" s="6">
        <f>IF(ISERROR(VLOOKUP($T$1645,'TAR FIN'!$A$1:$O$104,15,0)),0,VLOOKUP($T$1645,'TAR FIN'!$A$1:$O$104,15,0))</f>
        <v>269.62</v>
      </c>
      <c r="X1645" s="6">
        <f>IF(ISERROR(VLOOKUP($U$1645,'TAR FIN'!$A$1:$O$104,15,0)),0,VLOOKUP($U$1645,'TAR FIN'!$A$1:$O$104,15,0))</f>
        <v>230.15</v>
      </c>
      <c r="Y1645" s="6"/>
      <c r="Z1645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45" s="6">
        <f>('TE BE'!$AB$16+'TE BF'!$AB$16+'TE CVA'!$AB$16)*(1-CUSTOS!$M$36)</f>
        <v>218.22364531141577</v>
      </c>
      <c r="AB1645" s="6">
        <f>$K$1645*$V$1645</f>
        <v>0</v>
      </c>
      <c r="AC1645" s="6">
        <f>$M$1645*$W$1645</f>
        <v>3766.5914000000002</v>
      </c>
      <c r="AD1645" s="6">
        <f>$O$1645*$X$1645</f>
        <v>3215.1955000000003</v>
      </c>
      <c r="AE1645" s="6">
        <f>$K$1645*$Y$1645</f>
        <v>0</v>
      </c>
      <c r="AF1645" s="6">
        <f ca="1">$M$1645*$Z$1645</f>
        <v>3674.5929737694732</v>
      </c>
      <c r="AG1645" s="6">
        <f>$O$1645*$AA$1645</f>
        <v>3048.5843250004782</v>
      </c>
    </row>
    <row r="1646" spans="1:33" ht="11.25" customHeight="1" x14ac:dyDescent="0.25">
      <c r="A1646" s="4" t="s">
        <v>21</v>
      </c>
      <c r="B1646" s="4" t="s">
        <v>22</v>
      </c>
      <c r="C1646" s="4" t="s">
        <v>23</v>
      </c>
      <c r="D1646" s="4" t="s">
        <v>24</v>
      </c>
      <c r="E1646" s="4" t="s">
        <v>31</v>
      </c>
      <c r="F1646" s="4" t="s">
        <v>25</v>
      </c>
      <c r="G1646" s="4" t="s">
        <v>25</v>
      </c>
      <c r="H1646" s="4" t="s">
        <v>25</v>
      </c>
      <c r="I1646" s="5">
        <v>44440</v>
      </c>
      <c r="J1646" s="6">
        <v>0</v>
      </c>
      <c r="K1646" s="6">
        <v>0</v>
      </c>
      <c r="L1646" s="6">
        <v>10094.369000000001</v>
      </c>
      <c r="M1646" s="6">
        <v>10094.369000000001</v>
      </c>
      <c r="N1646" s="6">
        <v>10094.369000000001</v>
      </c>
      <c r="O1646" s="6">
        <v>10094.369000000001</v>
      </c>
      <c r="P1646" s="6">
        <v>159456</v>
      </c>
      <c r="Q1646" s="4" t="s">
        <v>26</v>
      </c>
      <c r="R1646" s="4">
        <v>0</v>
      </c>
      <c r="S1646" s="6">
        <v>0</v>
      </c>
      <c r="T1646" s="6">
        <v>8</v>
      </c>
      <c r="U1646" s="6">
        <v>75</v>
      </c>
      <c r="V1646" s="6">
        <f>IF(ISERROR(VLOOKUP($S$1646,'TAR FIN'!$A$1:$O$104,15,0)),0,VLOOKUP($S$1646,'TAR FIN'!$A$1:$O$104,15,0))</f>
        <v>0</v>
      </c>
      <c r="W1646" s="6">
        <f>IF(ISERROR(VLOOKUP($T$1646,'TAR FIN'!$A$1:$O$104,15,0)),0,VLOOKUP($T$1646,'TAR FIN'!$A$1:$O$104,15,0))</f>
        <v>269.62</v>
      </c>
      <c r="X1646" s="6">
        <f>IF(ISERROR(VLOOKUP($U$1646,'TAR FIN'!$A$1:$O$104,15,0)),0,VLOOKUP($U$1646,'TAR FIN'!$A$1:$O$104,15,0))</f>
        <v>230.15</v>
      </c>
      <c r="Y1646" s="6"/>
      <c r="Z1646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46" s="6">
        <f>('TE BE'!$AB$16+'TE BF'!$AB$16+'TE CVA'!$AB$16)*(1-CUSTOS!$M$36)</f>
        <v>218.22364531141577</v>
      </c>
      <c r="AB1646" s="6">
        <f>$K$1646*$V$1646</f>
        <v>0</v>
      </c>
      <c r="AC1646" s="6">
        <f>$M$1646*$W$1646</f>
        <v>2721643.7697800002</v>
      </c>
      <c r="AD1646" s="6">
        <f>$O$1646*$X$1646</f>
        <v>2323219.0253500002</v>
      </c>
      <c r="AE1646" s="6">
        <f>$K$1646*$Y$1646</f>
        <v>0</v>
      </c>
      <c r="AF1646" s="6">
        <f ca="1">$M$1646*$Z$1646</f>
        <v>2655168.0316418316</v>
      </c>
      <c r="AG1646" s="6">
        <f>$O$1646*$AA$1646</f>
        <v>2202830.0002985508</v>
      </c>
    </row>
    <row r="1647" spans="1:33" ht="11.25" customHeight="1" x14ac:dyDescent="0.25">
      <c r="A1647" s="4" t="s">
        <v>27</v>
      </c>
      <c r="B1647" s="4" t="s">
        <v>22</v>
      </c>
      <c r="C1647" s="4" t="s">
        <v>23</v>
      </c>
      <c r="D1647" s="4" t="s">
        <v>24</v>
      </c>
      <c r="E1647" s="4" t="s">
        <v>31</v>
      </c>
      <c r="F1647" s="4" t="s">
        <v>25</v>
      </c>
      <c r="G1647" s="4" t="s">
        <v>25</v>
      </c>
      <c r="H1647" s="4" t="s">
        <v>25</v>
      </c>
      <c r="I1647" s="5">
        <v>44440</v>
      </c>
      <c r="J1647" s="6">
        <v>0</v>
      </c>
      <c r="K1647" s="6">
        <v>0</v>
      </c>
      <c r="L1647" s="6">
        <v>-4.2089999999999996</v>
      </c>
      <c r="M1647" s="6">
        <v>-4.2089999999999996</v>
      </c>
      <c r="N1647" s="6">
        <v>-4.2089999999999996</v>
      </c>
      <c r="O1647" s="6">
        <v>-4.2089999999999996</v>
      </c>
      <c r="P1647" s="6">
        <v>-27</v>
      </c>
      <c r="Q1647" s="4" t="s">
        <v>26</v>
      </c>
      <c r="R1647" s="4">
        <v>0</v>
      </c>
      <c r="S1647" s="6">
        <v>0</v>
      </c>
      <c r="T1647" s="6">
        <v>8</v>
      </c>
      <c r="U1647" s="6">
        <v>75</v>
      </c>
      <c r="V1647" s="6">
        <f>IF(ISERROR(VLOOKUP($S$1647,'TAR FIN'!$A$1:$O$104,15,0)),0,VLOOKUP($S$1647,'TAR FIN'!$A$1:$O$104,15,0))</f>
        <v>0</v>
      </c>
      <c r="W1647" s="6">
        <f>IF(ISERROR(VLOOKUP($T$1647,'TAR FIN'!$A$1:$O$104,15,0)),0,VLOOKUP($T$1647,'TAR FIN'!$A$1:$O$104,15,0))</f>
        <v>269.62</v>
      </c>
      <c r="X1647" s="6">
        <f>IF(ISERROR(VLOOKUP($U$1647,'TAR FIN'!$A$1:$O$104,15,0)),0,VLOOKUP($U$1647,'TAR FIN'!$A$1:$O$104,15,0))</f>
        <v>230.15</v>
      </c>
      <c r="Y1647" s="6"/>
      <c r="Z1647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47" s="6">
        <f>('TE BE'!$AB$16+'TE BF'!$AB$16+'TE CVA'!$AB$16)*(1-CUSTOS!$M$36)</f>
        <v>218.22364531141577</v>
      </c>
      <c r="AB1647" s="6">
        <f>$K$1647*$V$1647</f>
        <v>0</v>
      </c>
      <c r="AC1647" s="6">
        <f>$M$1647*$W$1647</f>
        <v>-1134.8305799999998</v>
      </c>
      <c r="AD1647" s="6">
        <f>$O$1647*$X$1647</f>
        <v>-968.70134999999993</v>
      </c>
      <c r="AE1647" s="6">
        <f>$K$1647*$Y$1647</f>
        <v>0</v>
      </c>
      <c r="AF1647" s="6">
        <f ca="1">$M$1647*$Z$1647</f>
        <v>-1107.1125144306166</v>
      </c>
      <c r="AG1647" s="6">
        <f>$O$1647*$AA$1647</f>
        <v>-918.50332311574891</v>
      </c>
    </row>
    <row r="1648" spans="1:33" ht="11.25" customHeight="1" x14ac:dyDescent="0.25">
      <c r="A1648" s="4" t="s">
        <v>28</v>
      </c>
      <c r="B1648" s="4" t="s">
        <v>22</v>
      </c>
      <c r="C1648" s="4" t="s">
        <v>23</v>
      </c>
      <c r="D1648" s="4" t="s">
        <v>24</v>
      </c>
      <c r="E1648" s="4" t="s">
        <v>31</v>
      </c>
      <c r="F1648" s="4" t="s">
        <v>25</v>
      </c>
      <c r="G1648" s="4" t="s">
        <v>25</v>
      </c>
      <c r="H1648" s="4" t="s">
        <v>25</v>
      </c>
      <c r="I1648" s="5">
        <v>44440</v>
      </c>
      <c r="J1648" s="6">
        <v>0</v>
      </c>
      <c r="K1648" s="6">
        <v>0</v>
      </c>
      <c r="L1648" s="6">
        <v>14.861000000000001</v>
      </c>
      <c r="M1648" s="6">
        <v>14.861000000000001</v>
      </c>
      <c r="N1648" s="6">
        <v>14.861000000000001</v>
      </c>
      <c r="O1648" s="6">
        <v>14.861000000000001</v>
      </c>
      <c r="P1648" s="6">
        <v>140</v>
      </c>
      <c r="Q1648" s="4" t="s">
        <v>26</v>
      </c>
      <c r="R1648" s="4">
        <v>0</v>
      </c>
      <c r="S1648" s="6">
        <v>0</v>
      </c>
      <c r="T1648" s="6">
        <v>8</v>
      </c>
      <c r="U1648" s="6">
        <v>75</v>
      </c>
      <c r="V1648" s="6">
        <f>IF(ISERROR(VLOOKUP($S$1648,'TAR FIN'!$A$1:$O$104,15,0)),0,VLOOKUP($S$1648,'TAR FIN'!$A$1:$O$104,15,0))</f>
        <v>0</v>
      </c>
      <c r="W1648" s="6">
        <f>IF(ISERROR(VLOOKUP($T$1648,'TAR FIN'!$A$1:$O$104,15,0)),0,VLOOKUP($T$1648,'TAR FIN'!$A$1:$O$104,15,0))</f>
        <v>269.62</v>
      </c>
      <c r="X1648" s="6">
        <f>IF(ISERROR(VLOOKUP($U$1648,'TAR FIN'!$A$1:$O$104,15,0)),0,VLOOKUP($U$1648,'TAR FIN'!$A$1:$O$104,15,0))</f>
        <v>230.15</v>
      </c>
      <c r="Y1648" s="6"/>
      <c r="Z1648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48" s="6">
        <f>('TE BE'!$AB$16+'TE BF'!$AB$16+'TE CVA'!$AB$16)*(1-CUSTOS!$M$36)</f>
        <v>218.22364531141577</v>
      </c>
      <c r="AB1648" s="6">
        <f>$K$1648*$V$1648</f>
        <v>0</v>
      </c>
      <c r="AC1648" s="6">
        <f>$M$1648*$W$1648</f>
        <v>4006.8228200000003</v>
      </c>
      <c r="AD1648" s="6">
        <f>$O$1648*$X$1648</f>
        <v>3420.2591500000003</v>
      </c>
      <c r="AE1648" s="6">
        <f>$K$1648*$Y$1648</f>
        <v>0</v>
      </c>
      <c r="AF1648" s="6">
        <f ca="1">$M$1648*$Z$1648</f>
        <v>3908.956777608314</v>
      </c>
      <c r="AG1648" s="6">
        <f>$O$1648*$AA$1648</f>
        <v>3243.0215929729497</v>
      </c>
    </row>
    <row r="1649" spans="1:33" ht="11.25" customHeight="1" x14ac:dyDescent="0.25">
      <c r="A1649" s="4" t="s">
        <v>21</v>
      </c>
      <c r="B1649" s="4" t="s">
        <v>22</v>
      </c>
      <c r="C1649" s="4" t="s">
        <v>23</v>
      </c>
      <c r="D1649" s="4" t="s">
        <v>24</v>
      </c>
      <c r="E1649" s="4" t="s">
        <v>31</v>
      </c>
      <c r="F1649" s="4" t="s">
        <v>25</v>
      </c>
      <c r="G1649" s="4" t="s">
        <v>25</v>
      </c>
      <c r="H1649" s="4" t="s">
        <v>25</v>
      </c>
      <c r="I1649" s="5">
        <v>44470</v>
      </c>
      <c r="J1649" s="6">
        <v>0</v>
      </c>
      <c r="K1649" s="6">
        <v>0</v>
      </c>
      <c r="L1649" s="6">
        <v>11556.401</v>
      </c>
      <c r="M1649" s="6">
        <v>11556.401</v>
      </c>
      <c r="N1649" s="6">
        <v>11556.401</v>
      </c>
      <c r="O1649" s="6">
        <v>11556.401</v>
      </c>
      <c r="P1649" s="6">
        <v>171958</v>
      </c>
      <c r="Q1649" s="4" t="s">
        <v>26</v>
      </c>
      <c r="R1649" s="4">
        <v>0</v>
      </c>
      <c r="S1649" s="6">
        <v>0</v>
      </c>
      <c r="T1649" s="6">
        <v>8</v>
      </c>
      <c r="U1649" s="6">
        <v>75</v>
      </c>
      <c r="V1649" s="6">
        <f>IF(ISERROR(VLOOKUP($S$1649,'TAR FIN'!$A$1:$O$104,15,0)),0,VLOOKUP($S$1649,'TAR FIN'!$A$1:$O$104,15,0))</f>
        <v>0</v>
      </c>
      <c r="W1649" s="6">
        <f>IF(ISERROR(VLOOKUP($T$1649,'TAR FIN'!$A$1:$O$104,15,0)),0,VLOOKUP($T$1649,'TAR FIN'!$A$1:$O$104,15,0))</f>
        <v>269.62</v>
      </c>
      <c r="X1649" s="6">
        <f>IF(ISERROR(VLOOKUP($U$1649,'TAR FIN'!$A$1:$O$104,15,0)),0,VLOOKUP($U$1649,'TAR FIN'!$A$1:$O$104,15,0))</f>
        <v>230.15</v>
      </c>
      <c r="Y1649" s="6"/>
      <c r="Z1649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49" s="6">
        <f>('TE BE'!$AB$16+'TE BF'!$AB$16+'TE CVA'!$AB$16)*(1-CUSTOS!$M$36)</f>
        <v>218.22364531141577</v>
      </c>
      <c r="AB1649" s="6">
        <f>$K$1649*$V$1649</f>
        <v>0</v>
      </c>
      <c r="AC1649" s="6">
        <f>$M$1649*$W$1649</f>
        <v>3115836.8376199999</v>
      </c>
      <c r="AD1649" s="6">
        <f>$O$1649*$X$1649</f>
        <v>2659705.6901500002</v>
      </c>
      <c r="AE1649" s="6">
        <f>$K$1649*$Y$1649</f>
        <v>0</v>
      </c>
      <c r="AF1649" s="6">
        <f ca="1">$M$1649*$Z$1649</f>
        <v>3039732.9933187198</v>
      </c>
      <c r="AG1649" s="6">
        <f>$O$1649*$AA$1649</f>
        <v>2521879.9529004903</v>
      </c>
    </row>
    <row r="1650" spans="1:33" ht="11.25" customHeight="1" x14ac:dyDescent="0.25">
      <c r="A1650" s="4" t="s">
        <v>27</v>
      </c>
      <c r="B1650" s="4" t="s">
        <v>22</v>
      </c>
      <c r="C1650" s="4" t="s">
        <v>23</v>
      </c>
      <c r="D1650" s="4" t="s">
        <v>24</v>
      </c>
      <c r="E1650" s="4" t="s">
        <v>31</v>
      </c>
      <c r="F1650" s="4" t="s">
        <v>25</v>
      </c>
      <c r="G1650" s="4" t="s">
        <v>25</v>
      </c>
      <c r="H1650" s="4" t="s">
        <v>25</v>
      </c>
      <c r="I1650" s="5">
        <v>44470</v>
      </c>
      <c r="J1650" s="6">
        <v>0</v>
      </c>
      <c r="K1650" s="6">
        <v>0</v>
      </c>
      <c r="L1650" s="6">
        <v>-4.7309999999999999</v>
      </c>
      <c r="M1650" s="6">
        <v>-4.7309999999999999</v>
      </c>
      <c r="N1650" s="6">
        <v>-4.7309999999999999</v>
      </c>
      <c r="O1650" s="6">
        <v>-4.7309999999999999</v>
      </c>
      <c r="P1650" s="6">
        <v>-43</v>
      </c>
      <c r="Q1650" s="4" t="s">
        <v>26</v>
      </c>
      <c r="R1650" s="4">
        <v>0</v>
      </c>
      <c r="S1650" s="6">
        <v>0</v>
      </c>
      <c r="T1650" s="6">
        <v>8</v>
      </c>
      <c r="U1650" s="6">
        <v>75</v>
      </c>
      <c r="V1650" s="6">
        <f>IF(ISERROR(VLOOKUP($S$1650,'TAR FIN'!$A$1:$O$104,15,0)),0,VLOOKUP($S$1650,'TAR FIN'!$A$1:$O$104,15,0))</f>
        <v>0</v>
      </c>
      <c r="W1650" s="6">
        <f>IF(ISERROR(VLOOKUP($T$1650,'TAR FIN'!$A$1:$O$104,15,0)),0,VLOOKUP($T$1650,'TAR FIN'!$A$1:$O$104,15,0))</f>
        <v>269.62</v>
      </c>
      <c r="X1650" s="6">
        <f>IF(ISERROR(VLOOKUP($U$1650,'TAR FIN'!$A$1:$O$104,15,0)),0,VLOOKUP($U$1650,'TAR FIN'!$A$1:$O$104,15,0))</f>
        <v>230.15</v>
      </c>
      <c r="Y1650" s="6"/>
      <c r="Z1650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50" s="6">
        <f>('TE BE'!$AB$16+'TE BF'!$AB$16+'TE CVA'!$AB$16)*(1-CUSTOS!$M$36)</f>
        <v>218.22364531141577</v>
      </c>
      <c r="AB1650" s="6">
        <f>$K$1650*$V$1650</f>
        <v>0</v>
      </c>
      <c r="AC1650" s="6">
        <f>$M$1650*$W$1650</f>
        <v>-1275.57222</v>
      </c>
      <c r="AD1650" s="6">
        <f>$O$1650*$X$1650</f>
        <v>-1088.8396499999999</v>
      </c>
      <c r="AE1650" s="6">
        <f>$K$1650*$Y$1650</f>
        <v>0</v>
      </c>
      <c r="AF1650" s="6">
        <f ca="1">$M$1650*$Z$1650</f>
        <v>-1244.4165611240785</v>
      </c>
      <c r="AG1650" s="6">
        <f>$O$1650*$AA$1650</f>
        <v>-1032.416065968308</v>
      </c>
    </row>
    <row r="1651" spans="1:33" ht="11.25" customHeight="1" x14ac:dyDescent="0.25">
      <c r="A1651" s="4" t="s">
        <v>28</v>
      </c>
      <c r="B1651" s="4" t="s">
        <v>22</v>
      </c>
      <c r="C1651" s="4" t="s">
        <v>23</v>
      </c>
      <c r="D1651" s="4" t="s">
        <v>24</v>
      </c>
      <c r="E1651" s="4" t="s">
        <v>31</v>
      </c>
      <c r="F1651" s="4" t="s">
        <v>25</v>
      </c>
      <c r="G1651" s="4" t="s">
        <v>25</v>
      </c>
      <c r="H1651" s="4" t="s">
        <v>25</v>
      </c>
      <c r="I1651" s="5">
        <v>44470</v>
      </c>
      <c r="J1651" s="6">
        <v>0</v>
      </c>
      <c r="K1651" s="6">
        <v>0</v>
      </c>
      <c r="L1651" s="6">
        <v>17.568000000000001</v>
      </c>
      <c r="M1651" s="6">
        <v>17.568000000000001</v>
      </c>
      <c r="N1651" s="6">
        <v>17.568000000000001</v>
      </c>
      <c r="O1651" s="6">
        <v>17.568000000000001</v>
      </c>
      <c r="P1651" s="6">
        <v>145</v>
      </c>
      <c r="Q1651" s="4" t="s">
        <v>26</v>
      </c>
      <c r="R1651" s="4">
        <v>0</v>
      </c>
      <c r="S1651" s="6">
        <v>0</v>
      </c>
      <c r="T1651" s="6">
        <v>8</v>
      </c>
      <c r="U1651" s="6">
        <v>75</v>
      </c>
      <c r="V1651" s="6">
        <f>IF(ISERROR(VLOOKUP($S$1651,'TAR FIN'!$A$1:$O$104,15,0)),0,VLOOKUP($S$1651,'TAR FIN'!$A$1:$O$104,15,0))</f>
        <v>0</v>
      </c>
      <c r="W1651" s="6">
        <f>IF(ISERROR(VLOOKUP($T$1651,'TAR FIN'!$A$1:$O$104,15,0)),0,VLOOKUP($T$1651,'TAR FIN'!$A$1:$O$104,15,0))</f>
        <v>269.62</v>
      </c>
      <c r="X1651" s="6">
        <f>IF(ISERROR(VLOOKUP($U$1651,'TAR FIN'!$A$1:$O$104,15,0)),0,VLOOKUP($U$1651,'TAR FIN'!$A$1:$O$104,15,0))</f>
        <v>230.15</v>
      </c>
      <c r="Y1651" s="6"/>
      <c r="Z1651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51" s="6">
        <f>('TE BE'!$AB$16+'TE BF'!$AB$16+'TE CVA'!$AB$16)*(1-CUSTOS!$M$36)</f>
        <v>218.22364531141577</v>
      </c>
      <c r="AB1651" s="6">
        <f>$K$1651*$V$1651</f>
        <v>0</v>
      </c>
      <c r="AC1651" s="6">
        <f>$M$1651*$W$1651</f>
        <v>4736.6841600000007</v>
      </c>
      <c r="AD1651" s="6">
        <f>$O$1651*$X$1651</f>
        <v>4043.2752000000005</v>
      </c>
      <c r="AE1651" s="6">
        <f>$K$1651*$Y$1651</f>
        <v>0</v>
      </c>
      <c r="AF1651" s="6">
        <f ca="1">$M$1651*$Z$1651</f>
        <v>4620.9913645799652</v>
      </c>
      <c r="AG1651" s="6">
        <f>$O$1651*$AA$1651</f>
        <v>3833.7530008309523</v>
      </c>
    </row>
    <row r="1652" spans="1:33" ht="11.25" customHeight="1" x14ac:dyDescent="0.25">
      <c r="A1652" s="4" t="s">
        <v>21</v>
      </c>
      <c r="B1652" s="4" t="s">
        <v>22</v>
      </c>
      <c r="C1652" s="4" t="s">
        <v>23</v>
      </c>
      <c r="D1652" s="4" t="s">
        <v>24</v>
      </c>
      <c r="E1652" s="4" t="s">
        <v>31</v>
      </c>
      <c r="F1652" s="4" t="s">
        <v>25</v>
      </c>
      <c r="G1652" s="4" t="s">
        <v>25</v>
      </c>
      <c r="H1652" s="4" t="s">
        <v>25</v>
      </c>
      <c r="I1652" s="5">
        <v>44501</v>
      </c>
      <c r="J1652" s="6">
        <v>0</v>
      </c>
      <c r="K1652" s="6">
        <v>0</v>
      </c>
      <c r="L1652" s="6">
        <v>11665.414000000001</v>
      </c>
      <c r="M1652" s="6">
        <v>11665.414000000001</v>
      </c>
      <c r="N1652" s="6">
        <v>11665.414000000001</v>
      </c>
      <c r="O1652" s="6">
        <v>11665.414000000001</v>
      </c>
      <c r="P1652" s="6">
        <v>172032</v>
      </c>
      <c r="Q1652" s="4" t="s">
        <v>26</v>
      </c>
      <c r="R1652" s="4">
        <v>0</v>
      </c>
      <c r="S1652" s="6">
        <v>0</v>
      </c>
      <c r="T1652" s="6">
        <v>8</v>
      </c>
      <c r="U1652" s="6">
        <v>75</v>
      </c>
      <c r="V1652" s="6">
        <f>IF(ISERROR(VLOOKUP($S$1652,'TAR FIN'!$A$1:$O$104,15,0)),0,VLOOKUP($S$1652,'TAR FIN'!$A$1:$O$104,15,0))</f>
        <v>0</v>
      </c>
      <c r="W1652" s="6">
        <f>IF(ISERROR(VLOOKUP($T$1652,'TAR FIN'!$A$1:$O$104,15,0)),0,VLOOKUP($T$1652,'TAR FIN'!$A$1:$O$104,15,0))</f>
        <v>269.62</v>
      </c>
      <c r="X1652" s="6">
        <f>IF(ISERROR(VLOOKUP($U$1652,'TAR FIN'!$A$1:$O$104,15,0)),0,VLOOKUP($U$1652,'TAR FIN'!$A$1:$O$104,15,0))</f>
        <v>230.15</v>
      </c>
      <c r="Y1652" s="6"/>
      <c r="Z1652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52" s="6">
        <f>('TE BE'!$AB$16+'TE BF'!$AB$16+'TE CVA'!$AB$16)*(1-CUSTOS!$M$36)</f>
        <v>218.22364531141577</v>
      </c>
      <c r="AB1652" s="6">
        <f>$K$1652*$V$1652</f>
        <v>0</v>
      </c>
      <c r="AC1652" s="6">
        <f>$M$1652*$W$1652</f>
        <v>3145228.9226800003</v>
      </c>
      <c r="AD1652" s="6">
        <f>$O$1652*$X$1652</f>
        <v>2684795.0321000004</v>
      </c>
      <c r="AE1652" s="6">
        <f>$K$1652*$Y$1652</f>
        <v>0</v>
      </c>
      <c r="AF1652" s="6">
        <f ca="1">$M$1652*$Z$1652</f>
        <v>3068407.1811390156</v>
      </c>
      <c r="AG1652" s="6">
        <f>$O$1652*$AA$1652</f>
        <v>2545669.1671468238</v>
      </c>
    </row>
    <row r="1653" spans="1:33" ht="11.25" customHeight="1" x14ac:dyDescent="0.25">
      <c r="A1653" s="4" t="s">
        <v>27</v>
      </c>
      <c r="B1653" s="4" t="s">
        <v>22</v>
      </c>
      <c r="C1653" s="4" t="s">
        <v>23</v>
      </c>
      <c r="D1653" s="4" t="s">
        <v>24</v>
      </c>
      <c r="E1653" s="4" t="s">
        <v>31</v>
      </c>
      <c r="F1653" s="4" t="s">
        <v>25</v>
      </c>
      <c r="G1653" s="4" t="s">
        <v>25</v>
      </c>
      <c r="H1653" s="4" t="s">
        <v>25</v>
      </c>
      <c r="I1653" s="5">
        <v>44501</v>
      </c>
      <c r="J1653" s="6">
        <v>0</v>
      </c>
      <c r="K1653" s="6">
        <v>0</v>
      </c>
      <c r="L1653" s="6">
        <v>-4.0759999999999996</v>
      </c>
      <c r="M1653" s="6">
        <v>-4.0759999999999996</v>
      </c>
      <c r="N1653" s="6">
        <v>-4.0759999999999996</v>
      </c>
      <c r="O1653" s="6">
        <v>-4.0759999999999996</v>
      </c>
      <c r="P1653" s="6">
        <v>-26</v>
      </c>
      <c r="Q1653" s="4" t="s">
        <v>26</v>
      </c>
      <c r="R1653" s="4">
        <v>0</v>
      </c>
      <c r="S1653" s="6">
        <v>0</v>
      </c>
      <c r="T1653" s="6">
        <v>8</v>
      </c>
      <c r="U1653" s="6">
        <v>75</v>
      </c>
      <c r="V1653" s="6">
        <f>IF(ISERROR(VLOOKUP($S$1653,'TAR FIN'!$A$1:$O$104,15,0)),0,VLOOKUP($S$1653,'TAR FIN'!$A$1:$O$104,15,0))</f>
        <v>0</v>
      </c>
      <c r="W1653" s="6">
        <f>IF(ISERROR(VLOOKUP($T$1653,'TAR FIN'!$A$1:$O$104,15,0)),0,VLOOKUP($T$1653,'TAR FIN'!$A$1:$O$104,15,0))</f>
        <v>269.62</v>
      </c>
      <c r="X1653" s="6">
        <f>IF(ISERROR(VLOOKUP($U$1653,'TAR FIN'!$A$1:$O$104,15,0)),0,VLOOKUP($U$1653,'TAR FIN'!$A$1:$O$104,15,0))</f>
        <v>230.15</v>
      </c>
      <c r="Y1653" s="6"/>
      <c r="Z1653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53" s="6">
        <f>('TE BE'!$AB$16+'TE BF'!$AB$16+'TE CVA'!$AB$16)*(1-CUSTOS!$M$36)</f>
        <v>218.22364531141577</v>
      </c>
      <c r="AB1653" s="6">
        <f>$K$1653*$V$1653</f>
        <v>0</v>
      </c>
      <c r="AC1653" s="6">
        <f>$M$1653*$W$1653</f>
        <v>-1098.9711199999999</v>
      </c>
      <c r="AD1653" s="6">
        <f>$O$1653*$X$1653</f>
        <v>-938.09139999999991</v>
      </c>
      <c r="AE1653" s="6">
        <f>$K$1653*$Y$1653</f>
        <v>0</v>
      </c>
      <c r="AF1653" s="6">
        <f ca="1">$M$1653*$Z$1653</f>
        <v>-1072.1289163267268</v>
      </c>
      <c r="AG1653" s="6">
        <f>$O$1653*$AA$1653</f>
        <v>-889.47957828933056</v>
      </c>
    </row>
    <row r="1654" spans="1:33" ht="11.25" customHeight="1" x14ac:dyDescent="0.25">
      <c r="A1654" s="4" t="s">
        <v>28</v>
      </c>
      <c r="B1654" s="4" t="s">
        <v>22</v>
      </c>
      <c r="C1654" s="4" t="s">
        <v>23</v>
      </c>
      <c r="D1654" s="4" t="s">
        <v>24</v>
      </c>
      <c r="E1654" s="4" t="s">
        <v>31</v>
      </c>
      <c r="F1654" s="4" t="s">
        <v>25</v>
      </c>
      <c r="G1654" s="4" t="s">
        <v>25</v>
      </c>
      <c r="H1654" s="4" t="s">
        <v>25</v>
      </c>
      <c r="I1654" s="5">
        <v>44501</v>
      </c>
      <c r="J1654" s="6">
        <v>0</v>
      </c>
      <c r="K1654" s="6">
        <v>0</v>
      </c>
      <c r="L1654" s="6">
        <v>17.651</v>
      </c>
      <c r="M1654" s="6">
        <v>17.651</v>
      </c>
      <c r="N1654" s="6">
        <v>17.651</v>
      </c>
      <c r="O1654" s="6">
        <v>17.651</v>
      </c>
      <c r="P1654" s="6">
        <v>149</v>
      </c>
      <c r="Q1654" s="4" t="s">
        <v>26</v>
      </c>
      <c r="R1654" s="4">
        <v>0</v>
      </c>
      <c r="S1654" s="6">
        <v>0</v>
      </c>
      <c r="T1654" s="6">
        <v>8</v>
      </c>
      <c r="U1654" s="6">
        <v>75</v>
      </c>
      <c r="V1654" s="6">
        <f>IF(ISERROR(VLOOKUP($S$1654,'TAR FIN'!$A$1:$O$104,15,0)),0,VLOOKUP($S$1654,'TAR FIN'!$A$1:$O$104,15,0))</f>
        <v>0</v>
      </c>
      <c r="W1654" s="6">
        <f>IF(ISERROR(VLOOKUP($T$1654,'TAR FIN'!$A$1:$O$104,15,0)),0,VLOOKUP($T$1654,'TAR FIN'!$A$1:$O$104,15,0))</f>
        <v>269.62</v>
      </c>
      <c r="X1654" s="6">
        <f>IF(ISERROR(VLOOKUP($U$1654,'TAR FIN'!$A$1:$O$104,15,0)),0,VLOOKUP($U$1654,'TAR FIN'!$A$1:$O$104,15,0))</f>
        <v>230.15</v>
      </c>
      <c r="Y1654" s="6"/>
      <c r="Z1654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54" s="6">
        <f>('TE BE'!$AB$16+'TE BF'!$AB$16+'TE CVA'!$AB$16)*(1-CUSTOS!$M$36)</f>
        <v>218.22364531141577</v>
      </c>
      <c r="AB1654" s="6">
        <f>$K$1654*$V$1654</f>
        <v>0</v>
      </c>
      <c r="AC1654" s="6">
        <f>$M$1654*$W$1654</f>
        <v>4759.0626199999997</v>
      </c>
      <c r="AD1654" s="6">
        <f>$O$1654*$X$1654</f>
        <v>4062.3776499999999</v>
      </c>
      <c r="AE1654" s="6">
        <f>$K$1654*$Y$1654</f>
        <v>0</v>
      </c>
      <c r="AF1654" s="6">
        <f ca="1">$M$1654*$Z$1654</f>
        <v>4642.8232340733693</v>
      </c>
      <c r="AG1654" s="6">
        <f>$O$1654*$AA$1654</f>
        <v>3851.8655633917997</v>
      </c>
    </row>
    <row r="1655" spans="1:33" ht="11.25" customHeight="1" x14ac:dyDescent="0.25">
      <c r="A1655" s="4" t="s">
        <v>21</v>
      </c>
      <c r="B1655" s="4" t="s">
        <v>22</v>
      </c>
      <c r="C1655" s="4" t="s">
        <v>23</v>
      </c>
      <c r="D1655" s="4" t="s">
        <v>24</v>
      </c>
      <c r="E1655" s="4" t="s">
        <v>31</v>
      </c>
      <c r="F1655" s="4" t="s">
        <v>25</v>
      </c>
      <c r="G1655" s="4" t="s">
        <v>25</v>
      </c>
      <c r="H1655" s="4" t="s">
        <v>25</v>
      </c>
      <c r="I1655" s="5">
        <v>44531</v>
      </c>
      <c r="J1655" s="6">
        <v>0</v>
      </c>
      <c r="K1655" s="6">
        <v>0</v>
      </c>
      <c r="L1655" s="6">
        <v>14346.074000000001</v>
      </c>
      <c r="M1655" s="6">
        <v>14346.074000000001</v>
      </c>
      <c r="N1655" s="6">
        <v>14346.074000000001</v>
      </c>
      <c r="O1655" s="6">
        <v>14346.074000000001</v>
      </c>
      <c r="P1655" s="6">
        <v>189972</v>
      </c>
      <c r="Q1655" s="4" t="s">
        <v>26</v>
      </c>
      <c r="R1655" s="4">
        <v>0</v>
      </c>
      <c r="S1655" s="6">
        <v>0</v>
      </c>
      <c r="T1655" s="6">
        <v>8</v>
      </c>
      <c r="U1655" s="6">
        <v>75</v>
      </c>
      <c r="V1655" s="6">
        <f>IF(ISERROR(VLOOKUP($S$1655,'TAR FIN'!$A$1:$O$104,15,0)),0,VLOOKUP($S$1655,'TAR FIN'!$A$1:$O$104,15,0))</f>
        <v>0</v>
      </c>
      <c r="W1655" s="6">
        <f>IF(ISERROR(VLOOKUP($T$1655,'TAR FIN'!$A$1:$O$104,15,0)),0,VLOOKUP($T$1655,'TAR FIN'!$A$1:$O$104,15,0))</f>
        <v>269.62</v>
      </c>
      <c r="X1655" s="6">
        <f>IF(ISERROR(VLOOKUP($U$1655,'TAR FIN'!$A$1:$O$104,15,0)),0,VLOOKUP($U$1655,'TAR FIN'!$A$1:$O$104,15,0))</f>
        <v>230.15</v>
      </c>
      <c r="Y1655" s="6"/>
      <c r="Z1655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55" s="6">
        <f>('TE BE'!$AB$16+'TE BF'!$AB$16+'TE CVA'!$AB$16)*(1-CUSTOS!$M$36)</f>
        <v>218.22364531141577</v>
      </c>
      <c r="AB1655" s="6">
        <f>$K$1655*$V$1655</f>
        <v>0</v>
      </c>
      <c r="AC1655" s="6">
        <f>$M$1655*$W$1655</f>
        <v>3867988.4718800001</v>
      </c>
      <c r="AD1655" s="6">
        <f>$O$1655*$X$1655</f>
        <v>3301748.9311000002</v>
      </c>
      <c r="AE1655" s="6">
        <f>$K$1655*$Y$1655</f>
        <v>0</v>
      </c>
      <c r="AF1655" s="6">
        <f ca="1">$M$1655*$Z$1655</f>
        <v>3773513.4374786634</v>
      </c>
      <c r="AG1655" s="6">
        <f>$O$1655*$AA$1655</f>
        <v>3130652.5641873237</v>
      </c>
    </row>
    <row r="1656" spans="1:33" ht="11.25" customHeight="1" x14ac:dyDescent="0.25">
      <c r="A1656" s="4" t="s">
        <v>27</v>
      </c>
      <c r="B1656" s="4" t="s">
        <v>22</v>
      </c>
      <c r="C1656" s="4" t="s">
        <v>23</v>
      </c>
      <c r="D1656" s="4" t="s">
        <v>24</v>
      </c>
      <c r="E1656" s="4" t="s">
        <v>31</v>
      </c>
      <c r="F1656" s="4" t="s">
        <v>25</v>
      </c>
      <c r="G1656" s="4" t="s">
        <v>25</v>
      </c>
      <c r="H1656" s="4" t="s">
        <v>25</v>
      </c>
      <c r="I1656" s="5">
        <v>44531</v>
      </c>
      <c r="J1656" s="6">
        <v>0</v>
      </c>
      <c r="K1656" s="6">
        <v>0</v>
      </c>
      <c r="L1656" s="6">
        <v>-3.3580000000000001</v>
      </c>
      <c r="M1656" s="6">
        <v>-3.3580000000000001</v>
      </c>
      <c r="N1656" s="6">
        <v>-3.3580000000000001</v>
      </c>
      <c r="O1656" s="6">
        <v>-3.3580000000000001</v>
      </c>
      <c r="P1656" s="6">
        <v>-17</v>
      </c>
      <c r="Q1656" s="4" t="s">
        <v>26</v>
      </c>
      <c r="R1656" s="4">
        <v>0</v>
      </c>
      <c r="S1656" s="6">
        <v>0</v>
      </c>
      <c r="T1656" s="6">
        <v>8</v>
      </c>
      <c r="U1656" s="6">
        <v>75</v>
      </c>
      <c r="V1656" s="6">
        <f>IF(ISERROR(VLOOKUP($S$1656,'TAR FIN'!$A$1:$O$104,15,0)),0,VLOOKUP($S$1656,'TAR FIN'!$A$1:$O$104,15,0))</f>
        <v>0</v>
      </c>
      <c r="W1656" s="6">
        <f>IF(ISERROR(VLOOKUP($T$1656,'TAR FIN'!$A$1:$O$104,15,0)),0,VLOOKUP($T$1656,'TAR FIN'!$A$1:$O$104,15,0))</f>
        <v>269.62</v>
      </c>
      <c r="X1656" s="6">
        <f>IF(ISERROR(VLOOKUP($U$1656,'TAR FIN'!$A$1:$O$104,15,0)),0,VLOOKUP($U$1656,'TAR FIN'!$A$1:$O$104,15,0))</f>
        <v>230.15</v>
      </c>
      <c r="Y1656" s="6"/>
      <c r="Z1656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56" s="6">
        <f>('TE BE'!$AB$16+'TE BF'!$AB$16+'TE CVA'!$AB$16)*(1-CUSTOS!$M$36)</f>
        <v>218.22364531141577</v>
      </c>
      <c r="AB1656" s="6">
        <f>$K$1656*$V$1656</f>
        <v>0</v>
      </c>
      <c r="AC1656" s="6">
        <f>$M$1656*$W$1656</f>
        <v>-905.38396</v>
      </c>
      <c r="AD1656" s="6">
        <f>$O$1656*$X$1656</f>
        <v>-772.84370000000001</v>
      </c>
      <c r="AE1656" s="6">
        <f>$K$1656*$Y$1656</f>
        <v>0</v>
      </c>
      <c r="AF1656" s="6">
        <f ca="1">$M$1656*$Z$1656</f>
        <v>-883.27009348016406</v>
      </c>
      <c r="AG1656" s="6">
        <f>$O$1656*$AA$1656</f>
        <v>-732.79500095573417</v>
      </c>
    </row>
    <row r="1657" spans="1:33" ht="11.25" customHeight="1" x14ac:dyDescent="0.25">
      <c r="A1657" s="4" t="s">
        <v>28</v>
      </c>
      <c r="B1657" s="4" t="s">
        <v>22</v>
      </c>
      <c r="C1657" s="4" t="s">
        <v>23</v>
      </c>
      <c r="D1657" s="4" t="s">
        <v>24</v>
      </c>
      <c r="E1657" s="4" t="s">
        <v>31</v>
      </c>
      <c r="F1657" s="4" t="s">
        <v>25</v>
      </c>
      <c r="G1657" s="4" t="s">
        <v>25</v>
      </c>
      <c r="H1657" s="4" t="s">
        <v>25</v>
      </c>
      <c r="I1657" s="5">
        <v>44531</v>
      </c>
      <c r="J1657" s="6">
        <v>0</v>
      </c>
      <c r="K1657" s="6">
        <v>0</v>
      </c>
      <c r="L1657" s="6">
        <v>24.507999999999999</v>
      </c>
      <c r="M1657" s="6">
        <v>24.507999999999999</v>
      </c>
      <c r="N1657" s="6">
        <v>24.507999999999999</v>
      </c>
      <c r="O1657" s="6">
        <v>24.507999999999999</v>
      </c>
      <c r="P1657" s="6">
        <v>132</v>
      </c>
      <c r="Q1657" s="4" t="s">
        <v>26</v>
      </c>
      <c r="R1657" s="4">
        <v>0</v>
      </c>
      <c r="S1657" s="6">
        <v>0</v>
      </c>
      <c r="T1657" s="6">
        <v>8</v>
      </c>
      <c r="U1657" s="6">
        <v>75</v>
      </c>
      <c r="V1657" s="6">
        <f>IF(ISERROR(VLOOKUP($S$1657,'TAR FIN'!$A$1:$O$104,15,0)),0,VLOOKUP($S$1657,'TAR FIN'!$A$1:$O$104,15,0))</f>
        <v>0</v>
      </c>
      <c r="W1657" s="6">
        <f>IF(ISERROR(VLOOKUP($T$1657,'TAR FIN'!$A$1:$O$104,15,0)),0,VLOOKUP($T$1657,'TAR FIN'!$A$1:$O$104,15,0))</f>
        <v>269.62</v>
      </c>
      <c r="X1657" s="6">
        <f>IF(ISERROR(VLOOKUP($U$1657,'TAR FIN'!$A$1:$O$104,15,0)),0,VLOOKUP($U$1657,'TAR FIN'!$A$1:$O$104,15,0))</f>
        <v>230.15</v>
      </c>
      <c r="Y1657" s="6"/>
      <c r="Z1657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57" s="6">
        <f>('TE BE'!$AB$16+'TE BF'!$AB$16+'TE CVA'!$AB$16)*(1-CUSTOS!$M$36)</f>
        <v>218.22364531141577</v>
      </c>
      <c r="AB1657" s="6">
        <f>$K$1657*$V$1657</f>
        <v>0</v>
      </c>
      <c r="AC1657" s="6">
        <f>$M$1657*$W$1657</f>
        <v>6607.8469599999999</v>
      </c>
      <c r="AD1657" s="6">
        <f>$O$1657*$X$1657</f>
        <v>5640.5162</v>
      </c>
      <c r="AE1657" s="6">
        <f>$K$1657*$Y$1657</f>
        <v>0</v>
      </c>
      <c r="AF1657" s="6">
        <f ca="1">$M$1657*$Z$1657</f>
        <v>6446.4512957152647</v>
      </c>
      <c r="AG1657" s="6">
        <f>$O$1657*$AA$1657</f>
        <v>5348.2250992921772</v>
      </c>
    </row>
    <row r="1658" spans="1:33" ht="11.25" customHeight="1" x14ac:dyDescent="0.25">
      <c r="A1658" s="4" t="s">
        <v>21</v>
      </c>
      <c r="B1658" s="4" t="s">
        <v>22</v>
      </c>
      <c r="C1658" s="4" t="s">
        <v>23</v>
      </c>
      <c r="D1658" s="4" t="s">
        <v>24</v>
      </c>
      <c r="E1658" s="4" t="s">
        <v>31</v>
      </c>
      <c r="F1658" s="4" t="s">
        <v>25</v>
      </c>
      <c r="G1658" s="4" t="s">
        <v>25</v>
      </c>
      <c r="H1658" s="4" t="s">
        <v>25</v>
      </c>
      <c r="I1658" s="5">
        <v>44562</v>
      </c>
      <c r="J1658" s="6">
        <v>0</v>
      </c>
      <c r="K1658" s="6">
        <v>0</v>
      </c>
      <c r="L1658" s="6">
        <v>12718.638000000001</v>
      </c>
      <c r="M1658" s="6">
        <v>12718.638000000001</v>
      </c>
      <c r="N1658" s="6">
        <v>12718.638000000001</v>
      </c>
      <c r="O1658" s="6">
        <v>12718.638000000001</v>
      </c>
      <c r="P1658" s="6">
        <v>179781</v>
      </c>
      <c r="Q1658" s="4" t="s">
        <v>26</v>
      </c>
      <c r="R1658" s="4">
        <v>0</v>
      </c>
      <c r="S1658" s="6">
        <v>0</v>
      </c>
      <c r="T1658" s="6">
        <v>8</v>
      </c>
      <c r="U1658" s="6">
        <v>75</v>
      </c>
      <c r="V1658" s="6">
        <f>IF(ISERROR(VLOOKUP($S$1658,'TAR FIN'!$A$1:$O$104,15,0)),0,VLOOKUP($S$1658,'TAR FIN'!$A$1:$O$104,15,0))</f>
        <v>0</v>
      </c>
      <c r="W1658" s="6">
        <f>IF(ISERROR(VLOOKUP($T$1658,'TAR FIN'!$A$1:$O$104,15,0)),0,VLOOKUP($T$1658,'TAR FIN'!$A$1:$O$104,15,0))</f>
        <v>269.62</v>
      </c>
      <c r="X1658" s="6">
        <f>IF(ISERROR(VLOOKUP($U$1658,'TAR FIN'!$A$1:$O$104,15,0)),0,VLOOKUP($U$1658,'TAR FIN'!$A$1:$O$104,15,0))</f>
        <v>230.15</v>
      </c>
      <c r="Y1658" s="6"/>
      <c r="Z1658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58" s="6">
        <f>('TE BE'!$AB$16+'TE BF'!$AB$16+'TE CVA'!$AB$16)*(1-CUSTOS!$M$36)</f>
        <v>218.22364531141577</v>
      </c>
      <c r="AB1658" s="6">
        <f>$K$1658*$V$1658</f>
        <v>0</v>
      </c>
      <c r="AC1658" s="6">
        <f>$M$1658*$W$1658</f>
        <v>3429199.1775600002</v>
      </c>
      <c r="AD1658" s="6">
        <f>$O$1658*$X$1658</f>
        <v>2927194.5357000004</v>
      </c>
      <c r="AE1658" s="6">
        <f>$K$1658*$Y$1658</f>
        <v>0</v>
      </c>
      <c r="AF1658" s="6">
        <f ca="1">$M$1658*$Z$1658</f>
        <v>3345441.5054200022</v>
      </c>
      <c r="AG1658" s="6">
        <f>$O$1658*$AA$1658</f>
        <v>2775507.5477562947</v>
      </c>
    </row>
    <row r="1659" spans="1:33" ht="11.25" customHeight="1" x14ac:dyDescent="0.25">
      <c r="A1659" s="4" t="s">
        <v>27</v>
      </c>
      <c r="B1659" s="4" t="s">
        <v>22</v>
      </c>
      <c r="C1659" s="4" t="s">
        <v>23</v>
      </c>
      <c r="D1659" s="4" t="s">
        <v>24</v>
      </c>
      <c r="E1659" s="4" t="s">
        <v>31</v>
      </c>
      <c r="F1659" s="4" t="s">
        <v>25</v>
      </c>
      <c r="G1659" s="4" t="s">
        <v>25</v>
      </c>
      <c r="H1659" s="4" t="s">
        <v>25</v>
      </c>
      <c r="I1659" s="5">
        <v>44562</v>
      </c>
      <c r="J1659" s="6">
        <v>0</v>
      </c>
      <c r="K1659" s="6">
        <v>0</v>
      </c>
      <c r="L1659" s="6">
        <v>-3.8540000000000001</v>
      </c>
      <c r="M1659" s="6">
        <v>-3.8540000000000001</v>
      </c>
      <c r="N1659" s="6">
        <v>-3.8540000000000001</v>
      </c>
      <c r="O1659" s="6">
        <v>-3.8540000000000001</v>
      </c>
      <c r="P1659" s="6">
        <v>-25</v>
      </c>
      <c r="Q1659" s="4" t="s">
        <v>26</v>
      </c>
      <c r="R1659" s="4">
        <v>0</v>
      </c>
      <c r="S1659" s="6">
        <v>0</v>
      </c>
      <c r="T1659" s="6">
        <v>8</v>
      </c>
      <c r="U1659" s="6">
        <v>75</v>
      </c>
      <c r="V1659" s="6">
        <f>IF(ISERROR(VLOOKUP($S$1659,'TAR FIN'!$A$1:$O$104,15,0)),0,VLOOKUP($S$1659,'TAR FIN'!$A$1:$O$104,15,0))</f>
        <v>0</v>
      </c>
      <c r="W1659" s="6">
        <f>IF(ISERROR(VLOOKUP($T$1659,'TAR FIN'!$A$1:$O$104,15,0)),0,VLOOKUP($T$1659,'TAR FIN'!$A$1:$O$104,15,0))</f>
        <v>269.62</v>
      </c>
      <c r="X1659" s="6">
        <f>IF(ISERROR(VLOOKUP($U$1659,'TAR FIN'!$A$1:$O$104,15,0)),0,VLOOKUP($U$1659,'TAR FIN'!$A$1:$O$104,15,0))</f>
        <v>230.15</v>
      </c>
      <c r="Y1659" s="6"/>
      <c r="Z1659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59" s="6">
        <f>('TE BE'!$AB$16+'TE BF'!$AB$16+'TE CVA'!$AB$16)*(1-CUSTOS!$M$36)</f>
        <v>218.22364531141577</v>
      </c>
      <c r="AB1659" s="6">
        <f>$K$1659*$V$1659</f>
        <v>0</v>
      </c>
      <c r="AC1659" s="6">
        <f>$M$1659*$W$1659</f>
        <v>-1039.1154799999999</v>
      </c>
      <c r="AD1659" s="6">
        <f>$O$1659*$X$1659</f>
        <v>-886.99810000000002</v>
      </c>
      <c r="AE1659" s="6">
        <f>$K$1659*$Y$1659</f>
        <v>0</v>
      </c>
      <c r="AF1659" s="6">
        <f ca="1">$M$1659*$Z$1659</f>
        <v>-1013.735241296174</v>
      </c>
      <c r="AG1659" s="6">
        <f>$O$1659*$AA$1659</f>
        <v>-841.03392903019642</v>
      </c>
    </row>
    <row r="1660" spans="1:33" ht="11.25" customHeight="1" x14ac:dyDescent="0.25">
      <c r="A1660" s="4" t="s">
        <v>28</v>
      </c>
      <c r="B1660" s="4" t="s">
        <v>22</v>
      </c>
      <c r="C1660" s="4" t="s">
        <v>23</v>
      </c>
      <c r="D1660" s="4" t="s">
        <v>24</v>
      </c>
      <c r="E1660" s="4" t="s">
        <v>31</v>
      </c>
      <c r="F1660" s="4" t="s">
        <v>25</v>
      </c>
      <c r="G1660" s="4" t="s">
        <v>25</v>
      </c>
      <c r="H1660" s="4" t="s">
        <v>25</v>
      </c>
      <c r="I1660" s="5">
        <v>44562</v>
      </c>
      <c r="J1660" s="6">
        <v>0</v>
      </c>
      <c r="K1660" s="6">
        <v>0</v>
      </c>
      <c r="L1660" s="6">
        <v>22.459</v>
      </c>
      <c r="M1660" s="6">
        <v>22.459</v>
      </c>
      <c r="N1660" s="6">
        <v>22.459</v>
      </c>
      <c r="O1660" s="6">
        <v>22.459</v>
      </c>
      <c r="P1660" s="6">
        <v>177</v>
      </c>
      <c r="Q1660" s="4" t="s">
        <v>26</v>
      </c>
      <c r="R1660" s="4">
        <v>0</v>
      </c>
      <c r="S1660" s="6">
        <v>0</v>
      </c>
      <c r="T1660" s="6">
        <v>8</v>
      </c>
      <c r="U1660" s="6">
        <v>75</v>
      </c>
      <c r="V1660" s="6">
        <f>IF(ISERROR(VLOOKUP($S$1660,'TAR FIN'!$A$1:$O$104,15,0)),0,VLOOKUP($S$1660,'TAR FIN'!$A$1:$O$104,15,0))</f>
        <v>0</v>
      </c>
      <c r="W1660" s="6">
        <f>IF(ISERROR(VLOOKUP($T$1660,'TAR FIN'!$A$1:$O$104,15,0)),0,VLOOKUP($T$1660,'TAR FIN'!$A$1:$O$104,15,0))</f>
        <v>269.62</v>
      </c>
      <c r="X1660" s="6">
        <f>IF(ISERROR(VLOOKUP($U$1660,'TAR FIN'!$A$1:$O$104,15,0)),0,VLOOKUP($U$1660,'TAR FIN'!$A$1:$O$104,15,0))</f>
        <v>230.15</v>
      </c>
      <c r="Y1660" s="6"/>
      <c r="Z1660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60" s="6">
        <f>('TE BE'!$AB$16+'TE BF'!$AB$16+'TE CVA'!$AB$16)*(1-CUSTOS!$M$36)</f>
        <v>218.22364531141577</v>
      </c>
      <c r="AB1660" s="6">
        <f>$K$1660*$V$1660</f>
        <v>0</v>
      </c>
      <c r="AC1660" s="6">
        <f>$M$1660*$W$1660</f>
        <v>6055.3955800000003</v>
      </c>
      <c r="AD1660" s="6">
        <f>$O$1660*$X$1660</f>
        <v>5168.9388500000005</v>
      </c>
      <c r="AE1660" s="6">
        <f>$K$1660*$Y$1660</f>
        <v>0</v>
      </c>
      <c r="AF1660" s="6">
        <f ca="1">$M$1660*$Z$1660</f>
        <v>5907.4934572575949</v>
      </c>
      <c r="AG1660" s="6">
        <f>$O$1660*$AA$1660</f>
        <v>4901.0848500490865</v>
      </c>
    </row>
    <row r="1661" spans="1:33" ht="11.25" customHeight="1" x14ac:dyDescent="0.25">
      <c r="A1661" s="4" t="s">
        <v>28</v>
      </c>
      <c r="B1661" s="4" t="s">
        <v>22</v>
      </c>
      <c r="C1661" s="4" t="s">
        <v>23</v>
      </c>
      <c r="D1661" s="4" t="s">
        <v>24</v>
      </c>
      <c r="E1661" s="4" t="s">
        <v>31</v>
      </c>
      <c r="F1661" s="4" t="s">
        <v>25</v>
      </c>
      <c r="G1661" s="4" t="s">
        <v>25</v>
      </c>
      <c r="H1661" s="4" t="s">
        <v>25</v>
      </c>
      <c r="I1661" s="5">
        <v>44562</v>
      </c>
      <c r="J1661" s="6">
        <v>0</v>
      </c>
      <c r="K1661" s="6">
        <v>0</v>
      </c>
      <c r="L1661" s="6">
        <v>-0.12</v>
      </c>
      <c r="M1661" s="6">
        <v>-0.12</v>
      </c>
      <c r="N1661" s="6">
        <v>-0.12</v>
      </c>
      <c r="O1661" s="6">
        <v>-0.12</v>
      </c>
      <c r="P1661" s="6">
        <v>0</v>
      </c>
      <c r="Q1661" s="4" t="s">
        <v>26</v>
      </c>
      <c r="R1661" s="4">
        <v>0</v>
      </c>
      <c r="S1661" s="6">
        <v>0</v>
      </c>
      <c r="T1661" s="6">
        <v>8</v>
      </c>
      <c r="U1661" s="6">
        <v>75</v>
      </c>
      <c r="V1661" s="6">
        <f>IF(ISERROR(VLOOKUP($S$1661,'TAR FIN'!$A$1:$O$104,15,0)),0,VLOOKUP($S$1661,'TAR FIN'!$A$1:$O$104,15,0))</f>
        <v>0</v>
      </c>
      <c r="W1661" s="6">
        <f>IF(ISERROR(VLOOKUP($T$1661,'TAR FIN'!$A$1:$O$104,15,0)),0,VLOOKUP($T$1661,'TAR FIN'!$A$1:$O$104,15,0))</f>
        <v>269.62</v>
      </c>
      <c r="X1661" s="6">
        <f>IF(ISERROR(VLOOKUP($U$1661,'TAR FIN'!$A$1:$O$104,15,0)),0,VLOOKUP($U$1661,'TAR FIN'!$A$1:$O$104,15,0))</f>
        <v>230.15</v>
      </c>
      <c r="Y1661" s="6"/>
      <c r="Z1661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61" s="6">
        <f>('TE BE'!$AB$16+'TE BF'!$AB$16+'TE CVA'!$AB$16)*(1-CUSTOS!$M$36)</f>
        <v>218.22364531141577</v>
      </c>
      <c r="AB1661" s="6">
        <f>$K$1661*$V$1661</f>
        <v>0</v>
      </c>
      <c r="AC1661" s="6">
        <f>$M$1661*$W$1661</f>
        <v>-32.354399999999998</v>
      </c>
      <c r="AD1661" s="6">
        <f>$O$1661*$X$1661</f>
        <v>-27.617999999999999</v>
      </c>
      <c r="AE1661" s="6">
        <f>$K$1661*$Y$1661</f>
        <v>0</v>
      </c>
      <c r="AF1661" s="6">
        <f ca="1">$M$1661*$Z$1661</f>
        <v>-31.564148665163692</v>
      </c>
      <c r="AG1661" s="6">
        <f>$O$1661*$AA$1661</f>
        <v>-26.186837437369892</v>
      </c>
    </row>
    <row r="1662" spans="1:33" ht="11.25" customHeight="1" x14ac:dyDescent="0.25">
      <c r="A1662" s="4" t="s">
        <v>21</v>
      </c>
      <c r="B1662" s="4" t="s">
        <v>22</v>
      </c>
      <c r="C1662" s="4" t="s">
        <v>23</v>
      </c>
      <c r="D1662" s="4" t="s">
        <v>24</v>
      </c>
      <c r="E1662" s="4" t="s">
        <v>31</v>
      </c>
      <c r="F1662" s="4" t="s">
        <v>25</v>
      </c>
      <c r="G1662" s="4" t="s">
        <v>25</v>
      </c>
      <c r="H1662" s="4" t="s">
        <v>25</v>
      </c>
      <c r="I1662" s="5">
        <v>44593</v>
      </c>
      <c r="J1662" s="6">
        <v>0</v>
      </c>
      <c r="K1662" s="6">
        <v>0</v>
      </c>
      <c r="L1662" s="6">
        <v>11096.271000000001</v>
      </c>
      <c r="M1662" s="6">
        <v>11096.271000000001</v>
      </c>
      <c r="N1662" s="6">
        <v>11096.271000000001</v>
      </c>
      <c r="O1662" s="6">
        <v>11096.271000000001</v>
      </c>
      <c r="P1662" s="6">
        <v>170419</v>
      </c>
      <c r="Q1662" s="4" t="s">
        <v>26</v>
      </c>
      <c r="R1662" s="4">
        <v>0</v>
      </c>
      <c r="S1662" s="6">
        <v>0</v>
      </c>
      <c r="T1662" s="6">
        <v>8</v>
      </c>
      <c r="U1662" s="6">
        <v>75</v>
      </c>
      <c r="V1662" s="6">
        <f>IF(ISERROR(VLOOKUP($S$1662,'TAR FIN'!$A$1:$O$104,15,0)),0,VLOOKUP($S$1662,'TAR FIN'!$A$1:$O$104,15,0))</f>
        <v>0</v>
      </c>
      <c r="W1662" s="6">
        <f>IF(ISERROR(VLOOKUP($T$1662,'TAR FIN'!$A$1:$O$104,15,0)),0,VLOOKUP($T$1662,'TAR FIN'!$A$1:$O$104,15,0))</f>
        <v>269.62</v>
      </c>
      <c r="X1662" s="6">
        <f>IF(ISERROR(VLOOKUP($U$1662,'TAR FIN'!$A$1:$O$104,15,0)),0,VLOOKUP($U$1662,'TAR FIN'!$A$1:$O$104,15,0))</f>
        <v>230.15</v>
      </c>
      <c r="Y1662" s="6"/>
      <c r="Z1662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62" s="6">
        <f>('TE BE'!$AB$16+'TE BF'!$AB$16+'TE CVA'!$AB$16)*(1-CUSTOS!$M$36)</f>
        <v>218.22364531141577</v>
      </c>
      <c r="AB1662" s="6">
        <f>$K$1662*$V$1662</f>
        <v>0</v>
      </c>
      <c r="AC1662" s="6">
        <f>$M$1662*$W$1662</f>
        <v>2991776.5870200004</v>
      </c>
      <c r="AD1662" s="6">
        <f>$O$1662*$X$1662</f>
        <v>2553806.7706500003</v>
      </c>
      <c r="AE1662" s="6">
        <f>$K$1662*$Y$1662</f>
        <v>0</v>
      </c>
      <c r="AF1662" s="6">
        <f ca="1">$M$1662*$Z$1662</f>
        <v>2918702.8956078719</v>
      </c>
      <c r="AG1662" s="6">
        <f>$O$1662*$AA$1662</f>
        <v>2421468.7069833488</v>
      </c>
    </row>
    <row r="1663" spans="1:33" ht="11.25" customHeight="1" x14ac:dyDescent="0.25">
      <c r="A1663" s="4" t="s">
        <v>27</v>
      </c>
      <c r="B1663" s="4" t="s">
        <v>22</v>
      </c>
      <c r="C1663" s="4" t="s">
        <v>23</v>
      </c>
      <c r="D1663" s="4" t="s">
        <v>24</v>
      </c>
      <c r="E1663" s="4" t="s">
        <v>31</v>
      </c>
      <c r="F1663" s="4" t="s">
        <v>25</v>
      </c>
      <c r="G1663" s="4" t="s">
        <v>25</v>
      </c>
      <c r="H1663" s="4" t="s">
        <v>25</v>
      </c>
      <c r="I1663" s="5">
        <v>44593</v>
      </c>
      <c r="J1663" s="6">
        <v>0</v>
      </c>
      <c r="K1663" s="6">
        <v>0</v>
      </c>
      <c r="L1663" s="6">
        <v>-5.6360000000000001</v>
      </c>
      <c r="M1663" s="6">
        <v>-5.6360000000000001</v>
      </c>
      <c r="N1663" s="6">
        <v>-5.6360000000000001</v>
      </c>
      <c r="O1663" s="6">
        <v>-5.6360000000000001</v>
      </c>
      <c r="P1663" s="6">
        <v>-38</v>
      </c>
      <c r="Q1663" s="4" t="s">
        <v>26</v>
      </c>
      <c r="R1663" s="4">
        <v>0</v>
      </c>
      <c r="S1663" s="6">
        <v>0</v>
      </c>
      <c r="T1663" s="6">
        <v>8</v>
      </c>
      <c r="U1663" s="6">
        <v>75</v>
      </c>
      <c r="V1663" s="6">
        <f>IF(ISERROR(VLOOKUP($S$1663,'TAR FIN'!$A$1:$O$104,15,0)),0,VLOOKUP($S$1663,'TAR FIN'!$A$1:$O$104,15,0))</f>
        <v>0</v>
      </c>
      <c r="W1663" s="6">
        <f>IF(ISERROR(VLOOKUP($T$1663,'TAR FIN'!$A$1:$O$104,15,0)),0,VLOOKUP($T$1663,'TAR FIN'!$A$1:$O$104,15,0))</f>
        <v>269.62</v>
      </c>
      <c r="X1663" s="6">
        <f>IF(ISERROR(VLOOKUP($U$1663,'TAR FIN'!$A$1:$O$104,15,0)),0,VLOOKUP($U$1663,'TAR FIN'!$A$1:$O$104,15,0))</f>
        <v>230.15</v>
      </c>
      <c r="Y1663" s="6"/>
      <c r="Z1663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63" s="6">
        <f>('TE BE'!$AB$16+'TE BF'!$AB$16+'TE CVA'!$AB$16)*(1-CUSTOS!$M$36)</f>
        <v>218.22364531141577</v>
      </c>
      <c r="AB1663" s="6">
        <f>$K$1663*$V$1663</f>
        <v>0</v>
      </c>
      <c r="AC1663" s="6">
        <f>$M$1663*$W$1663</f>
        <v>-1519.5783200000001</v>
      </c>
      <c r="AD1663" s="6">
        <f>$O$1663*$X$1663</f>
        <v>-1297.1254000000001</v>
      </c>
      <c r="AE1663" s="6">
        <f>$K$1663*$Y$1663</f>
        <v>0</v>
      </c>
      <c r="AF1663" s="6">
        <f ca="1">$M$1663*$Z$1663</f>
        <v>-1482.4628489738548</v>
      </c>
      <c r="AG1663" s="6">
        <f>$O$1663*$AA$1663</f>
        <v>-1229.9084649751392</v>
      </c>
    </row>
    <row r="1664" spans="1:33" ht="11.25" customHeight="1" x14ac:dyDescent="0.25">
      <c r="A1664" s="4" t="s">
        <v>28</v>
      </c>
      <c r="B1664" s="4" t="s">
        <v>22</v>
      </c>
      <c r="C1664" s="4" t="s">
        <v>23</v>
      </c>
      <c r="D1664" s="4" t="s">
        <v>24</v>
      </c>
      <c r="E1664" s="4" t="s">
        <v>31</v>
      </c>
      <c r="F1664" s="4" t="s">
        <v>25</v>
      </c>
      <c r="G1664" s="4" t="s">
        <v>25</v>
      </c>
      <c r="H1664" s="4" t="s">
        <v>25</v>
      </c>
      <c r="I1664" s="5">
        <v>44593</v>
      </c>
      <c r="J1664" s="6">
        <v>0</v>
      </c>
      <c r="K1664" s="6">
        <v>0</v>
      </c>
      <c r="L1664" s="6">
        <v>22.652000000000001</v>
      </c>
      <c r="M1664" s="6">
        <v>22.652000000000001</v>
      </c>
      <c r="N1664" s="6">
        <v>22.652000000000001</v>
      </c>
      <c r="O1664" s="6">
        <v>22.652000000000001</v>
      </c>
      <c r="P1664" s="6">
        <v>212</v>
      </c>
      <c r="Q1664" s="4" t="s">
        <v>26</v>
      </c>
      <c r="R1664" s="4">
        <v>0</v>
      </c>
      <c r="S1664" s="6">
        <v>0</v>
      </c>
      <c r="T1664" s="6">
        <v>8</v>
      </c>
      <c r="U1664" s="6">
        <v>75</v>
      </c>
      <c r="V1664" s="6">
        <f>IF(ISERROR(VLOOKUP($S$1664,'TAR FIN'!$A$1:$O$104,15,0)),0,VLOOKUP($S$1664,'TAR FIN'!$A$1:$O$104,15,0))</f>
        <v>0</v>
      </c>
      <c r="W1664" s="6">
        <f>IF(ISERROR(VLOOKUP($T$1664,'TAR FIN'!$A$1:$O$104,15,0)),0,VLOOKUP($T$1664,'TAR FIN'!$A$1:$O$104,15,0))</f>
        <v>269.62</v>
      </c>
      <c r="X1664" s="6">
        <f>IF(ISERROR(VLOOKUP($U$1664,'TAR FIN'!$A$1:$O$104,15,0)),0,VLOOKUP($U$1664,'TAR FIN'!$A$1:$O$104,15,0))</f>
        <v>230.15</v>
      </c>
      <c r="Y1664" s="6"/>
      <c r="Z1664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64" s="6">
        <f>('TE BE'!$AB$16+'TE BF'!$AB$16+'TE CVA'!$AB$16)*(1-CUSTOS!$M$36)</f>
        <v>218.22364531141577</v>
      </c>
      <c r="AB1664" s="6">
        <f>$K$1664*$V$1664</f>
        <v>0</v>
      </c>
      <c r="AC1664" s="6">
        <f>$M$1664*$W$1664</f>
        <v>6107.4322400000001</v>
      </c>
      <c r="AD1664" s="6">
        <f>$O$1664*$X$1664</f>
        <v>5213.3578000000007</v>
      </c>
      <c r="AE1664" s="6">
        <f>$K$1664*$Y$1664</f>
        <v>0</v>
      </c>
      <c r="AF1664" s="6">
        <f ca="1">$M$1664*$Z$1664</f>
        <v>5958.2591296940664</v>
      </c>
      <c r="AG1664" s="6">
        <f>$O$1664*$AA$1664</f>
        <v>4943.2020135941902</v>
      </c>
    </row>
    <row r="1665" spans="1:33" ht="11.25" customHeight="1" x14ac:dyDescent="0.25">
      <c r="A1665" s="4" t="s">
        <v>21</v>
      </c>
      <c r="B1665" s="4" t="s">
        <v>22</v>
      </c>
      <c r="C1665" s="4" t="s">
        <v>23</v>
      </c>
      <c r="D1665" s="4" t="s">
        <v>24</v>
      </c>
      <c r="E1665" s="4" t="s">
        <v>31</v>
      </c>
      <c r="F1665" s="4" t="s">
        <v>25</v>
      </c>
      <c r="G1665" s="4" t="s">
        <v>25</v>
      </c>
      <c r="H1665" s="4" t="s">
        <v>25</v>
      </c>
      <c r="I1665" s="5">
        <v>44621</v>
      </c>
      <c r="J1665" s="6">
        <v>0</v>
      </c>
      <c r="K1665" s="6">
        <v>0</v>
      </c>
      <c r="L1665" s="6">
        <v>14632.08</v>
      </c>
      <c r="M1665" s="6">
        <v>14632.08</v>
      </c>
      <c r="N1665" s="6">
        <v>14632.08</v>
      </c>
      <c r="O1665" s="6">
        <v>14632.08</v>
      </c>
      <c r="P1665" s="6">
        <v>195747</v>
      </c>
      <c r="Q1665" s="4" t="s">
        <v>26</v>
      </c>
      <c r="R1665" s="4">
        <v>0</v>
      </c>
      <c r="S1665" s="6">
        <v>0</v>
      </c>
      <c r="T1665" s="6">
        <v>8</v>
      </c>
      <c r="U1665" s="6">
        <v>75</v>
      </c>
      <c r="V1665" s="6">
        <f>IF(ISERROR(VLOOKUP($S$1665,'TAR FIN'!$A$1:$O$104,15,0)),0,VLOOKUP($S$1665,'TAR FIN'!$A$1:$O$104,15,0))</f>
        <v>0</v>
      </c>
      <c r="W1665" s="6">
        <f>IF(ISERROR(VLOOKUP($T$1665,'TAR FIN'!$A$1:$O$104,15,0)),0,VLOOKUP($T$1665,'TAR FIN'!$A$1:$O$104,15,0))</f>
        <v>269.62</v>
      </c>
      <c r="X1665" s="6">
        <f>IF(ISERROR(VLOOKUP($U$1665,'TAR FIN'!$A$1:$O$104,15,0)),0,VLOOKUP($U$1665,'TAR FIN'!$A$1:$O$104,15,0))</f>
        <v>230.15</v>
      </c>
      <c r="Y1665" s="6"/>
      <c r="Z1665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65" s="6">
        <f>('TE BE'!$AB$16+'TE BF'!$AB$16+'TE CVA'!$AB$16)*(1-CUSTOS!$M$36)</f>
        <v>218.22364531141577</v>
      </c>
      <c r="AB1665" s="6">
        <f>$K$1665*$V$1665</f>
        <v>0</v>
      </c>
      <c r="AC1665" s="6">
        <f>$M$1665*$W$1665</f>
        <v>3945101.4095999999</v>
      </c>
      <c r="AD1665" s="6">
        <f>$O$1665*$X$1665</f>
        <v>3367573.2120000003</v>
      </c>
      <c r="AE1665" s="6">
        <f>$K$1665*$Y$1665</f>
        <v>0</v>
      </c>
      <c r="AF1665" s="6">
        <f ca="1">$M$1665*$Z$1665</f>
        <v>3848742.9033380696</v>
      </c>
      <c r="AG1665" s="6">
        <f>$O$1665*$AA$1665</f>
        <v>3193065.8360882602</v>
      </c>
    </row>
    <row r="1666" spans="1:33" ht="11.25" customHeight="1" x14ac:dyDescent="0.25">
      <c r="A1666" s="4" t="s">
        <v>27</v>
      </c>
      <c r="B1666" s="4" t="s">
        <v>22</v>
      </c>
      <c r="C1666" s="4" t="s">
        <v>23</v>
      </c>
      <c r="D1666" s="4" t="s">
        <v>24</v>
      </c>
      <c r="E1666" s="4" t="s">
        <v>31</v>
      </c>
      <c r="F1666" s="4" t="s">
        <v>25</v>
      </c>
      <c r="G1666" s="4" t="s">
        <v>25</v>
      </c>
      <c r="H1666" s="4" t="s">
        <v>25</v>
      </c>
      <c r="I1666" s="5">
        <v>44621</v>
      </c>
      <c r="J1666" s="6">
        <v>0</v>
      </c>
      <c r="K1666" s="6">
        <v>0</v>
      </c>
      <c r="L1666" s="6">
        <v>-3.121</v>
      </c>
      <c r="M1666" s="6">
        <v>-3.121</v>
      </c>
      <c r="N1666" s="6">
        <v>-3.121</v>
      </c>
      <c r="O1666" s="6">
        <v>-3.121</v>
      </c>
      <c r="P1666" s="6">
        <v>-20</v>
      </c>
      <c r="Q1666" s="4" t="s">
        <v>26</v>
      </c>
      <c r="R1666" s="4">
        <v>0</v>
      </c>
      <c r="S1666" s="6">
        <v>0</v>
      </c>
      <c r="T1666" s="6">
        <v>8</v>
      </c>
      <c r="U1666" s="6">
        <v>75</v>
      </c>
      <c r="V1666" s="6">
        <f>IF(ISERROR(VLOOKUP($S$1666,'TAR FIN'!$A$1:$O$104,15,0)),0,VLOOKUP($S$1666,'TAR FIN'!$A$1:$O$104,15,0))</f>
        <v>0</v>
      </c>
      <c r="W1666" s="6">
        <f>IF(ISERROR(VLOOKUP($T$1666,'TAR FIN'!$A$1:$O$104,15,0)),0,VLOOKUP($T$1666,'TAR FIN'!$A$1:$O$104,15,0))</f>
        <v>269.62</v>
      </c>
      <c r="X1666" s="6">
        <f>IF(ISERROR(VLOOKUP($U$1666,'TAR FIN'!$A$1:$O$104,15,0)),0,VLOOKUP($U$1666,'TAR FIN'!$A$1:$O$104,15,0))</f>
        <v>230.15</v>
      </c>
      <c r="Y1666" s="6"/>
      <c r="Z1666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66" s="6">
        <f>('TE BE'!$AB$16+'TE BF'!$AB$16+'TE CVA'!$AB$16)*(1-CUSTOS!$M$36)</f>
        <v>218.22364531141577</v>
      </c>
      <c r="AB1666" s="6">
        <f>$K$1666*$V$1666</f>
        <v>0</v>
      </c>
      <c r="AC1666" s="6">
        <f>$M$1666*$W$1666</f>
        <v>-841.48401999999999</v>
      </c>
      <c r="AD1666" s="6">
        <f>$O$1666*$X$1666</f>
        <v>-718.29814999999996</v>
      </c>
      <c r="AE1666" s="6">
        <f>$K$1666*$Y$1666</f>
        <v>0</v>
      </c>
      <c r="AF1666" s="6">
        <f ca="1">$M$1666*$Z$1666</f>
        <v>-820.93089986646567</v>
      </c>
      <c r="AG1666" s="6">
        <f>$O$1666*$AA$1666</f>
        <v>-681.07599701692857</v>
      </c>
    </row>
    <row r="1667" spans="1:33" ht="11.25" customHeight="1" x14ac:dyDescent="0.25">
      <c r="A1667" s="4" t="s">
        <v>28</v>
      </c>
      <c r="B1667" s="4" t="s">
        <v>22</v>
      </c>
      <c r="C1667" s="4" t="s">
        <v>23</v>
      </c>
      <c r="D1667" s="4" t="s">
        <v>24</v>
      </c>
      <c r="E1667" s="4" t="s">
        <v>31</v>
      </c>
      <c r="F1667" s="4" t="s">
        <v>25</v>
      </c>
      <c r="G1667" s="4" t="s">
        <v>25</v>
      </c>
      <c r="H1667" s="4" t="s">
        <v>25</v>
      </c>
      <c r="I1667" s="5">
        <v>44621</v>
      </c>
      <c r="J1667" s="6">
        <v>0</v>
      </c>
      <c r="K1667" s="6">
        <v>0</v>
      </c>
      <c r="L1667" s="6">
        <v>22.757999999999999</v>
      </c>
      <c r="M1667" s="6">
        <v>22.757999999999999</v>
      </c>
      <c r="N1667" s="6">
        <v>22.757999999999999</v>
      </c>
      <c r="O1667" s="6">
        <v>22.757999999999999</v>
      </c>
      <c r="P1667" s="6">
        <v>203</v>
      </c>
      <c r="Q1667" s="4" t="s">
        <v>26</v>
      </c>
      <c r="R1667" s="4">
        <v>0</v>
      </c>
      <c r="S1667" s="6">
        <v>0</v>
      </c>
      <c r="T1667" s="6">
        <v>8</v>
      </c>
      <c r="U1667" s="6">
        <v>75</v>
      </c>
      <c r="V1667" s="6">
        <f>IF(ISERROR(VLOOKUP($S$1667,'TAR FIN'!$A$1:$O$104,15,0)),0,VLOOKUP($S$1667,'TAR FIN'!$A$1:$O$104,15,0))</f>
        <v>0</v>
      </c>
      <c r="W1667" s="6">
        <f>IF(ISERROR(VLOOKUP($T$1667,'TAR FIN'!$A$1:$O$104,15,0)),0,VLOOKUP($T$1667,'TAR FIN'!$A$1:$O$104,15,0))</f>
        <v>269.62</v>
      </c>
      <c r="X1667" s="6">
        <f>IF(ISERROR(VLOOKUP($U$1667,'TAR FIN'!$A$1:$O$104,15,0)),0,VLOOKUP($U$1667,'TAR FIN'!$A$1:$O$104,15,0))</f>
        <v>230.15</v>
      </c>
      <c r="Y1667" s="6"/>
      <c r="Z1667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67" s="6">
        <f>('TE BE'!$AB$16+'TE BF'!$AB$16+'TE CVA'!$AB$16)*(1-CUSTOS!$M$36)</f>
        <v>218.22364531141577</v>
      </c>
      <c r="AB1667" s="6">
        <f>$K$1667*$V$1667</f>
        <v>0</v>
      </c>
      <c r="AC1667" s="6">
        <f>$M$1667*$W$1667</f>
        <v>6136.0119599999998</v>
      </c>
      <c r="AD1667" s="6">
        <f>$O$1667*$X$1667</f>
        <v>5237.7537000000002</v>
      </c>
      <c r="AE1667" s="6">
        <f>$K$1667*$Y$1667</f>
        <v>0</v>
      </c>
      <c r="AF1667" s="6">
        <f ca="1">$M$1667*$Z$1667</f>
        <v>5986.1407943482945</v>
      </c>
      <c r="AG1667" s="6">
        <f>$O$1667*$AA$1667</f>
        <v>4966.3337199972002</v>
      </c>
    </row>
    <row r="1668" spans="1:33" ht="11.25" customHeight="1" x14ac:dyDescent="0.25">
      <c r="A1668" s="4" t="s">
        <v>21</v>
      </c>
      <c r="B1668" s="4" t="s">
        <v>22</v>
      </c>
      <c r="C1668" s="4" t="s">
        <v>23</v>
      </c>
      <c r="D1668" s="4" t="s">
        <v>24</v>
      </c>
      <c r="E1668" s="4" t="s">
        <v>31</v>
      </c>
      <c r="F1668" s="4" t="s">
        <v>25</v>
      </c>
      <c r="G1668" s="4" t="s">
        <v>25</v>
      </c>
      <c r="H1668" s="4" t="s">
        <v>25</v>
      </c>
      <c r="I1668" s="5">
        <v>44652</v>
      </c>
      <c r="J1668" s="6">
        <v>0</v>
      </c>
      <c r="K1668" s="6">
        <v>0</v>
      </c>
      <c r="L1668" s="6">
        <v>12747.907999999999</v>
      </c>
      <c r="M1668" s="6">
        <v>12747.907999999999</v>
      </c>
      <c r="N1668" s="6">
        <v>12747.907999999999</v>
      </c>
      <c r="O1668" s="6">
        <v>12747.907999999999</v>
      </c>
      <c r="P1668" s="6">
        <v>185685</v>
      </c>
      <c r="Q1668" s="4" t="s">
        <v>26</v>
      </c>
      <c r="R1668" s="4">
        <v>0</v>
      </c>
      <c r="S1668" s="6">
        <v>0</v>
      </c>
      <c r="T1668" s="6">
        <v>8</v>
      </c>
      <c r="U1668" s="6">
        <v>75</v>
      </c>
      <c r="V1668" s="6">
        <f>IF(ISERROR(VLOOKUP($S$1668,'TAR FIN'!$A$1:$O$104,15,0)),0,VLOOKUP($S$1668,'TAR FIN'!$A$1:$O$104,15,0))</f>
        <v>0</v>
      </c>
      <c r="W1668" s="6">
        <f>IF(ISERROR(VLOOKUP($T$1668,'TAR FIN'!$A$1:$O$104,15,0)),0,VLOOKUP($T$1668,'TAR FIN'!$A$1:$O$104,15,0))</f>
        <v>269.62</v>
      </c>
      <c r="X1668" s="6">
        <f>IF(ISERROR(VLOOKUP($U$1668,'TAR FIN'!$A$1:$O$104,15,0)),0,VLOOKUP($U$1668,'TAR FIN'!$A$1:$O$104,15,0))</f>
        <v>230.15</v>
      </c>
      <c r="Y1668" s="6"/>
      <c r="Z1668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68" s="6">
        <f>('TE BE'!$AB$16+'TE BF'!$AB$16+'TE CVA'!$AB$16)*(1-CUSTOS!$M$36)</f>
        <v>218.22364531141577</v>
      </c>
      <c r="AB1668" s="6">
        <f>$K$1668*$V$1668</f>
        <v>0</v>
      </c>
      <c r="AC1668" s="6">
        <f>$M$1668*$W$1668</f>
        <v>3437090.9549599998</v>
      </c>
      <c r="AD1668" s="6">
        <f>$O$1668*$X$1668</f>
        <v>2933931.0261999997</v>
      </c>
      <c r="AE1668" s="6">
        <f>$K$1668*$Y$1668</f>
        <v>0</v>
      </c>
      <c r="AF1668" s="6">
        <f ca="1">$M$1668*$Z$1668</f>
        <v>3353140.5273485794</v>
      </c>
      <c r="AG1668" s="6">
        <f>$O$1668*$AA$1668</f>
        <v>2781894.9538545595</v>
      </c>
    </row>
    <row r="1669" spans="1:33" ht="11.25" customHeight="1" x14ac:dyDescent="0.25">
      <c r="A1669" s="4" t="s">
        <v>27</v>
      </c>
      <c r="B1669" s="4" t="s">
        <v>22</v>
      </c>
      <c r="C1669" s="4" t="s">
        <v>23</v>
      </c>
      <c r="D1669" s="4" t="s">
        <v>24</v>
      </c>
      <c r="E1669" s="4" t="s">
        <v>31</v>
      </c>
      <c r="F1669" s="4" t="s">
        <v>25</v>
      </c>
      <c r="G1669" s="4" t="s">
        <v>25</v>
      </c>
      <c r="H1669" s="4" t="s">
        <v>25</v>
      </c>
      <c r="I1669" s="5">
        <v>44652</v>
      </c>
      <c r="J1669" s="6">
        <v>0</v>
      </c>
      <c r="K1669" s="6">
        <v>0</v>
      </c>
      <c r="L1669" s="6">
        <v>-3.931</v>
      </c>
      <c r="M1669" s="6">
        <v>-3.931</v>
      </c>
      <c r="N1669" s="6">
        <v>-3.931</v>
      </c>
      <c r="O1669" s="6">
        <v>-3.931</v>
      </c>
      <c r="P1669" s="6">
        <v>-32</v>
      </c>
      <c r="Q1669" s="4" t="s">
        <v>26</v>
      </c>
      <c r="R1669" s="4">
        <v>0</v>
      </c>
      <c r="S1669" s="6">
        <v>0</v>
      </c>
      <c r="T1669" s="6">
        <v>8</v>
      </c>
      <c r="U1669" s="6">
        <v>75</v>
      </c>
      <c r="V1669" s="6">
        <f>IF(ISERROR(VLOOKUP($S$1669,'TAR FIN'!$A$1:$O$104,15,0)),0,VLOOKUP($S$1669,'TAR FIN'!$A$1:$O$104,15,0))</f>
        <v>0</v>
      </c>
      <c r="W1669" s="6">
        <f>IF(ISERROR(VLOOKUP($T$1669,'TAR FIN'!$A$1:$O$104,15,0)),0,VLOOKUP($T$1669,'TAR FIN'!$A$1:$O$104,15,0))</f>
        <v>269.62</v>
      </c>
      <c r="X1669" s="6">
        <f>IF(ISERROR(VLOOKUP($U$1669,'TAR FIN'!$A$1:$O$104,15,0)),0,VLOOKUP($U$1669,'TAR FIN'!$A$1:$O$104,15,0))</f>
        <v>230.15</v>
      </c>
      <c r="Y1669" s="6"/>
      <c r="Z1669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69" s="6">
        <f>('TE BE'!$AB$16+'TE BF'!$AB$16+'TE CVA'!$AB$16)*(1-CUSTOS!$M$36)</f>
        <v>218.22364531141577</v>
      </c>
      <c r="AB1669" s="6">
        <f>$K$1669*$V$1669</f>
        <v>0</v>
      </c>
      <c r="AC1669" s="6">
        <f>$M$1669*$W$1669</f>
        <v>-1059.8762200000001</v>
      </c>
      <c r="AD1669" s="6">
        <f>$O$1669*$X$1669</f>
        <v>-904.71965</v>
      </c>
      <c r="AE1669" s="6">
        <f>$K$1669*$Y$1669</f>
        <v>0</v>
      </c>
      <c r="AF1669" s="6">
        <f ca="1">$M$1669*$Z$1669</f>
        <v>-1033.9889033563206</v>
      </c>
      <c r="AG1669" s="6">
        <f>$O$1669*$AA$1669</f>
        <v>-857.83714971917539</v>
      </c>
    </row>
    <row r="1670" spans="1:33" ht="11.25" customHeight="1" x14ac:dyDescent="0.25">
      <c r="A1670" s="4" t="s">
        <v>28</v>
      </c>
      <c r="B1670" s="4" t="s">
        <v>22</v>
      </c>
      <c r="C1670" s="4" t="s">
        <v>23</v>
      </c>
      <c r="D1670" s="4" t="s">
        <v>24</v>
      </c>
      <c r="E1670" s="4" t="s">
        <v>31</v>
      </c>
      <c r="F1670" s="4" t="s">
        <v>25</v>
      </c>
      <c r="G1670" s="4" t="s">
        <v>25</v>
      </c>
      <c r="H1670" s="4" t="s">
        <v>25</v>
      </c>
      <c r="I1670" s="5">
        <v>44652</v>
      </c>
      <c r="J1670" s="6">
        <v>0</v>
      </c>
      <c r="K1670" s="6">
        <v>0</v>
      </c>
      <c r="L1670" s="6">
        <v>22.352</v>
      </c>
      <c r="M1670" s="6">
        <v>22.352</v>
      </c>
      <c r="N1670" s="6">
        <v>22.352</v>
      </c>
      <c r="O1670" s="6">
        <v>22.352</v>
      </c>
      <c r="P1670" s="6">
        <v>237</v>
      </c>
      <c r="Q1670" s="4" t="s">
        <v>26</v>
      </c>
      <c r="R1670" s="4">
        <v>0</v>
      </c>
      <c r="S1670" s="6">
        <v>0</v>
      </c>
      <c r="T1670" s="6">
        <v>8</v>
      </c>
      <c r="U1670" s="6">
        <v>75</v>
      </c>
      <c r="V1670" s="6">
        <f>IF(ISERROR(VLOOKUP($S$1670,'TAR FIN'!$A$1:$O$104,15,0)),0,VLOOKUP($S$1670,'TAR FIN'!$A$1:$O$104,15,0))</f>
        <v>0</v>
      </c>
      <c r="W1670" s="6">
        <f>IF(ISERROR(VLOOKUP($T$1670,'TAR FIN'!$A$1:$O$104,15,0)),0,VLOOKUP($T$1670,'TAR FIN'!$A$1:$O$104,15,0))</f>
        <v>269.62</v>
      </c>
      <c r="X1670" s="6">
        <f>IF(ISERROR(VLOOKUP($U$1670,'TAR FIN'!$A$1:$O$104,15,0)),0,VLOOKUP($U$1670,'TAR FIN'!$A$1:$O$104,15,0))</f>
        <v>230.15</v>
      </c>
      <c r="Y1670" s="6"/>
      <c r="Z1670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70" s="6">
        <f>('TE BE'!$AB$16+'TE BF'!$AB$16+'TE CVA'!$AB$16)*(1-CUSTOS!$M$36)</f>
        <v>218.22364531141577</v>
      </c>
      <c r="AB1670" s="6">
        <f>$K$1670*$V$1670</f>
        <v>0</v>
      </c>
      <c r="AC1670" s="6">
        <f>$M$1670*$W$1670</f>
        <v>6026.5462400000006</v>
      </c>
      <c r="AD1670" s="6">
        <f>$O$1670*$X$1670</f>
        <v>5144.3128000000006</v>
      </c>
      <c r="AE1670" s="6">
        <f>$K$1670*$Y$1670</f>
        <v>0</v>
      </c>
      <c r="AF1670" s="6">
        <f ca="1">$M$1670*$Z$1670</f>
        <v>5879.3487580311576</v>
      </c>
      <c r="AG1670" s="6">
        <f>$O$1670*$AA$1670</f>
        <v>4877.7349200007657</v>
      </c>
    </row>
    <row r="1671" spans="1:33" ht="11.25" customHeight="1" x14ac:dyDescent="0.25">
      <c r="A1671" s="4" t="s">
        <v>21</v>
      </c>
      <c r="B1671" s="4" t="s">
        <v>22</v>
      </c>
      <c r="C1671" s="4" t="s">
        <v>23</v>
      </c>
      <c r="D1671" s="4" t="s">
        <v>24</v>
      </c>
      <c r="E1671" s="4" t="s">
        <v>31</v>
      </c>
      <c r="F1671" s="4" t="s">
        <v>25</v>
      </c>
      <c r="G1671" s="4" t="s">
        <v>25</v>
      </c>
      <c r="H1671" s="4" t="s">
        <v>25</v>
      </c>
      <c r="I1671" s="5">
        <v>44682</v>
      </c>
      <c r="J1671" s="6">
        <v>0</v>
      </c>
      <c r="K1671" s="6">
        <v>0</v>
      </c>
      <c r="L1671" s="6">
        <v>12753.152</v>
      </c>
      <c r="M1671" s="6">
        <v>12753.152</v>
      </c>
      <c r="N1671" s="6">
        <v>12753.152</v>
      </c>
      <c r="O1671" s="6">
        <v>12753.152</v>
      </c>
      <c r="P1671" s="6">
        <v>183851</v>
      </c>
      <c r="Q1671" s="4" t="s">
        <v>26</v>
      </c>
      <c r="R1671" s="4">
        <v>0</v>
      </c>
      <c r="S1671" s="6">
        <v>0</v>
      </c>
      <c r="T1671" s="6">
        <v>8</v>
      </c>
      <c r="U1671" s="6">
        <v>75</v>
      </c>
      <c r="V1671" s="6">
        <f>IF(ISERROR(VLOOKUP($S$1671,'TAR FIN'!$A$1:$O$104,15,0)),0,VLOOKUP($S$1671,'TAR FIN'!$A$1:$O$104,15,0))</f>
        <v>0</v>
      </c>
      <c r="W1671" s="6">
        <f>IF(ISERROR(VLOOKUP($T$1671,'TAR FIN'!$A$1:$O$104,15,0)),0,VLOOKUP($T$1671,'TAR FIN'!$A$1:$O$104,15,0))</f>
        <v>269.62</v>
      </c>
      <c r="X1671" s="6">
        <f>IF(ISERROR(VLOOKUP($U$1671,'TAR FIN'!$A$1:$O$104,15,0)),0,VLOOKUP($U$1671,'TAR FIN'!$A$1:$O$104,15,0))</f>
        <v>230.15</v>
      </c>
      <c r="Y1671" s="6"/>
      <c r="Z1671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71" s="6">
        <f>('TE BE'!$AB$16+'TE BF'!$AB$16+'TE CVA'!$AB$16)*(1-CUSTOS!$M$36)</f>
        <v>218.22364531141577</v>
      </c>
      <c r="AB1671" s="6">
        <f>$K$1671*$V$1671</f>
        <v>0</v>
      </c>
      <c r="AC1671" s="6">
        <f>$M$1671*$W$1671</f>
        <v>3438504.8422400001</v>
      </c>
      <c r="AD1671" s="6">
        <f>$O$1671*$X$1671</f>
        <v>2935137.9328000001</v>
      </c>
      <c r="AE1671" s="6">
        <f>$K$1671*$Y$1671</f>
        <v>0</v>
      </c>
      <c r="AF1671" s="6">
        <f ca="1">$M$1671*$Z$1671</f>
        <v>3354519.8806452472</v>
      </c>
      <c r="AG1671" s="6">
        <f>$O$1671*$AA$1671</f>
        <v>2783039.3186505726</v>
      </c>
    </row>
    <row r="1672" spans="1:33" ht="11.25" customHeight="1" x14ac:dyDescent="0.25">
      <c r="A1672" s="4" t="s">
        <v>27</v>
      </c>
      <c r="B1672" s="4" t="s">
        <v>22</v>
      </c>
      <c r="C1672" s="4" t="s">
        <v>23</v>
      </c>
      <c r="D1672" s="4" t="s">
        <v>24</v>
      </c>
      <c r="E1672" s="4" t="s">
        <v>31</v>
      </c>
      <c r="F1672" s="4" t="s">
        <v>25</v>
      </c>
      <c r="G1672" s="4" t="s">
        <v>25</v>
      </c>
      <c r="H1672" s="4" t="s">
        <v>25</v>
      </c>
      <c r="I1672" s="5">
        <v>44682</v>
      </c>
      <c r="J1672" s="6">
        <v>0</v>
      </c>
      <c r="K1672" s="6">
        <v>0</v>
      </c>
      <c r="L1672" s="6">
        <v>-4.3570000000000002</v>
      </c>
      <c r="M1672" s="6">
        <v>-4.3570000000000002</v>
      </c>
      <c r="N1672" s="6">
        <v>-4.3570000000000002</v>
      </c>
      <c r="O1672" s="6">
        <v>-4.3570000000000002</v>
      </c>
      <c r="P1672" s="6">
        <v>-22</v>
      </c>
      <c r="Q1672" s="4" t="s">
        <v>26</v>
      </c>
      <c r="R1672" s="4">
        <v>0</v>
      </c>
      <c r="S1672" s="6">
        <v>0</v>
      </c>
      <c r="T1672" s="6">
        <v>8</v>
      </c>
      <c r="U1672" s="6">
        <v>75</v>
      </c>
      <c r="V1672" s="6">
        <f>IF(ISERROR(VLOOKUP($S$1672,'TAR FIN'!$A$1:$O$104,15,0)),0,VLOOKUP($S$1672,'TAR FIN'!$A$1:$O$104,15,0))</f>
        <v>0</v>
      </c>
      <c r="W1672" s="6">
        <f>IF(ISERROR(VLOOKUP($T$1672,'TAR FIN'!$A$1:$O$104,15,0)),0,VLOOKUP($T$1672,'TAR FIN'!$A$1:$O$104,15,0))</f>
        <v>269.62</v>
      </c>
      <c r="X1672" s="6">
        <f>IF(ISERROR(VLOOKUP($U$1672,'TAR FIN'!$A$1:$O$104,15,0)),0,VLOOKUP($U$1672,'TAR FIN'!$A$1:$O$104,15,0))</f>
        <v>230.15</v>
      </c>
      <c r="Y1672" s="6"/>
      <c r="Z1672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72" s="6">
        <f>('TE BE'!$AB$16+'TE BF'!$AB$16+'TE CVA'!$AB$16)*(1-CUSTOS!$M$36)</f>
        <v>218.22364531141577</v>
      </c>
      <c r="AB1672" s="6">
        <f>$K$1672*$V$1672</f>
        <v>0</v>
      </c>
      <c r="AC1672" s="6">
        <f>$M$1672*$W$1672</f>
        <v>-1174.73434</v>
      </c>
      <c r="AD1672" s="6">
        <f>$O$1672*$X$1672</f>
        <v>-1002.7635500000001</v>
      </c>
      <c r="AE1672" s="6">
        <f>$K$1672*$Y$1672</f>
        <v>0</v>
      </c>
      <c r="AF1672" s="6">
        <f ca="1">$M$1672*$Z$1672</f>
        <v>-1146.0416311176518</v>
      </c>
      <c r="AG1672" s="6">
        <f>$O$1672*$AA$1672</f>
        <v>-950.80042262183849</v>
      </c>
    </row>
    <row r="1673" spans="1:33" ht="11.25" customHeight="1" x14ac:dyDescent="0.25">
      <c r="A1673" s="4" t="s">
        <v>28</v>
      </c>
      <c r="B1673" s="4" t="s">
        <v>22</v>
      </c>
      <c r="C1673" s="4" t="s">
        <v>23</v>
      </c>
      <c r="D1673" s="4" t="s">
        <v>24</v>
      </c>
      <c r="E1673" s="4" t="s">
        <v>31</v>
      </c>
      <c r="F1673" s="4" t="s">
        <v>25</v>
      </c>
      <c r="G1673" s="4" t="s">
        <v>25</v>
      </c>
      <c r="H1673" s="4" t="s">
        <v>25</v>
      </c>
      <c r="I1673" s="5">
        <v>44682</v>
      </c>
      <c r="J1673" s="6">
        <v>0</v>
      </c>
      <c r="K1673" s="6">
        <v>0</v>
      </c>
      <c r="L1673" s="6">
        <v>21.106999999999999</v>
      </c>
      <c r="M1673" s="6">
        <v>21.106999999999999</v>
      </c>
      <c r="N1673" s="6">
        <v>21.106999999999999</v>
      </c>
      <c r="O1673" s="6">
        <v>21.106999999999999</v>
      </c>
      <c r="P1673" s="6">
        <v>214</v>
      </c>
      <c r="Q1673" s="4" t="s">
        <v>26</v>
      </c>
      <c r="R1673" s="4">
        <v>0</v>
      </c>
      <c r="S1673" s="6">
        <v>0</v>
      </c>
      <c r="T1673" s="6">
        <v>8</v>
      </c>
      <c r="U1673" s="6">
        <v>75</v>
      </c>
      <c r="V1673" s="6">
        <f>IF(ISERROR(VLOOKUP($S$1673,'TAR FIN'!$A$1:$O$104,15,0)),0,VLOOKUP($S$1673,'TAR FIN'!$A$1:$O$104,15,0))</f>
        <v>0</v>
      </c>
      <c r="W1673" s="6">
        <f>IF(ISERROR(VLOOKUP($T$1673,'TAR FIN'!$A$1:$O$104,15,0)),0,VLOOKUP($T$1673,'TAR FIN'!$A$1:$O$104,15,0))</f>
        <v>269.62</v>
      </c>
      <c r="X1673" s="6">
        <f>IF(ISERROR(VLOOKUP($U$1673,'TAR FIN'!$A$1:$O$104,15,0)),0,VLOOKUP($U$1673,'TAR FIN'!$A$1:$O$104,15,0))</f>
        <v>230.15</v>
      </c>
      <c r="Y1673" s="6"/>
      <c r="Z1673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73" s="6">
        <f>('TE BE'!$AB$16+'TE BF'!$AB$16+'TE CVA'!$AB$16)*(1-CUSTOS!$M$36)</f>
        <v>218.22364531141577</v>
      </c>
      <c r="AB1673" s="6">
        <f>$K$1673*$V$1673</f>
        <v>0</v>
      </c>
      <c r="AC1673" s="6">
        <f>$M$1673*$W$1673</f>
        <v>5690.8693400000002</v>
      </c>
      <c r="AD1673" s="6">
        <f>$O$1673*$X$1673</f>
        <v>4857.7760500000004</v>
      </c>
      <c r="AE1673" s="6">
        <f>$K$1673*$Y$1673</f>
        <v>0</v>
      </c>
      <c r="AF1673" s="6">
        <f ca="1">$M$1673*$Z$1673</f>
        <v>5551.8707156300834</v>
      </c>
      <c r="AG1673" s="6">
        <f>$O$1673*$AA$1673</f>
        <v>4606.0464815880523</v>
      </c>
    </row>
    <row r="1674" spans="1:33" ht="11.25" customHeight="1" x14ac:dyDescent="0.25">
      <c r="A1674" s="4" t="s">
        <v>21</v>
      </c>
      <c r="B1674" s="4" t="s">
        <v>22</v>
      </c>
      <c r="C1674" s="4" t="s">
        <v>23</v>
      </c>
      <c r="D1674" s="4" t="s">
        <v>24</v>
      </c>
      <c r="E1674" s="4" t="s">
        <v>31</v>
      </c>
      <c r="F1674" s="4" t="s">
        <v>25</v>
      </c>
      <c r="G1674" s="4" t="s">
        <v>25</v>
      </c>
      <c r="H1674" s="4" t="s">
        <v>25</v>
      </c>
      <c r="I1674" s="5">
        <v>44713</v>
      </c>
      <c r="J1674" s="6">
        <v>0</v>
      </c>
      <c r="K1674" s="6">
        <v>0</v>
      </c>
      <c r="L1674" s="6">
        <v>9310.4619999999995</v>
      </c>
      <c r="M1674" s="6">
        <v>9310.4619999999995</v>
      </c>
      <c r="N1674" s="6">
        <v>9310.4619999999995</v>
      </c>
      <c r="O1674" s="6">
        <v>9310.4619999999995</v>
      </c>
      <c r="P1674" s="6">
        <v>158404</v>
      </c>
      <c r="Q1674" s="4" t="s">
        <v>26</v>
      </c>
      <c r="R1674" s="4">
        <v>0</v>
      </c>
      <c r="S1674" s="6">
        <v>0</v>
      </c>
      <c r="T1674" s="6">
        <v>8</v>
      </c>
      <c r="U1674" s="6">
        <v>75</v>
      </c>
      <c r="V1674" s="6">
        <f>IF(ISERROR(VLOOKUP($S$1674,'TAR FIN'!$A$1:$O$104,15,0)),0,VLOOKUP($S$1674,'TAR FIN'!$A$1:$O$104,15,0))</f>
        <v>0</v>
      </c>
      <c r="W1674" s="6">
        <f>IF(ISERROR(VLOOKUP($T$1674,'TAR FIN'!$A$1:$O$104,15,0)),0,VLOOKUP($T$1674,'TAR FIN'!$A$1:$O$104,15,0))</f>
        <v>269.62</v>
      </c>
      <c r="X1674" s="6">
        <f>IF(ISERROR(VLOOKUP($U$1674,'TAR FIN'!$A$1:$O$104,15,0)),0,VLOOKUP($U$1674,'TAR FIN'!$A$1:$O$104,15,0))</f>
        <v>230.15</v>
      </c>
      <c r="Y1674" s="6"/>
      <c r="Z1674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74" s="6">
        <f>('TE BE'!$AB$16+'TE BF'!$AB$16+'TE CVA'!$AB$16)*(1-CUSTOS!$M$36)</f>
        <v>218.22364531141577</v>
      </c>
      <c r="AB1674" s="6">
        <f>$K$1674*$V$1674</f>
        <v>0</v>
      </c>
      <c r="AC1674" s="6">
        <f>$M$1674*$W$1674</f>
        <v>2510286.7644400001</v>
      </c>
      <c r="AD1674" s="6">
        <f>$O$1674*$X$1674</f>
        <v>2142802.8292999999</v>
      </c>
      <c r="AE1674" s="6">
        <f>$K$1674*$Y$1674</f>
        <v>0</v>
      </c>
      <c r="AF1674" s="6">
        <f ca="1">$M$1674*$Z$1674</f>
        <v>2448973.389244644</v>
      </c>
      <c r="AG1674" s="6">
        <f>$O$1674*$AA$1674</f>
        <v>2031762.9571734145</v>
      </c>
    </row>
    <row r="1675" spans="1:33" ht="11.25" customHeight="1" x14ac:dyDescent="0.25">
      <c r="A1675" s="4" t="s">
        <v>27</v>
      </c>
      <c r="B1675" s="4" t="s">
        <v>22</v>
      </c>
      <c r="C1675" s="4" t="s">
        <v>23</v>
      </c>
      <c r="D1675" s="4" t="s">
        <v>24</v>
      </c>
      <c r="E1675" s="4" t="s">
        <v>31</v>
      </c>
      <c r="F1675" s="4" t="s">
        <v>25</v>
      </c>
      <c r="G1675" s="4" t="s">
        <v>25</v>
      </c>
      <c r="H1675" s="4" t="s">
        <v>25</v>
      </c>
      <c r="I1675" s="5">
        <v>44713</v>
      </c>
      <c r="J1675" s="6">
        <v>0</v>
      </c>
      <c r="K1675" s="6">
        <v>0</v>
      </c>
      <c r="L1675" s="6">
        <v>-3.7389999999999999</v>
      </c>
      <c r="M1675" s="6">
        <v>-3.7389999999999999</v>
      </c>
      <c r="N1675" s="6">
        <v>-3.7389999999999999</v>
      </c>
      <c r="O1675" s="6">
        <v>-3.7389999999999999</v>
      </c>
      <c r="P1675" s="6">
        <v>-15</v>
      </c>
      <c r="Q1675" s="4" t="s">
        <v>26</v>
      </c>
      <c r="R1675" s="4">
        <v>0</v>
      </c>
      <c r="S1675" s="6">
        <v>0</v>
      </c>
      <c r="T1675" s="6">
        <v>8</v>
      </c>
      <c r="U1675" s="6">
        <v>75</v>
      </c>
      <c r="V1675" s="6">
        <f>IF(ISERROR(VLOOKUP($S$1675,'TAR FIN'!$A$1:$O$104,15,0)),0,VLOOKUP($S$1675,'TAR FIN'!$A$1:$O$104,15,0))</f>
        <v>0</v>
      </c>
      <c r="W1675" s="6">
        <f>IF(ISERROR(VLOOKUP($T$1675,'TAR FIN'!$A$1:$O$104,15,0)),0,VLOOKUP($T$1675,'TAR FIN'!$A$1:$O$104,15,0))</f>
        <v>269.62</v>
      </c>
      <c r="X1675" s="6">
        <f>IF(ISERROR(VLOOKUP($U$1675,'TAR FIN'!$A$1:$O$104,15,0)),0,VLOOKUP($U$1675,'TAR FIN'!$A$1:$O$104,15,0))</f>
        <v>230.15</v>
      </c>
      <c r="Y1675" s="6"/>
      <c r="Z1675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75" s="6">
        <f>('TE BE'!$AB$16+'TE BF'!$AB$16+'TE CVA'!$AB$16)*(1-CUSTOS!$M$36)</f>
        <v>218.22364531141577</v>
      </c>
      <c r="AB1675" s="6">
        <f>$K$1675*$V$1675</f>
        <v>0</v>
      </c>
      <c r="AC1675" s="6">
        <f>$M$1675*$W$1675</f>
        <v>-1008.10918</v>
      </c>
      <c r="AD1675" s="6">
        <f>$O$1675*$X$1675</f>
        <v>-860.53084999999999</v>
      </c>
      <c r="AE1675" s="6">
        <f>$K$1675*$Y$1675</f>
        <v>0</v>
      </c>
      <c r="AF1675" s="6">
        <f ca="1">$M$1675*$Z$1675</f>
        <v>-983.48626549205869</v>
      </c>
      <c r="AG1675" s="6">
        <f>$O$1675*$AA$1675</f>
        <v>-815.93820981938347</v>
      </c>
    </row>
    <row r="1676" spans="1:33" ht="11.25" customHeight="1" x14ac:dyDescent="0.25">
      <c r="A1676" s="4" t="s">
        <v>28</v>
      </c>
      <c r="B1676" s="4" t="s">
        <v>22</v>
      </c>
      <c r="C1676" s="4" t="s">
        <v>23</v>
      </c>
      <c r="D1676" s="4" t="s">
        <v>24</v>
      </c>
      <c r="E1676" s="4" t="s">
        <v>31</v>
      </c>
      <c r="F1676" s="4" t="s">
        <v>25</v>
      </c>
      <c r="G1676" s="4" t="s">
        <v>25</v>
      </c>
      <c r="H1676" s="4" t="s">
        <v>25</v>
      </c>
      <c r="I1676" s="5">
        <v>44713</v>
      </c>
      <c r="J1676" s="6">
        <v>0</v>
      </c>
      <c r="K1676" s="6">
        <v>0</v>
      </c>
      <c r="L1676" s="6">
        <v>23.605</v>
      </c>
      <c r="M1676" s="6">
        <v>23.605</v>
      </c>
      <c r="N1676" s="6">
        <v>23.605</v>
      </c>
      <c r="O1676" s="6">
        <v>23.605</v>
      </c>
      <c r="P1676" s="6">
        <v>338</v>
      </c>
      <c r="Q1676" s="4" t="s">
        <v>26</v>
      </c>
      <c r="R1676" s="4">
        <v>0</v>
      </c>
      <c r="S1676" s="6">
        <v>0</v>
      </c>
      <c r="T1676" s="6">
        <v>8</v>
      </c>
      <c r="U1676" s="6">
        <v>75</v>
      </c>
      <c r="V1676" s="6">
        <f>IF(ISERROR(VLOOKUP($S$1676,'TAR FIN'!$A$1:$O$104,15,0)),0,VLOOKUP($S$1676,'TAR FIN'!$A$1:$O$104,15,0))</f>
        <v>0</v>
      </c>
      <c r="W1676" s="6">
        <f>IF(ISERROR(VLOOKUP($T$1676,'TAR FIN'!$A$1:$O$104,15,0)),0,VLOOKUP($T$1676,'TAR FIN'!$A$1:$O$104,15,0))</f>
        <v>269.62</v>
      </c>
      <c r="X1676" s="6">
        <f>IF(ISERROR(VLOOKUP($U$1676,'TAR FIN'!$A$1:$O$104,15,0)),0,VLOOKUP($U$1676,'TAR FIN'!$A$1:$O$104,15,0))</f>
        <v>230.15</v>
      </c>
      <c r="Y1676" s="6"/>
      <c r="Z1676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76" s="6">
        <f>('TE BE'!$AB$16+'TE BF'!$AB$16+'TE CVA'!$AB$16)*(1-CUSTOS!$M$36)</f>
        <v>218.22364531141577</v>
      </c>
      <c r="AB1676" s="6">
        <f>$K$1676*$V$1676</f>
        <v>0</v>
      </c>
      <c r="AC1676" s="6">
        <f>$M$1676*$W$1676</f>
        <v>6364.3801000000003</v>
      </c>
      <c r="AD1676" s="6">
        <f>$O$1676*$X$1676</f>
        <v>5432.6907500000007</v>
      </c>
      <c r="AE1676" s="6">
        <f>$K$1676*$Y$1676</f>
        <v>0</v>
      </c>
      <c r="AF1676" s="6">
        <f ca="1">$M$1676*$Z$1676</f>
        <v>6208.9310770099082</v>
      </c>
      <c r="AG1676" s="6">
        <f>$O$1676*$AA$1676</f>
        <v>5151.169147575969</v>
      </c>
    </row>
    <row r="1677" spans="1:33" ht="11.25" customHeight="1" x14ac:dyDescent="0.25">
      <c r="A1677" s="4" t="s">
        <v>57</v>
      </c>
      <c r="B1677" s="4" t="s">
        <v>22</v>
      </c>
      <c r="C1677" s="4" t="s">
        <v>23</v>
      </c>
      <c r="D1677" s="4" t="s">
        <v>24</v>
      </c>
      <c r="E1677" s="4" t="s">
        <v>31</v>
      </c>
      <c r="F1677" s="4" t="s">
        <v>25</v>
      </c>
      <c r="G1677" s="4" t="s">
        <v>25</v>
      </c>
      <c r="H1677" s="4" t="s">
        <v>25</v>
      </c>
      <c r="I1677" s="5">
        <v>44743</v>
      </c>
      <c r="J1677" s="6">
        <v>0</v>
      </c>
      <c r="K1677" s="6">
        <v>0</v>
      </c>
      <c r="L1677" s="6">
        <v>9310.4619999999995</v>
      </c>
      <c r="M1677" s="6">
        <v>9310.4619999999995</v>
      </c>
      <c r="N1677" s="6">
        <v>9310.4619999999995</v>
      </c>
      <c r="O1677" s="6">
        <v>9310.4619999999995</v>
      </c>
      <c r="P1677" s="6">
        <v>158404</v>
      </c>
      <c r="Q1677" s="4" t="s">
        <v>26</v>
      </c>
      <c r="R1677" s="4">
        <v>0</v>
      </c>
      <c r="S1677" s="6">
        <v>0</v>
      </c>
      <c r="T1677" s="6">
        <v>8</v>
      </c>
      <c r="U1677" s="6">
        <v>75</v>
      </c>
      <c r="V1677" s="6">
        <f>IF(ISERROR(VLOOKUP($S$1677,'TAR FIN'!$A$1:$O$104,15,0)),0,VLOOKUP($S$1677,'TAR FIN'!$A$1:$O$104,15,0))</f>
        <v>0</v>
      </c>
      <c r="W1677" s="6">
        <f>IF(ISERROR(VLOOKUP($T$1677,'TAR FIN'!$A$1:$O$104,15,0)),0,VLOOKUP($T$1677,'TAR FIN'!$A$1:$O$104,15,0))</f>
        <v>269.62</v>
      </c>
      <c r="X1677" s="6">
        <f>IF(ISERROR(VLOOKUP($U$1677,'TAR FIN'!$A$1:$O$104,15,0)),0,VLOOKUP($U$1677,'TAR FIN'!$A$1:$O$104,15,0))</f>
        <v>230.15</v>
      </c>
      <c r="Y1677" s="6"/>
      <c r="Z1677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77" s="6">
        <f>('TE BE'!$AB$16+'TE BF'!$AB$16+'TE CVA'!$AB$16)*(1-CUSTOS!$M$36)</f>
        <v>218.22364531141577</v>
      </c>
      <c r="AB1677" s="6">
        <f>$K$1677*$V$1677</f>
        <v>0</v>
      </c>
      <c r="AC1677" s="6">
        <f>$M$1677*$W$1677</f>
        <v>2510286.7644400001</v>
      </c>
      <c r="AD1677" s="6">
        <f>$O$1677*$X$1677</f>
        <v>2142802.8292999999</v>
      </c>
      <c r="AE1677" s="6">
        <f>$K$1677*$Y$1677</f>
        <v>0</v>
      </c>
      <c r="AF1677" s="6">
        <f ca="1">$M$1677*$Z$1677</f>
        <v>2448973.389244644</v>
      </c>
      <c r="AG1677" s="6">
        <f>$O$1677*$AA$1677</f>
        <v>2031762.9571734145</v>
      </c>
    </row>
    <row r="1678" spans="1:33" ht="11.25" customHeight="1" x14ac:dyDescent="0.25">
      <c r="A1678" s="4" t="s">
        <v>57</v>
      </c>
      <c r="B1678" s="4" t="s">
        <v>22</v>
      </c>
      <c r="C1678" s="4" t="s">
        <v>23</v>
      </c>
      <c r="D1678" s="4" t="s">
        <v>24</v>
      </c>
      <c r="E1678" s="4" t="s">
        <v>31</v>
      </c>
      <c r="F1678" s="4" t="s">
        <v>25</v>
      </c>
      <c r="G1678" s="4" t="s">
        <v>25</v>
      </c>
      <c r="H1678" s="4" t="s">
        <v>25</v>
      </c>
      <c r="I1678" s="5">
        <v>44743</v>
      </c>
      <c r="J1678" s="6">
        <v>0</v>
      </c>
      <c r="K1678" s="6">
        <v>0</v>
      </c>
      <c r="L1678" s="6">
        <v>-3.7389999999999999</v>
      </c>
      <c r="M1678" s="6">
        <v>-3.7389999999999999</v>
      </c>
      <c r="N1678" s="6">
        <v>-3.7389999999999999</v>
      </c>
      <c r="O1678" s="6">
        <v>-3.7389999999999999</v>
      </c>
      <c r="P1678" s="6">
        <v>-15</v>
      </c>
      <c r="Q1678" s="4" t="s">
        <v>26</v>
      </c>
      <c r="R1678" s="4">
        <v>0</v>
      </c>
      <c r="S1678" s="6">
        <v>0</v>
      </c>
      <c r="T1678" s="6">
        <v>8</v>
      </c>
      <c r="U1678" s="6">
        <v>75</v>
      </c>
      <c r="V1678" s="6">
        <f>IF(ISERROR(VLOOKUP($S$1678,'TAR FIN'!$A$1:$O$104,15,0)),0,VLOOKUP($S$1678,'TAR FIN'!$A$1:$O$104,15,0))</f>
        <v>0</v>
      </c>
      <c r="W1678" s="6">
        <f>IF(ISERROR(VLOOKUP($T$1678,'TAR FIN'!$A$1:$O$104,15,0)),0,VLOOKUP($T$1678,'TAR FIN'!$A$1:$O$104,15,0))</f>
        <v>269.62</v>
      </c>
      <c r="X1678" s="6">
        <f>IF(ISERROR(VLOOKUP($U$1678,'TAR FIN'!$A$1:$O$104,15,0)),0,VLOOKUP($U$1678,'TAR FIN'!$A$1:$O$104,15,0))</f>
        <v>230.15</v>
      </c>
      <c r="Y1678" s="6"/>
      <c r="Z1678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78" s="6">
        <f>('TE BE'!$AB$16+'TE BF'!$AB$16+'TE CVA'!$AB$16)*(1-CUSTOS!$M$36)</f>
        <v>218.22364531141577</v>
      </c>
      <c r="AB1678" s="6">
        <f>$K$1678*$V$1678</f>
        <v>0</v>
      </c>
      <c r="AC1678" s="6">
        <f>$M$1678*$W$1678</f>
        <v>-1008.10918</v>
      </c>
      <c r="AD1678" s="6">
        <f>$O$1678*$X$1678</f>
        <v>-860.53084999999999</v>
      </c>
      <c r="AE1678" s="6">
        <f>$K$1678*$Y$1678</f>
        <v>0</v>
      </c>
      <c r="AF1678" s="6">
        <f ca="1">$M$1678*$Z$1678</f>
        <v>-983.48626549205869</v>
      </c>
      <c r="AG1678" s="6">
        <f>$O$1678*$AA$1678</f>
        <v>-815.93820981938347</v>
      </c>
    </row>
    <row r="1679" spans="1:33" ht="11.25" customHeight="1" x14ac:dyDescent="0.25">
      <c r="A1679" s="4" t="s">
        <v>57</v>
      </c>
      <c r="B1679" s="4" t="s">
        <v>22</v>
      </c>
      <c r="C1679" s="4" t="s">
        <v>23</v>
      </c>
      <c r="D1679" s="4" t="s">
        <v>24</v>
      </c>
      <c r="E1679" s="4" t="s">
        <v>31</v>
      </c>
      <c r="F1679" s="4" t="s">
        <v>25</v>
      </c>
      <c r="G1679" s="4" t="s">
        <v>25</v>
      </c>
      <c r="H1679" s="4" t="s">
        <v>25</v>
      </c>
      <c r="I1679" s="5">
        <v>44743</v>
      </c>
      <c r="J1679" s="6">
        <v>0</v>
      </c>
      <c r="K1679" s="6">
        <v>0</v>
      </c>
      <c r="L1679" s="6">
        <v>23.605</v>
      </c>
      <c r="M1679" s="6">
        <v>23.605</v>
      </c>
      <c r="N1679" s="6">
        <v>23.605</v>
      </c>
      <c r="O1679" s="6">
        <v>23.605</v>
      </c>
      <c r="P1679" s="6">
        <v>338</v>
      </c>
      <c r="Q1679" s="4" t="s">
        <v>26</v>
      </c>
      <c r="R1679" s="4">
        <v>0</v>
      </c>
      <c r="S1679" s="6">
        <v>0</v>
      </c>
      <c r="T1679" s="6">
        <v>8</v>
      </c>
      <c r="U1679" s="6">
        <v>75</v>
      </c>
      <c r="V1679" s="6">
        <f>IF(ISERROR(VLOOKUP($S$1679,'TAR FIN'!$A$1:$O$104,15,0)),0,VLOOKUP($S$1679,'TAR FIN'!$A$1:$O$104,15,0))</f>
        <v>0</v>
      </c>
      <c r="W1679" s="6">
        <f>IF(ISERROR(VLOOKUP($T$1679,'TAR FIN'!$A$1:$O$104,15,0)),0,VLOOKUP($T$1679,'TAR FIN'!$A$1:$O$104,15,0))</f>
        <v>269.62</v>
      </c>
      <c r="X1679" s="6">
        <f>IF(ISERROR(VLOOKUP($U$1679,'TAR FIN'!$A$1:$O$104,15,0)),0,VLOOKUP($U$1679,'TAR FIN'!$A$1:$O$104,15,0))</f>
        <v>230.15</v>
      </c>
      <c r="Y1679" s="6"/>
      <c r="Z1679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1679" s="6">
        <f>('TE BE'!$AB$16+'TE BF'!$AB$16+'TE CVA'!$AB$16)*(1-CUSTOS!$M$36)</f>
        <v>218.22364531141577</v>
      </c>
      <c r="AB1679" s="6">
        <f>$K$1679*$V$1679</f>
        <v>0</v>
      </c>
      <c r="AC1679" s="6">
        <f>$M$1679*$W$1679</f>
        <v>6364.3801000000003</v>
      </c>
      <c r="AD1679" s="6">
        <f>$O$1679*$X$1679</f>
        <v>5432.6907500000007</v>
      </c>
      <c r="AE1679" s="6">
        <f>$K$1679*$Y$1679</f>
        <v>0</v>
      </c>
      <c r="AF1679" s="6">
        <f ca="1">$M$1679*$Z$1679</f>
        <v>6208.9310770099082</v>
      </c>
      <c r="AG1679" s="6">
        <f>$O$1679*$AA$1679</f>
        <v>5151.169147575969</v>
      </c>
    </row>
    <row r="1680" spans="1:33" ht="11.25" customHeight="1" x14ac:dyDescent="0.25">
      <c r="A1680" s="4" t="s">
        <v>21</v>
      </c>
      <c r="B1680" s="4" t="s">
        <v>22</v>
      </c>
      <c r="C1680" s="4" t="s">
        <v>23</v>
      </c>
      <c r="D1680" s="4" t="s">
        <v>24</v>
      </c>
      <c r="E1680" s="4" t="s">
        <v>32</v>
      </c>
      <c r="F1680" s="4" t="s">
        <v>25</v>
      </c>
      <c r="G1680" s="4" t="s">
        <v>25</v>
      </c>
      <c r="H1680" s="4" t="s">
        <v>25</v>
      </c>
      <c r="I1680" s="5">
        <v>44409</v>
      </c>
      <c r="J1680" s="6">
        <v>0</v>
      </c>
      <c r="K1680" s="6">
        <v>0</v>
      </c>
      <c r="L1680" s="6">
        <v>2540.3440000000001</v>
      </c>
      <c r="M1680" s="6">
        <v>2540.3440000000001</v>
      </c>
      <c r="N1680" s="6">
        <v>2540.3440000000001</v>
      </c>
      <c r="O1680" s="6">
        <v>2540.3440000000001</v>
      </c>
      <c r="P1680" s="6">
        <v>28194</v>
      </c>
      <c r="Q1680" s="4" t="s">
        <v>26</v>
      </c>
      <c r="R1680" s="4">
        <v>0</v>
      </c>
      <c r="S1680" s="6">
        <v>0</v>
      </c>
      <c r="T1680" s="6">
        <v>10</v>
      </c>
      <c r="U1680" s="6">
        <v>76</v>
      </c>
      <c r="V1680" s="6">
        <f>IF(ISERROR(VLOOKUP($S$1680,'TAR FIN'!$A$1:$O$104,15,0)),0,VLOOKUP($S$1680,'TAR FIN'!$A$1:$O$104,15,0))</f>
        <v>0</v>
      </c>
      <c r="W1680" s="6">
        <f>IF(ISERROR(VLOOKUP($T$1680,'TAR FIN'!$A$1:$O$104,15,0)),0,VLOOKUP($T$1680,'TAR FIN'!$A$1:$O$104,15,0))</f>
        <v>299.57</v>
      </c>
      <c r="X1680" s="6">
        <f>IF(ISERROR(VLOOKUP($U$1680,'TAR FIN'!$A$1:$O$104,15,0)),0,VLOOKUP($U$1680,'TAR FIN'!$A$1:$O$104,15,0))</f>
        <v>255.72</v>
      </c>
      <c r="Y1680" s="6"/>
      <c r="Z1680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80" s="6">
        <f>('TE BE'!$AB$17+'TE BF'!$AB$17+'TE CVA'!$AB$17)*(1-CUSTOS!$M$37)</f>
        <v>242.47071701268419</v>
      </c>
      <c r="AB1680" s="6">
        <f>$K$1680*$V$1680</f>
        <v>0</v>
      </c>
      <c r="AC1680" s="6">
        <f>$M$1680*$W$1680</f>
        <v>761010.85207999998</v>
      </c>
      <c r="AD1680" s="6">
        <f>$O$1680*$X$1680</f>
        <v>649616.76768000005</v>
      </c>
      <c r="AE1680" s="6">
        <f>$K$1680*$Y$1680</f>
        <v>0</v>
      </c>
      <c r="AF1680" s="6">
        <f ca="1">$M$1680*$Z$1680</f>
        <v>742442.55256163515</v>
      </c>
      <c r="AG1680" s="6">
        <f>$O$1680*$AA$1680</f>
        <v>615959.03113887017</v>
      </c>
    </row>
    <row r="1681" spans="1:33" ht="11.25" customHeight="1" x14ac:dyDescent="0.25">
      <c r="A1681" s="4" t="s">
        <v>27</v>
      </c>
      <c r="B1681" s="4" t="s">
        <v>22</v>
      </c>
      <c r="C1681" s="4" t="s">
        <v>23</v>
      </c>
      <c r="D1681" s="4" t="s">
        <v>24</v>
      </c>
      <c r="E1681" s="4" t="s">
        <v>32</v>
      </c>
      <c r="F1681" s="4" t="s">
        <v>25</v>
      </c>
      <c r="G1681" s="4" t="s">
        <v>25</v>
      </c>
      <c r="H1681" s="4" t="s">
        <v>25</v>
      </c>
      <c r="I1681" s="5">
        <v>44409</v>
      </c>
      <c r="J1681" s="6">
        <v>0</v>
      </c>
      <c r="K1681" s="6">
        <v>0</v>
      </c>
      <c r="L1681" s="6">
        <v>-13.037000000000001</v>
      </c>
      <c r="M1681" s="6">
        <v>-13.037000000000001</v>
      </c>
      <c r="N1681" s="6">
        <v>-13.037000000000001</v>
      </c>
      <c r="O1681" s="6">
        <v>-13.037000000000001</v>
      </c>
      <c r="P1681" s="6">
        <v>-12</v>
      </c>
      <c r="Q1681" s="4" t="s">
        <v>26</v>
      </c>
      <c r="R1681" s="4">
        <v>0</v>
      </c>
      <c r="S1681" s="6">
        <v>0</v>
      </c>
      <c r="T1681" s="6">
        <v>10</v>
      </c>
      <c r="U1681" s="6">
        <v>76</v>
      </c>
      <c r="V1681" s="6">
        <f>IF(ISERROR(VLOOKUP($S$1681,'TAR FIN'!$A$1:$O$104,15,0)),0,VLOOKUP($S$1681,'TAR FIN'!$A$1:$O$104,15,0))</f>
        <v>0</v>
      </c>
      <c r="W1681" s="6">
        <f>IF(ISERROR(VLOOKUP($T$1681,'TAR FIN'!$A$1:$O$104,15,0)),0,VLOOKUP($T$1681,'TAR FIN'!$A$1:$O$104,15,0))</f>
        <v>299.57</v>
      </c>
      <c r="X1681" s="6">
        <f>IF(ISERROR(VLOOKUP($U$1681,'TAR FIN'!$A$1:$O$104,15,0)),0,VLOOKUP($U$1681,'TAR FIN'!$A$1:$O$104,15,0))</f>
        <v>255.72</v>
      </c>
      <c r="Y1681" s="6"/>
      <c r="Z1681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81" s="6">
        <f>('TE BE'!$AB$17+'TE BF'!$AB$17+'TE CVA'!$AB$17)*(1-CUSTOS!$M$37)</f>
        <v>242.47071701268419</v>
      </c>
      <c r="AB1681" s="6">
        <f>$K$1681*$V$1681</f>
        <v>0</v>
      </c>
      <c r="AC1681" s="6">
        <f>$M$1681*$W$1681</f>
        <v>-3905.4940900000001</v>
      </c>
      <c r="AD1681" s="6">
        <f>$O$1681*$X$1681</f>
        <v>-3333.8216400000001</v>
      </c>
      <c r="AE1681" s="6">
        <f>$K$1681*$Y$1681</f>
        <v>0</v>
      </c>
      <c r="AF1681" s="6">
        <f ca="1">$M$1681*$Z$1681</f>
        <v>-3810.2019087753615</v>
      </c>
      <c r="AG1681" s="6">
        <f>$O$1681*$AA$1681</f>
        <v>-3161.0907376943642</v>
      </c>
    </row>
    <row r="1682" spans="1:33" ht="11.25" customHeight="1" x14ac:dyDescent="0.25">
      <c r="A1682" s="4" t="s">
        <v>28</v>
      </c>
      <c r="B1682" s="4" t="s">
        <v>22</v>
      </c>
      <c r="C1682" s="4" t="s">
        <v>23</v>
      </c>
      <c r="D1682" s="4" t="s">
        <v>24</v>
      </c>
      <c r="E1682" s="4" t="s">
        <v>32</v>
      </c>
      <c r="F1682" s="4" t="s">
        <v>25</v>
      </c>
      <c r="G1682" s="4" t="s">
        <v>25</v>
      </c>
      <c r="H1682" s="4" t="s">
        <v>25</v>
      </c>
      <c r="I1682" s="5">
        <v>44409</v>
      </c>
      <c r="J1682" s="6">
        <v>0</v>
      </c>
      <c r="K1682" s="6">
        <v>0</v>
      </c>
      <c r="L1682" s="6">
        <v>44.537999999999997</v>
      </c>
      <c r="M1682" s="6">
        <v>44.537999999999997</v>
      </c>
      <c r="N1682" s="6">
        <v>44.537999999999997</v>
      </c>
      <c r="O1682" s="6">
        <v>44.537999999999997</v>
      </c>
      <c r="P1682" s="6">
        <v>304</v>
      </c>
      <c r="Q1682" s="4" t="s">
        <v>26</v>
      </c>
      <c r="R1682" s="4">
        <v>0</v>
      </c>
      <c r="S1682" s="6">
        <v>0</v>
      </c>
      <c r="T1682" s="6">
        <v>10</v>
      </c>
      <c r="U1682" s="6">
        <v>76</v>
      </c>
      <c r="V1682" s="6">
        <f>IF(ISERROR(VLOOKUP($S$1682,'TAR FIN'!$A$1:$O$104,15,0)),0,VLOOKUP($S$1682,'TAR FIN'!$A$1:$O$104,15,0))</f>
        <v>0</v>
      </c>
      <c r="W1682" s="6">
        <f>IF(ISERROR(VLOOKUP($T$1682,'TAR FIN'!$A$1:$O$104,15,0)),0,VLOOKUP($T$1682,'TAR FIN'!$A$1:$O$104,15,0))</f>
        <v>299.57</v>
      </c>
      <c r="X1682" s="6">
        <f>IF(ISERROR(VLOOKUP($U$1682,'TAR FIN'!$A$1:$O$104,15,0)),0,VLOOKUP($U$1682,'TAR FIN'!$A$1:$O$104,15,0))</f>
        <v>255.72</v>
      </c>
      <c r="Y1682" s="6"/>
      <c r="Z1682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82" s="6">
        <f>('TE BE'!$AB$17+'TE BF'!$AB$17+'TE CVA'!$AB$17)*(1-CUSTOS!$M$37)</f>
        <v>242.47071701268419</v>
      </c>
      <c r="AB1682" s="6">
        <f>$K$1682*$V$1682</f>
        <v>0</v>
      </c>
      <c r="AC1682" s="6">
        <f>$M$1682*$W$1682</f>
        <v>13342.248659999999</v>
      </c>
      <c r="AD1682" s="6">
        <f>$O$1682*$X$1682</f>
        <v>11389.25736</v>
      </c>
      <c r="AE1682" s="6">
        <f>$K$1682*$Y$1682</f>
        <v>0</v>
      </c>
      <c r="AF1682" s="6">
        <f ca="1">$M$1682*$Z$1682</f>
        <v>13016.704196750559</v>
      </c>
      <c r="AG1682" s="6">
        <f>$O$1682*$AA$1682</f>
        <v>10799.160794310928</v>
      </c>
    </row>
    <row r="1683" spans="1:33" ht="11.25" customHeight="1" x14ac:dyDescent="0.25">
      <c r="A1683" s="4" t="s">
        <v>21</v>
      </c>
      <c r="B1683" s="4" t="s">
        <v>22</v>
      </c>
      <c r="C1683" s="4" t="s">
        <v>23</v>
      </c>
      <c r="D1683" s="4" t="s">
        <v>24</v>
      </c>
      <c r="E1683" s="4" t="s">
        <v>32</v>
      </c>
      <c r="F1683" s="4" t="s">
        <v>25</v>
      </c>
      <c r="G1683" s="4" t="s">
        <v>25</v>
      </c>
      <c r="H1683" s="4" t="s">
        <v>25</v>
      </c>
      <c r="I1683" s="5">
        <v>44440</v>
      </c>
      <c r="J1683" s="6">
        <v>0</v>
      </c>
      <c r="K1683" s="6">
        <v>0</v>
      </c>
      <c r="L1683" s="6">
        <v>2572.3429999999998</v>
      </c>
      <c r="M1683" s="6">
        <v>2572.3429999999998</v>
      </c>
      <c r="N1683" s="6">
        <v>2572.3429999999998</v>
      </c>
      <c r="O1683" s="6">
        <v>2572.3429999999998</v>
      </c>
      <c r="P1683" s="6">
        <v>27882</v>
      </c>
      <c r="Q1683" s="4" t="s">
        <v>26</v>
      </c>
      <c r="R1683" s="4">
        <v>0</v>
      </c>
      <c r="S1683" s="6">
        <v>0</v>
      </c>
      <c r="T1683" s="6">
        <v>10</v>
      </c>
      <c r="U1683" s="6">
        <v>76</v>
      </c>
      <c r="V1683" s="6">
        <f>IF(ISERROR(VLOOKUP($S$1683,'TAR FIN'!$A$1:$O$104,15,0)),0,VLOOKUP($S$1683,'TAR FIN'!$A$1:$O$104,15,0))</f>
        <v>0</v>
      </c>
      <c r="W1683" s="6">
        <f>IF(ISERROR(VLOOKUP($T$1683,'TAR FIN'!$A$1:$O$104,15,0)),0,VLOOKUP($T$1683,'TAR FIN'!$A$1:$O$104,15,0))</f>
        <v>299.57</v>
      </c>
      <c r="X1683" s="6">
        <f>IF(ISERROR(VLOOKUP($U$1683,'TAR FIN'!$A$1:$O$104,15,0)),0,VLOOKUP($U$1683,'TAR FIN'!$A$1:$O$104,15,0))</f>
        <v>255.72</v>
      </c>
      <c r="Y1683" s="6"/>
      <c r="Z1683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83" s="6">
        <f>('TE BE'!$AB$17+'TE BF'!$AB$17+'TE CVA'!$AB$17)*(1-CUSTOS!$M$37)</f>
        <v>242.47071701268419</v>
      </c>
      <c r="AB1683" s="6">
        <f>$K$1683*$V$1683</f>
        <v>0</v>
      </c>
      <c r="AC1683" s="6">
        <f>$M$1683*$W$1683</f>
        <v>770596.79250999994</v>
      </c>
      <c r="AD1683" s="6">
        <f>$O$1683*$X$1683</f>
        <v>657799.55195999995</v>
      </c>
      <c r="AE1683" s="6">
        <f>$K$1683*$Y$1683</f>
        <v>0</v>
      </c>
      <c r="AF1683" s="6">
        <f ca="1">$M$1683*$Z$1683</f>
        <v>751794.60064623295</v>
      </c>
      <c r="AG1683" s="6">
        <f>$O$1683*$AA$1683</f>
        <v>623717.85161255905</v>
      </c>
    </row>
    <row r="1684" spans="1:33" ht="11.25" customHeight="1" x14ac:dyDescent="0.25">
      <c r="A1684" s="4" t="s">
        <v>27</v>
      </c>
      <c r="B1684" s="4" t="s">
        <v>22</v>
      </c>
      <c r="C1684" s="4" t="s">
        <v>23</v>
      </c>
      <c r="D1684" s="4" t="s">
        <v>24</v>
      </c>
      <c r="E1684" s="4" t="s">
        <v>32</v>
      </c>
      <c r="F1684" s="4" t="s">
        <v>25</v>
      </c>
      <c r="G1684" s="4" t="s">
        <v>25</v>
      </c>
      <c r="H1684" s="4" t="s">
        <v>25</v>
      </c>
      <c r="I1684" s="5">
        <v>44440</v>
      </c>
      <c r="J1684" s="6">
        <v>0</v>
      </c>
      <c r="K1684" s="6">
        <v>0</v>
      </c>
      <c r="L1684" s="6">
        <v>-14.095000000000001</v>
      </c>
      <c r="M1684" s="6">
        <v>-14.095000000000001</v>
      </c>
      <c r="N1684" s="6">
        <v>-14.095000000000001</v>
      </c>
      <c r="O1684" s="6">
        <v>-14.095000000000001</v>
      </c>
      <c r="P1684" s="6">
        <v>-22</v>
      </c>
      <c r="Q1684" s="4" t="s">
        <v>26</v>
      </c>
      <c r="R1684" s="4">
        <v>0</v>
      </c>
      <c r="S1684" s="6">
        <v>0</v>
      </c>
      <c r="T1684" s="6">
        <v>10</v>
      </c>
      <c r="U1684" s="6">
        <v>76</v>
      </c>
      <c r="V1684" s="6">
        <f>IF(ISERROR(VLOOKUP($S$1684,'TAR FIN'!$A$1:$O$104,15,0)),0,VLOOKUP($S$1684,'TAR FIN'!$A$1:$O$104,15,0))</f>
        <v>0</v>
      </c>
      <c r="W1684" s="6">
        <f>IF(ISERROR(VLOOKUP($T$1684,'TAR FIN'!$A$1:$O$104,15,0)),0,VLOOKUP($T$1684,'TAR FIN'!$A$1:$O$104,15,0))</f>
        <v>299.57</v>
      </c>
      <c r="X1684" s="6">
        <f>IF(ISERROR(VLOOKUP($U$1684,'TAR FIN'!$A$1:$O$104,15,0)),0,VLOOKUP($U$1684,'TAR FIN'!$A$1:$O$104,15,0))</f>
        <v>255.72</v>
      </c>
      <c r="Y1684" s="6"/>
      <c r="Z1684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84" s="6">
        <f>('TE BE'!$AB$17+'TE BF'!$AB$17+'TE CVA'!$AB$17)*(1-CUSTOS!$M$37)</f>
        <v>242.47071701268419</v>
      </c>
      <c r="AB1684" s="6">
        <f>$K$1684*$V$1684</f>
        <v>0</v>
      </c>
      <c r="AC1684" s="6">
        <f>$M$1684*$W$1684</f>
        <v>-4222.4391500000002</v>
      </c>
      <c r="AD1684" s="6">
        <f>$O$1684*$X$1684</f>
        <v>-3604.3733999999999</v>
      </c>
      <c r="AE1684" s="6">
        <f>$K$1684*$Y$1684</f>
        <v>0</v>
      </c>
      <c r="AF1684" s="6">
        <f ca="1">$M$1684*$Z$1684</f>
        <v>-4119.4136614396502</v>
      </c>
      <c r="AG1684" s="6">
        <f>$O$1684*$AA$1684</f>
        <v>-3417.6247562937838</v>
      </c>
    </row>
    <row r="1685" spans="1:33" ht="11.25" customHeight="1" x14ac:dyDescent="0.25">
      <c r="A1685" s="4" t="s">
        <v>28</v>
      </c>
      <c r="B1685" s="4" t="s">
        <v>22</v>
      </c>
      <c r="C1685" s="4" t="s">
        <v>23</v>
      </c>
      <c r="D1685" s="4" t="s">
        <v>24</v>
      </c>
      <c r="E1685" s="4" t="s">
        <v>32</v>
      </c>
      <c r="F1685" s="4" t="s">
        <v>25</v>
      </c>
      <c r="G1685" s="4" t="s">
        <v>25</v>
      </c>
      <c r="H1685" s="4" t="s">
        <v>25</v>
      </c>
      <c r="I1685" s="5">
        <v>44440</v>
      </c>
      <c r="J1685" s="6">
        <v>0</v>
      </c>
      <c r="K1685" s="6">
        <v>0</v>
      </c>
      <c r="L1685" s="6">
        <v>48.887999999999998</v>
      </c>
      <c r="M1685" s="6">
        <v>48.887999999999998</v>
      </c>
      <c r="N1685" s="6">
        <v>48.887999999999998</v>
      </c>
      <c r="O1685" s="6">
        <v>48.887999999999998</v>
      </c>
      <c r="P1685" s="6">
        <v>335</v>
      </c>
      <c r="Q1685" s="4" t="s">
        <v>26</v>
      </c>
      <c r="R1685" s="4">
        <v>0</v>
      </c>
      <c r="S1685" s="6">
        <v>0</v>
      </c>
      <c r="T1685" s="6">
        <v>10</v>
      </c>
      <c r="U1685" s="6">
        <v>76</v>
      </c>
      <c r="V1685" s="6">
        <f>IF(ISERROR(VLOOKUP($S$1685,'TAR FIN'!$A$1:$O$104,15,0)),0,VLOOKUP($S$1685,'TAR FIN'!$A$1:$O$104,15,0))</f>
        <v>0</v>
      </c>
      <c r="W1685" s="6">
        <f>IF(ISERROR(VLOOKUP($T$1685,'TAR FIN'!$A$1:$O$104,15,0)),0,VLOOKUP($T$1685,'TAR FIN'!$A$1:$O$104,15,0))</f>
        <v>299.57</v>
      </c>
      <c r="X1685" s="6">
        <f>IF(ISERROR(VLOOKUP($U$1685,'TAR FIN'!$A$1:$O$104,15,0)),0,VLOOKUP($U$1685,'TAR FIN'!$A$1:$O$104,15,0))</f>
        <v>255.72</v>
      </c>
      <c r="Y1685" s="6"/>
      <c r="Z1685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85" s="6">
        <f>('TE BE'!$AB$17+'TE BF'!$AB$17+'TE CVA'!$AB$17)*(1-CUSTOS!$M$37)</f>
        <v>242.47071701268419</v>
      </c>
      <c r="AB1685" s="6">
        <f>$K$1685*$V$1685</f>
        <v>0</v>
      </c>
      <c r="AC1685" s="6">
        <f>$M$1685*$W$1685</f>
        <v>14645.378159999998</v>
      </c>
      <c r="AD1685" s="6">
        <f>$O$1685*$X$1685</f>
        <v>12501.639359999999</v>
      </c>
      <c r="AE1685" s="6">
        <f>$K$1685*$Y$1685</f>
        <v>0</v>
      </c>
      <c r="AF1685" s="6">
        <f ca="1">$M$1685*$Z$1685</f>
        <v>14288.037962430762</v>
      </c>
      <c r="AG1685" s="6">
        <f>$O$1685*$AA$1685</f>
        <v>11853.908413316105</v>
      </c>
    </row>
    <row r="1686" spans="1:33" ht="11.25" customHeight="1" x14ac:dyDescent="0.25">
      <c r="A1686" s="4" t="s">
        <v>21</v>
      </c>
      <c r="B1686" s="4" t="s">
        <v>22</v>
      </c>
      <c r="C1686" s="4" t="s">
        <v>23</v>
      </c>
      <c r="D1686" s="4" t="s">
        <v>24</v>
      </c>
      <c r="E1686" s="4" t="s">
        <v>32</v>
      </c>
      <c r="F1686" s="4" t="s">
        <v>25</v>
      </c>
      <c r="G1686" s="4" t="s">
        <v>25</v>
      </c>
      <c r="H1686" s="4" t="s">
        <v>25</v>
      </c>
      <c r="I1686" s="5">
        <v>44470</v>
      </c>
      <c r="J1686" s="6">
        <v>0</v>
      </c>
      <c r="K1686" s="6">
        <v>0</v>
      </c>
      <c r="L1686" s="6">
        <v>3295.3270000000002</v>
      </c>
      <c r="M1686" s="6">
        <v>3295.3270000000002</v>
      </c>
      <c r="N1686" s="6">
        <v>3295.3270000000002</v>
      </c>
      <c r="O1686" s="6">
        <v>3295.3270000000002</v>
      </c>
      <c r="P1686" s="6">
        <v>34370</v>
      </c>
      <c r="Q1686" s="4" t="s">
        <v>26</v>
      </c>
      <c r="R1686" s="4">
        <v>0</v>
      </c>
      <c r="S1686" s="6">
        <v>0</v>
      </c>
      <c r="T1686" s="6">
        <v>10</v>
      </c>
      <c r="U1686" s="6">
        <v>76</v>
      </c>
      <c r="V1686" s="6">
        <f>IF(ISERROR(VLOOKUP($S$1686,'TAR FIN'!$A$1:$O$104,15,0)),0,VLOOKUP($S$1686,'TAR FIN'!$A$1:$O$104,15,0))</f>
        <v>0</v>
      </c>
      <c r="W1686" s="6">
        <f>IF(ISERROR(VLOOKUP($T$1686,'TAR FIN'!$A$1:$O$104,15,0)),0,VLOOKUP($T$1686,'TAR FIN'!$A$1:$O$104,15,0))</f>
        <v>299.57</v>
      </c>
      <c r="X1686" s="6">
        <f>IF(ISERROR(VLOOKUP($U$1686,'TAR FIN'!$A$1:$O$104,15,0)),0,VLOOKUP($U$1686,'TAR FIN'!$A$1:$O$104,15,0))</f>
        <v>255.72</v>
      </c>
      <c r="Y1686" s="6"/>
      <c r="Z1686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86" s="6">
        <f>('TE BE'!$AB$17+'TE BF'!$AB$17+'TE CVA'!$AB$17)*(1-CUSTOS!$M$37)</f>
        <v>242.47071701268419</v>
      </c>
      <c r="AB1686" s="6">
        <f>$K$1686*$V$1686</f>
        <v>0</v>
      </c>
      <c r="AC1686" s="6">
        <f>$M$1686*$W$1686</f>
        <v>987181.10939</v>
      </c>
      <c r="AD1686" s="6">
        <f>$O$1686*$X$1686</f>
        <v>842681.02044000011</v>
      </c>
      <c r="AE1686" s="6">
        <f>$K$1686*$Y$1686</f>
        <v>0</v>
      </c>
      <c r="AF1686" s="6">
        <f ca="1">$M$1686*$Z$1686</f>
        <v>963094.36415118398</v>
      </c>
      <c r="AG1686" s="6">
        <f>$O$1686*$AA$1686</f>
        <v>799020.30048125761</v>
      </c>
    </row>
    <row r="1687" spans="1:33" ht="11.25" customHeight="1" x14ac:dyDescent="0.25">
      <c r="A1687" s="4" t="s">
        <v>27</v>
      </c>
      <c r="B1687" s="4" t="s">
        <v>22</v>
      </c>
      <c r="C1687" s="4" t="s">
        <v>23</v>
      </c>
      <c r="D1687" s="4" t="s">
        <v>24</v>
      </c>
      <c r="E1687" s="4" t="s">
        <v>32</v>
      </c>
      <c r="F1687" s="4" t="s">
        <v>25</v>
      </c>
      <c r="G1687" s="4" t="s">
        <v>25</v>
      </c>
      <c r="H1687" s="4" t="s">
        <v>25</v>
      </c>
      <c r="I1687" s="5">
        <v>44470</v>
      </c>
      <c r="J1687" s="6">
        <v>0</v>
      </c>
      <c r="K1687" s="6">
        <v>0</v>
      </c>
      <c r="L1687" s="6">
        <v>-18.164999999999999</v>
      </c>
      <c r="M1687" s="6">
        <v>-18.164999999999999</v>
      </c>
      <c r="N1687" s="6">
        <v>-18.164999999999999</v>
      </c>
      <c r="O1687" s="6">
        <v>-18.164999999999999</v>
      </c>
      <c r="P1687" s="6">
        <v>-20</v>
      </c>
      <c r="Q1687" s="4" t="s">
        <v>26</v>
      </c>
      <c r="R1687" s="4">
        <v>0</v>
      </c>
      <c r="S1687" s="6">
        <v>0</v>
      </c>
      <c r="T1687" s="6">
        <v>10</v>
      </c>
      <c r="U1687" s="6">
        <v>76</v>
      </c>
      <c r="V1687" s="6">
        <f>IF(ISERROR(VLOOKUP($S$1687,'TAR FIN'!$A$1:$O$104,15,0)),0,VLOOKUP($S$1687,'TAR FIN'!$A$1:$O$104,15,0))</f>
        <v>0</v>
      </c>
      <c r="W1687" s="6">
        <f>IF(ISERROR(VLOOKUP($T$1687,'TAR FIN'!$A$1:$O$104,15,0)),0,VLOOKUP($T$1687,'TAR FIN'!$A$1:$O$104,15,0))</f>
        <v>299.57</v>
      </c>
      <c r="X1687" s="6">
        <f>IF(ISERROR(VLOOKUP($U$1687,'TAR FIN'!$A$1:$O$104,15,0)),0,VLOOKUP($U$1687,'TAR FIN'!$A$1:$O$104,15,0))</f>
        <v>255.72</v>
      </c>
      <c r="Y1687" s="6"/>
      <c r="Z1687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87" s="6">
        <f>('TE BE'!$AB$17+'TE BF'!$AB$17+'TE CVA'!$AB$17)*(1-CUSTOS!$M$37)</f>
        <v>242.47071701268419</v>
      </c>
      <c r="AB1687" s="6">
        <f>$K$1687*$V$1687</f>
        <v>0</v>
      </c>
      <c r="AC1687" s="6">
        <f>$M$1687*$W$1687</f>
        <v>-5441.68905</v>
      </c>
      <c r="AD1687" s="6">
        <f>$O$1687*$X$1687</f>
        <v>-4645.1538</v>
      </c>
      <c r="AE1687" s="6">
        <f>$K$1687*$Y$1687</f>
        <v>0</v>
      </c>
      <c r="AF1687" s="6">
        <f ca="1">$M$1687*$Z$1687</f>
        <v>-5308.9144490990593</v>
      </c>
      <c r="AG1687" s="6">
        <f>$O$1687*$AA$1687</f>
        <v>-4404.4805745354079</v>
      </c>
    </row>
    <row r="1688" spans="1:33" ht="11.25" customHeight="1" x14ac:dyDescent="0.25">
      <c r="A1688" s="4" t="s">
        <v>28</v>
      </c>
      <c r="B1688" s="4" t="s">
        <v>22</v>
      </c>
      <c r="C1688" s="4" t="s">
        <v>23</v>
      </c>
      <c r="D1688" s="4" t="s">
        <v>24</v>
      </c>
      <c r="E1688" s="4" t="s">
        <v>32</v>
      </c>
      <c r="F1688" s="4" t="s">
        <v>25</v>
      </c>
      <c r="G1688" s="4" t="s">
        <v>25</v>
      </c>
      <c r="H1688" s="4" t="s">
        <v>25</v>
      </c>
      <c r="I1688" s="5">
        <v>44470</v>
      </c>
      <c r="J1688" s="6">
        <v>0</v>
      </c>
      <c r="K1688" s="6">
        <v>0</v>
      </c>
      <c r="L1688" s="6">
        <v>65.254000000000005</v>
      </c>
      <c r="M1688" s="6">
        <v>65.254000000000005</v>
      </c>
      <c r="N1688" s="6">
        <v>65.254000000000005</v>
      </c>
      <c r="O1688" s="6">
        <v>65.254000000000005</v>
      </c>
      <c r="P1688" s="6">
        <v>400</v>
      </c>
      <c r="Q1688" s="4" t="s">
        <v>26</v>
      </c>
      <c r="R1688" s="4">
        <v>0</v>
      </c>
      <c r="S1688" s="6">
        <v>0</v>
      </c>
      <c r="T1688" s="6">
        <v>10</v>
      </c>
      <c r="U1688" s="6">
        <v>76</v>
      </c>
      <c r="V1688" s="6">
        <f>IF(ISERROR(VLOOKUP($S$1688,'TAR FIN'!$A$1:$O$104,15,0)),0,VLOOKUP($S$1688,'TAR FIN'!$A$1:$O$104,15,0))</f>
        <v>0</v>
      </c>
      <c r="W1688" s="6">
        <f>IF(ISERROR(VLOOKUP($T$1688,'TAR FIN'!$A$1:$O$104,15,0)),0,VLOOKUP($T$1688,'TAR FIN'!$A$1:$O$104,15,0))</f>
        <v>299.57</v>
      </c>
      <c r="X1688" s="6">
        <f>IF(ISERROR(VLOOKUP($U$1688,'TAR FIN'!$A$1:$O$104,15,0)),0,VLOOKUP($U$1688,'TAR FIN'!$A$1:$O$104,15,0))</f>
        <v>255.72</v>
      </c>
      <c r="Y1688" s="6"/>
      <c r="Z1688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88" s="6">
        <f>('TE BE'!$AB$17+'TE BF'!$AB$17+'TE CVA'!$AB$17)*(1-CUSTOS!$M$37)</f>
        <v>242.47071701268419</v>
      </c>
      <c r="AB1688" s="6">
        <f>$K$1688*$V$1688</f>
        <v>0</v>
      </c>
      <c r="AC1688" s="6">
        <f>$M$1688*$W$1688</f>
        <v>19548.140780000002</v>
      </c>
      <c r="AD1688" s="6">
        <f>$O$1688*$X$1688</f>
        <v>16686.75288</v>
      </c>
      <c r="AE1688" s="6">
        <f>$K$1688*$Y$1688</f>
        <v>0</v>
      </c>
      <c r="AF1688" s="6">
        <f ca="1">$M$1688*$Z$1688</f>
        <v>19071.175527746218</v>
      </c>
      <c r="AG1688" s="6">
        <f>$O$1688*$AA$1688</f>
        <v>15822.184167945696</v>
      </c>
    </row>
    <row r="1689" spans="1:33" ht="11.25" customHeight="1" x14ac:dyDescent="0.25">
      <c r="A1689" s="4" t="s">
        <v>21</v>
      </c>
      <c r="B1689" s="4" t="s">
        <v>22</v>
      </c>
      <c r="C1689" s="4" t="s">
        <v>23</v>
      </c>
      <c r="D1689" s="4" t="s">
        <v>24</v>
      </c>
      <c r="E1689" s="4" t="s">
        <v>32</v>
      </c>
      <c r="F1689" s="4" t="s">
        <v>25</v>
      </c>
      <c r="G1689" s="4" t="s">
        <v>25</v>
      </c>
      <c r="H1689" s="4" t="s">
        <v>25</v>
      </c>
      <c r="I1689" s="5">
        <v>44501</v>
      </c>
      <c r="J1689" s="6">
        <v>0</v>
      </c>
      <c r="K1689" s="6">
        <v>0</v>
      </c>
      <c r="L1689" s="6">
        <v>3196.73</v>
      </c>
      <c r="M1689" s="6">
        <v>3196.73</v>
      </c>
      <c r="N1689" s="6">
        <v>3196.73</v>
      </c>
      <c r="O1689" s="6">
        <v>3196.73</v>
      </c>
      <c r="P1689" s="6">
        <v>34987</v>
      </c>
      <c r="Q1689" s="4" t="s">
        <v>26</v>
      </c>
      <c r="R1689" s="4">
        <v>0</v>
      </c>
      <c r="S1689" s="6">
        <v>0</v>
      </c>
      <c r="T1689" s="6">
        <v>10</v>
      </c>
      <c r="U1689" s="6">
        <v>76</v>
      </c>
      <c r="V1689" s="6">
        <f>IF(ISERROR(VLOOKUP($S$1689,'TAR FIN'!$A$1:$O$104,15,0)),0,VLOOKUP($S$1689,'TAR FIN'!$A$1:$O$104,15,0))</f>
        <v>0</v>
      </c>
      <c r="W1689" s="6">
        <f>IF(ISERROR(VLOOKUP($T$1689,'TAR FIN'!$A$1:$O$104,15,0)),0,VLOOKUP($T$1689,'TAR FIN'!$A$1:$O$104,15,0))</f>
        <v>299.57</v>
      </c>
      <c r="X1689" s="6">
        <f>IF(ISERROR(VLOOKUP($U$1689,'TAR FIN'!$A$1:$O$104,15,0)),0,VLOOKUP($U$1689,'TAR FIN'!$A$1:$O$104,15,0))</f>
        <v>255.72</v>
      </c>
      <c r="Y1689" s="6"/>
      <c r="Z1689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89" s="6">
        <f>('TE BE'!$AB$17+'TE BF'!$AB$17+'TE CVA'!$AB$17)*(1-CUSTOS!$M$37)</f>
        <v>242.47071701268419</v>
      </c>
      <c r="AB1689" s="6">
        <f>$K$1689*$V$1689</f>
        <v>0</v>
      </c>
      <c r="AC1689" s="6">
        <f>$M$1689*$W$1689</f>
        <v>957644.40610000002</v>
      </c>
      <c r="AD1689" s="6">
        <f>$O$1689*$X$1689</f>
        <v>817467.79559999995</v>
      </c>
      <c r="AE1689" s="6">
        <f>$K$1689*$Y$1689</f>
        <v>0</v>
      </c>
      <c r="AF1689" s="6">
        <f ca="1">$M$1689*$Z$1689</f>
        <v>934278.34224433999</v>
      </c>
      <c r="AG1689" s="6">
        <f>$O$1689*$AA$1689</f>
        <v>775113.41519595799</v>
      </c>
    </row>
    <row r="1690" spans="1:33" ht="11.25" customHeight="1" x14ac:dyDescent="0.25">
      <c r="A1690" s="4" t="s">
        <v>27</v>
      </c>
      <c r="B1690" s="4" t="s">
        <v>22</v>
      </c>
      <c r="C1690" s="4" t="s">
        <v>23</v>
      </c>
      <c r="D1690" s="4" t="s">
        <v>24</v>
      </c>
      <c r="E1690" s="4" t="s">
        <v>32</v>
      </c>
      <c r="F1690" s="4" t="s">
        <v>25</v>
      </c>
      <c r="G1690" s="4" t="s">
        <v>25</v>
      </c>
      <c r="H1690" s="4" t="s">
        <v>25</v>
      </c>
      <c r="I1690" s="5">
        <v>44501</v>
      </c>
      <c r="J1690" s="6">
        <v>0</v>
      </c>
      <c r="K1690" s="6">
        <v>0</v>
      </c>
      <c r="L1690" s="6">
        <v>-12.724</v>
      </c>
      <c r="M1690" s="6">
        <v>-12.724</v>
      </c>
      <c r="N1690" s="6">
        <v>-12.724</v>
      </c>
      <c r="O1690" s="6">
        <v>-12.724</v>
      </c>
      <c r="P1690" s="6">
        <v>-18</v>
      </c>
      <c r="Q1690" s="4" t="s">
        <v>26</v>
      </c>
      <c r="R1690" s="4">
        <v>0</v>
      </c>
      <c r="S1690" s="6">
        <v>0</v>
      </c>
      <c r="T1690" s="6">
        <v>10</v>
      </c>
      <c r="U1690" s="6">
        <v>76</v>
      </c>
      <c r="V1690" s="6">
        <f>IF(ISERROR(VLOOKUP($S$1690,'TAR FIN'!$A$1:$O$104,15,0)),0,VLOOKUP($S$1690,'TAR FIN'!$A$1:$O$104,15,0))</f>
        <v>0</v>
      </c>
      <c r="W1690" s="6">
        <f>IF(ISERROR(VLOOKUP($T$1690,'TAR FIN'!$A$1:$O$104,15,0)),0,VLOOKUP($T$1690,'TAR FIN'!$A$1:$O$104,15,0))</f>
        <v>299.57</v>
      </c>
      <c r="X1690" s="6">
        <f>IF(ISERROR(VLOOKUP($U$1690,'TAR FIN'!$A$1:$O$104,15,0)),0,VLOOKUP($U$1690,'TAR FIN'!$A$1:$O$104,15,0))</f>
        <v>255.72</v>
      </c>
      <c r="Y1690" s="6"/>
      <c r="Z1690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90" s="6">
        <f>('TE BE'!$AB$17+'TE BF'!$AB$17+'TE CVA'!$AB$17)*(1-CUSTOS!$M$37)</f>
        <v>242.47071701268419</v>
      </c>
      <c r="AB1690" s="6">
        <f>$K$1690*$V$1690</f>
        <v>0</v>
      </c>
      <c r="AC1690" s="6">
        <f>$M$1690*$W$1690</f>
        <v>-3811.7286800000002</v>
      </c>
      <c r="AD1690" s="6">
        <f>$O$1690*$X$1690</f>
        <v>-3253.7812800000002</v>
      </c>
      <c r="AE1690" s="6">
        <f>$K$1690*$Y$1690</f>
        <v>0</v>
      </c>
      <c r="AF1690" s="6">
        <f ca="1">$M$1690*$Z$1690</f>
        <v>-3718.7243297735445</v>
      </c>
      <c r="AG1690" s="6">
        <f>$O$1690*$AA$1690</f>
        <v>-3085.1974032693938</v>
      </c>
    </row>
    <row r="1691" spans="1:33" ht="11.25" customHeight="1" x14ac:dyDescent="0.25">
      <c r="A1691" s="4" t="s">
        <v>28</v>
      </c>
      <c r="B1691" s="4" t="s">
        <v>22</v>
      </c>
      <c r="C1691" s="4" t="s">
        <v>23</v>
      </c>
      <c r="D1691" s="4" t="s">
        <v>24</v>
      </c>
      <c r="E1691" s="4" t="s">
        <v>32</v>
      </c>
      <c r="F1691" s="4" t="s">
        <v>25</v>
      </c>
      <c r="G1691" s="4" t="s">
        <v>25</v>
      </c>
      <c r="H1691" s="4" t="s">
        <v>25</v>
      </c>
      <c r="I1691" s="5">
        <v>44501</v>
      </c>
      <c r="J1691" s="6">
        <v>0</v>
      </c>
      <c r="K1691" s="6">
        <v>0</v>
      </c>
      <c r="L1691" s="6">
        <v>69.477999999999994</v>
      </c>
      <c r="M1691" s="6">
        <v>69.477999999999994</v>
      </c>
      <c r="N1691" s="6">
        <v>69.477999999999994</v>
      </c>
      <c r="O1691" s="6">
        <v>69.477999999999994</v>
      </c>
      <c r="P1691" s="6">
        <v>453</v>
      </c>
      <c r="Q1691" s="4" t="s">
        <v>26</v>
      </c>
      <c r="R1691" s="4">
        <v>0</v>
      </c>
      <c r="S1691" s="6">
        <v>0</v>
      </c>
      <c r="T1691" s="6">
        <v>10</v>
      </c>
      <c r="U1691" s="6">
        <v>76</v>
      </c>
      <c r="V1691" s="6">
        <f>IF(ISERROR(VLOOKUP($S$1691,'TAR FIN'!$A$1:$O$104,15,0)),0,VLOOKUP($S$1691,'TAR FIN'!$A$1:$O$104,15,0))</f>
        <v>0</v>
      </c>
      <c r="W1691" s="6">
        <f>IF(ISERROR(VLOOKUP($T$1691,'TAR FIN'!$A$1:$O$104,15,0)),0,VLOOKUP($T$1691,'TAR FIN'!$A$1:$O$104,15,0))</f>
        <v>299.57</v>
      </c>
      <c r="X1691" s="6">
        <f>IF(ISERROR(VLOOKUP($U$1691,'TAR FIN'!$A$1:$O$104,15,0)),0,VLOOKUP($U$1691,'TAR FIN'!$A$1:$O$104,15,0))</f>
        <v>255.72</v>
      </c>
      <c r="Y1691" s="6"/>
      <c r="Z1691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91" s="6">
        <f>('TE BE'!$AB$17+'TE BF'!$AB$17+'TE CVA'!$AB$17)*(1-CUSTOS!$M$37)</f>
        <v>242.47071701268419</v>
      </c>
      <c r="AB1691" s="6">
        <f>$K$1691*$V$1691</f>
        <v>0</v>
      </c>
      <c r="AC1691" s="6">
        <f>$M$1691*$W$1691</f>
        <v>20813.524459999997</v>
      </c>
      <c r="AD1691" s="6">
        <f>$O$1691*$X$1691</f>
        <v>17766.91416</v>
      </c>
      <c r="AE1691" s="6">
        <f>$K$1691*$Y$1691</f>
        <v>0</v>
      </c>
      <c r="AF1691" s="6">
        <f ca="1">$M$1691*$Z$1691</f>
        <v>20305.684453317062</v>
      </c>
      <c r="AG1691" s="6">
        <f>$O$1691*$AA$1691</f>
        <v>16846.380476607272</v>
      </c>
    </row>
    <row r="1692" spans="1:33" ht="11.25" customHeight="1" x14ac:dyDescent="0.25">
      <c r="A1692" s="4" t="s">
        <v>21</v>
      </c>
      <c r="B1692" s="4" t="s">
        <v>22</v>
      </c>
      <c r="C1692" s="4" t="s">
        <v>23</v>
      </c>
      <c r="D1692" s="4" t="s">
        <v>24</v>
      </c>
      <c r="E1692" s="4" t="s">
        <v>32</v>
      </c>
      <c r="F1692" s="4" t="s">
        <v>25</v>
      </c>
      <c r="G1692" s="4" t="s">
        <v>25</v>
      </c>
      <c r="H1692" s="4" t="s">
        <v>25</v>
      </c>
      <c r="I1692" s="5">
        <v>44531</v>
      </c>
      <c r="J1692" s="6">
        <v>0</v>
      </c>
      <c r="K1692" s="6">
        <v>0</v>
      </c>
      <c r="L1692" s="6">
        <v>4843.7380000000003</v>
      </c>
      <c r="M1692" s="6">
        <v>4843.7380000000003</v>
      </c>
      <c r="N1692" s="6">
        <v>4843.7380000000003</v>
      </c>
      <c r="O1692" s="6">
        <v>4843.7380000000003</v>
      </c>
      <c r="P1692" s="6">
        <v>47750</v>
      </c>
      <c r="Q1692" s="4" t="s">
        <v>26</v>
      </c>
      <c r="R1692" s="4">
        <v>0</v>
      </c>
      <c r="S1692" s="6">
        <v>0</v>
      </c>
      <c r="T1692" s="6">
        <v>10</v>
      </c>
      <c r="U1692" s="6">
        <v>76</v>
      </c>
      <c r="V1692" s="6">
        <f>IF(ISERROR(VLOOKUP($S$1692,'TAR FIN'!$A$1:$O$104,15,0)),0,VLOOKUP($S$1692,'TAR FIN'!$A$1:$O$104,15,0))</f>
        <v>0</v>
      </c>
      <c r="W1692" s="6">
        <f>IF(ISERROR(VLOOKUP($T$1692,'TAR FIN'!$A$1:$O$104,15,0)),0,VLOOKUP($T$1692,'TAR FIN'!$A$1:$O$104,15,0))</f>
        <v>299.57</v>
      </c>
      <c r="X1692" s="6">
        <f>IF(ISERROR(VLOOKUP($U$1692,'TAR FIN'!$A$1:$O$104,15,0)),0,VLOOKUP($U$1692,'TAR FIN'!$A$1:$O$104,15,0))</f>
        <v>255.72</v>
      </c>
      <c r="Y1692" s="6"/>
      <c r="Z1692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92" s="6">
        <f>('TE BE'!$AB$17+'TE BF'!$AB$17+'TE CVA'!$AB$17)*(1-CUSTOS!$M$37)</f>
        <v>242.47071701268419</v>
      </c>
      <c r="AB1692" s="6">
        <f>$K$1692*$V$1692</f>
        <v>0</v>
      </c>
      <c r="AC1692" s="6">
        <f>$M$1692*$W$1692</f>
        <v>1451038.5926600001</v>
      </c>
      <c r="AD1692" s="6">
        <f>$O$1692*$X$1692</f>
        <v>1238640.68136</v>
      </c>
      <c r="AE1692" s="6">
        <f>$K$1692*$Y$1692</f>
        <v>0</v>
      </c>
      <c r="AF1692" s="6">
        <f ca="1">$M$1692*$Z$1692</f>
        <v>1415633.9474731728</v>
      </c>
      <c r="AG1692" s="6">
        <f>$O$1692*$AA$1692</f>
        <v>1174464.6258815851</v>
      </c>
    </row>
    <row r="1693" spans="1:33" ht="11.25" customHeight="1" x14ac:dyDescent="0.25">
      <c r="A1693" s="4" t="s">
        <v>27</v>
      </c>
      <c r="B1693" s="4" t="s">
        <v>22</v>
      </c>
      <c r="C1693" s="4" t="s">
        <v>23</v>
      </c>
      <c r="D1693" s="4" t="s">
        <v>24</v>
      </c>
      <c r="E1693" s="4" t="s">
        <v>32</v>
      </c>
      <c r="F1693" s="4" t="s">
        <v>25</v>
      </c>
      <c r="G1693" s="4" t="s">
        <v>25</v>
      </c>
      <c r="H1693" s="4" t="s">
        <v>25</v>
      </c>
      <c r="I1693" s="5">
        <v>44531</v>
      </c>
      <c r="J1693" s="6">
        <v>0</v>
      </c>
      <c r="K1693" s="6">
        <v>0</v>
      </c>
      <c r="L1693" s="6">
        <v>-28.105</v>
      </c>
      <c r="M1693" s="6">
        <v>-28.105</v>
      </c>
      <c r="N1693" s="6">
        <v>-28.105</v>
      </c>
      <c r="O1693" s="6">
        <v>-28.105</v>
      </c>
      <c r="P1693" s="6">
        <v>-21</v>
      </c>
      <c r="Q1693" s="4" t="s">
        <v>26</v>
      </c>
      <c r="R1693" s="4">
        <v>0</v>
      </c>
      <c r="S1693" s="6">
        <v>0</v>
      </c>
      <c r="T1693" s="6">
        <v>10</v>
      </c>
      <c r="U1693" s="6">
        <v>76</v>
      </c>
      <c r="V1693" s="6">
        <f>IF(ISERROR(VLOOKUP($S$1693,'TAR FIN'!$A$1:$O$104,15,0)),0,VLOOKUP($S$1693,'TAR FIN'!$A$1:$O$104,15,0))</f>
        <v>0</v>
      </c>
      <c r="W1693" s="6">
        <f>IF(ISERROR(VLOOKUP($T$1693,'TAR FIN'!$A$1:$O$104,15,0)),0,VLOOKUP($T$1693,'TAR FIN'!$A$1:$O$104,15,0))</f>
        <v>299.57</v>
      </c>
      <c r="X1693" s="6">
        <f>IF(ISERROR(VLOOKUP($U$1693,'TAR FIN'!$A$1:$O$104,15,0)),0,VLOOKUP($U$1693,'TAR FIN'!$A$1:$O$104,15,0))</f>
        <v>255.72</v>
      </c>
      <c r="Y1693" s="6"/>
      <c r="Z1693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93" s="6">
        <f>('TE BE'!$AB$17+'TE BF'!$AB$17+'TE CVA'!$AB$17)*(1-CUSTOS!$M$37)</f>
        <v>242.47071701268419</v>
      </c>
      <c r="AB1693" s="6">
        <f>$K$1693*$V$1693</f>
        <v>0</v>
      </c>
      <c r="AC1693" s="6">
        <f>$M$1693*$W$1693</f>
        <v>-8419.4148499999992</v>
      </c>
      <c r="AD1693" s="6">
        <f>$O$1693*$X$1693</f>
        <v>-7187.0106000000005</v>
      </c>
      <c r="AE1693" s="6">
        <f>$K$1693*$Y$1693</f>
        <v>0</v>
      </c>
      <c r="AF1693" s="6">
        <f ca="1">$M$1693*$Z$1693</f>
        <v>-8213.9851688372728</v>
      </c>
      <c r="AG1693" s="6">
        <f>$O$1693*$AA$1693</f>
        <v>-6814.639501641489</v>
      </c>
    </row>
    <row r="1694" spans="1:33" ht="11.25" customHeight="1" x14ac:dyDescent="0.25">
      <c r="A1694" s="4" t="s">
        <v>28</v>
      </c>
      <c r="B1694" s="4" t="s">
        <v>22</v>
      </c>
      <c r="C1694" s="4" t="s">
        <v>23</v>
      </c>
      <c r="D1694" s="4" t="s">
        <v>24</v>
      </c>
      <c r="E1694" s="4" t="s">
        <v>32</v>
      </c>
      <c r="F1694" s="4" t="s">
        <v>25</v>
      </c>
      <c r="G1694" s="4" t="s">
        <v>25</v>
      </c>
      <c r="H1694" s="4" t="s">
        <v>25</v>
      </c>
      <c r="I1694" s="5">
        <v>44531</v>
      </c>
      <c r="J1694" s="6">
        <v>0</v>
      </c>
      <c r="K1694" s="6">
        <v>0</v>
      </c>
      <c r="L1694" s="6">
        <v>95.070999999999998</v>
      </c>
      <c r="M1694" s="6">
        <v>95.070999999999998</v>
      </c>
      <c r="N1694" s="6">
        <v>95.070999999999998</v>
      </c>
      <c r="O1694" s="6">
        <v>95.070999999999998</v>
      </c>
      <c r="P1694" s="6">
        <v>502</v>
      </c>
      <c r="Q1694" s="4" t="s">
        <v>26</v>
      </c>
      <c r="R1694" s="4">
        <v>0</v>
      </c>
      <c r="S1694" s="6">
        <v>0</v>
      </c>
      <c r="T1694" s="6">
        <v>10</v>
      </c>
      <c r="U1694" s="6">
        <v>76</v>
      </c>
      <c r="V1694" s="6">
        <f>IF(ISERROR(VLOOKUP($S$1694,'TAR FIN'!$A$1:$O$104,15,0)),0,VLOOKUP($S$1694,'TAR FIN'!$A$1:$O$104,15,0))</f>
        <v>0</v>
      </c>
      <c r="W1694" s="6">
        <f>IF(ISERROR(VLOOKUP($T$1694,'TAR FIN'!$A$1:$O$104,15,0)),0,VLOOKUP($T$1694,'TAR FIN'!$A$1:$O$104,15,0))</f>
        <v>299.57</v>
      </c>
      <c r="X1694" s="6">
        <f>IF(ISERROR(VLOOKUP($U$1694,'TAR FIN'!$A$1:$O$104,15,0)),0,VLOOKUP($U$1694,'TAR FIN'!$A$1:$O$104,15,0))</f>
        <v>255.72</v>
      </c>
      <c r="Y1694" s="6"/>
      <c r="Z1694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94" s="6">
        <f>('TE BE'!$AB$17+'TE BF'!$AB$17+'TE CVA'!$AB$17)*(1-CUSTOS!$M$37)</f>
        <v>242.47071701268419</v>
      </c>
      <c r="AB1694" s="6">
        <f>$K$1694*$V$1694</f>
        <v>0</v>
      </c>
      <c r="AC1694" s="6">
        <f>$M$1694*$W$1694</f>
        <v>28480.419469999997</v>
      </c>
      <c r="AD1694" s="6">
        <f>$O$1694*$X$1694</f>
        <v>24311.556120000001</v>
      </c>
      <c r="AE1694" s="6">
        <f>$K$1694*$Y$1694</f>
        <v>0</v>
      </c>
      <c r="AF1694" s="6">
        <f ca="1">$M$1694*$Z$1694</f>
        <v>27785.510905053492</v>
      </c>
      <c r="AG1694" s="6">
        <f>$O$1694*$AA$1694</f>
        <v>23051.933537112898</v>
      </c>
    </row>
    <row r="1695" spans="1:33" ht="11.25" customHeight="1" x14ac:dyDescent="0.25">
      <c r="A1695" s="4" t="s">
        <v>21</v>
      </c>
      <c r="B1695" s="4" t="s">
        <v>22</v>
      </c>
      <c r="C1695" s="4" t="s">
        <v>23</v>
      </c>
      <c r="D1695" s="4" t="s">
        <v>24</v>
      </c>
      <c r="E1695" s="4" t="s">
        <v>32</v>
      </c>
      <c r="F1695" s="4" t="s">
        <v>25</v>
      </c>
      <c r="G1695" s="4" t="s">
        <v>25</v>
      </c>
      <c r="H1695" s="4" t="s">
        <v>25</v>
      </c>
      <c r="I1695" s="5">
        <v>44562</v>
      </c>
      <c r="J1695" s="6">
        <v>0</v>
      </c>
      <c r="K1695" s="6">
        <v>0</v>
      </c>
      <c r="L1695" s="6">
        <v>3844.5459999999998</v>
      </c>
      <c r="M1695" s="6">
        <v>3844.5459999999998</v>
      </c>
      <c r="N1695" s="6">
        <v>3844.5459999999998</v>
      </c>
      <c r="O1695" s="6">
        <v>3844.5459999999998</v>
      </c>
      <c r="P1695" s="6">
        <v>39341</v>
      </c>
      <c r="Q1695" s="4" t="s">
        <v>26</v>
      </c>
      <c r="R1695" s="4">
        <v>0</v>
      </c>
      <c r="S1695" s="6">
        <v>0</v>
      </c>
      <c r="T1695" s="6">
        <v>10</v>
      </c>
      <c r="U1695" s="6">
        <v>76</v>
      </c>
      <c r="V1695" s="6">
        <f>IF(ISERROR(VLOOKUP($S$1695,'TAR FIN'!$A$1:$O$104,15,0)),0,VLOOKUP($S$1695,'TAR FIN'!$A$1:$O$104,15,0))</f>
        <v>0</v>
      </c>
      <c r="W1695" s="6">
        <f>IF(ISERROR(VLOOKUP($T$1695,'TAR FIN'!$A$1:$O$104,15,0)),0,VLOOKUP($T$1695,'TAR FIN'!$A$1:$O$104,15,0))</f>
        <v>299.57</v>
      </c>
      <c r="X1695" s="6">
        <f>IF(ISERROR(VLOOKUP($U$1695,'TAR FIN'!$A$1:$O$104,15,0)),0,VLOOKUP($U$1695,'TAR FIN'!$A$1:$O$104,15,0))</f>
        <v>255.72</v>
      </c>
      <c r="Y1695" s="6"/>
      <c r="Z1695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95" s="6">
        <f>('TE BE'!$AB$17+'TE BF'!$AB$17+'TE CVA'!$AB$17)*(1-CUSTOS!$M$37)</f>
        <v>242.47071701268419</v>
      </c>
      <c r="AB1695" s="6">
        <f>$K$1695*$V$1695</f>
        <v>0</v>
      </c>
      <c r="AC1695" s="6">
        <f>$M$1695*$W$1695</f>
        <v>1151710.6452199998</v>
      </c>
      <c r="AD1695" s="6">
        <f>$O$1695*$X$1695</f>
        <v>983127.30311999994</v>
      </c>
      <c r="AE1695" s="6">
        <f>$K$1695*$Y$1695</f>
        <v>0</v>
      </c>
      <c r="AF1695" s="6">
        <f ca="1">$M$1695*$Z$1695</f>
        <v>1123609.458278337</v>
      </c>
      <c r="AG1695" s="6">
        <f>$O$1695*$AA$1695</f>
        <v>932189.82520824694</v>
      </c>
    </row>
    <row r="1696" spans="1:33" ht="11.25" customHeight="1" x14ac:dyDescent="0.25">
      <c r="A1696" s="4" t="s">
        <v>27</v>
      </c>
      <c r="B1696" s="4" t="s">
        <v>22</v>
      </c>
      <c r="C1696" s="4" t="s">
        <v>23</v>
      </c>
      <c r="D1696" s="4" t="s">
        <v>24</v>
      </c>
      <c r="E1696" s="4" t="s">
        <v>32</v>
      </c>
      <c r="F1696" s="4" t="s">
        <v>25</v>
      </c>
      <c r="G1696" s="4" t="s">
        <v>25</v>
      </c>
      <c r="H1696" s="4" t="s">
        <v>25</v>
      </c>
      <c r="I1696" s="5">
        <v>44562</v>
      </c>
      <c r="J1696" s="6">
        <v>0</v>
      </c>
      <c r="K1696" s="6">
        <v>0</v>
      </c>
      <c r="L1696" s="6">
        <v>-13.45</v>
      </c>
      <c r="M1696" s="6">
        <v>-13.45</v>
      </c>
      <c r="N1696" s="6">
        <v>-13.45</v>
      </c>
      <c r="O1696" s="6">
        <v>-13.45</v>
      </c>
      <c r="P1696" s="6">
        <v>-21</v>
      </c>
      <c r="Q1696" s="4" t="s">
        <v>26</v>
      </c>
      <c r="R1696" s="4">
        <v>0</v>
      </c>
      <c r="S1696" s="6">
        <v>0</v>
      </c>
      <c r="T1696" s="6">
        <v>10</v>
      </c>
      <c r="U1696" s="6">
        <v>76</v>
      </c>
      <c r="V1696" s="6">
        <f>IF(ISERROR(VLOOKUP($S$1696,'TAR FIN'!$A$1:$O$104,15,0)),0,VLOOKUP($S$1696,'TAR FIN'!$A$1:$O$104,15,0))</f>
        <v>0</v>
      </c>
      <c r="W1696" s="6">
        <f>IF(ISERROR(VLOOKUP($T$1696,'TAR FIN'!$A$1:$O$104,15,0)),0,VLOOKUP($T$1696,'TAR FIN'!$A$1:$O$104,15,0))</f>
        <v>299.57</v>
      </c>
      <c r="X1696" s="6">
        <f>IF(ISERROR(VLOOKUP($U$1696,'TAR FIN'!$A$1:$O$104,15,0)),0,VLOOKUP($U$1696,'TAR FIN'!$A$1:$O$104,15,0))</f>
        <v>255.72</v>
      </c>
      <c r="Y1696" s="6"/>
      <c r="Z1696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96" s="6">
        <f>('TE BE'!$AB$17+'TE BF'!$AB$17+'TE CVA'!$AB$17)*(1-CUSTOS!$M$37)</f>
        <v>242.47071701268419</v>
      </c>
      <c r="AB1696" s="6">
        <f>$K$1696*$V$1696</f>
        <v>0</v>
      </c>
      <c r="AC1696" s="6">
        <f>$M$1696*$W$1696</f>
        <v>-4029.2164999999995</v>
      </c>
      <c r="AD1696" s="6">
        <f>$O$1696*$X$1696</f>
        <v>-3439.4339999999997</v>
      </c>
      <c r="AE1696" s="6">
        <f>$K$1696*$Y$1696</f>
        <v>0</v>
      </c>
      <c r="AF1696" s="6">
        <f ca="1">$M$1696*$Z$1696</f>
        <v>-3930.9055513560334</v>
      </c>
      <c r="AG1696" s="6">
        <f>$O$1696*$AA$1696</f>
        <v>-3261.231143820602</v>
      </c>
    </row>
    <row r="1697" spans="1:33" ht="11.25" customHeight="1" x14ac:dyDescent="0.25">
      <c r="A1697" s="4" t="s">
        <v>28</v>
      </c>
      <c r="B1697" s="4" t="s">
        <v>22</v>
      </c>
      <c r="C1697" s="4" t="s">
        <v>23</v>
      </c>
      <c r="D1697" s="4" t="s">
        <v>24</v>
      </c>
      <c r="E1697" s="4" t="s">
        <v>32</v>
      </c>
      <c r="F1697" s="4" t="s">
        <v>25</v>
      </c>
      <c r="G1697" s="4" t="s">
        <v>25</v>
      </c>
      <c r="H1697" s="4" t="s">
        <v>25</v>
      </c>
      <c r="I1697" s="5">
        <v>44562</v>
      </c>
      <c r="J1697" s="6">
        <v>0</v>
      </c>
      <c r="K1697" s="6">
        <v>0</v>
      </c>
      <c r="L1697" s="6">
        <v>74.606999999999999</v>
      </c>
      <c r="M1697" s="6">
        <v>74.606999999999999</v>
      </c>
      <c r="N1697" s="6">
        <v>74.606999999999999</v>
      </c>
      <c r="O1697" s="6">
        <v>74.606999999999999</v>
      </c>
      <c r="P1697" s="6">
        <v>484</v>
      </c>
      <c r="Q1697" s="4" t="s">
        <v>26</v>
      </c>
      <c r="R1697" s="4">
        <v>0</v>
      </c>
      <c r="S1697" s="6">
        <v>0</v>
      </c>
      <c r="T1697" s="6">
        <v>10</v>
      </c>
      <c r="U1697" s="6">
        <v>76</v>
      </c>
      <c r="V1697" s="6">
        <f>IF(ISERROR(VLOOKUP($S$1697,'TAR FIN'!$A$1:$O$104,15,0)),0,VLOOKUP($S$1697,'TAR FIN'!$A$1:$O$104,15,0))</f>
        <v>0</v>
      </c>
      <c r="W1697" s="6">
        <f>IF(ISERROR(VLOOKUP($T$1697,'TAR FIN'!$A$1:$O$104,15,0)),0,VLOOKUP($T$1697,'TAR FIN'!$A$1:$O$104,15,0))</f>
        <v>299.57</v>
      </c>
      <c r="X1697" s="6">
        <f>IF(ISERROR(VLOOKUP($U$1697,'TAR FIN'!$A$1:$O$104,15,0)),0,VLOOKUP($U$1697,'TAR FIN'!$A$1:$O$104,15,0))</f>
        <v>255.72</v>
      </c>
      <c r="Y1697" s="6"/>
      <c r="Z1697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97" s="6">
        <f>('TE BE'!$AB$17+'TE BF'!$AB$17+'TE CVA'!$AB$17)*(1-CUSTOS!$M$37)</f>
        <v>242.47071701268419</v>
      </c>
      <c r="AB1697" s="6">
        <f>$K$1697*$V$1697</f>
        <v>0</v>
      </c>
      <c r="AC1697" s="6">
        <f>$M$1697*$W$1697</f>
        <v>22350.01899</v>
      </c>
      <c r="AD1697" s="6">
        <f>$O$1697*$X$1697</f>
        <v>19078.502039999999</v>
      </c>
      <c r="AE1697" s="6">
        <f>$K$1697*$Y$1697</f>
        <v>0</v>
      </c>
      <c r="AF1697" s="6">
        <f ca="1">$M$1697*$Z$1697</f>
        <v>21804.689254276549</v>
      </c>
      <c r="AG1697" s="6">
        <f>$O$1697*$AA$1697</f>
        <v>18090.01278416533</v>
      </c>
    </row>
    <row r="1698" spans="1:33" ht="11.25" customHeight="1" x14ac:dyDescent="0.25">
      <c r="A1698" s="4" t="s">
        <v>28</v>
      </c>
      <c r="B1698" s="4" t="s">
        <v>22</v>
      </c>
      <c r="C1698" s="4" t="s">
        <v>23</v>
      </c>
      <c r="D1698" s="4" t="s">
        <v>24</v>
      </c>
      <c r="E1698" s="4" t="s">
        <v>32</v>
      </c>
      <c r="F1698" s="4" t="s">
        <v>25</v>
      </c>
      <c r="G1698" s="4" t="s">
        <v>25</v>
      </c>
      <c r="H1698" s="4" t="s">
        <v>25</v>
      </c>
      <c r="I1698" s="5">
        <v>44562</v>
      </c>
      <c r="J1698" s="6">
        <v>0</v>
      </c>
      <c r="K1698" s="6">
        <v>0</v>
      </c>
      <c r="L1698" s="6">
        <v>-1.1060000000000001</v>
      </c>
      <c r="M1698" s="6">
        <v>-1.1060000000000001</v>
      </c>
      <c r="N1698" s="6">
        <v>-1.1060000000000001</v>
      </c>
      <c r="O1698" s="6">
        <v>-1.1060000000000001</v>
      </c>
      <c r="P1698" s="6">
        <v>-1</v>
      </c>
      <c r="Q1698" s="4" t="s">
        <v>26</v>
      </c>
      <c r="R1698" s="4">
        <v>0</v>
      </c>
      <c r="S1698" s="6">
        <v>0</v>
      </c>
      <c r="T1698" s="6">
        <v>10</v>
      </c>
      <c r="U1698" s="6">
        <v>76</v>
      </c>
      <c r="V1698" s="6">
        <f>IF(ISERROR(VLOOKUP($S$1698,'TAR FIN'!$A$1:$O$104,15,0)),0,VLOOKUP($S$1698,'TAR FIN'!$A$1:$O$104,15,0))</f>
        <v>0</v>
      </c>
      <c r="W1698" s="6">
        <f>IF(ISERROR(VLOOKUP($T$1698,'TAR FIN'!$A$1:$O$104,15,0)),0,VLOOKUP($T$1698,'TAR FIN'!$A$1:$O$104,15,0))</f>
        <v>299.57</v>
      </c>
      <c r="X1698" s="6">
        <f>IF(ISERROR(VLOOKUP($U$1698,'TAR FIN'!$A$1:$O$104,15,0)),0,VLOOKUP($U$1698,'TAR FIN'!$A$1:$O$104,15,0))</f>
        <v>255.72</v>
      </c>
      <c r="Y1698" s="6"/>
      <c r="Z1698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98" s="6">
        <f>('TE BE'!$AB$17+'TE BF'!$AB$17+'TE CVA'!$AB$17)*(1-CUSTOS!$M$37)</f>
        <v>242.47071701268419</v>
      </c>
      <c r="AB1698" s="6">
        <f>$K$1698*$V$1698</f>
        <v>0</v>
      </c>
      <c r="AC1698" s="6">
        <f>$M$1698*$W$1698</f>
        <v>-331.32442000000003</v>
      </c>
      <c r="AD1698" s="6">
        <f>$O$1698*$X$1698</f>
        <v>-282.82632000000001</v>
      </c>
      <c r="AE1698" s="6">
        <f>$K$1698*$Y$1698</f>
        <v>0</v>
      </c>
      <c r="AF1698" s="6">
        <f ca="1">$M$1698*$Z$1698</f>
        <v>-323.2402631821393</v>
      </c>
      <c r="AG1698" s="6">
        <f>$O$1698*$AA$1698</f>
        <v>-268.17261301602872</v>
      </c>
    </row>
    <row r="1699" spans="1:33" ht="11.25" customHeight="1" x14ac:dyDescent="0.25">
      <c r="A1699" s="4" t="s">
        <v>21</v>
      </c>
      <c r="B1699" s="4" t="s">
        <v>22</v>
      </c>
      <c r="C1699" s="4" t="s">
        <v>23</v>
      </c>
      <c r="D1699" s="4" t="s">
        <v>24</v>
      </c>
      <c r="E1699" s="4" t="s">
        <v>32</v>
      </c>
      <c r="F1699" s="4" t="s">
        <v>25</v>
      </c>
      <c r="G1699" s="4" t="s">
        <v>25</v>
      </c>
      <c r="H1699" s="4" t="s">
        <v>25</v>
      </c>
      <c r="I1699" s="5">
        <v>44593</v>
      </c>
      <c r="J1699" s="6">
        <v>0</v>
      </c>
      <c r="K1699" s="6">
        <v>0</v>
      </c>
      <c r="L1699" s="6">
        <v>2946.5129999999999</v>
      </c>
      <c r="M1699" s="6">
        <v>2946.5129999999999</v>
      </c>
      <c r="N1699" s="6">
        <v>2946.5129999999999</v>
      </c>
      <c r="O1699" s="6">
        <v>2946.5129999999999</v>
      </c>
      <c r="P1699" s="6">
        <v>31604</v>
      </c>
      <c r="Q1699" s="4" t="s">
        <v>26</v>
      </c>
      <c r="R1699" s="4">
        <v>0</v>
      </c>
      <c r="S1699" s="6">
        <v>0</v>
      </c>
      <c r="T1699" s="6">
        <v>10</v>
      </c>
      <c r="U1699" s="6">
        <v>76</v>
      </c>
      <c r="V1699" s="6">
        <f>IF(ISERROR(VLOOKUP($S$1699,'TAR FIN'!$A$1:$O$104,15,0)),0,VLOOKUP($S$1699,'TAR FIN'!$A$1:$O$104,15,0))</f>
        <v>0</v>
      </c>
      <c r="W1699" s="6">
        <f>IF(ISERROR(VLOOKUP($T$1699,'TAR FIN'!$A$1:$O$104,15,0)),0,VLOOKUP($T$1699,'TAR FIN'!$A$1:$O$104,15,0))</f>
        <v>299.57</v>
      </c>
      <c r="X1699" s="6">
        <f>IF(ISERROR(VLOOKUP($U$1699,'TAR FIN'!$A$1:$O$104,15,0)),0,VLOOKUP($U$1699,'TAR FIN'!$A$1:$O$104,15,0))</f>
        <v>255.72</v>
      </c>
      <c r="Y1699" s="6"/>
      <c r="Z1699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699" s="6">
        <f>('TE BE'!$AB$17+'TE BF'!$AB$17+'TE CVA'!$AB$17)*(1-CUSTOS!$M$37)</f>
        <v>242.47071701268419</v>
      </c>
      <c r="AB1699" s="6">
        <f>$K$1699*$V$1699</f>
        <v>0</v>
      </c>
      <c r="AC1699" s="6">
        <f>$M$1699*$W$1699</f>
        <v>882686.89940999995</v>
      </c>
      <c r="AD1699" s="6">
        <f>$O$1699*$X$1699</f>
        <v>753482.30435999995</v>
      </c>
      <c r="AE1699" s="6">
        <f>$K$1699*$Y$1699</f>
        <v>0</v>
      </c>
      <c r="AF1699" s="6">
        <f ca="1">$M$1699*$Z$1699</f>
        <v>861149.76273923577</v>
      </c>
      <c r="AG1699" s="6">
        <f>$O$1699*$AA$1699</f>
        <v>714443.11979719508</v>
      </c>
    </row>
    <row r="1700" spans="1:33" ht="11.25" customHeight="1" x14ac:dyDescent="0.25">
      <c r="A1700" s="4" t="s">
        <v>27</v>
      </c>
      <c r="B1700" s="4" t="s">
        <v>22</v>
      </c>
      <c r="C1700" s="4" t="s">
        <v>23</v>
      </c>
      <c r="D1700" s="4" t="s">
        <v>24</v>
      </c>
      <c r="E1700" s="4" t="s">
        <v>32</v>
      </c>
      <c r="F1700" s="4" t="s">
        <v>25</v>
      </c>
      <c r="G1700" s="4" t="s">
        <v>25</v>
      </c>
      <c r="H1700" s="4" t="s">
        <v>25</v>
      </c>
      <c r="I1700" s="5">
        <v>44593</v>
      </c>
      <c r="J1700" s="6">
        <v>0</v>
      </c>
      <c r="K1700" s="6">
        <v>0</v>
      </c>
      <c r="L1700" s="6">
        <v>-22.614999999999998</v>
      </c>
      <c r="M1700" s="6">
        <v>-22.614999999999998</v>
      </c>
      <c r="N1700" s="6">
        <v>-22.614999999999998</v>
      </c>
      <c r="O1700" s="6">
        <v>-22.614999999999998</v>
      </c>
      <c r="P1700" s="6">
        <v>-32</v>
      </c>
      <c r="Q1700" s="4" t="s">
        <v>26</v>
      </c>
      <c r="R1700" s="4">
        <v>0</v>
      </c>
      <c r="S1700" s="6">
        <v>0</v>
      </c>
      <c r="T1700" s="6">
        <v>10</v>
      </c>
      <c r="U1700" s="6">
        <v>76</v>
      </c>
      <c r="V1700" s="6">
        <f>IF(ISERROR(VLOOKUP($S$1700,'TAR FIN'!$A$1:$O$104,15,0)),0,VLOOKUP($S$1700,'TAR FIN'!$A$1:$O$104,15,0))</f>
        <v>0</v>
      </c>
      <c r="W1700" s="6">
        <f>IF(ISERROR(VLOOKUP($T$1700,'TAR FIN'!$A$1:$O$104,15,0)),0,VLOOKUP($T$1700,'TAR FIN'!$A$1:$O$104,15,0))</f>
        <v>299.57</v>
      </c>
      <c r="X1700" s="6">
        <f>IF(ISERROR(VLOOKUP($U$1700,'TAR FIN'!$A$1:$O$104,15,0)),0,VLOOKUP($U$1700,'TAR FIN'!$A$1:$O$104,15,0))</f>
        <v>255.72</v>
      </c>
      <c r="Y1700" s="6"/>
      <c r="Z1700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00" s="6">
        <f>('TE BE'!$AB$17+'TE BF'!$AB$17+'TE CVA'!$AB$17)*(1-CUSTOS!$M$37)</f>
        <v>242.47071701268419</v>
      </c>
      <c r="AB1700" s="6">
        <f>$K$1700*$V$1700</f>
        <v>0</v>
      </c>
      <c r="AC1700" s="6">
        <f>$M$1700*$W$1700</f>
        <v>-6774.7755499999994</v>
      </c>
      <c r="AD1700" s="6">
        <f>$O$1700*$X$1700</f>
        <v>-5783.1077999999998</v>
      </c>
      <c r="AE1700" s="6">
        <f>$K$1700*$Y$1700</f>
        <v>0</v>
      </c>
      <c r="AF1700" s="6">
        <f ca="1">$M$1700*$Z$1700</f>
        <v>-6609.4742783581187</v>
      </c>
      <c r="AG1700" s="6">
        <f>$O$1700*$AA$1700</f>
        <v>-5483.4752652418529</v>
      </c>
    </row>
    <row r="1701" spans="1:33" ht="11.25" customHeight="1" x14ac:dyDescent="0.25">
      <c r="A1701" s="4" t="s">
        <v>28</v>
      </c>
      <c r="B1701" s="4" t="s">
        <v>22</v>
      </c>
      <c r="C1701" s="4" t="s">
        <v>23</v>
      </c>
      <c r="D1701" s="4" t="s">
        <v>24</v>
      </c>
      <c r="E1701" s="4" t="s">
        <v>32</v>
      </c>
      <c r="F1701" s="4" t="s">
        <v>25</v>
      </c>
      <c r="G1701" s="4" t="s">
        <v>25</v>
      </c>
      <c r="H1701" s="4" t="s">
        <v>25</v>
      </c>
      <c r="I1701" s="5">
        <v>44593</v>
      </c>
      <c r="J1701" s="6">
        <v>0</v>
      </c>
      <c r="K1701" s="6">
        <v>0</v>
      </c>
      <c r="L1701" s="6">
        <v>62.000999999999998</v>
      </c>
      <c r="M1701" s="6">
        <v>62.000999999999998</v>
      </c>
      <c r="N1701" s="6">
        <v>62.000999999999998</v>
      </c>
      <c r="O1701" s="6">
        <v>62.000999999999998</v>
      </c>
      <c r="P1701" s="6">
        <v>480</v>
      </c>
      <c r="Q1701" s="4" t="s">
        <v>26</v>
      </c>
      <c r="R1701" s="4">
        <v>0</v>
      </c>
      <c r="S1701" s="6">
        <v>0</v>
      </c>
      <c r="T1701" s="6">
        <v>10</v>
      </c>
      <c r="U1701" s="6">
        <v>76</v>
      </c>
      <c r="V1701" s="6">
        <f>IF(ISERROR(VLOOKUP($S$1701,'TAR FIN'!$A$1:$O$104,15,0)),0,VLOOKUP($S$1701,'TAR FIN'!$A$1:$O$104,15,0))</f>
        <v>0</v>
      </c>
      <c r="W1701" s="6">
        <f>IF(ISERROR(VLOOKUP($T$1701,'TAR FIN'!$A$1:$O$104,15,0)),0,VLOOKUP($T$1701,'TAR FIN'!$A$1:$O$104,15,0))</f>
        <v>299.57</v>
      </c>
      <c r="X1701" s="6">
        <f>IF(ISERROR(VLOOKUP($U$1701,'TAR FIN'!$A$1:$O$104,15,0)),0,VLOOKUP($U$1701,'TAR FIN'!$A$1:$O$104,15,0))</f>
        <v>255.72</v>
      </c>
      <c r="Y1701" s="6"/>
      <c r="Z1701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01" s="6">
        <f>('TE BE'!$AB$17+'TE BF'!$AB$17+'TE CVA'!$AB$17)*(1-CUSTOS!$M$37)</f>
        <v>242.47071701268419</v>
      </c>
      <c r="AB1701" s="6">
        <f>$K$1701*$V$1701</f>
        <v>0</v>
      </c>
      <c r="AC1701" s="6">
        <f>$M$1701*$W$1701</f>
        <v>18573.639569999999</v>
      </c>
      <c r="AD1701" s="6">
        <f>$O$1701*$X$1701</f>
        <v>15854.895719999999</v>
      </c>
      <c r="AE1701" s="6">
        <f>$K$1701*$Y$1701</f>
        <v>0</v>
      </c>
      <c r="AF1701" s="6">
        <f ca="1">$M$1701*$Z$1701</f>
        <v>18120.451679526053</v>
      </c>
      <c r="AG1701" s="6">
        <f>$O$1701*$AA$1701</f>
        <v>15033.426925503432</v>
      </c>
    </row>
    <row r="1702" spans="1:33" ht="11.25" customHeight="1" x14ac:dyDescent="0.25">
      <c r="A1702" s="4" t="s">
        <v>21</v>
      </c>
      <c r="B1702" s="4" t="s">
        <v>22</v>
      </c>
      <c r="C1702" s="4" t="s">
        <v>23</v>
      </c>
      <c r="D1702" s="4" t="s">
        <v>24</v>
      </c>
      <c r="E1702" s="4" t="s">
        <v>32</v>
      </c>
      <c r="F1702" s="4" t="s">
        <v>25</v>
      </c>
      <c r="G1702" s="4" t="s">
        <v>25</v>
      </c>
      <c r="H1702" s="4" t="s">
        <v>25</v>
      </c>
      <c r="I1702" s="5">
        <v>44621</v>
      </c>
      <c r="J1702" s="6">
        <v>0</v>
      </c>
      <c r="K1702" s="6">
        <v>0</v>
      </c>
      <c r="L1702" s="6">
        <v>4651.0640000000003</v>
      </c>
      <c r="M1702" s="6">
        <v>4651.0640000000003</v>
      </c>
      <c r="N1702" s="6">
        <v>4651.0640000000003</v>
      </c>
      <c r="O1702" s="6">
        <v>4651.0640000000003</v>
      </c>
      <c r="P1702" s="6">
        <v>47641</v>
      </c>
      <c r="Q1702" s="4" t="s">
        <v>26</v>
      </c>
      <c r="R1702" s="4">
        <v>0</v>
      </c>
      <c r="S1702" s="6">
        <v>0</v>
      </c>
      <c r="T1702" s="6">
        <v>10</v>
      </c>
      <c r="U1702" s="6">
        <v>76</v>
      </c>
      <c r="V1702" s="6">
        <f>IF(ISERROR(VLOOKUP($S$1702,'TAR FIN'!$A$1:$O$104,15,0)),0,VLOOKUP($S$1702,'TAR FIN'!$A$1:$O$104,15,0))</f>
        <v>0</v>
      </c>
      <c r="W1702" s="6">
        <f>IF(ISERROR(VLOOKUP($T$1702,'TAR FIN'!$A$1:$O$104,15,0)),0,VLOOKUP($T$1702,'TAR FIN'!$A$1:$O$104,15,0))</f>
        <v>299.57</v>
      </c>
      <c r="X1702" s="6">
        <f>IF(ISERROR(VLOOKUP($U$1702,'TAR FIN'!$A$1:$O$104,15,0)),0,VLOOKUP($U$1702,'TAR FIN'!$A$1:$O$104,15,0))</f>
        <v>255.72</v>
      </c>
      <c r="Y1702" s="6"/>
      <c r="Z1702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02" s="6">
        <f>('TE BE'!$AB$17+'TE BF'!$AB$17+'TE CVA'!$AB$17)*(1-CUSTOS!$M$37)</f>
        <v>242.47071701268419</v>
      </c>
      <c r="AB1702" s="6">
        <f>$K$1702*$V$1702</f>
        <v>0</v>
      </c>
      <c r="AC1702" s="6">
        <f>$M$1702*$W$1702</f>
        <v>1393319.24248</v>
      </c>
      <c r="AD1702" s="6">
        <f>$O$1702*$X$1702</f>
        <v>1189370.08608</v>
      </c>
      <c r="AE1702" s="6">
        <f>$K$1702*$Y$1702</f>
        <v>0</v>
      </c>
      <c r="AF1702" s="6">
        <f ca="1">$M$1702*$Z$1702</f>
        <v>1359322.9217332492</v>
      </c>
      <c r="AG1702" s="6">
        <f>$O$1702*$AA$1702</f>
        <v>1127746.8229518831</v>
      </c>
    </row>
    <row r="1703" spans="1:33" ht="11.25" customHeight="1" x14ac:dyDescent="0.25">
      <c r="A1703" s="4" t="s">
        <v>27</v>
      </c>
      <c r="B1703" s="4" t="s">
        <v>22</v>
      </c>
      <c r="C1703" s="4" t="s">
        <v>23</v>
      </c>
      <c r="D1703" s="4" t="s">
        <v>24</v>
      </c>
      <c r="E1703" s="4" t="s">
        <v>32</v>
      </c>
      <c r="F1703" s="4" t="s">
        <v>25</v>
      </c>
      <c r="G1703" s="4" t="s">
        <v>25</v>
      </c>
      <c r="H1703" s="4" t="s">
        <v>25</v>
      </c>
      <c r="I1703" s="5">
        <v>44621</v>
      </c>
      <c r="J1703" s="6">
        <v>0</v>
      </c>
      <c r="K1703" s="6">
        <v>0</v>
      </c>
      <c r="L1703" s="6">
        <v>-11.782999999999999</v>
      </c>
      <c r="M1703" s="6">
        <v>-11.782999999999999</v>
      </c>
      <c r="N1703" s="6">
        <v>-11.782999999999999</v>
      </c>
      <c r="O1703" s="6">
        <v>-11.782999999999999</v>
      </c>
      <c r="P1703" s="6">
        <v>-19</v>
      </c>
      <c r="Q1703" s="4" t="s">
        <v>26</v>
      </c>
      <c r="R1703" s="4">
        <v>0</v>
      </c>
      <c r="S1703" s="6">
        <v>0</v>
      </c>
      <c r="T1703" s="6">
        <v>10</v>
      </c>
      <c r="U1703" s="6">
        <v>76</v>
      </c>
      <c r="V1703" s="6">
        <f>IF(ISERROR(VLOOKUP($S$1703,'TAR FIN'!$A$1:$O$104,15,0)),0,VLOOKUP($S$1703,'TAR FIN'!$A$1:$O$104,15,0))</f>
        <v>0</v>
      </c>
      <c r="W1703" s="6">
        <f>IF(ISERROR(VLOOKUP($T$1703,'TAR FIN'!$A$1:$O$104,15,0)),0,VLOOKUP($T$1703,'TAR FIN'!$A$1:$O$104,15,0))</f>
        <v>299.57</v>
      </c>
      <c r="X1703" s="6">
        <f>IF(ISERROR(VLOOKUP($U$1703,'TAR FIN'!$A$1:$O$104,15,0)),0,VLOOKUP($U$1703,'TAR FIN'!$A$1:$O$104,15,0))</f>
        <v>255.72</v>
      </c>
      <c r="Y1703" s="6"/>
      <c r="Z1703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03" s="6">
        <f>('TE BE'!$AB$17+'TE BF'!$AB$17+'TE CVA'!$AB$17)*(1-CUSTOS!$M$37)</f>
        <v>242.47071701268419</v>
      </c>
      <c r="AB1703" s="6">
        <f>$K$1703*$V$1703</f>
        <v>0</v>
      </c>
      <c r="AC1703" s="6">
        <f>$M$1703*$W$1703</f>
        <v>-3529.83331</v>
      </c>
      <c r="AD1703" s="6">
        <f>$O$1703*$X$1703</f>
        <v>-3013.14876</v>
      </c>
      <c r="AE1703" s="6">
        <f>$K$1703*$Y$1703</f>
        <v>0</v>
      </c>
      <c r="AF1703" s="6">
        <f ca="1">$M$1703*$Z$1703</f>
        <v>-3443.7070714965162</v>
      </c>
      <c r="AG1703" s="6">
        <f>$O$1703*$AA$1703</f>
        <v>-2857.0324585604576</v>
      </c>
    </row>
    <row r="1704" spans="1:33" ht="11.25" customHeight="1" x14ac:dyDescent="0.25">
      <c r="A1704" s="4" t="s">
        <v>28</v>
      </c>
      <c r="B1704" s="4" t="s">
        <v>22</v>
      </c>
      <c r="C1704" s="4" t="s">
        <v>23</v>
      </c>
      <c r="D1704" s="4" t="s">
        <v>24</v>
      </c>
      <c r="E1704" s="4" t="s">
        <v>32</v>
      </c>
      <c r="F1704" s="4" t="s">
        <v>25</v>
      </c>
      <c r="G1704" s="4" t="s">
        <v>25</v>
      </c>
      <c r="H1704" s="4" t="s">
        <v>25</v>
      </c>
      <c r="I1704" s="5">
        <v>44621</v>
      </c>
      <c r="J1704" s="6">
        <v>0</v>
      </c>
      <c r="K1704" s="6">
        <v>0</v>
      </c>
      <c r="L1704" s="6">
        <v>75.334000000000003</v>
      </c>
      <c r="M1704" s="6">
        <v>75.334000000000003</v>
      </c>
      <c r="N1704" s="6">
        <v>75.334000000000003</v>
      </c>
      <c r="O1704" s="6">
        <v>75.334000000000003</v>
      </c>
      <c r="P1704" s="6">
        <v>561</v>
      </c>
      <c r="Q1704" s="4" t="s">
        <v>26</v>
      </c>
      <c r="R1704" s="4">
        <v>0</v>
      </c>
      <c r="S1704" s="6">
        <v>0</v>
      </c>
      <c r="T1704" s="6">
        <v>10</v>
      </c>
      <c r="U1704" s="6">
        <v>76</v>
      </c>
      <c r="V1704" s="6">
        <f>IF(ISERROR(VLOOKUP($S$1704,'TAR FIN'!$A$1:$O$104,15,0)),0,VLOOKUP($S$1704,'TAR FIN'!$A$1:$O$104,15,0))</f>
        <v>0</v>
      </c>
      <c r="W1704" s="6">
        <f>IF(ISERROR(VLOOKUP($T$1704,'TAR FIN'!$A$1:$O$104,15,0)),0,VLOOKUP($T$1704,'TAR FIN'!$A$1:$O$104,15,0))</f>
        <v>299.57</v>
      </c>
      <c r="X1704" s="6">
        <f>IF(ISERROR(VLOOKUP($U$1704,'TAR FIN'!$A$1:$O$104,15,0)),0,VLOOKUP($U$1704,'TAR FIN'!$A$1:$O$104,15,0))</f>
        <v>255.72</v>
      </c>
      <c r="Y1704" s="6"/>
      <c r="Z1704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04" s="6">
        <f>('TE BE'!$AB$17+'TE BF'!$AB$17+'TE CVA'!$AB$17)*(1-CUSTOS!$M$37)</f>
        <v>242.47071701268419</v>
      </c>
      <c r="AB1704" s="6">
        <f>$K$1704*$V$1704</f>
        <v>0</v>
      </c>
      <c r="AC1704" s="6">
        <f>$M$1704*$W$1704</f>
        <v>22567.806380000002</v>
      </c>
      <c r="AD1704" s="6">
        <f>$O$1704*$X$1704</f>
        <v>19264.410480000002</v>
      </c>
      <c r="AE1704" s="6">
        <f>$K$1704*$Y$1704</f>
        <v>0</v>
      </c>
      <c r="AF1704" s="6">
        <f ca="1">$M$1704*$Z$1704</f>
        <v>22017.162736494829</v>
      </c>
      <c r="AG1704" s="6">
        <f>$O$1704*$AA$1704</f>
        <v>18266.288995433551</v>
      </c>
    </row>
    <row r="1705" spans="1:33" ht="11.25" customHeight="1" x14ac:dyDescent="0.25">
      <c r="A1705" s="4" t="s">
        <v>21</v>
      </c>
      <c r="B1705" s="4" t="s">
        <v>22</v>
      </c>
      <c r="C1705" s="4" t="s">
        <v>23</v>
      </c>
      <c r="D1705" s="4" t="s">
        <v>24</v>
      </c>
      <c r="E1705" s="4" t="s">
        <v>32</v>
      </c>
      <c r="F1705" s="4" t="s">
        <v>25</v>
      </c>
      <c r="G1705" s="4" t="s">
        <v>25</v>
      </c>
      <c r="H1705" s="4" t="s">
        <v>25</v>
      </c>
      <c r="I1705" s="5">
        <v>44652</v>
      </c>
      <c r="J1705" s="6">
        <v>0</v>
      </c>
      <c r="K1705" s="6">
        <v>0</v>
      </c>
      <c r="L1705" s="6">
        <v>3627.748</v>
      </c>
      <c r="M1705" s="6">
        <v>3627.748</v>
      </c>
      <c r="N1705" s="6">
        <v>3627.748</v>
      </c>
      <c r="O1705" s="6">
        <v>3627.748</v>
      </c>
      <c r="P1705" s="6">
        <v>37884</v>
      </c>
      <c r="Q1705" s="4" t="s">
        <v>26</v>
      </c>
      <c r="R1705" s="4">
        <v>0</v>
      </c>
      <c r="S1705" s="6">
        <v>0</v>
      </c>
      <c r="T1705" s="6">
        <v>10</v>
      </c>
      <c r="U1705" s="6">
        <v>76</v>
      </c>
      <c r="V1705" s="6">
        <f>IF(ISERROR(VLOOKUP($S$1705,'TAR FIN'!$A$1:$O$104,15,0)),0,VLOOKUP($S$1705,'TAR FIN'!$A$1:$O$104,15,0))</f>
        <v>0</v>
      </c>
      <c r="W1705" s="6">
        <f>IF(ISERROR(VLOOKUP($T$1705,'TAR FIN'!$A$1:$O$104,15,0)),0,VLOOKUP($T$1705,'TAR FIN'!$A$1:$O$104,15,0))</f>
        <v>299.57</v>
      </c>
      <c r="X1705" s="6">
        <f>IF(ISERROR(VLOOKUP($U$1705,'TAR FIN'!$A$1:$O$104,15,0)),0,VLOOKUP($U$1705,'TAR FIN'!$A$1:$O$104,15,0))</f>
        <v>255.72</v>
      </c>
      <c r="Y1705" s="6"/>
      <c r="Z1705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05" s="6">
        <f>('TE BE'!$AB$17+'TE BF'!$AB$17+'TE CVA'!$AB$17)*(1-CUSTOS!$M$37)</f>
        <v>242.47071701268419</v>
      </c>
      <c r="AB1705" s="6">
        <f>$K$1705*$V$1705</f>
        <v>0</v>
      </c>
      <c r="AC1705" s="6">
        <f>$M$1705*$W$1705</f>
        <v>1086764.4683600001</v>
      </c>
      <c r="AD1705" s="6">
        <f>$O$1705*$X$1705</f>
        <v>927687.71855999995</v>
      </c>
      <c r="AE1705" s="6">
        <f>$K$1705*$Y$1705</f>
        <v>0</v>
      </c>
      <c r="AF1705" s="6">
        <f ca="1">$M$1705*$Z$1705</f>
        <v>1060247.9369606504</v>
      </c>
      <c r="AG1705" s="6">
        <f>$O$1705*$AA$1705</f>
        <v>879622.65870133101</v>
      </c>
    </row>
    <row r="1706" spans="1:33" ht="11.25" customHeight="1" x14ac:dyDescent="0.25">
      <c r="A1706" s="4" t="s">
        <v>27</v>
      </c>
      <c r="B1706" s="4" t="s">
        <v>22</v>
      </c>
      <c r="C1706" s="4" t="s">
        <v>23</v>
      </c>
      <c r="D1706" s="4" t="s">
        <v>24</v>
      </c>
      <c r="E1706" s="4" t="s">
        <v>32</v>
      </c>
      <c r="F1706" s="4" t="s">
        <v>25</v>
      </c>
      <c r="G1706" s="4" t="s">
        <v>25</v>
      </c>
      <c r="H1706" s="4" t="s">
        <v>25</v>
      </c>
      <c r="I1706" s="5">
        <v>44652</v>
      </c>
      <c r="J1706" s="6">
        <v>0</v>
      </c>
      <c r="K1706" s="6">
        <v>0</v>
      </c>
      <c r="L1706" s="6">
        <v>-19.420999999999999</v>
      </c>
      <c r="M1706" s="6">
        <v>-19.420999999999999</v>
      </c>
      <c r="N1706" s="6">
        <v>-19.420999999999999</v>
      </c>
      <c r="O1706" s="6">
        <v>-19.420999999999999</v>
      </c>
      <c r="P1706" s="6">
        <v>-19</v>
      </c>
      <c r="Q1706" s="4" t="s">
        <v>26</v>
      </c>
      <c r="R1706" s="4">
        <v>0</v>
      </c>
      <c r="S1706" s="6">
        <v>0</v>
      </c>
      <c r="T1706" s="6">
        <v>10</v>
      </c>
      <c r="U1706" s="6">
        <v>76</v>
      </c>
      <c r="V1706" s="6">
        <f>IF(ISERROR(VLOOKUP($S$1706,'TAR FIN'!$A$1:$O$104,15,0)),0,VLOOKUP($S$1706,'TAR FIN'!$A$1:$O$104,15,0))</f>
        <v>0</v>
      </c>
      <c r="W1706" s="6">
        <f>IF(ISERROR(VLOOKUP($T$1706,'TAR FIN'!$A$1:$O$104,15,0)),0,VLOOKUP($T$1706,'TAR FIN'!$A$1:$O$104,15,0))</f>
        <v>299.57</v>
      </c>
      <c r="X1706" s="6">
        <f>IF(ISERROR(VLOOKUP($U$1706,'TAR FIN'!$A$1:$O$104,15,0)),0,VLOOKUP($U$1706,'TAR FIN'!$A$1:$O$104,15,0))</f>
        <v>255.72</v>
      </c>
      <c r="Y1706" s="6"/>
      <c r="Z1706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06" s="6">
        <f>('TE BE'!$AB$17+'TE BF'!$AB$17+'TE CVA'!$AB$17)*(1-CUSTOS!$M$37)</f>
        <v>242.47071701268419</v>
      </c>
      <c r="AB1706" s="6">
        <f>$K$1706*$V$1706</f>
        <v>0</v>
      </c>
      <c r="AC1706" s="6">
        <f>$M$1706*$W$1706</f>
        <v>-5817.9489699999995</v>
      </c>
      <c r="AD1706" s="6">
        <f>$O$1706*$X$1706</f>
        <v>-4966.3381199999994</v>
      </c>
      <c r="AE1706" s="6">
        <f>$K$1706*$Y$1706</f>
        <v>0</v>
      </c>
      <c r="AF1706" s="6">
        <f ca="1">$M$1706*$Z$1706</f>
        <v>-5675.9938076494818</v>
      </c>
      <c r="AG1706" s="6">
        <f>$O$1706*$AA$1706</f>
        <v>-4709.0237951033396</v>
      </c>
    </row>
    <row r="1707" spans="1:33" ht="11.25" customHeight="1" x14ac:dyDescent="0.25">
      <c r="A1707" s="4" t="s">
        <v>28</v>
      </c>
      <c r="B1707" s="4" t="s">
        <v>22</v>
      </c>
      <c r="C1707" s="4" t="s">
        <v>23</v>
      </c>
      <c r="D1707" s="4" t="s">
        <v>24</v>
      </c>
      <c r="E1707" s="4" t="s">
        <v>32</v>
      </c>
      <c r="F1707" s="4" t="s">
        <v>25</v>
      </c>
      <c r="G1707" s="4" t="s">
        <v>25</v>
      </c>
      <c r="H1707" s="4" t="s">
        <v>25</v>
      </c>
      <c r="I1707" s="5">
        <v>44652</v>
      </c>
      <c r="J1707" s="6">
        <v>0</v>
      </c>
      <c r="K1707" s="6">
        <v>0</v>
      </c>
      <c r="L1707" s="6">
        <v>68.492000000000004</v>
      </c>
      <c r="M1707" s="6">
        <v>68.492000000000004</v>
      </c>
      <c r="N1707" s="6">
        <v>68.492000000000004</v>
      </c>
      <c r="O1707" s="6">
        <v>68.492000000000004</v>
      </c>
      <c r="P1707" s="6">
        <v>544</v>
      </c>
      <c r="Q1707" s="4" t="s">
        <v>26</v>
      </c>
      <c r="R1707" s="4">
        <v>0</v>
      </c>
      <c r="S1707" s="6">
        <v>0</v>
      </c>
      <c r="T1707" s="6">
        <v>10</v>
      </c>
      <c r="U1707" s="6">
        <v>76</v>
      </c>
      <c r="V1707" s="6">
        <f>IF(ISERROR(VLOOKUP($S$1707,'TAR FIN'!$A$1:$O$104,15,0)),0,VLOOKUP($S$1707,'TAR FIN'!$A$1:$O$104,15,0))</f>
        <v>0</v>
      </c>
      <c r="W1707" s="6">
        <f>IF(ISERROR(VLOOKUP($T$1707,'TAR FIN'!$A$1:$O$104,15,0)),0,VLOOKUP($T$1707,'TAR FIN'!$A$1:$O$104,15,0))</f>
        <v>299.57</v>
      </c>
      <c r="X1707" s="6">
        <f>IF(ISERROR(VLOOKUP($U$1707,'TAR FIN'!$A$1:$O$104,15,0)),0,VLOOKUP($U$1707,'TAR FIN'!$A$1:$O$104,15,0))</f>
        <v>255.72</v>
      </c>
      <c r="Y1707" s="6"/>
      <c r="Z1707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07" s="6">
        <f>('TE BE'!$AB$17+'TE BF'!$AB$17+'TE CVA'!$AB$17)*(1-CUSTOS!$M$37)</f>
        <v>242.47071701268419</v>
      </c>
      <c r="AB1707" s="6">
        <f>$K$1707*$V$1707</f>
        <v>0</v>
      </c>
      <c r="AC1707" s="6">
        <f>$M$1707*$W$1707</f>
        <v>20518.148440000001</v>
      </c>
      <c r="AD1707" s="6">
        <f>$O$1707*$X$1707</f>
        <v>17514.774240000002</v>
      </c>
      <c r="AE1707" s="6">
        <f>$K$1707*$Y$1707</f>
        <v>0</v>
      </c>
      <c r="AF1707" s="6">
        <f ca="1">$M$1707*$Z$1707</f>
        <v>20017.515466429551</v>
      </c>
      <c r="AG1707" s="6">
        <f>$O$1707*$AA$1707</f>
        <v>16607.304349632766</v>
      </c>
    </row>
    <row r="1708" spans="1:33" ht="11.25" customHeight="1" x14ac:dyDescent="0.25">
      <c r="A1708" s="4" t="s">
        <v>21</v>
      </c>
      <c r="B1708" s="4" t="s">
        <v>22</v>
      </c>
      <c r="C1708" s="4" t="s">
        <v>23</v>
      </c>
      <c r="D1708" s="4" t="s">
        <v>24</v>
      </c>
      <c r="E1708" s="4" t="s">
        <v>32</v>
      </c>
      <c r="F1708" s="4" t="s">
        <v>25</v>
      </c>
      <c r="G1708" s="4" t="s">
        <v>25</v>
      </c>
      <c r="H1708" s="4" t="s">
        <v>25</v>
      </c>
      <c r="I1708" s="5">
        <v>44682</v>
      </c>
      <c r="J1708" s="6">
        <v>0</v>
      </c>
      <c r="K1708" s="6">
        <v>0</v>
      </c>
      <c r="L1708" s="6">
        <v>3403.78</v>
      </c>
      <c r="M1708" s="6">
        <v>3403.78</v>
      </c>
      <c r="N1708" s="6">
        <v>3403.78</v>
      </c>
      <c r="O1708" s="6">
        <v>3403.78</v>
      </c>
      <c r="P1708" s="6">
        <v>38015</v>
      </c>
      <c r="Q1708" s="4" t="s">
        <v>26</v>
      </c>
      <c r="R1708" s="4">
        <v>0</v>
      </c>
      <c r="S1708" s="6">
        <v>0</v>
      </c>
      <c r="T1708" s="6">
        <v>10</v>
      </c>
      <c r="U1708" s="6">
        <v>76</v>
      </c>
      <c r="V1708" s="6">
        <f>IF(ISERROR(VLOOKUP($S$1708,'TAR FIN'!$A$1:$O$104,15,0)),0,VLOOKUP($S$1708,'TAR FIN'!$A$1:$O$104,15,0))</f>
        <v>0</v>
      </c>
      <c r="W1708" s="6">
        <f>IF(ISERROR(VLOOKUP($T$1708,'TAR FIN'!$A$1:$O$104,15,0)),0,VLOOKUP($T$1708,'TAR FIN'!$A$1:$O$104,15,0))</f>
        <v>299.57</v>
      </c>
      <c r="X1708" s="6">
        <f>IF(ISERROR(VLOOKUP($U$1708,'TAR FIN'!$A$1:$O$104,15,0)),0,VLOOKUP($U$1708,'TAR FIN'!$A$1:$O$104,15,0))</f>
        <v>255.72</v>
      </c>
      <c r="Y1708" s="6"/>
      <c r="Z1708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08" s="6">
        <f>('TE BE'!$AB$17+'TE BF'!$AB$17+'TE CVA'!$AB$17)*(1-CUSTOS!$M$37)</f>
        <v>242.47071701268419</v>
      </c>
      <c r="AB1708" s="6">
        <f>$K$1708*$V$1708</f>
        <v>0</v>
      </c>
      <c r="AC1708" s="6">
        <f>$M$1708*$W$1708</f>
        <v>1019670.3746</v>
      </c>
      <c r="AD1708" s="6">
        <f>$O$1708*$X$1708</f>
        <v>870414.62160000007</v>
      </c>
      <c r="AE1708" s="6">
        <f>$K$1708*$Y$1708</f>
        <v>0</v>
      </c>
      <c r="AF1708" s="6">
        <f ca="1">$M$1708*$Z$1708</f>
        <v>994790.90688435989</v>
      </c>
      <c r="AG1708" s="6">
        <f>$O$1708*$AA$1708</f>
        <v>825316.97715343419</v>
      </c>
    </row>
    <row r="1709" spans="1:33" ht="11.25" customHeight="1" x14ac:dyDescent="0.25">
      <c r="A1709" s="4" t="s">
        <v>27</v>
      </c>
      <c r="B1709" s="4" t="s">
        <v>22</v>
      </c>
      <c r="C1709" s="4" t="s">
        <v>23</v>
      </c>
      <c r="D1709" s="4" t="s">
        <v>24</v>
      </c>
      <c r="E1709" s="4" t="s">
        <v>32</v>
      </c>
      <c r="F1709" s="4" t="s">
        <v>25</v>
      </c>
      <c r="G1709" s="4" t="s">
        <v>25</v>
      </c>
      <c r="H1709" s="4" t="s">
        <v>25</v>
      </c>
      <c r="I1709" s="5">
        <v>44682</v>
      </c>
      <c r="J1709" s="6">
        <v>0</v>
      </c>
      <c r="K1709" s="6">
        <v>0</v>
      </c>
      <c r="L1709" s="6">
        <v>-19.036999999999999</v>
      </c>
      <c r="M1709" s="6">
        <v>-19.036999999999999</v>
      </c>
      <c r="N1709" s="6">
        <v>-19.036999999999999</v>
      </c>
      <c r="O1709" s="6">
        <v>-19.036999999999999</v>
      </c>
      <c r="P1709" s="6">
        <v>-26</v>
      </c>
      <c r="Q1709" s="4" t="s">
        <v>26</v>
      </c>
      <c r="R1709" s="4">
        <v>0</v>
      </c>
      <c r="S1709" s="6">
        <v>0</v>
      </c>
      <c r="T1709" s="6">
        <v>10</v>
      </c>
      <c r="U1709" s="6">
        <v>76</v>
      </c>
      <c r="V1709" s="6">
        <f>IF(ISERROR(VLOOKUP($S$1709,'TAR FIN'!$A$1:$O$104,15,0)),0,VLOOKUP($S$1709,'TAR FIN'!$A$1:$O$104,15,0))</f>
        <v>0</v>
      </c>
      <c r="W1709" s="6">
        <f>IF(ISERROR(VLOOKUP($T$1709,'TAR FIN'!$A$1:$O$104,15,0)),0,VLOOKUP($T$1709,'TAR FIN'!$A$1:$O$104,15,0))</f>
        <v>299.57</v>
      </c>
      <c r="X1709" s="6">
        <f>IF(ISERROR(VLOOKUP($U$1709,'TAR FIN'!$A$1:$O$104,15,0)),0,VLOOKUP($U$1709,'TAR FIN'!$A$1:$O$104,15,0))</f>
        <v>255.72</v>
      </c>
      <c r="Y1709" s="6"/>
      <c r="Z1709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09" s="6">
        <f>('TE BE'!$AB$17+'TE BF'!$AB$17+'TE CVA'!$AB$17)*(1-CUSTOS!$M$37)</f>
        <v>242.47071701268419</v>
      </c>
      <c r="AB1709" s="6">
        <f>$K$1709*$V$1709</f>
        <v>0</v>
      </c>
      <c r="AC1709" s="6">
        <f>$M$1709*$W$1709</f>
        <v>-5702.9140899999993</v>
      </c>
      <c r="AD1709" s="6">
        <f>$O$1709*$X$1709</f>
        <v>-4868.1416399999998</v>
      </c>
      <c r="AE1709" s="6">
        <f>$K$1709*$Y$1709</f>
        <v>0</v>
      </c>
      <c r="AF1709" s="6">
        <f ca="1">$M$1709*$Z$1709</f>
        <v>-5563.7657235066772</v>
      </c>
      <c r="AG1709" s="6">
        <f>$O$1709*$AA$1709</f>
        <v>-4615.9150397704689</v>
      </c>
    </row>
    <row r="1710" spans="1:33" ht="11.25" customHeight="1" x14ac:dyDescent="0.25">
      <c r="A1710" s="4" t="s">
        <v>28</v>
      </c>
      <c r="B1710" s="4" t="s">
        <v>22</v>
      </c>
      <c r="C1710" s="4" t="s">
        <v>23</v>
      </c>
      <c r="D1710" s="4" t="s">
        <v>24</v>
      </c>
      <c r="E1710" s="4" t="s">
        <v>32</v>
      </c>
      <c r="F1710" s="4" t="s">
        <v>25</v>
      </c>
      <c r="G1710" s="4" t="s">
        <v>25</v>
      </c>
      <c r="H1710" s="4" t="s">
        <v>25</v>
      </c>
      <c r="I1710" s="5">
        <v>44682</v>
      </c>
      <c r="J1710" s="6">
        <v>0</v>
      </c>
      <c r="K1710" s="6">
        <v>0</v>
      </c>
      <c r="L1710" s="6">
        <v>73.257999999999996</v>
      </c>
      <c r="M1710" s="6">
        <v>73.257999999999996</v>
      </c>
      <c r="N1710" s="6">
        <v>73.257999999999996</v>
      </c>
      <c r="O1710" s="6">
        <v>73.257999999999996</v>
      </c>
      <c r="P1710" s="6">
        <v>563</v>
      </c>
      <c r="Q1710" s="4" t="s">
        <v>26</v>
      </c>
      <c r="R1710" s="4">
        <v>0</v>
      </c>
      <c r="S1710" s="6">
        <v>0</v>
      </c>
      <c r="T1710" s="6">
        <v>10</v>
      </c>
      <c r="U1710" s="6">
        <v>76</v>
      </c>
      <c r="V1710" s="6">
        <f>IF(ISERROR(VLOOKUP($S$1710,'TAR FIN'!$A$1:$O$104,15,0)),0,VLOOKUP($S$1710,'TAR FIN'!$A$1:$O$104,15,0))</f>
        <v>0</v>
      </c>
      <c r="W1710" s="6">
        <f>IF(ISERROR(VLOOKUP($T$1710,'TAR FIN'!$A$1:$O$104,15,0)),0,VLOOKUP($T$1710,'TAR FIN'!$A$1:$O$104,15,0))</f>
        <v>299.57</v>
      </c>
      <c r="X1710" s="6">
        <f>IF(ISERROR(VLOOKUP($U$1710,'TAR FIN'!$A$1:$O$104,15,0)),0,VLOOKUP($U$1710,'TAR FIN'!$A$1:$O$104,15,0))</f>
        <v>255.72</v>
      </c>
      <c r="Y1710" s="6"/>
      <c r="Z1710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10" s="6">
        <f>('TE BE'!$AB$17+'TE BF'!$AB$17+'TE CVA'!$AB$17)*(1-CUSTOS!$M$37)</f>
        <v>242.47071701268419</v>
      </c>
      <c r="AB1710" s="6">
        <f>$K$1710*$V$1710</f>
        <v>0</v>
      </c>
      <c r="AC1710" s="6">
        <f>$M$1710*$W$1710</f>
        <v>21945.89906</v>
      </c>
      <c r="AD1710" s="6">
        <f>$O$1710*$X$1710</f>
        <v>18733.535759999999</v>
      </c>
      <c r="AE1710" s="6">
        <f>$K$1710*$Y$1710</f>
        <v>0</v>
      </c>
      <c r="AF1710" s="6">
        <f ca="1">$M$1710*$Z$1710</f>
        <v>21410.429656597793</v>
      </c>
      <c r="AG1710" s="6">
        <f>$O$1710*$AA$1710</f>
        <v>17762.919786915216</v>
      </c>
    </row>
    <row r="1711" spans="1:33" ht="11.25" customHeight="1" x14ac:dyDescent="0.25">
      <c r="A1711" s="4" t="s">
        <v>21</v>
      </c>
      <c r="B1711" s="4" t="s">
        <v>22</v>
      </c>
      <c r="C1711" s="4" t="s">
        <v>23</v>
      </c>
      <c r="D1711" s="4" t="s">
        <v>24</v>
      </c>
      <c r="E1711" s="4" t="s">
        <v>32</v>
      </c>
      <c r="F1711" s="4" t="s">
        <v>25</v>
      </c>
      <c r="G1711" s="4" t="s">
        <v>25</v>
      </c>
      <c r="H1711" s="4" t="s">
        <v>25</v>
      </c>
      <c r="I1711" s="5">
        <v>44713</v>
      </c>
      <c r="J1711" s="6">
        <v>0</v>
      </c>
      <c r="K1711" s="6">
        <v>0</v>
      </c>
      <c r="L1711" s="6">
        <v>1946.1020000000001</v>
      </c>
      <c r="M1711" s="6">
        <v>1946.1020000000001</v>
      </c>
      <c r="N1711" s="6">
        <v>1946.1020000000001</v>
      </c>
      <c r="O1711" s="6">
        <v>1946.1020000000001</v>
      </c>
      <c r="P1711" s="6">
        <v>23031</v>
      </c>
      <c r="Q1711" s="4" t="s">
        <v>26</v>
      </c>
      <c r="R1711" s="4">
        <v>0</v>
      </c>
      <c r="S1711" s="6">
        <v>0</v>
      </c>
      <c r="T1711" s="6">
        <v>10</v>
      </c>
      <c r="U1711" s="6">
        <v>76</v>
      </c>
      <c r="V1711" s="6">
        <f>IF(ISERROR(VLOOKUP($S$1711,'TAR FIN'!$A$1:$O$104,15,0)),0,VLOOKUP($S$1711,'TAR FIN'!$A$1:$O$104,15,0))</f>
        <v>0</v>
      </c>
      <c r="W1711" s="6">
        <f>IF(ISERROR(VLOOKUP($T$1711,'TAR FIN'!$A$1:$O$104,15,0)),0,VLOOKUP($T$1711,'TAR FIN'!$A$1:$O$104,15,0))</f>
        <v>299.57</v>
      </c>
      <c r="X1711" s="6">
        <f>IF(ISERROR(VLOOKUP($U$1711,'TAR FIN'!$A$1:$O$104,15,0)),0,VLOOKUP($U$1711,'TAR FIN'!$A$1:$O$104,15,0))</f>
        <v>255.72</v>
      </c>
      <c r="Y1711" s="6"/>
      <c r="Z1711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11" s="6">
        <f>('TE BE'!$AB$17+'TE BF'!$AB$17+'TE CVA'!$AB$17)*(1-CUSTOS!$M$37)</f>
        <v>242.47071701268419</v>
      </c>
      <c r="AB1711" s="6">
        <f>$K$1711*$V$1711</f>
        <v>0</v>
      </c>
      <c r="AC1711" s="6">
        <f>$M$1711*$W$1711</f>
        <v>582993.77613999997</v>
      </c>
      <c r="AD1711" s="6">
        <f>$O$1711*$X$1711</f>
        <v>497657.20344000001</v>
      </c>
      <c r="AE1711" s="6">
        <f>$K$1711*$Y$1711</f>
        <v>0</v>
      </c>
      <c r="AF1711" s="6">
        <f ca="1">$M$1711*$Z$1711</f>
        <v>568769.00782937405</v>
      </c>
      <c r="AG1711" s="6">
        <f>$O$1711*$AA$1711</f>
        <v>471872.74731981877</v>
      </c>
    </row>
    <row r="1712" spans="1:33" ht="11.25" customHeight="1" x14ac:dyDescent="0.25">
      <c r="A1712" s="4" t="s">
        <v>27</v>
      </c>
      <c r="B1712" s="4" t="s">
        <v>22</v>
      </c>
      <c r="C1712" s="4" t="s">
        <v>23</v>
      </c>
      <c r="D1712" s="4" t="s">
        <v>24</v>
      </c>
      <c r="E1712" s="4" t="s">
        <v>32</v>
      </c>
      <c r="F1712" s="4" t="s">
        <v>25</v>
      </c>
      <c r="G1712" s="4" t="s">
        <v>25</v>
      </c>
      <c r="H1712" s="4" t="s">
        <v>25</v>
      </c>
      <c r="I1712" s="5">
        <v>44713</v>
      </c>
      <c r="J1712" s="6">
        <v>0</v>
      </c>
      <c r="K1712" s="6">
        <v>0</v>
      </c>
      <c r="L1712" s="6">
        <v>-5.69</v>
      </c>
      <c r="M1712" s="6">
        <v>-5.69</v>
      </c>
      <c r="N1712" s="6">
        <v>-5.69</v>
      </c>
      <c r="O1712" s="6">
        <v>-5.69</v>
      </c>
      <c r="P1712" s="6">
        <v>-27</v>
      </c>
      <c r="Q1712" s="4" t="s">
        <v>26</v>
      </c>
      <c r="R1712" s="4">
        <v>0</v>
      </c>
      <c r="S1712" s="6">
        <v>0</v>
      </c>
      <c r="T1712" s="6">
        <v>10</v>
      </c>
      <c r="U1712" s="6">
        <v>76</v>
      </c>
      <c r="V1712" s="6">
        <f>IF(ISERROR(VLOOKUP($S$1712,'TAR FIN'!$A$1:$O$104,15,0)),0,VLOOKUP($S$1712,'TAR FIN'!$A$1:$O$104,15,0))</f>
        <v>0</v>
      </c>
      <c r="W1712" s="6">
        <f>IF(ISERROR(VLOOKUP($T$1712,'TAR FIN'!$A$1:$O$104,15,0)),0,VLOOKUP($T$1712,'TAR FIN'!$A$1:$O$104,15,0))</f>
        <v>299.57</v>
      </c>
      <c r="X1712" s="6">
        <f>IF(ISERROR(VLOOKUP($U$1712,'TAR FIN'!$A$1:$O$104,15,0)),0,VLOOKUP($U$1712,'TAR FIN'!$A$1:$O$104,15,0))</f>
        <v>255.72</v>
      </c>
      <c r="Y1712" s="6"/>
      <c r="Z1712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12" s="6">
        <f>('TE BE'!$AB$17+'TE BF'!$AB$17+'TE CVA'!$AB$17)*(1-CUSTOS!$M$37)</f>
        <v>242.47071701268419</v>
      </c>
      <c r="AB1712" s="6">
        <f>$K$1712*$V$1712</f>
        <v>0</v>
      </c>
      <c r="AC1712" s="6">
        <f>$M$1712*$W$1712</f>
        <v>-1704.5533</v>
      </c>
      <c r="AD1712" s="6">
        <f>$O$1712*$X$1712</f>
        <v>-1455.0468000000001</v>
      </c>
      <c r="AE1712" s="6">
        <f>$K$1712*$Y$1712</f>
        <v>0</v>
      </c>
      <c r="AF1712" s="6">
        <f ca="1">$M$1712*$Z$1712</f>
        <v>-1662.9630176368648</v>
      </c>
      <c r="AG1712" s="6">
        <f>$O$1712*$AA$1712</f>
        <v>-1379.6583798021732</v>
      </c>
    </row>
    <row r="1713" spans="1:33" ht="11.25" customHeight="1" x14ac:dyDescent="0.25">
      <c r="A1713" s="4" t="s">
        <v>28</v>
      </c>
      <c r="B1713" s="4" t="s">
        <v>22</v>
      </c>
      <c r="C1713" s="4" t="s">
        <v>23</v>
      </c>
      <c r="D1713" s="4" t="s">
        <v>24</v>
      </c>
      <c r="E1713" s="4" t="s">
        <v>32</v>
      </c>
      <c r="F1713" s="4" t="s">
        <v>25</v>
      </c>
      <c r="G1713" s="4" t="s">
        <v>25</v>
      </c>
      <c r="H1713" s="4" t="s">
        <v>25</v>
      </c>
      <c r="I1713" s="5">
        <v>44713</v>
      </c>
      <c r="J1713" s="6">
        <v>0</v>
      </c>
      <c r="K1713" s="6">
        <v>0</v>
      </c>
      <c r="L1713" s="6">
        <v>62.06</v>
      </c>
      <c r="M1713" s="6">
        <v>62.06</v>
      </c>
      <c r="N1713" s="6">
        <v>62.06</v>
      </c>
      <c r="O1713" s="6">
        <v>62.06</v>
      </c>
      <c r="P1713" s="6">
        <v>472</v>
      </c>
      <c r="Q1713" s="4" t="s">
        <v>26</v>
      </c>
      <c r="R1713" s="4">
        <v>0</v>
      </c>
      <c r="S1713" s="6">
        <v>0</v>
      </c>
      <c r="T1713" s="6">
        <v>10</v>
      </c>
      <c r="U1713" s="6">
        <v>76</v>
      </c>
      <c r="V1713" s="6">
        <f>IF(ISERROR(VLOOKUP($S$1713,'TAR FIN'!$A$1:$O$104,15,0)),0,VLOOKUP($S$1713,'TAR FIN'!$A$1:$O$104,15,0))</f>
        <v>0</v>
      </c>
      <c r="W1713" s="6">
        <f>IF(ISERROR(VLOOKUP($T$1713,'TAR FIN'!$A$1:$O$104,15,0)),0,VLOOKUP($T$1713,'TAR FIN'!$A$1:$O$104,15,0))</f>
        <v>299.57</v>
      </c>
      <c r="X1713" s="6">
        <f>IF(ISERROR(VLOOKUP($U$1713,'TAR FIN'!$A$1:$O$104,15,0)),0,VLOOKUP($U$1713,'TAR FIN'!$A$1:$O$104,15,0))</f>
        <v>255.72</v>
      </c>
      <c r="Y1713" s="6"/>
      <c r="Z1713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13" s="6">
        <f>('TE BE'!$AB$17+'TE BF'!$AB$17+'TE CVA'!$AB$17)*(1-CUSTOS!$M$37)</f>
        <v>242.47071701268419</v>
      </c>
      <c r="AB1713" s="6">
        <f>$K$1713*$V$1713</f>
        <v>0</v>
      </c>
      <c r="AC1713" s="6">
        <f>$M$1713*$W$1713</f>
        <v>18591.314200000001</v>
      </c>
      <c r="AD1713" s="6">
        <f>$O$1713*$X$1713</f>
        <v>15869.983200000001</v>
      </c>
      <c r="AE1713" s="6">
        <f>$K$1713*$Y$1713</f>
        <v>0</v>
      </c>
      <c r="AF1713" s="6">
        <f ca="1">$M$1713*$Z$1713</f>
        <v>18137.695057037581</v>
      </c>
      <c r="AG1713" s="6">
        <f>$O$1713*$AA$1713</f>
        <v>15047.732697807181</v>
      </c>
    </row>
    <row r="1714" spans="1:33" ht="11.25" customHeight="1" x14ac:dyDescent="0.25">
      <c r="A1714" s="4" t="s">
        <v>57</v>
      </c>
      <c r="B1714" s="4" t="s">
        <v>22</v>
      </c>
      <c r="C1714" s="4" t="s">
        <v>23</v>
      </c>
      <c r="D1714" s="4" t="s">
        <v>24</v>
      </c>
      <c r="E1714" s="4" t="s">
        <v>32</v>
      </c>
      <c r="F1714" s="4" t="s">
        <v>25</v>
      </c>
      <c r="G1714" s="4" t="s">
        <v>25</v>
      </c>
      <c r="H1714" s="4" t="s">
        <v>25</v>
      </c>
      <c r="I1714" s="5">
        <v>44743</v>
      </c>
      <c r="J1714" s="6">
        <v>0</v>
      </c>
      <c r="K1714" s="6">
        <v>0</v>
      </c>
      <c r="L1714" s="6">
        <v>1946.1020000000001</v>
      </c>
      <c r="M1714" s="6">
        <v>1946.1020000000001</v>
      </c>
      <c r="N1714" s="6">
        <v>1946.1020000000001</v>
      </c>
      <c r="O1714" s="6">
        <v>1946.1020000000001</v>
      </c>
      <c r="P1714" s="6">
        <v>23031</v>
      </c>
      <c r="Q1714" s="4" t="s">
        <v>26</v>
      </c>
      <c r="R1714" s="4">
        <v>0</v>
      </c>
      <c r="S1714" s="6">
        <v>0</v>
      </c>
      <c r="T1714" s="6">
        <v>10</v>
      </c>
      <c r="U1714" s="6">
        <v>76</v>
      </c>
      <c r="V1714" s="6">
        <f>IF(ISERROR(VLOOKUP($S$1714,'TAR FIN'!$A$1:$O$104,15,0)),0,VLOOKUP($S$1714,'TAR FIN'!$A$1:$O$104,15,0))</f>
        <v>0</v>
      </c>
      <c r="W1714" s="6">
        <f>IF(ISERROR(VLOOKUP($T$1714,'TAR FIN'!$A$1:$O$104,15,0)),0,VLOOKUP($T$1714,'TAR FIN'!$A$1:$O$104,15,0))</f>
        <v>299.57</v>
      </c>
      <c r="X1714" s="6">
        <f>IF(ISERROR(VLOOKUP($U$1714,'TAR FIN'!$A$1:$O$104,15,0)),0,VLOOKUP($U$1714,'TAR FIN'!$A$1:$O$104,15,0))</f>
        <v>255.72</v>
      </c>
      <c r="Y1714" s="6"/>
      <c r="Z1714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14" s="6">
        <f>('TE BE'!$AB$17+'TE BF'!$AB$17+'TE CVA'!$AB$17)*(1-CUSTOS!$M$37)</f>
        <v>242.47071701268419</v>
      </c>
      <c r="AB1714" s="6">
        <f>$K$1714*$V$1714</f>
        <v>0</v>
      </c>
      <c r="AC1714" s="6">
        <f>$M$1714*$W$1714</f>
        <v>582993.77613999997</v>
      </c>
      <c r="AD1714" s="6">
        <f>$O$1714*$X$1714</f>
        <v>497657.20344000001</v>
      </c>
      <c r="AE1714" s="6">
        <f>$K$1714*$Y$1714</f>
        <v>0</v>
      </c>
      <c r="AF1714" s="6">
        <f ca="1">$M$1714*$Z$1714</f>
        <v>568769.00782937405</v>
      </c>
      <c r="AG1714" s="6">
        <f>$O$1714*$AA$1714</f>
        <v>471872.74731981877</v>
      </c>
    </row>
    <row r="1715" spans="1:33" ht="11.25" customHeight="1" x14ac:dyDescent="0.25">
      <c r="A1715" s="4" t="s">
        <v>57</v>
      </c>
      <c r="B1715" s="4" t="s">
        <v>22</v>
      </c>
      <c r="C1715" s="4" t="s">
        <v>23</v>
      </c>
      <c r="D1715" s="4" t="s">
        <v>24</v>
      </c>
      <c r="E1715" s="4" t="s">
        <v>32</v>
      </c>
      <c r="F1715" s="4" t="s">
        <v>25</v>
      </c>
      <c r="G1715" s="4" t="s">
        <v>25</v>
      </c>
      <c r="H1715" s="4" t="s">
        <v>25</v>
      </c>
      <c r="I1715" s="5">
        <v>44743</v>
      </c>
      <c r="J1715" s="6">
        <v>0</v>
      </c>
      <c r="K1715" s="6">
        <v>0</v>
      </c>
      <c r="L1715" s="6">
        <v>-5.69</v>
      </c>
      <c r="M1715" s="6">
        <v>-5.69</v>
      </c>
      <c r="N1715" s="6">
        <v>-5.69</v>
      </c>
      <c r="O1715" s="6">
        <v>-5.69</v>
      </c>
      <c r="P1715" s="6">
        <v>-27</v>
      </c>
      <c r="Q1715" s="4" t="s">
        <v>26</v>
      </c>
      <c r="R1715" s="4">
        <v>0</v>
      </c>
      <c r="S1715" s="6">
        <v>0</v>
      </c>
      <c r="T1715" s="6">
        <v>10</v>
      </c>
      <c r="U1715" s="6">
        <v>76</v>
      </c>
      <c r="V1715" s="6">
        <f>IF(ISERROR(VLOOKUP($S$1715,'TAR FIN'!$A$1:$O$104,15,0)),0,VLOOKUP($S$1715,'TAR FIN'!$A$1:$O$104,15,0))</f>
        <v>0</v>
      </c>
      <c r="W1715" s="6">
        <f>IF(ISERROR(VLOOKUP($T$1715,'TAR FIN'!$A$1:$O$104,15,0)),0,VLOOKUP($T$1715,'TAR FIN'!$A$1:$O$104,15,0))</f>
        <v>299.57</v>
      </c>
      <c r="X1715" s="6">
        <f>IF(ISERROR(VLOOKUP($U$1715,'TAR FIN'!$A$1:$O$104,15,0)),0,VLOOKUP($U$1715,'TAR FIN'!$A$1:$O$104,15,0))</f>
        <v>255.72</v>
      </c>
      <c r="Y1715" s="6"/>
      <c r="Z1715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15" s="6">
        <f>('TE BE'!$AB$17+'TE BF'!$AB$17+'TE CVA'!$AB$17)*(1-CUSTOS!$M$37)</f>
        <v>242.47071701268419</v>
      </c>
      <c r="AB1715" s="6">
        <f>$K$1715*$V$1715</f>
        <v>0</v>
      </c>
      <c r="AC1715" s="6">
        <f>$M$1715*$W$1715</f>
        <v>-1704.5533</v>
      </c>
      <c r="AD1715" s="6">
        <f>$O$1715*$X$1715</f>
        <v>-1455.0468000000001</v>
      </c>
      <c r="AE1715" s="6">
        <f>$K$1715*$Y$1715</f>
        <v>0</v>
      </c>
      <c r="AF1715" s="6">
        <f ca="1">$M$1715*$Z$1715</f>
        <v>-1662.9630176368648</v>
      </c>
      <c r="AG1715" s="6">
        <f>$O$1715*$AA$1715</f>
        <v>-1379.6583798021732</v>
      </c>
    </row>
    <row r="1716" spans="1:33" ht="11.25" customHeight="1" x14ac:dyDescent="0.25">
      <c r="A1716" s="4" t="s">
        <v>57</v>
      </c>
      <c r="B1716" s="4" t="s">
        <v>22</v>
      </c>
      <c r="C1716" s="4" t="s">
        <v>23</v>
      </c>
      <c r="D1716" s="4" t="s">
        <v>24</v>
      </c>
      <c r="E1716" s="4" t="s">
        <v>32</v>
      </c>
      <c r="F1716" s="4" t="s">
        <v>25</v>
      </c>
      <c r="G1716" s="4" t="s">
        <v>25</v>
      </c>
      <c r="H1716" s="4" t="s">
        <v>25</v>
      </c>
      <c r="I1716" s="5">
        <v>44743</v>
      </c>
      <c r="J1716" s="6">
        <v>0</v>
      </c>
      <c r="K1716" s="6">
        <v>0</v>
      </c>
      <c r="L1716" s="6">
        <v>62.06</v>
      </c>
      <c r="M1716" s="6">
        <v>62.06</v>
      </c>
      <c r="N1716" s="6">
        <v>62.06</v>
      </c>
      <c r="O1716" s="6">
        <v>62.06</v>
      </c>
      <c r="P1716" s="6">
        <v>472</v>
      </c>
      <c r="Q1716" s="4" t="s">
        <v>26</v>
      </c>
      <c r="R1716" s="4">
        <v>0</v>
      </c>
      <c r="S1716" s="6">
        <v>0</v>
      </c>
      <c r="T1716" s="6">
        <v>10</v>
      </c>
      <c r="U1716" s="6">
        <v>76</v>
      </c>
      <c r="V1716" s="6">
        <f>IF(ISERROR(VLOOKUP($S$1716,'TAR FIN'!$A$1:$O$104,15,0)),0,VLOOKUP($S$1716,'TAR FIN'!$A$1:$O$104,15,0))</f>
        <v>0</v>
      </c>
      <c r="W1716" s="6">
        <f>IF(ISERROR(VLOOKUP($T$1716,'TAR FIN'!$A$1:$O$104,15,0)),0,VLOOKUP($T$1716,'TAR FIN'!$A$1:$O$104,15,0))</f>
        <v>299.57</v>
      </c>
      <c r="X1716" s="6">
        <f>IF(ISERROR(VLOOKUP($U$1716,'TAR FIN'!$A$1:$O$104,15,0)),0,VLOOKUP($U$1716,'TAR FIN'!$A$1:$O$104,15,0))</f>
        <v>255.72</v>
      </c>
      <c r="Y1716" s="6"/>
      <c r="Z1716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1716" s="6">
        <f>('TE BE'!$AB$17+'TE BF'!$AB$17+'TE CVA'!$AB$17)*(1-CUSTOS!$M$37)</f>
        <v>242.47071701268419</v>
      </c>
      <c r="AB1716" s="6">
        <f>$K$1716*$V$1716</f>
        <v>0</v>
      </c>
      <c r="AC1716" s="6">
        <f>$M$1716*$W$1716</f>
        <v>18591.314200000001</v>
      </c>
      <c r="AD1716" s="6">
        <f>$O$1716*$X$1716</f>
        <v>15869.983200000001</v>
      </c>
      <c r="AE1716" s="6">
        <f>$K$1716*$Y$1716</f>
        <v>0</v>
      </c>
      <c r="AF1716" s="6">
        <f ca="1">$M$1716*$Z$1716</f>
        <v>18137.695057037581</v>
      </c>
      <c r="AG1716" s="6">
        <f>$O$1716*$AA$1716</f>
        <v>15047.732697807181</v>
      </c>
    </row>
    <row r="1717" spans="1:33" ht="11.25" customHeight="1" x14ac:dyDescent="0.25">
      <c r="A1717" s="4" t="s">
        <v>21</v>
      </c>
      <c r="B1717" s="4" t="s">
        <v>44</v>
      </c>
      <c r="C1717" s="4" t="s">
        <v>33</v>
      </c>
      <c r="D1717" s="4" t="s">
        <v>45</v>
      </c>
      <c r="E1717" s="4" t="s">
        <v>53</v>
      </c>
      <c r="F1717" s="4" t="s">
        <v>54</v>
      </c>
      <c r="G1717" s="4" t="s">
        <v>25</v>
      </c>
      <c r="H1717" s="4" t="s">
        <v>35</v>
      </c>
      <c r="I1717" s="5">
        <v>44440</v>
      </c>
      <c r="J1717" s="6">
        <v>0</v>
      </c>
      <c r="K1717" s="6">
        <v>0</v>
      </c>
      <c r="L1717" s="6">
        <v>7.29</v>
      </c>
      <c r="M1717" s="6">
        <v>7.29</v>
      </c>
      <c r="N1717" s="6">
        <v>7.29</v>
      </c>
      <c r="O1717" s="6">
        <v>7.29</v>
      </c>
      <c r="P1717" s="6">
        <v>0</v>
      </c>
      <c r="Q1717" s="4" t="s">
        <v>26</v>
      </c>
      <c r="R1717" s="4">
        <v>0</v>
      </c>
      <c r="S1717" s="6">
        <v>0</v>
      </c>
      <c r="T1717" s="6">
        <v>25</v>
      </c>
      <c r="U1717" s="6">
        <v>84</v>
      </c>
      <c r="V1717" s="6">
        <f>IF(ISERROR(VLOOKUP($S$1717,'TAR FIN'!$A$1:$O$104,15,0)),0,VLOOKUP($S$1717,'TAR FIN'!$A$1:$O$104,15,0))</f>
        <v>0</v>
      </c>
      <c r="W1717" s="6">
        <f>IF(ISERROR(VLOOKUP($T$1717,'TAR FIN'!$A$1:$O$104,15,0)),0,VLOOKUP($T$1717,'TAR FIN'!$A$1:$O$104,15,0))</f>
        <v>226.76</v>
      </c>
      <c r="X1717" s="6">
        <f>IF(ISERROR(VLOOKUP($U$1717,'TAR FIN'!$A$1:$O$104,15,0)),0,VLOOKUP($U$1717,'TAR FIN'!$A$1:$O$104,15,0))</f>
        <v>213.69</v>
      </c>
      <c r="Y1717" s="6"/>
      <c r="Z1717" s="6">
        <f ca="1">('TUSD BE'!$AM$46+'TUSD BF'!$AM$46+'TUSD CVA'!$AM$46)*(1-CUSTOS!$M$38)</f>
        <v>256.58961565728271</v>
      </c>
      <c r="AA1717" s="6">
        <f>('TE BE'!$AB$25+'TE BF'!$AB$25+'TE CVA'!$AB$25)*(1-CUSTOS!$M$38)</f>
        <v>217.85681941272242</v>
      </c>
      <c r="AB1717" s="6">
        <f>$K$1717*$V$1717</f>
        <v>0</v>
      </c>
      <c r="AC1717" s="6">
        <f>$M$1717*$W$1717</f>
        <v>1653.0804000000001</v>
      </c>
      <c r="AD1717" s="6">
        <f>$O$1717*$X$1717</f>
        <v>1557.8000999999999</v>
      </c>
      <c r="AE1717" s="6">
        <f>$K$1717*$Y$1717</f>
        <v>0</v>
      </c>
      <c r="AF1717" s="6">
        <f ca="1">$M$1717*$Z$1717</f>
        <v>1870.538298141591</v>
      </c>
      <c r="AG1717" s="6">
        <f>$O$1717*$AA$1717</f>
        <v>1588.1762135187464</v>
      </c>
    </row>
    <row r="1718" spans="1:33" ht="11.25" customHeight="1" x14ac:dyDescent="0.25">
      <c r="A1718" s="4" t="s">
        <v>21</v>
      </c>
      <c r="B1718" s="4" t="s">
        <v>44</v>
      </c>
      <c r="C1718" s="4" t="s">
        <v>33</v>
      </c>
      <c r="D1718" s="4" t="s">
        <v>45</v>
      </c>
      <c r="E1718" s="4" t="s">
        <v>53</v>
      </c>
      <c r="F1718" s="4" t="s">
        <v>54</v>
      </c>
      <c r="G1718" s="4" t="s">
        <v>25</v>
      </c>
      <c r="H1718" s="4" t="s">
        <v>35</v>
      </c>
      <c r="I1718" s="5">
        <v>44501</v>
      </c>
      <c r="J1718" s="6">
        <v>0</v>
      </c>
      <c r="K1718" s="6">
        <v>0</v>
      </c>
      <c r="L1718" s="6">
        <v>6.5609999999999999</v>
      </c>
      <c r="M1718" s="6">
        <v>6.5609999999999999</v>
      </c>
      <c r="N1718" s="6">
        <v>6.5609999999999999</v>
      </c>
      <c r="O1718" s="6">
        <v>6.5609999999999999</v>
      </c>
      <c r="P1718" s="6">
        <v>0</v>
      </c>
      <c r="Q1718" s="4" t="s">
        <v>26</v>
      </c>
      <c r="R1718" s="4">
        <v>0</v>
      </c>
      <c r="S1718" s="6">
        <v>0</v>
      </c>
      <c r="T1718" s="6">
        <v>25</v>
      </c>
      <c r="U1718" s="6">
        <v>84</v>
      </c>
      <c r="V1718" s="6">
        <f>IF(ISERROR(VLOOKUP($S$1718,'TAR FIN'!$A$1:$O$104,15,0)),0,VLOOKUP($S$1718,'TAR FIN'!$A$1:$O$104,15,0))</f>
        <v>0</v>
      </c>
      <c r="W1718" s="6">
        <f>IF(ISERROR(VLOOKUP($T$1718,'TAR FIN'!$A$1:$O$104,15,0)),0,VLOOKUP($T$1718,'TAR FIN'!$A$1:$O$104,15,0))</f>
        <v>226.76</v>
      </c>
      <c r="X1718" s="6">
        <f>IF(ISERROR(VLOOKUP($U$1718,'TAR FIN'!$A$1:$O$104,15,0)),0,VLOOKUP($U$1718,'TAR FIN'!$A$1:$O$104,15,0))</f>
        <v>213.69</v>
      </c>
      <c r="Y1718" s="6"/>
      <c r="Z1718" s="6">
        <f ca="1">('TUSD BE'!$AM$46+'TUSD BF'!$AM$46+'TUSD CVA'!$AM$46)*(1-CUSTOS!$M$38)</f>
        <v>256.58961565728271</v>
      </c>
      <c r="AA1718" s="6">
        <f>('TE BE'!$AB$25+'TE BF'!$AB$25+'TE CVA'!$AB$25)*(1-CUSTOS!$M$38)</f>
        <v>217.85681941272242</v>
      </c>
      <c r="AB1718" s="6">
        <f>$K$1718*$V$1718</f>
        <v>0</v>
      </c>
      <c r="AC1718" s="6">
        <f>$M$1718*$W$1718</f>
        <v>1487.7723599999999</v>
      </c>
      <c r="AD1718" s="6">
        <f>$O$1718*$X$1718</f>
        <v>1402.02009</v>
      </c>
      <c r="AE1718" s="6">
        <f>$K$1718*$Y$1718</f>
        <v>0</v>
      </c>
      <c r="AF1718" s="6">
        <f ca="1">$M$1718*$Z$1718</f>
        <v>1683.4844683274318</v>
      </c>
      <c r="AG1718" s="6">
        <f>$O$1718*$AA$1718</f>
        <v>1429.3585921668719</v>
      </c>
    </row>
    <row r="1719" spans="1:33" ht="11.25" customHeight="1" x14ac:dyDescent="0.25">
      <c r="A1719" s="4" t="s">
        <v>21</v>
      </c>
      <c r="B1719" s="4" t="s">
        <v>44</v>
      </c>
      <c r="C1719" s="4" t="s">
        <v>33</v>
      </c>
      <c r="D1719" s="4" t="s">
        <v>45</v>
      </c>
      <c r="E1719" s="4" t="s">
        <v>53</v>
      </c>
      <c r="F1719" s="4" t="s">
        <v>54</v>
      </c>
      <c r="G1719" s="4" t="s">
        <v>25</v>
      </c>
      <c r="H1719" s="4" t="s">
        <v>36</v>
      </c>
      <c r="I1719" s="5">
        <v>44440</v>
      </c>
      <c r="J1719" s="6">
        <v>0</v>
      </c>
      <c r="K1719" s="6">
        <v>0</v>
      </c>
      <c r="L1719" s="6">
        <v>0.252</v>
      </c>
      <c r="M1719" s="6">
        <v>0.252</v>
      </c>
      <c r="N1719" s="6">
        <v>0.252</v>
      </c>
      <c r="O1719" s="6">
        <v>0.252</v>
      </c>
      <c r="P1719" s="6">
        <v>0</v>
      </c>
      <c r="Q1719" s="4" t="s">
        <v>26</v>
      </c>
      <c r="R1719" s="4">
        <v>0</v>
      </c>
      <c r="S1719" s="6">
        <v>0</v>
      </c>
      <c r="T1719" s="6">
        <v>23</v>
      </c>
      <c r="U1719" s="6">
        <v>83</v>
      </c>
      <c r="V1719" s="6">
        <f>IF(ISERROR(VLOOKUP($S$1719,'TAR FIN'!$A$1:$O$104,15,0)),0,VLOOKUP($S$1719,'TAR FIN'!$A$1:$O$104,15,0))</f>
        <v>0</v>
      </c>
      <c r="W1719" s="6">
        <f>IF(ISERROR(VLOOKUP($T$1719,'TAR FIN'!$A$1:$O$104,15,0)),0,VLOOKUP($T$1719,'TAR FIN'!$A$1:$O$104,15,0))</f>
        <v>525.19000000000005</v>
      </c>
      <c r="X1719" s="6">
        <f>IF(ISERROR(VLOOKUP($U$1719,'TAR FIN'!$A$1:$O$104,15,0)),0,VLOOKUP($U$1719,'TAR FIN'!$A$1:$O$104,15,0))</f>
        <v>213.69</v>
      </c>
      <c r="Y1719" s="6"/>
      <c r="Z1719" s="6">
        <f ca="1">('TUSD BE'!$AM$45+'TUSD BF'!$AM$45+'TUSD CVA'!$AM$45)*(1-CUSTOS!$M$38)</f>
        <v>575.84967768293859</v>
      </c>
      <c r="AA1719" s="6">
        <f>('TE BE'!$AB$24+'TE BF'!$AB$24+'TE CVA'!$AB$24)*(1-CUSTOS!$M$38)</f>
        <v>217.85681941272242</v>
      </c>
      <c r="AB1719" s="6">
        <f>$K$1719*$V$1719</f>
        <v>0</v>
      </c>
      <c r="AC1719" s="6">
        <f>$M$1719*$W$1719</f>
        <v>132.34788</v>
      </c>
      <c r="AD1719" s="6">
        <f>$O$1719*$X$1719</f>
        <v>53.849879999999999</v>
      </c>
      <c r="AE1719" s="6">
        <f>$K$1719*$Y$1719</f>
        <v>0</v>
      </c>
      <c r="AF1719" s="6">
        <f ca="1">$M$1719*$Z$1719</f>
        <v>145.11411877610053</v>
      </c>
      <c r="AG1719" s="6">
        <f>$O$1719*$AA$1719</f>
        <v>54.899918492006051</v>
      </c>
    </row>
    <row r="1720" spans="1:33" ht="11.25" customHeight="1" x14ac:dyDescent="0.25">
      <c r="A1720" s="4" t="s">
        <v>21</v>
      </c>
      <c r="B1720" s="4" t="s">
        <v>44</v>
      </c>
      <c r="C1720" s="4" t="s">
        <v>33</v>
      </c>
      <c r="D1720" s="4" t="s">
        <v>45</v>
      </c>
      <c r="E1720" s="4" t="s">
        <v>53</v>
      </c>
      <c r="F1720" s="4" t="s">
        <v>54</v>
      </c>
      <c r="G1720" s="4" t="s">
        <v>25</v>
      </c>
      <c r="H1720" s="4" t="s">
        <v>36</v>
      </c>
      <c r="I1720" s="5">
        <v>44501</v>
      </c>
      <c r="J1720" s="6">
        <v>0</v>
      </c>
      <c r="K1720" s="6">
        <v>0</v>
      </c>
      <c r="L1720" s="6">
        <v>0.22700000000000001</v>
      </c>
      <c r="M1720" s="6">
        <v>0.22700000000000001</v>
      </c>
      <c r="N1720" s="6">
        <v>0.22700000000000001</v>
      </c>
      <c r="O1720" s="6">
        <v>0.22700000000000001</v>
      </c>
      <c r="P1720" s="6">
        <v>0</v>
      </c>
      <c r="Q1720" s="4" t="s">
        <v>26</v>
      </c>
      <c r="R1720" s="4">
        <v>0</v>
      </c>
      <c r="S1720" s="6">
        <v>0</v>
      </c>
      <c r="T1720" s="6">
        <v>23</v>
      </c>
      <c r="U1720" s="6">
        <v>83</v>
      </c>
      <c r="V1720" s="6">
        <f>IF(ISERROR(VLOOKUP($S$1720,'TAR FIN'!$A$1:$O$104,15,0)),0,VLOOKUP($S$1720,'TAR FIN'!$A$1:$O$104,15,0))</f>
        <v>0</v>
      </c>
      <c r="W1720" s="6">
        <f>IF(ISERROR(VLOOKUP($T$1720,'TAR FIN'!$A$1:$O$104,15,0)),0,VLOOKUP($T$1720,'TAR FIN'!$A$1:$O$104,15,0))</f>
        <v>525.19000000000005</v>
      </c>
      <c r="X1720" s="6">
        <f>IF(ISERROR(VLOOKUP($U$1720,'TAR FIN'!$A$1:$O$104,15,0)),0,VLOOKUP($U$1720,'TAR FIN'!$A$1:$O$104,15,0))</f>
        <v>213.69</v>
      </c>
      <c r="Y1720" s="6"/>
      <c r="Z1720" s="6">
        <f ca="1">('TUSD BE'!$AM$45+'TUSD BF'!$AM$45+'TUSD CVA'!$AM$45)*(1-CUSTOS!$M$38)</f>
        <v>575.84967768293859</v>
      </c>
      <c r="AA1720" s="6">
        <f>('TE BE'!$AB$24+'TE BF'!$AB$24+'TE CVA'!$AB$24)*(1-CUSTOS!$M$38)</f>
        <v>217.85681941272242</v>
      </c>
      <c r="AB1720" s="6">
        <f>$K$1720*$V$1720</f>
        <v>0</v>
      </c>
      <c r="AC1720" s="6">
        <f>$M$1720*$W$1720</f>
        <v>119.21813000000002</v>
      </c>
      <c r="AD1720" s="6">
        <f>$O$1720*$X$1720</f>
        <v>48.507629999999999</v>
      </c>
      <c r="AE1720" s="6">
        <f>$K$1720*$Y$1720</f>
        <v>0</v>
      </c>
      <c r="AF1720" s="6">
        <f ca="1">$M$1720*$Z$1720</f>
        <v>130.71787683402707</v>
      </c>
      <c r="AG1720" s="6">
        <f>$O$1720*$AA$1720</f>
        <v>49.453498006687987</v>
      </c>
    </row>
    <row r="1721" spans="1:33" ht="11.25" customHeight="1" x14ac:dyDescent="0.25">
      <c r="A1721" s="4" t="s">
        <v>21</v>
      </c>
      <c r="B1721" s="4" t="s">
        <v>44</v>
      </c>
      <c r="C1721" s="4" t="s">
        <v>33</v>
      </c>
      <c r="D1721" s="4" t="s">
        <v>45</v>
      </c>
      <c r="E1721" s="4" t="s">
        <v>53</v>
      </c>
      <c r="F1721" s="4" t="s">
        <v>54</v>
      </c>
      <c r="G1721" s="4" t="s">
        <v>25</v>
      </c>
      <c r="H1721" s="4" t="s">
        <v>34</v>
      </c>
      <c r="I1721" s="5">
        <v>44440</v>
      </c>
      <c r="J1721" s="6">
        <v>0</v>
      </c>
      <c r="K1721" s="6">
        <v>0</v>
      </c>
      <c r="L1721" s="6">
        <v>0.1</v>
      </c>
      <c r="M1721" s="6">
        <v>0.1</v>
      </c>
      <c r="N1721" s="6">
        <v>0.1</v>
      </c>
      <c r="O1721" s="6">
        <v>0.1</v>
      </c>
      <c r="P1721" s="6">
        <v>0</v>
      </c>
      <c r="Q1721" s="4" t="s">
        <v>26</v>
      </c>
      <c r="R1721" s="4">
        <v>0</v>
      </c>
      <c r="S1721" s="6">
        <v>0</v>
      </c>
      <c r="T1721" s="6">
        <v>21</v>
      </c>
      <c r="U1721" s="6">
        <v>82</v>
      </c>
      <c r="V1721" s="6">
        <f>IF(ISERROR(VLOOKUP($S$1721,'TAR FIN'!$A$1:$O$104,15,0)),0,VLOOKUP($S$1721,'TAR FIN'!$A$1:$O$104,15,0))</f>
        <v>0</v>
      </c>
      <c r="W1721" s="6">
        <f>IF(ISERROR(VLOOKUP($T$1721,'TAR FIN'!$A$1:$O$104,15,0)),0,VLOOKUP($T$1721,'TAR FIN'!$A$1:$O$104,15,0))</f>
        <v>823.61</v>
      </c>
      <c r="X1721" s="6">
        <f>IF(ISERROR(VLOOKUP($U$1721,'TAR FIN'!$A$1:$O$104,15,0)),0,VLOOKUP($U$1721,'TAR FIN'!$A$1:$O$104,15,0))</f>
        <v>349.91</v>
      </c>
      <c r="Y1721" s="6"/>
      <c r="Z1721" s="6">
        <f ca="1">('TUSD BE'!$AM$44+'TUSD BF'!$AM$44+'TUSD CVA'!$AM$44)*(1-CUSTOS!$M$38)</f>
        <v>895.10942436703249</v>
      </c>
      <c r="AA1721" s="6">
        <f>('TE BE'!$AB$23+'TE BF'!$AB$23+'TE CVA'!$AB$23)*(1-CUSTOS!$M$38)</f>
        <v>338.64467436313089</v>
      </c>
      <c r="AB1721" s="6">
        <f>$K$1721*$V$1721</f>
        <v>0</v>
      </c>
      <c r="AC1721" s="6">
        <f>$M$1721*$W$1721</f>
        <v>82.361000000000004</v>
      </c>
      <c r="AD1721" s="6">
        <f>$O$1721*$X$1721</f>
        <v>34.991000000000007</v>
      </c>
      <c r="AE1721" s="6">
        <f>$K$1721*$Y$1721</f>
        <v>0</v>
      </c>
      <c r="AF1721" s="6">
        <f ca="1">$M$1721*$Z$1721</f>
        <v>89.51094243670326</v>
      </c>
      <c r="AG1721" s="6">
        <f>$O$1721*$AA$1721</f>
        <v>33.864467436313092</v>
      </c>
    </row>
    <row r="1722" spans="1:33" ht="11.25" customHeight="1" x14ac:dyDescent="0.25">
      <c r="A1722" s="4" t="s">
        <v>21</v>
      </c>
      <c r="B1722" s="4" t="s">
        <v>44</v>
      </c>
      <c r="C1722" s="4" t="s">
        <v>33</v>
      </c>
      <c r="D1722" s="4" t="s">
        <v>45</v>
      </c>
      <c r="E1722" s="4" t="s">
        <v>53</v>
      </c>
      <c r="F1722" s="4" t="s">
        <v>54</v>
      </c>
      <c r="G1722" s="4" t="s">
        <v>25</v>
      </c>
      <c r="H1722" s="4" t="s">
        <v>34</v>
      </c>
      <c r="I1722" s="5">
        <v>44501</v>
      </c>
      <c r="J1722" s="6">
        <v>0</v>
      </c>
      <c r="K1722" s="6">
        <v>0</v>
      </c>
      <c r="L1722" s="6">
        <v>0.09</v>
      </c>
      <c r="M1722" s="6">
        <v>0.09</v>
      </c>
      <c r="N1722" s="6">
        <v>0.09</v>
      </c>
      <c r="O1722" s="6">
        <v>0.09</v>
      </c>
      <c r="P1722" s="6">
        <v>0</v>
      </c>
      <c r="Q1722" s="4" t="s">
        <v>26</v>
      </c>
      <c r="R1722" s="4">
        <v>0</v>
      </c>
      <c r="S1722" s="6">
        <v>0</v>
      </c>
      <c r="T1722" s="6">
        <v>21</v>
      </c>
      <c r="U1722" s="6">
        <v>82</v>
      </c>
      <c r="V1722" s="6">
        <f>IF(ISERROR(VLOOKUP($S$1722,'TAR FIN'!$A$1:$O$104,15,0)),0,VLOOKUP($S$1722,'TAR FIN'!$A$1:$O$104,15,0))</f>
        <v>0</v>
      </c>
      <c r="W1722" s="6">
        <f>IF(ISERROR(VLOOKUP($T$1722,'TAR FIN'!$A$1:$O$104,15,0)),0,VLOOKUP($T$1722,'TAR FIN'!$A$1:$O$104,15,0))</f>
        <v>823.61</v>
      </c>
      <c r="X1722" s="6">
        <f>IF(ISERROR(VLOOKUP($U$1722,'TAR FIN'!$A$1:$O$104,15,0)),0,VLOOKUP($U$1722,'TAR FIN'!$A$1:$O$104,15,0))</f>
        <v>349.91</v>
      </c>
      <c r="Y1722" s="6"/>
      <c r="Z1722" s="6">
        <f ca="1">('TUSD BE'!$AM$44+'TUSD BF'!$AM$44+'TUSD CVA'!$AM$44)*(1-CUSTOS!$M$38)</f>
        <v>895.10942436703249</v>
      </c>
      <c r="AA1722" s="6">
        <f>('TE BE'!$AB$23+'TE BF'!$AB$23+'TE CVA'!$AB$23)*(1-CUSTOS!$M$38)</f>
        <v>338.64467436313089</v>
      </c>
      <c r="AB1722" s="6">
        <f>$K$1722*$V$1722</f>
        <v>0</v>
      </c>
      <c r="AC1722" s="6">
        <f>$M$1722*$W$1722</f>
        <v>74.124899999999997</v>
      </c>
      <c r="AD1722" s="6">
        <f>$O$1722*$X$1722</f>
        <v>31.491900000000001</v>
      </c>
      <c r="AE1722" s="6">
        <f>$K$1722*$Y$1722</f>
        <v>0</v>
      </c>
      <c r="AF1722" s="6">
        <f ca="1">$M$1722*$Z$1722</f>
        <v>80.55984819303292</v>
      </c>
      <c r="AG1722" s="6">
        <f>$O$1722*$AA$1722</f>
        <v>30.478020692681778</v>
      </c>
    </row>
    <row r="1723" spans="1:33" ht="11.25" customHeight="1" x14ac:dyDescent="0.25">
      <c r="A1723" s="4" t="s">
        <v>21</v>
      </c>
      <c r="B1723" s="4" t="s">
        <v>44</v>
      </c>
      <c r="C1723" s="4" t="s">
        <v>33</v>
      </c>
      <c r="D1723" s="4" t="s">
        <v>45</v>
      </c>
      <c r="E1723" s="4" t="s">
        <v>25</v>
      </c>
      <c r="F1723" s="4" t="s">
        <v>25</v>
      </c>
      <c r="G1723" s="4" t="s">
        <v>25</v>
      </c>
      <c r="H1723" s="4" t="s">
        <v>35</v>
      </c>
      <c r="I1723" s="5">
        <v>44409</v>
      </c>
      <c r="J1723" s="6">
        <v>0</v>
      </c>
      <c r="K1723" s="6">
        <v>0</v>
      </c>
      <c r="L1723" s="6">
        <v>12.946</v>
      </c>
      <c r="M1723" s="6">
        <v>12.946</v>
      </c>
      <c r="N1723" s="6">
        <v>12.946</v>
      </c>
      <c r="O1723" s="6">
        <v>12.946</v>
      </c>
      <c r="P1723" s="6">
        <v>0</v>
      </c>
      <c r="Q1723" s="4" t="s">
        <v>26</v>
      </c>
      <c r="R1723" s="4">
        <v>0</v>
      </c>
      <c r="S1723" s="6">
        <v>0</v>
      </c>
      <c r="T1723" s="6">
        <v>25</v>
      </c>
      <c r="U1723" s="6">
        <v>84</v>
      </c>
      <c r="V1723" s="6">
        <f>IF(ISERROR(VLOOKUP($S$1723,'TAR FIN'!$A$1:$O$104,15,0)),0,VLOOKUP($S$1723,'TAR FIN'!$A$1:$O$104,15,0))</f>
        <v>0</v>
      </c>
      <c r="W1723" s="6">
        <f>IF(ISERROR(VLOOKUP($T$1723,'TAR FIN'!$A$1:$O$104,15,0)),0,VLOOKUP($T$1723,'TAR FIN'!$A$1:$O$104,15,0))</f>
        <v>226.76</v>
      </c>
      <c r="X1723" s="6">
        <f>IF(ISERROR(VLOOKUP($U$1723,'TAR FIN'!$A$1:$O$104,15,0)),0,VLOOKUP($U$1723,'TAR FIN'!$A$1:$O$104,15,0))</f>
        <v>213.69</v>
      </c>
      <c r="Y1723" s="6"/>
      <c r="Z1723" s="6">
        <f ca="1">('TUSD BE'!$AM$46+'TUSD BF'!$AM$46+'TUSD CVA'!$AM$46)*(1-CUSTOS!$M$38)</f>
        <v>256.58961565728271</v>
      </c>
      <c r="AA1723" s="6">
        <f>('TE BE'!$AB$25+'TE BF'!$AB$25+'TE CVA'!$AB$25)*(1-CUSTOS!$M$38)</f>
        <v>217.85681941272242</v>
      </c>
      <c r="AB1723" s="6">
        <f>$K$1723*$V$1723</f>
        <v>0</v>
      </c>
      <c r="AC1723" s="6">
        <f>$M$1723*$W$1723</f>
        <v>2935.6349599999999</v>
      </c>
      <c r="AD1723" s="6">
        <f>$O$1723*$X$1723</f>
        <v>2766.4307399999998</v>
      </c>
      <c r="AE1723" s="6">
        <f>$K$1723*$Y$1723</f>
        <v>0</v>
      </c>
      <c r="AF1723" s="6">
        <f ca="1">$M$1723*$Z$1723</f>
        <v>3321.8091642991817</v>
      </c>
      <c r="AG1723" s="6">
        <f>$O$1723*$AA$1723</f>
        <v>2820.3743841171045</v>
      </c>
    </row>
    <row r="1724" spans="1:33" ht="11.25" customHeight="1" x14ac:dyDescent="0.25">
      <c r="A1724" s="4" t="s">
        <v>21</v>
      </c>
      <c r="B1724" s="4" t="s">
        <v>44</v>
      </c>
      <c r="C1724" s="4" t="s">
        <v>33</v>
      </c>
      <c r="D1724" s="4" t="s">
        <v>45</v>
      </c>
      <c r="E1724" s="4" t="s">
        <v>25</v>
      </c>
      <c r="F1724" s="4" t="s">
        <v>25</v>
      </c>
      <c r="G1724" s="4" t="s">
        <v>25</v>
      </c>
      <c r="H1724" s="4" t="s">
        <v>35</v>
      </c>
      <c r="I1724" s="5">
        <v>44440</v>
      </c>
      <c r="J1724" s="6">
        <v>0</v>
      </c>
      <c r="K1724" s="6">
        <v>0</v>
      </c>
      <c r="L1724" s="6">
        <v>10.468</v>
      </c>
      <c r="M1724" s="6">
        <v>10.468</v>
      </c>
      <c r="N1724" s="6">
        <v>10.468</v>
      </c>
      <c r="O1724" s="6">
        <v>10.468</v>
      </c>
      <c r="P1724" s="6">
        <v>0</v>
      </c>
      <c r="Q1724" s="4" t="s">
        <v>26</v>
      </c>
      <c r="R1724" s="4">
        <v>0</v>
      </c>
      <c r="S1724" s="6">
        <v>0</v>
      </c>
      <c r="T1724" s="6">
        <v>25</v>
      </c>
      <c r="U1724" s="6">
        <v>84</v>
      </c>
      <c r="V1724" s="6">
        <f>IF(ISERROR(VLOOKUP($S$1724,'TAR FIN'!$A$1:$O$104,15,0)),0,VLOOKUP($S$1724,'TAR FIN'!$A$1:$O$104,15,0))</f>
        <v>0</v>
      </c>
      <c r="W1724" s="6">
        <f>IF(ISERROR(VLOOKUP($T$1724,'TAR FIN'!$A$1:$O$104,15,0)),0,VLOOKUP($T$1724,'TAR FIN'!$A$1:$O$104,15,0))</f>
        <v>226.76</v>
      </c>
      <c r="X1724" s="6">
        <f>IF(ISERROR(VLOOKUP($U$1724,'TAR FIN'!$A$1:$O$104,15,0)),0,VLOOKUP($U$1724,'TAR FIN'!$A$1:$O$104,15,0))</f>
        <v>213.69</v>
      </c>
      <c r="Y1724" s="6"/>
      <c r="Z1724" s="6">
        <f ca="1">('TUSD BE'!$AM$46+'TUSD BF'!$AM$46+'TUSD CVA'!$AM$46)*(1-CUSTOS!$M$38)</f>
        <v>256.58961565728271</v>
      </c>
      <c r="AA1724" s="6">
        <f>('TE BE'!$AB$25+'TE BF'!$AB$25+'TE CVA'!$AB$25)*(1-CUSTOS!$M$38)</f>
        <v>217.85681941272242</v>
      </c>
      <c r="AB1724" s="6">
        <f>$K$1724*$V$1724</f>
        <v>0</v>
      </c>
      <c r="AC1724" s="6">
        <f>$M$1724*$W$1724</f>
        <v>2373.7236800000001</v>
      </c>
      <c r="AD1724" s="6">
        <f>$O$1724*$X$1724</f>
        <v>2236.9069199999999</v>
      </c>
      <c r="AE1724" s="6">
        <f>$K$1724*$Y$1724</f>
        <v>0</v>
      </c>
      <c r="AF1724" s="6">
        <f ca="1">$M$1724*$Z$1724</f>
        <v>2685.9800967004353</v>
      </c>
      <c r="AG1724" s="6">
        <f>$O$1724*$AA$1724</f>
        <v>2280.5251856123782</v>
      </c>
    </row>
    <row r="1725" spans="1:33" ht="11.25" customHeight="1" x14ac:dyDescent="0.25">
      <c r="A1725" s="4" t="s">
        <v>21</v>
      </c>
      <c r="B1725" s="4" t="s">
        <v>44</v>
      </c>
      <c r="C1725" s="4" t="s">
        <v>33</v>
      </c>
      <c r="D1725" s="4" t="s">
        <v>45</v>
      </c>
      <c r="E1725" s="4" t="s">
        <v>25</v>
      </c>
      <c r="F1725" s="4" t="s">
        <v>25</v>
      </c>
      <c r="G1725" s="4" t="s">
        <v>25</v>
      </c>
      <c r="H1725" s="4" t="s">
        <v>35</v>
      </c>
      <c r="I1725" s="5">
        <v>44470</v>
      </c>
      <c r="J1725" s="6">
        <v>0</v>
      </c>
      <c r="K1725" s="6">
        <v>0</v>
      </c>
      <c r="L1725" s="6">
        <v>14.688000000000001</v>
      </c>
      <c r="M1725" s="6">
        <v>14.688000000000001</v>
      </c>
      <c r="N1725" s="6">
        <v>14.688000000000001</v>
      </c>
      <c r="O1725" s="6">
        <v>14.688000000000001</v>
      </c>
      <c r="P1725" s="6">
        <v>0</v>
      </c>
      <c r="Q1725" s="4" t="s">
        <v>26</v>
      </c>
      <c r="R1725" s="4">
        <v>0</v>
      </c>
      <c r="S1725" s="6">
        <v>0</v>
      </c>
      <c r="T1725" s="6">
        <v>25</v>
      </c>
      <c r="U1725" s="6">
        <v>84</v>
      </c>
      <c r="V1725" s="6">
        <f>IF(ISERROR(VLOOKUP($S$1725,'TAR FIN'!$A$1:$O$104,15,0)),0,VLOOKUP($S$1725,'TAR FIN'!$A$1:$O$104,15,0))</f>
        <v>0</v>
      </c>
      <c r="W1725" s="6">
        <f>IF(ISERROR(VLOOKUP($T$1725,'TAR FIN'!$A$1:$O$104,15,0)),0,VLOOKUP($T$1725,'TAR FIN'!$A$1:$O$104,15,0))</f>
        <v>226.76</v>
      </c>
      <c r="X1725" s="6">
        <f>IF(ISERROR(VLOOKUP($U$1725,'TAR FIN'!$A$1:$O$104,15,0)),0,VLOOKUP($U$1725,'TAR FIN'!$A$1:$O$104,15,0))</f>
        <v>213.69</v>
      </c>
      <c r="Y1725" s="6"/>
      <c r="Z1725" s="6">
        <f ca="1">('TUSD BE'!$AM$46+'TUSD BF'!$AM$46+'TUSD CVA'!$AM$46)*(1-CUSTOS!$M$38)</f>
        <v>256.58961565728271</v>
      </c>
      <c r="AA1725" s="6">
        <f>('TE BE'!$AB$25+'TE BF'!$AB$25+'TE CVA'!$AB$25)*(1-CUSTOS!$M$38)</f>
        <v>217.85681941272242</v>
      </c>
      <c r="AB1725" s="6">
        <f>$K$1725*$V$1725</f>
        <v>0</v>
      </c>
      <c r="AC1725" s="6">
        <f>$M$1725*$W$1725</f>
        <v>3330.6508800000001</v>
      </c>
      <c r="AD1725" s="6">
        <f>$O$1725*$X$1725</f>
        <v>3138.6787199999999</v>
      </c>
      <c r="AE1725" s="6">
        <f>$K$1725*$Y$1725</f>
        <v>0</v>
      </c>
      <c r="AF1725" s="6">
        <f ca="1">$M$1725*$Z$1725</f>
        <v>3768.7882747741687</v>
      </c>
      <c r="AG1725" s="6">
        <f>$O$1725*$AA$1725</f>
        <v>3199.8809635340672</v>
      </c>
    </row>
    <row r="1726" spans="1:33" ht="11.25" customHeight="1" x14ac:dyDescent="0.25">
      <c r="A1726" s="4" t="s">
        <v>21</v>
      </c>
      <c r="B1726" s="4" t="s">
        <v>44</v>
      </c>
      <c r="C1726" s="4" t="s">
        <v>33</v>
      </c>
      <c r="D1726" s="4" t="s">
        <v>45</v>
      </c>
      <c r="E1726" s="4" t="s">
        <v>25</v>
      </c>
      <c r="F1726" s="4" t="s">
        <v>25</v>
      </c>
      <c r="G1726" s="4" t="s">
        <v>25</v>
      </c>
      <c r="H1726" s="4" t="s">
        <v>35</v>
      </c>
      <c r="I1726" s="5">
        <v>44501</v>
      </c>
      <c r="J1726" s="6">
        <v>0</v>
      </c>
      <c r="K1726" s="6">
        <v>0</v>
      </c>
      <c r="L1726" s="6">
        <v>9.9930000000000003</v>
      </c>
      <c r="M1726" s="6">
        <v>9.9930000000000003</v>
      </c>
      <c r="N1726" s="6">
        <v>9.9930000000000003</v>
      </c>
      <c r="O1726" s="6">
        <v>9.9930000000000003</v>
      </c>
      <c r="P1726" s="6">
        <v>0</v>
      </c>
      <c r="Q1726" s="4" t="s">
        <v>26</v>
      </c>
      <c r="R1726" s="4">
        <v>0</v>
      </c>
      <c r="S1726" s="6">
        <v>0</v>
      </c>
      <c r="T1726" s="6">
        <v>25</v>
      </c>
      <c r="U1726" s="6">
        <v>84</v>
      </c>
      <c r="V1726" s="6">
        <f>IF(ISERROR(VLOOKUP($S$1726,'TAR FIN'!$A$1:$O$104,15,0)),0,VLOOKUP($S$1726,'TAR FIN'!$A$1:$O$104,15,0))</f>
        <v>0</v>
      </c>
      <c r="W1726" s="6">
        <f>IF(ISERROR(VLOOKUP($T$1726,'TAR FIN'!$A$1:$O$104,15,0)),0,VLOOKUP($T$1726,'TAR FIN'!$A$1:$O$104,15,0))</f>
        <v>226.76</v>
      </c>
      <c r="X1726" s="6">
        <f>IF(ISERROR(VLOOKUP($U$1726,'TAR FIN'!$A$1:$O$104,15,0)),0,VLOOKUP($U$1726,'TAR FIN'!$A$1:$O$104,15,0))</f>
        <v>213.69</v>
      </c>
      <c r="Y1726" s="6"/>
      <c r="Z1726" s="6">
        <f ca="1">('TUSD BE'!$AM$46+'TUSD BF'!$AM$46+'TUSD CVA'!$AM$46)*(1-CUSTOS!$M$38)</f>
        <v>256.58961565728271</v>
      </c>
      <c r="AA1726" s="6">
        <f>('TE BE'!$AB$25+'TE BF'!$AB$25+'TE CVA'!$AB$25)*(1-CUSTOS!$M$38)</f>
        <v>217.85681941272242</v>
      </c>
      <c r="AB1726" s="6">
        <f>$K$1726*$V$1726</f>
        <v>0</v>
      </c>
      <c r="AC1726" s="6">
        <f>$M$1726*$W$1726</f>
        <v>2266.0126799999998</v>
      </c>
      <c r="AD1726" s="6">
        <f>$O$1726*$X$1726</f>
        <v>2135.4041700000002</v>
      </c>
      <c r="AE1726" s="6">
        <f>$K$1726*$Y$1726</f>
        <v>0</v>
      </c>
      <c r="AF1726" s="6">
        <f ca="1">$M$1726*$Z$1726</f>
        <v>2564.1000292632261</v>
      </c>
      <c r="AG1726" s="6">
        <f>$O$1726*$AA$1726</f>
        <v>2177.0431963913352</v>
      </c>
    </row>
    <row r="1727" spans="1:33" ht="11.25" customHeight="1" x14ac:dyDescent="0.25">
      <c r="A1727" s="4" t="s">
        <v>21</v>
      </c>
      <c r="B1727" s="4" t="s">
        <v>44</v>
      </c>
      <c r="C1727" s="4" t="s">
        <v>33</v>
      </c>
      <c r="D1727" s="4" t="s">
        <v>45</v>
      </c>
      <c r="E1727" s="4" t="s">
        <v>25</v>
      </c>
      <c r="F1727" s="4" t="s">
        <v>25</v>
      </c>
      <c r="G1727" s="4" t="s">
        <v>25</v>
      </c>
      <c r="H1727" s="4" t="s">
        <v>35</v>
      </c>
      <c r="I1727" s="5">
        <v>44531</v>
      </c>
      <c r="J1727" s="6">
        <v>0</v>
      </c>
      <c r="K1727" s="6">
        <v>0</v>
      </c>
      <c r="L1727" s="6">
        <v>12.581</v>
      </c>
      <c r="M1727" s="6">
        <v>12.581</v>
      </c>
      <c r="N1727" s="6">
        <v>12.581</v>
      </c>
      <c r="O1727" s="6">
        <v>12.581</v>
      </c>
      <c r="P1727" s="6">
        <v>0</v>
      </c>
      <c r="Q1727" s="4" t="s">
        <v>26</v>
      </c>
      <c r="R1727" s="4">
        <v>0</v>
      </c>
      <c r="S1727" s="6">
        <v>0</v>
      </c>
      <c r="T1727" s="6">
        <v>25</v>
      </c>
      <c r="U1727" s="6">
        <v>84</v>
      </c>
      <c r="V1727" s="6">
        <f>IF(ISERROR(VLOOKUP($S$1727,'TAR FIN'!$A$1:$O$104,15,0)),0,VLOOKUP($S$1727,'TAR FIN'!$A$1:$O$104,15,0))</f>
        <v>0</v>
      </c>
      <c r="W1727" s="6">
        <f>IF(ISERROR(VLOOKUP($T$1727,'TAR FIN'!$A$1:$O$104,15,0)),0,VLOOKUP($T$1727,'TAR FIN'!$A$1:$O$104,15,0))</f>
        <v>226.76</v>
      </c>
      <c r="X1727" s="6">
        <f>IF(ISERROR(VLOOKUP($U$1727,'TAR FIN'!$A$1:$O$104,15,0)),0,VLOOKUP($U$1727,'TAR FIN'!$A$1:$O$104,15,0))</f>
        <v>213.69</v>
      </c>
      <c r="Y1727" s="6"/>
      <c r="Z1727" s="6">
        <f ca="1">('TUSD BE'!$AM$46+'TUSD BF'!$AM$46+'TUSD CVA'!$AM$46)*(1-CUSTOS!$M$38)</f>
        <v>256.58961565728271</v>
      </c>
      <c r="AA1727" s="6">
        <f>('TE BE'!$AB$25+'TE BF'!$AB$25+'TE CVA'!$AB$25)*(1-CUSTOS!$M$38)</f>
        <v>217.85681941272242</v>
      </c>
      <c r="AB1727" s="6">
        <f>$K$1727*$V$1727</f>
        <v>0</v>
      </c>
      <c r="AC1727" s="6">
        <f>$M$1727*$W$1727</f>
        <v>2852.8675599999997</v>
      </c>
      <c r="AD1727" s="6">
        <f>$O$1727*$X$1727</f>
        <v>2688.4338899999998</v>
      </c>
      <c r="AE1727" s="6">
        <f>$K$1727*$Y$1727</f>
        <v>0</v>
      </c>
      <c r="AF1727" s="6">
        <f ca="1">$M$1727*$Z$1727</f>
        <v>3228.1539545842738</v>
      </c>
      <c r="AG1727" s="6">
        <f>$O$1727*$AA$1727</f>
        <v>2740.8566450314606</v>
      </c>
    </row>
    <row r="1728" spans="1:33" ht="11.25" customHeight="1" x14ac:dyDescent="0.25">
      <c r="A1728" s="4" t="s">
        <v>21</v>
      </c>
      <c r="B1728" s="4" t="s">
        <v>44</v>
      </c>
      <c r="C1728" s="4" t="s">
        <v>33</v>
      </c>
      <c r="D1728" s="4" t="s">
        <v>45</v>
      </c>
      <c r="E1728" s="4" t="s">
        <v>25</v>
      </c>
      <c r="F1728" s="4" t="s">
        <v>25</v>
      </c>
      <c r="G1728" s="4" t="s">
        <v>25</v>
      </c>
      <c r="H1728" s="4" t="s">
        <v>35</v>
      </c>
      <c r="I1728" s="5">
        <v>44562</v>
      </c>
      <c r="J1728" s="6">
        <v>0</v>
      </c>
      <c r="K1728" s="6">
        <v>0</v>
      </c>
      <c r="L1728" s="6">
        <v>10.922000000000001</v>
      </c>
      <c r="M1728" s="6">
        <v>10.922000000000001</v>
      </c>
      <c r="N1728" s="6">
        <v>10.922000000000001</v>
      </c>
      <c r="O1728" s="6">
        <v>10.922000000000001</v>
      </c>
      <c r="P1728" s="6">
        <v>0</v>
      </c>
      <c r="Q1728" s="4" t="s">
        <v>26</v>
      </c>
      <c r="R1728" s="4">
        <v>0</v>
      </c>
      <c r="S1728" s="6">
        <v>0</v>
      </c>
      <c r="T1728" s="6">
        <v>25</v>
      </c>
      <c r="U1728" s="6">
        <v>84</v>
      </c>
      <c r="V1728" s="6">
        <f>IF(ISERROR(VLOOKUP($S$1728,'TAR FIN'!$A$1:$O$104,15,0)),0,VLOOKUP($S$1728,'TAR FIN'!$A$1:$O$104,15,0))</f>
        <v>0</v>
      </c>
      <c r="W1728" s="6">
        <f>IF(ISERROR(VLOOKUP($T$1728,'TAR FIN'!$A$1:$O$104,15,0)),0,VLOOKUP($T$1728,'TAR FIN'!$A$1:$O$104,15,0))</f>
        <v>226.76</v>
      </c>
      <c r="X1728" s="6">
        <f>IF(ISERROR(VLOOKUP($U$1728,'TAR FIN'!$A$1:$O$104,15,0)),0,VLOOKUP($U$1728,'TAR FIN'!$A$1:$O$104,15,0))</f>
        <v>213.69</v>
      </c>
      <c r="Y1728" s="6"/>
      <c r="Z1728" s="6">
        <f ca="1">('TUSD BE'!$AM$46+'TUSD BF'!$AM$46+'TUSD CVA'!$AM$46)*(1-CUSTOS!$M$38)</f>
        <v>256.58961565728271</v>
      </c>
      <c r="AA1728" s="6">
        <f>('TE BE'!$AB$25+'TE BF'!$AB$25+'TE CVA'!$AB$25)*(1-CUSTOS!$M$38)</f>
        <v>217.85681941272242</v>
      </c>
      <c r="AB1728" s="6">
        <f>$K$1728*$V$1728</f>
        <v>0</v>
      </c>
      <c r="AC1728" s="6">
        <f>$M$1728*$W$1728</f>
        <v>2476.67272</v>
      </c>
      <c r="AD1728" s="6">
        <f>$O$1728*$X$1728</f>
        <v>2333.92218</v>
      </c>
      <c r="AE1728" s="6">
        <f>$K$1728*$Y$1728</f>
        <v>0</v>
      </c>
      <c r="AF1728" s="6">
        <f ca="1">$M$1728*$Z$1728</f>
        <v>2802.4717822088419</v>
      </c>
      <c r="AG1728" s="6">
        <f>$O$1728*$AA$1728</f>
        <v>2379.4321816257543</v>
      </c>
    </row>
    <row r="1729" spans="1:33" ht="11.25" customHeight="1" x14ac:dyDescent="0.25">
      <c r="A1729" s="4" t="s">
        <v>21</v>
      </c>
      <c r="B1729" s="4" t="s">
        <v>44</v>
      </c>
      <c r="C1729" s="4" t="s">
        <v>33</v>
      </c>
      <c r="D1729" s="4" t="s">
        <v>45</v>
      </c>
      <c r="E1729" s="4" t="s">
        <v>25</v>
      </c>
      <c r="F1729" s="4" t="s">
        <v>25</v>
      </c>
      <c r="G1729" s="4" t="s">
        <v>25</v>
      </c>
      <c r="H1729" s="4" t="s">
        <v>35</v>
      </c>
      <c r="I1729" s="5">
        <v>44593</v>
      </c>
      <c r="J1729" s="6">
        <v>0</v>
      </c>
      <c r="K1729" s="6">
        <v>0</v>
      </c>
      <c r="L1729" s="6">
        <v>6.39</v>
      </c>
      <c r="M1729" s="6">
        <v>6.39</v>
      </c>
      <c r="N1729" s="6">
        <v>6.39</v>
      </c>
      <c r="O1729" s="6">
        <v>6.39</v>
      </c>
      <c r="P1729" s="6">
        <v>0</v>
      </c>
      <c r="Q1729" s="4" t="s">
        <v>26</v>
      </c>
      <c r="R1729" s="4">
        <v>0</v>
      </c>
      <c r="S1729" s="6">
        <v>0</v>
      </c>
      <c r="T1729" s="6">
        <v>25</v>
      </c>
      <c r="U1729" s="6">
        <v>84</v>
      </c>
      <c r="V1729" s="6">
        <f>IF(ISERROR(VLOOKUP($S$1729,'TAR FIN'!$A$1:$O$104,15,0)),0,VLOOKUP($S$1729,'TAR FIN'!$A$1:$O$104,15,0))</f>
        <v>0</v>
      </c>
      <c r="W1729" s="6">
        <f>IF(ISERROR(VLOOKUP($T$1729,'TAR FIN'!$A$1:$O$104,15,0)),0,VLOOKUP($T$1729,'TAR FIN'!$A$1:$O$104,15,0))</f>
        <v>226.76</v>
      </c>
      <c r="X1729" s="6">
        <f>IF(ISERROR(VLOOKUP($U$1729,'TAR FIN'!$A$1:$O$104,15,0)),0,VLOOKUP($U$1729,'TAR FIN'!$A$1:$O$104,15,0))</f>
        <v>213.69</v>
      </c>
      <c r="Y1729" s="6"/>
      <c r="Z1729" s="6">
        <f ca="1">('TUSD BE'!$AM$46+'TUSD BF'!$AM$46+'TUSD CVA'!$AM$46)*(1-CUSTOS!$M$38)</f>
        <v>256.58961565728271</v>
      </c>
      <c r="AA1729" s="6">
        <f>('TE BE'!$AB$25+'TE BF'!$AB$25+'TE CVA'!$AB$25)*(1-CUSTOS!$M$38)</f>
        <v>217.85681941272242</v>
      </c>
      <c r="AB1729" s="6">
        <f>$K$1729*$V$1729</f>
        <v>0</v>
      </c>
      <c r="AC1729" s="6">
        <f>$M$1729*$W$1729</f>
        <v>1448.9963999999998</v>
      </c>
      <c r="AD1729" s="6">
        <f>$O$1729*$X$1729</f>
        <v>1365.4791</v>
      </c>
      <c r="AE1729" s="6">
        <f>$K$1729*$Y$1729</f>
        <v>0</v>
      </c>
      <c r="AF1729" s="6">
        <f ca="1">$M$1729*$Z$1729</f>
        <v>1639.6076440500365</v>
      </c>
      <c r="AG1729" s="6">
        <f>$O$1729*$AA$1729</f>
        <v>1392.1050760472963</v>
      </c>
    </row>
    <row r="1730" spans="1:33" ht="11.25" customHeight="1" x14ac:dyDescent="0.25">
      <c r="A1730" s="4" t="s">
        <v>21</v>
      </c>
      <c r="B1730" s="4" t="s">
        <v>44</v>
      </c>
      <c r="C1730" s="4" t="s">
        <v>33</v>
      </c>
      <c r="D1730" s="4" t="s">
        <v>45</v>
      </c>
      <c r="E1730" s="4" t="s">
        <v>25</v>
      </c>
      <c r="F1730" s="4" t="s">
        <v>25</v>
      </c>
      <c r="G1730" s="4" t="s">
        <v>25</v>
      </c>
      <c r="H1730" s="4" t="s">
        <v>35</v>
      </c>
      <c r="I1730" s="5">
        <v>44621</v>
      </c>
      <c r="J1730" s="6">
        <v>0</v>
      </c>
      <c r="K1730" s="6">
        <v>0</v>
      </c>
      <c r="L1730" s="6">
        <v>3.0859999999999999</v>
      </c>
      <c r="M1730" s="6">
        <v>3.0859999999999999</v>
      </c>
      <c r="N1730" s="6">
        <v>3.0859999999999999</v>
      </c>
      <c r="O1730" s="6">
        <v>3.0859999999999999</v>
      </c>
      <c r="P1730" s="6">
        <v>0</v>
      </c>
      <c r="Q1730" s="4" t="s">
        <v>26</v>
      </c>
      <c r="R1730" s="4">
        <v>0</v>
      </c>
      <c r="S1730" s="6">
        <v>0</v>
      </c>
      <c r="T1730" s="6">
        <v>25</v>
      </c>
      <c r="U1730" s="6">
        <v>84</v>
      </c>
      <c r="V1730" s="6">
        <f>IF(ISERROR(VLOOKUP($S$1730,'TAR FIN'!$A$1:$O$104,15,0)),0,VLOOKUP($S$1730,'TAR FIN'!$A$1:$O$104,15,0))</f>
        <v>0</v>
      </c>
      <c r="W1730" s="6">
        <f>IF(ISERROR(VLOOKUP($T$1730,'TAR FIN'!$A$1:$O$104,15,0)),0,VLOOKUP($T$1730,'TAR FIN'!$A$1:$O$104,15,0))</f>
        <v>226.76</v>
      </c>
      <c r="X1730" s="6">
        <f>IF(ISERROR(VLOOKUP($U$1730,'TAR FIN'!$A$1:$O$104,15,0)),0,VLOOKUP($U$1730,'TAR FIN'!$A$1:$O$104,15,0))</f>
        <v>213.69</v>
      </c>
      <c r="Y1730" s="6"/>
      <c r="Z1730" s="6">
        <f ca="1">('TUSD BE'!$AM$46+'TUSD BF'!$AM$46+'TUSD CVA'!$AM$46)*(1-CUSTOS!$M$38)</f>
        <v>256.58961565728271</v>
      </c>
      <c r="AA1730" s="6">
        <f>('TE BE'!$AB$25+'TE BF'!$AB$25+'TE CVA'!$AB$25)*(1-CUSTOS!$M$38)</f>
        <v>217.85681941272242</v>
      </c>
      <c r="AB1730" s="6">
        <f>$K$1730*$V$1730</f>
        <v>0</v>
      </c>
      <c r="AC1730" s="6">
        <f>$M$1730*$W$1730</f>
        <v>699.78135999999995</v>
      </c>
      <c r="AD1730" s="6">
        <f>$O$1730*$X$1730</f>
        <v>659.44733999999994</v>
      </c>
      <c r="AE1730" s="6">
        <f>$K$1730*$Y$1730</f>
        <v>0</v>
      </c>
      <c r="AF1730" s="6">
        <f ca="1">$M$1730*$Z$1730</f>
        <v>791.83555391837444</v>
      </c>
      <c r="AG1730" s="6">
        <f>$O$1730*$AA$1730</f>
        <v>672.30614470766136</v>
      </c>
    </row>
    <row r="1731" spans="1:33" ht="11.25" customHeight="1" x14ac:dyDescent="0.25">
      <c r="A1731" s="4" t="s">
        <v>21</v>
      </c>
      <c r="B1731" s="4" t="s">
        <v>44</v>
      </c>
      <c r="C1731" s="4" t="s">
        <v>33</v>
      </c>
      <c r="D1731" s="4" t="s">
        <v>45</v>
      </c>
      <c r="E1731" s="4" t="s">
        <v>25</v>
      </c>
      <c r="F1731" s="4" t="s">
        <v>25</v>
      </c>
      <c r="G1731" s="4" t="s">
        <v>25</v>
      </c>
      <c r="H1731" s="4" t="s">
        <v>35</v>
      </c>
      <c r="I1731" s="5">
        <v>44652</v>
      </c>
      <c r="J1731" s="6">
        <v>0</v>
      </c>
      <c r="K1731" s="6">
        <v>0</v>
      </c>
      <c r="L1731" s="6">
        <v>2.5569999999999999</v>
      </c>
      <c r="M1731" s="6">
        <v>2.5569999999999999</v>
      </c>
      <c r="N1731" s="6">
        <v>2.5569999999999999</v>
      </c>
      <c r="O1731" s="6">
        <v>2.5569999999999999</v>
      </c>
      <c r="P1731" s="6">
        <v>0</v>
      </c>
      <c r="Q1731" s="4" t="s">
        <v>26</v>
      </c>
      <c r="R1731" s="4">
        <v>0</v>
      </c>
      <c r="S1731" s="6">
        <v>0</v>
      </c>
      <c r="T1731" s="6">
        <v>25</v>
      </c>
      <c r="U1731" s="6">
        <v>84</v>
      </c>
      <c r="V1731" s="6">
        <f>IF(ISERROR(VLOOKUP($S$1731,'TAR FIN'!$A$1:$O$104,15,0)),0,VLOOKUP($S$1731,'TAR FIN'!$A$1:$O$104,15,0))</f>
        <v>0</v>
      </c>
      <c r="W1731" s="6">
        <f>IF(ISERROR(VLOOKUP($T$1731,'TAR FIN'!$A$1:$O$104,15,0)),0,VLOOKUP($T$1731,'TAR FIN'!$A$1:$O$104,15,0))</f>
        <v>226.76</v>
      </c>
      <c r="X1731" s="6">
        <f>IF(ISERROR(VLOOKUP($U$1731,'TAR FIN'!$A$1:$O$104,15,0)),0,VLOOKUP($U$1731,'TAR FIN'!$A$1:$O$104,15,0))</f>
        <v>213.69</v>
      </c>
      <c r="Y1731" s="6"/>
      <c r="Z1731" s="6">
        <f ca="1">('TUSD BE'!$AM$46+'TUSD BF'!$AM$46+'TUSD CVA'!$AM$46)*(1-CUSTOS!$M$38)</f>
        <v>256.58961565728271</v>
      </c>
      <c r="AA1731" s="6">
        <f>('TE BE'!$AB$25+'TE BF'!$AB$25+'TE CVA'!$AB$25)*(1-CUSTOS!$M$38)</f>
        <v>217.85681941272242</v>
      </c>
      <c r="AB1731" s="6">
        <f>$K$1731*$V$1731</f>
        <v>0</v>
      </c>
      <c r="AC1731" s="6">
        <f>$M$1731*$W$1731</f>
        <v>579.82531999999992</v>
      </c>
      <c r="AD1731" s="6">
        <f>$O$1731*$X$1731</f>
        <v>546.40532999999994</v>
      </c>
      <c r="AE1731" s="6">
        <f>$K$1731*$Y$1731</f>
        <v>0</v>
      </c>
      <c r="AF1731" s="6">
        <f ca="1">$M$1731*$Z$1731</f>
        <v>656.09964723567191</v>
      </c>
      <c r="AG1731" s="6">
        <f>$O$1731*$AA$1731</f>
        <v>557.05988723833116</v>
      </c>
    </row>
    <row r="1732" spans="1:33" ht="11.25" customHeight="1" x14ac:dyDescent="0.25">
      <c r="A1732" s="4" t="s">
        <v>21</v>
      </c>
      <c r="B1732" s="4" t="s">
        <v>44</v>
      </c>
      <c r="C1732" s="4" t="s">
        <v>33</v>
      </c>
      <c r="D1732" s="4" t="s">
        <v>45</v>
      </c>
      <c r="E1732" s="4" t="s">
        <v>25</v>
      </c>
      <c r="F1732" s="4" t="s">
        <v>25</v>
      </c>
      <c r="G1732" s="4" t="s">
        <v>25</v>
      </c>
      <c r="H1732" s="4" t="s">
        <v>35</v>
      </c>
      <c r="I1732" s="5">
        <v>44682</v>
      </c>
      <c r="J1732" s="6">
        <v>0</v>
      </c>
      <c r="K1732" s="6">
        <v>0</v>
      </c>
      <c r="L1732" s="6">
        <v>3.3130000000000002</v>
      </c>
      <c r="M1732" s="6">
        <v>3.3130000000000002</v>
      </c>
      <c r="N1732" s="6">
        <v>3.3130000000000002</v>
      </c>
      <c r="O1732" s="6">
        <v>3.3130000000000002</v>
      </c>
      <c r="P1732" s="6">
        <v>0</v>
      </c>
      <c r="Q1732" s="4" t="s">
        <v>26</v>
      </c>
      <c r="R1732" s="4">
        <v>0</v>
      </c>
      <c r="S1732" s="6">
        <v>0</v>
      </c>
      <c r="T1732" s="6">
        <v>25</v>
      </c>
      <c r="U1732" s="6">
        <v>84</v>
      </c>
      <c r="V1732" s="6">
        <f>IF(ISERROR(VLOOKUP($S$1732,'TAR FIN'!$A$1:$O$104,15,0)),0,VLOOKUP($S$1732,'TAR FIN'!$A$1:$O$104,15,0))</f>
        <v>0</v>
      </c>
      <c r="W1732" s="6">
        <f>IF(ISERROR(VLOOKUP($T$1732,'TAR FIN'!$A$1:$O$104,15,0)),0,VLOOKUP($T$1732,'TAR FIN'!$A$1:$O$104,15,0))</f>
        <v>226.76</v>
      </c>
      <c r="X1732" s="6">
        <f>IF(ISERROR(VLOOKUP($U$1732,'TAR FIN'!$A$1:$O$104,15,0)),0,VLOOKUP($U$1732,'TAR FIN'!$A$1:$O$104,15,0))</f>
        <v>213.69</v>
      </c>
      <c r="Y1732" s="6"/>
      <c r="Z1732" s="6">
        <f ca="1">('TUSD BE'!$AM$46+'TUSD BF'!$AM$46+'TUSD CVA'!$AM$46)*(1-CUSTOS!$M$38)</f>
        <v>256.58961565728271</v>
      </c>
      <c r="AA1732" s="6">
        <f>('TE BE'!$AB$25+'TE BF'!$AB$25+'TE CVA'!$AB$25)*(1-CUSTOS!$M$38)</f>
        <v>217.85681941272242</v>
      </c>
      <c r="AB1732" s="6">
        <f>$K$1732*$V$1732</f>
        <v>0</v>
      </c>
      <c r="AC1732" s="6">
        <f>$M$1732*$W$1732</f>
        <v>751.25588000000005</v>
      </c>
      <c r="AD1732" s="6">
        <f>$O$1732*$X$1732</f>
        <v>707.95497</v>
      </c>
      <c r="AE1732" s="6">
        <f>$K$1732*$Y$1732</f>
        <v>0</v>
      </c>
      <c r="AF1732" s="6">
        <f ca="1">$M$1732*$Z$1732</f>
        <v>850.08139667257763</v>
      </c>
      <c r="AG1732" s="6">
        <f>$O$1732*$AA$1732</f>
        <v>721.75964271434941</v>
      </c>
    </row>
    <row r="1733" spans="1:33" ht="11.25" customHeight="1" x14ac:dyDescent="0.25">
      <c r="A1733" s="4" t="s">
        <v>21</v>
      </c>
      <c r="B1733" s="4" t="s">
        <v>44</v>
      </c>
      <c r="C1733" s="4" t="s">
        <v>33</v>
      </c>
      <c r="D1733" s="4" t="s">
        <v>45</v>
      </c>
      <c r="E1733" s="4" t="s">
        <v>25</v>
      </c>
      <c r="F1733" s="4" t="s">
        <v>25</v>
      </c>
      <c r="G1733" s="4" t="s">
        <v>25</v>
      </c>
      <c r="H1733" s="4" t="s">
        <v>35</v>
      </c>
      <c r="I1733" s="5">
        <v>44713</v>
      </c>
      <c r="J1733" s="6">
        <v>0</v>
      </c>
      <c r="K1733" s="6">
        <v>0</v>
      </c>
      <c r="L1733" s="6">
        <v>2.52</v>
      </c>
      <c r="M1733" s="6">
        <v>2.52</v>
      </c>
      <c r="N1733" s="6">
        <v>2.52</v>
      </c>
      <c r="O1733" s="6">
        <v>2.52</v>
      </c>
      <c r="P1733" s="6">
        <v>0</v>
      </c>
      <c r="Q1733" s="4" t="s">
        <v>26</v>
      </c>
      <c r="R1733" s="4">
        <v>0</v>
      </c>
      <c r="S1733" s="6">
        <v>0</v>
      </c>
      <c r="T1733" s="6">
        <v>25</v>
      </c>
      <c r="U1733" s="6">
        <v>84</v>
      </c>
      <c r="V1733" s="6">
        <f>IF(ISERROR(VLOOKUP($S$1733,'TAR FIN'!$A$1:$O$104,15,0)),0,VLOOKUP($S$1733,'TAR FIN'!$A$1:$O$104,15,0))</f>
        <v>0</v>
      </c>
      <c r="W1733" s="6">
        <f>IF(ISERROR(VLOOKUP($T$1733,'TAR FIN'!$A$1:$O$104,15,0)),0,VLOOKUP($T$1733,'TAR FIN'!$A$1:$O$104,15,0))</f>
        <v>226.76</v>
      </c>
      <c r="X1733" s="6">
        <f>IF(ISERROR(VLOOKUP($U$1733,'TAR FIN'!$A$1:$O$104,15,0)),0,VLOOKUP($U$1733,'TAR FIN'!$A$1:$O$104,15,0))</f>
        <v>213.69</v>
      </c>
      <c r="Y1733" s="6"/>
      <c r="Z1733" s="6">
        <f ca="1">('TUSD BE'!$AM$46+'TUSD BF'!$AM$46+'TUSD CVA'!$AM$46)*(1-CUSTOS!$M$38)</f>
        <v>256.58961565728271</v>
      </c>
      <c r="AA1733" s="6">
        <f>('TE BE'!$AB$25+'TE BF'!$AB$25+'TE CVA'!$AB$25)*(1-CUSTOS!$M$38)</f>
        <v>217.85681941272242</v>
      </c>
      <c r="AB1733" s="6">
        <f>$K$1733*$V$1733</f>
        <v>0</v>
      </c>
      <c r="AC1733" s="6">
        <f>$M$1733*$W$1733</f>
        <v>571.43520000000001</v>
      </c>
      <c r="AD1733" s="6">
        <f>$O$1733*$X$1733</f>
        <v>538.49879999999996</v>
      </c>
      <c r="AE1733" s="6">
        <f>$K$1733*$Y$1733</f>
        <v>0</v>
      </c>
      <c r="AF1733" s="6">
        <f ca="1">$M$1733*$Z$1733</f>
        <v>646.60583145635246</v>
      </c>
      <c r="AG1733" s="6">
        <f>$O$1733*$AA$1733</f>
        <v>548.99918492006054</v>
      </c>
    </row>
    <row r="1734" spans="1:33" ht="11.25" customHeight="1" x14ac:dyDescent="0.25">
      <c r="A1734" s="4" t="s">
        <v>57</v>
      </c>
      <c r="B1734" s="4" t="s">
        <v>44</v>
      </c>
      <c r="C1734" s="4" t="s">
        <v>33</v>
      </c>
      <c r="D1734" s="4" t="s">
        <v>45</v>
      </c>
      <c r="E1734" s="4" t="s">
        <v>25</v>
      </c>
      <c r="F1734" s="4" t="s">
        <v>25</v>
      </c>
      <c r="G1734" s="4" t="s">
        <v>25</v>
      </c>
      <c r="H1734" s="4" t="s">
        <v>35</v>
      </c>
      <c r="I1734" s="5">
        <v>44743</v>
      </c>
      <c r="J1734" s="6">
        <v>0</v>
      </c>
      <c r="K1734" s="6">
        <v>0</v>
      </c>
      <c r="L1734" s="6">
        <v>2.52</v>
      </c>
      <c r="M1734" s="6">
        <v>2.52</v>
      </c>
      <c r="N1734" s="6">
        <v>2.52</v>
      </c>
      <c r="O1734" s="6">
        <v>2.52</v>
      </c>
      <c r="P1734" s="6">
        <v>0</v>
      </c>
      <c r="Q1734" s="4" t="s">
        <v>26</v>
      </c>
      <c r="R1734" s="4">
        <v>0</v>
      </c>
      <c r="S1734" s="6">
        <v>0</v>
      </c>
      <c r="T1734" s="6">
        <v>25</v>
      </c>
      <c r="U1734" s="6">
        <v>84</v>
      </c>
      <c r="V1734" s="6">
        <f>IF(ISERROR(VLOOKUP($S$1734,'TAR FIN'!$A$1:$O$104,15,0)),0,VLOOKUP($S$1734,'TAR FIN'!$A$1:$O$104,15,0))</f>
        <v>0</v>
      </c>
      <c r="W1734" s="6">
        <f>IF(ISERROR(VLOOKUP($T$1734,'TAR FIN'!$A$1:$O$104,15,0)),0,VLOOKUP($T$1734,'TAR FIN'!$A$1:$O$104,15,0))</f>
        <v>226.76</v>
      </c>
      <c r="X1734" s="6">
        <f>IF(ISERROR(VLOOKUP($U$1734,'TAR FIN'!$A$1:$O$104,15,0)),0,VLOOKUP($U$1734,'TAR FIN'!$A$1:$O$104,15,0))</f>
        <v>213.69</v>
      </c>
      <c r="Y1734" s="6"/>
      <c r="Z1734" s="6">
        <f ca="1">('TUSD BE'!$AM$46+'TUSD BF'!$AM$46+'TUSD CVA'!$AM$46)*(1-CUSTOS!$M$38)</f>
        <v>256.58961565728271</v>
      </c>
      <c r="AA1734" s="6">
        <f>('TE BE'!$AB$25+'TE BF'!$AB$25+'TE CVA'!$AB$25)*(1-CUSTOS!$M$38)</f>
        <v>217.85681941272242</v>
      </c>
      <c r="AB1734" s="6">
        <f>$K$1734*$V$1734</f>
        <v>0</v>
      </c>
      <c r="AC1734" s="6">
        <f>$M$1734*$W$1734</f>
        <v>571.43520000000001</v>
      </c>
      <c r="AD1734" s="6">
        <f>$O$1734*$X$1734</f>
        <v>538.49879999999996</v>
      </c>
      <c r="AE1734" s="6">
        <f>$K$1734*$Y$1734</f>
        <v>0</v>
      </c>
      <c r="AF1734" s="6">
        <f ca="1">$M$1734*$Z$1734</f>
        <v>646.60583145635246</v>
      </c>
      <c r="AG1734" s="6">
        <f>$O$1734*$AA$1734</f>
        <v>548.99918492006054</v>
      </c>
    </row>
    <row r="1735" spans="1:33" ht="11.25" customHeight="1" x14ac:dyDescent="0.25">
      <c r="A1735" s="4" t="s">
        <v>21</v>
      </c>
      <c r="B1735" s="4" t="s">
        <v>44</v>
      </c>
      <c r="C1735" s="4" t="s">
        <v>33</v>
      </c>
      <c r="D1735" s="4" t="s">
        <v>45</v>
      </c>
      <c r="E1735" s="4" t="s">
        <v>25</v>
      </c>
      <c r="F1735" s="4" t="s">
        <v>25</v>
      </c>
      <c r="G1735" s="4" t="s">
        <v>25</v>
      </c>
      <c r="H1735" s="4" t="s">
        <v>36</v>
      </c>
      <c r="I1735" s="5">
        <v>44409</v>
      </c>
      <c r="J1735" s="6">
        <v>0</v>
      </c>
      <c r="K1735" s="6">
        <v>0</v>
      </c>
      <c r="L1735" s="6">
        <v>0.43</v>
      </c>
      <c r="M1735" s="6">
        <v>0.43</v>
      </c>
      <c r="N1735" s="6">
        <v>0.43</v>
      </c>
      <c r="O1735" s="6">
        <v>0.43</v>
      </c>
      <c r="P1735" s="6">
        <v>0</v>
      </c>
      <c r="Q1735" s="4" t="s">
        <v>26</v>
      </c>
      <c r="R1735" s="4">
        <v>0</v>
      </c>
      <c r="S1735" s="6">
        <v>0</v>
      </c>
      <c r="T1735" s="6">
        <v>23</v>
      </c>
      <c r="U1735" s="6">
        <v>83</v>
      </c>
      <c r="V1735" s="6">
        <f>IF(ISERROR(VLOOKUP($S$1735,'TAR FIN'!$A$1:$O$104,15,0)),0,VLOOKUP($S$1735,'TAR FIN'!$A$1:$O$104,15,0))</f>
        <v>0</v>
      </c>
      <c r="W1735" s="6">
        <f>IF(ISERROR(VLOOKUP($T$1735,'TAR FIN'!$A$1:$O$104,15,0)),0,VLOOKUP($T$1735,'TAR FIN'!$A$1:$O$104,15,0))</f>
        <v>525.19000000000005</v>
      </c>
      <c r="X1735" s="6">
        <f>IF(ISERROR(VLOOKUP($U$1735,'TAR FIN'!$A$1:$O$104,15,0)),0,VLOOKUP($U$1735,'TAR FIN'!$A$1:$O$104,15,0))</f>
        <v>213.69</v>
      </c>
      <c r="Y1735" s="6"/>
      <c r="Z1735" s="6">
        <f ca="1">('TUSD BE'!$AM$45+'TUSD BF'!$AM$45+'TUSD CVA'!$AM$45)*(1-CUSTOS!$M$38)</f>
        <v>575.84967768293859</v>
      </c>
      <c r="AA1735" s="6">
        <f>('TE BE'!$AB$24+'TE BF'!$AB$24+'TE CVA'!$AB$24)*(1-CUSTOS!$M$38)</f>
        <v>217.85681941272242</v>
      </c>
      <c r="AB1735" s="6">
        <f>$K$1735*$V$1735</f>
        <v>0</v>
      </c>
      <c r="AC1735" s="6">
        <f>$M$1735*$W$1735</f>
        <v>225.83170000000001</v>
      </c>
      <c r="AD1735" s="6">
        <f>$O$1735*$X$1735</f>
        <v>91.88669999999999</v>
      </c>
      <c r="AE1735" s="6">
        <f>$K$1735*$Y$1735</f>
        <v>0</v>
      </c>
      <c r="AF1735" s="6">
        <f ca="1">$M$1735*$Z$1735</f>
        <v>247.6153614036636</v>
      </c>
      <c r="AG1735" s="6">
        <f>$O$1735*$AA$1735</f>
        <v>93.678432347470633</v>
      </c>
    </row>
    <row r="1736" spans="1:33" ht="11.25" customHeight="1" x14ac:dyDescent="0.25">
      <c r="A1736" s="4" t="s">
        <v>21</v>
      </c>
      <c r="B1736" s="4" t="s">
        <v>44</v>
      </c>
      <c r="C1736" s="4" t="s">
        <v>33</v>
      </c>
      <c r="D1736" s="4" t="s">
        <v>45</v>
      </c>
      <c r="E1736" s="4" t="s">
        <v>25</v>
      </c>
      <c r="F1736" s="4" t="s">
        <v>25</v>
      </c>
      <c r="G1736" s="4" t="s">
        <v>25</v>
      </c>
      <c r="H1736" s="4" t="s">
        <v>36</v>
      </c>
      <c r="I1736" s="5">
        <v>44440</v>
      </c>
      <c r="J1736" s="6">
        <v>0</v>
      </c>
      <c r="K1736" s="6">
        <v>0</v>
      </c>
      <c r="L1736" s="6">
        <v>0.36899999999999999</v>
      </c>
      <c r="M1736" s="6">
        <v>0.36899999999999999</v>
      </c>
      <c r="N1736" s="6">
        <v>0.36899999999999999</v>
      </c>
      <c r="O1736" s="6">
        <v>0.36899999999999999</v>
      </c>
      <c r="P1736" s="6">
        <v>0</v>
      </c>
      <c r="Q1736" s="4" t="s">
        <v>26</v>
      </c>
      <c r="R1736" s="4">
        <v>0</v>
      </c>
      <c r="S1736" s="6">
        <v>0</v>
      </c>
      <c r="T1736" s="6">
        <v>23</v>
      </c>
      <c r="U1736" s="6">
        <v>83</v>
      </c>
      <c r="V1736" s="6">
        <f>IF(ISERROR(VLOOKUP($S$1736,'TAR FIN'!$A$1:$O$104,15,0)),0,VLOOKUP($S$1736,'TAR FIN'!$A$1:$O$104,15,0))</f>
        <v>0</v>
      </c>
      <c r="W1736" s="6">
        <f>IF(ISERROR(VLOOKUP($T$1736,'TAR FIN'!$A$1:$O$104,15,0)),0,VLOOKUP($T$1736,'TAR FIN'!$A$1:$O$104,15,0))</f>
        <v>525.19000000000005</v>
      </c>
      <c r="X1736" s="6">
        <f>IF(ISERROR(VLOOKUP($U$1736,'TAR FIN'!$A$1:$O$104,15,0)),0,VLOOKUP($U$1736,'TAR FIN'!$A$1:$O$104,15,0))</f>
        <v>213.69</v>
      </c>
      <c r="Y1736" s="6"/>
      <c r="Z1736" s="6">
        <f ca="1">('TUSD BE'!$AM$45+'TUSD BF'!$AM$45+'TUSD CVA'!$AM$45)*(1-CUSTOS!$M$38)</f>
        <v>575.84967768293859</v>
      </c>
      <c r="AA1736" s="6">
        <f>('TE BE'!$AB$24+'TE BF'!$AB$24+'TE CVA'!$AB$24)*(1-CUSTOS!$M$38)</f>
        <v>217.85681941272242</v>
      </c>
      <c r="AB1736" s="6">
        <f>$K$1736*$V$1736</f>
        <v>0</v>
      </c>
      <c r="AC1736" s="6">
        <f>$M$1736*$W$1736</f>
        <v>193.79511000000002</v>
      </c>
      <c r="AD1736" s="6">
        <f>$O$1736*$X$1736</f>
        <v>78.851609999999994</v>
      </c>
      <c r="AE1736" s="6">
        <f>$K$1736*$Y$1736</f>
        <v>0</v>
      </c>
      <c r="AF1736" s="6">
        <f ca="1">$M$1736*$Z$1736</f>
        <v>212.48853106500434</v>
      </c>
      <c r="AG1736" s="6">
        <f>$O$1736*$AA$1736</f>
        <v>80.389166363294564</v>
      </c>
    </row>
    <row r="1737" spans="1:33" ht="11.25" customHeight="1" x14ac:dyDescent="0.25">
      <c r="A1737" s="4" t="s">
        <v>21</v>
      </c>
      <c r="B1737" s="4" t="s">
        <v>44</v>
      </c>
      <c r="C1737" s="4" t="s">
        <v>33</v>
      </c>
      <c r="D1737" s="4" t="s">
        <v>45</v>
      </c>
      <c r="E1737" s="4" t="s">
        <v>25</v>
      </c>
      <c r="F1737" s="4" t="s">
        <v>25</v>
      </c>
      <c r="G1737" s="4" t="s">
        <v>25</v>
      </c>
      <c r="H1737" s="4" t="s">
        <v>36</v>
      </c>
      <c r="I1737" s="5">
        <v>44470</v>
      </c>
      <c r="J1737" s="6">
        <v>0</v>
      </c>
      <c r="K1737" s="6">
        <v>0</v>
      </c>
      <c r="L1737" s="6">
        <v>0.439</v>
      </c>
      <c r="M1737" s="6">
        <v>0.439</v>
      </c>
      <c r="N1737" s="6">
        <v>0.439</v>
      </c>
      <c r="O1737" s="6">
        <v>0.439</v>
      </c>
      <c r="P1737" s="6">
        <v>0</v>
      </c>
      <c r="Q1737" s="4" t="s">
        <v>26</v>
      </c>
      <c r="R1737" s="4">
        <v>0</v>
      </c>
      <c r="S1737" s="6">
        <v>0</v>
      </c>
      <c r="T1737" s="6">
        <v>23</v>
      </c>
      <c r="U1737" s="6">
        <v>83</v>
      </c>
      <c r="V1737" s="6">
        <f>IF(ISERROR(VLOOKUP($S$1737,'TAR FIN'!$A$1:$O$104,15,0)),0,VLOOKUP($S$1737,'TAR FIN'!$A$1:$O$104,15,0))</f>
        <v>0</v>
      </c>
      <c r="W1737" s="6">
        <f>IF(ISERROR(VLOOKUP($T$1737,'TAR FIN'!$A$1:$O$104,15,0)),0,VLOOKUP($T$1737,'TAR FIN'!$A$1:$O$104,15,0))</f>
        <v>525.19000000000005</v>
      </c>
      <c r="X1737" s="6">
        <f>IF(ISERROR(VLOOKUP($U$1737,'TAR FIN'!$A$1:$O$104,15,0)),0,VLOOKUP($U$1737,'TAR FIN'!$A$1:$O$104,15,0))</f>
        <v>213.69</v>
      </c>
      <c r="Y1737" s="6"/>
      <c r="Z1737" s="6">
        <f ca="1">('TUSD BE'!$AM$45+'TUSD BF'!$AM$45+'TUSD CVA'!$AM$45)*(1-CUSTOS!$M$38)</f>
        <v>575.84967768293859</v>
      </c>
      <c r="AA1737" s="6">
        <f>('TE BE'!$AB$24+'TE BF'!$AB$24+'TE CVA'!$AB$24)*(1-CUSTOS!$M$38)</f>
        <v>217.85681941272242</v>
      </c>
      <c r="AB1737" s="6">
        <f>$K$1737*$V$1737</f>
        <v>0</v>
      </c>
      <c r="AC1737" s="6">
        <f>$M$1737*$W$1737</f>
        <v>230.55841000000004</v>
      </c>
      <c r="AD1737" s="6">
        <f>$O$1737*$X$1737</f>
        <v>93.809910000000002</v>
      </c>
      <c r="AE1737" s="6">
        <f>$K$1737*$Y$1737</f>
        <v>0</v>
      </c>
      <c r="AF1737" s="6">
        <f ca="1">$M$1737*$Z$1737</f>
        <v>252.79800850281003</v>
      </c>
      <c r="AG1737" s="6">
        <f>$O$1737*$AA$1737</f>
        <v>95.639143722185139</v>
      </c>
    </row>
    <row r="1738" spans="1:33" ht="11.25" customHeight="1" x14ac:dyDescent="0.25">
      <c r="A1738" s="4" t="s">
        <v>21</v>
      </c>
      <c r="B1738" s="4" t="s">
        <v>44</v>
      </c>
      <c r="C1738" s="4" t="s">
        <v>33</v>
      </c>
      <c r="D1738" s="4" t="s">
        <v>45</v>
      </c>
      <c r="E1738" s="4" t="s">
        <v>25</v>
      </c>
      <c r="F1738" s="4" t="s">
        <v>25</v>
      </c>
      <c r="G1738" s="4" t="s">
        <v>25</v>
      </c>
      <c r="H1738" s="4" t="s">
        <v>36</v>
      </c>
      <c r="I1738" s="5">
        <v>44501</v>
      </c>
      <c r="J1738" s="6">
        <v>0</v>
      </c>
      <c r="K1738" s="6">
        <v>0</v>
      </c>
      <c r="L1738" s="6">
        <v>0.373</v>
      </c>
      <c r="M1738" s="6">
        <v>0.373</v>
      </c>
      <c r="N1738" s="6">
        <v>0.373</v>
      </c>
      <c r="O1738" s="6">
        <v>0.373</v>
      </c>
      <c r="P1738" s="6">
        <v>0</v>
      </c>
      <c r="Q1738" s="4" t="s">
        <v>26</v>
      </c>
      <c r="R1738" s="4">
        <v>0</v>
      </c>
      <c r="S1738" s="6">
        <v>0</v>
      </c>
      <c r="T1738" s="6">
        <v>23</v>
      </c>
      <c r="U1738" s="6">
        <v>83</v>
      </c>
      <c r="V1738" s="6">
        <f>IF(ISERROR(VLOOKUP($S$1738,'TAR FIN'!$A$1:$O$104,15,0)),0,VLOOKUP($S$1738,'TAR FIN'!$A$1:$O$104,15,0))</f>
        <v>0</v>
      </c>
      <c r="W1738" s="6">
        <f>IF(ISERROR(VLOOKUP($T$1738,'TAR FIN'!$A$1:$O$104,15,0)),0,VLOOKUP($T$1738,'TAR FIN'!$A$1:$O$104,15,0))</f>
        <v>525.19000000000005</v>
      </c>
      <c r="X1738" s="6">
        <f>IF(ISERROR(VLOOKUP($U$1738,'TAR FIN'!$A$1:$O$104,15,0)),0,VLOOKUP($U$1738,'TAR FIN'!$A$1:$O$104,15,0))</f>
        <v>213.69</v>
      </c>
      <c r="Y1738" s="6"/>
      <c r="Z1738" s="6">
        <f ca="1">('TUSD BE'!$AM$45+'TUSD BF'!$AM$45+'TUSD CVA'!$AM$45)*(1-CUSTOS!$M$38)</f>
        <v>575.84967768293859</v>
      </c>
      <c r="AA1738" s="6">
        <f>('TE BE'!$AB$24+'TE BF'!$AB$24+'TE CVA'!$AB$24)*(1-CUSTOS!$M$38)</f>
        <v>217.85681941272242</v>
      </c>
      <c r="AB1738" s="6">
        <f>$K$1738*$V$1738</f>
        <v>0</v>
      </c>
      <c r="AC1738" s="6">
        <f>$M$1738*$W$1738</f>
        <v>195.89587000000003</v>
      </c>
      <c r="AD1738" s="6">
        <f>$O$1738*$X$1738</f>
        <v>79.706369999999993</v>
      </c>
      <c r="AE1738" s="6">
        <f>$K$1738*$Y$1738</f>
        <v>0</v>
      </c>
      <c r="AF1738" s="6">
        <f ca="1">$M$1738*$Z$1738</f>
        <v>214.79192977573609</v>
      </c>
      <c r="AG1738" s="6">
        <f>$O$1738*$AA$1738</f>
        <v>81.260593640945459</v>
      </c>
    </row>
    <row r="1739" spans="1:33" ht="11.25" customHeight="1" x14ac:dyDescent="0.25">
      <c r="A1739" s="4" t="s">
        <v>21</v>
      </c>
      <c r="B1739" s="4" t="s">
        <v>44</v>
      </c>
      <c r="C1739" s="4" t="s">
        <v>33</v>
      </c>
      <c r="D1739" s="4" t="s">
        <v>45</v>
      </c>
      <c r="E1739" s="4" t="s">
        <v>25</v>
      </c>
      <c r="F1739" s="4" t="s">
        <v>25</v>
      </c>
      <c r="G1739" s="4" t="s">
        <v>25</v>
      </c>
      <c r="H1739" s="4" t="s">
        <v>36</v>
      </c>
      <c r="I1739" s="5">
        <v>44531</v>
      </c>
      <c r="J1739" s="6">
        <v>0</v>
      </c>
      <c r="K1739" s="6">
        <v>0</v>
      </c>
      <c r="L1739" s="6">
        <v>0.52800000000000002</v>
      </c>
      <c r="M1739" s="6">
        <v>0.52800000000000002</v>
      </c>
      <c r="N1739" s="6">
        <v>0.52800000000000002</v>
      </c>
      <c r="O1739" s="6">
        <v>0.52800000000000002</v>
      </c>
      <c r="P1739" s="6">
        <v>0</v>
      </c>
      <c r="Q1739" s="4" t="s">
        <v>26</v>
      </c>
      <c r="R1739" s="4">
        <v>0</v>
      </c>
      <c r="S1739" s="6">
        <v>0</v>
      </c>
      <c r="T1739" s="6">
        <v>23</v>
      </c>
      <c r="U1739" s="6">
        <v>83</v>
      </c>
      <c r="V1739" s="6">
        <f>IF(ISERROR(VLOOKUP($S$1739,'TAR FIN'!$A$1:$O$104,15,0)),0,VLOOKUP($S$1739,'TAR FIN'!$A$1:$O$104,15,0))</f>
        <v>0</v>
      </c>
      <c r="W1739" s="6">
        <f>IF(ISERROR(VLOOKUP($T$1739,'TAR FIN'!$A$1:$O$104,15,0)),0,VLOOKUP($T$1739,'TAR FIN'!$A$1:$O$104,15,0))</f>
        <v>525.19000000000005</v>
      </c>
      <c r="X1739" s="6">
        <f>IF(ISERROR(VLOOKUP($U$1739,'TAR FIN'!$A$1:$O$104,15,0)),0,VLOOKUP($U$1739,'TAR FIN'!$A$1:$O$104,15,0))</f>
        <v>213.69</v>
      </c>
      <c r="Y1739" s="6"/>
      <c r="Z1739" s="6">
        <f ca="1">('TUSD BE'!$AM$45+'TUSD BF'!$AM$45+'TUSD CVA'!$AM$45)*(1-CUSTOS!$M$38)</f>
        <v>575.84967768293859</v>
      </c>
      <c r="AA1739" s="6">
        <f>('TE BE'!$AB$24+'TE BF'!$AB$24+'TE CVA'!$AB$24)*(1-CUSTOS!$M$38)</f>
        <v>217.85681941272242</v>
      </c>
      <c r="AB1739" s="6">
        <f>$K$1739*$V$1739</f>
        <v>0</v>
      </c>
      <c r="AC1739" s="6">
        <f>$M$1739*$W$1739</f>
        <v>277.30032000000006</v>
      </c>
      <c r="AD1739" s="6">
        <f>$O$1739*$X$1739</f>
        <v>112.82832000000001</v>
      </c>
      <c r="AE1739" s="6">
        <f>$K$1739*$Y$1739</f>
        <v>0</v>
      </c>
      <c r="AF1739" s="6">
        <f ca="1">$M$1739*$Z$1739</f>
        <v>304.04862981659159</v>
      </c>
      <c r="AG1739" s="6">
        <f>$O$1739*$AA$1739</f>
        <v>115.02840064991744</v>
      </c>
    </row>
    <row r="1740" spans="1:33" ht="11.25" customHeight="1" x14ac:dyDescent="0.25">
      <c r="A1740" s="4" t="s">
        <v>21</v>
      </c>
      <c r="B1740" s="4" t="s">
        <v>44</v>
      </c>
      <c r="C1740" s="4" t="s">
        <v>33</v>
      </c>
      <c r="D1740" s="4" t="s">
        <v>45</v>
      </c>
      <c r="E1740" s="4" t="s">
        <v>25</v>
      </c>
      <c r="F1740" s="4" t="s">
        <v>25</v>
      </c>
      <c r="G1740" s="4" t="s">
        <v>25</v>
      </c>
      <c r="H1740" s="4" t="s">
        <v>36</v>
      </c>
      <c r="I1740" s="5">
        <v>44562</v>
      </c>
      <c r="J1740" s="6">
        <v>0</v>
      </c>
      <c r="K1740" s="6">
        <v>0</v>
      </c>
      <c r="L1740" s="6">
        <v>0.53100000000000003</v>
      </c>
      <c r="M1740" s="6">
        <v>0.53100000000000003</v>
      </c>
      <c r="N1740" s="6">
        <v>0.53100000000000003</v>
      </c>
      <c r="O1740" s="6">
        <v>0.53100000000000003</v>
      </c>
      <c r="P1740" s="6">
        <v>0</v>
      </c>
      <c r="Q1740" s="4" t="s">
        <v>26</v>
      </c>
      <c r="R1740" s="4">
        <v>0</v>
      </c>
      <c r="S1740" s="6">
        <v>0</v>
      </c>
      <c r="T1740" s="6">
        <v>23</v>
      </c>
      <c r="U1740" s="6">
        <v>83</v>
      </c>
      <c r="V1740" s="6">
        <f>IF(ISERROR(VLOOKUP($S$1740,'TAR FIN'!$A$1:$O$104,15,0)),0,VLOOKUP($S$1740,'TAR FIN'!$A$1:$O$104,15,0))</f>
        <v>0</v>
      </c>
      <c r="W1740" s="6">
        <f>IF(ISERROR(VLOOKUP($T$1740,'TAR FIN'!$A$1:$O$104,15,0)),0,VLOOKUP($T$1740,'TAR FIN'!$A$1:$O$104,15,0))</f>
        <v>525.19000000000005</v>
      </c>
      <c r="X1740" s="6">
        <f>IF(ISERROR(VLOOKUP($U$1740,'TAR FIN'!$A$1:$O$104,15,0)),0,VLOOKUP($U$1740,'TAR FIN'!$A$1:$O$104,15,0))</f>
        <v>213.69</v>
      </c>
      <c r="Y1740" s="6"/>
      <c r="Z1740" s="6">
        <f ca="1">('TUSD BE'!$AM$45+'TUSD BF'!$AM$45+'TUSD CVA'!$AM$45)*(1-CUSTOS!$M$38)</f>
        <v>575.84967768293859</v>
      </c>
      <c r="AA1740" s="6">
        <f>('TE BE'!$AB$24+'TE BF'!$AB$24+'TE CVA'!$AB$24)*(1-CUSTOS!$M$38)</f>
        <v>217.85681941272242</v>
      </c>
      <c r="AB1740" s="6">
        <f>$K$1740*$V$1740</f>
        <v>0</v>
      </c>
      <c r="AC1740" s="6">
        <f>$M$1740*$W$1740</f>
        <v>278.87589000000003</v>
      </c>
      <c r="AD1740" s="6">
        <f>$O$1740*$X$1740</f>
        <v>113.46939</v>
      </c>
      <c r="AE1740" s="6">
        <f>$K$1740*$Y$1740</f>
        <v>0</v>
      </c>
      <c r="AF1740" s="6">
        <f ca="1">$M$1740*$Z$1740</f>
        <v>305.77617884964042</v>
      </c>
      <c r="AG1740" s="6">
        <f>$O$1740*$AA$1740</f>
        <v>115.68197110815561</v>
      </c>
    </row>
    <row r="1741" spans="1:33" ht="11.25" customHeight="1" x14ac:dyDescent="0.25">
      <c r="A1741" s="4" t="s">
        <v>21</v>
      </c>
      <c r="B1741" s="4" t="s">
        <v>44</v>
      </c>
      <c r="C1741" s="4" t="s">
        <v>33</v>
      </c>
      <c r="D1741" s="4" t="s">
        <v>45</v>
      </c>
      <c r="E1741" s="4" t="s">
        <v>25</v>
      </c>
      <c r="F1741" s="4" t="s">
        <v>25</v>
      </c>
      <c r="G1741" s="4" t="s">
        <v>25</v>
      </c>
      <c r="H1741" s="4" t="s">
        <v>36</v>
      </c>
      <c r="I1741" s="5">
        <v>44593</v>
      </c>
      <c r="J1741" s="6">
        <v>0</v>
      </c>
      <c r="K1741" s="6">
        <v>0</v>
      </c>
      <c r="L1741" s="6">
        <v>0.34799999999999998</v>
      </c>
      <c r="M1741" s="6">
        <v>0.34799999999999998</v>
      </c>
      <c r="N1741" s="6">
        <v>0.34799999999999998</v>
      </c>
      <c r="O1741" s="6">
        <v>0.34799999999999998</v>
      </c>
      <c r="P1741" s="6">
        <v>0</v>
      </c>
      <c r="Q1741" s="4" t="s">
        <v>26</v>
      </c>
      <c r="R1741" s="4">
        <v>0</v>
      </c>
      <c r="S1741" s="6">
        <v>0</v>
      </c>
      <c r="T1741" s="6">
        <v>23</v>
      </c>
      <c r="U1741" s="6">
        <v>83</v>
      </c>
      <c r="V1741" s="6">
        <f>IF(ISERROR(VLOOKUP($S$1741,'TAR FIN'!$A$1:$O$104,15,0)),0,VLOOKUP($S$1741,'TAR FIN'!$A$1:$O$104,15,0))</f>
        <v>0</v>
      </c>
      <c r="W1741" s="6">
        <f>IF(ISERROR(VLOOKUP($T$1741,'TAR FIN'!$A$1:$O$104,15,0)),0,VLOOKUP($T$1741,'TAR FIN'!$A$1:$O$104,15,0))</f>
        <v>525.19000000000005</v>
      </c>
      <c r="X1741" s="6">
        <f>IF(ISERROR(VLOOKUP($U$1741,'TAR FIN'!$A$1:$O$104,15,0)),0,VLOOKUP($U$1741,'TAR FIN'!$A$1:$O$104,15,0))</f>
        <v>213.69</v>
      </c>
      <c r="Y1741" s="6"/>
      <c r="Z1741" s="6">
        <f ca="1">('TUSD BE'!$AM$45+'TUSD BF'!$AM$45+'TUSD CVA'!$AM$45)*(1-CUSTOS!$M$38)</f>
        <v>575.84967768293859</v>
      </c>
      <c r="AA1741" s="6">
        <f>('TE BE'!$AB$24+'TE BF'!$AB$24+'TE CVA'!$AB$24)*(1-CUSTOS!$M$38)</f>
        <v>217.85681941272242</v>
      </c>
      <c r="AB1741" s="6">
        <f>$K$1741*$V$1741</f>
        <v>0</v>
      </c>
      <c r="AC1741" s="6">
        <f>$M$1741*$W$1741</f>
        <v>182.76612</v>
      </c>
      <c r="AD1741" s="6">
        <f>$O$1741*$X$1741</f>
        <v>74.36412</v>
      </c>
      <c r="AE1741" s="6">
        <f>$K$1741*$Y$1741</f>
        <v>0</v>
      </c>
      <c r="AF1741" s="6">
        <f ca="1">$M$1741*$Z$1741</f>
        <v>200.39568783366261</v>
      </c>
      <c r="AG1741" s="6">
        <f>$O$1741*$AA$1741</f>
        <v>75.814173155627401</v>
      </c>
    </row>
    <row r="1742" spans="1:33" ht="11.25" customHeight="1" x14ac:dyDescent="0.25">
      <c r="A1742" s="4" t="s">
        <v>21</v>
      </c>
      <c r="B1742" s="4" t="s">
        <v>44</v>
      </c>
      <c r="C1742" s="4" t="s">
        <v>33</v>
      </c>
      <c r="D1742" s="4" t="s">
        <v>45</v>
      </c>
      <c r="E1742" s="4" t="s">
        <v>25</v>
      </c>
      <c r="F1742" s="4" t="s">
        <v>25</v>
      </c>
      <c r="G1742" s="4" t="s">
        <v>25</v>
      </c>
      <c r="H1742" s="4" t="s">
        <v>36</v>
      </c>
      <c r="I1742" s="5">
        <v>44621</v>
      </c>
      <c r="J1742" s="6">
        <v>0</v>
      </c>
      <c r="K1742" s="6">
        <v>0</v>
      </c>
      <c r="L1742" s="6">
        <v>0.16300000000000001</v>
      </c>
      <c r="M1742" s="6">
        <v>0.16300000000000001</v>
      </c>
      <c r="N1742" s="6">
        <v>0.16300000000000001</v>
      </c>
      <c r="O1742" s="6">
        <v>0.16300000000000001</v>
      </c>
      <c r="P1742" s="6">
        <v>0</v>
      </c>
      <c r="Q1742" s="4" t="s">
        <v>26</v>
      </c>
      <c r="R1742" s="4">
        <v>0</v>
      </c>
      <c r="S1742" s="6">
        <v>0</v>
      </c>
      <c r="T1742" s="6">
        <v>23</v>
      </c>
      <c r="U1742" s="6">
        <v>83</v>
      </c>
      <c r="V1742" s="6">
        <f>IF(ISERROR(VLOOKUP($S$1742,'TAR FIN'!$A$1:$O$104,15,0)),0,VLOOKUP($S$1742,'TAR FIN'!$A$1:$O$104,15,0))</f>
        <v>0</v>
      </c>
      <c r="W1742" s="6">
        <f>IF(ISERROR(VLOOKUP($T$1742,'TAR FIN'!$A$1:$O$104,15,0)),0,VLOOKUP($T$1742,'TAR FIN'!$A$1:$O$104,15,0))</f>
        <v>525.19000000000005</v>
      </c>
      <c r="X1742" s="6">
        <f>IF(ISERROR(VLOOKUP($U$1742,'TAR FIN'!$A$1:$O$104,15,0)),0,VLOOKUP($U$1742,'TAR FIN'!$A$1:$O$104,15,0))</f>
        <v>213.69</v>
      </c>
      <c r="Y1742" s="6"/>
      <c r="Z1742" s="6">
        <f ca="1">('TUSD BE'!$AM$45+'TUSD BF'!$AM$45+'TUSD CVA'!$AM$45)*(1-CUSTOS!$M$38)</f>
        <v>575.84967768293859</v>
      </c>
      <c r="AA1742" s="6">
        <f>('TE BE'!$AB$24+'TE BF'!$AB$24+'TE CVA'!$AB$24)*(1-CUSTOS!$M$38)</f>
        <v>217.85681941272242</v>
      </c>
      <c r="AB1742" s="6">
        <f>$K$1742*$V$1742</f>
        <v>0</v>
      </c>
      <c r="AC1742" s="6">
        <f>$M$1742*$W$1742</f>
        <v>85.605970000000013</v>
      </c>
      <c r="AD1742" s="6">
        <f>$O$1742*$X$1742</f>
        <v>34.831470000000003</v>
      </c>
      <c r="AE1742" s="6">
        <f>$K$1742*$Y$1742</f>
        <v>0</v>
      </c>
      <c r="AF1742" s="6">
        <f ca="1">$M$1742*$Z$1742</f>
        <v>93.863497462318989</v>
      </c>
      <c r="AG1742" s="6">
        <f>$O$1742*$AA$1742</f>
        <v>35.510661564273754</v>
      </c>
    </row>
    <row r="1743" spans="1:33" ht="11.25" customHeight="1" x14ac:dyDescent="0.25">
      <c r="A1743" s="4" t="s">
        <v>21</v>
      </c>
      <c r="B1743" s="4" t="s">
        <v>44</v>
      </c>
      <c r="C1743" s="4" t="s">
        <v>33</v>
      </c>
      <c r="D1743" s="4" t="s">
        <v>45</v>
      </c>
      <c r="E1743" s="4" t="s">
        <v>25</v>
      </c>
      <c r="F1743" s="4" t="s">
        <v>25</v>
      </c>
      <c r="G1743" s="4" t="s">
        <v>25</v>
      </c>
      <c r="H1743" s="4" t="s">
        <v>36</v>
      </c>
      <c r="I1743" s="5">
        <v>44652</v>
      </c>
      <c r="J1743" s="6">
        <v>0</v>
      </c>
      <c r="K1743" s="6">
        <v>0</v>
      </c>
      <c r="L1743" s="6">
        <v>0.14199999999999999</v>
      </c>
      <c r="M1743" s="6">
        <v>0.14199999999999999</v>
      </c>
      <c r="N1743" s="6">
        <v>0.14199999999999999</v>
      </c>
      <c r="O1743" s="6">
        <v>0.14199999999999999</v>
      </c>
      <c r="P1743" s="6">
        <v>0</v>
      </c>
      <c r="Q1743" s="4" t="s">
        <v>26</v>
      </c>
      <c r="R1743" s="4">
        <v>0</v>
      </c>
      <c r="S1743" s="6">
        <v>0</v>
      </c>
      <c r="T1743" s="6">
        <v>23</v>
      </c>
      <c r="U1743" s="6">
        <v>83</v>
      </c>
      <c r="V1743" s="6">
        <f>IF(ISERROR(VLOOKUP($S$1743,'TAR FIN'!$A$1:$O$104,15,0)),0,VLOOKUP($S$1743,'TAR FIN'!$A$1:$O$104,15,0))</f>
        <v>0</v>
      </c>
      <c r="W1743" s="6">
        <f>IF(ISERROR(VLOOKUP($T$1743,'TAR FIN'!$A$1:$O$104,15,0)),0,VLOOKUP($T$1743,'TAR FIN'!$A$1:$O$104,15,0))</f>
        <v>525.19000000000005</v>
      </c>
      <c r="X1743" s="6">
        <f>IF(ISERROR(VLOOKUP($U$1743,'TAR FIN'!$A$1:$O$104,15,0)),0,VLOOKUP($U$1743,'TAR FIN'!$A$1:$O$104,15,0))</f>
        <v>213.69</v>
      </c>
      <c r="Y1743" s="6"/>
      <c r="Z1743" s="6">
        <f ca="1">('TUSD BE'!$AM$45+'TUSD BF'!$AM$45+'TUSD CVA'!$AM$45)*(1-CUSTOS!$M$38)</f>
        <v>575.84967768293859</v>
      </c>
      <c r="AA1743" s="6">
        <f>('TE BE'!$AB$24+'TE BF'!$AB$24+'TE CVA'!$AB$24)*(1-CUSTOS!$M$38)</f>
        <v>217.85681941272242</v>
      </c>
      <c r="AB1743" s="6">
        <f>$K$1743*$V$1743</f>
        <v>0</v>
      </c>
      <c r="AC1743" s="6">
        <f>$M$1743*$W$1743</f>
        <v>74.576980000000006</v>
      </c>
      <c r="AD1743" s="6">
        <f>$O$1743*$X$1743</f>
        <v>30.343979999999998</v>
      </c>
      <c r="AE1743" s="6">
        <f>$K$1743*$Y$1743</f>
        <v>0</v>
      </c>
      <c r="AF1743" s="6">
        <f ca="1">$M$1743*$Z$1743</f>
        <v>81.770654230977271</v>
      </c>
      <c r="AG1743" s="6">
        <f>$O$1743*$AA$1743</f>
        <v>30.93566835660658</v>
      </c>
    </row>
    <row r="1744" spans="1:33" ht="11.25" customHeight="1" x14ac:dyDescent="0.25">
      <c r="A1744" s="4" t="s">
        <v>21</v>
      </c>
      <c r="B1744" s="4" t="s">
        <v>44</v>
      </c>
      <c r="C1744" s="4" t="s">
        <v>33</v>
      </c>
      <c r="D1744" s="4" t="s">
        <v>45</v>
      </c>
      <c r="E1744" s="4" t="s">
        <v>25</v>
      </c>
      <c r="F1744" s="4" t="s">
        <v>25</v>
      </c>
      <c r="G1744" s="4" t="s">
        <v>25</v>
      </c>
      <c r="H1744" s="4" t="s">
        <v>36</v>
      </c>
      <c r="I1744" s="5">
        <v>44682</v>
      </c>
      <c r="J1744" s="6">
        <v>0</v>
      </c>
      <c r="K1744" s="6">
        <v>0</v>
      </c>
      <c r="L1744" s="6">
        <v>0.154</v>
      </c>
      <c r="M1744" s="6">
        <v>0.154</v>
      </c>
      <c r="N1744" s="6">
        <v>0.154</v>
      </c>
      <c r="O1744" s="6">
        <v>0.154</v>
      </c>
      <c r="P1744" s="6">
        <v>0</v>
      </c>
      <c r="Q1744" s="4" t="s">
        <v>26</v>
      </c>
      <c r="R1744" s="4">
        <v>0</v>
      </c>
      <c r="S1744" s="6">
        <v>0</v>
      </c>
      <c r="T1744" s="6">
        <v>23</v>
      </c>
      <c r="U1744" s="6">
        <v>83</v>
      </c>
      <c r="V1744" s="6">
        <f>IF(ISERROR(VLOOKUP($S$1744,'TAR FIN'!$A$1:$O$104,15,0)),0,VLOOKUP($S$1744,'TAR FIN'!$A$1:$O$104,15,0))</f>
        <v>0</v>
      </c>
      <c r="W1744" s="6">
        <f>IF(ISERROR(VLOOKUP($T$1744,'TAR FIN'!$A$1:$O$104,15,0)),0,VLOOKUP($T$1744,'TAR FIN'!$A$1:$O$104,15,0))</f>
        <v>525.19000000000005</v>
      </c>
      <c r="X1744" s="6">
        <f>IF(ISERROR(VLOOKUP($U$1744,'TAR FIN'!$A$1:$O$104,15,0)),0,VLOOKUP($U$1744,'TAR FIN'!$A$1:$O$104,15,0))</f>
        <v>213.69</v>
      </c>
      <c r="Y1744" s="6"/>
      <c r="Z1744" s="6">
        <f ca="1">('TUSD BE'!$AM$45+'TUSD BF'!$AM$45+'TUSD CVA'!$AM$45)*(1-CUSTOS!$M$38)</f>
        <v>575.84967768293859</v>
      </c>
      <c r="AA1744" s="6">
        <f>('TE BE'!$AB$24+'TE BF'!$AB$24+'TE CVA'!$AB$24)*(1-CUSTOS!$M$38)</f>
        <v>217.85681941272242</v>
      </c>
      <c r="AB1744" s="6">
        <f>$K$1744*$V$1744</f>
        <v>0</v>
      </c>
      <c r="AC1744" s="6">
        <f>$M$1744*$W$1744</f>
        <v>80.879260000000002</v>
      </c>
      <c r="AD1744" s="6">
        <f>$O$1744*$X$1744</f>
        <v>32.908259999999999</v>
      </c>
      <c r="AE1744" s="6">
        <f>$K$1744*$Y$1744</f>
        <v>0</v>
      </c>
      <c r="AF1744" s="6">
        <f ca="1">$M$1744*$Z$1744</f>
        <v>88.680850363172539</v>
      </c>
      <c r="AG1744" s="6">
        <f>$O$1744*$AA$1744</f>
        <v>33.549950189559254</v>
      </c>
    </row>
    <row r="1745" spans="1:33" ht="11.25" customHeight="1" x14ac:dyDescent="0.25">
      <c r="A1745" s="4" t="s">
        <v>21</v>
      </c>
      <c r="B1745" s="4" t="s">
        <v>44</v>
      </c>
      <c r="C1745" s="4" t="s">
        <v>33</v>
      </c>
      <c r="D1745" s="4" t="s">
        <v>45</v>
      </c>
      <c r="E1745" s="4" t="s">
        <v>25</v>
      </c>
      <c r="F1745" s="4" t="s">
        <v>25</v>
      </c>
      <c r="G1745" s="4" t="s">
        <v>25</v>
      </c>
      <c r="H1745" s="4" t="s">
        <v>36</v>
      </c>
      <c r="I1745" s="5">
        <v>44713</v>
      </c>
      <c r="J1745" s="6">
        <v>0</v>
      </c>
      <c r="K1745" s="6">
        <v>0</v>
      </c>
      <c r="L1745" s="6">
        <v>0.14000000000000001</v>
      </c>
      <c r="M1745" s="6">
        <v>0.14000000000000001</v>
      </c>
      <c r="N1745" s="6">
        <v>0.14000000000000001</v>
      </c>
      <c r="O1745" s="6">
        <v>0.14000000000000001</v>
      </c>
      <c r="P1745" s="6">
        <v>0</v>
      </c>
      <c r="Q1745" s="4" t="s">
        <v>26</v>
      </c>
      <c r="R1745" s="4">
        <v>0</v>
      </c>
      <c r="S1745" s="6">
        <v>0</v>
      </c>
      <c r="T1745" s="6">
        <v>23</v>
      </c>
      <c r="U1745" s="6">
        <v>83</v>
      </c>
      <c r="V1745" s="6">
        <f>IF(ISERROR(VLOOKUP($S$1745,'TAR FIN'!$A$1:$O$104,15,0)),0,VLOOKUP($S$1745,'TAR FIN'!$A$1:$O$104,15,0))</f>
        <v>0</v>
      </c>
      <c r="W1745" s="6">
        <f>IF(ISERROR(VLOOKUP($T$1745,'TAR FIN'!$A$1:$O$104,15,0)),0,VLOOKUP($T$1745,'TAR FIN'!$A$1:$O$104,15,0))</f>
        <v>525.19000000000005</v>
      </c>
      <c r="X1745" s="6">
        <f>IF(ISERROR(VLOOKUP($U$1745,'TAR FIN'!$A$1:$O$104,15,0)),0,VLOOKUP($U$1745,'TAR FIN'!$A$1:$O$104,15,0))</f>
        <v>213.69</v>
      </c>
      <c r="Y1745" s="6"/>
      <c r="Z1745" s="6">
        <f ca="1">('TUSD BE'!$AM$45+'TUSD BF'!$AM$45+'TUSD CVA'!$AM$45)*(1-CUSTOS!$M$38)</f>
        <v>575.84967768293859</v>
      </c>
      <c r="AA1745" s="6">
        <f>('TE BE'!$AB$24+'TE BF'!$AB$24+'TE CVA'!$AB$24)*(1-CUSTOS!$M$38)</f>
        <v>217.85681941272242</v>
      </c>
      <c r="AB1745" s="6">
        <f>$K$1745*$V$1745</f>
        <v>0</v>
      </c>
      <c r="AC1745" s="6">
        <f>$M$1745*$W$1745</f>
        <v>73.526600000000016</v>
      </c>
      <c r="AD1745" s="6">
        <f>$O$1745*$X$1745</f>
        <v>29.916600000000003</v>
      </c>
      <c r="AE1745" s="6">
        <f>$K$1745*$Y$1745</f>
        <v>0</v>
      </c>
      <c r="AF1745" s="6">
        <f ca="1">$M$1745*$Z$1745</f>
        <v>80.618954875611408</v>
      </c>
      <c r="AG1745" s="6">
        <f>$O$1745*$AA$1745</f>
        <v>30.49995471778114</v>
      </c>
    </row>
    <row r="1746" spans="1:33" ht="11.25" customHeight="1" x14ac:dyDescent="0.25">
      <c r="A1746" s="4" t="s">
        <v>57</v>
      </c>
      <c r="B1746" s="4" t="s">
        <v>44</v>
      </c>
      <c r="C1746" s="4" t="s">
        <v>33</v>
      </c>
      <c r="D1746" s="4" t="s">
        <v>45</v>
      </c>
      <c r="E1746" s="4" t="s">
        <v>25</v>
      </c>
      <c r="F1746" s="4" t="s">
        <v>25</v>
      </c>
      <c r="G1746" s="4" t="s">
        <v>25</v>
      </c>
      <c r="H1746" s="4" t="s">
        <v>36</v>
      </c>
      <c r="I1746" s="5">
        <v>44743</v>
      </c>
      <c r="J1746" s="6">
        <v>0</v>
      </c>
      <c r="K1746" s="6">
        <v>0</v>
      </c>
      <c r="L1746" s="6">
        <v>0.14000000000000001</v>
      </c>
      <c r="M1746" s="6">
        <v>0.14000000000000001</v>
      </c>
      <c r="N1746" s="6">
        <v>0.14000000000000001</v>
      </c>
      <c r="O1746" s="6">
        <v>0.14000000000000001</v>
      </c>
      <c r="P1746" s="6">
        <v>0</v>
      </c>
      <c r="Q1746" s="4" t="s">
        <v>26</v>
      </c>
      <c r="R1746" s="4">
        <v>0</v>
      </c>
      <c r="S1746" s="6">
        <v>0</v>
      </c>
      <c r="T1746" s="6">
        <v>23</v>
      </c>
      <c r="U1746" s="6">
        <v>83</v>
      </c>
      <c r="V1746" s="6">
        <f>IF(ISERROR(VLOOKUP($S$1746,'TAR FIN'!$A$1:$O$104,15,0)),0,VLOOKUP($S$1746,'TAR FIN'!$A$1:$O$104,15,0))</f>
        <v>0</v>
      </c>
      <c r="W1746" s="6">
        <f>IF(ISERROR(VLOOKUP($T$1746,'TAR FIN'!$A$1:$O$104,15,0)),0,VLOOKUP($T$1746,'TAR FIN'!$A$1:$O$104,15,0))</f>
        <v>525.19000000000005</v>
      </c>
      <c r="X1746" s="6">
        <f>IF(ISERROR(VLOOKUP($U$1746,'TAR FIN'!$A$1:$O$104,15,0)),0,VLOOKUP($U$1746,'TAR FIN'!$A$1:$O$104,15,0))</f>
        <v>213.69</v>
      </c>
      <c r="Y1746" s="6"/>
      <c r="Z1746" s="6">
        <f ca="1">('TUSD BE'!$AM$45+'TUSD BF'!$AM$45+'TUSD CVA'!$AM$45)*(1-CUSTOS!$M$38)</f>
        <v>575.84967768293859</v>
      </c>
      <c r="AA1746" s="6">
        <f>('TE BE'!$AB$24+'TE BF'!$AB$24+'TE CVA'!$AB$24)*(1-CUSTOS!$M$38)</f>
        <v>217.85681941272242</v>
      </c>
      <c r="AB1746" s="6">
        <f>$K$1746*$V$1746</f>
        <v>0</v>
      </c>
      <c r="AC1746" s="6">
        <f>$M$1746*$W$1746</f>
        <v>73.526600000000016</v>
      </c>
      <c r="AD1746" s="6">
        <f>$O$1746*$X$1746</f>
        <v>29.916600000000003</v>
      </c>
      <c r="AE1746" s="6">
        <f>$K$1746*$Y$1746</f>
        <v>0</v>
      </c>
      <c r="AF1746" s="6">
        <f ca="1">$M$1746*$Z$1746</f>
        <v>80.618954875611408</v>
      </c>
      <c r="AG1746" s="6">
        <f>$O$1746*$AA$1746</f>
        <v>30.49995471778114</v>
      </c>
    </row>
    <row r="1747" spans="1:33" ht="11.25" customHeight="1" x14ac:dyDescent="0.25">
      <c r="A1747" s="4" t="s">
        <v>21</v>
      </c>
      <c r="B1747" s="4" t="s">
        <v>44</v>
      </c>
      <c r="C1747" s="4" t="s">
        <v>33</v>
      </c>
      <c r="D1747" s="4" t="s">
        <v>45</v>
      </c>
      <c r="E1747" s="4" t="s">
        <v>25</v>
      </c>
      <c r="F1747" s="4" t="s">
        <v>25</v>
      </c>
      <c r="G1747" s="4" t="s">
        <v>25</v>
      </c>
      <c r="H1747" s="4" t="s">
        <v>34</v>
      </c>
      <c r="I1747" s="5">
        <v>44409</v>
      </c>
      <c r="J1747" s="6">
        <v>0</v>
      </c>
      <c r="K1747" s="6">
        <v>0</v>
      </c>
      <c r="L1747" s="6">
        <v>0.37</v>
      </c>
      <c r="M1747" s="6">
        <v>0.37</v>
      </c>
      <c r="N1747" s="6">
        <v>0.37</v>
      </c>
      <c r="O1747" s="6">
        <v>0.37</v>
      </c>
      <c r="P1747" s="6">
        <v>0</v>
      </c>
      <c r="Q1747" s="4" t="s">
        <v>26</v>
      </c>
      <c r="R1747" s="4">
        <v>0</v>
      </c>
      <c r="S1747" s="6">
        <v>0</v>
      </c>
      <c r="T1747" s="6">
        <v>21</v>
      </c>
      <c r="U1747" s="6">
        <v>82</v>
      </c>
      <c r="V1747" s="6">
        <f>IF(ISERROR(VLOOKUP($S$1747,'TAR FIN'!$A$1:$O$104,15,0)),0,VLOOKUP($S$1747,'TAR FIN'!$A$1:$O$104,15,0))</f>
        <v>0</v>
      </c>
      <c r="W1747" s="6">
        <f>IF(ISERROR(VLOOKUP($T$1747,'TAR FIN'!$A$1:$O$104,15,0)),0,VLOOKUP($T$1747,'TAR FIN'!$A$1:$O$104,15,0))</f>
        <v>823.61</v>
      </c>
      <c r="X1747" s="6">
        <f>IF(ISERROR(VLOOKUP($U$1747,'TAR FIN'!$A$1:$O$104,15,0)),0,VLOOKUP($U$1747,'TAR FIN'!$A$1:$O$104,15,0))</f>
        <v>349.91</v>
      </c>
      <c r="Y1747" s="6"/>
      <c r="Z1747" s="6">
        <f ca="1">('TUSD BE'!$AM$44+'TUSD BF'!$AM$44+'TUSD CVA'!$AM$44)*(1-CUSTOS!$M$38)</f>
        <v>895.10942436703249</v>
      </c>
      <c r="AA1747" s="6">
        <f>('TE BE'!$AB$23+'TE BF'!$AB$23+'TE CVA'!$AB$23)*(1-CUSTOS!$M$38)</f>
        <v>338.64467436313089</v>
      </c>
      <c r="AB1747" s="6">
        <f>$K$1747*$V$1747</f>
        <v>0</v>
      </c>
      <c r="AC1747" s="6">
        <f>$M$1747*$W$1747</f>
        <v>304.73570000000001</v>
      </c>
      <c r="AD1747" s="6">
        <f>$O$1747*$X$1747</f>
        <v>129.4667</v>
      </c>
      <c r="AE1747" s="6">
        <f>$K$1747*$Y$1747</f>
        <v>0</v>
      </c>
      <c r="AF1747" s="6">
        <f ca="1">$M$1747*$Z$1747</f>
        <v>331.19048701580203</v>
      </c>
      <c r="AG1747" s="6">
        <f>$O$1747*$AA$1747</f>
        <v>125.29852951435842</v>
      </c>
    </row>
    <row r="1748" spans="1:33" ht="11.25" customHeight="1" x14ac:dyDescent="0.25">
      <c r="A1748" s="4" t="s">
        <v>21</v>
      </c>
      <c r="B1748" s="4" t="s">
        <v>44</v>
      </c>
      <c r="C1748" s="4" t="s">
        <v>33</v>
      </c>
      <c r="D1748" s="4" t="s">
        <v>45</v>
      </c>
      <c r="E1748" s="4" t="s">
        <v>25</v>
      </c>
      <c r="F1748" s="4" t="s">
        <v>25</v>
      </c>
      <c r="G1748" s="4" t="s">
        <v>25</v>
      </c>
      <c r="H1748" s="4" t="s">
        <v>34</v>
      </c>
      <c r="I1748" s="5">
        <v>44440</v>
      </c>
      <c r="J1748" s="6">
        <v>0</v>
      </c>
      <c r="K1748" s="6">
        <v>0</v>
      </c>
      <c r="L1748" s="6">
        <v>0.30399999999999999</v>
      </c>
      <c r="M1748" s="6">
        <v>0.30399999999999999</v>
      </c>
      <c r="N1748" s="6">
        <v>0.30399999999999999</v>
      </c>
      <c r="O1748" s="6">
        <v>0.30399999999999999</v>
      </c>
      <c r="P1748" s="6">
        <v>0</v>
      </c>
      <c r="Q1748" s="4" t="s">
        <v>26</v>
      </c>
      <c r="R1748" s="4">
        <v>0</v>
      </c>
      <c r="S1748" s="6">
        <v>0</v>
      </c>
      <c r="T1748" s="6">
        <v>21</v>
      </c>
      <c r="U1748" s="6">
        <v>82</v>
      </c>
      <c r="V1748" s="6">
        <f>IF(ISERROR(VLOOKUP($S$1748,'TAR FIN'!$A$1:$O$104,15,0)),0,VLOOKUP($S$1748,'TAR FIN'!$A$1:$O$104,15,0))</f>
        <v>0</v>
      </c>
      <c r="W1748" s="6">
        <f>IF(ISERROR(VLOOKUP($T$1748,'TAR FIN'!$A$1:$O$104,15,0)),0,VLOOKUP($T$1748,'TAR FIN'!$A$1:$O$104,15,0))</f>
        <v>823.61</v>
      </c>
      <c r="X1748" s="6">
        <f>IF(ISERROR(VLOOKUP($U$1748,'TAR FIN'!$A$1:$O$104,15,0)),0,VLOOKUP($U$1748,'TAR FIN'!$A$1:$O$104,15,0))</f>
        <v>349.91</v>
      </c>
      <c r="Y1748" s="6"/>
      <c r="Z1748" s="6">
        <f ca="1">('TUSD BE'!$AM$44+'TUSD BF'!$AM$44+'TUSD CVA'!$AM$44)*(1-CUSTOS!$M$38)</f>
        <v>895.10942436703249</v>
      </c>
      <c r="AA1748" s="6">
        <f>('TE BE'!$AB$23+'TE BF'!$AB$23+'TE CVA'!$AB$23)*(1-CUSTOS!$M$38)</f>
        <v>338.64467436313089</v>
      </c>
      <c r="AB1748" s="6">
        <f>$K$1748*$V$1748</f>
        <v>0</v>
      </c>
      <c r="AC1748" s="6">
        <f>$M$1748*$W$1748</f>
        <v>250.37744000000001</v>
      </c>
      <c r="AD1748" s="6">
        <f>$O$1748*$X$1748</f>
        <v>106.37264</v>
      </c>
      <c r="AE1748" s="6">
        <f>$K$1748*$Y$1748</f>
        <v>0</v>
      </c>
      <c r="AF1748" s="6">
        <f ca="1">$M$1748*$Z$1748</f>
        <v>272.11326500757787</v>
      </c>
      <c r="AG1748" s="6">
        <f>$O$1748*$AA$1748</f>
        <v>102.94798100639179</v>
      </c>
    </row>
    <row r="1749" spans="1:33" ht="11.25" customHeight="1" x14ac:dyDescent="0.25">
      <c r="A1749" s="4" t="s">
        <v>21</v>
      </c>
      <c r="B1749" s="4" t="s">
        <v>44</v>
      </c>
      <c r="C1749" s="4" t="s">
        <v>33</v>
      </c>
      <c r="D1749" s="4" t="s">
        <v>45</v>
      </c>
      <c r="E1749" s="4" t="s">
        <v>25</v>
      </c>
      <c r="F1749" s="4" t="s">
        <v>25</v>
      </c>
      <c r="G1749" s="4" t="s">
        <v>25</v>
      </c>
      <c r="H1749" s="4" t="s">
        <v>34</v>
      </c>
      <c r="I1749" s="5">
        <v>44470</v>
      </c>
      <c r="J1749" s="6">
        <v>0</v>
      </c>
      <c r="K1749" s="6">
        <v>0</v>
      </c>
      <c r="L1749" s="6">
        <v>0.36799999999999999</v>
      </c>
      <c r="M1749" s="6">
        <v>0.36799999999999999</v>
      </c>
      <c r="N1749" s="6">
        <v>0.36799999999999999</v>
      </c>
      <c r="O1749" s="6">
        <v>0.36799999999999999</v>
      </c>
      <c r="P1749" s="6">
        <v>0</v>
      </c>
      <c r="Q1749" s="4" t="s">
        <v>26</v>
      </c>
      <c r="R1749" s="4">
        <v>0</v>
      </c>
      <c r="S1749" s="6">
        <v>0</v>
      </c>
      <c r="T1749" s="6">
        <v>21</v>
      </c>
      <c r="U1749" s="6">
        <v>82</v>
      </c>
      <c r="V1749" s="6">
        <f>IF(ISERROR(VLOOKUP($S$1749,'TAR FIN'!$A$1:$O$104,15,0)),0,VLOOKUP($S$1749,'TAR FIN'!$A$1:$O$104,15,0))</f>
        <v>0</v>
      </c>
      <c r="W1749" s="6">
        <f>IF(ISERROR(VLOOKUP($T$1749,'TAR FIN'!$A$1:$O$104,15,0)),0,VLOOKUP($T$1749,'TAR FIN'!$A$1:$O$104,15,0))</f>
        <v>823.61</v>
      </c>
      <c r="X1749" s="6">
        <f>IF(ISERROR(VLOOKUP($U$1749,'TAR FIN'!$A$1:$O$104,15,0)),0,VLOOKUP($U$1749,'TAR FIN'!$A$1:$O$104,15,0))</f>
        <v>349.91</v>
      </c>
      <c r="Y1749" s="6"/>
      <c r="Z1749" s="6">
        <f ca="1">('TUSD BE'!$AM$44+'TUSD BF'!$AM$44+'TUSD CVA'!$AM$44)*(1-CUSTOS!$M$38)</f>
        <v>895.10942436703249</v>
      </c>
      <c r="AA1749" s="6">
        <f>('TE BE'!$AB$23+'TE BF'!$AB$23+'TE CVA'!$AB$23)*(1-CUSTOS!$M$38)</f>
        <v>338.64467436313089</v>
      </c>
      <c r="AB1749" s="6">
        <f>$K$1749*$V$1749</f>
        <v>0</v>
      </c>
      <c r="AC1749" s="6">
        <f>$M$1749*$W$1749</f>
        <v>303.08848</v>
      </c>
      <c r="AD1749" s="6">
        <f>$O$1749*$X$1749</f>
        <v>128.76688000000001</v>
      </c>
      <c r="AE1749" s="6">
        <f>$K$1749*$Y$1749</f>
        <v>0</v>
      </c>
      <c r="AF1749" s="6">
        <f ca="1">$M$1749*$Z$1749</f>
        <v>329.40026816706796</v>
      </c>
      <c r="AG1749" s="6">
        <f>$O$1749*$AA$1749</f>
        <v>124.62124016563216</v>
      </c>
    </row>
    <row r="1750" spans="1:33" ht="11.25" customHeight="1" x14ac:dyDescent="0.25">
      <c r="A1750" s="4" t="s">
        <v>21</v>
      </c>
      <c r="B1750" s="4" t="s">
        <v>44</v>
      </c>
      <c r="C1750" s="4" t="s">
        <v>33</v>
      </c>
      <c r="D1750" s="4" t="s">
        <v>45</v>
      </c>
      <c r="E1750" s="4" t="s">
        <v>25</v>
      </c>
      <c r="F1750" s="4" t="s">
        <v>25</v>
      </c>
      <c r="G1750" s="4" t="s">
        <v>25</v>
      </c>
      <c r="H1750" s="4" t="s">
        <v>34</v>
      </c>
      <c r="I1750" s="5">
        <v>44501</v>
      </c>
      <c r="J1750" s="6">
        <v>0</v>
      </c>
      <c r="K1750" s="6">
        <v>0</v>
      </c>
      <c r="L1750" s="6">
        <v>0.36699999999999999</v>
      </c>
      <c r="M1750" s="6">
        <v>0.36699999999999999</v>
      </c>
      <c r="N1750" s="6">
        <v>0.36699999999999999</v>
      </c>
      <c r="O1750" s="6">
        <v>0.36699999999999999</v>
      </c>
      <c r="P1750" s="6">
        <v>0</v>
      </c>
      <c r="Q1750" s="4" t="s">
        <v>26</v>
      </c>
      <c r="R1750" s="4">
        <v>0</v>
      </c>
      <c r="S1750" s="6">
        <v>0</v>
      </c>
      <c r="T1750" s="6">
        <v>21</v>
      </c>
      <c r="U1750" s="6">
        <v>82</v>
      </c>
      <c r="V1750" s="6">
        <f>IF(ISERROR(VLOOKUP($S$1750,'TAR FIN'!$A$1:$O$104,15,0)),0,VLOOKUP($S$1750,'TAR FIN'!$A$1:$O$104,15,0))</f>
        <v>0</v>
      </c>
      <c r="W1750" s="6">
        <f>IF(ISERROR(VLOOKUP($T$1750,'TAR FIN'!$A$1:$O$104,15,0)),0,VLOOKUP($T$1750,'TAR FIN'!$A$1:$O$104,15,0))</f>
        <v>823.61</v>
      </c>
      <c r="X1750" s="6">
        <f>IF(ISERROR(VLOOKUP($U$1750,'TAR FIN'!$A$1:$O$104,15,0)),0,VLOOKUP($U$1750,'TAR FIN'!$A$1:$O$104,15,0))</f>
        <v>349.91</v>
      </c>
      <c r="Y1750" s="6"/>
      <c r="Z1750" s="6">
        <f ca="1">('TUSD BE'!$AM$44+'TUSD BF'!$AM$44+'TUSD CVA'!$AM$44)*(1-CUSTOS!$M$38)</f>
        <v>895.10942436703249</v>
      </c>
      <c r="AA1750" s="6">
        <f>('TE BE'!$AB$23+'TE BF'!$AB$23+'TE CVA'!$AB$23)*(1-CUSTOS!$M$38)</f>
        <v>338.64467436313089</v>
      </c>
      <c r="AB1750" s="6">
        <f>$K$1750*$V$1750</f>
        <v>0</v>
      </c>
      <c r="AC1750" s="6">
        <f>$M$1750*$W$1750</f>
        <v>302.26486999999997</v>
      </c>
      <c r="AD1750" s="6">
        <f>$O$1750*$X$1750</f>
        <v>128.41697000000002</v>
      </c>
      <c r="AE1750" s="6">
        <f>$K$1750*$Y$1750</f>
        <v>0</v>
      </c>
      <c r="AF1750" s="6">
        <f ca="1">$M$1750*$Z$1750</f>
        <v>328.50515874270093</v>
      </c>
      <c r="AG1750" s="6">
        <f>$O$1750*$AA$1750</f>
        <v>124.28259549126903</v>
      </c>
    </row>
    <row r="1751" spans="1:33" ht="11.25" customHeight="1" x14ac:dyDescent="0.25">
      <c r="A1751" s="4" t="s">
        <v>21</v>
      </c>
      <c r="B1751" s="4" t="s">
        <v>44</v>
      </c>
      <c r="C1751" s="4" t="s">
        <v>33</v>
      </c>
      <c r="D1751" s="4" t="s">
        <v>45</v>
      </c>
      <c r="E1751" s="4" t="s">
        <v>25</v>
      </c>
      <c r="F1751" s="4" t="s">
        <v>25</v>
      </c>
      <c r="G1751" s="4" t="s">
        <v>25</v>
      </c>
      <c r="H1751" s="4" t="s">
        <v>34</v>
      </c>
      <c r="I1751" s="5">
        <v>44531</v>
      </c>
      <c r="J1751" s="6">
        <v>0</v>
      </c>
      <c r="K1751" s="6">
        <v>0</v>
      </c>
      <c r="L1751" s="6">
        <v>0.379</v>
      </c>
      <c r="M1751" s="6">
        <v>0.379</v>
      </c>
      <c r="N1751" s="6">
        <v>0.379</v>
      </c>
      <c r="O1751" s="6">
        <v>0.379</v>
      </c>
      <c r="P1751" s="6">
        <v>0</v>
      </c>
      <c r="Q1751" s="4" t="s">
        <v>26</v>
      </c>
      <c r="R1751" s="4">
        <v>0</v>
      </c>
      <c r="S1751" s="6">
        <v>0</v>
      </c>
      <c r="T1751" s="6">
        <v>21</v>
      </c>
      <c r="U1751" s="6">
        <v>82</v>
      </c>
      <c r="V1751" s="6">
        <f>IF(ISERROR(VLOOKUP($S$1751,'TAR FIN'!$A$1:$O$104,15,0)),0,VLOOKUP($S$1751,'TAR FIN'!$A$1:$O$104,15,0))</f>
        <v>0</v>
      </c>
      <c r="W1751" s="6">
        <f>IF(ISERROR(VLOOKUP($T$1751,'TAR FIN'!$A$1:$O$104,15,0)),0,VLOOKUP($T$1751,'TAR FIN'!$A$1:$O$104,15,0))</f>
        <v>823.61</v>
      </c>
      <c r="X1751" s="6">
        <f>IF(ISERROR(VLOOKUP($U$1751,'TAR FIN'!$A$1:$O$104,15,0)),0,VLOOKUP($U$1751,'TAR FIN'!$A$1:$O$104,15,0))</f>
        <v>349.91</v>
      </c>
      <c r="Y1751" s="6"/>
      <c r="Z1751" s="6">
        <f ca="1">('TUSD BE'!$AM$44+'TUSD BF'!$AM$44+'TUSD CVA'!$AM$44)*(1-CUSTOS!$M$38)</f>
        <v>895.10942436703249</v>
      </c>
      <c r="AA1751" s="6">
        <f>('TE BE'!$AB$23+'TE BF'!$AB$23+'TE CVA'!$AB$23)*(1-CUSTOS!$M$38)</f>
        <v>338.64467436313089</v>
      </c>
      <c r="AB1751" s="6">
        <f>$K$1751*$V$1751</f>
        <v>0</v>
      </c>
      <c r="AC1751" s="6">
        <f>$M$1751*$W$1751</f>
        <v>312.14819</v>
      </c>
      <c r="AD1751" s="6">
        <f>$O$1751*$X$1751</f>
        <v>132.61589000000001</v>
      </c>
      <c r="AE1751" s="6">
        <f>$K$1751*$Y$1751</f>
        <v>0</v>
      </c>
      <c r="AF1751" s="6">
        <f ca="1">$M$1751*$Z$1751</f>
        <v>339.2464718351053</v>
      </c>
      <c r="AG1751" s="6">
        <f>$O$1751*$AA$1751</f>
        <v>128.34633158362661</v>
      </c>
    </row>
    <row r="1752" spans="1:33" ht="11.25" customHeight="1" x14ac:dyDescent="0.25">
      <c r="A1752" s="4" t="s">
        <v>21</v>
      </c>
      <c r="B1752" s="4" t="s">
        <v>44</v>
      </c>
      <c r="C1752" s="4" t="s">
        <v>33</v>
      </c>
      <c r="D1752" s="4" t="s">
        <v>45</v>
      </c>
      <c r="E1752" s="4" t="s">
        <v>25</v>
      </c>
      <c r="F1752" s="4" t="s">
        <v>25</v>
      </c>
      <c r="G1752" s="4" t="s">
        <v>25</v>
      </c>
      <c r="H1752" s="4" t="s">
        <v>34</v>
      </c>
      <c r="I1752" s="5">
        <v>44562</v>
      </c>
      <c r="J1752" s="6">
        <v>0</v>
      </c>
      <c r="K1752" s="6">
        <v>0</v>
      </c>
      <c r="L1752" s="6">
        <v>0.53300000000000003</v>
      </c>
      <c r="M1752" s="6">
        <v>0.53300000000000003</v>
      </c>
      <c r="N1752" s="6">
        <v>0.53300000000000003</v>
      </c>
      <c r="O1752" s="6">
        <v>0.53300000000000003</v>
      </c>
      <c r="P1752" s="6">
        <v>0</v>
      </c>
      <c r="Q1752" s="4" t="s">
        <v>26</v>
      </c>
      <c r="R1752" s="4">
        <v>0</v>
      </c>
      <c r="S1752" s="6">
        <v>0</v>
      </c>
      <c r="T1752" s="6">
        <v>21</v>
      </c>
      <c r="U1752" s="6">
        <v>82</v>
      </c>
      <c r="V1752" s="6">
        <f>IF(ISERROR(VLOOKUP($S$1752,'TAR FIN'!$A$1:$O$104,15,0)),0,VLOOKUP($S$1752,'TAR FIN'!$A$1:$O$104,15,0))</f>
        <v>0</v>
      </c>
      <c r="W1752" s="6">
        <f>IF(ISERROR(VLOOKUP($T$1752,'TAR FIN'!$A$1:$O$104,15,0)),0,VLOOKUP($T$1752,'TAR FIN'!$A$1:$O$104,15,0))</f>
        <v>823.61</v>
      </c>
      <c r="X1752" s="6">
        <f>IF(ISERROR(VLOOKUP($U$1752,'TAR FIN'!$A$1:$O$104,15,0)),0,VLOOKUP($U$1752,'TAR FIN'!$A$1:$O$104,15,0))</f>
        <v>349.91</v>
      </c>
      <c r="Y1752" s="6"/>
      <c r="Z1752" s="6">
        <f ca="1">('TUSD BE'!$AM$44+'TUSD BF'!$AM$44+'TUSD CVA'!$AM$44)*(1-CUSTOS!$M$38)</f>
        <v>895.10942436703249</v>
      </c>
      <c r="AA1752" s="6">
        <f>('TE BE'!$AB$23+'TE BF'!$AB$23+'TE CVA'!$AB$23)*(1-CUSTOS!$M$38)</f>
        <v>338.64467436313089</v>
      </c>
      <c r="AB1752" s="6">
        <f>$K$1752*$V$1752</f>
        <v>0</v>
      </c>
      <c r="AC1752" s="6">
        <f>$M$1752*$W$1752</f>
        <v>438.98413000000005</v>
      </c>
      <c r="AD1752" s="6">
        <f>$O$1752*$X$1752</f>
        <v>186.50203000000002</v>
      </c>
      <c r="AE1752" s="6">
        <f>$K$1752*$Y$1752</f>
        <v>0</v>
      </c>
      <c r="AF1752" s="6">
        <f ca="1">$M$1752*$Z$1752</f>
        <v>477.09332318762836</v>
      </c>
      <c r="AG1752" s="6">
        <f>$O$1752*$AA$1752</f>
        <v>180.49761143554878</v>
      </c>
    </row>
    <row r="1753" spans="1:33" ht="11.25" customHeight="1" x14ac:dyDescent="0.25">
      <c r="A1753" s="4" t="s">
        <v>21</v>
      </c>
      <c r="B1753" s="4" t="s">
        <v>44</v>
      </c>
      <c r="C1753" s="4" t="s">
        <v>33</v>
      </c>
      <c r="D1753" s="4" t="s">
        <v>45</v>
      </c>
      <c r="E1753" s="4" t="s">
        <v>25</v>
      </c>
      <c r="F1753" s="4" t="s">
        <v>25</v>
      </c>
      <c r="G1753" s="4" t="s">
        <v>25</v>
      </c>
      <c r="H1753" s="4" t="s">
        <v>34</v>
      </c>
      <c r="I1753" s="5">
        <v>44593</v>
      </c>
      <c r="J1753" s="6">
        <v>0</v>
      </c>
      <c r="K1753" s="6">
        <v>0</v>
      </c>
      <c r="L1753" s="6">
        <v>0.312</v>
      </c>
      <c r="M1753" s="6">
        <v>0.312</v>
      </c>
      <c r="N1753" s="6">
        <v>0.312</v>
      </c>
      <c r="O1753" s="6">
        <v>0.312</v>
      </c>
      <c r="P1753" s="6">
        <v>0</v>
      </c>
      <c r="Q1753" s="4" t="s">
        <v>26</v>
      </c>
      <c r="R1753" s="4">
        <v>0</v>
      </c>
      <c r="S1753" s="6">
        <v>0</v>
      </c>
      <c r="T1753" s="6">
        <v>21</v>
      </c>
      <c r="U1753" s="6">
        <v>82</v>
      </c>
      <c r="V1753" s="6">
        <f>IF(ISERROR(VLOOKUP($S$1753,'TAR FIN'!$A$1:$O$104,15,0)),0,VLOOKUP($S$1753,'TAR FIN'!$A$1:$O$104,15,0))</f>
        <v>0</v>
      </c>
      <c r="W1753" s="6">
        <f>IF(ISERROR(VLOOKUP($T$1753,'TAR FIN'!$A$1:$O$104,15,0)),0,VLOOKUP($T$1753,'TAR FIN'!$A$1:$O$104,15,0))</f>
        <v>823.61</v>
      </c>
      <c r="X1753" s="6">
        <f>IF(ISERROR(VLOOKUP($U$1753,'TAR FIN'!$A$1:$O$104,15,0)),0,VLOOKUP($U$1753,'TAR FIN'!$A$1:$O$104,15,0))</f>
        <v>349.91</v>
      </c>
      <c r="Y1753" s="6"/>
      <c r="Z1753" s="6">
        <f ca="1">('TUSD BE'!$AM$44+'TUSD BF'!$AM$44+'TUSD CVA'!$AM$44)*(1-CUSTOS!$M$38)</f>
        <v>895.10942436703249</v>
      </c>
      <c r="AA1753" s="6">
        <f>('TE BE'!$AB$23+'TE BF'!$AB$23+'TE CVA'!$AB$23)*(1-CUSTOS!$M$38)</f>
        <v>338.64467436313089</v>
      </c>
      <c r="AB1753" s="6">
        <f>$K$1753*$V$1753</f>
        <v>0</v>
      </c>
      <c r="AC1753" s="6">
        <f>$M$1753*$W$1753</f>
        <v>256.96632</v>
      </c>
      <c r="AD1753" s="6">
        <f>$O$1753*$X$1753</f>
        <v>109.17192000000001</v>
      </c>
      <c r="AE1753" s="6">
        <f>$K$1753*$Y$1753</f>
        <v>0</v>
      </c>
      <c r="AF1753" s="6">
        <f ca="1">$M$1753*$Z$1753</f>
        <v>279.27414040251415</v>
      </c>
      <c r="AG1753" s="6">
        <f>$O$1753*$AA$1753</f>
        <v>105.65713840129683</v>
      </c>
    </row>
    <row r="1754" spans="1:33" ht="11.25" customHeight="1" x14ac:dyDescent="0.25">
      <c r="A1754" s="4" t="s">
        <v>21</v>
      </c>
      <c r="B1754" s="4" t="s">
        <v>44</v>
      </c>
      <c r="C1754" s="4" t="s">
        <v>33</v>
      </c>
      <c r="D1754" s="4" t="s">
        <v>45</v>
      </c>
      <c r="E1754" s="4" t="s">
        <v>25</v>
      </c>
      <c r="F1754" s="4" t="s">
        <v>25</v>
      </c>
      <c r="G1754" s="4" t="s">
        <v>25</v>
      </c>
      <c r="H1754" s="4" t="s">
        <v>34</v>
      </c>
      <c r="I1754" s="5">
        <v>44621</v>
      </c>
      <c r="J1754" s="6">
        <v>0</v>
      </c>
      <c r="K1754" s="6">
        <v>0</v>
      </c>
      <c r="L1754" s="6">
        <v>0.23499999999999999</v>
      </c>
      <c r="M1754" s="6">
        <v>0.23499999999999999</v>
      </c>
      <c r="N1754" s="6">
        <v>0.23499999999999999</v>
      </c>
      <c r="O1754" s="6">
        <v>0.23499999999999999</v>
      </c>
      <c r="P1754" s="6">
        <v>0</v>
      </c>
      <c r="Q1754" s="4" t="s">
        <v>26</v>
      </c>
      <c r="R1754" s="4">
        <v>0</v>
      </c>
      <c r="S1754" s="6">
        <v>0</v>
      </c>
      <c r="T1754" s="6">
        <v>21</v>
      </c>
      <c r="U1754" s="6">
        <v>82</v>
      </c>
      <c r="V1754" s="6">
        <f>IF(ISERROR(VLOOKUP($S$1754,'TAR FIN'!$A$1:$O$104,15,0)),0,VLOOKUP($S$1754,'TAR FIN'!$A$1:$O$104,15,0))</f>
        <v>0</v>
      </c>
      <c r="W1754" s="6">
        <f>IF(ISERROR(VLOOKUP($T$1754,'TAR FIN'!$A$1:$O$104,15,0)),0,VLOOKUP($T$1754,'TAR FIN'!$A$1:$O$104,15,0))</f>
        <v>823.61</v>
      </c>
      <c r="X1754" s="6">
        <f>IF(ISERROR(VLOOKUP($U$1754,'TAR FIN'!$A$1:$O$104,15,0)),0,VLOOKUP($U$1754,'TAR FIN'!$A$1:$O$104,15,0))</f>
        <v>349.91</v>
      </c>
      <c r="Y1754" s="6"/>
      <c r="Z1754" s="6">
        <f ca="1">('TUSD BE'!$AM$44+'TUSD BF'!$AM$44+'TUSD CVA'!$AM$44)*(1-CUSTOS!$M$38)</f>
        <v>895.10942436703249</v>
      </c>
      <c r="AA1754" s="6">
        <f>('TE BE'!$AB$23+'TE BF'!$AB$23+'TE CVA'!$AB$23)*(1-CUSTOS!$M$38)</f>
        <v>338.64467436313089</v>
      </c>
      <c r="AB1754" s="6">
        <f>$K$1754*$V$1754</f>
        <v>0</v>
      </c>
      <c r="AC1754" s="6">
        <f>$M$1754*$W$1754</f>
        <v>193.54835</v>
      </c>
      <c r="AD1754" s="6">
        <f>$O$1754*$X$1754</f>
        <v>82.228849999999994</v>
      </c>
      <c r="AE1754" s="6">
        <f>$K$1754*$Y$1754</f>
        <v>0</v>
      </c>
      <c r="AF1754" s="6">
        <f ca="1">$M$1754*$Z$1754</f>
        <v>210.35071472625262</v>
      </c>
      <c r="AG1754" s="6">
        <f>$O$1754*$AA$1754</f>
        <v>79.581498475335749</v>
      </c>
    </row>
    <row r="1755" spans="1:33" ht="11.25" customHeight="1" x14ac:dyDescent="0.25">
      <c r="A1755" s="4" t="s">
        <v>21</v>
      </c>
      <c r="B1755" s="4" t="s">
        <v>44</v>
      </c>
      <c r="C1755" s="4" t="s">
        <v>33</v>
      </c>
      <c r="D1755" s="4" t="s">
        <v>45</v>
      </c>
      <c r="E1755" s="4" t="s">
        <v>25</v>
      </c>
      <c r="F1755" s="4" t="s">
        <v>25</v>
      </c>
      <c r="G1755" s="4" t="s">
        <v>25</v>
      </c>
      <c r="H1755" s="4" t="s">
        <v>34</v>
      </c>
      <c r="I1755" s="5">
        <v>44652</v>
      </c>
      <c r="J1755" s="6">
        <v>0</v>
      </c>
      <c r="K1755" s="6">
        <v>0</v>
      </c>
      <c r="L1755" s="6">
        <v>0.216</v>
      </c>
      <c r="M1755" s="6">
        <v>0.216</v>
      </c>
      <c r="N1755" s="6">
        <v>0.216</v>
      </c>
      <c r="O1755" s="6">
        <v>0.216</v>
      </c>
      <c r="P1755" s="6">
        <v>0</v>
      </c>
      <c r="Q1755" s="4" t="s">
        <v>26</v>
      </c>
      <c r="R1755" s="4">
        <v>0</v>
      </c>
      <c r="S1755" s="6">
        <v>0</v>
      </c>
      <c r="T1755" s="6">
        <v>21</v>
      </c>
      <c r="U1755" s="6">
        <v>82</v>
      </c>
      <c r="V1755" s="6">
        <f>IF(ISERROR(VLOOKUP($S$1755,'TAR FIN'!$A$1:$O$104,15,0)),0,VLOOKUP($S$1755,'TAR FIN'!$A$1:$O$104,15,0))</f>
        <v>0</v>
      </c>
      <c r="W1755" s="6">
        <f>IF(ISERROR(VLOOKUP($T$1755,'TAR FIN'!$A$1:$O$104,15,0)),0,VLOOKUP($T$1755,'TAR FIN'!$A$1:$O$104,15,0))</f>
        <v>823.61</v>
      </c>
      <c r="X1755" s="6">
        <f>IF(ISERROR(VLOOKUP($U$1755,'TAR FIN'!$A$1:$O$104,15,0)),0,VLOOKUP($U$1755,'TAR FIN'!$A$1:$O$104,15,0))</f>
        <v>349.91</v>
      </c>
      <c r="Y1755" s="6"/>
      <c r="Z1755" s="6">
        <f ca="1">('TUSD BE'!$AM$44+'TUSD BF'!$AM$44+'TUSD CVA'!$AM$44)*(1-CUSTOS!$M$38)</f>
        <v>895.10942436703249</v>
      </c>
      <c r="AA1755" s="6">
        <f>('TE BE'!$AB$23+'TE BF'!$AB$23+'TE CVA'!$AB$23)*(1-CUSTOS!$M$38)</f>
        <v>338.64467436313089</v>
      </c>
      <c r="AB1755" s="6">
        <f>$K$1755*$V$1755</f>
        <v>0</v>
      </c>
      <c r="AC1755" s="6">
        <f>$M$1755*$W$1755</f>
        <v>177.89976000000001</v>
      </c>
      <c r="AD1755" s="6">
        <f>$O$1755*$X$1755</f>
        <v>75.580560000000006</v>
      </c>
      <c r="AE1755" s="6">
        <f>$K$1755*$Y$1755</f>
        <v>0</v>
      </c>
      <c r="AF1755" s="6">
        <f ca="1">$M$1755*$Z$1755</f>
        <v>193.343635663279</v>
      </c>
      <c r="AG1755" s="6">
        <f>$O$1755*$AA$1755</f>
        <v>73.147249662436266</v>
      </c>
    </row>
    <row r="1756" spans="1:33" ht="11.25" customHeight="1" x14ac:dyDescent="0.25">
      <c r="A1756" s="4" t="s">
        <v>21</v>
      </c>
      <c r="B1756" s="4" t="s">
        <v>44</v>
      </c>
      <c r="C1756" s="4" t="s">
        <v>33</v>
      </c>
      <c r="D1756" s="4" t="s">
        <v>45</v>
      </c>
      <c r="E1756" s="4" t="s">
        <v>25</v>
      </c>
      <c r="F1756" s="4" t="s">
        <v>25</v>
      </c>
      <c r="G1756" s="4" t="s">
        <v>25</v>
      </c>
      <c r="H1756" s="4" t="s">
        <v>34</v>
      </c>
      <c r="I1756" s="5">
        <v>44682</v>
      </c>
      <c r="J1756" s="6">
        <v>0</v>
      </c>
      <c r="K1756" s="6">
        <v>0</v>
      </c>
      <c r="L1756" s="6">
        <v>0.23499999999999999</v>
      </c>
      <c r="M1756" s="6">
        <v>0.23499999999999999</v>
      </c>
      <c r="N1756" s="6">
        <v>0.23499999999999999</v>
      </c>
      <c r="O1756" s="6">
        <v>0.23499999999999999</v>
      </c>
      <c r="P1756" s="6">
        <v>0</v>
      </c>
      <c r="Q1756" s="4" t="s">
        <v>26</v>
      </c>
      <c r="R1756" s="4">
        <v>0</v>
      </c>
      <c r="S1756" s="6">
        <v>0</v>
      </c>
      <c r="T1756" s="6">
        <v>21</v>
      </c>
      <c r="U1756" s="6">
        <v>82</v>
      </c>
      <c r="V1756" s="6">
        <f>IF(ISERROR(VLOOKUP($S$1756,'TAR FIN'!$A$1:$O$104,15,0)),0,VLOOKUP($S$1756,'TAR FIN'!$A$1:$O$104,15,0))</f>
        <v>0</v>
      </c>
      <c r="W1756" s="6">
        <f>IF(ISERROR(VLOOKUP($T$1756,'TAR FIN'!$A$1:$O$104,15,0)),0,VLOOKUP($T$1756,'TAR FIN'!$A$1:$O$104,15,0))</f>
        <v>823.61</v>
      </c>
      <c r="X1756" s="6">
        <f>IF(ISERROR(VLOOKUP($U$1756,'TAR FIN'!$A$1:$O$104,15,0)),0,VLOOKUP($U$1756,'TAR FIN'!$A$1:$O$104,15,0))</f>
        <v>349.91</v>
      </c>
      <c r="Y1756" s="6"/>
      <c r="Z1756" s="6">
        <f ca="1">('TUSD BE'!$AM$44+'TUSD BF'!$AM$44+'TUSD CVA'!$AM$44)*(1-CUSTOS!$M$38)</f>
        <v>895.10942436703249</v>
      </c>
      <c r="AA1756" s="6">
        <f>('TE BE'!$AB$23+'TE BF'!$AB$23+'TE CVA'!$AB$23)*(1-CUSTOS!$M$38)</f>
        <v>338.64467436313089</v>
      </c>
      <c r="AB1756" s="6">
        <f>$K$1756*$V$1756</f>
        <v>0</v>
      </c>
      <c r="AC1756" s="6">
        <f>$M$1756*$W$1756</f>
        <v>193.54835</v>
      </c>
      <c r="AD1756" s="6">
        <f>$O$1756*$X$1756</f>
        <v>82.228849999999994</v>
      </c>
      <c r="AE1756" s="6">
        <f>$K$1756*$Y$1756</f>
        <v>0</v>
      </c>
      <c r="AF1756" s="6">
        <f ca="1">$M$1756*$Z$1756</f>
        <v>210.35071472625262</v>
      </c>
      <c r="AG1756" s="6">
        <f>$O$1756*$AA$1756</f>
        <v>79.581498475335749</v>
      </c>
    </row>
    <row r="1757" spans="1:33" ht="11.25" customHeight="1" x14ac:dyDescent="0.25">
      <c r="A1757" s="4" t="s">
        <v>21</v>
      </c>
      <c r="B1757" s="4" t="s">
        <v>44</v>
      </c>
      <c r="C1757" s="4" t="s">
        <v>33</v>
      </c>
      <c r="D1757" s="4" t="s">
        <v>45</v>
      </c>
      <c r="E1757" s="4" t="s">
        <v>25</v>
      </c>
      <c r="F1757" s="4" t="s">
        <v>25</v>
      </c>
      <c r="G1757" s="4" t="s">
        <v>25</v>
      </c>
      <c r="H1757" s="4" t="s">
        <v>34</v>
      </c>
      <c r="I1757" s="5">
        <v>44713</v>
      </c>
      <c r="J1757" s="6">
        <v>0</v>
      </c>
      <c r="K1757" s="6">
        <v>0</v>
      </c>
      <c r="L1757" s="6">
        <v>0.218</v>
      </c>
      <c r="M1757" s="6">
        <v>0.218</v>
      </c>
      <c r="N1757" s="6">
        <v>0.218</v>
      </c>
      <c r="O1757" s="6">
        <v>0.218</v>
      </c>
      <c r="P1757" s="6">
        <v>0</v>
      </c>
      <c r="Q1757" s="4" t="s">
        <v>26</v>
      </c>
      <c r="R1757" s="4">
        <v>0</v>
      </c>
      <c r="S1757" s="6">
        <v>0</v>
      </c>
      <c r="T1757" s="6">
        <v>21</v>
      </c>
      <c r="U1757" s="6">
        <v>82</v>
      </c>
      <c r="V1757" s="6">
        <f>IF(ISERROR(VLOOKUP($S$1757,'TAR FIN'!$A$1:$O$104,15,0)),0,VLOOKUP($S$1757,'TAR FIN'!$A$1:$O$104,15,0))</f>
        <v>0</v>
      </c>
      <c r="W1757" s="6">
        <f>IF(ISERROR(VLOOKUP($T$1757,'TAR FIN'!$A$1:$O$104,15,0)),0,VLOOKUP($T$1757,'TAR FIN'!$A$1:$O$104,15,0))</f>
        <v>823.61</v>
      </c>
      <c r="X1757" s="6">
        <f>IF(ISERROR(VLOOKUP($U$1757,'TAR FIN'!$A$1:$O$104,15,0)),0,VLOOKUP($U$1757,'TAR FIN'!$A$1:$O$104,15,0))</f>
        <v>349.91</v>
      </c>
      <c r="Y1757" s="6"/>
      <c r="Z1757" s="6">
        <f ca="1">('TUSD BE'!$AM$44+'TUSD BF'!$AM$44+'TUSD CVA'!$AM$44)*(1-CUSTOS!$M$38)</f>
        <v>895.10942436703249</v>
      </c>
      <c r="AA1757" s="6">
        <f>('TE BE'!$AB$23+'TE BF'!$AB$23+'TE CVA'!$AB$23)*(1-CUSTOS!$M$38)</f>
        <v>338.64467436313089</v>
      </c>
      <c r="AB1757" s="6">
        <f>$K$1757*$V$1757</f>
        <v>0</v>
      </c>
      <c r="AC1757" s="6">
        <f>$M$1757*$W$1757</f>
        <v>179.54697999999999</v>
      </c>
      <c r="AD1757" s="6">
        <f>$O$1757*$X$1757</f>
        <v>76.280380000000008</v>
      </c>
      <c r="AE1757" s="6">
        <f>$K$1757*$Y$1757</f>
        <v>0</v>
      </c>
      <c r="AF1757" s="6">
        <f ca="1">$M$1757*$Z$1757</f>
        <v>195.13385451201307</v>
      </c>
      <c r="AG1757" s="6">
        <f>$O$1757*$AA$1757</f>
        <v>73.824539011162528</v>
      </c>
    </row>
    <row r="1758" spans="1:33" ht="11.25" customHeight="1" x14ac:dyDescent="0.25">
      <c r="A1758" s="4" t="s">
        <v>57</v>
      </c>
      <c r="B1758" s="4" t="s">
        <v>44</v>
      </c>
      <c r="C1758" s="4" t="s">
        <v>33</v>
      </c>
      <c r="D1758" s="4" t="s">
        <v>45</v>
      </c>
      <c r="E1758" s="4" t="s">
        <v>25</v>
      </c>
      <c r="F1758" s="4" t="s">
        <v>25</v>
      </c>
      <c r="G1758" s="4" t="s">
        <v>25</v>
      </c>
      <c r="H1758" s="4" t="s">
        <v>34</v>
      </c>
      <c r="I1758" s="5">
        <v>44743</v>
      </c>
      <c r="J1758" s="6">
        <v>0</v>
      </c>
      <c r="K1758" s="6">
        <v>0</v>
      </c>
      <c r="L1758" s="6">
        <v>0.218</v>
      </c>
      <c r="M1758" s="6">
        <v>0.218</v>
      </c>
      <c r="N1758" s="6">
        <v>0.218</v>
      </c>
      <c r="O1758" s="6">
        <v>0.218</v>
      </c>
      <c r="P1758" s="6">
        <v>0</v>
      </c>
      <c r="Q1758" s="4" t="s">
        <v>26</v>
      </c>
      <c r="R1758" s="4">
        <v>0</v>
      </c>
      <c r="S1758" s="6">
        <v>0</v>
      </c>
      <c r="T1758" s="6">
        <v>21</v>
      </c>
      <c r="U1758" s="6">
        <v>82</v>
      </c>
      <c r="V1758" s="6">
        <f>IF(ISERROR(VLOOKUP($S$1758,'TAR FIN'!$A$1:$O$104,15,0)),0,VLOOKUP($S$1758,'TAR FIN'!$A$1:$O$104,15,0))</f>
        <v>0</v>
      </c>
      <c r="W1758" s="6">
        <f>IF(ISERROR(VLOOKUP($T$1758,'TAR FIN'!$A$1:$O$104,15,0)),0,VLOOKUP($T$1758,'TAR FIN'!$A$1:$O$104,15,0))</f>
        <v>823.61</v>
      </c>
      <c r="X1758" s="6">
        <f>IF(ISERROR(VLOOKUP($U$1758,'TAR FIN'!$A$1:$O$104,15,0)),0,VLOOKUP($U$1758,'TAR FIN'!$A$1:$O$104,15,0))</f>
        <v>349.91</v>
      </c>
      <c r="Y1758" s="6"/>
      <c r="Z1758" s="6">
        <f ca="1">('TUSD BE'!$AM$44+'TUSD BF'!$AM$44+'TUSD CVA'!$AM$44)*(1-CUSTOS!$M$38)</f>
        <v>895.10942436703249</v>
      </c>
      <c r="AA1758" s="6">
        <f>('TE BE'!$AB$23+'TE BF'!$AB$23+'TE CVA'!$AB$23)*(1-CUSTOS!$M$38)</f>
        <v>338.64467436313089</v>
      </c>
      <c r="AB1758" s="6">
        <f>$K$1758*$V$1758</f>
        <v>0</v>
      </c>
      <c r="AC1758" s="6">
        <f>$M$1758*$W$1758</f>
        <v>179.54697999999999</v>
      </c>
      <c r="AD1758" s="6">
        <f>$O$1758*$X$1758</f>
        <v>76.280380000000008</v>
      </c>
      <c r="AE1758" s="6">
        <f>$K$1758*$Y$1758</f>
        <v>0</v>
      </c>
      <c r="AF1758" s="6">
        <f ca="1">$M$1758*$Z$1758</f>
        <v>195.13385451201307</v>
      </c>
      <c r="AG1758" s="6">
        <f>$O$1758*$AA$1758</f>
        <v>73.824539011162528</v>
      </c>
    </row>
    <row r="1759" spans="1:33" ht="11.25" customHeight="1" x14ac:dyDescent="0.25">
      <c r="A1759" s="4" t="s">
        <v>21</v>
      </c>
      <c r="B1759" s="4" t="s">
        <v>44</v>
      </c>
      <c r="C1759" s="4" t="s">
        <v>23</v>
      </c>
      <c r="D1759" s="4" t="s">
        <v>45</v>
      </c>
      <c r="E1759" s="4" t="s">
        <v>53</v>
      </c>
      <c r="F1759" s="4" t="s">
        <v>54</v>
      </c>
      <c r="G1759" s="4" t="s">
        <v>25</v>
      </c>
      <c r="H1759" s="4" t="s">
        <v>25</v>
      </c>
      <c r="I1759" s="5">
        <v>44409</v>
      </c>
      <c r="J1759" s="6">
        <v>0</v>
      </c>
      <c r="K1759" s="6">
        <v>0</v>
      </c>
      <c r="L1759" s="6">
        <v>2523.9659999999999</v>
      </c>
      <c r="M1759" s="6">
        <v>2523.9659999999999</v>
      </c>
      <c r="N1759" s="6">
        <v>2523.9659999999999</v>
      </c>
      <c r="O1759" s="6">
        <v>2523.9659999999999</v>
      </c>
      <c r="P1759" s="6">
        <v>0</v>
      </c>
      <c r="Q1759" s="4" t="s">
        <v>26</v>
      </c>
      <c r="R1759" s="4">
        <v>0</v>
      </c>
      <c r="S1759" s="6">
        <v>0</v>
      </c>
      <c r="T1759" s="6">
        <v>27</v>
      </c>
      <c r="U1759" s="6">
        <v>85</v>
      </c>
      <c r="V1759" s="6">
        <f>IF(ISERROR(VLOOKUP($S$1759,'TAR FIN'!$A$1:$O$104,15,0)),0,VLOOKUP($S$1759,'TAR FIN'!$A$1:$O$104,15,0))</f>
        <v>0</v>
      </c>
      <c r="W1759" s="6">
        <f>IF(ISERROR(VLOOKUP($T$1759,'TAR FIN'!$A$1:$O$104,15,0)),0,VLOOKUP($T$1759,'TAR FIN'!$A$1:$O$104,15,0))</f>
        <v>300.26</v>
      </c>
      <c r="X1759" s="6">
        <f>IF(ISERROR(VLOOKUP($U$1759,'TAR FIN'!$A$1:$O$104,15,0)),0,VLOOKUP($U$1759,'TAR FIN'!$A$1:$O$104,15,0))</f>
        <v>225.04</v>
      </c>
      <c r="Y1759" s="6"/>
      <c r="Z1759" s="6">
        <f ca="1">('TUSD BE'!$AM$47+'TUSD BF'!$AM$47+'TUSD CVA'!$AM$47)*(1-CUSTOS!$M$38)</f>
        <v>335.21342816228281</v>
      </c>
      <c r="AA1759" s="6">
        <f>('TE BE'!$AB$26+'TE BF'!$AB$26+'TE CVA'!$AB$26)*(1-CUSTOS!$M$38)</f>
        <v>227.92247399192311</v>
      </c>
      <c r="AB1759" s="6">
        <f>$K$1759*$V$1759</f>
        <v>0</v>
      </c>
      <c r="AC1759" s="6">
        <f>$M$1759*$W$1759</f>
        <v>757846.0311599999</v>
      </c>
      <c r="AD1759" s="6">
        <f>$O$1759*$X$1759</f>
        <v>567993.30863999994</v>
      </c>
      <c r="AE1759" s="6">
        <f>$K$1759*$Y$1759</f>
        <v>0</v>
      </c>
      <c r="AF1759" s="6">
        <f ca="1">$M$1759*$Z$1759</f>
        <v>846067.29542504426</v>
      </c>
      <c r="AG1759" s="6">
        <f>$O$1759*$AA$1759</f>
        <v>575268.57499149814</v>
      </c>
    </row>
    <row r="1760" spans="1:33" ht="11.25" customHeight="1" x14ac:dyDescent="0.25">
      <c r="A1760" s="4" t="s">
        <v>27</v>
      </c>
      <c r="B1760" s="4" t="s">
        <v>44</v>
      </c>
      <c r="C1760" s="4" t="s">
        <v>23</v>
      </c>
      <c r="D1760" s="4" t="s">
        <v>45</v>
      </c>
      <c r="E1760" s="4" t="s">
        <v>53</v>
      </c>
      <c r="F1760" s="4" t="s">
        <v>54</v>
      </c>
      <c r="G1760" s="4" t="s">
        <v>25</v>
      </c>
      <c r="H1760" s="4" t="s">
        <v>25</v>
      </c>
      <c r="I1760" s="5">
        <v>44409</v>
      </c>
      <c r="J1760" s="6">
        <v>0</v>
      </c>
      <c r="K1760" s="6">
        <v>0</v>
      </c>
      <c r="L1760" s="6">
        <v>-22.556999999999999</v>
      </c>
      <c r="M1760" s="6">
        <v>-22.556999999999999</v>
      </c>
      <c r="N1760" s="6">
        <v>-22.556999999999999</v>
      </c>
      <c r="O1760" s="6">
        <v>-22.556999999999999</v>
      </c>
      <c r="P1760" s="6">
        <v>0</v>
      </c>
      <c r="Q1760" s="4" t="s">
        <v>26</v>
      </c>
      <c r="R1760" s="4">
        <v>0</v>
      </c>
      <c r="S1760" s="6">
        <v>0</v>
      </c>
      <c r="T1760" s="6">
        <v>27</v>
      </c>
      <c r="U1760" s="6">
        <v>85</v>
      </c>
      <c r="V1760" s="6">
        <f>IF(ISERROR(VLOOKUP($S$1760,'TAR FIN'!$A$1:$O$104,15,0)),0,VLOOKUP($S$1760,'TAR FIN'!$A$1:$O$104,15,0))</f>
        <v>0</v>
      </c>
      <c r="W1760" s="6">
        <f>IF(ISERROR(VLOOKUP($T$1760,'TAR FIN'!$A$1:$O$104,15,0)),0,VLOOKUP($T$1760,'TAR FIN'!$A$1:$O$104,15,0))</f>
        <v>300.26</v>
      </c>
      <c r="X1760" s="6">
        <f>IF(ISERROR(VLOOKUP($U$1760,'TAR FIN'!$A$1:$O$104,15,0)),0,VLOOKUP($U$1760,'TAR FIN'!$A$1:$O$104,15,0))</f>
        <v>225.04</v>
      </c>
      <c r="Y1760" s="6"/>
      <c r="Z1760" s="6">
        <f ca="1">('TUSD BE'!$AM$47+'TUSD BF'!$AM$47+'TUSD CVA'!$AM$47)*(1-CUSTOS!$M$38)</f>
        <v>335.21342816228281</v>
      </c>
      <c r="AA1760" s="6">
        <f>('TE BE'!$AB$26+'TE BF'!$AB$26+'TE CVA'!$AB$26)*(1-CUSTOS!$M$38)</f>
        <v>227.92247399192311</v>
      </c>
      <c r="AB1760" s="6">
        <f>$K$1760*$V$1760</f>
        <v>0</v>
      </c>
      <c r="AC1760" s="6">
        <f>$M$1760*$W$1760</f>
        <v>-6772.9648199999992</v>
      </c>
      <c r="AD1760" s="6">
        <f>$O$1760*$X$1760</f>
        <v>-5076.2272799999992</v>
      </c>
      <c r="AE1760" s="6">
        <f>$K$1760*$Y$1760</f>
        <v>0</v>
      </c>
      <c r="AF1760" s="6">
        <f ca="1">$M$1760*$Z$1760</f>
        <v>-7561.4092990566132</v>
      </c>
      <c r="AG1760" s="6">
        <f>$O$1760*$AA$1760</f>
        <v>-5141.2472458358097</v>
      </c>
    </row>
    <row r="1761" spans="1:33" ht="11.25" customHeight="1" x14ac:dyDescent="0.25">
      <c r="A1761" s="4" t="s">
        <v>28</v>
      </c>
      <c r="B1761" s="4" t="s">
        <v>44</v>
      </c>
      <c r="C1761" s="4" t="s">
        <v>23</v>
      </c>
      <c r="D1761" s="4" t="s">
        <v>45</v>
      </c>
      <c r="E1761" s="4" t="s">
        <v>53</v>
      </c>
      <c r="F1761" s="4" t="s">
        <v>54</v>
      </c>
      <c r="G1761" s="4" t="s">
        <v>25</v>
      </c>
      <c r="H1761" s="4" t="s">
        <v>25</v>
      </c>
      <c r="I1761" s="5">
        <v>44409</v>
      </c>
      <c r="J1761" s="6">
        <v>0</v>
      </c>
      <c r="K1761" s="6">
        <v>0</v>
      </c>
      <c r="L1761" s="6">
        <v>75.521000000000001</v>
      </c>
      <c r="M1761" s="6">
        <v>75.521000000000001</v>
      </c>
      <c r="N1761" s="6">
        <v>75.521000000000001</v>
      </c>
      <c r="O1761" s="6">
        <v>75.521000000000001</v>
      </c>
      <c r="P1761" s="6">
        <v>0</v>
      </c>
      <c r="Q1761" s="4" t="s">
        <v>26</v>
      </c>
      <c r="R1761" s="4">
        <v>0</v>
      </c>
      <c r="S1761" s="6">
        <v>0</v>
      </c>
      <c r="T1761" s="6">
        <v>27</v>
      </c>
      <c r="U1761" s="6">
        <v>85</v>
      </c>
      <c r="V1761" s="6">
        <f>IF(ISERROR(VLOOKUP($S$1761,'TAR FIN'!$A$1:$O$104,15,0)),0,VLOOKUP($S$1761,'TAR FIN'!$A$1:$O$104,15,0))</f>
        <v>0</v>
      </c>
      <c r="W1761" s="6">
        <f>IF(ISERROR(VLOOKUP($T$1761,'TAR FIN'!$A$1:$O$104,15,0)),0,VLOOKUP($T$1761,'TAR FIN'!$A$1:$O$104,15,0))</f>
        <v>300.26</v>
      </c>
      <c r="X1761" s="6">
        <f>IF(ISERROR(VLOOKUP($U$1761,'TAR FIN'!$A$1:$O$104,15,0)),0,VLOOKUP($U$1761,'TAR FIN'!$A$1:$O$104,15,0))</f>
        <v>225.04</v>
      </c>
      <c r="Y1761" s="6"/>
      <c r="Z1761" s="6">
        <f ca="1">('TUSD BE'!$AM$47+'TUSD BF'!$AM$47+'TUSD CVA'!$AM$47)*(1-CUSTOS!$M$38)</f>
        <v>335.21342816228281</v>
      </c>
      <c r="AA1761" s="6">
        <f>('TE BE'!$AB$26+'TE BF'!$AB$26+'TE CVA'!$AB$26)*(1-CUSTOS!$M$38)</f>
        <v>227.92247399192311</v>
      </c>
      <c r="AB1761" s="6">
        <f>$K$1761*$V$1761</f>
        <v>0</v>
      </c>
      <c r="AC1761" s="6">
        <f>$M$1761*$W$1761</f>
        <v>22675.935460000001</v>
      </c>
      <c r="AD1761" s="6">
        <f>$O$1761*$X$1761</f>
        <v>16995.24584</v>
      </c>
      <c r="AE1761" s="6">
        <f>$K$1761*$Y$1761</f>
        <v>0</v>
      </c>
      <c r="AF1761" s="6">
        <f ca="1">$M$1761*$Z$1761</f>
        <v>25315.65330824376</v>
      </c>
      <c r="AG1761" s="6">
        <f>$O$1761*$AA$1761</f>
        <v>17212.933158344025</v>
      </c>
    </row>
    <row r="1762" spans="1:33" ht="11.25" customHeight="1" x14ac:dyDescent="0.25">
      <c r="A1762" s="4" t="s">
        <v>21</v>
      </c>
      <c r="B1762" s="4" t="s">
        <v>44</v>
      </c>
      <c r="C1762" s="4" t="s">
        <v>23</v>
      </c>
      <c r="D1762" s="4" t="s">
        <v>45</v>
      </c>
      <c r="E1762" s="4" t="s">
        <v>53</v>
      </c>
      <c r="F1762" s="4" t="s">
        <v>54</v>
      </c>
      <c r="G1762" s="4" t="s">
        <v>25</v>
      </c>
      <c r="H1762" s="4" t="s">
        <v>25</v>
      </c>
      <c r="I1762" s="5">
        <v>44440</v>
      </c>
      <c r="J1762" s="6">
        <v>0</v>
      </c>
      <c r="K1762" s="6">
        <v>0</v>
      </c>
      <c r="L1762" s="6">
        <v>2721.3130000000001</v>
      </c>
      <c r="M1762" s="6">
        <v>2721.3130000000001</v>
      </c>
      <c r="N1762" s="6">
        <v>2721.3130000000001</v>
      </c>
      <c r="O1762" s="6">
        <v>2721.3130000000001</v>
      </c>
      <c r="P1762" s="6">
        <v>0</v>
      </c>
      <c r="Q1762" s="4" t="s">
        <v>26</v>
      </c>
      <c r="R1762" s="4">
        <v>0</v>
      </c>
      <c r="S1762" s="6">
        <v>0</v>
      </c>
      <c r="T1762" s="6">
        <v>27</v>
      </c>
      <c r="U1762" s="6">
        <v>85</v>
      </c>
      <c r="V1762" s="6">
        <f>IF(ISERROR(VLOOKUP($S$1762,'TAR FIN'!$A$1:$O$104,15,0)),0,VLOOKUP($S$1762,'TAR FIN'!$A$1:$O$104,15,0))</f>
        <v>0</v>
      </c>
      <c r="W1762" s="6">
        <f>IF(ISERROR(VLOOKUP($T$1762,'TAR FIN'!$A$1:$O$104,15,0)),0,VLOOKUP($T$1762,'TAR FIN'!$A$1:$O$104,15,0))</f>
        <v>300.26</v>
      </c>
      <c r="X1762" s="6">
        <f>IF(ISERROR(VLOOKUP($U$1762,'TAR FIN'!$A$1:$O$104,15,0)),0,VLOOKUP($U$1762,'TAR FIN'!$A$1:$O$104,15,0))</f>
        <v>225.04</v>
      </c>
      <c r="Y1762" s="6"/>
      <c r="Z1762" s="6">
        <f ca="1">('TUSD BE'!$AM$47+'TUSD BF'!$AM$47+'TUSD CVA'!$AM$47)*(1-CUSTOS!$M$38)</f>
        <v>335.21342816228281</v>
      </c>
      <c r="AA1762" s="6">
        <f>('TE BE'!$AB$26+'TE BF'!$AB$26+'TE CVA'!$AB$26)*(1-CUSTOS!$M$38)</f>
        <v>227.92247399192311</v>
      </c>
      <c r="AB1762" s="6">
        <f>$K$1762*$V$1762</f>
        <v>0</v>
      </c>
      <c r="AC1762" s="6">
        <f>$M$1762*$W$1762</f>
        <v>817101.44137999997</v>
      </c>
      <c r="AD1762" s="6">
        <f>$O$1762*$X$1762</f>
        <v>612404.27752</v>
      </c>
      <c r="AE1762" s="6">
        <f>$K$1762*$Y$1762</f>
        <v>0</v>
      </c>
      <c r="AF1762" s="6">
        <f ca="1">$M$1762*$Z$1762</f>
        <v>912220.6598325863</v>
      </c>
      <c r="AG1762" s="6">
        <f>$O$1762*$AA$1762</f>
        <v>620248.39146638231</v>
      </c>
    </row>
    <row r="1763" spans="1:33" ht="11.25" customHeight="1" x14ac:dyDescent="0.25">
      <c r="A1763" s="4" t="s">
        <v>27</v>
      </c>
      <c r="B1763" s="4" t="s">
        <v>44</v>
      </c>
      <c r="C1763" s="4" t="s">
        <v>23</v>
      </c>
      <c r="D1763" s="4" t="s">
        <v>45</v>
      </c>
      <c r="E1763" s="4" t="s">
        <v>53</v>
      </c>
      <c r="F1763" s="4" t="s">
        <v>54</v>
      </c>
      <c r="G1763" s="4" t="s">
        <v>25</v>
      </c>
      <c r="H1763" s="4" t="s">
        <v>25</v>
      </c>
      <c r="I1763" s="5">
        <v>44440</v>
      </c>
      <c r="J1763" s="6">
        <v>0</v>
      </c>
      <c r="K1763" s="6">
        <v>0</v>
      </c>
      <c r="L1763" s="6">
        <v>-69.834999999999994</v>
      </c>
      <c r="M1763" s="6">
        <v>-69.834999999999994</v>
      </c>
      <c r="N1763" s="6">
        <v>-69.834999999999994</v>
      </c>
      <c r="O1763" s="6">
        <v>-69.834999999999994</v>
      </c>
      <c r="P1763" s="6">
        <v>0</v>
      </c>
      <c r="Q1763" s="4" t="s">
        <v>26</v>
      </c>
      <c r="R1763" s="4">
        <v>0</v>
      </c>
      <c r="S1763" s="6">
        <v>0</v>
      </c>
      <c r="T1763" s="6">
        <v>27</v>
      </c>
      <c r="U1763" s="6">
        <v>85</v>
      </c>
      <c r="V1763" s="6">
        <f>IF(ISERROR(VLOOKUP($S$1763,'TAR FIN'!$A$1:$O$104,15,0)),0,VLOOKUP($S$1763,'TAR FIN'!$A$1:$O$104,15,0))</f>
        <v>0</v>
      </c>
      <c r="W1763" s="6">
        <f>IF(ISERROR(VLOOKUP($T$1763,'TAR FIN'!$A$1:$O$104,15,0)),0,VLOOKUP($T$1763,'TAR FIN'!$A$1:$O$104,15,0))</f>
        <v>300.26</v>
      </c>
      <c r="X1763" s="6">
        <f>IF(ISERROR(VLOOKUP($U$1763,'TAR FIN'!$A$1:$O$104,15,0)),0,VLOOKUP($U$1763,'TAR FIN'!$A$1:$O$104,15,0))</f>
        <v>225.04</v>
      </c>
      <c r="Y1763" s="6"/>
      <c r="Z1763" s="6">
        <f ca="1">('TUSD BE'!$AM$47+'TUSD BF'!$AM$47+'TUSD CVA'!$AM$47)*(1-CUSTOS!$M$38)</f>
        <v>335.21342816228281</v>
      </c>
      <c r="AA1763" s="6">
        <f>('TE BE'!$AB$26+'TE BF'!$AB$26+'TE CVA'!$AB$26)*(1-CUSTOS!$M$38)</f>
        <v>227.92247399192311</v>
      </c>
      <c r="AB1763" s="6">
        <f>$K$1763*$V$1763</f>
        <v>0</v>
      </c>
      <c r="AC1763" s="6">
        <f>$M$1763*$W$1763</f>
        <v>-20968.657099999997</v>
      </c>
      <c r="AD1763" s="6">
        <f>$O$1763*$X$1763</f>
        <v>-15715.668399999999</v>
      </c>
      <c r="AE1763" s="6">
        <f>$K$1763*$Y$1763</f>
        <v>0</v>
      </c>
      <c r="AF1763" s="6">
        <f ca="1">$M$1763*$Z$1763</f>
        <v>-23409.629755713016</v>
      </c>
      <c r="AG1763" s="6">
        <f>$O$1763*$AA$1763</f>
        <v>-15916.965971225949</v>
      </c>
    </row>
    <row r="1764" spans="1:33" ht="11.25" customHeight="1" x14ac:dyDescent="0.25">
      <c r="A1764" s="4" t="s">
        <v>28</v>
      </c>
      <c r="B1764" s="4" t="s">
        <v>44</v>
      </c>
      <c r="C1764" s="4" t="s">
        <v>23</v>
      </c>
      <c r="D1764" s="4" t="s">
        <v>45</v>
      </c>
      <c r="E1764" s="4" t="s">
        <v>53</v>
      </c>
      <c r="F1764" s="4" t="s">
        <v>54</v>
      </c>
      <c r="G1764" s="4" t="s">
        <v>25</v>
      </c>
      <c r="H1764" s="4" t="s">
        <v>25</v>
      </c>
      <c r="I1764" s="5">
        <v>44440</v>
      </c>
      <c r="J1764" s="6">
        <v>0</v>
      </c>
      <c r="K1764" s="6">
        <v>0</v>
      </c>
      <c r="L1764" s="6">
        <v>57.8</v>
      </c>
      <c r="M1764" s="6">
        <v>57.8</v>
      </c>
      <c r="N1764" s="6">
        <v>57.8</v>
      </c>
      <c r="O1764" s="6">
        <v>57.8</v>
      </c>
      <c r="P1764" s="6">
        <v>0</v>
      </c>
      <c r="Q1764" s="4" t="s">
        <v>26</v>
      </c>
      <c r="R1764" s="4">
        <v>0</v>
      </c>
      <c r="S1764" s="6">
        <v>0</v>
      </c>
      <c r="T1764" s="6">
        <v>27</v>
      </c>
      <c r="U1764" s="6">
        <v>85</v>
      </c>
      <c r="V1764" s="6">
        <f>IF(ISERROR(VLOOKUP($S$1764,'TAR FIN'!$A$1:$O$104,15,0)),0,VLOOKUP($S$1764,'TAR FIN'!$A$1:$O$104,15,0))</f>
        <v>0</v>
      </c>
      <c r="W1764" s="6">
        <f>IF(ISERROR(VLOOKUP($T$1764,'TAR FIN'!$A$1:$O$104,15,0)),0,VLOOKUP($T$1764,'TAR FIN'!$A$1:$O$104,15,0))</f>
        <v>300.26</v>
      </c>
      <c r="X1764" s="6">
        <f>IF(ISERROR(VLOOKUP($U$1764,'TAR FIN'!$A$1:$O$104,15,0)),0,VLOOKUP($U$1764,'TAR FIN'!$A$1:$O$104,15,0))</f>
        <v>225.04</v>
      </c>
      <c r="Y1764" s="6"/>
      <c r="Z1764" s="6">
        <f ca="1">('TUSD BE'!$AM$47+'TUSD BF'!$AM$47+'TUSD CVA'!$AM$47)*(1-CUSTOS!$M$38)</f>
        <v>335.21342816228281</v>
      </c>
      <c r="AA1764" s="6">
        <f>('TE BE'!$AB$26+'TE BF'!$AB$26+'TE CVA'!$AB$26)*(1-CUSTOS!$M$38)</f>
        <v>227.92247399192311</v>
      </c>
      <c r="AB1764" s="6">
        <f>$K$1764*$V$1764</f>
        <v>0</v>
      </c>
      <c r="AC1764" s="6">
        <f>$M$1764*$W$1764</f>
        <v>17355.027999999998</v>
      </c>
      <c r="AD1764" s="6">
        <f>$O$1764*$X$1764</f>
        <v>13007.311999999998</v>
      </c>
      <c r="AE1764" s="6">
        <f>$K$1764*$Y$1764</f>
        <v>0</v>
      </c>
      <c r="AF1764" s="6">
        <f ca="1">$M$1764*$Z$1764</f>
        <v>19375.336147779944</v>
      </c>
      <c r="AG1764" s="6">
        <f>$O$1764*$AA$1764</f>
        <v>13173.918996733155</v>
      </c>
    </row>
    <row r="1765" spans="1:33" ht="11.25" customHeight="1" x14ac:dyDescent="0.25">
      <c r="A1765" s="4" t="s">
        <v>21</v>
      </c>
      <c r="B1765" s="4" t="s">
        <v>44</v>
      </c>
      <c r="C1765" s="4" t="s">
        <v>23</v>
      </c>
      <c r="D1765" s="4" t="s">
        <v>45</v>
      </c>
      <c r="E1765" s="4" t="s">
        <v>53</v>
      </c>
      <c r="F1765" s="4" t="s">
        <v>54</v>
      </c>
      <c r="G1765" s="4" t="s">
        <v>25</v>
      </c>
      <c r="H1765" s="4" t="s">
        <v>25</v>
      </c>
      <c r="I1765" s="5">
        <v>44470</v>
      </c>
      <c r="J1765" s="6">
        <v>0</v>
      </c>
      <c r="K1765" s="6">
        <v>0</v>
      </c>
      <c r="L1765" s="6">
        <v>3010.81</v>
      </c>
      <c r="M1765" s="6">
        <v>3010.81</v>
      </c>
      <c r="N1765" s="6">
        <v>3010.81</v>
      </c>
      <c r="O1765" s="6">
        <v>3010.81</v>
      </c>
      <c r="P1765" s="6">
        <v>0</v>
      </c>
      <c r="Q1765" s="4" t="s">
        <v>26</v>
      </c>
      <c r="R1765" s="4">
        <v>0</v>
      </c>
      <c r="S1765" s="6">
        <v>0</v>
      </c>
      <c r="T1765" s="6">
        <v>27</v>
      </c>
      <c r="U1765" s="6">
        <v>85</v>
      </c>
      <c r="V1765" s="6">
        <f>IF(ISERROR(VLOOKUP($S$1765,'TAR FIN'!$A$1:$O$104,15,0)),0,VLOOKUP($S$1765,'TAR FIN'!$A$1:$O$104,15,0))</f>
        <v>0</v>
      </c>
      <c r="W1765" s="6">
        <f>IF(ISERROR(VLOOKUP($T$1765,'TAR FIN'!$A$1:$O$104,15,0)),0,VLOOKUP($T$1765,'TAR FIN'!$A$1:$O$104,15,0))</f>
        <v>300.26</v>
      </c>
      <c r="X1765" s="6">
        <f>IF(ISERROR(VLOOKUP($U$1765,'TAR FIN'!$A$1:$O$104,15,0)),0,VLOOKUP($U$1765,'TAR FIN'!$A$1:$O$104,15,0))</f>
        <v>225.04</v>
      </c>
      <c r="Y1765" s="6"/>
      <c r="Z1765" s="6">
        <f ca="1">('TUSD BE'!$AM$47+'TUSD BF'!$AM$47+'TUSD CVA'!$AM$47)*(1-CUSTOS!$M$38)</f>
        <v>335.21342816228281</v>
      </c>
      <c r="AA1765" s="6">
        <f>('TE BE'!$AB$26+'TE BF'!$AB$26+'TE CVA'!$AB$26)*(1-CUSTOS!$M$38)</f>
        <v>227.92247399192311</v>
      </c>
      <c r="AB1765" s="6">
        <f>$K$1765*$V$1765</f>
        <v>0</v>
      </c>
      <c r="AC1765" s="6">
        <f>$M$1765*$W$1765</f>
        <v>904025.81059999997</v>
      </c>
      <c r="AD1765" s="6">
        <f>$O$1765*$X$1765</f>
        <v>677552.68239999993</v>
      </c>
      <c r="AE1765" s="6">
        <f>$K$1765*$Y$1765</f>
        <v>0</v>
      </c>
      <c r="AF1765" s="6">
        <f ca="1">$M$1765*$Z$1765</f>
        <v>1009263.9416452827</v>
      </c>
      <c r="AG1765" s="6">
        <f>$O$1765*$AA$1765</f>
        <v>686231.26391962206</v>
      </c>
    </row>
    <row r="1766" spans="1:33" ht="11.25" customHeight="1" x14ac:dyDescent="0.25">
      <c r="A1766" s="4" t="s">
        <v>27</v>
      </c>
      <c r="B1766" s="4" t="s">
        <v>44</v>
      </c>
      <c r="C1766" s="4" t="s">
        <v>23</v>
      </c>
      <c r="D1766" s="4" t="s">
        <v>45</v>
      </c>
      <c r="E1766" s="4" t="s">
        <v>53</v>
      </c>
      <c r="F1766" s="4" t="s">
        <v>54</v>
      </c>
      <c r="G1766" s="4" t="s">
        <v>25</v>
      </c>
      <c r="H1766" s="4" t="s">
        <v>25</v>
      </c>
      <c r="I1766" s="5">
        <v>44470</v>
      </c>
      <c r="J1766" s="6">
        <v>0</v>
      </c>
      <c r="K1766" s="6">
        <v>0</v>
      </c>
      <c r="L1766" s="6">
        <v>-160.626</v>
      </c>
      <c r="M1766" s="6">
        <v>-160.626</v>
      </c>
      <c r="N1766" s="6">
        <v>-160.626</v>
      </c>
      <c r="O1766" s="6">
        <v>-160.626</v>
      </c>
      <c r="P1766" s="6">
        <v>0</v>
      </c>
      <c r="Q1766" s="4" t="s">
        <v>26</v>
      </c>
      <c r="R1766" s="4">
        <v>0</v>
      </c>
      <c r="S1766" s="6">
        <v>0</v>
      </c>
      <c r="T1766" s="6">
        <v>27</v>
      </c>
      <c r="U1766" s="6">
        <v>85</v>
      </c>
      <c r="V1766" s="6">
        <f>IF(ISERROR(VLOOKUP($S$1766,'TAR FIN'!$A$1:$O$104,15,0)),0,VLOOKUP($S$1766,'TAR FIN'!$A$1:$O$104,15,0))</f>
        <v>0</v>
      </c>
      <c r="W1766" s="6">
        <f>IF(ISERROR(VLOOKUP($T$1766,'TAR FIN'!$A$1:$O$104,15,0)),0,VLOOKUP($T$1766,'TAR FIN'!$A$1:$O$104,15,0))</f>
        <v>300.26</v>
      </c>
      <c r="X1766" s="6">
        <f>IF(ISERROR(VLOOKUP($U$1766,'TAR FIN'!$A$1:$O$104,15,0)),0,VLOOKUP($U$1766,'TAR FIN'!$A$1:$O$104,15,0))</f>
        <v>225.04</v>
      </c>
      <c r="Y1766" s="6"/>
      <c r="Z1766" s="6">
        <f ca="1">('TUSD BE'!$AM$47+'TUSD BF'!$AM$47+'TUSD CVA'!$AM$47)*(1-CUSTOS!$M$38)</f>
        <v>335.21342816228281</v>
      </c>
      <c r="AA1766" s="6">
        <f>('TE BE'!$AB$26+'TE BF'!$AB$26+'TE CVA'!$AB$26)*(1-CUSTOS!$M$38)</f>
        <v>227.92247399192311</v>
      </c>
      <c r="AB1766" s="6">
        <f>$K$1766*$V$1766</f>
        <v>0</v>
      </c>
      <c r="AC1766" s="6">
        <f>$M$1766*$W$1766</f>
        <v>-48229.562760000001</v>
      </c>
      <c r="AD1766" s="6">
        <f>$O$1766*$X$1766</f>
        <v>-36147.27504</v>
      </c>
      <c r="AE1766" s="6">
        <f>$K$1766*$Y$1766</f>
        <v>0</v>
      </c>
      <c r="AF1766" s="6">
        <f ca="1">$M$1766*$Z$1766</f>
        <v>-53843.992111994841</v>
      </c>
      <c r="AG1766" s="6">
        <f>$O$1766*$AA$1766</f>
        <v>-36610.275307426644</v>
      </c>
    </row>
    <row r="1767" spans="1:33" ht="11.25" customHeight="1" x14ac:dyDescent="0.25">
      <c r="A1767" s="4" t="s">
        <v>28</v>
      </c>
      <c r="B1767" s="4" t="s">
        <v>44</v>
      </c>
      <c r="C1767" s="4" t="s">
        <v>23</v>
      </c>
      <c r="D1767" s="4" t="s">
        <v>45</v>
      </c>
      <c r="E1767" s="4" t="s">
        <v>53</v>
      </c>
      <c r="F1767" s="4" t="s">
        <v>54</v>
      </c>
      <c r="G1767" s="4" t="s">
        <v>25</v>
      </c>
      <c r="H1767" s="4" t="s">
        <v>25</v>
      </c>
      <c r="I1767" s="5">
        <v>44470</v>
      </c>
      <c r="J1767" s="6">
        <v>0</v>
      </c>
      <c r="K1767" s="6">
        <v>0</v>
      </c>
      <c r="L1767" s="6">
        <v>80.421999999999997</v>
      </c>
      <c r="M1767" s="6">
        <v>80.421999999999997</v>
      </c>
      <c r="N1767" s="6">
        <v>80.421999999999997</v>
      </c>
      <c r="O1767" s="6">
        <v>80.421999999999997</v>
      </c>
      <c r="P1767" s="6">
        <v>0</v>
      </c>
      <c r="Q1767" s="4" t="s">
        <v>26</v>
      </c>
      <c r="R1767" s="4">
        <v>0</v>
      </c>
      <c r="S1767" s="6">
        <v>0</v>
      </c>
      <c r="T1767" s="6">
        <v>27</v>
      </c>
      <c r="U1767" s="6">
        <v>85</v>
      </c>
      <c r="V1767" s="6">
        <f>IF(ISERROR(VLOOKUP($S$1767,'TAR FIN'!$A$1:$O$104,15,0)),0,VLOOKUP($S$1767,'TAR FIN'!$A$1:$O$104,15,0))</f>
        <v>0</v>
      </c>
      <c r="W1767" s="6">
        <f>IF(ISERROR(VLOOKUP($T$1767,'TAR FIN'!$A$1:$O$104,15,0)),0,VLOOKUP($T$1767,'TAR FIN'!$A$1:$O$104,15,0))</f>
        <v>300.26</v>
      </c>
      <c r="X1767" s="6">
        <f>IF(ISERROR(VLOOKUP($U$1767,'TAR FIN'!$A$1:$O$104,15,0)),0,VLOOKUP($U$1767,'TAR FIN'!$A$1:$O$104,15,0))</f>
        <v>225.04</v>
      </c>
      <c r="Y1767" s="6"/>
      <c r="Z1767" s="6">
        <f ca="1">('TUSD BE'!$AM$47+'TUSD BF'!$AM$47+'TUSD CVA'!$AM$47)*(1-CUSTOS!$M$38)</f>
        <v>335.21342816228281</v>
      </c>
      <c r="AA1767" s="6">
        <f>('TE BE'!$AB$26+'TE BF'!$AB$26+'TE CVA'!$AB$26)*(1-CUSTOS!$M$38)</f>
        <v>227.92247399192311</v>
      </c>
      <c r="AB1767" s="6">
        <f>$K$1767*$V$1767</f>
        <v>0</v>
      </c>
      <c r="AC1767" s="6">
        <f>$M$1767*$W$1767</f>
        <v>24147.509719999998</v>
      </c>
      <c r="AD1767" s="6">
        <f>$O$1767*$X$1767</f>
        <v>18098.166879999997</v>
      </c>
      <c r="AE1767" s="6">
        <f>$K$1767*$Y$1767</f>
        <v>0</v>
      </c>
      <c r="AF1767" s="6">
        <f ca="1">$M$1767*$Z$1767</f>
        <v>26958.534319667106</v>
      </c>
      <c r="AG1767" s="6">
        <f>$O$1767*$AA$1767</f>
        <v>18329.98120337844</v>
      </c>
    </row>
    <row r="1768" spans="1:33" ht="11.25" customHeight="1" x14ac:dyDescent="0.25">
      <c r="A1768" s="4" t="s">
        <v>21</v>
      </c>
      <c r="B1768" s="4" t="s">
        <v>44</v>
      </c>
      <c r="C1768" s="4" t="s">
        <v>23</v>
      </c>
      <c r="D1768" s="4" t="s">
        <v>45</v>
      </c>
      <c r="E1768" s="4" t="s">
        <v>53</v>
      </c>
      <c r="F1768" s="4" t="s">
        <v>54</v>
      </c>
      <c r="G1768" s="4" t="s">
        <v>25</v>
      </c>
      <c r="H1768" s="4" t="s">
        <v>25</v>
      </c>
      <c r="I1768" s="5">
        <v>44501</v>
      </c>
      <c r="J1768" s="6">
        <v>0</v>
      </c>
      <c r="K1768" s="6">
        <v>0</v>
      </c>
      <c r="L1768" s="6">
        <v>3123.9059999999999</v>
      </c>
      <c r="M1768" s="6">
        <v>3123.9059999999999</v>
      </c>
      <c r="N1768" s="6">
        <v>3123.9059999999999</v>
      </c>
      <c r="O1768" s="6">
        <v>3123.9059999999999</v>
      </c>
      <c r="P1768" s="6">
        <v>0</v>
      </c>
      <c r="Q1768" s="4" t="s">
        <v>26</v>
      </c>
      <c r="R1768" s="4">
        <v>0</v>
      </c>
      <c r="S1768" s="6">
        <v>0</v>
      </c>
      <c r="T1768" s="6">
        <v>27</v>
      </c>
      <c r="U1768" s="6">
        <v>85</v>
      </c>
      <c r="V1768" s="6">
        <f>IF(ISERROR(VLOOKUP($S$1768,'TAR FIN'!$A$1:$O$104,15,0)),0,VLOOKUP($S$1768,'TAR FIN'!$A$1:$O$104,15,0))</f>
        <v>0</v>
      </c>
      <c r="W1768" s="6">
        <f>IF(ISERROR(VLOOKUP($T$1768,'TAR FIN'!$A$1:$O$104,15,0)),0,VLOOKUP($T$1768,'TAR FIN'!$A$1:$O$104,15,0))</f>
        <v>300.26</v>
      </c>
      <c r="X1768" s="6">
        <f>IF(ISERROR(VLOOKUP($U$1768,'TAR FIN'!$A$1:$O$104,15,0)),0,VLOOKUP($U$1768,'TAR FIN'!$A$1:$O$104,15,0))</f>
        <v>225.04</v>
      </c>
      <c r="Y1768" s="6"/>
      <c r="Z1768" s="6">
        <f ca="1">('TUSD BE'!$AM$47+'TUSD BF'!$AM$47+'TUSD CVA'!$AM$47)*(1-CUSTOS!$M$38)</f>
        <v>335.21342816228281</v>
      </c>
      <c r="AA1768" s="6">
        <f>('TE BE'!$AB$26+'TE BF'!$AB$26+'TE CVA'!$AB$26)*(1-CUSTOS!$M$38)</f>
        <v>227.92247399192311</v>
      </c>
      <c r="AB1768" s="6">
        <f>$K$1768*$V$1768</f>
        <v>0</v>
      </c>
      <c r="AC1768" s="6">
        <f>$M$1768*$W$1768</f>
        <v>937984.01555999997</v>
      </c>
      <c r="AD1768" s="6">
        <f>$O$1768*$X$1768</f>
        <v>703003.80623999995</v>
      </c>
      <c r="AE1768" s="6">
        <f>$K$1768*$Y$1768</f>
        <v>0</v>
      </c>
      <c r="AF1768" s="6">
        <f ca="1">$M$1768*$Z$1768</f>
        <v>1047175.2395167243</v>
      </c>
      <c r="AG1768" s="6">
        <f>$O$1768*$AA$1768</f>
        <v>712008.38403821259</v>
      </c>
    </row>
    <row r="1769" spans="1:33" ht="11.25" customHeight="1" x14ac:dyDescent="0.25">
      <c r="A1769" s="4" t="s">
        <v>27</v>
      </c>
      <c r="B1769" s="4" t="s">
        <v>44</v>
      </c>
      <c r="C1769" s="4" t="s">
        <v>23</v>
      </c>
      <c r="D1769" s="4" t="s">
        <v>45</v>
      </c>
      <c r="E1769" s="4" t="s">
        <v>53</v>
      </c>
      <c r="F1769" s="4" t="s">
        <v>54</v>
      </c>
      <c r="G1769" s="4" t="s">
        <v>25</v>
      </c>
      <c r="H1769" s="4" t="s">
        <v>25</v>
      </c>
      <c r="I1769" s="5">
        <v>44501</v>
      </c>
      <c r="J1769" s="6">
        <v>0</v>
      </c>
      <c r="K1769" s="6">
        <v>0</v>
      </c>
      <c r="L1769" s="6">
        <v>-52.665999999999997</v>
      </c>
      <c r="M1769" s="6">
        <v>-52.665999999999997</v>
      </c>
      <c r="N1769" s="6">
        <v>-52.665999999999997</v>
      </c>
      <c r="O1769" s="6">
        <v>-52.665999999999997</v>
      </c>
      <c r="P1769" s="6">
        <v>0</v>
      </c>
      <c r="Q1769" s="4" t="s">
        <v>26</v>
      </c>
      <c r="R1769" s="4">
        <v>0</v>
      </c>
      <c r="S1769" s="6">
        <v>0</v>
      </c>
      <c r="T1769" s="6">
        <v>27</v>
      </c>
      <c r="U1769" s="6">
        <v>85</v>
      </c>
      <c r="V1769" s="6">
        <f>IF(ISERROR(VLOOKUP($S$1769,'TAR FIN'!$A$1:$O$104,15,0)),0,VLOOKUP($S$1769,'TAR FIN'!$A$1:$O$104,15,0))</f>
        <v>0</v>
      </c>
      <c r="W1769" s="6">
        <f>IF(ISERROR(VLOOKUP($T$1769,'TAR FIN'!$A$1:$O$104,15,0)),0,VLOOKUP($T$1769,'TAR FIN'!$A$1:$O$104,15,0))</f>
        <v>300.26</v>
      </c>
      <c r="X1769" s="6">
        <f>IF(ISERROR(VLOOKUP($U$1769,'TAR FIN'!$A$1:$O$104,15,0)),0,VLOOKUP($U$1769,'TAR FIN'!$A$1:$O$104,15,0))</f>
        <v>225.04</v>
      </c>
      <c r="Y1769" s="6"/>
      <c r="Z1769" s="6">
        <f ca="1">('TUSD BE'!$AM$47+'TUSD BF'!$AM$47+'TUSD CVA'!$AM$47)*(1-CUSTOS!$M$38)</f>
        <v>335.21342816228281</v>
      </c>
      <c r="AA1769" s="6">
        <f>('TE BE'!$AB$26+'TE BF'!$AB$26+'TE CVA'!$AB$26)*(1-CUSTOS!$M$38)</f>
        <v>227.92247399192311</v>
      </c>
      <c r="AB1769" s="6">
        <f>$K$1769*$V$1769</f>
        <v>0</v>
      </c>
      <c r="AC1769" s="6">
        <f>$M$1769*$W$1769</f>
        <v>-15813.493159999998</v>
      </c>
      <c r="AD1769" s="6">
        <f>$O$1769*$X$1769</f>
        <v>-11851.956639999999</v>
      </c>
      <c r="AE1769" s="6">
        <f>$K$1769*$Y$1769</f>
        <v>0</v>
      </c>
      <c r="AF1769" s="6">
        <f ca="1">$M$1769*$Z$1769</f>
        <v>-17654.350407594786</v>
      </c>
      <c r="AG1769" s="6">
        <f>$O$1769*$AA$1769</f>
        <v>-12003.765015258621</v>
      </c>
    </row>
    <row r="1770" spans="1:33" ht="11.25" customHeight="1" x14ac:dyDescent="0.25">
      <c r="A1770" s="4" t="s">
        <v>28</v>
      </c>
      <c r="B1770" s="4" t="s">
        <v>44</v>
      </c>
      <c r="C1770" s="4" t="s">
        <v>23</v>
      </c>
      <c r="D1770" s="4" t="s">
        <v>45</v>
      </c>
      <c r="E1770" s="4" t="s">
        <v>53</v>
      </c>
      <c r="F1770" s="4" t="s">
        <v>54</v>
      </c>
      <c r="G1770" s="4" t="s">
        <v>25</v>
      </c>
      <c r="H1770" s="4" t="s">
        <v>25</v>
      </c>
      <c r="I1770" s="5">
        <v>44501</v>
      </c>
      <c r="J1770" s="6">
        <v>0</v>
      </c>
      <c r="K1770" s="6">
        <v>0</v>
      </c>
      <c r="L1770" s="6">
        <v>112.06699999999999</v>
      </c>
      <c r="M1770" s="6">
        <v>112.06699999999999</v>
      </c>
      <c r="N1770" s="6">
        <v>112.06699999999999</v>
      </c>
      <c r="O1770" s="6">
        <v>112.06699999999999</v>
      </c>
      <c r="P1770" s="6">
        <v>0</v>
      </c>
      <c r="Q1770" s="4" t="s">
        <v>26</v>
      </c>
      <c r="R1770" s="4">
        <v>0</v>
      </c>
      <c r="S1770" s="6">
        <v>0</v>
      </c>
      <c r="T1770" s="6">
        <v>27</v>
      </c>
      <c r="U1770" s="6">
        <v>85</v>
      </c>
      <c r="V1770" s="6">
        <f>IF(ISERROR(VLOOKUP($S$1770,'TAR FIN'!$A$1:$O$104,15,0)),0,VLOOKUP($S$1770,'TAR FIN'!$A$1:$O$104,15,0))</f>
        <v>0</v>
      </c>
      <c r="W1770" s="6">
        <f>IF(ISERROR(VLOOKUP($T$1770,'TAR FIN'!$A$1:$O$104,15,0)),0,VLOOKUP($T$1770,'TAR FIN'!$A$1:$O$104,15,0))</f>
        <v>300.26</v>
      </c>
      <c r="X1770" s="6">
        <f>IF(ISERROR(VLOOKUP($U$1770,'TAR FIN'!$A$1:$O$104,15,0)),0,VLOOKUP($U$1770,'TAR FIN'!$A$1:$O$104,15,0))</f>
        <v>225.04</v>
      </c>
      <c r="Y1770" s="6"/>
      <c r="Z1770" s="6">
        <f ca="1">('TUSD BE'!$AM$47+'TUSD BF'!$AM$47+'TUSD CVA'!$AM$47)*(1-CUSTOS!$M$38)</f>
        <v>335.21342816228281</v>
      </c>
      <c r="AA1770" s="6">
        <f>('TE BE'!$AB$26+'TE BF'!$AB$26+'TE CVA'!$AB$26)*(1-CUSTOS!$M$38)</f>
        <v>227.92247399192311</v>
      </c>
      <c r="AB1770" s="6">
        <f>$K$1770*$V$1770</f>
        <v>0</v>
      </c>
      <c r="AC1770" s="6">
        <f>$M$1770*$W$1770</f>
        <v>33649.237419999998</v>
      </c>
      <c r="AD1770" s="6">
        <f>$O$1770*$X$1770</f>
        <v>25219.557679999998</v>
      </c>
      <c r="AE1770" s="6">
        <f>$K$1770*$Y$1770</f>
        <v>0</v>
      </c>
      <c r="AF1770" s="6">
        <f ca="1">$M$1770*$Z$1770</f>
        <v>37566.363253862546</v>
      </c>
      <c r="AG1770" s="6">
        <f>$O$1770*$AA$1770</f>
        <v>25542.587892852847</v>
      </c>
    </row>
    <row r="1771" spans="1:33" ht="11.25" customHeight="1" x14ac:dyDescent="0.25">
      <c r="A1771" s="4" t="s">
        <v>21</v>
      </c>
      <c r="B1771" s="4" t="s">
        <v>44</v>
      </c>
      <c r="C1771" s="4" t="s">
        <v>23</v>
      </c>
      <c r="D1771" s="4" t="s">
        <v>45</v>
      </c>
      <c r="E1771" s="4" t="s">
        <v>53</v>
      </c>
      <c r="F1771" s="4" t="s">
        <v>54</v>
      </c>
      <c r="G1771" s="4" t="s">
        <v>25</v>
      </c>
      <c r="H1771" s="4" t="s">
        <v>25</v>
      </c>
      <c r="I1771" s="5">
        <v>44531</v>
      </c>
      <c r="J1771" s="6">
        <v>0</v>
      </c>
      <c r="K1771" s="6">
        <v>0</v>
      </c>
      <c r="L1771" s="6">
        <v>3471.3240000000001</v>
      </c>
      <c r="M1771" s="6">
        <v>3471.3240000000001</v>
      </c>
      <c r="N1771" s="6">
        <v>3471.3240000000001</v>
      </c>
      <c r="O1771" s="6">
        <v>3471.3240000000001</v>
      </c>
      <c r="P1771" s="6">
        <v>0</v>
      </c>
      <c r="Q1771" s="4" t="s">
        <v>26</v>
      </c>
      <c r="R1771" s="4">
        <v>0</v>
      </c>
      <c r="S1771" s="6">
        <v>0</v>
      </c>
      <c r="T1771" s="6">
        <v>27</v>
      </c>
      <c r="U1771" s="6">
        <v>85</v>
      </c>
      <c r="V1771" s="6">
        <f>IF(ISERROR(VLOOKUP($S$1771,'TAR FIN'!$A$1:$O$104,15,0)),0,VLOOKUP($S$1771,'TAR FIN'!$A$1:$O$104,15,0))</f>
        <v>0</v>
      </c>
      <c r="W1771" s="6">
        <f>IF(ISERROR(VLOOKUP($T$1771,'TAR FIN'!$A$1:$O$104,15,0)),0,VLOOKUP($T$1771,'TAR FIN'!$A$1:$O$104,15,0))</f>
        <v>300.26</v>
      </c>
      <c r="X1771" s="6">
        <f>IF(ISERROR(VLOOKUP($U$1771,'TAR FIN'!$A$1:$O$104,15,0)),0,VLOOKUP($U$1771,'TAR FIN'!$A$1:$O$104,15,0))</f>
        <v>225.04</v>
      </c>
      <c r="Y1771" s="6"/>
      <c r="Z1771" s="6">
        <f ca="1">('TUSD BE'!$AM$47+'TUSD BF'!$AM$47+'TUSD CVA'!$AM$47)*(1-CUSTOS!$M$38)</f>
        <v>335.21342816228281</v>
      </c>
      <c r="AA1771" s="6">
        <f>('TE BE'!$AB$26+'TE BF'!$AB$26+'TE CVA'!$AB$26)*(1-CUSTOS!$M$38)</f>
        <v>227.92247399192311</v>
      </c>
      <c r="AB1771" s="6">
        <f>$K$1771*$V$1771</f>
        <v>0</v>
      </c>
      <c r="AC1771" s="6">
        <f>$M$1771*$W$1771</f>
        <v>1042299.74424</v>
      </c>
      <c r="AD1771" s="6">
        <f>$O$1771*$X$1771</f>
        <v>781186.75295999995</v>
      </c>
      <c r="AE1771" s="6">
        <f>$K$1771*$Y$1771</f>
        <v>0</v>
      </c>
      <c r="AF1771" s="6">
        <f ca="1">$M$1771*$Z$1771</f>
        <v>1163634.4183020082</v>
      </c>
      <c r="AG1771" s="6">
        <f>$O$1771*$AA$1771</f>
        <v>791192.75410753849</v>
      </c>
    </row>
    <row r="1772" spans="1:33" ht="11.25" customHeight="1" x14ac:dyDescent="0.25">
      <c r="A1772" s="4" t="s">
        <v>27</v>
      </c>
      <c r="B1772" s="4" t="s">
        <v>44</v>
      </c>
      <c r="C1772" s="4" t="s">
        <v>23</v>
      </c>
      <c r="D1772" s="4" t="s">
        <v>45</v>
      </c>
      <c r="E1772" s="4" t="s">
        <v>53</v>
      </c>
      <c r="F1772" s="4" t="s">
        <v>54</v>
      </c>
      <c r="G1772" s="4" t="s">
        <v>25</v>
      </c>
      <c r="H1772" s="4" t="s">
        <v>25</v>
      </c>
      <c r="I1772" s="5">
        <v>44531</v>
      </c>
      <c r="J1772" s="6">
        <v>0</v>
      </c>
      <c r="K1772" s="6">
        <v>0</v>
      </c>
      <c r="L1772" s="6">
        <v>-107.721</v>
      </c>
      <c r="M1772" s="6">
        <v>-107.721</v>
      </c>
      <c r="N1772" s="6">
        <v>-107.721</v>
      </c>
      <c r="O1772" s="6">
        <v>-107.721</v>
      </c>
      <c r="P1772" s="6">
        <v>0</v>
      </c>
      <c r="Q1772" s="4" t="s">
        <v>26</v>
      </c>
      <c r="R1772" s="4">
        <v>0</v>
      </c>
      <c r="S1772" s="6">
        <v>0</v>
      </c>
      <c r="T1772" s="6">
        <v>27</v>
      </c>
      <c r="U1772" s="6">
        <v>85</v>
      </c>
      <c r="V1772" s="6">
        <f>IF(ISERROR(VLOOKUP($S$1772,'TAR FIN'!$A$1:$O$104,15,0)),0,VLOOKUP($S$1772,'TAR FIN'!$A$1:$O$104,15,0))</f>
        <v>0</v>
      </c>
      <c r="W1772" s="6">
        <f>IF(ISERROR(VLOOKUP($T$1772,'TAR FIN'!$A$1:$O$104,15,0)),0,VLOOKUP($T$1772,'TAR FIN'!$A$1:$O$104,15,0))</f>
        <v>300.26</v>
      </c>
      <c r="X1772" s="6">
        <f>IF(ISERROR(VLOOKUP($U$1772,'TAR FIN'!$A$1:$O$104,15,0)),0,VLOOKUP($U$1772,'TAR FIN'!$A$1:$O$104,15,0))</f>
        <v>225.04</v>
      </c>
      <c r="Y1772" s="6"/>
      <c r="Z1772" s="6">
        <f ca="1">('TUSD BE'!$AM$47+'TUSD BF'!$AM$47+'TUSD CVA'!$AM$47)*(1-CUSTOS!$M$38)</f>
        <v>335.21342816228281</v>
      </c>
      <c r="AA1772" s="6">
        <f>('TE BE'!$AB$26+'TE BF'!$AB$26+'TE CVA'!$AB$26)*(1-CUSTOS!$M$38)</f>
        <v>227.92247399192311</v>
      </c>
      <c r="AB1772" s="6">
        <f>$K$1772*$V$1772</f>
        <v>0</v>
      </c>
      <c r="AC1772" s="6">
        <f>$M$1772*$W$1772</f>
        <v>-32344.30746</v>
      </c>
      <c r="AD1772" s="6">
        <f>$O$1772*$X$1772</f>
        <v>-24241.53384</v>
      </c>
      <c r="AE1772" s="6">
        <f>$K$1772*$Y$1772</f>
        <v>0</v>
      </c>
      <c r="AF1772" s="6">
        <f ca="1">$M$1772*$Z$1772</f>
        <v>-36109.525695069271</v>
      </c>
      <c r="AG1772" s="6">
        <f>$O$1772*$AA$1772</f>
        <v>-24552.03682088395</v>
      </c>
    </row>
    <row r="1773" spans="1:33" ht="11.25" customHeight="1" x14ac:dyDescent="0.25">
      <c r="A1773" s="4" t="s">
        <v>28</v>
      </c>
      <c r="B1773" s="4" t="s">
        <v>44</v>
      </c>
      <c r="C1773" s="4" t="s">
        <v>23</v>
      </c>
      <c r="D1773" s="4" t="s">
        <v>45</v>
      </c>
      <c r="E1773" s="4" t="s">
        <v>53</v>
      </c>
      <c r="F1773" s="4" t="s">
        <v>54</v>
      </c>
      <c r="G1773" s="4" t="s">
        <v>25</v>
      </c>
      <c r="H1773" s="4" t="s">
        <v>25</v>
      </c>
      <c r="I1773" s="5">
        <v>44531</v>
      </c>
      <c r="J1773" s="6">
        <v>0</v>
      </c>
      <c r="K1773" s="6">
        <v>0</v>
      </c>
      <c r="L1773" s="6">
        <v>123.726</v>
      </c>
      <c r="M1773" s="6">
        <v>123.726</v>
      </c>
      <c r="N1773" s="6">
        <v>123.726</v>
      </c>
      <c r="O1773" s="6">
        <v>123.726</v>
      </c>
      <c r="P1773" s="6">
        <v>0</v>
      </c>
      <c r="Q1773" s="4" t="s">
        <v>26</v>
      </c>
      <c r="R1773" s="4">
        <v>0</v>
      </c>
      <c r="S1773" s="6">
        <v>0</v>
      </c>
      <c r="T1773" s="6">
        <v>27</v>
      </c>
      <c r="U1773" s="6">
        <v>85</v>
      </c>
      <c r="V1773" s="6">
        <f>IF(ISERROR(VLOOKUP($S$1773,'TAR FIN'!$A$1:$O$104,15,0)),0,VLOOKUP($S$1773,'TAR FIN'!$A$1:$O$104,15,0))</f>
        <v>0</v>
      </c>
      <c r="W1773" s="6">
        <f>IF(ISERROR(VLOOKUP($T$1773,'TAR FIN'!$A$1:$O$104,15,0)),0,VLOOKUP($T$1773,'TAR FIN'!$A$1:$O$104,15,0))</f>
        <v>300.26</v>
      </c>
      <c r="X1773" s="6">
        <f>IF(ISERROR(VLOOKUP($U$1773,'TAR FIN'!$A$1:$O$104,15,0)),0,VLOOKUP($U$1773,'TAR FIN'!$A$1:$O$104,15,0))</f>
        <v>225.04</v>
      </c>
      <c r="Y1773" s="6"/>
      <c r="Z1773" s="6">
        <f ca="1">('TUSD BE'!$AM$47+'TUSD BF'!$AM$47+'TUSD CVA'!$AM$47)*(1-CUSTOS!$M$38)</f>
        <v>335.21342816228281</v>
      </c>
      <c r="AA1773" s="6">
        <f>('TE BE'!$AB$26+'TE BF'!$AB$26+'TE CVA'!$AB$26)*(1-CUSTOS!$M$38)</f>
        <v>227.92247399192311</v>
      </c>
      <c r="AB1773" s="6">
        <f>$K$1773*$V$1773</f>
        <v>0</v>
      </c>
      <c r="AC1773" s="6">
        <f>$M$1773*$W$1773</f>
        <v>37149.968759999996</v>
      </c>
      <c r="AD1773" s="6">
        <f>$O$1773*$X$1773</f>
        <v>27843.299039999998</v>
      </c>
      <c r="AE1773" s="6">
        <f>$K$1773*$Y$1773</f>
        <v>0</v>
      </c>
      <c r="AF1773" s="6">
        <f ca="1">$M$1773*$Z$1773</f>
        <v>41474.616612806603</v>
      </c>
      <c r="AG1773" s="6">
        <f>$O$1773*$AA$1773</f>
        <v>28199.936017124677</v>
      </c>
    </row>
    <row r="1774" spans="1:33" ht="11.25" customHeight="1" x14ac:dyDescent="0.25">
      <c r="A1774" s="4" t="s">
        <v>21</v>
      </c>
      <c r="B1774" s="4" t="s">
        <v>44</v>
      </c>
      <c r="C1774" s="4" t="s">
        <v>23</v>
      </c>
      <c r="D1774" s="4" t="s">
        <v>45</v>
      </c>
      <c r="E1774" s="4" t="s">
        <v>53</v>
      </c>
      <c r="F1774" s="4" t="s">
        <v>54</v>
      </c>
      <c r="G1774" s="4" t="s">
        <v>25</v>
      </c>
      <c r="H1774" s="4" t="s">
        <v>25</v>
      </c>
      <c r="I1774" s="5">
        <v>44562</v>
      </c>
      <c r="J1774" s="6">
        <v>0</v>
      </c>
      <c r="K1774" s="6">
        <v>0</v>
      </c>
      <c r="L1774" s="6">
        <v>2284.2489999999998</v>
      </c>
      <c r="M1774" s="6">
        <v>2284.2489999999998</v>
      </c>
      <c r="N1774" s="6">
        <v>2284.2489999999998</v>
      </c>
      <c r="O1774" s="6">
        <v>2284.2489999999998</v>
      </c>
      <c r="P1774" s="6">
        <v>0</v>
      </c>
      <c r="Q1774" s="4" t="s">
        <v>26</v>
      </c>
      <c r="R1774" s="4">
        <v>0</v>
      </c>
      <c r="S1774" s="6">
        <v>0</v>
      </c>
      <c r="T1774" s="6">
        <v>27</v>
      </c>
      <c r="U1774" s="6">
        <v>85</v>
      </c>
      <c r="V1774" s="6">
        <f>IF(ISERROR(VLOOKUP($S$1774,'TAR FIN'!$A$1:$O$104,15,0)),0,VLOOKUP($S$1774,'TAR FIN'!$A$1:$O$104,15,0))</f>
        <v>0</v>
      </c>
      <c r="W1774" s="6">
        <f>IF(ISERROR(VLOOKUP($T$1774,'TAR FIN'!$A$1:$O$104,15,0)),0,VLOOKUP($T$1774,'TAR FIN'!$A$1:$O$104,15,0))</f>
        <v>300.26</v>
      </c>
      <c r="X1774" s="6">
        <f>IF(ISERROR(VLOOKUP($U$1774,'TAR FIN'!$A$1:$O$104,15,0)),0,VLOOKUP($U$1774,'TAR FIN'!$A$1:$O$104,15,0))</f>
        <v>225.04</v>
      </c>
      <c r="Y1774" s="6"/>
      <c r="Z1774" s="6">
        <f ca="1">('TUSD BE'!$AM$47+'TUSD BF'!$AM$47+'TUSD CVA'!$AM$47)*(1-CUSTOS!$M$38)</f>
        <v>335.21342816228281</v>
      </c>
      <c r="AA1774" s="6">
        <f>('TE BE'!$AB$26+'TE BF'!$AB$26+'TE CVA'!$AB$26)*(1-CUSTOS!$M$38)</f>
        <v>227.92247399192311</v>
      </c>
      <c r="AB1774" s="6">
        <f>$K$1774*$V$1774</f>
        <v>0</v>
      </c>
      <c r="AC1774" s="6">
        <f>$M$1774*$W$1774</f>
        <v>685868.60473999986</v>
      </c>
      <c r="AD1774" s="6">
        <f>$O$1774*$X$1774</f>
        <v>514047.39495999995</v>
      </c>
      <c r="AE1774" s="6">
        <f>$K$1774*$Y$1774</f>
        <v>0</v>
      </c>
      <c r="AF1774" s="6">
        <f ca="1">$M$1774*$Z$1774</f>
        <v>765710.93806626624</v>
      </c>
      <c r="AG1774" s="6">
        <f>$O$1774*$AA$1774</f>
        <v>520631.68329357635</v>
      </c>
    </row>
    <row r="1775" spans="1:33" ht="11.25" customHeight="1" x14ac:dyDescent="0.25">
      <c r="A1775" s="4" t="s">
        <v>27</v>
      </c>
      <c r="B1775" s="4" t="s">
        <v>44</v>
      </c>
      <c r="C1775" s="4" t="s">
        <v>23</v>
      </c>
      <c r="D1775" s="4" t="s">
        <v>45</v>
      </c>
      <c r="E1775" s="4" t="s">
        <v>53</v>
      </c>
      <c r="F1775" s="4" t="s">
        <v>54</v>
      </c>
      <c r="G1775" s="4" t="s">
        <v>25</v>
      </c>
      <c r="H1775" s="4" t="s">
        <v>25</v>
      </c>
      <c r="I1775" s="5">
        <v>44562</v>
      </c>
      <c r="J1775" s="6">
        <v>0</v>
      </c>
      <c r="K1775" s="6">
        <v>0</v>
      </c>
      <c r="L1775" s="6">
        <v>-27.282</v>
      </c>
      <c r="M1775" s="6">
        <v>-27.282</v>
      </c>
      <c r="N1775" s="6">
        <v>-27.282</v>
      </c>
      <c r="O1775" s="6">
        <v>-27.282</v>
      </c>
      <c r="P1775" s="6">
        <v>0</v>
      </c>
      <c r="Q1775" s="4" t="s">
        <v>26</v>
      </c>
      <c r="R1775" s="4">
        <v>0</v>
      </c>
      <c r="S1775" s="6">
        <v>0</v>
      </c>
      <c r="T1775" s="6">
        <v>27</v>
      </c>
      <c r="U1775" s="6">
        <v>85</v>
      </c>
      <c r="V1775" s="6">
        <f>IF(ISERROR(VLOOKUP($S$1775,'TAR FIN'!$A$1:$O$104,15,0)),0,VLOOKUP($S$1775,'TAR FIN'!$A$1:$O$104,15,0))</f>
        <v>0</v>
      </c>
      <c r="W1775" s="6">
        <f>IF(ISERROR(VLOOKUP($T$1775,'TAR FIN'!$A$1:$O$104,15,0)),0,VLOOKUP($T$1775,'TAR FIN'!$A$1:$O$104,15,0))</f>
        <v>300.26</v>
      </c>
      <c r="X1775" s="6">
        <f>IF(ISERROR(VLOOKUP($U$1775,'TAR FIN'!$A$1:$O$104,15,0)),0,VLOOKUP($U$1775,'TAR FIN'!$A$1:$O$104,15,0))</f>
        <v>225.04</v>
      </c>
      <c r="Y1775" s="6"/>
      <c r="Z1775" s="6">
        <f ca="1">('TUSD BE'!$AM$47+'TUSD BF'!$AM$47+'TUSD CVA'!$AM$47)*(1-CUSTOS!$M$38)</f>
        <v>335.21342816228281</v>
      </c>
      <c r="AA1775" s="6">
        <f>('TE BE'!$AB$26+'TE BF'!$AB$26+'TE CVA'!$AB$26)*(1-CUSTOS!$M$38)</f>
        <v>227.92247399192311</v>
      </c>
      <c r="AB1775" s="6">
        <f>$K$1775*$V$1775</f>
        <v>0</v>
      </c>
      <c r="AC1775" s="6">
        <f>$M$1775*$W$1775</f>
        <v>-8191.6933199999994</v>
      </c>
      <c r="AD1775" s="6">
        <f>$O$1775*$X$1775</f>
        <v>-6139.5412799999995</v>
      </c>
      <c r="AE1775" s="6">
        <f>$K$1775*$Y$1775</f>
        <v>0</v>
      </c>
      <c r="AF1775" s="6">
        <f ca="1">$M$1775*$Z$1775</f>
        <v>-9145.2927471233997</v>
      </c>
      <c r="AG1775" s="6">
        <f>$O$1775*$AA$1775</f>
        <v>-6218.1809354476463</v>
      </c>
    </row>
    <row r="1776" spans="1:33" ht="11.25" customHeight="1" x14ac:dyDescent="0.25">
      <c r="A1776" s="4" t="s">
        <v>28</v>
      </c>
      <c r="B1776" s="4" t="s">
        <v>44</v>
      </c>
      <c r="C1776" s="4" t="s">
        <v>23</v>
      </c>
      <c r="D1776" s="4" t="s">
        <v>45</v>
      </c>
      <c r="E1776" s="4" t="s">
        <v>53</v>
      </c>
      <c r="F1776" s="4" t="s">
        <v>54</v>
      </c>
      <c r="G1776" s="4" t="s">
        <v>25</v>
      </c>
      <c r="H1776" s="4" t="s">
        <v>25</v>
      </c>
      <c r="I1776" s="5">
        <v>44562</v>
      </c>
      <c r="J1776" s="6">
        <v>0</v>
      </c>
      <c r="K1776" s="6">
        <v>0</v>
      </c>
      <c r="L1776" s="6">
        <v>81.566000000000003</v>
      </c>
      <c r="M1776" s="6">
        <v>81.566000000000003</v>
      </c>
      <c r="N1776" s="6">
        <v>81.566000000000003</v>
      </c>
      <c r="O1776" s="6">
        <v>81.566000000000003</v>
      </c>
      <c r="P1776" s="6">
        <v>0</v>
      </c>
      <c r="Q1776" s="4" t="s">
        <v>26</v>
      </c>
      <c r="R1776" s="4">
        <v>0</v>
      </c>
      <c r="S1776" s="6">
        <v>0</v>
      </c>
      <c r="T1776" s="6">
        <v>27</v>
      </c>
      <c r="U1776" s="6">
        <v>85</v>
      </c>
      <c r="V1776" s="6">
        <f>IF(ISERROR(VLOOKUP($S$1776,'TAR FIN'!$A$1:$O$104,15,0)),0,VLOOKUP($S$1776,'TAR FIN'!$A$1:$O$104,15,0))</f>
        <v>0</v>
      </c>
      <c r="W1776" s="6">
        <f>IF(ISERROR(VLOOKUP($T$1776,'TAR FIN'!$A$1:$O$104,15,0)),0,VLOOKUP($T$1776,'TAR FIN'!$A$1:$O$104,15,0))</f>
        <v>300.26</v>
      </c>
      <c r="X1776" s="6">
        <f>IF(ISERROR(VLOOKUP($U$1776,'TAR FIN'!$A$1:$O$104,15,0)),0,VLOOKUP($U$1776,'TAR FIN'!$A$1:$O$104,15,0))</f>
        <v>225.04</v>
      </c>
      <c r="Y1776" s="6"/>
      <c r="Z1776" s="6">
        <f ca="1">('TUSD BE'!$AM$47+'TUSD BF'!$AM$47+'TUSD CVA'!$AM$47)*(1-CUSTOS!$M$38)</f>
        <v>335.21342816228281</v>
      </c>
      <c r="AA1776" s="6">
        <f>('TE BE'!$AB$26+'TE BF'!$AB$26+'TE CVA'!$AB$26)*(1-CUSTOS!$M$38)</f>
        <v>227.92247399192311</v>
      </c>
      <c r="AB1776" s="6">
        <f>$K$1776*$V$1776</f>
        <v>0</v>
      </c>
      <c r="AC1776" s="6">
        <f>$M$1776*$W$1776</f>
        <v>24491.007160000001</v>
      </c>
      <c r="AD1776" s="6">
        <f>$O$1776*$X$1776</f>
        <v>18355.612639999999</v>
      </c>
      <c r="AE1776" s="6">
        <f>$K$1776*$Y$1776</f>
        <v>0</v>
      </c>
      <c r="AF1776" s="6">
        <f ca="1">$M$1776*$Z$1776</f>
        <v>27342.01848148476</v>
      </c>
      <c r="AG1776" s="6">
        <f>$O$1776*$AA$1776</f>
        <v>18590.724513625202</v>
      </c>
    </row>
    <row r="1777" spans="1:33" ht="11.25" customHeight="1" x14ac:dyDescent="0.25">
      <c r="A1777" s="4" t="s">
        <v>21</v>
      </c>
      <c r="B1777" s="4" t="s">
        <v>44</v>
      </c>
      <c r="C1777" s="4" t="s">
        <v>23</v>
      </c>
      <c r="D1777" s="4" t="s">
        <v>45</v>
      </c>
      <c r="E1777" s="4" t="s">
        <v>53</v>
      </c>
      <c r="F1777" s="4" t="s">
        <v>54</v>
      </c>
      <c r="G1777" s="4" t="s">
        <v>25</v>
      </c>
      <c r="H1777" s="4" t="s">
        <v>25</v>
      </c>
      <c r="I1777" s="5">
        <v>44593</v>
      </c>
      <c r="J1777" s="6">
        <v>0</v>
      </c>
      <c r="K1777" s="6">
        <v>0</v>
      </c>
      <c r="L1777" s="6">
        <v>1871.96</v>
      </c>
      <c r="M1777" s="6">
        <v>1871.96</v>
      </c>
      <c r="N1777" s="6">
        <v>1871.96</v>
      </c>
      <c r="O1777" s="6">
        <v>1871.96</v>
      </c>
      <c r="P1777" s="6">
        <v>0</v>
      </c>
      <c r="Q1777" s="4" t="s">
        <v>26</v>
      </c>
      <c r="R1777" s="4">
        <v>0</v>
      </c>
      <c r="S1777" s="6">
        <v>0</v>
      </c>
      <c r="T1777" s="6">
        <v>27</v>
      </c>
      <c r="U1777" s="6">
        <v>85</v>
      </c>
      <c r="V1777" s="6">
        <f>IF(ISERROR(VLOOKUP($S$1777,'TAR FIN'!$A$1:$O$104,15,0)),0,VLOOKUP($S$1777,'TAR FIN'!$A$1:$O$104,15,0))</f>
        <v>0</v>
      </c>
      <c r="W1777" s="6">
        <f>IF(ISERROR(VLOOKUP($T$1777,'TAR FIN'!$A$1:$O$104,15,0)),0,VLOOKUP($T$1777,'TAR FIN'!$A$1:$O$104,15,0))</f>
        <v>300.26</v>
      </c>
      <c r="X1777" s="6">
        <f>IF(ISERROR(VLOOKUP($U$1777,'TAR FIN'!$A$1:$O$104,15,0)),0,VLOOKUP($U$1777,'TAR FIN'!$A$1:$O$104,15,0))</f>
        <v>225.04</v>
      </c>
      <c r="Y1777" s="6"/>
      <c r="Z1777" s="6">
        <f ca="1">('TUSD BE'!$AM$47+'TUSD BF'!$AM$47+'TUSD CVA'!$AM$47)*(1-CUSTOS!$M$38)</f>
        <v>335.21342816228281</v>
      </c>
      <c r="AA1777" s="6">
        <f>('TE BE'!$AB$26+'TE BF'!$AB$26+'TE CVA'!$AB$26)*(1-CUSTOS!$M$38)</f>
        <v>227.92247399192311</v>
      </c>
      <c r="AB1777" s="6">
        <f>$K$1777*$V$1777</f>
        <v>0</v>
      </c>
      <c r="AC1777" s="6">
        <f>$M$1777*$W$1777</f>
        <v>562074.70959999994</v>
      </c>
      <c r="AD1777" s="6">
        <f>$O$1777*$X$1777</f>
        <v>421265.87839999999</v>
      </c>
      <c r="AE1777" s="6">
        <f>$K$1777*$Y$1777</f>
        <v>0</v>
      </c>
      <c r="AF1777" s="6">
        <f ca="1">$M$1777*$Z$1777</f>
        <v>627506.128982667</v>
      </c>
      <c r="AG1777" s="6">
        <f>$O$1777*$AA$1777</f>
        <v>426661.7544139204</v>
      </c>
    </row>
    <row r="1778" spans="1:33" ht="11.25" customHeight="1" x14ac:dyDescent="0.25">
      <c r="A1778" s="4" t="s">
        <v>27</v>
      </c>
      <c r="B1778" s="4" t="s">
        <v>44</v>
      </c>
      <c r="C1778" s="4" t="s">
        <v>23</v>
      </c>
      <c r="D1778" s="4" t="s">
        <v>45</v>
      </c>
      <c r="E1778" s="4" t="s">
        <v>53</v>
      </c>
      <c r="F1778" s="4" t="s">
        <v>54</v>
      </c>
      <c r="G1778" s="4" t="s">
        <v>25</v>
      </c>
      <c r="H1778" s="4" t="s">
        <v>25</v>
      </c>
      <c r="I1778" s="5">
        <v>44593</v>
      </c>
      <c r="J1778" s="6">
        <v>0</v>
      </c>
      <c r="K1778" s="6">
        <v>0</v>
      </c>
      <c r="L1778" s="6">
        <v>-107.125</v>
      </c>
      <c r="M1778" s="6">
        <v>-107.125</v>
      </c>
      <c r="N1778" s="6">
        <v>-107.125</v>
      </c>
      <c r="O1778" s="6">
        <v>-107.125</v>
      </c>
      <c r="P1778" s="6">
        <v>0</v>
      </c>
      <c r="Q1778" s="4" t="s">
        <v>26</v>
      </c>
      <c r="R1778" s="4">
        <v>0</v>
      </c>
      <c r="S1778" s="6">
        <v>0</v>
      </c>
      <c r="T1778" s="6">
        <v>27</v>
      </c>
      <c r="U1778" s="6">
        <v>85</v>
      </c>
      <c r="V1778" s="6">
        <f>IF(ISERROR(VLOOKUP($S$1778,'TAR FIN'!$A$1:$O$104,15,0)),0,VLOOKUP($S$1778,'TAR FIN'!$A$1:$O$104,15,0))</f>
        <v>0</v>
      </c>
      <c r="W1778" s="6">
        <f>IF(ISERROR(VLOOKUP($T$1778,'TAR FIN'!$A$1:$O$104,15,0)),0,VLOOKUP($T$1778,'TAR FIN'!$A$1:$O$104,15,0))</f>
        <v>300.26</v>
      </c>
      <c r="X1778" s="6">
        <f>IF(ISERROR(VLOOKUP($U$1778,'TAR FIN'!$A$1:$O$104,15,0)),0,VLOOKUP($U$1778,'TAR FIN'!$A$1:$O$104,15,0))</f>
        <v>225.04</v>
      </c>
      <c r="Y1778" s="6"/>
      <c r="Z1778" s="6">
        <f ca="1">('TUSD BE'!$AM$47+'TUSD BF'!$AM$47+'TUSD CVA'!$AM$47)*(1-CUSTOS!$M$38)</f>
        <v>335.21342816228281</v>
      </c>
      <c r="AA1778" s="6">
        <f>('TE BE'!$AB$26+'TE BF'!$AB$26+'TE CVA'!$AB$26)*(1-CUSTOS!$M$38)</f>
        <v>227.92247399192311</v>
      </c>
      <c r="AB1778" s="6">
        <f>$K$1778*$V$1778</f>
        <v>0</v>
      </c>
      <c r="AC1778" s="6">
        <f>$M$1778*$W$1778</f>
        <v>-32165.352499999997</v>
      </c>
      <c r="AD1778" s="6">
        <f>$O$1778*$X$1778</f>
        <v>-24107.41</v>
      </c>
      <c r="AE1778" s="6">
        <f>$K$1778*$Y$1778</f>
        <v>0</v>
      </c>
      <c r="AF1778" s="6">
        <f ca="1">$M$1778*$Z$1778</f>
        <v>-35909.738491884549</v>
      </c>
      <c r="AG1778" s="6">
        <f>$O$1778*$AA$1778</f>
        <v>-24416.195026384765</v>
      </c>
    </row>
    <row r="1779" spans="1:33" ht="11.25" customHeight="1" x14ac:dyDescent="0.25">
      <c r="A1779" s="4" t="s">
        <v>28</v>
      </c>
      <c r="B1779" s="4" t="s">
        <v>44</v>
      </c>
      <c r="C1779" s="4" t="s">
        <v>23</v>
      </c>
      <c r="D1779" s="4" t="s">
        <v>45</v>
      </c>
      <c r="E1779" s="4" t="s">
        <v>53</v>
      </c>
      <c r="F1779" s="4" t="s">
        <v>54</v>
      </c>
      <c r="G1779" s="4" t="s">
        <v>25</v>
      </c>
      <c r="H1779" s="4" t="s">
        <v>25</v>
      </c>
      <c r="I1779" s="5">
        <v>44593</v>
      </c>
      <c r="J1779" s="6">
        <v>0</v>
      </c>
      <c r="K1779" s="6">
        <v>0</v>
      </c>
      <c r="L1779" s="6">
        <v>61.600999999999999</v>
      </c>
      <c r="M1779" s="6">
        <v>61.600999999999999</v>
      </c>
      <c r="N1779" s="6">
        <v>61.600999999999999</v>
      </c>
      <c r="O1779" s="6">
        <v>61.600999999999999</v>
      </c>
      <c r="P1779" s="6">
        <v>0</v>
      </c>
      <c r="Q1779" s="4" t="s">
        <v>26</v>
      </c>
      <c r="R1779" s="4">
        <v>0</v>
      </c>
      <c r="S1779" s="6">
        <v>0</v>
      </c>
      <c r="T1779" s="6">
        <v>27</v>
      </c>
      <c r="U1779" s="6">
        <v>85</v>
      </c>
      <c r="V1779" s="6">
        <f>IF(ISERROR(VLOOKUP($S$1779,'TAR FIN'!$A$1:$O$104,15,0)),0,VLOOKUP($S$1779,'TAR FIN'!$A$1:$O$104,15,0))</f>
        <v>0</v>
      </c>
      <c r="W1779" s="6">
        <f>IF(ISERROR(VLOOKUP($T$1779,'TAR FIN'!$A$1:$O$104,15,0)),0,VLOOKUP($T$1779,'TAR FIN'!$A$1:$O$104,15,0))</f>
        <v>300.26</v>
      </c>
      <c r="X1779" s="6">
        <f>IF(ISERROR(VLOOKUP($U$1779,'TAR FIN'!$A$1:$O$104,15,0)),0,VLOOKUP($U$1779,'TAR FIN'!$A$1:$O$104,15,0))</f>
        <v>225.04</v>
      </c>
      <c r="Y1779" s="6"/>
      <c r="Z1779" s="6">
        <f ca="1">('TUSD BE'!$AM$47+'TUSD BF'!$AM$47+'TUSD CVA'!$AM$47)*(1-CUSTOS!$M$38)</f>
        <v>335.21342816228281</v>
      </c>
      <c r="AA1779" s="6">
        <f>('TE BE'!$AB$26+'TE BF'!$AB$26+'TE CVA'!$AB$26)*(1-CUSTOS!$M$38)</f>
        <v>227.92247399192311</v>
      </c>
      <c r="AB1779" s="6">
        <f>$K$1779*$V$1779</f>
        <v>0</v>
      </c>
      <c r="AC1779" s="6">
        <f>$M$1779*$W$1779</f>
        <v>18496.31626</v>
      </c>
      <c r="AD1779" s="6">
        <f>$O$1779*$X$1779</f>
        <v>13862.689039999999</v>
      </c>
      <c r="AE1779" s="6">
        <f>$K$1779*$Y$1779</f>
        <v>0</v>
      </c>
      <c r="AF1779" s="6">
        <f ca="1">$M$1779*$Z$1779</f>
        <v>20649.482388224784</v>
      </c>
      <c r="AG1779" s="6">
        <f>$O$1779*$AA$1779</f>
        <v>14040.252320376456</v>
      </c>
    </row>
    <row r="1780" spans="1:33" ht="11.25" customHeight="1" x14ac:dyDescent="0.25">
      <c r="A1780" s="4" t="s">
        <v>28</v>
      </c>
      <c r="B1780" s="4" t="s">
        <v>44</v>
      </c>
      <c r="C1780" s="4" t="s">
        <v>23</v>
      </c>
      <c r="D1780" s="4" t="s">
        <v>45</v>
      </c>
      <c r="E1780" s="4" t="s">
        <v>53</v>
      </c>
      <c r="F1780" s="4" t="s">
        <v>54</v>
      </c>
      <c r="G1780" s="4" t="s">
        <v>25</v>
      </c>
      <c r="H1780" s="4" t="s">
        <v>25</v>
      </c>
      <c r="I1780" s="5">
        <v>44593</v>
      </c>
      <c r="J1780" s="6">
        <v>0</v>
      </c>
      <c r="K1780" s="6">
        <v>0</v>
      </c>
      <c r="L1780" s="6">
        <v>0.12</v>
      </c>
      <c r="M1780" s="6">
        <v>0.12</v>
      </c>
      <c r="N1780" s="6">
        <v>0.12</v>
      </c>
      <c r="O1780" s="6">
        <v>0.12</v>
      </c>
      <c r="P1780" s="6">
        <v>0</v>
      </c>
      <c r="Q1780" s="4" t="s">
        <v>26</v>
      </c>
      <c r="R1780" s="4">
        <v>0</v>
      </c>
      <c r="S1780" s="6">
        <v>0</v>
      </c>
      <c r="T1780" s="6">
        <v>27</v>
      </c>
      <c r="U1780" s="6">
        <v>85</v>
      </c>
      <c r="V1780" s="6">
        <f>IF(ISERROR(VLOOKUP($S$1780,'TAR FIN'!$A$1:$O$104,15,0)),0,VLOOKUP($S$1780,'TAR FIN'!$A$1:$O$104,15,0))</f>
        <v>0</v>
      </c>
      <c r="W1780" s="6">
        <f>IF(ISERROR(VLOOKUP($T$1780,'TAR FIN'!$A$1:$O$104,15,0)),0,VLOOKUP($T$1780,'TAR FIN'!$A$1:$O$104,15,0))</f>
        <v>300.26</v>
      </c>
      <c r="X1780" s="6">
        <f>IF(ISERROR(VLOOKUP($U$1780,'TAR FIN'!$A$1:$O$104,15,0)),0,VLOOKUP($U$1780,'TAR FIN'!$A$1:$O$104,15,0))</f>
        <v>225.04</v>
      </c>
      <c r="Y1780" s="6"/>
      <c r="Z1780" s="6">
        <f ca="1">('TUSD BE'!$AM$47+'TUSD BF'!$AM$47+'TUSD CVA'!$AM$47)*(1-CUSTOS!$M$38)</f>
        <v>335.21342816228281</v>
      </c>
      <c r="AA1780" s="6">
        <f>('TE BE'!$AB$26+'TE BF'!$AB$26+'TE CVA'!$AB$26)*(1-CUSTOS!$M$38)</f>
        <v>227.92247399192311</v>
      </c>
      <c r="AB1780" s="6">
        <f>$K$1780*$V$1780</f>
        <v>0</v>
      </c>
      <c r="AC1780" s="6">
        <f>$M$1780*$W$1780</f>
        <v>36.031199999999998</v>
      </c>
      <c r="AD1780" s="6">
        <f>$O$1780*$X$1780</f>
        <v>27.004799999999999</v>
      </c>
      <c r="AE1780" s="6">
        <f>$K$1780*$Y$1780</f>
        <v>0</v>
      </c>
      <c r="AF1780" s="6">
        <f ca="1">$M$1780*$Z$1780</f>
        <v>40.225611379473939</v>
      </c>
      <c r="AG1780" s="6">
        <f>$O$1780*$AA$1780</f>
        <v>27.350696879030771</v>
      </c>
    </row>
    <row r="1781" spans="1:33" ht="11.25" customHeight="1" x14ac:dyDescent="0.25">
      <c r="A1781" s="4" t="s">
        <v>21</v>
      </c>
      <c r="B1781" s="4" t="s">
        <v>44</v>
      </c>
      <c r="C1781" s="4" t="s">
        <v>23</v>
      </c>
      <c r="D1781" s="4" t="s">
        <v>45</v>
      </c>
      <c r="E1781" s="4" t="s">
        <v>53</v>
      </c>
      <c r="F1781" s="4" t="s">
        <v>54</v>
      </c>
      <c r="G1781" s="4" t="s">
        <v>25</v>
      </c>
      <c r="H1781" s="4" t="s">
        <v>25</v>
      </c>
      <c r="I1781" s="5">
        <v>44621</v>
      </c>
      <c r="J1781" s="6">
        <v>0</v>
      </c>
      <c r="K1781" s="6">
        <v>0</v>
      </c>
      <c r="L1781" s="6">
        <v>2023.2439999999999</v>
      </c>
      <c r="M1781" s="6">
        <v>2023.2439999999999</v>
      </c>
      <c r="N1781" s="6">
        <v>2023.2439999999999</v>
      </c>
      <c r="O1781" s="6">
        <v>2023.2439999999999</v>
      </c>
      <c r="P1781" s="6">
        <v>0</v>
      </c>
      <c r="Q1781" s="4" t="s">
        <v>26</v>
      </c>
      <c r="R1781" s="4">
        <v>0</v>
      </c>
      <c r="S1781" s="6">
        <v>0</v>
      </c>
      <c r="T1781" s="6">
        <v>27</v>
      </c>
      <c r="U1781" s="6">
        <v>85</v>
      </c>
      <c r="V1781" s="6">
        <f>IF(ISERROR(VLOOKUP($S$1781,'TAR FIN'!$A$1:$O$104,15,0)),0,VLOOKUP($S$1781,'TAR FIN'!$A$1:$O$104,15,0))</f>
        <v>0</v>
      </c>
      <c r="W1781" s="6">
        <f>IF(ISERROR(VLOOKUP($T$1781,'TAR FIN'!$A$1:$O$104,15,0)),0,VLOOKUP($T$1781,'TAR FIN'!$A$1:$O$104,15,0))</f>
        <v>300.26</v>
      </c>
      <c r="X1781" s="6">
        <f>IF(ISERROR(VLOOKUP($U$1781,'TAR FIN'!$A$1:$O$104,15,0)),0,VLOOKUP($U$1781,'TAR FIN'!$A$1:$O$104,15,0))</f>
        <v>225.04</v>
      </c>
      <c r="Y1781" s="6"/>
      <c r="Z1781" s="6">
        <f ca="1">('TUSD BE'!$AM$47+'TUSD BF'!$AM$47+'TUSD CVA'!$AM$47)*(1-CUSTOS!$M$38)</f>
        <v>335.21342816228281</v>
      </c>
      <c r="AA1781" s="6">
        <f>('TE BE'!$AB$26+'TE BF'!$AB$26+'TE CVA'!$AB$26)*(1-CUSTOS!$M$38)</f>
        <v>227.92247399192311</v>
      </c>
      <c r="AB1781" s="6">
        <f>$K$1781*$V$1781</f>
        <v>0</v>
      </c>
      <c r="AC1781" s="6">
        <f>$M$1781*$W$1781</f>
        <v>607499.24343999999</v>
      </c>
      <c r="AD1781" s="6">
        <f>$O$1781*$X$1781</f>
        <v>455310.82975999999</v>
      </c>
      <c r="AE1781" s="6">
        <f>$K$1781*$Y$1781</f>
        <v>0</v>
      </c>
      <c r="AF1781" s="6">
        <f ca="1">$M$1781*$Z$1781</f>
        <v>678218.55724876968</v>
      </c>
      <c r="AG1781" s="6">
        <f>$O$1781*$AA$1781</f>
        <v>461142.77796931448</v>
      </c>
    </row>
    <row r="1782" spans="1:33" ht="11.25" customHeight="1" x14ac:dyDescent="0.25">
      <c r="A1782" s="4" t="s">
        <v>27</v>
      </c>
      <c r="B1782" s="4" t="s">
        <v>44</v>
      </c>
      <c r="C1782" s="4" t="s">
        <v>23</v>
      </c>
      <c r="D1782" s="4" t="s">
        <v>45</v>
      </c>
      <c r="E1782" s="4" t="s">
        <v>53</v>
      </c>
      <c r="F1782" s="4" t="s">
        <v>54</v>
      </c>
      <c r="G1782" s="4" t="s">
        <v>25</v>
      </c>
      <c r="H1782" s="4" t="s">
        <v>25</v>
      </c>
      <c r="I1782" s="5">
        <v>44621</v>
      </c>
      <c r="J1782" s="6">
        <v>0</v>
      </c>
      <c r="K1782" s="6">
        <v>0</v>
      </c>
      <c r="L1782" s="6">
        <v>-116.762</v>
      </c>
      <c r="M1782" s="6">
        <v>-116.762</v>
      </c>
      <c r="N1782" s="6">
        <v>-116.762</v>
      </c>
      <c r="O1782" s="6">
        <v>-116.762</v>
      </c>
      <c r="P1782" s="6">
        <v>0</v>
      </c>
      <c r="Q1782" s="4" t="s">
        <v>26</v>
      </c>
      <c r="R1782" s="4">
        <v>0</v>
      </c>
      <c r="S1782" s="6">
        <v>0</v>
      </c>
      <c r="T1782" s="6">
        <v>27</v>
      </c>
      <c r="U1782" s="6">
        <v>85</v>
      </c>
      <c r="V1782" s="6">
        <f>IF(ISERROR(VLOOKUP($S$1782,'TAR FIN'!$A$1:$O$104,15,0)),0,VLOOKUP($S$1782,'TAR FIN'!$A$1:$O$104,15,0))</f>
        <v>0</v>
      </c>
      <c r="W1782" s="6">
        <f>IF(ISERROR(VLOOKUP($T$1782,'TAR FIN'!$A$1:$O$104,15,0)),0,VLOOKUP($T$1782,'TAR FIN'!$A$1:$O$104,15,0))</f>
        <v>300.26</v>
      </c>
      <c r="X1782" s="6">
        <f>IF(ISERROR(VLOOKUP($U$1782,'TAR FIN'!$A$1:$O$104,15,0)),0,VLOOKUP($U$1782,'TAR FIN'!$A$1:$O$104,15,0))</f>
        <v>225.04</v>
      </c>
      <c r="Y1782" s="6"/>
      <c r="Z1782" s="6">
        <f ca="1">('TUSD BE'!$AM$47+'TUSD BF'!$AM$47+'TUSD CVA'!$AM$47)*(1-CUSTOS!$M$38)</f>
        <v>335.21342816228281</v>
      </c>
      <c r="AA1782" s="6">
        <f>('TE BE'!$AB$26+'TE BF'!$AB$26+'TE CVA'!$AB$26)*(1-CUSTOS!$M$38)</f>
        <v>227.92247399192311</v>
      </c>
      <c r="AB1782" s="6">
        <f>$K$1782*$V$1782</f>
        <v>0</v>
      </c>
      <c r="AC1782" s="6">
        <f>$M$1782*$W$1782</f>
        <v>-35058.958119999996</v>
      </c>
      <c r="AD1782" s="6">
        <f>$O$1782*$X$1782</f>
        <v>-26276.120479999998</v>
      </c>
      <c r="AE1782" s="6">
        <f>$K$1782*$Y$1782</f>
        <v>0</v>
      </c>
      <c r="AF1782" s="6">
        <f ca="1">$M$1782*$Z$1782</f>
        <v>-39140.190299084468</v>
      </c>
      <c r="AG1782" s="6">
        <f>$O$1782*$AA$1782</f>
        <v>-26612.683908244926</v>
      </c>
    </row>
    <row r="1783" spans="1:33" ht="11.25" customHeight="1" x14ac:dyDescent="0.25">
      <c r="A1783" s="4" t="s">
        <v>28</v>
      </c>
      <c r="B1783" s="4" t="s">
        <v>44</v>
      </c>
      <c r="C1783" s="4" t="s">
        <v>23</v>
      </c>
      <c r="D1783" s="4" t="s">
        <v>45</v>
      </c>
      <c r="E1783" s="4" t="s">
        <v>53</v>
      </c>
      <c r="F1783" s="4" t="s">
        <v>54</v>
      </c>
      <c r="G1783" s="4" t="s">
        <v>25</v>
      </c>
      <c r="H1783" s="4" t="s">
        <v>25</v>
      </c>
      <c r="I1783" s="5">
        <v>44621</v>
      </c>
      <c r="J1783" s="6">
        <v>0</v>
      </c>
      <c r="K1783" s="6">
        <v>0</v>
      </c>
      <c r="L1783" s="6">
        <v>100.78100000000001</v>
      </c>
      <c r="M1783" s="6">
        <v>100.78100000000001</v>
      </c>
      <c r="N1783" s="6">
        <v>100.78100000000001</v>
      </c>
      <c r="O1783" s="6">
        <v>100.78100000000001</v>
      </c>
      <c r="P1783" s="6">
        <v>0</v>
      </c>
      <c r="Q1783" s="4" t="s">
        <v>26</v>
      </c>
      <c r="R1783" s="4">
        <v>0</v>
      </c>
      <c r="S1783" s="6">
        <v>0</v>
      </c>
      <c r="T1783" s="6">
        <v>27</v>
      </c>
      <c r="U1783" s="6">
        <v>85</v>
      </c>
      <c r="V1783" s="6">
        <f>IF(ISERROR(VLOOKUP($S$1783,'TAR FIN'!$A$1:$O$104,15,0)),0,VLOOKUP($S$1783,'TAR FIN'!$A$1:$O$104,15,0))</f>
        <v>0</v>
      </c>
      <c r="W1783" s="6">
        <f>IF(ISERROR(VLOOKUP($T$1783,'TAR FIN'!$A$1:$O$104,15,0)),0,VLOOKUP($T$1783,'TAR FIN'!$A$1:$O$104,15,0))</f>
        <v>300.26</v>
      </c>
      <c r="X1783" s="6">
        <f>IF(ISERROR(VLOOKUP($U$1783,'TAR FIN'!$A$1:$O$104,15,0)),0,VLOOKUP($U$1783,'TAR FIN'!$A$1:$O$104,15,0))</f>
        <v>225.04</v>
      </c>
      <c r="Y1783" s="6"/>
      <c r="Z1783" s="6">
        <f ca="1">('TUSD BE'!$AM$47+'TUSD BF'!$AM$47+'TUSD CVA'!$AM$47)*(1-CUSTOS!$M$38)</f>
        <v>335.21342816228281</v>
      </c>
      <c r="AA1783" s="6">
        <f>('TE BE'!$AB$26+'TE BF'!$AB$26+'TE CVA'!$AB$26)*(1-CUSTOS!$M$38)</f>
        <v>227.92247399192311</v>
      </c>
      <c r="AB1783" s="6">
        <f>$K$1783*$V$1783</f>
        <v>0</v>
      </c>
      <c r="AC1783" s="6">
        <f>$M$1783*$W$1783</f>
        <v>30260.503059999999</v>
      </c>
      <c r="AD1783" s="6">
        <f>$O$1783*$X$1783</f>
        <v>22679.756239999999</v>
      </c>
      <c r="AE1783" s="6">
        <f>$K$1783*$Y$1783</f>
        <v>0</v>
      </c>
      <c r="AF1783" s="6">
        <f ca="1">$M$1783*$Z$1783</f>
        <v>33783.144503623029</v>
      </c>
      <c r="AG1783" s="6">
        <f>$O$1783*$AA$1783</f>
        <v>22970.254851380003</v>
      </c>
    </row>
    <row r="1784" spans="1:33" ht="11.25" customHeight="1" x14ac:dyDescent="0.25">
      <c r="A1784" s="4" t="s">
        <v>21</v>
      </c>
      <c r="B1784" s="4" t="s">
        <v>44</v>
      </c>
      <c r="C1784" s="4" t="s">
        <v>23</v>
      </c>
      <c r="D1784" s="4" t="s">
        <v>45</v>
      </c>
      <c r="E1784" s="4" t="s">
        <v>53</v>
      </c>
      <c r="F1784" s="4" t="s">
        <v>54</v>
      </c>
      <c r="G1784" s="4" t="s">
        <v>25</v>
      </c>
      <c r="H1784" s="4" t="s">
        <v>25</v>
      </c>
      <c r="I1784" s="5">
        <v>44652</v>
      </c>
      <c r="J1784" s="6">
        <v>0</v>
      </c>
      <c r="K1784" s="6">
        <v>0</v>
      </c>
      <c r="L1784" s="6">
        <v>2050.3809999999999</v>
      </c>
      <c r="M1784" s="6">
        <v>2050.3809999999999</v>
      </c>
      <c r="N1784" s="6">
        <v>2050.3809999999999</v>
      </c>
      <c r="O1784" s="6">
        <v>2050.3809999999999</v>
      </c>
      <c r="P1784" s="6">
        <v>0</v>
      </c>
      <c r="Q1784" s="4" t="s">
        <v>26</v>
      </c>
      <c r="R1784" s="4">
        <v>0</v>
      </c>
      <c r="S1784" s="6">
        <v>0</v>
      </c>
      <c r="T1784" s="6">
        <v>27</v>
      </c>
      <c r="U1784" s="6">
        <v>85</v>
      </c>
      <c r="V1784" s="6">
        <f>IF(ISERROR(VLOOKUP($S$1784,'TAR FIN'!$A$1:$O$104,15,0)),0,VLOOKUP($S$1784,'TAR FIN'!$A$1:$O$104,15,0))</f>
        <v>0</v>
      </c>
      <c r="W1784" s="6">
        <f>IF(ISERROR(VLOOKUP($T$1784,'TAR FIN'!$A$1:$O$104,15,0)),0,VLOOKUP($T$1784,'TAR FIN'!$A$1:$O$104,15,0))</f>
        <v>300.26</v>
      </c>
      <c r="X1784" s="6">
        <f>IF(ISERROR(VLOOKUP($U$1784,'TAR FIN'!$A$1:$O$104,15,0)),0,VLOOKUP($U$1784,'TAR FIN'!$A$1:$O$104,15,0))</f>
        <v>225.04</v>
      </c>
      <c r="Y1784" s="6"/>
      <c r="Z1784" s="6">
        <f ca="1">('TUSD BE'!$AM$47+'TUSD BF'!$AM$47+'TUSD CVA'!$AM$47)*(1-CUSTOS!$M$38)</f>
        <v>335.21342816228281</v>
      </c>
      <c r="AA1784" s="6">
        <f>('TE BE'!$AB$26+'TE BF'!$AB$26+'TE CVA'!$AB$26)*(1-CUSTOS!$M$38)</f>
        <v>227.92247399192311</v>
      </c>
      <c r="AB1784" s="6">
        <f>$K$1784*$V$1784</f>
        <v>0</v>
      </c>
      <c r="AC1784" s="6">
        <f>$M$1784*$W$1784</f>
        <v>615647.39905999997</v>
      </c>
      <c r="AD1784" s="6">
        <f>$O$1784*$X$1784</f>
        <v>461417.74023999996</v>
      </c>
      <c r="AE1784" s="6">
        <f>$K$1784*$Y$1784</f>
        <v>0</v>
      </c>
      <c r="AF1784" s="6">
        <f ca="1">$M$1784*$Z$1784</f>
        <v>687315.24404880952</v>
      </c>
      <c r="AG1784" s="6">
        <f>$O$1784*$AA$1784</f>
        <v>467327.91014603327</v>
      </c>
    </row>
    <row r="1785" spans="1:33" ht="11.25" customHeight="1" x14ac:dyDescent="0.25">
      <c r="A1785" s="4" t="s">
        <v>27</v>
      </c>
      <c r="B1785" s="4" t="s">
        <v>44</v>
      </c>
      <c r="C1785" s="4" t="s">
        <v>23</v>
      </c>
      <c r="D1785" s="4" t="s">
        <v>45</v>
      </c>
      <c r="E1785" s="4" t="s">
        <v>53</v>
      </c>
      <c r="F1785" s="4" t="s">
        <v>54</v>
      </c>
      <c r="G1785" s="4" t="s">
        <v>25</v>
      </c>
      <c r="H1785" s="4" t="s">
        <v>25</v>
      </c>
      <c r="I1785" s="5">
        <v>44652</v>
      </c>
      <c r="J1785" s="6">
        <v>0</v>
      </c>
      <c r="K1785" s="6">
        <v>0</v>
      </c>
      <c r="L1785" s="6">
        <v>-55.38</v>
      </c>
      <c r="M1785" s="6">
        <v>-55.38</v>
      </c>
      <c r="N1785" s="6">
        <v>-55.38</v>
      </c>
      <c r="O1785" s="6">
        <v>-55.38</v>
      </c>
      <c r="P1785" s="6">
        <v>0</v>
      </c>
      <c r="Q1785" s="4" t="s">
        <v>26</v>
      </c>
      <c r="R1785" s="4">
        <v>0</v>
      </c>
      <c r="S1785" s="6">
        <v>0</v>
      </c>
      <c r="T1785" s="6">
        <v>27</v>
      </c>
      <c r="U1785" s="6">
        <v>85</v>
      </c>
      <c r="V1785" s="6">
        <f>IF(ISERROR(VLOOKUP($S$1785,'TAR FIN'!$A$1:$O$104,15,0)),0,VLOOKUP($S$1785,'TAR FIN'!$A$1:$O$104,15,0))</f>
        <v>0</v>
      </c>
      <c r="W1785" s="6">
        <f>IF(ISERROR(VLOOKUP($T$1785,'TAR FIN'!$A$1:$O$104,15,0)),0,VLOOKUP($T$1785,'TAR FIN'!$A$1:$O$104,15,0))</f>
        <v>300.26</v>
      </c>
      <c r="X1785" s="6">
        <f>IF(ISERROR(VLOOKUP($U$1785,'TAR FIN'!$A$1:$O$104,15,0)),0,VLOOKUP($U$1785,'TAR FIN'!$A$1:$O$104,15,0))</f>
        <v>225.04</v>
      </c>
      <c r="Y1785" s="6"/>
      <c r="Z1785" s="6">
        <f ca="1">('TUSD BE'!$AM$47+'TUSD BF'!$AM$47+'TUSD CVA'!$AM$47)*(1-CUSTOS!$M$38)</f>
        <v>335.21342816228281</v>
      </c>
      <c r="AA1785" s="6">
        <f>('TE BE'!$AB$26+'TE BF'!$AB$26+'TE CVA'!$AB$26)*(1-CUSTOS!$M$38)</f>
        <v>227.92247399192311</v>
      </c>
      <c r="AB1785" s="6">
        <f>$K$1785*$V$1785</f>
        <v>0</v>
      </c>
      <c r="AC1785" s="6">
        <f>$M$1785*$W$1785</f>
        <v>-16628.398799999999</v>
      </c>
      <c r="AD1785" s="6">
        <f>$O$1785*$X$1785</f>
        <v>-12462.715200000001</v>
      </c>
      <c r="AE1785" s="6">
        <f>$K$1785*$Y$1785</f>
        <v>0</v>
      </c>
      <c r="AF1785" s="6">
        <f ca="1">$M$1785*$Z$1785</f>
        <v>-18564.119651627221</v>
      </c>
      <c r="AG1785" s="6">
        <f>$O$1785*$AA$1785</f>
        <v>-12622.346609672702</v>
      </c>
    </row>
    <row r="1786" spans="1:33" ht="11.25" customHeight="1" x14ac:dyDescent="0.25">
      <c r="A1786" s="4" t="s">
        <v>28</v>
      </c>
      <c r="B1786" s="4" t="s">
        <v>44</v>
      </c>
      <c r="C1786" s="4" t="s">
        <v>23</v>
      </c>
      <c r="D1786" s="4" t="s">
        <v>45</v>
      </c>
      <c r="E1786" s="4" t="s">
        <v>53</v>
      </c>
      <c r="F1786" s="4" t="s">
        <v>54</v>
      </c>
      <c r="G1786" s="4" t="s">
        <v>25</v>
      </c>
      <c r="H1786" s="4" t="s">
        <v>25</v>
      </c>
      <c r="I1786" s="5">
        <v>44652</v>
      </c>
      <c r="J1786" s="6">
        <v>0</v>
      </c>
      <c r="K1786" s="6">
        <v>0</v>
      </c>
      <c r="L1786" s="6">
        <v>61.347000000000001</v>
      </c>
      <c r="M1786" s="6">
        <v>61.347000000000001</v>
      </c>
      <c r="N1786" s="6">
        <v>61.347000000000001</v>
      </c>
      <c r="O1786" s="6">
        <v>61.347000000000001</v>
      </c>
      <c r="P1786" s="6">
        <v>0</v>
      </c>
      <c r="Q1786" s="4" t="s">
        <v>26</v>
      </c>
      <c r="R1786" s="4">
        <v>0</v>
      </c>
      <c r="S1786" s="6">
        <v>0</v>
      </c>
      <c r="T1786" s="6">
        <v>27</v>
      </c>
      <c r="U1786" s="6">
        <v>85</v>
      </c>
      <c r="V1786" s="6">
        <f>IF(ISERROR(VLOOKUP($S$1786,'TAR FIN'!$A$1:$O$104,15,0)),0,VLOOKUP($S$1786,'TAR FIN'!$A$1:$O$104,15,0))</f>
        <v>0</v>
      </c>
      <c r="W1786" s="6">
        <f>IF(ISERROR(VLOOKUP($T$1786,'TAR FIN'!$A$1:$O$104,15,0)),0,VLOOKUP($T$1786,'TAR FIN'!$A$1:$O$104,15,0))</f>
        <v>300.26</v>
      </c>
      <c r="X1786" s="6">
        <f>IF(ISERROR(VLOOKUP($U$1786,'TAR FIN'!$A$1:$O$104,15,0)),0,VLOOKUP($U$1786,'TAR FIN'!$A$1:$O$104,15,0))</f>
        <v>225.04</v>
      </c>
      <c r="Y1786" s="6"/>
      <c r="Z1786" s="6">
        <f ca="1">('TUSD BE'!$AM$47+'TUSD BF'!$AM$47+'TUSD CVA'!$AM$47)*(1-CUSTOS!$M$38)</f>
        <v>335.21342816228281</v>
      </c>
      <c r="AA1786" s="6">
        <f>('TE BE'!$AB$26+'TE BF'!$AB$26+'TE CVA'!$AB$26)*(1-CUSTOS!$M$38)</f>
        <v>227.92247399192311</v>
      </c>
      <c r="AB1786" s="6">
        <f>$K$1786*$V$1786</f>
        <v>0</v>
      </c>
      <c r="AC1786" s="6">
        <f>$M$1786*$W$1786</f>
        <v>18420.050220000001</v>
      </c>
      <c r="AD1786" s="6">
        <f>$O$1786*$X$1786</f>
        <v>13805.52888</v>
      </c>
      <c r="AE1786" s="6">
        <f>$K$1786*$Y$1786</f>
        <v>0</v>
      </c>
      <c r="AF1786" s="6">
        <f ca="1">$M$1786*$Z$1786</f>
        <v>20564.338177471564</v>
      </c>
      <c r="AG1786" s="6">
        <f>$O$1786*$AA$1786</f>
        <v>13982.360011982508</v>
      </c>
    </row>
    <row r="1787" spans="1:33" ht="11.25" customHeight="1" x14ac:dyDescent="0.25">
      <c r="A1787" s="4" t="s">
        <v>21</v>
      </c>
      <c r="B1787" s="4" t="s">
        <v>44</v>
      </c>
      <c r="C1787" s="4" t="s">
        <v>23</v>
      </c>
      <c r="D1787" s="4" t="s">
        <v>45</v>
      </c>
      <c r="E1787" s="4" t="s">
        <v>53</v>
      </c>
      <c r="F1787" s="4" t="s">
        <v>54</v>
      </c>
      <c r="G1787" s="4" t="s">
        <v>25</v>
      </c>
      <c r="H1787" s="4" t="s">
        <v>25</v>
      </c>
      <c r="I1787" s="5">
        <v>44682</v>
      </c>
      <c r="J1787" s="6">
        <v>0</v>
      </c>
      <c r="K1787" s="6">
        <v>0</v>
      </c>
      <c r="L1787" s="6">
        <v>1859.2439999999999</v>
      </c>
      <c r="M1787" s="6">
        <v>1859.2439999999999</v>
      </c>
      <c r="N1787" s="6">
        <v>1859.2439999999999</v>
      </c>
      <c r="O1787" s="6">
        <v>1859.2439999999999</v>
      </c>
      <c r="P1787" s="6">
        <v>0</v>
      </c>
      <c r="Q1787" s="4" t="s">
        <v>26</v>
      </c>
      <c r="R1787" s="4">
        <v>0</v>
      </c>
      <c r="S1787" s="6">
        <v>0</v>
      </c>
      <c r="T1787" s="6">
        <v>27</v>
      </c>
      <c r="U1787" s="6">
        <v>85</v>
      </c>
      <c r="V1787" s="6">
        <f>IF(ISERROR(VLOOKUP($S$1787,'TAR FIN'!$A$1:$O$104,15,0)),0,VLOOKUP($S$1787,'TAR FIN'!$A$1:$O$104,15,0))</f>
        <v>0</v>
      </c>
      <c r="W1787" s="6">
        <f>IF(ISERROR(VLOOKUP($T$1787,'TAR FIN'!$A$1:$O$104,15,0)),0,VLOOKUP($T$1787,'TAR FIN'!$A$1:$O$104,15,0))</f>
        <v>300.26</v>
      </c>
      <c r="X1787" s="6">
        <f>IF(ISERROR(VLOOKUP($U$1787,'TAR FIN'!$A$1:$O$104,15,0)),0,VLOOKUP($U$1787,'TAR FIN'!$A$1:$O$104,15,0))</f>
        <v>225.04</v>
      </c>
      <c r="Y1787" s="6"/>
      <c r="Z1787" s="6">
        <f ca="1">('TUSD BE'!$AM$47+'TUSD BF'!$AM$47+'TUSD CVA'!$AM$47)*(1-CUSTOS!$M$38)</f>
        <v>335.21342816228281</v>
      </c>
      <c r="AA1787" s="6">
        <f>('TE BE'!$AB$26+'TE BF'!$AB$26+'TE CVA'!$AB$26)*(1-CUSTOS!$M$38)</f>
        <v>227.92247399192311</v>
      </c>
      <c r="AB1787" s="6">
        <f>$K$1787*$V$1787</f>
        <v>0</v>
      </c>
      <c r="AC1787" s="6">
        <f>$M$1787*$W$1787</f>
        <v>558256.60343999998</v>
      </c>
      <c r="AD1787" s="6">
        <f>$O$1787*$X$1787</f>
        <v>418404.26975999994</v>
      </c>
      <c r="AE1787" s="6">
        <f>$K$1787*$Y$1787</f>
        <v>0</v>
      </c>
      <c r="AF1787" s="6">
        <f ca="1">$M$1787*$Z$1787</f>
        <v>623243.55503015534</v>
      </c>
      <c r="AG1787" s="6">
        <f>$O$1787*$AA$1787</f>
        <v>423763.49223463907</v>
      </c>
    </row>
    <row r="1788" spans="1:33" ht="11.25" customHeight="1" x14ac:dyDescent="0.25">
      <c r="A1788" s="4" t="s">
        <v>27</v>
      </c>
      <c r="B1788" s="4" t="s">
        <v>44</v>
      </c>
      <c r="C1788" s="4" t="s">
        <v>23</v>
      </c>
      <c r="D1788" s="4" t="s">
        <v>45</v>
      </c>
      <c r="E1788" s="4" t="s">
        <v>53</v>
      </c>
      <c r="F1788" s="4" t="s">
        <v>54</v>
      </c>
      <c r="G1788" s="4" t="s">
        <v>25</v>
      </c>
      <c r="H1788" s="4" t="s">
        <v>25</v>
      </c>
      <c r="I1788" s="5">
        <v>44682</v>
      </c>
      <c r="J1788" s="6">
        <v>0</v>
      </c>
      <c r="K1788" s="6">
        <v>0</v>
      </c>
      <c r="L1788" s="6">
        <v>-54.777999999999999</v>
      </c>
      <c r="M1788" s="6">
        <v>-54.777999999999999</v>
      </c>
      <c r="N1788" s="6">
        <v>-54.777999999999999</v>
      </c>
      <c r="O1788" s="6">
        <v>-54.777999999999999</v>
      </c>
      <c r="P1788" s="6">
        <v>0</v>
      </c>
      <c r="Q1788" s="4" t="s">
        <v>26</v>
      </c>
      <c r="R1788" s="4">
        <v>0</v>
      </c>
      <c r="S1788" s="6">
        <v>0</v>
      </c>
      <c r="T1788" s="6">
        <v>27</v>
      </c>
      <c r="U1788" s="6">
        <v>85</v>
      </c>
      <c r="V1788" s="6">
        <f>IF(ISERROR(VLOOKUP($S$1788,'TAR FIN'!$A$1:$O$104,15,0)),0,VLOOKUP($S$1788,'TAR FIN'!$A$1:$O$104,15,0))</f>
        <v>0</v>
      </c>
      <c r="W1788" s="6">
        <f>IF(ISERROR(VLOOKUP($T$1788,'TAR FIN'!$A$1:$O$104,15,0)),0,VLOOKUP($T$1788,'TAR FIN'!$A$1:$O$104,15,0))</f>
        <v>300.26</v>
      </c>
      <c r="X1788" s="6">
        <f>IF(ISERROR(VLOOKUP($U$1788,'TAR FIN'!$A$1:$O$104,15,0)),0,VLOOKUP($U$1788,'TAR FIN'!$A$1:$O$104,15,0))</f>
        <v>225.04</v>
      </c>
      <c r="Y1788" s="6"/>
      <c r="Z1788" s="6">
        <f ca="1">('TUSD BE'!$AM$47+'TUSD BF'!$AM$47+'TUSD CVA'!$AM$47)*(1-CUSTOS!$M$38)</f>
        <v>335.21342816228281</v>
      </c>
      <c r="AA1788" s="6">
        <f>('TE BE'!$AB$26+'TE BF'!$AB$26+'TE CVA'!$AB$26)*(1-CUSTOS!$M$38)</f>
        <v>227.92247399192311</v>
      </c>
      <c r="AB1788" s="6">
        <f>$K$1788*$V$1788</f>
        <v>0</v>
      </c>
      <c r="AC1788" s="6">
        <f>$M$1788*$W$1788</f>
        <v>-16447.64228</v>
      </c>
      <c r="AD1788" s="6">
        <f>$O$1788*$X$1788</f>
        <v>-12327.241119999999</v>
      </c>
      <c r="AE1788" s="6">
        <f>$K$1788*$Y$1788</f>
        <v>0</v>
      </c>
      <c r="AF1788" s="6">
        <f ca="1">$M$1788*$Z$1788</f>
        <v>-18362.321167873528</v>
      </c>
      <c r="AG1788" s="6">
        <f>$O$1788*$AA$1788</f>
        <v>-12485.137280329564</v>
      </c>
    </row>
    <row r="1789" spans="1:33" ht="11.25" customHeight="1" x14ac:dyDescent="0.25">
      <c r="A1789" s="4" t="s">
        <v>28</v>
      </c>
      <c r="B1789" s="4" t="s">
        <v>44</v>
      </c>
      <c r="C1789" s="4" t="s">
        <v>23</v>
      </c>
      <c r="D1789" s="4" t="s">
        <v>45</v>
      </c>
      <c r="E1789" s="4" t="s">
        <v>53</v>
      </c>
      <c r="F1789" s="4" t="s">
        <v>54</v>
      </c>
      <c r="G1789" s="4" t="s">
        <v>25</v>
      </c>
      <c r="H1789" s="4" t="s">
        <v>25</v>
      </c>
      <c r="I1789" s="5">
        <v>44682</v>
      </c>
      <c r="J1789" s="6">
        <v>0</v>
      </c>
      <c r="K1789" s="6">
        <v>0</v>
      </c>
      <c r="L1789" s="6">
        <v>45.665999999999997</v>
      </c>
      <c r="M1789" s="6">
        <v>45.665999999999997</v>
      </c>
      <c r="N1789" s="6">
        <v>45.665999999999997</v>
      </c>
      <c r="O1789" s="6">
        <v>45.665999999999997</v>
      </c>
      <c r="P1789" s="6">
        <v>0</v>
      </c>
      <c r="Q1789" s="4" t="s">
        <v>26</v>
      </c>
      <c r="R1789" s="4">
        <v>0</v>
      </c>
      <c r="S1789" s="6">
        <v>0</v>
      </c>
      <c r="T1789" s="6">
        <v>27</v>
      </c>
      <c r="U1789" s="6">
        <v>85</v>
      </c>
      <c r="V1789" s="6">
        <f>IF(ISERROR(VLOOKUP($S$1789,'TAR FIN'!$A$1:$O$104,15,0)),0,VLOOKUP($S$1789,'TAR FIN'!$A$1:$O$104,15,0))</f>
        <v>0</v>
      </c>
      <c r="W1789" s="6">
        <f>IF(ISERROR(VLOOKUP($T$1789,'TAR FIN'!$A$1:$O$104,15,0)),0,VLOOKUP($T$1789,'TAR FIN'!$A$1:$O$104,15,0))</f>
        <v>300.26</v>
      </c>
      <c r="X1789" s="6">
        <f>IF(ISERROR(VLOOKUP($U$1789,'TAR FIN'!$A$1:$O$104,15,0)),0,VLOOKUP($U$1789,'TAR FIN'!$A$1:$O$104,15,0))</f>
        <v>225.04</v>
      </c>
      <c r="Y1789" s="6"/>
      <c r="Z1789" s="6">
        <f ca="1">('TUSD BE'!$AM$47+'TUSD BF'!$AM$47+'TUSD CVA'!$AM$47)*(1-CUSTOS!$M$38)</f>
        <v>335.21342816228281</v>
      </c>
      <c r="AA1789" s="6">
        <f>('TE BE'!$AB$26+'TE BF'!$AB$26+'TE CVA'!$AB$26)*(1-CUSTOS!$M$38)</f>
        <v>227.92247399192311</v>
      </c>
      <c r="AB1789" s="6">
        <f>$K$1789*$V$1789</f>
        <v>0</v>
      </c>
      <c r="AC1789" s="6">
        <f>$M$1789*$W$1789</f>
        <v>13711.673159999998</v>
      </c>
      <c r="AD1789" s="6">
        <f>$O$1789*$X$1789</f>
        <v>10276.67664</v>
      </c>
      <c r="AE1789" s="6">
        <f>$K$1789*$Y$1789</f>
        <v>0</v>
      </c>
      <c r="AF1789" s="6">
        <f ca="1">$M$1789*$Z$1789</f>
        <v>15307.856410458806</v>
      </c>
      <c r="AG1789" s="6">
        <f>$O$1789*$AA$1789</f>
        <v>10408.30769731516</v>
      </c>
    </row>
    <row r="1790" spans="1:33" ht="11.25" customHeight="1" x14ac:dyDescent="0.25">
      <c r="A1790" s="4" t="s">
        <v>28</v>
      </c>
      <c r="B1790" s="4" t="s">
        <v>44</v>
      </c>
      <c r="C1790" s="4" t="s">
        <v>23</v>
      </c>
      <c r="D1790" s="4" t="s">
        <v>45</v>
      </c>
      <c r="E1790" s="4" t="s">
        <v>53</v>
      </c>
      <c r="F1790" s="4" t="s">
        <v>54</v>
      </c>
      <c r="G1790" s="4" t="s">
        <v>25</v>
      </c>
      <c r="H1790" s="4" t="s">
        <v>25</v>
      </c>
      <c r="I1790" s="5">
        <v>44682</v>
      </c>
      <c r="J1790" s="6">
        <v>0</v>
      </c>
      <c r="K1790" s="6">
        <v>0</v>
      </c>
      <c r="L1790" s="6">
        <v>0.1</v>
      </c>
      <c r="M1790" s="6">
        <v>0.1</v>
      </c>
      <c r="N1790" s="6">
        <v>0.1</v>
      </c>
      <c r="O1790" s="6">
        <v>0.1</v>
      </c>
      <c r="P1790" s="6">
        <v>0</v>
      </c>
      <c r="Q1790" s="4" t="s">
        <v>26</v>
      </c>
      <c r="R1790" s="4">
        <v>0</v>
      </c>
      <c r="S1790" s="6">
        <v>0</v>
      </c>
      <c r="T1790" s="6">
        <v>27</v>
      </c>
      <c r="U1790" s="6">
        <v>85</v>
      </c>
      <c r="V1790" s="6">
        <f>IF(ISERROR(VLOOKUP($S$1790,'TAR FIN'!$A$1:$O$104,15,0)),0,VLOOKUP($S$1790,'TAR FIN'!$A$1:$O$104,15,0))</f>
        <v>0</v>
      </c>
      <c r="W1790" s="6">
        <f>IF(ISERROR(VLOOKUP($T$1790,'TAR FIN'!$A$1:$O$104,15,0)),0,VLOOKUP($T$1790,'TAR FIN'!$A$1:$O$104,15,0))</f>
        <v>300.26</v>
      </c>
      <c r="X1790" s="6">
        <f>IF(ISERROR(VLOOKUP($U$1790,'TAR FIN'!$A$1:$O$104,15,0)),0,VLOOKUP($U$1790,'TAR FIN'!$A$1:$O$104,15,0))</f>
        <v>225.04</v>
      </c>
      <c r="Y1790" s="6"/>
      <c r="Z1790" s="6">
        <f ca="1">('TUSD BE'!$AM$47+'TUSD BF'!$AM$47+'TUSD CVA'!$AM$47)*(1-CUSTOS!$M$38)</f>
        <v>335.21342816228281</v>
      </c>
      <c r="AA1790" s="6">
        <f>('TE BE'!$AB$26+'TE BF'!$AB$26+'TE CVA'!$AB$26)*(1-CUSTOS!$M$38)</f>
        <v>227.92247399192311</v>
      </c>
      <c r="AB1790" s="6">
        <f>$K$1790*$V$1790</f>
        <v>0</v>
      </c>
      <c r="AC1790" s="6">
        <f>$M$1790*$W$1790</f>
        <v>30.026</v>
      </c>
      <c r="AD1790" s="6">
        <f>$O$1790*$X$1790</f>
        <v>22.504000000000001</v>
      </c>
      <c r="AE1790" s="6">
        <f>$K$1790*$Y$1790</f>
        <v>0</v>
      </c>
      <c r="AF1790" s="6">
        <f ca="1">$M$1790*$Z$1790</f>
        <v>33.521342816228284</v>
      </c>
      <c r="AG1790" s="6">
        <f>$O$1790*$AA$1790</f>
        <v>22.792247399192313</v>
      </c>
    </row>
    <row r="1791" spans="1:33" ht="11.25" customHeight="1" x14ac:dyDescent="0.25">
      <c r="A1791" s="4" t="s">
        <v>21</v>
      </c>
      <c r="B1791" s="4" t="s">
        <v>44</v>
      </c>
      <c r="C1791" s="4" t="s">
        <v>23</v>
      </c>
      <c r="D1791" s="4" t="s">
        <v>45</v>
      </c>
      <c r="E1791" s="4" t="s">
        <v>53</v>
      </c>
      <c r="F1791" s="4" t="s">
        <v>54</v>
      </c>
      <c r="G1791" s="4" t="s">
        <v>25</v>
      </c>
      <c r="H1791" s="4" t="s">
        <v>25</v>
      </c>
      <c r="I1791" s="5">
        <v>44713</v>
      </c>
      <c r="J1791" s="6">
        <v>0</v>
      </c>
      <c r="K1791" s="6">
        <v>0</v>
      </c>
      <c r="L1791" s="6">
        <v>1813.252</v>
      </c>
      <c r="M1791" s="6">
        <v>1813.252</v>
      </c>
      <c r="N1791" s="6">
        <v>1813.252</v>
      </c>
      <c r="O1791" s="6">
        <v>1813.252</v>
      </c>
      <c r="P1791" s="6">
        <v>0</v>
      </c>
      <c r="Q1791" s="4" t="s">
        <v>26</v>
      </c>
      <c r="R1791" s="4">
        <v>0</v>
      </c>
      <c r="S1791" s="6">
        <v>0</v>
      </c>
      <c r="T1791" s="6">
        <v>27</v>
      </c>
      <c r="U1791" s="6">
        <v>85</v>
      </c>
      <c r="V1791" s="6">
        <f>IF(ISERROR(VLOOKUP($S$1791,'TAR FIN'!$A$1:$O$104,15,0)),0,VLOOKUP($S$1791,'TAR FIN'!$A$1:$O$104,15,0))</f>
        <v>0</v>
      </c>
      <c r="W1791" s="6">
        <f>IF(ISERROR(VLOOKUP($T$1791,'TAR FIN'!$A$1:$O$104,15,0)),0,VLOOKUP($T$1791,'TAR FIN'!$A$1:$O$104,15,0))</f>
        <v>300.26</v>
      </c>
      <c r="X1791" s="6">
        <f>IF(ISERROR(VLOOKUP($U$1791,'TAR FIN'!$A$1:$O$104,15,0)),0,VLOOKUP($U$1791,'TAR FIN'!$A$1:$O$104,15,0))</f>
        <v>225.04</v>
      </c>
      <c r="Y1791" s="6"/>
      <c r="Z1791" s="6">
        <f ca="1">('TUSD BE'!$AM$47+'TUSD BF'!$AM$47+'TUSD CVA'!$AM$47)*(1-CUSTOS!$M$38)</f>
        <v>335.21342816228281</v>
      </c>
      <c r="AA1791" s="6">
        <f>('TE BE'!$AB$26+'TE BF'!$AB$26+'TE CVA'!$AB$26)*(1-CUSTOS!$M$38)</f>
        <v>227.92247399192311</v>
      </c>
      <c r="AB1791" s="6">
        <f>$K$1791*$V$1791</f>
        <v>0</v>
      </c>
      <c r="AC1791" s="6">
        <f>$M$1791*$W$1791</f>
        <v>544447.04551999993</v>
      </c>
      <c r="AD1791" s="6">
        <f>$O$1791*$X$1791</f>
        <v>408054.23007999995</v>
      </c>
      <c r="AE1791" s="6">
        <f>$K$1791*$Y$1791</f>
        <v>0</v>
      </c>
      <c r="AF1791" s="6">
        <f ca="1">$M$1791*$Z$1791</f>
        <v>607826.41904211557</v>
      </c>
      <c r="AG1791" s="6">
        <f>$O$1791*$AA$1791</f>
        <v>413280.88181080256</v>
      </c>
    </row>
    <row r="1792" spans="1:33" ht="11.25" customHeight="1" x14ac:dyDescent="0.25">
      <c r="A1792" s="4" t="s">
        <v>27</v>
      </c>
      <c r="B1792" s="4" t="s">
        <v>44</v>
      </c>
      <c r="C1792" s="4" t="s">
        <v>23</v>
      </c>
      <c r="D1792" s="4" t="s">
        <v>45</v>
      </c>
      <c r="E1792" s="4" t="s">
        <v>53</v>
      </c>
      <c r="F1792" s="4" t="s">
        <v>54</v>
      </c>
      <c r="G1792" s="4" t="s">
        <v>25</v>
      </c>
      <c r="H1792" s="4" t="s">
        <v>25</v>
      </c>
      <c r="I1792" s="5">
        <v>44713</v>
      </c>
      <c r="J1792" s="6">
        <v>0</v>
      </c>
      <c r="K1792" s="6">
        <v>0</v>
      </c>
      <c r="L1792" s="6">
        <v>-47.026000000000003</v>
      </c>
      <c r="M1792" s="6">
        <v>-47.026000000000003</v>
      </c>
      <c r="N1792" s="6">
        <v>-47.026000000000003</v>
      </c>
      <c r="O1792" s="6">
        <v>-47.026000000000003</v>
      </c>
      <c r="P1792" s="6">
        <v>0</v>
      </c>
      <c r="Q1792" s="4" t="s">
        <v>26</v>
      </c>
      <c r="R1792" s="4">
        <v>0</v>
      </c>
      <c r="S1792" s="6">
        <v>0</v>
      </c>
      <c r="T1792" s="6">
        <v>27</v>
      </c>
      <c r="U1792" s="6">
        <v>85</v>
      </c>
      <c r="V1792" s="6">
        <f>IF(ISERROR(VLOOKUP($S$1792,'TAR FIN'!$A$1:$O$104,15,0)),0,VLOOKUP($S$1792,'TAR FIN'!$A$1:$O$104,15,0))</f>
        <v>0</v>
      </c>
      <c r="W1792" s="6">
        <f>IF(ISERROR(VLOOKUP($T$1792,'TAR FIN'!$A$1:$O$104,15,0)),0,VLOOKUP($T$1792,'TAR FIN'!$A$1:$O$104,15,0))</f>
        <v>300.26</v>
      </c>
      <c r="X1792" s="6">
        <f>IF(ISERROR(VLOOKUP($U$1792,'TAR FIN'!$A$1:$O$104,15,0)),0,VLOOKUP($U$1792,'TAR FIN'!$A$1:$O$104,15,0))</f>
        <v>225.04</v>
      </c>
      <c r="Y1792" s="6"/>
      <c r="Z1792" s="6">
        <f ca="1">('TUSD BE'!$AM$47+'TUSD BF'!$AM$47+'TUSD CVA'!$AM$47)*(1-CUSTOS!$M$38)</f>
        <v>335.21342816228281</v>
      </c>
      <c r="AA1792" s="6">
        <f>('TE BE'!$AB$26+'TE BF'!$AB$26+'TE CVA'!$AB$26)*(1-CUSTOS!$M$38)</f>
        <v>227.92247399192311</v>
      </c>
      <c r="AB1792" s="6">
        <f>$K$1792*$V$1792</f>
        <v>0</v>
      </c>
      <c r="AC1792" s="6">
        <f>$M$1792*$W$1792</f>
        <v>-14120.026760000001</v>
      </c>
      <c r="AD1792" s="6">
        <f>$O$1792*$X$1792</f>
        <v>-10582.731040000001</v>
      </c>
      <c r="AE1792" s="6">
        <f>$K$1792*$Y$1792</f>
        <v>0</v>
      </c>
      <c r="AF1792" s="6">
        <f ca="1">$M$1792*$Z$1792</f>
        <v>-15763.746672759513</v>
      </c>
      <c r="AG1792" s="6">
        <f>$O$1792*$AA$1792</f>
        <v>-10718.282261944178</v>
      </c>
    </row>
    <row r="1793" spans="1:33" ht="11.25" customHeight="1" x14ac:dyDescent="0.25">
      <c r="A1793" s="4" t="s">
        <v>28</v>
      </c>
      <c r="B1793" s="4" t="s">
        <v>44</v>
      </c>
      <c r="C1793" s="4" t="s">
        <v>23</v>
      </c>
      <c r="D1793" s="4" t="s">
        <v>45</v>
      </c>
      <c r="E1793" s="4" t="s">
        <v>53</v>
      </c>
      <c r="F1793" s="4" t="s">
        <v>54</v>
      </c>
      <c r="G1793" s="4" t="s">
        <v>25</v>
      </c>
      <c r="H1793" s="4" t="s">
        <v>25</v>
      </c>
      <c r="I1793" s="5">
        <v>44713</v>
      </c>
      <c r="J1793" s="6">
        <v>0</v>
      </c>
      <c r="K1793" s="6">
        <v>0</v>
      </c>
      <c r="L1793" s="6">
        <v>61.408000000000001</v>
      </c>
      <c r="M1793" s="6">
        <v>61.408000000000001</v>
      </c>
      <c r="N1793" s="6">
        <v>61.408000000000001</v>
      </c>
      <c r="O1793" s="6">
        <v>61.408000000000001</v>
      </c>
      <c r="P1793" s="6">
        <v>0</v>
      </c>
      <c r="Q1793" s="4" t="s">
        <v>26</v>
      </c>
      <c r="R1793" s="4">
        <v>0</v>
      </c>
      <c r="S1793" s="6">
        <v>0</v>
      </c>
      <c r="T1793" s="6">
        <v>27</v>
      </c>
      <c r="U1793" s="6">
        <v>85</v>
      </c>
      <c r="V1793" s="6">
        <f>IF(ISERROR(VLOOKUP($S$1793,'TAR FIN'!$A$1:$O$104,15,0)),0,VLOOKUP($S$1793,'TAR FIN'!$A$1:$O$104,15,0))</f>
        <v>0</v>
      </c>
      <c r="W1793" s="6">
        <f>IF(ISERROR(VLOOKUP($T$1793,'TAR FIN'!$A$1:$O$104,15,0)),0,VLOOKUP($T$1793,'TAR FIN'!$A$1:$O$104,15,0))</f>
        <v>300.26</v>
      </c>
      <c r="X1793" s="6">
        <f>IF(ISERROR(VLOOKUP($U$1793,'TAR FIN'!$A$1:$O$104,15,0)),0,VLOOKUP($U$1793,'TAR FIN'!$A$1:$O$104,15,0))</f>
        <v>225.04</v>
      </c>
      <c r="Y1793" s="6"/>
      <c r="Z1793" s="6">
        <f ca="1">('TUSD BE'!$AM$47+'TUSD BF'!$AM$47+'TUSD CVA'!$AM$47)*(1-CUSTOS!$M$38)</f>
        <v>335.21342816228281</v>
      </c>
      <c r="AA1793" s="6">
        <f>('TE BE'!$AB$26+'TE BF'!$AB$26+'TE CVA'!$AB$26)*(1-CUSTOS!$M$38)</f>
        <v>227.92247399192311</v>
      </c>
      <c r="AB1793" s="6">
        <f>$K$1793*$V$1793</f>
        <v>0</v>
      </c>
      <c r="AC1793" s="6">
        <f>$M$1793*$W$1793</f>
        <v>18438.36608</v>
      </c>
      <c r="AD1793" s="6">
        <f>$O$1793*$X$1793</f>
        <v>13819.25632</v>
      </c>
      <c r="AE1793" s="6">
        <f>$K$1793*$Y$1793</f>
        <v>0</v>
      </c>
      <c r="AF1793" s="6">
        <f ca="1">$M$1793*$Z$1793</f>
        <v>20584.786196589463</v>
      </c>
      <c r="AG1793" s="6">
        <f>$O$1793*$AA$1793</f>
        <v>13996.263282896014</v>
      </c>
    </row>
    <row r="1794" spans="1:33" ht="11.25" customHeight="1" x14ac:dyDescent="0.25">
      <c r="A1794" s="4" t="s">
        <v>57</v>
      </c>
      <c r="B1794" s="4" t="s">
        <v>44</v>
      </c>
      <c r="C1794" s="4" t="s">
        <v>23</v>
      </c>
      <c r="D1794" s="4" t="s">
        <v>45</v>
      </c>
      <c r="E1794" s="4" t="s">
        <v>53</v>
      </c>
      <c r="F1794" s="4" t="s">
        <v>54</v>
      </c>
      <c r="G1794" s="4" t="s">
        <v>25</v>
      </c>
      <c r="H1794" s="4" t="s">
        <v>25</v>
      </c>
      <c r="I1794" s="5">
        <v>44743</v>
      </c>
      <c r="J1794" s="6">
        <v>0</v>
      </c>
      <c r="K1794" s="6">
        <v>0</v>
      </c>
      <c r="L1794" s="6">
        <v>1813.252</v>
      </c>
      <c r="M1794" s="6">
        <v>1813.252</v>
      </c>
      <c r="N1794" s="6">
        <v>1813.252</v>
      </c>
      <c r="O1794" s="6">
        <v>1813.252</v>
      </c>
      <c r="P1794" s="6">
        <v>0</v>
      </c>
      <c r="Q1794" s="4" t="s">
        <v>26</v>
      </c>
      <c r="R1794" s="4">
        <v>0</v>
      </c>
      <c r="S1794" s="6">
        <v>0</v>
      </c>
      <c r="T1794" s="6">
        <v>27</v>
      </c>
      <c r="U1794" s="6">
        <v>85</v>
      </c>
      <c r="V1794" s="6">
        <f>IF(ISERROR(VLOOKUP($S$1794,'TAR FIN'!$A$1:$O$104,15,0)),0,VLOOKUP($S$1794,'TAR FIN'!$A$1:$O$104,15,0))</f>
        <v>0</v>
      </c>
      <c r="W1794" s="6">
        <f>IF(ISERROR(VLOOKUP($T$1794,'TAR FIN'!$A$1:$O$104,15,0)),0,VLOOKUP($T$1794,'TAR FIN'!$A$1:$O$104,15,0))</f>
        <v>300.26</v>
      </c>
      <c r="X1794" s="6">
        <f>IF(ISERROR(VLOOKUP($U$1794,'TAR FIN'!$A$1:$O$104,15,0)),0,VLOOKUP($U$1794,'TAR FIN'!$A$1:$O$104,15,0))</f>
        <v>225.04</v>
      </c>
      <c r="Y1794" s="6"/>
      <c r="Z1794" s="6">
        <f ca="1">('TUSD BE'!$AM$47+'TUSD BF'!$AM$47+'TUSD CVA'!$AM$47)*(1-CUSTOS!$M$38)</f>
        <v>335.21342816228281</v>
      </c>
      <c r="AA1794" s="6">
        <f>('TE BE'!$AB$26+'TE BF'!$AB$26+'TE CVA'!$AB$26)*(1-CUSTOS!$M$38)</f>
        <v>227.92247399192311</v>
      </c>
      <c r="AB1794" s="6">
        <f>$K$1794*$V$1794</f>
        <v>0</v>
      </c>
      <c r="AC1794" s="6">
        <f>$M$1794*$W$1794</f>
        <v>544447.04551999993</v>
      </c>
      <c r="AD1794" s="6">
        <f>$O$1794*$X$1794</f>
        <v>408054.23007999995</v>
      </c>
      <c r="AE1794" s="6">
        <f>$K$1794*$Y$1794</f>
        <v>0</v>
      </c>
      <c r="AF1794" s="6">
        <f ca="1">$M$1794*$Z$1794</f>
        <v>607826.41904211557</v>
      </c>
      <c r="AG1794" s="6">
        <f>$O$1794*$AA$1794</f>
        <v>413280.88181080256</v>
      </c>
    </row>
    <row r="1795" spans="1:33" ht="11.25" customHeight="1" x14ac:dyDescent="0.25">
      <c r="A1795" s="4" t="s">
        <v>57</v>
      </c>
      <c r="B1795" s="4" t="s">
        <v>44</v>
      </c>
      <c r="C1795" s="4" t="s">
        <v>23</v>
      </c>
      <c r="D1795" s="4" t="s">
        <v>45</v>
      </c>
      <c r="E1795" s="4" t="s">
        <v>53</v>
      </c>
      <c r="F1795" s="4" t="s">
        <v>54</v>
      </c>
      <c r="G1795" s="4" t="s">
        <v>25</v>
      </c>
      <c r="H1795" s="4" t="s">
        <v>25</v>
      </c>
      <c r="I1795" s="5">
        <v>44743</v>
      </c>
      <c r="J1795" s="6">
        <v>0</v>
      </c>
      <c r="K1795" s="6">
        <v>0</v>
      </c>
      <c r="L1795" s="6">
        <v>-47.026000000000003</v>
      </c>
      <c r="M1795" s="6">
        <v>-47.026000000000003</v>
      </c>
      <c r="N1795" s="6">
        <v>-47.026000000000003</v>
      </c>
      <c r="O1795" s="6">
        <v>-47.026000000000003</v>
      </c>
      <c r="P1795" s="6">
        <v>0</v>
      </c>
      <c r="Q1795" s="4" t="s">
        <v>26</v>
      </c>
      <c r="R1795" s="4">
        <v>0</v>
      </c>
      <c r="S1795" s="6">
        <v>0</v>
      </c>
      <c r="T1795" s="6">
        <v>27</v>
      </c>
      <c r="U1795" s="6">
        <v>85</v>
      </c>
      <c r="V1795" s="6">
        <f>IF(ISERROR(VLOOKUP($S$1795,'TAR FIN'!$A$1:$O$104,15,0)),0,VLOOKUP($S$1795,'TAR FIN'!$A$1:$O$104,15,0))</f>
        <v>0</v>
      </c>
      <c r="W1795" s="6">
        <f>IF(ISERROR(VLOOKUP($T$1795,'TAR FIN'!$A$1:$O$104,15,0)),0,VLOOKUP($T$1795,'TAR FIN'!$A$1:$O$104,15,0))</f>
        <v>300.26</v>
      </c>
      <c r="X1795" s="6">
        <f>IF(ISERROR(VLOOKUP($U$1795,'TAR FIN'!$A$1:$O$104,15,0)),0,VLOOKUP($U$1795,'TAR FIN'!$A$1:$O$104,15,0))</f>
        <v>225.04</v>
      </c>
      <c r="Y1795" s="6"/>
      <c r="Z1795" s="6">
        <f ca="1">('TUSD BE'!$AM$47+'TUSD BF'!$AM$47+'TUSD CVA'!$AM$47)*(1-CUSTOS!$M$38)</f>
        <v>335.21342816228281</v>
      </c>
      <c r="AA1795" s="6">
        <f>('TE BE'!$AB$26+'TE BF'!$AB$26+'TE CVA'!$AB$26)*(1-CUSTOS!$M$38)</f>
        <v>227.92247399192311</v>
      </c>
      <c r="AB1795" s="6">
        <f>$K$1795*$V$1795</f>
        <v>0</v>
      </c>
      <c r="AC1795" s="6">
        <f>$M$1795*$W$1795</f>
        <v>-14120.026760000001</v>
      </c>
      <c r="AD1795" s="6">
        <f>$O$1795*$X$1795</f>
        <v>-10582.731040000001</v>
      </c>
      <c r="AE1795" s="6">
        <f>$K$1795*$Y$1795</f>
        <v>0</v>
      </c>
      <c r="AF1795" s="6">
        <f ca="1">$M$1795*$Z$1795</f>
        <v>-15763.746672759513</v>
      </c>
      <c r="AG1795" s="6">
        <f>$O$1795*$AA$1795</f>
        <v>-10718.282261944178</v>
      </c>
    </row>
    <row r="1796" spans="1:33" ht="11.25" customHeight="1" x14ac:dyDescent="0.25">
      <c r="A1796" s="4" t="s">
        <v>57</v>
      </c>
      <c r="B1796" s="4" t="s">
        <v>44</v>
      </c>
      <c r="C1796" s="4" t="s">
        <v>23</v>
      </c>
      <c r="D1796" s="4" t="s">
        <v>45</v>
      </c>
      <c r="E1796" s="4" t="s">
        <v>53</v>
      </c>
      <c r="F1796" s="4" t="s">
        <v>54</v>
      </c>
      <c r="G1796" s="4" t="s">
        <v>25</v>
      </c>
      <c r="H1796" s="4" t="s">
        <v>25</v>
      </c>
      <c r="I1796" s="5">
        <v>44743</v>
      </c>
      <c r="J1796" s="6">
        <v>0</v>
      </c>
      <c r="K1796" s="6">
        <v>0</v>
      </c>
      <c r="L1796" s="6">
        <v>61.408000000000001</v>
      </c>
      <c r="M1796" s="6">
        <v>61.408000000000001</v>
      </c>
      <c r="N1796" s="6">
        <v>61.408000000000001</v>
      </c>
      <c r="O1796" s="6">
        <v>61.408000000000001</v>
      </c>
      <c r="P1796" s="6">
        <v>0</v>
      </c>
      <c r="Q1796" s="4" t="s">
        <v>26</v>
      </c>
      <c r="R1796" s="4">
        <v>0</v>
      </c>
      <c r="S1796" s="6">
        <v>0</v>
      </c>
      <c r="T1796" s="6">
        <v>27</v>
      </c>
      <c r="U1796" s="6">
        <v>85</v>
      </c>
      <c r="V1796" s="6">
        <f>IF(ISERROR(VLOOKUP($S$1796,'TAR FIN'!$A$1:$O$104,15,0)),0,VLOOKUP($S$1796,'TAR FIN'!$A$1:$O$104,15,0))</f>
        <v>0</v>
      </c>
      <c r="W1796" s="6">
        <f>IF(ISERROR(VLOOKUP($T$1796,'TAR FIN'!$A$1:$O$104,15,0)),0,VLOOKUP($T$1796,'TAR FIN'!$A$1:$O$104,15,0))</f>
        <v>300.26</v>
      </c>
      <c r="X1796" s="6">
        <f>IF(ISERROR(VLOOKUP($U$1796,'TAR FIN'!$A$1:$O$104,15,0)),0,VLOOKUP($U$1796,'TAR FIN'!$A$1:$O$104,15,0))</f>
        <v>225.04</v>
      </c>
      <c r="Y1796" s="6"/>
      <c r="Z1796" s="6">
        <f ca="1">('TUSD BE'!$AM$47+'TUSD BF'!$AM$47+'TUSD CVA'!$AM$47)*(1-CUSTOS!$M$38)</f>
        <v>335.21342816228281</v>
      </c>
      <c r="AA1796" s="6">
        <f>('TE BE'!$AB$26+'TE BF'!$AB$26+'TE CVA'!$AB$26)*(1-CUSTOS!$M$38)</f>
        <v>227.92247399192311</v>
      </c>
      <c r="AB1796" s="6">
        <f>$K$1796*$V$1796</f>
        <v>0</v>
      </c>
      <c r="AC1796" s="6">
        <f>$M$1796*$W$1796</f>
        <v>18438.36608</v>
      </c>
      <c r="AD1796" s="6">
        <f>$O$1796*$X$1796</f>
        <v>13819.25632</v>
      </c>
      <c r="AE1796" s="6">
        <f>$K$1796*$Y$1796</f>
        <v>0</v>
      </c>
      <c r="AF1796" s="6">
        <f ca="1">$M$1796*$Z$1796</f>
        <v>20584.786196589463</v>
      </c>
      <c r="AG1796" s="6">
        <f>$O$1796*$AA$1796</f>
        <v>13996.263282896014</v>
      </c>
    </row>
    <row r="1797" spans="1:33" ht="11.25" customHeight="1" x14ac:dyDescent="0.25">
      <c r="A1797" s="4" t="s">
        <v>21</v>
      </c>
      <c r="B1797" s="4" t="s">
        <v>44</v>
      </c>
      <c r="C1797" s="4" t="s">
        <v>23</v>
      </c>
      <c r="D1797" s="4" t="s">
        <v>45</v>
      </c>
      <c r="E1797" s="4" t="s">
        <v>53</v>
      </c>
      <c r="F1797" s="4" t="s">
        <v>55</v>
      </c>
      <c r="G1797" s="4" t="s">
        <v>25</v>
      </c>
      <c r="H1797" s="4" t="s">
        <v>25</v>
      </c>
      <c r="I1797" s="5">
        <v>44409</v>
      </c>
      <c r="J1797" s="6">
        <v>0</v>
      </c>
      <c r="K1797" s="6">
        <v>0</v>
      </c>
      <c r="L1797" s="6">
        <v>4636.4390000000003</v>
      </c>
      <c r="M1797" s="6">
        <v>1251.83853</v>
      </c>
      <c r="N1797" s="6">
        <v>4636.4390000000003</v>
      </c>
      <c r="O1797" s="6">
        <v>1251.83853</v>
      </c>
      <c r="P1797" s="6">
        <v>0</v>
      </c>
      <c r="Q1797" s="4" t="s">
        <v>26</v>
      </c>
      <c r="R1797" s="4">
        <v>0</v>
      </c>
      <c r="S1797" s="6">
        <v>0</v>
      </c>
      <c r="T1797" s="6">
        <v>27</v>
      </c>
      <c r="U1797" s="6">
        <v>85</v>
      </c>
      <c r="V1797" s="6">
        <f>IF(ISERROR(VLOOKUP($S$1797,'TAR FIN'!$A$1:$O$104,15,0)),0,VLOOKUP($S$1797,'TAR FIN'!$A$1:$O$104,15,0))</f>
        <v>0</v>
      </c>
      <c r="W1797" s="6">
        <f>IF(ISERROR(VLOOKUP($T$1797,'TAR FIN'!$A$1:$O$104,15,0)),0,VLOOKUP($T$1797,'TAR FIN'!$A$1:$O$104,15,0))</f>
        <v>300.26</v>
      </c>
      <c r="X1797" s="6">
        <f>IF(ISERROR(VLOOKUP($U$1797,'TAR FIN'!$A$1:$O$104,15,0)),0,VLOOKUP($U$1797,'TAR FIN'!$A$1:$O$104,15,0))</f>
        <v>225.04</v>
      </c>
      <c r="Y1797" s="6"/>
      <c r="Z1797" s="6">
        <f ca="1">('TUSD BE'!$AM$47+'TUSD BF'!$AM$47+'TUSD CVA'!$AM$47)*(1-CUSTOS!$M$38)</f>
        <v>335.21342816228281</v>
      </c>
      <c r="AA1797" s="6">
        <f>('TE BE'!$AB$26+'TE BF'!$AB$26+'TE CVA'!$AB$26)*(1-CUSTOS!$M$38)</f>
        <v>227.92247399192311</v>
      </c>
      <c r="AB1797" s="6">
        <f>$K$1797*$V$1797</f>
        <v>0</v>
      </c>
      <c r="AC1797" s="6">
        <f>$M$1797*$W$1797</f>
        <v>375877.03701779997</v>
      </c>
      <c r="AD1797" s="6">
        <f>$O$1797*$X$1797</f>
        <v>281713.7427912</v>
      </c>
      <c r="AE1797" s="6">
        <f>$K$1797*$Y$1797</f>
        <v>0</v>
      </c>
      <c r="AF1797" s="6">
        <f ca="1">$M$1797*$Z$1797</f>
        <v>419633.08514693269</v>
      </c>
      <c r="AG1797" s="6">
        <f>$O$1797*$AA$1797</f>
        <v>285322.13479601225</v>
      </c>
    </row>
    <row r="1798" spans="1:33" ht="11.25" customHeight="1" x14ac:dyDescent="0.25">
      <c r="A1798" s="4" t="s">
        <v>27</v>
      </c>
      <c r="B1798" s="4" t="s">
        <v>44</v>
      </c>
      <c r="C1798" s="4" t="s">
        <v>23</v>
      </c>
      <c r="D1798" s="4" t="s">
        <v>45</v>
      </c>
      <c r="E1798" s="4" t="s">
        <v>53</v>
      </c>
      <c r="F1798" s="4" t="s">
        <v>55</v>
      </c>
      <c r="G1798" s="4" t="s">
        <v>25</v>
      </c>
      <c r="H1798" s="4" t="s">
        <v>25</v>
      </c>
      <c r="I1798" s="5">
        <v>44409</v>
      </c>
      <c r="J1798" s="6">
        <v>0</v>
      </c>
      <c r="K1798" s="6">
        <v>0</v>
      </c>
      <c r="L1798" s="6">
        <v>-53.640999999999998</v>
      </c>
      <c r="M1798" s="6">
        <v>-14.48307</v>
      </c>
      <c r="N1798" s="6">
        <v>-53.640999999999998</v>
      </c>
      <c r="O1798" s="6">
        <v>-14.48307</v>
      </c>
      <c r="P1798" s="6">
        <v>0</v>
      </c>
      <c r="Q1798" s="4" t="s">
        <v>26</v>
      </c>
      <c r="R1798" s="4">
        <v>0</v>
      </c>
      <c r="S1798" s="6">
        <v>0</v>
      </c>
      <c r="T1798" s="6">
        <v>27</v>
      </c>
      <c r="U1798" s="6">
        <v>85</v>
      </c>
      <c r="V1798" s="6">
        <f>IF(ISERROR(VLOOKUP($S$1798,'TAR FIN'!$A$1:$O$104,15,0)),0,VLOOKUP($S$1798,'TAR FIN'!$A$1:$O$104,15,0))</f>
        <v>0</v>
      </c>
      <c r="W1798" s="6">
        <f>IF(ISERROR(VLOOKUP($T$1798,'TAR FIN'!$A$1:$O$104,15,0)),0,VLOOKUP($T$1798,'TAR FIN'!$A$1:$O$104,15,0))</f>
        <v>300.26</v>
      </c>
      <c r="X1798" s="6">
        <f>IF(ISERROR(VLOOKUP($U$1798,'TAR FIN'!$A$1:$O$104,15,0)),0,VLOOKUP($U$1798,'TAR FIN'!$A$1:$O$104,15,0))</f>
        <v>225.04</v>
      </c>
      <c r="Y1798" s="6"/>
      <c r="Z1798" s="6">
        <f ca="1">('TUSD BE'!$AM$47+'TUSD BF'!$AM$47+'TUSD CVA'!$AM$47)*(1-CUSTOS!$M$38)</f>
        <v>335.21342816228281</v>
      </c>
      <c r="AA1798" s="6">
        <f>('TE BE'!$AB$26+'TE BF'!$AB$26+'TE CVA'!$AB$26)*(1-CUSTOS!$M$38)</f>
        <v>227.92247399192311</v>
      </c>
      <c r="AB1798" s="6">
        <f>$K$1798*$V$1798</f>
        <v>0</v>
      </c>
      <c r="AC1798" s="6">
        <f>$M$1798*$W$1798</f>
        <v>-4348.6865981999999</v>
      </c>
      <c r="AD1798" s="6">
        <f>$O$1798*$X$1798</f>
        <v>-3259.2700728</v>
      </c>
      <c r="AE1798" s="6">
        <f>$K$1798*$Y$1798</f>
        <v>0</v>
      </c>
      <c r="AF1798" s="6">
        <f ca="1">$M$1798*$Z$1798</f>
        <v>-4854.9195450143134</v>
      </c>
      <c r="AG1798" s="6">
        <f>$O$1798*$AA$1798</f>
        <v>-3301.0171453982016</v>
      </c>
    </row>
    <row r="1799" spans="1:33" ht="11.25" customHeight="1" x14ac:dyDescent="0.25">
      <c r="A1799" s="4" t="s">
        <v>28</v>
      </c>
      <c r="B1799" s="4" t="s">
        <v>44</v>
      </c>
      <c r="C1799" s="4" t="s">
        <v>23</v>
      </c>
      <c r="D1799" s="4" t="s">
        <v>45</v>
      </c>
      <c r="E1799" s="4" t="s">
        <v>53</v>
      </c>
      <c r="F1799" s="4" t="s">
        <v>55</v>
      </c>
      <c r="G1799" s="4" t="s">
        <v>25</v>
      </c>
      <c r="H1799" s="4" t="s">
        <v>25</v>
      </c>
      <c r="I1799" s="5">
        <v>44409</v>
      </c>
      <c r="J1799" s="6">
        <v>0</v>
      </c>
      <c r="K1799" s="6">
        <v>0</v>
      </c>
      <c r="L1799" s="6">
        <v>115.738</v>
      </c>
      <c r="M1799" s="6">
        <v>31.24926</v>
      </c>
      <c r="N1799" s="6">
        <v>115.738</v>
      </c>
      <c r="O1799" s="6">
        <v>31.24926</v>
      </c>
      <c r="P1799" s="6">
        <v>0</v>
      </c>
      <c r="Q1799" s="4" t="s">
        <v>26</v>
      </c>
      <c r="R1799" s="4">
        <v>0</v>
      </c>
      <c r="S1799" s="6">
        <v>0</v>
      </c>
      <c r="T1799" s="6">
        <v>27</v>
      </c>
      <c r="U1799" s="6">
        <v>85</v>
      </c>
      <c r="V1799" s="6">
        <f>IF(ISERROR(VLOOKUP($S$1799,'TAR FIN'!$A$1:$O$104,15,0)),0,VLOOKUP($S$1799,'TAR FIN'!$A$1:$O$104,15,0))</f>
        <v>0</v>
      </c>
      <c r="W1799" s="6">
        <f>IF(ISERROR(VLOOKUP($T$1799,'TAR FIN'!$A$1:$O$104,15,0)),0,VLOOKUP($T$1799,'TAR FIN'!$A$1:$O$104,15,0))</f>
        <v>300.26</v>
      </c>
      <c r="X1799" s="6">
        <f>IF(ISERROR(VLOOKUP($U$1799,'TAR FIN'!$A$1:$O$104,15,0)),0,VLOOKUP($U$1799,'TAR FIN'!$A$1:$O$104,15,0))</f>
        <v>225.04</v>
      </c>
      <c r="Y1799" s="6"/>
      <c r="Z1799" s="6">
        <f ca="1">('TUSD BE'!$AM$47+'TUSD BF'!$AM$47+'TUSD CVA'!$AM$47)*(1-CUSTOS!$M$38)</f>
        <v>335.21342816228281</v>
      </c>
      <c r="AA1799" s="6">
        <f>('TE BE'!$AB$26+'TE BF'!$AB$26+'TE CVA'!$AB$26)*(1-CUSTOS!$M$38)</f>
        <v>227.92247399192311</v>
      </c>
      <c r="AB1799" s="6">
        <f>$K$1799*$V$1799</f>
        <v>0</v>
      </c>
      <c r="AC1799" s="6">
        <f>$M$1799*$W$1799</f>
        <v>9382.9028075999995</v>
      </c>
      <c r="AD1799" s="6">
        <f>$O$1799*$X$1799</f>
        <v>7032.3334703999999</v>
      </c>
      <c r="AE1799" s="6">
        <f>$K$1799*$Y$1799</f>
        <v>0</v>
      </c>
      <c r="AF1799" s="6">
        <f ca="1">$M$1799*$Z$1799</f>
        <v>10475.171572134497</v>
      </c>
      <c r="AG1799" s="6">
        <f>$O$1799*$AA$1799</f>
        <v>7122.4086496168429</v>
      </c>
    </row>
    <row r="1800" spans="1:33" ht="11.25" customHeight="1" x14ac:dyDescent="0.25">
      <c r="A1800" s="4" t="s">
        <v>21</v>
      </c>
      <c r="B1800" s="4" t="s">
        <v>44</v>
      </c>
      <c r="C1800" s="4" t="s">
        <v>23</v>
      </c>
      <c r="D1800" s="4" t="s">
        <v>45</v>
      </c>
      <c r="E1800" s="4" t="s">
        <v>53</v>
      </c>
      <c r="F1800" s="4" t="s">
        <v>55</v>
      </c>
      <c r="G1800" s="4" t="s">
        <v>25</v>
      </c>
      <c r="H1800" s="4" t="s">
        <v>25</v>
      </c>
      <c r="I1800" s="5">
        <v>44440</v>
      </c>
      <c r="J1800" s="6">
        <v>0</v>
      </c>
      <c r="K1800" s="6">
        <v>0</v>
      </c>
      <c r="L1800" s="6">
        <v>5422.4669999999996</v>
      </c>
      <c r="M1800" s="6">
        <v>1464.06609</v>
      </c>
      <c r="N1800" s="6">
        <v>5422.4669999999996</v>
      </c>
      <c r="O1800" s="6">
        <v>1464.06609</v>
      </c>
      <c r="P1800" s="6">
        <v>0</v>
      </c>
      <c r="Q1800" s="4" t="s">
        <v>26</v>
      </c>
      <c r="R1800" s="4">
        <v>0</v>
      </c>
      <c r="S1800" s="6">
        <v>0</v>
      </c>
      <c r="T1800" s="6">
        <v>27</v>
      </c>
      <c r="U1800" s="6">
        <v>85</v>
      </c>
      <c r="V1800" s="6">
        <f>IF(ISERROR(VLOOKUP($S$1800,'TAR FIN'!$A$1:$O$104,15,0)),0,VLOOKUP($S$1800,'TAR FIN'!$A$1:$O$104,15,0))</f>
        <v>0</v>
      </c>
      <c r="W1800" s="6">
        <f>IF(ISERROR(VLOOKUP($T$1800,'TAR FIN'!$A$1:$O$104,15,0)),0,VLOOKUP($T$1800,'TAR FIN'!$A$1:$O$104,15,0))</f>
        <v>300.26</v>
      </c>
      <c r="X1800" s="6">
        <f>IF(ISERROR(VLOOKUP($U$1800,'TAR FIN'!$A$1:$O$104,15,0)),0,VLOOKUP($U$1800,'TAR FIN'!$A$1:$O$104,15,0))</f>
        <v>225.04</v>
      </c>
      <c r="Y1800" s="6"/>
      <c r="Z1800" s="6">
        <f ca="1">('TUSD BE'!$AM$47+'TUSD BF'!$AM$47+'TUSD CVA'!$AM$47)*(1-CUSTOS!$M$38)</f>
        <v>335.21342816228281</v>
      </c>
      <c r="AA1800" s="6">
        <f>('TE BE'!$AB$26+'TE BF'!$AB$26+'TE CVA'!$AB$26)*(1-CUSTOS!$M$38)</f>
        <v>227.92247399192311</v>
      </c>
      <c r="AB1800" s="6">
        <f>$K$1800*$V$1800</f>
        <v>0</v>
      </c>
      <c r="AC1800" s="6">
        <f>$M$1800*$W$1800</f>
        <v>439600.4841834</v>
      </c>
      <c r="AD1800" s="6">
        <f>$O$1800*$X$1800</f>
        <v>329473.43289360002</v>
      </c>
      <c r="AE1800" s="6">
        <f>$K$1800*$Y$1800</f>
        <v>0</v>
      </c>
      <c r="AF1800" s="6">
        <f ca="1">$M$1800*$Z$1800</f>
        <v>490774.61308504926</v>
      </c>
      <c r="AG1800" s="6">
        <f>$O$1800*$AA$1800</f>
        <v>333693.56532048155</v>
      </c>
    </row>
    <row r="1801" spans="1:33" ht="11.25" customHeight="1" x14ac:dyDescent="0.25">
      <c r="A1801" s="4" t="s">
        <v>27</v>
      </c>
      <c r="B1801" s="4" t="s">
        <v>44</v>
      </c>
      <c r="C1801" s="4" t="s">
        <v>23</v>
      </c>
      <c r="D1801" s="4" t="s">
        <v>45</v>
      </c>
      <c r="E1801" s="4" t="s">
        <v>53</v>
      </c>
      <c r="F1801" s="4" t="s">
        <v>55</v>
      </c>
      <c r="G1801" s="4" t="s">
        <v>25</v>
      </c>
      <c r="H1801" s="4" t="s">
        <v>25</v>
      </c>
      <c r="I1801" s="5">
        <v>44440</v>
      </c>
      <c r="J1801" s="6">
        <v>0</v>
      </c>
      <c r="K1801" s="6">
        <v>0</v>
      </c>
      <c r="L1801" s="6">
        <v>-48.792000000000002</v>
      </c>
      <c r="M1801" s="6">
        <v>-13.17384</v>
      </c>
      <c r="N1801" s="6">
        <v>-48.792000000000002</v>
      </c>
      <c r="O1801" s="6">
        <v>-13.17384</v>
      </c>
      <c r="P1801" s="6">
        <v>0</v>
      </c>
      <c r="Q1801" s="4" t="s">
        <v>26</v>
      </c>
      <c r="R1801" s="4">
        <v>0</v>
      </c>
      <c r="S1801" s="6">
        <v>0</v>
      </c>
      <c r="T1801" s="6">
        <v>27</v>
      </c>
      <c r="U1801" s="6">
        <v>85</v>
      </c>
      <c r="V1801" s="6">
        <f>IF(ISERROR(VLOOKUP($S$1801,'TAR FIN'!$A$1:$O$104,15,0)),0,VLOOKUP($S$1801,'TAR FIN'!$A$1:$O$104,15,0))</f>
        <v>0</v>
      </c>
      <c r="W1801" s="6">
        <f>IF(ISERROR(VLOOKUP($T$1801,'TAR FIN'!$A$1:$O$104,15,0)),0,VLOOKUP($T$1801,'TAR FIN'!$A$1:$O$104,15,0))</f>
        <v>300.26</v>
      </c>
      <c r="X1801" s="6">
        <f>IF(ISERROR(VLOOKUP($U$1801,'TAR FIN'!$A$1:$O$104,15,0)),0,VLOOKUP($U$1801,'TAR FIN'!$A$1:$O$104,15,0))</f>
        <v>225.04</v>
      </c>
      <c r="Y1801" s="6"/>
      <c r="Z1801" s="6">
        <f ca="1">('TUSD BE'!$AM$47+'TUSD BF'!$AM$47+'TUSD CVA'!$AM$47)*(1-CUSTOS!$M$38)</f>
        <v>335.21342816228281</v>
      </c>
      <c r="AA1801" s="6">
        <f>('TE BE'!$AB$26+'TE BF'!$AB$26+'TE CVA'!$AB$26)*(1-CUSTOS!$M$38)</f>
        <v>227.92247399192311</v>
      </c>
      <c r="AB1801" s="6">
        <f>$K$1801*$V$1801</f>
        <v>0</v>
      </c>
      <c r="AC1801" s="6">
        <f>$M$1801*$W$1801</f>
        <v>-3955.5771983999998</v>
      </c>
      <c r="AD1801" s="6">
        <f>$O$1801*$X$1801</f>
        <v>-2964.6409536000001</v>
      </c>
      <c r="AE1801" s="6">
        <f>$K$1801*$Y$1801</f>
        <v>0</v>
      </c>
      <c r="AF1801" s="6">
        <f ca="1">$M$1801*$Z$1801</f>
        <v>-4416.0480684614076</v>
      </c>
      <c r="AG1801" s="6">
        <f>$O$1801*$AA$1801</f>
        <v>-3002.6142047737562</v>
      </c>
    </row>
    <row r="1802" spans="1:33" ht="11.25" customHeight="1" x14ac:dyDescent="0.25">
      <c r="A1802" s="4" t="s">
        <v>28</v>
      </c>
      <c r="B1802" s="4" t="s">
        <v>44</v>
      </c>
      <c r="C1802" s="4" t="s">
        <v>23</v>
      </c>
      <c r="D1802" s="4" t="s">
        <v>45</v>
      </c>
      <c r="E1802" s="4" t="s">
        <v>53</v>
      </c>
      <c r="F1802" s="4" t="s">
        <v>55</v>
      </c>
      <c r="G1802" s="4" t="s">
        <v>25</v>
      </c>
      <c r="H1802" s="4" t="s">
        <v>25</v>
      </c>
      <c r="I1802" s="5">
        <v>44440</v>
      </c>
      <c r="J1802" s="6">
        <v>0</v>
      </c>
      <c r="K1802" s="6">
        <v>0</v>
      </c>
      <c r="L1802" s="6">
        <v>135.87799999999999</v>
      </c>
      <c r="M1802" s="6">
        <v>36.687060000000002</v>
      </c>
      <c r="N1802" s="6">
        <v>135.87799999999999</v>
      </c>
      <c r="O1802" s="6">
        <v>36.687060000000002</v>
      </c>
      <c r="P1802" s="6">
        <v>0</v>
      </c>
      <c r="Q1802" s="4" t="s">
        <v>26</v>
      </c>
      <c r="R1802" s="4">
        <v>0</v>
      </c>
      <c r="S1802" s="6">
        <v>0</v>
      </c>
      <c r="T1802" s="6">
        <v>27</v>
      </c>
      <c r="U1802" s="6">
        <v>85</v>
      </c>
      <c r="V1802" s="6">
        <f>IF(ISERROR(VLOOKUP($S$1802,'TAR FIN'!$A$1:$O$104,15,0)),0,VLOOKUP($S$1802,'TAR FIN'!$A$1:$O$104,15,0))</f>
        <v>0</v>
      </c>
      <c r="W1802" s="6">
        <f>IF(ISERROR(VLOOKUP($T$1802,'TAR FIN'!$A$1:$O$104,15,0)),0,VLOOKUP($T$1802,'TAR FIN'!$A$1:$O$104,15,0))</f>
        <v>300.26</v>
      </c>
      <c r="X1802" s="6">
        <f>IF(ISERROR(VLOOKUP($U$1802,'TAR FIN'!$A$1:$O$104,15,0)),0,VLOOKUP($U$1802,'TAR FIN'!$A$1:$O$104,15,0))</f>
        <v>225.04</v>
      </c>
      <c r="Y1802" s="6"/>
      <c r="Z1802" s="6">
        <f ca="1">('TUSD BE'!$AM$47+'TUSD BF'!$AM$47+'TUSD CVA'!$AM$47)*(1-CUSTOS!$M$38)</f>
        <v>335.21342816228281</v>
      </c>
      <c r="AA1802" s="6">
        <f>('TE BE'!$AB$26+'TE BF'!$AB$26+'TE CVA'!$AB$26)*(1-CUSTOS!$M$38)</f>
        <v>227.92247399192311</v>
      </c>
      <c r="AB1802" s="6">
        <f>$K$1802*$V$1802</f>
        <v>0</v>
      </c>
      <c r="AC1802" s="6">
        <f>$M$1802*$W$1802</f>
        <v>11015.6566356</v>
      </c>
      <c r="AD1802" s="6">
        <f>$O$1802*$X$1802</f>
        <v>8256.0559824000011</v>
      </c>
      <c r="AE1802" s="6">
        <f>$K$1802*$Y$1802</f>
        <v>0</v>
      </c>
      <c r="AF1802" s="6">
        <f ca="1">$M$1802*$Z$1802</f>
        <v>12297.99515179536</v>
      </c>
      <c r="AG1802" s="6">
        <f>$O$1802*$AA$1802</f>
        <v>8361.805478690123</v>
      </c>
    </row>
    <row r="1803" spans="1:33" ht="11.25" customHeight="1" x14ac:dyDescent="0.25">
      <c r="A1803" s="4" t="s">
        <v>28</v>
      </c>
      <c r="B1803" s="4" t="s">
        <v>44</v>
      </c>
      <c r="C1803" s="4" t="s">
        <v>23</v>
      </c>
      <c r="D1803" s="4" t="s">
        <v>45</v>
      </c>
      <c r="E1803" s="4" t="s">
        <v>53</v>
      </c>
      <c r="F1803" s="4" t="s">
        <v>55</v>
      </c>
      <c r="G1803" s="4" t="s">
        <v>25</v>
      </c>
      <c r="H1803" s="4" t="s">
        <v>25</v>
      </c>
      <c r="I1803" s="5">
        <v>44440</v>
      </c>
      <c r="J1803" s="6">
        <v>0</v>
      </c>
      <c r="K1803" s="6">
        <v>0</v>
      </c>
      <c r="L1803" s="6">
        <v>-3.532</v>
      </c>
      <c r="M1803" s="6">
        <v>-0.95364000000000004</v>
      </c>
      <c r="N1803" s="6">
        <v>-3.532</v>
      </c>
      <c r="O1803" s="6">
        <v>-0.95364000000000004</v>
      </c>
      <c r="P1803" s="6">
        <v>0</v>
      </c>
      <c r="Q1803" s="4" t="s">
        <v>26</v>
      </c>
      <c r="R1803" s="4">
        <v>0</v>
      </c>
      <c r="S1803" s="6">
        <v>0</v>
      </c>
      <c r="T1803" s="6">
        <v>27</v>
      </c>
      <c r="U1803" s="6">
        <v>85</v>
      </c>
      <c r="V1803" s="6">
        <f>IF(ISERROR(VLOOKUP($S$1803,'TAR FIN'!$A$1:$O$104,15,0)),0,VLOOKUP($S$1803,'TAR FIN'!$A$1:$O$104,15,0))</f>
        <v>0</v>
      </c>
      <c r="W1803" s="6">
        <f>IF(ISERROR(VLOOKUP($T$1803,'TAR FIN'!$A$1:$O$104,15,0)),0,VLOOKUP($T$1803,'TAR FIN'!$A$1:$O$104,15,0))</f>
        <v>300.26</v>
      </c>
      <c r="X1803" s="6">
        <f>IF(ISERROR(VLOOKUP($U$1803,'TAR FIN'!$A$1:$O$104,15,0)),0,VLOOKUP($U$1803,'TAR FIN'!$A$1:$O$104,15,0))</f>
        <v>225.04</v>
      </c>
      <c r="Y1803" s="6"/>
      <c r="Z1803" s="6">
        <f ca="1">('TUSD BE'!$AM$47+'TUSD BF'!$AM$47+'TUSD CVA'!$AM$47)*(1-CUSTOS!$M$38)</f>
        <v>335.21342816228281</v>
      </c>
      <c r="AA1803" s="6">
        <f>('TE BE'!$AB$26+'TE BF'!$AB$26+'TE CVA'!$AB$26)*(1-CUSTOS!$M$38)</f>
        <v>227.92247399192311</v>
      </c>
      <c r="AB1803" s="6">
        <f>$K$1803*$V$1803</f>
        <v>0</v>
      </c>
      <c r="AC1803" s="6">
        <f>$M$1803*$W$1803</f>
        <v>-286.33994640000003</v>
      </c>
      <c r="AD1803" s="6">
        <f>$O$1803*$X$1803</f>
        <v>-214.6071456</v>
      </c>
      <c r="AE1803" s="6">
        <f>$K$1803*$Y$1803</f>
        <v>0</v>
      </c>
      <c r="AF1803" s="6">
        <f ca="1">$M$1803*$Z$1803</f>
        <v>-319.67293363267942</v>
      </c>
      <c r="AG1803" s="6">
        <f>$O$1803*$AA$1803</f>
        <v>-217.35598809765756</v>
      </c>
    </row>
    <row r="1804" spans="1:33" ht="11.25" customHeight="1" x14ac:dyDescent="0.25">
      <c r="A1804" s="4" t="s">
        <v>21</v>
      </c>
      <c r="B1804" s="4" t="s">
        <v>44</v>
      </c>
      <c r="C1804" s="4" t="s">
        <v>23</v>
      </c>
      <c r="D1804" s="4" t="s">
        <v>45</v>
      </c>
      <c r="E1804" s="4" t="s">
        <v>53</v>
      </c>
      <c r="F1804" s="4" t="s">
        <v>55</v>
      </c>
      <c r="G1804" s="4" t="s">
        <v>25</v>
      </c>
      <c r="H1804" s="4" t="s">
        <v>25</v>
      </c>
      <c r="I1804" s="5">
        <v>44470</v>
      </c>
      <c r="J1804" s="6">
        <v>0</v>
      </c>
      <c r="K1804" s="6">
        <v>0</v>
      </c>
      <c r="L1804" s="6">
        <v>6521.0780000000004</v>
      </c>
      <c r="M1804" s="6">
        <v>1760.6910600000001</v>
      </c>
      <c r="N1804" s="6">
        <v>6521.0780000000004</v>
      </c>
      <c r="O1804" s="6">
        <v>1760.6910600000001</v>
      </c>
      <c r="P1804" s="6">
        <v>0</v>
      </c>
      <c r="Q1804" s="4" t="s">
        <v>26</v>
      </c>
      <c r="R1804" s="4">
        <v>0</v>
      </c>
      <c r="S1804" s="6">
        <v>0</v>
      </c>
      <c r="T1804" s="6">
        <v>27</v>
      </c>
      <c r="U1804" s="6">
        <v>85</v>
      </c>
      <c r="V1804" s="6">
        <f>IF(ISERROR(VLOOKUP($S$1804,'TAR FIN'!$A$1:$O$104,15,0)),0,VLOOKUP($S$1804,'TAR FIN'!$A$1:$O$104,15,0))</f>
        <v>0</v>
      </c>
      <c r="W1804" s="6">
        <f>IF(ISERROR(VLOOKUP($T$1804,'TAR FIN'!$A$1:$O$104,15,0)),0,VLOOKUP($T$1804,'TAR FIN'!$A$1:$O$104,15,0))</f>
        <v>300.26</v>
      </c>
      <c r="X1804" s="6">
        <f>IF(ISERROR(VLOOKUP($U$1804,'TAR FIN'!$A$1:$O$104,15,0)),0,VLOOKUP($U$1804,'TAR FIN'!$A$1:$O$104,15,0))</f>
        <v>225.04</v>
      </c>
      <c r="Y1804" s="6"/>
      <c r="Z1804" s="6">
        <f ca="1">('TUSD BE'!$AM$47+'TUSD BF'!$AM$47+'TUSD CVA'!$AM$47)*(1-CUSTOS!$M$38)</f>
        <v>335.21342816228281</v>
      </c>
      <c r="AA1804" s="6">
        <f>('TE BE'!$AB$26+'TE BF'!$AB$26+'TE CVA'!$AB$26)*(1-CUSTOS!$M$38)</f>
        <v>227.92247399192311</v>
      </c>
      <c r="AB1804" s="6">
        <f>$K$1804*$V$1804</f>
        <v>0</v>
      </c>
      <c r="AC1804" s="6">
        <f>$M$1804*$W$1804</f>
        <v>528665.09767559997</v>
      </c>
      <c r="AD1804" s="6">
        <f>$O$1804*$X$1804</f>
        <v>396225.9161424</v>
      </c>
      <c r="AE1804" s="6">
        <f>$K$1804*$Y$1804</f>
        <v>0</v>
      </c>
      <c r="AF1804" s="6">
        <f ca="1">$M$1804*$Z$1804</f>
        <v>590207.28615728358</v>
      </c>
      <c r="AG1804" s="6">
        <f>$O$1804*$AA$1804</f>
        <v>401301.06233066157</v>
      </c>
    </row>
    <row r="1805" spans="1:33" ht="11.25" customHeight="1" x14ac:dyDescent="0.25">
      <c r="A1805" s="4" t="s">
        <v>27</v>
      </c>
      <c r="B1805" s="4" t="s">
        <v>44</v>
      </c>
      <c r="C1805" s="4" t="s">
        <v>23</v>
      </c>
      <c r="D1805" s="4" t="s">
        <v>45</v>
      </c>
      <c r="E1805" s="4" t="s">
        <v>53</v>
      </c>
      <c r="F1805" s="4" t="s">
        <v>55</v>
      </c>
      <c r="G1805" s="4" t="s">
        <v>25</v>
      </c>
      <c r="H1805" s="4" t="s">
        <v>25</v>
      </c>
      <c r="I1805" s="5">
        <v>44470</v>
      </c>
      <c r="J1805" s="6">
        <v>0</v>
      </c>
      <c r="K1805" s="6">
        <v>0</v>
      </c>
      <c r="L1805" s="6">
        <v>31.164000000000001</v>
      </c>
      <c r="M1805" s="6">
        <v>8.4142799999999998</v>
      </c>
      <c r="N1805" s="6">
        <v>31.164000000000001</v>
      </c>
      <c r="O1805" s="6">
        <v>8.4142799999999998</v>
      </c>
      <c r="P1805" s="6">
        <v>0</v>
      </c>
      <c r="Q1805" s="4" t="s">
        <v>26</v>
      </c>
      <c r="R1805" s="4">
        <v>0</v>
      </c>
      <c r="S1805" s="6">
        <v>0</v>
      </c>
      <c r="T1805" s="6">
        <v>27</v>
      </c>
      <c r="U1805" s="6">
        <v>85</v>
      </c>
      <c r="V1805" s="6">
        <f>IF(ISERROR(VLOOKUP($S$1805,'TAR FIN'!$A$1:$O$104,15,0)),0,VLOOKUP($S$1805,'TAR FIN'!$A$1:$O$104,15,0))</f>
        <v>0</v>
      </c>
      <c r="W1805" s="6">
        <f>IF(ISERROR(VLOOKUP($T$1805,'TAR FIN'!$A$1:$O$104,15,0)),0,VLOOKUP($T$1805,'TAR FIN'!$A$1:$O$104,15,0))</f>
        <v>300.26</v>
      </c>
      <c r="X1805" s="6">
        <f>IF(ISERROR(VLOOKUP($U$1805,'TAR FIN'!$A$1:$O$104,15,0)),0,VLOOKUP($U$1805,'TAR FIN'!$A$1:$O$104,15,0))</f>
        <v>225.04</v>
      </c>
      <c r="Y1805" s="6"/>
      <c r="Z1805" s="6">
        <f ca="1">('TUSD BE'!$AM$47+'TUSD BF'!$AM$47+'TUSD CVA'!$AM$47)*(1-CUSTOS!$M$38)</f>
        <v>335.21342816228281</v>
      </c>
      <c r="AA1805" s="6">
        <f>('TE BE'!$AB$26+'TE BF'!$AB$26+'TE CVA'!$AB$26)*(1-CUSTOS!$M$38)</f>
        <v>227.92247399192311</v>
      </c>
      <c r="AB1805" s="6">
        <f>$K$1805*$V$1805</f>
        <v>0</v>
      </c>
      <c r="AC1805" s="6">
        <f>$M$1805*$W$1805</f>
        <v>2526.4717127999998</v>
      </c>
      <c r="AD1805" s="6">
        <f>$O$1805*$X$1805</f>
        <v>1893.5495711999999</v>
      </c>
      <c r="AE1805" s="6">
        <f>$K$1805*$Y$1805</f>
        <v>0</v>
      </c>
      <c r="AF1805" s="6">
        <f ca="1">$M$1805*$Z$1805</f>
        <v>2820.5796443173331</v>
      </c>
      <c r="AG1805" s="6">
        <f>$O$1805*$AA$1805</f>
        <v>1917.8035144607588</v>
      </c>
    </row>
    <row r="1806" spans="1:33" ht="11.25" customHeight="1" x14ac:dyDescent="0.25">
      <c r="A1806" s="4" t="s">
        <v>28</v>
      </c>
      <c r="B1806" s="4" t="s">
        <v>44</v>
      </c>
      <c r="C1806" s="4" t="s">
        <v>23</v>
      </c>
      <c r="D1806" s="4" t="s">
        <v>45</v>
      </c>
      <c r="E1806" s="4" t="s">
        <v>53</v>
      </c>
      <c r="F1806" s="4" t="s">
        <v>55</v>
      </c>
      <c r="G1806" s="4" t="s">
        <v>25</v>
      </c>
      <c r="H1806" s="4" t="s">
        <v>25</v>
      </c>
      <c r="I1806" s="5">
        <v>44470</v>
      </c>
      <c r="J1806" s="6">
        <v>0</v>
      </c>
      <c r="K1806" s="6">
        <v>0</v>
      </c>
      <c r="L1806" s="6">
        <v>156.62200000000001</v>
      </c>
      <c r="M1806" s="6">
        <v>42.287939999999999</v>
      </c>
      <c r="N1806" s="6">
        <v>156.62200000000001</v>
      </c>
      <c r="O1806" s="6">
        <v>42.287939999999999</v>
      </c>
      <c r="P1806" s="6">
        <v>0</v>
      </c>
      <c r="Q1806" s="4" t="s">
        <v>26</v>
      </c>
      <c r="R1806" s="4">
        <v>0</v>
      </c>
      <c r="S1806" s="6">
        <v>0</v>
      </c>
      <c r="T1806" s="6">
        <v>27</v>
      </c>
      <c r="U1806" s="6">
        <v>85</v>
      </c>
      <c r="V1806" s="6">
        <f>IF(ISERROR(VLOOKUP($S$1806,'TAR FIN'!$A$1:$O$104,15,0)),0,VLOOKUP($S$1806,'TAR FIN'!$A$1:$O$104,15,0))</f>
        <v>0</v>
      </c>
      <c r="W1806" s="6">
        <f>IF(ISERROR(VLOOKUP($T$1806,'TAR FIN'!$A$1:$O$104,15,0)),0,VLOOKUP($T$1806,'TAR FIN'!$A$1:$O$104,15,0))</f>
        <v>300.26</v>
      </c>
      <c r="X1806" s="6">
        <f>IF(ISERROR(VLOOKUP($U$1806,'TAR FIN'!$A$1:$O$104,15,0)),0,VLOOKUP($U$1806,'TAR FIN'!$A$1:$O$104,15,0))</f>
        <v>225.04</v>
      </c>
      <c r="Y1806" s="6"/>
      <c r="Z1806" s="6">
        <f ca="1">('TUSD BE'!$AM$47+'TUSD BF'!$AM$47+'TUSD CVA'!$AM$47)*(1-CUSTOS!$M$38)</f>
        <v>335.21342816228281</v>
      </c>
      <c r="AA1806" s="6">
        <f>('TE BE'!$AB$26+'TE BF'!$AB$26+'TE CVA'!$AB$26)*(1-CUSTOS!$M$38)</f>
        <v>227.92247399192311</v>
      </c>
      <c r="AB1806" s="6">
        <f>$K$1806*$V$1806</f>
        <v>0</v>
      </c>
      <c r="AC1806" s="6">
        <f>$M$1806*$W$1806</f>
        <v>12697.376864399999</v>
      </c>
      <c r="AD1806" s="6">
        <f>$O$1806*$X$1806</f>
        <v>9516.4780175999986</v>
      </c>
      <c r="AE1806" s="6">
        <f>$K$1806*$Y$1806</f>
        <v>0</v>
      </c>
      <c r="AF1806" s="6">
        <f ca="1">$M$1806*$Z$1806</f>
        <v>14175.485337320926</v>
      </c>
      <c r="AG1806" s="6">
        <f>$O$1806*$AA$1806</f>
        <v>9638.3719048220046</v>
      </c>
    </row>
    <row r="1807" spans="1:33" ht="11.25" customHeight="1" x14ac:dyDescent="0.25">
      <c r="A1807" s="4" t="s">
        <v>21</v>
      </c>
      <c r="B1807" s="4" t="s">
        <v>44</v>
      </c>
      <c r="C1807" s="4" t="s">
        <v>23</v>
      </c>
      <c r="D1807" s="4" t="s">
        <v>45</v>
      </c>
      <c r="E1807" s="4" t="s">
        <v>53</v>
      </c>
      <c r="F1807" s="4" t="s">
        <v>55</v>
      </c>
      <c r="G1807" s="4" t="s">
        <v>25</v>
      </c>
      <c r="H1807" s="4" t="s">
        <v>25</v>
      </c>
      <c r="I1807" s="5">
        <v>44501</v>
      </c>
      <c r="J1807" s="6">
        <v>0</v>
      </c>
      <c r="K1807" s="6">
        <v>0</v>
      </c>
      <c r="L1807" s="6">
        <v>6503.8609999999999</v>
      </c>
      <c r="M1807" s="6">
        <v>1756.0424700000001</v>
      </c>
      <c r="N1807" s="6">
        <v>6503.8609999999999</v>
      </c>
      <c r="O1807" s="6">
        <v>1756.0424700000001</v>
      </c>
      <c r="P1807" s="6">
        <v>0</v>
      </c>
      <c r="Q1807" s="4" t="s">
        <v>26</v>
      </c>
      <c r="R1807" s="4">
        <v>0</v>
      </c>
      <c r="S1807" s="6">
        <v>0</v>
      </c>
      <c r="T1807" s="6">
        <v>27</v>
      </c>
      <c r="U1807" s="6">
        <v>85</v>
      </c>
      <c r="V1807" s="6">
        <f>IF(ISERROR(VLOOKUP($S$1807,'TAR FIN'!$A$1:$O$104,15,0)),0,VLOOKUP($S$1807,'TAR FIN'!$A$1:$O$104,15,0))</f>
        <v>0</v>
      </c>
      <c r="W1807" s="6">
        <f>IF(ISERROR(VLOOKUP($T$1807,'TAR FIN'!$A$1:$O$104,15,0)),0,VLOOKUP($T$1807,'TAR FIN'!$A$1:$O$104,15,0))</f>
        <v>300.26</v>
      </c>
      <c r="X1807" s="6">
        <f>IF(ISERROR(VLOOKUP($U$1807,'TAR FIN'!$A$1:$O$104,15,0)),0,VLOOKUP($U$1807,'TAR FIN'!$A$1:$O$104,15,0))</f>
        <v>225.04</v>
      </c>
      <c r="Y1807" s="6"/>
      <c r="Z1807" s="6">
        <f ca="1">('TUSD BE'!$AM$47+'TUSD BF'!$AM$47+'TUSD CVA'!$AM$47)*(1-CUSTOS!$M$38)</f>
        <v>335.21342816228281</v>
      </c>
      <c r="AA1807" s="6">
        <f>('TE BE'!$AB$26+'TE BF'!$AB$26+'TE CVA'!$AB$26)*(1-CUSTOS!$M$38)</f>
        <v>227.92247399192311</v>
      </c>
      <c r="AB1807" s="6">
        <f>$K$1807*$V$1807</f>
        <v>0</v>
      </c>
      <c r="AC1807" s="6">
        <f>$M$1807*$W$1807</f>
        <v>527269.31204220001</v>
      </c>
      <c r="AD1807" s="6">
        <f>$O$1807*$X$1807</f>
        <v>395179.7974488</v>
      </c>
      <c r="AE1807" s="6">
        <f>$K$1807*$Y$1807</f>
        <v>0</v>
      </c>
      <c r="AF1807" s="6">
        <f ca="1">$M$1807*$Z$1807</f>
        <v>588649.01636726269</v>
      </c>
      <c r="AG1807" s="6">
        <f>$O$1807*$AA$1807</f>
        <v>400241.54419728747</v>
      </c>
    </row>
    <row r="1808" spans="1:33" ht="11.25" customHeight="1" x14ac:dyDescent="0.25">
      <c r="A1808" s="4" t="s">
        <v>27</v>
      </c>
      <c r="B1808" s="4" t="s">
        <v>44</v>
      </c>
      <c r="C1808" s="4" t="s">
        <v>23</v>
      </c>
      <c r="D1808" s="4" t="s">
        <v>45</v>
      </c>
      <c r="E1808" s="4" t="s">
        <v>53</v>
      </c>
      <c r="F1808" s="4" t="s">
        <v>55</v>
      </c>
      <c r="G1808" s="4" t="s">
        <v>25</v>
      </c>
      <c r="H1808" s="4" t="s">
        <v>25</v>
      </c>
      <c r="I1808" s="5">
        <v>44501</v>
      </c>
      <c r="J1808" s="6">
        <v>0</v>
      </c>
      <c r="K1808" s="6">
        <v>0</v>
      </c>
      <c r="L1808" s="6">
        <v>-31.870999999999999</v>
      </c>
      <c r="M1808" s="6">
        <v>-8.6051699999999993</v>
      </c>
      <c r="N1808" s="6">
        <v>-31.870999999999999</v>
      </c>
      <c r="O1808" s="6">
        <v>-8.6051699999999993</v>
      </c>
      <c r="P1808" s="6">
        <v>0</v>
      </c>
      <c r="Q1808" s="4" t="s">
        <v>26</v>
      </c>
      <c r="R1808" s="4">
        <v>0</v>
      </c>
      <c r="S1808" s="6">
        <v>0</v>
      </c>
      <c r="T1808" s="6">
        <v>27</v>
      </c>
      <c r="U1808" s="6">
        <v>85</v>
      </c>
      <c r="V1808" s="6">
        <f>IF(ISERROR(VLOOKUP($S$1808,'TAR FIN'!$A$1:$O$104,15,0)),0,VLOOKUP($S$1808,'TAR FIN'!$A$1:$O$104,15,0))</f>
        <v>0</v>
      </c>
      <c r="W1808" s="6">
        <f>IF(ISERROR(VLOOKUP($T$1808,'TAR FIN'!$A$1:$O$104,15,0)),0,VLOOKUP($T$1808,'TAR FIN'!$A$1:$O$104,15,0))</f>
        <v>300.26</v>
      </c>
      <c r="X1808" s="6">
        <f>IF(ISERROR(VLOOKUP($U$1808,'TAR FIN'!$A$1:$O$104,15,0)),0,VLOOKUP($U$1808,'TAR FIN'!$A$1:$O$104,15,0))</f>
        <v>225.04</v>
      </c>
      <c r="Y1808" s="6"/>
      <c r="Z1808" s="6">
        <f ca="1">('TUSD BE'!$AM$47+'TUSD BF'!$AM$47+'TUSD CVA'!$AM$47)*(1-CUSTOS!$M$38)</f>
        <v>335.21342816228281</v>
      </c>
      <c r="AA1808" s="6">
        <f>('TE BE'!$AB$26+'TE BF'!$AB$26+'TE CVA'!$AB$26)*(1-CUSTOS!$M$38)</f>
        <v>227.92247399192311</v>
      </c>
      <c r="AB1808" s="6">
        <f>$K$1808*$V$1808</f>
        <v>0</v>
      </c>
      <c r="AC1808" s="6">
        <f>$M$1808*$W$1808</f>
        <v>-2583.7883441999998</v>
      </c>
      <c r="AD1808" s="6">
        <f>$O$1808*$X$1808</f>
        <v>-1936.5074567999998</v>
      </c>
      <c r="AE1808" s="6">
        <f>$K$1808*$Y$1808</f>
        <v>0</v>
      </c>
      <c r="AF1808" s="6">
        <f ca="1">$M$1808*$Z$1808</f>
        <v>-2884.5685356192307</v>
      </c>
      <c r="AG1808" s="6">
        <f>$O$1808*$AA$1808</f>
        <v>-1961.3116355210768</v>
      </c>
    </row>
    <row r="1809" spans="1:33" ht="11.25" customHeight="1" x14ac:dyDescent="0.25">
      <c r="A1809" s="4" t="s">
        <v>28</v>
      </c>
      <c r="B1809" s="4" t="s">
        <v>44</v>
      </c>
      <c r="C1809" s="4" t="s">
        <v>23</v>
      </c>
      <c r="D1809" s="4" t="s">
        <v>45</v>
      </c>
      <c r="E1809" s="4" t="s">
        <v>53</v>
      </c>
      <c r="F1809" s="4" t="s">
        <v>55</v>
      </c>
      <c r="G1809" s="4" t="s">
        <v>25</v>
      </c>
      <c r="H1809" s="4" t="s">
        <v>25</v>
      </c>
      <c r="I1809" s="5">
        <v>44501</v>
      </c>
      <c r="J1809" s="6">
        <v>0</v>
      </c>
      <c r="K1809" s="6">
        <v>0</v>
      </c>
      <c r="L1809" s="6">
        <v>172.49700000000001</v>
      </c>
      <c r="M1809" s="6">
        <v>46.574190000000002</v>
      </c>
      <c r="N1809" s="6">
        <v>172.49700000000001</v>
      </c>
      <c r="O1809" s="6">
        <v>46.574190000000002</v>
      </c>
      <c r="P1809" s="6">
        <v>0</v>
      </c>
      <c r="Q1809" s="4" t="s">
        <v>26</v>
      </c>
      <c r="R1809" s="4">
        <v>0</v>
      </c>
      <c r="S1809" s="6">
        <v>0</v>
      </c>
      <c r="T1809" s="6">
        <v>27</v>
      </c>
      <c r="U1809" s="6">
        <v>85</v>
      </c>
      <c r="V1809" s="6">
        <f>IF(ISERROR(VLOOKUP($S$1809,'TAR FIN'!$A$1:$O$104,15,0)),0,VLOOKUP($S$1809,'TAR FIN'!$A$1:$O$104,15,0))</f>
        <v>0</v>
      </c>
      <c r="W1809" s="6">
        <f>IF(ISERROR(VLOOKUP($T$1809,'TAR FIN'!$A$1:$O$104,15,0)),0,VLOOKUP($T$1809,'TAR FIN'!$A$1:$O$104,15,0))</f>
        <v>300.26</v>
      </c>
      <c r="X1809" s="6">
        <f>IF(ISERROR(VLOOKUP($U$1809,'TAR FIN'!$A$1:$O$104,15,0)),0,VLOOKUP($U$1809,'TAR FIN'!$A$1:$O$104,15,0))</f>
        <v>225.04</v>
      </c>
      <c r="Y1809" s="6"/>
      <c r="Z1809" s="6">
        <f ca="1">('TUSD BE'!$AM$47+'TUSD BF'!$AM$47+'TUSD CVA'!$AM$47)*(1-CUSTOS!$M$38)</f>
        <v>335.21342816228281</v>
      </c>
      <c r="AA1809" s="6">
        <f>('TE BE'!$AB$26+'TE BF'!$AB$26+'TE CVA'!$AB$26)*(1-CUSTOS!$M$38)</f>
        <v>227.92247399192311</v>
      </c>
      <c r="AB1809" s="6">
        <f>$K$1809*$V$1809</f>
        <v>0</v>
      </c>
      <c r="AC1809" s="6">
        <f>$M$1809*$W$1809</f>
        <v>13984.366289400001</v>
      </c>
      <c r="AD1809" s="6">
        <f>$O$1809*$X$1809</f>
        <v>10481.0557176</v>
      </c>
      <c r="AE1809" s="6">
        <f>$K$1809*$Y$1809</f>
        <v>0</v>
      </c>
      <c r="AF1809" s="6">
        <f ca="1">$M$1809*$Z$1809</f>
        <v>15612.293893781511</v>
      </c>
      <c r="AG1809" s="6">
        <f>$O$1809*$AA$1809</f>
        <v>10615.304608969886</v>
      </c>
    </row>
    <row r="1810" spans="1:33" ht="11.25" customHeight="1" x14ac:dyDescent="0.25">
      <c r="A1810" s="4" t="s">
        <v>21</v>
      </c>
      <c r="B1810" s="4" t="s">
        <v>44</v>
      </c>
      <c r="C1810" s="4" t="s">
        <v>23</v>
      </c>
      <c r="D1810" s="4" t="s">
        <v>45</v>
      </c>
      <c r="E1810" s="4" t="s">
        <v>53</v>
      </c>
      <c r="F1810" s="4" t="s">
        <v>55</v>
      </c>
      <c r="G1810" s="4" t="s">
        <v>25</v>
      </c>
      <c r="H1810" s="4" t="s">
        <v>25</v>
      </c>
      <c r="I1810" s="5">
        <v>44531</v>
      </c>
      <c r="J1810" s="6">
        <v>0</v>
      </c>
      <c r="K1810" s="6">
        <v>0</v>
      </c>
      <c r="L1810" s="6">
        <v>6802.8249999999998</v>
      </c>
      <c r="M1810" s="6">
        <v>1836.7627500000001</v>
      </c>
      <c r="N1810" s="6">
        <v>6802.8249999999998</v>
      </c>
      <c r="O1810" s="6">
        <v>1836.7627500000001</v>
      </c>
      <c r="P1810" s="6">
        <v>0</v>
      </c>
      <c r="Q1810" s="4" t="s">
        <v>26</v>
      </c>
      <c r="R1810" s="4">
        <v>0</v>
      </c>
      <c r="S1810" s="6">
        <v>0</v>
      </c>
      <c r="T1810" s="6">
        <v>27</v>
      </c>
      <c r="U1810" s="6">
        <v>85</v>
      </c>
      <c r="V1810" s="6">
        <f>IF(ISERROR(VLOOKUP($S$1810,'TAR FIN'!$A$1:$O$104,15,0)),0,VLOOKUP($S$1810,'TAR FIN'!$A$1:$O$104,15,0))</f>
        <v>0</v>
      </c>
      <c r="W1810" s="6">
        <f>IF(ISERROR(VLOOKUP($T$1810,'TAR FIN'!$A$1:$O$104,15,0)),0,VLOOKUP($T$1810,'TAR FIN'!$A$1:$O$104,15,0))</f>
        <v>300.26</v>
      </c>
      <c r="X1810" s="6">
        <f>IF(ISERROR(VLOOKUP($U$1810,'TAR FIN'!$A$1:$O$104,15,0)),0,VLOOKUP($U$1810,'TAR FIN'!$A$1:$O$104,15,0))</f>
        <v>225.04</v>
      </c>
      <c r="Y1810" s="6"/>
      <c r="Z1810" s="6">
        <f ca="1">('TUSD BE'!$AM$47+'TUSD BF'!$AM$47+'TUSD CVA'!$AM$47)*(1-CUSTOS!$M$38)</f>
        <v>335.21342816228281</v>
      </c>
      <c r="AA1810" s="6">
        <f>('TE BE'!$AB$26+'TE BF'!$AB$26+'TE CVA'!$AB$26)*(1-CUSTOS!$M$38)</f>
        <v>227.92247399192311</v>
      </c>
      <c r="AB1810" s="6">
        <f>$K$1810*$V$1810</f>
        <v>0</v>
      </c>
      <c r="AC1810" s="6">
        <f>$M$1810*$W$1810</f>
        <v>551506.38331499998</v>
      </c>
      <c r="AD1810" s="6">
        <f>$O$1810*$X$1810</f>
        <v>413345.08925999998</v>
      </c>
      <c r="AE1810" s="6">
        <f>$K$1810*$Y$1810</f>
        <v>0</v>
      </c>
      <c r="AF1810" s="6">
        <f ca="1">$M$1810*$Z$1810</f>
        <v>615707.5381482821</v>
      </c>
      <c r="AG1810" s="6">
        <f>$O$1810*$AA$1810</f>
        <v>418639.51011620817</v>
      </c>
    </row>
    <row r="1811" spans="1:33" ht="11.25" customHeight="1" x14ac:dyDescent="0.25">
      <c r="A1811" s="4" t="s">
        <v>27</v>
      </c>
      <c r="B1811" s="4" t="s">
        <v>44</v>
      </c>
      <c r="C1811" s="4" t="s">
        <v>23</v>
      </c>
      <c r="D1811" s="4" t="s">
        <v>45</v>
      </c>
      <c r="E1811" s="4" t="s">
        <v>53</v>
      </c>
      <c r="F1811" s="4" t="s">
        <v>55</v>
      </c>
      <c r="G1811" s="4" t="s">
        <v>25</v>
      </c>
      <c r="H1811" s="4" t="s">
        <v>25</v>
      </c>
      <c r="I1811" s="5">
        <v>44531</v>
      </c>
      <c r="J1811" s="6">
        <v>0</v>
      </c>
      <c r="K1811" s="6">
        <v>0</v>
      </c>
      <c r="L1811" s="6">
        <v>-60.622999999999998</v>
      </c>
      <c r="M1811" s="6">
        <v>-16.368210000000001</v>
      </c>
      <c r="N1811" s="6">
        <v>-60.622999999999998</v>
      </c>
      <c r="O1811" s="6">
        <v>-16.368210000000001</v>
      </c>
      <c r="P1811" s="6">
        <v>0</v>
      </c>
      <c r="Q1811" s="4" t="s">
        <v>26</v>
      </c>
      <c r="R1811" s="4">
        <v>0</v>
      </c>
      <c r="S1811" s="6">
        <v>0</v>
      </c>
      <c r="T1811" s="6">
        <v>27</v>
      </c>
      <c r="U1811" s="6">
        <v>85</v>
      </c>
      <c r="V1811" s="6">
        <f>IF(ISERROR(VLOOKUP($S$1811,'TAR FIN'!$A$1:$O$104,15,0)),0,VLOOKUP($S$1811,'TAR FIN'!$A$1:$O$104,15,0))</f>
        <v>0</v>
      </c>
      <c r="W1811" s="6">
        <f>IF(ISERROR(VLOOKUP($T$1811,'TAR FIN'!$A$1:$O$104,15,0)),0,VLOOKUP($T$1811,'TAR FIN'!$A$1:$O$104,15,0))</f>
        <v>300.26</v>
      </c>
      <c r="X1811" s="6">
        <f>IF(ISERROR(VLOOKUP($U$1811,'TAR FIN'!$A$1:$O$104,15,0)),0,VLOOKUP($U$1811,'TAR FIN'!$A$1:$O$104,15,0))</f>
        <v>225.04</v>
      </c>
      <c r="Y1811" s="6"/>
      <c r="Z1811" s="6">
        <f ca="1">('TUSD BE'!$AM$47+'TUSD BF'!$AM$47+'TUSD CVA'!$AM$47)*(1-CUSTOS!$M$38)</f>
        <v>335.21342816228281</v>
      </c>
      <c r="AA1811" s="6">
        <f>('TE BE'!$AB$26+'TE BF'!$AB$26+'TE CVA'!$AB$26)*(1-CUSTOS!$M$38)</f>
        <v>227.92247399192311</v>
      </c>
      <c r="AB1811" s="6">
        <f>$K$1811*$V$1811</f>
        <v>0</v>
      </c>
      <c r="AC1811" s="6">
        <f>$M$1811*$W$1811</f>
        <v>-4914.7187346000001</v>
      </c>
      <c r="AD1811" s="6">
        <f>$O$1811*$X$1811</f>
        <v>-3683.5019784000001</v>
      </c>
      <c r="AE1811" s="6">
        <f>$K$1811*$Y$1811</f>
        <v>0</v>
      </c>
      <c r="AF1811" s="6">
        <f ca="1">$M$1811*$Z$1811</f>
        <v>-5486.8437869801592</v>
      </c>
      <c r="AG1811" s="6">
        <f>$O$1811*$AA$1811</f>
        <v>-3730.6829180193363</v>
      </c>
    </row>
    <row r="1812" spans="1:33" ht="11.25" customHeight="1" x14ac:dyDescent="0.25">
      <c r="A1812" s="4" t="s">
        <v>28</v>
      </c>
      <c r="B1812" s="4" t="s">
        <v>44</v>
      </c>
      <c r="C1812" s="4" t="s">
        <v>23</v>
      </c>
      <c r="D1812" s="4" t="s">
        <v>45</v>
      </c>
      <c r="E1812" s="4" t="s">
        <v>53</v>
      </c>
      <c r="F1812" s="4" t="s">
        <v>55</v>
      </c>
      <c r="G1812" s="4" t="s">
        <v>25</v>
      </c>
      <c r="H1812" s="4" t="s">
        <v>25</v>
      </c>
      <c r="I1812" s="5">
        <v>44531</v>
      </c>
      <c r="J1812" s="6">
        <v>0</v>
      </c>
      <c r="K1812" s="6">
        <v>0</v>
      </c>
      <c r="L1812" s="6">
        <v>199.44300000000001</v>
      </c>
      <c r="M1812" s="6">
        <v>53.849609999999998</v>
      </c>
      <c r="N1812" s="6">
        <v>199.44300000000001</v>
      </c>
      <c r="O1812" s="6">
        <v>53.849609999999998</v>
      </c>
      <c r="P1812" s="6">
        <v>0</v>
      </c>
      <c r="Q1812" s="4" t="s">
        <v>26</v>
      </c>
      <c r="R1812" s="4">
        <v>0</v>
      </c>
      <c r="S1812" s="6">
        <v>0</v>
      </c>
      <c r="T1812" s="6">
        <v>27</v>
      </c>
      <c r="U1812" s="6">
        <v>85</v>
      </c>
      <c r="V1812" s="6">
        <f>IF(ISERROR(VLOOKUP($S$1812,'TAR FIN'!$A$1:$O$104,15,0)),0,VLOOKUP($S$1812,'TAR FIN'!$A$1:$O$104,15,0))</f>
        <v>0</v>
      </c>
      <c r="W1812" s="6">
        <f>IF(ISERROR(VLOOKUP($T$1812,'TAR FIN'!$A$1:$O$104,15,0)),0,VLOOKUP($T$1812,'TAR FIN'!$A$1:$O$104,15,0))</f>
        <v>300.26</v>
      </c>
      <c r="X1812" s="6">
        <f>IF(ISERROR(VLOOKUP($U$1812,'TAR FIN'!$A$1:$O$104,15,0)),0,VLOOKUP($U$1812,'TAR FIN'!$A$1:$O$104,15,0))</f>
        <v>225.04</v>
      </c>
      <c r="Y1812" s="6"/>
      <c r="Z1812" s="6">
        <f ca="1">('TUSD BE'!$AM$47+'TUSD BF'!$AM$47+'TUSD CVA'!$AM$47)*(1-CUSTOS!$M$38)</f>
        <v>335.21342816228281</v>
      </c>
      <c r="AA1812" s="6">
        <f>('TE BE'!$AB$26+'TE BF'!$AB$26+'TE CVA'!$AB$26)*(1-CUSTOS!$M$38)</f>
        <v>227.92247399192311</v>
      </c>
      <c r="AB1812" s="6">
        <f>$K$1812*$V$1812</f>
        <v>0</v>
      </c>
      <c r="AC1812" s="6">
        <f>$M$1812*$W$1812</f>
        <v>16168.883898599999</v>
      </c>
      <c r="AD1812" s="6">
        <f>$O$1812*$X$1812</f>
        <v>12118.316234399999</v>
      </c>
      <c r="AE1812" s="6">
        <f>$K$1812*$Y$1812</f>
        <v>0</v>
      </c>
      <c r="AF1812" s="6">
        <f ca="1">$M$1812*$Z$1812</f>
        <v>18051.112373301945</v>
      </c>
      <c r="AG1812" s="6">
        <f>$O$1812*$AA$1812</f>
        <v>12273.536334700202</v>
      </c>
    </row>
    <row r="1813" spans="1:33" ht="11.25" customHeight="1" x14ac:dyDescent="0.25">
      <c r="A1813" s="4" t="s">
        <v>21</v>
      </c>
      <c r="B1813" s="4" t="s">
        <v>44</v>
      </c>
      <c r="C1813" s="4" t="s">
        <v>23</v>
      </c>
      <c r="D1813" s="4" t="s">
        <v>45</v>
      </c>
      <c r="E1813" s="4" t="s">
        <v>53</v>
      </c>
      <c r="F1813" s="4" t="s">
        <v>55</v>
      </c>
      <c r="G1813" s="4" t="s">
        <v>25</v>
      </c>
      <c r="H1813" s="4" t="s">
        <v>25</v>
      </c>
      <c r="I1813" s="5">
        <v>44562</v>
      </c>
      <c r="J1813" s="6">
        <v>0</v>
      </c>
      <c r="K1813" s="6">
        <v>0</v>
      </c>
      <c r="L1813" s="6">
        <v>3661.6559999999999</v>
      </c>
      <c r="M1813" s="6">
        <v>988.64711999999997</v>
      </c>
      <c r="N1813" s="6">
        <v>3661.6559999999999</v>
      </c>
      <c r="O1813" s="6">
        <v>988.64711999999997</v>
      </c>
      <c r="P1813" s="6">
        <v>0</v>
      </c>
      <c r="Q1813" s="4" t="s">
        <v>26</v>
      </c>
      <c r="R1813" s="4">
        <v>0</v>
      </c>
      <c r="S1813" s="6">
        <v>0</v>
      </c>
      <c r="T1813" s="6">
        <v>27</v>
      </c>
      <c r="U1813" s="6">
        <v>85</v>
      </c>
      <c r="V1813" s="6">
        <f>IF(ISERROR(VLOOKUP($S$1813,'TAR FIN'!$A$1:$O$104,15,0)),0,VLOOKUP($S$1813,'TAR FIN'!$A$1:$O$104,15,0))</f>
        <v>0</v>
      </c>
      <c r="W1813" s="6">
        <f>IF(ISERROR(VLOOKUP($T$1813,'TAR FIN'!$A$1:$O$104,15,0)),0,VLOOKUP($T$1813,'TAR FIN'!$A$1:$O$104,15,0))</f>
        <v>300.26</v>
      </c>
      <c r="X1813" s="6">
        <f>IF(ISERROR(VLOOKUP($U$1813,'TAR FIN'!$A$1:$O$104,15,0)),0,VLOOKUP($U$1813,'TAR FIN'!$A$1:$O$104,15,0))</f>
        <v>225.04</v>
      </c>
      <c r="Y1813" s="6"/>
      <c r="Z1813" s="6">
        <f ca="1">('TUSD BE'!$AM$47+'TUSD BF'!$AM$47+'TUSD CVA'!$AM$47)*(1-CUSTOS!$M$38)</f>
        <v>335.21342816228281</v>
      </c>
      <c r="AA1813" s="6">
        <f>('TE BE'!$AB$26+'TE BF'!$AB$26+'TE CVA'!$AB$26)*(1-CUSTOS!$M$38)</f>
        <v>227.92247399192311</v>
      </c>
      <c r="AB1813" s="6">
        <f>$K$1813*$V$1813</f>
        <v>0</v>
      </c>
      <c r="AC1813" s="6">
        <f>$M$1813*$W$1813</f>
        <v>296851.1842512</v>
      </c>
      <c r="AD1813" s="6">
        <f>$O$1813*$X$1813</f>
        <v>222485.14788479998</v>
      </c>
      <c r="AE1813" s="6">
        <f>$K$1813*$Y$1813</f>
        <v>0</v>
      </c>
      <c r="AF1813" s="6">
        <f ca="1">$M$1813*$Z$1813</f>
        <v>331407.7903379678</v>
      </c>
      <c r="AG1813" s="6">
        <f>$O$1813*$AA$1813</f>
        <v>225334.89749538968</v>
      </c>
    </row>
    <row r="1814" spans="1:33" ht="11.25" customHeight="1" x14ac:dyDescent="0.25">
      <c r="A1814" s="4" t="s">
        <v>27</v>
      </c>
      <c r="B1814" s="4" t="s">
        <v>44</v>
      </c>
      <c r="C1814" s="4" t="s">
        <v>23</v>
      </c>
      <c r="D1814" s="4" t="s">
        <v>45</v>
      </c>
      <c r="E1814" s="4" t="s">
        <v>53</v>
      </c>
      <c r="F1814" s="4" t="s">
        <v>55</v>
      </c>
      <c r="G1814" s="4" t="s">
        <v>25</v>
      </c>
      <c r="H1814" s="4" t="s">
        <v>25</v>
      </c>
      <c r="I1814" s="5">
        <v>44562</v>
      </c>
      <c r="J1814" s="6">
        <v>0</v>
      </c>
      <c r="K1814" s="6">
        <v>0</v>
      </c>
      <c r="L1814" s="6">
        <v>-46.845999999999997</v>
      </c>
      <c r="M1814" s="6">
        <v>-12.64842</v>
      </c>
      <c r="N1814" s="6">
        <v>-46.845999999999997</v>
      </c>
      <c r="O1814" s="6">
        <v>-12.64842</v>
      </c>
      <c r="P1814" s="6">
        <v>0</v>
      </c>
      <c r="Q1814" s="4" t="s">
        <v>26</v>
      </c>
      <c r="R1814" s="4">
        <v>0</v>
      </c>
      <c r="S1814" s="6">
        <v>0</v>
      </c>
      <c r="T1814" s="6">
        <v>27</v>
      </c>
      <c r="U1814" s="6">
        <v>85</v>
      </c>
      <c r="V1814" s="6">
        <f>IF(ISERROR(VLOOKUP($S$1814,'TAR FIN'!$A$1:$O$104,15,0)),0,VLOOKUP($S$1814,'TAR FIN'!$A$1:$O$104,15,0))</f>
        <v>0</v>
      </c>
      <c r="W1814" s="6">
        <f>IF(ISERROR(VLOOKUP($T$1814,'TAR FIN'!$A$1:$O$104,15,0)),0,VLOOKUP($T$1814,'TAR FIN'!$A$1:$O$104,15,0))</f>
        <v>300.26</v>
      </c>
      <c r="X1814" s="6">
        <f>IF(ISERROR(VLOOKUP($U$1814,'TAR FIN'!$A$1:$O$104,15,0)),0,VLOOKUP($U$1814,'TAR FIN'!$A$1:$O$104,15,0))</f>
        <v>225.04</v>
      </c>
      <c r="Y1814" s="6"/>
      <c r="Z1814" s="6">
        <f ca="1">('TUSD BE'!$AM$47+'TUSD BF'!$AM$47+'TUSD CVA'!$AM$47)*(1-CUSTOS!$M$38)</f>
        <v>335.21342816228281</v>
      </c>
      <c r="AA1814" s="6">
        <f>('TE BE'!$AB$26+'TE BF'!$AB$26+'TE CVA'!$AB$26)*(1-CUSTOS!$M$38)</f>
        <v>227.92247399192311</v>
      </c>
      <c r="AB1814" s="6">
        <f>$K$1814*$V$1814</f>
        <v>0</v>
      </c>
      <c r="AC1814" s="6">
        <f>$M$1814*$W$1814</f>
        <v>-3797.8145891999998</v>
      </c>
      <c r="AD1814" s="6">
        <f>$O$1814*$X$1814</f>
        <v>-2846.4004367999996</v>
      </c>
      <c r="AE1814" s="6">
        <f>$K$1814*$Y$1814</f>
        <v>0</v>
      </c>
      <c r="AF1814" s="6">
        <f ca="1">$M$1814*$Z$1814</f>
        <v>-4239.920229036381</v>
      </c>
      <c r="AG1814" s="6">
        <f>$O$1814*$AA$1814</f>
        <v>-2882.85917848892</v>
      </c>
    </row>
    <row r="1815" spans="1:33" ht="11.25" customHeight="1" x14ac:dyDescent="0.25">
      <c r="A1815" s="4" t="s">
        <v>28</v>
      </c>
      <c r="B1815" s="4" t="s">
        <v>44</v>
      </c>
      <c r="C1815" s="4" t="s">
        <v>23</v>
      </c>
      <c r="D1815" s="4" t="s">
        <v>45</v>
      </c>
      <c r="E1815" s="4" t="s">
        <v>53</v>
      </c>
      <c r="F1815" s="4" t="s">
        <v>55</v>
      </c>
      <c r="G1815" s="4" t="s">
        <v>25</v>
      </c>
      <c r="H1815" s="4" t="s">
        <v>25</v>
      </c>
      <c r="I1815" s="5">
        <v>44562</v>
      </c>
      <c r="J1815" s="6">
        <v>0</v>
      </c>
      <c r="K1815" s="6">
        <v>0</v>
      </c>
      <c r="L1815" s="6">
        <v>131.33000000000001</v>
      </c>
      <c r="M1815" s="6">
        <v>35.459099999999999</v>
      </c>
      <c r="N1815" s="6">
        <v>131.33000000000001</v>
      </c>
      <c r="O1815" s="6">
        <v>35.459099999999999</v>
      </c>
      <c r="P1815" s="6">
        <v>0</v>
      </c>
      <c r="Q1815" s="4" t="s">
        <v>26</v>
      </c>
      <c r="R1815" s="4">
        <v>0</v>
      </c>
      <c r="S1815" s="6">
        <v>0</v>
      </c>
      <c r="T1815" s="6">
        <v>27</v>
      </c>
      <c r="U1815" s="6">
        <v>85</v>
      </c>
      <c r="V1815" s="6">
        <f>IF(ISERROR(VLOOKUP($S$1815,'TAR FIN'!$A$1:$O$104,15,0)),0,VLOOKUP($S$1815,'TAR FIN'!$A$1:$O$104,15,0))</f>
        <v>0</v>
      </c>
      <c r="W1815" s="6">
        <f>IF(ISERROR(VLOOKUP($T$1815,'TAR FIN'!$A$1:$O$104,15,0)),0,VLOOKUP($T$1815,'TAR FIN'!$A$1:$O$104,15,0))</f>
        <v>300.26</v>
      </c>
      <c r="X1815" s="6">
        <f>IF(ISERROR(VLOOKUP($U$1815,'TAR FIN'!$A$1:$O$104,15,0)),0,VLOOKUP($U$1815,'TAR FIN'!$A$1:$O$104,15,0))</f>
        <v>225.04</v>
      </c>
      <c r="Y1815" s="6"/>
      <c r="Z1815" s="6">
        <f ca="1">('TUSD BE'!$AM$47+'TUSD BF'!$AM$47+'TUSD CVA'!$AM$47)*(1-CUSTOS!$M$38)</f>
        <v>335.21342816228281</v>
      </c>
      <c r="AA1815" s="6">
        <f>('TE BE'!$AB$26+'TE BF'!$AB$26+'TE CVA'!$AB$26)*(1-CUSTOS!$M$38)</f>
        <v>227.92247399192311</v>
      </c>
      <c r="AB1815" s="6">
        <f>$K$1815*$V$1815</f>
        <v>0</v>
      </c>
      <c r="AC1815" s="6">
        <f>$M$1815*$W$1815</f>
        <v>10646.949365999999</v>
      </c>
      <c r="AD1815" s="6">
        <f>$O$1815*$X$1815</f>
        <v>7979.7158639999998</v>
      </c>
      <c r="AE1815" s="6">
        <f>$K$1815*$Y$1815</f>
        <v>0</v>
      </c>
      <c r="AF1815" s="6">
        <f ca="1">$M$1815*$Z$1815</f>
        <v>11886.366470549203</v>
      </c>
      <c r="AG1815" s="6">
        <f>$O$1815*$AA$1815</f>
        <v>8081.9257975270011</v>
      </c>
    </row>
    <row r="1816" spans="1:33" ht="11.25" customHeight="1" x14ac:dyDescent="0.25">
      <c r="A1816" s="4" t="s">
        <v>21</v>
      </c>
      <c r="B1816" s="4" t="s">
        <v>44</v>
      </c>
      <c r="C1816" s="4" t="s">
        <v>23</v>
      </c>
      <c r="D1816" s="4" t="s">
        <v>45</v>
      </c>
      <c r="E1816" s="4" t="s">
        <v>53</v>
      </c>
      <c r="F1816" s="4" t="s">
        <v>55</v>
      </c>
      <c r="G1816" s="4" t="s">
        <v>25</v>
      </c>
      <c r="H1816" s="4" t="s">
        <v>25</v>
      </c>
      <c r="I1816" s="5">
        <v>44593</v>
      </c>
      <c r="J1816" s="6">
        <v>0</v>
      </c>
      <c r="K1816" s="6">
        <v>0</v>
      </c>
      <c r="L1816" s="6">
        <v>2808.576</v>
      </c>
      <c r="M1816" s="6">
        <v>758.31551999999999</v>
      </c>
      <c r="N1816" s="6">
        <v>2808.576</v>
      </c>
      <c r="O1816" s="6">
        <v>758.31551999999999</v>
      </c>
      <c r="P1816" s="6">
        <v>0</v>
      </c>
      <c r="Q1816" s="4" t="s">
        <v>26</v>
      </c>
      <c r="R1816" s="4">
        <v>0</v>
      </c>
      <c r="S1816" s="6">
        <v>0</v>
      </c>
      <c r="T1816" s="6">
        <v>27</v>
      </c>
      <c r="U1816" s="6">
        <v>85</v>
      </c>
      <c r="V1816" s="6">
        <f>IF(ISERROR(VLOOKUP($S$1816,'TAR FIN'!$A$1:$O$104,15,0)),0,VLOOKUP($S$1816,'TAR FIN'!$A$1:$O$104,15,0))</f>
        <v>0</v>
      </c>
      <c r="W1816" s="6">
        <f>IF(ISERROR(VLOOKUP($T$1816,'TAR FIN'!$A$1:$O$104,15,0)),0,VLOOKUP($T$1816,'TAR FIN'!$A$1:$O$104,15,0))</f>
        <v>300.26</v>
      </c>
      <c r="X1816" s="6">
        <f>IF(ISERROR(VLOOKUP($U$1816,'TAR FIN'!$A$1:$O$104,15,0)),0,VLOOKUP($U$1816,'TAR FIN'!$A$1:$O$104,15,0))</f>
        <v>225.04</v>
      </c>
      <c r="Y1816" s="6"/>
      <c r="Z1816" s="6">
        <f ca="1">('TUSD BE'!$AM$47+'TUSD BF'!$AM$47+'TUSD CVA'!$AM$47)*(1-CUSTOS!$M$38)</f>
        <v>335.21342816228281</v>
      </c>
      <c r="AA1816" s="6">
        <f>('TE BE'!$AB$26+'TE BF'!$AB$26+'TE CVA'!$AB$26)*(1-CUSTOS!$M$38)</f>
        <v>227.92247399192311</v>
      </c>
      <c r="AB1816" s="6">
        <f>$K$1816*$V$1816</f>
        <v>0</v>
      </c>
      <c r="AC1816" s="6">
        <f>$M$1816*$W$1816</f>
        <v>227691.81803519998</v>
      </c>
      <c r="AD1816" s="6">
        <f>$O$1816*$X$1816</f>
        <v>170651.32462080001</v>
      </c>
      <c r="AE1816" s="6">
        <f>$K$1816*$Y$1816</f>
        <v>0</v>
      </c>
      <c r="AF1816" s="6">
        <f ca="1">$M$1816*$Z$1816</f>
        <v>254197.54508786413</v>
      </c>
      <c r="AG1816" s="6">
        <f>$O$1816*$AA$1816</f>
        <v>172837.14938487165</v>
      </c>
    </row>
    <row r="1817" spans="1:33" ht="11.25" customHeight="1" x14ac:dyDescent="0.25">
      <c r="A1817" s="4" t="s">
        <v>27</v>
      </c>
      <c r="B1817" s="4" t="s">
        <v>44</v>
      </c>
      <c r="C1817" s="4" t="s">
        <v>23</v>
      </c>
      <c r="D1817" s="4" t="s">
        <v>45</v>
      </c>
      <c r="E1817" s="4" t="s">
        <v>53</v>
      </c>
      <c r="F1817" s="4" t="s">
        <v>55</v>
      </c>
      <c r="G1817" s="4" t="s">
        <v>25</v>
      </c>
      <c r="H1817" s="4" t="s">
        <v>25</v>
      </c>
      <c r="I1817" s="5">
        <v>44593</v>
      </c>
      <c r="J1817" s="6">
        <v>0</v>
      </c>
      <c r="K1817" s="6">
        <v>0</v>
      </c>
      <c r="L1817" s="6">
        <v>-61.741999999999997</v>
      </c>
      <c r="M1817" s="6">
        <v>-16.670339999999999</v>
      </c>
      <c r="N1817" s="6">
        <v>-61.741999999999997</v>
      </c>
      <c r="O1817" s="6">
        <v>-16.670339999999999</v>
      </c>
      <c r="P1817" s="6">
        <v>0</v>
      </c>
      <c r="Q1817" s="4" t="s">
        <v>26</v>
      </c>
      <c r="R1817" s="4">
        <v>0</v>
      </c>
      <c r="S1817" s="6">
        <v>0</v>
      </c>
      <c r="T1817" s="6">
        <v>27</v>
      </c>
      <c r="U1817" s="6">
        <v>85</v>
      </c>
      <c r="V1817" s="6">
        <f>IF(ISERROR(VLOOKUP($S$1817,'TAR FIN'!$A$1:$O$104,15,0)),0,VLOOKUP($S$1817,'TAR FIN'!$A$1:$O$104,15,0))</f>
        <v>0</v>
      </c>
      <c r="W1817" s="6">
        <f>IF(ISERROR(VLOOKUP($T$1817,'TAR FIN'!$A$1:$O$104,15,0)),0,VLOOKUP($T$1817,'TAR FIN'!$A$1:$O$104,15,0))</f>
        <v>300.26</v>
      </c>
      <c r="X1817" s="6">
        <f>IF(ISERROR(VLOOKUP($U$1817,'TAR FIN'!$A$1:$O$104,15,0)),0,VLOOKUP($U$1817,'TAR FIN'!$A$1:$O$104,15,0))</f>
        <v>225.04</v>
      </c>
      <c r="Y1817" s="6"/>
      <c r="Z1817" s="6">
        <f ca="1">('TUSD BE'!$AM$47+'TUSD BF'!$AM$47+'TUSD CVA'!$AM$47)*(1-CUSTOS!$M$38)</f>
        <v>335.21342816228281</v>
      </c>
      <c r="AA1817" s="6">
        <f>('TE BE'!$AB$26+'TE BF'!$AB$26+'TE CVA'!$AB$26)*(1-CUSTOS!$M$38)</f>
        <v>227.92247399192311</v>
      </c>
      <c r="AB1817" s="6">
        <f>$K$1817*$V$1817</f>
        <v>0</v>
      </c>
      <c r="AC1817" s="6">
        <f>$M$1817*$W$1817</f>
        <v>-5005.4362883999993</v>
      </c>
      <c r="AD1817" s="6">
        <f>$O$1817*$X$1817</f>
        <v>-3751.4933136</v>
      </c>
      <c r="AE1817" s="6">
        <f>$K$1817*$Y$1817</f>
        <v>0</v>
      </c>
      <c r="AF1817" s="6">
        <f ca="1">$M$1817*$Z$1817</f>
        <v>-5588.1218200308294</v>
      </c>
      <c r="AG1817" s="6">
        <f>$O$1817*$AA$1817</f>
        <v>-3799.5451350865155</v>
      </c>
    </row>
    <row r="1818" spans="1:33" ht="11.25" customHeight="1" x14ac:dyDescent="0.25">
      <c r="A1818" s="4" t="s">
        <v>28</v>
      </c>
      <c r="B1818" s="4" t="s">
        <v>44</v>
      </c>
      <c r="C1818" s="4" t="s">
        <v>23</v>
      </c>
      <c r="D1818" s="4" t="s">
        <v>45</v>
      </c>
      <c r="E1818" s="4" t="s">
        <v>53</v>
      </c>
      <c r="F1818" s="4" t="s">
        <v>55</v>
      </c>
      <c r="G1818" s="4" t="s">
        <v>25</v>
      </c>
      <c r="H1818" s="4" t="s">
        <v>25</v>
      </c>
      <c r="I1818" s="5">
        <v>44593</v>
      </c>
      <c r="J1818" s="6">
        <v>0</v>
      </c>
      <c r="K1818" s="6">
        <v>0</v>
      </c>
      <c r="L1818" s="6">
        <v>107.61799999999999</v>
      </c>
      <c r="M1818" s="6">
        <v>29.05686</v>
      </c>
      <c r="N1818" s="6">
        <v>107.61799999999999</v>
      </c>
      <c r="O1818" s="6">
        <v>29.05686</v>
      </c>
      <c r="P1818" s="6">
        <v>0</v>
      </c>
      <c r="Q1818" s="4" t="s">
        <v>26</v>
      </c>
      <c r="R1818" s="4">
        <v>0</v>
      </c>
      <c r="S1818" s="6">
        <v>0</v>
      </c>
      <c r="T1818" s="6">
        <v>27</v>
      </c>
      <c r="U1818" s="6">
        <v>85</v>
      </c>
      <c r="V1818" s="6">
        <f>IF(ISERROR(VLOOKUP($S$1818,'TAR FIN'!$A$1:$O$104,15,0)),0,VLOOKUP($S$1818,'TAR FIN'!$A$1:$O$104,15,0))</f>
        <v>0</v>
      </c>
      <c r="W1818" s="6">
        <f>IF(ISERROR(VLOOKUP($T$1818,'TAR FIN'!$A$1:$O$104,15,0)),0,VLOOKUP($T$1818,'TAR FIN'!$A$1:$O$104,15,0))</f>
        <v>300.26</v>
      </c>
      <c r="X1818" s="6">
        <f>IF(ISERROR(VLOOKUP($U$1818,'TAR FIN'!$A$1:$O$104,15,0)),0,VLOOKUP($U$1818,'TAR FIN'!$A$1:$O$104,15,0))</f>
        <v>225.04</v>
      </c>
      <c r="Y1818" s="6"/>
      <c r="Z1818" s="6">
        <f ca="1">('TUSD BE'!$AM$47+'TUSD BF'!$AM$47+'TUSD CVA'!$AM$47)*(1-CUSTOS!$M$38)</f>
        <v>335.21342816228281</v>
      </c>
      <c r="AA1818" s="6">
        <f>('TE BE'!$AB$26+'TE BF'!$AB$26+'TE CVA'!$AB$26)*(1-CUSTOS!$M$38)</f>
        <v>227.92247399192311</v>
      </c>
      <c r="AB1818" s="6">
        <f>$K$1818*$V$1818</f>
        <v>0</v>
      </c>
      <c r="AC1818" s="6">
        <f>$M$1818*$W$1818</f>
        <v>8724.6127835999996</v>
      </c>
      <c r="AD1818" s="6">
        <f>$O$1818*$X$1818</f>
        <v>6538.9557743999994</v>
      </c>
      <c r="AE1818" s="6">
        <f>$K$1818*$Y$1818</f>
        <v>0</v>
      </c>
      <c r="AF1818" s="6">
        <f ca="1">$M$1818*$Z$1818</f>
        <v>9740.2496522315087</v>
      </c>
      <c r="AG1818" s="6">
        <f>$O$1818*$AA$1818</f>
        <v>6622.7114176369514</v>
      </c>
    </row>
    <row r="1819" spans="1:33" ht="11.25" customHeight="1" x14ac:dyDescent="0.25">
      <c r="A1819" s="4" t="s">
        <v>21</v>
      </c>
      <c r="B1819" s="4" t="s">
        <v>44</v>
      </c>
      <c r="C1819" s="4" t="s">
        <v>23</v>
      </c>
      <c r="D1819" s="4" t="s">
        <v>45</v>
      </c>
      <c r="E1819" s="4" t="s">
        <v>53</v>
      </c>
      <c r="F1819" s="4" t="s">
        <v>55</v>
      </c>
      <c r="G1819" s="4" t="s">
        <v>25</v>
      </c>
      <c r="H1819" s="4" t="s">
        <v>25</v>
      </c>
      <c r="I1819" s="5">
        <v>44621</v>
      </c>
      <c r="J1819" s="6">
        <v>0</v>
      </c>
      <c r="K1819" s="6">
        <v>0</v>
      </c>
      <c r="L1819" s="6">
        <v>3113.7739999999999</v>
      </c>
      <c r="M1819" s="6">
        <v>840.71897999999999</v>
      </c>
      <c r="N1819" s="6">
        <v>3113.7739999999999</v>
      </c>
      <c r="O1819" s="6">
        <v>840.71897999999999</v>
      </c>
      <c r="P1819" s="6">
        <v>0</v>
      </c>
      <c r="Q1819" s="4" t="s">
        <v>26</v>
      </c>
      <c r="R1819" s="4">
        <v>0</v>
      </c>
      <c r="S1819" s="6">
        <v>0</v>
      </c>
      <c r="T1819" s="6">
        <v>27</v>
      </c>
      <c r="U1819" s="6">
        <v>85</v>
      </c>
      <c r="V1819" s="6">
        <f>IF(ISERROR(VLOOKUP($S$1819,'TAR FIN'!$A$1:$O$104,15,0)),0,VLOOKUP($S$1819,'TAR FIN'!$A$1:$O$104,15,0))</f>
        <v>0</v>
      </c>
      <c r="W1819" s="6">
        <f>IF(ISERROR(VLOOKUP($T$1819,'TAR FIN'!$A$1:$O$104,15,0)),0,VLOOKUP($T$1819,'TAR FIN'!$A$1:$O$104,15,0))</f>
        <v>300.26</v>
      </c>
      <c r="X1819" s="6">
        <f>IF(ISERROR(VLOOKUP($U$1819,'TAR FIN'!$A$1:$O$104,15,0)),0,VLOOKUP($U$1819,'TAR FIN'!$A$1:$O$104,15,0))</f>
        <v>225.04</v>
      </c>
      <c r="Y1819" s="6"/>
      <c r="Z1819" s="6">
        <f ca="1">('TUSD BE'!$AM$47+'TUSD BF'!$AM$47+'TUSD CVA'!$AM$47)*(1-CUSTOS!$M$38)</f>
        <v>335.21342816228281</v>
      </c>
      <c r="AA1819" s="6">
        <f>('TE BE'!$AB$26+'TE BF'!$AB$26+'TE CVA'!$AB$26)*(1-CUSTOS!$M$38)</f>
        <v>227.92247399192311</v>
      </c>
      <c r="AB1819" s="6">
        <f>$K$1819*$V$1819</f>
        <v>0</v>
      </c>
      <c r="AC1819" s="6">
        <f>$M$1819*$W$1819</f>
        <v>252434.28093479999</v>
      </c>
      <c r="AD1819" s="6">
        <f>$O$1819*$X$1819</f>
        <v>189195.3992592</v>
      </c>
      <c r="AE1819" s="6">
        <f>$K$1819*$Y$1819</f>
        <v>0</v>
      </c>
      <c r="AF1819" s="6">
        <f ca="1">$M$1819*$Z$1819</f>
        <v>281820.29140689765</v>
      </c>
      <c r="AG1819" s="6">
        <f>$O$1819*$AA$1819</f>
        <v>191618.74985356611</v>
      </c>
    </row>
    <row r="1820" spans="1:33" ht="11.25" customHeight="1" x14ac:dyDescent="0.25">
      <c r="A1820" s="4" t="s">
        <v>27</v>
      </c>
      <c r="B1820" s="4" t="s">
        <v>44</v>
      </c>
      <c r="C1820" s="4" t="s">
        <v>23</v>
      </c>
      <c r="D1820" s="4" t="s">
        <v>45</v>
      </c>
      <c r="E1820" s="4" t="s">
        <v>53</v>
      </c>
      <c r="F1820" s="4" t="s">
        <v>55</v>
      </c>
      <c r="G1820" s="4" t="s">
        <v>25</v>
      </c>
      <c r="H1820" s="4" t="s">
        <v>25</v>
      </c>
      <c r="I1820" s="5">
        <v>44621</v>
      </c>
      <c r="J1820" s="6">
        <v>0</v>
      </c>
      <c r="K1820" s="6">
        <v>0</v>
      </c>
      <c r="L1820" s="6">
        <v>-53.786000000000001</v>
      </c>
      <c r="M1820" s="6">
        <v>-14.522220000000001</v>
      </c>
      <c r="N1820" s="6">
        <v>-53.786000000000001</v>
      </c>
      <c r="O1820" s="6">
        <v>-14.522220000000001</v>
      </c>
      <c r="P1820" s="6">
        <v>0</v>
      </c>
      <c r="Q1820" s="4" t="s">
        <v>26</v>
      </c>
      <c r="R1820" s="4">
        <v>0</v>
      </c>
      <c r="S1820" s="6">
        <v>0</v>
      </c>
      <c r="T1820" s="6">
        <v>27</v>
      </c>
      <c r="U1820" s="6">
        <v>85</v>
      </c>
      <c r="V1820" s="6">
        <f>IF(ISERROR(VLOOKUP($S$1820,'TAR FIN'!$A$1:$O$104,15,0)),0,VLOOKUP($S$1820,'TAR FIN'!$A$1:$O$104,15,0))</f>
        <v>0</v>
      </c>
      <c r="W1820" s="6">
        <f>IF(ISERROR(VLOOKUP($T$1820,'TAR FIN'!$A$1:$O$104,15,0)),0,VLOOKUP($T$1820,'TAR FIN'!$A$1:$O$104,15,0))</f>
        <v>300.26</v>
      </c>
      <c r="X1820" s="6">
        <f>IF(ISERROR(VLOOKUP($U$1820,'TAR FIN'!$A$1:$O$104,15,0)),0,VLOOKUP($U$1820,'TAR FIN'!$A$1:$O$104,15,0))</f>
        <v>225.04</v>
      </c>
      <c r="Y1820" s="6"/>
      <c r="Z1820" s="6">
        <f ca="1">('TUSD BE'!$AM$47+'TUSD BF'!$AM$47+'TUSD CVA'!$AM$47)*(1-CUSTOS!$M$38)</f>
        <v>335.21342816228281</v>
      </c>
      <c r="AA1820" s="6">
        <f>('TE BE'!$AB$26+'TE BF'!$AB$26+'TE CVA'!$AB$26)*(1-CUSTOS!$M$38)</f>
        <v>227.92247399192311</v>
      </c>
      <c r="AB1820" s="6">
        <f>$K$1820*$V$1820</f>
        <v>0</v>
      </c>
      <c r="AC1820" s="6">
        <f>$M$1820*$W$1820</f>
        <v>-4360.4417771999997</v>
      </c>
      <c r="AD1820" s="6">
        <f>$O$1820*$X$1820</f>
        <v>-3268.0803888</v>
      </c>
      <c r="AE1820" s="6">
        <f>$K$1820*$Y$1820</f>
        <v>0</v>
      </c>
      <c r="AF1820" s="6">
        <f ca="1">$M$1820*$Z$1820</f>
        <v>-4868.0431507268668</v>
      </c>
      <c r="AG1820" s="6">
        <f>$O$1820*$AA$1820</f>
        <v>-3309.9403102549859</v>
      </c>
    </row>
    <row r="1821" spans="1:33" ht="11.25" customHeight="1" x14ac:dyDescent="0.25">
      <c r="A1821" s="4" t="s">
        <v>28</v>
      </c>
      <c r="B1821" s="4" t="s">
        <v>44</v>
      </c>
      <c r="C1821" s="4" t="s">
        <v>23</v>
      </c>
      <c r="D1821" s="4" t="s">
        <v>45</v>
      </c>
      <c r="E1821" s="4" t="s">
        <v>53</v>
      </c>
      <c r="F1821" s="4" t="s">
        <v>55</v>
      </c>
      <c r="G1821" s="4" t="s">
        <v>25</v>
      </c>
      <c r="H1821" s="4" t="s">
        <v>25</v>
      </c>
      <c r="I1821" s="5">
        <v>44621</v>
      </c>
      <c r="J1821" s="6">
        <v>0</v>
      </c>
      <c r="K1821" s="6">
        <v>0</v>
      </c>
      <c r="L1821" s="6">
        <v>136.94</v>
      </c>
      <c r="M1821" s="6">
        <v>36.973799999999997</v>
      </c>
      <c r="N1821" s="6">
        <v>136.94</v>
      </c>
      <c r="O1821" s="6">
        <v>36.973799999999997</v>
      </c>
      <c r="P1821" s="6">
        <v>0</v>
      </c>
      <c r="Q1821" s="4" t="s">
        <v>26</v>
      </c>
      <c r="R1821" s="4">
        <v>0</v>
      </c>
      <c r="S1821" s="6">
        <v>0</v>
      </c>
      <c r="T1821" s="6">
        <v>27</v>
      </c>
      <c r="U1821" s="6">
        <v>85</v>
      </c>
      <c r="V1821" s="6">
        <f>IF(ISERROR(VLOOKUP($S$1821,'TAR FIN'!$A$1:$O$104,15,0)),0,VLOOKUP($S$1821,'TAR FIN'!$A$1:$O$104,15,0))</f>
        <v>0</v>
      </c>
      <c r="W1821" s="6">
        <f>IF(ISERROR(VLOOKUP($T$1821,'TAR FIN'!$A$1:$O$104,15,0)),0,VLOOKUP($T$1821,'TAR FIN'!$A$1:$O$104,15,0))</f>
        <v>300.26</v>
      </c>
      <c r="X1821" s="6">
        <f>IF(ISERROR(VLOOKUP($U$1821,'TAR FIN'!$A$1:$O$104,15,0)),0,VLOOKUP($U$1821,'TAR FIN'!$A$1:$O$104,15,0))</f>
        <v>225.04</v>
      </c>
      <c r="Y1821" s="6"/>
      <c r="Z1821" s="6">
        <f ca="1">('TUSD BE'!$AM$47+'TUSD BF'!$AM$47+'TUSD CVA'!$AM$47)*(1-CUSTOS!$M$38)</f>
        <v>335.21342816228281</v>
      </c>
      <c r="AA1821" s="6">
        <f>('TE BE'!$AB$26+'TE BF'!$AB$26+'TE CVA'!$AB$26)*(1-CUSTOS!$M$38)</f>
        <v>227.92247399192311</v>
      </c>
      <c r="AB1821" s="6">
        <f>$K$1821*$V$1821</f>
        <v>0</v>
      </c>
      <c r="AC1821" s="6">
        <f>$M$1821*$W$1821</f>
        <v>11101.753187999999</v>
      </c>
      <c r="AD1821" s="6">
        <f>$O$1821*$X$1821</f>
        <v>8320.583951999999</v>
      </c>
      <c r="AE1821" s="6">
        <f>$K$1821*$Y$1821</f>
        <v>0</v>
      </c>
      <c r="AF1821" s="6">
        <f ca="1">$M$1821*$Z$1821</f>
        <v>12394.114250186611</v>
      </c>
      <c r="AG1821" s="6">
        <f>$O$1821*$AA$1821</f>
        <v>8427.1599688825663</v>
      </c>
    </row>
    <row r="1822" spans="1:33" ht="11.25" customHeight="1" x14ac:dyDescent="0.25">
      <c r="A1822" s="4" t="s">
        <v>21</v>
      </c>
      <c r="B1822" s="4" t="s">
        <v>44</v>
      </c>
      <c r="C1822" s="4" t="s">
        <v>23</v>
      </c>
      <c r="D1822" s="4" t="s">
        <v>45</v>
      </c>
      <c r="E1822" s="4" t="s">
        <v>53</v>
      </c>
      <c r="F1822" s="4" t="s">
        <v>55</v>
      </c>
      <c r="G1822" s="4" t="s">
        <v>25</v>
      </c>
      <c r="H1822" s="4" t="s">
        <v>25</v>
      </c>
      <c r="I1822" s="5">
        <v>44652</v>
      </c>
      <c r="J1822" s="6">
        <v>0</v>
      </c>
      <c r="K1822" s="6">
        <v>0</v>
      </c>
      <c r="L1822" s="6">
        <v>2269.3440000000001</v>
      </c>
      <c r="M1822" s="6">
        <v>612.72288000000003</v>
      </c>
      <c r="N1822" s="6">
        <v>2269.3440000000001</v>
      </c>
      <c r="O1822" s="6">
        <v>612.72288000000003</v>
      </c>
      <c r="P1822" s="6">
        <v>0</v>
      </c>
      <c r="Q1822" s="4" t="s">
        <v>26</v>
      </c>
      <c r="R1822" s="4">
        <v>0</v>
      </c>
      <c r="S1822" s="6">
        <v>0</v>
      </c>
      <c r="T1822" s="6">
        <v>27</v>
      </c>
      <c r="U1822" s="6">
        <v>85</v>
      </c>
      <c r="V1822" s="6">
        <f>IF(ISERROR(VLOOKUP($S$1822,'TAR FIN'!$A$1:$O$104,15,0)),0,VLOOKUP($S$1822,'TAR FIN'!$A$1:$O$104,15,0))</f>
        <v>0</v>
      </c>
      <c r="W1822" s="6">
        <f>IF(ISERROR(VLOOKUP($T$1822,'TAR FIN'!$A$1:$O$104,15,0)),0,VLOOKUP($T$1822,'TAR FIN'!$A$1:$O$104,15,0))</f>
        <v>300.26</v>
      </c>
      <c r="X1822" s="6">
        <f>IF(ISERROR(VLOOKUP($U$1822,'TAR FIN'!$A$1:$O$104,15,0)),0,VLOOKUP($U$1822,'TAR FIN'!$A$1:$O$104,15,0))</f>
        <v>225.04</v>
      </c>
      <c r="Y1822" s="6"/>
      <c r="Z1822" s="6">
        <f ca="1">('TUSD BE'!$AM$47+'TUSD BF'!$AM$47+'TUSD CVA'!$AM$47)*(1-CUSTOS!$M$38)</f>
        <v>335.21342816228281</v>
      </c>
      <c r="AA1822" s="6">
        <f>('TE BE'!$AB$26+'TE BF'!$AB$26+'TE CVA'!$AB$26)*(1-CUSTOS!$M$38)</f>
        <v>227.92247399192311</v>
      </c>
      <c r="AB1822" s="6">
        <f>$K$1822*$V$1822</f>
        <v>0</v>
      </c>
      <c r="AC1822" s="6">
        <f>$M$1822*$W$1822</f>
        <v>183976.17194880001</v>
      </c>
      <c r="AD1822" s="6">
        <f>$O$1822*$X$1822</f>
        <v>137887.1569152</v>
      </c>
      <c r="AE1822" s="6">
        <f>$K$1822*$Y$1822</f>
        <v>0</v>
      </c>
      <c r="AF1822" s="6">
        <f ca="1">$M$1822*$Z$1822</f>
        <v>205392.93711826703</v>
      </c>
      <c r="AG1822" s="6">
        <f>$O$1822*$AA$1822</f>
        <v>139653.31468105625</v>
      </c>
    </row>
    <row r="1823" spans="1:33" ht="11.25" customHeight="1" x14ac:dyDescent="0.25">
      <c r="A1823" s="4" t="s">
        <v>27</v>
      </c>
      <c r="B1823" s="4" t="s">
        <v>44</v>
      </c>
      <c r="C1823" s="4" t="s">
        <v>23</v>
      </c>
      <c r="D1823" s="4" t="s">
        <v>45</v>
      </c>
      <c r="E1823" s="4" t="s">
        <v>53</v>
      </c>
      <c r="F1823" s="4" t="s">
        <v>55</v>
      </c>
      <c r="G1823" s="4" t="s">
        <v>25</v>
      </c>
      <c r="H1823" s="4" t="s">
        <v>25</v>
      </c>
      <c r="I1823" s="5">
        <v>44652</v>
      </c>
      <c r="J1823" s="6">
        <v>0</v>
      </c>
      <c r="K1823" s="6">
        <v>0</v>
      </c>
      <c r="L1823" s="6">
        <v>-48.996000000000002</v>
      </c>
      <c r="M1823" s="6">
        <v>-13.22892</v>
      </c>
      <c r="N1823" s="6">
        <v>-48.996000000000002</v>
      </c>
      <c r="O1823" s="6">
        <v>-13.22892</v>
      </c>
      <c r="P1823" s="6">
        <v>0</v>
      </c>
      <c r="Q1823" s="4" t="s">
        <v>26</v>
      </c>
      <c r="R1823" s="4">
        <v>0</v>
      </c>
      <c r="S1823" s="6">
        <v>0</v>
      </c>
      <c r="T1823" s="6">
        <v>27</v>
      </c>
      <c r="U1823" s="6">
        <v>85</v>
      </c>
      <c r="V1823" s="6">
        <f>IF(ISERROR(VLOOKUP($S$1823,'TAR FIN'!$A$1:$O$104,15,0)),0,VLOOKUP($S$1823,'TAR FIN'!$A$1:$O$104,15,0))</f>
        <v>0</v>
      </c>
      <c r="W1823" s="6">
        <f>IF(ISERROR(VLOOKUP($T$1823,'TAR FIN'!$A$1:$O$104,15,0)),0,VLOOKUP($T$1823,'TAR FIN'!$A$1:$O$104,15,0))</f>
        <v>300.26</v>
      </c>
      <c r="X1823" s="6">
        <f>IF(ISERROR(VLOOKUP($U$1823,'TAR FIN'!$A$1:$O$104,15,0)),0,VLOOKUP($U$1823,'TAR FIN'!$A$1:$O$104,15,0))</f>
        <v>225.04</v>
      </c>
      <c r="Y1823" s="6"/>
      <c r="Z1823" s="6">
        <f ca="1">('TUSD BE'!$AM$47+'TUSD BF'!$AM$47+'TUSD CVA'!$AM$47)*(1-CUSTOS!$M$38)</f>
        <v>335.21342816228281</v>
      </c>
      <c r="AA1823" s="6">
        <f>('TE BE'!$AB$26+'TE BF'!$AB$26+'TE CVA'!$AB$26)*(1-CUSTOS!$M$38)</f>
        <v>227.92247399192311</v>
      </c>
      <c r="AB1823" s="6">
        <f>$K$1823*$V$1823</f>
        <v>0</v>
      </c>
      <c r="AC1823" s="6">
        <f>$M$1823*$W$1823</f>
        <v>-3972.1155192000001</v>
      </c>
      <c r="AD1823" s="6">
        <f>$O$1823*$X$1823</f>
        <v>-2977.0361567999998</v>
      </c>
      <c r="AE1823" s="6">
        <f>$K$1823*$Y$1823</f>
        <v>0</v>
      </c>
      <c r="AF1823" s="6">
        <f ca="1">$M$1823*$Z$1823</f>
        <v>-4434.5116240845864</v>
      </c>
      <c r="AG1823" s="6">
        <f>$O$1823*$AA$1823</f>
        <v>-3015.1681746412314</v>
      </c>
    </row>
    <row r="1824" spans="1:33" ht="11.25" customHeight="1" x14ac:dyDescent="0.25">
      <c r="A1824" s="4" t="s">
        <v>28</v>
      </c>
      <c r="B1824" s="4" t="s">
        <v>44</v>
      </c>
      <c r="C1824" s="4" t="s">
        <v>23</v>
      </c>
      <c r="D1824" s="4" t="s">
        <v>45</v>
      </c>
      <c r="E1824" s="4" t="s">
        <v>53</v>
      </c>
      <c r="F1824" s="4" t="s">
        <v>55</v>
      </c>
      <c r="G1824" s="4" t="s">
        <v>25</v>
      </c>
      <c r="H1824" s="4" t="s">
        <v>25</v>
      </c>
      <c r="I1824" s="5">
        <v>44652</v>
      </c>
      <c r="J1824" s="6">
        <v>0</v>
      </c>
      <c r="K1824" s="6">
        <v>0</v>
      </c>
      <c r="L1824" s="6">
        <v>98.134</v>
      </c>
      <c r="M1824" s="6">
        <v>26.496179999999999</v>
      </c>
      <c r="N1824" s="6">
        <v>98.134</v>
      </c>
      <c r="O1824" s="6">
        <v>26.496179999999999</v>
      </c>
      <c r="P1824" s="6">
        <v>0</v>
      </c>
      <c r="Q1824" s="4" t="s">
        <v>26</v>
      </c>
      <c r="R1824" s="4">
        <v>0</v>
      </c>
      <c r="S1824" s="6">
        <v>0</v>
      </c>
      <c r="T1824" s="6">
        <v>27</v>
      </c>
      <c r="U1824" s="6">
        <v>85</v>
      </c>
      <c r="V1824" s="6">
        <f>IF(ISERROR(VLOOKUP($S$1824,'TAR FIN'!$A$1:$O$104,15,0)),0,VLOOKUP($S$1824,'TAR FIN'!$A$1:$O$104,15,0))</f>
        <v>0</v>
      </c>
      <c r="W1824" s="6">
        <f>IF(ISERROR(VLOOKUP($T$1824,'TAR FIN'!$A$1:$O$104,15,0)),0,VLOOKUP($T$1824,'TAR FIN'!$A$1:$O$104,15,0))</f>
        <v>300.26</v>
      </c>
      <c r="X1824" s="6">
        <f>IF(ISERROR(VLOOKUP($U$1824,'TAR FIN'!$A$1:$O$104,15,0)),0,VLOOKUP($U$1824,'TAR FIN'!$A$1:$O$104,15,0))</f>
        <v>225.04</v>
      </c>
      <c r="Y1824" s="6"/>
      <c r="Z1824" s="6">
        <f ca="1">('TUSD BE'!$AM$47+'TUSD BF'!$AM$47+'TUSD CVA'!$AM$47)*(1-CUSTOS!$M$38)</f>
        <v>335.21342816228281</v>
      </c>
      <c r="AA1824" s="6">
        <f>('TE BE'!$AB$26+'TE BF'!$AB$26+'TE CVA'!$AB$26)*(1-CUSTOS!$M$38)</f>
        <v>227.92247399192311</v>
      </c>
      <c r="AB1824" s="6">
        <f>$K$1824*$V$1824</f>
        <v>0</v>
      </c>
      <c r="AC1824" s="6">
        <f>$M$1824*$W$1824</f>
        <v>7955.7430067999994</v>
      </c>
      <c r="AD1824" s="6">
        <f>$O$1824*$X$1824</f>
        <v>5962.7003471999997</v>
      </c>
      <c r="AE1824" s="6">
        <f>$K$1824*$Y$1824</f>
        <v>0</v>
      </c>
      <c r="AF1824" s="6">
        <f ca="1">$M$1824*$Z$1824</f>
        <v>8881.8753310049142</v>
      </c>
      <c r="AG1824" s="6">
        <f>$O$1824*$AA$1824</f>
        <v>6039.0748969353135</v>
      </c>
    </row>
    <row r="1825" spans="1:33" ht="11.25" customHeight="1" x14ac:dyDescent="0.25">
      <c r="A1825" s="4" t="s">
        <v>21</v>
      </c>
      <c r="B1825" s="4" t="s">
        <v>44</v>
      </c>
      <c r="C1825" s="4" t="s">
        <v>23</v>
      </c>
      <c r="D1825" s="4" t="s">
        <v>45</v>
      </c>
      <c r="E1825" s="4" t="s">
        <v>53</v>
      </c>
      <c r="F1825" s="4" t="s">
        <v>55</v>
      </c>
      <c r="G1825" s="4" t="s">
        <v>25</v>
      </c>
      <c r="H1825" s="4" t="s">
        <v>25</v>
      </c>
      <c r="I1825" s="5">
        <v>44682</v>
      </c>
      <c r="J1825" s="6">
        <v>0</v>
      </c>
      <c r="K1825" s="6">
        <v>0</v>
      </c>
      <c r="L1825" s="6">
        <v>2342.1759999999999</v>
      </c>
      <c r="M1825" s="6">
        <v>632.38751999999999</v>
      </c>
      <c r="N1825" s="6">
        <v>2342.1759999999999</v>
      </c>
      <c r="O1825" s="6">
        <v>632.38751999999999</v>
      </c>
      <c r="P1825" s="6">
        <v>0</v>
      </c>
      <c r="Q1825" s="4" t="s">
        <v>26</v>
      </c>
      <c r="R1825" s="4">
        <v>0</v>
      </c>
      <c r="S1825" s="6">
        <v>0</v>
      </c>
      <c r="T1825" s="6">
        <v>27</v>
      </c>
      <c r="U1825" s="6">
        <v>85</v>
      </c>
      <c r="V1825" s="6">
        <f>IF(ISERROR(VLOOKUP($S$1825,'TAR FIN'!$A$1:$O$104,15,0)),0,VLOOKUP($S$1825,'TAR FIN'!$A$1:$O$104,15,0))</f>
        <v>0</v>
      </c>
      <c r="W1825" s="6">
        <f>IF(ISERROR(VLOOKUP($T$1825,'TAR FIN'!$A$1:$O$104,15,0)),0,VLOOKUP($T$1825,'TAR FIN'!$A$1:$O$104,15,0))</f>
        <v>300.26</v>
      </c>
      <c r="X1825" s="6">
        <f>IF(ISERROR(VLOOKUP($U$1825,'TAR FIN'!$A$1:$O$104,15,0)),0,VLOOKUP($U$1825,'TAR FIN'!$A$1:$O$104,15,0))</f>
        <v>225.04</v>
      </c>
      <c r="Y1825" s="6"/>
      <c r="Z1825" s="6">
        <f ca="1">('TUSD BE'!$AM$47+'TUSD BF'!$AM$47+'TUSD CVA'!$AM$47)*(1-CUSTOS!$M$38)</f>
        <v>335.21342816228281</v>
      </c>
      <c r="AA1825" s="6">
        <f>('TE BE'!$AB$26+'TE BF'!$AB$26+'TE CVA'!$AB$26)*(1-CUSTOS!$M$38)</f>
        <v>227.92247399192311</v>
      </c>
      <c r="AB1825" s="6">
        <f>$K$1825*$V$1825</f>
        <v>0</v>
      </c>
      <c r="AC1825" s="6">
        <f>$M$1825*$W$1825</f>
        <v>189880.67675519999</v>
      </c>
      <c r="AD1825" s="6">
        <f>$O$1825*$X$1825</f>
        <v>142312.48750079999</v>
      </c>
      <c r="AE1825" s="6">
        <f>$K$1825*$Y$1825</f>
        <v>0</v>
      </c>
      <c r="AF1825" s="6">
        <f ca="1">$M$1825*$Z$1825</f>
        <v>211984.78850624419</v>
      </c>
      <c r="AG1825" s="6">
        <f>$O$1825*$AA$1825</f>
        <v>144135.32808001677</v>
      </c>
    </row>
    <row r="1826" spans="1:33" ht="11.25" customHeight="1" x14ac:dyDescent="0.25">
      <c r="A1826" s="4" t="s">
        <v>27</v>
      </c>
      <c r="B1826" s="4" t="s">
        <v>44</v>
      </c>
      <c r="C1826" s="4" t="s">
        <v>23</v>
      </c>
      <c r="D1826" s="4" t="s">
        <v>45</v>
      </c>
      <c r="E1826" s="4" t="s">
        <v>53</v>
      </c>
      <c r="F1826" s="4" t="s">
        <v>55</v>
      </c>
      <c r="G1826" s="4" t="s">
        <v>25</v>
      </c>
      <c r="H1826" s="4" t="s">
        <v>25</v>
      </c>
      <c r="I1826" s="5">
        <v>44682</v>
      </c>
      <c r="J1826" s="6">
        <v>0</v>
      </c>
      <c r="K1826" s="6">
        <v>0</v>
      </c>
      <c r="L1826" s="6">
        <v>-34.822000000000003</v>
      </c>
      <c r="M1826" s="6">
        <v>-9.4019399999999997</v>
      </c>
      <c r="N1826" s="6">
        <v>-34.822000000000003</v>
      </c>
      <c r="O1826" s="6">
        <v>-9.4019399999999997</v>
      </c>
      <c r="P1826" s="6">
        <v>0</v>
      </c>
      <c r="Q1826" s="4" t="s">
        <v>26</v>
      </c>
      <c r="R1826" s="4">
        <v>0</v>
      </c>
      <c r="S1826" s="6">
        <v>0</v>
      </c>
      <c r="T1826" s="6">
        <v>27</v>
      </c>
      <c r="U1826" s="6">
        <v>85</v>
      </c>
      <c r="V1826" s="6">
        <f>IF(ISERROR(VLOOKUP($S$1826,'TAR FIN'!$A$1:$O$104,15,0)),0,VLOOKUP($S$1826,'TAR FIN'!$A$1:$O$104,15,0))</f>
        <v>0</v>
      </c>
      <c r="W1826" s="6">
        <f>IF(ISERROR(VLOOKUP($T$1826,'TAR FIN'!$A$1:$O$104,15,0)),0,VLOOKUP($T$1826,'TAR FIN'!$A$1:$O$104,15,0))</f>
        <v>300.26</v>
      </c>
      <c r="X1826" s="6">
        <f>IF(ISERROR(VLOOKUP($U$1826,'TAR FIN'!$A$1:$O$104,15,0)),0,VLOOKUP($U$1826,'TAR FIN'!$A$1:$O$104,15,0))</f>
        <v>225.04</v>
      </c>
      <c r="Y1826" s="6"/>
      <c r="Z1826" s="6">
        <f ca="1">('TUSD BE'!$AM$47+'TUSD BF'!$AM$47+'TUSD CVA'!$AM$47)*(1-CUSTOS!$M$38)</f>
        <v>335.21342816228281</v>
      </c>
      <c r="AA1826" s="6">
        <f>('TE BE'!$AB$26+'TE BF'!$AB$26+'TE CVA'!$AB$26)*(1-CUSTOS!$M$38)</f>
        <v>227.92247399192311</v>
      </c>
      <c r="AB1826" s="6">
        <f>$K$1826*$V$1826</f>
        <v>0</v>
      </c>
      <c r="AC1826" s="6">
        <f>$M$1826*$W$1826</f>
        <v>-2823.0265043999998</v>
      </c>
      <c r="AD1826" s="6">
        <f>$O$1826*$X$1826</f>
        <v>-2115.8125775999997</v>
      </c>
      <c r="AE1826" s="6">
        <f>$K$1826*$Y$1826</f>
        <v>0</v>
      </c>
      <c r="AF1826" s="6">
        <f ca="1">$M$1826*$Z$1826</f>
        <v>-3151.6565387760929</v>
      </c>
      <c r="AG1826" s="6">
        <f>$O$1826*$AA$1826</f>
        <v>-2142.9134251236214</v>
      </c>
    </row>
    <row r="1827" spans="1:33" ht="11.25" customHeight="1" x14ac:dyDescent="0.25">
      <c r="A1827" s="4" t="s">
        <v>28</v>
      </c>
      <c r="B1827" s="4" t="s">
        <v>44</v>
      </c>
      <c r="C1827" s="4" t="s">
        <v>23</v>
      </c>
      <c r="D1827" s="4" t="s">
        <v>45</v>
      </c>
      <c r="E1827" s="4" t="s">
        <v>53</v>
      </c>
      <c r="F1827" s="4" t="s">
        <v>55</v>
      </c>
      <c r="G1827" s="4" t="s">
        <v>25</v>
      </c>
      <c r="H1827" s="4" t="s">
        <v>25</v>
      </c>
      <c r="I1827" s="5">
        <v>44682</v>
      </c>
      <c r="J1827" s="6">
        <v>0</v>
      </c>
      <c r="K1827" s="6">
        <v>0</v>
      </c>
      <c r="L1827" s="6">
        <v>109.886</v>
      </c>
      <c r="M1827" s="6">
        <v>29.669219999999999</v>
      </c>
      <c r="N1827" s="6">
        <v>109.886</v>
      </c>
      <c r="O1827" s="6">
        <v>29.669219999999999</v>
      </c>
      <c r="P1827" s="6">
        <v>0</v>
      </c>
      <c r="Q1827" s="4" t="s">
        <v>26</v>
      </c>
      <c r="R1827" s="4">
        <v>0</v>
      </c>
      <c r="S1827" s="6">
        <v>0</v>
      </c>
      <c r="T1827" s="6">
        <v>27</v>
      </c>
      <c r="U1827" s="6">
        <v>85</v>
      </c>
      <c r="V1827" s="6">
        <f>IF(ISERROR(VLOOKUP($S$1827,'TAR FIN'!$A$1:$O$104,15,0)),0,VLOOKUP($S$1827,'TAR FIN'!$A$1:$O$104,15,0))</f>
        <v>0</v>
      </c>
      <c r="W1827" s="6">
        <f>IF(ISERROR(VLOOKUP($T$1827,'TAR FIN'!$A$1:$O$104,15,0)),0,VLOOKUP($T$1827,'TAR FIN'!$A$1:$O$104,15,0))</f>
        <v>300.26</v>
      </c>
      <c r="X1827" s="6">
        <f>IF(ISERROR(VLOOKUP($U$1827,'TAR FIN'!$A$1:$O$104,15,0)),0,VLOOKUP($U$1827,'TAR FIN'!$A$1:$O$104,15,0))</f>
        <v>225.04</v>
      </c>
      <c r="Y1827" s="6"/>
      <c r="Z1827" s="6">
        <f ca="1">('TUSD BE'!$AM$47+'TUSD BF'!$AM$47+'TUSD CVA'!$AM$47)*(1-CUSTOS!$M$38)</f>
        <v>335.21342816228281</v>
      </c>
      <c r="AA1827" s="6">
        <f>('TE BE'!$AB$26+'TE BF'!$AB$26+'TE CVA'!$AB$26)*(1-CUSTOS!$M$38)</f>
        <v>227.92247399192311</v>
      </c>
      <c r="AB1827" s="6">
        <f>$K$1827*$V$1827</f>
        <v>0</v>
      </c>
      <c r="AC1827" s="6">
        <f>$M$1827*$W$1827</f>
        <v>8908.4799972000001</v>
      </c>
      <c r="AD1827" s="6">
        <f>$O$1827*$X$1827</f>
        <v>6676.7612687999999</v>
      </c>
      <c r="AE1827" s="6">
        <f>$K$1827*$Y$1827</f>
        <v>0</v>
      </c>
      <c r="AF1827" s="6">
        <f ca="1">$M$1827*$Z$1827</f>
        <v>9945.5209471009639</v>
      </c>
      <c r="AG1827" s="6">
        <f>$O$1827*$AA$1827</f>
        <v>6762.2820238106451</v>
      </c>
    </row>
    <row r="1828" spans="1:33" ht="11.25" customHeight="1" x14ac:dyDescent="0.25">
      <c r="A1828" s="4" t="s">
        <v>21</v>
      </c>
      <c r="B1828" s="4" t="s">
        <v>44</v>
      </c>
      <c r="C1828" s="4" t="s">
        <v>23</v>
      </c>
      <c r="D1828" s="4" t="s">
        <v>45</v>
      </c>
      <c r="E1828" s="4" t="s">
        <v>53</v>
      </c>
      <c r="F1828" s="4" t="s">
        <v>55</v>
      </c>
      <c r="G1828" s="4" t="s">
        <v>25</v>
      </c>
      <c r="H1828" s="4" t="s">
        <v>25</v>
      </c>
      <c r="I1828" s="5">
        <v>44713</v>
      </c>
      <c r="J1828" s="6">
        <v>0</v>
      </c>
      <c r="K1828" s="6">
        <v>0</v>
      </c>
      <c r="L1828" s="6">
        <v>1825.501</v>
      </c>
      <c r="M1828" s="6">
        <v>492.88526999999999</v>
      </c>
      <c r="N1828" s="6">
        <v>1825.501</v>
      </c>
      <c r="O1828" s="6">
        <v>492.88526999999999</v>
      </c>
      <c r="P1828" s="6">
        <v>0</v>
      </c>
      <c r="Q1828" s="4" t="s">
        <v>26</v>
      </c>
      <c r="R1828" s="4">
        <v>0</v>
      </c>
      <c r="S1828" s="6">
        <v>0</v>
      </c>
      <c r="T1828" s="6">
        <v>27</v>
      </c>
      <c r="U1828" s="6">
        <v>85</v>
      </c>
      <c r="V1828" s="6">
        <f>IF(ISERROR(VLOOKUP($S$1828,'TAR FIN'!$A$1:$O$104,15,0)),0,VLOOKUP($S$1828,'TAR FIN'!$A$1:$O$104,15,0))</f>
        <v>0</v>
      </c>
      <c r="W1828" s="6">
        <f>IF(ISERROR(VLOOKUP($T$1828,'TAR FIN'!$A$1:$O$104,15,0)),0,VLOOKUP($T$1828,'TAR FIN'!$A$1:$O$104,15,0))</f>
        <v>300.26</v>
      </c>
      <c r="X1828" s="6">
        <f>IF(ISERROR(VLOOKUP($U$1828,'TAR FIN'!$A$1:$O$104,15,0)),0,VLOOKUP($U$1828,'TAR FIN'!$A$1:$O$104,15,0))</f>
        <v>225.04</v>
      </c>
      <c r="Y1828" s="6"/>
      <c r="Z1828" s="6">
        <f ca="1">('TUSD BE'!$AM$47+'TUSD BF'!$AM$47+'TUSD CVA'!$AM$47)*(1-CUSTOS!$M$38)</f>
        <v>335.21342816228281</v>
      </c>
      <c r="AA1828" s="6">
        <f>('TE BE'!$AB$26+'TE BF'!$AB$26+'TE CVA'!$AB$26)*(1-CUSTOS!$M$38)</f>
        <v>227.92247399192311</v>
      </c>
      <c r="AB1828" s="6">
        <f>$K$1828*$V$1828</f>
        <v>0</v>
      </c>
      <c r="AC1828" s="6">
        <f>$M$1828*$W$1828</f>
        <v>147993.73117019999</v>
      </c>
      <c r="AD1828" s="6">
        <f>$O$1828*$X$1828</f>
        <v>110918.9011608</v>
      </c>
      <c r="AE1828" s="6">
        <f>$K$1828*$Y$1828</f>
        <v>0</v>
      </c>
      <c r="AF1828" s="6">
        <f ca="1">$M$1828*$Z$1828</f>
        <v>165221.76104739236</v>
      </c>
      <c r="AG1828" s="6">
        <f>$O$1828*$AA$1828</f>
        <v>112339.630132577</v>
      </c>
    </row>
    <row r="1829" spans="1:33" ht="11.25" customHeight="1" x14ac:dyDescent="0.25">
      <c r="A1829" s="4" t="s">
        <v>27</v>
      </c>
      <c r="B1829" s="4" t="s">
        <v>44</v>
      </c>
      <c r="C1829" s="4" t="s">
        <v>23</v>
      </c>
      <c r="D1829" s="4" t="s">
        <v>45</v>
      </c>
      <c r="E1829" s="4" t="s">
        <v>53</v>
      </c>
      <c r="F1829" s="4" t="s">
        <v>55</v>
      </c>
      <c r="G1829" s="4" t="s">
        <v>25</v>
      </c>
      <c r="H1829" s="4" t="s">
        <v>25</v>
      </c>
      <c r="I1829" s="5">
        <v>44713</v>
      </c>
      <c r="J1829" s="6">
        <v>0</v>
      </c>
      <c r="K1829" s="6">
        <v>0</v>
      </c>
      <c r="L1829" s="6">
        <v>-50.198999999999998</v>
      </c>
      <c r="M1829" s="6">
        <v>-13.55373</v>
      </c>
      <c r="N1829" s="6">
        <v>-50.198999999999998</v>
      </c>
      <c r="O1829" s="6">
        <v>-13.55373</v>
      </c>
      <c r="P1829" s="6">
        <v>0</v>
      </c>
      <c r="Q1829" s="4" t="s">
        <v>26</v>
      </c>
      <c r="R1829" s="4">
        <v>0</v>
      </c>
      <c r="S1829" s="6">
        <v>0</v>
      </c>
      <c r="T1829" s="6">
        <v>27</v>
      </c>
      <c r="U1829" s="6">
        <v>85</v>
      </c>
      <c r="V1829" s="6">
        <f>IF(ISERROR(VLOOKUP($S$1829,'TAR FIN'!$A$1:$O$104,15,0)),0,VLOOKUP($S$1829,'TAR FIN'!$A$1:$O$104,15,0))</f>
        <v>0</v>
      </c>
      <c r="W1829" s="6">
        <f>IF(ISERROR(VLOOKUP($T$1829,'TAR FIN'!$A$1:$O$104,15,0)),0,VLOOKUP($T$1829,'TAR FIN'!$A$1:$O$104,15,0))</f>
        <v>300.26</v>
      </c>
      <c r="X1829" s="6">
        <f>IF(ISERROR(VLOOKUP($U$1829,'TAR FIN'!$A$1:$O$104,15,0)),0,VLOOKUP($U$1829,'TAR FIN'!$A$1:$O$104,15,0))</f>
        <v>225.04</v>
      </c>
      <c r="Y1829" s="6"/>
      <c r="Z1829" s="6">
        <f ca="1">('TUSD BE'!$AM$47+'TUSD BF'!$AM$47+'TUSD CVA'!$AM$47)*(1-CUSTOS!$M$38)</f>
        <v>335.21342816228281</v>
      </c>
      <c r="AA1829" s="6">
        <f>('TE BE'!$AB$26+'TE BF'!$AB$26+'TE CVA'!$AB$26)*(1-CUSTOS!$M$38)</f>
        <v>227.92247399192311</v>
      </c>
      <c r="AB1829" s="6">
        <f>$K$1829*$V$1829</f>
        <v>0</v>
      </c>
      <c r="AC1829" s="6">
        <f>$M$1829*$W$1829</f>
        <v>-4069.6429697999997</v>
      </c>
      <c r="AD1829" s="6">
        <f>$O$1829*$X$1829</f>
        <v>-3050.1313992</v>
      </c>
      <c r="AE1829" s="6">
        <f>$K$1829*$Y$1829</f>
        <v>0</v>
      </c>
      <c r="AF1829" s="6">
        <f ca="1">$M$1829*$Z$1829</f>
        <v>-4543.3922976859776</v>
      </c>
      <c r="AG1829" s="6">
        <f>$O$1829*$AA$1829</f>
        <v>-3089.1996734185482</v>
      </c>
    </row>
    <row r="1830" spans="1:33" ht="11.25" customHeight="1" x14ac:dyDescent="0.25">
      <c r="A1830" s="4" t="s">
        <v>28</v>
      </c>
      <c r="B1830" s="4" t="s">
        <v>44</v>
      </c>
      <c r="C1830" s="4" t="s">
        <v>23</v>
      </c>
      <c r="D1830" s="4" t="s">
        <v>45</v>
      </c>
      <c r="E1830" s="4" t="s">
        <v>53</v>
      </c>
      <c r="F1830" s="4" t="s">
        <v>55</v>
      </c>
      <c r="G1830" s="4" t="s">
        <v>25</v>
      </c>
      <c r="H1830" s="4" t="s">
        <v>25</v>
      </c>
      <c r="I1830" s="5">
        <v>44713</v>
      </c>
      <c r="J1830" s="6">
        <v>0</v>
      </c>
      <c r="K1830" s="6">
        <v>0</v>
      </c>
      <c r="L1830" s="6">
        <v>66.944999999999993</v>
      </c>
      <c r="M1830" s="6">
        <v>18.075150000000001</v>
      </c>
      <c r="N1830" s="6">
        <v>66.944999999999993</v>
      </c>
      <c r="O1830" s="6">
        <v>18.075150000000001</v>
      </c>
      <c r="P1830" s="6">
        <v>0</v>
      </c>
      <c r="Q1830" s="4" t="s">
        <v>26</v>
      </c>
      <c r="R1830" s="4">
        <v>0</v>
      </c>
      <c r="S1830" s="6">
        <v>0</v>
      </c>
      <c r="T1830" s="6">
        <v>27</v>
      </c>
      <c r="U1830" s="6">
        <v>85</v>
      </c>
      <c r="V1830" s="6">
        <f>IF(ISERROR(VLOOKUP($S$1830,'TAR FIN'!$A$1:$O$104,15,0)),0,VLOOKUP($S$1830,'TAR FIN'!$A$1:$O$104,15,0))</f>
        <v>0</v>
      </c>
      <c r="W1830" s="6">
        <f>IF(ISERROR(VLOOKUP($T$1830,'TAR FIN'!$A$1:$O$104,15,0)),0,VLOOKUP($T$1830,'TAR FIN'!$A$1:$O$104,15,0))</f>
        <v>300.26</v>
      </c>
      <c r="X1830" s="6">
        <f>IF(ISERROR(VLOOKUP($U$1830,'TAR FIN'!$A$1:$O$104,15,0)),0,VLOOKUP($U$1830,'TAR FIN'!$A$1:$O$104,15,0))</f>
        <v>225.04</v>
      </c>
      <c r="Y1830" s="6"/>
      <c r="Z1830" s="6">
        <f ca="1">('TUSD BE'!$AM$47+'TUSD BF'!$AM$47+'TUSD CVA'!$AM$47)*(1-CUSTOS!$M$38)</f>
        <v>335.21342816228281</v>
      </c>
      <c r="AA1830" s="6">
        <f>('TE BE'!$AB$26+'TE BF'!$AB$26+'TE CVA'!$AB$26)*(1-CUSTOS!$M$38)</f>
        <v>227.92247399192311</v>
      </c>
      <c r="AB1830" s="6">
        <f>$K$1830*$V$1830</f>
        <v>0</v>
      </c>
      <c r="AC1830" s="6">
        <f>$M$1830*$W$1830</f>
        <v>5427.2445390000003</v>
      </c>
      <c r="AD1830" s="6">
        <f>$O$1830*$X$1830</f>
        <v>4067.6317560000002</v>
      </c>
      <c r="AE1830" s="6">
        <f>$K$1830*$Y$1830</f>
        <v>0</v>
      </c>
      <c r="AF1830" s="6">
        <f ca="1">$M$1830*$Z$1830</f>
        <v>6059.0329960474864</v>
      </c>
      <c r="AG1830" s="6">
        <f>$O$1830*$AA$1830</f>
        <v>4119.7329057751094</v>
      </c>
    </row>
    <row r="1831" spans="1:33" ht="11.25" customHeight="1" x14ac:dyDescent="0.25">
      <c r="A1831" s="4" t="s">
        <v>57</v>
      </c>
      <c r="B1831" s="4" t="s">
        <v>44</v>
      </c>
      <c r="C1831" s="4" t="s">
        <v>23</v>
      </c>
      <c r="D1831" s="4" t="s">
        <v>45</v>
      </c>
      <c r="E1831" s="4" t="s">
        <v>53</v>
      </c>
      <c r="F1831" s="4" t="s">
        <v>55</v>
      </c>
      <c r="G1831" s="4" t="s">
        <v>25</v>
      </c>
      <c r="H1831" s="4" t="s">
        <v>25</v>
      </c>
      <c r="I1831" s="5">
        <v>44743</v>
      </c>
      <c r="J1831" s="6">
        <v>0</v>
      </c>
      <c r="K1831" s="6">
        <v>0</v>
      </c>
      <c r="L1831" s="6">
        <v>1825.501</v>
      </c>
      <c r="M1831" s="6">
        <v>492.88526999999999</v>
      </c>
      <c r="N1831" s="6">
        <v>1825.501</v>
      </c>
      <c r="O1831" s="6">
        <v>492.88526999999999</v>
      </c>
      <c r="P1831" s="6">
        <v>0</v>
      </c>
      <c r="Q1831" s="4" t="s">
        <v>26</v>
      </c>
      <c r="R1831" s="4">
        <v>0</v>
      </c>
      <c r="S1831" s="6">
        <v>0</v>
      </c>
      <c r="T1831" s="6">
        <v>27</v>
      </c>
      <c r="U1831" s="6">
        <v>85</v>
      </c>
      <c r="V1831" s="6">
        <f>IF(ISERROR(VLOOKUP($S$1831,'TAR FIN'!$A$1:$O$104,15,0)),0,VLOOKUP($S$1831,'TAR FIN'!$A$1:$O$104,15,0))</f>
        <v>0</v>
      </c>
      <c r="W1831" s="6">
        <f>IF(ISERROR(VLOOKUP($T$1831,'TAR FIN'!$A$1:$O$104,15,0)),0,VLOOKUP($T$1831,'TAR FIN'!$A$1:$O$104,15,0))</f>
        <v>300.26</v>
      </c>
      <c r="X1831" s="6">
        <f>IF(ISERROR(VLOOKUP($U$1831,'TAR FIN'!$A$1:$O$104,15,0)),0,VLOOKUP($U$1831,'TAR FIN'!$A$1:$O$104,15,0))</f>
        <v>225.04</v>
      </c>
      <c r="Y1831" s="6"/>
      <c r="Z1831" s="6">
        <f ca="1">('TUSD BE'!$AM$47+'TUSD BF'!$AM$47+'TUSD CVA'!$AM$47)*(1-CUSTOS!$M$38)</f>
        <v>335.21342816228281</v>
      </c>
      <c r="AA1831" s="6">
        <f>('TE BE'!$AB$26+'TE BF'!$AB$26+'TE CVA'!$AB$26)*(1-CUSTOS!$M$38)</f>
        <v>227.92247399192311</v>
      </c>
      <c r="AB1831" s="6">
        <f>$K$1831*$V$1831</f>
        <v>0</v>
      </c>
      <c r="AC1831" s="6">
        <f>$M$1831*$W$1831</f>
        <v>147993.73117019999</v>
      </c>
      <c r="AD1831" s="6">
        <f>$O$1831*$X$1831</f>
        <v>110918.9011608</v>
      </c>
      <c r="AE1831" s="6">
        <f>$K$1831*$Y$1831</f>
        <v>0</v>
      </c>
      <c r="AF1831" s="6">
        <f ca="1">$M$1831*$Z$1831</f>
        <v>165221.76104739236</v>
      </c>
      <c r="AG1831" s="6">
        <f>$O$1831*$AA$1831</f>
        <v>112339.630132577</v>
      </c>
    </row>
    <row r="1832" spans="1:33" ht="11.25" customHeight="1" x14ac:dyDescent="0.25">
      <c r="A1832" s="4" t="s">
        <v>57</v>
      </c>
      <c r="B1832" s="4" t="s">
        <v>44</v>
      </c>
      <c r="C1832" s="4" t="s">
        <v>23</v>
      </c>
      <c r="D1832" s="4" t="s">
        <v>45</v>
      </c>
      <c r="E1832" s="4" t="s">
        <v>53</v>
      </c>
      <c r="F1832" s="4" t="s">
        <v>55</v>
      </c>
      <c r="G1832" s="4" t="s">
        <v>25</v>
      </c>
      <c r="H1832" s="4" t="s">
        <v>25</v>
      </c>
      <c r="I1832" s="5">
        <v>44743</v>
      </c>
      <c r="J1832" s="6">
        <v>0</v>
      </c>
      <c r="K1832" s="6">
        <v>0</v>
      </c>
      <c r="L1832" s="6">
        <v>-50.198999999999998</v>
      </c>
      <c r="M1832" s="6">
        <v>-13.55373</v>
      </c>
      <c r="N1832" s="6">
        <v>-50.198999999999998</v>
      </c>
      <c r="O1832" s="6">
        <v>-13.55373</v>
      </c>
      <c r="P1832" s="6">
        <v>0</v>
      </c>
      <c r="Q1832" s="4" t="s">
        <v>26</v>
      </c>
      <c r="R1832" s="4">
        <v>0</v>
      </c>
      <c r="S1832" s="6">
        <v>0</v>
      </c>
      <c r="T1832" s="6">
        <v>27</v>
      </c>
      <c r="U1832" s="6">
        <v>85</v>
      </c>
      <c r="V1832" s="6">
        <f>IF(ISERROR(VLOOKUP($S$1832,'TAR FIN'!$A$1:$O$104,15,0)),0,VLOOKUP($S$1832,'TAR FIN'!$A$1:$O$104,15,0))</f>
        <v>0</v>
      </c>
      <c r="W1832" s="6">
        <f>IF(ISERROR(VLOOKUP($T$1832,'TAR FIN'!$A$1:$O$104,15,0)),0,VLOOKUP($T$1832,'TAR FIN'!$A$1:$O$104,15,0))</f>
        <v>300.26</v>
      </c>
      <c r="X1832" s="6">
        <f>IF(ISERROR(VLOOKUP($U$1832,'TAR FIN'!$A$1:$O$104,15,0)),0,VLOOKUP($U$1832,'TAR FIN'!$A$1:$O$104,15,0))</f>
        <v>225.04</v>
      </c>
      <c r="Y1832" s="6"/>
      <c r="Z1832" s="6">
        <f ca="1">('TUSD BE'!$AM$47+'TUSD BF'!$AM$47+'TUSD CVA'!$AM$47)*(1-CUSTOS!$M$38)</f>
        <v>335.21342816228281</v>
      </c>
      <c r="AA1832" s="6">
        <f>('TE BE'!$AB$26+'TE BF'!$AB$26+'TE CVA'!$AB$26)*(1-CUSTOS!$M$38)</f>
        <v>227.92247399192311</v>
      </c>
      <c r="AB1832" s="6">
        <f>$K$1832*$V$1832</f>
        <v>0</v>
      </c>
      <c r="AC1832" s="6">
        <f>$M$1832*$W$1832</f>
        <v>-4069.6429697999997</v>
      </c>
      <c r="AD1832" s="6">
        <f>$O$1832*$X$1832</f>
        <v>-3050.1313992</v>
      </c>
      <c r="AE1832" s="6">
        <f>$K$1832*$Y$1832</f>
        <v>0</v>
      </c>
      <c r="AF1832" s="6">
        <f ca="1">$M$1832*$Z$1832</f>
        <v>-4543.3922976859776</v>
      </c>
      <c r="AG1832" s="6">
        <f>$O$1832*$AA$1832</f>
        <v>-3089.1996734185482</v>
      </c>
    </row>
    <row r="1833" spans="1:33" ht="11.25" customHeight="1" x14ac:dyDescent="0.25">
      <c r="A1833" s="4" t="s">
        <v>57</v>
      </c>
      <c r="B1833" s="4" t="s">
        <v>44</v>
      </c>
      <c r="C1833" s="4" t="s">
        <v>23</v>
      </c>
      <c r="D1833" s="4" t="s">
        <v>45</v>
      </c>
      <c r="E1833" s="4" t="s">
        <v>53</v>
      </c>
      <c r="F1833" s="4" t="s">
        <v>55</v>
      </c>
      <c r="G1833" s="4" t="s">
        <v>25</v>
      </c>
      <c r="H1833" s="4" t="s">
        <v>25</v>
      </c>
      <c r="I1833" s="5">
        <v>44743</v>
      </c>
      <c r="J1833" s="6">
        <v>0</v>
      </c>
      <c r="K1833" s="6">
        <v>0</v>
      </c>
      <c r="L1833" s="6">
        <v>66.944999999999993</v>
      </c>
      <c r="M1833" s="6">
        <v>18.075150000000001</v>
      </c>
      <c r="N1833" s="6">
        <v>66.944999999999993</v>
      </c>
      <c r="O1833" s="6">
        <v>18.075150000000001</v>
      </c>
      <c r="P1833" s="6">
        <v>0</v>
      </c>
      <c r="Q1833" s="4" t="s">
        <v>26</v>
      </c>
      <c r="R1833" s="4">
        <v>0</v>
      </c>
      <c r="S1833" s="6">
        <v>0</v>
      </c>
      <c r="T1833" s="6">
        <v>27</v>
      </c>
      <c r="U1833" s="6">
        <v>85</v>
      </c>
      <c r="V1833" s="6">
        <f>IF(ISERROR(VLOOKUP($S$1833,'TAR FIN'!$A$1:$O$104,15,0)),0,VLOOKUP($S$1833,'TAR FIN'!$A$1:$O$104,15,0))</f>
        <v>0</v>
      </c>
      <c r="W1833" s="6">
        <f>IF(ISERROR(VLOOKUP($T$1833,'TAR FIN'!$A$1:$O$104,15,0)),0,VLOOKUP($T$1833,'TAR FIN'!$A$1:$O$104,15,0))</f>
        <v>300.26</v>
      </c>
      <c r="X1833" s="6">
        <f>IF(ISERROR(VLOOKUP($U$1833,'TAR FIN'!$A$1:$O$104,15,0)),0,VLOOKUP($U$1833,'TAR FIN'!$A$1:$O$104,15,0))</f>
        <v>225.04</v>
      </c>
      <c r="Y1833" s="6"/>
      <c r="Z1833" s="6">
        <f ca="1">('TUSD BE'!$AM$47+'TUSD BF'!$AM$47+'TUSD CVA'!$AM$47)*(1-CUSTOS!$M$38)</f>
        <v>335.21342816228281</v>
      </c>
      <c r="AA1833" s="6">
        <f>('TE BE'!$AB$26+'TE BF'!$AB$26+'TE CVA'!$AB$26)*(1-CUSTOS!$M$38)</f>
        <v>227.92247399192311</v>
      </c>
      <c r="AB1833" s="6">
        <f>$K$1833*$V$1833</f>
        <v>0</v>
      </c>
      <c r="AC1833" s="6">
        <f>$M$1833*$W$1833</f>
        <v>5427.2445390000003</v>
      </c>
      <c r="AD1833" s="6">
        <f>$O$1833*$X$1833</f>
        <v>4067.6317560000002</v>
      </c>
      <c r="AE1833" s="6">
        <f>$K$1833*$Y$1833</f>
        <v>0</v>
      </c>
      <c r="AF1833" s="6">
        <f ca="1">$M$1833*$Z$1833</f>
        <v>6059.0329960474864</v>
      </c>
      <c r="AG1833" s="6">
        <f>$O$1833*$AA$1833</f>
        <v>4119.7329057751094</v>
      </c>
    </row>
    <row r="1834" spans="1:33" ht="11.25" customHeight="1" x14ac:dyDescent="0.25">
      <c r="A1834" s="4" t="s">
        <v>21</v>
      </c>
      <c r="B1834" s="4" t="s">
        <v>44</v>
      </c>
      <c r="C1834" s="4" t="s">
        <v>23</v>
      </c>
      <c r="D1834" s="4" t="s">
        <v>45</v>
      </c>
      <c r="E1834" s="4" t="s">
        <v>56</v>
      </c>
      <c r="F1834" s="4" t="s">
        <v>54</v>
      </c>
      <c r="G1834" s="4" t="s">
        <v>25</v>
      </c>
      <c r="H1834" s="4" t="s">
        <v>25</v>
      </c>
      <c r="I1834" s="5">
        <v>44409</v>
      </c>
      <c r="J1834" s="6">
        <v>0</v>
      </c>
      <c r="K1834" s="6">
        <v>0</v>
      </c>
      <c r="L1834" s="6">
        <v>9.3840000000000003</v>
      </c>
      <c r="M1834" s="6">
        <v>9.3840000000000003</v>
      </c>
      <c r="N1834" s="6">
        <v>9.3840000000000003</v>
      </c>
      <c r="O1834" s="6">
        <v>9.3840000000000003</v>
      </c>
      <c r="P1834" s="6">
        <v>0</v>
      </c>
      <c r="Q1834" s="4" t="s">
        <v>26</v>
      </c>
      <c r="R1834" s="4">
        <v>0</v>
      </c>
      <c r="S1834" s="6">
        <v>0</v>
      </c>
      <c r="T1834" s="6">
        <v>27</v>
      </c>
      <c r="U1834" s="6">
        <v>85</v>
      </c>
      <c r="V1834" s="6">
        <f>IF(ISERROR(VLOOKUP($S$1834,'TAR FIN'!$A$1:$O$104,15,0)),0,VLOOKUP($S$1834,'TAR FIN'!$A$1:$O$104,15,0))</f>
        <v>0</v>
      </c>
      <c r="W1834" s="6">
        <f>IF(ISERROR(VLOOKUP($T$1834,'TAR FIN'!$A$1:$O$104,15,0)),0,VLOOKUP($T$1834,'TAR FIN'!$A$1:$O$104,15,0))</f>
        <v>300.26</v>
      </c>
      <c r="X1834" s="6">
        <f>IF(ISERROR(VLOOKUP($U$1834,'TAR FIN'!$A$1:$O$104,15,0)),0,VLOOKUP($U$1834,'TAR FIN'!$A$1:$O$104,15,0))</f>
        <v>225.04</v>
      </c>
      <c r="Y1834" s="6"/>
      <c r="Z1834" s="6">
        <f ca="1">('TUSD BE'!$AM$47+'TUSD BF'!$AM$47+'TUSD CVA'!$AM$47)*(1-CUSTOS!$M$38)</f>
        <v>335.21342816228281</v>
      </c>
      <c r="AA1834" s="6">
        <f>('TE BE'!$AB$26+'TE BF'!$AB$26+'TE CVA'!$AB$26)*(1-CUSTOS!$M$38)</f>
        <v>227.92247399192311</v>
      </c>
      <c r="AB1834" s="6">
        <f>$K$1834*$V$1834</f>
        <v>0</v>
      </c>
      <c r="AC1834" s="6">
        <f>$M$1834*$W$1834</f>
        <v>2817.6398399999998</v>
      </c>
      <c r="AD1834" s="6">
        <f>$O$1834*$X$1834</f>
        <v>2111.7753600000001</v>
      </c>
      <c r="AE1834" s="6">
        <f>$K$1834*$Y$1834</f>
        <v>0</v>
      </c>
      <c r="AF1834" s="6">
        <f ca="1">$M$1834*$Z$1834</f>
        <v>3145.642809874862</v>
      </c>
      <c r="AG1834" s="6">
        <f>$O$1834*$AA$1834</f>
        <v>2138.8244959402064</v>
      </c>
    </row>
    <row r="1835" spans="1:33" ht="11.25" customHeight="1" x14ac:dyDescent="0.25">
      <c r="A1835" s="4" t="s">
        <v>21</v>
      </c>
      <c r="B1835" s="4" t="s">
        <v>44</v>
      </c>
      <c r="C1835" s="4" t="s">
        <v>23</v>
      </c>
      <c r="D1835" s="4" t="s">
        <v>45</v>
      </c>
      <c r="E1835" s="4" t="s">
        <v>56</v>
      </c>
      <c r="F1835" s="4" t="s">
        <v>54</v>
      </c>
      <c r="G1835" s="4" t="s">
        <v>25</v>
      </c>
      <c r="H1835" s="4" t="s">
        <v>25</v>
      </c>
      <c r="I1835" s="5">
        <v>44440</v>
      </c>
      <c r="J1835" s="6">
        <v>0</v>
      </c>
      <c r="K1835" s="6">
        <v>0</v>
      </c>
      <c r="L1835" s="6">
        <v>6.282</v>
      </c>
      <c r="M1835" s="6">
        <v>6.282</v>
      </c>
      <c r="N1835" s="6">
        <v>6.282</v>
      </c>
      <c r="O1835" s="6">
        <v>6.282</v>
      </c>
      <c r="P1835" s="6">
        <v>0</v>
      </c>
      <c r="Q1835" s="4" t="s">
        <v>26</v>
      </c>
      <c r="R1835" s="4">
        <v>0</v>
      </c>
      <c r="S1835" s="6">
        <v>0</v>
      </c>
      <c r="T1835" s="6">
        <v>27</v>
      </c>
      <c r="U1835" s="6">
        <v>85</v>
      </c>
      <c r="V1835" s="6">
        <f>IF(ISERROR(VLOOKUP($S$1835,'TAR FIN'!$A$1:$O$104,15,0)),0,VLOOKUP($S$1835,'TAR FIN'!$A$1:$O$104,15,0))</f>
        <v>0</v>
      </c>
      <c r="W1835" s="6">
        <f>IF(ISERROR(VLOOKUP($T$1835,'TAR FIN'!$A$1:$O$104,15,0)),0,VLOOKUP($T$1835,'TAR FIN'!$A$1:$O$104,15,0))</f>
        <v>300.26</v>
      </c>
      <c r="X1835" s="6">
        <f>IF(ISERROR(VLOOKUP($U$1835,'TAR FIN'!$A$1:$O$104,15,0)),0,VLOOKUP($U$1835,'TAR FIN'!$A$1:$O$104,15,0))</f>
        <v>225.04</v>
      </c>
      <c r="Y1835" s="6"/>
      <c r="Z1835" s="6">
        <f ca="1">('TUSD BE'!$AM$47+'TUSD BF'!$AM$47+'TUSD CVA'!$AM$47)*(1-CUSTOS!$M$38)</f>
        <v>335.21342816228281</v>
      </c>
      <c r="AA1835" s="6">
        <f>('TE BE'!$AB$26+'TE BF'!$AB$26+'TE CVA'!$AB$26)*(1-CUSTOS!$M$38)</f>
        <v>227.92247399192311</v>
      </c>
      <c r="AB1835" s="6">
        <f>$K$1835*$V$1835</f>
        <v>0</v>
      </c>
      <c r="AC1835" s="6">
        <f>$M$1835*$W$1835</f>
        <v>1886.23332</v>
      </c>
      <c r="AD1835" s="6">
        <f>$O$1835*$X$1835</f>
        <v>1413.70128</v>
      </c>
      <c r="AE1835" s="6">
        <f>$K$1835*$Y$1835</f>
        <v>0</v>
      </c>
      <c r="AF1835" s="6">
        <f ca="1">$M$1835*$Z$1835</f>
        <v>2105.8107557154608</v>
      </c>
      <c r="AG1835" s="6">
        <f>$O$1835*$AA$1835</f>
        <v>1431.808981617261</v>
      </c>
    </row>
    <row r="1836" spans="1:33" ht="11.25" customHeight="1" x14ac:dyDescent="0.25">
      <c r="A1836" s="4" t="s">
        <v>21</v>
      </c>
      <c r="B1836" s="4" t="s">
        <v>44</v>
      </c>
      <c r="C1836" s="4" t="s">
        <v>23</v>
      </c>
      <c r="D1836" s="4" t="s">
        <v>45</v>
      </c>
      <c r="E1836" s="4" t="s">
        <v>56</v>
      </c>
      <c r="F1836" s="4" t="s">
        <v>54</v>
      </c>
      <c r="G1836" s="4" t="s">
        <v>25</v>
      </c>
      <c r="H1836" s="4" t="s">
        <v>25</v>
      </c>
      <c r="I1836" s="5">
        <v>44470</v>
      </c>
      <c r="J1836" s="6">
        <v>0</v>
      </c>
      <c r="K1836" s="6">
        <v>0</v>
      </c>
      <c r="L1836" s="6">
        <v>6.4340000000000002</v>
      </c>
      <c r="M1836" s="6">
        <v>6.4340000000000002</v>
      </c>
      <c r="N1836" s="6">
        <v>6.4340000000000002</v>
      </c>
      <c r="O1836" s="6">
        <v>6.4340000000000002</v>
      </c>
      <c r="P1836" s="6">
        <v>0</v>
      </c>
      <c r="Q1836" s="4" t="s">
        <v>26</v>
      </c>
      <c r="R1836" s="4">
        <v>0</v>
      </c>
      <c r="S1836" s="6">
        <v>0</v>
      </c>
      <c r="T1836" s="6">
        <v>27</v>
      </c>
      <c r="U1836" s="6">
        <v>85</v>
      </c>
      <c r="V1836" s="6">
        <f>IF(ISERROR(VLOOKUP($S$1836,'TAR FIN'!$A$1:$O$104,15,0)),0,VLOOKUP($S$1836,'TAR FIN'!$A$1:$O$104,15,0))</f>
        <v>0</v>
      </c>
      <c r="W1836" s="6">
        <f>IF(ISERROR(VLOOKUP($T$1836,'TAR FIN'!$A$1:$O$104,15,0)),0,VLOOKUP($T$1836,'TAR FIN'!$A$1:$O$104,15,0))</f>
        <v>300.26</v>
      </c>
      <c r="X1836" s="6">
        <f>IF(ISERROR(VLOOKUP($U$1836,'TAR FIN'!$A$1:$O$104,15,0)),0,VLOOKUP($U$1836,'TAR FIN'!$A$1:$O$104,15,0))</f>
        <v>225.04</v>
      </c>
      <c r="Y1836" s="6"/>
      <c r="Z1836" s="6">
        <f ca="1">('TUSD BE'!$AM$47+'TUSD BF'!$AM$47+'TUSD CVA'!$AM$47)*(1-CUSTOS!$M$38)</f>
        <v>335.21342816228281</v>
      </c>
      <c r="AA1836" s="6">
        <f>('TE BE'!$AB$26+'TE BF'!$AB$26+'TE CVA'!$AB$26)*(1-CUSTOS!$M$38)</f>
        <v>227.92247399192311</v>
      </c>
      <c r="AB1836" s="6">
        <f>$K$1836*$V$1836</f>
        <v>0</v>
      </c>
      <c r="AC1836" s="6">
        <f>$M$1836*$W$1836</f>
        <v>1931.87284</v>
      </c>
      <c r="AD1836" s="6">
        <f>$O$1836*$X$1836</f>
        <v>1447.9073599999999</v>
      </c>
      <c r="AE1836" s="6">
        <f>$K$1836*$Y$1836</f>
        <v>0</v>
      </c>
      <c r="AF1836" s="6">
        <f ca="1">$M$1836*$Z$1836</f>
        <v>2156.7631967961274</v>
      </c>
      <c r="AG1836" s="6">
        <f>$O$1836*$AA$1836</f>
        <v>1466.4531976640333</v>
      </c>
    </row>
    <row r="1837" spans="1:33" ht="11.25" customHeight="1" x14ac:dyDescent="0.25">
      <c r="A1837" s="4" t="s">
        <v>21</v>
      </c>
      <c r="B1837" s="4" t="s">
        <v>44</v>
      </c>
      <c r="C1837" s="4" t="s">
        <v>23</v>
      </c>
      <c r="D1837" s="4" t="s">
        <v>45</v>
      </c>
      <c r="E1837" s="4" t="s">
        <v>56</v>
      </c>
      <c r="F1837" s="4" t="s">
        <v>54</v>
      </c>
      <c r="G1837" s="4" t="s">
        <v>25</v>
      </c>
      <c r="H1837" s="4" t="s">
        <v>25</v>
      </c>
      <c r="I1837" s="5">
        <v>44501</v>
      </c>
      <c r="J1837" s="6">
        <v>0</v>
      </c>
      <c r="K1837" s="6">
        <v>0</v>
      </c>
      <c r="L1837" s="6">
        <v>7.734</v>
      </c>
      <c r="M1837" s="6">
        <v>7.734</v>
      </c>
      <c r="N1837" s="6">
        <v>7.734</v>
      </c>
      <c r="O1837" s="6">
        <v>7.734</v>
      </c>
      <c r="P1837" s="6">
        <v>0</v>
      </c>
      <c r="Q1837" s="4" t="s">
        <v>26</v>
      </c>
      <c r="R1837" s="4">
        <v>0</v>
      </c>
      <c r="S1837" s="6">
        <v>0</v>
      </c>
      <c r="T1837" s="6">
        <v>27</v>
      </c>
      <c r="U1837" s="6">
        <v>85</v>
      </c>
      <c r="V1837" s="6">
        <f>IF(ISERROR(VLOOKUP($S$1837,'TAR FIN'!$A$1:$O$104,15,0)),0,VLOOKUP($S$1837,'TAR FIN'!$A$1:$O$104,15,0))</f>
        <v>0</v>
      </c>
      <c r="W1837" s="6">
        <f>IF(ISERROR(VLOOKUP($T$1837,'TAR FIN'!$A$1:$O$104,15,0)),0,VLOOKUP($T$1837,'TAR FIN'!$A$1:$O$104,15,0))</f>
        <v>300.26</v>
      </c>
      <c r="X1837" s="6">
        <f>IF(ISERROR(VLOOKUP($U$1837,'TAR FIN'!$A$1:$O$104,15,0)),0,VLOOKUP($U$1837,'TAR FIN'!$A$1:$O$104,15,0))</f>
        <v>225.04</v>
      </c>
      <c r="Y1837" s="6"/>
      <c r="Z1837" s="6">
        <f ca="1">('TUSD BE'!$AM$47+'TUSD BF'!$AM$47+'TUSD CVA'!$AM$47)*(1-CUSTOS!$M$38)</f>
        <v>335.21342816228281</v>
      </c>
      <c r="AA1837" s="6">
        <f>('TE BE'!$AB$26+'TE BF'!$AB$26+'TE CVA'!$AB$26)*(1-CUSTOS!$M$38)</f>
        <v>227.92247399192311</v>
      </c>
      <c r="AB1837" s="6">
        <f>$K$1837*$V$1837</f>
        <v>0</v>
      </c>
      <c r="AC1837" s="6">
        <f>$M$1837*$W$1837</f>
        <v>2322.2108399999997</v>
      </c>
      <c r="AD1837" s="6">
        <f>$O$1837*$X$1837</f>
        <v>1740.4593599999998</v>
      </c>
      <c r="AE1837" s="6">
        <f>$K$1837*$Y$1837</f>
        <v>0</v>
      </c>
      <c r="AF1837" s="6">
        <f ca="1">$M$1837*$Z$1837</f>
        <v>2592.5406534070953</v>
      </c>
      <c r="AG1837" s="6">
        <f>$O$1837*$AA$1837</f>
        <v>1762.7524138535334</v>
      </c>
    </row>
    <row r="1838" spans="1:33" ht="11.25" customHeight="1" x14ac:dyDescent="0.25">
      <c r="A1838" s="4" t="s">
        <v>21</v>
      </c>
      <c r="B1838" s="4" t="s">
        <v>44</v>
      </c>
      <c r="C1838" s="4" t="s">
        <v>23</v>
      </c>
      <c r="D1838" s="4" t="s">
        <v>45</v>
      </c>
      <c r="E1838" s="4" t="s">
        <v>56</v>
      </c>
      <c r="F1838" s="4" t="s">
        <v>54</v>
      </c>
      <c r="G1838" s="4" t="s">
        <v>25</v>
      </c>
      <c r="H1838" s="4" t="s">
        <v>25</v>
      </c>
      <c r="I1838" s="5">
        <v>44531</v>
      </c>
      <c r="J1838" s="6">
        <v>0</v>
      </c>
      <c r="K1838" s="6">
        <v>0</v>
      </c>
      <c r="L1838" s="6">
        <v>7.53</v>
      </c>
      <c r="M1838" s="6">
        <v>7.53</v>
      </c>
      <c r="N1838" s="6">
        <v>7.53</v>
      </c>
      <c r="O1838" s="6">
        <v>7.53</v>
      </c>
      <c r="P1838" s="6">
        <v>0</v>
      </c>
      <c r="Q1838" s="4" t="s">
        <v>26</v>
      </c>
      <c r="R1838" s="4">
        <v>0</v>
      </c>
      <c r="S1838" s="6">
        <v>0</v>
      </c>
      <c r="T1838" s="6">
        <v>27</v>
      </c>
      <c r="U1838" s="6">
        <v>85</v>
      </c>
      <c r="V1838" s="6">
        <f>IF(ISERROR(VLOOKUP($S$1838,'TAR FIN'!$A$1:$O$104,15,0)),0,VLOOKUP($S$1838,'TAR FIN'!$A$1:$O$104,15,0))</f>
        <v>0</v>
      </c>
      <c r="W1838" s="6">
        <f>IF(ISERROR(VLOOKUP($T$1838,'TAR FIN'!$A$1:$O$104,15,0)),0,VLOOKUP($T$1838,'TAR FIN'!$A$1:$O$104,15,0))</f>
        <v>300.26</v>
      </c>
      <c r="X1838" s="6">
        <f>IF(ISERROR(VLOOKUP($U$1838,'TAR FIN'!$A$1:$O$104,15,0)),0,VLOOKUP($U$1838,'TAR FIN'!$A$1:$O$104,15,0))</f>
        <v>225.04</v>
      </c>
      <c r="Y1838" s="6"/>
      <c r="Z1838" s="6">
        <f ca="1">('TUSD BE'!$AM$47+'TUSD BF'!$AM$47+'TUSD CVA'!$AM$47)*(1-CUSTOS!$M$38)</f>
        <v>335.21342816228281</v>
      </c>
      <c r="AA1838" s="6">
        <f>('TE BE'!$AB$26+'TE BF'!$AB$26+'TE CVA'!$AB$26)*(1-CUSTOS!$M$38)</f>
        <v>227.92247399192311</v>
      </c>
      <c r="AB1838" s="6">
        <f>$K$1838*$V$1838</f>
        <v>0</v>
      </c>
      <c r="AC1838" s="6">
        <f>$M$1838*$W$1838</f>
        <v>2260.9578000000001</v>
      </c>
      <c r="AD1838" s="6">
        <f>$O$1838*$X$1838</f>
        <v>1694.5512000000001</v>
      </c>
      <c r="AE1838" s="6">
        <f>$K$1838*$Y$1838</f>
        <v>0</v>
      </c>
      <c r="AF1838" s="6">
        <f ca="1">$M$1838*$Z$1838</f>
        <v>2524.1571140619894</v>
      </c>
      <c r="AG1838" s="6">
        <f>$O$1838*$AA$1838</f>
        <v>1716.2562291591812</v>
      </c>
    </row>
    <row r="1839" spans="1:33" ht="11.25" customHeight="1" x14ac:dyDescent="0.25">
      <c r="A1839" s="4" t="s">
        <v>21</v>
      </c>
      <c r="B1839" s="4" t="s">
        <v>44</v>
      </c>
      <c r="C1839" s="4" t="s">
        <v>23</v>
      </c>
      <c r="D1839" s="4" t="s">
        <v>45</v>
      </c>
      <c r="E1839" s="4" t="s">
        <v>56</v>
      </c>
      <c r="F1839" s="4" t="s">
        <v>54</v>
      </c>
      <c r="G1839" s="4" t="s">
        <v>25</v>
      </c>
      <c r="H1839" s="4" t="s">
        <v>25</v>
      </c>
      <c r="I1839" s="5">
        <v>44562</v>
      </c>
      <c r="J1839" s="6">
        <v>0</v>
      </c>
      <c r="K1839" s="6">
        <v>0</v>
      </c>
      <c r="L1839" s="6">
        <v>6.3029999999999999</v>
      </c>
      <c r="M1839" s="6">
        <v>6.3029999999999999</v>
      </c>
      <c r="N1839" s="6">
        <v>6.3029999999999999</v>
      </c>
      <c r="O1839" s="6">
        <v>6.3029999999999999</v>
      </c>
      <c r="P1839" s="6">
        <v>0</v>
      </c>
      <c r="Q1839" s="4" t="s">
        <v>26</v>
      </c>
      <c r="R1839" s="4">
        <v>0</v>
      </c>
      <c r="S1839" s="6">
        <v>0</v>
      </c>
      <c r="T1839" s="6">
        <v>27</v>
      </c>
      <c r="U1839" s="6">
        <v>85</v>
      </c>
      <c r="V1839" s="6">
        <f>IF(ISERROR(VLOOKUP($S$1839,'TAR FIN'!$A$1:$O$104,15,0)),0,VLOOKUP($S$1839,'TAR FIN'!$A$1:$O$104,15,0))</f>
        <v>0</v>
      </c>
      <c r="W1839" s="6">
        <f>IF(ISERROR(VLOOKUP($T$1839,'TAR FIN'!$A$1:$O$104,15,0)),0,VLOOKUP($T$1839,'TAR FIN'!$A$1:$O$104,15,0))</f>
        <v>300.26</v>
      </c>
      <c r="X1839" s="6">
        <f>IF(ISERROR(VLOOKUP($U$1839,'TAR FIN'!$A$1:$O$104,15,0)),0,VLOOKUP($U$1839,'TAR FIN'!$A$1:$O$104,15,0))</f>
        <v>225.04</v>
      </c>
      <c r="Y1839" s="6"/>
      <c r="Z1839" s="6">
        <f ca="1">('TUSD BE'!$AM$47+'TUSD BF'!$AM$47+'TUSD CVA'!$AM$47)*(1-CUSTOS!$M$38)</f>
        <v>335.21342816228281</v>
      </c>
      <c r="AA1839" s="6">
        <f>('TE BE'!$AB$26+'TE BF'!$AB$26+'TE CVA'!$AB$26)*(1-CUSTOS!$M$38)</f>
        <v>227.92247399192311</v>
      </c>
      <c r="AB1839" s="6">
        <f>$K$1839*$V$1839</f>
        <v>0</v>
      </c>
      <c r="AC1839" s="6">
        <f>$M$1839*$W$1839</f>
        <v>1892.5387799999999</v>
      </c>
      <c r="AD1839" s="6">
        <f>$O$1839*$X$1839</f>
        <v>1418.4271199999998</v>
      </c>
      <c r="AE1839" s="6">
        <f>$K$1839*$Y$1839</f>
        <v>0</v>
      </c>
      <c r="AF1839" s="6">
        <f ca="1">$M$1839*$Z$1839</f>
        <v>2112.8502377068685</v>
      </c>
      <c r="AG1839" s="6">
        <f>$O$1839*$AA$1839</f>
        <v>1436.5953535710914</v>
      </c>
    </row>
    <row r="1840" spans="1:33" ht="11.25" customHeight="1" x14ac:dyDescent="0.25">
      <c r="A1840" s="4" t="s">
        <v>21</v>
      </c>
      <c r="B1840" s="4" t="s">
        <v>44</v>
      </c>
      <c r="C1840" s="4" t="s">
        <v>23</v>
      </c>
      <c r="D1840" s="4" t="s">
        <v>45</v>
      </c>
      <c r="E1840" s="4" t="s">
        <v>56</v>
      </c>
      <c r="F1840" s="4" t="s">
        <v>54</v>
      </c>
      <c r="G1840" s="4" t="s">
        <v>25</v>
      </c>
      <c r="H1840" s="4" t="s">
        <v>25</v>
      </c>
      <c r="I1840" s="5">
        <v>44593</v>
      </c>
      <c r="J1840" s="6">
        <v>0</v>
      </c>
      <c r="K1840" s="6">
        <v>0</v>
      </c>
      <c r="L1840" s="6">
        <v>4.4089999999999998</v>
      </c>
      <c r="M1840" s="6">
        <v>4.4089999999999998</v>
      </c>
      <c r="N1840" s="6">
        <v>4.4089999999999998</v>
      </c>
      <c r="O1840" s="6">
        <v>4.4089999999999998</v>
      </c>
      <c r="P1840" s="6">
        <v>0</v>
      </c>
      <c r="Q1840" s="4" t="s">
        <v>26</v>
      </c>
      <c r="R1840" s="4">
        <v>0</v>
      </c>
      <c r="S1840" s="6">
        <v>0</v>
      </c>
      <c r="T1840" s="6">
        <v>27</v>
      </c>
      <c r="U1840" s="6">
        <v>85</v>
      </c>
      <c r="V1840" s="6">
        <f>IF(ISERROR(VLOOKUP($S$1840,'TAR FIN'!$A$1:$O$104,15,0)),0,VLOOKUP($S$1840,'TAR FIN'!$A$1:$O$104,15,0))</f>
        <v>0</v>
      </c>
      <c r="W1840" s="6">
        <f>IF(ISERROR(VLOOKUP($T$1840,'TAR FIN'!$A$1:$O$104,15,0)),0,VLOOKUP($T$1840,'TAR FIN'!$A$1:$O$104,15,0))</f>
        <v>300.26</v>
      </c>
      <c r="X1840" s="6">
        <f>IF(ISERROR(VLOOKUP($U$1840,'TAR FIN'!$A$1:$O$104,15,0)),0,VLOOKUP($U$1840,'TAR FIN'!$A$1:$O$104,15,0))</f>
        <v>225.04</v>
      </c>
      <c r="Y1840" s="6"/>
      <c r="Z1840" s="6">
        <f ca="1">('TUSD BE'!$AM$47+'TUSD BF'!$AM$47+'TUSD CVA'!$AM$47)*(1-CUSTOS!$M$38)</f>
        <v>335.21342816228281</v>
      </c>
      <c r="AA1840" s="6">
        <f>('TE BE'!$AB$26+'TE BF'!$AB$26+'TE CVA'!$AB$26)*(1-CUSTOS!$M$38)</f>
        <v>227.92247399192311</v>
      </c>
      <c r="AB1840" s="6">
        <f>$K$1840*$V$1840</f>
        <v>0</v>
      </c>
      <c r="AC1840" s="6">
        <f>$M$1840*$W$1840</f>
        <v>1323.8463399999998</v>
      </c>
      <c r="AD1840" s="6">
        <f>$O$1840*$X$1840</f>
        <v>992.20135999999991</v>
      </c>
      <c r="AE1840" s="6">
        <f>$K$1840*$Y$1840</f>
        <v>0</v>
      </c>
      <c r="AF1840" s="6">
        <f ca="1">$M$1840*$Z$1840</f>
        <v>1477.9560047675047</v>
      </c>
      <c r="AG1840" s="6">
        <f>$O$1840*$AA$1840</f>
        <v>1004.910187830389</v>
      </c>
    </row>
    <row r="1841" spans="1:33" ht="11.25" customHeight="1" x14ac:dyDescent="0.25">
      <c r="A1841" s="4" t="s">
        <v>21</v>
      </c>
      <c r="B1841" s="4" t="s">
        <v>44</v>
      </c>
      <c r="C1841" s="4" t="s">
        <v>23</v>
      </c>
      <c r="D1841" s="4" t="s">
        <v>45</v>
      </c>
      <c r="E1841" s="4" t="s">
        <v>56</v>
      </c>
      <c r="F1841" s="4" t="s">
        <v>54</v>
      </c>
      <c r="G1841" s="4" t="s">
        <v>25</v>
      </c>
      <c r="H1841" s="4" t="s">
        <v>25</v>
      </c>
      <c r="I1841" s="5">
        <v>44621</v>
      </c>
      <c r="J1841" s="6">
        <v>0</v>
      </c>
      <c r="K1841" s="6">
        <v>0</v>
      </c>
      <c r="L1841" s="6">
        <v>5.9340000000000002</v>
      </c>
      <c r="M1841" s="6">
        <v>5.9340000000000002</v>
      </c>
      <c r="N1841" s="6">
        <v>5.9340000000000002</v>
      </c>
      <c r="O1841" s="6">
        <v>5.9340000000000002</v>
      </c>
      <c r="P1841" s="6">
        <v>0</v>
      </c>
      <c r="Q1841" s="4" t="s">
        <v>26</v>
      </c>
      <c r="R1841" s="4">
        <v>0</v>
      </c>
      <c r="S1841" s="6">
        <v>0</v>
      </c>
      <c r="T1841" s="6">
        <v>27</v>
      </c>
      <c r="U1841" s="6">
        <v>85</v>
      </c>
      <c r="V1841" s="6">
        <f>IF(ISERROR(VLOOKUP($S$1841,'TAR FIN'!$A$1:$O$104,15,0)),0,VLOOKUP($S$1841,'TAR FIN'!$A$1:$O$104,15,0))</f>
        <v>0</v>
      </c>
      <c r="W1841" s="6">
        <f>IF(ISERROR(VLOOKUP($T$1841,'TAR FIN'!$A$1:$O$104,15,0)),0,VLOOKUP($T$1841,'TAR FIN'!$A$1:$O$104,15,0))</f>
        <v>300.26</v>
      </c>
      <c r="X1841" s="6">
        <f>IF(ISERROR(VLOOKUP($U$1841,'TAR FIN'!$A$1:$O$104,15,0)),0,VLOOKUP($U$1841,'TAR FIN'!$A$1:$O$104,15,0))</f>
        <v>225.04</v>
      </c>
      <c r="Y1841" s="6"/>
      <c r="Z1841" s="6">
        <f ca="1">('TUSD BE'!$AM$47+'TUSD BF'!$AM$47+'TUSD CVA'!$AM$47)*(1-CUSTOS!$M$38)</f>
        <v>335.21342816228281</v>
      </c>
      <c r="AA1841" s="6">
        <f>('TE BE'!$AB$26+'TE BF'!$AB$26+'TE CVA'!$AB$26)*(1-CUSTOS!$M$38)</f>
        <v>227.92247399192311</v>
      </c>
      <c r="AB1841" s="6">
        <f>$K$1841*$V$1841</f>
        <v>0</v>
      </c>
      <c r="AC1841" s="6">
        <f>$M$1841*$W$1841</f>
        <v>1781.7428399999999</v>
      </c>
      <c r="AD1841" s="6">
        <f>$O$1841*$X$1841</f>
        <v>1335.3873599999999</v>
      </c>
      <c r="AE1841" s="6">
        <f>$K$1841*$Y$1841</f>
        <v>0</v>
      </c>
      <c r="AF1841" s="6">
        <f ca="1">$M$1841*$Z$1841</f>
        <v>1989.1564827149862</v>
      </c>
      <c r="AG1841" s="6">
        <f>$O$1841*$AA$1841</f>
        <v>1352.4919606680719</v>
      </c>
    </row>
    <row r="1842" spans="1:33" ht="11.25" customHeight="1" x14ac:dyDescent="0.25">
      <c r="A1842" s="4" t="s">
        <v>21</v>
      </c>
      <c r="B1842" s="4" t="s">
        <v>44</v>
      </c>
      <c r="C1842" s="4" t="s">
        <v>23</v>
      </c>
      <c r="D1842" s="4" t="s">
        <v>45</v>
      </c>
      <c r="E1842" s="4" t="s">
        <v>56</v>
      </c>
      <c r="F1842" s="4" t="s">
        <v>54</v>
      </c>
      <c r="G1842" s="4" t="s">
        <v>25</v>
      </c>
      <c r="H1842" s="4" t="s">
        <v>25</v>
      </c>
      <c r="I1842" s="5">
        <v>44652</v>
      </c>
      <c r="J1842" s="6">
        <v>0</v>
      </c>
      <c r="K1842" s="6">
        <v>0</v>
      </c>
      <c r="L1842" s="6">
        <v>7.6669999999999998</v>
      </c>
      <c r="M1842" s="6">
        <v>7.6669999999999998</v>
      </c>
      <c r="N1842" s="6">
        <v>7.6669999999999998</v>
      </c>
      <c r="O1842" s="6">
        <v>7.6669999999999998</v>
      </c>
      <c r="P1842" s="6">
        <v>0</v>
      </c>
      <c r="Q1842" s="4" t="s">
        <v>26</v>
      </c>
      <c r="R1842" s="4">
        <v>0</v>
      </c>
      <c r="S1842" s="6">
        <v>0</v>
      </c>
      <c r="T1842" s="6">
        <v>27</v>
      </c>
      <c r="U1842" s="6">
        <v>85</v>
      </c>
      <c r="V1842" s="6">
        <f>IF(ISERROR(VLOOKUP($S$1842,'TAR FIN'!$A$1:$O$104,15,0)),0,VLOOKUP($S$1842,'TAR FIN'!$A$1:$O$104,15,0))</f>
        <v>0</v>
      </c>
      <c r="W1842" s="6">
        <f>IF(ISERROR(VLOOKUP($T$1842,'TAR FIN'!$A$1:$O$104,15,0)),0,VLOOKUP($T$1842,'TAR FIN'!$A$1:$O$104,15,0))</f>
        <v>300.26</v>
      </c>
      <c r="X1842" s="6">
        <f>IF(ISERROR(VLOOKUP($U$1842,'TAR FIN'!$A$1:$O$104,15,0)),0,VLOOKUP($U$1842,'TAR FIN'!$A$1:$O$104,15,0))</f>
        <v>225.04</v>
      </c>
      <c r="Y1842" s="6"/>
      <c r="Z1842" s="6">
        <f ca="1">('TUSD BE'!$AM$47+'TUSD BF'!$AM$47+'TUSD CVA'!$AM$47)*(1-CUSTOS!$M$38)</f>
        <v>335.21342816228281</v>
      </c>
      <c r="AA1842" s="6">
        <f>('TE BE'!$AB$26+'TE BF'!$AB$26+'TE CVA'!$AB$26)*(1-CUSTOS!$M$38)</f>
        <v>227.92247399192311</v>
      </c>
      <c r="AB1842" s="6">
        <f>$K$1842*$V$1842</f>
        <v>0</v>
      </c>
      <c r="AC1842" s="6">
        <f>$M$1842*$W$1842</f>
        <v>2302.0934199999997</v>
      </c>
      <c r="AD1842" s="6">
        <f>$O$1842*$X$1842</f>
        <v>1725.38168</v>
      </c>
      <c r="AE1842" s="6">
        <f>$K$1842*$Y$1842</f>
        <v>0</v>
      </c>
      <c r="AF1842" s="6">
        <f ca="1">$M$1842*$Z$1842</f>
        <v>2570.0813537202221</v>
      </c>
      <c r="AG1842" s="6">
        <f>$O$1842*$AA$1842</f>
        <v>1747.4816080960745</v>
      </c>
    </row>
    <row r="1843" spans="1:33" ht="11.25" customHeight="1" x14ac:dyDescent="0.25">
      <c r="A1843" s="4" t="s">
        <v>21</v>
      </c>
      <c r="B1843" s="4" t="s">
        <v>44</v>
      </c>
      <c r="C1843" s="4" t="s">
        <v>23</v>
      </c>
      <c r="D1843" s="4" t="s">
        <v>45</v>
      </c>
      <c r="E1843" s="4" t="s">
        <v>56</v>
      </c>
      <c r="F1843" s="4" t="s">
        <v>54</v>
      </c>
      <c r="G1843" s="4" t="s">
        <v>25</v>
      </c>
      <c r="H1843" s="4" t="s">
        <v>25</v>
      </c>
      <c r="I1843" s="5">
        <v>44682</v>
      </c>
      <c r="J1843" s="6">
        <v>0</v>
      </c>
      <c r="K1843" s="6">
        <v>0</v>
      </c>
      <c r="L1843" s="6">
        <v>7.8570000000000002</v>
      </c>
      <c r="M1843" s="6">
        <v>7.8570000000000002</v>
      </c>
      <c r="N1843" s="6">
        <v>7.8570000000000002</v>
      </c>
      <c r="O1843" s="6">
        <v>7.8570000000000002</v>
      </c>
      <c r="P1843" s="6">
        <v>0</v>
      </c>
      <c r="Q1843" s="4" t="s">
        <v>26</v>
      </c>
      <c r="R1843" s="4">
        <v>0</v>
      </c>
      <c r="S1843" s="6">
        <v>0</v>
      </c>
      <c r="T1843" s="6">
        <v>27</v>
      </c>
      <c r="U1843" s="6">
        <v>85</v>
      </c>
      <c r="V1843" s="6">
        <f>IF(ISERROR(VLOOKUP($S$1843,'TAR FIN'!$A$1:$O$104,15,0)),0,VLOOKUP($S$1843,'TAR FIN'!$A$1:$O$104,15,0))</f>
        <v>0</v>
      </c>
      <c r="W1843" s="6">
        <f>IF(ISERROR(VLOOKUP($T$1843,'TAR FIN'!$A$1:$O$104,15,0)),0,VLOOKUP($T$1843,'TAR FIN'!$A$1:$O$104,15,0))</f>
        <v>300.26</v>
      </c>
      <c r="X1843" s="6">
        <f>IF(ISERROR(VLOOKUP($U$1843,'TAR FIN'!$A$1:$O$104,15,0)),0,VLOOKUP($U$1843,'TAR FIN'!$A$1:$O$104,15,0))</f>
        <v>225.04</v>
      </c>
      <c r="Y1843" s="6"/>
      <c r="Z1843" s="6">
        <f ca="1">('TUSD BE'!$AM$47+'TUSD BF'!$AM$47+'TUSD CVA'!$AM$47)*(1-CUSTOS!$M$38)</f>
        <v>335.21342816228281</v>
      </c>
      <c r="AA1843" s="6">
        <f>('TE BE'!$AB$26+'TE BF'!$AB$26+'TE CVA'!$AB$26)*(1-CUSTOS!$M$38)</f>
        <v>227.92247399192311</v>
      </c>
      <c r="AB1843" s="6">
        <f>$K$1843*$V$1843</f>
        <v>0</v>
      </c>
      <c r="AC1843" s="6">
        <f>$M$1843*$W$1843</f>
        <v>2359.14282</v>
      </c>
      <c r="AD1843" s="6">
        <f>$O$1843*$X$1843</f>
        <v>1768.1392799999999</v>
      </c>
      <c r="AE1843" s="6">
        <f>$K$1843*$Y$1843</f>
        <v>0</v>
      </c>
      <c r="AF1843" s="6">
        <f ca="1">$M$1843*$Z$1843</f>
        <v>2633.7719050710562</v>
      </c>
      <c r="AG1843" s="6">
        <f>$O$1843*$AA$1843</f>
        <v>1790.7868781545399</v>
      </c>
    </row>
    <row r="1844" spans="1:33" ht="11.25" customHeight="1" x14ac:dyDescent="0.25">
      <c r="A1844" s="4" t="s">
        <v>21</v>
      </c>
      <c r="B1844" s="4" t="s">
        <v>44</v>
      </c>
      <c r="C1844" s="4" t="s">
        <v>23</v>
      </c>
      <c r="D1844" s="4" t="s">
        <v>45</v>
      </c>
      <c r="E1844" s="4" t="s">
        <v>56</v>
      </c>
      <c r="F1844" s="4" t="s">
        <v>54</v>
      </c>
      <c r="G1844" s="4" t="s">
        <v>25</v>
      </c>
      <c r="H1844" s="4" t="s">
        <v>25</v>
      </c>
      <c r="I1844" s="5">
        <v>44713</v>
      </c>
      <c r="J1844" s="6">
        <v>0</v>
      </c>
      <c r="K1844" s="6">
        <v>0</v>
      </c>
      <c r="L1844" s="6">
        <v>7.8369999999999997</v>
      </c>
      <c r="M1844" s="6">
        <v>7.8369999999999997</v>
      </c>
      <c r="N1844" s="6">
        <v>7.8369999999999997</v>
      </c>
      <c r="O1844" s="6">
        <v>7.8369999999999997</v>
      </c>
      <c r="P1844" s="6">
        <v>0</v>
      </c>
      <c r="Q1844" s="4" t="s">
        <v>26</v>
      </c>
      <c r="R1844" s="4">
        <v>0</v>
      </c>
      <c r="S1844" s="6">
        <v>0</v>
      </c>
      <c r="T1844" s="6">
        <v>27</v>
      </c>
      <c r="U1844" s="6">
        <v>85</v>
      </c>
      <c r="V1844" s="6">
        <f>IF(ISERROR(VLOOKUP($S$1844,'TAR FIN'!$A$1:$O$104,15,0)),0,VLOOKUP($S$1844,'TAR FIN'!$A$1:$O$104,15,0))</f>
        <v>0</v>
      </c>
      <c r="W1844" s="6">
        <f>IF(ISERROR(VLOOKUP($T$1844,'TAR FIN'!$A$1:$O$104,15,0)),0,VLOOKUP($T$1844,'TAR FIN'!$A$1:$O$104,15,0))</f>
        <v>300.26</v>
      </c>
      <c r="X1844" s="6">
        <f>IF(ISERROR(VLOOKUP($U$1844,'TAR FIN'!$A$1:$O$104,15,0)),0,VLOOKUP($U$1844,'TAR FIN'!$A$1:$O$104,15,0))</f>
        <v>225.04</v>
      </c>
      <c r="Y1844" s="6"/>
      <c r="Z1844" s="6">
        <f ca="1">('TUSD BE'!$AM$47+'TUSD BF'!$AM$47+'TUSD CVA'!$AM$47)*(1-CUSTOS!$M$38)</f>
        <v>335.21342816228281</v>
      </c>
      <c r="AA1844" s="6">
        <f>('TE BE'!$AB$26+'TE BF'!$AB$26+'TE CVA'!$AB$26)*(1-CUSTOS!$M$38)</f>
        <v>227.92247399192311</v>
      </c>
      <c r="AB1844" s="6">
        <f>$K$1844*$V$1844</f>
        <v>0</v>
      </c>
      <c r="AC1844" s="6">
        <f>$M$1844*$W$1844</f>
        <v>2353.13762</v>
      </c>
      <c r="AD1844" s="6">
        <f>$O$1844*$X$1844</f>
        <v>1763.6384799999998</v>
      </c>
      <c r="AE1844" s="6">
        <f>$K$1844*$Y$1844</f>
        <v>0</v>
      </c>
      <c r="AF1844" s="6">
        <f ca="1">$M$1844*$Z$1844</f>
        <v>2627.0676365078102</v>
      </c>
      <c r="AG1844" s="6">
        <f>$O$1844*$AA$1844</f>
        <v>1786.2284286747013</v>
      </c>
    </row>
    <row r="1845" spans="1:33" ht="11.25" customHeight="1" x14ac:dyDescent="0.25">
      <c r="A1845" s="4" t="s">
        <v>57</v>
      </c>
      <c r="B1845" s="4" t="s">
        <v>44</v>
      </c>
      <c r="C1845" s="4" t="s">
        <v>23</v>
      </c>
      <c r="D1845" s="4" t="s">
        <v>45</v>
      </c>
      <c r="E1845" s="4" t="s">
        <v>56</v>
      </c>
      <c r="F1845" s="4" t="s">
        <v>54</v>
      </c>
      <c r="G1845" s="4" t="s">
        <v>25</v>
      </c>
      <c r="H1845" s="4" t="s">
        <v>25</v>
      </c>
      <c r="I1845" s="5">
        <v>44743</v>
      </c>
      <c r="J1845" s="6">
        <v>0</v>
      </c>
      <c r="K1845" s="6">
        <v>0</v>
      </c>
      <c r="L1845" s="6">
        <v>7.8369999999999997</v>
      </c>
      <c r="M1845" s="6">
        <v>7.8369999999999997</v>
      </c>
      <c r="N1845" s="6">
        <v>7.8369999999999997</v>
      </c>
      <c r="O1845" s="6">
        <v>7.8369999999999997</v>
      </c>
      <c r="P1845" s="6">
        <v>0</v>
      </c>
      <c r="Q1845" s="4" t="s">
        <v>26</v>
      </c>
      <c r="R1845" s="4">
        <v>0</v>
      </c>
      <c r="S1845" s="6">
        <v>0</v>
      </c>
      <c r="T1845" s="6">
        <v>27</v>
      </c>
      <c r="U1845" s="6">
        <v>85</v>
      </c>
      <c r="V1845" s="6">
        <f>IF(ISERROR(VLOOKUP($S$1845,'TAR FIN'!$A$1:$O$104,15,0)),0,VLOOKUP($S$1845,'TAR FIN'!$A$1:$O$104,15,0))</f>
        <v>0</v>
      </c>
      <c r="W1845" s="6">
        <f>IF(ISERROR(VLOOKUP($T$1845,'TAR FIN'!$A$1:$O$104,15,0)),0,VLOOKUP($T$1845,'TAR FIN'!$A$1:$O$104,15,0))</f>
        <v>300.26</v>
      </c>
      <c r="X1845" s="6">
        <f>IF(ISERROR(VLOOKUP($U$1845,'TAR FIN'!$A$1:$O$104,15,0)),0,VLOOKUP($U$1845,'TAR FIN'!$A$1:$O$104,15,0))</f>
        <v>225.04</v>
      </c>
      <c r="Y1845" s="6"/>
      <c r="Z1845" s="6">
        <f ca="1">('TUSD BE'!$AM$47+'TUSD BF'!$AM$47+'TUSD CVA'!$AM$47)*(1-CUSTOS!$M$38)</f>
        <v>335.21342816228281</v>
      </c>
      <c r="AA1845" s="6">
        <f>('TE BE'!$AB$26+'TE BF'!$AB$26+'TE CVA'!$AB$26)*(1-CUSTOS!$M$38)</f>
        <v>227.92247399192311</v>
      </c>
      <c r="AB1845" s="6">
        <f>$K$1845*$V$1845</f>
        <v>0</v>
      </c>
      <c r="AC1845" s="6">
        <f>$M$1845*$W$1845</f>
        <v>2353.13762</v>
      </c>
      <c r="AD1845" s="6">
        <f>$O$1845*$X$1845</f>
        <v>1763.6384799999998</v>
      </c>
      <c r="AE1845" s="6">
        <f>$K$1845*$Y$1845</f>
        <v>0</v>
      </c>
      <c r="AF1845" s="6">
        <f ca="1">$M$1845*$Z$1845</f>
        <v>2627.0676365078102</v>
      </c>
      <c r="AG1845" s="6">
        <f>$O$1845*$AA$1845</f>
        <v>1786.2284286747013</v>
      </c>
    </row>
    <row r="1846" spans="1:33" ht="11.25" customHeight="1" x14ac:dyDescent="0.25">
      <c r="A1846" s="4" t="s">
        <v>21</v>
      </c>
      <c r="B1846" s="4" t="s">
        <v>44</v>
      </c>
      <c r="C1846" s="4" t="s">
        <v>23</v>
      </c>
      <c r="D1846" s="4" t="s">
        <v>45</v>
      </c>
      <c r="E1846" s="4" t="s">
        <v>56</v>
      </c>
      <c r="F1846" s="4" t="s">
        <v>55</v>
      </c>
      <c r="G1846" s="4" t="s">
        <v>25</v>
      </c>
      <c r="H1846" s="4" t="s">
        <v>25</v>
      </c>
      <c r="I1846" s="5">
        <v>44409</v>
      </c>
      <c r="J1846" s="6">
        <v>0</v>
      </c>
      <c r="K1846" s="6">
        <v>0</v>
      </c>
      <c r="L1846" s="6">
        <v>24.286000000000001</v>
      </c>
      <c r="M1846" s="6">
        <v>6.55722</v>
      </c>
      <c r="N1846" s="6">
        <v>24.286000000000001</v>
      </c>
      <c r="O1846" s="6">
        <v>6.55722</v>
      </c>
      <c r="P1846" s="6">
        <v>0</v>
      </c>
      <c r="Q1846" s="4" t="s">
        <v>26</v>
      </c>
      <c r="R1846" s="4">
        <v>0</v>
      </c>
      <c r="S1846" s="6">
        <v>0</v>
      </c>
      <c r="T1846" s="6">
        <v>27</v>
      </c>
      <c r="U1846" s="6">
        <v>85</v>
      </c>
      <c r="V1846" s="6">
        <f>IF(ISERROR(VLOOKUP($S$1846,'TAR FIN'!$A$1:$O$104,15,0)),0,VLOOKUP($S$1846,'TAR FIN'!$A$1:$O$104,15,0))</f>
        <v>0</v>
      </c>
      <c r="W1846" s="6">
        <f>IF(ISERROR(VLOOKUP($T$1846,'TAR FIN'!$A$1:$O$104,15,0)),0,VLOOKUP($T$1846,'TAR FIN'!$A$1:$O$104,15,0))</f>
        <v>300.26</v>
      </c>
      <c r="X1846" s="6">
        <f>IF(ISERROR(VLOOKUP($U$1846,'TAR FIN'!$A$1:$O$104,15,0)),0,VLOOKUP($U$1846,'TAR FIN'!$A$1:$O$104,15,0))</f>
        <v>225.04</v>
      </c>
      <c r="Y1846" s="6"/>
      <c r="Z1846" s="6">
        <f ca="1">('TUSD BE'!$AM$47+'TUSD BF'!$AM$47+'TUSD CVA'!$AM$47)*(1-CUSTOS!$M$38)</f>
        <v>335.21342816228281</v>
      </c>
      <c r="AA1846" s="6">
        <f>('TE BE'!$AB$26+'TE BF'!$AB$26+'TE CVA'!$AB$26)*(1-CUSTOS!$M$38)</f>
        <v>227.92247399192311</v>
      </c>
      <c r="AB1846" s="6">
        <f>$K$1846*$V$1846</f>
        <v>0</v>
      </c>
      <c r="AC1846" s="6">
        <f>$M$1846*$W$1846</f>
        <v>1968.8708772</v>
      </c>
      <c r="AD1846" s="6">
        <f>$O$1846*$X$1846</f>
        <v>1475.6367888</v>
      </c>
      <c r="AE1846" s="6">
        <f>$K$1846*$Y$1846</f>
        <v>0</v>
      </c>
      <c r="AF1846" s="6">
        <f ca="1">$M$1846*$Z$1846</f>
        <v>2198.0681954142842</v>
      </c>
      <c r="AG1846" s="6">
        <f>$O$1846*$AA$1846</f>
        <v>1494.5378049093181</v>
      </c>
    </row>
    <row r="1847" spans="1:33" ht="11.25" customHeight="1" x14ac:dyDescent="0.25">
      <c r="A1847" s="4" t="s">
        <v>21</v>
      </c>
      <c r="B1847" s="4" t="s">
        <v>44</v>
      </c>
      <c r="C1847" s="4" t="s">
        <v>23</v>
      </c>
      <c r="D1847" s="4" t="s">
        <v>45</v>
      </c>
      <c r="E1847" s="4" t="s">
        <v>56</v>
      </c>
      <c r="F1847" s="4" t="s">
        <v>55</v>
      </c>
      <c r="G1847" s="4" t="s">
        <v>25</v>
      </c>
      <c r="H1847" s="4" t="s">
        <v>25</v>
      </c>
      <c r="I1847" s="5">
        <v>44440</v>
      </c>
      <c r="J1847" s="6">
        <v>0</v>
      </c>
      <c r="K1847" s="6">
        <v>0</v>
      </c>
      <c r="L1847" s="6">
        <v>18.283000000000001</v>
      </c>
      <c r="M1847" s="6">
        <v>4.9364100000000004</v>
      </c>
      <c r="N1847" s="6">
        <v>18.283000000000001</v>
      </c>
      <c r="O1847" s="6">
        <v>4.9364100000000004</v>
      </c>
      <c r="P1847" s="6">
        <v>0</v>
      </c>
      <c r="Q1847" s="4" t="s">
        <v>26</v>
      </c>
      <c r="R1847" s="4">
        <v>0</v>
      </c>
      <c r="S1847" s="6">
        <v>0</v>
      </c>
      <c r="T1847" s="6">
        <v>27</v>
      </c>
      <c r="U1847" s="6">
        <v>85</v>
      </c>
      <c r="V1847" s="6">
        <f>IF(ISERROR(VLOOKUP($S$1847,'TAR FIN'!$A$1:$O$104,15,0)),0,VLOOKUP($S$1847,'TAR FIN'!$A$1:$O$104,15,0))</f>
        <v>0</v>
      </c>
      <c r="W1847" s="6">
        <f>IF(ISERROR(VLOOKUP($T$1847,'TAR FIN'!$A$1:$O$104,15,0)),0,VLOOKUP($T$1847,'TAR FIN'!$A$1:$O$104,15,0))</f>
        <v>300.26</v>
      </c>
      <c r="X1847" s="6">
        <f>IF(ISERROR(VLOOKUP($U$1847,'TAR FIN'!$A$1:$O$104,15,0)),0,VLOOKUP($U$1847,'TAR FIN'!$A$1:$O$104,15,0))</f>
        <v>225.04</v>
      </c>
      <c r="Y1847" s="6"/>
      <c r="Z1847" s="6">
        <f ca="1">('TUSD BE'!$AM$47+'TUSD BF'!$AM$47+'TUSD CVA'!$AM$47)*(1-CUSTOS!$M$38)</f>
        <v>335.21342816228281</v>
      </c>
      <c r="AA1847" s="6">
        <f>('TE BE'!$AB$26+'TE BF'!$AB$26+'TE CVA'!$AB$26)*(1-CUSTOS!$M$38)</f>
        <v>227.92247399192311</v>
      </c>
      <c r="AB1847" s="6">
        <f>$K$1847*$V$1847</f>
        <v>0</v>
      </c>
      <c r="AC1847" s="6">
        <f>$M$1847*$W$1847</f>
        <v>1482.2064666000001</v>
      </c>
      <c r="AD1847" s="6">
        <f>$O$1847*$X$1847</f>
        <v>1110.8897064</v>
      </c>
      <c r="AE1847" s="6">
        <f>$K$1847*$Y$1847</f>
        <v>0</v>
      </c>
      <c r="AF1847" s="6">
        <f ca="1">$M$1847*$Z$1847</f>
        <v>1654.7509189145746</v>
      </c>
      <c r="AG1847" s="6">
        <f>$O$1847*$AA$1847</f>
        <v>1125.1187798384692</v>
      </c>
    </row>
    <row r="1848" spans="1:33" ht="11.25" customHeight="1" x14ac:dyDescent="0.25">
      <c r="A1848" s="4" t="s">
        <v>21</v>
      </c>
      <c r="B1848" s="4" t="s">
        <v>44</v>
      </c>
      <c r="C1848" s="4" t="s">
        <v>23</v>
      </c>
      <c r="D1848" s="4" t="s">
        <v>45</v>
      </c>
      <c r="E1848" s="4" t="s">
        <v>56</v>
      </c>
      <c r="F1848" s="4" t="s">
        <v>55</v>
      </c>
      <c r="G1848" s="4" t="s">
        <v>25</v>
      </c>
      <c r="H1848" s="4" t="s">
        <v>25</v>
      </c>
      <c r="I1848" s="5">
        <v>44470</v>
      </c>
      <c r="J1848" s="6">
        <v>0</v>
      </c>
      <c r="K1848" s="6">
        <v>0</v>
      </c>
      <c r="L1848" s="6">
        <v>23.462</v>
      </c>
      <c r="M1848" s="6">
        <v>6.33474</v>
      </c>
      <c r="N1848" s="6">
        <v>23.462</v>
      </c>
      <c r="O1848" s="6">
        <v>6.33474</v>
      </c>
      <c r="P1848" s="6">
        <v>0</v>
      </c>
      <c r="Q1848" s="4" t="s">
        <v>26</v>
      </c>
      <c r="R1848" s="4">
        <v>0</v>
      </c>
      <c r="S1848" s="6">
        <v>0</v>
      </c>
      <c r="T1848" s="6">
        <v>27</v>
      </c>
      <c r="U1848" s="6">
        <v>85</v>
      </c>
      <c r="V1848" s="6">
        <f>IF(ISERROR(VLOOKUP($S$1848,'TAR FIN'!$A$1:$O$104,15,0)),0,VLOOKUP($S$1848,'TAR FIN'!$A$1:$O$104,15,0))</f>
        <v>0</v>
      </c>
      <c r="W1848" s="6">
        <f>IF(ISERROR(VLOOKUP($T$1848,'TAR FIN'!$A$1:$O$104,15,0)),0,VLOOKUP($T$1848,'TAR FIN'!$A$1:$O$104,15,0))</f>
        <v>300.26</v>
      </c>
      <c r="X1848" s="6">
        <f>IF(ISERROR(VLOOKUP($U$1848,'TAR FIN'!$A$1:$O$104,15,0)),0,VLOOKUP($U$1848,'TAR FIN'!$A$1:$O$104,15,0))</f>
        <v>225.04</v>
      </c>
      <c r="Y1848" s="6"/>
      <c r="Z1848" s="6">
        <f ca="1">('TUSD BE'!$AM$47+'TUSD BF'!$AM$47+'TUSD CVA'!$AM$47)*(1-CUSTOS!$M$38)</f>
        <v>335.21342816228281</v>
      </c>
      <c r="AA1848" s="6">
        <f>('TE BE'!$AB$26+'TE BF'!$AB$26+'TE CVA'!$AB$26)*(1-CUSTOS!$M$38)</f>
        <v>227.92247399192311</v>
      </c>
      <c r="AB1848" s="6">
        <f>$K$1848*$V$1848</f>
        <v>0</v>
      </c>
      <c r="AC1848" s="6">
        <f>$M$1848*$W$1848</f>
        <v>1902.0690324</v>
      </c>
      <c r="AD1848" s="6">
        <f>$O$1848*$X$1848</f>
        <v>1425.5698895999999</v>
      </c>
      <c r="AE1848" s="6">
        <f>$K$1848*$Y$1848</f>
        <v>0</v>
      </c>
      <c r="AF1848" s="6">
        <f ca="1">$M$1848*$Z$1848</f>
        <v>2123.4899119167394</v>
      </c>
      <c r="AG1848" s="6">
        <f>$O$1848*$AA$1848</f>
        <v>1443.8296128955951</v>
      </c>
    </row>
    <row r="1849" spans="1:33" ht="11.25" customHeight="1" x14ac:dyDescent="0.25">
      <c r="A1849" s="4" t="s">
        <v>21</v>
      </c>
      <c r="B1849" s="4" t="s">
        <v>44</v>
      </c>
      <c r="C1849" s="4" t="s">
        <v>23</v>
      </c>
      <c r="D1849" s="4" t="s">
        <v>45</v>
      </c>
      <c r="E1849" s="4" t="s">
        <v>56</v>
      </c>
      <c r="F1849" s="4" t="s">
        <v>55</v>
      </c>
      <c r="G1849" s="4" t="s">
        <v>25</v>
      </c>
      <c r="H1849" s="4" t="s">
        <v>25</v>
      </c>
      <c r="I1849" s="5">
        <v>44501</v>
      </c>
      <c r="J1849" s="6">
        <v>0</v>
      </c>
      <c r="K1849" s="6">
        <v>0</v>
      </c>
      <c r="L1849" s="6">
        <v>23.196000000000002</v>
      </c>
      <c r="M1849" s="6">
        <v>6.2629200000000003</v>
      </c>
      <c r="N1849" s="6">
        <v>23.196000000000002</v>
      </c>
      <c r="O1849" s="6">
        <v>6.2629200000000003</v>
      </c>
      <c r="P1849" s="6">
        <v>0</v>
      </c>
      <c r="Q1849" s="4" t="s">
        <v>26</v>
      </c>
      <c r="R1849" s="4">
        <v>0</v>
      </c>
      <c r="S1849" s="6">
        <v>0</v>
      </c>
      <c r="T1849" s="6">
        <v>27</v>
      </c>
      <c r="U1849" s="6">
        <v>85</v>
      </c>
      <c r="V1849" s="6">
        <f>IF(ISERROR(VLOOKUP($S$1849,'TAR FIN'!$A$1:$O$104,15,0)),0,VLOOKUP($S$1849,'TAR FIN'!$A$1:$O$104,15,0))</f>
        <v>0</v>
      </c>
      <c r="W1849" s="6">
        <f>IF(ISERROR(VLOOKUP($T$1849,'TAR FIN'!$A$1:$O$104,15,0)),0,VLOOKUP($T$1849,'TAR FIN'!$A$1:$O$104,15,0))</f>
        <v>300.26</v>
      </c>
      <c r="X1849" s="6">
        <f>IF(ISERROR(VLOOKUP($U$1849,'TAR FIN'!$A$1:$O$104,15,0)),0,VLOOKUP($U$1849,'TAR FIN'!$A$1:$O$104,15,0))</f>
        <v>225.04</v>
      </c>
      <c r="Y1849" s="6"/>
      <c r="Z1849" s="6">
        <f ca="1">('TUSD BE'!$AM$47+'TUSD BF'!$AM$47+'TUSD CVA'!$AM$47)*(1-CUSTOS!$M$38)</f>
        <v>335.21342816228281</v>
      </c>
      <c r="AA1849" s="6">
        <f>('TE BE'!$AB$26+'TE BF'!$AB$26+'TE CVA'!$AB$26)*(1-CUSTOS!$M$38)</f>
        <v>227.92247399192311</v>
      </c>
      <c r="AB1849" s="6">
        <f>$K$1849*$V$1849</f>
        <v>0</v>
      </c>
      <c r="AC1849" s="6">
        <f>$M$1849*$W$1849</f>
        <v>1880.5043592</v>
      </c>
      <c r="AD1849" s="6">
        <f>$O$1849*$X$1849</f>
        <v>1409.4075167999999</v>
      </c>
      <c r="AE1849" s="6">
        <f>$K$1849*$Y$1849</f>
        <v>0</v>
      </c>
      <c r="AF1849" s="6">
        <f ca="1">$M$1849*$Z$1849</f>
        <v>2099.4148835061242</v>
      </c>
      <c r="AG1849" s="6">
        <f>$O$1849*$AA$1849</f>
        <v>1427.4602208134952</v>
      </c>
    </row>
    <row r="1850" spans="1:33" ht="11.25" customHeight="1" x14ac:dyDescent="0.25">
      <c r="A1850" s="4" t="s">
        <v>21</v>
      </c>
      <c r="B1850" s="4" t="s">
        <v>44</v>
      </c>
      <c r="C1850" s="4" t="s">
        <v>23</v>
      </c>
      <c r="D1850" s="4" t="s">
        <v>45</v>
      </c>
      <c r="E1850" s="4" t="s">
        <v>56</v>
      </c>
      <c r="F1850" s="4" t="s">
        <v>55</v>
      </c>
      <c r="G1850" s="4" t="s">
        <v>25</v>
      </c>
      <c r="H1850" s="4" t="s">
        <v>25</v>
      </c>
      <c r="I1850" s="5">
        <v>44531</v>
      </c>
      <c r="J1850" s="6">
        <v>0</v>
      </c>
      <c r="K1850" s="6">
        <v>0</v>
      </c>
      <c r="L1850" s="6">
        <v>20.673999999999999</v>
      </c>
      <c r="M1850" s="6">
        <v>5.5819799999999997</v>
      </c>
      <c r="N1850" s="6">
        <v>20.673999999999999</v>
      </c>
      <c r="O1850" s="6">
        <v>5.5819799999999997</v>
      </c>
      <c r="P1850" s="6">
        <v>0</v>
      </c>
      <c r="Q1850" s="4" t="s">
        <v>26</v>
      </c>
      <c r="R1850" s="4">
        <v>0</v>
      </c>
      <c r="S1850" s="6">
        <v>0</v>
      </c>
      <c r="T1850" s="6">
        <v>27</v>
      </c>
      <c r="U1850" s="6">
        <v>85</v>
      </c>
      <c r="V1850" s="6">
        <f>IF(ISERROR(VLOOKUP($S$1850,'TAR FIN'!$A$1:$O$104,15,0)),0,VLOOKUP($S$1850,'TAR FIN'!$A$1:$O$104,15,0))</f>
        <v>0</v>
      </c>
      <c r="W1850" s="6">
        <f>IF(ISERROR(VLOOKUP($T$1850,'TAR FIN'!$A$1:$O$104,15,0)),0,VLOOKUP($T$1850,'TAR FIN'!$A$1:$O$104,15,0))</f>
        <v>300.26</v>
      </c>
      <c r="X1850" s="6">
        <f>IF(ISERROR(VLOOKUP($U$1850,'TAR FIN'!$A$1:$O$104,15,0)),0,VLOOKUP($U$1850,'TAR FIN'!$A$1:$O$104,15,0))</f>
        <v>225.04</v>
      </c>
      <c r="Y1850" s="6"/>
      <c r="Z1850" s="6">
        <f ca="1">('TUSD BE'!$AM$47+'TUSD BF'!$AM$47+'TUSD CVA'!$AM$47)*(1-CUSTOS!$M$38)</f>
        <v>335.21342816228281</v>
      </c>
      <c r="AA1850" s="6">
        <f>('TE BE'!$AB$26+'TE BF'!$AB$26+'TE CVA'!$AB$26)*(1-CUSTOS!$M$38)</f>
        <v>227.92247399192311</v>
      </c>
      <c r="AB1850" s="6">
        <f>$K$1850*$V$1850</f>
        <v>0</v>
      </c>
      <c r="AC1850" s="6">
        <f>$M$1850*$W$1850</f>
        <v>1676.0453147999999</v>
      </c>
      <c r="AD1850" s="6">
        <f>$O$1850*$X$1850</f>
        <v>1256.1687791999998</v>
      </c>
      <c r="AE1850" s="6">
        <f>$K$1850*$Y$1850</f>
        <v>0</v>
      </c>
      <c r="AF1850" s="6">
        <f ca="1">$M$1850*$Z$1850</f>
        <v>1871.1546517332993</v>
      </c>
      <c r="AG1850" s="6">
        <f>$O$1850*$AA$1850</f>
        <v>1272.2586913734349</v>
      </c>
    </row>
    <row r="1851" spans="1:33" ht="11.25" customHeight="1" x14ac:dyDescent="0.25">
      <c r="A1851" s="4" t="s">
        <v>21</v>
      </c>
      <c r="B1851" s="4" t="s">
        <v>44</v>
      </c>
      <c r="C1851" s="4" t="s">
        <v>23</v>
      </c>
      <c r="D1851" s="4" t="s">
        <v>45</v>
      </c>
      <c r="E1851" s="4" t="s">
        <v>56</v>
      </c>
      <c r="F1851" s="4" t="s">
        <v>55</v>
      </c>
      <c r="G1851" s="4" t="s">
        <v>25</v>
      </c>
      <c r="H1851" s="4" t="s">
        <v>25</v>
      </c>
      <c r="I1851" s="5">
        <v>44562</v>
      </c>
      <c r="J1851" s="6">
        <v>0</v>
      </c>
      <c r="K1851" s="6">
        <v>0</v>
      </c>
      <c r="L1851" s="6">
        <v>21.818999999999999</v>
      </c>
      <c r="M1851" s="6">
        <v>5.8911300000000004</v>
      </c>
      <c r="N1851" s="6">
        <v>21.818999999999999</v>
      </c>
      <c r="O1851" s="6">
        <v>5.8911300000000004</v>
      </c>
      <c r="P1851" s="6">
        <v>0</v>
      </c>
      <c r="Q1851" s="4" t="s">
        <v>26</v>
      </c>
      <c r="R1851" s="4">
        <v>0</v>
      </c>
      <c r="S1851" s="6">
        <v>0</v>
      </c>
      <c r="T1851" s="6">
        <v>27</v>
      </c>
      <c r="U1851" s="6">
        <v>85</v>
      </c>
      <c r="V1851" s="6">
        <f>IF(ISERROR(VLOOKUP($S$1851,'TAR FIN'!$A$1:$O$104,15,0)),0,VLOOKUP($S$1851,'TAR FIN'!$A$1:$O$104,15,0))</f>
        <v>0</v>
      </c>
      <c r="W1851" s="6">
        <f>IF(ISERROR(VLOOKUP($T$1851,'TAR FIN'!$A$1:$O$104,15,0)),0,VLOOKUP($T$1851,'TAR FIN'!$A$1:$O$104,15,0))</f>
        <v>300.26</v>
      </c>
      <c r="X1851" s="6">
        <f>IF(ISERROR(VLOOKUP($U$1851,'TAR FIN'!$A$1:$O$104,15,0)),0,VLOOKUP($U$1851,'TAR FIN'!$A$1:$O$104,15,0))</f>
        <v>225.04</v>
      </c>
      <c r="Y1851" s="6"/>
      <c r="Z1851" s="6">
        <f ca="1">('TUSD BE'!$AM$47+'TUSD BF'!$AM$47+'TUSD CVA'!$AM$47)*(1-CUSTOS!$M$38)</f>
        <v>335.21342816228281</v>
      </c>
      <c r="AA1851" s="6">
        <f>('TE BE'!$AB$26+'TE BF'!$AB$26+'TE CVA'!$AB$26)*(1-CUSTOS!$M$38)</f>
        <v>227.92247399192311</v>
      </c>
      <c r="AB1851" s="6">
        <f>$K$1851*$V$1851</f>
        <v>0</v>
      </c>
      <c r="AC1851" s="6">
        <f>$M$1851*$W$1851</f>
        <v>1768.8706938</v>
      </c>
      <c r="AD1851" s="6">
        <f>$O$1851*$X$1851</f>
        <v>1325.7398952000001</v>
      </c>
      <c r="AE1851" s="6">
        <f>$K$1851*$Y$1851</f>
        <v>0</v>
      </c>
      <c r="AF1851" s="6">
        <f ca="1">$M$1851*$Z$1851</f>
        <v>1974.7858830496693</v>
      </c>
      <c r="AG1851" s="6">
        <f>$O$1851*$AA$1851</f>
        <v>1342.720924208038</v>
      </c>
    </row>
    <row r="1852" spans="1:33" ht="11.25" customHeight="1" x14ac:dyDescent="0.25">
      <c r="A1852" s="4" t="s">
        <v>21</v>
      </c>
      <c r="B1852" s="4" t="s">
        <v>44</v>
      </c>
      <c r="C1852" s="4" t="s">
        <v>23</v>
      </c>
      <c r="D1852" s="4" t="s">
        <v>45</v>
      </c>
      <c r="E1852" s="4" t="s">
        <v>56</v>
      </c>
      <c r="F1852" s="4" t="s">
        <v>55</v>
      </c>
      <c r="G1852" s="4" t="s">
        <v>25</v>
      </c>
      <c r="H1852" s="4" t="s">
        <v>25</v>
      </c>
      <c r="I1852" s="5">
        <v>44593</v>
      </c>
      <c r="J1852" s="6">
        <v>0</v>
      </c>
      <c r="K1852" s="6">
        <v>0</v>
      </c>
      <c r="L1852" s="6">
        <v>17.419</v>
      </c>
      <c r="M1852" s="6">
        <v>4.7031299999999998</v>
      </c>
      <c r="N1852" s="6">
        <v>17.419</v>
      </c>
      <c r="O1852" s="6">
        <v>4.7031299999999998</v>
      </c>
      <c r="P1852" s="6">
        <v>0</v>
      </c>
      <c r="Q1852" s="4" t="s">
        <v>26</v>
      </c>
      <c r="R1852" s="4">
        <v>0</v>
      </c>
      <c r="S1852" s="6">
        <v>0</v>
      </c>
      <c r="T1852" s="6">
        <v>27</v>
      </c>
      <c r="U1852" s="6">
        <v>85</v>
      </c>
      <c r="V1852" s="6">
        <f>IF(ISERROR(VLOOKUP($S$1852,'TAR FIN'!$A$1:$O$104,15,0)),0,VLOOKUP($S$1852,'TAR FIN'!$A$1:$O$104,15,0))</f>
        <v>0</v>
      </c>
      <c r="W1852" s="6">
        <f>IF(ISERROR(VLOOKUP($T$1852,'TAR FIN'!$A$1:$O$104,15,0)),0,VLOOKUP($T$1852,'TAR FIN'!$A$1:$O$104,15,0))</f>
        <v>300.26</v>
      </c>
      <c r="X1852" s="6">
        <f>IF(ISERROR(VLOOKUP($U$1852,'TAR FIN'!$A$1:$O$104,15,0)),0,VLOOKUP($U$1852,'TAR FIN'!$A$1:$O$104,15,0))</f>
        <v>225.04</v>
      </c>
      <c r="Y1852" s="6"/>
      <c r="Z1852" s="6">
        <f ca="1">('TUSD BE'!$AM$47+'TUSD BF'!$AM$47+'TUSD CVA'!$AM$47)*(1-CUSTOS!$M$38)</f>
        <v>335.21342816228281</v>
      </c>
      <c r="AA1852" s="6">
        <f>('TE BE'!$AB$26+'TE BF'!$AB$26+'TE CVA'!$AB$26)*(1-CUSTOS!$M$38)</f>
        <v>227.92247399192311</v>
      </c>
      <c r="AB1852" s="6">
        <f>$K$1852*$V$1852</f>
        <v>0</v>
      </c>
      <c r="AC1852" s="6">
        <f>$M$1852*$W$1852</f>
        <v>1412.1618137999999</v>
      </c>
      <c r="AD1852" s="6">
        <f>$O$1852*$X$1852</f>
        <v>1058.3923751999998</v>
      </c>
      <c r="AE1852" s="6">
        <f>$K$1852*$Y$1852</f>
        <v>0</v>
      </c>
      <c r="AF1852" s="6">
        <f ca="1">$M$1852*$Z$1852</f>
        <v>1576.5523303928771</v>
      </c>
      <c r="AG1852" s="6">
        <f>$O$1852*$AA$1852</f>
        <v>1071.9490251056334</v>
      </c>
    </row>
    <row r="1853" spans="1:33" ht="11.25" customHeight="1" x14ac:dyDescent="0.25">
      <c r="A1853" s="4" t="s">
        <v>21</v>
      </c>
      <c r="B1853" s="4" t="s">
        <v>44</v>
      </c>
      <c r="C1853" s="4" t="s">
        <v>23</v>
      </c>
      <c r="D1853" s="4" t="s">
        <v>45</v>
      </c>
      <c r="E1853" s="4" t="s">
        <v>56</v>
      </c>
      <c r="F1853" s="4" t="s">
        <v>55</v>
      </c>
      <c r="G1853" s="4" t="s">
        <v>25</v>
      </c>
      <c r="H1853" s="4" t="s">
        <v>25</v>
      </c>
      <c r="I1853" s="5">
        <v>44621</v>
      </c>
      <c r="J1853" s="6">
        <v>0</v>
      </c>
      <c r="K1853" s="6">
        <v>0</v>
      </c>
      <c r="L1853" s="6">
        <v>18.379000000000001</v>
      </c>
      <c r="M1853" s="6">
        <v>4.9623299999999997</v>
      </c>
      <c r="N1853" s="6">
        <v>18.379000000000001</v>
      </c>
      <c r="O1853" s="6">
        <v>4.9623299999999997</v>
      </c>
      <c r="P1853" s="6">
        <v>0</v>
      </c>
      <c r="Q1853" s="4" t="s">
        <v>26</v>
      </c>
      <c r="R1853" s="4">
        <v>0</v>
      </c>
      <c r="S1853" s="6">
        <v>0</v>
      </c>
      <c r="T1853" s="6">
        <v>27</v>
      </c>
      <c r="U1853" s="6">
        <v>85</v>
      </c>
      <c r="V1853" s="6">
        <f>IF(ISERROR(VLOOKUP($S$1853,'TAR FIN'!$A$1:$O$104,15,0)),0,VLOOKUP($S$1853,'TAR FIN'!$A$1:$O$104,15,0))</f>
        <v>0</v>
      </c>
      <c r="W1853" s="6">
        <f>IF(ISERROR(VLOOKUP($T$1853,'TAR FIN'!$A$1:$O$104,15,0)),0,VLOOKUP($T$1853,'TAR FIN'!$A$1:$O$104,15,0))</f>
        <v>300.26</v>
      </c>
      <c r="X1853" s="6">
        <f>IF(ISERROR(VLOOKUP($U$1853,'TAR FIN'!$A$1:$O$104,15,0)),0,VLOOKUP($U$1853,'TAR FIN'!$A$1:$O$104,15,0))</f>
        <v>225.04</v>
      </c>
      <c r="Y1853" s="6"/>
      <c r="Z1853" s="6">
        <f ca="1">('TUSD BE'!$AM$47+'TUSD BF'!$AM$47+'TUSD CVA'!$AM$47)*(1-CUSTOS!$M$38)</f>
        <v>335.21342816228281</v>
      </c>
      <c r="AA1853" s="6">
        <f>('TE BE'!$AB$26+'TE BF'!$AB$26+'TE CVA'!$AB$26)*(1-CUSTOS!$M$38)</f>
        <v>227.92247399192311</v>
      </c>
      <c r="AB1853" s="6">
        <f>$K$1853*$V$1853</f>
        <v>0</v>
      </c>
      <c r="AC1853" s="6">
        <f>$M$1853*$W$1853</f>
        <v>1489.9892057999998</v>
      </c>
      <c r="AD1853" s="6">
        <f>$O$1853*$X$1853</f>
        <v>1116.7227432</v>
      </c>
      <c r="AE1853" s="6">
        <f>$K$1853*$Y$1853</f>
        <v>0</v>
      </c>
      <c r="AF1853" s="6">
        <f ca="1">$M$1853*$Z$1853</f>
        <v>1663.4396509725407</v>
      </c>
      <c r="AG1853" s="6">
        <f>$O$1853*$AA$1853</f>
        <v>1131.0265303643398</v>
      </c>
    </row>
    <row r="1854" spans="1:33" ht="11.25" customHeight="1" x14ac:dyDescent="0.25">
      <c r="A1854" s="4" t="s">
        <v>21</v>
      </c>
      <c r="B1854" s="4" t="s">
        <v>44</v>
      </c>
      <c r="C1854" s="4" t="s">
        <v>23</v>
      </c>
      <c r="D1854" s="4" t="s">
        <v>45</v>
      </c>
      <c r="E1854" s="4" t="s">
        <v>56</v>
      </c>
      <c r="F1854" s="4" t="s">
        <v>55</v>
      </c>
      <c r="G1854" s="4" t="s">
        <v>25</v>
      </c>
      <c r="H1854" s="4" t="s">
        <v>25</v>
      </c>
      <c r="I1854" s="5">
        <v>44652</v>
      </c>
      <c r="J1854" s="6">
        <v>0</v>
      </c>
      <c r="K1854" s="6">
        <v>0</v>
      </c>
      <c r="L1854" s="6">
        <v>19.802</v>
      </c>
      <c r="M1854" s="6">
        <v>5.3465400000000001</v>
      </c>
      <c r="N1854" s="6">
        <v>19.802</v>
      </c>
      <c r="O1854" s="6">
        <v>5.3465400000000001</v>
      </c>
      <c r="P1854" s="6">
        <v>0</v>
      </c>
      <c r="Q1854" s="4" t="s">
        <v>26</v>
      </c>
      <c r="R1854" s="4">
        <v>0</v>
      </c>
      <c r="S1854" s="6">
        <v>0</v>
      </c>
      <c r="T1854" s="6">
        <v>27</v>
      </c>
      <c r="U1854" s="6">
        <v>85</v>
      </c>
      <c r="V1854" s="6">
        <f>IF(ISERROR(VLOOKUP($S$1854,'TAR FIN'!$A$1:$O$104,15,0)),0,VLOOKUP($S$1854,'TAR FIN'!$A$1:$O$104,15,0))</f>
        <v>0</v>
      </c>
      <c r="W1854" s="6">
        <f>IF(ISERROR(VLOOKUP($T$1854,'TAR FIN'!$A$1:$O$104,15,0)),0,VLOOKUP($T$1854,'TAR FIN'!$A$1:$O$104,15,0))</f>
        <v>300.26</v>
      </c>
      <c r="X1854" s="6">
        <f>IF(ISERROR(VLOOKUP($U$1854,'TAR FIN'!$A$1:$O$104,15,0)),0,VLOOKUP($U$1854,'TAR FIN'!$A$1:$O$104,15,0))</f>
        <v>225.04</v>
      </c>
      <c r="Y1854" s="6"/>
      <c r="Z1854" s="6">
        <f ca="1">('TUSD BE'!$AM$47+'TUSD BF'!$AM$47+'TUSD CVA'!$AM$47)*(1-CUSTOS!$M$38)</f>
        <v>335.21342816228281</v>
      </c>
      <c r="AA1854" s="6">
        <f>('TE BE'!$AB$26+'TE BF'!$AB$26+'TE CVA'!$AB$26)*(1-CUSTOS!$M$38)</f>
        <v>227.92247399192311</v>
      </c>
      <c r="AB1854" s="6">
        <f>$K$1854*$V$1854</f>
        <v>0</v>
      </c>
      <c r="AC1854" s="6">
        <f>$M$1854*$W$1854</f>
        <v>1605.3521003999999</v>
      </c>
      <c r="AD1854" s="6">
        <f>$O$1854*$X$1854</f>
        <v>1203.1853616000001</v>
      </c>
      <c r="AE1854" s="6">
        <f>$K$1854*$Y$1854</f>
        <v>0</v>
      </c>
      <c r="AF1854" s="6">
        <f ca="1">$M$1854*$Z$1854</f>
        <v>1792.2320022067715</v>
      </c>
      <c r="AG1854" s="6">
        <f>$O$1854*$AA$1854</f>
        <v>1218.5966240967766</v>
      </c>
    </row>
    <row r="1855" spans="1:33" ht="11.25" customHeight="1" x14ac:dyDescent="0.25">
      <c r="A1855" s="4" t="s">
        <v>21</v>
      </c>
      <c r="B1855" s="4" t="s">
        <v>44</v>
      </c>
      <c r="C1855" s="4" t="s">
        <v>23</v>
      </c>
      <c r="D1855" s="4" t="s">
        <v>45</v>
      </c>
      <c r="E1855" s="4" t="s">
        <v>56</v>
      </c>
      <c r="F1855" s="4" t="s">
        <v>55</v>
      </c>
      <c r="G1855" s="4" t="s">
        <v>25</v>
      </c>
      <c r="H1855" s="4" t="s">
        <v>25</v>
      </c>
      <c r="I1855" s="5">
        <v>44682</v>
      </c>
      <c r="J1855" s="6">
        <v>0</v>
      </c>
      <c r="K1855" s="6">
        <v>0</v>
      </c>
      <c r="L1855" s="6">
        <v>21.521999999999998</v>
      </c>
      <c r="M1855" s="6">
        <v>5.8109400000000004</v>
      </c>
      <c r="N1855" s="6">
        <v>21.521999999999998</v>
      </c>
      <c r="O1855" s="6">
        <v>5.8109400000000004</v>
      </c>
      <c r="P1855" s="6">
        <v>0</v>
      </c>
      <c r="Q1855" s="4" t="s">
        <v>26</v>
      </c>
      <c r="R1855" s="4">
        <v>0</v>
      </c>
      <c r="S1855" s="6">
        <v>0</v>
      </c>
      <c r="T1855" s="6">
        <v>27</v>
      </c>
      <c r="U1855" s="6">
        <v>85</v>
      </c>
      <c r="V1855" s="6">
        <f>IF(ISERROR(VLOOKUP($S$1855,'TAR FIN'!$A$1:$O$104,15,0)),0,VLOOKUP($S$1855,'TAR FIN'!$A$1:$O$104,15,0))</f>
        <v>0</v>
      </c>
      <c r="W1855" s="6">
        <f>IF(ISERROR(VLOOKUP($T$1855,'TAR FIN'!$A$1:$O$104,15,0)),0,VLOOKUP($T$1855,'TAR FIN'!$A$1:$O$104,15,0))</f>
        <v>300.26</v>
      </c>
      <c r="X1855" s="6">
        <f>IF(ISERROR(VLOOKUP($U$1855,'TAR FIN'!$A$1:$O$104,15,0)),0,VLOOKUP($U$1855,'TAR FIN'!$A$1:$O$104,15,0))</f>
        <v>225.04</v>
      </c>
      <c r="Y1855" s="6"/>
      <c r="Z1855" s="6">
        <f ca="1">('TUSD BE'!$AM$47+'TUSD BF'!$AM$47+'TUSD CVA'!$AM$47)*(1-CUSTOS!$M$38)</f>
        <v>335.21342816228281</v>
      </c>
      <c r="AA1855" s="6">
        <f>('TE BE'!$AB$26+'TE BF'!$AB$26+'TE CVA'!$AB$26)*(1-CUSTOS!$M$38)</f>
        <v>227.92247399192311</v>
      </c>
      <c r="AB1855" s="6">
        <f>$K$1855*$V$1855</f>
        <v>0</v>
      </c>
      <c r="AC1855" s="6">
        <f>$M$1855*$W$1855</f>
        <v>1744.7928444000001</v>
      </c>
      <c r="AD1855" s="6">
        <f>$O$1855*$X$1855</f>
        <v>1307.6939376</v>
      </c>
      <c r="AE1855" s="6">
        <f>$K$1855*$Y$1855</f>
        <v>0</v>
      </c>
      <c r="AF1855" s="6">
        <f ca="1">$M$1855*$Z$1855</f>
        <v>1947.9051182453359</v>
      </c>
      <c r="AG1855" s="6">
        <f>$O$1855*$AA$1855</f>
        <v>1324.4438210186258</v>
      </c>
    </row>
    <row r="1856" spans="1:33" ht="11.25" customHeight="1" x14ac:dyDescent="0.25">
      <c r="A1856" s="4" t="s">
        <v>21</v>
      </c>
      <c r="B1856" s="4" t="s">
        <v>44</v>
      </c>
      <c r="C1856" s="4" t="s">
        <v>23</v>
      </c>
      <c r="D1856" s="4" t="s">
        <v>45</v>
      </c>
      <c r="E1856" s="4" t="s">
        <v>56</v>
      </c>
      <c r="F1856" s="4" t="s">
        <v>55</v>
      </c>
      <c r="G1856" s="4" t="s">
        <v>25</v>
      </c>
      <c r="H1856" s="4" t="s">
        <v>25</v>
      </c>
      <c r="I1856" s="5">
        <v>44713</v>
      </c>
      <c r="J1856" s="6">
        <v>0</v>
      </c>
      <c r="K1856" s="6">
        <v>0</v>
      </c>
      <c r="L1856" s="6">
        <v>18.597000000000001</v>
      </c>
      <c r="M1856" s="6">
        <v>5.0211899999999998</v>
      </c>
      <c r="N1856" s="6">
        <v>18.597000000000001</v>
      </c>
      <c r="O1856" s="6">
        <v>5.0211899999999998</v>
      </c>
      <c r="P1856" s="6">
        <v>0</v>
      </c>
      <c r="Q1856" s="4" t="s">
        <v>26</v>
      </c>
      <c r="R1856" s="4">
        <v>0</v>
      </c>
      <c r="S1856" s="6">
        <v>0</v>
      </c>
      <c r="T1856" s="6">
        <v>27</v>
      </c>
      <c r="U1856" s="6">
        <v>85</v>
      </c>
      <c r="V1856" s="6">
        <f>IF(ISERROR(VLOOKUP($S$1856,'TAR FIN'!$A$1:$O$104,15,0)),0,VLOOKUP($S$1856,'TAR FIN'!$A$1:$O$104,15,0))</f>
        <v>0</v>
      </c>
      <c r="W1856" s="6">
        <f>IF(ISERROR(VLOOKUP($T$1856,'TAR FIN'!$A$1:$O$104,15,0)),0,VLOOKUP($T$1856,'TAR FIN'!$A$1:$O$104,15,0))</f>
        <v>300.26</v>
      </c>
      <c r="X1856" s="6">
        <f>IF(ISERROR(VLOOKUP($U$1856,'TAR FIN'!$A$1:$O$104,15,0)),0,VLOOKUP($U$1856,'TAR FIN'!$A$1:$O$104,15,0))</f>
        <v>225.04</v>
      </c>
      <c r="Y1856" s="6"/>
      <c r="Z1856" s="6">
        <f ca="1">('TUSD BE'!$AM$47+'TUSD BF'!$AM$47+'TUSD CVA'!$AM$47)*(1-CUSTOS!$M$38)</f>
        <v>335.21342816228281</v>
      </c>
      <c r="AA1856" s="6">
        <f>('TE BE'!$AB$26+'TE BF'!$AB$26+'TE CVA'!$AB$26)*(1-CUSTOS!$M$38)</f>
        <v>227.92247399192311</v>
      </c>
      <c r="AB1856" s="6">
        <f>$K$1856*$V$1856</f>
        <v>0</v>
      </c>
      <c r="AC1856" s="6">
        <f>$M$1856*$W$1856</f>
        <v>1507.6625093999999</v>
      </c>
      <c r="AD1856" s="6">
        <f>$O$1856*$X$1856</f>
        <v>1129.9685975999998</v>
      </c>
      <c r="AE1856" s="6">
        <f>$K$1856*$Y$1856</f>
        <v>0</v>
      </c>
      <c r="AF1856" s="6">
        <f ca="1">$M$1856*$Z$1856</f>
        <v>1683.1703133541728</v>
      </c>
      <c r="AG1856" s="6">
        <f>$O$1856*$AA$1856</f>
        <v>1144.4420471835044</v>
      </c>
    </row>
    <row r="1857" spans="1:33" ht="11.25" customHeight="1" x14ac:dyDescent="0.25">
      <c r="A1857" s="4" t="s">
        <v>57</v>
      </c>
      <c r="B1857" s="4" t="s">
        <v>44</v>
      </c>
      <c r="C1857" s="4" t="s">
        <v>23</v>
      </c>
      <c r="D1857" s="4" t="s">
        <v>45</v>
      </c>
      <c r="E1857" s="4" t="s">
        <v>56</v>
      </c>
      <c r="F1857" s="4" t="s">
        <v>55</v>
      </c>
      <c r="G1857" s="4" t="s">
        <v>25</v>
      </c>
      <c r="H1857" s="4" t="s">
        <v>25</v>
      </c>
      <c r="I1857" s="5">
        <v>44743</v>
      </c>
      <c r="J1857" s="6">
        <v>0</v>
      </c>
      <c r="K1857" s="6">
        <v>0</v>
      </c>
      <c r="L1857" s="6">
        <v>18.597000000000001</v>
      </c>
      <c r="M1857" s="6">
        <v>5.0211899999999998</v>
      </c>
      <c r="N1857" s="6">
        <v>18.597000000000001</v>
      </c>
      <c r="O1857" s="6">
        <v>5.0211899999999998</v>
      </c>
      <c r="P1857" s="6">
        <v>0</v>
      </c>
      <c r="Q1857" s="4" t="s">
        <v>26</v>
      </c>
      <c r="R1857" s="4">
        <v>0</v>
      </c>
      <c r="S1857" s="6">
        <v>0</v>
      </c>
      <c r="T1857" s="6">
        <v>27</v>
      </c>
      <c r="U1857" s="6">
        <v>85</v>
      </c>
      <c r="V1857" s="6">
        <f>IF(ISERROR(VLOOKUP($S$1857,'TAR FIN'!$A$1:$O$104,15,0)),0,VLOOKUP($S$1857,'TAR FIN'!$A$1:$O$104,15,0))</f>
        <v>0</v>
      </c>
      <c r="W1857" s="6">
        <f>IF(ISERROR(VLOOKUP($T$1857,'TAR FIN'!$A$1:$O$104,15,0)),0,VLOOKUP($T$1857,'TAR FIN'!$A$1:$O$104,15,0))</f>
        <v>300.26</v>
      </c>
      <c r="X1857" s="6">
        <f>IF(ISERROR(VLOOKUP($U$1857,'TAR FIN'!$A$1:$O$104,15,0)),0,VLOOKUP($U$1857,'TAR FIN'!$A$1:$O$104,15,0))</f>
        <v>225.04</v>
      </c>
      <c r="Y1857" s="6"/>
      <c r="Z1857" s="6">
        <f ca="1">('TUSD BE'!$AM$47+'TUSD BF'!$AM$47+'TUSD CVA'!$AM$47)*(1-CUSTOS!$M$38)</f>
        <v>335.21342816228281</v>
      </c>
      <c r="AA1857" s="6">
        <f>('TE BE'!$AB$26+'TE BF'!$AB$26+'TE CVA'!$AB$26)*(1-CUSTOS!$M$38)</f>
        <v>227.92247399192311</v>
      </c>
      <c r="AB1857" s="6">
        <f>$K$1857*$V$1857</f>
        <v>0</v>
      </c>
      <c r="AC1857" s="6">
        <f>$M$1857*$W$1857</f>
        <v>1507.6625093999999</v>
      </c>
      <c r="AD1857" s="6">
        <f>$O$1857*$X$1857</f>
        <v>1129.9685975999998</v>
      </c>
      <c r="AE1857" s="6">
        <f>$K$1857*$Y$1857</f>
        <v>0</v>
      </c>
      <c r="AF1857" s="6">
        <f ca="1">$M$1857*$Z$1857</f>
        <v>1683.1703133541728</v>
      </c>
      <c r="AG1857" s="6">
        <f>$O$1857*$AA$1857</f>
        <v>1144.4420471835044</v>
      </c>
    </row>
    <row r="1858" spans="1:33" ht="11.25" customHeight="1" x14ac:dyDescent="0.25">
      <c r="A1858" s="4" t="s">
        <v>21</v>
      </c>
      <c r="B1858" s="4" t="s">
        <v>44</v>
      </c>
      <c r="C1858" s="4" t="s">
        <v>23</v>
      </c>
      <c r="D1858" s="4" t="s">
        <v>45</v>
      </c>
      <c r="E1858" s="4" t="s">
        <v>25</v>
      </c>
      <c r="F1858" s="4" t="s">
        <v>25</v>
      </c>
      <c r="G1858" s="4" t="s">
        <v>25</v>
      </c>
      <c r="H1858" s="4" t="s">
        <v>25</v>
      </c>
      <c r="I1858" s="5">
        <v>44409</v>
      </c>
      <c r="J1858" s="6">
        <v>0</v>
      </c>
      <c r="K1858" s="6">
        <v>0</v>
      </c>
      <c r="L1858" s="6">
        <v>15716.521000000001</v>
      </c>
      <c r="M1858" s="6">
        <v>15716.521000000001</v>
      </c>
      <c r="N1858" s="6">
        <v>15716.521000000001</v>
      </c>
      <c r="O1858" s="6">
        <v>15716.521000000001</v>
      </c>
      <c r="P1858" s="6">
        <v>125140</v>
      </c>
      <c r="Q1858" s="4" t="s">
        <v>26</v>
      </c>
      <c r="R1858" s="4">
        <v>0</v>
      </c>
      <c r="S1858" s="6">
        <v>0</v>
      </c>
      <c r="T1858" s="6">
        <v>27</v>
      </c>
      <c r="U1858" s="6">
        <v>85</v>
      </c>
      <c r="V1858" s="6">
        <f>IF(ISERROR(VLOOKUP($S$1858,'TAR FIN'!$A$1:$O$104,15,0)),0,VLOOKUP($S$1858,'TAR FIN'!$A$1:$O$104,15,0))</f>
        <v>0</v>
      </c>
      <c r="W1858" s="6">
        <f>IF(ISERROR(VLOOKUP($T$1858,'TAR FIN'!$A$1:$O$104,15,0)),0,VLOOKUP($T$1858,'TAR FIN'!$A$1:$O$104,15,0))</f>
        <v>300.26</v>
      </c>
      <c r="X1858" s="6">
        <f>IF(ISERROR(VLOOKUP($U$1858,'TAR FIN'!$A$1:$O$104,15,0)),0,VLOOKUP($U$1858,'TAR FIN'!$A$1:$O$104,15,0))</f>
        <v>225.04</v>
      </c>
      <c r="Y1858" s="6"/>
      <c r="Z1858" s="6">
        <f ca="1">('TUSD BE'!$AM$47+'TUSD BF'!$AM$47+'TUSD CVA'!$AM$47)*(1-CUSTOS!$M$38)</f>
        <v>335.21342816228281</v>
      </c>
      <c r="AA1858" s="6">
        <f>('TE BE'!$AB$26+'TE BF'!$AB$26+'TE CVA'!$AB$26)*(1-CUSTOS!$M$38)</f>
        <v>227.92247399192311</v>
      </c>
      <c r="AB1858" s="6">
        <f>$K$1858*$V$1858</f>
        <v>0</v>
      </c>
      <c r="AC1858" s="6">
        <f>$M$1858*$W$1858</f>
        <v>4719042.5954600004</v>
      </c>
      <c r="AD1858" s="6">
        <f>$O$1858*$X$1858</f>
        <v>3536845.8858400001</v>
      </c>
      <c r="AE1858" s="6">
        <f>$K$1858*$Y$1858</f>
        <v>0</v>
      </c>
      <c r="AF1858" s="6">
        <f ca="1">$M$1858*$Z$1858</f>
        <v>5268388.883194509</v>
      </c>
      <c r="AG1858" s="6">
        <f>$O$1858*$AA$1858</f>
        <v>3582148.3488660133</v>
      </c>
    </row>
    <row r="1859" spans="1:33" ht="11.25" customHeight="1" x14ac:dyDescent="0.25">
      <c r="A1859" s="4" t="s">
        <v>27</v>
      </c>
      <c r="B1859" s="4" t="s">
        <v>44</v>
      </c>
      <c r="C1859" s="4" t="s">
        <v>23</v>
      </c>
      <c r="D1859" s="4" t="s">
        <v>45</v>
      </c>
      <c r="E1859" s="4" t="s">
        <v>25</v>
      </c>
      <c r="F1859" s="4" t="s">
        <v>25</v>
      </c>
      <c r="G1859" s="4" t="s">
        <v>25</v>
      </c>
      <c r="H1859" s="4" t="s">
        <v>25</v>
      </c>
      <c r="I1859" s="5">
        <v>44409</v>
      </c>
      <c r="J1859" s="6">
        <v>0</v>
      </c>
      <c r="K1859" s="6">
        <v>0</v>
      </c>
      <c r="L1859" s="6">
        <v>-23.651</v>
      </c>
      <c r="M1859" s="6">
        <v>-23.651</v>
      </c>
      <c r="N1859" s="6">
        <v>-23.651</v>
      </c>
      <c r="O1859" s="6">
        <v>-23.651</v>
      </c>
      <c r="P1859" s="6">
        <v>-158</v>
      </c>
      <c r="Q1859" s="4" t="s">
        <v>26</v>
      </c>
      <c r="R1859" s="4">
        <v>0</v>
      </c>
      <c r="S1859" s="6">
        <v>0</v>
      </c>
      <c r="T1859" s="6">
        <v>27</v>
      </c>
      <c r="U1859" s="6">
        <v>85</v>
      </c>
      <c r="V1859" s="6">
        <f>IF(ISERROR(VLOOKUP($S$1859,'TAR FIN'!$A$1:$O$104,15,0)),0,VLOOKUP($S$1859,'TAR FIN'!$A$1:$O$104,15,0))</f>
        <v>0</v>
      </c>
      <c r="W1859" s="6">
        <f>IF(ISERROR(VLOOKUP($T$1859,'TAR FIN'!$A$1:$O$104,15,0)),0,VLOOKUP($T$1859,'TAR FIN'!$A$1:$O$104,15,0))</f>
        <v>300.26</v>
      </c>
      <c r="X1859" s="6">
        <f>IF(ISERROR(VLOOKUP($U$1859,'TAR FIN'!$A$1:$O$104,15,0)),0,VLOOKUP($U$1859,'TAR FIN'!$A$1:$O$104,15,0))</f>
        <v>225.04</v>
      </c>
      <c r="Y1859" s="6"/>
      <c r="Z1859" s="6">
        <f ca="1">('TUSD BE'!$AM$47+'TUSD BF'!$AM$47+'TUSD CVA'!$AM$47)*(1-CUSTOS!$M$38)</f>
        <v>335.21342816228281</v>
      </c>
      <c r="AA1859" s="6">
        <f>('TE BE'!$AB$26+'TE BF'!$AB$26+'TE CVA'!$AB$26)*(1-CUSTOS!$M$38)</f>
        <v>227.92247399192311</v>
      </c>
      <c r="AB1859" s="6">
        <f>$K$1859*$V$1859</f>
        <v>0</v>
      </c>
      <c r="AC1859" s="6">
        <f>$M$1859*$W$1859</f>
        <v>-7101.4492599999994</v>
      </c>
      <c r="AD1859" s="6">
        <f>$O$1859*$X$1859</f>
        <v>-5322.4210400000002</v>
      </c>
      <c r="AE1859" s="6">
        <f>$K$1859*$Y$1859</f>
        <v>0</v>
      </c>
      <c r="AF1859" s="6">
        <f ca="1">$M$1859*$Z$1859</f>
        <v>-7928.1327894661508</v>
      </c>
      <c r="AG1859" s="6">
        <f>$O$1859*$AA$1859</f>
        <v>-5390.5944323829735</v>
      </c>
    </row>
    <row r="1860" spans="1:33" ht="11.25" customHeight="1" x14ac:dyDescent="0.25">
      <c r="A1860" s="4" t="s">
        <v>28</v>
      </c>
      <c r="B1860" s="4" t="s">
        <v>44</v>
      </c>
      <c r="C1860" s="4" t="s">
        <v>23</v>
      </c>
      <c r="D1860" s="4" t="s">
        <v>45</v>
      </c>
      <c r="E1860" s="4" t="s">
        <v>25</v>
      </c>
      <c r="F1860" s="4" t="s">
        <v>25</v>
      </c>
      <c r="G1860" s="4" t="s">
        <v>25</v>
      </c>
      <c r="H1860" s="4" t="s">
        <v>25</v>
      </c>
      <c r="I1860" s="5">
        <v>44409</v>
      </c>
      <c r="J1860" s="6">
        <v>0</v>
      </c>
      <c r="K1860" s="6">
        <v>0</v>
      </c>
      <c r="L1860" s="6">
        <v>240.501</v>
      </c>
      <c r="M1860" s="6">
        <v>240.501</v>
      </c>
      <c r="N1860" s="6">
        <v>240.501</v>
      </c>
      <c r="O1860" s="6">
        <v>240.501</v>
      </c>
      <c r="P1860" s="6">
        <v>816</v>
      </c>
      <c r="Q1860" s="4" t="s">
        <v>26</v>
      </c>
      <c r="R1860" s="4">
        <v>0</v>
      </c>
      <c r="S1860" s="6">
        <v>0</v>
      </c>
      <c r="T1860" s="6">
        <v>27</v>
      </c>
      <c r="U1860" s="6">
        <v>85</v>
      </c>
      <c r="V1860" s="6">
        <f>IF(ISERROR(VLOOKUP($S$1860,'TAR FIN'!$A$1:$O$104,15,0)),0,VLOOKUP($S$1860,'TAR FIN'!$A$1:$O$104,15,0))</f>
        <v>0</v>
      </c>
      <c r="W1860" s="6">
        <f>IF(ISERROR(VLOOKUP($T$1860,'TAR FIN'!$A$1:$O$104,15,0)),0,VLOOKUP($T$1860,'TAR FIN'!$A$1:$O$104,15,0))</f>
        <v>300.26</v>
      </c>
      <c r="X1860" s="6">
        <f>IF(ISERROR(VLOOKUP($U$1860,'TAR FIN'!$A$1:$O$104,15,0)),0,VLOOKUP($U$1860,'TAR FIN'!$A$1:$O$104,15,0))</f>
        <v>225.04</v>
      </c>
      <c r="Y1860" s="6"/>
      <c r="Z1860" s="6">
        <f ca="1">('TUSD BE'!$AM$47+'TUSD BF'!$AM$47+'TUSD CVA'!$AM$47)*(1-CUSTOS!$M$38)</f>
        <v>335.21342816228281</v>
      </c>
      <c r="AA1860" s="6">
        <f>('TE BE'!$AB$26+'TE BF'!$AB$26+'TE CVA'!$AB$26)*(1-CUSTOS!$M$38)</f>
        <v>227.92247399192311</v>
      </c>
      <c r="AB1860" s="6">
        <f>$K$1860*$V$1860</f>
        <v>0</v>
      </c>
      <c r="AC1860" s="6">
        <f>$M$1860*$W$1860</f>
        <v>72212.830260000002</v>
      </c>
      <c r="AD1860" s="6">
        <f>$O$1860*$X$1860</f>
        <v>54122.34504</v>
      </c>
      <c r="AE1860" s="6">
        <f>$K$1860*$Y$1860</f>
        <v>0</v>
      </c>
      <c r="AF1860" s="6">
        <f ca="1">$M$1860*$Z$1860</f>
        <v>80619.164686457181</v>
      </c>
      <c r="AG1860" s="6">
        <f>$O$1860*$AA$1860</f>
        <v>54815.582917531501</v>
      </c>
    </row>
    <row r="1861" spans="1:33" ht="11.25" customHeight="1" x14ac:dyDescent="0.25">
      <c r="A1861" s="4" t="s">
        <v>21</v>
      </c>
      <c r="B1861" s="4" t="s">
        <v>44</v>
      </c>
      <c r="C1861" s="4" t="s">
        <v>23</v>
      </c>
      <c r="D1861" s="4" t="s">
        <v>45</v>
      </c>
      <c r="E1861" s="4" t="s">
        <v>25</v>
      </c>
      <c r="F1861" s="4" t="s">
        <v>25</v>
      </c>
      <c r="G1861" s="4" t="s">
        <v>25</v>
      </c>
      <c r="H1861" s="4" t="s">
        <v>25</v>
      </c>
      <c r="I1861" s="5">
        <v>44440</v>
      </c>
      <c r="J1861" s="6">
        <v>0</v>
      </c>
      <c r="K1861" s="6">
        <v>0</v>
      </c>
      <c r="L1861" s="6">
        <v>15689.016</v>
      </c>
      <c r="M1861" s="6">
        <v>15689.016</v>
      </c>
      <c r="N1861" s="6">
        <v>15689.016</v>
      </c>
      <c r="O1861" s="6">
        <v>15689.016</v>
      </c>
      <c r="P1861" s="6">
        <v>124857</v>
      </c>
      <c r="Q1861" s="4" t="s">
        <v>26</v>
      </c>
      <c r="R1861" s="4">
        <v>0</v>
      </c>
      <c r="S1861" s="6">
        <v>0</v>
      </c>
      <c r="T1861" s="6">
        <v>27</v>
      </c>
      <c r="U1861" s="6">
        <v>85</v>
      </c>
      <c r="V1861" s="6">
        <f>IF(ISERROR(VLOOKUP($S$1861,'TAR FIN'!$A$1:$O$104,15,0)),0,VLOOKUP($S$1861,'TAR FIN'!$A$1:$O$104,15,0))</f>
        <v>0</v>
      </c>
      <c r="W1861" s="6">
        <f>IF(ISERROR(VLOOKUP($T$1861,'TAR FIN'!$A$1:$O$104,15,0)),0,VLOOKUP($T$1861,'TAR FIN'!$A$1:$O$104,15,0))</f>
        <v>300.26</v>
      </c>
      <c r="X1861" s="6">
        <f>IF(ISERROR(VLOOKUP($U$1861,'TAR FIN'!$A$1:$O$104,15,0)),0,VLOOKUP($U$1861,'TAR FIN'!$A$1:$O$104,15,0))</f>
        <v>225.04</v>
      </c>
      <c r="Y1861" s="6"/>
      <c r="Z1861" s="6">
        <f ca="1">('TUSD BE'!$AM$47+'TUSD BF'!$AM$47+'TUSD CVA'!$AM$47)*(1-CUSTOS!$M$38)</f>
        <v>335.21342816228281</v>
      </c>
      <c r="AA1861" s="6">
        <f>('TE BE'!$AB$26+'TE BF'!$AB$26+'TE CVA'!$AB$26)*(1-CUSTOS!$M$38)</f>
        <v>227.92247399192311</v>
      </c>
      <c r="AB1861" s="6">
        <f>$K$1861*$V$1861</f>
        <v>0</v>
      </c>
      <c r="AC1861" s="6">
        <f>$M$1861*$W$1861</f>
        <v>4710783.9441599995</v>
      </c>
      <c r="AD1861" s="6">
        <f>$O$1861*$X$1861</f>
        <v>3530656.1606399999</v>
      </c>
      <c r="AE1861" s="6">
        <f>$K$1861*$Y$1861</f>
        <v>0</v>
      </c>
      <c r="AF1861" s="6">
        <f ca="1">$M$1861*$Z$1861</f>
        <v>5259168.8378529055</v>
      </c>
      <c r="AG1861" s="6">
        <f>$O$1861*$AA$1861</f>
        <v>3575879.3412188655</v>
      </c>
    </row>
    <row r="1862" spans="1:33" ht="11.25" customHeight="1" x14ac:dyDescent="0.25">
      <c r="A1862" s="4" t="s">
        <v>27</v>
      </c>
      <c r="B1862" s="4" t="s">
        <v>44</v>
      </c>
      <c r="C1862" s="4" t="s">
        <v>23</v>
      </c>
      <c r="D1862" s="4" t="s">
        <v>45</v>
      </c>
      <c r="E1862" s="4" t="s">
        <v>25</v>
      </c>
      <c r="F1862" s="4" t="s">
        <v>25</v>
      </c>
      <c r="G1862" s="4" t="s">
        <v>25</v>
      </c>
      <c r="H1862" s="4" t="s">
        <v>25</v>
      </c>
      <c r="I1862" s="5">
        <v>44440</v>
      </c>
      <c r="J1862" s="6">
        <v>0</v>
      </c>
      <c r="K1862" s="6">
        <v>0</v>
      </c>
      <c r="L1862" s="6">
        <v>-2.9239999999999999</v>
      </c>
      <c r="M1862" s="6">
        <v>-2.9239999999999999</v>
      </c>
      <c r="N1862" s="6">
        <v>-2.9239999999999999</v>
      </c>
      <c r="O1862" s="6">
        <v>-2.9239999999999999</v>
      </c>
      <c r="P1862" s="6">
        <v>-6</v>
      </c>
      <c r="Q1862" s="4" t="s">
        <v>26</v>
      </c>
      <c r="R1862" s="4">
        <v>0</v>
      </c>
      <c r="S1862" s="6">
        <v>0</v>
      </c>
      <c r="T1862" s="6">
        <v>27</v>
      </c>
      <c r="U1862" s="6">
        <v>85</v>
      </c>
      <c r="V1862" s="6">
        <f>IF(ISERROR(VLOOKUP($S$1862,'TAR FIN'!$A$1:$O$104,15,0)),0,VLOOKUP($S$1862,'TAR FIN'!$A$1:$O$104,15,0))</f>
        <v>0</v>
      </c>
      <c r="W1862" s="6">
        <f>IF(ISERROR(VLOOKUP($T$1862,'TAR FIN'!$A$1:$O$104,15,0)),0,VLOOKUP($T$1862,'TAR FIN'!$A$1:$O$104,15,0))</f>
        <v>300.26</v>
      </c>
      <c r="X1862" s="6">
        <f>IF(ISERROR(VLOOKUP($U$1862,'TAR FIN'!$A$1:$O$104,15,0)),0,VLOOKUP($U$1862,'TAR FIN'!$A$1:$O$104,15,0))</f>
        <v>225.04</v>
      </c>
      <c r="Y1862" s="6"/>
      <c r="Z1862" s="6">
        <f ca="1">('TUSD BE'!$AM$47+'TUSD BF'!$AM$47+'TUSD CVA'!$AM$47)*(1-CUSTOS!$M$38)</f>
        <v>335.21342816228281</v>
      </c>
      <c r="AA1862" s="6">
        <f>('TE BE'!$AB$26+'TE BF'!$AB$26+'TE CVA'!$AB$26)*(1-CUSTOS!$M$38)</f>
        <v>227.92247399192311</v>
      </c>
      <c r="AB1862" s="6">
        <f>$K$1862*$V$1862</f>
        <v>0</v>
      </c>
      <c r="AC1862" s="6">
        <f>$M$1862*$W$1862</f>
        <v>-877.96024</v>
      </c>
      <c r="AD1862" s="6">
        <f>$O$1862*$X$1862</f>
        <v>-658.01695999999993</v>
      </c>
      <c r="AE1862" s="6">
        <f>$K$1862*$Y$1862</f>
        <v>0</v>
      </c>
      <c r="AF1862" s="6">
        <f ca="1">$M$1862*$Z$1862</f>
        <v>-980.16406394651494</v>
      </c>
      <c r="AG1862" s="6">
        <f>$O$1862*$AA$1862</f>
        <v>-666.44531395238312</v>
      </c>
    </row>
    <row r="1863" spans="1:33" ht="11.25" customHeight="1" x14ac:dyDescent="0.25">
      <c r="A1863" s="4" t="s">
        <v>28</v>
      </c>
      <c r="B1863" s="4" t="s">
        <v>44</v>
      </c>
      <c r="C1863" s="4" t="s">
        <v>23</v>
      </c>
      <c r="D1863" s="4" t="s">
        <v>45</v>
      </c>
      <c r="E1863" s="4" t="s">
        <v>25</v>
      </c>
      <c r="F1863" s="4" t="s">
        <v>25</v>
      </c>
      <c r="G1863" s="4" t="s">
        <v>25</v>
      </c>
      <c r="H1863" s="4" t="s">
        <v>25</v>
      </c>
      <c r="I1863" s="5">
        <v>44440</v>
      </c>
      <c r="J1863" s="6">
        <v>0</v>
      </c>
      <c r="K1863" s="6">
        <v>0</v>
      </c>
      <c r="L1863" s="6">
        <v>307.24799999999999</v>
      </c>
      <c r="M1863" s="6">
        <v>307.24799999999999</v>
      </c>
      <c r="N1863" s="6">
        <v>307.24799999999999</v>
      </c>
      <c r="O1863" s="6">
        <v>307.24799999999999</v>
      </c>
      <c r="P1863" s="6">
        <v>861</v>
      </c>
      <c r="Q1863" s="4" t="s">
        <v>26</v>
      </c>
      <c r="R1863" s="4">
        <v>0</v>
      </c>
      <c r="S1863" s="6">
        <v>0</v>
      </c>
      <c r="T1863" s="6">
        <v>27</v>
      </c>
      <c r="U1863" s="6">
        <v>85</v>
      </c>
      <c r="V1863" s="6">
        <f>IF(ISERROR(VLOOKUP($S$1863,'TAR FIN'!$A$1:$O$104,15,0)),0,VLOOKUP($S$1863,'TAR FIN'!$A$1:$O$104,15,0))</f>
        <v>0</v>
      </c>
      <c r="W1863" s="6">
        <f>IF(ISERROR(VLOOKUP($T$1863,'TAR FIN'!$A$1:$O$104,15,0)),0,VLOOKUP($T$1863,'TAR FIN'!$A$1:$O$104,15,0))</f>
        <v>300.26</v>
      </c>
      <c r="X1863" s="6">
        <f>IF(ISERROR(VLOOKUP($U$1863,'TAR FIN'!$A$1:$O$104,15,0)),0,VLOOKUP($U$1863,'TAR FIN'!$A$1:$O$104,15,0))</f>
        <v>225.04</v>
      </c>
      <c r="Y1863" s="6"/>
      <c r="Z1863" s="6">
        <f ca="1">('TUSD BE'!$AM$47+'TUSD BF'!$AM$47+'TUSD CVA'!$AM$47)*(1-CUSTOS!$M$38)</f>
        <v>335.21342816228281</v>
      </c>
      <c r="AA1863" s="6">
        <f>('TE BE'!$AB$26+'TE BF'!$AB$26+'TE CVA'!$AB$26)*(1-CUSTOS!$M$38)</f>
        <v>227.92247399192311</v>
      </c>
      <c r="AB1863" s="6">
        <f>$K$1863*$V$1863</f>
        <v>0</v>
      </c>
      <c r="AC1863" s="6">
        <f>$M$1863*$W$1863</f>
        <v>92254.284479999988</v>
      </c>
      <c r="AD1863" s="6">
        <f>$O$1863*$X$1863</f>
        <v>69143.089919999999</v>
      </c>
      <c r="AE1863" s="6">
        <f>$K$1863*$Y$1863</f>
        <v>0</v>
      </c>
      <c r="AF1863" s="6">
        <f ca="1">$M$1863*$Z$1863</f>
        <v>102993.65537600506</v>
      </c>
      <c r="AG1863" s="6">
        <f>$O$1863*$AA$1863</f>
        <v>70028.724289070393</v>
      </c>
    </row>
    <row r="1864" spans="1:33" ht="11.25" customHeight="1" x14ac:dyDescent="0.25">
      <c r="A1864" s="4" t="s">
        <v>28</v>
      </c>
      <c r="B1864" s="4" t="s">
        <v>44</v>
      </c>
      <c r="C1864" s="4" t="s">
        <v>23</v>
      </c>
      <c r="D1864" s="4" t="s">
        <v>45</v>
      </c>
      <c r="E1864" s="4" t="s">
        <v>25</v>
      </c>
      <c r="F1864" s="4" t="s">
        <v>25</v>
      </c>
      <c r="G1864" s="4" t="s">
        <v>25</v>
      </c>
      <c r="H1864" s="4" t="s">
        <v>25</v>
      </c>
      <c r="I1864" s="5">
        <v>44440</v>
      </c>
      <c r="J1864" s="6">
        <v>0</v>
      </c>
      <c r="K1864" s="6">
        <v>0</v>
      </c>
      <c r="L1864" s="6">
        <v>-0.32400000000000001</v>
      </c>
      <c r="M1864" s="6">
        <v>-0.32400000000000001</v>
      </c>
      <c r="N1864" s="6">
        <v>-0.32400000000000001</v>
      </c>
      <c r="O1864" s="6">
        <v>-0.32400000000000001</v>
      </c>
      <c r="P1864" s="6">
        <v>0</v>
      </c>
      <c r="Q1864" s="4" t="s">
        <v>26</v>
      </c>
      <c r="R1864" s="4">
        <v>0</v>
      </c>
      <c r="S1864" s="6">
        <v>0</v>
      </c>
      <c r="T1864" s="6">
        <v>27</v>
      </c>
      <c r="U1864" s="6">
        <v>85</v>
      </c>
      <c r="V1864" s="6">
        <f>IF(ISERROR(VLOOKUP($S$1864,'TAR FIN'!$A$1:$O$104,15,0)),0,VLOOKUP($S$1864,'TAR FIN'!$A$1:$O$104,15,0))</f>
        <v>0</v>
      </c>
      <c r="W1864" s="6">
        <f>IF(ISERROR(VLOOKUP($T$1864,'TAR FIN'!$A$1:$O$104,15,0)),0,VLOOKUP($T$1864,'TAR FIN'!$A$1:$O$104,15,0))</f>
        <v>300.26</v>
      </c>
      <c r="X1864" s="6">
        <f>IF(ISERROR(VLOOKUP($U$1864,'TAR FIN'!$A$1:$O$104,15,0)),0,VLOOKUP($U$1864,'TAR FIN'!$A$1:$O$104,15,0))</f>
        <v>225.04</v>
      </c>
      <c r="Y1864" s="6"/>
      <c r="Z1864" s="6">
        <f ca="1">('TUSD BE'!$AM$47+'TUSD BF'!$AM$47+'TUSD CVA'!$AM$47)*(1-CUSTOS!$M$38)</f>
        <v>335.21342816228281</v>
      </c>
      <c r="AA1864" s="6">
        <f>('TE BE'!$AB$26+'TE BF'!$AB$26+'TE CVA'!$AB$26)*(1-CUSTOS!$M$38)</f>
        <v>227.92247399192311</v>
      </c>
      <c r="AB1864" s="6">
        <f>$K$1864*$V$1864</f>
        <v>0</v>
      </c>
      <c r="AC1864" s="6">
        <f>$M$1864*$W$1864</f>
        <v>-97.284239999999997</v>
      </c>
      <c r="AD1864" s="6">
        <f>$O$1864*$X$1864</f>
        <v>-72.912959999999998</v>
      </c>
      <c r="AE1864" s="6">
        <f>$K$1864*$Y$1864</f>
        <v>0</v>
      </c>
      <c r="AF1864" s="6">
        <f ca="1">$M$1864*$Z$1864</f>
        <v>-108.60915072457964</v>
      </c>
      <c r="AG1864" s="6">
        <f>$O$1864*$AA$1864</f>
        <v>-73.846881573383087</v>
      </c>
    </row>
    <row r="1865" spans="1:33" ht="11.25" customHeight="1" x14ac:dyDescent="0.25">
      <c r="A1865" s="4" t="s">
        <v>21</v>
      </c>
      <c r="B1865" s="4" t="s">
        <v>44</v>
      </c>
      <c r="C1865" s="4" t="s">
        <v>23</v>
      </c>
      <c r="D1865" s="4" t="s">
        <v>45</v>
      </c>
      <c r="E1865" s="4" t="s">
        <v>25</v>
      </c>
      <c r="F1865" s="4" t="s">
        <v>25</v>
      </c>
      <c r="G1865" s="4" t="s">
        <v>25</v>
      </c>
      <c r="H1865" s="4" t="s">
        <v>25</v>
      </c>
      <c r="I1865" s="5">
        <v>44470</v>
      </c>
      <c r="J1865" s="6">
        <v>0</v>
      </c>
      <c r="K1865" s="6">
        <v>0</v>
      </c>
      <c r="L1865" s="6">
        <v>16650.550999999999</v>
      </c>
      <c r="M1865" s="6">
        <v>16650.550999999999</v>
      </c>
      <c r="N1865" s="6">
        <v>16650.550999999999</v>
      </c>
      <c r="O1865" s="6">
        <v>16650.550999999999</v>
      </c>
      <c r="P1865" s="6">
        <v>124363</v>
      </c>
      <c r="Q1865" s="4" t="s">
        <v>26</v>
      </c>
      <c r="R1865" s="4">
        <v>0</v>
      </c>
      <c r="S1865" s="6">
        <v>0</v>
      </c>
      <c r="T1865" s="6">
        <v>27</v>
      </c>
      <c r="U1865" s="6">
        <v>85</v>
      </c>
      <c r="V1865" s="6">
        <f>IF(ISERROR(VLOOKUP($S$1865,'TAR FIN'!$A$1:$O$104,15,0)),0,VLOOKUP($S$1865,'TAR FIN'!$A$1:$O$104,15,0))</f>
        <v>0</v>
      </c>
      <c r="W1865" s="6">
        <f>IF(ISERROR(VLOOKUP($T$1865,'TAR FIN'!$A$1:$O$104,15,0)),0,VLOOKUP($T$1865,'TAR FIN'!$A$1:$O$104,15,0))</f>
        <v>300.26</v>
      </c>
      <c r="X1865" s="6">
        <f>IF(ISERROR(VLOOKUP($U$1865,'TAR FIN'!$A$1:$O$104,15,0)),0,VLOOKUP($U$1865,'TAR FIN'!$A$1:$O$104,15,0))</f>
        <v>225.04</v>
      </c>
      <c r="Y1865" s="6"/>
      <c r="Z1865" s="6">
        <f ca="1">('TUSD BE'!$AM$47+'TUSD BF'!$AM$47+'TUSD CVA'!$AM$47)*(1-CUSTOS!$M$38)</f>
        <v>335.21342816228281</v>
      </c>
      <c r="AA1865" s="6">
        <f>('TE BE'!$AB$26+'TE BF'!$AB$26+'TE CVA'!$AB$26)*(1-CUSTOS!$M$38)</f>
        <v>227.92247399192311</v>
      </c>
      <c r="AB1865" s="6">
        <f>$K$1865*$V$1865</f>
        <v>0</v>
      </c>
      <c r="AC1865" s="6">
        <f>$M$1865*$W$1865</f>
        <v>4999494.4432600001</v>
      </c>
      <c r="AD1865" s="6">
        <f>$O$1865*$X$1865</f>
        <v>3747039.9970399998</v>
      </c>
      <c r="AE1865" s="6">
        <f>$K$1865*$Y$1865</f>
        <v>0</v>
      </c>
      <c r="AF1865" s="6">
        <f ca="1">$M$1865*$Z$1865</f>
        <v>5581488.2815009262</v>
      </c>
      <c r="AG1865" s="6">
        <f>$O$1865*$AA$1865</f>
        <v>3795034.7772486894</v>
      </c>
    </row>
    <row r="1866" spans="1:33" ht="11.25" customHeight="1" x14ac:dyDescent="0.25">
      <c r="A1866" s="4" t="s">
        <v>27</v>
      </c>
      <c r="B1866" s="4" t="s">
        <v>44</v>
      </c>
      <c r="C1866" s="4" t="s">
        <v>23</v>
      </c>
      <c r="D1866" s="4" t="s">
        <v>45</v>
      </c>
      <c r="E1866" s="4" t="s">
        <v>25</v>
      </c>
      <c r="F1866" s="4" t="s">
        <v>25</v>
      </c>
      <c r="G1866" s="4" t="s">
        <v>25</v>
      </c>
      <c r="H1866" s="4" t="s">
        <v>25</v>
      </c>
      <c r="I1866" s="5">
        <v>44470</v>
      </c>
      <c r="J1866" s="6">
        <v>0</v>
      </c>
      <c r="K1866" s="6">
        <v>0</v>
      </c>
      <c r="L1866" s="6">
        <v>-62.281999999999996</v>
      </c>
      <c r="M1866" s="6">
        <v>-62.281999999999996</v>
      </c>
      <c r="N1866" s="6">
        <v>-62.281999999999996</v>
      </c>
      <c r="O1866" s="6">
        <v>-62.281999999999996</v>
      </c>
      <c r="P1866" s="6">
        <v>-9</v>
      </c>
      <c r="Q1866" s="4" t="s">
        <v>26</v>
      </c>
      <c r="R1866" s="4">
        <v>0</v>
      </c>
      <c r="S1866" s="6">
        <v>0</v>
      </c>
      <c r="T1866" s="6">
        <v>27</v>
      </c>
      <c r="U1866" s="6">
        <v>85</v>
      </c>
      <c r="V1866" s="6">
        <f>IF(ISERROR(VLOOKUP($S$1866,'TAR FIN'!$A$1:$O$104,15,0)),0,VLOOKUP($S$1866,'TAR FIN'!$A$1:$O$104,15,0))</f>
        <v>0</v>
      </c>
      <c r="W1866" s="6">
        <f>IF(ISERROR(VLOOKUP($T$1866,'TAR FIN'!$A$1:$O$104,15,0)),0,VLOOKUP($T$1866,'TAR FIN'!$A$1:$O$104,15,0))</f>
        <v>300.26</v>
      </c>
      <c r="X1866" s="6">
        <f>IF(ISERROR(VLOOKUP($U$1866,'TAR FIN'!$A$1:$O$104,15,0)),0,VLOOKUP($U$1866,'TAR FIN'!$A$1:$O$104,15,0))</f>
        <v>225.04</v>
      </c>
      <c r="Y1866" s="6"/>
      <c r="Z1866" s="6">
        <f ca="1">('TUSD BE'!$AM$47+'TUSD BF'!$AM$47+'TUSD CVA'!$AM$47)*(1-CUSTOS!$M$38)</f>
        <v>335.21342816228281</v>
      </c>
      <c r="AA1866" s="6">
        <f>('TE BE'!$AB$26+'TE BF'!$AB$26+'TE CVA'!$AB$26)*(1-CUSTOS!$M$38)</f>
        <v>227.92247399192311</v>
      </c>
      <c r="AB1866" s="6">
        <f>$K$1866*$V$1866</f>
        <v>0</v>
      </c>
      <c r="AC1866" s="6">
        <f>$M$1866*$W$1866</f>
        <v>-18700.793319999997</v>
      </c>
      <c r="AD1866" s="6">
        <f>$O$1866*$X$1866</f>
        <v>-14015.941279999999</v>
      </c>
      <c r="AE1866" s="6">
        <f>$K$1866*$Y$1866</f>
        <v>0</v>
      </c>
      <c r="AF1866" s="6">
        <f ca="1">$M$1866*$Z$1866</f>
        <v>-20877.762732803298</v>
      </c>
      <c r="AG1866" s="6">
        <f>$O$1866*$AA$1866</f>
        <v>-14195.467525164955</v>
      </c>
    </row>
    <row r="1867" spans="1:33" ht="11.25" customHeight="1" x14ac:dyDescent="0.25">
      <c r="A1867" s="4" t="s">
        <v>28</v>
      </c>
      <c r="B1867" s="4" t="s">
        <v>44</v>
      </c>
      <c r="C1867" s="4" t="s">
        <v>23</v>
      </c>
      <c r="D1867" s="4" t="s">
        <v>45</v>
      </c>
      <c r="E1867" s="4" t="s">
        <v>25</v>
      </c>
      <c r="F1867" s="4" t="s">
        <v>25</v>
      </c>
      <c r="G1867" s="4" t="s">
        <v>25</v>
      </c>
      <c r="H1867" s="4" t="s">
        <v>25</v>
      </c>
      <c r="I1867" s="5">
        <v>44470</v>
      </c>
      <c r="J1867" s="6">
        <v>0</v>
      </c>
      <c r="K1867" s="6">
        <v>0</v>
      </c>
      <c r="L1867" s="6">
        <v>309.358</v>
      </c>
      <c r="M1867" s="6">
        <v>309.358</v>
      </c>
      <c r="N1867" s="6">
        <v>309.358</v>
      </c>
      <c r="O1867" s="6">
        <v>309.358</v>
      </c>
      <c r="P1867" s="6">
        <v>928</v>
      </c>
      <c r="Q1867" s="4" t="s">
        <v>26</v>
      </c>
      <c r="R1867" s="4">
        <v>0</v>
      </c>
      <c r="S1867" s="6">
        <v>0</v>
      </c>
      <c r="T1867" s="6">
        <v>27</v>
      </c>
      <c r="U1867" s="6">
        <v>85</v>
      </c>
      <c r="V1867" s="6">
        <f>IF(ISERROR(VLOOKUP($S$1867,'TAR FIN'!$A$1:$O$104,15,0)),0,VLOOKUP($S$1867,'TAR FIN'!$A$1:$O$104,15,0))</f>
        <v>0</v>
      </c>
      <c r="W1867" s="6">
        <f>IF(ISERROR(VLOOKUP($T$1867,'TAR FIN'!$A$1:$O$104,15,0)),0,VLOOKUP($T$1867,'TAR FIN'!$A$1:$O$104,15,0))</f>
        <v>300.26</v>
      </c>
      <c r="X1867" s="6">
        <f>IF(ISERROR(VLOOKUP($U$1867,'TAR FIN'!$A$1:$O$104,15,0)),0,VLOOKUP($U$1867,'TAR FIN'!$A$1:$O$104,15,0))</f>
        <v>225.04</v>
      </c>
      <c r="Y1867" s="6"/>
      <c r="Z1867" s="6">
        <f ca="1">('TUSD BE'!$AM$47+'TUSD BF'!$AM$47+'TUSD CVA'!$AM$47)*(1-CUSTOS!$M$38)</f>
        <v>335.21342816228281</v>
      </c>
      <c r="AA1867" s="6">
        <f>('TE BE'!$AB$26+'TE BF'!$AB$26+'TE CVA'!$AB$26)*(1-CUSTOS!$M$38)</f>
        <v>227.92247399192311</v>
      </c>
      <c r="AB1867" s="6">
        <f>$K$1867*$V$1867</f>
        <v>0</v>
      </c>
      <c r="AC1867" s="6">
        <f>$M$1867*$W$1867</f>
        <v>92887.833079999997</v>
      </c>
      <c r="AD1867" s="6">
        <f>$O$1867*$X$1867</f>
        <v>69617.924320000006</v>
      </c>
      <c r="AE1867" s="6">
        <f>$K$1867*$Y$1867</f>
        <v>0</v>
      </c>
      <c r="AF1867" s="6">
        <f ca="1">$M$1867*$Z$1867</f>
        <v>103700.95570942749</v>
      </c>
      <c r="AG1867" s="6">
        <f>$O$1867*$AA$1867</f>
        <v>70509.640709193351</v>
      </c>
    </row>
    <row r="1868" spans="1:33" ht="11.25" customHeight="1" x14ac:dyDescent="0.25">
      <c r="A1868" s="4" t="s">
        <v>28</v>
      </c>
      <c r="B1868" s="4" t="s">
        <v>44</v>
      </c>
      <c r="C1868" s="4" t="s">
        <v>23</v>
      </c>
      <c r="D1868" s="4" t="s">
        <v>45</v>
      </c>
      <c r="E1868" s="4" t="s">
        <v>25</v>
      </c>
      <c r="F1868" s="4" t="s">
        <v>25</v>
      </c>
      <c r="G1868" s="4" t="s">
        <v>25</v>
      </c>
      <c r="H1868" s="4" t="s">
        <v>25</v>
      </c>
      <c r="I1868" s="5">
        <v>44470</v>
      </c>
      <c r="J1868" s="6">
        <v>0</v>
      </c>
      <c r="K1868" s="6">
        <v>0</v>
      </c>
      <c r="L1868" s="6">
        <v>11.587999999999999</v>
      </c>
      <c r="M1868" s="6">
        <v>11.587999999999999</v>
      </c>
      <c r="N1868" s="6">
        <v>11.587999999999999</v>
      </c>
      <c r="O1868" s="6">
        <v>11.587999999999999</v>
      </c>
      <c r="P1868" s="6">
        <v>0</v>
      </c>
      <c r="Q1868" s="4" t="s">
        <v>26</v>
      </c>
      <c r="R1868" s="4">
        <v>0</v>
      </c>
      <c r="S1868" s="6">
        <v>0</v>
      </c>
      <c r="T1868" s="6">
        <v>27</v>
      </c>
      <c r="U1868" s="6">
        <v>85</v>
      </c>
      <c r="V1868" s="6">
        <f>IF(ISERROR(VLOOKUP($S$1868,'TAR FIN'!$A$1:$O$104,15,0)),0,VLOOKUP($S$1868,'TAR FIN'!$A$1:$O$104,15,0))</f>
        <v>0</v>
      </c>
      <c r="W1868" s="6">
        <f>IF(ISERROR(VLOOKUP($T$1868,'TAR FIN'!$A$1:$O$104,15,0)),0,VLOOKUP($T$1868,'TAR FIN'!$A$1:$O$104,15,0))</f>
        <v>300.26</v>
      </c>
      <c r="X1868" s="6">
        <f>IF(ISERROR(VLOOKUP($U$1868,'TAR FIN'!$A$1:$O$104,15,0)),0,VLOOKUP($U$1868,'TAR FIN'!$A$1:$O$104,15,0))</f>
        <v>225.04</v>
      </c>
      <c r="Y1868" s="6"/>
      <c r="Z1868" s="6">
        <f ca="1">('TUSD BE'!$AM$47+'TUSD BF'!$AM$47+'TUSD CVA'!$AM$47)*(1-CUSTOS!$M$38)</f>
        <v>335.21342816228281</v>
      </c>
      <c r="AA1868" s="6">
        <f>('TE BE'!$AB$26+'TE BF'!$AB$26+'TE CVA'!$AB$26)*(1-CUSTOS!$M$38)</f>
        <v>227.92247399192311</v>
      </c>
      <c r="AB1868" s="6">
        <f>$K$1868*$V$1868</f>
        <v>0</v>
      </c>
      <c r="AC1868" s="6">
        <f>$M$1868*$W$1868</f>
        <v>3479.4128799999999</v>
      </c>
      <c r="AD1868" s="6">
        <f>$O$1868*$X$1868</f>
        <v>2607.7635199999995</v>
      </c>
      <c r="AE1868" s="6">
        <f>$K$1868*$Y$1868</f>
        <v>0</v>
      </c>
      <c r="AF1868" s="6">
        <f ca="1">$M$1868*$Z$1868</f>
        <v>3884.4532055445329</v>
      </c>
      <c r="AG1868" s="6">
        <f>$O$1868*$AA$1868</f>
        <v>2641.1656286184048</v>
      </c>
    </row>
    <row r="1869" spans="1:33" ht="11.25" customHeight="1" x14ac:dyDescent="0.25">
      <c r="A1869" s="4" t="s">
        <v>21</v>
      </c>
      <c r="B1869" s="4" t="s">
        <v>44</v>
      </c>
      <c r="C1869" s="4" t="s">
        <v>23</v>
      </c>
      <c r="D1869" s="4" t="s">
        <v>45</v>
      </c>
      <c r="E1869" s="4" t="s">
        <v>25</v>
      </c>
      <c r="F1869" s="4" t="s">
        <v>25</v>
      </c>
      <c r="G1869" s="4" t="s">
        <v>25</v>
      </c>
      <c r="H1869" s="4" t="s">
        <v>25</v>
      </c>
      <c r="I1869" s="5">
        <v>44501</v>
      </c>
      <c r="J1869" s="6">
        <v>0</v>
      </c>
      <c r="K1869" s="6">
        <v>0</v>
      </c>
      <c r="L1869" s="6">
        <v>16466.123</v>
      </c>
      <c r="M1869" s="6">
        <v>16466.123</v>
      </c>
      <c r="N1869" s="6">
        <v>16466.123</v>
      </c>
      <c r="O1869" s="6">
        <v>16466.123</v>
      </c>
      <c r="P1869" s="6">
        <v>123663</v>
      </c>
      <c r="Q1869" s="4" t="s">
        <v>26</v>
      </c>
      <c r="R1869" s="4">
        <v>0</v>
      </c>
      <c r="S1869" s="6">
        <v>0</v>
      </c>
      <c r="T1869" s="6">
        <v>27</v>
      </c>
      <c r="U1869" s="6">
        <v>85</v>
      </c>
      <c r="V1869" s="6">
        <f>IF(ISERROR(VLOOKUP($S$1869,'TAR FIN'!$A$1:$O$104,15,0)),0,VLOOKUP($S$1869,'TAR FIN'!$A$1:$O$104,15,0))</f>
        <v>0</v>
      </c>
      <c r="W1869" s="6">
        <f>IF(ISERROR(VLOOKUP($T$1869,'TAR FIN'!$A$1:$O$104,15,0)),0,VLOOKUP($T$1869,'TAR FIN'!$A$1:$O$104,15,0))</f>
        <v>300.26</v>
      </c>
      <c r="X1869" s="6">
        <f>IF(ISERROR(VLOOKUP($U$1869,'TAR FIN'!$A$1:$O$104,15,0)),0,VLOOKUP($U$1869,'TAR FIN'!$A$1:$O$104,15,0))</f>
        <v>225.04</v>
      </c>
      <c r="Y1869" s="6"/>
      <c r="Z1869" s="6">
        <f ca="1">('TUSD BE'!$AM$47+'TUSD BF'!$AM$47+'TUSD CVA'!$AM$47)*(1-CUSTOS!$M$38)</f>
        <v>335.21342816228281</v>
      </c>
      <c r="AA1869" s="6">
        <f>('TE BE'!$AB$26+'TE BF'!$AB$26+'TE CVA'!$AB$26)*(1-CUSTOS!$M$38)</f>
        <v>227.92247399192311</v>
      </c>
      <c r="AB1869" s="6">
        <f>$K$1869*$V$1869</f>
        <v>0</v>
      </c>
      <c r="AC1869" s="6">
        <f>$M$1869*$W$1869</f>
        <v>4944118.09198</v>
      </c>
      <c r="AD1869" s="6">
        <f>$O$1869*$X$1869</f>
        <v>3705536.3199199997</v>
      </c>
      <c r="AE1869" s="6">
        <f>$K$1869*$Y$1869</f>
        <v>0</v>
      </c>
      <c r="AF1869" s="6">
        <f ca="1">$M$1869*$Z$1869</f>
        <v>5519665.5393718127</v>
      </c>
      <c r="AG1869" s="6">
        <f>$O$1869*$AA$1869</f>
        <v>3752999.4912153068</v>
      </c>
    </row>
    <row r="1870" spans="1:33" ht="11.25" customHeight="1" x14ac:dyDescent="0.25">
      <c r="A1870" s="4" t="s">
        <v>27</v>
      </c>
      <c r="B1870" s="4" t="s">
        <v>44</v>
      </c>
      <c r="C1870" s="4" t="s">
        <v>23</v>
      </c>
      <c r="D1870" s="4" t="s">
        <v>45</v>
      </c>
      <c r="E1870" s="4" t="s">
        <v>25</v>
      </c>
      <c r="F1870" s="4" t="s">
        <v>25</v>
      </c>
      <c r="G1870" s="4" t="s">
        <v>25</v>
      </c>
      <c r="H1870" s="4" t="s">
        <v>25</v>
      </c>
      <c r="I1870" s="5">
        <v>44501</v>
      </c>
      <c r="J1870" s="6">
        <v>0</v>
      </c>
      <c r="K1870" s="6">
        <v>0</v>
      </c>
      <c r="L1870" s="6">
        <v>-38.383000000000003</v>
      </c>
      <c r="M1870" s="6">
        <v>-38.383000000000003</v>
      </c>
      <c r="N1870" s="6">
        <v>-38.383000000000003</v>
      </c>
      <c r="O1870" s="6">
        <v>-38.383000000000003</v>
      </c>
      <c r="P1870" s="6">
        <v>-51</v>
      </c>
      <c r="Q1870" s="4" t="s">
        <v>26</v>
      </c>
      <c r="R1870" s="4">
        <v>0</v>
      </c>
      <c r="S1870" s="6">
        <v>0</v>
      </c>
      <c r="T1870" s="6">
        <v>27</v>
      </c>
      <c r="U1870" s="6">
        <v>85</v>
      </c>
      <c r="V1870" s="6">
        <f>IF(ISERROR(VLOOKUP($S$1870,'TAR FIN'!$A$1:$O$104,15,0)),0,VLOOKUP($S$1870,'TAR FIN'!$A$1:$O$104,15,0))</f>
        <v>0</v>
      </c>
      <c r="W1870" s="6">
        <f>IF(ISERROR(VLOOKUP($T$1870,'TAR FIN'!$A$1:$O$104,15,0)),0,VLOOKUP($T$1870,'TAR FIN'!$A$1:$O$104,15,0))</f>
        <v>300.26</v>
      </c>
      <c r="X1870" s="6">
        <f>IF(ISERROR(VLOOKUP($U$1870,'TAR FIN'!$A$1:$O$104,15,0)),0,VLOOKUP($U$1870,'TAR FIN'!$A$1:$O$104,15,0))</f>
        <v>225.04</v>
      </c>
      <c r="Y1870" s="6"/>
      <c r="Z1870" s="6">
        <f ca="1">('TUSD BE'!$AM$47+'TUSD BF'!$AM$47+'TUSD CVA'!$AM$47)*(1-CUSTOS!$M$38)</f>
        <v>335.21342816228281</v>
      </c>
      <c r="AA1870" s="6">
        <f>('TE BE'!$AB$26+'TE BF'!$AB$26+'TE CVA'!$AB$26)*(1-CUSTOS!$M$38)</f>
        <v>227.92247399192311</v>
      </c>
      <c r="AB1870" s="6">
        <f>$K$1870*$V$1870</f>
        <v>0</v>
      </c>
      <c r="AC1870" s="6">
        <f>$M$1870*$W$1870</f>
        <v>-11524.879580000001</v>
      </c>
      <c r="AD1870" s="6">
        <f>$O$1870*$X$1870</f>
        <v>-8637.7103200000001</v>
      </c>
      <c r="AE1870" s="6">
        <f>$K$1870*$Y$1870</f>
        <v>0</v>
      </c>
      <c r="AF1870" s="6">
        <f ca="1">$M$1870*$Z$1870</f>
        <v>-12866.497013152903</v>
      </c>
      <c r="AG1870" s="6">
        <f>$O$1870*$AA$1870</f>
        <v>-8748.3483192319854</v>
      </c>
    </row>
    <row r="1871" spans="1:33" ht="11.25" customHeight="1" x14ac:dyDescent="0.25">
      <c r="A1871" s="4" t="s">
        <v>28</v>
      </c>
      <c r="B1871" s="4" t="s">
        <v>44</v>
      </c>
      <c r="C1871" s="4" t="s">
        <v>23</v>
      </c>
      <c r="D1871" s="4" t="s">
        <v>45</v>
      </c>
      <c r="E1871" s="4" t="s">
        <v>25</v>
      </c>
      <c r="F1871" s="4" t="s">
        <v>25</v>
      </c>
      <c r="G1871" s="4" t="s">
        <v>25</v>
      </c>
      <c r="H1871" s="4" t="s">
        <v>25</v>
      </c>
      <c r="I1871" s="5">
        <v>44501</v>
      </c>
      <c r="J1871" s="6">
        <v>0</v>
      </c>
      <c r="K1871" s="6">
        <v>0</v>
      </c>
      <c r="L1871" s="6">
        <v>421.00200000000001</v>
      </c>
      <c r="M1871" s="6">
        <v>421.00200000000001</v>
      </c>
      <c r="N1871" s="6">
        <v>421.00200000000001</v>
      </c>
      <c r="O1871" s="6">
        <v>421.00200000000001</v>
      </c>
      <c r="P1871" s="6">
        <v>980</v>
      </c>
      <c r="Q1871" s="4" t="s">
        <v>26</v>
      </c>
      <c r="R1871" s="4">
        <v>0</v>
      </c>
      <c r="S1871" s="6">
        <v>0</v>
      </c>
      <c r="T1871" s="6">
        <v>27</v>
      </c>
      <c r="U1871" s="6">
        <v>85</v>
      </c>
      <c r="V1871" s="6">
        <f>IF(ISERROR(VLOOKUP($S$1871,'TAR FIN'!$A$1:$O$104,15,0)),0,VLOOKUP($S$1871,'TAR FIN'!$A$1:$O$104,15,0))</f>
        <v>0</v>
      </c>
      <c r="W1871" s="6">
        <f>IF(ISERROR(VLOOKUP($T$1871,'TAR FIN'!$A$1:$O$104,15,0)),0,VLOOKUP($T$1871,'TAR FIN'!$A$1:$O$104,15,0))</f>
        <v>300.26</v>
      </c>
      <c r="X1871" s="6">
        <f>IF(ISERROR(VLOOKUP($U$1871,'TAR FIN'!$A$1:$O$104,15,0)),0,VLOOKUP($U$1871,'TAR FIN'!$A$1:$O$104,15,0))</f>
        <v>225.04</v>
      </c>
      <c r="Y1871" s="6"/>
      <c r="Z1871" s="6">
        <f ca="1">('TUSD BE'!$AM$47+'TUSD BF'!$AM$47+'TUSD CVA'!$AM$47)*(1-CUSTOS!$M$38)</f>
        <v>335.21342816228281</v>
      </c>
      <c r="AA1871" s="6">
        <f>('TE BE'!$AB$26+'TE BF'!$AB$26+'TE CVA'!$AB$26)*(1-CUSTOS!$M$38)</f>
        <v>227.92247399192311</v>
      </c>
      <c r="AB1871" s="6">
        <f>$K$1871*$V$1871</f>
        <v>0</v>
      </c>
      <c r="AC1871" s="6">
        <f>$M$1871*$W$1871</f>
        <v>126410.06052</v>
      </c>
      <c r="AD1871" s="6">
        <f>$O$1871*$X$1871</f>
        <v>94742.290079999992</v>
      </c>
      <c r="AE1871" s="6">
        <f>$K$1871*$Y$1871</f>
        <v>0</v>
      </c>
      <c r="AF1871" s="6">
        <f ca="1">$M$1871*$Z$1871</f>
        <v>141125.52368317739</v>
      </c>
      <c r="AG1871" s="6">
        <f>$O$1871*$AA$1871</f>
        <v>95955.817395547623</v>
      </c>
    </row>
    <row r="1872" spans="1:33" ht="11.25" customHeight="1" x14ac:dyDescent="0.25">
      <c r="A1872" s="4" t="s">
        <v>28</v>
      </c>
      <c r="B1872" s="4" t="s">
        <v>44</v>
      </c>
      <c r="C1872" s="4" t="s">
        <v>23</v>
      </c>
      <c r="D1872" s="4" t="s">
        <v>45</v>
      </c>
      <c r="E1872" s="4" t="s">
        <v>25</v>
      </c>
      <c r="F1872" s="4" t="s">
        <v>25</v>
      </c>
      <c r="G1872" s="4" t="s">
        <v>25</v>
      </c>
      <c r="H1872" s="4" t="s">
        <v>25</v>
      </c>
      <c r="I1872" s="5">
        <v>44501</v>
      </c>
      <c r="J1872" s="6">
        <v>0</v>
      </c>
      <c r="K1872" s="6">
        <v>0</v>
      </c>
      <c r="L1872" s="6">
        <v>-2.2869999999999999</v>
      </c>
      <c r="M1872" s="6">
        <v>-2.2869999999999999</v>
      </c>
      <c r="N1872" s="6">
        <v>-2.2869999999999999</v>
      </c>
      <c r="O1872" s="6">
        <v>-2.2869999999999999</v>
      </c>
      <c r="P1872" s="6">
        <v>0</v>
      </c>
      <c r="Q1872" s="4" t="s">
        <v>26</v>
      </c>
      <c r="R1872" s="4">
        <v>0</v>
      </c>
      <c r="S1872" s="6">
        <v>0</v>
      </c>
      <c r="T1872" s="6">
        <v>27</v>
      </c>
      <c r="U1872" s="6">
        <v>85</v>
      </c>
      <c r="V1872" s="6">
        <f>IF(ISERROR(VLOOKUP($S$1872,'TAR FIN'!$A$1:$O$104,15,0)),0,VLOOKUP($S$1872,'TAR FIN'!$A$1:$O$104,15,0))</f>
        <v>0</v>
      </c>
      <c r="W1872" s="6">
        <f>IF(ISERROR(VLOOKUP($T$1872,'TAR FIN'!$A$1:$O$104,15,0)),0,VLOOKUP($T$1872,'TAR FIN'!$A$1:$O$104,15,0))</f>
        <v>300.26</v>
      </c>
      <c r="X1872" s="6">
        <f>IF(ISERROR(VLOOKUP($U$1872,'TAR FIN'!$A$1:$O$104,15,0)),0,VLOOKUP($U$1872,'TAR FIN'!$A$1:$O$104,15,0))</f>
        <v>225.04</v>
      </c>
      <c r="Y1872" s="6"/>
      <c r="Z1872" s="6">
        <f ca="1">('TUSD BE'!$AM$47+'TUSD BF'!$AM$47+'TUSD CVA'!$AM$47)*(1-CUSTOS!$M$38)</f>
        <v>335.21342816228281</v>
      </c>
      <c r="AA1872" s="6">
        <f>('TE BE'!$AB$26+'TE BF'!$AB$26+'TE CVA'!$AB$26)*(1-CUSTOS!$M$38)</f>
        <v>227.92247399192311</v>
      </c>
      <c r="AB1872" s="6">
        <f>$K$1872*$V$1872</f>
        <v>0</v>
      </c>
      <c r="AC1872" s="6">
        <f>$M$1872*$W$1872</f>
        <v>-686.69461999999999</v>
      </c>
      <c r="AD1872" s="6">
        <f>$O$1872*$X$1872</f>
        <v>-514.66647999999998</v>
      </c>
      <c r="AE1872" s="6">
        <f>$K$1872*$Y$1872</f>
        <v>0</v>
      </c>
      <c r="AF1872" s="6">
        <f ca="1">$M$1872*$Z$1872</f>
        <v>-766.6331102071407</v>
      </c>
      <c r="AG1872" s="6">
        <f>$O$1872*$AA$1872</f>
        <v>-521.2586980195282</v>
      </c>
    </row>
    <row r="1873" spans="1:33" ht="11.25" customHeight="1" x14ac:dyDescent="0.25">
      <c r="A1873" s="4" t="s">
        <v>21</v>
      </c>
      <c r="B1873" s="4" t="s">
        <v>44</v>
      </c>
      <c r="C1873" s="4" t="s">
        <v>23</v>
      </c>
      <c r="D1873" s="4" t="s">
        <v>45</v>
      </c>
      <c r="E1873" s="4" t="s">
        <v>25</v>
      </c>
      <c r="F1873" s="4" t="s">
        <v>25</v>
      </c>
      <c r="G1873" s="4" t="s">
        <v>25</v>
      </c>
      <c r="H1873" s="4" t="s">
        <v>25</v>
      </c>
      <c r="I1873" s="5">
        <v>44531</v>
      </c>
      <c r="J1873" s="6">
        <v>0</v>
      </c>
      <c r="K1873" s="6">
        <v>0</v>
      </c>
      <c r="L1873" s="6">
        <v>17848.134999999998</v>
      </c>
      <c r="M1873" s="6">
        <v>17848.134999999998</v>
      </c>
      <c r="N1873" s="6">
        <v>17848.134999999998</v>
      </c>
      <c r="O1873" s="6">
        <v>17848.134999999998</v>
      </c>
      <c r="P1873" s="6">
        <v>123329</v>
      </c>
      <c r="Q1873" s="4" t="s">
        <v>26</v>
      </c>
      <c r="R1873" s="4">
        <v>0</v>
      </c>
      <c r="S1873" s="6">
        <v>0</v>
      </c>
      <c r="T1873" s="6">
        <v>27</v>
      </c>
      <c r="U1873" s="6">
        <v>85</v>
      </c>
      <c r="V1873" s="6">
        <f>IF(ISERROR(VLOOKUP($S$1873,'TAR FIN'!$A$1:$O$104,15,0)),0,VLOOKUP($S$1873,'TAR FIN'!$A$1:$O$104,15,0))</f>
        <v>0</v>
      </c>
      <c r="W1873" s="6">
        <f>IF(ISERROR(VLOOKUP($T$1873,'TAR FIN'!$A$1:$O$104,15,0)),0,VLOOKUP($T$1873,'TAR FIN'!$A$1:$O$104,15,0))</f>
        <v>300.26</v>
      </c>
      <c r="X1873" s="6">
        <f>IF(ISERROR(VLOOKUP($U$1873,'TAR FIN'!$A$1:$O$104,15,0)),0,VLOOKUP($U$1873,'TAR FIN'!$A$1:$O$104,15,0))</f>
        <v>225.04</v>
      </c>
      <c r="Y1873" s="6"/>
      <c r="Z1873" s="6">
        <f ca="1">('TUSD BE'!$AM$47+'TUSD BF'!$AM$47+'TUSD CVA'!$AM$47)*(1-CUSTOS!$M$38)</f>
        <v>335.21342816228281</v>
      </c>
      <c r="AA1873" s="6">
        <f>('TE BE'!$AB$26+'TE BF'!$AB$26+'TE CVA'!$AB$26)*(1-CUSTOS!$M$38)</f>
        <v>227.92247399192311</v>
      </c>
      <c r="AB1873" s="6">
        <f>$K$1873*$V$1873</f>
        <v>0</v>
      </c>
      <c r="AC1873" s="6">
        <f>$M$1873*$W$1873</f>
        <v>5359081.0150999995</v>
      </c>
      <c r="AD1873" s="6">
        <f>$O$1873*$X$1873</f>
        <v>4016544.3003999996</v>
      </c>
      <c r="AE1873" s="6">
        <f>$K$1873*$Y$1873</f>
        <v>0</v>
      </c>
      <c r="AF1873" s="6">
        <f ca="1">$M$1873*$Z$1873</f>
        <v>5982934.5196532253</v>
      </c>
      <c r="AG1873" s="6">
        <f>$O$1873*$AA$1873</f>
        <v>4067991.0853418321</v>
      </c>
    </row>
    <row r="1874" spans="1:33" ht="11.25" customHeight="1" x14ac:dyDescent="0.25">
      <c r="A1874" s="4" t="s">
        <v>27</v>
      </c>
      <c r="B1874" s="4" t="s">
        <v>44</v>
      </c>
      <c r="C1874" s="4" t="s">
        <v>23</v>
      </c>
      <c r="D1874" s="4" t="s">
        <v>45</v>
      </c>
      <c r="E1874" s="4" t="s">
        <v>25</v>
      </c>
      <c r="F1874" s="4" t="s">
        <v>25</v>
      </c>
      <c r="G1874" s="4" t="s">
        <v>25</v>
      </c>
      <c r="H1874" s="4" t="s">
        <v>25</v>
      </c>
      <c r="I1874" s="5">
        <v>44531</v>
      </c>
      <c r="J1874" s="6">
        <v>0</v>
      </c>
      <c r="K1874" s="6">
        <v>0</v>
      </c>
      <c r="L1874" s="6">
        <v>-129.00700000000001</v>
      </c>
      <c r="M1874" s="6">
        <v>-129.00700000000001</v>
      </c>
      <c r="N1874" s="6">
        <v>-129.00700000000001</v>
      </c>
      <c r="O1874" s="6">
        <v>-129.00700000000001</v>
      </c>
      <c r="P1874" s="6">
        <v>-8</v>
      </c>
      <c r="Q1874" s="4" t="s">
        <v>26</v>
      </c>
      <c r="R1874" s="4">
        <v>0</v>
      </c>
      <c r="S1874" s="6">
        <v>0</v>
      </c>
      <c r="T1874" s="6">
        <v>27</v>
      </c>
      <c r="U1874" s="6">
        <v>85</v>
      </c>
      <c r="V1874" s="6">
        <f>IF(ISERROR(VLOOKUP($S$1874,'TAR FIN'!$A$1:$O$104,15,0)),0,VLOOKUP($S$1874,'TAR FIN'!$A$1:$O$104,15,0))</f>
        <v>0</v>
      </c>
      <c r="W1874" s="6">
        <f>IF(ISERROR(VLOOKUP($T$1874,'TAR FIN'!$A$1:$O$104,15,0)),0,VLOOKUP($T$1874,'TAR FIN'!$A$1:$O$104,15,0))</f>
        <v>300.26</v>
      </c>
      <c r="X1874" s="6">
        <f>IF(ISERROR(VLOOKUP($U$1874,'TAR FIN'!$A$1:$O$104,15,0)),0,VLOOKUP($U$1874,'TAR FIN'!$A$1:$O$104,15,0))</f>
        <v>225.04</v>
      </c>
      <c r="Y1874" s="6"/>
      <c r="Z1874" s="6">
        <f ca="1">('TUSD BE'!$AM$47+'TUSD BF'!$AM$47+'TUSD CVA'!$AM$47)*(1-CUSTOS!$M$38)</f>
        <v>335.21342816228281</v>
      </c>
      <c r="AA1874" s="6">
        <f>('TE BE'!$AB$26+'TE BF'!$AB$26+'TE CVA'!$AB$26)*(1-CUSTOS!$M$38)</f>
        <v>227.92247399192311</v>
      </c>
      <c r="AB1874" s="6">
        <f>$K$1874*$V$1874</f>
        <v>0</v>
      </c>
      <c r="AC1874" s="6">
        <f>$M$1874*$W$1874</f>
        <v>-38735.641819999997</v>
      </c>
      <c r="AD1874" s="6">
        <f>$O$1874*$X$1874</f>
        <v>-29031.735280000001</v>
      </c>
      <c r="AE1874" s="6">
        <f>$K$1874*$Y$1874</f>
        <v>0</v>
      </c>
      <c r="AF1874" s="6">
        <f ca="1">$M$1874*$Z$1874</f>
        <v>-43244.878726931624</v>
      </c>
      <c r="AG1874" s="6">
        <f>$O$1874*$AA$1874</f>
        <v>-29403.594602276025</v>
      </c>
    </row>
    <row r="1875" spans="1:33" ht="11.25" customHeight="1" x14ac:dyDescent="0.25">
      <c r="A1875" s="4" t="s">
        <v>28</v>
      </c>
      <c r="B1875" s="4" t="s">
        <v>44</v>
      </c>
      <c r="C1875" s="4" t="s">
        <v>23</v>
      </c>
      <c r="D1875" s="4" t="s">
        <v>45</v>
      </c>
      <c r="E1875" s="4" t="s">
        <v>25</v>
      </c>
      <c r="F1875" s="4" t="s">
        <v>25</v>
      </c>
      <c r="G1875" s="4" t="s">
        <v>25</v>
      </c>
      <c r="H1875" s="4" t="s">
        <v>25</v>
      </c>
      <c r="I1875" s="5">
        <v>44531</v>
      </c>
      <c r="J1875" s="6">
        <v>0</v>
      </c>
      <c r="K1875" s="6">
        <v>0</v>
      </c>
      <c r="L1875" s="6">
        <v>300.54500000000002</v>
      </c>
      <c r="M1875" s="6">
        <v>300.54500000000002</v>
      </c>
      <c r="N1875" s="6">
        <v>300.54500000000002</v>
      </c>
      <c r="O1875" s="6">
        <v>300.54500000000002</v>
      </c>
      <c r="P1875" s="6">
        <v>1031</v>
      </c>
      <c r="Q1875" s="4" t="s">
        <v>26</v>
      </c>
      <c r="R1875" s="4">
        <v>0</v>
      </c>
      <c r="S1875" s="6">
        <v>0</v>
      </c>
      <c r="T1875" s="6">
        <v>27</v>
      </c>
      <c r="U1875" s="6">
        <v>85</v>
      </c>
      <c r="V1875" s="6">
        <f>IF(ISERROR(VLOOKUP($S$1875,'TAR FIN'!$A$1:$O$104,15,0)),0,VLOOKUP($S$1875,'TAR FIN'!$A$1:$O$104,15,0))</f>
        <v>0</v>
      </c>
      <c r="W1875" s="6">
        <f>IF(ISERROR(VLOOKUP($T$1875,'TAR FIN'!$A$1:$O$104,15,0)),0,VLOOKUP($T$1875,'TAR FIN'!$A$1:$O$104,15,0))</f>
        <v>300.26</v>
      </c>
      <c r="X1875" s="6">
        <f>IF(ISERROR(VLOOKUP($U$1875,'TAR FIN'!$A$1:$O$104,15,0)),0,VLOOKUP($U$1875,'TAR FIN'!$A$1:$O$104,15,0))</f>
        <v>225.04</v>
      </c>
      <c r="Y1875" s="6"/>
      <c r="Z1875" s="6">
        <f ca="1">('TUSD BE'!$AM$47+'TUSD BF'!$AM$47+'TUSD CVA'!$AM$47)*(1-CUSTOS!$M$38)</f>
        <v>335.21342816228281</v>
      </c>
      <c r="AA1875" s="6">
        <f>('TE BE'!$AB$26+'TE BF'!$AB$26+'TE CVA'!$AB$26)*(1-CUSTOS!$M$38)</f>
        <v>227.92247399192311</v>
      </c>
      <c r="AB1875" s="6">
        <f>$K$1875*$V$1875</f>
        <v>0</v>
      </c>
      <c r="AC1875" s="6">
        <f>$M$1875*$W$1875</f>
        <v>90241.641700000007</v>
      </c>
      <c r="AD1875" s="6">
        <f>$O$1875*$X$1875</f>
        <v>67634.646800000002</v>
      </c>
      <c r="AE1875" s="6">
        <f>$K$1875*$Y$1875</f>
        <v>0</v>
      </c>
      <c r="AF1875" s="6">
        <f ca="1">$M$1875*$Z$1875</f>
        <v>100746.7197670333</v>
      </c>
      <c r="AG1875" s="6">
        <f>$O$1875*$AA$1875</f>
        <v>68500.959945902534</v>
      </c>
    </row>
    <row r="1876" spans="1:33" ht="11.25" customHeight="1" x14ac:dyDescent="0.25">
      <c r="A1876" s="4" t="s">
        <v>28</v>
      </c>
      <c r="B1876" s="4" t="s">
        <v>44</v>
      </c>
      <c r="C1876" s="4" t="s">
        <v>23</v>
      </c>
      <c r="D1876" s="4" t="s">
        <v>45</v>
      </c>
      <c r="E1876" s="4" t="s">
        <v>25</v>
      </c>
      <c r="F1876" s="4" t="s">
        <v>25</v>
      </c>
      <c r="G1876" s="4" t="s">
        <v>25</v>
      </c>
      <c r="H1876" s="4" t="s">
        <v>25</v>
      </c>
      <c r="I1876" s="5">
        <v>44531</v>
      </c>
      <c r="J1876" s="6">
        <v>0</v>
      </c>
      <c r="K1876" s="6">
        <v>0</v>
      </c>
      <c r="L1876" s="6">
        <v>-1.2589999999999999</v>
      </c>
      <c r="M1876" s="6">
        <v>-1.2589999999999999</v>
      </c>
      <c r="N1876" s="6">
        <v>-1.2589999999999999</v>
      </c>
      <c r="O1876" s="6">
        <v>-1.2589999999999999</v>
      </c>
      <c r="P1876" s="6">
        <v>-1</v>
      </c>
      <c r="Q1876" s="4" t="s">
        <v>26</v>
      </c>
      <c r="R1876" s="4">
        <v>0</v>
      </c>
      <c r="S1876" s="6">
        <v>0</v>
      </c>
      <c r="T1876" s="6">
        <v>27</v>
      </c>
      <c r="U1876" s="6">
        <v>85</v>
      </c>
      <c r="V1876" s="6">
        <f>IF(ISERROR(VLOOKUP($S$1876,'TAR FIN'!$A$1:$O$104,15,0)),0,VLOOKUP($S$1876,'TAR FIN'!$A$1:$O$104,15,0))</f>
        <v>0</v>
      </c>
      <c r="W1876" s="6">
        <f>IF(ISERROR(VLOOKUP($T$1876,'TAR FIN'!$A$1:$O$104,15,0)),0,VLOOKUP($T$1876,'TAR FIN'!$A$1:$O$104,15,0))</f>
        <v>300.26</v>
      </c>
      <c r="X1876" s="6">
        <f>IF(ISERROR(VLOOKUP($U$1876,'TAR FIN'!$A$1:$O$104,15,0)),0,VLOOKUP($U$1876,'TAR FIN'!$A$1:$O$104,15,0))</f>
        <v>225.04</v>
      </c>
      <c r="Y1876" s="6"/>
      <c r="Z1876" s="6">
        <f ca="1">('TUSD BE'!$AM$47+'TUSD BF'!$AM$47+'TUSD CVA'!$AM$47)*(1-CUSTOS!$M$38)</f>
        <v>335.21342816228281</v>
      </c>
      <c r="AA1876" s="6">
        <f>('TE BE'!$AB$26+'TE BF'!$AB$26+'TE CVA'!$AB$26)*(1-CUSTOS!$M$38)</f>
        <v>227.92247399192311</v>
      </c>
      <c r="AB1876" s="6">
        <f>$K$1876*$V$1876</f>
        <v>0</v>
      </c>
      <c r="AC1876" s="6">
        <f>$M$1876*$W$1876</f>
        <v>-378.02733999999998</v>
      </c>
      <c r="AD1876" s="6">
        <f>$O$1876*$X$1876</f>
        <v>-283.32535999999999</v>
      </c>
      <c r="AE1876" s="6">
        <f>$K$1876*$Y$1876</f>
        <v>0</v>
      </c>
      <c r="AF1876" s="6">
        <f ca="1">$M$1876*$Z$1876</f>
        <v>-422.03370605631403</v>
      </c>
      <c r="AG1876" s="6">
        <f>$O$1876*$AA$1876</f>
        <v>-286.95439475583117</v>
      </c>
    </row>
    <row r="1877" spans="1:33" ht="11.25" customHeight="1" x14ac:dyDescent="0.25">
      <c r="A1877" s="4" t="s">
        <v>21</v>
      </c>
      <c r="B1877" s="4" t="s">
        <v>44</v>
      </c>
      <c r="C1877" s="4" t="s">
        <v>23</v>
      </c>
      <c r="D1877" s="4" t="s">
        <v>45</v>
      </c>
      <c r="E1877" s="4" t="s">
        <v>25</v>
      </c>
      <c r="F1877" s="4" t="s">
        <v>25</v>
      </c>
      <c r="G1877" s="4" t="s">
        <v>25</v>
      </c>
      <c r="H1877" s="4" t="s">
        <v>25</v>
      </c>
      <c r="I1877" s="5">
        <v>44562</v>
      </c>
      <c r="J1877" s="6">
        <v>0</v>
      </c>
      <c r="K1877" s="6">
        <v>0</v>
      </c>
      <c r="L1877" s="6">
        <v>15475.6</v>
      </c>
      <c r="M1877" s="6">
        <v>15475.6</v>
      </c>
      <c r="N1877" s="6">
        <v>15475.6</v>
      </c>
      <c r="O1877" s="6">
        <v>15475.6</v>
      </c>
      <c r="P1877" s="6">
        <v>122861</v>
      </c>
      <c r="Q1877" s="4" t="s">
        <v>26</v>
      </c>
      <c r="R1877" s="4">
        <v>0</v>
      </c>
      <c r="S1877" s="6">
        <v>0</v>
      </c>
      <c r="T1877" s="6">
        <v>27</v>
      </c>
      <c r="U1877" s="6">
        <v>85</v>
      </c>
      <c r="V1877" s="6">
        <f>IF(ISERROR(VLOOKUP($S$1877,'TAR FIN'!$A$1:$O$104,15,0)),0,VLOOKUP($S$1877,'TAR FIN'!$A$1:$O$104,15,0))</f>
        <v>0</v>
      </c>
      <c r="W1877" s="6">
        <f>IF(ISERROR(VLOOKUP($T$1877,'TAR FIN'!$A$1:$O$104,15,0)),0,VLOOKUP($T$1877,'TAR FIN'!$A$1:$O$104,15,0))</f>
        <v>300.26</v>
      </c>
      <c r="X1877" s="6">
        <f>IF(ISERROR(VLOOKUP($U$1877,'TAR FIN'!$A$1:$O$104,15,0)),0,VLOOKUP($U$1877,'TAR FIN'!$A$1:$O$104,15,0))</f>
        <v>225.04</v>
      </c>
      <c r="Y1877" s="6"/>
      <c r="Z1877" s="6">
        <f ca="1">('TUSD BE'!$AM$47+'TUSD BF'!$AM$47+'TUSD CVA'!$AM$47)*(1-CUSTOS!$M$38)</f>
        <v>335.21342816228281</v>
      </c>
      <c r="AA1877" s="6">
        <f>('TE BE'!$AB$26+'TE BF'!$AB$26+'TE CVA'!$AB$26)*(1-CUSTOS!$M$38)</f>
        <v>227.92247399192311</v>
      </c>
      <c r="AB1877" s="6">
        <f>$K$1877*$V$1877</f>
        <v>0</v>
      </c>
      <c r="AC1877" s="6">
        <f>$M$1877*$W$1877</f>
        <v>4646703.6560000004</v>
      </c>
      <c r="AD1877" s="6">
        <f>$O$1877*$X$1877</f>
        <v>3482629.0239999997</v>
      </c>
      <c r="AE1877" s="6">
        <f>$K$1877*$Y$1877</f>
        <v>0</v>
      </c>
      <c r="AF1877" s="6">
        <f ca="1">$M$1877*$Z$1877</f>
        <v>5187628.9288682239</v>
      </c>
      <c r="AG1877" s="6">
        <f>$O$1877*$AA$1877</f>
        <v>3527237.0385094052</v>
      </c>
    </row>
    <row r="1878" spans="1:33" ht="11.25" customHeight="1" x14ac:dyDescent="0.25">
      <c r="A1878" s="4" t="s">
        <v>27</v>
      </c>
      <c r="B1878" s="4" t="s">
        <v>44</v>
      </c>
      <c r="C1878" s="4" t="s">
        <v>23</v>
      </c>
      <c r="D1878" s="4" t="s">
        <v>45</v>
      </c>
      <c r="E1878" s="4" t="s">
        <v>25</v>
      </c>
      <c r="F1878" s="4" t="s">
        <v>25</v>
      </c>
      <c r="G1878" s="4" t="s">
        <v>25</v>
      </c>
      <c r="H1878" s="4" t="s">
        <v>25</v>
      </c>
      <c r="I1878" s="5">
        <v>44562</v>
      </c>
      <c r="J1878" s="6">
        <v>0</v>
      </c>
      <c r="K1878" s="6">
        <v>0</v>
      </c>
      <c r="L1878" s="6">
        <v>-99.62</v>
      </c>
      <c r="M1878" s="6">
        <v>-99.62</v>
      </c>
      <c r="N1878" s="6">
        <v>-99.62</v>
      </c>
      <c r="O1878" s="6">
        <v>-99.62</v>
      </c>
      <c r="P1878" s="6">
        <v>-15</v>
      </c>
      <c r="Q1878" s="4" t="s">
        <v>26</v>
      </c>
      <c r="R1878" s="4">
        <v>0</v>
      </c>
      <c r="S1878" s="6">
        <v>0</v>
      </c>
      <c r="T1878" s="6">
        <v>27</v>
      </c>
      <c r="U1878" s="6">
        <v>85</v>
      </c>
      <c r="V1878" s="6">
        <f>IF(ISERROR(VLOOKUP($S$1878,'TAR FIN'!$A$1:$O$104,15,0)),0,VLOOKUP($S$1878,'TAR FIN'!$A$1:$O$104,15,0))</f>
        <v>0</v>
      </c>
      <c r="W1878" s="6">
        <f>IF(ISERROR(VLOOKUP($T$1878,'TAR FIN'!$A$1:$O$104,15,0)),0,VLOOKUP($T$1878,'TAR FIN'!$A$1:$O$104,15,0))</f>
        <v>300.26</v>
      </c>
      <c r="X1878" s="6">
        <f>IF(ISERROR(VLOOKUP($U$1878,'TAR FIN'!$A$1:$O$104,15,0)),0,VLOOKUP($U$1878,'TAR FIN'!$A$1:$O$104,15,0))</f>
        <v>225.04</v>
      </c>
      <c r="Y1878" s="6"/>
      <c r="Z1878" s="6">
        <f ca="1">('TUSD BE'!$AM$47+'TUSD BF'!$AM$47+'TUSD CVA'!$AM$47)*(1-CUSTOS!$M$38)</f>
        <v>335.21342816228281</v>
      </c>
      <c r="AA1878" s="6">
        <f>('TE BE'!$AB$26+'TE BF'!$AB$26+'TE CVA'!$AB$26)*(1-CUSTOS!$M$38)</f>
        <v>227.92247399192311</v>
      </c>
      <c r="AB1878" s="6">
        <f>$K$1878*$V$1878</f>
        <v>0</v>
      </c>
      <c r="AC1878" s="6">
        <f>$M$1878*$W$1878</f>
        <v>-29911.9012</v>
      </c>
      <c r="AD1878" s="6">
        <f>$O$1878*$X$1878</f>
        <v>-22418.484800000002</v>
      </c>
      <c r="AE1878" s="6">
        <f>$K$1878*$Y$1878</f>
        <v>0</v>
      </c>
      <c r="AF1878" s="6">
        <f ca="1">$M$1878*$Z$1878</f>
        <v>-33393.961713526616</v>
      </c>
      <c r="AG1878" s="6">
        <f>$O$1878*$AA$1878</f>
        <v>-22705.636859075381</v>
      </c>
    </row>
    <row r="1879" spans="1:33" ht="11.25" customHeight="1" x14ac:dyDescent="0.25">
      <c r="A1879" s="4" t="s">
        <v>28</v>
      </c>
      <c r="B1879" s="4" t="s">
        <v>44</v>
      </c>
      <c r="C1879" s="4" t="s">
        <v>23</v>
      </c>
      <c r="D1879" s="4" t="s">
        <v>45</v>
      </c>
      <c r="E1879" s="4" t="s">
        <v>25</v>
      </c>
      <c r="F1879" s="4" t="s">
        <v>25</v>
      </c>
      <c r="G1879" s="4" t="s">
        <v>25</v>
      </c>
      <c r="H1879" s="4" t="s">
        <v>25</v>
      </c>
      <c r="I1879" s="5">
        <v>44562</v>
      </c>
      <c r="J1879" s="6">
        <v>0</v>
      </c>
      <c r="K1879" s="6">
        <v>0</v>
      </c>
      <c r="L1879" s="6">
        <v>304.58600000000001</v>
      </c>
      <c r="M1879" s="6">
        <v>304.58600000000001</v>
      </c>
      <c r="N1879" s="6">
        <v>304.58600000000001</v>
      </c>
      <c r="O1879" s="6">
        <v>304.58600000000001</v>
      </c>
      <c r="P1879" s="6">
        <v>1102</v>
      </c>
      <c r="Q1879" s="4" t="s">
        <v>26</v>
      </c>
      <c r="R1879" s="4">
        <v>0</v>
      </c>
      <c r="S1879" s="6">
        <v>0</v>
      </c>
      <c r="T1879" s="6">
        <v>27</v>
      </c>
      <c r="U1879" s="6">
        <v>85</v>
      </c>
      <c r="V1879" s="6">
        <f>IF(ISERROR(VLOOKUP($S$1879,'TAR FIN'!$A$1:$O$104,15,0)),0,VLOOKUP($S$1879,'TAR FIN'!$A$1:$O$104,15,0))</f>
        <v>0</v>
      </c>
      <c r="W1879" s="6">
        <f>IF(ISERROR(VLOOKUP($T$1879,'TAR FIN'!$A$1:$O$104,15,0)),0,VLOOKUP($T$1879,'TAR FIN'!$A$1:$O$104,15,0))</f>
        <v>300.26</v>
      </c>
      <c r="X1879" s="6">
        <f>IF(ISERROR(VLOOKUP($U$1879,'TAR FIN'!$A$1:$O$104,15,0)),0,VLOOKUP($U$1879,'TAR FIN'!$A$1:$O$104,15,0))</f>
        <v>225.04</v>
      </c>
      <c r="Y1879" s="6"/>
      <c r="Z1879" s="6">
        <f ca="1">('TUSD BE'!$AM$47+'TUSD BF'!$AM$47+'TUSD CVA'!$AM$47)*(1-CUSTOS!$M$38)</f>
        <v>335.21342816228281</v>
      </c>
      <c r="AA1879" s="6">
        <f>('TE BE'!$AB$26+'TE BF'!$AB$26+'TE CVA'!$AB$26)*(1-CUSTOS!$M$38)</f>
        <v>227.92247399192311</v>
      </c>
      <c r="AB1879" s="6">
        <f>$K$1879*$V$1879</f>
        <v>0</v>
      </c>
      <c r="AC1879" s="6">
        <f>$M$1879*$W$1879</f>
        <v>91454.992360000004</v>
      </c>
      <c r="AD1879" s="6">
        <f>$O$1879*$X$1879</f>
        <v>68544.033439999999</v>
      </c>
      <c r="AE1879" s="6">
        <f>$K$1879*$Y$1879</f>
        <v>0</v>
      </c>
      <c r="AF1879" s="6">
        <f ca="1">$M$1879*$Z$1879</f>
        <v>102101.31723023708</v>
      </c>
      <c r="AG1879" s="6">
        <f>$O$1879*$AA$1879</f>
        <v>69421.994663303893</v>
      </c>
    </row>
    <row r="1880" spans="1:33" ht="11.25" customHeight="1" x14ac:dyDescent="0.25">
      <c r="A1880" s="4" t="s">
        <v>21</v>
      </c>
      <c r="B1880" s="4" t="s">
        <v>44</v>
      </c>
      <c r="C1880" s="4" t="s">
        <v>23</v>
      </c>
      <c r="D1880" s="4" t="s">
        <v>45</v>
      </c>
      <c r="E1880" s="4" t="s">
        <v>25</v>
      </c>
      <c r="F1880" s="4" t="s">
        <v>25</v>
      </c>
      <c r="G1880" s="4" t="s">
        <v>25</v>
      </c>
      <c r="H1880" s="4" t="s">
        <v>25</v>
      </c>
      <c r="I1880" s="5">
        <v>44593</v>
      </c>
      <c r="J1880" s="6">
        <v>0</v>
      </c>
      <c r="K1880" s="6">
        <v>0</v>
      </c>
      <c r="L1880" s="6">
        <v>12215.161</v>
      </c>
      <c r="M1880" s="6">
        <v>12215.161</v>
      </c>
      <c r="N1880" s="6">
        <v>12215.161</v>
      </c>
      <c r="O1880" s="6">
        <v>12215.161</v>
      </c>
      <c r="P1880" s="6">
        <v>103552</v>
      </c>
      <c r="Q1880" s="4" t="s">
        <v>26</v>
      </c>
      <c r="R1880" s="4">
        <v>0</v>
      </c>
      <c r="S1880" s="6">
        <v>0</v>
      </c>
      <c r="T1880" s="6">
        <v>27</v>
      </c>
      <c r="U1880" s="6">
        <v>85</v>
      </c>
      <c r="V1880" s="6">
        <f>IF(ISERROR(VLOOKUP($S$1880,'TAR FIN'!$A$1:$O$104,15,0)),0,VLOOKUP($S$1880,'TAR FIN'!$A$1:$O$104,15,0))</f>
        <v>0</v>
      </c>
      <c r="W1880" s="6">
        <f>IF(ISERROR(VLOOKUP($T$1880,'TAR FIN'!$A$1:$O$104,15,0)),0,VLOOKUP($T$1880,'TAR FIN'!$A$1:$O$104,15,0))</f>
        <v>300.26</v>
      </c>
      <c r="X1880" s="6">
        <f>IF(ISERROR(VLOOKUP($U$1880,'TAR FIN'!$A$1:$O$104,15,0)),0,VLOOKUP($U$1880,'TAR FIN'!$A$1:$O$104,15,0))</f>
        <v>225.04</v>
      </c>
      <c r="Y1880" s="6"/>
      <c r="Z1880" s="6">
        <f ca="1">('TUSD BE'!$AM$47+'TUSD BF'!$AM$47+'TUSD CVA'!$AM$47)*(1-CUSTOS!$M$38)</f>
        <v>335.21342816228281</v>
      </c>
      <c r="AA1880" s="6">
        <f>('TE BE'!$AB$26+'TE BF'!$AB$26+'TE CVA'!$AB$26)*(1-CUSTOS!$M$38)</f>
        <v>227.92247399192311</v>
      </c>
      <c r="AB1880" s="6">
        <f>$K$1880*$V$1880</f>
        <v>0</v>
      </c>
      <c r="AC1880" s="6">
        <f>$M$1880*$W$1880</f>
        <v>3667724.24186</v>
      </c>
      <c r="AD1880" s="6">
        <f>$O$1880*$X$1880</f>
        <v>2748899.8314399999</v>
      </c>
      <c r="AE1880" s="6">
        <f>$K$1880*$Y$1880</f>
        <v>0</v>
      </c>
      <c r="AF1880" s="6">
        <f ca="1">$M$1880*$Z$1880</f>
        <v>4094685.9943642188</v>
      </c>
      <c r="AG1880" s="6">
        <f>$O$1880*$AA$1880</f>
        <v>2784109.7153296536</v>
      </c>
    </row>
    <row r="1881" spans="1:33" ht="11.25" customHeight="1" x14ac:dyDescent="0.25">
      <c r="A1881" s="4" t="s">
        <v>27</v>
      </c>
      <c r="B1881" s="4" t="s">
        <v>44</v>
      </c>
      <c r="C1881" s="4" t="s">
        <v>23</v>
      </c>
      <c r="D1881" s="4" t="s">
        <v>45</v>
      </c>
      <c r="E1881" s="4" t="s">
        <v>25</v>
      </c>
      <c r="F1881" s="4" t="s">
        <v>25</v>
      </c>
      <c r="G1881" s="4" t="s">
        <v>25</v>
      </c>
      <c r="H1881" s="4" t="s">
        <v>25</v>
      </c>
      <c r="I1881" s="5">
        <v>44593</v>
      </c>
      <c r="J1881" s="6">
        <v>0</v>
      </c>
      <c r="K1881" s="6">
        <v>0</v>
      </c>
      <c r="L1881" s="6">
        <v>-74.933999999999997</v>
      </c>
      <c r="M1881" s="6">
        <v>-74.933999999999997</v>
      </c>
      <c r="N1881" s="6">
        <v>-74.933999999999997</v>
      </c>
      <c r="O1881" s="6">
        <v>-74.933999999999997</v>
      </c>
      <c r="P1881" s="6">
        <v>-19</v>
      </c>
      <c r="Q1881" s="4" t="s">
        <v>26</v>
      </c>
      <c r="R1881" s="4">
        <v>0</v>
      </c>
      <c r="S1881" s="6">
        <v>0</v>
      </c>
      <c r="T1881" s="6">
        <v>27</v>
      </c>
      <c r="U1881" s="6">
        <v>85</v>
      </c>
      <c r="V1881" s="6">
        <f>IF(ISERROR(VLOOKUP($S$1881,'TAR FIN'!$A$1:$O$104,15,0)),0,VLOOKUP($S$1881,'TAR FIN'!$A$1:$O$104,15,0))</f>
        <v>0</v>
      </c>
      <c r="W1881" s="6">
        <f>IF(ISERROR(VLOOKUP($T$1881,'TAR FIN'!$A$1:$O$104,15,0)),0,VLOOKUP($T$1881,'TAR FIN'!$A$1:$O$104,15,0))</f>
        <v>300.26</v>
      </c>
      <c r="X1881" s="6">
        <f>IF(ISERROR(VLOOKUP($U$1881,'TAR FIN'!$A$1:$O$104,15,0)),0,VLOOKUP($U$1881,'TAR FIN'!$A$1:$O$104,15,0))</f>
        <v>225.04</v>
      </c>
      <c r="Y1881" s="6"/>
      <c r="Z1881" s="6">
        <f ca="1">('TUSD BE'!$AM$47+'TUSD BF'!$AM$47+'TUSD CVA'!$AM$47)*(1-CUSTOS!$M$38)</f>
        <v>335.21342816228281</v>
      </c>
      <c r="AA1881" s="6">
        <f>('TE BE'!$AB$26+'TE BF'!$AB$26+'TE CVA'!$AB$26)*(1-CUSTOS!$M$38)</f>
        <v>227.92247399192311</v>
      </c>
      <c r="AB1881" s="6">
        <f>$K$1881*$V$1881</f>
        <v>0</v>
      </c>
      <c r="AC1881" s="6">
        <f>$M$1881*$W$1881</f>
        <v>-22499.682839999998</v>
      </c>
      <c r="AD1881" s="6">
        <f>$O$1881*$X$1881</f>
        <v>-16863.147359999999</v>
      </c>
      <c r="AE1881" s="6">
        <f>$K$1881*$Y$1881</f>
        <v>0</v>
      </c>
      <c r="AF1881" s="6">
        <f ca="1">$M$1881*$Z$1881</f>
        <v>-25118.883025912499</v>
      </c>
      <c r="AG1881" s="6">
        <f>$O$1881*$AA$1881</f>
        <v>-17079.142666110765</v>
      </c>
    </row>
    <row r="1882" spans="1:33" ht="11.25" customHeight="1" x14ac:dyDescent="0.25">
      <c r="A1882" s="4" t="s">
        <v>28</v>
      </c>
      <c r="B1882" s="4" t="s">
        <v>44</v>
      </c>
      <c r="C1882" s="4" t="s">
        <v>23</v>
      </c>
      <c r="D1882" s="4" t="s">
        <v>45</v>
      </c>
      <c r="E1882" s="4" t="s">
        <v>25</v>
      </c>
      <c r="F1882" s="4" t="s">
        <v>25</v>
      </c>
      <c r="G1882" s="4" t="s">
        <v>25</v>
      </c>
      <c r="H1882" s="4" t="s">
        <v>25</v>
      </c>
      <c r="I1882" s="5">
        <v>44593</v>
      </c>
      <c r="J1882" s="6">
        <v>0</v>
      </c>
      <c r="K1882" s="6">
        <v>0</v>
      </c>
      <c r="L1882" s="6">
        <v>298.65600000000001</v>
      </c>
      <c r="M1882" s="6">
        <v>298.65600000000001</v>
      </c>
      <c r="N1882" s="6">
        <v>298.65600000000001</v>
      </c>
      <c r="O1882" s="6">
        <v>298.65600000000001</v>
      </c>
      <c r="P1882" s="6">
        <v>1042</v>
      </c>
      <c r="Q1882" s="4" t="s">
        <v>26</v>
      </c>
      <c r="R1882" s="4">
        <v>0</v>
      </c>
      <c r="S1882" s="6">
        <v>0</v>
      </c>
      <c r="T1882" s="6">
        <v>27</v>
      </c>
      <c r="U1882" s="6">
        <v>85</v>
      </c>
      <c r="V1882" s="6">
        <f>IF(ISERROR(VLOOKUP($S$1882,'TAR FIN'!$A$1:$O$104,15,0)),0,VLOOKUP($S$1882,'TAR FIN'!$A$1:$O$104,15,0))</f>
        <v>0</v>
      </c>
      <c r="W1882" s="6">
        <f>IF(ISERROR(VLOOKUP($T$1882,'TAR FIN'!$A$1:$O$104,15,0)),0,VLOOKUP($T$1882,'TAR FIN'!$A$1:$O$104,15,0))</f>
        <v>300.26</v>
      </c>
      <c r="X1882" s="6">
        <f>IF(ISERROR(VLOOKUP($U$1882,'TAR FIN'!$A$1:$O$104,15,0)),0,VLOOKUP($U$1882,'TAR FIN'!$A$1:$O$104,15,0))</f>
        <v>225.04</v>
      </c>
      <c r="Y1882" s="6"/>
      <c r="Z1882" s="6">
        <f ca="1">('TUSD BE'!$AM$47+'TUSD BF'!$AM$47+'TUSD CVA'!$AM$47)*(1-CUSTOS!$M$38)</f>
        <v>335.21342816228281</v>
      </c>
      <c r="AA1882" s="6">
        <f>('TE BE'!$AB$26+'TE BF'!$AB$26+'TE CVA'!$AB$26)*(1-CUSTOS!$M$38)</f>
        <v>227.92247399192311</v>
      </c>
      <c r="AB1882" s="6">
        <f>$K$1882*$V$1882</f>
        <v>0</v>
      </c>
      <c r="AC1882" s="6">
        <f>$M$1882*$W$1882</f>
        <v>89674.450559999997</v>
      </c>
      <c r="AD1882" s="6">
        <f>$O$1882*$X$1882</f>
        <v>67209.546239999996</v>
      </c>
      <c r="AE1882" s="6">
        <f>$K$1882*$Y$1882</f>
        <v>0</v>
      </c>
      <c r="AF1882" s="6">
        <f ca="1">$M$1882*$Z$1882</f>
        <v>100113.50160123473</v>
      </c>
      <c r="AG1882" s="6">
        <f>$O$1882*$AA$1882</f>
        <v>68070.414392531791</v>
      </c>
    </row>
    <row r="1883" spans="1:33" ht="11.25" customHeight="1" x14ac:dyDescent="0.25">
      <c r="A1883" s="4" t="s">
        <v>28</v>
      </c>
      <c r="B1883" s="4" t="s">
        <v>44</v>
      </c>
      <c r="C1883" s="4" t="s">
        <v>23</v>
      </c>
      <c r="D1883" s="4" t="s">
        <v>45</v>
      </c>
      <c r="E1883" s="4" t="s">
        <v>25</v>
      </c>
      <c r="F1883" s="4" t="s">
        <v>25</v>
      </c>
      <c r="G1883" s="4" t="s">
        <v>25</v>
      </c>
      <c r="H1883" s="4" t="s">
        <v>25</v>
      </c>
      <c r="I1883" s="5">
        <v>44593</v>
      </c>
      <c r="J1883" s="6">
        <v>0</v>
      </c>
      <c r="K1883" s="6">
        <v>0</v>
      </c>
      <c r="L1883" s="6">
        <v>-2.0299999999999998</v>
      </c>
      <c r="M1883" s="6">
        <v>-2.0299999999999998</v>
      </c>
      <c r="N1883" s="6">
        <v>-2.0299999999999998</v>
      </c>
      <c r="O1883" s="6">
        <v>-2.0299999999999998</v>
      </c>
      <c r="P1883" s="6">
        <v>0</v>
      </c>
      <c r="Q1883" s="4" t="s">
        <v>26</v>
      </c>
      <c r="R1883" s="4">
        <v>0</v>
      </c>
      <c r="S1883" s="6">
        <v>0</v>
      </c>
      <c r="T1883" s="6">
        <v>27</v>
      </c>
      <c r="U1883" s="6">
        <v>85</v>
      </c>
      <c r="V1883" s="6">
        <f>IF(ISERROR(VLOOKUP($S$1883,'TAR FIN'!$A$1:$O$104,15,0)),0,VLOOKUP($S$1883,'TAR FIN'!$A$1:$O$104,15,0))</f>
        <v>0</v>
      </c>
      <c r="W1883" s="6">
        <f>IF(ISERROR(VLOOKUP($T$1883,'TAR FIN'!$A$1:$O$104,15,0)),0,VLOOKUP($T$1883,'TAR FIN'!$A$1:$O$104,15,0))</f>
        <v>300.26</v>
      </c>
      <c r="X1883" s="6">
        <f>IF(ISERROR(VLOOKUP($U$1883,'TAR FIN'!$A$1:$O$104,15,0)),0,VLOOKUP($U$1883,'TAR FIN'!$A$1:$O$104,15,0))</f>
        <v>225.04</v>
      </c>
      <c r="Y1883" s="6"/>
      <c r="Z1883" s="6">
        <f ca="1">('TUSD BE'!$AM$47+'TUSD BF'!$AM$47+'TUSD CVA'!$AM$47)*(1-CUSTOS!$M$38)</f>
        <v>335.21342816228281</v>
      </c>
      <c r="AA1883" s="6">
        <f>('TE BE'!$AB$26+'TE BF'!$AB$26+'TE CVA'!$AB$26)*(1-CUSTOS!$M$38)</f>
        <v>227.92247399192311</v>
      </c>
      <c r="AB1883" s="6">
        <f>$K$1883*$V$1883</f>
        <v>0</v>
      </c>
      <c r="AC1883" s="6">
        <f>$M$1883*$W$1883</f>
        <v>-609.52779999999996</v>
      </c>
      <c r="AD1883" s="6">
        <f>$O$1883*$X$1883</f>
        <v>-456.83119999999997</v>
      </c>
      <c r="AE1883" s="6">
        <f>$K$1883*$Y$1883</f>
        <v>0</v>
      </c>
      <c r="AF1883" s="6">
        <f ca="1">$M$1883*$Z$1883</f>
        <v>-680.48325916943406</v>
      </c>
      <c r="AG1883" s="6">
        <f>$O$1883*$AA$1883</f>
        <v>-462.6826222036039</v>
      </c>
    </row>
    <row r="1884" spans="1:33" ht="11.25" customHeight="1" x14ac:dyDescent="0.25">
      <c r="A1884" s="4" t="s">
        <v>21</v>
      </c>
      <c r="B1884" s="4" t="s">
        <v>44</v>
      </c>
      <c r="C1884" s="4" t="s">
        <v>23</v>
      </c>
      <c r="D1884" s="4" t="s">
        <v>45</v>
      </c>
      <c r="E1884" s="4" t="s">
        <v>25</v>
      </c>
      <c r="F1884" s="4" t="s">
        <v>25</v>
      </c>
      <c r="G1884" s="4" t="s">
        <v>25</v>
      </c>
      <c r="H1884" s="4" t="s">
        <v>25</v>
      </c>
      <c r="I1884" s="5">
        <v>44621</v>
      </c>
      <c r="J1884" s="6">
        <v>0</v>
      </c>
      <c r="K1884" s="6">
        <v>0</v>
      </c>
      <c r="L1884" s="6">
        <v>13579.308000000001</v>
      </c>
      <c r="M1884" s="6">
        <v>13579.308000000001</v>
      </c>
      <c r="N1884" s="6">
        <v>13579.308000000001</v>
      </c>
      <c r="O1884" s="6">
        <v>13579.308000000001</v>
      </c>
      <c r="P1884" s="6">
        <v>103285</v>
      </c>
      <c r="Q1884" s="4" t="s">
        <v>26</v>
      </c>
      <c r="R1884" s="4">
        <v>0</v>
      </c>
      <c r="S1884" s="6">
        <v>0</v>
      </c>
      <c r="T1884" s="6">
        <v>27</v>
      </c>
      <c r="U1884" s="6">
        <v>85</v>
      </c>
      <c r="V1884" s="6">
        <f>IF(ISERROR(VLOOKUP($S$1884,'TAR FIN'!$A$1:$O$104,15,0)),0,VLOOKUP($S$1884,'TAR FIN'!$A$1:$O$104,15,0))</f>
        <v>0</v>
      </c>
      <c r="W1884" s="6">
        <f>IF(ISERROR(VLOOKUP($T$1884,'TAR FIN'!$A$1:$O$104,15,0)),0,VLOOKUP($T$1884,'TAR FIN'!$A$1:$O$104,15,0))</f>
        <v>300.26</v>
      </c>
      <c r="X1884" s="6">
        <f>IF(ISERROR(VLOOKUP($U$1884,'TAR FIN'!$A$1:$O$104,15,0)),0,VLOOKUP($U$1884,'TAR FIN'!$A$1:$O$104,15,0))</f>
        <v>225.04</v>
      </c>
      <c r="Y1884" s="6"/>
      <c r="Z1884" s="6">
        <f ca="1">('TUSD BE'!$AM$47+'TUSD BF'!$AM$47+'TUSD CVA'!$AM$47)*(1-CUSTOS!$M$38)</f>
        <v>335.21342816228281</v>
      </c>
      <c r="AA1884" s="6">
        <f>('TE BE'!$AB$26+'TE BF'!$AB$26+'TE CVA'!$AB$26)*(1-CUSTOS!$M$38)</f>
        <v>227.92247399192311</v>
      </c>
      <c r="AB1884" s="6">
        <f>$K$1884*$V$1884</f>
        <v>0</v>
      </c>
      <c r="AC1884" s="6">
        <f>$M$1884*$W$1884</f>
        <v>4077323.0200800002</v>
      </c>
      <c r="AD1884" s="6">
        <f>$O$1884*$X$1884</f>
        <v>3055887.4723200002</v>
      </c>
      <c r="AE1884" s="6">
        <f>$K$1884*$Y$1884</f>
        <v>0</v>
      </c>
      <c r="AF1884" s="6">
        <f ca="1">$M$1884*$Z$1884</f>
        <v>4551966.386751513</v>
      </c>
      <c r="AG1884" s="6">
        <f>$O$1884*$AA$1884</f>
        <v>3095029.4744583135</v>
      </c>
    </row>
    <row r="1885" spans="1:33" ht="11.25" customHeight="1" x14ac:dyDescent="0.25">
      <c r="A1885" s="4" t="s">
        <v>27</v>
      </c>
      <c r="B1885" s="4" t="s">
        <v>44</v>
      </c>
      <c r="C1885" s="4" t="s">
        <v>23</v>
      </c>
      <c r="D1885" s="4" t="s">
        <v>45</v>
      </c>
      <c r="E1885" s="4" t="s">
        <v>25</v>
      </c>
      <c r="F1885" s="4" t="s">
        <v>25</v>
      </c>
      <c r="G1885" s="4" t="s">
        <v>25</v>
      </c>
      <c r="H1885" s="4" t="s">
        <v>25</v>
      </c>
      <c r="I1885" s="5">
        <v>44621</v>
      </c>
      <c r="J1885" s="6">
        <v>0</v>
      </c>
      <c r="K1885" s="6">
        <v>0</v>
      </c>
      <c r="L1885" s="6">
        <v>-79.305999999999997</v>
      </c>
      <c r="M1885" s="6">
        <v>-79.305999999999997</v>
      </c>
      <c r="N1885" s="6">
        <v>-79.305999999999997</v>
      </c>
      <c r="O1885" s="6">
        <v>-79.305999999999997</v>
      </c>
      <c r="P1885" s="6">
        <v>-26</v>
      </c>
      <c r="Q1885" s="4" t="s">
        <v>26</v>
      </c>
      <c r="R1885" s="4">
        <v>0</v>
      </c>
      <c r="S1885" s="6">
        <v>0</v>
      </c>
      <c r="T1885" s="6">
        <v>27</v>
      </c>
      <c r="U1885" s="6">
        <v>85</v>
      </c>
      <c r="V1885" s="6">
        <f>IF(ISERROR(VLOOKUP($S$1885,'TAR FIN'!$A$1:$O$104,15,0)),0,VLOOKUP($S$1885,'TAR FIN'!$A$1:$O$104,15,0))</f>
        <v>0</v>
      </c>
      <c r="W1885" s="6">
        <f>IF(ISERROR(VLOOKUP($T$1885,'TAR FIN'!$A$1:$O$104,15,0)),0,VLOOKUP($T$1885,'TAR FIN'!$A$1:$O$104,15,0))</f>
        <v>300.26</v>
      </c>
      <c r="X1885" s="6">
        <f>IF(ISERROR(VLOOKUP($U$1885,'TAR FIN'!$A$1:$O$104,15,0)),0,VLOOKUP($U$1885,'TAR FIN'!$A$1:$O$104,15,0))</f>
        <v>225.04</v>
      </c>
      <c r="Y1885" s="6"/>
      <c r="Z1885" s="6">
        <f ca="1">('TUSD BE'!$AM$47+'TUSD BF'!$AM$47+'TUSD CVA'!$AM$47)*(1-CUSTOS!$M$38)</f>
        <v>335.21342816228281</v>
      </c>
      <c r="AA1885" s="6">
        <f>('TE BE'!$AB$26+'TE BF'!$AB$26+'TE CVA'!$AB$26)*(1-CUSTOS!$M$38)</f>
        <v>227.92247399192311</v>
      </c>
      <c r="AB1885" s="6">
        <f>$K$1885*$V$1885</f>
        <v>0</v>
      </c>
      <c r="AC1885" s="6">
        <f>$M$1885*$W$1885</f>
        <v>-23812.419559999998</v>
      </c>
      <c r="AD1885" s="6">
        <f>$O$1885*$X$1885</f>
        <v>-17847.022239999998</v>
      </c>
      <c r="AE1885" s="6">
        <f>$K$1885*$Y$1885</f>
        <v>0</v>
      </c>
      <c r="AF1885" s="6">
        <f ca="1">$M$1885*$Z$1885</f>
        <v>-26584.436133838</v>
      </c>
      <c r="AG1885" s="6">
        <f>$O$1885*$AA$1885</f>
        <v>-18075.619722403455</v>
      </c>
    </row>
    <row r="1886" spans="1:33" ht="11.25" customHeight="1" x14ac:dyDescent="0.25">
      <c r="A1886" s="4" t="s">
        <v>28</v>
      </c>
      <c r="B1886" s="4" t="s">
        <v>44</v>
      </c>
      <c r="C1886" s="4" t="s">
        <v>23</v>
      </c>
      <c r="D1886" s="4" t="s">
        <v>45</v>
      </c>
      <c r="E1886" s="4" t="s">
        <v>25</v>
      </c>
      <c r="F1886" s="4" t="s">
        <v>25</v>
      </c>
      <c r="G1886" s="4" t="s">
        <v>25</v>
      </c>
      <c r="H1886" s="4" t="s">
        <v>25</v>
      </c>
      <c r="I1886" s="5">
        <v>44621</v>
      </c>
      <c r="J1886" s="6">
        <v>0</v>
      </c>
      <c r="K1886" s="6">
        <v>0</v>
      </c>
      <c r="L1886" s="6">
        <v>279.35199999999998</v>
      </c>
      <c r="M1886" s="6">
        <v>279.35199999999998</v>
      </c>
      <c r="N1886" s="6">
        <v>279.35199999999998</v>
      </c>
      <c r="O1886" s="6">
        <v>279.35199999999998</v>
      </c>
      <c r="P1886" s="6">
        <v>1095</v>
      </c>
      <c r="Q1886" s="4" t="s">
        <v>26</v>
      </c>
      <c r="R1886" s="4">
        <v>0</v>
      </c>
      <c r="S1886" s="6">
        <v>0</v>
      </c>
      <c r="T1886" s="6">
        <v>27</v>
      </c>
      <c r="U1886" s="6">
        <v>85</v>
      </c>
      <c r="V1886" s="6">
        <f>IF(ISERROR(VLOOKUP($S$1886,'TAR FIN'!$A$1:$O$104,15,0)),0,VLOOKUP($S$1886,'TAR FIN'!$A$1:$O$104,15,0))</f>
        <v>0</v>
      </c>
      <c r="W1886" s="6">
        <f>IF(ISERROR(VLOOKUP($T$1886,'TAR FIN'!$A$1:$O$104,15,0)),0,VLOOKUP($T$1886,'TAR FIN'!$A$1:$O$104,15,0))</f>
        <v>300.26</v>
      </c>
      <c r="X1886" s="6">
        <f>IF(ISERROR(VLOOKUP($U$1886,'TAR FIN'!$A$1:$O$104,15,0)),0,VLOOKUP($U$1886,'TAR FIN'!$A$1:$O$104,15,0))</f>
        <v>225.04</v>
      </c>
      <c r="Y1886" s="6"/>
      <c r="Z1886" s="6">
        <f ca="1">('TUSD BE'!$AM$47+'TUSD BF'!$AM$47+'TUSD CVA'!$AM$47)*(1-CUSTOS!$M$38)</f>
        <v>335.21342816228281</v>
      </c>
      <c r="AA1886" s="6">
        <f>('TE BE'!$AB$26+'TE BF'!$AB$26+'TE CVA'!$AB$26)*(1-CUSTOS!$M$38)</f>
        <v>227.92247399192311</v>
      </c>
      <c r="AB1886" s="6">
        <f>$K$1886*$V$1886</f>
        <v>0</v>
      </c>
      <c r="AC1886" s="6">
        <f>$M$1886*$W$1886</f>
        <v>83878.231519999987</v>
      </c>
      <c r="AD1886" s="6">
        <f>$O$1886*$X$1886</f>
        <v>62865.374079999994</v>
      </c>
      <c r="AE1886" s="6">
        <f>$K$1886*$Y$1886</f>
        <v>0</v>
      </c>
      <c r="AF1886" s="6">
        <f ca="1">$M$1886*$Z$1886</f>
        <v>93642.541583990023</v>
      </c>
      <c r="AG1886" s="6">
        <f>$O$1886*$AA$1886</f>
        <v>63670.598954591696</v>
      </c>
    </row>
    <row r="1887" spans="1:33" ht="11.25" customHeight="1" x14ac:dyDescent="0.25">
      <c r="A1887" s="4" t="s">
        <v>28</v>
      </c>
      <c r="B1887" s="4" t="s">
        <v>44</v>
      </c>
      <c r="C1887" s="4" t="s">
        <v>23</v>
      </c>
      <c r="D1887" s="4" t="s">
        <v>45</v>
      </c>
      <c r="E1887" s="4" t="s">
        <v>25</v>
      </c>
      <c r="F1887" s="4" t="s">
        <v>25</v>
      </c>
      <c r="G1887" s="4" t="s">
        <v>25</v>
      </c>
      <c r="H1887" s="4" t="s">
        <v>25</v>
      </c>
      <c r="I1887" s="5">
        <v>44621</v>
      </c>
      <c r="J1887" s="6">
        <v>0</v>
      </c>
      <c r="K1887" s="6">
        <v>0</v>
      </c>
      <c r="L1887" s="6">
        <v>-0.03</v>
      </c>
      <c r="M1887" s="6">
        <v>-0.03</v>
      </c>
      <c r="N1887" s="6">
        <v>-0.03</v>
      </c>
      <c r="O1887" s="6">
        <v>-0.03</v>
      </c>
      <c r="P1887" s="6">
        <v>-1</v>
      </c>
      <c r="Q1887" s="4" t="s">
        <v>26</v>
      </c>
      <c r="R1887" s="4">
        <v>0</v>
      </c>
      <c r="S1887" s="6">
        <v>0</v>
      </c>
      <c r="T1887" s="6">
        <v>27</v>
      </c>
      <c r="U1887" s="6">
        <v>85</v>
      </c>
      <c r="V1887" s="6">
        <f>IF(ISERROR(VLOOKUP($S$1887,'TAR FIN'!$A$1:$O$104,15,0)),0,VLOOKUP($S$1887,'TAR FIN'!$A$1:$O$104,15,0))</f>
        <v>0</v>
      </c>
      <c r="W1887" s="6">
        <f>IF(ISERROR(VLOOKUP($T$1887,'TAR FIN'!$A$1:$O$104,15,0)),0,VLOOKUP($T$1887,'TAR FIN'!$A$1:$O$104,15,0))</f>
        <v>300.26</v>
      </c>
      <c r="X1887" s="6">
        <f>IF(ISERROR(VLOOKUP($U$1887,'TAR FIN'!$A$1:$O$104,15,0)),0,VLOOKUP($U$1887,'TAR FIN'!$A$1:$O$104,15,0))</f>
        <v>225.04</v>
      </c>
      <c r="Y1887" s="6"/>
      <c r="Z1887" s="6">
        <f ca="1">('TUSD BE'!$AM$47+'TUSD BF'!$AM$47+'TUSD CVA'!$AM$47)*(1-CUSTOS!$M$38)</f>
        <v>335.21342816228281</v>
      </c>
      <c r="AA1887" s="6">
        <f>('TE BE'!$AB$26+'TE BF'!$AB$26+'TE CVA'!$AB$26)*(1-CUSTOS!$M$38)</f>
        <v>227.92247399192311</v>
      </c>
      <c r="AB1887" s="6">
        <f>$K$1887*$V$1887</f>
        <v>0</v>
      </c>
      <c r="AC1887" s="6">
        <f>$M$1887*$W$1887</f>
        <v>-9.0077999999999996</v>
      </c>
      <c r="AD1887" s="6">
        <f>$O$1887*$X$1887</f>
        <v>-6.7511999999999999</v>
      </c>
      <c r="AE1887" s="6">
        <f>$K$1887*$Y$1887</f>
        <v>0</v>
      </c>
      <c r="AF1887" s="6">
        <f ca="1">$M$1887*$Z$1887</f>
        <v>-10.056402844868485</v>
      </c>
      <c r="AG1887" s="6">
        <f>$O$1887*$AA$1887</f>
        <v>-6.8376742197576927</v>
      </c>
    </row>
    <row r="1888" spans="1:33" ht="11.25" customHeight="1" x14ac:dyDescent="0.25">
      <c r="A1888" s="4" t="s">
        <v>21</v>
      </c>
      <c r="B1888" s="4" t="s">
        <v>44</v>
      </c>
      <c r="C1888" s="4" t="s">
        <v>23</v>
      </c>
      <c r="D1888" s="4" t="s">
        <v>45</v>
      </c>
      <c r="E1888" s="4" t="s">
        <v>25</v>
      </c>
      <c r="F1888" s="4" t="s">
        <v>25</v>
      </c>
      <c r="G1888" s="4" t="s">
        <v>25</v>
      </c>
      <c r="H1888" s="4" t="s">
        <v>25</v>
      </c>
      <c r="I1888" s="5">
        <v>44652</v>
      </c>
      <c r="J1888" s="6">
        <v>0</v>
      </c>
      <c r="K1888" s="6">
        <v>0</v>
      </c>
      <c r="L1888" s="6">
        <v>12470.677</v>
      </c>
      <c r="M1888" s="6">
        <v>12470.677</v>
      </c>
      <c r="N1888" s="6">
        <v>12470.677</v>
      </c>
      <c r="O1888" s="6">
        <v>12470.677</v>
      </c>
      <c r="P1888" s="6">
        <v>102945</v>
      </c>
      <c r="Q1888" s="4" t="s">
        <v>26</v>
      </c>
      <c r="R1888" s="4">
        <v>0</v>
      </c>
      <c r="S1888" s="6">
        <v>0</v>
      </c>
      <c r="T1888" s="6">
        <v>27</v>
      </c>
      <c r="U1888" s="6">
        <v>85</v>
      </c>
      <c r="V1888" s="6">
        <f>IF(ISERROR(VLOOKUP($S$1888,'TAR FIN'!$A$1:$O$104,15,0)),0,VLOOKUP($S$1888,'TAR FIN'!$A$1:$O$104,15,0))</f>
        <v>0</v>
      </c>
      <c r="W1888" s="6">
        <f>IF(ISERROR(VLOOKUP($T$1888,'TAR FIN'!$A$1:$O$104,15,0)),0,VLOOKUP($T$1888,'TAR FIN'!$A$1:$O$104,15,0))</f>
        <v>300.26</v>
      </c>
      <c r="X1888" s="6">
        <f>IF(ISERROR(VLOOKUP($U$1888,'TAR FIN'!$A$1:$O$104,15,0)),0,VLOOKUP($U$1888,'TAR FIN'!$A$1:$O$104,15,0))</f>
        <v>225.04</v>
      </c>
      <c r="Y1888" s="6"/>
      <c r="Z1888" s="6">
        <f ca="1">('TUSD BE'!$AM$47+'TUSD BF'!$AM$47+'TUSD CVA'!$AM$47)*(1-CUSTOS!$M$38)</f>
        <v>335.21342816228281</v>
      </c>
      <c r="AA1888" s="6">
        <f>('TE BE'!$AB$26+'TE BF'!$AB$26+'TE CVA'!$AB$26)*(1-CUSTOS!$M$38)</f>
        <v>227.92247399192311</v>
      </c>
      <c r="AB1888" s="6">
        <f>$K$1888*$V$1888</f>
        <v>0</v>
      </c>
      <c r="AC1888" s="6">
        <f>$M$1888*$W$1888</f>
        <v>3744445.4760199999</v>
      </c>
      <c r="AD1888" s="6">
        <f>$O$1888*$X$1888</f>
        <v>2806401.1520799999</v>
      </c>
      <c r="AE1888" s="6">
        <f>$K$1888*$Y$1888</f>
        <v>0</v>
      </c>
      <c r="AF1888" s="6">
        <f ca="1">$M$1888*$Z$1888</f>
        <v>4180338.3886745325</v>
      </c>
      <c r="AG1888" s="6">
        <f>$O$1888*$AA$1888</f>
        <v>2842347.5541941738</v>
      </c>
    </row>
    <row r="1889" spans="1:33" ht="11.25" customHeight="1" x14ac:dyDescent="0.25">
      <c r="A1889" s="4" t="s">
        <v>27</v>
      </c>
      <c r="B1889" s="4" t="s">
        <v>44</v>
      </c>
      <c r="C1889" s="4" t="s">
        <v>23</v>
      </c>
      <c r="D1889" s="4" t="s">
        <v>45</v>
      </c>
      <c r="E1889" s="4" t="s">
        <v>25</v>
      </c>
      <c r="F1889" s="4" t="s">
        <v>25</v>
      </c>
      <c r="G1889" s="4" t="s">
        <v>25</v>
      </c>
      <c r="H1889" s="4" t="s">
        <v>25</v>
      </c>
      <c r="I1889" s="5">
        <v>44652</v>
      </c>
      <c r="J1889" s="6">
        <v>0</v>
      </c>
      <c r="K1889" s="6">
        <v>0</v>
      </c>
      <c r="L1889" s="6">
        <v>-48.29</v>
      </c>
      <c r="M1889" s="6">
        <v>-48.29</v>
      </c>
      <c r="N1889" s="6">
        <v>-48.29</v>
      </c>
      <c r="O1889" s="6">
        <v>-48.29</v>
      </c>
      <c r="P1889" s="6">
        <v>-13</v>
      </c>
      <c r="Q1889" s="4" t="s">
        <v>26</v>
      </c>
      <c r="R1889" s="4">
        <v>0</v>
      </c>
      <c r="S1889" s="6">
        <v>0</v>
      </c>
      <c r="T1889" s="6">
        <v>27</v>
      </c>
      <c r="U1889" s="6">
        <v>85</v>
      </c>
      <c r="V1889" s="6">
        <f>IF(ISERROR(VLOOKUP($S$1889,'TAR FIN'!$A$1:$O$104,15,0)),0,VLOOKUP($S$1889,'TAR FIN'!$A$1:$O$104,15,0))</f>
        <v>0</v>
      </c>
      <c r="W1889" s="6">
        <f>IF(ISERROR(VLOOKUP($T$1889,'TAR FIN'!$A$1:$O$104,15,0)),0,VLOOKUP($T$1889,'TAR FIN'!$A$1:$O$104,15,0))</f>
        <v>300.26</v>
      </c>
      <c r="X1889" s="6">
        <f>IF(ISERROR(VLOOKUP($U$1889,'TAR FIN'!$A$1:$O$104,15,0)),0,VLOOKUP($U$1889,'TAR FIN'!$A$1:$O$104,15,0))</f>
        <v>225.04</v>
      </c>
      <c r="Y1889" s="6"/>
      <c r="Z1889" s="6">
        <f ca="1">('TUSD BE'!$AM$47+'TUSD BF'!$AM$47+'TUSD CVA'!$AM$47)*(1-CUSTOS!$M$38)</f>
        <v>335.21342816228281</v>
      </c>
      <c r="AA1889" s="6">
        <f>('TE BE'!$AB$26+'TE BF'!$AB$26+'TE CVA'!$AB$26)*(1-CUSTOS!$M$38)</f>
        <v>227.92247399192311</v>
      </c>
      <c r="AB1889" s="6">
        <f>$K$1889*$V$1889</f>
        <v>0</v>
      </c>
      <c r="AC1889" s="6">
        <f>$M$1889*$W$1889</f>
        <v>-14499.555399999999</v>
      </c>
      <c r="AD1889" s="6">
        <f>$O$1889*$X$1889</f>
        <v>-10867.1816</v>
      </c>
      <c r="AE1889" s="6">
        <f>$K$1889*$Y$1889</f>
        <v>0</v>
      </c>
      <c r="AF1889" s="6">
        <f ca="1">$M$1889*$Z$1889</f>
        <v>-16187.456445956637</v>
      </c>
      <c r="AG1889" s="6">
        <f>$O$1889*$AA$1889</f>
        <v>-11006.376269069968</v>
      </c>
    </row>
    <row r="1890" spans="1:33" ht="11.25" customHeight="1" x14ac:dyDescent="0.25">
      <c r="A1890" s="4" t="s">
        <v>28</v>
      </c>
      <c r="B1890" s="4" t="s">
        <v>44</v>
      </c>
      <c r="C1890" s="4" t="s">
        <v>23</v>
      </c>
      <c r="D1890" s="4" t="s">
        <v>45</v>
      </c>
      <c r="E1890" s="4" t="s">
        <v>25</v>
      </c>
      <c r="F1890" s="4" t="s">
        <v>25</v>
      </c>
      <c r="G1890" s="4" t="s">
        <v>25</v>
      </c>
      <c r="H1890" s="4" t="s">
        <v>25</v>
      </c>
      <c r="I1890" s="5">
        <v>44652</v>
      </c>
      <c r="J1890" s="6">
        <v>0</v>
      </c>
      <c r="K1890" s="6">
        <v>0</v>
      </c>
      <c r="L1890" s="6">
        <v>384.02499999999998</v>
      </c>
      <c r="M1890" s="6">
        <v>384.02499999999998</v>
      </c>
      <c r="N1890" s="6">
        <v>384.02499999999998</v>
      </c>
      <c r="O1890" s="6">
        <v>384.02499999999998</v>
      </c>
      <c r="P1890" s="6">
        <v>1136</v>
      </c>
      <c r="Q1890" s="4" t="s">
        <v>26</v>
      </c>
      <c r="R1890" s="4">
        <v>0</v>
      </c>
      <c r="S1890" s="6">
        <v>0</v>
      </c>
      <c r="T1890" s="6">
        <v>27</v>
      </c>
      <c r="U1890" s="6">
        <v>85</v>
      </c>
      <c r="V1890" s="6">
        <f>IF(ISERROR(VLOOKUP($S$1890,'TAR FIN'!$A$1:$O$104,15,0)),0,VLOOKUP($S$1890,'TAR FIN'!$A$1:$O$104,15,0))</f>
        <v>0</v>
      </c>
      <c r="W1890" s="6">
        <f>IF(ISERROR(VLOOKUP($T$1890,'TAR FIN'!$A$1:$O$104,15,0)),0,VLOOKUP($T$1890,'TAR FIN'!$A$1:$O$104,15,0))</f>
        <v>300.26</v>
      </c>
      <c r="X1890" s="6">
        <f>IF(ISERROR(VLOOKUP($U$1890,'TAR FIN'!$A$1:$O$104,15,0)),0,VLOOKUP($U$1890,'TAR FIN'!$A$1:$O$104,15,0))</f>
        <v>225.04</v>
      </c>
      <c r="Y1890" s="6"/>
      <c r="Z1890" s="6">
        <f ca="1">('TUSD BE'!$AM$47+'TUSD BF'!$AM$47+'TUSD CVA'!$AM$47)*(1-CUSTOS!$M$38)</f>
        <v>335.21342816228281</v>
      </c>
      <c r="AA1890" s="6">
        <f>('TE BE'!$AB$26+'TE BF'!$AB$26+'TE CVA'!$AB$26)*(1-CUSTOS!$M$38)</f>
        <v>227.92247399192311</v>
      </c>
      <c r="AB1890" s="6">
        <f>$K$1890*$V$1890</f>
        <v>0</v>
      </c>
      <c r="AC1890" s="6">
        <f>$M$1890*$W$1890</f>
        <v>115307.34649999999</v>
      </c>
      <c r="AD1890" s="6">
        <f>$O$1890*$X$1890</f>
        <v>86420.98599999999</v>
      </c>
      <c r="AE1890" s="6">
        <f>$K$1890*$Y$1890</f>
        <v>0</v>
      </c>
      <c r="AF1890" s="6">
        <f ca="1">$M$1890*$Z$1890</f>
        <v>128730.33675002065</v>
      </c>
      <c r="AG1890" s="6">
        <f>$O$1890*$AA$1890</f>
        <v>87527.92807474827</v>
      </c>
    </row>
    <row r="1891" spans="1:33" ht="11.25" customHeight="1" x14ac:dyDescent="0.25">
      <c r="A1891" s="4" t="s">
        <v>28</v>
      </c>
      <c r="B1891" s="4" t="s">
        <v>44</v>
      </c>
      <c r="C1891" s="4" t="s">
        <v>23</v>
      </c>
      <c r="D1891" s="4" t="s">
        <v>45</v>
      </c>
      <c r="E1891" s="4" t="s">
        <v>25</v>
      </c>
      <c r="F1891" s="4" t="s">
        <v>25</v>
      </c>
      <c r="G1891" s="4" t="s">
        <v>25</v>
      </c>
      <c r="H1891" s="4" t="s">
        <v>25</v>
      </c>
      <c r="I1891" s="5">
        <v>44652</v>
      </c>
      <c r="J1891" s="6">
        <v>0</v>
      </c>
      <c r="K1891" s="6">
        <v>0</v>
      </c>
      <c r="L1891" s="6">
        <v>1.2589999999999999</v>
      </c>
      <c r="M1891" s="6">
        <v>1.2589999999999999</v>
      </c>
      <c r="N1891" s="6">
        <v>1.2589999999999999</v>
      </c>
      <c r="O1891" s="6">
        <v>1.2589999999999999</v>
      </c>
      <c r="P1891" s="6">
        <v>0</v>
      </c>
      <c r="Q1891" s="4" t="s">
        <v>26</v>
      </c>
      <c r="R1891" s="4">
        <v>0</v>
      </c>
      <c r="S1891" s="6">
        <v>0</v>
      </c>
      <c r="T1891" s="6">
        <v>27</v>
      </c>
      <c r="U1891" s="6">
        <v>85</v>
      </c>
      <c r="V1891" s="6">
        <f>IF(ISERROR(VLOOKUP($S$1891,'TAR FIN'!$A$1:$O$104,15,0)),0,VLOOKUP($S$1891,'TAR FIN'!$A$1:$O$104,15,0))</f>
        <v>0</v>
      </c>
      <c r="W1891" s="6">
        <f>IF(ISERROR(VLOOKUP($T$1891,'TAR FIN'!$A$1:$O$104,15,0)),0,VLOOKUP($T$1891,'TAR FIN'!$A$1:$O$104,15,0))</f>
        <v>300.26</v>
      </c>
      <c r="X1891" s="6">
        <f>IF(ISERROR(VLOOKUP($U$1891,'TAR FIN'!$A$1:$O$104,15,0)),0,VLOOKUP($U$1891,'TAR FIN'!$A$1:$O$104,15,0))</f>
        <v>225.04</v>
      </c>
      <c r="Y1891" s="6"/>
      <c r="Z1891" s="6">
        <f ca="1">('TUSD BE'!$AM$47+'TUSD BF'!$AM$47+'TUSD CVA'!$AM$47)*(1-CUSTOS!$M$38)</f>
        <v>335.21342816228281</v>
      </c>
      <c r="AA1891" s="6">
        <f>('TE BE'!$AB$26+'TE BF'!$AB$26+'TE CVA'!$AB$26)*(1-CUSTOS!$M$38)</f>
        <v>227.92247399192311</v>
      </c>
      <c r="AB1891" s="6">
        <f>$K$1891*$V$1891</f>
        <v>0</v>
      </c>
      <c r="AC1891" s="6">
        <f>$M$1891*$W$1891</f>
        <v>378.02733999999998</v>
      </c>
      <c r="AD1891" s="6">
        <f>$O$1891*$X$1891</f>
        <v>283.32535999999999</v>
      </c>
      <c r="AE1891" s="6">
        <f>$K$1891*$Y$1891</f>
        <v>0</v>
      </c>
      <c r="AF1891" s="6">
        <f ca="1">$M$1891*$Z$1891</f>
        <v>422.03370605631403</v>
      </c>
      <c r="AG1891" s="6">
        <f>$O$1891*$AA$1891</f>
        <v>286.95439475583117</v>
      </c>
    </row>
    <row r="1892" spans="1:33" ht="11.25" customHeight="1" x14ac:dyDescent="0.25">
      <c r="A1892" s="4" t="s">
        <v>21</v>
      </c>
      <c r="B1892" s="4" t="s">
        <v>44</v>
      </c>
      <c r="C1892" s="4" t="s">
        <v>23</v>
      </c>
      <c r="D1892" s="4" t="s">
        <v>45</v>
      </c>
      <c r="E1892" s="4" t="s">
        <v>25</v>
      </c>
      <c r="F1892" s="4" t="s">
        <v>25</v>
      </c>
      <c r="G1892" s="4" t="s">
        <v>25</v>
      </c>
      <c r="H1892" s="4" t="s">
        <v>25</v>
      </c>
      <c r="I1892" s="5">
        <v>44682</v>
      </c>
      <c r="J1892" s="6">
        <v>0</v>
      </c>
      <c r="K1892" s="6">
        <v>0</v>
      </c>
      <c r="L1892" s="6">
        <v>12586.26</v>
      </c>
      <c r="M1892" s="6">
        <v>12586.26</v>
      </c>
      <c r="N1892" s="6">
        <v>12586.26</v>
      </c>
      <c r="O1892" s="6">
        <v>12586.26</v>
      </c>
      <c r="P1892" s="6">
        <v>102712</v>
      </c>
      <c r="Q1892" s="4" t="s">
        <v>26</v>
      </c>
      <c r="R1892" s="4">
        <v>0</v>
      </c>
      <c r="S1892" s="6">
        <v>0</v>
      </c>
      <c r="T1892" s="6">
        <v>27</v>
      </c>
      <c r="U1892" s="6">
        <v>85</v>
      </c>
      <c r="V1892" s="6">
        <f>IF(ISERROR(VLOOKUP($S$1892,'TAR FIN'!$A$1:$O$104,15,0)),0,VLOOKUP($S$1892,'TAR FIN'!$A$1:$O$104,15,0))</f>
        <v>0</v>
      </c>
      <c r="W1892" s="6">
        <f>IF(ISERROR(VLOOKUP($T$1892,'TAR FIN'!$A$1:$O$104,15,0)),0,VLOOKUP($T$1892,'TAR FIN'!$A$1:$O$104,15,0))</f>
        <v>300.26</v>
      </c>
      <c r="X1892" s="6">
        <f>IF(ISERROR(VLOOKUP($U$1892,'TAR FIN'!$A$1:$O$104,15,0)),0,VLOOKUP($U$1892,'TAR FIN'!$A$1:$O$104,15,0))</f>
        <v>225.04</v>
      </c>
      <c r="Y1892" s="6"/>
      <c r="Z1892" s="6">
        <f ca="1">('TUSD BE'!$AM$47+'TUSD BF'!$AM$47+'TUSD CVA'!$AM$47)*(1-CUSTOS!$M$38)</f>
        <v>335.21342816228281</v>
      </c>
      <c r="AA1892" s="6">
        <f>('TE BE'!$AB$26+'TE BF'!$AB$26+'TE CVA'!$AB$26)*(1-CUSTOS!$M$38)</f>
        <v>227.92247399192311</v>
      </c>
      <c r="AB1892" s="6">
        <f>$K$1892*$V$1892</f>
        <v>0</v>
      </c>
      <c r="AC1892" s="6">
        <f>$M$1892*$W$1892</f>
        <v>3779150.4276000001</v>
      </c>
      <c r="AD1892" s="6">
        <f>$O$1892*$X$1892</f>
        <v>2832411.9504</v>
      </c>
      <c r="AE1892" s="6">
        <f>$K$1892*$Y$1892</f>
        <v>0</v>
      </c>
      <c r="AF1892" s="6">
        <f ca="1">$M$1892*$Z$1892</f>
        <v>4219083.3623418137</v>
      </c>
      <c r="AG1892" s="6">
        <f>$O$1892*$AA$1892</f>
        <v>2868691.5175055824</v>
      </c>
    </row>
    <row r="1893" spans="1:33" ht="11.25" customHeight="1" x14ac:dyDescent="0.25">
      <c r="A1893" s="4" t="s">
        <v>27</v>
      </c>
      <c r="B1893" s="4" t="s">
        <v>44</v>
      </c>
      <c r="C1893" s="4" t="s">
        <v>23</v>
      </c>
      <c r="D1893" s="4" t="s">
        <v>45</v>
      </c>
      <c r="E1893" s="4" t="s">
        <v>25</v>
      </c>
      <c r="F1893" s="4" t="s">
        <v>25</v>
      </c>
      <c r="G1893" s="4" t="s">
        <v>25</v>
      </c>
      <c r="H1893" s="4" t="s">
        <v>25</v>
      </c>
      <c r="I1893" s="5">
        <v>44682</v>
      </c>
      <c r="J1893" s="6">
        <v>0</v>
      </c>
      <c r="K1893" s="6">
        <v>0</v>
      </c>
      <c r="L1893" s="6">
        <v>-86.680999999999997</v>
      </c>
      <c r="M1893" s="6">
        <v>-86.680999999999997</v>
      </c>
      <c r="N1893" s="6">
        <v>-86.680999999999997</v>
      </c>
      <c r="O1893" s="6">
        <v>-86.680999999999997</v>
      </c>
      <c r="P1893" s="6">
        <v>-16</v>
      </c>
      <c r="Q1893" s="4" t="s">
        <v>26</v>
      </c>
      <c r="R1893" s="4">
        <v>0</v>
      </c>
      <c r="S1893" s="6">
        <v>0</v>
      </c>
      <c r="T1893" s="6">
        <v>27</v>
      </c>
      <c r="U1893" s="6">
        <v>85</v>
      </c>
      <c r="V1893" s="6">
        <f>IF(ISERROR(VLOOKUP($S$1893,'TAR FIN'!$A$1:$O$104,15,0)),0,VLOOKUP($S$1893,'TAR FIN'!$A$1:$O$104,15,0))</f>
        <v>0</v>
      </c>
      <c r="W1893" s="6">
        <f>IF(ISERROR(VLOOKUP($T$1893,'TAR FIN'!$A$1:$O$104,15,0)),0,VLOOKUP($T$1893,'TAR FIN'!$A$1:$O$104,15,0))</f>
        <v>300.26</v>
      </c>
      <c r="X1893" s="6">
        <f>IF(ISERROR(VLOOKUP($U$1893,'TAR FIN'!$A$1:$O$104,15,0)),0,VLOOKUP($U$1893,'TAR FIN'!$A$1:$O$104,15,0))</f>
        <v>225.04</v>
      </c>
      <c r="Y1893" s="6"/>
      <c r="Z1893" s="6">
        <f ca="1">('TUSD BE'!$AM$47+'TUSD BF'!$AM$47+'TUSD CVA'!$AM$47)*(1-CUSTOS!$M$38)</f>
        <v>335.21342816228281</v>
      </c>
      <c r="AA1893" s="6">
        <f>('TE BE'!$AB$26+'TE BF'!$AB$26+'TE CVA'!$AB$26)*(1-CUSTOS!$M$38)</f>
        <v>227.92247399192311</v>
      </c>
      <c r="AB1893" s="6">
        <f>$K$1893*$V$1893</f>
        <v>0</v>
      </c>
      <c r="AC1893" s="6">
        <f>$M$1893*$W$1893</f>
        <v>-26026.837059999998</v>
      </c>
      <c r="AD1893" s="6">
        <f>$O$1893*$X$1893</f>
        <v>-19506.69224</v>
      </c>
      <c r="AE1893" s="6">
        <f>$K$1893*$Y$1893</f>
        <v>0</v>
      </c>
      <c r="AF1893" s="6">
        <f ca="1">$M$1893*$Z$1893</f>
        <v>-29056.635166534834</v>
      </c>
      <c r="AG1893" s="6">
        <f>$O$1893*$AA$1893</f>
        <v>-19756.547968093888</v>
      </c>
    </row>
    <row r="1894" spans="1:33" ht="11.25" customHeight="1" x14ac:dyDescent="0.25">
      <c r="A1894" s="4" t="s">
        <v>28</v>
      </c>
      <c r="B1894" s="4" t="s">
        <v>44</v>
      </c>
      <c r="C1894" s="4" t="s">
        <v>23</v>
      </c>
      <c r="D1894" s="4" t="s">
        <v>45</v>
      </c>
      <c r="E1894" s="4" t="s">
        <v>25</v>
      </c>
      <c r="F1894" s="4" t="s">
        <v>25</v>
      </c>
      <c r="G1894" s="4" t="s">
        <v>25</v>
      </c>
      <c r="H1894" s="4" t="s">
        <v>25</v>
      </c>
      <c r="I1894" s="5">
        <v>44682</v>
      </c>
      <c r="J1894" s="6">
        <v>0</v>
      </c>
      <c r="K1894" s="6">
        <v>0</v>
      </c>
      <c r="L1894" s="6">
        <v>276.334</v>
      </c>
      <c r="M1894" s="6">
        <v>276.334</v>
      </c>
      <c r="N1894" s="6">
        <v>276.334</v>
      </c>
      <c r="O1894" s="6">
        <v>276.334</v>
      </c>
      <c r="P1894" s="6">
        <v>1205</v>
      </c>
      <c r="Q1894" s="4" t="s">
        <v>26</v>
      </c>
      <c r="R1894" s="4">
        <v>0</v>
      </c>
      <c r="S1894" s="6">
        <v>0</v>
      </c>
      <c r="T1894" s="6">
        <v>27</v>
      </c>
      <c r="U1894" s="6">
        <v>85</v>
      </c>
      <c r="V1894" s="6">
        <f>IF(ISERROR(VLOOKUP($S$1894,'TAR FIN'!$A$1:$O$104,15,0)),0,VLOOKUP($S$1894,'TAR FIN'!$A$1:$O$104,15,0))</f>
        <v>0</v>
      </c>
      <c r="W1894" s="6">
        <f>IF(ISERROR(VLOOKUP($T$1894,'TAR FIN'!$A$1:$O$104,15,0)),0,VLOOKUP($T$1894,'TAR FIN'!$A$1:$O$104,15,0))</f>
        <v>300.26</v>
      </c>
      <c r="X1894" s="6">
        <f>IF(ISERROR(VLOOKUP($U$1894,'TAR FIN'!$A$1:$O$104,15,0)),0,VLOOKUP($U$1894,'TAR FIN'!$A$1:$O$104,15,0))</f>
        <v>225.04</v>
      </c>
      <c r="Y1894" s="6"/>
      <c r="Z1894" s="6">
        <f ca="1">('TUSD BE'!$AM$47+'TUSD BF'!$AM$47+'TUSD CVA'!$AM$47)*(1-CUSTOS!$M$38)</f>
        <v>335.21342816228281</v>
      </c>
      <c r="AA1894" s="6">
        <f>('TE BE'!$AB$26+'TE BF'!$AB$26+'TE CVA'!$AB$26)*(1-CUSTOS!$M$38)</f>
        <v>227.92247399192311</v>
      </c>
      <c r="AB1894" s="6">
        <f>$K$1894*$V$1894</f>
        <v>0</v>
      </c>
      <c r="AC1894" s="6">
        <f>$M$1894*$W$1894</f>
        <v>82972.046839999995</v>
      </c>
      <c r="AD1894" s="6">
        <f>$O$1894*$X$1894</f>
        <v>62186.20336</v>
      </c>
      <c r="AE1894" s="6">
        <f>$K$1894*$Y$1894</f>
        <v>0</v>
      </c>
      <c r="AF1894" s="6">
        <f ca="1">$M$1894*$Z$1894</f>
        <v>92630.867457796252</v>
      </c>
      <c r="AG1894" s="6">
        <f>$O$1894*$AA$1894</f>
        <v>62982.728928084085</v>
      </c>
    </row>
    <row r="1895" spans="1:33" ht="11.25" customHeight="1" x14ac:dyDescent="0.25">
      <c r="A1895" s="4" t="s">
        <v>21</v>
      </c>
      <c r="B1895" s="4" t="s">
        <v>44</v>
      </c>
      <c r="C1895" s="4" t="s">
        <v>23</v>
      </c>
      <c r="D1895" s="4" t="s">
        <v>45</v>
      </c>
      <c r="E1895" s="4" t="s">
        <v>25</v>
      </c>
      <c r="F1895" s="4" t="s">
        <v>25</v>
      </c>
      <c r="G1895" s="4" t="s">
        <v>25</v>
      </c>
      <c r="H1895" s="4" t="s">
        <v>25</v>
      </c>
      <c r="I1895" s="5">
        <v>44713</v>
      </c>
      <c r="J1895" s="6">
        <v>0</v>
      </c>
      <c r="K1895" s="6">
        <v>0</v>
      </c>
      <c r="L1895" s="6">
        <v>11106.716</v>
      </c>
      <c r="M1895" s="6">
        <v>11106.716</v>
      </c>
      <c r="N1895" s="6">
        <v>11106.716</v>
      </c>
      <c r="O1895" s="6">
        <v>11106.716</v>
      </c>
      <c r="P1895" s="6">
        <v>103012</v>
      </c>
      <c r="Q1895" s="4" t="s">
        <v>26</v>
      </c>
      <c r="R1895" s="4">
        <v>0</v>
      </c>
      <c r="S1895" s="6">
        <v>0</v>
      </c>
      <c r="T1895" s="6">
        <v>27</v>
      </c>
      <c r="U1895" s="6">
        <v>85</v>
      </c>
      <c r="V1895" s="6">
        <f>IF(ISERROR(VLOOKUP($S$1895,'TAR FIN'!$A$1:$O$104,15,0)),0,VLOOKUP($S$1895,'TAR FIN'!$A$1:$O$104,15,0))</f>
        <v>0</v>
      </c>
      <c r="W1895" s="6">
        <f>IF(ISERROR(VLOOKUP($T$1895,'TAR FIN'!$A$1:$O$104,15,0)),0,VLOOKUP($T$1895,'TAR FIN'!$A$1:$O$104,15,0))</f>
        <v>300.26</v>
      </c>
      <c r="X1895" s="6">
        <f>IF(ISERROR(VLOOKUP($U$1895,'TAR FIN'!$A$1:$O$104,15,0)),0,VLOOKUP($U$1895,'TAR FIN'!$A$1:$O$104,15,0))</f>
        <v>225.04</v>
      </c>
      <c r="Y1895" s="6"/>
      <c r="Z1895" s="6">
        <f ca="1">('TUSD BE'!$AM$47+'TUSD BF'!$AM$47+'TUSD CVA'!$AM$47)*(1-CUSTOS!$M$38)</f>
        <v>335.21342816228281</v>
      </c>
      <c r="AA1895" s="6">
        <f>('TE BE'!$AB$26+'TE BF'!$AB$26+'TE CVA'!$AB$26)*(1-CUSTOS!$M$38)</f>
        <v>227.92247399192311</v>
      </c>
      <c r="AB1895" s="6">
        <f>$K$1895*$V$1895</f>
        <v>0</v>
      </c>
      <c r="AC1895" s="6">
        <f>$M$1895*$W$1895</f>
        <v>3334902.5461599999</v>
      </c>
      <c r="AD1895" s="6">
        <f>$O$1895*$X$1895</f>
        <v>2499455.36864</v>
      </c>
      <c r="AE1895" s="6">
        <f>$K$1895*$Y$1895</f>
        <v>0</v>
      </c>
      <c r="AF1895" s="6">
        <f ca="1">$M$1895*$Z$1895</f>
        <v>3723120.3459848771</v>
      </c>
      <c r="AG1895" s="6">
        <f>$O$1895*$AA$1895</f>
        <v>2531470.1886456762</v>
      </c>
    </row>
    <row r="1896" spans="1:33" ht="11.25" customHeight="1" x14ac:dyDescent="0.25">
      <c r="A1896" s="4" t="s">
        <v>27</v>
      </c>
      <c r="B1896" s="4" t="s">
        <v>44</v>
      </c>
      <c r="C1896" s="4" t="s">
        <v>23</v>
      </c>
      <c r="D1896" s="4" t="s">
        <v>45</v>
      </c>
      <c r="E1896" s="4" t="s">
        <v>25</v>
      </c>
      <c r="F1896" s="4" t="s">
        <v>25</v>
      </c>
      <c r="G1896" s="4" t="s">
        <v>25</v>
      </c>
      <c r="H1896" s="4" t="s">
        <v>25</v>
      </c>
      <c r="I1896" s="5">
        <v>44713</v>
      </c>
      <c r="J1896" s="6">
        <v>0</v>
      </c>
      <c r="K1896" s="6">
        <v>0</v>
      </c>
      <c r="L1896" s="6">
        <v>-12.156000000000001</v>
      </c>
      <c r="M1896" s="6">
        <v>-12.156000000000001</v>
      </c>
      <c r="N1896" s="6">
        <v>-12.156000000000001</v>
      </c>
      <c r="O1896" s="6">
        <v>-12.156000000000001</v>
      </c>
      <c r="P1896" s="6">
        <v>-19</v>
      </c>
      <c r="Q1896" s="4" t="s">
        <v>26</v>
      </c>
      <c r="R1896" s="4">
        <v>0</v>
      </c>
      <c r="S1896" s="6">
        <v>0</v>
      </c>
      <c r="T1896" s="6">
        <v>27</v>
      </c>
      <c r="U1896" s="6">
        <v>85</v>
      </c>
      <c r="V1896" s="6">
        <f>IF(ISERROR(VLOOKUP($S$1896,'TAR FIN'!$A$1:$O$104,15,0)),0,VLOOKUP($S$1896,'TAR FIN'!$A$1:$O$104,15,0))</f>
        <v>0</v>
      </c>
      <c r="W1896" s="6">
        <f>IF(ISERROR(VLOOKUP($T$1896,'TAR FIN'!$A$1:$O$104,15,0)),0,VLOOKUP($T$1896,'TAR FIN'!$A$1:$O$104,15,0))</f>
        <v>300.26</v>
      </c>
      <c r="X1896" s="6">
        <f>IF(ISERROR(VLOOKUP($U$1896,'TAR FIN'!$A$1:$O$104,15,0)),0,VLOOKUP($U$1896,'TAR FIN'!$A$1:$O$104,15,0))</f>
        <v>225.04</v>
      </c>
      <c r="Y1896" s="6"/>
      <c r="Z1896" s="6">
        <f ca="1">('TUSD BE'!$AM$47+'TUSD BF'!$AM$47+'TUSD CVA'!$AM$47)*(1-CUSTOS!$M$38)</f>
        <v>335.21342816228281</v>
      </c>
      <c r="AA1896" s="6">
        <f>('TE BE'!$AB$26+'TE BF'!$AB$26+'TE CVA'!$AB$26)*(1-CUSTOS!$M$38)</f>
        <v>227.92247399192311</v>
      </c>
      <c r="AB1896" s="6">
        <f>$K$1896*$V$1896</f>
        <v>0</v>
      </c>
      <c r="AC1896" s="6">
        <f>$M$1896*$W$1896</f>
        <v>-3649.96056</v>
      </c>
      <c r="AD1896" s="6">
        <f>$O$1896*$X$1896</f>
        <v>-2735.5862400000001</v>
      </c>
      <c r="AE1896" s="6">
        <f>$K$1896*$Y$1896</f>
        <v>0</v>
      </c>
      <c r="AF1896" s="6">
        <f ca="1">$M$1896*$Z$1896</f>
        <v>-4074.8544327407099</v>
      </c>
      <c r="AG1896" s="6">
        <f>$O$1896*$AA$1896</f>
        <v>-2770.6255938458175</v>
      </c>
    </row>
    <row r="1897" spans="1:33" ht="11.25" customHeight="1" x14ac:dyDescent="0.25">
      <c r="A1897" s="4" t="s">
        <v>28</v>
      </c>
      <c r="B1897" s="4" t="s">
        <v>44</v>
      </c>
      <c r="C1897" s="4" t="s">
        <v>23</v>
      </c>
      <c r="D1897" s="4" t="s">
        <v>45</v>
      </c>
      <c r="E1897" s="4" t="s">
        <v>25</v>
      </c>
      <c r="F1897" s="4" t="s">
        <v>25</v>
      </c>
      <c r="G1897" s="4" t="s">
        <v>25</v>
      </c>
      <c r="H1897" s="4" t="s">
        <v>25</v>
      </c>
      <c r="I1897" s="5">
        <v>44713</v>
      </c>
      <c r="J1897" s="6">
        <v>0</v>
      </c>
      <c r="K1897" s="6">
        <v>0</v>
      </c>
      <c r="L1897" s="6">
        <v>346.21</v>
      </c>
      <c r="M1897" s="6">
        <v>346.21</v>
      </c>
      <c r="N1897" s="6">
        <v>346.21</v>
      </c>
      <c r="O1897" s="6">
        <v>346.21</v>
      </c>
      <c r="P1897" s="6">
        <v>1263</v>
      </c>
      <c r="Q1897" s="4" t="s">
        <v>26</v>
      </c>
      <c r="R1897" s="4">
        <v>0</v>
      </c>
      <c r="S1897" s="6">
        <v>0</v>
      </c>
      <c r="T1897" s="6">
        <v>27</v>
      </c>
      <c r="U1897" s="6">
        <v>85</v>
      </c>
      <c r="V1897" s="6">
        <f>IF(ISERROR(VLOOKUP($S$1897,'TAR FIN'!$A$1:$O$104,15,0)),0,VLOOKUP($S$1897,'TAR FIN'!$A$1:$O$104,15,0))</f>
        <v>0</v>
      </c>
      <c r="W1897" s="6">
        <f>IF(ISERROR(VLOOKUP($T$1897,'TAR FIN'!$A$1:$O$104,15,0)),0,VLOOKUP($T$1897,'TAR FIN'!$A$1:$O$104,15,0))</f>
        <v>300.26</v>
      </c>
      <c r="X1897" s="6">
        <f>IF(ISERROR(VLOOKUP($U$1897,'TAR FIN'!$A$1:$O$104,15,0)),0,VLOOKUP($U$1897,'TAR FIN'!$A$1:$O$104,15,0))</f>
        <v>225.04</v>
      </c>
      <c r="Y1897" s="6"/>
      <c r="Z1897" s="6">
        <f ca="1">('TUSD BE'!$AM$47+'TUSD BF'!$AM$47+'TUSD CVA'!$AM$47)*(1-CUSTOS!$M$38)</f>
        <v>335.21342816228281</v>
      </c>
      <c r="AA1897" s="6">
        <f>('TE BE'!$AB$26+'TE BF'!$AB$26+'TE CVA'!$AB$26)*(1-CUSTOS!$M$38)</f>
        <v>227.92247399192311</v>
      </c>
      <c r="AB1897" s="6">
        <f>$K$1897*$V$1897</f>
        <v>0</v>
      </c>
      <c r="AC1897" s="6">
        <f>$M$1897*$W$1897</f>
        <v>103953.01459999999</v>
      </c>
      <c r="AD1897" s="6">
        <f>$O$1897*$X$1897</f>
        <v>77911.098399999988</v>
      </c>
      <c r="AE1897" s="6">
        <f>$K$1897*$Y$1897</f>
        <v>0</v>
      </c>
      <c r="AF1897" s="6">
        <f ca="1">$M$1897*$Z$1897</f>
        <v>116054.24096406392</v>
      </c>
      <c r="AG1897" s="6">
        <f>$O$1897*$AA$1897</f>
        <v>78909.039720743691</v>
      </c>
    </row>
    <row r="1898" spans="1:33" ht="11.25" customHeight="1" x14ac:dyDescent="0.25">
      <c r="A1898" s="4" t="s">
        <v>57</v>
      </c>
      <c r="B1898" s="4" t="s">
        <v>44</v>
      </c>
      <c r="C1898" s="4" t="s">
        <v>23</v>
      </c>
      <c r="D1898" s="4" t="s">
        <v>45</v>
      </c>
      <c r="E1898" s="4" t="s">
        <v>25</v>
      </c>
      <c r="F1898" s="4" t="s">
        <v>25</v>
      </c>
      <c r="G1898" s="4" t="s">
        <v>25</v>
      </c>
      <c r="H1898" s="4" t="s">
        <v>25</v>
      </c>
      <c r="I1898" s="5">
        <v>44743</v>
      </c>
      <c r="J1898" s="6">
        <v>0</v>
      </c>
      <c r="K1898" s="6">
        <v>0</v>
      </c>
      <c r="L1898" s="6">
        <v>11106.716</v>
      </c>
      <c r="M1898" s="6">
        <v>11106.716</v>
      </c>
      <c r="N1898" s="6">
        <v>11106.716</v>
      </c>
      <c r="O1898" s="6">
        <v>11106.716</v>
      </c>
      <c r="P1898" s="6">
        <v>103012</v>
      </c>
      <c r="Q1898" s="4" t="s">
        <v>26</v>
      </c>
      <c r="R1898" s="4">
        <v>0</v>
      </c>
      <c r="S1898" s="6">
        <v>0</v>
      </c>
      <c r="T1898" s="6">
        <v>27</v>
      </c>
      <c r="U1898" s="6">
        <v>85</v>
      </c>
      <c r="V1898" s="6">
        <f>IF(ISERROR(VLOOKUP($S$1898,'TAR FIN'!$A$1:$O$104,15,0)),0,VLOOKUP($S$1898,'TAR FIN'!$A$1:$O$104,15,0))</f>
        <v>0</v>
      </c>
      <c r="W1898" s="6">
        <f>IF(ISERROR(VLOOKUP($T$1898,'TAR FIN'!$A$1:$O$104,15,0)),0,VLOOKUP($T$1898,'TAR FIN'!$A$1:$O$104,15,0))</f>
        <v>300.26</v>
      </c>
      <c r="X1898" s="6">
        <f>IF(ISERROR(VLOOKUP($U$1898,'TAR FIN'!$A$1:$O$104,15,0)),0,VLOOKUP($U$1898,'TAR FIN'!$A$1:$O$104,15,0))</f>
        <v>225.04</v>
      </c>
      <c r="Y1898" s="6"/>
      <c r="Z1898" s="6">
        <f ca="1">('TUSD BE'!$AM$47+'TUSD BF'!$AM$47+'TUSD CVA'!$AM$47)*(1-CUSTOS!$M$38)</f>
        <v>335.21342816228281</v>
      </c>
      <c r="AA1898" s="6">
        <f>('TE BE'!$AB$26+'TE BF'!$AB$26+'TE CVA'!$AB$26)*(1-CUSTOS!$M$38)</f>
        <v>227.92247399192311</v>
      </c>
      <c r="AB1898" s="6">
        <f>$K$1898*$V$1898</f>
        <v>0</v>
      </c>
      <c r="AC1898" s="6">
        <f>$M$1898*$W$1898</f>
        <v>3334902.5461599999</v>
      </c>
      <c r="AD1898" s="6">
        <f>$O$1898*$X$1898</f>
        <v>2499455.36864</v>
      </c>
      <c r="AE1898" s="6">
        <f>$K$1898*$Y$1898</f>
        <v>0</v>
      </c>
      <c r="AF1898" s="6">
        <f ca="1">$M$1898*$Z$1898</f>
        <v>3723120.3459848771</v>
      </c>
      <c r="AG1898" s="6">
        <f>$O$1898*$AA$1898</f>
        <v>2531470.1886456762</v>
      </c>
    </row>
    <row r="1899" spans="1:33" ht="11.25" customHeight="1" x14ac:dyDescent="0.25">
      <c r="A1899" s="4" t="s">
        <v>57</v>
      </c>
      <c r="B1899" s="4" t="s">
        <v>44</v>
      </c>
      <c r="C1899" s="4" t="s">
        <v>23</v>
      </c>
      <c r="D1899" s="4" t="s">
        <v>45</v>
      </c>
      <c r="E1899" s="4" t="s">
        <v>25</v>
      </c>
      <c r="F1899" s="4" t="s">
        <v>25</v>
      </c>
      <c r="G1899" s="4" t="s">
        <v>25</v>
      </c>
      <c r="H1899" s="4" t="s">
        <v>25</v>
      </c>
      <c r="I1899" s="5">
        <v>44743</v>
      </c>
      <c r="J1899" s="6">
        <v>0</v>
      </c>
      <c r="K1899" s="6">
        <v>0</v>
      </c>
      <c r="L1899" s="6">
        <v>-12.156000000000001</v>
      </c>
      <c r="M1899" s="6">
        <v>-12.156000000000001</v>
      </c>
      <c r="N1899" s="6">
        <v>-12.156000000000001</v>
      </c>
      <c r="O1899" s="6">
        <v>-12.156000000000001</v>
      </c>
      <c r="P1899" s="6">
        <v>-19</v>
      </c>
      <c r="Q1899" s="4" t="s">
        <v>26</v>
      </c>
      <c r="R1899" s="4">
        <v>0</v>
      </c>
      <c r="S1899" s="6">
        <v>0</v>
      </c>
      <c r="T1899" s="6">
        <v>27</v>
      </c>
      <c r="U1899" s="6">
        <v>85</v>
      </c>
      <c r="V1899" s="6">
        <f>IF(ISERROR(VLOOKUP($S$1899,'TAR FIN'!$A$1:$O$104,15,0)),0,VLOOKUP($S$1899,'TAR FIN'!$A$1:$O$104,15,0))</f>
        <v>0</v>
      </c>
      <c r="W1899" s="6">
        <f>IF(ISERROR(VLOOKUP($T$1899,'TAR FIN'!$A$1:$O$104,15,0)),0,VLOOKUP($T$1899,'TAR FIN'!$A$1:$O$104,15,0))</f>
        <v>300.26</v>
      </c>
      <c r="X1899" s="6">
        <f>IF(ISERROR(VLOOKUP($U$1899,'TAR FIN'!$A$1:$O$104,15,0)),0,VLOOKUP($U$1899,'TAR FIN'!$A$1:$O$104,15,0))</f>
        <v>225.04</v>
      </c>
      <c r="Y1899" s="6"/>
      <c r="Z1899" s="6">
        <f ca="1">('TUSD BE'!$AM$47+'TUSD BF'!$AM$47+'TUSD CVA'!$AM$47)*(1-CUSTOS!$M$38)</f>
        <v>335.21342816228281</v>
      </c>
      <c r="AA1899" s="6">
        <f>('TE BE'!$AB$26+'TE BF'!$AB$26+'TE CVA'!$AB$26)*(1-CUSTOS!$M$38)</f>
        <v>227.92247399192311</v>
      </c>
      <c r="AB1899" s="6">
        <f>$K$1899*$V$1899</f>
        <v>0</v>
      </c>
      <c r="AC1899" s="6">
        <f>$M$1899*$W$1899</f>
        <v>-3649.96056</v>
      </c>
      <c r="AD1899" s="6">
        <f>$O$1899*$X$1899</f>
        <v>-2735.5862400000001</v>
      </c>
      <c r="AE1899" s="6">
        <f>$K$1899*$Y$1899</f>
        <v>0</v>
      </c>
      <c r="AF1899" s="6">
        <f ca="1">$M$1899*$Z$1899</f>
        <v>-4074.8544327407099</v>
      </c>
      <c r="AG1899" s="6">
        <f>$O$1899*$AA$1899</f>
        <v>-2770.6255938458175</v>
      </c>
    </row>
    <row r="1900" spans="1:33" ht="11.25" customHeight="1" x14ac:dyDescent="0.25">
      <c r="A1900" s="4" t="s">
        <v>57</v>
      </c>
      <c r="B1900" s="4" t="s">
        <v>44</v>
      </c>
      <c r="C1900" s="4" t="s">
        <v>23</v>
      </c>
      <c r="D1900" s="4" t="s">
        <v>45</v>
      </c>
      <c r="E1900" s="4" t="s">
        <v>25</v>
      </c>
      <c r="F1900" s="4" t="s">
        <v>25</v>
      </c>
      <c r="G1900" s="4" t="s">
        <v>25</v>
      </c>
      <c r="H1900" s="4" t="s">
        <v>25</v>
      </c>
      <c r="I1900" s="5">
        <v>44743</v>
      </c>
      <c r="J1900" s="6">
        <v>0</v>
      </c>
      <c r="K1900" s="6">
        <v>0</v>
      </c>
      <c r="L1900" s="6">
        <v>346.21</v>
      </c>
      <c r="M1900" s="6">
        <v>346.21</v>
      </c>
      <c r="N1900" s="6">
        <v>346.21</v>
      </c>
      <c r="O1900" s="6">
        <v>346.21</v>
      </c>
      <c r="P1900" s="6">
        <v>1263</v>
      </c>
      <c r="Q1900" s="4" t="s">
        <v>26</v>
      </c>
      <c r="R1900" s="4">
        <v>0</v>
      </c>
      <c r="S1900" s="6">
        <v>0</v>
      </c>
      <c r="T1900" s="6">
        <v>27</v>
      </c>
      <c r="U1900" s="6">
        <v>85</v>
      </c>
      <c r="V1900" s="6">
        <f>IF(ISERROR(VLOOKUP($S$1900,'TAR FIN'!$A$1:$O$104,15,0)),0,VLOOKUP($S$1900,'TAR FIN'!$A$1:$O$104,15,0))</f>
        <v>0</v>
      </c>
      <c r="W1900" s="6">
        <f>IF(ISERROR(VLOOKUP($T$1900,'TAR FIN'!$A$1:$O$104,15,0)),0,VLOOKUP($T$1900,'TAR FIN'!$A$1:$O$104,15,0))</f>
        <v>300.26</v>
      </c>
      <c r="X1900" s="6">
        <f>IF(ISERROR(VLOOKUP($U$1900,'TAR FIN'!$A$1:$O$104,15,0)),0,VLOOKUP($U$1900,'TAR FIN'!$A$1:$O$104,15,0))</f>
        <v>225.04</v>
      </c>
      <c r="Y1900" s="6"/>
      <c r="Z1900" s="6">
        <f ca="1">('TUSD BE'!$AM$47+'TUSD BF'!$AM$47+'TUSD CVA'!$AM$47)*(1-CUSTOS!$M$38)</f>
        <v>335.21342816228281</v>
      </c>
      <c r="AA1900" s="6">
        <f>('TE BE'!$AB$26+'TE BF'!$AB$26+'TE CVA'!$AB$26)*(1-CUSTOS!$M$38)</f>
        <v>227.92247399192311</v>
      </c>
      <c r="AB1900" s="6">
        <f>$K$1900*$V$1900</f>
        <v>0</v>
      </c>
      <c r="AC1900" s="6">
        <f>$M$1900*$W$1900</f>
        <v>103953.01459999999</v>
      </c>
      <c r="AD1900" s="6">
        <f>$O$1900*$X$1900</f>
        <v>77911.098399999988</v>
      </c>
      <c r="AE1900" s="6">
        <f>$K$1900*$Y$1900</f>
        <v>0</v>
      </c>
      <c r="AF1900" s="6">
        <f ca="1">$M$1900*$Z$1900</f>
        <v>116054.24096406392</v>
      </c>
      <c r="AG1900" s="6">
        <f>$O$1900*$AA$1900</f>
        <v>78909.039720743691</v>
      </c>
    </row>
    <row r="1901" spans="1:33" ht="11.25" customHeight="1" x14ac:dyDescent="0.25">
      <c r="A1901" s="4" t="s">
        <v>21</v>
      </c>
      <c r="B1901" s="4" t="s">
        <v>37</v>
      </c>
      <c r="C1901" s="4" t="s">
        <v>33</v>
      </c>
      <c r="D1901" s="4" t="s">
        <v>43</v>
      </c>
      <c r="E1901" s="4" t="s">
        <v>25</v>
      </c>
      <c r="F1901" s="4" t="s">
        <v>25</v>
      </c>
      <c r="G1901" s="4" t="s">
        <v>25</v>
      </c>
      <c r="H1901" s="4" t="s">
        <v>35</v>
      </c>
      <c r="I1901" s="5">
        <v>44409</v>
      </c>
      <c r="J1901" s="6">
        <v>0</v>
      </c>
      <c r="K1901" s="6">
        <v>0</v>
      </c>
      <c r="L1901" s="6">
        <v>55.667000000000002</v>
      </c>
      <c r="M1901" s="6">
        <v>55.667000000000002</v>
      </c>
      <c r="N1901" s="6">
        <v>55.667000000000002</v>
      </c>
      <c r="O1901" s="6">
        <v>55.667000000000002</v>
      </c>
      <c r="P1901" s="6">
        <v>0</v>
      </c>
      <c r="Q1901" s="4" t="s">
        <v>26</v>
      </c>
      <c r="R1901" s="4">
        <v>0</v>
      </c>
      <c r="S1901" s="6">
        <v>0</v>
      </c>
      <c r="T1901" s="6">
        <v>55</v>
      </c>
      <c r="U1901" s="6">
        <v>99</v>
      </c>
      <c r="V1901" s="6">
        <f>IF(ISERROR(VLOOKUP($S$1901,'TAR FIN'!$A$1:$O$104,15,0)),0,VLOOKUP($S$1901,'TAR FIN'!$A$1:$O$104,15,0))</f>
        <v>0</v>
      </c>
      <c r="W1901" s="6">
        <f>IF(ISERROR(VLOOKUP($T$1901,'TAR FIN'!$A$1:$O$104,15,0)),0,VLOOKUP($T$1901,'TAR FIN'!$A$1:$O$104,15,0))</f>
        <v>260.22000000000003</v>
      </c>
      <c r="X1901" s="6">
        <f>IF(ISERROR(VLOOKUP($U$1901,'TAR FIN'!$A$1:$O$104,15,0)),0,VLOOKUP($U$1901,'TAR FIN'!$A$1:$O$104,15,0))</f>
        <v>242.82</v>
      </c>
      <c r="Y1901" s="6"/>
      <c r="Z1901" s="6">
        <f ca="1">('TUSD BE'!$AM$61+'TUSD BF'!$AM$61+'TUSD CVA'!$AM$61)*1</f>
        <v>275.5022411041889</v>
      </c>
      <c r="AA1901" s="6">
        <f>('TE BE'!$AB$40+'TE BF'!$AB$40+'TE CVA'!$AB$40)*1</f>
        <v>231.76257384332172</v>
      </c>
      <c r="AB1901" s="6">
        <f>$K$1901*$V$1901</f>
        <v>0</v>
      </c>
      <c r="AC1901" s="6">
        <f>$M$1901*$W$1901</f>
        <v>14485.666740000002</v>
      </c>
      <c r="AD1901" s="6">
        <f>$O$1901*$X$1901</f>
        <v>13517.060939999999</v>
      </c>
      <c r="AE1901" s="6">
        <f>$K$1901*$Y$1901</f>
        <v>0</v>
      </c>
      <c r="AF1901" s="6">
        <f ca="1">$M$1901*$Z$1901</f>
        <v>15336.383255546883</v>
      </c>
      <c r="AG1901" s="6">
        <f>$O$1901*$AA$1901</f>
        <v>12901.527198136191</v>
      </c>
    </row>
    <row r="1902" spans="1:33" ht="11.25" customHeight="1" x14ac:dyDescent="0.25">
      <c r="A1902" s="4" t="s">
        <v>28</v>
      </c>
      <c r="B1902" s="4" t="s">
        <v>37</v>
      </c>
      <c r="C1902" s="4" t="s">
        <v>33</v>
      </c>
      <c r="D1902" s="4" t="s">
        <v>43</v>
      </c>
      <c r="E1902" s="4" t="s">
        <v>25</v>
      </c>
      <c r="F1902" s="4" t="s">
        <v>25</v>
      </c>
      <c r="G1902" s="4" t="s">
        <v>25</v>
      </c>
      <c r="H1902" s="4" t="s">
        <v>35</v>
      </c>
      <c r="I1902" s="5">
        <v>44409</v>
      </c>
      <c r="J1902" s="6">
        <v>0</v>
      </c>
      <c r="K1902" s="6">
        <v>0</v>
      </c>
      <c r="L1902" s="6">
        <v>11.211</v>
      </c>
      <c r="M1902" s="6">
        <v>11.211</v>
      </c>
      <c r="N1902" s="6">
        <v>11.211</v>
      </c>
      <c r="O1902" s="6">
        <v>11.211</v>
      </c>
      <c r="P1902" s="6">
        <v>0</v>
      </c>
      <c r="Q1902" s="4" t="s">
        <v>26</v>
      </c>
      <c r="R1902" s="4">
        <v>0</v>
      </c>
      <c r="S1902" s="6">
        <v>0</v>
      </c>
      <c r="T1902" s="6">
        <v>55</v>
      </c>
      <c r="U1902" s="6">
        <v>99</v>
      </c>
      <c r="V1902" s="6">
        <f>IF(ISERROR(VLOOKUP($S$1902,'TAR FIN'!$A$1:$O$104,15,0)),0,VLOOKUP($S$1902,'TAR FIN'!$A$1:$O$104,15,0))</f>
        <v>0</v>
      </c>
      <c r="W1902" s="6">
        <f>IF(ISERROR(VLOOKUP($T$1902,'TAR FIN'!$A$1:$O$104,15,0)),0,VLOOKUP($T$1902,'TAR FIN'!$A$1:$O$104,15,0))</f>
        <v>260.22000000000003</v>
      </c>
      <c r="X1902" s="6">
        <f>IF(ISERROR(VLOOKUP($U$1902,'TAR FIN'!$A$1:$O$104,15,0)),0,VLOOKUP($U$1902,'TAR FIN'!$A$1:$O$104,15,0))</f>
        <v>242.82</v>
      </c>
      <c r="Y1902" s="6"/>
      <c r="Z1902" s="6">
        <f ca="1">('TUSD BE'!$AM$61+'TUSD BF'!$AM$61+'TUSD CVA'!$AM$61)*1</f>
        <v>275.5022411041889</v>
      </c>
      <c r="AA1902" s="6">
        <f>('TE BE'!$AB$40+'TE BF'!$AB$40+'TE CVA'!$AB$40)*1</f>
        <v>231.76257384332172</v>
      </c>
      <c r="AB1902" s="6">
        <f>$K$1902*$V$1902</f>
        <v>0</v>
      </c>
      <c r="AC1902" s="6">
        <f>$M$1902*$W$1902</f>
        <v>2917.3264200000003</v>
      </c>
      <c r="AD1902" s="6">
        <f>$O$1902*$X$1902</f>
        <v>2722.2550200000001</v>
      </c>
      <c r="AE1902" s="6">
        <f>$K$1902*$Y$1902</f>
        <v>0</v>
      </c>
      <c r="AF1902" s="6">
        <f ca="1">$M$1902*$Z$1902</f>
        <v>3088.655625019062</v>
      </c>
      <c r="AG1902" s="6">
        <f>$O$1902*$AA$1902</f>
        <v>2598.2902153574801</v>
      </c>
    </row>
    <row r="1903" spans="1:33" ht="11.25" customHeight="1" x14ac:dyDescent="0.25">
      <c r="A1903" s="4" t="s">
        <v>21</v>
      </c>
      <c r="B1903" s="4" t="s">
        <v>37</v>
      </c>
      <c r="C1903" s="4" t="s">
        <v>33</v>
      </c>
      <c r="D1903" s="4" t="s">
        <v>43</v>
      </c>
      <c r="E1903" s="4" t="s">
        <v>25</v>
      </c>
      <c r="F1903" s="4" t="s">
        <v>25</v>
      </c>
      <c r="G1903" s="4" t="s">
        <v>25</v>
      </c>
      <c r="H1903" s="4" t="s">
        <v>35</v>
      </c>
      <c r="I1903" s="5">
        <v>44440</v>
      </c>
      <c r="J1903" s="6">
        <v>0</v>
      </c>
      <c r="K1903" s="6">
        <v>0</v>
      </c>
      <c r="L1903" s="6">
        <v>52.588999999999999</v>
      </c>
      <c r="M1903" s="6">
        <v>52.588999999999999</v>
      </c>
      <c r="N1903" s="6">
        <v>52.588999999999999</v>
      </c>
      <c r="O1903" s="6">
        <v>52.588999999999999</v>
      </c>
      <c r="P1903" s="6">
        <v>0</v>
      </c>
      <c r="Q1903" s="4" t="s">
        <v>26</v>
      </c>
      <c r="R1903" s="4">
        <v>0</v>
      </c>
      <c r="S1903" s="6">
        <v>0</v>
      </c>
      <c r="T1903" s="6">
        <v>55</v>
      </c>
      <c r="U1903" s="6">
        <v>99</v>
      </c>
      <c r="V1903" s="6">
        <f>IF(ISERROR(VLOOKUP($S$1903,'TAR FIN'!$A$1:$O$104,15,0)),0,VLOOKUP($S$1903,'TAR FIN'!$A$1:$O$104,15,0))</f>
        <v>0</v>
      </c>
      <c r="W1903" s="6">
        <f>IF(ISERROR(VLOOKUP($T$1903,'TAR FIN'!$A$1:$O$104,15,0)),0,VLOOKUP($T$1903,'TAR FIN'!$A$1:$O$104,15,0))</f>
        <v>260.22000000000003</v>
      </c>
      <c r="X1903" s="6">
        <f>IF(ISERROR(VLOOKUP($U$1903,'TAR FIN'!$A$1:$O$104,15,0)),0,VLOOKUP($U$1903,'TAR FIN'!$A$1:$O$104,15,0))</f>
        <v>242.82</v>
      </c>
      <c r="Y1903" s="6"/>
      <c r="Z1903" s="6">
        <f ca="1">('TUSD BE'!$AM$61+'TUSD BF'!$AM$61+'TUSD CVA'!$AM$61)*1</f>
        <v>275.5022411041889</v>
      </c>
      <c r="AA1903" s="6">
        <f>('TE BE'!$AB$40+'TE BF'!$AB$40+'TE CVA'!$AB$40)*1</f>
        <v>231.76257384332172</v>
      </c>
      <c r="AB1903" s="6">
        <f>$K$1903*$V$1903</f>
        <v>0</v>
      </c>
      <c r="AC1903" s="6">
        <f>$M$1903*$W$1903</f>
        <v>13684.709580000001</v>
      </c>
      <c r="AD1903" s="6">
        <f>$O$1903*$X$1903</f>
        <v>12769.660979999999</v>
      </c>
      <c r="AE1903" s="6">
        <f>$K$1903*$Y$1903</f>
        <v>0</v>
      </c>
      <c r="AF1903" s="6">
        <f ca="1">$M$1903*$Z$1903</f>
        <v>14488.38735742819</v>
      </c>
      <c r="AG1903" s="6">
        <f>$O$1903*$AA$1903</f>
        <v>12188.161995846445</v>
      </c>
    </row>
    <row r="1904" spans="1:33" ht="11.25" customHeight="1" x14ac:dyDescent="0.25">
      <c r="A1904" s="4" t="s">
        <v>28</v>
      </c>
      <c r="B1904" s="4" t="s">
        <v>37</v>
      </c>
      <c r="C1904" s="4" t="s">
        <v>33</v>
      </c>
      <c r="D1904" s="4" t="s">
        <v>43</v>
      </c>
      <c r="E1904" s="4" t="s">
        <v>25</v>
      </c>
      <c r="F1904" s="4" t="s">
        <v>25</v>
      </c>
      <c r="G1904" s="4" t="s">
        <v>25</v>
      </c>
      <c r="H1904" s="4" t="s">
        <v>35</v>
      </c>
      <c r="I1904" s="5">
        <v>44440</v>
      </c>
      <c r="J1904" s="6">
        <v>0</v>
      </c>
      <c r="K1904" s="6">
        <v>0</v>
      </c>
      <c r="L1904" s="6">
        <v>12.56</v>
      </c>
      <c r="M1904" s="6">
        <v>12.56</v>
      </c>
      <c r="N1904" s="6">
        <v>12.56</v>
      </c>
      <c r="O1904" s="6">
        <v>12.56</v>
      </c>
      <c r="P1904" s="6">
        <v>0</v>
      </c>
      <c r="Q1904" s="4" t="s">
        <v>26</v>
      </c>
      <c r="R1904" s="4">
        <v>0</v>
      </c>
      <c r="S1904" s="6">
        <v>0</v>
      </c>
      <c r="T1904" s="6">
        <v>55</v>
      </c>
      <c r="U1904" s="6">
        <v>99</v>
      </c>
      <c r="V1904" s="6">
        <f>IF(ISERROR(VLOOKUP($S$1904,'TAR FIN'!$A$1:$O$104,15,0)),0,VLOOKUP($S$1904,'TAR FIN'!$A$1:$O$104,15,0))</f>
        <v>0</v>
      </c>
      <c r="W1904" s="6">
        <f>IF(ISERROR(VLOOKUP($T$1904,'TAR FIN'!$A$1:$O$104,15,0)),0,VLOOKUP($T$1904,'TAR FIN'!$A$1:$O$104,15,0))</f>
        <v>260.22000000000003</v>
      </c>
      <c r="X1904" s="6">
        <f>IF(ISERROR(VLOOKUP($U$1904,'TAR FIN'!$A$1:$O$104,15,0)),0,VLOOKUP($U$1904,'TAR FIN'!$A$1:$O$104,15,0))</f>
        <v>242.82</v>
      </c>
      <c r="Y1904" s="6"/>
      <c r="Z1904" s="6">
        <f ca="1">('TUSD BE'!$AM$61+'TUSD BF'!$AM$61+'TUSD CVA'!$AM$61)*1</f>
        <v>275.5022411041889</v>
      </c>
      <c r="AA1904" s="6">
        <f>('TE BE'!$AB$40+'TE BF'!$AB$40+'TE CVA'!$AB$40)*1</f>
        <v>231.76257384332172</v>
      </c>
      <c r="AB1904" s="6">
        <f>$K$1904*$V$1904</f>
        <v>0</v>
      </c>
      <c r="AC1904" s="6">
        <f>$M$1904*$W$1904</f>
        <v>3268.3632000000007</v>
      </c>
      <c r="AD1904" s="6">
        <f>$O$1904*$X$1904</f>
        <v>3049.8191999999999</v>
      </c>
      <c r="AE1904" s="6">
        <f>$K$1904*$Y$1904</f>
        <v>0</v>
      </c>
      <c r="AF1904" s="6">
        <f ca="1">$M$1904*$Z$1904</f>
        <v>3460.3081482686125</v>
      </c>
      <c r="AG1904" s="6">
        <f>$O$1904*$AA$1904</f>
        <v>2910.9379274721209</v>
      </c>
    </row>
    <row r="1905" spans="1:33" ht="11.25" customHeight="1" x14ac:dyDescent="0.25">
      <c r="A1905" s="4" t="s">
        <v>21</v>
      </c>
      <c r="B1905" s="4" t="s">
        <v>37</v>
      </c>
      <c r="C1905" s="4" t="s">
        <v>33</v>
      </c>
      <c r="D1905" s="4" t="s">
        <v>43</v>
      </c>
      <c r="E1905" s="4" t="s">
        <v>25</v>
      </c>
      <c r="F1905" s="4" t="s">
        <v>25</v>
      </c>
      <c r="G1905" s="4" t="s">
        <v>25</v>
      </c>
      <c r="H1905" s="4" t="s">
        <v>35</v>
      </c>
      <c r="I1905" s="5">
        <v>44470</v>
      </c>
      <c r="J1905" s="6">
        <v>0</v>
      </c>
      <c r="K1905" s="6">
        <v>0</v>
      </c>
      <c r="L1905" s="6">
        <v>63.683</v>
      </c>
      <c r="M1905" s="6">
        <v>63.683</v>
      </c>
      <c r="N1905" s="6">
        <v>63.683</v>
      </c>
      <c r="O1905" s="6">
        <v>63.683</v>
      </c>
      <c r="P1905" s="6">
        <v>0</v>
      </c>
      <c r="Q1905" s="4" t="s">
        <v>26</v>
      </c>
      <c r="R1905" s="4">
        <v>0</v>
      </c>
      <c r="S1905" s="6">
        <v>0</v>
      </c>
      <c r="T1905" s="6">
        <v>55</v>
      </c>
      <c r="U1905" s="6">
        <v>99</v>
      </c>
      <c r="V1905" s="6">
        <f>IF(ISERROR(VLOOKUP($S$1905,'TAR FIN'!$A$1:$O$104,15,0)),0,VLOOKUP($S$1905,'TAR FIN'!$A$1:$O$104,15,0))</f>
        <v>0</v>
      </c>
      <c r="W1905" s="6">
        <f>IF(ISERROR(VLOOKUP($T$1905,'TAR FIN'!$A$1:$O$104,15,0)),0,VLOOKUP($T$1905,'TAR FIN'!$A$1:$O$104,15,0))</f>
        <v>260.22000000000003</v>
      </c>
      <c r="X1905" s="6">
        <f>IF(ISERROR(VLOOKUP($U$1905,'TAR FIN'!$A$1:$O$104,15,0)),0,VLOOKUP($U$1905,'TAR FIN'!$A$1:$O$104,15,0))</f>
        <v>242.82</v>
      </c>
      <c r="Y1905" s="6"/>
      <c r="Z1905" s="6">
        <f ca="1">('TUSD BE'!$AM$61+'TUSD BF'!$AM$61+'TUSD CVA'!$AM$61)*1</f>
        <v>275.5022411041889</v>
      </c>
      <c r="AA1905" s="6">
        <f>('TE BE'!$AB$40+'TE BF'!$AB$40+'TE CVA'!$AB$40)*1</f>
        <v>231.76257384332172</v>
      </c>
      <c r="AB1905" s="6">
        <f>$K$1905*$V$1905</f>
        <v>0</v>
      </c>
      <c r="AC1905" s="6">
        <f>$M$1905*$W$1905</f>
        <v>16571.590260000001</v>
      </c>
      <c r="AD1905" s="6">
        <f>$O$1905*$X$1905</f>
        <v>15463.50606</v>
      </c>
      <c r="AE1905" s="6">
        <f>$K$1905*$Y$1905</f>
        <v>0</v>
      </c>
      <c r="AF1905" s="6">
        <f ca="1">$M$1905*$Z$1905</f>
        <v>17544.809220238061</v>
      </c>
      <c r="AG1905" s="6">
        <f>$O$1905*$AA$1905</f>
        <v>14759.335990064257</v>
      </c>
    </row>
    <row r="1906" spans="1:33" ht="11.25" customHeight="1" x14ac:dyDescent="0.25">
      <c r="A1906" s="4" t="s">
        <v>28</v>
      </c>
      <c r="B1906" s="4" t="s">
        <v>37</v>
      </c>
      <c r="C1906" s="4" t="s">
        <v>33</v>
      </c>
      <c r="D1906" s="4" t="s">
        <v>43</v>
      </c>
      <c r="E1906" s="4" t="s">
        <v>25</v>
      </c>
      <c r="F1906" s="4" t="s">
        <v>25</v>
      </c>
      <c r="G1906" s="4" t="s">
        <v>25</v>
      </c>
      <c r="H1906" s="4" t="s">
        <v>35</v>
      </c>
      <c r="I1906" s="5">
        <v>44470</v>
      </c>
      <c r="J1906" s="6">
        <v>0</v>
      </c>
      <c r="K1906" s="6">
        <v>0</v>
      </c>
      <c r="L1906" s="6">
        <v>14.234999999999999</v>
      </c>
      <c r="M1906" s="6">
        <v>14.234999999999999</v>
      </c>
      <c r="N1906" s="6">
        <v>14.234999999999999</v>
      </c>
      <c r="O1906" s="6">
        <v>14.234999999999999</v>
      </c>
      <c r="P1906" s="6">
        <v>0</v>
      </c>
      <c r="Q1906" s="4" t="s">
        <v>26</v>
      </c>
      <c r="R1906" s="4">
        <v>0</v>
      </c>
      <c r="S1906" s="6">
        <v>0</v>
      </c>
      <c r="T1906" s="6">
        <v>55</v>
      </c>
      <c r="U1906" s="6">
        <v>99</v>
      </c>
      <c r="V1906" s="6">
        <f>IF(ISERROR(VLOOKUP($S$1906,'TAR FIN'!$A$1:$O$104,15,0)),0,VLOOKUP($S$1906,'TAR FIN'!$A$1:$O$104,15,0))</f>
        <v>0</v>
      </c>
      <c r="W1906" s="6">
        <f>IF(ISERROR(VLOOKUP($T$1906,'TAR FIN'!$A$1:$O$104,15,0)),0,VLOOKUP($T$1906,'TAR FIN'!$A$1:$O$104,15,0))</f>
        <v>260.22000000000003</v>
      </c>
      <c r="X1906" s="6">
        <f>IF(ISERROR(VLOOKUP($U$1906,'TAR FIN'!$A$1:$O$104,15,0)),0,VLOOKUP($U$1906,'TAR FIN'!$A$1:$O$104,15,0))</f>
        <v>242.82</v>
      </c>
      <c r="Y1906" s="6"/>
      <c r="Z1906" s="6">
        <f ca="1">('TUSD BE'!$AM$61+'TUSD BF'!$AM$61+'TUSD CVA'!$AM$61)*1</f>
        <v>275.5022411041889</v>
      </c>
      <c r="AA1906" s="6">
        <f>('TE BE'!$AB$40+'TE BF'!$AB$40+'TE CVA'!$AB$40)*1</f>
        <v>231.76257384332172</v>
      </c>
      <c r="AB1906" s="6">
        <f>$K$1906*$V$1906</f>
        <v>0</v>
      </c>
      <c r="AC1906" s="6">
        <f>$M$1906*$W$1906</f>
        <v>3704.2317000000003</v>
      </c>
      <c r="AD1906" s="6">
        <f>$O$1906*$X$1906</f>
        <v>3456.5427</v>
      </c>
      <c r="AE1906" s="6">
        <f>$K$1906*$Y$1906</f>
        <v>0</v>
      </c>
      <c r="AF1906" s="6">
        <f ca="1">$M$1906*$Z$1906</f>
        <v>3921.7744021181288</v>
      </c>
      <c r="AG1906" s="6">
        <f>$O$1906*$AA$1906</f>
        <v>3299.1402386596847</v>
      </c>
    </row>
    <row r="1907" spans="1:33" ht="11.25" customHeight="1" x14ac:dyDescent="0.25">
      <c r="A1907" s="4" t="s">
        <v>21</v>
      </c>
      <c r="B1907" s="4" t="s">
        <v>37</v>
      </c>
      <c r="C1907" s="4" t="s">
        <v>33</v>
      </c>
      <c r="D1907" s="4" t="s">
        <v>43</v>
      </c>
      <c r="E1907" s="4" t="s">
        <v>25</v>
      </c>
      <c r="F1907" s="4" t="s">
        <v>25</v>
      </c>
      <c r="G1907" s="4" t="s">
        <v>25</v>
      </c>
      <c r="H1907" s="4" t="s">
        <v>35</v>
      </c>
      <c r="I1907" s="5">
        <v>44501</v>
      </c>
      <c r="J1907" s="6">
        <v>0</v>
      </c>
      <c r="K1907" s="6">
        <v>0</v>
      </c>
      <c r="L1907" s="6">
        <v>65.144000000000005</v>
      </c>
      <c r="M1907" s="6">
        <v>65.144000000000005</v>
      </c>
      <c r="N1907" s="6">
        <v>65.144000000000005</v>
      </c>
      <c r="O1907" s="6">
        <v>65.144000000000005</v>
      </c>
      <c r="P1907" s="6">
        <v>0</v>
      </c>
      <c r="Q1907" s="4" t="s">
        <v>26</v>
      </c>
      <c r="R1907" s="4">
        <v>0</v>
      </c>
      <c r="S1907" s="6">
        <v>0</v>
      </c>
      <c r="T1907" s="6">
        <v>55</v>
      </c>
      <c r="U1907" s="6">
        <v>99</v>
      </c>
      <c r="V1907" s="6">
        <f>IF(ISERROR(VLOOKUP($S$1907,'TAR FIN'!$A$1:$O$104,15,0)),0,VLOOKUP($S$1907,'TAR FIN'!$A$1:$O$104,15,0))</f>
        <v>0</v>
      </c>
      <c r="W1907" s="6">
        <f>IF(ISERROR(VLOOKUP($T$1907,'TAR FIN'!$A$1:$O$104,15,0)),0,VLOOKUP($T$1907,'TAR FIN'!$A$1:$O$104,15,0))</f>
        <v>260.22000000000003</v>
      </c>
      <c r="X1907" s="6">
        <f>IF(ISERROR(VLOOKUP($U$1907,'TAR FIN'!$A$1:$O$104,15,0)),0,VLOOKUP($U$1907,'TAR FIN'!$A$1:$O$104,15,0))</f>
        <v>242.82</v>
      </c>
      <c r="Y1907" s="6"/>
      <c r="Z1907" s="6">
        <f ca="1">('TUSD BE'!$AM$61+'TUSD BF'!$AM$61+'TUSD CVA'!$AM$61)*1</f>
        <v>275.5022411041889</v>
      </c>
      <c r="AA1907" s="6">
        <f>('TE BE'!$AB$40+'TE BF'!$AB$40+'TE CVA'!$AB$40)*1</f>
        <v>231.76257384332172</v>
      </c>
      <c r="AB1907" s="6">
        <f>$K$1907*$V$1907</f>
        <v>0</v>
      </c>
      <c r="AC1907" s="6">
        <f>$M$1907*$W$1907</f>
        <v>16951.771680000002</v>
      </c>
      <c r="AD1907" s="6">
        <f>$O$1907*$X$1907</f>
        <v>15818.266080000001</v>
      </c>
      <c r="AE1907" s="6">
        <f>$K$1907*$Y$1907</f>
        <v>0</v>
      </c>
      <c r="AF1907" s="6">
        <f ca="1">$M$1907*$Z$1907</f>
        <v>17947.317994491284</v>
      </c>
      <c r="AG1907" s="6">
        <f>$O$1907*$AA$1907</f>
        <v>15097.941110449352</v>
      </c>
    </row>
    <row r="1908" spans="1:33" ht="11.25" customHeight="1" x14ac:dyDescent="0.25">
      <c r="A1908" s="4" t="s">
        <v>28</v>
      </c>
      <c r="B1908" s="4" t="s">
        <v>37</v>
      </c>
      <c r="C1908" s="4" t="s">
        <v>33</v>
      </c>
      <c r="D1908" s="4" t="s">
        <v>43</v>
      </c>
      <c r="E1908" s="4" t="s">
        <v>25</v>
      </c>
      <c r="F1908" s="4" t="s">
        <v>25</v>
      </c>
      <c r="G1908" s="4" t="s">
        <v>25</v>
      </c>
      <c r="H1908" s="4" t="s">
        <v>35</v>
      </c>
      <c r="I1908" s="5">
        <v>44501</v>
      </c>
      <c r="J1908" s="6">
        <v>0</v>
      </c>
      <c r="K1908" s="6">
        <v>0</v>
      </c>
      <c r="L1908" s="6">
        <v>15.669</v>
      </c>
      <c r="M1908" s="6">
        <v>15.669</v>
      </c>
      <c r="N1908" s="6">
        <v>15.669</v>
      </c>
      <c r="O1908" s="6">
        <v>15.669</v>
      </c>
      <c r="P1908" s="6">
        <v>0</v>
      </c>
      <c r="Q1908" s="4" t="s">
        <v>26</v>
      </c>
      <c r="R1908" s="4">
        <v>0</v>
      </c>
      <c r="S1908" s="6">
        <v>0</v>
      </c>
      <c r="T1908" s="6">
        <v>55</v>
      </c>
      <c r="U1908" s="6">
        <v>99</v>
      </c>
      <c r="V1908" s="6">
        <f>IF(ISERROR(VLOOKUP($S$1908,'TAR FIN'!$A$1:$O$104,15,0)),0,VLOOKUP($S$1908,'TAR FIN'!$A$1:$O$104,15,0))</f>
        <v>0</v>
      </c>
      <c r="W1908" s="6">
        <f>IF(ISERROR(VLOOKUP($T$1908,'TAR FIN'!$A$1:$O$104,15,0)),0,VLOOKUP($T$1908,'TAR FIN'!$A$1:$O$104,15,0))</f>
        <v>260.22000000000003</v>
      </c>
      <c r="X1908" s="6">
        <f>IF(ISERROR(VLOOKUP($U$1908,'TAR FIN'!$A$1:$O$104,15,0)),0,VLOOKUP($U$1908,'TAR FIN'!$A$1:$O$104,15,0))</f>
        <v>242.82</v>
      </c>
      <c r="Y1908" s="6"/>
      <c r="Z1908" s="6">
        <f ca="1">('TUSD BE'!$AM$61+'TUSD BF'!$AM$61+'TUSD CVA'!$AM$61)*1</f>
        <v>275.5022411041889</v>
      </c>
      <c r="AA1908" s="6">
        <f>('TE BE'!$AB$40+'TE BF'!$AB$40+'TE CVA'!$AB$40)*1</f>
        <v>231.76257384332172</v>
      </c>
      <c r="AB1908" s="6">
        <f>$K$1908*$V$1908</f>
        <v>0</v>
      </c>
      <c r="AC1908" s="6">
        <f>$M$1908*$W$1908</f>
        <v>4077.3871800000006</v>
      </c>
      <c r="AD1908" s="6">
        <f>$O$1908*$X$1908</f>
        <v>3804.74658</v>
      </c>
      <c r="AE1908" s="6">
        <f>$K$1908*$Y$1908</f>
        <v>0</v>
      </c>
      <c r="AF1908" s="6">
        <f ca="1">$M$1908*$Z$1908</f>
        <v>4316.8446158615361</v>
      </c>
      <c r="AG1908" s="6">
        <f>$O$1908*$AA$1908</f>
        <v>3631.4877695510081</v>
      </c>
    </row>
    <row r="1909" spans="1:33" ht="11.25" customHeight="1" x14ac:dyDescent="0.25">
      <c r="A1909" s="4" t="s">
        <v>21</v>
      </c>
      <c r="B1909" s="4" t="s">
        <v>37</v>
      </c>
      <c r="C1909" s="4" t="s">
        <v>33</v>
      </c>
      <c r="D1909" s="4" t="s">
        <v>43</v>
      </c>
      <c r="E1909" s="4" t="s">
        <v>25</v>
      </c>
      <c r="F1909" s="4" t="s">
        <v>25</v>
      </c>
      <c r="G1909" s="4" t="s">
        <v>25</v>
      </c>
      <c r="H1909" s="4" t="s">
        <v>35</v>
      </c>
      <c r="I1909" s="5">
        <v>44531</v>
      </c>
      <c r="J1909" s="6">
        <v>0</v>
      </c>
      <c r="K1909" s="6">
        <v>0</v>
      </c>
      <c r="L1909" s="6">
        <v>75.384</v>
      </c>
      <c r="M1909" s="6">
        <v>75.384</v>
      </c>
      <c r="N1909" s="6">
        <v>75.384</v>
      </c>
      <c r="O1909" s="6">
        <v>75.384</v>
      </c>
      <c r="P1909" s="6">
        <v>0</v>
      </c>
      <c r="Q1909" s="4" t="s">
        <v>26</v>
      </c>
      <c r="R1909" s="4">
        <v>0</v>
      </c>
      <c r="S1909" s="6">
        <v>0</v>
      </c>
      <c r="T1909" s="6">
        <v>55</v>
      </c>
      <c r="U1909" s="6">
        <v>99</v>
      </c>
      <c r="V1909" s="6">
        <f>IF(ISERROR(VLOOKUP($S$1909,'TAR FIN'!$A$1:$O$104,15,0)),0,VLOOKUP($S$1909,'TAR FIN'!$A$1:$O$104,15,0))</f>
        <v>0</v>
      </c>
      <c r="W1909" s="6">
        <f>IF(ISERROR(VLOOKUP($T$1909,'TAR FIN'!$A$1:$O$104,15,0)),0,VLOOKUP($T$1909,'TAR FIN'!$A$1:$O$104,15,0))</f>
        <v>260.22000000000003</v>
      </c>
      <c r="X1909" s="6">
        <f>IF(ISERROR(VLOOKUP($U$1909,'TAR FIN'!$A$1:$O$104,15,0)),0,VLOOKUP($U$1909,'TAR FIN'!$A$1:$O$104,15,0))</f>
        <v>242.82</v>
      </c>
      <c r="Y1909" s="6"/>
      <c r="Z1909" s="6">
        <f ca="1">('TUSD BE'!$AM$61+'TUSD BF'!$AM$61+'TUSD CVA'!$AM$61)*1</f>
        <v>275.5022411041889</v>
      </c>
      <c r="AA1909" s="6">
        <f>('TE BE'!$AB$40+'TE BF'!$AB$40+'TE CVA'!$AB$40)*1</f>
        <v>231.76257384332172</v>
      </c>
      <c r="AB1909" s="6">
        <f>$K$1909*$V$1909</f>
        <v>0</v>
      </c>
      <c r="AC1909" s="6">
        <f>$M$1909*$W$1909</f>
        <v>19616.424480000001</v>
      </c>
      <c r="AD1909" s="6">
        <f>$O$1909*$X$1909</f>
        <v>18304.742879999998</v>
      </c>
      <c r="AE1909" s="6">
        <f>$K$1909*$Y$1909</f>
        <v>0</v>
      </c>
      <c r="AF1909" s="6">
        <f ca="1">$M$1909*$Z$1909</f>
        <v>20768.460943398175</v>
      </c>
      <c r="AG1909" s="6">
        <f>$O$1909*$AA$1909</f>
        <v>17471.189866604964</v>
      </c>
    </row>
    <row r="1910" spans="1:33" ht="11.25" customHeight="1" x14ac:dyDescent="0.25">
      <c r="A1910" s="4" t="s">
        <v>27</v>
      </c>
      <c r="B1910" s="4" t="s">
        <v>37</v>
      </c>
      <c r="C1910" s="4" t="s">
        <v>33</v>
      </c>
      <c r="D1910" s="4" t="s">
        <v>43</v>
      </c>
      <c r="E1910" s="4" t="s">
        <v>25</v>
      </c>
      <c r="F1910" s="4" t="s">
        <v>25</v>
      </c>
      <c r="G1910" s="4" t="s">
        <v>25</v>
      </c>
      <c r="H1910" s="4" t="s">
        <v>35</v>
      </c>
      <c r="I1910" s="5">
        <v>44531</v>
      </c>
      <c r="J1910" s="6">
        <v>0</v>
      </c>
      <c r="K1910" s="6">
        <v>0</v>
      </c>
      <c r="L1910" s="6">
        <v>3.1E-2</v>
      </c>
      <c r="M1910" s="6">
        <v>3.1E-2</v>
      </c>
      <c r="N1910" s="6">
        <v>3.1E-2</v>
      </c>
      <c r="O1910" s="6">
        <v>3.1E-2</v>
      </c>
      <c r="P1910" s="6">
        <v>0</v>
      </c>
      <c r="Q1910" s="4" t="s">
        <v>26</v>
      </c>
      <c r="R1910" s="4">
        <v>0</v>
      </c>
      <c r="S1910" s="6">
        <v>0</v>
      </c>
      <c r="T1910" s="6">
        <v>55</v>
      </c>
      <c r="U1910" s="6">
        <v>99</v>
      </c>
      <c r="V1910" s="6">
        <f>IF(ISERROR(VLOOKUP($S$1910,'TAR FIN'!$A$1:$O$104,15,0)),0,VLOOKUP($S$1910,'TAR FIN'!$A$1:$O$104,15,0))</f>
        <v>0</v>
      </c>
      <c r="W1910" s="6">
        <f>IF(ISERROR(VLOOKUP($T$1910,'TAR FIN'!$A$1:$O$104,15,0)),0,VLOOKUP($T$1910,'TAR FIN'!$A$1:$O$104,15,0))</f>
        <v>260.22000000000003</v>
      </c>
      <c r="X1910" s="6">
        <f>IF(ISERROR(VLOOKUP($U$1910,'TAR FIN'!$A$1:$O$104,15,0)),0,VLOOKUP($U$1910,'TAR FIN'!$A$1:$O$104,15,0))</f>
        <v>242.82</v>
      </c>
      <c r="Y1910" s="6"/>
      <c r="Z1910" s="6">
        <f ca="1">('TUSD BE'!$AM$61+'TUSD BF'!$AM$61+'TUSD CVA'!$AM$61)*1</f>
        <v>275.5022411041889</v>
      </c>
      <c r="AA1910" s="6">
        <f>('TE BE'!$AB$40+'TE BF'!$AB$40+'TE CVA'!$AB$40)*1</f>
        <v>231.76257384332172</v>
      </c>
      <c r="AB1910" s="6">
        <f>$K$1910*$V$1910</f>
        <v>0</v>
      </c>
      <c r="AC1910" s="6">
        <f>$M$1910*$W$1910</f>
        <v>8.0668200000000017</v>
      </c>
      <c r="AD1910" s="6">
        <f>$O$1910*$X$1910</f>
        <v>7.5274199999999993</v>
      </c>
      <c r="AE1910" s="6">
        <f>$K$1910*$Y$1910</f>
        <v>0</v>
      </c>
      <c r="AF1910" s="6">
        <f ca="1">$M$1910*$Z$1910</f>
        <v>8.540569474229855</v>
      </c>
      <c r="AG1910" s="6">
        <f>$O$1910*$AA$1910</f>
        <v>7.184639789142973</v>
      </c>
    </row>
    <row r="1911" spans="1:33" ht="11.25" customHeight="1" x14ac:dyDescent="0.25">
      <c r="A1911" s="4" t="s">
        <v>28</v>
      </c>
      <c r="B1911" s="4" t="s">
        <v>37</v>
      </c>
      <c r="C1911" s="4" t="s">
        <v>33</v>
      </c>
      <c r="D1911" s="4" t="s">
        <v>43</v>
      </c>
      <c r="E1911" s="4" t="s">
        <v>25</v>
      </c>
      <c r="F1911" s="4" t="s">
        <v>25</v>
      </c>
      <c r="G1911" s="4" t="s">
        <v>25</v>
      </c>
      <c r="H1911" s="4" t="s">
        <v>35</v>
      </c>
      <c r="I1911" s="5">
        <v>44531</v>
      </c>
      <c r="J1911" s="6">
        <v>0</v>
      </c>
      <c r="K1911" s="6">
        <v>0</v>
      </c>
      <c r="L1911" s="6">
        <v>22.283999999999999</v>
      </c>
      <c r="M1911" s="6">
        <v>22.283999999999999</v>
      </c>
      <c r="N1911" s="6">
        <v>22.283999999999999</v>
      </c>
      <c r="O1911" s="6">
        <v>22.283999999999999</v>
      </c>
      <c r="P1911" s="6">
        <v>0</v>
      </c>
      <c r="Q1911" s="4" t="s">
        <v>26</v>
      </c>
      <c r="R1911" s="4">
        <v>0</v>
      </c>
      <c r="S1911" s="6">
        <v>0</v>
      </c>
      <c r="T1911" s="6">
        <v>55</v>
      </c>
      <c r="U1911" s="6">
        <v>99</v>
      </c>
      <c r="V1911" s="6">
        <f>IF(ISERROR(VLOOKUP($S$1911,'TAR FIN'!$A$1:$O$104,15,0)),0,VLOOKUP($S$1911,'TAR FIN'!$A$1:$O$104,15,0))</f>
        <v>0</v>
      </c>
      <c r="W1911" s="6">
        <f>IF(ISERROR(VLOOKUP($T$1911,'TAR FIN'!$A$1:$O$104,15,0)),0,VLOOKUP($T$1911,'TAR FIN'!$A$1:$O$104,15,0))</f>
        <v>260.22000000000003</v>
      </c>
      <c r="X1911" s="6">
        <f>IF(ISERROR(VLOOKUP($U$1911,'TAR FIN'!$A$1:$O$104,15,0)),0,VLOOKUP($U$1911,'TAR FIN'!$A$1:$O$104,15,0))</f>
        <v>242.82</v>
      </c>
      <c r="Y1911" s="6"/>
      <c r="Z1911" s="6">
        <f ca="1">('TUSD BE'!$AM$61+'TUSD BF'!$AM$61+'TUSD CVA'!$AM$61)*1</f>
        <v>275.5022411041889</v>
      </c>
      <c r="AA1911" s="6">
        <f>('TE BE'!$AB$40+'TE BF'!$AB$40+'TE CVA'!$AB$40)*1</f>
        <v>231.76257384332172</v>
      </c>
      <c r="AB1911" s="6">
        <f>$K$1911*$V$1911</f>
        <v>0</v>
      </c>
      <c r="AC1911" s="6">
        <f>$M$1911*$W$1911</f>
        <v>5798.7424799999999</v>
      </c>
      <c r="AD1911" s="6">
        <f>$O$1911*$X$1911</f>
        <v>5411.0008799999996</v>
      </c>
      <c r="AE1911" s="6">
        <f>$K$1911*$Y$1911</f>
        <v>0</v>
      </c>
      <c r="AF1911" s="6">
        <f ca="1">$M$1911*$Z$1911</f>
        <v>6139.2919407657455</v>
      </c>
      <c r="AG1911" s="6">
        <f>$O$1911*$AA$1911</f>
        <v>5164.5971955245814</v>
      </c>
    </row>
    <row r="1912" spans="1:33" ht="11.25" customHeight="1" x14ac:dyDescent="0.25">
      <c r="A1912" s="4" t="s">
        <v>21</v>
      </c>
      <c r="B1912" s="4" t="s">
        <v>37</v>
      </c>
      <c r="C1912" s="4" t="s">
        <v>33</v>
      </c>
      <c r="D1912" s="4" t="s">
        <v>43</v>
      </c>
      <c r="E1912" s="4" t="s">
        <v>25</v>
      </c>
      <c r="F1912" s="4" t="s">
        <v>25</v>
      </c>
      <c r="G1912" s="4" t="s">
        <v>25</v>
      </c>
      <c r="H1912" s="4" t="s">
        <v>35</v>
      </c>
      <c r="I1912" s="5">
        <v>44562</v>
      </c>
      <c r="J1912" s="6">
        <v>0</v>
      </c>
      <c r="K1912" s="6">
        <v>0</v>
      </c>
      <c r="L1912" s="6">
        <v>73.602000000000004</v>
      </c>
      <c r="M1912" s="6">
        <v>73.602000000000004</v>
      </c>
      <c r="N1912" s="6">
        <v>73.602000000000004</v>
      </c>
      <c r="O1912" s="6">
        <v>73.602000000000004</v>
      </c>
      <c r="P1912" s="6">
        <v>0</v>
      </c>
      <c r="Q1912" s="4" t="s">
        <v>26</v>
      </c>
      <c r="R1912" s="4">
        <v>0</v>
      </c>
      <c r="S1912" s="6">
        <v>0</v>
      </c>
      <c r="T1912" s="6">
        <v>55</v>
      </c>
      <c r="U1912" s="6">
        <v>99</v>
      </c>
      <c r="V1912" s="6">
        <f>IF(ISERROR(VLOOKUP($S$1912,'TAR FIN'!$A$1:$O$104,15,0)),0,VLOOKUP($S$1912,'TAR FIN'!$A$1:$O$104,15,0))</f>
        <v>0</v>
      </c>
      <c r="W1912" s="6">
        <f>IF(ISERROR(VLOOKUP($T$1912,'TAR FIN'!$A$1:$O$104,15,0)),0,VLOOKUP($T$1912,'TAR FIN'!$A$1:$O$104,15,0))</f>
        <v>260.22000000000003</v>
      </c>
      <c r="X1912" s="6">
        <f>IF(ISERROR(VLOOKUP($U$1912,'TAR FIN'!$A$1:$O$104,15,0)),0,VLOOKUP($U$1912,'TAR FIN'!$A$1:$O$104,15,0))</f>
        <v>242.82</v>
      </c>
      <c r="Y1912" s="6"/>
      <c r="Z1912" s="6">
        <f ca="1">('TUSD BE'!$AM$61+'TUSD BF'!$AM$61+'TUSD CVA'!$AM$61)*1</f>
        <v>275.5022411041889</v>
      </c>
      <c r="AA1912" s="6">
        <f>('TE BE'!$AB$40+'TE BF'!$AB$40+'TE CVA'!$AB$40)*1</f>
        <v>231.76257384332172</v>
      </c>
      <c r="AB1912" s="6">
        <f>$K$1912*$V$1912</f>
        <v>0</v>
      </c>
      <c r="AC1912" s="6">
        <f>$M$1912*$W$1912</f>
        <v>19152.712440000003</v>
      </c>
      <c r="AD1912" s="6">
        <f>$O$1912*$X$1912</f>
        <v>17872.037639999999</v>
      </c>
      <c r="AE1912" s="6">
        <f>$K$1912*$Y$1912</f>
        <v>0</v>
      </c>
      <c r="AF1912" s="6">
        <f ca="1">$M$1912*$Z$1912</f>
        <v>20277.515949750512</v>
      </c>
      <c r="AG1912" s="6">
        <f>$O$1912*$AA$1912</f>
        <v>17058.188960016167</v>
      </c>
    </row>
    <row r="1913" spans="1:33" ht="11.25" customHeight="1" x14ac:dyDescent="0.25">
      <c r="A1913" s="4" t="s">
        <v>27</v>
      </c>
      <c r="B1913" s="4" t="s">
        <v>37</v>
      </c>
      <c r="C1913" s="4" t="s">
        <v>33</v>
      </c>
      <c r="D1913" s="4" t="s">
        <v>43</v>
      </c>
      <c r="E1913" s="4" t="s">
        <v>25</v>
      </c>
      <c r="F1913" s="4" t="s">
        <v>25</v>
      </c>
      <c r="G1913" s="4" t="s">
        <v>25</v>
      </c>
      <c r="H1913" s="4" t="s">
        <v>35</v>
      </c>
      <c r="I1913" s="5">
        <v>44562</v>
      </c>
      <c r="J1913" s="6">
        <v>0</v>
      </c>
      <c r="K1913" s="6">
        <v>0</v>
      </c>
      <c r="L1913" s="6">
        <v>0.23300000000000001</v>
      </c>
      <c r="M1913" s="6">
        <v>0.23300000000000001</v>
      </c>
      <c r="N1913" s="6">
        <v>0.23300000000000001</v>
      </c>
      <c r="O1913" s="6">
        <v>0.23300000000000001</v>
      </c>
      <c r="P1913" s="6">
        <v>0</v>
      </c>
      <c r="Q1913" s="4" t="s">
        <v>26</v>
      </c>
      <c r="R1913" s="4">
        <v>0</v>
      </c>
      <c r="S1913" s="6">
        <v>0</v>
      </c>
      <c r="T1913" s="6">
        <v>55</v>
      </c>
      <c r="U1913" s="6">
        <v>99</v>
      </c>
      <c r="V1913" s="6">
        <f>IF(ISERROR(VLOOKUP($S$1913,'TAR FIN'!$A$1:$O$104,15,0)),0,VLOOKUP($S$1913,'TAR FIN'!$A$1:$O$104,15,0))</f>
        <v>0</v>
      </c>
      <c r="W1913" s="6">
        <f>IF(ISERROR(VLOOKUP($T$1913,'TAR FIN'!$A$1:$O$104,15,0)),0,VLOOKUP($T$1913,'TAR FIN'!$A$1:$O$104,15,0))</f>
        <v>260.22000000000003</v>
      </c>
      <c r="X1913" s="6">
        <f>IF(ISERROR(VLOOKUP($U$1913,'TAR FIN'!$A$1:$O$104,15,0)),0,VLOOKUP($U$1913,'TAR FIN'!$A$1:$O$104,15,0))</f>
        <v>242.82</v>
      </c>
      <c r="Y1913" s="6"/>
      <c r="Z1913" s="6">
        <f ca="1">('TUSD BE'!$AM$61+'TUSD BF'!$AM$61+'TUSD CVA'!$AM$61)*1</f>
        <v>275.5022411041889</v>
      </c>
      <c r="AA1913" s="6">
        <f>('TE BE'!$AB$40+'TE BF'!$AB$40+'TE CVA'!$AB$40)*1</f>
        <v>231.76257384332172</v>
      </c>
      <c r="AB1913" s="6">
        <f>$K$1913*$V$1913</f>
        <v>0</v>
      </c>
      <c r="AC1913" s="6">
        <f>$M$1913*$W$1913</f>
        <v>60.631260000000012</v>
      </c>
      <c r="AD1913" s="6">
        <f>$O$1913*$X$1913</f>
        <v>56.577060000000003</v>
      </c>
      <c r="AE1913" s="6">
        <f>$K$1913*$Y$1913</f>
        <v>0</v>
      </c>
      <c r="AF1913" s="6">
        <f ca="1">$M$1913*$Z$1913</f>
        <v>64.192022177276016</v>
      </c>
      <c r="AG1913" s="6">
        <f>$O$1913*$AA$1913</f>
        <v>54.000679705493965</v>
      </c>
    </row>
    <row r="1914" spans="1:33" ht="11.25" customHeight="1" x14ac:dyDescent="0.25">
      <c r="A1914" s="4" t="s">
        <v>28</v>
      </c>
      <c r="B1914" s="4" t="s">
        <v>37</v>
      </c>
      <c r="C1914" s="4" t="s">
        <v>33</v>
      </c>
      <c r="D1914" s="4" t="s">
        <v>43</v>
      </c>
      <c r="E1914" s="4" t="s">
        <v>25</v>
      </c>
      <c r="F1914" s="4" t="s">
        <v>25</v>
      </c>
      <c r="G1914" s="4" t="s">
        <v>25</v>
      </c>
      <c r="H1914" s="4" t="s">
        <v>35</v>
      </c>
      <c r="I1914" s="5">
        <v>44562</v>
      </c>
      <c r="J1914" s="6">
        <v>0</v>
      </c>
      <c r="K1914" s="6">
        <v>0</v>
      </c>
      <c r="L1914" s="6">
        <v>15.602</v>
      </c>
      <c r="M1914" s="6">
        <v>15.602</v>
      </c>
      <c r="N1914" s="6">
        <v>15.602</v>
      </c>
      <c r="O1914" s="6">
        <v>15.602</v>
      </c>
      <c r="P1914" s="6">
        <v>0</v>
      </c>
      <c r="Q1914" s="4" t="s">
        <v>26</v>
      </c>
      <c r="R1914" s="4">
        <v>0</v>
      </c>
      <c r="S1914" s="6">
        <v>0</v>
      </c>
      <c r="T1914" s="6">
        <v>55</v>
      </c>
      <c r="U1914" s="6">
        <v>99</v>
      </c>
      <c r="V1914" s="6">
        <f>IF(ISERROR(VLOOKUP($S$1914,'TAR FIN'!$A$1:$O$104,15,0)),0,VLOOKUP($S$1914,'TAR FIN'!$A$1:$O$104,15,0))</f>
        <v>0</v>
      </c>
      <c r="W1914" s="6">
        <f>IF(ISERROR(VLOOKUP($T$1914,'TAR FIN'!$A$1:$O$104,15,0)),0,VLOOKUP($T$1914,'TAR FIN'!$A$1:$O$104,15,0))</f>
        <v>260.22000000000003</v>
      </c>
      <c r="X1914" s="6">
        <f>IF(ISERROR(VLOOKUP($U$1914,'TAR FIN'!$A$1:$O$104,15,0)),0,VLOOKUP($U$1914,'TAR FIN'!$A$1:$O$104,15,0))</f>
        <v>242.82</v>
      </c>
      <c r="Y1914" s="6"/>
      <c r="Z1914" s="6">
        <f ca="1">('TUSD BE'!$AM$61+'TUSD BF'!$AM$61+'TUSD CVA'!$AM$61)*1</f>
        <v>275.5022411041889</v>
      </c>
      <c r="AA1914" s="6">
        <f>('TE BE'!$AB$40+'TE BF'!$AB$40+'TE CVA'!$AB$40)*1</f>
        <v>231.76257384332172</v>
      </c>
      <c r="AB1914" s="6">
        <f>$K$1914*$V$1914</f>
        <v>0</v>
      </c>
      <c r="AC1914" s="6">
        <f>$M$1914*$W$1914</f>
        <v>4059.9524400000005</v>
      </c>
      <c r="AD1914" s="6">
        <f>$O$1914*$X$1914</f>
        <v>3788.4776400000001</v>
      </c>
      <c r="AE1914" s="6">
        <f>$K$1914*$Y$1914</f>
        <v>0</v>
      </c>
      <c r="AF1914" s="6">
        <f ca="1">$M$1914*$Z$1914</f>
        <v>4298.3859657075554</v>
      </c>
      <c r="AG1914" s="6">
        <f>$O$1914*$AA$1914</f>
        <v>3615.9596771035053</v>
      </c>
    </row>
    <row r="1915" spans="1:33" ht="11.25" customHeight="1" x14ac:dyDescent="0.25">
      <c r="A1915" s="4" t="s">
        <v>28</v>
      </c>
      <c r="B1915" s="4" t="s">
        <v>37</v>
      </c>
      <c r="C1915" s="4" t="s">
        <v>33</v>
      </c>
      <c r="D1915" s="4" t="s">
        <v>43</v>
      </c>
      <c r="E1915" s="4" t="s">
        <v>25</v>
      </c>
      <c r="F1915" s="4" t="s">
        <v>25</v>
      </c>
      <c r="G1915" s="4" t="s">
        <v>25</v>
      </c>
      <c r="H1915" s="4" t="s">
        <v>35</v>
      </c>
      <c r="I1915" s="5">
        <v>44562</v>
      </c>
      <c r="J1915" s="6">
        <v>0</v>
      </c>
      <c r="K1915" s="6">
        <v>0</v>
      </c>
      <c r="L1915" s="6">
        <v>-6.673</v>
      </c>
      <c r="M1915" s="6">
        <v>-6.673</v>
      </c>
      <c r="N1915" s="6">
        <v>-6.673</v>
      </c>
      <c r="O1915" s="6">
        <v>-6.673</v>
      </c>
      <c r="P1915" s="6">
        <v>0</v>
      </c>
      <c r="Q1915" s="4" t="s">
        <v>26</v>
      </c>
      <c r="R1915" s="4">
        <v>0</v>
      </c>
      <c r="S1915" s="6">
        <v>0</v>
      </c>
      <c r="T1915" s="6">
        <v>55</v>
      </c>
      <c r="U1915" s="6">
        <v>99</v>
      </c>
      <c r="V1915" s="6">
        <f>IF(ISERROR(VLOOKUP($S$1915,'TAR FIN'!$A$1:$O$104,15,0)),0,VLOOKUP($S$1915,'TAR FIN'!$A$1:$O$104,15,0))</f>
        <v>0</v>
      </c>
      <c r="W1915" s="6">
        <f>IF(ISERROR(VLOOKUP($T$1915,'TAR FIN'!$A$1:$O$104,15,0)),0,VLOOKUP($T$1915,'TAR FIN'!$A$1:$O$104,15,0))</f>
        <v>260.22000000000003</v>
      </c>
      <c r="X1915" s="6">
        <f>IF(ISERROR(VLOOKUP($U$1915,'TAR FIN'!$A$1:$O$104,15,0)),0,VLOOKUP($U$1915,'TAR FIN'!$A$1:$O$104,15,0))</f>
        <v>242.82</v>
      </c>
      <c r="Y1915" s="6"/>
      <c r="Z1915" s="6">
        <f ca="1">('TUSD BE'!$AM$61+'TUSD BF'!$AM$61+'TUSD CVA'!$AM$61)*1</f>
        <v>275.5022411041889</v>
      </c>
      <c r="AA1915" s="6">
        <f>('TE BE'!$AB$40+'TE BF'!$AB$40+'TE CVA'!$AB$40)*1</f>
        <v>231.76257384332172</v>
      </c>
      <c r="AB1915" s="6">
        <f>$K$1915*$V$1915</f>
        <v>0</v>
      </c>
      <c r="AC1915" s="6">
        <f>$M$1915*$W$1915</f>
        <v>-1736.4480600000002</v>
      </c>
      <c r="AD1915" s="6">
        <f>$O$1915*$X$1915</f>
        <v>-1620.3378599999999</v>
      </c>
      <c r="AE1915" s="6">
        <f>$K$1915*$Y$1915</f>
        <v>0</v>
      </c>
      <c r="AF1915" s="6">
        <f ca="1">$M$1915*$Z$1915</f>
        <v>-1838.4264548882525</v>
      </c>
      <c r="AG1915" s="6">
        <f>$O$1915*$AA$1915</f>
        <v>-1546.5516552564859</v>
      </c>
    </row>
    <row r="1916" spans="1:33" ht="11.25" customHeight="1" x14ac:dyDescent="0.25">
      <c r="A1916" s="4" t="s">
        <v>21</v>
      </c>
      <c r="B1916" s="4" t="s">
        <v>37</v>
      </c>
      <c r="C1916" s="4" t="s">
        <v>33</v>
      </c>
      <c r="D1916" s="4" t="s">
        <v>43</v>
      </c>
      <c r="E1916" s="4" t="s">
        <v>25</v>
      </c>
      <c r="F1916" s="4" t="s">
        <v>25</v>
      </c>
      <c r="G1916" s="4" t="s">
        <v>25</v>
      </c>
      <c r="H1916" s="4" t="s">
        <v>35</v>
      </c>
      <c r="I1916" s="5">
        <v>44593</v>
      </c>
      <c r="J1916" s="6">
        <v>0</v>
      </c>
      <c r="K1916" s="6">
        <v>0</v>
      </c>
      <c r="L1916" s="6">
        <v>74.090999999999994</v>
      </c>
      <c r="M1916" s="6">
        <v>74.090999999999994</v>
      </c>
      <c r="N1916" s="6">
        <v>74.090999999999994</v>
      </c>
      <c r="O1916" s="6">
        <v>74.090999999999994</v>
      </c>
      <c r="P1916" s="6">
        <v>0</v>
      </c>
      <c r="Q1916" s="4" t="s">
        <v>26</v>
      </c>
      <c r="R1916" s="4">
        <v>0</v>
      </c>
      <c r="S1916" s="6">
        <v>0</v>
      </c>
      <c r="T1916" s="6">
        <v>55</v>
      </c>
      <c r="U1916" s="6">
        <v>99</v>
      </c>
      <c r="V1916" s="6">
        <f>IF(ISERROR(VLOOKUP($S$1916,'TAR FIN'!$A$1:$O$104,15,0)),0,VLOOKUP($S$1916,'TAR FIN'!$A$1:$O$104,15,0))</f>
        <v>0</v>
      </c>
      <c r="W1916" s="6">
        <f>IF(ISERROR(VLOOKUP($T$1916,'TAR FIN'!$A$1:$O$104,15,0)),0,VLOOKUP($T$1916,'TAR FIN'!$A$1:$O$104,15,0))</f>
        <v>260.22000000000003</v>
      </c>
      <c r="X1916" s="6">
        <f>IF(ISERROR(VLOOKUP($U$1916,'TAR FIN'!$A$1:$O$104,15,0)),0,VLOOKUP($U$1916,'TAR FIN'!$A$1:$O$104,15,0))</f>
        <v>242.82</v>
      </c>
      <c r="Y1916" s="6"/>
      <c r="Z1916" s="6">
        <f ca="1">('TUSD BE'!$AM$61+'TUSD BF'!$AM$61+'TUSD CVA'!$AM$61)*1</f>
        <v>275.5022411041889</v>
      </c>
      <c r="AA1916" s="6">
        <f>('TE BE'!$AB$40+'TE BF'!$AB$40+'TE CVA'!$AB$40)*1</f>
        <v>231.76257384332172</v>
      </c>
      <c r="AB1916" s="6">
        <f>$K$1916*$V$1916</f>
        <v>0</v>
      </c>
      <c r="AC1916" s="6">
        <f>$M$1916*$W$1916</f>
        <v>19279.960020000002</v>
      </c>
      <c r="AD1916" s="6">
        <f>$O$1916*$X$1916</f>
        <v>17990.776619999997</v>
      </c>
      <c r="AE1916" s="6">
        <f>$K$1916*$Y$1916</f>
        <v>0</v>
      </c>
      <c r="AF1916" s="6">
        <f ca="1">$M$1916*$Z$1916</f>
        <v>20412.236545650459</v>
      </c>
      <c r="AG1916" s="6">
        <f>$O$1916*$AA$1916</f>
        <v>17171.520858625547</v>
      </c>
    </row>
    <row r="1917" spans="1:33" ht="11.25" customHeight="1" x14ac:dyDescent="0.25">
      <c r="A1917" s="4" t="s">
        <v>28</v>
      </c>
      <c r="B1917" s="4" t="s">
        <v>37</v>
      </c>
      <c r="C1917" s="4" t="s">
        <v>33</v>
      </c>
      <c r="D1917" s="4" t="s">
        <v>43</v>
      </c>
      <c r="E1917" s="4" t="s">
        <v>25</v>
      </c>
      <c r="F1917" s="4" t="s">
        <v>25</v>
      </c>
      <c r="G1917" s="4" t="s">
        <v>25</v>
      </c>
      <c r="H1917" s="4" t="s">
        <v>35</v>
      </c>
      <c r="I1917" s="5">
        <v>44593</v>
      </c>
      <c r="J1917" s="6">
        <v>0</v>
      </c>
      <c r="K1917" s="6">
        <v>0</v>
      </c>
      <c r="L1917" s="6">
        <v>8.1669999999999998</v>
      </c>
      <c r="M1917" s="6">
        <v>8.1669999999999998</v>
      </c>
      <c r="N1917" s="6">
        <v>8.1669999999999998</v>
      </c>
      <c r="O1917" s="6">
        <v>8.1669999999999998</v>
      </c>
      <c r="P1917" s="6">
        <v>0</v>
      </c>
      <c r="Q1917" s="4" t="s">
        <v>26</v>
      </c>
      <c r="R1917" s="4">
        <v>0</v>
      </c>
      <c r="S1917" s="6">
        <v>0</v>
      </c>
      <c r="T1917" s="6">
        <v>55</v>
      </c>
      <c r="U1917" s="6">
        <v>99</v>
      </c>
      <c r="V1917" s="6">
        <f>IF(ISERROR(VLOOKUP($S$1917,'TAR FIN'!$A$1:$O$104,15,0)),0,VLOOKUP($S$1917,'TAR FIN'!$A$1:$O$104,15,0))</f>
        <v>0</v>
      </c>
      <c r="W1917" s="6">
        <f>IF(ISERROR(VLOOKUP($T$1917,'TAR FIN'!$A$1:$O$104,15,0)),0,VLOOKUP($T$1917,'TAR FIN'!$A$1:$O$104,15,0))</f>
        <v>260.22000000000003</v>
      </c>
      <c r="X1917" s="6">
        <f>IF(ISERROR(VLOOKUP($U$1917,'TAR FIN'!$A$1:$O$104,15,0)),0,VLOOKUP($U$1917,'TAR FIN'!$A$1:$O$104,15,0))</f>
        <v>242.82</v>
      </c>
      <c r="Y1917" s="6"/>
      <c r="Z1917" s="6">
        <f ca="1">('TUSD BE'!$AM$61+'TUSD BF'!$AM$61+'TUSD CVA'!$AM$61)*1</f>
        <v>275.5022411041889</v>
      </c>
      <c r="AA1917" s="6">
        <f>('TE BE'!$AB$40+'TE BF'!$AB$40+'TE CVA'!$AB$40)*1</f>
        <v>231.76257384332172</v>
      </c>
      <c r="AB1917" s="6">
        <f>$K$1917*$V$1917</f>
        <v>0</v>
      </c>
      <c r="AC1917" s="6">
        <f>$M$1917*$W$1917</f>
        <v>2125.2167400000003</v>
      </c>
      <c r="AD1917" s="6">
        <f>$O$1917*$X$1917</f>
        <v>1983.1109399999998</v>
      </c>
      <c r="AE1917" s="6">
        <f>$K$1917*$Y$1917</f>
        <v>0</v>
      </c>
      <c r="AF1917" s="6">
        <f ca="1">$M$1917*$Z$1917</f>
        <v>2250.0268030979105</v>
      </c>
      <c r="AG1917" s="6">
        <f>$O$1917*$AA$1917</f>
        <v>1892.8049405784084</v>
      </c>
    </row>
    <row r="1918" spans="1:33" ht="11.25" customHeight="1" x14ac:dyDescent="0.25">
      <c r="A1918" s="4" t="s">
        <v>21</v>
      </c>
      <c r="B1918" s="4" t="s">
        <v>37</v>
      </c>
      <c r="C1918" s="4" t="s">
        <v>33</v>
      </c>
      <c r="D1918" s="4" t="s">
        <v>43</v>
      </c>
      <c r="E1918" s="4" t="s">
        <v>25</v>
      </c>
      <c r="F1918" s="4" t="s">
        <v>25</v>
      </c>
      <c r="G1918" s="4" t="s">
        <v>25</v>
      </c>
      <c r="H1918" s="4" t="s">
        <v>35</v>
      </c>
      <c r="I1918" s="5">
        <v>44621</v>
      </c>
      <c r="J1918" s="6">
        <v>0</v>
      </c>
      <c r="K1918" s="6">
        <v>0</v>
      </c>
      <c r="L1918" s="6">
        <v>83.069000000000003</v>
      </c>
      <c r="M1918" s="6">
        <v>83.069000000000003</v>
      </c>
      <c r="N1918" s="6">
        <v>83.069000000000003</v>
      </c>
      <c r="O1918" s="6">
        <v>83.069000000000003</v>
      </c>
      <c r="P1918" s="6">
        <v>0</v>
      </c>
      <c r="Q1918" s="4" t="s">
        <v>26</v>
      </c>
      <c r="R1918" s="4">
        <v>0</v>
      </c>
      <c r="S1918" s="6">
        <v>0</v>
      </c>
      <c r="T1918" s="6">
        <v>55</v>
      </c>
      <c r="U1918" s="6">
        <v>99</v>
      </c>
      <c r="V1918" s="6">
        <f>IF(ISERROR(VLOOKUP($S$1918,'TAR FIN'!$A$1:$O$104,15,0)),0,VLOOKUP($S$1918,'TAR FIN'!$A$1:$O$104,15,0))</f>
        <v>0</v>
      </c>
      <c r="W1918" s="6">
        <f>IF(ISERROR(VLOOKUP($T$1918,'TAR FIN'!$A$1:$O$104,15,0)),0,VLOOKUP($T$1918,'TAR FIN'!$A$1:$O$104,15,0))</f>
        <v>260.22000000000003</v>
      </c>
      <c r="X1918" s="6">
        <f>IF(ISERROR(VLOOKUP($U$1918,'TAR FIN'!$A$1:$O$104,15,0)),0,VLOOKUP($U$1918,'TAR FIN'!$A$1:$O$104,15,0))</f>
        <v>242.82</v>
      </c>
      <c r="Y1918" s="6"/>
      <c r="Z1918" s="6">
        <f ca="1">('TUSD BE'!$AM$61+'TUSD BF'!$AM$61+'TUSD CVA'!$AM$61)*1</f>
        <v>275.5022411041889</v>
      </c>
      <c r="AA1918" s="6">
        <f>('TE BE'!$AB$40+'TE BF'!$AB$40+'TE CVA'!$AB$40)*1</f>
        <v>231.76257384332172</v>
      </c>
      <c r="AB1918" s="6">
        <f>$K$1918*$V$1918</f>
        <v>0</v>
      </c>
      <c r="AC1918" s="6">
        <f>$M$1918*$W$1918</f>
        <v>21616.215180000003</v>
      </c>
      <c r="AD1918" s="6">
        <f>$O$1918*$X$1918</f>
        <v>20170.814579999998</v>
      </c>
      <c r="AE1918" s="6">
        <f>$K$1918*$Y$1918</f>
        <v>0</v>
      </c>
      <c r="AF1918" s="6">
        <f ca="1">$M$1918*$Z$1918</f>
        <v>22885.695666283867</v>
      </c>
      <c r="AG1918" s="6">
        <f>$O$1918*$AA$1918</f>
        <v>19252.285246590891</v>
      </c>
    </row>
    <row r="1919" spans="1:33" ht="11.25" customHeight="1" x14ac:dyDescent="0.25">
      <c r="A1919" s="4" t="s">
        <v>28</v>
      </c>
      <c r="B1919" s="4" t="s">
        <v>37</v>
      </c>
      <c r="C1919" s="4" t="s">
        <v>33</v>
      </c>
      <c r="D1919" s="4" t="s">
        <v>43</v>
      </c>
      <c r="E1919" s="4" t="s">
        <v>25</v>
      </c>
      <c r="F1919" s="4" t="s">
        <v>25</v>
      </c>
      <c r="G1919" s="4" t="s">
        <v>25</v>
      </c>
      <c r="H1919" s="4" t="s">
        <v>35</v>
      </c>
      <c r="I1919" s="5">
        <v>44621</v>
      </c>
      <c r="J1919" s="6">
        <v>0</v>
      </c>
      <c r="K1919" s="6">
        <v>0</v>
      </c>
      <c r="L1919" s="6">
        <v>11.651999999999999</v>
      </c>
      <c r="M1919" s="6">
        <v>11.651999999999999</v>
      </c>
      <c r="N1919" s="6">
        <v>11.651999999999999</v>
      </c>
      <c r="O1919" s="6">
        <v>11.651999999999999</v>
      </c>
      <c r="P1919" s="6">
        <v>0</v>
      </c>
      <c r="Q1919" s="4" t="s">
        <v>26</v>
      </c>
      <c r="R1919" s="4">
        <v>0</v>
      </c>
      <c r="S1919" s="6">
        <v>0</v>
      </c>
      <c r="T1919" s="6">
        <v>55</v>
      </c>
      <c r="U1919" s="6">
        <v>99</v>
      </c>
      <c r="V1919" s="6">
        <f>IF(ISERROR(VLOOKUP($S$1919,'TAR FIN'!$A$1:$O$104,15,0)),0,VLOOKUP($S$1919,'TAR FIN'!$A$1:$O$104,15,0))</f>
        <v>0</v>
      </c>
      <c r="W1919" s="6">
        <f>IF(ISERROR(VLOOKUP($T$1919,'TAR FIN'!$A$1:$O$104,15,0)),0,VLOOKUP($T$1919,'TAR FIN'!$A$1:$O$104,15,0))</f>
        <v>260.22000000000003</v>
      </c>
      <c r="X1919" s="6">
        <f>IF(ISERROR(VLOOKUP($U$1919,'TAR FIN'!$A$1:$O$104,15,0)),0,VLOOKUP($U$1919,'TAR FIN'!$A$1:$O$104,15,0))</f>
        <v>242.82</v>
      </c>
      <c r="Y1919" s="6"/>
      <c r="Z1919" s="6">
        <f ca="1">('TUSD BE'!$AM$61+'TUSD BF'!$AM$61+'TUSD CVA'!$AM$61)*1</f>
        <v>275.5022411041889</v>
      </c>
      <c r="AA1919" s="6">
        <f>('TE BE'!$AB$40+'TE BF'!$AB$40+'TE CVA'!$AB$40)*1</f>
        <v>231.76257384332172</v>
      </c>
      <c r="AB1919" s="6">
        <f>$K$1919*$V$1919</f>
        <v>0</v>
      </c>
      <c r="AC1919" s="6">
        <f>$M$1919*$W$1919</f>
        <v>3032.0834400000003</v>
      </c>
      <c r="AD1919" s="6">
        <f>$O$1919*$X$1919</f>
        <v>2829.3386399999999</v>
      </c>
      <c r="AE1919" s="6">
        <f>$K$1919*$Y$1919</f>
        <v>0</v>
      </c>
      <c r="AF1919" s="6">
        <f ca="1">$M$1919*$Z$1919</f>
        <v>3210.1521133460087</v>
      </c>
      <c r="AG1919" s="6">
        <f>$O$1919*$AA$1919</f>
        <v>2700.4975104223845</v>
      </c>
    </row>
    <row r="1920" spans="1:33" ht="11.25" customHeight="1" x14ac:dyDescent="0.25">
      <c r="A1920" s="4" t="s">
        <v>21</v>
      </c>
      <c r="B1920" s="4" t="s">
        <v>37</v>
      </c>
      <c r="C1920" s="4" t="s">
        <v>33</v>
      </c>
      <c r="D1920" s="4" t="s">
        <v>43</v>
      </c>
      <c r="E1920" s="4" t="s">
        <v>25</v>
      </c>
      <c r="F1920" s="4" t="s">
        <v>25</v>
      </c>
      <c r="G1920" s="4" t="s">
        <v>25</v>
      </c>
      <c r="H1920" s="4" t="s">
        <v>35</v>
      </c>
      <c r="I1920" s="5">
        <v>44652</v>
      </c>
      <c r="J1920" s="6">
        <v>0</v>
      </c>
      <c r="K1920" s="6">
        <v>0</v>
      </c>
      <c r="L1920" s="6">
        <v>77.8</v>
      </c>
      <c r="M1920" s="6">
        <v>77.8</v>
      </c>
      <c r="N1920" s="6">
        <v>77.8</v>
      </c>
      <c r="O1920" s="6">
        <v>77.8</v>
      </c>
      <c r="P1920" s="6">
        <v>0</v>
      </c>
      <c r="Q1920" s="4" t="s">
        <v>26</v>
      </c>
      <c r="R1920" s="4">
        <v>0</v>
      </c>
      <c r="S1920" s="6">
        <v>0</v>
      </c>
      <c r="T1920" s="6">
        <v>55</v>
      </c>
      <c r="U1920" s="6">
        <v>99</v>
      </c>
      <c r="V1920" s="6">
        <f>IF(ISERROR(VLOOKUP($S$1920,'TAR FIN'!$A$1:$O$104,15,0)),0,VLOOKUP($S$1920,'TAR FIN'!$A$1:$O$104,15,0))</f>
        <v>0</v>
      </c>
      <c r="W1920" s="6">
        <f>IF(ISERROR(VLOOKUP($T$1920,'TAR FIN'!$A$1:$O$104,15,0)),0,VLOOKUP($T$1920,'TAR FIN'!$A$1:$O$104,15,0))</f>
        <v>260.22000000000003</v>
      </c>
      <c r="X1920" s="6">
        <f>IF(ISERROR(VLOOKUP($U$1920,'TAR FIN'!$A$1:$O$104,15,0)),0,VLOOKUP($U$1920,'TAR FIN'!$A$1:$O$104,15,0))</f>
        <v>242.82</v>
      </c>
      <c r="Y1920" s="6"/>
      <c r="Z1920" s="6">
        <f ca="1">('TUSD BE'!$AM$61+'TUSD BF'!$AM$61+'TUSD CVA'!$AM$61)*1</f>
        <v>275.5022411041889</v>
      </c>
      <c r="AA1920" s="6">
        <f>('TE BE'!$AB$40+'TE BF'!$AB$40+'TE CVA'!$AB$40)*1</f>
        <v>231.76257384332172</v>
      </c>
      <c r="AB1920" s="6">
        <f>$K$1920*$V$1920</f>
        <v>0</v>
      </c>
      <c r="AC1920" s="6">
        <f>$M$1920*$W$1920</f>
        <v>20245.116000000002</v>
      </c>
      <c r="AD1920" s="6">
        <f>$O$1920*$X$1920</f>
        <v>18891.395999999997</v>
      </c>
      <c r="AE1920" s="6">
        <f>$K$1920*$Y$1920</f>
        <v>0</v>
      </c>
      <c r="AF1920" s="6">
        <f ca="1">$M$1920*$Z$1920</f>
        <v>21434.074357905894</v>
      </c>
      <c r="AG1920" s="6">
        <f>$O$1920*$AA$1920</f>
        <v>18031.12824501043</v>
      </c>
    </row>
    <row r="1921" spans="1:33" ht="11.25" customHeight="1" x14ac:dyDescent="0.25">
      <c r="A1921" s="4" t="s">
        <v>28</v>
      </c>
      <c r="B1921" s="4" t="s">
        <v>37</v>
      </c>
      <c r="C1921" s="4" t="s">
        <v>33</v>
      </c>
      <c r="D1921" s="4" t="s">
        <v>43</v>
      </c>
      <c r="E1921" s="4" t="s">
        <v>25</v>
      </c>
      <c r="F1921" s="4" t="s">
        <v>25</v>
      </c>
      <c r="G1921" s="4" t="s">
        <v>25</v>
      </c>
      <c r="H1921" s="4" t="s">
        <v>35</v>
      </c>
      <c r="I1921" s="5">
        <v>44652</v>
      </c>
      <c r="J1921" s="6">
        <v>0</v>
      </c>
      <c r="K1921" s="6">
        <v>0</v>
      </c>
      <c r="L1921" s="6">
        <v>4.1619999999999999</v>
      </c>
      <c r="M1921" s="6">
        <v>4.1619999999999999</v>
      </c>
      <c r="N1921" s="6">
        <v>4.1619999999999999</v>
      </c>
      <c r="O1921" s="6">
        <v>4.1619999999999999</v>
      </c>
      <c r="P1921" s="6">
        <v>0</v>
      </c>
      <c r="Q1921" s="4" t="s">
        <v>26</v>
      </c>
      <c r="R1921" s="4">
        <v>0</v>
      </c>
      <c r="S1921" s="6">
        <v>0</v>
      </c>
      <c r="T1921" s="6">
        <v>55</v>
      </c>
      <c r="U1921" s="6">
        <v>99</v>
      </c>
      <c r="V1921" s="6">
        <f>IF(ISERROR(VLOOKUP($S$1921,'TAR FIN'!$A$1:$O$104,15,0)),0,VLOOKUP($S$1921,'TAR FIN'!$A$1:$O$104,15,0))</f>
        <v>0</v>
      </c>
      <c r="W1921" s="6">
        <f>IF(ISERROR(VLOOKUP($T$1921,'TAR FIN'!$A$1:$O$104,15,0)),0,VLOOKUP($T$1921,'TAR FIN'!$A$1:$O$104,15,0))</f>
        <v>260.22000000000003</v>
      </c>
      <c r="X1921" s="6">
        <f>IF(ISERROR(VLOOKUP($U$1921,'TAR FIN'!$A$1:$O$104,15,0)),0,VLOOKUP($U$1921,'TAR FIN'!$A$1:$O$104,15,0))</f>
        <v>242.82</v>
      </c>
      <c r="Y1921" s="6"/>
      <c r="Z1921" s="6">
        <f ca="1">('TUSD BE'!$AM$61+'TUSD BF'!$AM$61+'TUSD CVA'!$AM$61)*1</f>
        <v>275.5022411041889</v>
      </c>
      <c r="AA1921" s="6">
        <f>('TE BE'!$AB$40+'TE BF'!$AB$40+'TE CVA'!$AB$40)*1</f>
        <v>231.76257384332172</v>
      </c>
      <c r="AB1921" s="6">
        <f>$K$1921*$V$1921</f>
        <v>0</v>
      </c>
      <c r="AC1921" s="6">
        <f>$M$1921*$W$1921</f>
        <v>1083.0356400000001</v>
      </c>
      <c r="AD1921" s="6">
        <f>$O$1921*$X$1921</f>
        <v>1010.6168399999999</v>
      </c>
      <c r="AE1921" s="6">
        <f>$K$1921*$Y$1921</f>
        <v>0</v>
      </c>
      <c r="AF1921" s="6">
        <f ca="1">$M$1921*$Z$1921</f>
        <v>1146.6403274756342</v>
      </c>
      <c r="AG1921" s="6">
        <f>$O$1921*$AA$1921</f>
        <v>964.59583233590502</v>
      </c>
    </row>
    <row r="1922" spans="1:33" ht="11.25" customHeight="1" x14ac:dyDescent="0.25">
      <c r="A1922" s="4" t="s">
        <v>21</v>
      </c>
      <c r="B1922" s="4" t="s">
        <v>37</v>
      </c>
      <c r="C1922" s="4" t="s">
        <v>33</v>
      </c>
      <c r="D1922" s="4" t="s">
        <v>43</v>
      </c>
      <c r="E1922" s="4" t="s">
        <v>25</v>
      </c>
      <c r="F1922" s="4" t="s">
        <v>25</v>
      </c>
      <c r="G1922" s="4" t="s">
        <v>25</v>
      </c>
      <c r="H1922" s="4" t="s">
        <v>35</v>
      </c>
      <c r="I1922" s="5">
        <v>44682</v>
      </c>
      <c r="J1922" s="6">
        <v>0</v>
      </c>
      <c r="K1922" s="6">
        <v>0</v>
      </c>
      <c r="L1922" s="6">
        <v>77.960999999999999</v>
      </c>
      <c r="M1922" s="6">
        <v>77.960999999999999</v>
      </c>
      <c r="N1922" s="6">
        <v>77.960999999999999</v>
      </c>
      <c r="O1922" s="6">
        <v>77.960999999999999</v>
      </c>
      <c r="P1922" s="6">
        <v>0</v>
      </c>
      <c r="Q1922" s="4" t="s">
        <v>26</v>
      </c>
      <c r="R1922" s="4">
        <v>0</v>
      </c>
      <c r="S1922" s="6">
        <v>0</v>
      </c>
      <c r="T1922" s="6">
        <v>55</v>
      </c>
      <c r="U1922" s="6">
        <v>99</v>
      </c>
      <c r="V1922" s="6">
        <f>IF(ISERROR(VLOOKUP($S$1922,'TAR FIN'!$A$1:$O$104,15,0)),0,VLOOKUP($S$1922,'TAR FIN'!$A$1:$O$104,15,0))</f>
        <v>0</v>
      </c>
      <c r="W1922" s="6">
        <f>IF(ISERROR(VLOOKUP($T$1922,'TAR FIN'!$A$1:$O$104,15,0)),0,VLOOKUP($T$1922,'TAR FIN'!$A$1:$O$104,15,0))</f>
        <v>260.22000000000003</v>
      </c>
      <c r="X1922" s="6">
        <f>IF(ISERROR(VLOOKUP($U$1922,'TAR FIN'!$A$1:$O$104,15,0)),0,VLOOKUP($U$1922,'TAR FIN'!$A$1:$O$104,15,0))</f>
        <v>242.82</v>
      </c>
      <c r="Y1922" s="6"/>
      <c r="Z1922" s="6">
        <f ca="1">('TUSD BE'!$AM$61+'TUSD BF'!$AM$61+'TUSD CVA'!$AM$61)*1</f>
        <v>275.5022411041889</v>
      </c>
      <c r="AA1922" s="6">
        <f>('TE BE'!$AB$40+'TE BF'!$AB$40+'TE CVA'!$AB$40)*1</f>
        <v>231.76257384332172</v>
      </c>
      <c r="AB1922" s="6">
        <f>$K$1922*$V$1922</f>
        <v>0</v>
      </c>
      <c r="AC1922" s="6">
        <f>$M$1922*$W$1922</f>
        <v>20287.011420000003</v>
      </c>
      <c r="AD1922" s="6">
        <f>$O$1922*$X$1922</f>
        <v>18930.490019999997</v>
      </c>
      <c r="AE1922" s="6">
        <f>$K$1922*$Y$1922</f>
        <v>0</v>
      </c>
      <c r="AF1922" s="6">
        <f ca="1">$M$1922*$Z$1922</f>
        <v>21478.430218723672</v>
      </c>
      <c r="AG1922" s="6">
        <f>$O$1922*$AA$1922</f>
        <v>18068.442019399205</v>
      </c>
    </row>
    <row r="1923" spans="1:33" ht="11.25" customHeight="1" x14ac:dyDescent="0.25">
      <c r="A1923" s="4" t="s">
        <v>28</v>
      </c>
      <c r="B1923" s="4" t="s">
        <v>37</v>
      </c>
      <c r="C1923" s="4" t="s">
        <v>33</v>
      </c>
      <c r="D1923" s="4" t="s">
        <v>43</v>
      </c>
      <c r="E1923" s="4" t="s">
        <v>25</v>
      </c>
      <c r="F1923" s="4" t="s">
        <v>25</v>
      </c>
      <c r="G1923" s="4" t="s">
        <v>25</v>
      </c>
      <c r="H1923" s="4" t="s">
        <v>35</v>
      </c>
      <c r="I1923" s="5">
        <v>44682</v>
      </c>
      <c r="J1923" s="6">
        <v>0</v>
      </c>
      <c r="K1923" s="6">
        <v>0</v>
      </c>
      <c r="L1923" s="6">
        <v>5.6619999999999999</v>
      </c>
      <c r="M1923" s="6">
        <v>5.6619999999999999</v>
      </c>
      <c r="N1923" s="6">
        <v>5.6619999999999999</v>
      </c>
      <c r="O1923" s="6">
        <v>5.6619999999999999</v>
      </c>
      <c r="P1923" s="6">
        <v>0</v>
      </c>
      <c r="Q1923" s="4" t="s">
        <v>26</v>
      </c>
      <c r="R1923" s="4">
        <v>0</v>
      </c>
      <c r="S1923" s="6">
        <v>0</v>
      </c>
      <c r="T1923" s="6">
        <v>55</v>
      </c>
      <c r="U1923" s="6">
        <v>99</v>
      </c>
      <c r="V1923" s="6">
        <f>IF(ISERROR(VLOOKUP($S$1923,'TAR FIN'!$A$1:$O$104,15,0)),0,VLOOKUP($S$1923,'TAR FIN'!$A$1:$O$104,15,0))</f>
        <v>0</v>
      </c>
      <c r="W1923" s="6">
        <f>IF(ISERROR(VLOOKUP($T$1923,'TAR FIN'!$A$1:$O$104,15,0)),0,VLOOKUP($T$1923,'TAR FIN'!$A$1:$O$104,15,0))</f>
        <v>260.22000000000003</v>
      </c>
      <c r="X1923" s="6">
        <f>IF(ISERROR(VLOOKUP($U$1923,'TAR FIN'!$A$1:$O$104,15,0)),0,VLOOKUP($U$1923,'TAR FIN'!$A$1:$O$104,15,0))</f>
        <v>242.82</v>
      </c>
      <c r="Y1923" s="6"/>
      <c r="Z1923" s="6">
        <f ca="1">('TUSD BE'!$AM$61+'TUSD BF'!$AM$61+'TUSD CVA'!$AM$61)*1</f>
        <v>275.5022411041889</v>
      </c>
      <c r="AA1923" s="6">
        <f>('TE BE'!$AB$40+'TE BF'!$AB$40+'TE CVA'!$AB$40)*1</f>
        <v>231.76257384332172</v>
      </c>
      <c r="AB1923" s="6">
        <f>$K$1923*$V$1923</f>
        <v>0</v>
      </c>
      <c r="AC1923" s="6">
        <f>$M$1923*$W$1923</f>
        <v>1473.3656400000002</v>
      </c>
      <c r="AD1923" s="6">
        <f>$O$1923*$X$1923</f>
        <v>1374.8468399999999</v>
      </c>
      <c r="AE1923" s="6">
        <f>$K$1923*$Y$1923</f>
        <v>0</v>
      </c>
      <c r="AF1923" s="6">
        <f ca="1">$M$1923*$Z$1923</f>
        <v>1559.8936891319174</v>
      </c>
      <c r="AG1923" s="6">
        <f>$O$1923*$AA$1923</f>
        <v>1312.2396931008875</v>
      </c>
    </row>
    <row r="1924" spans="1:33" ht="11.25" customHeight="1" x14ac:dyDescent="0.25">
      <c r="A1924" s="4" t="s">
        <v>21</v>
      </c>
      <c r="B1924" s="4" t="s">
        <v>37</v>
      </c>
      <c r="C1924" s="4" t="s">
        <v>33</v>
      </c>
      <c r="D1924" s="4" t="s">
        <v>43</v>
      </c>
      <c r="E1924" s="4" t="s">
        <v>25</v>
      </c>
      <c r="F1924" s="4" t="s">
        <v>25</v>
      </c>
      <c r="G1924" s="4" t="s">
        <v>25</v>
      </c>
      <c r="H1924" s="4" t="s">
        <v>35</v>
      </c>
      <c r="I1924" s="5">
        <v>44713</v>
      </c>
      <c r="J1924" s="6">
        <v>0</v>
      </c>
      <c r="K1924" s="6">
        <v>0</v>
      </c>
      <c r="L1924" s="6">
        <v>68.433999999999997</v>
      </c>
      <c r="M1924" s="6">
        <v>68.433999999999997</v>
      </c>
      <c r="N1924" s="6">
        <v>68.433999999999997</v>
      </c>
      <c r="O1924" s="6">
        <v>68.433999999999997</v>
      </c>
      <c r="P1924" s="6">
        <v>0</v>
      </c>
      <c r="Q1924" s="4" t="s">
        <v>26</v>
      </c>
      <c r="R1924" s="4">
        <v>0</v>
      </c>
      <c r="S1924" s="6">
        <v>0</v>
      </c>
      <c r="T1924" s="6">
        <v>55</v>
      </c>
      <c r="U1924" s="6">
        <v>99</v>
      </c>
      <c r="V1924" s="6">
        <f>IF(ISERROR(VLOOKUP($S$1924,'TAR FIN'!$A$1:$O$104,15,0)),0,VLOOKUP($S$1924,'TAR FIN'!$A$1:$O$104,15,0))</f>
        <v>0</v>
      </c>
      <c r="W1924" s="6">
        <f>IF(ISERROR(VLOOKUP($T$1924,'TAR FIN'!$A$1:$O$104,15,0)),0,VLOOKUP($T$1924,'TAR FIN'!$A$1:$O$104,15,0))</f>
        <v>260.22000000000003</v>
      </c>
      <c r="X1924" s="6">
        <f>IF(ISERROR(VLOOKUP($U$1924,'TAR FIN'!$A$1:$O$104,15,0)),0,VLOOKUP($U$1924,'TAR FIN'!$A$1:$O$104,15,0))</f>
        <v>242.82</v>
      </c>
      <c r="Y1924" s="6"/>
      <c r="Z1924" s="6">
        <f ca="1">('TUSD BE'!$AM$61+'TUSD BF'!$AM$61+'TUSD CVA'!$AM$61)*1</f>
        <v>275.5022411041889</v>
      </c>
      <c r="AA1924" s="6">
        <f>('TE BE'!$AB$40+'TE BF'!$AB$40+'TE CVA'!$AB$40)*1</f>
        <v>231.76257384332172</v>
      </c>
      <c r="AB1924" s="6">
        <f>$K$1924*$V$1924</f>
        <v>0</v>
      </c>
      <c r="AC1924" s="6">
        <f>$M$1924*$W$1924</f>
        <v>17807.895480000003</v>
      </c>
      <c r="AD1924" s="6">
        <f>$O$1924*$X$1924</f>
        <v>16617.14388</v>
      </c>
      <c r="AE1924" s="6">
        <f>$K$1924*$Y$1924</f>
        <v>0</v>
      </c>
      <c r="AF1924" s="6">
        <f ca="1">$M$1924*$Z$1924</f>
        <v>18853.720367724061</v>
      </c>
      <c r="AG1924" s="6">
        <f>$O$1924*$AA$1924</f>
        <v>15860.439978393877</v>
      </c>
    </row>
    <row r="1925" spans="1:33" ht="11.25" customHeight="1" x14ac:dyDescent="0.25">
      <c r="A1925" s="4" t="s">
        <v>27</v>
      </c>
      <c r="B1925" s="4" t="s">
        <v>37</v>
      </c>
      <c r="C1925" s="4" t="s">
        <v>33</v>
      </c>
      <c r="D1925" s="4" t="s">
        <v>43</v>
      </c>
      <c r="E1925" s="4" t="s">
        <v>25</v>
      </c>
      <c r="F1925" s="4" t="s">
        <v>25</v>
      </c>
      <c r="G1925" s="4" t="s">
        <v>25</v>
      </c>
      <c r="H1925" s="4" t="s">
        <v>35</v>
      </c>
      <c r="I1925" s="5">
        <v>44713</v>
      </c>
      <c r="J1925" s="6">
        <v>0</v>
      </c>
      <c r="K1925" s="6">
        <v>0</v>
      </c>
      <c r="L1925" s="6">
        <v>1.292</v>
      </c>
      <c r="M1925" s="6">
        <v>1.292</v>
      </c>
      <c r="N1925" s="6">
        <v>1.292</v>
      </c>
      <c r="O1925" s="6">
        <v>1.292</v>
      </c>
      <c r="P1925" s="6">
        <v>0</v>
      </c>
      <c r="Q1925" s="4" t="s">
        <v>26</v>
      </c>
      <c r="R1925" s="4">
        <v>0</v>
      </c>
      <c r="S1925" s="6">
        <v>0</v>
      </c>
      <c r="T1925" s="6">
        <v>55</v>
      </c>
      <c r="U1925" s="6">
        <v>99</v>
      </c>
      <c r="V1925" s="6">
        <f>IF(ISERROR(VLOOKUP($S$1925,'TAR FIN'!$A$1:$O$104,15,0)),0,VLOOKUP($S$1925,'TAR FIN'!$A$1:$O$104,15,0))</f>
        <v>0</v>
      </c>
      <c r="W1925" s="6">
        <f>IF(ISERROR(VLOOKUP($T$1925,'TAR FIN'!$A$1:$O$104,15,0)),0,VLOOKUP($T$1925,'TAR FIN'!$A$1:$O$104,15,0))</f>
        <v>260.22000000000003</v>
      </c>
      <c r="X1925" s="6">
        <f>IF(ISERROR(VLOOKUP($U$1925,'TAR FIN'!$A$1:$O$104,15,0)),0,VLOOKUP($U$1925,'TAR FIN'!$A$1:$O$104,15,0))</f>
        <v>242.82</v>
      </c>
      <c r="Y1925" s="6"/>
      <c r="Z1925" s="6">
        <f ca="1">('TUSD BE'!$AM$61+'TUSD BF'!$AM$61+'TUSD CVA'!$AM$61)*1</f>
        <v>275.5022411041889</v>
      </c>
      <c r="AA1925" s="6">
        <f>('TE BE'!$AB$40+'TE BF'!$AB$40+'TE CVA'!$AB$40)*1</f>
        <v>231.76257384332172</v>
      </c>
      <c r="AB1925" s="6">
        <f>$K$1925*$V$1925</f>
        <v>0</v>
      </c>
      <c r="AC1925" s="6">
        <f>$M$1925*$W$1925</f>
        <v>336.20424000000003</v>
      </c>
      <c r="AD1925" s="6">
        <f>$O$1925*$X$1925</f>
        <v>313.72343999999998</v>
      </c>
      <c r="AE1925" s="6">
        <f>$K$1925*$Y$1925</f>
        <v>0</v>
      </c>
      <c r="AF1925" s="6">
        <f ca="1">$M$1925*$Z$1925</f>
        <v>355.94889550661208</v>
      </c>
      <c r="AG1925" s="6">
        <f>$O$1925*$AA$1925</f>
        <v>299.43724540557167</v>
      </c>
    </row>
    <row r="1926" spans="1:33" ht="11.25" customHeight="1" x14ac:dyDescent="0.25">
      <c r="A1926" s="4" t="s">
        <v>28</v>
      </c>
      <c r="B1926" s="4" t="s">
        <v>37</v>
      </c>
      <c r="C1926" s="4" t="s">
        <v>33</v>
      </c>
      <c r="D1926" s="4" t="s">
        <v>43</v>
      </c>
      <c r="E1926" s="4" t="s">
        <v>25</v>
      </c>
      <c r="F1926" s="4" t="s">
        <v>25</v>
      </c>
      <c r="G1926" s="4" t="s">
        <v>25</v>
      </c>
      <c r="H1926" s="4" t="s">
        <v>35</v>
      </c>
      <c r="I1926" s="5">
        <v>44713</v>
      </c>
      <c r="J1926" s="6">
        <v>0</v>
      </c>
      <c r="K1926" s="6">
        <v>0</v>
      </c>
      <c r="L1926" s="6">
        <v>5.43</v>
      </c>
      <c r="M1926" s="6">
        <v>5.43</v>
      </c>
      <c r="N1926" s="6">
        <v>5.43</v>
      </c>
      <c r="O1926" s="6">
        <v>5.43</v>
      </c>
      <c r="P1926" s="6">
        <v>0</v>
      </c>
      <c r="Q1926" s="4" t="s">
        <v>26</v>
      </c>
      <c r="R1926" s="4">
        <v>0</v>
      </c>
      <c r="S1926" s="6">
        <v>0</v>
      </c>
      <c r="T1926" s="6">
        <v>55</v>
      </c>
      <c r="U1926" s="6">
        <v>99</v>
      </c>
      <c r="V1926" s="6">
        <f>IF(ISERROR(VLOOKUP($S$1926,'TAR FIN'!$A$1:$O$104,15,0)),0,VLOOKUP($S$1926,'TAR FIN'!$A$1:$O$104,15,0))</f>
        <v>0</v>
      </c>
      <c r="W1926" s="6">
        <f>IF(ISERROR(VLOOKUP($T$1926,'TAR FIN'!$A$1:$O$104,15,0)),0,VLOOKUP($T$1926,'TAR FIN'!$A$1:$O$104,15,0))</f>
        <v>260.22000000000003</v>
      </c>
      <c r="X1926" s="6">
        <f>IF(ISERROR(VLOOKUP($U$1926,'TAR FIN'!$A$1:$O$104,15,0)),0,VLOOKUP($U$1926,'TAR FIN'!$A$1:$O$104,15,0))</f>
        <v>242.82</v>
      </c>
      <c r="Y1926" s="6"/>
      <c r="Z1926" s="6">
        <f ca="1">('TUSD BE'!$AM$61+'TUSD BF'!$AM$61+'TUSD CVA'!$AM$61)*1</f>
        <v>275.5022411041889</v>
      </c>
      <c r="AA1926" s="6">
        <f>('TE BE'!$AB$40+'TE BF'!$AB$40+'TE CVA'!$AB$40)*1</f>
        <v>231.76257384332172</v>
      </c>
      <c r="AB1926" s="6">
        <f>$K$1926*$V$1926</f>
        <v>0</v>
      </c>
      <c r="AC1926" s="6">
        <f>$M$1926*$W$1926</f>
        <v>1412.9946</v>
      </c>
      <c r="AD1926" s="6">
        <f>$O$1926*$X$1926</f>
        <v>1318.5125999999998</v>
      </c>
      <c r="AE1926" s="6">
        <f>$K$1926*$Y$1926</f>
        <v>0</v>
      </c>
      <c r="AF1926" s="6">
        <f ca="1">$M$1926*$Z$1926</f>
        <v>1495.9771691957455</v>
      </c>
      <c r="AG1926" s="6">
        <f>$O$1926*$AA$1926</f>
        <v>1258.4707759692369</v>
      </c>
    </row>
    <row r="1927" spans="1:33" ht="11.25" customHeight="1" x14ac:dyDescent="0.25">
      <c r="A1927" s="4" t="s">
        <v>57</v>
      </c>
      <c r="B1927" s="4" t="s">
        <v>37</v>
      </c>
      <c r="C1927" s="4" t="s">
        <v>33</v>
      </c>
      <c r="D1927" s="4" t="s">
        <v>43</v>
      </c>
      <c r="E1927" s="4" t="s">
        <v>25</v>
      </c>
      <c r="F1927" s="4" t="s">
        <v>25</v>
      </c>
      <c r="G1927" s="4" t="s">
        <v>25</v>
      </c>
      <c r="H1927" s="4" t="s">
        <v>35</v>
      </c>
      <c r="I1927" s="5">
        <v>44743</v>
      </c>
      <c r="J1927" s="6">
        <v>0</v>
      </c>
      <c r="K1927" s="6">
        <v>0</v>
      </c>
      <c r="L1927" s="6">
        <v>68.433999999999997</v>
      </c>
      <c r="M1927" s="6">
        <v>68.433999999999997</v>
      </c>
      <c r="N1927" s="6">
        <v>68.433999999999997</v>
      </c>
      <c r="O1927" s="6">
        <v>68.433999999999997</v>
      </c>
      <c r="P1927" s="6">
        <v>0</v>
      </c>
      <c r="Q1927" s="4" t="s">
        <v>26</v>
      </c>
      <c r="R1927" s="4">
        <v>0</v>
      </c>
      <c r="S1927" s="6">
        <v>0</v>
      </c>
      <c r="T1927" s="6">
        <v>55</v>
      </c>
      <c r="U1927" s="6">
        <v>99</v>
      </c>
      <c r="V1927" s="6">
        <f>IF(ISERROR(VLOOKUP($S$1927,'TAR FIN'!$A$1:$O$104,15,0)),0,VLOOKUP($S$1927,'TAR FIN'!$A$1:$O$104,15,0))</f>
        <v>0</v>
      </c>
      <c r="W1927" s="6">
        <f>IF(ISERROR(VLOOKUP($T$1927,'TAR FIN'!$A$1:$O$104,15,0)),0,VLOOKUP($T$1927,'TAR FIN'!$A$1:$O$104,15,0))</f>
        <v>260.22000000000003</v>
      </c>
      <c r="X1927" s="6">
        <f>IF(ISERROR(VLOOKUP($U$1927,'TAR FIN'!$A$1:$O$104,15,0)),0,VLOOKUP($U$1927,'TAR FIN'!$A$1:$O$104,15,0))</f>
        <v>242.82</v>
      </c>
      <c r="Y1927" s="6"/>
      <c r="Z1927" s="6">
        <f ca="1">('TUSD BE'!$AM$61+'TUSD BF'!$AM$61+'TUSD CVA'!$AM$61)*1</f>
        <v>275.5022411041889</v>
      </c>
      <c r="AA1927" s="6">
        <f>('TE BE'!$AB$40+'TE BF'!$AB$40+'TE CVA'!$AB$40)*1</f>
        <v>231.76257384332172</v>
      </c>
      <c r="AB1927" s="6">
        <f>$K$1927*$V$1927</f>
        <v>0</v>
      </c>
      <c r="AC1927" s="6">
        <f>$M$1927*$W$1927</f>
        <v>17807.895480000003</v>
      </c>
      <c r="AD1927" s="6">
        <f>$O$1927*$X$1927</f>
        <v>16617.14388</v>
      </c>
      <c r="AE1927" s="6">
        <f>$K$1927*$Y$1927</f>
        <v>0</v>
      </c>
      <c r="AF1927" s="6">
        <f ca="1">$M$1927*$Z$1927</f>
        <v>18853.720367724061</v>
      </c>
      <c r="AG1927" s="6">
        <f>$O$1927*$AA$1927</f>
        <v>15860.439978393877</v>
      </c>
    </row>
    <row r="1928" spans="1:33" ht="11.25" customHeight="1" x14ac:dyDescent="0.25">
      <c r="A1928" s="4" t="s">
        <v>57</v>
      </c>
      <c r="B1928" s="4" t="s">
        <v>37</v>
      </c>
      <c r="C1928" s="4" t="s">
        <v>33</v>
      </c>
      <c r="D1928" s="4" t="s">
        <v>43</v>
      </c>
      <c r="E1928" s="4" t="s">
        <v>25</v>
      </c>
      <c r="F1928" s="4" t="s">
        <v>25</v>
      </c>
      <c r="G1928" s="4" t="s">
        <v>25</v>
      </c>
      <c r="H1928" s="4" t="s">
        <v>35</v>
      </c>
      <c r="I1928" s="5">
        <v>44743</v>
      </c>
      <c r="J1928" s="6">
        <v>0</v>
      </c>
      <c r="K1928" s="6">
        <v>0</v>
      </c>
      <c r="L1928" s="6">
        <v>1.292</v>
      </c>
      <c r="M1928" s="6">
        <v>1.292</v>
      </c>
      <c r="N1928" s="6">
        <v>1.292</v>
      </c>
      <c r="O1928" s="6">
        <v>1.292</v>
      </c>
      <c r="P1928" s="6">
        <v>0</v>
      </c>
      <c r="Q1928" s="4" t="s">
        <v>26</v>
      </c>
      <c r="R1928" s="4">
        <v>0</v>
      </c>
      <c r="S1928" s="6">
        <v>0</v>
      </c>
      <c r="T1928" s="6">
        <v>55</v>
      </c>
      <c r="U1928" s="6">
        <v>99</v>
      </c>
      <c r="V1928" s="6">
        <f>IF(ISERROR(VLOOKUP($S$1928,'TAR FIN'!$A$1:$O$104,15,0)),0,VLOOKUP($S$1928,'TAR FIN'!$A$1:$O$104,15,0))</f>
        <v>0</v>
      </c>
      <c r="W1928" s="6">
        <f>IF(ISERROR(VLOOKUP($T$1928,'TAR FIN'!$A$1:$O$104,15,0)),0,VLOOKUP($T$1928,'TAR FIN'!$A$1:$O$104,15,0))</f>
        <v>260.22000000000003</v>
      </c>
      <c r="X1928" s="6">
        <f>IF(ISERROR(VLOOKUP($U$1928,'TAR FIN'!$A$1:$O$104,15,0)),0,VLOOKUP($U$1928,'TAR FIN'!$A$1:$O$104,15,0))</f>
        <v>242.82</v>
      </c>
      <c r="Y1928" s="6"/>
      <c r="Z1928" s="6">
        <f ca="1">('TUSD BE'!$AM$61+'TUSD BF'!$AM$61+'TUSD CVA'!$AM$61)*1</f>
        <v>275.5022411041889</v>
      </c>
      <c r="AA1928" s="6">
        <f>('TE BE'!$AB$40+'TE BF'!$AB$40+'TE CVA'!$AB$40)*1</f>
        <v>231.76257384332172</v>
      </c>
      <c r="AB1928" s="6">
        <f>$K$1928*$V$1928</f>
        <v>0</v>
      </c>
      <c r="AC1928" s="6">
        <f>$M$1928*$W$1928</f>
        <v>336.20424000000003</v>
      </c>
      <c r="AD1928" s="6">
        <f>$O$1928*$X$1928</f>
        <v>313.72343999999998</v>
      </c>
      <c r="AE1928" s="6">
        <f>$K$1928*$Y$1928</f>
        <v>0</v>
      </c>
      <c r="AF1928" s="6">
        <f ca="1">$M$1928*$Z$1928</f>
        <v>355.94889550661208</v>
      </c>
      <c r="AG1928" s="6">
        <f>$O$1928*$AA$1928</f>
        <v>299.43724540557167</v>
      </c>
    </row>
    <row r="1929" spans="1:33" ht="11.25" customHeight="1" x14ac:dyDescent="0.25">
      <c r="A1929" s="4" t="s">
        <v>57</v>
      </c>
      <c r="B1929" s="4" t="s">
        <v>37</v>
      </c>
      <c r="C1929" s="4" t="s">
        <v>33</v>
      </c>
      <c r="D1929" s="4" t="s">
        <v>43</v>
      </c>
      <c r="E1929" s="4" t="s">
        <v>25</v>
      </c>
      <c r="F1929" s="4" t="s">
        <v>25</v>
      </c>
      <c r="G1929" s="4" t="s">
        <v>25</v>
      </c>
      <c r="H1929" s="4" t="s">
        <v>35</v>
      </c>
      <c r="I1929" s="5">
        <v>44743</v>
      </c>
      <c r="J1929" s="6">
        <v>0</v>
      </c>
      <c r="K1929" s="6">
        <v>0</v>
      </c>
      <c r="L1929" s="6">
        <v>5.43</v>
      </c>
      <c r="M1929" s="6">
        <v>5.43</v>
      </c>
      <c r="N1929" s="6">
        <v>5.43</v>
      </c>
      <c r="O1929" s="6">
        <v>5.43</v>
      </c>
      <c r="P1929" s="6">
        <v>0</v>
      </c>
      <c r="Q1929" s="4" t="s">
        <v>26</v>
      </c>
      <c r="R1929" s="4">
        <v>0</v>
      </c>
      <c r="S1929" s="6">
        <v>0</v>
      </c>
      <c r="T1929" s="6">
        <v>55</v>
      </c>
      <c r="U1929" s="6">
        <v>99</v>
      </c>
      <c r="V1929" s="6">
        <f>IF(ISERROR(VLOOKUP($S$1929,'TAR FIN'!$A$1:$O$104,15,0)),0,VLOOKUP($S$1929,'TAR FIN'!$A$1:$O$104,15,0))</f>
        <v>0</v>
      </c>
      <c r="W1929" s="6">
        <f>IF(ISERROR(VLOOKUP($T$1929,'TAR FIN'!$A$1:$O$104,15,0)),0,VLOOKUP($T$1929,'TAR FIN'!$A$1:$O$104,15,0))</f>
        <v>260.22000000000003</v>
      </c>
      <c r="X1929" s="6">
        <f>IF(ISERROR(VLOOKUP($U$1929,'TAR FIN'!$A$1:$O$104,15,0)),0,VLOOKUP($U$1929,'TAR FIN'!$A$1:$O$104,15,0))</f>
        <v>242.82</v>
      </c>
      <c r="Y1929" s="6"/>
      <c r="Z1929" s="6">
        <f ca="1">('TUSD BE'!$AM$61+'TUSD BF'!$AM$61+'TUSD CVA'!$AM$61)*1</f>
        <v>275.5022411041889</v>
      </c>
      <c r="AA1929" s="6">
        <f>('TE BE'!$AB$40+'TE BF'!$AB$40+'TE CVA'!$AB$40)*1</f>
        <v>231.76257384332172</v>
      </c>
      <c r="AB1929" s="6">
        <f>$K$1929*$V$1929</f>
        <v>0</v>
      </c>
      <c r="AC1929" s="6">
        <f>$M$1929*$W$1929</f>
        <v>1412.9946</v>
      </c>
      <c r="AD1929" s="6">
        <f>$O$1929*$X$1929</f>
        <v>1318.5125999999998</v>
      </c>
      <c r="AE1929" s="6">
        <f>$K$1929*$Y$1929</f>
        <v>0</v>
      </c>
      <c r="AF1929" s="6">
        <f ca="1">$M$1929*$Z$1929</f>
        <v>1495.9771691957455</v>
      </c>
      <c r="AG1929" s="6">
        <f>$O$1929*$AA$1929</f>
        <v>1258.4707759692369</v>
      </c>
    </row>
    <row r="1930" spans="1:33" ht="11.25" customHeight="1" x14ac:dyDescent="0.25">
      <c r="A1930" s="4" t="s">
        <v>21</v>
      </c>
      <c r="B1930" s="4" t="s">
        <v>37</v>
      </c>
      <c r="C1930" s="4" t="s">
        <v>33</v>
      </c>
      <c r="D1930" s="4" t="s">
        <v>43</v>
      </c>
      <c r="E1930" s="4" t="s">
        <v>25</v>
      </c>
      <c r="F1930" s="4" t="s">
        <v>25</v>
      </c>
      <c r="G1930" s="4" t="s">
        <v>25</v>
      </c>
      <c r="H1930" s="4" t="s">
        <v>36</v>
      </c>
      <c r="I1930" s="5">
        <v>44409</v>
      </c>
      <c r="J1930" s="6">
        <v>0</v>
      </c>
      <c r="K1930" s="6">
        <v>0</v>
      </c>
      <c r="L1930" s="6">
        <v>3.0609999999999999</v>
      </c>
      <c r="M1930" s="6">
        <v>3.0609999999999999</v>
      </c>
      <c r="N1930" s="6">
        <v>3.0609999999999999</v>
      </c>
      <c r="O1930" s="6">
        <v>3.0609999999999999</v>
      </c>
      <c r="P1930" s="6">
        <v>0</v>
      </c>
      <c r="Q1930" s="4" t="s">
        <v>26</v>
      </c>
      <c r="R1930" s="4">
        <v>0</v>
      </c>
      <c r="S1930" s="6">
        <v>0</v>
      </c>
      <c r="T1930" s="6">
        <v>53</v>
      </c>
      <c r="U1930" s="6">
        <v>98</v>
      </c>
      <c r="V1930" s="6">
        <f>IF(ISERROR(VLOOKUP($S$1930,'TAR FIN'!$A$1:$O$104,15,0)),0,VLOOKUP($S$1930,'TAR FIN'!$A$1:$O$104,15,0))</f>
        <v>0</v>
      </c>
      <c r="W1930" s="6">
        <f>IF(ISERROR(VLOOKUP($T$1930,'TAR FIN'!$A$1:$O$104,15,0)),0,VLOOKUP($T$1930,'TAR FIN'!$A$1:$O$104,15,0))</f>
        <v>604.4</v>
      </c>
      <c r="X1930" s="6">
        <f>IF(ISERROR(VLOOKUP($U$1930,'TAR FIN'!$A$1:$O$104,15,0)),0,VLOOKUP($U$1930,'TAR FIN'!$A$1:$O$104,15,0))</f>
        <v>242.82</v>
      </c>
      <c r="Y1930" s="6"/>
      <c r="Z1930" s="6">
        <f ca="1">('TUSD BE'!$AM$60+'TUSD BF'!$AM$60+'TUSD CVA'!$AM$60)*1</f>
        <v>620.20988729592284</v>
      </c>
      <c r="AA1930" s="6">
        <f>('TE BE'!$AB$39+'TE BF'!$AB$39+'TE CVA'!$AB$39)*1</f>
        <v>231.76257384332172</v>
      </c>
      <c r="AB1930" s="6">
        <f>$K$1930*$V$1930</f>
        <v>0</v>
      </c>
      <c r="AC1930" s="6">
        <f>$M$1930*$W$1930</f>
        <v>1850.0683999999999</v>
      </c>
      <c r="AD1930" s="6">
        <f>$O$1930*$X$1930</f>
        <v>743.27202</v>
      </c>
      <c r="AE1930" s="6">
        <f>$K$1930*$Y$1930</f>
        <v>0</v>
      </c>
      <c r="AF1930" s="6">
        <f ca="1">$M$1930*$Z$1930</f>
        <v>1898.4624650128198</v>
      </c>
      <c r="AG1930" s="6">
        <f>$O$1930*$AA$1930</f>
        <v>709.42523853440775</v>
      </c>
    </row>
    <row r="1931" spans="1:33" ht="11.25" customHeight="1" x14ac:dyDescent="0.25">
      <c r="A1931" s="4" t="s">
        <v>28</v>
      </c>
      <c r="B1931" s="4" t="s">
        <v>37</v>
      </c>
      <c r="C1931" s="4" t="s">
        <v>33</v>
      </c>
      <c r="D1931" s="4" t="s">
        <v>43</v>
      </c>
      <c r="E1931" s="4" t="s">
        <v>25</v>
      </c>
      <c r="F1931" s="4" t="s">
        <v>25</v>
      </c>
      <c r="G1931" s="4" t="s">
        <v>25</v>
      </c>
      <c r="H1931" s="4" t="s">
        <v>36</v>
      </c>
      <c r="I1931" s="5">
        <v>44409</v>
      </c>
      <c r="J1931" s="6">
        <v>0</v>
      </c>
      <c r="K1931" s="6">
        <v>0</v>
      </c>
      <c r="L1931" s="6">
        <v>1.169</v>
      </c>
      <c r="M1931" s="6">
        <v>1.169</v>
      </c>
      <c r="N1931" s="6">
        <v>1.169</v>
      </c>
      <c r="O1931" s="6">
        <v>1.169</v>
      </c>
      <c r="P1931" s="6">
        <v>0</v>
      </c>
      <c r="Q1931" s="4" t="s">
        <v>26</v>
      </c>
      <c r="R1931" s="4">
        <v>0</v>
      </c>
      <c r="S1931" s="6">
        <v>0</v>
      </c>
      <c r="T1931" s="6">
        <v>53</v>
      </c>
      <c r="U1931" s="6">
        <v>98</v>
      </c>
      <c r="V1931" s="6">
        <f>IF(ISERROR(VLOOKUP($S$1931,'TAR FIN'!$A$1:$O$104,15,0)),0,VLOOKUP($S$1931,'TAR FIN'!$A$1:$O$104,15,0))</f>
        <v>0</v>
      </c>
      <c r="W1931" s="6">
        <f>IF(ISERROR(VLOOKUP($T$1931,'TAR FIN'!$A$1:$O$104,15,0)),0,VLOOKUP($T$1931,'TAR FIN'!$A$1:$O$104,15,0))</f>
        <v>604.4</v>
      </c>
      <c r="X1931" s="6">
        <f>IF(ISERROR(VLOOKUP($U$1931,'TAR FIN'!$A$1:$O$104,15,0)),0,VLOOKUP($U$1931,'TAR FIN'!$A$1:$O$104,15,0))</f>
        <v>242.82</v>
      </c>
      <c r="Y1931" s="6"/>
      <c r="Z1931" s="6">
        <f ca="1">('TUSD BE'!$AM$60+'TUSD BF'!$AM$60+'TUSD CVA'!$AM$60)*1</f>
        <v>620.20988729592284</v>
      </c>
      <c r="AA1931" s="6">
        <f>('TE BE'!$AB$39+'TE BF'!$AB$39+'TE CVA'!$AB$39)*1</f>
        <v>231.76257384332172</v>
      </c>
      <c r="AB1931" s="6">
        <f>$K$1931*$V$1931</f>
        <v>0</v>
      </c>
      <c r="AC1931" s="6">
        <f>$M$1931*$W$1931</f>
        <v>706.54359999999997</v>
      </c>
      <c r="AD1931" s="6">
        <f>$O$1931*$X$1931</f>
        <v>283.85658000000001</v>
      </c>
      <c r="AE1931" s="6">
        <f>$K$1931*$Y$1931</f>
        <v>0</v>
      </c>
      <c r="AF1931" s="6">
        <f ca="1">$M$1931*$Z$1931</f>
        <v>725.0253582489338</v>
      </c>
      <c r="AG1931" s="6">
        <f>$O$1931*$AA$1931</f>
        <v>270.93044882284312</v>
      </c>
    </row>
    <row r="1932" spans="1:33" ht="11.25" customHeight="1" x14ac:dyDescent="0.25">
      <c r="A1932" s="4" t="s">
        <v>21</v>
      </c>
      <c r="B1932" s="4" t="s">
        <v>37</v>
      </c>
      <c r="C1932" s="4" t="s">
        <v>33</v>
      </c>
      <c r="D1932" s="4" t="s">
        <v>43</v>
      </c>
      <c r="E1932" s="4" t="s">
        <v>25</v>
      </c>
      <c r="F1932" s="4" t="s">
        <v>25</v>
      </c>
      <c r="G1932" s="4" t="s">
        <v>25</v>
      </c>
      <c r="H1932" s="4" t="s">
        <v>36</v>
      </c>
      <c r="I1932" s="5">
        <v>44440</v>
      </c>
      <c r="J1932" s="6">
        <v>0</v>
      </c>
      <c r="K1932" s="6">
        <v>0</v>
      </c>
      <c r="L1932" s="6">
        <v>3.222</v>
      </c>
      <c r="M1932" s="6">
        <v>3.222</v>
      </c>
      <c r="N1932" s="6">
        <v>3.222</v>
      </c>
      <c r="O1932" s="6">
        <v>3.222</v>
      </c>
      <c r="P1932" s="6">
        <v>0</v>
      </c>
      <c r="Q1932" s="4" t="s">
        <v>26</v>
      </c>
      <c r="R1932" s="4">
        <v>0</v>
      </c>
      <c r="S1932" s="6">
        <v>0</v>
      </c>
      <c r="T1932" s="6">
        <v>53</v>
      </c>
      <c r="U1932" s="6">
        <v>98</v>
      </c>
      <c r="V1932" s="6">
        <f>IF(ISERROR(VLOOKUP($S$1932,'TAR FIN'!$A$1:$O$104,15,0)),0,VLOOKUP($S$1932,'TAR FIN'!$A$1:$O$104,15,0))</f>
        <v>0</v>
      </c>
      <c r="W1932" s="6">
        <f>IF(ISERROR(VLOOKUP($T$1932,'TAR FIN'!$A$1:$O$104,15,0)),0,VLOOKUP($T$1932,'TAR FIN'!$A$1:$O$104,15,0))</f>
        <v>604.4</v>
      </c>
      <c r="X1932" s="6">
        <f>IF(ISERROR(VLOOKUP($U$1932,'TAR FIN'!$A$1:$O$104,15,0)),0,VLOOKUP($U$1932,'TAR FIN'!$A$1:$O$104,15,0))</f>
        <v>242.82</v>
      </c>
      <c r="Y1932" s="6"/>
      <c r="Z1932" s="6">
        <f ca="1">('TUSD BE'!$AM$60+'TUSD BF'!$AM$60+'TUSD CVA'!$AM$60)*1</f>
        <v>620.20988729592284</v>
      </c>
      <c r="AA1932" s="6">
        <f>('TE BE'!$AB$39+'TE BF'!$AB$39+'TE CVA'!$AB$39)*1</f>
        <v>231.76257384332172</v>
      </c>
      <c r="AB1932" s="6">
        <f>$K$1932*$V$1932</f>
        <v>0</v>
      </c>
      <c r="AC1932" s="6">
        <f>$M$1932*$W$1932</f>
        <v>1947.3768</v>
      </c>
      <c r="AD1932" s="6">
        <f>$O$1932*$X$1932</f>
        <v>782.36604</v>
      </c>
      <c r="AE1932" s="6">
        <f>$K$1932*$Y$1932</f>
        <v>0</v>
      </c>
      <c r="AF1932" s="6">
        <f ca="1">$M$1932*$Z$1932</f>
        <v>1998.3162568674634</v>
      </c>
      <c r="AG1932" s="6">
        <f>$O$1932*$AA$1932</f>
        <v>746.7390129231826</v>
      </c>
    </row>
    <row r="1933" spans="1:33" ht="11.25" customHeight="1" x14ac:dyDescent="0.25">
      <c r="A1933" s="4" t="s">
        <v>28</v>
      </c>
      <c r="B1933" s="4" t="s">
        <v>37</v>
      </c>
      <c r="C1933" s="4" t="s">
        <v>33</v>
      </c>
      <c r="D1933" s="4" t="s">
        <v>43</v>
      </c>
      <c r="E1933" s="4" t="s">
        <v>25</v>
      </c>
      <c r="F1933" s="4" t="s">
        <v>25</v>
      </c>
      <c r="G1933" s="4" t="s">
        <v>25</v>
      </c>
      <c r="H1933" s="4" t="s">
        <v>36</v>
      </c>
      <c r="I1933" s="5">
        <v>44440</v>
      </c>
      <c r="J1933" s="6">
        <v>0</v>
      </c>
      <c r="K1933" s="6">
        <v>0</v>
      </c>
      <c r="L1933" s="6">
        <v>1.151</v>
      </c>
      <c r="M1933" s="6">
        <v>1.151</v>
      </c>
      <c r="N1933" s="6">
        <v>1.151</v>
      </c>
      <c r="O1933" s="6">
        <v>1.151</v>
      </c>
      <c r="P1933" s="6">
        <v>0</v>
      </c>
      <c r="Q1933" s="4" t="s">
        <v>26</v>
      </c>
      <c r="R1933" s="4">
        <v>0</v>
      </c>
      <c r="S1933" s="6">
        <v>0</v>
      </c>
      <c r="T1933" s="6">
        <v>53</v>
      </c>
      <c r="U1933" s="6">
        <v>98</v>
      </c>
      <c r="V1933" s="6">
        <f>IF(ISERROR(VLOOKUP($S$1933,'TAR FIN'!$A$1:$O$104,15,0)),0,VLOOKUP($S$1933,'TAR FIN'!$A$1:$O$104,15,0))</f>
        <v>0</v>
      </c>
      <c r="W1933" s="6">
        <f>IF(ISERROR(VLOOKUP($T$1933,'TAR FIN'!$A$1:$O$104,15,0)),0,VLOOKUP($T$1933,'TAR FIN'!$A$1:$O$104,15,0))</f>
        <v>604.4</v>
      </c>
      <c r="X1933" s="6">
        <f>IF(ISERROR(VLOOKUP($U$1933,'TAR FIN'!$A$1:$O$104,15,0)),0,VLOOKUP($U$1933,'TAR FIN'!$A$1:$O$104,15,0))</f>
        <v>242.82</v>
      </c>
      <c r="Y1933" s="6"/>
      <c r="Z1933" s="6">
        <f ca="1">('TUSD BE'!$AM$60+'TUSD BF'!$AM$60+'TUSD CVA'!$AM$60)*1</f>
        <v>620.20988729592284</v>
      </c>
      <c r="AA1933" s="6">
        <f>('TE BE'!$AB$39+'TE BF'!$AB$39+'TE CVA'!$AB$39)*1</f>
        <v>231.76257384332172</v>
      </c>
      <c r="AB1933" s="6">
        <f>$K$1933*$V$1933</f>
        <v>0</v>
      </c>
      <c r="AC1933" s="6">
        <f>$M$1933*$W$1933</f>
        <v>695.6644</v>
      </c>
      <c r="AD1933" s="6">
        <f>$O$1933*$X$1933</f>
        <v>279.48581999999999</v>
      </c>
      <c r="AE1933" s="6">
        <f>$K$1933*$Y$1933</f>
        <v>0</v>
      </c>
      <c r="AF1933" s="6">
        <f ca="1">$M$1933*$Z$1933</f>
        <v>713.86158027760723</v>
      </c>
      <c r="AG1933" s="6">
        <f>$O$1933*$AA$1933</f>
        <v>266.7587224936633</v>
      </c>
    </row>
    <row r="1934" spans="1:33" ht="11.25" customHeight="1" x14ac:dyDescent="0.25">
      <c r="A1934" s="4" t="s">
        <v>21</v>
      </c>
      <c r="B1934" s="4" t="s">
        <v>37</v>
      </c>
      <c r="C1934" s="4" t="s">
        <v>33</v>
      </c>
      <c r="D1934" s="4" t="s">
        <v>43</v>
      </c>
      <c r="E1934" s="4" t="s">
        <v>25</v>
      </c>
      <c r="F1934" s="4" t="s">
        <v>25</v>
      </c>
      <c r="G1934" s="4" t="s">
        <v>25</v>
      </c>
      <c r="H1934" s="4" t="s">
        <v>36</v>
      </c>
      <c r="I1934" s="5">
        <v>44470</v>
      </c>
      <c r="J1934" s="6">
        <v>0</v>
      </c>
      <c r="K1934" s="6">
        <v>0</v>
      </c>
      <c r="L1934" s="6">
        <v>3.8809999999999998</v>
      </c>
      <c r="M1934" s="6">
        <v>3.8809999999999998</v>
      </c>
      <c r="N1934" s="6">
        <v>3.8809999999999998</v>
      </c>
      <c r="O1934" s="6">
        <v>3.8809999999999998</v>
      </c>
      <c r="P1934" s="6">
        <v>0</v>
      </c>
      <c r="Q1934" s="4" t="s">
        <v>26</v>
      </c>
      <c r="R1934" s="4">
        <v>0</v>
      </c>
      <c r="S1934" s="6">
        <v>0</v>
      </c>
      <c r="T1934" s="6">
        <v>53</v>
      </c>
      <c r="U1934" s="6">
        <v>98</v>
      </c>
      <c r="V1934" s="6">
        <f>IF(ISERROR(VLOOKUP($S$1934,'TAR FIN'!$A$1:$O$104,15,0)),0,VLOOKUP($S$1934,'TAR FIN'!$A$1:$O$104,15,0))</f>
        <v>0</v>
      </c>
      <c r="W1934" s="6">
        <f>IF(ISERROR(VLOOKUP($T$1934,'TAR FIN'!$A$1:$O$104,15,0)),0,VLOOKUP($T$1934,'TAR FIN'!$A$1:$O$104,15,0))</f>
        <v>604.4</v>
      </c>
      <c r="X1934" s="6">
        <f>IF(ISERROR(VLOOKUP($U$1934,'TAR FIN'!$A$1:$O$104,15,0)),0,VLOOKUP($U$1934,'TAR FIN'!$A$1:$O$104,15,0))</f>
        <v>242.82</v>
      </c>
      <c r="Y1934" s="6"/>
      <c r="Z1934" s="6">
        <f ca="1">('TUSD BE'!$AM$60+'TUSD BF'!$AM$60+'TUSD CVA'!$AM$60)*1</f>
        <v>620.20988729592284</v>
      </c>
      <c r="AA1934" s="6">
        <f>('TE BE'!$AB$39+'TE BF'!$AB$39+'TE CVA'!$AB$39)*1</f>
        <v>231.76257384332172</v>
      </c>
      <c r="AB1934" s="6">
        <f>$K$1934*$V$1934</f>
        <v>0</v>
      </c>
      <c r="AC1934" s="6">
        <f>$M$1934*$W$1934</f>
        <v>2345.6763999999998</v>
      </c>
      <c r="AD1934" s="6">
        <f>$O$1934*$X$1934</f>
        <v>942.38441999999998</v>
      </c>
      <c r="AE1934" s="6">
        <f>$K$1934*$Y$1934</f>
        <v>0</v>
      </c>
      <c r="AF1934" s="6">
        <f ca="1">$M$1934*$Z$1934</f>
        <v>2407.0345725954762</v>
      </c>
      <c r="AG1934" s="6">
        <f>$O$1934*$AA$1934</f>
        <v>899.47054908593157</v>
      </c>
    </row>
    <row r="1935" spans="1:33" ht="11.25" customHeight="1" x14ac:dyDescent="0.25">
      <c r="A1935" s="4" t="s">
        <v>28</v>
      </c>
      <c r="B1935" s="4" t="s">
        <v>37</v>
      </c>
      <c r="C1935" s="4" t="s">
        <v>33</v>
      </c>
      <c r="D1935" s="4" t="s">
        <v>43</v>
      </c>
      <c r="E1935" s="4" t="s">
        <v>25</v>
      </c>
      <c r="F1935" s="4" t="s">
        <v>25</v>
      </c>
      <c r="G1935" s="4" t="s">
        <v>25</v>
      </c>
      <c r="H1935" s="4" t="s">
        <v>36</v>
      </c>
      <c r="I1935" s="5">
        <v>44470</v>
      </c>
      <c r="J1935" s="6">
        <v>0</v>
      </c>
      <c r="K1935" s="6">
        <v>0</v>
      </c>
      <c r="L1935" s="6">
        <v>0.94699999999999995</v>
      </c>
      <c r="M1935" s="6">
        <v>0.94699999999999995</v>
      </c>
      <c r="N1935" s="6">
        <v>0.94699999999999995</v>
      </c>
      <c r="O1935" s="6">
        <v>0.94699999999999995</v>
      </c>
      <c r="P1935" s="6">
        <v>0</v>
      </c>
      <c r="Q1935" s="4" t="s">
        <v>26</v>
      </c>
      <c r="R1935" s="4">
        <v>0</v>
      </c>
      <c r="S1935" s="6">
        <v>0</v>
      </c>
      <c r="T1935" s="6">
        <v>53</v>
      </c>
      <c r="U1935" s="6">
        <v>98</v>
      </c>
      <c r="V1935" s="6">
        <f>IF(ISERROR(VLOOKUP($S$1935,'TAR FIN'!$A$1:$O$104,15,0)),0,VLOOKUP($S$1935,'TAR FIN'!$A$1:$O$104,15,0))</f>
        <v>0</v>
      </c>
      <c r="W1935" s="6">
        <f>IF(ISERROR(VLOOKUP($T$1935,'TAR FIN'!$A$1:$O$104,15,0)),0,VLOOKUP($T$1935,'TAR FIN'!$A$1:$O$104,15,0))</f>
        <v>604.4</v>
      </c>
      <c r="X1935" s="6">
        <f>IF(ISERROR(VLOOKUP($U$1935,'TAR FIN'!$A$1:$O$104,15,0)),0,VLOOKUP($U$1935,'TAR FIN'!$A$1:$O$104,15,0))</f>
        <v>242.82</v>
      </c>
      <c r="Y1935" s="6"/>
      <c r="Z1935" s="6">
        <f ca="1">('TUSD BE'!$AM$60+'TUSD BF'!$AM$60+'TUSD CVA'!$AM$60)*1</f>
        <v>620.20988729592284</v>
      </c>
      <c r="AA1935" s="6">
        <f>('TE BE'!$AB$39+'TE BF'!$AB$39+'TE CVA'!$AB$39)*1</f>
        <v>231.76257384332172</v>
      </c>
      <c r="AB1935" s="6">
        <f>$K$1935*$V$1935</f>
        <v>0</v>
      </c>
      <c r="AC1935" s="6">
        <f>$M$1935*$W$1935</f>
        <v>572.3667999999999</v>
      </c>
      <c r="AD1935" s="6">
        <f>$O$1935*$X$1935</f>
        <v>229.95053999999999</v>
      </c>
      <c r="AE1935" s="6">
        <f>$K$1935*$Y$1935</f>
        <v>0</v>
      </c>
      <c r="AF1935" s="6">
        <f ca="1">$M$1935*$Z$1935</f>
        <v>587.33876326923894</v>
      </c>
      <c r="AG1935" s="6">
        <f>$O$1935*$AA$1935</f>
        <v>219.47915742962564</v>
      </c>
    </row>
    <row r="1936" spans="1:33" ht="11.25" customHeight="1" x14ac:dyDescent="0.25">
      <c r="A1936" s="4" t="s">
        <v>21</v>
      </c>
      <c r="B1936" s="4" t="s">
        <v>37</v>
      </c>
      <c r="C1936" s="4" t="s">
        <v>33</v>
      </c>
      <c r="D1936" s="4" t="s">
        <v>43</v>
      </c>
      <c r="E1936" s="4" t="s">
        <v>25</v>
      </c>
      <c r="F1936" s="4" t="s">
        <v>25</v>
      </c>
      <c r="G1936" s="4" t="s">
        <v>25</v>
      </c>
      <c r="H1936" s="4" t="s">
        <v>36</v>
      </c>
      <c r="I1936" s="5">
        <v>44501</v>
      </c>
      <c r="J1936" s="6">
        <v>0</v>
      </c>
      <c r="K1936" s="6">
        <v>0</v>
      </c>
      <c r="L1936" s="6">
        <v>4.0880000000000001</v>
      </c>
      <c r="M1936" s="6">
        <v>4.0880000000000001</v>
      </c>
      <c r="N1936" s="6">
        <v>4.0880000000000001</v>
      </c>
      <c r="O1936" s="6">
        <v>4.0880000000000001</v>
      </c>
      <c r="P1936" s="6">
        <v>0</v>
      </c>
      <c r="Q1936" s="4" t="s">
        <v>26</v>
      </c>
      <c r="R1936" s="4">
        <v>0</v>
      </c>
      <c r="S1936" s="6">
        <v>0</v>
      </c>
      <c r="T1936" s="6">
        <v>53</v>
      </c>
      <c r="U1936" s="6">
        <v>98</v>
      </c>
      <c r="V1936" s="6">
        <f>IF(ISERROR(VLOOKUP($S$1936,'TAR FIN'!$A$1:$O$104,15,0)),0,VLOOKUP($S$1936,'TAR FIN'!$A$1:$O$104,15,0))</f>
        <v>0</v>
      </c>
      <c r="W1936" s="6">
        <f>IF(ISERROR(VLOOKUP($T$1936,'TAR FIN'!$A$1:$O$104,15,0)),0,VLOOKUP($T$1936,'TAR FIN'!$A$1:$O$104,15,0))</f>
        <v>604.4</v>
      </c>
      <c r="X1936" s="6">
        <f>IF(ISERROR(VLOOKUP($U$1936,'TAR FIN'!$A$1:$O$104,15,0)),0,VLOOKUP($U$1936,'TAR FIN'!$A$1:$O$104,15,0))</f>
        <v>242.82</v>
      </c>
      <c r="Y1936" s="6"/>
      <c r="Z1936" s="6">
        <f ca="1">('TUSD BE'!$AM$60+'TUSD BF'!$AM$60+'TUSD CVA'!$AM$60)*1</f>
        <v>620.20988729592284</v>
      </c>
      <c r="AA1936" s="6">
        <f>('TE BE'!$AB$39+'TE BF'!$AB$39+'TE CVA'!$AB$39)*1</f>
        <v>231.76257384332172</v>
      </c>
      <c r="AB1936" s="6">
        <f>$K$1936*$V$1936</f>
        <v>0</v>
      </c>
      <c r="AC1936" s="6">
        <f>$M$1936*$W$1936</f>
        <v>2470.7871999999998</v>
      </c>
      <c r="AD1936" s="6">
        <f>$O$1936*$X$1936</f>
        <v>992.64815999999996</v>
      </c>
      <c r="AE1936" s="6">
        <f>$K$1936*$Y$1936</f>
        <v>0</v>
      </c>
      <c r="AF1936" s="6">
        <f ca="1">$M$1936*$Z$1936</f>
        <v>2535.4180192657327</v>
      </c>
      <c r="AG1936" s="6">
        <f>$O$1936*$AA$1936</f>
        <v>947.44540187149926</v>
      </c>
    </row>
    <row r="1937" spans="1:33" ht="11.25" customHeight="1" x14ac:dyDescent="0.25">
      <c r="A1937" s="4" t="s">
        <v>28</v>
      </c>
      <c r="B1937" s="4" t="s">
        <v>37</v>
      </c>
      <c r="C1937" s="4" t="s">
        <v>33</v>
      </c>
      <c r="D1937" s="4" t="s">
        <v>43</v>
      </c>
      <c r="E1937" s="4" t="s">
        <v>25</v>
      </c>
      <c r="F1937" s="4" t="s">
        <v>25</v>
      </c>
      <c r="G1937" s="4" t="s">
        <v>25</v>
      </c>
      <c r="H1937" s="4" t="s">
        <v>36</v>
      </c>
      <c r="I1937" s="5">
        <v>44501</v>
      </c>
      <c r="J1937" s="6">
        <v>0</v>
      </c>
      <c r="K1937" s="6">
        <v>0</v>
      </c>
      <c r="L1937" s="6">
        <v>0.93700000000000006</v>
      </c>
      <c r="M1937" s="6">
        <v>0.93700000000000006</v>
      </c>
      <c r="N1937" s="6">
        <v>0.93700000000000006</v>
      </c>
      <c r="O1937" s="6">
        <v>0.93700000000000006</v>
      </c>
      <c r="P1937" s="6">
        <v>0</v>
      </c>
      <c r="Q1937" s="4" t="s">
        <v>26</v>
      </c>
      <c r="R1937" s="4">
        <v>0</v>
      </c>
      <c r="S1937" s="6">
        <v>0</v>
      </c>
      <c r="T1937" s="6">
        <v>53</v>
      </c>
      <c r="U1937" s="6">
        <v>98</v>
      </c>
      <c r="V1937" s="6">
        <f>IF(ISERROR(VLOOKUP($S$1937,'TAR FIN'!$A$1:$O$104,15,0)),0,VLOOKUP($S$1937,'TAR FIN'!$A$1:$O$104,15,0))</f>
        <v>0</v>
      </c>
      <c r="W1937" s="6">
        <f>IF(ISERROR(VLOOKUP($T$1937,'TAR FIN'!$A$1:$O$104,15,0)),0,VLOOKUP($T$1937,'TAR FIN'!$A$1:$O$104,15,0))</f>
        <v>604.4</v>
      </c>
      <c r="X1937" s="6">
        <f>IF(ISERROR(VLOOKUP($U$1937,'TAR FIN'!$A$1:$O$104,15,0)),0,VLOOKUP($U$1937,'TAR FIN'!$A$1:$O$104,15,0))</f>
        <v>242.82</v>
      </c>
      <c r="Y1937" s="6"/>
      <c r="Z1937" s="6">
        <f ca="1">('TUSD BE'!$AM$60+'TUSD BF'!$AM$60+'TUSD CVA'!$AM$60)*1</f>
        <v>620.20988729592284</v>
      </c>
      <c r="AA1937" s="6">
        <f>('TE BE'!$AB$39+'TE BF'!$AB$39+'TE CVA'!$AB$39)*1</f>
        <v>231.76257384332172</v>
      </c>
      <c r="AB1937" s="6">
        <f>$K$1937*$V$1937</f>
        <v>0</v>
      </c>
      <c r="AC1937" s="6">
        <f>$M$1937*$W$1937</f>
        <v>566.32280000000003</v>
      </c>
      <c r="AD1937" s="6">
        <f>$O$1937*$X$1937</f>
        <v>227.52234000000001</v>
      </c>
      <c r="AE1937" s="6">
        <f>$K$1937*$Y$1937</f>
        <v>0</v>
      </c>
      <c r="AF1937" s="6">
        <f ca="1">$M$1937*$Z$1937</f>
        <v>581.13666439627968</v>
      </c>
      <c r="AG1937" s="6">
        <f>$O$1937*$AA$1937</f>
        <v>217.16153169119247</v>
      </c>
    </row>
    <row r="1938" spans="1:33" ht="11.25" customHeight="1" x14ac:dyDescent="0.25">
      <c r="A1938" s="4" t="s">
        <v>21</v>
      </c>
      <c r="B1938" s="4" t="s">
        <v>37</v>
      </c>
      <c r="C1938" s="4" t="s">
        <v>33</v>
      </c>
      <c r="D1938" s="4" t="s">
        <v>43</v>
      </c>
      <c r="E1938" s="4" t="s">
        <v>25</v>
      </c>
      <c r="F1938" s="4" t="s">
        <v>25</v>
      </c>
      <c r="G1938" s="4" t="s">
        <v>25</v>
      </c>
      <c r="H1938" s="4" t="s">
        <v>36</v>
      </c>
      <c r="I1938" s="5">
        <v>44531</v>
      </c>
      <c r="J1938" s="6">
        <v>0</v>
      </c>
      <c r="K1938" s="6">
        <v>0</v>
      </c>
      <c r="L1938" s="6">
        <v>4.806</v>
      </c>
      <c r="M1938" s="6">
        <v>4.806</v>
      </c>
      <c r="N1938" s="6">
        <v>4.806</v>
      </c>
      <c r="O1938" s="6">
        <v>4.806</v>
      </c>
      <c r="P1938" s="6">
        <v>0</v>
      </c>
      <c r="Q1938" s="4" t="s">
        <v>26</v>
      </c>
      <c r="R1938" s="4">
        <v>0</v>
      </c>
      <c r="S1938" s="6">
        <v>0</v>
      </c>
      <c r="T1938" s="6">
        <v>53</v>
      </c>
      <c r="U1938" s="6">
        <v>98</v>
      </c>
      <c r="V1938" s="6">
        <f>IF(ISERROR(VLOOKUP($S$1938,'TAR FIN'!$A$1:$O$104,15,0)),0,VLOOKUP($S$1938,'TAR FIN'!$A$1:$O$104,15,0))</f>
        <v>0</v>
      </c>
      <c r="W1938" s="6">
        <f>IF(ISERROR(VLOOKUP($T$1938,'TAR FIN'!$A$1:$O$104,15,0)),0,VLOOKUP($T$1938,'TAR FIN'!$A$1:$O$104,15,0))</f>
        <v>604.4</v>
      </c>
      <c r="X1938" s="6">
        <f>IF(ISERROR(VLOOKUP($U$1938,'TAR FIN'!$A$1:$O$104,15,0)),0,VLOOKUP($U$1938,'TAR FIN'!$A$1:$O$104,15,0))</f>
        <v>242.82</v>
      </c>
      <c r="Y1938" s="6"/>
      <c r="Z1938" s="6">
        <f ca="1">('TUSD BE'!$AM$60+'TUSD BF'!$AM$60+'TUSD CVA'!$AM$60)*1</f>
        <v>620.20988729592284</v>
      </c>
      <c r="AA1938" s="6">
        <f>('TE BE'!$AB$39+'TE BF'!$AB$39+'TE CVA'!$AB$39)*1</f>
        <v>231.76257384332172</v>
      </c>
      <c r="AB1938" s="6">
        <f>$K$1938*$V$1938</f>
        <v>0</v>
      </c>
      <c r="AC1938" s="6">
        <f>$M$1938*$W$1938</f>
        <v>2904.7464</v>
      </c>
      <c r="AD1938" s="6">
        <f>$O$1938*$X$1938</f>
        <v>1166.9929199999999</v>
      </c>
      <c r="AE1938" s="6">
        <f>$K$1938*$Y$1938</f>
        <v>0</v>
      </c>
      <c r="AF1938" s="6">
        <f ca="1">$M$1938*$Z$1938</f>
        <v>2980.7287183442054</v>
      </c>
      <c r="AG1938" s="6">
        <f>$O$1938*$AA$1938</f>
        <v>1113.8509298910042</v>
      </c>
    </row>
    <row r="1939" spans="1:33" ht="11.25" customHeight="1" x14ac:dyDescent="0.25">
      <c r="A1939" s="4" t="s">
        <v>27</v>
      </c>
      <c r="B1939" s="4" t="s">
        <v>37</v>
      </c>
      <c r="C1939" s="4" t="s">
        <v>33</v>
      </c>
      <c r="D1939" s="4" t="s">
        <v>43</v>
      </c>
      <c r="E1939" s="4" t="s">
        <v>25</v>
      </c>
      <c r="F1939" s="4" t="s">
        <v>25</v>
      </c>
      <c r="G1939" s="4" t="s">
        <v>25</v>
      </c>
      <c r="H1939" s="4" t="s">
        <v>36</v>
      </c>
      <c r="I1939" s="5">
        <v>44531</v>
      </c>
      <c r="J1939" s="6">
        <v>0</v>
      </c>
      <c r="K1939" s="6">
        <v>0</v>
      </c>
      <c r="L1939" s="6">
        <v>2E-3</v>
      </c>
      <c r="M1939" s="6">
        <v>2E-3</v>
      </c>
      <c r="N1939" s="6">
        <v>2E-3</v>
      </c>
      <c r="O1939" s="6">
        <v>2E-3</v>
      </c>
      <c r="P1939" s="6">
        <v>0</v>
      </c>
      <c r="Q1939" s="4" t="s">
        <v>26</v>
      </c>
      <c r="R1939" s="4">
        <v>0</v>
      </c>
      <c r="S1939" s="6">
        <v>0</v>
      </c>
      <c r="T1939" s="6">
        <v>53</v>
      </c>
      <c r="U1939" s="6">
        <v>98</v>
      </c>
      <c r="V1939" s="6">
        <f>IF(ISERROR(VLOOKUP($S$1939,'TAR FIN'!$A$1:$O$104,15,0)),0,VLOOKUP($S$1939,'TAR FIN'!$A$1:$O$104,15,0))</f>
        <v>0</v>
      </c>
      <c r="W1939" s="6">
        <f>IF(ISERROR(VLOOKUP($T$1939,'TAR FIN'!$A$1:$O$104,15,0)),0,VLOOKUP($T$1939,'TAR FIN'!$A$1:$O$104,15,0))</f>
        <v>604.4</v>
      </c>
      <c r="X1939" s="6">
        <f>IF(ISERROR(VLOOKUP($U$1939,'TAR FIN'!$A$1:$O$104,15,0)),0,VLOOKUP($U$1939,'TAR FIN'!$A$1:$O$104,15,0))</f>
        <v>242.82</v>
      </c>
      <c r="Y1939" s="6"/>
      <c r="Z1939" s="6">
        <f ca="1">('TUSD BE'!$AM$60+'TUSD BF'!$AM$60+'TUSD CVA'!$AM$60)*1</f>
        <v>620.20988729592284</v>
      </c>
      <c r="AA1939" s="6">
        <f>('TE BE'!$AB$39+'TE BF'!$AB$39+'TE CVA'!$AB$39)*1</f>
        <v>231.76257384332172</v>
      </c>
      <c r="AB1939" s="6">
        <f>$K$1939*$V$1939</f>
        <v>0</v>
      </c>
      <c r="AC1939" s="6">
        <f>$M$1939*$W$1939</f>
        <v>1.2087999999999999</v>
      </c>
      <c r="AD1939" s="6">
        <f>$O$1939*$X$1939</f>
        <v>0.48564000000000002</v>
      </c>
      <c r="AE1939" s="6">
        <f>$K$1939*$Y$1939</f>
        <v>0</v>
      </c>
      <c r="AF1939" s="6">
        <f ca="1">$M$1939*$Z$1939</f>
        <v>1.2404197745918457</v>
      </c>
      <c r="AG1939" s="6">
        <f>$O$1939*$AA$1939</f>
        <v>0.46352514768664344</v>
      </c>
    </row>
    <row r="1940" spans="1:33" ht="11.25" customHeight="1" x14ac:dyDescent="0.25">
      <c r="A1940" s="4" t="s">
        <v>28</v>
      </c>
      <c r="B1940" s="4" t="s">
        <v>37</v>
      </c>
      <c r="C1940" s="4" t="s">
        <v>33</v>
      </c>
      <c r="D1940" s="4" t="s">
        <v>43</v>
      </c>
      <c r="E1940" s="4" t="s">
        <v>25</v>
      </c>
      <c r="F1940" s="4" t="s">
        <v>25</v>
      </c>
      <c r="G1940" s="4" t="s">
        <v>25</v>
      </c>
      <c r="H1940" s="4" t="s">
        <v>36</v>
      </c>
      <c r="I1940" s="5">
        <v>44531</v>
      </c>
      <c r="J1940" s="6">
        <v>0</v>
      </c>
      <c r="K1940" s="6">
        <v>0</v>
      </c>
      <c r="L1940" s="6">
        <v>1.1950000000000001</v>
      </c>
      <c r="M1940" s="6">
        <v>1.1950000000000001</v>
      </c>
      <c r="N1940" s="6">
        <v>1.1950000000000001</v>
      </c>
      <c r="O1940" s="6">
        <v>1.1950000000000001</v>
      </c>
      <c r="P1940" s="6">
        <v>0</v>
      </c>
      <c r="Q1940" s="4" t="s">
        <v>26</v>
      </c>
      <c r="R1940" s="4">
        <v>0</v>
      </c>
      <c r="S1940" s="6">
        <v>0</v>
      </c>
      <c r="T1940" s="6">
        <v>53</v>
      </c>
      <c r="U1940" s="6">
        <v>98</v>
      </c>
      <c r="V1940" s="6">
        <f>IF(ISERROR(VLOOKUP($S$1940,'TAR FIN'!$A$1:$O$104,15,0)),0,VLOOKUP($S$1940,'TAR FIN'!$A$1:$O$104,15,0))</f>
        <v>0</v>
      </c>
      <c r="W1940" s="6">
        <f>IF(ISERROR(VLOOKUP($T$1940,'TAR FIN'!$A$1:$O$104,15,0)),0,VLOOKUP($T$1940,'TAR FIN'!$A$1:$O$104,15,0))</f>
        <v>604.4</v>
      </c>
      <c r="X1940" s="6">
        <f>IF(ISERROR(VLOOKUP($U$1940,'TAR FIN'!$A$1:$O$104,15,0)),0,VLOOKUP($U$1940,'TAR FIN'!$A$1:$O$104,15,0))</f>
        <v>242.82</v>
      </c>
      <c r="Y1940" s="6"/>
      <c r="Z1940" s="6">
        <f ca="1">('TUSD BE'!$AM$60+'TUSD BF'!$AM$60+'TUSD CVA'!$AM$60)*1</f>
        <v>620.20988729592284</v>
      </c>
      <c r="AA1940" s="6">
        <f>('TE BE'!$AB$39+'TE BF'!$AB$39+'TE CVA'!$AB$39)*1</f>
        <v>231.76257384332172</v>
      </c>
      <c r="AB1940" s="6">
        <f>$K$1940*$V$1940</f>
        <v>0</v>
      </c>
      <c r="AC1940" s="6">
        <f>$M$1940*$W$1940</f>
        <v>722.25800000000004</v>
      </c>
      <c r="AD1940" s="6">
        <f>$O$1940*$X$1940</f>
        <v>290.16989999999998</v>
      </c>
      <c r="AE1940" s="6">
        <f>$K$1940*$Y$1940</f>
        <v>0</v>
      </c>
      <c r="AF1940" s="6">
        <f ca="1">$M$1940*$Z$1940</f>
        <v>741.15081531862779</v>
      </c>
      <c r="AG1940" s="6">
        <f>$O$1940*$AA$1940</f>
        <v>276.95627574276949</v>
      </c>
    </row>
    <row r="1941" spans="1:33" ht="11.25" customHeight="1" x14ac:dyDescent="0.25">
      <c r="A1941" s="4" t="s">
        <v>21</v>
      </c>
      <c r="B1941" s="4" t="s">
        <v>37</v>
      </c>
      <c r="C1941" s="4" t="s">
        <v>33</v>
      </c>
      <c r="D1941" s="4" t="s">
        <v>43</v>
      </c>
      <c r="E1941" s="4" t="s">
        <v>25</v>
      </c>
      <c r="F1941" s="4" t="s">
        <v>25</v>
      </c>
      <c r="G1941" s="4" t="s">
        <v>25</v>
      </c>
      <c r="H1941" s="4" t="s">
        <v>36</v>
      </c>
      <c r="I1941" s="5">
        <v>44562</v>
      </c>
      <c r="J1941" s="6">
        <v>0</v>
      </c>
      <c r="K1941" s="6">
        <v>0</v>
      </c>
      <c r="L1941" s="6">
        <v>4.923</v>
      </c>
      <c r="M1941" s="6">
        <v>4.923</v>
      </c>
      <c r="N1941" s="6">
        <v>4.923</v>
      </c>
      <c r="O1941" s="6">
        <v>4.923</v>
      </c>
      <c r="P1941" s="6">
        <v>0</v>
      </c>
      <c r="Q1941" s="4" t="s">
        <v>26</v>
      </c>
      <c r="R1941" s="4">
        <v>0</v>
      </c>
      <c r="S1941" s="6">
        <v>0</v>
      </c>
      <c r="T1941" s="6">
        <v>53</v>
      </c>
      <c r="U1941" s="6">
        <v>98</v>
      </c>
      <c r="V1941" s="6">
        <f>IF(ISERROR(VLOOKUP($S$1941,'TAR FIN'!$A$1:$O$104,15,0)),0,VLOOKUP($S$1941,'TAR FIN'!$A$1:$O$104,15,0))</f>
        <v>0</v>
      </c>
      <c r="W1941" s="6">
        <f>IF(ISERROR(VLOOKUP($T$1941,'TAR FIN'!$A$1:$O$104,15,0)),0,VLOOKUP($T$1941,'TAR FIN'!$A$1:$O$104,15,0))</f>
        <v>604.4</v>
      </c>
      <c r="X1941" s="6">
        <f>IF(ISERROR(VLOOKUP($U$1941,'TAR FIN'!$A$1:$O$104,15,0)),0,VLOOKUP($U$1941,'TAR FIN'!$A$1:$O$104,15,0))</f>
        <v>242.82</v>
      </c>
      <c r="Y1941" s="6"/>
      <c r="Z1941" s="6">
        <f ca="1">('TUSD BE'!$AM$60+'TUSD BF'!$AM$60+'TUSD CVA'!$AM$60)*1</f>
        <v>620.20988729592284</v>
      </c>
      <c r="AA1941" s="6">
        <f>('TE BE'!$AB$39+'TE BF'!$AB$39+'TE CVA'!$AB$39)*1</f>
        <v>231.76257384332172</v>
      </c>
      <c r="AB1941" s="6">
        <f>$K$1941*$V$1941</f>
        <v>0</v>
      </c>
      <c r="AC1941" s="6">
        <f>$M$1941*$W$1941</f>
        <v>2975.4611999999997</v>
      </c>
      <c r="AD1941" s="6">
        <f>$O$1941*$X$1941</f>
        <v>1195.4028599999999</v>
      </c>
      <c r="AE1941" s="6">
        <f>$K$1941*$Y$1941</f>
        <v>0</v>
      </c>
      <c r="AF1941" s="6">
        <f ca="1">$M$1941*$Z$1941</f>
        <v>3053.2932751578282</v>
      </c>
      <c r="AG1941" s="6">
        <f>$O$1941*$AA$1941</f>
        <v>1140.9671510306728</v>
      </c>
    </row>
    <row r="1942" spans="1:33" ht="11.25" customHeight="1" x14ac:dyDescent="0.25">
      <c r="A1942" s="4" t="s">
        <v>27</v>
      </c>
      <c r="B1942" s="4" t="s">
        <v>37</v>
      </c>
      <c r="C1942" s="4" t="s">
        <v>33</v>
      </c>
      <c r="D1942" s="4" t="s">
        <v>43</v>
      </c>
      <c r="E1942" s="4" t="s">
        <v>25</v>
      </c>
      <c r="F1942" s="4" t="s">
        <v>25</v>
      </c>
      <c r="G1942" s="4" t="s">
        <v>25</v>
      </c>
      <c r="H1942" s="4" t="s">
        <v>36</v>
      </c>
      <c r="I1942" s="5">
        <v>44562</v>
      </c>
      <c r="J1942" s="6">
        <v>0</v>
      </c>
      <c r="K1942" s="6">
        <v>0</v>
      </c>
      <c r="L1942" s="6">
        <v>1E-3</v>
      </c>
      <c r="M1942" s="6">
        <v>1E-3</v>
      </c>
      <c r="N1942" s="6">
        <v>1E-3</v>
      </c>
      <c r="O1942" s="6">
        <v>1E-3</v>
      </c>
      <c r="P1942" s="6">
        <v>0</v>
      </c>
      <c r="Q1942" s="4" t="s">
        <v>26</v>
      </c>
      <c r="R1942" s="4">
        <v>0</v>
      </c>
      <c r="S1942" s="6">
        <v>0</v>
      </c>
      <c r="T1942" s="6">
        <v>53</v>
      </c>
      <c r="U1942" s="6">
        <v>98</v>
      </c>
      <c r="V1942" s="6">
        <f>IF(ISERROR(VLOOKUP($S$1942,'TAR FIN'!$A$1:$O$104,15,0)),0,VLOOKUP($S$1942,'TAR FIN'!$A$1:$O$104,15,0))</f>
        <v>0</v>
      </c>
      <c r="W1942" s="6">
        <f>IF(ISERROR(VLOOKUP($T$1942,'TAR FIN'!$A$1:$O$104,15,0)),0,VLOOKUP($T$1942,'TAR FIN'!$A$1:$O$104,15,0))</f>
        <v>604.4</v>
      </c>
      <c r="X1942" s="6">
        <f>IF(ISERROR(VLOOKUP($U$1942,'TAR FIN'!$A$1:$O$104,15,0)),0,VLOOKUP($U$1942,'TAR FIN'!$A$1:$O$104,15,0))</f>
        <v>242.82</v>
      </c>
      <c r="Y1942" s="6"/>
      <c r="Z1942" s="6">
        <f ca="1">('TUSD BE'!$AM$60+'TUSD BF'!$AM$60+'TUSD CVA'!$AM$60)*1</f>
        <v>620.20988729592284</v>
      </c>
      <c r="AA1942" s="6">
        <f>('TE BE'!$AB$39+'TE BF'!$AB$39+'TE CVA'!$AB$39)*1</f>
        <v>231.76257384332172</v>
      </c>
      <c r="AB1942" s="6">
        <f>$K$1942*$V$1942</f>
        <v>0</v>
      </c>
      <c r="AC1942" s="6">
        <f>$M$1942*$W$1942</f>
        <v>0.60439999999999994</v>
      </c>
      <c r="AD1942" s="6">
        <f>$O$1942*$X$1942</f>
        <v>0.24282000000000001</v>
      </c>
      <c r="AE1942" s="6">
        <f>$K$1942*$Y$1942</f>
        <v>0</v>
      </c>
      <c r="AF1942" s="6">
        <f ca="1">$M$1942*$Z$1942</f>
        <v>0.62020988729592286</v>
      </c>
      <c r="AG1942" s="6">
        <f>$O$1942*$AA$1942</f>
        <v>0.23176257384332172</v>
      </c>
    </row>
    <row r="1943" spans="1:33" ht="11.25" customHeight="1" x14ac:dyDescent="0.25">
      <c r="A1943" s="4" t="s">
        <v>28</v>
      </c>
      <c r="B1943" s="4" t="s">
        <v>37</v>
      </c>
      <c r="C1943" s="4" t="s">
        <v>33</v>
      </c>
      <c r="D1943" s="4" t="s">
        <v>43</v>
      </c>
      <c r="E1943" s="4" t="s">
        <v>25</v>
      </c>
      <c r="F1943" s="4" t="s">
        <v>25</v>
      </c>
      <c r="G1943" s="4" t="s">
        <v>25</v>
      </c>
      <c r="H1943" s="4" t="s">
        <v>36</v>
      </c>
      <c r="I1943" s="5">
        <v>44562</v>
      </c>
      <c r="J1943" s="6">
        <v>0</v>
      </c>
      <c r="K1943" s="6">
        <v>0</v>
      </c>
      <c r="L1943" s="6">
        <v>1.365</v>
      </c>
      <c r="M1943" s="6">
        <v>1.365</v>
      </c>
      <c r="N1943" s="6">
        <v>1.365</v>
      </c>
      <c r="O1943" s="6">
        <v>1.365</v>
      </c>
      <c r="P1943" s="6">
        <v>0</v>
      </c>
      <c r="Q1943" s="4" t="s">
        <v>26</v>
      </c>
      <c r="R1943" s="4">
        <v>0</v>
      </c>
      <c r="S1943" s="6">
        <v>0</v>
      </c>
      <c r="T1943" s="6">
        <v>53</v>
      </c>
      <c r="U1943" s="6">
        <v>98</v>
      </c>
      <c r="V1943" s="6">
        <f>IF(ISERROR(VLOOKUP($S$1943,'TAR FIN'!$A$1:$O$104,15,0)),0,VLOOKUP($S$1943,'TAR FIN'!$A$1:$O$104,15,0))</f>
        <v>0</v>
      </c>
      <c r="W1943" s="6">
        <f>IF(ISERROR(VLOOKUP($T$1943,'TAR FIN'!$A$1:$O$104,15,0)),0,VLOOKUP($T$1943,'TAR FIN'!$A$1:$O$104,15,0))</f>
        <v>604.4</v>
      </c>
      <c r="X1943" s="6">
        <f>IF(ISERROR(VLOOKUP($U$1943,'TAR FIN'!$A$1:$O$104,15,0)),0,VLOOKUP($U$1943,'TAR FIN'!$A$1:$O$104,15,0))</f>
        <v>242.82</v>
      </c>
      <c r="Y1943" s="6"/>
      <c r="Z1943" s="6">
        <f ca="1">('TUSD BE'!$AM$60+'TUSD BF'!$AM$60+'TUSD CVA'!$AM$60)*1</f>
        <v>620.20988729592284</v>
      </c>
      <c r="AA1943" s="6">
        <f>('TE BE'!$AB$39+'TE BF'!$AB$39+'TE CVA'!$AB$39)*1</f>
        <v>231.76257384332172</v>
      </c>
      <c r="AB1943" s="6">
        <f>$K$1943*$V$1943</f>
        <v>0</v>
      </c>
      <c r="AC1943" s="6">
        <f>$M$1943*$W$1943</f>
        <v>825.00599999999997</v>
      </c>
      <c r="AD1943" s="6">
        <f>$O$1943*$X$1943</f>
        <v>331.44929999999999</v>
      </c>
      <c r="AE1943" s="6">
        <f>$K$1943*$Y$1943</f>
        <v>0</v>
      </c>
      <c r="AF1943" s="6">
        <f ca="1">$M$1943*$Z$1943</f>
        <v>846.58649615893466</v>
      </c>
      <c r="AG1943" s="6">
        <f>$O$1943*$AA$1943</f>
        <v>316.35591329613413</v>
      </c>
    </row>
    <row r="1944" spans="1:33" ht="11.25" customHeight="1" x14ac:dyDescent="0.25">
      <c r="A1944" s="4" t="s">
        <v>21</v>
      </c>
      <c r="B1944" s="4" t="s">
        <v>37</v>
      </c>
      <c r="C1944" s="4" t="s">
        <v>33</v>
      </c>
      <c r="D1944" s="4" t="s">
        <v>43</v>
      </c>
      <c r="E1944" s="4" t="s">
        <v>25</v>
      </c>
      <c r="F1944" s="4" t="s">
        <v>25</v>
      </c>
      <c r="G1944" s="4" t="s">
        <v>25</v>
      </c>
      <c r="H1944" s="4" t="s">
        <v>36</v>
      </c>
      <c r="I1944" s="5">
        <v>44593</v>
      </c>
      <c r="J1944" s="6">
        <v>0</v>
      </c>
      <c r="K1944" s="6">
        <v>0</v>
      </c>
      <c r="L1944" s="6">
        <v>5.01</v>
      </c>
      <c r="M1944" s="6">
        <v>5.01</v>
      </c>
      <c r="N1944" s="6">
        <v>5.01</v>
      </c>
      <c r="O1944" s="6">
        <v>5.01</v>
      </c>
      <c r="P1944" s="6">
        <v>0</v>
      </c>
      <c r="Q1944" s="4" t="s">
        <v>26</v>
      </c>
      <c r="R1944" s="4">
        <v>0</v>
      </c>
      <c r="S1944" s="6">
        <v>0</v>
      </c>
      <c r="T1944" s="6">
        <v>53</v>
      </c>
      <c r="U1944" s="6">
        <v>98</v>
      </c>
      <c r="V1944" s="6">
        <f>IF(ISERROR(VLOOKUP($S$1944,'TAR FIN'!$A$1:$O$104,15,0)),0,VLOOKUP($S$1944,'TAR FIN'!$A$1:$O$104,15,0))</f>
        <v>0</v>
      </c>
      <c r="W1944" s="6">
        <f>IF(ISERROR(VLOOKUP($T$1944,'TAR FIN'!$A$1:$O$104,15,0)),0,VLOOKUP($T$1944,'TAR FIN'!$A$1:$O$104,15,0))</f>
        <v>604.4</v>
      </c>
      <c r="X1944" s="6">
        <f>IF(ISERROR(VLOOKUP($U$1944,'TAR FIN'!$A$1:$O$104,15,0)),0,VLOOKUP($U$1944,'TAR FIN'!$A$1:$O$104,15,0))</f>
        <v>242.82</v>
      </c>
      <c r="Y1944" s="6"/>
      <c r="Z1944" s="6">
        <f ca="1">('TUSD BE'!$AM$60+'TUSD BF'!$AM$60+'TUSD CVA'!$AM$60)*1</f>
        <v>620.20988729592284</v>
      </c>
      <c r="AA1944" s="6">
        <f>('TE BE'!$AB$39+'TE BF'!$AB$39+'TE CVA'!$AB$39)*1</f>
        <v>231.76257384332172</v>
      </c>
      <c r="AB1944" s="6">
        <f>$K$1944*$V$1944</f>
        <v>0</v>
      </c>
      <c r="AC1944" s="6">
        <f>$M$1944*$W$1944</f>
        <v>3028.0439999999999</v>
      </c>
      <c r="AD1944" s="6">
        <f>$O$1944*$X$1944</f>
        <v>1216.5282</v>
      </c>
      <c r="AE1944" s="6">
        <f>$K$1944*$Y$1944</f>
        <v>0</v>
      </c>
      <c r="AF1944" s="6">
        <f ca="1">$M$1944*$Z$1944</f>
        <v>3107.2515353525732</v>
      </c>
      <c r="AG1944" s="6">
        <f>$O$1944*$AA$1944</f>
        <v>1161.1304949550417</v>
      </c>
    </row>
    <row r="1945" spans="1:33" ht="11.25" customHeight="1" x14ac:dyDescent="0.25">
      <c r="A1945" s="4" t="s">
        <v>28</v>
      </c>
      <c r="B1945" s="4" t="s">
        <v>37</v>
      </c>
      <c r="C1945" s="4" t="s">
        <v>33</v>
      </c>
      <c r="D1945" s="4" t="s">
        <v>43</v>
      </c>
      <c r="E1945" s="4" t="s">
        <v>25</v>
      </c>
      <c r="F1945" s="4" t="s">
        <v>25</v>
      </c>
      <c r="G1945" s="4" t="s">
        <v>25</v>
      </c>
      <c r="H1945" s="4" t="s">
        <v>36</v>
      </c>
      <c r="I1945" s="5">
        <v>44593</v>
      </c>
      <c r="J1945" s="6">
        <v>0</v>
      </c>
      <c r="K1945" s="6">
        <v>0</v>
      </c>
      <c r="L1945" s="6">
        <v>0.67300000000000004</v>
      </c>
      <c r="M1945" s="6">
        <v>0.67300000000000004</v>
      </c>
      <c r="N1945" s="6">
        <v>0.67300000000000004</v>
      </c>
      <c r="O1945" s="6">
        <v>0.67300000000000004</v>
      </c>
      <c r="P1945" s="6">
        <v>0</v>
      </c>
      <c r="Q1945" s="4" t="s">
        <v>26</v>
      </c>
      <c r="R1945" s="4">
        <v>0</v>
      </c>
      <c r="S1945" s="6">
        <v>0</v>
      </c>
      <c r="T1945" s="6">
        <v>53</v>
      </c>
      <c r="U1945" s="6">
        <v>98</v>
      </c>
      <c r="V1945" s="6">
        <f>IF(ISERROR(VLOOKUP($S$1945,'TAR FIN'!$A$1:$O$104,15,0)),0,VLOOKUP($S$1945,'TAR FIN'!$A$1:$O$104,15,0))</f>
        <v>0</v>
      </c>
      <c r="W1945" s="6">
        <f>IF(ISERROR(VLOOKUP($T$1945,'TAR FIN'!$A$1:$O$104,15,0)),0,VLOOKUP($T$1945,'TAR FIN'!$A$1:$O$104,15,0))</f>
        <v>604.4</v>
      </c>
      <c r="X1945" s="6">
        <f>IF(ISERROR(VLOOKUP($U$1945,'TAR FIN'!$A$1:$O$104,15,0)),0,VLOOKUP($U$1945,'TAR FIN'!$A$1:$O$104,15,0))</f>
        <v>242.82</v>
      </c>
      <c r="Y1945" s="6"/>
      <c r="Z1945" s="6">
        <f ca="1">('TUSD BE'!$AM$60+'TUSD BF'!$AM$60+'TUSD CVA'!$AM$60)*1</f>
        <v>620.20988729592284</v>
      </c>
      <c r="AA1945" s="6">
        <f>('TE BE'!$AB$39+'TE BF'!$AB$39+'TE CVA'!$AB$39)*1</f>
        <v>231.76257384332172</v>
      </c>
      <c r="AB1945" s="6">
        <f>$K$1945*$V$1945</f>
        <v>0</v>
      </c>
      <c r="AC1945" s="6">
        <f>$M$1945*$W$1945</f>
        <v>406.76120000000003</v>
      </c>
      <c r="AD1945" s="6">
        <f>$O$1945*$X$1945</f>
        <v>163.41786000000002</v>
      </c>
      <c r="AE1945" s="6">
        <f>$K$1945*$Y$1945</f>
        <v>0</v>
      </c>
      <c r="AF1945" s="6">
        <f ca="1">$M$1945*$Z$1945</f>
        <v>417.40125415015609</v>
      </c>
      <c r="AG1945" s="6">
        <f>$O$1945*$AA$1945</f>
        <v>155.97621219655554</v>
      </c>
    </row>
    <row r="1946" spans="1:33" ht="11.25" customHeight="1" x14ac:dyDescent="0.25">
      <c r="A1946" s="4" t="s">
        <v>21</v>
      </c>
      <c r="B1946" s="4" t="s">
        <v>37</v>
      </c>
      <c r="C1946" s="4" t="s">
        <v>33</v>
      </c>
      <c r="D1946" s="4" t="s">
        <v>43</v>
      </c>
      <c r="E1946" s="4" t="s">
        <v>25</v>
      </c>
      <c r="F1946" s="4" t="s">
        <v>25</v>
      </c>
      <c r="G1946" s="4" t="s">
        <v>25</v>
      </c>
      <c r="H1946" s="4" t="s">
        <v>36</v>
      </c>
      <c r="I1946" s="5">
        <v>44621</v>
      </c>
      <c r="J1946" s="6">
        <v>0</v>
      </c>
      <c r="K1946" s="6">
        <v>0</v>
      </c>
      <c r="L1946" s="6">
        <v>5.24</v>
      </c>
      <c r="M1946" s="6">
        <v>5.24</v>
      </c>
      <c r="N1946" s="6">
        <v>5.24</v>
      </c>
      <c r="O1946" s="6">
        <v>5.24</v>
      </c>
      <c r="P1946" s="6">
        <v>0</v>
      </c>
      <c r="Q1946" s="4" t="s">
        <v>26</v>
      </c>
      <c r="R1946" s="4">
        <v>0</v>
      </c>
      <c r="S1946" s="6">
        <v>0</v>
      </c>
      <c r="T1946" s="6">
        <v>53</v>
      </c>
      <c r="U1946" s="6">
        <v>98</v>
      </c>
      <c r="V1946" s="6">
        <f>IF(ISERROR(VLOOKUP($S$1946,'TAR FIN'!$A$1:$O$104,15,0)),0,VLOOKUP($S$1946,'TAR FIN'!$A$1:$O$104,15,0))</f>
        <v>0</v>
      </c>
      <c r="W1946" s="6">
        <f>IF(ISERROR(VLOOKUP($T$1946,'TAR FIN'!$A$1:$O$104,15,0)),0,VLOOKUP($T$1946,'TAR FIN'!$A$1:$O$104,15,0))</f>
        <v>604.4</v>
      </c>
      <c r="X1946" s="6">
        <f>IF(ISERROR(VLOOKUP($U$1946,'TAR FIN'!$A$1:$O$104,15,0)),0,VLOOKUP($U$1946,'TAR FIN'!$A$1:$O$104,15,0))</f>
        <v>242.82</v>
      </c>
      <c r="Y1946" s="6"/>
      <c r="Z1946" s="6">
        <f ca="1">('TUSD BE'!$AM$60+'TUSD BF'!$AM$60+'TUSD CVA'!$AM$60)*1</f>
        <v>620.20988729592284</v>
      </c>
      <c r="AA1946" s="6">
        <f>('TE BE'!$AB$39+'TE BF'!$AB$39+'TE CVA'!$AB$39)*1</f>
        <v>231.76257384332172</v>
      </c>
      <c r="AB1946" s="6">
        <f>$K$1946*$V$1946</f>
        <v>0</v>
      </c>
      <c r="AC1946" s="6">
        <f>$M$1946*$W$1946</f>
        <v>3167.056</v>
      </c>
      <c r="AD1946" s="6">
        <f>$O$1946*$X$1946</f>
        <v>1272.3768</v>
      </c>
      <c r="AE1946" s="6">
        <f>$K$1946*$Y$1946</f>
        <v>0</v>
      </c>
      <c r="AF1946" s="6">
        <f ca="1">$M$1946*$Z$1946</f>
        <v>3249.8998094306357</v>
      </c>
      <c r="AG1946" s="6">
        <f>$O$1946*$AA$1946</f>
        <v>1214.4358869390057</v>
      </c>
    </row>
    <row r="1947" spans="1:33" ht="11.25" customHeight="1" x14ac:dyDescent="0.25">
      <c r="A1947" s="4" t="s">
        <v>28</v>
      </c>
      <c r="B1947" s="4" t="s">
        <v>37</v>
      </c>
      <c r="C1947" s="4" t="s">
        <v>33</v>
      </c>
      <c r="D1947" s="4" t="s">
        <v>43</v>
      </c>
      <c r="E1947" s="4" t="s">
        <v>25</v>
      </c>
      <c r="F1947" s="4" t="s">
        <v>25</v>
      </c>
      <c r="G1947" s="4" t="s">
        <v>25</v>
      </c>
      <c r="H1947" s="4" t="s">
        <v>36</v>
      </c>
      <c r="I1947" s="5">
        <v>44621</v>
      </c>
      <c r="J1947" s="6">
        <v>0</v>
      </c>
      <c r="K1947" s="6">
        <v>0</v>
      </c>
      <c r="L1947" s="6">
        <v>0.82399999999999995</v>
      </c>
      <c r="M1947" s="6">
        <v>0.82399999999999995</v>
      </c>
      <c r="N1947" s="6">
        <v>0.82399999999999995</v>
      </c>
      <c r="O1947" s="6">
        <v>0.82399999999999995</v>
      </c>
      <c r="P1947" s="6">
        <v>0</v>
      </c>
      <c r="Q1947" s="4" t="s">
        <v>26</v>
      </c>
      <c r="R1947" s="4">
        <v>0</v>
      </c>
      <c r="S1947" s="6">
        <v>0</v>
      </c>
      <c r="T1947" s="6">
        <v>53</v>
      </c>
      <c r="U1947" s="6">
        <v>98</v>
      </c>
      <c r="V1947" s="6">
        <f>IF(ISERROR(VLOOKUP($S$1947,'TAR FIN'!$A$1:$O$104,15,0)),0,VLOOKUP($S$1947,'TAR FIN'!$A$1:$O$104,15,0))</f>
        <v>0</v>
      </c>
      <c r="W1947" s="6">
        <f>IF(ISERROR(VLOOKUP($T$1947,'TAR FIN'!$A$1:$O$104,15,0)),0,VLOOKUP($T$1947,'TAR FIN'!$A$1:$O$104,15,0))</f>
        <v>604.4</v>
      </c>
      <c r="X1947" s="6">
        <f>IF(ISERROR(VLOOKUP($U$1947,'TAR FIN'!$A$1:$O$104,15,0)),0,VLOOKUP($U$1947,'TAR FIN'!$A$1:$O$104,15,0))</f>
        <v>242.82</v>
      </c>
      <c r="Y1947" s="6"/>
      <c r="Z1947" s="6">
        <f ca="1">('TUSD BE'!$AM$60+'TUSD BF'!$AM$60+'TUSD CVA'!$AM$60)*1</f>
        <v>620.20988729592284</v>
      </c>
      <c r="AA1947" s="6">
        <f>('TE BE'!$AB$39+'TE BF'!$AB$39+'TE CVA'!$AB$39)*1</f>
        <v>231.76257384332172</v>
      </c>
      <c r="AB1947" s="6">
        <f>$K$1947*$V$1947</f>
        <v>0</v>
      </c>
      <c r="AC1947" s="6">
        <f>$M$1947*$W$1947</f>
        <v>498.02559999999994</v>
      </c>
      <c r="AD1947" s="6">
        <f>$O$1947*$X$1947</f>
        <v>200.08367999999999</v>
      </c>
      <c r="AE1947" s="6">
        <f>$K$1947*$Y$1947</f>
        <v>0</v>
      </c>
      <c r="AF1947" s="6">
        <f ca="1">$M$1947*$Z$1947</f>
        <v>511.05294713184037</v>
      </c>
      <c r="AG1947" s="6">
        <f>$O$1947*$AA$1947</f>
        <v>190.97236084689709</v>
      </c>
    </row>
    <row r="1948" spans="1:33" ht="11.25" customHeight="1" x14ac:dyDescent="0.25">
      <c r="A1948" s="4" t="s">
        <v>21</v>
      </c>
      <c r="B1948" s="4" t="s">
        <v>37</v>
      </c>
      <c r="C1948" s="4" t="s">
        <v>33</v>
      </c>
      <c r="D1948" s="4" t="s">
        <v>43</v>
      </c>
      <c r="E1948" s="4" t="s">
        <v>25</v>
      </c>
      <c r="F1948" s="4" t="s">
        <v>25</v>
      </c>
      <c r="G1948" s="4" t="s">
        <v>25</v>
      </c>
      <c r="H1948" s="4" t="s">
        <v>36</v>
      </c>
      <c r="I1948" s="5">
        <v>44652</v>
      </c>
      <c r="J1948" s="6">
        <v>0</v>
      </c>
      <c r="K1948" s="6">
        <v>0</v>
      </c>
      <c r="L1948" s="6">
        <v>5.09</v>
      </c>
      <c r="M1948" s="6">
        <v>5.09</v>
      </c>
      <c r="N1948" s="6">
        <v>5.09</v>
      </c>
      <c r="O1948" s="6">
        <v>5.09</v>
      </c>
      <c r="P1948" s="6">
        <v>0</v>
      </c>
      <c r="Q1948" s="4" t="s">
        <v>26</v>
      </c>
      <c r="R1948" s="4">
        <v>0</v>
      </c>
      <c r="S1948" s="6">
        <v>0</v>
      </c>
      <c r="T1948" s="6">
        <v>53</v>
      </c>
      <c r="U1948" s="6">
        <v>98</v>
      </c>
      <c r="V1948" s="6">
        <f>IF(ISERROR(VLOOKUP($S$1948,'TAR FIN'!$A$1:$O$104,15,0)),0,VLOOKUP($S$1948,'TAR FIN'!$A$1:$O$104,15,0))</f>
        <v>0</v>
      </c>
      <c r="W1948" s="6">
        <f>IF(ISERROR(VLOOKUP($T$1948,'TAR FIN'!$A$1:$O$104,15,0)),0,VLOOKUP($T$1948,'TAR FIN'!$A$1:$O$104,15,0))</f>
        <v>604.4</v>
      </c>
      <c r="X1948" s="6">
        <f>IF(ISERROR(VLOOKUP($U$1948,'TAR FIN'!$A$1:$O$104,15,0)),0,VLOOKUP($U$1948,'TAR FIN'!$A$1:$O$104,15,0))</f>
        <v>242.82</v>
      </c>
      <c r="Y1948" s="6"/>
      <c r="Z1948" s="6">
        <f ca="1">('TUSD BE'!$AM$60+'TUSD BF'!$AM$60+'TUSD CVA'!$AM$60)*1</f>
        <v>620.20988729592284</v>
      </c>
      <c r="AA1948" s="6">
        <f>('TE BE'!$AB$39+'TE BF'!$AB$39+'TE CVA'!$AB$39)*1</f>
        <v>231.76257384332172</v>
      </c>
      <c r="AB1948" s="6">
        <f>$K$1948*$V$1948</f>
        <v>0</v>
      </c>
      <c r="AC1948" s="6">
        <f>$M$1948*$W$1948</f>
        <v>3076.3959999999997</v>
      </c>
      <c r="AD1948" s="6">
        <f>$O$1948*$X$1948</f>
        <v>1235.9538</v>
      </c>
      <c r="AE1948" s="6">
        <f>$K$1948*$Y$1948</f>
        <v>0</v>
      </c>
      <c r="AF1948" s="6">
        <f ca="1">$M$1948*$Z$1948</f>
        <v>3156.8683263362473</v>
      </c>
      <c r="AG1948" s="6">
        <f>$O$1948*$AA$1948</f>
        <v>1179.6715008625074</v>
      </c>
    </row>
    <row r="1949" spans="1:33" ht="11.25" customHeight="1" x14ac:dyDescent="0.25">
      <c r="A1949" s="4" t="s">
        <v>28</v>
      </c>
      <c r="B1949" s="4" t="s">
        <v>37</v>
      </c>
      <c r="C1949" s="4" t="s">
        <v>33</v>
      </c>
      <c r="D1949" s="4" t="s">
        <v>43</v>
      </c>
      <c r="E1949" s="4" t="s">
        <v>25</v>
      </c>
      <c r="F1949" s="4" t="s">
        <v>25</v>
      </c>
      <c r="G1949" s="4" t="s">
        <v>25</v>
      </c>
      <c r="H1949" s="4" t="s">
        <v>36</v>
      </c>
      <c r="I1949" s="5">
        <v>44652</v>
      </c>
      <c r="J1949" s="6">
        <v>0</v>
      </c>
      <c r="K1949" s="6">
        <v>0</v>
      </c>
      <c r="L1949" s="6">
        <v>0.71799999999999997</v>
      </c>
      <c r="M1949" s="6">
        <v>0.71799999999999997</v>
      </c>
      <c r="N1949" s="6">
        <v>0.71799999999999997</v>
      </c>
      <c r="O1949" s="6">
        <v>0.71799999999999997</v>
      </c>
      <c r="P1949" s="6">
        <v>0</v>
      </c>
      <c r="Q1949" s="4" t="s">
        <v>26</v>
      </c>
      <c r="R1949" s="4">
        <v>0</v>
      </c>
      <c r="S1949" s="6">
        <v>0</v>
      </c>
      <c r="T1949" s="6">
        <v>53</v>
      </c>
      <c r="U1949" s="6">
        <v>98</v>
      </c>
      <c r="V1949" s="6">
        <f>IF(ISERROR(VLOOKUP($S$1949,'TAR FIN'!$A$1:$O$104,15,0)),0,VLOOKUP($S$1949,'TAR FIN'!$A$1:$O$104,15,0))</f>
        <v>0</v>
      </c>
      <c r="W1949" s="6">
        <f>IF(ISERROR(VLOOKUP($T$1949,'TAR FIN'!$A$1:$O$104,15,0)),0,VLOOKUP($T$1949,'TAR FIN'!$A$1:$O$104,15,0))</f>
        <v>604.4</v>
      </c>
      <c r="X1949" s="6">
        <f>IF(ISERROR(VLOOKUP($U$1949,'TAR FIN'!$A$1:$O$104,15,0)),0,VLOOKUP($U$1949,'TAR FIN'!$A$1:$O$104,15,0))</f>
        <v>242.82</v>
      </c>
      <c r="Y1949" s="6"/>
      <c r="Z1949" s="6">
        <f ca="1">('TUSD BE'!$AM$60+'TUSD BF'!$AM$60+'TUSD CVA'!$AM$60)*1</f>
        <v>620.20988729592284</v>
      </c>
      <c r="AA1949" s="6">
        <f>('TE BE'!$AB$39+'TE BF'!$AB$39+'TE CVA'!$AB$39)*1</f>
        <v>231.76257384332172</v>
      </c>
      <c r="AB1949" s="6">
        <f>$K$1949*$V$1949</f>
        <v>0</v>
      </c>
      <c r="AC1949" s="6">
        <f>$M$1949*$W$1949</f>
        <v>433.95919999999995</v>
      </c>
      <c r="AD1949" s="6">
        <f>$O$1949*$X$1949</f>
        <v>174.34475999999998</v>
      </c>
      <c r="AE1949" s="6">
        <f>$K$1949*$Y$1949</f>
        <v>0</v>
      </c>
      <c r="AF1949" s="6">
        <f ca="1">$M$1949*$Z$1949</f>
        <v>445.31069907847257</v>
      </c>
      <c r="AG1949" s="6">
        <f>$O$1949*$AA$1949</f>
        <v>166.405528019505</v>
      </c>
    </row>
    <row r="1950" spans="1:33" ht="11.25" customHeight="1" x14ac:dyDescent="0.25">
      <c r="A1950" s="4" t="s">
        <v>21</v>
      </c>
      <c r="B1950" s="4" t="s">
        <v>37</v>
      </c>
      <c r="C1950" s="4" t="s">
        <v>33</v>
      </c>
      <c r="D1950" s="4" t="s">
        <v>43</v>
      </c>
      <c r="E1950" s="4" t="s">
        <v>25</v>
      </c>
      <c r="F1950" s="4" t="s">
        <v>25</v>
      </c>
      <c r="G1950" s="4" t="s">
        <v>25</v>
      </c>
      <c r="H1950" s="4" t="s">
        <v>36</v>
      </c>
      <c r="I1950" s="5">
        <v>44682</v>
      </c>
      <c r="J1950" s="6">
        <v>0</v>
      </c>
      <c r="K1950" s="6">
        <v>0</v>
      </c>
      <c r="L1950" s="6">
        <v>4.9240000000000004</v>
      </c>
      <c r="M1950" s="6">
        <v>4.9240000000000004</v>
      </c>
      <c r="N1950" s="6">
        <v>4.9240000000000004</v>
      </c>
      <c r="O1950" s="6">
        <v>4.9240000000000004</v>
      </c>
      <c r="P1950" s="6">
        <v>0</v>
      </c>
      <c r="Q1950" s="4" t="s">
        <v>26</v>
      </c>
      <c r="R1950" s="4">
        <v>0</v>
      </c>
      <c r="S1950" s="6">
        <v>0</v>
      </c>
      <c r="T1950" s="6">
        <v>53</v>
      </c>
      <c r="U1950" s="6">
        <v>98</v>
      </c>
      <c r="V1950" s="6">
        <f>IF(ISERROR(VLOOKUP($S$1950,'TAR FIN'!$A$1:$O$104,15,0)),0,VLOOKUP($S$1950,'TAR FIN'!$A$1:$O$104,15,0))</f>
        <v>0</v>
      </c>
      <c r="W1950" s="6">
        <f>IF(ISERROR(VLOOKUP($T$1950,'TAR FIN'!$A$1:$O$104,15,0)),0,VLOOKUP($T$1950,'TAR FIN'!$A$1:$O$104,15,0))</f>
        <v>604.4</v>
      </c>
      <c r="X1950" s="6">
        <f>IF(ISERROR(VLOOKUP($U$1950,'TAR FIN'!$A$1:$O$104,15,0)),0,VLOOKUP($U$1950,'TAR FIN'!$A$1:$O$104,15,0))</f>
        <v>242.82</v>
      </c>
      <c r="Y1950" s="6"/>
      <c r="Z1950" s="6">
        <f ca="1">('TUSD BE'!$AM$60+'TUSD BF'!$AM$60+'TUSD CVA'!$AM$60)*1</f>
        <v>620.20988729592284</v>
      </c>
      <c r="AA1950" s="6">
        <f>('TE BE'!$AB$39+'TE BF'!$AB$39+'TE CVA'!$AB$39)*1</f>
        <v>231.76257384332172</v>
      </c>
      <c r="AB1950" s="6">
        <f>$K$1950*$V$1950</f>
        <v>0</v>
      </c>
      <c r="AC1950" s="6">
        <f>$M$1950*$W$1950</f>
        <v>2976.0655999999999</v>
      </c>
      <c r="AD1950" s="6">
        <f>$O$1950*$X$1950</f>
        <v>1195.6456800000001</v>
      </c>
      <c r="AE1950" s="6">
        <f>$K$1950*$Y$1950</f>
        <v>0</v>
      </c>
      <c r="AF1950" s="6">
        <f ca="1">$M$1950*$Z$1950</f>
        <v>3053.9134850451242</v>
      </c>
      <c r="AG1950" s="6">
        <f>$O$1950*$AA$1950</f>
        <v>1141.1989136045163</v>
      </c>
    </row>
    <row r="1951" spans="1:33" ht="11.25" customHeight="1" x14ac:dyDescent="0.25">
      <c r="A1951" s="4" t="s">
        <v>28</v>
      </c>
      <c r="B1951" s="4" t="s">
        <v>37</v>
      </c>
      <c r="C1951" s="4" t="s">
        <v>33</v>
      </c>
      <c r="D1951" s="4" t="s">
        <v>43</v>
      </c>
      <c r="E1951" s="4" t="s">
        <v>25</v>
      </c>
      <c r="F1951" s="4" t="s">
        <v>25</v>
      </c>
      <c r="G1951" s="4" t="s">
        <v>25</v>
      </c>
      <c r="H1951" s="4" t="s">
        <v>36</v>
      </c>
      <c r="I1951" s="5">
        <v>44682</v>
      </c>
      <c r="J1951" s="6">
        <v>0</v>
      </c>
      <c r="K1951" s="6">
        <v>0</v>
      </c>
      <c r="L1951" s="6">
        <v>0.70799999999999996</v>
      </c>
      <c r="M1951" s="6">
        <v>0.70799999999999996</v>
      </c>
      <c r="N1951" s="6">
        <v>0.70799999999999996</v>
      </c>
      <c r="O1951" s="6">
        <v>0.70799999999999996</v>
      </c>
      <c r="P1951" s="6">
        <v>0</v>
      </c>
      <c r="Q1951" s="4" t="s">
        <v>26</v>
      </c>
      <c r="R1951" s="4">
        <v>0</v>
      </c>
      <c r="S1951" s="6">
        <v>0</v>
      </c>
      <c r="T1951" s="6">
        <v>53</v>
      </c>
      <c r="U1951" s="6">
        <v>98</v>
      </c>
      <c r="V1951" s="6">
        <f>IF(ISERROR(VLOOKUP($S$1951,'TAR FIN'!$A$1:$O$104,15,0)),0,VLOOKUP($S$1951,'TAR FIN'!$A$1:$O$104,15,0))</f>
        <v>0</v>
      </c>
      <c r="W1951" s="6">
        <f>IF(ISERROR(VLOOKUP($T$1951,'TAR FIN'!$A$1:$O$104,15,0)),0,VLOOKUP($T$1951,'TAR FIN'!$A$1:$O$104,15,0))</f>
        <v>604.4</v>
      </c>
      <c r="X1951" s="6">
        <f>IF(ISERROR(VLOOKUP($U$1951,'TAR FIN'!$A$1:$O$104,15,0)),0,VLOOKUP($U$1951,'TAR FIN'!$A$1:$O$104,15,0))</f>
        <v>242.82</v>
      </c>
      <c r="Y1951" s="6"/>
      <c r="Z1951" s="6">
        <f ca="1">('TUSD BE'!$AM$60+'TUSD BF'!$AM$60+'TUSD CVA'!$AM$60)*1</f>
        <v>620.20988729592284</v>
      </c>
      <c r="AA1951" s="6">
        <f>('TE BE'!$AB$39+'TE BF'!$AB$39+'TE CVA'!$AB$39)*1</f>
        <v>231.76257384332172</v>
      </c>
      <c r="AB1951" s="6">
        <f>$K$1951*$V$1951</f>
        <v>0</v>
      </c>
      <c r="AC1951" s="6">
        <f>$M$1951*$W$1951</f>
        <v>427.91519999999997</v>
      </c>
      <c r="AD1951" s="6">
        <f>$O$1951*$X$1951</f>
        <v>171.91655999999998</v>
      </c>
      <c r="AE1951" s="6">
        <f>$K$1951*$Y$1951</f>
        <v>0</v>
      </c>
      <c r="AF1951" s="6">
        <f ca="1">$M$1951*$Z$1951</f>
        <v>439.10860020551337</v>
      </c>
      <c r="AG1951" s="6">
        <f>$O$1951*$AA$1951</f>
        <v>164.08790228107176</v>
      </c>
    </row>
    <row r="1952" spans="1:33" ht="11.25" customHeight="1" x14ac:dyDescent="0.25">
      <c r="A1952" s="4" t="s">
        <v>21</v>
      </c>
      <c r="B1952" s="4" t="s">
        <v>37</v>
      </c>
      <c r="C1952" s="4" t="s">
        <v>33</v>
      </c>
      <c r="D1952" s="4" t="s">
        <v>43</v>
      </c>
      <c r="E1952" s="4" t="s">
        <v>25</v>
      </c>
      <c r="F1952" s="4" t="s">
        <v>25</v>
      </c>
      <c r="G1952" s="4" t="s">
        <v>25</v>
      </c>
      <c r="H1952" s="4" t="s">
        <v>36</v>
      </c>
      <c r="I1952" s="5">
        <v>44713</v>
      </c>
      <c r="J1952" s="6">
        <v>0</v>
      </c>
      <c r="K1952" s="6">
        <v>0</v>
      </c>
      <c r="L1952" s="6">
        <v>4.343</v>
      </c>
      <c r="M1952" s="6">
        <v>4.343</v>
      </c>
      <c r="N1952" s="6">
        <v>4.343</v>
      </c>
      <c r="O1952" s="6">
        <v>4.343</v>
      </c>
      <c r="P1952" s="6">
        <v>0</v>
      </c>
      <c r="Q1952" s="4" t="s">
        <v>26</v>
      </c>
      <c r="R1952" s="4">
        <v>0</v>
      </c>
      <c r="S1952" s="6">
        <v>0</v>
      </c>
      <c r="T1952" s="6">
        <v>53</v>
      </c>
      <c r="U1952" s="6">
        <v>98</v>
      </c>
      <c r="V1952" s="6">
        <f>IF(ISERROR(VLOOKUP($S$1952,'TAR FIN'!$A$1:$O$104,15,0)),0,VLOOKUP($S$1952,'TAR FIN'!$A$1:$O$104,15,0))</f>
        <v>0</v>
      </c>
      <c r="W1952" s="6">
        <f>IF(ISERROR(VLOOKUP($T$1952,'TAR FIN'!$A$1:$O$104,15,0)),0,VLOOKUP($T$1952,'TAR FIN'!$A$1:$O$104,15,0))</f>
        <v>604.4</v>
      </c>
      <c r="X1952" s="6">
        <f>IF(ISERROR(VLOOKUP($U$1952,'TAR FIN'!$A$1:$O$104,15,0)),0,VLOOKUP($U$1952,'TAR FIN'!$A$1:$O$104,15,0))</f>
        <v>242.82</v>
      </c>
      <c r="Y1952" s="6"/>
      <c r="Z1952" s="6">
        <f ca="1">('TUSD BE'!$AM$60+'TUSD BF'!$AM$60+'TUSD CVA'!$AM$60)*1</f>
        <v>620.20988729592284</v>
      </c>
      <c r="AA1952" s="6">
        <f>('TE BE'!$AB$39+'TE BF'!$AB$39+'TE CVA'!$AB$39)*1</f>
        <v>231.76257384332172</v>
      </c>
      <c r="AB1952" s="6">
        <f>$K$1952*$V$1952</f>
        <v>0</v>
      </c>
      <c r="AC1952" s="6">
        <f>$M$1952*$W$1952</f>
        <v>2624.9092000000001</v>
      </c>
      <c r="AD1952" s="6">
        <f>$O$1952*$X$1952</f>
        <v>1054.56726</v>
      </c>
      <c r="AE1952" s="6">
        <f>$K$1952*$Y$1952</f>
        <v>0</v>
      </c>
      <c r="AF1952" s="6">
        <f ca="1">$M$1952*$Z$1952</f>
        <v>2693.5715405261931</v>
      </c>
      <c r="AG1952" s="6">
        <f>$O$1952*$AA$1952</f>
        <v>1006.5448582015462</v>
      </c>
    </row>
    <row r="1953" spans="1:33" ht="11.25" customHeight="1" x14ac:dyDescent="0.25">
      <c r="A1953" s="4" t="s">
        <v>27</v>
      </c>
      <c r="B1953" s="4" t="s">
        <v>37</v>
      </c>
      <c r="C1953" s="4" t="s">
        <v>33</v>
      </c>
      <c r="D1953" s="4" t="s">
        <v>43</v>
      </c>
      <c r="E1953" s="4" t="s">
        <v>25</v>
      </c>
      <c r="F1953" s="4" t="s">
        <v>25</v>
      </c>
      <c r="G1953" s="4" t="s">
        <v>25</v>
      </c>
      <c r="H1953" s="4" t="s">
        <v>36</v>
      </c>
      <c r="I1953" s="5">
        <v>44713</v>
      </c>
      <c r="J1953" s="6">
        <v>0</v>
      </c>
      <c r="K1953" s="6">
        <v>0</v>
      </c>
      <c r="L1953" s="6">
        <v>0.10100000000000001</v>
      </c>
      <c r="M1953" s="6">
        <v>0.10100000000000001</v>
      </c>
      <c r="N1953" s="6">
        <v>0.10100000000000001</v>
      </c>
      <c r="O1953" s="6">
        <v>0.10100000000000001</v>
      </c>
      <c r="P1953" s="6">
        <v>0</v>
      </c>
      <c r="Q1953" s="4" t="s">
        <v>26</v>
      </c>
      <c r="R1953" s="4">
        <v>0</v>
      </c>
      <c r="S1953" s="6">
        <v>0</v>
      </c>
      <c r="T1953" s="6">
        <v>53</v>
      </c>
      <c r="U1953" s="6">
        <v>98</v>
      </c>
      <c r="V1953" s="6">
        <f>IF(ISERROR(VLOOKUP($S$1953,'TAR FIN'!$A$1:$O$104,15,0)),0,VLOOKUP($S$1953,'TAR FIN'!$A$1:$O$104,15,0))</f>
        <v>0</v>
      </c>
      <c r="W1953" s="6">
        <f>IF(ISERROR(VLOOKUP($T$1953,'TAR FIN'!$A$1:$O$104,15,0)),0,VLOOKUP($T$1953,'TAR FIN'!$A$1:$O$104,15,0))</f>
        <v>604.4</v>
      </c>
      <c r="X1953" s="6">
        <f>IF(ISERROR(VLOOKUP($U$1953,'TAR FIN'!$A$1:$O$104,15,0)),0,VLOOKUP($U$1953,'TAR FIN'!$A$1:$O$104,15,0))</f>
        <v>242.82</v>
      </c>
      <c r="Y1953" s="6"/>
      <c r="Z1953" s="6">
        <f ca="1">('TUSD BE'!$AM$60+'TUSD BF'!$AM$60+'TUSD CVA'!$AM$60)*1</f>
        <v>620.20988729592284</v>
      </c>
      <c r="AA1953" s="6">
        <f>('TE BE'!$AB$39+'TE BF'!$AB$39+'TE CVA'!$AB$39)*1</f>
        <v>231.76257384332172</v>
      </c>
      <c r="AB1953" s="6">
        <f>$K$1953*$V$1953</f>
        <v>0</v>
      </c>
      <c r="AC1953" s="6">
        <f>$M$1953*$W$1953</f>
        <v>61.044400000000003</v>
      </c>
      <c r="AD1953" s="6">
        <f>$O$1953*$X$1953</f>
        <v>24.524820000000002</v>
      </c>
      <c r="AE1953" s="6">
        <f>$K$1953*$Y$1953</f>
        <v>0</v>
      </c>
      <c r="AF1953" s="6">
        <f ca="1">$M$1953*$Z$1953</f>
        <v>62.641198616888211</v>
      </c>
      <c r="AG1953" s="6">
        <f>$O$1953*$AA$1953</f>
        <v>23.408019958175494</v>
      </c>
    </row>
    <row r="1954" spans="1:33" ht="11.25" customHeight="1" x14ac:dyDescent="0.25">
      <c r="A1954" s="4" t="s">
        <v>28</v>
      </c>
      <c r="B1954" s="4" t="s">
        <v>37</v>
      </c>
      <c r="C1954" s="4" t="s">
        <v>33</v>
      </c>
      <c r="D1954" s="4" t="s">
        <v>43</v>
      </c>
      <c r="E1954" s="4" t="s">
        <v>25</v>
      </c>
      <c r="F1954" s="4" t="s">
        <v>25</v>
      </c>
      <c r="G1954" s="4" t="s">
        <v>25</v>
      </c>
      <c r="H1954" s="4" t="s">
        <v>36</v>
      </c>
      <c r="I1954" s="5">
        <v>44713</v>
      </c>
      <c r="J1954" s="6">
        <v>0</v>
      </c>
      <c r="K1954" s="6">
        <v>0</v>
      </c>
      <c r="L1954" s="6">
        <v>0.625</v>
      </c>
      <c r="M1954" s="6">
        <v>0.625</v>
      </c>
      <c r="N1954" s="6">
        <v>0.625</v>
      </c>
      <c r="O1954" s="6">
        <v>0.625</v>
      </c>
      <c r="P1954" s="6">
        <v>0</v>
      </c>
      <c r="Q1954" s="4" t="s">
        <v>26</v>
      </c>
      <c r="R1954" s="4">
        <v>0</v>
      </c>
      <c r="S1954" s="6">
        <v>0</v>
      </c>
      <c r="T1954" s="6">
        <v>53</v>
      </c>
      <c r="U1954" s="6">
        <v>98</v>
      </c>
      <c r="V1954" s="6">
        <f>IF(ISERROR(VLOOKUP($S$1954,'TAR FIN'!$A$1:$O$104,15,0)),0,VLOOKUP($S$1954,'TAR FIN'!$A$1:$O$104,15,0))</f>
        <v>0</v>
      </c>
      <c r="W1954" s="6">
        <f>IF(ISERROR(VLOOKUP($T$1954,'TAR FIN'!$A$1:$O$104,15,0)),0,VLOOKUP($T$1954,'TAR FIN'!$A$1:$O$104,15,0))</f>
        <v>604.4</v>
      </c>
      <c r="X1954" s="6">
        <f>IF(ISERROR(VLOOKUP($U$1954,'TAR FIN'!$A$1:$O$104,15,0)),0,VLOOKUP($U$1954,'TAR FIN'!$A$1:$O$104,15,0))</f>
        <v>242.82</v>
      </c>
      <c r="Y1954" s="6"/>
      <c r="Z1954" s="6">
        <f ca="1">('TUSD BE'!$AM$60+'TUSD BF'!$AM$60+'TUSD CVA'!$AM$60)*1</f>
        <v>620.20988729592284</v>
      </c>
      <c r="AA1954" s="6">
        <f>('TE BE'!$AB$39+'TE BF'!$AB$39+'TE CVA'!$AB$39)*1</f>
        <v>231.76257384332172</v>
      </c>
      <c r="AB1954" s="6">
        <f>$K$1954*$V$1954</f>
        <v>0</v>
      </c>
      <c r="AC1954" s="6">
        <f>$M$1954*$W$1954</f>
        <v>377.75</v>
      </c>
      <c r="AD1954" s="6">
        <f>$O$1954*$X$1954</f>
        <v>151.76249999999999</v>
      </c>
      <c r="AE1954" s="6">
        <f>$K$1954*$Y$1954</f>
        <v>0</v>
      </c>
      <c r="AF1954" s="6">
        <f ca="1">$M$1954*$Z$1954</f>
        <v>387.63117955995176</v>
      </c>
      <c r="AG1954" s="6">
        <f>$O$1954*$AA$1954</f>
        <v>144.85160865207607</v>
      </c>
    </row>
    <row r="1955" spans="1:33" ht="11.25" customHeight="1" x14ac:dyDescent="0.25">
      <c r="A1955" s="4" t="s">
        <v>57</v>
      </c>
      <c r="B1955" s="4" t="s">
        <v>37</v>
      </c>
      <c r="C1955" s="4" t="s">
        <v>33</v>
      </c>
      <c r="D1955" s="4" t="s">
        <v>43</v>
      </c>
      <c r="E1955" s="4" t="s">
        <v>25</v>
      </c>
      <c r="F1955" s="4" t="s">
        <v>25</v>
      </c>
      <c r="G1955" s="4" t="s">
        <v>25</v>
      </c>
      <c r="H1955" s="4" t="s">
        <v>36</v>
      </c>
      <c r="I1955" s="5">
        <v>44743</v>
      </c>
      <c r="J1955" s="6">
        <v>0</v>
      </c>
      <c r="K1955" s="6">
        <v>0</v>
      </c>
      <c r="L1955" s="6">
        <v>4.343</v>
      </c>
      <c r="M1955" s="6">
        <v>4.343</v>
      </c>
      <c r="N1955" s="6">
        <v>4.343</v>
      </c>
      <c r="O1955" s="6">
        <v>4.343</v>
      </c>
      <c r="P1955" s="6">
        <v>0</v>
      </c>
      <c r="Q1955" s="4" t="s">
        <v>26</v>
      </c>
      <c r="R1955" s="4">
        <v>0</v>
      </c>
      <c r="S1955" s="6">
        <v>0</v>
      </c>
      <c r="T1955" s="6">
        <v>53</v>
      </c>
      <c r="U1955" s="6">
        <v>98</v>
      </c>
      <c r="V1955" s="6">
        <f>IF(ISERROR(VLOOKUP($S$1955,'TAR FIN'!$A$1:$O$104,15,0)),0,VLOOKUP($S$1955,'TAR FIN'!$A$1:$O$104,15,0))</f>
        <v>0</v>
      </c>
      <c r="W1955" s="6">
        <f>IF(ISERROR(VLOOKUP($T$1955,'TAR FIN'!$A$1:$O$104,15,0)),0,VLOOKUP($T$1955,'TAR FIN'!$A$1:$O$104,15,0))</f>
        <v>604.4</v>
      </c>
      <c r="X1955" s="6">
        <f>IF(ISERROR(VLOOKUP($U$1955,'TAR FIN'!$A$1:$O$104,15,0)),0,VLOOKUP($U$1955,'TAR FIN'!$A$1:$O$104,15,0))</f>
        <v>242.82</v>
      </c>
      <c r="Y1955" s="6"/>
      <c r="Z1955" s="6">
        <f ca="1">('TUSD BE'!$AM$60+'TUSD BF'!$AM$60+'TUSD CVA'!$AM$60)*1</f>
        <v>620.20988729592284</v>
      </c>
      <c r="AA1955" s="6">
        <f>('TE BE'!$AB$39+'TE BF'!$AB$39+'TE CVA'!$AB$39)*1</f>
        <v>231.76257384332172</v>
      </c>
      <c r="AB1955" s="6">
        <f>$K$1955*$V$1955</f>
        <v>0</v>
      </c>
      <c r="AC1955" s="6">
        <f>$M$1955*$W$1955</f>
        <v>2624.9092000000001</v>
      </c>
      <c r="AD1955" s="6">
        <f>$O$1955*$X$1955</f>
        <v>1054.56726</v>
      </c>
      <c r="AE1955" s="6">
        <f>$K$1955*$Y$1955</f>
        <v>0</v>
      </c>
      <c r="AF1955" s="6">
        <f ca="1">$M$1955*$Z$1955</f>
        <v>2693.5715405261931</v>
      </c>
      <c r="AG1955" s="6">
        <f>$O$1955*$AA$1955</f>
        <v>1006.5448582015462</v>
      </c>
    </row>
    <row r="1956" spans="1:33" ht="11.25" customHeight="1" x14ac:dyDescent="0.25">
      <c r="A1956" s="4" t="s">
        <v>57</v>
      </c>
      <c r="B1956" s="4" t="s">
        <v>37</v>
      </c>
      <c r="C1956" s="4" t="s">
        <v>33</v>
      </c>
      <c r="D1956" s="4" t="s">
        <v>43</v>
      </c>
      <c r="E1956" s="4" t="s">
        <v>25</v>
      </c>
      <c r="F1956" s="4" t="s">
        <v>25</v>
      </c>
      <c r="G1956" s="4" t="s">
        <v>25</v>
      </c>
      <c r="H1956" s="4" t="s">
        <v>36</v>
      </c>
      <c r="I1956" s="5">
        <v>44743</v>
      </c>
      <c r="J1956" s="6">
        <v>0</v>
      </c>
      <c r="K1956" s="6">
        <v>0</v>
      </c>
      <c r="L1956" s="6">
        <v>0.10100000000000001</v>
      </c>
      <c r="M1956" s="6">
        <v>0.10100000000000001</v>
      </c>
      <c r="N1956" s="6">
        <v>0.10100000000000001</v>
      </c>
      <c r="O1956" s="6">
        <v>0.10100000000000001</v>
      </c>
      <c r="P1956" s="6">
        <v>0</v>
      </c>
      <c r="Q1956" s="4" t="s">
        <v>26</v>
      </c>
      <c r="R1956" s="4">
        <v>0</v>
      </c>
      <c r="S1956" s="6">
        <v>0</v>
      </c>
      <c r="T1956" s="6">
        <v>53</v>
      </c>
      <c r="U1956" s="6">
        <v>98</v>
      </c>
      <c r="V1956" s="6">
        <f>IF(ISERROR(VLOOKUP($S$1956,'TAR FIN'!$A$1:$O$104,15,0)),0,VLOOKUP($S$1956,'TAR FIN'!$A$1:$O$104,15,0))</f>
        <v>0</v>
      </c>
      <c r="W1956" s="6">
        <f>IF(ISERROR(VLOOKUP($T$1956,'TAR FIN'!$A$1:$O$104,15,0)),0,VLOOKUP($T$1956,'TAR FIN'!$A$1:$O$104,15,0))</f>
        <v>604.4</v>
      </c>
      <c r="X1956" s="6">
        <f>IF(ISERROR(VLOOKUP($U$1956,'TAR FIN'!$A$1:$O$104,15,0)),0,VLOOKUP($U$1956,'TAR FIN'!$A$1:$O$104,15,0))</f>
        <v>242.82</v>
      </c>
      <c r="Y1956" s="6"/>
      <c r="Z1956" s="6">
        <f ca="1">('TUSD BE'!$AM$60+'TUSD BF'!$AM$60+'TUSD CVA'!$AM$60)*1</f>
        <v>620.20988729592284</v>
      </c>
      <c r="AA1956" s="6">
        <f>('TE BE'!$AB$39+'TE BF'!$AB$39+'TE CVA'!$AB$39)*1</f>
        <v>231.76257384332172</v>
      </c>
      <c r="AB1956" s="6">
        <f>$K$1956*$V$1956</f>
        <v>0</v>
      </c>
      <c r="AC1956" s="6">
        <f>$M$1956*$W$1956</f>
        <v>61.044400000000003</v>
      </c>
      <c r="AD1956" s="6">
        <f>$O$1956*$X$1956</f>
        <v>24.524820000000002</v>
      </c>
      <c r="AE1956" s="6">
        <f>$K$1956*$Y$1956</f>
        <v>0</v>
      </c>
      <c r="AF1956" s="6">
        <f ca="1">$M$1956*$Z$1956</f>
        <v>62.641198616888211</v>
      </c>
      <c r="AG1956" s="6">
        <f>$O$1956*$AA$1956</f>
        <v>23.408019958175494</v>
      </c>
    </row>
    <row r="1957" spans="1:33" ht="11.25" customHeight="1" x14ac:dyDescent="0.25">
      <c r="A1957" s="4" t="s">
        <v>57</v>
      </c>
      <c r="B1957" s="4" t="s">
        <v>37</v>
      </c>
      <c r="C1957" s="4" t="s">
        <v>33</v>
      </c>
      <c r="D1957" s="4" t="s">
        <v>43</v>
      </c>
      <c r="E1957" s="4" t="s">
        <v>25</v>
      </c>
      <c r="F1957" s="4" t="s">
        <v>25</v>
      </c>
      <c r="G1957" s="4" t="s">
        <v>25</v>
      </c>
      <c r="H1957" s="4" t="s">
        <v>36</v>
      </c>
      <c r="I1957" s="5">
        <v>44743</v>
      </c>
      <c r="J1957" s="6">
        <v>0</v>
      </c>
      <c r="K1957" s="6">
        <v>0</v>
      </c>
      <c r="L1957" s="6">
        <v>0.625</v>
      </c>
      <c r="M1957" s="6">
        <v>0.625</v>
      </c>
      <c r="N1957" s="6">
        <v>0.625</v>
      </c>
      <c r="O1957" s="6">
        <v>0.625</v>
      </c>
      <c r="P1957" s="6">
        <v>0</v>
      </c>
      <c r="Q1957" s="4" t="s">
        <v>26</v>
      </c>
      <c r="R1957" s="4">
        <v>0</v>
      </c>
      <c r="S1957" s="6">
        <v>0</v>
      </c>
      <c r="T1957" s="6">
        <v>53</v>
      </c>
      <c r="U1957" s="6">
        <v>98</v>
      </c>
      <c r="V1957" s="6">
        <f>IF(ISERROR(VLOOKUP($S$1957,'TAR FIN'!$A$1:$O$104,15,0)),0,VLOOKUP($S$1957,'TAR FIN'!$A$1:$O$104,15,0))</f>
        <v>0</v>
      </c>
      <c r="W1957" s="6">
        <f>IF(ISERROR(VLOOKUP($T$1957,'TAR FIN'!$A$1:$O$104,15,0)),0,VLOOKUP($T$1957,'TAR FIN'!$A$1:$O$104,15,0))</f>
        <v>604.4</v>
      </c>
      <c r="X1957" s="6">
        <f>IF(ISERROR(VLOOKUP($U$1957,'TAR FIN'!$A$1:$O$104,15,0)),0,VLOOKUP($U$1957,'TAR FIN'!$A$1:$O$104,15,0))</f>
        <v>242.82</v>
      </c>
      <c r="Y1957" s="6"/>
      <c r="Z1957" s="6">
        <f ca="1">('TUSD BE'!$AM$60+'TUSD BF'!$AM$60+'TUSD CVA'!$AM$60)*1</f>
        <v>620.20988729592284</v>
      </c>
      <c r="AA1957" s="6">
        <f>('TE BE'!$AB$39+'TE BF'!$AB$39+'TE CVA'!$AB$39)*1</f>
        <v>231.76257384332172</v>
      </c>
      <c r="AB1957" s="6">
        <f>$K$1957*$V$1957</f>
        <v>0</v>
      </c>
      <c r="AC1957" s="6">
        <f>$M$1957*$W$1957</f>
        <v>377.75</v>
      </c>
      <c r="AD1957" s="6">
        <f>$O$1957*$X$1957</f>
        <v>151.76249999999999</v>
      </c>
      <c r="AE1957" s="6">
        <f>$K$1957*$Y$1957</f>
        <v>0</v>
      </c>
      <c r="AF1957" s="6">
        <f ca="1">$M$1957*$Z$1957</f>
        <v>387.63117955995176</v>
      </c>
      <c r="AG1957" s="6">
        <f>$O$1957*$AA$1957</f>
        <v>144.85160865207607</v>
      </c>
    </row>
    <row r="1958" spans="1:33" ht="11.25" customHeight="1" x14ac:dyDescent="0.25">
      <c r="A1958" s="4" t="s">
        <v>21</v>
      </c>
      <c r="B1958" s="4" t="s">
        <v>37</v>
      </c>
      <c r="C1958" s="4" t="s">
        <v>33</v>
      </c>
      <c r="D1958" s="4" t="s">
        <v>43</v>
      </c>
      <c r="E1958" s="4" t="s">
        <v>25</v>
      </c>
      <c r="F1958" s="4" t="s">
        <v>25</v>
      </c>
      <c r="G1958" s="4" t="s">
        <v>25</v>
      </c>
      <c r="H1958" s="4" t="s">
        <v>34</v>
      </c>
      <c r="I1958" s="5">
        <v>44409</v>
      </c>
      <c r="J1958" s="6">
        <v>0</v>
      </c>
      <c r="K1958" s="6">
        <v>0</v>
      </c>
      <c r="L1958" s="6">
        <v>2.855</v>
      </c>
      <c r="M1958" s="6">
        <v>2.855</v>
      </c>
      <c r="N1958" s="6">
        <v>2.855</v>
      </c>
      <c r="O1958" s="6">
        <v>2.855</v>
      </c>
      <c r="P1958" s="6">
        <v>0</v>
      </c>
      <c r="Q1958" s="4" t="s">
        <v>26</v>
      </c>
      <c r="R1958" s="4">
        <v>0</v>
      </c>
      <c r="S1958" s="6">
        <v>0</v>
      </c>
      <c r="T1958" s="6">
        <v>51</v>
      </c>
      <c r="U1958" s="6">
        <v>97</v>
      </c>
      <c r="V1958" s="6">
        <f>IF(ISERROR(VLOOKUP($S$1958,'TAR FIN'!$A$1:$O$104,15,0)),0,VLOOKUP($S$1958,'TAR FIN'!$A$1:$O$104,15,0))</f>
        <v>0</v>
      </c>
      <c r="W1958" s="6">
        <f>IF(ISERROR(VLOOKUP($T$1958,'TAR FIN'!$A$1:$O$104,15,0)),0,VLOOKUP($T$1958,'TAR FIN'!$A$1:$O$104,15,0))</f>
        <v>948.58</v>
      </c>
      <c r="X1958" s="6">
        <f>IF(ISERROR(VLOOKUP($U$1958,'TAR FIN'!$A$1:$O$104,15,0)),0,VLOOKUP($U$1958,'TAR FIN'!$A$1:$O$104,15,0))</f>
        <v>397.62</v>
      </c>
      <c r="Y1958" s="6"/>
      <c r="Z1958" s="6">
        <f ca="1">('TUSD BE'!$AM$59+'TUSD BF'!$AM$59+'TUSD CVA'!$AM$59)*1</f>
        <v>964.91724567390565</v>
      </c>
      <c r="AA1958" s="6">
        <f>('TE BE'!$AB$38+'TE BF'!$AB$38+'TE CVA'!$AB$38)*1</f>
        <v>360.26029187567116</v>
      </c>
      <c r="AB1958" s="6">
        <f>$K$1958*$V$1958</f>
        <v>0</v>
      </c>
      <c r="AC1958" s="6">
        <f>$M$1958*$W$1958</f>
        <v>2708.1959000000002</v>
      </c>
      <c r="AD1958" s="6">
        <f>$O$1958*$X$1958</f>
        <v>1135.2050999999999</v>
      </c>
      <c r="AE1958" s="6">
        <f>$K$1958*$Y$1958</f>
        <v>0</v>
      </c>
      <c r="AF1958" s="6">
        <f ca="1">$M$1958*$Z$1958</f>
        <v>2754.8387363990005</v>
      </c>
      <c r="AG1958" s="6">
        <f>$O$1958*$AA$1958</f>
        <v>1028.5431333050412</v>
      </c>
    </row>
    <row r="1959" spans="1:33" ht="11.25" customHeight="1" x14ac:dyDescent="0.25">
      <c r="A1959" s="4" t="s">
        <v>27</v>
      </c>
      <c r="B1959" s="4" t="s">
        <v>37</v>
      </c>
      <c r="C1959" s="4" t="s">
        <v>33</v>
      </c>
      <c r="D1959" s="4" t="s">
        <v>43</v>
      </c>
      <c r="E1959" s="4" t="s">
        <v>25</v>
      </c>
      <c r="F1959" s="4" t="s">
        <v>25</v>
      </c>
      <c r="G1959" s="4" t="s">
        <v>25</v>
      </c>
      <c r="H1959" s="4" t="s">
        <v>34</v>
      </c>
      <c r="I1959" s="5">
        <v>44409</v>
      </c>
      <c r="J1959" s="6">
        <v>0</v>
      </c>
      <c r="K1959" s="6">
        <v>0</v>
      </c>
      <c r="L1959" s="6">
        <v>-2.6930000000000001</v>
      </c>
      <c r="M1959" s="6">
        <v>-2.6930000000000001</v>
      </c>
      <c r="N1959" s="6">
        <v>-2.6930000000000001</v>
      </c>
      <c r="O1959" s="6">
        <v>-2.6930000000000001</v>
      </c>
      <c r="P1959" s="6">
        <v>0</v>
      </c>
      <c r="Q1959" s="4" t="s">
        <v>26</v>
      </c>
      <c r="R1959" s="4">
        <v>0</v>
      </c>
      <c r="S1959" s="6">
        <v>0</v>
      </c>
      <c r="T1959" s="6">
        <v>51</v>
      </c>
      <c r="U1959" s="6">
        <v>97</v>
      </c>
      <c r="V1959" s="6">
        <f>IF(ISERROR(VLOOKUP($S$1959,'TAR FIN'!$A$1:$O$104,15,0)),0,VLOOKUP($S$1959,'TAR FIN'!$A$1:$O$104,15,0))</f>
        <v>0</v>
      </c>
      <c r="W1959" s="6">
        <f>IF(ISERROR(VLOOKUP($T$1959,'TAR FIN'!$A$1:$O$104,15,0)),0,VLOOKUP($T$1959,'TAR FIN'!$A$1:$O$104,15,0))</f>
        <v>948.58</v>
      </c>
      <c r="X1959" s="6">
        <f>IF(ISERROR(VLOOKUP($U$1959,'TAR FIN'!$A$1:$O$104,15,0)),0,VLOOKUP($U$1959,'TAR FIN'!$A$1:$O$104,15,0))</f>
        <v>397.62</v>
      </c>
      <c r="Y1959" s="6"/>
      <c r="Z1959" s="6">
        <f ca="1">('TUSD BE'!$AM$59+'TUSD BF'!$AM$59+'TUSD CVA'!$AM$59)*1</f>
        <v>964.91724567390565</v>
      </c>
      <c r="AA1959" s="6">
        <f>('TE BE'!$AB$38+'TE BF'!$AB$38+'TE CVA'!$AB$38)*1</f>
        <v>360.26029187567116</v>
      </c>
      <c r="AB1959" s="6">
        <f>$K$1959*$V$1959</f>
        <v>0</v>
      </c>
      <c r="AC1959" s="6">
        <f>$M$1959*$W$1959</f>
        <v>-2554.52594</v>
      </c>
      <c r="AD1959" s="6">
        <f>$O$1959*$X$1959</f>
        <v>-1070.7906600000001</v>
      </c>
      <c r="AE1959" s="6">
        <f>$K$1959*$Y$1959</f>
        <v>0</v>
      </c>
      <c r="AF1959" s="6">
        <f ca="1">$M$1959*$Z$1959</f>
        <v>-2598.5221425998279</v>
      </c>
      <c r="AG1959" s="6">
        <f>$O$1959*$AA$1959</f>
        <v>-970.18096602118248</v>
      </c>
    </row>
    <row r="1960" spans="1:33" ht="11.25" customHeight="1" x14ac:dyDescent="0.25">
      <c r="A1960" s="4" t="s">
        <v>28</v>
      </c>
      <c r="B1960" s="4" t="s">
        <v>37</v>
      </c>
      <c r="C1960" s="4" t="s">
        <v>33</v>
      </c>
      <c r="D1960" s="4" t="s">
        <v>43</v>
      </c>
      <c r="E1960" s="4" t="s">
        <v>25</v>
      </c>
      <c r="F1960" s="4" t="s">
        <v>25</v>
      </c>
      <c r="G1960" s="4" t="s">
        <v>25</v>
      </c>
      <c r="H1960" s="4" t="s">
        <v>34</v>
      </c>
      <c r="I1960" s="5">
        <v>44409</v>
      </c>
      <c r="J1960" s="6">
        <v>0</v>
      </c>
      <c r="K1960" s="6">
        <v>0</v>
      </c>
      <c r="L1960" s="6">
        <v>1.2290000000000001</v>
      </c>
      <c r="M1960" s="6">
        <v>1.2290000000000001</v>
      </c>
      <c r="N1960" s="6">
        <v>1.2290000000000001</v>
      </c>
      <c r="O1960" s="6">
        <v>1.2290000000000001</v>
      </c>
      <c r="P1960" s="6">
        <v>0</v>
      </c>
      <c r="Q1960" s="4" t="s">
        <v>26</v>
      </c>
      <c r="R1960" s="4">
        <v>0</v>
      </c>
      <c r="S1960" s="6">
        <v>0</v>
      </c>
      <c r="T1960" s="6">
        <v>51</v>
      </c>
      <c r="U1960" s="6">
        <v>97</v>
      </c>
      <c r="V1960" s="6">
        <f>IF(ISERROR(VLOOKUP($S$1960,'TAR FIN'!$A$1:$O$104,15,0)),0,VLOOKUP($S$1960,'TAR FIN'!$A$1:$O$104,15,0))</f>
        <v>0</v>
      </c>
      <c r="W1960" s="6">
        <f>IF(ISERROR(VLOOKUP($T$1960,'TAR FIN'!$A$1:$O$104,15,0)),0,VLOOKUP($T$1960,'TAR FIN'!$A$1:$O$104,15,0))</f>
        <v>948.58</v>
      </c>
      <c r="X1960" s="6">
        <f>IF(ISERROR(VLOOKUP($U$1960,'TAR FIN'!$A$1:$O$104,15,0)),0,VLOOKUP($U$1960,'TAR FIN'!$A$1:$O$104,15,0))</f>
        <v>397.62</v>
      </c>
      <c r="Y1960" s="6"/>
      <c r="Z1960" s="6">
        <f ca="1">('TUSD BE'!$AM$59+'TUSD BF'!$AM$59+'TUSD CVA'!$AM$59)*1</f>
        <v>964.91724567390565</v>
      </c>
      <c r="AA1960" s="6">
        <f>('TE BE'!$AB$38+'TE BF'!$AB$38+'TE CVA'!$AB$38)*1</f>
        <v>360.26029187567116</v>
      </c>
      <c r="AB1960" s="6">
        <f>$K$1960*$V$1960</f>
        <v>0</v>
      </c>
      <c r="AC1960" s="6">
        <f>$M$1960*$W$1960</f>
        <v>1165.8048200000001</v>
      </c>
      <c r="AD1960" s="6">
        <f>$O$1960*$X$1960</f>
        <v>488.67498000000006</v>
      </c>
      <c r="AE1960" s="6">
        <f>$K$1960*$Y$1960</f>
        <v>0</v>
      </c>
      <c r="AF1960" s="6">
        <f ca="1">$M$1960*$Z$1960</f>
        <v>1185.8832949332302</v>
      </c>
      <c r="AG1960" s="6">
        <f>$O$1960*$AA$1960</f>
        <v>442.75989871519988</v>
      </c>
    </row>
    <row r="1961" spans="1:33" ht="11.25" customHeight="1" x14ac:dyDescent="0.25">
      <c r="A1961" s="4" t="s">
        <v>21</v>
      </c>
      <c r="B1961" s="4" t="s">
        <v>37</v>
      </c>
      <c r="C1961" s="4" t="s">
        <v>33</v>
      </c>
      <c r="D1961" s="4" t="s">
        <v>43</v>
      </c>
      <c r="E1961" s="4" t="s">
        <v>25</v>
      </c>
      <c r="F1961" s="4" t="s">
        <v>25</v>
      </c>
      <c r="G1961" s="4" t="s">
        <v>25</v>
      </c>
      <c r="H1961" s="4" t="s">
        <v>34</v>
      </c>
      <c r="I1961" s="5">
        <v>44440</v>
      </c>
      <c r="J1961" s="6">
        <v>0</v>
      </c>
      <c r="K1961" s="6">
        <v>0</v>
      </c>
      <c r="L1961" s="6">
        <v>2.6779999999999999</v>
      </c>
      <c r="M1961" s="6">
        <v>2.6779999999999999</v>
      </c>
      <c r="N1961" s="6">
        <v>2.6779999999999999</v>
      </c>
      <c r="O1961" s="6">
        <v>2.6779999999999999</v>
      </c>
      <c r="P1961" s="6">
        <v>0</v>
      </c>
      <c r="Q1961" s="4" t="s">
        <v>26</v>
      </c>
      <c r="R1961" s="4">
        <v>0</v>
      </c>
      <c r="S1961" s="6">
        <v>0</v>
      </c>
      <c r="T1961" s="6">
        <v>51</v>
      </c>
      <c r="U1961" s="6">
        <v>97</v>
      </c>
      <c r="V1961" s="6">
        <f>IF(ISERROR(VLOOKUP($S$1961,'TAR FIN'!$A$1:$O$104,15,0)),0,VLOOKUP($S$1961,'TAR FIN'!$A$1:$O$104,15,0))</f>
        <v>0</v>
      </c>
      <c r="W1961" s="6">
        <f>IF(ISERROR(VLOOKUP($T$1961,'TAR FIN'!$A$1:$O$104,15,0)),0,VLOOKUP($T$1961,'TAR FIN'!$A$1:$O$104,15,0))</f>
        <v>948.58</v>
      </c>
      <c r="X1961" s="6">
        <f>IF(ISERROR(VLOOKUP($U$1961,'TAR FIN'!$A$1:$O$104,15,0)),0,VLOOKUP($U$1961,'TAR FIN'!$A$1:$O$104,15,0))</f>
        <v>397.62</v>
      </c>
      <c r="Y1961" s="6"/>
      <c r="Z1961" s="6">
        <f ca="1">('TUSD BE'!$AM$59+'TUSD BF'!$AM$59+'TUSD CVA'!$AM$59)*1</f>
        <v>964.91724567390565</v>
      </c>
      <c r="AA1961" s="6">
        <f>('TE BE'!$AB$38+'TE BF'!$AB$38+'TE CVA'!$AB$38)*1</f>
        <v>360.26029187567116</v>
      </c>
      <c r="AB1961" s="6">
        <f>$K$1961*$V$1961</f>
        <v>0</v>
      </c>
      <c r="AC1961" s="6">
        <f>$M$1961*$W$1961</f>
        <v>2540.2972399999999</v>
      </c>
      <c r="AD1961" s="6">
        <f>$O$1961*$X$1961</f>
        <v>1064.82636</v>
      </c>
      <c r="AE1961" s="6">
        <f>$K$1961*$Y$1961</f>
        <v>0</v>
      </c>
      <c r="AF1961" s="6">
        <f ca="1">$M$1961*$Z$1961</f>
        <v>2584.0483839147191</v>
      </c>
      <c r="AG1961" s="6">
        <f>$O$1961*$AA$1961</f>
        <v>964.77706164304732</v>
      </c>
    </row>
    <row r="1962" spans="1:33" ht="11.25" customHeight="1" x14ac:dyDescent="0.25">
      <c r="A1962" s="4" t="s">
        <v>28</v>
      </c>
      <c r="B1962" s="4" t="s">
        <v>37</v>
      </c>
      <c r="C1962" s="4" t="s">
        <v>33</v>
      </c>
      <c r="D1962" s="4" t="s">
        <v>43</v>
      </c>
      <c r="E1962" s="4" t="s">
        <v>25</v>
      </c>
      <c r="F1962" s="4" t="s">
        <v>25</v>
      </c>
      <c r="G1962" s="4" t="s">
        <v>25</v>
      </c>
      <c r="H1962" s="4" t="s">
        <v>34</v>
      </c>
      <c r="I1962" s="5">
        <v>44440</v>
      </c>
      <c r="J1962" s="6">
        <v>0</v>
      </c>
      <c r="K1962" s="6">
        <v>0</v>
      </c>
      <c r="L1962" s="6">
        <v>1.071</v>
      </c>
      <c r="M1962" s="6">
        <v>1.071</v>
      </c>
      <c r="N1962" s="6">
        <v>1.071</v>
      </c>
      <c r="O1962" s="6">
        <v>1.071</v>
      </c>
      <c r="P1962" s="6">
        <v>0</v>
      </c>
      <c r="Q1962" s="4" t="s">
        <v>26</v>
      </c>
      <c r="R1962" s="4">
        <v>0</v>
      </c>
      <c r="S1962" s="6">
        <v>0</v>
      </c>
      <c r="T1962" s="6">
        <v>51</v>
      </c>
      <c r="U1962" s="6">
        <v>97</v>
      </c>
      <c r="V1962" s="6">
        <f>IF(ISERROR(VLOOKUP($S$1962,'TAR FIN'!$A$1:$O$104,15,0)),0,VLOOKUP($S$1962,'TAR FIN'!$A$1:$O$104,15,0))</f>
        <v>0</v>
      </c>
      <c r="W1962" s="6">
        <f>IF(ISERROR(VLOOKUP($T$1962,'TAR FIN'!$A$1:$O$104,15,0)),0,VLOOKUP($T$1962,'TAR FIN'!$A$1:$O$104,15,0))</f>
        <v>948.58</v>
      </c>
      <c r="X1962" s="6">
        <f>IF(ISERROR(VLOOKUP($U$1962,'TAR FIN'!$A$1:$O$104,15,0)),0,VLOOKUP($U$1962,'TAR FIN'!$A$1:$O$104,15,0))</f>
        <v>397.62</v>
      </c>
      <c r="Y1962" s="6"/>
      <c r="Z1962" s="6">
        <f ca="1">('TUSD BE'!$AM$59+'TUSD BF'!$AM$59+'TUSD CVA'!$AM$59)*1</f>
        <v>964.91724567390565</v>
      </c>
      <c r="AA1962" s="6">
        <f>('TE BE'!$AB$38+'TE BF'!$AB$38+'TE CVA'!$AB$38)*1</f>
        <v>360.26029187567116</v>
      </c>
      <c r="AB1962" s="6">
        <f>$K$1962*$V$1962</f>
        <v>0</v>
      </c>
      <c r="AC1962" s="6">
        <f>$M$1962*$W$1962</f>
        <v>1015.92918</v>
      </c>
      <c r="AD1962" s="6">
        <f>$O$1962*$X$1962</f>
        <v>425.85102000000001</v>
      </c>
      <c r="AE1962" s="6">
        <f>$K$1962*$Y$1962</f>
        <v>0</v>
      </c>
      <c r="AF1962" s="6">
        <f ca="1">$M$1962*$Z$1962</f>
        <v>1033.4263701167529</v>
      </c>
      <c r="AG1962" s="6">
        <f>$O$1962*$AA$1962</f>
        <v>385.83877259884378</v>
      </c>
    </row>
    <row r="1963" spans="1:33" ht="11.25" customHeight="1" x14ac:dyDescent="0.25">
      <c r="A1963" s="4" t="s">
        <v>21</v>
      </c>
      <c r="B1963" s="4" t="s">
        <v>37</v>
      </c>
      <c r="C1963" s="4" t="s">
        <v>33</v>
      </c>
      <c r="D1963" s="4" t="s">
        <v>43</v>
      </c>
      <c r="E1963" s="4" t="s">
        <v>25</v>
      </c>
      <c r="F1963" s="4" t="s">
        <v>25</v>
      </c>
      <c r="G1963" s="4" t="s">
        <v>25</v>
      </c>
      <c r="H1963" s="4" t="s">
        <v>34</v>
      </c>
      <c r="I1963" s="5">
        <v>44470</v>
      </c>
      <c r="J1963" s="6">
        <v>0</v>
      </c>
      <c r="K1963" s="6">
        <v>0</v>
      </c>
      <c r="L1963" s="6">
        <v>3.0089999999999999</v>
      </c>
      <c r="M1963" s="6">
        <v>3.0089999999999999</v>
      </c>
      <c r="N1963" s="6">
        <v>3.0089999999999999</v>
      </c>
      <c r="O1963" s="6">
        <v>3.0089999999999999</v>
      </c>
      <c r="P1963" s="6">
        <v>0</v>
      </c>
      <c r="Q1963" s="4" t="s">
        <v>26</v>
      </c>
      <c r="R1963" s="4">
        <v>0</v>
      </c>
      <c r="S1963" s="6">
        <v>0</v>
      </c>
      <c r="T1963" s="6">
        <v>51</v>
      </c>
      <c r="U1963" s="6">
        <v>97</v>
      </c>
      <c r="V1963" s="6">
        <f>IF(ISERROR(VLOOKUP($S$1963,'TAR FIN'!$A$1:$O$104,15,0)),0,VLOOKUP($S$1963,'TAR FIN'!$A$1:$O$104,15,0))</f>
        <v>0</v>
      </c>
      <c r="W1963" s="6">
        <f>IF(ISERROR(VLOOKUP($T$1963,'TAR FIN'!$A$1:$O$104,15,0)),0,VLOOKUP($T$1963,'TAR FIN'!$A$1:$O$104,15,0))</f>
        <v>948.58</v>
      </c>
      <c r="X1963" s="6">
        <f>IF(ISERROR(VLOOKUP($U$1963,'TAR FIN'!$A$1:$O$104,15,0)),0,VLOOKUP($U$1963,'TAR FIN'!$A$1:$O$104,15,0))</f>
        <v>397.62</v>
      </c>
      <c r="Y1963" s="6"/>
      <c r="Z1963" s="6">
        <f ca="1">('TUSD BE'!$AM$59+'TUSD BF'!$AM$59+'TUSD CVA'!$AM$59)*1</f>
        <v>964.91724567390565</v>
      </c>
      <c r="AA1963" s="6">
        <f>('TE BE'!$AB$38+'TE BF'!$AB$38+'TE CVA'!$AB$38)*1</f>
        <v>360.26029187567116</v>
      </c>
      <c r="AB1963" s="6">
        <f>$K$1963*$V$1963</f>
        <v>0</v>
      </c>
      <c r="AC1963" s="6">
        <f>$M$1963*$W$1963</f>
        <v>2854.2772199999999</v>
      </c>
      <c r="AD1963" s="6">
        <f>$O$1963*$X$1963</f>
        <v>1196.43858</v>
      </c>
      <c r="AE1963" s="6">
        <f>$K$1963*$Y$1963</f>
        <v>0</v>
      </c>
      <c r="AF1963" s="6">
        <f ca="1">$M$1963*$Z$1963</f>
        <v>2903.4359922327822</v>
      </c>
      <c r="AG1963" s="6">
        <f>$O$1963*$AA$1963</f>
        <v>1084.0232182538946</v>
      </c>
    </row>
    <row r="1964" spans="1:33" ht="11.25" customHeight="1" x14ac:dyDescent="0.25">
      <c r="A1964" s="4" t="s">
        <v>28</v>
      </c>
      <c r="B1964" s="4" t="s">
        <v>37</v>
      </c>
      <c r="C1964" s="4" t="s">
        <v>33</v>
      </c>
      <c r="D1964" s="4" t="s">
        <v>43</v>
      </c>
      <c r="E1964" s="4" t="s">
        <v>25</v>
      </c>
      <c r="F1964" s="4" t="s">
        <v>25</v>
      </c>
      <c r="G1964" s="4" t="s">
        <v>25</v>
      </c>
      <c r="H1964" s="4" t="s">
        <v>34</v>
      </c>
      <c r="I1964" s="5">
        <v>44470</v>
      </c>
      <c r="J1964" s="6">
        <v>0</v>
      </c>
      <c r="K1964" s="6">
        <v>0</v>
      </c>
      <c r="L1964" s="6">
        <v>1.2110000000000001</v>
      </c>
      <c r="M1964" s="6">
        <v>1.2110000000000001</v>
      </c>
      <c r="N1964" s="6">
        <v>1.2110000000000001</v>
      </c>
      <c r="O1964" s="6">
        <v>1.2110000000000001</v>
      </c>
      <c r="P1964" s="6">
        <v>0</v>
      </c>
      <c r="Q1964" s="4" t="s">
        <v>26</v>
      </c>
      <c r="R1964" s="4">
        <v>0</v>
      </c>
      <c r="S1964" s="6">
        <v>0</v>
      </c>
      <c r="T1964" s="6">
        <v>51</v>
      </c>
      <c r="U1964" s="6">
        <v>97</v>
      </c>
      <c r="V1964" s="6">
        <f>IF(ISERROR(VLOOKUP($S$1964,'TAR FIN'!$A$1:$O$104,15,0)),0,VLOOKUP($S$1964,'TAR FIN'!$A$1:$O$104,15,0))</f>
        <v>0</v>
      </c>
      <c r="W1964" s="6">
        <f>IF(ISERROR(VLOOKUP($T$1964,'TAR FIN'!$A$1:$O$104,15,0)),0,VLOOKUP($T$1964,'TAR FIN'!$A$1:$O$104,15,0))</f>
        <v>948.58</v>
      </c>
      <c r="X1964" s="6">
        <f>IF(ISERROR(VLOOKUP($U$1964,'TAR FIN'!$A$1:$O$104,15,0)),0,VLOOKUP($U$1964,'TAR FIN'!$A$1:$O$104,15,0))</f>
        <v>397.62</v>
      </c>
      <c r="Y1964" s="6"/>
      <c r="Z1964" s="6">
        <f ca="1">('TUSD BE'!$AM$59+'TUSD BF'!$AM$59+'TUSD CVA'!$AM$59)*1</f>
        <v>964.91724567390565</v>
      </c>
      <c r="AA1964" s="6">
        <f>('TE BE'!$AB$38+'TE BF'!$AB$38+'TE CVA'!$AB$38)*1</f>
        <v>360.26029187567116</v>
      </c>
      <c r="AB1964" s="6">
        <f>$K$1964*$V$1964</f>
        <v>0</v>
      </c>
      <c r="AC1964" s="6">
        <f>$M$1964*$W$1964</f>
        <v>1148.7303800000002</v>
      </c>
      <c r="AD1964" s="6">
        <f>$O$1964*$X$1964</f>
        <v>481.51782000000003</v>
      </c>
      <c r="AE1964" s="6">
        <f>$K$1964*$Y$1964</f>
        <v>0</v>
      </c>
      <c r="AF1964" s="6">
        <f ca="1">$M$1964*$Z$1964</f>
        <v>1168.5147845110998</v>
      </c>
      <c r="AG1964" s="6">
        <f>$O$1964*$AA$1964</f>
        <v>436.27521346143777</v>
      </c>
    </row>
    <row r="1965" spans="1:33" ht="11.25" customHeight="1" x14ac:dyDescent="0.25">
      <c r="A1965" s="4" t="s">
        <v>21</v>
      </c>
      <c r="B1965" s="4" t="s">
        <v>37</v>
      </c>
      <c r="C1965" s="4" t="s">
        <v>33</v>
      </c>
      <c r="D1965" s="4" t="s">
        <v>43</v>
      </c>
      <c r="E1965" s="4" t="s">
        <v>25</v>
      </c>
      <c r="F1965" s="4" t="s">
        <v>25</v>
      </c>
      <c r="G1965" s="4" t="s">
        <v>25</v>
      </c>
      <c r="H1965" s="4" t="s">
        <v>34</v>
      </c>
      <c r="I1965" s="5">
        <v>44501</v>
      </c>
      <c r="J1965" s="6">
        <v>0</v>
      </c>
      <c r="K1965" s="6">
        <v>0</v>
      </c>
      <c r="L1965" s="6">
        <v>3.359</v>
      </c>
      <c r="M1965" s="6">
        <v>3.359</v>
      </c>
      <c r="N1965" s="6">
        <v>3.359</v>
      </c>
      <c r="O1965" s="6">
        <v>3.359</v>
      </c>
      <c r="P1965" s="6">
        <v>0</v>
      </c>
      <c r="Q1965" s="4" t="s">
        <v>26</v>
      </c>
      <c r="R1965" s="4">
        <v>0</v>
      </c>
      <c r="S1965" s="6">
        <v>0</v>
      </c>
      <c r="T1965" s="6">
        <v>51</v>
      </c>
      <c r="U1965" s="6">
        <v>97</v>
      </c>
      <c r="V1965" s="6">
        <f>IF(ISERROR(VLOOKUP($S$1965,'TAR FIN'!$A$1:$O$104,15,0)),0,VLOOKUP($S$1965,'TAR FIN'!$A$1:$O$104,15,0))</f>
        <v>0</v>
      </c>
      <c r="W1965" s="6">
        <f>IF(ISERROR(VLOOKUP($T$1965,'TAR FIN'!$A$1:$O$104,15,0)),0,VLOOKUP($T$1965,'TAR FIN'!$A$1:$O$104,15,0))</f>
        <v>948.58</v>
      </c>
      <c r="X1965" s="6">
        <f>IF(ISERROR(VLOOKUP($U$1965,'TAR FIN'!$A$1:$O$104,15,0)),0,VLOOKUP($U$1965,'TAR FIN'!$A$1:$O$104,15,0))</f>
        <v>397.62</v>
      </c>
      <c r="Y1965" s="6"/>
      <c r="Z1965" s="6">
        <f ca="1">('TUSD BE'!$AM$59+'TUSD BF'!$AM$59+'TUSD CVA'!$AM$59)*1</f>
        <v>964.91724567390565</v>
      </c>
      <c r="AA1965" s="6">
        <f>('TE BE'!$AB$38+'TE BF'!$AB$38+'TE CVA'!$AB$38)*1</f>
        <v>360.26029187567116</v>
      </c>
      <c r="AB1965" s="6">
        <f>$K$1965*$V$1965</f>
        <v>0</v>
      </c>
      <c r="AC1965" s="6">
        <f>$M$1965*$W$1965</f>
        <v>3186.2802200000001</v>
      </c>
      <c r="AD1965" s="6">
        <f>$O$1965*$X$1965</f>
        <v>1335.6055799999999</v>
      </c>
      <c r="AE1965" s="6">
        <f>$K$1965*$Y$1965</f>
        <v>0</v>
      </c>
      <c r="AF1965" s="6">
        <f ca="1">$M$1965*$Z$1965</f>
        <v>3241.157028218649</v>
      </c>
      <c r="AG1965" s="6">
        <f>$O$1965*$AA$1965</f>
        <v>1210.1143204103794</v>
      </c>
    </row>
    <row r="1966" spans="1:33" ht="11.25" customHeight="1" x14ac:dyDescent="0.25">
      <c r="A1966" s="4" t="s">
        <v>28</v>
      </c>
      <c r="B1966" s="4" t="s">
        <v>37</v>
      </c>
      <c r="C1966" s="4" t="s">
        <v>33</v>
      </c>
      <c r="D1966" s="4" t="s">
        <v>43</v>
      </c>
      <c r="E1966" s="4" t="s">
        <v>25</v>
      </c>
      <c r="F1966" s="4" t="s">
        <v>25</v>
      </c>
      <c r="G1966" s="4" t="s">
        <v>25</v>
      </c>
      <c r="H1966" s="4" t="s">
        <v>34</v>
      </c>
      <c r="I1966" s="5">
        <v>44501</v>
      </c>
      <c r="J1966" s="6">
        <v>0</v>
      </c>
      <c r="K1966" s="6">
        <v>0</v>
      </c>
      <c r="L1966" s="6">
        <v>1.345</v>
      </c>
      <c r="M1966" s="6">
        <v>1.345</v>
      </c>
      <c r="N1966" s="6">
        <v>1.345</v>
      </c>
      <c r="O1966" s="6">
        <v>1.345</v>
      </c>
      <c r="P1966" s="6">
        <v>0</v>
      </c>
      <c r="Q1966" s="4" t="s">
        <v>26</v>
      </c>
      <c r="R1966" s="4">
        <v>0</v>
      </c>
      <c r="S1966" s="6">
        <v>0</v>
      </c>
      <c r="T1966" s="6">
        <v>51</v>
      </c>
      <c r="U1966" s="6">
        <v>97</v>
      </c>
      <c r="V1966" s="6">
        <f>IF(ISERROR(VLOOKUP($S$1966,'TAR FIN'!$A$1:$O$104,15,0)),0,VLOOKUP($S$1966,'TAR FIN'!$A$1:$O$104,15,0))</f>
        <v>0</v>
      </c>
      <c r="W1966" s="6">
        <f>IF(ISERROR(VLOOKUP($T$1966,'TAR FIN'!$A$1:$O$104,15,0)),0,VLOOKUP($T$1966,'TAR FIN'!$A$1:$O$104,15,0))</f>
        <v>948.58</v>
      </c>
      <c r="X1966" s="6">
        <f>IF(ISERROR(VLOOKUP($U$1966,'TAR FIN'!$A$1:$O$104,15,0)),0,VLOOKUP($U$1966,'TAR FIN'!$A$1:$O$104,15,0))</f>
        <v>397.62</v>
      </c>
      <c r="Y1966" s="6"/>
      <c r="Z1966" s="6">
        <f ca="1">('TUSD BE'!$AM$59+'TUSD BF'!$AM$59+'TUSD CVA'!$AM$59)*1</f>
        <v>964.91724567390565</v>
      </c>
      <c r="AA1966" s="6">
        <f>('TE BE'!$AB$38+'TE BF'!$AB$38+'TE CVA'!$AB$38)*1</f>
        <v>360.26029187567116</v>
      </c>
      <c r="AB1966" s="6">
        <f>$K$1966*$V$1966</f>
        <v>0</v>
      </c>
      <c r="AC1966" s="6">
        <f>$M$1966*$W$1966</f>
        <v>1275.8401000000001</v>
      </c>
      <c r="AD1966" s="6">
        <f>$O$1966*$X$1966</f>
        <v>534.7989</v>
      </c>
      <c r="AE1966" s="6">
        <f>$K$1966*$Y$1966</f>
        <v>0</v>
      </c>
      <c r="AF1966" s="6">
        <f ca="1">$M$1966*$Z$1966</f>
        <v>1297.8136954314032</v>
      </c>
      <c r="AG1966" s="6">
        <f>$O$1966*$AA$1966</f>
        <v>484.55009257277771</v>
      </c>
    </row>
    <row r="1967" spans="1:33" ht="11.25" customHeight="1" x14ac:dyDescent="0.25">
      <c r="A1967" s="4" t="s">
        <v>21</v>
      </c>
      <c r="B1967" s="4" t="s">
        <v>37</v>
      </c>
      <c r="C1967" s="4" t="s">
        <v>33</v>
      </c>
      <c r="D1967" s="4" t="s">
        <v>43</v>
      </c>
      <c r="E1967" s="4" t="s">
        <v>25</v>
      </c>
      <c r="F1967" s="4" t="s">
        <v>25</v>
      </c>
      <c r="G1967" s="4" t="s">
        <v>25</v>
      </c>
      <c r="H1967" s="4" t="s">
        <v>34</v>
      </c>
      <c r="I1967" s="5">
        <v>44531</v>
      </c>
      <c r="J1967" s="6">
        <v>0</v>
      </c>
      <c r="K1967" s="6">
        <v>0</v>
      </c>
      <c r="L1967" s="6">
        <v>3.8149999999999999</v>
      </c>
      <c r="M1967" s="6">
        <v>3.8149999999999999</v>
      </c>
      <c r="N1967" s="6">
        <v>3.8149999999999999</v>
      </c>
      <c r="O1967" s="6">
        <v>3.8149999999999999</v>
      </c>
      <c r="P1967" s="6">
        <v>0</v>
      </c>
      <c r="Q1967" s="4" t="s">
        <v>26</v>
      </c>
      <c r="R1967" s="4">
        <v>0</v>
      </c>
      <c r="S1967" s="6">
        <v>0</v>
      </c>
      <c r="T1967" s="6">
        <v>51</v>
      </c>
      <c r="U1967" s="6">
        <v>97</v>
      </c>
      <c r="V1967" s="6">
        <f>IF(ISERROR(VLOOKUP($S$1967,'TAR FIN'!$A$1:$O$104,15,0)),0,VLOOKUP($S$1967,'TAR FIN'!$A$1:$O$104,15,0))</f>
        <v>0</v>
      </c>
      <c r="W1967" s="6">
        <f>IF(ISERROR(VLOOKUP($T$1967,'TAR FIN'!$A$1:$O$104,15,0)),0,VLOOKUP($T$1967,'TAR FIN'!$A$1:$O$104,15,0))</f>
        <v>948.58</v>
      </c>
      <c r="X1967" s="6">
        <f>IF(ISERROR(VLOOKUP($U$1967,'TAR FIN'!$A$1:$O$104,15,0)),0,VLOOKUP($U$1967,'TAR FIN'!$A$1:$O$104,15,0))</f>
        <v>397.62</v>
      </c>
      <c r="Y1967" s="6"/>
      <c r="Z1967" s="6">
        <f ca="1">('TUSD BE'!$AM$59+'TUSD BF'!$AM$59+'TUSD CVA'!$AM$59)*1</f>
        <v>964.91724567390565</v>
      </c>
      <c r="AA1967" s="6">
        <f>('TE BE'!$AB$38+'TE BF'!$AB$38+'TE CVA'!$AB$38)*1</f>
        <v>360.26029187567116</v>
      </c>
      <c r="AB1967" s="6">
        <f>$K$1967*$V$1967</f>
        <v>0</v>
      </c>
      <c r="AC1967" s="6">
        <f>$M$1967*$W$1967</f>
        <v>3618.8326999999999</v>
      </c>
      <c r="AD1967" s="6">
        <f>$O$1967*$X$1967</f>
        <v>1516.9203</v>
      </c>
      <c r="AE1967" s="6">
        <f>$K$1967*$Y$1967</f>
        <v>0</v>
      </c>
      <c r="AF1967" s="6">
        <f ca="1">$M$1967*$Z$1967</f>
        <v>3681.1592922459499</v>
      </c>
      <c r="AG1967" s="6">
        <f>$O$1967*$AA$1967</f>
        <v>1374.3930135056855</v>
      </c>
    </row>
    <row r="1968" spans="1:33" ht="11.25" customHeight="1" x14ac:dyDescent="0.25">
      <c r="A1968" s="4" t="s">
        <v>27</v>
      </c>
      <c r="B1968" s="4" t="s">
        <v>37</v>
      </c>
      <c r="C1968" s="4" t="s">
        <v>33</v>
      </c>
      <c r="D1968" s="4" t="s">
        <v>43</v>
      </c>
      <c r="E1968" s="4" t="s">
        <v>25</v>
      </c>
      <c r="F1968" s="4" t="s">
        <v>25</v>
      </c>
      <c r="G1968" s="4" t="s">
        <v>25</v>
      </c>
      <c r="H1968" s="4" t="s">
        <v>34</v>
      </c>
      <c r="I1968" s="5">
        <v>44531</v>
      </c>
      <c r="J1968" s="6">
        <v>0</v>
      </c>
      <c r="K1968" s="6">
        <v>0</v>
      </c>
      <c r="L1968" s="6">
        <v>-0.38100000000000001</v>
      </c>
      <c r="M1968" s="6">
        <v>-0.38100000000000001</v>
      </c>
      <c r="N1968" s="6">
        <v>-0.38100000000000001</v>
      </c>
      <c r="O1968" s="6">
        <v>-0.38100000000000001</v>
      </c>
      <c r="P1968" s="6">
        <v>0</v>
      </c>
      <c r="Q1968" s="4" t="s">
        <v>26</v>
      </c>
      <c r="R1968" s="4">
        <v>0</v>
      </c>
      <c r="S1968" s="6">
        <v>0</v>
      </c>
      <c r="T1968" s="6">
        <v>51</v>
      </c>
      <c r="U1968" s="6">
        <v>97</v>
      </c>
      <c r="V1968" s="6">
        <f>IF(ISERROR(VLOOKUP($S$1968,'TAR FIN'!$A$1:$O$104,15,0)),0,VLOOKUP($S$1968,'TAR FIN'!$A$1:$O$104,15,0))</f>
        <v>0</v>
      </c>
      <c r="W1968" s="6">
        <f>IF(ISERROR(VLOOKUP($T$1968,'TAR FIN'!$A$1:$O$104,15,0)),0,VLOOKUP($T$1968,'TAR FIN'!$A$1:$O$104,15,0))</f>
        <v>948.58</v>
      </c>
      <c r="X1968" s="6">
        <f>IF(ISERROR(VLOOKUP($U$1968,'TAR FIN'!$A$1:$O$104,15,0)),0,VLOOKUP($U$1968,'TAR FIN'!$A$1:$O$104,15,0))</f>
        <v>397.62</v>
      </c>
      <c r="Y1968" s="6"/>
      <c r="Z1968" s="6">
        <f ca="1">('TUSD BE'!$AM$59+'TUSD BF'!$AM$59+'TUSD CVA'!$AM$59)*1</f>
        <v>964.91724567390565</v>
      </c>
      <c r="AA1968" s="6">
        <f>('TE BE'!$AB$38+'TE BF'!$AB$38+'TE CVA'!$AB$38)*1</f>
        <v>360.26029187567116</v>
      </c>
      <c r="AB1968" s="6">
        <f>$K$1968*$V$1968</f>
        <v>0</v>
      </c>
      <c r="AC1968" s="6">
        <f>$M$1968*$W$1968</f>
        <v>-361.40898000000004</v>
      </c>
      <c r="AD1968" s="6">
        <f>$O$1968*$X$1968</f>
        <v>-151.49322000000001</v>
      </c>
      <c r="AE1968" s="6">
        <f>$K$1968*$Y$1968</f>
        <v>0</v>
      </c>
      <c r="AF1968" s="6">
        <f ca="1">$M$1968*$Z$1968</f>
        <v>-367.63347060175806</v>
      </c>
      <c r="AG1968" s="6">
        <f>$O$1968*$AA$1968</f>
        <v>-137.25917120463072</v>
      </c>
    </row>
    <row r="1969" spans="1:33" ht="11.25" customHeight="1" x14ac:dyDescent="0.25">
      <c r="A1969" s="4" t="s">
        <v>28</v>
      </c>
      <c r="B1969" s="4" t="s">
        <v>37</v>
      </c>
      <c r="C1969" s="4" t="s">
        <v>33</v>
      </c>
      <c r="D1969" s="4" t="s">
        <v>43</v>
      </c>
      <c r="E1969" s="4" t="s">
        <v>25</v>
      </c>
      <c r="F1969" s="4" t="s">
        <v>25</v>
      </c>
      <c r="G1969" s="4" t="s">
        <v>25</v>
      </c>
      <c r="H1969" s="4" t="s">
        <v>34</v>
      </c>
      <c r="I1969" s="5">
        <v>44531</v>
      </c>
      <c r="J1969" s="6">
        <v>0</v>
      </c>
      <c r="K1969" s="6">
        <v>0</v>
      </c>
      <c r="L1969" s="6">
        <v>1.571</v>
      </c>
      <c r="M1969" s="6">
        <v>1.571</v>
      </c>
      <c r="N1969" s="6">
        <v>1.571</v>
      </c>
      <c r="O1969" s="6">
        <v>1.571</v>
      </c>
      <c r="P1969" s="6">
        <v>0</v>
      </c>
      <c r="Q1969" s="4" t="s">
        <v>26</v>
      </c>
      <c r="R1969" s="4">
        <v>0</v>
      </c>
      <c r="S1969" s="6">
        <v>0</v>
      </c>
      <c r="T1969" s="6">
        <v>51</v>
      </c>
      <c r="U1969" s="6">
        <v>97</v>
      </c>
      <c r="V1969" s="6">
        <f>IF(ISERROR(VLOOKUP($S$1969,'TAR FIN'!$A$1:$O$104,15,0)),0,VLOOKUP($S$1969,'TAR FIN'!$A$1:$O$104,15,0))</f>
        <v>0</v>
      </c>
      <c r="W1969" s="6">
        <f>IF(ISERROR(VLOOKUP($T$1969,'TAR FIN'!$A$1:$O$104,15,0)),0,VLOOKUP($T$1969,'TAR FIN'!$A$1:$O$104,15,0))</f>
        <v>948.58</v>
      </c>
      <c r="X1969" s="6">
        <f>IF(ISERROR(VLOOKUP($U$1969,'TAR FIN'!$A$1:$O$104,15,0)),0,VLOOKUP($U$1969,'TAR FIN'!$A$1:$O$104,15,0))</f>
        <v>397.62</v>
      </c>
      <c r="Y1969" s="6"/>
      <c r="Z1969" s="6">
        <f ca="1">('TUSD BE'!$AM$59+'TUSD BF'!$AM$59+'TUSD CVA'!$AM$59)*1</f>
        <v>964.91724567390565</v>
      </c>
      <c r="AA1969" s="6">
        <f>('TE BE'!$AB$38+'TE BF'!$AB$38+'TE CVA'!$AB$38)*1</f>
        <v>360.26029187567116</v>
      </c>
      <c r="AB1969" s="6">
        <f>$K$1969*$V$1969</f>
        <v>0</v>
      </c>
      <c r="AC1969" s="6">
        <f>$M$1969*$W$1969</f>
        <v>1490.2191800000001</v>
      </c>
      <c r="AD1969" s="6">
        <f>$O$1969*$X$1969</f>
        <v>624.66102000000001</v>
      </c>
      <c r="AE1969" s="6">
        <f>$K$1969*$Y$1969</f>
        <v>0</v>
      </c>
      <c r="AF1969" s="6">
        <f ca="1">$M$1969*$Z$1969</f>
        <v>1515.8849929537057</v>
      </c>
      <c r="AG1969" s="6">
        <f>$O$1969*$AA$1969</f>
        <v>565.96891853667933</v>
      </c>
    </row>
    <row r="1970" spans="1:33" ht="11.25" customHeight="1" x14ac:dyDescent="0.25">
      <c r="A1970" s="4" t="s">
        <v>21</v>
      </c>
      <c r="B1970" s="4" t="s">
        <v>37</v>
      </c>
      <c r="C1970" s="4" t="s">
        <v>33</v>
      </c>
      <c r="D1970" s="4" t="s">
        <v>43</v>
      </c>
      <c r="E1970" s="4" t="s">
        <v>25</v>
      </c>
      <c r="F1970" s="4" t="s">
        <v>25</v>
      </c>
      <c r="G1970" s="4" t="s">
        <v>25</v>
      </c>
      <c r="H1970" s="4" t="s">
        <v>34</v>
      </c>
      <c r="I1970" s="5">
        <v>44562</v>
      </c>
      <c r="J1970" s="6">
        <v>0</v>
      </c>
      <c r="K1970" s="6">
        <v>0</v>
      </c>
      <c r="L1970" s="6">
        <v>4.3410000000000002</v>
      </c>
      <c r="M1970" s="6">
        <v>4.3410000000000002</v>
      </c>
      <c r="N1970" s="6">
        <v>4.3410000000000002</v>
      </c>
      <c r="O1970" s="6">
        <v>4.3410000000000002</v>
      </c>
      <c r="P1970" s="6">
        <v>0</v>
      </c>
      <c r="Q1970" s="4" t="s">
        <v>26</v>
      </c>
      <c r="R1970" s="4">
        <v>0</v>
      </c>
      <c r="S1970" s="6">
        <v>0</v>
      </c>
      <c r="T1970" s="6">
        <v>51</v>
      </c>
      <c r="U1970" s="6">
        <v>97</v>
      </c>
      <c r="V1970" s="6">
        <f>IF(ISERROR(VLOOKUP($S$1970,'TAR FIN'!$A$1:$O$104,15,0)),0,VLOOKUP($S$1970,'TAR FIN'!$A$1:$O$104,15,0))</f>
        <v>0</v>
      </c>
      <c r="W1970" s="6">
        <f>IF(ISERROR(VLOOKUP($T$1970,'TAR FIN'!$A$1:$O$104,15,0)),0,VLOOKUP($T$1970,'TAR FIN'!$A$1:$O$104,15,0))</f>
        <v>948.58</v>
      </c>
      <c r="X1970" s="6">
        <f>IF(ISERROR(VLOOKUP($U$1970,'TAR FIN'!$A$1:$O$104,15,0)),0,VLOOKUP($U$1970,'TAR FIN'!$A$1:$O$104,15,0))</f>
        <v>397.62</v>
      </c>
      <c r="Y1970" s="6"/>
      <c r="Z1970" s="6">
        <f ca="1">('TUSD BE'!$AM$59+'TUSD BF'!$AM$59+'TUSD CVA'!$AM$59)*1</f>
        <v>964.91724567390565</v>
      </c>
      <c r="AA1970" s="6">
        <f>('TE BE'!$AB$38+'TE BF'!$AB$38+'TE CVA'!$AB$38)*1</f>
        <v>360.26029187567116</v>
      </c>
      <c r="AB1970" s="6">
        <f>$K$1970*$V$1970</f>
        <v>0</v>
      </c>
      <c r="AC1970" s="6">
        <f>$M$1970*$W$1970</f>
        <v>4117.7857800000002</v>
      </c>
      <c r="AD1970" s="6">
        <f>$O$1970*$X$1970</f>
        <v>1726.0684200000001</v>
      </c>
      <c r="AE1970" s="6">
        <f>$K$1970*$Y$1970</f>
        <v>0</v>
      </c>
      <c r="AF1970" s="6">
        <f ca="1">$M$1970*$Z$1970</f>
        <v>4188.7057634704242</v>
      </c>
      <c r="AG1970" s="6">
        <f>$O$1970*$AA$1970</f>
        <v>1563.8899270322886</v>
      </c>
    </row>
    <row r="1971" spans="1:33" ht="11.25" customHeight="1" x14ac:dyDescent="0.25">
      <c r="A1971" s="4" t="s">
        <v>27</v>
      </c>
      <c r="B1971" s="4" t="s">
        <v>37</v>
      </c>
      <c r="C1971" s="4" t="s">
        <v>33</v>
      </c>
      <c r="D1971" s="4" t="s">
        <v>43</v>
      </c>
      <c r="E1971" s="4" t="s">
        <v>25</v>
      </c>
      <c r="F1971" s="4" t="s">
        <v>25</v>
      </c>
      <c r="G1971" s="4" t="s">
        <v>25</v>
      </c>
      <c r="H1971" s="4" t="s">
        <v>34</v>
      </c>
      <c r="I1971" s="5">
        <v>44562</v>
      </c>
      <c r="J1971" s="6">
        <v>0</v>
      </c>
      <c r="K1971" s="6">
        <v>0</v>
      </c>
      <c r="L1971" s="6">
        <v>1E-3</v>
      </c>
      <c r="M1971" s="6">
        <v>1E-3</v>
      </c>
      <c r="N1971" s="6">
        <v>1E-3</v>
      </c>
      <c r="O1971" s="6">
        <v>1E-3</v>
      </c>
      <c r="P1971" s="6">
        <v>0</v>
      </c>
      <c r="Q1971" s="4" t="s">
        <v>26</v>
      </c>
      <c r="R1971" s="4">
        <v>0</v>
      </c>
      <c r="S1971" s="6">
        <v>0</v>
      </c>
      <c r="T1971" s="6">
        <v>51</v>
      </c>
      <c r="U1971" s="6">
        <v>97</v>
      </c>
      <c r="V1971" s="6">
        <f>IF(ISERROR(VLOOKUP($S$1971,'TAR FIN'!$A$1:$O$104,15,0)),0,VLOOKUP($S$1971,'TAR FIN'!$A$1:$O$104,15,0))</f>
        <v>0</v>
      </c>
      <c r="W1971" s="6">
        <f>IF(ISERROR(VLOOKUP($T$1971,'TAR FIN'!$A$1:$O$104,15,0)),0,VLOOKUP($T$1971,'TAR FIN'!$A$1:$O$104,15,0))</f>
        <v>948.58</v>
      </c>
      <c r="X1971" s="6">
        <f>IF(ISERROR(VLOOKUP($U$1971,'TAR FIN'!$A$1:$O$104,15,0)),0,VLOOKUP($U$1971,'TAR FIN'!$A$1:$O$104,15,0))</f>
        <v>397.62</v>
      </c>
      <c r="Y1971" s="6"/>
      <c r="Z1971" s="6">
        <f ca="1">('TUSD BE'!$AM$59+'TUSD BF'!$AM$59+'TUSD CVA'!$AM$59)*1</f>
        <v>964.91724567390565</v>
      </c>
      <c r="AA1971" s="6">
        <f>('TE BE'!$AB$38+'TE BF'!$AB$38+'TE CVA'!$AB$38)*1</f>
        <v>360.26029187567116</v>
      </c>
      <c r="AB1971" s="6">
        <f>$K$1971*$V$1971</f>
        <v>0</v>
      </c>
      <c r="AC1971" s="6">
        <f>$M$1971*$W$1971</f>
        <v>0.94858000000000009</v>
      </c>
      <c r="AD1971" s="6">
        <f>$O$1971*$X$1971</f>
        <v>0.39762000000000003</v>
      </c>
      <c r="AE1971" s="6">
        <f>$K$1971*$Y$1971</f>
        <v>0</v>
      </c>
      <c r="AF1971" s="6">
        <f ca="1">$M$1971*$Z$1971</f>
        <v>0.96491724567390569</v>
      </c>
      <c r="AG1971" s="6">
        <f>$O$1971*$AA$1971</f>
        <v>0.36026029187567116</v>
      </c>
    </row>
    <row r="1972" spans="1:33" ht="11.25" customHeight="1" x14ac:dyDescent="0.25">
      <c r="A1972" s="4" t="s">
        <v>28</v>
      </c>
      <c r="B1972" s="4" t="s">
        <v>37</v>
      </c>
      <c r="C1972" s="4" t="s">
        <v>33</v>
      </c>
      <c r="D1972" s="4" t="s">
        <v>43</v>
      </c>
      <c r="E1972" s="4" t="s">
        <v>25</v>
      </c>
      <c r="F1972" s="4" t="s">
        <v>25</v>
      </c>
      <c r="G1972" s="4" t="s">
        <v>25</v>
      </c>
      <c r="H1972" s="4" t="s">
        <v>34</v>
      </c>
      <c r="I1972" s="5">
        <v>44562</v>
      </c>
      <c r="J1972" s="6">
        <v>0</v>
      </c>
      <c r="K1972" s="6">
        <v>0</v>
      </c>
      <c r="L1972" s="6">
        <v>1.171</v>
      </c>
      <c r="M1972" s="6">
        <v>1.171</v>
      </c>
      <c r="N1972" s="6">
        <v>1.171</v>
      </c>
      <c r="O1972" s="6">
        <v>1.171</v>
      </c>
      <c r="P1972" s="6">
        <v>0</v>
      </c>
      <c r="Q1972" s="4" t="s">
        <v>26</v>
      </c>
      <c r="R1972" s="4">
        <v>0</v>
      </c>
      <c r="S1972" s="6">
        <v>0</v>
      </c>
      <c r="T1972" s="6">
        <v>51</v>
      </c>
      <c r="U1972" s="6">
        <v>97</v>
      </c>
      <c r="V1972" s="6">
        <f>IF(ISERROR(VLOOKUP($S$1972,'TAR FIN'!$A$1:$O$104,15,0)),0,VLOOKUP($S$1972,'TAR FIN'!$A$1:$O$104,15,0))</f>
        <v>0</v>
      </c>
      <c r="W1972" s="6">
        <f>IF(ISERROR(VLOOKUP($T$1972,'TAR FIN'!$A$1:$O$104,15,0)),0,VLOOKUP($T$1972,'TAR FIN'!$A$1:$O$104,15,0))</f>
        <v>948.58</v>
      </c>
      <c r="X1972" s="6">
        <f>IF(ISERROR(VLOOKUP($U$1972,'TAR FIN'!$A$1:$O$104,15,0)),0,VLOOKUP($U$1972,'TAR FIN'!$A$1:$O$104,15,0))</f>
        <v>397.62</v>
      </c>
      <c r="Y1972" s="6"/>
      <c r="Z1972" s="6">
        <f ca="1">('TUSD BE'!$AM$59+'TUSD BF'!$AM$59+'TUSD CVA'!$AM$59)*1</f>
        <v>964.91724567390565</v>
      </c>
      <c r="AA1972" s="6">
        <f>('TE BE'!$AB$38+'TE BF'!$AB$38+'TE CVA'!$AB$38)*1</f>
        <v>360.26029187567116</v>
      </c>
      <c r="AB1972" s="6">
        <f>$K$1972*$V$1972</f>
        <v>0</v>
      </c>
      <c r="AC1972" s="6">
        <f>$M$1972*$W$1972</f>
        <v>1110.78718</v>
      </c>
      <c r="AD1972" s="6">
        <f>$O$1972*$X$1972</f>
        <v>465.61302000000001</v>
      </c>
      <c r="AE1972" s="6">
        <f>$K$1972*$Y$1972</f>
        <v>0</v>
      </c>
      <c r="AF1972" s="6">
        <f ca="1">$M$1972*$Z$1972</f>
        <v>1129.9180946841436</v>
      </c>
      <c r="AG1972" s="6">
        <f>$O$1972*$AA$1972</f>
        <v>421.86480178641096</v>
      </c>
    </row>
    <row r="1973" spans="1:33" ht="11.25" customHeight="1" x14ac:dyDescent="0.25">
      <c r="A1973" s="4" t="s">
        <v>28</v>
      </c>
      <c r="B1973" s="4" t="s">
        <v>37</v>
      </c>
      <c r="C1973" s="4" t="s">
        <v>33</v>
      </c>
      <c r="D1973" s="4" t="s">
        <v>43</v>
      </c>
      <c r="E1973" s="4" t="s">
        <v>25</v>
      </c>
      <c r="F1973" s="4" t="s">
        <v>25</v>
      </c>
      <c r="G1973" s="4" t="s">
        <v>25</v>
      </c>
      <c r="H1973" s="4" t="s">
        <v>34</v>
      </c>
      <c r="I1973" s="5">
        <v>44562</v>
      </c>
      <c r="J1973" s="6">
        <v>0</v>
      </c>
      <c r="K1973" s="6">
        <v>0</v>
      </c>
      <c r="L1973" s="6">
        <v>-0.77800000000000002</v>
      </c>
      <c r="M1973" s="6">
        <v>-0.77800000000000002</v>
      </c>
      <c r="N1973" s="6">
        <v>-0.77800000000000002</v>
      </c>
      <c r="O1973" s="6">
        <v>-0.77800000000000002</v>
      </c>
      <c r="P1973" s="6">
        <v>0</v>
      </c>
      <c r="Q1973" s="4" t="s">
        <v>26</v>
      </c>
      <c r="R1973" s="4">
        <v>0</v>
      </c>
      <c r="S1973" s="6">
        <v>0</v>
      </c>
      <c r="T1973" s="6">
        <v>51</v>
      </c>
      <c r="U1973" s="6">
        <v>97</v>
      </c>
      <c r="V1973" s="6">
        <f>IF(ISERROR(VLOOKUP($S$1973,'TAR FIN'!$A$1:$O$104,15,0)),0,VLOOKUP($S$1973,'TAR FIN'!$A$1:$O$104,15,0))</f>
        <v>0</v>
      </c>
      <c r="W1973" s="6">
        <f>IF(ISERROR(VLOOKUP($T$1973,'TAR FIN'!$A$1:$O$104,15,0)),0,VLOOKUP($T$1973,'TAR FIN'!$A$1:$O$104,15,0))</f>
        <v>948.58</v>
      </c>
      <c r="X1973" s="6">
        <f>IF(ISERROR(VLOOKUP($U$1973,'TAR FIN'!$A$1:$O$104,15,0)),0,VLOOKUP($U$1973,'TAR FIN'!$A$1:$O$104,15,0))</f>
        <v>397.62</v>
      </c>
      <c r="Y1973" s="6"/>
      <c r="Z1973" s="6">
        <f ca="1">('TUSD BE'!$AM$59+'TUSD BF'!$AM$59+'TUSD CVA'!$AM$59)*1</f>
        <v>964.91724567390565</v>
      </c>
      <c r="AA1973" s="6">
        <f>('TE BE'!$AB$38+'TE BF'!$AB$38+'TE CVA'!$AB$38)*1</f>
        <v>360.26029187567116</v>
      </c>
      <c r="AB1973" s="6">
        <f>$K$1973*$V$1973</f>
        <v>0</v>
      </c>
      <c r="AC1973" s="6">
        <f>$M$1973*$W$1973</f>
        <v>-737.99524000000008</v>
      </c>
      <c r="AD1973" s="6">
        <f>$O$1973*$X$1973</f>
        <v>-309.34836000000001</v>
      </c>
      <c r="AE1973" s="6">
        <f>$K$1973*$Y$1973</f>
        <v>0</v>
      </c>
      <c r="AF1973" s="6">
        <f ca="1">$M$1973*$Z$1973</f>
        <v>-750.70561713429868</v>
      </c>
      <c r="AG1973" s="6">
        <f>$O$1973*$AA$1973</f>
        <v>-280.28250707927219</v>
      </c>
    </row>
    <row r="1974" spans="1:33" ht="11.25" customHeight="1" x14ac:dyDescent="0.25">
      <c r="A1974" s="4" t="s">
        <v>21</v>
      </c>
      <c r="B1974" s="4" t="s">
        <v>37</v>
      </c>
      <c r="C1974" s="4" t="s">
        <v>33</v>
      </c>
      <c r="D1974" s="4" t="s">
        <v>43</v>
      </c>
      <c r="E1974" s="4" t="s">
        <v>25</v>
      </c>
      <c r="F1974" s="4" t="s">
        <v>25</v>
      </c>
      <c r="G1974" s="4" t="s">
        <v>25</v>
      </c>
      <c r="H1974" s="4" t="s">
        <v>34</v>
      </c>
      <c r="I1974" s="5">
        <v>44593</v>
      </c>
      <c r="J1974" s="6">
        <v>0</v>
      </c>
      <c r="K1974" s="6">
        <v>0</v>
      </c>
      <c r="L1974" s="6">
        <v>4.2789999999999999</v>
      </c>
      <c r="M1974" s="6">
        <v>4.2789999999999999</v>
      </c>
      <c r="N1974" s="6">
        <v>4.2789999999999999</v>
      </c>
      <c r="O1974" s="6">
        <v>4.2789999999999999</v>
      </c>
      <c r="P1974" s="6">
        <v>0</v>
      </c>
      <c r="Q1974" s="4" t="s">
        <v>26</v>
      </c>
      <c r="R1974" s="4">
        <v>0</v>
      </c>
      <c r="S1974" s="6">
        <v>0</v>
      </c>
      <c r="T1974" s="6">
        <v>51</v>
      </c>
      <c r="U1974" s="6">
        <v>97</v>
      </c>
      <c r="V1974" s="6">
        <f>IF(ISERROR(VLOOKUP($S$1974,'TAR FIN'!$A$1:$O$104,15,0)),0,VLOOKUP($S$1974,'TAR FIN'!$A$1:$O$104,15,0))</f>
        <v>0</v>
      </c>
      <c r="W1974" s="6">
        <f>IF(ISERROR(VLOOKUP($T$1974,'TAR FIN'!$A$1:$O$104,15,0)),0,VLOOKUP($T$1974,'TAR FIN'!$A$1:$O$104,15,0))</f>
        <v>948.58</v>
      </c>
      <c r="X1974" s="6">
        <f>IF(ISERROR(VLOOKUP($U$1974,'TAR FIN'!$A$1:$O$104,15,0)),0,VLOOKUP($U$1974,'TAR FIN'!$A$1:$O$104,15,0))</f>
        <v>397.62</v>
      </c>
      <c r="Y1974" s="6"/>
      <c r="Z1974" s="6">
        <f ca="1">('TUSD BE'!$AM$59+'TUSD BF'!$AM$59+'TUSD CVA'!$AM$59)*1</f>
        <v>964.91724567390565</v>
      </c>
      <c r="AA1974" s="6">
        <f>('TE BE'!$AB$38+'TE BF'!$AB$38+'TE CVA'!$AB$38)*1</f>
        <v>360.26029187567116</v>
      </c>
      <c r="AB1974" s="6">
        <f>$K$1974*$V$1974</f>
        <v>0</v>
      </c>
      <c r="AC1974" s="6">
        <f>$M$1974*$W$1974</f>
        <v>4058.9738200000002</v>
      </c>
      <c r="AD1974" s="6">
        <f>$O$1974*$X$1974</f>
        <v>1701.41598</v>
      </c>
      <c r="AE1974" s="6">
        <f>$K$1974*$Y$1974</f>
        <v>0</v>
      </c>
      <c r="AF1974" s="6">
        <f ca="1">$M$1974*$Z$1974</f>
        <v>4128.8808942386422</v>
      </c>
      <c r="AG1974" s="6">
        <f>$O$1974*$AA$1974</f>
        <v>1541.5537889359969</v>
      </c>
    </row>
    <row r="1975" spans="1:33" ht="11.25" customHeight="1" x14ac:dyDescent="0.25">
      <c r="A1975" s="4" t="s">
        <v>28</v>
      </c>
      <c r="B1975" s="4" t="s">
        <v>37</v>
      </c>
      <c r="C1975" s="4" t="s">
        <v>33</v>
      </c>
      <c r="D1975" s="4" t="s">
        <v>43</v>
      </c>
      <c r="E1975" s="4" t="s">
        <v>25</v>
      </c>
      <c r="F1975" s="4" t="s">
        <v>25</v>
      </c>
      <c r="G1975" s="4" t="s">
        <v>25</v>
      </c>
      <c r="H1975" s="4" t="s">
        <v>34</v>
      </c>
      <c r="I1975" s="5">
        <v>44593</v>
      </c>
      <c r="J1975" s="6">
        <v>0</v>
      </c>
      <c r="K1975" s="6">
        <v>0</v>
      </c>
      <c r="L1975" s="6">
        <v>0.752</v>
      </c>
      <c r="M1975" s="6">
        <v>0.752</v>
      </c>
      <c r="N1975" s="6">
        <v>0.752</v>
      </c>
      <c r="O1975" s="6">
        <v>0.752</v>
      </c>
      <c r="P1975" s="6">
        <v>0</v>
      </c>
      <c r="Q1975" s="4" t="s">
        <v>26</v>
      </c>
      <c r="R1975" s="4">
        <v>0</v>
      </c>
      <c r="S1975" s="6">
        <v>0</v>
      </c>
      <c r="T1975" s="6">
        <v>51</v>
      </c>
      <c r="U1975" s="6">
        <v>97</v>
      </c>
      <c r="V1975" s="6">
        <f>IF(ISERROR(VLOOKUP($S$1975,'TAR FIN'!$A$1:$O$104,15,0)),0,VLOOKUP($S$1975,'TAR FIN'!$A$1:$O$104,15,0))</f>
        <v>0</v>
      </c>
      <c r="W1975" s="6">
        <f>IF(ISERROR(VLOOKUP($T$1975,'TAR FIN'!$A$1:$O$104,15,0)),0,VLOOKUP($T$1975,'TAR FIN'!$A$1:$O$104,15,0))</f>
        <v>948.58</v>
      </c>
      <c r="X1975" s="6">
        <f>IF(ISERROR(VLOOKUP($U$1975,'TAR FIN'!$A$1:$O$104,15,0)),0,VLOOKUP($U$1975,'TAR FIN'!$A$1:$O$104,15,0))</f>
        <v>397.62</v>
      </c>
      <c r="Y1975" s="6"/>
      <c r="Z1975" s="6">
        <f ca="1">('TUSD BE'!$AM$59+'TUSD BF'!$AM$59+'TUSD CVA'!$AM$59)*1</f>
        <v>964.91724567390565</v>
      </c>
      <c r="AA1975" s="6">
        <f>('TE BE'!$AB$38+'TE BF'!$AB$38+'TE CVA'!$AB$38)*1</f>
        <v>360.26029187567116</v>
      </c>
      <c r="AB1975" s="6">
        <f>$K$1975*$V$1975</f>
        <v>0</v>
      </c>
      <c r="AC1975" s="6">
        <f>$M$1975*$W$1975</f>
        <v>713.33216000000004</v>
      </c>
      <c r="AD1975" s="6">
        <f>$O$1975*$X$1975</f>
        <v>299.01024000000001</v>
      </c>
      <c r="AE1975" s="6">
        <f>$K$1975*$Y$1975</f>
        <v>0</v>
      </c>
      <c r="AF1975" s="6">
        <f ca="1">$M$1975*$Z$1975</f>
        <v>725.61776874677707</v>
      </c>
      <c r="AG1975" s="6">
        <f>$O$1975*$AA$1975</f>
        <v>270.91573949050473</v>
      </c>
    </row>
    <row r="1976" spans="1:33" ht="11.25" customHeight="1" x14ac:dyDescent="0.25">
      <c r="A1976" s="4" t="s">
        <v>21</v>
      </c>
      <c r="B1976" s="4" t="s">
        <v>37</v>
      </c>
      <c r="C1976" s="4" t="s">
        <v>33</v>
      </c>
      <c r="D1976" s="4" t="s">
        <v>43</v>
      </c>
      <c r="E1976" s="4" t="s">
        <v>25</v>
      </c>
      <c r="F1976" s="4" t="s">
        <v>25</v>
      </c>
      <c r="G1976" s="4" t="s">
        <v>25</v>
      </c>
      <c r="H1976" s="4" t="s">
        <v>34</v>
      </c>
      <c r="I1976" s="5">
        <v>44621</v>
      </c>
      <c r="J1976" s="6">
        <v>0</v>
      </c>
      <c r="K1976" s="6">
        <v>0</v>
      </c>
      <c r="L1976" s="6">
        <v>5.1509999999999998</v>
      </c>
      <c r="M1976" s="6">
        <v>5.1509999999999998</v>
      </c>
      <c r="N1976" s="6">
        <v>5.1509999999999998</v>
      </c>
      <c r="O1976" s="6">
        <v>5.1509999999999998</v>
      </c>
      <c r="P1976" s="6">
        <v>0</v>
      </c>
      <c r="Q1976" s="4" t="s">
        <v>26</v>
      </c>
      <c r="R1976" s="4">
        <v>0</v>
      </c>
      <c r="S1976" s="6">
        <v>0</v>
      </c>
      <c r="T1976" s="6">
        <v>51</v>
      </c>
      <c r="U1976" s="6">
        <v>97</v>
      </c>
      <c r="V1976" s="6">
        <f>IF(ISERROR(VLOOKUP($S$1976,'TAR FIN'!$A$1:$O$104,15,0)),0,VLOOKUP($S$1976,'TAR FIN'!$A$1:$O$104,15,0))</f>
        <v>0</v>
      </c>
      <c r="W1976" s="6">
        <f>IF(ISERROR(VLOOKUP($T$1976,'TAR FIN'!$A$1:$O$104,15,0)),0,VLOOKUP($T$1976,'TAR FIN'!$A$1:$O$104,15,0))</f>
        <v>948.58</v>
      </c>
      <c r="X1976" s="6">
        <f>IF(ISERROR(VLOOKUP($U$1976,'TAR FIN'!$A$1:$O$104,15,0)),0,VLOOKUP($U$1976,'TAR FIN'!$A$1:$O$104,15,0))</f>
        <v>397.62</v>
      </c>
      <c r="Y1976" s="6"/>
      <c r="Z1976" s="6">
        <f ca="1">('TUSD BE'!$AM$59+'TUSD BF'!$AM$59+'TUSD CVA'!$AM$59)*1</f>
        <v>964.91724567390565</v>
      </c>
      <c r="AA1976" s="6">
        <f>('TE BE'!$AB$38+'TE BF'!$AB$38+'TE CVA'!$AB$38)*1</f>
        <v>360.26029187567116</v>
      </c>
      <c r="AB1976" s="6">
        <f>$K$1976*$V$1976</f>
        <v>0</v>
      </c>
      <c r="AC1976" s="6">
        <f>$M$1976*$W$1976</f>
        <v>4886.1355800000001</v>
      </c>
      <c r="AD1976" s="6">
        <f>$O$1976*$X$1976</f>
        <v>2048.1406200000001</v>
      </c>
      <c r="AE1976" s="6">
        <f>$K$1976*$Y$1976</f>
        <v>0</v>
      </c>
      <c r="AF1976" s="6">
        <f ca="1">$M$1976*$Z$1976</f>
        <v>4970.2887324662879</v>
      </c>
      <c r="AG1976" s="6">
        <f>$O$1976*$AA$1976</f>
        <v>1855.7007634515821</v>
      </c>
    </row>
    <row r="1977" spans="1:33" ht="11.25" customHeight="1" x14ac:dyDescent="0.25">
      <c r="A1977" s="4" t="s">
        <v>28</v>
      </c>
      <c r="B1977" s="4" t="s">
        <v>37</v>
      </c>
      <c r="C1977" s="4" t="s">
        <v>33</v>
      </c>
      <c r="D1977" s="4" t="s">
        <v>43</v>
      </c>
      <c r="E1977" s="4" t="s">
        <v>25</v>
      </c>
      <c r="F1977" s="4" t="s">
        <v>25</v>
      </c>
      <c r="G1977" s="4" t="s">
        <v>25</v>
      </c>
      <c r="H1977" s="4" t="s">
        <v>34</v>
      </c>
      <c r="I1977" s="5">
        <v>44621</v>
      </c>
      <c r="J1977" s="6">
        <v>0</v>
      </c>
      <c r="K1977" s="6">
        <v>0</v>
      </c>
      <c r="L1977" s="6">
        <v>1.0980000000000001</v>
      </c>
      <c r="M1977" s="6">
        <v>1.0980000000000001</v>
      </c>
      <c r="N1977" s="6">
        <v>1.0980000000000001</v>
      </c>
      <c r="O1977" s="6">
        <v>1.0980000000000001</v>
      </c>
      <c r="P1977" s="6">
        <v>0</v>
      </c>
      <c r="Q1977" s="4" t="s">
        <v>26</v>
      </c>
      <c r="R1977" s="4">
        <v>0</v>
      </c>
      <c r="S1977" s="6">
        <v>0</v>
      </c>
      <c r="T1977" s="6">
        <v>51</v>
      </c>
      <c r="U1977" s="6">
        <v>97</v>
      </c>
      <c r="V1977" s="6">
        <f>IF(ISERROR(VLOOKUP($S$1977,'TAR FIN'!$A$1:$O$104,15,0)),0,VLOOKUP($S$1977,'TAR FIN'!$A$1:$O$104,15,0))</f>
        <v>0</v>
      </c>
      <c r="W1977" s="6">
        <f>IF(ISERROR(VLOOKUP($T$1977,'TAR FIN'!$A$1:$O$104,15,0)),0,VLOOKUP($T$1977,'TAR FIN'!$A$1:$O$104,15,0))</f>
        <v>948.58</v>
      </c>
      <c r="X1977" s="6">
        <f>IF(ISERROR(VLOOKUP($U$1977,'TAR FIN'!$A$1:$O$104,15,0)),0,VLOOKUP($U$1977,'TAR FIN'!$A$1:$O$104,15,0))</f>
        <v>397.62</v>
      </c>
      <c r="Y1977" s="6"/>
      <c r="Z1977" s="6">
        <f ca="1">('TUSD BE'!$AM$59+'TUSD BF'!$AM$59+'TUSD CVA'!$AM$59)*1</f>
        <v>964.91724567390565</v>
      </c>
      <c r="AA1977" s="6">
        <f>('TE BE'!$AB$38+'TE BF'!$AB$38+'TE CVA'!$AB$38)*1</f>
        <v>360.26029187567116</v>
      </c>
      <c r="AB1977" s="6">
        <f>$K$1977*$V$1977</f>
        <v>0</v>
      </c>
      <c r="AC1977" s="6">
        <f>$M$1977*$W$1977</f>
        <v>1041.5408400000001</v>
      </c>
      <c r="AD1977" s="6">
        <f>$O$1977*$X$1977</f>
        <v>436.58676000000003</v>
      </c>
      <c r="AE1977" s="6">
        <f>$K$1977*$Y$1977</f>
        <v>0</v>
      </c>
      <c r="AF1977" s="6">
        <f ca="1">$M$1977*$Z$1977</f>
        <v>1059.4791357499485</v>
      </c>
      <c r="AG1977" s="6">
        <f>$O$1977*$AA$1977</f>
        <v>395.56580047948694</v>
      </c>
    </row>
    <row r="1978" spans="1:33" ht="11.25" customHeight="1" x14ac:dyDescent="0.25">
      <c r="A1978" s="4" t="s">
        <v>21</v>
      </c>
      <c r="B1978" s="4" t="s">
        <v>37</v>
      </c>
      <c r="C1978" s="4" t="s">
        <v>33</v>
      </c>
      <c r="D1978" s="4" t="s">
        <v>43</v>
      </c>
      <c r="E1978" s="4" t="s">
        <v>25</v>
      </c>
      <c r="F1978" s="4" t="s">
        <v>25</v>
      </c>
      <c r="G1978" s="4" t="s">
        <v>25</v>
      </c>
      <c r="H1978" s="4" t="s">
        <v>34</v>
      </c>
      <c r="I1978" s="5">
        <v>44652</v>
      </c>
      <c r="J1978" s="6">
        <v>0</v>
      </c>
      <c r="K1978" s="6">
        <v>0</v>
      </c>
      <c r="L1978" s="6">
        <v>3.992</v>
      </c>
      <c r="M1978" s="6">
        <v>3.992</v>
      </c>
      <c r="N1978" s="6">
        <v>3.992</v>
      </c>
      <c r="O1978" s="6">
        <v>3.992</v>
      </c>
      <c r="P1978" s="6">
        <v>0</v>
      </c>
      <c r="Q1978" s="4" t="s">
        <v>26</v>
      </c>
      <c r="R1978" s="4">
        <v>0</v>
      </c>
      <c r="S1978" s="6">
        <v>0</v>
      </c>
      <c r="T1978" s="6">
        <v>51</v>
      </c>
      <c r="U1978" s="6">
        <v>97</v>
      </c>
      <c r="V1978" s="6">
        <f>IF(ISERROR(VLOOKUP($S$1978,'TAR FIN'!$A$1:$O$104,15,0)),0,VLOOKUP($S$1978,'TAR FIN'!$A$1:$O$104,15,0))</f>
        <v>0</v>
      </c>
      <c r="W1978" s="6">
        <f>IF(ISERROR(VLOOKUP($T$1978,'TAR FIN'!$A$1:$O$104,15,0)),0,VLOOKUP($T$1978,'TAR FIN'!$A$1:$O$104,15,0))</f>
        <v>948.58</v>
      </c>
      <c r="X1978" s="6">
        <f>IF(ISERROR(VLOOKUP($U$1978,'TAR FIN'!$A$1:$O$104,15,0)),0,VLOOKUP($U$1978,'TAR FIN'!$A$1:$O$104,15,0))</f>
        <v>397.62</v>
      </c>
      <c r="Y1978" s="6"/>
      <c r="Z1978" s="6">
        <f ca="1">('TUSD BE'!$AM$59+'TUSD BF'!$AM$59+'TUSD CVA'!$AM$59)*1</f>
        <v>964.91724567390565</v>
      </c>
      <c r="AA1978" s="6">
        <f>('TE BE'!$AB$38+'TE BF'!$AB$38+'TE CVA'!$AB$38)*1</f>
        <v>360.26029187567116</v>
      </c>
      <c r="AB1978" s="6">
        <f>$K$1978*$V$1978</f>
        <v>0</v>
      </c>
      <c r="AC1978" s="6">
        <f>$M$1978*$W$1978</f>
        <v>3786.7313600000002</v>
      </c>
      <c r="AD1978" s="6">
        <f>$O$1978*$X$1978</f>
        <v>1587.2990400000001</v>
      </c>
      <c r="AE1978" s="6">
        <f>$K$1978*$Y$1978</f>
        <v>0</v>
      </c>
      <c r="AF1978" s="6">
        <f ca="1">$M$1978*$Z$1978</f>
        <v>3851.9496447302313</v>
      </c>
      <c r="AG1978" s="6">
        <f>$O$1978*$AA$1978</f>
        <v>1438.1590851676792</v>
      </c>
    </row>
    <row r="1979" spans="1:33" ht="11.25" customHeight="1" x14ac:dyDescent="0.25">
      <c r="A1979" s="4" t="s">
        <v>28</v>
      </c>
      <c r="B1979" s="4" t="s">
        <v>37</v>
      </c>
      <c r="C1979" s="4" t="s">
        <v>33</v>
      </c>
      <c r="D1979" s="4" t="s">
        <v>43</v>
      </c>
      <c r="E1979" s="4" t="s">
        <v>25</v>
      </c>
      <c r="F1979" s="4" t="s">
        <v>25</v>
      </c>
      <c r="G1979" s="4" t="s">
        <v>25</v>
      </c>
      <c r="H1979" s="4" t="s">
        <v>34</v>
      </c>
      <c r="I1979" s="5">
        <v>44652</v>
      </c>
      <c r="J1979" s="6">
        <v>0</v>
      </c>
      <c r="K1979" s="6">
        <v>0</v>
      </c>
      <c r="L1979" s="6">
        <v>0.89500000000000002</v>
      </c>
      <c r="M1979" s="6">
        <v>0.89500000000000002</v>
      </c>
      <c r="N1979" s="6">
        <v>0.89500000000000002</v>
      </c>
      <c r="O1979" s="6">
        <v>0.89500000000000002</v>
      </c>
      <c r="P1979" s="6">
        <v>0</v>
      </c>
      <c r="Q1979" s="4" t="s">
        <v>26</v>
      </c>
      <c r="R1979" s="4">
        <v>0</v>
      </c>
      <c r="S1979" s="6">
        <v>0</v>
      </c>
      <c r="T1979" s="6">
        <v>51</v>
      </c>
      <c r="U1979" s="6">
        <v>97</v>
      </c>
      <c r="V1979" s="6">
        <f>IF(ISERROR(VLOOKUP($S$1979,'TAR FIN'!$A$1:$O$104,15,0)),0,VLOOKUP($S$1979,'TAR FIN'!$A$1:$O$104,15,0))</f>
        <v>0</v>
      </c>
      <c r="W1979" s="6">
        <f>IF(ISERROR(VLOOKUP($T$1979,'TAR FIN'!$A$1:$O$104,15,0)),0,VLOOKUP($T$1979,'TAR FIN'!$A$1:$O$104,15,0))</f>
        <v>948.58</v>
      </c>
      <c r="X1979" s="6">
        <f>IF(ISERROR(VLOOKUP($U$1979,'TAR FIN'!$A$1:$O$104,15,0)),0,VLOOKUP($U$1979,'TAR FIN'!$A$1:$O$104,15,0))</f>
        <v>397.62</v>
      </c>
      <c r="Y1979" s="6"/>
      <c r="Z1979" s="6">
        <f ca="1">('TUSD BE'!$AM$59+'TUSD BF'!$AM$59+'TUSD CVA'!$AM$59)*1</f>
        <v>964.91724567390565</v>
      </c>
      <c r="AA1979" s="6">
        <f>('TE BE'!$AB$38+'TE BF'!$AB$38+'TE CVA'!$AB$38)*1</f>
        <v>360.26029187567116</v>
      </c>
      <c r="AB1979" s="6">
        <f>$K$1979*$V$1979</f>
        <v>0</v>
      </c>
      <c r="AC1979" s="6">
        <f>$M$1979*$W$1979</f>
        <v>848.97910000000002</v>
      </c>
      <c r="AD1979" s="6">
        <f>$O$1979*$X$1979</f>
        <v>355.86990000000003</v>
      </c>
      <c r="AE1979" s="6">
        <f>$K$1979*$Y$1979</f>
        <v>0</v>
      </c>
      <c r="AF1979" s="6">
        <f ca="1">$M$1979*$Z$1979</f>
        <v>863.60093487814561</v>
      </c>
      <c r="AG1979" s="6">
        <f>$O$1979*$AA$1979</f>
        <v>322.43296122872567</v>
      </c>
    </row>
    <row r="1980" spans="1:33" ht="11.25" customHeight="1" x14ac:dyDescent="0.25">
      <c r="A1980" s="4" t="s">
        <v>21</v>
      </c>
      <c r="B1980" s="4" t="s">
        <v>37</v>
      </c>
      <c r="C1980" s="4" t="s">
        <v>33</v>
      </c>
      <c r="D1980" s="4" t="s">
        <v>43</v>
      </c>
      <c r="E1980" s="4" t="s">
        <v>25</v>
      </c>
      <c r="F1980" s="4" t="s">
        <v>25</v>
      </c>
      <c r="G1980" s="4" t="s">
        <v>25</v>
      </c>
      <c r="H1980" s="4" t="s">
        <v>34</v>
      </c>
      <c r="I1980" s="5">
        <v>44682</v>
      </c>
      <c r="J1980" s="6">
        <v>0</v>
      </c>
      <c r="K1980" s="6">
        <v>0</v>
      </c>
      <c r="L1980" s="6">
        <v>3.9159999999999999</v>
      </c>
      <c r="M1980" s="6">
        <v>3.9159999999999999</v>
      </c>
      <c r="N1980" s="6">
        <v>3.9159999999999999</v>
      </c>
      <c r="O1980" s="6">
        <v>3.9159999999999999</v>
      </c>
      <c r="P1980" s="6">
        <v>0</v>
      </c>
      <c r="Q1980" s="4" t="s">
        <v>26</v>
      </c>
      <c r="R1980" s="4">
        <v>0</v>
      </c>
      <c r="S1980" s="6">
        <v>0</v>
      </c>
      <c r="T1980" s="6">
        <v>51</v>
      </c>
      <c r="U1980" s="6">
        <v>97</v>
      </c>
      <c r="V1980" s="6">
        <f>IF(ISERROR(VLOOKUP($S$1980,'TAR FIN'!$A$1:$O$104,15,0)),0,VLOOKUP($S$1980,'TAR FIN'!$A$1:$O$104,15,0))</f>
        <v>0</v>
      </c>
      <c r="W1980" s="6">
        <f>IF(ISERROR(VLOOKUP($T$1980,'TAR FIN'!$A$1:$O$104,15,0)),0,VLOOKUP($T$1980,'TAR FIN'!$A$1:$O$104,15,0))</f>
        <v>948.58</v>
      </c>
      <c r="X1980" s="6">
        <f>IF(ISERROR(VLOOKUP($U$1980,'TAR FIN'!$A$1:$O$104,15,0)),0,VLOOKUP($U$1980,'TAR FIN'!$A$1:$O$104,15,0))</f>
        <v>397.62</v>
      </c>
      <c r="Y1980" s="6"/>
      <c r="Z1980" s="6">
        <f ca="1">('TUSD BE'!$AM$59+'TUSD BF'!$AM$59+'TUSD CVA'!$AM$59)*1</f>
        <v>964.91724567390565</v>
      </c>
      <c r="AA1980" s="6">
        <f>('TE BE'!$AB$38+'TE BF'!$AB$38+'TE CVA'!$AB$38)*1</f>
        <v>360.26029187567116</v>
      </c>
      <c r="AB1980" s="6">
        <f>$K$1980*$V$1980</f>
        <v>0</v>
      </c>
      <c r="AC1980" s="6">
        <f>$M$1980*$W$1980</f>
        <v>3714.6392799999999</v>
      </c>
      <c r="AD1980" s="6">
        <f>$O$1980*$X$1980</f>
        <v>1557.0799199999999</v>
      </c>
      <c r="AE1980" s="6">
        <f>$K$1980*$Y$1980</f>
        <v>0</v>
      </c>
      <c r="AF1980" s="6">
        <f ca="1">$M$1980*$Z$1980</f>
        <v>3778.6159340590143</v>
      </c>
      <c r="AG1980" s="6">
        <f>$O$1980*$AA$1980</f>
        <v>1410.7793029851282</v>
      </c>
    </row>
    <row r="1981" spans="1:33" ht="11.25" customHeight="1" x14ac:dyDescent="0.25">
      <c r="A1981" s="4" t="s">
        <v>28</v>
      </c>
      <c r="B1981" s="4" t="s">
        <v>37</v>
      </c>
      <c r="C1981" s="4" t="s">
        <v>33</v>
      </c>
      <c r="D1981" s="4" t="s">
        <v>43</v>
      </c>
      <c r="E1981" s="4" t="s">
        <v>25</v>
      </c>
      <c r="F1981" s="4" t="s">
        <v>25</v>
      </c>
      <c r="G1981" s="4" t="s">
        <v>25</v>
      </c>
      <c r="H1981" s="4" t="s">
        <v>34</v>
      </c>
      <c r="I1981" s="5">
        <v>44682</v>
      </c>
      <c r="J1981" s="6">
        <v>0</v>
      </c>
      <c r="K1981" s="6">
        <v>0</v>
      </c>
      <c r="L1981" s="6">
        <v>0.54300000000000004</v>
      </c>
      <c r="M1981" s="6">
        <v>0.54300000000000004</v>
      </c>
      <c r="N1981" s="6">
        <v>0.54300000000000004</v>
      </c>
      <c r="O1981" s="6">
        <v>0.54300000000000004</v>
      </c>
      <c r="P1981" s="6">
        <v>0</v>
      </c>
      <c r="Q1981" s="4" t="s">
        <v>26</v>
      </c>
      <c r="R1981" s="4">
        <v>0</v>
      </c>
      <c r="S1981" s="6">
        <v>0</v>
      </c>
      <c r="T1981" s="6">
        <v>51</v>
      </c>
      <c r="U1981" s="6">
        <v>97</v>
      </c>
      <c r="V1981" s="6">
        <f>IF(ISERROR(VLOOKUP($S$1981,'TAR FIN'!$A$1:$O$104,15,0)),0,VLOOKUP($S$1981,'TAR FIN'!$A$1:$O$104,15,0))</f>
        <v>0</v>
      </c>
      <c r="W1981" s="6">
        <f>IF(ISERROR(VLOOKUP($T$1981,'TAR FIN'!$A$1:$O$104,15,0)),0,VLOOKUP($T$1981,'TAR FIN'!$A$1:$O$104,15,0))</f>
        <v>948.58</v>
      </c>
      <c r="X1981" s="6">
        <f>IF(ISERROR(VLOOKUP($U$1981,'TAR FIN'!$A$1:$O$104,15,0)),0,VLOOKUP($U$1981,'TAR FIN'!$A$1:$O$104,15,0))</f>
        <v>397.62</v>
      </c>
      <c r="Y1981" s="6"/>
      <c r="Z1981" s="6">
        <f ca="1">('TUSD BE'!$AM$59+'TUSD BF'!$AM$59+'TUSD CVA'!$AM$59)*1</f>
        <v>964.91724567390565</v>
      </c>
      <c r="AA1981" s="6">
        <f>('TE BE'!$AB$38+'TE BF'!$AB$38+'TE CVA'!$AB$38)*1</f>
        <v>360.26029187567116</v>
      </c>
      <c r="AB1981" s="6">
        <f>$K$1981*$V$1981</f>
        <v>0</v>
      </c>
      <c r="AC1981" s="6">
        <f>$M$1981*$W$1981</f>
        <v>515.0789400000001</v>
      </c>
      <c r="AD1981" s="6">
        <f>$O$1981*$X$1981</f>
        <v>215.90766000000002</v>
      </c>
      <c r="AE1981" s="6">
        <f>$K$1981*$Y$1981</f>
        <v>0</v>
      </c>
      <c r="AF1981" s="6">
        <f ca="1">$M$1981*$Z$1981</f>
        <v>523.95006440093084</v>
      </c>
      <c r="AG1981" s="6">
        <f>$O$1981*$AA$1981</f>
        <v>195.62133848848944</v>
      </c>
    </row>
    <row r="1982" spans="1:33" ht="11.25" customHeight="1" x14ac:dyDescent="0.25">
      <c r="A1982" s="4" t="s">
        <v>21</v>
      </c>
      <c r="B1982" s="4" t="s">
        <v>37</v>
      </c>
      <c r="C1982" s="4" t="s">
        <v>33</v>
      </c>
      <c r="D1982" s="4" t="s">
        <v>43</v>
      </c>
      <c r="E1982" s="4" t="s">
        <v>25</v>
      </c>
      <c r="F1982" s="4" t="s">
        <v>25</v>
      </c>
      <c r="G1982" s="4" t="s">
        <v>25</v>
      </c>
      <c r="H1982" s="4" t="s">
        <v>34</v>
      </c>
      <c r="I1982" s="5">
        <v>44713</v>
      </c>
      <c r="J1982" s="6">
        <v>0</v>
      </c>
      <c r="K1982" s="6">
        <v>0</v>
      </c>
      <c r="L1982" s="6">
        <v>3.5819999999999999</v>
      </c>
      <c r="M1982" s="6">
        <v>3.5819999999999999</v>
      </c>
      <c r="N1982" s="6">
        <v>3.5819999999999999</v>
      </c>
      <c r="O1982" s="6">
        <v>3.5819999999999999</v>
      </c>
      <c r="P1982" s="6">
        <v>0</v>
      </c>
      <c r="Q1982" s="4" t="s">
        <v>26</v>
      </c>
      <c r="R1982" s="4">
        <v>0</v>
      </c>
      <c r="S1982" s="6">
        <v>0</v>
      </c>
      <c r="T1982" s="6">
        <v>51</v>
      </c>
      <c r="U1982" s="6">
        <v>97</v>
      </c>
      <c r="V1982" s="6">
        <f>IF(ISERROR(VLOOKUP($S$1982,'TAR FIN'!$A$1:$O$104,15,0)),0,VLOOKUP($S$1982,'TAR FIN'!$A$1:$O$104,15,0))</f>
        <v>0</v>
      </c>
      <c r="W1982" s="6">
        <f>IF(ISERROR(VLOOKUP($T$1982,'TAR FIN'!$A$1:$O$104,15,0)),0,VLOOKUP($T$1982,'TAR FIN'!$A$1:$O$104,15,0))</f>
        <v>948.58</v>
      </c>
      <c r="X1982" s="6">
        <f>IF(ISERROR(VLOOKUP($U$1982,'TAR FIN'!$A$1:$O$104,15,0)),0,VLOOKUP($U$1982,'TAR FIN'!$A$1:$O$104,15,0))</f>
        <v>397.62</v>
      </c>
      <c r="Y1982" s="6"/>
      <c r="Z1982" s="6">
        <f ca="1">('TUSD BE'!$AM$59+'TUSD BF'!$AM$59+'TUSD CVA'!$AM$59)*1</f>
        <v>964.91724567390565</v>
      </c>
      <c r="AA1982" s="6">
        <f>('TE BE'!$AB$38+'TE BF'!$AB$38+'TE CVA'!$AB$38)*1</f>
        <v>360.26029187567116</v>
      </c>
      <c r="AB1982" s="6">
        <f>$K$1982*$V$1982</f>
        <v>0</v>
      </c>
      <c r="AC1982" s="6">
        <f>$M$1982*$W$1982</f>
        <v>3397.8135600000001</v>
      </c>
      <c r="AD1982" s="6">
        <f>$O$1982*$X$1982</f>
        <v>1424.27484</v>
      </c>
      <c r="AE1982" s="6">
        <f>$K$1982*$Y$1982</f>
        <v>0</v>
      </c>
      <c r="AF1982" s="6">
        <f ca="1">$M$1982*$Z$1982</f>
        <v>3456.3335740039297</v>
      </c>
      <c r="AG1982" s="6">
        <f>$O$1982*$AA$1982</f>
        <v>1290.452365498654</v>
      </c>
    </row>
    <row r="1983" spans="1:33" ht="11.25" customHeight="1" x14ac:dyDescent="0.25">
      <c r="A1983" s="4" t="s">
        <v>27</v>
      </c>
      <c r="B1983" s="4" t="s">
        <v>37</v>
      </c>
      <c r="C1983" s="4" t="s">
        <v>33</v>
      </c>
      <c r="D1983" s="4" t="s">
        <v>43</v>
      </c>
      <c r="E1983" s="4" t="s">
        <v>25</v>
      </c>
      <c r="F1983" s="4" t="s">
        <v>25</v>
      </c>
      <c r="G1983" s="4" t="s">
        <v>25</v>
      </c>
      <c r="H1983" s="4" t="s">
        <v>34</v>
      </c>
      <c r="I1983" s="5">
        <v>44713</v>
      </c>
      <c r="J1983" s="6">
        <v>0</v>
      </c>
      <c r="K1983" s="6">
        <v>0</v>
      </c>
      <c r="L1983" s="6">
        <v>0.126</v>
      </c>
      <c r="M1983" s="6">
        <v>0.126</v>
      </c>
      <c r="N1983" s="6">
        <v>0.126</v>
      </c>
      <c r="O1983" s="6">
        <v>0.126</v>
      </c>
      <c r="P1983" s="6">
        <v>0</v>
      </c>
      <c r="Q1983" s="4" t="s">
        <v>26</v>
      </c>
      <c r="R1983" s="4">
        <v>0</v>
      </c>
      <c r="S1983" s="6">
        <v>0</v>
      </c>
      <c r="T1983" s="6">
        <v>51</v>
      </c>
      <c r="U1983" s="6">
        <v>97</v>
      </c>
      <c r="V1983" s="6">
        <f>IF(ISERROR(VLOOKUP($S$1983,'TAR FIN'!$A$1:$O$104,15,0)),0,VLOOKUP($S$1983,'TAR FIN'!$A$1:$O$104,15,0))</f>
        <v>0</v>
      </c>
      <c r="W1983" s="6">
        <f>IF(ISERROR(VLOOKUP($T$1983,'TAR FIN'!$A$1:$O$104,15,0)),0,VLOOKUP($T$1983,'TAR FIN'!$A$1:$O$104,15,0))</f>
        <v>948.58</v>
      </c>
      <c r="X1983" s="6">
        <f>IF(ISERROR(VLOOKUP($U$1983,'TAR FIN'!$A$1:$O$104,15,0)),0,VLOOKUP($U$1983,'TAR FIN'!$A$1:$O$104,15,0))</f>
        <v>397.62</v>
      </c>
      <c r="Y1983" s="6"/>
      <c r="Z1983" s="6">
        <f ca="1">('TUSD BE'!$AM$59+'TUSD BF'!$AM$59+'TUSD CVA'!$AM$59)*1</f>
        <v>964.91724567390565</v>
      </c>
      <c r="AA1983" s="6">
        <f>('TE BE'!$AB$38+'TE BF'!$AB$38+'TE CVA'!$AB$38)*1</f>
        <v>360.26029187567116</v>
      </c>
      <c r="AB1983" s="6">
        <f>$K$1983*$V$1983</f>
        <v>0</v>
      </c>
      <c r="AC1983" s="6">
        <f>$M$1983*$W$1983</f>
        <v>119.52108000000001</v>
      </c>
      <c r="AD1983" s="6">
        <f>$O$1983*$X$1983</f>
        <v>50.100120000000004</v>
      </c>
      <c r="AE1983" s="6">
        <f>$K$1983*$Y$1983</f>
        <v>0</v>
      </c>
      <c r="AF1983" s="6">
        <f ca="1">$M$1983*$Z$1983</f>
        <v>121.57957295491211</v>
      </c>
      <c r="AG1983" s="6">
        <f>$O$1983*$AA$1983</f>
        <v>45.392796776334563</v>
      </c>
    </row>
    <row r="1984" spans="1:33" ht="11.25" customHeight="1" x14ac:dyDescent="0.25">
      <c r="A1984" s="4" t="s">
        <v>28</v>
      </c>
      <c r="B1984" s="4" t="s">
        <v>37</v>
      </c>
      <c r="C1984" s="4" t="s">
        <v>33</v>
      </c>
      <c r="D1984" s="4" t="s">
        <v>43</v>
      </c>
      <c r="E1984" s="4" t="s">
        <v>25</v>
      </c>
      <c r="F1984" s="4" t="s">
        <v>25</v>
      </c>
      <c r="G1984" s="4" t="s">
        <v>25</v>
      </c>
      <c r="H1984" s="4" t="s">
        <v>34</v>
      </c>
      <c r="I1984" s="5">
        <v>44713</v>
      </c>
      <c r="J1984" s="6">
        <v>0</v>
      </c>
      <c r="K1984" s="6">
        <v>0</v>
      </c>
      <c r="L1984" s="6">
        <v>0.53</v>
      </c>
      <c r="M1984" s="6">
        <v>0.53</v>
      </c>
      <c r="N1984" s="6">
        <v>0.53</v>
      </c>
      <c r="O1984" s="6">
        <v>0.53</v>
      </c>
      <c r="P1984" s="6">
        <v>0</v>
      </c>
      <c r="Q1984" s="4" t="s">
        <v>26</v>
      </c>
      <c r="R1984" s="4">
        <v>0</v>
      </c>
      <c r="S1984" s="6">
        <v>0</v>
      </c>
      <c r="T1984" s="6">
        <v>51</v>
      </c>
      <c r="U1984" s="6">
        <v>97</v>
      </c>
      <c r="V1984" s="6">
        <f>IF(ISERROR(VLOOKUP($S$1984,'TAR FIN'!$A$1:$O$104,15,0)),0,VLOOKUP($S$1984,'TAR FIN'!$A$1:$O$104,15,0))</f>
        <v>0</v>
      </c>
      <c r="W1984" s="6">
        <f>IF(ISERROR(VLOOKUP($T$1984,'TAR FIN'!$A$1:$O$104,15,0)),0,VLOOKUP($T$1984,'TAR FIN'!$A$1:$O$104,15,0))</f>
        <v>948.58</v>
      </c>
      <c r="X1984" s="6">
        <f>IF(ISERROR(VLOOKUP($U$1984,'TAR FIN'!$A$1:$O$104,15,0)),0,VLOOKUP($U$1984,'TAR FIN'!$A$1:$O$104,15,0))</f>
        <v>397.62</v>
      </c>
      <c r="Y1984" s="6"/>
      <c r="Z1984" s="6">
        <f ca="1">('TUSD BE'!$AM$59+'TUSD BF'!$AM$59+'TUSD CVA'!$AM$59)*1</f>
        <v>964.91724567390565</v>
      </c>
      <c r="AA1984" s="6">
        <f>('TE BE'!$AB$38+'TE BF'!$AB$38+'TE CVA'!$AB$38)*1</f>
        <v>360.26029187567116</v>
      </c>
      <c r="AB1984" s="6">
        <f>$K$1984*$V$1984</f>
        <v>0</v>
      </c>
      <c r="AC1984" s="6">
        <f>$M$1984*$W$1984</f>
        <v>502.74740000000003</v>
      </c>
      <c r="AD1984" s="6">
        <f>$O$1984*$X$1984</f>
        <v>210.73860000000002</v>
      </c>
      <c r="AE1984" s="6">
        <f>$K$1984*$Y$1984</f>
        <v>0</v>
      </c>
      <c r="AF1984" s="6">
        <f ca="1">$M$1984*$Z$1984</f>
        <v>511.40614020717004</v>
      </c>
      <c r="AG1984" s="6">
        <f>$O$1984*$AA$1984</f>
        <v>190.93795469410571</v>
      </c>
    </row>
    <row r="1985" spans="1:33" ht="11.25" customHeight="1" x14ac:dyDescent="0.25">
      <c r="A1985" s="4" t="s">
        <v>57</v>
      </c>
      <c r="B1985" s="4" t="s">
        <v>37</v>
      </c>
      <c r="C1985" s="4" t="s">
        <v>33</v>
      </c>
      <c r="D1985" s="4" t="s">
        <v>43</v>
      </c>
      <c r="E1985" s="4" t="s">
        <v>25</v>
      </c>
      <c r="F1985" s="4" t="s">
        <v>25</v>
      </c>
      <c r="G1985" s="4" t="s">
        <v>25</v>
      </c>
      <c r="H1985" s="4" t="s">
        <v>34</v>
      </c>
      <c r="I1985" s="5">
        <v>44743</v>
      </c>
      <c r="J1985" s="6">
        <v>0</v>
      </c>
      <c r="K1985" s="6">
        <v>0</v>
      </c>
      <c r="L1985" s="6">
        <v>3.5819999999999999</v>
      </c>
      <c r="M1985" s="6">
        <v>3.5819999999999999</v>
      </c>
      <c r="N1985" s="6">
        <v>3.5819999999999999</v>
      </c>
      <c r="O1985" s="6">
        <v>3.5819999999999999</v>
      </c>
      <c r="P1985" s="6">
        <v>0</v>
      </c>
      <c r="Q1985" s="4" t="s">
        <v>26</v>
      </c>
      <c r="R1985" s="4">
        <v>0</v>
      </c>
      <c r="S1985" s="6">
        <v>0</v>
      </c>
      <c r="T1985" s="6">
        <v>51</v>
      </c>
      <c r="U1985" s="6">
        <v>97</v>
      </c>
      <c r="V1985" s="6">
        <f>IF(ISERROR(VLOOKUP($S$1985,'TAR FIN'!$A$1:$O$104,15,0)),0,VLOOKUP($S$1985,'TAR FIN'!$A$1:$O$104,15,0))</f>
        <v>0</v>
      </c>
      <c r="W1985" s="6">
        <f>IF(ISERROR(VLOOKUP($T$1985,'TAR FIN'!$A$1:$O$104,15,0)),0,VLOOKUP($T$1985,'TAR FIN'!$A$1:$O$104,15,0))</f>
        <v>948.58</v>
      </c>
      <c r="X1985" s="6">
        <f>IF(ISERROR(VLOOKUP($U$1985,'TAR FIN'!$A$1:$O$104,15,0)),0,VLOOKUP($U$1985,'TAR FIN'!$A$1:$O$104,15,0))</f>
        <v>397.62</v>
      </c>
      <c r="Y1985" s="6"/>
      <c r="Z1985" s="6">
        <f ca="1">('TUSD BE'!$AM$59+'TUSD BF'!$AM$59+'TUSD CVA'!$AM$59)*1</f>
        <v>964.91724567390565</v>
      </c>
      <c r="AA1985" s="6">
        <f>('TE BE'!$AB$38+'TE BF'!$AB$38+'TE CVA'!$AB$38)*1</f>
        <v>360.26029187567116</v>
      </c>
      <c r="AB1985" s="6">
        <f>$K$1985*$V$1985</f>
        <v>0</v>
      </c>
      <c r="AC1985" s="6">
        <f>$M$1985*$W$1985</f>
        <v>3397.8135600000001</v>
      </c>
      <c r="AD1985" s="6">
        <f>$O$1985*$X$1985</f>
        <v>1424.27484</v>
      </c>
      <c r="AE1985" s="6">
        <f>$K$1985*$Y$1985</f>
        <v>0</v>
      </c>
      <c r="AF1985" s="6">
        <f ca="1">$M$1985*$Z$1985</f>
        <v>3456.3335740039297</v>
      </c>
      <c r="AG1985" s="6">
        <f>$O$1985*$AA$1985</f>
        <v>1290.452365498654</v>
      </c>
    </row>
    <row r="1986" spans="1:33" ht="11.25" customHeight="1" x14ac:dyDescent="0.25">
      <c r="A1986" s="4" t="s">
        <v>57</v>
      </c>
      <c r="B1986" s="4" t="s">
        <v>37</v>
      </c>
      <c r="C1986" s="4" t="s">
        <v>33</v>
      </c>
      <c r="D1986" s="4" t="s">
        <v>43</v>
      </c>
      <c r="E1986" s="4" t="s">
        <v>25</v>
      </c>
      <c r="F1986" s="4" t="s">
        <v>25</v>
      </c>
      <c r="G1986" s="4" t="s">
        <v>25</v>
      </c>
      <c r="H1986" s="4" t="s">
        <v>34</v>
      </c>
      <c r="I1986" s="5">
        <v>44743</v>
      </c>
      <c r="J1986" s="6">
        <v>0</v>
      </c>
      <c r="K1986" s="6">
        <v>0</v>
      </c>
      <c r="L1986" s="6">
        <v>0.126</v>
      </c>
      <c r="M1986" s="6">
        <v>0.126</v>
      </c>
      <c r="N1986" s="6">
        <v>0.126</v>
      </c>
      <c r="O1986" s="6">
        <v>0.126</v>
      </c>
      <c r="P1986" s="6">
        <v>0</v>
      </c>
      <c r="Q1986" s="4" t="s">
        <v>26</v>
      </c>
      <c r="R1986" s="4">
        <v>0</v>
      </c>
      <c r="S1986" s="6">
        <v>0</v>
      </c>
      <c r="T1986" s="6">
        <v>51</v>
      </c>
      <c r="U1986" s="6">
        <v>97</v>
      </c>
      <c r="V1986" s="6">
        <f>IF(ISERROR(VLOOKUP($S$1986,'TAR FIN'!$A$1:$O$104,15,0)),0,VLOOKUP($S$1986,'TAR FIN'!$A$1:$O$104,15,0))</f>
        <v>0</v>
      </c>
      <c r="W1986" s="6">
        <f>IF(ISERROR(VLOOKUP($T$1986,'TAR FIN'!$A$1:$O$104,15,0)),0,VLOOKUP($T$1986,'TAR FIN'!$A$1:$O$104,15,0))</f>
        <v>948.58</v>
      </c>
      <c r="X1986" s="6">
        <f>IF(ISERROR(VLOOKUP($U$1986,'TAR FIN'!$A$1:$O$104,15,0)),0,VLOOKUP($U$1986,'TAR FIN'!$A$1:$O$104,15,0))</f>
        <v>397.62</v>
      </c>
      <c r="Y1986" s="6"/>
      <c r="Z1986" s="6">
        <f ca="1">('TUSD BE'!$AM$59+'TUSD BF'!$AM$59+'TUSD CVA'!$AM$59)*1</f>
        <v>964.91724567390565</v>
      </c>
      <c r="AA1986" s="6">
        <f>('TE BE'!$AB$38+'TE BF'!$AB$38+'TE CVA'!$AB$38)*1</f>
        <v>360.26029187567116</v>
      </c>
      <c r="AB1986" s="6">
        <f>$K$1986*$V$1986</f>
        <v>0</v>
      </c>
      <c r="AC1986" s="6">
        <f>$M$1986*$W$1986</f>
        <v>119.52108000000001</v>
      </c>
      <c r="AD1986" s="6">
        <f>$O$1986*$X$1986</f>
        <v>50.100120000000004</v>
      </c>
      <c r="AE1986" s="6">
        <f>$K$1986*$Y$1986</f>
        <v>0</v>
      </c>
      <c r="AF1986" s="6">
        <f ca="1">$M$1986*$Z$1986</f>
        <v>121.57957295491211</v>
      </c>
      <c r="AG1986" s="6">
        <f>$O$1986*$AA$1986</f>
        <v>45.392796776334563</v>
      </c>
    </row>
    <row r="1987" spans="1:33" ht="11.25" customHeight="1" x14ac:dyDescent="0.25">
      <c r="A1987" s="4" t="s">
        <v>57</v>
      </c>
      <c r="B1987" s="4" t="s">
        <v>37</v>
      </c>
      <c r="C1987" s="4" t="s">
        <v>33</v>
      </c>
      <c r="D1987" s="4" t="s">
        <v>43</v>
      </c>
      <c r="E1987" s="4" t="s">
        <v>25</v>
      </c>
      <c r="F1987" s="4" t="s">
        <v>25</v>
      </c>
      <c r="G1987" s="4" t="s">
        <v>25</v>
      </c>
      <c r="H1987" s="4" t="s">
        <v>34</v>
      </c>
      <c r="I1987" s="5">
        <v>44743</v>
      </c>
      <c r="J1987" s="6">
        <v>0</v>
      </c>
      <c r="K1987" s="6">
        <v>0</v>
      </c>
      <c r="L1987" s="6">
        <v>0.53</v>
      </c>
      <c r="M1987" s="6">
        <v>0.53</v>
      </c>
      <c r="N1987" s="6">
        <v>0.53</v>
      </c>
      <c r="O1987" s="6">
        <v>0.53</v>
      </c>
      <c r="P1987" s="6">
        <v>0</v>
      </c>
      <c r="Q1987" s="4" t="s">
        <v>26</v>
      </c>
      <c r="R1987" s="4">
        <v>0</v>
      </c>
      <c r="S1987" s="6">
        <v>0</v>
      </c>
      <c r="T1987" s="6">
        <v>51</v>
      </c>
      <c r="U1987" s="6">
        <v>97</v>
      </c>
      <c r="V1987" s="6">
        <f>IF(ISERROR(VLOOKUP($S$1987,'TAR FIN'!$A$1:$O$104,15,0)),0,VLOOKUP($S$1987,'TAR FIN'!$A$1:$O$104,15,0))</f>
        <v>0</v>
      </c>
      <c r="W1987" s="6">
        <f>IF(ISERROR(VLOOKUP($T$1987,'TAR FIN'!$A$1:$O$104,15,0)),0,VLOOKUP($T$1987,'TAR FIN'!$A$1:$O$104,15,0))</f>
        <v>948.58</v>
      </c>
      <c r="X1987" s="6">
        <f>IF(ISERROR(VLOOKUP($U$1987,'TAR FIN'!$A$1:$O$104,15,0)),0,VLOOKUP($U$1987,'TAR FIN'!$A$1:$O$104,15,0))</f>
        <v>397.62</v>
      </c>
      <c r="Y1987" s="6"/>
      <c r="Z1987" s="6">
        <f ca="1">('TUSD BE'!$AM$59+'TUSD BF'!$AM$59+'TUSD CVA'!$AM$59)*1</f>
        <v>964.91724567390565</v>
      </c>
      <c r="AA1987" s="6">
        <f>('TE BE'!$AB$38+'TE BF'!$AB$38+'TE CVA'!$AB$38)*1</f>
        <v>360.26029187567116</v>
      </c>
      <c r="AB1987" s="6">
        <f>$K$1987*$V$1987</f>
        <v>0</v>
      </c>
      <c r="AC1987" s="6">
        <f>$M$1987*$W$1987</f>
        <v>502.74740000000003</v>
      </c>
      <c r="AD1987" s="6">
        <f>$O$1987*$X$1987</f>
        <v>210.73860000000002</v>
      </c>
      <c r="AE1987" s="6">
        <f>$K$1987*$Y$1987</f>
        <v>0</v>
      </c>
      <c r="AF1987" s="6">
        <f ca="1">$M$1987*$Z$1987</f>
        <v>511.40614020717004</v>
      </c>
      <c r="AG1987" s="6">
        <f>$O$1987*$AA$1987</f>
        <v>190.93795469410571</v>
      </c>
    </row>
    <row r="1988" spans="1:33" ht="11.25" customHeight="1" x14ac:dyDescent="0.25">
      <c r="A1988" s="4" t="s">
        <v>21</v>
      </c>
      <c r="B1988" s="4" t="s">
        <v>37</v>
      </c>
      <c r="C1988" s="4" t="s">
        <v>33</v>
      </c>
      <c r="D1988" s="4" t="s">
        <v>38</v>
      </c>
      <c r="E1988" s="4" t="s">
        <v>25</v>
      </c>
      <c r="F1988" s="4" t="s">
        <v>25</v>
      </c>
      <c r="G1988" s="4" t="s">
        <v>25</v>
      </c>
      <c r="H1988" s="4" t="s">
        <v>35</v>
      </c>
      <c r="I1988" s="5">
        <v>44409</v>
      </c>
      <c r="J1988" s="6">
        <v>0</v>
      </c>
      <c r="K1988" s="6">
        <v>0</v>
      </c>
      <c r="L1988" s="6">
        <v>4.7729999999999997</v>
      </c>
      <c r="M1988" s="6">
        <v>4.7729999999999997</v>
      </c>
      <c r="N1988" s="6">
        <v>4.7729999999999997</v>
      </c>
      <c r="O1988" s="6">
        <v>4.7729999999999997</v>
      </c>
      <c r="P1988" s="6">
        <v>0</v>
      </c>
      <c r="Q1988" s="4" t="s">
        <v>26</v>
      </c>
      <c r="R1988" s="4">
        <v>0</v>
      </c>
      <c r="S1988" s="6">
        <v>0</v>
      </c>
      <c r="T1988" s="6">
        <v>55</v>
      </c>
      <c r="U1988" s="6">
        <v>99</v>
      </c>
      <c r="V1988" s="6">
        <f>IF(ISERROR(VLOOKUP($S$1988,'TAR FIN'!$A$1:$O$104,15,0)),0,VLOOKUP($S$1988,'TAR FIN'!$A$1:$O$104,15,0))</f>
        <v>0</v>
      </c>
      <c r="W1988" s="6">
        <f>IF(ISERROR(VLOOKUP($T$1988,'TAR FIN'!$A$1:$O$104,15,0)),0,VLOOKUP($T$1988,'TAR FIN'!$A$1:$O$104,15,0))</f>
        <v>260.22000000000003</v>
      </c>
      <c r="X1988" s="6">
        <f>IF(ISERROR(VLOOKUP($U$1988,'TAR FIN'!$A$1:$O$104,15,0)),0,VLOOKUP($U$1988,'TAR FIN'!$A$1:$O$104,15,0))</f>
        <v>242.82</v>
      </c>
      <c r="Y1988" s="6"/>
      <c r="Z1988" s="6">
        <f ca="1">('TUSD BE'!$AM$61+'TUSD BF'!$AM$61+'TUSD CVA'!$AM$61)*1</f>
        <v>275.5022411041889</v>
      </c>
      <c r="AA1988" s="6">
        <f>('TE BE'!$AB$40+'TE BF'!$AB$40+'TE CVA'!$AB$40)*1</f>
        <v>231.76257384332172</v>
      </c>
      <c r="AB1988" s="6">
        <f>$K$1988*$V$1988</f>
        <v>0</v>
      </c>
      <c r="AC1988" s="6">
        <f>$M$1988*$W$1988</f>
        <v>1242.03006</v>
      </c>
      <c r="AD1988" s="6">
        <f>$O$1988*$X$1988</f>
        <v>1158.9798599999999</v>
      </c>
      <c r="AE1988" s="6">
        <f>$K$1988*$Y$1988</f>
        <v>0</v>
      </c>
      <c r="AF1988" s="6">
        <f ca="1">$M$1988*$Z$1988</f>
        <v>1314.9721967902935</v>
      </c>
      <c r="AG1988" s="6">
        <f>$O$1988*$AA$1988</f>
        <v>1106.2027649541744</v>
      </c>
    </row>
    <row r="1989" spans="1:33" ht="11.25" customHeight="1" x14ac:dyDescent="0.25">
      <c r="A1989" s="4" t="s">
        <v>21</v>
      </c>
      <c r="B1989" s="4" t="s">
        <v>37</v>
      </c>
      <c r="C1989" s="4" t="s">
        <v>33</v>
      </c>
      <c r="D1989" s="4" t="s">
        <v>38</v>
      </c>
      <c r="E1989" s="4" t="s">
        <v>25</v>
      </c>
      <c r="F1989" s="4" t="s">
        <v>25</v>
      </c>
      <c r="G1989" s="4" t="s">
        <v>25</v>
      </c>
      <c r="H1989" s="4" t="s">
        <v>35</v>
      </c>
      <c r="I1989" s="5">
        <v>44440</v>
      </c>
      <c r="J1989" s="6">
        <v>0</v>
      </c>
      <c r="K1989" s="6">
        <v>0</v>
      </c>
      <c r="L1989" s="6">
        <v>4.6749999999999998</v>
      </c>
      <c r="M1989" s="6">
        <v>4.6749999999999998</v>
      </c>
      <c r="N1989" s="6">
        <v>4.6749999999999998</v>
      </c>
      <c r="O1989" s="6">
        <v>4.6749999999999998</v>
      </c>
      <c r="P1989" s="6">
        <v>0</v>
      </c>
      <c r="Q1989" s="4" t="s">
        <v>26</v>
      </c>
      <c r="R1989" s="4">
        <v>0</v>
      </c>
      <c r="S1989" s="6">
        <v>0</v>
      </c>
      <c r="T1989" s="6">
        <v>55</v>
      </c>
      <c r="U1989" s="6">
        <v>99</v>
      </c>
      <c r="V1989" s="6">
        <f>IF(ISERROR(VLOOKUP($S$1989,'TAR FIN'!$A$1:$O$104,15,0)),0,VLOOKUP($S$1989,'TAR FIN'!$A$1:$O$104,15,0))</f>
        <v>0</v>
      </c>
      <c r="W1989" s="6">
        <f>IF(ISERROR(VLOOKUP($T$1989,'TAR FIN'!$A$1:$O$104,15,0)),0,VLOOKUP($T$1989,'TAR FIN'!$A$1:$O$104,15,0))</f>
        <v>260.22000000000003</v>
      </c>
      <c r="X1989" s="6">
        <f>IF(ISERROR(VLOOKUP($U$1989,'TAR FIN'!$A$1:$O$104,15,0)),0,VLOOKUP($U$1989,'TAR FIN'!$A$1:$O$104,15,0))</f>
        <v>242.82</v>
      </c>
      <c r="Y1989" s="6"/>
      <c r="Z1989" s="6">
        <f ca="1">('TUSD BE'!$AM$61+'TUSD BF'!$AM$61+'TUSD CVA'!$AM$61)*1</f>
        <v>275.5022411041889</v>
      </c>
      <c r="AA1989" s="6">
        <f>('TE BE'!$AB$40+'TE BF'!$AB$40+'TE CVA'!$AB$40)*1</f>
        <v>231.76257384332172</v>
      </c>
      <c r="AB1989" s="6">
        <f>$K$1989*$V$1989</f>
        <v>0</v>
      </c>
      <c r="AC1989" s="6">
        <f>$M$1989*$W$1989</f>
        <v>1216.5285000000001</v>
      </c>
      <c r="AD1989" s="6">
        <f>$O$1989*$X$1989</f>
        <v>1135.1834999999999</v>
      </c>
      <c r="AE1989" s="6">
        <f>$K$1989*$Y$1989</f>
        <v>0</v>
      </c>
      <c r="AF1989" s="6">
        <f ca="1">$M$1989*$Z$1989</f>
        <v>1287.972977162083</v>
      </c>
      <c r="AG1989" s="6">
        <f>$O$1989*$AA$1989</f>
        <v>1083.4900327175289</v>
      </c>
    </row>
    <row r="1990" spans="1:33" ht="11.25" customHeight="1" x14ac:dyDescent="0.25">
      <c r="A1990" s="4" t="s">
        <v>21</v>
      </c>
      <c r="B1990" s="4" t="s">
        <v>37</v>
      </c>
      <c r="C1990" s="4" t="s">
        <v>33</v>
      </c>
      <c r="D1990" s="4" t="s">
        <v>38</v>
      </c>
      <c r="E1990" s="4" t="s">
        <v>25</v>
      </c>
      <c r="F1990" s="4" t="s">
        <v>25</v>
      </c>
      <c r="G1990" s="4" t="s">
        <v>25</v>
      </c>
      <c r="H1990" s="4" t="s">
        <v>35</v>
      </c>
      <c r="I1990" s="5">
        <v>44470</v>
      </c>
      <c r="J1990" s="6">
        <v>0</v>
      </c>
      <c r="K1990" s="6">
        <v>0</v>
      </c>
      <c r="L1990" s="6">
        <v>4.8689999999999998</v>
      </c>
      <c r="M1990" s="6">
        <v>4.8689999999999998</v>
      </c>
      <c r="N1990" s="6">
        <v>4.8689999999999998</v>
      </c>
      <c r="O1990" s="6">
        <v>4.8689999999999998</v>
      </c>
      <c r="P1990" s="6">
        <v>0</v>
      </c>
      <c r="Q1990" s="4" t="s">
        <v>26</v>
      </c>
      <c r="R1990" s="4">
        <v>0</v>
      </c>
      <c r="S1990" s="6">
        <v>0</v>
      </c>
      <c r="T1990" s="6">
        <v>55</v>
      </c>
      <c r="U1990" s="6">
        <v>99</v>
      </c>
      <c r="V1990" s="6">
        <f>IF(ISERROR(VLOOKUP($S$1990,'TAR FIN'!$A$1:$O$104,15,0)),0,VLOOKUP($S$1990,'TAR FIN'!$A$1:$O$104,15,0))</f>
        <v>0</v>
      </c>
      <c r="W1990" s="6">
        <f>IF(ISERROR(VLOOKUP($T$1990,'TAR FIN'!$A$1:$O$104,15,0)),0,VLOOKUP($T$1990,'TAR FIN'!$A$1:$O$104,15,0))</f>
        <v>260.22000000000003</v>
      </c>
      <c r="X1990" s="6">
        <f>IF(ISERROR(VLOOKUP($U$1990,'TAR FIN'!$A$1:$O$104,15,0)),0,VLOOKUP($U$1990,'TAR FIN'!$A$1:$O$104,15,0))</f>
        <v>242.82</v>
      </c>
      <c r="Y1990" s="6"/>
      <c r="Z1990" s="6">
        <f ca="1">('TUSD BE'!$AM$61+'TUSD BF'!$AM$61+'TUSD CVA'!$AM$61)*1</f>
        <v>275.5022411041889</v>
      </c>
      <c r="AA1990" s="6">
        <f>('TE BE'!$AB$40+'TE BF'!$AB$40+'TE CVA'!$AB$40)*1</f>
        <v>231.76257384332172</v>
      </c>
      <c r="AB1990" s="6">
        <f>$K$1990*$V$1990</f>
        <v>0</v>
      </c>
      <c r="AC1990" s="6">
        <f>$M$1990*$W$1990</f>
        <v>1267.01118</v>
      </c>
      <c r="AD1990" s="6">
        <f>$O$1990*$X$1990</f>
        <v>1182.2905799999999</v>
      </c>
      <c r="AE1990" s="6">
        <f>$K$1990*$Y$1990</f>
        <v>0</v>
      </c>
      <c r="AF1990" s="6">
        <f ca="1">$M$1990*$Z$1990</f>
        <v>1341.4204119362957</v>
      </c>
      <c r="AG1990" s="6">
        <f>$O$1990*$AA$1990</f>
        <v>1128.4519720431333</v>
      </c>
    </row>
    <row r="1991" spans="1:33" ht="11.25" customHeight="1" x14ac:dyDescent="0.25">
      <c r="A1991" s="4" t="s">
        <v>21</v>
      </c>
      <c r="B1991" s="4" t="s">
        <v>37</v>
      </c>
      <c r="C1991" s="4" t="s">
        <v>33</v>
      </c>
      <c r="D1991" s="4" t="s">
        <v>38</v>
      </c>
      <c r="E1991" s="4" t="s">
        <v>25</v>
      </c>
      <c r="F1991" s="4" t="s">
        <v>25</v>
      </c>
      <c r="G1991" s="4" t="s">
        <v>25</v>
      </c>
      <c r="H1991" s="4" t="s">
        <v>35</v>
      </c>
      <c r="I1991" s="5">
        <v>44501</v>
      </c>
      <c r="J1991" s="6">
        <v>0</v>
      </c>
      <c r="K1991" s="6">
        <v>0</v>
      </c>
      <c r="L1991" s="6">
        <v>4.1900000000000004</v>
      </c>
      <c r="M1991" s="6">
        <v>4.1900000000000004</v>
      </c>
      <c r="N1991" s="6">
        <v>4.1900000000000004</v>
      </c>
      <c r="O1991" s="6">
        <v>4.1900000000000004</v>
      </c>
      <c r="P1991" s="6">
        <v>0</v>
      </c>
      <c r="Q1991" s="4" t="s">
        <v>26</v>
      </c>
      <c r="R1991" s="4">
        <v>0</v>
      </c>
      <c r="S1991" s="6">
        <v>0</v>
      </c>
      <c r="T1991" s="6">
        <v>55</v>
      </c>
      <c r="U1991" s="6">
        <v>99</v>
      </c>
      <c r="V1991" s="6">
        <f>IF(ISERROR(VLOOKUP($S$1991,'TAR FIN'!$A$1:$O$104,15,0)),0,VLOOKUP($S$1991,'TAR FIN'!$A$1:$O$104,15,0))</f>
        <v>0</v>
      </c>
      <c r="W1991" s="6">
        <f>IF(ISERROR(VLOOKUP($T$1991,'TAR FIN'!$A$1:$O$104,15,0)),0,VLOOKUP($T$1991,'TAR FIN'!$A$1:$O$104,15,0))</f>
        <v>260.22000000000003</v>
      </c>
      <c r="X1991" s="6">
        <f>IF(ISERROR(VLOOKUP($U$1991,'TAR FIN'!$A$1:$O$104,15,0)),0,VLOOKUP($U$1991,'TAR FIN'!$A$1:$O$104,15,0))</f>
        <v>242.82</v>
      </c>
      <c r="Y1991" s="6"/>
      <c r="Z1991" s="6">
        <f ca="1">('TUSD BE'!$AM$61+'TUSD BF'!$AM$61+'TUSD CVA'!$AM$61)*1</f>
        <v>275.5022411041889</v>
      </c>
      <c r="AA1991" s="6">
        <f>('TE BE'!$AB$40+'TE BF'!$AB$40+'TE CVA'!$AB$40)*1</f>
        <v>231.76257384332172</v>
      </c>
      <c r="AB1991" s="6">
        <f>$K$1991*$V$1991</f>
        <v>0</v>
      </c>
      <c r="AC1991" s="6">
        <f>$M$1991*$W$1991</f>
        <v>1090.3218000000002</v>
      </c>
      <c r="AD1991" s="6">
        <f>$O$1991*$X$1991</f>
        <v>1017.4158000000001</v>
      </c>
      <c r="AE1991" s="6">
        <f>$K$1991*$Y$1991</f>
        <v>0</v>
      </c>
      <c r="AF1991" s="6">
        <f ca="1">$M$1991*$Z$1991</f>
        <v>1154.3543902265517</v>
      </c>
      <c r="AG1991" s="6">
        <f>$O$1991*$AA$1991</f>
        <v>971.08518440351804</v>
      </c>
    </row>
    <row r="1992" spans="1:33" ht="11.25" customHeight="1" x14ac:dyDescent="0.25">
      <c r="A1992" s="4" t="s">
        <v>21</v>
      </c>
      <c r="B1992" s="4" t="s">
        <v>37</v>
      </c>
      <c r="C1992" s="4" t="s">
        <v>33</v>
      </c>
      <c r="D1992" s="4" t="s">
        <v>38</v>
      </c>
      <c r="E1992" s="4" t="s">
        <v>25</v>
      </c>
      <c r="F1992" s="4" t="s">
        <v>25</v>
      </c>
      <c r="G1992" s="4" t="s">
        <v>25</v>
      </c>
      <c r="H1992" s="4" t="s">
        <v>35</v>
      </c>
      <c r="I1992" s="5">
        <v>44531</v>
      </c>
      <c r="J1992" s="6">
        <v>0</v>
      </c>
      <c r="K1992" s="6">
        <v>0</v>
      </c>
      <c r="L1992" s="6">
        <v>4.7430000000000003</v>
      </c>
      <c r="M1992" s="6">
        <v>4.7430000000000003</v>
      </c>
      <c r="N1992" s="6">
        <v>4.7430000000000003</v>
      </c>
      <c r="O1992" s="6">
        <v>4.7430000000000003</v>
      </c>
      <c r="P1992" s="6">
        <v>0</v>
      </c>
      <c r="Q1992" s="4" t="s">
        <v>26</v>
      </c>
      <c r="R1992" s="4">
        <v>0</v>
      </c>
      <c r="S1992" s="6">
        <v>0</v>
      </c>
      <c r="T1992" s="6">
        <v>55</v>
      </c>
      <c r="U1992" s="6">
        <v>99</v>
      </c>
      <c r="V1992" s="6">
        <f>IF(ISERROR(VLOOKUP($S$1992,'TAR FIN'!$A$1:$O$104,15,0)),0,VLOOKUP($S$1992,'TAR FIN'!$A$1:$O$104,15,0))</f>
        <v>0</v>
      </c>
      <c r="W1992" s="6">
        <f>IF(ISERROR(VLOOKUP($T$1992,'TAR FIN'!$A$1:$O$104,15,0)),0,VLOOKUP($T$1992,'TAR FIN'!$A$1:$O$104,15,0))</f>
        <v>260.22000000000003</v>
      </c>
      <c r="X1992" s="6">
        <f>IF(ISERROR(VLOOKUP($U$1992,'TAR FIN'!$A$1:$O$104,15,0)),0,VLOOKUP($U$1992,'TAR FIN'!$A$1:$O$104,15,0))</f>
        <v>242.82</v>
      </c>
      <c r="Y1992" s="6"/>
      <c r="Z1992" s="6">
        <f ca="1">('TUSD BE'!$AM$61+'TUSD BF'!$AM$61+'TUSD CVA'!$AM$61)*1</f>
        <v>275.5022411041889</v>
      </c>
      <c r="AA1992" s="6">
        <f>('TE BE'!$AB$40+'TE BF'!$AB$40+'TE CVA'!$AB$40)*1</f>
        <v>231.76257384332172</v>
      </c>
      <c r="AB1992" s="6">
        <f>$K$1992*$V$1992</f>
        <v>0</v>
      </c>
      <c r="AC1992" s="6">
        <f>$M$1992*$W$1992</f>
        <v>1234.2234600000002</v>
      </c>
      <c r="AD1992" s="6">
        <f>$O$1992*$X$1992</f>
        <v>1151.69526</v>
      </c>
      <c r="AE1992" s="6">
        <f>$K$1992*$Y$1992</f>
        <v>0</v>
      </c>
      <c r="AF1992" s="6">
        <f ca="1">$M$1992*$Z$1992</f>
        <v>1306.7071295571679</v>
      </c>
      <c r="AG1992" s="6">
        <f>$O$1992*$AA$1992</f>
        <v>1099.249887738875</v>
      </c>
    </row>
    <row r="1993" spans="1:33" ht="11.25" customHeight="1" x14ac:dyDescent="0.25">
      <c r="A1993" s="4" t="s">
        <v>21</v>
      </c>
      <c r="B1993" s="4" t="s">
        <v>37</v>
      </c>
      <c r="C1993" s="4" t="s">
        <v>33</v>
      </c>
      <c r="D1993" s="4" t="s">
        <v>38</v>
      </c>
      <c r="E1993" s="4" t="s">
        <v>25</v>
      </c>
      <c r="F1993" s="4" t="s">
        <v>25</v>
      </c>
      <c r="G1993" s="4" t="s">
        <v>25</v>
      </c>
      <c r="H1993" s="4" t="s">
        <v>35</v>
      </c>
      <c r="I1993" s="5">
        <v>44562</v>
      </c>
      <c r="J1993" s="6">
        <v>0</v>
      </c>
      <c r="K1993" s="6">
        <v>0</v>
      </c>
      <c r="L1993" s="6">
        <v>2.1890000000000001</v>
      </c>
      <c r="M1993" s="6">
        <v>2.1890000000000001</v>
      </c>
      <c r="N1993" s="6">
        <v>2.1890000000000001</v>
      </c>
      <c r="O1993" s="6">
        <v>2.1890000000000001</v>
      </c>
      <c r="P1993" s="6">
        <v>0</v>
      </c>
      <c r="Q1993" s="4" t="s">
        <v>26</v>
      </c>
      <c r="R1993" s="4">
        <v>0</v>
      </c>
      <c r="S1993" s="6">
        <v>0</v>
      </c>
      <c r="T1993" s="6">
        <v>55</v>
      </c>
      <c r="U1993" s="6">
        <v>99</v>
      </c>
      <c r="V1993" s="6">
        <f>IF(ISERROR(VLOOKUP($S$1993,'TAR FIN'!$A$1:$O$104,15,0)),0,VLOOKUP($S$1993,'TAR FIN'!$A$1:$O$104,15,0))</f>
        <v>0</v>
      </c>
      <c r="W1993" s="6">
        <f>IF(ISERROR(VLOOKUP($T$1993,'TAR FIN'!$A$1:$O$104,15,0)),0,VLOOKUP($T$1993,'TAR FIN'!$A$1:$O$104,15,0))</f>
        <v>260.22000000000003</v>
      </c>
      <c r="X1993" s="6">
        <f>IF(ISERROR(VLOOKUP($U$1993,'TAR FIN'!$A$1:$O$104,15,0)),0,VLOOKUP($U$1993,'TAR FIN'!$A$1:$O$104,15,0))</f>
        <v>242.82</v>
      </c>
      <c r="Y1993" s="6"/>
      <c r="Z1993" s="6">
        <f ca="1">('TUSD BE'!$AM$61+'TUSD BF'!$AM$61+'TUSD CVA'!$AM$61)*1</f>
        <v>275.5022411041889</v>
      </c>
      <c r="AA1993" s="6">
        <f>('TE BE'!$AB$40+'TE BF'!$AB$40+'TE CVA'!$AB$40)*1</f>
        <v>231.76257384332172</v>
      </c>
      <c r="AB1993" s="6">
        <f>$K$1993*$V$1993</f>
        <v>0</v>
      </c>
      <c r="AC1993" s="6">
        <f>$M$1993*$W$1993</f>
        <v>569.62158000000011</v>
      </c>
      <c r="AD1993" s="6">
        <f>$O$1993*$X$1993</f>
        <v>531.53297999999995</v>
      </c>
      <c r="AE1993" s="6">
        <f>$K$1993*$Y$1993</f>
        <v>0</v>
      </c>
      <c r="AF1993" s="6">
        <f ca="1">$M$1993*$Z$1993</f>
        <v>603.0744057770695</v>
      </c>
      <c r="AG1993" s="6">
        <f>$O$1993*$AA$1993</f>
        <v>507.32827414303125</v>
      </c>
    </row>
    <row r="1994" spans="1:33" ht="11.25" customHeight="1" x14ac:dyDescent="0.25">
      <c r="A1994" s="4" t="s">
        <v>28</v>
      </c>
      <c r="B1994" s="4" t="s">
        <v>37</v>
      </c>
      <c r="C1994" s="4" t="s">
        <v>33</v>
      </c>
      <c r="D1994" s="4" t="s">
        <v>38</v>
      </c>
      <c r="E1994" s="4" t="s">
        <v>25</v>
      </c>
      <c r="F1994" s="4" t="s">
        <v>25</v>
      </c>
      <c r="G1994" s="4" t="s">
        <v>25</v>
      </c>
      <c r="H1994" s="4" t="s">
        <v>35</v>
      </c>
      <c r="I1994" s="5">
        <v>44562</v>
      </c>
      <c r="J1994" s="6">
        <v>0</v>
      </c>
      <c r="K1994" s="6">
        <v>0</v>
      </c>
      <c r="L1994" s="6">
        <v>1.7030000000000001</v>
      </c>
      <c r="M1994" s="6">
        <v>1.7030000000000001</v>
      </c>
      <c r="N1994" s="6">
        <v>1.7030000000000001</v>
      </c>
      <c r="O1994" s="6">
        <v>1.7030000000000001</v>
      </c>
      <c r="P1994" s="6">
        <v>0</v>
      </c>
      <c r="Q1994" s="4" t="s">
        <v>26</v>
      </c>
      <c r="R1994" s="4">
        <v>0</v>
      </c>
      <c r="S1994" s="6">
        <v>0</v>
      </c>
      <c r="T1994" s="6">
        <v>55</v>
      </c>
      <c r="U1994" s="6">
        <v>99</v>
      </c>
      <c r="V1994" s="6">
        <f>IF(ISERROR(VLOOKUP($S$1994,'TAR FIN'!$A$1:$O$104,15,0)),0,VLOOKUP($S$1994,'TAR FIN'!$A$1:$O$104,15,0))</f>
        <v>0</v>
      </c>
      <c r="W1994" s="6">
        <f>IF(ISERROR(VLOOKUP($T$1994,'TAR FIN'!$A$1:$O$104,15,0)),0,VLOOKUP($T$1994,'TAR FIN'!$A$1:$O$104,15,0))</f>
        <v>260.22000000000003</v>
      </c>
      <c r="X1994" s="6">
        <f>IF(ISERROR(VLOOKUP($U$1994,'TAR FIN'!$A$1:$O$104,15,0)),0,VLOOKUP($U$1994,'TAR FIN'!$A$1:$O$104,15,0))</f>
        <v>242.82</v>
      </c>
      <c r="Y1994" s="6"/>
      <c r="Z1994" s="6">
        <f ca="1">('TUSD BE'!$AM$61+'TUSD BF'!$AM$61+'TUSD CVA'!$AM$61)*1</f>
        <v>275.5022411041889</v>
      </c>
      <c r="AA1994" s="6">
        <f>('TE BE'!$AB$40+'TE BF'!$AB$40+'TE CVA'!$AB$40)*1</f>
        <v>231.76257384332172</v>
      </c>
      <c r="AB1994" s="6">
        <f>$K$1994*$V$1994</f>
        <v>0</v>
      </c>
      <c r="AC1994" s="6">
        <f>$M$1994*$W$1994</f>
        <v>443.15466000000009</v>
      </c>
      <c r="AD1994" s="6">
        <f>$O$1994*$X$1994</f>
        <v>413.52246000000002</v>
      </c>
      <c r="AE1994" s="6">
        <f>$K$1994*$Y$1994</f>
        <v>0</v>
      </c>
      <c r="AF1994" s="6">
        <f ca="1">$M$1994*$Z$1994</f>
        <v>469.18031660043368</v>
      </c>
      <c r="AG1994" s="6">
        <f>$O$1994*$AA$1994</f>
        <v>394.69166325517688</v>
      </c>
    </row>
    <row r="1995" spans="1:33" ht="11.25" customHeight="1" x14ac:dyDescent="0.25">
      <c r="A1995" s="4" t="s">
        <v>21</v>
      </c>
      <c r="B1995" s="4" t="s">
        <v>37</v>
      </c>
      <c r="C1995" s="4" t="s">
        <v>33</v>
      </c>
      <c r="D1995" s="4" t="s">
        <v>38</v>
      </c>
      <c r="E1995" s="4" t="s">
        <v>25</v>
      </c>
      <c r="F1995" s="4" t="s">
        <v>25</v>
      </c>
      <c r="G1995" s="4" t="s">
        <v>25</v>
      </c>
      <c r="H1995" s="4" t="s">
        <v>35</v>
      </c>
      <c r="I1995" s="5">
        <v>44593</v>
      </c>
      <c r="J1995" s="6">
        <v>0</v>
      </c>
      <c r="K1995" s="6">
        <v>0</v>
      </c>
      <c r="L1995" s="6">
        <v>2.3260000000000001</v>
      </c>
      <c r="M1995" s="6">
        <v>2.3260000000000001</v>
      </c>
      <c r="N1995" s="6">
        <v>2.3260000000000001</v>
      </c>
      <c r="O1995" s="6">
        <v>2.3260000000000001</v>
      </c>
      <c r="P1995" s="6">
        <v>0</v>
      </c>
      <c r="Q1995" s="4" t="s">
        <v>26</v>
      </c>
      <c r="R1995" s="4">
        <v>0</v>
      </c>
      <c r="S1995" s="6">
        <v>0</v>
      </c>
      <c r="T1995" s="6">
        <v>55</v>
      </c>
      <c r="U1995" s="6">
        <v>99</v>
      </c>
      <c r="V1995" s="6">
        <f>IF(ISERROR(VLOOKUP($S$1995,'TAR FIN'!$A$1:$O$104,15,0)),0,VLOOKUP($S$1995,'TAR FIN'!$A$1:$O$104,15,0))</f>
        <v>0</v>
      </c>
      <c r="W1995" s="6">
        <f>IF(ISERROR(VLOOKUP($T$1995,'TAR FIN'!$A$1:$O$104,15,0)),0,VLOOKUP($T$1995,'TAR FIN'!$A$1:$O$104,15,0))</f>
        <v>260.22000000000003</v>
      </c>
      <c r="X1995" s="6">
        <f>IF(ISERROR(VLOOKUP($U$1995,'TAR FIN'!$A$1:$O$104,15,0)),0,VLOOKUP($U$1995,'TAR FIN'!$A$1:$O$104,15,0))</f>
        <v>242.82</v>
      </c>
      <c r="Y1995" s="6"/>
      <c r="Z1995" s="6">
        <f ca="1">('TUSD BE'!$AM$61+'TUSD BF'!$AM$61+'TUSD CVA'!$AM$61)*1</f>
        <v>275.5022411041889</v>
      </c>
      <c r="AA1995" s="6">
        <f>('TE BE'!$AB$40+'TE BF'!$AB$40+'TE CVA'!$AB$40)*1</f>
        <v>231.76257384332172</v>
      </c>
      <c r="AB1995" s="6">
        <f>$K$1995*$V$1995</f>
        <v>0</v>
      </c>
      <c r="AC1995" s="6">
        <f>$M$1995*$W$1995</f>
        <v>605.27172000000007</v>
      </c>
      <c r="AD1995" s="6">
        <f>$O$1995*$X$1995</f>
        <v>564.79931999999997</v>
      </c>
      <c r="AE1995" s="6">
        <f>$K$1995*$Y$1995</f>
        <v>0</v>
      </c>
      <c r="AF1995" s="6">
        <f ca="1">$M$1995*$Z$1995</f>
        <v>640.81821280834345</v>
      </c>
      <c r="AG1995" s="6">
        <f>$O$1995*$AA$1995</f>
        <v>539.07974675956632</v>
      </c>
    </row>
    <row r="1996" spans="1:33" ht="11.25" customHeight="1" x14ac:dyDescent="0.25">
      <c r="A1996" s="4" t="s">
        <v>21</v>
      </c>
      <c r="B1996" s="4" t="s">
        <v>37</v>
      </c>
      <c r="C1996" s="4" t="s">
        <v>33</v>
      </c>
      <c r="D1996" s="4" t="s">
        <v>38</v>
      </c>
      <c r="E1996" s="4" t="s">
        <v>25</v>
      </c>
      <c r="F1996" s="4" t="s">
        <v>25</v>
      </c>
      <c r="G1996" s="4" t="s">
        <v>25</v>
      </c>
      <c r="H1996" s="4" t="s">
        <v>35</v>
      </c>
      <c r="I1996" s="5">
        <v>44621</v>
      </c>
      <c r="J1996" s="6">
        <v>0</v>
      </c>
      <c r="K1996" s="6">
        <v>0</v>
      </c>
      <c r="L1996" s="6">
        <v>2.2890000000000001</v>
      </c>
      <c r="M1996" s="6">
        <v>2.2890000000000001</v>
      </c>
      <c r="N1996" s="6">
        <v>2.2890000000000001</v>
      </c>
      <c r="O1996" s="6">
        <v>2.2890000000000001</v>
      </c>
      <c r="P1996" s="6">
        <v>0</v>
      </c>
      <c r="Q1996" s="4" t="s">
        <v>26</v>
      </c>
      <c r="R1996" s="4">
        <v>0</v>
      </c>
      <c r="S1996" s="6">
        <v>0</v>
      </c>
      <c r="T1996" s="6">
        <v>55</v>
      </c>
      <c r="U1996" s="6">
        <v>99</v>
      </c>
      <c r="V1996" s="6">
        <f>IF(ISERROR(VLOOKUP($S$1996,'TAR FIN'!$A$1:$O$104,15,0)),0,VLOOKUP($S$1996,'TAR FIN'!$A$1:$O$104,15,0))</f>
        <v>0</v>
      </c>
      <c r="W1996" s="6">
        <f>IF(ISERROR(VLOOKUP($T$1996,'TAR FIN'!$A$1:$O$104,15,0)),0,VLOOKUP($T$1996,'TAR FIN'!$A$1:$O$104,15,0))</f>
        <v>260.22000000000003</v>
      </c>
      <c r="X1996" s="6">
        <f>IF(ISERROR(VLOOKUP($U$1996,'TAR FIN'!$A$1:$O$104,15,0)),0,VLOOKUP($U$1996,'TAR FIN'!$A$1:$O$104,15,0))</f>
        <v>242.82</v>
      </c>
      <c r="Y1996" s="6"/>
      <c r="Z1996" s="6">
        <f ca="1">('TUSD BE'!$AM$61+'TUSD BF'!$AM$61+'TUSD CVA'!$AM$61)*1</f>
        <v>275.5022411041889</v>
      </c>
      <c r="AA1996" s="6">
        <f>('TE BE'!$AB$40+'TE BF'!$AB$40+'TE CVA'!$AB$40)*1</f>
        <v>231.76257384332172</v>
      </c>
      <c r="AB1996" s="6">
        <f>$K$1996*$V$1996</f>
        <v>0</v>
      </c>
      <c r="AC1996" s="6">
        <f>$M$1996*$W$1996</f>
        <v>595.64358000000016</v>
      </c>
      <c r="AD1996" s="6">
        <f>$O$1996*$X$1996</f>
        <v>555.81497999999999</v>
      </c>
      <c r="AE1996" s="6">
        <f>$K$1996*$Y$1996</f>
        <v>0</v>
      </c>
      <c r="AF1996" s="6">
        <f ca="1">$M$1996*$Z$1996</f>
        <v>630.62462988748848</v>
      </c>
      <c r="AG1996" s="6">
        <f>$O$1996*$AA$1996</f>
        <v>530.5045315273635</v>
      </c>
    </row>
    <row r="1997" spans="1:33" ht="11.25" customHeight="1" x14ac:dyDescent="0.25">
      <c r="A1997" s="4" t="s">
        <v>21</v>
      </c>
      <c r="B1997" s="4" t="s">
        <v>37</v>
      </c>
      <c r="C1997" s="4" t="s">
        <v>33</v>
      </c>
      <c r="D1997" s="4" t="s">
        <v>38</v>
      </c>
      <c r="E1997" s="4" t="s">
        <v>25</v>
      </c>
      <c r="F1997" s="4" t="s">
        <v>25</v>
      </c>
      <c r="G1997" s="4" t="s">
        <v>25</v>
      </c>
      <c r="H1997" s="4" t="s">
        <v>35</v>
      </c>
      <c r="I1997" s="5">
        <v>44652</v>
      </c>
      <c r="J1997" s="6">
        <v>0</v>
      </c>
      <c r="K1997" s="6">
        <v>0</v>
      </c>
      <c r="L1997" s="6">
        <v>2.2280000000000002</v>
      </c>
      <c r="M1997" s="6">
        <v>2.2280000000000002</v>
      </c>
      <c r="N1997" s="6">
        <v>2.2280000000000002</v>
      </c>
      <c r="O1997" s="6">
        <v>2.2280000000000002</v>
      </c>
      <c r="P1997" s="6">
        <v>0</v>
      </c>
      <c r="Q1997" s="4" t="s">
        <v>26</v>
      </c>
      <c r="R1997" s="4">
        <v>0</v>
      </c>
      <c r="S1997" s="6">
        <v>0</v>
      </c>
      <c r="T1997" s="6">
        <v>55</v>
      </c>
      <c r="U1997" s="6">
        <v>99</v>
      </c>
      <c r="V1997" s="6">
        <f>IF(ISERROR(VLOOKUP($S$1997,'TAR FIN'!$A$1:$O$104,15,0)),0,VLOOKUP($S$1997,'TAR FIN'!$A$1:$O$104,15,0))</f>
        <v>0</v>
      </c>
      <c r="W1997" s="6">
        <f>IF(ISERROR(VLOOKUP($T$1997,'TAR FIN'!$A$1:$O$104,15,0)),0,VLOOKUP($T$1997,'TAR FIN'!$A$1:$O$104,15,0))</f>
        <v>260.22000000000003</v>
      </c>
      <c r="X1997" s="6">
        <f>IF(ISERROR(VLOOKUP($U$1997,'TAR FIN'!$A$1:$O$104,15,0)),0,VLOOKUP($U$1997,'TAR FIN'!$A$1:$O$104,15,0))</f>
        <v>242.82</v>
      </c>
      <c r="Y1997" s="6"/>
      <c r="Z1997" s="6">
        <f ca="1">('TUSD BE'!$AM$61+'TUSD BF'!$AM$61+'TUSD CVA'!$AM$61)*1</f>
        <v>275.5022411041889</v>
      </c>
      <c r="AA1997" s="6">
        <f>('TE BE'!$AB$40+'TE BF'!$AB$40+'TE CVA'!$AB$40)*1</f>
        <v>231.76257384332172</v>
      </c>
      <c r="AB1997" s="6">
        <f>$K$1997*$V$1997</f>
        <v>0</v>
      </c>
      <c r="AC1997" s="6">
        <f>$M$1997*$W$1997</f>
        <v>579.77016000000015</v>
      </c>
      <c r="AD1997" s="6">
        <f>$O$1997*$X$1997</f>
        <v>541.00296000000003</v>
      </c>
      <c r="AE1997" s="6">
        <f>$K$1997*$Y$1997</f>
        <v>0</v>
      </c>
      <c r="AF1997" s="6">
        <f ca="1">$M$1997*$Z$1997</f>
        <v>613.81899318013291</v>
      </c>
      <c r="AG1997" s="6">
        <f>$O$1997*$AA$1997</f>
        <v>516.36701452292084</v>
      </c>
    </row>
    <row r="1998" spans="1:33" ht="11.25" customHeight="1" x14ac:dyDescent="0.25">
      <c r="A1998" s="4" t="s">
        <v>21</v>
      </c>
      <c r="B1998" s="4" t="s">
        <v>37</v>
      </c>
      <c r="C1998" s="4" t="s">
        <v>33</v>
      </c>
      <c r="D1998" s="4" t="s">
        <v>38</v>
      </c>
      <c r="E1998" s="4" t="s">
        <v>25</v>
      </c>
      <c r="F1998" s="4" t="s">
        <v>25</v>
      </c>
      <c r="G1998" s="4" t="s">
        <v>25</v>
      </c>
      <c r="H1998" s="4" t="s">
        <v>35</v>
      </c>
      <c r="I1998" s="5">
        <v>44682</v>
      </c>
      <c r="J1998" s="6">
        <v>0</v>
      </c>
      <c r="K1998" s="6">
        <v>0</v>
      </c>
      <c r="L1998" s="6">
        <v>2.3620000000000001</v>
      </c>
      <c r="M1998" s="6">
        <v>2.3620000000000001</v>
      </c>
      <c r="N1998" s="6">
        <v>2.3620000000000001</v>
      </c>
      <c r="O1998" s="6">
        <v>2.3620000000000001</v>
      </c>
      <c r="P1998" s="6">
        <v>0</v>
      </c>
      <c r="Q1998" s="4" t="s">
        <v>26</v>
      </c>
      <c r="R1998" s="4">
        <v>0</v>
      </c>
      <c r="S1998" s="6">
        <v>0</v>
      </c>
      <c r="T1998" s="6">
        <v>55</v>
      </c>
      <c r="U1998" s="6">
        <v>99</v>
      </c>
      <c r="V1998" s="6">
        <f>IF(ISERROR(VLOOKUP($S$1998,'TAR FIN'!$A$1:$O$104,15,0)),0,VLOOKUP($S$1998,'TAR FIN'!$A$1:$O$104,15,0))</f>
        <v>0</v>
      </c>
      <c r="W1998" s="6">
        <f>IF(ISERROR(VLOOKUP($T$1998,'TAR FIN'!$A$1:$O$104,15,0)),0,VLOOKUP($T$1998,'TAR FIN'!$A$1:$O$104,15,0))</f>
        <v>260.22000000000003</v>
      </c>
      <c r="X1998" s="6">
        <f>IF(ISERROR(VLOOKUP($U$1998,'TAR FIN'!$A$1:$O$104,15,0)),0,VLOOKUP($U$1998,'TAR FIN'!$A$1:$O$104,15,0))</f>
        <v>242.82</v>
      </c>
      <c r="Y1998" s="6"/>
      <c r="Z1998" s="6">
        <f ca="1">('TUSD BE'!$AM$61+'TUSD BF'!$AM$61+'TUSD CVA'!$AM$61)*1</f>
        <v>275.5022411041889</v>
      </c>
      <c r="AA1998" s="6">
        <f>('TE BE'!$AB$40+'TE BF'!$AB$40+'TE CVA'!$AB$40)*1</f>
        <v>231.76257384332172</v>
      </c>
      <c r="AB1998" s="6">
        <f>$K$1998*$V$1998</f>
        <v>0</v>
      </c>
      <c r="AC1998" s="6">
        <f>$M$1998*$W$1998</f>
        <v>614.6396400000001</v>
      </c>
      <c r="AD1998" s="6">
        <f>$O$1998*$X$1998</f>
        <v>573.54084</v>
      </c>
      <c r="AE1998" s="6">
        <f>$K$1998*$Y$1998</f>
        <v>0</v>
      </c>
      <c r="AF1998" s="6">
        <f ca="1">$M$1998*$Z$1998</f>
        <v>650.73629348809425</v>
      </c>
      <c r="AG1998" s="6">
        <f>$O$1998*$AA$1998</f>
        <v>547.42319941792596</v>
      </c>
    </row>
    <row r="1999" spans="1:33" ht="11.25" customHeight="1" x14ac:dyDescent="0.25">
      <c r="A1999" s="4" t="s">
        <v>21</v>
      </c>
      <c r="B1999" s="4" t="s">
        <v>37</v>
      </c>
      <c r="C1999" s="4" t="s">
        <v>33</v>
      </c>
      <c r="D1999" s="4" t="s">
        <v>38</v>
      </c>
      <c r="E1999" s="4" t="s">
        <v>25</v>
      </c>
      <c r="F1999" s="4" t="s">
        <v>25</v>
      </c>
      <c r="G1999" s="4" t="s">
        <v>25</v>
      </c>
      <c r="H1999" s="4" t="s">
        <v>35</v>
      </c>
      <c r="I1999" s="5">
        <v>44713</v>
      </c>
      <c r="J1999" s="6">
        <v>0</v>
      </c>
      <c r="K1999" s="6">
        <v>0</v>
      </c>
      <c r="L1999" s="6">
        <v>2.0369999999999999</v>
      </c>
      <c r="M1999" s="6">
        <v>2.0369999999999999</v>
      </c>
      <c r="N1999" s="6">
        <v>2.0369999999999999</v>
      </c>
      <c r="O1999" s="6">
        <v>2.0369999999999999</v>
      </c>
      <c r="P1999" s="6">
        <v>0</v>
      </c>
      <c r="Q1999" s="4" t="s">
        <v>26</v>
      </c>
      <c r="R1999" s="4">
        <v>0</v>
      </c>
      <c r="S1999" s="6">
        <v>0</v>
      </c>
      <c r="T1999" s="6">
        <v>55</v>
      </c>
      <c r="U1999" s="6">
        <v>99</v>
      </c>
      <c r="V1999" s="6">
        <f>IF(ISERROR(VLOOKUP($S$1999,'TAR FIN'!$A$1:$O$104,15,0)),0,VLOOKUP($S$1999,'TAR FIN'!$A$1:$O$104,15,0))</f>
        <v>0</v>
      </c>
      <c r="W1999" s="6">
        <f>IF(ISERROR(VLOOKUP($T$1999,'TAR FIN'!$A$1:$O$104,15,0)),0,VLOOKUP($T$1999,'TAR FIN'!$A$1:$O$104,15,0))</f>
        <v>260.22000000000003</v>
      </c>
      <c r="X1999" s="6">
        <f>IF(ISERROR(VLOOKUP($U$1999,'TAR FIN'!$A$1:$O$104,15,0)),0,VLOOKUP($U$1999,'TAR FIN'!$A$1:$O$104,15,0))</f>
        <v>242.82</v>
      </c>
      <c r="Y1999" s="6"/>
      <c r="Z1999" s="6">
        <f ca="1">('TUSD BE'!$AM$61+'TUSD BF'!$AM$61+'TUSD CVA'!$AM$61)*1</f>
        <v>275.5022411041889</v>
      </c>
      <c r="AA1999" s="6">
        <f>('TE BE'!$AB$40+'TE BF'!$AB$40+'TE CVA'!$AB$40)*1</f>
        <v>231.76257384332172</v>
      </c>
      <c r="AB1999" s="6">
        <f>$K$1999*$V$1999</f>
        <v>0</v>
      </c>
      <c r="AC1999" s="6">
        <f>$M$1999*$W$1999</f>
        <v>530.06814000000008</v>
      </c>
      <c r="AD1999" s="6">
        <f>$O$1999*$X$1999</f>
        <v>494.62433999999996</v>
      </c>
      <c r="AE1999" s="6">
        <f>$K$1999*$Y$1999</f>
        <v>0</v>
      </c>
      <c r="AF1999" s="6">
        <f ca="1">$M$1999*$Z$1999</f>
        <v>561.19806512923276</v>
      </c>
      <c r="AG1999" s="6">
        <f>$O$1999*$AA$1999</f>
        <v>472.10036291884632</v>
      </c>
    </row>
    <row r="2000" spans="1:33" ht="11.25" customHeight="1" x14ac:dyDescent="0.25">
      <c r="A2000" s="4" t="s">
        <v>57</v>
      </c>
      <c r="B2000" s="4" t="s">
        <v>37</v>
      </c>
      <c r="C2000" s="4" t="s">
        <v>33</v>
      </c>
      <c r="D2000" s="4" t="s">
        <v>38</v>
      </c>
      <c r="E2000" s="4" t="s">
        <v>25</v>
      </c>
      <c r="F2000" s="4" t="s">
        <v>25</v>
      </c>
      <c r="G2000" s="4" t="s">
        <v>25</v>
      </c>
      <c r="H2000" s="4" t="s">
        <v>35</v>
      </c>
      <c r="I2000" s="5">
        <v>44743</v>
      </c>
      <c r="J2000" s="6">
        <v>0</v>
      </c>
      <c r="K2000" s="6">
        <v>0</v>
      </c>
      <c r="L2000" s="6">
        <v>2.0369999999999999</v>
      </c>
      <c r="M2000" s="6">
        <v>2.0369999999999999</v>
      </c>
      <c r="N2000" s="6">
        <v>2.0369999999999999</v>
      </c>
      <c r="O2000" s="6">
        <v>2.0369999999999999</v>
      </c>
      <c r="P2000" s="6">
        <v>0</v>
      </c>
      <c r="Q2000" s="4" t="s">
        <v>26</v>
      </c>
      <c r="R2000" s="4">
        <v>0</v>
      </c>
      <c r="S2000" s="6">
        <v>0</v>
      </c>
      <c r="T2000" s="6">
        <v>55</v>
      </c>
      <c r="U2000" s="6">
        <v>99</v>
      </c>
      <c r="V2000" s="6">
        <f>IF(ISERROR(VLOOKUP($S$2000,'TAR FIN'!$A$1:$O$104,15,0)),0,VLOOKUP($S$2000,'TAR FIN'!$A$1:$O$104,15,0))</f>
        <v>0</v>
      </c>
      <c r="W2000" s="6">
        <f>IF(ISERROR(VLOOKUP($T$2000,'TAR FIN'!$A$1:$O$104,15,0)),0,VLOOKUP($T$2000,'TAR FIN'!$A$1:$O$104,15,0))</f>
        <v>260.22000000000003</v>
      </c>
      <c r="X2000" s="6">
        <f>IF(ISERROR(VLOOKUP($U$2000,'TAR FIN'!$A$1:$O$104,15,0)),0,VLOOKUP($U$2000,'TAR FIN'!$A$1:$O$104,15,0))</f>
        <v>242.82</v>
      </c>
      <c r="Y2000" s="6"/>
      <c r="Z2000" s="6">
        <f ca="1">('TUSD BE'!$AM$61+'TUSD BF'!$AM$61+'TUSD CVA'!$AM$61)*1</f>
        <v>275.5022411041889</v>
      </c>
      <c r="AA2000" s="6">
        <f>('TE BE'!$AB$40+'TE BF'!$AB$40+'TE CVA'!$AB$40)*1</f>
        <v>231.76257384332172</v>
      </c>
      <c r="AB2000" s="6">
        <f>$K$2000*$V$2000</f>
        <v>0</v>
      </c>
      <c r="AC2000" s="6">
        <f>$M$2000*$W$2000</f>
        <v>530.06814000000008</v>
      </c>
      <c r="AD2000" s="6">
        <f>$O$2000*$X$2000</f>
        <v>494.62433999999996</v>
      </c>
      <c r="AE2000" s="6">
        <f>$K$2000*$Y$2000</f>
        <v>0</v>
      </c>
      <c r="AF2000" s="6">
        <f ca="1">$M$2000*$Z$2000</f>
        <v>561.19806512923276</v>
      </c>
      <c r="AG2000" s="6">
        <f>$O$2000*$AA$2000</f>
        <v>472.10036291884632</v>
      </c>
    </row>
    <row r="2001" spans="1:33" ht="11.25" customHeight="1" x14ac:dyDescent="0.25">
      <c r="A2001" s="4" t="s">
        <v>21</v>
      </c>
      <c r="B2001" s="4" t="s">
        <v>37</v>
      </c>
      <c r="C2001" s="4" t="s">
        <v>33</v>
      </c>
      <c r="D2001" s="4" t="s">
        <v>38</v>
      </c>
      <c r="E2001" s="4" t="s">
        <v>25</v>
      </c>
      <c r="F2001" s="4" t="s">
        <v>25</v>
      </c>
      <c r="G2001" s="4" t="s">
        <v>25</v>
      </c>
      <c r="H2001" s="4" t="s">
        <v>36</v>
      </c>
      <c r="I2001" s="5">
        <v>44409</v>
      </c>
      <c r="J2001" s="6">
        <v>0</v>
      </c>
      <c r="K2001" s="6">
        <v>0</v>
      </c>
      <c r="L2001" s="6">
        <v>0.18099999999999999</v>
      </c>
      <c r="M2001" s="6">
        <v>0.18099999999999999</v>
      </c>
      <c r="N2001" s="6">
        <v>0.18099999999999999</v>
      </c>
      <c r="O2001" s="6">
        <v>0.18099999999999999</v>
      </c>
      <c r="P2001" s="6">
        <v>0</v>
      </c>
      <c r="Q2001" s="4" t="s">
        <v>26</v>
      </c>
      <c r="R2001" s="4">
        <v>0</v>
      </c>
      <c r="S2001" s="6">
        <v>0</v>
      </c>
      <c r="T2001" s="6">
        <v>53</v>
      </c>
      <c r="U2001" s="6">
        <v>98</v>
      </c>
      <c r="V2001" s="6">
        <f>IF(ISERROR(VLOOKUP($S$2001,'TAR FIN'!$A$1:$O$104,15,0)),0,VLOOKUP($S$2001,'TAR FIN'!$A$1:$O$104,15,0))</f>
        <v>0</v>
      </c>
      <c r="W2001" s="6">
        <f>IF(ISERROR(VLOOKUP($T$2001,'TAR FIN'!$A$1:$O$104,15,0)),0,VLOOKUP($T$2001,'TAR FIN'!$A$1:$O$104,15,0))</f>
        <v>604.4</v>
      </c>
      <c r="X2001" s="6">
        <f>IF(ISERROR(VLOOKUP($U$2001,'TAR FIN'!$A$1:$O$104,15,0)),0,VLOOKUP($U$2001,'TAR FIN'!$A$1:$O$104,15,0))</f>
        <v>242.82</v>
      </c>
      <c r="Y2001" s="6"/>
      <c r="Z2001" s="6">
        <f ca="1">('TUSD BE'!$AM$60+'TUSD BF'!$AM$60+'TUSD CVA'!$AM$60)*1</f>
        <v>620.20988729592284</v>
      </c>
      <c r="AA2001" s="6">
        <f>('TE BE'!$AB$39+'TE BF'!$AB$39+'TE CVA'!$AB$39)*1</f>
        <v>231.76257384332172</v>
      </c>
      <c r="AB2001" s="6">
        <f>$K$2001*$V$2001</f>
        <v>0</v>
      </c>
      <c r="AC2001" s="6">
        <f>$M$2001*$W$2001</f>
        <v>109.39639999999999</v>
      </c>
      <c r="AD2001" s="6">
        <f>$O$2001*$X$2001</f>
        <v>43.950419999999994</v>
      </c>
      <c r="AE2001" s="6">
        <f>$K$2001*$Y$2001</f>
        <v>0</v>
      </c>
      <c r="AF2001" s="6">
        <f ca="1">$M$2001*$Z$2001</f>
        <v>112.25798960056203</v>
      </c>
      <c r="AG2001" s="6">
        <f>$O$2001*$AA$2001</f>
        <v>41.949025865641232</v>
      </c>
    </row>
    <row r="2002" spans="1:33" ht="11.25" customHeight="1" x14ac:dyDescent="0.25">
      <c r="A2002" s="4" t="s">
        <v>21</v>
      </c>
      <c r="B2002" s="4" t="s">
        <v>37</v>
      </c>
      <c r="C2002" s="4" t="s">
        <v>33</v>
      </c>
      <c r="D2002" s="4" t="s">
        <v>38</v>
      </c>
      <c r="E2002" s="4" t="s">
        <v>25</v>
      </c>
      <c r="F2002" s="4" t="s">
        <v>25</v>
      </c>
      <c r="G2002" s="4" t="s">
        <v>25</v>
      </c>
      <c r="H2002" s="4" t="s">
        <v>36</v>
      </c>
      <c r="I2002" s="5">
        <v>44440</v>
      </c>
      <c r="J2002" s="6">
        <v>0</v>
      </c>
      <c r="K2002" s="6">
        <v>0</v>
      </c>
      <c r="L2002" s="6">
        <v>0.17499999999999999</v>
      </c>
      <c r="M2002" s="6">
        <v>0.17499999999999999</v>
      </c>
      <c r="N2002" s="6">
        <v>0.17499999999999999</v>
      </c>
      <c r="O2002" s="6">
        <v>0.17499999999999999</v>
      </c>
      <c r="P2002" s="6">
        <v>0</v>
      </c>
      <c r="Q2002" s="4" t="s">
        <v>26</v>
      </c>
      <c r="R2002" s="4">
        <v>0</v>
      </c>
      <c r="S2002" s="6">
        <v>0</v>
      </c>
      <c r="T2002" s="6">
        <v>53</v>
      </c>
      <c r="U2002" s="6">
        <v>98</v>
      </c>
      <c r="V2002" s="6">
        <f>IF(ISERROR(VLOOKUP($S$2002,'TAR FIN'!$A$1:$O$104,15,0)),0,VLOOKUP($S$2002,'TAR FIN'!$A$1:$O$104,15,0))</f>
        <v>0</v>
      </c>
      <c r="W2002" s="6">
        <f>IF(ISERROR(VLOOKUP($T$2002,'TAR FIN'!$A$1:$O$104,15,0)),0,VLOOKUP($T$2002,'TAR FIN'!$A$1:$O$104,15,0))</f>
        <v>604.4</v>
      </c>
      <c r="X2002" s="6">
        <f>IF(ISERROR(VLOOKUP($U$2002,'TAR FIN'!$A$1:$O$104,15,0)),0,VLOOKUP($U$2002,'TAR FIN'!$A$1:$O$104,15,0))</f>
        <v>242.82</v>
      </c>
      <c r="Y2002" s="6"/>
      <c r="Z2002" s="6">
        <f ca="1">('TUSD BE'!$AM$60+'TUSD BF'!$AM$60+'TUSD CVA'!$AM$60)*1</f>
        <v>620.20988729592284</v>
      </c>
      <c r="AA2002" s="6">
        <f>('TE BE'!$AB$39+'TE BF'!$AB$39+'TE CVA'!$AB$39)*1</f>
        <v>231.76257384332172</v>
      </c>
      <c r="AB2002" s="6">
        <f>$K$2002*$V$2002</f>
        <v>0</v>
      </c>
      <c r="AC2002" s="6">
        <f>$M$2002*$W$2002</f>
        <v>105.77</v>
      </c>
      <c r="AD2002" s="6">
        <f>$O$2002*$X$2002</f>
        <v>42.493499999999997</v>
      </c>
      <c r="AE2002" s="6">
        <f>$K$2002*$Y$2002</f>
        <v>0</v>
      </c>
      <c r="AF2002" s="6">
        <f ca="1">$M$2002*$Z$2002</f>
        <v>108.53673027678649</v>
      </c>
      <c r="AG2002" s="6">
        <f>$O$2002*$AA$2002</f>
        <v>40.558450422581295</v>
      </c>
    </row>
    <row r="2003" spans="1:33" ht="11.25" customHeight="1" x14ac:dyDescent="0.25">
      <c r="A2003" s="4" t="s">
        <v>21</v>
      </c>
      <c r="B2003" s="4" t="s">
        <v>37</v>
      </c>
      <c r="C2003" s="4" t="s">
        <v>33</v>
      </c>
      <c r="D2003" s="4" t="s">
        <v>38</v>
      </c>
      <c r="E2003" s="4" t="s">
        <v>25</v>
      </c>
      <c r="F2003" s="4" t="s">
        <v>25</v>
      </c>
      <c r="G2003" s="4" t="s">
        <v>25</v>
      </c>
      <c r="H2003" s="4" t="s">
        <v>36</v>
      </c>
      <c r="I2003" s="5">
        <v>44470</v>
      </c>
      <c r="J2003" s="6">
        <v>0</v>
      </c>
      <c r="K2003" s="6">
        <v>0</v>
      </c>
      <c r="L2003" s="6">
        <v>0.249</v>
      </c>
      <c r="M2003" s="6">
        <v>0.249</v>
      </c>
      <c r="N2003" s="6">
        <v>0.249</v>
      </c>
      <c r="O2003" s="6">
        <v>0.249</v>
      </c>
      <c r="P2003" s="6">
        <v>0</v>
      </c>
      <c r="Q2003" s="4" t="s">
        <v>26</v>
      </c>
      <c r="R2003" s="4">
        <v>0</v>
      </c>
      <c r="S2003" s="6">
        <v>0</v>
      </c>
      <c r="T2003" s="6">
        <v>53</v>
      </c>
      <c r="U2003" s="6">
        <v>98</v>
      </c>
      <c r="V2003" s="6">
        <f>IF(ISERROR(VLOOKUP($S$2003,'TAR FIN'!$A$1:$O$104,15,0)),0,VLOOKUP($S$2003,'TAR FIN'!$A$1:$O$104,15,0))</f>
        <v>0</v>
      </c>
      <c r="W2003" s="6">
        <f>IF(ISERROR(VLOOKUP($T$2003,'TAR FIN'!$A$1:$O$104,15,0)),0,VLOOKUP($T$2003,'TAR FIN'!$A$1:$O$104,15,0))</f>
        <v>604.4</v>
      </c>
      <c r="X2003" s="6">
        <f>IF(ISERROR(VLOOKUP($U$2003,'TAR FIN'!$A$1:$O$104,15,0)),0,VLOOKUP($U$2003,'TAR FIN'!$A$1:$O$104,15,0))</f>
        <v>242.82</v>
      </c>
      <c r="Y2003" s="6"/>
      <c r="Z2003" s="6">
        <f ca="1">('TUSD BE'!$AM$60+'TUSD BF'!$AM$60+'TUSD CVA'!$AM$60)*1</f>
        <v>620.20988729592284</v>
      </c>
      <c r="AA2003" s="6">
        <f>('TE BE'!$AB$39+'TE BF'!$AB$39+'TE CVA'!$AB$39)*1</f>
        <v>231.76257384332172</v>
      </c>
      <c r="AB2003" s="6">
        <f>$K$2003*$V$2003</f>
        <v>0</v>
      </c>
      <c r="AC2003" s="6">
        <f>$M$2003*$W$2003</f>
        <v>150.4956</v>
      </c>
      <c r="AD2003" s="6">
        <f>$O$2003*$X$2003</f>
        <v>60.462179999999996</v>
      </c>
      <c r="AE2003" s="6">
        <f>$K$2003*$Y$2003</f>
        <v>0</v>
      </c>
      <c r="AF2003" s="6">
        <f ca="1">$M$2003*$Z$2003</f>
        <v>154.4322619366848</v>
      </c>
      <c r="AG2003" s="6">
        <f>$O$2003*$AA$2003</f>
        <v>57.70888088698711</v>
      </c>
    </row>
    <row r="2004" spans="1:33" ht="11.25" customHeight="1" x14ac:dyDescent="0.25">
      <c r="A2004" s="4" t="s">
        <v>21</v>
      </c>
      <c r="B2004" s="4" t="s">
        <v>37</v>
      </c>
      <c r="C2004" s="4" t="s">
        <v>33</v>
      </c>
      <c r="D2004" s="4" t="s">
        <v>38</v>
      </c>
      <c r="E2004" s="4" t="s">
        <v>25</v>
      </c>
      <c r="F2004" s="4" t="s">
        <v>25</v>
      </c>
      <c r="G2004" s="4" t="s">
        <v>25</v>
      </c>
      <c r="H2004" s="4" t="s">
        <v>36</v>
      </c>
      <c r="I2004" s="5">
        <v>44501</v>
      </c>
      <c r="J2004" s="6">
        <v>0</v>
      </c>
      <c r="K2004" s="6">
        <v>0</v>
      </c>
      <c r="L2004" s="6">
        <v>0.18099999999999999</v>
      </c>
      <c r="M2004" s="6">
        <v>0.18099999999999999</v>
      </c>
      <c r="N2004" s="6">
        <v>0.18099999999999999</v>
      </c>
      <c r="O2004" s="6">
        <v>0.18099999999999999</v>
      </c>
      <c r="P2004" s="6">
        <v>0</v>
      </c>
      <c r="Q2004" s="4" t="s">
        <v>26</v>
      </c>
      <c r="R2004" s="4">
        <v>0</v>
      </c>
      <c r="S2004" s="6">
        <v>0</v>
      </c>
      <c r="T2004" s="6">
        <v>53</v>
      </c>
      <c r="U2004" s="6">
        <v>98</v>
      </c>
      <c r="V2004" s="6">
        <f>IF(ISERROR(VLOOKUP($S$2004,'TAR FIN'!$A$1:$O$104,15,0)),0,VLOOKUP($S$2004,'TAR FIN'!$A$1:$O$104,15,0))</f>
        <v>0</v>
      </c>
      <c r="W2004" s="6">
        <f>IF(ISERROR(VLOOKUP($T$2004,'TAR FIN'!$A$1:$O$104,15,0)),0,VLOOKUP($T$2004,'TAR FIN'!$A$1:$O$104,15,0))</f>
        <v>604.4</v>
      </c>
      <c r="X2004" s="6">
        <f>IF(ISERROR(VLOOKUP($U$2004,'TAR FIN'!$A$1:$O$104,15,0)),0,VLOOKUP($U$2004,'TAR FIN'!$A$1:$O$104,15,0))</f>
        <v>242.82</v>
      </c>
      <c r="Y2004" s="6"/>
      <c r="Z2004" s="6">
        <f ca="1">('TUSD BE'!$AM$60+'TUSD BF'!$AM$60+'TUSD CVA'!$AM$60)*1</f>
        <v>620.20988729592284</v>
      </c>
      <c r="AA2004" s="6">
        <f>('TE BE'!$AB$39+'TE BF'!$AB$39+'TE CVA'!$AB$39)*1</f>
        <v>231.76257384332172</v>
      </c>
      <c r="AB2004" s="6">
        <f>$K$2004*$V$2004</f>
        <v>0</v>
      </c>
      <c r="AC2004" s="6">
        <f>$M$2004*$W$2004</f>
        <v>109.39639999999999</v>
      </c>
      <c r="AD2004" s="6">
        <f>$O$2004*$X$2004</f>
        <v>43.950419999999994</v>
      </c>
      <c r="AE2004" s="6">
        <f>$K$2004*$Y$2004</f>
        <v>0</v>
      </c>
      <c r="AF2004" s="6">
        <f ca="1">$M$2004*$Z$2004</f>
        <v>112.25798960056203</v>
      </c>
      <c r="AG2004" s="6">
        <f>$O$2004*$AA$2004</f>
        <v>41.949025865641232</v>
      </c>
    </row>
    <row r="2005" spans="1:33" ht="11.25" customHeight="1" x14ac:dyDescent="0.25">
      <c r="A2005" s="4" t="s">
        <v>21</v>
      </c>
      <c r="B2005" s="4" t="s">
        <v>37</v>
      </c>
      <c r="C2005" s="4" t="s">
        <v>33</v>
      </c>
      <c r="D2005" s="4" t="s">
        <v>38</v>
      </c>
      <c r="E2005" s="4" t="s">
        <v>25</v>
      </c>
      <c r="F2005" s="4" t="s">
        <v>25</v>
      </c>
      <c r="G2005" s="4" t="s">
        <v>25</v>
      </c>
      <c r="H2005" s="4" t="s">
        <v>36</v>
      </c>
      <c r="I2005" s="5">
        <v>44531</v>
      </c>
      <c r="J2005" s="6">
        <v>0</v>
      </c>
      <c r="K2005" s="6">
        <v>0</v>
      </c>
      <c r="L2005" s="6">
        <v>0.26200000000000001</v>
      </c>
      <c r="M2005" s="6">
        <v>0.26200000000000001</v>
      </c>
      <c r="N2005" s="6">
        <v>0.26200000000000001</v>
      </c>
      <c r="O2005" s="6">
        <v>0.26200000000000001</v>
      </c>
      <c r="P2005" s="6">
        <v>0</v>
      </c>
      <c r="Q2005" s="4" t="s">
        <v>26</v>
      </c>
      <c r="R2005" s="4">
        <v>0</v>
      </c>
      <c r="S2005" s="6">
        <v>0</v>
      </c>
      <c r="T2005" s="6">
        <v>53</v>
      </c>
      <c r="U2005" s="6">
        <v>98</v>
      </c>
      <c r="V2005" s="6">
        <f>IF(ISERROR(VLOOKUP($S$2005,'TAR FIN'!$A$1:$O$104,15,0)),0,VLOOKUP($S$2005,'TAR FIN'!$A$1:$O$104,15,0))</f>
        <v>0</v>
      </c>
      <c r="W2005" s="6">
        <f>IF(ISERROR(VLOOKUP($T$2005,'TAR FIN'!$A$1:$O$104,15,0)),0,VLOOKUP($T$2005,'TAR FIN'!$A$1:$O$104,15,0))</f>
        <v>604.4</v>
      </c>
      <c r="X2005" s="6">
        <f>IF(ISERROR(VLOOKUP($U$2005,'TAR FIN'!$A$1:$O$104,15,0)),0,VLOOKUP($U$2005,'TAR FIN'!$A$1:$O$104,15,0))</f>
        <v>242.82</v>
      </c>
      <c r="Y2005" s="6"/>
      <c r="Z2005" s="6">
        <f ca="1">('TUSD BE'!$AM$60+'TUSD BF'!$AM$60+'TUSD CVA'!$AM$60)*1</f>
        <v>620.20988729592284</v>
      </c>
      <c r="AA2005" s="6">
        <f>('TE BE'!$AB$39+'TE BF'!$AB$39+'TE CVA'!$AB$39)*1</f>
        <v>231.76257384332172</v>
      </c>
      <c r="AB2005" s="6">
        <f>$K$2005*$V$2005</f>
        <v>0</v>
      </c>
      <c r="AC2005" s="6">
        <f>$M$2005*$W$2005</f>
        <v>158.3528</v>
      </c>
      <c r="AD2005" s="6">
        <f>$O$2005*$X$2005</f>
        <v>63.618839999999999</v>
      </c>
      <c r="AE2005" s="6">
        <f>$K$2005*$Y$2005</f>
        <v>0</v>
      </c>
      <c r="AF2005" s="6">
        <f ca="1">$M$2005*$Z$2005</f>
        <v>162.49499047153179</v>
      </c>
      <c r="AG2005" s="6">
        <f>$O$2005*$AA$2005</f>
        <v>60.72179434695029</v>
      </c>
    </row>
    <row r="2006" spans="1:33" ht="11.25" customHeight="1" x14ac:dyDescent="0.25">
      <c r="A2006" s="4" t="s">
        <v>21</v>
      </c>
      <c r="B2006" s="4" t="s">
        <v>37</v>
      </c>
      <c r="C2006" s="4" t="s">
        <v>33</v>
      </c>
      <c r="D2006" s="4" t="s">
        <v>38</v>
      </c>
      <c r="E2006" s="4" t="s">
        <v>25</v>
      </c>
      <c r="F2006" s="4" t="s">
        <v>25</v>
      </c>
      <c r="G2006" s="4" t="s">
        <v>25</v>
      </c>
      <c r="H2006" s="4" t="s">
        <v>36</v>
      </c>
      <c r="I2006" s="5">
        <v>44562</v>
      </c>
      <c r="J2006" s="6">
        <v>0</v>
      </c>
      <c r="K2006" s="6">
        <v>0</v>
      </c>
      <c r="L2006" s="6">
        <v>0.123</v>
      </c>
      <c r="M2006" s="6">
        <v>0.123</v>
      </c>
      <c r="N2006" s="6">
        <v>0.123</v>
      </c>
      <c r="O2006" s="6">
        <v>0.123</v>
      </c>
      <c r="P2006" s="6">
        <v>0</v>
      </c>
      <c r="Q2006" s="4" t="s">
        <v>26</v>
      </c>
      <c r="R2006" s="4">
        <v>0</v>
      </c>
      <c r="S2006" s="6">
        <v>0</v>
      </c>
      <c r="T2006" s="6">
        <v>53</v>
      </c>
      <c r="U2006" s="6">
        <v>98</v>
      </c>
      <c r="V2006" s="6">
        <f>IF(ISERROR(VLOOKUP($S$2006,'TAR FIN'!$A$1:$O$104,15,0)),0,VLOOKUP($S$2006,'TAR FIN'!$A$1:$O$104,15,0))</f>
        <v>0</v>
      </c>
      <c r="W2006" s="6">
        <f>IF(ISERROR(VLOOKUP($T$2006,'TAR FIN'!$A$1:$O$104,15,0)),0,VLOOKUP($T$2006,'TAR FIN'!$A$1:$O$104,15,0))</f>
        <v>604.4</v>
      </c>
      <c r="X2006" s="6">
        <f>IF(ISERROR(VLOOKUP($U$2006,'TAR FIN'!$A$1:$O$104,15,0)),0,VLOOKUP($U$2006,'TAR FIN'!$A$1:$O$104,15,0))</f>
        <v>242.82</v>
      </c>
      <c r="Y2006" s="6"/>
      <c r="Z2006" s="6">
        <f ca="1">('TUSD BE'!$AM$60+'TUSD BF'!$AM$60+'TUSD CVA'!$AM$60)*1</f>
        <v>620.20988729592284</v>
      </c>
      <c r="AA2006" s="6">
        <f>('TE BE'!$AB$39+'TE BF'!$AB$39+'TE CVA'!$AB$39)*1</f>
        <v>231.76257384332172</v>
      </c>
      <c r="AB2006" s="6">
        <f>$K$2006*$V$2006</f>
        <v>0</v>
      </c>
      <c r="AC2006" s="6">
        <f>$M$2006*$W$2006</f>
        <v>74.341200000000001</v>
      </c>
      <c r="AD2006" s="6">
        <f>$O$2006*$X$2006</f>
        <v>29.866859999999999</v>
      </c>
      <c r="AE2006" s="6">
        <f>$K$2006*$Y$2006</f>
        <v>0</v>
      </c>
      <c r="AF2006" s="6">
        <f ca="1">$M$2006*$Z$2006</f>
        <v>76.285816137398513</v>
      </c>
      <c r="AG2006" s="6">
        <f>$O$2006*$AA$2006</f>
        <v>28.506796582728573</v>
      </c>
    </row>
    <row r="2007" spans="1:33" ht="11.25" customHeight="1" x14ac:dyDescent="0.25">
      <c r="A2007" s="4" t="s">
        <v>28</v>
      </c>
      <c r="B2007" s="4" t="s">
        <v>37</v>
      </c>
      <c r="C2007" s="4" t="s">
        <v>33</v>
      </c>
      <c r="D2007" s="4" t="s">
        <v>38</v>
      </c>
      <c r="E2007" s="4" t="s">
        <v>25</v>
      </c>
      <c r="F2007" s="4" t="s">
        <v>25</v>
      </c>
      <c r="G2007" s="4" t="s">
        <v>25</v>
      </c>
      <c r="H2007" s="4" t="s">
        <v>36</v>
      </c>
      <c r="I2007" s="5">
        <v>44562</v>
      </c>
      <c r="J2007" s="6">
        <v>0</v>
      </c>
      <c r="K2007" s="6">
        <v>0</v>
      </c>
      <c r="L2007" s="6">
        <v>5.5E-2</v>
      </c>
      <c r="M2007" s="6">
        <v>5.5E-2</v>
      </c>
      <c r="N2007" s="6">
        <v>5.5E-2</v>
      </c>
      <c r="O2007" s="6">
        <v>5.5E-2</v>
      </c>
      <c r="P2007" s="6">
        <v>0</v>
      </c>
      <c r="Q2007" s="4" t="s">
        <v>26</v>
      </c>
      <c r="R2007" s="4">
        <v>0</v>
      </c>
      <c r="S2007" s="6">
        <v>0</v>
      </c>
      <c r="T2007" s="6">
        <v>53</v>
      </c>
      <c r="U2007" s="6">
        <v>98</v>
      </c>
      <c r="V2007" s="6">
        <f>IF(ISERROR(VLOOKUP($S$2007,'TAR FIN'!$A$1:$O$104,15,0)),0,VLOOKUP($S$2007,'TAR FIN'!$A$1:$O$104,15,0))</f>
        <v>0</v>
      </c>
      <c r="W2007" s="6">
        <f>IF(ISERROR(VLOOKUP($T$2007,'TAR FIN'!$A$1:$O$104,15,0)),0,VLOOKUP($T$2007,'TAR FIN'!$A$1:$O$104,15,0))</f>
        <v>604.4</v>
      </c>
      <c r="X2007" s="6">
        <f>IF(ISERROR(VLOOKUP($U$2007,'TAR FIN'!$A$1:$O$104,15,0)),0,VLOOKUP($U$2007,'TAR FIN'!$A$1:$O$104,15,0))</f>
        <v>242.82</v>
      </c>
      <c r="Y2007" s="6"/>
      <c r="Z2007" s="6">
        <f ca="1">('TUSD BE'!$AM$60+'TUSD BF'!$AM$60+'TUSD CVA'!$AM$60)*1</f>
        <v>620.20988729592284</v>
      </c>
      <c r="AA2007" s="6">
        <f>('TE BE'!$AB$39+'TE BF'!$AB$39+'TE CVA'!$AB$39)*1</f>
        <v>231.76257384332172</v>
      </c>
      <c r="AB2007" s="6">
        <f>$K$2007*$V$2007</f>
        <v>0</v>
      </c>
      <c r="AC2007" s="6">
        <f>$M$2007*$W$2007</f>
        <v>33.241999999999997</v>
      </c>
      <c r="AD2007" s="6">
        <f>$O$2007*$X$2007</f>
        <v>13.3551</v>
      </c>
      <c r="AE2007" s="6">
        <f>$K$2007*$Y$2007</f>
        <v>0</v>
      </c>
      <c r="AF2007" s="6">
        <f ca="1">$M$2007*$Z$2007</f>
        <v>34.111543801275758</v>
      </c>
      <c r="AG2007" s="6">
        <f>$O$2007*$AA$2007</f>
        <v>12.746941561382695</v>
      </c>
    </row>
    <row r="2008" spans="1:33" ht="11.25" customHeight="1" x14ac:dyDescent="0.25">
      <c r="A2008" s="4" t="s">
        <v>21</v>
      </c>
      <c r="B2008" s="4" t="s">
        <v>37</v>
      </c>
      <c r="C2008" s="4" t="s">
        <v>33</v>
      </c>
      <c r="D2008" s="4" t="s">
        <v>38</v>
      </c>
      <c r="E2008" s="4" t="s">
        <v>25</v>
      </c>
      <c r="F2008" s="4" t="s">
        <v>25</v>
      </c>
      <c r="G2008" s="4" t="s">
        <v>25</v>
      </c>
      <c r="H2008" s="4" t="s">
        <v>36</v>
      </c>
      <c r="I2008" s="5">
        <v>44593</v>
      </c>
      <c r="J2008" s="6">
        <v>0</v>
      </c>
      <c r="K2008" s="6">
        <v>0</v>
      </c>
      <c r="L2008" s="6">
        <v>0.13400000000000001</v>
      </c>
      <c r="M2008" s="6">
        <v>0.13400000000000001</v>
      </c>
      <c r="N2008" s="6">
        <v>0.13400000000000001</v>
      </c>
      <c r="O2008" s="6">
        <v>0.13400000000000001</v>
      </c>
      <c r="P2008" s="6">
        <v>0</v>
      </c>
      <c r="Q2008" s="4" t="s">
        <v>26</v>
      </c>
      <c r="R2008" s="4">
        <v>0</v>
      </c>
      <c r="S2008" s="6">
        <v>0</v>
      </c>
      <c r="T2008" s="6">
        <v>53</v>
      </c>
      <c r="U2008" s="6">
        <v>98</v>
      </c>
      <c r="V2008" s="6">
        <f>IF(ISERROR(VLOOKUP($S$2008,'TAR FIN'!$A$1:$O$104,15,0)),0,VLOOKUP($S$2008,'TAR FIN'!$A$1:$O$104,15,0))</f>
        <v>0</v>
      </c>
      <c r="W2008" s="6">
        <f>IF(ISERROR(VLOOKUP($T$2008,'TAR FIN'!$A$1:$O$104,15,0)),0,VLOOKUP($T$2008,'TAR FIN'!$A$1:$O$104,15,0))</f>
        <v>604.4</v>
      </c>
      <c r="X2008" s="6">
        <f>IF(ISERROR(VLOOKUP($U$2008,'TAR FIN'!$A$1:$O$104,15,0)),0,VLOOKUP($U$2008,'TAR FIN'!$A$1:$O$104,15,0))</f>
        <v>242.82</v>
      </c>
      <c r="Y2008" s="6"/>
      <c r="Z2008" s="6">
        <f ca="1">('TUSD BE'!$AM$60+'TUSD BF'!$AM$60+'TUSD CVA'!$AM$60)*1</f>
        <v>620.20988729592284</v>
      </c>
      <c r="AA2008" s="6">
        <f>('TE BE'!$AB$39+'TE BF'!$AB$39+'TE CVA'!$AB$39)*1</f>
        <v>231.76257384332172</v>
      </c>
      <c r="AB2008" s="6">
        <f>$K$2008*$V$2008</f>
        <v>0</v>
      </c>
      <c r="AC2008" s="6">
        <f>$M$2008*$W$2008</f>
        <v>80.989599999999996</v>
      </c>
      <c r="AD2008" s="6">
        <f>$O$2008*$X$2008</f>
        <v>32.537880000000001</v>
      </c>
      <c r="AE2008" s="6">
        <f>$K$2008*$Y$2008</f>
        <v>0</v>
      </c>
      <c r="AF2008" s="6">
        <f ca="1">$M$2008*$Z$2008</f>
        <v>83.108124897653667</v>
      </c>
      <c r="AG2008" s="6">
        <f>$O$2008*$AA$2008</f>
        <v>31.056184895005114</v>
      </c>
    </row>
    <row r="2009" spans="1:33" ht="11.25" customHeight="1" x14ac:dyDescent="0.25">
      <c r="A2009" s="4" t="s">
        <v>21</v>
      </c>
      <c r="B2009" s="4" t="s">
        <v>37</v>
      </c>
      <c r="C2009" s="4" t="s">
        <v>33</v>
      </c>
      <c r="D2009" s="4" t="s">
        <v>38</v>
      </c>
      <c r="E2009" s="4" t="s">
        <v>25</v>
      </c>
      <c r="F2009" s="4" t="s">
        <v>25</v>
      </c>
      <c r="G2009" s="4" t="s">
        <v>25</v>
      </c>
      <c r="H2009" s="4" t="s">
        <v>36</v>
      </c>
      <c r="I2009" s="5">
        <v>44621</v>
      </c>
      <c r="J2009" s="6">
        <v>0</v>
      </c>
      <c r="K2009" s="6">
        <v>0</v>
      </c>
      <c r="L2009" s="6">
        <v>0.13400000000000001</v>
      </c>
      <c r="M2009" s="6">
        <v>0.13400000000000001</v>
      </c>
      <c r="N2009" s="6">
        <v>0.13400000000000001</v>
      </c>
      <c r="O2009" s="6">
        <v>0.13400000000000001</v>
      </c>
      <c r="P2009" s="6">
        <v>0</v>
      </c>
      <c r="Q2009" s="4" t="s">
        <v>26</v>
      </c>
      <c r="R2009" s="4">
        <v>0</v>
      </c>
      <c r="S2009" s="6">
        <v>0</v>
      </c>
      <c r="T2009" s="6">
        <v>53</v>
      </c>
      <c r="U2009" s="6">
        <v>98</v>
      </c>
      <c r="V2009" s="6">
        <f>IF(ISERROR(VLOOKUP($S$2009,'TAR FIN'!$A$1:$O$104,15,0)),0,VLOOKUP($S$2009,'TAR FIN'!$A$1:$O$104,15,0))</f>
        <v>0</v>
      </c>
      <c r="W2009" s="6">
        <f>IF(ISERROR(VLOOKUP($T$2009,'TAR FIN'!$A$1:$O$104,15,0)),0,VLOOKUP($T$2009,'TAR FIN'!$A$1:$O$104,15,0))</f>
        <v>604.4</v>
      </c>
      <c r="X2009" s="6">
        <f>IF(ISERROR(VLOOKUP($U$2009,'TAR FIN'!$A$1:$O$104,15,0)),0,VLOOKUP($U$2009,'TAR FIN'!$A$1:$O$104,15,0))</f>
        <v>242.82</v>
      </c>
      <c r="Y2009" s="6"/>
      <c r="Z2009" s="6">
        <f ca="1">('TUSD BE'!$AM$60+'TUSD BF'!$AM$60+'TUSD CVA'!$AM$60)*1</f>
        <v>620.20988729592284</v>
      </c>
      <c r="AA2009" s="6">
        <f>('TE BE'!$AB$39+'TE BF'!$AB$39+'TE CVA'!$AB$39)*1</f>
        <v>231.76257384332172</v>
      </c>
      <c r="AB2009" s="6">
        <f>$K$2009*$V$2009</f>
        <v>0</v>
      </c>
      <c r="AC2009" s="6">
        <f>$M$2009*$W$2009</f>
        <v>80.989599999999996</v>
      </c>
      <c r="AD2009" s="6">
        <f>$O$2009*$X$2009</f>
        <v>32.537880000000001</v>
      </c>
      <c r="AE2009" s="6">
        <f>$K$2009*$Y$2009</f>
        <v>0</v>
      </c>
      <c r="AF2009" s="6">
        <f ca="1">$M$2009*$Z$2009</f>
        <v>83.108124897653667</v>
      </c>
      <c r="AG2009" s="6">
        <f>$O$2009*$AA$2009</f>
        <v>31.056184895005114</v>
      </c>
    </row>
    <row r="2010" spans="1:33" ht="11.25" customHeight="1" x14ac:dyDescent="0.25">
      <c r="A2010" s="4" t="s">
        <v>21</v>
      </c>
      <c r="B2010" s="4" t="s">
        <v>37</v>
      </c>
      <c r="C2010" s="4" t="s">
        <v>33</v>
      </c>
      <c r="D2010" s="4" t="s">
        <v>38</v>
      </c>
      <c r="E2010" s="4" t="s">
        <v>25</v>
      </c>
      <c r="F2010" s="4" t="s">
        <v>25</v>
      </c>
      <c r="G2010" s="4" t="s">
        <v>25</v>
      </c>
      <c r="H2010" s="4" t="s">
        <v>36</v>
      </c>
      <c r="I2010" s="5">
        <v>44652</v>
      </c>
      <c r="J2010" s="6">
        <v>0</v>
      </c>
      <c r="K2010" s="6">
        <v>0</v>
      </c>
      <c r="L2010" s="6">
        <v>0.128</v>
      </c>
      <c r="M2010" s="6">
        <v>0.128</v>
      </c>
      <c r="N2010" s="6">
        <v>0.128</v>
      </c>
      <c r="O2010" s="6">
        <v>0.128</v>
      </c>
      <c r="P2010" s="6">
        <v>0</v>
      </c>
      <c r="Q2010" s="4" t="s">
        <v>26</v>
      </c>
      <c r="R2010" s="4">
        <v>0</v>
      </c>
      <c r="S2010" s="6">
        <v>0</v>
      </c>
      <c r="T2010" s="6">
        <v>53</v>
      </c>
      <c r="U2010" s="6">
        <v>98</v>
      </c>
      <c r="V2010" s="6">
        <f>IF(ISERROR(VLOOKUP($S$2010,'TAR FIN'!$A$1:$O$104,15,0)),0,VLOOKUP($S$2010,'TAR FIN'!$A$1:$O$104,15,0))</f>
        <v>0</v>
      </c>
      <c r="W2010" s="6">
        <f>IF(ISERROR(VLOOKUP($T$2010,'TAR FIN'!$A$1:$O$104,15,0)),0,VLOOKUP($T$2010,'TAR FIN'!$A$1:$O$104,15,0))</f>
        <v>604.4</v>
      </c>
      <c r="X2010" s="6">
        <f>IF(ISERROR(VLOOKUP($U$2010,'TAR FIN'!$A$1:$O$104,15,0)),0,VLOOKUP($U$2010,'TAR FIN'!$A$1:$O$104,15,0))</f>
        <v>242.82</v>
      </c>
      <c r="Y2010" s="6"/>
      <c r="Z2010" s="6">
        <f ca="1">('TUSD BE'!$AM$60+'TUSD BF'!$AM$60+'TUSD CVA'!$AM$60)*1</f>
        <v>620.20988729592284</v>
      </c>
      <c r="AA2010" s="6">
        <f>('TE BE'!$AB$39+'TE BF'!$AB$39+'TE CVA'!$AB$39)*1</f>
        <v>231.76257384332172</v>
      </c>
      <c r="AB2010" s="6">
        <f>$K$2010*$V$2010</f>
        <v>0</v>
      </c>
      <c r="AC2010" s="6">
        <f>$M$2010*$W$2010</f>
        <v>77.363199999999992</v>
      </c>
      <c r="AD2010" s="6">
        <f>$O$2010*$X$2010</f>
        <v>31.080960000000001</v>
      </c>
      <c r="AE2010" s="6">
        <f>$K$2010*$Y$2010</f>
        <v>0</v>
      </c>
      <c r="AF2010" s="6">
        <f ca="1">$M$2010*$Z$2010</f>
        <v>79.386865573878126</v>
      </c>
      <c r="AG2010" s="6">
        <f>$O$2010*$AA$2010</f>
        <v>29.66560945194518</v>
      </c>
    </row>
    <row r="2011" spans="1:33" ht="11.25" customHeight="1" x14ac:dyDescent="0.25">
      <c r="A2011" s="4" t="s">
        <v>21</v>
      </c>
      <c r="B2011" s="4" t="s">
        <v>37</v>
      </c>
      <c r="C2011" s="4" t="s">
        <v>33</v>
      </c>
      <c r="D2011" s="4" t="s">
        <v>38</v>
      </c>
      <c r="E2011" s="4" t="s">
        <v>25</v>
      </c>
      <c r="F2011" s="4" t="s">
        <v>25</v>
      </c>
      <c r="G2011" s="4" t="s">
        <v>25</v>
      </c>
      <c r="H2011" s="4" t="s">
        <v>36</v>
      </c>
      <c r="I2011" s="5">
        <v>44682</v>
      </c>
      <c r="J2011" s="6">
        <v>0</v>
      </c>
      <c r="K2011" s="6">
        <v>0</v>
      </c>
      <c r="L2011" s="6">
        <v>0.128</v>
      </c>
      <c r="M2011" s="6">
        <v>0.128</v>
      </c>
      <c r="N2011" s="6">
        <v>0.128</v>
      </c>
      <c r="O2011" s="6">
        <v>0.128</v>
      </c>
      <c r="P2011" s="6">
        <v>0</v>
      </c>
      <c r="Q2011" s="4" t="s">
        <v>26</v>
      </c>
      <c r="R2011" s="4">
        <v>0</v>
      </c>
      <c r="S2011" s="6">
        <v>0</v>
      </c>
      <c r="T2011" s="6">
        <v>53</v>
      </c>
      <c r="U2011" s="6">
        <v>98</v>
      </c>
      <c r="V2011" s="6">
        <f>IF(ISERROR(VLOOKUP($S$2011,'TAR FIN'!$A$1:$O$104,15,0)),0,VLOOKUP($S$2011,'TAR FIN'!$A$1:$O$104,15,0))</f>
        <v>0</v>
      </c>
      <c r="W2011" s="6">
        <f>IF(ISERROR(VLOOKUP($T$2011,'TAR FIN'!$A$1:$O$104,15,0)),0,VLOOKUP($T$2011,'TAR FIN'!$A$1:$O$104,15,0))</f>
        <v>604.4</v>
      </c>
      <c r="X2011" s="6">
        <f>IF(ISERROR(VLOOKUP($U$2011,'TAR FIN'!$A$1:$O$104,15,0)),0,VLOOKUP($U$2011,'TAR FIN'!$A$1:$O$104,15,0))</f>
        <v>242.82</v>
      </c>
      <c r="Y2011" s="6"/>
      <c r="Z2011" s="6">
        <f ca="1">('TUSD BE'!$AM$60+'TUSD BF'!$AM$60+'TUSD CVA'!$AM$60)*1</f>
        <v>620.20988729592284</v>
      </c>
      <c r="AA2011" s="6">
        <f>('TE BE'!$AB$39+'TE BF'!$AB$39+'TE CVA'!$AB$39)*1</f>
        <v>231.76257384332172</v>
      </c>
      <c r="AB2011" s="6">
        <f>$K$2011*$V$2011</f>
        <v>0</v>
      </c>
      <c r="AC2011" s="6">
        <f>$M$2011*$W$2011</f>
        <v>77.363199999999992</v>
      </c>
      <c r="AD2011" s="6">
        <f>$O$2011*$X$2011</f>
        <v>31.080960000000001</v>
      </c>
      <c r="AE2011" s="6">
        <f>$K$2011*$Y$2011</f>
        <v>0</v>
      </c>
      <c r="AF2011" s="6">
        <f ca="1">$M$2011*$Z$2011</f>
        <v>79.386865573878126</v>
      </c>
      <c r="AG2011" s="6">
        <f>$O$2011*$AA$2011</f>
        <v>29.66560945194518</v>
      </c>
    </row>
    <row r="2012" spans="1:33" ht="11.25" customHeight="1" x14ac:dyDescent="0.25">
      <c r="A2012" s="4" t="s">
        <v>21</v>
      </c>
      <c r="B2012" s="4" t="s">
        <v>37</v>
      </c>
      <c r="C2012" s="4" t="s">
        <v>33</v>
      </c>
      <c r="D2012" s="4" t="s">
        <v>38</v>
      </c>
      <c r="E2012" s="4" t="s">
        <v>25</v>
      </c>
      <c r="F2012" s="4" t="s">
        <v>25</v>
      </c>
      <c r="G2012" s="4" t="s">
        <v>25</v>
      </c>
      <c r="H2012" s="4" t="s">
        <v>36</v>
      </c>
      <c r="I2012" s="5">
        <v>44713</v>
      </c>
      <c r="J2012" s="6">
        <v>0</v>
      </c>
      <c r="K2012" s="6">
        <v>0</v>
      </c>
      <c r="L2012" s="6">
        <v>0.108</v>
      </c>
      <c r="M2012" s="6">
        <v>0.108</v>
      </c>
      <c r="N2012" s="6">
        <v>0.108</v>
      </c>
      <c r="O2012" s="6">
        <v>0.108</v>
      </c>
      <c r="P2012" s="6">
        <v>0</v>
      </c>
      <c r="Q2012" s="4" t="s">
        <v>26</v>
      </c>
      <c r="R2012" s="4">
        <v>0</v>
      </c>
      <c r="S2012" s="6">
        <v>0</v>
      </c>
      <c r="T2012" s="6">
        <v>53</v>
      </c>
      <c r="U2012" s="6">
        <v>98</v>
      </c>
      <c r="V2012" s="6">
        <f>IF(ISERROR(VLOOKUP($S$2012,'TAR FIN'!$A$1:$O$104,15,0)),0,VLOOKUP($S$2012,'TAR FIN'!$A$1:$O$104,15,0))</f>
        <v>0</v>
      </c>
      <c r="W2012" s="6">
        <f>IF(ISERROR(VLOOKUP($T$2012,'TAR FIN'!$A$1:$O$104,15,0)),0,VLOOKUP($T$2012,'TAR FIN'!$A$1:$O$104,15,0))</f>
        <v>604.4</v>
      </c>
      <c r="X2012" s="6">
        <f>IF(ISERROR(VLOOKUP($U$2012,'TAR FIN'!$A$1:$O$104,15,0)),0,VLOOKUP($U$2012,'TAR FIN'!$A$1:$O$104,15,0))</f>
        <v>242.82</v>
      </c>
      <c r="Y2012" s="6"/>
      <c r="Z2012" s="6">
        <f ca="1">('TUSD BE'!$AM$60+'TUSD BF'!$AM$60+'TUSD CVA'!$AM$60)*1</f>
        <v>620.20988729592284</v>
      </c>
      <c r="AA2012" s="6">
        <f>('TE BE'!$AB$39+'TE BF'!$AB$39+'TE CVA'!$AB$39)*1</f>
        <v>231.76257384332172</v>
      </c>
      <c r="AB2012" s="6">
        <f>$K$2012*$V$2012</f>
        <v>0</v>
      </c>
      <c r="AC2012" s="6">
        <f>$M$2012*$W$2012</f>
        <v>65.275199999999998</v>
      </c>
      <c r="AD2012" s="6">
        <f>$O$2012*$X$2012</f>
        <v>26.22456</v>
      </c>
      <c r="AE2012" s="6">
        <f>$K$2012*$Y$2012</f>
        <v>0</v>
      </c>
      <c r="AF2012" s="6">
        <f ca="1">$M$2012*$Z$2012</f>
        <v>66.982667827959659</v>
      </c>
      <c r="AG2012" s="6">
        <f>$O$2012*$AA$2012</f>
        <v>25.030357975078743</v>
      </c>
    </row>
    <row r="2013" spans="1:33" ht="11.25" customHeight="1" x14ac:dyDescent="0.25">
      <c r="A2013" s="4" t="s">
        <v>57</v>
      </c>
      <c r="B2013" s="4" t="s">
        <v>37</v>
      </c>
      <c r="C2013" s="4" t="s">
        <v>33</v>
      </c>
      <c r="D2013" s="4" t="s">
        <v>38</v>
      </c>
      <c r="E2013" s="4" t="s">
        <v>25</v>
      </c>
      <c r="F2013" s="4" t="s">
        <v>25</v>
      </c>
      <c r="G2013" s="4" t="s">
        <v>25</v>
      </c>
      <c r="H2013" s="4" t="s">
        <v>36</v>
      </c>
      <c r="I2013" s="5">
        <v>44743</v>
      </c>
      <c r="J2013" s="6">
        <v>0</v>
      </c>
      <c r="K2013" s="6">
        <v>0</v>
      </c>
      <c r="L2013" s="6">
        <v>0.108</v>
      </c>
      <c r="M2013" s="6">
        <v>0.108</v>
      </c>
      <c r="N2013" s="6">
        <v>0.108</v>
      </c>
      <c r="O2013" s="6">
        <v>0.108</v>
      </c>
      <c r="P2013" s="6">
        <v>0</v>
      </c>
      <c r="Q2013" s="4" t="s">
        <v>26</v>
      </c>
      <c r="R2013" s="4">
        <v>0</v>
      </c>
      <c r="S2013" s="6">
        <v>0</v>
      </c>
      <c r="T2013" s="6">
        <v>53</v>
      </c>
      <c r="U2013" s="6">
        <v>98</v>
      </c>
      <c r="V2013" s="6">
        <f>IF(ISERROR(VLOOKUP($S$2013,'TAR FIN'!$A$1:$O$104,15,0)),0,VLOOKUP($S$2013,'TAR FIN'!$A$1:$O$104,15,0))</f>
        <v>0</v>
      </c>
      <c r="W2013" s="6">
        <f>IF(ISERROR(VLOOKUP($T$2013,'TAR FIN'!$A$1:$O$104,15,0)),0,VLOOKUP($T$2013,'TAR FIN'!$A$1:$O$104,15,0))</f>
        <v>604.4</v>
      </c>
      <c r="X2013" s="6">
        <f>IF(ISERROR(VLOOKUP($U$2013,'TAR FIN'!$A$1:$O$104,15,0)),0,VLOOKUP($U$2013,'TAR FIN'!$A$1:$O$104,15,0))</f>
        <v>242.82</v>
      </c>
      <c r="Y2013" s="6"/>
      <c r="Z2013" s="6">
        <f ca="1">('TUSD BE'!$AM$60+'TUSD BF'!$AM$60+'TUSD CVA'!$AM$60)*1</f>
        <v>620.20988729592284</v>
      </c>
      <c r="AA2013" s="6">
        <f>('TE BE'!$AB$39+'TE BF'!$AB$39+'TE CVA'!$AB$39)*1</f>
        <v>231.76257384332172</v>
      </c>
      <c r="AB2013" s="6">
        <f>$K$2013*$V$2013</f>
        <v>0</v>
      </c>
      <c r="AC2013" s="6">
        <f>$M$2013*$W$2013</f>
        <v>65.275199999999998</v>
      </c>
      <c r="AD2013" s="6">
        <f>$O$2013*$X$2013</f>
        <v>26.22456</v>
      </c>
      <c r="AE2013" s="6">
        <f>$K$2013*$Y$2013</f>
        <v>0</v>
      </c>
      <c r="AF2013" s="6">
        <f ca="1">$M$2013*$Z$2013</f>
        <v>66.982667827959659</v>
      </c>
      <c r="AG2013" s="6">
        <f>$O$2013*$AA$2013</f>
        <v>25.030357975078743</v>
      </c>
    </row>
    <row r="2014" spans="1:33" ht="11.25" customHeight="1" x14ac:dyDescent="0.25">
      <c r="A2014" s="4" t="s">
        <v>21</v>
      </c>
      <c r="B2014" s="4" t="s">
        <v>37</v>
      </c>
      <c r="C2014" s="4" t="s">
        <v>33</v>
      </c>
      <c r="D2014" s="4" t="s">
        <v>38</v>
      </c>
      <c r="E2014" s="4" t="s">
        <v>25</v>
      </c>
      <c r="F2014" s="4" t="s">
        <v>25</v>
      </c>
      <c r="G2014" s="4" t="s">
        <v>25</v>
      </c>
      <c r="H2014" s="4" t="s">
        <v>34</v>
      </c>
      <c r="I2014" s="5">
        <v>44409</v>
      </c>
      <c r="J2014" s="6">
        <v>0</v>
      </c>
      <c r="K2014" s="6">
        <v>0</v>
      </c>
      <c r="L2014" s="6">
        <v>0.188</v>
      </c>
      <c r="M2014" s="6">
        <v>0.188</v>
      </c>
      <c r="N2014" s="6">
        <v>0.188</v>
      </c>
      <c r="O2014" s="6">
        <v>0.188</v>
      </c>
      <c r="P2014" s="6">
        <v>0</v>
      </c>
      <c r="Q2014" s="4" t="s">
        <v>26</v>
      </c>
      <c r="R2014" s="4">
        <v>0</v>
      </c>
      <c r="S2014" s="6">
        <v>0</v>
      </c>
      <c r="T2014" s="6">
        <v>51</v>
      </c>
      <c r="U2014" s="6">
        <v>97</v>
      </c>
      <c r="V2014" s="6">
        <f>IF(ISERROR(VLOOKUP($S$2014,'TAR FIN'!$A$1:$O$104,15,0)),0,VLOOKUP($S$2014,'TAR FIN'!$A$1:$O$104,15,0))</f>
        <v>0</v>
      </c>
      <c r="W2014" s="6">
        <f>IF(ISERROR(VLOOKUP($T$2014,'TAR FIN'!$A$1:$O$104,15,0)),0,VLOOKUP($T$2014,'TAR FIN'!$A$1:$O$104,15,0))</f>
        <v>948.58</v>
      </c>
      <c r="X2014" s="6">
        <f>IF(ISERROR(VLOOKUP($U$2014,'TAR FIN'!$A$1:$O$104,15,0)),0,VLOOKUP($U$2014,'TAR FIN'!$A$1:$O$104,15,0))</f>
        <v>397.62</v>
      </c>
      <c r="Y2014" s="6"/>
      <c r="Z2014" s="6">
        <f ca="1">('TUSD BE'!$AM$59+'TUSD BF'!$AM$59+'TUSD CVA'!$AM$59)*1</f>
        <v>964.91724567390565</v>
      </c>
      <c r="AA2014" s="6">
        <f>('TE BE'!$AB$38+'TE BF'!$AB$38+'TE CVA'!$AB$38)*1</f>
        <v>360.26029187567116</v>
      </c>
      <c r="AB2014" s="6">
        <f>$K$2014*$V$2014</f>
        <v>0</v>
      </c>
      <c r="AC2014" s="6">
        <f>$M$2014*$W$2014</f>
        <v>178.33304000000001</v>
      </c>
      <c r="AD2014" s="6">
        <f>$O$2014*$X$2014</f>
        <v>74.752560000000003</v>
      </c>
      <c r="AE2014" s="6">
        <f>$K$2014*$Y$2014</f>
        <v>0</v>
      </c>
      <c r="AF2014" s="6">
        <f ca="1">$M$2014*$Z$2014</f>
        <v>181.40444218669427</v>
      </c>
      <c r="AG2014" s="6">
        <f>$O$2014*$AA$2014</f>
        <v>67.728934872626184</v>
      </c>
    </row>
    <row r="2015" spans="1:33" ht="11.25" customHeight="1" x14ac:dyDescent="0.25">
      <c r="A2015" s="4" t="s">
        <v>21</v>
      </c>
      <c r="B2015" s="4" t="s">
        <v>37</v>
      </c>
      <c r="C2015" s="4" t="s">
        <v>33</v>
      </c>
      <c r="D2015" s="4" t="s">
        <v>38</v>
      </c>
      <c r="E2015" s="4" t="s">
        <v>25</v>
      </c>
      <c r="F2015" s="4" t="s">
        <v>25</v>
      </c>
      <c r="G2015" s="4" t="s">
        <v>25</v>
      </c>
      <c r="H2015" s="4" t="s">
        <v>34</v>
      </c>
      <c r="I2015" s="5">
        <v>44440</v>
      </c>
      <c r="J2015" s="6">
        <v>0</v>
      </c>
      <c r="K2015" s="6">
        <v>0</v>
      </c>
      <c r="L2015" s="6">
        <v>0.17599999999999999</v>
      </c>
      <c r="M2015" s="6">
        <v>0.17599999999999999</v>
      </c>
      <c r="N2015" s="6">
        <v>0.17599999999999999</v>
      </c>
      <c r="O2015" s="6">
        <v>0.17599999999999999</v>
      </c>
      <c r="P2015" s="6">
        <v>0</v>
      </c>
      <c r="Q2015" s="4" t="s">
        <v>26</v>
      </c>
      <c r="R2015" s="4">
        <v>0</v>
      </c>
      <c r="S2015" s="6">
        <v>0</v>
      </c>
      <c r="T2015" s="6">
        <v>51</v>
      </c>
      <c r="U2015" s="6">
        <v>97</v>
      </c>
      <c r="V2015" s="6">
        <f>IF(ISERROR(VLOOKUP($S$2015,'TAR FIN'!$A$1:$O$104,15,0)),0,VLOOKUP($S$2015,'TAR FIN'!$A$1:$O$104,15,0))</f>
        <v>0</v>
      </c>
      <c r="W2015" s="6">
        <f>IF(ISERROR(VLOOKUP($T$2015,'TAR FIN'!$A$1:$O$104,15,0)),0,VLOOKUP($T$2015,'TAR FIN'!$A$1:$O$104,15,0))</f>
        <v>948.58</v>
      </c>
      <c r="X2015" s="6">
        <f>IF(ISERROR(VLOOKUP($U$2015,'TAR FIN'!$A$1:$O$104,15,0)),0,VLOOKUP($U$2015,'TAR FIN'!$A$1:$O$104,15,0))</f>
        <v>397.62</v>
      </c>
      <c r="Y2015" s="6"/>
      <c r="Z2015" s="6">
        <f ca="1">('TUSD BE'!$AM$59+'TUSD BF'!$AM$59+'TUSD CVA'!$AM$59)*1</f>
        <v>964.91724567390565</v>
      </c>
      <c r="AA2015" s="6">
        <f>('TE BE'!$AB$38+'TE BF'!$AB$38+'TE CVA'!$AB$38)*1</f>
        <v>360.26029187567116</v>
      </c>
      <c r="AB2015" s="6">
        <f>$K$2015*$V$2015</f>
        <v>0</v>
      </c>
      <c r="AC2015" s="6">
        <f>$M$2015*$W$2015</f>
        <v>166.95007999999999</v>
      </c>
      <c r="AD2015" s="6">
        <f>$O$2015*$X$2015</f>
        <v>69.98111999999999</v>
      </c>
      <c r="AE2015" s="6">
        <f>$K$2015*$Y$2015</f>
        <v>0</v>
      </c>
      <c r="AF2015" s="6">
        <f ca="1">$M$2015*$Z$2015</f>
        <v>169.82543523860738</v>
      </c>
      <c r="AG2015" s="6">
        <f>$O$2015*$AA$2015</f>
        <v>63.405811370118123</v>
      </c>
    </row>
    <row r="2016" spans="1:33" ht="11.25" customHeight="1" x14ac:dyDescent="0.25">
      <c r="A2016" s="4" t="s">
        <v>21</v>
      </c>
      <c r="B2016" s="4" t="s">
        <v>37</v>
      </c>
      <c r="C2016" s="4" t="s">
        <v>33</v>
      </c>
      <c r="D2016" s="4" t="s">
        <v>38</v>
      </c>
      <c r="E2016" s="4" t="s">
        <v>25</v>
      </c>
      <c r="F2016" s="4" t="s">
        <v>25</v>
      </c>
      <c r="G2016" s="4" t="s">
        <v>25</v>
      </c>
      <c r="H2016" s="4" t="s">
        <v>34</v>
      </c>
      <c r="I2016" s="5">
        <v>44470</v>
      </c>
      <c r="J2016" s="6">
        <v>0</v>
      </c>
      <c r="K2016" s="6">
        <v>0</v>
      </c>
      <c r="L2016" s="6">
        <v>0.17499999999999999</v>
      </c>
      <c r="M2016" s="6">
        <v>0.17499999999999999</v>
      </c>
      <c r="N2016" s="6">
        <v>0.17499999999999999</v>
      </c>
      <c r="O2016" s="6">
        <v>0.17499999999999999</v>
      </c>
      <c r="P2016" s="6">
        <v>0</v>
      </c>
      <c r="Q2016" s="4" t="s">
        <v>26</v>
      </c>
      <c r="R2016" s="4">
        <v>0</v>
      </c>
      <c r="S2016" s="6">
        <v>0</v>
      </c>
      <c r="T2016" s="6">
        <v>51</v>
      </c>
      <c r="U2016" s="6">
        <v>97</v>
      </c>
      <c r="V2016" s="6">
        <f>IF(ISERROR(VLOOKUP($S$2016,'TAR FIN'!$A$1:$O$104,15,0)),0,VLOOKUP($S$2016,'TAR FIN'!$A$1:$O$104,15,0))</f>
        <v>0</v>
      </c>
      <c r="W2016" s="6">
        <f>IF(ISERROR(VLOOKUP($T$2016,'TAR FIN'!$A$1:$O$104,15,0)),0,VLOOKUP($T$2016,'TAR FIN'!$A$1:$O$104,15,0))</f>
        <v>948.58</v>
      </c>
      <c r="X2016" s="6">
        <f>IF(ISERROR(VLOOKUP($U$2016,'TAR FIN'!$A$1:$O$104,15,0)),0,VLOOKUP($U$2016,'TAR FIN'!$A$1:$O$104,15,0))</f>
        <v>397.62</v>
      </c>
      <c r="Y2016" s="6"/>
      <c r="Z2016" s="6">
        <f ca="1">('TUSD BE'!$AM$59+'TUSD BF'!$AM$59+'TUSD CVA'!$AM$59)*1</f>
        <v>964.91724567390565</v>
      </c>
      <c r="AA2016" s="6">
        <f>('TE BE'!$AB$38+'TE BF'!$AB$38+'TE CVA'!$AB$38)*1</f>
        <v>360.26029187567116</v>
      </c>
      <c r="AB2016" s="6">
        <f>$K$2016*$V$2016</f>
        <v>0</v>
      </c>
      <c r="AC2016" s="6">
        <f>$M$2016*$W$2016</f>
        <v>166.00149999999999</v>
      </c>
      <c r="AD2016" s="6">
        <f>$O$2016*$X$2016</f>
        <v>69.583500000000001</v>
      </c>
      <c r="AE2016" s="6">
        <f>$K$2016*$Y$2016</f>
        <v>0</v>
      </c>
      <c r="AF2016" s="6">
        <f ca="1">$M$2016*$Z$2016</f>
        <v>168.86051799293347</v>
      </c>
      <c r="AG2016" s="6">
        <f>$O$2016*$AA$2016</f>
        <v>63.045551078242447</v>
      </c>
    </row>
    <row r="2017" spans="1:33" ht="11.25" customHeight="1" x14ac:dyDescent="0.25">
      <c r="A2017" s="4" t="s">
        <v>21</v>
      </c>
      <c r="B2017" s="4" t="s">
        <v>37</v>
      </c>
      <c r="C2017" s="4" t="s">
        <v>33</v>
      </c>
      <c r="D2017" s="4" t="s">
        <v>38</v>
      </c>
      <c r="E2017" s="4" t="s">
        <v>25</v>
      </c>
      <c r="F2017" s="4" t="s">
        <v>25</v>
      </c>
      <c r="G2017" s="4" t="s">
        <v>25</v>
      </c>
      <c r="H2017" s="4" t="s">
        <v>34</v>
      </c>
      <c r="I2017" s="5">
        <v>44501</v>
      </c>
      <c r="J2017" s="6">
        <v>0</v>
      </c>
      <c r="K2017" s="6">
        <v>0</v>
      </c>
      <c r="L2017" s="6">
        <v>0.14699999999999999</v>
      </c>
      <c r="M2017" s="6">
        <v>0.14699999999999999</v>
      </c>
      <c r="N2017" s="6">
        <v>0.14699999999999999</v>
      </c>
      <c r="O2017" s="6">
        <v>0.14699999999999999</v>
      </c>
      <c r="P2017" s="6">
        <v>0</v>
      </c>
      <c r="Q2017" s="4" t="s">
        <v>26</v>
      </c>
      <c r="R2017" s="4">
        <v>0</v>
      </c>
      <c r="S2017" s="6">
        <v>0</v>
      </c>
      <c r="T2017" s="6">
        <v>51</v>
      </c>
      <c r="U2017" s="6">
        <v>97</v>
      </c>
      <c r="V2017" s="6">
        <f>IF(ISERROR(VLOOKUP($S$2017,'TAR FIN'!$A$1:$O$104,15,0)),0,VLOOKUP($S$2017,'TAR FIN'!$A$1:$O$104,15,0))</f>
        <v>0</v>
      </c>
      <c r="W2017" s="6">
        <f>IF(ISERROR(VLOOKUP($T$2017,'TAR FIN'!$A$1:$O$104,15,0)),0,VLOOKUP($T$2017,'TAR FIN'!$A$1:$O$104,15,0))</f>
        <v>948.58</v>
      </c>
      <c r="X2017" s="6">
        <f>IF(ISERROR(VLOOKUP($U$2017,'TAR FIN'!$A$1:$O$104,15,0)),0,VLOOKUP($U$2017,'TAR FIN'!$A$1:$O$104,15,0))</f>
        <v>397.62</v>
      </c>
      <c r="Y2017" s="6"/>
      <c r="Z2017" s="6">
        <f ca="1">('TUSD BE'!$AM$59+'TUSD BF'!$AM$59+'TUSD CVA'!$AM$59)*1</f>
        <v>964.91724567390565</v>
      </c>
      <c r="AA2017" s="6">
        <f>('TE BE'!$AB$38+'TE BF'!$AB$38+'TE CVA'!$AB$38)*1</f>
        <v>360.26029187567116</v>
      </c>
      <c r="AB2017" s="6">
        <f>$K$2017*$V$2017</f>
        <v>0</v>
      </c>
      <c r="AC2017" s="6">
        <f>$M$2017*$W$2017</f>
        <v>139.44126</v>
      </c>
      <c r="AD2017" s="6">
        <f>$O$2017*$X$2017</f>
        <v>58.450139999999998</v>
      </c>
      <c r="AE2017" s="6">
        <f>$K$2017*$Y$2017</f>
        <v>0</v>
      </c>
      <c r="AF2017" s="6">
        <f ca="1">$M$2017*$Z$2017</f>
        <v>141.84283511406412</v>
      </c>
      <c r="AG2017" s="6">
        <f>$O$2017*$AA$2017</f>
        <v>52.958262905723657</v>
      </c>
    </row>
    <row r="2018" spans="1:33" ht="11.25" customHeight="1" x14ac:dyDescent="0.25">
      <c r="A2018" s="4" t="s">
        <v>21</v>
      </c>
      <c r="B2018" s="4" t="s">
        <v>37</v>
      </c>
      <c r="C2018" s="4" t="s">
        <v>33</v>
      </c>
      <c r="D2018" s="4" t="s">
        <v>38</v>
      </c>
      <c r="E2018" s="4" t="s">
        <v>25</v>
      </c>
      <c r="F2018" s="4" t="s">
        <v>25</v>
      </c>
      <c r="G2018" s="4" t="s">
        <v>25</v>
      </c>
      <c r="H2018" s="4" t="s">
        <v>34</v>
      </c>
      <c r="I2018" s="5">
        <v>44531</v>
      </c>
      <c r="J2018" s="6">
        <v>0</v>
      </c>
      <c r="K2018" s="6">
        <v>0</v>
      </c>
      <c r="L2018" s="6">
        <v>0.17899999999999999</v>
      </c>
      <c r="M2018" s="6">
        <v>0.17899999999999999</v>
      </c>
      <c r="N2018" s="6">
        <v>0.17899999999999999</v>
      </c>
      <c r="O2018" s="6">
        <v>0.17899999999999999</v>
      </c>
      <c r="P2018" s="6">
        <v>0</v>
      </c>
      <c r="Q2018" s="4" t="s">
        <v>26</v>
      </c>
      <c r="R2018" s="4">
        <v>0</v>
      </c>
      <c r="S2018" s="6">
        <v>0</v>
      </c>
      <c r="T2018" s="6">
        <v>51</v>
      </c>
      <c r="U2018" s="6">
        <v>97</v>
      </c>
      <c r="V2018" s="6">
        <f>IF(ISERROR(VLOOKUP($S$2018,'TAR FIN'!$A$1:$O$104,15,0)),0,VLOOKUP($S$2018,'TAR FIN'!$A$1:$O$104,15,0))</f>
        <v>0</v>
      </c>
      <c r="W2018" s="6">
        <f>IF(ISERROR(VLOOKUP($T$2018,'TAR FIN'!$A$1:$O$104,15,0)),0,VLOOKUP($T$2018,'TAR FIN'!$A$1:$O$104,15,0))</f>
        <v>948.58</v>
      </c>
      <c r="X2018" s="6">
        <f>IF(ISERROR(VLOOKUP($U$2018,'TAR FIN'!$A$1:$O$104,15,0)),0,VLOOKUP($U$2018,'TAR FIN'!$A$1:$O$104,15,0))</f>
        <v>397.62</v>
      </c>
      <c r="Y2018" s="6"/>
      <c r="Z2018" s="6">
        <f ca="1">('TUSD BE'!$AM$59+'TUSD BF'!$AM$59+'TUSD CVA'!$AM$59)*1</f>
        <v>964.91724567390565</v>
      </c>
      <c r="AA2018" s="6">
        <f>('TE BE'!$AB$38+'TE BF'!$AB$38+'TE CVA'!$AB$38)*1</f>
        <v>360.26029187567116</v>
      </c>
      <c r="AB2018" s="6">
        <f>$K$2018*$V$2018</f>
        <v>0</v>
      </c>
      <c r="AC2018" s="6">
        <f>$M$2018*$W$2018</f>
        <v>169.79581999999999</v>
      </c>
      <c r="AD2018" s="6">
        <f>$O$2018*$X$2018</f>
        <v>71.17398</v>
      </c>
      <c r="AE2018" s="6">
        <f>$K$2018*$Y$2018</f>
        <v>0</v>
      </c>
      <c r="AF2018" s="6">
        <f ca="1">$M$2018*$Z$2018</f>
        <v>172.7201869756291</v>
      </c>
      <c r="AG2018" s="6">
        <f>$O$2018*$AA$2018</f>
        <v>64.486592245745129</v>
      </c>
    </row>
    <row r="2019" spans="1:33" ht="11.25" customHeight="1" x14ac:dyDescent="0.25">
      <c r="A2019" s="4" t="s">
        <v>21</v>
      </c>
      <c r="B2019" s="4" t="s">
        <v>37</v>
      </c>
      <c r="C2019" s="4" t="s">
        <v>33</v>
      </c>
      <c r="D2019" s="4" t="s">
        <v>38</v>
      </c>
      <c r="E2019" s="4" t="s">
        <v>25</v>
      </c>
      <c r="F2019" s="4" t="s">
        <v>25</v>
      </c>
      <c r="G2019" s="4" t="s">
        <v>25</v>
      </c>
      <c r="H2019" s="4" t="s">
        <v>34</v>
      </c>
      <c r="I2019" s="5">
        <v>44562</v>
      </c>
      <c r="J2019" s="6">
        <v>0</v>
      </c>
      <c r="K2019" s="6">
        <v>0</v>
      </c>
      <c r="L2019" s="6">
        <v>0.107</v>
      </c>
      <c r="M2019" s="6">
        <v>0.107</v>
      </c>
      <c r="N2019" s="6">
        <v>0.107</v>
      </c>
      <c r="O2019" s="6">
        <v>0.107</v>
      </c>
      <c r="P2019" s="6">
        <v>0</v>
      </c>
      <c r="Q2019" s="4" t="s">
        <v>26</v>
      </c>
      <c r="R2019" s="4">
        <v>0</v>
      </c>
      <c r="S2019" s="6">
        <v>0</v>
      </c>
      <c r="T2019" s="6">
        <v>51</v>
      </c>
      <c r="U2019" s="6">
        <v>97</v>
      </c>
      <c r="V2019" s="6">
        <f>IF(ISERROR(VLOOKUP($S$2019,'TAR FIN'!$A$1:$O$104,15,0)),0,VLOOKUP($S$2019,'TAR FIN'!$A$1:$O$104,15,0))</f>
        <v>0</v>
      </c>
      <c r="W2019" s="6">
        <f>IF(ISERROR(VLOOKUP($T$2019,'TAR FIN'!$A$1:$O$104,15,0)),0,VLOOKUP($T$2019,'TAR FIN'!$A$1:$O$104,15,0))</f>
        <v>948.58</v>
      </c>
      <c r="X2019" s="6">
        <f>IF(ISERROR(VLOOKUP($U$2019,'TAR FIN'!$A$1:$O$104,15,0)),0,VLOOKUP($U$2019,'TAR FIN'!$A$1:$O$104,15,0))</f>
        <v>397.62</v>
      </c>
      <c r="Y2019" s="6"/>
      <c r="Z2019" s="6">
        <f ca="1">('TUSD BE'!$AM$59+'TUSD BF'!$AM$59+'TUSD CVA'!$AM$59)*1</f>
        <v>964.91724567390565</v>
      </c>
      <c r="AA2019" s="6">
        <f>('TE BE'!$AB$38+'TE BF'!$AB$38+'TE CVA'!$AB$38)*1</f>
        <v>360.26029187567116</v>
      </c>
      <c r="AB2019" s="6">
        <f>$K$2019*$V$2019</f>
        <v>0</v>
      </c>
      <c r="AC2019" s="6">
        <f>$M$2019*$W$2019</f>
        <v>101.49806</v>
      </c>
      <c r="AD2019" s="6">
        <f>$O$2019*$X$2019</f>
        <v>42.545340000000003</v>
      </c>
      <c r="AE2019" s="6">
        <f>$K$2019*$Y$2019</f>
        <v>0</v>
      </c>
      <c r="AF2019" s="6">
        <f ca="1">$M$2019*$Z$2019</f>
        <v>103.24614528710791</v>
      </c>
      <c r="AG2019" s="6">
        <f>$O$2019*$AA$2019</f>
        <v>38.547851230696814</v>
      </c>
    </row>
    <row r="2020" spans="1:33" ht="11.25" customHeight="1" x14ac:dyDescent="0.25">
      <c r="A2020" s="4" t="s">
        <v>28</v>
      </c>
      <c r="B2020" s="4" t="s">
        <v>37</v>
      </c>
      <c r="C2020" s="4" t="s">
        <v>33</v>
      </c>
      <c r="D2020" s="4" t="s">
        <v>38</v>
      </c>
      <c r="E2020" s="4" t="s">
        <v>25</v>
      </c>
      <c r="F2020" s="4" t="s">
        <v>25</v>
      </c>
      <c r="G2020" s="4" t="s">
        <v>25</v>
      </c>
      <c r="H2020" s="4" t="s">
        <v>34</v>
      </c>
      <c r="I2020" s="5">
        <v>44562</v>
      </c>
      <c r="J2020" s="6">
        <v>0</v>
      </c>
      <c r="K2020" s="6">
        <v>0</v>
      </c>
      <c r="L2020" s="6">
        <v>4.4999999999999998E-2</v>
      </c>
      <c r="M2020" s="6">
        <v>4.4999999999999998E-2</v>
      </c>
      <c r="N2020" s="6">
        <v>4.4999999999999998E-2</v>
      </c>
      <c r="O2020" s="6">
        <v>4.4999999999999998E-2</v>
      </c>
      <c r="P2020" s="6">
        <v>0</v>
      </c>
      <c r="Q2020" s="4" t="s">
        <v>26</v>
      </c>
      <c r="R2020" s="4">
        <v>0</v>
      </c>
      <c r="S2020" s="6">
        <v>0</v>
      </c>
      <c r="T2020" s="6">
        <v>51</v>
      </c>
      <c r="U2020" s="6">
        <v>97</v>
      </c>
      <c r="V2020" s="6">
        <f>IF(ISERROR(VLOOKUP($S$2020,'TAR FIN'!$A$1:$O$104,15,0)),0,VLOOKUP($S$2020,'TAR FIN'!$A$1:$O$104,15,0))</f>
        <v>0</v>
      </c>
      <c r="W2020" s="6">
        <f>IF(ISERROR(VLOOKUP($T$2020,'TAR FIN'!$A$1:$O$104,15,0)),0,VLOOKUP($T$2020,'TAR FIN'!$A$1:$O$104,15,0))</f>
        <v>948.58</v>
      </c>
      <c r="X2020" s="6">
        <f>IF(ISERROR(VLOOKUP($U$2020,'TAR FIN'!$A$1:$O$104,15,0)),0,VLOOKUP($U$2020,'TAR FIN'!$A$1:$O$104,15,0))</f>
        <v>397.62</v>
      </c>
      <c r="Y2020" s="6"/>
      <c r="Z2020" s="6">
        <f ca="1">('TUSD BE'!$AM$59+'TUSD BF'!$AM$59+'TUSD CVA'!$AM$59)*1</f>
        <v>964.91724567390565</v>
      </c>
      <c r="AA2020" s="6">
        <f>('TE BE'!$AB$38+'TE BF'!$AB$38+'TE CVA'!$AB$38)*1</f>
        <v>360.26029187567116</v>
      </c>
      <c r="AB2020" s="6">
        <f>$K$2020*$V$2020</f>
        <v>0</v>
      </c>
      <c r="AC2020" s="6">
        <f>$M$2020*$W$2020</f>
        <v>42.686100000000003</v>
      </c>
      <c r="AD2020" s="6">
        <f>$O$2020*$X$2020</f>
        <v>17.892900000000001</v>
      </c>
      <c r="AE2020" s="6">
        <f>$K$2020*$Y$2020</f>
        <v>0</v>
      </c>
      <c r="AF2020" s="6">
        <f ca="1">$M$2020*$Z$2020</f>
        <v>43.421276055325755</v>
      </c>
      <c r="AG2020" s="6">
        <f>$O$2020*$AA$2020</f>
        <v>16.211713134405201</v>
      </c>
    </row>
    <row r="2021" spans="1:33" ht="11.25" customHeight="1" x14ac:dyDescent="0.25">
      <c r="A2021" s="4" t="s">
        <v>21</v>
      </c>
      <c r="B2021" s="4" t="s">
        <v>37</v>
      </c>
      <c r="C2021" s="4" t="s">
        <v>33</v>
      </c>
      <c r="D2021" s="4" t="s">
        <v>38</v>
      </c>
      <c r="E2021" s="4" t="s">
        <v>25</v>
      </c>
      <c r="F2021" s="4" t="s">
        <v>25</v>
      </c>
      <c r="G2021" s="4" t="s">
        <v>25</v>
      </c>
      <c r="H2021" s="4" t="s">
        <v>34</v>
      </c>
      <c r="I2021" s="5">
        <v>44593</v>
      </c>
      <c r="J2021" s="6">
        <v>0</v>
      </c>
      <c r="K2021" s="6">
        <v>0</v>
      </c>
      <c r="L2021" s="6">
        <v>0.105</v>
      </c>
      <c r="M2021" s="6">
        <v>0.105</v>
      </c>
      <c r="N2021" s="6">
        <v>0.105</v>
      </c>
      <c r="O2021" s="6">
        <v>0.105</v>
      </c>
      <c r="P2021" s="6">
        <v>0</v>
      </c>
      <c r="Q2021" s="4" t="s">
        <v>26</v>
      </c>
      <c r="R2021" s="4">
        <v>0</v>
      </c>
      <c r="S2021" s="6">
        <v>0</v>
      </c>
      <c r="T2021" s="6">
        <v>51</v>
      </c>
      <c r="U2021" s="6">
        <v>97</v>
      </c>
      <c r="V2021" s="6">
        <f>IF(ISERROR(VLOOKUP($S$2021,'TAR FIN'!$A$1:$O$104,15,0)),0,VLOOKUP($S$2021,'TAR FIN'!$A$1:$O$104,15,0))</f>
        <v>0</v>
      </c>
      <c r="W2021" s="6">
        <f>IF(ISERROR(VLOOKUP($T$2021,'TAR FIN'!$A$1:$O$104,15,0)),0,VLOOKUP($T$2021,'TAR FIN'!$A$1:$O$104,15,0))</f>
        <v>948.58</v>
      </c>
      <c r="X2021" s="6">
        <f>IF(ISERROR(VLOOKUP($U$2021,'TAR FIN'!$A$1:$O$104,15,0)),0,VLOOKUP($U$2021,'TAR FIN'!$A$1:$O$104,15,0))</f>
        <v>397.62</v>
      </c>
      <c r="Y2021" s="6"/>
      <c r="Z2021" s="6">
        <f ca="1">('TUSD BE'!$AM$59+'TUSD BF'!$AM$59+'TUSD CVA'!$AM$59)*1</f>
        <v>964.91724567390565</v>
      </c>
      <c r="AA2021" s="6">
        <f>('TE BE'!$AB$38+'TE BF'!$AB$38+'TE CVA'!$AB$38)*1</f>
        <v>360.26029187567116</v>
      </c>
      <c r="AB2021" s="6">
        <f>$K$2021*$V$2021</f>
        <v>0</v>
      </c>
      <c r="AC2021" s="6">
        <f>$M$2021*$W$2021</f>
        <v>99.600899999999996</v>
      </c>
      <c r="AD2021" s="6">
        <f>$O$2021*$X$2021</f>
        <v>41.750099999999996</v>
      </c>
      <c r="AE2021" s="6">
        <f>$K$2021*$Y$2021</f>
        <v>0</v>
      </c>
      <c r="AF2021" s="6">
        <f ca="1">$M$2021*$Z$2021</f>
        <v>101.31631079576009</v>
      </c>
      <c r="AG2021" s="6">
        <f>$O$2021*$AA$2021</f>
        <v>37.82733064694547</v>
      </c>
    </row>
    <row r="2022" spans="1:33" ht="11.25" customHeight="1" x14ac:dyDescent="0.25">
      <c r="A2022" s="4" t="s">
        <v>21</v>
      </c>
      <c r="B2022" s="4" t="s">
        <v>37</v>
      </c>
      <c r="C2022" s="4" t="s">
        <v>33</v>
      </c>
      <c r="D2022" s="4" t="s">
        <v>38</v>
      </c>
      <c r="E2022" s="4" t="s">
        <v>25</v>
      </c>
      <c r="F2022" s="4" t="s">
        <v>25</v>
      </c>
      <c r="G2022" s="4" t="s">
        <v>25</v>
      </c>
      <c r="H2022" s="4" t="s">
        <v>34</v>
      </c>
      <c r="I2022" s="5">
        <v>44621</v>
      </c>
      <c r="J2022" s="6">
        <v>0</v>
      </c>
      <c r="K2022" s="6">
        <v>0</v>
      </c>
      <c r="L2022" s="6">
        <v>0.13</v>
      </c>
      <c r="M2022" s="6">
        <v>0.13</v>
      </c>
      <c r="N2022" s="6">
        <v>0.13</v>
      </c>
      <c r="O2022" s="6">
        <v>0.13</v>
      </c>
      <c r="P2022" s="6">
        <v>0</v>
      </c>
      <c r="Q2022" s="4" t="s">
        <v>26</v>
      </c>
      <c r="R2022" s="4">
        <v>0</v>
      </c>
      <c r="S2022" s="6">
        <v>0</v>
      </c>
      <c r="T2022" s="6">
        <v>51</v>
      </c>
      <c r="U2022" s="6">
        <v>97</v>
      </c>
      <c r="V2022" s="6">
        <f>IF(ISERROR(VLOOKUP($S$2022,'TAR FIN'!$A$1:$O$104,15,0)),0,VLOOKUP($S$2022,'TAR FIN'!$A$1:$O$104,15,0))</f>
        <v>0</v>
      </c>
      <c r="W2022" s="6">
        <f>IF(ISERROR(VLOOKUP($T$2022,'TAR FIN'!$A$1:$O$104,15,0)),0,VLOOKUP($T$2022,'TAR FIN'!$A$1:$O$104,15,0))</f>
        <v>948.58</v>
      </c>
      <c r="X2022" s="6">
        <f>IF(ISERROR(VLOOKUP($U$2022,'TAR FIN'!$A$1:$O$104,15,0)),0,VLOOKUP($U$2022,'TAR FIN'!$A$1:$O$104,15,0))</f>
        <v>397.62</v>
      </c>
      <c r="Y2022" s="6"/>
      <c r="Z2022" s="6">
        <f ca="1">('TUSD BE'!$AM$59+'TUSD BF'!$AM$59+'TUSD CVA'!$AM$59)*1</f>
        <v>964.91724567390565</v>
      </c>
      <c r="AA2022" s="6">
        <f>('TE BE'!$AB$38+'TE BF'!$AB$38+'TE CVA'!$AB$38)*1</f>
        <v>360.26029187567116</v>
      </c>
      <c r="AB2022" s="6">
        <f>$K$2022*$V$2022</f>
        <v>0</v>
      </c>
      <c r="AC2022" s="6">
        <f>$M$2022*$W$2022</f>
        <v>123.31540000000001</v>
      </c>
      <c r="AD2022" s="6">
        <f>$O$2022*$X$2022</f>
        <v>51.690600000000003</v>
      </c>
      <c r="AE2022" s="6">
        <f>$K$2022*$Y$2022</f>
        <v>0</v>
      </c>
      <c r="AF2022" s="6">
        <f ca="1">$M$2022*$Z$2022</f>
        <v>125.43924193760773</v>
      </c>
      <c r="AG2022" s="6">
        <f>$O$2022*$AA$2022</f>
        <v>46.833837943837253</v>
      </c>
    </row>
    <row r="2023" spans="1:33" ht="11.25" customHeight="1" x14ac:dyDescent="0.25">
      <c r="A2023" s="4" t="s">
        <v>21</v>
      </c>
      <c r="B2023" s="4" t="s">
        <v>37</v>
      </c>
      <c r="C2023" s="4" t="s">
        <v>33</v>
      </c>
      <c r="D2023" s="4" t="s">
        <v>38</v>
      </c>
      <c r="E2023" s="4" t="s">
        <v>25</v>
      </c>
      <c r="F2023" s="4" t="s">
        <v>25</v>
      </c>
      <c r="G2023" s="4" t="s">
        <v>25</v>
      </c>
      <c r="H2023" s="4" t="s">
        <v>34</v>
      </c>
      <c r="I2023" s="5">
        <v>44652</v>
      </c>
      <c r="J2023" s="6">
        <v>0</v>
      </c>
      <c r="K2023" s="6">
        <v>0</v>
      </c>
      <c r="L2023" s="6">
        <v>0.11899999999999999</v>
      </c>
      <c r="M2023" s="6">
        <v>0.11899999999999999</v>
      </c>
      <c r="N2023" s="6">
        <v>0.11899999999999999</v>
      </c>
      <c r="O2023" s="6">
        <v>0.11899999999999999</v>
      </c>
      <c r="P2023" s="6">
        <v>0</v>
      </c>
      <c r="Q2023" s="4" t="s">
        <v>26</v>
      </c>
      <c r="R2023" s="4">
        <v>0</v>
      </c>
      <c r="S2023" s="6">
        <v>0</v>
      </c>
      <c r="T2023" s="6">
        <v>51</v>
      </c>
      <c r="U2023" s="6">
        <v>97</v>
      </c>
      <c r="V2023" s="6">
        <f>IF(ISERROR(VLOOKUP($S$2023,'TAR FIN'!$A$1:$O$104,15,0)),0,VLOOKUP($S$2023,'TAR FIN'!$A$1:$O$104,15,0))</f>
        <v>0</v>
      </c>
      <c r="W2023" s="6">
        <f>IF(ISERROR(VLOOKUP($T$2023,'TAR FIN'!$A$1:$O$104,15,0)),0,VLOOKUP($T$2023,'TAR FIN'!$A$1:$O$104,15,0))</f>
        <v>948.58</v>
      </c>
      <c r="X2023" s="6">
        <f>IF(ISERROR(VLOOKUP($U$2023,'TAR FIN'!$A$1:$O$104,15,0)),0,VLOOKUP($U$2023,'TAR FIN'!$A$1:$O$104,15,0))</f>
        <v>397.62</v>
      </c>
      <c r="Y2023" s="6"/>
      <c r="Z2023" s="6">
        <f ca="1">('TUSD BE'!$AM$59+'TUSD BF'!$AM$59+'TUSD CVA'!$AM$59)*1</f>
        <v>964.91724567390565</v>
      </c>
      <c r="AA2023" s="6">
        <f>('TE BE'!$AB$38+'TE BF'!$AB$38+'TE CVA'!$AB$38)*1</f>
        <v>360.26029187567116</v>
      </c>
      <c r="AB2023" s="6">
        <f>$K$2023*$V$2023</f>
        <v>0</v>
      </c>
      <c r="AC2023" s="6">
        <f>$M$2023*$W$2023</f>
        <v>112.88102000000001</v>
      </c>
      <c r="AD2023" s="6">
        <f>$O$2023*$X$2023</f>
        <v>47.316780000000001</v>
      </c>
      <c r="AE2023" s="6">
        <f>$K$2023*$Y$2023</f>
        <v>0</v>
      </c>
      <c r="AF2023" s="6">
        <f ca="1">$M$2023*$Z$2023</f>
        <v>114.82515223519476</v>
      </c>
      <c r="AG2023" s="6">
        <f>$O$2023*$AA$2023</f>
        <v>42.870974733204868</v>
      </c>
    </row>
    <row r="2024" spans="1:33" ht="11.25" customHeight="1" x14ac:dyDescent="0.25">
      <c r="A2024" s="4" t="s">
        <v>21</v>
      </c>
      <c r="B2024" s="4" t="s">
        <v>37</v>
      </c>
      <c r="C2024" s="4" t="s">
        <v>33</v>
      </c>
      <c r="D2024" s="4" t="s">
        <v>38</v>
      </c>
      <c r="E2024" s="4" t="s">
        <v>25</v>
      </c>
      <c r="F2024" s="4" t="s">
        <v>25</v>
      </c>
      <c r="G2024" s="4" t="s">
        <v>25</v>
      </c>
      <c r="H2024" s="4" t="s">
        <v>34</v>
      </c>
      <c r="I2024" s="5">
        <v>44682</v>
      </c>
      <c r="J2024" s="6">
        <v>0</v>
      </c>
      <c r="K2024" s="6">
        <v>0</v>
      </c>
      <c r="L2024" s="6">
        <v>0.11799999999999999</v>
      </c>
      <c r="M2024" s="6">
        <v>0.11799999999999999</v>
      </c>
      <c r="N2024" s="6">
        <v>0.11799999999999999</v>
      </c>
      <c r="O2024" s="6">
        <v>0.11799999999999999</v>
      </c>
      <c r="P2024" s="6">
        <v>0</v>
      </c>
      <c r="Q2024" s="4" t="s">
        <v>26</v>
      </c>
      <c r="R2024" s="4">
        <v>0</v>
      </c>
      <c r="S2024" s="6">
        <v>0</v>
      </c>
      <c r="T2024" s="6">
        <v>51</v>
      </c>
      <c r="U2024" s="6">
        <v>97</v>
      </c>
      <c r="V2024" s="6">
        <f>IF(ISERROR(VLOOKUP($S$2024,'TAR FIN'!$A$1:$O$104,15,0)),0,VLOOKUP($S$2024,'TAR FIN'!$A$1:$O$104,15,0))</f>
        <v>0</v>
      </c>
      <c r="W2024" s="6">
        <f>IF(ISERROR(VLOOKUP($T$2024,'TAR FIN'!$A$1:$O$104,15,0)),0,VLOOKUP($T$2024,'TAR FIN'!$A$1:$O$104,15,0))</f>
        <v>948.58</v>
      </c>
      <c r="X2024" s="6">
        <f>IF(ISERROR(VLOOKUP($U$2024,'TAR FIN'!$A$1:$O$104,15,0)),0,VLOOKUP($U$2024,'TAR FIN'!$A$1:$O$104,15,0))</f>
        <v>397.62</v>
      </c>
      <c r="Y2024" s="6"/>
      <c r="Z2024" s="6">
        <f ca="1">('TUSD BE'!$AM$59+'TUSD BF'!$AM$59+'TUSD CVA'!$AM$59)*1</f>
        <v>964.91724567390565</v>
      </c>
      <c r="AA2024" s="6">
        <f>('TE BE'!$AB$38+'TE BF'!$AB$38+'TE CVA'!$AB$38)*1</f>
        <v>360.26029187567116</v>
      </c>
      <c r="AB2024" s="6">
        <f>$K$2024*$V$2024</f>
        <v>0</v>
      </c>
      <c r="AC2024" s="6">
        <f>$M$2024*$W$2024</f>
        <v>111.93244</v>
      </c>
      <c r="AD2024" s="6">
        <f>$O$2024*$X$2024</f>
        <v>46.919159999999998</v>
      </c>
      <c r="AE2024" s="6">
        <f>$K$2024*$Y$2024</f>
        <v>0</v>
      </c>
      <c r="AF2024" s="6">
        <f ca="1">$M$2024*$Z$2024</f>
        <v>113.86023498952086</v>
      </c>
      <c r="AG2024" s="6">
        <f>$O$2024*$AA$2024</f>
        <v>42.510714441329192</v>
      </c>
    </row>
    <row r="2025" spans="1:33" ht="11.25" customHeight="1" x14ac:dyDescent="0.25">
      <c r="A2025" s="4" t="s">
        <v>21</v>
      </c>
      <c r="B2025" s="4" t="s">
        <v>37</v>
      </c>
      <c r="C2025" s="4" t="s">
        <v>33</v>
      </c>
      <c r="D2025" s="4" t="s">
        <v>38</v>
      </c>
      <c r="E2025" s="4" t="s">
        <v>25</v>
      </c>
      <c r="F2025" s="4" t="s">
        <v>25</v>
      </c>
      <c r="G2025" s="4" t="s">
        <v>25</v>
      </c>
      <c r="H2025" s="4" t="s">
        <v>34</v>
      </c>
      <c r="I2025" s="5">
        <v>44713</v>
      </c>
      <c r="J2025" s="6">
        <v>0</v>
      </c>
      <c r="K2025" s="6">
        <v>0</v>
      </c>
      <c r="L2025" s="6">
        <v>9.7000000000000003E-2</v>
      </c>
      <c r="M2025" s="6">
        <v>9.7000000000000003E-2</v>
      </c>
      <c r="N2025" s="6">
        <v>9.7000000000000003E-2</v>
      </c>
      <c r="O2025" s="6">
        <v>9.7000000000000003E-2</v>
      </c>
      <c r="P2025" s="6">
        <v>0</v>
      </c>
      <c r="Q2025" s="4" t="s">
        <v>26</v>
      </c>
      <c r="R2025" s="4">
        <v>0</v>
      </c>
      <c r="S2025" s="6">
        <v>0</v>
      </c>
      <c r="T2025" s="6">
        <v>51</v>
      </c>
      <c r="U2025" s="6">
        <v>97</v>
      </c>
      <c r="V2025" s="6">
        <f>IF(ISERROR(VLOOKUP($S$2025,'TAR FIN'!$A$1:$O$104,15,0)),0,VLOOKUP($S$2025,'TAR FIN'!$A$1:$O$104,15,0))</f>
        <v>0</v>
      </c>
      <c r="W2025" s="6">
        <f>IF(ISERROR(VLOOKUP($T$2025,'TAR FIN'!$A$1:$O$104,15,0)),0,VLOOKUP($T$2025,'TAR FIN'!$A$1:$O$104,15,0))</f>
        <v>948.58</v>
      </c>
      <c r="X2025" s="6">
        <f>IF(ISERROR(VLOOKUP($U$2025,'TAR FIN'!$A$1:$O$104,15,0)),0,VLOOKUP($U$2025,'TAR FIN'!$A$1:$O$104,15,0))</f>
        <v>397.62</v>
      </c>
      <c r="Y2025" s="6"/>
      <c r="Z2025" s="6">
        <f ca="1">('TUSD BE'!$AM$59+'TUSD BF'!$AM$59+'TUSD CVA'!$AM$59)*1</f>
        <v>964.91724567390565</v>
      </c>
      <c r="AA2025" s="6">
        <f>('TE BE'!$AB$38+'TE BF'!$AB$38+'TE CVA'!$AB$38)*1</f>
        <v>360.26029187567116</v>
      </c>
      <c r="AB2025" s="6">
        <f>$K$2025*$V$2025</f>
        <v>0</v>
      </c>
      <c r="AC2025" s="6">
        <f>$M$2025*$W$2025</f>
        <v>92.012260000000012</v>
      </c>
      <c r="AD2025" s="6">
        <f>$O$2025*$X$2025</f>
        <v>38.569140000000004</v>
      </c>
      <c r="AE2025" s="6">
        <f>$K$2025*$Y$2025</f>
        <v>0</v>
      </c>
      <c r="AF2025" s="6">
        <f ca="1">$M$2025*$Z$2025</f>
        <v>93.596972830368856</v>
      </c>
      <c r="AG2025" s="6">
        <f>$O$2025*$AA$2025</f>
        <v>34.945248311940105</v>
      </c>
    </row>
    <row r="2026" spans="1:33" ht="11.25" customHeight="1" x14ac:dyDescent="0.25">
      <c r="A2026" s="4" t="s">
        <v>57</v>
      </c>
      <c r="B2026" s="4" t="s">
        <v>37</v>
      </c>
      <c r="C2026" s="4" t="s">
        <v>33</v>
      </c>
      <c r="D2026" s="4" t="s">
        <v>38</v>
      </c>
      <c r="E2026" s="4" t="s">
        <v>25</v>
      </c>
      <c r="F2026" s="4" t="s">
        <v>25</v>
      </c>
      <c r="G2026" s="4" t="s">
        <v>25</v>
      </c>
      <c r="H2026" s="4" t="s">
        <v>34</v>
      </c>
      <c r="I2026" s="5">
        <v>44743</v>
      </c>
      <c r="J2026" s="6">
        <v>0</v>
      </c>
      <c r="K2026" s="6">
        <v>0</v>
      </c>
      <c r="L2026" s="6">
        <v>9.7000000000000003E-2</v>
      </c>
      <c r="M2026" s="6">
        <v>9.7000000000000003E-2</v>
      </c>
      <c r="N2026" s="6">
        <v>9.7000000000000003E-2</v>
      </c>
      <c r="O2026" s="6">
        <v>9.7000000000000003E-2</v>
      </c>
      <c r="P2026" s="6">
        <v>0</v>
      </c>
      <c r="Q2026" s="4" t="s">
        <v>26</v>
      </c>
      <c r="R2026" s="4">
        <v>0</v>
      </c>
      <c r="S2026" s="6">
        <v>0</v>
      </c>
      <c r="T2026" s="6">
        <v>51</v>
      </c>
      <c r="U2026" s="6">
        <v>97</v>
      </c>
      <c r="V2026" s="6">
        <f>IF(ISERROR(VLOOKUP($S$2026,'TAR FIN'!$A$1:$O$104,15,0)),0,VLOOKUP($S$2026,'TAR FIN'!$A$1:$O$104,15,0))</f>
        <v>0</v>
      </c>
      <c r="W2026" s="6">
        <f>IF(ISERROR(VLOOKUP($T$2026,'TAR FIN'!$A$1:$O$104,15,0)),0,VLOOKUP($T$2026,'TAR FIN'!$A$1:$O$104,15,0))</f>
        <v>948.58</v>
      </c>
      <c r="X2026" s="6">
        <f>IF(ISERROR(VLOOKUP($U$2026,'TAR FIN'!$A$1:$O$104,15,0)),0,VLOOKUP($U$2026,'TAR FIN'!$A$1:$O$104,15,0))</f>
        <v>397.62</v>
      </c>
      <c r="Y2026" s="6"/>
      <c r="Z2026" s="6">
        <f ca="1">('TUSD BE'!$AM$59+'TUSD BF'!$AM$59+'TUSD CVA'!$AM$59)*1</f>
        <v>964.91724567390565</v>
      </c>
      <c r="AA2026" s="6">
        <f>('TE BE'!$AB$38+'TE BF'!$AB$38+'TE CVA'!$AB$38)*1</f>
        <v>360.26029187567116</v>
      </c>
      <c r="AB2026" s="6">
        <f>$K$2026*$V$2026</f>
        <v>0</v>
      </c>
      <c r="AC2026" s="6">
        <f>$M$2026*$W$2026</f>
        <v>92.012260000000012</v>
      </c>
      <c r="AD2026" s="6">
        <f>$O$2026*$X$2026</f>
        <v>38.569140000000004</v>
      </c>
      <c r="AE2026" s="6">
        <f>$K$2026*$Y$2026</f>
        <v>0</v>
      </c>
      <c r="AF2026" s="6">
        <f ca="1">$M$2026*$Z$2026</f>
        <v>93.596972830368856</v>
      </c>
      <c r="AG2026" s="6">
        <f>$O$2026*$AA$2026</f>
        <v>34.945248311940105</v>
      </c>
    </row>
    <row r="2027" spans="1:33" ht="11.25" customHeight="1" x14ac:dyDescent="0.25">
      <c r="A2027" s="4" t="s">
        <v>21</v>
      </c>
      <c r="B2027" s="4" t="s">
        <v>37</v>
      </c>
      <c r="C2027" s="4" t="s">
        <v>23</v>
      </c>
      <c r="D2027" s="4" t="s">
        <v>43</v>
      </c>
      <c r="E2027" s="4" t="s">
        <v>25</v>
      </c>
      <c r="F2027" s="4" t="s">
        <v>25</v>
      </c>
      <c r="G2027" s="4" t="s">
        <v>25</v>
      </c>
      <c r="H2027" s="4" t="s">
        <v>25</v>
      </c>
      <c r="I2027" s="5">
        <v>44409</v>
      </c>
      <c r="J2027" s="6">
        <v>0</v>
      </c>
      <c r="K2027" s="6">
        <v>0</v>
      </c>
      <c r="L2027" s="6">
        <v>34189.052000000003</v>
      </c>
      <c r="M2027" s="6">
        <v>34189.052000000003</v>
      </c>
      <c r="N2027" s="6">
        <v>34189.052000000003</v>
      </c>
      <c r="O2027" s="6">
        <v>34189.052000000003</v>
      </c>
      <c r="P2027" s="6">
        <v>91261</v>
      </c>
      <c r="Q2027" s="4" t="s">
        <v>26</v>
      </c>
      <c r="R2027" s="4">
        <v>0</v>
      </c>
      <c r="S2027" s="6">
        <v>0</v>
      </c>
      <c r="T2027" s="6">
        <v>57</v>
      </c>
      <c r="U2027" s="6">
        <v>100</v>
      </c>
      <c r="V2027" s="6">
        <f>IF(ISERROR(VLOOKUP($S$2027,'TAR FIN'!$A$1:$O$104,15,0)),0,VLOOKUP($S$2027,'TAR FIN'!$A$1:$O$104,15,0))</f>
        <v>0</v>
      </c>
      <c r="W2027" s="6">
        <f>IF(ISERROR(VLOOKUP($T$2027,'TAR FIN'!$A$1:$O$104,15,0)),0,VLOOKUP($T$2027,'TAR FIN'!$A$1:$O$104,15,0))</f>
        <v>341.2</v>
      </c>
      <c r="X2027" s="6">
        <f>IF(ISERROR(VLOOKUP($U$2027,'TAR FIN'!$A$1:$O$104,15,0)),0,VLOOKUP($U$2027,'TAR FIN'!$A$1:$O$104,15,0))</f>
        <v>255.72</v>
      </c>
      <c r="Y2027" s="6"/>
      <c r="Z2027" s="6">
        <f ca="1">('TUSD BE'!$AM$62+'TUSD BF'!$AM$62+'TUSD CVA'!$AM$62)*1</f>
        <v>356.61002995987536</v>
      </c>
      <c r="AA2027" s="6">
        <f>('TE BE'!$AB$41+'TE BF'!$AB$41+'TE CVA'!$AB$41)*1</f>
        <v>242.47071701268419</v>
      </c>
      <c r="AB2027" s="6">
        <f>$K$2027*$V$2027</f>
        <v>0</v>
      </c>
      <c r="AC2027" s="6">
        <f>$M$2027*$W$2027</f>
        <v>11665304.542400001</v>
      </c>
      <c r="AD2027" s="6">
        <f>$O$2027*$X$2027</f>
        <v>8742824.37744</v>
      </c>
      <c r="AE2027" s="6">
        <f>$K$2027*$Y$2027</f>
        <v>0</v>
      </c>
      <c r="AF2027" s="6">
        <f ca="1">$M$2027*$Z$2027</f>
        <v>12192158.858019738</v>
      </c>
      <c r="AG2027" s="6">
        <f>$O$2027*$AA$2027</f>
        <v>8289843.9524239451</v>
      </c>
    </row>
    <row r="2028" spans="1:33" ht="11.25" customHeight="1" x14ac:dyDescent="0.25">
      <c r="A2028" s="4" t="s">
        <v>27</v>
      </c>
      <c r="B2028" s="4" t="s">
        <v>37</v>
      </c>
      <c r="C2028" s="4" t="s">
        <v>23</v>
      </c>
      <c r="D2028" s="4" t="s">
        <v>43</v>
      </c>
      <c r="E2028" s="4" t="s">
        <v>25</v>
      </c>
      <c r="F2028" s="4" t="s">
        <v>25</v>
      </c>
      <c r="G2028" s="4" t="s">
        <v>25</v>
      </c>
      <c r="H2028" s="4" t="s">
        <v>25</v>
      </c>
      <c r="I2028" s="5">
        <v>44409</v>
      </c>
      <c r="J2028" s="6">
        <v>0</v>
      </c>
      <c r="K2028" s="6">
        <v>0</v>
      </c>
      <c r="L2028" s="6">
        <v>-259.55200000000002</v>
      </c>
      <c r="M2028" s="6">
        <v>-259.55200000000002</v>
      </c>
      <c r="N2028" s="6">
        <v>-259.55200000000002</v>
      </c>
      <c r="O2028" s="6">
        <v>-259.55200000000002</v>
      </c>
      <c r="P2028" s="6">
        <v>-176</v>
      </c>
      <c r="Q2028" s="4" t="s">
        <v>26</v>
      </c>
      <c r="R2028" s="4">
        <v>0</v>
      </c>
      <c r="S2028" s="6">
        <v>0</v>
      </c>
      <c r="T2028" s="6">
        <v>57</v>
      </c>
      <c r="U2028" s="6">
        <v>100</v>
      </c>
      <c r="V2028" s="6">
        <f>IF(ISERROR(VLOOKUP($S$2028,'TAR FIN'!$A$1:$O$104,15,0)),0,VLOOKUP($S$2028,'TAR FIN'!$A$1:$O$104,15,0))</f>
        <v>0</v>
      </c>
      <c r="W2028" s="6">
        <f>IF(ISERROR(VLOOKUP($T$2028,'TAR FIN'!$A$1:$O$104,15,0)),0,VLOOKUP($T$2028,'TAR FIN'!$A$1:$O$104,15,0))</f>
        <v>341.2</v>
      </c>
      <c r="X2028" s="6">
        <f>IF(ISERROR(VLOOKUP($U$2028,'TAR FIN'!$A$1:$O$104,15,0)),0,VLOOKUP($U$2028,'TAR FIN'!$A$1:$O$104,15,0))</f>
        <v>255.72</v>
      </c>
      <c r="Y2028" s="6"/>
      <c r="Z2028" s="6">
        <f ca="1">('TUSD BE'!$AM$62+'TUSD BF'!$AM$62+'TUSD CVA'!$AM$62)*1</f>
        <v>356.61002995987536</v>
      </c>
      <c r="AA2028" s="6">
        <f>('TE BE'!$AB$41+'TE BF'!$AB$41+'TE CVA'!$AB$41)*1</f>
        <v>242.47071701268419</v>
      </c>
      <c r="AB2028" s="6">
        <f>$K$2028*$V$2028</f>
        <v>0</v>
      </c>
      <c r="AC2028" s="6">
        <f>$M$2028*$W$2028</f>
        <v>-88559.142399999997</v>
      </c>
      <c r="AD2028" s="6">
        <f>$O$2028*$X$2028</f>
        <v>-66372.637440000006</v>
      </c>
      <c r="AE2028" s="6">
        <f>$K$2028*$Y$2028</f>
        <v>0</v>
      </c>
      <c r="AF2028" s="6">
        <f ca="1">$M$2028*$Z$2028</f>
        <v>-92558.846496145576</v>
      </c>
      <c r="AG2028" s="6">
        <f>$O$2028*$AA$2028</f>
        <v>-62933.759542076215</v>
      </c>
    </row>
    <row r="2029" spans="1:33" ht="11.25" customHeight="1" x14ac:dyDescent="0.25">
      <c r="A2029" s="4" t="s">
        <v>28</v>
      </c>
      <c r="B2029" s="4" t="s">
        <v>37</v>
      </c>
      <c r="C2029" s="4" t="s">
        <v>23</v>
      </c>
      <c r="D2029" s="4" t="s">
        <v>43</v>
      </c>
      <c r="E2029" s="4" t="s">
        <v>25</v>
      </c>
      <c r="F2029" s="4" t="s">
        <v>25</v>
      </c>
      <c r="G2029" s="4" t="s">
        <v>25</v>
      </c>
      <c r="H2029" s="4" t="s">
        <v>25</v>
      </c>
      <c r="I2029" s="5">
        <v>44409</v>
      </c>
      <c r="J2029" s="6">
        <v>0</v>
      </c>
      <c r="K2029" s="6">
        <v>0</v>
      </c>
      <c r="L2029" s="6">
        <v>2558.7779999999998</v>
      </c>
      <c r="M2029" s="6">
        <v>2558.7779999999998</v>
      </c>
      <c r="N2029" s="6">
        <v>2558.7779999999998</v>
      </c>
      <c r="O2029" s="6">
        <v>2558.7779999999998</v>
      </c>
      <c r="P2029" s="6">
        <v>4457</v>
      </c>
      <c r="Q2029" s="4" t="s">
        <v>26</v>
      </c>
      <c r="R2029" s="4">
        <v>0</v>
      </c>
      <c r="S2029" s="6">
        <v>0</v>
      </c>
      <c r="T2029" s="6">
        <v>57</v>
      </c>
      <c r="U2029" s="6">
        <v>100</v>
      </c>
      <c r="V2029" s="6">
        <f>IF(ISERROR(VLOOKUP($S$2029,'TAR FIN'!$A$1:$O$104,15,0)),0,VLOOKUP($S$2029,'TAR FIN'!$A$1:$O$104,15,0))</f>
        <v>0</v>
      </c>
      <c r="W2029" s="6">
        <f>IF(ISERROR(VLOOKUP($T$2029,'TAR FIN'!$A$1:$O$104,15,0)),0,VLOOKUP($T$2029,'TAR FIN'!$A$1:$O$104,15,0))</f>
        <v>341.2</v>
      </c>
      <c r="X2029" s="6">
        <f>IF(ISERROR(VLOOKUP($U$2029,'TAR FIN'!$A$1:$O$104,15,0)),0,VLOOKUP($U$2029,'TAR FIN'!$A$1:$O$104,15,0))</f>
        <v>255.72</v>
      </c>
      <c r="Y2029" s="6"/>
      <c r="Z2029" s="6">
        <f ca="1">('TUSD BE'!$AM$62+'TUSD BF'!$AM$62+'TUSD CVA'!$AM$62)*1</f>
        <v>356.61002995987536</v>
      </c>
      <c r="AA2029" s="6">
        <f>('TE BE'!$AB$41+'TE BF'!$AB$41+'TE CVA'!$AB$41)*1</f>
        <v>242.47071701268419</v>
      </c>
      <c r="AB2029" s="6">
        <f>$K$2029*$V$2029</f>
        <v>0</v>
      </c>
      <c r="AC2029" s="6">
        <f>$M$2029*$W$2029</f>
        <v>873055.05359999987</v>
      </c>
      <c r="AD2029" s="6">
        <f>$O$2029*$X$2029</f>
        <v>654330.7101599999</v>
      </c>
      <c r="AE2029" s="6">
        <f>$K$2029*$Y$2029</f>
        <v>0</v>
      </c>
      <c r="AF2029" s="6">
        <f ca="1">$M$2029*$Z$2029</f>
        <v>912485.89924066991</v>
      </c>
      <c r="AG2029" s="6">
        <f>$O$2029*$AA$2029</f>
        <v>620428.73633628199</v>
      </c>
    </row>
    <row r="2030" spans="1:33" ht="11.25" customHeight="1" x14ac:dyDescent="0.25">
      <c r="A2030" s="4" t="s">
        <v>28</v>
      </c>
      <c r="B2030" s="4" t="s">
        <v>37</v>
      </c>
      <c r="C2030" s="4" t="s">
        <v>23</v>
      </c>
      <c r="D2030" s="4" t="s">
        <v>43</v>
      </c>
      <c r="E2030" s="4" t="s">
        <v>25</v>
      </c>
      <c r="F2030" s="4" t="s">
        <v>25</v>
      </c>
      <c r="G2030" s="4" t="s">
        <v>25</v>
      </c>
      <c r="H2030" s="4" t="s">
        <v>25</v>
      </c>
      <c r="I2030" s="5">
        <v>44409</v>
      </c>
      <c r="J2030" s="6">
        <v>0</v>
      </c>
      <c r="K2030" s="6">
        <v>0</v>
      </c>
      <c r="L2030" s="6">
        <v>-3.19</v>
      </c>
      <c r="M2030" s="6">
        <v>-3.19</v>
      </c>
      <c r="N2030" s="6">
        <v>-3.19</v>
      </c>
      <c r="O2030" s="6">
        <v>-3.19</v>
      </c>
      <c r="P2030" s="6">
        <v>0</v>
      </c>
      <c r="Q2030" s="4" t="s">
        <v>26</v>
      </c>
      <c r="R2030" s="4">
        <v>0</v>
      </c>
      <c r="S2030" s="6">
        <v>0</v>
      </c>
      <c r="T2030" s="6">
        <v>57</v>
      </c>
      <c r="U2030" s="6">
        <v>100</v>
      </c>
      <c r="V2030" s="6">
        <f>IF(ISERROR(VLOOKUP($S$2030,'TAR FIN'!$A$1:$O$104,15,0)),0,VLOOKUP($S$2030,'TAR FIN'!$A$1:$O$104,15,0))</f>
        <v>0</v>
      </c>
      <c r="W2030" s="6">
        <f>IF(ISERROR(VLOOKUP($T$2030,'TAR FIN'!$A$1:$O$104,15,0)),0,VLOOKUP($T$2030,'TAR FIN'!$A$1:$O$104,15,0))</f>
        <v>341.2</v>
      </c>
      <c r="X2030" s="6">
        <f>IF(ISERROR(VLOOKUP($U$2030,'TAR FIN'!$A$1:$O$104,15,0)),0,VLOOKUP($U$2030,'TAR FIN'!$A$1:$O$104,15,0))</f>
        <v>255.72</v>
      </c>
      <c r="Y2030" s="6"/>
      <c r="Z2030" s="6">
        <f ca="1">('TUSD BE'!$AM$62+'TUSD BF'!$AM$62+'TUSD CVA'!$AM$62)*1</f>
        <v>356.61002995987536</v>
      </c>
      <c r="AA2030" s="6">
        <f>('TE BE'!$AB$41+'TE BF'!$AB$41+'TE CVA'!$AB$41)*1</f>
        <v>242.47071701268419</v>
      </c>
      <c r="AB2030" s="6">
        <f>$K$2030*$V$2030</f>
        <v>0</v>
      </c>
      <c r="AC2030" s="6">
        <f>$M$2030*$W$2030</f>
        <v>-1088.4279999999999</v>
      </c>
      <c r="AD2030" s="6">
        <f>$O$2030*$X$2030</f>
        <v>-815.74680000000001</v>
      </c>
      <c r="AE2030" s="6">
        <f>$K$2030*$Y$2030</f>
        <v>0</v>
      </c>
      <c r="AF2030" s="6">
        <f ca="1">$M$2030*$Z$2030</f>
        <v>-1137.5859955720023</v>
      </c>
      <c r="AG2030" s="6">
        <f>$O$2030*$AA$2030</f>
        <v>-773.48158727046257</v>
      </c>
    </row>
    <row r="2031" spans="1:33" ht="11.25" customHeight="1" x14ac:dyDescent="0.25">
      <c r="A2031" s="4" t="s">
        <v>21</v>
      </c>
      <c r="B2031" s="4" t="s">
        <v>37</v>
      </c>
      <c r="C2031" s="4" t="s">
        <v>23</v>
      </c>
      <c r="D2031" s="4" t="s">
        <v>43</v>
      </c>
      <c r="E2031" s="4" t="s">
        <v>25</v>
      </c>
      <c r="F2031" s="4" t="s">
        <v>25</v>
      </c>
      <c r="G2031" s="4" t="s">
        <v>25</v>
      </c>
      <c r="H2031" s="4" t="s">
        <v>25</v>
      </c>
      <c r="I2031" s="5">
        <v>44440</v>
      </c>
      <c r="J2031" s="6">
        <v>0</v>
      </c>
      <c r="K2031" s="6">
        <v>0</v>
      </c>
      <c r="L2031" s="6">
        <v>34240.18</v>
      </c>
      <c r="M2031" s="6">
        <v>34240.18</v>
      </c>
      <c r="N2031" s="6">
        <v>34240.18</v>
      </c>
      <c r="O2031" s="6">
        <v>34240.18</v>
      </c>
      <c r="P2031" s="6">
        <v>91044</v>
      </c>
      <c r="Q2031" s="4" t="s">
        <v>26</v>
      </c>
      <c r="R2031" s="4">
        <v>0</v>
      </c>
      <c r="S2031" s="6">
        <v>0</v>
      </c>
      <c r="T2031" s="6">
        <v>57</v>
      </c>
      <c r="U2031" s="6">
        <v>100</v>
      </c>
      <c r="V2031" s="6">
        <f>IF(ISERROR(VLOOKUP($S$2031,'TAR FIN'!$A$1:$O$104,15,0)),0,VLOOKUP($S$2031,'TAR FIN'!$A$1:$O$104,15,0))</f>
        <v>0</v>
      </c>
      <c r="W2031" s="6">
        <f>IF(ISERROR(VLOOKUP($T$2031,'TAR FIN'!$A$1:$O$104,15,0)),0,VLOOKUP($T$2031,'TAR FIN'!$A$1:$O$104,15,0))</f>
        <v>341.2</v>
      </c>
      <c r="X2031" s="6">
        <f>IF(ISERROR(VLOOKUP($U$2031,'TAR FIN'!$A$1:$O$104,15,0)),0,VLOOKUP($U$2031,'TAR FIN'!$A$1:$O$104,15,0))</f>
        <v>255.72</v>
      </c>
      <c r="Y2031" s="6"/>
      <c r="Z2031" s="6">
        <f ca="1">('TUSD BE'!$AM$62+'TUSD BF'!$AM$62+'TUSD CVA'!$AM$62)*1</f>
        <v>356.61002995987536</v>
      </c>
      <c r="AA2031" s="6">
        <f>('TE BE'!$AB$41+'TE BF'!$AB$41+'TE CVA'!$AB$41)*1</f>
        <v>242.47071701268419</v>
      </c>
      <c r="AB2031" s="6">
        <f>$K$2031*$V$2031</f>
        <v>0</v>
      </c>
      <c r="AC2031" s="6">
        <f>$M$2031*$W$2031</f>
        <v>11682749.415999999</v>
      </c>
      <c r="AD2031" s="6">
        <f>$O$2031*$X$2031</f>
        <v>8755898.8296000008</v>
      </c>
      <c r="AE2031" s="6">
        <f>$K$2031*$Y$2031</f>
        <v>0</v>
      </c>
      <c r="AF2031" s="6">
        <f ca="1">$M$2031*$Z$2031</f>
        <v>12210391.615631524</v>
      </c>
      <c r="AG2031" s="6">
        <f>$O$2031*$AA$2031</f>
        <v>8302240.9952433687</v>
      </c>
    </row>
    <row r="2032" spans="1:33" ht="11.25" customHeight="1" x14ac:dyDescent="0.25">
      <c r="A2032" s="4" t="s">
        <v>27</v>
      </c>
      <c r="B2032" s="4" t="s">
        <v>37</v>
      </c>
      <c r="C2032" s="4" t="s">
        <v>23</v>
      </c>
      <c r="D2032" s="4" t="s">
        <v>43</v>
      </c>
      <c r="E2032" s="4" t="s">
        <v>25</v>
      </c>
      <c r="F2032" s="4" t="s">
        <v>25</v>
      </c>
      <c r="G2032" s="4" t="s">
        <v>25</v>
      </c>
      <c r="H2032" s="4" t="s">
        <v>25</v>
      </c>
      <c r="I2032" s="5">
        <v>44440</v>
      </c>
      <c r="J2032" s="6">
        <v>0</v>
      </c>
      <c r="K2032" s="6">
        <v>0</v>
      </c>
      <c r="L2032" s="6">
        <v>-59.813000000000002</v>
      </c>
      <c r="M2032" s="6">
        <v>-59.813000000000002</v>
      </c>
      <c r="N2032" s="6">
        <v>-59.813000000000002</v>
      </c>
      <c r="O2032" s="6">
        <v>-59.813000000000002</v>
      </c>
      <c r="P2032" s="6">
        <v>-8</v>
      </c>
      <c r="Q2032" s="4" t="s">
        <v>26</v>
      </c>
      <c r="R2032" s="4">
        <v>0</v>
      </c>
      <c r="S2032" s="6">
        <v>0</v>
      </c>
      <c r="T2032" s="6">
        <v>57</v>
      </c>
      <c r="U2032" s="6">
        <v>100</v>
      </c>
      <c r="V2032" s="6">
        <f>IF(ISERROR(VLOOKUP($S$2032,'TAR FIN'!$A$1:$O$104,15,0)),0,VLOOKUP($S$2032,'TAR FIN'!$A$1:$O$104,15,0))</f>
        <v>0</v>
      </c>
      <c r="W2032" s="6">
        <f>IF(ISERROR(VLOOKUP($T$2032,'TAR FIN'!$A$1:$O$104,15,0)),0,VLOOKUP($T$2032,'TAR FIN'!$A$1:$O$104,15,0))</f>
        <v>341.2</v>
      </c>
      <c r="X2032" s="6">
        <f>IF(ISERROR(VLOOKUP($U$2032,'TAR FIN'!$A$1:$O$104,15,0)),0,VLOOKUP($U$2032,'TAR FIN'!$A$1:$O$104,15,0))</f>
        <v>255.72</v>
      </c>
      <c r="Y2032" s="6"/>
      <c r="Z2032" s="6">
        <f ca="1">('TUSD BE'!$AM$62+'TUSD BF'!$AM$62+'TUSD CVA'!$AM$62)*1</f>
        <v>356.61002995987536</v>
      </c>
      <c r="AA2032" s="6">
        <f>('TE BE'!$AB$41+'TE BF'!$AB$41+'TE CVA'!$AB$41)*1</f>
        <v>242.47071701268419</v>
      </c>
      <c r="AB2032" s="6">
        <f>$K$2032*$V$2032</f>
        <v>0</v>
      </c>
      <c r="AC2032" s="6">
        <f>$M$2032*$W$2032</f>
        <v>-20408.195599999999</v>
      </c>
      <c r="AD2032" s="6">
        <f>$O$2032*$X$2032</f>
        <v>-15295.380360000001</v>
      </c>
      <c r="AE2032" s="6">
        <f>$K$2032*$Y$2032</f>
        <v>0</v>
      </c>
      <c r="AF2032" s="6">
        <f ca="1">$M$2032*$Z$2032</f>
        <v>-21329.915721990026</v>
      </c>
      <c r="AG2032" s="6">
        <f>$O$2032*$AA$2032</f>
        <v>-14502.90099667968</v>
      </c>
    </row>
    <row r="2033" spans="1:33" ht="11.25" customHeight="1" x14ac:dyDescent="0.25">
      <c r="A2033" s="4" t="s">
        <v>28</v>
      </c>
      <c r="B2033" s="4" t="s">
        <v>37</v>
      </c>
      <c r="C2033" s="4" t="s">
        <v>23</v>
      </c>
      <c r="D2033" s="4" t="s">
        <v>43</v>
      </c>
      <c r="E2033" s="4" t="s">
        <v>25</v>
      </c>
      <c r="F2033" s="4" t="s">
        <v>25</v>
      </c>
      <c r="G2033" s="4" t="s">
        <v>25</v>
      </c>
      <c r="H2033" s="4" t="s">
        <v>25</v>
      </c>
      <c r="I2033" s="5">
        <v>44440</v>
      </c>
      <c r="J2033" s="6">
        <v>0</v>
      </c>
      <c r="K2033" s="6">
        <v>0</v>
      </c>
      <c r="L2033" s="6">
        <v>2498.384</v>
      </c>
      <c r="M2033" s="6">
        <v>2498.384</v>
      </c>
      <c r="N2033" s="6">
        <v>2498.384</v>
      </c>
      <c r="O2033" s="6">
        <v>2498.384</v>
      </c>
      <c r="P2033" s="6">
        <v>4728</v>
      </c>
      <c r="Q2033" s="4" t="s">
        <v>26</v>
      </c>
      <c r="R2033" s="4">
        <v>0</v>
      </c>
      <c r="S2033" s="6">
        <v>0</v>
      </c>
      <c r="T2033" s="6">
        <v>57</v>
      </c>
      <c r="U2033" s="6">
        <v>100</v>
      </c>
      <c r="V2033" s="6">
        <f>IF(ISERROR(VLOOKUP($S$2033,'TAR FIN'!$A$1:$O$104,15,0)),0,VLOOKUP($S$2033,'TAR FIN'!$A$1:$O$104,15,0))</f>
        <v>0</v>
      </c>
      <c r="W2033" s="6">
        <f>IF(ISERROR(VLOOKUP($T$2033,'TAR FIN'!$A$1:$O$104,15,0)),0,VLOOKUP($T$2033,'TAR FIN'!$A$1:$O$104,15,0))</f>
        <v>341.2</v>
      </c>
      <c r="X2033" s="6">
        <f>IF(ISERROR(VLOOKUP($U$2033,'TAR FIN'!$A$1:$O$104,15,0)),0,VLOOKUP($U$2033,'TAR FIN'!$A$1:$O$104,15,0))</f>
        <v>255.72</v>
      </c>
      <c r="Y2033" s="6"/>
      <c r="Z2033" s="6">
        <f ca="1">('TUSD BE'!$AM$62+'TUSD BF'!$AM$62+'TUSD CVA'!$AM$62)*1</f>
        <v>356.61002995987536</v>
      </c>
      <c r="AA2033" s="6">
        <f>('TE BE'!$AB$41+'TE BF'!$AB$41+'TE CVA'!$AB$41)*1</f>
        <v>242.47071701268419</v>
      </c>
      <c r="AB2033" s="6">
        <f>$K$2033*$V$2033</f>
        <v>0</v>
      </c>
      <c r="AC2033" s="6">
        <f>$M$2033*$W$2033</f>
        <v>852448.62080000003</v>
      </c>
      <c r="AD2033" s="6">
        <f>$O$2033*$X$2033</f>
        <v>638886.75647999998</v>
      </c>
      <c r="AE2033" s="6">
        <f>$K$2033*$Y$2033</f>
        <v>0</v>
      </c>
      <c r="AF2033" s="6">
        <f ca="1">$M$2033*$Z$2033</f>
        <v>890948.79309127328</v>
      </c>
      <c r="AG2033" s="6">
        <f>$O$2033*$AA$2033</f>
        <v>605784.95985301794</v>
      </c>
    </row>
    <row r="2034" spans="1:33" ht="11.25" customHeight="1" x14ac:dyDescent="0.25">
      <c r="A2034" s="4" t="s">
        <v>28</v>
      </c>
      <c r="B2034" s="4" t="s">
        <v>37</v>
      </c>
      <c r="C2034" s="4" t="s">
        <v>23</v>
      </c>
      <c r="D2034" s="4" t="s">
        <v>43</v>
      </c>
      <c r="E2034" s="4" t="s">
        <v>25</v>
      </c>
      <c r="F2034" s="4" t="s">
        <v>25</v>
      </c>
      <c r="G2034" s="4" t="s">
        <v>25</v>
      </c>
      <c r="H2034" s="4" t="s">
        <v>25</v>
      </c>
      <c r="I2034" s="5">
        <v>44440</v>
      </c>
      <c r="J2034" s="6">
        <v>0</v>
      </c>
      <c r="K2034" s="6">
        <v>0</v>
      </c>
      <c r="L2034" s="6">
        <v>-1.3560000000000001</v>
      </c>
      <c r="M2034" s="6">
        <v>-1.3560000000000001</v>
      </c>
      <c r="N2034" s="6">
        <v>-1.3560000000000001</v>
      </c>
      <c r="O2034" s="6">
        <v>-1.3560000000000001</v>
      </c>
      <c r="P2034" s="6">
        <v>0</v>
      </c>
      <c r="Q2034" s="4" t="s">
        <v>26</v>
      </c>
      <c r="R2034" s="4">
        <v>0</v>
      </c>
      <c r="S2034" s="6">
        <v>0</v>
      </c>
      <c r="T2034" s="6">
        <v>57</v>
      </c>
      <c r="U2034" s="6">
        <v>100</v>
      </c>
      <c r="V2034" s="6">
        <f>IF(ISERROR(VLOOKUP($S$2034,'TAR FIN'!$A$1:$O$104,15,0)),0,VLOOKUP($S$2034,'TAR FIN'!$A$1:$O$104,15,0))</f>
        <v>0</v>
      </c>
      <c r="W2034" s="6">
        <f>IF(ISERROR(VLOOKUP($T$2034,'TAR FIN'!$A$1:$O$104,15,0)),0,VLOOKUP($T$2034,'TAR FIN'!$A$1:$O$104,15,0))</f>
        <v>341.2</v>
      </c>
      <c r="X2034" s="6">
        <f>IF(ISERROR(VLOOKUP($U$2034,'TAR FIN'!$A$1:$O$104,15,0)),0,VLOOKUP($U$2034,'TAR FIN'!$A$1:$O$104,15,0))</f>
        <v>255.72</v>
      </c>
      <c r="Y2034" s="6"/>
      <c r="Z2034" s="6">
        <f ca="1">('TUSD BE'!$AM$62+'TUSD BF'!$AM$62+'TUSD CVA'!$AM$62)*1</f>
        <v>356.61002995987536</v>
      </c>
      <c r="AA2034" s="6">
        <f>('TE BE'!$AB$41+'TE BF'!$AB$41+'TE CVA'!$AB$41)*1</f>
        <v>242.47071701268419</v>
      </c>
      <c r="AB2034" s="6">
        <f>$K$2034*$V$2034</f>
        <v>0</v>
      </c>
      <c r="AC2034" s="6">
        <f>$M$2034*$W$2034</f>
        <v>-462.66720000000004</v>
      </c>
      <c r="AD2034" s="6">
        <f>$O$2034*$X$2034</f>
        <v>-346.75632000000002</v>
      </c>
      <c r="AE2034" s="6">
        <f>$K$2034*$Y$2034</f>
        <v>0</v>
      </c>
      <c r="AF2034" s="6">
        <f ca="1">$M$2034*$Z$2034</f>
        <v>-483.56320062559104</v>
      </c>
      <c r="AG2034" s="6">
        <f>$O$2034*$AA$2034</f>
        <v>-328.79029226919977</v>
      </c>
    </row>
    <row r="2035" spans="1:33" ht="11.25" customHeight="1" x14ac:dyDescent="0.25">
      <c r="A2035" s="4" t="s">
        <v>21</v>
      </c>
      <c r="B2035" s="4" t="s">
        <v>37</v>
      </c>
      <c r="C2035" s="4" t="s">
        <v>23</v>
      </c>
      <c r="D2035" s="4" t="s">
        <v>43</v>
      </c>
      <c r="E2035" s="4" t="s">
        <v>25</v>
      </c>
      <c r="F2035" s="4" t="s">
        <v>25</v>
      </c>
      <c r="G2035" s="4" t="s">
        <v>25</v>
      </c>
      <c r="H2035" s="4" t="s">
        <v>25</v>
      </c>
      <c r="I2035" s="5">
        <v>44470</v>
      </c>
      <c r="J2035" s="6">
        <v>0</v>
      </c>
      <c r="K2035" s="6">
        <v>0</v>
      </c>
      <c r="L2035" s="6">
        <v>36126.531999999999</v>
      </c>
      <c r="M2035" s="6">
        <v>36126.531999999999</v>
      </c>
      <c r="N2035" s="6">
        <v>36126.531999999999</v>
      </c>
      <c r="O2035" s="6">
        <v>36126.531999999999</v>
      </c>
      <c r="P2035" s="6">
        <v>91021</v>
      </c>
      <c r="Q2035" s="4" t="s">
        <v>26</v>
      </c>
      <c r="R2035" s="4">
        <v>0</v>
      </c>
      <c r="S2035" s="6">
        <v>0</v>
      </c>
      <c r="T2035" s="6">
        <v>57</v>
      </c>
      <c r="U2035" s="6">
        <v>100</v>
      </c>
      <c r="V2035" s="6">
        <f>IF(ISERROR(VLOOKUP($S$2035,'TAR FIN'!$A$1:$O$104,15,0)),0,VLOOKUP($S$2035,'TAR FIN'!$A$1:$O$104,15,0))</f>
        <v>0</v>
      </c>
      <c r="W2035" s="6">
        <f>IF(ISERROR(VLOOKUP($T$2035,'TAR FIN'!$A$1:$O$104,15,0)),0,VLOOKUP($T$2035,'TAR FIN'!$A$1:$O$104,15,0))</f>
        <v>341.2</v>
      </c>
      <c r="X2035" s="6">
        <f>IF(ISERROR(VLOOKUP($U$2035,'TAR FIN'!$A$1:$O$104,15,0)),0,VLOOKUP($U$2035,'TAR FIN'!$A$1:$O$104,15,0))</f>
        <v>255.72</v>
      </c>
      <c r="Y2035" s="6"/>
      <c r="Z2035" s="6">
        <f ca="1">('TUSD BE'!$AM$62+'TUSD BF'!$AM$62+'TUSD CVA'!$AM$62)*1</f>
        <v>356.61002995987536</v>
      </c>
      <c r="AA2035" s="6">
        <f>('TE BE'!$AB$41+'TE BF'!$AB$41+'TE CVA'!$AB$41)*1</f>
        <v>242.47071701268419</v>
      </c>
      <c r="AB2035" s="6">
        <f>$K$2035*$V$2035</f>
        <v>0</v>
      </c>
      <c r="AC2035" s="6">
        <f>$M$2035*$W$2035</f>
        <v>12326372.7184</v>
      </c>
      <c r="AD2035" s="6">
        <f>$O$2035*$X$2035</f>
        <v>9238276.7630400006</v>
      </c>
      <c r="AE2035" s="6">
        <f>$K$2035*$Y$2035</f>
        <v>0</v>
      </c>
      <c r="AF2035" s="6">
        <f ca="1">$M$2035*$Z$2035</f>
        <v>12883083.658866396</v>
      </c>
      <c r="AG2035" s="6">
        <f>$O$2035*$AA$2035</f>
        <v>8759626.1172216795</v>
      </c>
    </row>
    <row r="2036" spans="1:33" ht="11.25" customHeight="1" x14ac:dyDescent="0.25">
      <c r="A2036" s="4" t="s">
        <v>27</v>
      </c>
      <c r="B2036" s="4" t="s">
        <v>37</v>
      </c>
      <c r="C2036" s="4" t="s">
        <v>23</v>
      </c>
      <c r="D2036" s="4" t="s">
        <v>43</v>
      </c>
      <c r="E2036" s="4" t="s">
        <v>25</v>
      </c>
      <c r="F2036" s="4" t="s">
        <v>25</v>
      </c>
      <c r="G2036" s="4" t="s">
        <v>25</v>
      </c>
      <c r="H2036" s="4" t="s">
        <v>25</v>
      </c>
      <c r="I2036" s="5">
        <v>44470</v>
      </c>
      <c r="J2036" s="6">
        <v>0</v>
      </c>
      <c r="K2036" s="6">
        <v>0</v>
      </c>
      <c r="L2036" s="6">
        <v>-6.7889999999999997</v>
      </c>
      <c r="M2036" s="6">
        <v>-6.7889999999999997</v>
      </c>
      <c r="N2036" s="6">
        <v>-6.7889999999999997</v>
      </c>
      <c r="O2036" s="6">
        <v>-6.7889999999999997</v>
      </c>
      <c r="P2036" s="6">
        <v>-8</v>
      </c>
      <c r="Q2036" s="4" t="s">
        <v>26</v>
      </c>
      <c r="R2036" s="4">
        <v>0</v>
      </c>
      <c r="S2036" s="6">
        <v>0</v>
      </c>
      <c r="T2036" s="6">
        <v>57</v>
      </c>
      <c r="U2036" s="6">
        <v>100</v>
      </c>
      <c r="V2036" s="6">
        <f>IF(ISERROR(VLOOKUP($S$2036,'TAR FIN'!$A$1:$O$104,15,0)),0,VLOOKUP($S$2036,'TAR FIN'!$A$1:$O$104,15,0))</f>
        <v>0</v>
      </c>
      <c r="W2036" s="6">
        <f>IF(ISERROR(VLOOKUP($T$2036,'TAR FIN'!$A$1:$O$104,15,0)),0,VLOOKUP($T$2036,'TAR FIN'!$A$1:$O$104,15,0))</f>
        <v>341.2</v>
      </c>
      <c r="X2036" s="6">
        <f>IF(ISERROR(VLOOKUP($U$2036,'TAR FIN'!$A$1:$O$104,15,0)),0,VLOOKUP($U$2036,'TAR FIN'!$A$1:$O$104,15,0))</f>
        <v>255.72</v>
      </c>
      <c r="Y2036" s="6"/>
      <c r="Z2036" s="6">
        <f ca="1">('TUSD BE'!$AM$62+'TUSD BF'!$AM$62+'TUSD CVA'!$AM$62)*1</f>
        <v>356.61002995987536</v>
      </c>
      <c r="AA2036" s="6">
        <f>('TE BE'!$AB$41+'TE BF'!$AB$41+'TE CVA'!$AB$41)*1</f>
        <v>242.47071701268419</v>
      </c>
      <c r="AB2036" s="6">
        <f>$K$2036*$V$2036</f>
        <v>0</v>
      </c>
      <c r="AC2036" s="6">
        <f>$M$2036*$W$2036</f>
        <v>-2316.4067999999997</v>
      </c>
      <c r="AD2036" s="6">
        <f>$O$2036*$X$2036</f>
        <v>-1736.0830799999999</v>
      </c>
      <c r="AE2036" s="6">
        <f>$K$2036*$Y$2036</f>
        <v>0</v>
      </c>
      <c r="AF2036" s="6">
        <f ca="1">$M$2036*$Z$2036</f>
        <v>-2421.0254933975939</v>
      </c>
      <c r="AG2036" s="6">
        <f>$O$2036*$AA$2036</f>
        <v>-1646.133697799113</v>
      </c>
    </row>
    <row r="2037" spans="1:33" ht="11.25" customHeight="1" x14ac:dyDescent="0.25">
      <c r="A2037" s="4" t="s">
        <v>28</v>
      </c>
      <c r="B2037" s="4" t="s">
        <v>37</v>
      </c>
      <c r="C2037" s="4" t="s">
        <v>23</v>
      </c>
      <c r="D2037" s="4" t="s">
        <v>43</v>
      </c>
      <c r="E2037" s="4" t="s">
        <v>25</v>
      </c>
      <c r="F2037" s="4" t="s">
        <v>25</v>
      </c>
      <c r="G2037" s="4" t="s">
        <v>25</v>
      </c>
      <c r="H2037" s="4" t="s">
        <v>25</v>
      </c>
      <c r="I2037" s="5">
        <v>44470</v>
      </c>
      <c r="J2037" s="6">
        <v>0</v>
      </c>
      <c r="K2037" s="6">
        <v>0</v>
      </c>
      <c r="L2037" s="6">
        <v>2660.076</v>
      </c>
      <c r="M2037" s="6">
        <v>2660.076</v>
      </c>
      <c r="N2037" s="6">
        <v>2660.076</v>
      </c>
      <c r="O2037" s="6">
        <v>2660.076</v>
      </c>
      <c r="P2037" s="6">
        <v>4974</v>
      </c>
      <c r="Q2037" s="4" t="s">
        <v>26</v>
      </c>
      <c r="R2037" s="4">
        <v>0</v>
      </c>
      <c r="S2037" s="6">
        <v>0</v>
      </c>
      <c r="T2037" s="6">
        <v>57</v>
      </c>
      <c r="U2037" s="6">
        <v>100</v>
      </c>
      <c r="V2037" s="6">
        <f>IF(ISERROR(VLOOKUP($S$2037,'TAR FIN'!$A$1:$O$104,15,0)),0,VLOOKUP($S$2037,'TAR FIN'!$A$1:$O$104,15,0))</f>
        <v>0</v>
      </c>
      <c r="W2037" s="6">
        <f>IF(ISERROR(VLOOKUP($T$2037,'TAR FIN'!$A$1:$O$104,15,0)),0,VLOOKUP($T$2037,'TAR FIN'!$A$1:$O$104,15,0))</f>
        <v>341.2</v>
      </c>
      <c r="X2037" s="6">
        <f>IF(ISERROR(VLOOKUP($U$2037,'TAR FIN'!$A$1:$O$104,15,0)),0,VLOOKUP($U$2037,'TAR FIN'!$A$1:$O$104,15,0))</f>
        <v>255.72</v>
      </c>
      <c r="Y2037" s="6"/>
      <c r="Z2037" s="6">
        <f ca="1">('TUSD BE'!$AM$62+'TUSD BF'!$AM$62+'TUSD CVA'!$AM$62)*1</f>
        <v>356.61002995987536</v>
      </c>
      <c r="AA2037" s="6">
        <f>('TE BE'!$AB$41+'TE BF'!$AB$41+'TE CVA'!$AB$41)*1</f>
        <v>242.47071701268419</v>
      </c>
      <c r="AB2037" s="6">
        <f>$K$2037*$V$2037</f>
        <v>0</v>
      </c>
      <c r="AC2037" s="6">
        <f>$M$2037*$W$2037</f>
        <v>907617.93119999999</v>
      </c>
      <c r="AD2037" s="6">
        <f>$O$2037*$X$2037</f>
        <v>680234.63471999997</v>
      </c>
      <c r="AE2037" s="6">
        <f>$K$2037*$Y$2037</f>
        <v>0</v>
      </c>
      <c r="AF2037" s="6">
        <f ca="1">$M$2037*$Z$2037</f>
        <v>948609.78205554537</v>
      </c>
      <c r="AG2037" s="6">
        <f>$O$2037*$AA$2037</f>
        <v>644990.53502823296</v>
      </c>
    </row>
    <row r="2038" spans="1:33" ht="11.25" customHeight="1" x14ac:dyDescent="0.25">
      <c r="A2038" s="4" t="s">
        <v>28</v>
      </c>
      <c r="B2038" s="4" t="s">
        <v>37</v>
      </c>
      <c r="C2038" s="4" t="s">
        <v>23</v>
      </c>
      <c r="D2038" s="4" t="s">
        <v>43</v>
      </c>
      <c r="E2038" s="4" t="s">
        <v>25</v>
      </c>
      <c r="F2038" s="4" t="s">
        <v>25</v>
      </c>
      <c r="G2038" s="4" t="s">
        <v>25</v>
      </c>
      <c r="H2038" s="4" t="s">
        <v>25</v>
      </c>
      <c r="I2038" s="5">
        <v>44470</v>
      </c>
      <c r="J2038" s="6">
        <v>0</v>
      </c>
      <c r="K2038" s="6">
        <v>0</v>
      </c>
      <c r="L2038" s="6">
        <v>-100.13</v>
      </c>
      <c r="M2038" s="6">
        <v>-100.13</v>
      </c>
      <c r="N2038" s="6">
        <v>-100.13</v>
      </c>
      <c r="O2038" s="6">
        <v>-100.13</v>
      </c>
      <c r="P2038" s="6">
        <v>-1</v>
      </c>
      <c r="Q2038" s="4" t="s">
        <v>26</v>
      </c>
      <c r="R2038" s="4">
        <v>0</v>
      </c>
      <c r="S2038" s="6">
        <v>0</v>
      </c>
      <c r="T2038" s="6">
        <v>57</v>
      </c>
      <c r="U2038" s="6">
        <v>100</v>
      </c>
      <c r="V2038" s="6">
        <f>IF(ISERROR(VLOOKUP($S$2038,'TAR FIN'!$A$1:$O$104,15,0)),0,VLOOKUP($S$2038,'TAR FIN'!$A$1:$O$104,15,0))</f>
        <v>0</v>
      </c>
      <c r="W2038" s="6">
        <f>IF(ISERROR(VLOOKUP($T$2038,'TAR FIN'!$A$1:$O$104,15,0)),0,VLOOKUP($T$2038,'TAR FIN'!$A$1:$O$104,15,0))</f>
        <v>341.2</v>
      </c>
      <c r="X2038" s="6">
        <f>IF(ISERROR(VLOOKUP($U$2038,'TAR FIN'!$A$1:$O$104,15,0)),0,VLOOKUP($U$2038,'TAR FIN'!$A$1:$O$104,15,0))</f>
        <v>255.72</v>
      </c>
      <c r="Y2038" s="6"/>
      <c r="Z2038" s="6">
        <f ca="1">('TUSD BE'!$AM$62+'TUSD BF'!$AM$62+'TUSD CVA'!$AM$62)*1</f>
        <v>356.61002995987536</v>
      </c>
      <c r="AA2038" s="6">
        <f>('TE BE'!$AB$41+'TE BF'!$AB$41+'TE CVA'!$AB$41)*1</f>
        <v>242.47071701268419</v>
      </c>
      <c r="AB2038" s="6">
        <f>$K$2038*$V$2038</f>
        <v>0</v>
      </c>
      <c r="AC2038" s="6">
        <f>$M$2038*$W$2038</f>
        <v>-34164.356</v>
      </c>
      <c r="AD2038" s="6">
        <f>$O$2038*$X$2038</f>
        <v>-25605.243599999998</v>
      </c>
      <c r="AE2038" s="6">
        <f>$K$2038*$Y$2038</f>
        <v>0</v>
      </c>
      <c r="AF2038" s="6">
        <f ca="1">$M$2038*$Z$2038</f>
        <v>-35707.362299882319</v>
      </c>
      <c r="AG2038" s="6">
        <f>$O$2038*$AA$2038</f>
        <v>-24278.592894480065</v>
      </c>
    </row>
    <row r="2039" spans="1:33" ht="11.25" customHeight="1" x14ac:dyDescent="0.25">
      <c r="A2039" s="4" t="s">
        <v>21</v>
      </c>
      <c r="B2039" s="4" t="s">
        <v>37</v>
      </c>
      <c r="C2039" s="4" t="s">
        <v>23</v>
      </c>
      <c r="D2039" s="4" t="s">
        <v>43</v>
      </c>
      <c r="E2039" s="4" t="s">
        <v>25</v>
      </c>
      <c r="F2039" s="4" t="s">
        <v>25</v>
      </c>
      <c r="G2039" s="4" t="s">
        <v>25</v>
      </c>
      <c r="H2039" s="4" t="s">
        <v>25</v>
      </c>
      <c r="I2039" s="5">
        <v>44501</v>
      </c>
      <c r="J2039" s="6">
        <v>0</v>
      </c>
      <c r="K2039" s="6">
        <v>0</v>
      </c>
      <c r="L2039" s="6">
        <v>36073.413</v>
      </c>
      <c r="M2039" s="6">
        <v>36073.413</v>
      </c>
      <c r="N2039" s="6">
        <v>36073.413</v>
      </c>
      <c r="O2039" s="6">
        <v>36073.413</v>
      </c>
      <c r="P2039" s="6">
        <v>90778</v>
      </c>
      <c r="Q2039" s="4" t="s">
        <v>26</v>
      </c>
      <c r="R2039" s="4">
        <v>0</v>
      </c>
      <c r="S2039" s="6">
        <v>0</v>
      </c>
      <c r="T2039" s="6">
        <v>57</v>
      </c>
      <c r="U2039" s="6">
        <v>100</v>
      </c>
      <c r="V2039" s="6">
        <f>IF(ISERROR(VLOOKUP($S$2039,'TAR FIN'!$A$1:$O$104,15,0)),0,VLOOKUP($S$2039,'TAR FIN'!$A$1:$O$104,15,0))</f>
        <v>0</v>
      </c>
      <c r="W2039" s="6">
        <f>IF(ISERROR(VLOOKUP($T$2039,'TAR FIN'!$A$1:$O$104,15,0)),0,VLOOKUP($T$2039,'TAR FIN'!$A$1:$O$104,15,0))</f>
        <v>341.2</v>
      </c>
      <c r="X2039" s="6">
        <f>IF(ISERROR(VLOOKUP($U$2039,'TAR FIN'!$A$1:$O$104,15,0)),0,VLOOKUP($U$2039,'TAR FIN'!$A$1:$O$104,15,0))</f>
        <v>255.72</v>
      </c>
      <c r="Y2039" s="6"/>
      <c r="Z2039" s="6">
        <f ca="1">('TUSD BE'!$AM$62+'TUSD BF'!$AM$62+'TUSD CVA'!$AM$62)*1</f>
        <v>356.61002995987536</v>
      </c>
      <c r="AA2039" s="6">
        <f>('TE BE'!$AB$41+'TE BF'!$AB$41+'TE CVA'!$AB$41)*1</f>
        <v>242.47071701268419</v>
      </c>
      <c r="AB2039" s="6">
        <f>$K$2039*$V$2039</f>
        <v>0</v>
      </c>
      <c r="AC2039" s="6">
        <f>$M$2039*$W$2039</f>
        <v>12308248.5156</v>
      </c>
      <c r="AD2039" s="6">
        <f>$O$2039*$X$2039</f>
        <v>9224693.1723599993</v>
      </c>
      <c r="AE2039" s="6">
        <f>$K$2039*$Y$2039</f>
        <v>0</v>
      </c>
      <c r="AF2039" s="6">
        <f ca="1">$M$2039*$Z$2039</f>
        <v>12864140.890684957</v>
      </c>
      <c r="AG2039" s="6">
        <f>$O$2039*$AA$2039</f>
        <v>8746746.3152046837</v>
      </c>
    </row>
    <row r="2040" spans="1:33" ht="11.25" customHeight="1" x14ac:dyDescent="0.25">
      <c r="A2040" s="4" t="s">
        <v>27</v>
      </c>
      <c r="B2040" s="4" t="s">
        <v>37</v>
      </c>
      <c r="C2040" s="4" t="s">
        <v>23</v>
      </c>
      <c r="D2040" s="4" t="s">
        <v>43</v>
      </c>
      <c r="E2040" s="4" t="s">
        <v>25</v>
      </c>
      <c r="F2040" s="4" t="s">
        <v>25</v>
      </c>
      <c r="G2040" s="4" t="s">
        <v>25</v>
      </c>
      <c r="H2040" s="4" t="s">
        <v>25</v>
      </c>
      <c r="I2040" s="5">
        <v>44501</v>
      </c>
      <c r="J2040" s="6">
        <v>0</v>
      </c>
      <c r="K2040" s="6">
        <v>0</v>
      </c>
      <c r="L2040" s="6">
        <v>-76.182000000000002</v>
      </c>
      <c r="M2040" s="6">
        <v>-76.182000000000002</v>
      </c>
      <c r="N2040" s="6">
        <v>-76.182000000000002</v>
      </c>
      <c r="O2040" s="6">
        <v>-76.182000000000002</v>
      </c>
      <c r="P2040" s="6">
        <v>-6</v>
      </c>
      <c r="Q2040" s="4" t="s">
        <v>26</v>
      </c>
      <c r="R2040" s="4">
        <v>0</v>
      </c>
      <c r="S2040" s="6">
        <v>0</v>
      </c>
      <c r="T2040" s="6">
        <v>57</v>
      </c>
      <c r="U2040" s="6">
        <v>100</v>
      </c>
      <c r="V2040" s="6">
        <f>IF(ISERROR(VLOOKUP($S$2040,'TAR FIN'!$A$1:$O$104,15,0)),0,VLOOKUP($S$2040,'TAR FIN'!$A$1:$O$104,15,0))</f>
        <v>0</v>
      </c>
      <c r="W2040" s="6">
        <f>IF(ISERROR(VLOOKUP($T$2040,'TAR FIN'!$A$1:$O$104,15,0)),0,VLOOKUP($T$2040,'TAR FIN'!$A$1:$O$104,15,0))</f>
        <v>341.2</v>
      </c>
      <c r="X2040" s="6">
        <f>IF(ISERROR(VLOOKUP($U$2040,'TAR FIN'!$A$1:$O$104,15,0)),0,VLOOKUP($U$2040,'TAR FIN'!$A$1:$O$104,15,0))</f>
        <v>255.72</v>
      </c>
      <c r="Y2040" s="6"/>
      <c r="Z2040" s="6">
        <f ca="1">('TUSD BE'!$AM$62+'TUSD BF'!$AM$62+'TUSD CVA'!$AM$62)*1</f>
        <v>356.61002995987536</v>
      </c>
      <c r="AA2040" s="6">
        <f>('TE BE'!$AB$41+'TE BF'!$AB$41+'TE CVA'!$AB$41)*1</f>
        <v>242.47071701268419</v>
      </c>
      <c r="AB2040" s="6">
        <f>$K$2040*$V$2040</f>
        <v>0</v>
      </c>
      <c r="AC2040" s="6">
        <f>$M$2040*$W$2040</f>
        <v>-25993.2984</v>
      </c>
      <c r="AD2040" s="6">
        <f>$O$2040*$X$2040</f>
        <v>-19481.261040000001</v>
      </c>
      <c r="AE2040" s="6">
        <f>$K$2040*$Y$2040</f>
        <v>0</v>
      </c>
      <c r="AF2040" s="6">
        <f ca="1">$M$2040*$Z$2040</f>
        <v>-27167.265302403226</v>
      </c>
      <c r="AG2040" s="6">
        <f>$O$2040*$AA$2040</f>
        <v>-18471.904163460309</v>
      </c>
    </row>
    <row r="2041" spans="1:33" ht="11.25" customHeight="1" x14ac:dyDescent="0.25">
      <c r="A2041" s="4" t="s">
        <v>28</v>
      </c>
      <c r="B2041" s="4" t="s">
        <v>37</v>
      </c>
      <c r="C2041" s="4" t="s">
        <v>23</v>
      </c>
      <c r="D2041" s="4" t="s">
        <v>43</v>
      </c>
      <c r="E2041" s="4" t="s">
        <v>25</v>
      </c>
      <c r="F2041" s="4" t="s">
        <v>25</v>
      </c>
      <c r="G2041" s="4" t="s">
        <v>25</v>
      </c>
      <c r="H2041" s="4" t="s">
        <v>25</v>
      </c>
      <c r="I2041" s="5">
        <v>44501</v>
      </c>
      <c r="J2041" s="6">
        <v>0</v>
      </c>
      <c r="K2041" s="6">
        <v>0</v>
      </c>
      <c r="L2041" s="6">
        <v>2904.2550000000001</v>
      </c>
      <c r="M2041" s="6">
        <v>2904.2550000000001</v>
      </c>
      <c r="N2041" s="6">
        <v>2904.2550000000001</v>
      </c>
      <c r="O2041" s="6">
        <v>2904.2550000000001</v>
      </c>
      <c r="P2041" s="6">
        <v>5183</v>
      </c>
      <c r="Q2041" s="4" t="s">
        <v>26</v>
      </c>
      <c r="R2041" s="4">
        <v>0</v>
      </c>
      <c r="S2041" s="6">
        <v>0</v>
      </c>
      <c r="T2041" s="6">
        <v>57</v>
      </c>
      <c r="U2041" s="6">
        <v>100</v>
      </c>
      <c r="V2041" s="6">
        <f>IF(ISERROR(VLOOKUP($S$2041,'TAR FIN'!$A$1:$O$104,15,0)),0,VLOOKUP($S$2041,'TAR FIN'!$A$1:$O$104,15,0))</f>
        <v>0</v>
      </c>
      <c r="W2041" s="6">
        <f>IF(ISERROR(VLOOKUP($T$2041,'TAR FIN'!$A$1:$O$104,15,0)),0,VLOOKUP($T$2041,'TAR FIN'!$A$1:$O$104,15,0))</f>
        <v>341.2</v>
      </c>
      <c r="X2041" s="6">
        <f>IF(ISERROR(VLOOKUP($U$2041,'TAR FIN'!$A$1:$O$104,15,0)),0,VLOOKUP($U$2041,'TAR FIN'!$A$1:$O$104,15,0))</f>
        <v>255.72</v>
      </c>
      <c r="Y2041" s="6"/>
      <c r="Z2041" s="6">
        <f ca="1">('TUSD BE'!$AM$62+'TUSD BF'!$AM$62+'TUSD CVA'!$AM$62)*1</f>
        <v>356.61002995987536</v>
      </c>
      <c r="AA2041" s="6">
        <f>('TE BE'!$AB$41+'TE BF'!$AB$41+'TE CVA'!$AB$41)*1</f>
        <v>242.47071701268419</v>
      </c>
      <c r="AB2041" s="6">
        <f>$K$2041*$V$2041</f>
        <v>0</v>
      </c>
      <c r="AC2041" s="6">
        <f>$M$2041*$W$2041</f>
        <v>990931.80599999998</v>
      </c>
      <c r="AD2041" s="6">
        <f>$O$2041*$X$2041</f>
        <v>742676.08860000002</v>
      </c>
      <c r="AE2041" s="6">
        <f>$K$2041*$Y$2041</f>
        <v>0</v>
      </c>
      <c r="AF2041" s="6">
        <f ca="1">$M$2041*$Z$2041</f>
        <v>1035686.4625611178</v>
      </c>
      <c r="AG2041" s="6">
        <f>$O$2041*$AA$2041</f>
        <v>704196.79223767319</v>
      </c>
    </row>
    <row r="2042" spans="1:33" ht="11.25" customHeight="1" x14ac:dyDescent="0.25">
      <c r="A2042" s="4" t="s">
        <v>28</v>
      </c>
      <c r="B2042" s="4" t="s">
        <v>37</v>
      </c>
      <c r="C2042" s="4" t="s">
        <v>23</v>
      </c>
      <c r="D2042" s="4" t="s">
        <v>43</v>
      </c>
      <c r="E2042" s="4" t="s">
        <v>25</v>
      </c>
      <c r="F2042" s="4" t="s">
        <v>25</v>
      </c>
      <c r="G2042" s="4" t="s">
        <v>25</v>
      </c>
      <c r="H2042" s="4" t="s">
        <v>25</v>
      </c>
      <c r="I2042" s="5">
        <v>44501</v>
      </c>
      <c r="J2042" s="6">
        <v>0</v>
      </c>
      <c r="K2042" s="6">
        <v>0</v>
      </c>
      <c r="L2042" s="6">
        <v>-15.951000000000001</v>
      </c>
      <c r="M2042" s="6">
        <v>-15.951000000000001</v>
      </c>
      <c r="N2042" s="6">
        <v>-15.951000000000001</v>
      </c>
      <c r="O2042" s="6">
        <v>-15.951000000000001</v>
      </c>
      <c r="P2042" s="6">
        <v>0</v>
      </c>
      <c r="Q2042" s="4" t="s">
        <v>26</v>
      </c>
      <c r="R2042" s="4">
        <v>0</v>
      </c>
      <c r="S2042" s="6">
        <v>0</v>
      </c>
      <c r="T2042" s="6">
        <v>57</v>
      </c>
      <c r="U2042" s="6">
        <v>100</v>
      </c>
      <c r="V2042" s="6">
        <f>IF(ISERROR(VLOOKUP($S$2042,'TAR FIN'!$A$1:$O$104,15,0)),0,VLOOKUP($S$2042,'TAR FIN'!$A$1:$O$104,15,0))</f>
        <v>0</v>
      </c>
      <c r="W2042" s="6">
        <f>IF(ISERROR(VLOOKUP($T$2042,'TAR FIN'!$A$1:$O$104,15,0)),0,VLOOKUP($T$2042,'TAR FIN'!$A$1:$O$104,15,0))</f>
        <v>341.2</v>
      </c>
      <c r="X2042" s="6">
        <f>IF(ISERROR(VLOOKUP($U$2042,'TAR FIN'!$A$1:$O$104,15,0)),0,VLOOKUP($U$2042,'TAR FIN'!$A$1:$O$104,15,0))</f>
        <v>255.72</v>
      </c>
      <c r="Y2042" s="6"/>
      <c r="Z2042" s="6">
        <f ca="1">('TUSD BE'!$AM$62+'TUSD BF'!$AM$62+'TUSD CVA'!$AM$62)*1</f>
        <v>356.61002995987536</v>
      </c>
      <c r="AA2042" s="6">
        <f>('TE BE'!$AB$41+'TE BF'!$AB$41+'TE CVA'!$AB$41)*1</f>
        <v>242.47071701268419</v>
      </c>
      <c r="AB2042" s="6">
        <f>$K$2042*$V$2042</f>
        <v>0</v>
      </c>
      <c r="AC2042" s="6">
        <f>$M$2042*$W$2042</f>
        <v>-5442.4812000000002</v>
      </c>
      <c r="AD2042" s="6">
        <f>$O$2042*$X$2042</f>
        <v>-4078.98972</v>
      </c>
      <c r="AE2042" s="6">
        <f>$K$2042*$Y$2042</f>
        <v>0</v>
      </c>
      <c r="AF2042" s="6">
        <f ca="1">$M$2042*$Z$2042</f>
        <v>-5688.286587889972</v>
      </c>
      <c r="AG2042" s="6">
        <f>$O$2042*$AA$2042</f>
        <v>-3867.6504070693259</v>
      </c>
    </row>
    <row r="2043" spans="1:33" ht="11.25" customHeight="1" x14ac:dyDescent="0.25">
      <c r="A2043" s="4" t="s">
        <v>21</v>
      </c>
      <c r="B2043" s="4" t="s">
        <v>37</v>
      </c>
      <c r="C2043" s="4" t="s">
        <v>23</v>
      </c>
      <c r="D2043" s="4" t="s">
        <v>43</v>
      </c>
      <c r="E2043" s="4" t="s">
        <v>25</v>
      </c>
      <c r="F2043" s="4" t="s">
        <v>25</v>
      </c>
      <c r="G2043" s="4" t="s">
        <v>25</v>
      </c>
      <c r="H2043" s="4" t="s">
        <v>25</v>
      </c>
      <c r="I2043" s="5">
        <v>44531</v>
      </c>
      <c r="J2043" s="6">
        <v>0</v>
      </c>
      <c r="K2043" s="6">
        <v>0</v>
      </c>
      <c r="L2043" s="6">
        <v>40202.006000000001</v>
      </c>
      <c r="M2043" s="6">
        <v>40202.006000000001</v>
      </c>
      <c r="N2043" s="6">
        <v>40202.006000000001</v>
      </c>
      <c r="O2043" s="6">
        <v>40202.006000000001</v>
      </c>
      <c r="P2043" s="6">
        <v>90715</v>
      </c>
      <c r="Q2043" s="4" t="s">
        <v>26</v>
      </c>
      <c r="R2043" s="4">
        <v>0</v>
      </c>
      <c r="S2043" s="6">
        <v>0</v>
      </c>
      <c r="T2043" s="6">
        <v>57</v>
      </c>
      <c r="U2043" s="6">
        <v>100</v>
      </c>
      <c r="V2043" s="6">
        <f>IF(ISERROR(VLOOKUP($S$2043,'TAR FIN'!$A$1:$O$104,15,0)),0,VLOOKUP($S$2043,'TAR FIN'!$A$1:$O$104,15,0))</f>
        <v>0</v>
      </c>
      <c r="W2043" s="6">
        <f>IF(ISERROR(VLOOKUP($T$2043,'TAR FIN'!$A$1:$O$104,15,0)),0,VLOOKUP($T$2043,'TAR FIN'!$A$1:$O$104,15,0))</f>
        <v>341.2</v>
      </c>
      <c r="X2043" s="6">
        <f>IF(ISERROR(VLOOKUP($U$2043,'TAR FIN'!$A$1:$O$104,15,0)),0,VLOOKUP($U$2043,'TAR FIN'!$A$1:$O$104,15,0))</f>
        <v>255.72</v>
      </c>
      <c r="Y2043" s="6"/>
      <c r="Z2043" s="6">
        <f ca="1">('TUSD BE'!$AM$62+'TUSD BF'!$AM$62+'TUSD CVA'!$AM$62)*1</f>
        <v>356.61002995987536</v>
      </c>
      <c r="AA2043" s="6">
        <f>('TE BE'!$AB$41+'TE BF'!$AB$41+'TE CVA'!$AB$41)*1</f>
        <v>242.47071701268419</v>
      </c>
      <c r="AB2043" s="6">
        <f>$K$2043*$V$2043</f>
        <v>0</v>
      </c>
      <c r="AC2043" s="6">
        <f>$M$2043*$W$2043</f>
        <v>13716924.4472</v>
      </c>
      <c r="AD2043" s="6">
        <f>$O$2043*$X$2043</f>
        <v>10280456.97432</v>
      </c>
      <c r="AE2043" s="6">
        <f>$K$2043*$Y$2043</f>
        <v>0</v>
      </c>
      <c r="AF2043" s="6">
        <f ca="1">$M$2043*$Z$2043</f>
        <v>14336438.56410709</v>
      </c>
      <c r="AG2043" s="6">
        <f>$O$2043*$AA$2043</f>
        <v>9747809.2201682329</v>
      </c>
    </row>
    <row r="2044" spans="1:33" ht="11.25" customHeight="1" x14ac:dyDescent="0.25">
      <c r="A2044" s="4" t="s">
        <v>27</v>
      </c>
      <c r="B2044" s="4" t="s">
        <v>37</v>
      </c>
      <c r="C2044" s="4" t="s">
        <v>23</v>
      </c>
      <c r="D2044" s="4" t="s">
        <v>43</v>
      </c>
      <c r="E2044" s="4" t="s">
        <v>25</v>
      </c>
      <c r="F2044" s="4" t="s">
        <v>25</v>
      </c>
      <c r="G2044" s="4" t="s">
        <v>25</v>
      </c>
      <c r="H2044" s="4" t="s">
        <v>25</v>
      </c>
      <c r="I2044" s="5">
        <v>44531</v>
      </c>
      <c r="J2044" s="6">
        <v>0</v>
      </c>
      <c r="K2044" s="6">
        <v>0</v>
      </c>
      <c r="L2044" s="6">
        <v>-409.31400000000002</v>
      </c>
      <c r="M2044" s="6">
        <v>-409.31400000000002</v>
      </c>
      <c r="N2044" s="6">
        <v>-409.31400000000002</v>
      </c>
      <c r="O2044" s="6">
        <v>-409.31400000000002</v>
      </c>
      <c r="P2044" s="6">
        <v>-21</v>
      </c>
      <c r="Q2044" s="4" t="s">
        <v>26</v>
      </c>
      <c r="R2044" s="4">
        <v>0</v>
      </c>
      <c r="S2044" s="6">
        <v>0</v>
      </c>
      <c r="T2044" s="6">
        <v>57</v>
      </c>
      <c r="U2044" s="6">
        <v>100</v>
      </c>
      <c r="V2044" s="6">
        <f>IF(ISERROR(VLOOKUP($S$2044,'TAR FIN'!$A$1:$O$104,15,0)),0,VLOOKUP($S$2044,'TAR FIN'!$A$1:$O$104,15,0))</f>
        <v>0</v>
      </c>
      <c r="W2044" s="6">
        <f>IF(ISERROR(VLOOKUP($T$2044,'TAR FIN'!$A$1:$O$104,15,0)),0,VLOOKUP($T$2044,'TAR FIN'!$A$1:$O$104,15,0))</f>
        <v>341.2</v>
      </c>
      <c r="X2044" s="6">
        <f>IF(ISERROR(VLOOKUP($U$2044,'TAR FIN'!$A$1:$O$104,15,0)),0,VLOOKUP($U$2044,'TAR FIN'!$A$1:$O$104,15,0))</f>
        <v>255.72</v>
      </c>
      <c r="Y2044" s="6"/>
      <c r="Z2044" s="6">
        <f ca="1">('TUSD BE'!$AM$62+'TUSD BF'!$AM$62+'TUSD CVA'!$AM$62)*1</f>
        <v>356.61002995987536</v>
      </c>
      <c r="AA2044" s="6">
        <f>('TE BE'!$AB$41+'TE BF'!$AB$41+'TE CVA'!$AB$41)*1</f>
        <v>242.47071701268419</v>
      </c>
      <c r="AB2044" s="6">
        <f>$K$2044*$V$2044</f>
        <v>0</v>
      </c>
      <c r="AC2044" s="6">
        <f>$M$2044*$W$2044</f>
        <v>-139657.9368</v>
      </c>
      <c r="AD2044" s="6">
        <f>$O$2044*$X$2044</f>
        <v>-104669.77608000001</v>
      </c>
      <c r="AE2044" s="6">
        <f>$K$2044*$Y$2044</f>
        <v>0</v>
      </c>
      <c r="AF2044" s="6">
        <f ca="1">$M$2044*$Z$2044</f>
        <v>-145965.47780299644</v>
      </c>
      <c r="AG2044" s="6">
        <f>$O$2044*$AA$2044</f>
        <v>-99246.659063329818</v>
      </c>
    </row>
    <row r="2045" spans="1:33" ht="11.25" customHeight="1" x14ac:dyDescent="0.25">
      <c r="A2045" s="4" t="s">
        <v>28</v>
      </c>
      <c r="B2045" s="4" t="s">
        <v>37</v>
      </c>
      <c r="C2045" s="4" t="s">
        <v>23</v>
      </c>
      <c r="D2045" s="4" t="s">
        <v>43</v>
      </c>
      <c r="E2045" s="4" t="s">
        <v>25</v>
      </c>
      <c r="F2045" s="4" t="s">
        <v>25</v>
      </c>
      <c r="G2045" s="4" t="s">
        <v>25</v>
      </c>
      <c r="H2045" s="4" t="s">
        <v>25</v>
      </c>
      <c r="I2045" s="5">
        <v>44531</v>
      </c>
      <c r="J2045" s="6">
        <v>0</v>
      </c>
      <c r="K2045" s="6">
        <v>0</v>
      </c>
      <c r="L2045" s="6">
        <v>3538.9639999999999</v>
      </c>
      <c r="M2045" s="6">
        <v>3538.9639999999999</v>
      </c>
      <c r="N2045" s="6">
        <v>3538.9639999999999</v>
      </c>
      <c r="O2045" s="6">
        <v>3538.9639999999999</v>
      </c>
      <c r="P2045" s="6">
        <v>5410</v>
      </c>
      <c r="Q2045" s="4" t="s">
        <v>26</v>
      </c>
      <c r="R2045" s="4">
        <v>0</v>
      </c>
      <c r="S2045" s="6">
        <v>0</v>
      </c>
      <c r="T2045" s="6">
        <v>57</v>
      </c>
      <c r="U2045" s="6">
        <v>100</v>
      </c>
      <c r="V2045" s="6">
        <f>IF(ISERROR(VLOOKUP($S$2045,'TAR FIN'!$A$1:$O$104,15,0)),0,VLOOKUP($S$2045,'TAR FIN'!$A$1:$O$104,15,0))</f>
        <v>0</v>
      </c>
      <c r="W2045" s="6">
        <f>IF(ISERROR(VLOOKUP($T$2045,'TAR FIN'!$A$1:$O$104,15,0)),0,VLOOKUP($T$2045,'TAR FIN'!$A$1:$O$104,15,0))</f>
        <v>341.2</v>
      </c>
      <c r="X2045" s="6">
        <f>IF(ISERROR(VLOOKUP($U$2045,'TAR FIN'!$A$1:$O$104,15,0)),0,VLOOKUP($U$2045,'TAR FIN'!$A$1:$O$104,15,0))</f>
        <v>255.72</v>
      </c>
      <c r="Y2045" s="6"/>
      <c r="Z2045" s="6">
        <f ca="1">('TUSD BE'!$AM$62+'TUSD BF'!$AM$62+'TUSD CVA'!$AM$62)*1</f>
        <v>356.61002995987536</v>
      </c>
      <c r="AA2045" s="6">
        <f>('TE BE'!$AB$41+'TE BF'!$AB$41+'TE CVA'!$AB$41)*1</f>
        <v>242.47071701268419</v>
      </c>
      <c r="AB2045" s="6">
        <f>$K$2045*$V$2045</f>
        <v>0</v>
      </c>
      <c r="AC2045" s="6">
        <f>$M$2045*$W$2045</f>
        <v>1207494.5167999999</v>
      </c>
      <c r="AD2045" s="6">
        <f>$O$2045*$X$2045</f>
        <v>904983.87407999998</v>
      </c>
      <c r="AE2045" s="6">
        <f>$K$2045*$Y$2045</f>
        <v>0</v>
      </c>
      <c r="AF2045" s="6">
        <f ca="1">$M$2045*$Z$2045</f>
        <v>1262030.0580669204</v>
      </c>
      <c r="AG2045" s="6">
        <f>$O$2045*$AA$2045</f>
        <v>858095.13856207684</v>
      </c>
    </row>
    <row r="2046" spans="1:33" ht="11.25" customHeight="1" x14ac:dyDescent="0.25">
      <c r="A2046" s="4" t="s">
        <v>28</v>
      </c>
      <c r="B2046" s="4" t="s">
        <v>37</v>
      </c>
      <c r="C2046" s="4" t="s">
        <v>23</v>
      </c>
      <c r="D2046" s="4" t="s">
        <v>43</v>
      </c>
      <c r="E2046" s="4" t="s">
        <v>25</v>
      </c>
      <c r="F2046" s="4" t="s">
        <v>25</v>
      </c>
      <c r="G2046" s="4" t="s">
        <v>25</v>
      </c>
      <c r="H2046" s="4" t="s">
        <v>25</v>
      </c>
      <c r="I2046" s="5">
        <v>44531</v>
      </c>
      <c r="J2046" s="6">
        <v>0</v>
      </c>
      <c r="K2046" s="6">
        <v>0</v>
      </c>
      <c r="L2046" s="6">
        <v>-8.1750000000000007</v>
      </c>
      <c r="M2046" s="6">
        <v>-8.1750000000000007</v>
      </c>
      <c r="N2046" s="6">
        <v>-8.1750000000000007</v>
      </c>
      <c r="O2046" s="6">
        <v>-8.1750000000000007</v>
      </c>
      <c r="P2046" s="6">
        <v>0</v>
      </c>
      <c r="Q2046" s="4" t="s">
        <v>26</v>
      </c>
      <c r="R2046" s="4">
        <v>0</v>
      </c>
      <c r="S2046" s="6">
        <v>0</v>
      </c>
      <c r="T2046" s="6">
        <v>57</v>
      </c>
      <c r="U2046" s="6">
        <v>100</v>
      </c>
      <c r="V2046" s="6">
        <f>IF(ISERROR(VLOOKUP($S$2046,'TAR FIN'!$A$1:$O$104,15,0)),0,VLOOKUP($S$2046,'TAR FIN'!$A$1:$O$104,15,0))</f>
        <v>0</v>
      </c>
      <c r="W2046" s="6">
        <f>IF(ISERROR(VLOOKUP($T$2046,'TAR FIN'!$A$1:$O$104,15,0)),0,VLOOKUP($T$2046,'TAR FIN'!$A$1:$O$104,15,0))</f>
        <v>341.2</v>
      </c>
      <c r="X2046" s="6">
        <f>IF(ISERROR(VLOOKUP($U$2046,'TAR FIN'!$A$1:$O$104,15,0)),0,VLOOKUP($U$2046,'TAR FIN'!$A$1:$O$104,15,0))</f>
        <v>255.72</v>
      </c>
      <c r="Y2046" s="6"/>
      <c r="Z2046" s="6">
        <f ca="1">('TUSD BE'!$AM$62+'TUSD BF'!$AM$62+'TUSD CVA'!$AM$62)*1</f>
        <v>356.61002995987536</v>
      </c>
      <c r="AA2046" s="6">
        <f>('TE BE'!$AB$41+'TE BF'!$AB$41+'TE CVA'!$AB$41)*1</f>
        <v>242.47071701268419</v>
      </c>
      <c r="AB2046" s="6">
        <f>$K$2046*$V$2046</f>
        <v>0</v>
      </c>
      <c r="AC2046" s="6">
        <f>$M$2046*$W$2046</f>
        <v>-2789.31</v>
      </c>
      <c r="AD2046" s="6">
        <f>$O$2046*$X$2046</f>
        <v>-2090.511</v>
      </c>
      <c r="AE2046" s="6">
        <f>$K$2046*$Y$2046</f>
        <v>0</v>
      </c>
      <c r="AF2046" s="6">
        <f ca="1">$M$2046*$Z$2046</f>
        <v>-2915.2869949219812</v>
      </c>
      <c r="AG2046" s="6">
        <f>$O$2046*$AA$2046</f>
        <v>-1982.1981115786934</v>
      </c>
    </row>
    <row r="2047" spans="1:33" ht="11.25" customHeight="1" x14ac:dyDescent="0.25">
      <c r="A2047" s="4" t="s">
        <v>21</v>
      </c>
      <c r="B2047" s="4" t="s">
        <v>37</v>
      </c>
      <c r="C2047" s="4" t="s">
        <v>23</v>
      </c>
      <c r="D2047" s="4" t="s">
        <v>43</v>
      </c>
      <c r="E2047" s="4" t="s">
        <v>25</v>
      </c>
      <c r="F2047" s="4" t="s">
        <v>25</v>
      </c>
      <c r="G2047" s="4" t="s">
        <v>25</v>
      </c>
      <c r="H2047" s="4" t="s">
        <v>25</v>
      </c>
      <c r="I2047" s="5">
        <v>44562</v>
      </c>
      <c r="J2047" s="6">
        <v>0</v>
      </c>
      <c r="K2047" s="6">
        <v>0</v>
      </c>
      <c r="L2047" s="6">
        <v>36226.080999999998</v>
      </c>
      <c r="M2047" s="6">
        <v>36226.080999999998</v>
      </c>
      <c r="N2047" s="6">
        <v>36226.080999999998</v>
      </c>
      <c r="O2047" s="6">
        <v>36226.080999999998</v>
      </c>
      <c r="P2047" s="6">
        <v>90608</v>
      </c>
      <c r="Q2047" s="4" t="s">
        <v>26</v>
      </c>
      <c r="R2047" s="4">
        <v>0</v>
      </c>
      <c r="S2047" s="6">
        <v>0</v>
      </c>
      <c r="T2047" s="6">
        <v>57</v>
      </c>
      <c r="U2047" s="6">
        <v>100</v>
      </c>
      <c r="V2047" s="6">
        <f>IF(ISERROR(VLOOKUP($S$2047,'TAR FIN'!$A$1:$O$104,15,0)),0,VLOOKUP($S$2047,'TAR FIN'!$A$1:$O$104,15,0))</f>
        <v>0</v>
      </c>
      <c r="W2047" s="6">
        <f>IF(ISERROR(VLOOKUP($T$2047,'TAR FIN'!$A$1:$O$104,15,0)),0,VLOOKUP($T$2047,'TAR FIN'!$A$1:$O$104,15,0))</f>
        <v>341.2</v>
      </c>
      <c r="X2047" s="6">
        <f>IF(ISERROR(VLOOKUP($U$2047,'TAR FIN'!$A$1:$O$104,15,0)),0,VLOOKUP($U$2047,'TAR FIN'!$A$1:$O$104,15,0))</f>
        <v>255.72</v>
      </c>
      <c r="Y2047" s="6"/>
      <c r="Z2047" s="6">
        <f ca="1">('TUSD BE'!$AM$62+'TUSD BF'!$AM$62+'TUSD CVA'!$AM$62)*1</f>
        <v>356.61002995987536</v>
      </c>
      <c r="AA2047" s="6">
        <f>('TE BE'!$AB$41+'TE BF'!$AB$41+'TE CVA'!$AB$41)*1</f>
        <v>242.47071701268419</v>
      </c>
      <c r="AB2047" s="6">
        <f>$K$2047*$V$2047</f>
        <v>0</v>
      </c>
      <c r="AC2047" s="6">
        <f>$M$2047*$W$2047</f>
        <v>12360338.837199999</v>
      </c>
      <c r="AD2047" s="6">
        <f>$O$2047*$X$2047</f>
        <v>9263733.4333199989</v>
      </c>
      <c r="AE2047" s="6">
        <f>$K$2047*$Y$2047</f>
        <v>0</v>
      </c>
      <c r="AF2047" s="6">
        <f ca="1">$M$2047*$Z$2047</f>
        <v>12918583.83073887</v>
      </c>
      <c r="AG2047" s="6">
        <f>$O$2047*$AA$2047</f>
        <v>8783763.8346295748</v>
      </c>
    </row>
    <row r="2048" spans="1:33" ht="11.25" customHeight="1" x14ac:dyDescent="0.25">
      <c r="A2048" s="4" t="s">
        <v>27</v>
      </c>
      <c r="B2048" s="4" t="s">
        <v>37</v>
      </c>
      <c r="C2048" s="4" t="s">
        <v>23</v>
      </c>
      <c r="D2048" s="4" t="s">
        <v>43</v>
      </c>
      <c r="E2048" s="4" t="s">
        <v>25</v>
      </c>
      <c r="F2048" s="4" t="s">
        <v>25</v>
      </c>
      <c r="G2048" s="4" t="s">
        <v>25</v>
      </c>
      <c r="H2048" s="4" t="s">
        <v>25</v>
      </c>
      <c r="I2048" s="5">
        <v>44562</v>
      </c>
      <c r="J2048" s="6">
        <v>0</v>
      </c>
      <c r="K2048" s="6">
        <v>0</v>
      </c>
      <c r="L2048" s="6">
        <v>-91.701999999999998</v>
      </c>
      <c r="M2048" s="6">
        <v>-91.701999999999998</v>
      </c>
      <c r="N2048" s="6">
        <v>-91.701999999999998</v>
      </c>
      <c r="O2048" s="6">
        <v>-91.701999999999998</v>
      </c>
      <c r="P2048" s="6">
        <v>-12</v>
      </c>
      <c r="Q2048" s="4" t="s">
        <v>26</v>
      </c>
      <c r="R2048" s="4">
        <v>0</v>
      </c>
      <c r="S2048" s="6">
        <v>0</v>
      </c>
      <c r="T2048" s="6">
        <v>57</v>
      </c>
      <c r="U2048" s="6">
        <v>100</v>
      </c>
      <c r="V2048" s="6">
        <f>IF(ISERROR(VLOOKUP($S$2048,'TAR FIN'!$A$1:$O$104,15,0)),0,VLOOKUP($S$2048,'TAR FIN'!$A$1:$O$104,15,0))</f>
        <v>0</v>
      </c>
      <c r="W2048" s="6">
        <f>IF(ISERROR(VLOOKUP($T$2048,'TAR FIN'!$A$1:$O$104,15,0)),0,VLOOKUP($T$2048,'TAR FIN'!$A$1:$O$104,15,0))</f>
        <v>341.2</v>
      </c>
      <c r="X2048" s="6">
        <f>IF(ISERROR(VLOOKUP($U$2048,'TAR FIN'!$A$1:$O$104,15,0)),0,VLOOKUP($U$2048,'TAR FIN'!$A$1:$O$104,15,0))</f>
        <v>255.72</v>
      </c>
      <c r="Y2048" s="6"/>
      <c r="Z2048" s="6">
        <f ca="1">('TUSD BE'!$AM$62+'TUSD BF'!$AM$62+'TUSD CVA'!$AM$62)*1</f>
        <v>356.61002995987536</v>
      </c>
      <c r="AA2048" s="6">
        <f>('TE BE'!$AB$41+'TE BF'!$AB$41+'TE CVA'!$AB$41)*1</f>
        <v>242.47071701268419</v>
      </c>
      <c r="AB2048" s="6">
        <f>$K$2048*$V$2048</f>
        <v>0</v>
      </c>
      <c r="AC2048" s="6">
        <f>$M$2048*$W$2048</f>
        <v>-31288.722399999999</v>
      </c>
      <c r="AD2048" s="6">
        <f>$O$2048*$X$2048</f>
        <v>-23450.03544</v>
      </c>
      <c r="AE2048" s="6">
        <f>$K$2048*$Y$2048</f>
        <v>0</v>
      </c>
      <c r="AF2048" s="6">
        <f ca="1">$M$2048*$Z$2048</f>
        <v>-32701.852967380491</v>
      </c>
      <c r="AG2048" s="6">
        <f>$O$2048*$AA$2048</f>
        <v>-22235.049691497166</v>
      </c>
    </row>
    <row r="2049" spans="1:33" ht="11.25" customHeight="1" x14ac:dyDescent="0.25">
      <c r="A2049" s="4" t="s">
        <v>28</v>
      </c>
      <c r="B2049" s="4" t="s">
        <v>37</v>
      </c>
      <c r="C2049" s="4" t="s">
        <v>23</v>
      </c>
      <c r="D2049" s="4" t="s">
        <v>43</v>
      </c>
      <c r="E2049" s="4" t="s">
        <v>25</v>
      </c>
      <c r="F2049" s="4" t="s">
        <v>25</v>
      </c>
      <c r="G2049" s="4" t="s">
        <v>25</v>
      </c>
      <c r="H2049" s="4" t="s">
        <v>25</v>
      </c>
      <c r="I2049" s="5">
        <v>44562</v>
      </c>
      <c r="J2049" s="6">
        <v>0</v>
      </c>
      <c r="K2049" s="6">
        <v>0</v>
      </c>
      <c r="L2049" s="6">
        <v>3428.2570000000001</v>
      </c>
      <c r="M2049" s="6">
        <v>3428.2570000000001</v>
      </c>
      <c r="N2049" s="6">
        <v>3428.2570000000001</v>
      </c>
      <c r="O2049" s="6">
        <v>3428.2570000000001</v>
      </c>
      <c r="P2049" s="6">
        <v>5633</v>
      </c>
      <c r="Q2049" s="4" t="s">
        <v>26</v>
      </c>
      <c r="R2049" s="4">
        <v>0</v>
      </c>
      <c r="S2049" s="6">
        <v>0</v>
      </c>
      <c r="T2049" s="6">
        <v>57</v>
      </c>
      <c r="U2049" s="6">
        <v>100</v>
      </c>
      <c r="V2049" s="6">
        <f>IF(ISERROR(VLOOKUP($S$2049,'TAR FIN'!$A$1:$O$104,15,0)),0,VLOOKUP($S$2049,'TAR FIN'!$A$1:$O$104,15,0))</f>
        <v>0</v>
      </c>
      <c r="W2049" s="6">
        <f>IF(ISERROR(VLOOKUP($T$2049,'TAR FIN'!$A$1:$O$104,15,0)),0,VLOOKUP($T$2049,'TAR FIN'!$A$1:$O$104,15,0))</f>
        <v>341.2</v>
      </c>
      <c r="X2049" s="6">
        <f>IF(ISERROR(VLOOKUP($U$2049,'TAR FIN'!$A$1:$O$104,15,0)),0,VLOOKUP($U$2049,'TAR FIN'!$A$1:$O$104,15,0))</f>
        <v>255.72</v>
      </c>
      <c r="Y2049" s="6"/>
      <c r="Z2049" s="6">
        <f ca="1">('TUSD BE'!$AM$62+'TUSD BF'!$AM$62+'TUSD CVA'!$AM$62)*1</f>
        <v>356.61002995987536</v>
      </c>
      <c r="AA2049" s="6">
        <f>('TE BE'!$AB$41+'TE BF'!$AB$41+'TE CVA'!$AB$41)*1</f>
        <v>242.47071701268419</v>
      </c>
      <c r="AB2049" s="6">
        <f>$K$2049*$V$2049</f>
        <v>0</v>
      </c>
      <c r="AC2049" s="6">
        <f>$M$2049*$W$2049</f>
        <v>1169721.2884</v>
      </c>
      <c r="AD2049" s="6">
        <f>$O$2049*$X$2049</f>
        <v>876673.88003999996</v>
      </c>
      <c r="AE2049" s="6">
        <f>$K$2049*$Y$2049</f>
        <v>0</v>
      </c>
      <c r="AF2049" s="6">
        <f ca="1">$M$2049*$Z$2049</f>
        <v>1222550.8314801524</v>
      </c>
      <c r="AG2049" s="6">
        <f>$O$2049*$AA$2049</f>
        <v>831251.93289375363</v>
      </c>
    </row>
    <row r="2050" spans="1:33" ht="11.25" customHeight="1" x14ac:dyDescent="0.25">
      <c r="A2050" s="4" t="s">
        <v>28</v>
      </c>
      <c r="B2050" s="4" t="s">
        <v>37</v>
      </c>
      <c r="C2050" s="4" t="s">
        <v>23</v>
      </c>
      <c r="D2050" s="4" t="s">
        <v>43</v>
      </c>
      <c r="E2050" s="4" t="s">
        <v>25</v>
      </c>
      <c r="F2050" s="4" t="s">
        <v>25</v>
      </c>
      <c r="G2050" s="4" t="s">
        <v>25</v>
      </c>
      <c r="H2050" s="4" t="s">
        <v>25</v>
      </c>
      <c r="I2050" s="5">
        <v>44562</v>
      </c>
      <c r="J2050" s="6">
        <v>0</v>
      </c>
      <c r="K2050" s="6">
        <v>0</v>
      </c>
      <c r="L2050" s="6">
        <v>-7.8280000000000003</v>
      </c>
      <c r="M2050" s="6">
        <v>-7.8280000000000003</v>
      </c>
      <c r="N2050" s="6">
        <v>-7.8280000000000003</v>
      </c>
      <c r="O2050" s="6">
        <v>-7.8280000000000003</v>
      </c>
      <c r="P2050" s="6">
        <v>4</v>
      </c>
      <c r="Q2050" s="4" t="s">
        <v>26</v>
      </c>
      <c r="R2050" s="4">
        <v>0</v>
      </c>
      <c r="S2050" s="6">
        <v>0</v>
      </c>
      <c r="T2050" s="6">
        <v>57</v>
      </c>
      <c r="U2050" s="6">
        <v>100</v>
      </c>
      <c r="V2050" s="6">
        <f>IF(ISERROR(VLOOKUP($S$2050,'TAR FIN'!$A$1:$O$104,15,0)),0,VLOOKUP($S$2050,'TAR FIN'!$A$1:$O$104,15,0))</f>
        <v>0</v>
      </c>
      <c r="W2050" s="6">
        <f>IF(ISERROR(VLOOKUP($T$2050,'TAR FIN'!$A$1:$O$104,15,0)),0,VLOOKUP($T$2050,'TAR FIN'!$A$1:$O$104,15,0))</f>
        <v>341.2</v>
      </c>
      <c r="X2050" s="6">
        <f>IF(ISERROR(VLOOKUP($U$2050,'TAR FIN'!$A$1:$O$104,15,0)),0,VLOOKUP($U$2050,'TAR FIN'!$A$1:$O$104,15,0))</f>
        <v>255.72</v>
      </c>
      <c r="Y2050" s="6"/>
      <c r="Z2050" s="6">
        <f ca="1">('TUSD BE'!$AM$62+'TUSD BF'!$AM$62+'TUSD CVA'!$AM$62)*1</f>
        <v>356.61002995987536</v>
      </c>
      <c r="AA2050" s="6">
        <f>('TE BE'!$AB$41+'TE BF'!$AB$41+'TE CVA'!$AB$41)*1</f>
        <v>242.47071701268419</v>
      </c>
      <c r="AB2050" s="6">
        <f>$K$2050*$V$2050</f>
        <v>0</v>
      </c>
      <c r="AC2050" s="6">
        <f>$M$2050*$W$2050</f>
        <v>-2670.9135999999999</v>
      </c>
      <c r="AD2050" s="6">
        <f>$O$2050*$X$2050</f>
        <v>-2001.7761600000001</v>
      </c>
      <c r="AE2050" s="6">
        <f>$K$2050*$Y$2050</f>
        <v>0</v>
      </c>
      <c r="AF2050" s="6">
        <f ca="1">$M$2050*$Z$2050</f>
        <v>-2791.5433145259044</v>
      </c>
      <c r="AG2050" s="6">
        <f>$O$2050*$AA$2050</f>
        <v>-1898.060772775292</v>
      </c>
    </row>
    <row r="2051" spans="1:33" ht="11.25" customHeight="1" x14ac:dyDescent="0.25">
      <c r="A2051" s="4" t="s">
        <v>21</v>
      </c>
      <c r="B2051" s="4" t="s">
        <v>37</v>
      </c>
      <c r="C2051" s="4" t="s">
        <v>23</v>
      </c>
      <c r="D2051" s="4" t="s">
        <v>43</v>
      </c>
      <c r="E2051" s="4" t="s">
        <v>25</v>
      </c>
      <c r="F2051" s="4" t="s">
        <v>25</v>
      </c>
      <c r="G2051" s="4" t="s">
        <v>25</v>
      </c>
      <c r="H2051" s="4" t="s">
        <v>25</v>
      </c>
      <c r="I2051" s="5">
        <v>44593</v>
      </c>
      <c r="J2051" s="6">
        <v>0</v>
      </c>
      <c r="K2051" s="6">
        <v>0</v>
      </c>
      <c r="L2051" s="6">
        <v>33556.271999999997</v>
      </c>
      <c r="M2051" s="6">
        <v>33556.271999999997</v>
      </c>
      <c r="N2051" s="6">
        <v>33556.271999999997</v>
      </c>
      <c r="O2051" s="6">
        <v>33556.271999999997</v>
      </c>
      <c r="P2051" s="6">
        <v>90388</v>
      </c>
      <c r="Q2051" s="4" t="s">
        <v>26</v>
      </c>
      <c r="R2051" s="4">
        <v>0</v>
      </c>
      <c r="S2051" s="6">
        <v>0</v>
      </c>
      <c r="T2051" s="6">
        <v>57</v>
      </c>
      <c r="U2051" s="6">
        <v>100</v>
      </c>
      <c r="V2051" s="6">
        <f>IF(ISERROR(VLOOKUP($S$2051,'TAR FIN'!$A$1:$O$104,15,0)),0,VLOOKUP($S$2051,'TAR FIN'!$A$1:$O$104,15,0))</f>
        <v>0</v>
      </c>
      <c r="W2051" s="6">
        <f>IF(ISERROR(VLOOKUP($T$2051,'TAR FIN'!$A$1:$O$104,15,0)),0,VLOOKUP($T$2051,'TAR FIN'!$A$1:$O$104,15,0))</f>
        <v>341.2</v>
      </c>
      <c r="X2051" s="6">
        <f>IF(ISERROR(VLOOKUP($U$2051,'TAR FIN'!$A$1:$O$104,15,0)),0,VLOOKUP($U$2051,'TAR FIN'!$A$1:$O$104,15,0))</f>
        <v>255.72</v>
      </c>
      <c r="Y2051" s="6"/>
      <c r="Z2051" s="6">
        <f ca="1">('TUSD BE'!$AM$62+'TUSD BF'!$AM$62+'TUSD CVA'!$AM$62)*1</f>
        <v>356.61002995987536</v>
      </c>
      <c r="AA2051" s="6">
        <f>('TE BE'!$AB$41+'TE BF'!$AB$41+'TE CVA'!$AB$41)*1</f>
        <v>242.47071701268419</v>
      </c>
      <c r="AB2051" s="6">
        <f>$K$2051*$V$2051</f>
        <v>0</v>
      </c>
      <c r="AC2051" s="6">
        <f>$M$2051*$W$2051</f>
        <v>11449400.006399998</v>
      </c>
      <c r="AD2051" s="6">
        <f>$O$2051*$X$2051</f>
        <v>8581009.8758399989</v>
      </c>
      <c r="AE2051" s="6">
        <f>$K$2051*$Y$2051</f>
        <v>0</v>
      </c>
      <c r="AF2051" s="6">
        <f ca="1">$M$2051*$Z$2051</f>
        <v>11966503.163261726</v>
      </c>
      <c r="AG2051" s="6">
        <f>$O$2051*$AA$2051</f>
        <v>8136413.3321126578</v>
      </c>
    </row>
    <row r="2052" spans="1:33" ht="11.25" customHeight="1" x14ac:dyDescent="0.25">
      <c r="A2052" s="4" t="s">
        <v>27</v>
      </c>
      <c r="B2052" s="4" t="s">
        <v>37</v>
      </c>
      <c r="C2052" s="4" t="s">
        <v>23</v>
      </c>
      <c r="D2052" s="4" t="s">
        <v>43</v>
      </c>
      <c r="E2052" s="4" t="s">
        <v>25</v>
      </c>
      <c r="F2052" s="4" t="s">
        <v>25</v>
      </c>
      <c r="G2052" s="4" t="s">
        <v>25</v>
      </c>
      <c r="H2052" s="4" t="s">
        <v>25</v>
      </c>
      <c r="I2052" s="5">
        <v>44593</v>
      </c>
      <c r="J2052" s="6">
        <v>0</v>
      </c>
      <c r="K2052" s="6">
        <v>0</v>
      </c>
      <c r="L2052" s="6">
        <v>-61.463000000000001</v>
      </c>
      <c r="M2052" s="6">
        <v>-61.463000000000001</v>
      </c>
      <c r="N2052" s="6">
        <v>-61.463000000000001</v>
      </c>
      <c r="O2052" s="6">
        <v>-61.463000000000001</v>
      </c>
      <c r="P2052" s="6">
        <v>-19</v>
      </c>
      <c r="Q2052" s="4" t="s">
        <v>26</v>
      </c>
      <c r="R2052" s="4">
        <v>0</v>
      </c>
      <c r="S2052" s="6">
        <v>0</v>
      </c>
      <c r="T2052" s="6">
        <v>57</v>
      </c>
      <c r="U2052" s="6">
        <v>100</v>
      </c>
      <c r="V2052" s="6">
        <f>IF(ISERROR(VLOOKUP($S$2052,'TAR FIN'!$A$1:$O$104,15,0)),0,VLOOKUP($S$2052,'TAR FIN'!$A$1:$O$104,15,0))</f>
        <v>0</v>
      </c>
      <c r="W2052" s="6">
        <f>IF(ISERROR(VLOOKUP($T$2052,'TAR FIN'!$A$1:$O$104,15,0)),0,VLOOKUP($T$2052,'TAR FIN'!$A$1:$O$104,15,0))</f>
        <v>341.2</v>
      </c>
      <c r="X2052" s="6">
        <f>IF(ISERROR(VLOOKUP($U$2052,'TAR FIN'!$A$1:$O$104,15,0)),0,VLOOKUP($U$2052,'TAR FIN'!$A$1:$O$104,15,0))</f>
        <v>255.72</v>
      </c>
      <c r="Y2052" s="6"/>
      <c r="Z2052" s="6">
        <f ca="1">('TUSD BE'!$AM$62+'TUSD BF'!$AM$62+'TUSD CVA'!$AM$62)*1</f>
        <v>356.61002995987536</v>
      </c>
      <c r="AA2052" s="6">
        <f>('TE BE'!$AB$41+'TE BF'!$AB$41+'TE CVA'!$AB$41)*1</f>
        <v>242.47071701268419</v>
      </c>
      <c r="AB2052" s="6">
        <f>$K$2052*$V$2052</f>
        <v>0</v>
      </c>
      <c r="AC2052" s="6">
        <f>$M$2052*$W$2052</f>
        <v>-20971.175599999999</v>
      </c>
      <c r="AD2052" s="6">
        <f>$O$2052*$X$2052</f>
        <v>-15717.318359999999</v>
      </c>
      <c r="AE2052" s="6">
        <f>$K$2052*$Y$2052</f>
        <v>0</v>
      </c>
      <c r="AF2052" s="6">
        <f ca="1">$M$2052*$Z$2052</f>
        <v>-21918.322271423818</v>
      </c>
      <c r="AG2052" s="6">
        <f>$O$2052*$AA$2052</f>
        <v>-14902.977679750609</v>
      </c>
    </row>
    <row r="2053" spans="1:33" ht="11.25" customHeight="1" x14ac:dyDescent="0.25">
      <c r="A2053" s="4" t="s">
        <v>28</v>
      </c>
      <c r="B2053" s="4" t="s">
        <v>37</v>
      </c>
      <c r="C2053" s="4" t="s">
        <v>23</v>
      </c>
      <c r="D2053" s="4" t="s">
        <v>43</v>
      </c>
      <c r="E2053" s="4" t="s">
        <v>25</v>
      </c>
      <c r="F2053" s="4" t="s">
        <v>25</v>
      </c>
      <c r="G2053" s="4" t="s">
        <v>25</v>
      </c>
      <c r="H2053" s="4" t="s">
        <v>25</v>
      </c>
      <c r="I2053" s="5">
        <v>44593</v>
      </c>
      <c r="J2053" s="6">
        <v>0</v>
      </c>
      <c r="K2053" s="6">
        <v>0</v>
      </c>
      <c r="L2053" s="6">
        <v>2999.241</v>
      </c>
      <c r="M2053" s="6">
        <v>2999.241</v>
      </c>
      <c r="N2053" s="6">
        <v>2999.241</v>
      </c>
      <c r="O2053" s="6">
        <v>2999.241</v>
      </c>
      <c r="P2053" s="6">
        <v>5832</v>
      </c>
      <c r="Q2053" s="4" t="s">
        <v>26</v>
      </c>
      <c r="R2053" s="4">
        <v>0</v>
      </c>
      <c r="S2053" s="6">
        <v>0</v>
      </c>
      <c r="T2053" s="6">
        <v>57</v>
      </c>
      <c r="U2053" s="6">
        <v>100</v>
      </c>
      <c r="V2053" s="6">
        <f>IF(ISERROR(VLOOKUP($S$2053,'TAR FIN'!$A$1:$O$104,15,0)),0,VLOOKUP($S$2053,'TAR FIN'!$A$1:$O$104,15,0))</f>
        <v>0</v>
      </c>
      <c r="W2053" s="6">
        <f>IF(ISERROR(VLOOKUP($T$2053,'TAR FIN'!$A$1:$O$104,15,0)),0,VLOOKUP($T$2053,'TAR FIN'!$A$1:$O$104,15,0))</f>
        <v>341.2</v>
      </c>
      <c r="X2053" s="6">
        <f>IF(ISERROR(VLOOKUP($U$2053,'TAR FIN'!$A$1:$O$104,15,0)),0,VLOOKUP($U$2053,'TAR FIN'!$A$1:$O$104,15,0))</f>
        <v>255.72</v>
      </c>
      <c r="Y2053" s="6"/>
      <c r="Z2053" s="6">
        <f ca="1">('TUSD BE'!$AM$62+'TUSD BF'!$AM$62+'TUSD CVA'!$AM$62)*1</f>
        <v>356.61002995987536</v>
      </c>
      <c r="AA2053" s="6">
        <f>('TE BE'!$AB$41+'TE BF'!$AB$41+'TE CVA'!$AB$41)*1</f>
        <v>242.47071701268419</v>
      </c>
      <c r="AB2053" s="6">
        <f>$K$2053*$V$2053</f>
        <v>0</v>
      </c>
      <c r="AC2053" s="6">
        <f>$M$2053*$W$2053</f>
        <v>1023341.0292</v>
      </c>
      <c r="AD2053" s="6">
        <f>$O$2053*$X$2053</f>
        <v>766965.90851999994</v>
      </c>
      <c r="AE2053" s="6">
        <f>$K$2053*$Y$2053</f>
        <v>0</v>
      </c>
      <c r="AF2053" s="6">
        <f ca="1">$M$2053*$Z$2053</f>
        <v>1069559.4228668865</v>
      </c>
      <c r="AG2053" s="6">
        <f>$O$2053*$AA$2053</f>
        <v>727228.11576383992</v>
      </c>
    </row>
    <row r="2054" spans="1:33" ht="11.25" customHeight="1" x14ac:dyDescent="0.25">
      <c r="A2054" s="4" t="s">
        <v>28</v>
      </c>
      <c r="B2054" s="4" t="s">
        <v>37</v>
      </c>
      <c r="C2054" s="4" t="s">
        <v>23</v>
      </c>
      <c r="D2054" s="4" t="s">
        <v>43</v>
      </c>
      <c r="E2054" s="4" t="s">
        <v>25</v>
      </c>
      <c r="F2054" s="4" t="s">
        <v>25</v>
      </c>
      <c r="G2054" s="4" t="s">
        <v>25</v>
      </c>
      <c r="H2054" s="4" t="s">
        <v>25</v>
      </c>
      <c r="I2054" s="5">
        <v>44593</v>
      </c>
      <c r="J2054" s="6">
        <v>0</v>
      </c>
      <c r="K2054" s="6">
        <v>0</v>
      </c>
      <c r="L2054" s="6">
        <v>-50.493000000000002</v>
      </c>
      <c r="M2054" s="6">
        <v>-50.493000000000002</v>
      </c>
      <c r="N2054" s="6">
        <v>-50.493000000000002</v>
      </c>
      <c r="O2054" s="6">
        <v>-50.493000000000002</v>
      </c>
      <c r="P2054" s="6">
        <v>0</v>
      </c>
      <c r="Q2054" s="4" t="s">
        <v>26</v>
      </c>
      <c r="R2054" s="4">
        <v>0</v>
      </c>
      <c r="S2054" s="6">
        <v>0</v>
      </c>
      <c r="T2054" s="6">
        <v>57</v>
      </c>
      <c r="U2054" s="6">
        <v>100</v>
      </c>
      <c r="V2054" s="6">
        <f>IF(ISERROR(VLOOKUP($S$2054,'TAR FIN'!$A$1:$O$104,15,0)),0,VLOOKUP($S$2054,'TAR FIN'!$A$1:$O$104,15,0))</f>
        <v>0</v>
      </c>
      <c r="W2054" s="6">
        <f>IF(ISERROR(VLOOKUP($T$2054,'TAR FIN'!$A$1:$O$104,15,0)),0,VLOOKUP($T$2054,'TAR FIN'!$A$1:$O$104,15,0))</f>
        <v>341.2</v>
      </c>
      <c r="X2054" s="6">
        <f>IF(ISERROR(VLOOKUP($U$2054,'TAR FIN'!$A$1:$O$104,15,0)),0,VLOOKUP($U$2054,'TAR FIN'!$A$1:$O$104,15,0))</f>
        <v>255.72</v>
      </c>
      <c r="Y2054" s="6"/>
      <c r="Z2054" s="6">
        <f ca="1">('TUSD BE'!$AM$62+'TUSD BF'!$AM$62+'TUSD CVA'!$AM$62)*1</f>
        <v>356.61002995987536</v>
      </c>
      <c r="AA2054" s="6">
        <f>('TE BE'!$AB$41+'TE BF'!$AB$41+'TE CVA'!$AB$41)*1</f>
        <v>242.47071701268419</v>
      </c>
      <c r="AB2054" s="6">
        <f>$K$2054*$V$2054</f>
        <v>0</v>
      </c>
      <c r="AC2054" s="6">
        <f>$M$2054*$W$2054</f>
        <v>-17228.211599999999</v>
      </c>
      <c r="AD2054" s="6">
        <f>$O$2054*$X$2054</f>
        <v>-12912.069960000001</v>
      </c>
      <c r="AE2054" s="6">
        <f>$K$2054*$Y$2054</f>
        <v>0</v>
      </c>
      <c r="AF2054" s="6">
        <f ca="1">$M$2054*$Z$2054</f>
        <v>-18006.310242763986</v>
      </c>
      <c r="AG2054" s="6">
        <f>$O$2054*$AA$2054</f>
        <v>-12243.073914121464</v>
      </c>
    </row>
    <row r="2055" spans="1:33" ht="11.25" customHeight="1" x14ac:dyDescent="0.25">
      <c r="A2055" s="4" t="s">
        <v>21</v>
      </c>
      <c r="B2055" s="4" t="s">
        <v>37</v>
      </c>
      <c r="C2055" s="4" t="s">
        <v>23</v>
      </c>
      <c r="D2055" s="4" t="s">
        <v>43</v>
      </c>
      <c r="E2055" s="4" t="s">
        <v>25</v>
      </c>
      <c r="F2055" s="4" t="s">
        <v>25</v>
      </c>
      <c r="G2055" s="4" t="s">
        <v>25</v>
      </c>
      <c r="H2055" s="4" t="s">
        <v>25</v>
      </c>
      <c r="I2055" s="5">
        <v>44621</v>
      </c>
      <c r="J2055" s="6">
        <v>0</v>
      </c>
      <c r="K2055" s="6">
        <v>0</v>
      </c>
      <c r="L2055" s="6">
        <v>37328.614999999998</v>
      </c>
      <c r="M2055" s="6">
        <v>37328.614999999998</v>
      </c>
      <c r="N2055" s="6">
        <v>37328.614999999998</v>
      </c>
      <c r="O2055" s="6">
        <v>37328.614999999998</v>
      </c>
      <c r="P2055" s="6">
        <v>90242</v>
      </c>
      <c r="Q2055" s="4" t="s">
        <v>26</v>
      </c>
      <c r="R2055" s="4">
        <v>0</v>
      </c>
      <c r="S2055" s="6">
        <v>0</v>
      </c>
      <c r="T2055" s="6">
        <v>57</v>
      </c>
      <c r="U2055" s="6">
        <v>100</v>
      </c>
      <c r="V2055" s="6">
        <f>IF(ISERROR(VLOOKUP($S$2055,'TAR FIN'!$A$1:$O$104,15,0)),0,VLOOKUP($S$2055,'TAR FIN'!$A$1:$O$104,15,0))</f>
        <v>0</v>
      </c>
      <c r="W2055" s="6">
        <f>IF(ISERROR(VLOOKUP($T$2055,'TAR FIN'!$A$1:$O$104,15,0)),0,VLOOKUP($T$2055,'TAR FIN'!$A$1:$O$104,15,0))</f>
        <v>341.2</v>
      </c>
      <c r="X2055" s="6">
        <f>IF(ISERROR(VLOOKUP($U$2055,'TAR FIN'!$A$1:$O$104,15,0)),0,VLOOKUP($U$2055,'TAR FIN'!$A$1:$O$104,15,0))</f>
        <v>255.72</v>
      </c>
      <c r="Y2055" s="6"/>
      <c r="Z2055" s="6">
        <f ca="1">('TUSD BE'!$AM$62+'TUSD BF'!$AM$62+'TUSD CVA'!$AM$62)*1</f>
        <v>356.61002995987536</v>
      </c>
      <c r="AA2055" s="6">
        <f>('TE BE'!$AB$41+'TE BF'!$AB$41+'TE CVA'!$AB$41)*1</f>
        <v>242.47071701268419</v>
      </c>
      <c r="AB2055" s="6">
        <f>$K$2055*$V$2055</f>
        <v>0</v>
      </c>
      <c r="AC2055" s="6">
        <f>$M$2055*$W$2055</f>
        <v>12736523.437999999</v>
      </c>
      <c r="AD2055" s="6">
        <f>$O$2055*$X$2055</f>
        <v>9545673.4277999997</v>
      </c>
      <c r="AE2055" s="6">
        <f>$K$2055*$Y$2055</f>
        <v>0</v>
      </c>
      <c r="AF2055" s="6">
        <f ca="1">$M$2055*$Z$2055</f>
        <v>13311758.513510652</v>
      </c>
      <c r="AG2055" s="6">
        <f>$O$2055*$AA$2055</f>
        <v>9051096.0441404376</v>
      </c>
    </row>
    <row r="2056" spans="1:33" ht="11.25" customHeight="1" x14ac:dyDescent="0.25">
      <c r="A2056" s="4" t="s">
        <v>27</v>
      </c>
      <c r="B2056" s="4" t="s">
        <v>37</v>
      </c>
      <c r="C2056" s="4" t="s">
        <v>23</v>
      </c>
      <c r="D2056" s="4" t="s">
        <v>43</v>
      </c>
      <c r="E2056" s="4" t="s">
        <v>25</v>
      </c>
      <c r="F2056" s="4" t="s">
        <v>25</v>
      </c>
      <c r="G2056" s="4" t="s">
        <v>25</v>
      </c>
      <c r="H2056" s="4" t="s">
        <v>25</v>
      </c>
      <c r="I2056" s="5">
        <v>44621</v>
      </c>
      <c r="J2056" s="6">
        <v>0</v>
      </c>
      <c r="K2056" s="6">
        <v>0</v>
      </c>
      <c r="L2056" s="6">
        <v>-89.510999999999996</v>
      </c>
      <c r="M2056" s="6">
        <v>-89.510999999999996</v>
      </c>
      <c r="N2056" s="6">
        <v>-89.510999999999996</v>
      </c>
      <c r="O2056" s="6">
        <v>-89.510999999999996</v>
      </c>
      <c r="P2056" s="6">
        <v>-26</v>
      </c>
      <c r="Q2056" s="4" t="s">
        <v>26</v>
      </c>
      <c r="R2056" s="4">
        <v>0</v>
      </c>
      <c r="S2056" s="6">
        <v>0</v>
      </c>
      <c r="T2056" s="6">
        <v>57</v>
      </c>
      <c r="U2056" s="6">
        <v>100</v>
      </c>
      <c r="V2056" s="6">
        <f>IF(ISERROR(VLOOKUP($S$2056,'TAR FIN'!$A$1:$O$104,15,0)),0,VLOOKUP($S$2056,'TAR FIN'!$A$1:$O$104,15,0))</f>
        <v>0</v>
      </c>
      <c r="W2056" s="6">
        <f>IF(ISERROR(VLOOKUP($T$2056,'TAR FIN'!$A$1:$O$104,15,0)),0,VLOOKUP($T$2056,'TAR FIN'!$A$1:$O$104,15,0))</f>
        <v>341.2</v>
      </c>
      <c r="X2056" s="6">
        <f>IF(ISERROR(VLOOKUP($U$2056,'TAR FIN'!$A$1:$O$104,15,0)),0,VLOOKUP($U$2056,'TAR FIN'!$A$1:$O$104,15,0))</f>
        <v>255.72</v>
      </c>
      <c r="Y2056" s="6"/>
      <c r="Z2056" s="6">
        <f ca="1">('TUSD BE'!$AM$62+'TUSD BF'!$AM$62+'TUSD CVA'!$AM$62)*1</f>
        <v>356.61002995987536</v>
      </c>
      <c r="AA2056" s="6">
        <f>('TE BE'!$AB$41+'TE BF'!$AB$41+'TE CVA'!$AB$41)*1</f>
        <v>242.47071701268419</v>
      </c>
      <c r="AB2056" s="6">
        <f>$K$2056*$V$2056</f>
        <v>0</v>
      </c>
      <c r="AC2056" s="6">
        <f>$M$2056*$W$2056</f>
        <v>-30541.153199999997</v>
      </c>
      <c r="AD2056" s="6">
        <f>$O$2056*$X$2056</f>
        <v>-22889.752919999999</v>
      </c>
      <c r="AE2056" s="6">
        <f>$K$2056*$Y$2056</f>
        <v>0</v>
      </c>
      <c r="AF2056" s="6">
        <f ca="1">$M$2056*$Z$2056</f>
        <v>-31920.520391738402</v>
      </c>
      <c r="AG2056" s="6">
        <f>$O$2056*$AA$2056</f>
        <v>-21703.796350522374</v>
      </c>
    </row>
    <row r="2057" spans="1:33" ht="11.25" customHeight="1" x14ac:dyDescent="0.25">
      <c r="A2057" s="4" t="s">
        <v>28</v>
      </c>
      <c r="B2057" s="4" t="s">
        <v>37</v>
      </c>
      <c r="C2057" s="4" t="s">
        <v>23</v>
      </c>
      <c r="D2057" s="4" t="s">
        <v>43</v>
      </c>
      <c r="E2057" s="4" t="s">
        <v>25</v>
      </c>
      <c r="F2057" s="4" t="s">
        <v>25</v>
      </c>
      <c r="G2057" s="4" t="s">
        <v>25</v>
      </c>
      <c r="H2057" s="4" t="s">
        <v>25</v>
      </c>
      <c r="I2057" s="5">
        <v>44621</v>
      </c>
      <c r="J2057" s="6">
        <v>0</v>
      </c>
      <c r="K2057" s="6">
        <v>0</v>
      </c>
      <c r="L2057" s="6">
        <v>3973.3649999999998</v>
      </c>
      <c r="M2057" s="6">
        <v>3973.3649999999998</v>
      </c>
      <c r="N2057" s="6">
        <v>3973.3649999999998</v>
      </c>
      <c r="O2057" s="6">
        <v>3973.3649999999998</v>
      </c>
      <c r="P2057" s="6">
        <v>6348</v>
      </c>
      <c r="Q2057" s="4" t="s">
        <v>26</v>
      </c>
      <c r="R2057" s="4">
        <v>0</v>
      </c>
      <c r="S2057" s="6">
        <v>0</v>
      </c>
      <c r="T2057" s="6">
        <v>57</v>
      </c>
      <c r="U2057" s="6">
        <v>100</v>
      </c>
      <c r="V2057" s="6">
        <f>IF(ISERROR(VLOOKUP($S$2057,'TAR FIN'!$A$1:$O$104,15,0)),0,VLOOKUP($S$2057,'TAR FIN'!$A$1:$O$104,15,0))</f>
        <v>0</v>
      </c>
      <c r="W2057" s="6">
        <f>IF(ISERROR(VLOOKUP($T$2057,'TAR FIN'!$A$1:$O$104,15,0)),0,VLOOKUP($T$2057,'TAR FIN'!$A$1:$O$104,15,0))</f>
        <v>341.2</v>
      </c>
      <c r="X2057" s="6">
        <f>IF(ISERROR(VLOOKUP($U$2057,'TAR FIN'!$A$1:$O$104,15,0)),0,VLOOKUP($U$2057,'TAR FIN'!$A$1:$O$104,15,0))</f>
        <v>255.72</v>
      </c>
      <c r="Y2057" s="6"/>
      <c r="Z2057" s="6">
        <f ca="1">('TUSD BE'!$AM$62+'TUSD BF'!$AM$62+'TUSD CVA'!$AM$62)*1</f>
        <v>356.61002995987536</v>
      </c>
      <c r="AA2057" s="6">
        <f>('TE BE'!$AB$41+'TE BF'!$AB$41+'TE CVA'!$AB$41)*1</f>
        <v>242.47071701268419</v>
      </c>
      <c r="AB2057" s="6">
        <f>$K$2057*$V$2057</f>
        <v>0</v>
      </c>
      <c r="AC2057" s="6">
        <f>$M$2057*$W$2057</f>
        <v>1355712.1379999998</v>
      </c>
      <c r="AD2057" s="6">
        <f>$O$2057*$X$2057</f>
        <v>1016068.8977999999</v>
      </c>
      <c r="AE2057" s="6">
        <f>$K$2057*$Y$2057</f>
        <v>0</v>
      </c>
      <c r="AF2057" s="6">
        <f ca="1">$M$2057*$Z$2057</f>
        <v>1416941.81169152</v>
      </c>
      <c r="AG2057" s="6">
        <f>$O$2057*$AA$2057</f>
        <v>963424.66050310386</v>
      </c>
    </row>
    <row r="2058" spans="1:33" ht="11.25" customHeight="1" x14ac:dyDescent="0.25">
      <c r="A2058" s="4" t="s">
        <v>28</v>
      </c>
      <c r="B2058" s="4" t="s">
        <v>37</v>
      </c>
      <c r="C2058" s="4" t="s">
        <v>23</v>
      </c>
      <c r="D2058" s="4" t="s">
        <v>43</v>
      </c>
      <c r="E2058" s="4" t="s">
        <v>25</v>
      </c>
      <c r="F2058" s="4" t="s">
        <v>25</v>
      </c>
      <c r="G2058" s="4" t="s">
        <v>25</v>
      </c>
      <c r="H2058" s="4" t="s">
        <v>25</v>
      </c>
      <c r="I2058" s="5">
        <v>44621</v>
      </c>
      <c r="J2058" s="6">
        <v>0</v>
      </c>
      <c r="K2058" s="6">
        <v>0</v>
      </c>
      <c r="L2058" s="6">
        <v>2.6909999999999998</v>
      </c>
      <c r="M2058" s="6">
        <v>2.6909999999999998</v>
      </c>
      <c r="N2058" s="6">
        <v>2.6909999999999998</v>
      </c>
      <c r="O2058" s="6">
        <v>2.6909999999999998</v>
      </c>
      <c r="P2058" s="6">
        <v>0</v>
      </c>
      <c r="Q2058" s="4" t="s">
        <v>26</v>
      </c>
      <c r="R2058" s="4">
        <v>0</v>
      </c>
      <c r="S2058" s="6">
        <v>0</v>
      </c>
      <c r="T2058" s="6">
        <v>57</v>
      </c>
      <c r="U2058" s="6">
        <v>100</v>
      </c>
      <c r="V2058" s="6">
        <f>IF(ISERROR(VLOOKUP($S$2058,'TAR FIN'!$A$1:$O$104,15,0)),0,VLOOKUP($S$2058,'TAR FIN'!$A$1:$O$104,15,0))</f>
        <v>0</v>
      </c>
      <c r="W2058" s="6">
        <f>IF(ISERROR(VLOOKUP($T$2058,'TAR FIN'!$A$1:$O$104,15,0)),0,VLOOKUP($T$2058,'TAR FIN'!$A$1:$O$104,15,0))</f>
        <v>341.2</v>
      </c>
      <c r="X2058" s="6">
        <f>IF(ISERROR(VLOOKUP($U$2058,'TAR FIN'!$A$1:$O$104,15,0)),0,VLOOKUP($U$2058,'TAR FIN'!$A$1:$O$104,15,0))</f>
        <v>255.72</v>
      </c>
      <c r="Y2058" s="6"/>
      <c r="Z2058" s="6">
        <f ca="1">('TUSD BE'!$AM$62+'TUSD BF'!$AM$62+'TUSD CVA'!$AM$62)*1</f>
        <v>356.61002995987536</v>
      </c>
      <c r="AA2058" s="6">
        <f>('TE BE'!$AB$41+'TE BF'!$AB$41+'TE CVA'!$AB$41)*1</f>
        <v>242.47071701268419</v>
      </c>
      <c r="AB2058" s="6">
        <f>$K$2058*$V$2058</f>
        <v>0</v>
      </c>
      <c r="AC2058" s="6">
        <f>$M$2058*$W$2058</f>
        <v>918.16919999999993</v>
      </c>
      <c r="AD2058" s="6">
        <f>$O$2058*$X$2058</f>
        <v>688.14251999999999</v>
      </c>
      <c r="AE2058" s="6">
        <f>$K$2058*$Y$2058</f>
        <v>0</v>
      </c>
      <c r="AF2058" s="6">
        <f ca="1">$M$2058*$Z$2058</f>
        <v>959.6375906220245</v>
      </c>
      <c r="AG2058" s="6">
        <f>$O$2058*$AA$2058</f>
        <v>652.48869948113315</v>
      </c>
    </row>
    <row r="2059" spans="1:33" ht="11.25" customHeight="1" x14ac:dyDescent="0.25">
      <c r="A2059" s="4" t="s">
        <v>21</v>
      </c>
      <c r="B2059" s="4" t="s">
        <v>37</v>
      </c>
      <c r="C2059" s="4" t="s">
        <v>23</v>
      </c>
      <c r="D2059" s="4" t="s">
        <v>43</v>
      </c>
      <c r="E2059" s="4" t="s">
        <v>25</v>
      </c>
      <c r="F2059" s="4" t="s">
        <v>25</v>
      </c>
      <c r="G2059" s="4" t="s">
        <v>25</v>
      </c>
      <c r="H2059" s="4" t="s">
        <v>25</v>
      </c>
      <c r="I2059" s="5">
        <v>44652</v>
      </c>
      <c r="J2059" s="6">
        <v>0</v>
      </c>
      <c r="K2059" s="6">
        <v>0</v>
      </c>
      <c r="L2059" s="6">
        <v>35570.968000000001</v>
      </c>
      <c r="M2059" s="6">
        <v>35570.968000000001</v>
      </c>
      <c r="N2059" s="6">
        <v>35570.968000000001</v>
      </c>
      <c r="O2059" s="6">
        <v>35570.968000000001</v>
      </c>
      <c r="P2059" s="6">
        <v>90147</v>
      </c>
      <c r="Q2059" s="4" t="s">
        <v>26</v>
      </c>
      <c r="R2059" s="4">
        <v>0</v>
      </c>
      <c r="S2059" s="6">
        <v>0</v>
      </c>
      <c r="T2059" s="6">
        <v>57</v>
      </c>
      <c r="U2059" s="6">
        <v>100</v>
      </c>
      <c r="V2059" s="6">
        <f>IF(ISERROR(VLOOKUP($S$2059,'TAR FIN'!$A$1:$O$104,15,0)),0,VLOOKUP($S$2059,'TAR FIN'!$A$1:$O$104,15,0))</f>
        <v>0</v>
      </c>
      <c r="W2059" s="6">
        <f>IF(ISERROR(VLOOKUP($T$2059,'TAR FIN'!$A$1:$O$104,15,0)),0,VLOOKUP($T$2059,'TAR FIN'!$A$1:$O$104,15,0))</f>
        <v>341.2</v>
      </c>
      <c r="X2059" s="6">
        <f>IF(ISERROR(VLOOKUP($U$2059,'TAR FIN'!$A$1:$O$104,15,0)),0,VLOOKUP($U$2059,'TAR FIN'!$A$1:$O$104,15,0))</f>
        <v>255.72</v>
      </c>
      <c r="Y2059" s="6"/>
      <c r="Z2059" s="6">
        <f ca="1">('TUSD BE'!$AM$62+'TUSD BF'!$AM$62+'TUSD CVA'!$AM$62)*1</f>
        <v>356.61002995987536</v>
      </c>
      <c r="AA2059" s="6">
        <f>('TE BE'!$AB$41+'TE BF'!$AB$41+'TE CVA'!$AB$41)*1</f>
        <v>242.47071701268419</v>
      </c>
      <c r="AB2059" s="6">
        <f>$K$2059*$V$2059</f>
        <v>0</v>
      </c>
      <c r="AC2059" s="6">
        <f>$M$2059*$W$2059</f>
        <v>12136814.2816</v>
      </c>
      <c r="AD2059" s="6">
        <f>$O$2059*$X$2059</f>
        <v>9096207.9369600005</v>
      </c>
      <c r="AE2059" s="6">
        <f>$K$2059*$Y$2059</f>
        <v>0</v>
      </c>
      <c r="AF2059" s="6">
        <f ca="1">$M$2059*$Z$2059</f>
        <v>12684963.964181768</v>
      </c>
      <c r="AG2059" s="6">
        <f>$O$2059*$AA$2059</f>
        <v>8624918.1157952454</v>
      </c>
    </row>
    <row r="2060" spans="1:33" ht="11.25" customHeight="1" x14ac:dyDescent="0.25">
      <c r="A2060" s="4" t="s">
        <v>27</v>
      </c>
      <c r="B2060" s="4" t="s">
        <v>37</v>
      </c>
      <c r="C2060" s="4" t="s">
        <v>23</v>
      </c>
      <c r="D2060" s="4" t="s">
        <v>43</v>
      </c>
      <c r="E2060" s="4" t="s">
        <v>25</v>
      </c>
      <c r="F2060" s="4" t="s">
        <v>25</v>
      </c>
      <c r="G2060" s="4" t="s">
        <v>25</v>
      </c>
      <c r="H2060" s="4" t="s">
        <v>25</v>
      </c>
      <c r="I2060" s="5">
        <v>44652</v>
      </c>
      <c r="J2060" s="6">
        <v>0</v>
      </c>
      <c r="K2060" s="6">
        <v>0</v>
      </c>
      <c r="L2060" s="6">
        <v>-108.45099999999999</v>
      </c>
      <c r="M2060" s="6">
        <v>-108.45099999999999</v>
      </c>
      <c r="N2060" s="6">
        <v>-108.45099999999999</v>
      </c>
      <c r="O2060" s="6">
        <v>-108.45099999999999</v>
      </c>
      <c r="P2060" s="6">
        <v>-18</v>
      </c>
      <c r="Q2060" s="4" t="s">
        <v>26</v>
      </c>
      <c r="R2060" s="4">
        <v>0</v>
      </c>
      <c r="S2060" s="6">
        <v>0</v>
      </c>
      <c r="T2060" s="6">
        <v>57</v>
      </c>
      <c r="U2060" s="6">
        <v>100</v>
      </c>
      <c r="V2060" s="6">
        <f>IF(ISERROR(VLOOKUP($S$2060,'TAR FIN'!$A$1:$O$104,15,0)),0,VLOOKUP($S$2060,'TAR FIN'!$A$1:$O$104,15,0))</f>
        <v>0</v>
      </c>
      <c r="W2060" s="6">
        <f>IF(ISERROR(VLOOKUP($T$2060,'TAR FIN'!$A$1:$O$104,15,0)),0,VLOOKUP($T$2060,'TAR FIN'!$A$1:$O$104,15,0))</f>
        <v>341.2</v>
      </c>
      <c r="X2060" s="6">
        <f>IF(ISERROR(VLOOKUP($U$2060,'TAR FIN'!$A$1:$O$104,15,0)),0,VLOOKUP($U$2060,'TAR FIN'!$A$1:$O$104,15,0))</f>
        <v>255.72</v>
      </c>
      <c r="Y2060" s="6"/>
      <c r="Z2060" s="6">
        <f ca="1">('TUSD BE'!$AM$62+'TUSD BF'!$AM$62+'TUSD CVA'!$AM$62)*1</f>
        <v>356.61002995987536</v>
      </c>
      <c r="AA2060" s="6">
        <f>('TE BE'!$AB$41+'TE BF'!$AB$41+'TE CVA'!$AB$41)*1</f>
        <v>242.47071701268419</v>
      </c>
      <c r="AB2060" s="6">
        <f>$K$2060*$V$2060</f>
        <v>0</v>
      </c>
      <c r="AC2060" s="6">
        <f>$M$2060*$W$2060</f>
        <v>-37003.481199999995</v>
      </c>
      <c r="AD2060" s="6">
        <f>$O$2060*$X$2060</f>
        <v>-27733.08972</v>
      </c>
      <c r="AE2060" s="6">
        <f>$K$2060*$Y$2060</f>
        <v>0</v>
      </c>
      <c r="AF2060" s="6">
        <f ca="1">$M$2060*$Z$2060</f>
        <v>-38674.714359178441</v>
      </c>
      <c r="AG2060" s="6">
        <f>$O$2060*$AA$2060</f>
        <v>-26296.191730742612</v>
      </c>
    </row>
    <row r="2061" spans="1:33" ht="11.25" customHeight="1" x14ac:dyDescent="0.25">
      <c r="A2061" s="4" t="s">
        <v>28</v>
      </c>
      <c r="B2061" s="4" t="s">
        <v>37</v>
      </c>
      <c r="C2061" s="4" t="s">
        <v>23</v>
      </c>
      <c r="D2061" s="4" t="s">
        <v>43</v>
      </c>
      <c r="E2061" s="4" t="s">
        <v>25</v>
      </c>
      <c r="F2061" s="4" t="s">
        <v>25</v>
      </c>
      <c r="G2061" s="4" t="s">
        <v>25</v>
      </c>
      <c r="H2061" s="4" t="s">
        <v>25</v>
      </c>
      <c r="I2061" s="5">
        <v>44652</v>
      </c>
      <c r="J2061" s="6">
        <v>0</v>
      </c>
      <c r="K2061" s="6">
        <v>0</v>
      </c>
      <c r="L2061" s="6">
        <v>3749.4340000000002</v>
      </c>
      <c r="M2061" s="6">
        <v>3749.4340000000002</v>
      </c>
      <c r="N2061" s="6">
        <v>3749.4340000000002</v>
      </c>
      <c r="O2061" s="6">
        <v>3749.4340000000002</v>
      </c>
      <c r="P2061" s="6">
        <v>6520</v>
      </c>
      <c r="Q2061" s="4" t="s">
        <v>26</v>
      </c>
      <c r="R2061" s="4">
        <v>0</v>
      </c>
      <c r="S2061" s="6">
        <v>0</v>
      </c>
      <c r="T2061" s="6">
        <v>57</v>
      </c>
      <c r="U2061" s="6">
        <v>100</v>
      </c>
      <c r="V2061" s="6">
        <f>IF(ISERROR(VLOOKUP($S$2061,'TAR FIN'!$A$1:$O$104,15,0)),0,VLOOKUP($S$2061,'TAR FIN'!$A$1:$O$104,15,0))</f>
        <v>0</v>
      </c>
      <c r="W2061" s="6">
        <f>IF(ISERROR(VLOOKUP($T$2061,'TAR FIN'!$A$1:$O$104,15,0)),0,VLOOKUP($T$2061,'TAR FIN'!$A$1:$O$104,15,0))</f>
        <v>341.2</v>
      </c>
      <c r="X2061" s="6">
        <f>IF(ISERROR(VLOOKUP($U$2061,'TAR FIN'!$A$1:$O$104,15,0)),0,VLOOKUP($U$2061,'TAR FIN'!$A$1:$O$104,15,0))</f>
        <v>255.72</v>
      </c>
      <c r="Y2061" s="6"/>
      <c r="Z2061" s="6">
        <f ca="1">('TUSD BE'!$AM$62+'TUSD BF'!$AM$62+'TUSD CVA'!$AM$62)*1</f>
        <v>356.61002995987536</v>
      </c>
      <c r="AA2061" s="6">
        <f>('TE BE'!$AB$41+'TE BF'!$AB$41+'TE CVA'!$AB$41)*1</f>
        <v>242.47071701268419</v>
      </c>
      <c r="AB2061" s="6">
        <f>$K$2061*$V$2061</f>
        <v>0</v>
      </c>
      <c r="AC2061" s="6">
        <f>$M$2061*$W$2061</f>
        <v>1279306.8807999999</v>
      </c>
      <c r="AD2061" s="6">
        <f>$O$2061*$X$2061</f>
        <v>958805.26248000003</v>
      </c>
      <c r="AE2061" s="6">
        <f>$K$2061*$Y$2061</f>
        <v>0</v>
      </c>
      <c r="AF2061" s="6">
        <f ca="1">$M$2061*$Z$2061</f>
        <v>1337085.7710725754</v>
      </c>
      <c r="AG2061" s="6">
        <f>$O$2061*$AA$2061</f>
        <v>909127.95037173654</v>
      </c>
    </row>
    <row r="2062" spans="1:33" ht="11.25" customHeight="1" x14ac:dyDescent="0.25">
      <c r="A2062" s="4" t="s">
        <v>28</v>
      </c>
      <c r="B2062" s="4" t="s">
        <v>37</v>
      </c>
      <c r="C2062" s="4" t="s">
        <v>23</v>
      </c>
      <c r="D2062" s="4" t="s">
        <v>43</v>
      </c>
      <c r="E2062" s="4" t="s">
        <v>25</v>
      </c>
      <c r="F2062" s="4" t="s">
        <v>25</v>
      </c>
      <c r="G2062" s="4" t="s">
        <v>25</v>
      </c>
      <c r="H2062" s="4" t="s">
        <v>25</v>
      </c>
      <c r="I2062" s="5">
        <v>44652</v>
      </c>
      <c r="J2062" s="6">
        <v>0</v>
      </c>
      <c r="K2062" s="6">
        <v>0</v>
      </c>
      <c r="L2062" s="6">
        <v>7.6920000000000002</v>
      </c>
      <c r="M2062" s="6">
        <v>7.6920000000000002</v>
      </c>
      <c r="N2062" s="6">
        <v>7.6920000000000002</v>
      </c>
      <c r="O2062" s="6">
        <v>7.6920000000000002</v>
      </c>
      <c r="P2062" s="6">
        <v>0</v>
      </c>
      <c r="Q2062" s="4" t="s">
        <v>26</v>
      </c>
      <c r="R2062" s="4">
        <v>0</v>
      </c>
      <c r="S2062" s="6">
        <v>0</v>
      </c>
      <c r="T2062" s="6">
        <v>57</v>
      </c>
      <c r="U2062" s="6">
        <v>100</v>
      </c>
      <c r="V2062" s="6">
        <f>IF(ISERROR(VLOOKUP($S$2062,'TAR FIN'!$A$1:$O$104,15,0)),0,VLOOKUP($S$2062,'TAR FIN'!$A$1:$O$104,15,0))</f>
        <v>0</v>
      </c>
      <c r="W2062" s="6">
        <f>IF(ISERROR(VLOOKUP($T$2062,'TAR FIN'!$A$1:$O$104,15,0)),0,VLOOKUP($T$2062,'TAR FIN'!$A$1:$O$104,15,0))</f>
        <v>341.2</v>
      </c>
      <c r="X2062" s="6">
        <f>IF(ISERROR(VLOOKUP($U$2062,'TAR FIN'!$A$1:$O$104,15,0)),0,VLOOKUP($U$2062,'TAR FIN'!$A$1:$O$104,15,0))</f>
        <v>255.72</v>
      </c>
      <c r="Y2062" s="6"/>
      <c r="Z2062" s="6">
        <f ca="1">('TUSD BE'!$AM$62+'TUSD BF'!$AM$62+'TUSD CVA'!$AM$62)*1</f>
        <v>356.61002995987536</v>
      </c>
      <c r="AA2062" s="6">
        <f>('TE BE'!$AB$41+'TE BF'!$AB$41+'TE CVA'!$AB$41)*1</f>
        <v>242.47071701268419</v>
      </c>
      <c r="AB2062" s="6">
        <f>$K$2062*$V$2062</f>
        <v>0</v>
      </c>
      <c r="AC2062" s="6">
        <f>$M$2062*$W$2062</f>
        <v>2624.5104000000001</v>
      </c>
      <c r="AD2062" s="6">
        <f>$O$2062*$X$2062</f>
        <v>1966.9982400000001</v>
      </c>
      <c r="AE2062" s="6">
        <f>$K$2062*$Y$2062</f>
        <v>0</v>
      </c>
      <c r="AF2062" s="6">
        <f ca="1">$M$2062*$Z$2062</f>
        <v>2743.0443504513614</v>
      </c>
      <c r="AG2062" s="6">
        <f>$O$2062*$AA$2062</f>
        <v>1865.0847552615669</v>
      </c>
    </row>
    <row r="2063" spans="1:33" ht="11.25" customHeight="1" x14ac:dyDescent="0.25">
      <c r="A2063" s="4" t="s">
        <v>21</v>
      </c>
      <c r="B2063" s="4" t="s">
        <v>37</v>
      </c>
      <c r="C2063" s="4" t="s">
        <v>23</v>
      </c>
      <c r="D2063" s="4" t="s">
        <v>43</v>
      </c>
      <c r="E2063" s="4" t="s">
        <v>25</v>
      </c>
      <c r="F2063" s="4" t="s">
        <v>25</v>
      </c>
      <c r="G2063" s="4" t="s">
        <v>25</v>
      </c>
      <c r="H2063" s="4" t="s">
        <v>25</v>
      </c>
      <c r="I2063" s="5">
        <v>44682</v>
      </c>
      <c r="J2063" s="6">
        <v>0</v>
      </c>
      <c r="K2063" s="6">
        <v>0</v>
      </c>
      <c r="L2063" s="6">
        <v>35405.118000000002</v>
      </c>
      <c r="M2063" s="6">
        <v>35405.118000000002</v>
      </c>
      <c r="N2063" s="6">
        <v>35405.118000000002</v>
      </c>
      <c r="O2063" s="6">
        <v>35405.118000000002</v>
      </c>
      <c r="P2063" s="6">
        <v>89928</v>
      </c>
      <c r="Q2063" s="4" t="s">
        <v>26</v>
      </c>
      <c r="R2063" s="4">
        <v>0</v>
      </c>
      <c r="S2063" s="6">
        <v>0</v>
      </c>
      <c r="T2063" s="6">
        <v>57</v>
      </c>
      <c r="U2063" s="6">
        <v>100</v>
      </c>
      <c r="V2063" s="6">
        <f>IF(ISERROR(VLOOKUP($S$2063,'TAR FIN'!$A$1:$O$104,15,0)),0,VLOOKUP($S$2063,'TAR FIN'!$A$1:$O$104,15,0))</f>
        <v>0</v>
      </c>
      <c r="W2063" s="6">
        <f>IF(ISERROR(VLOOKUP($T$2063,'TAR FIN'!$A$1:$O$104,15,0)),0,VLOOKUP($T$2063,'TAR FIN'!$A$1:$O$104,15,0))</f>
        <v>341.2</v>
      </c>
      <c r="X2063" s="6">
        <f>IF(ISERROR(VLOOKUP($U$2063,'TAR FIN'!$A$1:$O$104,15,0)),0,VLOOKUP($U$2063,'TAR FIN'!$A$1:$O$104,15,0))</f>
        <v>255.72</v>
      </c>
      <c r="Y2063" s="6"/>
      <c r="Z2063" s="6">
        <f ca="1">('TUSD BE'!$AM$62+'TUSD BF'!$AM$62+'TUSD CVA'!$AM$62)*1</f>
        <v>356.61002995987536</v>
      </c>
      <c r="AA2063" s="6">
        <f>('TE BE'!$AB$41+'TE BF'!$AB$41+'TE CVA'!$AB$41)*1</f>
        <v>242.47071701268419</v>
      </c>
      <c r="AB2063" s="6">
        <f>$K$2063*$V$2063</f>
        <v>0</v>
      </c>
      <c r="AC2063" s="6">
        <f>$M$2063*$W$2063</f>
        <v>12080226.261600001</v>
      </c>
      <c r="AD2063" s="6">
        <f>$O$2063*$X$2063</f>
        <v>9053796.7749600001</v>
      </c>
      <c r="AE2063" s="6">
        <f>$K$2063*$Y$2063</f>
        <v>0</v>
      </c>
      <c r="AF2063" s="6">
        <f ca="1">$M$2063*$Z$2063</f>
        <v>12625820.190712923</v>
      </c>
      <c r="AG2063" s="6">
        <f>$O$2063*$AA$2063</f>
        <v>8584704.3473786917</v>
      </c>
    </row>
    <row r="2064" spans="1:33" ht="11.25" customHeight="1" x14ac:dyDescent="0.25">
      <c r="A2064" s="4" t="s">
        <v>27</v>
      </c>
      <c r="B2064" s="4" t="s">
        <v>37</v>
      </c>
      <c r="C2064" s="4" t="s">
        <v>23</v>
      </c>
      <c r="D2064" s="4" t="s">
        <v>43</v>
      </c>
      <c r="E2064" s="4" t="s">
        <v>25</v>
      </c>
      <c r="F2064" s="4" t="s">
        <v>25</v>
      </c>
      <c r="G2064" s="4" t="s">
        <v>25</v>
      </c>
      <c r="H2064" s="4" t="s">
        <v>25</v>
      </c>
      <c r="I2064" s="5">
        <v>44682</v>
      </c>
      <c r="J2064" s="6">
        <v>0</v>
      </c>
      <c r="K2064" s="6">
        <v>0</v>
      </c>
      <c r="L2064" s="6">
        <v>-86.664000000000001</v>
      </c>
      <c r="M2064" s="6">
        <v>-86.664000000000001</v>
      </c>
      <c r="N2064" s="6">
        <v>-86.664000000000001</v>
      </c>
      <c r="O2064" s="6">
        <v>-86.664000000000001</v>
      </c>
      <c r="P2064" s="6">
        <v>-11</v>
      </c>
      <c r="Q2064" s="4" t="s">
        <v>26</v>
      </c>
      <c r="R2064" s="4">
        <v>0</v>
      </c>
      <c r="S2064" s="6">
        <v>0</v>
      </c>
      <c r="T2064" s="6">
        <v>57</v>
      </c>
      <c r="U2064" s="6">
        <v>100</v>
      </c>
      <c r="V2064" s="6">
        <f>IF(ISERROR(VLOOKUP($S$2064,'TAR FIN'!$A$1:$O$104,15,0)),0,VLOOKUP($S$2064,'TAR FIN'!$A$1:$O$104,15,0))</f>
        <v>0</v>
      </c>
      <c r="W2064" s="6">
        <f>IF(ISERROR(VLOOKUP($T$2064,'TAR FIN'!$A$1:$O$104,15,0)),0,VLOOKUP($T$2064,'TAR FIN'!$A$1:$O$104,15,0))</f>
        <v>341.2</v>
      </c>
      <c r="X2064" s="6">
        <f>IF(ISERROR(VLOOKUP($U$2064,'TAR FIN'!$A$1:$O$104,15,0)),0,VLOOKUP($U$2064,'TAR FIN'!$A$1:$O$104,15,0))</f>
        <v>255.72</v>
      </c>
      <c r="Y2064" s="6"/>
      <c r="Z2064" s="6">
        <f ca="1">('TUSD BE'!$AM$62+'TUSD BF'!$AM$62+'TUSD CVA'!$AM$62)*1</f>
        <v>356.61002995987536</v>
      </c>
      <c r="AA2064" s="6">
        <f>('TE BE'!$AB$41+'TE BF'!$AB$41+'TE CVA'!$AB$41)*1</f>
        <v>242.47071701268419</v>
      </c>
      <c r="AB2064" s="6">
        <f>$K$2064*$V$2064</f>
        <v>0</v>
      </c>
      <c r="AC2064" s="6">
        <f>$M$2064*$W$2064</f>
        <v>-29569.756799999999</v>
      </c>
      <c r="AD2064" s="6">
        <f>$O$2064*$X$2064</f>
        <v>-22161.718079999999</v>
      </c>
      <c r="AE2064" s="6">
        <f>$K$2064*$Y$2064</f>
        <v>0</v>
      </c>
      <c r="AF2064" s="6">
        <f ca="1">$M$2064*$Z$2064</f>
        <v>-30905.251636442637</v>
      </c>
      <c r="AG2064" s="6">
        <f>$O$2064*$AA$2064</f>
        <v>-21013.482219187263</v>
      </c>
    </row>
    <row r="2065" spans="1:33" ht="11.25" customHeight="1" x14ac:dyDescent="0.25">
      <c r="A2065" s="4" t="s">
        <v>28</v>
      </c>
      <c r="B2065" s="4" t="s">
        <v>37</v>
      </c>
      <c r="C2065" s="4" t="s">
        <v>23</v>
      </c>
      <c r="D2065" s="4" t="s">
        <v>43</v>
      </c>
      <c r="E2065" s="4" t="s">
        <v>25</v>
      </c>
      <c r="F2065" s="4" t="s">
        <v>25</v>
      </c>
      <c r="G2065" s="4" t="s">
        <v>25</v>
      </c>
      <c r="H2065" s="4" t="s">
        <v>25</v>
      </c>
      <c r="I2065" s="5">
        <v>44682</v>
      </c>
      <c r="J2065" s="6">
        <v>0</v>
      </c>
      <c r="K2065" s="6">
        <v>0</v>
      </c>
      <c r="L2065" s="6">
        <v>3982.623</v>
      </c>
      <c r="M2065" s="6">
        <v>3982.623</v>
      </c>
      <c r="N2065" s="6">
        <v>3982.623</v>
      </c>
      <c r="O2065" s="6">
        <v>3982.623</v>
      </c>
      <c r="P2065" s="6">
        <v>6801</v>
      </c>
      <c r="Q2065" s="4" t="s">
        <v>26</v>
      </c>
      <c r="R2065" s="4">
        <v>0</v>
      </c>
      <c r="S2065" s="6">
        <v>0</v>
      </c>
      <c r="T2065" s="6">
        <v>57</v>
      </c>
      <c r="U2065" s="6">
        <v>100</v>
      </c>
      <c r="V2065" s="6">
        <f>IF(ISERROR(VLOOKUP($S$2065,'TAR FIN'!$A$1:$O$104,15,0)),0,VLOOKUP($S$2065,'TAR FIN'!$A$1:$O$104,15,0))</f>
        <v>0</v>
      </c>
      <c r="W2065" s="6">
        <f>IF(ISERROR(VLOOKUP($T$2065,'TAR FIN'!$A$1:$O$104,15,0)),0,VLOOKUP($T$2065,'TAR FIN'!$A$1:$O$104,15,0))</f>
        <v>341.2</v>
      </c>
      <c r="X2065" s="6">
        <f>IF(ISERROR(VLOOKUP($U$2065,'TAR FIN'!$A$1:$O$104,15,0)),0,VLOOKUP($U$2065,'TAR FIN'!$A$1:$O$104,15,0))</f>
        <v>255.72</v>
      </c>
      <c r="Y2065" s="6"/>
      <c r="Z2065" s="6">
        <f ca="1">('TUSD BE'!$AM$62+'TUSD BF'!$AM$62+'TUSD CVA'!$AM$62)*1</f>
        <v>356.61002995987536</v>
      </c>
      <c r="AA2065" s="6">
        <f>('TE BE'!$AB$41+'TE BF'!$AB$41+'TE CVA'!$AB$41)*1</f>
        <v>242.47071701268419</v>
      </c>
      <c r="AB2065" s="6">
        <f>$K$2065*$V$2065</f>
        <v>0</v>
      </c>
      <c r="AC2065" s="6">
        <f>$M$2065*$W$2065</f>
        <v>1358870.9675999999</v>
      </c>
      <c r="AD2065" s="6">
        <f>$O$2065*$X$2065</f>
        <v>1018436.35356</v>
      </c>
      <c r="AE2065" s="6">
        <f>$K$2065*$Y$2065</f>
        <v>0</v>
      </c>
      <c r="AF2065" s="6">
        <f ca="1">$M$2065*$Z$2065</f>
        <v>1420243.3073488886</v>
      </c>
      <c r="AG2065" s="6">
        <f>$O$2065*$AA$2065</f>
        <v>965669.45440120739</v>
      </c>
    </row>
    <row r="2066" spans="1:33" ht="11.25" customHeight="1" x14ac:dyDescent="0.25">
      <c r="A2066" s="4" t="s">
        <v>28</v>
      </c>
      <c r="B2066" s="4" t="s">
        <v>37</v>
      </c>
      <c r="C2066" s="4" t="s">
        <v>23</v>
      </c>
      <c r="D2066" s="4" t="s">
        <v>43</v>
      </c>
      <c r="E2066" s="4" t="s">
        <v>25</v>
      </c>
      <c r="F2066" s="4" t="s">
        <v>25</v>
      </c>
      <c r="G2066" s="4" t="s">
        <v>25</v>
      </c>
      <c r="H2066" s="4" t="s">
        <v>25</v>
      </c>
      <c r="I2066" s="5">
        <v>44682</v>
      </c>
      <c r="J2066" s="6">
        <v>0</v>
      </c>
      <c r="K2066" s="6">
        <v>0</v>
      </c>
      <c r="L2066" s="6">
        <v>-28.524999999999999</v>
      </c>
      <c r="M2066" s="6">
        <v>-28.524999999999999</v>
      </c>
      <c r="N2066" s="6">
        <v>-28.524999999999999</v>
      </c>
      <c r="O2066" s="6">
        <v>-28.524999999999999</v>
      </c>
      <c r="P2066" s="6">
        <v>0</v>
      </c>
      <c r="Q2066" s="4" t="s">
        <v>26</v>
      </c>
      <c r="R2066" s="4">
        <v>0</v>
      </c>
      <c r="S2066" s="6">
        <v>0</v>
      </c>
      <c r="T2066" s="6">
        <v>57</v>
      </c>
      <c r="U2066" s="6">
        <v>100</v>
      </c>
      <c r="V2066" s="6">
        <f>IF(ISERROR(VLOOKUP($S$2066,'TAR FIN'!$A$1:$O$104,15,0)),0,VLOOKUP($S$2066,'TAR FIN'!$A$1:$O$104,15,0))</f>
        <v>0</v>
      </c>
      <c r="W2066" s="6">
        <f>IF(ISERROR(VLOOKUP($T$2066,'TAR FIN'!$A$1:$O$104,15,0)),0,VLOOKUP($T$2066,'TAR FIN'!$A$1:$O$104,15,0))</f>
        <v>341.2</v>
      </c>
      <c r="X2066" s="6">
        <f>IF(ISERROR(VLOOKUP($U$2066,'TAR FIN'!$A$1:$O$104,15,0)),0,VLOOKUP($U$2066,'TAR FIN'!$A$1:$O$104,15,0))</f>
        <v>255.72</v>
      </c>
      <c r="Y2066" s="6"/>
      <c r="Z2066" s="6">
        <f ca="1">('TUSD BE'!$AM$62+'TUSD BF'!$AM$62+'TUSD CVA'!$AM$62)*1</f>
        <v>356.61002995987536</v>
      </c>
      <c r="AA2066" s="6">
        <f>('TE BE'!$AB$41+'TE BF'!$AB$41+'TE CVA'!$AB$41)*1</f>
        <v>242.47071701268419</v>
      </c>
      <c r="AB2066" s="6">
        <f>$K$2066*$V$2066</f>
        <v>0</v>
      </c>
      <c r="AC2066" s="6">
        <f>$M$2066*$W$2066</f>
        <v>-9732.73</v>
      </c>
      <c r="AD2066" s="6">
        <f>$O$2066*$X$2066</f>
        <v>-7294.4129999999996</v>
      </c>
      <c r="AE2066" s="6">
        <f>$K$2066*$Y$2066</f>
        <v>0</v>
      </c>
      <c r="AF2066" s="6">
        <f ca="1">$M$2066*$Z$2066</f>
        <v>-10172.301104605443</v>
      </c>
      <c r="AG2066" s="6">
        <f>$O$2066*$AA$2066</f>
        <v>-6916.4772027868166</v>
      </c>
    </row>
    <row r="2067" spans="1:33" ht="11.25" customHeight="1" x14ac:dyDescent="0.25">
      <c r="A2067" s="4" t="s">
        <v>21</v>
      </c>
      <c r="B2067" s="4" t="s">
        <v>37</v>
      </c>
      <c r="C2067" s="4" t="s">
        <v>23</v>
      </c>
      <c r="D2067" s="4" t="s">
        <v>43</v>
      </c>
      <c r="E2067" s="4" t="s">
        <v>25</v>
      </c>
      <c r="F2067" s="4" t="s">
        <v>25</v>
      </c>
      <c r="G2067" s="4" t="s">
        <v>25</v>
      </c>
      <c r="H2067" s="4" t="s">
        <v>25</v>
      </c>
      <c r="I2067" s="5">
        <v>44713</v>
      </c>
      <c r="J2067" s="6">
        <v>0</v>
      </c>
      <c r="K2067" s="6">
        <v>0</v>
      </c>
      <c r="L2067" s="6">
        <v>32180.397000000001</v>
      </c>
      <c r="M2067" s="6">
        <v>32180.397000000001</v>
      </c>
      <c r="N2067" s="6">
        <v>32180.397000000001</v>
      </c>
      <c r="O2067" s="6">
        <v>32180.397000000001</v>
      </c>
      <c r="P2067" s="6">
        <v>89819</v>
      </c>
      <c r="Q2067" s="4" t="s">
        <v>26</v>
      </c>
      <c r="R2067" s="4">
        <v>0</v>
      </c>
      <c r="S2067" s="6">
        <v>0</v>
      </c>
      <c r="T2067" s="6">
        <v>57</v>
      </c>
      <c r="U2067" s="6">
        <v>100</v>
      </c>
      <c r="V2067" s="6">
        <f>IF(ISERROR(VLOOKUP($S$2067,'TAR FIN'!$A$1:$O$104,15,0)),0,VLOOKUP($S$2067,'TAR FIN'!$A$1:$O$104,15,0))</f>
        <v>0</v>
      </c>
      <c r="W2067" s="6">
        <f>IF(ISERROR(VLOOKUP($T$2067,'TAR FIN'!$A$1:$O$104,15,0)),0,VLOOKUP($T$2067,'TAR FIN'!$A$1:$O$104,15,0))</f>
        <v>341.2</v>
      </c>
      <c r="X2067" s="6">
        <f>IF(ISERROR(VLOOKUP($U$2067,'TAR FIN'!$A$1:$O$104,15,0)),0,VLOOKUP($U$2067,'TAR FIN'!$A$1:$O$104,15,0))</f>
        <v>255.72</v>
      </c>
      <c r="Y2067" s="6"/>
      <c r="Z2067" s="6">
        <f ca="1">('TUSD BE'!$AM$62+'TUSD BF'!$AM$62+'TUSD CVA'!$AM$62)*1</f>
        <v>356.61002995987536</v>
      </c>
      <c r="AA2067" s="6">
        <f>('TE BE'!$AB$41+'TE BF'!$AB$41+'TE CVA'!$AB$41)*1</f>
        <v>242.47071701268419</v>
      </c>
      <c r="AB2067" s="6">
        <f>$K$2067*$V$2067</f>
        <v>0</v>
      </c>
      <c r="AC2067" s="6">
        <f>$M$2067*$W$2067</f>
        <v>10979951.4564</v>
      </c>
      <c r="AD2067" s="6">
        <f>$O$2067*$X$2067</f>
        <v>8229171.12084</v>
      </c>
      <c r="AE2067" s="6">
        <f>$K$2067*$Y$2067</f>
        <v>0</v>
      </c>
      <c r="AF2067" s="6">
        <f ca="1">$M$2067*$Z$2067</f>
        <v>11475852.338290684</v>
      </c>
      <c r="AG2067" s="6">
        <f>$O$2067*$AA$2067</f>
        <v>7802803.9343428314</v>
      </c>
    </row>
    <row r="2068" spans="1:33" ht="11.25" customHeight="1" x14ac:dyDescent="0.25">
      <c r="A2068" s="4" t="s">
        <v>27</v>
      </c>
      <c r="B2068" s="4" t="s">
        <v>37</v>
      </c>
      <c r="C2068" s="4" t="s">
        <v>23</v>
      </c>
      <c r="D2068" s="4" t="s">
        <v>43</v>
      </c>
      <c r="E2068" s="4" t="s">
        <v>25</v>
      </c>
      <c r="F2068" s="4" t="s">
        <v>25</v>
      </c>
      <c r="G2068" s="4" t="s">
        <v>25</v>
      </c>
      <c r="H2068" s="4" t="s">
        <v>25</v>
      </c>
      <c r="I2068" s="5">
        <v>44713</v>
      </c>
      <c r="J2068" s="6">
        <v>0</v>
      </c>
      <c r="K2068" s="6">
        <v>0</v>
      </c>
      <c r="L2068" s="6">
        <v>-33.392000000000003</v>
      </c>
      <c r="M2068" s="6">
        <v>-33.392000000000003</v>
      </c>
      <c r="N2068" s="6">
        <v>-33.392000000000003</v>
      </c>
      <c r="O2068" s="6">
        <v>-33.392000000000003</v>
      </c>
      <c r="P2068" s="6">
        <v>-15</v>
      </c>
      <c r="Q2068" s="4" t="s">
        <v>26</v>
      </c>
      <c r="R2068" s="4">
        <v>0</v>
      </c>
      <c r="S2068" s="6">
        <v>0</v>
      </c>
      <c r="T2068" s="6">
        <v>57</v>
      </c>
      <c r="U2068" s="6">
        <v>100</v>
      </c>
      <c r="V2068" s="6">
        <f>IF(ISERROR(VLOOKUP($S$2068,'TAR FIN'!$A$1:$O$104,15,0)),0,VLOOKUP($S$2068,'TAR FIN'!$A$1:$O$104,15,0))</f>
        <v>0</v>
      </c>
      <c r="W2068" s="6">
        <f>IF(ISERROR(VLOOKUP($T$2068,'TAR FIN'!$A$1:$O$104,15,0)),0,VLOOKUP($T$2068,'TAR FIN'!$A$1:$O$104,15,0))</f>
        <v>341.2</v>
      </c>
      <c r="X2068" s="6">
        <f>IF(ISERROR(VLOOKUP($U$2068,'TAR FIN'!$A$1:$O$104,15,0)),0,VLOOKUP($U$2068,'TAR FIN'!$A$1:$O$104,15,0))</f>
        <v>255.72</v>
      </c>
      <c r="Y2068" s="6"/>
      <c r="Z2068" s="6">
        <f ca="1">('TUSD BE'!$AM$62+'TUSD BF'!$AM$62+'TUSD CVA'!$AM$62)*1</f>
        <v>356.61002995987536</v>
      </c>
      <c r="AA2068" s="6">
        <f>('TE BE'!$AB$41+'TE BF'!$AB$41+'TE CVA'!$AB$41)*1</f>
        <v>242.47071701268419</v>
      </c>
      <c r="AB2068" s="6">
        <f>$K$2068*$V$2068</f>
        <v>0</v>
      </c>
      <c r="AC2068" s="6">
        <f>$M$2068*$W$2068</f>
        <v>-11393.350400000001</v>
      </c>
      <c r="AD2068" s="6">
        <f>$O$2068*$X$2068</f>
        <v>-8539.0022400000016</v>
      </c>
      <c r="AE2068" s="6">
        <f>$K$2068*$Y$2068</f>
        <v>0</v>
      </c>
      <c r="AF2068" s="6">
        <f ca="1">$M$2068*$Z$2068</f>
        <v>-11907.922120420159</v>
      </c>
      <c r="AG2068" s="6">
        <f>$O$2068*$AA$2068</f>
        <v>-8096.5821824875511</v>
      </c>
    </row>
    <row r="2069" spans="1:33" ht="11.25" customHeight="1" x14ac:dyDescent="0.25">
      <c r="A2069" s="4" t="s">
        <v>28</v>
      </c>
      <c r="B2069" s="4" t="s">
        <v>37</v>
      </c>
      <c r="C2069" s="4" t="s">
        <v>23</v>
      </c>
      <c r="D2069" s="4" t="s">
        <v>43</v>
      </c>
      <c r="E2069" s="4" t="s">
        <v>25</v>
      </c>
      <c r="F2069" s="4" t="s">
        <v>25</v>
      </c>
      <c r="G2069" s="4" t="s">
        <v>25</v>
      </c>
      <c r="H2069" s="4" t="s">
        <v>25</v>
      </c>
      <c r="I2069" s="5">
        <v>44713</v>
      </c>
      <c r="J2069" s="6">
        <v>0</v>
      </c>
      <c r="K2069" s="6">
        <v>0</v>
      </c>
      <c r="L2069" s="6">
        <v>4102.4210000000003</v>
      </c>
      <c r="M2069" s="6">
        <v>4102.4210000000003</v>
      </c>
      <c r="N2069" s="6">
        <v>4102.4210000000003</v>
      </c>
      <c r="O2069" s="6">
        <v>4102.4210000000003</v>
      </c>
      <c r="P2069" s="6">
        <v>7074</v>
      </c>
      <c r="Q2069" s="4" t="s">
        <v>26</v>
      </c>
      <c r="R2069" s="4">
        <v>0</v>
      </c>
      <c r="S2069" s="6">
        <v>0</v>
      </c>
      <c r="T2069" s="6">
        <v>57</v>
      </c>
      <c r="U2069" s="6">
        <v>100</v>
      </c>
      <c r="V2069" s="6">
        <f>IF(ISERROR(VLOOKUP($S$2069,'TAR FIN'!$A$1:$O$104,15,0)),0,VLOOKUP($S$2069,'TAR FIN'!$A$1:$O$104,15,0))</f>
        <v>0</v>
      </c>
      <c r="W2069" s="6">
        <f>IF(ISERROR(VLOOKUP($T$2069,'TAR FIN'!$A$1:$O$104,15,0)),0,VLOOKUP($T$2069,'TAR FIN'!$A$1:$O$104,15,0))</f>
        <v>341.2</v>
      </c>
      <c r="X2069" s="6">
        <f>IF(ISERROR(VLOOKUP($U$2069,'TAR FIN'!$A$1:$O$104,15,0)),0,VLOOKUP($U$2069,'TAR FIN'!$A$1:$O$104,15,0))</f>
        <v>255.72</v>
      </c>
      <c r="Y2069" s="6"/>
      <c r="Z2069" s="6">
        <f ca="1">('TUSD BE'!$AM$62+'TUSD BF'!$AM$62+'TUSD CVA'!$AM$62)*1</f>
        <v>356.61002995987536</v>
      </c>
      <c r="AA2069" s="6">
        <f>('TE BE'!$AB$41+'TE BF'!$AB$41+'TE CVA'!$AB$41)*1</f>
        <v>242.47071701268419</v>
      </c>
      <c r="AB2069" s="6">
        <f>$K$2069*$V$2069</f>
        <v>0</v>
      </c>
      <c r="AC2069" s="6">
        <f>$M$2069*$W$2069</f>
        <v>1399746.0452000001</v>
      </c>
      <c r="AD2069" s="6">
        <f>$O$2069*$X$2069</f>
        <v>1049071.09812</v>
      </c>
      <c r="AE2069" s="6">
        <f>$K$2069*$Y$2069</f>
        <v>0</v>
      </c>
      <c r="AF2069" s="6">
        <f ca="1">$M$2069*$Z$2069</f>
        <v>1462964.4757180219</v>
      </c>
      <c r="AG2069" s="6">
        <f>$O$2069*$AA$2069</f>
        <v>994716.96135789296</v>
      </c>
    </row>
    <row r="2070" spans="1:33" ht="11.25" customHeight="1" x14ac:dyDescent="0.25">
      <c r="A2070" s="4" t="s">
        <v>28</v>
      </c>
      <c r="B2070" s="4" t="s">
        <v>37</v>
      </c>
      <c r="C2070" s="4" t="s">
        <v>23</v>
      </c>
      <c r="D2070" s="4" t="s">
        <v>43</v>
      </c>
      <c r="E2070" s="4" t="s">
        <v>25</v>
      </c>
      <c r="F2070" s="4" t="s">
        <v>25</v>
      </c>
      <c r="G2070" s="4" t="s">
        <v>25</v>
      </c>
      <c r="H2070" s="4" t="s">
        <v>25</v>
      </c>
      <c r="I2070" s="5">
        <v>44713</v>
      </c>
      <c r="J2070" s="6">
        <v>0</v>
      </c>
      <c r="K2070" s="6">
        <v>0</v>
      </c>
      <c r="L2070" s="6">
        <v>-37.411000000000001</v>
      </c>
      <c r="M2070" s="6">
        <v>-37.411000000000001</v>
      </c>
      <c r="N2070" s="6">
        <v>-37.411000000000001</v>
      </c>
      <c r="O2070" s="6">
        <v>-37.411000000000001</v>
      </c>
      <c r="P2070" s="6">
        <v>0</v>
      </c>
      <c r="Q2070" s="4" t="s">
        <v>26</v>
      </c>
      <c r="R2070" s="4">
        <v>0</v>
      </c>
      <c r="S2070" s="6">
        <v>0</v>
      </c>
      <c r="T2070" s="6">
        <v>57</v>
      </c>
      <c r="U2070" s="6">
        <v>100</v>
      </c>
      <c r="V2070" s="6">
        <f>IF(ISERROR(VLOOKUP($S$2070,'TAR FIN'!$A$1:$O$104,15,0)),0,VLOOKUP($S$2070,'TAR FIN'!$A$1:$O$104,15,0))</f>
        <v>0</v>
      </c>
      <c r="W2070" s="6">
        <f>IF(ISERROR(VLOOKUP($T$2070,'TAR FIN'!$A$1:$O$104,15,0)),0,VLOOKUP($T$2070,'TAR FIN'!$A$1:$O$104,15,0))</f>
        <v>341.2</v>
      </c>
      <c r="X2070" s="6">
        <f>IF(ISERROR(VLOOKUP($U$2070,'TAR FIN'!$A$1:$O$104,15,0)),0,VLOOKUP($U$2070,'TAR FIN'!$A$1:$O$104,15,0))</f>
        <v>255.72</v>
      </c>
      <c r="Y2070" s="6"/>
      <c r="Z2070" s="6">
        <f ca="1">('TUSD BE'!$AM$62+'TUSD BF'!$AM$62+'TUSD CVA'!$AM$62)*1</f>
        <v>356.61002995987536</v>
      </c>
      <c r="AA2070" s="6">
        <f>('TE BE'!$AB$41+'TE BF'!$AB$41+'TE CVA'!$AB$41)*1</f>
        <v>242.47071701268419</v>
      </c>
      <c r="AB2070" s="6">
        <f>$K$2070*$V$2070</f>
        <v>0</v>
      </c>
      <c r="AC2070" s="6">
        <f>$M$2070*$W$2070</f>
        <v>-12764.6332</v>
      </c>
      <c r="AD2070" s="6">
        <f>$O$2070*$X$2070</f>
        <v>-9566.7409200000002</v>
      </c>
      <c r="AE2070" s="6">
        <f>$K$2070*$Y$2070</f>
        <v>0</v>
      </c>
      <c r="AF2070" s="6">
        <f ca="1">$M$2070*$Z$2070</f>
        <v>-13341.137830828897</v>
      </c>
      <c r="AG2070" s="6">
        <f>$O$2070*$AA$2070</f>
        <v>-9071.071994161528</v>
      </c>
    </row>
    <row r="2071" spans="1:33" ht="11.25" customHeight="1" x14ac:dyDescent="0.25">
      <c r="A2071" s="4" t="s">
        <v>57</v>
      </c>
      <c r="B2071" s="4" t="s">
        <v>37</v>
      </c>
      <c r="C2071" s="4" t="s">
        <v>23</v>
      </c>
      <c r="D2071" s="4" t="s">
        <v>43</v>
      </c>
      <c r="E2071" s="4" t="s">
        <v>25</v>
      </c>
      <c r="F2071" s="4" t="s">
        <v>25</v>
      </c>
      <c r="G2071" s="4" t="s">
        <v>25</v>
      </c>
      <c r="H2071" s="4" t="s">
        <v>25</v>
      </c>
      <c r="I2071" s="5">
        <v>44743</v>
      </c>
      <c r="J2071" s="6">
        <v>0</v>
      </c>
      <c r="K2071" s="6">
        <v>0</v>
      </c>
      <c r="L2071" s="6">
        <v>32180.397000000001</v>
      </c>
      <c r="M2071" s="6">
        <v>32180.397000000001</v>
      </c>
      <c r="N2071" s="6">
        <v>32180.397000000001</v>
      </c>
      <c r="O2071" s="6">
        <v>32180.397000000001</v>
      </c>
      <c r="P2071" s="6">
        <v>89819</v>
      </c>
      <c r="Q2071" s="4" t="s">
        <v>26</v>
      </c>
      <c r="R2071" s="4">
        <v>0</v>
      </c>
      <c r="S2071" s="6">
        <v>0</v>
      </c>
      <c r="T2071" s="6">
        <v>57</v>
      </c>
      <c r="U2071" s="6">
        <v>100</v>
      </c>
      <c r="V2071" s="6">
        <f>IF(ISERROR(VLOOKUP($S$2071,'TAR FIN'!$A$1:$O$104,15,0)),0,VLOOKUP($S$2071,'TAR FIN'!$A$1:$O$104,15,0))</f>
        <v>0</v>
      </c>
      <c r="W2071" s="6">
        <f>IF(ISERROR(VLOOKUP($T$2071,'TAR FIN'!$A$1:$O$104,15,0)),0,VLOOKUP($T$2071,'TAR FIN'!$A$1:$O$104,15,0))</f>
        <v>341.2</v>
      </c>
      <c r="X2071" s="6">
        <f>IF(ISERROR(VLOOKUP($U$2071,'TAR FIN'!$A$1:$O$104,15,0)),0,VLOOKUP($U$2071,'TAR FIN'!$A$1:$O$104,15,0))</f>
        <v>255.72</v>
      </c>
      <c r="Y2071" s="6"/>
      <c r="Z2071" s="6">
        <f ca="1">('TUSD BE'!$AM$62+'TUSD BF'!$AM$62+'TUSD CVA'!$AM$62)*1</f>
        <v>356.61002995987536</v>
      </c>
      <c r="AA2071" s="6">
        <f>('TE BE'!$AB$41+'TE BF'!$AB$41+'TE CVA'!$AB$41)*1</f>
        <v>242.47071701268419</v>
      </c>
      <c r="AB2071" s="6">
        <f>$K$2071*$V$2071</f>
        <v>0</v>
      </c>
      <c r="AC2071" s="6">
        <f>$M$2071*$W$2071</f>
        <v>10979951.4564</v>
      </c>
      <c r="AD2071" s="6">
        <f>$O$2071*$X$2071</f>
        <v>8229171.12084</v>
      </c>
      <c r="AE2071" s="6">
        <f>$K$2071*$Y$2071</f>
        <v>0</v>
      </c>
      <c r="AF2071" s="6">
        <f ca="1">$M$2071*$Z$2071</f>
        <v>11475852.338290684</v>
      </c>
      <c r="AG2071" s="6">
        <f>$O$2071*$AA$2071</f>
        <v>7802803.9343428314</v>
      </c>
    </row>
    <row r="2072" spans="1:33" ht="11.25" customHeight="1" x14ac:dyDescent="0.25">
      <c r="A2072" s="4" t="s">
        <v>57</v>
      </c>
      <c r="B2072" s="4" t="s">
        <v>37</v>
      </c>
      <c r="C2072" s="4" t="s">
        <v>23</v>
      </c>
      <c r="D2072" s="4" t="s">
        <v>43</v>
      </c>
      <c r="E2072" s="4" t="s">
        <v>25</v>
      </c>
      <c r="F2072" s="4" t="s">
        <v>25</v>
      </c>
      <c r="G2072" s="4" t="s">
        <v>25</v>
      </c>
      <c r="H2072" s="4" t="s">
        <v>25</v>
      </c>
      <c r="I2072" s="5">
        <v>44743</v>
      </c>
      <c r="J2072" s="6">
        <v>0</v>
      </c>
      <c r="K2072" s="6">
        <v>0</v>
      </c>
      <c r="L2072" s="6">
        <v>-33.392000000000003</v>
      </c>
      <c r="M2072" s="6">
        <v>-33.392000000000003</v>
      </c>
      <c r="N2072" s="6">
        <v>-33.392000000000003</v>
      </c>
      <c r="O2072" s="6">
        <v>-33.392000000000003</v>
      </c>
      <c r="P2072" s="6">
        <v>-15</v>
      </c>
      <c r="Q2072" s="4" t="s">
        <v>26</v>
      </c>
      <c r="R2072" s="4">
        <v>0</v>
      </c>
      <c r="S2072" s="6">
        <v>0</v>
      </c>
      <c r="T2072" s="6">
        <v>57</v>
      </c>
      <c r="U2072" s="6">
        <v>100</v>
      </c>
      <c r="V2072" s="6">
        <f>IF(ISERROR(VLOOKUP($S$2072,'TAR FIN'!$A$1:$O$104,15,0)),0,VLOOKUP($S$2072,'TAR FIN'!$A$1:$O$104,15,0))</f>
        <v>0</v>
      </c>
      <c r="W2072" s="6">
        <f>IF(ISERROR(VLOOKUP($T$2072,'TAR FIN'!$A$1:$O$104,15,0)),0,VLOOKUP($T$2072,'TAR FIN'!$A$1:$O$104,15,0))</f>
        <v>341.2</v>
      </c>
      <c r="X2072" s="6">
        <f>IF(ISERROR(VLOOKUP($U$2072,'TAR FIN'!$A$1:$O$104,15,0)),0,VLOOKUP($U$2072,'TAR FIN'!$A$1:$O$104,15,0))</f>
        <v>255.72</v>
      </c>
      <c r="Y2072" s="6"/>
      <c r="Z2072" s="6">
        <f ca="1">('TUSD BE'!$AM$62+'TUSD BF'!$AM$62+'TUSD CVA'!$AM$62)*1</f>
        <v>356.61002995987536</v>
      </c>
      <c r="AA2072" s="6">
        <f>('TE BE'!$AB$41+'TE BF'!$AB$41+'TE CVA'!$AB$41)*1</f>
        <v>242.47071701268419</v>
      </c>
      <c r="AB2072" s="6">
        <f>$K$2072*$V$2072</f>
        <v>0</v>
      </c>
      <c r="AC2072" s="6">
        <f>$M$2072*$W$2072</f>
        <v>-11393.350400000001</v>
      </c>
      <c r="AD2072" s="6">
        <f>$O$2072*$X$2072</f>
        <v>-8539.0022400000016</v>
      </c>
      <c r="AE2072" s="6">
        <f>$K$2072*$Y$2072</f>
        <v>0</v>
      </c>
      <c r="AF2072" s="6">
        <f ca="1">$M$2072*$Z$2072</f>
        <v>-11907.922120420159</v>
      </c>
      <c r="AG2072" s="6">
        <f>$O$2072*$AA$2072</f>
        <v>-8096.5821824875511</v>
      </c>
    </row>
    <row r="2073" spans="1:33" ht="11.25" customHeight="1" x14ac:dyDescent="0.25">
      <c r="A2073" s="4" t="s">
        <v>57</v>
      </c>
      <c r="B2073" s="4" t="s">
        <v>37</v>
      </c>
      <c r="C2073" s="4" t="s">
        <v>23</v>
      </c>
      <c r="D2073" s="4" t="s">
        <v>43</v>
      </c>
      <c r="E2073" s="4" t="s">
        <v>25</v>
      </c>
      <c r="F2073" s="4" t="s">
        <v>25</v>
      </c>
      <c r="G2073" s="4" t="s">
        <v>25</v>
      </c>
      <c r="H2073" s="4" t="s">
        <v>25</v>
      </c>
      <c r="I2073" s="5">
        <v>44743</v>
      </c>
      <c r="J2073" s="6">
        <v>0</v>
      </c>
      <c r="K2073" s="6">
        <v>0</v>
      </c>
      <c r="L2073" s="6">
        <v>4102.4210000000003</v>
      </c>
      <c r="M2073" s="6">
        <v>4102.4210000000003</v>
      </c>
      <c r="N2073" s="6">
        <v>4102.4210000000003</v>
      </c>
      <c r="O2073" s="6">
        <v>4102.4210000000003</v>
      </c>
      <c r="P2073" s="6">
        <v>7074</v>
      </c>
      <c r="Q2073" s="4" t="s">
        <v>26</v>
      </c>
      <c r="R2073" s="4">
        <v>0</v>
      </c>
      <c r="S2073" s="6">
        <v>0</v>
      </c>
      <c r="T2073" s="6">
        <v>57</v>
      </c>
      <c r="U2073" s="6">
        <v>100</v>
      </c>
      <c r="V2073" s="6">
        <f>IF(ISERROR(VLOOKUP($S$2073,'TAR FIN'!$A$1:$O$104,15,0)),0,VLOOKUP($S$2073,'TAR FIN'!$A$1:$O$104,15,0))</f>
        <v>0</v>
      </c>
      <c r="W2073" s="6">
        <f>IF(ISERROR(VLOOKUP($T$2073,'TAR FIN'!$A$1:$O$104,15,0)),0,VLOOKUP($T$2073,'TAR FIN'!$A$1:$O$104,15,0))</f>
        <v>341.2</v>
      </c>
      <c r="X2073" s="6">
        <f>IF(ISERROR(VLOOKUP($U$2073,'TAR FIN'!$A$1:$O$104,15,0)),0,VLOOKUP($U$2073,'TAR FIN'!$A$1:$O$104,15,0))</f>
        <v>255.72</v>
      </c>
      <c r="Y2073" s="6"/>
      <c r="Z2073" s="6">
        <f ca="1">('TUSD BE'!$AM$62+'TUSD BF'!$AM$62+'TUSD CVA'!$AM$62)*1</f>
        <v>356.61002995987536</v>
      </c>
      <c r="AA2073" s="6">
        <f>('TE BE'!$AB$41+'TE BF'!$AB$41+'TE CVA'!$AB$41)*1</f>
        <v>242.47071701268419</v>
      </c>
      <c r="AB2073" s="6">
        <f>$K$2073*$V$2073</f>
        <v>0</v>
      </c>
      <c r="AC2073" s="6">
        <f>$M$2073*$W$2073</f>
        <v>1399746.0452000001</v>
      </c>
      <c r="AD2073" s="6">
        <f>$O$2073*$X$2073</f>
        <v>1049071.09812</v>
      </c>
      <c r="AE2073" s="6">
        <f>$K$2073*$Y$2073</f>
        <v>0</v>
      </c>
      <c r="AF2073" s="6">
        <f ca="1">$M$2073*$Z$2073</f>
        <v>1462964.4757180219</v>
      </c>
      <c r="AG2073" s="6">
        <f>$O$2073*$AA$2073</f>
        <v>994716.96135789296</v>
      </c>
    </row>
    <row r="2074" spans="1:33" ht="11.25" customHeight="1" x14ac:dyDescent="0.25">
      <c r="A2074" s="4" t="s">
        <v>57</v>
      </c>
      <c r="B2074" s="4" t="s">
        <v>37</v>
      </c>
      <c r="C2074" s="4" t="s">
        <v>23</v>
      </c>
      <c r="D2074" s="4" t="s">
        <v>43</v>
      </c>
      <c r="E2074" s="4" t="s">
        <v>25</v>
      </c>
      <c r="F2074" s="4" t="s">
        <v>25</v>
      </c>
      <c r="G2074" s="4" t="s">
        <v>25</v>
      </c>
      <c r="H2074" s="4" t="s">
        <v>25</v>
      </c>
      <c r="I2074" s="5">
        <v>44743</v>
      </c>
      <c r="J2074" s="6">
        <v>0</v>
      </c>
      <c r="K2074" s="6">
        <v>0</v>
      </c>
      <c r="L2074" s="6">
        <v>-37.411000000000001</v>
      </c>
      <c r="M2074" s="6">
        <v>-37.411000000000001</v>
      </c>
      <c r="N2074" s="6">
        <v>-37.411000000000001</v>
      </c>
      <c r="O2074" s="6">
        <v>-37.411000000000001</v>
      </c>
      <c r="P2074" s="6">
        <v>0</v>
      </c>
      <c r="Q2074" s="4" t="s">
        <v>26</v>
      </c>
      <c r="R2074" s="4">
        <v>0</v>
      </c>
      <c r="S2074" s="6">
        <v>0</v>
      </c>
      <c r="T2074" s="6">
        <v>57</v>
      </c>
      <c r="U2074" s="6">
        <v>100</v>
      </c>
      <c r="V2074" s="6">
        <f>IF(ISERROR(VLOOKUP($S$2074,'TAR FIN'!$A$1:$O$104,15,0)),0,VLOOKUP($S$2074,'TAR FIN'!$A$1:$O$104,15,0))</f>
        <v>0</v>
      </c>
      <c r="W2074" s="6">
        <f>IF(ISERROR(VLOOKUP($T$2074,'TAR FIN'!$A$1:$O$104,15,0)),0,VLOOKUP($T$2074,'TAR FIN'!$A$1:$O$104,15,0))</f>
        <v>341.2</v>
      </c>
      <c r="X2074" s="6">
        <f>IF(ISERROR(VLOOKUP($U$2074,'TAR FIN'!$A$1:$O$104,15,0)),0,VLOOKUP($U$2074,'TAR FIN'!$A$1:$O$104,15,0))</f>
        <v>255.72</v>
      </c>
      <c r="Y2074" s="6"/>
      <c r="Z2074" s="6">
        <f ca="1">('TUSD BE'!$AM$62+'TUSD BF'!$AM$62+'TUSD CVA'!$AM$62)*1</f>
        <v>356.61002995987536</v>
      </c>
      <c r="AA2074" s="6">
        <f>('TE BE'!$AB$41+'TE BF'!$AB$41+'TE CVA'!$AB$41)*1</f>
        <v>242.47071701268419</v>
      </c>
      <c r="AB2074" s="6">
        <f>$K$2074*$V$2074</f>
        <v>0</v>
      </c>
      <c r="AC2074" s="6">
        <f>$M$2074*$W$2074</f>
        <v>-12764.6332</v>
      </c>
      <c r="AD2074" s="6">
        <f>$O$2074*$X$2074</f>
        <v>-9566.7409200000002</v>
      </c>
      <c r="AE2074" s="6">
        <f>$K$2074*$Y$2074</f>
        <v>0</v>
      </c>
      <c r="AF2074" s="6">
        <f ca="1">$M$2074*$Z$2074</f>
        <v>-13341.137830828897</v>
      </c>
      <c r="AG2074" s="6">
        <f>$O$2074*$AA$2074</f>
        <v>-9071.071994161528</v>
      </c>
    </row>
    <row r="2075" spans="1:33" ht="11.25" customHeight="1" x14ac:dyDescent="0.25">
      <c r="A2075" s="4" t="s">
        <v>21</v>
      </c>
      <c r="B2075" s="4" t="s">
        <v>37</v>
      </c>
      <c r="C2075" s="4" t="s">
        <v>23</v>
      </c>
      <c r="D2075" s="4" t="s">
        <v>52</v>
      </c>
      <c r="E2075" s="4" t="s">
        <v>25</v>
      </c>
      <c r="F2075" s="4" t="s">
        <v>25</v>
      </c>
      <c r="G2075" s="4" t="s">
        <v>25</v>
      </c>
      <c r="H2075" s="4" t="s">
        <v>25</v>
      </c>
      <c r="I2075" s="5">
        <v>44409</v>
      </c>
      <c r="J2075" s="6">
        <v>0</v>
      </c>
      <c r="K2075" s="6">
        <v>0</v>
      </c>
      <c r="L2075" s="6">
        <v>198.739</v>
      </c>
      <c r="M2075" s="6">
        <v>198.739</v>
      </c>
      <c r="N2075" s="6">
        <v>198.739</v>
      </c>
      <c r="O2075" s="6">
        <v>198.739</v>
      </c>
      <c r="P2075" s="6">
        <v>304</v>
      </c>
      <c r="Q2075" s="4" t="s">
        <v>26</v>
      </c>
      <c r="R2075" s="4">
        <v>0</v>
      </c>
      <c r="S2075" s="6">
        <v>0</v>
      </c>
      <c r="T2075" s="6">
        <v>57</v>
      </c>
      <c r="U2075" s="6">
        <v>100</v>
      </c>
      <c r="V2075" s="6">
        <f>IF(ISERROR(VLOOKUP($S$2075,'TAR FIN'!$A$1:$O$104,15,0)),0,VLOOKUP($S$2075,'TAR FIN'!$A$1:$O$104,15,0))</f>
        <v>0</v>
      </c>
      <c r="W2075" s="6">
        <f>IF(ISERROR(VLOOKUP($T$2075,'TAR FIN'!$A$1:$O$104,15,0)),0,VLOOKUP($T$2075,'TAR FIN'!$A$1:$O$104,15,0))</f>
        <v>341.2</v>
      </c>
      <c r="X2075" s="6">
        <f>IF(ISERROR(VLOOKUP($U$2075,'TAR FIN'!$A$1:$O$104,15,0)),0,VLOOKUP($U$2075,'TAR FIN'!$A$1:$O$104,15,0))</f>
        <v>255.72</v>
      </c>
      <c r="Y2075" s="6"/>
      <c r="Z2075" s="6">
        <f ca="1">('TUSD BE'!$AM$62+'TUSD BF'!$AM$62+'TUSD CVA'!$AM$62)*1</f>
        <v>356.61002995987536</v>
      </c>
      <c r="AA2075" s="6">
        <f>('TE BE'!$AB$41+'TE BF'!$AB$41+'TE CVA'!$AB$41)*1</f>
        <v>242.47071701268419</v>
      </c>
      <c r="AB2075" s="6">
        <f>$K$2075*$V$2075</f>
        <v>0</v>
      </c>
      <c r="AC2075" s="6">
        <f>$M$2075*$W$2075</f>
        <v>67809.746799999994</v>
      </c>
      <c r="AD2075" s="6">
        <f>$O$2075*$X$2075</f>
        <v>50821.537080000002</v>
      </c>
      <c r="AE2075" s="6">
        <f>$K$2075*$Y$2075</f>
        <v>0</v>
      </c>
      <c r="AF2075" s="6">
        <f ca="1">$M$2075*$Z$2075</f>
        <v>70872.320744195677</v>
      </c>
      <c r="AG2075" s="6">
        <f>$O$2075*$AA$2075</f>
        <v>48188.387828383842</v>
      </c>
    </row>
    <row r="2076" spans="1:33" ht="11.25" customHeight="1" x14ac:dyDescent="0.25">
      <c r="A2076" s="4" t="s">
        <v>21</v>
      </c>
      <c r="B2076" s="4" t="s">
        <v>37</v>
      </c>
      <c r="C2076" s="4" t="s">
        <v>23</v>
      </c>
      <c r="D2076" s="4" t="s">
        <v>52</v>
      </c>
      <c r="E2076" s="4" t="s">
        <v>25</v>
      </c>
      <c r="F2076" s="4" t="s">
        <v>25</v>
      </c>
      <c r="G2076" s="4" t="s">
        <v>25</v>
      </c>
      <c r="H2076" s="4" t="s">
        <v>25</v>
      </c>
      <c r="I2076" s="5">
        <v>44440</v>
      </c>
      <c r="J2076" s="6">
        <v>0</v>
      </c>
      <c r="K2076" s="6">
        <v>0</v>
      </c>
      <c r="L2076" s="6">
        <v>187.98400000000001</v>
      </c>
      <c r="M2076" s="6">
        <v>187.98400000000001</v>
      </c>
      <c r="N2076" s="6">
        <v>187.98400000000001</v>
      </c>
      <c r="O2076" s="6">
        <v>187.98400000000001</v>
      </c>
      <c r="P2076" s="6">
        <v>321</v>
      </c>
      <c r="Q2076" s="4" t="s">
        <v>26</v>
      </c>
      <c r="R2076" s="4">
        <v>0</v>
      </c>
      <c r="S2076" s="6">
        <v>0</v>
      </c>
      <c r="T2076" s="6">
        <v>57</v>
      </c>
      <c r="U2076" s="6">
        <v>100</v>
      </c>
      <c r="V2076" s="6">
        <f>IF(ISERROR(VLOOKUP($S$2076,'TAR FIN'!$A$1:$O$104,15,0)),0,VLOOKUP($S$2076,'TAR FIN'!$A$1:$O$104,15,0))</f>
        <v>0</v>
      </c>
      <c r="W2076" s="6">
        <f>IF(ISERROR(VLOOKUP($T$2076,'TAR FIN'!$A$1:$O$104,15,0)),0,VLOOKUP($T$2076,'TAR FIN'!$A$1:$O$104,15,0))</f>
        <v>341.2</v>
      </c>
      <c r="X2076" s="6">
        <f>IF(ISERROR(VLOOKUP($U$2076,'TAR FIN'!$A$1:$O$104,15,0)),0,VLOOKUP($U$2076,'TAR FIN'!$A$1:$O$104,15,0))</f>
        <v>255.72</v>
      </c>
      <c r="Y2076" s="6"/>
      <c r="Z2076" s="6">
        <f ca="1">('TUSD BE'!$AM$62+'TUSD BF'!$AM$62+'TUSD CVA'!$AM$62)*1</f>
        <v>356.61002995987536</v>
      </c>
      <c r="AA2076" s="6">
        <f>('TE BE'!$AB$41+'TE BF'!$AB$41+'TE CVA'!$AB$41)*1</f>
        <v>242.47071701268419</v>
      </c>
      <c r="AB2076" s="6">
        <f>$K$2076*$V$2076</f>
        <v>0</v>
      </c>
      <c r="AC2076" s="6">
        <f>$M$2076*$W$2076</f>
        <v>64140.140800000001</v>
      </c>
      <c r="AD2076" s="6">
        <f>$O$2076*$X$2076</f>
        <v>48071.268479999999</v>
      </c>
      <c r="AE2076" s="6">
        <f>$K$2076*$Y$2076</f>
        <v>0</v>
      </c>
      <c r="AF2076" s="6">
        <f ca="1">$M$2076*$Z$2076</f>
        <v>67036.979871977208</v>
      </c>
      <c r="AG2076" s="6">
        <f>$O$2076*$AA$2076</f>
        <v>45580.615266912428</v>
      </c>
    </row>
    <row r="2077" spans="1:33" ht="11.25" customHeight="1" x14ac:dyDescent="0.25">
      <c r="A2077" s="4" t="s">
        <v>27</v>
      </c>
      <c r="B2077" s="4" t="s">
        <v>37</v>
      </c>
      <c r="C2077" s="4" t="s">
        <v>23</v>
      </c>
      <c r="D2077" s="4" t="s">
        <v>52</v>
      </c>
      <c r="E2077" s="4" t="s">
        <v>25</v>
      </c>
      <c r="F2077" s="4" t="s">
        <v>25</v>
      </c>
      <c r="G2077" s="4" t="s">
        <v>25</v>
      </c>
      <c r="H2077" s="4" t="s">
        <v>25</v>
      </c>
      <c r="I2077" s="5">
        <v>44440</v>
      </c>
      <c r="J2077" s="6">
        <v>0</v>
      </c>
      <c r="K2077" s="6">
        <v>0</v>
      </c>
      <c r="L2077" s="6">
        <v>0.09</v>
      </c>
      <c r="M2077" s="6">
        <v>0.09</v>
      </c>
      <c r="N2077" s="6">
        <v>0.09</v>
      </c>
      <c r="O2077" s="6">
        <v>0.09</v>
      </c>
      <c r="P2077" s="6">
        <v>3</v>
      </c>
      <c r="Q2077" s="4" t="s">
        <v>26</v>
      </c>
      <c r="R2077" s="4">
        <v>0</v>
      </c>
      <c r="S2077" s="6">
        <v>0</v>
      </c>
      <c r="T2077" s="6">
        <v>57</v>
      </c>
      <c r="U2077" s="6">
        <v>100</v>
      </c>
      <c r="V2077" s="6">
        <f>IF(ISERROR(VLOOKUP($S$2077,'TAR FIN'!$A$1:$O$104,15,0)),0,VLOOKUP($S$2077,'TAR FIN'!$A$1:$O$104,15,0))</f>
        <v>0</v>
      </c>
      <c r="W2077" s="6">
        <f>IF(ISERROR(VLOOKUP($T$2077,'TAR FIN'!$A$1:$O$104,15,0)),0,VLOOKUP($T$2077,'TAR FIN'!$A$1:$O$104,15,0))</f>
        <v>341.2</v>
      </c>
      <c r="X2077" s="6">
        <f>IF(ISERROR(VLOOKUP($U$2077,'TAR FIN'!$A$1:$O$104,15,0)),0,VLOOKUP($U$2077,'TAR FIN'!$A$1:$O$104,15,0))</f>
        <v>255.72</v>
      </c>
      <c r="Y2077" s="6"/>
      <c r="Z2077" s="6">
        <f ca="1">('TUSD BE'!$AM$62+'TUSD BF'!$AM$62+'TUSD CVA'!$AM$62)*1</f>
        <v>356.61002995987536</v>
      </c>
      <c r="AA2077" s="6">
        <f>('TE BE'!$AB$41+'TE BF'!$AB$41+'TE CVA'!$AB$41)*1</f>
        <v>242.47071701268419</v>
      </c>
      <c r="AB2077" s="6">
        <f>$K$2077*$V$2077</f>
        <v>0</v>
      </c>
      <c r="AC2077" s="6">
        <f>$M$2077*$W$2077</f>
        <v>30.707999999999998</v>
      </c>
      <c r="AD2077" s="6">
        <f>$O$2077*$X$2077</f>
        <v>23.014799999999997</v>
      </c>
      <c r="AE2077" s="6">
        <f>$K$2077*$Y$2077</f>
        <v>0</v>
      </c>
      <c r="AF2077" s="6">
        <f ca="1">$M$2077*$Z$2077</f>
        <v>32.094902696388779</v>
      </c>
      <c r="AG2077" s="6">
        <f>$O$2077*$AA$2077</f>
        <v>21.822364531141577</v>
      </c>
    </row>
    <row r="2078" spans="1:33" ht="11.25" customHeight="1" x14ac:dyDescent="0.25">
      <c r="A2078" s="4" t="s">
        <v>21</v>
      </c>
      <c r="B2078" s="4" t="s">
        <v>37</v>
      </c>
      <c r="C2078" s="4" t="s">
        <v>23</v>
      </c>
      <c r="D2078" s="4" t="s">
        <v>52</v>
      </c>
      <c r="E2078" s="4" t="s">
        <v>25</v>
      </c>
      <c r="F2078" s="4" t="s">
        <v>25</v>
      </c>
      <c r="G2078" s="4" t="s">
        <v>25</v>
      </c>
      <c r="H2078" s="4" t="s">
        <v>25</v>
      </c>
      <c r="I2078" s="5">
        <v>44470</v>
      </c>
      <c r="J2078" s="6">
        <v>0</v>
      </c>
      <c r="K2078" s="6">
        <v>0</v>
      </c>
      <c r="L2078" s="6">
        <v>207.42599999999999</v>
      </c>
      <c r="M2078" s="6">
        <v>207.42599999999999</v>
      </c>
      <c r="N2078" s="6">
        <v>207.42599999999999</v>
      </c>
      <c r="O2078" s="6">
        <v>207.42599999999999</v>
      </c>
      <c r="P2078" s="6">
        <v>316</v>
      </c>
      <c r="Q2078" s="4" t="s">
        <v>26</v>
      </c>
      <c r="R2078" s="4">
        <v>0</v>
      </c>
      <c r="S2078" s="6">
        <v>0</v>
      </c>
      <c r="T2078" s="6">
        <v>57</v>
      </c>
      <c r="U2078" s="6">
        <v>100</v>
      </c>
      <c r="V2078" s="6">
        <f>IF(ISERROR(VLOOKUP($S$2078,'TAR FIN'!$A$1:$O$104,15,0)),0,VLOOKUP($S$2078,'TAR FIN'!$A$1:$O$104,15,0))</f>
        <v>0</v>
      </c>
      <c r="W2078" s="6">
        <f>IF(ISERROR(VLOOKUP($T$2078,'TAR FIN'!$A$1:$O$104,15,0)),0,VLOOKUP($T$2078,'TAR FIN'!$A$1:$O$104,15,0))</f>
        <v>341.2</v>
      </c>
      <c r="X2078" s="6">
        <f>IF(ISERROR(VLOOKUP($U$2078,'TAR FIN'!$A$1:$O$104,15,0)),0,VLOOKUP($U$2078,'TAR FIN'!$A$1:$O$104,15,0))</f>
        <v>255.72</v>
      </c>
      <c r="Y2078" s="6"/>
      <c r="Z2078" s="6">
        <f ca="1">('TUSD BE'!$AM$62+'TUSD BF'!$AM$62+'TUSD CVA'!$AM$62)*1</f>
        <v>356.61002995987536</v>
      </c>
      <c r="AA2078" s="6">
        <f>('TE BE'!$AB$41+'TE BF'!$AB$41+'TE CVA'!$AB$41)*1</f>
        <v>242.47071701268419</v>
      </c>
      <c r="AB2078" s="6">
        <f>$K$2078*$V$2078</f>
        <v>0</v>
      </c>
      <c r="AC2078" s="6">
        <f>$M$2078*$W$2078</f>
        <v>70773.751199999999</v>
      </c>
      <c r="AD2078" s="6">
        <f>$O$2078*$X$2078</f>
        <v>53042.976719999999</v>
      </c>
      <c r="AE2078" s="6">
        <f>$K$2078*$Y$2078</f>
        <v>0</v>
      </c>
      <c r="AF2078" s="6">
        <f ca="1">$M$2078*$Z$2078</f>
        <v>73970.192074457096</v>
      </c>
      <c r="AG2078" s="6">
        <f>$O$2078*$AA$2078</f>
        <v>50294.730947073025</v>
      </c>
    </row>
    <row r="2079" spans="1:33" ht="11.25" customHeight="1" x14ac:dyDescent="0.25">
      <c r="A2079" s="4" t="s">
        <v>21</v>
      </c>
      <c r="B2079" s="4" t="s">
        <v>37</v>
      </c>
      <c r="C2079" s="4" t="s">
        <v>23</v>
      </c>
      <c r="D2079" s="4" t="s">
        <v>52</v>
      </c>
      <c r="E2079" s="4" t="s">
        <v>25</v>
      </c>
      <c r="F2079" s="4" t="s">
        <v>25</v>
      </c>
      <c r="G2079" s="4" t="s">
        <v>25</v>
      </c>
      <c r="H2079" s="4" t="s">
        <v>25</v>
      </c>
      <c r="I2079" s="5">
        <v>44501</v>
      </c>
      <c r="J2079" s="6">
        <v>0</v>
      </c>
      <c r="K2079" s="6">
        <v>0</v>
      </c>
      <c r="L2079" s="6">
        <v>201.85599999999999</v>
      </c>
      <c r="M2079" s="6">
        <v>201.85599999999999</v>
      </c>
      <c r="N2079" s="6">
        <v>201.85599999999999</v>
      </c>
      <c r="O2079" s="6">
        <v>201.85599999999999</v>
      </c>
      <c r="P2079" s="6">
        <v>304</v>
      </c>
      <c r="Q2079" s="4" t="s">
        <v>26</v>
      </c>
      <c r="R2079" s="4">
        <v>0</v>
      </c>
      <c r="S2079" s="6">
        <v>0</v>
      </c>
      <c r="T2079" s="6">
        <v>57</v>
      </c>
      <c r="U2079" s="6">
        <v>100</v>
      </c>
      <c r="V2079" s="6">
        <f>IF(ISERROR(VLOOKUP($S$2079,'TAR FIN'!$A$1:$O$104,15,0)),0,VLOOKUP($S$2079,'TAR FIN'!$A$1:$O$104,15,0))</f>
        <v>0</v>
      </c>
      <c r="W2079" s="6">
        <f>IF(ISERROR(VLOOKUP($T$2079,'TAR FIN'!$A$1:$O$104,15,0)),0,VLOOKUP($T$2079,'TAR FIN'!$A$1:$O$104,15,0))</f>
        <v>341.2</v>
      </c>
      <c r="X2079" s="6">
        <f>IF(ISERROR(VLOOKUP($U$2079,'TAR FIN'!$A$1:$O$104,15,0)),0,VLOOKUP($U$2079,'TAR FIN'!$A$1:$O$104,15,0))</f>
        <v>255.72</v>
      </c>
      <c r="Y2079" s="6"/>
      <c r="Z2079" s="6">
        <f ca="1">('TUSD BE'!$AM$62+'TUSD BF'!$AM$62+'TUSD CVA'!$AM$62)*1</f>
        <v>356.61002995987536</v>
      </c>
      <c r="AA2079" s="6">
        <f>('TE BE'!$AB$41+'TE BF'!$AB$41+'TE CVA'!$AB$41)*1</f>
        <v>242.47071701268419</v>
      </c>
      <c r="AB2079" s="6">
        <f>$K$2079*$V$2079</f>
        <v>0</v>
      </c>
      <c r="AC2079" s="6">
        <f>$M$2079*$W$2079</f>
        <v>68873.267200000002</v>
      </c>
      <c r="AD2079" s="6">
        <f>$O$2079*$X$2079</f>
        <v>51618.616320000001</v>
      </c>
      <c r="AE2079" s="6">
        <f>$K$2079*$Y$2079</f>
        <v>0</v>
      </c>
      <c r="AF2079" s="6">
        <f ca="1">$M$2079*$Z$2079</f>
        <v>71983.874207580593</v>
      </c>
      <c r="AG2079" s="6">
        <f>$O$2079*$AA$2079</f>
        <v>48944.169053312376</v>
      </c>
    </row>
    <row r="2080" spans="1:33" ht="11.25" customHeight="1" x14ac:dyDescent="0.25">
      <c r="A2080" s="4" t="s">
        <v>21</v>
      </c>
      <c r="B2080" s="4" t="s">
        <v>37</v>
      </c>
      <c r="C2080" s="4" t="s">
        <v>23</v>
      </c>
      <c r="D2080" s="4" t="s">
        <v>52</v>
      </c>
      <c r="E2080" s="4" t="s">
        <v>25</v>
      </c>
      <c r="F2080" s="4" t="s">
        <v>25</v>
      </c>
      <c r="G2080" s="4" t="s">
        <v>25</v>
      </c>
      <c r="H2080" s="4" t="s">
        <v>25</v>
      </c>
      <c r="I2080" s="5">
        <v>44531</v>
      </c>
      <c r="J2080" s="6">
        <v>0</v>
      </c>
      <c r="K2080" s="6">
        <v>0</v>
      </c>
      <c r="L2080" s="6">
        <v>228.68899999999999</v>
      </c>
      <c r="M2080" s="6">
        <v>228.68899999999999</v>
      </c>
      <c r="N2080" s="6">
        <v>228.68899999999999</v>
      </c>
      <c r="O2080" s="6">
        <v>228.68899999999999</v>
      </c>
      <c r="P2080" s="6">
        <v>306</v>
      </c>
      <c r="Q2080" s="4" t="s">
        <v>26</v>
      </c>
      <c r="R2080" s="4">
        <v>0</v>
      </c>
      <c r="S2080" s="6">
        <v>0</v>
      </c>
      <c r="T2080" s="6">
        <v>57</v>
      </c>
      <c r="U2080" s="6">
        <v>100</v>
      </c>
      <c r="V2080" s="6">
        <f>IF(ISERROR(VLOOKUP($S$2080,'TAR FIN'!$A$1:$O$104,15,0)),0,VLOOKUP($S$2080,'TAR FIN'!$A$1:$O$104,15,0))</f>
        <v>0</v>
      </c>
      <c r="W2080" s="6">
        <f>IF(ISERROR(VLOOKUP($T$2080,'TAR FIN'!$A$1:$O$104,15,0)),0,VLOOKUP($T$2080,'TAR FIN'!$A$1:$O$104,15,0))</f>
        <v>341.2</v>
      </c>
      <c r="X2080" s="6">
        <f>IF(ISERROR(VLOOKUP($U$2080,'TAR FIN'!$A$1:$O$104,15,0)),0,VLOOKUP($U$2080,'TAR FIN'!$A$1:$O$104,15,0))</f>
        <v>255.72</v>
      </c>
      <c r="Y2080" s="6"/>
      <c r="Z2080" s="6">
        <f ca="1">('TUSD BE'!$AM$62+'TUSD BF'!$AM$62+'TUSD CVA'!$AM$62)*1</f>
        <v>356.61002995987536</v>
      </c>
      <c r="AA2080" s="6">
        <f>('TE BE'!$AB$41+'TE BF'!$AB$41+'TE CVA'!$AB$41)*1</f>
        <v>242.47071701268419</v>
      </c>
      <c r="AB2080" s="6">
        <f>$K$2080*$V$2080</f>
        <v>0</v>
      </c>
      <c r="AC2080" s="6">
        <f>$M$2080*$W$2080</f>
        <v>78028.686799999996</v>
      </c>
      <c r="AD2080" s="6">
        <f>$O$2080*$X$2080</f>
        <v>58480.35108</v>
      </c>
      <c r="AE2080" s="6">
        <f>$K$2080*$Y$2080</f>
        <v>0</v>
      </c>
      <c r="AF2080" s="6">
        <f ca="1">$M$2080*$Z$2080</f>
        <v>81552.79114149393</v>
      </c>
      <c r="AG2080" s="6">
        <f>$O$2080*$AA$2080</f>
        <v>55450.385802913734</v>
      </c>
    </row>
    <row r="2081" spans="1:33" ht="11.25" customHeight="1" x14ac:dyDescent="0.25">
      <c r="A2081" s="4" t="s">
        <v>21</v>
      </c>
      <c r="B2081" s="4" t="s">
        <v>37</v>
      </c>
      <c r="C2081" s="4" t="s">
        <v>23</v>
      </c>
      <c r="D2081" s="4" t="s">
        <v>52</v>
      </c>
      <c r="E2081" s="4" t="s">
        <v>25</v>
      </c>
      <c r="F2081" s="4" t="s">
        <v>25</v>
      </c>
      <c r="G2081" s="4" t="s">
        <v>25</v>
      </c>
      <c r="H2081" s="4" t="s">
        <v>25</v>
      </c>
      <c r="I2081" s="5">
        <v>44562</v>
      </c>
      <c r="J2081" s="6">
        <v>0</v>
      </c>
      <c r="K2081" s="6">
        <v>0</v>
      </c>
      <c r="L2081" s="6">
        <v>215.226</v>
      </c>
      <c r="M2081" s="6">
        <v>215.226</v>
      </c>
      <c r="N2081" s="6">
        <v>215.226</v>
      </c>
      <c r="O2081" s="6">
        <v>215.226</v>
      </c>
      <c r="P2081" s="6">
        <v>303</v>
      </c>
      <c r="Q2081" s="4" t="s">
        <v>26</v>
      </c>
      <c r="R2081" s="4">
        <v>0</v>
      </c>
      <c r="S2081" s="6">
        <v>0</v>
      </c>
      <c r="T2081" s="6">
        <v>57</v>
      </c>
      <c r="U2081" s="6">
        <v>100</v>
      </c>
      <c r="V2081" s="6">
        <f>IF(ISERROR(VLOOKUP($S$2081,'TAR FIN'!$A$1:$O$104,15,0)),0,VLOOKUP($S$2081,'TAR FIN'!$A$1:$O$104,15,0))</f>
        <v>0</v>
      </c>
      <c r="W2081" s="6">
        <f>IF(ISERROR(VLOOKUP($T$2081,'TAR FIN'!$A$1:$O$104,15,0)),0,VLOOKUP($T$2081,'TAR FIN'!$A$1:$O$104,15,0))</f>
        <v>341.2</v>
      </c>
      <c r="X2081" s="6">
        <f>IF(ISERROR(VLOOKUP($U$2081,'TAR FIN'!$A$1:$O$104,15,0)),0,VLOOKUP($U$2081,'TAR FIN'!$A$1:$O$104,15,0))</f>
        <v>255.72</v>
      </c>
      <c r="Y2081" s="6"/>
      <c r="Z2081" s="6">
        <f ca="1">('TUSD BE'!$AM$62+'TUSD BF'!$AM$62+'TUSD CVA'!$AM$62)*1</f>
        <v>356.61002995987536</v>
      </c>
      <c r="AA2081" s="6">
        <f>('TE BE'!$AB$41+'TE BF'!$AB$41+'TE CVA'!$AB$41)*1</f>
        <v>242.47071701268419</v>
      </c>
      <c r="AB2081" s="6">
        <f>$K$2081*$V$2081</f>
        <v>0</v>
      </c>
      <c r="AC2081" s="6">
        <f>$M$2081*$W$2081</f>
        <v>73435.111199999999</v>
      </c>
      <c r="AD2081" s="6">
        <f>$O$2081*$X$2081</f>
        <v>55037.592720000001</v>
      </c>
      <c r="AE2081" s="6">
        <f>$K$2081*$Y$2081</f>
        <v>0</v>
      </c>
      <c r="AF2081" s="6">
        <f ca="1">$M$2081*$Z$2081</f>
        <v>76751.750308144139</v>
      </c>
      <c r="AG2081" s="6">
        <f>$O$2081*$AA$2081</f>
        <v>52186.002539771966</v>
      </c>
    </row>
    <row r="2082" spans="1:33" ht="11.25" customHeight="1" x14ac:dyDescent="0.25">
      <c r="A2082" s="4" t="s">
        <v>27</v>
      </c>
      <c r="B2082" s="4" t="s">
        <v>37</v>
      </c>
      <c r="C2082" s="4" t="s">
        <v>23</v>
      </c>
      <c r="D2082" s="4" t="s">
        <v>52</v>
      </c>
      <c r="E2082" s="4" t="s">
        <v>25</v>
      </c>
      <c r="F2082" s="4" t="s">
        <v>25</v>
      </c>
      <c r="G2082" s="4" t="s">
        <v>25</v>
      </c>
      <c r="H2082" s="4" t="s">
        <v>25</v>
      </c>
      <c r="I2082" s="5">
        <v>44562</v>
      </c>
      <c r="J2082" s="6">
        <v>0</v>
      </c>
      <c r="K2082" s="6">
        <v>0</v>
      </c>
      <c r="L2082" s="6">
        <v>0.19800000000000001</v>
      </c>
      <c r="M2082" s="6">
        <v>0.19800000000000001</v>
      </c>
      <c r="N2082" s="6">
        <v>0.19800000000000001</v>
      </c>
      <c r="O2082" s="6">
        <v>0.19800000000000001</v>
      </c>
      <c r="P2082" s="6">
        <v>5</v>
      </c>
      <c r="Q2082" s="4" t="s">
        <v>26</v>
      </c>
      <c r="R2082" s="4">
        <v>0</v>
      </c>
      <c r="S2082" s="6">
        <v>0</v>
      </c>
      <c r="T2082" s="6">
        <v>57</v>
      </c>
      <c r="U2082" s="6">
        <v>100</v>
      </c>
      <c r="V2082" s="6">
        <f>IF(ISERROR(VLOOKUP($S$2082,'TAR FIN'!$A$1:$O$104,15,0)),0,VLOOKUP($S$2082,'TAR FIN'!$A$1:$O$104,15,0))</f>
        <v>0</v>
      </c>
      <c r="W2082" s="6">
        <f>IF(ISERROR(VLOOKUP($T$2082,'TAR FIN'!$A$1:$O$104,15,0)),0,VLOOKUP($T$2082,'TAR FIN'!$A$1:$O$104,15,0))</f>
        <v>341.2</v>
      </c>
      <c r="X2082" s="6">
        <f>IF(ISERROR(VLOOKUP($U$2082,'TAR FIN'!$A$1:$O$104,15,0)),0,VLOOKUP($U$2082,'TAR FIN'!$A$1:$O$104,15,0))</f>
        <v>255.72</v>
      </c>
      <c r="Y2082" s="6"/>
      <c r="Z2082" s="6">
        <f ca="1">('TUSD BE'!$AM$62+'TUSD BF'!$AM$62+'TUSD CVA'!$AM$62)*1</f>
        <v>356.61002995987536</v>
      </c>
      <c r="AA2082" s="6">
        <f>('TE BE'!$AB$41+'TE BF'!$AB$41+'TE CVA'!$AB$41)*1</f>
        <v>242.47071701268419</v>
      </c>
      <c r="AB2082" s="6">
        <f>$K$2082*$V$2082</f>
        <v>0</v>
      </c>
      <c r="AC2082" s="6">
        <f>$M$2082*$W$2082</f>
        <v>67.557600000000008</v>
      </c>
      <c r="AD2082" s="6">
        <f>$O$2082*$X$2082</f>
        <v>50.632560000000005</v>
      </c>
      <c r="AE2082" s="6">
        <f>$K$2082*$Y$2082</f>
        <v>0</v>
      </c>
      <c r="AF2082" s="6">
        <f ca="1">$M$2082*$Z$2082</f>
        <v>70.608785932055326</v>
      </c>
      <c r="AG2082" s="6">
        <f>$O$2082*$AA$2082</f>
        <v>48.009201968511469</v>
      </c>
    </row>
    <row r="2083" spans="1:33" ht="11.25" customHeight="1" x14ac:dyDescent="0.25">
      <c r="A2083" s="4" t="s">
        <v>21</v>
      </c>
      <c r="B2083" s="4" t="s">
        <v>37</v>
      </c>
      <c r="C2083" s="4" t="s">
        <v>23</v>
      </c>
      <c r="D2083" s="4" t="s">
        <v>52</v>
      </c>
      <c r="E2083" s="4" t="s">
        <v>25</v>
      </c>
      <c r="F2083" s="4" t="s">
        <v>25</v>
      </c>
      <c r="G2083" s="4" t="s">
        <v>25</v>
      </c>
      <c r="H2083" s="4" t="s">
        <v>25</v>
      </c>
      <c r="I2083" s="5">
        <v>44593</v>
      </c>
      <c r="J2083" s="6">
        <v>0</v>
      </c>
      <c r="K2083" s="6">
        <v>0</v>
      </c>
      <c r="L2083" s="6">
        <v>185.27600000000001</v>
      </c>
      <c r="M2083" s="6">
        <v>185.27600000000001</v>
      </c>
      <c r="N2083" s="6">
        <v>185.27600000000001</v>
      </c>
      <c r="O2083" s="6">
        <v>185.27600000000001</v>
      </c>
      <c r="P2083" s="6">
        <v>305</v>
      </c>
      <c r="Q2083" s="4" t="s">
        <v>26</v>
      </c>
      <c r="R2083" s="4">
        <v>0</v>
      </c>
      <c r="S2083" s="6">
        <v>0</v>
      </c>
      <c r="T2083" s="6">
        <v>57</v>
      </c>
      <c r="U2083" s="6">
        <v>100</v>
      </c>
      <c r="V2083" s="6">
        <f>IF(ISERROR(VLOOKUP($S$2083,'TAR FIN'!$A$1:$O$104,15,0)),0,VLOOKUP($S$2083,'TAR FIN'!$A$1:$O$104,15,0))</f>
        <v>0</v>
      </c>
      <c r="W2083" s="6">
        <f>IF(ISERROR(VLOOKUP($T$2083,'TAR FIN'!$A$1:$O$104,15,0)),0,VLOOKUP($T$2083,'TAR FIN'!$A$1:$O$104,15,0))</f>
        <v>341.2</v>
      </c>
      <c r="X2083" s="6">
        <f>IF(ISERROR(VLOOKUP($U$2083,'TAR FIN'!$A$1:$O$104,15,0)),0,VLOOKUP($U$2083,'TAR FIN'!$A$1:$O$104,15,0))</f>
        <v>255.72</v>
      </c>
      <c r="Y2083" s="6"/>
      <c r="Z2083" s="6">
        <f ca="1">('TUSD BE'!$AM$62+'TUSD BF'!$AM$62+'TUSD CVA'!$AM$62)*1</f>
        <v>356.61002995987536</v>
      </c>
      <c r="AA2083" s="6">
        <f>('TE BE'!$AB$41+'TE BF'!$AB$41+'TE CVA'!$AB$41)*1</f>
        <v>242.47071701268419</v>
      </c>
      <c r="AB2083" s="6">
        <f>$K$2083*$V$2083</f>
        <v>0</v>
      </c>
      <c r="AC2083" s="6">
        <f>$M$2083*$W$2083</f>
        <v>63216.171200000004</v>
      </c>
      <c r="AD2083" s="6">
        <f>$O$2083*$X$2083</f>
        <v>47378.778720000002</v>
      </c>
      <c r="AE2083" s="6">
        <f>$K$2083*$Y$2083</f>
        <v>0</v>
      </c>
      <c r="AF2083" s="6">
        <f ca="1">$M$2083*$Z$2083</f>
        <v>66071.279910845871</v>
      </c>
      <c r="AG2083" s="6">
        <f>$O$2083*$AA$2083</f>
        <v>44924.004565242081</v>
      </c>
    </row>
    <row r="2084" spans="1:33" ht="11.25" customHeight="1" x14ac:dyDescent="0.25">
      <c r="A2084" s="4" t="s">
        <v>21</v>
      </c>
      <c r="B2084" s="4" t="s">
        <v>37</v>
      </c>
      <c r="C2084" s="4" t="s">
        <v>23</v>
      </c>
      <c r="D2084" s="4" t="s">
        <v>52</v>
      </c>
      <c r="E2084" s="4" t="s">
        <v>25</v>
      </c>
      <c r="F2084" s="4" t="s">
        <v>25</v>
      </c>
      <c r="G2084" s="4" t="s">
        <v>25</v>
      </c>
      <c r="H2084" s="4" t="s">
        <v>25</v>
      </c>
      <c r="I2084" s="5">
        <v>44621</v>
      </c>
      <c r="J2084" s="6">
        <v>0</v>
      </c>
      <c r="K2084" s="6">
        <v>0</v>
      </c>
      <c r="L2084" s="6">
        <v>207.08799999999999</v>
      </c>
      <c r="M2084" s="6">
        <v>207.08799999999999</v>
      </c>
      <c r="N2084" s="6">
        <v>207.08799999999999</v>
      </c>
      <c r="O2084" s="6">
        <v>207.08799999999999</v>
      </c>
      <c r="P2084" s="6">
        <v>303</v>
      </c>
      <c r="Q2084" s="4" t="s">
        <v>26</v>
      </c>
      <c r="R2084" s="4">
        <v>0</v>
      </c>
      <c r="S2084" s="6">
        <v>0</v>
      </c>
      <c r="T2084" s="6">
        <v>57</v>
      </c>
      <c r="U2084" s="6">
        <v>100</v>
      </c>
      <c r="V2084" s="6">
        <f>IF(ISERROR(VLOOKUP($S$2084,'TAR FIN'!$A$1:$O$104,15,0)),0,VLOOKUP($S$2084,'TAR FIN'!$A$1:$O$104,15,0))</f>
        <v>0</v>
      </c>
      <c r="W2084" s="6">
        <f>IF(ISERROR(VLOOKUP($T$2084,'TAR FIN'!$A$1:$O$104,15,0)),0,VLOOKUP($T$2084,'TAR FIN'!$A$1:$O$104,15,0))</f>
        <v>341.2</v>
      </c>
      <c r="X2084" s="6">
        <f>IF(ISERROR(VLOOKUP($U$2084,'TAR FIN'!$A$1:$O$104,15,0)),0,VLOOKUP($U$2084,'TAR FIN'!$A$1:$O$104,15,0))</f>
        <v>255.72</v>
      </c>
      <c r="Y2084" s="6"/>
      <c r="Z2084" s="6">
        <f ca="1">('TUSD BE'!$AM$62+'TUSD BF'!$AM$62+'TUSD CVA'!$AM$62)*1</f>
        <v>356.61002995987536</v>
      </c>
      <c r="AA2084" s="6">
        <f>('TE BE'!$AB$41+'TE BF'!$AB$41+'TE CVA'!$AB$41)*1</f>
        <v>242.47071701268419</v>
      </c>
      <c r="AB2084" s="6">
        <f>$K$2084*$V$2084</f>
        <v>0</v>
      </c>
      <c r="AC2084" s="6">
        <f>$M$2084*$W$2084</f>
        <v>70658.425600000002</v>
      </c>
      <c r="AD2084" s="6">
        <f>$O$2084*$X$2084</f>
        <v>52956.543359999996</v>
      </c>
      <c r="AE2084" s="6">
        <f>$K$2084*$Y$2084</f>
        <v>0</v>
      </c>
      <c r="AF2084" s="6">
        <f ca="1">$M$2084*$Z$2084</f>
        <v>73849.657884330663</v>
      </c>
      <c r="AG2084" s="6">
        <f>$O$2084*$AA$2084</f>
        <v>50212.775844722739</v>
      </c>
    </row>
    <row r="2085" spans="1:33" ht="11.25" customHeight="1" x14ac:dyDescent="0.25">
      <c r="A2085" s="4" t="s">
        <v>21</v>
      </c>
      <c r="B2085" s="4" t="s">
        <v>37</v>
      </c>
      <c r="C2085" s="4" t="s">
        <v>23</v>
      </c>
      <c r="D2085" s="4" t="s">
        <v>52</v>
      </c>
      <c r="E2085" s="4" t="s">
        <v>25</v>
      </c>
      <c r="F2085" s="4" t="s">
        <v>25</v>
      </c>
      <c r="G2085" s="4" t="s">
        <v>25</v>
      </c>
      <c r="H2085" s="4" t="s">
        <v>25</v>
      </c>
      <c r="I2085" s="5">
        <v>44652</v>
      </c>
      <c r="J2085" s="6">
        <v>0</v>
      </c>
      <c r="K2085" s="6">
        <v>0</v>
      </c>
      <c r="L2085" s="6">
        <v>231.66499999999999</v>
      </c>
      <c r="M2085" s="6">
        <v>231.66499999999999</v>
      </c>
      <c r="N2085" s="6">
        <v>231.66499999999999</v>
      </c>
      <c r="O2085" s="6">
        <v>231.66499999999999</v>
      </c>
      <c r="P2085" s="6">
        <v>301</v>
      </c>
      <c r="Q2085" s="4" t="s">
        <v>26</v>
      </c>
      <c r="R2085" s="4">
        <v>0</v>
      </c>
      <c r="S2085" s="6">
        <v>0</v>
      </c>
      <c r="T2085" s="6">
        <v>57</v>
      </c>
      <c r="U2085" s="6">
        <v>100</v>
      </c>
      <c r="V2085" s="6">
        <f>IF(ISERROR(VLOOKUP($S$2085,'TAR FIN'!$A$1:$O$104,15,0)),0,VLOOKUP($S$2085,'TAR FIN'!$A$1:$O$104,15,0))</f>
        <v>0</v>
      </c>
      <c r="W2085" s="6">
        <f>IF(ISERROR(VLOOKUP($T$2085,'TAR FIN'!$A$1:$O$104,15,0)),0,VLOOKUP($T$2085,'TAR FIN'!$A$1:$O$104,15,0))</f>
        <v>341.2</v>
      </c>
      <c r="X2085" s="6">
        <f>IF(ISERROR(VLOOKUP($U$2085,'TAR FIN'!$A$1:$O$104,15,0)),0,VLOOKUP($U$2085,'TAR FIN'!$A$1:$O$104,15,0))</f>
        <v>255.72</v>
      </c>
      <c r="Y2085" s="6"/>
      <c r="Z2085" s="6">
        <f ca="1">('TUSD BE'!$AM$62+'TUSD BF'!$AM$62+'TUSD CVA'!$AM$62)*1</f>
        <v>356.61002995987536</v>
      </c>
      <c r="AA2085" s="6">
        <f>('TE BE'!$AB$41+'TE BF'!$AB$41+'TE CVA'!$AB$41)*1</f>
        <v>242.47071701268419</v>
      </c>
      <c r="AB2085" s="6">
        <f>$K$2085*$V$2085</f>
        <v>0</v>
      </c>
      <c r="AC2085" s="6">
        <f>$M$2085*$W$2085</f>
        <v>79044.097999999998</v>
      </c>
      <c r="AD2085" s="6">
        <f>$O$2085*$X$2085</f>
        <v>59241.373800000001</v>
      </c>
      <c r="AE2085" s="6">
        <f>$K$2085*$Y$2085</f>
        <v>0</v>
      </c>
      <c r="AF2085" s="6">
        <f ca="1">$M$2085*$Z$2085</f>
        <v>82614.062590654517</v>
      </c>
      <c r="AG2085" s="6">
        <f>$O$2085*$AA$2085</f>
        <v>56171.978656743478</v>
      </c>
    </row>
    <row r="2086" spans="1:33" ht="11.25" customHeight="1" x14ac:dyDescent="0.25">
      <c r="A2086" s="4" t="s">
        <v>27</v>
      </c>
      <c r="B2086" s="4" t="s">
        <v>37</v>
      </c>
      <c r="C2086" s="4" t="s">
        <v>23</v>
      </c>
      <c r="D2086" s="4" t="s">
        <v>52</v>
      </c>
      <c r="E2086" s="4" t="s">
        <v>25</v>
      </c>
      <c r="F2086" s="4" t="s">
        <v>25</v>
      </c>
      <c r="G2086" s="4" t="s">
        <v>25</v>
      </c>
      <c r="H2086" s="4" t="s">
        <v>25</v>
      </c>
      <c r="I2086" s="5">
        <v>44652</v>
      </c>
      <c r="J2086" s="6">
        <v>0</v>
      </c>
      <c r="K2086" s="6">
        <v>0</v>
      </c>
      <c r="L2086" s="6">
        <v>0.94199999999999995</v>
      </c>
      <c r="M2086" s="6">
        <v>0.94199999999999995</v>
      </c>
      <c r="N2086" s="6">
        <v>0.94199999999999995</v>
      </c>
      <c r="O2086" s="6">
        <v>0.94199999999999995</v>
      </c>
      <c r="P2086" s="6">
        <v>2</v>
      </c>
      <c r="Q2086" s="4" t="s">
        <v>26</v>
      </c>
      <c r="R2086" s="4">
        <v>0</v>
      </c>
      <c r="S2086" s="6">
        <v>0</v>
      </c>
      <c r="T2086" s="6">
        <v>57</v>
      </c>
      <c r="U2086" s="6">
        <v>100</v>
      </c>
      <c r="V2086" s="6">
        <f>IF(ISERROR(VLOOKUP($S$2086,'TAR FIN'!$A$1:$O$104,15,0)),0,VLOOKUP($S$2086,'TAR FIN'!$A$1:$O$104,15,0))</f>
        <v>0</v>
      </c>
      <c r="W2086" s="6">
        <f>IF(ISERROR(VLOOKUP($T$2086,'TAR FIN'!$A$1:$O$104,15,0)),0,VLOOKUP($T$2086,'TAR FIN'!$A$1:$O$104,15,0))</f>
        <v>341.2</v>
      </c>
      <c r="X2086" s="6">
        <f>IF(ISERROR(VLOOKUP($U$2086,'TAR FIN'!$A$1:$O$104,15,0)),0,VLOOKUP($U$2086,'TAR FIN'!$A$1:$O$104,15,0))</f>
        <v>255.72</v>
      </c>
      <c r="Y2086" s="6"/>
      <c r="Z2086" s="6">
        <f ca="1">('TUSD BE'!$AM$62+'TUSD BF'!$AM$62+'TUSD CVA'!$AM$62)*1</f>
        <v>356.61002995987536</v>
      </c>
      <c r="AA2086" s="6">
        <f>('TE BE'!$AB$41+'TE BF'!$AB$41+'TE CVA'!$AB$41)*1</f>
        <v>242.47071701268419</v>
      </c>
      <c r="AB2086" s="6">
        <f>$K$2086*$V$2086</f>
        <v>0</v>
      </c>
      <c r="AC2086" s="6">
        <f>$M$2086*$W$2086</f>
        <v>321.41039999999998</v>
      </c>
      <c r="AD2086" s="6">
        <f>$O$2086*$X$2086</f>
        <v>240.88824</v>
      </c>
      <c r="AE2086" s="6">
        <f>$K$2086*$Y$2086</f>
        <v>0</v>
      </c>
      <c r="AF2086" s="6">
        <f ca="1">$M$2086*$Z$2086</f>
        <v>335.92664822220257</v>
      </c>
      <c r="AG2086" s="6">
        <f>$O$2086*$AA$2086</f>
        <v>228.4074154259485</v>
      </c>
    </row>
    <row r="2087" spans="1:33" ht="11.25" customHeight="1" x14ac:dyDescent="0.25">
      <c r="A2087" s="4" t="s">
        <v>28</v>
      </c>
      <c r="B2087" s="4" t="s">
        <v>37</v>
      </c>
      <c r="C2087" s="4" t="s">
        <v>23</v>
      </c>
      <c r="D2087" s="4" t="s">
        <v>52</v>
      </c>
      <c r="E2087" s="4" t="s">
        <v>25</v>
      </c>
      <c r="F2087" s="4" t="s">
        <v>25</v>
      </c>
      <c r="G2087" s="4" t="s">
        <v>25</v>
      </c>
      <c r="H2087" s="4" t="s">
        <v>25</v>
      </c>
      <c r="I2087" s="5">
        <v>44652</v>
      </c>
      <c r="J2087" s="6">
        <v>0</v>
      </c>
      <c r="K2087" s="6">
        <v>0</v>
      </c>
      <c r="L2087" s="6">
        <v>1.4730000000000001</v>
      </c>
      <c r="M2087" s="6">
        <v>1.4730000000000001</v>
      </c>
      <c r="N2087" s="6">
        <v>1.4730000000000001</v>
      </c>
      <c r="O2087" s="6">
        <v>1.4730000000000001</v>
      </c>
      <c r="P2087" s="6">
        <v>1</v>
      </c>
      <c r="Q2087" s="4" t="s">
        <v>26</v>
      </c>
      <c r="R2087" s="4">
        <v>0</v>
      </c>
      <c r="S2087" s="6">
        <v>0</v>
      </c>
      <c r="T2087" s="6">
        <v>57</v>
      </c>
      <c r="U2087" s="6">
        <v>100</v>
      </c>
      <c r="V2087" s="6">
        <f>IF(ISERROR(VLOOKUP($S$2087,'TAR FIN'!$A$1:$O$104,15,0)),0,VLOOKUP($S$2087,'TAR FIN'!$A$1:$O$104,15,0))</f>
        <v>0</v>
      </c>
      <c r="W2087" s="6">
        <f>IF(ISERROR(VLOOKUP($T$2087,'TAR FIN'!$A$1:$O$104,15,0)),0,VLOOKUP($T$2087,'TAR FIN'!$A$1:$O$104,15,0))</f>
        <v>341.2</v>
      </c>
      <c r="X2087" s="6">
        <f>IF(ISERROR(VLOOKUP($U$2087,'TAR FIN'!$A$1:$O$104,15,0)),0,VLOOKUP($U$2087,'TAR FIN'!$A$1:$O$104,15,0))</f>
        <v>255.72</v>
      </c>
      <c r="Y2087" s="6"/>
      <c r="Z2087" s="6">
        <f ca="1">('TUSD BE'!$AM$62+'TUSD BF'!$AM$62+'TUSD CVA'!$AM$62)*1</f>
        <v>356.61002995987536</v>
      </c>
      <c r="AA2087" s="6">
        <f>('TE BE'!$AB$41+'TE BF'!$AB$41+'TE CVA'!$AB$41)*1</f>
        <v>242.47071701268419</v>
      </c>
      <c r="AB2087" s="6">
        <f>$K$2087*$V$2087</f>
        <v>0</v>
      </c>
      <c r="AC2087" s="6">
        <f>$M$2087*$W$2087</f>
        <v>502.58760000000001</v>
      </c>
      <c r="AD2087" s="6">
        <f>$O$2087*$X$2087</f>
        <v>376.67556000000002</v>
      </c>
      <c r="AE2087" s="6">
        <f>$K$2087*$Y$2087</f>
        <v>0</v>
      </c>
      <c r="AF2087" s="6">
        <f ca="1">$M$2087*$Z$2087</f>
        <v>525.28657413089638</v>
      </c>
      <c r="AG2087" s="6">
        <f>$O$2087*$AA$2087</f>
        <v>357.15936615968383</v>
      </c>
    </row>
    <row r="2088" spans="1:33" ht="11.25" customHeight="1" x14ac:dyDescent="0.25">
      <c r="A2088" s="4" t="s">
        <v>21</v>
      </c>
      <c r="B2088" s="4" t="s">
        <v>37</v>
      </c>
      <c r="C2088" s="4" t="s">
        <v>23</v>
      </c>
      <c r="D2088" s="4" t="s">
        <v>52</v>
      </c>
      <c r="E2088" s="4" t="s">
        <v>25</v>
      </c>
      <c r="F2088" s="4" t="s">
        <v>25</v>
      </c>
      <c r="G2088" s="4" t="s">
        <v>25</v>
      </c>
      <c r="H2088" s="4" t="s">
        <v>25</v>
      </c>
      <c r="I2088" s="5">
        <v>44682</v>
      </c>
      <c r="J2088" s="6">
        <v>0</v>
      </c>
      <c r="K2088" s="6">
        <v>0</v>
      </c>
      <c r="L2088" s="6">
        <v>202.07400000000001</v>
      </c>
      <c r="M2088" s="6">
        <v>202.07400000000001</v>
      </c>
      <c r="N2088" s="6">
        <v>202.07400000000001</v>
      </c>
      <c r="O2088" s="6">
        <v>202.07400000000001</v>
      </c>
      <c r="P2088" s="6">
        <v>301</v>
      </c>
      <c r="Q2088" s="4" t="s">
        <v>26</v>
      </c>
      <c r="R2088" s="4">
        <v>0</v>
      </c>
      <c r="S2088" s="6">
        <v>0</v>
      </c>
      <c r="T2088" s="6">
        <v>57</v>
      </c>
      <c r="U2088" s="6">
        <v>100</v>
      </c>
      <c r="V2088" s="6">
        <f>IF(ISERROR(VLOOKUP($S$2088,'TAR FIN'!$A$1:$O$104,15,0)),0,VLOOKUP($S$2088,'TAR FIN'!$A$1:$O$104,15,0))</f>
        <v>0</v>
      </c>
      <c r="W2088" s="6">
        <f>IF(ISERROR(VLOOKUP($T$2088,'TAR FIN'!$A$1:$O$104,15,0)),0,VLOOKUP($T$2088,'TAR FIN'!$A$1:$O$104,15,0))</f>
        <v>341.2</v>
      </c>
      <c r="X2088" s="6">
        <f>IF(ISERROR(VLOOKUP($U$2088,'TAR FIN'!$A$1:$O$104,15,0)),0,VLOOKUP($U$2088,'TAR FIN'!$A$1:$O$104,15,0))</f>
        <v>255.72</v>
      </c>
      <c r="Y2088" s="6"/>
      <c r="Z2088" s="6">
        <f ca="1">('TUSD BE'!$AM$62+'TUSD BF'!$AM$62+'TUSD CVA'!$AM$62)*1</f>
        <v>356.61002995987536</v>
      </c>
      <c r="AA2088" s="6">
        <f>('TE BE'!$AB$41+'TE BF'!$AB$41+'TE CVA'!$AB$41)*1</f>
        <v>242.47071701268419</v>
      </c>
      <c r="AB2088" s="6">
        <f>$K$2088*$V$2088</f>
        <v>0</v>
      </c>
      <c r="AC2088" s="6">
        <f>$M$2088*$W$2088</f>
        <v>68947.648799999995</v>
      </c>
      <c r="AD2088" s="6">
        <f>$O$2088*$X$2088</f>
        <v>51674.363280000005</v>
      </c>
      <c r="AE2088" s="6">
        <f>$K$2088*$Y$2088</f>
        <v>0</v>
      </c>
      <c r="AF2088" s="6">
        <f ca="1">$M$2088*$Z$2088</f>
        <v>72061.615194111859</v>
      </c>
      <c r="AG2088" s="6">
        <f>$O$2088*$AA$2088</f>
        <v>48997.027669621151</v>
      </c>
    </row>
    <row r="2089" spans="1:33" ht="11.25" customHeight="1" x14ac:dyDescent="0.25">
      <c r="A2089" s="4" t="s">
        <v>28</v>
      </c>
      <c r="B2089" s="4" t="s">
        <v>37</v>
      </c>
      <c r="C2089" s="4" t="s">
        <v>23</v>
      </c>
      <c r="D2089" s="4" t="s">
        <v>52</v>
      </c>
      <c r="E2089" s="4" t="s">
        <v>25</v>
      </c>
      <c r="F2089" s="4" t="s">
        <v>25</v>
      </c>
      <c r="G2089" s="4" t="s">
        <v>25</v>
      </c>
      <c r="H2089" s="4" t="s">
        <v>25</v>
      </c>
      <c r="I2089" s="5">
        <v>44682</v>
      </c>
      <c r="J2089" s="6">
        <v>0</v>
      </c>
      <c r="K2089" s="6">
        <v>0</v>
      </c>
      <c r="L2089" s="6">
        <v>1.6060000000000001</v>
      </c>
      <c r="M2089" s="6">
        <v>1.6060000000000001</v>
      </c>
      <c r="N2089" s="6">
        <v>1.6060000000000001</v>
      </c>
      <c r="O2089" s="6">
        <v>1.6060000000000001</v>
      </c>
      <c r="P2089" s="6">
        <v>1</v>
      </c>
      <c r="Q2089" s="4" t="s">
        <v>26</v>
      </c>
      <c r="R2089" s="4">
        <v>0</v>
      </c>
      <c r="S2089" s="6">
        <v>0</v>
      </c>
      <c r="T2089" s="6">
        <v>57</v>
      </c>
      <c r="U2089" s="6">
        <v>100</v>
      </c>
      <c r="V2089" s="6">
        <f>IF(ISERROR(VLOOKUP($S$2089,'TAR FIN'!$A$1:$O$104,15,0)),0,VLOOKUP($S$2089,'TAR FIN'!$A$1:$O$104,15,0))</f>
        <v>0</v>
      </c>
      <c r="W2089" s="6">
        <f>IF(ISERROR(VLOOKUP($T$2089,'TAR FIN'!$A$1:$O$104,15,0)),0,VLOOKUP($T$2089,'TAR FIN'!$A$1:$O$104,15,0))</f>
        <v>341.2</v>
      </c>
      <c r="X2089" s="6">
        <f>IF(ISERROR(VLOOKUP($U$2089,'TAR FIN'!$A$1:$O$104,15,0)),0,VLOOKUP($U$2089,'TAR FIN'!$A$1:$O$104,15,0))</f>
        <v>255.72</v>
      </c>
      <c r="Y2089" s="6"/>
      <c r="Z2089" s="6">
        <f ca="1">('TUSD BE'!$AM$62+'TUSD BF'!$AM$62+'TUSD CVA'!$AM$62)*1</f>
        <v>356.61002995987536</v>
      </c>
      <c r="AA2089" s="6">
        <f>('TE BE'!$AB$41+'TE BF'!$AB$41+'TE CVA'!$AB$41)*1</f>
        <v>242.47071701268419</v>
      </c>
      <c r="AB2089" s="6">
        <f>$K$2089*$V$2089</f>
        <v>0</v>
      </c>
      <c r="AC2089" s="6">
        <f>$M$2089*$W$2089</f>
        <v>547.96720000000005</v>
      </c>
      <c r="AD2089" s="6">
        <f>$O$2089*$X$2089</f>
        <v>410.68632000000002</v>
      </c>
      <c r="AE2089" s="6">
        <f>$K$2089*$Y$2089</f>
        <v>0</v>
      </c>
      <c r="AF2089" s="6">
        <f ca="1">$M$2089*$Z$2089</f>
        <v>572.71570811555989</v>
      </c>
      <c r="AG2089" s="6">
        <f>$O$2089*$AA$2089</f>
        <v>389.40797152237081</v>
      </c>
    </row>
    <row r="2090" spans="1:33" ht="11.25" customHeight="1" x14ac:dyDescent="0.25">
      <c r="A2090" s="4" t="s">
        <v>21</v>
      </c>
      <c r="B2090" s="4" t="s">
        <v>37</v>
      </c>
      <c r="C2090" s="4" t="s">
        <v>23</v>
      </c>
      <c r="D2090" s="4" t="s">
        <v>52</v>
      </c>
      <c r="E2090" s="4" t="s">
        <v>25</v>
      </c>
      <c r="F2090" s="4" t="s">
        <v>25</v>
      </c>
      <c r="G2090" s="4" t="s">
        <v>25</v>
      </c>
      <c r="H2090" s="4" t="s">
        <v>25</v>
      </c>
      <c r="I2090" s="5">
        <v>44713</v>
      </c>
      <c r="J2090" s="6">
        <v>0</v>
      </c>
      <c r="K2090" s="6">
        <v>0</v>
      </c>
      <c r="L2090" s="6">
        <v>187.702</v>
      </c>
      <c r="M2090" s="6">
        <v>187.702</v>
      </c>
      <c r="N2090" s="6">
        <v>187.702</v>
      </c>
      <c r="O2090" s="6">
        <v>187.702</v>
      </c>
      <c r="P2090" s="6">
        <v>301</v>
      </c>
      <c r="Q2090" s="4" t="s">
        <v>26</v>
      </c>
      <c r="R2090" s="4">
        <v>0</v>
      </c>
      <c r="S2090" s="6">
        <v>0</v>
      </c>
      <c r="T2090" s="6">
        <v>57</v>
      </c>
      <c r="U2090" s="6">
        <v>100</v>
      </c>
      <c r="V2090" s="6">
        <f>IF(ISERROR(VLOOKUP($S$2090,'TAR FIN'!$A$1:$O$104,15,0)),0,VLOOKUP($S$2090,'TAR FIN'!$A$1:$O$104,15,0))</f>
        <v>0</v>
      </c>
      <c r="W2090" s="6">
        <f>IF(ISERROR(VLOOKUP($T$2090,'TAR FIN'!$A$1:$O$104,15,0)),0,VLOOKUP($T$2090,'TAR FIN'!$A$1:$O$104,15,0))</f>
        <v>341.2</v>
      </c>
      <c r="X2090" s="6">
        <f>IF(ISERROR(VLOOKUP($U$2090,'TAR FIN'!$A$1:$O$104,15,0)),0,VLOOKUP($U$2090,'TAR FIN'!$A$1:$O$104,15,0))</f>
        <v>255.72</v>
      </c>
      <c r="Y2090" s="6"/>
      <c r="Z2090" s="6">
        <f ca="1">('TUSD BE'!$AM$62+'TUSD BF'!$AM$62+'TUSD CVA'!$AM$62)*1</f>
        <v>356.61002995987536</v>
      </c>
      <c r="AA2090" s="6">
        <f>('TE BE'!$AB$41+'TE BF'!$AB$41+'TE CVA'!$AB$41)*1</f>
        <v>242.47071701268419</v>
      </c>
      <c r="AB2090" s="6">
        <f>$K$2090*$V$2090</f>
        <v>0</v>
      </c>
      <c r="AC2090" s="6">
        <f>$M$2090*$W$2090</f>
        <v>64043.922399999996</v>
      </c>
      <c r="AD2090" s="6">
        <f>$O$2090*$X$2090</f>
        <v>47999.155440000002</v>
      </c>
      <c r="AE2090" s="6">
        <f>$K$2090*$Y$2090</f>
        <v>0</v>
      </c>
      <c r="AF2090" s="6">
        <f ca="1">$M$2090*$Z$2090</f>
        <v>66936.415843528521</v>
      </c>
      <c r="AG2090" s="6">
        <f>$O$2090*$AA$2090</f>
        <v>45512.238524714849</v>
      </c>
    </row>
    <row r="2091" spans="1:33" ht="11.25" customHeight="1" x14ac:dyDescent="0.25">
      <c r="A2091" s="4" t="s">
        <v>27</v>
      </c>
      <c r="B2091" s="4" t="s">
        <v>37</v>
      </c>
      <c r="C2091" s="4" t="s">
        <v>23</v>
      </c>
      <c r="D2091" s="4" t="s">
        <v>52</v>
      </c>
      <c r="E2091" s="4" t="s">
        <v>25</v>
      </c>
      <c r="F2091" s="4" t="s">
        <v>25</v>
      </c>
      <c r="G2091" s="4" t="s">
        <v>25</v>
      </c>
      <c r="H2091" s="4" t="s">
        <v>25</v>
      </c>
      <c r="I2091" s="5">
        <v>44713</v>
      </c>
      <c r="J2091" s="6">
        <v>0</v>
      </c>
      <c r="K2091" s="6">
        <v>0</v>
      </c>
      <c r="L2091" s="6">
        <v>9.5470000000000006</v>
      </c>
      <c r="M2091" s="6">
        <v>9.5470000000000006</v>
      </c>
      <c r="N2091" s="6">
        <v>9.5470000000000006</v>
      </c>
      <c r="O2091" s="6">
        <v>9.5470000000000006</v>
      </c>
      <c r="P2091" s="6">
        <v>8</v>
      </c>
      <c r="Q2091" s="4" t="s">
        <v>26</v>
      </c>
      <c r="R2091" s="4">
        <v>0</v>
      </c>
      <c r="S2091" s="6">
        <v>0</v>
      </c>
      <c r="T2091" s="6">
        <v>57</v>
      </c>
      <c r="U2091" s="6">
        <v>100</v>
      </c>
      <c r="V2091" s="6">
        <f>IF(ISERROR(VLOOKUP($S$2091,'TAR FIN'!$A$1:$O$104,15,0)),0,VLOOKUP($S$2091,'TAR FIN'!$A$1:$O$104,15,0))</f>
        <v>0</v>
      </c>
      <c r="W2091" s="6">
        <f>IF(ISERROR(VLOOKUP($T$2091,'TAR FIN'!$A$1:$O$104,15,0)),0,VLOOKUP($T$2091,'TAR FIN'!$A$1:$O$104,15,0))</f>
        <v>341.2</v>
      </c>
      <c r="X2091" s="6">
        <f>IF(ISERROR(VLOOKUP($U$2091,'TAR FIN'!$A$1:$O$104,15,0)),0,VLOOKUP($U$2091,'TAR FIN'!$A$1:$O$104,15,0))</f>
        <v>255.72</v>
      </c>
      <c r="Y2091" s="6"/>
      <c r="Z2091" s="6">
        <f ca="1">('TUSD BE'!$AM$62+'TUSD BF'!$AM$62+'TUSD CVA'!$AM$62)*1</f>
        <v>356.61002995987536</v>
      </c>
      <c r="AA2091" s="6">
        <f>('TE BE'!$AB$41+'TE BF'!$AB$41+'TE CVA'!$AB$41)*1</f>
        <v>242.47071701268419</v>
      </c>
      <c r="AB2091" s="6">
        <f>$K$2091*$V$2091</f>
        <v>0</v>
      </c>
      <c r="AC2091" s="6">
        <f>$M$2091*$W$2091</f>
        <v>3257.4364</v>
      </c>
      <c r="AD2091" s="6">
        <f>$O$2091*$X$2091</f>
        <v>2441.3588400000003</v>
      </c>
      <c r="AE2091" s="6">
        <f>$K$2091*$Y$2091</f>
        <v>0</v>
      </c>
      <c r="AF2091" s="6">
        <f ca="1">$M$2091*$Z$2091</f>
        <v>3404.5559560269303</v>
      </c>
      <c r="AG2091" s="6">
        <f>$O$2091*$AA$2091</f>
        <v>2314.867935320096</v>
      </c>
    </row>
    <row r="2092" spans="1:33" ht="11.25" customHeight="1" x14ac:dyDescent="0.25">
      <c r="A2092" s="4" t="s">
        <v>28</v>
      </c>
      <c r="B2092" s="4" t="s">
        <v>37</v>
      </c>
      <c r="C2092" s="4" t="s">
        <v>23</v>
      </c>
      <c r="D2092" s="4" t="s">
        <v>52</v>
      </c>
      <c r="E2092" s="4" t="s">
        <v>25</v>
      </c>
      <c r="F2092" s="4" t="s">
        <v>25</v>
      </c>
      <c r="G2092" s="4" t="s">
        <v>25</v>
      </c>
      <c r="H2092" s="4" t="s">
        <v>25</v>
      </c>
      <c r="I2092" s="5">
        <v>44713</v>
      </c>
      <c r="J2092" s="6">
        <v>0</v>
      </c>
      <c r="K2092" s="6">
        <v>0</v>
      </c>
      <c r="L2092" s="6">
        <v>1.234</v>
      </c>
      <c r="M2092" s="6">
        <v>1.234</v>
      </c>
      <c r="N2092" s="6">
        <v>1.234</v>
      </c>
      <c r="O2092" s="6">
        <v>1.234</v>
      </c>
      <c r="P2092" s="6">
        <v>1</v>
      </c>
      <c r="Q2092" s="4" t="s">
        <v>26</v>
      </c>
      <c r="R2092" s="4">
        <v>0</v>
      </c>
      <c r="S2092" s="6">
        <v>0</v>
      </c>
      <c r="T2092" s="6">
        <v>57</v>
      </c>
      <c r="U2092" s="6">
        <v>100</v>
      </c>
      <c r="V2092" s="6">
        <f>IF(ISERROR(VLOOKUP($S$2092,'TAR FIN'!$A$1:$O$104,15,0)),0,VLOOKUP($S$2092,'TAR FIN'!$A$1:$O$104,15,0))</f>
        <v>0</v>
      </c>
      <c r="W2092" s="6">
        <f>IF(ISERROR(VLOOKUP($T$2092,'TAR FIN'!$A$1:$O$104,15,0)),0,VLOOKUP($T$2092,'TAR FIN'!$A$1:$O$104,15,0))</f>
        <v>341.2</v>
      </c>
      <c r="X2092" s="6">
        <f>IF(ISERROR(VLOOKUP($U$2092,'TAR FIN'!$A$1:$O$104,15,0)),0,VLOOKUP($U$2092,'TAR FIN'!$A$1:$O$104,15,0))</f>
        <v>255.72</v>
      </c>
      <c r="Y2092" s="6"/>
      <c r="Z2092" s="6">
        <f ca="1">('TUSD BE'!$AM$62+'TUSD BF'!$AM$62+'TUSD CVA'!$AM$62)*1</f>
        <v>356.61002995987536</v>
      </c>
      <c r="AA2092" s="6">
        <f>('TE BE'!$AB$41+'TE BF'!$AB$41+'TE CVA'!$AB$41)*1</f>
        <v>242.47071701268419</v>
      </c>
      <c r="AB2092" s="6">
        <f>$K$2092*$V$2092</f>
        <v>0</v>
      </c>
      <c r="AC2092" s="6">
        <f>$M$2092*$W$2092</f>
        <v>421.04079999999999</v>
      </c>
      <c r="AD2092" s="6">
        <f>$O$2092*$X$2092</f>
        <v>315.55847999999997</v>
      </c>
      <c r="AE2092" s="6">
        <f>$K$2092*$Y$2092</f>
        <v>0</v>
      </c>
      <c r="AF2092" s="6">
        <f ca="1">$M$2092*$Z$2092</f>
        <v>440.05677697048617</v>
      </c>
      <c r="AG2092" s="6">
        <f>$O$2092*$AA$2092</f>
        <v>299.20886479365231</v>
      </c>
    </row>
    <row r="2093" spans="1:33" ht="11.25" customHeight="1" x14ac:dyDescent="0.25">
      <c r="A2093" s="4" t="s">
        <v>57</v>
      </c>
      <c r="B2093" s="4" t="s">
        <v>37</v>
      </c>
      <c r="C2093" s="4" t="s">
        <v>23</v>
      </c>
      <c r="D2093" s="4" t="s">
        <v>52</v>
      </c>
      <c r="E2093" s="4" t="s">
        <v>25</v>
      </c>
      <c r="F2093" s="4" t="s">
        <v>25</v>
      </c>
      <c r="G2093" s="4" t="s">
        <v>25</v>
      </c>
      <c r="H2093" s="4" t="s">
        <v>25</v>
      </c>
      <c r="I2093" s="5">
        <v>44743</v>
      </c>
      <c r="J2093" s="6">
        <v>0</v>
      </c>
      <c r="K2093" s="6">
        <v>0</v>
      </c>
      <c r="L2093" s="6">
        <v>187.702</v>
      </c>
      <c r="M2093" s="6">
        <v>187.702</v>
      </c>
      <c r="N2093" s="6">
        <v>187.702</v>
      </c>
      <c r="O2093" s="6">
        <v>187.702</v>
      </c>
      <c r="P2093" s="6">
        <v>301</v>
      </c>
      <c r="Q2093" s="4" t="s">
        <v>26</v>
      </c>
      <c r="R2093" s="4">
        <v>0</v>
      </c>
      <c r="S2093" s="6">
        <v>0</v>
      </c>
      <c r="T2093" s="6">
        <v>57</v>
      </c>
      <c r="U2093" s="6">
        <v>100</v>
      </c>
      <c r="V2093" s="6">
        <f>IF(ISERROR(VLOOKUP($S$2093,'TAR FIN'!$A$1:$O$104,15,0)),0,VLOOKUP($S$2093,'TAR FIN'!$A$1:$O$104,15,0))</f>
        <v>0</v>
      </c>
      <c r="W2093" s="6">
        <f>IF(ISERROR(VLOOKUP($T$2093,'TAR FIN'!$A$1:$O$104,15,0)),0,VLOOKUP($T$2093,'TAR FIN'!$A$1:$O$104,15,0))</f>
        <v>341.2</v>
      </c>
      <c r="X2093" s="6">
        <f>IF(ISERROR(VLOOKUP($U$2093,'TAR FIN'!$A$1:$O$104,15,0)),0,VLOOKUP($U$2093,'TAR FIN'!$A$1:$O$104,15,0))</f>
        <v>255.72</v>
      </c>
      <c r="Y2093" s="6"/>
      <c r="Z2093" s="6">
        <f ca="1">('TUSD BE'!$AM$62+'TUSD BF'!$AM$62+'TUSD CVA'!$AM$62)*1</f>
        <v>356.61002995987536</v>
      </c>
      <c r="AA2093" s="6">
        <f>('TE BE'!$AB$41+'TE BF'!$AB$41+'TE CVA'!$AB$41)*1</f>
        <v>242.47071701268419</v>
      </c>
      <c r="AB2093" s="6">
        <f>$K$2093*$V$2093</f>
        <v>0</v>
      </c>
      <c r="AC2093" s="6">
        <f>$M$2093*$W$2093</f>
        <v>64043.922399999996</v>
      </c>
      <c r="AD2093" s="6">
        <f>$O$2093*$X$2093</f>
        <v>47999.155440000002</v>
      </c>
      <c r="AE2093" s="6">
        <f>$K$2093*$Y$2093</f>
        <v>0</v>
      </c>
      <c r="AF2093" s="6">
        <f ca="1">$M$2093*$Z$2093</f>
        <v>66936.415843528521</v>
      </c>
      <c r="AG2093" s="6">
        <f>$O$2093*$AA$2093</f>
        <v>45512.238524714849</v>
      </c>
    </row>
    <row r="2094" spans="1:33" ht="11.25" customHeight="1" x14ac:dyDescent="0.25">
      <c r="A2094" s="4" t="s">
        <v>57</v>
      </c>
      <c r="B2094" s="4" t="s">
        <v>37</v>
      </c>
      <c r="C2094" s="4" t="s">
        <v>23</v>
      </c>
      <c r="D2094" s="4" t="s">
        <v>52</v>
      </c>
      <c r="E2094" s="4" t="s">
        <v>25</v>
      </c>
      <c r="F2094" s="4" t="s">
        <v>25</v>
      </c>
      <c r="G2094" s="4" t="s">
        <v>25</v>
      </c>
      <c r="H2094" s="4" t="s">
        <v>25</v>
      </c>
      <c r="I2094" s="5">
        <v>44743</v>
      </c>
      <c r="J2094" s="6">
        <v>0</v>
      </c>
      <c r="K2094" s="6">
        <v>0</v>
      </c>
      <c r="L2094" s="6">
        <v>9.5470000000000006</v>
      </c>
      <c r="M2094" s="6">
        <v>9.5470000000000006</v>
      </c>
      <c r="N2094" s="6">
        <v>9.5470000000000006</v>
      </c>
      <c r="O2094" s="6">
        <v>9.5470000000000006</v>
      </c>
      <c r="P2094" s="6">
        <v>8</v>
      </c>
      <c r="Q2094" s="4" t="s">
        <v>26</v>
      </c>
      <c r="R2094" s="4">
        <v>0</v>
      </c>
      <c r="S2094" s="6">
        <v>0</v>
      </c>
      <c r="T2094" s="6">
        <v>57</v>
      </c>
      <c r="U2094" s="6">
        <v>100</v>
      </c>
      <c r="V2094" s="6">
        <f>IF(ISERROR(VLOOKUP($S$2094,'TAR FIN'!$A$1:$O$104,15,0)),0,VLOOKUP($S$2094,'TAR FIN'!$A$1:$O$104,15,0))</f>
        <v>0</v>
      </c>
      <c r="W2094" s="6">
        <f>IF(ISERROR(VLOOKUP($T$2094,'TAR FIN'!$A$1:$O$104,15,0)),0,VLOOKUP($T$2094,'TAR FIN'!$A$1:$O$104,15,0))</f>
        <v>341.2</v>
      </c>
      <c r="X2094" s="6">
        <f>IF(ISERROR(VLOOKUP($U$2094,'TAR FIN'!$A$1:$O$104,15,0)),0,VLOOKUP($U$2094,'TAR FIN'!$A$1:$O$104,15,0))</f>
        <v>255.72</v>
      </c>
      <c r="Y2094" s="6"/>
      <c r="Z2094" s="6">
        <f ca="1">('TUSD BE'!$AM$62+'TUSD BF'!$AM$62+'TUSD CVA'!$AM$62)*1</f>
        <v>356.61002995987536</v>
      </c>
      <c r="AA2094" s="6">
        <f>('TE BE'!$AB$41+'TE BF'!$AB$41+'TE CVA'!$AB$41)*1</f>
        <v>242.47071701268419</v>
      </c>
      <c r="AB2094" s="6">
        <f>$K$2094*$V$2094</f>
        <v>0</v>
      </c>
      <c r="AC2094" s="6">
        <f>$M$2094*$W$2094</f>
        <v>3257.4364</v>
      </c>
      <c r="AD2094" s="6">
        <f>$O$2094*$X$2094</f>
        <v>2441.3588400000003</v>
      </c>
      <c r="AE2094" s="6">
        <f>$K$2094*$Y$2094</f>
        <v>0</v>
      </c>
      <c r="AF2094" s="6">
        <f ca="1">$M$2094*$Z$2094</f>
        <v>3404.5559560269303</v>
      </c>
      <c r="AG2094" s="6">
        <f>$O$2094*$AA$2094</f>
        <v>2314.867935320096</v>
      </c>
    </row>
    <row r="2095" spans="1:33" ht="11.25" customHeight="1" x14ac:dyDescent="0.25">
      <c r="A2095" s="4" t="s">
        <v>57</v>
      </c>
      <c r="B2095" s="4" t="s">
        <v>37</v>
      </c>
      <c r="C2095" s="4" t="s">
        <v>23</v>
      </c>
      <c r="D2095" s="4" t="s">
        <v>52</v>
      </c>
      <c r="E2095" s="4" t="s">
        <v>25</v>
      </c>
      <c r="F2095" s="4" t="s">
        <v>25</v>
      </c>
      <c r="G2095" s="4" t="s">
        <v>25</v>
      </c>
      <c r="H2095" s="4" t="s">
        <v>25</v>
      </c>
      <c r="I2095" s="5">
        <v>44743</v>
      </c>
      <c r="J2095" s="6">
        <v>0</v>
      </c>
      <c r="K2095" s="6">
        <v>0</v>
      </c>
      <c r="L2095" s="6">
        <v>1.234</v>
      </c>
      <c r="M2095" s="6">
        <v>1.234</v>
      </c>
      <c r="N2095" s="6">
        <v>1.234</v>
      </c>
      <c r="O2095" s="6">
        <v>1.234</v>
      </c>
      <c r="P2095" s="6">
        <v>1</v>
      </c>
      <c r="Q2095" s="4" t="s">
        <v>26</v>
      </c>
      <c r="R2095" s="4">
        <v>0</v>
      </c>
      <c r="S2095" s="6">
        <v>0</v>
      </c>
      <c r="T2095" s="6">
        <v>57</v>
      </c>
      <c r="U2095" s="6">
        <v>100</v>
      </c>
      <c r="V2095" s="6">
        <f>IF(ISERROR(VLOOKUP($S$2095,'TAR FIN'!$A$1:$O$104,15,0)),0,VLOOKUP($S$2095,'TAR FIN'!$A$1:$O$104,15,0))</f>
        <v>0</v>
      </c>
      <c r="W2095" s="6">
        <f>IF(ISERROR(VLOOKUP($T$2095,'TAR FIN'!$A$1:$O$104,15,0)),0,VLOOKUP($T$2095,'TAR FIN'!$A$1:$O$104,15,0))</f>
        <v>341.2</v>
      </c>
      <c r="X2095" s="6">
        <f>IF(ISERROR(VLOOKUP($U$2095,'TAR FIN'!$A$1:$O$104,15,0)),0,VLOOKUP($U$2095,'TAR FIN'!$A$1:$O$104,15,0))</f>
        <v>255.72</v>
      </c>
      <c r="Y2095" s="6"/>
      <c r="Z2095" s="6">
        <f ca="1">('TUSD BE'!$AM$62+'TUSD BF'!$AM$62+'TUSD CVA'!$AM$62)*1</f>
        <v>356.61002995987536</v>
      </c>
      <c r="AA2095" s="6">
        <f>('TE BE'!$AB$41+'TE BF'!$AB$41+'TE CVA'!$AB$41)*1</f>
        <v>242.47071701268419</v>
      </c>
      <c r="AB2095" s="6">
        <f>$K$2095*$V$2095</f>
        <v>0</v>
      </c>
      <c r="AC2095" s="6">
        <f>$M$2095*$W$2095</f>
        <v>421.04079999999999</v>
      </c>
      <c r="AD2095" s="6">
        <f>$O$2095*$X$2095</f>
        <v>315.55847999999997</v>
      </c>
      <c r="AE2095" s="6">
        <f>$K$2095*$Y$2095</f>
        <v>0</v>
      </c>
      <c r="AF2095" s="6">
        <f ca="1">$M$2095*$Z$2095</f>
        <v>440.05677697048617</v>
      </c>
      <c r="AG2095" s="6">
        <f>$O$2095*$AA$2095</f>
        <v>299.20886479365231</v>
      </c>
    </row>
    <row r="2096" spans="1:33" ht="11.25" customHeight="1" x14ac:dyDescent="0.25">
      <c r="A2096" s="4" t="s">
        <v>21</v>
      </c>
      <c r="B2096" s="4" t="s">
        <v>37</v>
      </c>
      <c r="C2096" s="4" t="s">
        <v>23</v>
      </c>
      <c r="D2096" s="4" t="s">
        <v>38</v>
      </c>
      <c r="E2096" s="4" t="s">
        <v>25</v>
      </c>
      <c r="F2096" s="4" t="s">
        <v>25</v>
      </c>
      <c r="G2096" s="4" t="s">
        <v>25</v>
      </c>
      <c r="H2096" s="4" t="s">
        <v>25</v>
      </c>
      <c r="I2096" s="5">
        <v>44409</v>
      </c>
      <c r="J2096" s="6">
        <v>0</v>
      </c>
      <c r="K2096" s="6">
        <v>0</v>
      </c>
      <c r="L2096" s="6">
        <v>2616.953</v>
      </c>
      <c r="M2096" s="6">
        <v>2616.953</v>
      </c>
      <c r="N2096" s="6">
        <v>2616.953</v>
      </c>
      <c r="O2096" s="6">
        <v>2616.953</v>
      </c>
      <c r="P2096" s="6">
        <v>3179</v>
      </c>
      <c r="Q2096" s="4" t="s">
        <v>26</v>
      </c>
      <c r="R2096" s="4">
        <v>0</v>
      </c>
      <c r="S2096" s="6">
        <v>0</v>
      </c>
      <c r="T2096" s="6">
        <v>57</v>
      </c>
      <c r="U2096" s="6">
        <v>100</v>
      </c>
      <c r="V2096" s="6">
        <f>IF(ISERROR(VLOOKUP($S$2096,'TAR FIN'!$A$1:$O$104,15,0)),0,VLOOKUP($S$2096,'TAR FIN'!$A$1:$O$104,15,0))</f>
        <v>0</v>
      </c>
      <c r="W2096" s="6">
        <f>IF(ISERROR(VLOOKUP($T$2096,'TAR FIN'!$A$1:$O$104,15,0)),0,VLOOKUP($T$2096,'TAR FIN'!$A$1:$O$104,15,0))</f>
        <v>341.2</v>
      </c>
      <c r="X2096" s="6">
        <f>IF(ISERROR(VLOOKUP($U$2096,'TAR FIN'!$A$1:$O$104,15,0)),0,VLOOKUP($U$2096,'TAR FIN'!$A$1:$O$104,15,0))</f>
        <v>255.72</v>
      </c>
      <c r="Y2096" s="6"/>
      <c r="Z2096" s="6">
        <f ca="1">('TUSD BE'!$AM$62+'TUSD BF'!$AM$62+'TUSD CVA'!$AM$62)*1</f>
        <v>356.61002995987536</v>
      </c>
      <c r="AA2096" s="6">
        <f>('TE BE'!$AB$41+'TE BF'!$AB$41+'TE CVA'!$AB$41)*1</f>
        <v>242.47071701268419</v>
      </c>
      <c r="AB2096" s="6">
        <f>$K$2096*$V$2096</f>
        <v>0</v>
      </c>
      <c r="AC2096" s="6">
        <f>$M$2096*$W$2096</f>
        <v>892904.36359999992</v>
      </c>
      <c r="AD2096" s="6">
        <f>$O$2096*$X$2096</f>
        <v>669207.22115999996</v>
      </c>
      <c r="AE2096" s="6">
        <f>$K$2096*$Y$2096</f>
        <v>0</v>
      </c>
      <c r="AF2096" s="6">
        <f ca="1">$M$2096*$Z$2096</f>
        <v>933231.68773358571</v>
      </c>
      <c r="AG2096" s="6">
        <f>$O$2096*$AA$2096</f>
        <v>634534.47029849491</v>
      </c>
    </row>
    <row r="2097" spans="1:33" ht="11.25" customHeight="1" x14ac:dyDescent="0.25">
      <c r="A2097" s="4" t="s">
        <v>27</v>
      </c>
      <c r="B2097" s="4" t="s">
        <v>37</v>
      </c>
      <c r="C2097" s="4" t="s">
        <v>23</v>
      </c>
      <c r="D2097" s="4" t="s">
        <v>38</v>
      </c>
      <c r="E2097" s="4" t="s">
        <v>25</v>
      </c>
      <c r="F2097" s="4" t="s">
        <v>25</v>
      </c>
      <c r="G2097" s="4" t="s">
        <v>25</v>
      </c>
      <c r="H2097" s="4" t="s">
        <v>25</v>
      </c>
      <c r="I2097" s="5">
        <v>44409</v>
      </c>
      <c r="J2097" s="6">
        <v>0</v>
      </c>
      <c r="K2097" s="6">
        <v>0</v>
      </c>
      <c r="L2097" s="6">
        <v>-6.8319999999999999</v>
      </c>
      <c r="M2097" s="6">
        <v>-6.8319999999999999</v>
      </c>
      <c r="N2097" s="6">
        <v>-6.8319999999999999</v>
      </c>
      <c r="O2097" s="6">
        <v>-6.8319999999999999</v>
      </c>
      <c r="P2097" s="6">
        <v>-12</v>
      </c>
      <c r="Q2097" s="4" t="s">
        <v>26</v>
      </c>
      <c r="R2097" s="4">
        <v>0</v>
      </c>
      <c r="S2097" s="6">
        <v>0</v>
      </c>
      <c r="T2097" s="6">
        <v>57</v>
      </c>
      <c r="U2097" s="6">
        <v>100</v>
      </c>
      <c r="V2097" s="6">
        <f>IF(ISERROR(VLOOKUP($S$2097,'TAR FIN'!$A$1:$O$104,15,0)),0,VLOOKUP($S$2097,'TAR FIN'!$A$1:$O$104,15,0))</f>
        <v>0</v>
      </c>
      <c r="W2097" s="6">
        <f>IF(ISERROR(VLOOKUP($T$2097,'TAR FIN'!$A$1:$O$104,15,0)),0,VLOOKUP($T$2097,'TAR FIN'!$A$1:$O$104,15,0))</f>
        <v>341.2</v>
      </c>
      <c r="X2097" s="6">
        <f>IF(ISERROR(VLOOKUP($U$2097,'TAR FIN'!$A$1:$O$104,15,0)),0,VLOOKUP($U$2097,'TAR FIN'!$A$1:$O$104,15,0))</f>
        <v>255.72</v>
      </c>
      <c r="Y2097" s="6"/>
      <c r="Z2097" s="6">
        <f ca="1">('TUSD BE'!$AM$62+'TUSD BF'!$AM$62+'TUSD CVA'!$AM$62)*1</f>
        <v>356.61002995987536</v>
      </c>
      <c r="AA2097" s="6">
        <f>('TE BE'!$AB$41+'TE BF'!$AB$41+'TE CVA'!$AB$41)*1</f>
        <v>242.47071701268419</v>
      </c>
      <c r="AB2097" s="6">
        <f>$K$2097*$V$2097</f>
        <v>0</v>
      </c>
      <c r="AC2097" s="6">
        <f>$M$2097*$W$2097</f>
        <v>-2331.0783999999999</v>
      </c>
      <c r="AD2097" s="6">
        <f>$O$2097*$X$2097</f>
        <v>-1747.0790399999998</v>
      </c>
      <c r="AE2097" s="6">
        <f>$K$2097*$Y$2097</f>
        <v>0</v>
      </c>
      <c r="AF2097" s="6">
        <f ca="1">$M$2097*$Z$2097</f>
        <v>-2436.3597246858685</v>
      </c>
      <c r="AG2097" s="6">
        <f>$O$2097*$AA$2097</f>
        <v>-1656.5599386306583</v>
      </c>
    </row>
    <row r="2098" spans="1:33" ht="11.25" customHeight="1" x14ac:dyDescent="0.25">
      <c r="A2098" s="4" t="s">
        <v>28</v>
      </c>
      <c r="B2098" s="4" t="s">
        <v>37</v>
      </c>
      <c r="C2098" s="4" t="s">
        <v>23</v>
      </c>
      <c r="D2098" s="4" t="s">
        <v>38</v>
      </c>
      <c r="E2098" s="4" t="s">
        <v>25</v>
      </c>
      <c r="F2098" s="4" t="s">
        <v>25</v>
      </c>
      <c r="G2098" s="4" t="s">
        <v>25</v>
      </c>
      <c r="H2098" s="4" t="s">
        <v>25</v>
      </c>
      <c r="I2098" s="5">
        <v>44409</v>
      </c>
      <c r="J2098" s="6">
        <v>0</v>
      </c>
      <c r="K2098" s="6">
        <v>0</v>
      </c>
      <c r="L2098" s="6">
        <v>425.01100000000002</v>
      </c>
      <c r="M2098" s="6">
        <v>425.01100000000002</v>
      </c>
      <c r="N2098" s="6">
        <v>425.01100000000002</v>
      </c>
      <c r="O2098" s="6">
        <v>425.01100000000002</v>
      </c>
      <c r="P2098" s="6">
        <v>373</v>
      </c>
      <c r="Q2098" s="4" t="s">
        <v>26</v>
      </c>
      <c r="R2098" s="4">
        <v>0</v>
      </c>
      <c r="S2098" s="6">
        <v>0</v>
      </c>
      <c r="T2098" s="6">
        <v>57</v>
      </c>
      <c r="U2098" s="6">
        <v>100</v>
      </c>
      <c r="V2098" s="6">
        <f>IF(ISERROR(VLOOKUP($S$2098,'TAR FIN'!$A$1:$O$104,15,0)),0,VLOOKUP($S$2098,'TAR FIN'!$A$1:$O$104,15,0))</f>
        <v>0</v>
      </c>
      <c r="W2098" s="6">
        <f>IF(ISERROR(VLOOKUP($T$2098,'TAR FIN'!$A$1:$O$104,15,0)),0,VLOOKUP($T$2098,'TAR FIN'!$A$1:$O$104,15,0))</f>
        <v>341.2</v>
      </c>
      <c r="X2098" s="6">
        <f>IF(ISERROR(VLOOKUP($U$2098,'TAR FIN'!$A$1:$O$104,15,0)),0,VLOOKUP($U$2098,'TAR FIN'!$A$1:$O$104,15,0))</f>
        <v>255.72</v>
      </c>
      <c r="Y2098" s="6"/>
      <c r="Z2098" s="6">
        <f ca="1">('TUSD BE'!$AM$62+'TUSD BF'!$AM$62+'TUSD CVA'!$AM$62)*1</f>
        <v>356.61002995987536</v>
      </c>
      <c r="AA2098" s="6">
        <f>('TE BE'!$AB$41+'TE BF'!$AB$41+'TE CVA'!$AB$41)*1</f>
        <v>242.47071701268419</v>
      </c>
      <c r="AB2098" s="6">
        <f>$K$2098*$V$2098</f>
        <v>0</v>
      </c>
      <c r="AC2098" s="6">
        <f>$M$2098*$W$2098</f>
        <v>145013.75320000001</v>
      </c>
      <c r="AD2098" s="6">
        <f>$O$2098*$X$2098</f>
        <v>108683.81292000001</v>
      </c>
      <c r="AE2098" s="6">
        <f>$K$2098*$Y$2098</f>
        <v>0</v>
      </c>
      <c r="AF2098" s="6">
        <f ca="1">$M$2098*$Z$2098</f>
        <v>151563.1854432766</v>
      </c>
      <c r="AG2098" s="6">
        <f>$O$2098*$AA$2098</f>
        <v>103052.72190827792</v>
      </c>
    </row>
    <row r="2099" spans="1:33" ht="11.25" customHeight="1" x14ac:dyDescent="0.25">
      <c r="A2099" s="4" t="s">
        <v>21</v>
      </c>
      <c r="B2099" s="4" t="s">
        <v>37</v>
      </c>
      <c r="C2099" s="4" t="s">
        <v>23</v>
      </c>
      <c r="D2099" s="4" t="s">
        <v>38</v>
      </c>
      <c r="E2099" s="4" t="s">
        <v>25</v>
      </c>
      <c r="F2099" s="4" t="s">
        <v>25</v>
      </c>
      <c r="G2099" s="4" t="s">
        <v>25</v>
      </c>
      <c r="H2099" s="4" t="s">
        <v>25</v>
      </c>
      <c r="I2099" s="5">
        <v>44440</v>
      </c>
      <c r="J2099" s="6">
        <v>0</v>
      </c>
      <c r="K2099" s="6">
        <v>0</v>
      </c>
      <c r="L2099" s="6">
        <v>2584.3319999999999</v>
      </c>
      <c r="M2099" s="6">
        <v>2584.3319999999999</v>
      </c>
      <c r="N2099" s="6">
        <v>2584.3319999999999</v>
      </c>
      <c r="O2099" s="6">
        <v>2584.3319999999999</v>
      </c>
      <c r="P2099" s="6">
        <v>3169</v>
      </c>
      <c r="Q2099" s="4" t="s">
        <v>26</v>
      </c>
      <c r="R2099" s="4">
        <v>0</v>
      </c>
      <c r="S2099" s="6">
        <v>0</v>
      </c>
      <c r="T2099" s="6">
        <v>57</v>
      </c>
      <c r="U2099" s="6">
        <v>100</v>
      </c>
      <c r="V2099" s="6">
        <f>IF(ISERROR(VLOOKUP($S$2099,'TAR FIN'!$A$1:$O$104,15,0)),0,VLOOKUP($S$2099,'TAR FIN'!$A$1:$O$104,15,0))</f>
        <v>0</v>
      </c>
      <c r="W2099" s="6">
        <f>IF(ISERROR(VLOOKUP($T$2099,'TAR FIN'!$A$1:$O$104,15,0)),0,VLOOKUP($T$2099,'TAR FIN'!$A$1:$O$104,15,0))</f>
        <v>341.2</v>
      </c>
      <c r="X2099" s="6">
        <f>IF(ISERROR(VLOOKUP($U$2099,'TAR FIN'!$A$1:$O$104,15,0)),0,VLOOKUP($U$2099,'TAR FIN'!$A$1:$O$104,15,0))</f>
        <v>255.72</v>
      </c>
      <c r="Y2099" s="6"/>
      <c r="Z2099" s="6">
        <f ca="1">('TUSD BE'!$AM$62+'TUSD BF'!$AM$62+'TUSD CVA'!$AM$62)*1</f>
        <v>356.61002995987536</v>
      </c>
      <c r="AA2099" s="6">
        <f>('TE BE'!$AB$41+'TE BF'!$AB$41+'TE CVA'!$AB$41)*1</f>
        <v>242.47071701268419</v>
      </c>
      <c r="AB2099" s="6">
        <f>$K$2099*$V$2099</f>
        <v>0</v>
      </c>
      <c r="AC2099" s="6">
        <f>$M$2099*$W$2099</f>
        <v>881774.07839999988</v>
      </c>
      <c r="AD2099" s="6">
        <f>$O$2099*$X$2099</f>
        <v>660865.37903999991</v>
      </c>
      <c r="AE2099" s="6">
        <f>$K$2099*$Y$2099</f>
        <v>0</v>
      </c>
      <c r="AF2099" s="6">
        <f ca="1">$M$2099*$Z$2099</f>
        <v>921598.71194626461</v>
      </c>
      <c r="AG2099" s="6">
        <f>$O$2099*$AA$2099</f>
        <v>626624.83303882414</v>
      </c>
    </row>
    <row r="2100" spans="1:33" ht="11.25" customHeight="1" x14ac:dyDescent="0.25">
      <c r="A2100" s="4" t="s">
        <v>27</v>
      </c>
      <c r="B2100" s="4" t="s">
        <v>37</v>
      </c>
      <c r="C2100" s="4" t="s">
        <v>23</v>
      </c>
      <c r="D2100" s="4" t="s">
        <v>38</v>
      </c>
      <c r="E2100" s="4" t="s">
        <v>25</v>
      </c>
      <c r="F2100" s="4" t="s">
        <v>25</v>
      </c>
      <c r="G2100" s="4" t="s">
        <v>25</v>
      </c>
      <c r="H2100" s="4" t="s">
        <v>25</v>
      </c>
      <c r="I2100" s="5">
        <v>44440</v>
      </c>
      <c r="J2100" s="6">
        <v>0</v>
      </c>
      <c r="K2100" s="6">
        <v>0</v>
      </c>
      <c r="L2100" s="6">
        <v>-5.7430000000000003</v>
      </c>
      <c r="M2100" s="6">
        <v>-5.7430000000000003</v>
      </c>
      <c r="N2100" s="6">
        <v>-5.7430000000000003</v>
      </c>
      <c r="O2100" s="6">
        <v>-5.7430000000000003</v>
      </c>
      <c r="P2100" s="6">
        <v>-1</v>
      </c>
      <c r="Q2100" s="4" t="s">
        <v>26</v>
      </c>
      <c r="R2100" s="4">
        <v>0</v>
      </c>
      <c r="S2100" s="6">
        <v>0</v>
      </c>
      <c r="T2100" s="6">
        <v>57</v>
      </c>
      <c r="U2100" s="6">
        <v>100</v>
      </c>
      <c r="V2100" s="6">
        <f>IF(ISERROR(VLOOKUP($S$2100,'TAR FIN'!$A$1:$O$104,15,0)),0,VLOOKUP($S$2100,'TAR FIN'!$A$1:$O$104,15,0))</f>
        <v>0</v>
      </c>
      <c r="W2100" s="6">
        <f>IF(ISERROR(VLOOKUP($T$2100,'TAR FIN'!$A$1:$O$104,15,0)),0,VLOOKUP($T$2100,'TAR FIN'!$A$1:$O$104,15,0))</f>
        <v>341.2</v>
      </c>
      <c r="X2100" s="6">
        <f>IF(ISERROR(VLOOKUP($U$2100,'TAR FIN'!$A$1:$O$104,15,0)),0,VLOOKUP($U$2100,'TAR FIN'!$A$1:$O$104,15,0))</f>
        <v>255.72</v>
      </c>
      <c r="Y2100" s="6"/>
      <c r="Z2100" s="6">
        <f ca="1">('TUSD BE'!$AM$62+'TUSD BF'!$AM$62+'TUSD CVA'!$AM$62)*1</f>
        <v>356.61002995987536</v>
      </c>
      <c r="AA2100" s="6">
        <f>('TE BE'!$AB$41+'TE BF'!$AB$41+'TE CVA'!$AB$41)*1</f>
        <v>242.47071701268419</v>
      </c>
      <c r="AB2100" s="6">
        <f>$K$2100*$V$2100</f>
        <v>0</v>
      </c>
      <c r="AC2100" s="6">
        <f>$M$2100*$W$2100</f>
        <v>-1959.5116</v>
      </c>
      <c r="AD2100" s="6">
        <f>$O$2100*$X$2100</f>
        <v>-1468.59996</v>
      </c>
      <c r="AE2100" s="6">
        <f>$K$2100*$Y$2100</f>
        <v>0</v>
      </c>
      <c r="AF2100" s="6">
        <f ca="1">$M$2100*$Z$2100</f>
        <v>-2048.0114020595643</v>
      </c>
      <c r="AG2100" s="6">
        <f>$O$2100*$AA$2100</f>
        <v>-1392.5093278038453</v>
      </c>
    </row>
    <row r="2101" spans="1:33" ht="11.25" customHeight="1" x14ac:dyDescent="0.25">
      <c r="A2101" s="4" t="s">
        <v>28</v>
      </c>
      <c r="B2101" s="4" t="s">
        <v>37</v>
      </c>
      <c r="C2101" s="4" t="s">
        <v>23</v>
      </c>
      <c r="D2101" s="4" t="s">
        <v>38</v>
      </c>
      <c r="E2101" s="4" t="s">
        <v>25</v>
      </c>
      <c r="F2101" s="4" t="s">
        <v>25</v>
      </c>
      <c r="G2101" s="4" t="s">
        <v>25</v>
      </c>
      <c r="H2101" s="4" t="s">
        <v>25</v>
      </c>
      <c r="I2101" s="5">
        <v>44440</v>
      </c>
      <c r="J2101" s="6">
        <v>0</v>
      </c>
      <c r="K2101" s="6">
        <v>0</v>
      </c>
      <c r="L2101" s="6">
        <v>419.82499999999999</v>
      </c>
      <c r="M2101" s="6">
        <v>419.82499999999999</v>
      </c>
      <c r="N2101" s="6">
        <v>419.82499999999999</v>
      </c>
      <c r="O2101" s="6">
        <v>419.82499999999999</v>
      </c>
      <c r="P2101" s="6">
        <v>390</v>
      </c>
      <c r="Q2101" s="4" t="s">
        <v>26</v>
      </c>
      <c r="R2101" s="4">
        <v>0</v>
      </c>
      <c r="S2101" s="6">
        <v>0</v>
      </c>
      <c r="T2101" s="6">
        <v>57</v>
      </c>
      <c r="U2101" s="6">
        <v>100</v>
      </c>
      <c r="V2101" s="6">
        <f>IF(ISERROR(VLOOKUP($S$2101,'TAR FIN'!$A$1:$O$104,15,0)),0,VLOOKUP($S$2101,'TAR FIN'!$A$1:$O$104,15,0))</f>
        <v>0</v>
      </c>
      <c r="W2101" s="6">
        <f>IF(ISERROR(VLOOKUP($T$2101,'TAR FIN'!$A$1:$O$104,15,0)),0,VLOOKUP($T$2101,'TAR FIN'!$A$1:$O$104,15,0))</f>
        <v>341.2</v>
      </c>
      <c r="X2101" s="6">
        <f>IF(ISERROR(VLOOKUP($U$2101,'TAR FIN'!$A$1:$O$104,15,0)),0,VLOOKUP($U$2101,'TAR FIN'!$A$1:$O$104,15,0))</f>
        <v>255.72</v>
      </c>
      <c r="Y2101" s="6"/>
      <c r="Z2101" s="6">
        <f ca="1">('TUSD BE'!$AM$62+'TUSD BF'!$AM$62+'TUSD CVA'!$AM$62)*1</f>
        <v>356.61002995987536</v>
      </c>
      <c r="AA2101" s="6">
        <f>('TE BE'!$AB$41+'TE BF'!$AB$41+'TE CVA'!$AB$41)*1</f>
        <v>242.47071701268419</v>
      </c>
      <c r="AB2101" s="6">
        <f>$K$2101*$V$2101</f>
        <v>0</v>
      </c>
      <c r="AC2101" s="6">
        <f>$M$2101*$W$2101</f>
        <v>143244.28999999998</v>
      </c>
      <c r="AD2101" s="6">
        <f>$O$2101*$X$2101</f>
        <v>107357.64899999999</v>
      </c>
      <c r="AE2101" s="6">
        <f>$K$2101*$Y$2101</f>
        <v>0</v>
      </c>
      <c r="AF2101" s="6">
        <f ca="1">$M$2101*$Z$2101</f>
        <v>149713.80582790467</v>
      </c>
      <c r="AG2101" s="6">
        <f>$O$2101*$AA$2101</f>
        <v>101795.26876985014</v>
      </c>
    </row>
    <row r="2102" spans="1:33" ht="11.25" customHeight="1" x14ac:dyDescent="0.25">
      <c r="A2102" s="4" t="s">
        <v>28</v>
      </c>
      <c r="B2102" s="4" t="s">
        <v>37</v>
      </c>
      <c r="C2102" s="4" t="s">
        <v>23</v>
      </c>
      <c r="D2102" s="4" t="s">
        <v>38</v>
      </c>
      <c r="E2102" s="4" t="s">
        <v>25</v>
      </c>
      <c r="F2102" s="4" t="s">
        <v>25</v>
      </c>
      <c r="G2102" s="4" t="s">
        <v>25</v>
      </c>
      <c r="H2102" s="4" t="s">
        <v>25</v>
      </c>
      <c r="I2102" s="5">
        <v>44440</v>
      </c>
      <c r="J2102" s="6">
        <v>0</v>
      </c>
      <c r="K2102" s="6">
        <v>0</v>
      </c>
      <c r="L2102" s="6">
        <v>-2.9350000000000001</v>
      </c>
      <c r="M2102" s="6">
        <v>-2.9350000000000001</v>
      </c>
      <c r="N2102" s="6">
        <v>-2.9350000000000001</v>
      </c>
      <c r="O2102" s="6">
        <v>-2.9350000000000001</v>
      </c>
      <c r="P2102" s="6">
        <v>0</v>
      </c>
      <c r="Q2102" s="4" t="s">
        <v>26</v>
      </c>
      <c r="R2102" s="4">
        <v>0</v>
      </c>
      <c r="S2102" s="6">
        <v>0</v>
      </c>
      <c r="T2102" s="6">
        <v>57</v>
      </c>
      <c r="U2102" s="6">
        <v>100</v>
      </c>
      <c r="V2102" s="6">
        <f>IF(ISERROR(VLOOKUP($S$2102,'TAR FIN'!$A$1:$O$104,15,0)),0,VLOOKUP($S$2102,'TAR FIN'!$A$1:$O$104,15,0))</f>
        <v>0</v>
      </c>
      <c r="W2102" s="6">
        <f>IF(ISERROR(VLOOKUP($T$2102,'TAR FIN'!$A$1:$O$104,15,0)),0,VLOOKUP($T$2102,'TAR FIN'!$A$1:$O$104,15,0))</f>
        <v>341.2</v>
      </c>
      <c r="X2102" s="6">
        <f>IF(ISERROR(VLOOKUP($U$2102,'TAR FIN'!$A$1:$O$104,15,0)),0,VLOOKUP($U$2102,'TAR FIN'!$A$1:$O$104,15,0))</f>
        <v>255.72</v>
      </c>
      <c r="Y2102" s="6"/>
      <c r="Z2102" s="6">
        <f ca="1">('TUSD BE'!$AM$62+'TUSD BF'!$AM$62+'TUSD CVA'!$AM$62)*1</f>
        <v>356.61002995987536</v>
      </c>
      <c r="AA2102" s="6">
        <f>('TE BE'!$AB$41+'TE BF'!$AB$41+'TE CVA'!$AB$41)*1</f>
        <v>242.47071701268419</v>
      </c>
      <c r="AB2102" s="6">
        <f>$K$2102*$V$2102</f>
        <v>0</v>
      </c>
      <c r="AC2102" s="6">
        <f>$M$2102*$W$2102</f>
        <v>-1001.422</v>
      </c>
      <c r="AD2102" s="6">
        <f>$O$2102*$X$2102</f>
        <v>-750.53819999999996</v>
      </c>
      <c r="AE2102" s="6">
        <f>$K$2102*$Y$2102</f>
        <v>0</v>
      </c>
      <c r="AF2102" s="6">
        <f ca="1">$M$2102*$Z$2102</f>
        <v>-1046.6504379322341</v>
      </c>
      <c r="AG2102" s="6">
        <f>$O$2102*$AA$2102</f>
        <v>-711.65155443222807</v>
      </c>
    </row>
    <row r="2103" spans="1:33" ht="11.25" customHeight="1" x14ac:dyDescent="0.25">
      <c r="A2103" s="4" t="s">
        <v>21</v>
      </c>
      <c r="B2103" s="4" t="s">
        <v>37</v>
      </c>
      <c r="C2103" s="4" t="s">
        <v>23</v>
      </c>
      <c r="D2103" s="4" t="s">
        <v>38</v>
      </c>
      <c r="E2103" s="4" t="s">
        <v>25</v>
      </c>
      <c r="F2103" s="4" t="s">
        <v>25</v>
      </c>
      <c r="G2103" s="4" t="s">
        <v>25</v>
      </c>
      <c r="H2103" s="4" t="s">
        <v>25</v>
      </c>
      <c r="I2103" s="5">
        <v>44470</v>
      </c>
      <c r="J2103" s="6">
        <v>0</v>
      </c>
      <c r="K2103" s="6">
        <v>0</v>
      </c>
      <c r="L2103" s="6">
        <v>2652.7820000000002</v>
      </c>
      <c r="M2103" s="6">
        <v>2652.7820000000002</v>
      </c>
      <c r="N2103" s="6">
        <v>2652.7820000000002</v>
      </c>
      <c r="O2103" s="6">
        <v>2652.7820000000002</v>
      </c>
      <c r="P2103" s="6">
        <v>3158</v>
      </c>
      <c r="Q2103" s="4" t="s">
        <v>26</v>
      </c>
      <c r="R2103" s="4">
        <v>0</v>
      </c>
      <c r="S2103" s="6">
        <v>0</v>
      </c>
      <c r="T2103" s="6">
        <v>57</v>
      </c>
      <c r="U2103" s="6">
        <v>100</v>
      </c>
      <c r="V2103" s="6">
        <f>IF(ISERROR(VLOOKUP($S$2103,'TAR FIN'!$A$1:$O$104,15,0)),0,VLOOKUP($S$2103,'TAR FIN'!$A$1:$O$104,15,0))</f>
        <v>0</v>
      </c>
      <c r="W2103" s="6">
        <f>IF(ISERROR(VLOOKUP($T$2103,'TAR FIN'!$A$1:$O$104,15,0)),0,VLOOKUP($T$2103,'TAR FIN'!$A$1:$O$104,15,0))</f>
        <v>341.2</v>
      </c>
      <c r="X2103" s="6">
        <f>IF(ISERROR(VLOOKUP($U$2103,'TAR FIN'!$A$1:$O$104,15,0)),0,VLOOKUP($U$2103,'TAR FIN'!$A$1:$O$104,15,0))</f>
        <v>255.72</v>
      </c>
      <c r="Y2103" s="6"/>
      <c r="Z2103" s="6">
        <f ca="1">('TUSD BE'!$AM$62+'TUSD BF'!$AM$62+'TUSD CVA'!$AM$62)*1</f>
        <v>356.61002995987536</v>
      </c>
      <c r="AA2103" s="6">
        <f>('TE BE'!$AB$41+'TE BF'!$AB$41+'TE CVA'!$AB$41)*1</f>
        <v>242.47071701268419</v>
      </c>
      <c r="AB2103" s="6">
        <f>$K$2103*$V$2103</f>
        <v>0</v>
      </c>
      <c r="AC2103" s="6">
        <f>$M$2103*$W$2103</f>
        <v>905129.21840000001</v>
      </c>
      <c r="AD2103" s="6">
        <f>$O$2103*$X$2103</f>
        <v>678369.41304000001</v>
      </c>
      <c r="AE2103" s="6">
        <f>$K$2103*$Y$2103</f>
        <v>0</v>
      </c>
      <c r="AF2103" s="6">
        <f ca="1">$M$2103*$Z$2103</f>
        <v>946008.66849701817</v>
      </c>
      <c r="AG2103" s="6">
        <f>$O$2103*$AA$2103</f>
        <v>643221.95361834241</v>
      </c>
    </row>
    <row r="2104" spans="1:33" ht="11.25" customHeight="1" x14ac:dyDescent="0.25">
      <c r="A2104" s="4" t="s">
        <v>27</v>
      </c>
      <c r="B2104" s="4" t="s">
        <v>37</v>
      </c>
      <c r="C2104" s="4" t="s">
        <v>23</v>
      </c>
      <c r="D2104" s="4" t="s">
        <v>38</v>
      </c>
      <c r="E2104" s="4" t="s">
        <v>25</v>
      </c>
      <c r="F2104" s="4" t="s">
        <v>25</v>
      </c>
      <c r="G2104" s="4" t="s">
        <v>25</v>
      </c>
      <c r="H2104" s="4" t="s">
        <v>25</v>
      </c>
      <c r="I2104" s="5">
        <v>44470</v>
      </c>
      <c r="J2104" s="6">
        <v>0</v>
      </c>
      <c r="K2104" s="6">
        <v>0</v>
      </c>
      <c r="L2104" s="6">
        <v>-8.1000000000000003E-2</v>
      </c>
      <c r="M2104" s="6">
        <v>-8.1000000000000003E-2</v>
      </c>
      <c r="N2104" s="6">
        <v>-8.1000000000000003E-2</v>
      </c>
      <c r="O2104" s="6">
        <v>-8.1000000000000003E-2</v>
      </c>
      <c r="P2104" s="6">
        <v>0</v>
      </c>
      <c r="Q2104" s="4" t="s">
        <v>26</v>
      </c>
      <c r="R2104" s="4">
        <v>0</v>
      </c>
      <c r="S2104" s="6">
        <v>0</v>
      </c>
      <c r="T2104" s="6">
        <v>57</v>
      </c>
      <c r="U2104" s="6">
        <v>100</v>
      </c>
      <c r="V2104" s="6">
        <f>IF(ISERROR(VLOOKUP($S$2104,'TAR FIN'!$A$1:$O$104,15,0)),0,VLOOKUP($S$2104,'TAR FIN'!$A$1:$O$104,15,0))</f>
        <v>0</v>
      </c>
      <c r="W2104" s="6">
        <f>IF(ISERROR(VLOOKUP($T$2104,'TAR FIN'!$A$1:$O$104,15,0)),0,VLOOKUP($T$2104,'TAR FIN'!$A$1:$O$104,15,0))</f>
        <v>341.2</v>
      </c>
      <c r="X2104" s="6">
        <f>IF(ISERROR(VLOOKUP($U$2104,'TAR FIN'!$A$1:$O$104,15,0)),0,VLOOKUP($U$2104,'TAR FIN'!$A$1:$O$104,15,0))</f>
        <v>255.72</v>
      </c>
      <c r="Y2104" s="6"/>
      <c r="Z2104" s="6">
        <f ca="1">('TUSD BE'!$AM$62+'TUSD BF'!$AM$62+'TUSD CVA'!$AM$62)*1</f>
        <v>356.61002995987536</v>
      </c>
      <c r="AA2104" s="6">
        <f>('TE BE'!$AB$41+'TE BF'!$AB$41+'TE CVA'!$AB$41)*1</f>
        <v>242.47071701268419</v>
      </c>
      <c r="AB2104" s="6">
        <f>$K$2104*$V$2104</f>
        <v>0</v>
      </c>
      <c r="AC2104" s="6">
        <f>$M$2104*$W$2104</f>
        <v>-27.6372</v>
      </c>
      <c r="AD2104" s="6">
        <f>$O$2104*$X$2104</f>
        <v>-20.71332</v>
      </c>
      <c r="AE2104" s="6">
        <f>$K$2104*$Y$2104</f>
        <v>0</v>
      </c>
      <c r="AF2104" s="6">
        <f ca="1">$M$2104*$Z$2104</f>
        <v>-28.885412426749905</v>
      </c>
      <c r="AG2104" s="6">
        <f>$O$2104*$AA$2104</f>
        <v>-19.64012807802742</v>
      </c>
    </row>
    <row r="2105" spans="1:33" ht="11.25" customHeight="1" x14ac:dyDescent="0.25">
      <c r="A2105" s="4" t="s">
        <v>28</v>
      </c>
      <c r="B2105" s="4" t="s">
        <v>37</v>
      </c>
      <c r="C2105" s="4" t="s">
        <v>23</v>
      </c>
      <c r="D2105" s="4" t="s">
        <v>38</v>
      </c>
      <c r="E2105" s="4" t="s">
        <v>25</v>
      </c>
      <c r="F2105" s="4" t="s">
        <v>25</v>
      </c>
      <c r="G2105" s="4" t="s">
        <v>25</v>
      </c>
      <c r="H2105" s="4" t="s">
        <v>25</v>
      </c>
      <c r="I2105" s="5">
        <v>44470</v>
      </c>
      <c r="J2105" s="6">
        <v>0</v>
      </c>
      <c r="K2105" s="6">
        <v>0</v>
      </c>
      <c r="L2105" s="6">
        <v>417.13099999999997</v>
      </c>
      <c r="M2105" s="6">
        <v>417.13099999999997</v>
      </c>
      <c r="N2105" s="6">
        <v>417.13099999999997</v>
      </c>
      <c r="O2105" s="6">
        <v>417.13099999999997</v>
      </c>
      <c r="P2105" s="6">
        <v>414</v>
      </c>
      <c r="Q2105" s="4" t="s">
        <v>26</v>
      </c>
      <c r="R2105" s="4">
        <v>0</v>
      </c>
      <c r="S2105" s="6">
        <v>0</v>
      </c>
      <c r="T2105" s="6">
        <v>57</v>
      </c>
      <c r="U2105" s="6">
        <v>100</v>
      </c>
      <c r="V2105" s="6">
        <f>IF(ISERROR(VLOOKUP($S$2105,'TAR FIN'!$A$1:$O$104,15,0)),0,VLOOKUP($S$2105,'TAR FIN'!$A$1:$O$104,15,0))</f>
        <v>0</v>
      </c>
      <c r="W2105" s="6">
        <f>IF(ISERROR(VLOOKUP($T$2105,'TAR FIN'!$A$1:$O$104,15,0)),0,VLOOKUP($T$2105,'TAR FIN'!$A$1:$O$104,15,0))</f>
        <v>341.2</v>
      </c>
      <c r="X2105" s="6">
        <f>IF(ISERROR(VLOOKUP($U$2105,'TAR FIN'!$A$1:$O$104,15,0)),0,VLOOKUP($U$2105,'TAR FIN'!$A$1:$O$104,15,0))</f>
        <v>255.72</v>
      </c>
      <c r="Y2105" s="6"/>
      <c r="Z2105" s="6">
        <f ca="1">('TUSD BE'!$AM$62+'TUSD BF'!$AM$62+'TUSD CVA'!$AM$62)*1</f>
        <v>356.61002995987536</v>
      </c>
      <c r="AA2105" s="6">
        <f>('TE BE'!$AB$41+'TE BF'!$AB$41+'TE CVA'!$AB$41)*1</f>
        <v>242.47071701268419</v>
      </c>
      <c r="AB2105" s="6">
        <f>$K$2105*$V$2105</f>
        <v>0</v>
      </c>
      <c r="AC2105" s="6">
        <f>$M$2105*$W$2105</f>
        <v>142325.09719999999</v>
      </c>
      <c r="AD2105" s="6">
        <f>$O$2105*$X$2105</f>
        <v>106668.73931999999</v>
      </c>
      <c r="AE2105" s="6">
        <f>$K$2105*$Y$2105</f>
        <v>0</v>
      </c>
      <c r="AF2105" s="6">
        <f ca="1">$M$2105*$Z$2105</f>
        <v>148753.09840719277</v>
      </c>
      <c r="AG2105" s="6">
        <f>$O$2105*$AA$2105</f>
        <v>101142.05265821796</v>
      </c>
    </row>
    <row r="2106" spans="1:33" ht="11.25" customHeight="1" x14ac:dyDescent="0.25">
      <c r="A2106" s="4" t="s">
        <v>28</v>
      </c>
      <c r="B2106" s="4" t="s">
        <v>37</v>
      </c>
      <c r="C2106" s="4" t="s">
        <v>23</v>
      </c>
      <c r="D2106" s="4" t="s">
        <v>38</v>
      </c>
      <c r="E2106" s="4" t="s">
        <v>25</v>
      </c>
      <c r="F2106" s="4" t="s">
        <v>25</v>
      </c>
      <c r="G2106" s="4" t="s">
        <v>25</v>
      </c>
      <c r="H2106" s="4" t="s">
        <v>25</v>
      </c>
      <c r="I2106" s="5">
        <v>44470</v>
      </c>
      <c r="J2106" s="6">
        <v>0</v>
      </c>
      <c r="K2106" s="6">
        <v>0</v>
      </c>
      <c r="L2106" s="6">
        <v>7.8979999999999997</v>
      </c>
      <c r="M2106" s="6">
        <v>7.8979999999999997</v>
      </c>
      <c r="N2106" s="6">
        <v>7.8979999999999997</v>
      </c>
      <c r="O2106" s="6">
        <v>7.8979999999999997</v>
      </c>
      <c r="P2106" s="6">
        <v>1</v>
      </c>
      <c r="Q2106" s="4" t="s">
        <v>26</v>
      </c>
      <c r="R2106" s="4">
        <v>0</v>
      </c>
      <c r="S2106" s="6">
        <v>0</v>
      </c>
      <c r="T2106" s="6">
        <v>57</v>
      </c>
      <c r="U2106" s="6">
        <v>100</v>
      </c>
      <c r="V2106" s="6">
        <f>IF(ISERROR(VLOOKUP($S$2106,'TAR FIN'!$A$1:$O$104,15,0)),0,VLOOKUP($S$2106,'TAR FIN'!$A$1:$O$104,15,0))</f>
        <v>0</v>
      </c>
      <c r="W2106" s="6">
        <f>IF(ISERROR(VLOOKUP($T$2106,'TAR FIN'!$A$1:$O$104,15,0)),0,VLOOKUP($T$2106,'TAR FIN'!$A$1:$O$104,15,0))</f>
        <v>341.2</v>
      </c>
      <c r="X2106" s="6">
        <f>IF(ISERROR(VLOOKUP($U$2106,'TAR FIN'!$A$1:$O$104,15,0)),0,VLOOKUP($U$2106,'TAR FIN'!$A$1:$O$104,15,0))</f>
        <v>255.72</v>
      </c>
      <c r="Y2106" s="6"/>
      <c r="Z2106" s="6">
        <f ca="1">('TUSD BE'!$AM$62+'TUSD BF'!$AM$62+'TUSD CVA'!$AM$62)*1</f>
        <v>356.61002995987536</v>
      </c>
      <c r="AA2106" s="6">
        <f>('TE BE'!$AB$41+'TE BF'!$AB$41+'TE CVA'!$AB$41)*1</f>
        <v>242.47071701268419</v>
      </c>
      <c r="AB2106" s="6">
        <f>$K$2106*$V$2106</f>
        <v>0</v>
      </c>
      <c r="AC2106" s="6">
        <f>$M$2106*$W$2106</f>
        <v>2694.7975999999999</v>
      </c>
      <c r="AD2106" s="6">
        <f>$O$2106*$X$2106</f>
        <v>2019.6765599999999</v>
      </c>
      <c r="AE2106" s="6">
        <f>$K$2106*$Y$2106</f>
        <v>0</v>
      </c>
      <c r="AF2106" s="6">
        <f ca="1">$M$2106*$Z$2106</f>
        <v>2816.5060166230955</v>
      </c>
      <c r="AG2106" s="6">
        <f>$O$2106*$AA$2106</f>
        <v>1915.0337229661798</v>
      </c>
    </row>
    <row r="2107" spans="1:33" ht="11.25" customHeight="1" x14ac:dyDescent="0.25">
      <c r="A2107" s="4" t="s">
        <v>21</v>
      </c>
      <c r="B2107" s="4" t="s">
        <v>37</v>
      </c>
      <c r="C2107" s="4" t="s">
        <v>23</v>
      </c>
      <c r="D2107" s="4" t="s">
        <v>38</v>
      </c>
      <c r="E2107" s="4" t="s">
        <v>25</v>
      </c>
      <c r="F2107" s="4" t="s">
        <v>25</v>
      </c>
      <c r="G2107" s="4" t="s">
        <v>25</v>
      </c>
      <c r="H2107" s="4" t="s">
        <v>25</v>
      </c>
      <c r="I2107" s="5">
        <v>44501</v>
      </c>
      <c r="J2107" s="6">
        <v>0</v>
      </c>
      <c r="K2107" s="6">
        <v>0</v>
      </c>
      <c r="L2107" s="6">
        <v>2483.2800000000002</v>
      </c>
      <c r="M2107" s="6">
        <v>2483.2800000000002</v>
      </c>
      <c r="N2107" s="6">
        <v>2483.2800000000002</v>
      </c>
      <c r="O2107" s="6">
        <v>2483.2800000000002</v>
      </c>
      <c r="P2107" s="6">
        <v>3145</v>
      </c>
      <c r="Q2107" s="4" t="s">
        <v>26</v>
      </c>
      <c r="R2107" s="4">
        <v>0</v>
      </c>
      <c r="S2107" s="6">
        <v>0</v>
      </c>
      <c r="T2107" s="6">
        <v>57</v>
      </c>
      <c r="U2107" s="6">
        <v>100</v>
      </c>
      <c r="V2107" s="6">
        <f>IF(ISERROR(VLOOKUP($S$2107,'TAR FIN'!$A$1:$O$104,15,0)),0,VLOOKUP($S$2107,'TAR FIN'!$A$1:$O$104,15,0))</f>
        <v>0</v>
      </c>
      <c r="W2107" s="6">
        <f>IF(ISERROR(VLOOKUP($T$2107,'TAR FIN'!$A$1:$O$104,15,0)),0,VLOOKUP($T$2107,'TAR FIN'!$A$1:$O$104,15,0))</f>
        <v>341.2</v>
      </c>
      <c r="X2107" s="6">
        <f>IF(ISERROR(VLOOKUP($U$2107,'TAR FIN'!$A$1:$O$104,15,0)),0,VLOOKUP($U$2107,'TAR FIN'!$A$1:$O$104,15,0))</f>
        <v>255.72</v>
      </c>
      <c r="Y2107" s="6"/>
      <c r="Z2107" s="6">
        <f ca="1">('TUSD BE'!$AM$62+'TUSD BF'!$AM$62+'TUSD CVA'!$AM$62)*1</f>
        <v>356.61002995987536</v>
      </c>
      <c r="AA2107" s="6">
        <f>('TE BE'!$AB$41+'TE BF'!$AB$41+'TE CVA'!$AB$41)*1</f>
        <v>242.47071701268419</v>
      </c>
      <c r="AB2107" s="6">
        <f>$K$2107*$V$2107</f>
        <v>0</v>
      </c>
      <c r="AC2107" s="6">
        <f>$M$2107*$W$2107</f>
        <v>847295.13600000006</v>
      </c>
      <c r="AD2107" s="6">
        <f>$O$2107*$X$2107</f>
        <v>635024.36160000006</v>
      </c>
      <c r="AE2107" s="6">
        <f>$K$2107*$Y$2107</f>
        <v>0</v>
      </c>
      <c r="AF2107" s="6">
        <f ca="1">$M$2107*$Z$2107</f>
        <v>885562.55519875931</v>
      </c>
      <c r="AG2107" s="6">
        <f>$O$2107*$AA$2107</f>
        <v>602122.6821432584</v>
      </c>
    </row>
    <row r="2108" spans="1:33" ht="11.25" customHeight="1" x14ac:dyDescent="0.25">
      <c r="A2108" s="4" t="s">
        <v>27</v>
      </c>
      <c r="B2108" s="4" t="s">
        <v>37</v>
      </c>
      <c r="C2108" s="4" t="s">
        <v>23</v>
      </c>
      <c r="D2108" s="4" t="s">
        <v>38</v>
      </c>
      <c r="E2108" s="4" t="s">
        <v>25</v>
      </c>
      <c r="F2108" s="4" t="s">
        <v>25</v>
      </c>
      <c r="G2108" s="4" t="s">
        <v>25</v>
      </c>
      <c r="H2108" s="4" t="s">
        <v>25</v>
      </c>
      <c r="I2108" s="5">
        <v>44501</v>
      </c>
      <c r="J2108" s="6">
        <v>0</v>
      </c>
      <c r="K2108" s="6">
        <v>0</v>
      </c>
      <c r="L2108" s="6">
        <v>-0.1</v>
      </c>
      <c r="M2108" s="6">
        <v>-0.1</v>
      </c>
      <c r="N2108" s="6">
        <v>-0.1</v>
      </c>
      <c r="O2108" s="6">
        <v>-0.1</v>
      </c>
      <c r="P2108" s="6">
        <v>-1</v>
      </c>
      <c r="Q2108" s="4" t="s">
        <v>26</v>
      </c>
      <c r="R2108" s="4">
        <v>0</v>
      </c>
      <c r="S2108" s="6">
        <v>0</v>
      </c>
      <c r="T2108" s="6">
        <v>57</v>
      </c>
      <c r="U2108" s="6">
        <v>100</v>
      </c>
      <c r="V2108" s="6">
        <f>IF(ISERROR(VLOOKUP($S$2108,'TAR FIN'!$A$1:$O$104,15,0)),0,VLOOKUP($S$2108,'TAR FIN'!$A$1:$O$104,15,0))</f>
        <v>0</v>
      </c>
      <c r="W2108" s="6">
        <f>IF(ISERROR(VLOOKUP($T$2108,'TAR FIN'!$A$1:$O$104,15,0)),0,VLOOKUP($T$2108,'TAR FIN'!$A$1:$O$104,15,0))</f>
        <v>341.2</v>
      </c>
      <c r="X2108" s="6">
        <f>IF(ISERROR(VLOOKUP($U$2108,'TAR FIN'!$A$1:$O$104,15,0)),0,VLOOKUP($U$2108,'TAR FIN'!$A$1:$O$104,15,0))</f>
        <v>255.72</v>
      </c>
      <c r="Y2108" s="6"/>
      <c r="Z2108" s="6">
        <f ca="1">('TUSD BE'!$AM$62+'TUSD BF'!$AM$62+'TUSD CVA'!$AM$62)*1</f>
        <v>356.61002995987536</v>
      </c>
      <c r="AA2108" s="6">
        <f>('TE BE'!$AB$41+'TE BF'!$AB$41+'TE CVA'!$AB$41)*1</f>
        <v>242.47071701268419</v>
      </c>
      <c r="AB2108" s="6">
        <f>$K$2108*$V$2108</f>
        <v>0</v>
      </c>
      <c r="AC2108" s="6">
        <f>$M$2108*$W$2108</f>
        <v>-34.119999999999997</v>
      </c>
      <c r="AD2108" s="6">
        <f>$O$2108*$X$2108</f>
        <v>-25.572000000000003</v>
      </c>
      <c r="AE2108" s="6">
        <f>$K$2108*$Y$2108</f>
        <v>0</v>
      </c>
      <c r="AF2108" s="6">
        <f ca="1">$M$2108*$Z$2108</f>
        <v>-35.661002995987538</v>
      </c>
      <c r="AG2108" s="6">
        <f>$O$2108*$AA$2108</f>
        <v>-24.247071701268421</v>
      </c>
    </row>
    <row r="2109" spans="1:33" ht="11.25" customHeight="1" x14ac:dyDescent="0.25">
      <c r="A2109" s="4" t="s">
        <v>28</v>
      </c>
      <c r="B2109" s="4" t="s">
        <v>37</v>
      </c>
      <c r="C2109" s="4" t="s">
        <v>23</v>
      </c>
      <c r="D2109" s="4" t="s">
        <v>38</v>
      </c>
      <c r="E2109" s="4" t="s">
        <v>25</v>
      </c>
      <c r="F2109" s="4" t="s">
        <v>25</v>
      </c>
      <c r="G2109" s="4" t="s">
        <v>25</v>
      </c>
      <c r="H2109" s="4" t="s">
        <v>25</v>
      </c>
      <c r="I2109" s="5">
        <v>44501</v>
      </c>
      <c r="J2109" s="6">
        <v>0</v>
      </c>
      <c r="K2109" s="6">
        <v>0</v>
      </c>
      <c r="L2109" s="6">
        <v>423.94</v>
      </c>
      <c r="M2109" s="6">
        <v>423.94</v>
      </c>
      <c r="N2109" s="6">
        <v>423.94</v>
      </c>
      <c r="O2109" s="6">
        <v>423.94</v>
      </c>
      <c r="P2109" s="6">
        <v>425</v>
      </c>
      <c r="Q2109" s="4" t="s">
        <v>26</v>
      </c>
      <c r="R2109" s="4">
        <v>0</v>
      </c>
      <c r="S2109" s="6">
        <v>0</v>
      </c>
      <c r="T2109" s="6">
        <v>57</v>
      </c>
      <c r="U2109" s="6">
        <v>100</v>
      </c>
      <c r="V2109" s="6">
        <f>IF(ISERROR(VLOOKUP($S$2109,'TAR FIN'!$A$1:$O$104,15,0)),0,VLOOKUP($S$2109,'TAR FIN'!$A$1:$O$104,15,0))</f>
        <v>0</v>
      </c>
      <c r="W2109" s="6">
        <f>IF(ISERROR(VLOOKUP($T$2109,'TAR FIN'!$A$1:$O$104,15,0)),0,VLOOKUP($T$2109,'TAR FIN'!$A$1:$O$104,15,0))</f>
        <v>341.2</v>
      </c>
      <c r="X2109" s="6">
        <f>IF(ISERROR(VLOOKUP($U$2109,'TAR FIN'!$A$1:$O$104,15,0)),0,VLOOKUP($U$2109,'TAR FIN'!$A$1:$O$104,15,0))</f>
        <v>255.72</v>
      </c>
      <c r="Y2109" s="6"/>
      <c r="Z2109" s="6">
        <f ca="1">('TUSD BE'!$AM$62+'TUSD BF'!$AM$62+'TUSD CVA'!$AM$62)*1</f>
        <v>356.61002995987536</v>
      </c>
      <c r="AA2109" s="6">
        <f>('TE BE'!$AB$41+'TE BF'!$AB$41+'TE CVA'!$AB$41)*1</f>
        <v>242.47071701268419</v>
      </c>
      <c r="AB2109" s="6">
        <f>$K$2109*$V$2109</f>
        <v>0</v>
      </c>
      <c r="AC2109" s="6">
        <f>$M$2109*$W$2109</f>
        <v>144648.32800000001</v>
      </c>
      <c r="AD2109" s="6">
        <f>$O$2109*$X$2109</f>
        <v>108409.9368</v>
      </c>
      <c r="AE2109" s="6">
        <f>$K$2109*$Y$2109</f>
        <v>0</v>
      </c>
      <c r="AF2109" s="6">
        <f ca="1">$M$2109*$Z$2109</f>
        <v>151181.25610118956</v>
      </c>
      <c r="AG2109" s="6">
        <f>$O$2109*$AA$2109</f>
        <v>102793.03577035734</v>
      </c>
    </row>
    <row r="2110" spans="1:33" ht="11.25" customHeight="1" x14ac:dyDescent="0.25">
      <c r="A2110" s="4" t="s">
        <v>21</v>
      </c>
      <c r="B2110" s="4" t="s">
        <v>37</v>
      </c>
      <c r="C2110" s="4" t="s">
        <v>23</v>
      </c>
      <c r="D2110" s="4" t="s">
        <v>38</v>
      </c>
      <c r="E2110" s="4" t="s">
        <v>25</v>
      </c>
      <c r="F2110" s="4" t="s">
        <v>25</v>
      </c>
      <c r="G2110" s="4" t="s">
        <v>25</v>
      </c>
      <c r="H2110" s="4" t="s">
        <v>25</v>
      </c>
      <c r="I2110" s="5">
        <v>44531</v>
      </c>
      <c r="J2110" s="6">
        <v>0</v>
      </c>
      <c r="K2110" s="6">
        <v>0</v>
      </c>
      <c r="L2110" s="6">
        <v>2609.712</v>
      </c>
      <c r="M2110" s="6">
        <v>2609.712</v>
      </c>
      <c r="N2110" s="6">
        <v>2609.712</v>
      </c>
      <c r="O2110" s="6">
        <v>2609.712</v>
      </c>
      <c r="P2110" s="6">
        <v>3095</v>
      </c>
      <c r="Q2110" s="4" t="s">
        <v>26</v>
      </c>
      <c r="R2110" s="4">
        <v>0</v>
      </c>
      <c r="S2110" s="6">
        <v>0</v>
      </c>
      <c r="T2110" s="6">
        <v>57</v>
      </c>
      <c r="U2110" s="6">
        <v>100</v>
      </c>
      <c r="V2110" s="6">
        <f>IF(ISERROR(VLOOKUP($S$2110,'TAR FIN'!$A$1:$O$104,15,0)),0,VLOOKUP($S$2110,'TAR FIN'!$A$1:$O$104,15,0))</f>
        <v>0</v>
      </c>
      <c r="W2110" s="6">
        <f>IF(ISERROR(VLOOKUP($T$2110,'TAR FIN'!$A$1:$O$104,15,0)),0,VLOOKUP($T$2110,'TAR FIN'!$A$1:$O$104,15,0))</f>
        <v>341.2</v>
      </c>
      <c r="X2110" s="6">
        <f>IF(ISERROR(VLOOKUP($U$2110,'TAR FIN'!$A$1:$O$104,15,0)),0,VLOOKUP($U$2110,'TAR FIN'!$A$1:$O$104,15,0))</f>
        <v>255.72</v>
      </c>
      <c r="Y2110" s="6"/>
      <c r="Z2110" s="6">
        <f ca="1">('TUSD BE'!$AM$62+'TUSD BF'!$AM$62+'TUSD CVA'!$AM$62)*1</f>
        <v>356.61002995987536</v>
      </c>
      <c r="AA2110" s="6">
        <f>('TE BE'!$AB$41+'TE BF'!$AB$41+'TE CVA'!$AB$41)*1</f>
        <v>242.47071701268419</v>
      </c>
      <c r="AB2110" s="6">
        <f>$K$2110*$V$2110</f>
        <v>0</v>
      </c>
      <c r="AC2110" s="6">
        <f>$M$2110*$W$2110</f>
        <v>890433.73439999996</v>
      </c>
      <c r="AD2110" s="6">
        <f>$O$2110*$X$2110</f>
        <v>667355.55264000001</v>
      </c>
      <c r="AE2110" s="6">
        <f>$K$2110*$Y$2110</f>
        <v>0</v>
      </c>
      <c r="AF2110" s="6">
        <f ca="1">$M$2110*$Z$2110</f>
        <v>930649.47450664628</v>
      </c>
      <c r="AG2110" s="6">
        <f>$O$2110*$AA$2110</f>
        <v>632778.73983660608</v>
      </c>
    </row>
    <row r="2111" spans="1:33" ht="11.25" customHeight="1" x14ac:dyDescent="0.25">
      <c r="A2111" s="4" t="s">
        <v>27</v>
      </c>
      <c r="B2111" s="4" t="s">
        <v>37</v>
      </c>
      <c r="C2111" s="4" t="s">
        <v>23</v>
      </c>
      <c r="D2111" s="4" t="s">
        <v>38</v>
      </c>
      <c r="E2111" s="4" t="s">
        <v>25</v>
      </c>
      <c r="F2111" s="4" t="s">
        <v>25</v>
      </c>
      <c r="G2111" s="4" t="s">
        <v>25</v>
      </c>
      <c r="H2111" s="4" t="s">
        <v>25</v>
      </c>
      <c r="I2111" s="5">
        <v>44531</v>
      </c>
      <c r="J2111" s="6">
        <v>0</v>
      </c>
      <c r="K2111" s="6">
        <v>0</v>
      </c>
      <c r="L2111" s="6">
        <v>-20.425000000000001</v>
      </c>
      <c r="M2111" s="6">
        <v>-20.425000000000001</v>
      </c>
      <c r="N2111" s="6">
        <v>-20.425000000000001</v>
      </c>
      <c r="O2111" s="6">
        <v>-20.425000000000001</v>
      </c>
      <c r="P2111" s="6">
        <v>-4</v>
      </c>
      <c r="Q2111" s="4" t="s">
        <v>26</v>
      </c>
      <c r="R2111" s="4">
        <v>0</v>
      </c>
      <c r="S2111" s="6">
        <v>0</v>
      </c>
      <c r="T2111" s="6">
        <v>57</v>
      </c>
      <c r="U2111" s="6">
        <v>100</v>
      </c>
      <c r="V2111" s="6">
        <f>IF(ISERROR(VLOOKUP($S$2111,'TAR FIN'!$A$1:$O$104,15,0)),0,VLOOKUP($S$2111,'TAR FIN'!$A$1:$O$104,15,0))</f>
        <v>0</v>
      </c>
      <c r="W2111" s="6">
        <f>IF(ISERROR(VLOOKUP($T$2111,'TAR FIN'!$A$1:$O$104,15,0)),0,VLOOKUP($T$2111,'TAR FIN'!$A$1:$O$104,15,0))</f>
        <v>341.2</v>
      </c>
      <c r="X2111" s="6">
        <f>IF(ISERROR(VLOOKUP($U$2111,'TAR FIN'!$A$1:$O$104,15,0)),0,VLOOKUP($U$2111,'TAR FIN'!$A$1:$O$104,15,0))</f>
        <v>255.72</v>
      </c>
      <c r="Y2111" s="6"/>
      <c r="Z2111" s="6">
        <f ca="1">('TUSD BE'!$AM$62+'TUSD BF'!$AM$62+'TUSD CVA'!$AM$62)*1</f>
        <v>356.61002995987536</v>
      </c>
      <c r="AA2111" s="6">
        <f>('TE BE'!$AB$41+'TE BF'!$AB$41+'TE CVA'!$AB$41)*1</f>
        <v>242.47071701268419</v>
      </c>
      <c r="AB2111" s="6">
        <f>$K$2111*$V$2111</f>
        <v>0</v>
      </c>
      <c r="AC2111" s="6">
        <f>$M$2111*$W$2111</f>
        <v>-6969.01</v>
      </c>
      <c r="AD2111" s="6">
        <f>$O$2111*$X$2111</f>
        <v>-5223.0810000000001</v>
      </c>
      <c r="AE2111" s="6">
        <f>$K$2111*$Y$2111</f>
        <v>0</v>
      </c>
      <c r="AF2111" s="6">
        <f ca="1">$M$2111*$Z$2111</f>
        <v>-7283.7598619304545</v>
      </c>
      <c r="AG2111" s="6">
        <f>$O$2111*$AA$2111</f>
        <v>-4952.4643949840747</v>
      </c>
    </row>
    <row r="2112" spans="1:33" ht="11.25" customHeight="1" x14ac:dyDescent="0.25">
      <c r="A2112" s="4" t="s">
        <v>28</v>
      </c>
      <c r="B2112" s="4" t="s">
        <v>37</v>
      </c>
      <c r="C2112" s="4" t="s">
        <v>23</v>
      </c>
      <c r="D2112" s="4" t="s">
        <v>38</v>
      </c>
      <c r="E2112" s="4" t="s">
        <v>25</v>
      </c>
      <c r="F2112" s="4" t="s">
        <v>25</v>
      </c>
      <c r="G2112" s="4" t="s">
        <v>25</v>
      </c>
      <c r="H2112" s="4" t="s">
        <v>25</v>
      </c>
      <c r="I2112" s="5">
        <v>44531</v>
      </c>
      <c r="J2112" s="6">
        <v>0</v>
      </c>
      <c r="K2112" s="6">
        <v>0</v>
      </c>
      <c r="L2112" s="6">
        <v>515.20399999999995</v>
      </c>
      <c r="M2112" s="6">
        <v>515.20399999999995</v>
      </c>
      <c r="N2112" s="6">
        <v>515.20399999999995</v>
      </c>
      <c r="O2112" s="6">
        <v>515.20399999999995</v>
      </c>
      <c r="P2112" s="6">
        <v>442</v>
      </c>
      <c r="Q2112" s="4" t="s">
        <v>26</v>
      </c>
      <c r="R2112" s="4">
        <v>0</v>
      </c>
      <c r="S2112" s="6">
        <v>0</v>
      </c>
      <c r="T2112" s="6">
        <v>57</v>
      </c>
      <c r="U2112" s="6">
        <v>100</v>
      </c>
      <c r="V2112" s="6">
        <f>IF(ISERROR(VLOOKUP($S$2112,'TAR FIN'!$A$1:$O$104,15,0)),0,VLOOKUP($S$2112,'TAR FIN'!$A$1:$O$104,15,0))</f>
        <v>0</v>
      </c>
      <c r="W2112" s="6">
        <f>IF(ISERROR(VLOOKUP($T$2112,'TAR FIN'!$A$1:$O$104,15,0)),0,VLOOKUP($T$2112,'TAR FIN'!$A$1:$O$104,15,0))</f>
        <v>341.2</v>
      </c>
      <c r="X2112" s="6">
        <f>IF(ISERROR(VLOOKUP($U$2112,'TAR FIN'!$A$1:$O$104,15,0)),0,VLOOKUP($U$2112,'TAR FIN'!$A$1:$O$104,15,0))</f>
        <v>255.72</v>
      </c>
      <c r="Y2112" s="6"/>
      <c r="Z2112" s="6">
        <f ca="1">('TUSD BE'!$AM$62+'TUSD BF'!$AM$62+'TUSD CVA'!$AM$62)*1</f>
        <v>356.61002995987536</v>
      </c>
      <c r="AA2112" s="6">
        <f>('TE BE'!$AB$41+'TE BF'!$AB$41+'TE CVA'!$AB$41)*1</f>
        <v>242.47071701268419</v>
      </c>
      <c r="AB2112" s="6">
        <f>$K$2112*$V$2112</f>
        <v>0</v>
      </c>
      <c r="AC2112" s="6">
        <f>$M$2112*$W$2112</f>
        <v>175787.60479999997</v>
      </c>
      <c r="AD2112" s="6">
        <f>$O$2112*$X$2112</f>
        <v>131747.96687999999</v>
      </c>
      <c r="AE2112" s="6">
        <f>$K$2112*$Y$2112</f>
        <v>0</v>
      </c>
      <c r="AF2112" s="6">
        <f ca="1">$M$2112*$Z$2112</f>
        <v>183726.91387544762</v>
      </c>
      <c r="AG2112" s="6">
        <f>$O$2112*$AA$2112</f>
        <v>124921.88328780294</v>
      </c>
    </row>
    <row r="2113" spans="1:33" ht="11.25" customHeight="1" x14ac:dyDescent="0.25">
      <c r="A2113" s="4" t="s">
        <v>28</v>
      </c>
      <c r="B2113" s="4" t="s">
        <v>37</v>
      </c>
      <c r="C2113" s="4" t="s">
        <v>23</v>
      </c>
      <c r="D2113" s="4" t="s">
        <v>38</v>
      </c>
      <c r="E2113" s="4" t="s">
        <v>25</v>
      </c>
      <c r="F2113" s="4" t="s">
        <v>25</v>
      </c>
      <c r="G2113" s="4" t="s">
        <v>25</v>
      </c>
      <c r="H2113" s="4" t="s">
        <v>25</v>
      </c>
      <c r="I2113" s="5">
        <v>44531</v>
      </c>
      <c r="J2113" s="6">
        <v>0</v>
      </c>
      <c r="K2113" s="6">
        <v>0</v>
      </c>
      <c r="L2113" s="6">
        <v>-0.36</v>
      </c>
      <c r="M2113" s="6">
        <v>-0.36</v>
      </c>
      <c r="N2113" s="6">
        <v>-0.36</v>
      </c>
      <c r="O2113" s="6">
        <v>-0.36</v>
      </c>
      <c r="P2113" s="6">
        <v>0</v>
      </c>
      <c r="Q2113" s="4" t="s">
        <v>26</v>
      </c>
      <c r="R2113" s="4">
        <v>0</v>
      </c>
      <c r="S2113" s="6">
        <v>0</v>
      </c>
      <c r="T2113" s="6">
        <v>57</v>
      </c>
      <c r="U2113" s="6">
        <v>100</v>
      </c>
      <c r="V2113" s="6">
        <f>IF(ISERROR(VLOOKUP($S$2113,'TAR FIN'!$A$1:$O$104,15,0)),0,VLOOKUP($S$2113,'TAR FIN'!$A$1:$O$104,15,0))</f>
        <v>0</v>
      </c>
      <c r="W2113" s="6">
        <f>IF(ISERROR(VLOOKUP($T$2113,'TAR FIN'!$A$1:$O$104,15,0)),0,VLOOKUP($T$2113,'TAR FIN'!$A$1:$O$104,15,0))</f>
        <v>341.2</v>
      </c>
      <c r="X2113" s="6">
        <f>IF(ISERROR(VLOOKUP($U$2113,'TAR FIN'!$A$1:$O$104,15,0)),0,VLOOKUP($U$2113,'TAR FIN'!$A$1:$O$104,15,0))</f>
        <v>255.72</v>
      </c>
      <c r="Y2113" s="6"/>
      <c r="Z2113" s="6">
        <f ca="1">('TUSD BE'!$AM$62+'TUSD BF'!$AM$62+'TUSD CVA'!$AM$62)*1</f>
        <v>356.61002995987536</v>
      </c>
      <c r="AA2113" s="6">
        <f>('TE BE'!$AB$41+'TE BF'!$AB$41+'TE CVA'!$AB$41)*1</f>
        <v>242.47071701268419</v>
      </c>
      <c r="AB2113" s="6">
        <f>$K$2113*$V$2113</f>
        <v>0</v>
      </c>
      <c r="AC2113" s="6">
        <f>$M$2113*$W$2113</f>
        <v>-122.83199999999999</v>
      </c>
      <c r="AD2113" s="6">
        <f>$O$2113*$X$2113</f>
        <v>-92.05919999999999</v>
      </c>
      <c r="AE2113" s="6">
        <f>$K$2113*$Y$2113</f>
        <v>0</v>
      </c>
      <c r="AF2113" s="6">
        <f ca="1">$M$2113*$Z$2113</f>
        <v>-128.37961078555512</v>
      </c>
      <c r="AG2113" s="6">
        <f>$O$2113*$AA$2113</f>
        <v>-87.289458124566309</v>
      </c>
    </row>
    <row r="2114" spans="1:33" ht="11.25" customHeight="1" x14ac:dyDescent="0.25">
      <c r="A2114" s="4" t="s">
        <v>21</v>
      </c>
      <c r="B2114" s="4" t="s">
        <v>37</v>
      </c>
      <c r="C2114" s="4" t="s">
        <v>23</v>
      </c>
      <c r="D2114" s="4" t="s">
        <v>38</v>
      </c>
      <c r="E2114" s="4" t="s">
        <v>25</v>
      </c>
      <c r="F2114" s="4" t="s">
        <v>25</v>
      </c>
      <c r="G2114" s="4" t="s">
        <v>25</v>
      </c>
      <c r="H2114" s="4" t="s">
        <v>25</v>
      </c>
      <c r="I2114" s="5">
        <v>44562</v>
      </c>
      <c r="J2114" s="6">
        <v>0</v>
      </c>
      <c r="K2114" s="6">
        <v>0</v>
      </c>
      <c r="L2114" s="6">
        <v>2320.2629999999999</v>
      </c>
      <c r="M2114" s="6">
        <v>2320.2629999999999</v>
      </c>
      <c r="N2114" s="6">
        <v>2320.2629999999999</v>
      </c>
      <c r="O2114" s="6">
        <v>2320.2629999999999</v>
      </c>
      <c r="P2114" s="6">
        <v>3083</v>
      </c>
      <c r="Q2114" s="4" t="s">
        <v>26</v>
      </c>
      <c r="R2114" s="4">
        <v>0</v>
      </c>
      <c r="S2114" s="6">
        <v>0</v>
      </c>
      <c r="T2114" s="6">
        <v>57</v>
      </c>
      <c r="U2114" s="6">
        <v>100</v>
      </c>
      <c r="V2114" s="6">
        <f>IF(ISERROR(VLOOKUP($S$2114,'TAR FIN'!$A$1:$O$104,15,0)),0,VLOOKUP($S$2114,'TAR FIN'!$A$1:$O$104,15,0))</f>
        <v>0</v>
      </c>
      <c r="W2114" s="6">
        <f>IF(ISERROR(VLOOKUP($T$2114,'TAR FIN'!$A$1:$O$104,15,0)),0,VLOOKUP($T$2114,'TAR FIN'!$A$1:$O$104,15,0))</f>
        <v>341.2</v>
      </c>
      <c r="X2114" s="6">
        <f>IF(ISERROR(VLOOKUP($U$2114,'TAR FIN'!$A$1:$O$104,15,0)),0,VLOOKUP($U$2114,'TAR FIN'!$A$1:$O$104,15,0))</f>
        <v>255.72</v>
      </c>
      <c r="Y2114" s="6"/>
      <c r="Z2114" s="6">
        <f ca="1">('TUSD BE'!$AM$62+'TUSD BF'!$AM$62+'TUSD CVA'!$AM$62)*1</f>
        <v>356.61002995987536</v>
      </c>
      <c r="AA2114" s="6">
        <f>('TE BE'!$AB$41+'TE BF'!$AB$41+'TE CVA'!$AB$41)*1</f>
        <v>242.47071701268419</v>
      </c>
      <c r="AB2114" s="6">
        <f>$K$2114*$V$2114</f>
        <v>0</v>
      </c>
      <c r="AC2114" s="6">
        <f>$M$2114*$W$2114</f>
        <v>791673.7355999999</v>
      </c>
      <c r="AD2114" s="6">
        <f>$O$2114*$X$2114</f>
        <v>593337.65435999993</v>
      </c>
      <c r="AE2114" s="6">
        <f>$K$2114*$Y$2114</f>
        <v>0</v>
      </c>
      <c r="AF2114" s="6">
        <f ca="1">$M$2114*$Z$2114</f>
        <v>827429.05794479023</v>
      </c>
      <c r="AG2114" s="6">
        <f>$O$2114*$AA$2114</f>
        <v>562595.83326800168</v>
      </c>
    </row>
    <row r="2115" spans="1:33" ht="11.25" customHeight="1" x14ac:dyDescent="0.25">
      <c r="A2115" s="4" t="s">
        <v>28</v>
      </c>
      <c r="B2115" s="4" t="s">
        <v>37</v>
      </c>
      <c r="C2115" s="4" t="s">
        <v>23</v>
      </c>
      <c r="D2115" s="4" t="s">
        <v>38</v>
      </c>
      <c r="E2115" s="4" t="s">
        <v>25</v>
      </c>
      <c r="F2115" s="4" t="s">
        <v>25</v>
      </c>
      <c r="G2115" s="4" t="s">
        <v>25</v>
      </c>
      <c r="H2115" s="4" t="s">
        <v>25</v>
      </c>
      <c r="I2115" s="5">
        <v>44562</v>
      </c>
      <c r="J2115" s="6">
        <v>0</v>
      </c>
      <c r="K2115" s="6">
        <v>0</v>
      </c>
      <c r="L2115" s="6">
        <v>413.72800000000001</v>
      </c>
      <c r="M2115" s="6">
        <v>413.72800000000001</v>
      </c>
      <c r="N2115" s="6">
        <v>413.72800000000001</v>
      </c>
      <c r="O2115" s="6">
        <v>413.72800000000001</v>
      </c>
      <c r="P2115" s="6">
        <v>453</v>
      </c>
      <c r="Q2115" s="4" t="s">
        <v>26</v>
      </c>
      <c r="R2115" s="4">
        <v>0</v>
      </c>
      <c r="S2115" s="6">
        <v>0</v>
      </c>
      <c r="T2115" s="6">
        <v>57</v>
      </c>
      <c r="U2115" s="6">
        <v>100</v>
      </c>
      <c r="V2115" s="6">
        <f>IF(ISERROR(VLOOKUP($S$2115,'TAR FIN'!$A$1:$O$104,15,0)),0,VLOOKUP($S$2115,'TAR FIN'!$A$1:$O$104,15,0))</f>
        <v>0</v>
      </c>
      <c r="W2115" s="6">
        <f>IF(ISERROR(VLOOKUP($T$2115,'TAR FIN'!$A$1:$O$104,15,0)),0,VLOOKUP($T$2115,'TAR FIN'!$A$1:$O$104,15,0))</f>
        <v>341.2</v>
      </c>
      <c r="X2115" s="6">
        <f>IF(ISERROR(VLOOKUP($U$2115,'TAR FIN'!$A$1:$O$104,15,0)),0,VLOOKUP($U$2115,'TAR FIN'!$A$1:$O$104,15,0))</f>
        <v>255.72</v>
      </c>
      <c r="Y2115" s="6"/>
      <c r="Z2115" s="6">
        <f ca="1">('TUSD BE'!$AM$62+'TUSD BF'!$AM$62+'TUSD CVA'!$AM$62)*1</f>
        <v>356.61002995987536</v>
      </c>
      <c r="AA2115" s="6">
        <f>('TE BE'!$AB$41+'TE BF'!$AB$41+'TE CVA'!$AB$41)*1</f>
        <v>242.47071701268419</v>
      </c>
      <c r="AB2115" s="6">
        <f>$K$2115*$V$2115</f>
        <v>0</v>
      </c>
      <c r="AC2115" s="6">
        <f>$M$2115*$W$2115</f>
        <v>141163.99359999999</v>
      </c>
      <c r="AD2115" s="6">
        <f>$O$2115*$X$2115</f>
        <v>105798.52416</v>
      </c>
      <c r="AE2115" s="6">
        <f>$K$2115*$Y$2115</f>
        <v>0</v>
      </c>
      <c r="AF2115" s="6">
        <f ca="1">$M$2115*$Z$2115</f>
        <v>147539.5544752393</v>
      </c>
      <c r="AG2115" s="6">
        <f>$O$2115*$AA$2115</f>
        <v>100316.9248082238</v>
      </c>
    </row>
    <row r="2116" spans="1:33" ht="11.25" customHeight="1" x14ac:dyDescent="0.25">
      <c r="A2116" s="4" t="s">
        <v>28</v>
      </c>
      <c r="B2116" s="4" t="s">
        <v>37</v>
      </c>
      <c r="C2116" s="4" t="s">
        <v>23</v>
      </c>
      <c r="D2116" s="4" t="s">
        <v>38</v>
      </c>
      <c r="E2116" s="4" t="s">
        <v>25</v>
      </c>
      <c r="F2116" s="4" t="s">
        <v>25</v>
      </c>
      <c r="G2116" s="4" t="s">
        <v>25</v>
      </c>
      <c r="H2116" s="4" t="s">
        <v>25</v>
      </c>
      <c r="I2116" s="5">
        <v>44562</v>
      </c>
      <c r="J2116" s="6">
        <v>0</v>
      </c>
      <c r="K2116" s="6">
        <v>0</v>
      </c>
      <c r="L2116" s="6">
        <v>-0.748</v>
      </c>
      <c r="M2116" s="6">
        <v>-0.748</v>
      </c>
      <c r="N2116" s="6">
        <v>-0.748</v>
      </c>
      <c r="O2116" s="6">
        <v>-0.748</v>
      </c>
      <c r="P2116" s="6">
        <v>0</v>
      </c>
      <c r="Q2116" s="4" t="s">
        <v>26</v>
      </c>
      <c r="R2116" s="4">
        <v>0</v>
      </c>
      <c r="S2116" s="6">
        <v>0</v>
      </c>
      <c r="T2116" s="6">
        <v>57</v>
      </c>
      <c r="U2116" s="6">
        <v>100</v>
      </c>
      <c r="V2116" s="6">
        <f>IF(ISERROR(VLOOKUP($S$2116,'TAR FIN'!$A$1:$O$104,15,0)),0,VLOOKUP($S$2116,'TAR FIN'!$A$1:$O$104,15,0))</f>
        <v>0</v>
      </c>
      <c r="W2116" s="6">
        <f>IF(ISERROR(VLOOKUP($T$2116,'TAR FIN'!$A$1:$O$104,15,0)),0,VLOOKUP($T$2116,'TAR FIN'!$A$1:$O$104,15,0))</f>
        <v>341.2</v>
      </c>
      <c r="X2116" s="6">
        <f>IF(ISERROR(VLOOKUP($U$2116,'TAR FIN'!$A$1:$O$104,15,0)),0,VLOOKUP($U$2116,'TAR FIN'!$A$1:$O$104,15,0))</f>
        <v>255.72</v>
      </c>
      <c r="Y2116" s="6"/>
      <c r="Z2116" s="6">
        <f ca="1">('TUSD BE'!$AM$62+'TUSD BF'!$AM$62+'TUSD CVA'!$AM$62)*1</f>
        <v>356.61002995987536</v>
      </c>
      <c r="AA2116" s="6">
        <f>('TE BE'!$AB$41+'TE BF'!$AB$41+'TE CVA'!$AB$41)*1</f>
        <v>242.47071701268419</v>
      </c>
      <c r="AB2116" s="6">
        <f>$K$2116*$V$2116</f>
        <v>0</v>
      </c>
      <c r="AC2116" s="6">
        <f>$M$2116*$W$2116</f>
        <v>-255.2176</v>
      </c>
      <c r="AD2116" s="6">
        <f>$O$2116*$X$2116</f>
        <v>-191.27856</v>
      </c>
      <c r="AE2116" s="6">
        <f>$K$2116*$Y$2116</f>
        <v>0</v>
      </c>
      <c r="AF2116" s="6">
        <f ca="1">$M$2116*$Z$2116</f>
        <v>-266.74430240998674</v>
      </c>
      <c r="AG2116" s="6">
        <f>$O$2116*$AA$2116</f>
        <v>-181.36809632548778</v>
      </c>
    </row>
    <row r="2117" spans="1:33" ht="11.25" customHeight="1" x14ac:dyDescent="0.25">
      <c r="A2117" s="4" t="s">
        <v>21</v>
      </c>
      <c r="B2117" s="4" t="s">
        <v>37</v>
      </c>
      <c r="C2117" s="4" t="s">
        <v>23</v>
      </c>
      <c r="D2117" s="4" t="s">
        <v>38</v>
      </c>
      <c r="E2117" s="4" t="s">
        <v>25</v>
      </c>
      <c r="F2117" s="4" t="s">
        <v>25</v>
      </c>
      <c r="G2117" s="4" t="s">
        <v>25</v>
      </c>
      <c r="H2117" s="4" t="s">
        <v>25</v>
      </c>
      <c r="I2117" s="5">
        <v>44593</v>
      </c>
      <c r="J2117" s="6">
        <v>0</v>
      </c>
      <c r="K2117" s="6">
        <v>0</v>
      </c>
      <c r="L2117" s="6">
        <v>2226.7370000000001</v>
      </c>
      <c r="M2117" s="6">
        <v>2226.7370000000001</v>
      </c>
      <c r="N2117" s="6">
        <v>2226.7370000000001</v>
      </c>
      <c r="O2117" s="6">
        <v>2226.7370000000001</v>
      </c>
      <c r="P2117" s="6">
        <v>3134</v>
      </c>
      <c r="Q2117" s="4" t="s">
        <v>26</v>
      </c>
      <c r="R2117" s="4">
        <v>0</v>
      </c>
      <c r="S2117" s="6">
        <v>0</v>
      </c>
      <c r="T2117" s="6">
        <v>57</v>
      </c>
      <c r="U2117" s="6">
        <v>100</v>
      </c>
      <c r="V2117" s="6">
        <f>IF(ISERROR(VLOOKUP($S$2117,'TAR FIN'!$A$1:$O$104,15,0)),0,VLOOKUP($S$2117,'TAR FIN'!$A$1:$O$104,15,0))</f>
        <v>0</v>
      </c>
      <c r="W2117" s="6">
        <f>IF(ISERROR(VLOOKUP($T$2117,'TAR FIN'!$A$1:$O$104,15,0)),0,VLOOKUP($T$2117,'TAR FIN'!$A$1:$O$104,15,0))</f>
        <v>341.2</v>
      </c>
      <c r="X2117" s="6">
        <f>IF(ISERROR(VLOOKUP($U$2117,'TAR FIN'!$A$1:$O$104,15,0)),0,VLOOKUP($U$2117,'TAR FIN'!$A$1:$O$104,15,0))</f>
        <v>255.72</v>
      </c>
      <c r="Y2117" s="6"/>
      <c r="Z2117" s="6">
        <f ca="1">('TUSD BE'!$AM$62+'TUSD BF'!$AM$62+'TUSD CVA'!$AM$62)*1</f>
        <v>356.61002995987536</v>
      </c>
      <c r="AA2117" s="6">
        <f>('TE BE'!$AB$41+'TE BF'!$AB$41+'TE CVA'!$AB$41)*1</f>
        <v>242.47071701268419</v>
      </c>
      <c r="AB2117" s="6">
        <f>$K$2117*$V$2117</f>
        <v>0</v>
      </c>
      <c r="AC2117" s="6">
        <f>$M$2117*$W$2117</f>
        <v>759762.66440000001</v>
      </c>
      <c r="AD2117" s="6">
        <f>$O$2117*$X$2117</f>
        <v>569421.18564000004</v>
      </c>
      <c r="AE2117" s="6">
        <f>$K$2117*$Y$2117</f>
        <v>0</v>
      </c>
      <c r="AF2117" s="6">
        <f ca="1">$M$2117*$Z$2117</f>
        <v>794076.74828276306</v>
      </c>
      <c r="AG2117" s="6">
        <f>$O$2117*$AA$2117</f>
        <v>539918.51698867336</v>
      </c>
    </row>
    <row r="2118" spans="1:33" ht="11.25" customHeight="1" x14ac:dyDescent="0.25">
      <c r="A2118" s="4" t="s">
        <v>27</v>
      </c>
      <c r="B2118" s="4" t="s">
        <v>37</v>
      </c>
      <c r="C2118" s="4" t="s">
        <v>23</v>
      </c>
      <c r="D2118" s="4" t="s">
        <v>38</v>
      </c>
      <c r="E2118" s="4" t="s">
        <v>25</v>
      </c>
      <c r="F2118" s="4" t="s">
        <v>25</v>
      </c>
      <c r="G2118" s="4" t="s">
        <v>25</v>
      </c>
      <c r="H2118" s="4" t="s">
        <v>25</v>
      </c>
      <c r="I2118" s="5">
        <v>44593</v>
      </c>
      <c r="J2118" s="6">
        <v>0</v>
      </c>
      <c r="K2118" s="6">
        <v>0</v>
      </c>
      <c r="L2118" s="6">
        <v>-3.641</v>
      </c>
      <c r="M2118" s="6">
        <v>-3.641</v>
      </c>
      <c r="N2118" s="6">
        <v>-3.641</v>
      </c>
      <c r="O2118" s="6">
        <v>-3.641</v>
      </c>
      <c r="P2118" s="6">
        <v>0</v>
      </c>
      <c r="Q2118" s="4" t="s">
        <v>26</v>
      </c>
      <c r="R2118" s="4">
        <v>0</v>
      </c>
      <c r="S2118" s="6">
        <v>0</v>
      </c>
      <c r="T2118" s="6">
        <v>57</v>
      </c>
      <c r="U2118" s="6">
        <v>100</v>
      </c>
      <c r="V2118" s="6">
        <f>IF(ISERROR(VLOOKUP($S$2118,'TAR FIN'!$A$1:$O$104,15,0)),0,VLOOKUP($S$2118,'TAR FIN'!$A$1:$O$104,15,0))</f>
        <v>0</v>
      </c>
      <c r="W2118" s="6">
        <f>IF(ISERROR(VLOOKUP($T$2118,'TAR FIN'!$A$1:$O$104,15,0)),0,VLOOKUP($T$2118,'TAR FIN'!$A$1:$O$104,15,0))</f>
        <v>341.2</v>
      </c>
      <c r="X2118" s="6">
        <f>IF(ISERROR(VLOOKUP($U$2118,'TAR FIN'!$A$1:$O$104,15,0)),0,VLOOKUP($U$2118,'TAR FIN'!$A$1:$O$104,15,0))</f>
        <v>255.72</v>
      </c>
      <c r="Y2118" s="6"/>
      <c r="Z2118" s="6">
        <f ca="1">('TUSD BE'!$AM$62+'TUSD BF'!$AM$62+'TUSD CVA'!$AM$62)*1</f>
        <v>356.61002995987536</v>
      </c>
      <c r="AA2118" s="6">
        <f>('TE BE'!$AB$41+'TE BF'!$AB$41+'TE CVA'!$AB$41)*1</f>
        <v>242.47071701268419</v>
      </c>
      <c r="AB2118" s="6">
        <f>$K$2118*$V$2118</f>
        <v>0</v>
      </c>
      <c r="AC2118" s="6">
        <f>$M$2118*$W$2118</f>
        <v>-1242.3091999999999</v>
      </c>
      <c r="AD2118" s="6">
        <f>$O$2118*$X$2118</f>
        <v>-931.07651999999996</v>
      </c>
      <c r="AE2118" s="6">
        <f>$K$2118*$Y$2118</f>
        <v>0</v>
      </c>
      <c r="AF2118" s="6">
        <f ca="1">$M$2118*$Z$2118</f>
        <v>-1298.4171190839063</v>
      </c>
      <c r="AG2118" s="6">
        <f>$O$2118*$AA$2118</f>
        <v>-882.83588064318315</v>
      </c>
    </row>
    <row r="2119" spans="1:33" ht="11.25" customHeight="1" x14ac:dyDescent="0.25">
      <c r="A2119" s="4" t="s">
        <v>28</v>
      </c>
      <c r="B2119" s="4" t="s">
        <v>37</v>
      </c>
      <c r="C2119" s="4" t="s">
        <v>23</v>
      </c>
      <c r="D2119" s="4" t="s">
        <v>38</v>
      </c>
      <c r="E2119" s="4" t="s">
        <v>25</v>
      </c>
      <c r="F2119" s="4" t="s">
        <v>25</v>
      </c>
      <c r="G2119" s="4" t="s">
        <v>25</v>
      </c>
      <c r="H2119" s="4" t="s">
        <v>25</v>
      </c>
      <c r="I2119" s="5">
        <v>44593</v>
      </c>
      <c r="J2119" s="6">
        <v>0</v>
      </c>
      <c r="K2119" s="6">
        <v>0</v>
      </c>
      <c r="L2119" s="6">
        <v>393.83699999999999</v>
      </c>
      <c r="M2119" s="6">
        <v>393.83699999999999</v>
      </c>
      <c r="N2119" s="6">
        <v>393.83699999999999</v>
      </c>
      <c r="O2119" s="6">
        <v>393.83699999999999</v>
      </c>
      <c r="P2119" s="6">
        <v>468</v>
      </c>
      <c r="Q2119" s="4" t="s">
        <v>26</v>
      </c>
      <c r="R2119" s="4">
        <v>0</v>
      </c>
      <c r="S2119" s="6">
        <v>0</v>
      </c>
      <c r="T2119" s="6">
        <v>57</v>
      </c>
      <c r="U2119" s="6">
        <v>100</v>
      </c>
      <c r="V2119" s="6">
        <f>IF(ISERROR(VLOOKUP($S$2119,'TAR FIN'!$A$1:$O$104,15,0)),0,VLOOKUP($S$2119,'TAR FIN'!$A$1:$O$104,15,0))</f>
        <v>0</v>
      </c>
      <c r="W2119" s="6">
        <f>IF(ISERROR(VLOOKUP($T$2119,'TAR FIN'!$A$1:$O$104,15,0)),0,VLOOKUP($T$2119,'TAR FIN'!$A$1:$O$104,15,0))</f>
        <v>341.2</v>
      </c>
      <c r="X2119" s="6">
        <f>IF(ISERROR(VLOOKUP($U$2119,'TAR FIN'!$A$1:$O$104,15,0)),0,VLOOKUP($U$2119,'TAR FIN'!$A$1:$O$104,15,0))</f>
        <v>255.72</v>
      </c>
      <c r="Y2119" s="6"/>
      <c r="Z2119" s="6">
        <f ca="1">('TUSD BE'!$AM$62+'TUSD BF'!$AM$62+'TUSD CVA'!$AM$62)*1</f>
        <v>356.61002995987536</v>
      </c>
      <c r="AA2119" s="6">
        <f>('TE BE'!$AB$41+'TE BF'!$AB$41+'TE CVA'!$AB$41)*1</f>
        <v>242.47071701268419</v>
      </c>
      <c r="AB2119" s="6">
        <f>$K$2119*$V$2119</f>
        <v>0</v>
      </c>
      <c r="AC2119" s="6">
        <f>$M$2119*$W$2119</f>
        <v>134377.1844</v>
      </c>
      <c r="AD2119" s="6">
        <f>$O$2119*$X$2119</f>
        <v>100711.99764</v>
      </c>
      <c r="AE2119" s="6">
        <f>$K$2119*$Y$2119</f>
        <v>0</v>
      </c>
      <c r="AF2119" s="6">
        <f ca="1">$M$2119*$Z$2119</f>
        <v>140446.22436930743</v>
      </c>
      <c r="AG2119" s="6">
        <f>$O$2119*$AA$2119</f>
        <v>95493.939776124505</v>
      </c>
    </row>
    <row r="2120" spans="1:33" ht="11.25" customHeight="1" x14ac:dyDescent="0.25">
      <c r="A2120" s="4" t="s">
        <v>28</v>
      </c>
      <c r="B2120" s="4" t="s">
        <v>37</v>
      </c>
      <c r="C2120" s="4" t="s">
        <v>23</v>
      </c>
      <c r="D2120" s="4" t="s">
        <v>38</v>
      </c>
      <c r="E2120" s="4" t="s">
        <v>25</v>
      </c>
      <c r="F2120" s="4" t="s">
        <v>25</v>
      </c>
      <c r="G2120" s="4" t="s">
        <v>25</v>
      </c>
      <c r="H2120" s="4" t="s">
        <v>25</v>
      </c>
      <c r="I2120" s="5">
        <v>44593</v>
      </c>
      <c r="J2120" s="6">
        <v>0</v>
      </c>
      <c r="K2120" s="6">
        <v>0</v>
      </c>
      <c r="L2120" s="6">
        <v>-8.1829999999999998</v>
      </c>
      <c r="M2120" s="6">
        <v>-8.1829999999999998</v>
      </c>
      <c r="N2120" s="6">
        <v>-8.1829999999999998</v>
      </c>
      <c r="O2120" s="6">
        <v>-8.1829999999999998</v>
      </c>
      <c r="P2120" s="6">
        <v>0</v>
      </c>
      <c r="Q2120" s="4" t="s">
        <v>26</v>
      </c>
      <c r="R2120" s="4">
        <v>0</v>
      </c>
      <c r="S2120" s="6">
        <v>0</v>
      </c>
      <c r="T2120" s="6">
        <v>57</v>
      </c>
      <c r="U2120" s="6">
        <v>100</v>
      </c>
      <c r="V2120" s="6">
        <f>IF(ISERROR(VLOOKUP($S$2120,'TAR FIN'!$A$1:$O$104,15,0)),0,VLOOKUP($S$2120,'TAR FIN'!$A$1:$O$104,15,0))</f>
        <v>0</v>
      </c>
      <c r="W2120" s="6">
        <f>IF(ISERROR(VLOOKUP($T$2120,'TAR FIN'!$A$1:$O$104,15,0)),0,VLOOKUP($T$2120,'TAR FIN'!$A$1:$O$104,15,0))</f>
        <v>341.2</v>
      </c>
      <c r="X2120" s="6">
        <f>IF(ISERROR(VLOOKUP($U$2120,'TAR FIN'!$A$1:$O$104,15,0)),0,VLOOKUP($U$2120,'TAR FIN'!$A$1:$O$104,15,0))</f>
        <v>255.72</v>
      </c>
      <c r="Y2120" s="6"/>
      <c r="Z2120" s="6">
        <f ca="1">('TUSD BE'!$AM$62+'TUSD BF'!$AM$62+'TUSD CVA'!$AM$62)*1</f>
        <v>356.61002995987536</v>
      </c>
      <c r="AA2120" s="6">
        <f>('TE BE'!$AB$41+'TE BF'!$AB$41+'TE CVA'!$AB$41)*1</f>
        <v>242.47071701268419</v>
      </c>
      <c r="AB2120" s="6">
        <f>$K$2120*$V$2120</f>
        <v>0</v>
      </c>
      <c r="AC2120" s="6">
        <f>$M$2120*$W$2120</f>
        <v>-2792.0396000000001</v>
      </c>
      <c r="AD2120" s="6">
        <f>$O$2120*$X$2120</f>
        <v>-2092.5567599999999</v>
      </c>
      <c r="AE2120" s="6">
        <f>$K$2120*$Y$2120</f>
        <v>0</v>
      </c>
      <c r="AF2120" s="6">
        <f ca="1">$M$2120*$Z$2120</f>
        <v>-2918.1398751616598</v>
      </c>
      <c r="AG2120" s="6">
        <f>$O$2120*$AA$2120</f>
        <v>-1984.1378773147947</v>
      </c>
    </row>
    <row r="2121" spans="1:33" ht="11.25" customHeight="1" x14ac:dyDescent="0.25">
      <c r="A2121" s="4" t="s">
        <v>21</v>
      </c>
      <c r="B2121" s="4" t="s">
        <v>37</v>
      </c>
      <c r="C2121" s="4" t="s">
        <v>23</v>
      </c>
      <c r="D2121" s="4" t="s">
        <v>38</v>
      </c>
      <c r="E2121" s="4" t="s">
        <v>25</v>
      </c>
      <c r="F2121" s="4" t="s">
        <v>25</v>
      </c>
      <c r="G2121" s="4" t="s">
        <v>25</v>
      </c>
      <c r="H2121" s="4" t="s">
        <v>25</v>
      </c>
      <c r="I2121" s="5">
        <v>44621</v>
      </c>
      <c r="J2121" s="6">
        <v>0</v>
      </c>
      <c r="K2121" s="6">
        <v>0</v>
      </c>
      <c r="L2121" s="6">
        <v>2510.7179999999998</v>
      </c>
      <c r="M2121" s="6">
        <v>2510.7179999999998</v>
      </c>
      <c r="N2121" s="6">
        <v>2510.7179999999998</v>
      </c>
      <c r="O2121" s="6">
        <v>2510.7179999999998</v>
      </c>
      <c r="P2121" s="6">
        <v>3122</v>
      </c>
      <c r="Q2121" s="4" t="s">
        <v>26</v>
      </c>
      <c r="R2121" s="4">
        <v>0</v>
      </c>
      <c r="S2121" s="6">
        <v>0</v>
      </c>
      <c r="T2121" s="6">
        <v>57</v>
      </c>
      <c r="U2121" s="6">
        <v>100</v>
      </c>
      <c r="V2121" s="6">
        <f>IF(ISERROR(VLOOKUP($S$2121,'TAR FIN'!$A$1:$O$104,15,0)),0,VLOOKUP($S$2121,'TAR FIN'!$A$1:$O$104,15,0))</f>
        <v>0</v>
      </c>
      <c r="W2121" s="6">
        <f>IF(ISERROR(VLOOKUP($T$2121,'TAR FIN'!$A$1:$O$104,15,0)),0,VLOOKUP($T$2121,'TAR FIN'!$A$1:$O$104,15,0))</f>
        <v>341.2</v>
      </c>
      <c r="X2121" s="6">
        <f>IF(ISERROR(VLOOKUP($U$2121,'TAR FIN'!$A$1:$O$104,15,0)),0,VLOOKUP($U$2121,'TAR FIN'!$A$1:$O$104,15,0))</f>
        <v>255.72</v>
      </c>
      <c r="Y2121" s="6"/>
      <c r="Z2121" s="6">
        <f ca="1">('TUSD BE'!$AM$62+'TUSD BF'!$AM$62+'TUSD CVA'!$AM$62)*1</f>
        <v>356.61002995987536</v>
      </c>
      <c r="AA2121" s="6">
        <f>('TE BE'!$AB$41+'TE BF'!$AB$41+'TE CVA'!$AB$41)*1</f>
        <v>242.47071701268419</v>
      </c>
      <c r="AB2121" s="6">
        <f>$K$2121*$V$2121</f>
        <v>0</v>
      </c>
      <c r="AC2121" s="6">
        <f>$M$2121*$W$2121</f>
        <v>856656.98159999994</v>
      </c>
      <c r="AD2121" s="6">
        <f>$O$2121*$X$2121</f>
        <v>642040.80695999996</v>
      </c>
      <c r="AE2121" s="6">
        <f>$K$2121*$Y$2121</f>
        <v>0</v>
      </c>
      <c r="AF2121" s="6">
        <f ca="1">$M$2121*$Z$2121</f>
        <v>895347.22120079829</v>
      </c>
      <c r="AG2121" s="6">
        <f>$O$2121*$AA$2121</f>
        <v>608775.59367665241</v>
      </c>
    </row>
    <row r="2122" spans="1:33" ht="11.25" customHeight="1" x14ac:dyDescent="0.25">
      <c r="A2122" s="4" t="s">
        <v>27</v>
      </c>
      <c r="B2122" s="4" t="s">
        <v>37</v>
      </c>
      <c r="C2122" s="4" t="s">
        <v>23</v>
      </c>
      <c r="D2122" s="4" t="s">
        <v>38</v>
      </c>
      <c r="E2122" s="4" t="s">
        <v>25</v>
      </c>
      <c r="F2122" s="4" t="s">
        <v>25</v>
      </c>
      <c r="G2122" s="4" t="s">
        <v>25</v>
      </c>
      <c r="H2122" s="4" t="s">
        <v>25</v>
      </c>
      <c r="I2122" s="5">
        <v>44621</v>
      </c>
      <c r="J2122" s="6">
        <v>0</v>
      </c>
      <c r="K2122" s="6">
        <v>0</v>
      </c>
      <c r="L2122" s="6">
        <v>-37.988</v>
      </c>
      <c r="M2122" s="6">
        <v>-37.988</v>
      </c>
      <c r="N2122" s="6">
        <v>-37.988</v>
      </c>
      <c r="O2122" s="6">
        <v>-37.988</v>
      </c>
      <c r="P2122" s="6">
        <v>-1</v>
      </c>
      <c r="Q2122" s="4" t="s">
        <v>26</v>
      </c>
      <c r="R2122" s="4">
        <v>0</v>
      </c>
      <c r="S2122" s="6">
        <v>0</v>
      </c>
      <c r="T2122" s="6">
        <v>57</v>
      </c>
      <c r="U2122" s="6">
        <v>100</v>
      </c>
      <c r="V2122" s="6">
        <f>IF(ISERROR(VLOOKUP($S$2122,'TAR FIN'!$A$1:$O$104,15,0)),0,VLOOKUP($S$2122,'TAR FIN'!$A$1:$O$104,15,0))</f>
        <v>0</v>
      </c>
      <c r="W2122" s="6">
        <f>IF(ISERROR(VLOOKUP($T$2122,'TAR FIN'!$A$1:$O$104,15,0)),0,VLOOKUP($T$2122,'TAR FIN'!$A$1:$O$104,15,0))</f>
        <v>341.2</v>
      </c>
      <c r="X2122" s="6">
        <f>IF(ISERROR(VLOOKUP($U$2122,'TAR FIN'!$A$1:$O$104,15,0)),0,VLOOKUP($U$2122,'TAR FIN'!$A$1:$O$104,15,0))</f>
        <v>255.72</v>
      </c>
      <c r="Y2122" s="6"/>
      <c r="Z2122" s="6">
        <f ca="1">('TUSD BE'!$AM$62+'TUSD BF'!$AM$62+'TUSD CVA'!$AM$62)*1</f>
        <v>356.61002995987536</v>
      </c>
      <c r="AA2122" s="6">
        <f>('TE BE'!$AB$41+'TE BF'!$AB$41+'TE CVA'!$AB$41)*1</f>
        <v>242.47071701268419</v>
      </c>
      <c r="AB2122" s="6">
        <f>$K$2122*$V$2122</f>
        <v>0</v>
      </c>
      <c r="AC2122" s="6">
        <f>$M$2122*$W$2122</f>
        <v>-12961.505599999999</v>
      </c>
      <c r="AD2122" s="6">
        <f>$O$2122*$X$2122</f>
        <v>-9714.2913599999993</v>
      </c>
      <c r="AE2122" s="6">
        <f>$K$2122*$Y$2122</f>
        <v>0</v>
      </c>
      <c r="AF2122" s="6">
        <f ca="1">$M$2122*$Z$2122</f>
        <v>-13546.901818115744</v>
      </c>
      <c r="AG2122" s="6">
        <f>$O$2122*$AA$2122</f>
        <v>-9210.9775978778471</v>
      </c>
    </row>
    <row r="2123" spans="1:33" ht="11.25" customHeight="1" x14ac:dyDescent="0.25">
      <c r="A2123" s="4" t="s">
        <v>28</v>
      </c>
      <c r="B2123" s="4" t="s">
        <v>37</v>
      </c>
      <c r="C2123" s="4" t="s">
        <v>23</v>
      </c>
      <c r="D2123" s="4" t="s">
        <v>38</v>
      </c>
      <c r="E2123" s="4" t="s">
        <v>25</v>
      </c>
      <c r="F2123" s="4" t="s">
        <v>25</v>
      </c>
      <c r="G2123" s="4" t="s">
        <v>25</v>
      </c>
      <c r="H2123" s="4" t="s">
        <v>25</v>
      </c>
      <c r="I2123" s="5">
        <v>44621</v>
      </c>
      <c r="J2123" s="6">
        <v>0</v>
      </c>
      <c r="K2123" s="6">
        <v>0</v>
      </c>
      <c r="L2123" s="6">
        <v>419.55500000000001</v>
      </c>
      <c r="M2123" s="6">
        <v>419.55500000000001</v>
      </c>
      <c r="N2123" s="6">
        <v>419.55500000000001</v>
      </c>
      <c r="O2123" s="6">
        <v>419.55500000000001</v>
      </c>
      <c r="P2123" s="6">
        <v>484</v>
      </c>
      <c r="Q2123" s="4" t="s">
        <v>26</v>
      </c>
      <c r="R2123" s="4">
        <v>0</v>
      </c>
      <c r="S2123" s="6">
        <v>0</v>
      </c>
      <c r="T2123" s="6">
        <v>57</v>
      </c>
      <c r="U2123" s="6">
        <v>100</v>
      </c>
      <c r="V2123" s="6">
        <f>IF(ISERROR(VLOOKUP($S$2123,'TAR FIN'!$A$1:$O$104,15,0)),0,VLOOKUP($S$2123,'TAR FIN'!$A$1:$O$104,15,0))</f>
        <v>0</v>
      </c>
      <c r="W2123" s="6">
        <f>IF(ISERROR(VLOOKUP($T$2123,'TAR FIN'!$A$1:$O$104,15,0)),0,VLOOKUP($T$2123,'TAR FIN'!$A$1:$O$104,15,0))</f>
        <v>341.2</v>
      </c>
      <c r="X2123" s="6">
        <f>IF(ISERROR(VLOOKUP($U$2123,'TAR FIN'!$A$1:$O$104,15,0)),0,VLOOKUP($U$2123,'TAR FIN'!$A$1:$O$104,15,0))</f>
        <v>255.72</v>
      </c>
      <c r="Y2123" s="6"/>
      <c r="Z2123" s="6">
        <f ca="1">('TUSD BE'!$AM$62+'TUSD BF'!$AM$62+'TUSD CVA'!$AM$62)*1</f>
        <v>356.61002995987536</v>
      </c>
      <c r="AA2123" s="6">
        <f>('TE BE'!$AB$41+'TE BF'!$AB$41+'TE CVA'!$AB$41)*1</f>
        <v>242.47071701268419</v>
      </c>
      <c r="AB2123" s="6">
        <f>$K$2123*$V$2123</f>
        <v>0</v>
      </c>
      <c r="AC2123" s="6">
        <f>$M$2123*$W$2123</f>
        <v>143152.166</v>
      </c>
      <c r="AD2123" s="6">
        <f>$O$2123*$X$2123</f>
        <v>107288.60460000001</v>
      </c>
      <c r="AE2123" s="6">
        <f>$K$2123*$Y$2123</f>
        <v>0</v>
      </c>
      <c r="AF2123" s="6">
        <f ca="1">$M$2123*$Z$2123</f>
        <v>149617.5211198155</v>
      </c>
      <c r="AG2123" s="6">
        <f>$O$2123*$AA$2123</f>
        <v>101729.80167625671</v>
      </c>
    </row>
    <row r="2124" spans="1:33" ht="11.25" customHeight="1" x14ac:dyDescent="0.25">
      <c r="A2124" s="4" t="s">
        <v>28</v>
      </c>
      <c r="B2124" s="4" t="s">
        <v>37</v>
      </c>
      <c r="C2124" s="4" t="s">
        <v>23</v>
      </c>
      <c r="D2124" s="4" t="s">
        <v>38</v>
      </c>
      <c r="E2124" s="4" t="s">
        <v>25</v>
      </c>
      <c r="F2124" s="4" t="s">
        <v>25</v>
      </c>
      <c r="G2124" s="4" t="s">
        <v>25</v>
      </c>
      <c r="H2124" s="4" t="s">
        <v>25</v>
      </c>
      <c r="I2124" s="5">
        <v>44621</v>
      </c>
      <c r="J2124" s="6">
        <v>0</v>
      </c>
      <c r="K2124" s="6">
        <v>0</v>
      </c>
      <c r="L2124" s="6">
        <v>-2.5539999999999998</v>
      </c>
      <c r="M2124" s="6">
        <v>-2.5539999999999998</v>
      </c>
      <c r="N2124" s="6">
        <v>-2.5539999999999998</v>
      </c>
      <c r="O2124" s="6">
        <v>-2.5539999999999998</v>
      </c>
      <c r="P2124" s="6">
        <v>0</v>
      </c>
      <c r="Q2124" s="4" t="s">
        <v>26</v>
      </c>
      <c r="R2124" s="4">
        <v>0</v>
      </c>
      <c r="S2124" s="6">
        <v>0</v>
      </c>
      <c r="T2124" s="6">
        <v>57</v>
      </c>
      <c r="U2124" s="6">
        <v>100</v>
      </c>
      <c r="V2124" s="6">
        <f>IF(ISERROR(VLOOKUP($S$2124,'TAR FIN'!$A$1:$O$104,15,0)),0,VLOOKUP($S$2124,'TAR FIN'!$A$1:$O$104,15,0))</f>
        <v>0</v>
      </c>
      <c r="W2124" s="6">
        <f>IF(ISERROR(VLOOKUP($T$2124,'TAR FIN'!$A$1:$O$104,15,0)),0,VLOOKUP($T$2124,'TAR FIN'!$A$1:$O$104,15,0))</f>
        <v>341.2</v>
      </c>
      <c r="X2124" s="6">
        <f>IF(ISERROR(VLOOKUP($U$2124,'TAR FIN'!$A$1:$O$104,15,0)),0,VLOOKUP($U$2124,'TAR FIN'!$A$1:$O$104,15,0))</f>
        <v>255.72</v>
      </c>
      <c r="Y2124" s="6"/>
      <c r="Z2124" s="6">
        <f ca="1">('TUSD BE'!$AM$62+'TUSD BF'!$AM$62+'TUSD CVA'!$AM$62)*1</f>
        <v>356.61002995987536</v>
      </c>
      <c r="AA2124" s="6">
        <f>('TE BE'!$AB$41+'TE BF'!$AB$41+'TE CVA'!$AB$41)*1</f>
        <v>242.47071701268419</v>
      </c>
      <c r="AB2124" s="6">
        <f>$K$2124*$V$2124</f>
        <v>0</v>
      </c>
      <c r="AC2124" s="6">
        <f>$M$2124*$W$2124</f>
        <v>-871.42479999999989</v>
      </c>
      <c r="AD2124" s="6">
        <f>$O$2124*$X$2124</f>
        <v>-653.10888</v>
      </c>
      <c r="AE2124" s="6">
        <f>$K$2124*$Y$2124</f>
        <v>0</v>
      </c>
      <c r="AF2124" s="6">
        <f ca="1">$M$2124*$Z$2124</f>
        <v>-910.78201651752158</v>
      </c>
      <c r="AG2124" s="6">
        <f>$O$2124*$AA$2124</f>
        <v>-619.27021125039539</v>
      </c>
    </row>
    <row r="2125" spans="1:33" ht="11.25" customHeight="1" x14ac:dyDescent="0.25">
      <c r="A2125" s="4" t="s">
        <v>21</v>
      </c>
      <c r="B2125" s="4" t="s">
        <v>37</v>
      </c>
      <c r="C2125" s="4" t="s">
        <v>23</v>
      </c>
      <c r="D2125" s="4" t="s">
        <v>38</v>
      </c>
      <c r="E2125" s="4" t="s">
        <v>25</v>
      </c>
      <c r="F2125" s="4" t="s">
        <v>25</v>
      </c>
      <c r="G2125" s="4" t="s">
        <v>25</v>
      </c>
      <c r="H2125" s="4" t="s">
        <v>25</v>
      </c>
      <c r="I2125" s="5">
        <v>44652</v>
      </c>
      <c r="J2125" s="6">
        <v>0</v>
      </c>
      <c r="K2125" s="6">
        <v>0</v>
      </c>
      <c r="L2125" s="6">
        <v>2466.7739999999999</v>
      </c>
      <c r="M2125" s="6">
        <v>2466.7739999999999</v>
      </c>
      <c r="N2125" s="6">
        <v>2466.7739999999999</v>
      </c>
      <c r="O2125" s="6">
        <v>2466.7739999999999</v>
      </c>
      <c r="P2125" s="6">
        <v>3116</v>
      </c>
      <c r="Q2125" s="4" t="s">
        <v>26</v>
      </c>
      <c r="R2125" s="4">
        <v>0</v>
      </c>
      <c r="S2125" s="6">
        <v>0</v>
      </c>
      <c r="T2125" s="6">
        <v>57</v>
      </c>
      <c r="U2125" s="6">
        <v>100</v>
      </c>
      <c r="V2125" s="6">
        <f>IF(ISERROR(VLOOKUP($S$2125,'TAR FIN'!$A$1:$O$104,15,0)),0,VLOOKUP($S$2125,'TAR FIN'!$A$1:$O$104,15,0))</f>
        <v>0</v>
      </c>
      <c r="W2125" s="6">
        <f>IF(ISERROR(VLOOKUP($T$2125,'TAR FIN'!$A$1:$O$104,15,0)),0,VLOOKUP($T$2125,'TAR FIN'!$A$1:$O$104,15,0))</f>
        <v>341.2</v>
      </c>
      <c r="X2125" s="6">
        <f>IF(ISERROR(VLOOKUP($U$2125,'TAR FIN'!$A$1:$O$104,15,0)),0,VLOOKUP($U$2125,'TAR FIN'!$A$1:$O$104,15,0))</f>
        <v>255.72</v>
      </c>
      <c r="Y2125" s="6"/>
      <c r="Z2125" s="6">
        <f ca="1">('TUSD BE'!$AM$62+'TUSD BF'!$AM$62+'TUSD CVA'!$AM$62)*1</f>
        <v>356.61002995987536</v>
      </c>
      <c r="AA2125" s="6">
        <f>('TE BE'!$AB$41+'TE BF'!$AB$41+'TE CVA'!$AB$41)*1</f>
        <v>242.47071701268419</v>
      </c>
      <c r="AB2125" s="6">
        <f>$K$2125*$V$2125</f>
        <v>0</v>
      </c>
      <c r="AC2125" s="6">
        <f>$M$2125*$W$2125</f>
        <v>841663.28879999998</v>
      </c>
      <c r="AD2125" s="6">
        <f>$O$2125*$X$2125</f>
        <v>630803.44727999996</v>
      </c>
      <c r="AE2125" s="6">
        <f>$K$2125*$Y$2125</f>
        <v>0</v>
      </c>
      <c r="AF2125" s="6">
        <f ca="1">$M$2125*$Z$2125</f>
        <v>879676.35004424152</v>
      </c>
      <c r="AG2125" s="6">
        <f>$O$2125*$AA$2125</f>
        <v>598120.46048824699</v>
      </c>
    </row>
    <row r="2126" spans="1:33" ht="11.25" customHeight="1" x14ac:dyDescent="0.25">
      <c r="A2126" s="4" t="s">
        <v>27</v>
      </c>
      <c r="B2126" s="4" t="s">
        <v>37</v>
      </c>
      <c r="C2126" s="4" t="s">
        <v>23</v>
      </c>
      <c r="D2126" s="4" t="s">
        <v>38</v>
      </c>
      <c r="E2126" s="4" t="s">
        <v>25</v>
      </c>
      <c r="F2126" s="4" t="s">
        <v>25</v>
      </c>
      <c r="G2126" s="4" t="s">
        <v>25</v>
      </c>
      <c r="H2126" s="4" t="s">
        <v>25</v>
      </c>
      <c r="I2126" s="5">
        <v>44652</v>
      </c>
      <c r="J2126" s="6">
        <v>0</v>
      </c>
      <c r="K2126" s="6">
        <v>0</v>
      </c>
      <c r="L2126" s="6">
        <v>-21.507999999999999</v>
      </c>
      <c r="M2126" s="6">
        <v>-21.507999999999999</v>
      </c>
      <c r="N2126" s="6">
        <v>-21.507999999999999</v>
      </c>
      <c r="O2126" s="6">
        <v>-21.507999999999999</v>
      </c>
      <c r="P2126" s="6">
        <v>-2</v>
      </c>
      <c r="Q2126" s="4" t="s">
        <v>26</v>
      </c>
      <c r="R2126" s="4">
        <v>0</v>
      </c>
      <c r="S2126" s="6">
        <v>0</v>
      </c>
      <c r="T2126" s="6">
        <v>57</v>
      </c>
      <c r="U2126" s="6">
        <v>100</v>
      </c>
      <c r="V2126" s="6">
        <f>IF(ISERROR(VLOOKUP($S$2126,'TAR FIN'!$A$1:$O$104,15,0)),0,VLOOKUP($S$2126,'TAR FIN'!$A$1:$O$104,15,0))</f>
        <v>0</v>
      </c>
      <c r="W2126" s="6">
        <f>IF(ISERROR(VLOOKUP($T$2126,'TAR FIN'!$A$1:$O$104,15,0)),0,VLOOKUP($T$2126,'TAR FIN'!$A$1:$O$104,15,0))</f>
        <v>341.2</v>
      </c>
      <c r="X2126" s="6">
        <f>IF(ISERROR(VLOOKUP($U$2126,'TAR FIN'!$A$1:$O$104,15,0)),0,VLOOKUP($U$2126,'TAR FIN'!$A$1:$O$104,15,0))</f>
        <v>255.72</v>
      </c>
      <c r="Y2126" s="6"/>
      <c r="Z2126" s="6">
        <f ca="1">('TUSD BE'!$AM$62+'TUSD BF'!$AM$62+'TUSD CVA'!$AM$62)*1</f>
        <v>356.61002995987536</v>
      </c>
      <c r="AA2126" s="6">
        <f>('TE BE'!$AB$41+'TE BF'!$AB$41+'TE CVA'!$AB$41)*1</f>
        <v>242.47071701268419</v>
      </c>
      <c r="AB2126" s="6">
        <f>$K$2126*$V$2126</f>
        <v>0</v>
      </c>
      <c r="AC2126" s="6">
        <f>$M$2126*$W$2126</f>
        <v>-7338.5295999999998</v>
      </c>
      <c r="AD2126" s="6">
        <f>$O$2126*$X$2126</f>
        <v>-5500.0257599999995</v>
      </c>
      <c r="AE2126" s="6">
        <f>$K$2126*$Y$2126</f>
        <v>0</v>
      </c>
      <c r="AF2126" s="6">
        <f ca="1">$M$2126*$Z$2126</f>
        <v>-7669.9685243769991</v>
      </c>
      <c r="AG2126" s="6">
        <f>$O$2126*$AA$2126</f>
        <v>-5215.0601815088112</v>
      </c>
    </row>
    <row r="2127" spans="1:33" ht="11.25" customHeight="1" x14ac:dyDescent="0.25">
      <c r="A2127" s="4" t="s">
        <v>28</v>
      </c>
      <c r="B2127" s="4" t="s">
        <v>37</v>
      </c>
      <c r="C2127" s="4" t="s">
        <v>23</v>
      </c>
      <c r="D2127" s="4" t="s">
        <v>38</v>
      </c>
      <c r="E2127" s="4" t="s">
        <v>25</v>
      </c>
      <c r="F2127" s="4" t="s">
        <v>25</v>
      </c>
      <c r="G2127" s="4" t="s">
        <v>25</v>
      </c>
      <c r="H2127" s="4" t="s">
        <v>25</v>
      </c>
      <c r="I2127" s="5">
        <v>44652</v>
      </c>
      <c r="J2127" s="6">
        <v>0</v>
      </c>
      <c r="K2127" s="6">
        <v>0</v>
      </c>
      <c r="L2127" s="6">
        <v>468.37900000000002</v>
      </c>
      <c r="M2127" s="6">
        <v>468.37900000000002</v>
      </c>
      <c r="N2127" s="6">
        <v>468.37900000000002</v>
      </c>
      <c r="O2127" s="6">
        <v>468.37900000000002</v>
      </c>
      <c r="P2127" s="6">
        <v>493</v>
      </c>
      <c r="Q2127" s="4" t="s">
        <v>26</v>
      </c>
      <c r="R2127" s="4">
        <v>0</v>
      </c>
      <c r="S2127" s="6">
        <v>0</v>
      </c>
      <c r="T2127" s="6">
        <v>57</v>
      </c>
      <c r="U2127" s="6">
        <v>100</v>
      </c>
      <c r="V2127" s="6">
        <f>IF(ISERROR(VLOOKUP($S$2127,'TAR FIN'!$A$1:$O$104,15,0)),0,VLOOKUP($S$2127,'TAR FIN'!$A$1:$O$104,15,0))</f>
        <v>0</v>
      </c>
      <c r="W2127" s="6">
        <f>IF(ISERROR(VLOOKUP($T$2127,'TAR FIN'!$A$1:$O$104,15,0)),0,VLOOKUP($T$2127,'TAR FIN'!$A$1:$O$104,15,0))</f>
        <v>341.2</v>
      </c>
      <c r="X2127" s="6">
        <f>IF(ISERROR(VLOOKUP($U$2127,'TAR FIN'!$A$1:$O$104,15,0)),0,VLOOKUP($U$2127,'TAR FIN'!$A$1:$O$104,15,0))</f>
        <v>255.72</v>
      </c>
      <c r="Y2127" s="6"/>
      <c r="Z2127" s="6">
        <f ca="1">('TUSD BE'!$AM$62+'TUSD BF'!$AM$62+'TUSD CVA'!$AM$62)*1</f>
        <v>356.61002995987536</v>
      </c>
      <c r="AA2127" s="6">
        <f>('TE BE'!$AB$41+'TE BF'!$AB$41+'TE CVA'!$AB$41)*1</f>
        <v>242.47071701268419</v>
      </c>
      <c r="AB2127" s="6">
        <f>$K$2127*$V$2127</f>
        <v>0</v>
      </c>
      <c r="AC2127" s="6">
        <f>$M$2127*$W$2127</f>
        <v>159810.9148</v>
      </c>
      <c r="AD2127" s="6">
        <f>$O$2127*$X$2127</f>
        <v>119773.87788</v>
      </c>
      <c r="AE2127" s="6">
        <f>$K$2127*$Y$2127</f>
        <v>0</v>
      </c>
      <c r="AF2127" s="6">
        <f ca="1">$M$2127*$Z$2127</f>
        <v>167028.64922257647</v>
      </c>
      <c r="AG2127" s="6">
        <f>$O$2127*$AA$2127</f>
        <v>113568.19196368402</v>
      </c>
    </row>
    <row r="2128" spans="1:33" ht="11.25" customHeight="1" x14ac:dyDescent="0.25">
      <c r="A2128" s="4" t="s">
        <v>28</v>
      </c>
      <c r="B2128" s="4" t="s">
        <v>37</v>
      </c>
      <c r="C2128" s="4" t="s">
        <v>23</v>
      </c>
      <c r="D2128" s="4" t="s">
        <v>38</v>
      </c>
      <c r="E2128" s="4" t="s">
        <v>25</v>
      </c>
      <c r="F2128" s="4" t="s">
        <v>25</v>
      </c>
      <c r="G2128" s="4" t="s">
        <v>25</v>
      </c>
      <c r="H2128" s="4" t="s">
        <v>25</v>
      </c>
      <c r="I2128" s="5">
        <v>44652</v>
      </c>
      <c r="J2128" s="6">
        <v>0</v>
      </c>
      <c r="K2128" s="6">
        <v>0</v>
      </c>
      <c r="L2128" s="6">
        <v>-4.7839999999999998</v>
      </c>
      <c r="M2128" s="6">
        <v>-4.7839999999999998</v>
      </c>
      <c r="N2128" s="6">
        <v>-4.7839999999999998</v>
      </c>
      <c r="O2128" s="6">
        <v>-4.7839999999999998</v>
      </c>
      <c r="P2128" s="6">
        <v>0</v>
      </c>
      <c r="Q2128" s="4" t="s">
        <v>26</v>
      </c>
      <c r="R2128" s="4">
        <v>0</v>
      </c>
      <c r="S2128" s="6">
        <v>0</v>
      </c>
      <c r="T2128" s="6">
        <v>57</v>
      </c>
      <c r="U2128" s="6">
        <v>100</v>
      </c>
      <c r="V2128" s="6">
        <f>IF(ISERROR(VLOOKUP($S$2128,'TAR FIN'!$A$1:$O$104,15,0)),0,VLOOKUP($S$2128,'TAR FIN'!$A$1:$O$104,15,0))</f>
        <v>0</v>
      </c>
      <c r="W2128" s="6">
        <f>IF(ISERROR(VLOOKUP($T$2128,'TAR FIN'!$A$1:$O$104,15,0)),0,VLOOKUP($T$2128,'TAR FIN'!$A$1:$O$104,15,0))</f>
        <v>341.2</v>
      </c>
      <c r="X2128" s="6">
        <f>IF(ISERROR(VLOOKUP($U$2128,'TAR FIN'!$A$1:$O$104,15,0)),0,VLOOKUP($U$2128,'TAR FIN'!$A$1:$O$104,15,0))</f>
        <v>255.72</v>
      </c>
      <c r="Y2128" s="6"/>
      <c r="Z2128" s="6">
        <f ca="1">('TUSD BE'!$AM$62+'TUSD BF'!$AM$62+'TUSD CVA'!$AM$62)*1</f>
        <v>356.61002995987536</v>
      </c>
      <c r="AA2128" s="6">
        <f>('TE BE'!$AB$41+'TE BF'!$AB$41+'TE CVA'!$AB$41)*1</f>
        <v>242.47071701268419</v>
      </c>
      <c r="AB2128" s="6">
        <f>$K$2128*$V$2128</f>
        <v>0</v>
      </c>
      <c r="AC2128" s="6">
        <f>$M$2128*$W$2128</f>
        <v>-1632.3008</v>
      </c>
      <c r="AD2128" s="6">
        <f>$O$2128*$X$2128</f>
        <v>-1223.36448</v>
      </c>
      <c r="AE2128" s="6">
        <f>$K$2128*$Y$2128</f>
        <v>0</v>
      </c>
      <c r="AF2128" s="6">
        <f ca="1">$M$2128*$Z$2128</f>
        <v>-1706.0223833280436</v>
      </c>
      <c r="AG2128" s="6">
        <f>$O$2128*$AA$2128</f>
        <v>-1159.9799101886811</v>
      </c>
    </row>
    <row r="2129" spans="1:33" ht="11.25" customHeight="1" x14ac:dyDescent="0.25">
      <c r="A2129" s="4" t="s">
        <v>21</v>
      </c>
      <c r="B2129" s="4" t="s">
        <v>37</v>
      </c>
      <c r="C2129" s="4" t="s">
        <v>23</v>
      </c>
      <c r="D2129" s="4" t="s">
        <v>38</v>
      </c>
      <c r="E2129" s="4" t="s">
        <v>25</v>
      </c>
      <c r="F2129" s="4" t="s">
        <v>25</v>
      </c>
      <c r="G2129" s="4" t="s">
        <v>25</v>
      </c>
      <c r="H2129" s="4" t="s">
        <v>25</v>
      </c>
      <c r="I2129" s="5">
        <v>44682</v>
      </c>
      <c r="J2129" s="6">
        <v>0</v>
      </c>
      <c r="K2129" s="6">
        <v>0</v>
      </c>
      <c r="L2129" s="6">
        <v>2478.471</v>
      </c>
      <c r="M2129" s="6">
        <v>2478.471</v>
      </c>
      <c r="N2129" s="6">
        <v>2478.471</v>
      </c>
      <c r="O2129" s="6">
        <v>2478.471</v>
      </c>
      <c r="P2129" s="6">
        <v>3096</v>
      </c>
      <c r="Q2129" s="4" t="s">
        <v>26</v>
      </c>
      <c r="R2129" s="4">
        <v>0</v>
      </c>
      <c r="S2129" s="6">
        <v>0</v>
      </c>
      <c r="T2129" s="6">
        <v>57</v>
      </c>
      <c r="U2129" s="6">
        <v>100</v>
      </c>
      <c r="V2129" s="6">
        <f>IF(ISERROR(VLOOKUP($S$2129,'TAR FIN'!$A$1:$O$104,15,0)),0,VLOOKUP($S$2129,'TAR FIN'!$A$1:$O$104,15,0))</f>
        <v>0</v>
      </c>
      <c r="W2129" s="6">
        <f>IF(ISERROR(VLOOKUP($T$2129,'TAR FIN'!$A$1:$O$104,15,0)),0,VLOOKUP($T$2129,'TAR FIN'!$A$1:$O$104,15,0))</f>
        <v>341.2</v>
      </c>
      <c r="X2129" s="6">
        <f>IF(ISERROR(VLOOKUP($U$2129,'TAR FIN'!$A$1:$O$104,15,0)),0,VLOOKUP($U$2129,'TAR FIN'!$A$1:$O$104,15,0))</f>
        <v>255.72</v>
      </c>
      <c r="Y2129" s="6"/>
      <c r="Z2129" s="6">
        <f ca="1">('TUSD BE'!$AM$62+'TUSD BF'!$AM$62+'TUSD CVA'!$AM$62)*1</f>
        <v>356.61002995987536</v>
      </c>
      <c r="AA2129" s="6">
        <f>('TE BE'!$AB$41+'TE BF'!$AB$41+'TE CVA'!$AB$41)*1</f>
        <v>242.47071701268419</v>
      </c>
      <c r="AB2129" s="6">
        <f>$K$2129*$V$2129</f>
        <v>0</v>
      </c>
      <c r="AC2129" s="6">
        <f>$M$2129*$W$2129</f>
        <v>845654.30519999994</v>
      </c>
      <c r="AD2129" s="6">
        <f>$O$2129*$X$2129</f>
        <v>633794.60412000003</v>
      </c>
      <c r="AE2129" s="6">
        <f>$K$2129*$Y$2129</f>
        <v>0</v>
      </c>
      <c r="AF2129" s="6">
        <f ca="1">$M$2129*$Z$2129</f>
        <v>883847.61756468227</v>
      </c>
      <c r="AG2129" s="6">
        <f>$O$2129*$AA$2129</f>
        <v>600956.64046514442</v>
      </c>
    </row>
    <row r="2130" spans="1:33" ht="11.25" customHeight="1" x14ac:dyDescent="0.25">
      <c r="A2130" s="4" t="s">
        <v>27</v>
      </c>
      <c r="B2130" s="4" t="s">
        <v>37</v>
      </c>
      <c r="C2130" s="4" t="s">
        <v>23</v>
      </c>
      <c r="D2130" s="4" t="s">
        <v>38</v>
      </c>
      <c r="E2130" s="4" t="s">
        <v>25</v>
      </c>
      <c r="F2130" s="4" t="s">
        <v>25</v>
      </c>
      <c r="G2130" s="4" t="s">
        <v>25</v>
      </c>
      <c r="H2130" s="4" t="s">
        <v>25</v>
      </c>
      <c r="I2130" s="5">
        <v>44682</v>
      </c>
      <c r="J2130" s="6">
        <v>0</v>
      </c>
      <c r="K2130" s="6">
        <v>0</v>
      </c>
      <c r="L2130" s="6">
        <v>-5.7759999999999998</v>
      </c>
      <c r="M2130" s="6">
        <v>-5.7759999999999998</v>
      </c>
      <c r="N2130" s="6">
        <v>-5.7759999999999998</v>
      </c>
      <c r="O2130" s="6">
        <v>-5.7759999999999998</v>
      </c>
      <c r="P2130" s="6">
        <v>0</v>
      </c>
      <c r="Q2130" s="4" t="s">
        <v>26</v>
      </c>
      <c r="R2130" s="4">
        <v>0</v>
      </c>
      <c r="S2130" s="6">
        <v>0</v>
      </c>
      <c r="T2130" s="6">
        <v>57</v>
      </c>
      <c r="U2130" s="6">
        <v>100</v>
      </c>
      <c r="V2130" s="6">
        <f>IF(ISERROR(VLOOKUP($S$2130,'TAR FIN'!$A$1:$O$104,15,0)),0,VLOOKUP($S$2130,'TAR FIN'!$A$1:$O$104,15,0))</f>
        <v>0</v>
      </c>
      <c r="W2130" s="6">
        <f>IF(ISERROR(VLOOKUP($T$2130,'TAR FIN'!$A$1:$O$104,15,0)),0,VLOOKUP($T$2130,'TAR FIN'!$A$1:$O$104,15,0))</f>
        <v>341.2</v>
      </c>
      <c r="X2130" s="6">
        <f>IF(ISERROR(VLOOKUP($U$2130,'TAR FIN'!$A$1:$O$104,15,0)),0,VLOOKUP($U$2130,'TAR FIN'!$A$1:$O$104,15,0))</f>
        <v>255.72</v>
      </c>
      <c r="Y2130" s="6"/>
      <c r="Z2130" s="6">
        <f ca="1">('TUSD BE'!$AM$62+'TUSD BF'!$AM$62+'TUSD CVA'!$AM$62)*1</f>
        <v>356.61002995987536</v>
      </c>
      <c r="AA2130" s="6">
        <f>('TE BE'!$AB$41+'TE BF'!$AB$41+'TE CVA'!$AB$41)*1</f>
        <v>242.47071701268419</v>
      </c>
      <c r="AB2130" s="6">
        <f>$K$2130*$V$2130</f>
        <v>0</v>
      </c>
      <c r="AC2130" s="6">
        <f>$M$2130*$W$2130</f>
        <v>-1970.7711999999999</v>
      </c>
      <c r="AD2130" s="6">
        <f>$O$2130*$X$2130</f>
        <v>-1477.03872</v>
      </c>
      <c r="AE2130" s="6">
        <f>$K$2130*$Y$2130</f>
        <v>0</v>
      </c>
      <c r="AF2130" s="6">
        <f ca="1">$M$2130*$Z$2130</f>
        <v>-2059.77953304824</v>
      </c>
      <c r="AG2130" s="6">
        <f>$O$2130*$AA$2130</f>
        <v>-1400.5108614652638</v>
      </c>
    </row>
    <row r="2131" spans="1:33" ht="11.25" customHeight="1" x14ac:dyDescent="0.25">
      <c r="A2131" s="4" t="s">
        <v>28</v>
      </c>
      <c r="B2131" s="4" t="s">
        <v>37</v>
      </c>
      <c r="C2131" s="4" t="s">
        <v>23</v>
      </c>
      <c r="D2131" s="4" t="s">
        <v>38</v>
      </c>
      <c r="E2131" s="4" t="s">
        <v>25</v>
      </c>
      <c r="F2131" s="4" t="s">
        <v>25</v>
      </c>
      <c r="G2131" s="4" t="s">
        <v>25</v>
      </c>
      <c r="H2131" s="4" t="s">
        <v>25</v>
      </c>
      <c r="I2131" s="5">
        <v>44682</v>
      </c>
      <c r="J2131" s="6">
        <v>0</v>
      </c>
      <c r="K2131" s="6">
        <v>0</v>
      </c>
      <c r="L2131" s="6">
        <v>555.96500000000003</v>
      </c>
      <c r="M2131" s="6">
        <v>555.96500000000003</v>
      </c>
      <c r="N2131" s="6">
        <v>555.96500000000003</v>
      </c>
      <c r="O2131" s="6">
        <v>555.96500000000003</v>
      </c>
      <c r="P2131" s="6">
        <v>498</v>
      </c>
      <c r="Q2131" s="4" t="s">
        <v>26</v>
      </c>
      <c r="R2131" s="4">
        <v>0</v>
      </c>
      <c r="S2131" s="6">
        <v>0</v>
      </c>
      <c r="T2131" s="6">
        <v>57</v>
      </c>
      <c r="U2131" s="6">
        <v>100</v>
      </c>
      <c r="V2131" s="6">
        <f>IF(ISERROR(VLOOKUP($S$2131,'TAR FIN'!$A$1:$O$104,15,0)),0,VLOOKUP($S$2131,'TAR FIN'!$A$1:$O$104,15,0))</f>
        <v>0</v>
      </c>
      <c r="W2131" s="6">
        <f>IF(ISERROR(VLOOKUP($T$2131,'TAR FIN'!$A$1:$O$104,15,0)),0,VLOOKUP($T$2131,'TAR FIN'!$A$1:$O$104,15,0))</f>
        <v>341.2</v>
      </c>
      <c r="X2131" s="6">
        <f>IF(ISERROR(VLOOKUP($U$2131,'TAR FIN'!$A$1:$O$104,15,0)),0,VLOOKUP($U$2131,'TAR FIN'!$A$1:$O$104,15,0))</f>
        <v>255.72</v>
      </c>
      <c r="Y2131" s="6"/>
      <c r="Z2131" s="6">
        <f ca="1">('TUSD BE'!$AM$62+'TUSD BF'!$AM$62+'TUSD CVA'!$AM$62)*1</f>
        <v>356.61002995987536</v>
      </c>
      <c r="AA2131" s="6">
        <f>('TE BE'!$AB$41+'TE BF'!$AB$41+'TE CVA'!$AB$41)*1</f>
        <v>242.47071701268419</v>
      </c>
      <c r="AB2131" s="6">
        <f>$K$2131*$V$2131</f>
        <v>0</v>
      </c>
      <c r="AC2131" s="6">
        <f>$M$2131*$W$2131</f>
        <v>189695.258</v>
      </c>
      <c r="AD2131" s="6">
        <f>$O$2131*$X$2131</f>
        <v>142171.36980000001</v>
      </c>
      <c r="AE2131" s="6">
        <f>$K$2131*$Y$2131</f>
        <v>0</v>
      </c>
      <c r="AF2131" s="6">
        <f ca="1">$M$2131*$Z$2131</f>
        <v>198262.69530664213</v>
      </c>
      <c r="AG2131" s="6">
        <f>$O$2131*$AA$2131</f>
        <v>134805.23218395698</v>
      </c>
    </row>
    <row r="2132" spans="1:33" ht="11.25" customHeight="1" x14ac:dyDescent="0.25">
      <c r="A2132" s="4" t="s">
        <v>21</v>
      </c>
      <c r="B2132" s="4" t="s">
        <v>37</v>
      </c>
      <c r="C2132" s="4" t="s">
        <v>23</v>
      </c>
      <c r="D2132" s="4" t="s">
        <v>38</v>
      </c>
      <c r="E2132" s="4" t="s">
        <v>25</v>
      </c>
      <c r="F2132" s="4" t="s">
        <v>25</v>
      </c>
      <c r="G2132" s="4" t="s">
        <v>25</v>
      </c>
      <c r="H2132" s="4" t="s">
        <v>25</v>
      </c>
      <c r="I2132" s="5">
        <v>44713</v>
      </c>
      <c r="J2132" s="6">
        <v>0</v>
      </c>
      <c r="K2132" s="6">
        <v>0</v>
      </c>
      <c r="L2132" s="6">
        <v>2225.4090000000001</v>
      </c>
      <c r="M2132" s="6">
        <v>2225.4090000000001</v>
      </c>
      <c r="N2132" s="6">
        <v>2225.4090000000001</v>
      </c>
      <c r="O2132" s="6">
        <v>2225.4090000000001</v>
      </c>
      <c r="P2132" s="6">
        <v>3093</v>
      </c>
      <c r="Q2132" s="4" t="s">
        <v>26</v>
      </c>
      <c r="R2132" s="4">
        <v>0</v>
      </c>
      <c r="S2132" s="6">
        <v>0</v>
      </c>
      <c r="T2132" s="6">
        <v>57</v>
      </c>
      <c r="U2132" s="6">
        <v>100</v>
      </c>
      <c r="V2132" s="6">
        <f>IF(ISERROR(VLOOKUP($S$2132,'TAR FIN'!$A$1:$O$104,15,0)),0,VLOOKUP($S$2132,'TAR FIN'!$A$1:$O$104,15,0))</f>
        <v>0</v>
      </c>
      <c r="W2132" s="6">
        <f>IF(ISERROR(VLOOKUP($T$2132,'TAR FIN'!$A$1:$O$104,15,0)),0,VLOOKUP($T$2132,'TAR FIN'!$A$1:$O$104,15,0))</f>
        <v>341.2</v>
      </c>
      <c r="X2132" s="6">
        <f>IF(ISERROR(VLOOKUP($U$2132,'TAR FIN'!$A$1:$O$104,15,0)),0,VLOOKUP($U$2132,'TAR FIN'!$A$1:$O$104,15,0))</f>
        <v>255.72</v>
      </c>
      <c r="Y2132" s="6"/>
      <c r="Z2132" s="6">
        <f ca="1">('TUSD BE'!$AM$62+'TUSD BF'!$AM$62+'TUSD CVA'!$AM$62)*1</f>
        <v>356.61002995987536</v>
      </c>
      <c r="AA2132" s="6">
        <f>('TE BE'!$AB$41+'TE BF'!$AB$41+'TE CVA'!$AB$41)*1</f>
        <v>242.47071701268419</v>
      </c>
      <c r="AB2132" s="6">
        <f>$K$2132*$V$2132</f>
        <v>0</v>
      </c>
      <c r="AC2132" s="6">
        <f>$M$2132*$W$2132</f>
        <v>759309.55079999997</v>
      </c>
      <c r="AD2132" s="6">
        <f>$O$2132*$X$2132</f>
        <v>569081.58948000008</v>
      </c>
      <c r="AE2132" s="6">
        <f>$K$2132*$Y$2132</f>
        <v>0</v>
      </c>
      <c r="AF2132" s="6">
        <f ca="1">$M$2132*$Z$2132</f>
        <v>793603.17016297625</v>
      </c>
      <c r="AG2132" s="6">
        <f>$O$2132*$AA$2132</f>
        <v>539596.51587648049</v>
      </c>
    </row>
    <row r="2133" spans="1:33" ht="11.25" customHeight="1" x14ac:dyDescent="0.25">
      <c r="A2133" s="4" t="s">
        <v>27</v>
      </c>
      <c r="B2133" s="4" t="s">
        <v>37</v>
      </c>
      <c r="C2133" s="4" t="s">
        <v>23</v>
      </c>
      <c r="D2133" s="4" t="s">
        <v>38</v>
      </c>
      <c r="E2133" s="4" t="s">
        <v>25</v>
      </c>
      <c r="F2133" s="4" t="s">
        <v>25</v>
      </c>
      <c r="G2133" s="4" t="s">
        <v>25</v>
      </c>
      <c r="H2133" s="4" t="s">
        <v>25</v>
      </c>
      <c r="I2133" s="5">
        <v>44713</v>
      </c>
      <c r="J2133" s="6">
        <v>0</v>
      </c>
      <c r="K2133" s="6">
        <v>0</v>
      </c>
      <c r="L2133" s="6">
        <v>-6.25</v>
      </c>
      <c r="M2133" s="6">
        <v>-6.25</v>
      </c>
      <c r="N2133" s="6">
        <v>-6.25</v>
      </c>
      <c r="O2133" s="6">
        <v>-6.25</v>
      </c>
      <c r="P2133" s="6">
        <v>-1</v>
      </c>
      <c r="Q2133" s="4" t="s">
        <v>26</v>
      </c>
      <c r="R2133" s="4">
        <v>0</v>
      </c>
      <c r="S2133" s="6">
        <v>0</v>
      </c>
      <c r="T2133" s="6">
        <v>57</v>
      </c>
      <c r="U2133" s="6">
        <v>100</v>
      </c>
      <c r="V2133" s="6">
        <f>IF(ISERROR(VLOOKUP($S$2133,'TAR FIN'!$A$1:$O$104,15,0)),0,VLOOKUP($S$2133,'TAR FIN'!$A$1:$O$104,15,0))</f>
        <v>0</v>
      </c>
      <c r="W2133" s="6">
        <f>IF(ISERROR(VLOOKUP($T$2133,'TAR FIN'!$A$1:$O$104,15,0)),0,VLOOKUP($T$2133,'TAR FIN'!$A$1:$O$104,15,0))</f>
        <v>341.2</v>
      </c>
      <c r="X2133" s="6">
        <f>IF(ISERROR(VLOOKUP($U$2133,'TAR FIN'!$A$1:$O$104,15,0)),0,VLOOKUP($U$2133,'TAR FIN'!$A$1:$O$104,15,0))</f>
        <v>255.72</v>
      </c>
      <c r="Y2133" s="6"/>
      <c r="Z2133" s="6">
        <f ca="1">('TUSD BE'!$AM$62+'TUSD BF'!$AM$62+'TUSD CVA'!$AM$62)*1</f>
        <v>356.61002995987536</v>
      </c>
      <c r="AA2133" s="6">
        <f>('TE BE'!$AB$41+'TE BF'!$AB$41+'TE CVA'!$AB$41)*1</f>
        <v>242.47071701268419</v>
      </c>
      <c r="AB2133" s="6">
        <f>$K$2133*$V$2133</f>
        <v>0</v>
      </c>
      <c r="AC2133" s="6">
        <f>$M$2133*$W$2133</f>
        <v>-2132.5</v>
      </c>
      <c r="AD2133" s="6">
        <f>$O$2133*$X$2133</f>
        <v>-1598.25</v>
      </c>
      <c r="AE2133" s="6">
        <f>$K$2133*$Y$2133</f>
        <v>0</v>
      </c>
      <c r="AF2133" s="6">
        <f ca="1">$M$2133*$Z$2133</f>
        <v>-2228.8126872492212</v>
      </c>
      <c r="AG2133" s="6">
        <f>$O$2133*$AA$2133</f>
        <v>-1515.4419813292761</v>
      </c>
    </row>
    <row r="2134" spans="1:33" ht="11.25" customHeight="1" x14ac:dyDescent="0.25">
      <c r="A2134" s="4" t="s">
        <v>28</v>
      </c>
      <c r="B2134" s="4" t="s">
        <v>37</v>
      </c>
      <c r="C2134" s="4" t="s">
        <v>23</v>
      </c>
      <c r="D2134" s="4" t="s">
        <v>38</v>
      </c>
      <c r="E2134" s="4" t="s">
        <v>25</v>
      </c>
      <c r="F2134" s="4" t="s">
        <v>25</v>
      </c>
      <c r="G2134" s="4" t="s">
        <v>25</v>
      </c>
      <c r="H2134" s="4" t="s">
        <v>25</v>
      </c>
      <c r="I2134" s="5">
        <v>44713</v>
      </c>
      <c r="J2134" s="6">
        <v>0</v>
      </c>
      <c r="K2134" s="6">
        <v>0</v>
      </c>
      <c r="L2134" s="6">
        <v>638.27499999999998</v>
      </c>
      <c r="M2134" s="6">
        <v>638.27499999999998</v>
      </c>
      <c r="N2134" s="6">
        <v>638.27499999999998</v>
      </c>
      <c r="O2134" s="6">
        <v>638.27499999999998</v>
      </c>
      <c r="P2134" s="6">
        <v>515</v>
      </c>
      <c r="Q2134" s="4" t="s">
        <v>26</v>
      </c>
      <c r="R2134" s="4">
        <v>0</v>
      </c>
      <c r="S2134" s="6">
        <v>0</v>
      </c>
      <c r="T2134" s="6">
        <v>57</v>
      </c>
      <c r="U2134" s="6">
        <v>100</v>
      </c>
      <c r="V2134" s="6">
        <f>IF(ISERROR(VLOOKUP($S$2134,'TAR FIN'!$A$1:$O$104,15,0)),0,VLOOKUP($S$2134,'TAR FIN'!$A$1:$O$104,15,0))</f>
        <v>0</v>
      </c>
      <c r="W2134" s="6">
        <f>IF(ISERROR(VLOOKUP($T$2134,'TAR FIN'!$A$1:$O$104,15,0)),0,VLOOKUP($T$2134,'TAR FIN'!$A$1:$O$104,15,0))</f>
        <v>341.2</v>
      </c>
      <c r="X2134" s="6">
        <f>IF(ISERROR(VLOOKUP($U$2134,'TAR FIN'!$A$1:$O$104,15,0)),0,VLOOKUP($U$2134,'TAR FIN'!$A$1:$O$104,15,0))</f>
        <v>255.72</v>
      </c>
      <c r="Y2134" s="6"/>
      <c r="Z2134" s="6">
        <f ca="1">('TUSD BE'!$AM$62+'TUSD BF'!$AM$62+'TUSD CVA'!$AM$62)*1</f>
        <v>356.61002995987536</v>
      </c>
      <c r="AA2134" s="6">
        <f>('TE BE'!$AB$41+'TE BF'!$AB$41+'TE CVA'!$AB$41)*1</f>
        <v>242.47071701268419</v>
      </c>
      <c r="AB2134" s="6">
        <f>$K$2134*$V$2134</f>
        <v>0</v>
      </c>
      <c r="AC2134" s="6">
        <f>$M$2134*$W$2134</f>
        <v>217779.43</v>
      </c>
      <c r="AD2134" s="6">
        <f>$O$2134*$X$2134</f>
        <v>163219.68299999999</v>
      </c>
      <c r="AE2134" s="6">
        <f>$K$2134*$Y$2134</f>
        <v>0</v>
      </c>
      <c r="AF2134" s="6">
        <f ca="1">$M$2134*$Z$2134</f>
        <v>227615.26687263945</v>
      </c>
      <c r="AG2134" s="6">
        <f>$O$2134*$AA$2134</f>
        <v>154762.99690127099</v>
      </c>
    </row>
    <row r="2135" spans="1:33" ht="11.25" customHeight="1" x14ac:dyDescent="0.25">
      <c r="A2135" s="4" t="s">
        <v>28</v>
      </c>
      <c r="B2135" s="4" t="s">
        <v>37</v>
      </c>
      <c r="C2135" s="4" t="s">
        <v>23</v>
      </c>
      <c r="D2135" s="4" t="s">
        <v>38</v>
      </c>
      <c r="E2135" s="4" t="s">
        <v>25</v>
      </c>
      <c r="F2135" s="4" t="s">
        <v>25</v>
      </c>
      <c r="G2135" s="4" t="s">
        <v>25</v>
      </c>
      <c r="H2135" s="4" t="s">
        <v>25</v>
      </c>
      <c r="I2135" s="5">
        <v>44713</v>
      </c>
      <c r="J2135" s="6">
        <v>0</v>
      </c>
      <c r="K2135" s="6">
        <v>0</v>
      </c>
      <c r="L2135" s="6">
        <v>-0.33700000000000002</v>
      </c>
      <c r="M2135" s="6">
        <v>-0.33700000000000002</v>
      </c>
      <c r="N2135" s="6">
        <v>-0.33700000000000002</v>
      </c>
      <c r="O2135" s="6">
        <v>-0.33700000000000002</v>
      </c>
      <c r="P2135" s="6">
        <v>0</v>
      </c>
      <c r="Q2135" s="4" t="s">
        <v>26</v>
      </c>
      <c r="R2135" s="4">
        <v>0</v>
      </c>
      <c r="S2135" s="6">
        <v>0</v>
      </c>
      <c r="T2135" s="6">
        <v>57</v>
      </c>
      <c r="U2135" s="6">
        <v>100</v>
      </c>
      <c r="V2135" s="6">
        <f>IF(ISERROR(VLOOKUP($S$2135,'TAR FIN'!$A$1:$O$104,15,0)),0,VLOOKUP($S$2135,'TAR FIN'!$A$1:$O$104,15,0))</f>
        <v>0</v>
      </c>
      <c r="W2135" s="6">
        <f>IF(ISERROR(VLOOKUP($T$2135,'TAR FIN'!$A$1:$O$104,15,0)),0,VLOOKUP($T$2135,'TAR FIN'!$A$1:$O$104,15,0))</f>
        <v>341.2</v>
      </c>
      <c r="X2135" s="6">
        <f>IF(ISERROR(VLOOKUP($U$2135,'TAR FIN'!$A$1:$O$104,15,0)),0,VLOOKUP($U$2135,'TAR FIN'!$A$1:$O$104,15,0))</f>
        <v>255.72</v>
      </c>
      <c r="Y2135" s="6"/>
      <c r="Z2135" s="6">
        <f ca="1">('TUSD BE'!$AM$62+'TUSD BF'!$AM$62+'TUSD CVA'!$AM$62)*1</f>
        <v>356.61002995987536</v>
      </c>
      <c r="AA2135" s="6">
        <f>('TE BE'!$AB$41+'TE BF'!$AB$41+'TE CVA'!$AB$41)*1</f>
        <v>242.47071701268419</v>
      </c>
      <c r="AB2135" s="6">
        <f>$K$2135*$V$2135</f>
        <v>0</v>
      </c>
      <c r="AC2135" s="6">
        <f>$M$2135*$W$2135</f>
        <v>-114.98440000000001</v>
      </c>
      <c r="AD2135" s="6">
        <f>$O$2135*$X$2135</f>
        <v>-86.177640000000011</v>
      </c>
      <c r="AE2135" s="6">
        <f>$K$2135*$Y$2135</f>
        <v>0</v>
      </c>
      <c r="AF2135" s="6">
        <f ca="1">$M$2135*$Z$2135</f>
        <v>-120.17758009647801</v>
      </c>
      <c r="AG2135" s="6">
        <f>$O$2135*$AA$2135</f>
        <v>-81.712631633274583</v>
      </c>
    </row>
    <row r="2136" spans="1:33" ht="11.25" customHeight="1" x14ac:dyDescent="0.25">
      <c r="A2136" s="4" t="s">
        <v>57</v>
      </c>
      <c r="B2136" s="4" t="s">
        <v>37</v>
      </c>
      <c r="C2136" s="4" t="s">
        <v>23</v>
      </c>
      <c r="D2136" s="4" t="s">
        <v>38</v>
      </c>
      <c r="E2136" s="4" t="s">
        <v>25</v>
      </c>
      <c r="F2136" s="4" t="s">
        <v>25</v>
      </c>
      <c r="G2136" s="4" t="s">
        <v>25</v>
      </c>
      <c r="H2136" s="4" t="s">
        <v>25</v>
      </c>
      <c r="I2136" s="5">
        <v>44743</v>
      </c>
      <c r="J2136" s="6">
        <v>0</v>
      </c>
      <c r="K2136" s="6">
        <v>0</v>
      </c>
      <c r="L2136" s="6">
        <v>2225.4090000000001</v>
      </c>
      <c r="M2136" s="6">
        <v>2225.4090000000001</v>
      </c>
      <c r="N2136" s="6">
        <v>2225.4090000000001</v>
      </c>
      <c r="O2136" s="6">
        <v>2225.4090000000001</v>
      </c>
      <c r="P2136" s="6">
        <v>3093</v>
      </c>
      <c r="Q2136" s="4" t="s">
        <v>26</v>
      </c>
      <c r="R2136" s="4">
        <v>0</v>
      </c>
      <c r="S2136" s="6">
        <v>0</v>
      </c>
      <c r="T2136" s="6">
        <v>57</v>
      </c>
      <c r="U2136" s="6">
        <v>100</v>
      </c>
      <c r="V2136" s="6">
        <f>IF(ISERROR(VLOOKUP($S$2136,'TAR FIN'!$A$1:$O$104,15,0)),0,VLOOKUP($S$2136,'TAR FIN'!$A$1:$O$104,15,0))</f>
        <v>0</v>
      </c>
      <c r="W2136" s="6">
        <f>IF(ISERROR(VLOOKUP($T$2136,'TAR FIN'!$A$1:$O$104,15,0)),0,VLOOKUP($T$2136,'TAR FIN'!$A$1:$O$104,15,0))</f>
        <v>341.2</v>
      </c>
      <c r="X2136" s="6">
        <f>IF(ISERROR(VLOOKUP($U$2136,'TAR FIN'!$A$1:$O$104,15,0)),0,VLOOKUP($U$2136,'TAR FIN'!$A$1:$O$104,15,0))</f>
        <v>255.72</v>
      </c>
      <c r="Y2136" s="6"/>
      <c r="Z2136" s="6">
        <f ca="1">('TUSD BE'!$AM$62+'TUSD BF'!$AM$62+'TUSD CVA'!$AM$62)*1</f>
        <v>356.61002995987536</v>
      </c>
      <c r="AA2136" s="6">
        <f>('TE BE'!$AB$41+'TE BF'!$AB$41+'TE CVA'!$AB$41)*1</f>
        <v>242.47071701268419</v>
      </c>
      <c r="AB2136" s="6">
        <f>$K$2136*$V$2136</f>
        <v>0</v>
      </c>
      <c r="AC2136" s="6">
        <f>$M$2136*$W$2136</f>
        <v>759309.55079999997</v>
      </c>
      <c r="AD2136" s="6">
        <f>$O$2136*$X$2136</f>
        <v>569081.58948000008</v>
      </c>
      <c r="AE2136" s="6">
        <f>$K$2136*$Y$2136</f>
        <v>0</v>
      </c>
      <c r="AF2136" s="6">
        <f ca="1">$M$2136*$Z$2136</f>
        <v>793603.17016297625</v>
      </c>
      <c r="AG2136" s="6">
        <f>$O$2136*$AA$2136</f>
        <v>539596.51587648049</v>
      </c>
    </row>
    <row r="2137" spans="1:33" ht="11.25" customHeight="1" x14ac:dyDescent="0.25">
      <c r="A2137" s="4" t="s">
        <v>57</v>
      </c>
      <c r="B2137" s="4" t="s">
        <v>37</v>
      </c>
      <c r="C2137" s="4" t="s">
        <v>23</v>
      </c>
      <c r="D2137" s="4" t="s">
        <v>38</v>
      </c>
      <c r="E2137" s="4" t="s">
        <v>25</v>
      </c>
      <c r="F2137" s="4" t="s">
        <v>25</v>
      </c>
      <c r="G2137" s="4" t="s">
        <v>25</v>
      </c>
      <c r="H2137" s="4" t="s">
        <v>25</v>
      </c>
      <c r="I2137" s="5">
        <v>44743</v>
      </c>
      <c r="J2137" s="6">
        <v>0</v>
      </c>
      <c r="K2137" s="6">
        <v>0</v>
      </c>
      <c r="L2137" s="6">
        <v>-6.25</v>
      </c>
      <c r="M2137" s="6">
        <v>-6.25</v>
      </c>
      <c r="N2137" s="6">
        <v>-6.25</v>
      </c>
      <c r="O2137" s="6">
        <v>-6.25</v>
      </c>
      <c r="P2137" s="6">
        <v>-1</v>
      </c>
      <c r="Q2137" s="4" t="s">
        <v>26</v>
      </c>
      <c r="R2137" s="4">
        <v>0</v>
      </c>
      <c r="S2137" s="6">
        <v>0</v>
      </c>
      <c r="T2137" s="6">
        <v>57</v>
      </c>
      <c r="U2137" s="6">
        <v>100</v>
      </c>
      <c r="V2137" s="6">
        <f>IF(ISERROR(VLOOKUP($S$2137,'TAR FIN'!$A$1:$O$104,15,0)),0,VLOOKUP($S$2137,'TAR FIN'!$A$1:$O$104,15,0))</f>
        <v>0</v>
      </c>
      <c r="W2137" s="6">
        <f>IF(ISERROR(VLOOKUP($T$2137,'TAR FIN'!$A$1:$O$104,15,0)),0,VLOOKUP($T$2137,'TAR FIN'!$A$1:$O$104,15,0))</f>
        <v>341.2</v>
      </c>
      <c r="X2137" s="6">
        <f>IF(ISERROR(VLOOKUP($U$2137,'TAR FIN'!$A$1:$O$104,15,0)),0,VLOOKUP($U$2137,'TAR FIN'!$A$1:$O$104,15,0))</f>
        <v>255.72</v>
      </c>
      <c r="Y2137" s="6"/>
      <c r="Z2137" s="6">
        <f ca="1">('TUSD BE'!$AM$62+'TUSD BF'!$AM$62+'TUSD CVA'!$AM$62)*1</f>
        <v>356.61002995987536</v>
      </c>
      <c r="AA2137" s="6">
        <f>('TE BE'!$AB$41+'TE BF'!$AB$41+'TE CVA'!$AB$41)*1</f>
        <v>242.47071701268419</v>
      </c>
      <c r="AB2137" s="6">
        <f>$K$2137*$V$2137</f>
        <v>0</v>
      </c>
      <c r="AC2137" s="6">
        <f>$M$2137*$W$2137</f>
        <v>-2132.5</v>
      </c>
      <c r="AD2137" s="6">
        <f>$O$2137*$X$2137</f>
        <v>-1598.25</v>
      </c>
      <c r="AE2137" s="6">
        <f>$K$2137*$Y$2137</f>
        <v>0</v>
      </c>
      <c r="AF2137" s="6">
        <f ca="1">$M$2137*$Z$2137</f>
        <v>-2228.8126872492212</v>
      </c>
      <c r="AG2137" s="6">
        <f>$O$2137*$AA$2137</f>
        <v>-1515.4419813292761</v>
      </c>
    </row>
    <row r="2138" spans="1:33" ht="11.25" customHeight="1" x14ac:dyDescent="0.25">
      <c r="A2138" s="4" t="s">
        <v>57</v>
      </c>
      <c r="B2138" s="4" t="s">
        <v>37</v>
      </c>
      <c r="C2138" s="4" t="s">
        <v>23</v>
      </c>
      <c r="D2138" s="4" t="s">
        <v>38</v>
      </c>
      <c r="E2138" s="4" t="s">
        <v>25</v>
      </c>
      <c r="F2138" s="4" t="s">
        <v>25</v>
      </c>
      <c r="G2138" s="4" t="s">
        <v>25</v>
      </c>
      <c r="H2138" s="4" t="s">
        <v>25</v>
      </c>
      <c r="I2138" s="5">
        <v>44743</v>
      </c>
      <c r="J2138" s="6">
        <v>0</v>
      </c>
      <c r="K2138" s="6">
        <v>0</v>
      </c>
      <c r="L2138" s="6">
        <v>638.27499999999998</v>
      </c>
      <c r="M2138" s="6">
        <v>638.27499999999998</v>
      </c>
      <c r="N2138" s="6">
        <v>638.27499999999998</v>
      </c>
      <c r="O2138" s="6">
        <v>638.27499999999998</v>
      </c>
      <c r="P2138" s="6">
        <v>515</v>
      </c>
      <c r="Q2138" s="4" t="s">
        <v>26</v>
      </c>
      <c r="R2138" s="4">
        <v>0</v>
      </c>
      <c r="S2138" s="6">
        <v>0</v>
      </c>
      <c r="T2138" s="6">
        <v>57</v>
      </c>
      <c r="U2138" s="6">
        <v>100</v>
      </c>
      <c r="V2138" s="6">
        <f>IF(ISERROR(VLOOKUP($S$2138,'TAR FIN'!$A$1:$O$104,15,0)),0,VLOOKUP($S$2138,'TAR FIN'!$A$1:$O$104,15,0))</f>
        <v>0</v>
      </c>
      <c r="W2138" s="6">
        <f>IF(ISERROR(VLOOKUP($T$2138,'TAR FIN'!$A$1:$O$104,15,0)),0,VLOOKUP($T$2138,'TAR FIN'!$A$1:$O$104,15,0))</f>
        <v>341.2</v>
      </c>
      <c r="X2138" s="6">
        <f>IF(ISERROR(VLOOKUP($U$2138,'TAR FIN'!$A$1:$O$104,15,0)),0,VLOOKUP($U$2138,'TAR FIN'!$A$1:$O$104,15,0))</f>
        <v>255.72</v>
      </c>
      <c r="Y2138" s="6"/>
      <c r="Z2138" s="6">
        <f ca="1">('TUSD BE'!$AM$62+'TUSD BF'!$AM$62+'TUSD CVA'!$AM$62)*1</f>
        <v>356.61002995987536</v>
      </c>
      <c r="AA2138" s="6">
        <f>('TE BE'!$AB$41+'TE BF'!$AB$41+'TE CVA'!$AB$41)*1</f>
        <v>242.47071701268419</v>
      </c>
      <c r="AB2138" s="6">
        <f>$K$2138*$V$2138</f>
        <v>0</v>
      </c>
      <c r="AC2138" s="6">
        <f>$M$2138*$W$2138</f>
        <v>217779.43</v>
      </c>
      <c r="AD2138" s="6">
        <f>$O$2138*$X$2138</f>
        <v>163219.68299999999</v>
      </c>
      <c r="AE2138" s="6">
        <f>$K$2138*$Y$2138</f>
        <v>0</v>
      </c>
      <c r="AF2138" s="6">
        <f ca="1">$M$2138*$Z$2138</f>
        <v>227615.26687263945</v>
      </c>
      <c r="AG2138" s="6">
        <f>$O$2138*$AA$2138</f>
        <v>154762.99690127099</v>
      </c>
    </row>
    <row r="2139" spans="1:33" ht="11.25" customHeight="1" x14ac:dyDescent="0.25">
      <c r="A2139" s="4" t="s">
        <v>57</v>
      </c>
      <c r="B2139" s="4" t="s">
        <v>37</v>
      </c>
      <c r="C2139" s="4" t="s">
        <v>23</v>
      </c>
      <c r="D2139" s="4" t="s">
        <v>38</v>
      </c>
      <c r="E2139" s="4" t="s">
        <v>25</v>
      </c>
      <c r="F2139" s="4" t="s">
        <v>25</v>
      </c>
      <c r="G2139" s="4" t="s">
        <v>25</v>
      </c>
      <c r="H2139" s="4" t="s">
        <v>25</v>
      </c>
      <c r="I2139" s="5">
        <v>44743</v>
      </c>
      <c r="J2139" s="6">
        <v>0</v>
      </c>
      <c r="K2139" s="6">
        <v>0</v>
      </c>
      <c r="L2139" s="6">
        <v>-0.33700000000000002</v>
      </c>
      <c r="M2139" s="6">
        <v>-0.33700000000000002</v>
      </c>
      <c r="N2139" s="6">
        <v>-0.33700000000000002</v>
      </c>
      <c r="O2139" s="6">
        <v>-0.33700000000000002</v>
      </c>
      <c r="P2139" s="6">
        <v>0</v>
      </c>
      <c r="Q2139" s="4" t="s">
        <v>26</v>
      </c>
      <c r="R2139" s="4">
        <v>0</v>
      </c>
      <c r="S2139" s="6">
        <v>0</v>
      </c>
      <c r="T2139" s="6">
        <v>57</v>
      </c>
      <c r="U2139" s="6">
        <v>100</v>
      </c>
      <c r="V2139" s="6">
        <f>IF(ISERROR(VLOOKUP($S$2139,'TAR FIN'!$A$1:$O$104,15,0)),0,VLOOKUP($S$2139,'TAR FIN'!$A$1:$O$104,15,0))</f>
        <v>0</v>
      </c>
      <c r="W2139" s="6">
        <f>IF(ISERROR(VLOOKUP($T$2139,'TAR FIN'!$A$1:$O$104,15,0)),0,VLOOKUP($T$2139,'TAR FIN'!$A$1:$O$104,15,0))</f>
        <v>341.2</v>
      </c>
      <c r="X2139" s="6">
        <f>IF(ISERROR(VLOOKUP($U$2139,'TAR FIN'!$A$1:$O$104,15,0)),0,VLOOKUP($U$2139,'TAR FIN'!$A$1:$O$104,15,0))</f>
        <v>255.72</v>
      </c>
      <c r="Y2139" s="6"/>
      <c r="Z2139" s="6">
        <f ca="1">('TUSD BE'!$AM$62+'TUSD BF'!$AM$62+'TUSD CVA'!$AM$62)*1</f>
        <v>356.61002995987536</v>
      </c>
      <c r="AA2139" s="6">
        <f>('TE BE'!$AB$41+'TE BF'!$AB$41+'TE CVA'!$AB$41)*1</f>
        <v>242.47071701268419</v>
      </c>
      <c r="AB2139" s="6">
        <f>$K$2139*$V$2139</f>
        <v>0</v>
      </c>
      <c r="AC2139" s="6">
        <f>$M$2139*$W$2139</f>
        <v>-114.98440000000001</v>
      </c>
      <c r="AD2139" s="6">
        <f>$O$2139*$X$2139</f>
        <v>-86.177640000000011</v>
      </c>
      <c r="AE2139" s="6">
        <f>$K$2139*$Y$2139</f>
        <v>0</v>
      </c>
      <c r="AF2139" s="6">
        <f ca="1">$M$2139*$Z$2139</f>
        <v>-120.17758009647801</v>
      </c>
      <c r="AG2139" s="6">
        <f>$O$2139*$AA$2139</f>
        <v>-81.712631633274583</v>
      </c>
    </row>
    <row r="2140" spans="1:33" ht="11.25" customHeight="1" x14ac:dyDescent="0.25">
      <c r="A2140" s="4" t="s">
        <v>21</v>
      </c>
      <c r="B2140" s="4" t="s">
        <v>37</v>
      </c>
      <c r="C2140" s="4" t="s">
        <v>23</v>
      </c>
      <c r="D2140" s="4" t="s">
        <v>46</v>
      </c>
      <c r="E2140" s="4" t="s">
        <v>25</v>
      </c>
      <c r="F2140" s="4" t="s">
        <v>25</v>
      </c>
      <c r="G2140" s="4" t="s">
        <v>25</v>
      </c>
      <c r="H2140" s="4" t="s">
        <v>25</v>
      </c>
      <c r="I2140" s="5">
        <v>44409</v>
      </c>
      <c r="J2140" s="6">
        <v>0</v>
      </c>
      <c r="K2140" s="6">
        <v>0</v>
      </c>
      <c r="L2140" s="6">
        <v>8498.3240000000005</v>
      </c>
      <c r="M2140" s="6">
        <v>8498.3240000000005</v>
      </c>
      <c r="N2140" s="6">
        <v>8498.3240000000005</v>
      </c>
      <c r="O2140" s="6">
        <v>8498.3240000000005</v>
      </c>
      <c r="P2140" s="6">
        <v>16540</v>
      </c>
      <c r="Q2140" s="4" t="s">
        <v>26</v>
      </c>
      <c r="R2140" s="4">
        <v>0</v>
      </c>
      <c r="S2140" s="6">
        <v>0</v>
      </c>
      <c r="T2140" s="6">
        <v>57</v>
      </c>
      <c r="U2140" s="6">
        <v>100</v>
      </c>
      <c r="V2140" s="6">
        <f>IF(ISERROR(VLOOKUP($S$2140,'TAR FIN'!$A$1:$O$104,15,0)),0,VLOOKUP($S$2140,'TAR FIN'!$A$1:$O$104,15,0))</f>
        <v>0</v>
      </c>
      <c r="W2140" s="6">
        <f>IF(ISERROR(VLOOKUP($T$2140,'TAR FIN'!$A$1:$O$104,15,0)),0,VLOOKUP($T$2140,'TAR FIN'!$A$1:$O$104,15,0))</f>
        <v>341.2</v>
      </c>
      <c r="X2140" s="6">
        <f>IF(ISERROR(VLOOKUP($U$2140,'TAR FIN'!$A$1:$O$104,15,0)),0,VLOOKUP($U$2140,'TAR FIN'!$A$1:$O$104,15,0))</f>
        <v>255.72</v>
      </c>
      <c r="Y2140" s="6"/>
      <c r="Z2140" s="6">
        <f ca="1">('TUSD BE'!$AM$62+'TUSD BF'!$AM$62+'TUSD CVA'!$AM$62)*1</f>
        <v>356.61002995987536</v>
      </c>
      <c r="AA2140" s="6">
        <f>('TE BE'!$AB$41+'TE BF'!$AB$41+'TE CVA'!$AB$41)*1</f>
        <v>242.47071701268419</v>
      </c>
      <c r="AB2140" s="6">
        <f>$K$2140*$V$2140</f>
        <v>0</v>
      </c>
      <c r="AC2140" s="6">
        <f>$M$2140*$W$2140</f>
        <v>2899628.1488000001</v>
      </c>
      <c r="AD2140" s="6">
        <f>$O$2140*$X$2140</f>
        <v>2173191.41328</v>
      </c>
      <c r="AE2140" s="6">
        <f>$K$2140*$Y$2140</f>
        <v>0</v>
      </c>
      <c r="AF2140" s="6">
        <f ca="1">$M$2140*$Z$2140</f>
        <v>3030587.5762487282</v>
      </c>
      <c r="AG2140" s="6">
        <f>$O$2140*$AA$2140</f>
        <v>2060594.7136861025</v>
      </c>
    </row>
    <row r="2141" spans="1:33" ht="11.25" customHeight="1" x14ac:dyDescent="0.25">
      <c r="A2141" s="4" t="s">
        <v>27</v>
      </c>
      <c r="B2141" s="4" t="s">
        <v>37</v>
      </c>
      <c r="C2141" s="4" t="s">
        <v>23</v>
      </c>
      <c r="D2141" s="4" t="s">
        <v>46</v>
      </c>
      <c r="E2141" s="4" t="s">
        <v>25</v>
      </c>
      <c r="F2141" s="4" t="s">
        <v>25</v>
      </c>
      <c r="G2141" s="4" t="s">
        <v>25</v>
      </c>
      <c r="H2141" s="4" t="s">
        <v>25</v>
      </c>
      <c r="I2141" s="5">
        <v>44409</v>
      </c>
      <c r="J2141" s="6">
        <v>0</v>
      </c>
      <c r="K2141" s="6">
        <v>0</v>
      </c>
      <c r="L2141" s="6">
        <v>-66.433000000000007</v>
      </c>
      <c r="M2141" s="6">
        <v>-66.433000000000007</v>
      </c>
      <c r="N2141" s="6">
        <v>-66.433000000000007</v>
      </c>
      <c r="O2141" s="6">
        <v>-66.433000000000007</v>
      </c>
      <c r="P2141" s="6">
        <v>-3</v>
      </c>
      <c r="Q2141" s="4" t="s">
        <v>26</v>
      </c>
      <c r="R2141" s="4">
        <v>0</v>
      </c>
      <c r="S2141" s="6">
        <v>0</v>
      </c>
      <c r="T2141" s="6">
        <v>57</v>
      </c>
      <c r="U2141" s="6">
        <v>100</v>
      </c>
      <c r="V2141" s="6">
        <f>IF(ISERROR(VLOOKUP($S$2141,'TAR FIN'!$A$1:$O$104,15,0)),0,VLOOKUP($S$2141,'TAR FIN'!$A$1:$O$104,15,0))</f>
        <v>0</v>
      </c>
      <c r="W2141" s="6">
        <f>IF(ISERROR(VLOOKUP($T$2141,'TAR FIN'!$A$1:$O$104,15,0)),0,VLOOKUP($T$2141,'TAR FIN'!$A$1:$O$104,15,0))</f>
        <v>341.2</v>
      </c>
      <c r="X2141" s="6">
        <f>IF(ISERROR(VLOOKUP($U$2141,'TAR FIN'!$A$1:$O$104,15,0)),0,VLOOKUP($U$2141,'TAR FIN'!$A$1:$O$104,15,0))</f>
        <v>255.72</v>
      </c>
      <c r="Y2141" s="6"/>
      <c r="Z2141" s="6">
        <f ca="1">('TUSD BE'!$AM$62+'TUSD BF'!$AM$62+'TUSD CVA'!$AM$62)*1</f>
        <v>356.61002995987536</v>
      </c>
      <c r="AA2141" s="6">
        <f>('TE BE'!$AB$41+'TE BF'!$AB$41+'TE CVA'!$AB$41)*1</f>
        <v>242.47071701268419</v>
      </c>
      <c r="AB2141" s="6">
        <f>$K$2141*$V$2141</f>
        <v>0</v>
      </c>
      <c r="AC2141" s="6">
        <f>$M$2141*$W$2141</f>
        <v>-22666.939600000002</v>
      </c>
      <c r="AD2141" s="6">
        <f>$O$2141*$X$2141</f>
        <v>-16988.246760000002</v>
      </c>
      <c r="AE2141" s="6">
        <f>$K$2141*$Y$2141</f>
        <v>0</v>
      </c>
      <c r="AF2141" s="6">
        <f ca="1">$M$2141*$Z$2141</f>
        <v>-23690.674120324402</v>
      </c>
      <c r="AG2141" s="6">
        <f>$O$2141*$AA$2141</f>
        <v>-16108.057143303651</v>
      </c>
    </row>
    <row r="2142" spans="1:33" ht="11.25" customHeight="1" x14ac:dyDescent="0.25">
      <c r="A2142" s="4" t="s">
        <v>28</v>
      </c>
      <c r="B2142" s="4" t="s">
        <v>37</v>
      </c>
      <c r="C2142" s="4" t="s">
        <v>23</v>
      </c>
      <c r="D2142" s="4" t="s">
        <v>46</v>
      </c>
      <c r="E2142" s="4" t="s">
        <v>25</v>
      </c>
      <c r="F2142" s="4" t="s">
        <v>25</v>
      </c>
      <c r="G2142" s="4" t="s">
        <v>25</v>
      </c>
      <c r="H2142" s="4" t="s">
        <v>25</v>
      </c>
      <c r="I2142" s="5">
        <v>44409</v>
      </c>
      <c r="J2142" s="6">
        <v>0</v>
      </c>
      <c r="K2142" s="6">
        <v>0</v>
      </c>
      <c r="L2142" s="6">
        <v>51.176000000000002</v>
      </c>
      <c r="M2142" s="6">
        <v>51.176000000000002</v>
      </c>
      <c r="N2142" s="6">
        <v>51.176000000000002</v>
      </c>
      <c r="O2142" s="6">
        <v>51.176000000000002</v>
      </c>
      <c r="P2142" s="6">
        <v>98</v>
      </c>
      <c r="Q2142" s="4" t="s">
        <v>26</v>
      </c>
      <c r="R2142" s="4">
        <v>0</v>
      </c>
      <c r="S2142" s="6">
        <v>0</v>
      </c>
      <c r="T2142" s="6">
        <v>57</v>
      </c>
      <c r="U2142" s="6">
        <v>100</v>
      </c>
      <c r="V2142" s="6">
        <f>IF(ISERROR(VLOOKUP($S$2142,'TAR FIN'!$A$1:$O$104,15,0)),0,VLOOKUP($S$2142,'TAR FIN'!$A$1:$O$104,15,0))</f>
        <v>0</v>
      </c>
      <c r="W2142" s="6">
        <f>IF(ISERROR(VLOOKUP($T$2142,'TAR FIN'!$A$1:$O$104,15,0)),0,VLOOKUP($T$2142,'TAR FIN'!$A$1:$O$104,15,0))</f>
        <v>341.2</v>
      </c>
      <c r="X2142" s="6">
        <f>IF(ISERROR(VLOOKUP($U$2142,'TAR FIN'!$A$1:$O$104,15,0)),0,VLOOKUP($U$2142,'TAR FIN'!$A$1:$O$104,15,0))</f>
        <v>255.72</v>
      </c>
      <c r="Y2142" s="6"/>
      <c r="Z2142" s="6">
        <f ca="1">('TUSD BE'!$AM$62+'TUSD BF'!$AM$62+'TUSD CVA'!$AM$62)*1</f>
        <v>356.61002995987536</v>
      </c>
      <c r="AA2142" s="6">
        <f>('TE BE'!$AB$41+'TE BF'!$AB$41+'TE CVA'!$AB$41)*1</f>
        <v>242.47071701268419</v>
      </c>
      <c r="AB2142" s="6">
        <f>$K$2142*$V$2142</f>
        <v>0</v>
      </c>
      <c r="AC2142" s="6">
        <f>$M$2142*$W$2142</f>
        <v>17461.251199999999</v>
      </c>
      <c r="AD2142" s="6">
        <f>$O$2142*$X$2142</f>
        <v>13086.726720000001</v>
      </c>
      <c r="AE2142" s="6">
        <f>$K$2142*$Y$2142</f>
        <v>0</v>
      </c>
      <c r="AF2142" s="6">
        <f ca="1">$M$2142*$Z$2142</f>
        <v>18249.874893226581</v>
      </c>
      <c r="AG2142" s="6">
        <f>$O$2142*$AA$2142</f>
        <v>12408.681413841126</v>
      </c>
    </row>
    <row r="2143" spans="1:33" ht="11.25" customHeight="1" x14ac:dyDescent="0.25">
      <c r="A2143" s="4" t="s">
        <v>21</v>
      </c>
      <c r="B2143" s="4" t="s">
        <v>37</v>
      </c>
      <c r="C2143" s="4" t="s">
        <v>23</v>
      </c>
      <c r="D2143" s="4" t="s">
        <v>46</v>
      </c>
      <c r="E2143" s="4" t="s">
        <v>25</v>
      </c>
      <c r="F2143" s="4" t="s">
        <v>25</v>
      </c>
      <c r="G2143" s="4" t="s">
        <v>25</v>
      </c>
      <c r="H2143" s="4" t="s">
        <v>25</v>
      </c>
      <c r="I2143" s="5">
        <v>44440</v>
      </c>
      <c r="J2143" s="6">
        <v>0</v>
      </c>
      <c r="K2143" s="6">
        <v>0</v>
      </c>
      <c r="L2143" s="6">
        <v>8745.8809999999994</v>
      </c>
      <c r="M2143" s="6">
        <v>8745.8809999999994</v>
      </c>
      <c r="N2143" s="6">
        <v>8745.8809999999994</v>
      </c>
      <c r="O2143" s="6">
        <v>8745.8809999999994</v>
      </c>
      <c r="P2143" s="6">
        <v>16546</v>
      </c>
      <c r="Q2143" s="4" t="s">
        <v>26</v>
      </c>
      <c r="R2143" s="4">
        <v>0</v>
      </c>
      <c r="S2143" s="6">
        <v>0</v>
      </c>
      <c r="T2143" s="6">
        <v>57</v>
      </c>
      <c r="U2143" s="6">
        <v>100</v>
      </c>
      <c r="V2143" s="6">
        <f>IF(ISERROR(VLOOKUP($S$2143,'TAR FIN'!$A$1:$O$104,15,0)),0,VLOOKUP($S$2143,'TAR FIN'!$A$1:$O$104,15,0))</f>
        <v>0</v>
      </c>
      <c r="W2143" s="6">
        <f>IF(ISERROR(VLOOKUP($T$2143,'TAR FIN'!$A$1:$O$104,15,0)),0,VLOOKUP($T$2143,'TAR FIN'!$A$1:$O$104,15,0))</f>
        <v>341.2</v>
      </c>
      <c r="X2143" s="6">
        <f>IF(ISERROR(VLOOKUP($U$2143,'TAR FIN'!$A$1:$O$104,15,0)),0,VLOOKUP($U$2143,'TAR FIN'!$A$1:$O$104,15,0))</f>
        <v>255.72</v>
      </c>
      <c r="Y2143" s="6"/>
      <c r="Z2143" s="6">
        <f ca="1">('TUSD BE'!$AM$62+'TUSD BF'!$AM$62+'TUSD CVA'!$AM$62)*1</f>
        <v>356.61002995987536</v>
      </c>
      <c r="AA2143" s="6">
        <f>('TE BE'!$AB$41+'TE BF'!$AB$41+'TE CVA'!$AB$41)*1</f>
        <v>242.47071701268419</v>
      </c>
      <c r="AB2143" s="6">
        <f>$K$2143*$V$2143</f>
        <v>0</v>
      </c>
      <c r="AC2143" s="6">
        <f>$M$2143*$W$2143</f>
        <v>2984094.5971999997</v>
      </c>
      <c r="AD2143" s="6">
        <f>$O$2143*$X$2143</f>
        <v>2236496.6893199999</v>
      </c>
      <c r="AE2143" s="6">
        <f>$K$2143*$Y$2143</f>
        <v>0</v>
      </c>
      <c r="AF2143" s="6">
        <f ca="1">$M$2143*$Z$2143</f>
        <v>3118868.8854355044</v>
      </c>
      <c r="AG2143" s="6">
        <f>$O$2143*$AA$2143</f>
        <v>2120620.0369776115</v>
      </c>
    </row>
    <row r="2144" spans="1:33" ht="11.25" customHeight="1" x14ac:dyDescent="0.25">
      <c r="A2144" s="4" t="s">
        <v>27</v>
      </c>
      <c r="B2144" s="4" t="s">
        <v>37</v>
      </c>
      <c r="C2144" s="4" t="s">
        <v>23</v>
      </c>
      <c r="D2144" s="4" t="s">
        <v>46</v>
      </c>
      <c r="E2144" s="4" t="s">
        <v>25</v>
      </c>
      <c r="F2144" s="4" t="s">
        <v>25</v>
      </c>
      <c r="G2144" s="4" t="s">
        <v>25</v>
      </c>
      <c r="H2144" s="4" t="s">
        <v>25</v>
      </c>
      <c r="I2144" s="5">
        <v>44440</v>
      </c>
      <c r="J2144" s="6">
        <v>0</v>
      </c>
      <c r="K2144" s="6">
        <v>0</v>
      </c>
      <c r="L2144" s="6">
        <v>-40.125</v>
      </c>
      <c r="M2144" s="6">
        <v>-40.125</v>
      </c>
      <c r="N2144" s="6">
        <v>-40.125</v>
      </c>
      <c r="O2144" s="6">
        <v>-40.125</v>
      </c>
      <c r="P2144" s="6">
        <v>0</v>
      </c>
      <c r="Q2144" s="4" t="s">
        <v>26</v>
      </c>
      <c r="R2144" s="4">
        <v>0</v>
      </c>
      <c r="S2144" s="6">
        <v>0</v>
      </c>
      <c r="T2144" s="6">
        <v>57</v>
      </c>
      <c r="U2144" s="6">
        <v>100</v>
      </c>
      <c r="V2144" s="6">
        <f>IF(ISERROR(VLOOKUP($S$2144,'TAR FIN'!$A$1:$O$104,15,0)),0,VLOOKUP($S$2144,'TAR FIN'!$A$1:$O$104,15,0))</f>
        <v>0</v>
      </c>
      <c r="W2144" s="6">
        <f>IF(ISERROR(VLOOKUP($T$2144,'TAR FIN'!$A$1:$O$104,15,0)),0,VLOOKUP($T$2144,'TAR FIN'!$A$1:$O$104,15,0))</f>
        <v>341.2</v>
      </c>
      <c r="X2144" s="6">
        <f>IF(ISERROR(VLOOKUP($U$2144,'TAR FIN'!$A$1:$O$104,15,0)),0,VLOOKUP($U$2144,'TAR FIN'!$A$1:$O$104,15,0))</f>
        <v>255.72</v>
      </c>
      <c r="Y2144" s="6"/>
      <c r="Z2144" s="6">
        <f ca="1">('TUSD BE'!$AM$62+'TUSD BF'!$AM$62+'TUSD CVA'!$AM$62)*1</f>
        <v>356.61002995987536</v>
      </c>
      <c r="AA2144" s="6">
        <f>('TE BE'!$AB$41+'TE BF'!$AB$41+'TE CVA'!$AB$41)*1</f>
        <v>242.47071701268419</v>
      </c>
      <c r="AB2144" s="6">
        <f>$K$2144*$V$2144</f>
        <v>0</v>
      </c>
      <c r="AC2144" s="6">
        <f>$M$2144*$W$2144</f>
        <v>-13690.65</v>
      </c>
      <c r="AD2144" s="6">
        <f>$O$2144*$X$2144</f>
        <v>-10260.764999999999</v>
      </c>
      <c r="AE2144" s="6">
        <f>$K$2144*$Y$2144</f>
        <v>0</v>
      </c>
      <c r="AF2144" s="6">
        <f ca="1">$M$2144*$Z$2144</f>
        <v>-14308.97745214</v>
      </c>
      <c r="AG2144" s="6">
        <f>$O$2144*$AA$2144</f>
        <v>-9729.1375201339524</v>
      </c>
    </row>
    <row r="2145" spans="1:33" ht="11.25" customHeight="1" x14ac:dyDescent="0.25">
      <c r="A2145" s="4" t="s">
        <v>28</v>
      </c>
      <c r="B2145" s="4" t="s">
        <v>37</v>
      </c>
      <c r="C2145" s="4" t="s">
        <v>23</v>
      </c>
      <c r="D2145" s="4" t="s">
        <v>46</v>
      </c>
      <c r="E2145" s="4" t="s">
        <v>25</v>
      </c>
      <c r="F2145" s="4" t="s">
        <v>25</v>
      </c>
      <c r="G2145" s="4" t="s">
        <v>25</v>
      </c>
      <c r="H2145" s="4" t="s">
        <v>25</v>
      </c>
      <c r="I2145" s="5">
        <v>44440</v>
      </c>
      <c r="J2145" s="6">
        <v>0</v>
      </c>
      <c r="K2145" s="6">
        <v>0</v>
      </c>
      <c r="L2145" s="6">
        <v>68.731999999999999</v>
      </c>
      <c r="M2145" s="6">
        <v>68.731999999999999</v>
      </c>
      <c r="N2145" s="6">
        <v>68.731999999999999</v>
      </c>
      <c r="O2145" s="6">
        <v>68.731999999999999</v>
      </c>
      <c r="P2145" s="6">
        <v>100</v>
      </c>
      <c r="Q2145" s="4" t="s">
        <v>26</v>
      </c>
      <c r="R2145" s="4">
        <v>0</v>
      </c>
      <c r="S2145" s="6">
        <v>0</v>
      </c>
      <c r="T2145" s="6">
        <v>57</v>
      </c>
      <c r="U2145" s="6">
        <v>100</v>
      </c>
      <c r="V2145" s="6">
        <f>IF(ISERROR(VLOOKUP($S$2145,'TAR FIN'!$A$1:$O$104,15,0)),0,VLOOKUP($S$2145,'TAR FIN'!$A$1:$O$104,15,0))</f>
        <v>0</v>
      </c>
      <c r="W2145" s="6">
        <f>IF(ISERROR(VLOOKUP($T$2145,'TAR FIN'!$A$1:$O$104,15,0)),0,VLOOKUP($T$2145,'TAR FIN'!$A$1:$O$104,15,0))</f>
        <v>341.2</v>
      </c>
      <c r="X2145" s="6">
        <f>IF(ISERROR(VLOOKUP($U$2145,'TAR FIN'!$A$1:$O$104,15,0)),0,VLOOKUP($U$2145,'TAR FIN'!$A$1:$O$104,15,0))</f>
        <v>255.72</v>
      </c>
      <c r="Y2145" s="6"/>
      <c r="Z2145" s="6">
        <f ca="1">('TUSD BE'!$AM$62+'TUSD BF'!$AM$62+'TUSD CVA'!$AM$62)*1</f>
        <v>356.61002995987536</v>
      </c>
      <c r="AA2145" s="6">
        <f>('TE BE'!$AB$41+'TE BF'!$AB$41+'TE CVA'!$AB$41)*1</f>
        <v>242.47071701268419</v>
      </c>
      <c r="AB2145" s="6">
        <f>$K$2145*$V$2145</f>
        <v>0</v>
      </c>
      <c r="AC2145" s="6">
        <f>$M$2145*$W$2145</f>
        <v>23451.358399999997</v>
      </c>
      <c r="AD2145" s="6">
        <f>$O$2145*$X$2145</f>
        <v>17576.14704</v>
      </c>
      <c r="AE2145" s="6">
        <f>$K$2145*$Y$2145</f>
        <v>0</v>
      </c>
      <c r="AF2145" s="6">
        <f ca="1">$M$2145*$Z$2145</f>
        <v>24510.520579202152</v>
      </c>
      <c r="AG2145" s="6">
        <f>$O$2145*$AA$2145</f>
        <v>16665.497321715811</v>
      </c>
    </row>
    <row r="2146" spans="1:33" ht="11.25" customHeight="1" x14ac:dyDescent="0.25">
      <c r="A2146" s="4" t="s">
        <v>21</v>
      </c>
      <c r="B2146" s="4" t="s">
        <v>37</v>
      </c>
      <c r="C2146" s="4" t="s">
        <v>23</v>
      </c>
      <c r="D2146" s="4" t="s">
        <v>46</v>
      </c>
      <c r="E2146" s="4" t="s">
        <v>25</v>
      </c>
      <c r="F2146" s="4" t="s">
        <v>25</v>
      </c>
      <c r="G2146" s="4" t="s">
        <v>25</v>
      </c>
      <c r="H2146" s="4" t="s">
        <v>25</v>
      </c>
      <c r="I2146" s="5">
        <v>44470</v>
      </c>
      <c r="J2146" s="6">
        <v>0</v>
      </c>
      <c r="K2146" s="6">
        <v>0</v>
      </c>
      <c r="L2146" s="6">
        <v>9958.1229999999996</v>
      </c>
      <c r="M2146" s="6">
        <v>9958.1229999999996</v>
      </c>
      <c r="N2146" s="6">
        <v>9958.1229999999996</v>
      </c>
      <c r="O2146" s="6">
        <v>9958.1229999999996</v>
      </c>
      <c r="P2146" s="6">
        <v>16538</v>
      </c>
      <c r="Q2146" s="4" t="s">
        <v>26</v>
      </c>
      <c r="R2146" s="4">
        <v>0</v>
      </c>
      <c r="S2146" s="6">
        <v>0</v>
      </c>
      <c r="T2146" s="6">
        <v>57</v>
      </c>
      <c r="U2146" s="6">
        <v>100</v>
      </c>
      <c r="V2146" s="6">
        <f>IF(ISERROR(VLOOKUP($S$2146,'TAR FIN'!$A$1:$O$104,15,0)),0,VLOOKUP($S$2146,'TAR FIN'!$A$1:$O$104,15,0))</f>
        <v>0</v>
      </c>
      <c r="W2146" s="6">
        <f>IF(ISERROR(VLOOKUP($T$2146,'TAR FIN'!$A$1:$O$104,15,0)),0,VLOOKUP($T$2146,'TAR FIN'!$A$1:$O$104,15,0))</f>
        <v>341.2</v>
      </c>
      <c r="X2146" s="6">
        <f>IF(ISERROR(VLOOKUP($U$2146,'TAR FIN'!$A$1:$O$104,15,0)),0,VLOOKUP($U$2146,'TAR FIN'!$A$1:$O$104,15,0))</f>
        <v>255.72</v>
      </c>
      <c r="Y2146" s="6"/>
      <c r="Z2146" s="6">
        <f ca="1">('TUSD BE'!$AM$62+'TUSD BF'!$AM$62+'TUSD CVA'!$AM$62)*1</f>
        <v>356.61002995987536</v>
      </c>
      <c r="AA2146" s="6">
        <f>('TE BE'!$AB$41+'TE BF'!$AB$41+'TE CVA'!$AB$41)*1</f>
        <v>242.47071701268419</v>
      </c>
      <c r="AB2146" s="6">
        <f>$K$2146*$V$2146</f>
        <v>0</v>
      </c>
      <c r="AC2146" s="6">
        <f>$M$2146*$W$2146</f>
        <v>3397711.5675999997</v>
      </c>
      <c r="AD2146" s="6">
        <f>$O$2146*$X$2146</f>
        <v>2546491.2135600001</v>
      </c>
      <c r="AE2146" s="6">
        <f>$K$2146*$Y$2146</f>
        <v>0</v>
      </c>
      <c r="AF2146" s="6">
        <f ca="1">$M$2146*$Z$2146</f>
        <v>3551166.5413741237</v>
      </c>
      <c r="AG2146" s="6">
        <f>$O$2146*$AA$2146</f>
        <v>2414553.2239105017</v>
      </c>
    </row>
    <row r="2147" spans="1:33" ht="11.25" customHeight="1" x14ac:dyDescent="0.25">
      <c r="A2147" s="4" t="s">
        <v>27</v>
      </c>
      <c r="B2147" s="4" t="s">
        <v>37</v>
      </c>
      <c r="C2147" s="4" t="s">
        <v>23</v>
      </c>
      <c r="D2147" s="4" t="s">
        <v>46</v>
      </c>
      <c r="E2147" s="4" t="s">
        <v>25</v>
      </c>
      <c r="F2147" s="4" t="s">
        <v>25</v>
      </c>
      <c r="G2147" s="4" t="s">
        <v>25</v>
      </c>
      <c r="H2147" s="4" t="s">
        <v>25</v>
      </c>
      <c r="I2147" s="5">
        <v>44470</v>
      </c>
      <c r="J2147" s="6">
        <v>0</v>
      </c>
      <c r="K2147" s="6">
        <v>0</v>
      </c>
      <c r="L2147" s="6">
        <v>-10.863</v>
      </c>
      <c r="M2147" s="6">
        <v>-10.863</v>
      </c>
      <c r="N2147" s="6">
        <v>-10.863</v>
      </c>
      <c r="O2147" s="6">
        <v>-10.863</v>
      </c>
      <c r="P2147" s="6">
        <v>1</v>
      </c>
      <c r="Q2147" s="4" t="s">
        <v>26</v>
      </c>
      <c r="R2147" s="4">
        <v>0</v>
      </c>
      <c r="S2147" s="6">
        <v>0</v>
      </c>
      <c r="T2147" s="6">
        <v>57</v>
      </c>
      <c r="U2147" s="6">
        <v>100</v>
      </c>
      <c r="V2147" s="6">
        <f>IF(ISERROR(VLOOKUP($S$2147,'TAR FIN'!$A$1:$O$104,15,0)),0,VLOOKUP($S$2147,'TAR FIN'!$A$1:$O$104,15,0))</f>
        <v>0</v>
      </c>
      <c r="W2147" s="6">
        <f>IF(ISERROR(VLOOKUP($T$2147,'TAR FIN'!$A$1:$O$104,15,0)),0,VLOOKUP($T$2147,'TAR FIN'!$A$1:$O$104,15,0))</f>
        <v>341.2</v>
      </c>
      <c r="X2147" s="6">
        <f>IF(ISERROR(VLOOKUP($U$2147,'TAR FIN'!$A$1:$O$104,15,0)),0,VLOOKUP($U$2147,'TAR FIN'!$A$1:$O$104,15,0))</f>
        <v>255.72</v>
      </c>
      <c r="Y2147" s="6"/>
      <c r="Z2147" s="6">
        <f ca="1">('TUSD BE'!$AM$62+'TUSD BF'!$AM$62+'TUSD CVA'!$AM$62)*1</f>
        <v>356.61002995987536</v>
      </c>
      <c r="AA2147" s="6">
        <f>('TE BE'!$AB$41+'TE BF'!$AB$41+'TE CVA'!$AB$41)*1</f>
        <v>242.47071701268419</v>
      </c>
      <c r="AB2147" s="6">
        <f>$K$2147*$V$2147</f>
        <v>0</v>
      </c>
      <c r="AC2147" s="6">
        <f>$M$2147*$W$2147</f>
        <v>-3706.4555999999998</v>
      </c>
      <c r="AD2147" s="6">
        <f>$O$2147*$X$2147</f>
        <v>-2777.88636</v>
      </c>
      <c r="AE2147" s="6">
        <f>$K$2147*$Y$2147</f>
        <v>0</v>
      </c>
      <c r="AF2147" s="6">
        <f ca="1">$M$2147*$Z$2147</f>
        <v>-3873.854755454126</v>
      </c>
      <c r="AG2147" s="6">
        <f>$O$2147*$AA$2147</f>
        <v>-2633.9593989087884</v>
      </c>
    </row>
    <row r="2148" spans="1:33" ht="11.25" customHeight="1" x14ac:dyDescent="0.25">
      <c r="A2148" s="4" t="s">
        <v>28</v>
      </c>
      <c r="B2148" s="4" t="s">
        <v>37</v>
      </c>
      <c r="C2148" s="4" t="s">
        <v>23</v>
      </c>
      <c r="D2148" s="4" t="s">
        <v>46</v>
      </c>
      <c r="E2148" s="4" t="s">
        <v>25</v>
      </c>
      <c r="F2148" s="4" t="s">
        <v>25</v>
      </c>
      <c r="G2148" s="4" t="s">
        <v>25</v>
      </c>
      <c r="H2148" s="4" t="s">
        <v>25</v>
      </c>
      <c r="I2148" s="5">
        <v>44470</v>
      </c>
      <c r="J2148" s="6">
        <v>0</v>
      </c>
      <c r="K2148" s="6">
        <v>0</v>
      </c>
      <c r="L2148" s="6">
        <v>86.811000000000007</v>
      </c>
      <c r="M2148" s="6">
        <v>86.811000000000007</v>
      </c>
      <c r="N2148" s="6">
        <v>86.811000000000007</v>
      </c>
      <c r="O2148" s="6">
        <v>86.811000000000007</v>
      </c>
      <c r="P2148" s="6">
        <v>103</v>
      </c>
      <c r="Q2148" s="4" t="s">
        <v>26</v>
      </c>
      <c r="R2148" s="4">
        <v>0</v>
      </c>
      <c r="S2148" s="6">
        <v>0</v>
      </c>
      <c r="T2148" s="6">
        <v>57</v>
      </c>
      <c r="U2148" s="6">
        <v>100</v>
      </c>
      <c r="V2148" s="6">
        <f>IF(ISERROR(VLOOKUP($S$2148,'TAR FIN'!$A$1:$O$104,15,0)),0,VLOOKUP($S$2148,'TAR FIN'!$A$1:$O$104,15,0))</f>
        <v>0</v>
      </c>
      <c r="W2148" s="6">
        <f>IF(ISERROR(VLOOKUP($T$2148,'TAR FIN'!$A$1:$O$104,15,0)),0,VLOOKUP($T$2148,'TAR FIN'!$A$1:$O$104,15,0))</f>
        <v>341.2</v>
      </c>
      <c r="X2148" s="6">
        <f>IF(ISERROR(VLOOKUP($U$2148,'TAR FIN'!$A$1:$O$104,15,0)),0,VLOOKUP($U$2148,'TAR FIN'!$A$1:$O$104,15,0))</f>
        <v>255.72</v>
      </c>
      <c r="Y2148" s="6"/>
      <c r="Z2148" s="6">
        <f ca="1">('TUSD BE'!$AM$62+'TUSD BF'!$AM$62+'TUSD CVA'!$AM$62)*1</f>
        <v>356.61002995987536</v>
      </c>
      <c r="AA2148" s="6">
        <f>('TE BE'!$AB$41+'TE BF'!$AB$41+'TE CVA'!$AB$41)*1</f>
        <v>242.47071701268419</v>
      </c>
      <c r="AB2148" s="6">
        <f>$K$2148*$V$2148</f>
        <v>0</v>
      </c>
      <c r="AC2148" s="6">
        <f>$M$2148*$W$2148</f>
        <v>29619.913200000003</v>
      </c>
      <c r="AD2148" s="6">
        <f>$O$2148*$X$2148</f>
        <v>22199.308920000003</v>
      </c>
      <c r="AE2148" s="6">
        <f>$K$2148*$Y$2148</f>
        <v>0</v>
      </c>
      <c r="AF2148" s="6">
        <f ca="1">$M$2148*$Z$2148</f>
        <v>30957.673310846742</v>
      </c>
      <c r="AG2148" s="6">
        <f>$O$2148*$AA$2148</f>
        <v>21049.125414588128</v>
      </c>
    </row>
    <row r="2149" spans="1:33" ht="11.25" customHeight="1" x14ac:dyDescent="0.25">
      <c r="A2149" s="4" t="s">
        <v>21</v>
      </c>
      <c r="B2149" s="4" t="s">
        <v>37</v>
      </c>
      <c r="C2149" s="4" t="s">
        <v>23</v>
      </c>
      <c r="D2149" s="4" t="s">
        <v>46</v>
      </c>
      <c r="E2149" s="4" t="s">
        <v>25</v>
      </c>
      <c r="F2149" s="4" t="s">
        <v>25</v>
      </c>
      <c r="G2149" s="4" t="s">
        <v>25</v>
      </c>
      <c r="H2149" s="4" t="s">
        <v>25</v>
      </c>
      <c r="I2149" s="5">
        <v>44501</v>
      </c>
      <c r="J2149" s="6">
        <v>0</v>
      </c>
      <c r="K2149" s="6">
        <v>0</v>
      </c>
      <c r="L2149" s="6">
        <v>10285.209000000001</v>
      </c>
      <c r="M2149" s="6">
        <v>10285.209000000001</v>
      </c>
      <c r="N2149" s="6">
        <v>10285.209000000001</v>
      </c>
      <c r="O2149" s="6">
        <v>10285.209000000001</v>
      </c>
      <c r="P2149" s="6">
        <v>16594</v>
      </c>
      <c r="Q2149" s="4" t="s">
        <v>26</v>
      </c>
      <c r="R2149" s="4">
        <v>0</v>
      </c>
      <c r="S2149" s="6">
        <v>0</v>
      </c>
      <c r="T2149" s="6">
        <v>57</v>
      </c>
      <c r="U2149" s="6">
        <v>100</v>
      </c>
      <c r="V2149" s="6">
        <f>IF(ISERROR(VLOOKUP($S$2149,'TAR FIN'!$A$1:$O$104,15,0)),0,VLOOKUP($S$2149,'TAR FIN'!$A$1:$O$104,15,0))</f>
        <v>0</v>
      </c>
      <c r="W2149" s="6">
        <f>IF(ISERROR(VLOOKUP($T$2149,'TAR FIN'!$A$1:$O$104,15,0)),0,VLOOKUP($T$2149,'TAR FIN'!$A$1:$O$104,15,0))</f>
        <v>341.2</v>
      </c>
      <c r="X2149" s="6">
        <f>IF(ISERROR(VLOOKUP($U$2149,'TAR FIN'!$A$1:$O$104,15,0)),0,VLOOKUP($U$2149,'TAR FIN'!$A$1:$O$104,15,0))</f>
        <v>255.72</v>
      </c>
      <c r="Y2149" s="6"/>
      <c r="Z2149" s="6">
        <f ca="1">('TUSD BE'!$AM$62+'TUSD BF'!$AM$62+'TUSD CVA'!$AM$62)*1</f>
        <v>356.61002995987536</v>
      </c>
      <c r="AA2149" s="6">
        <f>('TE BE'!$AB$41+'TE BF'!$AB$41+'TE CVA'!$AB$41)*1</f>
        <v>242.47071701268419</v>
      </c>
      <c r="AB2149" s="6">
        <f>$K$2149*$V$2149</f>
        <v>0</v>
      </c>
      <c r="AC2149" s="6">
        <f>$M$2149*$W$2149</f>
        <v>3509313.3108000001</v>
      </c>
      <c r="AD2149" s="6">
        <f>$O$2149*$X$2149</f>
        <v>2630133.6454799999</v>
      </c>
      <c r="AE2149" s="6">
        <f>$K$2149*$Y$2149</f>
        <v>0</v>
      </c>
      <c r="AF2149" s="6">
        <f ca="1">$M$2149*$Z$2149</f>
        <v>3667808.6896335799</v>
      </c>
      <c r="AG2149" s="6">
        <f>$O$2149*$AA$2149</f>
        <v>2493862.0008553127</v>
      </c>
    </row>
    <row r="2150" spans="1:33" ht="11.25" customHeight="1" x14ac:dyDescent="0.25">
      <c r="A2150" s="4" t="s">
        <v>27</v>
      </c>
      <c r="B2150" s="4" t="s">
        <v>37</v>
      </c>
      <c r="C2150" s="4" t="s">
        <v>23</v>
      </c>
      <c r="D2150" s="4" t="s">
        <v>46</v>
      </c>
      <c r="E2150" s="4" t="s">
        <v>25</v>
      </c>
      <c r="F2150" s="4" t="s">
        <v>25</v>
      </c>
      <c r="G2150" s="4" t="s">
        <v>25</v>
      </c>
      <c r="H2150" s="4" t="s">
        <v>25</v>
      </c>
      <c r="I2150" s="5">
        <v>44501</v>
      </c>
      <c r="J2150" s="6">
        <v>0</v>
      </c>
      <c r="K2150" s="6">
        <v>0</v>
      </c>
      <c r="L2150" s="6">
        <v>-0.42099999999999999</v>
      </c>
      <c r="M2150" s="6">
        <v>-0.42099999999999999</v>
      </c>
      <c r="N2150" s="6">
        <v>-0.42099999999999999</v>
      </c>
      <c r="O2150" s="6">
        <v>-0.42099999999999999</v>
      </c>
      <c r="P2150" s="6">
        <v>-4</v>
      </c>
      <c r="Q2150" s="4" t="s">
        <v>26</v>
      </c>
      <c r="R2150" s="4">
        <v>0</v>
      </c>
      <c r="S2150" s="6">
        <v>0</v>
      </c>
      <c r="T2150" s="6">
        <v>57</v>
      </c>
      <c r="U2150" s="6">
        <v>100</v>
      </c>
      <c r="V2150" s="6">
        <f>IF(ISERROR(VLOOKUP($S$2150,'TAR FIN'!$A$1:$O$104,15,0)),0,VLOOKUP($S$2150,'TAR FIN'!$A$1:$O$104,15,0))</f>
        <v>0</v>
      </c>
      <c r="W2150" s="6">
        <f>IF(ISERROR(VLOOKUP($T$2150,'TAR FIN'!$A$1:$O$104,15,0)),0,VLOOKUP($T$2150,'TAR FIN'!$A$1:$O$104,15,0))</f>
        <v>341.2</v>
      </c>
      <c r="X2150" s="6">
        <f>IF(ISERROR(VLOOKUP($U$2150,'TAR FIN'!$A$1:$O$104,15,0)),0,VLOOKUP($U$2150,'TAR FIN'!$A$1:$O$104,15,0))</f>
        <v>255.72</v>
      </c>
      <c r="Y2150" s="6"/>
      <c r="Z2150" s="6">
        <f ca="1">('TUSD BE'!$AM$62+'TUSD BF'!$AM$62+'TUSD CVA'!$AM$62)*1</f>
        <v>356.61002995987536</v>
      </c>
      <c r="AA2150" s="6">
        <f>('TE BE'!$AB$41+'TE BF'!$AB$41+'TE CVA'!$AB$41)*1</f>
        <v>242.47071701268419</v>
      </c>
      <c r="AB2150" s="6">
        <f>$K$2150*$V$2150</f>
        <v>0</v>
      </c>
      <c r="AC2150" s="6">
        <f>$M$2150*$W$2150</f>
        <v>-143.64519999999999</v>
      </c>
      <c r="AD2150" s="6">
        <f>$O$2150*$X$2150</f>
        <v>-107.65812</v>
      </c>
      <c r="AE2150" s="6">
        <f>$K$2150*$Y$2150</f>
        <v>0</v>
      </c>
      <c r="AF2150" s="6">
        <f ca="1">$M$2150*$Z$2150</f>
        <v>-150.13282261310752</v>
      </c>
      <c r="AG2150" s="6">
        <f>$O$2150*$AA$2150</f>
        <v>-102.08017186234004</v>
      </c>
    </row>
    <row r="2151" spans="1:33" ht="11.25" customHeight="1" x14ac:dyDescent="0.25">
      <c r="A2151" s="4" t="s">
        <v>28</v>
      </c>
      <c r="B2151" s="4" t="s">
        <v>37</v>
      </c>
      <c r="C2151" s="4" t="s">
        <v>23</v>
      </c>
      <c r="D2151" s="4" t="s">
        <v>46</v>
      </c>
      <c r="E2151" s="4" t="s">
        <v>25</v>
      </c>
      <c r="F2151" s="4" t="s">
        <v>25</v>
      </c>
      <c r="G2151" s="4" t="s">
        <v>25</v>
      </c>
      <c r="H2151" s="4" t="s">
        <v>25</v>
      </c>
      <c r="I2151" s="5">
        <v>44501</v>
      </c>
      <c r="J2151" s="6">
        <v>0</v>
      </c>
      <c r="K2151" s="6">
        <v>0</v>
      </c>
      <c r="L2151" s="6">
        <v>85.778999999999996</v>
      </c>
      <c r="M2151" s="6">
        <v>85.778999999999996</v>
      </c>
      <c r="N2151" s="6">
        <v>85.778999999999996</v>
      </c>
      <c r="O2151" s="6">
        <v>85.778999999999996</v>
      </c>
      <c r="P2151" s="6">
        <v>104</v>
      </c>
      <c r="Q2151" s="4" t="s">
        <v>26</v>
      </c>
      <c r="R2151" s="4">
        <v>0</v>
      </c>
      <c r="S2151" s="6">
        <v>0</v>
      </c>
      <c r="T2151" s="6">
        <v>57</v>
      </c>
      <c r="U2151" s="6">
        <v>100</v>
      </c>
      <c r="V2151" s="6">
        <f>IF(ISERROR(VLOOKUP($S$2151,'TAR FIN'!$A$1:$O$104,15,0)),0,VLOOKUP($S$2151,'TAR FIN'!$A$1:$O$104,15,0))</f>
        <v>0</v>
      </c>
      <c r="W2151" s="6">
        <f>IF(ISERROR(VLOOKUP($T$2151,'TAR FIN'!$A$1:$O$104,15,0)),0,VLOOKUP($T$2151,'TAR FIN'!$A$1:$O$104,15,0))</f>
        <v>341.2</v>
      </c>
      <c r="X2151" s="6">
        <f>IF(ISERROR(VLOOKUP($U$2151,'TAR FIN'!$A$1:$O$104,15,0)),0,VLOOKUP($U$2151,'TAR FIN'!$A$1:$O$104,15,0))</f>
        <v>255.72</v>
      </c>
      <c r="Y2151" s="6"/>
      <c r="Z2151" s="6">
        <f ca="1">('TUSD BE'!$AM$62+'TUSD BF'!$AM$62+'TUSD CVA'!$AM$62)*1</f>
        <v>356.61002995987536</v>
      </c>
      <c r="AA2151" s="6">
        <f>('TE BE'!$AB$41+'TE BF'!$AB$41+'TE CVA'!$AB$41)*1</f>
        <v>242.47071701268419</v>
      </c>
      <c r="AB2151" s="6">
        <f>$K$2151*$V$2151</f>
        <v>0</v>
      </c>
      <c r="AC2151" s="6">
        <f>$M$2151*$W$2151</f>
        <v>29267.794799999996</v>
      </c>
      <c r="AD2151" s="6">
        <f>$O$2151*$X$2151</f>
        <v>21935.405879999998</v>
      </c>
      <c r="AE2151" s="6">
        <f>$K$2151*$Y$2151</f>
        <v>0</v>
      </c>
      <c r="AF2151" s="6">
        <f ca="1">$M$2151*$Z$2151</f>
        <v>30589.651759928147</v>
      </c>
      <c r="AG2151" s="6">
        <f>$O$2151*$AA$2151</f>
        <v>20798.895634631037</v>
      </c>
    </row>
    <row r="2152" spans="1:33" ht="11.25" customHeight="1" x14ac:dyDescent="0.25">
      <c r="A2152" s="4" t="s">
        <v>21</v>
      </c>
      <c r="B2152" s="4" t="s">
        <v>37</v>
      </c>
      <c r="C2152" s="4" t="s">
        <v>23</v>
      </c>
      <c r="D2152" s="4" t="s">
        <v>46</v>
      </c>
      <c r="E2152" s="4" t="s">
        <v>25</v>
      </c>
      <c r="F2152" s="4" t="s">
        <v>25</v>
      </c>
      <c r="G2152" s="4" t="s">
        <v>25</v>
      </c>
      <c r="H2152" s="4" t="s">
        <v>25</v>
      </c>
      <c r="I2152" s="5">
        <v>44531</v>
      </c>
      <c r="J2152" s="6">
        <v>0</v>
      </c>
      <c r="K2152" s="6">
        <v>0</v>
      </c>
      <c r="L2152" s="6">
        <v>11934.83</v>
      </c>
      <c r="M2152" s="6">
        <v>11934.83</v>
      </c>
      <c r="N2152" s="6">
        <v>11934.83</v>
      </c>
      <c r="O2152" s="6">
        <v>11934.83</v>
      </c>
      <c r="P2152" s="6">
        <v>16683</v>
      </c>
      <c r="Q2152" s="4" t="s">
        <v>26</v>
      </c>
      <c r="R2152" s="4">
        <v>0</v>
      </c>
      <c r="S2152" s="6">
        <v>0</v>
      </c>
      <c r="T2152" s="6">
        <v>57</v>
      </c>
      <c r="U2152" s="6">
        <v>100</v>
      </c>
      <c r="V2152" s="6">
        <f>IF(ISERROR(VLOOKUP($S$2152,'TAR FIN'!$A$1:$O$104,15,0)),0,VLOOKUP($S$2152,'TAR FIN'!$A$1:$O$104,15,0))</f>
        <v>0</v>
      </c>
      <c r="W2152" s="6">
        <f>IF(ISERROR(VLOOKUP($T$2152,'TAR FIN'!$A$1:$O$104,15,0)),0,VLOOKUP($T$2152,'TAR FIN'!$A$1:$O$104,15,0))</f>
        <v>341.2</v>
      </c>
      <c r="X2152" s="6">
        <f>IF(ISERROR(VLOOKUP($U$2152,'TAR FIN'!$A$1:$O$104,15,0)),0,VLOOKUP($U$2152,'TAR FIN'!$A$1:$O$104,15,0))</f>
        <v>255.72</v>
      </c>
      <c r="Y2152" s="6"/>
      <c r="Z2152" s="6">
        <f ca="1">('TUSD BE'!$AM$62+'TUSD BF'!$AM$62+'TUSD CVA'!$AM$62)*1</f>
        <v>356.61002995987536</v>
      </c>
      <c r="AA2152" s="6">
        <f>('TE BE'!$AB$41+'TE BF'!$AB$41+'TE CVA'!$AB$41)*1</f>
        <v>242.47071701268419</v>
      </c>
      <c r="AB2152" s="6">
        <f>$K$2152*$V$2152</f>
        <v>0</v>
      </c>
      <c r="AC2152" s="6">
        <f>$M$2152*$W$2152</f>
        <v>4072163.9959999998</v>
      </c>
      <c r="AD2152" s="6">
        <f>$O$2152*$X$2152</f>
        <v>3051974.7275999999</v>
      </c>
      <c r="AE2152" s="6">
        <f>$K$2152*$Y$2152</f>
        <v>0</v>
      </c>
      <c r="AF2152" s="6">
        <f ca="1">$M$2152*$Z$2152</f>
        <v>4256080.0838660188</v>
      </c>
      <c r="AG2152" s="6">
        <f>$O$2152*$AA$2152</f>
        <v>2893846.7875244934</v>
      </c>
    </row>
    <row r="2153" spans="1:33" ht="11.25" customHeight="1" x14ac:dyDescent="0.25">
      <c r="A2153" s="4" t="s">
        <v>27</v>
      </c>
      <c r="B2153" s="4" t="s">
        <v>37</v>
      </c>
      <c r="C2153" s="4" t="s">
        <v>23</v>
      </c>
      <c r="D2153" s="4" t="s">
        <v>46</v>
      </c>
      <c r="E2153" s="4" t="s">
        <v>25</v>
      </c>
      <c r="F2153" s="4" t="s">
        <v>25</v>
      </c>
      <c r="G2153" s="4" t="s">
        <v>25</v>
      </c>
      <c r="H2153" s="4" t="s">
        <v>25</v>
      </c>
      <c r="I2153" s="5">
        <v>44531</v>
      </c>
      <c r="J2153" s="6">
        <v>0</v>
      </c>
      <c r="K2153" s="6">
        <v>0</v>
      </c>
      <c r="L2153" s="6">
        <v>-1.1839999999999999</v>
      </c>
      <c r="M2153" s="6">
        <v>-1.1839999999999999</v>
      </c>
      <c r="N2153" s="6">
        <v>-1.1839999999999999</v>
      </c>
      <c r="O2153" s="6">
        <v>-1.1839999999999999</v>
      </c>
      <c r="P2153" s="6">
        <v>-3</v>
      </c>
      <c r="Q2153" s="4" t="s">
        <v>26</v>
      </c>
      <c r="R2153" s="4">
        <v>0</v>
      </c>
      <c r="S2153" s="6">
        <v>0</v>
      </c>
      <c r="T2153" s="6">
        <v>57</v>
      </c>
      <c r="U2153" s="6">
        <v>100</v>
      </c>
      <c r="V2153" s="6">
        <f>IF(ISERROR(VLOOKUP($S$2153,'TAR FIN'!$A$1:$O$104,15,0)),0,VLOOKUP($S$2153,'TAR FIN'!$A$1:$O$104,15,0))</f>
        <v>0</v>
      </c>
      <c r="W2153" s="6">
        <f>IF(ISERROR(VLOOKUP($T$2153,'TAR FIN'!$A$1:$O$104,15,0)),0,VLOOKUP($T$2153,'TAR FIN'!$A$1:$O$104,15,0))</f>
        <v>341.2</v>
      </c>
      <c r="X2153" s="6">
        <f>IF(ISERROR(VLOOKUP($U$2153,'TAR FIN'!$A$1:$O$104,15,0)),0,VLOOKUP($U$2153,'TAR FIN'!$A$1:$O$104,15,0))</f>
        <v>255.72</v>
      </c>
      <c r="Y2153" s="6"/>
      <c r="Z2153" s="6">
        <f ca="1">('TUSD BE'!$AM$62+'TUSD BF'!$AM$62+'TUSD CVA'!$AM$62)*1</f>
        <v>356.61002995987536</v>
      </c>
      <c r="AA2153" s="6">
        <f>('TE BE'!$AB$41+'TE BF'!$AB$41+'TE CVA'!$AB$41)*1</f>
        <v>242.47071701268419</v>
      </c>
      <c r="AB2153" s="6">
        <f>$K$2153*$V$2153</f>
        <v>0</v>
      </c>
      <c r="AC2153" s="6">
        <f>$M$2153*$W$2153</f>
        <v>-403.98079999999999</v>
      </c>
      <c r="AD2153" s="6">
        <f>$O$2153*$X$2153</f>
        <v>-302.77247999999997</v>
      </c>
      <c r="AE2153" s="6">
        <f>$K$2153*$Y$2153</f>
        <v>0</v>
      </c>
      <c r="AF2153" s="6">
        <f ca="1">$M$2153*$Z$2153</f>
        <v>-422.22627547249243</v>
      </c>
      <c r="AG2153" s="6">
        <f>$O$2153*$AA$2153</f>
        <v>-287.08532894301806</v>
      </c>
    </row>
    <row r="2154" spans="1:33" ht="11.25" customHeight="1" x14ac:dyDescent="0.25">
      <c r="A2154" s="4" t="s">
        <v>28</v>
      </c>
      <c r="B2154" s="4" t="s">
        <v>37</v>
      </c>
      <c r="C2154" s="4" t="s">
        <v>23</v>
      </c>
      <c r="D2154" s="4" t="s">
        <v>46</v>
      </c>
      <c r="E2154" s="4" t="s">
        <v>25</v>
      </c>
      <c r="F2154" s="4" t="s">
        <v>25</v>
      </c>
      <c r="G2154" s="4" t="s">
        <v>25</v>
      </c>
      <c r="H2154" s="4" t="s">
        <v>25</v>
      </c>
      <c r="I2154" s="5">
        <v>44531</v>
      </c>
      <c r="J2154" s="6">
        <v>0</v>
      </c>
      <c r="K2154" s="6">
        <v>0</v>
      </c>
      <c r="L2154" s="6">
        <v>91.763999999999996</v>
      </c>
      <c r="M2154" s="6">
        <v>91.763999999999996</v>
      </c>
      <c r="N2154" s="6">
        <v>91.763999999999996</v>
      </c>
      <c r="O2154" s="6">
        <v>91.763999999999996</v>
      </c>
      <c r="P2154" s="6">
        <v>105</v>
      </c>
      <c r="Q2154" s="4" t="s">
        <v>26</v>
      </c>
      <c r="R2154" s="4">
        <v>0</v>
      </c>
      <c r="S2154" s="6">
        <v>0</v>
      </c>
      <c r="T2154" s="6">
        <v>57</v>
      </c>
      <c r="U2154" s="6">
        <v>100</v>
      </c>
      <c r="V2154" s="6">
        <f>IF(ISERROR(VLOOKUP($S$2154,'TAR FIN'!$A$1:$O$104,15,0)),0,VLOOKUP($S$2154,'TAR FIN'!$A$1:$O$104,15,0))</f>
        <v>0</v>
      </c>
      <c r="W2154" s="6">
        <f>IF(ISERROR(VLOOKUP($T$2154,'TAR FIN'!$A$1:$O$104,15,0)),0,VLOOKUP($T$2154,'TAR FIN'!$A$1:$O$104,15,0))</f>
        <v>341.2</v>
      </c>
      <c r="X2154" s="6">
        <f>IF(ISERROR(VLOOKUP($U$2154,'TAR FIN'!$A$1:$O$104,15,0)),0,VLOOKUP($U$2154,'TAR FIN'!$A$1:$O$104,15,0))</f>
        <v>255.72</v>
      </c>
      <c r="Y2154" s="6"/>
      <c r="Z2154" s="6">
        <f ca="1">('TUSD BE'!$AM$62+'TUSD BF'!$AM$62+'TUSD CVA'!$AM$62)*1</f>
        <v>356.61002995987536</v>
      </c>
      <c r="AA2154" s="6">
        <f>('TE BE'!$AB$41+'TE BF'!$AB$41+'TE CVA'!$AB$41)*1</f>
        <v>242.47071701268419</v>
      </c>
      <c r="AB2154" s="6">
        <f>$K$2154*$V$2154</f>
        <v>0</v>
      </c>
      <c r="AC2154" s="6">
        <f>$M$2154*$W$2154</f>
        <v>31309.876799999998</v>
      </c>
      <c r="AD2154" s="6">
        <f>$O$2154*$X$2154</f>
        <v>23465.890079999997</v>
      </c>
      <c r="AE2154" s="6">
        <f>$K$2154*$Y$2154</f>
        <v>0</v>
      </c>
      <c r="AF2154" s="6">
        <f ca="1">$M$2154*$Z$2154</f>
        <v>32723.962789238001</v>
      </c>
      <c r="AG2154" s="6">
        <f>$O$2154*$AA$2154</f>
        <v>22250.08287595195</v>
      </c>
    </row>
    <row r="2155" spans="1:33" ht="11.25" customHeight="1" x14ac:dyDescent="0.25">
      <c r="A2155" s="4" t="s">
        <v>21</v>
      </c>
      <c r="B2155" s="4" t="s">
        <v>37</v>
      </c>
      <c r="C2155" s="4" t="s">
        <v>23</v>
      </c>
      <c r="D2155" s="4" t="s">
        <v>46</v>
      </c>
      <c r="E2155" s="4" t="s">
        <v>25</v>
      </c>
      <c r="F2155" s="4" t="s">
        <v>25</v>
      </c>
      <c r="G2155" s="4" t="s">
        <v>25</v>
      </c>
      <c r="H2155" s="4" t="s">
        <v>25</v>
      </c>
      <c r="I2155" s="5">
        <v>44562</v>
      </c>
      <c r="J2155" s="6">
        <v>0</v>
      </c>
      <c r="K2155" s="6">
        <v>0</v>
      </c>
      <c r="L2155" s="6">
        <v>9524.6080000000002</v>
      </c>
      <c r="M2155" s="6">
        <v>9524.6080000000002</v>
      </c>
      <c r="N2155" s="6">
        <v>9524.6080000000002</v>
      </c>
      <c r="O2155" s="6">
        <v>9524.6080000000002</v>
      </c>
      <c r="P2155" s="6">
        <v>16710</v>
      </c>
      <c r="Q2155" s="4" t="s">
        <v>26</v>
      </c>
      <c r="R2155" s="4">
        <v>0</v>
      </c>
      <c r="S2155" s="6">
        <v>0</v>
      </c>
      <c r="T2155" s="6">
        <v>57</v>
      </c>
      <c r="U2155" s="6">
        <v>100</v>
      </c>
      <c r="V2155" s="6">
        <f>IF(ISERROR(VLOOKUP($S$2155,'TAR FIN'!$A$1:$O$104,15,0)),0,VLOOKUP($S$2155,'TAR FIN'!$A$1:$O$104,15,0))</f>
        <v>0</v>
      </c>
      <c r="W2155" s="6">
        <f>IF(ISERROR(VLOOKUP($T$2155,'TAR FIN'!$A$1:$O$104,15,0)),0,VLOOKUP($T$2155,'TAR FIN'!$A$1:$O$104,15,0))</f>
        <v>341.2</v>
      </c>
      <c r="X2155" s="6">
        <f>IF(ISERROR(VLOOKUP($U$2155,'TAR FIN'!$A$1:$O$104,15,0)),0,VLOOKUP($U$2155,'TAR FIN'!$A$1:$O$104,15,0))</f>
        <v>255.72</v>
      </c>
      <c r="Y2155" s="6"/>
      <c r="Z2155" s="6">
        <f ca="1">('TUSD BE'!$AM$62+'TUSD BF'!$AM$62+'TUSD CVA'!$AM$62)*1</f>
        <v>356.61002995987536</v>
      </c>
      <c r="AA2155" s="6">
        <f>('TE BE'!$AB$41+'TE BF'!$AB$41+'TE CVA'!$AB$41)*1</f>
        <v>242.47071701268419</v>
      </c>
      <c r="AB2155" s="6">
        <f>$K$2155*$V$2155</f>
        <v>0</v>
      </c>
      <c r="AC2155" s="6">
        <f>$M$2155*$W$2155</f>
        <v>3249796.2495999997</v>
      </c>
      <c r="AD2155" s="6">
        <f>$O$2155*$X$2155</f>
        <v>2435632.7577599999</v>
      </c>
      <c r="AE2155" s="6">
        <f>$K$2155*$Y$2155</f>
        <v>0</v>
      </c>
      <c r="AF2155" s="6">
        <f ca="1">$M$2155*$Z$2155</f>
        <v>3396570.7442360688</v>
      </c>
      <c r="AG2155" s="6">
        <f>$O$2155*$AA$2155</f>
        <v>2309438.531024748</v>
      </c>
    </row>
    <row r="2156" spans="1:33" ht="11.25" customHeight="1" x14ac:dyDescent="0.25">
      <c r="A2156" s="4" t="s">
        <v>27</v>
      </c>
      <c r="B2156" s="4" t="s">
        <v>37</v>
      </c>
      <c r="C2156" s="4" t="s">
        <v>23</v>
      </c>
      <c r="D2156" s="4" t="s">
        <v>46</v>
      </c>
      <c r="E2156" s="4" t="s">
        <v>25</v>
      </c>
      <c r="F2156" s="4" t="s">
        <v>25</v>
      </c>
      <c r="G2156" s="4" t="s">
        <v>25</v>
      </c>
      <c r="H2156" s="4" t="s">
        <v>25</v>
      </c>
      <c r="I2156" s="5">
        <v>44562</v>
      </c>
      <c r="J2156" s="6">
        <v>0</v>
      </c>
      <c r="K2156" s="6">
        <v>0</v>
      </c>
      <c r="L2156" s="6">
        <v>-108.285</v>
      </c>
      <c r="M2156" s="6">
        <v>-108.285</v>
      </c>
      <c r="N2156" s="6">
        <v>-108.285</v>
      </c>
      <c r="O2156" s="6">
        <v>-108.285</v>
      </c>
      <c r="P2156" s="6">
        <v>-8</v>
      </c>
      <c r="Q2156" s="4" t="s">
        <v>26</v>
      </c>
      <c r="R2156" s="4">
        <v>0</v>
      </c>
      <c r="S2156" s="6">
        <v>0</v>
      </c>
      <c r="T2156" s="6">
        <v>57</v>
      </c>
      <c r="U2156" s="6">
        <v>100</v>
      </c>
      <c r="V2156" s="6">
        <f>IF(ISERROR(VLOOKUP($S$2156,'TAR FIN'!$A$1:$O$104,15,0)),0,VLOOKUP($S$2156,'TAR FIN'!$A$1:$O$104,15,0))</f>
        <v>0</v>
      </c>
      <c r="W2156" s="6">
        <f>IF(ISERROR(VLOOKUP($T$2156,'TAR FIN'!$A$1:$O$104,15,0)),0,VLOOKUP($T$2156,'TAR FIN'!$A$1:$O$104,15,0))</f>
        <v>341.2</v>
      </c>
      <c r="X2156" s="6">
        <f>IF(ISERROR(VLOOKUP($U$2156,'TAR FIN'!$A$1:$O$104,15,0)),0,VLOOKUP($U$2156,'TAR FIN'!$A$1:$O$104,15,0))</f>
        <v>255.72</v>
      </c>
      <c r="Y2156" s="6"/>
      <c r="Z2156" s="6">
        <f ca="1">('TUSD BE'!$AM$62+'TUSD BF'!$AM$62+'TUSD CVA'!$AM$62)*1</f>
        <v>356.61002995987536</v>
      </c>
      <c r="AA2156" s="6">
        <f>('TE BE'!$AB$41+'TE BF'!$AB$41+'TE CVA'!$AB$41)*1</f>
        <v>242.47071701268419</v>
      </c>
      <c r="AB2156" s="6">
        <f>$K$2156*$V$2156</f>
        <v>0</v>
      </c>
      <c r="AC2156" s="6">
        <f>$M$2156*$W$2156</f>
        <v>-36946.841999999997</v>
      </c>
      <c r="AD2156" s="6">
        <f>$O$2156*$X$2156</f>
        <v>-27690.640199999998</v>
      </c>
      <c r="AE2156" s="6">
        <f>$K$2156*$Y$2156</f>
        <v>0</v>
      </c>
      <c r="AF2156" s="6">
        <f ca="1">$M$2156*$Z$2156</f>
        <v>-38615.517094205105</v>
      </c>
      <c r="AG2156" s="6">
        <f>$O$2156*$AA$2156</f>
        <v>-26255.941591718507</v>
      </c>
    </row>
    <row r="2157" spans="1:33" ht="11.25" customHeight="1" x14ac:dyDescent="0.25">
      <c r="A2157" s="4" t="s">
        <v>28</v>
      </c>
      <c r="B2157" s="4" t="s">
        <v>37</v>
      </c>
      <c r="C2157" s="4" t="s">
        <v>23</v>
      </c>
      <c r="D2157" s="4" t="s">
        <v>46</v>
      </c>
      <c r="E2157" s="4" t="s">
        <v>25</v>
      </c>
      <c r="F2157" s="4" t="s">
        <v>25</v>
      </c>
      <c r="G2157" s="4" t="s">
        <v>25</v>
      </c>
      <c r="H2157" s="4" t="s">
        <v>25</v>
      </c>
      <c r="I2157" s="5">
        <v>44562</v>
      </c>
      <c r="J2157" s="6">
        <v>0</v>
      </c>
      <c r="K2157" s="6">
        <v>0</v>
      </c>
      <c r="L2157" s="6">
        <v>69.765000000000001</v>
      </c>
      <c r="M2157" s="6">
        <v>69.765000000000001</v>
      </c>
      <c r="N2157" s="6">
        <v>69.765000000000001</v>
      </c>
      <c r="O2157" s="6">
        <v>69.765000000000001</v>
      </c>
      <c r="P2157" s="6">
        <v>109</v>
      </c>
      <c r="Q2157" s="4" t="s">
        <v>26</v>
      </c>
      <c r="R2157" s="4">
        <v>0</v>
      </c>
      <c r="S2157" s="6">
        <v>0</v>
      </c>
      <c r="T2157" s="6">
        <v>57</v>
      </c>
      <c r="U2157" s="6">
        <v>100</v>
      </c>
      <c r="V2157" s="6">
        <f>IF(ISERROR(VLOOKUP($S$2157,'TAR FIN'!$A$1:$O$104,15,0)),0,VLOOKUP($S$2157,'TAR FIN'!$A$1:$O$104,15,0))</f>
        <v>0</v>
      </c>
      <c r="W2157" s="6">
        <f>IF(ISERROR(VLOOKUP($T$2157,'TAR FIN'!$A$1:$O$104,15,0)),0,VLOOKUP($T$2157,'TAR FIN'!$A$1:$O$104,15,0))</f>
        <v>341.2</v>
      </c>
      <c r="X2157" s="6">
        <f>IF(ISERROR(VLOOKUP($U$2157,'TAR FIN'!$A$1:$O$104,15,0)),0,VLOOKUP($U$2157,'TAR FIN'!$A$1:$O$104,15,0))</f>
        <v>255.72</v>
      </c>
      <c r="Y2157" s="6"/>
      <c r="Z2157" s="6">
        <f ca="1">('TUSD BE'!$AM$62+'TUSD BF'!$AM$62+'TUSD CVA'!$AM$62)*1</f>
        <v>356.61002995987536</v>
      </c>
      <c r="AA2157" s="6">
        <f>('TE BE'!$AB$41+'TE BF'!$AB$41+'TE CVA'!$AB$41)*1</f>
        <v>242.47071701268419</v>
      </c>
      <c r="AB2157" s="6">
        <f>$K$2157*$V$2157</f>
        <v>0</v>
      </c>
      <c r="AC2157" s="6">
        <f>$M$2157*$W$2157</f>
        <v>23803.817999999999</v>
      </c>
      <c r="AD2157" s="6">
        <f>$O$2157*$X$2157</f>
        <v>17840.305799999998</v>
      </c>
      <c r="AE2157" s="6">
        <f>$K$2157*$Y$2157</f>
        <v>0</v>
      </c>
      <c r="AF2157" s="6">
        <f ca="1">$M$2157*$Z$2157</f>
        <v>24878.898740150704</v>
      </c>
      <c r="AG2157" s="6">
        <f>$O$2157*$AA$2157</f>
        <v>16915.969572389913</v>
      </c>
    </row>
    <row r="2158" spans="1:33" ht="11.25" customHeight="1" x14ac:dyDescent="0.25">
      <c r="A2158" s="4" t="s">
        <v>21</v>
      </c>
      <c r="B2158" s="4" t="s">
        <v>37</v>
      </c>
      <c r="C2158" s="4" t="s">
        <v>23</v>
      </c>
      <c r="D2158" s="4" t="s">
        <v>46</v>
      </c>
      <c r="E2158" s="4" t="s">
        <v>25</v>
      </c>
      <c r="F2158" s="4" t="s">
        <v>25</v>
      </c>
      <c r="G2158" s="4" t="s">
        <v>25</v>
      </c>
      <c r="H2158" s="4" t="s">
        <v>25</v>
      </c>
      <c r="I2158" s="5">
        <v>44593</v>
      </c>
      <c r="J2158" s="6">
        <v>0</v>
      </c>
      <c r="K2158" s="6">
        <v>0</v>
      </c>
      <c r="L2158" s="6">
        <v>9151.9009999999998</v>
      </c>
      <c r="M2158" s="6">
        <v>9151.9009999999998</v>
      </c>
      <c r="N2158" s="6">
        <v>9151.9009999999998</v>
      </c>
      <c r="O2158" s="6">
        <v>9151.9009999999998</v>
      </c>
      <c r="P2158" s="6">
        <v>16733</v>
      </c>
      <c r="Q2158" s="4" t="s">
        <v>26</v>
      </c>
      <c r="R2158" s="4">
        <v>0</v>
      </c>
      <c r="S2158" s="6">
        <v>0</v>
      </c>
      <c r="T2158" s="6">
        <v>57</v>
      </c>
      <c r="U2158" s="6">
        <v>100</v>
      </c>
      <c r="V2158" s="6">
        <f>IF(ISERROR(VLOOKUP($S$2158,'TAR FIN'!$A$1:$O$104,15,0)),0,VLOOKUP($S$2158,'TAR FIN'!$A$1:$O$104,15,0))</f>
        <v>0</v>
      </c>
      <c r="W2158" s="6">
        <f>IF(ISERROR(VLOOKUP($T$2158,'TAR FIN'!$A$1:$O$104,15,0)),0,VLOOKUP($T$2158,'TAR FIN'!$A$1:$O$104,15,0))</f>
        <v>341.2</v>
      </c>
      <c r="X2158" s="6">
        <f>IF(ISERROR(VLOOKUP($U$2158,'TAR FIN'!$A$1:$O$104,15,0)),0,VLOOKUP($U$2158,'TAR FIN'!$A$1:$O$104,15,0))</f>
        <v>255.72</v>
      </c>
      <c r="Y2158" s="6"/>
      <c r="Z2158" s="6">
        <f ca="1">('TUSD BE'!$AM$62+'TUSD BF'!$AM$62+'TUSD CVA'!$AM$62)*1</f>
        <v>356.61002995987536</v>
      </c>
      <c r="AA2158" s="6">
        <f>('TE BE'!$AB$41+'TE BF'!$AB$41+'TE CVA'!$AB$41)*1</f>
        <v>242.47071701268419</v>
      </c>
      <c r="AB2158" s="6">
        <f>$K$2158*$V$2158</f>
        <v>0</v>
      </c>
      <c r="AC2158" s="6">
        <f>$M$2158*$W$2158</f>
        <v>3122628.6211999999</v>
      </c>
      <c r="AD2158" s="6">
        <f>$O$2158*$X$2158</f>
        <v>2340324.12372</v>
      </c>
      <c r="AE2158" s="6">
        <f>$K$2158*$Y$2158</f>
        <v>0</v>
      </c>
      <c r="AF2158" s="6">
        <f ca="1">$M$2158*$Z$2158</f>
        <v>3263659.6897998131</v>
      </c>
      <c r="AG2158" s="6">
        <f>$O$2158*$AA$2158</f>
        <v>2219067.9974991013</v>
      </c>
    </row>
    <row r="2159" spans="1:33" ht="11.25" customHeight="1" x14ac:dyDescent="0.25">
      <c r="A2159" s="4" t="s">
        <v>27</v>
      </c>
      <c r="B2159" s="4" t="s">
        <v>37</v>
      </c>
      <c r="C2159" s="4" t="s">
        <v>23</v>
      </c>
      <c r="D2159" s="4" t="s">
        <v>46</v>
      </c>
      <c r="E2159" s="4" t="s">
        <v>25</v>
      </c>
      <c r="F2159" s="4" t="s">
        <v>25</v>
      </c>
      <c r="G2159" s="4" t="s">
        <v>25</v>
      </c>
      <c r="H2159" s="4" t="s">
        <v>25</v>
      </c>
      <c r="I2159" s="5">
        <v>44593</v>
      </c>
      <c r="J2159" s="6">
        <v>0</v>
      </c>
      <c r="K2159" s="6">
        <v>0</v>
      </c>
      <c r="L2159" s="6">
        <v>-30.533000000000001</v>
      </c>
      <c r="M2159" s="6">
        <v>-30.533000000000001</v>
      </c>
      <c r="N2159" s="6">
        <v>-30.533000000000001</v>
      </c>
      <c r="O2159" s="6">
        <v>-30.533000000000001</v>
      </c>
      <c r="P2159" s="6">
        <v>3</v>
      </c>
      <c r="Q2159" s="4" t="s">
        <v>26</v>
      </c>
      <c r="R2159" s="4">
        <v>0</v>
      </c>
      <c r="S2159" s="6">
        <v>0</v>
      </c>
      <c r="T2159" s="6">
        <v>57</v>
      </c>
      <c r="U2159" s="6">
        <v>100</v>
      </c>
      <c r="V2159" s="6">
        <f>IF(ISERROR(VLOOKUP($S$2159,'TAR FIN'!$A$1:$O$104,15,0)),0,VLOOKUP($S$2159,'TAR FIN'!$A$1:$O$104,15,0))</f>
        <v>0</v>
      </c>
      <c r="W2159" s="6">
        <f>IF(ISERROR(VLOOKUP($T$2159,'TAR FIN'!$A$1:$O$104,15,0)),0,VLOOKUP($T$2159,'TAR FIN'!$A$1:$O$104,15,0))</f>
        <v>341.2</v>
      </c>
      <c r="X2159" s="6">
        <f>IF(ISERROR(VLOOKUP($U$2159,'TAR FIN'!$A$1:$O$104,15,0)),0,VLOOKUP($U$2159,'TAR FIN'!$A$1:$O$104,15,0))</f>
        <v>255.72</v>
      </c>
      <c r="Y2159" s="6"/>
      <c r="Z2159" s="6">
        <f ca="1">('TUSD BE'!$AM$62+'TUSD BF'!$AM$62+'TUSD CVA'!$AM$62)*1</f>
        <v>356.61002995987536</v>
      </c>
      <c r="AA2159" s="6">
        <f>('TE BE'!$AB$41+'TE BF'!$AB$41+'TE CVA'!$AB$41)*1</f>
        <v>242.47071701268419</v>
      </c>
      <c r="AB2159" s="6">
        <f>$K$2159*$V$2159</f>
        <v>0</v>
      </c>
      <c r="AC2159" s="6">
        <f>$M$2159*$W$2159</f>
        <v>-10417.8596</v>
      </c>
      <c r="AD2159" s="6">
        <f>$O$2159*$X$2159</f>
        <v>-7807.89876</v>
      </c>
      <c r="AE2159" s="6">
        <f>$K$2159*$Y$2159</f>
        <v>0</v>
      </c>
      <c r="AF2159" s="6">
        <f ca="1">$M$2159*$Z$2159</f>
        <v>-10888.374044764874</v>
      </c>
      <c r="AG2159" s="6">
        <f>$O$2159*$AA$2159</f>
        <v>-7403.3584025482869</v>
      </c>
    </row>
    <row r="2160" spans="1:33" ht="11.25" customHeight="1" x14ac:dyDescent="0.25">
      <c r="A2160" s="4" t="s">
        <v>28</v>
      </c>
      <c r="B2160" s="4" t="s">
        <v>37</v>
      </c>
      <c r="C2160" s="4" t="s">
        <v>23</v>
      </c>
      <c r="D2160" s="4" t="s">
        <v>46</v>
      </c>
      <c r="E2160" s="4" t="s">
        <v>25</v>
      </c>
      <c r="F2160" s="4" t="s">
        <v>25</v>
      </c>
      <c r="G2160" s="4" t="s">
        <v>25</v>
      </c>
      <c r="H2160" s="4" t="s">
        <v>25</v>
      </c>
      <c r="I2160" s="5">
        <v>44593</v>
      </c>
      <c r="J2160" s="6">
        <v>0</v>
      </c>
      <c r="K2160" s="6">
        <v>0</v>
      </c>
      <c r="L2160" s="6">
        <v>63.994</v>
      </c>
      <c r="M2160" s="6">
        <v>63.994</v>
      </c>
      <c r="N2160" s="6">
        <v>63.994</v>
      </c>
      <c r="O2160" s="6">
        <v>63.994</v>
      </c>
      <c r="P2160" s="6">
        <v>112</v>
      </c>
      <c r="Q2160" s="4" t="s">
        <v>26</v>
      </c>
      <c r="R2160" s="4">
        <v>0</v>
      </c>
      <c r="S2160" s="6">
        <v>0</v>
      </c>
      <c r="T2160" s="6">
        <v>57</v>
      </c>
      <c r="U2160" s="6">
        <v>100</v>
      </c>
      <c r="V2160" s="6">
        <f>IF(ISERROR(VLOOKUP($S$2160,'TAR FIN'!$A$1:$O$104,15,0)),0,VLOOKUP($S$2160,'TAR FIN'!$A$1:$O$104,15,0))</f>
        <v>0</v>
      </c>
      <c r="W2160" s="6">
        <f>IF(ISERROR(VLOOKUP($T$2160,'TAR FIN'!$A$1:$O$104,15,0)),0,VLOOKUP($T$2160,'TAR FIN'!$A$1:$O$104,15,0))</f>
        <v>341.2</v>
      </c>
      <c r="X2160" s="6">
        <f>IF(ISERROR(VLOOKUP($U$2160,'TAR FIN'!$A$1:$O$104,15,0)),0,VLOOKUP($U$2160,'TAR FIN'!$A$1:$O$104,15,0))</f>
        <v>255.72</v>
      </c>
      <c r="Y2160" s="6"/>
      <c r="Z2160" s="6">
        <f ca="1">('TUSD BE'!$AM$62+'TUSD BF'!$AM$62+'TUSD CVA'!$AM$62)*1</f>
        <v>356.61002995987536</v>
      </c>
      <c r="AA2160" s="6">
        <f>('TE BE'!$AB$41+'TE BF'!$AB$41+'TE CVA'!$AB$41)*1</f>
        <v>242.47071701268419</v>
      </c>
      <c r="AB2160" s="6">
        <f>$K$2160*$V$2160</f>
        <v>0</v>
      </c>
      <c r="AC2160" s="6">
        <f>$M$2160*$W$2160</f>
        <v>21834.752799999998</v>
      </c>
      <c r="AD2160" s="6">
        <f>$O$2160*$X$2160</f>
        <v>16364.545679999999</v>
      </c>
      <c r="AE2160" s="6">
        <f>$K$2160*$Y$2160</f>
        <v>0</v>
      </c>
      <c r="AF2160" s="6">
        <f ca="1">$M$2160*$Z$2160</f>
        <v>22820.902257252263</v>
      </c>
      <c r="AG2160" s="6">
        <f>$O$2160*$AA$2160</f>
        <v>15516.671064509712</v>
      </c>
    </row>
    <row r="2161" spans="1:33" ht="11.25" customHeight="1" x14ac:dyDescent="0.25">
      <c r="A2161" s="4" t="s">
        <v>21</v>
      </c>
      <c r="B2161" s="4" t="s">
        <v>37</v>
      </c>
      <c r="C2161" s="4" t="s">
        <v>23</v>
      </c>
      <c r="D2161" s="4" t="s">
        <v>46</v>
      </c>
      <c r="E2161" s="4" t="s">
        <v>25</v>
      </c>
      <c r="F2161" s="4" t="s">
        <v>25</v>
      </c>
      <c r="G2161" s="4" t="s">
        <v>25</v>
      </c>
      <c r="H2161" s="4" t="s">
        <v>25</v>
      </c>
      <c r="I2161" s="5">
        <v>44621</v>
      </c>
      <c r="J2161" s="6">
        <v>0</v>
      </c>
      <c r="K2161" s="6">
        <v>0</v>
      </c>
      <c r="L2161" s="6">
        <v>11237.617</v>
      </c>
      <c r="M2161" s="6">
        <v>11237.617</v>
      </c>
      <c r="N2161" s="6">
        <v>11237.617</v>
      </c>
      <c r="O2161" s="6">
        <v>11237.617</v>
      </c>
      <c r="P2161" s="6">
        <v>16766</v>
      </c>
      <c r="Q2161" s="4" t="s">
        <v>26</v>
      </c>
      <c r="R2161" s="4">
        <v>0</v>
      </c>
      <c r="S2161" s="6">
        <v>0</v>
      </c>
      <c r="T2161" s="6">
        <v>57</v>
      </c>
      <c r="U2161" s="6">
        <v>100</v>
      </c>
      <c r="V2161" s="6">
        <f>IF(ISERROR(VLOOKUP($S$2161,'TAR FIN'!$A$1:$O$104,15,0)),0,VLOOKUP($S$2161,'TAR FIN'!$A$1:$O$104,15,0))</f>
        <v>0</v>
      </c>
      <c r="W2161" s="6">
        <f>IF(ISERROR(VLOOKUP($T$2161,'TAR FIN'!$A$1:$O$104,15,0)),0,VLOOKUP($T$2161,'TAR FIN'!$A$1:$O$104,15,0))</f>
        <v>341.2</v>
      </c>
      <c r="X2161" s="6">
        <f>IF(ISERROR(VLOOKUP($U$2161,'TAR FIN'!$A$1:$O$104,15,0)),0,VLOOKUP($U$2161,'TAR FIN'!$A$1:$O$104,15,0))</f>
        <v>255.72</v>
      </c>
      <c r="Y2161" s="6"/>
      <c r="Z2161" s="6">
        <f ca="1">('TUSD BE'!$AM$62+'TUSD BF'!$AM$62+'TUSD CVA'!$AM$62)*1</f>
        <v>356.61002995987536</v>
      </c>
      <c r="AA2161" s="6">
        <f>('TE BE'!$AB$41+'TE BF'!$AB$41+'TE CVA'!$AB$41)*1</f>
        <v>242.47071701268419</v>
      </c>
      <c r="AB2161" s="6">
        <f>$K$2161*$V$2161</f>
        <v>0</v>
      </c>
      <c r="AC2161" s="6">
        <f>$M$2161*$W$2161</f>
        <v>3834274.9203999997</v>
      </c>
      <c r="AD2161" s="6">
        <f>$O$2161*$X$2161</f>
        <v>2873683.4192400002</v>
      </c>
      <c r="AE2161" s="6">
        <f>$K$2161*$Y$2161</f>
        <v>0</v>
      </c>
      <c r="AF2161" s="6">
        <f ca="1">$M$2161*$Z$2161</f>
        <v>4007446.9350476046</v>
      </c>
      <c r="AG2161" s="6">
        <f>$O$2161*$AA$2161</f>
        <v>2724793.0515039293</v>
      </c>
    </row>
    <row r="2162" spans="1:33" ht="11.25" customHeight="1" x14ac:dyDescent="0.25">
      <c r="A2162" s="4" t="s">
        <v>27</v>
      </c>
      <c r="B2162" s="4" t="s">
        <v>37</v>
      </c>
      <c r="C2162" s="4" t="s">
        <v>23</v>
      </c>
      <c r="D2162" s="4" t="s">
        <v>46</v>
      </c>
      <c r="E2162" s="4" t="s">
        <v>25</v>
      </c>
      <c r="F2162" s="4" t="s">
        <v>25</v>
      </c>
      <c r="G2162" s="4" t="s">
        <v>25</v>
      </c>
      <c r="H2162" s="4" t="s">
        <v>25</v>
      </c>
      <c r="I2162" s="5">
        <v>44621</v>
      </c>
      <c r="J2162" s="6">
        <v>0</v>
      </c>
      <c r="K2162" s="6">
        <v>0</v>
      </c>
      <c r="L2162" s="6">
        <v>-61.042999999999999</v>
      </c>
      <c r="M2162" s="6">
        <v>-61.042999999999999</v>
      </c>
      <c r="N2162" s="6">
        <v>-61.042999999999999</v>
      </c>
      <c r="O2162" s="6">
        <v>-61.042999999999999</v>
      </c>
      <c r="P2162" s="6">
        <v>-5</v>
      </c>
      <c r="Q2162" s="4" t="s">
        <v>26</v>
      </c>
      <c r="R2162" s="4">
        <v>0</v>
      </c>
      <c r="S2162" s="6">
        <v>0</v>
      </c>
      <c r="T2162" s="6">
        <v>57</v>
      </c>
      <c r="U2162" s="6">
        <v>100</v>
      </c>
      <c r="V2162" s="6">
        <f>IF(ISERROR(VLOOKUP($S$2162,'TAR FIN'!$A$1:$O$104,15,0)),0,VLOOKUP($S$2162,'TAR FIN'!$A$1:$O$104,15,0))</f>
        <v>0</v>
      </c>
      <c r="W2162" s="6">
        <f>IF(ISERROR(VLOOKUP($T$2162,'TAR FIN'!$A$1:$O$104,15,0)),0,VLOOKUP($T$2162,'TAR FIN'!$A$1:$O$104,15,0))</f>
        <v>341.2</v>
      </c>
      <c r="X2162" s="6">
        <f>IF(ISERROR(VLOOKUP($U$2162,'TAR FIN'!$A$1:$O$104,15,0)),0,VLOOKUP($U$2162,'TAR FIN'!$A$1:$O$104,15,0))</f>
        <v>255.72</v>
      </c>
      <c r="Y2162" s="6"/>
      <c r="Z2162" s="6">
        <f ca="1">('TUSD BE'!$AM$62+'TUSD BF'!$AM$62+'TUSD CVA'!$AM$62)*1</f>
        <v>356.61002995987536</v>
      </c>
      <c r="AA2162" s="6">
        <f>('TE BE'!$AB$41+'TE BF'!$AB$41+'TE CVA'!$AB$41)*1</f>
        <v>242.47071701268419</v>
      </c>
      <c r="AB2162" s="6">
        <f>$K$2162*$V$2162</f>
        <v>0</v>
      </c>
      <c r="AC2162" s="6">
        <f>$M$2162*$W$2162</f>
        <v>-20827.871599999999</v>
      </c>
      <c r="AD2162" s="6">
        <f>$O$2162*$X$2162</f>
        <v>-15609.91596</v>
      </c>
      <c r="AE2162" s="6">
        <f>$K$2162*$Y$2162</f>
        <v>0</v>
      </c>
      <c r="AF2162" s="6">
        <f ca="1">$M$2162*$Z$2162</f>
        <v>-21768.546058840671</v>
      </c>
      <c r="AG2162" s="6">
        <f>$O$2162*$AA$2162</f>
        <v>-14801.139978605281</v>
      </c>
    </row>
    <row r="2163" spans="1:33" ht="11.25" customHeight="1" x14ac:dyDescent="0.25">
      <c r="A2163" s="4" t="s">
        <v>28</v>
      </c>
      <c r="B2163" s="4" t="s">
        <v>37</v>
      </c>
      <c r="C2163" s="4" t="s">
        <v>23</v>
      </c>
      <c r="D2163" s="4" t="s">
        <v>46</v>
      </c>
      <c r="E2163" s="4" t="s">
        <v>25</v>
      </c>
      <c r="F2163" s="4" t="s">
        <v>25</v>
      </c>
      <c r="G2163" s="4" t="s">
        <v>25</v>
      </c>
      <c r="H2163" s="4" t="s">
        <v>25</v>
      </c>
      <c r="I2163" s="5">
        <v>44621</v>
      </c>
      <c r="J2163" s="6">
        <v>0</v>
      </c>
      <c r="K2163" s="6">
        <v>0</v>
      </c>
      <c r="L2163" s="6">
        <v>122.032</v>
      </c>
      <c r="M2163" s="6">
        <v>122.032</v>
      </c>
      <c r="N2163" s="6">
        <v>122.032</v>
      </c>
      <c r="O2163" s="6">
        <v>122.032</v>
      </c>
      <c r="P2163" s="6">
        <v>118</v>
      </c>
      <c r="Q2163" s="4" t="s">
        <v>26</v>
      </c>
      <c r="R2163" s="4">
        <v>0</v>
      </c>
      <c r="S2163" s="6">
        <v>0</v>
      </c>
      <c r="T2163" s="6">
        <v>57</v>
      </c>
      <c r="U2163" s="6">
        <v>100</v>
      </c>
      <c r="V2163" s="6">
        <f>IF(ISERROR(VLOOKUP($S$2163,'TAR FIN'!$A$1:$O$104,15,0)),0,VLOOKUP($S$2163,'TAR FIN'!$A$1:$O$104,15,0))</f>
        <v>0</v>
      </c>
      <c r="W2163" s="6">
        <f>IF(ISERROR(VLOOKUP($T$2163,'TAR FIN'!$A$1:$O$104,15,0)),0,VLOOKUP($T$2163,'TAR FIN'!$A$1:$O$104,15,0))</f>
        <v>341.2</v>
      </c>
      <c r="X2163" s="6">
        <f>IF(ISERROR(VLOOKUP($U$2163,'TAR FIN'!$A$1:$O$104,15,0)),0,VLOOKUP($U$2163,'TAR FIN'!$A$1:$O$104,15,0))</f>
        <v>255.72</v>
      </c>
      <c r="Y2163" s="6"/>
      <c r="Z2163" s="6">
        <f ca="1">('TUSD BE'!$AM$62+'TUSD BF'!$AM$62+'TUSD CVA'!$AM$62)*1</f>
        <v>356.61002995987536</v>
      </c>
      <c r="AA2163" s="6">
        <f>('TE BE'!$AB$41+'TE BF'!$AB$41+'TE CVA'!$AB$41)*1</f>
        <v>242.47071701268419</v>
      </c>
      <c r="AB2163" s="6">
        <f>$K$2163*$V$2163</f>
        <v>0</v>
      </c>
      <c r="AC2163" s="6">
        <f>$M$2163*$W$2163</f>
        <v>41637.318399999996</v>
      </c>
      <c r="AD2163" s="6">
        <f>$O$2163*$X$2163</f>
        <v>31206.02304</v>
      </c>
      <c r="AE2163" s="6">
        <f>$K$2163*$Y$2163</f>
        <v>0</v>
      </c>
      <c r="AF2163" s="6">
        <f ca="1">$M$2163*$Z$2163</f>
        <v>43517.835176063512</v>
      </c>
      <c r="AG2163" s="6">
        <f>$O$2163*$AA$2163</f>
        <v>29589.186538491875</v>
      </c>
    </row>
    <row r="2164" spans="1:33" ht="11.25" customHeight="1" x14ac:dyDescent="0.25">
      <c r="A2164" s="4" t="s">
        <v>21</v>
      </c>
      <c r="B2164" s="4" t="s">
        <v>37</v>
      </c>
      <c r="C2164" s="4" t="s">
        <v>23</v>
      </c>
      <c r="D2164" s="4" t="s">
        <v>46</v>
      </c>
      <c r="E2164" s="4" t="s">
        <v>25</v>
      </c>
      <c r="F2164" s="4" t="s">
        <v>25</v>
      </c>
      <c r="G2164" s="4" t="s">
        <v>25</v>
      </c>
      <c r="H2164" s="4" t="s">
        <v>25</v>
      </c>
      <c r="I2164" s="5">
        <v>44652</v>
      </c>
      <c r="J2164" s="6">
        <v>0</v>
      </c>
      <c r="K2164" s="6">
        <v>0</v>
      </c>
      <c r="L2164" s="6">
        <v>11198.26</v>
      </c>
      <c r="M2164" s="6">
        <v>11198.26</v>
      </c>
      <c r="N2164" s="6">
        <v>11198.26</v>
      </c>
      <c r="O2164" s="6">
        <v>11198.26</v>
      </c>
      <c r="P2164" s="6">
        <v>16836</v>
      </c>
      <c r="Q2164" s="4" t="s">
        <v>26</v>
      </c>
      <c r="R2164" s="4">
        <v>0</v>
      </c>
      <c r="S2164" s="6">
        <v>0</v>
      </c>
      <c r="T2164" s="6">
        <v>57</v>
      </c>
      <c r="U2164" s="6">
        <v>100</v>
      </c>
      <c r="V2164" s="6">
        <f>IF(ISERROR(VLOOKUP($S$2164,'TAR FIN'!$A$1:$O$104,15,0)),0,VLOOKUP($S$2164,'TAR FIN'!$A$1:$O$104,15,0))</f>
        <v>0</v>
      </c>
      <c r="W2164" s="6">
        <f>IF(ISERROR(VLOOKUP($T$2164,'TAR FIN'!$A$1:$O$104,15,0)),0,VLOOKUP($T$2164,'TAR FIN'!$A$1:$O$104,15,0))</f>
        <v>341.2</v>
      </c>
      <c r="X2164" s="6">
        <f>IF(ISERROR(VLOOKUP($U$2164,'TAR FIN'!$A$1:$O$104,15,0)),0,VLOOKUP($U$2164,'TAR FIN'!$A$1:$O$104,15,0))</f>
        <v>255.72</v>
      </c>
      <c r="Y2164" s="6"/>
      <c r="Z2164" s="6">
        <f ca="1">('TUSD BE'!$AM$62+'TUSD BF'!$AM$62+'TUSD CVA'!$AM$62)*1</f>
        <v>356.61002995987536</v>
      </c>
      <c r="AA2164" s="6">
        <f>('TE BE'!$AB$41+'TE BF'!$AB$41+'TE CVA'!$AB$41)*1</f>
        <v>242.47071701268419</v>
      </c>
      <c r="AB2164" s="6">
        <f>$K$2164*$V$2164</f>
        <v>0</v>
      </c>
      <c r="AC2164" s="6">
        <f>$M$2164*$W$2164</f>
        <v>3820846.3119999999</v>
      </c>
      <c r="AD2164" s="6">
        <f>$O$2164*$X$2164</f>
        <v>2863619.0471999999</v>
      </c>
      <c r="AE2164" s="6">
        <f>$K$2164*$Y$2164</f>
        <v>0</v>
      </c>
      <c r="AF2164" s="6">
        <f ca="1">$M$2164*$Z$2164</f>
        <v>3993411.8340984741</v>
      </c>
      <c r="AG2164" s="6">
        <f>$O$2164*$AA$2164</f>
        <v>2715250.1314944611</v>
      </c>
    </row>
    <row r="2165" spans="1:33" ht="11.25" customHeight="1" x14ac:dyDescent="0.25">
      <c r="A2165" s="4" t="s">
        <v>27</v>
      </c>
      <c r="B2165" s="4" t="s">
        <v>37</v>
      </c>
      <c r="C2165" s="4" t="s">
        <v>23</v>
      </c>
      <c r="D2165" s="4" t="s">
        <v>46</v>
      </c>
      <c r="E2165" s="4" t="s">
        <v>25</v>
      </c>
      <c r="F2165" s="4" t="s">
        <v>25</v>
      </c>
      <c r="G2165" s="4" t="s">
        <v>25</v>
      </c>
      <c r="H2165" s="4" t="s">
        <v>25</v>
      </c>
      <c r="I2165" s="5">
        <v>44652</v>
      </c>
      <c r="J2165" s="6">
        <v>0</v>
      </c>
      <c r="K2165" s="6">
        <v>0</v>
      </c>
      <c r="L2165" s="6">
        <v>-37.835999999999999</v>
      </c>
      <c r="M2165" s="6">
        <v>-37.835999999999999</v>
      </c>
      <c r="N2165" s="6">
        <v>-37.835999999999999</v>
      </c>
      <c r="O2165" s="6">
        <v>-37.835999999999999</v>
      </c>
      <c r="P2165" s="6">
        <v>-1</v>
      </c>
      <c r="Q2165" s="4" t="s">
        <v>26</v>
      </c>
      <c r="R2165" s="4">
        <v>0</v>
      </c>
      <c r="S2165" s="6">
        <v>0</v>
      </c>
      <c r="T2165" s="6">
        <v>57</v>
      </c>
      <c r="U2165" s="6">
        <v>100</v>
      </c>
      <c r="V2165" s="6">
        <f>IF(ISERROR(VLOOKUP($S$2165,'TAR FIN'!$A$1:$O$104,15,0)),0,VLOOKUP($S$2165,'TAR FIN'!$A$1:$O$104,15,0))</f>
        <v>0</v>
      </c>
      <c r="W2165" s="6">
        <f>IF(ISERROR(VLOOKUP($T$2165,'TAR FIN'!$A$1:$O$104,15,0)),0,VLOOKUP($T$2165,'TAR FIN'!$A$1:$O$104,15,0))</f>
        <v>341.2</v>
      </c>
      <c r="X2165" s="6">
        <f>IF(ISERROR(VLOOKUP($U$2165,'TAR FIN'!$A$1:$O$104,15,0)),0,VLOOKUP($U$2165,'TAR FIN'!$A$1:$O$104,15,0))</f>
        <v>255.72</v>
      </c>
      <c r="Y2165" s="6"/>
      <c r="Z2165" s="6">
        <f ca="1">('TUSD BE'!$AM$62+'TUSD BF'!$AM$62+'TUSD CVA'!$AM$62)*1</f>
        <v>356.61002995987536</v>
      </c>
      <c r="AA2165" s="6">
        <f>('TE BE'!$AB$41+'TE BF'!$AB$41+'TE CVA'!$AB$41)*1</f>
        <v>242.47071701268419</v>
      </c>
      <c r="AB2165" s="6">
        <f>$K$2165*$V$2165</f>
        <v>0</v>
      </c>
      <c r="AC2165" s="6">
        <f>$M$2165*$W$2165</f>
        <v>-12909.643199999999</v>
      </c>
      <c r="AD2165" s="6">
        <f>$O$2165*$X$2165</f>
        <v>-9675.4219199999989</v>
      </c>
      <c r="AE2165" s="6">
        <f>$K$2165*$Y$2165</f>
        <v>0</v>
      </c>
      <c r="AF2165" s="6">
        <f ca="1">$M$2165*$Z$2165</f>
        <v>-13492.697093561843</v>
      </c>
      <c r="AG2165" s="6">
        <f>$O$2165*$AA$2165</f>
        <v>-9174.1220488919189</v>
      </c>
    </row>
    <row r="2166" spans="1:33" ht="11.25" customHeight="1" x14ac:dyDescent="0.25">
      <c r="A2166" s="4" t="s">
        <v>28</v>
      </c>
      <c r="B2166" s="4" t="s">
        <v>37</v>
      </c>
      <c r="C2166" s="4" t="s">
        <v>23</v>
      </c>
      <c r="D2166" s="4" t="s">
        <v>46</v>
      </c>
      <c r="E2166" s="4" t="s">
        <v>25</v>
      </c>
      <c r="F2166" s="4" t="s">
        <v>25</v>
      </c>
      <c r="G2166" s="4" t="s">
        <v>25</v>
      </c>
      <c r="H2166" s="4" t="s">
        <v>25</v>
      </c>
      <c r="I2166" s="5">
        <v>44652</v>
      </c>
      <c r="J2166" s="6">
        <v>0</v>
      </c>
      <c r="K2166" s="6">
        <v>0</v>
      </c>
      <c r="L2166" s="6">
        <v>114.083</v>
      </c>
      <c r="M2166" s="6">
        <v>114.083</v>
      </c>
      <c r="N2166" s="6">
        <v>114.083</v>
      </c>
      <c r="O2166" s="6">
        <v>114.083</v>
      </c>
      <c r="P2166" s="6">
        <v>124</v>
      </c>
      <c r="Q2166" s="4" t="s">
        <v>26</v>
      </c>
      <c r="R2166" s="4">
        <v>0</v>
      </c>
      <c r="S2166" s="6">
        <v>0</v>
      </c>
      <c r="T2166" s="6">
        <v>57</v>
      </c>
      <c r="U2166" s="6">
        <v>100</v>
      </c>
      <c r="V2166" s="6">
        <f>IF(ISERROR(VLOOKUP($S$2166,'TAR FIN'!$A$1:$O$104,15,0)),0,VLOOKUP($S$2166,'TAR FIN'!$A$1:$O$104,15,0))</f>
        <v>0</v>
      </c>
      <c r="W2166" s="6">
        <f>IF(ISERROR(VLOOKUP($T$2166,'TAR FIN'!$A$1:$O$104,15,0)),0,VLOOKUP($T$2166,'TAR FIN'!$A$1:$O$104,15,0))</f>
        <v>341.2</v>
      </c>
      <c r="X2166" s="6">
        <f>IF(ISERROR(VLOOKUP($U$2166,'TAR FIN'!$A$1:$O$104,15,0)),0,VLOOKUP($U$2166,'TAR FIN'!$A$1:$O$104,15,0))</f>
        <v>255.72</v>
      </c>
      <c r="Y2166" s="6"/>
      <c r="Z2166" s="6">
        <f ca="1">('TUSD BE'!$AM$62+'TUSD BF'!$AM$62+'TUSD CVA'!$AM$62)*1</f>
        <v>356.61002995987536</v>
      </c>
      <c r="AA2166" s="6">
        <f>('TE BE'!$AB$41+'TE BF'!$AB$41+'TE CVA'!$AB$41)*1</f>
        <v>242.47071701268419</v>
      </c>
      <c r="AB2166" s="6">
        <f>$K$2166*$V$2166</f>
        <v>0</v>
      </c>
      <c r="AC2166" s="6">
        <f>$M$2166*$W$2166</f>
        <v>38925.119599999998</v>
      </c>
      <c r="AD2166" s="6">
        <f>$O$2166*$X$2166</f>
        <v>29173.304759999999</v>
      </c>
      <c r="AE2166" s="6">
        <f>$K$2166*$Y$2166</f>
        <v>0</v>
      </c>
      <c r="AF2166" s="6">
        <f ca="1">$M$2166*$Z$2166</f>
        <v>40683.142047912457</v>
      </c>
      <c r="AG2166" s="6">
        <f>$O$2166*$AA$2166</f>
        <v>27661.786808958052</v>
      </c>
    </row>
    <row r="2167" spans="1:33" ht="11.25" customHeight="1" x14ac:dyDescent="0.25">
      <c r="A2167" s="4" t="s">
        <v>21</v>
      </c>
      <c r="B2167" s="4" t="s">
        <v>37</v>
      </c>
      <c r="C2167" s="4" t="s">
        <v>23</v>
      </c>
      <c r="D2167" s="4" t="s">
        <v>46</v>
      </c>
      <c r="E2167" s="4" t="s">
        <v>25</v>
      </c>
      <c r="F2167" s="4" t="s">
        <v>25</v>
      </c>
      <c r="G2167" s="4" t="s">
        <v>25</v>
      </c>
      <c r="H2167" s="4" t="s">
        <v>25</v>
      </c>
      <c r="I2167" s="5">
        <v>44682</v>
      </c>
      <c r="J2167" s="6">
        <v>0</v>
      </c>
      <c r="K2167" s="6">
        <v>0</v>
      </c>
      <c r="L2167" s="6">
        <v>11624.236999999999</v>
      </c>
      <c r="M2167" s="6">
        <v>11624.236999999999</v>
      </c>
      <c r="N2167" s="6">
        <v>11624.236999999999</v>
      </c>
      <c r="O2167" s="6">
        <v>11624.236999999999</v>
      </c>
      <c r="P2167" s="6">
        <v>16900</v>
      </c>
      <c r="Q2167" s="4" t="s">
        <v>26</v>
      </c>
      <c r="R2167" s="4">
        <v>0</v>
      </c>
      <c r="S2167" s="6">
        <v>0</v>
      </c>
      <c r="T2167" s="6">
        <v>57</v>
      </c>
      <c r="U2167" s="6">
        <v>100</v>
      </c>
      <c r="V2167" s="6">
        <f>IF(ISERROR(VLOOKUP($S$2167,'TAR FIN'!$A$1:$O$104,15,0)),0,VLOOKUP($S$2167,'TAR FIN'!$A$1:$O$104,15,0))</f>
        <v>0</v>
      </c>
      <c r="W2167" s="6">
        <f>IF(ISERROR(VLOOKUP($T$2167,'TAR FIN'!$A$1:$O$104,15,0)),0,VLOOKUP($T$2167,'TAR FIN'!$A$1:$O$104,15,0))</f>
        <v>341.2</v>
      </c>
      <c r="X2167" s="6">
        <f>IF(ISERROR(VLOOKUP($U$2167,'TAR FIN'!$A$1:$O$104,15,0)),0,VLOOKUP($U$2167,'TAR FIN'!$A$1:$O$104,15,0))</f>
        <v>255.72</v>
      </c>
      <c r="Y2167" s="6"/>
      <c r="Z2167" s="6">
        <f ca="1">('TUSD BE'!$AM$62+'TUSD BF'!$AM$62+'TUSD CVA'!$AM$62)*1</f>
        <v>356.61002995987536</v>
      </c>
      <c r="AA2167" s="6">
        <f>('TE BE'!$AB$41+'TE BF'!$AB$41+'TE CVA'!$AB$41)*1</f>
        <v>242.47071701268419</v>
      </c>
      <c r="AB2167" s="6">
        <f>$K$2167*$V$2167</f>
        <v>0</v>
      </c>
      <c r="AC2167" s="6">
        <f>$M$2167*$W$2167</f>
        <v>3966189.6643999997</v>
      </c>
      <c r="AD2167" s="6">
        <f>$O$2167*$X$2167</f>
        <v>2972549.88564</v>
      </c>
      <c r="AE2167" s="6">
        <f>$K$2167*$Y$2167</f>
        <v>0</v>
      </c>
      <c r="AF2167" s="6">
        <f ca="1">$M$2167*$Z$2167</f>
        <v>4145319.5048306915</v>
      </c>
      <c r="AG2167" s="6">
        <f>$O$2167*$AA$2167</f>
        <v>2818537.0801153728</v>
      </c>
    </row>
    <row r="2168" spans="1:33" ht="11.25" customHeight="1" x14ac:dyDescent="0.25">
      <c r="A2168" s="4" t="s">
        <v>27</v>
      </c>
      <c r="B2168" s="4" t="s">
        <v>37</v>
      </c>
      <c r="C2168" s="4" t="s">
        <v>23</v>
      </c>
      <c r="D2168" s="4" t="s">
        <v>46</v>
      </c>
      <c r="E2168" s="4" t="s">
        <v>25</v>
      </c>
      <c r="F2168" s="4" t="s">
        <v>25</v>
      </c>
      <c r="G2168" s="4" t="s">
        <v>25</v>
      </c>
      <c r="H2168" s="4" t="s">
        <v>25</v>
      </c>
      <c r="I2168" s="5">
        <v>44682</v>
      </c>
      <c r="J2168" s="6">
        <v>0</v>
      </c>
      <c r="K2168" s="6">
        <v>0</v>
      </c>
      <c r="L2168" s="6">
        <v>-0.03</v>
      </c>
      <c r="M2168" s="6">
        <v>-0.03</v>
      </c>
      <c r="N2168" s="6">
        <v>-0.03</v>
      </c>
      <c r="O2168" s="6">
        <v>-0.03</v>
      </c>
      <c r="P2168" s="6">
        <v>-1</v>
      </c>
      <c r="Q2168" s="4" t="s">
        <v>26</v>
      </c>
      <c r="R2168" s="4">
        <v>0</v>
      </c>
      <c r="S2168" s="6">
        <v>0</v>
      </c>
      <c r="T2168" s="6">
        <v>57</v>
      </c>
      <c r="U2168" s="6">
        <v>100</v>
      </c>
      <c r="V2168" s="6">
        <f>IF(ISERROR(VLOOKUP($S$2168,'TAR FIN'!$A$1:$O$104,15,0)),0,VLOOKUP($S$2168,'TAR FIN'!$A$1:$O$104,15,0))</f>
        <v>0</v>
      </c>
      <c r="W2168" s="6">
        <f>IF(ISERROR(VLOOKUP($T$2168,'TAR FIN'!$A$1:$O$104,15,0)),0,VLOOKUP($T$2168,'TAR FIN'!$A$1:$O$104,15,0))</f>
        <v>341.2</v>
      </c>
      <c r="X2168" s="6">
        <f>IF(ISERROR(VLOOKUP($U$2168,'TAR FIN'!$A$1:$O$104,15,0)),0,VLOOKUP($U$2168,'TAR FIN'!$A$1:$O$104,15,0))</f>
        <v>255.72</v>
      </c>
      <c r="Y2168" s="6"/>
      <c r="Z2168" s="6">
        <f ca="1">('TUSD BE'!$AM$62+'TUSD BF'!$AM$62+'TUSD CVA'!$AM$62)*1</f>
        <v>356.61002995987536</v>
      </c>
      <c r="AA2168" s="6">
        <f>('TE BE'!$AB$41+'TE BF'!$AB$41+'TE CVA'!$AB$41)*1</f>
        <v>242.47071701268419</v>
      </c>
      <c r="AB2168" s="6">
        <f>$K$2168*$V$2168</f>
        <v>0</v>
      </c>
      <c r="AC2168" s="6">
        <f>$M$2168*$W$2168</f>
        <v>-10.235999999999999</v>
      </c>
      <c r="AD2168" s="6">
        <f>$O$2168*$X$2168</f>
        <v>-7.6715999999999998</v>
      </c>
      <c r="AE2168" s="6">
        <f>$K$2168*$Y$2168</f>
        <v>0</v>
      </c>
      <c r="AF2168" s="6">
        <f ca="1">$M$2168*$Z$2168</f>
        <v>-10.69830089879626</v>
      </c>
      <c r="AG2168" s="6">
        <f>$O$2168*$AA$2168</f>
        <v>-7.2741215103805255</v>
      </c>
    </row>
    <row r="2169" spans="1:33" ht="11.25" customHeight="1" x14ac:dyDescent="0.25">
      <c r="A2169" s="4" t="s">
        <v>28</v>
      </c>
      <c r="B2169" s="4" t="s">
        <v>37</v>
      </c>
      <c r="C2169" s="4" t="s">
        <v>23</v>
      </c>
      <c r="D2169" s="4" t="s">
        <v>46</v>
      </c>
      <c r="E2169" s="4" t="s">
        <v>25</v>
      </c>
      <c r="F2169" s="4" t="s">
        <v>25</v>
      </c>
      <c r="G2169" s="4" t="s">
        <v>25</v>
      </c>
      <c r="H2169" s="4" t="s">
        <v>25</v>
      </c>
      <c r="I2169" s="5">
        <v>44682</v>
      </c>
      <c r="J2169" s="6">
        <v>0</v>
      </c>
      <c r="K2169" s="6">
        <v>0</v>
      </c>
      <c r="L2169" s="6">
        <v>133.18100000000001</v>
      </c>
      <c r="M2169" s="6">
        <v>133.18100000000001</v>
      </c>
      <c r="N2169" s="6">
        <v>133.18100000000001</v>
      </c>
      <c r="O2169" s="6">
        <v>133.18100000000001</v>
      </c>
      <c r="P2169" s="6">
        <v>127</v>
      </c>
      <c r="Q2169" s="4" t="s">
        <v>26</v>
      </c>
      <c r="R2169" s="4">
        <v>0</v>
      </c>
      <c r="S2169" s="6">
        <v>0</v>
      </c>
      <c r="T2169" s="6">
        <v>57</v>
      </c>
      <c r="U2169" s="6">
        <v>100</v>
      </c>
      <c r="V2169" s="6">
        <f>IF(ISERROR(VLOOKUP($S$2169,'TAR FIN'!$A$1:$O$104,15,0)),0,VLOOKUP($S$2169,'TAR FIN'!$A$1:$O$104,15,0))</f>
        <v>0</v>
      </c>
      <c r="W2169" s="6">
        <f>IF(ISERROR(VLOOKUP($T$2169,'TAR FIN'!$A$1:$O$104,15,0)),0,VLOOKUP($T$2169,'TAR FIN'!$A$1:$O$104,15,0))</f>
        <v>341.2</v>
      </c>
      <c r="X2169" s="6">
        <f>IF(ISERROR(VLOOKUP($U$2169,'TAR FIN'!$A$1:$O$104,15,0)),0,VLOOKUP($U$2169,'TAR FIN'!$A$1:$O$104,15,0))</f>
        <v>255.72</v>
      </c>
      <c r="Y2169" s="6"/>
      <c r="Z2169" s="6">
        <f ca="1">('TUSD BE'!$AM$62+'TUSD BF'!$AM$62+'TUSD CVA'!$AM$62)*1</f>
        <v>356.61002995987536</v>
      </c>
      <c r="AA2169" s="6">
        <f>('TE BE'!$AB$41+'TE BF'!$AB$41+'TE CVA'!$AB$41)*1</f>
        <v>242.47071701268419</v>
      </c>
      <c r="AB2169" s="6">
        <f>$K$2169*$V$2169</f>
        <v>0</v>
      </c>
      <c r="AC2169" s="6">
        <f>$M$2169*$W$2169</f>
        <v>45441.357200000006</v>
      </c>
      <c r="AD2169" s="6">
        <f>$O$2169*$X$2169</f>
        <v>34057.045320000005</v>
      </c>
      <c r="AE2169" s="6">
        <f>$K$2169*$Y$2169</f>
        <v>0</v>
      </c>
      <c r="AF2169" s="6">
        <f ca="1">$M$2169*$Z$2169</f>
        <v>47493.680400086167</v>
      </c>
      <c r="AG2169" s="6">
        <f>$O$2169*$AA$2169</f>
        <v>32292.492562466297</v>
      </c>
    </row>
    <row r="2170" spans="1:33" ht="11.25" customHeight="1" x14ac:dyDescent="0.25">
      <c r="A2170" s="4" t="s">
        <v>21</v>
      </c>
      <c r="B2170" s="4" t="s">
        <v>37</v>
      </c>
      <c r="C2170" s="4" t="s">
        <v>23</v>
      </c>
      <c r="D2170" s="4" t="s">
        <v>46</v>
      </c>
      <c r="E2170" s="4" t="s">
        <v>25</v>
      </c>
      <c r="F2170" s="4" t="s">
        <v>25</v>
      </c>
      <c r="G2170" s="4" t="s">
        <v>25</v>
      </c>
      <c r="H2170" s="4" t="s">
        <v>25</v>
      </c>
      <c r="I2170" s="5">
        <v>44713</v>
      </c>
      <c r="J2170" s="6">
        <v>0</v>
      </c>
      <c r="K2170" s="6">
        <v>0</v>
      </c>
      <c r="L2170" s="6">
        <v>9788.5419999999995</v>
      </c>
      <c r="M2170" s="6">
        <v>9788.5419999999995</v>
      </c>
      <c r="N2170" s="6">
        <v>9788.5419999999995</v>
      </c>
      <c r="O2170" s="6">
        <v>9788.5419999999995</v>
      </c>
      <c r="P2170" s="6">
        <v>16988</v>
      </c>
      <c r="Q2170" s="4" t="s">
        <v>26</v>
      </c>
      <c r="R2170" s="4">
        <v>0</v>
      </c>
      <c r="S2170" s="6">
        <v>0</v>
      </c>
      <c r="T2170" s="6">
        <v>57</v>
      </c>
      <c r="U2170" s="6">
        <v>100</v>
      </c>
      <c r="V2170" s="6">
        <f>IF(ISERROR(VLOOKUP($S$2170,'TAR FIN'!$A$1:$O$104,15,0)),0,VLOOKUP($S$2170,'TAR FIN'!$A$1:$O$104,15,0))</f>
        <v>0</v>
      </c>
      <c r="W2170" s="6">
        <f>IF(ISERROR(VLOOKUP($T$2170,'TAR FIN'!$A$1:$O$104,15,0)),0,VLOOKUP($T$2170,'TAR FIN'!$A$1:$O$104,15,0))</f>
        <v>341.2</v>
      </c>
      <c r="X2170" s="6">
        <f>IF(ISERROR(VLOOKUP($U$2170,'TAR FIN'!$A$1:$O$104,15,0)),0,VLOOKUP($U$2170,'TAR FIN'!$A$1:$O$104,15,0))</f>
        <v>255.72</v>
      </c>
      <c r="Y2170" s="6"/>
      <c r="Z2170" s="6">
        <f ca="1">('TUSD BE'!$AM$62+'TUSD BF'!$AM$62+'TUSD CVA'!$AM$62)*1</f>
        <v>356.61002995987536</v>
      </c>
      <c r="AA2170" s="6">
        <f>('TE BE'!$AB$41+'TE BF'!$AB$41+'TE CVA'!$AB$41)*1</f>
        <v>242.47071701268419</v>
      </c>
      <c r="AB2170" s="6">
        <f>$K$2170*$V$2170</f>
        <v>0</v>
      </c>
      <c r="AC2170" s="6">
        <f>$M$2170*$W$2170</f>
        <v>3339850.5303999996</v>
      </c>
      <c r="AD2170" s="6">
        <f>$O$2170*$X$2170</f>
        <v>2503125.9602399999</v>
      </c>
      <c r="AE2170" s="6">
        <f>$K$2170*$Y$2170</f>
        <v>0</v>
      </c>
      <c r="AF2170" s="6">
        <f ca="1">$M$2170*$Z$2170</f>
        <v>3490692.2558834981</v>
      </c>
      <c r="AG2170" s="6">
        <f>$O$2170*$AA$2170</f>
        <v>2373434.7972487737</v>
      </c>
    </row>
    <row r="2171" spans="1:33" ht="11.25" customHeight="1" x14ac:dyDescent="0.25">
      <c r="A2171" s="4" t="s">
        <v>27</v>
      </c>
      <c r="B2171" s="4" t="s">
        <v>37</v>
      </c>
      <c r="C2171" s="4" t="s">
        <v>23</v>
      </c>
      <c r="D2171" s="4" t="s">
        <v>46</v>
      </c>
      <c r="E2171" s="4" t="s">
        <v>25</v>
      </c>
      <c r="F2171" s="4" t="s">
        <v>25</v>
      </c>
      <c r="G2171" s="4" t="s">
        <v>25</v>
      </c>
      <c r="H2171" s="4" t="s">
        <v>25</v>
      </c>
      <c r="I2171" s="5">
        <v>44713</v>
      </c>
      <c r="J2171" s="6">
        <v>0</v>
      </c>
      <c r="K2171" s="6">
        <v>0</v>
      </c>
      <c r="L2171" s="6">
        <v>-11.276999999999999</v>
      </c>
      <c r="M2171" s="6">
        <v>-11.276999999999999</v>
      </c>
      <c r="N2171" s="6">
        <v>-11.276999999999999</v>
      </c>
      <c r="O2171" s="6">
        <v>-11.276999999999999</v>
      </c>
      <c r="P2171" s="6">
        <v>-1</v>
      </c>
      <c r="Q2171" s="4" t="s">
        <v>26</v>
      </c>
      <c r="R2171" s="4">
        <v>0</v>
      </c>
      <c r="S2171" s="6">
        <v>0</v>
      </c>
      <c r="T2171" s="6">
        <v>57</v>
      </c>
      <c r="U2171" s="6">
        <v>100</v>
      </c>
      <c r="V2171" s="6">
        <f>IF(ISERROR(VLOOKUP($S$2171,'TAR FIN'!$A$1:$O$104,15,0)),0,VLOOKUP($S$2171,'TAR FIN'!$A$1:$O$104,15,0))</f>
        <v>0</v>
      </c>
      <c r="W2171" s="6">
        <f>IF(ISERROR(VLOOKUP($T$2171,'TAR FIN'!$A$1:$O$104,15,0)),0,VLOOKUP($T$2171,'TAR FIN'!$A$1:$O$104,15,0))</f>
        <v>341.2</v>
      </c>
      <c r="X2171" s="6">
        <f>IF(ISERROR(VLOOKUP($U$2171,'TAR FIN'!$A$1:$O$104,15,0)),0,VLOOKUP($U$2171,'TAR FIN'!$A$1:$O$104,15,0))</f>
        <v>255.72</v>
      </c>
      <c r="Y2171" s="6"/>
      <c r="Z2171" s="6">
        <f ca="1">('TUSD BE'!$AM$62+'TUSD BF'!$AM$62+'TUSD CVA'!$AM$62)*1</f>
        <v>356.61002995987536</v>
      </c>
      <c r="AA2171" s="6">
        <f>('TE BE'!$AB$41+'TE BF'!$AB$41+'TE CVA'!$AB$41)*1</f>
        <v>242.47071701268419</v>
      </c>
      <c r="AB2171" s="6">
        <f>$K$2171*$V$2171</f>
        <v>0</v>
      </c>
      <c r="AC2171" s="6">
        <f>$M$2171*$W$2171</f>
        <v>-3847.7123999999994</v>
      </c>
      <c r="AD2171" s="6">
        <f>$O$2171*$X$2171</f>
        <v>-2883.7544399999997</v>
      </c>
      <c r="AE2171" s="6">
        <f>$K$2171*$Y$2171</f>
        <v>0</v>
      </c>
      <c r="AF2171" s="6">
        <f ca="1">$M$2171*$Z$2171</f>
        <v>-4021.4913078575141</v>
      </c>
      <c r="AG2171" s="6">
        <f>$O$2171*$AA$2171</f>
        <v>-2734.3422757520393</v>
      </c>
    </row>
    <row r="2172" spans="1:33" ht="11.25" customHeight="1" x14ac:dyDescent="0.25">
      <c r="A2172" s="4" t="s">
        <v>28</v>
      </c>
      <c r="B2172" s="4" t="s">
        <v>37</v>
      </c>
      <c r="C2172" s="4" t="s">
        <v>23</v>
      </c>
      <c r="D2172" s="4" t="s">
        <v>46</v>
      </c>
      <c r="E2172" s="4" t="s">
        <v>25</v>
      </c>
      <c r="F2172" s="4" t="s">
        <v>25</v>
      </c>
      <c r="G2172" s="4" t="s">
        <v>25</v>
      </c>
      <c r="H2172" s="4" t="s">
        <v>25</v>
      </c>
      <c r="I2172" s="5">
        <v>44713</v>
      </c>
      <c r="J2172" s="6">
        <v>0</v>
      </c>
      <c r="K2172" s="6">
        <v>0</v>
      </c>
      <c r="L2172" s="6">
        <v>112.69799999999999</v>
      </c>
      <c r="M2172" s="6">
        <v>112.69799999999999</v>
      </c>
      <c r="N2172" s="6">
        <v>112.69799999999999</v>
      </c>
      <c r="O2172" s="6">
        <v>112.69799999999999</v>
      </c>
      <c r="P2172" s="6">
        <v>126</v>
      </c>
      <c r="Q2172" s="4" t="s">
        <v>26</v>
      </c>
      <c r="R2172" s="4">
        <v>0</v>
      </c>
      <c r="S2172" s="6">
        <v>0</v>
      </c>
      <c r="T2172" s="6">
        <v>57</v>
      </c>
      <c r="U2172" s="6">
        <v>100</v>
      </c>
      <c r="V2172" s="6">
        <f>IF(ISERROR(VLOOKUP($S$2172,'TAR FIN'!$A$1:$O$104,15,0)),0,VLOOKUP($S$2172,'TAR FIN'!$A$1:$O$104,15,0))</f>
        <v>0</v>
      </c>
      <c r="W2172" s="6">
        <f>IF(ISERROR(VLOOKUP($T$2172,'TAR FIN'!$A$1:$O$104,15,0)),0,VLOOKUP($T$2172,'TAR FIN'!$A$1:$O$104,15,0))</f>
        <v>341.2</v>
      </c>
      <c r="X2172" s="6">
        <f>IF(ISERROR(VLOOKUP($U$2172,'TAR FIN'!$A$1:$O$104,15,0)),0,VLOOKUP($U$2172,'TAR FIN'!$A$1:$O$104,15,0))</f>
        <v>255.72</v>
      </c>
      <c r="Y2172" s="6"/>
      <c r="Z2172" s="6">
        <f ca="1">('TUSD BE'!$AM$62+'TUSD BF'!$AM$62+'TUSD CVA'!$AM$62)*1</f>
        <v>356.61002995987536</v>
      </c>
      <c r="AA2172" s="6">
        <f>('TE BE'!$AB$41+'TE BF'!$AB$41+'TE CVA'!$AB$41)*1</f>
        <v>242.47071701268419</v>
      </c>
      <c r="AB2172" s="6">
        <f>$K$2172*$V$2172</f>
        <v>0</v>
      </c>
      <c r="AC2172" s="6">
        <f>$M$2172*$W$2172</f>
        <v>38452.557599999993</v>
      </c>
      <c r="AD2172" s="6">
        <f>$O$2172*$X$2172</f>
        <v>28819.132559999998</v>
      </c>
      <c r="AE2172" s="6">
        <f>$K$2172*$Y$2172</f>
        <v>0</v>
      </c>
      <c r="AF2172" s="6">
        <f ca="1">$M$2172*$Z$2172</f>
        <v>40189.237156418028</v>
      </c>
      <c r="AG2172" s="6">
        <f>$O$2172*$AA$2172</f>
        <v>27325.964865895483</v>
      </c>
    </row>
    <row r="2173" spans="1:33" ht="11.25" customHeight="1" x14ac:dyDescent="0.25">
      <c r="A2173" s="4" t="s">
        <v>57</v>
      </c>
      <c r="B2173" s="4" t="s">
        <v>37</v>
      </c>
      <c r="C2173" s="4" t="s">
        <v>23</v>
      </c>
      <c r="D2173" s="4" t="s">
        <v>46</v>
      </c>
      <c r="E2173" s="4" t="s">
        <v>25</v>
      </c>
      <c r="F2173" s="4" t="s">
        <v>25</v>
      </c>
      <c r="G2173" s="4" t="s">
        <v>25</v>
      </c>
      <c r="H2173" s="4" t="s">
        <v>25</v>
      </c>
      <c r="I2173" s="5">
        <v>44743</v>
      </c>
      <c r="J2173" s="6">
        <v>0</v>
      </c>
      <c r="K2173" s="6">
        <v>0</v>
      </c>
      <c r="L2173" s="6">
        <v>9788.5419999999995</v>
      </c>
      <c r="M2173" s="6">
        <v>9788.5419999999995</v>
      </c>
      <c r="N2173" s="6">
        <v>9788.5419999999995</v>
      </c>
      <c r="O2173" s="6">
        <v>9788.5419999999995</v>
      </c>
      <c r="P2173" s="6">
        <v>16988</v>
      </c>
      <c r="Q2173" s="4" t="s">
        <v>26</v>
      </c>
      <c r="R2173" s="4">
        <v>0</v>
      </c>
      <c r="S2173" s="6">
        <v>0</v>
      </c>
      <c r="T2173" s="6">
        <v>57</v>
      </c>
      <c r="U2173" s="6">
        <v>100</v>
      </c>
      <c r="V2173" s="6">
        <f>IF(ISERROR(VLOOKUP($S$2173,'TAR FIN'!$A$1:$O$104,15,0)),0,VLOOKUP($S$2173,'TAR FIN'!$A$1:$O$104,15,0))</f>
        <v>0</v>
      </c>
      <c r="W2173" s="6">
        <f>IF(ISERROR(VLOOKUP($T$2173,'TAR FIN'!$A$1:$O$104,15,0)),0,VLOOKUP($T$2173,'TAR FIN'!$A$1:$O$104,15,0))</f>
        <v>341.2</v>
      </c>
      <c r="X2173" s="6">
        <f>IF(ISERROR(VLOOKUP($U$2173,'TAR FIN'!$A$1:$O$104,15,0)),0,VLOOKUP($U$2173,'TAR FIN'!$A$1:$O$104,15,0))</f>
        <v>255.72</v>
      </c>
      <c r="Y2173" s="6"/>
      <c r="Z2173" s="6">
        <f ca="1">('TUSD BE'!$AM$62+'TUSD BF'!$AM$62+'TUSD CVA'!$AM$62)*1</f>
        <v>356.61002995987536</v>
      </c>
      <c r="AA2173" s="6">
        <f>('TE BE'!$AB$41+'TE BF'!$AB$41+'TE CVA'!$AB$41)*1</f>
        <v>242.47071701268419</v>
      </c>
      <c r="AB2173" s="6">
        <f>$K$2173*$V$2173</f>
        <v>0</v>
      </c>
      <c r="AC2173" s="6">
        <f>$M$2173*$W$2173</f>
        <v>3339850.5303999996</v>
      </c>
      <c r="AD2173" s="6">
        <f>$O$2173*$X$2173</f>
        <v>2503125.9602399999</v>
      </c>
      <c r="AE2173" s="6">
        <f>$K$2173*$Y$2173</f>
        <v>0</v>
      </c>
      <c r="AF2173" s="6">
        <f ca="1">$M$2173*$Z$2173</f>
        <v>3490692.2558834981</v>
      </c>
      <c r="AG2173" s="6">
        <f>$O$2173*$AA$2173</f>
        <v>2373434.7972487737</v>
      </c>
    </row>
    <row r="2174" spans="1:33" ht="11.25" customHeight="1" x14ac:dyDescent="0.25">
      <c r="A2174" s="4" t="s">
        <v>57</v>
      </c>
      <c r="B2174" s="4" t="s">
        <v>37</v>
      </c>
      <c r="C2174" s="4" t="s">
        <v>23</v>
      </c>
      <c r="D2174" s="4" t="s">
        <v>46</v>
      </c>
      <c r="E2174" s="4" t="s">
        <v>25</v>
      </c>
      <c r="F2174" s="4" t="s">
        <v>25</v>
      </c>
      <c r="G2174" s="4" t="s">
        <v>25</v>
      </c>
      <c r="H2174" s="4" t="s">
        <v>25</v>
      </c>
      <c r="I2174" s="5">
        <v>44743</v>
      </c>
      <c r="J2174" s="6">
        <v>0</v>
      </c>
      <c r="K2174" s="6">
        <v>0</v>
      </c>
      <c r="L2174" s="6">
        <v>-11.276999999999999</v>
      </c>
      <c r="M2174" s="6">
        <v>-11.276999999999999</v>
      </c>
      <c r="N2174" s="6">
        <v>-11.276999999999999</v>
      </c>
      <c r="O2174" s="6">
        <v>-11.276999999999999</v>
      </c>
      <c r="P2174" s="6">
        <v>-1</v>
      </c>
      <c r="Q2174" s="4" t="s">
        <v>26</v>
      </c>
      <c r="R2174" s="4">
        <v>0</v>
      </c>
      <c r="S2174" s="6">
        <v>0</v>
      </c>
      <c r="T2174" s="6">
        <v>57</v>
      </c>
      <c r="U2174" s="6">
        <v>100</v>
      </c>
      <c r="V2174" s="6">
        <f>IF(ISERROR(VLOOKUP($S$2174,'TAR FIN'!$A$1:$O$104,15,0)),0,VLOOKUP($S$2174,'TAR FIN'!$A$1:$O$104,15,0))</f>
        <v>0</v>
      </c>
      <c r="W2174" s="6">
        <f>IF(ISERROR(VLOOKUP($T$2174,'TAR FIN'!$A$1:$O$104,15,0)),0,VLOOKUP($T$2174,'TAR FIN'!$A$1:$O$104,15,0))</f>
        <v>341.2</v>
      </c>
      <c r="X2174" s="6">
        <f>IF(ISERROR(VLOOKUP($U$2174,'TAR FIN'!$A$1:$O$104,15,0)),0,VLOOKUP($U$2174,'TAR FIN'!$A$1:$O$104,15,0))</f>
        <v>255.72</v>
      </c>
      <c r="Y2174" s="6"/>
      <c r="Z2174" s="6">
        <f ca="1">('TUSD BE'!$AM$62+'TUSD BF'!$AM$62+'TUSD CVA'!$AM$62)*1</f>
        <v>356.61002995987536</v>
      </c>
      <c r="AA2174" s="6">
        <f>('TE BE'!$AB$41+'TE BF'!$AB$41+'TE CVA'!$AB$41)*1</f>
        <v>242.47071701268419</v>
      </c>
      <c r="AB2174" s="6">
        <f>$K$2174*$V$2174</f>
        <v>0</v>
      </c>
      <c r="AC2174" s="6">
        <f>$M$2174*$W$2174</f>
        <v>-3847.7123999999994</v>
      </c>
      <c r="AD2174" s="6">
        <f>$O$2174*$X$2174</f>
        <v>-2883.7544399999997</v>
      </c>
      <c r="AE2174" s="6">
        <f>$K$2174*$Y$2174</f>
        <v>0</v>
      </c>
      <c r="AF2174" s="6">
        <f ca="1">$M$2174*$Z$2174</f>
        <v>-4021.4913078575141</v>
      </c>
      <c r="AG2174" s="6">
        <f>$O$2174*$AA$2174</f>
        <v>-2734.3422757520393</v>
      </c>
    </row>
    <row r="2175" spans="1:33" ht="11.25" customHeight="1" x14ac:dyDescent="0.25">
      <c r="A2175" s="4" t="s">
        <v>57</v>
      </c>
      <c r="B2175" s="4" t="s">
        <v>37</v>
      </c>
      <c r="C2175" s="4" t="s">
        <v>23</v>
      </c>
      <c r="D2175" s="4" t="s">
        <v>46</v>
      </c>
      <c r="E2175" s="4" t="s">
        <v>25</v>
      </c>
      <c r="F2175" s="4" t="s">
        <v>25</v>
      </c>
      <c r="G2175" s="4" t="s">
        <v>25</v>
      </c>
      <c r="H2175" s="4" t="s">
        <v>25</v>
      </c>
      <c r="I2175" s="5">
        <v>44743</v>
      </c>
      <c r="J2175" s="6">
        <v>0</v>
      </c>
      <c r="K2175" s="6">
        <v>0</v>
      </c>
      <c r="L2175" s="6">
        <v>112.69799999999999</v>
      </c>
      <c r="M2175" s="6">
        <v>112.69799999999999</v>
      </c>
      <c r="N2175" s="6">
        <v>112.69799999999999</v>
      </c>
      <c r="O2175" s="6">
        <v>112.69799999999999</v>
      </c>
      <c r="P2175" s="6">
        <v>126</v>
      </c>
      <c r="Q2175" s="4" t="s">
        <v>26</v>
      </c>
      <c r="R2175" s="4">
        <v>0</v>
      </c>
      <c r="S2175" s="6">
        <v>0</v>
      </c>
      <c r="T2175" s="6">
        <v>57</v>
      </c>
      <c r="U2175" s="6">
        <v>100</v>
      </c>
      <c r="V2175" s="6">
        <f>IF(ISERROR(VLOOKUP($S$2175,'TAR FIN'!$A$1:$O$104,15,0)),0,VLOOKUP($S$2175,'TAR FIN'!$A$1:$O$104,15,0))</f>
        <v>0</v>
      </c>
      <c r="W2175" s="6">
        <f>IF(ISERROR(VLOOKUP($T$2175,'TAR FIN'!$A$1:$O$104,15,0)),0,VLOOKUP($T$2175,'TAR FIN'!$A$1:$O$104,15,0))</f>
        <v>341.2</v>
      </c>
      <c r="X2175" s="6">
        <f>IF(ISERROR(VLOOKUP($U$2175,'TAR FIN'!$A$1:$O$104,15,0)),0,VLOOKUP($U$2175,'TAR FIN'!$A$1:$O$104,15,0))</f>
        <v>255.72</v>
      </c>
      <c r="Y2175" s="6"/>
      <c r="Z2175" s="6">
        <f ca="1">('TUSD BE'!$AM$62+'TUSD BF'!$AM$62+'TUSD CVA'!$AM$62)*1</f>
        <v>356.61002995987536</v>
      </c>
      <c r="AA2175" s="6">
        <f>('TE BE'!$AB$41+'TE BF'!$AB$41+'TE CVA'!$AB$41)*1</f>
        <v>242.47071701268419</v>
      </c>
      <c r="AB2175" s="6">
        <f>$K$2175*$V$2175</f>
        <v>0</v>
      </c>
      <c r="AC2175" s="6">
        <f>$M$2175*$W$2175</f>
        <v>38452.557599999993</v>
      </c>
      <c r="AD2175" s="6">
        <f>$O$2175*$X$2175</f>
        <v>28819.132559999998</v>
      </c>
      <c r="AE2175" s="6">
        <f>$K$2175*$Y$2175</f>
        <v>0</v>
      </c>
      <c r="AF2175" s="6">
        <f ca="1">$M$2175*$Z$2175</f>
        <v>40189.237156418028</v>
      </c>
      <c r="AG2175" s="6">
        <f>$O$2175*$AA$2175</f>
        <v>27325.964865895483</v>
      </c>
    </row>
    <row r="2176" spans="1:33" ht="11.25" customHeight="1" x14ac:dyDescent="0.25">
      <c r="A2176" s="4" t="s">
        <v>21</v>
      </c>
      <c r="B2176" s="4" t="s">
        <v>37</v>
      </c>
      <c r="C2176" s="4" t="s">
        <v>23</v>
      </c>
      <c r="D2176" s="4" t="s">
        <v>50</v>
      </c>
      <c r="E2176" s="4" t="s">
        <v>51</v>
      </c>
      <c r="F2176" s="4" t="s">
        <v>25</v>
      </c>
      <c r="G2176" s="4" t="s">
        <v>25</v>
      </c>
      <c r="H2176" s="4" t="s">
        <v>25</v>
      </c>
      <c r="I2176" s="5">
        <v>44409</v>
      </c>
      <c r="J2176" s="6">
        <v>0</v>
      </c>
      <c r="K2176" s="60">
        <v>0</v>
      </c>
      <c r="L2176" s="6">
        <v>2482.0250000000001</v>
      </c>
      <c r="M2176" s="60">
        <v>2482.0250000000001</v>
      </c>
      <c r="N2176" s="6">
        <v>2482.0250000000001</v>
      </c>
      <c r="O2176" s="60">
        <v>2482.0250000000001</v>
      </c>
      <c r="P2176" s="6">
        <v>828</v>
      </c>
      <c r="Q2176" s="4" t="s">
        <v>26</v>
      </c>
      <c r="R2176" s="4">
        <v>0</v>
      </c>
      <c r="S2176" s="6">
        <v>0</v>
      </c>
      <c r="T2176" s="6">
        <v>57</v>
      </c>
      <c r="U2176" s="6">
        <v>100</v>
      </c>
      <c r="V2176" s="60">
        <f>IF(ISERROR(VLOOKUP($S$2176,'TAR FIN'!$A$1:$O$104,15,0)),0,VLOOKUP($S$2176,'TAR FIN'!$A$1:$O$104,15,0))</f>
        <v>0</v>
      </c>
      <c r="W2176" s="60">
        <f>IF(ISERROR(VLOOKUP($T$2176,'TAR FIN'!$A$1:$O$104,15,0)),0,VLOOKUP($T$2176,'TAR FIN'!$A$1:$O$104,15,0))*(1-0.06)</f>
        <v>320.72799999999995</v>
      </c>
      <c r="X2176" s="60">
        <f>IF(ISERROR(VLOOKUP($U$2176,'TAR FIN'!$A$1:$O$104,15,0)),0,VLOOKUP($U$2176,'TAR FIN'!$A$1:$O$104,15,0))*(1-0.06)</f>
        <v>240.37679999999997</v>
      </c>
      <c r="Y2176" s="60"/>
      <c r="Z2176" s="60">
        <f ca="1">('TUSD BE'!$AM$62+'TUSD BF'!$AM$62+'TUSD CVA'!$AM$62)*1*(1-0.03)</f>
        <v>345.91172906107909</v>
      </c>
      <c r="AA2176" s="60">
        <f>('TE BE'!$AB$41+'TE BF'!$AB$41+'TE CVA'!$AB$41)*1*(1-0.03)</f>
        <v>235.19659550230367</v>
      </c>
      <c r="AB2176" s="6">
        <f>$K$2176*$V$2176</f>
        <v>0</v>
      </c>
      <c r="AC2176" s="6">
        <f>$M$2176*$W$2176</f>
        <v>796054.91419999988</v>
      </c>
      <c r="AD2176" s="6">
        <f>$O$2176*$X$2176</f>
        <v>596621.22701999999</v>
      </c>
      <c r="AE2176" s="6">
        <f>$K$2176*$Y$2176</f>
        <v>0</v>
      </c>
      <c r="AF2176" s="6">
        <f ca="1">$M$2176*$Z$2176</f>
        <v>858561.55932282482</v>
      </c>
      <c r="AG2176" s="6">
        <f>$O$2176*$AA$2176</f>
        <v>583763.82995160529</v>
      </c>
    </row>
    <row r="2177" spans="1:33" ht="11.25" customHeight="1" x14ac:dyDescent="0.25">
      <c r="A2177" s="4" t="s">
        <v>21</v>
      </c>
      <c r="B2177" s="4" t="s">
        <v>37</v>
      </c>
      <c r="C2177" s="4" t="s">
        <v>23</v>
      </c>
      <c r="D2177" s="4" t="s">
        <v>50</v>
      </c>
      <c r="E2177" s="4" t="s">
        <v>51</v>
      </c>
      <c r="F2177" s="4" t="s">
        <v>25</v>
      </c>
      <c r="G2177" s="4" t="s">
        <v>25</v>
      </c>
      <c r="H2177" s="4" t="s">
        <v>25</v>
      </c>
      <c r="I2177" s="5">
        <v>44440</v>
      </c>
      <c r="J2177" s="6">
        <v>0</v>
      </c>
      <c r="K2177" s="60">
        <v>0</v>
      </c>
      <c r="L2177" s="6">
        <v>2433.2939999999999</v>
      </c>
      <c r="M2177" s="60">
        <v>2433.2939999999999</v>
      </c>
      <c r="N2177" s="6">
        <v>2433.2939999999999</v>
      </c>
      <c r="O2177" s="60">
        <v>2433.2939999999999</v>
      </c>
      <c r="P2177" s="6">
        <v>834</v>
      </c>
      <c r="Q2177" s="4" t="s">
        <v>26</v>
      </c>
      <c r="R2177" s="4">
        <v>0</v>
      </c>
      <c r="S2177" s="6">
        <v>0</v>
      </c>
      <c r="T2177" s="6">
        <v>57</v>
      </c>
      <c r="U2177" s="6">
        <v>100</v>
      </c>
      <c r="V2177" s="60">
        <f>IF(ISERROR(VLOOKUP($S$2177,'TAR FIN'!$A$1:$O$104,15,0)),0,VLOOKUP($S$2177,'TAR FIN'!$A$1:$O$104,15,0))</f>
        <v>0</v>
      </c>
      <c r="W2177" s="60">
        <f>IF(ISERROR(VLOOKUP($T$2177,'TAR FIN'!$A$1:$O$104,15,0)),0,VLOOKUP($T$2177,'TAR FIN'!$A$1:$O$104,15,0))*(1-0.06)</f>
        <v>320.72799999999995</v>
      </c>
      <c r="X2177" s="60">
        <f>IF(ISERROR(VLOOKUP($U$2177,'TAR FIN'!$A$1:$O$104,15,0)),0,VLOOKUP($U$2177,'TAR FIN'!$A$1:$O$104,15,0))*(1-0.06)</f>
        <v>240.37679999999997</v>
      </c>
      <c r="Y2177" s="60"/>
      <c r="Z2177" s="60">
        <f ca="1">('TUSD BE'!$AM$62+'TUSD BF'!$AM$62+'TUSD CVA'!$AM$62)*1*(1-0.03)</f>
        <v>345.91172906107909</v>
      </c>
      <c r="AA2177" s="60">
        <f>('TE BE'!$AB$41+'TE BF'!$AB$41+'TE CVA'!$AB$41)*1*(1-0.03)</f>
        <v>235.19659550230367</v>
      </c>
      <c r="AB2177" s="6">
        <f>$K$2177*$V$2177</f>
        <v>0</v>
      </c>
      <c r="AC2177" s="6">
        <f>$M$2177*$W$2177</f>
        <v>780425.51803199982</v>
      </c>
      <c r="AD2177" s="6">
        <f>$O$2177*$X$2177</f>
        <v>584907.4251791999</v>
      </c>
      <c r="AE2177" s="6">
        <f>$K$2177*$Y$2177</f>
        <v>0</v>
      </c>
      <c r="AF2177" s="6">
        <f ca="1">$M$2177*$Z$2177</f>
        <v>841704.93485394935</v>
      </c>
      <c r="AG2177" s="6">
        <f>$O$2177*$AA$2177</f>
        <v>572302.46465618245</v>
      </c>
    </row>
    <row r="2178" spans="1:33" ht="11.25" customHeight="1" x14ac:dyDescent="0.25">
      <c r="A2178" s="4" t="s">
        <v>21</v>
      </c>
      <c r="B2178" s="4" t="s">
        <v>37</v>
      </c>
      <c r="C2178" s="4" t="s">
        <v>23</v>
      </c>
      <c r="D2178" s="4" t="s">
        <v>50</v>
      </c>
      <c r="E2178" s="4" t="s">
        <v>51</v>
      </c>
      <c r="F2178" s="4" t="s">
        <v>25</v>
      </c>
      <c r="G2178" s="4" t="s">
        <v>25</v>
      </c>
      <c r="H2178" s="4" t="s">
        <v>25</v>
      </c>
      <c r="I2178" s="5">
        <v>44470</v>
      </c>
      <c r="J2178" s="6">
        <v>0</v>
      </c>
      <c r="K2178" s="60">
        <v>0</v>
      </c>
      <c r="L2178" s="6">
        <v>2406.951</v>
      </c>
      <c r="M2178" s="60">
        <v>2406.951</v>
      </c>
      <c r="N2178" s="6">
        <v>2406.951</v>
      </c>
      <c r="O2178" s="60">
        <v>2406.951</v>
      </c>
      <c r="P2178" s="6">
        <v>827</v>
      </c>
      <c r="Q2178" s="4" t="s">
        <v>26</v>
      </c>
      <c r="R2178" s="4">
        <v>0</v>
      </c>
      <c r="S2178" s="6">
        <v>0</v>
      </c>
      <c r="T2178" s="6">
        <v>57</v>
      </c>
      <c r="U2178" s="6">
        <v>100</v>
      </c>
      <c r="V2178" s="60">
        <f>IF(ISERROR(VLOOKUP($S$2178,'TAR FIN'!$A$1:$O$104,15,0)),0,VLOOKUP($S$2178,'TAR FIN'!$A$1:$O$104,15,0))</f>
        <v>0</v>
      </c>
      <c r="W2178" s="60">
        <f>IF(ISERROR(VLOOKUP($T$2178,'TAR FIN'!$A$1:$O$104,15,0)),0,VLOOKUP($T$2178,'TAR FIN'!$A$1:$O$104,15,0))*(1-0.06)</f>
        <v>320.72799999999995</v>
      </c>
      <c r="X2178" s="60">
        <f>IF(ISERROR(VLOOKUP($U$2178,'TAR FIN'!$A$1:$O$104,15,0)),0,VLOOKUP($U$2178,'TAR FIN'!$A$1:$O$104,15,0))*(1-0.06)</f>
        <v>240.37679999999997</v>
      </c>
      <c r="Y2178" s="60"/>
      <c r="Z2178" s="60">
        <f ca="1">('TUSD BE'!$AM$62+'TUSD BF'!$AM$62+'TUSD CVA'!$AM$62)*1*(1-0.03)</f>
        <v>345.91172906107909</v>
      </c>
      <c r="AA2178" s="60">
        <f>('TE BE'!$AB$41+'TE BF'!$AB$41+'TE CVA'!$AB$41)*1*(1-0.03)</f>
        <v>235.19659550230367</v>
      </c>
      <c r="AB2178" s="6">
        <f>$K$2178*$V$2178</f>
        <v>0</v>
      </c>
      <c r="AC2178" s="6">
        <f>$M$2178*$W$2178</f>
        <v>771976.58032799989</v>
      </c>
      <c r="AD2178" s="6">
        <f>$O$2178*$X$2178</f>
        <v>578575.1791368</v>
      </c>
      <c r="AE2178" s="6">
        <f>$K$2178*$Y$2178</f>
        <v>0</v>
      </c>
      <c r="AF2178" s="6">
        <f ca="1">$M$2178*$Z$2178</f>
        <v>832592.58217529336</v>
      </c>
      <c r="AG2178" s="6">
        <f>$O$2178*$AA$2178</f>
        <v>566106.6807408653</v>
      </c>
    </row>
    <row r="2179" spans="1:33" ht="11.25" customHeight="1" x14ac:dyDescent="0.25">
      <c r="A2179" s="4" t="s">
        <v>21</v>
      </c>
      <c r="B2179" s="4" t="s">
        <v>37</v>
      </c>
      <c r="C2179" s="4" t="s">
        <v>23</v>
      </c>
      <c r="D2179" s="4" t="s">
        <v>50</v>
      </c>
      <c r="E2179" s="4" t="s">
        <v>51</v>
      </c>
      <c r="F2179" s="4" t="s">
        <v>25</v>
      </c>
      <c r="G2179" s="4" t="s">
        <v>25</v>
      </c>
      <c r="H2179" s="4" t="s">
        <v>25</v>
      </c>
      <c r="I2179" s="5">
        <v>44501</v>
      </c>
      <c r="J2179" s="6">
        <v>0</v>
      </c>
      <c r="K2179" s="60">
        <v>0</v>
      </c>
      <c r="L2179" s="6">
        <v>2420.7080000000001</v>
      </c>
      <c r="M2179" s="60">
        <v>2420.7080000000001</v>
      </c>
      <c r="N2179" s="6">
        <v>2420.7080000000001</v>
      </c>
      <c r="O2179" s="60">
        <v>2420.7080000000001</v>
      </c>
      <c r="P2179" s="6">
        <v>832</v>
      </c>
      <c r="Q2179" s="4" t="s">
        <v>26</v>
      </c>
      <c r="R2179" s="4">
        <v>0</v>
      </c>
      <c r="S2179" s="6">
        <v>0</v>
      </c>
      <c r="T2179" s="6">
        <v>57</v>
      </c>
      <c r="U2179" s="6">
        <v>100</v>
      </c>
      <c r="V2179" s="60">
        <f>IF(ISERROR(VLOOKUP($S$2179,'TAR FIN'!$A$1:$O$104,15,0)),0,VLOOKUP($S$2179,'TAR FIN'!$A$1:$O$104,15,0))</f>
        <v>0</v>
      </c>
      <c r="W2179" s="60">
        <f>IF(ISERROR(VLOOKUP($T$2179,'TAR FIN'!$A$1:$O$104,15,0)),0,VLOOKUP($T$2179,'TAR FIN'!$A$1:$O$104,15,0))*(1-0.06)</f>
        <v>320.72799999999995</v>
      </c>
      <c r="X2179" s="60">
        <f>IF(ISERROR(VLOOKUP($U$2179,'TAR FIN'!$A$1:$O$104,15,0)),0,VLOOKUP($U$2179,'TAR FIN'!$A$1:$O$104,15,0))*(1-0.06)</f>
        <v>240.37679999999997</v>
      </c>
      <c r="Y2179" s="60"/>
      <c r="Z2179" s="60">
        <f ca="1">('TUSD BE'!$AM$62+'TUSD BF'!$AM$62+'TUSD CVA'!$AM$62)*1*(1-0.03)</f>
        <v>345.91172906107909</v>
      </c>
      <c r="AA2179" s="60">
        <f>('TE BE'!$AB$41+'TE BF'!$AB$41+'TE CVA'!$AB$41)*1*(1-0.03)</f>
        <v>235.19659550230367</v>
      </c>
      <c r="AB2179" s="6">
        <f>$K$2179*$V$2179</f>
        <v>0</v>
      </c>
      <c r="AC2179" s="6">
        <f>$M$2179*$W$2179</f>
        <v>776388.83542399993</v>
      </c>
      <c r="AD2179" s="6">
        <f>$O$2179*$X$2179</f>
        <v>581882.04277439998</v>
      </c>
      <c r="AE2179" s="6">
        <f>$K$2179*$Y$2179</f>
        <v>0</v>
      </c>
      <c r="AF2179" s="6">
        <f ca="1">$M$2179*$Z$2179</f>
        <v>837351.28983198665</v>
      </c>
      <c r="AG2179" s="6">
        <f>$O$2179*$AA$2179</f>
        <v>569342.28030519048</v>
      </c>
    </row>
    <row r="2180" spans="1:33" ht="11.25" customHeight="1" x14ac:dyDescent="0.25">
      <c r="A2180" s="4" t="s">
        <v>21</v>
      </c>
      <c r="B2180" s="4" t="s">
        <v>37</v>
      </c>
      <c r="C2180" s="4" t="s">
        <v>23</v>
      </c>
      <c r="D2180" s="4" t="s">
        <v>50</v>
      </c>
      <c r="E2180" s="4" t="s">
        <v>51</v>
      </c>
      <c r="F2180" s="4" t="s">
        <v>25</v>
      </c>
      <c r="G2180" s="4" t="s">
        <v>25</v>
      </c>
      <c r="H2180" s="4" t="s">
        <v>25</v>
      </c>
      <c r="I2180" s="5">
        <v>44531</v>
      </c>
      <c r="J2180" s="6">
        <v>0</v>
      </c>
      <c r="K2180" s="60">
        <v>0</v>
      </c>
      <c r="L2180" s="6">
        <v>2657.1010000000001</v>
      </c>
      <c r="M2180" s="60">
        <v>2657.1010000000001</v>
      </c>
      <c r="N2180" s="6">
        <v>2657.1010000000001</v>
      </c>
      <c r="O2180" s="60">
        <v>2657.1010000000001</v>
      </c>
      <c r="P2180" s="6">
        <v>832</v>
      </c>
      <c r="Q2180" s="4" t="s">
        <v>26</v>
      </c>
      <c r="R2180" s="4">
        <v>0</v>
      </c>
      <c r="S2180" s="6">
        <v>0</v>
      </c>
      <c r="T2180" s="6">
        <v>57</v>
      </c>
      <c r="U2180" s="6">
        <v>100</v>
      </c>
      <c r="V2180" s="60">
        <f>IF(ISERROR(VLOOKUP($S$2180,'TAR FIN'!$A$1:$O$104,15,0)),0,VLOOKUP($S$2180,'TAR FIN'!$A$1:$O$104,15,0))</f>
        <v>0</v>
      </c>
      <c r="W2180" s="60">
        <f>IF(ISERROR(VLOOKUP($T$2180,'TAR FIN'!$A$1:$O$104,15,0)),0,VLOOKUP($T$2180,'TAR FIN'!$A$1:$O$104,15,0))*(1-0.06)</f>
        <v>320.72799999999995</v>
      </c>
      <c r="X2180" s="60">
        <f>IF(ISERROR(VLOOKUP($U$2180,'TAR FIN'!$A$1:$O$104,15,0)),0,VLOOKUP($U$2180,'TAR FIN'!$A$1:$O$104,15,0))*(1-0.06)</f>
        <v>240.37679999999997</v>
      </c>
      <c r="Y2180" s="60"/>
      <c r="Z2180" s="60">
        <f ca="1">('TUSD BE'!$AM$62+'TUSD BF'!$AM$62+'TUSD CVA'!$AM$62)*1*(1-0.03)</f>
        <v>345.91172906107909</v>
      </c>
      <c r="AA2180" s="60">
        <f>('TE BE'!$AB$41+'TE BF'!$AB$41+'TE CVA'!$AB$41)*1*(1-0.03)</f>
        <v>235.19659550230367</v>
      </c>
      <c r="AB2180" s="6">
        <f>$K$2180*$V$2180</f>
        <v>0</v>
      </c>
      <c r="AC2180" s="6">
        <f>$M$2180*$W$2180</f>
        <v>852206.68952799996</v>
      </c>
      <c r="AD2180" s="6">
        <f>$O$2180*$X$2180</f>
        <v>638705.43565679993</v>
      </c>
      <c r="AE2180" s="6">
        <f>$K$2180*$Y$2180</f>
        <v>0</v>
      </c>
      <c r="AF2180" s="6">
        <f ca="1">$M$2180*$Z$2180</f>
        <v>919122.40119992231</v>
      </c>
      <c r="AG2180" s="6">
        <f>$O$2180*$AA$2180</f>
        <v>624941.10910576663</v>
      </c>
    </row>
    <row r="2181" spans="1:33" ht="11.25" customHeight="1" x14ac:dyDescent="0.25">
      <c r="A2181" s="4" t="s">
        <v>21</v>
      </c>
      <c r="B2181" s="4" t="s">
        <v>37</v>
      </c>
      <c r="C2181" s="4" t="s">
        <v>23</v>
      </c>
      <c r="D2181" s="4" t="s">
        <v>50</v>
      </c>
      <c r="E2181" s="4" t="s">
        <v>51</v>
      </c>
      <c r="F2181" s="4" t="s">
        <v>25</v>
      </c>
      <c r="G2181" s="4" t="s">
        <v>25</v>
      </c>
      <c r="H2181" s="4" t="s">
        <v>25</v>
      </c>
      <c r="I2181" s="5">
        <v>44562</v>
      </c>
      <c r="J2181" s="6">
        <v>0</v>
      </c>
      <c r="K2181" s="60">
        <v>0</v>
      </c>
      <c r="L2181" s="6">
        <v>2379.2330000000002</v>
      </c>
      <c r="M2181" s="60">
        <v>2379.2330000000002</v>
      </c>
      <c r="N2181" s="6">
        <v>2379.2330000000002</v>
      </c>
      <c r="O2181" s="60">
        <v>2379.2330000000002</v>
      </c>
      <c r="P2181" s="6">
        <v>836</v>
      </c>
      <c r="Q2181" s="4" t="s">
        <v>26</v>
      </c>
      <c r="R2181" s="4">
        <v>0</v>
      </c>
      <c r="S2181" s="6">
        <v>0</v>
      </c>
      <c r="T2181" s="6">
        <v>57</v>
      </c>
      <c r="U2181" s="6">
        <v>100</v>
      </c>
      <c r="V2181" s="60">
        <f>IF(ISERROR(VLOOKUP($S$2181,'TAR FIN'!$A$1:$O$104,15,0)),0,VLOOKUP($S$2181,'TAR FIN'!$A$1:$O$104,15,0))</f>
        <v>0</v>
      </c>
      <c r="W2181" s="60">
        <f>IF(ISERROR(VLOOKUP($T$2181,'TAR FIN'!$A$1:$O$104,15,0)),0,VLOOKUP($T$2181,'TAR FIN'!$A$1:$O$104,15,0))*(1-0.06)</f>
        <v>320.72799999999995</v>
      </c>
      <c r="X2181" s="60">
        <f>IF(ISERROR(VLOOKUP($U$2181,'TAR FIN'!$A$1:$O$104,15,0)),0,VLOOKUP($U$2181,'TAR FIN'!$A$1:$O$104,15,0))*(1-0.06)</f>
        <v>240.37679999999997</v>
      </c>
      <c r="Y2181" s="60"/>
      <c r="Z2181" s="60">
        <f ca="1">('TUSD BE'!$AM$62+'TUSD BF'!$AM$62+'TUSD CVA'!$AM$62)*1*(1-0.03)</f>
        <v>345.91172906107909</v>
      </c>
      <c r="AA2181" s="60">
        <f>('TE BE'!$AB$41+'TE BF'!$AB$41+'TE CVA'!$AB$41)*1*(1-0.03)</f>
        <v>235.19659550230367</v>
      </c>
      <c r="AB2181" s="6">
        <f>$K$2181*$V$2181</f>
        <v>0</v>
      </c>
      <c r="AC2181" s="6">
        <f>$M$2181*$W$2181</f>
        <v>763086.64162399992</v>
      </c>
      <c r="AD2181" s="6">
        <f>$O$2181*$X$2181</f>
        <v>571912.41499439999</v>
      </c>
      <c r="AE2181" s="6">
        <f>$K$2181*$Y$2181</f>
        <v>0</v>
      </c>
      <c r="AF2181" s="6">
        <f ca="1">$M$2181*$Z$2181</f>
        <v>823004.60086917842</v>
      </c>
      <c r="AG2181" s="6">
        <f>$O$2181*$AA$2181</f>
        <v>559587.50150673254</v>
      </c>
    </row>
    <row r="2182" spans="1:33" ht="11.25" customHeight="1" x14ac:dyDescent="0.25">
      <c r="A2182" s="4" t="s">
        <v>27</v>
      </c>
      <c r="B2182" s="4" t="s">
        <v>37</v>
      </c>
      <c r="C2182" s="4" t="s">
        <v>23</v>
      </c>
      <c r="D2182" s="4" t="s">
        <v>50</v>
      </c>
      <c r="E2182" s="4" t="s">
        <v>51</v>
      </c>
      <c r="F2182" s="4" t="s">
        <v>25</v>
      </c>
      <c r="G2182" s="4" t="s">
        <v>25</v>
      </c>
      <c r="H2182" s="4" t="s">
        <v>25</v>
      </c>
      <c r="I2182" s="5">
        <v>44562</v>
      </c>
      <c r="J2182" s="6">
        <v>0</v>
      </c>
      <c r="K2182" s="60">
        <v>0</v>
      </c>
      <c r="L2182" s="6">
        <v>-47.996000000000002</v>
      </c>
      <c r="M2182" s="60">
        <v>-47.996000000000002</v>
      </c>
      <c r="N2182" s="6">
        <v>-47.996000000000002</v>
      </c>
      <c r="O2182" s="60">
        <v>-47.996000000000002</v>
      </c>
      <c r="P2182" s="6">
        <v>-1</v>
      </c>
      <c r="Q2182" s="4" t="s">
        <v>26</v>
      </c>
      <c r="R2182" s="4">
        <v>0</v>
      </c>
      <c r="S2182" s="6">
        <v>0</v>
      </c>
      <c r="T2182" s="6">
        <v>57</v>
      </c>
      <c r="U2182" s="6">
        <v>100</v>
      </c>
      <c r="V2182" s="60">
        <f>IF(ISERROR(VLOOKUP($S$2182,'TAR FIN'!$A$1:$O$104,15,0)),0,VLOOKUP($S$2182,'TAR FIN'!$A$1:$O$104,15,0))</f>
        <v>0</v>
      </c>
      <c r="W2182" s="60">
        <f>IF(ISERROR(VLOOKUP($T$2182,'TAR FIN'!$A$1:$O$104,15,0)),0,VLOOKUP($T$2182,'TAR FIN'!$A$1:$O$104,15,0))*(1-0.06)</f>
        <v>320.72799999999995</v>
      </c>
      <c r="X2182" s="60">
        <f>IF(ISERROR(VLOOKUP($U$2182,'TAR FIN'!$A$1:$O$104,15,0)),0,VLOOKUP($U$2182,'TAR FIN'!$A$1:$O$104,15,0))*(1-0.06)</f>
        <v>240.37679999999997</v>
      </c>
      <c r="Y2182" s="60"/>
      <c r="Z2182" s="60">
        <f ca="1">('TUSD BE'!$AM$62+'TUSD BF'!$AM$62+'TUSD CVA'!$AM$62)*1*(1-0.03)</f>
        <v>345.91172906107909</v>
      </c>
      <c r="AA2182" s="60">
        <f>('TE BE'!$AB$41+'TE BF'!$AB$41+'TE CVA'!$AB$41)*1*(1-0.03)</f>
        <v>235.19659550230367</v>
      </c>
      <c r="AB2182" s="6">
        <f>$K$2182*$V$2182</f>
        <v>0</v>
      </c>
      <c r="AC2182" s="6">
        <f>$M$2182*$W$2182</f>
        <v>-15393.661087999999</v>
      </c>
      <c r="AD2182" s="6">
        <f>$O$2182*$X$2182</f>
        <v>-11537.124892799999</v>
      </c>
      <c r="AE2182" s="6">
        <f>$K$2182*$Y$2182</f>
        <v>0</v>
      </c>
      <c r="AF2182" s="6">
        <f ca="1">$M$2182*$Z$2182</f>
        <v>-16602.379348015551</v>
      </c>
      <c r="AG2182" s="6">
        <f>$O$2182*$AA$2182</f>
        <v>-11288.495797728567</v>
      </c>
    </row>
    <row r="2183" spans="1:33" ht="11.25" customHeight="1" x14ac:dyDescent="0.25">
      <c r="A2183" s="4" t="s">
        <v>21</v>
      </c>
      <c r="B2183" s="4" t="s">
        <v>37</v>
      </c>
      <c r="C2183" s="4" t="s">
        <v>23</v>
      </c>
      <c r="D2183" s="4" t="s">
        <v>50</v>
      </c>
      <c r="E2183" s="4" t="s">
        <v>51</v>
      </c>
      <c r="F2183" s="4" t="s">
        <v>25</v>
      </c>
      <c r="G2183" s="4" t="s">
        <v>25</v>
      </c>
      <c r="H2183" s="4" t="s">
        <v>25</v>
      </c>
      <c r="I2183" s="5">
        <v>44593</v>
      </c>
      <c r="J2183" s="6">
        <v>0</v>
      </c>
      <c r="K2183" s="60">
        <v>0</v>
      </c>
      <c r="L2183" s="6">
        <v>2256.3719999999998</v>
      </c>
      <c r="M2183" s="60">
        <v>2256.3719999999998</v>
      </c>
      <c r="N2183" s="6">
        <v>2256.3719999999998</v>
      </c>
      <c r="O2183" s="60">
        <v>2256.3719999999998</v>
      </c>
      <c r="P2183" s="6">
        <v>835</v>
      </c>
      <c r="Q2183" s="4" t="s">
        <v>26</v>
      </c>
      <c r="R2183" s="4">
        <v>0</v>
      </c>
      <c r="S2183" s="6">
        <v>0</v>
      </c>
      <c r="T2183" s="6">
        <v>57</v>
      </c>
      <c r="U2183" s="6">
        <v>100</v>
      </c>
      <c r="V2183" s="60">
        <f>IF(ISERROR(VLOOKUP($S$2183,'TAR FIN'!$A$1:$O$104,15,0)),0,VLOOKUP($S$2183,'TAR FIN'!$A$1:$O$104,15,0))</f>
        <v>0</v>
      </c>
      <c r="W2183" s="60">
        <f>IF(ISERROR(VLOOKUP($T$2183,'TAR FIN'!$A$1:$O$104,15,0)),0,VLOOKUP($T$2183,'TAR FIN'!$A$1:$O$104,15,0))*(1-0.06)</f>
        <v>320.72799999999995</v>
      </c>
      <c r="X2183" s="60">
        <f>IF(ISERROR(VLOOKUP($U$2183,'TAR FIN'!$A$1:$O$104,15,0)),0,VLOOKUP($U$2183,'TAR FIN'!$A$1:$O$104,15,0))*(1-0.06)</f>
        <v>240.37679999999997</v>
      </c>
      <c r="Y2183" s="60"/>
      <c r="Z2183" s="60">
        <f ca="1">('TUSD BE'!$AM$62+'TUSD BF'!$AM$62+'TUSD CVA'!$AM$62)*1*(1-0.03)</f>
        <v>345.91172906107909</v>
      </c>
      <c r="AA2183" s="60">
        <f>('TE BE'!$AB$41+'TE BF'!$AB$41+'TE CVA'!$AB$41)*1*(1-0.03)</f>
        <v>235.19659550230367</v>
      </c>
      <c r="AB2183" s="6">
        <f>$K$2183*$V$2183</f>
        <v>0</v>
      </c>
      <c r="AC2183" s="6">
        <f>$M$2183*$W$2183</f>
        <v>723681.67881599988</v>
      </c>
      <c r="AD2183" s="6">
        <f>$O$2183*$X$2183</f>
        <v>542379.48096959991</v>
      </c>
      <c r="AE2183" s="6">
        <f>$K$2183*$Y$2183</f>
        <v>0</v>
      </c>
      <c r="AF2183" s="6">
        <f ca="1">$M$2183*$Z$2183</f>
        <v>780505.53992500505</v>
      </c>
      <c r="AG2183" s="6">
        <f>$O$2183*$AA$2183</f>
        <v>530691.0125867239</v>
      </c>
    </row>
    <row r="2184" spans="1:33" ht="11.25" customHeight="1" x14ac:dyDescent="0.25">
      <c r="A2184" s="4" t="s">
        <v>21</v>
      </c>
      <c r="B2184" s="4" t="s">
        <v>37</v>
      </c>
      <c r="C2184" s="4" t="s">
        <v>23</v>
      </c>
      <c r="D2184" s="4" t="s">
        <v>50</v>
      </c>
      <c r="E2184" s="4" t="s">
        <v>51</v>
      </c>
      <c r="F2184" s="4" t="s">
        <v>25</v>
      </c>
      <c r="G2184" s="4" t="s">
        <v>25</v>
      </c>
      <c r="H2184" s="4" t="s">
        <v>25</v>
      </c>
      <c r="I2184" s="5">
        <v>44621</v>
      </c>
      <c r="J2184" s="6">
        <v>0</v>
      </c>
      <c r="K2184" s="60">
        <v>0</v>
      </c>
      <c r="L2184" s="6">
        <v>2416.3939999999998</v>
      </c>
      <c r="M2184" s="60">
        <v>2416.3939999999998</v>
      </c>
      <c r="N2184" s="6">
        <v>2416.3939999999998</v>
      </c>
      <c r="O2184" s="60">
        <v>2416.3939999999998</v>
      </c>
      <c r="P2184" s="6">
        <v>836</v>
      </c>
      <c r="Q2184" s="4" t="s">
        <v>26</v>
      </c>
      <c r="R2184" s="4">
        <v>0</v>
      </c>
      <c r="S2184" s="6">
        <v>0</v>
      </c>
      <c r="T2184" s="6">
        <v>57</v>
      </c>
      <c r="U2184" s="6">
        <v>100</v>
      </c>
      <c r="V2184" s="60">
        <f>IF(ISERROR(VLOOKUP($S$2184,'TAR FIN'!$A$1:$O$104,15,0)),0,VLOOKUP($S$2184,'TAR FIN'!$A$1:$O$104,15,0))</f>
        <v>0</v>
      </c>
      <c r="W2184" s="60">
        <f>IF(ISERROR(VLOOKUP($T$2184,'TAR FIN'!$A$1:$O$104,15,0)),0,VLOOKUP($T$2184,'TAR FIN'!$A$1:$O$104,15,0))*(1-0.06)</f>
        <v>320.72799999999995</v>
      </c>
      <c r="X2184" s="60">
        <f>IF(ISERROR(VLOOKUP($U$2184,'TAR FIN'!$A$1:$O$104,15,0)),0,VLOOKUP($U$2184,'TAR FIN'!$A$1:$O$104,15,0))*(1-0.06)</f>
        <v>240.37679999999997</v>
      </c>
      <c r="Y2184" s="60"/>
      <c r="Z2184" s="60">
        <f ca="1">('TUSD BE'!$AM$62+'TUSD BF'!$AM$62+'TUSD CVA'!$AM$62)*1*(1-0.03)</f>
        <v>345.91172906107909</v>
      </c>
      <c r="AA2184" s="60">
        <f>('TE BE'!$AB$41+'TE BF'!$AB$41+'TE CVA'!$AB$41)*1*(1-0.03)</f>
        <v>235.19659550230367</v>
      </c>
      <c r="AB2184" s="6">
        <f>$K$2184*$V$2184</f>
        <v>0</v>
      </c>
      <c r="AC2184" s="6">
        <f>$M$2184*$W$2184</f>
        <v>775005.21483199985</v>
      </c>
      <c r="AD2184" s="6">
        <f>$O$2184*$X$2184</f>
        <v>580845.05725919991</v>
      </c>
      <c r="AE2184" s="6">
        <f>$K$2184*$Y$2184</f>
        <v>0</v>
      </c>
      <c r="AF2184" s="6">
        <f ca="1">$M$2184*$Z$2184</f>
        <v>835859.02663281711</v>
      </c>
      <c r="AG2184" s="6">
        <f>$O$2184*$AA$2184</f>
        <v>568327.64219219354</v>
      </c>
    </row>
    <row r="2185" spans="1:33" ht="11.25" customHeight="1" x14ac:dyDescent="0.25">
      <c r="A2185" s="4" t="s">
        <v>21</v>
      </c>
      <c r="B2185" s="4" t="s">
        <v>37</v>
      </c>
      <c r="C2185" s="4" t="s">
        <v>23</v>
      </c>
      <c r="D2185" s="4" t="s">
        <v>50</v>
      </c>
      <c r="E2185" s="4" t="s">
        <v>51</v>
      </c>
      <c r="F2185" s="4" t="s">
        <v>25</v>
      </c>
      <c r="G2185" s="4" t="s">
        <v>25</v>
      </c>
      <c r="H2185" s="4" t="s">
        <v>25</v>
      </c>
      <c r="I2185" s="5">
        <v>44652</v>
      </c>
      <c r="J2185" s="6">
        <v>0</v>
      </c>
      <c r="K2185" s="60">
        <v>0</v>
      </c>
      <c r="L2185" s="6">
        <v>2339.1709999999998</v>
      </c>
      <c r="M2185" s="60">
        <v>2339.1709999999998</v>
      </c>
      <c r="N2185" s="6">
        <v>2339.1709999999998</v>
      </c>
      <c r="O2185" s="60">
        <v>2339.1709999999998</v>
      </c>
      <c r="P2185" s="6">
        <v>833</v>
      </c>
      <c r="Q2185" s="4" t="s">
        <v>26</v>
      </c>
      <c r="R2185" s="4">
        <v>0</v>
      </c>
      <c r="S2185" s="6">
        <v>0</v>
      </c>
      <c r="T2185" s="6">
        <v>57</v>
      </c>
      <c r="U2185" s="6">
        <v>100</v>
      </c>
      <c r="V2185" s="60">
        <f>IF(ISERROR(VLOOKUP($S$2185,'TAR FIN'!$A$1:$O$104,15,0)),0,VLOOKUP($S$2185,'TAR FIN'!$A$1:$O$104,15,0))</f>
        <v>0</v>
      </c>
      <c r="W2185" s="60">
        <f>IF(ISERROR(VLOOKUP($T$2185,'TAR FIN'!$A$1:$O$104,15,0)),0,VLOOKUP($T$2185,'TAR FIN'!$A$1:$O$104,15,0))*(1-0.06)</f>
        <v>320.72799999999995</v>
      </c>
      <c r="X2185" s="60">
        <f>IF(ISERROR(VLOOKUP($U$2185,'TAR FIN'!$A$1:$O$104,15,0)),0,VLOOKUP($U$2185,'TAR FIN'!$A$1:$O$104,15,0))*(1-0.06)</f>
        <v>240.37679999999997</v>
      </c>
      <c r="Y2185" s="60"/>
      <c r="Z2185" s="60">
        <f ca="1">('TUSD BE'!$AM$62+'TUSD BF'!$AM$62+'TUSD CVA'!$AM$62)*1*(1-0.03)</f>
        <v>345.91172906107909</v>
      </c>
      <c r="AA2185" s="60">
        <f>('TE BE'!$AB$41+'TE BF'!$AB$41+'TE CVA'!$AB$41)*1*(1-0.03)</f>
        <v>235.19659550230367</v>
      </c>
      <c r="AB2185" s="6">
        <f>$K$2185*$V$2185</f>
        <v>0</v>
      </c>
      <c r="AC2185" s="6">
        <f>$M$2185*$W$2185</f>
        <v>750237.63648799981</v>
      </c>
      <c r="AD2185" s="6">
        <f>$O$2185*$X$2185</f>
        <v>562282.43963279994</v>
      </c>
      <c r="AE2185" s="6">
        <f>$K$2185*$Y$2185</f>
        <v>0</v>
      </c>
      <c r="AF2185" s="6">
        <f ca="1">$M$2185*$Z$2185</f>
        <v>809146.68517953332</v>
      </c>
      <c r="AG2185" s="6">
        <f>$O$2185*$AA$2185</f>
        <v>550165.05549771909</v>
      </c>
    </row>
    <row r="2186" spans="1:33" ht="11.25" customHeight="1" x14ac:dyDescent="0.25">
      <c r="A2186" s="4" t="s">
        <v>21</v>
      </c>
      <c r="B2186" s="4" t="s">
        <v>37</v>
      </c>
      <c r="C2186" s="4" t="s">
        <v>23</v>
      </c>
      <c r="D2186" s="4" t="s">
        <v>50</v>
      </c>
      <c r="E2186" s="4" t="s">
        <v>51</v>
      </c>
      <c r="F2186" s="4" t="s">
        <v>25</v>
      </c>
      <c r="G2186" s="4" t="s">
        <v>25</v>
      </c>
      <c r="H2186" s="4" t="s">
        <v>25</v>
      </c>
      <c r="I2186" s="5">
        <v>44682</v>
      </c>
      <c r="J2186" s="6">
        <v>0</v>
      </c>
      <c r="K2186" s="60">
        <v>0</v>
      </c>
      <c r="L2186" s="6">
        <v>2386.5549999999998</v>
      </c>
      <c r="M2186" s="60">
        <v>2386.5549999999998</v>
      </c>
      <c r="N2186" s="6">
        <v>2386.5549999999998</v>
      </c>
      <c r="O2186" s="60">
        <v>2386.5549999999998</v>
      </c>
      <c r="P2186" s="6">
        <v>834</v>
      </c>
      <c r="Q2186" s="4" t="s">
        <v>26</v>
      </c>
      <c r="R2186" s="4">
        <v>0</v>
      </c>
      <c r="S2186" s="6">
        <v>0</v>
      </c>
      <c r="T2186" s="6">
        <v>57</v>
      </c>
      <c r="U2186" s="6">
        <v>100</v>
      </c>
      <c r="V2186" s="60">
        <f>IF(ISERROR(VLOOKUP($S$2186,'TAR FIN'!$A$1:$O$104,15,0)),0,VLOOKUP($S$2186,'TAR FIN'!$A$1:$O$104,15,0))</f>
        <v>0</v>
      </c>
      <c r="W2186" s="60">
        <f>IF(ISERROR(VLOOKUP($T$2186,'TAR FIN'!$A$1:$O$104,15,0)),0,VLOOKUP($T$2186,'TAR FIN'!$A$1:$O$104,15,0))*(1-0.06)</f>
        <v>320.72799999999995</v>
      </c>
      <c r="X2186" s="60">
        <f>IF(ISERROR(VLOOKUP($U$2186,'TAR FIN'!$A$1:$O$104,15,0)),0,VLOOKUP($U$2186,'TAR FIN'!$A$1:$O$104,15,0))*(1-0.06)</f>
        <v>240.37679999999997</v>
      </c>
      <c r="Y2186" s="60"/>
      <c r="Z2186" s="60">
        <f ca="1">('TUSD BE'!$AM$62+'TUSD BF'!$AM$62+'TUSD CVA'!$AM$62)*1*(1-0.03)</f>
        <v>345.91172906107909</v>
      </c>
      <c r="AA2186" s="60">
        <f>('TE BE'!$AB$41+'TE BF'!$AB$41+'TE CVA'!$AB$41)*1*(1-0.03)</f>
        <v>235.19659550230367</v>
      </c>
      <c r="AB2186" s="6">
        <f>$K$2186*$V$2186</f>
        <v>0</v>
      </c>
      <c r="AC2186" s="6">
        <f>$M$2186*$W$2186</f>
        <v>765435.01203999983</v>
      </c>
      <c r="AD2186" s="6">
        <f>$O$2186*$X$2186</f>
        <v>573672.45392399991</v>
      </c>
      <c r="AE2186" s="6">
        <f>$K$2186*$Y$2186</f>
        <v>0</v>
      </c>
      <c r="AF2186" s="6">
        <f ca="1">$M$2186*$Z$2186</f>
        <v>825537.36654936359</v>
      </c>
      <c r="AG2186" s="6">
        <f>$O$2186*$AA$2186</f>
        <v>561309.61097900034</v>
      </c>
    </row>
    <row r="2187" spans="1:33" ht="11.25" customHeight="1" x14ac:dyDescent="0.25">
      <c r="A2187" s="4" t="s">
        <v>21</v>
      </c>
      <c r="B2187" s="4" t="s">
        <v>37</v>
      </c>
      <c r="C2187" s="4" t="s">
        <v>23</v>
      </c>
      <c r="D2187" s="4" t="s">
        <v>50</v>
      </c>
      <c r="E2187" s="4" t="s">
        <v>51</v>
      </c>
      <c r="F2187" s="4" t="s">
        <v>25</v>
      </c>
      <c r="G2187" s="4" t="s">
        <v>25</v>
      </c>
      <c r="H2187" s="4" t="s">
        <v>25</v>
      </c>
      <c r="I2187" s="5">
        <v>44713</v>
      </c>
      <c r="J2187" s="6">
        <v>0</v>
      </c>
      <c r="K2187" s="60">
        <v>0</v>
      </c>
      <c r="L2187" s="6">
        <v>2229.7440000000001</v>
      </c>
      <c r="M2187" s="60">
        <v>2229.7440000000001</v>
      </c>
      <c r="N2187" s="6">
        <v>2229.7440000000001</v>
      </c>
      <c r="O2187" s="60">
        <v>2229.7440000000001</v>
      </c>
      <c r="P2187" s="6">
        <v>836</v>
      </c>
      <c r="Q2187" s="4" t="s">
        <v>26</v>
      </c>
      <c r="R2187" s="4">
        <v>0</v>
      </c>
      <c r="S2187" s="6">
        <v>0</v>
      </c>
      <c r="T2187" s="6">
        <v>57</v>
      </c>
      <c r="U2187" s="6">
        <v>100</v>
      </c>
      <c r="V2187" s="60">
        <f>IF(ISERROR(VLOOKUP($S$2187,'TAR FIN'!$A$1:$O$104,15,0)),0,VLOOKUP($S$2187,'TAR FIN'!$A$1:$O$104,15,0))</f>
        <v>0</v>
      </c>
      <c r="W2187" s="60">
        <f>IF(ISERROR(VLOOKUP($T$2187,'TAR FIN'!$A$1:$O$104,15,0)),0,VLOOKUP($T$2187,'TAR FIN'!$A$1:$O$104,15,0))*(1-0.06)</f>
        <v>320.72799999999995</v>
      </c>
      <c r="X2187" s="60">
        <f>IF(ISERROR(VLOOKUP($U$2187,'TAR FIN'!$A$1:$O$104,15,0)),0,VLOOKUP($U$2187,'TAR FIN'!$A$1:$O$104,15,0))*(1-0.06)</f>
        <v>240.37679999999997</v>
      </c>
      <c r="Y2187" s="60"/>
      <c r="Z2187" s="60">
        <f ca="1">('TUSD BE'!$AM$62+'TUSD BF'!$AM$62+'TUSD CVA'!$AM$62)*1*(1-0.03)</f>
        <v>345.91172906107909</v>
      </c>
      <c r="AA2187" s="60">
        <f>('TE BE'!$AB$41+'TE BF'!$AB$41+'TE CVA'!$AB$41)*1*(1-0.03)</f>
        <v>235.19659550230367</v>
      </c>
      <c r="AB2187" s="6">
        <f>$K$2187*$V$2187</f>
        <v>0</v>
      </c>
      <c r="AC2187" s="6">
        <f>$M$2187*$W$2187</f>
        <v>715141.33363199991</v>
      </c>
      <c r="AD2187" s="6">
        <f>$O$2187*$X$2187</f>
        <v>535978.72753919999</v>
      </c>
      <c r="AE2187" s="6">
        <f>$K$2187*$Y$2187</f>
        <v>0</v>
      </c>
      <c r="AF2187" s="6">
        <f ca="1">$M$2187*$Z$2187</f>
        <v>771294.60240356682</v>
      </c>
      <c r="AG2187" s="6">
        <f>$O$2187*$AA$2187</f>
        <v>524428.19764168863</v>
      </c>
    </row>
    <row r="2188" spans="1:33" ht="11.25" customHeight="1" x14ac:dyDescent="0.25">
      <c r="A2188" s="4" t="s">
        <v>57</v>
      </c>
      <c r="B2188" s="4" t="s">
        <v>37</v>
      </c>
      <c r="C2188" s="4" t="s">
        <v>23</v>
      </c>
      <c r="D2188" s="4" t="s">
        <v>50</v>
      </c>
      <c r="E2188" s="4" t="s">
        <v>51</v>
      </c>
      <c r="F2188" s="4" t="s">
        <v>25</v>
      </c>
      <c r="G2188" s="4" t="s">
        <v>25</v>
      </c>
      <c r="H2188" s="4" t="s">
        <v>25</v>
      </c>
      <c r="I2188" s="5">
        <v>44743</v>
      </c>
      <c r="J2188" s="6">
        <v>0</v>
      </c>
      <c r="K2188" s="60">
        <v>0</v>
      </c>
      <c r="L2188" s="6">
        <v>2229.7440000000001</v>
      </c>
      <c r="M2188" s="60">
        <v>2229.7440000000001</v>
      </c>
      <c r="N2188" s="6">
        <v>2229.7440000000001</v>
      </c>
      <c r="O2188" s="60">
        <v>2229.7440000000001</v>
      </c>
      <c r="P2188" s="6">
        <v>836</v>
      </c>
      <c r="Q2188" s="4" t="s">
        <v>26</v>
      </c>
      <c r="R2188" s="4">
        <v>0</v>
      </c>
      <c r="S2188" s="6">
        <v>0</v>
      </c>
      <c r="T2188" s="6">
        <v>57</v>
      </c>
      <c r="U2188" s="6">
        <v>100</v>
      </c>
      <c r="V2188" s="60">
        <f>IF(ISERROR(VLOOKUP($S$2188,'TAR FIN'!$A$1:$O$104,15,0)),0,VLOOKUP($S$2188,'TAR FIN'!$A$1:$O$104,15,0))</f>
        <v>0</v>
      </c>
      <c r="W2188" s="60">
        <f>IF(ISERROR(VLOOKUP($T$2188,'TAR FIN'!$A$1:$O$104,15,0)),0,VLOOKUP($T$2188,'TAR FIN'!$A$1:$O$104,15,0))*(1-0.06)</f>
        <v>320.72799999999995</v>
      </c>
      <c r="X2188" s="60">
        <f>IF(ISERROR(VLOOKUP($U$2188,'TAR FIN'!$A$1:$O$104,15,0)),0,VLOOKUP($U$2188,'TAR FIN'!$A$1:$O$104,15,0))*(1-0.06)</f>
        <v>240.37679999999997</v>
      </c>
      <c r="Y2188" s="60"/>
      <c r="Z2188" s="60">
        <f ca="1">('TUSD BE'!$AM$62+'TUSD BF'!$AM$62+'TUSD CVA'!$AM$62)*1*(1-0.03)</f>
        <v>345.91172906107909</v>
      </c>
      <c r="AA2188" s="60">
        <f>('TE BE'!$AB$41+'TE BF'!$AB$41+'TE CVA'!$AB$41)*1*(1-0.03)</f>
        <v>235.19659550230367</v>
      </c>
      <c r="AB2188" s="6">
        <f>$K$2188*$V$2188</f>
        <v>0</v>
      </c>
      <c r="AC2188" s="6">
        <f>$M$2188*$W$2188</f>
        <v>715141.33363199991</v>
      </c>
      <c r="AD2188" s="6">
        <f>$O$2188*$X$2188</f>
        <v>535978.72753919999</v>
      </c>
      <c r="AE2188" s="6">
        <f>$K$2188*$Y$2188</f>
        <v>0</v>
      </c>
      <c r="AF2188" s="6">
        <f ca="1">$M$2188*$Z$2188</f>
        <v>771294.60240356682</v>
      </c>
      <c r="AG2188" s="6">
        <f>$O$2188*$AA$2188</f>
        <v>524428.19764168863</v>
      </c>
    </row>
    <row r="2189" spans="1:33" ht="11.25" customHeight="1" x14ac:dyDescent="0.25">
      <c r="A2189" s="4" t="s">
        <v>21</v>
      </c>
      <c r="B2189" s="4" t="s">
        <v>47</v>
      </c>
      <c r="C2189" s="4" t="s">
        <v>23</v>
      </c>
      <c r="D2189" s="4" t="s">
        <v>48</v>
      </c>
      <c r="E2189" s="4" t="s">
        <v>49</v>
      </c>
      <c r="F2189" s="4" t="s">
        <v>25</v>
      </c>
      <c r="G2189" s="4" t="s">
        <v>25</v>
      </c>
      <c r="H2189" s="4" t="s">
        <v>25</v>
      </c>
      <c r="I2189" s="5">
        <v>44409</v>
      </c>
      <c r="J2189" s="6">
        <v>0</v>
      </c>
      <c r="K2189" s="6">
        <v>0</v>
      </c>
      <c r="L2189" s="6">
        <v>22185.839</v>
      </c>
      <c r="M2189" s="6">
        <v>22185.839</v>
      </c>
      <c r="N2189" s="6">
        <v>22185.839</v>
      </c>
      <c r="O2189" s="6">
        <v>22185.839</v>
      </c>
      <c r="P2189" s="6">
        <v>756</v>
      </c>
      <c r="Q2189" s="4" t="s">
        <v>26</v>
      </c>
      <c r="R2189" s="4">
        <v>0</v>
      </c>
      <c r="S2189" s="6">
        <v>0</v>
      </c>
      <c r="T2189" s="6">
        <v>61</v>
      </c>
      <c r="U2189" s="6">
        <v>102</v>
      </c>
      <c r="V2189" s="6">
        <f>IF(ISERROR(VLOOKUP($S$2189,'TAR FIN'!$A$1:$O$104,15,0)),0,VLOOKUP($S$2189,'TAR FIN'!$A$1:$O$104,15,0))</f>
        <v>0</v>
      </c>
      <c r="W2189" s="6">
        <f>IF(ISERROR(VLOOKUP($T$2189,'TAR FIN'!$A$1:$O$104,15,0)),0,VLOOKUP($T$2189,'TAR FIN'!$A$1:$O$104,15,0))</f>
        <v>187.66</v>
      </c>
      <c r="X2189" s="6">
        <f>IF(ISERROR(VLOOKUP($U$2189,'TAR FIN'!$A$1:$O$104,15,0)),0,VLOOKUP($U$2189,'TAR FIN'!$A$1:$O$104,15,0))</f>
        <v>140.65</v>
      </c>
      <c r="Y2189" s="6"/>
      <c r="Z2189" s="6">
        <f ca="1">('TUSD BE'!$AM$64+'TUSD BF'!$AM$64+'TUSD CVA'!$AM$64)*1</f>
        <v>196.13551647793145</v>
      </c>
      <c r="AA2189" s="6">
        <f>('TE BE'!$AB$43+'TE BF'!$AB$43+'TE CVA'!$AB$43)*1</f>
        <v>133.35889435697632</v>
      </c>
      <c r="AB2189" s="6">
        <f>$K$2189*$V$2189</f>
        <v>0</v>
      </c>
      <c r="AC2189" s="6">
        <f>$M$2189*$W$2189</f>
        <v>4163394.5467400001</v>
      </c>
      <c r="AD2189" s="6">
        <f>$O$2189*$X$2189</f>
        <v>3120438.2553500002</v>
      </c>
      <c r="AE2189" s="6">
        <f>$K$2189*$Y$2189</f>
        <v>0</v>
      </c>
      <c r="AF2189" s="6">
        <f ca="1">$M$2189*$Z$2189</f>
        <v>4351430.9907612344</v>
      </c>
      <c r="AG2189" s="6">
        <f>$O$2189*$AA$2189</f>
        <v>2958678.9594218852</v>
      </c>
    </row>
    <row r="2190" spans="1:33" ht="11.25" customHeight="1" x14ac:dyDescent="0.25">
      <c r="A2190" s="4" t="s">
        <v>27</v>
      </c>
      <c r="B2190" s="4" t="s">
        <v>47</v>
      </c>
      <c r="C2190" s="4" t="s">
        <v>23</v>
      </c>
      <c r="D2190" s="4" t="s">
        <v>48</v>
      </c>
      <c r="E2190" s="4" t="s">
        <v>49</v>
      </c>
      <c r="F2190" s="4" t="s">
        <v>25</v>
      </c>
      <c r="G2190" s="4" t="s">
        <v>25</v>
      </c>
      <c r="H2190" s="4" t="s">
        <v>25</v>
      </c>
      <c r="I2190" s="5">
        <v>44409</v>
      </c>
      <c r="J2190" s="6">
        <v>0</v>
      </c>
      <c r="K2190" s="6">
        <v>0</v>
      </c>
      <c r="L2190" s="6">
        <v>-1733.798</v>
      </c>
      <c r="M2190" s="6">
        <v>-1733.798</v>
      </c>
      <c r="N2190" s="6">
        <v>-1733.798</v>
      </c>
      <c r="O2190" s="6">
        <v>-1733.798</v>
      </c>
      <c r="P2190" s="6">
        <v>0</v>
      </c>
      <c r="Q2190" s="4" t="s">
        <v>26</v>
      </c>
      <c r="R2190" s="4">
        <v>0</v>
      </c>
      <c r="S2190" s="6">
        <v>0</v>
      </c>
      <c r="T2190" s="6">
        <v>61</v>
      </c>
      <c r="U2190" s="6">
        <v>102</v>
      </c>
      <c r="V2190" s="6">
        <f>IF(ISERROR(VLOOKUP($S$2190,'TAR FIN'!$A$1:$O$104,15,0)),0,VLOOKUP($S$2190,'TAR FIN'!$A$1:$O$104,15,0))</f>
        <v>0</v>
      </c>
      <c r="W2190" s="6">
        <f>IF(ISERROR(VLOOKUP($T$2190,'TAR FIN'!$A$1:$O$104,15,0)),0,VLOOKUP($T$2190,'TAR FIN'!$A$1:$O$104,15,0))</f>
        <v>187.66</v>
      </c>
      <c r="X2190" s="6">
        <f>IF(ISERROR(VLOOKUP($U$2190,'TAR FIN'!$A$1:$O$104,15,0)),0,VLOOKUP($U$2190,'TAR FIN'!$A$1:$O$104,15,0))</f>
        <v>140.65</v>
      </c>
      <c r="Y2190" s="6"/>
      <c r="Z2190" s="6">
        <f ca="1">('TUSD BE'!$AM$64+'TUSD BF'!$AM$64+'TUSD CVA'!$AM$64)*1</f>
        <v>196.13551647793145</v>
      </c>
      <c r="AA2190" s="6">
        <f>('TE BE'!$AB$43+'TE BF'!$AB$43+'TE CVA'!$AB$43)*1</f>
        <v>133.35889435697632</v>
      </c>
      <c r="AB2190" s="6">
        <f>$K$2190*$V$2190</f>
        <v>0</v>
      </c>
      <c r="AC2190" s="6">
        <f>$M$2190*$W$2190</f>
        <v>-325364.53268</v>
      </c>
      <c r="AD2190" s="6">
        <f>$O$2190*$X$2190</f>
        <v>-243858.6887</v>
      </c>
      <c r="AE2190" s="6">
        <f>$K$2190*$Y$2190</f>
        <v>0</v>
      </c>
      <c r="AF2190" s="6">
        <f ca="1">$M$2190*$Z$2190</f>
        <v>-340059.36619840458</v>
      </c>
      <c r="AG2190" s="6">
        <f>$O$2190*$AA$2190</f>
        <v>-231217.38431833684</v>
      </c>
    </row>
    <row r="2191" spans="1:33" ht="11.25" customHeight="1" x14ac:dyDescent="0.25">
      <c r="A2191" s="4" t="s">
        <v>21</v>
      </c>
      <c r="B2191" s="4" t="s">
        <v>47</v>
      </c>
      <c r="C2191" s="4" t="s">
        <v>23</v>
      </c>
      <c r="D2191" s="4" t="s">
        <v>48</v>
      </c>
      <c r="E2191" s="4" t="s">
        <v>49</v>
      </c>
      <c r="F2191" s="4" t="s">
        <v>25</v>
      </c>
      <c r="G2191" s="4" t="s">
        <v>25</v>
      </c>
      <c r="H2191" s="4" t="s">
        <v>25</v>
      </c>
      <c r="I2191" s="5">
        <v>44440</v>
      </c>
      <c r="J2191" s="6">
        <v>0</v>
      </c>
      <c r="K2191" s="6">
        <v>0</v>
      </c>
      <c r="L2191" s="6">
        <v>21940.2</v>
      </c>
      <c r="M2191" s="6">
        <v>21940.2</v>
      </c>
      <c r="N2191" s="6">
        <v>21940.2</v>
      </c>
      <c r="O2191" s="6">
        <v>21940.2</v>
      </c>
      <c r="P2191" s="6">
        <v>755</v>
      </c>
      <c r="Q2191" s="4" t="s">
        <v>26</v>
      </c>
      <c r="R2191" s="4">
        <v>0</v>
      </c>
      <c r="S2191" s="6">
        <v>0</v>
      </c>
      <c r="T2191" s="6">
        <v>61</v>
      </c>
      <c r="U2191" s="6">
        <v>102</v>
      </c>
      <c r="V2191" s="6">
        <f>IF(ISERROR(VLOOKUP($S$2191,'TAR FIN'!$A$1:$O$104,15,0)),0,VLOOKUP($S$2191,'TAR FIN'!$A$1:$O$104,15,0))</f>
        <v>0</v>
      </c>
      <c r="W2191" s="6">
        <f>IF(ISERROR(VLOOKUP($T$2191,'TAR FIN'!$A$1:$O$104,15,0)),0,VLOOKUP($T$2191,'TAR FIN'!$A$1:$O$104,15,0))</f>
        <v>187.66</v>
      </c>
      <c r="X2191" s="6">
        <f>IF(ISERROR(VLOOKUP($U$2191,'TAR FIN'!$A$1:$O$104,15,0)),0,VLOOKUP($U$2191,'TAR FIN'!$A$1:$O$104,15,0))</f>
        <v>140.65</v>
      </c>
      <c r="Y2191" s="6"/>
      <c r="Z2191" s="6">
        <f ca="1">('TUSD BE'!$AM$64+'TUSD BF'!$AM$64+'TUSD CVA'!$AM$64)*1</f>
        <v>196.13551647793145</v>
      </c>
      <c r="AA2191" s="6">
        <f>('TE BE'!$AB$43+'TE BF'!$AB$43+'TE CVA'!$AB$43)*1</f>
        <v>133.35889435697632</v>
      </c>
      <c r="AB2191" s="6">
        <f>$K$2191*$V$2191</f>
        <v>0</v>
      </c>
      <c r="AC2191" s="6">
        <f>$M$2191*$W$2191</f>
        <v>4117297.932</v>
      </c>
      <c r="AD2191" s="6">
        <f>$O$2191*$X$2191</f>
        <v>3085889.1300000004</v>
      </c>
      <c r="AE2191" s="6">
        <f>$K$2191*$Y$2191</f>
        <v>0</v>
      </c>
      <c r="AF2191" s="6">
        <f ca="1">$M$2191*$Z$2191</f>
        <v>4303252.4586291118</v>
      </c>
      <c r="AG2191" s="6">
        <f>$O$2191*$AA$2191</f>
        <v>2925920.8139709318</v>
      </c>
    </row>
    <row r="2192" spans="1:33" ht="11.25" customHeight="1" x14ac:dyDescent="0.25">
      <c r="A2192" s="4" t="s">
        <v>27</v>
      </c>
      <c r="B2192" s="4" t="s">
        <v>47</v>
      </c>
      <c r="C2192" s="4" t="s">
        <v>23</v>
      </c>
      <c r="D2192" s="4" t="s">
        <v>48</v>
      </c>
      <c r="E2192" s="4" t="s">
        <v>49</v>
      </c>
      <c r="F2192" s="4" t="s">
        <v>25</v>
      </c>
      <c r="G2192" s="4" t="s">
        <v>25</v>
      </c>
      <c r="H2192" s="4" t="s">
        <v>25</v>
      </c>
      <c r="I2192" s="5">
        <v>44440</v>
      </c>
      <c r="J2192" s="6">
        <v>0</v>
      </c>
      <c r="K2192" s="6">
        <v>0</v>
      </c>
      <c r="L2192" s="6">
        <v>-780.85599999999999</v>
      </c>
      <c r="M2192" s="6">
        <v>-780.85599999999999</v>
      </c>
      <c r="N2192" s="6">
        <v>-780.85599999999999</v>
      </c>
      <c r="O2192" s="6">
        <v>-780.85599999999999</v>
      </c>
      <c r="P2192" s="6">
        <v>0</v>
      </c>
      <c r="Q2192" s="4" t="s">
        <v>26</v>
      </c>
      <c r="R2192" s="4">
        <v>0</v>
      </c>
      <c r="S2192" s="6">
        <v>0</v>
      </c>
      <c r="T2192" s="6">
        <v>61</v>
      </c>
      <c r="U2192" s="6">
        <v>102</v>
      </c>
      <c r="V2192" s="6">
        <f>IF(ISERROR(VLOOKUP($S$2192,'TAR FIN'!$A$1:$O$104,15,0)),0,VLOOKUP($S$2192,'TAR FIN'!$A$1:$O$104,15,0))</f>
        <v>0</v>
      </c>
      <c r="W2192" s="6">
        <f>IF(ISERROR(VLOOKUP($T$2192,'TAR FIN'!$A$1:$O$104,15,0)),0,VLOOKUP($T$2192,'TAR FIN'!$A$1:$O$104,15,0))</f>
        <v>187.66</v>
      </c>
      <c r="X2192" s="6">
        <f>IF(ISERROR(VLOOKUP($U$2192,'TAR FIN'!$A$1:$O$104,15,0)),0,VLOOKUP($U$2192,'TAR FIN'!$A$1:$O$104,15,0))</f>
        <v>140.65</v>
      </c>
      <c r="Y2192" s="6"/>
      <c r="Z2192" s="6">
        <f ca="1">('TUSD BE'!$AM$64+'TUSD BF'!$AM$64+'TUSD CVA'!$AM$64)*1</f>
        <v>196.13551647793145</v>
      </c>
      <c r="AA2192" s="6">
        <f>('TE BE'!$AB$43+'TE BF'!$AB$43+'TE CVA'!$AB$43)*1</f>
        <v>133.35889435697632</v>
      </c>
      <c r="AB2192" s="6">
        <f>$K$2192*$V$2192</f>
        <v>0</v>
      </c>
      <c r="AC2192" s="6">
        <f>$M$2192*$W$2192</f>
        <v>-146535.43695999999</v>
      </c>
      <c r="AD2192" s="6">
        <f>$O$2192*$X$2192</f>
        <v>-109827.3964</v>
      </c>
      <c r="AE2192" s="6">
        <f>$K$2192*$Y$2192</f>
        <v>0</v>
      </c>
      <c r="AF2192" s="6">
        <f ca="1">$M$2192*$Z$2192</f>
        <v>-153153.59485489165</v>
      </c>
      <c r="AG2192" s="6">
        <f>$O$2192*$AA$2192</f>
        <v>-104134.09281201111</v>
      </c>
    </row>
    <row r="2193" spans="1:33" ht="11.25" customHeight="1" x14ac:dyDescent="0.25">
      <c r="A2193" s="4" t="s">
        <v>21</v>
      </c>
      <c r="B2193" s="4" t="s">
        <v>47</v>
      </c>
      <c r="C2193" s="4" t="s">
        <v>23</v>
      </c>
      <c r="D2193" s="4" t="s">
        <v>48</v>
      </c>
      <c r="E2193" s="4" t="s">
        <v>49</v>
      </c>
      <c r="F2193" s="4" t="s">
        <v>25</v>
      </c>
      <c r="G2193" s="4" t="s">
        <v>25</v>
      </c>
      <c r="H2193" s="4" t="s">
        <v>25</v>
      </c>
      <c r="I2193" s="5">
        <v>44470</v>
      </c>
      <c r="J2193" s="6">
        <v>0</v>
      </c>
      <c r="K2193" s="6">
        <v>0</v>
      </c>
      <c r="L2193" s="6">
        <v>22511.194</v>
      </c>
      <c r="M2193" s="6">
        <v>22511.194</v>
      </c>
      <c r="N2193" s="6">
        <v>22511.194</v>
      </c>
      <c r="O2193" s="6">
        <v>22511.194</v>
      </c>
      <c r="P2193" s="6">
        <v>755</v>
      </c>
      <c r="Q2193" s="4" t="s">
        <v>26</v>
      </c>
      <c r="R2193" s="4">
        <v>0</v>
      </c>
      <c r="S2193" s="6">
        <v>0</v>
      </c>
      <c r="T2193" s="6">
        <v>61</v>
      </c>
      <c r="U2193" s="6">
        <v>102</v>
      </c>
      <c r="V2193" s="6">
        <f>IF(ISERROR(VLOOKUP($S$2193,'TAR FIN'!$A$1:$O$104,15,0)),0,VLOOKUP($S$2193,'TAR FIN'!$A$1:$O$104,15,0))</f>
        <v>0</v>
      </c>
      <c r="W2193" s="6">
        <f>IF(ISERROR(VLOOKUP($T$2193,'TAR FIN'!$A$1:$O$104,15,0)),0,VLOOKUP($T$2193,'TAR FIN'!$A$1:$O$104,15,0))</f>
        <v>187.66</v>
      </c>
      <c r="X2193" s="6">
        <f>IF(ISERROR(VLOOKUP($U$2193,'TAR FIN'!$A$1:$O$104,15,0)),0,VLOOKUP($U$2193,'TAR FIN'!$A$1:$O$104,15,0))</f>
        <v>140.65</v>
      </c>
      <c r="Y2193" s="6"/>
      <c r="Z2193" s="6">
        <f ca="1">('TUSD BE'!$AM$64+'TUSD BF'!$AM$64+'TUSD CVA'!$AM$64)*1</f>
        <v>196.13551647793145</v>
      </c>
      <c r="AA2193" s="6">
        <f>('TE BE'!$AB$43+'TE BF'!$AB$43+'TE CVA'!$AB$43)*1</f>
        <v>133.35889435697632</v>
      </c>
      <c r="AB2193" s="6">
        <f>$K$2193*$V$2193</f>
        <v>0</v>
      </c>
      <c r="AC2193" s="6">
        <f>$M$2193*$W$2193</f>
        <v>4224450.6660399996</v>
      </c>
      <c r="AD2193" s="6">
        <f>$O$2193*$X$2193</f>
        <v>3166199.4361</v>
      </c>
      <c r="AE2193" s="6">
        <f>$K$2193*$Y$2193</f>
        <v>0</v>
      </c>
      <c r="AF2193" s="6">
        <f ca="1">$M$2193*$Z$2193</f>
        <v>4415244.6617249111</v>
      </c>
      <c r="AG2193" s="6">
        <f>$O$2193*$AA$2193</f>
        <v>3002067.9424953992</v>
      </c>
    </row>
    <row r="2194" spans="1:33" ht="11.25" customHeight="1" x14ac:dyDescent="0.25">
      <c r="A2194" s="4" t="s">
        <v>27</v>
      </c>
      <c r="B2194" s="4" t="s">
        <v>47</v>
      </c>
      <c r="C2194" s="4" t="s">
        <v>23</v>
      </c>
      <c r="D2194" s="4" t="s">
        <v>48</v>
      </c>
      <c r="E2194" s="4" t="s">
        <v>49</v>
      </c>
      <c r="F2194" s="4" t="s">
        <v>25</v>
      </c>
      <c r="G2194" s="4" t="s">
        <v>25</v>
      </c>
      <c r="H2194" s="4" t="s">
        <v>25</v>
      </c>
      <c r="I2194" s="5">
        <v>44470</v>
      </c>
      <c r="J2194" s="6">
        <v>0</v>
      </c>
      <c r="K2194" s="6">
        <v>0</v>
      </c>
      <c r="L2194" s="6">
        <v>-1228.8230000000001</v>
      </c>
      <c r="M2194" s="6">
        <v>-1228.8230000000001</v>
      </c>
      <c r="N2194" s="6">
        <v>-1228.8230000000001</v>
      </c>
      <c r="O2194" s="6">
        <v>-1228.8230000000001</v>
      </c>
      <c r="P2194" s="6">
        <v>-2</v>
      </c>
      <c r="Q2194" s="4" t="s">
        <v>26</v>
      </c>
      <c r="R2194" s="4">
        <v>0</v>
      </c>
      <c r="S2194" s="6">
        <v>0</v>
      </c>
      <c r="T2194" s="6">
        <v>61</v>
      </c>
      <c r="U2194" s="6">
        <v>102</v>
      </c>
      <c r="V2194" s="6">
        <f>IF(ISERROR(VLOOKUP($S$2194,'TAR FIN'!$A$1:$O$104,15,0)),0,VLOOKUP($S$2194,'TAR FIN'!$A$1:$O$104,15,0))</f>
        <v>0</v>
      </c>
      <c r="W2194" s="6">
        <f>IF(ISERROR(VLOOKUP($T$2194,'TAR FIN'!$A$1:$O$104,15,0)),0,VLOOKUP($T$2194,'TAR FIN'!$A$1:$O$104,15,0))</f>
        <v>187.66</v>
      </c>
      <c r="X2194" s="6">
        <f>IF(ISERROR(VLOOKUP($U$2194,'TAR FIN'!$A$1:$O$104,15,0)),0,VLOOKUP($U$2194,'TAR FIN'!$A$1:$O$104,15,0))</f>
        <v>140.65</v>
      </c>
      <c r="Y2194" s="6"/>
      <c r="Z2194" s="6">
        <f ca="1">('TUSD BE'!$AM$64+'TUSD BF'!$AM$64+'TUSD CVA'!$AM$64)*1</f>
        <v>196.13551647793145</v>
      </c>
      <c r="AA2194" s="6">
        <f>('TE BE'!$AB$43+'TE BF'!$AB$43+'TE CVA'!$AB$43)*1</f>
        <v>133.35889435697632</v>
      </c>
      <c r="AB2194" s="6">
        <f>$K$2194*$V$2194</f>
        <v>0</v>
      </c>
      <c r="AC2194" s="6">
        <f>$M$2194*$W$2194</f>
        <v>-230600.92418</v>
      </c>
      <c r="AD2194" s="6">
        <f>$O$2194*$X$2194</f>
        <v>-172833.95495000001</v>
      </c>
      <c r="AE2194" s="6">
        <f>$K$2194*$Y$2194</f>
        <v>0</v>
      </c>
      <c r="AF2194" s="6">
        <f ca="1">$M$2194*$Z$2194</f>
        <v>-241015.83376496116</v>
      </c>
      <c r="AG2194" s="6">
        <f>$O$2194*$AA$2194</f>
        <v>-163874.47664042274</v>
      </c>
    </row>
    <row r="2195" spans="1:33" ht="11.25" customHeight="1" x14ac:dyDescent="0.25">
      <c r="A2195" s="4" t="s">
        <v>21</v>
      </c>
      <c r="B2195" s="4" t="s">
        <v>47</v>
      </c>
      <c r="C2195" s="4" t="s">
        <v>23</v>
      </c>
      <c r="D2195" s="4" t="s">
        <v>48</v>
      </c>
      <c r="E2195" s="4" t="s">
        <v>49</v>
      </c>
      <c r="F2195" s="4" t="s">
        <v>25</v>
      </c>
      <c r="G2195" s="4" t="s">
        <v>25</v>
      </c>
      <c r="H2195" s="4" t="s">
        <v>25</v>
      </c>
      <c r="I2195" s="5">
        <v>44501</v>
      </c>
      <c r="J2195" s="6">
        <v>0</v>
      </c>
      <c r="K2195" s="6">
        <v>0</v>
      </c>
      <c r="L2195" s="6">
        <v>20606.761999999999</v>
      </c>
      <c r="M2195" s="6">
        <v>20606.761999999999</v>
      </c>
      <c r="N2195" s="6">
        <v>20606.761999999999</v>
      </c>
      <c r="O2195" s="6">
        <v>20606.761999999999</v>
      </c>
      <c r="P2195" s="6">
        <v>753</v>
      </c>
      <c r="Q2195" s="4" t="s">
        <v>26</v>
      </c>
      <c r="R2195" s="4">
        <v>0</v>
      </c>
      <c r="S2195" s="6">
        <v>0</v>
      </c>
      <c r="T2195" s="6">
        <v>61</v>
      </c>
      <c r="U2195" s="6">
        <v>102</v>
      </c>
      <c r="V2195" s="6">
        <f>IF(ISERROR(VLOOKUP($S$2195,'TAR FIN'!$A$1:$O$104,15,0)),0,VLOOKUP($S$2195,'TAR FIN'!$A$1:$O$104,15,0))</f>
        <v>0</v>
      </c>
      <c r="W2195" s="6">
        <f>IF(ISERROR(VLOOKUP($T$2195,'TAR FIN'!$A$1:$O$104,15,0)),0,VLOOKUP($T$2195,'TAR FIN'!$A$1:$O$104,15,0))</f>
        <v>187.66</v>
      </c>
      <c r="X2195" s="6">
        <f>IF(ISERROR(VLOOKUP($U$2195,'TAR FIN'!$A$1:$O$104,15,0)),0,VLOOKUP($U$2195,'TAR FIN'!$A$1:$O$104,15,0))</f>
        <v>140.65</v>
      </c>
      <c r="Y2195" s="6"/>
      <c r="Z2195" s="6">
        <f ca="1">('TUSD BE'!$AM$64+'TUSD BF'!$AM$64+'TUSD CVA'!$AM$64)*1</f>
        <v>196.13551647793145</v>
      </c>
      <c r="AA2195" s="6">
        <f>('TE BE'!$AB$43+'TE BF'!$AB$43+'TE CVA'!$AB$43)*1</f>
        <v>133.35889435697632</v>
      </c>
      <c r="AB2195" s="6">
        <f>$K$2195*$V$2195</f>
        <v>0</v>
      </c>
      <c r="AC2195" s="6">
        <f>$M$2195*$W$2195</f>
        <v>3867064.9569199998</v>
      </c>
      <c r="AD2195" s="6">
        <f>$O$2195*$X$2195</f>
        <v>2898341.0753000001</v>
      </c>
      <c r="AE2195" s="6">
        <f>$K$2195*$Y$2195</f>
        <v>0</v>
      </c>
      <c r="AF2195" s="6">
        <f ca="1">$M$2195*$Z$2195</f>
        <v>4041717.9078078112</v>
      </c>
      <c r="AG2195" s="6">
        <f>$O$2195*$AA$2195</f>
        <v>2748094.9965973538</v>
      </c>
    </row>
    <row r="2196" spans="1:33" ht="11.25" customHeight="1" x14ac:dyDescent="0.25">
      <c r="A2196" s="4" t="s">
        <v>27</v>
      </c>
      <c r="B2196" s="4" t="s">
        <v>47</v>
      </c>
      <c r="C2196" s="4" t="s">
        <v>23</v>
      </c>
      <c r="D2196" s="4" t="s">
        <v>48</v>
      </c>
      <c r="E2196" s="4" t="s">
        <v>49</v>
      </c>
      <c r="F2196" s="4" t="s">
        <v>25</v>
      </c>
      <c r="G2196" s="4" t="s">
        <v>25</v>
      </c>
      <c r="H2196" s="4" t="s">
        <v>25</v>
      </c>
      <c r="I2196" s="5">
        <v>44501</v>
      </c>
      <c r="J2196" s="6">
        <v>0</v>
      </c>
      <c r="K2196" s="6">
        <v>0</v>
      </c>
      <c r="L2196" s="6">
        <v>5.87</v>
      </c>
      <c r="M2196" s="6">
        <v>5.87</v>
      </c>
      <c r="N2196" s="6">
        <v>5.87</v>
      </c>
      <c r="O2196" s="6">
        <v>5.87</v>
      </c>
      <c r="P2196" s="6">
        <v>0</v>
      </c>
      <c r="Q2196" s="4" t="s">
        <v>26</v>
      </c>
      <c r="R2196" s="4">
        <v>0</v>
      </c>
      <c r="S2196" s="6">
        <v>0</v>
      </c>
      <c r="T2196" s="6">
        <v>61</v>
      </c>
      <c r="U2196" s="6">
        <v>102</v>
      </c>
      <c r="V2196" s="6">
        <f>IF(ISERROR(VLOOKUP($S$2196,'TAR FIN'!$A$1:$O$104,15,0)),0,VLOOKUP($S$2196,'TAR FIN'!$A$1:$O$104,15,0))</f>
        <v>0</v>
      </c>
      <c r="W2196" s="6">
        <f>IF(ISERROR(VLOOKUP($T$2196,'TAR FIN'!$A$1:$O$104,15,0)),0,VLOOKUP($T$2196,'TAR FIN'!$A$1:$O$104,15,0))</f>
        <v>187.66</v>
      </c>
      <c r="X2196" s="6">
        <f>IF(ISERROR(VLOOKUP($U$2196,'TAR FIN'!$A$1:$O$104,15,0)),0,VLOOKUP($U$2196,'TAR FIN'!$A$1:$O$104,15,0))</f>
        <v>140.65</v>
      </c>
      <c r="Y2196" s="6"/>
      <c r="Z2196" s="6">
        <f ca="1">('TUSD BE'!$AM$64+'TUSD BF'!$AM$64+'TUSD CVA'!$AM$64)*1</f>
        <v>196.13551647793145</v>
      </c>
      <c r="AA2196" s="6">
        <f>('TE BE'!$AB$43+'TE BF'!$AB$43+'TE CVA'!$AB$43)*1</f>
        <v>133.35889435697632</v>
      </c>
      <c r="AB2196" s="6">
        <f>$K$2196*$V$2196</f>
        <v>0</v>
      </c>
      <c r="AC2196" s="6">
        <f>$M$2196*$W$2196</f>
        <v>1101.5642</v>
      </c>
      <c r="AD2196" s="6">
        <f>$O$2196*$X$2196</f>
        <v>825.6155</v>
      </c>
      <c r="AE2196" s="6">
        <f>$K$2196*$Y$2196</f>
        <v>0</v>
      </c>
      <c r="AF2196" s="6">
        <f ca="1">$M$2196*$Z$2196</f>
        <v>1151.3154817254576</v>
      </c>
      <c r="AG2196" s="6">
        <f>$O$2196*$AA$2196</f>
        <v>782.81670987545101</v>
      </c>
    </row>
    <row r="2197" spans="1:33" ht="11.25" customHeight="1" x14ac:dyDescent="0.25">
      <c r="A2197" s="4" t="s">
        <v>28</v>
      </c>
      <c r="B2197" s="4" t="s">
        <v>47</v>
      </c>
      <c r="C2197" s="4" t="s">
        <v>23</v>
      </c>
      <c r="D2197" s="4" t="s">
        <v>48</v>
      </c>
      <c r="E2197" s="4" t="s">
        <v>49</v>
      </c>
      <c r="F2197" s="4" t="s">
        <v>25</v>
      </c>
      <c r="G2197" s="4" t="s">
        <v>25</v>
      </c>
      <c r="H2197" s="4" t="s">
        <v>25</v>
      </c>
      <c r="I2197" s="5">
        <v>44501</v>
      </c>
      <c r="J2197" s="6">
        <v>0</v>
      </c>
      <c r="K2197" s="6">
        <v>0</v>
      </c>
      <c r="L2197" s="6">
        <v>22.681000000000001</v>
      </c>
      <c r="M2197" s="6">
        <v>22.681000000000001</v>
      </c>
      <c r="N2197" s="6">
        <v>22.681000000000001</v>
      </c>
      <c r="O2197" s="6">
        <v>22.681000000000001</v>
      </c>
      <c r="P2197" s="6">
        <v>1</v>
      </c>
      <c r="Q2197" s="4" t="s">
        <v>26</v>
      </c>
      <c r="R2197" s="4">
        <v>0</v>
      </c>
      <c r="S2197" s="6">
        <v>0</v>
      </c>
      <c r="T2197" s="6">
        <v>61</v>
      </c>
      <c r="U2197" s="6">
        <v>102</v>
      </c>
      <c r="V2197" s="6">
        <f>IF(ISERROR(VLOOKUP($S$2197,'TAR FIN'!$A$1:$O$104,15,0)),0,VLOOKUP($S$2197,'TAR FIN'!$A$1:$O$104,15,0))</f>
        <v>0</v>
      </c>
      <c r="W2197" s="6">
        <f>IF(ISERROR(VLOOKUP($T$2197,'TAR FIN'!$A$1:$O$104,15,0)),0,VLOOKUP($T$2197,'TAR FIN'!$A$1:$O$104,15,0))</f>
        <v>187.66</v>
      </c>
      <c r="X2197" s="6">
        <f>IF(ISERROR(VLOOKUP($U$2197,'TAR FIN'!$A$1:$O$104,15,0)),0,VLOOKUP($U$2197,'TAR FIN'!$A$1:$O$104,15,0))</f>
        <v>140.65</v>
      </c>
      <c r="Y2197" s="6"/>
      <c r="Z2197" s="6">
        <f ca="1">('TUSD BE'!$AM$64+'TUSD BF'!$AM$64+'TUSD CVA'!$AM$64)*1</f>
        <v>196.13551647793145</v>
      </c>
      <c r="AA2197" s="6">
        <f>('TE BE'!$AB$43+'TE BF'!$AB$43+'TE CVA'!$AB$43)*1</f>
        <v>133.35889435697632</v>
      </c>
      <c r="AB2197" s="6">
        <f>$K$2197*$V$2197</f>
        <v>0</v>
      </c>
      <c r="AC2197" s="6">
        <f>$M$2197*$W$2197</f>
        <v>4256.31646</v>
      </c>
      <c r="AD2197" s="6">
        <f>$O$2197*$X$2197</f>
        <v>3190.0826500000003</v>
      </c>
      <c r="AE2197" s="6">
        <f>$K$2197*$Y$2197</f>
        <v>0</v>
      </c>
      <c r="AF2197" s="6">
        <f ca="1">$M$2197*$Z$2197</f>
        <v>4448.5496492359634</v>
      </c>
      <c r="AG2197" s="6">
        <f>$O$2197*$AA$2197</f>
        <v>3024.7130829105799</v>
      </c>
    </row>
    <row r="2198" spans="1:33" ht="11.25" customHeight="1" x14ac:dyDescent="0.25">
      <c r="A2198" s="4" t="s">
        <v>21</v>
      </c>
      <c r="B2198" s="4" t="s">
        <v>47</v>
      </c>
      <c r="C2198" s="4" t="s">
        <v>23</v>
      </c>
      <c r="D2198" s="4" t="s">
        <v>48</v>
      </c>
      <c r="E2198" s="4" t="s">
        <v>49</v>
      </c>
      <c r="F2198" s="4" t="s">
        <v>25</v>
      </c>
      <c r="G2198" s="4" t="s">
        <v>25</v>
      </c>
      <c r="H2198" s="4" t="s">
        <v>25</v>
      </c>
      <c r="I2198" s="5">
        <v>44531</v>
      </c>
      <c r="J2198" s="6">
        <v>0</v>
      </c>
      <c r="K2198" s="6">
        <v>0</v>
      </c>
      <c r="L2198" s="6">
        <v>23322.804</v>
      </c>
      <c r="M2198" s="6">
        <v>23322.804</v>
      </c>
      <c r="N2198" s="6">
        <v>23322.804</v>
      </c>
      <c r="O2198" s="6">
        <v>23322.804</v>
      </c>
      <c r="P2198" s="6">
        <v>756</v>
      </c>
      <c r="Q2198" s="4" t="s">
        <v>26</v>
      </c>
      <c r="R2198" s="4">
        <v>0</v>
      </c>
      <c r="S2198" s="6">
        <v>0</v>
      </c>
      <c r="T2198" s="6">
        <v>61</v>
      </c>
      <c r="U2198" s="6">
        <v>102</v>
      </c>
      <c r="V2198" s="6">
        <f>IF(ISERROR(VLOOKUP($S$2198,'TAR FIN'!$A$1:$O$104,15,0)),0,VLOOKUP($S$2198,'TAR FIN'!$A$1:$O$104,15,0))</f>
        <v>0</v>
      </c>
      <c r="W2198" s="6">
        <f>IF(ISERROR(VLOOKUP($T$2198,'TAR FIN'!$A$1:$O$104,15,0)),0,VLOOKUP($T$2198,'TAR FIN'!$A$1:$O$104,15,0))</f>
        <v>187.66</v>
      </c>
      <c r="X2198" s="6">
        <f>IF(ISERROR(VLOOKUP($U$2198,'TAR FIN'!$A$1:$O$104,15,0)),0,VLOOKUP($U$2198,'TAR FIN'!$A$1:$O$104,15,0))</f>
        <v>140.65</v>
      </c>
      <c r="Y2198" s="6"/>
      <c r="Z2198" s="6">
        <f ca="1">('TUSD BE'!$AM$64+'TUSD BF'!$AM$64+'TUSD CVA'!$AM$64)*1</f>
        <v>196.13551647793145</v>
      </c>
      <c r="AA2198" s="6">
        <f>('TE BE'!$AB$43+'TE BF'!$AB$43+'TE CVA'!$AB$43)*1</f>
        <v>133.35889435697632</v>
      </c>
      <c r="AB2198" s="6">
        <f>$K$2198*$V$2198</f>
        <v>0</v>
      </c>
      <c r="AC2198" s="6">
        <f>$M$2198*$W$2198</f>
        <v>4376757.3986400003</v>
      </c>
      <c r="AD2198" s="6">
        <f>$O$2198*$X$2198</f>
        <v>3280352.3826000001</v>
      </c>
      <c r="AE2198" s="6">
        <f>$K$2198*$Y$2198</f>
        <v>0</v>
      </c>
      <c r="AF2198" s="6">
        <f ca="1">$M$2198*$Z$2198</f>
        <v>4574430.2082535652</v>
      </c>
      <c r="AG2198" s="6">
        <f>$O$2198*$AA$2198</f>
        <v>3110303.3547444646</v>
      </c>
    </row>
    <row r="2199" spans="1:33" ht="11.25" customHeight="1" x14ac:dyDescent="0.25">
      <c r="A2199" s="4" t="s">
        <v>27</v>
      </c>
      <c r="B2199" s="4" t="s">
        <v>47</v>
      </c>
      <c r="C2199" s="4" t="s">
        <v>23</v>
      </c>
      <c r="D2199" s="4" t="s">
        <v>48</v>
      </c>
      <c r="E2199" s="4" t="s">
        <v>49</v>
      </c>
      <c r="F2199" s="4" t="s">
        <v>25</v>
      </c>
      <c r="G2199" s="4" t="s">
        <v>25</v>
      </c>
      <c r="H2199" s="4" t="s">
        <v>25</v>
      </c>
      <c r="I2199" s="5">
        <v>44531</v>
      </c>
      <c r="J2199" s="6">
        <v>0</v>
      </c>
      <c r="K2199" s="6">
        <v>0</v>
      </c>
      <c r="L2199" s="6">
        <v>-2.306</v>
      </c>
      <c r="M2199" s="6">
        <v>-2.306</v>
      </c>
      <c r="N2199" s="6">
        <v>-2.306</v>
      </c>
      <c r="O2199" s="6">
        <v>-2.306</v>
      </c>
      <c r="P2199" s="6">
        <v>0</v>
      </c>
      <c r="Q2199" s="4" t="s">
        <v>26</v>
      </c>
      <c r="R2199" s="4">
        <v>0</v>
      </c>
      <c r="S2199" s="6">
        <v>0</v>
      </c>
      <c r="T2199" s="6">
        <v>61</v>
      </c>
      <c r="U2199" s="6">
        <v>102</v>
      </c>
      <c r="V2199" s="6">
        <f>IF(ISERROR(VLOOKUP($S$2199,'TAR FIN'!$A$1:$O$104,15,0)),0,VLOOKUP($S$2199,'TAR FIN'!$A$1:$O$104,15,0))</f>
        <v>0</v>
      </c>
      <c r="W2199" s="6">
        <f>IF(ISERROR(VLOOKUP($T$2199,'TAR FIN'!$A$1:$O$104,15,0)),0,VLOOKUP($T$2199,'TAR FIN'!$A$1:$O$104,15,0))</f>
        <v>187.66</v>
      </c>
      <c r="X2199" s="6">
        <f>IF(ISERROR(VLOOKUP($U$2199,'TAR FIN'!$A$1:$O$104,15,0)),0,VLOOKUP($U$2199,'TAR FIN'!$A$1:$O$104,15,0))</f>
        <v>140.65</v>
      </c>
      <c r="Y2199" s="6"/>
      <c r="Z2199" s="6">
        <f ca="1">('TUSD BE'!$AM$64+'TUSD BF'!$AM$64+'TUSD CVA'!$AM$64)*1</f>
        <v>196.13551647793145</v>
      </c>
      <c r="AA2199" s="6">
        <f>('TE BE'!$AB$43+'TE BF'!$AB$43+'TE CVA'!$AB$43)*1</f>
        <v>133.35889435697632</v>
      </c>
      <c r="AB2199" s="6">
        <f>$K$2199*$V$2199</f>
        <v>0</v>
      </c>
      <c r="AC2199" s="6">
        <f>$M$2199*$W$2199</f>
        <v>-432.74396000000002</v>
      </c>
      <c r="AD2199" s="6">
        <f>$O$2199*$X$2199</f>
        <v>-324.33890000000002</v>
      </c>
      <c r="AE2199" s="6">
        <f>$K$2199*$Y$2199</f>
        <v>0</v>
      </c>
      <c r="AF2199" s="6">
        <f ca="1">$M$2199*$Z$2199</f>
        <v>-452.28850099810995</v>
      </c>
      <c r="AG2199" s="6">
        <f>$O$2199*$AA$2199</f>
        <v>-307.52561038718738</v>
      </c>
    </row>
    <row r="2200" spans="1:33" ht="11.25" customHeight="1" x14ac:dyDescent="0.25">
      <c r="A2200" s="4" t="s">
        <v>28</v>
      </c>
      <c r="B2200" s="4" t="s">
        <v>47</v>
      </c>
      <c r="C2200" s="4" t="s">
        <v>23</v>
      </c>
      <c r="D2200" s="4" t="s">
        <v>48</v>
      </c>
      <c r="E2200" s="4" t="s">
        <v>49</v>
      </c>
      <c r="F2200" s="4" t="s">
        <v>25</v>
      </c>
      <c r="G2200" s="4" t="s">
        <v>25</v>
      </c>
      <c r="H2200" s="4" t="s">
        <v>25</v>
      </c>
      <c r="I2200" s="5">
        <v>44531</v>
      </c>
      <c r="J2200" s="6">
        <v>0</v>
      </c>
      <c r="K2200" s="6">
        <v>0</v>
      </c>
      <c r="L2200" s="6">
        <v>23.437000000000001</v>
      </c>
      <c r="M2200" s="6">
        <v>23.437000000000001</v>
      </c>
      <c r="N2200" s="6">
        <v>23.437000000000001</v>
      </c>
      <c r="O2200" s="6">
        <v>23.437000000000001</v>
      </c>
      <c r="P2200" s="6">
        <v>1</v>
      </c>
      <c r="Q2200" s="4" t="s">
        <v>26</v>
      </c>
      <c r="R2200" s="4">
        <v>0</v>
      </c>
      <c r="S2200" s="6">
        <v>0</v>
      </c>
      <c r="T2200" s="6">
        <v>61</v>
      </c>
      <c r="U2200" s="6">
        <v>102</v>
      </c>
      <c r="V2200" s="6">
        <f>IF(ISERROR(VLOOKUP($S$2200,'TAR FIN'!$A$1:$O$104,15,0)),0,VLOOKUP($S$2200,'TAR FIN'!$A$1:$O$104,15,0))</f>
        <v>0</v>
      </c>
      <c r="W2200" s="6">
        <f>IF(ISERROR(VLOOKUP($T$2200,'TAR FIN'!$A$1:$O$104,15,0)),0,VLOOKUP($T$2200,'TAR FIN'!$A$1:$O$104,15,0))</f>
        <v>187.66</v>
      </c>
      <c r="X2200" s="6">
        <f>IF(ISERROR(VLOOKUP($U$2200,'TAR FIN'!$A$1:$O$104,15,0)),0,VLOOKUP($U$2200,'TAR FIN'!$A$1:$O$104,15,0))</f>
        <v>140.65</v>
      </c>
      <c r="Y2200" s="6"/>
      <c r="Z2200" s="6">
        <f ca="1">('TUSD BE'!$AM$64+'TUSD BF'!$AM$64+'TUSD CVA'!$AM$64)*1</f>
        <v>196.13551647793145</v>
      </c>
      <c r="AA2200" s="6">
        <f>('TE BE'!$AB$43+'TE BF'!$AB$43+'TE CVA'!$AB$43)*1</f>
        <v>133.35889435697632</v>
      </c>
      <c r="AB2200" s="6">
        <f>$K$2200*$V$2200</f>
        <v>0</v>
      </c>
      <c r="AC2200" s="6">
        <f>$M$2200*$W$2200</f>
        <v>4398.1874200000002</v>
      </c>
      <c r="AD2200" s="6">
        <f>$O$2200*$X$2200</f>
        <v>3296.4140500000003</v>
      </c>
      <c r="AE2200" s="6">
        <f>$K$2200*$Y$2200</f>
        <v>0</v>
      </c>
      <c r="AF2200" s="6">
        <f ca="1">$M$2200*$Z$2200</f>
        <v>4596.8280996932799</v>
      </c>
      <c r="AG2200" s="6">
        <f>$O$2200*$AA$2200</f>
        <v>3125.5324070444544</v>
      </c>
    </row>
    <row r="2201" spans="1:33" ht="11.25" customHeight="1" x14ac:dyDescent="0.25">
      <c r="A2201" s="4" t="s">
        <v>21</v>
      </c>
      <c r="B2201" s="4" t="s">
        <v>47</v>
      </c>
      <c r="C2201" s="4" t="s">
        <v>23</v>
      </c>
      <c r="D2201" s="4" t="s">
        <v>48</v>
      </c>
      <c r="E2201" s="4" t="s">
        <v>49</v>
      </c>
      <c r="F2201" s="4" t="s">
        <v>25</v>
      </c>
      <c r="G2201" s="4" t="s">
        <v>25</v>
      </c>
      <c r="H2201" s="4" t="s">
        <v>25</v>
      </c>
      <c r="I2201" s="5">
        <v>44562</v>
      </c>
      <c r="J2201" s="6">
        <v>0</v>
      </c>
      <c r="K2201" s="6">
        <v>0</v>
      </c>
      <c r="L2201" s="6">
        <v>21149.004000000001</v>
      </c>
      <c r="M2201" s="6">
        <v>21149.004000000001</v>
      </c>
      <c r="N2201" s="6">
        <v>21149.004000000001</v>
      </c>
      <c r="O2201" s="6">
        <v>21149.004000000001</v>
      </c>
      <c r="P2201" s="6">
        <v>750</v>
      </c>
      <c r="Q2201" s="4" t="s">
        <v>26</v>
      </c>
      <c r="R2201" s="4">
        <v>0</v>
      </c>
      <c r="S2201" s="6">
        <v>0</v>
      </c>
      <c r="T2201" s="6">
        <v>61</v>
      </c>
      <c r="U2201" s="6">
        <v>102</v>
      </c>
      <c r="V2201" s="6">
        <f>IF(ISERROR(VLOOKUP($S$2201,'TAR FIN'!$A$1:$O$104,15,0)),0,VLOOKUP($S$2201,'TAR FIN'!$A$1:$O$104,15,0))</f>
        <v>0</v>
      </c>
      <c r="W2201" s="6">
        <f>IF(ISERROR(VLOOKUP($T$2201,'TAR FIN'!$A$1:$O$104,15,0)),0,VLOOKUP($T$2201,'TAR FIN'!$A$1:$O$104,15,0))</f>
        <v>187.66</v>
      </c>
      <c r="X2201" s="6">
        <f>IF(ISERROR(VLOOKUP($U$2201,'TAR FIN'!$A$1:$O$104,15,0)),0,VLOOKUP($U$2201,'TAR FIN'!$A$1:$O$104,15,0))</f>
        <v>140.65</v>
      </c>
      <c r="Y2201" s="6"/>
      <c r="Z2201" s="6">
        <f ca="1">('TUSD BE'!$AM$64+'TUSD BF'!$AM$64+'TUSD CVA'!$AM$64)*1</f>
        <v>196.13551647793145</v>
      </c>
      <c r="AA2201" s="6">
        <f>('TE BE'!$AB$43+'TE BF'!$AB$43+'TE CVA'!$AB$43)*1</f>
        <v>133.35889435697632</v>
      </c>
      <c r="AB2201" s="6">
        <f>$K$2201*$V$2201</f>
        <v>0</v>
      </c>
      <c r="AC2201" s="6">
        <f>$M$2201*$W$2201</f>
        <v>3968822.0906400001</v>
      </c>
      <c r="AD2201" s="6">
        <f>$O$2201*$X$2201</f>
        <v>2974607.4126000004</v>
      </c>
      <c r="AE2201" s="6">
        <f>$K$2201*$Y$2201</f>
        <v>0</v>
      </c>
      <c r="AF2201" s="6">
        <f ca="1">$M$2201*$Z$2201</f>
        <v>4148070.8225338385</v>
      </c>
      <c r="AG2201" s="6">
        <f>$O$2201*$AA$2201</f>
        <v>2820407.7901912699</v>
      </c>
    </row>
    <row r="2202" spans="1:33" ht="11.25" customHeight="1" x14ac:dyDescent="0.25">
      <c r="A2202" s="4" t="s">
        <v>28</v>
      </c>
      <c r="B2202" s="4" t="s">
        <v>47</v>
      </c>
      <c r="C2202" s="4" t="s">
        <v>23</v>
      </c>
      <c r="D2202" s="4" t="s">
        <v>48</v>
      </c>
      <c r="E2202" s="4" t="s">
        <v>49</v>
      </c>
      <c r="F2202" s="4" t="s">
        <v>25</v>
      </c>
      <c r="G2202" s="4" t="s">
        <v>25</v>
      </c>
      <c r="H2202" s="4" t="s">
        <v>25</v>
      </c>
      <c r="I2202" s="5">
        <v>44562</v>
      </c>
      <c r="J2202" s="6">
        <v>0</v>
      </c>
      <c r="K2202" s="6">
        <v>0</v>
      </c>
      <c r="L2202" s="6">
        <v>23.437000000000001</v>
      </c>
      <c r="M2202" s="6">
        <v>23.437000000000001</v>
      </c>
      <c r="N2202" s="6">
        <v>23.437000000000001</v>
      </c>
      <c r="O2202" s="6">
        <v>23.437000000000001</v>
      </c>
      <c r="P2202" s="6">
        <v>1</v>
      </c>
      <c r="Q2202" s="4" t="s">
        <v>26</v>
      </c>
      <c r="R2202" s="4">
        <v>0</v>
      </c>
      <c r="S2202" s="6">
        <v>0</v>
      </c>
      <c r="T2202" s="6">
        <v>61</v>
      </c>
      <c r="U2202" s="6">
        <v>102</v>
      </c>
      <c r="V2202" s="6">
        <f>IF(ISERROR(VLOOKUP($S$2202,'TAR FIN'!$A$1:$O$104,15,0)),0,VLOOKUP($S$2202,'TAR FIN'!$A$1:$O$104,15,0))</f>
        <v>0</v>
      </c>
      <c r="W2202" s="6">
        <f>IF(ISERROR(VLOOKUP($T$2202,'TAR FIN'!$A$1:$O$104,15,0)),0,VLOOKUP($T$2202,'TAR FIN'!$A$1:$O$104,15,0))</f>
        <v>187.66</v>
      </c>
      <c r="X2202" s="6">
        <f>IF(ISERROR(VLOOKUP($U$2202,'TAR FIN'!$A$1:$O$104,15,0)),0,VLOOKUP($U$2202,'TAR FIN'!$A$1:$O$104,15,0))</f>
        <v>140.65</v>
      </c>
      <c r="Y2202" s="6"/>
      <c r="Z2202" s="6">
        <f ca="1">('TUSD BE'!$AM$64+'TUSD BF'!$AM$64+'TUSD CVA'!$AM$64)*1</f>
        <v>196.13551647793145</v>
      </c>
      <c r="AA2202" s="6">
        <f>('TE BE'!$AB$43+'TE BF'!$AB$43+'TE CVA'!$AB$43)*1</f>
        <v>133.35889435697632</v>
      </c>
      <c r="AB2202" s="6">
        <f>$K$2202*$V$2202</f>
        <v>0</v>
      </c>
      <c r="AC2202" s="6">
        <f>$M$2202*$W$2202</f>
        <v>4398.1874200000002</v>
      </c>
      <c r="AD2202" s="6">
        <f>$O$2202*$X$2202</f>
        <v>3296.4140500000003</v>
      </c>
      <c r="AE2202" s="6">
        <f>$K$2202*$Y$2202</f>
        <v>0</v>
      </c>
      <c r="AF2202" s="6">
        <f ca="1">$M$2202*$Z$2202</f>
        <v>4596.8280996932799</v>
      </c>
      <c r="AG2202" s="6">
        <f>$O$2202*$AA$2202</f>
        <v>3125.5324070444544</v>
      </c>
    </row>
    <row r="2203" spans="1:33" ht="11.25" customHeight="1" x14ac:dyDescent="0.25">
      <c r="A2203" s="4" t="s">
        <v>21</v>
      </c>
      <c r="B2203" s="4" t="s">
        <v>47</v>
      </c>
      <c r="C2203" s="4" t="s">
        <v>23</v>
      </c>
      <c r="D2203" s="4" t="s">
        <v>48</v>
      </c>
      <c r="E2203" s="4" t="s">
        <v>49</v>
      </c>
      <c r="F2203" s="4" t="s">
        <v>25</v>
      </c>
      <c r="G2203" s="4" t="s">
        <v>25</v>
      </c>
      <c r="H2203" s="4" t="s">
        <v>25</v>
      </c>
      <c r="I2203" s="5">
        <v>44593</v>
      </c>
      <c r="J2203" s="6">
        <v>0</v>
      </c>
      <c r="K2203" s="6">
        <v>0</v>
      </c>
      <c r="L2203" s="6">
        <v>19236.557000000001</v>
      </c>
      <c r="M2203" s="6">
        <v>19236.557000000001</v>
      </c>
      <c r="N2203" s="6">
        <v>19236.557000000001</v>
      </c>
      <c r="O2203" s="6">
        <v>19236.557000000001</v>
      </c>
      <c r="P2203" s="6">
        <v>752</v>
      </c>
      <c r="Q2203" s="4" t="s">
        <v>26</v>
      </c>
      <c r="R2203" s="4">
        <v>0</v>
      </c>
      <c r="S2203" s="6">
        <v>0</v>
      </c>
      <c r="T2203" s="6">
        <v>61</v>
      </c>
      <c r="U2203" s="6">
        <v>102</v>
      </c>
      <c r="V2203" s="6">
        <f>IF(ISERROR(VLOOKUP($S$2203,'TAR FIN'!$A$1:$O$104,15,0)),0,VLOOKUP($S$2203,'TAR FIN'!$A$1:$O$104,15,0))</f>
        <v>0</v>
      </c>
      <c r="W2203" s="6">
        <f>IF(ISERROR(VLOOKUP($T$2203,'TAR FIN'!$A$1:$O$104,15,0)),0,VLOOKUP($T$2203,'TAR FIN'!$A$1:$O$104,15,0))</f>
        <v>187.66</v>
      </c>
      <c r="X2203" s="6">
        <f>IF(ISERROR(VLOOKUP($U$2203,'TAR FIN'!$A$1:$O$104,15,0)),0,VLOOKUP($U$2203,'TAR FIN'!$A$1:$O$104,15,0))</f>
        <v>140.65</v>
      </c>
      <c r="Y2203" s="6"/>
      <c r="Z2203" s="6">
        <f ca="1">('TUSD BE'!$AM$64+'TUSD BF'!$AM$64+'TUSD CVA'!$AM$64)*1</f>
        <v>196.13551647793145</v>
      </c>
      <c r="AA2203" s="6">
        <f>('TE BE'!$AB$43+'TE BF'!$AB$43+'TE CVA'!$AB$43)*1</f>
        <v>133.35889435697632</v>
      </c>
      <c r="AB2203" s="6">
        <f>$K$2203*$V$2203</f>
        <v>0</v>
      </c>
      <c r="AC2203" s="6">
        <f>$M$2203*$W$2203</f>
        <v>3609932.2866199999</v>
      </c>
      <c r="AD2203" s="6">
        <f>$O$2203*$X$2203</f>
        <v>2705621.74205</v>
      </c>
      <c r="AE2203" s="6">
        <f>$K$2203*$Y$2203</f>
        <v>0</v>
      </c>
      <c r="AF2203" s="6">
        <f ca="1">$M$2203*$Z$2203</f>
        <v>3772972.0424521677</v>
      </c>
      <c r="AG2203" s="6">
        <f>$O$2203*$AA$2203</f>
        <v>2565365.9727549534</v>
      </c>
    </row>
    <row r="2204" spans="1:33" ht="11.25" customHeight="1" x14ac:dyDescent="0.25">
      <c r="A2204" s="4" t="s">
        <v>27</v>
      </c>
      <c r="B2204" s="4" t="s">
        <v>47</v>
      </c>
      <c r="C2204" s="4" t="s">
        <v>23</v>
      </c>
      <c r="D2204" s="4" t="s">
        <v>48</v>
      </c>
      <c r="E2204" s="4" t="s">
        <v>49</v>
      </c>
      <c r="F2204" s="4" t="s">
        <v>25</v>
      </c>
      <c r="G2204" s="4" t="s">
        <v>25</v>
      </c>
      <c r="H2204" s="4" t="s">
        <v>25</v>
      </c>
      <c r="I2204" s="5">
        <v>44593</v>
      </c>
      <c r="J2204" s="6">
        <v>0</v>
      </c>
      <c r="K2204" s="6">
        <v>0</v>
      </c>
      <c r="L2204" s="6">
        <v>-5.548</v>
      </c>
      <c r="M2204" s="6">
        <v>-5.548</v>
      </c>
      <c r="N2204" s="6">
        <v>-5.548</v>
      </c>
      <c r="O2204" s="6">
        <v>-5.548</v>
      </c>
      <c r="P2204" s="6">
        <v>0</v>
      </c>
      <c r="Q2204" s="4" t="s">
        <v>26</v>
      </c>
      <c r="R2204" s="4">
        <v>0</v>
      </c>
      <c r="S2204" s="6">
        <v>0</v>
      </c>
      <c r="T2204" s="6">
        <v>61</v>
      </c>
      <c r="U2204" s="6">
        <v>102</v>
      </c>
      <c r="V2204" s="6">
        <f>IF(ISERROR(VLOOKUP($S$2204,'TAR FIN'!$A$1:$O$104,15,0)),0,VLOOKUP($S$2204,'TAR FIN'!$A$1:$O$104,15,0))</f>
        <v>0</v>
      </c>
      <c r="W2204" s="6">
        <f>IF(ISERROR(VLOOKUP($T$2204,'TAR FIN'!$A$1:$O$104,15,0)),0,VLOOKUP($T$2204,'TAR FIN'!$A$1:$O$104,15,0))</f>
        <v>187.66</v>
      </c>
      <c r="X2204" s="6">
        <f>IF(ISERROR(VLOOKUP($U$2204,'TAR FIN'!$A$1:$O$104,15,0)),0,VLOOKUP($U$2204,'TAR FIN'!$A$1:$O$104,15,0))</f>
        <v>140.65</v>
      </c>
      <c r="Y2204" s="6"/>
      <c r="Z2204" s="6">
        <f ca="1">('TUSD BE'!$AM$64+'TUSD BF'!$AM$64+'TUSD CVA'!$AM$64)*1</f>
        <v>196.13551647793145</v>
      </c>
      <c r="AA2204" s="6">
        <f>('TE BE'!$AB$43+'TE BF'!$AB$43+'TE CVA'!$AB$43)*1</f>
        <v>133.35889435697632</v>
      </c>
      <c r="AB2204" s="6">
        <f>$K$2204*$V$2204</f>
        <v>0</v>
      </c>
      <c r="AC2204" s="6">
        <f>$M$2204*$W$2204</f>
        <v>-1041.13768</v>
      </c>
      <c r="AD2204" s="6">
        <f>$O$2204*$X$2204</f>
        <v>-780.32620000000009</v>
      </c>
      <c r="AE2204" s="6">
        <f>$K$2204*$Y$2204</f>
        <v>0</v>
      </c>
      <c r="AF2204" s="6">
        <f ca="1">$M$2204*$Z$2204</f>
        <v>-1088.1598454195637</v>
      </c>
      <c r="AG2204" s="6">
        <f>$O$2204*$AA$2204</f>
        <v>-739.87514589250463</v>
      </c>
    </row>
    <row r="2205" spans="1:33" ht="11.25" customHeight="1" x14ac:dyDescent="0.25">
      <c r="A2205" s="4" t="s">
        <v>28</v>
      </c>
      <c r="B2205" s="4" t="s">
        <v>47</v>
      </c>
      <c r="C2205" s="4" t="s">
        <v>23</v>
      </c>
      <c r="D2205" s="4" t="s">
        <v>48</v>
      </c>
      <c r="E2205" s="4" t="s">
        <v>49</v>
      </c>
      <c r="F2205" s="4" t="s">
        <v>25</v>
      </c>
      <c r="G2205" s="4" t="s">
        <v>25</v>
      </c>
      <c r="H2205" s="4" t="s">
        <v>25</v>
      </c>
      <c r="I2205" s="5">
        <v>44593</v>
      </c>
      <c r="J2205" s="6">
        <v>0</v>
      </c>
      <c r="K2205" s="6">
        <v>0</v>
      </c>
      <c r="L2205" s="6">
        <v>21.673999999999999</v>
      </c>
      <c r="M2205" s="6">
        <v>21.673999999999999</v>
      </c>
      <c r="N2205" s="6">
        <v>21.673999999999999</v>
      </c>
      <c r="O2205" s="6">
        <v>21.673999999999999</v>
      </c>
      <c r="P2205" s="6">
        <v>1</v>
      </c>
      <c r="Q2205" s="4" t="s">
        <v>26</v>
      </c>
      <c r="R2205" s="4">
        <v>0</v>
      </c>
      <c r="S2205" s="6">
        <v>0</v>
      </c>
      <c r="T2205" s="6">
        <v>61</v>
      </c>
      <c r="U2205" s="6">
        <v>102</v>
      </c>
      <c r="V2205" s="6">
        <f>IF(ISERROR(VLOOKUP($S$2205,'TAR FIN'!$A$1:$O$104,15,0)),0,VLOOKUP($S$2205,'TAR FIN'!$A$1:$O$104,15,0))</f>
        <v>0</v>
      </c>
      <c r="W2205" s="6">
        <f>IF(ISERROR(VLOOKUP($T$2205,'TAR FIN'!$A$1:$O$104,15,0)),0,VLOOKUP($T$2205,'TAR FIN'!$A$1:$O$104,15,0))</f>
        <v>187.66</v>
      </c>
      <c r="X2205" s="6">
        <f>IF(ISERROR(VLOOKUP($U$2205,'TAR FIN'!$A$1:$O$104,15,0)),0,VLOOKUP($U$2205,'TAR FIN'!$A$1:$O$104,15,0))</f>
        <v>140.65</v>
      </c>
      <c r="Y2205" s="6"/>
      <c r="Z2205" s="6">
        <f ca="1">('TUSD BE'!$AM$64+'TUSD BF'!$AM$64+'TUSD CVA'!$AM$64)*1</f>
        <v>196.13551647793145</v>
      </c>
      <c r="AA2205" s="6">
        <f>('TE BE'!$AB$43+'TE BF'!$AB$43+'TE CVA'!$AB$43)*1</f>
        <v>133.35889435697632</v>
      </c>
      <c r="AB2205" s="6">
        <f>$K$2205*$V$2205</f>
        <v>0</v>
      </c>
      <c r="AC2205" s="6">
        <f>$M$2205*$W$2205</f>
        <v>4067.3428399999998</v>
      </c>
      <c r="AD2205" s="6">
        <f>$O$2205*$X$2205</f>
        <v>3048.4481000000001</v>
      </c>
      <c r="AE2205" s="6">
        <f>$K$2205*$Y$2205</f>
        <v>0</v>
      </c>
      <c r="AF2205" s="6">
        <f ca="1">$M$2205*$Z$2205</f>
        <v>4251.0411841426858</v>
      </c>
      <c r="AG2205" s="6">
        <f>$O$2205*$AA$2205</f>
        <v>2890.4206762931049</v>
      </c>
    </row>
    <row r="2206" spans="1:33" ht="11.25" customHeight="1" x14ac:dyDescent="0.25">
      <c r="A2206" s="4" t="s">
        <v>21</v>
      </c>
      <c r="B2206" s="4" t="s">
        <v>47</v>
      </c>
      <c r="C2206" s="4" t="s">
        <v>23</v>
      </c>
      <c r="D2206" s="4" t="s">
        <v>48</v>
      </c>
      <c r="E2206" s="4" t="s">
        <v>49</v>
      </c>
      <c r="F2206" s="4" t="s">
        <v>25</v>
      </c>
      <c r="G2206" s="4" t="s">
        <v>25</v>
      </c>
      <c r="H2206" s="4" t="s">
        <v>25</v>
      </c>
      <c r="I2206" s="5">
        <v>44621</v>
      </c>
      <c r="J2206" s="6">
        <v>0</v>
      </c>
      <c r="K2206" s="6">
        <v>0</v>
      </c>
      <c r="L2206" s="6">
        <v>21087.128000000001</v>
      </c>
      <c r="M2206" s="6">
        <v>21087.128000000001</v>
      </c>
      <c r="N2206" s="6">
        <v>21087.128000000001</v>
      </c>
      <c r="O2206" s="6">
        <v>21087.128000000001</v>
      </c>
      <c r="P2206" s="6">
        <v>755</v>
      </c>
      <c r="Q2206" s="4" t="s">
        <v>26</v>
      </c>
      <c r="R2206" s="4">
        <v>0</v>
      </c>
      <c r="S2206" s="6">
        <v>0</v>
      </c>
      <c r="T2206" s="6">
        <v>61</v>
      </c>
      <c r="U2206" s="6">
        <v>102</v>
      </c>
      <c r="V2206" s="6">
        <f>IF(ISERROR(VLOOKUP($S$2206,'TAR FIN'!$A$1:$O$104,15,0)),0,VLOOKUP($S$2206,'TAR FIN'!$A$1:$O$104,15,0))</f>
        <v>0</v>
      </c>
      <c r="W2206" s="6">
        <f>IF(ISERROR(VLOOKUP($T$2206,'TAR FIN'!$A$1:$O$104,15,0)),0,VLOOKUP($T$2206,'TAR FIN'!$A$1:$O$104,15,0))</f>
        <v>187.66</v>
      </c>
      <c r="X2206" s="6">
        <f>IF(ISERROR(VLOOKUP($U$2206,'TAR FIN'!$A$1:$O$104,15,0)),0,VLOOKUP($U$2206,'TAR FIN'!$A$1:$O$104,15,0))</f>
        <v>140.65</v>
      </c>
      <c r="Y2206" s="6"/>
      <c r="Z2206" s="6">
        <f ca="1">('TUSD BE'!$AM$64+'TUSD BF'!$AM$64+'TUSD CVA'!$AM$64)*1</f>
        <v>196.13551647793145</v>
      </c>
      <c r="AA2206" s="6">
        <f>('TE BE'!$AB$43+'TE BF'!$AB$43+'TE CVA'!$AB$43)*1</f>
        <v>133.35889435697632</v>
      </c>
      <c r="AB2206" s="6">
        <f>$K$2206*$V$2206</f>
        <v>0</v>
      </c>
      <c r="AC2206" s="6">
        <f>$M$2206*$W$2206</f>
        <v>3957210.4404799999</v>
      </c>
      <c r="AD2206" s="6">
        <f>$O$2206*$X$2206</f>
        <v>2965904.5532000004</v>
      </c>
      <c r="AE2206" s="6">
        <f>$K$2206*$Y$2206</f>
        <v>0</v>
      </c>
      <c r="AF2206" s="6">
        <f ca="1">$M$2206*$Z$2206</f>
        <v>4135934.7413162496</v>
      </c>
      <c r="AG2206" s="6">
        <f>$O$2206*$AA$2206</f>
        <v>2812156.0752440374</v>
      </c>
    </row>
    <row r="2207" spans="1:33" ht="11.25" customHeight="1" x14ac:dyDescent="0.25">
      <c r="A2207" s="4" t="s">
        <v>27</v>
      </c>
      <c r="B2207" s="4" t="s">
        <v>47</v>
      </c>
      <c r="C2207" s="4" t="s">
        <v>23</v>
      </c>
      <c r="D2207" s="4" t="s">
        <v>48</v>
      </c>
      <c r="E2207" s="4" t="s">
        <v>49</v>
      </c>
      <c r="F2207" s="4" t="s">
        <v>25</v>
      </c>
      <c r="G2207" s="4" t="s">
        <v>25</v>
      </c>
      <c r="H2207" s="4" t="s">
        <v>25</v>
      </c>
      <c r="I2207" s="5">
        <v>44621</v>
      </c>
      <c r="J2207" s="6">
        <v>0</v>
      </c>
      <c r="K2207" s="6">
        <v>0</v>
      </c>
      <c r="L2207" s="6">
        <v>8.6150000000000002</v>
      </c>
      <c r="M2207" s="6">
        <v>8.6150000000000002</v>
      </c>
      <c r="N2207" s="6">
        <v>8.6150000000000002</v>
      </c>
      <c r="O2207" s="6">
        <v>8.6150000000000002</v>
      </c>
      <c r="P2207" s="6">
        <v>1</v>
      </c>
      <c r="Q2207" s="4" t="s">
        <v>26</v>
      </c>
      <c r="R2207" s="4">
        <v>0</v>
      </c>
      <c r="S2207" s="6">
        <v>0</v>
      </c>
      <c r="T2207" s="6">
        <v>61</v>
      </c>
      <c r="U2207" s="6">
        <v>102</v>
      </c>
      <c r="V2207" s="6">
        <f>IF(ISERROR(VLOOKUP($S$2207,'TAR FIN'!$A$1:$O$104,15,0)),0,VLOOKUP($S$2207,'TAR FIN'!$A$1:$O$104,15,0))</f>
        <v>0</v>
      </c>
      <c r="W2207" s="6">
        <f>IF(ISERROR(VLOOKUP($T$2207,'TAR FIN'!$A$1:$O$104,15,0)),0,VLOOKUP($T$2207,'TAR FIN'!$A$1:$O$104,15,0))</f>
        <v>187.66</v>
      </c>
      <c r="X2207" s="6">
        <f>IF(ISERROR(VLOOKUP($U$2207,'TAR FIN'!$A$1:$O$104,15,0)),0,VLOOKUP($U$2207,'TAR FIN'!$A$1:$O$104,15,0))</f>
        <v>140.65</v>
      </c>
      <c r="Y2207" s="6"/>
      <c r="Z2207" s="6">
        <f ca="1">('TUSD BE'!$AM$64+'TUSD BF'!$AM$64+'TUSD CVA'!$AM$64)*1</f>
        <v>196.13551647793145</v>
      </c>
      <c r="AA2207" s="6">
        <f>('TE BE'!$AB$43+'TE BF'!$AB$43+'TE CVA'!$AB$43)*1</f>
        <v>133.35889435697632</v>
      </c>
      <c r="AB2207" s="6">
        <f>$K$2207*$V$2207</f>
        <v>0</v>
      </c>
      <c r="AC2207" s="6">
        <f>$M$2207*$W$2207</f>
        <v>1616.6909000000001</v>
      </c>
      <c r="AD2207" s="6">
        <f>$O$2207*$X$2207</f>
        <v>1211.69975</v>
      </c>
      <c r="AE2207" s="6">
        <f>$K$2207*$Y$2207</f>
        <v>0</v>
      </c>
      <c r="AF2207" s="6">
        <f ca="1">$M$2207*$Z$2207</f>
        <v>1689.7074744573795</v>
      </c>
      <c r="AG2207" s="6">
        <f>$O$2207*$AA$2207</f>
        <v>1148.8868748853511</v>
      </c>
    </row>
    <row r="2208" spans="1:33" ht="11.25" customHeight="1" x14ac:dyDescent="0.25">
      <c r="A2208" s="4" t="s">
        <v>28</v>
      </c>
      <c r="B2208" s="4" t="s">
        <v>47</v>
      </c>
      <c r="C2208" s="4" t="s">
        <v>23</v>
      </c>
      <c r="D2208" s="4" t="s">
        <v>48</v>
      </c>
      <c r="E2208" s="4" t="s">
        <v>49</v>
      </c>
      <c r="F2208" s="4" t="s">
        <v>25</v>
      </c>
      <c r="G2208" s="4" t="s">
        <v>25</v>
      </c>
      <c r="H2208" s="4" t="s">
        <v>25</v>
      </c>
      <c r="I2208" s="5">
        <v>44621</v>
      </c>
      <c r="J2208" s="6">
        <v>0</v>
      </c>
      <c r="K2208" s="6">
        <v>0</v>
      </c>
      <c r="L2208" s="6">
        <v>23.437000000000001</v>
      </c>
      <c r="M2208" s="6">
        <v>23.437000000000001</v>
      </c>
      <c r="N2208" s="6">
        <v>23.437000000000001</v>
      </c>
      <c r="O2208" s="6">
        <v>23.437000000000001</v>
      </c>
      <c r="P2208" s="6">
        <v>1</v>
      </c>
      <c r="Q2208" s="4" t="s">
        <v>26</v>
      </c>
      <c r="R2208" s="4">
        <v>0</v>
      </c>
      <c r="S2208" s="6">
        <v>0</v>
      </c>
      <c r="T2208" s="6">
        <v>61</v>
      </c>
      <c r="U2208" s="6">
        <v>102</v>
      </c>
      <c r="V2208" s="6">
        <f>IF(ISERROR(VLOOKUP($S$2208,'TAR FIN'!$A$1:$O$104,15,0)),0,VLOOKUP($S$2208,'TAR FIN'!$A$1:$O$104,15,0))</f>
        <v>0</v>
      </c>
      <c r="W2208" s="6">
        <f>IF(ISERROR(VLOOKUP($T$2208,'TAR FIN'!$A$1:$O$104,15,0)),0,VLOOKUP($T$2208,'TAR FIN'!$A$1:$O$104,15,0))</f>
        <v>187.66</v>
      </c>
      <c r="X2208" s="6">
        <f>IF(ISERROR(VLOOKUP($U$2208,'TAR FIN'!$A$1:$O$104,15,0)),0,VLOOKUP($U$2208,'TAR FIN'!$A$1:$O$104,15,0))</f>
        <v>140.65</v>
      </c>
      <c r="Y2208" s="6"/>
      <c r="Z2208" s="6">
        <f ca="1">('TUSD BE'!$AM$64+'TUSD BF'!$AM$64+'TUSD CVA'!$AM$64)*1</f>
        <v>196.13551647793145</v>
      </c>
      <c r="AA2208" s="6">
        <f>('TE BE'!$AB$43+'TE BF'!$AB$43+'TE CVA'!$AB$43)*1</f>
        <v>133.35889435697632</v>
      </c>
      <c r="AB2208" s="6">
        <f>$K$2208*$V$2208</f>
        <v>0</v>
      </c>
      <c r="AC2208" s="6">
        <f>$M$2208*$W$2208</f>
        <v>4398.1874200000002</v>
      </c>
      <c r="AD2208" s="6">
        <f>$O$2208*$X$2208</f>
        <v>3296.4140500000003</v>
      </c>
      <c r="AE2208" s="6">
        <f>$K$2208*$Y$2208</f>
        <v>0</v>
      </c>
      <c r="AF2208" s="6">
        <f ca="1">$M$2208*$Z$2208</f>
        <v>4596.8280996932799</v>
      </c>
      <c r="AG2208" s="6">
        <f>$O$2208*$AA$2208</f>
        <v>3125.5324070444544</v>
      </c>
    </row>
    <row r="2209" spans="1:33" ht="11.25" customHeight="1" x14ac:dyDescent="0.25">
      <c r="A2209" s="4" t="s">
        <v>21</v>
      </c>
      <c r="B2209" s="4" t="s">
        <v>47</v>
      </c>
      <c r="C2209" s="4" t="s">
        <v>23</v>
      </c>
      <c r="D2209" s="4" t="s">
        <v>48</v>
      </c>
      <c r="E2209" s="4" t="s">
        <v>49</v>
      </c>
      <c r="F2209" s="4" t="s">
        <v>25</v>
      </c>
      <c r="G2209" s="4" t="s">
        <v>25</v>
      </c>
      <c r="H2209" s="4" t="s">
        <v>25</v>
      </c>
      <c r="I2209" s="5">
        <v>44652</v>
      </c>
      <c r="J2209" s="6">
        <v>0</v>
      </c>
      <c r="K2209" s="6">
        <v>0</v>
      </c>
      <c r="L2209" s="6">
        <v>20662.107</v>
      </c>
      <c r="M2209" s="6">
        <v>20662.107</v>
      </c>
      <c r="N2209" s="6">
        <v>20662.107</v>
      </c>
      <c r="O2209" s="6">
        <v>20662.107</v>
      </c>
      <c r="P2209" s="6">
        <v>754</v>
      </c>
      <c r="Q2209" s="4" t="s">
        <v>26</v>
      </c>
      <c r="R2209" s="4">
        <v>0</v>
      </c>
      <c r="S2209" s="6">
        <v>0</v>
      </c>
      <c r="T2209" s="6">
        <v>61</v>
      </c>
      <c r="U2209" s="6">
        <v>102</v>
      </c>
      <c r="V2209" s="6">
        <f>IF(ISERROR(VLOOKUP($S$2209,'TAR FIN'!$A$1:$O$104,15,0)),0,VLOOKUP($S$2209,'TAR FIN'!$A$1:$O$104,15,0))</f>
        <v>0</v>
      </c>
      <c r="W2209" s="6">
        <f>IF(ISERROR(VLOOKUP($T$2209,'TAR FIN'!$A$1:$O$104,15,0)),0,VLOOKUP($T$2209,'TAR FIN'!$A$1:$O$104,15,0))</f>
        <v>187.66</v>
      </c>
      <c r="X2209" s="6">
        <f>IF(ISERROR(VLOOKUP($U$2209,'TAR FIN'!$A$1:$O$104,15,0)),0,VLOOKUP($U$2209,'TAR FIN'!$A$1:$O$104,15,0))</f>
        <v>140.65</v>
      </c>
      <c r="Y2209" s="6"/>
      <c r="Z2209" s="6">
        <f ca="1">('TUSD BE'!$AM$64+'TUSD BF'!$AM$64+'TUSD CVA'!$AM$64)*1</f>
        <v>196.13551647793145</v>
      </c>
      <c r="AA2209" s="6">
        <f>('TE BE'!$AB$43+'TE BF'!$AB$43+'TE CVA'!$AB$43)*1</f>
        <v>133.35889435697632</v>
      </c>
      <c r="AB2209" s="6">
        <f>$K$2209*$V$2209</f>
        <v>0</v>
      </c>
      <c r="AC2209" s="6">
        <f>$M$2209*$W$2209</f>
        <v>3877450.9996199999</v>
      </c>
      <c r="AD2209" s="6">
        <f>$O$2209*$X$2209</f>
        <v>2906125.3495499999</v>
      </c>
      <c r="AE2209" s="6">
        <f>$K$2209*$Y$2209</f>
        <v>0</v>
      </c>
      <c r="AF2209" s="6">
        <f ca="1">$M$2209*$Z$2209</f>
        <v>4052573.0279672826</v>
      </c>
      <c r="AG2209" s="6">
        <f>$O$2209*$AA$2209</f>
        <v>2755475.7446055408</v>
      </c>
    </row>
    <row r="2210" spans="1:33" ht="11.25" customHeight="1" x14ac:dyDescent="0.25">
      <c r="A2210" s="4" t="s">
        <v>28</v>
      </c>
      <c r="B2210" s="4" t="s">
        <v>47</v>
      </c>
      <c r="C2210" s="4" t="s">
        <v>23</v>
      </c>
      <c r="D2210" s="4" t="s">
        <v>48</v>
      </c>
      <c r="E2210" s="4" t="s">
        <v>49</v>
      </c>
      <c r="F2210" s="4" t="s">
        <v>25</v>
      </c>
      <c r="G2210" s="4" t="s">
        <v>25</v>
      </c>
      <c r="H2210" s="4" t="s">
        <v>25</v>
      </c>
      <c r="I2210" s="5">
        <v>44652</v>
      </c>
      <c r="J2210" s="6">
        <v>0</v>
      </c>
      <c r="K2210" s="6">
        <v>0</v>
      </c>
      <c r="L2210" s="6">
        <v>23.06</v>
      </c>
      <c r="M2210" s="6">
        <v>23.06</v>
      </c>
      <c r="N2210" s="6">
        <v>23.06</v>
      </c>
      <c r="O2210" s="6">
        <v>23.06</v>
      </c>
      <c r="P2210" s="6">
        <v>1</v>
      </c>
      <c r="Q2210" s="4" t="s">
        <v>26</v>
      </c>
      <c r="R2210" s="4">
        <v>0</v>
      </c>
      <c r="S2210" s="6">
        <v>0</v>
      </c>
      <c r="T2210" s="6">
        <v>61</v>
      </c>
      <c r="U2210" s="6">
        <v>102</v>
      </c>
      <c r="V2210" s="6">
        <f>IF(ISERROR(VLOOKUP($S$2210,'TAR FIN'!$A$1:$O$104,15,0)),0,VLOOKUP($S$2210,'TAR FIN'!$A$1:$O$104,15,0))</f>
        <v>0</v>
      </c>
      <c r="W2210" s="6">
        <f>IF(ISERROR(VLOOKUP($T$2210,'TAR FIN'!$A$1:$O$104,15,0)),0,VLOOKUP($T$2210,'TAR FIN'!$A$1:$O$104,15,0))</f>
        <v>187.66</v>
      </c>
      <c r="X2210" s="6">
        <f>IF(ISERROR(VLOOKUP($U$2210,'TAR FIN'!$A$1:$O$104,15,0)),0,VLOOKUP($U$2210,'TAR FIN'!$A$1:$O$104,15,0))</f>
        <v>140.65</v>
      </c>
      <c r="Y2210" s="6"/>
      <c r="Z2210" s="6">
        <f ca="1">('TUSD BE'!$AM$64+'TUSD BF'!$AM$64+'TUSD CVA'!$AM$64)*1</f>
        <v>196.13551647793145</v>
      </c>
      <c r="AA2210" s="6">
        <f>('TE BE'!$AB$43+'TE BF'!$AB$43+'TE CVA'!$AB$43)*1</f>
        <v>133.35889435697632</v>
      </c>
      <c r="AB2210" s="6">
        <f>$K$2210*$V$2210</f>
        <v>0</v>
      </c>
      <c r="AC2210" s="6">
        <f>$M$2210*$W$2210</f>
        <v>4327.4395999999997</v>
      </c>
      <c r="AD2210" s="6">
        <f>$O$2210*$X$2210</f>
        <v>3243.3890000000001</v>
      </c>
      <c r="AE2210" s="6">
        <f>$K$2210*$Y$2210</f>
        <v>0</v>
      </c>
      <c r="AF2210" s="6">
        <f ca="1">$M$2210*$Z$2210</f>
        <v>4522.8850099810988</v>
      </c>
      <c r="AG2210" s="6">
        <f>$O$2210*$AA$2210</f>
        <v>3075.2561038718736</v>
      </c>
    </row>
    <row r="2211" spans="1:33" ht="11.25" customHeight="1" x14ac:dyDescent="0.25">
      <c r="A2211" s="4" t="s">
        <v>21</v>
      </c>
      <c r="B2211" s="4" t="s">
        <v>47</v>
      </c>
      <c r="C2211" s="4" t="s">
        <v>23</v>
      </c>
      <c r="D2211" s="4" t="s">
        <v>48</v>
      </c>
      <c r="E2211" s="4" t="s">
        <v>49</v>
      </c>
      <c r="F2211" s="4" t="s">
        <v>25</v>
      </c>
      <c r="G2211" s="4" t="s">
        <v>25</v>
      </c>
      <c r="H2211" s="4" t="s">
        <v>25</v>
      </c>
      <c r="I2211" s="5">
        <v>44682</v>
      </c>
      <c r="J2211" s="6">
        <v>0</v>
      </c>
      <c r="K2211" s="6">
        <v>0</v>
      </c>
      <c r="L2211" s="6">
        <v>21433.826000000001</v>
      </c>
      <c r="M2211" s="6">
        <v>21433.826000000001</v>
      </c>
      <c r="N2211" s="6">
        <v>21433.826000000001</v>
      </c>
      <c r="O2211" s="6">
        <v>21433.826000000001</v>
      </c>
      <c r="P2211" s="6">
        <v>756</v>
      </c>
      <c r="Q2211" s="4" t="s">
        <v>26</v>
      </c>
      <c r="R2211" s="4">
        <v>0</v>
      </c>
      <c r="S2211" s="6">
        <v>0</v>
      </c>
      <c r="T2211" s="6">
        <v>61</v>
      </c>
      <c r="U2211" s="6">
        <v>102</v>
      </c>
      <c r="V2211" s="6">
        <f>IF(ISERROR(VLOOKUP($S$2211,'TAR FIN'!$A$1:$O$104,15,0)),0,VLOOKUP($S$2211,'TAR FIN'!$A$1:$O$104,15,0))</f>
        <v>0</v>
      </c>
      <c r="W2211" s="6">
        <f>IF(ISERROR(VLOOKUP($T$2211,'TAR FIN'!$A$1:$O$104,15,0)),0,VLOOKUP($T$2211,'TAR FIN'!$A$1:$O$104,15,0))</f>
        <v>187.66</v>
      </c>
      <c r="X2211" s="6">
        <f>IF(ISERROR(VLOOKUP($U$2211,'TAR FIN'!$A$1:$O$104,15,0)),0,VLOOKUP($U$2211,'TAR FIN'!$A$1:$O$104,15,0))</f>
        <v>140.65</v>
      </c>
      <c r="Y2211" s="6"/>
      <c r="Z2211" s="6">
        <f ca="1">('TUSD BE'!$AM$64+'TUSD BF'!$AM$64+'TUSD CVA'!$AM$64)*1</f>
        <v>196.13551647793145</v>
      </c>
      <c r="AA2211" s="6">
        <f>('TE BE'!$AB$43+'TE BF'!$AB$43+'TE CVA'!$AB$43)*1</f>
        <v>133.35889435697632</v>
      </c>
      <c r="AB2211" s="6">
        <f>$K$2211*$V$2211</f>
        <v>0</v>
      </c>
      <c r="AC2211" s="6">
        <f>$M$2211*$W$2211</f>
        <v>4022271.7871600003</v>
      </c>
      <c r="AD2211" s="6">
        <f>$O$2211*$X$2211</f>
        <v>3014667.6269</v>
      </c>
      <c r="AE2211" s="6">
        <f>$K$2211*$Y$2211</f>
        <v>0</v>
      </c>
      <c r="AF2211" s="6">
        <f ca="1">$M$2211*$Z$2211</f>
        <v>4203934.532608116</v>
      </c>
      <c r="AG2211" s="6">
        <f>$O$2211*$AA$2211</f>
        <v>2858391.3371998123</v>
      </c>
    </row>
    <row r="2212" spans="1:33" ht="11.25" customHeight="1" x14ac:dyDescent="0.25">
      <c r="A2212" s="4" t="s">
        <v>28</v>
      </c>
      <c r="B2212" s="4" t="s">
        <v>47</v>
      </c>
      <c r="C2212" s="4" t="s">
        <v>23</v>
      </c>
      <c r="D2212" s="4" t="s">
        <v>48</v>
      </c>
      <c r="E2212" s="4" t="s">
        <v>49</v>
      </c>
      <c r="F2212" s="4" t="s">
        <v>25</v>
      </c>
      <c r="G2212" s="4" t="s">
        <v>25</v>
      </c>
      <c r="H2212" s="4" t="s">
        <v>25</v>
      </c>
      <c r="I2212" s="5">
        <v>44682</v>
      </c>
      <c r="J2212" s="6">
        <v>0</v>
      </c>
      <c r="K2212" s="6">
        <v>0</v>
      </c>
      <c r="L2212" s="6">
        <v>23.847000000000001</v>
      </c>
      <c r="M2212" s="6">
        <v>23.847000000000001</v>
      </c>
      <c r="N2212" s="6">
        <v>23.847000000000001</v>
      </c>
      <c r="O2212" s="6">
        <v>23.847000000000001</v>
      </c>
      <c r="P2212" s="6">
        <v>1</v>
      </c>
      <c r="Q2212" s="4" t="s">
        <v>26</v>
      </c>
      <c r="R2212" s="4">
        <v>0</v>
      </c>
      <c r="S2212" s="6">
        <v>0</v>
      </c>
      <c r="T2212" s="6">
        <v>61</v>
      </c>
      <c r="U2212" s="6">
        <v>102</v>
      </c>
      <c r="V2212" s="6">
        <f>IF(ISERROR(VLOOKUP($S$2212,'TAR FIN'!$A$1:$O$104,15,0)),0,VLOOKUP($S$2212,'TAR FIN'!$A$1:$O$104,15,0))</f>
        <v>0</v>
      </c>
      <c r="W2212" s="6">
        <f>IF(ISERROR(VLOOKUP($T$2212,'TAR FIN'!$A$1:$O$104,15,0)),0,VLOOKUP($T$2212,'TAR FIN'!$A$1:$O$104,15,0))</f>
        <v>187.66</v>
      </c>
      <c r="X2212" s="6">
        <f>IF(ISERROR(VLOOKUP($U$2212,'TAR FIN'!$A$1:$O$104,15,0)),0,VLOOKUP($U$2212,'TAR FIN'!$A$1:$O$104,15,0))</f>
        <v>140.65</v>
      </c>
      <c r="Y2212" s="6"/>
      <c r="Z2212" s="6">
        <f ca="1">('TUSD BE'!$AM$64+'TUSD BF'!$AM$64+'TUSD CVA'!$AM$64)*1</f>
        <v>196.13551647793145</v>
      </c>
      <c r="AA2212" s="6">
        <f>('TE BE'!$AB$43+'TE BF'!$AB$43+'TE CVA'!$AB$43)*1</f>
        <v>133.35889435697632</v>
      </c>
      <c r="AB2212" s="6">
        <f>$K$2212*$V$2212</f>
        <v>0</v>
      </c>
      <c r="AC2212" s="6">
        <f>$M$2212*$W$2212</f>
        <v>4475.1280200000001</v>
      </c>
      <c r="AD2212" s="6">
        <f>$O$2212*$X$2212</f>
        <v>3354.0805500000001</v>
      </c>
      <c r="AE2212" s="6">
        <f>$K$2212*$Y$2212</f>
        <v>0</v>
      </c>
      <c r="AF2212" s="6">
        <f ca="1">$M$2212*$Z$2212</f>
        <v>4677.2436614492317</v>
      </c>
      <c r="AG2212" s="6">
        <f>$O$2212*$AA$2212</f>
        <v>3180.2095537308146</v>
      </c>
    </row>
    <row r="2213" spans="1:33" ht="11.25" customHeight="1" x14ac:dyDescent="0.25">
      <c r="A2213" s="4" t="s">
        <v>21</v>
      </c>
      <c r="B2213" s="4" t="s">
        <v>47</v>
      </c>
      <c r="C2213" s="4" t="s">
        <v>23</v>
      </c>
      <c r="D2213" s="4" t="s">
        <v>48</v>
      </c>
      <c r="E2213" s="4" t="s">
        <v>49</v>
      </c>
      <c r="F2213" s="4" t="s">
        <v>25</v>
      </c>
      <c r="G2213" s="4" t="s">
        <v>25</v>
      </c>
      <c r="H2213" s="4" t="s">
        <v>25</v>
      </c>
      <c r="I2213" s="5">
        <v>44713</v>
      </c>
      <c r="J2213" s="6">
        <v>0</v>
      </c>
      <c r="K2213" s="6">
        <v>0</v>
      </c>
      <c r="L2213" s="6">
        <v>20805.925999999999</v>
      </c>
      <c r="M2213" s="6">
        <v>20805.925999999999</v>
      </c>
      <c r="N2213" s="6">
        <v>20805.925999999999</v>
      </c>
      <c r="O2213" s="6">
        <v>20805.925999999999</v>
      </c>
      <c r="P2213" s="6">
        <v>757</v>
      </c>
      <c r="Q2213" s="4" t="s">
        <v>26</v>
      </c>
      <c r="R2213" s="4">
        <v>0</v>
      </c>
      <c r="S2213" s="6">
        <v>0</v>
      </c>
      <c r="T2213" s="6">
        <v>61</v>
      </c>
      <c r="U2213" s="6">
        <v>102</v>
      </c>
      <c r="V2213" s="6">
        <f>IF(ISERROR(VLOOKUP($S$2213,'TAR FIN'!$A$1:$O$104,15,0)),0,VLOOKUP($S$2213,'TAR FIN'!$A$1:$O$104,15,0))</f>
        <v>0</v>
      </c>
      <c r="W2213" s="6">
        <f>IF(ISERROR(VLOOKUP($T$2213,'TAR FIN'!$A$1:$O$104,15,0)),0,VLOOKUP($T$2213,'TAR FIN'!$A$1:$O$104,15,0))</f>
        <v>187.66</v>
      </c>
      <c r="X2213" s="6">
        <f>IF(ISERROR(VLOOKUP($U$2213,'TAR FIN'!$A$1:$O$104,15,0)),0,VLOOKUP($U$2213,'TAR FIN'!$A$1:$O$104,15,0))</f>
        <v>140.65</v>
      </c>
      <c r="Y2213" s="6"/>
      <c r="Z2213" s="6">
        <f ca="1">('TUSD BE'!$AM$64+'TUSD BF'!$AM$64+'TUSD CVA'!$AM$64)*1</f>
        <v>196.13551647793145</v>
      </c>
      <c r="AA2213" s="6">
        <f>('TE BE'!$AB$43+'TE BF'!$AB$43+'TE CVA'!$AB$43)*1</f>
        <v>133.35889435697632</v>
      </c>
      <c r="AB2213" s="6">
        <f>$K$2213*$V$2213</f>
        <v>0</v>
      </c>
      <c r="AC2213" s="6">
        <f>$M$2213*$W$2213</f>
        <v>3904440.0731599997</v>
      </c>
      <c r="AD2213" s="6">
        <f>$O$2213*$X$2213</f>
        <v>2926353.4919000003</v>
      </c>
      <c r="AE2213" s="6">
        <f>$K$2213*$Y$2213</f>
        <v>0</v>
      </c>
      <c r="AF2213" s="6">
        <f ca="1">$M$2213*$Z$2213</f>
        <v>4080781.0418116222</v>
      </c>
      <c r="AG2213" s="6">
        <f>$O$2213*$AA$2213</f>
        <v>2774655.2874330669</v>
      </c>
    </row>
    <row r="2214" spans="1:33" ht="11.25" customHeight="1" x14ac:dyDescent="0.25">
      <c r="A2214" s="4" t="s">
        <v>28</v>
      </c>
      <c r="B2214" s="4" t="s">
        <v>47</v>
      </c>
      <c r="C2214" s="4" t="s">
        <v>23</v>
      </c>
      <c r="D2214" s="4" t="s">
        <v>48</v>
      </c>
      <c r="E2214" s="4" t="s">
        <v>49</v>
      </c>
      <c r="F2214" s="4" t="s">
        <v>25</v>
      </c>
      <c r="G2214" s="4" t="s">
        <v>25</v>
      </c>
      <c r="H2214" s="4" t="s">
        <v>25</v>
      </c>
      <c r="I2214" s="5">
        <v>44713</v>
      </c>
      <c r="J2214" s="6">
        <v>0</v>
      </c>
      <c r="K2214" s="6">
        <v>0</v>
      </c>
      <c r="L2214" s="6">
        <v>0.40899999999999997</v>
      </c>
      <c r="M2214" s="6">
        <v>0.40899999999999997</v>
      </c>
      <c r="N2214" s="6">
        <v>0.40899999999999997</v>
      </c>
      <c r="O2214" s="6">
        <v>0.40899999999999997</v>
      </c>
      <c r="P2214" s="6">
        <v>1</v>
      </c>
      <c r="Q2214" s="4" t="s">
        <v>26</v>
      </c>
      <c r="R2214" s="4">
        <v>0</v>
      </c>
      <c r="S2214" s="6">
        <v>0</v>
      </c>
      <c r="T2214" s="6">
        <v>61</v>
      </c>
      <c r="U2214" s="6">
        <v>102</v>
      </c>
      <c r="V2214" s="6">
        <f>IF(ISERROR(VLOOKUP($S$2214,'TAR FIN'!$A$1:$O$104,15,0)),0,VLOOKUP($S$2214,'TAR FIN'!$A$1:$O$104,15,0))</f>
        <v>0</v>
      </c>
      <c r="W2214" s="6">
        <f>IF(ISERROR(VLOOKUP($T$2214,'TAR FIN'!$A$1:$O$104,15,0)),0,VLOOKUP($T$2214,'TAR FIN'!$A$1:$O$104,15,0))</f>
        <v>187.66</v>
      </c>
      <c r="X2214" s="6">
        <f>IF(ISERROR(VLOOKUP($U$2214,'TAR FIN'!$A$1:$O$104,15,0)),0,VLOOKUP($U$2214,'TAR FIN'!$A$1:$O$104,15,0))</f>
        <v>140.65</v>
      </c>
      <c r="Y2214" s="6"/>
      <c r="Z2214" s="6">
        <f ca="1">('TUSD BE'!$AM$64+'TUSD BF'!$AM$64+'TUSD CVA'!$AM$64)*1</f>
        <v>196.13551647793145</v>
      </c>
      <c r="AA2214" s="6">
        <f>('TE BE'!$AB$43+'TE BF'!$AB$43+'TE CVA'!$AB$43)*1</f>
        <v>133.35889435697632</v>
      </c>
      <c r="AB2214" s="6">
        <f>$K$2214*$V$2214</f>
        <v>0</v>
      </c>
      <c r="AC2214" s="6">
        <f>$M$2214*$W$2214</f>
        <v>76.752939999999995</v>
      </c>
      <c r="AD2214" s="6">
        <f>$O$2214*$X$2214</f>
        <v>57.525849999999998</v>
      </c>
      <c r="AE2214" s="6">
        <f>$K$2214*$Y$2214</f>
        <v>0</v>
      </c>
      <c r="AF2214" s="6">
        <f ca="1">$M$2214*$Z$2214</f>
        <v>80.219426239473961</v>
      </c>
      <c r="AG2214" s="6">
        <f>$O$2214*$AA$2214</f>
        <v>54.543787792003315</v>
      </c>
    </row>
    <row r="2215" spans="1:33" ht="11.25" customHeight="1" x14ac:dyDescent="0.25">
      <c r="A2215" s="4" t="s">
        <v>57</v>
      </c>
      <c r="B2215" s="4" t="s">
        <v>47</v>
      </c>
      <c r="C2215" s="4" t="s">
        <v>23</v>
      </c>
      <c r="D2215" s="4" t="s">
        <v>48</v>
      </c>
      <c r="E2215" s="4" t="s">
        <v>49</v>
      </c>
      <c r="F2215" s="4" t="s">
        <v>25</v>
      </c>
      <c r="G2215" s="4" t="s">
        <v>25</v>
      </c>
      <c r="H2215" s="4" t="s">
        <v>25</v>
      </c>
      <c r="I2215" s="5">
        <v>44743</v>
      </c>
      <c r="J2215" s="6">
        <v>0</v>
      </c>
      <c r="K2215" s="6">
        <v>0</v>
      </c>
      <c r="L2215" s="6">
        <v>20805.925999999999</v>
      </c>
      <c r="M2215" s="6">
        <v>20805.925999999999</v>
      </c>
      <c r="N2215" s="6">
        <v>20805.925999999999</v>
      </c>
      <c r="O2215" s="6">
        <v>20805.925999999999</v>
      </c>
      <c r="P2215" s="6">
        <v>757</v>
      </c>
      <c r="Q2215" s="4" t="s">
        <v>26</v>
      </c>
      <c r="R2215" s="4">
        <v>0</v>
      </c>
      <c r="S2215" s="6">
        <v>0</v>
      </c>
      <c r="T2215" s="6">
        <v>61</v>
      </c>
      <c r="U2215" s="6">
        <v>102</v>
      </c>
      <c r="V2215" s="6">
        <f>IF(ISERROR(VLOOKUP($S$2215,'TAR FIN'!$A$1:$O$104,15,0)),0,VLOOKUP($S$2215,'TAR FIN'!$A$1:$O$104,15,0))</f>
        <v>0</v>
      </c>
      <c r="W2215" s="6">
        <f>IF(ISERROR(VLOOKUP($T$2215,'TAR FIN'!$A$1:$O$104,15,0)),0,VLOOKUP($T$2215,'TAR FIN'!$A$1:$O$104,15,0))</f>
        <v>187.66</v>
      </c>
      <c r="X2215" s="6">
        <f>IF(ISERROR(VLOOKUP($U$2215,'TAR FIN'!$A$1:$O$104,15,0)),0,VLOOKUP($U$2215,'TAR FIN'!$A$1:$O$104,15,0))</f>
        <v>140.65</v>
      </c>
      <c r="Y2215" s="6"/>
      <c r="Z2215" s="6">
        <f ca="1">('TUSD BE'!$AM$64+'TUSD BF'!$AM$64+'TUSD CVA'!$AM$64)*1</f>
        <v>196.13551647793145</v>
      </c>
      <c r="AA2215" s="6">
        <f>('TE BE'!$AB$43+'TE BF'!$AB$43+'TE CVA'!$AB$43)*1</f>
        <v>133.35889435697632</v>
      </c>
      <c r="AB2215" s="6">
        <f>$K$2215*$V$2215</f>
        <v>0</v>
      </c>
      <c r="AC2215" s="6">
        <f>$M$2215*$W$2215</f>
        <v>3904440.0731599997</v>
      </c>
      <c r="AD2215" s="6">
        <f>$O$2215*$X$2215</f>
        <v>2926353.4919000003</v>
      </c>
      <c r="AE2215" s="6">
        <f>$K$2215*$Y$2215</f>
        <v>0</v>
      </c>
      <c r="AF2215" s="6">
        <f ca="1">$M$2215*$Z$2215</f>
        <v>4080781.0418116222</v>
      </c>
      <c r="AG2215" s="6">
        <f>$O$2215*$AA$2215</f>
        <v>2774655.2874330669</v>
      </c>
    </row>
    <row r="2216" spans="1:33" ht="11.25" customHeight="1" x14ac:dyDescent="0.25">
      <c r="A2216" s="4" t="s">
        <v>57</v>
      </c>
      <c r="B2216" s="4" t="s">
        <v>47</v>
      </c>
      <c r="C2216" s="4" t="s">
        <v>23</v>
      </c>
      <c r="D2216" s="4" t="s">
        <v>48</v>
      </c>
      <c r="E2216" s="4" t="s">
        <v>49</v>
      </c>
      <c r="F2216" s="4" t="s">
        <v>25</v>
      </c>
      <c r="G2216" s="4" t="s">
        <v>25</v>
      </c>
      <c r="H2216" s="4" t="s">
        <v>25</v>
      </c>
      <c r="I2216" s="5">
        <v>44743</v>
      </c>
      <c r="J2216" s="6">
        <v>0</v>
      </c>
      <c r="K2216" s="6">
        <v>0</v>
      </c>
      <c r="L2216" s="6">
        <v>0.40899999999999997</v>
      </c>
      <c r="M2216" s="6">
        <v>0.40899999999999997</v>
      </c>
      <c r="N2216" s="6">
        <v>0.40899999999999997</v>
      </c>
      <c r="O2216" s="6">
        <v>0.40899999999999997</v>
      </c>
      <c r="P2216" s="6">
        <v>1</v>
      </c>
      <c r="Q2216" s="4" t="s">
        <v>26</v>
      </c>
      <c r="R2216" s="4">
        <v>0</v>
      </c>
      <c r="S2216" s="6">
        <v>0</v>
      </c>
      <c r="T2216" s="6">
        <v>61</v>
      </c>
      <c r="U2216" s="6">
        <v>102</v>
      </c>
      <c r="V2216" s="6">
        <f>IF(ISERROR(VLOOKUP($S$2216,'TAR FIN'!$A$1:$O$104,15,0)),0,VLOOKUP($S$2216,'TAR FIN'!$A$1:$O$104,15,0))</f>
        <v>0</v>
      </c>
      <c r="W2216" s="6">
        <f>IF(ISERROR(VLOOKUP($T$2216,'TAR FIN'!$A$1:$O$104,15,0)),0,VLOOKUP($T$2216,'TAR FIN'!$A$1:$O$104,15,0))</f>
        <v>187.66</v>
      </c>
      <c r="X2216" s="6">
        <f>IF(ISERROR(VLOOKUP($U$2216,'TAR FIN'!$A$1:$O$104,15,0)),0,VLOOKUP($U$2216,'TAR FIN'!$A$1:$O$104,15,0))</f>
        <v>140.65</v>
      </c>
      <c r="Y2216" s="6"/>
      <c r="Z2216" s="6">
        <f ca="1">('TUSD BE'!$AM$64+'TUSD BF'!$AM$64+'TUSD CVA'!$AM$64)*1</f>
        <v>196.13551647793145</v>
      </c>
      <c r="AA2216" s="6">
        <f>('TE BE'!$AB$43+'TE BF'!$AB$43+'TE CVA'!$AB$43)*1</f>
        <v>133.35889435697632</v>
      </c>
      <c r="AB2216" s="6">
        <f>$K$2216*$V$2216</f>
        <v>0</v>
      </c>
      <c r="AC2216" s="6">
        <f>$M$2216*$W$2216</f>
        <v>76.752939999999995</v>
      </c>
      <c r="AD2216" s="6">
        <f>$O$2216*$X$2216</f>
        <v>57.525849999999998</v>
      </c>
      <c r="AE2216" s="6">
        <f>$K$2216*$Y$2216</f>
        <v>0</v>
      </c>
      <c r="AF2216" s="6">
        <f ca="1">$M$2216*$Z$2216</f>
        <v>80.219426239473961</v>
      </c>
      <c r="AG2216" s="6">
        <f>$O$2216*$AA$2216</f>
        <v>54.543787792003315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A5388-8ABC-4DFA-A2B0-FD0445F20AEF}">
  <dimension ref="A1:AJ2217"/>
  <sheetViews>
    <sheetView showGridLines="0" topLeftCell="AB1" workbookViewId="0">
      <selection activeCell="AJ13" sqref="AJ13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8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1.7109375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957</v>
      </c>
      <c r="W1" s="1" t="s">
        <v>958</v>
      </c>
      <c r="X1" s="1" t="s">
        <v>959</v>
      </c>
      <c r="Y1" s="1" t="s">
        <v>960</v>
      </c>
      <c r="Z1" s="1" t="s">
        <v>961</v>
      </c>
      <c r="AA1" s="1" t="s">
        <v>962</v>
      </c>
      <c r="AB1" s="1" t="s">
        <v>992</v>
      </c>
      <c r="AC1" s="1" t="s">
        <v>993</v>
      </c>
      <c r="AD1" s="1" t="s">
        <v>994</v>
      </c>
      <c r="AE1" s="1" t="s">
        <v>995</v>
      </c>
      <c r="AF1" s="1" t="s">
        <v>996</v>
      </c>
      <c r="AH1" s="54" t="s">
        <v>996</v>
      </c>
      <c r="AI1" s="54" t="s">
        <v>1003</v>
      </c>
      <c r="AJ1" s="54" t="s">
        <v>1004</v>
      </c>
    </row>
    <row r="2" spans="1:36" ht="11.25" customHeight="1" x14ac:dyDescent="0.25">
      <c r="A2" s="4" t="s">
        <v>21</v>
      </c>
      <c r="B2" s="4" t="s">
        <v>39</v>
      </c>
      <c r="C2" s="4" t="s">
        <v>40</v>
      </c>
      <c r="D2" s="4" t="s">
        <v>38</v>
      </c>
      <c r="E2" s="4" t="s">
        <v>25</v>
      </c>
      <c r="F2" s="4" t="s">
        <v>61</v>
      </c>
      <c r="G2" s="4" t="s">
        <v>25</v>
      </c>
      <c r="H2" s="4" t="s">
        <v>35</v>
      </c>
      <c r="I2" s="5">
        <v>44409</v>
      </c>
      <c r="J2" s="6">
        <v>5460</v>
      </c>
      <c r="K2" s="6">
        <v>2948.4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58</v>
      </c>
      <c r="R2" s="4">
        <v>0</v>
      </c>
      <c r="S2" s="4">
        <v>3</v>
      </c>
      <c r="T2" s="4">
        <v>0</v>
      </c>
      <c r="U2" s="4">
        <v>0</v>
      </c>
      <c r="V2" s="6">
        <f>IF(ISERROR(VLOOKUP($S$2,'TAR FIN'!$A$1:$O$104,15,0)),0,VLOOKUP($S$2,'TAR FIN'!$A$1:$O$104,15,0))</f>
        <v>11.17</v>
      </c>
      <c r="W2" s="6">
        <f>IF(ISERROR(VLOOKUP($T$2,'TAR FIN'!$A$1:$O$104,15,0)),0,VLOOKUP($T$2,'TAR FIN'!$A$1:$O$104,15,0))</f>
        <v>0</v>
      </c>
      <c r="X2" s="6">
        <f>IF(ISERROR(VLOOKUP($U$2,'TAR FIN'!$A$1:$O$104,15,0)),0,VLOOKUP($U$2,'TAR FIN'!$A$1:$O$104,15,0))</f>
        <v>0</v>
      </c>
      <c r="Y2" s="6">
        <f ca="1">('TUSD BE'!$AM$6+'TUSD BF'!$AM$6+'TUSD CVA'!$AM$6)*1</f>
        <v>11.059043483979741</v>
      </c>
      <c r="Z2" s="6">
        <f ca="1">('TUSD BE'!$AM$7+'TUSD BF'!$AM$7+'TUSD CVA'!$AM$7)*1</f>
        <v>55.308089175900619</v>
      </c>
      <c r="AA2" s="6"/>
      <c r="AB2" s="6">
        <f t="shared" ref="AB2:AB37" si="0">(J2-K2)*V2</f>
        <v>28054.572</v>
      </c>
      <c r="AC2" s="6">
        <f t="shared" ref="AC2:AC37" si="1">(L2-M2)*W2+(N2-O2)*X2</f>
        <v>0</v>
      </c>
      <c r="AD2" s="6">
        <f t="shared" ref="AD2:AD37" ca="1" si="2">(J2-K2)*Y2</f>
        <v>27775.893614363515</v>
      </c>
      <c r="AE2" s="6">
        <f t="shared" ref="AE2:AE37" ca="1" si="3">(L2-M2)*Z2+(N2-O2)*AA2</f>
        <v>0</v>
      </c>
      <c r="AF2" s="4" t="s">
        <v>997</v>
      </c>
      <c r="AH2" s="55" t="s">
        <v>997</v>
      </c>
      <c r="AI2" s="56">
        <f t="shared" ref="AI2:AI9" si="4">SUMIF($AF$2:$AF$2217,AH2,$AB$2:$AB$2217)+SUMIF($AF$2:$AF$2217,AH2,$AC$2:$AC$2217)</f>
        <v>22259170.134246599</v>
      </c>
      <c r="AJ2" s="56">
        <f t="shared" ref="AJ2:AJ9" ca="1" si="5">SUMIF($AF$2:$AF$2217,AH2,$AD$2:$AD$2217)+SUMIF($AF$2:$AF$2217,AH2,$AE$2:$AE$2217)</f>
        <v>22363474.757527854</v>
      </c>
    </row>
    <row r="3" spans="1:36" ht="11.25" customHeight="1" x14ac:dyDescent="0.25">
      <c r="A3" s="4" t="s">
        <v>21</v>
      </c>
      <c r="B3" s="4" t="s">
        <v>39</v>
      </c>
      <c r="C3" s="4" t="s">
        <v>40</v>
      </c>
      <c r="D3" s="4" t="s">
        <v>38</v>
      </c>
      <c r="E3" s="4" t="s">
        <v>25</v>
      </c>
      <c r="F3" s="4" t="s">
        <v>61</v>
      </c>
      <c r="G3" s="4" t="s">
        <v>25</v>
      </c>
      <c r="H3" s="4" t="s">
        <v>35</v>
      </c>
      <c r="I3" s="5">
        <v>44440</v>
      </c>
      <c r="J3" s="6">
        <v>5460</v>
      </c>
      <c r="K3" s="6">
        <v>2839.2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58</v>
      </c>
      <c r="R3" s="4">
        <v>0</v>
      </c>
      <c r="S3" s="4">
        <v>3</v>
      </c>
      <c r="T3" s="4">
        <v>0</v>
      </c>
      <c r="U3" s="4">
        <v>0</v>
      </c>
      <c r="V3" s="6">
        <f>IF(ISERROR(VLOOKUP($S$3,'TAR FIN'!$A$1:$O$104,15,0)),0,VLOOKUP($S$3,'TAR FIN'!$A$1:$O$104,15,0))</f>
        <v>11.17</v>
      </c>
      <c r="W3" s="6">
        <f>IF(ISERROR(VLOOKUP($T$3,'TAR FIN'!$A$1:$O$104,15,0)),0,VLOOKUP($T$3,'TAR FIN'!$A$1:$O$104,15,0))</f>
        <v>0</v>
      </c>
      <c r="X3" s="6">
        <f>IF(ISERROR(VLOOKUP($U$3,'TAR FIN'!$A$1:$O$104,15,0)),0,VLOOKUP($U$3,'TAR FIN'!$A$1:$O$104,15,0))</f>
        <v>0</v>
      </c>
      <c r="Y3" s="6">
        <f ca="1">('TUSD BE'!$AM$6+'TUSD BF'!$AM$6+'TUSD CVA'!$AM$6)*1</f>
        <v>11.059043483979741</v>
      </c>
      <c r="Z3" s="6">
        <f ca="1">('TUSD BE'!$AM$7+'TUSD BF'!$AM$7+'TUSD CVA'!$AM$7)*1</f>
        <v>55.308089175900619</v>
      </c>
      <c r="AA3" s="6"/>
      <c r="AB3" s="6">
        <f t="shared" si="0"/>
        <v>29274.336000000003</v>
      </c>
      <c r="AC3" s="6">
        <f t="shared" si="1"/>
        <v>0</v>
      </c>
      <c r="AD3" s="6">
        <f t="shared" ca="1" si="2"/>
        <v>28983.541162814105</v>
      </c>
      <c r="AE3" s="6">
        <f t="shared" ca="1" si="3"/>
        <v>0</v>
      </c>
      <c r="AF3" s="4" t="s">
        <v>997</v>
      </c>
      <c r="AH3" s="55" t="s">
        <v>1000</v>
      </c>
      <c r="AI3" s="56">
        <f t="shared" si="4"/>
        <v>18483923.330000002</v>
      </c>
      <c r="AJ3" s="56">
        <f t="shared" ca="1" si="5"/>
        <v>18364127.239485458</v>
      </c>
    </row>
    <row r="4" spans="1:36" ht="11.25" customHeight="1" x14ac:dyDescent="0.25">
      <c r="A4" s="4" t="s">
        <v>21</v>
      </c>
      <c r="B4" s="4" t="s">
        <v>39</v>
      </c>
      <c r="C4" s="4" t="s">
        <v>40</v>
      </c>
      <c r="D4" s="4" t="s">
        <v>38</v>
      </c>
      <c r="E4" s="4" t="s">
        <v>25</v>
      </c>
      <c r="F4" s="4" t="s">
        <v>61</v>
      </c>
      <c r="G4" s="4" t="s">
        <v>25</v>
      </c>
      <c r="H4" s="4" t="s">
        <v>35</v>
      </c>
      <c r="I4" s="5">
        <v>44470</v>
      </c>
      <c r="J4" s="6">
        <v>5460</v>
      </c>
      <c r="K4" s="6">
        <v>4968.6000000000004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58</v>
      </c>
      <c r="R4" s="4">
        <v>0</v>
      </c>
      <c r="S4" s="4">
        <v>3</v>
      </c>
      <c r="T4" s="4">
        <v>0</v>
      </c>
      <c r="U4" s="4">
        <v>0</v>
      </c>
      <c r="V4" s="6">
        <f>IF(ISERROR(VLOOKUP($S$4,'TAR FIN'!$A$1:$O$104,15,0)),0,VLOOKUP($S$4,'TAR FIN'!$A$1:$O$104,15,0))</f>
        <v>11.17</v>
      </c>
      <c r="W4" s="6">
        <f>IF(ISERROR(VLOOKUP($T$4,'TAR FIN'!$A$1:$O$104,15,0)),0,VLOOKUP($T$4,'TAR FIN'!$A$1:$O$104,15,0))</f>
        <v>0</v>
      </c>
      <c r="X4" s="6">
        <f>IF(ISERROR(VLOOKUP($U$4,'TAR FIN'!$A$1:$O$104,15,0)),0,VLOOKUP($U$4,'TAR FIN'!$A$1:$O$104,15,0))</f>
        <v>0</v>
      </c>
      <c r="Y4" s="6">
        <f ca="1">('TUSD BE'!$AM$6+'TUSD BF'!$AM$6+'TUSD CVA'!$AM$6)*1</f>
        <v>11.059043483979741</v>
      </c>
      <c r="Z4" s="6">
        <f ca="1">('TUSD BE'!$AM$7+'TUSD BF'!$AM$7+'TUSD CVA'!$AM$7)*1</f>
        <v>55.308089175900619</v>
      </c>
      <c r="AA4" s="6"/>
      <c r="AB4" s="6">
        <f t="shared" si="0"/>
        <v>5488.9379999999956</v>
      </c>
      <c r="AC4" s="6">
        <f t="shared" si="1"/>
        <v>0</v>
      </c>
      <c r="AD4" s="6">
        <f t="shared" ca="1" si="2"/>
        <v>5434.4139680276403</v>
      </c>
      <c r="AE4" s="6">
        <f t="shared" ca="1" si="3"/>
        <v>0</v>
      </c>
      <c r="AF4" s="4" t="s">
        <v>997</v>
      </c>
      <c r="AH4" s="55" t="s">
        <v>1005</v>
      </c>
      <c r="AI4" s="56">
        <f t="shared" si="4"/>
        <v>0</v>
      </c>
      <c r="AJ4" s="56">
        <f t="shared" si="5"/>
        <v>0</v>
      </c>
    </row>
    <row r="5" spans="1:36" ht="11.25" customHeight="1" x14ac:dyDescent="0.25">
      <c r="A5" s="4" t="s">
        <v>21</v>
      </c>
      <c r="B5" s="4" t="s">
        <v>39</v>
      </c>
      <c r="C5" s="4" t="s">
        <v>40</v>
      </c>
      <c r="D5" s="4" t="s">
        <v>38</v>
      </c>
      <c r="E5" s="4" t="s">
        <v>25</v>
      </c>
      <c r="F5" s="4" t="s">
        <v>61</v>
      </c>
      <c r="G5" s="4" t="s">
        <v>25</v>
      </c>
      <c r="H5" s="4" t="s">
        <v>35</v>
      </c>
      <c r="I5" s="5">
        <v>44501</v>
      </c>
      <c r="J5" s="6">
        <v>8690</v>
      </c>
      <c r="K5" s="6">
        <v>5387.8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58</v>
      </c>
      <c r="R5" s="4">
        <v>0</v>
      </c>
      <c r="S5" s="4">
        <v>3</v>
      </c>
      <c r="T5" s="4">
        <v>0</v>
      </c>
      <c r="U5" s="4">
        <v>0</v>
      </c>
      <c r="V5" s="6">
        <f>IF(ISERROR(VLOOKUP($S$5,'TAR FIN'!$A$1:$O$104,15,0)),0,VLOOKUP($S$5,'TAR FIN'!$A$1:$O$104,15,0))</f>
        <v>11.17</v>
      </c>
      <c r="W5" s="6">
        <f>IF(ISERROR(VLOOKUP($T$5,'TAR FIN'!$A$1:$O$104,15,0)),0,VLOOKUP($T$5,'TAR FIN'!$A$1:$O$104,15,0))</f>
        <v>0</v>
      </c>
      <c r="X5" s="6">
        <f>IF(ISERROR(VLOOKUP($U$5,'TAR FIN'!$A$1:$O$104,15,0)),0,VLOOKUP($U$5,'TAR FIN'!$A$1:$O$104,15,0))</f>
        <v>0</v>
      </c>
      <c r="Y5" s="6">
        <f ca="1">('TUSD BE'!$AM$6+'TUSD BF'!$AM$6+'TUSD CVA'!$AM$6)*1</f>
        <v>11.059043483979741</v>
      </c>
      <c r="Z5" s="6">
        <f ca="1">('TUSD BE'!$AM$7+'TUSD BF'!$AM$7+'TUSD CVA'!$AM$7)*1</f>
        <v>55.308089175900619</v>
      </c>
      <c r="AA5" s="6"/>
      <c r="AB5" s="6">
        <f t="shared" si="0"/>
        <v>36885.574000000001</v>
      </c>
      <c r="AC5" s="6">
        <f t="shared" si="1"/>
        <v>0</v>
      </c>
      <c r="AD5" s="6">
        <f t="shared" ca="1" si="2"/>
        <v>36519.1733927979</v>
      </c>
      <c r="AE5" s="6">
        <f t="shared" ca="1" si="3"/>
        <v>0</v>
      </c>
      <c r="AF5" s="4" t="s">
        <v>997</v>
      </c>
      <c r="AH5" s="55" t="s">
        <v>999</v>
      </c>
      <c r="AI5" s="56">
        <f t="shared" si="4"/>
        <v>6111694.2561287992</v>
      </c>
      <c r="AJ5" s="56">
        <f t="shared" ca="1" si="5"/>
        <v>3064768.9824901316</v>
      </c>
    </row>
    <row r="6" spans="1:36" ht="11.25" customHeight="1" x14ac:dyDescent="0.25">
      <c r="A6" s="4" t="s">
        <v>21</v>
      </c>
      <c r="B6" s="4" t="s">
        <v>39</v>
      </c>
      <c r="C6" s="4" t="s">
        <v>40</v>
      </c>
      <c r="D6" s="4" t="s">
        <v>38</v>
      </c>
      <c r="E6" s="4" t="s">
        <v>25</v>
      </c>
      <c r="F6" s="4" t="s">
        <v>61</v>
      </c>
      <c r="G6" s="4" t="s">
        <v>25</v>
      </c>
      <c r="H6" s="4" t="s">
        <v>35</v>
      </c>
      <c r="I6" s="5">
        <v>44531</v>
      </c>
      <c r="J6" s="6">
        <v>6570</v>
      </c>
      <c r="K6" s="6">
        <v>2233.8000000000002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58</v>
      </c>
      <c r="R6" s="4">
        <v>0</v>
      </c>
      <c r="S6" s="4">
        <v>3</v>
      </c>
      <c r="T6" s="4">
        <v>0</v>
      </c>
      <c r="U6" s="4">
        <v>0</v>
      </c>
      <c r="V6" s="6">
        <f>IF(ISERROR(VLOOKUP($S$6,'TAR FIN'!$A$1:$O$104,15,0)),0,VLOOKUP($S$6,'TAR FIN'!$A$1:$O$104,15,0))</f>
        <v>11.17</v>
      </c>
      <c r="W6" s="6">
        <f>IF(ISERROR(VLOOKUP($T$6,'TAR FIN'!$A$1:$O$104,15,0)),0,VLOOKUP($T$6,'TAR FIN'!$A$1:$O$104,15,0))</f>
        <v>0</v>
      </c>
      <c r="X6" s="6">
        <f>IF(ISERROR(VLOOKUP($U$6,'TAR FIN'!$A$1:$O$104,15,0)),0,VLOOKUP($U$6,'TAR FIN'!$A$1:$O$104,15,0))</f>
        <v>0</v>
      </c>
      <c r="Y6" s="6">
        <f ca="1">('TUSD BE'!$AM$6+'TUSD BF'!$AM$6+'TUSD CVA'!$AM$6)*1</f>
        <v>11.059043483979741</v>
      </c>
      <c r="Z6" s="6">
        <f ca="1">('TUSD BE'!$AM$7+'TUSD BF'!$AM$7+'TUSD CVA'!$AM$7)*1</f>
        <v>55.308089175900619</v>
      </c>
      <c r="AA6" s="6"/>
      <c r="AB6" s="6">
        <f t="shared" si="0"/>
        <v>48435.353999999999</v>
      </c>
      <c r="AC6" s="6">
        <f t="shared" si="1"/>
        <v>0</v>
      </c>
      <c r="AD6" s="6">
        <f t="shared" ca="1" si="2"/>
        <v>47954.224355232953</v>
      </c>
      <c r="AE6" s="6">
        <f t="shared" ca="1" si="3"/>
        <v>0</v>
      </c>
      <c r="AF6" s="4" t="s">
        <v>997</v>
      </c>
      <c r="AH6" s="55" t="s">
        <v>998</v>
      </c>
      <c r="AI6" s="56">
        <f t="shared" si="4"/>
        <v>15366489.140454249</v>
      </c>
      <c r="AJ6" s="56">
        <f t="shared" ca="1" si="5"/>
        <v>7715347.9205892263</v>
      </c>
    </row>
    <row r="7" spans="1:36" ht="11.25" customHeight="1" x14ac:dyDescent="0.25">
      <c r="A7" s="4" t="s">
        <v>21</v>
      </c>
      <c r="B7" s="4" t="s">
        <v>39</v>
      </c>
      <c r="C7" s="4" t="s">
        <v>40</v>
      </c>
      <c r="D7" s="4" t="s">
        <v>38</v>
      </c>
      <c r="E7" s="4" t="s">
        <v>25</v>
      </c>
      <c r="F7" s="4" t="s">
        <v>61</v>
      </c>
      <c r="G7" s="4" t="s">
        <v>25</v>
      </c>
      <c r="H7" s="4" t="s">
        <v>35</v>
      </c>
      <c r="I7" s="5">
        <v>44562</v>
      </c>
      <c r="J7" s="6">
        <v>6570</v>
      </c>
      <c r="K7" s="6">
        <v>2299.5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58</v>
      </c>
      <c r="R7" s="4">
        <v>0</v>
      </c>
      <c r="S7" s="4">
        <v>3</v>
      </c>
      <c r="T7" s="4">
        <v>0</v>
      </c>
      <c r="U7" s="4">
        <v>0</v>
      </c>
      <c r="V7" s="6">
        <f>IF(ISERROR(VLOOKUP($S$7,'TAR FIN'!$A$1:$O$104,15,0)),0,VLOOKUP($S$7,'TAR FIN'!$A$1:$O$104,15,0))</f>
        <v>11.17</v>
      </c>
      <c r="W7" s="6">
        <f>IF(ISERROR(VLOOKUP($T$7,'TAR FIN'!$A$1:$O$104,15,0)),0,VLOOKUP($T$7,'TAR FIN'!$A$1:$O$104,15,0))</f>
        <v>0</v>
      </c>
      <c r="X7" s="6">
        <f>IF(ISERROR(VLOOKUP($U$7,'TAR FIN'!$A$1:$O$104,15,0)),0,VLOOKUP($U$7,'TAR FIN'!$A$1:$O$104,15,0))</f>
        <v>0</v>
      </c>
      <c r="Y7" s="6">
        <f ca="1">('TUSD BE'!$AM$6+'TUSD BF'!$AM$6+'TUSD CVA'!$AM$6)*1</f>
        <v>11.059043483979741</v>
      </c>
      <c r="Z7" s="6">
        <f ca="1">('TUSD BE'!$AM$7+'TUSD BF'!$AM$7+'TUSD CVA'!$AM$7)*1</f>
        <v>55.308089175900619</v>
      </c>
      <c r="AA7" s="6"/>
      <c r="AB7" s="6">
        <f t="shared" si="0"/>
        <v>47701.485000000001</v>
      </c>
      <c r="AC7" s="6">
        <f t="shared" si="1"/>
        <v>0</v>
      </c>
      <c r="AD7" s="6">
        <f t="shared" ca="1" si="2"/>
        <v>47227.645198335485</v>
      </c>
      <c r="AE7" s="6">
        <f t="shared" ca="1" si="3"/>
        <v>0</v>
      </c>
      <c r="AF7" s="4" t="s">
        <v>997</v>
      </c>
      <c r="AH7" s="55" t="s">
        <v>1001</v>
      </c>
      <c r="AI7" s="56">
        <f t="shared" si="4"/>
        <v>26636892.310491983</v>
      </c>
      <c r="AJ7" s="56">
        <f t="shared" ca="1" si="5"/>
        <v>26303073.984873336</v>
      </c>
    </row>
    <row r="8" spans="1:36" ht="11.25" customHeight="1" x14ac:dyDescent="0.25">
      <c r="A8" s="4" t="s">
        <v>21</v>
      </c>
      <c r="B8" s="4" t="s">
        <v>39</v>
      </c>
      <c r="C8" s="4" t="s">
        <v>40</v>
      </c>
      <c r="D8" s="4" t="s">
        <v>38</v>
      </c>
      <c r="E8" s="4" t="s">
        <v>25</v>
      </c>
      <c r="F8" s="4" t="s">
        <v>61</v>
      </c>
      <c r="G8" s="4" t="s">
        <v>25</v>
      </c>
      <c r="H8" s="4" t="s">
        <v>35</v>
      </c>
      <c r="I8" s="5">
        <v>44593</v>
      </c>
      <c r="J8" s="6">
        <v>6570</v>
      </c>
      <c r="K8" s="6">
        <v>2233.8000000000002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58</v>
      </c>
      <c r="R8" s="4">
        <v>0</v>
      </c>
      <c r="S8" s="4">
        <v>3</v>
      </c>
      <c r="T8" s="4">
        <v>0</v>
      </c>
      <c r="U8" s="4">
        <v>0</v>
      </c>
      <c r="V8" s="6">
        <f>IF(ISERROR(VLOOKUP($S$8,'TAR FIN'!$A$1:$O$104,15,0)),0,VLOOKUP($S$8,'TAR FIN'!$A$1:$O$104,15,0))</f>
        <v>11.17</v>
      </c>
      <c r="W8" s="6">
        <f>IF(ISERROR(VLOOKUP($T$8,'TAR FIN'!$A$1:$O$104,15,0)),0,VLOOKUP($T$8,'TAR FIN'!$A$1:$O$104,15,0))</f>
        <v>0</v>
      </c>
      <c r="X8" s="6">
        <f>IF(ISERROR(VLOOKUP($U$8,'TAR FIN'!$A$1:$O$104,15,0)),0,VLOOKUP($U$8,'TAR FIN'!$A$1:$O$104,15,0))</f>
        <v>0</v>
      </c>
      <c r="Y8" s="6">
        <f ca="1">('TUSD BE'!$AM$6+'TUSD BF'!$AM$6+'TUSD CVA'!$AM$6)*1</f>
        <v>11.059043483979741</v>
      </c>
      <c r="Z8" s="6">
        <f ca="1">('TUSD BE'!$AM$7+'TUSD BF'!$AM$7+'TUSD CVA'!$AM$7)*1</f>
        <v>55.308089175900619</v>
      </c>
      <c r="AA8" s="6"/>
      <c r="AB8" s="6">
        <f t="shared" si="0"/>
        <v>48435.353999999999</v>
      </c>
      <c r="AC8" s="6">
        <f t="shared" si="1"/>
        <v>0</v>
      </c>
      <c r="AD8" s="6">
        <f t="shared" ca="1" si="2"/>
        <v>47954.224355232953</v>
      </c>
      <c r="AE8" s="6">
        <f t="shared" ca="1" si="3"/>
        <v>0</v>
      </c>
      <c r="AF8" s="4" t="s">
        <v>997</v>
      </c>
      <c r="AH8" s="55" t="s">
        <v>1002</v>
      </c>
      <c r="AI8" s="56">
        <f t="shared" si="4"/>
        <v>125288623.43489996</v>
      </c>
      <c r="AJ8" s="56">
        <f t="shared" ca="1" si="5"/>
        <v>120649988.3901315</v>
      </c>
    </row>
    <row r="9" spans="1:36" ht="11.25" customHeight="1" x14ac:dyDescent="0.25">
      <c r="A9" s="4" t="s">
        <v>21</v>
      </c>
      <c r="B9" s="4" t="s">
        <v>39</v>
      </c>
      <c r="C9" s="4" t="s">
        <v>40</v>
      </c>
      <c r="D9" s="4" t="s">
        <v>38</v>
      </c>
      <c r="E9" s="4" t="s">
        <v>25</v>
      </c>
      <c r="F9" s="4" t="s">
        <v>61</v>
      </c>
      <c r="G9" s="4" t="s">
        <v>25</v>
      </c>
      <c r="H9" s="4" t="s">
        <v>35</v>
      </c>
      <c r="I9" s="5">
        <v>44621</v>
      </c>
      <c r="J9" s="6">
        <v>6570</v>
      </c>
      <c r="K9" s="6">
        <v>2430.9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58</v>
      </c>
      <c r="R9" s="4">
        <v>0</v>
      </c>
      <c r="S9" s="4">
        <v>3</v>
      </c>
      <c r="T9" s="4">
        <v>0</v>
      </c>
      <c r="U9" s="4">
        <v>0</v>
      </c>
      <c r="V9" s="6">
        <f>IF(ISERROR(VLOOKUP($S$9,'TAR FIN'!$A$1:$O$104,15,0)),0,VLOOKUP($S$9,'TAR FIN'!$A$1:$O$104,15,0))</f>
        <v>11.17</v>
      </c>
      <c r="W9" s="6">
        <f>IF(ISERROR(VLOOKUP($T$9,'TAR FIN'!$A$1:$O$104,15,0)),0,VLOOKUP($T$9,'TAR FIN'!$A$1:$O$104,15,0))</f>
        <v>0</v>
      </c>
      <c r="X9" s="6">
        <f>IF(ISERROR(VLOOKUP($U$9,'TAR FIN'!$A$1:$O$104,15,0)),0,VLOOKUP($U$9,'TAR FIN'!$A$1:$O$104,15,0))</f>
        <v>0</v>
      </c>
      <c r="Y9" s="6">
        <f ca="1">('TUSD BE'!$AM$6+'TUSD BF'!$AM$6+'TUSD CVA'!$AM$6)*1</f>
        <v>11.059043483979741</v>
      </c>
      <c r="Z9" s="6">
        <f ca="1">('TUSD BE'!$AM$7+'TUSD BF'!$AM$7+'TUSD CVA'!$AM$7)*1</f>
        <v>55.308089175900619</v>
      </c>
      <c r="AA9" s="6"/>
      <c r="AB9" s="6">
        <f t="shared" si="0"/>
        <v>46233.747000000003</v>
      </c>
      <c r="AC9" s="6">
        <f t="shared" si="1"/>
        <v>0</v>
      </c>
      <c r="AD9" s="6">
        <f t="shared" ca="1" si="2"/>
        <v>45774.486884540551</v>
      </c>
      <c r="AE9" s="6">
        <f t="shared" ca="1" si="3"/>
        <v>0</v>
      </c>
      <c r="AF9" s="4" t="s">
        <v>997</v>
      </c>
      <c r="AH9" s="55" t="s">
        <v>1006</v>
      </c>
      <c r="AI9" s="56">
        <f t="shared" si="4"/>
        <v>0</v>
      </c>
      <c r="AJ9" s="56">
        <f t="shared" si="5"/>
        <v>0</v>
      </c>
    </row>
    <row r="10" spans="1:36" ht="11.25" customHeight="1" x14ac:dyDescent="0.25">
      <c r="A10" s="4" t="s">
        <v>21</v>
      </c>
      <c r="B10" s="4" t="s">
        <v>39</v>
      </c>
      <c r="C10" s="4" t="s">
        <v>40</v>
      </c>
      <c r="D10" s="4" t="s">
        <v>38</v>
      </c>
      <c r="E10" s="4" t="s">
        <v>25</v>
      </c>
      <c r="F10" s="4" t="s">
        <v>61</v>
      </c>
      <c r="G10" s="4" t="s">
        <v>25</v>
      </c>
      <c r="H10" s="4" t="s">
        <v>35</v>
      </c>
      <c r="I10" s="5">
        <v>44652</v>
      </c>
      <c r="J10" s="6">
        <v>6570</v>
      </c>
      <c r="K10" s="6">
        <v>2233.8000000000002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58</v>
      </c>
      <c r="R10" s="4">
        <v>0</v>
      </c>
      <c r="S10" s="4">
        <v>3</v>
      </c>
      <c r="T10" s="4">
        <v>0</v>
      </c>
      <c r="U10" s="4">
        <v>0</v>
      </c>
      <c r="V10" s="6">
        <f>IF(ISERROR(VLOOKUP($S$10,'TAR FIN'!$A$1:$O$104,15,0)),0,VLOOKUP($S$10,'TAR FIN'!$A$1:$O$104,15,0))</f>
        <v>11.17</v>
      </c>
      <c r="W10" s="6">
        <f>IF(ISERROR(VLOOKUP($T$10,'TAR FIN'!$A$1:$O$104,15,0)),0,VLOOKUP($T$10,'TAR FIN'!$A$1:$O$104,15,0))</f>
        <v>0</v>
      </c>
      <c r="X10" s="6">
        <f>IF(ISERROR(VLOOKUP($U$10,'TAR FIN'!$A$1:$O$104,15,0)),0,VLOOKUP($U$10,'TAR FIN'!$A$1:$O$104,15,0))</f>
        <v>0</v>
      </c>
      <c r="Y10" s="6">
        <f ca="1">('TUSD BE'!$AM$6+'TUSD BF'!$AM$6+'TUSD CVA'!$AM$6)*1</f>
        <v>11.059043483979741</v>
      </c>
      <c r="Z10" s="6">
        <f ca="1">('TUSD BE'!$AM$7+'TUSD BF'!$AM$7+'TUSD CVA'!$AM$7)*1</f>
        <v>55.308089175900619</v>
      </c>
      <c r="AA10" s="6"/>
      <c r="AB10" s="6">
        <f t="shared" si="0"/>
        <v>48435.353999999999</v>
      </c>
      <c r="AC10" s="6">
        <f t="shared" si="1"/>
        <v>0</v>
      </c>
      <c r="AD10" s="6">
        <f t="shared" ca="1" si="2"/>
        <v>47954.224355232953</v>
      </c>
      <c r="AE10" s="6">
        <f t="shared" ca="1" si="3"/>
        <v>0</v>
      </c>
      <c r="AF10" s="4" t="s">
        <v>997</v>
      </c>
    </row>
    <row r="11" spans="1:36" ht="11.25" customHeight="1" x14ac:dyDescent="0.25">
      <c r="A11" s="4" t="s">
        <v>21</v>
      </c>
      <c r="B11" s="4" t="s">
        <v>39</v>
      </c>
      <c r="C11" s="4" t="s">
        <v>40</v>
      </c>
      <c r="D11" s="4" t="s">
        <v>38</v>
      </c>
      <c r="E11" s="4" t="s">
        <v>25</v>
      </c>
      <c r="F11" s="4" t="s">
        <v>61</v>
      </c>
      <c r="G11" s="4" t="s">
        <v>25</v>
      </c>
      <c r="H11" s="4" t="s">
        <v>35</v>
      </c>
      <c r="I11" s="5">
        <v>44682</v>
      </c>
      <c r="J11" s="6">
        <v>6570</v>
      </c>
      <c r="K11" s="6">
        <v>2233.8000000000002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58</v>
      </c>
      <c r="R11" s="4">
        <v>0</v>
      </c>
      <c r="S11" s="4">
        <v>3</v>
      </c>
      <c r="T11" s="4">
        <v>0</v>
      </c>
      <c r="U11" s="4">
        <v>0</v>
      </c>
      <c r="V11" s="6">
        <f>IF(ISERROR(VLOOKUP($S$11,'TAR FIN'!$A$1:$O$104,15,0)),0,VLOOKUP($S$11,'TAR FIN'!$A$1:$O$104,15,0))</f>
        <v>11.17</v>
      </c>
      <c r="W11" s="6">
        <f>IF(ISERROR(VLOOKUP($T$11,'TAR FIN'!$A$1:$O$104,15,0)),0,VLOOKUP($T$11,'TAR FIN'!$A$1:$O$104,15,0))</f>
        <v>0</v>
      </c>
      <c r="X11" s="6">
        <f>IF(ISERROR(VLOOKUP($U$11,'TAR FIN'!$A$1:$O$104,15,0)),0,VLOOKUP($U$11,'TAR FIN'!$A$1:$O$104,15,0))</f>
        <v>0</v>
      </c>
      <c r="Y11" s="6">
        <f ca="1">('TUSD BE'!$AM$6+'TUSD BF'!$AM$6+'TUSD CVA'!$AM$6)*1</f>
        <v>11.059043483979741</v>
      </c>
      <c r="Z11" s="6">
        <f ca="1">('TUSD BE'!$AM$7+'TUSD BF'!$AM$7+'TUSD CVA'!$AM$7)*1</f>
        <v>55.308089175900619</v>
      </c>
      <c r="AA11" s="6"/>
      <c r="AB11" s="6">
        <f t="shared" si="0"/>
        <v>48435.353999999999</v>
      </c>
      <c r="AC11" s="6">
        <f t="shared" si="1"/>
        <v>0</v>
      </c>
      <c r="AD11" s="6">
        <f t="shared" ca="1" si="2"/>
        <v>47954.224355232953</v>
      </c>
      <c r="AE11" s="6">
        <f t="shared" ca="1" si="3"/>
        <v>0</v>
      </c>
      <c r="AF11" s="4" t="s">
        <v>997</v>
      </c>
    </row>
    <row r="12" spans="1:36" ht="11.25" customHeight="1" x14ac:dyDescent="0.25">
      <c r="A12" s="4" t="s">
        <v>21</v>
      </c>
      <c r="B12" s="4" t="s">
        <v>39</v>
      </c>
      <c r="C12" s="4" t="s">
        <v>40</v>
      </c>
      <c r="D12" s="4" t="s">
        <v>38</v>
      </c>
      <c r="E12" s="4" t="s">
        <v>25</v>
      </c>
      <c r="F12" s="4" t="s">
        <v>61</v>
      </c>
      <c r="G12" s="4" t="s">
        <v>25</v>
      </c>
      <c r="H12" s="4" t="s">
        <v>35</v>
      </c>
      <c r="I12" s="5">
        <v>44713</v>
      </c>
      <c r="J12" s="6">
        <v>6570</v>
      </c>
      <c r="K12" s="6">
        <v>2233.8000000000002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58</v>
      </c>
      <c r="R12" s="4">
        <v>0</v>
      </c>
      <c r="S12" s="4">
        <v>3</v>
      </c>
      <c r="T12" s="4">
        <v>0</v>
      </c>
      <c r="U12" s="4">
        <v>0</v>
      </c>
      <c r="V12" s="6">
        <f>IF(ISERROR(VLOOKUP($S$12,'TAR FIN'!$A$1:$O$104,15,0)),0,VLOOKUP($S$12,'TAR FIN'!$A$1:$O$104,15,0))</f>
        <v>11.17</v>
      </c>
      <c r="W12" s="6">
        <f>IF(ISERROR(VLOOKUP($T$12,'TAR FIN'!$A$1:$O$104,15,0)),0,VLOOKUP($T$12,'TAR FIN'!$A$1:$O$104,15,0))</f>
        <v>0</v>
      </c>
      <c r="X12" s="6">
        <f>IF(ISERROR(VLOOKUP($U$12,'TAR FIN'!$A$1:$O$104,15,0)),0,VLOOKUP($U$12,'TAR FIN'!$A$1:$O$104,15,0))</f>
        <v>0</v>
      </c>
      <c r="Y12" s="6">
        <f ca="1">('TUSD BE'!$AM$6+'TUSD BF'!$AM$6+'TUSD CVA'!$AM$6)*1</f>
        <v>11.059043483979741</v>
      </c>
      <c r="Z12" s="6">
        <f ca="1">('TUSD BE'!$AM$7+'TUSD BF'!$AM$7+'TUSD CVA'!$AM$7)*1</f>
        <v>55.308089175900619</v>
      </c>
      <c r="AA12" s="6"/>
      <c r="AB12" s="6">
        <f t="shared" si="0"/>
        <v>48435.353999999999</v>
      </c>
      <c r="AC12" s="6">
        <f t="shared" si="1"/>
        <v>0</v>
      </c>
      <c r="AD12" s="6">
        <f t="shared" ca="1" si="2"/>
        <v>47954.224355232953</v>
      </c>
      <c r="AE12" s="6">
        <f t="shared" ca="1" si="3"/>
        <v>0</v>
      </c>
      <c r="AF12" s="4" t="s">
        <v>997</v>
      </c>
      <c r="AJ12" s="6">
        <f ca="1">SUM(AJ2:AJ11)</f>
        <v>198460781.27509749</v>
      </c>
    </row>
    <row r="13" spans="1:36" ht="11.25" customHeight="1" x14ac:dyDescent="0.25">
      <c r="A13" s="4" t="s">
        <v>57</v>
      </c>
      <c r="B13" s="4" t="s">
        <v>39</v>
      </c>
      <c r="C13" s="4" t="s">
        <v>40</v>
      </c>
      <c r="D13" s="4" t="s">
        <v>38</v>
      </c>
      <c r="E13" s="4" t="s">
        <v>25</v>
      </c>
      <c r="F13" s="4" t="s">
        <v>61</v>
      </c>
      <c r="G13" s="4" t="s">
        <v>25</v>
      </c>
      <c r="H13" s="4" t="s">
        <v>35</v>
      </c>
      <c r="I13" s="5">
        <v>44743</v>
      </c>
      <c r="J13" s="6">
        <v>6570</v>
      </c>
      <c r="K13" s="6">
        <v>2233.8000000000002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58</v>
      </c>
      <c r="R13" s="4">
        <v>0</v>
      </c>
      <c r="S13" s="4">
        <v>3</v>
      </c>
      <c r="T13" s="4">
        <v>0</v>
      </c>
      <c r="U13" s="4">
        <v>0</v>
      </c>
      <c r="V13" s="6">
        <f>IF(ISERROR(VLOOKUP($S$13,'TAR FIN'!$A$1:$O$104,15,0)),0,VLOOKUP($S$13,'TAR FIN'!$A$1:$O$104,15,0))</f>
        <v>11.17</v>
      </c>
      <c r="W13" s="6">
        <f>IF(ISERROR(VLOOKUP($T$13,'TAR FIN'!$A$1:$O$104,15,0)),0,VLOOKUP($T$13,'TAR FIN'!$A$1:$O$104,15,0))</f>
        <v>0</v>
      </c>
      <c r="X13" s="6">
        <f>IF(ISERROR(VLOOKUP($U$13,'TAR FIN'!$A$1:$O$104,15,0)),0,VLOOKUP($U$13,'TAR FIN'!$A$1:$O$104,15,0))</f>
        <v>0</v>
      </c>
      <c r="Y13" s="6">
        <f ca="1">('TUSD BE'!$AM$6+'TUSD BF'!$AM$6+'TUSD CVA'!$AM$6)*1</f>
        <v>11.059043483979741</v>
      </c>
      <c r="Z13" s="6">
        <f ca="1">('TUSD BE'!$AM$7+'TUSD BF'!$AM$7+'TUSD CVA'!$AM$7)*1</f>
        <v>55.308089175900619</v>
      </c>
      <c r="AA13" s="6"/>
      <c r="AB13" s="6">
        <f t="shared" si="0"/>
        <v>48435.353999999999</v>
      </c>
      <c r="AC13" s="6">
        <f t="shared" si="1"/>
        <v>0</v>
      </c>
      <c r="AD13" s="6">
        <f t="shared" ca="1" si="2"/>
        <v>47954.224355232953</v>
      </c>
      <c r="AE13" s="6">
        <f t="shared" ca="1" si="3"/>
        <v>0</v>
      </c>
      <c r="AF13" s="4" t="s">
        <v>997</v>
      </c>
    </row>
    <row r="14" spans="1:36" ht="11.25" customHeight="1" x14ac:dyDescent="0.25">
      <c r="A14" s="4" t="s">
        <v>21</v>
      </c>
      <c r="B14" s="4" t="s">
        <v>39</v>
      </c>
      <c r="C14" s="4" t="s">
        <v>40</v>
      </c>
      <c r="D14" s="4" t="s">
        <v>38</v>
      </c>
      <c r="E14" s="4" t="s">
        <v>25</v>
      </c>
      <c r="F14" s="4" t="s">
        <v>61</v>
      </c>
      <c r="G14" s="4" t="s">
        <v>25</v>
      </c>
      <c r="H14" s="4" t="s">
        <v>25</v>
      </c>
      <c r="I14" s="5">
        <v>44409</v>
      </c>
      <c r="J14" s="6">
        <v>0</v>
      </c>
      <c r="K14" s="6">
        <v>0</v>
      </c>
      <c r="L14" s="6">
        <v>1322.09</v>
      </c>
      <c r="M14" s="6">
        <v>1322.09</v>
      </c>
      <c r="N14" s="6">
        <v>0</v>
      </c>
      <c r="O14" s="6">
        <v>0</v>
      </c>
      <c r="P14" s="6">
        <v>4</v>
      </c>
      <c r="Q14" s="4" t="s">
        <v>58</v>
      </c>
      <c r="R14" s="4">
        <v>0</v>
      </c>
      <c r="S14" s="4">
        <v>0</v>
      </c>
      <c r="T14" s="4">
        <v>5</v>
      </c>
      <c r="U14" s="4">
        <v>0</v>
      </c>
      <c r="V14" s="6">
        <f>IF(ISERROR(VLOOKUP($S$14,'TAR FIN'!$A$1:$O$104,15,0)),0,VLOOKUP($S$14,'TAR FIN'!$A$1:$O$104,15,0))</f>
        <v>0</v>
      </c>
      <c r="W14" s="6">
        <f>IF(ISERROR(VLOOKUP($T$14,'TAR FIN'!$A$1:$O$104,15,0)),0,VLOOKUP($T$14,'TAR FIN'!$A$1:$O$104,15,0))</f>
        <v>41.95</v>
      </c>
      <c r="X14" s="6">
        <f>IF(ISERROR(VLOOKUP($U$14,'TAR FIN'!$A$1:$O$104,15,0)),0,VLOOKUP($U$14,'TAR FIN'!$A$1:$O$104,15,0))</f>
        <v>0</v>
      </c>
      <c r="Y14" s="6"/>
      <c r="Z14" s="6">
        <f ca="1">('TUSD BE'!$AM$7+'TUSD BF'!$AM$7+'TUSD CVA'!$AM$7)*1</f>
        <v>55.308089175900619</v>
      </c>
      <c r="AA14" s="6"/>
      <c r="AB14" s="6">
        <f t="shared" si="0"/>
        <v>0</v>
      </c>
      <c r="AC14" s="6">
        <f t="shared" si="1"/>
        <v>0</v>
      </c>
      <c r="AD14" s="6">
        <f t="shared" si="2"/>
        <v>0</v>
      </c>
      <c r="AE14" s="6">
        <f t="shared" ca="1" si="3"/>
        <v>0</v>
      </c>
      <c r="AF14" s="4" t="s">
        <v>997</v>
      </c>
    </row>
    <row r="15" spans="1:36" ht="11.25" customHeight="1" x14ac:dyDescent="0.25">
      <c r="A15" s="4" t="s">
        <v>21</v>
      </c>
      <c r="B15" s="4" t="s">
        <v>39</v>
      </c>
      <c r="C15" s="4" t="s">
        <v>40</v>
      </c>
      <c r="D15" s="4" t="s">
        <v>38</v>
      </c>
      <c r="E15" s="4" t="s">
        <v>25</v>
      </c>
      <c r="F15" s="4" t="s">
        <v>61</v>
      </c>
      <c r="G15" s="4" t="s">
        <v>25</v>
      </c>
      <c r="H15" s="4" t="s">
        <v>25</v>
      </c>
      <c r="I15" s="5">
        <v>44440</v>
      </c>
      <c r="J15" s="6">
        <v>0</v>
      </c>
      <c r="K15" s="6">
        <v>0</v>
      </c>
      <c r="L15" s="6">
        <v>1296.7840000000001</v>
      </c>
      <c r="M15" s="6">
        <v>1296.7840000000001</v>
      </c>
      <c r="N15" s="6">
        <v>0</v>
      </c>
      <c r="O15" s="6">
        <v>0</v>
      </c>
      <c r="P15" s="6">
        <v>4</v>
      </c>
      <c r="Q15" s="4" t="s">
        <v>58</v>
      </c>
      <c r="R15" s="4">
        <v>0</v>
      </c>
      <c r="S15" s="4">
        <v>0</v>
      </c>
      <c r="T15" s="4">
        <v>5</v>
      </c>
      <c r="U15" s="4">
        <v>0</v>
      </c>
      <c r="V15" s="6">
        <f>IF(ISERROR(VLOOKUP($S$15,'TAR FIN'!$A$1:$O$104,15,0)),0,VLOOKUP($S$15,'TAR FIN'!$A$1:$O$104,15,0))</f>
        <v>0</v>
      </c>
      <c r="W15" s="6">
        <f>IF(ISERROR(VLOOKUP($T$15,'TAR FIN'!$A$1:$O$104,15,0)),0,VLOOKUP($T$15,'TAR FIN'!$A$1:$O$104,15,0))</f>
        <v>41.95</v>
      </c>
      <c r="X15" s="6">
        <f>IF(ISERROR(VLOOKUP($U$15,'TAR FIN'!$A$1:$O$104,15,0)),0,VLOOKUP($U$15,'TAR FIN'!$A$1:$O$104,15,0))</f>
        <v>0</v>
      </c>
      <c r="Y15" s="6"/>
      <c r="Z15" s="6">
        <f ca="1">('TUSD BE'!$AM$7+'TUSD BF'!$AM$7+'TUSD CVA'!$AM$7)*1</f>
        <v>55.308089175900619</v>
      </c>
      <c r="AA15" s="6"/>
      <c r="AB15" s="6">
        <f t="shared" si="0"/>
        <v>0</v>
      </c>
      <c r="AC15" s="6">
        <f t="shared" si="1"/>
        <v>0</v>
      </c>
      <c r="AD15" s="6">
        <f t="shared" si="2"/>
        <v>0</v>
      </c>
      <c r="AE15" s="6">
        <f t="shared" ca="1" si="3"/>
        <v>0</v>
      </c>
      <c r="AF15" s="4" t="s">
        <v>997</v>
      </c>
    </row>
    <row r="16" spans="1:36" ht="11.25" customHeight="1" x14ac:dyDescent="0.25">
      <c r="A16" s="4" t="s">
        <v>21</v>
      </c>
      <c r="B16" s="4" t="s">
        <v>39</v>
      </c>
      <c r="C16" s="4" t="s">
        <v>40</v>
      </c>
      <c r="D16" s="4" t="s">
        <v>38</v>
      </c>
      <c r="E16" s="4" t="s">
        <v>25</v>
      </c>
      <c r="F16" s="4" t="s">
        <v>61</v>
      </c>
      <c r="G16" s="4" t="s">
        <v>25</v>
      </c>
      <c r="H16" s="4" t="s">
        <v>25</v>
      </c>
      <c r="I16" s="5">
        <v>44470</v>
      </c>
      <c r="J16" s="6">
        <v>0</v>
      </c>
      <c r="K16" s="6">
        <v>0</v>
      </c>
      <c r="L16" s="6">
        <v>1202.2439999999999</v>
      </c>
      <c r="M16" s="6">
        <v>1202.2439999999999</v>
      </c>
      <c r="N16" s="6">
        <v>0</v>
      </c>
      <c r="O16" s="6">
        <v>0</v>
      </c>
      <c r="P16" s="6">
        <v>4</v>
      </c>
      <c r="Q16" s="4" t="s">
        <v>58</v>
      </c>
      <c r="R16" s="4">
        <v>0</v>
      </c>
      <c r="S16" s="4">
        <v>0</v>
      </c>
      <c r="T16" s="4">
        <v>5</v>
      </c>
      <c r="U16" s="4">
        <v>0</v>
      </c>
      <c r="V16" s="6">
        <f>IF(ISERROR(VLOOKUP($S$16,'TAR FIN'!$A$1:$O$104,15,0)),0,VLOOKUP($S$16,'TAR FIN'!$A$1:$O$104,15,0))</f>
        <v>0</v>
      </c>
      <c r="W16" s="6">
        <f>IF(ISERROR(VLOOKUP($T$16,'TAR FIN'!$A$1:$O$104,15,0)),0,VLOOKUP($T$16,'TAR FIN'!$A$1:$O$104,15,0))</f>
        <v>41.95</v>
      </c>
      <c r="X16" s="6">
        <f>IF(ISERROR(VLOOKUP($U$16,'TAR FIN'!$A$1:$O$104,15,0)),0,VLOOKUP($U$16,'TAR FIN'!$A$1:$O$104,15,0))</f>
        <v>0</v>
      </c>
      <c r="Y16" s="6"/>
      <c r="Z16" s="6">
        <f ca="1">('TUSD BE'!$AM$7+'TUSD BF'!$AM$7+'TUSD CVA'!$AM$7)*1</f>
        <v>55.308089175900619</v>
      </c>
      <c r="AA16" s="6"/>
      <c r="AB16" s="6">
        <f t="shared" si="0"/>
        <v>0</v>
      </c>
      <c r="AC16" s="6">
        <f t="shared" si="1"/>
        <v>0</v>
      </c>
      <c r="AD16" s="6">
        <f t="shared" si="2"/>
        <v>0</v>
      </c>
      <c r="AE16" s="6">
        <f t="shared" ca="1" si="3"/>
        <v>0</v>
      </c>
      <c r="AF16" s="4" t="s">
        <v>997</v>
      </c>
    </row>
    <row r="17" spans="1:32" ht="11.25" customHeight="1" x14ac:dyDescent="0.25">
      <c r="A17" s="4" t="s">
        <v>21</v>
      </c>
      <c r="B17" s="4" t="s">
        <v>39</v>
      </c>
      <c r="C17" s="4" t="s">
        <v>40</v>
      </c>
      <c r="D17" s="4" t="s">
        <v>38</v>
      </c>
      <c r="E17" s="4" t="s">
        <v>25</v>
      </c>
      <c r="F17" s="4" t="s">
        <v>61</v>
      </c>
      <c r="G17" s="4" t="s">
        <v>25</v>
      </c>
      <c r="H17" s="4" t="s">
        <v>25</v>
      </c>
      <c r="I17" s="5">
        <v>44501</v>
      </c>
      <c r="J17" s="6">
        <v>0</v>
      </c>
      <c r="K17" s="6">
        <v>0</v>
      </c>
      <c r="L17" s="6">
        <v>3153.1880000000001</v>
      </c>
      <c r="M17" s="6">
        <v>3153.1880000000001</v>
      </c>
      <c r="N17" s="6">
        <v>0</v>
      </c>
      <c r="O17" s="6">
        <v>0</v>
      </c>
      <c r="P17" s="6">
        <v>5</v>
      </c>
      <c r="Q17" s="4" t="s">
        <v>58</v>
      </c>
      <c r="R17" s="4">
        <v>0</v>
      </c>
      <c r="S17" s="4">
        <v>0</v>
      </c>
      <c r="T17" s="4">
        <v>5</v>
      </c>
      <c r="U17" s="4">
        <v>0</v>
      </c>
      <c r="V17" s="6">
        <f>IF(ISERROR(VLOOKUP($S$17,'TAR FIN'!$A$1:$O$104,15,0)),0,VLOOKUP($S$17,'TAR FIN'!$A$1:$O$104,15,0))</f>
        <v>0</v>
      </c>
      <c r="W17" s="6">
        <f>IF(ISERROR(VLOOKUP($T$17,'TAR FIN'!$A$1:$O$104,15,0)),0,VLOOKUP($T$17,'TAR FIN'!$A$1:$O$104,15,0))</f>
        <v>41.95</v>
      </c>
      <c r="X17" s="6">
        <f>IF(ISERROR(VLOOKUP($U$17,'TAR FIN'!$A$1:$O$104,15,0)),0,VLOOKUP($U$17,'TAR FIN'!$A$1:$O$104,15,0))</f>
        <v>0</v>
      </c>
      <c r="Y17" s="6"/>
      <c r="Z17" s="6">
        <f ca="1">('TUSD BE'!$AM$7+'TUSD BF'!$AM$7+'TUSD CVA'!$AM$7)*1</f>
        <v>55.308089175900619</v>
      </c>
      <c r="AA17" s="6"/>
      <c r="AB17" s="6">
        <f t="shared" si="0"/>
        <v>0</v>
      </c>
      <c r="AC17" s="6">
        <f t="shared" si="1"/>
        <v>0</v>
      </c>
      <c r="AD17" s="6">
        <f t="shared" si="2"/>
        <v>0</v>
      </c>
      <c r="AE17" s="6">
        <f t="shared" ca="1" si="3"/>
        <v>0</v>
      </c>
      <c r="AF17" s="4" t="s">
        <v>997</v>
      </c>
    </row>
    <row r="18" spans="1:32" ht="11.25" customHeight="1" x14ac:dyDescent="0.25">
      <c r="A18" s="4" t="s">
        <v>21</v>
      </c>
      <c r="B18" s="4" t="s">
        <v>39</v>
      </c>
      <c r="C18" s="4" t="s">
        <v>40</v>
      </c>
      <c r="D18" s="4" t="s">
        <v>38</v>
      </c>
      <c r="E18" s="4" t="s">
        <v>25</v>
      </c>
      <c r="F18" s="4" t="s">
        <v>61</v>
      </c>
      <c r="G18" s="4" t="s">
        <v>25</v>
      </c>
      <c r="H18" s="4" t="s">
        <v>25</v>
      </c>
      <c r="I18" s="5">
        <v>44531</v>
      </c>
      <c r="J18" s="6">
        <v>0</v>
      </c>
      <c r="K18" s="6">
        <v>0</v>
      </c>
      <c r="L18" s="6">
        <v>2288.6550000000002</v>
      </c>
      <c r="M18" s="6">
        <v>2288.6550000000002</v>
      </c>
      <c r="N18" s="6">
        <v>0</v>
      </c>
      <c r="O18" s="6">
        <v>0</v>
      </c>
      <c r="P18" s="6">
        <v>4</v>
      </c>
      <c r="Q18" s="4" t="s">
        <v>58</v>
      </c>
      <c r="R18" s="4">
        <v>0</v>
      </c>
      <c r="S18" s="4">
        <v>0</v>
      </c>
      <c r="T18" s="4">
        <v>5</v>
      </c>
      <c r="U18" s="4">
        <v>0</v>
      </c>
      <c r="V18" s="6">
        <f>IF(ISERROR(VLOOKUP($S$18,'TAR FIN'!$A$1:$O$104,15,0)),0,VLOOKUP($S$18,'TAR FIN'!$A$1:$O$104,15,0))</f>
        <v>0</v>
      </c>
      <c r="W18" s="6">
        <f>IF(ISERROR(VLOOKUP($T$18,'TAR FIN'!$A$1:$O$104,15,0)),0,VLOOKUP($T$18,'TAR FIN'!$A$1:$O$104,15,0))</f>
        <v>41.95</v>
      </c>
      <c r="X18" s="6">
        <f>IF(ISERROR(VLOOKUP($U$18,'TAR FIN'!$A$1:$O$104,15,0)),0,VLOOKUP($U$18,'TAR FIN'!$A$1:$O$104,15,0))</f>
        <v>0</v>
      </c>
      <c r="Y18" s="6"/>
      <c r="Z18" s="6">
        <f ca="1">('TUSD BE'!$AM$7+'TUSD BF'!$AM$7+'TUSD CVA'!$AM$7)*1</f>
        <v>55.308089175900619</v>
      </c>
      <c r="AA18" s="6"/>
      <c r="AB18" s="6">
        <f t="shared" si="0"/>
        <v>0</v>
      </c>
      <c r="AC18" s="6">
        <f t="shared" si="1"/>
        <v>0</v>
      </c>
      <c r="AD18" s="6">
        <f t="shared" si="2"/>
        <v>0</v>
      </c>
      <c r="AE18" s="6">
        <f t="shared" ca="1" si="3"/>
        <v>0</v>
      </c>
      <c r="AF18" s="4" t="s">
        <v>997</v>
      </c>
    </row>
    <row r="19" spans="1:32" ht="11.25" customHeight="1" x14ac:dyDescent="0.25">
      <c r="A19" s="4" t="s">
        <v>21</v>
      </c>
      <c r="B19" s="4" t="s">
        <v>39</v>
      </c>
      <c r="C19" s="4" t="s">
        <v>40</v>
      </c>
      <c r="D19" s="4" t="s">
        <v>38</v>
      </c>
      <c r="E19" s="4" t="s">
        <v>25</v>
      </c>
      <c r="F19" s="4" t="s">
        <v>61</v>
      </c>
      <c r="G19" s="4" t="s">
        <v>25</v>
      </c>
      <c r="H19" s="4" t="s">
        <v>25</v>
      </c>
      <c r="I19" s="5">
        <v>44562</v>
      </c>
      <c r="J19" s="6">
        <v>0</v>
      </c>
      <c r="K19" s="6">
        <v>0</v>
      </c>
      <c r="L19" s="6">
        <v>2190.7370000000001</v>
      </c>
      <c r="M19" s="6">
        <v>2190.7370000000001</v>
      </c>
      <c r="N19" s="6">
        <v>0</v>
      </c>
      <c r="O19" s="6">
        <v>0</v>
      </c>
      <c r="P19" s="6">
        <v>4</v>
      </c>
      <c r="Q19" s="4" t="s">
        <v>58</v>
      </c>
      <c r="R19" s="4">
        <v>0</v>
      </c>
      <c r="S19" s="4">
        <v>0</v>
      </c>
      <c r="T19" s="4">
        <v>5</v>
      </c>
      <c r="U19" s="4">
        <v>0</v>
      </c>
      <c r="V19" s="6">
        <f>IF(ISERROR(VLOOKUP($S$19,'TAR FIN'!$A$1:$O$104,15,0)),0,VLOOKUP($S$19,'TAR FIN'!$A$1:$O$104,15,0))</f>
        <v>0</v>
      </c>
      <c r="W19" s="6">
        <f>IF(ISERROR(VLOOKUP($T$19,'TAR FIN'!$A$1:$O$104,15,0)),0,VLOOKUP($T$19,'TAR FIN'!$A$1:$O$104,15,0))</f>
        <v>41.95</v>
      </c>
      <c r="X19" s="6">
        <f>IF(ISERROR(VLOOKUP($U$19,'TAR FIN'!$A$1:$O$104,15,0)),0,VLOOKUP($U$19,'TAR FIN'!$A$1:$O$104,15,0))</f>
        <v>0</v>
      </c>
      <c r="Y19" s="6"/>
      <c r="Z19" s="6">
        <f ca="1">('TUSD BE'!$AM$7+'TUSD BF'!$AM$7+'TUSD CVA'!$AM$7)*1</f>
        <v>55.308089175900619</v>
      </c>
      <c r="AA19" s="6"/>
      <c r="AB19" s="6">
        <f t="shared" si="0"/>
        <v>0</v>
      </c>
      <c r="AC19" s="6">
        <f t="shared" si="1"/>
        <v>0</v>
      </c>
      <c r="AD19" s="6">
        <f t="shared" si="2"/>
        <v>0</v>
      </c>
      <c r="AE19" s="6">
        <f t="shared" ca="1" si="3"/>
        <v>0</v>
      </c>
      <c r="AF19" s="4" t="s">
        <v>997</v>
      </c>
    </row>
    <row r="20" spans="1:32" ht="11.25" customHeight="1" x14ac:dyDescent="0.25">
      <c r="A20" s="4" t="s">
        <v>21</v>
      </c>
      <c r="B20" s="4" t="s">
        <v>39</v>
      </c>
      <c r="C20" s="4" t="s">
        <v>40</v>
      </c>
      <c r="D20" s="4" t="s">
        <v>38</v>
      </c>
      <c r="E20" s="4" t="s">
        <v>25</v>
      </c>
      <c r="F20" s="4" t="s">
        <v>61</v>
      </c>
      <c r="G20" s="4" t="s">
        <v>25</v>
      </c>
      <c r="H20" s="4" t="s">
        <v>25</v>
      </c>
      <c r="I20" s="5">
        <v>44593</v>
      </c>
      <c r="J20" s="6">
        <v>0</v>
      </c>
      <c r="K20" s="6">
        <v>0</v>
      </c>
      <c r="L20" s="6">
        <v>1980.68</v>
      </c>
      <c r="M20" s="6">
        <v>1980.68</v>
      </c>
      <c r="N20" s="6">
        <v>0</v>
      </c>
      <c r="O20" s="6">
        <v>0</v>
      </c>
      <c r="P20" s="6">
        <v>4</v>
      </c>
      <c r="Q20" s="4" t="s">
        <v>58</v>
      </c>
      <c r="R20" s="4">
        <v>0</v>
      </c>
      <c r="S20" s="4">
        <v>0</v>
      </c>
      <c r="T20" s="4">
        <v>5</v>
      </c>
      <c r="U20" s="4">
        <v>0</v>
      </c>
      <c r="V20" s="6">
        <f>IF(ISERROR(VLOOKUP($S$20,'TAR FIN'!$A$1:$O$104,15,0)),0,VLOOKUP($S$20,'TAR FIN'!$A$1:$O$104,15,0))</f>
        <v>0</v>
      </c>
      <c r="W20" s="6">
        <f>IF(ISERROR(VLOOKUP($T$20,'TAR FIN'!$A$1:$O$104,15,0)),0,VLOOKUP($T$20,'TAR FIN'!$A$1:$O$104,15,0))</f>
        <v>41.95</v>
      </c>
      <c r="X20" s="6">
        <f>IF(ISERROR(VLOOKUP($U$20,'TAR FIN'!$A$1:$O$104,15,0)),0,VLOOKUP($U$20,'TAR FIN'!$A$1:$O$104,15,0))</f>
        <v>0</v>
      </c>
      <c r="Y20" s="6"/>
      <c r="Z20" s="6">
        <f ca="1">('TUSD BE'!$AM$7+'TUSD BF'!$AM$7+'TUSD CVA'!$AM$7)*1</f>
        <v>55.308089175900619</v>
      </c>
      <c r="AA20" s="6"/>
      <c r="AB20" s="6">
        <f t="shared" si="0"/>
        <v>0</v>
      </c>
      <c r="AC20" s="6">
        <f t="shared" si="1"/>
        <v>0</v>
      </c>
      <c r="AD20" s="6">
        <f t="shared" si="2"/>
        <v>0</v>
      </c>
      <c r="AE20" s="6">
        <f t="shared" ca="1" si="3"/>
        <v>0</v>
      </c>
      <c r="AF20" s="4" t="s">
        <v>997</v>
      </c>
    </row>
    <row r="21" spans="1:32" ht="11.25" customHeight="1" x14ac:dyDescent="0.25">
      <c r="A21" s="4" t="s">
        <v>21</v>
      </c>
      <c r="B21" s="4" t="s">
        <v>39</v>
      </c>
      <c r="C21" s="4" t="s">
        <v>40</v>
      </c>
      <c r="D21" s="4" t="s">
        <v>38</v>
      </c>
      <c r="E21" s="4" t="s">
        <v>25</v>
      </c>
      <c r="F21" s="4" t="s">
        <v>61</v>
      </c>
      <c r="G21" s="4" t="s">
        <v>25</v>
      </c>
      <c r="H21" s="4" t="s">
        <v>25</v>
      </c>
      <c r="I21" s="5">
        <v>44621</v>
      </c>
      <c r="J21" s="6">
        <v>0</v>
      </c>
      <c r="K21" s="6">
        <v>0</v>
      </c>
      <c r="L21" s="6">
        <v>1640.53</v>
      </c>
      <c r="M21" s="6">
        <v>1640.53</v>
      </c>
      <c r="N21" s="6">
        <v>0</v>
      </c>
      <c r="O21" s="6">
        <v>0</v>
      </c>
      <c r="P21" s="6">
        <v>4</v>
      </c>
      <c r="Q21" s="4" t="s">
        <v>58</v>
      </c>
      <c r="R21" s="4">
        <v>0</v>
      </c>
      <c r="S21" s="4">
        <v>0</v>
      </c>
      <c r="T21" s="4">
        <v>5</v>
      </c>
      <c r="U21" s="4">
        <v>0</v>
      </c>
      <c r="V21" s="6">
        <f>IF(ISERROR(VLOOKUP($S$21,'TAR FIN'!$A$1:$O$104,15,0)),0,VLOOKUP($S$21,'TAR FIN'!$A$1:$O$104,15,0))</f>
        <v>0</v>
      </c>
      <c r="W21" s="6">
        <f>IF(ISERROR(VLOOKUP($T$21,'TAR FIN'!$A$1:$O$104,15,0)),0,VLOOKUP($T$21,'TAR FIN'!$A$1:$O$104,15,0))</f>
        <v>41.95</v>
      </c>
      <c r="X21" s="6">
        <f>IF(ISERROR(VLOOKUP($U$21,'TAR FIN'!$A$1:$O$104,15,0)),0,VLOOKUP($U$21,'TAR FIN'!$A$1:$O$104,15,0))</f>
        <v>0</v>
      </c>
      <c r="Y21" s="6"/>
      <c r="Z21" s="6">
        <f ca="1">('TUSD BE'!$AM$7+'TUSD BF'!$AM$7+'TUSD CVA'!$AM$7)*1</f>
        <v>55.308089175900619</v>
      </c>
      <c r="AA21" s="6"/>
      <c r="AB21" s="6">
        <f t="shared" si="0"/>
        <v>0</v>
      </c>
      <c r="AC21" s="6">
        <f t="shared" si="1"/>
        <v>0</v>
      </c>
      <c r="AD21" s="6">
        <f t="shared" si="2"/>
        <v>0</v>
      </c>
      <c r="AE21" s="6">
        <f t="shared" ca="1" si="3"/>
        <v>0</v>
      </c>
      <c r="AF21" s="4" t="s">
        <v>997</v>
      </c>
    </row>
    <row r="22" spans="1:32" ht="11.25" customHeight="1" x14ac:dyDescent="0.25">
      <c r="A22" s="4" t="s">
        <v>21</v>
      </c>
      <c r="B22" s="4" t="s">
        <v>39</v>
      </c>
      <c r="C22" s="4" t="s">
        <v>40</v>
      </c>
      <c r="D22" s="4" t="s">
        <v>38</v>
      </c>
      <c r="E22" s="4" t="s">
        <v>25</v>
      </c>
      <c r="F22" s="4" t="s">
        <v>61</v>
      </c>
      <c r="G22" s="4" t="s">
        <v>25</v>
      </c>
      <c r="H22" s="4" t="s">
        <v>25</v>
      </c>
      <c r="I22" s="5">
        <v>44652</v>
      </c>
      <c r="J22" s="6">
        <v>0</v>
      </c>
      <c r="K22" s="6">
        <v>0</v>
      </c>
      <c r="L22" s="6">
        <v>2244.9459999999999</v>
      </c>
      <c r="M22" s="6">
        <v>2244.9459999999999</v>
      </c>
      <c r="N22" s="6">
        <v>0</v>
      </c>
      <c r="O22" s="6">
        <v>0</v>
      </c>
      <c r="P22" s="6">
        <v>4</v>
      </c>
      <c r="Q22" s="4" t="s">
        <v>58</v>
      </c>
      <c r="R22" s="4">
        <v>0</v>
      </c>
      <c r="S22" s="4">
        <v>0</v>
      </c>
      <c r="T22" s="4">
        <v>5</v>
      </c>
      <c r="U22" s="4">
        <v>0</v>
      </c>
      <c r="V22" s="6">
        <f>IF(ISERROR(VLOOKUP($S$22,'TAR FIN'!$A$1:$O$104,15,0)),0,VLOOKUP($S$22,'TAR FIN'!$A$1:$O$104,15,0))</f>
        <v>0</v>
      </c>
      <c r="W22" s="6">
        <f>IF(ISERROR(VLOOKUP($T$22,'TAR FIN'!$A$1:$O$104,15,0)),0,VLOOKUP($T$22,'TAR FIN'!$A$1:$O$104,15,0))</f>
        <v>41.95</v>
      </c>
      <c r="X22" s="6">
        <f>IF(ISERROR(VLOOKUP($U$22,'TAR FIN'!$A$1:$O$104,15,0)),0,VLOOKUP($U$22,'TAR FIN'!$A$1:$O$104,15,0))</f>
        <v>0</v>
      </c>
      <c r="Y22" s="6"/>
      <c r="Z22" s="6">
        <f ca="1">('TUSD BE'!$AM$7+'TUSD BF'!$AM$7+'TUSD CVA'!$AM$7)*1</f>
        <v>55.308089175900619</v>
      </c>
      <c r="AA22" s="6"/>
      <c r="AB22" s="6">
        <f t="shared" si="0"/>
        <v>0</v>
      </c>
      <c r="AC22" s="6">
        <f t="shared" si="1"/>
        <v>0</v>
      </c>
      <c r="AD22" s="6">
        <f t="shared" si="2"/>
        <v>0</v>
      </c>
      <c r="AE22" s="6">
        <f t="shared" ca="1" si="3"/>
        <v>0</v>
      </c>
      <c r="AF22" s="4" t="s">
        <v>997</v>
      </c>
    </row>
    <row r="23" spans="1:32" ht="11.25" customHeight="1" x14ac:dyDescent="0.25">
      <c r="A23" s="4" t="s">
        <v>21</v>
      </c>
      <c r="B23" s="4" t="s">
        <v>39</v>
      </c>
      <c r="C23" s="4" t="s">
        <v>40</v>
      </c>
      <c r="D23" s="4" t="s">
        <v>38</v>
      </c>
      <c r="E23" s="4" t="s">
        <v>25</v>
      </c>
      <c r="F23" s="4" t="s">
        <v>61</v>
      </c>
      <c r="G23" s="4" t="s">
        <v>25</v>
      </c>
      <c r="H23" s="4" t="s">
        <v>25</v>
      </c>
      <c r="I23" s="5">
        <v>44682</v>
      </c>
      <c r="J23" s="6">
        <v>0</v>
      </c>
      <c r="K23" s="6">
        <v>0</v>
      </c>
      <c r="L23" s="6">
        <v>2199.9859999999999</v>
      </c>
      <c r="M23" s="6">
        <v>2199.9859999999999</v>
      </c>
      <c r="N23" s="6">
        <v>0</v>
      </c>
      <c r="O23" s="6">
        <v>0</v>
      </c>
      <c r="P23" s="6">
        <v>4</v>
      </c>
      <c r="Q23" s="4" t="s">
        <v>58</v>
      </c>
      <c r="R23" s="4">
        <v>0</v>
      </c>
      <c r="S23" s="4">
        <v>0</v>
      </c>
      <c r="T23" s="4">
        <v>5</v>
      </c>
      <c r="U23" s="4">
        <v>0</v>
      </c>
      <c r="V23" s="6">
        <f>IF(ISERROR(VLOOKUP($S$23,'TAR FIN'!$A$1:$O$104,15,0)),0,VLOOKUP($S$23,'TAR FIN'!$A$1:$O$104,15,0))</f>
        <v>0</v>
      </c>
      <c r="W23" s="6">
        <f>IF(ISERROR(VLOOKUP($T$23,'TAR FIN'!$A$1:$O$104,15,0)),0,VLOOKUP($T$23,'TAR FIN'!$A$1:$O$104,15,0))</f>
        <v>41.95</v>
      </c>
      <c r="X23" s="6">
        <f>IF(ISERROR(VLOOKUP($U$23,'TAR FIN'!$A$1:$O$104,15,0)),0,VLOOKUP($U$23,'TAR FIN'!$A$1:$O$104,15,0))</f>
        <v>0</v>
      </c>
      <c r="Y23" s="6"/>
      <c r="Z23" s="6">
        <f ca="1">('TUSD BE'!$AM$7+'TUSD BF'!$AM$7+'TUSD CVA'!$AM$7)*1</f>
        <v>55.308089175900619</v>
      </c>
      <c r="AA23" s="6"/>
      <c r="AB23" s="6">
        <f t="shared" si="0"/>
        <v>0</v>
      </c>
      <c r="AC23" s="6">
        <f t="shared" si="1"/>
        <v>0</v>
      </c>
      <c r="AD23" s="6">
        <f t="shared" si="2"/>
        <v>0</v>
      </c>
      <c r="AE23" s="6">
        <f t="shared" ca="1" si="3"/>
        <v>0</v>
      </c>
      <c r="AF23" s="4" t="s">
        <v>997</v>
      </c>
    </row>
    <row r="24" spans="1:32" ht="11.25" customHeight="1" x14ac:dyDescent="0.25">
      <c r="A24" s="4" t="s">
        <v>21</v>
      </c>
      <c r="B24" s="4" t="s">
        <v>39</v>
      </c>
      <c r="C24" s="4" t="s">
        <v>40</v>
      </c>
      <c r="D24" s="4" t="s">
        <v>38</v>
      </c>
      <c r="E24" s="4" t="s">
        <v>25</v>
      </c>
      <c r="F24" s="4" t="s">
        <v>61</v>
      </c>
      <c r="G24" s="4" t="s">
        <v>25</v>
      </c>
      <c r="H24" s="4" t="s">
        <v>25</v>
      </c>
      <c r="I24" s="5">
        <v>44713</v>
      </c>
      <c r="J24" s="6">
        <v>0</v>
      </c>
      <c r="K24" s="6">
        <v>0</v>
      </c>
      <c r="L24" s="6">
        <v>2167.8310000000001</v>
      </c>
      <c r="M24" s="6">
        <v>2167.8310000000001</v>
      </c>
      <c r="N24" s="6">
        <v>0</v>
      </c>
      <c r="O24" s="6">
        <v>0</v>
      </c>
      <c r="P24" s="6">
        <v>4</v>
      </c>
      <c r="Q24" s="4" t="s">
        <v>58</v>
      </c>
      <c r="R24" s="4">
        <v>0</v>
      </c>
      <c r="S24" s="4">
        <v>0</v>
      </c>
      <c r="T24" s="4">
        <v>5</v>
      </c>
      <c r="U24" s="4">
        <v>0</v>
      </c>
      <c r="V24" s="6">
        <f>IF(ISERROR(VLOOKUP($S$24,'TAR FIN'!$A$1:$O$104,15,0)),0,VLOOKUP($S$24,'TAR FIN'!$A$1:$O$104,15,0))</f>
        <v>0</v>
      </c>
      <c r="W24" s="6">
        <f>IF(ISERROR(VLOOKUP($T$24,'TAR FIN'!$A$1:$O$104,15,0)),0,VLOOKUP($T$24,'TAR FIN'!$A$1:$O$104,15,0))</f>
        <v>41.95</v>
      </c>
      <c r="X24" s="6">
        <f>IF(ISERROR(VLOOKUP($U$24,'TAR FIN'!$A$1:$O$104,15,0)),0,VLOOKUP($U$24,'TAR FIN'!$A$1:$O$104,15,0))</f>
        <v>0</v>
      </c>
      <c r="Y24" s="6"/>
      <c r="Z24" s="6">
        <f ca="1">('TUSD BE'!$AM$7+'TUSD BF'!$AM$7+'TUSD CVA'!$AM$7)*1</f>
        <v>55.308089175900619</v>
      </c>
      <c r="AA24" s="6"/>
      <c r="AB24" s="6">
        <f t="shared" si="0"/>
        <v>0</v>
      </c>
      <c r="AC24" s="6">
        <f t="shared" si="1"/>
        <v>0</v>
      </c>
      <c r="AD24" s="6">
        <f t="shared" si="2"/>
        <v>0</v>
      </c>
      <c r="AE24" s="6">
        <f t="shared" ca="1" si="3"/>
        <v>0</v>
      </c>
      <c r="AF24" s="4" t="s">
        <v>997</v>
      </c>
    </row>
    <row r="25" spans="1:32" ht="11.25" customHeight="1" x14ac:dyDescent="0.25">
      <c r="A25" s="4" t="s">
        <v>57</v>
      </c>
      <c r="B25" s="4" t="s">
        <v>39</v>
      </c>
      <c r="C25" s="4" t="s">
        <v>40</v>
      </c>
      <c r="D25" s="4" t="s">
        <v>38</v>
      </c>
      <c r="E25" s="4" t="s">
        <v>25</v>
      </c>
      <c r="F25" s="4" t="s">
        <v>61</v>
      </c>
      <c r="G25" s="4" t="s">
        <v>25</v>
      </c>
      <c r="H25" s="4" t="s">
        <v>25</v>
      </c>
      <c r="I25" s="5">
        <v>44743</v>
      </c>
      <c r="J25" s="6">
        <v>0</v>
      </c>
      <c r="K25" s="6">
        <v>0</v>
      </c>
      <c r="L25" s="6">
        <v>2167.8310000000001</v>
      </c>
      <c r="M25" s="6">
        <v>2167.8310000000001</v>
      </c>
      <c r="N25" s="6">
        <v>0</v>
      </c>
      <c r="O25" s="6">
        <v>0</v>
      </c>
      <c r="P25" s="6">
        <v>4</v>
      </c>
      <c r="Q25" s="4" t="s">
        <v>58</v>
      </c>
      <c r="R25" s="4">
        <v>0</v>
      </c>
      <c r="S25" s="4">
        <v>0</v>
      </c>
      <c r="T25" s="4">
        <v>5</v>
      </c>
      <c r="U25" s="4">
        <v>0</v>
      </c>
      <c r="V25" s="6">
        <f>IF(ISERROR(VLOOKUP($S$25,'TAR FIN'!$A$1:$O$104,15,0)),0,VLOOKUP($S$25,'TAR FIN'!$A$1:$O$104,15,0))</f>
        <v>0</v>
      </c>
      <c r="W25" s="6">
        <f>IF(ISERROR(VLOOKUP($T$25,'TAR FIN'!$A$1:$O$104,15,0)),0,VLOOKUP($T$25,'TAR FIN'!$A$1:$O$104,15,0))</f>
        <v>41.95</v>
      </c>
      <c r="X25" s="6">
        <f>IF(ISERROR(VLOOKUP($U$25,'TAR FIN'!$A$1:$O$104,15,0)),0,VLOOKUP($U$25,'TAR FIN'!$A$1:$O$104,15,0))</f>
        <v>0</v>
      </c>
      <c r="Y25" s="6"/>
      <c r="Z25" s="6">
        <f ca="1">('TUSD BE'!$AM$7+'TUSD BF'!$AM$7+'TUSD CVA'!$AM$7)*1</f>
        <v>55.308089175900619</v>
      </c>
      <c r="AA25" s="6"/>
      <c r="AB25" s="6">
        <f t="shared" si="0"/>
        <v>0</v>
      </c>
      <c r="AC25" s="6">
        <f t="shared" si="1"/>
        <v>0</v>
      </c>
      <c r="AD25" s="6">
        <f t="shared" si="2"/>
        <v>0</v>
      </c>
      <c r="AE25" s="6">
        <f t="shared" ca="1" si="3"/>
        <v>0</v>
      </c>
      <c r="AF25" s="4" t="s">
        <v>997</v>
      </c>
    </row>
    <row r="26" spans="1:32" ht="11.25" customHeight="1" x14ac:dyDescent="0.25">
      <c r="A26" s="4" t="s">
        <v>21</v>
      </c>
      <c r="B26" s="4" t="s">
        <v>39</v>
      </c>
      <c r="C26" s="4" t="s">
        <v>40</v>
      </c>
      <c r="D26" s="4" t="s">
        <v>38</v>
      </c>
      <c r="E26" s="4" t="s">
        <v>25</v>
      </c>
      <c r="F26" s="4" t="s">
        <v>61</v>
      </c>
      <c r="G26" s="4" t="s">
        <v>25</v>
      </c>
      <c r="H26" s="4" t="s">
        <v>34</v>
      </c>
      <c r="I26" s="5">
        <v>44409</v>
      </c>
      <c r="J26" s="6">
        <v>3940</v>
      </c>
      <c r="K26" s="6">
        <v>2639.8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58</v>
      </c>
      <c r="R26" s="4">
        <v>0</v>
      </c>
      <c r="S26" s="4">
        <v>1</v>
      </c>
      <c r="T26" s="4">
        <v>0</v>
      </c>
      <c r="U26" s="4">
        <v>0</v>
      </c>
      <c r="V26" s="6">
        <f>IF(ISERROR(VLOOKUP($S$26,'TAR FIN'!$A$1:$O$104,15,0)),0,VLOOKUP($S$26,'TAR FIN'!$A$1:$O$104,15,0))</f>
        <v>21.48</v>
      </c>
      <c r="W26" s="6">
        <f>IF(ISERROR(VLOOKUP($T$26,'TAR FIN'!$A$1:$O$104,15,0)),0,VLOOKUP($T$26,'TAR FIN'!$A$1:$O$104,15,0))</f>
        <v>0</v>
      </c>
      <c r="X26" s="6">
        <f>IF(ISERROR(VLOOKUP($U$26,'TAR FIN'!$A$1:$O$104,15,0)),0,VLOOKUP($U$26,'TAR FIN'!$A$1:$O$104,15,0))</f>
        <v>0</v>
      </c>
      <c r="Y26" s="6">
        <f ca="1">('TUSD BE'!$AM$5+'TUSD BF'!$AM$5+'TUSD CVA'!$AM$5)*1</f>
        <v>21.312847359717548</v>
      </c>
      <c r="Z26" s="6">
        <f ca="1">('TUSD BE'!$AM$7+'TUSD BF'!$AM$7+'TUSD CVA'!$AM$7)*1</f>
        <v>55.308089175900619</v>
      </c>
      <c r="AA26" s="6"/>
      <c r="AB26" s="6">
        <f t="shared" si="0"/>
        <v>27928.295999999998</v>
      </c>
      <c r="AC26" s="6">
        <f t="shared" si="1"/>
        <v>0</v>
      </c>
      <c r="AD26" s="6">
        <f t="shared" ca="1" si="2"/>
        <v>27710.964137104751</v>
      </c>
      <c r="AE26" s="6">
        <f t="shared" ca="1" si="3"/>
        <v>0</v>
      </c>
      <c r="AF26" s="4" t="s">
        <v>997</v>
      </c>
    </row>
    <row r="27" spans="1:32" ht="11.25" customHeight="1" x14ac:dyDescent="0.25">
      <c r="A27" s="4" t="s">
        <v>21</v>
      </c>
      <c r="B27" s="4" t="s">
        <v>39</v>
      </c>
      <c r="C27" s="4" t="s">
        <v>40</v>
      </c>
      <c r="D27" s="4" t="s">
        <v>38</v>
      </c>
      <c r="E27" s="4" t="s">
        <v>25</v>
      </c>
      <c r="F27" s="4" t="s">
        <v>61</v>
      </c>
      <c r="G27" s="4" t="s">
        <v>25</v>
      </c>
      <c r="H27" s="4" t="s">
        <v>34</v>
      </c>
      <c r="I27" s="5">
        <v>44440</v>
      </c>
      <c r="J27" s="6">
        <v>3940</v>
      </c>
      <c r="K27" s="6">
        <v>2758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58</v>
      </c>
      <c r="R27" s="4">
        <v>0</v>
      </c>
      <c r="S27" s="4">
        <v>1</v>
      </c>
      <c r="T27" s="4">
        <v>0</v>
      </c>
      <c r="U27" s="4">
        <v>0</v>
      </c>
      <c r="V27" s="6">
        <f>IF(ISERROR(VLOOKUP($S$27,'TAR FIN'!$A$1:$O$104,15,0)),0,VLOOKUP($S$27,'TAR FIN'!$A$1:$O$104,15,0))</f>
        <v>21.48</v>
      </c>
      <c r="W27" s="6">
        <f>IF(ISERROR(VLOOKUP($T$27,'TAR FIN'!$A$1:$O$104,15,0)),0,VLOOKUP($T$27,'TAR FIN'!$A$1:$O$104,15,0))</f>
        <v>0</v>
      </c>
      <c r="X27" s="6">
        <f>IF(ISERROR(VLOOKUP($U$27,'TAR FIN'!$A$1:$O$104,15,0)),0,VLOOKUP($U$27,'TAR FIN'!$A$1:$O$104,15,0))</f>
        <v>0</v>
      </c>
      <c r="Y27" s="6">
        <f ca="1">('TUSD BE'!$AM$5+'TUSD BF'!$AM$5+'TUSD CVA'!$AM$5)*1</f>
        <v>21.312847359717548</v>
      </c>
      <c r="Z27" s="6">
        <f ca="1">('TUSD BE'!$AM$7+'TUSD BF'!$AM$7+'TUSD CVA'!$AM$7)*1</f>
        <v>55.308089175900619</v>
      </c>
      <c r="AA27" s="6"/>
      <c r="AB27" s="6">
        <f t="shared" si="0"/>
        <v>25389.360000000001</v>
      </c>
      <c r="AC27" s="6">
        <f t="shared" si="1"/>
        <v>0</v>
      </c>
      <c r="AD27" s="6">
        <f t="shared" ca="1" si="2"/>
        <v>25191.78557918614</v>
      </c>
      <c r="AE27" s="6">
        <f t="shared" ca="1" si="3"/>
        <v>0</v>
      </c>
      <c r="AF27" s="4" t="s">
        <v>997</v>
      </c>
    </row>
    <row r="28" spans="1:32" ht="11.25" customHeight="1" x14ac:dyDescent="0.25">
      <c r="A28" s="4" t="s">
        <v>21</v>
      </c>
      <c r="B28" s="4" t="s">
        <v>39</v>
      </c>
      <c r="C28" s="4" t="s">
        <v>40</v>
      </c>
      <c r="D28" s="4" t="s">
        <v>38</v>
      </c>
      <c r="E28" s="4" t="s">
        <v>25</v>
      </c>
      <c r="F28" s="4" t="s">
        <v>61</v>
      </c>
      <c r="G28" s="4" t="s">
        <v>25</v>
      </c>
      <c r="H28" s="4" t="s">
        <v>34</v>
      </c>
      <c r="I28" s="5">
        <v>44470</v>
      </c>
      <c r="J28" s="6">
        <v>3940</v>
      </c>
      <c r="K28" s="6">
        <v>4609.8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58</v>
      </c>
      <c r="R28" s="4">
        <v>0</v>
      </c>
      <c r="S28" s="4">
        <v>1</v>
      </c>
      <c r="T28" s="4">
        <v>0</v>
      </c>
      <c r="U28" s="4">
        <v>0</v>
      </c>
      <c r="V28" s="6">
        <f>IF(ISERROR(VLOOKUP($S$28,'TAR FIN'!$A$1:$O$104,15,0)),0,VLOOKUP($S$28,'TAR FIN'!$A$1:$O$104,15,0))</f>
        <v>21.48</v>
      </c>
      <c r="W28" s="6">
        <f>IF(ISERROR(VLOOKUP($T$28,'TAR FIN'!$A$1:$O$104,15,0)),0,VLOOKUP($T$28,'TAR FIN'!$A$1:$O$104,15,0))</f>
        <v>0</v>
      </c>
      <c r="X28" s="6">
        <f>IF(ISERROR(VLOOKUP($U$28,'TAR FIN'!$A$1:$O$104,15,0)),0,VLOOKUP($U$28,'TAR FIN'!$A$1:$O$104,15,0))</f>
        <v>0</v>
      </c>
      <c r="Y28" s="6">
        <f ca="1">('TUSD BE'!$AM$5+'TUSD BF'!$AM$5+'TUSD CVA'!$AM$5)*1</f>
        <v>21.312847359717548</v>
      </c>
      <c r="Z28" s="6">
        <f ca="1">('TUSD BE'!$AM$7+'TUSD BF'!$AM$7+'TUSD CVA'!$AM$7)*1</f>
        <v>55.308089175900619</v>
      </c>
      <c r="AA28" s="6"/>
      <c r="AB28" s="6">
        <f t="shared" si="0"/>
        <v>-14387.304000000004</v>
      </c>
      <c r="AC28" s="6">
        <f t="shared" si="1"/>
        <v>0</v>
      </c>
      <c r="AD28" s="6">
        <f t="shared" ca="1" si="2"/>
        <v>-14275.345161538817</v>
      </c>
      <c r="AE28" s="6">
        <f t="shared" ca="1" si="3"/>
        <v>0</v>
      </c>
      <c r="AF28" s="4" t="s">
        <v>997</v>
      </c>
    </row>
    <row r="29" spans="1:32" ht="11.25" customHeight="1" x14ac:dyDescent="0.25">
      <c r="A29" s="4" t="s">
        <v>21</v>
      </c>
      <c r="B29" s="4" t="s">
        <v>39</v>
      </c>
      <c r="C29" s="4" t="s">
        <v>40</v>
      </c>
      <c r="D29" s="4" t="s">
        <v>38</v>
      </c>
      <c r="E29" s="4" t="s">
        <v>25</v>
      </c>
      <c r="F29" s="4" t="s">
        <v>61</v>
      </c>
      <c r="G29" s="4" t="s">
        <v>25</v>
      </c>
      <c r="H29" s="4" t="s">
        <v>34</v>
      </c>
      <c r="I29" s="5">
        <v>44501</v>
      </c>
      <c r="J29" s="6">
        <v>6627</v>
      </c>
      <c r="K29" s="6">
        <v>4903.9799999999996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58</v>
      </c>
      <c r="R29" s="4">
        <v>0</v>
      </c>
      <c r="S29" s="4">
        <v>1</v>
      </c>
      <c r="T29" s="4">
        <v>0</v>
      </c>
      <c r="U29" s="4">
        <v>0</v>
      </c>
      <c r="V29" s="6">
        <f>IF(ISERROR(VLOOKUP($S$29,'TAR FIN'!$A$1:$O$104,15,0)),0,VLOOKUP($S$29,'TAR FIN'!$A$1:$O$104,15,0))</f>
        <v>21.48</v>
      </c>
      <c r="W29" s="6">
        <f>IF(ISERROR(VLOOKUP($T$29,'TAR FIN'!$A$1:$O$104,15,0)),0,VLOOKUP($T$29,'TAR FIN'!$A$1:$O$104,15,0))</f>
        <v>0</v>
      </c>
      <c r="X29" s="6">
        <f>IF(ISERROR(VLOOKUP($U$29,'TAR FIN'!$A$1:$O$104,15,0)),0,VLOOKUP($U$29,'TAR FIN'!$A$1:$O$104,15,0))</f>
        <v>0</v>
      </c>
      <c r="Y29" s="6">
        <f ca="1">('TUSD BE'!$AM$5+'TUSD BF'!$AM$5+'TUSD CVA'!$AM$5)*1</f>
        <v>21.312847359717548</v>
      </c>
      <c r="Z29" s="6">
        <f ca="1">('TUSD BE'!$AM$7+'TUSD BF'!$AM$7+'TUSD CVA'!$AM$7)*1</f>
        <v>55.308089175900619</v>
      </c>
      <c r="AA29" s="6"/>
      <c r="AB29" s="6">
        <f t="shared" si="0"/>
        <v>37010.469600000011</v>
      </c>
      <c r="AC29" s="6">
        <f t="shared" si="1"/>
        <v>0</v>
      </c>
      <c r="AD29" s="6">
        <f t="shared" ca="1" si="2"/>
        <v>36722.462257740539</v>
      </c>
      <c r="AE29" s="6">
        <f t="shared" ca="1" si="3"/>
        <v>0</v>
      </c>
      <c r="AF29" s="4" t="s">
        <v>997</v>
      </c>
    </row>
    <row r="30" spans="1:32" ht="11.25" customHeight="1" x14ac:dyDescent="0.25">
      <c r="A30" s="4" t="s">
        <v>21</v>
      </c>
      <c r="B30" s="4" t="s">
        <v>39</v>
      </c>
      <c r="C30" s="4" t="s">
        <v>40</v>
      </c>
      <c r="D30" s="4" t="s">
        <v>38</v>
      </c>
      <c r="E30" s="4" t="s">
        <v>25</v>
      </c>
      <c r="F30" s="4" t="s">
        <v>61</v>
      </c>
      <c r="G30" s="4" t="s">
        <v>25</v>
      </c>
      <c r="H30" s="4" t="s">
        <v>34</v>
      </c>
      <c r="I30" s="5">
        <v>44531</v>
      </c>
      <c r="J30" s="6">
        <v>4818</v>
      </c>
      <c r="K30" s="6">
        <v>1975.38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58</v>
      </c>
      <c r="R30" s="4">
        <v>0</v>
      </c>
      <c r="S30" s="4">
        <v>1</v>
      </c>
      <c r="T30" s="4">
        <v>0</v>
      </c>
      <c r="U30" s="4">
        <v>0</v>
      </c>
      <c r="V30" s="6">
        <f>IF(ISERROR(VLOOKUP($S$30,'TAR FIN'!$A$1:$O$104,15,0)),0,VLOOKUP($S$30,'TAR FIN'!$A$1:$O$104,15,0))</f>
        <v>21.48</v>
      </c>
      <c r="W30" s="6">
        <f>IF(ISERROR(VLOOKUP($T$30,'TAR FIN'!$A$1:$O$104,15,0)),0,VLOOKUP($T$30,'TAR FIN'!$A$1:$O$104,15,0))</f>
        <v>0</v>
      </c>
      <c r="X30" s="6">
        <f>IF(ISERROR(VLOOKUP($U$30,'TAR FIN'!$A$1:$O$104,15,0)),0,VLOOKUP($U$30,'TAR FIN'!$A$1:$O$104,15,0))</f>
        <v>0</v>
      </c>
      <c r="Y30" s="6">
        <f ca="1">('TUSD BE'!$AM$5+'TUSD BF'!$AM$5+'TUSD CVA'!$AM$5)*1</f>
        <v>21.312847359717548</v>
      </c>
      <c r="Z30" s="6">
        <f ca="1">('TUSD BE'!$AM$7+'TUSD BF'!$AM$7+'TUSD CVA'!$AM$7)*1</f>
        <v>55.308089175900619</v>
      </c>
      <c r="AA30" s="6"/>
      <c r="AB30" s="6">
        <f t="shared" si="0"/>
        <v>61059.477599999998</v>
      </c>
      <c r="AC30" s="6">
        <f t="shared" si="1"/>
        <v>0</v>
      </c>
      <c r="AD30" s="6">
        <f t="shared" ca="1" si="2"/>
        <v>60584.326161680292</v>
      </c>
      <c r="AE30" s="6">
        <f t="shared" ca="1" si="3"/>
        <v>0</v>
      </c>
      <c r="AF30" s="4" t="s">
        <v>997</v>
      </c>
    </row>
    <row r="31" spans="1:32" ht="11.25" customHeight="1" x14ac:dyDescent="0.25">
      <c r="A31" s="4" t="s">
        <v>21</v>
      </c>
      <c r="B31" s="4" t="s">
        <v>39</v>
      </c>
      <c r="C31" s="4" t="s">
        <v>40</v>
      </c>
      <c r="D31" s="4" t="s">
        <v>38</v>
      </c>
      <c r="E31" s="4" t="s">
        <v>25</v>
      </c>
      <c r="F31" s="4" t="s">
        <v>61</v>
      </c>
      <c r="G31" s="4" t="s">
        <v>25</v>
      </c>
      <c r="H31" s="4" t="s">
        <v>34</v>
      </c>
      <c r="I31" s="5">
        <v>44562</v>
      </c>
      <c r="J31" s="6">
        <v>4737</v>
      </c>
      <c r="K31" s="6">
        <v>1989.54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58</v>
      </c>
      <c r="R31" s="4">
        <v>0</v>
      </c>
      <c r="S31" s="4">
        <v>1</v>
      </c>
      <c r="T31" s="4">
        <v>0</v>
      </c>
      <c r="U31" s="4">
        <v>0</v>
      </c>
      <c r="V31" s="6">
        <f>IF(ISERROR(VLOOKUP($S$31,'TAR FIN'!$A$1:$O$104,15,0)),0,VLOOKUP($S$31,'TAR FIN'!$A$1:$O$104,15,0))</f>
        <v>21.48</v>
      </c>
      <c r="W31" s="6">
        <f>IF(ISERROR(VLOOKUP($T$31,'TAR FIN'!$A$1:$O$104,15,0)),0,VLOOKUP($T$31,'TAR FIN'!$A$1:$O$104,15,0))</f>
        <v>0</v>
      </c>
      <c r="X31" s="6">
        <f>IF(ISERROR(VLOOKUP($U$31,'TAR FIN'!$A$1:$O$104,15,0)),0,VLOOKUP($U$31,'TAR FIN'!$A$1:$O$104,15,0))</f>
        <v>0</v>
      </c>
      <c r="Y31" s="6">
        <f ca="1">('TUSD BE'!$AM$5+'TUSD BF'!$AM$5+'TUSD CVA'!$AM$5)*1</f>
        <v>21.312847359717548</v>
      </c>
      <c r="Z31" s="6">
        <f ca="1">('TUSD BE'!$AM$7+'TUSD BF'!$AM$7+'TUSD CVA'!$AM$7)*1</f>
        <v>55.308089175900619</v>
      </c>
      <c r="AA31" s="6"/>
      <c r="AB31" s="6">
        <f t="shared" si="0"/>
        <v>59015.440800000004</v>
      </c>
      <c r="AC31" s="6">
        <f t="shared" si="1"/>
        <v>0</v>
      </c>
      <c r="AD31" s="6">
        <f t="shared" ca="1" si="2"/>
        <v>58556.195606929577</v>
      </c>
      <c r="AE31" s="6">
        <f t="shared" ca="1" si="3"/>
        <v>0</v>
      </c>
      <c r="AF31" s="4" t="s">
        <v>997</v>
      </c>
    </row>
    <row r="32" spans="1:32" ht="11.25" customHeight="1" x14ac:dyDescent="0.25">
      <c r="A32" s="4" t="s">
        <v>21</v>
      </c>
      <c r="B32" s="4" t="s">
        <v>39</v>
      </c>
      <c r="C32" s="4" t="s">
        <v>40</v>
      </c>
      <c r="D32" s="4" t="s">
        <v>38</v>
      </c>
      <c r="E32" s="4" t="s">
        <v>25</v>
      </c>
      <c r="F32" s="4" t="s">
        <v>61</v>
      </c>
      <c r="G32" s="4" t="s">
        <v>25</v>
      </c>
      <c r="H32" s="4" t="s">
        <v>34</v>
      </c>
      <c r="I32" s="5">
        <v>44593</v>
      </c>
      <c r="J32" s="6">
        <v>4766</v>
      </c>
      <c r="K32" s="6">
        <v>2001.72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58</v>
      </c>
      <c r="R32" s="4">
        <v>0</v>
      </c>
      <c r="S32" s="4">
        <v>1</v>
      </c>
      <c r="T32" s="4">
        <v>0</v>
      </c>
      <c r="U32" s="4">
        <v>0</v>
      </c>
      <c r="V32" s="6">
        <f>IF(ISERROR(VLOOKUP($S$32,'TAR FIN'!$A$1:$O$104,15,0)),0,VLOOKUP($S$32,'TAR FIN'!$A$1:$O$104,15,0))</f>
        <v>21.48</v>
      </c>
      <c r="W32" s="6">
        <f>IF(ISERROR(VLOOKUP($T$32,'TAR FIN'!$A$1:$O$104,15,0)),0,VLOOKUP($T$32,'TAR FIN'!$A$1:$O$104,15,0))</f>
        <v>0</v>
      </c>
      <c r="X32" s="6">
        <f>IF(ISERROR(VLOOKUP($U$32,'TAR FIN'!$A$1:$O$104,15,0)),0,VLOOKUP($U$32,'TAR FIN'!$A$1:$O$104,15,0))</f>
        <v>0</v>
      </c>
      <c r="Y32" s="6">
        <f ca="1">('TUSD BE'!$AM$5+'TUSD BF'!$AM$5+'TUSD CVA'!$AM$5)*1</f>
        <v>21.312847359717548</v>
      </c>
      <c r="Z32" s="6">
        <f ca="1">('TUSD BE'!$AM$7+'TUSD BF'!$AM$7+'TUSD CVA'!$AM$7)*1</f>
        <v>55.308089175900619</v>
      </c>
      <c r="AA32" s="6"/>
      <c r="AB32" s="6">
        <f t="shared" si="0"/>
        <v>59376.734399999994</v>
      </c>
      <c r="AC32" s="6">
        <f t="shared" si="1"/>
        <v>0</v>
      </c>
      <c r="AD32" s="6">
        <f t="shared" ca="1" si="2"/>
        <v>58914.67769952002</v>
      </c>
      <c r="AE32" s="6">
        <f t="shared" ca="1" si="3"/>
        <v>0</v>
      </c>
      <c r="AF32" s="4" t="s">
        <v>997</v>
      </c>
    </row>
    <row r="33" spans="1:32" ht="11.25" customHeight="1" x14ac:dyDescent="0.25">
      <c r="A33" s="4" t="s">
        <v>21</v>
      </c>
      <c r="B33" s="4" t="s">
        <v>39</v>
      </c>
      <c r="C33" s="4" t="s">
        <v>40</v>
      </c>
      <c r="D33" s="4" t="s">
        <v>38</v>
      </c>
      <c r="E33" s="4" t="s">
        <v>25</v>
      </c>
      <c r="F33" s="4" t="s">
        <v>61</v>
      </c>
      <c r="G33" s="4" t="s">
        <v>25</v>
      </c>
      <c r="H33" s="4" t="s">
        <v>34</v>
      </c>
      <c r="I33" s="5">
        <v>44621</v>
      </c>
      <c r="J33" s="6">
        <v>4922</v>
      </c>
      <c r="K33" s="6">
        <v>2116.46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58</v>
      </c>
      <c r="R33" s="4">
        <v>0</v>
      </c>
      <c r="S33" s="4">
        <v>1</v>
      </c>
      <c r="T33" s="4">
        <v>0</v>
      </c>
      <c r="U33" s="4">
        <v>0</v>
      </c>
      <c r="V33" s="6">
        <f>IF(ISERROR(VLOOKUP($S$33,'TAR FIN'!$A$1:$O$104,15,0)),0,VLOOKUP($S$33,'TAR FIN'!$A$1:$O$104,15,0))</f>
        <v>21.48</v>
      </c>
      <c r="W33" s="6">
        <f>IF(ISERROR(VLOOKUP($T$33,'TAR FIN'!$A$1:$O$104,15,0)),0,VLOOKUP($T$33,'TAR FIN'!$A$1:$O$104,15,0))</f>
        <v>0</v>
      </c>
      <c r="X33" s="6">
        <f>IF(ISERROR(VLOOKUP($U$33,'TAR FIN'!$A$1:$O$104,15,0)),0,VLOOKUP($U$33,'TAR FIN'!$A$1:$O$104,15,0))</f>
        <v>0</v>
      </c>
      <c r="Y33" s="6">
        <f ca="1">('TUSD BE'!$AM$5+'TUSD BF'!$AM$5+'TUSD CVA'!$AM$5)*1</f>
        <v>21.312847359717548</v>
      </c>
      <c r="Z33" s="6">
        <f ca="1">('TUSD BE'!$AM$7+'TUSD BF'!$AM$7+'TUSD CVA'!$AM$7)*1</f>
        <v>55.308089175900619</v>
      </c>
      <c r="AA33" s="6"/>
      <c r="AB33" s="6">
        <f t="shared" si="0"/>
        <v>60262.999199999998</v>
      </c>
      <c r="AC33" s="6">
        <f t="shared" si="1"/>
        <v>0</v>
      </c>
      <c r="AD33" s="6">
        <f t="shared" ca="1" si="2"/>
        <v>59794.045781581968</v>
      </c>
      <c r="AE33" s="6">
        <f t="shared" ca="1" si="3"/>
        <v>0</v>
      </c>
      <c r="AF33" s="4" t="s">
        <v>997</v>
      </c>
    </row>
    <row r="34" spans="1:32" ht="11.25" customHeight="1" x14ac:dyDescent="0.25">
      <c r="A34" s="4" t="s">
        <v>21</v>
      </c>
      <c r="B34" s="4" t="s">
        <v>39</v>
      </c>
      <c r="C34" s="4" t="s">
        <v>40</v>
      </c>
      <c r="D34" s="4" t="s">
        <v>38</v>
      </c>
      <c r="E34" s="4" t="s">
        <v>25</v>
      </c>
      <c r="F34" s="4" t="s">
        <v>61</v>
      </c>
      <c r="G34" s="4" t="s">
        <v>25</v>
      </c>
      <c r="H34" s="4" t="s">
        <v>34</v>
      </c>
      <c r="I34" s="5">
        <v>44652</v>
      </c>
      <c r="J34" s="6">
        <v>4890</v>
      </c>
      <c r="K34" s="6">
        <v>2053.8000000000002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58</v>
      </c>
      <c r="R34" s="4">
        <v>0</v>
      </c>
      <c r="S34" s="4">
        <v>1</v>
      </c>
      <c r="T34" s="4">
        <v>0</v>
      </c>
      <c r="U34" s="4">
        <v>0</v>
      </c>
      <c r="V34" s="6">
        <f>IF(ISERROR(VLOOKUP($S$34,'TAR FIN'!$A$1:$O$104,15,0)),0,VLOOKUP($S$34,'TAR FIN'!$A$1:$O$104,15,0))</f>
        <v>21.48</v>
      </c>
      <c r="W34" s="6">
        <f>IF(ISERROR(VLOOKUP($T$34,'TAR FIN'!$A$1:$O$104,15,0)),0,VLOOKUP($T$34,'TAR FIN'!$A$1:$O$104,15,0))</f>
        <v>0</v>
      </c>
      <c r="X34" s="6">
        <f>IF(ISERROR(VLOOKUP($U$34,'TAR FIN'!$A$1:$O$104,15,0)),0,VLOOKUP($U$34,'TAR FIN'!$A$1:$O$104,15,0))</f>
        <v>0</v>
      </c>
      <c r="Y34" s="6">
        <f ca="1">('TUSD BE'!$AM$5+'TUSD BF'!$AM$5+'TUSD CVA'!$AM$5)*1</f>
        <v>21.312847359717548</v>
      </c>
      <c r="Z34" s="6">
        <f ca="1">('TUSD BE'!$AM$7+'TUSD BF'!$AM$7+'TUSD CVA'!$AM$7)*1</f>
        <v>55.308089175900619</v>
      </c>
      <c r="AA34" s="6"/>
      <c r="AB34" s="6">
        <f t="shared" si="0"/>
        <v>60921.576000000001</v>
      </c>
      <c r="AC34" s="6">
        <f t="shared" si="1"/>
        <v>0</v>
      </c>
      <c r="AD34" s="6">
        <f t="shared" ca="1" si="2"/>
        <v>60447.497681630906</v>
      </c>
      <c r="AE34" s="6">
        <f t="shared" ca="1" si="3"/>
        <v>0</v>
      </c>
      <c r="AF34" s="4" t="s">
        <v>997</v>
      </c>
    </row>
    <row r="35" spans="1:32" ht="11.25" customHeight="1" x14ac:dyDescent="0.25">
      <c r="A35" s="4" t="s">
        <v>21</v>
      </c>
      <c r="B35" s="4" t="s">
        <v>39</v>
      </c>
      <c r="C35" s="4" t="s">
        <v>40</v>
      </c>
      <c r="D35" s="4" t="s">
        <v>38</v>
      </c>
      <c r="E35" s="4" t="s">
        <v>25</v>
      </c>
      <c r="F35" s="4" t="s">
        <v>61</v>
      </c>
      <c r="G35" s="4" t="s">
        <v>25</v>
      </c>
      <c r="H35" s="4" t="s">
        <v>34</v>
      </c>
      <c r="I35" s="5">
        <v>44682</v>
      </c>
      <c r="J35" s="6">
        <v>4640</v>
      </c>
      <c r="K35" s="6">
        <v>1902.4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58</v>
      </c>
      <c r="R35" s="4">
        <v>0</v>
      </c>
      <c r="S35" s="4">
        <v>1</v>
      </c>
      <c r="T35" s="4">
        <v>0</v>
      </c>
      <c r="U35" s="4">
        <v>0</v>
      </c>
      <c r="V35" s="6">
        <f>IF(ISERROR(VLOOKUP($S$35,'TAR FIN'!$A$1:$O$104,15,0)),0,VLOOKUP($S$35,'TAR FIN'!$A$1:$O$104,15,0))</f>
        <v>21.48</v>
      </c>
      <c r="W35" s="6">
        <f>IF(ISERROR(VLOOKUP($T$35,'TAR FIN'!$A$1:$O$104,15,0)),0,VLOOKUP($T$35,'TAR FIN'!$A$1:$O$104,15,0))</f>
        <v>0</v>
      </c>
      <c r="X35" s="6">
        <f>IF(ISERROR(VLOOKUP($U$35,'TAR FIN'!$A$1:$O$104,15,0)),0,VLOOKUP($U$35,'TAR FIN'!$A$1:$O$104,15,0))</f>
        <v>0</v>
      </c>
      <c r="Y35" s="6">
        <f ca="1">('TUSD BE'!$AM$5+'TUSD BF'!$AM$5+'TUSD CVA'!$AM$5)*1</f>
        <v>21.312847359717548</v>
      </c>
      <c r="Z35" s="6">
        <f ca="1">('TUSD BE'!$AM$7+'TUSD BF'!$AM$7+'TUSD CVA'!$AM$7)*1</f>
        <v>55.308089175900619</v>
      </c>
      <c r="AA35" s="6"/>
      <c r="AB35" s="6">
        <f t="shared" si="0"/>
        <v>58803.648000000001</v>
      </c>
      <c r="AC35" s="6">
        <f t="shared" si="1"/>
        <v>0</v>
      </c>
      <c r="AD35" s="6">
        <f t="shared" ca="1" si="2"/>
        <v>58346.05093196276</v>
      </c>
      <c r="AE35" s="6">
        <f t="shared" ca="1" si="3"/>
        <v>0</v>
      </c>
      <c r="AF35" s="4" t="s">
        <v>997</v>
      </c>
    </row>
    <row r="36" spans="1:32" ht="11.25" customHeight="1" x14ac:dyDescent="0.25">
      <c r="A36" s="4" t="s">
        <v>21</v>
      </c>
      <c r="B36" s="4" t="s">
        <v>39</v>
      </c>
      <c r="C36" s="4" t="s">
        <v>40</v>
      </c>
      <c r="D36" s="4" t="s">
        <v>38</v>
      </c>
      <c r="E36" s="4" t="s">
        <v>25</v>
      </c>
      <c r="F36" s="4" t="s">
        <v>61</v>
      </c>
      <c r="G36" s="4" t="s">
        <v>25</v>
      </c>
      <c r="H36" s="4" t="s">
        <v>34</v>
      </c>
      <c r="I36" s="5">
        <v>44713</v>
      </c>
      <c r="J36" s="6">
        <v>4917</v>
      </c>
      <c r="K36" s="6">
        <v>2065.14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58</v>
      </c>
      <c r="R36" s="4">
        <v>0</v>
      </c>
      <c r="S36" s="4">
        <v>1</v>
      </c>
      <c r="T36" s="4">
        <v>0</v>
      </c>
      <c r="U36" s="4">
        <v>0</v>
      </c>
      <c r="V36" s="6">
        <f>IF(ISERROR(VLOOKUP($S$36,'TAR FIN'!$A$1:$O$104,15,0)),0,VLOOKUP($S$36,'TAR FIN'!$A$1:$O$104,15,0))</f>
        <v>21.48</v>
      </c>
      <c r="W36" s="6">
        <f>IF(ISERROR(VLOOKUP($T$36,'TAR FIN'!$A$1:$O$104,15,0)),0,VLOOKUP($T$36,'TAR FIN'!$A$1:$O$104,15,0))</f>
        <v>0</v>
      </c>
      <c r="X36" s="6">
        <f>IF(ISERROR(VLOOKUP($U$36,'TAR FIN'!$A$1:$O$104,15,0)),0,VLOOKUP($U$36,'TAR FIN'!$A$1:$O$104,15,0))</f>
        <v>0</v>
      </c>
      <c r="Y36" s="6">
        <f ca="1">('TUSD BE'!$AM$5+'TUSD BF'!$AM$5+'TUSD CVA'!$AM$5)*1</f>
        <v>21.312847359717548</v>
      </c>
      <c r="Z36" s="6">
        <f ca="1">('TUSD BE'!$AM$7+'TUSD BF'!$AM$7+'TUSD CVA'!$AM$7)*1</f>
        <v>55.308089175900619</v>
      </c>
      <c r="AA36" s="6"/>
      <c r="AB36" s="6">
        <f t="shared" si="0"/>
        <v>61257.952800000006</v>
      </c>
      <c r="AC36" s="6">
        <f t="shared" si="1"/>
        <v>0</v>
      </c>
      <c r="AD36" s="6">
        <f t="shared" ca="1" si="2"/>
        <v>60781.256871284088</v>
      </c>
      <c r="AE36" s="6">
        <f t="shared" ca="1" si="3"/>
        <v>0</v>
      </c>
      <c r="AF36" s="4" t="s">
        <v>997</v>
      </c>
    </row>
    <row r="37" spans="1:32" ht="11.25" customHeight="1" x14ac:dyDescent="0.25">
      <c r="A37" s="4" t="s">
        <v>57</v>
      </c>
      <c r="B37" s="4" t="s">
        <v>39</v>
      </c>
      <c r="C37" s="4" t="s">
        <v>40</v>
      </c>
      <c r="D37" s="4" t="s">
        <v>38</v>
      </c>
      <c r="E37" s="4" t="s">
        <v>25</v>
      </c>
      <c r="F37" s="4" t="s">
        <v>61</v>
      </c>
      <c r="G37" s="4" t="s">
        <v>25</v>
      </c>
      <c r="H37" s="4" t="s">
        <v>34</v>
      </c>
      <c r="I37" s="5">
        <v>44743</v>
      </c>
      <c r="J37" s="6">
        <v>4917</v>
      </c>
      <c r="K37" s="6">
        <v>2065.14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58</v>
      </c>
      <c r="R37" s="4">
        <v>0</v>
      </c>
      <c r="S37" s="4">
        <v>1</v>
      </c>
      <c r="T37" s="4">
        <v>0</v>
      </c>
      <c r="U37" s="4">
        <v>0</v>
      </c>
      <c r="V37" s="6">
        <f>IF(ISERROR(VLOOKUP($S$37,'TAR FIN'!$A$1:$O$104,15,0)),0,VLOOKUP($S$37,'TAR FIN'!$A$1:$O$104,15,0))</f>
        <v>21.48</v>
      </c>
      <c r="W37" s="6">
        <f>IF(ISERROR(VLOOKUP($T$37,'TAR FIN'!$A$1:$O$104,15,0)),0,VLOOKUP($T$37,'TAR FIN'!$A$1:$O$104,15,0))</f>
        <v>0</v>
      </c>
      <c r="X37" s="6">
        <f>IF(ISERROR(VLOOKUP($U$37,'TAR FIN'!$A$1:$O$104,15,0)),0,VLOOKUP($U$37,'TAR FIN'!$A$1:$O$104,15,0))</f>
        <v>0</v>
      </c>
      <c r="Y37" s="6">
        <f ca="1">('TUSD BE'!$AM$5+'TUSD BF'!$AM$5+'TUSD CVA'!$AM$5)*1</f>
        <v>21.312847359717548</v>
      </c>
      <c r="Z37" s="6">
        <f ca="1">('TUSD BE'!$AM$7+'TUSD BF'!$AM$7+'TUSD CVA'!$AM$7)*1</f>
        <v>55.308089175900619</v>
      </c>
      <c r="AA37" s="6"/>
      <c r="AB37" s="6">
        <f t="shared" si="0"/>
        <v>61257.952800000006</v>
      </c>
      <c r="AC37" s="6">
        <f t="shared" si="1"/>
        <v>0</v>
      </c>
      <c r="AD37" s="6">
        <f t="shared" ca="1" si="2"/>
        <v>60781.256871284088</v>
      </c>
      <c r="AE37" s="6">
        <f t="shared" ca="1" si="3"/>
        <v>0</v>
      </c>
      <c r="AF37" s="4" t="s">
        <v>997</v>
      </c>
    </row>
    <row r="38" spans="1:32" ht="11.25" customHeight="1" x14ac:dyDescent="0.25">
      <c r="A38" s="4" t="s">
        <v>21</v>
      </c>
      <c r="B38" s="4" t="s">
        <v>39</v>
      </c>
      <c r="C38" s="4" t="s">
        <v>40</v>
      </c>
      <c r="D38" s="4" t="s">
        <v>45</v>
      </c>
      <c r="E38" s="4" t="s">
        <v>25</v>
      </c>
      <c r="F38" s="4" t="s">
        <v>25</v>
      </c>
      <c r="G38" s="4" t="s">
        <v>25</v>
      </c>
      <c r="H38" s="4" t="s">
        <v>35</v>
      </c>
      <c r="I38" s="5">
        <v>44409</v>
      </c>
      <c r="J38" s="6">
        <v>1365</v>
      </c>
      <c r="K38" s="60">
        <v>1365</v>
      </c>
      <c r="L38" s="6">
        <v>472.5</v>
      </c>
      <c r="M38" s="60">
        <v>472.5</v>
      </c>
      <c r="N38" s="6">
        <v>472.5</v>
      </c>
      <c r="O38" s="60">
        <v>472.5</v>
      </c>
      <c r="P38" s="6">
        <v>0</v>
      </c>
      <c r="Q38" s="4" t="s">
        <v>26</v>
      </c>
      <c r="R38" s="4">
        <v>0</v>
      </c>
      <c r="S38" s="4">
        <v>3</v>
      </c>
      <c r="T38" s="4">
        <v>5</v>
      </c>
      <c r="U38" s="4">
        <v>65</v>
      </c>
      <c r="V38" s="60">
        <f>IF(ISERROR(VLOOKUP($S$38,'TAR FIN'!$A$1:$O$104,15,0)),0,VLOOKUP($S$38,'TAR FIN'!$A$1:$O$104,15,0))*(1-0.04)</f>
        <v>10.7232</v>
      </c>
      <c r="W38" s="60">
        <f>IF(ISERROR(VLOOKUP($T$38,'TAR FIN'!$A$1:$O$104,15,0)),0,VLOOKUP($T$38,'TAR FIN'!$A$1:$O$104,15,0))*(1-0.04)</f>
        <v>40.271999999999998</v>
      </c>
      <c r="X38" s="60">
        <f>IF(ISERROR(VLOOKUP($U$38,'TAR FIN'!$A$1:$O$104,15,0)),0,VLOOKUP($U$38,'TAR FIN'!$A$1:$O$104,15,0))*(1-0.04)</f>
        <v>233.10719999999998</v>
      </c>
      <c r="Y38" s="60">
        <f ca="1">('TUSD BE'!$AM$6+'TUSD BF'!$AM$6+'TUSD CVA'!$AM$6)*1*(1-0.02)</f>
        <v>10.837862614300146</v>
      </c>
      <c r="Z38" s="60">
        <f ca="1">('TUSD BE'!$AM$7+'TUSD BF'!$AM$7+'TUSD CVA'!$AM$7)*1*(1-0.02)</f>
        <v>54.201927392382608</v>
      </c>
      <c r="AA38" s="60">
        <f>('TE BE'!$AB$6+'TE BF'!$AB$6+'TE CVA'!$AB$6)*1*(1-0.02)</f>
        <v>227.12732236645527</v>
      </c>
      <c r="AB38" s="60">
        <f>(SUBSIDIO!$J$38*SUBSIDIO!$V$38)*(0.04)/(1-0.04)</f>
        <v>609.88200000000006</v>
      </c>
      <c r="AC38" s="60">
        <f>((SUBSIDIO!$L$38*SUBSIDIO!$W$38)+(SUBSIDIO!$N$38*SUBSIDIO!$X$38))*(0.04)/(1-0.04)</f>
        <v>5382.1529999999993</v>
      </c>
      <c r="AD38" s="60">
        <f ca="1">(SUBSIDIO!$J$38*SUBSIDIO!$Y$38)*(0.02)/(1-0.02)</f>
        <v>301.91188711264692</v>
      </c>
      <c r="AE38" s="60">
        <f ca="1">((SUBSIDIO!$L$38*SUBSIDIO!$Z$38)+(SUBSIDIO!$N$38*SUBSIDIO!$AA$38))*(0.02)/(1-0.02)</f>
        <v>2712.8177655316508</v>
      </c>
      <c r="AF38" s="4" t="s">
        <v>998</v>
      </c>
    </row>
    <row r="39" spans="1:32" ht="11.25" customHeight="1" x14ac:dyDescent="0.25">
      <c r="A39" s="4" t="s">
        <v>21</v>
      </c>
      <c r="B39" s="4" t="s">
        <v>39</v>
      </c>
      <c r="C39" s="4" t="s">
        <v>40</v>
      </c>
      <c r="D39" s="4" t="s">
        <v>45</v>
      </c>
      <c r="E39" s="4" t="s">
        <v>25</v>
      </c>
      <c r="F39" s="4" t="s">
        <v>25</v>
      </c>
      <c r="G39" s="4" t="s">
        <v>25</v>
      </c>
      <c r="H39" s="4" t="s">
        <v>35</v>
      </c>
      <c r="I39" s="5">
        <v>44440</v>
      </c>
      <c r="J39" s="6">
        <v>1400</v>
      </c>
      <c r="K39" s="60">
        <v>1400</v>
      </c>
      <c r="L39" s="6">
        <v>619.5</v>
      </c>
      <c r="M39" s="60">
        <v>619.5</v>
      </c>
      <c r="N39" s="6">
        <v>619.5</v>
      </c>
      <c r="O39" s="60">
        <v>619.5</v>
      </c>
      <c r="P39" s="6">
        <v>0</v>
      </c>
      <c r="Q39" s="4" t="s">
        <v>26</v>
      </c>
      <c r="R39" s="4">
        <v>0</v>
      </c>
      <c r="S39" s="4">
        <v>3</v>
      </c>
      <c r="T39" s="4">
        <v>5</v>
      </c>
      <c r="U39" s="4">
        <v>65</v>
      </c>
      <c r="V39" s="60">
        <f>IF(ISERROR(VLOOKUP($S$39,'TAR FIN'!$A$1:$O$104,15,0)),0,VLOOKUP($S$39,'TAR FIN'!$A$1:$O$104,15,0))*(1-0.04)</f>
        <v>10.7232</v>
      </c>
      <c r="W39" s="60">
        <f>IF(ISERROR(VLOOKUP($T$39,'TAR FIN'!$A$1:$O$104,15,0)),0,VLOOKUP($T$39,'TAR FIN'!$A$1:$O$104,15,0))*(1-0.04)</f>
        <v>40.271999999999998</v>
      </c>
      <c r="X39" s="60">
        <f>IF(ISERROR(VLOOKUP($U$39,'TAR FIN'!$A$1:$O$104,15,0)),0,VLOOKUP($U$39,'TAR FIN'!$A$1:$O$104,15,0))*(1-0.04)</f>
        <v>233.10719999999998</v>
      </c>
      <c r="Y39" s="60">
        <f ca="1">('TUSD BE'!$AM$6+'TUSD BF'!$AM$6+'TUSD CVA'!$AM$6)*1*(1-0.02)</f>
        <v>10.837862614300146</v>
      </c>
      <c r="Z39" s="60">
        <f ca="1">('TUSD BE'!$AM$7+'TUSD BF'!$AM$7+'TUSD CVA'!$AM$7)*1*(1-0.02)</f>
        <v>54.201927392382608</v>
      </c>
      <c r="AA39" s="60">
        <f>('TE BE'!$AB$6+'TE BF'!$AB$6+'TE CVA'!$AB$6)*1*(1-0.02)</f>
        <v>227.12732236645527</v>
      </c>
      <c r="AB39" s="60">
        <f>(SUBSIDIO!$J$39*SUBSIDIO!$V$39)*(0.04)/(1-0.04)</f>
        <v>625.52</v>
      </c>
      <c r="AC39" s="60">
        <f>((SUBSIDIO!$L$39*SUBSIDIO!$W$39)+(SUBSIDIO!$N$39*SUBSIDIO!$X$39))*(0.04)/(1-0.04)</f>
        <v>7056.6006000000007</v>
      </c>
      <c r="AD39" s="60">
        <f ca="1">(SUBSIDIO!$J$39*SUBSIDIO!$Y$39)*(0.02)/(1-0.02)</f>
        <v>309.65321755143276</v>
      </c>
      <c r="AE39" s="60">
        <f ca="1">((SUBSIDIO!$L$39*SUBSIDIO!$Z$39)+(SUBSIDIO!$N$39*SUBSIDIO!$AA$39))*(0.02)/(1-0.02)</f>
        <v>3556.8055148081644</v>
      </c>
      <c r="AF39" s="4" t="s">
        <v>998</v>
      </c>
    </row>
    <row r="40" spans="1:32" ht="11.25" customHeight="1" x14ac:dyDescent="0.25">
      <c r="A40" s="4" t="s">
        <v>21</v>
      </c>
      <c r="B40" s="4" t="s">
        <v>39</v>
      </c>
      <c r="C40" s="4" t="s">
        <v>40</v>
      </c>
      <c r="D40" s="4" t="s">
        <v>45</v>
      </c>
      <c r="E40" s="4" t="s">
        <v>25</v>
      </c>
      <c r="F40" s="4" t="s">
        <v>25</v>
      </c>
      <c r="G40" s="4" t="s">
        <v>25</v>
      </c>
      <c r="H40" s="4" t="s">
        <v>35</v>
      </c>
      <c r="I40" s="5">
        <v>44470</v>
      </c>
      <c r="J40" s="6">
        <v>1365</v>
      </c>
      <c r="K40" s="60">
        <v>1365</v>
      </c>
      <c r="L40" s="6">
        <v>675.5</v>
      </c>
      <c r="M40" s="60">
        <v>675.5</v>
      </c>
      <c r="N40" s="6">
        <v>675.5</v>
      </c>
      <c r="O40" s="60">
        <v>675.5</v>
      </c>
      <c r="P40" s="6">
        <v>0</v>
      </c>
      <c r="Q40" s="4" t="s">
        <v>26</v>
      </c>
      <c r="R40" s="4">
        <v>0</v>
      </c>
      <c r="S40" s="4">
        <v>3</v>
      </c>
      <c r="T40" s="4">
        <v>5</v>
      </c>
      <c r="U40" s="4">
        <v>65</v>
      </c>
      <c r="V40" s="60">
        <f>IF(ISERROR(VLOOKUP($S$40,'TAR FIN'!$A$1:$O$104,15,0)),0,VLOOKUP($S$40,'TAR FIN'!$A$1:$O$104,15,0))*(1-0.04)</f>
        <v>10.7232</v>
      </c>
      <c r="W40" s="60">
        <f>IF(ISERROR(VLOOKUP($T$40,'TAR FIN'!$A$1:$O$104,15,0)),0,VLOOKUP($T$40,'TAR FIN'!$A$1:$O$104,15,0))*(1-0.04)</f>
        <v>40.271999999999998</v>
      </c>
      <c r="X40" s="60">
        <f>IF(ISERROR(VLOOKUP($U$40,'TAR FIN'!$A$1:$O$104,15,0)),0,VLOOKUP($U$40,'TAR FIN'!$A$1:$O$104,15,0))*(1-0.04)</f>
        <v>233.10719999999998</v>
      </c>
      <c r="Y40" s="60">
        <f ca="1">('TUSD BE'!$AM$6+'TUSD BF'!$AM$6+'TUSD CVA'!$AM$6)*1*(1-0.02)</f>
        <v>10.837862614300146</v>
      </c>
      <c r="Z40" s="60">
        <f ca="1">('TUSD BE'!$AM$7+'TUSD BF'!$AM$7+'TUSD CVA'!$AM$7)*1*(1-0.02)</f>
        <v>54.201927392382608</v>
      </c>
      <c r="AA40" s="60">
        <f>('TE BE'!$AB$6+'TE BF'!$AB$6+'TE CVA'!$AB$6)*1*(1-0.02)</f>
        <v>227.12732236645527</v>
      </c>
      <c r="AB40" s="60">
        <f>(SUBSIDIO!$J$40*SUBSIDIO!$V$40)*(0.04)/(1-0.04)</f>
        <v>609.88200000000006</v>
      </c>
      <c r="AC40" s="60">
        <f>((SUBSIDIO!$L$40*SUBSIDIO!$W$40)+(SUBSIDIO!$N$40*SUBSIDIO!$X$40))*(0.04)/(1-0.04)</f>
        <v>7694.4853999999996</v>
      </c>
      <c r="AD40" s="60">
        <f ca="1">(SUBSIDIO!$J$40*SUBSIDIO!$Y$40)*(0.02)/(1-0.02)</f>
        <v>301.91188711264692</v>
      </c>
      <c r="AE40" s="60">
        <f ca="1">((SUBSIDIO!$L$40*SUBSIDIO!$Z$40)+(SUBSIDIO!$N$40*SUBSIDIO!$AA$40))*(0.02)/(1-0.02)</f>
        <v>3878.3246573896936</v>
      </c>
      <c r="AF40" s="4" t="s">
        <v>998</v>
      </c>
    </row>
    <row r="41" spans="1:32" ht="11.25" customHeight="1" x14ac:dyDescent="0.25">
      <c r="A41" s="4" t="s">
        <v>21</v>
      </c>
      <c r="B41" s="4" t="s">
        <v>39</v>
      </c>
      <c r="C41" s="4" t="s">
        <v>40</v>
      </c>
      <c r="D41" s="4" t="s">
        <v>45</v>
      </c>
      <c r="E41" s="4" t="s">
        <v>25</v>
      </c>
      <c r="F41" s="4" t="s">
        <v>25</v>
      </c>
      <c r="G41" s="4" t="s">
        <v>25</v>
      </c>
      <c r="H41" s="4" t="s">
        <v>35</v>
      </c>
      <c r="I41" s="5">
        <v>44501</v>
      </c>
      <c r="J41" s="6">
        <v>1365</v>
      </c>
      <c r="K41" s="60">
        <v>1365</v>
      </c>
      <c r="L41" s="6">
        <v>668.5</v>
      </c>
      <c r="M41" s="60">
        <v>668.5</v>
      </c>
      <c r="N41" s="6">
        <v>668.5</v>
      </c>
      <c r="O41" s="60">
        <v>668.5</v>
      </c>
      <c r="P41" s="6">
        <v>0</v>
      </c>
      <c r="Q41" s="4" t="s">
        <v>26</v>
      </c>
      <c r="R41" s="4">
        <v>0</v>
      </c>
      <c r="S41" s="4">
        <v>3</v>
      </c>
      <c r="T41" s="4">
        <v>5</v>
      </c>
      <c r="U41" s="4">
        <v>65</v>
      </c>
      <c r="V41" s="60">
        <f>IF(ISERROR(VLOOKUP($S$41,'TAR FIN'!$A$1:$O$104,15,0)),0,VLOOKUP($S$41,'TAR FIN'!$A$1:$O$104,15,0))*(1-0.04)</f>
        <v>10.7232</v>
      </c>
      <c r="W41" s="60">
        <f>IF(ISERROR(VLOOKUP($T$41,'TAR FIN'!$A$1:$O$104,15,0)),0,VLOOKUP($T$41,'TAR FIN'!$A$1:$O$104,15,0))*(1-0.04)</f>
        <v>40.271999999999998</v>
      </c>
      <c r="X41" s="60">
        <f>IF(ISERROR(VLOOKUP($U$41,'TAR FIN'!$A$1:$O$104,15,0)),0,VLOOKUP($U$41,'TAR FIN'!$A$1:$O$104,15,0))*(1-0.04)</f>
        <v>233.10719999999998</v>
      </c>
      <c r="Y41" s="60">
        <f ca="1">('TUSD BE'!$AM$6+'TUSD BF'!$AM$6+'TUSD CVA'!$AM$6)*1*(1-0.02)</f>
        <v>10.837862614300146</v>
      </c>
      <c r="Z41" s="60">
        <f ca="1">('TUSD BE'!$AM$7+'TUSD BF'!$AM$7+'TUSD CVA'!$AM$7)*1*(1-0.02)</f>
        <v>54.201927392382608</v>
      </c>
      <c r="AA41" s="60">
        <f>('TE BE'!$AB$6+'TE BF'!$AB$6+'TE CVA'!$AB$6)*1*(1-0.02)</f>
        <v>227.12732236645527</v>
      </c>
      <c r="AB41" s="60">
        <f>(SUBSIDIO!$J$41*SUBSIDIO!$V$41)*(0.04)/(1-0.04)</f>
        <v>609.88200000000006</v>
      </c>
      <c r="AC41" s="60">
        <f>((SUBSIDIO!$L$41*SUBSIDIO!$W$41)+(SUBSIDIO!$N$41*SUBSIDIO!$X$41))*(0.04)/(1-0.04)</f>
        <v>7614.7497999999996</v>
      </c>
      <c r="AD41" s="60">
        <f ca="1">(SUBSIDIO!$J$41*SUBSIDIO!$Y$41)*(0.02)/(1-0.02)</f>
        <v>301.91188711264692</v>
      </c>
      <c r="AE41" s="60">
        <f ca="1">((SUBSIDIO!$L$41*SUBSIDIO!$Z$41)+(SUBSIDIO!$N$41*SUBSIDIO!$AA$41))*(0.02)/(1-0.02)</f>
        <v>3838.134764567003</v>
      </c>
      <c r="AF41" s="4" t="s">
        <v>998</v>
      </c>
    </row>
    <row r="42" spans="1:32" ht="11.25" customHeight="1" x14ac:dyDescent="0.25">
      <c r="A42" s="4" t="s">
        <v>21</v>
      </c>
      <c r="B42" s="4" t="s">
        <v>39</v>
      </c>
      <c r="C42" s="4" t="s">
        <v>40</v>
      </c>
      <c r="D42" s="4" t="s">
        <v>45</v>
      </c>
      <c r="E42" s="4" t="s">
        <v>25</v>
      </c>
      <c r="F42" s="4" t="s">
        <v>25</v>
      </c>
      <c r="G42" s="4" t="s">
        <v>25</v>
      </c>
      <c r="H42" s="4" t="s">
        <v>35</v>
      </c>
      <c r="I42" s="5">
        <v>44531</v>
      </c>
      <c r="J42" s="6">
        <v>1365</v>
      </c>
      <c r="K42" s="60">
        <v>1365</v>
      </c>
      <c r="L42" s="6">
        <v>574</v>
      </c>
      <c r="M42" s="60">
        <v>574</v>
      </c>
      <c r="N42" s="6">
        <v>574</v>
      </c>
      <c r="O42" s="60">
        <v>574</v>
      </c>
      <c r="P42" s="6">
        <v>0</v>
      </c>
      <c r="Q42" s="4" t="s">
        <v>26</v>
      </c>
      <c r="R42" s="4">
        <v>0</v>
      </c>
      <c r="S42" s="4">
        <v>3</v>
      </c>
      <c r="T42" s="4">
        <v>5</v>
      </c>
      <c r="U42" s="4">
        <v>65</v>
      </c>
      <c r="V42" s="60">
        <f>IF(ISERROR(VLOOKUP($S$42,'TAR FIN'!$A$1:$O$104,15,0)),0,VLOOKUP($S$42,'TAR FIN'!$A$1:$O$104,15,0))*(1-0.04)</f>
        <v>10.7232</v>
      </c>
      <c r="W42" s="60">
        <f>IF(ISERROR(VLOOKUP($T$42,'TAR FIN'!$A$1:$O$104,15,0)),0,VLOOKUP($T$42,'TAR FIN'!$A$1:$O$104,15,0))*(1-0.04)</f>
        <v>40.271999999999998</v>
      </c>
      <c r="X42" s="60">
        <f>IF(ISERROR(VLOOKUP($U$42,'TAR FIN'!$A$1:$O$104,15,0)),0,VLOOKUP($U$42,'TAR FIN'!$A$1:$O$104,15,0))*(1-0.04)</f>
        <v>233.10719999999998</v>
      </c>
      <c r="Y42" s="60">
        <f ca="1">('TUSD BE'!$AM$6+'TUSD BF'!$AM$6+'TUSD CVA'!$AM$6)*1*(1-0.02)</f>
        <v>10.837862614300146</v>
      </c>
      <c r="Z42" s="60">
        <f ca="1">('TUSD BE'!$AM$7+'TUSD BF'!$AM$7+'TUSD CVA'!$AM$7)*1*(1-0.02)</f>
        <v>54.201927392382608</v>
      </c>
      <c r="AA42" s="60">
        <f>('TE BE'!$AB$6+'TE BF'!$AB$6+'TE CVA'!$AB$6)*1*(1-0.02)</f>
        <v>227.12732236645527</v>
      </c>
      <c r="AB42" s="60">
        <f>(SUBSIDIO!$J$42*SUBSIDIO!$V$42)*(0.04)/(1-0.04)</f>
        <v>609.88200000000006</v>
      </c>
      <c r="AC42" s="60">
        <f>((SUBSIDIO!$L$42*SUBSIDIO!$W$42)+(SUBSIDIO!$N$42*SUBSIDIO!$X$42))*(0.04)/(1-0.04)</f>
        <v>6538.3191999999999</v>
      </c>
      <c r="AD42" s="60">
        <f ca="1">(SUBSIDIO!$J$42*SUBSIDIO!$Y$42)*(0.02)/(1-0.02)</f>
        <v>301.91188711264692</v>
      </c>
      <c r="AE42" s="60">
        <f ca="1">((SUBSIDIO!$L$42*SUBSIDIO!$Z$42)+(SUBSIDIO!$N$42*SUBSIDIO!$AA$42))*(0.02)/(1-0.02)</f>
        <v>3295.5712114606727</v>
      </c>
      <c r="AF42" s="4" t="s">
        <v>998</v>
      </c>
    </row>
    <row r="43" spans="1:32" ht="11.25" customHeight="1" x14ac:dyDescent="0.25">
      <c r="A43" s="4" t="s">
        <v>21</v>
      </c>
      <c r="B43" s="4" t="s">
        <v>39</v>
      </c>
      <c r="C43" s="4" t="s">
        <v>40</v>
      </c>
      <c r="D43" s="4" t="s">
        <v>45</v>
      </c>
      <c r="E43" s="4" t="s">
        <v>25</v>
      </c>
      <c r="F43" s="4" t="s">
        <v>25</v>
      </c>
      <c r="G43" s="4" t="s">
        <v>25</v>
      </c>
      <c r="H43" s="4" t="s">
        <v>35</v>
      </c>
      <c r="I43" s="5">
        <v>44562</v>
      </c>
      <c r="J43" s="6">
        <v>1372</v>
      </c>
      <c r="K43" s="60">
        <v>1372</v>
      </c>
      <c r="L43" s="6">
        <v>153.733</v>
      </c>
      <c r="M43" s="60">
        <v>153.733</v>
      </c>
      <c r="N43" s="6">
        <v>153.733</v>
      </c>
      <c r="O43" s="60">
        <v>153.733</v>
      </c>
      <c r="P43" s="6">
        <v>0</v>
      </c>
      <c r="Q43" s="4" t="s">
        <v>26</v>
      </c>
      <c r="R43" s="4">
        <v>0</v>
      </c>
      <c r="S43" s="4">
        <v>3</v>
      </c>
      <c r="T43" s="4">
        <v>5</v>
      </c>
      <c r="U43" s="4">
        <v>65</v>
      </c>
      <c r="V43" s="60">
        <f>IF(ISERROR(VLOOKUP($S$43,'TAR FIN'!$A$1:$O$104,15,0)),0,VLOOKUP($S$43,'TAR FIN'!$A$1:$O$104,15,0))*(1-0.04)</f>
        <v>10.7232</v>
      </c>
      <c r="W43" s="60">
        <f>IF(ISERROR(VLOOKUP($T$43,'TAR FIN'!$A$1:$O$104,15,0)),0,VLOOKUP($T$43,'TAR FIN'!$A$1:$O$104,15,0))*(1-0.04)</f>
        <v>40.271999999999998</v>
      </c>
      <c r="X43" s="60">
        <f>IF(ISERROR(VLOOKUP($U$43,'TAR FIN'!$A$1:$O$104,15,0)),0,VLOOKUP($U$43,'TAR FIN'!$A$1:$O$104,15,0))*(1-0.04)</f>
        <v>233.10719999999998</v>
      </c>
      <c r="Y43" s="60">
        <f ca="1">('TUSD BE'!$AM$6+'TUSD BF'!$AM$6+'TUSD CVA'!$AM$6)*1*(1-0.02)</f>
        <v>10.837862614300146</v>
      </c>
      <c r="Z43" s="60">
        <f ca="1">('TUSD BE'!$AM$7+'TUSD BF'!$AM$7+'TUSD CVA'!$AM$7)*1*(1-0.02)</f>
        <v>54.201927392382608</v>
      </c>
      <c r="AA43" s="60">
        <f>('TE BE'!$AB$6+'TE BF'!$AB$6+'TE CVA'!$AB$6)*1*(1-0.02)</f>
        <v>227.12732236645527</v>
      </c>
      <c r="AB43" s="60">
        <f>(SUBSIDIO!$J$43*SUBSIDIO!$V$43)*(0.04)/(1-0.04)</f>
        <v>613.00960000000009</v>
      </c>
      <c r="AC43" s="60">
        <f>((SUBSIDIO!$L$43*SUBSIDIO!$W$43)+(SUBSIDIO!$N$43*SUBSIDIO!$X$43))*(0.04)/(1-0.04)</f>
        <v>1751.1418563999998</v>
      </c>
      <c r="AD43" s="60">
        <f ca="1">(SUBSIDIO!$J$43*SUBSIDIO!$Y$43)*(0.02)/(1-0.02)</f>
        <v>303.46015320040414</v>
      </c>
      <c r="AE43" s="60">
        <f ca="1">((SUBSIDIO!$L$43*SUBSIDIO!$Z$43)+(SUBSIDIO!$N$43*SUBSIDIO!$AA$43))*(0.02)/(1-0.02)</f>
        <v>882.64468475868227</v>
      </c>
      <c r="AF43" s="4" t="s">
        <v>998</v>
      </c>
    </row>
    <row r="44" spans="1:32" ht="11.25" customHeight="1" x14ac:dyDescent="0.25">
      <c r="A44" s="4" t="s">
        <v>21</v>
      </c>
      <c r="B44" s="4" t="s">
        <v>39</v>
      </c>
      <c r="C44" s="4" t="s">
        <v>40</v>
      </c>
      <c r="D44" s="4" t="s">
        <v>45</v>
      </c>
      <c r="E44" s="4" t="s">
        <v>25</v>
      </c>
      <c r="F44" s="4" t="s">
        <v>25</v>
      </c>
      <c r="G44" s="4" t="s">
        <v>25</v>
      </c>
      <c r="H44" s="4" t="s">
        <v>35</v>
      </c>
      <c r="I44" s="5">
        <v>44593</v>
      </c>
      <c r="J44" s="6">
        <v>1380</v>
      </c>
      <c r="K44" s="60">
        <v>1380</v>
      </c>
      <c r="L44" s="6">
        <v>304</v>
      </c>
      <c r="M44" s="60">
        <v>304</v>
      </c>
      <c r="N44" s="6">
        <v>304</v>
      </c>
      <c r="O44" s="60">
        <v>304</v>
      </c>
      <c r="P44" s="6">
        <v>0</v>
      </c>
      <c r="Q44" s="4" t="s">
        <v>26</v>
      </c>
      <c r="R44" s="4">
        <v>0</v>
      </c>
      <c r="S44" s="4">
        <v>3</v>
      </c>
      <c r="T44" s="4">
        <v>5</v>
      </c>
      <c r="U44" s="4">
        <v>65</v>
      </c>
      <c r="V44" s="60">
        <f>IF(ISERROR(VLOOKUP($S$44,'TAR FIN'!$A$1:$O$104,15,0)),0,VLOOKUP($S$44,'TAR FIN'!$A$1:$O$104,15,0))*(1-0.04)</f>
        <v>10.7232</v>
      </c>
      <c r="W44" s="60">
        <f>IF(ISERROR(VLOOKUP($T$44,'TAR FIN'!$A$1:$O$104,15,0)),0,VLOOKUP($T$44,'TAR FIN'!$A$1:$O$104,15,0))*(1-0.04)</f>
        <v>40.271999999999998</v>
      </c>
      <c r="X44" s="60">
        <f>IF(ISERROR(VLOOKUP($U$44,'TAR FIN'!$A$1:$O$104,15,0)),0,VLOOKUP($U$44,'TAR FIN'!$A$1:$O$104,15,0))*(1-0.04)</f>
        <v>233.10719999999998</v>
      </c>
      <c r="Y44" s="60">
        <f ca="1">('TUSD BE'!$AM$6+'TUSD BF'!$AM$6+'TUSD CVA'!$AM$6)*1*(1-0.02)</f>
        <v>10.837862614300146</v>
      </c>
      <c r="Z44" s="60">
        <f ca="1">('TUSD BE'!$AM$7+'TUSD BF'!$AM$7+'TUSD CVA'!$AM$7)*1*(1-0.02)</f>
        <v>54.201927392382608</v>
      </c>
      <c r="AA44" s="60">
        <f>('TE BE'!$AB$6+'TE BF'!$AB$6+'TE CVA'!$AB$6)*1*(1-0.02)</f>
        <v>227.12732236645527</v>
      </c>
      <c r="AB44" s="60">
        <f>(SUBSIDIO!$J$44*SUBSIDIO!$V$44)*(0.04)/(1-0.04)</f>
        <v>616.58400000000006</v>
      </c>
      <c r="AC44" s="60">
        <f>((SUBSIDIO!$L$44*SUBSIDIO!$W$44)+(SUBSIDIO!$N$44*SUBSIDIO!$X$44))*(0.04)/(1-0.04)</f>
        <v>3462.8032000000003</v>
      </c>
      <c r="AD44" s="60">
        <f ca="1">(SUBSIDIO!$J$44*SUBSIDIO!$Y$44)*(0.02)/(1-0.02)</f>
        <v>305.22960015784088</v>
      </c>
      <c r="AE44" s="60">
        <f ca="1">((SUBSIDIO!$L$44*SUBSIDIO!$Z$44)+(SUBSIDIO!$N$44*SUBSIDIO!$AA$44))*(0.02)/(1-0.02)</f>
        <v>1745.3896311568719</v>
      </c>
      <c r="AF44" s="4" t="s">
        <v>998</v>
      </c>
    </row>
    <row r="45" spans="1:32" ht="11.25" customHeight="1" x14ac:dyDescent="0.25">
      <c r="A45" s="4" t="s">
        <v>21</v>
      </c>
      <c r="B45" s="4" t="s">
        <v>39</v>
      </c>
      <c r="C45" s="4" t="s">
        <v>40</v>
      </c>
      <c r="D45" s="4" t="s">
        <v>45</v>
      </c>
      <c r="E45" s="4" t="s">
        <v>25</v>
      </c>
      <c r="F45" s="4" t="s">
        <v>25</v>
      </c>
      <c r="G45" s="4" t="s">
        <v>25</v>
      </c>
      <c r="H45" s="4" t="s">
        <v>35</v>
      </c>
      <c r="I45" s="5">
        <v>44621</v>
      </c>
      <c r="J45" s="6">
        <v>1372</v>
      </c>
      <c r="K45" s="60">
        <v>1372</v>
      </c>
      <c r="L45" s="6">
        <v>218.36199999999999</v>
      </c>
      <c r="M45" s="60">
        <v>218.36199999999999</v>
      </c>
      <c r="N45" s="6">
        <v>218.36199999999999</v>
      </c>
      <c r="O45" s="60">
        <v>218.36199999999999</v>
      </c>
      <c r="P45" s="6">
        <v>0</v>
      </c>
      <c r="Q45" s="4" t="s">
        <v>26</v>
      </c>
      <c r="R45" s="4">
        <v>0</v>
      </c>
      <c r="S45" s="4">
        <v>3</v>
      </c>
      <c r="T45" s="4">
        <v>5</v>
      </c>
      <c r="U45" s="4">
        <v>65</v>
      </c>
      <c r="V45" s="60">
        <f>IF(ISERROR(VLOOKUP($S$45,'TAR FIN'!$A$1:$O$104,15,0)),0,VLOOKUP($S$45,'TAR FIN'!$A$1:$O$104,15,0))*(1-0.04)</f>
        <v>10.7232</v>
      </c>
      <c r="W45" s="60">
        <f>IF(ISERROR(VLOOKUP($T$45,'TAR FIN'!$A$1:$O$104,15,0)),0,VLOOKUP($T$45,'TAR FIN'!$A$1:$O$104,15,0))*(1-0.04)</f>
        <v>40.271999999999998</v>
      </c>
      <c r="X45" s="60">
        <f>IF(ISERROR(VLOOKUP($U$45,'TAR FIN'!$A$1:$O$104,15,0)),0,VLOOKUP($U$45,'TAR FIN'!$A$1:$O$104,15,0))*(1-0.04)</f>
        <v>233.10719999999998</v>
      </c>
      <c r="Y45" s="60">
        <f ca="1">('TUSD BE'!$AM$6+'TUSD BF'!$AM$6+'TUSD CVA'!$AM$6)*1*(1-0.02)</f>
        <v>10.837862614300146</v>
      </c>
      <c r="Z45" s="60">
        <f ca="1">('TUSD BE'!$AM$7+'TUSD BF'!$AM$7+'TUSD CVA'!$AM$7)*1*(1-0.02)</f>
        <v>54.201927392382608</v>
      </c>
      <c r="AA45" s="60">
        <f>('TE BE'!$AB$6+'TE BF'!$AB$6+'TE CVA'!$AB$6)*1*(1-0.02)</f>
        <v>227.12732236645527</v>
      </c>
      <c r="AB45" s="60">
        <f>(SUBSIDIO!$J$45*SUBSIDIO!$V$45)*(0.04)/(1-0.04)</f>
        <v>613.00960000000009</v>
      </c>
      <c r="AC45" s="60">
        <f>((SUBSIDIO!$L$45*SUBSIDIO!$W$45)+(SUBSIDIO!$N$45*SUBSIDIO!$X$45))*(0.04)/(1-0.04)</f>
        <v>2487.3178696</v>
      </c>
      <c r="AD45" s="60">
        <f ca="1">(SUBSIDIO!$J$45*SUBSIDIO!$Y$45)*(0.02)/(1-0.02)</f>
        <v>303.46015320040414</v>
      </c>
      <c r="AE45" s="60">
        <f ca="1">((SUBSIDIO!$L$45*SUBSIDIO!$Z$45)+(SUBSIDIO!$N$45*SUBSIDIO!$AA$45))*(0.02)/(1-0.02)</f>
        <v>1253.7064823640685</v>
      </c>
      <c r="AF45" s="4" t="s">
        <v>998</v>
      </c>
    </row>
    <row r="46" spans="1:32" ht="11.25" customHeight="1" x14ac:dyDescent="0.25">
      <c r="A46" s="4" t="s">
        <v>21</v>
      </c>
      <c r="B46" s="4" t="s">
        <v>39</v>
      </c>
      <c r="C46" s="4" t="s">
        <v>40</v>
      </c>
      <c r="D46" s="4" t="s">
        <v>45</v>
      </c>
      <c r="E46" s="4" t="s">
        <v>25</v>
      </c>
      <c r="F46" s="4" t="s">
        <v>25</v>
      </c>
      <c r="G46" s="4" t="s">
        <v>25</v>
      </c>
      <c r="H46" s="4" t="s">
        <v>35</v>
      </c>
      <c r="I46" s="5">
        <v>44652</v>
      </c>
      <c r="J46" s="6">
        <v>1363</v>
      </c>
      <c r="K46" s="60">
        <v>1363</v>
      </c>
      <c r="L46" s="6">
        <v>180.59800000000001</v>
      </c>
      <c r="M46" s="60">
        <v>180.59800000000001</v>
      </c>
      <c r="N46" s="6">
        <v>180.59800000000001</v>
      </c>
      <c r="O46" s="60">
        <v>180.59800000000001</v>
      </c>
      <c r="P46" s="6">
        <v>0</v>
      </c>
      <c r="Q46" s="4" t="s">
        <v>26</v>
      </c>
      <c r="R46" s="4">
        <v>0</v>
      </c>
      <c r="S46" s="4">
        <v>3</v>
      </c>
      <c r="T46" s="4">
        <v>5</v>
      </c>
      <c r="U46" s="4">
        <v>65</v>
      </c>
      <c r="V46" s="60">
        <f>IF(ISERROR(VLOOKUP($S$46,'TAR FIN'!$A$1:$O$104,15,0)),0,VLOOKUP($S$46,'TAR FIN'!$A$1:$O$104,15,0))*(1-0.04)</f>
        <v>10.7232</v>
      </c>
      <c r="W46" s="60">
        <f>IF(ISERROR(VLOOKUP($T$46,'TAR FIN'!$A$1:$O$104,15,0)),0,VLOOKUP($T$46,'TAR FIN'!$A$1:$O$104,15,0))*(1-0.04)</f>
        <v>40.271999999999998</v>
      </c>
      <c r="X46" s="60">
        <f>IF(ISERROR(VLOOKUP($U$46,'TAR FIN'!$A$1:$O$104,15,0)),0,VLOOKUP($U$46,'TAR FIN'!$A$1:$O$104,15,0))*(1-0.04)</f>
        <v>233.10719999999998</v>
      </c>
      <c r="Y46" s="60">
        <f ca="1">('TUSD BE'!$AM$6+'TUSD BF'!$AM$6+'TUSD CVA'!$AM$6)*1*(1-0.02)</f>
        <v>10.837862614300146</v>
      </c>
      <c r="Z46" s="60">
        <f ca="1">('TUSD BE'!$AM$7+'TUSD BF'!$AM$7+'TUSD CVA'!$AM$7)*1*(1-0.02)</f>
        <v>54.201927392382608</v>
      </c>
      <c r="AA46" s="60">
        <f>('TE BE'!$AB$6+'TE BF'!$AB$6+'TE CVA'!$AB$6)*1*(1-0.02)</f>
        <v>227.12732236645527</v>
      </c>
      <c r="AB46" s="60">
        <f>(SUBSIDIO!$J$46*SUBSIDIO!$V$46)*(0.04)/(1-0.04)</f>
        <v>608.98840000000007</v>
      </c>
      <c r="AC46" s="60">
        <f>((SUBSIDIO!$L$46*SUBSIDIO!$W$46)+(SUBSIDIO!$N$46*SUBSIDIO!$X$46))*(0.04)/(1-0.04)</f>
        <v>2057.1556983999999</v>
      </c>
      <c r="AD46" s="60">
        <f ca="1">(SUBSIDIO!$J$46*SUBSIDIO!$Y$46)*(0.02)/(1-0.02)</f>
        <v>301.46952537328775</v>
      </c>
      <c r="AE46" s="60">
        <f ca="1">((SUBSIDIO!$L$46*SUBSIDIO!$Z$46)+(SUBSIDIO!$N$46*SUBSIDIO!$AA$46))*(0.02)/(1-0.02)</f>
        <v>1036.8877519989105</v>
      </c>
      <c r="AF46" s="4" t="s">
        <v>998</v>
      </c>
    </row>
    <row r="47" spans="1:32" ht="11.25" customHeight="1" x14ac:dyDescent="0.25">
      <c r="A47" s="4" t="s">
        <v>21</v>
      </c>
      <c r="B47" s="4" t="s">
        <v>39</v>
      </c>
      <c r="C47" s="4" t="s">
        <v>40</v>
      </c>
      <c r="D47" s="4" t="s">
        <v>45</v>
      </c>
      <c r="E47" s="4" t="s">
        <v>25</v>
      </c>
      <c r="F47" s="4" t="s">
        <v>25</v>
      </c>
      <c r="G47" s="4" t="s">
        <v>25</v>
      </c>
      <c r="H47" s="4" t="s">
        <v>35</v>
      </c>
      <c r="I47" s="5">
        <v>44682</v>
      </c>
      <c r="J47" s="6">
        <v>1374</v>
      </c>
      <c r="K47" s="60">
        <v>1374</v>
      </c>
      <c r="L47" s="6">
        <v>253.95599999999999</v>
      </c>
      <c r="M47" s="60">
        <v>253.95599999999999</v>
      </c>
      <c r="N47" s="6">
        <v>253.95599999999999</v>
      </c>
      <c r="O47" s="60">
        <v>253.95599999999999</v>
      </c>
      <c r="P47" s="6">
        <v>0</v>
      </c>
      <c r="Q47" s="4" t="s">
        <v>26</v>
      </c>
      <c r="R47" s="4">
        <v>0</v>
      </c>
      <c r="S47" s="4">
        <v>3</v>
      </c>
      <c r="T47" s="4">
        <v>5</v>
      </c>
      <c r="U47" s="4">
        <v>65</v>
      </c>
      <c r="V47" s="60">
        <f>IF(ISERROR(VLOOKUP($S$47,'TAR FIN'!$A$1:$O$104,15,0)),0,VLOOKUP($S$47,'TAR FIN'!$A$1:$O$104,15,0))*(1-0.04)</f>
        <v>10.7232</v>
      </c>
      <c r="W47" s="60">
        <f>IF(ISERROR(VLOOKUP($T$47,'TAR FIN'!$A$1:$O$104,15,0)),0,VLOOKUP($T$47,'TAR FIN'!$A$1:$O$104,15,0))*(1-0.04)</f>
        <v>40.271999999999998</v>
      </c>
      <c r="X47" s="60">
        <f>IF(ISERROR(VLOOKUP($U$47,'TAR FIN'!$A$1:$O$104,15,0)),0,VLOOKUP($U$47,'TAR FIN'!$A$1:$O$104,15,0))*(1-0.04)</f>
        <v>233.10719999999998</v>
      </c>
      <c r="Y47" s="60">
        <f ca="1">('TUSD BE'!$AM$6+'TUSD BF'!$AM$6+'TUSD CVA'!$AM$6)*1*(1-0.02)</f>
        <v>10.837862614300146</v>
      </c>
      <c r="Z47" s="60">
        <f ca="1">('TUSD BE'!$AM$7+'TUSD BF'!$AM$7+'TUSD CVA'!$AM$7)*1*(1-0.02)</f>
        <v>54.201927392382608</v>
      </c>
      <c r="AA47" s="60">
        <f>('TE BE'!$AB$6+'TE BF'!$AB$6+'TE CVA'!$AB$6)*1*(1-0.02)</f>
        <v>227.12732236645527</v>
      </c>
      <c r="AB47" s="60">
        <f>(SUBSIDIO!$J$47*SUBSIDIO!$V$47)*(0.04)/(1-0.04)</f>
        <v>613.90320000000008</v>
      </c>
      <c r="AC47" s="60">
        <f>((SUBSIDIO!$L$47*SUBSIDIO!$W$47)+(SUBSIDIO!$N$47*SUBSIDIO!$X$47))*(0.04)/(1-0.04)</f>
        <v>2892.7620047999994</v>
      </c>
      <c r="AD47" s="60">
        <f ca="1">(SUBSIDIO!$J$47*SUBSIDIO!$Y$47)*(0.02)/(1-0.02)</f>
        <v>303.90251493976331</v>
      </c>
      <c r="AE47" s="60">
        <f ca="1">((SUBSIDIO!$L$47*SUBSIDIO!$Z$47)+(SUBSIDIO!$N$47*SUBSIDIO!$AA$47))*(0.02)/(1-0.02)</f>
        <v>1458.0663459541925</v>
      </c>
      <c r="AF47" s="4" t="s">
        <v>998</v>
      </c>
    </row>
    <row r="48" spans="1:32" ht="11.25" customHeight="1" x14ac:dyDescent="0.25">
      <c r="A48" s="4" t="s">
        <v>21</v>
      </c>
      <c r="B48" s="4" t="s">
        <v>39</v>
      </c>
      <c r="C48" s="4" t="s">
        <v>40</v>
      </c>
      <c r="D48" s="4" t="s">
        <v>45</v>
      </c>
      <c r="E48" s="4" t="s">
        <v>25</v>
      </c>
      <c r="F48" s="4" t="s">
        <v>25</v>
      </c>
      <c r="G48" s="4" t="s">
        <v>25</v>
      </c>
      <c r="H48" s="4" t="s">
        <v>35</v>
      </c>
      <c r="I48" s="5">
        <v>44713</v>
      </c>
      <c r="J48" s="6">
        <v>1363</v>
      </c>
      <c r="K48" s="60">
        <v>1363</v>
      </c>
      <c r="L48" s="6">
        <v>198.58600000000001</v>
      </c>
      <c r="M48" s="60">
        <v>198.58600000000001</v>
      </c>
      <c r="N48" s="6">
        <v>198.58600000000001</v>
      </c>
      <c r="O48" s="60">
        <v>198.58600000000001</v>
      </c>
      <c r="P48" s="6">
        <v>0</v>
      </c>
      <c r="Q48" s="4" t="s">
        <v>26</v>
      </c>
      <c r="R48" s="4">
        <v>0</v>
      </c>
      <c r="S48" s="4">
        <v>3</v>
      </c>
      <c r="T48" s="4">
        <v>5</v>
      </c>
      <c r="U48" s="4">
        <v>65</v>
      </c>
      <c r="V48" s="60">
        <f>IF(ISERROR(VLOOKUP($S$48,'TAR FIN'!$A$1:$O$104,15,0)),0,VLOOKUP($S$48,'TAR FIN'!$A$1:$O$104,15,0))*(1-0.04)</f>
        <v>10.7232</v>
      </c>
      <c r="W48" s="60">
        <f>IF(ISERROR(VLOOKUP($T$48,'TAR FIN'!$A$1:$O$104,15,0)),0,VLOOKUP($T$48,'TAR FIN'!$A$1:$O$104,15,0))*(1-0.04)</f>
        <v>40.271999999999998</v>
      </c>
      <c r="X48" s="60">
        <f>IF(ISERROR(VLOOKUP($U$48,'TAR FIN'!$A$1:$O$104,15,0)),0,VLOOKUP($U$48,'TAR FIN'!$A$1:$O$104,15,0))*(1-0.04)</f>
        <v>233.10719999999998</v>
      </c>
      <c r="Y48" s="60">
        <f ca="1">('TUSD BE'!$AM$6+'TUSD BF'!$AM$6+'TUSD CVA'!$AM$6)*1*(1-0.02)</f>
        <v>10.837862614300146</v>
      </c>
      <c r="Z48" s="60">
        <f ca="1">('TUSD BE'!$AM$7+'TUSD BF'!$AM$7+'TUSD CVA'!$AM$7)*1*(1-0.02)</f>
        <v>54.201927392382608</v>
      </c>
      <c r="AA48" s="60">
        <f>('TE BE'!$AB$6+'TE BF'!$AB$6+'TE CVA'!$AB$6)*1*(1-0.02)</f>
        <v>227.12732236645527</v>
      </c>
      <c r="AB48" s="60">
        <f>(SUBSIDIO!$J$48*SUBSIDIO!$V$48)*(0.04)/(1-0.04)</f>
        <v>608.98840000000007</v>
      </c>
      <c r="AC48" s="60">
        <f>((SUBSIDIO!$L$48*SUBSIDIO!$W$48)+(SUBSIDIO!$N$48*SUBSIDIO!$X$48))*(0.04)/(1-0.04)</f>
        <v>2262.0534087999999</v>
      </c>
      <c r="AD48" s="60">
        <f ca="1">(SUBSIDIO!$J$48*SUBSIDIO!$Y$48)*(0.02)/(1-0.02)</f>
        <v>301.46952537328775</v>
      </c>
      <c r="AE48" s="60">
        <f ca="1">((SUBSIDIO!$L$48*SUBSIDIO!$Z$48)+(SUBSIDIO!$N$48*SUBSIDIO!$AA$48))*(0.02)/(1-0.02)</f>
        <v>1140.1642937267059</v>
      </c>
      <c r="AF48" s="4" t="s">
        <v>998</v>
      </c>
    </row>
    <row r="49" spans="1:32" ht="11.25" customHeight="1" x14ac:dyDescent="0.25">
      <c r="A49" s="4" t="s">
        <v>57</v>
      </c>
      <c r="B49" s="4" t="s">
        <v>39</v>
      </c>
      <c r="C49" s="4" t="s">
        <v>40</v>
      </c>
      <c r="D49" s="4" t="s">
        <v>45</v>
      </c>
      <c r="E49" s="4" t="s">
        <v>25</v>
      </c>
      <c r="F49" s="4" t="s">
        <v>25</v>
      </c>
      <c r="G49" s="4" t="s">
        <v>25</v>
      </c>
      <c r="H49" s="4" t="s">
        <v>35</v>
      </c>
      <c r="I49" s="5">
        <v>44743</v>
      </c>
      <c r="J49" s="6">
        <v>1363</v>
      </c>
      <c r="K49" s="60">
        <v>1363</v>
      </c>
      <c r="L49" s="6">
        <v>198.58600000000001</v>
      </c>
      <c r="M49" s="60">
        <v>198.58600000000001</v>
      </c>
      <c r="N49" s="6">
        <v>198.58600000000001</v>
      </c>
      <c r="O49" s="60">
        <v>198.58600000000001</v>
      </c>
      <c r="P49" s="6">
        <v>0</v>
      </c>
      <c r="Q49" s="4" t="s">
        <v>26</v>
      </c>
      <c r="R49" s="4">
        <v>0</v>
      </c>
      <c r="S49" s="4">
        <v>3</v>
      </c>
      <c r="T49" s="4">
        <v>5</v>
      </c>
      <c r="U49" s="4">
        <v>65</v>
      </c>
      <c r="V49" s="60">
        <f>IF(ISERROR(VLOOKUP($S$49,'TAR FIN'!$A$1:$O$104,15,0)),0,VLOOKUP($S$49,'TAR FIN'!$A$1:$O$104,15,0))*(1-0.04)</f>
        <v>10.7232</v>
      </c>
      <c r="W49" s="60">
        <f>IF(ISERROR(VLOOKUP($T$49,'TAR FIN'!$A$1:$O$104,15,0)),0,VLOOKUP($T$49,'TAR FIN'!$A$1:$O$104,15,0))*(1-0.04)</f>
        <v>40.271999999999998</v>
      </c>
      <c r="X49" s="60">
        <f>IF(ISERROR(VLOOKUP($U$49,'TAR FIN'!$A$1:$O$104,15,0)),0,VLOOKUP($U$49,'TAR FIN'!$A$1:$O$104,15,0))*(1-0.04)</f>
        <v>233.10719999999998</v>
      </c>
      <c r="Y49" s="60">
        <f ca="1">('TUSD BE'!$AM$6+'TUSD BF'!$AM$6+'TUSD CVA'!$AM$6)*1*(1-0.02)</f>
        <v>10.837862614300146</v>
      </c>
      <c r="Z49" s="60">
        <f ca="1">('TUSD BE'!$AM$7+'TUSD BF'!$AM$7+'TUSD CVA'!$AM$7)*1*(1-0.02)</f>
        <v>54.201927392382608</v>
      </c>
      <c r="AA49" s="60">
        <f>('TE BE'!$AB$6+'TE BF'!$AB$6+'TE CVA'!$AB$6)*1*(1-0.02)</f>
        <v>227.12732236645527</v>
      </c>
      <c r="AB49" s="60">
        <f>(SUBSIDIO!$J$49*SUBSIDIO!$V$49)*(0.04)/(1-0.04)</f>
        <v>608.98840000000007</v>
      </c>
      <c r="AC49" s="60">
        <f>((SUBSIDIO!$L$49*SUBSIDIO!$W$49)+(SUBSIDIO!$N$49*SUBSIDIO!$X$49))*(0.04)/(1-0.04)</f>
        <v>2262.0534087999999</v>
      </c>
      <c r="AD49" s="60">
        <f ca="1">(SUBSIDIO!$J$49*SUBSIDIO!$Y$49)*(0.02)/(1-0.02)</f>
        <v>301.46952537328775</v>
      </c>
      <c r="AE49" s="60">
        <f ca="1">((SUBSIDIO!$L$49*SUBSIDIO!$Z$49)+(SUBSIDIO!$N$49*SUBSIDIO!$AA$49))*(0.02)/(1-0.02)</f>
        <v>1140.1642937267059</v>
      </c>
      <c r="AF49" s="4" t="s">
        <v>998</v>
      </c>
    </row>
    <row r="50" spans="1:32" ht="11.25" customHeight="1" x14ac:dyDescent="0.25">
      <c r="A50" s="4" t="s">
        <v>21</v>
      </c>
      <c r="B50" s="4" t="s">
        <v>39</v>
      </c>
      <c r="C50" s="4" t="s">
        <v>40</v>
      </c>
      <c r="D50" s="4" t="s">
        <v>45</v>
      </c>
      <c r="E50" s="4" t="s">
        <v>25</v>
      </c>
      <c r="F50" s="4" t="s">
        <v>25</v>
      </c>
      <c r="G50" s="4" t="s">
        <v>25</v>
      </c>
      <c r="H50" s="4" t="s">
        <v>34</v>
      </c>
      <c r="I50" s="5">
        <v>44409</v>
      </c>
      <c r="J50" s="6">
        <v>24</v>
      </c>
      <c r="K50" s="60">
        <v>24</v>
      </c>
      <c r="L50" s="6">
        <v>0</v>
      </c>
      <c r="M50" s="60">
        <v>0</v>
      </c>
      <c r="N50" s="6">
        <v>0</v>
      </c>
      <c r="O50" s="60">
        <v>0</v>
      </c>
      <c r="P50" s="6">
        <v>0</v>
      </c>
      <c r="Q50" s="4" t="s">
        <v>26</v>
      </c>
      <c r="R50" s="4">
        <v>0</v>
      </c>
      <c r="S50" s="4">
        <v>1</v>
      </c>
      <c r="T50" s="4">
        <v>0</v>
      </c>
      <c r="U50" s="4">
        <v>0</v>
      </c>
      <c r="V50" s="60">
        <f>IF(ISERROR(VLOOKUP($S$50,'TAR FIN'!$A$1:$O$104,15,0)),0,VLOOKUP($S$50,'TAR FIN'!$A$1:$O$104,15,0))*(1-0.04)</f>
        <v>20.620799999999999</v>
      </c>
      <c r="W50" s="60">
        <f>IF(ISERROR(VLOOKUP($T$50,'TAR FIN'!$A$1:$O$104,15,0)),0,VLOOKUP($T$50,'TAR FIN'!$A$1:$O$104,15,0))*(1-0.04)</f>
        <v>0</v>
      </c>
      <c r="X50" s="60">
        <f>IF(ISERROR(VLOOKUP($U$50,'TAR FIN'!$A$1:$O$104,15,0)),0,VLOOKUP($U$50,'TAR FIN'!$A$1:$O$104,15,0))*(1-0.04)</f>
        <v>0</v>
      </c>
      <c r="Y50" s="60">
        <f ca="1">('TUSD BE'!$AM$5+'TUSD BF'!$AM$5+'TUSD CVA'!$AM$5)*1*(1-0.02)</f>
        <v>20.886590412523198</v>
      </c>
      <c r="Z50" s="60">
        <f ca="1">('TUSD BE'!$AM$7+'TUSD BF'!$AM$7+'TUSD CVA'!$AM$7)*1*(1-0.02)</f>
        <v>54.201927392382608</v>
      </c>
      <c r="AA50" s="60">
        <f>('TE BE'!$AB$5+'TE BF'!$AB$5+'TE CVA'!$AB$5)*1*(1-0.02)</f>
        <v>353.05508603815775</v>
      </c>
      <c r="AB50" s="60">
        <f>(SUBSIDIO!$J$50*SUBSIDIO!$V$50)*(0.04)/(1-0.04)</f>
        <v>20.620799999999999</v>
      </c>
      <c r="AC50" s="60">
        <f>((SUBSIDIO!$L$50*SUBSIDIO!$W$50)+(SUBSIDIO!$N$50*SUBSIDIO!$X$50))*(0.04)/(1-0.04)</f>
        <v>0</v>
      </c>
      <c r="AD50" s="60">
        <f ca="1">(SUBSIDIO!$J$50*SUBSIDIO!$Y$50)*(0.02)/(1-0.02)</f>
        <v>10.230166732664424</v>
      </c>
      <c r="AE50" s="60">
        <f ca="1">((SUBSIDIO!$L$50*SUBSIDIO!$Z$50)+(SUBSIDIO!$N$50*SUBSIDIO!$AA$50))*(0.02)/(1-0.02)</f>
        <v>0</v>
      </c>
      <c r="AF50" s="4" t="s">
        <v>998</v>
      </c>
    </row>
    <row r="51" spans="1:32" ht="11.25" customHeight="1" x14ac:dyDescent="0.25">
      <c r="A51" s="4" t="s">
        <v>21</v>
      </c>
      <c r="B51" s="4" t="s">
        <v>39</v>
      </c>
      <c r="C51" s="4" t="s">
        <v>40</v>
      </c>
      <c r="D51" s="4" t="s">
        <v>45</v>
      </c>
      <c r="E51" s="4" t="s">
        <v>25</v>
      </c>
      <c r="F51" s="4" t="s">
        <v>25</v>
      </c>
      <c r="G51" s="4" t="s">
        <v>25</v>
      </c>
      <c r="H51" s="4" t="s">
        <v>34</v>
      </c>
      <c r="I51" s="5">
        <v>44440</v>
      </c>
      <c r="J51" s="6">
        <v>35</v>
      </c>
      <c r="K51" s="60">
        <v>35</v>
      </c>
      <c r="L51" s="6">
        <v>3.5</v>
      </c>
      <c r="M51" s="60">
        <v>3.5</v>
      </c>
      <c r="N51" s="6">
        <v>3.5</v>
      </c>
      <c r="O51" s="60">
        <v>3.5</v>
      </c>
      <c r="P51" s="6">
        <v>0</v>
      </c>
      <c r="Q51" s="4" t="s">
        <v>26</v>
      </c>
      <c r="R51" s="4">
        <v>0</v>
      </c>
      <c r="S51" s="4">
        <v>1</v>
      </c>
      <c r="T51" s="4">
        <v>5</v>
      </c>
      <c r="U51" s="4">
        <v>64</v>
      </c>
      <c r="V51" s="60">
        <f>IF(ISERROR(VLOOKUP($S$51,'TAR FIN'!$A$1:$O$104,15,0)),0,VLOOKUP($S$51,'TAR FIN'!$A$1:$O$104,15,0))*(1-0.04)</f>
        <v>20.620799999999999</v>
      </c>
      <c r="W51" s="60">
        <f>IF(ISERROR(VLOOKUP($T$51,'TAR FIN'!$A$1:$O$104,15,0)),0,VLOOKUP($T$51,'TAR FIN'!$A$1:$O$104,15,0))*(1-0.04)</f>
        <v>40.271999999999998</v>
      </c>
      <c r="X51" s="60">
        <f>IF(ISERROR(VLOOKUP($U$51,'TAR FIN'!$A$1:$O$104,15,0)),0,VLOOKUP($U$51,'TAR FIN'!$A$1:$O$104,15,0))*(1-0.04)</f>
        <v>381.71519999999998</v>
      </c>
      <c r="Y51" s="60">
        <f ca="1">('TUSD BE'!$AM$5+'TUSD BF'!$AM$5+'TUSD CVA'!$AM$5)*1*(1-0.02)</f>
        <v>20.886590412523198</v>
      </c>
      <c r="Z51" s="60">
        <f ca="1">('TUSD BE'!$AM$7+'TUSD BF'!$AM$7+'TUSD CVA'!$AM$7)*1*(1-0.02)</f>
        <v>54.201927392382608</v>
      </c>
      <c r="AA51" s="60">
        <f>('TE BE'!$AB$5+'TE BF'!$AB$5+'TE CVA'!$AB$5)*1*(1-0.02)</f>
        <v>353.05508603815775</v>
      </c>
      <c r="AB51" s="60">
        <f>(SUBSIDIO!$J$51*SUBSIDIO!$V$51)*(0.04)/(1-0.04)</f>
        <v>30.071999999999999</v>
      </c>
      <c r="AC51" s="60">
        <f>((SUBSIDIO!$L$51*SUBSIDIO!$W$51)+(SUBSIDIO!$N$51*SUBSIDIO!$X$51))*(0.04)/(1-0.04)</f>
        <v>61.5398</v>
      </c>
      <c r="AD51" s="60">
        <f ca="1">(SUBSIDIO!$J$51*SUBSIDIO!$Y$51)*(0.02)/(1-0.02)</f>
        <v>14.918993151802285</v>
      </c>
      <c r="AE51" s="60">
        <f ca="1">((SUBSIDIO!$L$51*SUBSIDIO!$Z$51)+(SUBSIDIO!$N$51*SUBSIDIO!$AA$51))*(0.02)/(1-0.02)</f>
        <v>29.089786673610028</v>
      </c>
      <c r="AF51" s="4" t="s">
        <v>998</v>
      </c>
    </row>
    <row r="52" spans="1:32" ht="11.25" customHeight="1" x14ac:dyDescent="0.25">
      <c r="A52" s="4" t="s">
        <v>21</v>
      </c>
      <c r="B52" s="4" t="s">
        <v>39</v>
      </c>
      <c r="C52" s="4" t="s">
        <v>40</v>
      </c>
      <c r="D52" s="4" t="s">
        <v>45</v>
      </c>
      <c r="E52" s="4" t="s">
        <v>25</v>
      </c>
      <c r="F52" s="4" t="s">
        <v>25</v>
      </c>
      <c r="G52" s="4" t="s">
        <v>25</v>
      </c>
      <c r="H52" s="4" t="s">
        <v>34</v>
      </c>
      <c r="I52" s="5">
        <v>44470</v>
      </c>
      <c r="J52" s="6">
        <v>105</v>
      </c>
      <c r="K52" s="60">
        <v>105</v>
      </c>
      <c r="L52" s="6">
        <v>0</v>
      </c>
      <c r="M52" s="60">
        <v>0</v>
      </c>
      <c r="N52" s="6">
        <v>0</v>
      </c>
      <c r="O52" s="60">
        <v>0</v>
      </c>
      <c r="P52" s="6">
        <v>0</v>
      </c>
      <c r="Q52" s="4" t="s">
        <v>26</v>
      </c>
      <c r="R52" s="4">
        <v>0</v>
      </c>
      <c r="S52" s="4">
        <v>1</v>
      </c>
      <c r="T52" s="4">
        <v>0</v>
      </c>
      <c r="U52" s="4">
        <v>0</v>
      </c>
      <c r="V52" s="60">
        <f>IF(ISERROR(VLOOKUP($S$52,'TAR FIN'!$A$1:$O$104,15,0)),0,VLOOKUP($S$52,'TAR FIN'!$A$1:$O$104,15,0))*(1-0.04)</f>
        <v>20.620799999999999</v>
      </c>
      <c r="W52" s="60">
        <f>IF(ISERROR(VLOOKUP($T$52,'TAR FIN'!$A$1:$O$104,15,0)),0,VLOOKUP($T$52,'TAR FIN'!$A$1:$O$104,15,0))*(1-0.04)</f>
        <v>0</v>
      </c>
      <c r="X52" s="60">
        <f>IF(ISERROR(VLOOKUP($U$52,'TAR FIN'!$A$1:$O$104,15,0)),0,VLOOKUP($U$52,'TAR FIN'!$A$1:$O$104,15,0))*(1-0.04)</f>
        <v>0</v>
      </c>
      <c r="Y52" s="60">
        <f ca="1">('TUSD BE'!$AM$5+'TUSD BF'!$AM$5+'TUSD CVA'!$AM$5)*1*(1-0.02)</f>
        <v>20.886590412523198</v>
      </c>
      <c r="Z52" s="60">
        <f ca="1">('TUSD BE'!$AM$7+'TUSD BF'!$AM$7+'TUSD CVA'!$AM$7)*1*(1-0.02)</f>
        <v>54.201927392382608</v>
      </c>
      <c r="AA52" s="60">
        <f>('TE BE'!$AB$5+'TE BF'!$AB$5+'TE CVA'!$AB$5)*1*(1-0.02)</f>
        <v>353.05508603815775</v>
      </c>
      <c r="AB52" s="60">
        <f>(SUBSIDIO!$J$52*SUBSIDIO!$V$52)*(0.04)/(1-0.04)</f>
        <v>90.215999999999994</v>
      </c>
      <c r="AC52" s="60">
        <f>((SUBSIDIO!$L$52*SUBSIDIO!$W$52)+(SUBSIDIO!$N$52*SUBSIDIO!$X$52))*(0.04)/(1-0.04)</f>
        <v>0</v>
      </c>
      <c r="AD52" s="60">
        <f ca="1">(SUBSIDIO!$J$52*SUBSIDIO!$Y$52)*(0.02)/(1-0.02)</f>
        <v>44.756979455406857</v>
      </c>
      <c r="AE52" s="60">
        <f ca="1">((SUBSIDIO!$L$52*SUBSIDIO!$Z$52)+(SUBSIDIO!$N$52*SUBSIDIO!$AA$52))*(0.02)/(1-0.02)</f>
        <v>0</v>
      </c>
      <c r="AF52" s="4" t="s">
        <v>998</v>
      </c>
    </row>
    <row r="53" spans="1:32" ht="11.25" customHeight="1" x14ac:dyDescent="0.25">
      <c r="A53" s="4" t="s">
        <v>21</v>
      </c>
      <c r="B53" s="4" t="s">
        <v>39</v>
      </c>
      <c r="C53" s="4" t="s">
        <v>40</v>
      </c>
      <c r="D53" s="4" t="s">
        <v>45</v>
      </c>
      <c r="E53" s="4" t="s">
        <v>25</v>
      </c>
      <c r="F53" s="4" t="s">
        <v>25</v>
      </c>
      <c r="G53" s="4" t="s">
        <v>25</v>
      </c>
      <c r="H53" s="4" t="s">
        <v>34</v>
      </c>
      <c r="I53" s="5">
        <v>44501</v>
      </c>
      <c r="J53" s="6">
        <v>140</v>
      </c>
      <c r="K53" s="60">
        <v>140</v>
      </c>
      <c r="L53" s="6">
        <v>0</v>
      </c>
      <c r="M53" s="60">
        <v>0</v>
      </c>
      <c r="N53" s="6">
        <v>0</v>
      </c>
      <c r="O53" s="60">
        <v>0</v>
      </c>
      <c r="P53" s="6">
        <v>0</v>
      </c>
      <c r="Q53" s="4" t="s">
        <v>26</v>
      </c>
      <c r="R53" s="4">
        <v>0</v>
      </c>
      <c r="S53" s="4">
        <v>1</v>
      </c>
      <c r="T53" s="4">
        <v>0</v>
      </c>
      <c r="U53" s="4">
        <v>0</v>
      </c>
      <c r="V53" s="60">
        <f>IF(ISERROR(VLOOKUP($S$53,'TAR FIN'!$A$1:$O$104,15,0)),0,VLOOKUP($S$53,'TAR FIN'!$A$1:$O$104,15,0))*(1-0.04)</f>
        <v>20.620799999999999</v>
      </c>
      <c r="W53" s="60">
        <f>IF(ISERROR(VLOOKUP($T$53,'TAR FIN'!$A$1:$O$104,15,0)),0,VLOOKUP($T$53,'TAR FIN'!$A$1:$O$104,15,0))*(1-0.04)</f>
        <v>0</v>
      </c>
      <c r="X53" s="60">
        <f>IF(ISERROR(VLOOKUP($U$53,'TAR FIN'!$A$1:$O$104,15,0)),0,VLOOKUP($U$53,'TAR FIN'!$A$1:$O$104,15,0))*(1-0.04)</f>
        <v>0</v>
      </c>
      <c r="Y53" s="60">
        <f ca="1">('TUSD BE'!$AM$5+'TUSD BF'!$AM$5+'TUSD CVA'!$AM$5)*1*(1-0.02)</f>
        <v>20.886590412523198</v>
      </c>
      <c r="Z53" s="60">
        <f ca="1">('TUSD BE'!$AM$7+'TUSD BF'!$AM$7+'TUSD CVA'!$AM$7)*1*(1-0.02)</f>
        <v>54.201927392382608</v>
      </c>
      <c r="AA53" s="60">
        <f>('TE BE'!$AB$5+'TE BF'!$AB$5+'TE CVA'!$AB$5)*1*(1-0.02)</f>
        <v>353.05508603815775</v>
      </c>
      <c r="AB53" s="60">
        <f>(SUBSIDIO!$J$53*SUBSIDIO!$V$53)*(0.04)/(1-0.04)</f>
        <v>120.288</v>
      </c>
      <c r="AC53" s="60">
        <f>((SUBSIDIO!$L$53*SUBSIDIO!$W$53)+(SUBSIDIO!$N$53*SUBSIDIO!$X$53))*(0.04)/(1-0.04)</f>
        <v>0</v>
      </c>
      <c r="AD53" s="60">
        <f ca="1">(SUBSIDIO!$J$53*SUBSIDIO!$Y$53)*(0.02)/(1-0.02)</f>
        <v>59.67597260720914</v>
      </c>
      <c r="AE53" s="60">
        <f ca="1">((SUBSIDIO!$L$53*SUBSIDIO!$Z$53)+(SUBSIDIO!$N$53*SUBSIDIO!$AA$53))*(0.02)/(1-0.02)</f>
        <v>0</v>
      </c>
      <c r="AF53" s="4" t="s">
        <v>998</v>
      </c>
    </row>
    <row r="54" spans="1:32" ht="11.25" customHeight="1" x14ac:dyDescent="0.25">
      <c r="A54" s="4" t="s">
        <v>21</v>
      </c>
      <c r="B54" s="4" t="s">
        <v>39</v>
      </c>
      <c r="C54" s="4" t="s">
        <v>40</v>
      </c>
      <c r="D54" s="4" t="s">
        <v>45</v>
      </c>
      <c r="E54" s="4" t="s">
        <v>25</v>
      </c>
      <c r="F54" s="4" t="s">
        <v>25</v>
      </c>
      <c r="G54" s="4" t="s">
        <v>25</v>
      </c>
      <c r="H54" s="4" t="s">
        <v>34</v>
      </c>
      <c r="I54" s="5">
        <v>44531</v>
      </c>
      <c r="J54" s="6">
        <v>210</v>
      </c>
      <c r="K54" s="60">
        <v>210</v>
      </c>
      <c r="L54" s="6">
        <v>0</v>
      </c>
      <c r="M54" s="60">
        <v>0</v>
      </c>
      <c r="N54" s="6">
        <v>0</v>
      </c>
      <c r="O54" s="60">
        <v>0</v>
      </c>
      <c r="P54" s="6">
        <v>0</v>
      </c>
      <c r="Q54" s="4" t="s">
        <v>26</v>
      </c>
      <c r="R54" s="4">
        <v>0</v>
      </c>
      <c r="S54" s="4">
        <v>1</v>
      </c>
      <c r="T54" s="4">
        <v>0</v>
      </c>
      <c r="U54" s="4">
        <v>0</v>
      </c>
      <c r="V54" s="60">
        <f>IF(ISERROR(VLOOKUP($S$54,'TAR FIN'!$A$1:$O$104,15,0)),0,VLOOKUP($S$54,'TAR FIN'!$A$1:$O$104,15,0))*(1-0.04)</f>
        <v>20.620799999999999</v>
      </c>
      <c r="W54" s="60">
        <f>IF(ISERROR(VLOOKUP($T$54,'TAR FIN'!$A$1:$O$104,15,0)),0,VLOOKUP($T$54,'TAR FIN'!$A$1:$O$104,15,0))*(1-0.04)</f>
        <v>0</v>
      </c>
      <c r="X54" s="60">
        <f>IF(ISERROR(VLOOKUP($U$54,'TAR FIN'!$A$1:$O$104,15,0)),0,VLOOKUP($U$54,'TAR FIN'!$A$1:$O$104,15,0))*(1-0.04)</f>
        <v>0</v>
      </c>
      <c r="Y54" s="60">
        <f ca="1">('TUSD BE'!$AM$5+'TUSD BF'!$AM$5+'TUSD CVA'!$AM$5)*1*(1-0.02)</f>
        <v>20.886590412523198</v>
      </c>
      <c r="Z54" s="60">
        <f ca="1">('TUSD BE'!$AM$7+'TUSD BF'!$AM$7+'TUSD CVA'!$AM$7)*1*(1-0.02)</f>
        <v>54.201927392382608</v>
      </c>
      <c r="AA54" s="60">
        <f>('TE BE'!$AB$5+'TE BF'!$AB$5+'TE CVA'!$AB$5)*1*(1-0.02)</f>
        <v>353.05508603815775</v>
      </c>
      <c r="AB54" s="60">
        <f>(SUBSIDIO!$J$54*SUBSIDIO!$V$54)*(0.04)/(1-0.04)</f>
        <v>180.43199999999999</v>
      </c>
      <c r="AC54" s="60">
        <f>((SUBSIDIO!$L$54*SUBSIDIO!$W$54)+(SUBSIDIO!$N$54*SUBSIDIO!$X$54))*(0.04)/(1-0.04)</f>
        <v>0</v>
      </c>
      <c r="AD54" s="60">
        <f ca="1">(SUBSIDIO!$J$54*SUBSIDIO!$Y$54)*(0.02)/(1-0.02)</f>
        <v>89.513958910813713</v>
      </c>
      <c r="AE54" s="60">
        <f ca="1">((SUBSIDIO!$L$54*SUBSIDIO!$Z$54)+(SUBSIDIO!$N$54*SUBSIDIO!$AA$54))*(0.02)/(1-0.02)</f>
        <v>0</v>
      </c>
      <c r="AF54" s="4" t="s">
        <v>998</v>
      </c>
    </row>
    <row r="55" spans="1:32" ht="11.25" customHeight="1" x14ac:dyDescent="0.25">
      <c r="A55" s="4" t="s">
        <v>21</v>
      </c>
      <c r="B55" s="4" t="s">
        <v>39</v>
      </c>
      <c r="C55" s="4" t="s">
        <v>40</v>
      </c>
      <c r="D55" s="4" t="s">
        <v>45</v>
      </c>
      <c r="E55" s="4" t="s">
        <v>25</v>
      </c>
      <c r="F55" s="4" t="s">
        <v>25</v>
      </c>
      <c r="G55" s="4" t="s">
        <v>25</v>
      </c>
      <c r="H55" s="4" t="s">
        <v>34</v>
      </c>
      <c r="I55" s="5">
        <v>44562</v>
      </c>
      <c r="J55" s="6">
        <v>21</v>
      </c>
      <c r="K55" s="60">
        <v>21</v>
      </c>
      <c r="L55" s="6">
        <v>1.0149999999999999</v>
      </c>
      <c r="M55" s="60">
        <v>1.0149999999999999</v>
      </c>
      <c r="N55" s="6">
        <v>1.0149999999999999</v>
      </c>
      <c r="O55" s="60">
        <v>1.0149999999999999</v>
      </c>
      <c r="P55" s="6">
        <v>0</v>
      </c>
      <c r="Q55" s="4" t="s">
        <v>26</v>
      </c>
      <c r="R55" s="4">
        <v>0</v>
      </c>
      <c r="S55" s="4">
        <v>1</v>
      </c>
      <c r="T55" s="4">
        <v>5</v>
      </c>
      <c r="U55" s="4">
        <v>64</v>
      </c>
      <c r="V55" s="60">
        <f>IF(ISERROR(VLOOKUP($S$55,'TAR FIN'!$A$1:$O$104,15,0)),0,VLOOKUP($S$55,'TAR FIN'!$A$1:$O$104,15,0))*(1-0.04)</f>
        <v>20.620799999999999</v>
      </c>
      <c r="W55" s="60">
        <f>IF(ISERROR(VLOOKUP($T$55,'TAR FIN'!$A$1:$O$104,15,0)),0,VLOOKUP($T$55,'TAR FIN'!$A$1:$O$104,15,0))*(1-0.04)</f>
        <v>40.271999999999998</v>
      </c>
      <c r="X55" s="60">
        <f>IF(ISERROR(VLOOKUP($U$55,'TAR FIN'!$A$1:$O$104,15,0)),0,VLOOKUP($U$55,'TAR FIN'!$A$1:$O$104,15,0))*(1-0.04)</f>
        <v>381.71519999999998</v>
      </c>
      <c r="Y55" s="60">
        <f ca="1">('TUSD BE'!$AM$5+'TUSD BF'!$AM$5+'TUSD CVA'!$AM$5)*1*(1-0.02)</f>
        <v>20.886590412523198</v>
      </c>
      <c r="Z55" s="60">
        <f ca="1">('TUSD BE'!$AM$7+'TUSD BF'!$AM$7+'TUSD CVA'!$AM$7)*1*(1-0.02)</f>
        <v>54.201927392382608</v>
      </c>
      <c r="AA55" s="60">
        <f>('TE BE'!$AB$5+'TE BF'!$AB$5+'TE CVA'!$AB$5)*1*(1-0.02)</f>
        <v>353.05508603815775</v>
      </c>
      <c r="AB55" s="60">
        <f>(SUBSIDIO!$J$55*SUBSIDIO!$V$55)*(0.04)/(1-0.04)</f>
        <v>18.043200000000002</v>
      </c>
      <c r="AC55" s="60">
        <f>((SUBSIDIO!$L$55*SUBSIDIO!$W$55)+(SUBSIDIO!$N$55*SUBSIDIO!$X$55))*(0.04)/(1-0.04)</f>
        <v>17.846541999999999</v>
      </c>
      <c r="AD55" s="60">
        <f ca="1">(SUBSIDIO!$J$55*SUBSIDIO!$Y$55)*(0.02)/(1-0.02)</f>
        <v>8.951395891081372</v>
      </c>
      <c r="AE55" s="60">
        <f ca="1">((SUBSIDIO!$L$55*SUBSIDIO!$Z$55)+(SUBSIDIO!$N$55*SUBSIDIO!$AA$55))*(0.02)/(1-0.02)</f>
        <v>8.4360381353469069</v>
      </c>
      <c r="AF55" s="4" t="s">
        <v>998</v>
      </c>
    </row>
    <row r="56" spans="1:32" ht="11.25" customHeight="1" x14ac:dyDescent="0.25">
      <c r="A56" s="4" t="s">
        <v>21</v>
      </c>
      <c r="B56" s="4" t="s">
        <v>39</v>
      </c>
      <c r="C56" s="4" t="s">
        <v>40</v>
      </c>
      <c r="D56" s="4" t="s">
        <v>45</v>
      </c>
      <c r="E56" s="4" t="s">
        <v>25</v>
      </c>
      <c r="F56" s="4" t="s">
        <v>25</v>
      </c>
      <c r="G56" s="4" t="s">
        <v>25</v>
      </c>
      <c r="H56" s="4" t="s">
        <v>34</v>
      </c>
      <c r="I56" s="5">
        <v>44593</v>
      </c>
      <c r="J56" s="6">
        <v>21</v>
      </c>
      <c r="K56" s="60">
        <v>21</v>
      </c>
      <c r="L56" s="6">
        <v>0.45600000000000002</v>
      </c>
      <c r="M56" s="60">
        <v>0.45600000000000002</v>
      </c>
      <c r="N56" s="6">
        <v>0.45600000000000002</v>
      </c>
      <c r="O56" s="60">
        <v>0.45600000000000002</v>
      </c>
      <c r="P56" s="6">
        <v>0</v>
      </c>
      <c r="Q56" s="4" t="s">
        <v>26</v>
      </c>
      <c r="R56" s="4">
        <v>0</v>
      </c>
      <c r="S56" s="4">
        <v>1</v>
      </c>
      <c r="T56" s="4">
        <v>5</v>
      </c>
      <c r="U56" s="4">
        <v>64</v>
      </c>
      <c r="V56" s="60">
        <f>IF(ISERROR(VLOOKUP($S$56,'TAR FIN'!$A$1:$O$104,15,0)),0,VLOOKUP($S$56,'TAR FIN'!$A$1:$O$104,15,0))*(1-0.04)</f>
        <v>20.620799999999999</v>
      </c>
      <c r="W56" s="60">
        <f>IF(ISERROR(VLOOKUP($T$56,'TAR FIN'!$A$1:$O$104,15,0)),0,VLOOKUP($T$56,'TAR FIN'!$A$1:$O$104,15,0))*(1-0.04)</f>
        <v>40.271999999999998</v>
      </c>
      <c r="X56" s="60">
        <f>IF(ISERROR(VLOOKUP($U$56,'TAR FIN'!$A$1:$O$104,15,0)),0,VLOOKUP($U$56,'TAR FIN'!$A$1:$O$104,15,0))*(1-0.04)</f>
        <v>381.71519999999998</v>
      </c>
      <c r="Y56" s="60">
        <f ca="1">('TUSD BE'!$AM$5+'TUSD BF'!$AM$5+'TUSD CVA'!$AM$5)*1*(1-0.02)</f>
        <v>20.886590412523198</v>
      </c>
      <c r="Z56" s="60">
        <f ca="1">('TUSD BE'!$AM$7+'TUSD BF'!$AM$7+'TUSD CVA'!$AM$7)*1*(1-0.02)</f>
        <v>54.201927392382608</v>
      </c>
      <c r="AA56" s="60">
        <f>('TE BE'!$AB$5+'TE BF'!$AB$5+'TE CVA'!$AB$5)*1*(1-0.02)</f>
        <v>353.05508603815775</v>
      </c>
      <c r="AB56" s="60">
        <f>(SUBSIDIO!$J$56*SUBSIDIO!$V$56)*(0.04)/(1-0.04)</f>
        <v>18.043200000000002</v>
      </c>
      <c r="AC56" s="60">
        <f>((SUBSIDIO!$L$56*SUBSIDIO!$W$56)+(SUBSIDIO!$N$56*SUBSIDIO!$X$56))*(0.04)/(1-0.04)</f>
        <v>8.0177568000000026</v>
      </c>
      <c r="AD56" s="60">
        <f ca="1">(SUBSIDIO!$J$56*SUBSIDIO!$Y$56)*(0.02)/(1-0.02)</f>
        <v>8.951395891081372</v>
      </c>
      <c r="AE56" s="60">
        <f ca="1">((SUBSIDIO!$L$56*SUBSIDIO!$Z$56)+(SUBSIDIO!$N$56*SUBSIDIO!$AA$56))*(0.02)/(1-0.02)</f>
        <v>3.7899836351903349</v>
      </c>
      <c r="AF56" s="4" t="s">
        <v>998</v>
      </c>
    </row>
    <row r="57" spans="1:32" ht="11.25" customHeight="1" x14ac:dyDescent="0.25">
      <c r="A57" s="4" t="s">
        <v>21</v>
      </c>
      <c r="B57" s="4" t="s">
        <v>39</v>
      </c>
      <c r="C57" s="4" t="s">
        <v>40</v>
      </c>
      <c r="D57" s="4" t="s">
        <v>45</v>
      </c>
      <c r="E57" s="4" t="s">
        <v>25</v>
      </c>
      <c r="F57" s="4" t="s">
        <v>25</v>
      </c>
      <c r="G57" s="4" t="s">
        <v>25</v>
      </c>
      <c r="H57" s="4" t="s">
        <v>34</v>
      </c>
      <c r="I57" s="5">
        <v>44621</v>
      </c>
      <c r="J57" s="6">
        <v>193</v>
      </c>
      <c r="K57" s="60">
        <v>193</v>
      </c>
      <c r="L57" s="6">
        <v>0.56200000000000006</v>
      </c>
      <c r="M57" s="60">
        <v>0.56200000000000006</v>
      </c>
      <c r="N57" s="6">
        <v>0.56200000000000006</v>
      </c>
      <c r="O57" s="60">
        <v>0.56200000000000006</v>
      </c>
      <c r="P57" s="6">
        <v>0</v>
      </c>
      <c r="Q57" s="4" t="s">
        <v>26</v>
      </c>
      <c r="R57" s="4">
        <v>0</v>
      </c>
      <c r="S57" s="4">
        <v>1</v>
      </c>
      <c r="T57" s="4">
        <v>5</v>
      </c>
      <c r="U57" s="4">
        <v>64</v>
      </c>
      <c r="V57" s="60">
        <f>IF(ISERROR(VLOOKUP($S$57,'TAR FIN'!$A$1:$O$104,15,0)),0,VLOOKUP($S$57,'TAR FIN'!$A$1:$O$104,15,0))*(1-0.04)</f>
        <v>20.620799999999999</v>
      </c>
      <c r="W57" s="60">
        <f>IF(ISERROR(VLOOKUP($T$57,'TAR FIN'!$A$1:$O$104,15,0)),0,VLOOKUP($T$57,'TAR FIN'!$A$1:$O$104,15,0))*(1-0.04)</f>
        <v>40.271999999999998</v>
      </c>
      <c r="X57" s="60">
        <f>IF(ISERROR(VLOOKUP($U$57,'TAR FIN'!$A$1:$O$104,15,0)),0,VLOOKUP($U$57,'TAR FIN'!$A$1:$O$104,15,0))*(1-0.04)</f>
        <v>381.71519999999998</v>
      </c>
      <c r="Y57" s="60">
        <f ca="1">('TUSD BE'!$AM$5+'TUSD BF'!$AM$5+'TUSD CVA'!$AM$5)*1*(1-0.02)</f>
        <v>20.886590412523198</v>
      </c>
      <c r="Z57" s="60">
        <f ca="1">('TUSD BE'!$AM$7+'TUSD BF'!$AM$7+'TUSD CVA'!$AM$7)*1*(1-0.02)</f>
        <v>54.201927392382608</v>
      </c>
      <c r="AA57" s="60">
        <f>('TE BE'!$AB$5+'TE BF'!$AB$5+'TE CVA'!$AB$5)*1*(1-0.02)</f>
        <v>353.05508603815775</v>
      </c>
      <c r="AB57" s="60">
        <f>(SUBSIDIO!$J$57*SUBSIDIO!$V$57)*(0.04)/(1-0.04)</f>
        <v>165.82560000000001</v>
      </c>
      <c r="AC57" s="60">
        <f>((SUBSIDIO!$L$57*SUBSIDIO!$W$57)+(SUBSIDIO!$N$57*SUBSIDIO!$X$57))*(0.04)/(1-0.04)</f>
        <v>9.8815336000000009</v>
      </c>
      <c r="AD57" s="60">
        <f ca="1">(SUBSIDIO!$J$57*SUBSIDIO!$Y$57)*(0.02)/(1-0.02)</f>
        <v>82.267590808509738</v>
      </c>
      <c r="AE57" s="60">
        <f ca="1">((SUBSIDIO!$L$57*SUBSIDIO!$Z$57)+(SUBSIDIO!$N$57*SUBSIDIO!$AA$57))*(0.02)/(1-0.02)</f>
        <v>4.6709886030196675</v>
      </c>
      <c r="AF57" s="4" t="s">
        <v>998</v>
      </c>
    </row>
    <row r="58" spans="1:32" ht="11.25" customHeight="1" x14ac:dyDescent="0.25">
      <c r="A58" s="4" t="s">
        <v>21</v>
      </c>
      <c r="B58" s="4" t="s">
        <v>39</v>
      </c>
      <c r="C58" s="4" t="s">
        <v>40</v>
      </c>
      <c r="D58" s="4" t="s">
        <v>45</v>
      </c>
      <c r="E58" s="4" t="s">
        <v>25</v>
      </c>
      <c r="F58" s="4" t="s">
        <v>25</v>
      </c>
      <c r="G58" s="4" t="s">
        <v>25</v>
      </c>
      <c r="H58" s="4" t="s">
        <v>34</v>
      </c>
      <c r="I58" s="5">
        <v>44652</v>
      </c>
      <c r="J58" s="6">
        <v>190</v>
      </c>
      <c r="K58" s="60">
        <v>190</v>
      </c>
      <c r="L58" s="6">
        <v>0.47799999999999998</v>
      </c>
      <c r="M58" s="60">
        <v>0.47799999999999998</v>
      </c>
      <c r="N58" s="6">
        <v>0.47799999999999998</v>
      </c>
      <c r="O58" s="60">
        <v>0.47799999999999998</v>
      </c>
      <c r="P58" s="6">
        <v>0</v>
      </c>
      <c r="Q58" s="4" t="s">
        <v>26</v>
      </c>
      <c r="R58" s="4">
        <v>0</v>
      </c>
      <c r="S58" s="4">
        <v>1</v>
      </c>
      <c r="T58" s="4">
        <v>5</v>
      </c>
      <c r="U58" s="4">
        <v>64</v>
      </c>
      <c r="V58" s="60">
        <f>IF(ISERROR(VLOOKUP($S$58,'TAR FIN'!$A$1:$O$104,15,0)),0,VLOOKUP($S$58,'TAR FIN'!$A$1:$O$104,15,0))*(1-0.04)</f>
        <v>20.620799999999999</v>
      </c>
      <c r="W58" s="60">
        <f>IF(ISERROR(VLOOKUP($T$58,'TAR FIN'!$A$1:$O$104,15,0)),0,VLOOKUP($T$58,'TAR FIN'!$A$1:$O$104,15,0))*(1-0.04)</f>
        <v>40.271999999999998</v>
      </c>
      <c r="X58" s="60">
        <f>IF(ISERROR(VLOOKUP($U$58,'TAR FIN'!$A$1:$O$104,15,0)),0,VLOOKUP($U$58,'TAR FIN'!$A$1:$O$104,15,0))*(1-0.04)</f>
        <v>381.71519999999998</v>
      </c>
      <c r="Y58" s="60">
        <f ca="1">('TUSD BE'!$AM$5+'TUSD BF'!$AM$5+'TUSD CVA'!$AM$5)*1*(1-0.02)</f>
        <v>20.886590412523198</v>
      </c>
      <c r="Z58" s="60">
        <f ca="1">('TUSD BE'!$AM$7+'TUSD BF'!$AM$7+'TUSD CVA'!$AM$7)*1*(1-0.02)</f>
        <v>54.201927392382608</v>
      </c>
      <c r="AA58" s="60">
        <f>('TE BE'!$AB$5+'TE BF'!$AB$5+'TE CVA'!$AB$5)*1*(1-0.02)</f>
        <v>353.05508603815775</v>
      </c>
      <c r="AB58" s="60">
        <f>(SUBSIDIO!$J$58*SUBSIDIO!$V$58)*(0.04)/(1-0.04)</f>
        <v>163.24799999999999</v>
      </c>
      <c r="AC58" s="60">
        <f>((SUBSIDIO!$L$58*SUBSIDIO!$W$58)+(SUBSIDIO!$N$58*SUBSIDIO!$X$58))*(0.04)/(1-0.04)</f>
        <v>8.4045784000000001</v>
      </c>
      <c r="AD58" s="60">
        <f ca="1">(SUBSIDIO!$J$58*SUBSIDIO!$Y$58)*(0.02)/(1-0.02)</f>
        <v>80.988819966926684</v>
      </c>
      <c r="AE58" s="60">
        <f ca="1">((SUBSIDIO!$L$58*SUBSIDIO!$Z$58)+(SUBSIDIO!$N$58*SUBSIDIO!$AA$58))*(0.02)/(1-0.02)</f>
        <v>3.9728337228530264</v>
      </c>
      <c r="AF58" s="4" t="s">
        <v>998</v>
      </c>
    </row>
    <row r="59" spans="1:32" ht="11.25" customHeight="1" x14ac:dyDescent="0.25">
      <c r="A59" s="4" t="s">
        <v>21</v>
      </c>
      <c r="B59" s="4" t="s">
        <v>39</v>
      </c>
      <c r="C59" s="4" t="s">
        <v>40</v>
      </c>
      <c r="D59" s="4" t="s">
        <v>45</v>
      </c>
      <c r="E59" s="4" t="s">
        <v>25</v>
      </c>
      <c r="F59" s="4" t="s">
        <v>25</v>
      </c>
      <c r="G59" s="4" t="s">
        <v>25</v>
      </c>
      <c r="H59" s="4" t="s">
        <v>34</v>
      </c>
      <c r="I59" s="5">
        <v>44682</v>
      </c>
      <c r="J59" s="6">
        <v>378</v>
      </c>
      <c r="K59" s="60">
        <v>378</v>
      </c>
      <c r="L59" s="6">
        <v>0.81299999999999994</v>
      </c>
      <c r="M59" s="60">
        <v>0.81299999999999994</v>
      </c>
      <c r="N59" s="6">
        <v>0.81299999999999994</v>
      </c>
      <c r="O59" s="60">
        <v>0.81299999999999994</v>
      </c>
      <c r="P59" s="6">
        <v>0</v>
      </c>
      <c r="Q59" s="4" t="s">
        <v>26</v>
      </c>
      <c r="R59" s="4">
        <v>0</v>
      </c>
      <c r="S59" s="4">
        <v>1</v>
      </c>
      <c r="T59" s="4">
        <v>5</v>
      </c>
      <c r="U59" s="4">
        <v>64</v>
      </c>
      <c r="V59" s="60">
        <f>IF(ISERROR(VLOOKUP($S$59,'TAR FIN'!$A$1:$O$104,15,0)),0,VLOOKUP($S$59,'TAR FIN'!$A$1:$O$104,15,0))*(1-0.04)</f>
        <v>20.620799999999999</v>
      </c>
      <c r="W59" s="60">
        <f>IF(ISERROR(VLOOKUP($T$59,'TAR FIN'!$A$1:$O$104,15,0)),0,VLOOKUP($T$59,'TAR FIN'!$A$1:$O$104,15,0))*(1-0.04)</f>
        <v>40.271999999999998</v>
      </c>
      <c r="X59" s="60">
        <f>IF(ISERROR(VLOOKUP($U$59,'TAR FIN'!$A$1:$O$104,15,0)),0,VLOOKUP($U$59,'TAR FIN'!$A$1:$O$104,15,0))*(1-0.04)</f>
        <v>381.71519999999998</v>
      </c>
      <c r="Y59" s="60">
        <f ca="1">('TUSD BE'!$AM$5+'TUSD BF'!$AM$5+'TUSD CVA'!$AM$5)*1*(1-0.02)</f>
        <v>20.886590412523198</v>
      </c>
      <c r="Z59" s="60">
        <f ca="1">('TUSD BE'!$AM$7+'TUSD BF'!$AM$7+'TUSD CVA'!$AM$7)*1*(1-0.02)</f>
        <v>54.201927392382608</v>
      </c>
      <c r="AA59" s="60">
        <f>('TE BE'!$AB$5+'TE BF'!$AB$5+'TE CVA'!$AB$5)*1*(1-0.02)</f>
        <v>353.05508603815775</v>
      </c>
      <c r="AB59" s="60">
        <f>(SUBSIDIO!$J$59*SUBSIDIO!$V$59)*(0.04)/(1-0.04)</f>
        <v>324.77760000000001</v>
      </c>
      <c r="AC59" s="60">
        <f>((SUBSIDIO!$L$59*SUBSIDIO!$W$59)+(SUBSIDIO!$N$59*SUBSIDIO!$X$59))*(0.04)/(1-0.04)</f>
        <v>14.294816399999998</v>
      </c>
      <c r="AD59" s="60">
        <f ca="1">(SUBSIDIO!$J$59*SUBSIDIO!$Y$59)*(0.02)/(1-0.02)</f>
        <v>161.12512603946467</v>
      </c>
      <c r="AE59" s="60">
        <f ca="1">((SUBSIDIO!$L$59*SUBSIDIO!$Z$59)+(SUBSIDIO!$N$59*SUBSIDIO!$AA$59))*(0.02)/(1-0.02)</f>
        <v>6.757141875898558</v>
      </c>
      <c r="AF59" s="4" t="s">
        <v>998</v>
      </c>
    </row>
    <row r="60" spans="1:32" ht="11.25" customHeight="1" x14ac:dyDescent="0.25">
      <c r="A60" s="4" t="s">
        <v>21</v>
      </c>
      <c r="B60" s="4" t="s">
        <v>39</v>
      </c>
      <c r="C60" s="4" t="s">
        <v>40</v>
      </c>
      <c r="D60" s="4" t="s">
        <v>45</v>
      </c>
      <c r="E60" s="4" t="s">
        <v>25</v>
      </c>
      <c r="F60" s="4" t="s">
        <v>25</v>
      </c>
      <c r="G60" s="4" t="s">
        <v>25</v>
      </c>
      <c r="H60" s="4" t="s">
        <v>34</v>
      </c>
      <c r="I60" s="5">
        <v>44713</v>
      </c>
      <c r="J60" s="6">
        <v>201</v>
      </c>
      <c r="K60" s="60">
        <v>201</v>
      </c>
      <c r="L60" s="6">
        <v>0.56499999999999995</v>
      </c>
      <c r="M60" s="60">
        <v>0.56499999999999995</v>
      </c>
      <c r="N60" s="6">
        <v>0.56499999999999995</v>
      </c>
      <c r="O60" s="60">
        <v>0.56499999999999995</v>
      </c>
      <c r="P60" s="6">
        <v>0</v>
      </c>
      <c r="Q60" s="4" t="s">
        <v>26</v>
      </c>
      <c r="R60" s="4">
        <v>0</v>
      </c>
      <c r="S60" s="4">
        <v>1</v>
      </c>
      <c r="T60" s="4">
        <v>5</v>
      </c>
      <c r="U60" s="4">
        <v>64</v>
      </c>
      <c r="V60" s="60">
        <f>IF(ISERROR(VLOOKUP($S$60,'TAR FIN'!$A$1:$O$104,15,0)),0,VLOOKUP($S$60,'TAR FIN'!$A$1:$O$104,15,0))*(1-0.04)</f>
        <v>20.620799999999999</v>
      </c>
      <c r="W60" s="60">
        <f>IF(ISERROR(VLOOKUP($T$60,'TAR FIN'!$A$1:$O$104,15,0)),0,VLOOKUP($T$60,'TAR FIN'!$A$1:$O$104,15,0))*(1-0.04)</f>
        <v>40.271999999999998</v>
      </c>
      <c r="X60" s="60">
        <f>IF(ISERROR(VLOOKUP($U$60,'TAR FIN'!$A$1:$O$104,15,0)),0,VLOOKUP($U$60,'TAR FIN'!$A$1:$O$104,15,0))*(1-0.04)</f>
        <v>381.71519999999998</v>
      </c>
      <c r="Y60" s="60">
        <f ca="1">('TUSD BE'!$AM$5+'TUSD BF'!$AM$5+'TUSD CVA'!$AM$5)*1*(1-0.02)</f>
        <v>20.886590412523198</v>
      </c>
      <c r="Z60" s="60">
        <f ca="1">('TUSD BE'!$AM$7+'TUSD BF'!$AM$7+'TUSD CVA'!$AM$7)*1*(1-0.02)</f>
        <v>54.201927392382608</v>
      </c>
      <c r="AA60" s="60">
        <f>('TE BE'!$AB$5+'TE BF'!$AB$5+'TE CVA'!$AB$5)*1*(1-0.02)</f>
        <v>353.05508603815775</v>
      </c>
      <c r="AB60" s="60">
        <f>(SUBSIDIO!$J$60*SUBSIDIO!$V$60)*(0.04)/(1-0.04)</f>
        <v>172.69919999999999</v>
      </c>
      <c r="AC60" s="60">
        <f>((SUBSIDIO!$L$60*SUBSIDIO!$W$60)+(SUBSIDIO!$N$60*SUBSIDIO!$X$60))*(0.04)/(1-0.04)</f>
        <v>9.9342819999999978</v>
      </c>
      <c r="AD60" s="60">
        <f ca="1">(SUBSIDIO!$J$60*SUBSIDIO!$Y$60)*(0.02)/(1-0.02)</f>
        <v>85.677646386064552</v>
      </c>
      <c r="AE60" s="60">
        <f ca="1">((SUBSIDIO!$L$60*SUBSIDIO!$Z$60)+(SUBSIDIO!$N$60*SUBSIDIO!$AA$60))*(0.02)/(1-0.02)</f>
        <v>4.6959227058827606</v>
      </c>
      <c r="AF60" s="4" t="s">
        <v>998</v>
      </c>
    </row>
    <row r="61" spans="1:32" ht="11.25" customHeight="1" x14ac:dyDescent="0.25">
      <c r="A61" s="4" t="s">
        <v>57</v>
      </c>
      <c r="B61" s="4" t="s">
        <v>39</v>
      </c>
      <c r="C61" s="4" t="s">
        <v>40</v>
      </c>
      <c r="D61" s="4" t="s">
        <v>45</v>
      </c>
      <c r="E61" s="4" t="s">
        <v>25</v>
      </c>
      <c r="F61" s="4" t="s">
        <v>25</v>
      </c>
      <c r="G61" s="4" t="s">
        <v>25</v>
      </c>
      <c r="H61" s="4" t="s">
        <v>34</v>
      </c>
      <c r="I61" s="5">
        <v>44743</v>
      </c>
      <c r="J61" s="6">
        <v>201</v>
      </c>
      <c r="K61" s="60">
        <v>201</v>
      </c>
      <c r="L61" s="6">
        <v>0.56499999999999995</v>
      </c>
      <c r="M61" s="60">
        <v>0.56499999999999995</v>
      </c>
      <c r="N61" s="6">
        <v>0.56499999999999995</v>
      </c>
      <c r="O61" s="60">
        <v>0.56499999999999995</v>
      </c>
      <c r="P61" s="6">
        <v>0</v>
      </c>
      <c r="Q61" s="4" t="s">
        <v>26</v>
      </c>
      <c r="R61" s="4">
        <v>0</v>
      </c>
      <c r="S61" s="4">
        <v>1</v>
      </c>
      <c r="T61" s="4">
        <v>5</v>
      </c>
      <c r="U61" s="4">
        <v>64</v>
      </c>
      <c r="V61" s="60">
        <f>IF(ISERROR(VLOOKUP($S$61,'TAR FIN'!$A$1:$O$104,15,0)),0,VLOOKUP($S$61,'TAR FIN'!$A$1:$O$104,15,0))*(1-0.04)</f>
        <v>20.620799999999999</v>
      </c>
      <c r="W61" s="60">
        <f>IF(ISERROR(VLOOKUP($T$61,'TAR FIN'!$A$1:$O$104,15,0)),0,VLOOKUP($T$61,'TAR FIN'!$A$1:$O$104,15,0))*(1-0.04)</f>
        <v>40.271999999999998</v>
      </c>
      <c r="X61" s="60">
        <f>IF(ISERROR(VLOOKUP($U$61,'TAR FIN'!$A$1:$O$104,15,0)),0,VLOOKUP($U$61,'TAR FIN'!$A$1:$O$104,15,0))*(1-0.04)</f>
        <v>381.71519999999998</v>
      </c>
      <c r="Y61" s="60">
        <f ca="1">('TUSD BE'!$AM$5+'TUSD BF'!$AM$5+'TUSD CVA'!$AM$5)*1*(1-0.02)</f>
        <v>20.886590412523198</v>
      </c>
      <c r="Z61" s="60">
        <f ca="1">('TUSD BE'!$AM$7+'TUSD BF'!$AM$7+'TUSD CVA'!$AM$7)*1*(1-0.02)</f>
        <v>54.201927392382608</v>
      </c>
      <c r="AA61" s="60">
        <f>('TE BE'!$AB$5+'TE BF'!$AB$5+'TE CVA'!$AB$5)*1*(1-0.02)</f>
        <v>353.05508603815775</v>
      </c>
      <c r="AB61" s="60">
        <f>(SUBSIDIO!$J$61*SUBSIDIO!$V$61)*(0.04)/(1-0.04)</f>
        <v>172.69919999999999</v>
      </c>
      <c r="AC61" s="60">
        <f>((SUBSIDIO!$L$61*SUBSIDIO!$W$61)+(SUBSIDIO!$N$61*SUBSIDIO!$X$61))*(0.04)/(1-0.04)</f>
        <v>9.9342819999999978</v>
      </c>
      <c r="AD61" s="60">
        <f ca="1">(SUBSIDIO!$J$61*SUBSIDIO!$Y$61)*(0.02)/(1-0.02)</f>
        <v>85.677646386064552</v>
      </c>
      <c r="AE61" s="60">
        <f ca="1">((SUBSIDIO!$L$61*SUBSIDIO!$Z$61)+(SUBSIDIO!$N$61*SUBSIDIO!$AA$61))*(0.02)/(1-0.02)</f>
        <v>4.6959227058827606</v>
      </c>
      <c r="AF61" s="4" t="s">
        <v>998</v>
      </c>
    </row>
    <row r="62" spans="1:32" ht="11.25" customHeight="1" x14ac:dyDescent="0.25">
      <c r="A62" s="4" t="s">
        <v>21</v>
      </c>
      <c r="B62" s="4" t="s">
        <v>39</v>
      </c>
      <c r="C62" s="4" t="s">
        <v>40</v>
      </c>
      <c r="D62" s="4" t="s">
        <v>50</v>
      </c>
      <c r="E62" s="4" t="s">
        <v>51</v>
      </c>
      <c r="F62" s="4" t="s">
        <v>25</v>
      </c>
      <c r="G62" s="4" t="s">
        <v>25</v>
      </c>
      <c r="H62" s="4" t="s">
        <v>35</v>
      </c>
      <c r="I62" s="5">
        <v>44409</v>
      </c>
      <c r="J62" s="6">
        <v>10100</v>
      </c>
      <c r="K62" s="61">
        <v>10100</v>
      </c>
      <c r="L62" s="6">
        <v>5331</v>
      </c>
      <c r="M62" s="60">
        <v>5331</v>
      </c>
      <c r="N62" s="6">
        <v>5331</v>
      </c>
      <c r="O62" s="60">
        <v>5331</v>
      </c>
      <c r="P62" s="6">
        <v>0</v>
      </c>
      <c r="Q62" s="4" t="s">
        <v>26</v>
      </c>
      <c r="R62" s="4">
        <v>0</v>
      </c>
      <c r="S62" s="4">
        <v>3</v>
      </c>
      <c r="T62" s="4">
        <v>5</v>
      </c>
      <c r="U62" s="4">
        <v>65</v>
      </c>
      <c r="V62" s="60">
        <f>IF(ISERROR(VLOOKUP($S$62,'TAR FIN'!$A$1:$O$104,15,0)),0,VLOOKUP($S$62,'TAR FIN'!$A$1:$O$104,15,0))*(1-0.06)</f>
        <v>10.499799999999999</v>
      </c>
      <c r="W62" s="60">
        <f>IF(ISERROR(VLOOKUP($T$62,'TAR FIN'!$A$1:$O$104,15,0)),0,VLOOKUP($T$62,'TAR FIN'!$A$1:$O$104,15,0))*(1-0.06)</f>
        <v>39.433</v>
      </c>
      <c r="X62" s="60">
        <f>IF(ISERROR(VLOOKUP($U$62,'TAR FIN'!$A$1:$O$104,15,0)),0,VLOOKUP($U$62,'TAR FIN'!$A$1:$O$104,15,0))*(1-0.06)</f>
        <v>228.25079999999997</v>
      </c>
      <c r="Y62" s="60">
        <f ca="1">('TUSD BE'!$AM$6+'TUSD BF'!$AM$6+'TUSD CVA'!$AM$6)*1*(1-0.03)</f>
        <v>10.727272179460348</v>
      </c>
      <c r="Z62" s="60">
        <f ca="1">('TUSD BE'!$AM$7+'TUSD BF'!$AM$7+'TUSD CVA'!$AM$7)*1*(1-0.03)</f>
        <v>53.648846500623598</v>
      </c>
      <c r="AA62" s="60">
        <f>('TE BE'!$AB$6+'TE BF'!$AB$6+'TE CVA'!$AB$6)*1*(1-0.03)</f>
        <v>224.80969662802207</v>
      </c>
      <c r="AB62" s="60">
        <f>(SUBSIDIO!$J$62*SUBSIDIO!$V$62)*(0.06)/(1-0.06)</f>
        <v>6769.0199999999986</v>
      </c>
      <c r="AC62" s="60">
        <f>((SUBSIDIO!$L$62*SUBSIDIO!$W$62)+(SUBSIDIO!$N$62*SUBSIDIO!$X$62))*(0.06)/(1-0.06)</f>
        <v>91086.532199999987</v>
      </c>
      <c r="AD62" s="60">
        <f ca="1">(SUBSIDIO!$J$62*SUBSIDIO!$Y$62)*(0.03)/(1-0.03)</f>
        <v>3350.8901756458613</v>
      </c>
      <c r="AE62" s="60">
        <f ca="1">((SUBSIDIO!$L$62*SUBSIDIO!$Z$62)+(SUBSIDIO!$N$62*SUBSIDIO!$AA$62))*(0.03)/(1-0.03)</f>
        <v>45911.211136664228</v>
      </c>
      <c r="AF62" s="4" t="s">
        <v>999</v>
      </c>
    </row>
    <row r="63" spans="1:32" ht="11.25" customHeight="1" x14ac:dyDescent="0.25">
      <c r="A63" s="4" t="s">
        <v>21</v>
      </c>
      <c r="B63" s="4" t="s">
        <v>39</v>
      </c>
      <c r="C63" s="4" t="s">
        <v>40</v>
      </c>
      <c r="D63" s="4" t="s">
        <v>50</v>
      </c>
      <c r="E63" s="4" t="s">
        <v>51</v>
      </c>
      <c r="F63" s="4" t="s">
        <v>25</v>
      </c>
      <c r="G63" s="4" t="s">
        <v>25</v>
      </c>
      <c r="H63" s="4" t="s">
        <v>35</v>
      </c>
      <c r="I63" s="5">
        <v>44440</v>
      </c>
      <c r="J63" s="6">
        <v>10100</v>
      </c>
      <c r="K63" s="61">
        <v>10100</v>
      </c>
      <c r="L63" s="6">
        <v>5330</v>
      </c>
      <c r="M63" s="60">
        <v>5330</v>
      </c>
      <c r="N63" s="6">
        <v>5330</v>
      </c>
      <c r="O63" s="60">
        <v>5330</v>
      </c>
      <c r="P63" s="6">
        <v>0</v>
      </c>
      <c r="Q63" s="4" t="s">
        <v>26</v>
      </c>
      <c r="R63" s="4">
        <v>0</v>
      </c>
      <c r="S63" s="4">
        <v>3</v>
      </c>
      <c r="T63" s="4">
        <v>5</v>
      </c>
      <c r="U63" s="4">
        <v>65</v>
      </c>
      <c r="V63" s="60">
        <f>IF(ISERROR(VLOOKUP($S$63,'TAR FIN'!$A$1:$O$104,15,0)),0,VLOOKUP($S$63,'TAR FIN'!$A$1:$O$104,15,0))*(1-0.06)</f>
        <v>10.499799999999999</v>
      </c>
      <c r="W63" s="60">
        <f>IF(ISERROR(VLOOKUP($T$63,'TAR FIN'!$A$1:$O$104,15,0)),0,VLOOKUP($T$63,'TAR FIN'!$A$1:$O$104,15,0))*(1-0.06)</f>
        <v>39.433</v>
      </c>
      <c r="X63" s="60">
        <f>IF(ISERROR(VLOOKUP($U$63,'TAR FIN'!$A$1:$O$104,15,0)),0,VLOOKUP($U$63,'TAR FIN'!$A$1:$O$104,15,0))*(1-0.06)</f>
        <v>228.25079999999997</v>
      </c>
      <c r="Y63" s="60">
        <f ca="1">('TUSD BE'!$AM$6+'TUSD BF'!$AM$6+'TUSD CVA'!$AM$6)*1*(1-0.03)</f>
        <v>10.727272179460348</v>
      </c>
      <c r="Z63" s="60">
        <f ca="1">('TUSD BE'!$AM$7+'TUSD BF'!$AM$7+'TUSD CVA'!$AM$7)*1*(1-0.03)</f>
        <v>53.648846500623598</v>
      </c>
      <c r="AA63" s="60">
        <f>('TE BE'!$AB$6+'TE BF'!$AB$6+'TE CVA'!$AB$6)*1*(1-0.03)</f>
        <v>224.80969662802207</v>
      </c>
      <c r="AB63" s="60">
        <f>(SUBSIDIO!$J$63*SUBSIDIO!$V$63)*(0.06)/(1-0.06)</f>
        <v>6769.0199999999986</v>
      </c>
      <c r="AC63" s="60">
        <f>((SUBSIDIO!$L$63*SUBSIDIO!$W$63)+(SUBSIDIO!$N$63*SUBSIDIO!$X$63))*(0.06)/(1-0.06)</f>
        <v>91069.445999999982</v>
      </c>
      <c r="AD63" s="60">
        <f ca="1">(SUBSIDIO!$J$63*SUBSIDIO!$Y$63)*(0.03)/(1-0.03)</f>
        <v>3350.8901756458613</v>
      </c>
      <c r="AE63" s="60">
        <f ca="1">((SUBSIDIO!$L$63*SUBSIDIO!$Z$63)+(SUBSIDIO!$N$63*SUBSIDIO!$AA$63))*(0.03)/(1-0.03)</f>
        <v>45902.599016773653</v>
      </c>
      <c r="AF63" s="4" t="s">
        <v>999</v>
      </c>
    </row>
    <row r="64" spans="1:32" ht="11.25" customHeight="1" x14ac:dyDescent="0.25">
      <c r="A64" s="4" t="s">
        <v>21</v>
      </c>
      <c r="B64" s="4" t="s">
        <v>39</v>
      </c>
      <c r="C64" s="4" t="s">
        <v>40</v>
      </c>
      <c r="D64" s="4" t="s">
        <v>50</v>
      </c>
      <c r="E64" s="4" t="s">
        <v>51</v>
      </c>
      <c r="F64" s="4" t="s">
        <v>25</v>
      </c>
      <c r="G64" s="4" t="s">
        <v>25</v>
      </c>
      <c r="H64" s="4" t="s">
        <v>35</v>
      </c>
      <c r="I64" s="5">
        <v>44470</v>
      </c>
      <c r="J64" s="6">
        <v>10180</v>
      </c>
      <c r="K64" s="61">
        <v>10180</v>
      </c>
      <c r="L64" s="6">
        <v>5567</v>
      </c>
      <c r="M64" s="60">
        <v>5567</v>
      </c>
      <c r="N64" s="6">
        <v>5567</v>
      </c>
      <c r="O64" s="60">
        <v>5567</v>
      </c>
      <c r="P64" s="6">
        <v>0</v>
      </c>
      <c r="Q64" s="4" t="s">
        <v>26</v>
      </c>
      <c r="R64" s="4">
        <v>0</v>
      </c>
      <c r="S64" s="4">
        <v>3</v>
      </c>
      <c r="T64" s="4">
        <v>5</v>
      </c>
      <c r="U64" s="4">
        <v>65</v>
      </c>
      <c r="V64" s="60">
        <f>IF(ISERROR(VLOOKUP($S$64,'TAR FIN'!$A$1:$O$104,15,0)),0,VLOOKUP($S$64,'TAR FIN'!$A$1:$O$104,15,0))*(1-0.06)</f>
        <v>10.499799999999999</v>
      </c>
      <c r="W64" s="60">
        <f>IF(ISERROR(VLOOKUP($T$64,'TAR FIN'!$A$1:$O$104,15,0)),0,VLOOKUP($T$64,'TAR FIN'!$A$1:$O$104,15,0))*(1-0.06)</f>
        <v>39.433</v>
      </c>
      <c r="X64" s="60">
        <f>IF(ISERROR(VLOOKUP($U$64,'TAR FIN'!$A$1:$O$104,15,0)),0,VLOOKUP($U$64,'TAR FIN'!$A$1:$O$104,15,0))*(1-0.06)</f>
        <v>228.25079999999997</v>
      </c>
      <c r="Y64" s="60">
        <f ca="1">('TUSD BE'!$AM$6+'TUSD BF'!$AM$6+'TUSD CVA'!$AM$6)*1*(1-0.03)</f>
        <v>10.727272179460348</v>
      </c>
      <c r="Z64" s="60">
        <f ca="1">('TUSD BE'!$AM$7+'TUSD BF'!$AM$7+'TUSD CVA'!$AM$7)*1*(1-0.03)</f>
        <v>53.648846500623598</v>
      </c>
      <c r="AA64" s="60">
        <f>('TE BE'!$AB$6+'TE BF'!$AB$6+'TE CVA'!$AB$6)*1*(1-0.03)</f>
        <v>224.80969662802207</v>
      </c>
      <c r="AB64" s="60">
        <f>(SUBSIDIO!$J$64*SUBSIDIO!$V$64)*(0.06)/(1-0.06)</f>
        <v>6822.6360000000004</v>
      </c>
      <c r="AC64" s="60">
        <f>((SUBSIDIO!$L$64*SUBSIDIO!$W$64)+(SUBSIDIO!$N$64*SUBSIDIO!$X$64))*(0.06)/(1-0.06)</f>
        <v>95118.87539999999</v>
      </c>
      <c r="AD64" s="60">
        <f ca="1">(SUBSIDIO!$J$64*SUBSIDIO!$Y$64)*(0.03)/(1-0.03)</f>
        <v>3377.4318800074129</v>
      </c>
      <c r="AE64" s="60">
        <f ca="1">((SUBSIDIO!$L$64*SUBSIDIO!$Z$64)+(SUBSIDIO!$N$64*SUBSIDIO!$AA$64))*(0.03)/(1-0.03)</f>
        <v>47943.671430840324</v>
      </c>
      <c r="AF64" s="4" t="s">
        <v>999</v>
      </c>
    </row>
    <row r="65" spans="1:32" ht="11.25" customHeight="1" x14ac:dyDescent="0.25">
      <c r="A65" s="4" t="s">
        <v>21</v>
      </c>
      <c r="B65" s="4" t="s">
        <v>39</v>
      </c>
      <c r="C65" s="4" t="s">
        <v>40</v>
      </c>
      <c r="D65" s="4" t="s">
        <v>50</v>
      </c>
      <c r="E65" s="4" t="s">
        <v>51</v>
      </c>
      <c r="F65" s="4" t="s">
        <v>25</v>
      </c>
      <c r="G65" s="4" t="s">
        <v>25</v>
      </c>
      <c r="H65" s="4" t="s">
        <v>35</v>
      </c>
      <c r="I65" s="5">
        <v>44501</v>
      </c>
      <c r="J65" s="6">
        <v>10260</v>
      </c>
      <c r="K65" s="61">
        <v>10260</v>
      </c>
      <c r="L65" s="6">
        <v>5781</v>
      </c>
      <c r="M65" s="60">
        <v>5781</v>
      </c>
      <c r="N65" s="6">
        <v>5781</v>
      </c>
      <c r="O65" s="60">
        <v>5781</v>
      </c>
      <c r="P65" s="6">
        <v>0</v>
      </c>
      <c r="Q65" s="4" t="s">
        <v>26</v>
      </c>
      <c r="R65" s="4">
        <v>0</v>
      </c>
      <c r="S65" s="4">
        <v>3</v>
      </c>
      <c r="T65" s="4">
        <v>5</v>
      </c>
      <c r="U65" s="4">
        <v>65</v>
      </c>
      <c r="V65" s="60">
        <f>IF(ISERROR(VLOOKUP($S$65,'TAR FIN'!$A$1:$O$104,15,0)),0,VLOOKUP($S$65,'TAR FIN'!$A$1:$O$104,15,0))*(1-0.06)</f>
        <v>10.499799999999999</v>
      </c>
      <c r="W65" s="60">
        <f>IF(ISERROR(VLOOKUP($T$65,'TAR FIN'!$A$1:$O$104,15,0)),0,VLOOKUP($T$65,'TAR FIN'!$A$1:$O$104,15,0))*(1-0.06)</f>
        <v>39.433</v>
      </c>
      <c r="X65" s="60">
        <f>IF(ISERROR(VLOOKUP($U$65,'TAR FIN'!$A$1:$O$104,15,0)),0,VLOOKUP($U$65,'TAR FIN'!$A$1:$O$104,15,0))*(1-0.06)</f>
        <v>228.25079999999997</v>
      </c>
      <c r="Y65" s="60">
        <f ca="1">('TUSD BE'!$AM$6+'TUSD BF'!$AM$6+'TUSD CVA'!$AM$6)*1*(1-0.03)</f>
        <v>10.727272179460348</v>
      </c>
      <c r="Z65" s="60">
        <f ca="1">('TUSD BE'!$AM$7+'TUSD BF'!$AM$7+'TUSD CVA'!$AM$7)*1*(1-0.03)</f>
        <v>53.648846500623598</v>
      </c>
      <c r="AA65" s="60">
        <f>('TE BE'!$AB$6+'TE BF'!$AB$6+'TE CVA'!$AB$6)*1*(1-0.03)</f>
        <v>224.80969662802207</v>
      </c>
      <c r="AB65" s="60">
        <f>(SUBSIDIO!$J$65*SUBSIDIO!$V$65)*(0.06)/(1-0.06)</f>
        <v>6876.2519999999995</v>
      </c>
      <c r="AC65" s="60">
        <f>((SUBSIDIO!$L$65*SUBSIDIO!$W$65)+(SUBSIDIO!$N$65*SUBSIDIO!$X$65))*(0.06)/(1-0.06)</f>
        <v>98775.322199999995</v>
      </c>
      <c r="AD65" s="60">
        <f ca="1">(SUBSIDIO!$J$65*SUBSIDIO!$Y$65)*(0.03)/(1-0.03)</f>
        <v>3403.9735843689641</v>
      </c>
      <c r="AE65" s="60">
        <f ca="1">((SUBSIDIO!$L$65*SUBSIDIO!$Z$65)+(SUBSIDIO!$N$65*SUBSIDIO!$AA$65))*(0.03)/(1-0.03)</f>
        <v>49786.665087423724</v>
      </c>
      <c r="AF65" s="4" t="s">
        <v>999</v>
      </c>
    </row>
    <row r="66" spans="1:32" ht="11.25" customHeight="1" x14ac:dyDescent="0.25">
      <c r="A66" s="4" t="s">
        <v>21</v>
      </c>
      <c r="B66" s="4" t="s">
        <v>39</v>
      </c>
      <c r="C66" s="4" t="s">
        <v>40</v>
      </c>
      <c r="D66" s="4" t="s">
        <v>50</v>
      </c>
      <c r="E66" s="4" t="s">
        <v>51</v>
      </c>
      <c r="F66" s="4" t="s">
        <v>25</v>
      </c>
      <c r="G66" s="4" t="s">
        <v>25</v>
      </c>
      <c r="H66" s="4" t="s">
        <v>35</v>
      </c>
      <c r="I66" s="5">
        <v>44531</v>
      </c>
      <c r="J66" s="6">
        <v>10190</v>
      </c>
      <c r="K66" s="61">
        <v>10190</v>
      </c>
      <c r="L66" s="6">
        <v>6006</v>
      </c>
      <c r="M66" s="60">
        <v>6006</v>
      </c>
      <c r="N66" s="6">
        <v>6006</v>
      </c>
      <c r="O66" s="60">
        <v>6006</v>
      </c>
      <c r="P66" s="6">
        <v>0</v>
      </c>
      <c r="Q66" s="4" t="s">
        <v>26</v>
      </c>
      <c r="R66" s="4">
        <v>0</v>
      </c>
      <c r="S66" s="4">
        <v>3</v>
      </c>
      <c r="T66" s="4">
        <v>5</v>
      </c>
      <c r="U66" s="4">
        <v>65</v>
      </c>
      <c r="V66" s="60">
        <f>IF(ISERROR(VLOOKUP($S$66,'TAR FIN'!$A$1:$O$104,15,0)),0,VLOOKUP($S$66,'TAR FIN'!$A$1:$O$104,15,0))*(1-0.06)</f>
        <v>10.499799999999999</v>
      </c>
      <c r="W66" s="60">
        <f>IF(ISERROR(VLOOKUP($T$66,'TAR FIN'!$A$1:$O$104,15,0)),0,VLOOKUP($T$66,'TAR FIN'!$A$1:$O$104,15,0))*(1-0.06)</f>
        <v>39.433</v>
      </c>
      <c r="X66" s="60">
        <f>IF(ISERROR(VLOOKUP($U$66,'TAR FIN'!$A$1:$O$104,15,0)),0,VLOOKUP($U$66,'TAR FIN'!$A$1:$O$104,15,0))*(1-0.06)</f>
        <v>228.25079999999997</v>
      </c>
      <c r="Y66" s="60">
        <f ca="1">('TUSD BE'!$AM$6+'TUSD BF'!$AM$6+'TUSD CVA'!$AM$6)*1*(1-0.03)</f>
        <v>10.727272179460348</v>
      </c>
      <c r="Z66" s="60">
        <f ca="1">('TUSD BE'!$AM$7+'TUSD BF'!$AM$7+'TUSD CVA'!$AM$7)*1*(1-0.03)</f>
        <v>53.648846500623598</v>
      </c>
      <c r="AA66" s="60">
        <f>('TE BE'!$AB$6+'TE BF'!$AB$6+'TE CVA'!$AB$6)*1*(1-0.03)</f>
        <v>224.80969662802207</v>
      </c>
      <c r="AB66" s="60">
        <f>(SUBSIDIO!$J$66*SUBSIDIO!$V$66)*(0.06)/(1-0.06)</f>
        <v>6829.3379999999988</v>
      </c>
      <c r="AC66" s="60">
        <f>((SUBSIDIO!$L$66*SUBSIDIO!$W$66)+(SUBSIDIO!$N$66*SUBSIDIO!$X$66))*(0.06)/(1-0.06)</f>
        <v>102619.71719999998</v>
      </c>
      <c r="AD66" s="60">
        <f ca="1">(SUBSIDIO!$J$66*SUBSIDIO!$Y$66)*(0.03)/(1-0.03)</f>
        <v>3380.7495930526061</v>
      </c>
      <c r="AE66" s="60">
        <f ca="1">((SUBSIDIO!$L$66*SUBSIDIO!$Z$66)+(SUBSIDIO!$N$66*SUBSIDIO!$AA$66))*(0.03)/(1-0.03)</f>
        <v>51724.392062803476</v>
      </c>
      <c r="AF66" s="4" t="s">
        <v>999</v>
      </c>
    </row>
    <row r="67" spans="1:32" ht="11.25" customHeight="1" x14ac:dyDescent="0.25">
      <c r="A67" s="4" t="s">
        <v>21</v>
      </c>
      <c r="B67" s="4" t="s">
        <v>39</v>
      </c>
      <c r="C67" s="4" t="s">
        <v>40</v>
      </c>
      <c r="D67" s="4" t="s">
        <v>50</v>
      </c>
      <c r="E67" s="4" t="s">
        <v>51</v>
      </c>
      <c r="F67" s="4" t="s">
        <v>25</v>
      </c>
      <c r="G67" s="4" t="s">
        <v>25</v>
      </c>
      <c r="H67" s="4" t="s">
        <v>35</v>
      </c>
      <c r="I67" s="5">
        <v>44562</v>
      </c>
      <c r="J67" s="6">
        <v>10253</v>
      </c>
      <c r="K67" s="61">
        <v>10253</v>
      </c>
      <c r="L67" s="6">
        <v>5725.0789999999997</v>
      </c>
      <c r="M67" s="60">
        <v>5725.0789999999997</v>
      </c>
      <c r="N67" s="6">
        <v>5725.0789999999997</v>
      </c>
      <c r="O67" s="60">
        <v>5725.0789999999997</v>
      </c>
      <c r="P67" s="6">
        <v>0</v>
      </c>
      <c r="Q67" s="4" t="s">
        <v>26</v>
      </c>
      <c r="R67" s="4">
        <v>0</v>
      </c>
      <c r="S67" s="4">
        <v>3</v>
      </c>
      <c r="T67" s="4">
        <v>5</v>
      </c>
      <c r="U67" s="4">
        <v>65</v>
      </c>
      <c r="V67" s="60">
        <f>IF(ISERROR(VLOOKUP($S$67,'TAR FIN'!$A$1:$O$104,15,0)),0,VLOOKUP($S$67,'TAR FIN'!$A$1:$O$104,15,0))*(1-0.06)</f>
        <v>10.499799999999999</v>
      </c>
      <c r="W67" s="60">
        <f>IF(ISERROR(VLOOKUP($T$67,'TAR FIN'!$A$1:$O$104,15,0)),0,VLOOKUP($T$67,'TAR FIN'!$A$1:$O$104,15,0))*(1-0.06)</f>
        <v>39.433</v>
      </c>
      <c r="X67" s="60">
        <f>IF(ISERROR(VLOOKUP($U$67,'TAR FIN'!$A$1:$O$104,15,0)),0,VLOOKUP($U$67,'TAR FIN'!$A$1:$O$104,15,0))*(1-0.06)</f>
        <v>228.25079999999997</v>
      </c>
      <c r="Y67" s="60">
        <f ca="1">('TUSD BE'!$AM$6+'TUSD BF'!$AM$6+'TUSD CVA'!$AM$6)*1*(1-0.03)</f>
        <v>10.727272179460348</v>
      </c>
      <c r="Z67" s="60">
        <f ca="1">('TUSD BE'!$AM$7+'TUSD BF'!$AM$7+'TUSD CVA'!$AM$7)*1*(1-0.03)</f>
        <v>53.648846500623598</v>
      </c>
      <c r="AA67" s="60">
        <f>('TE BE'!$AB$6+'TE BF'!$AB$6+'TE CVA'!$AB$6)*1*(1-0.03)</f>
        <v>224.80969662802207</v>
      </c>
      <c r="AB67" s="60">
        <f>(SUBSIDIO!$J$67*SUBSIDIO!$V$67)*(0.06)/(1-0.06)</f>
        <v>6871.5605999999989</v>
      </c>
      <c r="AC67" s="60">
        <f>((SUBSIDIO!$L$67*SUBSIDIO!$W$67)+(SUBSIDIO!$N$67*SUBSIDIO!$X$67))*(0.06)/(1-0.06)</f>
        <v>97819.844809799979</v>
      </c>
      <c r="AD67" s="60">
        <f ca="1">(SUBSIDIO!$J$67*SUBSIDIO!$Y$67)*(0.03)/(1-0.03)</f>
        <v>3401.6511852373283</v>
      </c>
      <c r="AE67" s="60">
        <f ca="1">((SUBSIDIO!$L$67*SUBSIDIO!$Z$67)+(SUBSIDIO!$N$67*SUBSIDIO!$AA$67))*(0.03)/(1-0.03)</f>
        <v>49305.066731022787</v>
      </c>
      <c r="AF67" s="4" t="s">
        <v>999</v>
      </c>
    </row>
    <row r="68" spans="1:32" ht="11.25" customHeight="1" x14ac:dyDescent="0.25">
      <c r="A68" s="4" t="s">
        <v>21</v>
      </c>
      <c r="B68" s="4" t="s">
        <v>39</v>
      </c>
      <c r="C68" s="4" t="s">
        <v>40</v>
      </c>
      <c r="D68" s="4" t="s">
        <v>50</v>
      </c>
      <c r="E68" s="4" t="s">
        <v>51</v>
      </c>
      <c r="F68" s="4" t="s">
        <v>25</v>
      </c>
      <c r="G68" s="4" t="s">
        <v>25</v>
      </c>
      <c r="H68" s="4" t="s">
        <v>35</v>
      </c>
      <c r="I68" s="5">
        <v>44593</v>
      </c>
      <c r="J68" s="6">
        <v>10262</v>
      </c>
      <c r="K68" s="61">
        <v>10262</v>
      </c>
      <c r="L68" s="6">
        <v>5526.3230000000003</v>
      </c>
      <c r="M68" s="60">
        <v>5526.3230000000003</v>
      </c>
      <c r="N68" s="6">
        <v>5526.3230000000003</v>
      </c>
      <c r="O68" s="60">
        <v>5526.3230000000003</v>
      </c>
      <c r="P68" s="6">
        <v>0</v>
      </c>
      <c r="Q68" s="4" t="s">
        <v>26</v>
      </c>
      <c r="R68" s="4">
        <v>0</v>
      </c>
      <c r="S68" s="4">
        <v>3</v>
      </c>
      <c r="T68" s="4">
        <v>5</v>
      </c>
      <c r="U68" s="4">
        <v>65</v>
      </c>
      <c r="V68" s="60">
        <f>IF(ISERROR(VLOOKUP($S$68,'TAR FIN'!$A$1:$O$104,15,0)),0,VLOOKUP($S$68,'TAR FIN'!$A$1:$O$104,15,0))*(1-0.06)</f>
        <v>10.499799999999999</v>
      </c>
      <c r="W68" s="60">
        <f>IF(ISERROR(VLOOKUP($T$68,'TAR FIN'!$A$1:$O$104,15,0)),0,VLOOKUP($T$68,'TAR FIN'!$A$1:$O$104,15,0))*(1-0.06)</f>
        <v>39.433</v>
      </c>
      <c r="X68" s="60">
        <f>IF(ISERROR(VLOOKUP($U$68,'TAR FIN'!$A$1:$O$104,15,0)),0,VLOOKUP($U$68,'TAR FIN'!$A$1:$O$104,15,0))*(1-0.06)</f>
        <v>228.25079999999997</v>
      </c>
      <c r="Y68" s="60">
        <f ca="1">('TUSD BE'!$AM$6+'TUSD BF'!$AM$6+'TUSD CVA'!$AM$6)*1*(1-0.03)</f>
        <v>10.727272179460348</v>
      </c>
      <c r="Z68" s="60">
        <f ca="1">('TUSD BE'!$AM$7+'TUSD BF'!$AM$7+'TUSD CVA'!$AM$7)*1*(1-0.03)</f>
        <v>53.648846500623598</v>
      </c>
      <c r="AA68" s="60">
        <f>('TE BE'!$AB$6+'TE BF'!$AB$6+'TE CVA'!$AB$6)*1*(1-0.03)</f>
        <v>224.80969662802207</v>
      </c>
      <c r="AB68" s="60">
        <f>(SUBSIDIO!$J$68*SUBSIDIO!$V$68)*(0.06)/(1-0.06)</f>
        <v>6877.5923999999986</v>
      </c>
      <c r="AC68" s="60">
        <f>((SUBSIDIO!$L$68*SUBSIDIO!$W$68)+(SUBSIDIO!$N$68*SUBSIDIO!$X$68))*(0.06)/(1-0.06)</f>
        <v>94423.860042600005</v>
      </c>
      <c r="AD68" s="60">
        <f ca="1">(SUBSIDIO!$J$68*SUBSIDIO!$Y$68)*(0.03)/(1-0.03)</f>
        <v>3404.6371269780025</v>
      </c>
      <c r="AE68" s="60">
        <f ca="1">((SUBSIDIO!$L$68*SUBSIDIO!$Z$68)+(SUBSIDIO!$N$68*SUBSIDIO!$AA$68))*(0.03)/(1-0.03)</f>
        <v>47593.356230051337</v>
      </c>
      <c r="AF68" s="4" t="s">
        <v>999</v>
      </c>
    </row>
    <row r="69" spans="1:32" ht="11.25" customHeight="1" x14ac:dyDescent="0.25">
      <c r="A69" s="4" t="s">
        <v>21</v>
      </c>
      <c r="B69" s="4" t="s">
        <v>39</v>
      </c>
      <c r="C69" s="4" t="s">
        <v>40</v>
      </c>
      <c r="D69" s="4" t="s">
        <v>50</v>
      </c>
      <c r="E69" s="4" t="s">
        <v>51</v>
      </c>
      <c r="F69" s="4" t="s">
        <v>25</v>
      </c>
      <c r="G69" s="4" t="s">
        <v>25</v>
      </c>
      <c r="H69" s="4" t="s">
        <v>35</v>
      </c>
      <c r="I69" s="5">
        <v>44621</v>
      </c>
      <c r="J69" s="6">
        <v>10263</v>
      </c>
      <c r="K69" s="61">
        <v>10263</v>
      </c>
      <c r="L69" s="6">
        <v>5847.049</v>
      </c>
      <c r="M69" s="60">
        <v>5847.049</v>
      </c>
      <c r="N69" s="6">
        <v>5847.049</v>
      </c>
      <c r="O69" s="60">
        <v>5847.049</v>
      </c>
      <c r="P69" s="6">
        <v>0</v>
      </c>
      <c r="Q69" s="4" t="s">
        <v>26</v>
      </c>
      <c r="R69" s="4">
        <v>0</v>
      </c>
      <c r="S69" s="4">
        <v>3</v>
      </c>
      <c r="T69" s="4">
        <v>5</v>
      </c>
      <c r="U69" s="4">
        <v>65</v>
      </c>
      <c r="V69" s="60">
        <f>IF(ISERROR(VLOOKUP($S$69,'TAR FIN'!$A$1:$O$104,15,0)),0,VLOOKUP($S$69,'TAR FIN'!$A$1:$O$104,15,0))*(1-0.06)</f>
        <v>10.499799999999999</v>
      </c>
      <c r="W69" s="60">
        <f>IF(ISERROR(VLOOKUP($T$69,'TAR FIN'!$A$1:$O$104,15,0)),0,VLOOKUP($T$69,'TAR FIN'!$A$1:$O$104,15,0))*(1-0.06)</f>
        <v>39.433</v>
      </c>
      <c r="X69" s="60">
        <f>IF(ISERROR(VLOOKUP($U$69,'TAR FIN'!$A$1:$O$104,15,0)),0,VLOOKUP($U$69,'TAR FIN'!$A$1:$O$104,15,0))*(1-0.06)</f>
        <v>228.25079999999997</v>
      </c>
      <c r="Y69" s="60">
        <f ca="1">('TUSD BE'!$AM$6+'TUSD BF'!$AM$6+'TUSD CVA'!$AM$6)*1*(1-0.03)</f>
        <v>10.727272179460348</v>
      </c>
      <c r="Z69" s="60">
        <f ca="1">('TUSD BE'!$AM$7+'TUSD BF'!$AM$7+'TUSD CVA'!$AM$7)*1*(1-0.03)</f>
        <v>53.648846500623598</v>
      </c>
      <c r="AA69" s="60">
        <f>('TE BE'!$AB$6+'TE BF'!$AB$6+'TE CVA'!$AB$6)*1*(1-0.03)</f>
        <v>224.80969662802207</v>
      </c>
      <c r="AB69" s="60">
        <f>(SUBSIDIO!$J$69*SUBSIDIO!$V$69)*(0.06)/(1-0.06)</f>
        <v>6878.2625999999991</v>
      </c>
      <c r="AC69" s="60">
        <f>((SUBSIDIO!$L$69*SUBSIDIO!$W$69)+(SUBSIDIO!$N$69*SUBSIDIO!$X$69))*(0.06)/(1-0.06)</f>
        <v>99903.84862379999</v>
      </c>
      <c r="AD69" s="60">
        <f ca="1">(SUBSIDIO!$J$69*SUBSIDIO!$Y$69)*(0.03)/(1-0.03)</f>
        <v>3404.9688982825223</v>
      </c>
      <c r="AE69" s="60">
        <f ca="1">((SUBSIDIO!$L$69*SUBSIDIO!$Z$69)+(SUBSIDIO!$N$69*SUBSIDIO!$AA$69))*(0.03)/(1-0.03)</f>
        <v>50355.486994076418</v>
      </c>
      <c r="AF69" s="4" t="s">
        <v>999</v>
      </c>
    </row>
    <row r="70" spans="1:32" ht="11.25" customHeight="1" x14ac:dyDescent="0.25">
      <c r="A70" s="4" t="s">
        <v>21</v>
      </c>
      <c r="B70" s="4" t="s">
        <v>39</v>
      </c>
      <c r="C70" s="4" t="s">
        <v>40</v>
      </c>
      <c r="D70" s="4" t="s">
        <v>50</v>
      </c>
      <c r="E70" s="4" t="s">
        <v>51</v>
      </c>
      <c r="F70" s="4" t="s">
        <v>25</v>
      </c>
      <c r="G70" s="4" t="s">
        <v>25</v>
      </c>
      <c r="H70" s="4" t="s">
        <v>35</v>
      </c>
      <c r="I70" s="5">
        <v>44652</v>
      </c>
      <c r="J70" s="6">
        <v>10698</v>
      </c>
      <c r="K70" s="61">
        <v>10698</v>
      </c>
      <c r="L70" s="6">
        <v>5625.5640000000003</v>
      </c>
      <c r="M70" s="60">
        <v>5625.5640000000003</v>
      </c>
      <c r="N70" s="6">
        <v>5625.5640000000003</v>
      </c>
      <c r="O70" s="60">
        <v>5625.5640000000003</v>
      </c>
      <c r="P70" s="6">
        <v>0</v>
      </c>
      <c r="Q70" s="4" t="s">
        <v>26</v>
      </c>
      <c r="R70" s="4">
        <v>0</v>
      </c>
      <c r="S70" s="4">
        <v>3</v>
      </c>
      <c r="T70" s="4">
        <v>5</v>
      </c>
      <c r="U70" s="4">
        <v>65</v>
      </c>
      <c r="V70" s="60">
        <f>IF(ISERROR(VLOOKUP($S$70,'TAR FIN'!$A$1:$O$104,15,0)),0,VLOOKUP($S$70,'TAR FIN'!$A$1:$O$104,15,0))*(1-0.06)</f>
        <v>10.499799999999999</v>
      </c>
      <c r="W70" s="60">
        <f>IF(ISERROR(VLOOKUP($T$70,'TAR FIN'!$A$1:$O$104,15,0)),0,VLOOKUP($T$70,'TAR FIN'!$A$1:$O$104,15,0))*(1-0.06)</f>
        <v>39.433</v>
      </c>
      <c r="X70" s="60">
        <f>IF(ISERROR(VLOOKUP($U$70,'TAR FIN'!$A$1:$O$104,15,0)),0,VLOOKUP($U$70,'TAR FIN'!$A$1:$O$104,15,0))*(1-0.06)</f>
        <v>228.25079999999997</v>
      </c>
      <c r="Y70" s="60">
        <f ca="1">('TUSD BE'!$AM$6+'TUSD BF'!$AM$6+'TUSD CVA'!$AM$6)*1*(1-0.03)</f>
        <v>10.727272179460348</v>
      </c>
      <c r="Z70" s="60">
        <f ca="1">('TUSD BE'!$AM$7+'TUSD BF'!$AM$7+'TUSD CVA'!$AM$7)*1*(1-0.03)</f>
        <v>53.648846500623598</v>
      </c>
      <c r="AA70" s="60">
        <f>('TE BE'!$AB$6+'TE BF'!$AB$6+'TE CVA'!$AB$6)*1*(1-0.03)</f>
        <v>224.80969662802207</v>
      </c>
      <c r="AB70" s="60">
        <f>(SUBSIDIO!$J$70*SUBSIDIO!$V$70)*(0.06)/(1-0.06)</f>
        <v>7169.7995999999994</v>
      </c>
      <c r="AC70" s="60">
        <f>((SUBSIDIO!$L$70*SUBSIDIO!$W$70)+(SUBSIDIO!$N$70*SUBSIDIO!$X$70))*(0.06)/(1-0.06)</f>
        <v>96119.51161680001</v>
      </c>
      <c r="AD70" s="60">
        <f ca="1">(SUBSIDIO!$J$70*SUBSIDIO!$Y$70)*(0.03)/(1-0.03)</f>
        <v>3549.2894157484579</v>
      </c>
      <c r="AE70" s="60">
        <f ca="1">((SUBSIDIO!$L$70*SUBSIDIO!$Z$70)+(SUBSIDIO!$N$70*SUBSIDIO!$AA$70))*(0.03)/(1-0.03)</f>
        <v>48448.031620112059</v>
      </c>
      <c r="AF70" s="4" t="s">
        <v>999</v>
      </c>
    </row>
    <row r="71" spans="1:32" ht="11.25" customHeight="1" x14ac:dyDescent="0.25">
      <c r="A71" s="4" t="s">
        <v>21</v>
      </c>
      <c r="B71" s="4" t="s">
        <v>39</v>
      </c>
      <c r="C71" s="4" t="s">
        <v>40</v>
      </c>
      <c r="D71" s="4" t="s">
        <v>50</v>
      </c>
      <c r="E71" s="4" t="s">
        <v>51</v>
      </c>
      <c r="F71" s="4" t="s">
        <v>25</v>
      </c>
      <c r="G71" s="4" t="s">
        <v>25</v>
      </c>
      <c r="H71" s="4" t="s">
        <v>35</v>
      </c>
      <c r="I71" s="5">
        <v>44682</v>
      </c>
      <c r="J71" s="6">
        <v>10196</v>
      </c>
      <c r="K71" s="61">
        <v>10196</v>
      </c>
      <c r="L71" s="6">
        <v>5745.7179999999998</v>
      </c>
      <c r="M71" s="60">
        <v>5745.7179999999998</v>
      </c>
      <c r="N71" s="6">
        <v>5745.7179999999998</v>
      </c>
      <c r="O71" s="60">
        <v>5745.7179999999998</v>
      </c>
      <c r="P71" s="6">
        <v>0</v>
      </c>
      <c r="Q71" s="4" t="s">
        <v>26</v>
      </c>
      <c r="R71" s="4">
        <v>0</v>
      </c>
      <c r="S71" s="4">
        <v>3</v>
      </c>
      <c r="T71" s="4">
        <v>5</v>
      </c>
      <c r="U71" s="4">
        <v>65</v>
      </c>
      <c r="V71" s="60">
        <f>IF(ISERROR(VLOOKUP($S$71,'TAR FIN'!$A$1:$O$104,15,0)),0,VLOOKUP($S$71,'TAR FIN'!$A$1:$O$104,15,0))*(1-0.06)</f>
        <v>10.499799999999999</v>
      </c>
      <c r="W71" s="60">
        <f>IF(ISERROR(VLOOKUP($T$71,'TAR FIN'!$A$1:$O$104,15,0)),0,VLOOKUP($T$71,'TAR FIN'!$A$1:$O$104,15,0))*(1-0.06)</f>
        <v>39.433</v>
      </c>
      <c r="X71" s="60">
        <f>IF(ISERROR(VLOOKUP($U$71,'TAR FIN'!$A$1:$O$104,15,0)),0,VLOOKUP($U$71,'TAR FIN'!$A$1:$O$104,15,0))*(1-0.06)</f>
        <v>228.25079999999997</v>
      </c>
      <c r="Y71" s="60">
        <f ca="1">('TUSD BE'!$AM$6+'TUSD BF'!$AM$6+'TUSD CVA'!$AM$6)*1*(1-0.03)</f>
        <v>10.727272179460348</v>
      </c>
      <c r="Z71" s="60">
        <f ca="1">('TUSD BE'!$AM$7+'TUSD BF'!$AM$7+'TUSD CVA'!$AM$7)*1*(1-0.03)</f>
        <v>53.648846500623598</v>
      </c>
      <c r="AA71" s="60">
        <f>('TE BE'!$AB$6+'TE BF'!$AB$6+'TE CVA'!$AB$6)*1*(1-0.03)</f>
        <v>224.80969662802207</v>
      </c>
      <c r="AB71" s="60">
        <f>(SUBSIDIO!$J$71*SUBSIDIO!$V$71)*(0.06)/(1-0.06)</f>
        <v>6833.3591999999999</v>
      </c>
      <c r="AC71" s="60">
        <f>((SUBSIDIO!$L$71*SUBSIDIO!$W$71)+(SUBSIDIO!$N$71*SUBSIDIO!$X$71))*(0.06)/(1-0.06)</f>
        <v>98172.486891599998</v>
      </c>
      <c r="AD71" s="60">
        <f ca="1">(SUBSIDIO!$J$71*SUBSIDIO!$Y$71)*(0.03)/(1-0.03)</f>
        <v>3382.740220879723</v>
      </c>
      <c r="AE71" s="60">
        <f ca="1">((SUBSIDIO!$L$71*SUBSIDIO!$Z$71)+(SUBSIDIO!$N$71*SUBSIDIO!$AA$71))*(0.03)/(1-0.03)</f>
        <v>49482.812273444404</v>
      </c>
      <c r="AF71" s="4" t="s">
        <v>999</v>
      </c>
    </row>
    <row r="72" spans="1:32" ht="11.25" customHeight="1" x14ac:dyDescent="0.25">
      <c r="A72" s="4" t="s">
        <v>21</v>
      </c>
      <c r="B72" s="4" t="s">
        <v>39</v>
      </c>
      <c r="C72" s="4" t="s">
        <v>40</v>
      </c>
      <c r="D72" s="4" t="s">
        <v>50</v>
      </c>
      <c r="E72" s="4" t="s">
        <v>51</v>
      </c>
      <c r="F72" s="4" t="s">
        <v>25</v>
      </c>
      <c r="G72" s="4" t="s">
        <v>25</v>
      </c>
      <c r="H72" s="4" t="s">
        <v>35</v>
      </c>
      <c r="I72" s="5">
        <v>44713</v>
      </c>
      <c r="J72" s="6">
        <v>10110</v>
      </c>
      <c r="K72" s="61">
        <v>10110</v>
      </c>
      <c r="L72" s="6">
        <v>5405.5959999999995</v>
      </c>
      <c r="M72" s="60">
        <v>5405.5959999999995</v>
      </c>
      <c r="N72" s="6">
        <v>5405.5959999999995</v>
      </c>
      <c r="O72" s="60">
        <v>5405.5959999999995</v>
      </c>
      <c r="P72" s="6">
        <v>0</v>
      </c>
      <c r="Q72" s="4" t="s">
        <v>26</v>
      </c>
      <c r="R72" s="4">
        <v>0</v>
      </c>
      <c r="S72" s="4">
        <v>3</v>
      </c>
      <c r="T72" s="4">
        <v>5</v>
      </c>
      <c r="U72" s="4">
        <v>65</v>
      </c>
      <c r="V72" s="60">
        <f>IF(ISERROR(VLOOKUP($S$72,'TAR FIN'!$A$1:$O$104,15,0)),0,VLOOKUP($S$72,'TAR FIN'!$A$1:$O$104,15,0))*(1-0.06)</f>
        <v>10.499799999999999</v>
      </c>
      <c r="W72" s="60">
        <f>IF(ISERROR(VLOOKUP($T$72,'TAR FIN'!$A$1:$O$104,15,0)),0,VLOOKUP($T$72,'TAR FIN'!$A$1:$O$104,15,0))*(1-0.06)</f>
        <v>39.433</v>
      </c>
      <c r="X72" s="60">
        <f>IF(ISERROR(VLOOKUP($U$72,'TAR FIN'!$A$1:$O$104,15,0)),0,VLOOKUP($U$72,'TAR FIN'!$A$1:$O$104,15,0))*(1-0.06)</f>
        <v>228.25079999999997</v>
      </c>
      <c r="Y72" s="60">
        <f ca="1">('TUSD BE'!$AM$6+'TUSD BF'!$AM$6+'TUSD CVA'!$AM$6)*1*(1-0.03)</f>
        <v>10.727272179460348</v>
      </c>
      <c r="Z72" s="60">
        <f ca="1">('TUSD BE'!$AM$7+'TUSD BF'!$AM$7+'TUSD CVA'!$AM$7)*1*(1-0.03)</f>
        <v>53.648846500623598</v>
      </c>
      <c r="AA72" s="60">
        <f>('TE BE'!$AB$6+'TE BF'!$AB$6+'TE CVA'!$AB$6)*1*(1-0.03)</f>
        <v>224.80969662802207</v>
      </c>
      <c r="AB72" s="60">
        <f>(SUBSIDIO!$J$72*SUBSIDIO!$V$72)*(0.06)/(1-0.06)</f>
        <v>6775.7219999999998</v>
      </c>
      <c r="AC72" s="60">
        <f>((SUBSIDIO!$L$72*SUBSIDIO!$W$72)+(SUBSIDIO!$N$72*SUBSIDIO!$X$72))*(0.06)/(1-0.06)</f>
        <v>92361.094375199988</v>
      </c>
      <c r="AD72" s="60">
        <f ca="1">(SUBSIDIO!$J$72*SUBSIDIO!$Y$72)*(0.03)/(1-0.03)</f>
        <v>3354.2078886910549</v>
      </c>
      <c r="AE72" s="60">
        <f ca="1">((SUBSIDIO!$L$72*SUBSIDIO!$Z$72)+(SUBSIDIO!$N$72*SUBSIDIO!$AA$72))*(0.03)/(1-0.03)</f>
        <v>46553.64083202168</v>
      </c>
      <c r="AF72" s="4" t="s">
        <v>999</v>
      </c>
    </row>
    <row r="73" spans="1:32" ht="11.25" customHeight="1" x14ac:dyDescent="0.25">
      <c r="A73" s="4" t="s">
        <v>57</v>
      </c>
      <c r="B73" s="4" t="s">
        <v>39</v>
      </c>
      <c r="C73" s="4" t="s">
        <v>40</v>
      </c>
      <c r="D73" s="4" t="s">
        <v>50</v>
      </c>
      <c r="E73" s="4" t="s">
        <v>51</v>
      </c>
      <c r="F73" s="4" t="s">
        <v>25</v>
      </c>
      <c r="G73" s="4" t="s">
        <v>25</v>
      </c>
      <c r="H73" s="4" t="s">
        <v>35</v>
      </c>
      <c r="I73" s="5">
        <v>44743</v>
      </c>
      <c r="J73" s="6">
        <v>10110</v>
      </c>
      <c r="K73" s="61">
        <v>10110</v>
      </c>
      <c r="L73" s="6">
        <v>5405.5959999999995</v>
      </c>
      <c r="M73" s="60">
        <v>5405.5959999999995</v>
      </c>
      <c r="N73" s="6">
        <v>5405.5959999999995</v>
      </c>
      <c r="O73" s="60">
        <v>5405.5959999999995</v>
      </c>
      <c r="P73" s="6">
        <v>0</v>
      </c>
      <c r="Q73" s="4" t="s">
        <v>26</v>
      </c>
      <c r="R73" s="4">
        <v>0</v>
      </c>
      <c r="S73" s="4">
        <v>3</v>
      </c>
      <c r="T73" s="4">
        <v>5</v>
      </c>
      <c r="U73" s="4">
        <v>65</v>
      </c>
      <c r="V73" s="60">
        <f>IF(ISERROR(VLOOKUP($S$73,'TAR FIN'!$A$1:$O$104,15,0)),0,VLOOKUP($S$73,'TAR FIN'!$A$1:$O$104,15,0))*(1-0.06)</f>
        <v>10.499799999999999</v>
      </c>
      <c r="W73" s="60">
        <f>IF(ISERROR(VLOOKUP($T$73,'TAR FIN'!$A$1:$O$104,15,0)),0,VLOOKUP($T$73,'TAR FIN'!$A$1:$O$104,15,0))*(1-0.06)</f>
        <v>39.433</v>
      </c>
      <c r="X73" s="60">
        <f>IF(ISERROR(VLOOKUP($U$73,'TAR FIN'!$A$1:$O$104,15,0)),0,VLOOKUP($U$73,'TAR FIN'!$A$1:$O$104,15,0))*(1-0.06)</f>
        <v>228.25079999999997</v>
      </c>
      <c r="Y73" s="60">
        <f ca="1">('TUSD BE'!$AM$6+'TUSD BF'!$AM$6+'TUSD CVA'!$AM$6)*1*(1-0.03)</f>
        <v>10.727272179460348</v>
      </c>
      <c r="Z73" s="60">
        <f ca="1">('TUSD BE'!$AM$7+'TUSD BF'!$AM$7+'TUSD CVA'!$AM$7)*1*(1-0.03)</f>
        <v>53.648846500623598</v>
      </c>
      <c r="AA73" s="60">
        <f>('TE BE'!$AB$6+'TE BF'!$AB$6+'TE CVA'!$AB$6)*1*(1-0.03)</f>
        <v>224.80969662802207</v>
      </c>
      <c r="AB73" s="60">
        <f>(SUBSIDIO!$J$73*SUBSIDIO!$V$73)*(0.06)/(1-0.06)</f>
        <v>6775.7219999999998</v>
      </c>
      <c r="AC73" s="60">
        <f>((SUBSIDIO!$L$73*SUBSIDIO!$W$73)+(SUBSIDIO!$N$73*SUBSIDIO!$X$73))*(0.06)/(1-0.06)</f>
        <v>92361.094375199988</v>
      </c>
      <c r="AD73" s="60">
        <f ca="1">(SUBSIDIO!$J$73*SUBSIDIO!$Y$73)*(0.03)/(1-0.03)</f>
        <v>3354.2078886910549</v>
      </c>
      <c r="AE73" s="60">
        <f ca="1">((SUBSIDIO!$L$73*SUBSIDIO!$Z$73)+(SUBSIDIO!$N$73*SUBSIDIO!$AA$73))*(0.03)/(1-0.03)</f>
        <v>46553.64083202168</v>
      </c>
      <c r="AF73" s="4" t="s">
        <v>999</v>
      </c>
    </row>
    <row r="74" spans="1:32" ht="11.25" customHeight="1" x14ac:dyDescent="0.25">
      <c r="A74" s="4" t="s">
        <v>21</v>
      </c>
      <c r="B74" s="4" t="s">
        <v>39</v>
      </c>
      <c r="C74" s="4" t="s">
        <v>40</v>
      </c>
      <c r="D74" s="4" t="s">
        <v>50</v>
      </c>
      <c r="E74" s="4" t="s">
        <v>51</v>
      </c>
      <c r="F74" s="4" t="s">
        <v>25</v>
      </c>
      <c r="G74" s="4" t="s">
        <v>25</v>
      </c>
      <c r="H74" s="4" t="s">
        <v>34</v>
      </c>
      <c r="I74" s="5">
        <v>44409</v>
      </c>
      <c r="J74" s="6">
        <v>9080</v>
      </c>
      <c r="K74" s="61">
        <v>9080</v>
      </c>
      <c r="L74" s="6">
        <v>513</v>
      </c>
      <c r="M74" s="60">
        <v>513</v>
      </c>
      <c r="N74" s="6">
        <v>513</v>
      </c>
      <c r="O74" s="60">
        <v>513</v>
      </c>
      <c r="P74" s="6">
        <v>0</v>
      </c>
      <c r="Q74" s="4" t="s">
        <v>26</v>
      </c>
      <c r="R74" s="4">
        <v>0</v>
      </c>
      <c r="S74" s="4">
        <v>1</v>
      </c>
      <c r="T74" s="4">
        <v>5</v>
      </c>
      <c r="U74" s="4">
        <v>64</v>
      </c>
      <c r="V74" s="60">
        <f>IF(ISERROR(VLOOKUP($S$74,'TAR FIN'!$A$1:$O$104,15,0)),0,VLOOKUP($S$74,'TAR FIN'!$A$1:$O$104,15,0))*(1-0.06)</f>
        <v>20.191199999999998</v>
      </c>
      <c r="W74" s="60">
        <f>IF(ISERROR(VLOOKUP($T$74,'TAR FIN'!$A$1:$O$104,15,0)),0,VLOOKUP($T$74,'TAR FIN'!$A$1:$O$104,15,0))*(1-0.06)</f>
        <v>39.433</v>
      </c>
      <c r="X74" s="60">
        <f>IF(ISERROR(VLOOKUP($U$74,'TAR FIN'!$A$1:$O$104,15,0)),0,VLOOKUP($U$74,'TAR FIN'!$A$1:$O$104,15,0))*(1-0.06)</f>
        <v>373.76279999999997</v>
      </c>
      <c r="Y74" s="60">
        <f ca="1">('TUSD BE'!$AM$5+'TUSD BF'!$AM$5+'TUSD CVA'!$AM$5)*1*(1-0.03)</f>
        <v>20.673461938926021</v>
      </c>
      <c r="Z74" s="60">
        <f ca="1">('TUSD BE'!$AM$7+'TUSD BF'!$AM$7+'TUSD CVA'!$AM$7)*1*(1-0.03)</f>
        <v>53.648846500623598</v>
      </c>
      <c r="AA74" s="60">
        <f>('TE BE'!$AB$5+'TE BF'!$AB$5+'TE CVA'!$AB$5)*1*(1-0.03)</f>
        <v>349.45248311940099</v>
      </c>
      <c r="AB74" s="60">
        <f>(SUBSIDIO!$J$74*SUBSIDIO!$V$74)*(0.06)/(1-0.06)</f>
        <v>11702.304</v>
      </c>
      <c r="AC74" s="60">
        <f>((SUBSIDIO!$L$74*SUBSIDIO!$W$74)+(SUBSIDIO!$N$74*SUBSIDIO!$X$74))*(0.06)/(1-0.06)</f>
        <v>13529.964599999998</v>
      </c>
      <c r="AD74" s="60">
        <f ca="1">(SUBSIDIO!$J$74*SUBSIDIO!$Y$74)*(0.03)/(1-0.03)</f>
        <v>5805.6196207870598</v>
      </c>
      <c r="AE74" s="60">
        <f ca="1">((SUBSIDIO!$L$74*SUBSIDIO!$Z$74)+(SUBSIDIO!$N$74*SUBSIDIO!$AA$74))*(0.03)/(1-0.03)</f>
        <v>6395.5973843836891</v>
      </c>
      <c r="AF74" s="4" t="s">
        <v>999</v>
      </c>
    </row>
    <row r="75" spans="1:32" ht="11.25" customHeight="1" x14ac:dyDescent="0.25">
      <c r="A75" s="4" t="s">
        <v>21</v>
      </c>
      <c r="B75" s="4" t="s">
        <v>39</v>
      </c>
      <c r="C75" s="4" t="s">
        <v>40</v>
      </c>
      <c r="D75" s="4" t="s">
        <v>50</v>
      </c>
      <c r="E75" s="4" t="s">
        <v>51</v>
      </c>
      <c r="F75" s="4" t="s">
        <v>25</v>
      </c>
      <c r="G75" s="4" t="s">
        <v>25</v>
      </c>
      <c r="H75" s="4" t="s">
        <v>34</v>
      </c>
      <c r="I75" s="5">
        <v>44440</v>
      </c>
      <c r="J75" s="6">
        <v>9000</v>
      </c>
      <c r="K75" s="61">
        <v>9000</v>
      </c>
      <c r="L75" s="6">
        <v>493</v>
      </c>
      <c r="M75" s="60">
        <v>493</v>
      </c>
      <c r="N75" s="6">
        <v>493</v>
      </c>
      <c r="O75" s="60">
        <v>493</v>
      </c>
      <c r="P75" s="6">
        <v>0</v>
      </c>
      <c r="Q75" s="4" t="s">
        <v>26</v>
      </c>
      <c r="R75" s="4">
        <v>0</v>
      </c>
      <c r="S75" s="4">
        <v>1</v>
      </c>
      <c r="T75" s="4">
        <v>5</v>
      </c>
      <c r="U75" s="4">
        <v>64</v>
      </c>
      <c r="V75" s="60">
        <f>IF(ISERROR(VLOOKUP($S$75,'TAR FIN'!$A$1:$O$104,15,0)),0,VLOOKUP($S$75,'TAR FIN'!$A$1:$O$104,15,0))*(1-0.06)</f>
        <v>20.191199999999998</v>
      </c>
      <c r="W75" s="60">
        <f>IF(ISERROR(VLOOKUP($T$75,'TAR FIN'!$A$1:$O$104,15,0)),0,VLOOKUP($T$75,'TAR FIN'!$A$1:$O$104,15,0))*(1-0.06)</f>
        <v>39.433</v>
      </c>
      <c r="X75" s="60">
        <f>IF(ISERROR(VLOOKUP($U$75,'TAR FIN'!$A$1:$O$104,15,0)),0,VLOOKUP($U$75,'TAR FIN'!$A$1:$O$104,15,0))*(1-0.06)</f>
        <v>373.76279999999997</v>
      </c>
      <c r="Y75" s="60">
        <f ca="1">('TUSD BE'!$AM$5+'TUSD BF'!$AM$5+'TUSD CVA'!$AM$5)*1*(1-0.03)</f>
        <v>20.673461938926021</v>
      </c>
      <c r="Z75" s="60">
        <f ca="1">('TUSD BE'!$AM$7+'TUSD BF'!$AM$7+'TUSD CVA'!$AM$7)*1*(1-0.03)</f>
        <v>53.648846500623598</v>
      </c>
      <c r="AA75" s="60">
        <f>('TE BE'!$AB$5+'TE BF'!$AB$5+'TE CVA'!$AB$5)*1*(1-0.03)</f>
        <v>349.45248311940099</v>
      </c>
      <c r="AB75" s="60">
        <f>(SUBSIDIO!$J$75*SUBSIDIO!$V$75)*(0.06)/(1-0.06)</f>
        <v>11599.2</v>
      </c>
      <c r="AC75" s="60">
        <f>((SUBSIDIO!$L$75*SUBSIDIO!$W$75)+(SUBSIDIO!$N$75*SUBSIDIO!$X$75))*(0.06)/(1-0.06)</f>
        <v>13002.480599999999</v>
      </c>
      <c r="AD75" s="60">
        <f ca="1">(SUBSIDIO!$J$75*SUBSIDIO!$Y$75)*(0.03)/(1-0.03)</f>
        <v>5754.4687871237375</v>
      </c>
      <c r="AE75" s="60">
        <f ca="1">((SUBSIDIO!$L$75*SUBSIDIO!$Z$75)+(SUBSIDIO!$N$75*SUBSIDIO!$AA$75))*(0.03)/(1-0.03)</f>
        <v>6146.2563557527465</v>
      </c>
      <c r="AF75" s="4" t="s">
        <v>999</v>
      </c>
    </row>
    <row r="76" spans="1:32" ht="11.25" customHeight="1" x14ac:dyDescent="0.25">
      <c r="A76" s="4" t="s">
        <v>21</v>
      </c>
      <c r="B76" s="4" t="s">
        <v>39</v>
      </c>
      <c r="C76" s="4" t="s">
        <v>40</v>
      </c>
      <c r="D76" s="4" t="s">
        <v>50</v>
      </c>
      <c r="E76" s="4" t="s">
        <v>51</v>
      </c>
      <c r="F76" s="4" t="s">
        <v>25</v>
      </c>
      <c r="G76" s="4" t="s">
        <v>25</v>
      </c>
      <c r="H76" s="4" t="s">
        <v>34</v>
      </c>
      <c r="I76" s="5">
        <v>44470</v>
      </c>
      <c r="J76" s="6">
        <v>9540</v>
      </c>
      <c r="K76" s="61">
        <v>9540</v>
      </c>
      <c r="L76" s="6">
        <v>505</v>
      </c>
      <c r="M76" s="60">
        <v>505</v>
      </c>
      <c r="N76" s="6">
        <v>505</v>
      </c>
      <c r="O76" s="60">
        <v>505</v>
      </c>
      <c r="P76" s="6">
        <v>0</v>
      </c>
      <c r="Q76" s="4" t="s">
        <v>26</v>
      </c>
      <c r="R76" s="4">
        <v>0</v>
      </c>
      <c r="S76" s="4">
        <v>1</v>
      </c>
      <c r="T76" s="4">
        <v>5</v>
      </c>
      <c r="U76" s="4">
        <v>64</v>
      </c>
      <c r="V76" s="60">
        <f>IF(ISERROR(VLOOKUP($S$76,'TAR FIN'!$A$1:$O$104,15,0)),0,VLOOKUP($S$76,'TAR FIN'!$A$1:$O$104,15,0))*(1-0.06)</f>
        <v>20.191199999999998</v>
      </c>
      <c r="W76" s="60">
        <f>IF(ISERROR(VLOOKUP($T$76,'TAR FIN'!$A$1:$O$104,15,0)),0,VLOOKUP($T$76,'TAR FIN'!$A$1:$O$104,15,0))*(1-0.06)</f>
        <v>39.433</v>
      </c>
      <c r="X76" s="60">
        <f>IF(ISERROR(VLOOKUP($U$76,'TAR FIN'!$A$1:$O$104,15,0)),0,VLOOKUP($U$76,'TAR FIN'!$A$1:$O$104,15,0))*(1-0.06)</f>
        <v>373.76279999999997</v>
      </c>
      <c r="Y76" s="60">
        <f ca="1">('TUSD BE'!$AM$5+'TUSD BF'!$AM$5+'TUSD CVA'!$AM$5)*1*(1-0.03)</f>
        <v>20.673461938926021</v>
      </c>
      <c r="Z76" s="60">
        <f ca="1">('TUSD BE'!$AM$7+'TUSD BF'!$AM$7+'TUSD CVA'!$AM$7)*1*(1-0.03)</f>
        <v>53.648846500623598</v>
      </c>
      <c r="AA76" s="60">
        <f>('TE BE'!$AB$5+'TE BF'!$AB$5+'TE CVA'!$AB$5)*1*(1-0.03)</f>
        <v>349.45248311940099</v>
      </c>
      <c r="AB76" s="60">
        <f>(SUBSIDIO!$J$76*SUBSIDIO!$V$76)*(0.06)/(1-0.06)</f>
        <v>12295.152</v>
      </c>
      <c r="AC76" s="60">
        <f>((SUBSIDIO!$L$76*SUBSIDIO!$W$76)+(SUBSIDIO!$N$76*SUBSIDIO!$X$76))*(0.06)/(1-0.06)</f>
        <v>13318.971</v>
      </c>
      <c r="AD76" s="60">
        <f ca="1">(SUBSIDIO!$J$76*SUBSIDIO!$Y$76)*(0.03)/(1-0.03)</f>
        <v>6099.7369143511623</v>
      </c>
      <c r="AE76" s="60">
        <f ca="1">((SUBSIDIO!$L$76*SUBSIDIO!$Z$76)+(SUBSIDIO!$N$76*SUBSIDIO!$AA$76))*(0.03)/(1-0.03)</f>
        <v>6295.8609729313121</v>
      </c>
      <c r="AF76" s="4" t="s">
        <v>999</v>
      </c>
    </row>
    <row r="77" spans="1:32" ht="11.25" customHeight="1" x14ac:dyDescent="0.25">
      <c r="A77" s="4" t="s">
        <v>21</v>
      </c>
      <c r="B77" s="4" t="s">
        <v>39</v>
      </c>
      <c r="C77" s="4" t="s">
        <v>40</v>
      </c>
      <c r="D77" s="4" t="s">
        <v>50</v>
      </c>
      <c r="E77" s="4" t="s">
        <v>51</v>
      </c>
      <c r="F77" s="4" t="s">
        <v>25</v>
      </c>
      <c r="G77" s="4" t="s">
        <v>25</v>
      </c>
      <c r="H77" s="4" t="s">
        <v>34</v>
      </c>
      <c r="I77" s="5">
        <v>44501</v>
      </c>
      <c r="J77" s="6">
        <v>9480</v>
      </c>
      <c r="K77" s="61">
        <v>9480</v>
      </c>
      <c r="L77" s="6">
        <v>529</v>
      </c>
      <c r="M77" s="60">
        <v>529</v>
      </c>
      <c r="N77" s="6">
        <v>529</v>
      </c>
      <c r="O77" s="60">
        <v>529</v>
      </c>
      <c r="P77" s="6">
        <v>0</v>
      </c>
      <c r="Q77" s="4" t="s">
        <v>26</v>
      </c>
      <c r="R77" s="4">
        <v>0</v>
      </c>
      <c r="S77" s="4">
        <v>1</v>
      </c>
      <c r="T77" s="4">
        <v>5</v>
      </c>
      <c r="U77" s="4">
        <v>64</v>
      </c>
      <c r="V77" s="60">
        <f>IF(ISERROR(VLOOKUP($S$77,'TAR FIN'!$A$1:$O$104,15,0)),0,VLOOKUP($S$77,'TAR FIN'!$A$1:$O$104,15,0))*(1-0.06)</f>
        <v>20.191199999999998</v>
      </c>
      <c r="W77" s="60">
        <f>IF(ISERROR(VLOOKUP($T$77,'TAR FIN'!$A$1:$O$104,15,0)),0,VLOOKUP($T$77,'TAR FIN'!$A$1:$O$104,15,0))*(1-0.06)</f>
        <v>39.433</v>
      </c>
      <c r="X77" s="60">
        <f>IF(ISERROR(VLOOKUP($U$77,'TAR FIN'!$A$1:$O$104,15,0)),0,VLOOKUP($U$77,'TAR FIN'!$A$1:$O$104,15,0))*(1-0.06)</f>
        <v>373.76279999999997</v>
      </c>
      <c r="Y77" s="60">
        <f ca="1">('TUSD BE'!$AM$5+'TUSD BF'!$AM$5+'TUSD CVA'!$AM$5)*1*(1-0.03)</f>
        <v>20.673461938926021</v>
      </c>
      <c r="Z77" s="60">
        <f ca="1">('TUSD BE'!$AM$7+'TUSD BF'!$AM$7+'TUSD CVA'!$AM$7)*1*(1-0.03)</f>
        <v>53.648846500623598</v>
      </c>
      <c r="AA77" s="60">
        <f>('TE BE'!$AB$5+'TE BF'!$AB$5+'TE CVA'!$AB$5)*1*(1-0.03)</f>
        <v>349.45248311940099</v>
      </c>
      <c r="AB77" s="60">
        <f>(SUBSIDIO!$J$77*SUBSIDIO!$V$77)*(0.06)/(1-0.06)</f>
        <v>12217.823999999999</v>
      </c>
      <c r="AC77" s="60">
        <f>((SUBSIDIO!$L$77*SUBSIDIO!$W$77)+(SUBSIDIO!$N$77*SUBSIDIO!$X$77))*(0.06)/(1-0.06)</f>
        <v>13951.951799999999</v>
      </c>
      <c r="AD77" s="60">
        <f ca="1">(SUBSIDIO!$J$77*SUBSIDIO!$Y$77)*(0.03)/(1-0.03)</f>
        <v>6061.3737891036708</v>
      </c>
      <c r="AE77" s="60">
        <f ca="1">((SUBSIDIO!$L$77*SUBSIDIO!$Z$77)+(SUBSIDIO!$N$77*SUBSIDIO!$AA$77))*(0.03)/(1-0.03)</f>
        <v>6595.0702072884433</v>
      </c>
      <c r="AF77" s="4" t="s">
        <v>999</v>
      </c>
    </row>
    <row r="78" spans="1:32" ht="11.25" customHeight="1" x14ac:dyDescent="0.25">
      <c r="A78" s="4" t="s">
        <v>21</v>
      </c>
      <c r="B78" s="4" t="s">
        <v>39</v>
      </c>
      <c r="C78" s="4" t="s">
        <v>40</v>
      </c>
      <c r="D78" s="4" t="s">
        <v>50</v>
      </c>
      <c r="E78" s="4" t="s">
        <v>51</v>
      </c>
      <c r="F78" s="4" t="s">
        <v>25</v>
      </c>
      <c r="G78" s="4" t="s">
        <v>25</v>
      </c>
      <c r="H78" s="4" t="s">
        <v>34</v>
      </c>
      <c r="I78" s="5">
        <v>44531</v>
      </c>
      <c r="J78" s="6">
        <v>10190</v>
      </c>
      <c r="K78" s="61">
        <v>10190</v>
      </c>
      <c r="L78" s="6">
        <v>600</v>
      </c>
      <c r="M78" s="60">
        <v>600</v>
      </c>
      <c r="N78" s="6">
        <v>600</v>
      </c>
      <c r="O78" s="60">
        <v>600</v>
      </c>
      <c r="P78" s="6">
        <v>0</v>
      </c>
      <c r="Q78" s="4" t="s">
        <v>26</v>
      </c>
      <c r="R78" s="4">
        <v>0</v>
      </c>
      <c r="S78" s="4">
        <v>1</v>
      </c>
      <c r="T78" s="4">
        <v>5</v>
      </c>
      <c r="U78" s="4">
        <v>64</v>
      </c>
      <c r="V78" s="60">
        <f>IF(ISERROR(VLOOKUP($S$78,'TAR FIN'!$A$1:$O$104,15,0)),0,VLOOKUP($S$78,'TAR FIN'!$A$1:$O$104,15,0))*(1-0.06)</f>
        <v>20.191199999999998</v>
      </c>
      <c r="W78" s="60">
        <f>IF(ISERROR(VLOOKUP($T$78,'TAR FIN'!$A$1:$O$104,15,0)),0,VLOOKUP($T$78,'TAR FIN'!$A$1:$O$104,15,0))*(1-0.06)</f>
        <v>39.433</v>
      </c>
      <c r="X78" s="60">
        <f>IF(ISERROR(VLOOKUP($U$78,'TAR FIN'!$A$1:$O$104,15,0)),0,VLOOKUP($U$78,'TAR FIN'!$A$1:$O$104,15,0))*(1-0.06)</f>
        <v>373.76279999999997</v>
      </c>
      <c r="Y78" s="60">
        <f ca="1">('TUSD BE'!$AM$5+'TUSD BF'!$AM$5+'TUSD CVA'!$AM$5)*1*(1-0.03)</f>
        <v>20.673461938926021</v>
      </c>
      <c r="Z78" s="60">
        <f ca="1">('TUSD BE'!$AM$7+'TUSD BF'!$AM$7+'TUSD CVA'!$AM$7)*1*(1-0.03)</f>
        <v>53.648846500623598</v>
      </c>
      <c r="AA78" s="60">
        <f>('TE BE'!$AB$5+'TE BF'!$AB$5+'TE CVA'!$AB$5)*1*(1-0.03)</f>
        <v>349.45248311940099</v>
      </c>
      <c r="AB78" s="60">
        <f>(SUBSIDIO!$J$78*SUBSIDIO!$V$78)*(0.06)/(1-0.06)</f>
        <v>13132.871999999999</v>
      </c>
      <c r="AC78" s="60">
        <f>((SUBSIDIO!$L$78*SUBSIDIO!$W$78)+(SUBSIDIO!$N$78*SUBSIDIO!$X$78))*(0.06)/(1-0.06)</f>
        <v>15824.519999999999</v>
      </c>
      <c r="AD78" s="60">
        <f ca="1">(SUBSIDIO!$J$78*SUBSIDIO!$Y$78)*(0.03)/(1-0.03)</f>
        <v>6515.3374378656554</v>
      </c>
      <c r="AE78" s="60">
        <f ca="1">((SUBSIDIO!$L$78*SUBSIDIO!$Z$78)+(SUBSIDIO!$N$78*SUBSIDIO!$AA$78))*(0.03)/(1-0.03)</f>
        <v>7480.2308589282911</v>
      </c>
      <c r="AF78" s="4" t="s">
        <v>999</v>
      </c>
    </row>
    <row r="79" spans="1:32" ht="11.25" customHeight="1" x14ac:dyDescent="0.25">
      <c r="A79" s="4" t="s">
        <v>21</v>
      </c>
      <c r="B79" s="4" t="s">
        <v>39</v>
      </c>
      <c r="C79" s="4" t="s">
        <v>40</v>
      </c>
      <c r="D79" s="4" t="s">
        <v>50</v>
      </c>
      <c r="E79" s="4" t="s">
        <v>51</v>
      </c>
      <c r="F79" s="4" t="s">
        <v>25</v>
      </c>
      <c r="G79" s="4" t="s">
        <v>25</v>
      </c>
      <c r="H79" s="4" t="s">
        <v>34</v>
      </c>
      <c r="I79" s="5">
        <v>44562</v>
      </c>
      <c r="J79" s="6">
        <v>9703</v>
      </c>
      <c r="K79" s="61">
        <v>9703</v>
      </c>
      <c r="L79" s="6">
        <v>532.51300000000003</v>
      </c>
      <c r="M79" s="60">
        <v>532.51300000000003</v>
      </c>
      <c r="N79" s="6">
        <v>532.51300000000003</v>
      </c>
      <c r="O79" s="60">
        <v>532.51300000000003</v>
      </c>
      <c r="P79" s="6">
        <v>0</v>
      </c>
      <c r="Q79" s="4" t="s">
        <v>26</v>
      </c>
      <c r="R79" s="4">
        <v>0</v>
      </c>
      <c r="S79" s="4">
        <v>1</v>
      </c>
      <c r="T79" s="4">
        <v>5</v>
      </c>
      <c r="U79" s="4">
        <v>64</v>
      </c>
      <c r="V79" s="60">
        <f>IF(ISERROR(VLOOKUP($S$79,'TAR FIN'!$A$1:$O$104,15,0)),0,VLOOKUP($S$79,'TAR FIN'!$A$1:$O$104,15,0))*(1-0.06)</f>
        <v>20.191199999999998</v>
      </c>
      <c r="W79" s="60">
        <f>IF(ISERROR(VLOOKUP($T$79,'TAR FIN'!$A$1:$O$104,15,0)),0,VLOOKUP($T$79,'TAR FIN'!$A$1:$O$104,15,0))*(1-0.06)</f>
        <v>39.433</v>
      </c>
      <c r="X79" s="60">
        <f>IF(ISERROR(VLOOKUP($U$79,'TAR FIN'!$A$1:$O$104,15,0)),0,VLOOKUP($U$79,'TAR FIN'!$A$1:$O$104,15,0))*(1-0.06)</f>
        <v>373.76279999999997</v>
      </c>
      <c r="Y79" s="60">
        <f ca="1">('TUSD BE'!$AM$5+'TUSD BF'!$AM$5+'TUSD CVA'!$AM$5)*1*(1-0.03)</f>
        <v>20.673461938926021</v>
      </c>
      <c r="Z79" s="60">
        <f ca="1">('TUSD BE'!$AM$7+'TUSD BF'!$AM$7+'TUSD CVA'!$AM$7)*1*(1-0.03)</f>
        <v>53.648846500623598</v>
      </c>
      <c r="AA79" s="60">
        <f>('TE BE'!$AB$5+'TE BF'!$AB$5+'TE CVA'!$AB$5)*1*(1-0.03)</f>
        <v>349.45248311940099</v>
      </c>
      <c r="AB79" s="60">
        <f>(SUBSIDIO!$J$79*SUBSIDIO!$V$79)*(0.06)/(1-0.06)</f>
        <v>12505.2264</v>
      </c>
      <c r="AC79" s="60">
        <f>((SUBSIDIO!$L$79*SUBSIDIO!$W$79)+(SUBSIDIO!$N$79*SUBSIDIO!$X$79))*(0.06)/(1-0.06)</f>
        <v>14044.6043646</v>
      </c>
      <c r="AD79" s="60">
        <f ca="1">(SUBSIDIO!$J$79*SUBSIDIO!$Y$79)*(0.03)/(1-0.03)</f>
        <v>6203.9567379401806</v>
      </c>
      <c r="AE79" s="60">
        <f ca="1">((SUBSIDIO!$L$79*SUBSIDIO!$Z$79)+(SUBSIDIO!$N$79*SUBSIDIO!$AA$79))*(0.03)/(1-0.03)</f>
        <v>6638.8669589674691</v>
      </c>
      <c r="AF79" s="4" t="s">
        <v>999</v>
      </c>
    </row>
    <row r="80" spans="1:32" ht="11.25" customHeight="1" x14ac:dyDescent="0.25">
      <c r="A80" s="4" t="s">
        <v>21</v>
      </c>
      <c r="B80" s="4" t="s">
        <v>39</v>
      </c>
      <c r="C80" s="4" t="s">
        <v>40</v>
      </c>
      <c r="D80" s="4" t="s">
        <v>50</v>
      </c>
      <c r="E80" s="4" t="s">
        <v>51</v>
      </c>
      <c r="F80" s="4" t="s">
        <v>25</v>
      </c>
      <c r="G80" s="4" t="s">
        <v>25</v>
      </c>
      <c r="H80" s="4" t="s">
        <v>34</v>
      </c>
      <c r="I80" s="5">
        <v>44593</v>
      </c>
      <c r="J80" s="6">
        <v>9740</v>
      </c>
      <c r="K80" s="61">
        <v>9740</v>
      </c>
      <c r="L80" s="6">
        <v>517.00900000000001</v>
      </c>
      <c r="M80" s="60">
        <v>517.00900000000001</v>
      </c>
      <c r="N80" s="6">
        <v>517.00900000000001</v>
      </c>
      <c r="O80" s="60">
        <v>517.00900000000001</v>
      </c>
      <c r="P80" s="6">
        <v>0</v>
      </c>
      <c r="Q80" s="4" t="s">
        <v>26</v>
      </c>
      <c r="R80" s="4">
        <v>0</v>
      </c>
      <c r="S80" s="4">
        <v>1</v>
      </c>
      <c r="T80" s="4">
        <v>5</v>
      </c>
      <c r="U80" s="4">
        <v>64</v>
      </c>
      <c r="V80" s="60">
        <f>IF(ISERROR(VLOOKUP($S$80,'TAR FIN'!$A$1:$O$104,15,0)),0,VLOOKUP($S$80,'TAR FIN'!$A$1:$O$104,15,0))*(1-0.06)</f>
        <v>20.191199999999998</v>
      </c>
      <c r="W80" s="60">
        <f>IF(ISERROR(VLOOKUP($T$80,'TAR FIN'!$A$1:$O$104,15,0)),0,VLOOKUP($T$80,'TAR FIN'!$A$1:$O$104,15,0))*(1-0.06)</f>
        <v>39.433</v>
      </c>
      <c r="X80" s="60">
        <f>IF(ISERROR(VLOOKUP($U$80,'TAR FIN'!$A$1:$O$104,15,0)),0,VLOOKUP($U$80,'TAR FIN'!$A$1:$O$104,15,0))*(1-0.06)</f>
        <v>373.76279999999997</v>
      </c>
      <c r="Y80" s="60">
        <f ca="1">('TUSD BE'!$AM$5+'TUSD BF'!$AM$5+'TUSD CVA'!$AM$5)*1*(1-0.03)</f>
        <v>20.673461938926021</v>
      </c>
      <c r="Z80" s="60">
        <f ca="1">('TUSD BE'!$AM$7+'TUSD BF'!$AM$7+'TUSD CVA'!$AM$7)*1*(1-0.03)</f>
        <v>53.648846500623598</v>
      </c>
      <c r="AA80" s="60">
        <f>('TE BE'!$AB$5+'TE BF'!$AB$5+'TE CVA'!$AB$5)*1*(1-0.03)</f>
        <v>349.45248311940099</v>
      </c>
      <c r="AB80" s="60">
        <f>(SUBSIDIO!$J$80*SUBSIDIO!$V$80)*(0.06)/(1-0.06)</f>
        <v>12552.911999999998</v>
      </c>
      <c r="AC80" s="60">
        <f>((SUBSIDIO!$L$80*SUBSIDIO!$W$80)+(SUBSIDIO!$N$80*SUBSIDIO!$X$80))*(0.06)/(1-0.06)</f>
        <v>13635.6987678</v>
      </c>
      <c r="AD80" s="60">
        <f ca="1">(SUBSIDIO!$J$80*SUBSIDIO!$Y$80)*(0.03)/(1-0.03)</f>
        <v>6227.6139985094678</v>
      </c>
      <c r="AE80" s="60">
        <f ca="1">((SUBSIDIO!$L$80*SUBSIDIO!$Z$80)+(SUBSIDIO!$N$80*SUBSIDIO!$AA$80))*(0.03)/(1-0.03)</f>
        <v>6445.577793572761</v>
      </c>
      <c r="AF80" s="4" t="s">
        <v>999</v>
      </c>
    </row>
    <row r="81" spans="1:32" ht="11.25" customHeight="1" x14ac:dyDescent="0.25">
      <c r="A81" s="4" t="s">
        <v>21</v>
      </c>
      <c r="B81" s="4" t="s">
        <v>39</v>
      </c>
      <c r="C81" s="4" t="s">
        <v>40</v>
      </c>
      <c r="D81" s="4" t="s">
        <v>50</v>
      </c>
      <c r="E81" s="4" t="s">
        <v>51</v>
      </c>
      <c r="F81" s="4" t="s">
        <v>25</v>
      </c>
      <c r="G81" s="4" t="s">
        <v>25</v>
      </c>
      <c r="H81" s="4" t="s">
        <v>34</v>
      </c>
      <c r="I81" s="5">
        <v>44621</v>
      </c>
      <c r="J81" s="6">
        <v>9021</v>
      </c>
      <c r="K81" s="61">
        <v>9021</v>
      </c>
      <c r="L81" s="6">
        <v>535.46400000000006</v>
      </c>
      <c r="M81" s="60">
        <v>535.46400000000006</v>
      </c>
      <c r="N81" s="6">
        <v>535.46400000000006</v>
      </c>
      <c r="O81" s="60">
        <v>535.46400000000006</v>
      </c>
      <c r="P81" s="6">
        <v>0</v>
      </c>
      <c r="Q81" s="4" t="s">
        <v>26</v>
      </c>
      <c r="R81" s="4">
        <v>0</v>
      </c>
      <c r="S81" s="4">
        <v>1</v>
      </c>
      <c r="T81" s="4">
        <v>5</v>
      </c>
      <c r="U81" s="4">
        <v>64</v>
      </c>
      <c r="V81" s="60">
        <f>IF(ISERROR(VLOOKUP($S$81,'TAR FIN'!$A$1:$O$104,15,0)),0,VLOOKUP($S$81,'TAR FIN'!$A$1:$O$104,15,0))*(1-0.06)</f>
        <v>20.191199999999998</v>
      </c>
      <c r="W81" s="60">
        <f>IF(ISERROR(VLOOKUP($T$81,'TAR FIN'!$A$1:$O$104,15,0)),0,VLOOKUP($T$81,'TAR FIN'!$A$1:$O$104,15,0))*(1-0.06)</f>
        <v>39.433</v>
      </c>
      <c r="X81" s="60">
        <f>IF(ISERROR(VLOOKUP($U$81,'TAR FIN'!$A$1:$O$104,15,0)),0,VLOOKUP($U$81,'TAR FIN'!$A$1:$O$104,15,0))*(1-0.06)</f>
        <v>373.76279999999997</v>
      </c>
      <c r="Y81" s="60">
        <f ca="1">('TUSD BE'!$AM$5+'TUSD BF'!$AM$5+'TUSD CVA'!$AM$5)*1*(1-0.03)</f>
        <v>20.673461938926021</v>
      </c>
      <c r="Z81" s="60">
        <f ca="1">('TUSD BE'!$AM$7+'TUSD BF'!$AM$7+'TUSD CVA'!$AM$7)*1*(1-0.03)</f>
        <v>53.648846500623598</v>
      </c>
      <c r="AA81" s="60">
        <f>('TE BE'!$AB$5+'TE BF'!$AB$5+'TE CVA'!$AB$5)*1*(1-0.03)</f>
        <v>349.45248311940099</v>
      </c>
      <c r="AB81" s="60">
        <f>(SUBSIDIO!$J$81*SUBSIDIO!$V$81)*(0.06)/(1-0.06)</f>
        <v>11626.264799999999</v>
      </c>
      <c r="AC81" s="60">
        <f>((SUBSIDIO!$L$81*SUBSIDIO!$W$81)+(SUBSIDIO!$N$81*SUBSIDIO!$X$81))*(0.06)/(1-0.06)</f>
        <v>14122.434628800002</v>
      </c>
      <c r="AD81" s="60">
        <f ca="1">(SUBSIDIO!$J$81*SUBSIDIO!$Y$81)*(0.03)/(1-0.03)</f>
        <v>5767.8958809603591</v>
      </c>
      <c r="AE81" s="60">
        <f ca="1">((SUBSIDIO!$L$81*SUBSIDIO!$Z$81)+(SUBSIDIO!$N$81*SUBSIDIO!$AA$81))*(0.03)/(1-0.03)</f>
        <v>6675.6572277419655</v>
      </c>
      <c r="AF81" s="4" t="s">
        <v>999</v>
      </c>
    </row>
    <row r="82" spans="1:32" ht="11.25" customHeight="1" x14ac:dyDescent="0.25">
      <c r="A82" s="4" t="s">
        <v>21</v>
      </c>
      <c r="B82" s="4" t="s">
        <v>39</v>
      </c>
      <c r="C82" s="4" t="s">
        <v>40</v>
      </c>
      <c r="D82" s="4" t="s">
        <v>50</v>
      </c>
      <c r="E82" s="4" t="s">
        <v>51</v>
      </c>
      <c r="F82" s="4" t="s">
        <v>25</v>
      </c>
      <c r="G82" s="4" t="s">
        <v>25</v>
      </c>
      <c r="H82" s="4" t="s">
        <v>34</v>
      </c>
      <c r="I82" s="5">
        <v>44652</v>
      </c>
      <c r="J82" s="6">
        <v>9149</v>
      </c>
      <c r="K82" s="61">
        <v>9149</v>
      </c>
      <c r="L82" s="6">
        <v>452.89499999999998</v>
      </c>
      <c r="M82" s="60">
        <v>452.89499999999998</v>
      </c>
      <c r="N82" s="6">
        <v>452.89499999999998</v>
      </c>
      <c r="O82" s="60">
        <v>452.89499999999998</v>
      </c>
      <c r="P82" s="6">
        <v>0</v>
      </c>
      <c r="Q82" s="4" t="s">
        <v>26</v>
      </c>
      <c r="R82" s="4">
        <v>0</v>
      </c>
      <c r="S82" s="4">
        <v>1</v>
      </c>
      <c r="T82" s="4">
        <v>5</v>
      </c>
      <c r="U82" s="4">
        <v>64</v>
      </c>
      <c r="V82" s="60">
        <f>IF(ISERROR(VLOOKUP($S$82,'TAR FIN'!$A$1:$O$104,15,0)),0,VLOOKUP($S$82,'TAR FIN'!$A$1:$O$104,15,0))*(1-0.06)</f>
        <v>20.191199999999998</v>
      </c>
      <c r="W82" s="60">
        <f>IF(ISERROR(VLOOKUP($T$82,'TAR FIN'!$A$1:$O$104,15,0)),0,VLOOKUP($T$82,'TAR FIN'!$A$1:$O$104,15,0))*(1-0.06)</f>
        <v>39.433</v>
      </c>
      <c r="X82" s="60">
        <f>IF(ISERROR(VLOOKUP($U$82,'TAR FIN'!$A$1:$O$104,15,0)),0,VLOOKUP($U$82,'TAR FIN'!$A$1:$O$104,15,0))*(1-0.06)</f>
        <v>373.76279999999997</v>
      </c>
      <c r="Y82" s="60">
        <f ca="1">('TUSD BE'!$AM$5+'TUSD BF'!$AM$5+'TUSD CVA'!$AM$5)*1*(1-0.03)</f>
        <v>20.673461938926021</v>
      </c>
      <c r="Z82" s="60">
        <f ca="1">('TUSD BE'!$AM$7+'TUSD BF'!$AM$7+'TUSD CVA'!$AM$7)*1*(1-0.03)</f>
        <v>53.648846500623598</v>
      </c>
      <c r="AA82" s="60">
        <f>('TE BE'!$AB$5+'TE BF'!$AB$5+'TE CVA'!$AB$5)*1*(1-0.03)</f>
        <v>349.45248311940099</v>
      </c>
      <c r="AB82" s="60">
        <f>(SUBSIDIO!$J$82*SUBSIDIO!$V$82)*(0.06)/(1-0.06)</f>
        <v>11791.231199999998</v>
      </c>
      <c r="AC82" s="60">
        <f>((SUBSIDIO!$L$82*SUBSIDIO!$W$82)+(SUBSIDIO!$N$82*SUBSIDIO!$X$82))*(0.06)/(1-0.06)</f>
        <v>11944.743308999999</v>
      </c>
      <c r="AD82" s="60">
        <f ca="1">(SUBSIDIO!$J$82*SUBSIDIO!$Y$82)*(0.03)/(1-0.03)</f>
        <v>5849.7372148216755</v>
      </c>
      <c r="AE82" s="60">
        <f ca="1">((SUBSIDIO!$L$82*SUBSIDIO!$Z$82)+(SUBSIDIO!$N$82*SUBSIDIO!$AA$82))*(0.03)/(1-0.03)</f>
        <v>5646.2652580905478</v>
      </c>
      <c r="AF82" s="4" t="s">
        <v>999</v>
      </c>
    </row>
    <row r="83" spans="1:32" ht="11.25" customHeight="1" x14ac:dyDescent="0.25">
      <c r="A83" s="4" t="s">
        <v>21</v>
      </c>
      <c r="B83" s="4" t="s">
        <v>39</v>
      </c>
      <c r="C83" s="4" t="s">
        <v>40</v>
      </c>
      <c r="D83" s="4" t="s">
        <v>50</v>
      </c>
      <c r="E83" s="4" t="s">
        <v>51</v>
      </c>
      <c r="F83" s="4" t="s">
        <v>25</v>
      </c>
      <c r="G83" s="4" t="s">
        <v>25</v>
      </c>
      <c r="H83" s="4" t="s">
        <v>34</v>
      </c>
      <c r="I83" s="5">
        <v>44682</v>
      </c>
      <c r="J83" s="6">
        <v>8978</v>
      </c>
      <c r="K83" s="61">
        <v>8978</v>
      </c>
      <c r="L83" s="6">
        <v>527.52700000000004</v>
      </c>
      <c r="M83" s="60">
        <v>527.52700000000004</v>
      </c>
      <c r="N83" s="6">
        <v>527.52700000000004</v>
      </c>
      <c r="O83" s="60">
        <v>527.52700000000004</v>
      </c>
      <c r="P83" s="6">
        <v>0</v>
      </c>
      <c r="Q83" s="4" t="s">
        <v>26</v>
      </c>
      <c r="R83" s="4">
        <v>0</v>
      </c>
      <c r="S83" s="4">
        <v>1</v>
      </c>
      <c r="T83" s="4">
        <v>5</v>
      </c>
      <c r="U83" s="4">
        <v>64</v>
      </c>
      <c r="V83" s="60">
        <f>IF(ISERROR(VLOOKUP($S$83,'TAR FIN'!$A$1:$O$104,15,0)),0,VLOOKUP($S$83,'TAR FIN'!$A$1:$O$104,15,0))*(1-0.06)</f>
        <v>20.191199999999998</v>
      </c>
      <c r="W83" s="60">
        <f>IF(ISERROR(VLOOKUP($T$83,'TAR FIN'!$A$1:$O$104,15,0)),0,VLOOKUP($T$83,'TAR FIN'!$A$1:$O$104,15,0))*(1-0.06)</f>
        <v>39.433</v>
      </c>
      <c r="X83" s="60">
        <f>IF(ISERROR(VLOOKUP($U$83,'TAR FIN'!$A$1:$O$104,15,0)),0,VLOOKUP($U$83,'TAR FIN'!$A$1:$O$104,15,0))*(1-0.06)</f>
        <v>373.76279999999997</v>
      </c>
      <c r="Y83" s="60">
        <f ca="1">('TUSD BE'!$AM$5+'TUSD BF'!$AM$5+'TUSD CVA'!$AM$5)*1*(1-0.03)</f>
        <v>20.673461938926021</v>
      </c>
      <c r="Z83" s="60">
        <f ca="1">('TUSD BE'!$AM$7+'TUSD BF'!$AM$7+'TUSD CVA'!$AM$7)*1*(1-0.03)</f>
        <v>53.648846500623598</v>
      </c>
      <c r="AA83" s="60">
        <f>('TE BE'!$AB$5+'TE BF'!$AB$5+'TE CVA'!$AB$5)*1*(1-0.03)</f>
        <v>349.45248311940099</v>
      </c>
      <c r="AB83" s="60">
        <f>(SUBSIDIO!$J$83*SUBSIDIO!$V$83)*(0.06)/(1-0.06)</f>
        <v>11570.846399999999</v>
      </c>
      <c r="AC83" s="60">
        <f>((SUBSIDIO!$L$83*SUBSIDIO!$W$83)+(SUBSIDIO!$N$83*SUBSIDIO!$X$83))*(0.06)/(1-0.06)</f>
        <v>13913.102603400001</v>
      </c>
      <c r="AD83" s="60">
        <f ca="1">(SUBSIDIO!$J$83*SUBSIDIO!$Y$83)*(0.03)/(1-0.03)</f>
        <v>5740.402307866324</v>
      </c>
      <c r="AE83" s="60">
        <f ca="1">((SUBSIDIO!$L$83*SUBSIDIO!$Z$83)+(SUBSIDIO!$N$83*SUBSIDIO!$AA$83))*(0.03)/(1-0.03)</f>
        <v>6576.7062405297747</v>
      </c>
      <c r="AF83" s="4" t="s">
        <v>999</v>
      </c>
    </row>
    <row r="84" spans="1:32" ht="11.25" customHeight="1" x14ac:dyDescent="0.25">
      <c r="A84" s="4" t="s">
        <v>21</v>
      </c>
      <c r="B84" s="4" t="s">
        <v>39</v>
      </c>
      <c r="C84" s="4" t="s">
        <v>40</v>
      </c>
      <c r="D84" s="4" t="s">
        <v>50</v>
      </c>
      <c r="E84" s="4" t="s">
        <v>51</v>
      </c>
      <c r="F84" s="4" t="s">
        <v>25</v>
      </c>
      <c r="G84" s="4" t="s">
        <v>25</v>
      </c>
      <c r="H84" s="4" t="s">
        <v>34</v>
      </c>
      <c r="I84" s="5">
        <v>44713</v>
      </c>
      <c r="J84" s="6">
        <v>8944</v>
      </c>
      <c r="K84" s="61">
        <v>8944</v>
      </c>
      <c r="L84" s="6">
        <v>501.512</v>
      </c>
      <c r="M84" s="60">
        <v>501.512</v>
      </c>
      <c r="N84" s="6">
        <v>501.512</v>
      </c>
      <c r="O84" s="60">
        <v>501.512</v>
      </c>
      <c r="P84" s="6">
        <v>0</v>
      </c>
      <c r="Q84" s="4" t="s">
        <v>26</v>
      </c>
      <c r="R84" s="4">
        <v>0</v>
      </c>
      <c r="S84" s="4">
        <v>1</v>
      </c>
      <c r="T84" s="4">
        <v>5</v>
      </c>
      <c r="U84" s="4">
        <v>64</v>
      </c>
      <c r="V84" s="60">
        <f>IF(ISERROR(VLOOKUP($S$84,'TAR FIN'!$A$1:$O$104,15,0)),0,VLOOKUP($S$84,'TAR FIN'!$A$1:$O$104,15,0))*(1-0.06)</f>
        <v>20.191199999999998</v>
      </c>
      <c r="W84" s="60">
        <f>IF(ISERROR(VLOOKUP($T$84,'TAR FIN'!$A$1:$O$104,15,0)),0,VLOOKUP($T$84,'TAR FIN'!$A$1:$O$104,15,0))*(1-0.06)</f>
        <v>39.433</v>
      </c>
      <c r="X84" s="60">
        <f>IF(ISERROR(VLOOKUP($U$84,'TAR FIN'!$A$1:$O$104,15,0)),0,VLOOKUP($U$84,'TAR FIN'!$A$1:$O$104,15,0))*(1-0.06)</f>
        <v>373.76279999999997</v>
      </c>
      <c r="Y84" s="60">
        <f ca="1">('TUSD BE'!$AM$5+'TUSD BF'!$AM$5+'TUSD CVA'!$AM$5)*1*(1-0.03)</f>
        <v>20.673461938926021</v>
      </c>
      <c r="Z84" s="60">
        <f ca="1">('TUSD BE'!$AM$7+'TUSD BF'!$AM$7+'TUSD CVA'!$AM$7)*1*(1-0.03)</f>
        <v>53.648846500623598</v>
      </c>
      <c r="AA84" s="60">
        <f>('TE BE'!$AB$5+'TE BF'!$AB$5+'TE CVA'!$AB$5)*1*(1-0.03)</f>
        <v>349.45248311940099</v>
      </c>
      <c r="AB84" s="60">
        <f>(SUBSIDIO!$J$84*SUBSIDIO!$V$84)*(0.06)/(1-0.06)</f>
        <v>11527.027199999999</v>
      </c>
      <c r="AC84" s="60">
        <f>((SUBSIDIO!$L$84*SUBSIDIO!$W$84)+(SUBSIDIO!$N$84*SUBSIDIO!$X$84))*(0.06)/(1-0.06)</f>
        <v>13226.977790400002</v>
      </c>
      <c r="AD84" s="60">
        <f ca="1">(SUBSIDIO!$J$84*SUBSIDIO!$Y$84)*(0.03)/(1-0.03)</f>
        <v>5718.663203559413</v>
      </c>
      <c r="AE84" s="60">
        <f ca="1">((SUBSIDIO!$L$84*SUBSIDIO!$Z$84)+(SUBSIDIO!$N$84*SUBSIDIO!$AA$84))*(0.03)/(1-0.03)</f>
        <v>6252.3758975380761</v>
      </c>
      <c r="AF84" s="4" t="s">
        <v>999</v>
      </c>
    </row>
    <row r="85" spans="1:32" ht="11.25" customHeight="1" x14ac:dyDescent="0.25">
      <c r="A85" s="4" t="s">
        <v>57</v>
      </c>
      <c r="B85" s="4" t="s">
        <v>39</v>
      </c>
      <c r="C85" s="4" t="s">
        <v>40</v>
      </c>
      <c r="D85" s="4" t="s">
        <v>50</v>
      </c>
      <c r="E85" s="4" t="s">
        <v>51</v>
      </c>
      <c r="F85" s="4" t="s">
        <v>25</v>
      </c>
      <c r="G85" s="4" t="s">
        <v>25</v>
      </c>
      <c r="H85" s="4" t="s">
        <v>34</v>
      </c>
      <c r="I85" s="5">
        <v>44743</v>
      </c>
      <c r="J85" s="6">
        <v>8944</v>
      </c>
      <c r="K85" s="61">
        <v>8944</v>
      </c>
      <c r="L85" s="6">
        <v>501.512</v>
      </c>
      <c r="M85" s="60">
        <v>501.512</v>
      </c>
      <c r="N85" s="6">
        <v>501.512</v>
      </c>
      <c r="O85" s="60">
        <v>501.512</v>
      </c>
      <c r="P85" s="6">
        <v>0</v>
      </c>
      <c r="Q85" s="4" t="s">
        <v>26</v>
      </c>
      <c r="R85" s="4">
        <v>0</v>
      </c>
      <c r="S85" s="4">
        <v>1</v>
      </c>
      <c r="T85" s="4">
        <v>5</v>
      </c>
      <c r="U85" s="4">
        <v>64</v>
      </c>
      <c r="V85" s="60">
        <f>IF(ISERROR(VLOOKUP($S$85,'TAR FIN'!$A$1:$O$104,15,0)),0,VLOOKUP($S$85,'TAR FIN'!$A$1:$O$104,15,0))*(1-0.06)</f>
        <v>20.191199999999998</v>
      </c>
      <c r="W85" s="60">
        <f>IF(ISERROR(VLOOKUP($T$85,'TAR FIN'!$A$1:$O$104,15,0)),0,VLOOKUP($T$85,'TAR FIN'!$A$1:$O$104,15,0))*(1-0.06)</f>
        <v>39.433</v>
      </c>
      <c r="X85" s="60">
        <f>IF(ISERROR(VLOOKUP($U$85,'TAR FIN'!$A$1:$O$104,15,0)),0,VLOOKUP($U$85,'TAR FIN'!$A$1:$O$104,15,0))*(1-0.06)</f>
        <v>373.76279999999997</v>
      </c>
      <c r="Y85" s="60">
        <f ca="1">('TUSD BE'!$AM$5+'TUSD BF'!$AM$5+'TUSD CVA'!$AM$5)*1*(1-0.03)</f>
        <v>20.673461938926021</v>
      </c>
      <c r="Z85" s="60">
        <f ca="1">('TUSD BE'!$AM$7+'TUSD BF'!$AM$7+'TUSD CVA'!$AM$7)*1*(1-0.03)</f>
        <v>53.648846500623598</v>
      </c>
      <c r="AA85" s="60">
        <f>('TE BE'!$AB$5+'TE BF'!$AB$5+'TE CVA'!$AB$5)*1*(1-0.03)</f>
        <v>349.45248311940099</v>
      </c>
      <c r="AB85" s="60">
        <f>(SUBSIDIO!$J$85*SUBSIDIO!$V$85)*(0.06)/(1-0.06)</f>
        <v>11527.027199999999</v>
      </c>
      <c r="AC85" s="60">
        <f>((SUBSIDIO!$L$85*SUBSIDIO!$W$85)+(SUBSIDIO!$N$85*SUBSIDIO!$X$85))*(0.06)/(1-0.06)</f>
        <v>13226.977790400002</v>
      </c>
      <c r="AD85" s="60">
        <f ca="1">(SUBSIDIO!$J$85*SUBSIDIO!$Y$85)*(0.03)/(1-0.03)</f>
        <v>5718.663203559413</v>
      </c>
      <c r="AE85" s="60">
        <f ca="1">((SUBSIDIO!$L$85*SUBSIDIO!$Z$85)+(SUBSIDIO!$N$85*SUBSIDIO!$AA$85))*(0.03)/(1-0.03)</f>
        <v>6252.3758975380761</v>
      </c>
      <c r="AF85" s="4" t="s">
        <v>999</v>
      </c>
    </row>
    <row r="86" spans="1:32" ht="11.25" customHeight="1" x14ac:dyDescent="0.25">
      <c r="A86" s="4" t="s">
        <v>21</v>
      </c>
      <c r="B86" s="4" t="s">
        <v>39</v>
      </c>
      <c r="C86" s="4" t="s">
        <v>66</v>
      </c>
      <c r="D86" s="4" t="s">
        <v>25</v>
      </c>
      <c r="E86" s="4" t="s">
        <v>25</v>
      </c>
      <c r="F86" s="4" t="s">
        <v>25</v>
      </c>
      <c r="G86" s="4" t="s">
        <v>67</v>
      </c>
      <c r="H86" s="4" t="s">
        <v>25</v>
      </c>
      <c r="I86" s="5">
        <v>44409</v>
      </c>
      <c r="J86" s="6">
        <v>3500</v>
      </c>
      <c r="K86" s="6">
        <v>3500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68</v>
      </c>
      <c r="R86" s="4">
        <v>27402</v>
      </c>
      <c r="S86" s="4">
        <v>16</v>
      </c>
      <c r="T86" s="4">
        <v>0</v>
      </c>
      <c r="U86" s="4">
        <v>0</v>
      </c>
      <c r="V86" s="6">
        <f>IF(ISERROR(VLOOKUP($S$86,'TAR FIN'!$A$1:$O$104,15,0)),0,VLOOKUP($S$86,'TAR FIN'!$A$1:$O$104,15,0))</f>
        <v>12.9</v>
      </c>
      <c r="W86" s="6">
        <f>IF(ISERROR(VLOOKUP($T$86,'TAR FIN'!$A$1:$O$104,15,0)),0,VLOOKUP($T$86,'TAR FIN'!$A$1:$O$104,15,0))</f>
        <v>0</v>
      </c>
      <c r="X86" s="6">
        <f>IF(ISERROR(VLOOKUP($U$86,'TAR FIN'!$A$1:$O$104,15,0)),0,VLOOKUP($U$86,'TAR FIN'!$A$1:$O$104,15,0))</f>
        <v>0</v>
      </c>
      <c r="Y86" s="6">
        <f ca="1">('TUSD BE'!$AM$12+'TUSD BF'!$AM$12+'TUSD CVA'!$AM$12)*1</f>
        <v>12.796774750698974</v>
      </c>
      <c r="Z86" s="6"/>
      <c r="AA86" s="6"/>
      <c r="AB86" s="6">
        <f t="shared" ref="AB86:AB129" si="6">(J86-K86)*V86</f>
        <v>0</v>
      </c>
      <c r="AC86" s="6">
        <f t="shared" ref="AC86:AC129" si="7">(L86-M86)*W86+(N86-O86)*X86</f>
        <v>0</v>
      </c>
      <c r="AD86" s="6">
        <f t="shared" ref="AD86:AD129" ca="1" si="8">(J86-K86)*Y86</f>
        <v>0</v>
      </c>
      <c r="AE86" s="6">
        <f t="shared" ref="AE86:AE129" si="9">(L86-M86)*Z86+(N86-O86)*AA86</f>
        <v>0</v>
      </c>
      <c r="AF86" s="4" t="s">
        <v>1000</v>
      </c>
    </row>
    <row r="87" spans="1:32" ht="11.25" customHeight="1" x14ac:dyDescent="0.25">
      <c r="A87" s="4" t="s">
        <v>21</v>
      </c>
      <c r="B87" s="4" t="s">
        <v>39</v>
      </c>
      <c r="C87" s="4" t="s">
        <v>66</v>
      </c>
      <c r="D87" s="4" t="s">
        <v>25</v>
      </c>
      <c r="E87" s="4" t="s">
        <v>25</v>
      </c>
      <c r="F87" s="4" t="s">
        <v>25</v>
      </c>
      <c r="G87" s="4" t="s">
        <v>69</v>
      </c>
      <c r="H87" s="4" t="s">
        <v>25</v>
      </c>
      <c r="I87" s="5">
        <v>44409</v>
      </c>
      <c r="J87" s="6">
        <v>3000</v>
      </c>
      <c r="K87" s="6">
        <v>1500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68</v>
      </c>
      <c r="R87" s="4">
        <v>28515</v>
      </c>
      <c r="S87" s="4">
        <v>16</v>
      </c>
      <c r="T87" s="4">
        <v>0</v>
      </c>
      <c r="U87" s="4">
        <v>0</v>
      </c>
      <c r="V87" s="6">
        <f>IF(ISERROR(VLOOKUP($S$87,'TAR FIN'!$A$1:$O$104,15,0)),0,VLOOKUP($S$87,'TAR FIN'!$A$1:$O$104,15,0))</f>
        <v>12.9</v>
      </c>
      <c r="W87" s="6">
        <f>IF(ISERROR(VLOOKUP($T$87,'TAR FIN'!$A$1:$O$104,15,0)),0,VLOOKUP($T$87,'TAR FIN'!$A$1:$O$104,15,0))</f>
        <v>0</v>
      </c>
      <c r="X87" s="6">
        <f>IF(ISERROR(VLOOKUP($U$87,'TAR FIN'!$A$1:$O$104,15,0)),0,VLOOKUP($U$87,'TAR FIN'!$A$1:$O$104,15,0))</f>
        <v>0</v>
      </c>
      <c r="Y87" s="6">
        <f ca="1">('TUSD BE'!$AM$12+'TUSD BF'!$AM$12+'TUSD CVA'!$AM$12)*1</f>
        <v>12.796774750698974</v>
      </c>
      <c r="Z87" s="6"/>
      <c r="AA87" s="6"/>
      <c r="AB87" s="6">
        <f t="shared" si="6"/>
        <v>19350</v>
      </c>
      <c r="AC87" s="6">
        <f t="shared" si="7"/>
        <v>0</v>
      </c>
      <c r="AD87" s="6">
        <f t="shared" ca="1" si="8"/>
        <v>19195.162126048461</v>
      </c>
      <c r="AE87" s="6">
        <f t="shared" si="9"/>
        <v>0</v>
      </c>
      <c r="AF87" s="4" t="s">
        <v>1000</v>
      </c>
    </row>
    <row r="88" spans="1:32" ht="11.25" customHeight="1" x14ac:dyDescent="0.25">
      <c r="A88" s="4" t="s">
        <v>21</v>
      </c>
      <c r="B88" s="4" t="s">
        <v>39</v>
      </c>
      <c r="C88" s="4" t="s">
        <v>66</v>
      </c>
      <c r="D88" s="4" t="s">
        <v>25</v>
      </c>
      <c r="E88" s="4" t="s">
        <v>25</v>
      </c>
      <c r="F88" s="4" t="s">
        <v>25</v>
      </c>
      <c r="G88" s="4" t="s">
        <v>70</v>
      </c>
      <c r="H88" s="4" t="s">
        <v>25</v>
      </c>
      <c r="I88" s="5">
        <v>44409</v>
      </c>
      <c r="J88" s="6">
        <v>11000</v>
      </c>
      <c r="K88" s="6">
        <v>5500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68</v>
      </c>
      <c r="R88" s="4">
        <v>28957</v>
      </c>
      <c r="S88" s="4">
        <v>16</v>
      </c>
      <c r="T88" s="4">
        <v>0</v>
      </c>
      <c r="U88" s="4">
        <v>0</v>
      </c>
      <c r="V88" s="6">
        <f>IF(ISERROR(VLOOKUP($S$88,'TAR FIN'!$A$1:$O$104,15,0)),0,VLOOKUP($S$88,'TAR FIN'!$A$1:$O$104,15,0))</f>
        <v>12.9</v>
      </c>
      <c r="W88" s="6">
        <f>IF(ISERROR(VLOOKUP($T$88,'TAR FIN'!$A$1:$O$104,15,0)),0,VLOOKUP($T$88,'TAR FIN'!$A$1:$O$104,15,0))</f>
        <v>0</v>
      </c>
      <c r="X88" s="6">
        <f>IF(ISERROR(VLOOKUP($U$88,'TAR FIN'!$A$1:$O$104,15,0)),0,VLOOKUP($U$88,'TAR FIN'!$A$1:$O$104,15,0))</f>
        <v>0</v>
      </c>
      <c r="Y88" s="6">
        <f ca="1">('TUSD BE'!$AM$12+'TUSD BF'!$AM$12+'TUSD CVA'!$AM$12)*1</f>
        <v>12.796774750698974</v>
      </c>
      <c r="Z88" s="6"/>
      <c r="AA88" s="6"/>
      <c r="AB88" s="6">
        <f t="shared" si="6"/>
        <v>70950</v>
      </c>
      <c r="AC88" s="6">
        <f t="shared" si="7"/>
        <v>0</v>
      </c>
      <c r="AD88" s="6">
        <f t="shared" ca="1" si="8"/>
        <v>70382.261128844359</v>
      </c>
      <c r="AE88" s="6">
        <f t="shared" si="9"/>
        <v>0</v>
      </c>
      <c r="AF88" s="4" t="s">
        <v>1000</v>
      </c>
    </row>
    <row r="89" spans="1:32" ht="11.25" customHeight="1" x14ac:dyDescent="0.25">
      <c r="A89" s="4" t="s">
        <v>27</v>
      </c>
      <c r="B89" s="4" t="s">
        <v>39</v>
      </c>
      <c r="C89" s="4" t="s">
        <v>66</v>
      </c>
      <c r="D89" s="4" t="s">
        <v>25</v>
      </c>
      <c r="E89" s="4" t="s">
        <v>25</v>
      </c>
      <c r="F89" s="4" t="s">
        <v>25</v>
      </c>
      <c r="G89" s="4" t="s">
        <v>70</v>
      </c>
      <c r="H89" s="4" t="s">
        <v>25</v>
      </c>
      <c r="I89" s="5">
        <v>44409</v>
      </c>
      <c r="J89" s="6">
        <v>-536</v>
      </c>
      <c r="K89" s="6">
        <v>-536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68</v>
      </c>
      <c r="R89" s="4">
        <v>28957</v>
      </c>
      <c r="S89" s="4">
        <v>16</v>
      </c>
      <c r="T89" s="4">
        <v>0</v>
      </c>
      <c r="U89" s="4">
        <v>0</v>
      </c>
      <c r="V89" s="6">
        <f>IF(ISERROR(VLOOKUP($S$89,'TAR FIN'!$A$1:$O$104,15,0)),0,VLOOKUP($S$89,'TAR FIN'!$A$1:$O$104,15,0))</f>
        <v>12.9</v>
      </c>
      <c r="W89" s="6">
        <f>IF(ISERROR(VLOOKUP($T$89,'TAR FIN'!$A$1:$O$104,15,0)),0,VLOOKUP($T$89,'TAR FIN'!$A$1:$O$104,15,0))</f>
        <v>0</v>
      </c>
      <c r="X89" s="6">
        <f>IF(ISERROR(VLOOKUP($U$89,'TAR FIN'!$A$1:$O$104,15,0)),0,VLOOKUP($U$89,'TAR FIN'!$A$1:$O$104,15,0))</f>
        <v>0</v>
      </c>
      <c r="Y89" s="6">
        <f ca="1">('TUSD BE'!$AM$12+'TUSD BF'!$AM$12+'TUSD CVA'!$AM$12)*1</f>
        <v>12.796774750698974</v>
      </c>
      <c r="Z89" s="6"/>
      <c r="AA89" s="6"/>
      <c r="AB89" s="6">
        <f t="shared" si="6"/>
        <v>0</v>
      </c>
      <c r="AC89" s="6">
        <f t="shared" si="7"/>
        <v>0</v>
      </c>
      <c r="AD89" s="6">
        <f t="shared" ca="1" si="8"/>
        <v>0</v>
      </c>
      <c r="AE89" s="6">
        <f t="shared" si="9"/>
        <v>0</v>
      </c>
      <c r="AF89" s="4" t="s">
        <v>1000</v>
      </c>
    </row>
    <row r="90" spans="1:32" ht="11.25" customHeight="1" x14ac:dyDescent="0.25">
      <c r="A90" s="4" t="s">
        <v>21</v>
      </c>
      <c r="B90" s="4" t="s">
        <v>39</v>
      </c>
      <c r="C90" s="4" t="s">
        <v>66</v>
      </c>
      <c r="D90" s="4" t="s">
        <v>25</v>
      </c>
      <c r="E90" s="4" t="s">
        <v>25</v>
      </c>
      <c r="F90" s="4" t="s">
        <v>25</v>
      </c>
      <c r="G90" s="4" t="s">
        <v>71</v>
      </c>
      <c r="H90" s="4" t="s">
        <v>25</v>
      </c>
      <c r="I90" s="5">
        <v>44409</v>
      </c>
      <c r="J90" s="6">
        <v>10050</v>
      </c>
      <c r="K90" s="6">
        <v>5025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68</v>
      </c>
      <c r="R90" s="4">
        <v>29041</v>
      </c>
      <c r="S90" s="4">
        <v>16</v>
      </c>
      <c r="T90" s="4">
        <v>0</v>
      </c>
      <c r="U90" s="4">
        <v>0</v>
      </c>
      <c r="V90" s="6">
        <f>IF(ISERROR(VLOOKUP($S$90,'TAR FIN'!$A$1:$O$104,15,0)),0,VLOOKUP($S$90,'TAR FIN'!$A$1:$O$104,15,0))</f>
        <v>12.9</v>
      </c>
      <c r="W90" s="6">
        <f>IF(ISERROR(VLOOKUP($T$90,'TAR FIN'!$A$1:$O$104,15,0)),0,VLOOKUP($T$90,'TAR FIN'!$A$1:$O$104,15,0))</f>
        <v>0</v>
      </c>
      <c r="X90" s="6">
        <f>IF(ISERROR(VLOOKUP($U$90,'TAR FIN'!$A$1:$O$104,15,0)),0,VLOOKUP($U$90,'TAR FIN'!$A$1:$O$104,15,0))</f>
        <v>0</v>
      </c>
      <c r="Y90" s="6">
        <f ca="1">('TUSD BE'!$AM$12+'TUSD BF'!$AM$12+'TUSD CVA'!$AM$12)*1</f>
        <v>12.796774750698974</v>
      </c>
      <c r="Z90" s="6"/>
      <c r="AA90" s="6"/>
      <c r="AB90" s="6">
        <f t="shared" si="6"/>
        <v>64822.5</v>
      </c>
      <c r="AC90" s="6">
        <f t="shared" si="7"/>
        <v>0</v>
      </c>
      <c r="AD90" s="6">
        <f t="shared" ca="1" si="8"/>
        <v>64303.793122262345</v>
      </c>
      <c r="AE90" s="6">
        <f t="shared" si="9"/>
        <v>0</v>
      </c>
      <c r="AF90" s="4" t="s">
        <v>1000</v>
      </c>
    </row>
    <row r="91" spans="1:32" ht="11.25" customHeight="1" x14ac:dyDescent="0.25">
      <c r="A91" s="4" t="s">
        <v>21</v>
      </c>
      <c r="B91" s="4" t="s">
        <v>39</v>
      </c>
      <c r="C91" s="4" t="s">
        <v>66</v>
      </c>
      <c r="D91" s="4" t="s">
        <v>25</v>
      </c>
      <c r="E91" s="4" t="s">
        <v>25</v>
      </c>
      <c r="F91" s="4" t="s">
        <v>25</v>
      </c>
      <c r="G91" s="4" t="s">
        <v>73</v>
      </c>
      <c r="H91" s="4" t="s">
        <v>25</v>
      </c>
      <c r="I91" s="5">
        <v>44409</v>
      </c>
      <c r="J91" s="6">
        <v>44450</v>
      </c>
      <c r="K91" s="6">
        <v>22225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68</v>
      </c>
      <c r="R91" s="4">
        <v>29092</v>
      </c>
      <c r="S91" s="4">
        <v>16</v>
      </c>
      <c r="T91" s="4">
        <v>0</v>
      </c>
      <c r="U91" s="4">
        <v>0</v>
      </c>
      <c r="V91" s="6">
        <f>IF(ISERROR(VLOOKUP($S$91,'TAR FIN'!$A$1:$O$104,15,0)),0,VLOOKUP($S$91,'TAR FIN'!$A$1:$O$104,15,0))</f>
        <v>12.9</v>
      </c>
      <c r="W91" s="6">
        <f>IF(ISERROR(VLOOKUP($T$91,'TAR FIN'!$A$1:$O$104,15,0)),0,VLOOKUP($T$91,'TAR FIN'!$A$1:$O$104,15,0))</f>
        <v>0</v>
      </c>
      <c r="X91" s="6">
        <f>IF(ISERROR(VLOOKUP($U$91,'TAR FIN'!$A$1:$O$104,15,0)),0,VLOOKUP($U$91,'TAR FIN'!$A$1:$O$104,15,0))</f>
        <v>0</v>
      </c>
      <c r="Y91" s="6">
        <f ca="1">('TUSD BE'!$AM$12+'TUSD BF'!$AM$12+'TUSD CVA'!$AM$12)*1</f>
        <v>12.796774750698974</v>
      </c>
      <c r="Z91" s="6"/>
      <c r="AA91" s="6"/>
      <c r="AB91" s="6">
        <f t="shared" si="6"/>
        <v>286702.5</v>
      </c>
      <c r="AC91" s="6">
        <f t="shared" si="7"/>
        <v>0</v>
      </c>
      <c r="AD91" s="6">
        <f t="shared" ca="1" si="8"/>
        <v>284408.31883428473</v>
      </c>
      <c r="AE91" s="6">
        <f t="shared" si="9"/>
        <v>0</v>
      </c>
      <c r="AF91" s="4" t="s">
        <v>1000</v>
      </c>
    </row>
    <row r="92" spans="1:32" ht="11.25" customHeight="1" x14ac:dyDescent="0.25">
      <c r="A92" s="4" t="s">
        <v>21</v>
      </c>
      <c r="B92" s="4" t="s">
        <v>39</v>
      </c>
      <c r="C92" s="4" t="s">
        <v>66</v>
      </c>
      <c r="D92" s="4" t="s">
        <v>25</v>
      </c>
      <c r="E92" s="4" t="s">
        <v>25</v>
      </c>
      <c r="F92" s="4" t="s">
        <v>25</v>
      </c>
      <c r="G92" s="4" t="s">
        <v>75</v>
      </c>
      <c r="H92" s="4" t="s">
        <v>25</v>
      </c>
      <c r="I92" s="5">
        <v>44409</v>
      </c>
      <c r="J92" s="6">
        <v>30000</v>
      </c>
      <c r="K92" s="6">
        <v>15000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68</v>
      </c>
      <c r="R92" s="4">
        <v>33663</v>
      </c>
      <c r="S92" s="4">
        <v>16</v>
      </c>
      <c r="T92" s="4">
        <v>0</v>
      </c>
      <c r="U92" s="4">
        <v>0</v>
      </c>
      <c r="V92" s="6">
        <f>IF(ISERROR(VLOOKUP($S$92,'TAR FIN'!$A$1:$O$104,15,0)),0,VLOOKUP($S$92,'TAR FIN'!$A$1:$O$104,15,0))</f>
        <v>12.9</v>
      </c>
      <c r="W92" s="6">
        <f>IF(ISERROR(VLOOKUP($T$92,'TAR FIN'!$A$1:$O$104,15,0)),0,VLOOKUP($T$92,'TAR FIN'!$A$1:$O$104,15,0))</f>
        <v>0</v>
      </c>
      <c r="X92" s="6">
        <f>IF(ISERROR(VLOOKUP($U$92,'TAR FIN'!$A$1:$O$104,15,0)),0,VLOOKUP($U$92,'TAR FIN'!$A$1:$O$104,15,0))</f>
        <v>0</v>
      </c>
      <c r="Y92" s="6">
        <f ca="1">('TUSD BE'!$AM$12+'TUSD BF'!$AM$12+'TUSD CVA'!$AM$12)*1</f>
        <v>12.796774750698974</v>
      </c>
      <c r="Z92" s="6"/>
      <c r="AA92" s="6"/>
      <c r="AB92" s="6">
        <f t="shared" si="6"/>
        <v>193500</v>
      </c>
      <c r="AC92" s="6">
        <f t="shared" si="7"/>
        <v>0</v>
      </c>
      <c r="AD92" s="6">
        <f t="shared" ca="1" si="8"/>
        <v>191951.62126048462</v>
      </c>
      <c r="AE92" s="6">
        <f t="shared" si="9"/>
        <v>0</v>
      </c>
      <c r="AF92" s="4" t="s">
        <v>1000</v>
      </c>
    </row>
    <row r="93" spans="1:32" ht="11.25" customHeight="1" x14ac:dyDescent="0.25">
      <c r="A93" s="4" t="s">
        <v>21</v>
      </c>
      <c r="B93" s="4" t="s">
        <v>39</v>
      </c>
      <c r="C93" s="4" t="s">
        <v>66</v>
      </c>
      <c r="D93" s="4" t="s">
        <v>25</v>
      </c>
      <c r="E93" s="4" t="s">
        <v>25</v>
      </c>
      <c r="F93" s="4" t="s">
        <v>25</v>
      </c>
      <c r="G93" s="4" t="s">
        <v>76</v>
      </c>
      <c r="H93" s="4" t="s">
        <v>25</v>
      </c>
      <c r="I93" s="5">
        <v>44409</v>
      </c>
      <c r="J93" s="6">
        <v>30000</v>
      </c>
      <c r="K93" s="6">
        <v>15000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68</v>
      </c>
      <c r="R93" s="4">
        <v>33664</v>
      </c>
      <c r="S93" s="4">
        <v>16</v>
      </c>
      <c r="T93" s="4">
        <v>0</v>
      </c>
      <c r="U93" s="4">
        <v>0</v>
      </c>
      <c r="V93" s="6">
        <f>IF(ISERROR(VLOOKUP($S$93,'TAR FIN'!$A$1:$O$104,15,0)),0,VLOOKUP($S$93,'TAR FIN'!$A$1:$O$104,15,0))</f>
        <v>12.9</v>
      </c>
      <c r="W93" s="6">
        <f>IF(ISERROR(VLOOKUP($T$93,'TAR FIN'!$A$1:$O$104,15,0)),0,VLOOKUP($T$93,'TAR FIN'!$A$1:$O$104,15,0))</f>
        <v>0</v>
      </c>
      <c r="X93" s="6">
        <f>IF(ISERROR(VLOOKUP($U$93,'TAR FIN'!$A$1:$O$104,15,0)),0,VLOOKUP($U$93,'TAR FIN'!$A$1:$O$104,15,0))</f>
        <v>0</v>
      </c>
      <c r="Y93" s="6">
        <f ca="1">('TUSD BE'!$AM$12+'TUSD BF'!$AM$12+'TUSD CVA'!$AM$12)*1</f>
        <v>12.796774750698974</v>
      </c>
      <c r="Z93" s="6"/>
      <c r="AA93" s="6"/>
      <c r="AB93" s="6">
        <f t="shared" si="6"/>
        <v>193500</v>
      </c>
      <c r="AC93" s="6">
        <f t="shared" si="7"/>
        <v>0</v>
      </c>
      <c r="AD93" s="6">
        <f t="shared" ca="1" si="8"/>
        <v>191951.62126048462</v>
      </c>
      <c r="AE93" s="6">
        <f t="shared" si="9"/>
        <v>0</v>
      </c>
      <c r="AF93" s="4" t="s">
        <v>1000</v>
      </c>
    </row>
    <row r="94" spans="1:32" ht="11.25" customHeight="1" x14ac:dyDescent="0.25">
      <c r="A94" s="4" t="s">
        <v>21</v>
      </c>
      <c r="B94" s="4" t="s">
        <v>39</v>
      </c>
      <c r="C94" s="4" t="s">
        <v>66</v>
      </c>
      <c r="D94" s="4" t="s">
        <v>25</v>
      </c>
      <c r="E94" s="4" t="s">
        <v>25</v>
      </c>
      <c r="F94" s="4" t="s">
        <v>25</v>
      </c>
      <c r="G94" s="4" t="s">
        <v>77</v>
      </c>
      <c r="H94" s="4" t="s">
        <v>25</v>
      </c>
      <c r="I94" s="5">
        <v>44409</v>
      </c>
      <c r="J94" s="6">
        <v>30000</v>
      </c>
      <c r="K94" s="6">
        <v>15000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68</v>
      </c>
      <c r="R94" s="4">
        <v>33665</v>
      </c>
      <c r="S94" s="4">
        <v>16</v>
      </c>
      <c r="T94" s="4">
        <v>0</v>
      </c>
      <c r="U94" s="4">
        <v>0</v>
      </c>
      <c r="V94" s="6">
        <f>IF(ISERROR(VLOOKUP($S$94,'TAR FIN'!$A$1:$O$104,15,0)),0,VLOOKUP($S$94,'TAR FIN'!$A$1:$O$104,15,0))</f>
        <v>12.9</v>
      </c>
      <c r="W94" s="6">
        <f>IF(ISERROR(VLOOKUP($T$94,'TAR FIN'!$A$1:$O$104,15,0)),0,VLOOKUP($T$94,'TAR FIN'!$A$1:$O$104,15,0))</f>
        <v>0</v>
      </c>
      <c r="X94" s="6">
        <f>IF(ISERROR(VLOOKUP($U$94,'TAR FIN'!$A$1:$O$104,15,0)),0,VLOOKUP($U$94,'TAR FIN'!$A$1:$O$104,15,0))</f>
        <v>0</v>
      </c>
      <c r="Y94" s="6">
        <f ca="1">('TUSD BE'!$AM$12+'TUSD BF'!$AM$12+'TUSD CVA'!$AM$12)*1</f>
        <v>12.796774750698974</v>
      </c>
      <c r="Z94" s="6"/>
      <c r="AA94" s="6"/>
      <c r="AB94" s="6">
        <f t="shared" si="6"/>
        <v>193500</v>
      </c>
      <c r="AC94" s="6">
        <f t="shared" si="7"/>
        <v>0</v>
      </c>
      <c r="AD94" s="6">
        <f t="shared" ca="1" si="8"/>
        <v>191951.62126048462</v>
      </c>
      <c r="AE94" s="6">
        <f t="shared" si="9"/>
        <v>0</v>
      </c>
      <c r="AF94" s="4" t="s">
        <v>1000</v>
      </c>
    </row>
    <row r="95" spans="1:32" ht="11.25" customHeight="1" x14ac:dyDescent="0.25">
      <c r="A95" s="4" t="s">
        <v>21</v>
      </c>
      <c r="B95" s="4" t="s">
        <v>39</v>
      </c>
      <c r="C95" s="4" t="s">
        <v>66</v>
      </c>
      <c r="D95" s="4" t="s">
        <v>25</v>
      </c>
      <c r="E95" s="4" t="s">
        <v>25</v>
      </c>
      <c r="F95" s="4" t="s">
        <v>25</v>
      </c>
      <c r="G95" s="4" t="s">
        <v>78</v>
      </c>
      <c r="H95" s="4" t="s">
        <v>25</v>
      </c>
      <c r="I95" s="5">
        <v>44409</v>
      </c>
      <c r="J95" s="6">
        <v>27000</v>
      </c>
      <c r="K95" s="6">
        <v>13500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68</v>
      </c>
      <c r="R95" s="4">
        <v>34085</v>
      </c>
      <c r="S95" s="4">
        <v>16</v>
      </c>
      <c r="T95" s="4">
        <v>0</v>
      </c>
      <c r="U95" s="4">
        <v>0</v>
      </c>
      <c r="V95" s="6">
        <f>IF(ISERROR(VLOOKUP($S$95,'TAR FIN'!$A$1:$O$104,15,0)),0,VLOOKUP($S$95,'TAR FIN'!$A$1:$O$104,15,0))</f>
        <v>12.9</v>
      </c>
      <c r="W95" s="6">
        <f>IF(ISERROR(VLOOKUP($T$95,'TAR FIN'!$A$1:$O$104,15,0)),0,VLOOKUP($T$95,'TAR FIN'!$A$1:$O$104,15,0))</f>
        <v>0</v>
      </c>
      <c r="X95" s="6">
        <f>IF(ISERROR(VLOOKUP($U$95,'TAR FIN'!$A$1:$O$104,15,0)),0,VLOOKUP($U$95,'TAR FIN'!$A$1:$O$104,15,0))</f>
        <v>0</v>
      </c>
      <c r="Y95" s="6">
        <f ca="1">('TUSD BE'!$AM$12+'TUSD BF'!$AM$12+'TUSD CVA'!$AM$12)*1</f>
        <v>12.796774750698974</v>
      </c>
      <c r="Z95" s="6"/>
      <c r="AA95" s="6"/>
      <c r="AB95" s="6">
        <f t="shared" si="6"/>
        <v>174150</v>
      </c>
      <c r="AC95" s="6">
        <f t="shared" si="7"/>
        <v>0</v>
      </c>
      <c r="AD95" s="6">
        <f t="shared" ca="1" si="8"/>
        <v>172756.45913443615</v>
      </c>
      <c r="AE95" s="6">
        <f t="shared" si="9"/>
        <v>0</v>
      </c>
      <c r="AF95" s="4" t="s">
        <v>1000</v>
      </c>
    </row>
    <row r="96" spans="1:32" ht="11.25" customHeight="1" x14ac:dyDescent="0.25">
      <c r="A96" s="4" t="s">
        <v>21</v>
      </c>
      <c r="B96" s="4" t="s">
        <v>39</v>
      </c>
      <c r="C96" s="4" t="s">
        <v>66</v>
      </c>
      <c r="D96" s="4" t="s">
        <v>25</v>
      </c>
      <c r="E96" s="4" t="s">
        <v>25</v>
      </c>
      <c r="F96" s="4" t="s">
        <v>25</v>
      </c>
      <c r="G96" s="4" t="s">
        <v>79</v>
      </c>
      <c r="H96" s="4" t="s">
        <v>25</v>
      </c>
      <c r="I96" s="5">
        <v>44409</v>
      </c>
      <c r="J96" s="6">
        <v>27000</v>
      </c>
      <c r="K96" s="6">
        <v>13500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68</v>
      </c>
      <c r="R96" s="4">
        <v>34086</v>
      </c>
      <c r="S96" s="4">
        <v>16</v>
      </c>
      <c r="T96" s="4">
        <v>0</v>
      </c>
      <c r="U96" s="4">
        <v>0</v>
      </c>
      <c r="V96" s="6">
        <f>IF(ISERROR(VLOOKUP($S$96,'TAR FIN'!$A$1:$O$104,15,0)),0,VLOOKUP($S$96,'TAR FIN'!$A$1:$O$104,15,0))</f>
        <v>12.9</v>
      </c>
      <c r="W96" s="6">
        <f>IF(ISERROR(VLOOKUP($T$96,'TAR FIN'!$A$1:$O$104,15,0)),0,VLOOKUP($T$96,'TAR FIN'!$A$1:$O$104,15,0))</f>
        <v>0</v>
      </c>
      <c r="X96" s="6">
        <f>IF(ISERROR(VLOOKUP($U$96,'TAR FIN'!$A$1:$O$104,15,0)),0,VLOOKUP($U$96,'TAR FIN'!$A$1:$O$104,15,0))</f>
        <v>0</v>
      </c>
      <c r="Y96" s="6">
        <f ca="1">('TUSD BE'!$AM$12+'TUSD BF'!$AM$12+'TUSD CVA'!$AM$12)*1</f>
        <v>12.796774750698974</v>
      </c>
      <c r="Z96" s="6"/>
      <c r="AA96" s="6"/>
      <c r="AB96" s="6">
        <f t="shared" si="6"/>
        <v>174150</v>
      </c>
      <c r="AC96" s="6">
        <f t="shared" si="7"/>
        <v>0</v>
      </c>
      <c r="AD96" s="6">
        <f t="shared" ca="1" si="8"/>
        <v>172756.45913443615</v>
      </c>
      <c r="AE96" s="6">
        <f t="shared" si="9"/>
        <v>0</v>
      </c>
      <c r="AF96" s="4" t="s">
        <v>1000</v>
      </c>
    </row>
    <row r="97" spans="1:32" ht="11.25" customHeight="1" x14ac:dyDescent="0.25">
      <c r="A97" s="4" t="s">
        <v>21</v>
      </c>
      <c r="B97" s="4" t="s">
        <v>39</v>
      </c>
      <c r="C97" s="4" t="s">
        <v>66</v>
      </c>
      <c r="D97" s="4" t="s">
        <v>25</v>
      </c>
      <c r="E97" s="4" t="s">
        <v>25</v>
      </c>
      <c r="F97" s="4" t="s">
        <v>25</v>
      </c>
      <c r="G97" s="4" t="s">
        <v>67</v>
      </c>
      <c r="H97" s="4" t="s">
        <v>25</v>
      </c>
      <c r="I97" s="5">
        <v>44440</v>
      </c>
      <c r="J97" s="6">
        <v>3500</v>
      </c>
      <c r="K97" s="6">
        <v>3500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68</v>
      </c>
      <c r="R97" s="4">
        <v>27402</v>
      </c>
      <c r="S97" s="4">
        <v>16</v>
      </c>
      <c r="T97" s="4">
        <v>0</v>
      </c>
      <c r="U97" s="4">
        <v>0</v>
      </c>
      <c r="V97" s="6">
        <f>IF(ISERROR(VLOOKUP($S$97,'TAR FIN'!$A$1:$O$104,15,0)),0,VLOOKUP($S$97,'TAR FIN'!$A$1:$O$104,15,0))</f>
        <v>12.9</v>
      </c>
      <c r="W97" s="6">
        <f>IF(ISERROR(VLOOKUP($T$97,'TAR FIN'!$A$1:$O$104,15,0)),0,VLOOKUP($T$97,'TAR FIN'!$A$1:$O$104,15,0))</f>
        <v>0</v>
      </c>
      <c r="X97" s="6">
        <f>IF(ISERROR(VLOOKUP($U$97,'TAR FIN'!$A$1:$O$104,15,0)),0,VLOOKUP($U$97,'TAR FIN'!$A$1:$O$104,15,0))</f>
        <v>0</v>
      </c>
      <c r="Y97" s="6">
        <f ca="1">('TUSD BE'!$AM$12+'TUSD BF'!$AM$12+'TUSD CVA'!$AM$12)*1</f>
        <v>12.796774750698974</v>
      </c>
      <c r="Z97" s="6"/>
      <c r="AA97" s="6"/>
      <c r="AB97" s="6">
        <f t="shared" si="6"/>
        <v>0</v>
      </c>
      <c r="AC97" s="6">
        <f t="shared" si="7"/>
        <v>0</v>
      </c>
      <c r="AD97" s="6">
        <f t="shared" ca="1" si="8"/>
        <v>0</v>
      </c>
      <c r="AE97" s="6">
        <f t="shared" si="9"/>
        <v>0</v>
      </c>
      <c r="AF97" s="4" t="s">
        <v>1000</v>
      </c>
    </row>
    <row r="98" spans="1:32" ht="11.25" customHeight="1" x14ac:dyDescent="0.25">
      <c r="A98" s="4" t="s">
        <v>21</v>
      </c>
      <c r="B98" s="4" t="s">
        <v>39</v>
      </c>
      <c r="C98" s="4" t="s">
        <v>66</v>
      </c>
      <c r="D98" s="4" t="s">
        <v>25</v>
      </c>
      <c r="E98" s="4" t="s">
        <v>25</v>
      </c>
      <c r="F98" s="4" t="s">
        <v>25</v>
      </c>
      <c r="G98" s="4" t="s">
        <v>69</v>
      </c>
      <c r="H98" s="4" t="s">
        <v>25</v>
      </c>
      <c r="I98" s="5">
        <v>44440</v>
      </c>
      <c r="J98" s="6">
        <v>3000</v>
      </c>
      <c r="K98" s="6">
        <v>1500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68</v>
      </c>
      <c r="R98" s="4">
        <v>28515</v>
      </c>
      <c r="S98" s="4">
        <v>16</v>
      </c>
      <c r="T98" s="4">
        <v>0</v>
      </c>
      <c r="U98" s="4">
        <v>0</v>
      </c>
      <c r="V98" s="6">
        <f>IF(ISERROR(VLOOKUP($S$98,'TAR FIN'!$A$1:$O$104,15,0)),0,VLOOKUP($S$98,'TAR FIN'!$A$1:$O$104,15,0))</f>
        <v>12.9</v>
      </c>
      <c r="W98" s="6">
        <f>IF(ISERROR(VLOOKUP($T$98,'TAR FIN'!$A$1:$O$104,15,0)),0,VLOOKUP($T$98,'TAR FIN'!$A$1:$O$104,15,0))</f>
        <v>0</v>
      </c>
      <c r="X98" s="6">
        <f>IF(ISERROR(VLOOKUP($U$98,'TAR FIN'!$A$1:$O$104,15,0)),0,VLOOKUP($U$98,'TAR FIN'!$A$1:$O$104,15,0))</f>
        <v>0</v>
      </c>
      <c r="Y98" s="6">
        <f ca="1">('TUSD BE'!$AM$12+'TUSD BF'!$AM$12+'TUSD CVA'!$AM$12)*1</f>
        <v>12.796774750698974</v>
      </c>
      <c r="Z98" s="6"/>
      <c r="AA98" s="6"/>
      <c r="AB98" s="6">
        <f t="shared" si="6"/>
        <v>19350</v>
      </c>
      <c r="AC98" s="6">
        <f t="shared" si="7"/>
        <v>0</v>
      </c>
      <c r="AD98" s="6">
        <f t="shared" ca="1" si="8"/>
        <v>19195.162126048461</v>
      </c>
      <c r="AE98" s="6">
        <f t="shared" si="9"/>
        <v>0</v>
      </c>
      <c r="AF98" s="4" t="s">
        <v>1000</v>
      </c>
    </row>
    <row r="99" spans="1:32" ht="11.25" customHeight="1" x14ac:dyDescent="0.25">
      <c r="A99" s="4" t="s">
        <v>21</v>
      </c>
      <c r="B99" s="4" t="s">
        <v>39</v>
      </c>
      <c r="C99" s="4" t="s">
        <v>66</v>
      </c>
      <c r="D99" s="4" t="s">
        <v>25</v>
      </c>
      <c r="E99" s="4" t="s">
        <v>25</v>
      </c>
      <c r="F99" s="4" t="s">
        <v>25</v>
      </c>
      <c r="G99" s="4" t="s">
        <v>70</v>
      </c>
      <c r="H99" s="4" t="s">
        <v>25</v>
      </c>
      <c r="I99" s="5">
        <v>44440</v>
      </c>
      <c r="J99" s="6">
        <v>11000</v>
      </c>
      <c r="K99" s="6">
        <v>5500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68</v>
      </c>
      <c r="R99" s="4">
        <v>28957</v>
      </c>
      <c r="S99" s="4">
        <v>16</v>
      </c>
      <c r="T99" s="4">
        <v>0</v>
      </c>
      <c r="U99" s="4">
        <v>0</v>
      </c>
      <c r="V99" s="6">
        <f>IF(ISERROR(VLOOKUP($S$99,'TAR FIN'!$A$1:$O$104,15,0)),0,VLOOKUP($S$99,'TAR FIN'!$A$1:$O$104,15,0))</f>
        <v>12.9</v>
      </c>
      <c r="W99" s="6">
        <f>IF(ISERROR(VLOOKUP($T$99,'TAR FIN'!$A$1:$O$104,15,0)),0,VLOOKUP($T$99,'TAR FIN'!$A$1:$O$104,15,0))</f>
        <v>0</v>
      </c>
      <c r="X99" s="6">
        <f>IF(ISERROR(VLOOKUP($U$99,'TAR FIN'!$A$1:$O$104,15,0)),0,VLOOKUP($U$99,'TAR FIN'!$A$1:$O$104,15,0))</f>
        <v>0</v>
      </c>
      <c r="Y99" s="6">
        <f ca="1">('TUSD BE'!$AM$12+'TUSD BF'!$AM$12+'TUSD CVA'!$AM$12)*1</f>
        <v>12.796774750698974</v>
      </c>
      <c r="Z99" s="6"/>
      <c r="AA99" s="6"/>
      <c r="AB99" s="6">
        <f t="shared" si="6"/>
        <v>70950</v>
      </c>
      <c r="AC99" s="6">
        <f t="shared" si="7"/>
        <v>0</v>
      </c>
      <c r="AD99" s="6">
        <f t="shared" ca="1" si="8"/>
        <v>70382.261128844359</v>
      </c>
      <c r="AE99" s="6">
        <f t="shared" si="9"/>
        <v>0</v>
      </c>
      <c r="AF99" s="4" t="s">
        <v>1000</v>
      </c>
    </row>
    <row r="100" spans="1:32" ht="11.25" customHeight="1" x14ac:dyDescent="0.25">
      <c r="A100" s="4" t="s">
        <v>21</v>
      </c>
      <c r="B100" s="4" t="s">
        <v>39</v>
      </c>
      <c r="C100" s="4" t="s">
        <v>66</v>
      </c>
      <c r="D100" s="4" t="s">
        <v>25</v>
      </c>
      <c r="E100" s="4" t="s">
        <v>25</v>
      </c>
      <c r="F100" s="4" t="s">
        <v>25</v>
      </c>
      <c r="G100" s="4" t="s">
        <v>71</v>
      </c>
      <c r="H100" s="4" t="s">
        <v>25</v>
      </c>
      <c r="I100" s="5">
        <v>44440</v>
      </c>
      <c r="J100" s="6">
        <v>10050</v>
      </c>
      <c r="K100" s="6">
        <v>5025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68</v>
      </c>
      <c r="R100" s="4">
        <v>29041</v>
      </c>
      <c r="S100" s="4">
        <v>16</v>
      </c>
      <c r="T100" s="4">
        <v>0</v>
      </c>
      <c r="U100" s="4">
        <v>0</v>
      </c>
      <c r="V100" s="6">
        <f>IF(ISERROR(VLOOKUP($S$100,'TAR FIN'!$A$1:$O$104,15,0)),0,VLOOKUP($S$100,'TAR FIN'!$A$1:$O$104,15,0))</f>
        <v>12.9</v>
      </c>
      <c r="W100" s="6">
        <f>IF(ISERROR(VLOOKUP($T$100,'TAR FIN'!$A$1:$O$104,15,0)),0,VLOOKUP($T$100,'TAR FIN'!$A$1:$O$104,15,0))</f>
        <v>0</v>
      </c>
      <c r="X100" s="6">
        <f>IF(ISERROR(VLOOKUP($U$100,'TAR FIN'!$A$1:$O$104,15,0)),0,VLOOKUP($U$100,'TAR FIN'!$A$1:$O$104,15,0))</f>
        <v>0</v>
      </c>
      <c r="Y100" s="6">
        <f ca="1">('TUSD BE'!$AM$12+'TUSD BF'!$AM$12+'TUSD CVA'!$AM$12)*1</f>
        <v>12.796774750698974</v>
      </c>
      <c r="Z100" s="6"/>
      <c r="AA100" s="6"/>
      <c r="AB100" s="6">
        <f t="shared" si="6"/>
        <v>64822.5</v>
      </c>
      <c r="AC100" s="6">
        <f t="shared" si="7"/>
        <v>0</v>
      </c>
      <c r="AD100" s="6">
        <f t="shared" ca="1" si="8"/>
        <v>64303.793122262345</v>
      </c>
      <c r="AE100" s="6">
        <f t="shared" si="9"/>
        <v>0</v>
      </c>
      <c r="AF100" s="4" t="s">
        <v>1000</v>
      </c>
    </row>
    <row r="101" spans="1:32" ht="11.25" customHeight="1" x14ac:dyDescent="0.25">
      <c r="A101" s="4" t="s">
        <v>21</v>
      </c>
      <c r="B101" s="4" t="s">
        <v>39</v>
      </c>
      <c r="C101" s="4" t="s">
        <v>66</v>
      </c>
      <c r="D101" s="4" t="s">
        <v>25</v>
      </c>
      <c r="E101" s="4" t="s">
        <v>25</v>
      </c>
      <c r="F101" s="4" t="s">
        <v>25</v>
      </c>
      <c r="G101" s="4" t="s">
        <v>73</v>
      </c>
      <c r="H101" s="4" t="s">
        <v>25</v>
      </c>
      <c r="I101" s="5">
        <v>44440</v>
      </c>
      <c r="J101" s="6">
        <v>44450</v>
      </c>
      <c r="K101" s="6">
        <v>22225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68</v>
      </c>
      <c r="R101" s="4">
        <v>29092</v>
      </c>
      <c r="S101" s="4">
        <v>16</v>
      </c>
      <c r="T101" s="4">
        <v>0</v>
      </c>
      <c r="U101" s="4">
        <v>0</v>
      </c>
      <c r="V101" s="6">
        <f>IF(ISERROR(VLOOKUP($S$101,'TAR FIN'!$A$1:$O$104,15,0)),0,VLOOKUP($S$101,'TAR FIN'!$A$1:$O$104,15,0))</f>
        <v>12.9</v>
      </c>
      <c r="W101" s="6">
        <f>IF(ISERROR(VLOOKUP($T$101,'TAR FIN'!$A$1:$O$104,15,0)),0,VLOOKUP($T$101,'TAR FIN'!$A$1:$O$104,15,0))</f>
        <v>0</v>
      </c>
      <c r="X101" s="6">
        <f>IF(ISERROR(VLOOKUP($U$101,'TAR FIN'!$A$1:$O$104,15,0)),0,VLOOKUP($U$101,'TAR FIN'!$A$1:$O$104,15,0))</f>
        <v>0</v>
      </c>
      <c r="Y101" s="6">
        <f ca="1">('TUSD BE'!$AM$12+'TUSD BF'!$AM$12+'TUSD CVA'!$AM$12)*1</f>
        <v>12.796774750698974</v>
      </c>
      <c r="Z101" s="6"/>
      <c r="AA101" s="6"/>
      <c r="AB101" s="6">
        <f t="shared" si="6"/>
        <v>286702.5</v>
      </c>
      <c r="AC101" s="6">
        <f t="shared" si="7"/>
        <v>0</v>
      </c>
      <c r="AD101" s="6">
        <f t="shared" ca="1" si="8"/>
        <v>284408.31883428473</v>
      </c>
      <c r="AE101" s="6">
        <f t="shared" si="9"/>
        <v>0</v>
      </c>
      <c r="AF101" s="4" t="s">
        <v>1000</v>
      </c>
    </row>
    <row r="102" spans="1:32" ht="11.25" customHeight="1" x14ac:dyDescent="0.25">
      <c r="A102" s="4" t="s">
        <v>21</v>
      </c>
      <c r="B102" s="4" t="s">
        <v>39</v>
      </c>
      <c r="C102" s="4" t="s">
        <v>66</v>
      </c>
      <c r="D102" s="4" t="s">
        <v>25</v>
      </c>
      <c r="E102" s="4" t="s">
        <v>25</v>
      </c>
      <c r="F102" s="4" t="s">
        <v>25</v>
      </c>
      <c r="G102" s="4" t="s">
        <v>75</v>
      </c>
      <c r="H102" s="4" t="s">
        <v>25</v>
      </c>
      <c r="I102" s="5">
        <v>44440</v>
      </c>
      <c r="J102" s="6">
        <v>30000</v>
      </c>
      <c r="K102" s="6">
        <v>15000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68</v>
      </c>
      <c r="R102" s="4">
        <v>33663</v>
      </c>
      <c r="S102" s="4">
        <v>16</v>
      </c>
      <c r="T102" s="4">
        <v>0</v>
      </c>
      <c r="U102" s="4">
        <v>0</v>
      </c>
      <c r="V102" s="6">
        <f>IF(ISERROR(VLOOKUP($S$102,'TAR FIN'!$A$1:$O$104,15,0)),0,VLOOKUP($S$102,'TAR FIN'!$A$1:$O$104,15,0))</f>
        <v>12.9</v>
      </c>
      <c r="W102" s="6">
        <f>IF(ISERROR(VLOOKUP($T$102,'TAR FIN'!$A$1:$O$104,15,0)),0,VLOOKUP($T$102,'TAR FIN'!$A$1:$O$104,15,0))</f>
        <v>0</v>
      </c>
      <c r="X102" s="6">
        <f>IF(ISERROR(VLOOKUP($U$102,'TAR FIN'!$A$1:$O$104,15,0)),0,VLOOKUP($U$102,'TAR FIN'!$A$1:$O$104,15,0))</f>
        <v>0</v>
      </c>
      <c r="Y102" s="6">
        <f ca="1">('TUSD BE'!$AM$12+'TUSD BF'!$AM$12+'TUSD CVA'!$AM$12)*1</f>
        <v>12.796774750698974</v>
      </c>
      <c r="Z102" s="6"/>
      <c r="AA102" s="6"/>
      <c r="AB102" s="6">
        <f t="shared" si="6"/>
        <v>193500</v>
      </c>
      <c r="AC102" s="6">
        <f t="shared" si="7"/>
        <v>0</v>
      </c>
      <c r="AD102" s="6">
        <f t="shared" ca="1" si="8"/>
        <v>191951.62126048462</v>
      </c>
      <c r="AE102" s="6">
        <f t="shared" si="9"/>
        <v>0</v>
      </c>
      <c r="AF102" s="4" t="s">
        <v>1000</v>
      </c>
    </row>
    <row r="103" spans="1:32" ht="11.25" customHeight="1" x14ac:dyDescent="0.25">
      <c r="A103" s="4" t="s">
        <v>21</v>
      </c>
      <c r="B103" s="4" t="s">
        <v>39</v>
      </c>
      <c r="C103" s="4" t="s">
        <v>66</v>
      </c>
      <c r="D103" s="4" t="s">
        <v>25</v>
      </c>
      <c r="E103" s="4" t="s">
        <v>25</v>
      </c>
      <c r="F103" s="4" t="s">
        <v>25</v>
      </c>
      <c r="G103" s="4" t="s">
        <v>76</v>
      </c>
      <c r="H103" s="4" t="s">
        <v>25</v>
      </c>
      <c r="I103" s="5">
        <v>44440</v>
      </c>
      <c r="J103" s="6">
        <v>30000</v>
      </c>
      <c r="K103" s="6">
        <v>15000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68</v>
      </c>
      <c r="R103" s="4">
        <v>33664</v>
      </c>
      <c r="S103" s="4">
        <v>16</v>
      </c>
      <c r="T103" s="4">
        <v>0</v>
      </c>
      <c r="U103" s="4">
        <v>0</v>
      </c>
      <c r="V103" s="6">
        <f>IF(ISERROR(VLOOKUP($S$103,'TAR FIN'!$A$1:$O$104,15,0)),0,VLOOKUP($S$103,'TAR FIN'!$A$1:$O$104,15,0))</f>
        <v>12.9</v>
      </c>
      <c r="W103" s="6">
        <f>IF(ISERROR(VLOOKUP($T$103,'TAR FIN'!$A$1:$O$104,15,0)),0,VLOOKUP($T$103,'TAR FIN'!$A$1:$O$104,15,0))</f>
        <v>0</v>
      </c>
      <c r="X103" s="6">
        <f>IF(ISERROR(VLOOKUP($U$103,'TAR FIN'!$A$1:$O$104,15,0)),0,VLOOKUP($U$103,'TAR FIN'!$A$1:$O$104,15,0))</f>
        <v>0</v>
      </c>
      <c r="Y103" s="6">
        <f ca="1">('TUSD BE'!$AM$12+'TUSD BF'!$AM$12+'TUSD CVA'!$AM$12)*1</f>
        <v>12.796774750698974</v>
      </c>
      <c r="Z103" s="6"/>
      <c r="AA103" s="6"/>
      <c r="AB103" s="6">
        <f t="shared" si="6"/>
        <v>193500</v>
      </c>
      <c r="AC103" s="6">
        <f t="shared" si="7"/>
        <v>0</v>
      </c>
      <c r="AD103" s="6">
        <f t="shared" ca="1" si="8"/>
        <v>191951.62126048462</v>
      </c>
      <c r="AE103" s="6">
        <f t="shared" si="9"/>
        <v>0</v>
      </c>
      <c r="AF103" s="4" t="s">
        <v>1000</v>
      </c>
    </row>
    <row r="104" spans="1:32" ht="11.25" customHeight="1" x14ac:dyDescent="0.25">
      <c r="A104" s="4" t="s">
        <v>21</v>
      </c>
      <c r="B104" s="4" t="s">
        <v>39</v>
      </c>
      <c r="C104" s="4" t="s">
        <v>66</v>
      </c>
      <c r="D104" s="4" t="s">
        <v>25</v>
      </c>
      <c r="E104" s="4" t="s">
        <v>25</v>
      </c>
      <c r="F104" s="4" t="s">
        <v>25</v>
      </c>
      <c r="G104" s="4" t="s">
        <v>77</v>
      </c>
      <c r="H104" s="4" t="s">
        <v>25</v>
      </c>
      <c r="I104" s="5">
        <v>44440</v>
      </c>
      <c r="J104" s="6">
        <v>30000</v>
      </c>
      <c r="K104" s="6">
        <v>15000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68</v>
      </c>
      <c r="R104" s="4">
        <v>33665</v>
      </c>
      <c r="S104" s="4">
        <v>16</v>
      </c>
      <c r="T104" s="4">
        <v>0</v>
      </c>
      <c r="U104" s="4">
        <v>0</v>
      </c>
      <c r="V104" s="6">
        <f>IF(ISERROR(VLOOKUP($S$104,'TAR FIN'!$A$1:$O$104,15,0)),0,VLOOKUP($S$104,'TAR FIN'!$A$1:$O$104,15,0))</f>
        <v>12.9</v>
      </c>
      <c r="W104" s="6">
        <f>IF(ISERROR(VLOOKUP($T$104,'TAR FIN'!$A$1:$O$104,15,0)),0,VLOOKUP($T$104,'TAR FIN'!$A$1:$O$104,15,0))</f>
        <v>0</v>
      </c>
      <c r="X104" s="6">
        <f>IF(ISERROR(VLOOKUP($U$104,'TAR FIN'!$A$1:$O$104,15,0)),0,VLOOKUP($U$104,'TAR FIN'!$A$1:$O$104,15,0))</f>
        <v>0</v>
      </c>
      <c r="Y104" s="6">
        <f ca="1">('TUSD BE'!$AM$12+'TUSD BF'!$AM$12+'TUSD CVA'!$AM$12)*1</f>
        <v>12.796774750698974</v>
      </c>
      <c r="Z104" s="6"/>
      <c r="AA104" s="6"/>
      <c r="AB104" s="6">
        <f t="shared" si="6"/>
        <v>193500</v>
      </c>
      <c r="AC104" s="6">
        <f t="shared" si="7"/>
        <v>0</v>
      </c>
      <c r="AD104" s="6">
        <f t="shared" ca="1" si="8"/>
        <v>191951.62126048462</v>
      </c>
      <c r="AE104" s="6">
        <f t="shared" si="9"/>
        <v>0</v>
      </c>
      <c r="AF104" s="4" t="s">
        <v>1000</v>
      </c>
    </row>
    <row r="105" spans="1:32" ht="11.25" customHeight="1" x14ac:dyDescent="0.25">
      <c r="A105" s="4" t="s">
        <v>21</v>
      </c>
      <c r="B105" s="4" t="s">
        <v>39</v>
      </c>
      <c r="C105" s="4" t="s">
        <v>66</v>
      </c>
      <c r="D105" s="4" t="s">
        <v>25</v>
      </c>
      <c r="E105" s="4" t="s">
        <v>25</v>
      </c>
      <c r="F105" s="4" t="s">
        <v>25</v>
      </c>
      <c r="G105" s="4" t="s">
        <v>78</v>
      </c>
      <c r="H105" s="4" t="s">
        <v>25</v>
      </c>
      <c r="I105" s="5">
        <v>44440</v>
      </c>
      <c r="J105" s="6">
        <v>27000</v>
      </c>
      <c r="K105" s="6">
        <v>13500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68</v>
      </c>
      <c r="R105" s="4">
        <v>34085</v>
      </c>
      <c r="S105" s="4">
        <v>16</v>
      </c>
      <c r="T105" s="4">
        <v>0</v>
      </c>
      <c r="U105" s="4">
        <v>0</v>
      </c>
      <c r="V105" s="6">
        <f>IF(ISERROR(VLOOKUP($S$105,'TAR FIN'!$A$1:$O$104,15,0)),0,VLOOKUP($S$105,'TAR FIN'!$A$1:$O$104,15,0))</f>
        <v>12.9</v>
      </c>
      <c r="W105" s="6">
        <f>IF(ISERROR(VLOOKUP($T$105,'TAR FIN'!$A$1:$O$104,15,0)),0,VLOOKUP($T$105,'TAR FIN'!$A$1:$O$104,15,0))</f>
        <v>0</v>
      </c>
      <c r="X105" s="6">
        <f>IF(ISERROR(VLOOKUP($U$105,'TAR FIN'!$A$1:$O$104,15,0)),0,VLOOKUP($U$105,'TAR FIN'!$A$1:$O$104,15,0))</f>
        <v>0</v>
      </c>
      <c r="Y105" s="6">
        <f ca="1">('TUSD BE'!$AM$12+'TUSD BF'!$AM$12+'TUSD CVA'!$AM$12)*1</f>
        <v>12.796774750698974</v>
      </c>
      <c r="Z105" s="6"/>
      <c r="AA105" s="6"/>
      <c r="AB105" s="6">
        <f t="shared" si="6"/>
        <v>174150</v>
      </c>
      <c r="AC105" s="6">
        <f t="shared" si="7"/>
        <v>0</v>
      </c>
      <c r="AD105" s="6">
        <f t="shared" ca="1" si="8"/>
        <v>172756.45913443615</v>
      </c>
      <c r="AE105" s="6">
        <f t="shared" si="9"/>
        <v>0</v>
      </c>
      <c r="AF105" s="4" t="s">
        <v>1000</v>
      </c>
    </row>
    <row r="106" spans="1:32" ht="11.25" customHeight="1" x14ac:dyDescent="0.25">
      <c r="A106" s="4" t="s">
        <v>21</v>
      </c>
      <c r="B106" s="4" t="s">
        <v>39</v>
      </c>
      <c r="C106" s="4" t="s">
        <v>66</v>
      </c>
      <c r="D106" s="4" t="s">
        <v>25</v>
      </c>
      <c r="E106" s="4" t="s">
        <v>25</v>
      </c>
      <c r="F106" s="4" t="s">
        <v>25</v>
      </c>
      <c r="G106" s="4" t="s">
        <v>79</v>
      </c>
      <c r="H106" s="4" t="s">
        <v>25</v>
      </c>
      <c r="I106" s="5">
        <v>44440</v>
      </c>
      <c r="J106" s="6">
        <v>27000</v>
      </c>
      <c r="K106" s="6">
        <v>13500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68</v>
      </c>
      <c r="R106" s="4">
        <v>34086</v>
      </c>
      <c r="S106" s="4">
        <v>16</v>
      </c>
      <c r="T106" s="4">
        <v>0</v>
      </c>
      <c r="U106" s="4">
        <v>0</v>
      </c>
      <c r="V106" s="6">
        <f>IF(ISERROR(VLOOKUP($S$106,'TAR FIN'!$A$1:$O$104,15,0)),0,VLOOKUP($S$106,'TAR FIN'!$A$1:$O$104,15,0))</f>
        <v>12.9</v>
      </c>
      <c r="W106" s="6">
        <f>IF(ISERROR(VLOOKUP($T$106,'TAR FIN'!$A$1:$O$104,15,0)),0,VLOOKUP($T$106,'TAR FIN'!$A$1:$O$104,15,0))</f>
        <v>0</v>
      </c>
      <c r="X106" s="6">
        <f>IF(ISERROR(VLOOKUP($U$106,'TAR FIN'!$A$1:$O$104,15,0)),0,VLOOKUP($U$106,'TAR FIN'!$A$1:$O$104,15,0))</f>
        <v>0</v>
      </c>
      <c r="Y106" s="6">
        <f ca="1">('TUSD BE'!$AM$12+'TUSD BF'!$AM$12+'TUSD CVA'!$AM$12)*1</f>
        <v>12.796774750698974</v>
      </c>
      <c r="Z106" s="6"/>
      <c r="AA106" s="6"/>
      <c r="AB106" s="6">
        <f t="shared" si="6"/>
        <v>174150</v>
      </c>
      <c r="AC106" s="6">
        <f t="shared" si="7"/>
        <v>0</v>
      </c>
      <c r="AD106" s="6">
        <f t="shared" ca="1" si="8"/>
        <v>172756.45913443615</v>
      </c>
      <c r="AE106" s="6">
        <f t="shared" si="9"/>
        <v>0</v>
      </c>
      <c r="AF106" s="4" t="s">
        <v>1000</v>
      </c>
    </row>
    <row r="107" spans="1:32" ht="11.25" customHeight="1" x14ac:dyDescent="0.25">
      <c r="A107" s="4" t="s">
        <v>21</v>
      </c>
      <c r="B107" s="4" t="s">
        <v>39</v>
      </c>
      <c r="C107" s="4" t="s">
        <v>66</v>
      </c>
      <c r="D107" s="4" t="s">
        <v>25</v>
      </c>
      <c r="E107" s="4" t="s">
        <v>25</v>
      </c>
      <c r="F107" s="4" t="s">
        <v>25</v>
      </c>
      <c r="G107" s="4" t="s">
        <v>67</v>
      </c>
      <c r="H107" s="4" t="s">
        <v>25</v>
      </c>
      <c r="I107" s="5">
        <v>44470</v>
      </c>
      <c r="J107" s="6">
        <v>3500</v>
      </c>
      <c r="K107" s="6">
        <v>3500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68</v>
      </c>
      <c r="R107" s="4">
        <v>27402</v>
      </c>
      <c r="S107" s="4">
        <v>16</v>
      </c>
      <c r="T107" s="4">
        <v>0</v>
      </c>
      <c r="U107" s="4">
        <v>0</v>
      </c>
      <c r="V107" s="6">
        <f>IF(ISERROR(VLOOKUP($S$107,'TAR FIN'!$A$1:$O$104,15,0)),0,VLOOKUP($S$107,'TAR FIN'!$A$1:$O$104,15,0))</f>
        <v>12.9</v>
      </c>
      <c r="W107" s="6">
        <f>IF(ISERROR(VLOOKUP($T$107,'TAR FIN'!$A$1:$O$104,15,0)),0,VLOOKUP($T$107,'TAR FIN'!$A$1:$O$104,15,0))</f>
        <v>0</v>
      </c>
      <c r="X107" s="6">
        <f>IF(ISERROR(VLOOKUP($U$107,'TAR FIN'!$A$1:$O$104,15,0)),0,VLOOKUP($U$107,'TAR FIN'!$A$1:$O$104,15,0))</f>
        <v>0</v>
      </c>
      <c r="Y107" s="6">
        <f ca="1">('TUSD BE'!$AM$12+'TUSD BF'!$AM$12+'TUSD CVA'!$AM$12)*1</f>
        <v>12.796774750698974</v>
      </c>
      <c r="Z107" s="6"/>
      <c r="AA107" s="6"/>
      <c r="AB107" s="6">
        <f t="shared" si="6"/>
        <v>0</v>
      </c>
      <c r="AC107" s="6">
        <f t="shared" si="7"/>
        <v>0</v>
      </c>
      <c r="AD107" s="6">
        <f t="shared" ca="1" si="8"/>
        <v>0</v>
      </c>
      <c r="AE107" s="6">
        <f t="shared" si="9"/>
        <v>0</v>
      </c>
      <c r="AF107" s="4" t="s">
        <v>1000</v>
      </c>
    </row>
    <row r="108" spans="1:32" ht="11.25" customHeight="1" x14ac:dyDescent="0.25">
      <c r="A108" s="4" t="s">
        <v>21</v>
      </c>
      <c r="B108" s="4" t="s">
        <v>39</v>
      </c>
      <c r="C108" s="4" t="s">
        <v>66</v>
      </c>
      <c r="D108" s="4" t="s">
        <v>25</v>
      </c>
      <c r="E108" s="4" t="s">
        <v>25</v>
      </c>
      <c r="F108" s="4" t="s">
        <v>25</v>
      </c>
      <c r="G108" s="4" t="s">
        <v>69</v>
      </c>
      <c r="H108" s="4" t="s">
        <v>25</v>
      </c>
      <c r="I108" s="5">
        <v>44470</v>
      </c>
      <c r="J108" s="6">
        <v>3000</v>
      </c>
      <c r="K108" s="6">
        <v>1500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68</v>
      </c>
      <c r="R108" s="4">
        <v>28515</v>
      </c>
      <c r="S108" s="4">
        <v>16</v>
      </c>
      <c r="T108" s="4">
        <v>0</v>
      </c>
      <c r="U108" s="4">
        <v>0</v>
      </c>
      <c r="V108" s="6">
        <f>IF(ISERROR(VLOOKUP($S$108,'TAR FIN'!$A$1:$O$104,15,0)),0,VLOOKUP($S$108,'TAR FIN'!$A$1:$O$104,15,0))</f>
        <v>12.9</v>
      </c>
      <c r="W108" s="6">
        <f>IF(ISERROR(VLOOKUP($T$108,'TAR FIN'!$A$1:$O$104,15,0)),0,VLOOKUP($T$108,'TAR FIN'!$A$1:$O$104,15,0))</f>
        <v>0</v>
      </c>
      <c r="X108" s="6">
        <f>IF(ISERROR(VLOOKUP($U$108,'TAR FIN'!$A$1:$O$104,15,0)),0,VLOOKUP($U$108,'TAR FIN'!$A$1:$O$104,15,0))</f>
        <v>0</v>
      </c>
      <c r="Y108" s="6">
        <f ca="1">('TUSD BE'!$AM$12+'TUSD BF'!$AM$12+'TUSD CVA'!$AM$12)*1</f>
        <v>12.796774750698974</v>
      </c>
      <c r="Z108" s="6"/>
      <c r="AA108" s="6"/>
      <c r="AB108" s="6">
        <f t="shared" si="6"/>
        <v>19350</v>
      </c>
      <c r="AC108" s="6">
        <f t="shared" si="7"/>
        <v>0</v>
      </c>
      <c r="AD108" s="6">
        <f t="shared" ca="1" si="8"/>
        <v>19195.162126048461</v>
      </c>
      <c r="AE108" s="6">
        <f t="shared" si="9"/>
        <v>0</v>
      </c>
      <c r="AF108" s="4" t="s">
        <v>1000</v>
      </c>
    </row>
    <row r="109" spans="1:32" ht="11.25" customHeight="1" x14ac:dyDescent="0.25">
      <c r="A109" s="4" t="s">
        <v>21</v>
      </c>
      <c r="B109" s="4" t="s">
        <v>39</v>
      </c>
      <c r="C109" s="4" t="s">
        <v>66</v>
      </c>
      <c r="D109" s="4" t="s">
        <v>25</v>
      </c>
      <c r="E109" s="4" t="s">
        <v>25</v>
      </c>
      <c r="F109" s="4" t="s">
        <v>25</v>
      </c>
      <c r="G109" s="4" t="s">
        <v>70</v>
      </c>
      <c r="H109" s="4" t="s">
        <v>25</v>
      </c>
      <c r="I109" s="5">
        <v>44470</v>
      </c>
      <c r="J109" s="6">
        <v>11000</v>
      </c>
      <c r="K109" s="6">
        <v>5500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68</v>
      </c>
      <c r="R109" s="4">
        <v>28957</v>
      </c>
      <c r="S109" s="4">
        <v>16</v>
      </c>
      <c r="T109" s="4">
        <v>0</v>
      </c>
      <c r="U109" s="4">
        <v>0</v>
      </c>
      <c r="V109" s="6">
        <f>IF(ISERROR(VLOOKUP($S$109,'TAR FIN'!$A$1:$O$104,15,0)),0,VLOOKUP($S$109,'TAR FIN'!$A$1:$O$104,15,0))</f>
        <v>12.9</v>
      </c>
      <c r="W109" s="6">
        <f>IF(ISERROR(VLOOKUP($T$109,'TAR FIN'!$A$1:$O$104,15,0)),0,VLOOKUP($T$109,'TAR FIN'!$A$1:$O$104,15,0))</f>
        <v>0</v>
      </c>
      <c r="X109" s="6">
        <f>IF(ISERROR(VLOOKUP($U$109,'TAR FIN'!$A$1:$O$104,15,0)),0,VLOOKUP($U$109,'TAR FIN'!$A$1:$O$104,15,0))</f>
        <v>0</v>
      </c>
      <c r="Y109" s="6">
        <f ca="1">('TUSD BE'!$AM$12+'TUSD BF'!$AM$12+'TUSD CVA'!$AM$12)*1</f>
        <v>12.796774750698974</v>
      </c>
      <c r="Z109" s="6"/>
      <c r="AA109" s="6"/>
      <c r="AB109" s="6">
        <f t="shared" si="6"/>
        <v>70950</v>
      </c>
      <c r="AC109" s="6">
        <f t="shared" si="7"/>
        <v>0</v>
      </c>
      <c r="AD109" s="6">
        <f t="shared" ca="1" si="8"/>
        <v>70382.261128844359</v>
      </c>
      <c r="AE109" s="6">
        <f t="shared" si="9"/>
        <v>0</v>
      </c>
      <c r="AF109" s="4" t="s">
        <v>1000</v>
      </c>
    </row>
    <row r="110" spans="1:32" ht="11.25" customHeight="1" x14ac:dyDescent="0.25">
      <c r="A110" s="4" t="s">
        <v>21</v>
      </c>
      <c r="B110" s="4" t="s">
        <v>39</v>
      </c>
      <c r="C110" s="4" t="s">
        <v>66</v>
      </c>
      <c r="D110" s="4" t="s">
        <v>25</v>
      </c>
      <c r="E110" s="4" t="s">
        <v>25</v>
      </c>
      <c r="F110" s="4" t="s">
        <v>25</v>
      </c>
      <c r="G110" s="4" t="s">
        <v>71</v>
      </c>
      <c r="H110" s="4" t="s">
        <v>25</v>
      </c>
      <c r="I110" s="5">
        <v>44470</v>
      </c>
      <c r="J110" s="6">
        <v>10050</v>
      </c>
      <c r="K110" s="6">
        <v>5025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68</v>
      </c>
      <c r="R110" s="4">
        <v>29041</v>
      </c>
      <c r="S110" s="4">
        <v>16</v>
      </c>
      <c r="T110" s="4">
        <v>0</v>
      </c>
      <c r="U110" s="4">
        <v>0</v>
      </c>
      <c r="V110" s="6">
        <f>IF(ISERROR(VLOOKUP($S$110,'TAR FIN'!$A$1:$O$104,15,0)),0,VLOOKUP($S$110,'TAR FIN'!$A$1:$O$104,15,0))</f>
        <v>12.9</v>
      </c>
      <c r="W110" s="6">
        <f>IF(ISERROR(VLOOKUP($T$110,'TAR FIN'!$A$1:$O$104,15,0)),0,VLOOKUP($T$110,'TAR FIN'!$A$1:$O$104,15,0))</f>
        <v>0</v>
      </c>
      <c r="X110" s="6">
        <f>IF(ISERROR(VLOOKUP($U$110,'TAR FIN'!$A$1:$O$104,15,0)),0,VLOOKUP($U$110,'TAR FIN'!$A$1:$O$104,15,0))</f>
        <v>0</v>
      </c>
      <c r="Y110" s="6">
        <f ca="1">('TUSD BE'!$AM$12+'TUSD BF'!$AM$12+'TUSD CVA'!$AM$12)*1</f>
        <v>12.796774750698974</v>
      </c>
      <c r="Z110" s="6"/>
      <c r="AA110" s="6"/>
      <c r="AB110" s="6">
        <f t="shared" si="6"/>
        <v>64822.5</v>
      </c>
      <c r="AC110" s="6">
        <f t="shared" si="7"/>
        <v>0</v>
      </c>
      <c r="AD110" s="6">
        <f t="shared" ca="1" si="8"/>
        <v>64303.793122262345</v>
      </c>
      <c r="AE110" s="6">
        <f t="shared" si="9"/>
        <v>0</v>
      </c>
      <c r="AF110" s="4" t="s">
        <v>1000</v>
      </c>
    </row>
    <row r="111" spans="1:32" ht="11.25" customHeight="1" x14ac:dyDescent="0.25">
      <c r="A111" s="4" t="s">
        <v>21</v>
      </c>
      <c r="B111" s="4" t="s">
        <v>39</v>
      </c>
      <c r="C111" s="4" t="s">
        <v>66</v>
      </c>
      <c r="D111" s="4" t="s">
        <v>25</v>
      </c>
      <c r="E111" s="4" t="s">
        <v>25</v>
      </c>
      <c r="F111" s="4" t="s">
        <v>25</v>
      </c>
      <c r="G111" s="4" t="s">
        <v>73</v>
      </c>
      <c r="H111" s="4" t="s">
        <v>25</v>
      </c>
      <c r="I111" s="5">
        <v>44470</v>
      </c>
      <c r="J111" s="6">
        <v>44450</v>
      </c>
      <c r="K111" s="6">
        <v>22225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68</v>
      </c>
      <c r="R111" s="4">
        <v>29092</v>
      </c>
      <c r="S111" s="4">
        <v>16</v>
      </c>
      <c r="T111" s="4">
        <v>0</v>
      </c>
      <c r="U111" s="4">
        <v>0</v>
      </c>
      <c r="V111" s="6">
        <f>IF(ISERROR(VLOOKUP($S$111,'TAR FIN'!$A$1:$O$104,15,0)),0,VLOOKUP($S$111,'TAR FIN'!$A$1:$O$104,15,0))</f>
        <v>12.9</v>
      </c>
      <c r="W111" s="6">
        <f>IF(ISERROR(VLOOKUP($T$111,'TAR FIN'!$A$1:$O$104,15,0)),0,VLOOKUP($T$111,'TAR FIN'!$A$1:$O$104,15,0))</f>
        <v>0</v>
      </c>
      <c r="X111" s="6">
        <f>IF(ISERROR(VLOOKUP($U$111,'TAR FIN'!$A$1:$O$104,15,0)),0,VLOOKUP($U$111,'TAR FIN'!$A$1:$O$104,15,0))</f>
        <v>0</v>
      </c>
      <c r="Y111" s="6">
        <f ca="1">('TUSD BE'!$AM$12+'TUSD BF'!$AM$12+'TUSD CVA'!$AM$12)*1</f>
        <v>12.796774750698974</v>
      </c>
      <c r="Z111" s="6"/>
      <c r="AA111" s="6"/>
      <c r="AB111" s="6">
        <f t="shared" si="6"/>
        <v>286702.5</v>
      </c>
      <c r="AC111" s="6">
        <f t="shared" si="7"/>
        <v>0</v>
      </c>
      <c r="AD111" s="6">
        <f t="shared" ca="1" si="8"/>
        <v>284408.31883428473</v>
      </c>
      <c r="AE111" s="6">
        <f t="shared" si="9"/>
        <v>0</v>
      </c>
      <c r="AF111" s="4" t="s">
        <v>1000</v>
      </c>
    </row>
    <row r="112" spans="1:32" ht="11.25" customHeight="1" x14ac:dyDescent="0.25">
      <c r="A112" s="4" t="s">
        <v>21</v>
      </c>
      <c r="B112" s="4" t="s">
        <v>39</v>
      </c>
      <c r="C112" s="4" t="s">
        <v>66</v>
      </c>
      <c r="D112" s="4" t="s">
        <v>25</v>
      </c>
      <c r="E112" s="4" t="s">
        <v>25</v>
      </c>
      <c r="F112" s="4" t="s">
        <v>25</v>
      </c>
      <c r="G112" s="4" t="s">
        <v>75</v>
      </c>
      <c r="H112" s="4" t="s">
        <v>25</v>
      </c>
      <c r="I112" s="5">
        <v>44470</v>
      </c>
      <c r="J112" s="6">
        <v>30000</v>
      </c>
      <c r="K112" s="6">
        <v>15000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68</v>
      </c>
      <c r="R112" s="4">
        <v>33663</v>
      </c>
      <c r="S112" s="4">
        <v>16</v>
      </c>
      <c r="T112" s="4">
        <v>0</v>
      </c>
      <c r="U112" s="4">
        <v>0</v>
      </c>
      <c r="V112" s="6">
        <f>IF(ISERROR(VLOOKUP($S$112,'TAR FIN'!$A$1:$O$104,15,0)),0,VLOOKUP($S$112,'TAR FIN'!$A$1:$O$104,15,0))</f>
        <v>12.9</v>
      </c>
      <c r="W112" s="6">
        <f>IF(ISERROR(VLOOKUP($T$112,'TAR FIN'!$A$1:$O$104,15,0)),0,VLOOKUP($T$112,'TAR FIN'!$A$1:$O$104,15,0))</f>
        <v>0</v>
      </c>
      <c r="X112" s="6">
        <f>IF(ISERROR(VLOOKUP($U$112,'TAR FIN'!$A$1:$O$104,15,0)),0,VLOOKUP($U$112,'TAR FIN'!$A$1:$O$104,15,0))</f>
        <v>0</v>
      </c>
      <c r="Y112" s="6">
        <f ca="1">('TUSD BE'!$AM$12+'TUSD BF'!$AM$12+'TUSD CVA'!$AM$12)*1</f>
        <v>12.796774750698974</v>
      </c>
      <c r="Z112" s="6"/>
      <c r="AA112" s="6"/>
      <c r="AB112" s="6">
        <f t="shared" si="6"/>
        <v>193500</v>
      </c>
      <c r="AC112" s="6">
        <f t="shared" si="7"/>
        <v>0</v>
      </c>
      <c r="AD112" s="6">
        <f t="shared" ca="1" si="8"/>
        <v>191951.62126048462</v>
      </c>
      <c r="AE112" s="6">
        <f t="shared" si="9"/>
        <v>0</v>
      </c>
      <c r="AF112" s="4" t="s">
        <v>1000</v>
      </c>
    </row>
    <row r="113" spans="1:32" ht="11.25" customHeight="1" x14ac:dyDescent="0.25">
      <c r="A113" s="4" t="s">
        <v>21</v>
      </c>
      <c r="B113" s="4" t="s">
        <v>39</v>
      </c>
      <c r="C113" s="4" t="s">
        <v>66</v>
      </c>
      <c r="D113" s="4" t="s">
        <v>25</v>
      </c>
      <c r="E113" s="4" t="s">
        <v>25</v>
      </c>
      <c r="F113" s="4" t="s">
        <v>25</v>
      </c>
      <c r="G113" s="4" t="s">
        <v>76</v>
      </c>
      <c r="H113" s="4" t="s">
        <v>25</v>
      </c>
      <c r="I113" s="5">
        <v>44470</v>
      </c>
      <c r="J113" s="6">
        <v>30000</v>
      </c>
      <c r="K113" s="6">
        <v>15000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68</v>
      </c>
      <c r="R113" s="4">
        <v>33664</v>
      </c>
      <c r="S113" s="4">
        <v>16</v>
      </c>
      <c r="T113" s="4">
        <v>0</v>
      </c>
      <c r="U113" s="4">
        <v>0</v>
      </c>
      <c r="V113" s="6">
        <f>IF(ISERROR(VLOOKUP($S$113,'TAR FIN'!$A$1:$O$104,15,0)),0,VLOOKUP($S$113,'TAR FIN'!$A$1:$O$104,15,0))</f>
        <v>12.9</v>
      </c>
      <c r="W113" s="6">
        <f>IF(ISERROR(VLOOKUP($T$113,'TAR FIN'!$A$1:$O$104,15,0)),0,VLOOKUP($T$113,'TAR FIN'!$A$1:$O$104,15,0))</f>
        <v>0</v>
      </c>
      <c r="X113" s="6">
        <f>IF(ISERROR(VLOOKUP($U$113,'TAR FIN'!$A$1:$O$104,15,0)),0,VLOOKUP($U$113,'TAR FIN'!$A$1:$O$104,15,0))</f>
        <v>0</v>
      </c>
      <c r="Y113" s="6">
        <f ca="1">('TUSD BE'!$AM$12+'TUSD BF'!$AM$12+'TUSD CVA'!$AM$12)*1</f>
        <v>12.796774750698974</v>
      </c>
      <c r="Z113" s="6"/>
      <c r="AA113" s="6"/>
      <c r="AB113" s="6">
        <f t="shared" si="6"/>
        <v>193500</v>
      </c>
      <c r="AC113" s="6">
        <f t="shared" si="7"/>
        <v>0</v>
      </c>
      <c r="AD113" s="6">
        <f t="shared" ca="1" si="8"/>
        <v>191951.62126048462</v>
      </c>
      <c r="AE113" s="6">
        <f t="shared" si="9"/>
        <v>0</v>
      </c>
      <c r="AF113" s="4" t="s">
        <v>1000</v>
      </c>
    </row>
    <row r="114" spans="1:32" ht="11.25" customHeight="1" x14ac:dyDescent="0.25">
      <c r="A114" s="4" t="s">
        <v>21</v>
      </c>
      <c r="B114" s="4" t="s">
        <v>39</v>
      </c>
      <c r="C114" s="4" t="s">
        <v>66</v>
      </c>
      <c r="D114" s="4" t="s">
        <v>25</v>
      </c>
      <c r="E114" s="4" t="s">
        <v>25</v>
      </c>
      <c r="F114" s="4" t="s">
        <v>25</v>
      </c>
      <c r="G114" s="4" t="s">
        <v>77</v>
      </c>
      <c r="H114" s="4" t="s">
        <v>25</v>
      </c>
      <c r="I114" s="5">
        <v>44470</v>
      </c>
      <c r="J114" s="6">
        <v>30000</v>
      </c>
      <c r="K114" s="6">
        <v>15000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68</v>
      </c>
      <c r="R114" s="4">
        <v>33665</v>
      </c>
      <c r="S114" s="4">
        <v>16</v>
      </c>
      <c r="T114" s="4">
        <v>0</v>
      </c>
      <c r="U114" s="4">
        <v>0</v>
      </c>
      <c r="V114" s="6">
        <f>IF(ISERROR(VLOOKUP($S$114,'TAR FIN'!$A$1:$O$104,15,0)),0,VLOOKUP($S$114,'TAR FIN'!$A$1:$O$104,15,0))</f>
        <v>12.9</v>
      </c>
      <c r="W114" s="6">
        <f>IF(ISERROR(VLOOKUP($T$114,'TAR FIN'!$A$1:$O$104,15,0)),0,VLOOKUP($T$114,'TAR FIN'!$A$1:$O$104,15,0))</f>
        <v>0</v>
      </c>
      <c r="X114" s="6">
        <f>IF(ISERROR(VLOOKUP($U$114,'TAR FIN'!$A$1:$O$104,15,0)),0,VLOOKUP($U$114,'TAR FIN'!$A$1:$O$104,15,0))</f>
        <v>0</v>
      </c>
      <c r="Y114" s="6">
        <f ca="1">('TUSD BE'!$AM$12+'TUSD BF'!$AM$12+'TUSD CVA'!$AM$12)*1</f>
        <v>12.796774750698974</v>
      </c>
      <c r="Z114" s="6"/>
      <c r="AA114" s="6"/>
      <c r="AB114" s="6">
        <f t="shared" si="6"/>
        <v>193500</v>
      </c>
      <c r="AC114" s="6">
        <f t="shared" si="7"/>
        <v>0</v>
      </c>
      <c r="AD114" s="6">
        <f t="shared" ca="1" si="8"/>
        <v>191951.62126048462</v>
      </c>
      <c r="AE114" s="6">
        <f t="shared" si="9"/>
        <v>0</v>
      </c>
      <c r="AF114" s="4" t="s">
        <v>1000</v>
      </c>
    </row>
    <row r="115" spans="1:32" ht="11.25" customHeight="1" x14ac:dyDescent="0.25">
      <c r="A115" s="4" t="s">
        <v>21</v>
      </c>
      <c r="B115" s="4" t="s">
        <v>39</v>
      </c>
      <c r="C115" s="4" t="s">
        <v>66</v>
      </c>
      <c r="D115" s="4" t="s">
        <v>25</v>
      </c>
      <c r="E115" s="4" t="s">
        <v>25</v>
      </c>
      <c r="F115" s="4" t="s">
        <v>25</v>
      </c>
      <c r="G115" s="4" t="s">
        <v>78</v>
      </c>
      <c r="H115" s="4" t="s">
        <v>25</v>
      </c>
      <c r="I115" s="5">
        <v>44470</v>
      </c>
      <c r="J115" s="6">
        <v>27000</v>
      </c>
      <c r="K115" s="6">
        <v>13500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68</v>
      </c>
      <c r="R115" s="4">
        <v>34085</v>
      </c>
      <c r="S115" s="4">
        <v>16</v>
      </c>
      <c r="T115" s="4">
        <v>0</v>
      </c>
      <c r="U115" s="4">
        <v>0</v>
      </c>
      <c r="V115" s="6">
        <f>IF(ISERROR(VLOOKUP($S$115,'TAR FIN'!$A$1:$O$104,15,0)),0,VLOOKUP($S$115,'TAR FIN'!$A$1:$O$104,15,0))</f>
        <v>12.9</v>
      </c>
      <c r="W115" s="6">
        <f>IF(ISERROR(VLOOKUP($T$115,'TAR FIN'!$A$1:$O$104,15,0)),0,VLOOKUP($T$115,'TAR FIN'!$A$1:$O$104,15,0))</f>
        <v>0</v>
      </c>
      <c r="X115" s="6">
        <f>IF(ISERROR(VLOOKUP($U$115,'TAR FIN'!$A$1:$O$104,15,0)),0,VLOOKUP($U$115,'TAR FIN'!$A$1:$O$104,15,0))</f>
        <v>0</v>
      </c>
      <c r="Y115" s="6">
        <f ca="1">('TUSD BE'!$AM$12+'TUSD BF'!$AM$12+'TUSD CVA'!$AM$12)*1</f>
        <v>12.796774750698974</v>
      </c>
      <c r="Z115" s="6"/>
      <c r="AA115" s="6"/>
      <c r="AB115" s="6">
        <f t="shared" si="6"/>
        <v>174150</v>
      </c>
      <c r="AC115" s="6">
        <f t="shared" si="7"/>
        <v>0</v>
      </c>
      <c r="AD115" s="6">
        <f t="shared" ca="1" si="8"/>
        <v>172756.45913443615</v>
      </c>
      <c r="AE115" s="6">
        <f t="shared" si="9"/>
        <v>0</v>
      </c>
      <c r="AF115" s="4" t="s">
        <v>1000</v>
      </c>
    </row>
    <row r="116" spans="1:32" ht="11.25" customHeight="1" x14ac:dyDescent="0.25">
      <c r="A116" s="4" t="s">
        <v>21</v>
      </c>
      <c r="B116" s="4" t="s">
        <v>39</v>
      </c>
      <c r="C116" s="4" t="s">
        <v>66</v>
      </c>
      <c r="D116" s="4" t="s">
        <v>25</v>
      </c>
      <c r="E116" s="4" t="s">
        <v>25</v>
      </c>
      <c r="F116" s="4" t="s">
        <v>25</v>
      </c>
      <c r="G116" s="4" t="s">
        <v>79</v>
      </c>
      <c r="H116" s="4" t="s">
        <v>25</v>
      </c>
      <c r="I116" s="5">
        <v>44470</v>
      </c>
      <c r="J116" s="6">
        <v>27000</v>
      </c>
      <c r="K116" s="6">
        <v>13500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68</v>
      </c>
      <c r="R116" s="4">
        <v>34086</v>
      </c>
      <c r="S116" s="4">
        <v>16</v>
      </c>
      <c r="T116" s="4">
        <v>0</v>
      </c>
      <c r="U116" s="4">
        <v>0</v>
      </c>
      <c r="V116" s="6">
        <f>IF(ISERROR(VLOOKUP($S$116,'TAR FIN'!$A$1:$O$104,15,0)),0,VLOOKUP($S$116,'TAR FIN'!$A$1:$O$104,15,0))</f>
        <v>12.9</v>
      </c>
      <c r="W116" s="6">
        <f>IF(ISERROR(VLOOKUP($T$116,'TAR FIN'!$A$1:$O$104,15,0)),0,VLOOKUP($T$116,'TAR FIN'!$A$1:$O$104,15,0))</f>
        <v>0</v>
      </c>
      <c r="X116" s="6">
        <f>IF(ISERROR(VLOOKUP($U$116,'TAR FIN'!$A$1:$O$104,15,0)),0,VLOOKUP($U$116,'TAR FIN'!$A$1:$O$104,15,0))</f>
        <v>0</v>
      </c>
      <c r="Y116" s="6">
        <f ca="1">('TUSD BE'!$AM$12+'TUSD BF'!$AM$12+'TUSD CVA'!$AM$12)*1</f>
        <v>12.796774750698974</v>
      </c>
      <c r="Z116" s="6"/>
      <c r="AA116" s="6"/>
      <c r="AB116" s="6">
        <f t="shared" si="6"/>
        <v>174150</v>
      </c>
      <c r="AC116" s="6">
        <f t="shared" si="7"/>
        <v>0</v>
      </c>
      <c r="AD116" s="6">
        <f t="shared" ca="1" si="8"/>
        <v>172756.45913443615</v>
      </c>
      <c r="AE116" s="6">
        <f t="shared" si="9"/>
        <v>0</v>
      </c>
      <c r="AF116" s="4" t="s">
        <v>1000</v>
      </c>
    </row>
    <row r="117" spans="1:32" ht="11.25" customHeight="1" x14ac:dyDescent="0.25">
      <c r="A117" s="4" t="s">
        <v>21</v>
      </c>
      <c r="B117" s="4" t="s">
        <v>39</v>
      </c>
      <c r="C117" s="4" t="s">
        <v>66</v>
      </c>
      <c r="D117" s="4" t="s">
        <v>25</v>
      </c>
      <c r="E117" s="4" t="s">
        <v>25</v>
      </c>
      <c r="F117" s="4" t="s">
        <v>25</v>
      </c>
      <c r="G117" s="4" t="s">
        <v>67</v>
      </c>
      <c r="H117" s="4" t="s">
        <v>25</v>
      </c>
      <c r="I117" s="5">
        <v>44501</v>
      </c>
      <c r="J117" s="6">
        <v>3500</v>
      </c>
      <c r="K117" s="6">
        <v>3500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68</v>
      </c>
      <c r="R117" s="4">
        <v>27402</v>
      </c>
      <c r="S117" s="4">
        <v>16</v>
      </c>
      <c r="T117" s="4">
        <v>0</v>
      </c>
      <c r="U117" s="4">
        <v>0</v>
      </c>
      <c r="V117" s="6">
        <f>IF(ISERROR(VLOOKUP($S$117,'TAR FIN'!$A$1:$O$104,15,0)),0,VLOOKUP($S$117,'TAR FIN'!$A$1:$O$104,15,0))</f>
        <v>12.9</v>
      </c>
      <c r="W117" s="6">
        <f>IF(ISERROR(VLOOKUP($T$117,'TAR FIN'!$A$1:$O$104,15,0)),0,VLOOKUP($T$117,'TAR FIN'!$A$1:$O$104,15,0))</f>
        <v>0</v>
      </c>
      <c r="X117" s="6">
        <f>IF(ISERROR(VLOOKUP($U$117,'TAR FIN'!$A$1:$O$104,15,0)),0,VLOOKUP($U$117,'TAR FIN'!$A$1:$O$104,15,0))</f>
        <v>0</v>
      </c>
      <c r="Y117" s="6">
        <f ca="1">('TUSD BE'!$AM$12+'TUSD BF'!$AM$12+'TUSD CVA'!$AM$12)*1</f>
        <v>12.796774750698974</v>
      </c>
      <c r="Z117" s="6"/>
      <c r="AA117" s="6"/>
      <c r="AB117" s="6">
        <f t="shared" si="6"/>
        <v>0</v>
      </c>
      <c r="AC117" s="6">
        <f t="shared" si="7"/>
        <v>0</v>
      </c>
      <c r="AD117" s="6">
        <f t="shared" ca="1" si="8"/>
        <v>0</v>
      </c>
      <c r="AE117" s="6">
        <f t="shared" si="9"/>
        <v>0</v>
      </c>
      <c r="AF117" s="4" t="s">
        <v>1000</v>
      </c>
    </row>
    <row r="118" spans="1:32" ht="11.25" customHeight="1" x14ac:dyDescent="0.25">
      <c r="A118" s="4" t="s">
        <v>21</v>
      </c>
      <c r="B118" s="4" t="s">
        <v>39</v>
      </c>
      <c r="C118" s="4" t="s">
        <v>66</v>
      </c>
      <c r="D118" s="4" t="s">
        <v>25</v>
      </c>
      <c r="E118" s="4" t="s">
        <v>25</v>
      </c>
      <c r="F118" s="4" t="s">
        <v>25</v>
      </c>
      <c r="G118" s="4" t="s">
        <v>69</v>
      </c>
      <c r="H118" s="4" t="s">
        <v>25</v>
      </c>
      <c r="I118" s="5">
        <v>44501</v>
      </c>
      <c r="J118" s="6">
        <v>3714</v>
      </c>
      <c r="K118" s="6">
        <v>1857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68</v>
      </c>
      <c r="R118" s="4">
        <v>28515</v>
      </c>
      <c r="S118" s="4">
        <v>16</v>
      </c>
      <c r="T118" s="4">
        <v>0</v>
      </c>
      <c r="U118" s="4">
        <v>0</v>
      </c>
      <c r="V118" s="6">
        <f>IF(ISERROR(VLOOKUP($S$118,'TAR FIN'!$A$1:$O$104,15,0)),0,VLOOKUP($S$118,'TAR FIN'!$A$1:$O$104,15,0))</f>
        <v>12.9</v>
      </c>
      <c r="W118" s="6">
        <f>IF(ISERROR(VLOOKUP($T$118,'TAR FIN'!$A$1:$O$104,15,0)),0,VLOOKUP($T$118,'TAR FIN'!$A$1:$O$104,15,0))</f>
        <v>0</v>
      </c>
      <c r="X118" s="6">
        <f>IF(ISERROR(VLOOKUP($U$118,'TAR FIN'!$A$1:$O$104,15,0)),0,VLOOKUP($U$118,'TAR FIN'!$A$1:$O$104,15,0))</f>
        <v>0</v>
      </c>
      <c r="Y118" s="6">
        <f ca="1">('TUSD BE'!$AM$12+'TUSD BF'!$AM$12+'TUSD CVA'!$AM$12)*1</f>
        <v>12.796774750698974</v>
      </c>
      <c r="Z118" s="6"/>
      <c r="AA118" s="6"/>
      <c r="AB118" s="6">
        <f t="shared" si="6"/>
        <v>23955.3</v>
      </c>
      <c r="AC118" s="6">
        <f t="shared" si="7"/>
        <v>0</v>
      </c>
      <c r="AD118" s="6">
        <f t="shared" ca="1" si="8"/>
        <v>23763.610712047994</v>
      </c>
      <c r="AE118" s="6">
        <f t="shared" si="9"/>
        <v>0</v>
      </c>
      <c r="AF118" s="4" t="s">
        <v>1000</v>
      </c>
    </row>
    <row r="119" spans="1:32" ht="11.25" customHeight="1" x14ac:dyDescent="0.25">
      <c r="A119" s="4" t="s">
        <v>21</v>
      </c>
      <c r="B119" s="4" t="s">
        <v>39</v>
      </c>
      <c r="C119" s="4" t="s">
        <v>66</v>
      </c>
      <c r="D119" s="4" t="s">
        <v>25</v>
      </c>
      <c r="E119" s="4" t="s">
        <v>25</v>
      </c>
      <c r="F119" s="4" t="s">
        <v>25</v>
      </c>
      <c r="G119" s="4" t="s">
        <v>70</v>
      </c>
      <c r="H119" s="4" t="s">
        <v>25</v>
      </c>
      <c r="I119" s="5">
        <v>44501</v>
      </c>
      <c r="J119" s="6">
        <v>11812</v>
      </c>
      <c r="K119" s="6">
        <v>5906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68</v>
      </c>
      <c r="R119" s="4">
        <v>28957</v>
      </c>
      <c r="S119" s="4">
        <v>16</v>
      </c>
      <c r="T119" s="4">
        <v>0</v>
      </c>
      <c r="U119" s="4">
        <v>0</v>
      </c>
      <c r="V119" s="6">
        <f>IF(ISERROR(VLOOKUP($S$119,'TAR FIN'!$A$1:$O$104,15,0)),0,VLOOKUP($S$119,'TAR FIN'!$A$1:$O$104,15,0))</f>
        <v>12.9</v>
      </c>
      <c r="W119" s="6">
        <f>IF(ISERROR(VLOOKUP($T$119,'TAR FIN'!$A$1:$O$104,15,0)),0,VLOOKUP($T$119,'TAR FIN'!$A$1:$O$104,15,0))</f>
        <v>0</v>
      </c>
      <c r="X119" s="6">
        <f>IF(ISERROR(VLOOKUP($U$119,'TAR FIN'!$A$1:$O$104,15,0)),0,VLOOKUP($U$119,'TAR FIN'!$A$1:$O$104,15,0))</f>
        <v>0</v>
      </c>
      <c r="Y119" s="6">
        <f ca="1">('TUSD BE'!$AM$12+'TUSD BF'!$AM$12+'TUSD CVA'!$AM$12)*1</f>
        <v>12.796774750698974</v>
      </c>
      <c r="Z119" s="6"/>
      <c r="AA119" s="6"/>
      <c r="AB119" s="6">
        <f t="shared" si="6"/>
        <v>76187.400000000009</v>
      </c>
      <c r="AC119" s="6">
        <f t="shared" si="7"/>
        <v>0</v>
      </c>
      <c r="AD119" s="6">
        <f t="shared" ca="1" si="8"/>
        <v>75577.751677628141</v>
      </c>
      <c r="AE119" s="6">
        <f t="shared" si="9"/>
        <v>0</v>
      </c>
      <c r="AF119" s="4" t="s">
        <v>1000</v>
      </c>
    </row>
    <row r="120" spans="1:32" ht="11.25" customHeight="1" x14ac:dyDescent="0.25">
      <c r="A120" s="4" t="s">
        <v>21</v>
      </c>
      <c r="B120" s="4" t="s">
        <v>39</v>
      </c>
      <c r="C120" s="4" t="s">
        <v>66</v>
      </c>
      <c r="D120" s="4" t="s">
        <v>25</v>
      </c>
      <c r="E120" s="4" t="s">
        <v>25</v>
      </c>
      <c r="F120" s="4" t="s">
        <v>25</v>
      </c>
      <c r="G120" s="4" t="s">
        <v>71</v>
      </c>
      <c r="H120" s="4" t="s">
        <v>25</v>
      </c>
      <c r="I120" s="5">
        <v>44501</v>
      </c>
      <c r="J120" s="6">
        <v>10050</v>
      </c>
      <c r="K120" s="6">
        <v>5025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68</v>
      </c>
      <c r="R120" s="4">
        <v>29041</v>
      </c>
      <c r="S120" s="4">
        <v>16</v>
      </c>
      <c r="T120" s="4">
        <v>0</v>
      </c>
      <c r="U120" s="4">
        <v>0</v>
      </c>
      <c r="V120" s="6">
        <f>IF(ISERROR(VLOOKUP($S$120,'TAR FIN'!$A$1:$O$104,15,0)),0,VLOOKUP($S$120,'TAR FIN'!$A$1:$O$104,15,0))</f>
        <v>12.9</v>
      </c>
      <c r="W120" s="6">
        <f>IF(ISERROR(VLOOKUP($T$120,'TAR FIN'!$A$1:$O$104,15,0)),0,VLOOKUP($T$120,'TAR FIN'!$A$1:$O$104,15,0))</f>
        <v>0</v>
      </c>
      <c r="X120" s="6">
        <f>IF(ISERROR(VLOOKUP($U$120,'TAR FIN'!$A$1:$O$104,15,0)),0,VLOOKUP($U$120,'TAR FIN'!$A$1:$O$104,15,0))</f>
        <v>0</v>
      </c>
      <c r="Y120" s="6">
        <f ca="1">('TUSD BE'!$AM$12+'TUSD BF'!$AM$12+'TUSD CVA'!$AM$12)*1</f>
        <v>12.796774750698974</v>
      </c>
      <c r="Z120" s="6"/>
      <c r="AA120" s="6"/>
      <c r="AB120" s="6">
        <f t="shared" si="6"/>
        <v>64822.5</v>
      </c>
      <c r="AC120" s="6">
        <f t="shared" si="7"/>
        <v>0</v>
      </c>
      <c r="AD120" s="6">
        <f t="shared" ca="1" si="8"/>
        <v>64303.793122262345</v>
      </c>
      <c r="AE120" s="6">
        <f t="shared" si="9"/>
        <v>0</v>
      </c>
      <c r="AF120" s="4" t="s">
        <v>1000</v>
      </c>
    </row>
    <row r="121" spans="1:32" ht="11.25" customHeight="1" x14ac:dyDescent="0.25">
      <c r="A121" s="4" t="s">
        <v>21</v>
      </c>
      <c r="B121" s="4" t="s">
        <v>39</v>
      </c>
      <c r="C121" s="4" t="s">
        <v>66</v>
      </c>
      <c r="D121" s="4" t="s">
        <v>25</v>
      </c>
      <c r="E121" s="4" t="s">
        <v>25</v>
      </c>
      <c r="F121" s="4" t="s">
        <v>25</v>
      </c>
      <c r="G121" s="4" t="s">
        <v>73</v>
      </c>
      <c r="H121" s="4" t="s">
        <v>25</v>
      </c>
      <c r="I121" s="5">
        <v>44501</v>
      </c>
      <c r="J121" s="6">
        <v>44450</v>
      </c>
      <c r="K121" s="6">
        <v>22225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68</v>
      </c>
      <c r="R121" s="4">
        <v>29092</v>
      </c>
      <c r="S121" s="4">
        <v>16</v>
      </c>
      <c r="T121" s="4">
        <v>0</v>
      </c>
      <c r="U121" s="4">
        <v>0</v>
      </c>
      <c r="V121" s="6">
        <f>IF(ISERROR(VLOOKUP($S$121,'TAR FIN'!$A$1:$O$104,15,0)),0,VLOOKUP($S$121,'TAR FIN'!$A$1:$O$104,15,0))</f>
        <v>12.9</v>
      </c>
      <c r="W121" s="6">
        <f>IF(ISERROR(VLOOKUP($T$121,'TAR FIN'!$A$1:$O$104,15,0)),0,VLOOKUP($T$121,'TAR FIN'!$A$1:$O$104,15,0))</f>
        <v>0</v>
      </c>
      <c r="X121" s="6">
        <f>IF(ISERROR(VLOOKUP($U$121,'TAR FIN'!$A$1:$O$104,15,0)),0,VLOOKUP($U$121,'TAR FIN'!$A$1:$O$104,15,0))</f>
        <v>0</v>
      </c>
      <c r="Y121" s="6">
        <f ca="1">('TUSD BE'!$AM$12+'TUSD BF'!$AM$12+'TUSD CVA'!$AM$12)*1</f>
        <v>12.796774750698974</v>
      </c>
      <c r="Z121" s="6"/>
      <c r="AA121" s="6"/>
      <c r="AB121" s="6">
        <f t="shared" si="6"/>
        <v>286702.5</v>
      </c>
      <c r="AC121" s="6">
        <f t="shared" si="7"/>
        <v>0</v>
      </c>
      <c r="AD121" s="6">
        <f t="shared" ca="1" si="8"/>
        <v>284408.31883428473</v>
      </c>
      <c r="AE121" s="6">
        <f t="shared" si="9"/>
        <v>0</v>
      </c>
      <c r="AF121" s="4" t="s">
        <v>1000</v>
      </c>
    </row>
    <row r="122" spans="1:32" ht="11.25" customHeight="1" x14ac:dyDescent="0.25">
      <c r="A122" s="4" t="s">
        <v>21</v>
      </c>
      <c r="B122" s="4" t="s">
        <v>39</v>
      </c>
      <c r="C122" s="4" t="s">
        <v>66</v>
      </c>
      <c r="D122" s="4" t="s">
        <v>25</v>
      </c>
      <c r="E122" s="4" t="s">
        <v>25</v>
      </c>
      <c r="F122" s="4" t="s">
        <v>25</v>
      </c>
      <c r="G122" s="4" t="s">
        <v>75</v>
      </c>
      <c r="H122" s="4" t="s">
        <v>25</v>
      </c>
      <c r="I122" s="5">
        <v>44501</v>
      </c>
      <c r="J122" s="6">
        <v>30000</v>
      </c>
      <c r="K122" s="6">
        <v>15000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68</v>
      </c>
      <c r="R122" s="4">
        <v>33663</v>
      </c>
      <c r="S122" s="4">
        <v>16</v>
      </c>
      <c r="T122" s="4">
        <v>0</v>
      </c>
      <c r="U122" s="4">
        <v>0</v>
      </c>
      <c r="V122" s="6">
        <f>IF(ISERROR(VLOOKUP($S$122,'TAR FIN'!$A$1:$O$104,15,0)),0,VLOOKUP($S$122,'TAR FIN'!$A$1:$O$104,15,0))</f>
        <v>12.9</v>
      </c>
      <c r="W122" s="6">
        <f>IF(ISERROR(VLOOKUP($T$122,'TAR FIN'!$A$1:$O$104,15,0)),0,VLOOKUP($T$122,'TAR FIN'!$A$1:$O$104,15,0))</f>
        <v>0</v>
      </c>
      <c r="X122" s="6">
        <f>IF(ISERROR(VLOOKUP($U$122,'TAR FIN'!$A$1:$O$104,15,0)),0,VLOOKUP($U$122,'TAR FIN'!$A$1:$O$104,15,0))</f>
        <v>0</v>
      </c>
      <c r="Y122" s="6">
        <f ca="1">('TUSD BE'!$AM$12+'TUSD BF'!$AM$12+'TUSD CVA'!$AM$12)*1</f>
        <v>12.796774750698974</v>
      </c>
      <c r="Z122" s="6"/>
      <c r="AA122" s="6"/>
      <c r="AB122" s="6">
        <f t="shared" si="6"/>
        <v>193500</v>
      </c>
      <c r="AC122" s="6">
        <f t="shared" si="7"/>
        <v>0</v>
      </c>
      <c r="AD122" s="6">
        <f t="shared" ca="1" si="8"/>
        <v>191951.62126048462</v>
      </c>
      <c r="AE122" s="6">
        <f t="shared" si="9"/>
        <v>0</v>
      </c>
      <c r="AF122" s="4" t="s">
        <v>1000</v>
      </c>
    </row>
    <row r="123" spans="1:32" ht="11.25" customHeight="1" x14ac:dyDescent="0.25">
      <c r="A123" s="4" t="s">
        <v>21</v>
      </c>
      <c r="B123" s="4" t="s">
        <v>39</v>
      </c>
      <c r="C123" s="4" t="s">
        <v>66</v>
      </c>
      <c r="D123" s="4" t="s">
        <v>25</v>
      </c>
      <c r="E123" s="4" t="s">
        <v>25</v>
      </c>
      <c r="F123" s="4" t="s">
        <v>25</v>
      </c>
      <c r="G123" s="4" t="s">
        <v>76</v>
      </c>
      <c r="H123" s="4" t="s">
        <v>25</v>
      </c>
      <c r="I123" s="5">
        <v>44501</v>
      </c>
      <c r="J123" s="6">
        <v>30000</v>
      </c>
      <c r="K123" s="6">
        <v>15000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68</v>
      </c>
      <c r="R123" s="4">
        <v>33664</v>
      </c>
      <c r="S123" s="4">
        <v>16</v>
      </c>
      <c r="T123" s="4">
        <v>0</v>
      </c>
      <c r="U123" s="4">
        <v>0</v>
      </c>
      <c r="V123" s="6">
        <f>IF(ISERROR(VLOOKUP($S$123,'TAR FIN'!$A$1:$O$104,15,0)),0,VLOOKUP($S$123,'TAR FIN'!$A$1:$O$104,15,0))</f>
        <v>12.9</v>
      </c>
      <c r="W123" s="6">
        <f>IF(ISERROR(VLOOKUP($T$123,'TAR FIN'!$A$1:$O$104,15,0)),0,VLOOKUP($T$123,'TAR FIN'!$A$1:$O$104,15,0))</f>
        <v>0</v>
      </c>
      <c r="X123" s="6">
        <f>IF(ISERROR(VLOOKUP($U$123,'TAR FIN'!$A$1:$O$104,15,0)),0,VLOOKUP($U$123,'TAR FIN'!$A$1:$O$104,15,0))</f>
        <v>0</v>
      </c>
      <c r="Y123" s="6">
        <f ca="1">('TUSD BE'!$AM$12+'TUSD BF'!$AM$12+'TUSD CVA'!$AM$12)*1</f>
        <v>12.796774750698974</v>
      </c>
      <c r="Z123" s="6"/>
      <c r="AA123" s="6"/>
      <c r="AB123" s="6">
        <f t="shared" si="6"/>
        <v>193500</v>
      </c>
      <c r="AC123" s="6">
        <f t="shared" si="7"/>
        <v>0</v>
      </c>
      <c r="AD123" s="6">
        <f t="shared" ca="1" si="8"/>
        <v>191951.62126048462</v>
      </c>
      <c r="AE123" s="6">
        <f t="shared" si="9"/>
        <v>0</v>
      </c>
      <c r="AF123" s="4" t="s">
        <v>1000</v>
      </c>
    </row>
    <row r="124" spans="1:32" ht="11.25" customHeight="1" x14ac:dyDescent="0.25">
      <c r="A124" s="4" t="s">
        <v>21</v>
      </c>
      <c r="B124" s="4" t="s">
        <v>39</v>
      </c>
      <c r="C124" s="4" t="s">
        <v>66</v>
      </c>
      <c r="D124" s="4" t="s">
        <v>25</v>
      </c>
      <c r="E124" s="4" t="s">
        <v>25</v>
      </c>
      <c r="F124" s="4" t="s">
        <v>25</v>
      </c>
      <c r="G124" s="4" t="s">
        <v>77</v>
      </c>
      <c r="H124" s="4" t="s">
        <v>25</v>
      </c>
      <c r="I124" s="5">
        <v>44501</v>
      </c>
      <c r="J124" s="6">
        <v>30000</v>
      </c>
      <c r="K124" s="6">
        <v>15000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68</v>
      </c>
      <c r="R124" s="4">
        <v>33665</v>
      </c>
      <c r="S124" s="4">
        <v>16</v>
      </c>
      <c r="T124" s="4">
        <v>0</v>
      </c>
      <c r="U124" s="4">
        <v>0</v>
      </c>
      <c r="V124" s="6">
        <f>IF(ISERROR(VLOOKUP($S$124,'TAR FIN'!$A$1:$O$104,15,0)),0,VLOOKUP($S$124,'TAR FIN'!$A$1:$O$104,15,0))</f>
        <v>12.9</v>
      </c>
      <c r="W124" s="6">
        <f>IF(ISERROR(VLOOKUP($T$124,'TAR FIN'!$A$1:$O$104,15,0)),0,VLOOKUP($T$124,'TAR FIN'!$A$1:$O$104,15,0))</f>
        <v>0</v>
      </c>
      <c r="X124" s="6">
        <f>IF(ISERROR(VLOOKUP($U$124,'TAR FIN'!$A$1:$O$104,15,0)),0,VLOOKUP($U$124,'TAR FIN'!$A$1:$O$104,15,0))</f>
        <v>0</v>
      </c>
      <c r="Y124" s="6">
        <f ca="1">('TUSD BE'!$AM$12+'TUSD BF'!$AM$12+'TUSD CVA'!$AM$12)*1</f>
        <v>12.796774750698974</v>
      </c>
      <c r="Z124" s="6"/>
      <c r="AA124" s="6"/>
      <c r="AB124" s="6">
        <f t="shared" si="6"/>
        <v>193500</v>
      </c>
      <c r="AC124" s="6">
        <f t="shared" si="7"/>
        <v>0</v>
      </c>
      <c r="AD124" s="6">
        <f t="shared" ca="1" si="8"/>
        <v>191951.62126048462</v>
      </c>
      <c r="AE124" s="6">
        <f t="shared" si="9"/>
        <v>0</v>
      </c>
      <c r="AF124" s="4" t="s">
        <v>1000</v>
      </c>
    </row>
    <row r="125" spans="1:32" ht="11.25" customHeight="1" x14ac:dyDescent="0.25">
      <c r="A125" s="4" t="s">
        <v>21</v>
      </c>
      <c r="B125" s="4" t="s">
        <v>39</v>
      </c>
      <c r="C125" s="4" t="s">
        <v>66</v>
      </c>
      <c r="D125" s="4" t="s">
        <v>25</v>
      </c>
      <c r="E125" s="4" t="s">
        <v>25</v>
      </c>
      <c r="F125" s="4" t="s">
        <v>25</v>
      </c>
      <c r="G125" s="4" t="s">
        <v>78</v>
      </c>
      <c r="H125" s="4" t="s">
        <v>25</v>
      </c>
      <c r="I125" s="5">
        <v>44501</v>
      </c>
      <c r="J125" s="6">
        <v>27000</v>
      </c>
      <c r="K125" s="6">
        <v>13500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68</v>
      </c>
      <c r="R125" s="4">
        <v>34085</v>
      </c>
      <c r="S125" s="4">
        <v>16</v>
      </c>
      <c r="T125" s="4">
        <v>0</v>
      </c>
      <c r="U125" s="4">
        <v>0</v>
      </c>
      <c r="V125" s="6">
        <f>IF(ISERROR(VLOOKUP($S$125,'TAR FIN'!$A$1:$O$104,15,0)),0,VLOOKUP($S$125,'TAR FIN'!$A$1:$O$104,15,0))</f>
        <v>12.9</v>
      </c>
      <c r="W125" s="6">
        <f>IF(ISERROR(VLOOKUP($T$125,'TAR FIN'!$A$1:$O$104,15,0)),0,VLOOKUP($T$125,'TAR FIN'!$A$1:$O$104,15,0))</f>
        <v>0</v>
      </c>
      <c r="X125" s="6">
        <f>IF(ISERROR(VLOOKUP($U$125,'TAR FIN'!$A$1:$O$104,15,0)),0,VLOOKUP($U$125,'TAR FIN'!$A$1:$O$104,15,0))</f>
        <v>0</v>
      </c>
      <c r="Y125" s="6">
        <f ca="1">('TUSD BE'!$AM$12+'TUSD BF'!$AM$12+'TUSD CVA'!$AM$12)*1</f>
        <v>12.796774750698974</v>
      </c>
      <c r="Z125" s="6"/>
      <c r="AA125" s="6"/>
      <c r="AB125" s="6">
        <f t="shared" si="6"/>
        <v>174150</v>
      </c>
      <c r="AC125" s="6">
        <f t="shared" si="7"/>
        <v>0</v>
      </c>
      <c r="AD125" s="6">
        <f t="shared" ca="1" si="8"/>
        <v>172756.45913443615</v>
      </c>
      <c r="AE125" s="6">
        <f t="shared" si="9"/>
        <v>0</v>
      </c>
      <c r="AF125" s="4" t="s">
        <v>1000</v>
      </c>
    </row>
    <row r="126" spans="1:32" ht="11.25" customHeight="1" x14ac:dyDescent="0.25">
      <c r="A126" s="4" t="s">
        <v>21</v>
      </c>
      <c r="B126" s="4" t="s">
        <v>39</v>
      </c>
      <c r="C126" s="4" t="s">
        <v>66</v>
      </c>
      <c r="D126" s="4" t="s">
        <v>25</v>
      </c>
      <c r="E126" s="4" t="s">
        <v>25</v>
      </c>
      <c r="F126" s="4" t="s">
        <v>25</v>
      </c>
      <c r="G126" s="4" t="s">
        <v>79</v>
      </c>
      <c r="H126" s="4" t="s">
        <v>25</v>
      </c>
      <c r="I126" s="5">
        <v>44501</v>
      </c>
      <c r="J126" s="6">
        <v>27000</v>
      </c>
      <c r="K126" s="6">
        <v>13500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68</v>
      </c>
      <c r="R126" s="4">
        <v>34086</v>
      </c>
      <c r="S126" s="4">
        <v>16</v>
      </c>
      <c r="T126" s="4">
        <v>0</v>
      </c>
      <c r="U126" s="4">
        <v>0</v>
      </c>
      <c r="V126" s="6">
        <f>IF(ISERROR(VLOOKUP($S$126,'TAR FIN'!$A$1:$O$104,15,0)),0,VLOOKUP($S$126,'TAR FIN'!$A$1:$O$104,15,0))</f>
        <v>12.9</v>
      </c>
      <c r="W126" s="6">
        <f>IF(ISERROR(VLOOKUP($T$126,'TAR FIN'!$A$1:$O$104,15,0)),0,VLOOKUP($T$126,'TAR FIN'!$A$1:$O$104,15,0))</f>
        <v>0</v>
      </c>
      <c r="X126" s="6">
        <f>IF(ISERROR(VLOOKUP($U$126,'TAR FIN'!$A$1:$O$104,15,0)),0,VLOOKUP($U$126,'TAR FIN'!$A$1:$O$104,15,0))</f>
        <v>0</v>
      </c>
      <c r="Y126" s="6">
        <f ca="1">('TUSD BE'!$AM$12+'TUSD BF'!$AM$12+'TUSD CVA'!$AM$12)*1</f>
        <v>12.796774750698974</v>
      </c>
      <c r="Z126" s="6"/>
      <c r="AA126" s="6"/>
      <c r="AB126" s="6">
        <f t="shared" si="6"/>
        <v>174150</v>
      </c>
      <c r="AC126" s="6">
        <f t="shared" si="7"/>
        <v>0</v>
      </c>
      <c r="AD126" s="6">
        <f t="shared" ca="1" si="8"/>
        <v>172756.45913443615</v>
      </c>
      <c r="AE126" s="6">
        <f t="shared" si="9"/>
        <v>0</v>
      </c>
      <c r="AF126" s="4" t="s">
        <v>1000</v>
      </c>
    </row>
    <row r="127" spans="1:32" ht="11.25" customHeight="1" x14ac:dyDescent="0.25">
      <c r="A127" s="4" t="s">
        <v>21</v>
      </c>
      <c r="B127" s="4" t="s">
        <v>39</v>
      </c>
      <c r="C127" s="4" t="s">
        <v>66</v>
      </c>
      <c r="D127" s="4" t="s">
        <v>25</v>
      </c>
      <c r="E127" s="4" t="s">
        <v>25</v>
      </c>
      <c r="F127" s="4" t="s">
        <v>25</v>
      </c>
      <c r="G127" s="4" t="s">
        <v>67</v>
      </c>
      <c r="H127" s="4" t="s">
        <v>25</v>
      </c>
      <c r="I127" s="5">
        <v>44531</v>
      </c>
      <c r="J127" s="6">
        <v>3500</v>
      </c>
      <c r="K127" s="6">
        <v>3500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68</v>
      </c>
      <c r="R127" s="4">
        <v>27402</v>
      </c>
      <c r="S127" s="4">
        <v>16</v>
      </c>
      <c r="T127" s="4">
        <v>0</v>
      </c>
      <c r="U127" s="4">
        <v>0</v>
      </c>
      <c r="V127" s="6">
        <f>IF(ISERROR(VLOOKUP($S$127,'TAR FIN'!$A$1:$O$104,15,0)),0,VLOOKUP($S$127,'TAR FIN'!$A$1:$O$104,15,0))</f>
        <v>12.9</v>
      </c>
      <c r="W127" s="6">
        <f>IF(ISERROR(VLOOKUP($T$127,'TAR FIN'!$A$1:$O$104,15,0)),0,VLOOKUP($T$127,'TAR FIN'!$A$1:$O$104,15,0))</f>
        <v>0</v>
      </c>
      <c r="X127" s="6">
        <f>IF(ISERROR(VLOOKUP($U$127,'TAR FIN'!$A$1:$O$104,15,0)),0,VLOOKUP($U$127,'TAR FIN'!$A$1:$O$104,15,0))</f>
        <v>0</v>
      </c>
      <c r="Y127" s="6">
        <f ca="1">('TUSD BE'!$AM$12+'TUSD BF'!$AM$12+'TUSD CVA'!$AM$12)*1</f>
        <v>12.796774750698974</v>
      </c>
      <c r="Z127" s="6"/>
      <c r="AA127" s="6"/>
      <c r="AB127" s="6">
        <f t="shared" si="6"/>
        <v>0</v>
      </c>
      <c r="AC127" s="6">
        <f t="shared" si="7"/>
        <v>0</v>
      </c>
      <c r="AD127" s="6">
        <f t="shared" ca="1" si="8"/>
        <v>0</v>
      </c>
      <c r="AE127" s="6">
        <f t="shared" si="9"/>
        <v>0</v>
      </c>
      <c r="AF127" s="4" t="s">
        <v>1000</v>
      </c>
    </row>
    <row r="128" spans="1:32" ht="11.25" customHeight="1" x14ac:dyDescent="0.25">
      <c r="A128" s="4" t="s">
        <v>21</v>
      </c>
      <c r="B128" s="4" t="s">
        <v>39</v>
      </c>
      <c r="C128" s="4" t="s">
        <v>66</v>
      </c>
      <c r="D128" s="4" t="s">
        <v>25</v>
      </c>
      <c r="E128" s="4" t="s">
        <v>25</v>
      </c>
      <c r="F128" s="4" t="s">
        <v>25</v>
      </c>
      <c r="G128" s="4" t="s">
        <v>69</v>
      </c>
      <c r="H128" s="4" t="s">
        <v>25</v>
      </c>
      <c r="I128" s="5">
        <v>44531</v>
      </c>
      <c r="J128" s="6">
        <v>3322</v>
      </c>
      <c r="K128" s="6">
        <v>1661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68</v>
      </c>
      <c r="R128" s="4">
        <v>28515</v>
      </c>
      <c r="S128" s="4">
        <v>16</v>
      </c>
      <c r="T128" s="4">
        <v>0</v>
      </c>
      <c r="U128" s="4">
        <v>0</v>
      </c>
      <c r="V128" s="6">
        <f>IF(ISERROR(VLOOKUP($S$128,'TAR FIN'!$A$1:$O$104,15,0)),0,VLOOKUP($S$128,'TAR FIN'!$A$1:$O$104,15,0))</f>
        <v>12.9</v>
      </c>
      <c r="W128" s="6">
        <f>IF(ISERROR(VLOOKUP($T$128,'TAR FIN'!$A$1:$O$104,15,0)),0,VLOOKUP($T$128,'TAR FIN'!$A$1:$O$104,15,0))</f>
        <v>0</v>
      </c>
      <c r="X128" s="6">
        <f>IF(ISERROR(VLOOKUP($U$128,'TAR FIN'!$A$1:$O$104,15,0)),0,VLOOKUP($U$128,'TAR FIN'!$A$1:$O$104,15,0))</f>
        <v>0</v>
      </c>
      <c r="Y128" s="6">
        <f ca="1">('TUSD BE'!$AM$12+'TUSD BF'!$AM$12+'TUSD CVA'!$AM$12)*1</f>
        <v>12.796774750698974</v>
      </c>
      <c r="Z128" s="6"/>
      <c r="AA128" s="6"/>
      <c r="AB128" s="6">
        <f t="shared" si="6"/>
        <v>21426.9</v>
      </c>
      <c r="AC128" s="6">
        <f t="shared" si="7"/>
        <v>0</v>
      </c>
      <c r="AD128" s="6">
        <f t="shared" ca="1" si="8"/>
        <v>21255.442860910996</v>
      </c>
      <c r="AE128" s="6">
        <f t="shared" si="9"/>
        <v>0</v>
      </c>
      <c r="AF128" s="4" t="s">
        <v>1000</v>
      </c>
    </row>
    <row r="129" spans="1:32" ht="11.25" customHeight="1" x14ac:dyDescent="0.25">
      <c r="A129" s="4" t="s">
        <v>21</v>
      </c>
      <c r="B129" s="4" t="s">
        <v>39</v>
      </c>
      <c r="C129" s="4" t="s">
        <v>66</v>
      </c>
      <c r="D129" s="4" t="s">
        <v>25</v>
      </c>
      <c r="E129" s="4" t="s">
        <v>25</v>
      </c>
      <c r="F129" s="4" t="s">
        <v>25</v>
      </c>
      <c r="G129" s="4" t="s">
        <v>70</v>
      </c>
      <c r="H129" s="4" t="s">
        <v>25</v>
      </c>
      <c r="I129" s="5">
        <v>44531</v>
      </c>
      <c r="J129" s="6">
        <v>12140</v>
      </c>
      <c r="K129" s="6">
        <v>6070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68</v>
      </c>
      <c r="R129" s="4">
        <v>28957</v>
      </c>
      <c r="S129" s="4">
        <v>16</v>
      </c>
      <c r="T129" s="4">
        <v>0</v>
      </c>
      <c r="U129" s="4">
        <v>0</v>
      </c>
      <c r="V129" s="6">
        <f>IF(ISERROR(VLOOKUP($S$129,'TAR FIN'!$A$1:$O$104,15,0)),0,VLOOKUP($S$129,'TAR FIN'!$A$1:$O$104,15,0))</f>
        <v>12.9</v>
      </c>
      <c r="W129" s="6">
        <f>IF(ISERROR(VLOOKUP($T$129,'TAR FIN'!$A$1:$O$104,15,0)),0,VLOOKUP($T$129,'TAR FIN'!$A$1:$O$104,15,0))</f>
        <v>0</v>
      </c>
      <c r="X129" s="6">
        <f>IF(ISERROR(VLOOKUP($U$129,'TAR FIN'!$A$1:$O$104,15,0)),0,VLOOKUP($U$129,'TAR FIN'!$A$1:$O$104,15,0))</f>
        <v>0</v>
      </c>
      <c r="Y129" s="6">
        <f ca="1">('TUSD BE'!$AM$12+'TUSD BF'!$AM$12+'TUSD CVA'!$AM$12)*1</f>
        <v>12.796774750698974</v>
      </c>
      <c r="Z129" s="6"/>
      <c r="AA129" s="6"/>
      <c r="AB129" s="6">
        <f t="shared" si="6"/>
        <v>78303</v>
      </c>
      <c r="AC129" s="6">
        <f t="shared" si="7"/>
        <v>0</v>
      </c>
      <c r="AD129" s="6">
        <f t="shared" ca="1" si="8"/>
        <v>77676.422736742767</v>
      </c>
      <c r="AE129" s="6">
        <f t="shared" si="9"/>
        <v>0</v>
      </c>
      <c r="AF129" s="4" t="s">
        <v>1000</v>
      </c>
    </row>
    <row r="130" spans="1:32" ht="11.25" customHeight="1" x14ac:dyDescent="0.25">
      <c r="A130" s="4" t="s">
        <v>21</v>
      </c>
      <c r="B130" s="4" t="s">
        <v>39</v>
      </c>
      <c r="C130" s="4" t="s">
        <v>66</v>
      </c>
      <c r="D130" s="4" t="s">
        <v>25</v>
      </c>
      <c r="E130" s="4" t="s">
        <v>25</v>
      </c>
      <c r="F130" s="4" t="s">
        <v>25</v>
      </c>
      <c r="G130" s="4" t="s">
        <v>71</v>
      </c>
      <c r="H130" s="4" t="s">
        <v>25</v>
      </c>
      <c r="I130" s="5">
        <v>44531</v>
      </c>
      <c r="J130" s="6">
        <v>10050</v>
      </c>
      <c r="K130" s="6">
        <v>5025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68</v>
      </c>
      <c r="R130" s="4">
        <v>29041</v>
      </c>
      <c r="S130" s="4">
        <v>16</v>
      </c>
      <c r="T130" s="4">
        <v>0</v>
      </c>
      <c r="U130" s="4">
        <v>0</v>
      </c>
      <c r="V130" s="6">
        <f>IF(ISERROR(VLOOKUP($S$130,'TAR FIN'!$A$1:$O$104,15,0)),0,VLOOKUP($S$130,'TAR FIN'!$A$1:$O$104,15,0))</f>
        <v>12.9</v>
      </c>
      <c r="W130" s="6">
        <f>IF(ISERROR(VLOOKUP($T$130,'TAR FIN'!$A$1:$O$104,15,0)),0,VLOOKUP($T$130,'TAR FIN'!$A$1:$O$104,15,0))</f>
        <v>0</v>
      </c>
      <c r="X130" s="6">
        <f>IF(ISERROR(VLOOKUP($U$130,'TAR FIN'!$A$1:$O$104,15,0)),0,VLOOKUP($U$130,'TAR FIN'!$A$1:$O$104,15,0))</f>
        <v>0</v>
      </c>
      <c r="Y130" s="6">
        <f ca="1">('TUSD BE'!$AM$12+'TUSD BF'!$AM$12+'TUSD CVA'!$AM$12)*1</f>
        <v>12.796774750698974</v>
      </c>
      <c r="Z130" s="6"/>
      <c r="AA130" s="6"/>
      <c r="AB130" s="6">
        <f t="shared" ref="AB130:AB193" si="10">(J130-K130)*V130</f>
        <v>64822.5</v>
      </c>
      <c r="AC130" s="6">
        <f t="shared" ref="AC130:AC193" si="11">(L130-M130)*W130+(N130-O130)*X130</f>
        <v>0</v>
      </c>
      <c r="AD130" s="6">
        <f t="shared" ref="AD130:AD193" ca="1" si="12">(J130-K130)*Y130</f>
        <v>64303.793122262345</v>
      </c>
      <c r="AE130" s="6">
        <f t="shared" ref="AE130:AE193" si="13">(L130-M130)*Z130+(N130-O130)*AA130</f>
        <v>0</v>
      </c>
      <c r="AF130" s="4" t="s">
        <v>1000</v>
      </c>
    </row>
    <row r="131" spans="1:32" ht="11.25" customHeight="1" x14ac:dyDescent="0.25">
      <c r="A131" s="4" t="s">
        <v>21</v>
      </c>
      <c r="B131" s="4" t="s">
        <v>39</v>
      </c>
      <c r="C131" s="4" t="s">
        <v>66</v>
      </c>
      <c r="D131" s="4" t="s">
        <v>25</v>
      </c>
      <c r="E131" s="4" t="s">
        <v>25</v>
      </c>
      <c r="F131" s="4" t="s">
        <v>25</v>
      </c>
      <c r="G131" s="4" t="s">
        <v>73</v>
      </c>
      <c r="H131" s="4" t="s">
        <v>25</v>
      </c>
      <c r="I131" s="5">
        <v>44531</v>
      </c>
      <c r="J131" s="6">
        <v>44450</v>
      </c>
      <c r="K131" s="6">
        <v>22225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68</v>
      </c>
      <c r="R131" s="4">
        <v>29092</v>
      </c>
      <c r="S131" s="4">
        <v>16</v>
      </c>
      <c r="T131" s="4">
        <v>0</v>
      </c>
      <c r="U131" s="4">
        <v>0</v>
      </c>
      <c r="V131" s="6">
        <f>IF(ISERROR(VLOOKUP($S$131,'TAR FIN'!$A$1:$O$104,15,0)),0,VLOOKUP($S$131,'TAR FIN'!$A$1:$O$104,15,0))</f>
        <v>12.9</v>
      </c>
      <c r="W131" s="6">
        <f>IF(ISERROR(VLOOKUP($T$131,'TAR FIN'!$A$1:$O$104,15,0)),0,VLOOKUP($T$131,'TAR FIN'!$A$1:$O$104,15,0))</f>
        <v>0</v>
      </c>
      <c r="X131" s="6">
        <f>IF(ISERROR(VLOOKUP($U$131,'TAR FIN'!$A$1:$O$104,15,0)),0,VLOOKUP($U$131,'TAR FIN'!$A$1:$O$104,15,0))</f>
        <v>0</v>
      </c>
      <c r="Y131" s="6">
        <f ca="1">('TUSD BE'!$AM$12+'TUSD BF'!$AM$12+'TUSD CVA'!$AM$12)*1</f>
        <v>12.796774750698974</v>
      </c>
      <c r="Z131" s="6"/>
      <c r="AA131" s="6"/>
      <c r="AB131" s="6">
        <f t="shared" si="10"/>
        <v>286702.5</v>
      </c>
      <c r="AC131" s="6">
        <f t="shared" si="11"/>
        <v>0</v>
      </c>
      <c r="AD131" s="6">
        <f t="shared" ca="1" si="12"/>
        <v>284408.31883428473</v>
      </c>
      <c r="AE131" s="6">
        <f t="shared" si="13"/>
        <v>0</v>
      </c>
      <c r="AF131" s="4" t="s">
        <v>1000</v>
      </c>
    </row>
    <row r="132" spans="1:32" ht="11.25" customHeight="1" x14ac:dyDescent="0.25">
      <c r="A132" s="4" t="s">
        <v>21</v>
      </c>
      <c r="B132" s="4" t="s">
        <v>39</v>
      </c>
      <c r="C132" s="4" t="s">
        <v>66</v>
      </c>
      <c r="D132" s="4" t="s">
        <v>25</v>
      </c>
      <c r="E132" s="4" t="s">
        <v>25</v>
      </c>
      <c r="F132" s="4" t="s">
        <v>25</v>
      </c>
      <c r="G132" s="4" t="s">
        <v>75</v>
      </c>
      <c r="H132" s="4" t="s">
        <v>25</v>
      </c>
      <c r="I132" s="5">
        <v>44531</v>
      </c>
      <c r="J132" s="6">
        <v>30000</v>
      </c>
      <c r="K132" s="6">
        <v>15000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68</v>
      </c>
      <c r="R132" s="4">
        <v>33663</v>
      </c>
      <c r="S132" s="4">
        <v>16</v>
      </c>
      <c r="T132" s="4">
        <v>0</v>
      </c>
      <c r="U132" s="4">
        <v>0</v>
      </c>
      <c r="V132" s="6">
        <f>IF(ISERROR(VLOOKUP($S$132,'TAR FIN'!$A$1:$O$104,15,0)),0,VLOOKUP($S$132,'TAR FIN'!$A$1:$O$104,15,0))</f>
        <v>12.9</v>
      </c>
      <c r="W132" s="6">
        <f>IF(ISERROR(VLOOKUP($T$132,'TAR FIN'!$A$1:$O$104,15,0)),0,VLOOKUP($T$132,'TAR FIN'!$A$1:$O$104,15,0))</f>
        <v>0</v>
      </c>
      <c r="X132" s="6">
        <f>IF(ISERROR(VLOOKUP($U$132,'TAR FIN'!$A$1:$O$104,15,0)),0,VLOOKUP($U$132,'TAR FIN'!$A$1:$O$104,15,0))</f>
        <v>0</v>
      </c>
      <c r="Y132" s="6">
        <f ca="1">('TUSD BE'!$AM$12+'TUSD BF'!$AM$12+'TUSD CVA'!$AM$12)*1</f>
        <v>12.796774750698974</v>
      </c>
      <c r="Z132" s="6"/>
      <c r="AA132" s="6"/>
      <c r="AB132" s="6">
        <f t="shared" si="10"/>
        <v>193500</v>
      </c>
      <c r="AC132" s="6">
        <f t="shared" si="11"/>
        <v>0</v>
      </c>
      <c r="AD132" s="6">
        <f t="shared" ca="1" si="12"/>
        <v>191951.62126048462</v>
      </c>
      <c r="AE132" s="6">
        <f t="shared" si="13"/>
        <v>0</v>
      </c>
      <c r="AF132" s="4" t="s">
        <v>1000</v>
      </c>
    </row>
    <row r="133" spans="1:32" ht="11.25" customHeight="1" x14ac:dyDescent="0.25">
      <c r="A133" s="4" t="s">
        <v>21</v>
      </c>
      <c r="B133" s="4" t="s">
        <v>39</v>
      </c>
      <c r="C133" s="4" t="s">
        <v>66</v>
      </c>
      <c r="D133" s="4" t="s">
        <v>25</v>
      </c>
      <c r="E133" s="4" t="s">
        <v>25</v>
      </c>
      <c r="F133" s="4" t="s">
        <v>25</v>
      </c>
      <c r="G133" s="4" t="s">
        <v>76</v>
      </c>
      <c r="H133" s="4" t="s">
        <v>25</v>
      </c>
      <c r="I133" s="5">
        <v>44531</v>
      </c>
      <c r="J133" s="6">
        <v>30000</v>
      </c>
      <c r="K133" s="6">
        <v>15000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68</v>
      </c>
      <c r="R133" s="4">
        <v>33664</v>
      </c>
      <c r="S133" s="4">
        <v>16</v>
      </c>
      <c r="T133" s="4">
        <v>0</v>
      </c>
      <c r="U133" s="4">
        <v>0</v>
      </c>
      <c r="V133" s="6">
        <f>IF(ISERROR(VLOOKUP($S$133,'TAR FIN'!$A$1:$O$104,15,0)),0,VLOOKUP($S$133,'TAR FIN'!$A$1:$O$104,15,0))</f>
        <v>12.9</v>
      </c>
      <c r="W133" s="6">
        <f>IF(ISERROR(VLOOKUP($T$133,'TAR FIN'!$A$1:$O$104,15,0)),0,VLOOKUP($T$133,'TAR FIN'!$A$1:$O$104,15,0))</f>
        <v>0</v>
      </c>
      <c r="X133" s="6">
        <f>IF(ISERROR(VLOOKUP($U$133,'TAR FIN'!$A$1:$O$104,15,0)),0,VLOOKUP($U$133,'TAR FIN'!$A$1:$O$104,15,0))</f>
        <v>0</v>
      </c>
      <c r="Y133" s="6">
        <f ca="1">('TUSD BE'!$AM$12+'TUSD BF'!$AM$12+'TUSD CVA'!$AM$12)*1</f>
        <v>12.796774750698974</v>
      </c>
      <c r="Z133" s="6"/>
      <c r="AA133" s="6"/>
      <c r="AB133" s="6">
        <f t="shared" si="10"/>
        <v>193500</v>
      </c>
      <c r="AC133" s="6">
        <f t="shared" si="11"/>
        <v>0</v>
      </c>
      <c r="AD133" s="6">
        <f t="shared" ca="1" si="12"/>
        <v>191951.62126048462</v>
      </c>
      <c r="AE133" s="6">
        <f t="shared" si="13"/>
        <v>0</v>
      </c>
      <c r="AF133" s="4" t="s">
        <v>1000</v>
      </c>
    </row>
    <row r="134" spans="1:32" ht="11.25" customHeight="1" x14ac:dyDescent="0.25">
      <c r="A134" s="4" t="s">
        <v>21</v>
      </c>
      <c r="B134" s="4" t="s">
        <v>39</v>
      </c>
      <c r="C134" s="4" t="s">
        <v>66</v>
      </c>
      <c r="D134" s="4" t="s">
        <v>25</v>
      </c>
      <c r="E134" s="4" t="s">
        <v>25</v>
      </c>
      <c r="F134" s="4" t="s">
        <v>25</v>
      </c>
      <c r="G134" s="4" t="s">
        <v>77</v>
      </c>
      <c r="H134" s="4" t="s">
        <v>25</v>
      </c>
      <c r="I134" s="5">
        <v>44531</v>
      </c>
      <c r="J134" s="6">
        <v>30000</v>
      </c>
      <c r="K134" s="6">
        <v>15000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68</v>
      </c>
      <c r="R134" s="4">
        <v>33665</v>
      </c>
      <c r="S134" s="4">
        <v>16</v>
      </c>
      <c r="T134" s="4">
        <v>0</v>
      </c>
      <c r="U134" s="4">
        <v>0</v>
      </c>
      <c r="V134" s="6">
        <f>IF(ISERROR(VLOOKUP($S$134,'TAR FIN'!$A$1:$O$104,15,0)),0,VLOOKUP($S$134,'TAR FIN'!$A$1:$O$104,15,0))</f>
        <v>12.9</v>
      </c>
      <c r="W134" s="6">
        <f>IF(ISERROR(VLOOKUP($T$134,'TAR FIN'!$A$1:$O$104,15,0)),0,VLOOKUP($T$134,'TAR FIN'!$A$1:$O$104,15,0))</f>
        <v>0</v>
      </c>
      <c r="X134" s="6">
        <f>IF(ISERROR(VLOOKUP($U$134,'TAR FIN'!$A$1:$O$104,15,0)),0,VLOOKUP($U$134,'TAR FIN'!$A$1:$O$104,15,0))</f>
        <v>0</v>
      </c>
      <c r="Y134" s="6">
        <f ca="1">('TUSD BE'!$AM$12+'TUSD BF'!$AM$12+'TUSD CVA'!$AM$12)*1</f>
        <v>12.796774750698974</v>
      </c>
      <c r="Z134" s="6"/>
      <c r="AA134" s="6"/>
      <c r="AB134" s="6">
        <f t="shared" si="10"/>
        <v>193500</v>
      </c>
      <c r="AC134" s="6">
        <f t="shared" si="11"/>
        <v>0</v>
      </c>
      <c r="AD134" s="6">
        <f t="shared" ca="1" si="12"/>
        <v>191951.62126048462</v>
      </c>
      <c r="AE134" s="6">
        <f t="shared" si="13"/>
        <v>0</v>
      </c>
      <c r="AF134" s="4" t="s">
        <v>1000</v>
      </c>
    </row>
    <row r="135" spans="1:32" ht="11.25" customHeight="1" x14ac:dyDescent="0.25">
      <c r="A135" s="4" t="s">
        <v>21</v>
      </c>
      <c r="B135" s="4" t="s">
        <v>39</v>
      </c>
      <c r="C135" s="4" t="s">
        <v>66</v>
      </c>
      <c r="D135" s="4" t="s">
        <v>25</v>
      </c>
      <c r="E135" s="4" t="s">
        <v>25</v>
      </c>
      <c r="F135" s="4" t="s">
        <v>25</v>
      </c>
      <c r="G135" s="4" t="s">
        <v>78</v>
      </c>
      <c r="H135" s="4" t="s">
        <v>25</v>
      </c>
      <c r="I135" s="5">
        <v>44531</v>
      </c>
      <c r="J135" s="6">
        <v>27000</v>
      </c>
      <c r="K135" s="6">
        <v>13500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68</v>
      </c>
      <c r="R135" s="4">
        <v>34085</v>
      </c>
      <c r="S135" s="4">
        <v>16</v>
      </c>
      <c r="T135" s="4">
        <v>0</v>
      </c>
      <c r="U135" s="4">
        <v>0</v>
      </c>
      <c r="V135" s="6">
        <f>IF(ISERROR(VLOOKUP($S$135,'TAR FIN'!$A$1:$O$104,15,0)),0,VLOOKUP($S$135,'TAR FIN'!$A$1:$O$104,15,0))</f>
        <v>12.9</v>
      </c>
      <c r="W135" s="6">
        <f>IF(ISERROR(VLOOKUP($T$135,'TAR FIN'!$A$1:$O$104,15,0)),0,VLOOKUP($T$135,'TAR FIN'!$A$1:$O$104,15,0))</f>
        <v>0</v>
      </c>
      <c r="X135" s="6">
        <f>IF(ISERROR(VLOOKUP($U$135,'TAR FIN'!$A$1:$O$104,15,0)),0,VLOOKUP($U$135,'TAR FIN'!$A$1:$O$104,15,0))</f>
        <v>0</v>
      </c>
      <c r="Y135" s="6">
        <f ca="1">('TUSD BE'!$AM$12+'TUSD BF'!$AM$12+'TUSD CVA'!$AM$12)*1</f>
        <v>12.796774750698974</v>
      </c>
      <c r="Z135" s="6"/>
      <c r="AA135" s="6"/>
      <c r="AB135" s="6">
        <f t="shared" si="10"/>
        <v>174150</v>
      </c>
      <c r="AC135" s="6">
        <f t="shared" si="11"/>
        <v>0</v>
      </c>
      <c r="AD135" s="6">
        <f t="shared" ca="1" si="12"/>
        <v>172756.45913443615</v>
      </c>
      <c r="AE135" s="6">
        <f t="shared" si="13"/>
        <v>0</v>
      </c>
      <c r="AF135" s="4" t="s">
        <v>1000</v>
      </c>
    </row>
    <row r="136" spans="1:32" ht="11.25" customHeight="1" x14ac:dyDescent="0.25">
      <c r="A136" s="4" t="s">
        <v>21</v>
      </c>
      <c r="B136" s="4" t="s">
        <v>39</v>
      </c>
      <c r="C136" s="4" t="s">
        <v>66</v>
      </c>
      <c r="D136" s="4" t="s">
        <v>25</v>
      </c>
      <c r="E136" s="4" t="s">
        <v>25</v>
      </c>
      <c r="F136" s="4" t="s">
        <v>25</v>
      </c>
      <c r="G136" s="4" t="s">
        <v>79</v>
      </c>
      <c r="H136" s="4" t="s">
        <v>25</v>
      </c>
      <c r="I136" s="5">
        <v>44531</v>
      </c>
      <c r="J136" s="6">
        <v>27000</v>
      </c>
      <c r="K136" s="6">
        <v>13500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68</v>
      </c>
      <c r="R136" s="4">
        <v>34086</v>
      </c>
      <c r="S136" s="4">
        <v>16</v>
      </c>
      <c r="T136" s="4">
        <v>0</v>
      </c>
      <c r="U136" s="4">
        <v>0</v>
      </c>
      <c r="V136" s="6">
        <f>IF(ISERROR(VLOOKUP($S$136,'TAR FIN'!$A$1:$O$104,15,0)),0,VLOOKUP($S$136,'TAR FIN'!$A$1:$O$104,15,0))</f>
        <v>12.9</v>
      </c>
      <c r="W136" s="6">
        <f>IF(ISERROR(VLOOKUP($T$136,'TAR FIN'!$A$1:$O$104,15,0)),0,VLOOKUP($T$136,'TAR FIN'!$A$1:$O$104,15,0))</f>
        <v>0</v>
      </c>
      <c r="X136" s="6">
        <f>IF(ISERROR(VLOOKUP($U$136,'TAR FIN'!$A$1:$O$104,15,0)),0,VLOOKUP($U$136,'TAR FIN'!$A$1:$O$104,15,0))</f>
        <v>0</v>
      </c>
      <c r="Y136" s="6">
        <f ca="1">('TUSD BE'!$AM$12+'TUSD BF'!$AM$12+'TUSD CVA'!$AM$12)*1</f>
        <v>12.796774750698974</v>
      </c>
      <c r="Z136" s="6"/>
      <c r="AA136" s="6"/>
      <c r="AB136" s="6">
        <f t="shared" si="10"/>
        <v>174150</v>
      </c>
      <c r="AC136" s="6">
        <f t="shared" si="11"/>
        <v>0</v>
      </c>
      <c r="AD136" s="6">
        <f t="shared" ca="1" si="12"/>
        <v>172756.45913443615</v>
      </c>
      <c r="AE136" s="6">
        <f t="shared" si="13"/>
        <v>0</v>
      </c>
      <c r="AF136" s="4" t="s">
        <v>1000</v>
      </c>
    </row>
    <row r="137" spans="1:32" ht="11.25" customHeight="1" x14ac:dyDescent="0.25">
      <c r="A137" s="4" t="s">
        <v>21</v>
      </c>
      <c r="B137" s="4" t="s">
        <v>39</v>
      </c>
      <c r="C137" s="4" t="s">
        <v>66</v>
      </c>
      <c r="D137" s="4" t="s">
        <v>25</v>
      </c>
      <c r="E137" s="4" t="s">
        <v>25</v>
      </c>
      <c r="F137" s="4" t="s">
        <v>25</v>
      </c>
      <c r="G137" s="4" t="s">
        <v>67</v>
      </c>
      <c r="H137" s="4" t="s">
        <v>25</v>
      </c>
      <c r="I137" s="5">
        <v>44562</v>
      </c>
      <c r="J137" s="6">
        <v>3500</v>
      </c>
      <c r="K137" s="6">
        <v>3500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68</v>
      </c>
      <c r="R137" s="4">
        <v>27402</v>
      </c>
      <c r="S137" s="4">
        <v>16</v>
      </c>
      <c r="T137" s="4">
        <v>0</v>
      </c>
      <c r="U137" s="4">
        <v>0</v>
      </c>
      <c r="V137" s="6">
        <f>IF(ISERROR(VLOOKUP($S$137,'TAR FIN'!$A$1:$O$104,15,0)),0,VLOOKUP($S$137,'TAR FIN'!$A$1:$O$104,15,0))</f>
        <v>12.9</v>
      </c>
      <c r="W137" s="6">
        <f>IF(ISERROR(VLOOKUP($T$137,'TAR FIN'!$A$1:$O$104,15,0)),0,VLOOKUP($T$137,'TAR FIN'!$A$1:$O$104,15,0))</f>
        <v>0</v>
      </c>
      <c r="X137" s="6">
        <f>IF(ISERROR(VLOOKUP($U$137,'TAR FIN'!$A$1:$O$104,15,0)),0,VLOOKUP($U$137,'TAR FIN'!$A$1:$O$104,15,0))</f>
        <v>0</v>
      </c>
      <c r="Y137" s="6">
        <f ca="1">('TUSD BE'!$AM$12+'TUSD BF'!$AM$12+'TUSD CVA'!$AM$12)*1</f>
        <v>12.796774750698974</v>
      </c>
      <c r="Z137" s="6"/>
      <c r="AA137" s="6"/>
      <c r="AB137" s="6">
        <f t="shared" si="10"/>
        <v>0</v>
      </c>
      <c r="AC137" s="6">
        <f t="shared" si="11"/>
        <v>0</v>
      </c>
      <c r="AD137" s="6">
        <f t="shared" ca="1" si="12"/>
        <v>0</v>
      </c>
      <c r="AE137" s="6">
        <f t="shared" si="13"/>
        <v>0</v>
      </c>
      <c r="AF137" s="4" t="s">
        <v>1000</v>
      </c>
    </row>
    <row r="138" spans="1:32" ht="11.25" customHeight="1" x14ac:dyDescent="0.25">
      <c r="A138" s="4" t="s">
        <v>21</v>
      </c>
      <c r="B138" s="4" t="s">
        <v>39</v>
      </c>
      <c r="C138" s="4" t="s">
        <v>66</v>
      </c>
      <c r="D138" s="4" t="s">
        <v>25</v>
      </c>
      <c r="E138" s="4" t="s">
        <v>25</v>
      </c>
      <c r="F138" s="4" t="s">
        <v>25</v>
      </c>
      <c r="G138" s="4" t="s">
        <v>69</v>
      </c>
      <c r="H138" s="4" t="s">
        <v>25</v>
      </c>
      <c r="I138" s="5">
        <v>44562</v>
      </c>
      <c r="J138" s="6">
        <v>3434</v>
      </c>
      <c r="K138" s="6">
        <v>1717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68</v>
      </c>
      <c r="R138" s="4">
        <v>28515</v>
      </c>
      <c r="S138" s="4">
        <v>16</v>
      </c>
      <c r="T138" s="4">
        <v>0</v>
      </c>
      <c r="U138" s="4">
        <v>0</v>
      </c>
      <c r="V138" s="6">
        <f>IF(ISERROR(VLOOKUP($S$138,'TAR FIN'!$A$1:$O$104,15,0)),0,VLOOKUP($S$138,'TAR FIN'!$A$1:$O$104,15,0))</f>
        <v>12.9</v>
      </c>
      <c r="W138" s="6">
        <f>IF(ISERROR(VLOOKUP($T$138,'TAR FIN'!$A$1:$O$104,15,0)),0,VLOOKUP($T$138,'TAR FIN'!$A$1:$O$104,15,0))</f>
        <v>0</v>
      </c>
      <c r="X138" s="6">
        <f>IF(ISERROR(VLOOKUP($U$138,'TAR FIN'!$A$1:$O$104,15,0)),0,VLOOKUP($U$138,'TAR FIN'!$A$1:$O$104,15,0))</f>
        <v>0</v>
      </c>
      <c r="Y138" s="6">
        <f ca="1">('TUSD BE'!$AM$12+'TUSD BF'!$AM$12+'TUSD CVA'!$AM$12)*1</f>
        <v>12.796774750698974</v>
      </c>
      <c r="Z138" s="6"/>
      <c r="AA138" s="6"/>
      <c r="AB138" s="6">
        <f t="shared" si="10"/>
        <v>22149.3</v>
      </c>
      <c r="AC138" s="6">
        <f t="shared" si="11"/>
        <v>0</v>
      </c>
      <c r="AD138" s="6">
        <f t="shared" ca="1" si="12"/>
        <v>21972.06224695014</v>
      </c>
      <c r="AE138" s="6">
        <f t="shared" si="13"/>
        <v>0</v>
      </c>
      <c r="AF138" s="4" t="s">
        <v>1000</v>
      </c>
    </row>
    <row r="139" spans="1:32" ht="11.25" customHeight="1" x14ac:dyDescent="0.25">
      <c r="A139" s="4" t="s">
        <v>21</v>
      </c>
      <c r="B139" s="4" t="s">
        <v>39</v>
      </c>
      <c r="C139" s="4" t="s">
        <v>66</v>
      </c>
      <c r="D139" s="4" t="s">
        <v>25</v>
      </c>
      <c r="E139" s="4" t="s">
        <v>25</v>
      </c>
      <c r="F139" s="4" t="s">
        <v>25</v>
      </c>
      <c r="G139" s="4" t="s">
        <v>70</v>
      </c>
      <c r="H139" s="4" t="s">
        <v>25</v>
      </c>
      <c r="I139" s="5">
        <v>44562</v>
      </c>
      <c r="J139" s="6">
        <v>11644</v>
      </c>
      <c r="K139" s="6">
        <v>5822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68</v>
      </c>
      <c r="R139" s="4">
        <v>28957</v>
      </c>
      <c r="S139" s="4">
        <v>16</v>
      </c>
      <c r="T139" s="4">
        <v>0</v>
      </c>
      <c r="U139" s="4">
        <v>0</v>
      </c>
      <c r="V139" s="6">
        <f>IF(ISERROR(VLOOKUP($S$139,'TAR FIN'!$A$1:$O$104,15,0)),0,VLOOKUP($S$139,'TAR FIN'!$A$1:$O$104,15,0))</f>
        <v>12.9</v>
      </c>
      <c r="W139" s="6">
        <f>IF(ISERROR(VLOOKUP($T$139,'TAR FIN'!$A$1:$O$104,15,0)),0,VLOOKUP($T$139,'TAR FIN'!$A$1:$O$104,15,0))</f>
        <v>0</v>
      </c>
      <c r="X139" s="6">
        <f>IF(ISERROR(VLOOKUP($U$139,'TAR FIN'!$A$1:$O$104,15,0)),0,VLOOKUP($U$139,'TAR FIN'!$A$1:$O$104,15,0))</f>
        <v>0</v>
      </c>
      <c r="Y139" s="6">
        <f ca="1">('TUSD BE'!$AM$12+'TUSD BF'!$AM$12+'TUSD CVA'!$AM$12)*1</f>
        <v>12.796774750698974</v>
      </c>
      <c r="Z139" s="6"/>
      <c r="AA139" s="6"/>
      <c r="AB139" s="6">
        <f t="shared" si="10"/>
        <v>75103.8</v>
      </c>
      <c r="AC139" s="6">
        <f t="shared" si="11"/>
        <v>0</v>
      </c>
      <c r="AD139" s="6">
        <f t="shared" ca="1" si="12"/>
        <v>74502.82259856943</v>
      </c>
      <c r="AE139" s="6">
        <f t="shared" si="13"/>
        <v>0</v>
      </c>
      <c r="AF139" s="4" t="s">
        <v>1000</v>
      </c>
    </row>
    <row r="140" spans="1:32" ht="11.25" customHeight="1" x14ac:dyDescent="0.25">
      <c r="A140" s="4" t="s">
        <v>21</v>
      </c>
      <c r="B140" s="4" t="s">
        <v>39</v>
      </c>
      <c r="C140" s="4" t="s">
        <v>66</v>
      </c>
      <c r="D140" s="4" t="s">
        <v>25</v>
      </c>
      <c r="E140" s="4" t="s">
        <v>25</v>
      </c>
      <c r="F140" s="4" t="s">
        <v>25</v>
      </c>
      <c r="G140" s="4" t="s">
        <v>71</v>
      </c>
      <c r="H140" s="4" t="s">
        <v>25</v>
      </c>
      <c r="I140" s="5">
        <v>44562</v>
      </c>
      <c r="J140" s="6">
        <v>10050</v>
      </c>
      <c r="K140" s="6">
        <v>5025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68</v>
      </c>
      <c r="R140" s="4">
        <v>29041</v>
      </c>
      <c r="S140" s="4">
        <v>16</v>
      </c>
      <c r="T140" s="4">
        <v>0</v>
      </c>
      <c r="U140" s="4">
        <v>0</v>
      </c>
      <c r="V140" s="6">
        <f>IF(ISERROR(VLOOKUP($S$140,'TAR FIN'!$A$1:$O$104,15,0)),0,VLOOKUP($S$140,'TAR FIN'!$A$1:$O$104,15,0))</f>
        <v>12.9</v>
      </c>
      <c r="W140" s="6">
        <f>IF(ISERROR(VLOOKUP($T$140,'TAR FIN'!$A$1:$O$104,15,0)),0,VLOOKUP($T$140,'TAR FIN'!$A$1:$O$104,15,0))</f>
        <v>0</v>
      </c>
      <c r="X140" s="6">
        <f>IF(ISERROR(VLOOKUP($U$140,'TAR FIN'!$A$1:$O$104,15,0)),0,VLOOKUP($U$140,'TAR FIN'!$A$1:$O$104,15,0))</f>
        <v>0</v>
      </c>
      <c r="Y140" s="6">
        <f ca="1">('TUSD BE'!$AM$12+'TUSD BF'!$AM$12+'TUSD CVA'!$AM$12)*1</f>
        <v>12.796774750698974</v>
      </c>
      <c r="Z140" s="6"/>
      <c r="AA140" s="6"/>
      <c r="AB140" s="6">
        <f t="shared" si="10"/>
        <v>64822.5</v>
      </c>
      <c r="AC140" s="6">
        <f t="shared" si="11"/>
        <v>0</v>
      </c>
      <c r="AD140" s="6">
        <f t="shared" ca="1" si="12"/>
        <v>64303.793122262345</v>
      </c>
      <c r="AE140" s="6">
        <f t="shared" si="13"/>
        <v>0</v>
      </c>
      <c r="AF140" s="4" t="s">
        <v>1000</v>
      </c>
    </row>
    <row r="141" spans="1:32" ht="11.25" customHeight="1" x14ac:dyDescent="0.25">
      <c r="A141" s="4" t="s">
        <v>21</v>
      </c>
      <c r="B141" s="4" t="s">
        <v>39</v>
      </c>
      <c r="C141" s="4" t="s">
        <v>66</v>
      </c>
      <c r="D141" s="4" t="s">
        <v>25</v>
      </c>
      <c r="E141" s="4" t="s">
        <v>25</v>
      </c>
      <c r="F141" s="4" t="s">
        <v>25</v>
      </c>
      <c r="G141" s="4" t="s">
        <v>73</v>
      </c>
      <c r="H141" s="4" t="s">
        <v>25</v>
      </c>
      <c r="I141" s="5">
        <v>44562</v>
      </c>
      <c r="J141" s="6">
        <v>44450</v>
      </c>
      <c r="K141" s="6">
        <v>22225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68</v>
      </c>
      <c r="R141" s="4">
        <v>29092</v>
      </c>
      <c r="S141" s="4">
        <v>16</v>
      </c>
      <c r="T141" s="4">
        <v>0</v>
      </c>
      <c r="U141" s="4">
        <v>0</v>
      </c>
      <c r="V141" s="6">
        <f>IF(ISERROR(VLOOKUP($S$141,'TAR FIN'!$A$1:$O$104,15,0)),0,VLOOKUP($S$141,'TAR FIN'!$A$1:$O$104,15,0))</f>
        <v>12.9</v>
      </c>
      <c r="W141" s="6">
        <f>IF(ISERROR(VLOOKUP($T$141,'TAR FIN'!$A$1:$O$104,15,0)),0,VLOOKUP($T$141,'TAR FIN'!$A$1:$O$104,15,0))</f>
        <v>0</v>
      </c>
      <c r="X141" s="6">
        <f>IF(ISERROR(VLOOKUP($U$141,'TAR FIN'!$A$1:$O$104,15,0)),0,VLOOKUP($U$141,'TAR FIN'!$A$1:$O$104,15,0))</f>
        <v>0</v>
      </c>
      <c r="Y141" s="6">
        <f ca="1">('TUSD BE'!$AM$12+'TUSD BF'!$AM$12+'TUSD CVA'!$AM$12)*1</f>
        <v>12.796774750698974</v>
      </c>
      <c r="Z141" s="6"/>
      <c r="AA141" s="6"/>
      <c r="AB141" s="6">
        <f t="shared" si="10"/>
        <v>286702.5</v>
      </c>
      <c r="AC141" s="6">
        <f t="shared" si="11"/>
        <v>0</v>
      </c>
      <c r="AD141" s="6">
        <f t="shared" ca="1" si="12"/>
        <v>284408.31883428473</v>
      </c>
      <c r="AE141" s="6">
        <f t="shared" si="13"/>
        <v>0</v>
      </c>
      <c r="AF141" s="4" t="s">
        <v>1000</v>
      </c>
    </row>
    <row r="142" spans="1:32" ht="11.25" customHeight="1" x14ac:dyDescent="0.25">
      <c r="A142" s="4" t="s">
        <v>21</v>
      </c>
      <c r="B142" s="4" t="s">
        <v>39</v>
      </c>
      <c r="C142" s="4" t="s">
        <v>66</v>
      </c>
      <c r="D142" s="4" t="s">
        <v>25</v>
      </c>
      <c r="E142" s="4" t="s">
        <v>25</v>
      </c>
      <c r="F142" s="4" t="s">
        <v>25</v>
      </c>
      <c r="G142" s="4" t="s">
        <v>75</v>
      </c>
      <c r="H142" s="4" t="s">
        <v>25</v>
      </c>
      <c r="I142" s="5">
        <v>44562</v>
      </c>
      <c r="J142" s="6">
        <v>30000</v>
      </c>
      <c r="K142" s="6">
        <v>15000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68</v>
      </c>
      <c r="R142" s="4">
        <v>33663</v>
      </c>
      <c r="S142" s="4">
        <v>16</v>
      </c>
      <c r="T142" s="4">
        <v>0</v>
      </c>
      <c r="U142" s="4">
        <v>0</v>
      </c>
      <c r="V142" s="6">
        <f>IF(ISERROR(VLOOKUP($S$142,'TAR FIN'!$A$1:$O$104,15,0)),0,VLOOKUP($S$142,'TAR FIN'!$A$1:$O$104,15,0))</f>
        <v>12.9</v>
      </c>
      <c r="W142" s="6">
        <f>IF(ISERROR(VLOOKUP($T$142,'TAR FIN'!$A$1:$O$104,15,0)),0,VLOOKUP($T$142,'TAR FIN'!$A$1:$O$104,15,0))</f>
        <v>0</v>
      </c>
      <c r="X142" s="6">
        <f>IF(ISERROR(VLOOKUP($U$142,'TAR FIN'!$A$1:$O$104,15,0)),0,VLOOKUP($U$142,'TAR FIN'!$A$1:$O$104,15,0))</f>
        <v>0</v>
      </c>
      <c r="Y142" s="6">
        <f ca="1">('TUSD BE'!$AM$12+'TUSD BF'!$AM$12+'TUSD CVA'!$AM$12)*1</f>
        <v>12.796774750698974</v>
      </c>
      <c r="Z142" s="6"/>
      <c r="AA142" s="6"/>
      <c r="AB142" s="6">
        <f t="shared" si="10"/>
        <v>193500</v>
      </c>
      <c r="AC142" s="6">
        <f t="shared" si="11"/>
        <v>0</v>
      </c>
      <c r="AD142" s="6">
        <f t="shared" ca="1" si="12"/>
        <v>191951.62126048462</v>
      </c>
      <c r="AE142" s="6">
        <f t="shared" si="13"/>
        <v>0</v>
      </c>
      <c r="AF142" s="4" t="s">
        <v>1000</v>
      </c>
    </row>
    <row r="143" spans="1:32" ht="11.25" customHeight="1" x14ac:dyDescent="0.25">
      <c r="A143" s="4" t="s">
        <v>21</v>
      </c>
      <c r="B143" s="4" t="s">
        <v>39</v>
      </c>
      <c r="C143" s="4" t="s">
        <v>66</v>
      </c>
      <c r="D143" s="4" t="s">
        <v>25</v>
      </c>
      <c r="E143" s="4" t="s">
        <v>25</v>
      </c>
      <c r="F143" s="4" t="s">
        <v>25</v>
      </c>
      <c r="G143" s="4" t="s">
        <v>76</v>
      </c>
      <c r="H143" s="4" t="s">
        <v>25</v>
      </c>
      <c r="I143" s="5">
        <v>44562</v>
      </c>
      <c r="J143" s="6">
        <v>30000</v>
      </c>
      <c r="K143" s="6">
        <v>15000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68</v>
      </c>
      <c r="R143" s="4">
        <v>33664</v>
      </c>
      <c r="S143" s="4">
        <v>16</v>
      </c>
      <c r="T143" s="4">
        <v>0</v>
      </c>
      <c r="U143" s="4">
        <v>0</v>
      </c>
      <c r="V143" s="6">
        <f>IF(ISERROR(VLOOKUP($S$143,'TAR FIN'!$A$1:$O$104,15,0)),0,VLOOKUP($S$143,'TAR FIN'!$A$1:$O$104,15,0))</f>
        <v>12.9</v>
      </c>
      <c r="W143" s="6">
        <f>IF(ISERROR(VLOOKUP($T$143,'TAR FIN'!$A$1:$O$104,15,0)),0,VLOOKUP($T$143,'TAR FIN'!$A$1:$O$104,15,0))</f>
        <v>0</v>
      </c>
      <c r="X143" s="6">
        <f>IF(ISERROR(VLOOKUP($U$143,'TAR FIN'!$A$1:$O$104,15,0)),0,VLOOKUP($U$143,'TAR FIN'!$A$1:$O$104,15,0))</f>
        <v>0</v>
      </c>
      <c r="Y143" s="6">
        <f ca="1">('TUSD BE'!$AM$12+'TUSD BF'!$AM$12+'TUSD CVA'!$AM$12)*1</f>
        <v>12.796774750698974</v>
      </c>
      <c r="Z143" s="6"/>
      <c r="AA143" s="6"/>
      <c r="AB143" s="6">
        <f t="shared" si="10"/>
        <v>193500</v>
      </c>
      <c r="AC143" s="6">
        <f t="shared" si="11"/>
        <v>0</v>
      </c>
      <c r="AD143" s="6">
        <f t="shared" ca="1" si="12"/>
        <v>191951.62126048462</v>
      </c>
      <c r="AE143" s="6">
        <f t="shared" si="13"/>
        <v>0</v>
      </c>
      <c r="AF143" s="4" t="s">
        <v>1000</v>
      </c>
    </row>
    <row r="144" spans="1:32" ht="11.25" customHeight="1" x14ac:dyDescent="0.25">
      <c r="A144" s="4" t="s">
        <v>21</v>
      </c>
      <c r="B144" s="4" t="s">
        <v>39</v>
      </c>
      <c r="C144" s="4" t="s">
        <v>66</v>
      </c>
      <c r="D144" s="4" t="s">
        <v>25</v>
      </c>
      <c r="E144" s="4" t="s">
        <v>25</v>
      </c>
      <c r="F144" s="4" t="s">
        <v>25</v>
      </c>
      <c r="G144" s="4" t="s">
        <v>77</v>
      </c>
      <c r="H144" s="4" t="s">
        <v>25</v>
      </c>
      <c r="I144" s="5">
        <v>44562</v>
      </c>
      <c r="J144" s="6">
        <v>30000</v>
      </c>
      <c r="K144" s="6">
        <v>15000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68</v>
      </c>
      <c r="R144" s="4">
        <v>33665</v>
      </c>
      <c r="S144" s="4">
        <v>16</v>
      </c>
      <c r="T144" s="4">
        <v>0</v>
      </c>
      <c r="U144" s="4">
        <v>0</v>
      </c>
      <c r="V144" s="6">
        <f>IF(ISERROR(VLOOKUP($S$144,'TAR FIN'!$A$1:$O$104,15,0)),0,VLOOKUP($S$144,'TAR FIN'!$A$1:$O$104,15,0))</f>
        <v>12.9</v>
      </c>
      <c r="W144" s="6">
        <f>IF(ISERROR(VLOOKUP($T$144,'TAR FIN'!$A$1:$O$104,15,0)),0,VLOOKUP($T$144,'TAR FIN'!$A$1:$O$104,15,0))</f>
        <v>0</v>
      </c>
      <c r="X144" s="6">
        <f>IF(ISERROR(VLOOKUP($U$144,'TAR FIN'!$A$1:$O$104,15,0)),0,VLOOKUP($U$144,'TAR FIN'!$A$1:$O$104,15,0))</f>
        <v>0</v>
      </c>
      <c r="Y144" s="6">
        <f ca="1">('TUSD BE'!$AM$12+'TUSD BF'!$AM$12+'TUSD CVA'!$AM$12)*1</f>
        <v>12.796774750698974</v>
      </c>
      <c r="Z144" s="6"/>
      <c r="AA144" s="6"/>
      <c r="AB144" s="6">
        <f t="shared" si="10"/>
        <v>193500</v>
      </c>
      <c r="AC144" s="6">
        <f t="shared" si="11"/>
        <v>0</v>
      </c>
      <c r="AD144" s="6">
        <f t="shared" ca="1" si="12"/>
        <v>191951.62126048462</v>
      </c>
      <c r="AE144" s="6">
        <f t="shared" si="13"/>
        <v>0</v>
      </c>
      <c r="AF144" s="4" t="s">
        <v>1000</v>
      </c>
    </row>
    <row r="145" spans="1:32" ht="11.25" customHeight="1" x14ac:dyDescent="0.25">
      <c r="A145" s="4" t="s">
        <v>21</v>
      </c>
      <c r="B145" s="4" t="s">
        <v>39</v>
      </c>
      <c r="C145" s="4" t="s">
        <v>66</v>
      </c>
      <c r="D145" s="4" t="s">
        <v>25</v>
      </c>
      <c r="E145" s="4" t="s">
        <v>25</v>
      </c>
      <c r="F145" s="4" t="s">
        <v>25</v>
      </c>
      <c r="G145" s="4" t="s">
        <v>78</v>
      </c>
      <c r="H145" s="4" t="s">
        <v>25</v>
      </c>
      <c r="I145" s="5">
        <v>44562</v>
      </c>
      <c r="J145" s="6">
        <v>27000</v>
      </c>
      <c r="K145" s="6">
        <v>13500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68</v>
      </c>
      <c r="R145" s="4">
        <v>34085</v>
      </c>
      <c r="S145" s="4">
        <v>16</v>
      </c>
      <c r="T145" s="4">
        <v>0</v>
      </c>
      <c r="U145" s="4">
        <v>0</v>
      </c>
      <c r="V145" s="6">
        <f>IF(ISERROR(VLOOKUP($S$145,'TAR FIN'!$A$1:$O$104,15,0)),0,VLOOKUP($S$145,'TAR FIN'!$A$1:$O$104,15,0))</f>
        <v>12.9</v>
      </c>
      <c r="W145" s="6">
        <f>IF(ISERROR(VLOOKUP($T$145,'TAR FIN'!$A$1:$O$104,15,0)),0,VLOOKUP($T$145,'TAR FIN'!$A$1:$O$104,15,0))</f>
        <v>0</v>
      </c>
      <c r="X145" s="6">
        <f>IF(ISERROR(VLOOKUP($U$145,'TAR FIN'!$A$1:$O$104,15,0)),0,VLOOKUP($U$145,'TAR FIN'!$A$1:$O$104,15,0))</f>
        <v>0</v>
      </c>
      <c r="Y145" s="6">
        <f ca="1">('TUSD BE'!$AM$12+'TUSD BF'!$AM$12+'TUSD CVA'!$AM$12)*1</f>
        <v>12.796774750698974</v>
      </c>
      <c r="Z145" s="6"/>
      <c r="AA145" s="6"/>
      <c r="AB145" s="6">
        <f t="shared" si="10"/>
        <v>174150</v>
      </c>
      <c r="AC145" s="6">
        <f t="shared" si="11"/>
        <v>0</v>
      </c>
      <c r="AD145" s="6">
        <f t="shared" ca="1" si="12"/>
        <v>172756.45913443615</v>
      </c>
      <c r="AE145" s="6">
        <f t="shared" si="13"/>
        <v>0</v>
      </c>
      <c r="AF145" s="4" t="s">
        <v>1000</v>
      </c>
    </row>
    <row r="146" spans="1:32" ht="11.25" customHeight="1" x14ac:dyDescent="0.25">
      <c r="A146" s="4" t="s">
        <v>21</v>
      </c>
      <c r="B146" s="4" t="s">
        <v>39</v>
      </c>
      <c r="C146" s="4" t="s">
        <v>66</v>
      </c>
      <c r="D146" s="4" t="s">
        <v>25</v>
      </c>
      <c r="E146" s="4" t="s">
        <v>25</v>
      </c>
      <c r="F146" s="4" t="s">
        <v>25</v>
      </c>
      <c r="G146" s="4" t="s">
        <v>79</v>
      </c>
      <c r="H146" s="4" t="s">
        <v>25</v>
      </c>
      <c r="I146" s="5">
        <v>44562</v>
      </c>
      <c r="J146" s="6">
        <v>27000</v>
      </c>
      <c r="K146" s="6">
        <v>13500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68</v>
      </c>
      <c r="R146" s="4">
        <v>34086</v>
      </c>
      <c r="S146" s="4">
        <v>16</v>
      </c>
      <c r="T146" s="4">
        <v>0</v>
      </c>
      <c r="U146" s="4">
        <v>0</v>
      </c>
      <c r="V146" s="6">
        <f>IF(ISERROR(VLOOKUP($S$146,'TAR FIN'!$A$1:$O$104,15,0)),0,VLOOKUP($S$146,'TAR FIN'!$A$1:$O$104,15,0))</f>
        <v>12.9</v>
      </c>
      <c r="W146" s="6">
        <f>IF(ISERROR(VLOOKUP($T$146,'TAR FIN'!$A$1:$O$104,15,0)),0,VLOOKUP($T$146,'TAR FIN'!$A$1:$O$104,15,0))</f>
        <v>0</v>
      </c>
      <c r="X146" s="6">
        <f>IF(ISERROR(VLOOKUP($U$146,'TAR FIN'!$A$1:$O$104,15,0)),0,VLOOKUP($U$146,'TAR FIN'!$A$1:$O$104,15,0))</f>
        <v>0</v>
      </c>
      <c r="Y146" s="6">
        <f ca="1">('TUSD BE'!$AM$12+'TUSD BF'!$AM$12+'TUSD CVA'!$AM$12)*1</f>
        <v>12.796774750698974</v>
      </c>
      <c r="Z146" s="6"/>
      <c r="AA146" s="6"/>
      <c r="AB146" s="6">
        <f t="shared" si="10"/>
        <v>174150</v>
      </c>
      <c r="AC146" s="6">
        <f t="shared" si="11"/>
        <v>0</v>
      </c>
      <c r="AD146" s="6">
        <f t="shared" ca="1" si="12"/>
        <v>172756.45913443615</v>
      </c>
      <c r="AE146" s="6">
        <f t="shared" si="13"/>
        <v>0</v>
      </c>
      <c r="AF146" s="4" t="s">
        <v>1000</v>
      </c>
    </row>
    <row r="147" spans="1:32" ht="11.25" customHeight="1" x14ac:dyDescent="0.25">
      <c r="A147" s="4" t="s">
        <v>21</v>
      </c>
      <c r="B147" s="4" t="s">
        <v>39</v>
      </c>
      <c r="C147" s="4" t="s">
        <v>66</v>
      </c>
      <c r="D147" s="4" t="s">
        <v>25</v>
      </c>
      <c r="E147" s="4" t="s">
        <v>25</v>
      </c>
      <c r="F147" s="4" t="s">
        <v>25</v>
      </c>
      <c r="G147" s="4" t="s">
        <v>67</v>
      </c>
      <c r="H147" s="4" t="s">
        <v>25</v>
      </c>
      <c r="I147" s="5">
        <v>44593</v>
      </c>
      <c r="J147" s="6">
        <v>3500</v>
      </c>
      <c r="K147" s="6">
        <v>3500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68</v>
      </c>
      <c r="R147" s="4">
        <v>27402</v>
      </c>
      <c r="S147" s="4">
        <v>16</v>
      </c>
      <c r="T147" s="4">
        <v>0</v>
      </c>
      <c r="U147" s="4">
        <v>0</v>
      </c>
      <c r="V147" s="6">
        <f>IF(ISERROR(VLOOKUP($S$147,'TAR FIN'!$A$1:$O$104,15,0)),0,VLOOKUP($S$147,'TAR FIN'!$A$1:$O$104,15,0))</f>
        <v>12.9</v>
      </c>
      <c r="W147" s="6">
        <f>IF(ISERROR(VLOOKUP($T$147,'TAR FIN'!$A$1:$O$104,15,0)),0,VLOOKUP($T$147,'TAR FIN'!$A$1:$O$104,15,0))</f>
        <v>0</v>
      </c>
      <c r="X147" s="6">
        <f>IF(ISERROR(VLOOKUP($U$147,'TAR FIN'!$A$1:$O$104,15,0)),0,VLOOKUP($U$147,'TAR FIN'!$A$1:$O$104,15,0))</f>
        <v>0</v>
      </c>
      <c r="Y147" s="6">
        <f ca="1">('TUSD BE'!$AM$12+'TUSD BF'!$AM$12+'TUSD CVA'!$AM$12)*1</f>
        <v>12.796774750698974</v>
      </c>
      <c r="Z147" s="6"/>
      <c r="AA147" s="6"/>
      <c r="AB147" s="6">
        <f t="shared" si="10"/>
        <v>0</v>
      </c>
      <c r="AC147" s="6">
        <f t="shared" si="11"/>
        <v>0</v>
      </c>
      <c r="AD147" s="6">
        <f t="shared" ca="1" si="12"/>
        <v>0</v>
      </c>
      <c r="AE147" s="6">
        <f t="shared" si="13"/>
        <v>0</v>
      </c>
      <c r="AF147" s="4" t="s">
        <v>1000</v>
      </c>
    </row>
    <row r="148" spans="1:32" ht="11.25" customHeight="1" x14ac:dyDescent="0.25">
      <c r="A148" s="4" t="s">
        <v>21</v>
      </c>
      <c r="B148" s="4" t="s">
        <v>39</v>
      </c>
      <c r="C148" s="4" t="s">
        <v>66</v>
      </c>
      <c r="D148" s="4" t="s">
        <v>25</v>
      </c>
      <c r="E148" s="4" t="s">
        <v>25</v>
      </c>
      <c r="F148" s="4" t="s">
        <v>25</v>
      </c>
      <c r="G148" s="4" t="s">
        <v>69</v>
      </c>
      <c r="H148" s="4" t="s">
        <v>25</v>
      </c>
      <c r="I148" s="5">
        <v>44593</v>
      </c>
      <c r="J148" s="6">
        <v>3000</v>
      </c>
      <c r="K148" s="6">
        <v>3000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68</v>
      </c>
      <c r="R148" s="4">
        <v>28515</v>
      </c>
      <c r="S148" s="4">
        <v>16</v>
      </c>
      <c r="T148" s="4">
        <v>0</v>
      </c>
      <c r="U148" s="4">
        <v>0</v>
      </c>
      <c r="V148" s="6">
        <f>IF(ISERROR(VLOOKUP($S$148,'TAR FIN'!$A$1:$O$104,15,0)),0,VLOOKUP($S$148,'TAR FIN'!$A$1:$O$104,15,0))</f>
        <v>12.9</v>
      </c>
      <c r="W148" s="6">
        <f>IF(ISERROR(VLOOKUP($T$148,'TAR FIN'!$A$1:$O$104,15,0)),0,VLOOKUP($T$148,'TAR FIN'!$A$1:$O$104,15,0))</f>
        <v>0</v>
      </c>
      <c r="X148" s="6">
        <f>IF(ISERROR(VLOOKUP($U$148,'TAR FIN'!$A$1:$O$104,15,0)),0,VLOOKUP($U$148,'TAR FIN'!$A$1:$O$104,15,0))</f>
        <v>0</v>
      </c>
      <c r="Y148" s="6">
        <f ca="1">('TUSD BE'!$AM$12+'TUSD BF'!$AM$12+'TUSD CVA'!$AM$12)*1</f>
        <v>12.796774750698974</v>
      </c>
      <c r="Z148" s="6"/>
      <c r="AA148" s="6"/>
      <c r="AB148" s="6">
        <f t="shared" si="10"/>
        <v>0</v>
      </c>
      <c r="AC148" s="6">
        <f t="shared" si="11"/>
        <v>0</v>
      </c>
      <c r="AD148" s="6">
        <f t="shared" ca="1" si="12"/>
        <v>0</v>
      </c>
      <c r="AE148" s="6">
        <f t="shared" si="13"/>
        <v>0</v>
      </c>
      <c r="AF148" s="4" t="s">
        <v>1000</v>
      </c>
    </row>
    <row r="149" spans="1:32" ht="11.25" customHeight="1" x14ac:dyDescent="0.25">
      <c r="A149" s="4" t="s">
        <v>21</v>
      </c>
      <c r="B149" s="4" t="s">
        <v>39</v>
      </c>
      <c r="C149" s="4" t="s">
        <v>66</v>
      </c>
      <c r="D149" s="4" t="s">
        <v>25</v>
      </c>
      <c r="E149" s="4" t="s">
        <v>25</v>
      </c>
      <c r="F149" s="4" t="s">
        <v>25</v>
      </c>
      <c r="G149" s="4" t="s">
        <v>70</v>
      </c>
      <c r="H149" s="4" t="s">
        <v>25</v>
      </c>
      <c r="I149" s="5">
        <v>44593</v>
      </c>
      <c r="J149" s="6">
        <v>11000</v>
      </c>
      <c r="K149" s="6">
        <v>5500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68</v>
      </c>
      <c r="R149" s="4">
        <v>28957</v>
      </c>
      <c r="S149" s="4">
        <v>16</v>
      </c>
      <c r="T149" s="4">
        <v>0</v>
      </c>
      <c r="U149" s="4">
        <v>0</v>
      </c>
      <c r="V149" s="6">
        <f>IF(ISERROR(VLOOKUP($S$149,'TAR FIN'!$A$1:$O$104,15,0)),0,VLOOKUP($S$149,'TAR FIN'!$A$1:$O$104,15,0))</f>
        <v>12.9</v>
      </c>
      <c r="W149" s="6">
        <f>IF(ISERROR(VLOOKUP($T$149,'TAR FIN'!$A$1:$O$104,15,0)),0,VLOOKUP($T$149,'TAR FIN'!$A$1:$O$104,15,0))</f>
        <v>0</v>
      </c>
      <c r="X149" s="6">
        <f>IF(ISERROR(VLOOKUP($U$149,'TAR FIN'!$A$1:$O$104,15,0)),0,VLOOKUP($U$149,'TAR FIN'!$A$1:$O$104,15,0))</f>
        <v>0</v>
      </c>
      <c r="Y149" s="6">
        <f ca="1">('TUSD BE'!$AM$12+'TUSD BF'!$AM$12+'TUSD CVA'!$AM$12)*1</f>
        <v>12.796774750698974</v>
      </c>
      <c r="Z149" s="6"/>
      <c r="AA149" s="6"/>
      <c r="AB149" s="6">
        <f t="shared" si="10"/>
        <v>70950</v>
      </c>
      <c r="AC149" s="6">
        <f t="shared" si="11"/>
        <v>0</v>
      </c>
      <c r="AD149" s="6">
        <f t="shared" ca="1" si="12"/>
        <v>70382.261128844359</v>
      </c>
      <c r="AE149" s="6">
        <f t="shared" si="13"/>
        <v>0</v>
      </c>
      <c r="AF149" s="4" t="s">
        <v>1000</v>
      </c>
    </row>
    <row r="150" spans="1:32" ht="11.25" customHeight="1" x14ac:dyDescent="0.25">
      <c r="A150" s="4" t="s">
        <v>21</v>
      </c>
      <c r="B150" s="4" t="s">
        <v>39</v>
      </c>
      <c r="C150" s="4" t="s">
        <v>66</v>
      </c>
      <c r="D150" s="4" t="s">
        <v>25</v>
      </c>
      <c r="E150" s="4" t="s">
        <v>25</v>
      </c>
      <c r="F150" s="4" t="s">
        <v>25</v>
      </c>
      <c r="G150" s="4" t="s">
        <v>71</v>
      </c>
      <c r="H150" s="4" t="s">
        <v>25</v>
      </c>
      <c r="I150" s="5">
        <v>44593</v>
      </c>
      <c r="J150" s="6">
        <v>10050</v>
      </c>
      <c r="K150" s="6">
        <v>5025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68</v>
      </c>
      <c r="R150" s="4">
        <v>29041</v>
      </c>
      <c r="S150" s="4">
        <v>16</v>
      </c>
      <c r="T150" s="4">
        <v>0</v>
      </c>
      <c r="U150" s="4">
        <v>0</v>
      </c>
      <c r="V150" s="6">
        <f>IF(ISERROR(VLOOKUP($S$150,'TAR FIN'!$A$1:$O$104,15,0)),0,VLOOKUP($S$150,'TAR FIN'!$A$1:$O$104,15,0))</f>
        <v>12.9</v>
      </c>
      <c r="W150" s="6">
        <f>IF(ISERROR(VLOOKUP($T$150,'TAR FIN'!$A$1:$O$104,15,0)),0,VLOOKUP($T$150,'TAR FIN'!$A$1:$O$104,15,0))</f>
        <v>0</v>
      </c>
      <c r="X150" s="6">
        <f>IF(ISERROR(VLOOKUP($U$150,'TAR FIN'!$A$1:$O$104,15,0)),0,VLOOKUP($U$150,'TAR FIN'!$A$1:$O$104,15,0))</f>
        <v>0</v>
      </c>
      <c r="Y150" s="6">
        <f ca="1">('TUSD BE'!$AM$12+'TUSD BF'!$AM$12+'TUSD CVA'!$AM$12)*1</f>
        <v>12.796774750698974</v>
      </c>
      <c r="Z150" s="6"/>
      <c r="AA150" s="6"/>
      <c r="AB150" s="6">
        <f t="shared" si="10"/>
        <v>64822.5</v>
      </c>
      <c r="AC150" s="6">
        <f t="shared" si="11"/>
        <v>0</v>
      </c>
      <c r="AD150" s="6">
        <f t="shared" ca="1" si="12"/>
        <v>64303.793122262345</v>
      </c>
      <c r="AE150" s="6">
        <f t="shared" si="13"/>
        <v>0</v>
      </c>
      <c r="AF150" s="4" t="s">
        <v>1000</v>
      </c>
    </row>
    <row r="151" spans="1:32" ht="11.25" customHeight="1" x14ac:dyDescent="0.25">
      <c r="A151" s="4" t="s">
        <v>21</v>
      </c>
      <c r="B151" s="4" t="s">
        <v>39</v>
      </c>
      <c r="C151" s="4" t="s">
        <v>66</v>
      </c>
      <c r="D151" s="4" t="s">
        <v>25</v>
      </c>
      <c r="E151" s="4" t="s">
        <v>25</v>
      </c>
      <c r="F151" s="4" t="s">
        <v>25</v>
      </c>
      <c r="G151" s="4" t="s">
        <v>73</v>
      </c>
      <c r="H151" s="4" t="s">
        <v>25</v>
      </c>
      <c r="I151" s="5">
        <v>44593</v>
      </c>
      <c r="J151" s="6">
        <v>44450</v>
      </c>
      <c r="K151" s="6">
        <v>22225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68</v>
      </c>
      <c r="R151" s="4">
        <v>29092</v>
      </c>
      <c r="S151" s="4">
        <v>16</v>
      </c>
      <c r="T151" s="4">
        <v>0</v>
      </c>
      <c r="U151" s="4">
        <v>0</v>
      </c>
      <c r="V151" s="6">
        <f>IF(ISERROR(VLOOKUP($S$151,'TAR FIN'!$A$1:$O$104,15,0)),0,VLOOKUP($S$151,'TAR FIN'!$A$1:$O$104,15,0))</f>
        <v>12.9</v>
      </c>
      <c r="W151" s="6">
        <f>IF(ISERROR(VLOOKUP($T$151,'TAR FIN'!$A$1:$O$104,15,0)),0,VLOOKUP($T$151,'TAR FIN'!$A$1:$O$104,15,0))</f>
        <v>0</v>
      </c>
      <c r="X151" s="6">
        <f>IF(ISERROR(VLOOKUP($U$151,'TAR FIN'!$A$1:$O$104,15,0)),0,VLOOKUP($U$151,'TAR FIN'!$A$1:$O$104,15,0))</f>
        <v>0</v>
      </c>
      <c r="Y151" s="6">
        <f ca="1">('TUSD BE'!$AM$12+'TUSD BF'!$AM$12+'TUSD CVA'!$AM$12)*1</f>
        <v>12.796774750698974</v>
      </c>
      <c r="Z151" s="6"/>
      <c r="AA151" s="6"/>
      <c r="AB151" s="6">
        <f t="shared" si="10"/>
        <v>286702.5</v>
      </c>
      <c r="AC151" s="6">
        <f t="shared" si="11"/>
        <v>0</v>
      </c>
      <c r="AD151" s="6">
        <f t="shared" ca="1" si="12"/>
        <v>284408.31883428473</v>
      </c>
      <c r="AE151" s="6">
        <f t="shared" si="13"/>
        <v>0</v>
      </c>
      <c r="AF151" s="4" t="s">
        <v>1000</v>
      </c>
    </row>
    <row r="152" spans="1:32" ht="11.25" customHeight="1" x14ac:dyDescent="0.25">
      <c r="A152" s="4" t="s">
        <v>21</v>
      </c>
      <c r="B152" s="4" t="s">
        <v>39</v>
      </c>
      <c r="C152" s="4" t="s">
        <v>66</v>
      </c>
      <c r="D152" s="4" t="s">
        <v>25</v>
      </c>
      <c r="E152" s="4" t="s">
        <v>25</v>
      </c>
      <c r="F152" s="4" t="s">
        <v>25</v>
      </c>
      <c r="G152" s="4" t="s">
        <v>75</v>
      </c>
      <c r="H152" s="4" t="s">
        <v>25</v>
      </c>
      <c r="I152" s="5">
        <v>44593</v>
      </c>
      <c r="J152" s="6">
        <v>30000</v>
      </c>
      <c r="K152" s="6">
        <v>15000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68</v>
      </c>
      <c r="R152" s="4">
        <v>33663</v>
      </c>
      <c r="S152" s="4">
        <v>16</v>
      </c>
      <c r="T152" s="4">
        <v>0</v>
      </c>
      <c r="U152" s="4">
        <v>0</v>
      </c>
      <c r="V152" s="6">
        <f>IF(ISERROR(VLOOKUP($S$152,'TAR FIN'!$A$1:$O$104,15,0)),0,VLOOKUP($S$152,'TAR FIN'!$A$1:$O$104,15,0))</f>
        <v>12.9</v>
      </c>
      <c r="W152" s="6">
        <f>IF(ISERROR(VLOOKUP($T$152,'TAR FIN'!$A$1:$O$104,15,0)),0,VLOOKUP($T$152,'TAR FIN'!$A$1:$O$104,15,0))</f>
        <v>0</v>
      </c>
      <c r="X152" s="6">
        <f>IF(ISERROR(VLOOKUP($U$152,'TAR FIN'!$A$1:$O$104,15,0)),0,VLOOKUP($U$152,'TAR FIN'!$A$1:$O$104,15,0))</f>
        <v>0</v>
      </c>
      <c r="Y152" s="6">
        <f ca="1">('TUSD BE'!$AM$12+'TUSD BF'!$AM$12+'TUSD CVA'!$AM$12)*1</f>
        <v>12.796774750698974</v>
      </c>
      <c r="Z152" s="6"/>
      <c r="AA152" s="6"/>
      <c r="AB152" s="6">
        <f t="shared" si="10"/>
        <v>193500</v>
      </c>
      <c r="AC152" s="6">
        <f t="shared" si="11"/>
        <v>0</v>
      </c>
      <c r="AD152" s="6">
        <f t="shared" ca="1" si="12"/>
        <v>191951.62126048462</v>
      </c>
      <c r="AE152" s="6">
        <f t="shared" si="13"/>
        <v>0</v>
      </c>
      <c r="AF152" s="4" t="s">
        <v>1000</v>
      </c>
    </row>
    <row r="153" spans="1:32" ht="11.25" customHeight="1" x14ac:dyDescent="0.25">
      <c r="A153" s="4" t="s">
        <v>21</v>
      </c>
      <c r="B153" s="4" t="s">
        <v>39</v>
      </c>
      <c r="C153" s="4" t="s">
        <v>66</v>
      </c>
      <c r="D153" s="4" t="s">
        <v>25</v>
      </c>
      <c r="E153" s="4" t="s">
        <v>25</v>
      </c>
      <c r="F153" s="4" t="s">
        <v>25</v>
      </c>
      <c r="G153" s="4" t="s">
        <v>76</v>
      </c>
      <c r="H153" s="4" t="s">
        <v>25</v>
      </c>
      <c r="I153" s="5">
        <v>44593</v>
      </c>
      <c r="J153" s="6">
        <v>30000</v>
      </c>
      <c r="K153" s="6">
        <v>15000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68</v>
      </c>
      <c r="R153" s="4">
        <v>33664</v>
      </c>
      <c r="S153" s="4">
        <v>16</v>
      </c>
      <c r="T153" s="4">
        <v>0</v>
      </c>
      <c r="U153" s="4">
        <v>0</v>
      </c>
      <c r="V153" s="6">
        <f>IF(ISERROR(VLOOKUP($S$153,'TAR FIN'!$A$1:$O$104,15,0)),0,VLOOKUP($S$153,'TAR FIN'!$A$1:$O$104,15,0))</f>
        <v>12.9</v>
      </c>
      <c r="W153" s="6">
        <f>IF(ISERROR(VLOOKUP($T$153,'TAR FIN'!$A$1:$O$104,15,0)),0,VLOOKUP($T$153,'TAR FIN'!$A$1:$O$104,15,0))</f>
        <v>0</v>
      </c>
      <c r="X153" s="6">
        <f>IF(ISERROR(VLOOKUP($U$153,'TAR FIN'!$A$1:$O$104,15,0)),0,VLOOKUP($U$153,'TAR FIN'!$A$1:$O$104,15,0))</f>
        <v>0</v>
      </c>
      <c r="Y153" s="6">
        <f ca="1">('TUSD BE'!$AM$12+'TUSD BF'!$AM$12+'TUSD CVA'!$AM$12)*1</f>
        <v>12.796774750698974</v>
      </c>
      <c r="Z153" s="6"/>
      <c r="AA153" s="6"/>
      <c r="AB153" s="6">
        <f t="shared" si="10"/>
        <v>193500</v>
      </c>
      <c r="AC153" s="6">
        <f t="shared" si="11"/>
        <v>0</v>
      </c>
      <c r="AD153" s="6">
        <f t="shared" ca="1" si="12"/>
        <v>191951.62126048462</v>
      </c>
      <c r="AE153" s="6">
        <f t="shared" si="13"/>
        <v>0</v>
      </c>
      <c r="AF153" s="4" t="s">
        <v>1000</v>
      </c>
    </row>
    <row r="154" spans="1:32" ht="11.25" customHeight="1" x14ac:dyDescent="0.25">
      <c r="A154" s="4" t="s">
        <v>21</v>
      </c>
      <c r="B154" s="4" t="s">
        <v>39</v>
      </c>
      <c r="C154" s="4" t="s">
        <v>66</v>
      </c>
      <c r="D154" s="4" t="s">
        <v>25</v>
      </c>
      <c r="E154" s="4" t="s">
        <v>25</v>
      </c>
      <c r="F154" s="4" t="s">
        <v>25</v>
      </c>
      <c r="G154" s="4" t="s">
        <v>77</v>
      </c>
      <c r="H154" s="4" t="s">
        <v>25</v>
      </c>
      <c r="I154" s="5">
        <v>44593</v>
      </c>
      <c r="J154" s="6">
        <v>30000</v>
      </c>
      <c r="K154" s="6">
        <v>15000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68</v>
      </c>
      <c r="R154" s="4">
        <v>33665</v>
      </c>
      <c r="S154" s="4">
        <v>16</v>
      </c>
      <c r="T154" s="4">
        <v>0</v>
      </c>
      <c r="U154" s="4">
        <v>0</v>
      </c>
      <c r="V154" s="6">
        <f>IF(ISERROR(VLOOKUP($S$154,'TAR FIN'!$A$1:$O$104,15,0)),0,VLOOKUP($S$154,'TAR FIN'!$A$1:$O$104,15,0))</f>
        <v>12.9</v>
      </c>
      <c r="W154" s="6">
        <f>IF(ISERROR(VLOOKUP($T$154,'TAR FIN'!$A$1:$O$104,15,0)),0,VLOOKUP($T$154,'TAR FIN'!$A$1:$O$104,15,0))</f>
        <v>0</v>
      </c>
      <c r="X154" s="6">
        <f>IF(ISERROR(VLOOKUP($U$154,'TAR FIN'!$A$1:$O$104,15,0)),0,VLOOKUP($U$154,'TAR FIN'!$A$1:$O$104,15,0))</f>
        <v>0</v>
      </c>
      <c r="Y154" s="6">
        <f ca="1">('TUSD BE'!$AM$12+'TUSD BF'!$AM$12+'TUSD CVA'!$AM$12)*1</f>
        <v>12.796774750698974</v>
      </c>
      <c r="Z154" s="6"/>
      <c r="AA154" s="6"/>
      <c r="AB154" s="6">
        <f t="shared" si="10"/>
        <v>193500</v>
      </c>
      <c r="AC154" s="6">
        <f t="shared" si="11"/>
        <v>0</v>
      </c>
      <c r="AD154" s="6">
        <f t="shared" ca="1" si="12"/>
        <v>191951.62126048462</v>
      </c>
      <c r="AE154" s="6">
        <f t="shared" si="13"/>
        <v>0</v>
      </c>
      <c r="AF154" s="4" t="s">
        <v>1000</v>
      </c>
    </row>
    <row r="155" spans="1:32" ht="11.25" customHeight="1" x14ac:dyDescent="0.25">
      <c r="A155" s="4" t="s">
        <v>21</v>
      </c>
      <c r="B155" s="4" t="s">
        <v>39</v>
      </c>
      <c r="C155" s="4" t="s">
        <v>66</v>
      </c>
      <c r="D155" s="4" t="s">
        <v>25</v>
      </c>
      <c r="E155" s="4" t="s">
        <v>25</v>
      </c>
      <c r="F155" s="4" t="s">
        <v>25</v>
      </c>
      <c r="G155" s="4" t="s">
        <v>78</v>
      </c>
      <c r="H155" s="4" t="s">
        <v>25</v>
      </c>
      <c r="I155" s="5">
        <v>44593</v>
      </c>
      <c r="J155" s="6">
        <v>27000</v>
      </c>
      <c r="K155" s="6">
        <v>13500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68</v>
      </c>
      <c r="R155" s="4">
        <v>34085</v>
      </c>
      <c r="S155" s="4">
        <v>16</v>
      </c>
      <c r="T155" s="4">
        <v>0</v>
      </c>
      <c r="U155" s="4">
        <v>0</v>
      </c>
      <c r="V155" s="6">
        <f>IF(ISERROR(VLOOKUP($S$155,'TAR FIN'!$A$1:$O$104,15,0)),0,VLOOKUP($S$155,'TAR FIN'!$A$1:$O$104,15,0))</f>
        <v>12.9</v>
      </c>
      <c r="W155" s="6">
        <f>IF(ISERROR(VLOOKUP($T$155,'TAR FIN'!$A$1:$O$104,15,0)),0,VLOOKUP($T$155,'TAR FIN'!$A$1:$O$104,15,0))</f>
        <v>0</v>
      </c>
      <c r="X155" s="6">
        <f>IF(ISERROR(VLOOKUP($U$155,'TAR FIN'!$A$1:$O$104,15,0)),0,VLOOKUP($U$155,'TAR FIN'!$A$1:$O$104,15,0))</f>
        <v>0</v>
      </c>
      <c r="Y155" s="6">
        <f ca="1">('TUSD BE'!$AM$12+'TUSD BF'!$AM$12+'TUSD CVA'!$AM$12)*1</f>
        <v>12.796774750698974</v>
      </c>
      <c r="Z155" s="6"/>
      <c r="AA155" s="6"/>
      <c r="AB155" s="6">
        <f t="shared" si="10"/>
        <v>174150</v>
      </c>
      <c r="AC155" s="6">
        <f t="shared" si="11"/>
        <v>0</v>
      </c>
      <c r="AD155" s="6">
        <f t="shared" ca="1" si="12"/>
        <v>172756.45913443615</v>
      </c>
      <c r="AE155" s="6">
        <f t="shared" si="13"/>
        <v>0</v>
      </c>
      <c r="AF155" s="4" t="s">
        <v>1000</v>
      </c>
    </row>
    <row r="156" spans="1:32" ht="11.25" customHeight="1" x14ac:dyDescent="0.25">
      <c r="A156" s="4" t="s">
        <v>21</v>
      </c>
      <c r="B156" s="4" t="s">
        <v>39</v>
      </c>
      <c r="C156" s="4" t="s">
        <v>66</v>
      </c>
      <c r="D156" s="4" t="s">
        <v>25</v>
      </c>
      <c r="E156" s="4" t="s">
        <v>25</v>
      </c>
      <c r="F156" s="4" t="s">
        <v>25</v>
      </c>
      <c r="G156" s="4" t="s">
        <v>79</v>
      </c>
      <c r="H156" s="4" t="s">
        <v>25</v>
      </c>
      <c r="I156" s="5">
        <v>44593</v>
      </c>
      <c r="J156" s="6">
        <v>27000</v>
      </c>
      <c r="K156" s="6">
        <v>13500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68</v>
      </c>
      <c r="R156" s="4">
        <v>34086</v>
      </c>
      <c r="S156" s="4">
        <v>16</v>
      </c>
      <c r="T156" s="4">
        <v>0</v>
      </c>
      <c r="U156" s="4">
        <v>0</v>
      </c>
      <c r="V156" s="6">
        <f>IF(ISERROR(VLOOKUP($S$156,'TAR FIN'!$A$1:$O$104,15,0)),0,VLOOKUP($S$156,'TAR FIN'!$A$1:$O$104,15,0))</f>
        <v>12.9</v>
      </c>
      <c r="W156" s="6">
        <f>IF(ISERROR(VLOOKUP($T$156,'TAR FIN'!$A$1:$O$104,15,0)),0,VLOOKUP($T$156,'TAR FIN'!$A$1:$O$104,15,0))</f>
        <v>0</v>
      </c>
      <c r="X156" s="6">
        <f>IF(ISERROR(VLOOKUP($U$156,'TAR FIN'!$A$1:$O$104,15,0)),0,VLOOKUP($U$156,'TAR FIN'!$A$1:$O$104,15,0))</f>
        <v>0</v>
      </c>
      <c r="Y156" s="6">
        <f ca="1">('TUSD BE'!$AM$12+'TUSD BF'!$AM$12+'TUSD CVA'!$AM$12)*1</f>
        <v>12.796774750698974</v>
      </c>
      <c r="Z156" s="6"/>
      <c r="AA156" s="6"/>
      <c r="AB156" s="6">
        <f t="shared" si="10"/>
        <v>174150</v>
      </c>
      <c r="AC156" s="6">
        <f t="shared" si="11"/>
        <v>0</v>
      </c>
      <c r="AD156" s="6">
        <f t="shared" ca="1" si="12"/>
        <v>172756.45913443615</v>
      </c>
      <c r="AE156" s="6">
        <f t="shared" si="13"/>
        <v>0</v>
      </c>
      <c r="AF156" s="4" t="s">
        <v>1000</v>
      </c>
    </row>
    <row r="157" spans="1:32" ht="11.25" customHeight="1" x14ac:dyDescent="0.25">
      <c r="A157" s="4" t="s">
        <v>21</v>
      </c>
      <c r="B157" s="4" t="s">
        <v>39</v>
      </c>
      <c r="C157" s="4" t="s">
        <v>66</v>
      </c>
      <c r="D157" s="4" t="s">
        <v>25</v>
      </c>
      <c r="E157" s="4" t="s">
        <v>25</v>
      </c>
      <c r="F157" s="4" t="s">
        <v>25</v>
      </c>
      <c r="G157" s="4" t="s">
        <v>67</v>
      </c>
      <c r="H157" s="4" t="s">
        <v>25</v>
      </c>
      <c r="I157" s="5">
        <v>44621</v>
      </c>
      <c r="J157" s="6">
        <v>3500</v>
      </c>
      <c r="K157" s="6">
        <v>3500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68</v>
      </c>
      <c r="R157" s="4">
        <v>27402</v>
      </c>
      <c r="S157" s="4">
        <v>16</v>
      </c>
      <c r="T157" s="4">
        <v>0</v>
      </c>
      <c r="U157" s="4">
        <v>0</v>
      </c>
      <c r="V157" s="6">
        <f>IF(ISERROR(VLOOKUP($S$157,'TAR FIN'!$A$1:$O$104,15,0)),0,VLOOKUP($S$157,'TAR FIN'!$A$1:$O$104,15,0))</f>
        <v>12.9</v>
      </c>
      <c r="W157" s="6">
        <f>IF(ISERROR(VLOOKUP($T$157,'TAR FIN'!$A$1:$O$104,15,0)),0,VLOOKUP($T$157,'TAR FIN'!$A$1:$O$104,15,0))</f>
        <v>0</v>
      </c>
      <c r="X157" s="6">
        <f>IF(ISERROR(VLOOKUP($U$157,'TAR FIN'!$A$1:$O$104,15,0)),0,VLOOKUP($U$157,'TAR FIN'!$A$1:$O$104,15,0))</f>
        <v>0</v>
      </c>
      <c r="Y157" s="6">
        <f ca="1">('TUSD BE'!$AM$12+'TUSD BF'!$AM$12+'TUSD CVA'!$AM$12)*1</f>
        <v>12.796774750698974</v>
      </c>
      <c r="Z157" s="6"/>
      <c r="AA157" s="6"/>
      <c r="AB157" s="6">
        <f t="shared" si="10"/>
        <v>0</v>
      </c>
      <c r="AC157" s="6">
        <f t="shared" si="11"/>
        <v>0</v>
      </c>
      <c r="AD157" s="6">
        <f t="shared" ca="1" si="12"/>
        <v>0</v>
      </c>
      <c r="AE157" s="6">
        <f t="shared" si="13"/>
        <v>0</v>
      </c>
      <c r="AF157" s="4" t="s">
        <v>1000</v>
      </c>
    </row>
    <row r="158" spans="1:32" ht="11.25" customHeight="1" x14ac:dyDescent="0.25">
      <c r="A158" s="4" t="s">
        <v>21</v>
      </c>
      <c r="B158" s="4" t="s">
        <v>39</v>
      </c>
      <c r="C158" s="4" t="s">
        <v>66</v>
      </c>
      <c r="D158" s="4" t="s">
        <v>25</v>
      </c>
      <c r="E158" s="4" t="s">
        <v>25</v>
      </c>
      <c r="F158" s="4" t="s">
        <v>25</v>
      </c>
      <c r="G158" s="4" t="s">
        <v>69</v>
      </c>
      <c r="H158" s="4" t="s">
        <v>25</v>
      </c>
      <c r="I158" s="5">
        <v>44621</v>
      </c>
      <c r="J158" s="6">
        <v>3000</v>
      </c>
      <c r="K158" s="6">
        <v>1500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68</v>
      </c>
      <c r="R158" s="4">
        <v>28515</v>
      </c>
      <c r="S158" s="4">
        <v>16</v>
      </c>
      <c r="T158" s="4">
        <v>0</v>
      </c>
      <c r="U158" s="4">
        <v>0</v>
      </c>
      <c r="V158" s="6">
        <f>IF(ISERROR(VLOOKUP($S$158,'TAR FIN'!$A$1:$O$104,15,0)),0,VLOOKUP($S$158,'TAR FIN'!$A$1:$O$104,15,0))</f>
        <v>12.9</v>
      </c>
      <c r="W158" s="6">
        <f>IF(ISERROR(VLOOKUP($T$158,'TAR FIN'!$A$1:$O$104,15,0)),0,VLOOKUP($T$158,'TAR FIN'!$A$1:$O$104,15,0))</f>
        <v>0</v>
      </c>
      <c r="X158" s="6">
        <f>IF(ISERROR(VLOOKUP($U$158,'TAR FIN'!$A$1:$O$104,15,0)),0,VLOOKUP($U$158,'TAR FIN'!$A$1:$O$104,15,0))</f>
        <v>0</v>
      </c>
      <c r="Y158" s="6">
        <f ca="1">('TUSD BE'!$AM$12+'TUSD BF'!$AM$12+'TUSD CVA'!$AM$12)*1</f>
        <v>12.796774750698974</v>
      </c>
      <c r="Z158" s="6"/>
      <c r="AA158" s="6"/>
      <c r="AB158" s="6">
        <f t="shared" si="10"/>
        <v>19350</v>
      </c>
      <c r="AC158" s="6">
        <f t="shared" si="11"/>
        <v>0</v>
      </c>
      <c r="AD158" s="6">
        <f t="shared" ca="1" si="12"/>
        <v>19195.162126048461</v>
      </c>
      <c r="AE158" s="6">
        <f t="shared" si="13"/>
        <v>0</v>
      </c>
      <c r="AF158" s="4" t="s">
        <v>1000</v>
      </c>
    </row>
    <row r="159" spans="1:32" ht="11.25" customHeight="1" x14ac:dyDescent="0.25">
      <c r="A159" s="4" t="s">
        <v>21</v>
      </c>
      <c r="B159" s="4" t="s">
        <v>39</v>
      </c>
      <c r="C159" s="4" t="s">
        <v>66</v>
      </c>
      <c r="D159" s="4" t="s">
        <v>25</v>
      </c>
      <c r="E159" s="4" t="s">
        <v>25</v>
      </c>
      <c r="F159" s="4" t="s">
        <v>25</v>
      </c>
      <c r="G159" s="4" t="s">
        <v>70</v>
      </c>
      <c r="H159" s="4" t="s">
        <v>25</v>
      </c>
      <c r="I159" s="5">
        <v>44621</v>
      </c>
      <c r="J159" s="6">
        <v>11000</v>
      </c>
      <c r="K159" s="6">
        <v>5500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68</v>
      </c>
      <c r="R159" s="4">
        <v>28957</v>
      </c>
      <c r="S159" s="4">
        <v>16</v>
      </c>
      <c r="T159" s="4">
        <v>0</v>
      </c>
      <c r="U159" s="4">
        <v>0</v>
      </c>
      <c r="V159" s="6">
        <f>IF(ISERROR(VLOOKUP($S$159,'TAR FIN'!$A$1:$O$104,15,0)),0,VLOOKUP($S$159,'TAR FIN'!$A$1:$O$104,15,0))</f>
        <v>12.9</v>
      </c>
      <c r="W159" s="6">
        <f>IF(ISERROR(VLOOKUP($T$159,'TAR FIN'!$A$1:$O$104,15,0)),0,VLOOKUP($T$159,'TAR FIN'!$A$1:$O$104,15,0))</f>
        <v>0</v>
      </c>
      <c r="X159" s="6">
        <f>IF(ISERROR(VLOOKUP($U$159,'TAR FIN'!$A$1:$O$104,15,0)),0,VLOOKUP($U$159,'TAR FIN'!$A$1:$O$104,15,0))</f>
        <v>0</v>
      </c>
      <c r="Y159" s="6">
        <f ca="1">('TUSD BE'!$AM$12+'TUSD BF'!$AM$12+'TUSD CVA'!$AM$12)*1</f>
        <v>12.796774750698974</v>
      </c>
      <c r="Z159" s="6"/>
      <c r="AA159" s="6"/>
      <c r="AB159" s="6">
        <f t="shared" si="10"/>
        <v>70950</v>
      </c>
      <c r="AC159" s="6">
        <f t="shared" si="11"/>
        <v>0</v>
      </c>
      <c r="AD159" s="6">
        <f t="shared" ca="1" si="12"/>
        <v>70382.261128844359</v>
      </c>
      <c r="AE159" s="6">
        <f t="shared" si="13"/>
        <v>0</v>
      </c>
      <c r="AF159" s="4" t="s">
        <v>1000</v>
      </c>
    </row>
    <row r="160" spans="1:32" ht="11.25" customHeight="1" x14ac:dyDescent="0.25">
      <c r="A160" s="4" t="s">
        <v>21</v>
      </c>
      <c r="B160" s="4" t="s">
        <v>39</v>
      </c>
      <c r="C160" s="4" t="s">
        <v>66</v>
      </c>
      <c r="D160" s="4" t="s">
        <v>25</v>
      </c>
      <c r="E160" s="4" t="s">
        <v>25</v>
      </c>
      <c r="F160" s="4" t="s">
        <v>25</v>
      </c>
      <c r="G160" s="4" t="s">
        <v>71</v>
      </c>
      <c r="H160" s="4" t="s">
        <v>25</v>
      </c>
      <c r="I160" s="5">
        <v>44621</v>
      </c>
      <c r="J160" s="6">
        <v>10050</v>
      </c>
      <c r="K160" s="6">
        <v>5025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68</v>
      </c>
      <c r="R160" s="4">
        <v>29041</v>
      </c>
      <c r="S160" s="4">
        <v>16</v>
      </c>
      <c r="T160" s="4">
        <v>0</v>
      </c>
      <c r="U160" s="4">
        <v>0</v>
      </c>
      <c r="V160" s="6">
        <f>IF(ISERROR(VLOOKUP($S$160,'TAR FIN'!$A$1:$O$104,15,0)),0,VLOOKUP($S$160,'TAR FIN'!$A$1:$O$104,15,0))</f>
        <v>12.9</v>
      </c>
      <c r="W160" s="6">
        <f>IF(ISERROR(VLOOKUP($T$160,'TAR FIN'!$A$1:$O$104,15,0)),0,VLOOKUP($T$160,'TAR FIN'!$A$1:$O$104,15,0))</f>
        <v>0</v>
      </c>
      <c r="X160" s="6">
        <f>IF(ISERROR(VLOOKUP($U$160,'TAR FIN'!$A$1:$O$104,15,0)),0,VLOOKUP($U$160,'TAR FIN'!$A$1:$O$104,15,0))</f>
        <v>0</v>
      </c>
      <c r="Y160" s="6">
        <f ca="1">('TUSD BE'!$AM$12+'TUSD BF'!$AM$12+'TUSD CVA'!$AM$12)*1</f>
        <v>12.796774750698974</v>
      </c>
      <c r="Z160" s="6"/>
      <c r="AA160" s="6"/>
      <c r="AB160" s="6">
        <f t="shared" si="10"/>
        <v>64822.5</v>
      </c>
      <c r="AC160" s="6">
        <f t="shared" si="11"/>
        <v>0</v>
      </c>
      <c r="AD160" s="6">
        <f t="shared" ca="1" si="12"/>
        <v>64303.793122262345</v>
      </c>
      <c r="AE160" s="6">
        <f t="shared" si="13"/>
        <v>0</v>
      </c>
      <c r="AF160" s="4" t="s">
        <v>1000</v>
      </c>
    </row>
    <row r="161" spans="1:32" ht="11.25" customHeight="1" x14ac:dyDescent="0.25">
      <c r="A161" s="4" t="s">
        <v>21</v>
      </c>
      <c r="B161" s="4" t="s">
        <v>39</v>
      </c>
      <c r="C161" s="4" t="s">
        <v>66</v>
      </c>
      <c r="D161" s="4" t="s">
        <v>25</v>
      </c>
      <c r="E161" s="4" t="s">
        <v>25</v>
      </c>
      <c r="F161" s="4" t="s">
        <v>25</v>
      </c>
      <c r="G161" s="4" t="s">
        <v>73</v>
      </c>
      <c r="H161" s="4" t="s">
        <v>25</v>
      </c>
      <c r="I161" s="5">
        <v>44621</v>
      </c>
      <c r="J161" s="6">
        <v>44450</v>
      </c>
      <c r="K161" s="6">
        <v>22225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68</v>
      </c>
      <c r="R161" s="4">
        <v>29092</v>
      </c>
      <c r="S161" s="4">
        <v>16</v>
      </c>
      <c r="T161" s="4">
        <v>0</v>
      </c>
      <c r="U161" s="4">
        <v>0</v>
      </c>
      <c r="V161" s="6">
        <f>IF(ISERROR(VLOOKUP($S$161,'TAR FIN'!$A$1:$O$104,15,0)),0,VLOOKUP($S$161,'TAR FIN'!$A$1:$O$104,15,0))</f>
        <v>12.9</v>
      </c>
      <c r="W161" s="6">
        <f>IF(ISERROR(VLOOKUP($T$161,'TAR FIN'!$A$1:$O$104,15,0)),0,VLOOKUP($T$161,'TAR FIN'!$A$1:$O$104,15,0))</f>
        <v>0</v>
      </c>
      <c r="X161" s="6">
        <f>IF(ISERROR(VLOOKUP($U$161,'TAR FIN'!$A$1:$O$104,15,0)),0,VLOOKUP($U$161,'TAR FIN'!$A$1:$O$104,15,0))</f>
        <v>0</v>
      </c>
      <c r="Y161" s="6">
        <f ca="1">('TUSD BE'!$AM$12+'TUSD BF'!$AM$12+'TUSD CVA'!$AM$12)*1</f>
        <v>12.796774750698974</v>
      </c>
      <c r="Z161" s="6"/>
      <c r="AA161" s="6"/>
      <c r="AB161" s="6">
        <f t="shared" si="10"/>
        <v>286702.5</v>
      </c>
      <c r="AC161" s="6">
        <f t="shared" si="11"/>
        <v>0</v>
      </c>
      <c r="AD161" s="6">
        <f t="shared" ca="1" si="12"/>
        <v>284408.31883428473</v>
      </c>
      <c r="AE161" s="6">
        <f t="shared" si="13"/>
        <v>0</v>
      </c>
      <c r="AF161" s="4" t="s">
        <v>1000</v>
      </c>
    </row>
    <row r="162" spans="1:32" ht="11.25" customHeight="1" x14ac:dyDescent="0.25">
      <c r="A162" s="4" t="s">
        <v>21</v>
      </c>
      <c r="B162" s="4" t="s">
        <v>39</v>
      </c>
      <c r="C162" s="4" t="s">
        <v>66</v>
      </c>
      <c r="D162" s="4" t="s">
        <v>25</v>
      </c>
      <c r="E162" s="4" t="s">
        <v>25</v>
      </c>
      <c r="F162" s="4" t="s">
        <v>25</v>
      </c>
      <c r="G162" s="4" t="s">
        <v>75</v>
      </c>
      <c r="H162" s="4" t="s">
        <v>25</v>
      </c>
      <c r="I162" s="5">
        <v>44621</v>
      </c>
      <c r="J162" s="6">
        <v>30000</v>
      </c>
      <c r="K162" s="6">
        <v>15000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68</v>
      </c>
      <c r="R162" s="4">
        <v>33663</v>
      </c>
      <c r="S162" s="4">
        <v>16</v>
      </c>
      <c r="T162" s="4">
        <v>0</v>
      </c>
      <c r="U162" s="4">
        <v>0</v>
      </c>
      <c r="V162" s="6">
        <f>IF(ISERROR(VLOOKUP($S$162,'TAR FIN'!$A$1:$O$104,15,0)),0,VLOOKUP($S$162,'TAR FIN'!$A$1:$O$104,15,0))</f>
        <v>12.9</v>
      </c>
      <c r="W162" s="6">
        <f>IF(ISERROR(VLOOKUP($T$162,'TAR FIN'!$A$1:$O$104,15,0)),0,VLOOKUP($T$162,'TAR FIN'!$A$1:$O$104,15,0))</f>
        <v>0</v>
      </c>
      <c r="X162" s="6">
        <f>IF(ISERROR(VLOOKUP($U$162,'TAR FIN'!$A$1:$O$104,15,0)),0,VLOOKUP($U$162,'TAR FIN'!$A$1:$O$104,15,0))</f>
        <v>0</v>
      </c>
      <c r="Y162" s="6">
        <f ca="1">('TUSD BE'!$AM$12+'TUSD BF'!$AM$12+'TUSD CVA'!$AM$12)*1</f>
        <v>12.796774750698974</v>
      </c>
      <c r="Z162" s="6"/>
      <c r="AA162" s="6"/>
      <c r="AB162" s="6">
        <f t="shared" si="10"/>
        <v>193500</v>
      </c>
      <c r="AC162" s="6">
        <f t="shared" si="11"/>
        <v>0</v>
      </c>
      <c r="AD162" s="6">
        <f t="shared" ca="1" si="12"/>
        <v>191951.62126048462</v>
      </c>
      <c r="AE162" s="6">
        <f t="shared" si="13"/>
        <v>0</v>
      </c>
      <c r="AF162" s="4" t="s">
        <v>1000</v>
      </c>
    </row>
    <row r="163" spans="1:32" ht="11.25" customHeight="1" x14ac:dyDescent="0.25">
      <c r="A163" s="4" t="s">
        <v>21</v>
      </c>
      <c r="B163" s="4" t="s">
        <v>39</v>
      </c>
      <c r="C163" s="4" t="s">
        <v>66</v>
      </c>
      <c r="D163" s="4" t="s">
        <v>25</v>
      </c>
      <c r="E163" s="4" t="s">
        <v>25</v>
      </c>
      <c r="F163" s="4" t="s">
        <v>25</v>
      </c>
      <c r="G163" s="4" t="s">
        <v>76</v>
      </c>
      <c r="H163" s="4" t="s">
        <v>25</v>
      </c>
      <c r="I163" s="5">
        <v>44621</v>
      </c>
      <c r="J163" s="6">
        <v>30000</v>
      </c>
      <c r="K163" s="6">
        <v>15000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68</v>
      </c>
      <c r="R163" s="4">
        <v>33664</v>
      </c>
      <c r="S163" s="4">
        <v>16</v>
      </c>
      <c r="T163" s="4">
        <v>0</v>
      </c>
      <c r="U163" s="4">
        <v>0</v>
      </c>
      <c r="V163" s="6">
        <f>IF(ISERROR(VLOOKUP($S$163,'TAR FIN'!$A$1:$O$104,15,0)),0,VLOOKUP($S$163,'TAR FIN'!$A$1:$O$104,15,0))</f>
        <v>12.9</v>
      </c>
      <c r="W163" s="6">
        <f>IF(ISERROR(VLOOKUP($T$163,'TAR FIN'!$A$1:$O$104,15,0)),0,VLOOKUP($T$163,'TAR FIN'!$A$1:$O$104,15,0))</f>
        <v>0</v>
      </c>
      <c r="X163" s="6">
        <f>IF(ISERROR(VLOOKUP($U$163,'TAR FIN'!$A$1:$O$104,15,0)),0,VLOOKUP($U$163,'TAR FIN'!$A$1:$O$104,15,0))</f>
        <v>0</v>
      </c>
      <c r="Y163" s="6">
        <f ca="1">('TUSD BE'!$AM$12+'TUSD BF'!$AM$12+'TUSD CVA'!$AM$12)*1</f>
        <v>12.796774750698974</v>
      </c>
      <c r="Z163" s="6"/>
      <c r="AA163" s="6"/>
      <c r="AB163" s="6">
        <f t="shared" si="10"/>
        <v>193500</v>
      </c>
      <c r="AC163" s="6">
        <f t="shared" si="11"/>
        <v>0</v>
      </c>
      <c r="AD163" s="6">
        <f t="shared" ca="1" si="12"/>
        <v>191951.62126048462</v>
      </c>
      <c r="AE163" s="6">
        <f t="shared" si="13"/>
        <v>0</v>
      </c>
      <c r="AF163" s="4" t="s">
        <v>1000</v>
      </c>
    </row>
    <row r="164" spans="1:32" ht="11.25" customHeight="1" x14ac:dyDescent="0.25">
      <c r="A164" s="4" t="s">
        <v>21</v>
      </c>
      <c r="B164" s="4" t="s">
        <v>39</v>
      </c>
      <c r="C164" s="4" t="s">
        <v>66</v>
      </c>
      <c r="D164" s="4" t="s">
        <v>25</v>
      </c>
      <c r="E164" s="4" t="s">
        <v>25</v>
      </c>
      <c r="F164" s="4" t="s">
        <v>25</v>
      </c>
      <c r="G164" s="4" t="s">
        <v>77</v>
      </c>
      <c r="H164" s="4" t="s">
        <v>25</v>
      </c>
      <c r="I164" s="5">
        <v>44621</v>
      </c>
      <c r="J164" s="6">
        <v>30000</v>
      </c>
      <c r="K164" s="6">
        <v>15000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68</v>
      </c>
      <c r="R164" s="4">
        <v>33665</v>
      </c>
      <c r="S164" s="4">
        <v>16</v>
      </c>
      <c r="T164" s="4">
        <v>0</v>
      </c>
      <c r="U164" s="4">
        <v>0</v>
      </c>
      <c r="V164" s="6">
        <f>IF(ISERROR(VLOOKUP($S$164,'TAR FIN'!$A$1:$O$104,15,0)),0,VLOOKUP($S$164,'TAR FIN'!$A$1:$O$104,15,0))</f>
        <v>12.9</v>
      </c>
      <c r="W164" s="6">
        <f>IF(ISERROR(VLOOKUP($T$164,'TAR FIN'!$A$1:$O$104,15,0)),0,VLOOKUP($T$164,'TAR FIN'!$A$1:$O$104,15,0))</f>
        <v>0</v>
      </c>
      <c r="X164" s="6">
        <f>IF(ISERROR(VLOOKUP($U$164,'TAR FIN'!$A$1:$O$104,15,0)),0,VLOOKUP($U$164,'TAR FIN'!$A$1:$O$104,15,0))</f>
        <v>0</v>
      </c>
      <c r="Y164" s="6">
        <f ca="1">('TUSD BE'!$AM$12+'TUSD BF'!$AM$12+'TUSD CVA'!$AM$12)*1</f>
        <v>12.796774750698974</v>
      </c>
      <c r="Z164" s="6"/>
      <c r="AA164" s="6"/>
      <c r="AB164" s="6">
        <f t="shared" si="10"/>
        <v>193500</v>
      </c>
      <c r="AC164" s="6">
        <f t="shared" si="11"/>
        <v>0</v>
      </c>
      <c r="AD164" s="6">
        <f t="shared" ca="1" si="12"/>
        <v>191951.62126048462</v>
      </c>
      <c r="AE164" s="6">
        <f t="shared" si="13"/>
        <v>0</v>
      </c>
      <c r="AF164" s="4" t="s">
        <v>1000</v>
      </c>
    </row>
    <row r="165" spans="1:32" ht="11.25" customHeight="1" x14ac:dyDescent="0.25">
      <c r="A165" s="4" t="s">
        <v>21</v>
      </c>
      <c r="B165" s="4" t="s">
        <v>39</v>
      </c>
      <c r="C165" s="4" t="s">
        <v>66</v>
      </c>
      <c r="D165" s="4" t="s">
        <v>25</v>
      </c>
      <c r="E165" s="4" t="s">
        <v>25</v>
      </c>
      <c r="F165" s="4" t="s">
        <v>25</v>
      </c>
      <c r="G165" s="4" t="s">
        <v>78</v>
      </c>
      <c r="H165" s="4" t="s">
        <v>25</v>
      </c>
      <c r="I165" s="5">
        <v>44621</v>
      </c>
      <c r="J165" s="6">
        <v>27000</v>
      </c>
      <c r="K165" s="6">
        <v>13500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68</v>
      </c>
      <c r="R165" s="4">
        <v>34085</v>
      </c>
      <c r="S165" s="4">
        <v>16</v>
      </c>
      <c r="T165" s="4">
        <v>0</v>
      </c>
      <c r="U165" s="4">
        <v>0</v>
      </c>
      <c r="V165" s="6">
        <f>IF(ISERROR(VLOOKUP($S$165,'TAR FIN'!$A$1:$O$104,15,0)),0,VLOOKUP($S$165,'TAR FIN'!$A$1:$O$104,15,0))</f>
        <v>12.9</v>
      </c>
      <c r="W165" s="6">
        <f>IF(ISERROR(VLOOKUP($T$165,'TAR FIN'!$A$1:$O$104,15,0)),0,VLOOKUP($T$165,'TAR FIN'!$A$1:$O$104,15,0))</f>
        <v>0</v>
      </c>
      <c r="X165" s="6">
        <f>IF(ISERROR(VLOOKUP($U$165,'TAR FIN'!$A$1:$O$104,15,0)),0,VLOOKUP($U$165,'TAR FIN'!$A$1:$O$104,15,0))</f>
        <v>0</v>
      </c>
      <c r="Y165" s="6">
        <f ca="1">('TUSD BE'!$AM$12+'TUSD BF'!$AM$12+'TUSD CVA'!$AM$12)*1</f>
        <v>12.796774750698974</v>
      </c>
      <c r="Z165" s="6"/>
      <c r="AA165" s="6"/>
      <c r="AB165" s="6">
        <f t="shared" si="10"/>
        <v>174150</v>
      </c>
      <c r="AC165" s="6">
        <f t="shared" si="11"/>
        <v>0</v>
      </c>
      <c r="AD165" s="6">
        <f t="shared" ca="1" si="12"/>
        <v>172756.45913443615</v>
      </c>
      <c r="AE165" s="6">
        <f t="shared" si="13"/>
        <v>0</v>
      </c>
      <c r="AF165" s="4" t="s">
        <v>1000</v>
      </c>
    </row>
    <row r="166" spans="1:32" ht="11.25" customHeight="1" x14ac:dyDescent="0.25">
      <c r="A166" s="4" t="s">
        <v>21</v>
      </c>
      <c r="B166" s="4" t="s">
        <v>39</v>
      </c>
      <c r="C166" s="4" t="s">
        <v>66</v>
      </c>
      <c r="D166" s="4" t="s">
        <v>25</v>
      </c>
      <c r="E166" s="4" t="s">
        <v>25</v>
      </c>
      <c r="F166" s="4" t="s">
        <v>25</v>
      </c>
      <c r="G166" s="4" t="s">
        <v>79</v>
      </c>
      <c r="H166" s="4" t="s">
        <v>25</v>
      </c>
      <c r="I166" s="5">
        <v>44621</v>
      </c>
      <c r="J166" s="6">
        <v>27000</v>
      </c>
      <c r="K166" s="6">
        <v>13500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68</v>
      </c>
      <c r="R166" s="4">
        <v>34086</v>
      </c>
      <c r="S166" s="4">
        <v>16</v>
      </c>
      <c r="T166" s="4">
        <v>0</v>
      </c>
      <c r="U166" s="4">
        <v>0</v>
      </c>
      <c r="V166" s="6">
        <f>IF(ISERROR(VLOOKUP($S$166,'TAR FIN'!$A$1:$O$104,15,0)),0,VLOOKUP($S$166,'TAR FIN'!$A$1:$O$104,15,0))</f>
        <v>12.9</v>
      </c>
      <c r="W166" s="6">
        <f>IF(ISERROR(VLOOKUP($T$166,'TAR FIN'!$A$1:$O$104,15,0)),0,VLOOKUP($T$166,'TAR FIN'!$A$1:$O$104,15,0))</f>
        <v>0</v>
      </c>
      <c r="X166" s="6">
        <f>IF(ISERROR(VLOOKUP($U$166,'TAR FIN'!$A$1:$O$104,15,0)),0,VLOOKUP($U$166,'TAR FIN'!$A$1:$O$104,15,0))</f>
        <v>0</v>
      </c>
      <c r="Y166" s="6">
        <f ca="1">('TUSD BE'!$AM$12+'TUSD BF'!$AM$12+'TUSD CVA'!$AM$12)*1</f>
        <v>12.796774750698974</v>
      </c>
      <c r="Z166" s="6"/>
      <c r="AA166" s="6"/>
      <c r="AB166" s="6">
        <f t="shared" si="10"/>
        <v>174150</v>
      </c>
      <c r="AC166" s="6">
        <f t="shared" si="11"/>
        <v>0</v>
      </c>
      <c r="AD166" s="6">
        <f t="shared" ca="1" si="12"/>
        <v>172756.45913443615</v>
      </c>
      <c r="AE166" s="6">
        <f t="shared" si="13"/>
        <v>0</v>
      </c>
      <c r="AF166" s="4" t="s">
        <v>1000</v>
      </c>
    </row>
    <row r="167" spans="1:32" ht="11.25" customHeight="1" x14ac:dyDescent="0.25">
      <c r="A167" s="4" t="s">
        <v>21</v>
      </c>
      <c r="B167" s="4" t="s">
        <v>39</v>
      </c>
      <c r="C167" s="4" t="s">
        <v>66</v>
      </c>
      <c r="D167" s="4" t="s">
        <v>25</v>
      </c>
      <c r="E167" s="4" t="s">
        <v>25</v>
      </c>
      <c r="F167" s="4" t="s">
        <v>25</v>
      </c>
      <c r="G167" s="4" t="s">
        <v>67</v>
      </c>
      <c r="H167" s="4" t="s">
        <v>25</v>
      </c>
      <c r="I167" s="5">
        <v>44652</v>
      </c>
      <c r="J167" s="6">
        <v>3500</v>
      </c>
      <c r="K167" s="6">
        <v>3500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68</v>
      </c>
      <c r="R167" s="4">
        <v>27402</v>
      </c>
      <c r="S167" s="4">
        <v>16</v>
      </c>
      <c r="T167" s="4">
        <v>0</v>
      </c>
      <c r="U167" s="4">
        <v>0</v>
      </c>
      <c r="V167" s="6">
        <f>IF(ISERROR(VLOOKUP($S$167,'TAR FIN'!$A$1:$O$104,15,0)),0,VLOOKUP($S$167,'TAR FIN'!$A$1:$O$104,15,0))</f>
        <v>12.9</v>
      </c>
      <c r="W167" s="6">
        <f>IF(ISERROR(VLOOKUP($T$167,'TAR FIN'!$A$1:$O$104,15,0)),0,VLOOKUP($T$167,'TAR FIN'!$A$1:$O$104,15,0))</f>
        <v>0</v>
      </c>
      <c r="X167" s="6">
        <f>IF(ISERROR(VLOOKUP($U$167,'TAR FIN'!$A$1:$O$104,15,0)),0,VLOOKUP($U$167,'TAR FIN'!$A$1:$O$104,15,0))</f>
        <v>0</v>
      </c>
      <c r="Y167" s="6">
        <f ca="1">('TUSD BE'!$AM$12+'TUSD BF'!$AM$12+'TUSD CVA'!$AM$12)*1</f>
        <v>12.796774750698974</v>
      </c>
      <c r="Z167" s="6"/>
      <c r="AA167" s="6"/>
      <c r="AB167" s="6">
        <f t="shared" si="10"/>
        <v>0</v>
      </c>
      <c r="AC167" s="6">
        <f t="shared" si="11"/>
        <v>0</v>
      </c>
      <c r="AD167" s="6">
        <f t="shared" ca="1" si="12"/>
        <v>0</v>
      </c>
      <c r="AE167" s="6">
        <f t="shared" si="13"/>
        <v>0</v>
      </c>
      <c r="AF167" s="4" t="s">
        <v>1000</v>
      </c>
    </row>
    <row r="168" spans="1:32" ht="11.25" customHeight="1" x14ac:dyDescent="0.25">
      <c r="A168" s="4" t="s">
        <v>21</v>
      </c>
      <c r="B168" s="4" t="s">
        <v>39</v>
      </c>
      <c r="C168" s="4" t="s">
        <v>66</v>
      </c>
      <c r="D168" s="4" t="s">
        <v>25</v>
      </c>
      <c r="E168" s="4" t="s">
        <v>25</v>
      </c>
      <c r="F168" s="4" t="s">
        <v>25</v>
      </c>
      <c r="G168" s="4" t="s">
        <v>69</v>
      </c>
      <c r="H168" s="4" t="s">
        <v>25</v>
      </c>
      <c r="I168" s="5">
        <v>44652</v>
      </c>
      <c r="J168" s="6">
        <v>3000</v>
      </c>
      <c r="K168" s="6">
        <v>1500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68</v>
      </c>
      <c r="R168" s="4">
        <v>28515</v>
      </c>
      <c r="S168" s="4">
        <v>16</v>
      </c>
      <c r="T168" s="4">
        <v>0</v>
      </c>
      <c r="U168" s="4">
        <v>0</v>
      </c>
      <c r="V168" s="6">
        <f>IF(ISERROR(VLOOKUP($S$168,'TAR FIN'!$A$1:$O$104,15,0)),0,VLOOKUP($S$168,'TAR FIN'!$A$1:$O$104,15,0))</f>
        <v>12.9</v>
      </c>
      <c r="W168" s="6">
        <f>IF(ISERROR(VLOOKUP($T$168,'TAR FIN'!$A$1:$O$104,15,0)),0,VLOOKUP($T$168,'TAR FIN'!$A$1:$O$104,15,0))</f>
        <v>0</v>
      </c>
      <c r="X168" s="6">
        <f>IF(ISERROR(VLOOKUP($U$168,'TAR FIN'!$A$1:$O$104,15,0)),0,VLOOKUP($U$168,'TAR FIN'!$A$1:$O$104,15,0))</f>
        <v>0</v>
      </c>
      <c r="Y168" s="6">
        <f ca="1">('TUSD BE'!$AM$12+'TUSD BF'!$AM$12+'TUSD CVA'!$AM$12)*1</f>
        <v>12.796774750698974</v>
      </c>
      <c r="Z168" s="6"/>
      <c r="AA168" s="6"/>
      <c r="AB168" s="6">
        <f t="shared" si="10"/>
        <v>19350</v>
      </c>
      <c r="AC168" s="6">
        <f t="shared" si="11"/>
        <v>0</v>
      </c>
      <c r="AD168" s="6">
        <f t="shared" ca="1" si="12"/>
        <v>19195.162126048461</v>
      </c>
      <c r="AE168" s="6">
        <f t="shared" si="13"/>
        <v>0</v>
      </c>
      <c r="AF168" s="4" t="s">
        <v>1000</v>
      </c>
    </row>
    <row r="169" spans="1:32" ht="11.25" customHeight="1" x14ac:dyDescent="0.25">
      <c r="A169" s="4" t="s">
        <v>21</v>
      </c>
      <c r="B169" s="4" t="s">
        <v>39</v>
      </c>
      <c r="C169" s="4" t="s">
        <v>66</v>
      </c>
      <c r="D169" s="4" t="s">
        <v>25</v>
      </c>
      <c r="E169" s="4" t="s">
        <v>25</v>
      </c>
      <c r="F169" s="4" t="s">
        <v>25</v>
      </c>
      <c r="G169" s="4" t="s">
        <v>70</v>
      </c>
      <c r="H169" s="4" t="s">
        <v>25</v>
      </c>
      <c r="I169" s="5">
        <v>44652</v>
      </c>
      <c r="J169" s="6">
        <v>11000</v>
      </c>
      <c r="K169" s="6">
        <v>5500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68</v>
      </c>
      <c r="R169" s="4">
        <v>28957</v>
      </c>
      <c r="S169" s="4">
        <v>16</v>
      </c>
      <c r="T169" s="4">
        <v>0</v>
      </c>
      <c r="U169" s="4">
        <v>0</v>
      </c>
      <c r="V169" s="6">
        <f>IF(ISERROR(VLOOKUP($S$169,'TAR FIN'!$A$1:$O$104,15,0)),0,VLOOKUP($S$169,'TAR FIN'!$A$1:$O$104,15,0))</f>
        <v>12.9</v>
      </c>
      <c r="W169" s="6">
        <f>IF(ISERROR(VLOOKUP($T$169,'TAR FIN'!$A$1:$O$104,15,0)),0,VLOOKUP($T$169,'TAR FIN'!$A$1:$O$104,15,0))</f>
        <v>0</v>
      </c>
      <c r="X169" s="6">
        <f>IF(ISERROR(VLOOKUP($U$169,'TAR FIN'!$A$1:$O$104,15,0)),0,VLOOKUP($U$169,'TAR FIN'!$A$1:$O$104,15,0))</f>
        <v>0</v>
      </c>
      <c r="Y169" s="6">
        <f ca="1">('TUSD BE'!$AM$12+'TUSD BF'!$AM$12+'TUSD CVA'!$AM$12)*1</f>
        <v>12.796774750698974</v>
      </c>
      <c r="Z169" s="6"/>
      <c r="AA169" s="6"/>
      <c r="AB169" s="6">
        <f t="shared" si="10"/>
        <v>70950</v>
      </c>
      <c r="AC169" s="6">
        <f t="shared" si="11"/>
        <v>0</v>
      </c>
      <c r="AD169" s="6">
        <f t="shared" ca="1" si="12"/>
        <v>70382.261128844359</v>
      </c>
      <c r="AE169" s="6">
        <f t="shared" si="13"/>
        <v>0</v>
      </c>
      <c r="AF169" s="4" t="s">
        <v>1000</v>
      </c>
    </row>
    <row r="170" spans="1:32" ht="11.25" customHeight="1" x14ac:dyDescent="0.25">
      <c r="A170" s="4" t="s">
        <v>21</v>
      </c>
      <c r="B170" s="4" t="s">
        <v>39</v>
      </c>
      <c r="C170" s="4" t="s">
        <v>66</v>
      </c>
      <c r="D170" s="4" t="s">
        <v>25</v>
      </c>
      <c r="E170" s="4" t="s">
        <v>25</v>
      </c>
      <c r="F170" s="4" t="s">
        <v>25</v>
      </c>
      <c r="G170" s="4" t="s">
        <v>71</v>
      </c>
      <c r="H170" s="4" t="s">
        <v>25</v>
      </c>
      <c r="I170" s="5">
        <v>44652</v>
      </c>
      <c r="J170" s="6">
        <v>10050</v>
      </c>
      <c r="K170" s="6">
        <v>5025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4" t="s">
        <v>68</v>
      </c>
      <c r="R170" s="4">
        <v>29041</v>
      </c>
      <c r="S170" s="4">
        <v>16</v>
      </c>
      <c r="T170" s="4">
        <v>0</v>
      </c>
      <c r="U170" s="4">
        <v>0</v>
      </c>
      <c r="V170" s="6">
        <f>IF(ISERROR(VLOOKUP($S$170,'TAR FIN'!$A$1:$O$104,15,0)),0,VLOOKUP($S$170,'TAR FIN'!$A$1:$O$104,15,0))</f>
        <v>12.9</v>
      </c>
      <c r="W170" s="6">
        <f>IF(ISERROR(VLOOKUP($T$170,'TAR FIN'!$A$1:$O$104,15,0)),0,VLOOKUP($T$170,'TAR FIN'!$A$1:$O$104,15,0))</f>
        <v>0</v>
      </c>
      <c r="X170" s="6">
        <f>IF(ISERROR(VLOOKUP($U$170,'TAR FIN'!$A$1:$O$104,15,0)),0,VLOOKUP($U$170,'TAR FIN'!$A$1:$O$104,15,0))</f>
        <v>0</v>
      </c>
      <c r="Y170" s="6">
        <f ca="1">('TUSD BE'!$AM$12+'TUSD BF'!$AM$12+'TUSD CVA'!$AM$12)*1</f>
        <v>12.796774750698974</v>
      </c>
      <c r="Z170" s="6"/>
      <c r="AA170" s="6"/>
      <c r="AB170" s="6">
        <f t="shared" si="10"/>
        <v>64822.5</v>
      </c>
      <c r="AC170" s="6">
        <f t="shared" si="11"/>
        <v>0</v>
      </c>
      <c r="AD170" s="6">
        <f t="shared" ca="1" si="12"/>
        <v>64303.793122262345</v>
      </c>
      <c r="AE170" s="6">
        <f t="shared" si="13"/>
        <v>0</v>
      </c>
      <c r="AF170" s="4" t="s">
        <v>1000</v>
      </c>
    </row>
    <row r="171" spans="1:32" ht="11.25" customHeight="1" x14ac:dyDescent="0.25">
      <c r="A171" s="4" t="s">
        <v>21</v>
      </c>
      <c r="B171" s="4" t="s">
        <v>39</v>
      </c>
      <c r="C171" s="4" t="s">
        <v>66</v>
      </c>
      <c r="D171" s="4" t="s">
        <v>25</v>
      </c>
      <c r="E171" s="4" t="s">
        <v>25</v>
      </c>
      <c r="F171" s="4" t="s">
        <v>25</v>
      </c>
      <c r="G171" s="4" t="s">
        <v>73</v>
      </c>
      <c r="H171" s="4" t="s">
        <v>25</v>
      </c>
      <c r="I171" s="5">
        <v>44652</v>
      </c>
      <c r="J171" s="6">
        <v>44450</v>
      </c>
      <c r="K171" s="6">
        <v>22225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4" t="s">
        <v>68</v>
      </c>
      <c r="R171" s="4">
        <v>29092</v>
      </c>
      <c r="S171" s="4">
        <v>16</v>
      </c>
      <c r="T171" s="4">
        <v>0</v>
      </c>
      <c r="U171" s="4">
        <v>0</v>
      </c>
      <c r="V171" s="6">
        <f>IF(ISERROR(VLOOKUP($S$171,'TAR FIN'!$A$1:$O$104,15,0)),0,VLOOKUP($S$171,'TAR FIN'!$A$1:$O$104,15,0))</f>
        <v>12.9</v>
      </c>
      <c r="W171" s="6">
        <f>IF(ISERROR(VLOOKUP($T$171,'TAR FIN'!$A$1:$O$104,15,0)),0,VLOOKUP($T$171,'TAR FIN'!$A$1:$O$104,15,0))</f>
        <v>0</v>
      </c>
      <c r="X171" s="6">
        <f>IF(ISERROR(VLOOKUP($U$171,'TAR FIN'!$A$1:$O$104,15,0)),0,VLOOKUP($U$171,'TAR FIN'!$A$1:$O$104,15,0))</f>
        <v>0</v>
      </c>
      <c r="Y171" s="6">
        <f ca="1">('TUSD BE'!$AM$12+'TUSD BF'!$AM$12+'TUSD CVA'!$AM$12)*1</f>
        <v>12.796774750698974</v>
      </c>
      <c r="Z171" s="6"/>
      <c r="AA171" s="6"/>
      <c r="AB171" s="6">
        <f t="shared" si="10"/>
        <v>286702.5</v>
      </c>
      <c r="AC171" s="6">
        <f t="shared" si="11"/>
        <v>0</v>
      </c>
      <c r="AD171" s="6">
        <f t="shared" ca="1" si="12"/>
        <v>284408.31883428473</v>
      </c>
      <c r="AE171" s="6">
        <f t="shared" si="13"/>
        <v>0</v>
      </c>
      <c r="AF171" s="4" t="s">
        <v>1000</v>
      </c>
    </row>
    <row r="172" spans="1:32" ht="11.25" customHeight="1" x14ac:dyDescent="0.25">
      <c r="A172" s="4" t="s">
        <v>21</v>
      </c>
      <c r="B172" s="4" t="s">
        <v>39</v>
      </c>
      <c r="C172" s="4" t="s">
        <v>66</v>
      </c>
      <c r="D172" s="4" t="s">
        <v>25</v>
      </c>
      <c r="E172" s="4" t="s">
        <v>25</v>
      </c>
      <c r="F172" s="4" t="s">
        <v>25</v>
      </c>
      <c r="G172" s="4" t="s">
        <v>75</v>
      </c>
      <c r="H172" s="4" t="s">
        <v>25</v>
      </c>
      <c r="I172" s="5">
        <v>44652</v>
      </c>
      <c r="J172" s="6">
        <v>30000</v>
      </c>
      <c r="K172" s="6">
        <v>15000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4" t="s">
        <v>68</v>
      </c>
      <c r="R172" s="4">
        <v>33663</v>
      </c>
      <c r="S172" s="4">
        <v>16</v>
      </c>
      <c r="T172" s="4">
        <v>0</v>
      </c>
      <c r="U172" s="4">
        <v>0</v>
      </c>
      <c r="V172" s="6">
        <f>IF(ISERROR(VLOOKUP($S$172,'TAR FIN'!$A$1:$O$104,15,0)),0,VLOOKUP($S$172,'TAR FIN'!$A$1:$O$104,15,0))</f>
        <v>12.9</v>
      </c>
      <c r="W172" s="6">
        <f>IF(ISERROR(VLOOKUP($T$172,'TAR FIN'!$A$1:$O$104,15,0)),0,VLOOKUP($T$172,'TAR FIN'!$A$1:$O$104,15,0))</f>
        <v>0</v>
      </c>
      <c r="X172" s="6">
        <f>IF(ISERROR(VLOOKUP($U$172,'TAR FIN'!$A$1:$O$104,15,0)),0,VLOOKUP($U$172,'TAR FIN'!$A$1:$O$104,15,0))</f>
        <v>0</v>
      </c>
      <c r="Y172" s="6">
        <f ca="1">('TUSD BE'!$AM$12+'TUSD BF'!$AM$12+'TUSD CVA'!$AM$12)*1</f>
        <v>12.796774750698974</v>
      </c>
      <c r="Z172" s="6"/>
      <c r="AA172" s="6"/>
      <c r="AB172" s="6">
        <f t="shared" si="10"/>
        <v>193500</v>
      </c>
      <c r="AC172" s="6">
        <f t="shared" si="11"/>
        <v>0</v>
      </c>
      <c r="AD172" s="6">
        <f t="shared" ca="1" si="12"/>
        <v>191951.62126048462</v>
      </c>
      <c r="AE172" s="6">
        <f t="shared" si="13"/>
        <v>0</v>
      </c>
      <c r="AF172" s="4" t="s">
        <v>1000</v>
      </c>
    </row>
    <row r="173" spans="1:32" ht="11.25" customHeight="1" x14ac:dyDescent="0.25">
      <c r="A173" s="4" t="s">
        <v>21</v>
      </c>
      <c r="B173" s="4" t="s">
        <v>39</v>
      </c>
      <c r="C173" s="4" t="s">
        <v>66</v>
      </c>
      <c r="D173" s="4" t="s">
        <v>25</v>
      </c>
      <c r="E173" s="4" t="s">
        <v>25</v>
      </c>
      <c r="F173" s="4" t="s">
        <v>25</v>
      </c>
      <c r="G173" s="4" t="s">
        <v>76</v>
      </c>
      <c r="H173" s="4" t="s">
        <v>25</v>
      </c>
      <c r="I173" s="5">
        <v>44652</v>
      </c>
      <c r="J173" s="6">
        <v>30000</v>
      </c>
      <c r="K173" s="6">
        <v>15000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4" t="s">
        <v>68</v>
      </c>
      <c r="R173" s="4">
        <v>33664</v>
      </c>
      <c r="S173" s="4">
        <v>16</v>
      </c>
      <c r="T173" s="4">
        <v>0</v>
      </c>
      <c r="U173" s="4">
        <v>0</v>
      </c>
      <c r="V173" s="6">
        <f>IF(ISERROR(VLOOKUP($S$173,'TAR FIN'!$A$1:$O$104,15,0)),0,VLOOKUP($S$173,'TAR FIN'!$A$1:$O$104,15,0))</f>
        <v>12.9</v>
      </c>
      <c r="W173" s="6">
        <f>IF(ISERROR(VLOOKUP($T$173,'TAR FIN'!$A$1:$O$104,15,0)),0,VLOOKUP($T$173,'TAR FIN'!$A$1:$O$104,15,0))</f>
        <v>0</v>
      </c>
      <c r="X173" s="6">
        <f>IF(ISERROR(VLOOKUP($U$173,'TAR FIN'!$A$1:$O$104,15,0)),0,VLOOKUP($U$173,'TAR FIN'!$A$1:$O$104,15,0))</f>
        <v>0</v>
      </c>
      <c r="Y173" s="6">
        <f ca="1">('TUSD BE'!$AM$12+'TUSD BF'!$AM$12+'TUSD CVA'!$AM$12)*1</f>
        <v>12.796774750698974</v>
      </c>
      <c r="Z173" s="6"/>
      <c r="AA173" s="6"/>
      <c r="AB173" s="6">
        <f t="shared" si="10"/>
        <v>193500</v>
      </c>
      <c r="AC173" s="6">
        <f t="shared" si="11"/>
        <v>0</v>
      </c>
      <c r="AD173" s="6">
        <f t="shared" ca="1" si="12"/>
        <v>191951.62126048462</v>
      </c>
      <c r="AE173" s="6">
        <f t="shared" si="13"/>
        <v>0</v>
      </c>
      <c r="AF173" s="4" t="s">
        <v>1000</v>
      </c>
    </row>
    <row r="174" spans="1:32" ht="11.25" customHeight="1" x14ac:dyDescent="0.25">
      <c r="A174" s="4" t="s">
        <v>21</v>
      </c>
      <c r="B174" s="4" t="s">
        <v>39</v>
      </c>
      <c r="C174" s="4" t="s">
        <v>66</v>
      </c>
      <c r="D174" s="4" t="s">
        <v>25</v>
      </c>
      <c r="E174" s="4" t="s">
        <v>25</v>
      </c>
      <c r="F174" s="4" t="s">
        <v>25</v>
      </c>
      <c r="G174" s="4" t="s">
        <v>77</v>
      </c>
      <c r="H174" s="4" t="s">
        <v>25</v>
      </c>
      <c r="I174" s="5">
        <v>44652</v>
      </c>
      <c r="J174" s="6">
        <v>30000</v>
      </c>
      <c r="K174" s="6">
        <v>15000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4" t="s">
        <v>68</v>
      </c>
      <c r="R174" s="4">
        <v>33665</v>
      </c>
      <c r="S174" s="4">
        <v>16</v>
      </c>
      <c r="T174" s="4">
        <v>0</v>
      </c>
      <c r="U174" s="4">
        <v>0</v>
      </c>
      <c r="V174" s="6">
        <f>IF(ISERROR(VLOOKUP($S$174,'TAR FIN'!$A$1:$O$104,15,0)),0,VLOOKUP($S$174,'TAR FIN'!$A$1:$O$104,15,0))</f>
        <v>12.9</v>
      </c>
      <c r="W174" s="6">
        <f>IF(ISERROR(VLOOKUP($T$174,'TAR FIN'!$A$1:$O$104,15,0)),0,VLOOKUP($T$174,'TAR FIN'!$A$1:$O$104,15,0))</f>
        <v>0</v>
      </c>
      <c r="X174" s="6">
        <f>IF(ISERROR(VLOOKUP($U$174,'TAR FIN'!$A$1:$O$104,15,0)),0,VLOOKUP($U$174,'TAR FIN'!$A$1:$O$104,15,0))</f>
        <v>0</v>
      </c>
      <c r="Y174" s="6">
        <f ca="1">('TUSD BE'!$AM$12+'TUSD BF'!$AM$12+'TUSD CVA'!$AM$12)*1</f>
        <v>12.796774750698974</v>
      </c>
      <c r="Z174" s="6"/>
      <c r="AA174" s="6"/>
      <c r="AB174" s="6">
        <f t="shared" si="10"/>
        <v>193500</v>
      </c>
      <c r="AC174" s="6">
        <f t="shared" si="11"/>
        <v>0</v>
      </c>
      <c r="AD174" s="6">
        <f t="shared" ca="1" si="12"/>
        <v>191951.62126048462</v>
      </c>
      <c r="AE174" s="6">
        <f t="shared" si="13"/>
        <v>0</v>
      </c>
      <c r="AF174" s="4" t="s">
        <v>1000</v>
      </c>
    </row>
    <row r="175" spans="1:32" ht="11.25" customHeight="1" x14ac:dyDescent="0.25">
      <c r="A175" s="4" t="s">
        <v>21</v>
      </c>
      <c r="B175" s="4" t="s">
        <v>39</v>
      </c>
      <c r="C175" s="4" t="s">
        <v>66</v>
      </c>
      <c r="D175" s="4" t="s">
        <v>25</v>
      </c>
      <c r="E175" s="4" t="s">
        <v>25</v>
      </c>
      <c r="F175" s="4" t="s">
        <v>25</v>
      </c>
      <c r="G175" s="4" t="s">
        <v>78</v>
      </c>
      <c r="H175" s="4" t="s">
        <v>25</v>
      </c>
      <c r="I175" s="5">
        <v>44652</v>
      </c>
      <c r="J175" s="6">
        <v>27000</v>
      </c>
      <c r="K175" s="6">
        <v>13500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4" t="s">
        <v>68</v>
      </c>
      <c r="R175" s="4">
        <v>34085</v>
      </c>
      <c r="S175" s="4">
        <v>16</v>
      </c>
      <c r="T175" s="4">
        <v>0</v>
      </c>
      <c r="U175" s="4">
        <v>0</v>
      </c>
      <c r="V175" s="6">
        <f>IF(ISERROR(VLOOKUP($S$175,'TAR FIN'!$A$1:$O$104,15,0)),0,VLOOKUP($S$175,'TAR FIN'!$A$1:$O$104,15,0))</f>
        <v>12.9</v>
      </c>
      <c r="W175" s="6">
        <f>IF(ISERROR(VLOOKUP($T$175,'TAR FIN'!$A$1:$O$104,15,0)),0,VLOOKUP($T$175,'TAR FIN'!$A$1:$O$104,15,0))</f>
        <v>0</v>
      </c>
      <c r="X175" s="6">
        <f>IF(ISERROR(VLOOKUP($U$175,'TAR FIN'!$A$1:$O$104,15,0)),0,VLOOKUP($U$175,'TAR FIN'!$A$1:$O$104,15,0))</f>
        <v>0</v>
      </c>
      <c r="Y175" s="6">
        <f ca="1">('TUSD BE'!$AM$12+'TUSD BF'!$AM$12+'TUSD CVA'!$AM$12)*1</f>
        <v>12.796774750698974</v>
      </c>
      <c r="Z175" s="6"/>
      <c r="AA175" s="6"/>
      <c r="AB175" s="6">
        <f t="shared" si="10"/>
        <v>174150</v>
      </c>
      <c r="AC175" s="6">
        <f t="shared" si="11"/>
        <v>0</v>
      </c>
      <c r="AD175" s="6">
        <f t="shared" ca="1" si="12"/>
        <v>172756.45913443615</v>
      </c>
      <c r="AE175" s="6">
        <f t="shared" si="13"/>
        <v>0</v>
      </c>
      <c r="AF175" s="4" t="s">
        <v>1000</v>
      </c>
    </row>
    <row r="176" spans="1:32" ht="11.25" customHeight="1" x14ac:dyDescent="0.25">
      <c r="A176" s="4" t="s">
        <v>21</v>
      </c>
      <c r="B176" s="4" t="s">
        <v>39</v>
      </c>
      <c r="C176" s="4" t="s">
        <v>66</v>
      </c>
      <c r="D176" s="4" t="s">
        <v>25</v>
      </c>
      <c r="E176" s="4" t="s">
        <v>25</v>
      </c>
      <c r="F176" s="4" t="s">
        <v>25</v>
      </c>
      <c r="G176" s="4" t="s">
        <v>79</v>
      </c>
      <c r="H176" s="4" t="s">
        <v>25</v>
      </c>
      <c r="I176" s="5">
        <v>44652</v>
      </c>
      <c r="J176" s="6">
        <v>27000</v>
      </c>
      <c r="K176" s="6">
        <v>13500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4" t="s">
        <v>68</v>
      </c>
      <c r="R176" s="4">
        <v>34086</v>
      </c>
      <c r="S176" s="4">
        <v>16</v>
      </c>
      <c r="T176" s="4">
        <v>0</v>
      </c>
      <c r="U176" s="4">
        <v>0</v>
      </c>
      <c r="V176" s="6">
        <f>IF(ISERROR(VLOOKUP($S$176,'TAR FIN'!$A$1:$O$104,15,0)),0,VLOOKUP($S$176,'TAR FIN'!$A$1:$O$104,15,0))</f>
        <v>12.9</v>
      </c>
      <c r="W176" s="6">
        <f>IF(ISERROR(VLOOKUP($T$176,'TAR FIN'!$A$1:$O$104,15,0)),0,VLOOKUP($T$176,'TAR FIN'!$A$1:$O$104,15,0))</f>
        <v>0</v>
      </c>
      <c r="X176" s="6">
        <f>IF(ISERROR(VLOOKUP($U$176,'TAR FIN'!$A$1:$O$104,15,0)),0,VLOOKUP($U$176,'TAR FIN'!$A$1:$O$104,15,0))</f>
        <v>0</v>
      </c>
      <c r="Y176" s="6">
        <f ca="1">('TUSD BE'!$AM$12+'TUSD BF'!$AM$12+'TUSD CVA'!$AM$12)*1</f>
        <v>12.796774750698974</v>
      </c>
      <c r="Z176" s="6"/>
      <c r="AA176" s="6"/>
      <c r="AB176" s="6">
        <f t="shared" si="10"/>
        <v>174150</v>
      </c>
      <c r="AC176" s="6">
        <f t="shared" si="11"/>
        <v>0</v>
      </c>
      <c r="AD176" s="6">
        <f t="shared" ca="1" si="12"/>
        <v>172756.45913443615</v>
      </c>
      <c r="AE176" s="6">
        <f t="shared" si="13"/>
        <v>0</v>
      </c>
      <c r="AF176" s="4" t="s">
        <v>1000</v>
      </c>
    </row>
    <row r="177" spans="1:32" ht="11.25" customHeight="1" x14ac:dyDescent="0.25">
      <c r="A177" s="4" t="s">
        <v>21</v>
      </c>
      <c r="B177" s="4" t="s">
        <v>39</v>
      </c>
      <c r="C177" s="4" t="s">
        <v>66</v>
      </c>
      <c r="D177" s="4" t="s">
        <v>25</v>
      </c>
      <c r="E177" s="4" t="s">
        <v>25</v>
      </c>
      <c r="F177" s="4" t="s">
        <v>25</v>
      </c>
      <c r="G177" s="4" t="s">
        <v>67</v>
      </c>
      <c r="H177" s="4" t="s">
        <v>25</v>
      </c>
      <c r="I177" s="5">
        <v>44682</v>
      </c>
      <c r="J177" s="6">
        <v>3500</v>
      </c>
      <c r="K177" s="6">
        <v>3500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4" t="s">
        <v>68</v>
      </c>
      <c r="R177" s="4">
        <v>27402</v>
      </c>
      <c r="S177" s="4">
        <v>16</v>
      </c>
      <c r="T177" s="4">
        <v>0</v>
      </c>
      <c r="U177" s="4">
        <v>0</v>
      </c>
      <c r="V177" s="6">
        <f>IF(ISERROR(VLOOKUP($S$177,'TAR FIN'!$A$1:$O$104,15,0)),0,VLOOKUP($S$177,'TAR FIN'!$A$1:$O$104,15,0))</f>
        <v>12.9</v>
      </c>
      <c r="W177" s="6">
        <f>IF(ISERROR(VLOOKUP($T$177,'TAR FIN'!$A$1:$O$104,15,0)),0,VLOOKUP($T$177,'TAR FIN'!$A$1:$O$104,15,0))</f>
        <v>0</v>
      </c>
      <c r="X177" s="6">
        <f>IF(ISERROR(VLOOKUP($U$177,'TAR FIN'!$A$1:$O$104,15,0)),0,VLOOKUP($U$177,'TAR FIN'!$A$1:$O$104,15,0))</f>
        <v>0</v>
      </c>
      <c r="Y177" s="6">
        <f ca="1">('TUSD BE'!$AM$12+'TUSD BF'!$AM$12+'TUSD CVA'!$AM$12)*1</f>
        <v>12.796774750698974</v>
      </c>
      <c r="Z177" s="6"/>
      <c r="AA177" s="6"/>
      <c r="AB177" s="6">
        <f t="shared" si="10"/>
        <v>0</v>
      </c>
      <c r="AC177" s="6">
        <f t="shared" si="11"/>
        <v>0</v>
      </c>
      <c r="AD177" s="6">
        <f t="shared" ca="1" si="12"/>
        <v>0</v>
      </c>
      <c r="AE177" s="6">
        <f t="shared" si="13"/>
        <v>0</v>
      </c>
      <c r="AF177" s="4" t="s">
        <v>1000</v>
      </c>
    </row>
    <row r="178" spans="1:32" ht="11.25" customHeight="1" x14ac:dyDescent="0.25">
      <c r="A178" s="4" t="s">
        <v>21</v>
      </c>
      <c r="B178" s="4" t="s">
        <v>39</v>
      </c>
      <c r="C178" s="4" t="s">
        <v>66</v>
      </c>
      <c r="D178" s="4" t="s">
        <v>25</v>
      </c>
      <c r="E178" s="4" t="s">
        <v>25</v>
      </c>
      <c r="F178" s="4" t="s">
        <v>25</v>
      </c>
      <c r="G178" s="4" t="s">
        <v>69</v>
      </c>
      <c r="H178" s="4" t="s">
        <v>25</v>
      </c>
      <c r="I178" s="5">
        <v>44682</v>
      </c>
      <c r="J178" s="6">
        <v>3000</v>
      </c>
      <c r="K178" s="6">
        <v>1500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4" t="s">
        <v>68</v>
      </c>
      <c r="R178" s="4">
        <v>28515</v>
      </c>
      <c r="S178" s="4">
        <v>16</v>
      </c>
      <c r="T178" s="4">
        <v>0</v>
      </c>
      <c r="U178" s="4">
        <v>0</v>
      </c>
      <c r="V178" s="6">
        <f>IF(ISERROR(VLOOKUP($S$178,'TAR FIN'!$A$1:$O$104,15,0)),0,VLOOKUP($S$178,'TAR FIN'!$A$1:$O$104,15,0))</f>
        <v>12.9</v>
      </c>
      <c r="W178" s="6">
        <f>IF(ISERROR(VLOOKUP($T$178,'TAR FIN'!$A$1:$O$104,15,0)),0,VLOOKUP($T$178,'TAR FIN'!$A$1:$O$104,15,0))</f>
        <v>0</v>
      </c>
      <c r="X178" s="6">
        <f>IF(ISERROR(VLOOKUP($U$178,'TAR FIN'!$A$1:$O$104,15,0)),0,VLOOKUP($U$178,'TAR FIN'!$A$1:$O$104,15,0))</f>
        <v>0</v>
      </c>
      <c r="Y178" s="6">
        <f ca="1">('TUSD BE'!$AM$12+'TUSD BF'!$AM$12+'TUSD CVA'!$AM$12)*1</f>
        <v>12.796774750698974</v>
      </c>
      <c r="Z178" s="6"/>
      <c r="AA178" s="6"/>
      <c r="AB178" s="6">
        <f t="shared" si="10"/>
        <v>19350</v>
      </c>
      <c r="AC178" s="6">
        <f t="shared" si="11"/>
        <v>0</v>
      </c>
      <c r="AD178" s="6">
        <f t="shared" ca="1" si="12"/>
        <v>19195.162126048461</v>
      </c>
      <c r="AE178" s="6">
        <f t="shared" si="13"/>
        <v>0</v>
      </c>
      <c r="AF178" s="4" t="s">
        <v>1000</v>
      </c>
    </row>
    <row r="179" spans="1:32" ht="11.25" customHeight="1" x14ac:dyDescent="0.25">
      <c r="A179" s="4" t="s">
        <v>21</v>
      </c>
      <c r="B179" s="4" t="s">
        <v>39</v>
      </c>
      <c r="C179" s="4" t="s">
        <v>66</v>
      </c>
      <c r="D179" s="4" t="s">
        <v>25</v>
      </c>
      <c r="E179" s="4" t="s">
        <v>25</v>
      </c>
      <c r="F179" s="4" t="s">
        <v>25</v>
      </c>
      <c r="G179" s="4" t="s">
        <v>70</v>
      </c>
      <c r="H179" s="4" t="s">
        <v>25</v>
      </c>
      <c r="I179" s="5">
        <v>44682</v>
      </c>
      <c r="J179" s="6">
        <v>11000</v>
      </c>
      <c r="K179" s="6">
        <v>5500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4" t="s">
        <v>68</v>
      </c>
      <c r="R179" s="4">
        <v>28957</v>
      </c>
      <c r="S179" s="4">
        <v>16</v>
      </c>
      <c r="T179" s="4">
        <v>0</v>
      </c>
      <c r="U179" s="4">
        <v>0</v>
      </c>
      <c r="V179" s="6">
        <f>IF(ISERROR(VLOOKUP($S$179,'TAR FIN'!$A$1:$O$104,15,0)),0,VLOOKUP($S$179,'TAR FIN'!$A$1:$O$104,15,0))</f>
        <v>12.9</v>
      </c>
      <c r="W179" s="6">
        <f>IF(ISERROR(VLOOKUP($T$179,'TAR FIN'!$A$1:$O$104,15,0)),0,VLOOKUP($T$179,'TAR FIN'!$A$1:$O$104,15,0))</f>
        <v>0</v>
      </c>
      <c r="X179" s="6">
        <f>IF(ISERROR(VLOOKUP($U$179,'TAR FIN'!$A$1:$O$104,15,0)),0,VLOOKUP($U$179,'TAR FIN'!$A$1:$O$104,15,0))</f>
        <v>0</v>
      </c>
      <c r="Y179" s="6">
        <f ca="1">('TUSD BE'!$AM$12+'TUSD BF'!$AM$12+'TUSD CVA'!$AM$12)*1</f>
        <v>12.796774750698974</v>
      </c>
      <c r="Z179" s="6"/>
      <c r="AA179" s="6"/>
      <c r="AB179" s="6">
        <f t="shared" si="10"/>
        <v>70950</v>
      </c>
      <c r="AC179" s="6">
        <f t="shared" si="11"/>
        <v>0</v>
      </c>
      <c r="AD179" s="6">
        <f t="shared" ca="1" si="12"/>
        <v>70382.261128844359</v>
      </c>
      <c r="AE179" s="6">
        <f t="shared" si="13"/>
        <v>0</v>
      </c>
      <c r="AF179" s="4" t="s">
        <v>1000</v>
      </c>
    </row>
    <row r="180" spans="1:32" ht="11.25" customHeight="1" x14ac:dyDescent="0.25">
      <c r="A180" s="4" t="s">
        <v>21</v>
      </c>
      <c r="B180" s="4" t="s">
        <v>39</v>
      </c>
      <c r="C180" s="4" t="s">
        <v>66</v>
      </c>
      <c r="D180" s="4" t="s">
        <v>25</v>
      </c>
      <c r="E180" s="4" t="s">
        <v>25</v>
      </c>
      <c r="F180" s="4" t="s">
        <v>25</v>
      </c>
      <c r="G180" s="4" t="s">
        <v>71</v>
      </c>
      <c r="H180" s="4" t="s">
        <v>25</v>
      </c>
      <c r="I180" s="5">
        <v>44682</v>
      </c>
      <c r="J180" s="6">
        <v>10050</v>
      </c>
      <c r="K180" s="6">
        <v>5025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4" t="s">
        <v>68</v>
      </c>
      <c r="R180" s="4">
        <v>29041</v>
      </c>
      <c r="S180" s="4">
        <v>16</v>
      </c>
      <c r="T180" s="4">
        <v>0</v>
      </c>
      <c r="U180" s="4">
        <v>0</v>
      </c>
      <c r="V180" s="6">
        <f>IF(ISERROR(VLOOKUP($S$180,'TAR FIN'!$A$1:$O$104,15,0)),0,VLOOKUP($S$180,'TAR FIN'!$A$1:$O$104,15,0))</f>
        <v>12.9</v>
      </c>
      <c r="W180" s="6">
        <f>IF(ISERROR(VLOOKUP($T$180,'TAR FIN'!$A$1:$O$104,15,0)),0,VLOOKUP($T$180,'TAR FIN'!$A$1:$O$104,15,0))</f>
        <v>0</v>
      </c>
      <c r="X180" s="6">
        <f>IF(ISERROR(VLOOKUP($U$180,'TAR FIN'!$A$1:$O$104,15,0)),0,VLOOKUP($U$180,'TAR FIN'!$A$1:$O$104,15,0))</f>
        <v>0</v>
      </c>
      <c r="Y180" s="6">
        <f ca="1">('TUSD BE'!$AM$12+'TUSD BF'!$AM$12+'TUSD CVA'!$AM$12)*1</f>
        <v>12.796774750698974</v>
      </c>
      <c r="Z180" s="6"/>
      <c r="AA180" s="6"/>
      <c r="AB180" s="6">
        <f t="shared" si="10"/>
        <v>64822.5</v>
      </c>
      <c r="AC180" s="6">
        <f t="shared" si="11"/>
        <v>0</v>
      </c>
      <c r="AD180" s="6">
        <f t="shared" ca="1" si="12"/>
        <v>64303.793122262345</v>
      </c>
      <c r="AE180" s="6">
        <f t="shared" si="13"/>
        <v>0</v>
      </c>
      <c r="AF180" s="4" t="s">
        <v>1000</v>
      </c>
    </row>
    <row r="181" spans="1:32" ht="11.25" customHeight="1" x14ac:dyDescent="0.25">
      <c r="A181" s="4" t="s">
        <v>21</v>
      </c>
      <c r="B181" s="4" t="s">
        <v>39</v>
      </c>
      <c r="C181" s="4" t="s">
        <v>66</v>
      </c>
      <c r="D181" s="4" t="s">
        <v>25</v>
      </c>
      <c r="E181" s="4" t="s">
        <v>25</v>
      </c>
      <c r="F181" s="4" t="s">
        <v>25</v>
      </c>
      <c r="G181" s="4" t="s">
        <v>73</v>
      </c>
      <c r="H181" s="4" t="s">
        <v>25</v>
      </c>
      <c r="I181" s="5">
        <v>44682</v>
      </c>
      <c r="J181" s="6">
        <v>44450</v>
      </c>
      <c r="K181" s="6">
        <v>22225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4" t="s">
        <v>68</v>
      </c>
      <c r="R181" s="4">
        <v>29092</v>
      </c>
      <c r="S181" s="4">
        <v>16</v>
      </c>
      <c r="T181" s="4">
        <v>0</v>
      </c>
      <c r="U181" s="4">
        <v>0</v>
      </c>
      <c r="V181" s="6">
        <f>IF(ISERROR(VLOOKUP($S$181,'TAR FIN'!$A$1:$O$104,15,0)),0,VLOOKUP($S$181,'TAR FIN'!$A$1:$O$104,15,0))</f>
        <v>12.9</v>
      </c>
      <c r="W181" s="6">
        <f>IF(ISERROR(VLOOKUP($T$181,'TAR FIN'!$A$1:$O$104,15,0)),0,VLOOKUP($T$181,'TAR FIN'!$A$1:$O$104,15,0))</f>
        <v>0</v>
      </c>
      <c r="X181" s="6">
        <f>IF(ISERROR(VLOOKUP($U$181,'TAR FIN'!$A$1:$O$104,15,0)),0,VLOOKUP($U$181,'TAR FIN'!$A$1:$O$104,15,0))</f>
        <v>0</v>
      </c>
      <c r="Y181" s="6">
        <f ca="1">('TUSD BE'!$AM$12+'TUSD BF'!$AM$12+'TUSD CVA'!$AM$12)*1</f>
        <v>12.796774750698974</v>
      </c>
      <c r="Z181" s="6"/>
      <c r="AA181" s="6"/>
      <c r="AB181" s="6">
        <f t="shared" si="10"/>
        <v>286702.5</v>
      </c>
      <c r="AC181" s="6">
        <f t="shared" si="11"/>
        <v>0</v>
      </c>
      <c r="AD181" s="6">
        <f t="shared" ca="1" si="12"/>
        <v>284408.31883428473</v>
      </c>
      <c r="AE181" s="6">
        <f t="shared" si="13"/>
        <v>0</v>
      </c>
      <c r="AF181" s="4" t="s">
        <v>1000</v>
      </c>
    </row>
    <row r="182" spans="1:32" ht="11.25" customHeight="1" x14ac:dyDescent="0.25">
      <c r="A182" s="4" t="s">
        <v>21</v>
      </c>
      <c r="B182" s="4" t="s">
        <v>39</v>
      </c>
      <c r="C182" s="4" t="s">
        <v>66</v>
      </c>
      <c r="D182" s="4" t="s">
        <v>25</v>
      </c>
      <c r="E182" s="4" t="s">
        <v>25</v>
      </c>
      <c r="F182" s="4" t="s">
        <v>25</v>
      </c>
      <c r="G182" s="4" t="s">
        <v>75</v>
      </c>
      <c r="H182" s="4" t="s">
        <v>25</v>
      </c>
      <c r="I182" s="5">
        <v>44682</v>
      </c>
      <c r="J182" s="6">
        <v>30000</v>
      </c>
      <c r="K182" s="6">
        <v>15000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4" t="s">
        <v>68</v>
      </c>
      <c r="R182" s="4">
        <v>33663</v>
      </c>
      <c r="S182" s="4">
        <v>16</v>
      </c>
      <c r="T182" s="4">
        <v>0</v>
      </c>
      <c r="U182" s="4">
        <v>0</v>
      </c>
      <c r="V182" s="6">
        <f>IF(ISERROR(VLOOKUP($S$182,'TAR FIN'!$A$1:$O$104,15,0)),0,VLOOKUP($S$182,'TAR FIN'!$A$1:$O$104,15,0))</f>
        <v>12.9</v>
      </c>
      <c r="W182" s="6">
        <f>IF(ISERROR(VLOOKUP($T$182,'TAR FIN'!$A$1:$O$104,15,0)),0,VLOOKUP($T$182,'TAR FIN'!$A$1:$O$104,15,0))</f>
        <v>0</v>
      </c>
      <c r="X182" s="6">
        <f>IF(ISERROR(VLOOKUP($U$182,'TAR FIN'!$A$1:$O$104,15,0)),0,VLOOKUP($U$182,'TAR FIN'!$A$1:$O$104,15,0))</f>
        <v>0</v>
      </c>
      <c r="Y182" s="6">
        <f ca="1">('TUSD BE'!$AM$12+'TUSD BF'!$AM$12+'TUSD CVA'!$AM$12)*1</f>
        <v>12.796774750698974</v>
      </c>
      <c r="Z182" s="6"/>
      <c r="AA182" s="6"/>
      <c r="AB182" s="6">
        <f t="shared" si="10"/>
        <v>193500</v>
      </c>
      <c r="AC182" s="6">
        <f t="shared" si="11"/>
        <v>0</v>
      </c>
      <c r="AD182" s="6">
        <f t="shared" ca="1" si="12"/>
        <v>191951.62126048462</v>
      </c>
      <c r="AE182" s="6">
        <f t="shared" si="13"/>
        <v>0</v>
      </c>
      <c r="AF182" s="4" t="s">
        <v>1000</v>
      </c>
    </row>
    <row r="183" spans="1:32" ht="11.25" customHeight="1" x14ac:dyDescent="0.25">
      <c r="A183" s="4" t="s">
        <v>21</v>
      </c>
      <c r="B183" s="4" t="s">
        <v>39</v>
      </c>
      <c r="C183" s="4" t="s">
        <v>66</v>
      </c>
      <c r="D183" s="4" t="s">
        <v>25</v>
      </c>
      <c r="E183" s="4" t="s">
        <v>25</v>
      </c>
      <c r="F183" s="4" t="s">
        <v>25</v>
      </c>
      <c r="G183" s="4" t="s">
        <v>76</v>
      </c>
      <c r="H183" s="4" t="s">
        <v>25</v>
      </c>
      <c r="I183" s="5">
        <v>44682</v>
      </c>
      <c r="J183" s="6">
        <v>30000</v>
      </c>
      <c r="K183" s="6">
        <v>15000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4" t="s">
        <v>68</v>
      </c>
      <c r="R183" s="4">
        <v>33664</v>
      </c>
      <c r="S183" s="4">
        <v>16</v>
      </c>
      <c r="T183" s="4">
        <v>0</v>
      </c>
      <c r="U183" s="4">
        <v>0</v>
      </c>
      <c r="V183" s="6">
        <f>IF(ISERROR(VLOOKUP($S$183,'TAR FIN'!$A$1:$O$104,15,0)),0,VLOOKUP($S$183,'TAR FIN'!$A$1:$O$104,15,0))</f>
        <v>12.9</v>
      </c>
      <c r="W183" s="6">
        <f>IF(ISERROR(VLOOKUP($T$183,'TAR FIN'!$A$1:$O$104,15,0)),0,VLOOKUP($T$183,'TAR FIN'!$A$1:$O$104,15,0))</f>
        <v>0</v>
      </c>
      <c r="X183" s="6">
        <f>IF(ISERROR(VLOOKUP($U$183,'TAR FIN'!$A$1:$O$104,15,0)),0,VLOOKUP($U$183,'TAR FIN'!$A$1:$O$104,15,0))</f>
        <v>0</v>
      </c>
      <c r="Y183" s="6">
        <f ca="1">('TUSD BE'!$AM$12+'TUSD BF'!$AM$12+'TUSD CVA'!$AM$12)*1</f>
        <v>12.796774750698974</v>
      </c>
      <c r="Z183" s="6"/>
      <c r="AA183" s="6"/>
      <c r="AB183" s="6">
        <f t="shared" si="10"/>
        <v>193500</v>
      </c>
      <c r="AC183" s="6">
        <f t="shared" si="11"/>
        <v>0</v>
      </c>
      <c r="AD183" s="6">
        <f t="shared" ca="1" si="12"/>
        <v>191951.62126048462</v>
      </c>
      <c r="AE183" s="6">
        <f t="shared" si="13"/>
        <v>0</v>
      </c>
      <c r="AF183" s="4" t="s">
        <v>1000</v>
      </c>
    </row>
    <row r="184" spans="1:32" ht="11.25" customHeight="1" x14ac:dyDescent="0.25">
      <c r="A184" s="4" t="s">
        <v>21</v>
      </c>
      <c r="B184" s="4" t="s">
        <v>39</v>
      </c>
      <c r="C184" s="4" t="s">
        <v>66</v>
      </c>
      <c r="D184" s="4" t="s">
        <v>25</v>
      </c>
      <c r="E184" s="4" t="s">
        <v>25</v>
      </c>
      <c r="F184" s="4" t="s">
        <v>25</v>
      </c>
      <c r="G184" s="4" t="s">
        <v>77</v>
      </c>
      <c r="H184" s="4" t="s">
        <v>25</v>
      </c>
      <c r="I184" s="5">
        <v>44682</v>
      </c>
      <c r="J184" s="6">
        <v>30000</v>
      </c>
      <c r="K184" s="6">
        <v>15000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68</v>
      </c>
      <c r="R184" s="4">
        <v>33665</v>
      </c>
      <c r="S184" s="4">
        <v>16</v>
      </c>
      <c r="T184" s="4">
        <v>0</v>
      </c>
      <c r="U184" s="4">
        <v>0</v>
      </c>
      <c r="V184" s="6">
        <f>IF(ISERROR(VLOOKUP($S$184,'TAR FIN'!$A$1:$O$104,15,0)),0,VLOOKUP($S$184,'TAR FIN'!$A$1:$O$104,15,0))</f>
        <v>12.9</v>
      </c>
      <c r="W184" s="6">
        <f>IF(ISERROR(VLOOKUP($T$184,'TAR FIN'!$A$1:$O$104,15,0)),0,VLOOKUP($T$184,'TAR FIN'!$A$1:$O$104,15,0))</f>
        <v>0</v>
      </c>
      <c r="X184" s="6">
        <f>IF(ISERROR(VLOOKUP($U$184,'TAR FIN'!$A$1:$O$104,15,0)),0,VLOOKUP($U$184,'TAR FIN'!$A$1:$O$104,15,0))</f>
        <v>0</v>
      </c>
      <c r="Y184" s="6">
        <f ca="1">('TUSD BE'!$AM$12+'TUSD BF'!$AM$12+'TUSD CVA'!$AM$12)*1</f>
        <v>12.796774750698974</v>
      </c>
      <c r="Z184" s="6"/>
      <c r="AA184" s="6"/>
      <c r="AB184" s="6">
        <f t="shared" si="10"/>
        <v>193500</v>
      </c>
      <c r="AC184" s="6">
        <f t="shared" si="11"/>
        <v>0</v>
      </c>
      <c r="AD184" s="6">
        <f t="shared" ca="1" si="12"/>
        <v>191951.62126048462</v>
      </c>
      <c r="AE184" s="6">
        <f t="shared" si="13"/>
        <v>0</v>
      </c>
      <c r="AF184" s="4" t="s">
        <v>1000</v>
      </c>
    </row>
    <row r="185" spans="1:32" ht="11.25" customHeight="1" x14ac:dyDescent="0.25">
      <c r="A185" s="4" t="s">
        <v>21</v>
      </c>
      <c r="B185" s="4" t="s">
        <v>39</v>
      </c>
      <c r="C185" s="4" t="s">
        <v>66</v>
      </c>
      <c r="D185" s="4" t="s">
        <v>25</v>
      </c>
      <c r="E185" s="4" t="s">
        <v>25</v>
      </c>
      <c r="F185" s="4" t="s">
        <v>25</v>
      </c>
      <c r="G185" s="4" t="s">
        <v>78</v>
      </c>
      <c r="H185" s="4" t="s">
        <v>25</v>
      </c>
      <c r="I185" s="5">
        <v>44682</v>
      </c>
      <c r="J185" s="6">
        <v>27000</v>
      </c>
      <c r="K185" s="6">
        <v>13500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68</v>
      </c>
      <c r="R185" s="4">
        <v>34085</v>
      </c>
      <c r="S185" s="4">
        <v>16</v>
      </c>
      <c r="T185" s="4">
        <v>0</v>
      </c>
      <c r="U185" s="4">
        <v>0</v>
      </c>
      <c r="V185" s="6">
        <f>IF(ISERROR(VLOOKUP($S$185,'TAR FIN'!$A$1:$O$104,15,0)),0,VLOOKUP($S$185,'TAR FIN'!$A$1:$O$104,15,0))</f>
        <v>12.9</v>
      </c>
      <c r="W185" s="6">
        <f>IF(ISERROR(VLOOKUP($T$185,'TAR FIN'!$A$1:$O$104,15,0)),0,VLOOKUP($T$185,'TAR FIN'!$A$1:$O$104,15,0))</f>
        <v>0</v>
      </c>
      <c r="X185" s="6">
        <f>IF(ISERROR(VLOOKUP($U$185,'TAR FIN'!$A$1:$O$104,15,0)),0,VLOOKUP($U$185,'TAR FIN'!$A$1:$O$104,15,0))</f>
        <v>0</v>
      </c>
      <c r="Y185" s="6">
        <f ca="1">('TUSD BE'!$AM$12+'TUSD BF'!$AM$12+'TUSD CVA'!$AM$12)*1</f>
        <v>12.796774750698974</v>
      </c>
      <c r="Z185" s="6"/>
      <c r="AA185" s="6"/>
      <c r="AB185" s="6">
        <f t="shared" si="10"/>
        <v>174150</v>
      </c>
      <c r="AC185" s="6">
        <f t="shared" si="11"/>
        <v>0</v>
      </c>
      <c r="AD185" s="6">
        <f t="shared" ca="1" si="12"/>
        <v>172756.45913443615</v>
      </c>
      <c r="AE185" s="6">
        <f t="shared" si="13"/>
        <v>0</v>
      </c>
      <c r="AF185" s="4" t="s">
        <v>1000</v>
      </c>
    </row>
    <row r="186" spans="1:32" ht="11.25" customHeight="1" x14ac:dyDescent="0.25">
      <c r="A186" s="4" t="s">
        <v>21</v>
      </c>
      <c r="B186" s="4" t="s">
        <v>39</v>
      </c>
      <c r="C186" s="4" t="s">
        <v>66</v>
      </c>
      <c r="D186" s="4" t="s">
        <v>25</v>
      </c>
      <c r="E186" s="4" t="s">
        <v>25</v>
      </c>
      <c r="F186" s="4" t="s">
        <v>25</v>
      </c>
      <c r="G186" s="4" t="s">
        <v>79</v>
      </c>
      <c r="H186" s="4" t="s">
        <v>25</v>
      </c>
      <c r="I186" s="5">
        <v>44682</v>
      </c>
      <c r="J186" s="6">
        <v>27000</v>
      </c>
      <c r="K186" s="6">
        <v>13500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68</v>
      </c>
      <c r="R186" s="4">
        <v>34086</v>
      </c>
      <c r="S186" s="4">
        <v>16</v>
      </c>
      <c r="T186" s="4">
        <v>0</v>
      </c>
      <c r="U186" s="4">
        <v>0</v>
      </c>
      <c r="V186" s="6">
        <f>IF(ISERROR(VLOOKUP($S$186,'TAR FIN'!$A$1:$O$104,15,0)),0,VLOOKUP($S$186,'TAR FIN'!$A$1:$O$104,15,0))</f>
        <v>12.9</v>
      </c>
      <c r="W186" s="6">
        <f>IF(ISERROR(VLOOKUP($T$186,'TAR FIN'!$A$1:$O$104,15,0)),0,VLOOKUP($T$186,'TAR FIN'!$A$1:$O$104,15,0))</f>
        <v>0</v>
      </c>
      <c r="X186" s="6">
        <f>IF(ISERROR(VLOOKUP($U$186,'TAR FIN'!$A$1:$O$104,15,0)),0,VLOOKUP($U$186,'TAR FIN'!$A$1:$O$104,15,0))</f>
        <v>0</v>
      </c>
      <c r="Y186" s="6">
        <f ca="1">('TUSD BE'!$AM$12+'TUSD BF'!$AM$12+'TUSD CVA'!$AM$12)*1</f>
        <v>12.796774750698974</v>
      </c>
      <c r="Z186" s="6"/>
      <c r="AA186" s="6"/>
      <c r="AB186" s="6">
        <f t="shared" si="10"/>
        <v>174150</v>
      </c>
      <c r="AC186" s="6">
        <f t="shared" si="11"/>
        <v>0</v>
      </c>
      <c r="AD186" s="6">
        <f t="shared" ca="1" si="12"/>
        <v>172756.45913443615</v>
      </c>
      <c r="AE186" s="6">
        <f t="shared" si="13"/>
        <v>0</v>
      </c>
      <c r="AF186" s="4" t="s">
        <v>1000</v>
      </c>
    </row>
    <row r="187" spans="1:32" ht="11.25" customHeight="1" x14ac:dyDescent="0.25">
      <c r="A187" s="4" t="s">
        <v>21</v>
      </c>
      <c r="B187" s="4" t="s">
        <v>39</v>
      </c>
      <c r="C187" s="4" t="s">
        <v>66</v>
      </c>
      <c r="D187" s="4" t="s">
        <v>25</v>
      </c>
      <c r="E187" s="4" t="s">
        <v>25</v>
      </c>
      <c r="F187" s="4" t="s">
        <v>25</v>
      </c>
      <c r="G187" s="4" t="s">
        <v>67</v>
      </c>
      <c r="H187" s="4" t="s">
        <v>25</v>
      </c>
      <c r="I187" s="5">
        <v>44713</v>
      </c>
      <c r="J187" s="6">
        <v>3500</v>
      </c>
      <c r="K187" s="6">
        <v>3500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68</v>
      </c>
      <c r="R187" s="4">
        <v>27402</v>
      </c>
      <c r="S187" s="4">
        <v>16</v>
      </c>
      <c r="T187" s="4">
        <v>0</v>
      </c>
      <c r="U187" s="4">
        <v>0</v>
      </c>
      <c r="V187" s="6">
        <f>IF(ISERROR(VLOOKUP($S$187,'TAR FIN'!$A$1:$O$104,15,0)),0,VLOOKUP($S$187,'TAR FIN'!$A$1:$O$104,15,0))</f>
        <v>12.9</v>
      </c>
      <c r="W187" s="6">
        <f>IF(ISERROR(VLOOKUP($T$187,'TAR FIN'!$A$1:$O$104,15,0)),0,VLOOKUP($T$187,'TAR FIN'!$A$1:$O$104,15,0))</f>
        <v>0</v>
      </c>
      <c r="X187" s="6">
        <f>IF(ISERROR(VLOOKUP($U$187,'TAR FIN'!$A$1:$O$104,15,0)),0,VLOOKUP($U$187,'TAR FIN'!$A$1:$O$104,15,0))</f>
        <v>0</v>
      </c>
      <c r="Y187" s="6">
        <f ca="1">('TUSD BE'!$AM$12+'TUSD BF'!$AM$12+'TUSD CVA'!$AM$12)*1</f>
        <v>12.796774750698974</v>
      </c>
      <c r="Z187" s="6"/>
      <c r="AA187" s="6"/>
      <c r="AB187" s="6">
        <f t="shared" si="10"/>
        <v>0</v>
      </c>
      <c r="AC187" s="6">
        <f t="shared" si="11"/>
        <v>0</v>
      </c>
      <c r="AD187" s="6">
        <f t="shared" ca="1" si="12"/>
        <v>0</v>
      </c>
      <c r="AE187" s="6">
        <f t="shared" si="13"/>
        <v>0</v>
      </c>
      <c r="AF187" s="4" t="s">
        <v>1000</v>
      </c>
    </row>
    <row r="188" spans="1:32" ht="11.25" customHeight="1" x14ac:dyDescent="0.25">
      <c r="A188" s="4" t="s">
        <v>21</v>
      </c>
      <c r="B188" s="4" t="s">
        <v>39</v>
      </c>
      <c r="C188" s="4" t="s">
        <v>66</v>
      </c>
      <c r="D188" s="4" t="s">
        <v>25</v>
      </c>
      <c r="E188" s="4" t="s">
        <v>25</v>
      </c>
      <c r="F188" s="4" t="s">
        <v>25</v>
      </c>
      <c r="G188" s="4" t="s">
        <v>69</v>
      </c>
      <c r="H188" s="4" t="s">
        <v>25</v>
      </c>
      <c r="I188" s="5">
        <v>44713</v>
      </c>
      <c r="J188" s="6">
        <v>3000</v>
      </c>
      <c r="K188" s="6">
        <v>1500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68</v>
      </c>
      <c r="R188" s="4">
        <v>28515</v>
      </c>
      <c r="S188" s="4">
        <v>16</v>
      </c>
      <c r="T188" s="4">
        <v>0</v>
      </c>
      <c r="U188" s="4">
        <v>0</v>
      </c>
      <c r="V188" s="6">
        <f>IF(ISERROR(VLOOKUP($S$188,'TAR FIN'!$A$1:$O$104,15,0)),0,VLOOKUP($S$188,'TAR FIN'!$A$1:$O$104,15,0))</f>
        <v>12.9</v>
      </c>
      <c r="W188" s="6">
        <f>IF(ISERROR(VLOOKUP($T$188,'TAR FIN'!$A$1:$O$104,15,0)),0,VLOOKUP($T$188,'TAR FIN'!$A$1:$O$104,15,0))</f>
        <v>0</v>
      </c>
      <c r="X188" s="6">
        <f>IF(ISERROR(VLOOKUP($U$188,'TAR FIN'!$A$1:$O$104,15,0)),0,VLOOKUP($U$188,'TAR FIN'!$A$1:$O$104,15,0))</f>
        <v>0</v>
      </c>
      <c r="Y188" s="6">
        <f ca="1">('TUSD BE'!$AM$12+'TUSD BF'!$AM$12+'TUSD CVA'!$AM$12)*1</f>
        <v>12.796774750698974</v>
      </c>
      <c r="Z188" s="6"/>
      <c r="AA188" s="6"/>
      <c r="AB188" s="6">
        <f t="shared" si="10"/>
        <v>19350</v>
      </c>
      <c r="AC188" s="6">
        <f t="shared" si="11"/>
        <v>0</v>
      </c>
      <c r="AD188" s="6">
        <f t="shared" ca="1" si="12"/>
        <v>19195.162126048461</v>
      </c>
      <c r="AE188" s="6">
        <f t="shared" si="13"/>
        <v>0</v>
      </c>
      <c r="AF188" s="4" t="s">
        <v>1000</v>
      </c>
    </row>
    <row r="189" spans="1:32" ht="11.25" customHeight="1" x14ac:dyDescent="0.25">
      <c r="A189" s="4" t="s">
        <v>21</v>
      </c>
      <c r="B189" s="4" t="s">
        <v>39</v>
      </c>
      <c r="C189" s="4" t="s">
        <v>66</v>
      </c>
      <c r="D189" s="4" t="s">
        <v>25</v>
      </c>
      <c r="E189" s="4" t="s">
        <v>25</v>
      </c>
      <c r="F189" s="4" t="s">
        <v>25</v>
      </c>
      <c r="G189" s="4" t="s">
        <v>70</v>
      </c>
      <c r="H189" s="4" t="s">
        <v>25</v>
      </c>
      <c r="I189" s="5">
        <v>44713</v>
      </c>
      <c r="J189" s="6">
        <v>11000</v>
      </c>
      <c r="K189" s="6">
        <v>5500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68</v>
      </c>
      <c r="R189" s="4">
        <v>28957</v>
      </c>
      <c r="S189" s="4">
        <v>16</v>
      </c>
      <c r="T189" s="4">
        <v>0</v>
      </c>
      <c r="U189" s="4">
        <v>0</v>
      </c>
      <c r="V189" s="6">
        <f>IF(ISERROR(VLOOKUP($S$189,'TAR FIN'!$A$1:$O$104,15,0)),0,VLOOKUP($S$189,'TAR FIN'!$A$1:$O$104,15,0))</f>
        <v>12.9</v>
      </c>
      <c r="W189" s="6">
        <f>IF(ISERROR(VLOOKUP($T$189,'TAR FIN'!$A$1:$O$104,15,0)),0,VLOOKUP($T$189,'TAR FIN'!$A$1:$O$104,15,0))</f>
        <v>0</v>
      </c>
      <c r="X189" s="6">
        <f>IF(ISERROR(VLOOKUP($U$189,'TAR FIN'!$A$1:$O$104,15,0)),0,VLOOKUP($U$189,'TAR FIN'!$A$1:$O$104,15,0))</f>
        <v>0</v>
      </c>
      <c r="Y189" s="6">
        <f ca="1">('TUSD BE'!$AM$12+'TUSD BF'!$AM$12+'TUSD CVA'!$AM$12)*1</f>
        <v>12.796774750698974</v>
      </c>
      <c r="Z189" s="6"/>
      <c r="AA189" s="6"/>
      <c r="AB189" s="6">
        <f t="shared" si="10"/>
        <v>70950</v>
      </c>
      <c r="AC189" s="6">
        <f t="shared" si="11"/>
        <v>0</v>
      </c>
      <c r="AD189" s="6">
        <f t="shared" ca="1" si="12"/>
        <v>70382.261128844359</v>
      </c>
      <c r="AE189" s="6">
        <f t="shared" si="13"/>
        <v>0</v>
      </c>
      <c r="AF189" s="4" t="s">
        <v>1000</v>
      </c>
    </row>
    <row r="190" spans="1:32" ht="11.25" customHeight="1" x14ac:dyDescent="0.25">
      <c r="A190" s="4" t="s">
        <v>21</v>
      </c>
      <c r="B190" s="4" t="s">
        <v>39</v>
      </c>
      <c r="C190" s="4" t="s">
        <v>66</v>
      </c>
      <c r="D190" s="4" t="s">
        <v>25</v>
      </c>
      <c r="E190" s="4" t="s">
        <v>25</v>
      </c>
      <c r="F190" s="4" t="s">
        <v>25</v>
      </c>
      <c r="G190" s="4" t="s">
        <v>71</v>
      </c>
      <c r="H190" s="4" t="s">
        <v>25</v>
      </c>
      <c r="I190" s="5">
        <v>44713</v>
      </c>
      <c r="J190" s="6">
        <v>10050</v>
      </c>
      <c r="K190" s="6">
        <v>5025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68</v>
      </c>
      <c r="R190" s="4">
        <v>29041</v>
      </c>
      <c r="S190" s="4">
        <v>16</v>
      </c>
      <c r="T190" s="4">
        <v>0</v>
      </c>
      <c r="U190" s="4">
        <v>0</v>
      </c>
      <c r="V190" s="6">
        <f>IF(ISERROR(VLOOKUP($S$190,'TAR FIN'!$A$1:$O$104,15,0)),0,VLOOKUP($S$190,'TAR FIN'!$A$1:$O$104,15,0))</f>
        <v>12.9</v>
      </c>
      <c r="W190" s="6">
        <f>IF(ISERROR(VLOOKUP($T$190,'TAR FIN'!$A$1:$O$104,15,0)),0,VLOOKUP($T$190,'TAR FIN'!$A$1:$O$104,15,0))</f>
        <v>0</v>
      </c>
      <c r="X190" s="6">
        <f>IF(ISERROR(VLOOKUP($U$190,'TAR FIN'!$A$1:$O$104,15,0)),0,VLOOKUP($U$190,'TAR FIN'!$A$1:$O$104,15,0))</f>
        <v>0</v>
      </c>
      <c r="Y190" s="6">
        <f ca="1">('TUSD BE'!$AM$12+'TUSD BF'!$AM$12+'TUSD CVA'!$AM$12)*1</f>
        <v>12.796774750698974</v>
      </c>
      <c r="Z190" s="6"/>
      <c r="AA190" s="6"/>
      <c r="AB190" s="6">
        <f t="shared" si="10"/>
        <v>64822.5</v>
      </c>
      <c r="AC190" s="6">
        <f t="shared" si="11"/>
        <v>0</v>
      </c>
      <c r="AD190" s="6">
        <f t="shared" ca="1" si="12"/>
        <v>64303.793122262345</v>
      </c>
      <c r="AE190" s="6">
        <f t="shared" si="13"/>
        <v>0</v>
      </c>
      <c r="AF190" s="4" t="s">
        <v>1000</v>
      </c>
    </row>
    <row r="191" spans="1:32" ht="11.25" customHeight="1" x14ac:dyDescent="0.25">
      <c r="A191" s="4" t="s">
        <v>21</v>
      </c>
      <c r="B191" s="4" t="s">
        <v>39</v>
      </c>
      <c r="C191" s="4" t="s">
        <v>66</v>
      </c>
      <c r="D191" s="4" t="s">
        <v>25</v>
      </c>
      <c r="E191" s="4" t="s">
        <v>25</v>
      </c>
      <c r="F191" s="4" t="s">
        <v>25</v>
      </c>
      <c r="G191" s="4" t="s">
        <v>73</v>
      </c>
      <c r="H191" s="4" t="s">
        <v>25</v>
      </c>
      <c r="I191" s="5">
        <v>44713</v>
      </c>
      <c r="J191" s="6">
        <v>44450</v>
      </c>
      <c r="K191" s="6">
        <v>22225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68</v>
      </c>
      <c r="R191" s="4">
        <v>29092</v>
      </c>
      <c r="S191" s="4">
        <v>16</v>
      </c>
      <c r="T191" s="4">
        <v>0</v>
      </c>
      <c r="U191" s="4">
        <v>0</v>
      </c>
      <c r="V191" s="6">
        <f>IF(ISERROR(VLOOKUP($S$191,'TAR FIN'!$A$1:$O$104,15,0)),0,VLOOKUP($S$191,'TAR FIN'!$A$1:$O$104,15,0))</f>
        <v>12.9</v>
      </c>
      <c r="W191" s="6">
        <f>IF(ISERROR(VLOOKUP($T$191,'TAR FIN'!$A$1:$O$104,15,0)),0,VLOOKUP($T$191,'TAR FIN'!$A$1:$O$104,15,0))</f>
        <v>0</v>
      </c>
      <c r="X191" s="6">
        <f>IF(ISERROR(VLOOKUP($U$191,'TAR FIN'!$A$1:$O$104,15,0)),0,VLOOKUP($U$191,'TAR FIN'!$A$1:$O$104,15,0))</f>
        <v>0</v>
      </c>
      <c r="Y191" s="6">
        <f ca="1">('TUSD BE'!$AM$12+'TUSD BF'!$AM$12+'TUSD CVA'!$AM$12)*1</f>
        <v>12.796774750698974</v>
      </c>
      <c r="Z191" s="6"/>
      <c r="AA191" s="6"/>
      <c r="AB191" s="6">
        <f t="shared" si="10"/>
        <v>286702.5</v>
      </c>
      <c r="AC191" s="6">
        <f t="shared" si="11"/>
        <v>0</v>
      </c>
      <c r="AD191" s="6">
        <f t="shared" ca="1" si="12"/>
        <v>284408.31883428473</v>
      </c>
      <c r="AE191" s="6">
        <f t="shared" si="13"/>
        <v>0</v>
      </c>
      <c r="AF191" s="4" t="s">
        <v>1000</v>
      </c>
    </row>
    <row r="192" spans="1:32" ht="11.25" customHeight="1" x14ac:dyDescent="0.25">
      <c r="A192" s="4" t="s">
        <v>21</v>
      </c>
      <c r="B192" s="4" t="s">
        <v>39</v>
      </c>
      <c r="C192" s="4" t="s">
        <v>66</v>
      </c>
      <c r="D192" s="4" t="s">
        <v>25</v>
      </c>
      <c r="E192" s="4" t="s">
        <v>25</v>
      </c>
      <c r="F192" s="4" t="s">
        <v>25</v>
      </c>
      <c r="G192" s="4" t="s">
        <v>75</v>
      </c>
      <c r="H192" s="4" t="s">
        <v>25</v>
      </c>
      <c r="I192" s="5">
        <v>44713</v>
      </c>
      <c r="J192" s="6">
        <v>30000</v>
      </c>
      <c r="K192" s="6">
        <v>15000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68</v>
      </c>
      <c r="R192" s="4">
        <v>33663</v>
      </c>
      <c r="S192" s="4">
        <v>16</v>
      </c>
      <c r="T192" s="4">
        <v>0</v>
      </c>
      <c r="U192" s="4">
        <v>0</v>
      </c>
      <c r="V192" s="6">
        <f>IF(ISERROR(VLOOKUP($S$192,'TAR FIN'!$A$1:$O$104,15,0)),0,VLOOKUP($S$192,'TAR FIN'!$A$1:$O$104,15,0))</f>
        <v>12.9</v>
      </c>
      <c r="W192" s="6">
        <f>IF(ISERROR(VLOOKUP($T$192,'TAR FIN'!$A$1:$O$104,15,0)),0,VLOOKUP($T$192,'TAR FIN'!$A$1:$O$104,15,0))</f>
        <v>0</v>
      </c>
      <c r="X192" s="6">
        <f>IF(ISERROR(VLOOKUP($U$192,'TAR FIN'!$A$1:$O$104,15,0)),0,VLOOKUP($U$192,'TAR FIN'!$A$1:$O$104,15,0))</f>
        <v>0</v>
      </c>
      <c r="Y192" s="6">
        <f ca="1">('TUSD BE'!$AM$12+'TUSD BF'!$AM$12+'TUSD CVA'!$AM$12)*1</f>
        <v>12.796774750698974</v>
      </c>
      <c r="Z192" s="6"/>
      <c r="AA192" s="6"/>
      <c r="AB192" s="6">
        <f t="shared" si="10"/>
        <v>193500</v>
      </c>
      <c r="AC192" s="6">
        <f t="shared" si="11"/>
        <v>0</v>
      </c>
      <c r="AD192" s="6">
        <f t="shared" ca="1" si="12"/>
        <v>191951.62126048462</v>
      </c>
      <c r="AE192" s="6">
        <f t="shared" si="13"/>
        <v>0</v>
      </c>
      <c r="AF192" s="4" t="s">
        <v>1000</v>
      </c>
    </row>
    <row r="193" spans="1:32" ht="11.25" customHeight="1" x14ac:dyDescent="0.25">
      <c r="A193" s="4" t="s">
        <v>21</v>
      </c>
      <c r="B193" s="4" t="s">
        <v>39</v>
      </c>
      <c r="C193" s="4" t="s">
        <v>66</v>
      </c>
      <c r="D193" s="4" t="s">
        <v>25</v>
      </c>
      <c r="E193" s="4" t="s">
        <v>25</v>
      </c>
      <c r="F193" s="4" t="s">
        <v>25</v>
      </c>
      <c r="G193" s="4" t="s">
        <v>76</v>
      </c>
      <c r="H193" s="4" t="s">
        <v>25</v>
      </c>
      <c r="I193" s="5">
        <v>44713</v>
      </c>
      <c r="J193" s="6">
        <v>30000</v>
      </c>
      <c r="K193" s="6">
        <v>15000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68</v>
      </c>
      <c r="R193" s="4">
        <v>33664</v>
      </c>
      <c r="S193" s="4">
        <v>16</v>
      </c>
      <c r="T193" s="4">
        <v>0</v>
      </c>
      <c r="U193" s="4">
        <v>0</v>
      </c>
      <c r="V193" s="6">
        <f>IF(ISERROR(VLOOKUP($S$193,'TAR FIN'!$A$1:$O$104,15,0)),0,VLOOKUP($S$193,'TAR FIN'!$A$1:$O$104,15,0))</f>
        <v>12.9</v>
      </c>
      <c r="W193" s="6">
        <f>IF(ISERROR(VLOOKUP($T$193,'TAR FIN'!$A$1:$O$104,15,0)),0,VLOOKUP($T$193,'TAR FIN'!$A$1:$O$104,15,0))</f>
        <v>0</v>
      </c>
      <c r="X193" s="6">
        <f>IF(ISERROR(VLOOKUP($U$193,'TAR FIN'!$A$1:$O$104,15,0)),0,VLOOKUP($U$193,'TAR FIN'!$A$1:$O$104,15,0))</f>
        <v>0</v>
      </c>
      <c r="Y193" s="6">
        <f ca="1">('TUSD BE'!$AM$12+'TUSD BF'!$AM$12+'TUSD CVA'!$AM$12)*1</f>
        <v>12.796774750698974</v>
      </c>
      <c r="Z193" s="6"/>
      <c r="AA193" s="6"/>
      <c r="AB193" s="6">
        <f t="shared" si="10"/>
        <v>193500</v>
      </c>
      <c r="AC193" s="6">
        <f t="shared" si="11"/>
        <v>0</v>
      </c>
      <c r="AD193" s="6">
        <f t="shared" ca="1" si="12"/>
        <v>191951.62126048462</v>
      </c>
      <c r="AE193" s="6">
        <f t="shared" si="13"/>
        <v>0</v>
      </c>
      <c r="AF193" s="4" t="s">
        <v>1000</v>
      </c>
    </row>
    <row r="194" spans="1:32" ht="11.25" customHeight="1" x14ac:dyDescent="0.25">
      <c r="A194" s="4" t="s">
        <v>21</v>
      </c>
      <c r="B194" s="4" t="s">
        <v>39</v>
      </c>
      <c r="C194" s="4" t="s">
        <v>66</v>
      </c>
      <c r="D194" s="4" t="s">
        <v>25</v>
      </c>
      <c r="E194" s="4" t="s">
        <v>25</v>
      </c>
      <c r="F194" s="4" t="s">
        <v>25</v>
      </c>
      <c r="G194" s="4" t="s">
        <v>77</v>
      </c>
      <c r="H194" s="4" t="s">
        <v>25</v>
      </c>
      <c r="I194" s="5">
        <v>44713</v>
      </c>
      <c r="J194" s="6">
        <v>30000</v>
      </c>
      <c r="K194" s="6">
        <v>15000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4" t="s">
        <v>68</v>
      </c>
      <c r="R194" s="4">
        <v>33665</v>
      </c>
      <c r="S194" s="4">
        <v>16</v>
      </c>
      <c r="T194" s="4">
        <v>0</v>
      </c>
      <c r="U194" s="4">
        <v>0</v>
      </c>
      <c r="V194" s="6">
        <f>IF(ISERROR(VLOOKUP($S$194,'TAR FIN'!$A$1:$O$104,15,0)),0,VLOOKUP($S$194,'TAR FIN'!$A$1:$O$104,15,0))</f>
        <v>12.9</v>
      </c>
      <c r="W194" s="6">
        <f>IF(ISERROR(VLOOKUP($T$194,'TAR FIN'!$A$1:$O$104,15,0)),0,VLOOKUP($T$194,'TAR FIN'!$A$1:$O$104,15,0))</f>
        <v>0</v>
      </c>
      <c r="X194" s="6">
        <f>IF(ISERROR(VLOOKUP($U$194,'TAR FIN'!$A$1:$O$104,15,0)),0,VLOOKUP($U$194,'TAR FIN'!$A$1:$O$104,15,0))</f>
        <v>0</v>
      </c>
      <c r="Y194" s="6">
        <f ca="1">('TUSD BE'!$AM$12+'TUSD BF'!$AM$12+'TUSD CVA'!$AM$12)*1</f>
        <v>12.796774750698974</v>
      </c>
      <c r="Z194" s="6"/>
      <c r="AA194" s="6"/>
      <c r="AB194" s="6">
        <f t="shared" ref="AB194:AB244" si="14">(J194-K194)*V194</f>
        <v>193500</v>
      </c>
      <c r="AC194" s="6">
        <f t="shared" ref="AC194:AC244" si="15">(L194-M194)*W194+(N194-O194)*X194</f>
        <v>0</v>
      </c>
      <c r="AD194" s="6">
        <f t="shared" ref="AD194:AD244" ca="1" si="16">(J194-K194)*Y194</f>
        <v>191951.62126048462</v>
      </c>
      <c r="AE194" s="6">
        <f t="shared" ref="AE194:AE244" si="17">(L194-M194)*Z194+(N194-O194)*AA194</f>
        <v>0</v>
      </c>
      <c r="AF194" s="4" t="s">
        <v>1000</v>
      </c>
    </row>
    <row r="195" spans="1:32" ht="11.25" customHeight="1" x14ac:dyDescent="0.25">
      <c r="A195" s="4" t="s">
        <v>21</v>
      </c>
      <c r="B195" s="4" t="s">
        <v>39</v>
      </c>
      <c r="C195" s="4" t="s">
        <v>66</v>
      </c>
      <c r="D195" s="4" t="s">
        <v>25</v>
      </c>
      <c r="E195" s="4" t="s">
        <v>25</v>
      </c>
      <c r="F195" s="4" t="s">
        <v>25</v>
      </c>
      <c r="G195" s="4" t="s">
        <v>78</v>
      </c>
      <c r="H195" s="4" t="s">
        <v>25</v>
      </c>
      <c r="I195" s="5">
        <v>44713</v>
      </c>
      <c r="J195" s="6">
        <v>27000</v>
      </c>
      <c r="K195" s="6">
        <v>13500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68</v>
      </c>
      <c r="R195" s="4">
        <v>34085</v>
      </c>
      <c r="S195" s="4">
        <v>16</v>
      </c>
      <c r="T195" s="4">
        <v>0</v>
      </c>
      <c r="U195" s="4">
        <v>0</v>
      </c>
      <c r="V195" s="6">
        <f>IF(ISERROR(VLOOKUP($S$195,'TAR FIN'!$A$1:$O$104,15,0)),0,VLOOKUP($S$195,'TAR FIN'!$A$1:$O$104,15,0))</f>
        <v>12.9</v>
      </c>
      <c r="W195" s="6">
        <f>IF(ISERROR(VLOOKUP($T$195,'TAR FIN'!$A$1:$O$104,15,0)),0,VLOOKUP($T$195,'TAR FIN'!$A$1:$O$104,15,0))</f>
        <v>0</v>
      </c>
      <c r="X195" s="6">
        <f>IF(ISERROR(VLOOKUP($U$195,'TAR FIN'!$A$1:$O$104,15,0)),0,VLOOKUP($U$195,'TAR FIN'!$A$1:$O$104,15,0))</f>
        <v>0</v>
      </c>
      <c r="Y195" s="6">
        <f ca="1">('TUSD BE'!$AM$12+'TUSD BF'!$AM$12+'TUSD CVA'!$AM$12)*1</f>
        <v>12.796774750698974</v>
      </c>
      <c r="Z195" s="6"/>
      <c r="AA195" s="6"/>
      <c r="AB195" s="6">
        <f t="shared" si="14"/>
        <v>174150</v>
      </c>
      <c r="AC195" s="6">
        <f t="shared" si="15"/>
        <v>0</v>
      </c>
      <c r="AD195" s="6">
        <f t="shared" ca="1" si="16"/>
        <v>172756.45913443615</v>
      </c>
      <c r="AE195" s="6">
        <f t="shared" si="17"/>
        <v>0</v>
      </c>
      <c r="AF195" s="4" t="s">
        <v>1000</v>
      </c>
    </row>
    <row r="196" spans="1:32" ht="11.25" customHeight="1" x14ac:dyDescent="0.25">
      <c r="A196" s="4" t="s">
        <v>21</v>
      </c>
      <c r="B196" s="4" t="s">
        <v>39</v>
      </c>
      <c r="C196" s="4" t="s">
        <v>66</v>
      </c>
      <c r="D196" s="4" t="s">
        <v>25</v>
      </c>
      <c r="E196" s="4" t="s">
        <v>25</v>
      </c>
      <c r="F196" s="4" t="s">
        <v>25</v>
      </c>
      <c r="G196" s="4" t="s">
        <v>79</v>
      </c>
      <c r="H196" s="4" t="s">
        <v>25</v>
      </c>
      <c r="I196" s="5">
        <v>44713</v>
      </c>
      <c r="J196" s="6">
        <v>27000</v>
      </c>
      <c r="K196" s="6">
        <v>13500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4" t="s">
        <v>68</v>
      </c>
      <c r="R196" s="4">
        <v>34086</v>
      </c>
      <c r="S196" s="4">
        <v>16</v>
      </c>
      <c r="T196" s="4">
        <v>0</v>
      </c>
      <c r="U196" s="4">
        <v>0</v>
      </c>
      <c r="V196" s="6">
        <f>IF(ISERROR(VLOOKUP($S$196,'TAR FIN'!$A$1:$O$104,15,0)),0,VLOOKUP($S$196,'TAR FIN'!$A$1:$O$104,15,0))</f>
        <v>12.9</v>
      </c>
      <c r="W196" s="6">
        <f>IF(ISERROR(VLOOKUP($T$196,'TAR FIN'!$A$1:$O$104,15,0)),0,VLOOKUP($T$196,'TAR FIN'!$A$1:$O$104,15,0))</f>
        <v>0</v>
      </c>
      <c r="X196" s="6">
        <f>IF(ISERROR(VLOOKUP($U$196,'TAR FIN'!$A$1:$O$104,15,0)),0,VLOOKUP($U$196,'TAR FIN'!$A$1:$O$104,15,0))</f>
        <v>0</v>
      </c>
      <c r="Y196" s="6">
        <f ca="1">('TUSD BE'!$AM$12+'TUSD BF'!$AM$12+'TUSD CVA'!$AM$12)*1</f>
        <v>12.796774750698974</v>
      </c>
      <c r="Z196" s="6"/>
      <c r="AA196" s="6"/>
      <c r="AB196" s="6">
        <f t="shared" si="14"/>
        <v>174150</v>
      </c>
      <c r="AC196" s="6">
        <f t="shared" si="15"/>
        <v>0</v>
      </c>
      <c r="AD196" s="6">
        <f t="shared" ca="1" si="16"/>
        <v>172756.45913443615</v>
      </c>
      <c r="AE196" s="6">
        <f t="shared" si="17"/>
        <v>0</v>
      </c>
      <c r="AF196" s="4" t="s">
        <v>1000</v>
      </c>
    </row>
    <row r="197" spans="1:32" ht="11.25" customHeight="1" x14ac:dyDescent="0.25">
      <c r="A197" s="4" t="s">
        <v>57</v>
      </c>
      <c r="B197" s="4" t="s">
        <v>39</v>
      </c>
      <c r="C197" s="4" t="s">
        <v>66</v>
      </c>
      <c r="D197" s="4" t="s">
        <v>25</v>
      </c>
      <c r="E197" s="4" t="s">
        <v>25</v>
      </c>
      <c r="F197" s="4" t="s">
        <v>25</v>
      </c>
      <c r="G197" s="4" t="s">
        <v>67</v>
      </c>
      <c r="H197" s="4" t="s">
        <v>25</v>
      </c>
      <c r="I197" s="5">
        <v>44743</v>
      </c>
      <c r="J197" s="6">
        <v>3500</v>
      </c>
      <c r="K197" s="6">
        <v>3500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4" t="s">
        <v>68</v>
      </c>
      <c r="R197" s="4">
        <v>27402</v>
      </c>
      <c r="S197" s="4">
        <v>16</v>
      </c>
      <c r="T197" s="4">
        <v>0</v>
      </c>
      <c r="U197" s="4">
        <v>0</v>
      </c>
      <c r="V197" s="6">
        <f>IF(ISERROR(VLOOKUP($S$197,'TAR FIN'!$A$1:$O$104,15,0)),0,VLOOKUP($S$197,'TAR FIN'!$A$1:$O$104,15,0))</f>
        <v>12.9</v>
      </c>
      <c r="W197" s="6">
        <f>IF(ISERROR(VLOOKUP($T$197,'TAR FIN'!$A$1:$O$104,15,0)),0,VLOOKUP($T$197,'TAR FIN'!$A$1:$O$104,15,0))</f>
        <v>0</v>
      </c>
      <c r="X197" s="6">
        <f>IF(ISERROR(VLOOKUP($U$197,'TAR FIN'!$A$1:$O$104,15,0)),0,VLOOKUP($U$197,'TAR FIN'!$A$1:$O$104,15,0))</f>
        <v>0</v>
      </c>
      <c r="Y197" s="6">
        <f ca="1">('TUSD BE'!$AM$12+'TUSD BF'!$AM$12+'TUSD CVA'!$AM$12)*1</f>
        <v>12.796774750698974</v>
      </c>
      <c r="Z197" s="6"/>
      <c r="AA197" s="6"/>
      <c r="AB197" s="6">
        <f t="shared" si="14"/>
        <v>0</v>
      </c>
      <c r="AC197" s="6">
        <f t="shared" si="15"/>
        <v>0</v>
      </c>
      <c r="AD197" s="6">
        <f t="shared" ca="1" si="16"/>
        <v>0</v>
      </c>
      <c r="AE197" s="6">
        <f t="shared" si="17"/>
        <v>0</v>
      </c>
      <c r="AF197" s="4" t="s">
        <v>1000</v>
      </c>
    </row>
    <row r="198" spans="1:32" ht="11.25" customHeight="1" x14ac:dyDescent="0.25">
      <c r="A198" s="4" t="s">
        <v>57</v>
      </c>
      <c r="B198" s="4" t="s">
        <v>39</v>
      </c>
      <c r="C198" s="4" t="s">
        <v>66</v>
      </c>
      <c r="D198" s="4" t="s">
        <v>25</v>
      </c>
      <c r="E198" s="4" t="s">
        <v>25</v>
      </c>
      <c r="F198" s="4" t="s">
        <v>25</v>
      </c>
      <c r="G198" s="4" t="s">
        <v>69</v>
      </c>
      <c r="H198" s="4" t="s">
        <v>25</v>
      </c>
      <c r="I198" s="5">
        <v>44743</v>
      </c>
      <c r="J198" s="6">
        <v>3000</v>
      </c>
      <c r="K198" s="6">
        <v>1500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68</v>
      </c>
      <c r="R198" s="4">
        <v>28515</v>
      </c>
      <c r="S198" s="4">
        <v>16</v>
      </c>
      <c r="T198" s="4">
        <v>0</v>
      </c>
      <c r="U198" s="4">
        <v>0</v>
      </c>
      <c r="V198" s="6">
        <f>IF(ISERROR(VLOOKUP($S$198,'TAR FIN'!$A$1:$O$104,15,0)),0,VLOOKUP($S$198,'TAR FIN'!$A$1:$O$104,15,0))</f>
        <v>12.9</v>
      </c>
      <c r="W198" s="6">
        <f>IF(ISERROR(VLOOKUP($T$198,'TAR FIN'!$A$1:$O$104,15,0)),0,VLOOKUP($T$198,'TAR FIN'!$A$1:$O$104,15,0))</f>
        <v>0</v>
      </c>
      <c r="X198" s="6">
        <f>IF(ISERROR(VLOOKUP($U$198,'TAR FIN'!$A$1:$O$104,15,0)),0,VLOOKUP($U$198,'TAR FIN'!$A$1:$O$104,15,0))</f>
        <v>0</v>
      </c>
      <c r="Y198" s="6">
        <f ca="1">('TUSD BE'!$AM$12+'TUSD BF'!$AM$12+'TUSD CVA'!$AM$12)*1</f>
        <v>12.796774750698974</v>
      </c>
      <c r="Z198" s="6"/>
      <c r="AA198" s="6"/>
      <c r="AB198" s="6">
        <f t="shared" si="14"/>
        <v>19350</v>
      </c>
      <c r="AC198" s="6">
        <f t="shared" si="15"/>
        <v>0</v>
      </c>
      <c r="AD198" s="6">
        <f t="shared" ca="1" si="16"/>
        <v>19195.162126048461</v>
      </c>
      <c r="AE198" s="6">
        <f t="shared" si="17"/>
        <v>0</v>
      </c>
      <c r="AF198" s="4" t="s">
        <v>1000</v>
      </c>
    </row>
    <row r="199" spans="1:32" ht="11.25" customHeight="1" x14ac:dyDescent="0.25">
      <c r="A199" s="4" t="s">
        <v>57</v>
      </c>
      <c r="B199" s="4" t="s">
        <v>39</v>
      </c>
      <c r="C199" s="4" t="s">
        <v>66</v>
      </c>
      <c r="D199" s="4" t="s">
        <v>25</v>
      </c>
      <c r="E199" s="4" t="s">
        <v>25</v>
      </c>
      <c r="F199" s="4" t="s">
        <v>25</v>
      </c>
      <c r="G199" s="4" t="s">
        <v>70</v>
      </c>
      <c r="H199" s="4" t="s">
        <v>25</v>
      </c>
      <c r="I199" s="5">
        <v>44743</v>
      </c>
      <c r="J199" s="6">
        <v>11000</v>
      </c>
      <c r="K199" s="6">
        <v>5500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68</v>
      </c>
      <c r="R199" s="4">
        <v>28957</v>
      </c>
      <c r="S199" s="4">
        <v>16</v>
      </c>
      <c r="T199" s="4">
        <v>0</v>
      </c>
      <c r="U199" s="4">
        <v>0</v>
      </c>
      <c r="V199" s="6">
        <f>IF(ISERROR(VLOOKUP($S$199,'TAR FIN'!$A$1:$O$104,15,0)),0,VLOOKUP($S$199,'TAR FIN'!$A$1:$O$104,15,0))</f>
        <v>12.9</v>
      </c>
      <c r="W199" s="6">
        <f>IF(ISERROR(VLOOKUP($T$199,'TAR FIN'!$A$1:$O$104,15,0)),0,VLOOKUP($T$199,'TAR FIN'!$A$1:$O$104,15,0))</f>
        <v>0</v>
      </c>
      <c r="X199" s="6">
        <f>IF(ISERROR(VLOOKUP($U$199,'TAR FIN'!$A$1:$O$104,15,0)),0,VLOOKUP($U$199,'TAR FIN'!$A$1:$O$104,15,0))</f>
        <v>0</v>
      </c>
      <c r="Y199" s="6">
        <f ca="1">('TUSD BE'!$AM$12+'TUSD BF'!$AM$12+'TUSD CVA'!$AM$12)*1</f>
        <v>12.796774750698974</v>
      </c>
      <c r="Z199" s="6"/>
      <c r="AA199" s="6"/>
      <c r="AB199" s="6">
        <f t="shared" si="14"/>
        <v>70950</v>
      </c>
      <c r="AC199" s="6">
        <f t="shared" si="15"/>
        <v>0</v>
      </c>
      <c r="AD199" s="6">
        <f t="shared" ca="1" si="16"/>
        <v>70382.261128844359</v>
      </c>
      <c r="AE199" s="6">
        <f t="shared" si="17"/>
        <v>0</v>
      </c>
      <c r="AF199" s="4" t="s">
        <v>1000</v>
      </c>
    </row>
    <row r="200" spans="1:32" ht="11.25" customHeight="1" x14ac:dyDescent="0.25">
      <c r="A200" s="4" t="s">
        <v>57</v>
      </c>
      <c r="B200" s="4" t="s">
        <v>39</v>
      </c>
      <c r="C200" s="4" t="s">
        <v>66</v>
      </c>
      <c r="D200" s="4" t="s">
        <v>25</v>
      </c>
      <c r="E200" s="4" t="s">
        <v>25</v>
      </c>
      <c r="F200" s="4" t="s">
        <v>25</v>
      </c>
      <c r="G200" s="4" t="s">
        <v>71</v>
      </c>
      <c r="H200" s="4" t="s">
        <v>25</v>
      </c>
      <c r="I200" s="5">
        <v>44743</v>
      </c>
      <c r="J200" s="6">
        <v>10050</v>
      </c>
      <c r="K200" s="6">
        <v>5025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68</v>
      </c>
      <c r="R200" s="4">
        <v>29041</v>
      </c>
      <c r="S200" s="4">
        <v>16</v>
      </c>
      <c r="T200" s="4">
        <v>0</v>
      </c>
      <c r="U200" s="4">
        <v>0</v>
      </c>
      <c r="V200" s="6">
        <f>IF(ISERROR(VLOOKUP($S$200,'TAR FIN'!$A$1:$O$104,15,0)),0,VLOOKUP($S$200,'TAR FIN'!$A$1:$O$104,15,0))</f>
        <v>12.9</v>
      </c>
      <c r="W200" s="6">
        <f>IF(ISERROR(VLOOKUP($T$200,'TAR FIN'!$A$1:$O$104,15,0)),0,VLOOKUP($T$200,'TAR FIN'!$A$1:$O$104,15,0))</f>
        <v>0</v>
      </c>
      <c r="X200" s="6">
        <f>IF(ISERROR(VLOOKUP($U$200,'TAR FIN'!$A$1:$O$104,15,0)),0,VLOOKUP($U$200,'TAR FIN'!$A$1:$O$104,15,0))</f>
        <v>0</v>
      </c>
      <c r="Y200" s="6">
        <f ca="1">('TUSD BE'!$AM$12+'TUSD BF'!$AM$12+'TUSD CVA'!$AM$12)*1</f>
        <v>12.796774750698974</v>
      </c>
      <c r="Z200" s="6"/>
      <c r="AA200" s="6"/>
      <c r="AB200" s="6">
        <f t="shared" si="14"/>
        <v>64822.5</v>
      </c>
      <c r="AC200" s="6">
        <f t="shared" si="15"/>
        <v>0</v>
      </c>
      <c r="AD200" s="6">
        <f t="shared" ca="1" si="16"/>
        <v>64303.793122262345</v>
      </c>
      <c r="AE200" s="6">
        <f t="shared" si="17"/>
        <v>0</v>
      </c>
      <c r="AF200" s="4" t="s">
        <v>1000</v>
      </c>
    </row>
    <row r="201" spans="1:32" ht="11.25" customHeight="1" x14ac:dyDescent="0.25">
      <c r="A201" s="4" t="s">
        <v>57</v>
      </c>
      <c r="B201" s="4" t="s">
        <v>39</v>
      </c>
      <c r="C201" s="4" t="s">
        <v>66</v>
      </c>
      <c r="D201" s="4" t="s">
        <v>25</v>
      </c>
      <c r="E201" s="4" t="s">
        <v>25</v>
      </c>
      <c r="F201" s="4" t="s">
        <v>25</v>
      </c>
      <c r="G201" s="4" t="s">
        <v>73</v>
      </c>
      <c r="H201" s="4" t="s">
        <v>25</v>
      </c>
      <c r="I201" s="5">
        <v>44743</v>
      </c>
      <c r="J201" s="6">
        <v>44450</v>
      </c>
      <c r="K201" s="6">
        <v>22225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68</v>
      </c>
      <c r="R201" s="4">
        <v>29092</v>
      </c>
      <c r="S201" s="4">
        <v>16</v>
      </c>
      <c r="T201" s="4">
        <v>0</v>
      </c>
      <c r="U201" s="4">
        <v>0</v>
      </c>
      <c r="V201" s="6">
        <f>IF(ISERROR(VLOOKUP($S$201,'TAR FIN'!$A$1:$O$104,15,0)),0,VLOOKUP($S$201,'TAR FIN'!$A$1:$O$104,15,0))</f>
        <v>12.9</v>
      </c>
      <c r="W201" s="6">
        <f>IF(ISERROR(VLOOKUP($T$201,'TAR FIN'!$A$1:$O$104,15,0)),0,VLOOKUP($T$201,'TAR FIN'!$A$1:$O$104,15,0))</f>
        <v>0</v>
      </c>
      <c r="X201" s="6">
        <f>IF(ISERROR(VLOOKUP($U$201,'TAR FIN'!$A$1:$O$104,15,0)),0,VLOOKUP($U$201,'TAR FIN'!$A$1:$O$104,15,0))</f>
        <v>0</v>
      </c>
      <c r="Y201" s="6">
        <f ca="1">('TUSD BE'!$AM$12+'TUSD BF'!$AM$12+'TUSD CVA'!$AM$12)*1</f>
        <v>12.796774750698974</v>
      </c>
      <c r="Z201" s="6"/>
      <c r="AA201" s="6"/>
      <c r="AB201" s="6">
        <f t="shared" si="14"/>
        <v>286702.5</v>
      </c>
      <c r="AC201" s="6">
        <f t="shared" si="15"/>
        <v>0</v>
      </c>
      <c r="AD201" s="6">
        <f t="shared" ca="1" si="16"/>
        <v>284408.31883428473</v>
      </c>
      <c r="AE201" s="6">
        <f t="shared" si="17"/>
        <v>0</v>
      </c>
      <c r="AF201" s="4" t="s">
        <v>1000</v>
      </c>
    </row>
    <row r="202" spans="1:32" ht="11.25" customHeight="1" x14ac:dyDescent="0.25">
      <c r="A202" s="4" t="s">
        <v>57</v>
      </c>
      <c r="B202" s="4" t="s">
        <v>39</v>
      </c>
      <c r="C202" s="4" t="s">
        <v>66</v>
      </c>
      <c r="D202" s="4" t="s">
        <v>25</v>
      </c>
      <c r="E202" s="4" t="s">
        <v>25</v>
      </c>
      <c r="F202" s="4" t="s">
        <v>25</v>
      </c>
      <c r="G202" s="4" t="s">
        <v>75</v>
      </c>
      <c r="H202" s="4" t="s">
        <v>25</v>
      </c>
      <c r="I202" s="5">
        <v>44743</v>
      </c>
      <c r="J202" s="6">
        <v>30000</v>
      </c>
      <c r="K202" s="6">
        <v>15000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68</v>
      </c>
      <c r="R202" s="4">
        <v>33663</v>
      </c>
      <c r="S202" s="4">
        <v>16</v>
      </c>
      <c r="T202" s="4">
        <v>0</v>
      </c>
      <c r="U202" s="4">
        <v>0</v>
      </c>
      <c r="V202" s="6">
        <f>IF(ISERROR(VLOOKUP($S$202,'TAR FIN'!$A$1:$O$104,15,0)),0,VLOOKUP($S$202,'TAR FIN'!$A$1:$O$104,15,0))</f>
        <v>12.9</v>
      </c>
      <c r="W202" s="6">
        <f>IF(ISERROR(VLOOKUP($T$202,'TAR FIN'!$A$1:$O$104,15,0)),0,VLOOKUP($T$202,'TAR FIN'!$A$1:$O$104,15,0))</f>
        <v>0</v>
      </c>
      <c r="X202" s="6">
        <f>IF(ISERROR(VLOOKUP($U$202,'TAR FIN'!$A$1:$O$104,15,0)),0,VLOOKUP($U$202,'TAR FIN'!$A$1:$O$104,15,0))</f>
        <v>0</v>
      </c>
      <c r="Y202" s="6">
        <f ca="1">('TUSD BE'!$AM$12+'TUSD BF'!$AM$12+'TUSD CVA'!$AM$12)*1</f>
        <v>12.796774750698974</v>
      </c>
      <c r="Z202" s="6"/>
      <c r="AA202" s="6"/>
      <c r="AB202" s="6">
        <f t="shared" si="14"/>
        <v>193500</v>
      </c>
      <c r="AC202" s="6">
        <f t="shared" si="15"/>
        <v>0</v>
      </c>
      <c r="AD202" s="6">
        <f t="shared" ca="1" si="16"/>
        <v>191951.62126048462</v>
      </c>
      <c r="AE202" s="6">
        <f t="shared" si="17"/>
        <v>0</v>
      </c>
      <c r="AF202" s="4" t="s">
        <v>1000</v>
      </c>
    </row>
    <row r="203" spans="1:32" ht="11.25" customHeight="1" x14ac:dyDescent="0.25">
      <c r="A203" s="4" t="s">
        <v>57</v>
      </c>
      <c r="B203" s="4" t="s">
        <v>39</v>
      </c>
      <c r="C203" s="4" t="s">
        <v>66</v>
      </c>
      <c r="D203" s="4" t="s">
        <v>25</v>
      </c>
      <c r="E203" s="4" t="s">
        <v>25</v>
      </c>
      <c r="F203" s="4" t="s">
        <v>25</v>
      </c>
      <c r="G203" s="4" t="s">
        <v>76</v>
      </c>
      <c r="H203" s="4" t="s">
        <v>25</v>
      </c>
      <c r="I203" s="5">
        <v>44743</v>
      </c>
      <c r="J203" s="6">
        <v>30000</v>
      </c>
      <c r="K203" s="6">
        <v>15000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68</v>
      </c>
      <c r="R203" s="4">
        <v>33664</v>
      </c>
      <c r="S203" s="4">
        <v>16</v>
      </c>
      <c r="T203" s="4">
        <v>0</v>
      </c>
      <c r="U203" s="4">
        <v>0</v>
      </c>
      <c r="V203" s="6">
        <f>IF(ISERROR(VLOOKUP($S$203,'TAR FIN'!$A$1:$O$104,15,0)),0,VLOOKUP($S$203,'TAR FIN'!$A$1:$O$104,15,0))</f>
        <v>12.9</v>
      </c>
      <c r="W203" s="6">
        <f>IF(ISERROR(VLOOKUP($T$203,'TAR FIN'!$A$1:$O$104,15,0)),0,VLOOKUP($T$203,'TAR FIN'!$A$1:$O$104,15,0))</f>
        <v>0</v>
      </c>
      <c r="X203" s="6">
        <f>IF(ISERROR(VLOOKUP($U$203,'TAR FIN'!$A$1:$O$104,15,0)),0,VLOOKUP($U$203,'TAR FIN'!$A$1:$O$104,15,0))</f>
        <v>0</v>
      </c>
      <c r="Y203" s="6">
        <f ca="1">('TUSD BE'!$AM$12+'TUSD BF'!$AM$12+'TUSD CVA'!$AM$12)*1</f>
        <v>12.796774750698974</v>
      </c>
      <c r="Z203" s="6"/>
      <c r="AA203" s="6"/>
      <c r="AB203" s="6">
        <f t="shared" si="14"/>
        <v>193500</v>
      </c>
      <c r="AC203" s="6">
        <f t="shared" si="15"/>
        <v>0</v>
      </c>
      <c r="AD203" s="6">
        <f t="shared" ca="1" si="16"/>
        <v>191951.62126048462</v>
      </c>
      <c r="AE203" s="6">
        <f t="shared" si="17"/>
        <v>0</v>
      </c>
      <c r="AF203" s="4" t="s">
        <v>1000</v>
      </c>
    </row>
    <row r="204" spans="1:32" ht="11.25" customHeight="1" x14ac:dyDescent="0.25">
      <c r="A204" s="4" t="s">
        <v>57</v>
      </c>
      <c r="B204" s="4" t="s">
        <v>39</v>
      </c>
      <c r="C204" s="4" t="s">
        <v>66</v>
      </c>
      <c r="D204" s="4" t="s">
        <v>25</v>
      </c>
      <c r="E204" s="4" t="s">
        <v>25</v>
      </c>
      <c r="F204" s="4" t="s">
        <v>25</v>
      </c>
      <c r="G204" s="4" t="s">
        <v>77</v>
      </c>
      <c r="H204" s="4" t="s">
        <v>25</v>
      </c>
      <c r="I204" s="5">
        <v>44743</v>
      </c>
      <c r="J204" s="6">
        <v>30000</v>
      </c>
      <c r="K204" s="6">
        <v>15000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4" t="s">
        <v>68</v>
      </c>
      <c r="R204" s="4">
        <v>33665</v>
      </c>
      <c r="S204" s="4">
        <v>16</v>
      </c>
      <c r="T204" s="4">
        <v>0</v>
      </c>
      <c r="U204" s="4">
        <v>0</v>
      </c>
      <c r="V204" s="6">
        <f>IF(ISERROR(VLOOKUP($S$204,'TAR FIN'!$A$1:$O$104,15,0)),0,VLOOKUP($S$204,'TAR FIN'!$A$1:$O$104,15,0))</f>
        <v>12.9</v>
      </c>
      <c r="W204" s="6">
        <f>IF(ISERROR(VLOOKUP($T$204,'TAR FIN'!$A$1:$O$104,15,0)),0,VLOOKUP($T$204,'TAR FIN'!$A$1:$O$104,15,0))</f>
        <v>0</v>
      </c>
      <c r="X204" s="6">
        <f>IF(ISERROR(VLOOKUP($U$204,'TAR FIN'!$A$1:$O$104,15,0)),0,VLOOKUP($U$204,'TAR FIN'!$A$1:$O$104,15,0))</f>
        <v>0</v>
      </c>
      <c r="Y204" s="6">
        <f ca="1">('TUSD BE'!$AM$12+'TUSD BF'!$AM$12+'TUSD CVA'!$AM$12)*1</f>
        <v>12.796774750698974</v>
      </c>
      <c r="Z204" s="6"/>
      <c r="AA204" s="6"/>
      <c r="AB204" s="6">
        <f t="shared" si="14"/>
        <v>193500</v>
      </c>
      <c r="AC204" s="6">
        <f t="shared" si="15"/>
        <v>0</v>
      </c>
      <c r="AD204" s="6">
        <f t="shared" ca="1" si="16"/>
        <v>191951.62126048462</v>
      </c>
      <c r="AE204" s="6">
        <f t="shared" si="17"/>
        <v>0</v>
      </c>
      <c r="AF204" s="4" t="s">
        <v>1000</v>
      </c>
    </row>
    <row r="205" spans="1:32" ht="11.25" customHeight="1" x14ac:dyDescent="0.25">
      <c r="A205" s="4" t="s">
        <v>57</v>
      </c>
      <c r="B205" s="4" t="s">
        <v>39</v>
      </c>
      <c r="C205" s="4" t="s">
        <v>66</v>
      </c>
      <c r="D205" s="4" t="s">
        <v>25</v>
      </c>
      <c r="E205" s="4" t="s">
        <v>25</v>
      </c>
      <c r="F205" s="4" t="s">
        <v>25</v>
      </c>
      <c r="G205" s="4" t="s">
        <v>78</v>
      </c>
      <c r="H205" s="4" t="s">
        <v>25</v>
      </c>
      <c r="I205" s="5">
        <v>44743</v>
      </c>
      <c r="J205" s="6">
        <v>27000</v>
      </c>
      <c r="K205" s="6">
        <v>13500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4" t="s">
        <v>68</v>
      </c>
      <c r="R205" s="4">
        <v>34085</v>
      </c>
      <c r="S205" s="4">
        <v>16</v>
      </c>
      <c r="T205" s="4">
        <v>0</v>
      </c>
      <c r="U205" s="4">
        <v>0</v>
      </c>
      <c r="V205" s="6">
        <f>IF(ISERROR(VLOOKUP($S$205,'TAR FIN'!$A$1:$O$104,15,0)),0,VLOOKUP($S$205,'TAR FIN'!$A$1:$O$104,15,0))</f>
        <v>12.9</v>
      </c>
      <c r="W205" s="6">
        <f>IF(ISERROR(VLOOKUP($T$205,'TAR FIN'!$A$1:$O$104,15,0)),0,VLOOKUP($T$205,'TAR FIN'!$A$1:$O$104,15,0))</f>
        <v>0</v>
      </c>
      <c r="X205" s="6">
        <f>IF(ISERROR(VLOOKUP($U$205,'TAR FIN'!$A$1:$O$104,15,0)),0,VLOOKUP($U$205,'TAR FIN'!$A$1:$O$104,15,0))</f>
        <v>0</v>
      </c>
      <c r="Y205" s="6">
        <f ca="1">('TUSD BE'!$AM$12+'TUSD BF'!$AM$12+'TUSD CVA'!$AM$12)*1</f>
        <v>12.796774750698974</v>
      </c>
      <c r="Z205" s="6"/>
      <c r="AA205" s="6"/>
      <c r="AB205" s="6">
        <f t="shared" si="14"/>
        <v>174150</v>
      </c>
      <c r="AC205" s="6">
        <f t="shared" si="15"/>
        <v>0</v>
      </c>
      <c r="AD205" s="6">
        <f t="shared" ca="1" si="16"/>
        <v>172756.45913443615</v>
      </c>
      <c r="AE205" s="6">
        <f t="shared" si="17"/>
        <v>0</v>
      </c>
      <c r="AF205" s="4" t="s">
        <v>1000</v>
      </c>
    </row>
    <row r="206" spans="1:32" ht="11.25" customHeight="1" x14ac:dyDescent="0.25">
      <c r="A206" s="4" t="s">
        <v>57</v>
      </c>
      <c r="B206" s="4" t="s">
        <v>39</v>
      </c>
      <c r="C206" s="4" t="s">
        <v>66</v>
      </c>
      <c r="D206" s="4" t="s">
        <v>25</v>
      </c>
      <c r="E206" s="4" t="s">
        <v>25</v>
      </c>
      <c r="F206" s="4" t="s">
        <v>25</v>
      </c>
      <c r="G206" s="4" t="s">
        <v>79</v>
      </c>
      <c r="H206" s="4" t="s">
        <v>25</v>
      </c>
      <c r="I206" s="5">
        <v>44743</v>
      </c>
      <c r="J206" s="6">
        <v>27000</v>
      </c>
      <c r="K206" s="6">
        <v>13500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4" t="s">
        <v>68</v>
      </c>
      <c r="R206" s="4">
        <v>34086</v>
      </c>
      <c r="S206" s="4">
        <v>16</v>
      </c>
      <c r="T206" s="4">
        <v>0</v>
      </c>
      <c r="U206" s="4">
        <v>0</v>
      </c>
      <c r="V206" s="6">
        <f>IF(ISERROR(VLOOKUP($S$206,'TAR FIN'!$A$1:$O$104,15,0)),0,VLOOKUP($S$206,'TAR FIN'!$A$1:$O$104,15,0))</f>
        <v>12.9</v>
      </c>
      <c r="W206" s="6">
        <f>IF(ISERROR(VLOOKUP($T$206,'TAR FIN'!$A$1:$O$104,15,0)),0,VLOOKUP($T$206,'TAR FIN'!$A$1:$O$104,15,0))</f>
        <v>0</v>
      </c>
      <c r="X206" s="6">
        <f>IF(ISERROR(VLOOKUP($U$206,'TAR FIN'!$A$1:$O$104,15,0)),0,VLOOKUP($U$206,'TAR FIN'!$A$1:$O$104,15,0))</f>
        <v>0</v>
      </c>
      <c r="Y206" s="6">
        <f ca="1">('TUSD BE'!$AM$12+'TUSD BF'!$AM$12+'TUSD CVA'!$AM$12)*1</f>
        <v>12.796774750698974</v>
      </c>
      <c r="Z206" s="6"/>
      <c r="AA206" s="6"/>
      <c r="AB206" s="6">
        <f t="shared" si="14"/>
        <v>174150</v>
      </c>
      <c r="AC206" s="6">
        <f t="shared" si="15"/>
        <v>0</v>
      </c>
      <c r="AD206" s="6">
        <f t="shared" ca="1" si="16"/>
        <v>172756.45913443615</v>
      </c>
      <c r="AE206" s="6">
        <f t="shared" si="17"/>
        <v>0</v>
      </c>
      <c r="AF206" s="4" t="s">
        <v>1000</v>
      </c>
    </row>
    <row r="207" spans="1:32" ht="11.25" customHeight="1" x14ac:dyDescent="0.25">
      <c r="A207" s="4" t="s">
        <v>21</v>
      </c>
      <c r="B207" s="4" t="s">
        <v>41</v>
      </c>
      <c r="C207" s="4" t="s">
        <v>40</v>
      </c>
      <c r="D207" s="4" t="s">
        <v>38</v>
      </c>
      <c r="E207" s="4" t="s">
        <v>25</v>
      </c>
      <c r="F207" s="4" t="s">
        <v>61</v>
      </c>
      <c r="G207" s="4" t="s">
        <v>25</v>
      </c>
      <c r="H207" s="4" t="s">
        <v>35</v>
      </c>
      <c r="I207" s="5">
        <v>44409</v>
      </c>
      <c r="J207" s="6">
        <v>14719</v>
      </c>
      <c r="K207" s="6">
        <v>7359.5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4" t="s">
        <v>58</v>
      </c>
      <c r="R207" s="4">
        <v>0</v>
      </c>
      <c r="S207" s="4">
        <v>20</v>
      </c>
      <c r="T207" s="4">
        <v>0</v>
      </c>
      <c r="U207" s="4">
        <v>0</v>
      </c>
      <c r="V207" s="6">
        <f>IF(ISERROR(VLOOKUP($S$207,'TAR FIN'!$A$1:$O$104,15,0)),0,VLOOKUP($S$207,'TAR FIN'!$A$1:$O$104,15,0))</f>
        <v>26.22</v>
      </c>
      <c r="W207" s="6">
        <f>IF(ISERROR(VLOOKUP($T$207,'TAR FIN'!$A$1:$O$104,15,0)),0,VLOOKUP($T$207,'TAR FIN'!$A$1:$O$104,15,0))</f>
        <v>0</v>
      </c>
      <c r="X207" s="6">
        <f>IF(ISERROR(VLOOKUP($U$207,'TAR FIN'!$A$1:$O$104,15,0)),0,VLOOKUP($U$207,'TAR FIN'!$A$1:$O$104,15,0))</f>
        <v>0</v>
      </c>
      <c r="Y207" s="6">
        <f ca="1">('TUSD BE'!$AM$14+'TUSD BF'!$AM$14+'TUSD CVA'!$AM$14)*1</f>
        <v>26.280164278980507</v>
      </c>
      <c r="Z207" s="6">
        <f ca="1">('TUSD BE'!$AM$15+'TUSD BF'!$AM$15+'TUSD CVA'!$AM$15)*1</f>
        <v>77.876201961015255</v>
      </c>
      <c r="AA207" s="6"/>
      <c r="AB207" s="6">
        <f t="shared" si="14"/>
        <v>192966.09</v>
      </c>
      <c r="AC207" s="6">
        <f t="shared" si="15"/>
        <v>0</v>
      </c>
      <c r="AD207" s="6">
        <f t="shared" ca="1" si="16"/>
        <v>193408.86901115705</v>
      </c>
      <c r="AE207" s="6">
        <f t="shared" ca="1" si="17"/>
        <v>0</v>
      </c>
      <c r="AF207" s="4" t="s">
        <v>997</v>
      </c>
    </row>
    <row r="208" spans="1:32" ht="11.25" customHeight="1" x14ac:dyDescent="0.25">
      <c r="A208" s="4" t="s">
        <v>21</v>
      </c>
      <c r="B208" s="4" t="s">
        <v>41</v>
      </c>
      <c r="C208" s="4" t="s">
        <v>40</v>
      </c>
      <c r="D208" s="4" t="s">
        <v>38</v>
      </c>
      <c r="E208" s="4" t="s">
        <v>25</v>
      </c>
      <c r="F208" s="4" t="s">
        <v>61</v>
      </c>
      <c r="G208" s="4" t="s">
        <v>25</v>
      </c>
      <c r="H208" s="4" t="s">
        <v>35</v>
      </c>
      <c r="I208" s="5">
        <v>44440</v>
      </c>
      <c r="J208" s="6">
        <v>14708</v>
      </c>
      <c r="K208" s="6">
        <v>7354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58</v>
      </c>
      <c r="R208" s="4">
        <v>0</v>
      </c>
      <c r="S208" s="4">
        <v>20</v>
      </c>
      <c r="T208" s="4">
        <v>0</v>
      </c>
      <c r="U208" s="4">
        <v>0</v>
      </c>
      <c r="V208" s="6">
        <f>IF(ISERROR(VLOOKUP($S$208,'TAR FIN'!$A$1:$O$104,15,0)),0,VLOOKUP($S$208,'TAR FIN'!$A$1:$O$104,15,0))</f>
        <v>26.22</v>
      </c>
      <c r="W208" s="6">
        <f>IF(ISERROR(VLOOKUP($T$208,'TAR FIN'!$A$1:$O$104,15,0)),0,VLOOKUP($T$208,'TAR FIN'!$A$1:$O$104,15,0))</f>
        <v>0</v>
      </c>
      <c r="X208" s="6">
        <f>IF(ISERROR(VLOOKUP($U$208,'TAR FIN'!$A$1:$O$104,15,0)),0,VLOOKUP($U$208,'TAR FIN'!$A$1:$O$104,15,0))</f>
        <v>0</v>
      </c>
      <c r="Y208" s="6">
        <f ca="1">('TUSD BE'!$AM$14+'TUSD BF'!$AM$14+'TUSD CVA'!$AM$14)*1</f>
        <v>26.280164278980507</v>
      </c>
      <c r="Z208" s="6">
        <f ca="1">('TUSD BE'!$AM$15+'TUSD BF'!$AM$15+'TUSD CVA'!$AM$15)*1</f>
        <v>77.876201961015255</v>
      </c>
      <c r="AA208" s="6"/>
      <c r="AB208" s="6">
        <f t="shared" si="14"/>
        <v>192821.88</v>
      </c>
      <c r="AC208" s="6">
        <f t="shared" si="15"/>
        <v>0</v>
      </c>
      <c r="AD208" s="6">
        <f t="shared" ca="1" si="16"/>
        <v>193264.32810762266</v>
      </c>
      <c r="AE208" s="6">
        <f t="shared" ca="1" si="17"/>
        <v>0</v>
      </c>
      <c r="AF208" s="4" t="s">
        <v>997</v>
      </c>
    </row>
    <row r="209" spans="1:32" ht="11.25" customHeight="1" x14ac:dyDescent="0.25">
      <c r="A209" s="4" t="s">
        <v>21</v>
      </c>
      <c r="B209" s="4" t="s">
        <v>41</v>
      </c>
      <c r="C209" s="4" t="s">
        <v>40</v>
      </c>
      <c r="D209" s="4" t="s">
        <v>38</v>
      </c>
      <c r="E209" s="4" t="s">
        <v>25</v>
      </c>
      <c r="F209" s="4" t="s">
        <v>61</v>
      </c>
      <c r="G209" s="4" t="s">
        <v>25</v>
      </c>
      <c r="H209" s="4" t="s">
        <v>35</v>
      </c>
      <c r="I209" s="5">
        <v>44470</v>
      </c>
      <c r="J209" s="6">
        <v>14677</v>
      </c>
      <c r="K209" s="6">
        <v>8806.2000000000007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58</v>
      </c>
      <c r="R209" s="4">
        <v>0</v>
      </c>
      <c r="S209" s="4">
        <v>20</v>
      </c>
      <c r="T209" s="4">
        <v>0</v>
      </c>
      <c r="U209" s="4">
        <v>0</v>
      </c>
      <c r="V209" s="6">
        <f>IF(ISERROR(VLOOKUP($S$209,'TAR FIN'!$A$1:$O$104,15,0)),0,VLOOKUP($S$209,'TAR FIN'!$A$1:$O$104,15,0))</f>
        <v>26.22</v>
      </c>
      <c r="W209" s="6">
        <f>IF(ISERROR(VLOOKUP($T$209,'TAR FIN'!$A$1:$O$104,15,0)),0,VLOOKUP($T$209,'TAR FIN'!$A$1:$O$104,15,0))</f>
        <v>0</v>
      </c>
      <c r="X209" s="6">
        <f>IF(ISERROR(VLOOKUP($U$209,'TAR FIN'!$A$1:$O$104,15,0)),0,VLOOKUP($U$209,'TAR FIN'!$A$1:$O$104,15,0))</f>
        <v>0</v>
      </c>
      <c r="Y209" s="6">
        <f ca="1">('TUSD BE'!$AM$14+'TUSD BF'!$AM$14+'TUSD CVA'!$AM$14)*1</f>
        <v>26.280164278980507</v>
      </c>
      <c r="Z209" s="6">
        <f ca="1">('TUSD BE'!$AM$15+'TUSD BF'!$AM$15+'TUSD CVA'!$AM$15)*1</f>
        <v>77.876201961015255</v>
      </c>
      <c r="AA209" s="6"/>
      <c r="AB209" s="6">
        <f t="shared" si="14"/>
        <v>153932.37599999996</v>
      </c>
      <c r="AC209" s="6">
        <f t="shared" si="15"/>
        <v>0</v>
      </c>
      <c r="AD209" s="6">
        <f t="shared" ca="1" si="16"/>
        <v>154285.58844903874</v>
      </c>
      <c r="AE209" s="6">
        <f t="shared" ca="1" si="17"/>
        <v>0</v>
      </c>
      <c r="AF209" s="4" t="s">
        <v>997</v>
      </c>
    </row>
    <row r="210" spans="1:32" ht="11.25" customHeight="1" x14ac:dyDescent="0.25">
      <c r="A210" s="4" t="s">
        <v>21</v>
      </c>
      <c r="B210" s="4" t="s">
        <v>41</v>
      </c>
      <c r="C210" s="4" t="s">
        <v>40</v>
      </c>
      <c r="D210" s="4" t="s">
        <v>38</v>
      </c>
      <c r="E210" s="4" t="s">
        <v>25</v>
      </c>
      <c r="F210" s="4" t="s">
        <v>61</v>
      </c>
      <c r="G210" s="4" t="s">
        <v>25</v>
      </c>
      <c r="H210" s="4" t="s">
        <v>35</v>
      </c>
      <c r="I210" s="5">
        <v>44501</v>
      </c>
      <c r="J210" s="6">
        <v>18485</v>
      </c>
      <c r="K210" s="6">
        <v>9242.5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4" t="s">
        <v>58</v>
      </c>
      <c r="R210" s="4">
        <v>0</v>
      </c>
      <c r="S210" s="4">
        <v>20</v>
      </c>
      <c r="T210" s="4">
        <v>0</v>
      </c>
      <c r="U210" s="4">
        <v>0</v>
      </c>
      <c r="V210" s="6">
        <f>IF(ISERROR(VLOOKUP($S$210,'TAR FIN'!$A$1:$O$104,15,0)),0,VLOOKUP($S$210,'TAR FIN'!$A$1:$O$104,15,0))</f>
        <v>26.22</v>
      </c>
      <c r="W210" s="6">
        <f>IF(ISERROR(VLOOKUP($T$210,'TAR FIN'!$A$1:$O$104,15,0)),0,VLOOKUP($T$210,'TAR FIN'!$A$1:$O$104,15,0))</f>
        <v>0</v>
      </c>
      <c r="X210" s="6">
        <f>IF(ISERROR(VLOOKUP($U$210,'TAR FIN'!$A$1:$O$104,15,0)),0,VLOOKUP($U$210,'TAR FIN'!$A$1:$O$104,15,0))</f>
        <v>0</v>
      </c>
      <c r="Y210" s="6">
        <f ca="1">('TUSD BE'!$AM$14+'TUSD BF'!$AM$14+'TUSD CVA'!$AM$14)*1</f>
        <v>26.280164278980507</v>
      </c>
      <c r="Z210" s="6">
        <f ca="1">('TUSD BE'!$AM$15+'TUSD BF'!$AM$15+'TUSD CVA'!$AM$15)*1</f>
        <v>77.876201961015255</v>
      </c>
      <c r="AA210" s="6"/>
      <c r="AB210" s="6">
        <f t="shared" si="14"/>
        <v>242338.34999999998</v>
      </c>
      <c r="AC210" s="6">
        <f t="shared" si="15"/>
        <v>0</v>
      </c>
      <c r="AD210" s="6">
        <f t="shared" ca="1" si="16"/>
        <v>242894.41834847734</v>
      </c>
      <c r="AE210" s="6">
        <f t="shared" ca="1" si="17"/>
        <v>0</v>
      </c>
      <c r="AF210" s="4" t="s">
        <v>997</v>
      </c>
    </row>
    <row r="211" spans="1:32" ht="11.25" customHeight="1" x14ac:dyDescent="0.25">
      <c r="A211" s="4" t="s">
        <v>21</v>
      </c>
      <c r="B211" s="4" t="s">
        <v>41</v>
      </c>
      <c r="C211" s="4" t="s">
        <v>40</v>
      </c>
      <c r="D211" s="4" t="s">
        <v>38</v>
      </c>
      <c r="E211" s="4" t="s">
        <v>25</v>
      </c>
      <c r="F211" s="4" t="s">
        <v>61</v>
      </c>
      <c r="G211" s="4" t="s">
        <v>25</v>
      </c>
      <c r="H211" s="4" t="s">
        <v>35</v>
      </c>
      <c r="I211" s="5">
        <v>44531</v>
      </c>
      <c r="J211" s="6">
        <v>18851</v>
      </c>
      <c r="K211" s="6">
        <v>9236.99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4" t="s">
        <v>58</v>
      </c>
      <c r="R211" s="4">
        <v>0</v>
      </c>
      <c r="S211" s="4">
        <v>20</v>
      </c>
      <c r="T211" s="4">
        <v>0</v>
      </c>
      <c r="U211" s="4">
        <v>0</v>
      </c>
      <c r="V211" s="6">
        <f>IF(ISERROR(VLOOKUP($S$211,'TAR FIN'!$A$1:$O$104,15,0)),0,VLOOKUP($S$211,'TAR FIN'!$A$1:$O$104,15,0))</f>
        <v>26.22</v>
      </c>
      <c r="W211" s="6">
        <f>IF(ISERROR(VLOOKUP($T$211,'TAR FIN'!$A$1:$O$104,15,0)),0,VLOOKUP($T$211,'TAR FIN'!$A$1:$O$104,15,0))</f>
        <v>0</v>
      </c>
      <c r="X211" s="6">
        <f>IF(ISERROR(VLOOKUP($U$211,'TAR FIN'!$A$1:$O$104,15,0)),0,VLOOKUP($U$211,'TAR FIN'!$A$1:$O$104,15,0))</f>
        <v>0</v>
      </c>
      <c r="Y211" s="6">
        <f ca="1">('TUSD BE'!$AM$14+'TUSD BF'!$AM$14+'TUSD CVA'!$AM$14)*1</f>
        <v>26.280164278980507</v>
      </c>
      <c r="Z211" s="6">
        <f ca="1">('TUSD BE'!$AM$15+'TUSD BF'!$AM$15+'TUSD CVA'!$AM$15)*1</f>
        <v>77.876201961015255</v>
      </c>
      <c r="AA211" s="6"/>
      <c r="AB211" s="6">
        <f t="shared" si="14"/>
        <v>252079.34219999998</v>
      </c>
      <c r="AC211" s="6">
        <f t="shared" si="15"/>
        <v>0</v>
      </c>
      <c r="AD211" s="6">
        <f t="shared" ca="1" si="16"/>
        <v>252657.7621797614</v>
      </c>
      <c r="AE211" s="6">
        <f t="shared" ca="1" si="17"/>
        <v>0</v>
      </c>
      <c r="AF211" s="4" t="s">
        <v>997</v>
      </c>
    </row>
    <row r="212" spans="1:32" ht="11.25" customHeight="1" x14ac:dyDescent="0.25">
      <c r="A212" s="4" t="s">
        <v>21</v>
      </c>
      <c r="B212" s="4" t="s">
        <v>41</v>
      </c>
      <c r="C212" s="4" t="s">
        <v>40</v>
      </c>
      <c r="D212" s="4" t="s">
        <v>38</v>
      </c>
      <c r="E212" s="4" t="s">
        <v>25</v>
      </c>
      <c r="F212" s="4" t="s">
        <v>61</v>
      </c>
      <c r="G212" s="4" t="s">
        <v>25</v>
      </c>
      <c r="H212" s="4" t="s">
        <v>35</v>
      </c>
      <c r="I212" s="5">
        <v>44562</v>
      </c>
      <c r="J212" s="6">
        <v>18785</v>
      </c>
      <c r="K212" s="6">
        <v>9204.65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4" t="s">
        <v>58</v>
      </c>
      <c r="R212" s="4">
        <v>0</v>
      </c>
      <c r="S212" s="4">
        <v>20</v>
      </c>
      <c r="T212" s="4">
        <v>0</v>
      </c>
      <c r="U212" s="4">
        <v>0</v>
      </c>
      <c r="V212" s="6">
        <f>IF(ISERROR(VLOOKUP($S$212,'TAR FIN'!$A$1:$O$104,15,0)),0,VLOOKUP($S$212,'TAR FIN'!$A$1:$O$104,15,0))</f>
        <v>26.22</v>
      </c>
      <c r="W212" s="6">
        <f>IF(ISERROR(VLOOKUP($T$212,'TAR FIN'!$A$1:$O$104,15,0)),0,VLOOKUP($T$212,'TAR FIN'!$A$1:$O$104,15,0))</f>
        <v>0</v>
      </c>
      <c r="X212" s="6">
        <f>IF(ISERROR(VLOOKUP($U$212,'TAR FIN'!$A$1:$O$104,15,0)),0,VLOOKUP($U$212,'TAR FIN'!$A$1:$O$104,15,0))</f>
        <v>0</v>
      </c>
      <c r="Y212" s="6">
        <f ca="1">('TUSD BE'!$AM$14+'TUSD BF'!$AM$14+'TUSD CVA'!$AM$14)*1</f>
        <v>26.280164278980507</v>
      </c>
      <c r="Z212" s="6">
        <f ca="1">('TUSD BE'!$AM$15+'TUSD BF'!$AM$15+'TUSD CVA'!$AM$15)*1</f>
        <v>77.876201961015255</v>
      </c>
      <c r="AA212" s="6"/>
      <c r="AB212" s="6">
        <f t="shared" si="14"/>
        <v>251196.777</v>
      </c>
      <c r="AC212" s="6">
        <f t="shared" si="15"/>
        <v>0</v>
      </c>
      <c r="AD212" s="6">
        <f t="shared" ca="1" si="16"/>
        <v>251773.17185013092</v>
      </c>
      <c r="AE212" s="6">
        <f t="shared" ca="1" si="17"/>
        <v>0</v>
      </c>
      <c r="AF212" s="4" t="s">
        <v>997</v>
      </c>
    </row>
    <row r="213" spans="1:32" ht="11.25" customHeight="1" x14ac:dyDescent="0.25">
      <c r="A213" s="4" t="s">
        <v>21</v>
      </c>
      <c r="B213" s="4" t="s">
        <v>41</v>
      </c>
      <c r="C213" s="4" t="s">
        <v>40</v>
      </c>
      <c r="D213" s="4" t="s">
        <v>38</v>
      </c>
      <c r="E213" s="4" t="s">
        <v>25</v>
      </c>
      <c r="F213" s="4" t="s">
        <v>61</v>
      </c>
      <c r="G213" s="4" t="s">
        <v>25</v>
      </c>
      <c r="H213" s="4" t="s">
        <v>35</v>
      </c>
      <c r="I213" s="5">
        <v>44593</v>
      </c>
      <c r="J213" s="6">
        <v>18838</v>
      </c>
      <c r="K213" s="6">
        <v>9230.6200000000008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4" t="s">
        <v>58</v>
      </c>
      <c r="R213" s="4">
        <v>0</v>
      </c>
      <c r="S213" s="4">
        <v>20</v>
      </c>
      <c r="T213" s="4">
        <v>0</v>
      </c>
      <c r="U213" s="4">
        <v>0</v>
      </c>
      <c r="V213" s="6">
        <f>IF(ISERROR(VLOOKUP($S$213,'TAR FIN'!$A$1:$O$104,15,0)),0,VLOOKUP($S$213,'TAR FIN'!$A$1:$O$104,15,0))</f>
        <v>26.22</v>
      </c>
      <c r="W213" s="6">
        <f>IF(ISERROR(VLOOKUP($T$213,'TAR FIN'!$A$1:$O$104,15,0)),0,VLOOKUP($T$213,'TAR FIN'!$A$1:$O$104,15,0))</f>
        <v>0</v>
      </c>
      <c r="X213" s="6">
        <f>IF(ISERROR(VLOOKUP($U$213,'TAR FIN'!$A$1:$O$104,15,0)),0,VLOOKUP($U$213,'TAR FIN'!$A$1:$O$104,15,0))</f>
        <v>0</v>
      </c>
      <c r="Y213" s="6">
        <f ca="1">('TUSD BE'!$AM$14+'TUSD BF'!$AM$14+'TUSD CVA'!$AM$14)*1</f>
        <v>26.280164278980507</v>
      </c>
      <c r="Z213" s="6">
        <f ca="1">('TUSD BE'!$AM$15+'TUSD BF'!$AM$15+'TUSD CVA'!$AM$15)*1</f>
        <v>77.876201961015255</v>
      </c>
      <c r="AA213" s="6"/>
      <c r="AB213" s="6">
        <f t="shared" si="14"/>
        <v>251905.50359999997</v>
      </c>
      <c r="AC213" s="6">
        <f t="shared" si="15"/>
        <v>0</v>
      </c>
      <c r="AD213" s="6">
        <f t="shared" ca="1" si="16"/>
        <v>252483.52469059173</v>
      </c>
      <c r="AE213" s="6">
        <f t="shared" ca="1" si="17"/>
        <v>0</v>
      </c>
      <c r="AF213" s="4" t="s">
        <v>997</v>
      </c>
    </row>
    <row r="214" spans="1:32" ht="11.25" customHeight="1" x14ac:dyDescent="0.25">
      <c r="A214" s="4" t="s">
        <v>21</v>
      </c>
      <c r="B214" s="4" t="s">
        <v>41</v>
      </c>
      <c r="C214" s="4" t="s">
        <v>40</v>
      </c>
      <c r="D214" s="4" t="s">
        <v>38</v>
      </c>
      <c r="E214" s="4" t="s">
        <v>25</v>
      </c>
      <c r="F214" s="4" t="s">
        <v>61</v>
      </c>
      <c r="G214" s="4" t="s">
        <v>25</v>
      </c>
      <c r="H214" s="4" t="s">
        <v>35</v>
      </c>
      <c r="I214" s="5">
        <v>44621</v>
      </c>
      <c r="J214" s="6">
        <v>18847</v>
      </c>
      <c r="K214" s="6">
        <v>9235.0300000000007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4" t="s">
        <v>58</v>
      </c>
      <c r="R214" s="4">
        <v>0</v>
      </c>
      <c r="S214" s="4">
        <v>20</v>
      </c>
      <c r="T214" s="4">
        <v>0</v>
      </c>
      <c r="U214" s="4">
        <v>0</v>
      </c>
      <c r="V214" s="6">
        <f>IF(ISERROR(VLOOKUP($S$214,'TAR FIN'!$A$1:$O$104,15,0)),0,VLOOKUP($S$214,'TAR FIN'!$A$1:$O$104,15,0))</f>
        <v>26.22</v>
      </c>
      <c r="W214" s="6">
        <f>IF(ISERROR(VLOOKUP($T$214,'TAR FIN'!$A$1:$O$104,15,0)),0,VLOOKUP($T$214,'TAR FIN'!$A$1:$O$104,15,0))</f>
        <v>0</v>
      </c>
      <c r="X214" s="6">
        <f>IF(ISERROR(VLOOKUP($U$214,'TAR FIN'!$A$1:$O$104,15,0)),0,VLOOKUP($U$214,'TAR FIN'!$A$1:$O$104,15,0))</f>
        <v>0</v>
      </c>
      <c r="Y214" s="6">
        <f ca="1">('TUSD BE'!$AM$14+'TUSD BF'!$AM$14+'TUSD CVA'!$AM$14)*1</f>
        <v>26.280164278980507</v>
      </c>
      <c r="Z214" s="6">
        <f ca="1">('TUSD BE'!$AM$15+'TUSD BF'!$AM$15+'TUSD CVA'!$AM$15)*1</f>
        <v>77.876201961015255</v>
      </c>
      <c r="AA214" s="6"/>
      <c r="AB214" s="6">
        <f t="shared" si="14"/>
        <v>252025.85339999996</v>
      </c>
      <c r="AC214" s="6">
        <f t="shared" si="15"/>
        <v>0</v>
      </c>
      <c r="AD214" s="6">
        <f t="shared" ca="1" si="16"/>
        <v>252604.15064463226</v>
      </c>
      <c r="AE214" s="6">
        <f t="shared" ca="1" si="17"/>
        <v>0</v>
      </c>
      <c r="AF214" s="4" t="s">
        <v>997</v>
      </c>
    </row>
    <row r="215" spans="1:32" ht="11.25" customHeight="1" x14ac:dyDescent="0.25">
      <c r="A215" s="4" t="s">
        <v>21</v>
      </c>
      <c r="B215" s="4" t="s">
        <v>41</v>
      </c>
      <c r="C215" s="4" t="s">
        <v>40</v>
      </c>
      <c r="D215" s="4" t="s">
        <v>38</v>
      </c>
      <c r="E215" s="4" t="s">
        <v>25</v>
      </c>
      <c r="F215" s="4" t="s">
        <v>61</v>
      </c>
      <c r="G215" s="4" t="s">
        <v>25</v>
      </c>
      <c r="H215" s="4" t="s">
        <v>35</v>
      </c>
      <c r="I215" s="5">
        <v>44652</v>
      </c>
      <c r="J215" s="6">
        <v>19668</v>
      </c>
      <c r="K215" s="6">
        <v>10227.36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4" t="s">
        <v>58</v>
      </c>
      <c r="R215" s="4">
        <v>0</v>
      </c>
      <c r="S215" s="4">
        <v>20</v>
      </c>
      <c r="T215" s="4">
        <v>0</v>
      </c>
      <c r="U215" s="4">
        <v>0</v>
      </c>
      <c r="V215" s="6">
        <f>IF(ISERROR(VLOOKUP($S$215,'TAR FIN'!$A$1:$O$104,15,0)),0,VLOOKUP($S$215,'TAR FIN'!$A$1:$O$104,15,0))</f>
        <v>26.22</v>
      </c>
      <c r="W215" s="6">
        <f>IF(ISERROR(VLOOKUP($T$215,'TAR FIN'!$A$1:$O$104,15,0)),0,VLOOKUP($T$215,'TAR FIN'!$A$1:$O$104,15,0))</f>
        <v>0</v>
      </c>
      <c r="X215" s="6">
        <f>IF(ISERROR(VLOOKUP($U$215,'TAR FIN'!$A$1:$O$104,15,0)),0,VLOOKUP($U$215,'TAR FIN'!$A$1:$O$104,15,0))</f>
        <v>0</v>
      </c>
      <c r="Y215" s="6">
        <f ca="1">('TUSD BE'!$AM$14+'TUSD BF'!$AM$14+'TUSD CVA'!$AM$14)*1</f>
        <v>26.280164278980507</v>
      </c>
      <c r="Z215" s="6">
        <f ca="1">('TUSD BE'!$AM$15+'TUSD BF'!$AM$15+'TUSD CVA'!$AM$15)*1</f>
        <v>77.876201961015255</v>
      </c>
      <c r="AA215" s="6"/>
      <c r="AB215" s="6">
        <f t="shared" si="14"/>
        <v>247533.58079999997</v>
      </c>
      <c r="AC215" s="6">
        <f t="shared" si="15"/>
        <v>0</v>
      </c>
      <c r="AD215" s="6">
        <f t="shared" ca="1" si="16"/>
        <v>248101.57009871452</v>
      </c>
      <c r="AE215" s="6">
        <f t="shared" ca="1" si="17"/>
        <v>0</v>
      </c>
      <c r="AF215" s="4" t="s">
        <v>997</v>
      </c>
    </row>
    <row r="216" spans="1:32" ht="11.25" customHeight="1" x14ac:dyDescent="0.25">
      <c r="A216" s="4" t="s">
        <v>27</v>
      </c>
      <c r="B216" s="4" t="s">
        <v>41</v>
      </c>
      <c r="C216" s="4" t="s">
        <v>40</v>
      </c>
      <c r="D216" s="4" t="s">
        <v>38</v>
      </c>
      <c r="E216" s="4" t="s">
        <v>25</v>
      </c>
      <c r="F216" s="4" t="s">
        <v>61</v>
      </c>
      <c r="G216" s="4" t="s">
        <v>25</v>
      </c>
      <c r="H216" s="4" t="s">
        <v>35</v>
      </c>
      <c r="I216" s="5">
        <v>44652</v>
      </c>
      <c r="J216" s="6">
        <v>-530</v>
      </c>
      <c r="K216" s="6">
        <v>-530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4" t="s">
        <v>58</v>
      </c>
      <c r="R216" s="4">
        <v>0</v>
      </c>
      <c r="S216" s="4">
        <v>20</v>
      </c>
      <c r="T216" s="4">
        <v>0</v>
      </c>
      <c r="U216" s="4">
        <v>0</v>
      </c>
      <c r="V216" s="6">
        <f>IF(ISERROR(VLOOKUP($S$216,'TAR FIN'!$A$1:$O$104,15,0)),0,VLOOKUP($S$216,'TAR FIN'!$A$1:$O$104,15,0))</f>
        <v>26.22</v>
      </c>
      <c r="W216" s="6">
        <f>IF(ISERROR(VLOOKUP($T$216,'TAR FIN'!$A$1:$O$104,15,0)),0,VLOOKUP($T$216,'TAR FIN'!$A$1:$O$104,15,0))</f>
        <v>0</v>
      </c>
      <c r="X216" s="6">
        <f>IF(ISERROR(VLOOKUP($U$216,'TAR FIN'!$A$1:$O$104,15,0)),0,VLOOKUP($U$216,'TAR FIN'!$A$1:$O$104,15,0))</f>
        <v>0</v>
      </c>
      <c r="Y216" s="6">
        <f ca="1">('TUSD BE'!$AM$14+'TUSD BF'!$AM$14+'TUSD CVA'!$AM$14)*1</f>
        <v>26.280164278980507</v>
      </c>
      <c r="Z216" s="6">
        <f ca="1">('TUSD BE'!$AM$15+'TUSD BF'!$AM$15+'TUSD CVA'!$AM$15)*1</f>
        <v>77.876201961015255</v>
      </c>
      <c r="AA216" s="6"/>
      <c r="AB216" s="6">
        <f t="shared" si="14"/>
        <v>0</v>
      </c>
      <c r="AC216" s="6">
        <f t="shared" si="15"/>
        <v>0</v>
      </c>
      <c r="AD216" s="6">
        <f t="shared" ca="1" si="16"/>
        <v>0</v>
      </c>
      <c r="AE216" s="6">
        <f t="shared" ca="1" si="17"/>
        <v>0</v>
      </c>
      <c r="AF216" s="4" t="s">
        <v>997</v>
      </c>
    </row>
    <row r="217" spans="1:32" ht="11.25" customHeight="1" x14ac:dyDescent="0.25">
      <c r="A217" s="4" t="s">
        <v>21</v>
      </c>
      <c r="B217" s="4" t="s">
        <v>41</v>
      </c>
      <c r="C217" s="4" t="s">
        <v>40</v>
      </c>
      <c r="D217" s="4" t="s">
        <v>38</v>
      </c>
      <c r="E217" s="4" t="s">
        <v>25</v>
      </c>
      <c r="F217" s="4" t="s">
        <v>61</v>
      </c>
      <c r="G217" s="4" t="s">
        <v>25</v>
      </c>
      <c r="H217" s="4" t="s">
        <v>35</v>
      </c>
      <c r="I217" s="5">
        <v>44682</v>
      </c>
      <c r="J217" s="6">
        <v>19571</v>
      </c>
      <c r="K217" s="6">
        <v>10176.92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58</v>
      </c>
      <c r="R217" s="4">
        <v>0</v>
      </c>
      <c r="S217" s="4">
        <v>20</v>
      </c>
      <c r="T217" s="4">
        <v>0</v>
      </c>
      <c r="U217" s="4">
        <v>0</v>
      </c>
      <c r="V217" s="6">
        <f>IF(ISERROR(VLOOKUP($S$217,'TAR FIN'!$A$1:$O$104,15,0)),0,VLOOKUP($S$217,'TAR FIN'!$A$1:$O$104,15,0))</f>
        <v>26.22</v>
      </c>
      <c r="W217" s="6">
        <f>IF(ISERROR(VLOOKUP($T$217,'TAR FIN'!$A$1:$O$104,15,0)),0,VLOOKUP($T$217,'TAR FIN'!$A$1:$O$104,15,0))</f>
        <v>0</v>
      </c>
      <c r="X217" s="6">
        <f>IF(ISERROR(VLOOKUP($U$217,'TAR FIN'!$A$1:$O$104,15,0)),0,VLOOKUP($U$217,'TAR FIN'!$A$1:$O$104,15,0))</f>
        <v>0</v>
      </c>
      <c r="Y217" s="6">
        <f ca="1">('TUSD BE'!$AM$14+'TUSD BF'!$AM$14+'TUSD CVA'!$AM$14)*1</f>
        <v>26.280164278980507</v>
      </c>
      <c r="Z217" s="6">
        <f ca="1">('TUSD BE'!$AM$15+'TUSD BF'!$AM$15+'TUSD CVA'!$AM$15)*1</f>
        <v>77.876201961015255</v>
      </c>
      <c r="AA217" s="6"/>
      <c r="AB217" s="6">
        <f t="shared" si="14"/>
        <v>246312.7776</v>
      </c>
      <c r="AC217" s="6">
        <f t="shared" si="15"/>
        <v>0</v>
      </c>
      <c r="AD217" s="6">
        <f t="shared" ca="1" si="16"/>
        <v>246877.96564988521</v>
      </c>
      <c r="AE217" s="6">
        <f t="shared" ca="1" si="17"/>
        <v>0</v>
      </c>
      <c r="AF217" s="4" t="s">
        <v>997</v>
      </c>
    </row>
    <row r="218" spans="1:32" ht="11.25" customHeight="1" x14ac:dyDescent="0.25">
      <c r="A218" s="4" t="s">
        <v>21</v>
      </c>
      <c r="B218" s="4" t="s">
        <v>41</v>
      </c>
      <c r="C218" s="4" t="s">
        <v>40</v>
      </c>
      <c r="D218" s="4" t="s">
        <v>38</v>
      </c>
      <c r="E218" s="4" t="s">
        <v>25</v>
      </c>
      <c r="F218" s="4" t="s">
        <v>61</v>
      </c>
      <c r="G218" s="4" t="s">
        <v>25</v>
      </c>
      <c r="H218" s="4" t="s">
        <v>35</v>
      </c>
      <c r="I218" s="5">
        <v>44713</v>
      </c>
      <c r="J218" s="6">
        <v>19622</v>
      </c>
      <c r="K218" s="6">
        <v>10203.44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4" t="s">
        <v>58</v>
      </c>
      <c r="R218" s="4">
        <v>0</v>
      </c>
      <c r="S218" s="4">
        <v>20</v>
      </c>
      <c r="T218" s="4">
        <v>0</v>
      </c>
      <c r="U218" s="4">
        <v>0</v>
      </c>
      <c r="V218" s="6">
        <f>IF(ISERROR(VLOOKUP($S$218,'TAR FIN'!$A$1:$O$104,15,0)),0,VLOOKUP($S$218,'TAR FIN'!$A$1:$O$104,15,0))</f>
        <v>26.22</v>
      </c>
      <c r="W218" s="6">
        <f>IF(ISERROR(VLOOKUP($T$218,'TAR FIN'!$A$1:$O$104,15,0)),0,VLOOKUP($T$218,'TAR FIN'!$A$1:$O$104,15,0))</f>
        <v>0</v>
      </c>
      <c r="X218" s="6">
        <f>IF(ISERROR(VLOOKUP($U$218,'TAR FIN'!$A$1:$O$104,15,0)),0,VLOOKUP($U$218,'TAR FIN'!$A$1:$O$104,15,0))</f>
        <v>0</v>
      </c>
      <c r="Y218" s="6">
        <f ca="1">('TUSD BE'!$AM$14+'TUSD BF'!$AM$14+'TUSD CVA'!$AM$14)*1</f>
        <v>26.280164278980507</v>
      </c>
      <c r="Z218" s="6">
        <f ca="1">('TUSD BE'!$AM$15+'TUSD BF'!$AM$15+'TUSD CVA'!$AM$15)*1</f>
        <v>77.876201961015255</v>
      </c>
      <c r="AA218" s="6"/>
      <c r="AB218" s="6">
        <f t="shared" si="14"/>
        <v>246954.64319999996</v>
      </c>
      <c r="AC218" s="6">
        <f t="shared" si="15"/>
        <v>0</v>
      </c>
      <c r="AD218" s="6">
        <f t="shared" ca="1" si="16"/>
        <v>247521.30407143463</v>
      </c>
      <c r="AE218" s="6">
        <f t="shared" ca="1" si="17"/>
        <v>0</v>
      </c>
      <c r="AF218" s="4" t="s">
        <v>997</v>
      </c>
    </row>
    <row r="219" spans="1:32" ht="11.25" customHeight="1" x14ac:dyDescent="0.25">
      <c r="A219" s="4" t="s">
        <v>57</v>
      </c>
      <c r="B219" s="4" t="s">
        <v>41</v>
      </c>
      <c r="C219" s="4" t="s">
        <v>40</v>
      </c>
      <c r="D219" s="4" t="s">
        <v>38</v>
      </c>
      <c r="E219" s="4" t="s">
        <v>25</v>
      </c>
      <c r="F219" s="4" t="s">
        <v>61</v>
      </c>
      <c r="G219" s="4" t="s">
        <v>25</v>
      </c>
      <c r="H219" s="4" t="s">
        <v>35</v>
      </c>
      <c r="I219" s="5">
        <v>44743</v>
      </c>
      <c r="J219" s="6">
        <v>19622</v>
      </c>
      <c r="K219" s="6">
        <v>10203.44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4" t="s">
        <v>58</v>
      </c>
      <c r="R219" s="4">
        <v>0</v>
      </c>
      <c r="S219" s="4">
        <v>20</v>
      </c>
      <c r="T219" s="4">
        <v>0</v>
      </c>
      <c r="U219" s="4">
        <v>0</v>
      </c>
      <c r="V219" s="6">
        <f>IF(ISERROR(VLOOKUP($S$219,'TAR FIN'!$A$1:$O$104,15,0)),0,VLOOKUP($S$219,'TAR FIN'!$A$1:$O$104,15,0))</f>
        <v>26.22</v>
      </c>
      <c r="W219" s="6">
        <f>IF(ISERROR(VLOOKUP($T$219,'TAR FIN'!$A$1:$O$104,15,0)),0,VLOOKUP($T$219,'TAR FIN'!$A$1:$O$104,15,0))</f>
        <v>0</v>
      </c>
      <c r="X219" s="6">
        <f>IF(ISERROR(VLOOKUP($U$219,'TAR FIN'!$A$1:$O$104,15,0)),0,VLOOKUP($U$219,'TAR FIN'!$A$1:$O$104,15,0))</f>
        <v>0</v>
      </c>
      <c r="Y219" s="6">
        <f ca="1">('TUSD BE'!$AM$14+'TUSD BF'!$AM$14+'TUSD CVA'!$AM$14)*1</f>
        <v>26.280164278980507</v>
      </c>
      <c r="Z219" s="6">
        <f ca="1">('TUSD BE'!$AM$15+'TUSD BF'!$AM$15+'TUSD CVA'!$AM$15)*1</f>
        <v>77.876201961015255</v>
      </c>
      <c r="AA219" s="6"/>
      <c r="AB219" s="6">
        <f t="shared" si="14"/>
        <v>246954.64319999996</v>
      </c>
      <c r="AC219" s="6">
        <f t="shared" si="15"/>
        <v>0</v>
      </c>
      <c r="AD219" s="6">
        <f t="shared" ca="1" si="16"/>
        <v>247521.30407143463</v>
      </c>
      <c r="AE219" s="6">
        <f t="shared" ca="1" si="17"/>
        <v>0</v>
      </c>
      <c r="AF219" s="4" t="s">
        <v>997</v>
      </c>
    </row>
    <row r="220" spans="1:32" ht="11.25" customHeight="1" x14ac:dyDescent="0.25">
      <c r="A220" s="4" t="s">
        <v>21</v>
      </c>
      <c r="B220" s="4" t="s">
        <v>41</v>
      </c>
      <c r="C220" s="4" t="s">
        <v>40</v>
      </c>
      <c r="D220" s="4" t="s">
        <v>38</v>
      </c>
      <c r="E220" s="4" t="s">
        <v>25</v>
      </c>
      <c r="F220" s="4" t="s">
        <v>61</v>
      </c>
      <c r="G220" s="4" t="s">
        <v>25</v>
      </c>
      <c r="H220" s="4" t="s">
        <v>25</v>
      </c>
      <c r="I220" s="5">
        <v>44409</v>
      </c>
      <c r="J220" s="6">
        <v>0</v>
      </c>
      <c r="K220" s="6">
        <v>0</v>
      </c>
      <c r="L220" s="6">
        <v>5800.2359999999999</v>
      </c>
      <c r="M220" s="6">
        <v>5800.2359999999999</v>
      </c>
      <c r="N220" s="6">
        <v>0</v>
      </c>
      <c r="O220" s="6">
        <v>0</v>
      </c>
      <c r="P220" s="6">
        <v>33</v>
      </c>
      <c r="Q220" s="4" t="s">
        <v>58</v>
      </c>
      <c r="R220" s="4">
        <v>0</v>
      </c>
      <c r="S220" s="4">
        <v>0</v>
      </c>
      <c r="T220" s="4">
        <v>22</v>
      </c>
      <c r="U220" s="4">
        <v>0</v>
      </c>
      <c r="V220" s="6">
        <f>IF(ISERROR(VLOOKUP($S$220,'TAR FIN'!$A$1:$O$104,15,0)),0,VLOOKUP($S$220,'TAR FIN'!$A$1:$O$104,15,0))</f>
        <v>0</v>
      </c>
      <c r="W220" s="6">
        <f>IF(ISERROR(VLOOKUP($T$220,'TAR FIN'!$A$1:$O$104,15,0)),0,VLOOKUP($T$220,'TAR FIN'!$A$1:$O$104,15,0))</f>
        <v>62.57</v>
      </c>
      <c r="X220" s="6">
        <f>IF(ISERROR(VLOOKUP($U$220,'TAR FIN'!$A$1:$O$104,15,0)),0,VLOOKUP($U$220,'TAR FIN'!$A$1:$O$104,15,0))</f>
        <v>0</v>
      </c>
      <c r="Y220" s="6"/>
      <c r="Z220" s="6">
        <f ca="1">('TUSD BE'!$AM$15+'TUSD BF'!$AM$15+'TUSD CVA'!$AM$15)*1</f>
        <v>77.876201961015255</v>
      </c>
      <c r="AA220" s="6"/>
      <c r="AB220" s="6">
        <f t="shared" si="14"/>
        <v>0</v>
      </c>
      <c r="AC220" s="6">
        <f t="shared" si="15"/>
        <v>0</v>
      </c>
      <c r="AD220" s="6">
        <f t="shared" si="16"/>
        <v>0</v>
      </c>
      <c r="AE220" s="6">
        <f t="shared" ca="1" si="17"/>
        <v>0</v>
      </c>
      <c r="AF220" s="4" t="s">
        <v>997</v>
      </c>
    </row>
    <row r="221" spans="1:32" ht="11.25" customHeight="1" x14ac:dyDescent="0.25">
      <c r="A221" s="4" t="s">
        <v>21</v>
      </c>
      <c r="B221" s="4" t="s">
        <v>41</v>
      </c>
      <c r="C221" s="4" t="s">
        <v>40</v>
      </c>
      <c r="D221" s="4" t="s">
        <v>38</v>
      </c>
      <c r="E221" s="4" t="s">
        <v>25</v>
      </c>
      <c r="F221" s="4" t="s">
        <v>61</v>
      </c>
      <c r="G221" s="4" t="s">
        <v>25</v>
      </c>
      <c r="H221" s="4" t="s">
        <v>25</v>
      </c>
      <c r="I221" s="5">
        <v>44440</v>
      </c>
      <c r="J221" s="6">
        <v>0</v>
      </c>
      <c r="K221" s="6">
        <v>0</v>
      </c>
      <c r="L221" s="6">
        <v>5742.8829999999998</v>
      </c>
      <c r="M221" s="6">
        <v>5742.8829999999998</v>
      </c>
      <c r="N221" s="6">
        <v>0</v>
      </c>
      <c r="O221" s="6">
        <v>0</v>
      </c>
      <c r="P221" s="6">
        <v>33</v>
      </c>
      <c r="Q221" s="4" t="s">
        <v>58</v>
      </c>
      <c r="R221" s="4">
        <v>0</v>
      </c>
      <c r="S221" s="4">
        <v>0</v>
      </c>
      <c r="T221" s="4">
        <v>22</v>
      </c>
      <c r="U221" s="4">
        <v>0</v>
      </c>
      <c r="V221" s="6">
        <f>IF(ISERROR(VLOOKUP($S$221,'TAR FIN'!$A$1:$O$104,15,0)),0,VLOOKUP($S$221,'TAR FIN'!$A$1:$O$104,15,0))</f>
        <v>0</v>
      </c>
      <c r="W221" s="6">
        <f>IF(ISERROR(VLOOKUP($T$221,'TAR FIN'!$A$1:$O$104,15,0)),0,VLOOKUP($T$221,'TAR FIN'!$A$1:$O$104,15,0))</f>
        <v>62.57</v>
      </c>
      <c r="X221" s="6">
        <f>IF(ISERROR(VLOOKUP($U$221,'TAR FIN'!$A$1:$O$104,15,0)),0,VLOOKUP($U$221,'TAR FIN'!$A$1:$O$104,15,0))</f>
        <v>0</v>
      </c>
      <c r="Y221" s="6"/>
      <c r="Z221" s="6">
        <f ca="1">('TUSD BE'!$AM$15+'TUSD BF'!$AM$15+'TUSD CVA'!$AM$15)*1</f>
        <v>77.876201961015255</v>
      </c>
      <c r="AA221" s="6"/>
      <c r="AB221" s="6">
        <f t="shared" si="14"/>
        <v>0</v>
      </c>
      <c r="AC221" s="6">
        <f t="shared" si="15"/>
        <v>0</v>
      </c>
      <c r="AD221" s="6">
        <f t="shared" si="16"/>
        <v>0</v>
      </c>
      <c r="AE221" s="6">
        <f t="shared" ca="1" si="17"/>
        <v>0</v>
      </c>
      <c r="AF221" s="4" t="s">
        <v>997</v>
      </c>
    </row>
    <row r="222" spans="1:32" ht="11.25" customHeight="1" x14ac:dyDescent="0.25">
      <c r="A222" s="4" t="s">
        <v>21</v>
      </c>
      <c r="B222" s="4" t="s">
        <v>41</v>
      </c>
      <c r="C222" s="4" t="s">
        <v>40</v>
      </c>
      <c r="D222" s="4" t="s">
        <v>38</v>
      </c>
      <c r="E222" s="4" t="s">
        <v>25</v>
      </c>
      <c r="F222" s="4" t="s">
        <v>61</v>
      </c>
      <c r="G222" s="4" t="s">
        <v>25</v>
      </c>
      <c r="H222" s="4" t="s">
        <v>25</v>
      </c>
      <c r="I222" s="5">
        <v>44470</v>
      </c>
      <c r="J222" s="6">
        <v>0</v>
      </c>
      <c r="K222" s="6">
        <v>0</v>
      </c>
      <c r="L222" s="6">
        <v>5807.5169999999998</v>
      </c>
      <c r="M222" s="6">
        <v>5807.5169999999998</v>
      </c>
      <c r="N222" s="6">
        <v>0</v>
      </c>
      <c r="O222" s="6">
        <v>0</v>
      </c>
      <c r="P222" s="6">
        <v>33</v>
      </c>
      <c r="Q222" s="4" t="s">
        <v>58</v>
      </c>
      <c r="R222" s="4">
        <v>0</v>
      </c>
      <c r="S222" s="4">
        <v>0</v>
      </c>
      <c r="T222" s="4">
        <v>22</v>
      </c>
      <c r="U222" s="4">
        <v>0</v>
      </c>
      <c r="V222" s="6">
        <f>IF(ISERROR(VLOOKUP($S$222,'TAR FIN'!$A$1:$O$104,15,0)),0,VLOOKUP($S$222,'TAR FIN'!$A$1:$O$104,15,0))</f>
        <v>0</v>
      </c>
      <c r="W222" s="6">
        <f>IF(ISERROR(VLOOKUP($T$222,'TAR FIN'!$A$1:$O$104,15,0)),0,VLOOKUP($T$222,'TAR FIN'!$A$1:$O$104,15,0))</f>
        <v>62.57</v>
      </c>
      <c r="X222" s="6">
        <f>IF(ISERROR(VLOOKUP($U$222,'TAR FIN'!$A$1:$O$104,15,0)),0,VLOOKUP($U$222,'TAR FIN'!$A$1:$O$104,15,0))</f>
        <v>0</v>
      </c>
      <c r="Y222" s="6"/>
      <c r="Z222" s="6">
        <f ca="1">('TUSD BE'!$AM$15+'TUSD BF'!$AM$15+'TUSD CVA'!$AM$15)*1</f>
        <v>77.876201961015255</v>
      </c>
      <c r="AA222" s="6"/>
      <c r="AB222" s="6">
        <f t="shared" si="14"/>
        <v>0</v>
      </c>
      <c r="AC222" s="6">
        <f t="shared" si="15"/>
        <v>0</v>
      </c>
      <c r="AD222" s="6">
        <f t="shared" si="16"/>
        <v>0</v>
      </c>
      <c r="AE222" s="6">
        <f t="shared" ca="1" si="17"/>
        <v>0</v>
      </c>
      <c r="AF222" s="4" t="s">
        <v>997</v>
      </c>
    </row>
    <row r="223" spans="1:32" ht="11.25" customHeight="1" x14ac:dyDescent="0.25">
      <c r="A223" s="4" t="s">
        <v>21</v>
      </c>
      <c r="B223" s="4" t="s">
        <v>41</v>
      </c>
      <c r="C223" s="4" t="s">
        <v>40</v>
      </c>
      <c r="D223" s="4" t="s">
        <v>38</v>
      </c>
      <c r="E223" s="4" t="s">
        <v>25</v>
      </c>
      <c r="F223" s="4" t="s">
        <v>61</v>
      </c>
      <c r="G223" s="4" t="s">
        <v>25</v>
      </c>
      <c r="H223" s="4" t="s">
        <v>25</v>
      </c>
      <c r="I223" s="5">
        <v>44501</v>
      </c>
      <c r="J223" s="6">
        <v>0</v>
      </c>
      <c r="K223" s="6">
        <v>0</v>
      </c>
      <c r="L223" s="6">
        <v>7795.9849999999997</v>
      </c>
      <c r="M223" s="6">
        <v>7795.9849999999997</v>
      </c>
      <c r="N223" s="6">
        <v>0</v>
      </c>
      <c r="O223" s="6">
        <v>0</v>
      </c>
      <c r="P223" s="6">
        <v>35</v>
      </c>
      <c r="Q223" s="4" t="s">
        <v>58</v>
      </c>
      <c r="R223" s="4">
        <v>0</v>
      </c>
      <c r="S223" s="4">
        <v>0</v>
      </c>
      <c r="T223" s="4">
        <v>22</v>
      </c>
      <c r="U223" s="4">
        <v>0</v>
      </c>
      <c r="V223" s="6">
        <f>IF(ISERROR(VLOOKUP($S$223,'TAR FIN'!$A$1:$O$104,15,0)),0,VLOOKUP($S$223,'TAR FIN'!$A$1:$O$104,15,0))</f>
        <v>0</v>
      </c>
      <c r="W223" s="6">
        <f>IF(ISERROR(VLOOKUP($T$223,'TAR FIN'!$A$1:$O$104,15,0)),0,VLOOKUP($T$223,'TAR FIN'!$A$1:$O$104,15,0))</f>
        <v>62.57</v>
      </c>
      <c r="X223" s="6">
        <f>IF(ISERROR(VLOOKUP($U$223,'TAR FIN'!$A$1:$O$104,15,0)),0,VLOOKUP($U$223,'TAR FIN'!$A$1:$O$104,15,0))</f>
        <v>0</v>
      </c>
      <c r="Y223" s="6"/>
      <c r="Z223" s="6">
        <f ca="1">('TUSD BE'!$AM$15+'TUSD BF'!$AM$15+'TUSD CVA'!$AM$15)*1</f>
        <v>77.876201961015255</v>
      </c>
      <c r="AA223" s="6"/>
      <c r="AB223" s="6">
        <f t="shared" si="14"/>
        <v>0</v>
      </c>
      <c r="AC223" s="6">
        <f t="shared" si="15"/>
        <v>0</v>
      </c>
      <c r="AD223" s="6">
        <f t="shared" si="16"/>
        <v>0</v>
      </c>
      <c r="AE223" s="6">
        <f t="shared" ca="1" si="17"/>
        <v>0</v>
      </c>
      <c r="AF223" s="4" t="s">
        <v>997</v>
      </c>
    </row>
    <row r="224" spans="1:32" ht="11.25" customHeight="1" x14ac:dyDescent="0.25">
      <c r="A224" s="4" t="s">
        <v>21</v>
      </c>
      <c r="B224" s="4" t="s">
        <v>41</v>
      </c>
      <c r="C224" s="4" t="s">
        <v>40</v>
      </c>
      <c r="D224" s="4" t="s">
        <v>38</v>
      </c>
      <c r="E224" s="4" t="s">
        <v>25</v>
      </c>
      <c r="F224" s="4" t="s">
        <v>61</v>
      </c>
      <c r="G224" s="4" t="s">
        <v>25</v>
      </c>
      <c r="H224" s="4" t="s">
        <v>25</v>
      </c>
      <c r="I224" s="5">
        <v>44531</v>
      </c>
      <c r="J224" s="6">
        <v>0</v>
      </c>
      <c r="K224" s="6">
        <v>0</v>
      </c>
      <c r="L224" s="6">
        <v>8006.0680000000002</v>
      </c>
      <c r="M224" s="6">
        <v>8006.0680000000002</v>
      </c>
      <c r="N224" s="6">
        <v>0</v>
      </c>
      <c r="O224" s="6">
        <v>0</v>
      </c>
      <c r="P224" s="6">
        <v>35</v>
      </c>
      <c r="Q224" s="4" t="s">
        <v>58</v>
      </c>
      <c r="R224" s="4">
        <v>0</v>
      </c>
      <c r="S224" s="4">
        <v>0</v>
      </c>
      <c r="T224" s="4">
        <v>22</v>
      </c>
      <c r="U224" s="4">
        <v>0</v>
      </c>
      <c r="V224" s="6">
        <f>IF(ISERROR(VLOOKUP($S$224,'TAR FIN'!$A$1:$O$104,15,0)),0,VLOOKUP($S$224,'TAR FIN'!$A$1:$O$104,15,0))</f>
        <v>0</v>
      </c>
      <c r="W224" s="6">
        <f>IF(ISERROR(VLOOKUP($T$224,'TAR FIN'!$A$1:$O$104,15,0)),0,VLOOKUP($T$224,'TAR FIN'!$A$1:$O$104,15,0))</f>
        <v>62.57</v>
      </c>
      <c r="X224" s="6">
        <f>IF(ISERROR(VLOOKUP($U$224,'TAR FIN'!$A$1:$O$104,15,0)),0,VLOOKUP($U$224,'TAR FIN'!$A$1:$O$104,15,0))</f>
        <v>0</v>
      </c>
      <c r="Y224" s="6"/>
      <c r="Z224" s="6">
        <f ca="1">('TUSD BE'!$AM$15+'TUSD BF'!$AM$15+'TUSD CVA'!$AM$15)*1</f>
        <v>77.876201961015255</v>
      </c>
      <c r="AA224" s="6"/>
      <c r="AB224" s="6">
        <f t="shared" si="14"/>
        <v>0</v>
      </c>
      <c r="AC224" s="6">
        <f t="shared" si="15"/>
        <v>0</v>
      </c>
      <c r="AD224" s="6">
        <f t="shared" si="16"/>
        <v>0</v>
      </c>
      <c r="AE224" s="6">
        <f t="shared" ca="1" si="17"/>
        <v>0</v>
      </c>
      <c r="AF224" s="4" t="s">
        <v>997</v>
      </c>
    </row>
    <row r="225" spans="1:32" ht="11.25" customHeight="1" x14ac:dyDescent="0.25">
      <c r="A225" s="4" t="s">
        <v>21</v>
      </c>
      <c r="B225" s="4" t="s">
        <v>41</v>
      </c>
      <c r="C225" s="4" t="s">
        <v>40</v>
      </c>
      <c r="D225" s="4" t="s">
        <v>38</v>
      </c>
      <c r="E225" s="4" t="s">
        <v>25</v>
      </c>
      <c r="F225" s="4" t="s">
        <v>61</v>
      </c>
      <c r="G225" s="4" t="s">
        <v>25</v>
      </c>
      <c r="H225" s="4" t="s">
        <v>25</v>
      </c>
      <c r="I225" s="5">
        <v>44562</v>
      </c>
      <c r="J225" s="6">
        <v>0</v>
      </c>
      <c r="K225" s="6">
        <v>0</v>
      </c>
      <c r="L225" s="6">
        <v>8472.1119999999992</v>
      </c>
      <c r="M225" s="6">
        <v>8472.1119999999992</v>
      </c>
      <c r="N225" s="6">
        <v>0</v>
      </c>
      <c r="O225" s="6">
        <v>0</v>
      </c>
      <c r="P225" s="6">
        <v>35</v>
      </c>
      <c r="Q225" s="4" t="s">
        <v>58</v>
      </c>
      <c r="R225" s="4">
        <v>0</v>
      </c>
      <c r="S225" s="4">
        <v>0</v>
      </c>
      <c r="T225" s="4">
        <v>22</v>
      </c>
      <c r="U225" s="4">
        <v>0</v>
      </c>
      <c r="V225" s="6">
        <f>IF(ISERROR(VLOOKUP($S$225,'TAR FIN'!$A$1:$O$104,15,0)),0,VLOOKUP($S$225,'TAR FIN'!$A$1:$O$104,15,0))</f>
        <v>0</v>
      </c>
      <c r="W225" s="6">
        <f>IF(ISERROR(VLOOKUP($T$225,'TAR FIN'!$A$1:$O$104,15,0)),0,VLOOKUP($T$225,'TAR FIN'!$A$1:$O$104,15,0))</f>
        <v>62.57</v>
      </c>
      <c r="X225" s="6">
        <f>IF(ISERROR(VLOOKUP($U$225,'TAR FIN'!$A$1:$O$104,15,0)),0,VLOOKUP($U$225,'TAR FIN'!$A$1:$O$104,15,0))</f>
        <v>0</v>
      </c>
      <c r="Y225" s="6"/>
      <c r="Z225" s="6">
        <f ca="1">('TUSD BE'!$AM$15+'TUSD BF'!$AM$15+'TUSD CVA'!$AM$15)*1</f>
        <v>77.876201961015255</v>
      </c>
      <c r="AA225" s="6"/>
      <c r="AB225" s="6">
        <f t="shared" si="14"/>
        <v>0</v>
      </c>
      <c r="AC225" s="6">
        <f t="shared" si="15"/>
        <v>0</v>
      </c>
      <c r="AD225" s="6">
        <f t="shared" si="16"/>
        <v>0</v>
      </c>
      <c r="AE225" s="6">
        <f t="shared" ca="1" si="17"/>
        <v>0</v>
      </c>
      <c r="AF225" s="4" t="s">
        <v>997</v>
      </c>
    </row>
    <row r="226" spans="1:32" ht="11.25" customHeight="1" x14ac:dyDescent="0.25">
      <c r="A226" s="4" t="s">
        <v>21</v>
      </c>
      <c r="B226" s="4" t="s">
        <v>41</v>
      </c>
      <c r="C226" s="4" t="s">
        <v>40</v>
      </c>
      <c r="D226" s="4" t="s">
        <v>38</v>
      </c>
      <c r="E226" s="4" t="s">
        <v>25</v>
      </c>
      <c r="F226" s="4" t="s">
        <v>61</v>
      </c>
      <c r="G226" s="4" t="s">
        <v>25</v>
      </c>
      <c r="H226" s="4" t="s">
        <v>25</v>
      </c>
      <c r="I226" s="5">
        <v>44593</v>
      </c>
      <c r="J226" s="6">
        <v>0</v>
      </c>
      <c r="K226" s="6">
        <v>0</v>
      </c>
      <c r="L226" s="6">
        <v>7630.09</v>
      </c>
      <c r="M226" s="6">
        <v>7630.09</v>
      </c>
      <c r="N226" s="6">
        <v>0</v>
      </c>
      <c r="O226" s="6">
        <v>0</v>
      </c>
      <c r="P226" s="6">
        <v>35</v>
      </c>
      <c r="Q226" s="4" t="s">
        <v>58</v>
      </c>
      <c r="R226" s="4">
        <v>0</v>
      </c>
      <c r="S226" s="4">
        <v>0</v>
      </c>
      <c r="T226" s="4">
        <v>22</v>
      </c>
      <c r="U226" s="4">
        <v>0</v>
      </c>
      <c r="V226" s="6">
        <f>IF(ISERROR(VLOOKUP($S$226,'TAR FIN'!$A$1:$O$104,15,0)),0,VLOOKUP($S$226,'TAR FIN'!$A$1:$O$104,15,0))</f>
        <v>0</v>
      </c>
      <c r="W226" s="6">
        <f>IF(ISERROR(VLOOKUP($T$226,'TAR FIN'!$A$1:$O$104,15,0)),0,VLOOKUP($T$226,'TAR FIN'!$A$1:$O$104,15,0))</f>
        <v>62.57</v>
      </c>
      <c r="X226" s="6">
        <f>IF(ISERROR(VLOOKUP($U$226,'TAR FIN'!$A$1:$O$104,15,0)),0,VLOOKUP($U$226,'TAR FIN'!$A$1:$O$104,15,0))</f>
        <v>0</v>
      </c>
      <c r="Y226" s="6"/>
      <c r="Z226" s="6">
        <f ca="1">('TUSD BE'!$AM$15+'TUSD BF'!$AM$15+'TUSD CVA'!$AM$15)*1</f>
        <v>77.876201961015255</v>
      </c>
      <c r="AA226" s="6"/>
      <c r="AB226" s="6">
        <f t="shared" si="14"/>
        <v>0</v>
      </c>
      <c r="AC226" s="6">
        <f t="shared" si="15"/>
        <v>0</v>
      </c>
      <c r="AD226" s="6">
        <f t="shared" si="16"/>
        <v>0</v>
      </c>
      <c r="AE226" s="6">
        <f t="shared" ca="1" si="17"/>
        <v>0</v>
      </c>
      <c r="AF226" s="4" t="s">
        <v>997</v>
      </c>
    </row>
    <row r="227" spans="1:32" ht="11.25" customHeight="1" x14ac:dyDescent="0.25">
      <c r="A227" s="4" t="s">
        <v>21</v>
      </c>
      <c r="B227" s="4" t="s">
        <v>41</v>
      </c>
      <c r="C227" s="4" t="s">
        <v>40</v>
      </c>
      <c r="D227" s="4" t="s">
        <v>38</v>
      </c>
      <c r="E227" s="4" t="s">
        <v>25</v>
      </c>
      <c r="F227" s="4" t="s">
        <v>61</v>
      </c>
      <c r="G227" s="4" t="s">
        <v>25</v>
      </c>
      <c r="H227" s="4" t="s">
        <v>25</v>
      </c>
      <c r="I227" s="5">
        <v>44621</v>
      </c>
      <c r="J227" s="6">
        <v>0</v>
      </c>
      <c r="K227" s="6">
        <v>0</v>
      </c>
      <c r="L227" s="6">
        <v>7194.3190000000004</v>
      </c>
      <c r="M227" s="6">
        <v>7194.3190000000004</v>
      </c>
      <c r="N227" s="6">
        <v>0</v>
      </c>
      <c r="O227" s="6">
        <v>0</v>
      </c>
      <c r="P227" s="6">
        <v>35</v>
      </c>
      <c r="Q227" s="4" t="s">
        <v>58</v>
      </c>
      <c r="R227" s="4">
        <v>0</v>
      </c>
      <c r="S227" s="4">
        <v>0</v>
      </c>
      <c r="T227" s="4">
        <v>22</v>
      </c>
      <c r="U227" s="4">
        <v>0</v>
      </c>
      <c r="V227" s="6">
        <f>IF(ISERROR(VLOOKUP($S$227,'TAR FIN'!$A$1:$O$104,15,0)),0,VLOOKUP($S$227,'TAR FIN'!$A$1:$O$104,15,0))</f>
        <v>0</v>
      </c>
      <c r="W227" s="6">
        <f>IF(ISERROR(VLOOKUP($T$227,'TAR FIN'!$A$1:$O$104,15,0)),0,VLOOKUP($T$227,'TAR FIN'!$A$1:$O$104,15,0))</f>
        <v>62.57</v>
      </c>
      <c r="X227" s="6">
        <f>IF(ISERROR(VLOOKUP($U$227,'TAR FIN'!$A$1:$O$104,15,0)),0,VLOOKUP($U$227,'TAR FIN'!$A$1:$O$104,15,0))</f>
        <v>0</v>
      </c>
      <c r="Y227" s="6"/>
      <c r="Z227" s="6">
        <f ca="1">('TUSD BE'!$AM$15+'TUSD BF'!$AM$15+'TUSD CVA'!$AM$15)*1</f>
        <v>77.876201961015255</v>
      </c>
      <c r="AA227" s="6"/>
      <c r="AB227" s="6">
        <f t="shared" si="14"/>
        <v>0</v>
      </c>
      <c r="AC227" s="6">
        <f t="shared" si="15"/>
        <v>0</v>
      </c>
      <c r="AD227" s="6">
        <f t="shared" si="16"/>
        <v>0</v>
      </c>
      <c r="AE227" s="6">
        <f t="shared" ca="1" si="17"/>
        <v>0</v>
      </c>
      <c r="AF227" s="4" t="s">
        <v>997</v>
      </c>
    </row>
    <row r="228" spans="1:32" ht="11.25" customHeight="1" x14ac:dyDescent="0.25">
      <c r="A228" s="4" t="s">
        <v>21</v>
      </c>
      <c r="B228" s="4" t="s">
        <v>41</v>
      </c>
      <c r="C228" s="4" t="s">
        <v>40</v>
      </c>
      <c r="D228" s="4" t="s">
        <v>38</v>
      </c>
      <c r="E228" s="4" t="s">
        <v>25</v>
      </c>
      <c r="F228" s="4" t="s">
        <v>61</v>
      </c>
      <c r="G228" s="4" t="s">
        <v>25</v>
      </c>
      <c r="H228" s="4" t="s">
        <v>25</v>
      </c>
      <c r="I228" s="5">
        <v>44652</v>
      </c>
      <c r="J228" s="6">
        <v>0</v>
      </c>
      <c r="K228" s="6">
        <v>0</v>
      </c>
      <c r="L228" s="6">
        <v>8225.7209999999995</v>
      </c>
      <c r="M228" s="6">
        <v>8225.7209999999995</v>
      </c>
      <c r="N228" s="6">
        <v>0</v>
      </c>
      <c r="O228" s="6">
        <v>0</v>
      </c>
      <c r="P228" s="6">
        <v>37</v>
      </c>
      <c r="Q228" s="4" t="s">
        <v>58</v>
      </c>
      <c r="R228" s="4">
        <v>0</v>
      </c>
      <c r="S228" s="4">
        <v>0</v>
      </c>
      <c r="T228" s="4">
        <v>22</v>
      </c>
      <c r="U228" s="4">
        <v>0</v>
      </c>
      <c r="V228" s="6">
        <f>IF(ISERROR(VLOOKUP($S$228,'TAR FIN'!$A$1:$O$104,15,0)),0,VLOOKUP($S$228,'TAR FIN'!$A$1:$O$104,15,0))</f>
        <v>0</v>
      </c>
      <c r="W228" s="6">
        <f>IF(ISERROR(VLOOKUP($T$228,'TAR FIN'!$A$1:$O$104,15,0)),0,VLOOKUP($T$228,'TAR FIN'!$A$1:$O$104,15,0))</f>
        <v>62.57</v>
      </c>
      <c r="X228" s="6">
        <f>IF(ISERROR(VLOOKUP($U$228,'TAR FIN'!$A$1:$O$104,15,0)),0,VLOOKUP($U$228,'TAR FIN'!$A$1:$O$104,15,0))</f>
        <v>0</v>
      </c>
      <c r="Y228" s="6"/>
      <c r="Z228" s="6">
        <f ca="1">('TUSD BE'!$AM$15+'TUSD BF'!$AM$15+'TUSD CVA'!$AM$15)*1</f>
        <v>77.876201961015255</v>
      </c>
      <c r="AA228" s="6"/>
      <c r="AB228" s="6">
        <f t="shared" si="14"/>
        <v>0</v>
      </c>
      <c r="AC228" s="6">
        <f t="shared" si="15"/>
        <v>0</v>
      </c>
      <c r="AD228" s="6">
        <f t="shared" si="16"/>
        <v>0</v>
      </c>
      <c r="AE228" s="6">
        <f t="shared" ca="1" si="17"/>
        <v>0</v>
      </c>
      <c r="AF228" s="4" t="s">
        <v>997</v>
      </c>
    </row>
    <row r="229" spans="1:32" ht="11.25" customHeight="1" x14ac:dyDescent="0.25">
      <c r="A229" s="4" t="s">
        <v>21</v>
      </c>
      <c r="B229" s="4" t="s">
        <v>41</v>
      </c>
      <c r="C229" s="4" t="s">
        <v>40</v>
      </c>
      <c r="D229" s="4" t="s">
        <v>38</v>
      </c>
      <c r="E229" s="4" t="s">
        <v>25</v>
      </c>
      <c r="F229" s="4" t="s">
        <v>61</v>
      </c>
      <c r="G229" s="4" t="s">
        <v>25</v>
      </c>
      <c r="H229" s="4" t="s">
        <v>25</v>
      </c>
      <c r="I229" s="5">
        <v>44682</v>
      </c>
      <c r="J229" s="6">
        <v>0</v>
      </c>
      <c r="K229" s="6">
        <v>0</v>
      </c>
      <c r="L229" s="6">
        <v>7602.5020000000004</v>
      </c>
      <c r="M229" s="6">
        <v>7602.5020000000004</v>
      </c>
      <c r="N229" s="6">
        <v>0</v>
      </c>
      <c r="O229" s="6">
        <v>0</v>
      </c>
      <c r="P229" s="6">
        <v>37</v>
      </c>
      <c r="Q229" s="4" t="s">
        <v>58</v>
      </c>
      <c r="R229" s="4">
        <v>0</v>
      </c>
      <c r="S229" s="4">
        <v>0</v>
      </c>
      <c r="T229" s="4">
        <v>22</v>
      </c>
      <c r="U229" s="4">
        <v>0</v>
      </c>
      <c r="V229" s="6">
        <f>IF(ISERROR(VLOOKUP($S$229,'TAR FIN'!$A$1:$O$104,15,0)),0,VLOOKUP($S$229,'TAR FIN'!$A$1:$O$104,15,0))</f>
        <v>0</v>
      </c>
      <c r="W229" s="6">
        <f>IF(ISERROR(VLOOKUP($T$229,'TAR FIN'!$A$1:$O$104,15,0)),0,VLOOKUP($T$229,'TAR FIN'!$A$1:$O$104,15,0))</f>
        <v>62.57</v>
      </c>
      <c r="X229" s="6">
        <f>IF(ISERROR(VLOOKUP($U$229,'TAR FIN'!$A$1:$O$104,15,0)),0,VLOOKUP($U$229,'TAR FIN'!$A$1:$O$104,15,0))</f>
        <v>0</v>
      </c>
      <c r="Y229" s="6"/>
      <c r="Z229" s="6">
        <f ca="1">('TUSD BE'!$AM$15+'TUSD BF'!$AM$15+'TUSD CVA'!$AM$15)*1</f>
        <v>77.876201961015255</v>
      </c>
      <c r="AA229" s="6"/>
      <c r="AB229" s="6">
        <f t="shared" si="14"/>
        <v>0</v>
      </c>
      <c r="AC229" s="6">
        <f t="shared" si="15"/>
        <v>0</v>
      </c>
      <c r="AD229" s="6">
        <f t="shared" si="16"/>
        <v>0</v>
      </c>
      <c r="AE229" s="6">
        <f t="shared" ca="1" si="17"/>
        <v>0</v>
      </c>
      <c r="AF229" s="4" t="s">
        <v>997</v>
      </c>
    </row>
    <row r="230" spans="1:32" ht="11.25" customHeight="1" x14ac:dyDescent="0.25">
      <c r="A230" s="4" t="s">
        <v>21</v>
      </c>
      <c r="B230" s="4" t="s">
        <v>41</v>
      </c>
      <c r="C230" s="4" t="s">
        <v>40</v>
      </c>
      <c r="D230" s="4" t="s">
        <v>38</v>
      </c>
      <c r="E230" s="4" t="s">
        <v>25</v>
      </c>
      <c r="F230" s="4" t="s">
        <v>61</v>
      </c>
      <c r="G230" s="4" t="s">
        <v>25</v>
      </c>
      <c r="H230" s="4" t="s">
        <v>25</v>
      </c>
      <c r="I230" s="5">
        <v>44713</v>
      </c>
      <c r="J230" s="6">
        <v>0</v>
      </c>
      <c r="K230" s="6">
        <v>0</v>
      </c>
      <c r="L230" s="6">
        <v>7974.6809999999996</v>
      </c>
      <c r="M230" s="6">
        <v>7974.6809999999996</v>
      </c>
      <c r="N230" s="6">
        <v>0</v>
      </c>
      <c r="O230" s="6">
        <v>0</v>
      </c>
      <c r="P230" s="6">
        <v>37</v>
      </c>
      <c r="Q230" s="4" t="s">
        <v>58</v>
      </c>
      <c r="R230" s="4">
        <v>0</v>
      </c>
      <c r="S230" s="4">
        <v>0</v>
      </c>
      <c r="T230" s="4">
        <v>22</v>
      </c>
      <c r="U230" s="4">
        <v>0</v>
      </c>
      <c r="V230" s="6">
        <f>IF(ISERROR(VLOOKUP($S$230,'TAR FIN'!$A$1:$O$104,15,0)),0,VLOOKUP($S$230,'TAR FIN'!$A$1:$O$104,15,0))</f>
        <v>0</v>
      </c>
      <c r="W230" s="6">
        <f>IF(ISERROR(VLOOKUP($T$230,'TAR FIN'!$A$1:$O$104,15,0)),0,VLOOKUP($T$230,'TAR FIN'!$A$1:$O$104,15,0))</f>
        <v>62.57</v>
      </c>
      <c r="X230" s="6">
        <f>IF(ISERROR(VLOOKUP($U$230,'TAR FIN'!$A$1:$O$104,15,0)),0,VLOOKUP($U$230,'TAR FIN'!$A$1:$O$104,15,0))</f>
        <v>0</v>
      </c>
      <c r="Y230" s="6"/>
      <c r="Z230" s="6">
        <f ca="1">('TUSD BE'!$AM$15+'TUSD BF'!$AM$15+'TUSD CVA'!$AM$15)*1</f>
        <v>77.876201961015255</v>
      </c>
      <c r="AA230" s="6"/>
      <c r="AB230" s="6">
        <f t="shared" si="14"/>
        <v>0</v>
      </c>
      <c r="AC230" s="6">
        <f t="shared" si="15"/>
        <v>0</v>
      </c>
      <c r="AD230" s="6">
        <f t="shared" si="16"/>
        <v>0</v>
      </c>
      <c r="AE230" s="6">
        <f t="shared" ca="1" si="17"/>
        <v>0</v>
      </c>
      <c r="AF230" s="4" t="s">
        <v>997</v>
      </c>
    </row>
    <row r="231" spans="1:32" ht="11.25" customHeight="1" x14ac:dyDescent="0.25">
      <c r="A231" s="4" t="s">
        <v>57</v>
      </c>
      <c r="B231" s="4" t="s">
        <v>41</v>
      </c>
      <c r="C231" s="4" t="s">
        <v>40</v>
      </c>
      <c r="D231" s="4" t="s">
        <v>38</v>
      </c>
      <c r="E231" s="4" t="s">
        <v>25</v>
      </c>
      <c r="F231" s="4" t="s">
        <v>61</v>
      </c>
      <c r="G231" s="4" t="s">
        <v>25</v>
      </c>
      <c r="H231" s="4" t="s">
        <v>25</v>
      </c>
      <c r="I231" s="5">
        <v>44743</v>
      </c>
      <c r="J231" s="6">
        <v>0</v>
      </c>
      <c r="K231" s="6">
        <v>0</v>
      </c>
      <c r="L231" s="6">
        <v>7974.6809999999996</v>
      </c>
      <c r="M231" s="6">
        <v>7974.6809999999996</v>
      </c>
      <c r="N231" s="6">
        <v>0</v>
      </c>
      <c r="O231" s="6">
        <v>0</v>
      </c>
      <c r="P231" s="6">
        <v>37</v>
      </c>
      <c r="Q231" s="4" t="s">
        <v>58</v>
      </c>
      <c r="R231" s="4">
        <v>0</v>
      </c>
      <c r="S231" s="4">
        <v>0</v>
      </c>
      <c r="T231" s="4">
        <v>22</v>
      </c>
      <c r="U231" s="4">
        <v>0</v>
      </c>
      <c r="V231" s="6">
        <f>IF(ISERROR(VLOOKUP($S$231,'TAR FIN'!$A$1:$O$104,15,0)),0,VLOOKUP($S$231,'TAR FIN'!$A$1:$O$104,15,0))</f>
        <v>0</v>
      </c>
      <c r="W231" s="6">
        <f>IF(ISERROR(VLOOKUP($T$231,'TAR FIN'!$A$1:$O$104,15,0)),0,VLOOKUP($T$231,'TAR FIN'!$A$1:$O$104,15,0))</f>
        <v>62.57</v>
      </c>
      <c r="X231" s="6">
        <f>IF(ISERROR(VLOOKUP($U$231,'TAR FIN'!$A$1:$O$104,15,0)),0,VLOOKUP($U$231,'TAR FIN'!$A$1:$O$104,15,0))</f>
        <v>0</v>
      </c>
      <c r="Y231" s="6"/>
      <c r="Z231" s="6">
        <f ca="1">('TUSD BE'!$AM$15+'TUSD BF'!$AM$15+'TUSD CVA'!$AM$15)*1</f>
        <v>77.876201961015255</v>
      </c>
      <c r="AA231" s="6"/>
      <c r="AB231" s="6">
        <f t="shared" si="14"/>
        <v>0</v>
      </c>
      <c r="AC231" s="6">
        <f t="shared" si="15"/>
        <v>0</v>
      </c>
      <c r="AD231" s="6">
        <f t="shared" si="16"/>
        <v>0</v>
      </c>
      <c r="AE231" s="6">
        <f t="shared" ca="1" si="17"/>
        <v>0</v>
      </c>
      <c r="AF231" s="4" t="s">
        <v>997</v>
      </c>
    </row>
    <row r="232" spans="1:32" ht="11.25" customHeight="1" x14ac:dyDescent="0.25">
      <c r="A232" s="4" t="s">
        <v>21</v>
      </c>
      <c r="B232" s="4" t="s">
        <v>41</v>
      </c>
      <c r="C232" s="4" t="s">
        <v>40</v>
      </c>
      <c r="D232" s="4" t="s">
        <v>38</v>
      </c>
      <c r="E232" s="4" t="s">
        <v>25</v>
      </c>
      <c r="F232" s="4" t="s">
        <v>61</v>
      </c>
      <c r="G232" s="4" t="s">
        <v>25</v>
      </c>
      <c r="H232" s="4" t="s">
        <v>34</v>
      </c>
      <c r="I232" s="5">
        <v>44409</v>
      </c>
      <c r="J232" s="6">
        <v>12811</v>
      </c>
      <c r="K232" s="6">
        <v>6533.61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4" t="s">
        <v>58</v>
      </c>
      <c r="R232" s="4">
        <v>0</v>
      </c>
      <c r="S232" s="4">
        <v>18</v>
      </c>
      <c r="T232" s="4">
        <v>0</v>
      </c>
      <c r="U232" s="4">
        <v>0</v>
      </c>
      <c r="V232" s="6">
        <f>IF(ISERROR(VLOOKUP($S$232,'TAR FIN'!$A$1:$O$104,15,0)),0,VLOOKUP($S$232,'TAR FIN'!$A$1:$O$104,15,0))</f>
        <v>52.15</v>
      </c>
      <c r="W232" s="6">
        <f>IF(ISERROR(VLOOKUP($T$232,'TAR FIN'!$A$1:$O$104,15,0)),0,VLOOKUP($T$232,'TAR FIN'!$A$1:$O$104,15,0))</f>
        <v>0</v>
      </c>
      <c r="X232" s="6">
        <f>IF(ISERROR(VLOOKUP($U$232,'TAR FIN'!$A$1:$O$104,15,0)),0,VLOOKUP($U$232,'TAR FIN'!$A$1:$O$104,15,0))</f>
        <v>0</v>
      </c>
      <c r="Y232" s="6">
        <f ca="1">('TUSD BE'!$AM$13+'TUSD BF'!$AM$13+'TUSD CVA'!$AM$13)*1</f>
        <v>52.233673366014429</v>
      </c>
      <c r="Z232" s="6">
        <f ca="1">('TUSD BE'!$AM$15+'TUSD BF'!$AM$15+'TUSD CVA'!$AM$15)*1</f>
        <v>77.876201961015255</v>
      </c>
      <c r="AA232" s="6"/>
      <c r="AB232" s="6">
        <f t="shared" si="14"/>
        <v>327365.8885</v>
      </c>
      <c r="AC232" s="6">
        <f t="shared" si="15"/>
        <v>0</v>
      </c>
      <c r="AD232" s="6">
        <f t="shared" ca="1" si="16"/>
        <v>327891.13885108533</v>
      </c>
      <c r="AE232" s="6">
        <f t="shared" ca="1" si="17"/>
        <v>0</v>
      </c>
      <c r="AF232" s="4" t="s">
        <v>997</v>
      </c>
    </row>
    <row r="233" spans="1:32" ht="11.25" customHeight="1" x14ac:dyDescent="0.25">
      <c r="A233" s="4" t="s">
        <v>21</v>
      </c>
      <c r="B233" s="4" t="s">
        <v>41</v>
      </c>
      <c r="C233" s="4" t="s">
        <v>40</v>
      </c>
      <c r="D233" s="4" t="s">
        <v>38</v>
      </c>
      <c r="E233" s="4" t="s">
        <v>25</v>
      </c>
      <c r="F233" s="4" t="s">
        <v>61</v>
      </c>
      <c r="G233" s="4" t="s">
        <v>25</v>
      </c>
      <c r="H233" s="4" t="s">
        <v>34</v>
      </c>
      <c r="I233" s="5">
        <v>44440</v>
      </c>
      <c r="J233" s="6">
        <v>12867</v>
      </c>
      <c r="K233" s="6">
        <v>8878.23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4" t="s">
        <v>58</v>
      </c>
      <c r="R233" s="4">
        <v>0</v>
      </c>
      <c r="S233" s="4">
        <v>18</v>
      </c>
      <c r="T233" s="4">
        <v>0</v>
      </c>
      <c r="U233" s="4">
        <v>0</v>
      </c>
      <c r="V233" s="6">
        <f>IF(ISERROR(VLOOKUP($S$233,'TAR FIN'!$A$1:$O$104,15,0)),0,VLOOKUP($S$233,'TAR FIN'!$A$1:$O$104,15,0))</f>
        <v>52.15</v>
      </c>
      <c r="W233" s="6">
        <f>IF(ISERROR(VLOOKUP($T$233,'TAR FIN'!$A$1:$O$104,15,0)),0,VLOOKUP($T$233,'TAR FIN'!$A$1:$O$104,15,0))</f>
        <v>0</v>
      </c>
      <c r="X233" s="6">
        <f>IF(ISERROR(VLOOKUP($U$233,'TAR FIN'!$A$1:$O$104,15,0)),0,VLOOKUP($U$233,'TAR FIN'!$A$1:$O$104,15,0))</f>
        <v>0</v>
      </c>
      <c r="Y233" s="6">
        <f ca="1">('TUSD BE'!$AM$13+'TUSD BF'!$AM$13+'TUSD CVA'!$AM$13)*1</f>
        <v>52.233673366014429</v>
      </c>
      <c r="Z233" s="6">
        <f ca="1">('TUSD BE'!$AM$15+'TUSD BF'!$AM$15+'TUSD CVA'!$AM$15)*1</f>
        <v>77.876201961015255</v>
      </c>
      <c r="AA233" s="6"/>
      <c r="AB233" s="6">
        <f t="shared" si="14"/>
        <v>208014.35550000001</v>
      </c>
      <c r="AC233" s="6">
        <f t="shared" si="15"/>
        <v>0</v>
      </c>
      <c r="AD233" s="6">
        <f t="shared" ca="1" si="16"/>
        <v>208348.10931215741</v>
      </c>
      <c r="AE233" s="6">
        <f t="shared" ca="1" si="17"/>
        <v>0</v>
      </c>
      <c r="AF233" s="4" t="s">
        <v>997</v>
      </c>
    </row>
    <row r="234" spans="1:32" ht="11.25" customHeight="1" x14ac:dyDescent="0.25">
      <c r="A234" s="4" t="s">
        <v>21</v>
      </c>
      <c r="B234" s="4" t="s">
        <v>41</v>
      </c>
      <c r="C234" s="4" t="s">
        <v>40</v>
      </c>
      <c r="D234" s="4" t="s">
        <v>38</v>
      </c>
      <c r="E234" s="4" t="s">
        <v>25</v>
      </c>
      <c r="F234" s="4" t="s">
        <v>61</v>
      </c>
      <c r="G234" s="4" t="s">
        <v>25</v>
      </c>
      <c r="H234" s="4" t="s">
        <v>34</v>
      </c>
      <c r="I234" s="5">
        <v>44470</v>
      </c>
      <c r="J234" s="6">
        <v>12821</v>
      </c>
      <c r="K234" s="6">
        <v>8333.65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4" t="s">
        <v>58</v>
      </c>
      <c r="R234" s="4">
        <v>0</v>
      </c>
      <c r="S234" s="4">
        <v>18</v>
      </c>
      <c r="T234" s="4">
        <v>0</v>
      </c>
      <c r="U234" s="4">
        <v>0</v>
      </c>
      <c r="V234" s="6">
        <f>IF(ISERROR(VLOOKUP($S$234,'TAR FIN'!$A$1:$O$104,15,0)),0,VLOOKUP($S$234,'TAR FIN'!$A$1:$O$104,15,0))</f>
        <v>52.15</v>
      </c>
      <c r="W234" s="6">
        <f>IF(ISERROR(VLOOKUP($T$234,'TAR FIN'!$A$1:$O$104,15,0)),0,VLOOKUP($T$234,'TAR FIN'!$A$1:$O$104,15,0))</f>
        <v>0</v>
      </c>
      <c r="X234" s="6">
        <f>IF(ISERROR(VLOOKUP($U$234,'TAR FIN'!$A$1:$O$104,15,0)),0,VLOOKUP($U$234,'TAR FIN'!$A$1:$O$104,15,0))</f>
        <v>0</v>
      </c>
      <c r="Y234" s="6">
        <f ca="1">('TUSD BE'!$AM$13+'TUSD BF'!$AM$13+'TUSD CVA'!$AM$13)*1</f>
        <v>52.233673366014429</v>
      </c>
      <c r="Z234" s="6">
        <f ca="1">('TUSD BE'!$AM$15+'TUSD BF'!$AM$15+'TUSD CVA'!$AM$15)*1</f>
        <v>77.876201961015255</v>
      </c>
      <c r="AA234" s="6"/>
      <c r="AB234" s="6">
        <f t="shared" si="14"/>
        <v>234015.30250000002</v>
      </c>
      <c r="AC234" s="6">
        <f t="shared" si="15"/>
        <v>0</v>
      </c>
      <c r="AD234" s="6">
        <f t="shared" ca="1" si="16"/>
        <v>234390.77417898487</v>
      </c>
      <c r="AE234" s="6">
        <f t="shared" ca="1" si="17"/>
        <v>0</v>
      </c>
      <c r="AF234" s="4" t="s">
        <v>997</v>
      </c>
    </row>
    <row r="235" spans="1:32" ht="11.25" customHeight="1" x14ac:dyDescent="0.25">
      <c r="A235" s="4" t="s">
        <v>21</v>
      </c>
      <c r="B235" s="4" t="s">
        <v>41</v>
      </c>
      <c r="C235" s="4" t="s">
        <v>40</v>
      </c>
      <c r="D235" s="4" t="s">
        <v>38</v>
      </c>
      <c r="E235" s="4" t="s">
        <v>25</v>
      </c>
      <c r="F235" s="4" t="s">
        <v>61</v>
      </c>
      <c r="G235" s="4" t="s">
        <v>25</v>
      </c>
      <c r="H235" s="4" t="s">
        <v>34</v>
      </c>
      <c r="I235" s="5">
        <v>44501</v>
      </c>
      <c r="J235" s="6">
        <v>16672</v>
      </c>
      <c r="K235" s="6">
        <v>7502.4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4" t="s">
        <v>58</v>
      </c>
      <c r="R235" s="4">
        <v>0</v>
      </c>
      <c r="S235" s="4">
        <v>18</v>
      </c>
      <c r="T235" s="4">
        <v>0</v>
      </c>
      <c r="U235" s="4">
        <v>0</v>
      </c>
      <c r="V235" s="6">
        <f>IF(ISERROR(VLOOKUP($S$235,'TAR FIN'!$A$1:$O$104,15,0)),0,VLOOKUP($S$235,'TAR FIN'!$A$1:$O$104,15,0))</f>
        <v>52.15</v>
      </c>
      <c r="W235" s="6">
        <f>IF(ISERROR(VLOOKUP($T$235,'TAR FIN'!$A$1:$O$104,15,0)),0,VLOOKUP($T$235,'TAR FIN'!$A$1:$O$104,15,0))</f>
        <v>0</v>
      </c>
      <c r="X235" s="6">
        <f>IF(ISERROR(VLOOKUP($U$235,'TAR FIN'!$A$1:$O$104,15,0)),0,VLOOKUP($U$235,'TAR FIN'!$A$1:$O$104,15,0))</f>
        <v>0</v>
      </c>
      <c r="Y235" s="6">
        <f ca="1">('TUSD BE'!$AM$13+'TUSD BF'!$AM$13+'TUSD CVA'!$AM$13)*1</f>
        <v>52.233673366014429</v>
      </c>
      <c r="Z235" s="6">
        <f ca="1">('TUSD BE'!$AM$15+'TUSD BF'!$AM$15+'TUSD CVA'!$AM$15)*1</f>
        <v>77.876201961015255</v>
      </c>
      <c r="AA235" s="6"/>
      <c r="AB235" s="6">
        <f t="shared" si="14"/>
        <v>478194.64</v>
      </c>
      <c r="AC235" s="6">
        <f t="shared" si="15"/>
        <v>0</v>
      </c>
      <c r="AD235" s="6">
        <f t="shared" ca="1" si="16"/>
        <v>478961.89129700593</v>
      </c>
      <c r="AE235" s="6">
        <f t="shared" ca="1" si="17"/>
        <v>0</v>
      </c>
      <c r="AF235" s="4" t="s">
        <v>997</v>
      </c>
    </row>
    <row r="236" spans="1:32" ht="11.25" customHeight="1" x14ac:dyDescent="0.25">
      <c r="A236" s="4" t="s">
        <v>21</v>
      </c>
      <c r="B236" s="4" t="s">
        <v>41</v>
      </c>
      <c r="C236" s="4" t="s">
        <v>40</v>
      </c>
      <c r="D236" s="4" t="s">
        <v>38</v>
      </c>
      <c r="E236" s="4" t="s">
        <v>25</v>
      </c>
      <c r="F236" s="4" t="s">
        <v>61</v>
      </c>
      <c r="G236" s="4" t="s">
        <v>25</v>
      </c>
      <c r="H236" s="4" t="s">
        <v>34</v>
      </c>
      <c r="I236" s="5">
        <v>44531</v>
      </c>
      <c r="J236" s="6">
        <v>16924</v>
      </c>
      <c r="K236" s="6">
        <v>8292.76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4" t="s">
        <v>58</v>
      </c>
      <c r="R236" s="4">
        <v>0</v>
      </c>
      <c r="S236" s="4">
        <v>18</v>
      </c>
      <c r="T236" s="4">
        <v>0</v>
      </c>
      <c r="U236" s="4">
        <v>0</v>
      </c>
      <c r="V236" s="6">
        <f>IF(ISERROR(VLOOKUP($S$236,'TAR FIN'!$A$1:$O$104,15,0)),0,VLOOKUP($S$236,'TAR FIN'!$A$1:$O$104,15,0))</f>
        <v>52.15</v>
      </c>
      <c r="W236" s="6">
        <f>IF(ISERROR(VLOOKUP($T$236,'TAR FIN'!$A$1:$O$104,15,0)),0,VLOOKUP($T$236,'TAR FIN'!$A$1:$O$104,15,0))</f>
        <v>0</v>
      </c>
      <c r="X236" s="6">
        <f>IF(ISERROR(VLOOKUP($U$236,'TAR FIN'!$A$1:$O$104,15,0)),0,VLOOKUP($U$236,'TAR FIN'!$A$1:$O$104,15,0))</f>
        <v>0</v>
      </c>
      <c r="Y236" s="6">
        <f ca="1">('TUSD BE'!$AM$13+'TUSD BF'!$AM$13+'TUSD CVA'!$AM$13)*1</f>
        <v>52.233673366014429</v>
      </c>
      <c r="Z236" s="6">
        <f ca="1">('TUSD BE'!$AM$15+'TUSD BF'!$AM$15+'TUSD CVA'!$AM$15)*1</f>
        <v>77.876201961015255</v>
      </c>
      <c r="AA236" s="6"/>
      <c r="AB236" s="6">
        <f t="shared" si="14"/>
        <v>450119.16599999997</v>
      </c>
      <c r="AC236" s="6">
        <f t="shared" si="15"/>
        <v>0</v>
      </c>
      <c r="AD236" s="6">
        <f t="shared" ca="1" si="16"/>
        <v>450841.37090367835</v>
      </c>
      <c r="AE236" s="6">
        <f t="shared" ca="1" si="17"/>
        <v>0</v>
      </c>
      <c r="AF236" s="4" t="s">
        <v>997</v>
      </c>
    </row>
    <row r="237" spans="1:32" ht="11.25" customHeight="1" x14ac:dyDescent="0.25">
      <c r="A237" s="4" t="s">
        <v>21</v>
      </c>
      <c r="B237" s="4" t="s">
        <v>41</v>
      </c>
      <c r="C237" s="4" t="s">
        <v>40</v>
      </c>
      <c r="D237" s="4" t="s">
        <v>38</v>
      </c>
      <c r="E237" s="4" t="s">
        <v>25</v>
      </c>
      <c r="F237" s="4" t="s">
        <v>61</v>
      </c>
      <c r="G237" s="4" t="s">
        <v>25</v>
      </c>
      <c r="H237" s="4" t="s">
        <v>34</v>
      </c>
      <c r="I237" s="5">
        <v>44562</v>
      </c>
      <c r="J237" s="6">
        <v>17070</v>
      </c>
      <c r="K237" s="6">
        <v>8364.2999999999993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4" t="s">
        <v>58</v>
      </c>
      <c r="R237" s="4">
        <v>0</v>
      </c>
      <c r="S237" s="4">
        <v>18</v>
      </c>
      <c r="T237" s="4">
        <v>0</v>
      </c>
      <c r="U237" s="4">
        <v>0</v>
      </c>
      <c r="V237" s="6">
        <f>IF(ISERROR(VLOOKUP($S$237,'TAR FIN'!$A$1:$O$104,15,0)),0,VLOOKUP($S$237,'TAR FIN'!$A$1:$O$104,15,0))</f>
        <v>52.15</v>
      </c>
      <c r="W237" s="6">
        <f>IF(ISERROR(VLOOKUP($T$237,'TAR FIN'!$A$1:$O$104,15,0)),0,VLOOKUP($T$237,'TAR FIN'!$A$1:$O$104,15,0))</f>
        <v>0</v>
      </c>
      <c r="X237" s="6">
        <f>IF(ISERROR(VLOOKUP($U$237,'TAR FIN'!$A$1:$O$104,15,0)),0,VLOOKUP($U$237,'TAR FIN'!$A$1:$O$104,15,0))</f>
        <v>0</v>
      </c>
      <c r="Y237" s="6">
        <f ca="1">('TUSD BE'!$AM$13+'TUSD BF'!$AM$13+'TUSD CVA'!$AM$13)*1</f>
        <v>52.233673366014429</v>
      </c>
      <c r="Z237" s="6">
        <f ca="1">('TUSD BE'!$AM$15+'TUSD BF'!$AM$15+'TUSD CVA'!$AM$15)*1</f>
        <v>77.876201961015255</v>
      </c>
      <c r="AA237" s="6"/>
      <c r="AB237" s="6">
        <f t="shared" si="14"/>
        <v>454002.255</v>
      </c>
      <c r="AC237" s="6">
        <f t="shared" si="15"/>
        <v>0</v>
      </c>
      <c r="AD237" s="6">
        <f t="shared" ca="1" si="16"/>
        <v>454730.69022251182</v>
      </c>
      <c r="AE237" s="6">
        <f t="shared" ca="1" si="17"/>
        <v>0</v>
      </c>
      <c r="AF237" s="4" t="s">
        <v>997</v>
      </c>
    </row>
    <row r="238" spans="1:32" ht="11.25" customHeight="1" x14ac:dyDescent="0.25">
      <c r="A238" s="4" t="s">
        <v>21</v>
      </c>
      <c r="B238" s="4" t="s">
        <v>41</v>
      </c>
      <c r="C238" s="4" t="s">
        <v>40</v>
      </c>
      <c r="D238" s="4" t="s">
        <v>38</v>
      </c>
      <c r="E238" s="4" t="s">
        <v>25</v>
      </c>
      <c r="F238" s="4" t="s">
        <v>61</v>
      </c>
      <c r="G238" s="4" t="s">
        <v>25</v>
      </c>
      <c r="H238" s="4" t="s">
        <v>34</v>
      </c>
      <c r="I238" s="5">
        <v>44593</v>
      </c>
      <c r="J238" s="6">
        <v>17129</v>
      </c>
      <c r="K238" s="6">
        <v>8393.2099999999991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4" t="s">
        <v>58</v>
      </c>
      <c r="R238" s="4">
        <v>0</v>
      </c>
      <c r="S238" s="4">
        <v>18</v>
      </c>
      <c r="T238" s="4">
        <v>0</v>
      </c>
      <c r="U238" s="4">
        <v>0</v>
      </c>
      <c r="V238" s="6">
        <f>IF(ISERROR(VLOOKUP($S$238,'TAR FIN'!$A$1:$O$104,15,0)),0,VLOOKUP($S$238,'TAR FIN'!$A$1:$O$104,15,0))</f>
        <v>52.15</v>
      </c>
      <c r="W238" s="6">
        <f>IF(ISERROR(VLOOKUP($T$238,'TAR FIN'!$A$1:$O$104,15,0)),0,VLOOKUP($T$238,'TAR FIN'!$A$1:$O$104,15,0))</f>
        <v>0</v>
      </c>
      <c r="X238" s="6">
        <f>IF(ISERROR(VLOOKUP($U$238,'TAR FIN'!$A$1:$O$104,15,0)),0,VLOOKUP($U$238,'TAR FIN'!$A$1:$O$104,15,0))</f>
        <v>0</v>
      </c>
      <c r="Y238" s="6">
        <f ca="1">('TUSD BE'!$AM$13+'TUSD BF'!$AM$13+'TUSD CVA'!$AM$13)*1</f>
        <v>52.233673366014429</v>
      </c>
      <c r="Z238" s="6">
        <f ca="1">('TUSD BE'!$AM$15+'TUSD BF'!$AM$15+'TUSD CVA'!$AM$15)*1</f>
        <v>77.876201961015255</v>
      </c>
      <c r="AA238" s="6"/>
      <c r="AB238" s="6">
        <f t="shared" si="14"/>
        <v>455571.44850000006</v>
      </c>
      <c r="AC238" s="6">
        <f t="shared" si="15"/>
        <v>0</v>
      </c>
      <c r="AD238" s="6">
        <f t="shared" ca="1" si="16"/>
        <v>456302.40145409526</v>
      </c>
      <c r="AE238" s="6">
        <f t="shared" ca="1" si="17"/>
        <v>0</v>
      </c>
      <c r="AF238" s="4" t="s">
        <v>997</v>
      </c>
    </row>
    <row r="239" spans="1:32" ht="11.25" customHeight="1" x14ac:dyDescent="0.25">
      <c r="A239" s="4" t="s">
        <v>21</v>
      </c>
      <c r="B239" s="4" t="s">
        <v>41</v>
      </c>
      <c r="C239" s="4" t="s">
        <v>40</v>
      </c>
      <c r="D239" s="4" t="s">
        <v>38</v>
      </c>
      <c r="E239" s="4" t="s">
        <v>25</v>
      </c>
      <c r="F239" s="4" t="s">
        <v>61</v>
      </c>
      <c r="G239" s="4" t="s">
        <v>25</v>
      </c>
      <c r="H239" s="4" t="s">
        <v>34</v>
      </c>
      <c r="I239" s="5">
        <v>44621</v>
      </c>
      <c r="J239" s="6">
        <v>17115</v>
      </c>
      <c r="K239" s="6">
        <v>8386.35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4" t="s">
        <v>58</v>
      </c>
      <c r="R239" s="4">
        <v>0</v>
      </c>
      <c r="S239" s="4">
        <v>18</v>
      </c>
      <c r="T239" s="4">
        <v>0</v>
      </c>
      <c r="U239" s="4">
        <v>0</v>
      </c>
      <c r="V239" s="6">
        <f>IF(ISERROR(VLOOKUP($S$239,'TAR FIN'!$A$1:$O$104,15,0)),0,VLOOKUP($S$239,'TAR FIN'!$A$1:$O$104,15,0))</f>
        <v>52.15</v>
      </c>
      <c r="W239" s="6">
        <f>IF(ISERROR(VLOOKUP($T$239,'TAR FIN'!$A$1:$O$104,15,0)),0,VLOOKUP($T$239,'TAR FIN'!$A$1:$O$104,15,0))</f>
        <v>0</v>
      </c>
      <c r="X239" s="6">
        <f>IF(ISERROR(VLOOKUP($U$239,'TAR FIN'!$A$1:$O$104,15,0)),0,VLOOKUP($U$239,'TAR FIN'!$A$1:$O$104,15,0))</f>
        <v>0</v>
      </c>
      <c r="Y239" s="6">
        <f ca="1">('TUSD BE'!$AM$13+'TUSD BF'!$AM$13+'TUSD CVA'!$AM$13)*1</f>
        <v>52.233673366014429</v>
      </c>
      <c r="Z239" s="6">
        <f ca="1">('TUSD BE'!$AM$15+'TUSD BF'!$AM$15+'TUSD CVA'!$AM$15)*1</f>
        <v>77.876201961015255</v>
      </c>
      <c r="AA239" s="6"/>
      <c r="AB239" s="6">
        <f t="shared" si="14"/>
        <v>455199.09749999997</v>
      </c>
      <c r="AC239" s="6">
        <f t="shared" si="15"/>
        <v>0</v>
      </c>
      <c r="AD239" s="6">
        <f t="shared" ca="1" si="16"/>
        <v>455929.45302626182</v>
      </c>
      <c r="AE239" s="6">
        <f t="shared" ca="1" si="17"/>
        <v>0</v>
      </c>
      <c r="AF239" s="4" t="s">
        <v>997</v>
      </c>
    </row>
    <row r="240" spans="1:32" ht="11.25" customHeight="1" x14ac:dyDescent="0.25">
      <c r="A240" s="4" t="s">
        <v>21</v>
      </c>
      <c r="B240" s="4" t="s">
        <v>41</v>
      </c>
      <c r="C240" s="4" t="s">
        <v>40</v>
      </c>
      <c r="D240" s="4" t="s">
        <v>38</v>
      </c>
      <c r="E240" s="4" t="s">
        <v>25</v>
      </c>
      <c r="F240" s="4" t="s">
        <v>61</v>
      </c>
      <c r="G240" s="4" t="s">
        <v>25</v>
      </c>
      <c r="H240" s="4" t="s">
        <v>34</v>
      </c>
      <c r="I240" s="5">
        <v>44652</v>
      </c>
      <c r="J240" s="6">
        <v>17674</v>
      </c>
      <c r="K240" s="6">
        <v>9190.48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4" t="s">
        <v>58</v>
      </c>
      <c r="R240" s="4">
        <v>0</v>
      </c>
      <c r="S240" s="4">
        <v>18</v>
      </c>
      <c r="T240" s="4">
        <v>0</v>
      </c>
      <c r="U240" s="4">
        <v>0</v>
      </c>
      <c r="V240" s="6">
        <f>IF(ISERROR(VLOOKUP($S$240,'TAR FIN'!$A$1:$O$104,15,0)),0,VLOOKUP($S$240,'TAR FIN'!$A$1:$O$104,15,0))</f>
        <v>52.15</v>
      </c>
      <c r="W240" s="6">
        <f>IF(ISERROR(VLOOKUP($T$240,'TAR FIN'!$A$1:$O$104,15,0)),0,VLOOKUP($T$240,'TAR FIN'!$A$1:$O$104,15,0))</f>
        <v>0</v>
      </c>
      <c r="X240" s="6">
        <f>IF(ISERROR(VLOOKUP($U$240,'TAR FIN'!$A$1:$O$104,15,0)),0,VLOOKUP($U$240,'TAR FIN'!$A$1:$O$104,15,0))</f>
        <v>0</v>
      </c>
      <c r="Y240" s="6">
        <f ca="1">('TUSD BE'!$AM$13+'TUSD BF'!$AM$13+'TUSD CVA'!$AM$13)*1</f>
        <v>52.233673366014429</v>
      </c>
      <c r="Z240" s="6">
        <f ca="1">('TUSD BE'!$AM$15+'TUSD BF'!$AM$15+'TUSD CVA'!$AM$15)*1</f>
        <v>77.876201961015255</v>
      </c>
      <c r="AA240" s="6"/>
      <c r="AB240" s="6">
        <f t="shared" si="14"/>
        <v>442415.56800000003</v>
      </c>
      <c r="AC240" s="6">
        <f t="shared" si="15"/>
        <v>0</v>
      </c>
      <c r="AD240" s="6">
        <f t="shared" ca="1" si="16"/>
        <v>443125.41267405078</v>
      </c>
      <c r="AE240" s="6">
        <f t="shared" ca="1" si="17"/>
        <v>0</v>
      </c>
      <c r="AF240" s="4" t="s">
        <v>997</v>
      </c>
    </row>
    <row r="241" spans="1:32" ht="11.25" customHeight="1" x14ac:dyDescent="0.25">
      <c r="A241" s="4" t="s">
        <v>27</v>
      </c>
      <c r="B241" s="4" t="s">
        <v>41</v>
      </c>
      <c r="C241" s="4" t="s">
        <v>40</v>
      </c>
      <c r="D241" s="4" t="s">
        <v>38</v>
      </c>
      <c r="E241" s="4" t="s">
        <v>25</v>
      </c>
      <c r="F241" s="4" t="s">
        <v>61</v>
      </c>
      <c r="G241" s="4" t="s">
        <v>25</v>
      </c>
      <c r="H241" s="4" t="s">
        <v>34</v>
      </c>
      <c r="I241" s="5">
        <v>44652</v>
      </c>
      <c r="J241" s="6">
        <v>1218</v>
      </c>
      <c r="K241" s="6">
        <v>1218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4" t="s">
        <v>58</v>
      </c>
      <c r="R241" s="4">
        <v>0</v>
      </c>
      <c r="S241" s="4">
        <v>18</v>
      </c>
      <c r="T241" s="4">
        <v>0</v>
      </c>
      <c r="U241" s="4">
        <v>0</v>
      </c>
      <c r="V241" s="6">
        <f>IF(ISERROR(VLOOKUP($S$241,'TAR FIN'!$A$1:$O$104,15,0)),0,VLOOKUP($S$241,'TAR FIN'!$A$1:$O$104,15,0))</f>
        <v>52.15</v>
      </c>
      <c r="W241" s="6">
        <f>IF(ISERROR(VLOOKUP($T$241,'TAR FIN'!$A$1:$O$104,15,0)),0,VLOOKUP($T$241,'TAR FIN'!$A$1:$O$104,15,0))</f>
        <v>0</v>
      </c>
      <c r="X241" s="6">
        <f>IF(ISERROR(VLOOKUP($U$241,'TAR FIN'!$A$1:$O$104,15,0)),0,VLOOKUP($U$241,'TAR FIN'!$A$1:$O$104,15,0))</f>
        <v>0</v>
      </c>
      <c r="Y241" s="6">
        <f ca="1">('TUSD BE'!$AM$13+'TUSD BF'!$AM$13+'TUSD CVA'!$AM$13)*1</f>
        <v>52.233673366014429</v>
      </c>
      <c r="Z241" s="6">
        <f ca="1">('TUSD BE'!$AM$15+'TUSD BF'!$AM$15+'TUSD CVA'!$AM$15)*1</f>
        <v>77.876201961015255</v>
      </c>
      <c r="AA241" s="6"/>
      <c r="AB241" s="6">
        <f t="shared" si="14"/>
        <v>0</v>
      </c>
      <c r="AC241" s="6">
        <f t="shared" si="15"/>
        <v>0</v>
      </c>
      <c r="AD241" s="6">
        <f t="shared" ca="1" si="16"/>
        <v>0</v>
      </c>
      <c r="AE241" s="6">
        <f t="shared" ca="1" si="17"/>
        <v>0</v>
      </c>
      <c r="AF241" s="4" t="s">
        <v>997</v>
      </c>
    </row>
    <row r="242" spans="1:32" ht="11.25" customHeight="1" x14ac:dyDescent="0.25">
      <c r="A242" s="4" t="s">
        <v>21</v>
      </c>
      <c r="B242" s="4" t="s">
        <v>41</v>
      </c>
      <c r="C242" s="4" t="s">
        <v>40</v>
      </c>
      <c r="D242" s="4" t="s">
        <v>38</v>
      </c>
      <c r="E242" s="4" t="s">
        <v>25</v>
      </c>
      <c r="F242" s="4" t="s">
        <v>61</v>
      </c>
      <c r="G242" s="4" t="s">
        <v>25</v>
      </c>
      <c r="H242" s="4" t="s">
        <v>34</v>
      </c>
      <c r="I242" s="5">
        <v>44682</v>
      </c>
      <c r="J242" s="6">
        <v>17739</v>
      </c>
      <c r="K242" s="6">
        <v>9224.2800000000007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4" t="s">
        <v>58</v>
      </c>
      <c r="R242" s="4">
        <v>0</v>
      </c>
      <c r="S242" s="4">
        <v>18</v>
      </c>
      <c r="T242" s="4">
        <v>0</v>
      </c>
      <c r="U242" s="4">
        <v>0</v>
      </c>
      <c r="V242" s="6">
        <f>IF(ISERROR(VLOOKUP($S$242,'TAR FIN'!$A$1:$O$104,15,0)),0,VLOOKUP($S$242,'TAR FIN'!$A$1:$O$104,15,0))</f>
        <v>52.15</v>
      </c>
      <c r="W242" s="6">
        <f>IF(ISERROR(VLOOKUP($T$242,'TAR FIN'!$A$1:$O$104,15,0)),0,VLOOKUP($T$242,'TAR FIN'!$A$1:$O$104,15,0))</f>
        <v>0</v>
      </c>
      <c r="X242" s="6">
        <f>IF(ISERROR(VLOOKUP($U$242,'TAR FIN'!$A$1:$O$104,15,0)),0,VLOOKUP($U$242,'TAR FIN'!$A$1:$O$104,15,0))</f>
        <v>0</v>
      </c>
      <c r="Y242" s="6">
        <f ca="1">('TUSD BE'!$AM$13+'TUSD BF'!$AM$13+'TUSD CVA'!$AM$13)*1</f>
        <v>52.233673366014429</v>
      </c>
      <c r="Z242" s="6">
        <f ca="1">('TUSD BE'!$AM$15+'TUSD BF'!$AM$15+'TUSD CVA'!$AM$15)*1</f>
        <v>77.876201961015255</v>
      </c>
      <c r="AA242" s="6"/>
      <c r="AB242" s="6">
        <f t="shared" si="14"/>
        <v>444042.64799999993</v>
      </c>
      <c r="AC242" s="6">
        <f t="shared" si="15"/>
        <v>0</v>
      </c>
      <c r="AD242" s="6">
        <f t="shared" ca="1" si="16"/>
        <v>444755.10328307032</v>
      </c>
      <c r="AE242" s="6">
        <f t="shared" ca="1" si="17"/>
        <v>0</v>
      </c>
      <c r="AF242" s="4" t="s">
        <v>997</v>
      </c>
    </row>
    <row r="243" spans="1:32" ht="11.25" customHeight="1" x14ac:dyDescent="0.25">
      <c r="A243" s="4" t="s">
        <v>21</v>
      </c>
      <c r="B243" s="4" t="s">
        <v>41</v>
      </c>
      <c r="C243" s="4" t="s">
        <v>40</v>
      </c>
      <c r="D243" s="4" t="s">
        <v>38</v>
      </c>
      <c r="E243" s="4" t="s">
        <v>25</v>
      </c>
      <c r="F243" s="4" t="s">
        <v>61</v>
      </c>
      <c r="G243" s="4" t="s">
        <v>25</v>
      </c>
      <c r="H243" s="4" t="s">
        <v>34</v>
      </c>
      <c r="I243" s="5">
        <v>44713</v>
      </c>
      <c r="J243" s="6">
        <v>18007</v>
      </c>
      <c r="K243" s="6">
        <v>9363.64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4" t="s">
        <v>58</v>
      </c>
      <c r="R243" s="4">
        <v>0</v>
      </c>
      <c r="S243" s="4">
        <v>18</v>
      </c>
      <c r="T243" s="4">
        <v>0</v>
      </c>
      <c r="U243" s="4">
        <v>0</v>
      </c>
      <c r="V243" s="6">
        <f>IF(ISERROR(VLOOKUP($S$243,'TAR FIN'!$A$1:$O$104,15,0)),0,VLOOKUP($S$243,'TAR FIN'!$A$1:$O$104,15,0))</f>
        <v>52.15</v>
      </c>
      <c r="W243" s="6">
        <f>IF(ISERROR(VLOOKUP($T$243,'TAR FIN'!$A$1:$O$104,15,0)),0,VLOOKUP($T$243,'TAR FIN'!$A$1:$O$104,15,0))</f>
        <v>0</v>
      </c>
      <c r="X243" s="6">
        <f>IF(ISERROR(VLOOKUP($U$243,'TAR FIN'!$A$1:$O$104,15,0)),0,VLOOKUP($U$243,'TAR FIN'!$A$1:$O$104,15,0))</f>
        <v>0</v>
      </c>
      <c r="Y243" s="6">
        <f ca="1">('TUSD BE'!$AM$13+'TUSD BF'!$AM$13+'TUSD CVA'!$AM$13)*1</f>
        <v>52.233673366014429</v>
      </c>
      <c r="Z243" s="6">
        <f ca="1">('TUSD BE'!$AM$15+'TUSD BF'!$AM$15+'TUSD CVA'!$AM$15)*1</f>
        <v>77.876201961015255</v>
      </c>
      <c r="AA243" s="6"/>
      <c r="AB243" s="6">
        <f t="shared" si="14"/>
        <v>450751.22400000005</v>
      </c>
      <c r="AC243" s="6">
        <f t="shared" si="15"/>
        <v>0</v>
      </c>
      <c r="AD243" s="6">
        <f t="shared" ca="1" si="16"/>
        <v>451474.44302487449</v>
      </c>
      <c r="AE243" s="6">
        <f t="shared" ca="1" si="17"/>
        <v>0</v>
      </c>
      <c r="AF243" s="4" t="s">
        <v>997</v>
      </c>
    </row>
    <row r="244" spans="1:32" ht="11.25" customHeight="1" x14ac:dyDescent="0.25">
      <c r="A244" s="4" t="s">
        <v>57</v>
      </c>
      <c r="B244" s="4" t="s">
        <v>41</v>
      </c>
      <c r="C244" s="4" t="s">
        <v>40</v>
      </c>
      <c r="D244" s="4" t="s">
        <v>38</v>
      </c>
      <c r="E244" s="4" t="s">
        <v>25</v>
      </c>
      <c r="F244" s="4" t="s">
        <v>61</v>
      </c>
      <c r="G244" s="4" t="s">
        <v>25</v>
      </c>
      <c r="H244" s="4" t="s">
        <v>34</v>
      </c>
      <c r="I244" s="5">
        <v>44743</v>
      </c>
      <c r="J244" s="6">
        <v>18007</v>
      </c>
      <c r="K244" s="6">
        <v>9363.64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4" t="s">
        <v>58</v>
      </c>
      <c r="R244" s="4">
        <v>0</v>
      </c>
      <c r="S244" s="4">
        <v>18</v>
      </c>
      <c r="T244" s="4">
        <v>0</v>
      </c>
      <c r="U244" s="4">
        <v>0</v>
      </c>
      <c r="V244" s="6">
        <f>IF(ISERROR(VLOOKUP($S$244,'TAR FIN'!$A$1:$O$104,15,0)),0,VLOOKUP($S$244,'TAR FIN'!$A$1:$O$104,15,0))</f>
        <v>52.15</v>
      </c>
      <c r="W244" s="6">
        <f>IF(ISERROR(VLOOKUP($T$244,'TAR FIN'!$A$1:$O$104,15,0)),0,VLOOKUP($T$244,'TAR FIN'!$A$1:$O$104,15,0))</f>
        <v>0</v>
      </c>
      <c r="X244" s="6">
        <f>IF(ISERROR(VLOOKUP($U$244,'TAR FIN'!$A$1:$O$104,15,0)),0,VLOOKUP($U$244,'TAR FIN'!$A$1:$O$104,15,0))</f>
        <v>0</v>
      </c>
      <c r="Y244" s="6">
        <f ca="1">('TUSD BE'!$AM$13+'TUSD BF'!$AM$13+'TUSD CVA'!$AM$13)*1</f>
        <v>52.233673366014429</v>
      </c>
      <c r="Z244" s="6">
        <f ca="1">('TUSD BE'!$AM$15+'TUSD BF'!$AM$15+'TUSD CVA'!$AM$15)*1</f>
        <v>77.876201961015255</v>
      </c>
      <c r="AA244" s="6"/>
      <c r="AB244" s="6">
        <f t="shared" si="14"/>
        <v>450751.22400000005</v>
      </c>
      <c r="AC244" s="6">
        <f t="shared" si="15"/>
        <v>0</v>
      </c>
      <c r="AD244" s="6">
        <f t="shared" ca="1" si="16"/>
        <v>451474.44302487449</v>
      </c>
      <c r="AE244" s="6">
        <f t="shared" ca="1" si="17"/>
        <v>0</v>
      </c>
      <c r="AF244" s="4" t="s">
        <v>997</v>
      </c>
    </row>
    <row r="245" spans="1:32" ht="11.25" customHeight="1" x14ac:dyDescent="0.25">
      <c r="A245" s="4" t="s">
        <v>21</v>
      </c>
      <c r="B245" s="4" t="s">
        <v>41</v>
      </c>
      <c r="C245" s="4" t="s">
        <v>40</v>
      </c>
      <c r="D245" s="4" t="s">
        <v>50</v>
      </c>
      <c r="E245" s="4" t="s">
        <v>51</v>
      </c>
      <c r="F245" s="4" t="s">
        <v>25</v>
      </c>
      <c r="G245" s="4" t="s">
        <v>25</v>
      </c>
      <c r="H245" s="4" t="s">
        <v>35</v>
      </c>
      <c r="I245" s="5">
        <v>44409</v>
      </c>
      <c r="J245" s="6">
        <v>15834</v>
      </c>
      <c r="K245" s="61">
        <v>15834</v>
      </c>
      <c r="L245" s="6">
        <v>6737.0190000000002</v>
      </c>
      <c r="M245" s="60">
        <v>6737.0190000000002</v>
      </c>
      <c r="N245" s="6">
        <v>6737.0190000000002</v>
      </c>
      <c r="O245" s="60">
        <v>6737.0190000000002</v>
      </c>
      <c r="P245" s="6">
        <v>0</v>
      </c>
      <c r="Q245" s="4" t="s">
        <v>26</v>
      </c>
      <c r="R245" s="4">
        <v>0</v>
      </c>
      <c r="S245" s="4">
        <v>20</v>
      </c>
      <c r="T245" s="4">
        <v>22</v>
      </c>
      <c r="U245" s="4">
        <v>67</v>
      </c>
      <c r="V245" s="60">
        <f>IF(ISERROR(VLOOKUP($S$245,'TAR FIN'!$A$1:$O$104,15,0)),0,VLOOKUP($S$245,'TAR FIN'!$A$1:$O$104,15,0))*(1-0.06)</f>
        <v>24.646799999999999</v>
      </c>
      <c r="W245" s="60">
        <f>IF(ISERROR(VLOOKUP($T$245,'TAR FIN'!$A$1:$O$104,15,0)),0,VLOOKUP($T$245,'TAR FIN'!$A$1:$O$104,15,0))*(1-0.06)</f>
        <v>58.815799999999996</v>
      </c>
      <c r="X245" s="60">
        <f>IF(ISERROR(VLOOKUP($U$245,'TAR FIN'!$A$1:$O$104,15,0)),0,VLOOKUP($U$245,'TAR FIN'!$A$1:$O$104,15,0))*(1-0.06)</f>
        <v>228.25079999999997</v>
      </c>
      <c r="Y245" s="60">
        <f ca="1">('TUSD BE'!$AM$14+'TUSD BF'!$AM$14+'TUSD CVA'!$AM$14)*1*(1-0.03)</f>
        <v>25.49175935061109</v>
      </c>
      <c r="Z245" s="60">
        <f ca="1">('TUSD BE'!$AM$15+'TUSD BF'!$AM$15+'TUSD CVA'!$AM$15)*1*(1-0.03)</f>
        <v>75.539915902184802</v>
      </c>
      <c r="AA245" s="60">
        <f>('TE BE'!$AB$8+'TE BF'!$AB$8+'TE CVA'!$AB$8)*1*(1-0.03)</f>
        <v>224.80969662802207</v>
      </c>
      <c r="AB245" s="60">
        <f>(SUBSIDIO!$J$245*SUBSIDIO!$V$245)*(0.06)/(1-0.06)</f>
        <v>24910.0488</v>
      </c>
      <c r="AC245" s="60">
        <f>((SUBSIDIO!$L$245*SUBSIDIO!$W$245)+(SUBSIDIO!$N$245*SUBSIDIO!$X$245))*(0.06)/(1-0.06)</f>
        <v>123445.0939446</v>
      </c>
      <c r="AD245" s="60">
        <f ca="1">(SUBSIDIO!$J$245*SUBSIDIO!$Y$245)*(0.03)/(1-0.03)</f>
        <v>12483.603635801321</v>
      </c>
      <c r="AE245" s="60">
        <f ca="1">((SUBSIDIO!$L$245*SUBSIDIO!$Z$245)+(SUBSIDIO!$N$245*SUBSIDIO!$AA$245))*(0.03)/(1-0.03)</f>
        <v>62581.269471916748</v>
      </c>
      <c r="AF245" s="4" t="s">
        <v>999</v>
      </c>
    </row>
    <row r="246" spans="1:32" ht="11.25" customHeight="1" x14ac:dyDescent="0.25">
      <c r="A246" s="4" t="s">
        <v>21</v>
      </c>
      <c r="B246" s="4" t="s">
        <v>41</v>
      </c>
      <c r="C246" s="4" t="s">
        <v>40</v>
      </c>
      <c r="D246" s="4" t="s">
        <v>50</v>
      </c>
      <c r="E246" s="4" t="s">
        <v>51</v>
      </c>
      <c r="F246" s="4" t="s">
        <v>25</v>
      </c>
      <c r="G246" s="4" t="s">
        <v>25</v>
      </c>
      <c r="H246" s="4" t="s">
        <v>35</v>
      </c>
      <c r="I246" s="5">
        <v>44440</v>
      </c>
      <c r="J246" s="6">
        <v>16014</v>
      </c>
      <c r="K246" s="61">
        <v>16014</v>
      </c>
      <c r="L246" s="6">
        <v>6745.8490000000002</v>
      </c>
      <c r="M246" s="60">
        <v>6745.8490000000002</v>
      </c>
      <c r="N246" s="6">
        <v>6745.8490000000002</v>
      </c>
      <c r="O246" s="60">
        <v>6745.8490000000002</v>
      </c>
      <c r="P246" s="6">
        <v>0</v>
      </c>
      <c r="Q246" s="4" t="s">
        <v>26</v>
      </c>
      <c r="R246" s="4">
        <v>0</v>
      </c>
      <c r="S246" s="4">
        <v>20</v>
      </c>
      <c r="T246" s="4">
        <v>22</v>
      </c>
      <c r="U246" s="4">
        <v>67</v>
      </c>
      <c r="V246" s="60">
        <f>IF(ISERROR(VLOOKUP($S$246,'TAR FIN'!$A$1:$O$104,15,0)),0,VLOOKUP($S$246,'TAR FIN'!$A$1:$O$104,15,0))*(1-0.06)</f>
        <v>24.646799999999999</v>
      </c>
      <c r="W246" s="60">
        <f>IF(ISERROR(VLOOKUP($T$246,'TAR FIN'!$A$1:$O$104,15,0)),0,VLOOKUP($T$246,'TAR FIN'!$A$1:$O$104,15,0))*(1-0.06)</f>
        <v>58.815799999999996</v>
      </c>
      <c r="X246" s="60">
        <f>IF(ISERROR(VLOOKUP($U$246,'TAR FIN'!$A$1:$O$104,15,0)),0,VLOOKUP($U$246,'TAR FIN'!$A$1:$O$104,15,0))*(1-0.06)</f>
        <v>228.25079999999997</v>
      </c>
      <c r="Y246" s="60">
        <f ca="1">('TUSD BE'!$AM$14+'TUSD BF'!$AM$14+'TUSD CVA'!$AM$14)*1*(1-0.03)</f>
        <v>25.49175935061109</v>
      </c>
      <c r="Z246" s="60">
        <f ca="1">('TUSD BE'!$AM$15+'TUSD BF'!$AM$15+'TUSD CVA'!$AM$15)*1*(1-0.03)</f>
        <v>75.539915902184802</v>
      </c>
      <c r="AA246" s="60">
        <f>('TE BE'!$AB$8+'TE BF'!$AB$8+'TE CVA'!$AB$8)*1*(1-0.03)</f>
        <v>224.80969662802207</v>
      </c>
      <c r="AB246" s="60">
        <f>(SUBSIDIO!$J$246*SUBSIDIO!$V$246)*(0.06)/(1-0.06)</f>
        <v>25193.2248</v>
      </c>
      <c r="AC246" s="60">
        <f>((SUBSIDIO!$L$246*SUBSIDIO!$W$246)+(SUBSIDIO!$N$246*SUBSIDIO!$X$246))*(0.06)/(1-0.06)</f>
        <v>123606.88956659999</v>
      </c>
      <c r="AD246" s="60">
        <f ca="1">(SUBSIDIO!$J$246*SUBSIDIO!$Y$246)*(0.03)/(1-0.03)</f>
        <v>12625.516522907816</v>
      </c>
      <c r="AE246" s="60">
        <f ca="1">((SUBSIDIO!$L$246*SUBSIDIO!$Z$246)+(SUBSIDIO!$N$246*SUBSIDIO!$AA$246))*(0.03)/(1-0.03)</f>
        <v>62663.292783627323</v>
      </c>
      <c r="AF246" s="4" t="s">
        <v>999</v>
      </c>
    </row>
    <row r="247" spans="1:32" ht="11.25" customHeight="1" x14ac:dyDescent="0.25">
      <c r="A247" s="4" t="s">
        <v>21</v>
      </c>
      <c r="B247" s="4" t="s">
        <v>41</v>
      </c>
      <c r="C247" s="4" t="s">
        <v>40</v>
      </c>
      <c r="D247" s="4" t="s">
        <v>50</v>
      </c>
      <c r="E247" s="4" t="s">
        <v>51</v>
      </c>
      <c r="F247" s="4" t="s">
        <v>25</v>
      </c>
      <c r="G247" s="4" t="s">
        <v>25</v>
      </c>
      <c r="H247" s="4" t="s">
        <v>35</v>
      </c>
      <c r="I247" s="5">
        <v>44470</v>
      </c>
      <c r="J247" s="6">
        <v>16098</v>
      </c>
      <c r="K247" s="61">
        <v>16098</v>
      </c>
      <c r="L247" s="6">
        <v>7260.2830000000004</v>
      </c>
      <c r="M247" s="60">
        <v>7260.2830000000004</v>
      </c>
      <c r="N247" s="6">
        <v>7260.2830000000004</v>
      </c>
      <c r="O247" s="60">
        <v>7260.2830000000004</v>
      </c>
      <c r="P247" s="6">
        <v>0</v>
      </c>
      <c r="Q247" s="4" t="s">
        <v>26</v>
      </c>
      <c r="R247" s="4">
        <v>0</v>
      </c>
      <c r="S247" s="4">
        <v>20</v>
      </c>
      <c r="T247" s="4">
        <v>22</v>
      </c>
      <c r="U247" s="4">
        <v>67</v>
      </c>
      <c r="V247" s="60">
        <f>IF(ISERROR(VLOOKUP($S$247,'TAR FIN'!$A$1:$O$104,15,0)),0,VLOOKUP($S$247,'TAR FIN'!$A$1:$O$104,15,0))*(1-0.06)</f>
        <v>24.646799999999999</v>
      </c>
      <c r="W247" s="60">
        <f>IF(ISERROR(VLOOKUP($T$247,'TAR FIN'!$A$1:$O$104,15,0)),0,VLOOKUP($T$247,'TAR FIN'!$A$1:$O$104,15,0))*(1-0.06)</f>
        <v>58.815799999999996</v>
      </c>
      <c r="X247" s="60">
        <f>IF(ISERROR(VLOOKUP($U$247,'TAR FIN'!$A$1:$O$104,15,0)),0,VLOOKUP($U$247,'TAR FIN'!$A$1:$O$104,15,0))*(1-0.06)</f>
        <v>228.25079999999997</v>
      </c>
      <c r="Y247" s="60">
        <f ca="1">('TUSD BE'!$AM$14+'TUSD BF'!$AM$14+'TUSD CVA'!$AM$14)*1*(1-0.03)</f>
        <v>25.49175935061109</v>
      </c>
      <c r="Z247" s="60">
        <f ca="1">('TUSD BE'!$AM$15+'TUSD BF'!$AM$15+'TUSD CVA'!$AM$15)*1*(1-0.03)</f>
        <v>75.539915902184802</v>
      </c>
      <c r="AA247" s="60">
        <f>('TE BE'!$AB$8+'TE BF'!$AB$8+'TE CVA'!$AB$8)*1*(1-0.03)</f>
        <v>224.80969662802207</v>
      </c>
      <c r="AB247" s="60">
        <f>(SUBSIDIO!$J$247*SUBSIDIO!$V$247)*(0.06)/(1-0.06)</f>
        <v>25325.373599999999</v>
      </c>
      <c r="AC247" s="60">
        <f>((SUBSIDIO!$L$247*SUBSIDIO!$W$247)+(SUBSIDIO!$N$247*SUBSIDIO!$X$247))*(0.06)/(1-0.06)</f>
        <v>133033.06952220001</v>
      </c>
      <c r="AD247" s="60">
        <f ca="1">(SUBSIDIO!$J$247*SUBSIDIO!$Y$247)*(0.03)/(1-0.03)</f>
        <v>12691.742536890844</v>
      </c>
      <c r="AE247" s="60">
        <f ca="1">((SUBSIDIO!$L$247*SUBSIDIO!$Z$247)+(SUBSIDIO!$N$247*SUBSIDIO!$AA$247))*(0.03)/(1-0.03)</f>
        <v>67441.954203391171</v>
      </c>
      <c r="AF247" s="4" t="s">
        <v>999</v>
      </c>
    </row>
    <row r="248" spans="1:32" ht="11.25" customHeight="1" x14ac:dyDescent="0.25">
      <c r="A248" s="4" t="s">
        <v>21</v>
      </c>
      <c r="B248" s="4" t="s">
        <v>41</v>
      </c>
      <c r="C248" s="4" t="s">
        <v>40</v>
      </c>
      <c r="D248" s="4" t="s">
        <v>50</v>
      </c>
      <c r="E248" s="4" t="s">
        <v>51</v>
      </c>
      <c r="F248" s="4" t="s">
        <v>25</v>
      </c>
      <c r="G248" s="4" t="s">
        <v>25</v>
      </c>
      <c r="H248" s="4" t="s">
        <v>35</v>
      </c>
      <c r="I248" s="5">
        <v>44501</v>
      </c>
      <c r="J248" s="6">
        <v>16078</v>
      </c>
      <c r="K248" s="61">
        <v>16078</v>
      </c>
      <c r="L248" s="6">
        <v>7093.0640000000003</v>
      </c>
      <c r="M248" s="60">
        <v>7093.0640000000003</v>
      </c>
      <c r="N248" s="6">
        <v>7093.0640000000003</v>
      </c>
      <c r="O248" s="60">
        <v>7093.0640000000003</v>
      </c>
      <c r="P248" s="6">
        <v>0</v>
      </c>
      <c r="Q248" s="4" t="s">
        <v>26</v>
      </c>
      <c r="R248" s="4">
        <v>0</v>
      </c>
      <c r="S248" s="4">
        <v>20</v>
      </c>
      <c r="T248" s="4">
        <v>22</v>
      </c>
      <c r="U248" s="4">
        <v>67</v>
      </c>
      <c r="V248" s="60">
        <f>IF(ISERROR(VLOOKUP($S$248,'TAR FIN'!$A$1:$O$104,15,0)),0,VLOOKUP($S$248,'TAR FIN'!$A$1:$O$104,15,0))*(1-0.06)</f>
        <v>24.646799999999999</v>
      </c>
      <c r="W248" s="60">
        <f>IF(ISERROR(VLOOKUP($T$248,'TAR FIN'!$A$1:$O$104,15,0)),0,VLOOKUP($T$248,'TAR FIN'!$A$1:$O$104,15,0))*(1-0.06)</f>
        <v>58.815799999999996</v>
      </c>
      <c r="X248" s="60">
        <f>IF(ISERROR(VLOOKUP($U$248,'TAR FIN'!$A$1:$O$104,15,0)),0,VLOOKUP($U$248,'TAR FIN'!$A$1:$O$104,15,0))*(1-0.06)</f>
        <v>228.25079999999997</v>
      </c>
      <c r="Y248" s="60">
        <f ca="1">('TUSD BE'!$AM$14+'TUSD BF'!$AM$14+'TUSD CVA'!$AM$14)*1*(1-0.03)</f>
        <v>25.49175935061109</v>
      </c>
      <c r="Z248" s="60">
        <f ca="1">('TUSD BE'!$AM$15+'TUSD BF'!$AM$15+'TUSD CVA'!$AM$15)*1*(1-0.03)</f>
        <v>75.539915902184802</v>
      </c>
      <c r="AA248" s="60">
        <f>('TE BE'!$AB$8+'TE BF'!$AB$8+'TE CVA'!$AB$8)*1*(1-0.03)</f>
        <v>224.80969662802207</v>
      </c>
      <c r="AB248" s="60">
        <f>(SUBSIDIO!$J$248*SUBSIDIO!$V$248)*(0.06)/(1-0.06)</f>
        <v>25293.909599999995</v>
      </c>
      <c r="AC248" s="60">
        <f>((SUBSIDIO!$L$248*SUBSIDIO!$W$248)+(SUBSIDIO!$N$248*SUBSIDIO!$X$248))*(0.06)/(1-0.06)</f>
        <v>129969.04889759999</v>
      </c>
      <c r="AD248" s="60">
        <f ca="1">(SUBSIDIO!$J$248*SUBSIDIO!$Y$248)*(0.03)/(1-0.03)</f>
        <v>12675.974438323457</v>
      </c>
      <c r="AE248" s="60">
        <f ca="1">((SUBSIDIO!$L$248*SUBSIDIO!$Z$248)+(SUBSIDIO!$N$248*SUBSIDIO!$AA$248))*(0.03)/(1-0.03)</f>
        <v>65888.629609854397</v>
      </c>
      <c r="AF248" s="4" t="s">
        <v>999</v>
      </c>
    </row>
    <row r="249" spans="1:32" ht="11.25" customHeight="1" x14ac:dyDescent="0.25">
      <c r="A249" s="4" t="s">
        <v>21</v>
      </c>
      <c r="B249" s="4" t="s">
        <v>41</v>
      </c>
      <c r="C249" s="4" t="s">
        <v>40</v>
      </c>
      <c r="D249" s="4" t="s">
        <v>50</v>
      </c>
      <c r="E249" s="4" t="s">
        <v>51</v>
      </c>
      <c r="F249" s="4" t="s">
        <v>25</v>
      </c>
      <c r="G249" s="4" t="s">
        <v>25</v>
      </c>
      <c r="H249" s="4" t="s">
        <v>35</v>
      </c>
      <c r="I249" s="5">
        <v>44531</v>
      </c>
      <c r="J249" s="6">
        <v>16132</v>
      </c>
      <c r="K249" s="61">
        <v>16132</v>
      </c>
      <c r="L249" s="6">
        <v>7178.634</v>
      </c>
      <c r="M249" s="60">
        <v>7178.634</v>
      </c>
      <c r="N249" s="6">
        <v>7178.634</v>
      </c>
      <c r="O249" s="60">
        <v>7178.634</v>
      </c>
      <c r="P249" s="6">
        <v>0</v>
      </c>
      <c r="Q249" s="4" t="s">
        <v>26</v>
      </c>
      <c r="R249" s="4">
        <v>0</v>
      </c>
      <c r="S249" s="4">
        <v>20</v>
      </c>
      <c r="T249" s="4">
        <v>22</v>
      </c>
      <c r="U249" s="4">
        <v>67</v>
      </c>
      <c r="V249" s="60">
        <f>IF(ISERROR(VLOOKUP($S$249,'TAR FIN'!$A$1:$O$104,15,0)),0,VLOOKUP($S$249,'TAR FIN'!$A$1:$O$104,15,0))*(1-0.06)</f>
        <v>24.646799999999999</v>
      </c>
      <c r="W249" s="60">
        <f>IF(ISERROR(VLOOKUP($T$249,'TAR FIN'!$A$1:$O$104,15,0)),0,VLOOKUP($T$249,'TAR FIN'!$A$1:$O$104,15,0))*(1-0.06)</f>
        <v>58.815799999999996</v>
      </c>
      <c r="X249" s="60">
        <f>IF(ISERROR(VLOOKUP($U$249,'TAR FIN'!$A$1:$O$104,15,0)),0,VLOOKUP($U$249,'TAR FIN'!$A$1:$O$104,15,0))*(1-0.06)</f>
        <v>228.25079999999997</v>
      </c>
      <c r="Y249" s="60">
        <f ca="1">('TUSD BE'!$AM$14+'TUSD BF'!$AM$14+'TUSD CVA'!$AM$14)*1*(1-0.03)</f>
        <v>25.49175935061109</v>
      </c>
      <c r="Z249" s="60">
        <f ca="1">('TUSD BE'!$AM$15+'TUSD BF'!$AM$15+'TUSD CVA'!$AM$15)*1*(1-0.03)</f>
        <v>75.539915902184802</v>
      </c>
      <c r="AA249" s="60">
        <f>('TE BE'!$AB$8+'TE BF'!$AB$8+'TE CVA'!$AB$8)*1*(1-0.03)</f>
        <v>224.80969662802207</v>
      </c>
      <c r="AB249" s="60">
        <f>(SUBSIDIO!$J$249*SUBSIDIO!$V$249)*(0.06)/(1-0.06)</f>
        <v>25378.862399999998</v>
      </c>
      <c r="AC249" s="60">
        <f>((SUBSIDIO!$L$249*SUBSIDIO!$W$249)+(SUBSIDIO!$N$249*SUBSIDIO!$X$249))*(0.06)/(1-0.06)</f>
        <v>131536.98223560001</v>
      </c>
      <c r="AD249" s="60">
        <f ca="1">(SUBSIDIO!$J$249*SUBSIDIO!$Y$249)*(0.03)/(1-0.03)</f>
        <v>12718.548304455406</v>
      </c>
      <c r="AE249" s="60">
        <f ca="1">((SUBSIDIO!$L$249*SUBSIDIO!$Z$249)+(SUBSIDIO!$N$249*SUBSIDIO!$AA$249))*(0.03)/(1-0.03)</f>
        <v>66683.503311221735</v>
      </c>
      <c r="AF249" s="4" t="s">
        <v>999</v>
      </c>
    </row>
    <row r="250" spans="1:32" ht="11.25" customHeight="1" x14ac:dyDescent="0.25">
      <c r="A250" s="4" t="s">
        <v>21</v>
      </c>
      <c r="B250" s="4" t="s">
        <v>41</v>
      </c>
      <c r="C250" s="4" t="s">
        <v>40</v>
      </c>
      <c r="D250" s="4" t="s">
        <v>50</v>
      </c>
      <c r="E250" s="4" t="s">
        <v>51</v>
      </c>
      <c r="F250" s="4" t="s">
        <v>25</v>
      </c>
      <c r="G250" s="4" t="s">
        <v>25</v>
      </c>
      <c r="H250" s="4" t="s">
        <v>35</v>
      </c>
      <c r="I250" s="5">
        <v>44562</v>
      </c>
      <c r="J250" s="6">
        <v>16093</v>
      </c>
      <c r="K250" s="61">
        <v>16093</v>
      </c>
      <c r="L250" s="6">
        <v>7217.5349999999999</v>
      </c>
      <c r="M250" s="60">
        <v>7217.5349999999999</v>
      </c>
      <c r="N250" s="6">
        <v>7217.5349999999999</v>
      </c>
      <c r="O250" s="60">
        <v>7217.5349999999999</v>
      </c>
      <c r="P250" s="6">
        <v>0</v>
      </c>
      <c r="Q250" s="4" t="s">
        <v>26</v>
      </c>
      <c r="R250" s="4">
        <v>0</v>
      </c>
      <c r="S250" s="4">
        <v>20</v>
      </c>
      <c r="T250" s="4">
        <v>22</v>
      </c>
      <c r="U250" s="4">
        <v>67</v>
      </c>
      <c r="V250" s="60">
        <f>IF(ISERROR(VLOOKUP($S$250,'TAR FIN'!$A$1:$O$104,15,0)),0,VLOOKUP($S$250,'TAR FIN'!$A$1:$O$104,15,0))*(1-0.06)</f>
        <v>24.646799999999999</v>
      </c>
      <c r="W250" s="60">
        <f>IF(ISERROR(VLOOKUP($T$250,'TAR FIN'!$A$1:$O$104,15,0)),0,VLOOKUP($T$250,'TAR FIN'!$A$1:$O$104,15,0))*(1-0.06)</f>
        <v>58.815799999999996</v>
      </c>
      <c r="X250" s="60">
        <f>IF(ISERROR(VLOOKUP($U$250,'TAR FIN'!$A$1:$O$104,15,0)),0,VLOOKUP($U$250,'TAR FIN'!$A$1:$O$104,15,0))*(1-0.06)</f>
        <v>228.25079999999997</v>
      </c>
      <c r="Y250" s="60">
        <f ca="1">('TUSD BE'!$AM$14+'TUSD BF'!$AM$14+'TUSD CVA'!$AM$14)*1*(1-0.03)</f>
        <v>25.49175935061109</v>
      </c>
      <c r="Z250" s="60">
        <f ca="1">('TUSD BE'!$AM$15+'TUSD BF'!$AM$15+'TUSD CVA'!$AM$15)*1*(1-0.03)</f>
        <v>75.539915902184802</v>
      </c>
      <c r="AA250" s="60">
        <f>('TE BE'!$AB$8+'TE BF'!$AB$8+'TE CVA'!$AB$8)*1*(1-0.03)</f>
        <v>224.80969662802207</v>
      </c>
      <c r="AB250" s="60">
        <f>(SUBSIDIO!$J$250*SUBSIDIO!$V$250)*(0.06)/(1-0.06)</f>
        <v>25317.507600000001</v>
      </c>
      <c r="AC250" s="60">
        <f>((SUBSIDIO!$L$250*SUBSIDIO!$W$250)+(SUBSIDIO!$N$250*SUBSIDIO!$X$250))*(0.06)/(1-0.06)</f>
        <v>132249.78081899998</v>
      </c>
      <c r="AD250" s="60">
        <f ca="1">(SUBSIDIO!$J$250*SUBSIDIO!$Y$250)*(0.03)/(1-0.03)</f>
        <v>12687.800512248998</v>
      </c>
      <c r="AE250" s="60">
        <f ca="1">((SUBSIDIO!$L$250*SUBSIDIO!$Z$250)+(SUBSIDIO!$N$250*SUBSIDIO!$AA$250))*(0.03)/(1-0.03)</f>
        <v>67044.861051748652</v>
      </c>
      <c r="AF250" s="4" t="s">
        <v>999</v>
      </c>
    </row>
    <row r="251" spans="1:32" ht="11.25" customHeight="1" x14ac:dyDescent="0.25">
      <c r="A251" s="4" t="s">
        <v>21</v>
      </c>
      <c r="B251" s="4" t="s">
        <v>41</v>
      </c>
      <c r="C251" s="4" t="s">
        <v>40</v>
      </c>
      <c r="D251" s="4" t="s">
        <v>50</v>
      </c>
      <c r="E251" s="4" t="s">
        <v>51</v>
      </c>
      <c r="F251" s="4" t="s">
        <v>25</v>
      </c>
      <c r="G251" s="4" t="s">
        <v>25</v>
      </c>
      <c r="H251" s="4" t="s">
        <v>35</v>
      </c>
      <c r="I251" s="5">
        <v>44593</v>
      </c>
      <c r="J251" s="6">
        <v>16070</v>
      </c>
      <c r="K251" s="61">
        <v>16070</v>
      </c>
      <c r="L251" s="6">
        <v>6627.8530000000001</v>
      </c>
      <c r="M251" s="60">
        <v>6627.8530000000001</v>
      </c>
      <c r="N251" s="6">
        <v>6627.8530000000001</v>
      </c>
      <c r="O251" s="60">
        <v>6627.8530000000001</v>
      </c>
      <c r="P251" s="6">
        <v>0</v>
      </c>
      <c r="Q251" s="4" t="s">
        <v>26</v>
      </c>
      <c r="R251" s="4">
        <v>0</v>
      </c>
      <c r="S251" s="4">
        <v>20</v>
      </c>
      <c r="T251" s="4">
        <v>22</v>
      </c>
      <c r="U251" s="4">
        <v>67</v>
      </c>
      <c r="V251" s="60">
        <f>IF(ISERROR(VLOOKUP($S$251,'TAR FIN'!$A$1:$O$104,15,0)),0,VLOOKUP($S$251,'TAR FIN'!$A$1:$O$104,15,0))*(1-0.06)</f>
        <v>24.646799999999999</v>
      </c>
      <c r="W251" s="60">
        <f>IF(ISERROR(VLOOKUP($T$251,'TAR FIN'!$A$1:$O$104,15,0)),0,VLOOKUP($T$251,'TAR FIN'!$A$1:$O$104,15,0))*(1-0.06)</f>
        <v>58.815799999999996</v>
      </c>
      <c r="X251" s="60">
        <f>IF(ISERROR(VLOOKUP($U$251,'TAR FIN'!$A$1:$O$104,15,0)),0,VLOOKUP($U$251,'TAR FIN'!$A$1:$O$104,15,0))*(1-0.06)</f>
        <v>228.25079999999997</v>
      </c>
      <c r="Y251" s="60">
        <f ca="1">('TUSD BE'!$AM$14+'TUSD BF'!$AM$14+'TUSD CVA'!$AM$14)*1*(1-0.03)</f>
        <v>25.49175935061109</v>
      </c>
      <c r="Z251" s="60">
        <f ca="1">('TUSD BE'!$AM$15+'TUSD BF'!$AM$15+'TUSD CVA'!$AM$15)*1*(1-0.03)</f>
        <v>75.539915902184802</v>
      </c>
      <c r="AA251" s="60">
        <f>('TE BE'!$AB$8+'TE BF'!$AB$8+'TE CVA'!$AB$8)*1*(1-0.03)</f>
        <v>224.80969662802207</v>
      </c>
      <c r="AB251" s="60">
        <f>(SUBSIDIO!$J$251*SUBSIDIO!$V$251)*(0.06)/(1-0.06)</f>
        <v>25281.324000000001</v>
      </c>
      <c r="AC251" s="60">
        <f>((SUBSIDIO!$L$251*SUBSIDIO!$W$251)+(SUBSIDIO!$N$251*SUBSIDIO!$X$251))*(0.06)/(1-0.06)</f>
        <v>121444.80166019997</v>
      </c>
      <c r="AD251" s="60">
        <f ca="1">(SUBSIDIO!$J$251*SUBSIDIO!$Y$251)*(0.03)/(1-0.03)</f>
        <v>12669.667198896501</v>
      </c>
      <c r="AE251" s="60">
        <f ca="1">((SUBSIDIO!$L$251*SUBSIDIO!$Z$251)+(SUBSIDIO!$N$251*SUBSIDIO!$AA$251))*(0.03)/(1-0.03)</f>
        <v>61567.20867393307</v>
      </c>
      <c r="AF251" s="4" t="s">
        <v>999</v>
      </c>
    </row>
    <row r="252" spans="1:32" ht="11.25" customHeight="1" x14ac:dyDescent="0.25">
      <c r="A252" s="4" t="s">
        <v>21</v>
      </c>
      <c r="B252" s="4" t="s">
        <v>41</v>
      </c>
      <c r="C252" s="4" t="s">
        <v>40</v>
      </c>
      <c r="D252" s="4" t="s">
        <v>50</v>
      </c>
      <c r="E252" s="4" t="s">
        <v>51</v>
      </c>
      <c r="F252" s="4" t="s">
        <v>25</v>
      </c>
      <c r="G252" s="4" t="s">
        <v>25</v>
      </c>
      <c r="H252" s="4" t="s">
        <v>35</v>
      </c>
      <c r="I252" s="5">
        <v>44621</v>
      </c>
      <c r="J252" s="6">
        <v>16184</v>
      </c>
      <c r="K252" s="61">
        <v>16184</v>
      </c>
      <c r="L252" s="6">
        <v>7175.6440000000002</v>
      </c>
      <c r="M252" s="60">
        <v>7175.6440000000002</v>
      </c>
      <c r="N252" s="6">
        <v>7175.6440000000002</v>
      </c>
      <c r="O252" s="60">
        <v>7175.6440000000002</v>
      </c>
      <c r="P252" s="6">
        <v>0</v>
      </c>
      <c r="Q252" s="4" t="s">
        <v>26</v>
      </c>
      <c r="R252" s="4">
        <v>0</v>
      </c>
      <c r="S252" s="4">
        <v>20</v>
      </c>
      <c r="T252" s="4">
        <v>22</v>
      </c>
      <c r="U252" s="4">
        <v>67</v>
      </c>
      <c r="V252" s="60">
        <f>IF(ISERROR(VLOOKUP($S$252,'TAR FIN'!$A$1:$O$104,15,0)),0,VLOOKUP($S$252,'TAR FIN'!$A$1:$O$104,15,0))*(1-0.06)</f>
        <v>24.646799999999999</v>
      </c>
      <c r="W252" s="60">
        <f>IF(ISERROR(VLOOKUP($T$252,'TAR FIN'!$A$1:$O$104,15,0)),0,VLOOKUP($T$252,'TAR FIN'!$A$1:$O$104,15,0))*(1-0.06)</f>
        <v>58.815799999999996</v>
      </c>
      <c r="X252" s="60">
        <f>IF(ISERROR(VLOOKUP($U$252,'TAR FIN'!$A$1:$O$104,15,0)),0,VLOOKUP($U$252,'TAR FIN'!$A$1:$O$104,15,0))*(1-0.06)</f>
        <v>228.25079999999997</v>
      </c>
      <c r="Y252" s="60">
        <f ca="1">('TUSD BE'!$AM$14+'TUSD BF'!$AM$14+'TUSD CVA'!$AM$14)*1*(1-0.03)</f>
        <v>25.49175935061109</v>
      </c>
      <c r="Z252" s="60">
        <f ca="1">('TUSD BE'!$AM$15+'TUSD BF'!$AM$15+'TUSD CVA'!$AM$15)*1*(1-0.03)</f>
        <v>75.539915902184802</v>
      </c>
      <c r="AA252" s="60">
        <f>('TE BE'!$AB$8+'TE BF'!$AB$8+'TE CVA'!$AB$8)*1*(1-0.03)</f>
        <v>224.80969662802207</v>
      </c>
      <c r="AB252" s="60">
        <f>(SUBSIDIO!$J$252*SUBSIDIO!$V$252)*(0.06)/(1-0.06)</f>
        <v>25460.668800000003</v>
      </c>
      <c r="AC252" s="60">
        <f>((SUBSIDIO!$L$252*SUBSIDIO!$W$252)+(SUBSIDIO!$N$252*SUBSIDIO!$X$252))*(0.06)/(1-0.06)</f>
        <v>131482.19526959999</v>
      </c>
      <c r="AD252" s="60">
        <f ca="1">(SUBSIDIO!$J$252*SUBSIDIO!$Y$252)*(0.03)/(1-0.03)</f>
        <v>12759.545360730617</v>
      </c>
      <c r="AE252" s="60">
        <f ca="1">((SUBSIDIO!$L$252*SUBSIDIO!$Z$252)+(SUBSIDIO!$N$252*SUBSIDIO!$AA$252))*(0.03)/(1-0.03)</f>
        <v>66655.728713032076</v>
      </c>
      <c r="AF252" s="4" t="s">
        <v>999</v>
      </c>
    </row>
    <row r="253" spans="1:32" ht="11.25" customHeight="1" x14ac:dyDescent="0.25">
      <c r="A253" s="4" t="s">
        <v>21</v>
      </c>
      <c r="B253" s="4" t="s">
        <v>41</v>
      </c>
      <c r="C253" s="4" t="s">
        <v>40</v>
      </c>
      <c r="D253" s="4" t="s">
        <v>50</v>
      </c>
      <c r="E253" s="4" t="s">
        <v>51</v>
      </c>
      <c r="F253" s="4" t="s">
        <v>25</v>
      </c>
      <c r="G253" s="4" t="s">
        <v>25</v>
      </c>
      <c r="H253" s="4" t="s">
        <v>35</v>
      </c>
      <c r="I253" s="5">
        <v>44652</v>
      </c>
      <c r="J253" s="6">
        <v>16101</v>
      </c>
      <c r="K253" s="61">
        <v>16101</v>
      </c>
      <c r="L253" s="6">
        <v>6956.0370000000003</v>
      </c>
      <c r="M253" s="60">
        <v>6956.0370000000003</v>
      </c>
      <c r="N253" s="6">
        <v>6956.0370000000003</v>
      </c>
      <c r="O253" s="60">
        <v>6956.0370000000003</v>
      </c>
      <c r="P253" s="6">
        <v>0</v>
      </c>
      <c r="Q253" s="4" t="s">
        <v>26</v>
      </c>
      <c r="R253" s="4">
        <v>0</v>
      </c>
      <c r="S253" s="4">
        <v>20</v>
      </c>
      <c r="T253" s="4">
        <v>22</v>
      </c>
      <c r="U253" s="4">
        <v>67</v>
      </c>
      <c r="V253" s="60">
        <f>IF(ISERROR(VLOOKUP($S$253,'TAR FIN'!$A$1:$O$104,15,0)),0,VLOOKUP($S$253,'TAR FIN'!$A$1:$O$104,15,0))*(1-0.06)</f>
        <v>24.646799999999999</v>
      </c>
      <c r="W253" s="60">
        <f>IF(ISERROR(VLOOKUP($T$253,'TAR FIN'!$A$1:$O$104,15,0)),0,VLOOKUP($T$253,'TAR FIN'!$A$1:$O$104,15,0))*(1-0.06)</f>
        <v>58.815799999999996</v>
      </c>
      <c r="X253" s="60">
        <f>IF(ISERROR(VLOOKUP($U$253,'TAR FIN'!$A$1:$O$104,15,0)),0,VLOOKUP($U$253,'TAR FIN'!$A$1:$O$104,15,0))*(1-0.06)</f>
        <v>228.25079999999997</v>
      </c>
      <c r="Y253" s="60">
        <f ca="1">('TUSD BE'!$AM$14+'TUSD BF'!$AM$14+'TUSD CVA'!$AM$14)*1*(1-0.03)</f>
        <v>25.49175935061109</v>
      </c>
      <c r="Z253" s="60">
        <f ca="1">('TUSD BE'!$AM$15+'TUSD BF'!$AM$15+'TUSD CVA'!$AM$15)*1*(1-0.03)</f>
        <v>75.539915902184802</v>
      </c>
      <c r="AA253" s="60">
        <f>('TE BE'!$AB$8+'TE BF'!$AB$8+'TE CVA'!$AB$8)*1*(1-0.03)</f>
        <v>224.80969662802207</v>
      </c>
      <c r="AB253" s="60">
        <f>(SUBSIDIO!$J$253*SUBSIDIO!$V$253)*(0.06)/(1-0.06)</f>
        <v>25330.093199999999</v>
      </c>
      <c r="AC253" s="60">
        <f>((SUBSIDIO!$L$253*SUBSIDIO!$W$253)+(SUBSIDIO!$N$253*SUBSIDIO!$X$253))*(0.06)/(1-0.06)</f>
        <v>127458.2483658</v>
      </c>
      <c r="AD253" s="60">
        <f ca="1">(SUBSIDIO!$J$253*SUBSIDIO!$Y$253)*(0.03)/(1-0.03)</f>
        <v>12694.107751675954</v>
      </c>
      <c r="AE253" s="60">
        <f ca="1">((SUBSIDIO!$L$253*SUBSIDIO!$Z$253)+(SUBSIDIO!$N$253*SUBSIDIO!$AA$253))*(0.03)/(1-0.03)</f>
        <v>64615.763433890184</v>
      </c>
      <c r="AF253" s="4" t="s">
        <v>999</v>
      </c>
    </row>
    <row r="254" spans="1:32" ht="11.25" customHeight="1" x14ac:dyDescent="0.25">
      <c r="A254" s="4" t="s">
        <v>21</v>
      </c>
      <c r="B254" s="4" t="s">
        <v>41</v>
      </c>
      <c r="C254" s="4" t="s">
        <v>40</v>
      </c>
      <c r="D254" s="4" t="s">
        <v>50</v>
      </c>
      <c r="E254" s="4" t="s">
        <v>51</v>
      </c>
      <c r="F254" s="4" t="s">
        <v>25</v>
      </c>
      <c r="G254" s="4" t="s">
        <v>25</v>
      </c>
      <c r="H254" s="4" t="s">
        <v>35</v>
      </c>
      <c r="I254" s="5">
        <v>44682</v>
      </c>
      <c r="J254" s="6">
        <v>16125</v>
      </c>
      <c r="K254" s="61">
        <v>16125</v>
      </c>
      <c r="L254" s="6">
        <v>6974.0360000000001</v>
      </c>
      <c r="M254" s="60">
        <v>6974.0360000000001</v>
      </c>
      <c r="N254" s="6">
        <v>6974.0360000000001</v>
      </c>
      <c r="O254" s="60">
        <v>6974.0360000000001</v>
      </c>
      <c r="P254" s="6">
        <v>0</v>
      </c>
      <c r="Q254" s="4" t="s">
        <v>26</v>
      </c>
      <c r="R254" s="4">
        <v>0</v>
      </c>
      <c r="S254" s="4">
        <v>20</v>
      </c>
      <c r="T254" s="4">
        <v>22</v>
      </c>
      <c r="U254" s="4">
        <v>67</v>
      </c>
      <c r="V254" s="60">
        <f>IF(ISERROR(VLOOKUP($S$254,'TAR FIN'!$A$1:$O$104,15,0)),0,VLOOKUP($S$254,'TAR FIN'!$A$1:$O$104,15,0))*(1-0.06)</f>
        <v>24.646799999999999</v>
      </c>
      <c r="W254" s="60">
        <f>IF(ISERROR(VLOOKUP($T$254,'TAR FIN'!$A$1:$O$104,15,0)),0,VLOOKUP($T$254,'TAR FIN'!$A$1:$O$104,15,0))*(1-0.06)</f>
        <v>58.815799999999996</v>
      </c>
      <c r="X254" s="60">
        <f>IF(ISERROR(VLOOKUP($U$254,'TAR FIN'!$A$1:$O$104,15,0)),0,VLOOKUP($U$254,'TAR FIN'!$A$1:$O$104,15,0))*(1-0.06)</f>
        <v>228.25079999999997</v>
      </c>
      <c r="Y254" s="60">
        <f ca="1">('TUSD BE'!$AM$14+'TUSD BF'!$AM$14+'TUSD CVA'!$AM$14)*1*(1-0.03)</f>
        <v>25.49175935061109</v>
      </c>
      <c r="Z254" s="60">
        <f ca="1">('TUSD BE'!$AM$15+'TUSD BF'!$AM$15+'TUSD CVA'!$AM$15)*1*(1-0.03)</f>
        <v>75.539915902184802</v>
      </c>
      <c r="AA254" s="60">
        <f>('TE BE'!$AB$8+'TE BF'!$AB$8+'TE CVA'!$AB$8)*1*(1-0.03)</f>
        <v>224.80969662802207</v>
      </c>
      <c r="AB254" s="60">
        <f>(SUBSIDIO!$J$254*SUBSIDIO!$V$254)*(0.06)/(1-0.06)</f>
        <v>25367.85</v>
      </c>
      <c r="AC254" s="60">
        <f>((SUBSIDIO!$L$254*SUBSIDIO!$W$254)+(SUBSIDIO!$N$254*SUBSIDIO!$X$254))*(0.06)/(1-0.06)</f>
        <v>127788.05124239998</v>
      </c>
      <c r="AD254" s="60">
        <f ca="1">(SUBSIDIO!$J$254*SUBSIDIO!$Y$254)*(0.03)/(1-0.03)</f>
        <v>12713.02946995682</v>
      </c>
      <c r="AE254" s="60">
        <f ca="1">((SUBSIDIO!$L$254*SUBSIDIO!$Z$254)+(SUBSIDIO!$N$254*SUBSIDIO!$AA$254))*(0.03)/(1-0.03)</f>
        <v>64782.959083661255</v>
      </c>
      <c r="AF254" s="4" t="s">
        <v>999</v>
      </c>
    </row>
    <row r="255" spans="1:32" ht="11.25" customHeight="1" x14ac:dyDescent="0.25">
      <c r="A255" s="4" t="s">
        <v>21</v>
      </c>
      <c r="B255" s="4" t="s">
        <v>41</v>
      </c>
      <c r="C255" s="4" t="s">
        <v>40</v>
      </c>
      <c r="D255" s="4" t="s">
        <v>50</v>
      </c>
      <c r="E255" s="4" t="s">
        <v>51</v>
      </c>
      <c r="F255" s="4" t="s">
        <v>25</v>
      </c>
      <c r="G255" s="4" t="s">
        <v>25</v>
      </c>
      <c r="H255" s="4" t="s">
        <v>35</v>
      </c>
      <c r="I255" s="5">
        <v>44713</v>
      </c>
      <c r="J255" s="6">
        <v>16086</v>
      </c>
      <c r="K255" s="61">
        <v>16086</v>
      </c>
      <c r="L255" s="6">
        <v>6602.4160000000002</v>
      </c>
      <c r="M255" s="60">
        <v>6602.4160000000002</v>
      </c>
      <c r="N255" s="6">
        <v>6602.4160000000002</v>
      </c>
      <c r="O255" s="60">
        <v>6602.4160000000002</v>
      </c>
      <c r="P255" s="6">
        <v>0</v>
      </c>
      <c r="Q255" s="4" t="s">
        <v>26</v>
      </c>
      <c r="R255" s="4">
        <v>0</v>
      </c>
      <c r="S255" s="4">
        <v>20</v>
      </c>
      <c r="T255" s="4">
        <v>22</v>
      </c>
      <c r="U255" s="4">
        <v>67</v>
      </c>
      <c r="V255" s="60">
        <f>IF(ISERROR(VLOOKUP($S$255,'TAR FIN'!$A$1:$O$104,15,0)),0,VLOOKUP($S$255,'TAR FIN'!$A$1:$O$104,15,0))*(1-0.06)</f>
        <v>24.646799999999999</v>
      </c>
      <c r="W255" s="60">
        <f>IF(ISERROR(VLOOKUP($T$255,'TAR FIN'!$A$1:$O$104,15,0)),0,VLOOKUP($T$255,'TAR FIN'!$A$1:$O$104,15,0))*(1-0.06)</f>
        <v>58.815799999999996</v>
      </c>
      <c r="X255" s="60">
        <f>IF(ISERROR(VLOOKUP($U$255,'TAR FIN'!$A$1:$O$104,15,0)),0,VLOOKUP($U$255,'TAR FIN'!$A$1:$O$104,15,0))*(1-0.06)</f>
        <v>228.25079999999997</v>
      </c>
      <c r="Y255" s="60">
        <f ca="1">('TUSD BE'!$AM$14+'TUSD BF'!$AM$14+'TUSD CVA'!$AM$14)*1*(1-0.03)</f>
        <v>25.49175935061109</v>
      </c>
      <c r="Z255" s="60">
        <f ca="1">('TUSD BE'!$AM$15+'TUSD BF'!$AM$15+'TUSD CVA'!$AM$15)*1*(1-0.03)</f>
        <v>75.539915902184802</v>
      </c>
      <c r="AA255" s="60">
        <f>('TE BE'!$AB$8+'TE BF'!$AB$8+'TE CVA'!$AB$8)*1*(1-0.03)</f>
        <v>224.80969662802207</v>
      </c>
      <c r="AB255" s="60">
        <f>(SUBSIDIO!$J$255*SUBSIDIO!$V$255)*(0.06)/(1-0.06)</f>
        <v>25306.495199999998</v>
      </c>
      <c r="AC255" s="60">
        <f>((SUBSIDIO!$L$255*SUBSIDIO!$W$255)+(SUBSIDIO!$N$255*SUBSIDIO!$X$255))*(0.06)/(1-0.06)</f>
        <v>120978.7093344</v>
      </c>
      <c r="AD255" s="60">
        <f ca="1">(SUBSIDIO!$J$255*SUBSIDIO!$Y$255)*(0.03)/(1-0.03)</f>
        <v>12682.281677750414</v>
      </c>
      <c r="AE255" s="60">
        <f ca="1">((SUBSIDIO!$L$255*SUBSIDIO!$Z$255)+(SUBSIDIO!$N$255*SUBSIDIO!$AA$255))*(0.03)/(1-0.03)</f>
        <v>61330.920227729017</v>
      </c>
      <c r="AF255" s="4" t="s">
        <v>999</v>
      </c>
    </row>
    <row r="256" spans="1:32" ht="11.25" customHeight="1" x14ac:dyDescent="0.25">
      <c r="A256" s="4" t="s">
        <v>57</v>
      </c>
      <c r="B256" s="4" t="s">
        <v>41</v>
      </c>
      <c r="C256" s="4" t="s">
        <v>40</v>
      </c>
      <c r="D256" s="4" t="s">
        <v>50</v>
      </c>
      <c r="E256" s="4" t="s">
        <v>51</v>
      </c>
      <c r="F256" s="4" t="s">
        <v>25</v>
      </c>
      <c r="G256" s="4" t="s">
        <v>25</v>
      </c>
      <c r="H256" s="4" t="s">
        <v>35</v>
      </c>
      <c r="I256" s="5">
        <v>44743</v>
      </c>
      <c r="J256" s="6">
        <v>16086</v>
      </c>
      <c r="K256" s="61">
        <v>16086</v>
      </c>
      <c r="L256" s="6">
        <v>6602.4160000000002</v>
      </c>
      <c r="M256" s="60">
        <v>6602.4160000000002</v>
      </c>
      <c r="N256" s="6">
        <v>6602.4160000000002</v>
      </c>
      <c r="O256" s="60">
        <v>6602.4160000000002</v>
      </c>
      <c r="P256" s="6">
        <v>0</v>
      </c>
      <c r="Q256" s="4" t="s">
        <v>26</v>
      </c>
      <c r="R256" s="4">
        <v>0</v>
      </c>
      <c r="S256" s="4">
        <v>20</v>
      </c>
      <c r="T256" s="4">
        <v>22</v>
      </c>
      <c r="U256" s="4">
        <v>67</v>
      </c>
      <c r="V256" s="60">
        <f>IF(ISERROR(VLOOKUP($S$256,'TAR FIN'!$A$1:$O$104,15,0)),0,VLOOKUP($S$256,'TAR FIN'!$A$1:$O$104,15,0))*(1-0.06)</f>
        <v>24.646799999999999</v>
      </c>
      <c r="W256" s="60">
        <f>IF(ISERROR(VLOOKUP($T$256,'TAR FIN'!$A$1:$O$104,15,0)),0,VLOOKUP($T$256,'TAR FIN'!$A$1:$O$104,15,0))*(1-0.06)</f>
        <v>58.815799999999996</v>
      </c>
      <c r="X256" s="60">
        <f>IF(ISERROR(VLOOKUP($U$256,'TAR FIN'!$A$1:$O$104,15,0)),0,VLOOKUP($U$256,'TAR FIN'!$A$1:$O$104,15,0))*(1-0.06)</f>
        <v>228.25079999999997</v>
      </c>
      <c r="Y256" s="60">
        <f ca="1">('TUSD BE'!$AM$14+'TUSD BF'!$AM$14+'TUSD CVA'!$AM$14)*1*(1-0.03)</f>
        <v>25.49175935061109</v>
      </c>
      <c r="Z256" s="60">
        <f ca="1">('TUSD BE'!$AM$15+'TUSD BF'!$AM$15+'TUSD CVA'!$AM$15)*1*(1-0.03)</f>
        <v>75.539915902184802</v>
      </c>
      <c r="AA256" s="60">
        <f>('TE BE'!$AB$8+'TE BF'!$AB$8+'TE CVA'!$AB$8)*1*(1-0.03)</f>
        <v>224.80969662802207</v>
      </c>
      <c r="AB256" s="60">
        <f>(SUBSIDIO!$J$256*SUBSIDIO!$V$256)*(0.06)/(1-0.06)</f>
        <v>25306.495199999998</v>
      </c>
      <c r="AC256" s="60">
        <f>((SUBSIDIO!$L$256*SUBSIDIO!$W$256)+(SUBSIDIO!$N$256*SUBSIDIO!$X$256))*(0.06)/(1-0.06)</f>
        <v>120978.7093344</v>
      </c>
      <c r="AD256" s="60">
        <f ca="1">(SUBSIDIO!$J$256*SUBSIDIO!$Y$256)*(0.03)/(1-0.03)</f>
        <v>12682.281677750414</v>
      </c>
      <c r="AE256" s="60">
        <f ca="1">((SUBSIDIO!$L$256*SUBSIDIO!$Z$256)+(SUBSIDIO!$N$256*SUBSIDIO!$AA$256))*(0.03)/(1-0.03)</f>
        <v>61330.920227729017</v>
      </c>
      <c r="AF256" s="4" t="s">
        <v>999</v>
      </c>
    </row>
    <row r="257" spans="1:32" ht="11.25" customHeight="1" x14ac:dyDescent="0.25">
      <c r="A257" s="4" t="s">
        <v>21</v>
      </c>
      <c r="B257" s="4" t="s">
        <v>41</v>
      </c>
      <c r="C257" s="4" t="s">
        <v>40</v>
      </c>
      <c r="D257" s="4" t="s">
        <v>50</v>
      </c>
      <c r="E257" s="4" t="s">
        <v>51</v>
      </c>
      <c r="F257" s="4" t="s">
        <v>25</v>
      </c>
      <c r="G257" s="4" t="s">
        <v>25</v>
      </c>
      <c r="H257" s="4" t="s">
        <v>34</v>
      </c>
      <c r="I257" s="5">
        <v>44409</v>
      </c>
      <c r="J257" s="6">
        <v>15523</v>
      </c>
      <c r="K257" s="61">
        <v>15523</v>
      </c>
      <c r="L257" s="6">
        <v>691.70100000000002</v>
      </c>
      <c r="M257" s="60">
        <v>691.70100000000002</v>
      </c>
      <c r="N257" s="6">
        <v>691.70100000000002</v>
      </c>
      <c r="O257" s="60">
        <v>691.70100000000002</v>
      </c>
      <c r="P257" s="6">
        <v>0</v>
      </c>
      <c r="Q257" s="4" t="s">
        <v>26</v>
      </c>
      <c r="R257" s="4">
        <v>0</v>
      </c>
      <c r="S257" s="4">
        <v>18</v>
      </c>
      <c r="T257" s="4">
        <v>22</v>
      </c>
      <c r="U257" s="4">
        <v>66</v>
      </c>
      <c r="V257" s="60">
        <f>IF(ISERROR(VLOOKUP($S$257,'TAR FIN'!$A$1:$O$104,15,0)),0,VLOOKUP($S$257,'TAR FIN'!$A$1:$O$104,15,0))*(1-0.06)</f>
        <v>49.020999999999994</v>
      </c>
      <c r="W257" s="60">
        <f>IF(ISERROR(VLOOKUP($T$257,'TAR FIN'!$A$1:$O$104,15,0)),0,VLOOKUP($T$257,'TAR FIN'!$A$1:$O$104,15,0))*(1-0.06)</f>
        <v>58.815799999999996</v>
      </c>
      <c r="X257" s="60">
        <f>IF(ISERROR(VLOOKUP($U$257,'TAR FIN'!$A$1:$O$104,15,0)),0,VLOOKUP($U$257,'TAR FIN'!$A$1:$O$104,15,0))*(1-0.06)</f>
        <v>373.76279999999997</v>
      </c>
      <c r="Y257" s="60">
        <f ca="1">('TUSD BE'!$AM$13+'TUSD BF'!$AM$13+'TUSD CVA'!$AM$13)*1*(1-0.03)</f>
        <v>50.666663165033995</v>
      </c>
      <c r="Z257" s="60">
        <f ca="1">('TUSD BE'!$AM$15+'TUSD BF'!$AM$15+'TUSD CVA'!$AM$15)*1*(1-0.03)</f>
        <v>75.539915902184802</v>
      </c>
      <c r="AA257" s="60">
        <f>('TE BE'!$AB$7+'TE BF'!$AB$7+'TE CVA'!$AB$7)*1*(1-0.03)</f>
        <v>349.45248311940099</v>
      </c>
      <c r="AB257" s="60">
        <f>(SUBSIDIO!$J$257*SUBSIDIO!$V$257)*(0.06)/(1-0.06)</f>
        <v>48571.46699999999</v>
      </c>
      <c r="AC257" s="60">
        <f>((SUBSIDIO!$L$257*SUBSIDIO!$W$257)+(SUBSIDIO!$N$257*SUBSIDIO!$X$257))*(0.06)/(1-0.06)</f>
        <v>19098.832991399999</v>
      </c>
      <c r="AD257" s="60">
        <f ca="1">(SUBSIDIO!$J$257*SUBSIDIO!$Y$257)*(0.03)/(1-0.03)</f>
        <v>24324.699349819257</v>
      </c>
      <c r="AE257" s="60">
        <f ca="1">((SUBSIDIO!$L$257*SUBSIDIO!$Z$257)+(SUBSIDIO!$N$257*SUBSIDIO!$AA$257))*(0.03)/(1-0.03)</f>
        <v>9091.783527699894</v>
      </c>
      <c r="AF257" s="4" t="s">
        <v>999</v>
      </c>
    </row>
    <row r="258" spans="1:32" ht="11.25" customHeight="1" x14ac:dyDescent="0.25">
      <c r="A258" s="4" t="s">
        <v>21</v>
      </c>
      <c r="B258" s="4" t="s">
        <v>41</v>
      </c>
      <c r="C258" s="4" t="s">
        <v>40</v>
      </c>
      <c r="D258" s="4" t="s">
        <v>50</v>
      </c>
      <c r="E258" s="4" t="s">
        <v>51</v>
      </c>
      <c r="F258" s="4" t="s">
        <v>25</v>
      </c>
      <c r="G258" s="4" t="s">
        <v>25</v>
      </c>
      <c r="H258" s="4" t="s">
        <v>34</v>
      </c>
      <c r="I258" s="5">
        <v>44440</v>
      </c>
      <c r="J258" s="6">
        <v>15631</v>
      </c>
      <c r="K258" s="61">
        <v>15631</v>
      </c>
      <c r="L258" s="6">
        <v>674.91300000000001</v>
      </c>
      <c r="M258" s="60">
        <v>674.91300000000001</v>
      </c>
      <c r="N258" s="6">
        <v>674.91300000000001</v>
      </c>
      <c r="O258" s="60">
        <v>674.91300000000001</v>
      </c>
      <c r="P258" s="6">
        <v>0</v>
      </c>
      <c r="Q258" s="4" t="s">
        <v>26</v>
      </c>
      <c r="R258" s="4">
        <v>0</v>
      </c>
      <c r="S258" s="4">
        <v>18</v>
      </c>
      <c r="T258" s="4">
        <v>22</v>
      </c>
      <c r="U258" s="4">
        <v>66</v>
      </c>
      <c r="V258" s="60">
        <f>IF(ISERROR(VLOOKUP($S$258,'TAR FIN'!$A$1:$O$104,15,0)),0,VLOOKUP($S$258,'TAR FIN'!$A$1:$O$104,15,0))*(1-0.06)</f>
        <v>49.020999999999994</v>
      </c>
      <c r="W258" s="60">
        <f>IF(ISERROR(VLOOKUP($T$258,'TAR FIN'!$A$1:$O$104,15,0)),0,VLOOKUP($T$258,'TAR FIN'!$A$1:$O$104,15,0))*(1-0.06)</f>
        <v>58.815799999999996</v>
      </c>
      <c r="X258" s="60">
        <f>IF(ISERROR(VLOOKUP($U$258,'TAR FIN'!$A$1:$O$104,15,0)),0,VLOOKUP($U$258,'TAR FIN'!$A$1:$O$104,15,0))*(1-0.06)</f>
        <v>373.76279999999997</v>
      </c>
      <c r="Y258" s="60">
        <f ca="1">('TUSD BE'!$AM$13+'TUSD BF'!$AM$13+'TUSD CVA'!$AM$13)*1*(1-0.03)</f>
        <v>50.666663165033995</v>
      </c>
      <c r="Z258" s="60">
        <f ca="1">('TUSD BE'!$AM$15+'TUSD BF'!$AM$15+'TUSD CVA'!$AM$15)*1*(1-0.03)</f>
        <v>75.539915902184802</v>
      </c>
      <c r="AA258" s="60">
        <f>('TE BE'!$AB$7+'TE BF'!$AB$7+'TE CVA'!$AB$7)*1*(1-0.03)</f>
        <v>349.45248311940099</v>
      </c>
      <c r="AB258" s="60">
        <f>(SUBSIDIO!$J$258*SUBSIDIO!$V$258)*(0.06)/(1-0.06)</f>
        <v>48909.398999999998</v>
      </c>
      <c r="AC258" s="60">
        <f>((SUBSIDIO!$L$258*SUBSIDIO!$W$258)+(SUBSIDIO!$N$258*SUBSIDIO!$X$258))*(0.06)/(1-0.06)</f>
        <v>18635.2928082</v>
      </c>
      <c r="AD258" s="60">
        <f ca="1">(SUBSIDIO!$J$258*SUBSIDIO!$Y$258)*(0.03)/(1-0.03)</f>
        <v>24493.936451525147</v>
      </c>
      <c r="AE258" s="60">
        <f ca="1">((SUBSIDIO!$L$258*SUBSIDIO!$Z$258)+(SUBSIDIO!$N$258*SUBSIDIO!$AA$258))*(0.03)/(1-0.03)</f>
        <v>8871.1204639439875</v>
      </c>
      <c r="AF258" s="4" t="s">
        <v>999</v>
      </c>
    </row>
    <row r="259" spans="1:32" ht="11.25" customHeight="1" x14ac:dyDescent="0.25">
      <c r="A259" s="4" t="s">
        <v>21</v>
      </c>
      <c r="B259" s="4" t="s">
        <v>41</v>
      </c>
      <c r="C259" s="4" t="s">
        <v>40</v>
      </c>
      <c r="D259" s="4" t="s">
        <v>50</v>
      </c>
      <c r="E259" s="4" t="s">
        <v>51</v>
      </c>
      <c r="F259" s="4" t="s">
        <v>25</v>
      </c>
      <c r="G259" s="4" t="s">
        <v>25</v>
      </c>
      <c r="H259" s="4" t="s">
        <v>34</v>
      </c>
      <c r="I259" s="5">
        <v>44470</v>
      </c>
      <c r="J259" s="6">
        <v>15687</v>
      </c>
      <c r="K259" s="61">
        <v>15687</v>
      </c>
      <c r="L259" s="6">
        <v>665.97199999999998</v>
      </c>
      <c r="M259" s="60">
        <v>665.97199999999998</v>
      </c>
      <c r="N259" s="6">
        <v>665.97199999999998</v>
      </c>
      <c r="O259" s="60">
        <v>665.97199999999998</v>
      </c>
      <c r="P259" s="6">
        <v>0</v>
      </c>
      <c r="Q259" s="4" t="s">
        <v>26</v>
      </c>
      <c r="R259" s="4">
        <v>0</v>
      </c>
      <c r="S259" s="4">
        <v>18</v>
      </c>
      <c r="T259" s="4">
        <v>22</v>
      </c>
      <c r="U259" s="4">
        <v>66</v>
      </c>
      <c r="V259" s="60">
        <f>IF(ISERROR(VLOOKUP($S$259,'TAR FIN'!$A$1:$O$104,15,0)),0,VLOOKUP($S$259,'TAR FIN'!$A$1:$O$104,15,0))*(1-0.06)</f>
        <v>49.020999999999994</v>
      </c>
      <c r="W259" s="60">
        <f>IF(ISERROR(VLOOKUP($T$259,'TAR FIN'!$A$1:$O$104,15,0)),0,VLOOKUP($T$259,'TAR FIN'!$A$1:$O$104,15,0))*(1-0.06)</f>
        <v>58.815799999999996</v>
      </c>
      <c r="X259" s="60">
        <f>IF(ISERROR(VLOOKUP($U$259,'TAR FIN'!$A$1:$O$104,15,0)),0,VLOOKUP($U$259,'TAR FIN'!$A$1:$O$104,15,0))*(1-0.06)</f>
        <v>373.76279999999997</v>
      </c>
      <c r="Y259" s="60">
        <f ca="1">('TUSD BE'!$AM$13+'TUSD BF'!$AM$13+'TUSD CVA'!$AM$13)*1*(1-0.03)</f>
        <v>50.666663165033995</v>
      </c>
      <c r="Z259" s="60">
        <f ca="1">('TUSD BE'!$AM$15+'TUSD BF'!$AM$15+'TUSD CVA'!$AM$15)*1*(1-0.03)</f>
        <v>75.539915902184802</v>
      </c>
      <c r="AA259" s="60">
        <f>('TE BE'!$AB$7+'TE BF'!$AB$7+'TE CVA'!$AB$7)*1*(1-0.03)</f>
        <v>349.45248311940099</v>
      </c>
      <c r="AB259" s="60">
        <f>(SUBSIDIO!$J$259*SUBSIDIO!$V$259)*(0.06)/(1-0.06)</f>
        <v>49084.622999999992</v>
      </c>
      <c r="AC259" s="60">
        <f>((SUBSIDIO!$L$259*SUBSIDIO!$W$259)+(SUBSIDIO!$N$259*SUBSIDIO!$X$259))*(0.06)/(1-0.06)</f>
        <v>18388.419280799997</v>
      </c>
      <c r="AD259" s="60">
        <f ca="1">(SUBSIDIO!$J$259*SUBSIDIO!$Y$259)*(0.03)/(1-0.03)</f>
        <v>24581.68902278005</v>
      </c>
      <c r="AE259" s="60">
        <f ca="1">((SUBSIDIO!$L$259*SUBSIDIO!$Z$259)+(SUBSIDIO!$N$259*SUBSIDIO!$AA$259))*(0.03)/(1-0.03)</f>
        <v>8753.5991122021696</v>
      </c>
      <c r="AF259" s="4" t="s">
        <v>999</v>
      </c>
    </row>
    <row r="260" spans="1:32" ht="11.25" customHeight="1" x14ac:dyDescent="0.25">
      <c r="A260" s="4" t="s">
        <v>21</v>
      </c>
      <c r="B260" s="4" t="s">
        <v>41</v>
      </c>
      <c r="C260" s="4" t="s">
        <v>40</v>
      </c>
      <c r="D260" s="4" t="s">
        <v>50</v>
      </c>
      <c r="E260" s="4" t="s">
        <v>51</v>
      </c>
      <c r="F260" s="4" t="s">
        <v>25</v>
      </c>
      <c r="G260" s="4" t="s">
        <v>25</v>
      </c>
      <c r="H260" s="4" t="s">
        <v>34</v>
      </c>
      <c r="I260" s="5">
        <v>44501</v>
      </c>
      <c r="J260" s="6">
        <v>15717</v>
      </c>
      <c r="K260" s="61">
        <v>15717</v>
      </c>
      <c r="L260" s="6">
        <v>660.49800000000005</v>
      </c>
      <c r="M260" s="60">
        <v>660.49800000000005</v>
      </c>
      <c r="N260" s="6">
        <v>660.49800000000005</v>
      </c>
      <c r="O260" s="60">
        <v>660.49800000000005</v>
      </c>
      <c r="P260" s="6">
        <v>0</v>
      </c>
      <c r="Q260" s="4" t="s">
        <v>26</v>
      </c>
      <c r="R260" s="4">
        <v>0</v>
      </c>
      <c r="S260" s="4">
        <v>18</v>
      </c>
      <c r="T260" s="4">
        <v>22</v>
      </c>
      <c r="U260" s="4">
        <v>66</v>
      </c>
      <c r="V260" s="60">
        <f>IF(ISERROR(VLOOKUP($S$260,'TAR FIN'!$A$1:$O$104,15,0)),0,VLOOKUP($S$260,'TAR FIN'!$A$1:$O$104,15,0))*(1-0.06)</f>
        <v>49.020999999999994</v>
      </c>
      <c r="W260" s="60">
        <f>IF(ISERROR(VLOOKUP($T$260,'TAR FIN'!$A$1:$O$104,15,0)),0,VLOOKUP($T$260,'TAR FIN'!$A$1:$O$104,15,0))*(1-0.06)</f>
        <v>58.815799999999996</v>
      </c>
      <c r="X260" s="60">
        <f>IF(ISERROR(VLOOKUP($U$260,'TAR FIN'!$A$1:$O$104,15,0)),0,VLOOKUP($U$260,'TAR FIN'!$A$1:$O$104,15,0))*(1-0.06)</f>
        <v>373.76279999999997</v>
      </c>
      <c r="Y260" s="60">
        <f ca="1">('TUSD BE'!$AM$13+'TUSD BF'!$AM$13+'TUSD CVA'!$AM$13)*1*(1-0.03)</f>
        <v>50.666663165033995</v>
      </c>
      <c r="Z260" s="60">
        <f ca="1">('TUSD BE'!$AM$15+'TUSD BF'!$AM$15+'TUSD CVA'!$AM$15)*1*(1-0.03)</f>
        <v>75.539915902184802</v>
      </c>
      <c r="AA260" s="60">
        <f>('TE BE'!$AB$7+'TE BF'!$AB$7+'TE CVA'!$AB$7)*1*(1-0.03)</f>
        <v>349.45248311940099</v>
      </c>
      <c r="AB260" s="60">
        <f>(SUBSIDIO!$J$260*SUBSIDIO!$V$260)*(0.06)/(1-0.06)</f>
        <v>49178.492999999995</v>
      </c>
      <c r="AC260" s="60">
        <f>((SUBSIDIO!$L$260*SUBSIDIO!$W$260)+(SUBSIDIO!$N$260*SUBSIDIO!$X$260))*(0.06)/(1-0.06)</f>
        <v>18237.274477199997</v>
      </c>
      <c r="AD260" s="60">
        <f ca="1">(SUBSIDIO!$J$260*SUBSIDIO!$Y$260)*(0.03)/(1-0.03)</f>
        <v>24628.69932880946</v>
      </c>
      <c r="AE260" s="60">
        <f ca="1">((SUBSIDIO!$L$260*SUBSIDIO!$Z$260)+(SUBSIDIO!$N$260*SUBSIDIO!$AA$260))*(0.03)/(1-0.03)</f>
        <v>8681.6483371843115</v>
      </c>
      <c r="AF260" s="4" t="s">
        <v>999</v>
      </c>
    </row>
    <row r="261" spans="1:32" ht="11.25" customHeight="1" x14ac:dyDescent="0.25">
      <c r="A261" s="4" t="s">
        <v>21</v>
      </c>
      <c r="B261" s="4" t="s">
        <v>41</v>
      </c>
      <c r="C261" s="4" t="s">
        <v>40</v>
      </c>
      <c r="D261" s="4" t="s">
        <v>50</v>
      </c>
      <c r="E261" s="4" t="s">
        <v>51</v>
      </c>
      <c r="F261" s="4" t="s">
        <v>25</v>
      </c>
      <c r="G261" s="4" t="s">
        <v>25</v>
      </c>
      <c r="H261" s="4" t="s">
        <v>34</v>
      </c>
      <c r="I261" s="5">
        <v>44531</v>
      </c>
      <c r="J261" s="6">
        <v>15797</v>
      </c>
      <c r="K261" s="61">
        <v>15797</v>
      </c>
      <c r="L261" s="6">
        <v>749.51499999999999</v>
      </c>
      <c r="M261" s="60">
        <v>749.51499999999999</v>
      </c>
      <c r="N261" s="6">
        <v>749.51499999999999</v>
      </c>
      <c r="O261" s="60">
        <v>749.51499999999999</v>
      </c>
      <c r="P261" s="6">
        <v>0</v>
      </c>
      <c r="Q261" s="4" t="s">
        <v>26</v>
      </c>
      <c r="R261" s="4">
        <v>0</v>
      </c>
      <c r="S261" s="4">
        <v>18</v>
      </c>
      <c r="T261" s="4">
        <v>22</v>
      </c>
      <c r="U261" s="4">
        <v>66</v>
      </c>
      <c r="V261" s="60">
        <f>IF(ISERROR(VLOOKUP($S$261,'TAR FIN'!$A$1:$O$104,15,0)),0,VLOOKUP($S$261,'TAR FIN'!$A$1:$O$104,15,0))*(1-0.06)</f>
        <v>49.020999999999994</v>
      </c>
      <c r="W261" s="60">
        <f>IF(ISERROR(VLOOKUP($T$261,'TAR FIN'!$A$1:$O$104,15,0)),0,VLOOKUP($T$261,'TAR FIN'!$A$1:$O$104,15,0))*(1-0.06)</f>
        <v>58.815799999999996</v>
      </c>
      <c r="X261" s="60">
        <f>IF(ISERROR(VLOOKUP($U$261,'TAR FIN'!$A$1:$O$104,15,0)),0,VLOOKUP($U$261,'TAR FIN'!$A$1:$O$104,15,0))*(1-0.06)</f>
        <v>373.76279999999997</v>
      </c>
      <c r="Y261" s="60">
        <f ca="1">('TUSD BE'!$AM$13+'TUSD BF'!$AM$13+'TUSD CVA'!$AM$13)*1*(1-0.03)</f>
        <v>50.666663165033995</v>
      </c>
      <c r="Z261" s="60">
        <f ca="1">('TUSD BE'!$AM$15+'TUSD BF'!$AM$15+'TUSD CVA'!$AM$15)*1*(1-0.03)</f>
        <v>75.539915902184802</v>
      </c>
      <c r="AA261" s="60">
        <f>('TE BE'!$AB$7+'TE BF'!$AB$7+'TE CVA'!$AB$7)*1*(1-0.03)</f>
        <v>349.45248311940099</v>
      </c>
      <c r="AB261" s="60">
        <f>(SUBSIDIO!$J$261*SUBSIDIO!$V$261)*(0.06)/(1-0.06)</f>
        <v>49428.812999999995</v>
      </c>
      <c r="AC261" s="60">
        <f>((SUBSIDIO!$L$261*SUBSIDIO!$W$261)+(SUBSIDIO!$N$261*SUBSIDIO!$X$261))*(0.06)/(1-0.06)</f>
        <v>20695.158470999999</v>
      </c>
      <c r="AD261" s="60">
        <f ca="1">(SUBSIDIO!$J$261*SUBSIDIO!$Y$261)*(0.03)/(1-0.03)</f>
        <v>24754.060144887895</v>
      </c>
      <c r="AE261" s="60">
        <f ca="1">((SUBSIDIO!$L$261*SUBSIDIO!$Z$261)+(SUBSIDIO!$N$261*SUBSIDIO!$AA$261))*(0.03)/(1-0.03)</f>
        <v>9851.6962253401198</v>
      </c>
      <c r="AF261" s="4" t="s">
        <v>999</v>
      </c>
    </row>
    <row r="262" spans="1:32" ht="11.25" customHeight="1" x14ac:dyDescent="0.25">
      <c r="A262" s="4" t="s">
        <v>21</v>
      </c>
      <c r="B262" s="4" t="s">
        <v>41</v>
      </c>
      <c r="C262" s="4" t="s">
        <v>40</v>
      </c>
      <c r="D262" s="4" t="s">
        <v>50</v>
      </c>
      <c r="E262" s="4" t="s">
        <v>51</v>
      </c>
      <c r="F262" s="4" t="s">
        <v>25</v>
      </c>
      <c r="G262" s="4" t="s">
        <v>25</v>
      </c>
      <c r="H262" s="4" t="s">
        <v>34</v>
      </c>
      <c r="I262" s="5">
        <v>44562</v>
      </c>
      <c r="J262" s="6">
        <v>15827</v>
      </c>
      <c r="K262" s="61">
        <v>15827</v>
      </c>
      <c r="L262" s="6">
        <v>705.90800000000002</v>
      </c>
      <c r="M262" s="60">
        <v>705.90800000000002</v>
      </c>
      <c r="N262" s="6">
        <v>705.90800000000002</v>
      </c>
      <c r="O262" s="60">
        <v>705.90800000000002</v>
      </c>
      <c r="P262" s="6">
        <v>0</v>
      </c>
      <c r="Q262" s="4" t="s">
        <v>26</v>
      </c>
      <c r="R262" s="4">
        <v>0</v>
      </c>
      <c r="S262" s="4">
        <v>18</v>
      </c>
      <c r="T262" s="4">
        <v>22</v>
      </c>
      <c r="U262" s="4">
        <v>66</v>
      </c>
      <c r="V262" s="60">
        <f>IF(ISERROR(VLOOKUP($S$262,'TAR FIN'!$A$1:$O$104,15,0)),0,VLOOKUP($S$262,'TAR FIN'!$A$1:$O$104,15,0))*(1-0.06)</f>
        <v>49.020999999999994</v>
      </c>
      <c r="W262" s="60">
        <f>IF(ISERROR(VLOOKUP($T$262,'TAR FIN'!$A$1:$O$104,15,0)),0,VLOOKUP($T$262,'TAR FIN'!$A$1:$O$104,15,0))*(1-0.06)</f>
        <v>58.815799999999996</v>
      </c>
      <c r="X262" s="60">
        <f>IF(ISERROR(VLOOKUP($U$262,'TAR FIN'!$A$1:$O$104,15,0)),0,VLOOKUP($U$262,'TAR FIN'!$A$1:$O$104,15,0))*(1-0.06)</f>
        <v>373.76279999999997</v>
      </c>
      <c r="Y262" s="60">
        <f ca="1">('TUSD BE'!$AM$13+'TUSD BF'!$AM$13+'TUSD CVA'!$AM$13)*1*(1-0.03)</f>
        <v>50.666663165033995</v>
      </c>
      <c r="Z262" s="60">
        <f ca="1">('TUSD BE'!$AM$15+'TUSD BF'!$AM$15+'TUSD CVA'!$AM$15)*1*(1-0.03)</f>
        <v>75.539915902184802</v>
      </c>
      <c r="AA262" s="60">
        <f>('TE BE'!$AB$7+'TE BF'!$AB$7+'TE CVA'!$AB$7)*1*(1-0.03)</f>
        <v>349.45248311940099</v>
      </c>
      <c r="AB262" s="60">
        <f>(SUBSIDIO!$J$262*SUBSIDIO!$V$262)*(0.06)/(1-0.06)</f>
        <v>49522.682999999997</v>
      </c>
      <c r="AC262" s="60">
        <f>((SUBSIDIO!$L$262*SUBSIDIO!$W$262)+(SUBSIDIO!$N$262*SUBSIDIO!$X$262))*(0.06)/(1-0.06)</f>
        <v>19491.108151199998</v>
      </c>
      <c r="AD262" s="60">
        <f ca="1">(SUBSIDIO!$J$262*SUBSIDIO!$Y$262)*(0.03)/(1-0.03)</f>
        <v>24801.070450917308</v>
      </c>
      <c r="AE262" s="60">
        <f ca="1">((SUBSIDIO!$L$262*SUBSIDIO!$Z$262)+(SUBSIDIO!$N$262*SUBSIDIO!$AA$262))*(0.03)/(1-0.03)</f>
        <v>9278.5216827380282</v>
      </c>
      <c r="AF262" s="4" t="s">
        <v>999</v>
      </c>
    </row>
    <row r="263" spans="1:32" ht="11.25" customHeight="1" x14ac:dyDescent="0.25">
      <c r="A263" s="4" t="s">
        <v>21</v>
      </c>
      <c r="B263" s="4" t="s">
        <v>41</v>
      </c>
      <c r="C263" s="4" t="s">
        <v>40</v>
      </c>
      <c r="D263" s="4" t="s">
        <v>50</v>
      </c>
      <c r="E263" s="4" t="s">
        <v>51</v>
      </c>
      <c r="F263" s="4" t="s">
        <v>25</v>
      </c>
      <c r="G263" s="4" t="s">
        <v>25</v>
      </c>
      <c r="H263" s="4" t="s">
        <v>34</v>
      </c>
      <c r="I263" s="5">
        <v>44593</v>
      </c>
      <c r="J263" s="6">
        <v>15702</v>
      </c>
      <c r="K263" s="61">
        <v>15702</v>
      </c>
      <c r="L263" s="6">
        <v>675.41099999999994</v>
      </c>
      <c r="M263" s="60">
        <v>675.41099999999994</v>
      </c>
      <c r="N263" s="6">
        <v>675.41099999999994</v>
      </c>
      <c r="O263" s="60">
        <v>675.41099999999994</v>
      </c>
      <c r="P263" s="6">
        <v>0</v>
      </c>
      <c r="Q263" s="4" t="s">
        <v>26</v>
      </c>
      <c r="R263" s="4">
        <v>0</v>
      </c>
      <c r="S263" s="4">
        <v>18</v>
      </c>
      <c r="T263" s="4">
        <v>22</v>
      </c>
      <c r="U263" s="4">
        <v>66</v>
      </c>
      <c r="V263" s="60">
        <f>IF(ISERROR(VLOOKUP($S$263,'TAR FIN'!$A$1:$O$104,15,0)),0,VLOOKUP($S$263,'TAR FIN'!$A$1:$O$104,15,0))*(1-0.06)</f>
        <v>49.020999999999994</v>
      </c>
      <c r="W263" s="60">
        <f>IF(ISERROR(VLOOKUP($T$263,'TAR FIN'!$A$1:$O$104,15,0)),0,VLOOKUP($T$263,'TAR FIN'!$A$1:$O$104,15,0))*(1-0.06)</f>
        <v>58.815799999999996</v>
      </c>
      <c r="X263" s="60">
        <f>IF(ISERROR(VLOOKUP($U$263,'TAR FIN'!$A$1:$O$104,15,0)),0,VLOOKUP($U$263,'TAR FIN'!$A$1:$O$104,15,0))*(1-0.06)</f>
        <v>373.76279999999997</v>
      </c>
      <c r="Y263" s="60">
        <f ca="1">('TUSD BE'!$AM$13+'TUSD BF'!$AM$13+'TUSD CVA'!$AM$13)*1*(1-0.03)</f>
        <v>50.666663165033995</v>
      </c>
      <c r="Z263" s="60">
        <f ca="1">('TUSD BE'!$AM$15+'TUSD BF'!$AM$15+'TUSD CVA'!$AM$15)*1*(1-0.03)</f>
        <v>75.539915902184802</v>
      </c>
      <c r="AA263" s="60">
        <f>('TE BE'!$AB$7+'TE BF'!$AB$7+'TE CVA'!$AB$7)*1*(1-0.03)</f>
        <v>349.45248311940099</v>
      </c>
      <c r="AB263" s="60">
        <f>(SUBSIDIO!$J$263*SUBSIDIO!$V$263)*(0.06)/(1-0.06)</f>
        <v>49131.55799999999</v>
      </c>
      <c r="AC263" s="60">
        <f>((SUBSIDIO!$L$263*SUBSIDIO!$W$263)+(SUBSIDIO!$N$263*SUBSIDIO!$X$263))*(0.06)/(1-0.06)</f>
        <v>18649.043285399999</v>
      </c>
      <c r="AD263" s="60">
        <f ca="1">(SUBSIDIO!$J$263*SUBSIDIO!$Y$263)*(0.03)/(1-0.03)</f>
        <v>24605.194175794753</v>
      </c>
      <c r="AE263" s="60">
        <f ca="1">((SUBSIDIO!$L$263*SUBSIDIO!$Z$263)+(SUBSIDIO!$N$263*SUBSIDIO!$AA$263))*(0.03)/(1-0.03)</f>
        <v>8877.6662231619048</v>
      </c>
      <c r="AF263" s="4" t="s">
        <v>999</v>
      </c>
    </row>
    <row r="264" spans="1:32" ht="11.25" customHeight="1" x14ac:dyDescent="0.25">
      <c r="A264" s="4" t="s">
        <v>21</v>
      </c>
      <c r="B264" s="4" t="s">
        <v>41</v>
      </c>
      <c r="C264" s="4" t="s">
        <v>40</v>
      </c>
      <c r="D264" s="4" t="s">
        <v>50</v>
      </c>
      <c r="E264" s="4" t="s">
        <v>51</v>
      </c>
      <c r="F264" s="4" t="s">
        <v>25</v>
      </c>
      <c r="G264" s="4" t="s">
        <v>25</v>
      </c>
      <c r="H264" s="4" t="s">
        <v>34</v>
      </c>
      <c r="I264" s="5">
        <v>44621</v>
      </c>
      <c r="J264" s="6">
        <v>15785</v>
      </c>
      <c r="K264" s="61">
        <v>15785</v>
      </c>
      <c r="L264" s="6">
        <v>713.55700000000002</v>
      </c>
      <c r="M264" s="60">
        <v>713.55700000000002</v>
      </c>
      <c r="N264" s="6">
        <v>713.55700000000002</v>
      </c>
      <c r="O264" s="60">
        <v>713.55700000000002</v>
      </c>
      <c r="P264" s="6">
        <v>0</v>
      </c>
      <c r="Q264" s="4" t="s">
        <v>26</v>
      </c>
      <c r="R264" s="4">
        <v>0</v>
      </c>
      <c r="S264" s="4">
        <v>18</v>
      </c>
      <c r="T264" s="4">
        <v>22</v>
      </c>
      <c r="U264" s="4">
        <v>66</v>
      </c>
      <c r="V264" s="60">
        <f>IF(ISERROR(VLOOKUP($S$264,'TAR FIN'!$A$1:$O$104,15,0)),0,VLOOKUP($S$264,'TAR FIN'!$A$1:$O$104,15,0))*(1-0.06)</f>
        <v>49.020999999999994</v>
      </c>
      <c r="W264" s="60">
        <f>IF(ISERROR(VLOOKUP($T$264,'TAR FIN'!$A$1:$O$104,15,0)),0,VLOOKUP($T$264,'TAR FIN'!$A$1:$O$104,15,0))*(1-0.06)</f>
        <v>58.815799999999996</v>
      </c>
      <c r="X264" s="60">
        <f>IF(ISERROR(VLOOKUP($U$264,'TAR FIN'!$A$1:$O$104,15,0)),0,VLOOKUP($U$264,'TAR FIN'!$A$1:$O$104,15,0))*(1-0.06)</f>
        <v>373.76279999999997</v>
      </c>
      <c r="Y264" s="60">
        <f ca="1">('TUSD BE'!$AM$13+'TUSD BF'!$AM$13+'TUSD CVA'!$AM$13)*1*(1-0.03)</f>
        <v>50.666663165033995</v>
      </c>
      <c r="Z264" s="60">
        <f ca="1">('TUSD BE'!$AM$15+'TUSD BF'!$AM$15+'TUSD CVA'!$AM$15)*1*(1-0.03)</f>
        <v>75.539915902184802</v>
      </c>
      <c r="AA264" s="60">
        <f>('TE BE'!$AB$7+'TE BF'!$AB$7+'TE CVA'!$AB$7)*1*(1-0.03)</f>
        <v>349.45248311940099</v>
      </c>
      <c r="AB264" s="60">
        <f>(SUBSIDIO!$J$264*SUBSIDIO!$V$264)*(0.06)/(1-0.06)</f>
        <v>49391.264999999992</v>
      </c>
      <c r="AC264" s="60">
        <f>((SUBSIDIO!$L$264*SUBSIDIO!$W$264)+(SUBSIDIO!$N$264*SUBSIDIO!$X$264))*(0.06)/(1-0.06)</f>
        <v>19702.307749799998</v>
      </c>
      <c r="AD264" s="60">
        <f ca="1">(SUBSIDIO!$J$264*SUBSIDIO!$Y$264)*(0.03)/(1-0.03)</f>
        <v>24735.256022476129</v>
      </c>
      <c r="AE264" s="60">
        <f ca="1">((SUBSIDIO!$L$264*SUBSIDIO!$Z$264)+(SUBSIDIO!$N$264*SUBSIDIO!$AA$264))*(0.03)/(1-0.03)</f>
        <v>9379.0608639787351</v>
      </c>
      <c r="AF264" s="4" t="s">
        <v>999</v>
      </c>
    </row>
    <row r="265" spans="1:32" ht="11.25" customHeight="1" x14ac:dyDescent="0.25">
      <c r="A265" s="4" t="s">
        <v>21</v>
      </c>
      <c r="B265" s="4" t="s">
        <v>41</v>
      </c>
      <c r="C265" s="4" t="s">
        <v>40</v>
      </c>
      <c r="D265" s="4" t="s">
        <v>50</v>
      </c>
      <c r="E265" s="4" t="s">
        <v>51</v>
      </c>
      <c r="F265" s="4" t="s">
        <v>25</v>
      </c>
      <c r="G265" s="4" t="s">
        <v>25</v>
      </c>
      <c r="H265" s="4" t="s">
        <v>34</v>
      </c>
      <c r="I265" s="5">
        <v>44652</v>
      </c>
      <c r="J265" s="6">
        <v>15736</v>
      </c>
      <c r="K265" s="61">
        <v>15736</v>
      </c>
      <c r="L265" s="6">
        <v>629.35400000000004</v>
      </c>
      <c r="M265" s="60">
        <v>629.35400000000004</v>
      </c>
      <c r="N265" s="6">
        <v>629.35400000000004</v>
      </c>
      <c r="O265" s="60">
        <v>629.35400000000004</v>
      </c>
      <c r="P265" s="6">
        <v>0</v>
      </c>
      <c r="Q265" s="4" t="s">
        <v>26</v>
      </c>
      <c r="R265" s="4">
        <v>0</v>
      </c>
      <c r="S265" s="4">
        <v>18</v>
      </c>
      <c r="T265" s="4">
        <v>22</v>
      </c>
      <c r="U265" s="4">
        <v>66</v>
      </c>
      <c r="V265" s="60">
        <f>IF(ISERROR(VLOOKUP($S$265,'TAR FIN'!$A$1:$O$104,15,0)),0,VLOOKUP($S$265,'TAR FIN'!$A$1:$O$104,15,0))*(1-0.06)</f>
        <v>49.020999999999994</v>
      </c>
      <c r="W265" s="60">
        <f>IF(ISERROR(VLOOKUP($T$265,'TAR FIN'!$A$1:$O$104,15,0)),0,VLOOKUP($T$265,'TAR FIN'!$A$1:$O$104,15,0))*(1-0.06)</f>
        <v>58.815799999999996</v>
      </c>
      <c r="X265" s="60">
        <f>IF(ISERROR(VLOOKUP($U$265,'TAR FIN'!$A$1:$O$104,15,0)),0,VLOOKUP($U$265,'TAR FIN'!$A$1:$O$104,15,0))*(1-0.06)</f>
        <v>373.76279999999997</v>
      </c>
      <c r="Y265" s="60">
        <f ca="1">('TUSD BE'!$AM$13+'TUSD BF'!$AM$13+'TUSD CVA'!$AM$13)*1*(1-0.03)</f>
        <v>50.666663165033995</v>
      </c>
      <c r="Z265" s="60">
        <f ca="1">('TUSD BE'!$AM$15+'TUSD BF'!$AM$15+'TUSD CVA'!$AM$15)*1*(1-0.03)</f>
        <v>75.539915902184802</v>
      </c>
      <c r="AA265" s="60">
        <f>('TE BE'!$AB$7+'TE BF'!$AB$7+'TE CVA'!$AB$7)*1*(1-0.03)</f>
        <v>349.45248311940099</v>
      </c>
      <c r="AB265" s="60">
        <f>(SUBSIDIO!$J$265*SUBSIDIO!$V$265)*(0.06)/(1-0.06)</f>
        <v>49237.943999999996</v>
      </c>
      <c r="AC265" s="60">
        <f>((SUBSIDIO!$L$265*SUBSIDIO!$W$265)+(SUBSIDIO!$N$265*SUBSIDIO!$X$265))*(0.06)/(1-0.06)</f>
        <v>17377.345035600003</v>
      </c>
      <c r="AD265" s="60">
        <f ca="1">(SUBSIDIO!$J$265*SUBSIDIO!$Y$265)*(0.03)/(1-0.03)</f>
        <v>24658.472522628093</v>
      </c>
      <c r="AE265" s="60">
        <f ca="1">((SUBSIDIO!$L$265*SUBSIDIO!$Z$265)+(SUBSIDIO!$N$265*SUBSIDIO!$AA$265))*(0.03)/(1-0.03)</f>
        <v>8272.2886482628182</v>
      </c>
      <c r="AF265" s="4" t="s">
        <v>999</v>
      </c>
    </row>
    <row r="266" spans="1:32" ht="11.25" customHeight="1" x14ac:dyDescent="0.25">
      <c r="A266" s="4" t="s">
        <v>21</v>
      </c>
      <c r="B266" s="4" t="s">
        <v>41</v>
      </c>
      <c r="C266" s="4" t="s">
        <v>40</v>
      </c>
      <c r="D266" s="4" t="s">
        <v>50</v>
      </c>
      <c r="E266" s="4" t="s">
        <v>51</v>
      </c>
      <c r="F266" s="4" t="s">
        <v>25</v>
      </c>
      <c r="G266" s="4" t="s">
        <v>25</v>
      </c>
      <c r="H266" s="4" t="s">
        <v>34</v>
      </c>
      <c r="I266" s="5">
        <v>44682</v>
      </c>
      <c r="J266" s="6">
        <v>15726</v>
      </c>
      <c r="K266" s="61">
        <v>15726</v>
      </c>
      <c r="L266" s="6">
        <v>689.95899999999995</v>
      </c>
      <c r="M266" s="60">
        <v>689.95899999999995</v>
      </c>
      <c r="N266" s="6">
        <v>689.95899999999995</v>
      </c>
      <c r="O266" s="60">
        <v>689.95899999999995</v>
      </c>
      <c r="P266" s="6">
        <v>0</v>
      </c>
      <c r="Q266" s="4" t="s">
        <v>26</v>
      </c>
      <c r="R266" s="4">
        <v>0</v>
      </c>
      <c r="S266" s="4">
        <v>18</v>
      </c>
      <c r="T266" s="4">
        <v>22</v>
      </c>
      <c r="U266" s="4">
        <v>66</v>
      </c>
      <c r="V266" s="60">
        <f>IF(ISERROR(VLOOKUP($S$266,'TAR FIN'!$A$1:$O$104,15,0)),0,VLOOKUP($S$266,'TAR FIN'!$A$1:$O$104,15,0))*(1-0.06)</f>
        <v>49.020999999999994</v>
      </c>
      <c r="W266" s="60">
        <f>IF(ISERROR(VLOOKUP($T$266,'TAR FIN'!$A$1:$O$104,15,0)),0,VLOOKUP($T$266,'TAR FIN'!$A$1:$O$104,15,0))*(1-0.06)</f>
        <v>58.815799999999996</v>
      </c>
      <c r="X266" s="60">
        <f>IF(ISERROR(VLOOKUP($U$266,'TAR FIN'!$A$1:$O$104,15,0)),0,VLOOKUP($U$266,'TAR FIN'!$A$1:$O$104,15,0))*(1-0.06)</f>
        <v>373.76279999999997</v>
      </c>
      <c r="Y266" s="60">
        <f ca="1">('TUSD BE'!$AM$13+'TUSD BF'!$AM$13+'TUSD CVA'!$AM$13)*1*(1-0.03)</f>
        <v>50.666663165033995</v>
      </c>
      <c r="Z266" s="60">
        <f ca="1">('TUSD BE'!$AM$15+'TUSD BF'!$AM$15+'TUSD CVA'!$AM$15)*1*(1-0.03)</f>
        <v>75.539915902184802</v>
      </c>
      <c r="AA266" s="60">
        <f>('TE BE'!$AB$7+'TE BF'!$AB$7+'TE CVA'!$AB$7)*1*(1-0.03)</f>
        <v>349.45248311940099</v>
      </c>
      <c r="AB266" s="60">
        <f>(SUBSIDIO!$J$266*SUBSIDIO!$V$266)*(0.06)/(1-0.06)</f>
        <v>49206.654000000002</v>
      </c>
      <c r="AC266" s="60">
        <f>((SUBSIDIO!$L$266*SUBSIDIO!$W$266)+(SUBSIDIO!$N$266*SUBSIDIO!$X$266))*(0.06)/(1-0.06)</f>
        <v>19050.733932599996</v>
      </c>
      <c r="AD266" s="60">
        <f ca="1">(SUBSIDIO!$J$266*SUBSIDIO!$Y$266)*(0.03)/(1-0.03)</f>
        <v>24642.802420618285</v>
      </c>
      <c r="AE266" s="60">
        <f ca="1">((SUBSIDIO!$L$266*SUBSIDIO!$Z$266)+(SUBSIDIO!$N$266*SUBSIDIO!$AA$266))*(0.03)/(1-0.03)</f>
        <v>9068.8865145319887</v>
      </c>
      <c r="AF266" s="4" t="s">
        <v>999</v>
      </c>
    </row>
    <row r="267" spans="1:32" ht="11.25" customHeight="1" x14ac:dyDescent="0.25">
      <c r="A267" s="4" t="s">
        <v>21</v>
      </c>
      <c r="B267" s="4" t="s">
        <v>41</v>
      </c>
      <c r="C267" s="4" t="s">
        <v>40</v>
      </c>
      <c r="D267" s="4" t="s">
        <v>50</v>
      </c>
      <c r="E267" s="4" t="s">
        <v>51</v>
      </c>
      <c r="F267" s="4" t="s">
        <v>25</v>
      </c>
      <c r="G267" s="4" t="s">
        <v>25</v>
      </c>
      <c r="H267" s="4" t="s">
        <v>34</v>
      </c>
      <c r="I267" s="5">
        <v>44713</v>
      </c>
      <c r="J267" s="6">
        <v>15772</v>
      </c>
      <c r="K267" s="61">
        <v>15772</v>
      </c>
      <c r="L267" s="6">
        <v>676.96100000000001</v>
      </c>
      <c r="M267" s="60">
        <v>676.96100000000001</v>
      </c>
      <c r="N267" s="6">
        <v>676.96100000000001</v>
      </c>
      <c r="O267" s="60">
        <v>676.96100000000001</v>
      </c>
      <c r="P267" s="6">
        <v>0</v>
      </c>
      <c r="Q267" s="4" t="s">
        <v>26</v>
      </c>
      <c r="R267" s="4">
        <v>0</v>
      </c>
      <c r="S267" s="4">
        <v>18</v>
      </c>
      <c r="T267" s="4">
        <v>22</v>
      </c>
      <c r="U267" s="4">
        <v>66</v>
      </c>
      <c r="V267" s="60">
        <f>IF(ISERROR(VLOOKUP($S$267,'TAR FIN'!$A$1:$O$104,15,0)),0,VLOOKUP($S$267,'TAR FIN'!$A$1:$O$104,15,0))*(1-0.06)</f>
        <v>49.020999999999994</v>
      </c>
      <c r="W267" s="60">
        <f>IF(ISERROR(VLOOKUP($T$267,'TAR FIN'!$A$1:$O$104,15,0)),0,VLOOKUP($T$267,'TAR FIN'!$A$1:$O$104,15,0))*(1-0.06)</f>
        <v>58.815799999999996</v>
      </c>
      <c r="X267" s="60">
        <f>IF(ISERROR(VLOOKUP($U$267,'TAR FIN'!$A$1:$O$104,15,0)),0,VLOOKUP($U$267,'TAR FIN'!$A$1:$O$104,15,0))*(1-0.06)</f>
        <v>373.76279999999997</v>
      </c>
      <c r="Y267" s="60">
        <f ca="1">('TUSD BE'!$AM$13+'TUSD BF'!$AM$13+'TUSD CVA'!$AM$13)*1*(1-0.03)</f>
        <v>50.666663165033995</v>
      </c>
      <c r="Z267" s="60">
        <f ca="1">('TUSD BE'!$AM$15+'TUSD BF'!$AM$15+'TUSD CVA'!$AM$15)*1*(1-0.03)</f>
        <v>75.539915902184802</v>
      </c>
      <c r="AA267" s="60">
        <f>('TE BE'!$AB$7+'TE BF'!$AB$7+'TE CVA'!$AB$7)*1*(1-0.03)</f>
        <v>349.45248311940099</v>
      </c>
      <c r="AB267" s="60">
        <f>(SUBSIDIO!$J$267*SUBSIDIO!$V$267)*(0.06)/(1-0.06)</f>
        <v>49350.587999999996</v>
      </c>
      <c r="AC267" s="60">
        <f>((SUBSIDIO!$L$267*SUBSIDIO!$W$267)+(SUBSIDIO!$N$267*SUBSIDIO!$X$267))*(0.06)/(1-0.06)</f>
        <v>18691.840955399999</v>
      </c>
      <c r="AD267" s="60">
        <f ca="1">(SUBSIDIO!$J$267*SUBSIDIO!$Y$267)*(0.03)/(1-0.03)</f>
        <v>24714.884889863384</v>
      </c>
      <c r="AE267" s="60">
        <f ca="1">((SUBSIDIO!$L$267*SUBSIDIO!$Z$267)+(SUBSIDIO!$N$267*SUBSIDIO!$AA$267))*(0.03)/(1-0.03)</f>
        <v>8898.039570125311</v>
      </c>
      <c r="AF267" s="4" t="s">
        <v>999</v>
      </c>
    </row>
    <row r="268" spans="1:32" ht="11.25" customHeight="1" x14ac:dyDescent="0.25">
      <c r="A268" s="4" t="s">
        <v>57</v>
      </c>
      <c r="B268" s="4" t="s">
        <v>41</v>
      </c>
      <c r="C268" s="4" t="s">
        <v>40</v>
      </c>
      <c r="D268" s="4" t="s">
        <v>50</v>
      </c>
      <c r="E268" s="4" t="s">
        <v>51</v>
      </c>
      <c r="F268" s="4" t="s">
        <v>25</v>
      </c>
      <c r="G268" s="4" t="s">
        <v>25</v>
      </c>
      <c r="H268" s="4" t="s">
        <v>34</v>
      </c>
      <c r="I268" s="5">
        <v>44743</v>
      </c>
      <c r="J268" s="6">
        <v>15772</v>
      </c>
      <c r="K268" s="61">
        <v>15772</v>
      </c>
      <c r="L268" s="6">
        <v>676.96100000000001</v>
      </c>
      <c r="M268" s="60">
        <v>676.96100000000001</v>
      </c>
      <c r="N268" s="6">
        <v>676.96100000000001</v>
      </c>
      <c r="O268" s="60">
        <v>676.96100000000001</v>
      </c>
      <c r="P268" s="6">
        <v>0</v>
      </c>
      <c r="Q268" s="4" t="s">
        <v>26</v>
      </c>
      <c r="R268" s="4">
        <v>0</v>
      </c>
      <c r="S268" s="4">
        <v>18</v>
      </c>
      <c r="T268" s="4">
        <v>22</v>
      </c>
      <c r="U268" s="4">
        <v>66</v>
      </c>
      <c r="V268" s="60">
        <f>IF(ISERROR(VLOOKUP($S$268,'TAR FIN'!$A$1:$O$104,15,0)),0,VLOOKUP($S$268,'TAR FIN'!$A$1:$O$104,15,0))*(1-0.06)</f>
        <v>49.020999999999994</v>
      </c>
      <c r="W268" s="60">
        <f>IF(ISERROR(VLOOKUP($T$268,'TAR FIN'!$A$1:$O$104,15,0)),0,VLOOKUP($T$268,'TAR FIN'!$A$1:$O$104,15,0))*(1-0.06)</f>
        <v>58.815799999999996</v>
      </c>
      <c r="X268" s="60">
        <f>IF(ISERROR(VLOOKUP($U$268,'TAR FIN'!$A$1:$O$104,15,0)),0,VLOOKUP($U$268,'TAR FIN'!$A$1:$O$104,15,0))*(1-0.06)</f>
        <v>373.76279999999997</v>
      </c>
      <c r="Y268" s="60">
        <f ca="1">('TUSD BE'!$AM$13+'TUSD BF'!$AM$13+'TUSD CVA'!$AM$13)*1*(1-0.03)</f>
        <v>50.666663165033995</v>
      </c>
      <c r="Z268" s="60">
        <f ca="1">('TUSD BE'!$AM$15+'TUSD BF'!$AM$15+'TUSD CVA'!$AM$15)*1*(1-0.03)</f>
        <v>75.539915902184802</v>
      </c>
      <c r="AA268" s="60">
        <f>('TE BE'!$AB$7+'TE BF'!$AB$7+'TE CVA'!$AB$7)*1*(1-0.03)</f>
        <v>349.45248311940099</v>
      </c>
      <c r="AB268" s="60">
        <f>(SUBSIDIO!$J$268*SUBSIDIO!$V$268)*(0.06)/(1-0.06)</f>
        <v>49350.587999999996</v>
      </c>
      <c r="AC268" s="60">
        <f>((SUBSIDIO!$L$268*SUBSIDIO!$W$268)+(SUBSIDIO!$N$268*SUBSIDIO!$X$268))*(0.06)/(1-0.06)</f>
        <v>18691.840955399999</v>
      </c>
      <c r="AD268" s="60">
        <f ca="1">(SUBSIDIO!$J$268*SUBSIDIO!$Y$268)*(0.03)/(1-0.03)</f>
        <v>24714.884889863384</v>
      </c>
      <c r="AE268" s="60">
        <f ca="1">((SUBSIDIO!$L$268*SUBSIDIO!$Z$268)+(SUBSIDIO!$N$268*SUBSIDIO!$AA$268))*(0.03)/(1-0.03)</f>
        <v>8898.039570125311</v>
      </c>
      <c r="AF268" s="4" t="s">
        <v>999</v>
      </c>
    </row>
    <row r="269" spans="1:32" ht="11.25" customHeight="1" x14ac:dyDescent="0.25">
      <c r="A269" s="4" t="s">
        <v>21</v>
      </c>
      <c r="B269" s="4" t="s">
        <v>41</v>
      </c>
      <c r="C269" s="4" t="s">
        <v>66</v>
      </c>
      <c r="D269" s="4" t="s">
        <v>25</v>
      </c>
      <c r="E269" s="4" t="s">
        <v>25</v>
      </c>
      <c r="F269" s="4" t="s">
        <v>25</v>
      </c>
      <c r="G269" s="4" t="s">
        <v>72</v>
      </c>
      <c r="H269" s="4" t="s">
        <v>25</v>
      </c>
      <c r="I269" s="5">
        <v>44409</v>
      </c>
      <c r="J269" s="6">
        <v>4500</v>
      </c>
      <c r="K269" s="6">
        <v>2250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4" t="s">
        <v>68</v>
      </c>
      <c r="R269" s="4">
        <v>29075</v>
      </c>
      <c r="S269" s="4">
        <v>38</v>
      </c>
      <c r="T269" s="4">
        <v>0</v>
      </c>
      <c r="U269" s="4">
        <v>0</v>
      </c>
      <c r="V269" s="6">
        <f>IF(ISERROR(VLOOKUP($S$269,'TAR FIN'!$A$1:$O$104,15,0)),0,VLOOKUP($S$269,'TAR FIN'!$A$1:$O$104,15,0))</f>
        <v>14.41</v>
      </c>
      <c r="W269" s="6">
        <f>IF(ISERROR(VLOOKUP($T$269,'TAR FIN'!$A$1:$O$104,15,0)),0,VLOOKUP($T$269,'TAR FIN'!$A$1:$O$104,15,0))</f>
        <v>0</v>
      </c>
      <c r="X269" s="6">
        <f>IF(ISERROR(VLOOKUP($U$269,'TAR FIN'!$A$1:$O$104,15,0)),0,VLOOKUP($U$269,'TAR FIN'!$A$1:$O$104,15,0))</f>
        <v>0</v>
      </c>
      <c r="Y269" s="6">
        <f ca="1">('TUSD BE'!$AM$23+'TUSD BF'!$AM$23+'TUSD CVA'!$AM$23)*1</f>
        <v>14.494286200962303</v>
      </c>
      <c r="Z269" s="6"/>
      <c r="AA269" s="6"/>
      <c r="AB269" s="6">
        <f t="shared" ref="AB269:AB321" si="18">(J269-K269)*V269</f>
        <v>32422.5</v>
      </c>
      <c r="AC269" s="6">
        <f t="shared" ref="AC269:AC321" si="19">(L269-M269)*W269+(N269-O269)*X269</f>
        <v>0</v>
      </c>
      <c r="AD269" s="6">
        <f t="shared" ref="AD269:AD321" ca="1" si="20">(J269-K269)*Y269</f>
        <v>32612.143952165185</v>
      </c>
      <c r="AE269" s="6">
        <f t="shared" ref="AE269:AE321" si="21">(L269-M269)*Z269+(N269-O269)*AA269</f>
        <v>0</v>
      </c>
      <c r="AF269" s="4" t="s">
        <v>1000</v>
      </c>
    </row>
    <row r="270" spans="1:32" ht="11.25" customHeight="1" x14ac:dyDescent="0.25">
      <c r="A270" s="4" t="s">
        <v>21</v>
      </c>
      <c r="B270" s="4" t="s">
        <v>41</v>
      </c>
      <c r="C270" s="4" t="s">
        <v>66</v>
      </c>
      <c r="D270" s="4" t="s">
        <v>25</v>
      </c>
      <c r="E270" s="4" t="s">
        <v>25</v>
      </c>
      <c r="F270" s="4" t="s">
        <v>25</v>
      </c>
      <c r="G270" s="4" t="s">
        <v>74</v>
      </c>
      <c r="H270" s="4" t="s">
        <v>25</v>
      </c>
      <c r="I270" s="5">
        <v>44409</v>
      </c>
      <c r="J270" s="6">
        <v>3000</v>
      </c>
      <c r="K270" s="6">
        <v>1500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4" t="s">
        <v>68</v>
      </c>
      <c r="S270" s="4">
        <v>38</v>
      </c>
      <c r="T270" s="4">
        <v>0</v>
      </c>
      <c r="U270" s="4">
        <v>0</v>
      </c>
      <c r="V270" s="6">
        <f>IF(ISERROR(VLOOKUP($S$270,'TAR FIN'!$A$1:$O$104,15,0)),0,VLOOKUP($S$270,'TAR FIN'!$A$1:$O$104,15,0))</f>
        <v>14.41</v>
      </c>
      <c r="W270" s="6">
        <f>IF(ISERROR(VLOOKUP($T$270,'TAR FIN'!$A$1:$O$104,15,0)),0,VLOOKUP($T$270,'TAR FIN'!$A$1:$O$104,15,0))</f>
        <v>0</v>
      </c>
      <c r="X270" s="6">
        <f>IF(ISERROR(VLOOKUP($U$270,'TAR FIN'!$A$1:$O$104,15,0)),0,VLOOKUP($U$270,'TAR FIN'!$A$1:$O$104,15,0))</f>
        <v>0</v>
      </c>
      <c r="Y270" s="6">
        <f ca="1">('TUSD BE'!$AM$23+'TUSD BF'!$AM$23+'TUSD CVA'!$AM$23)*1</f>
        <v>14.494286200962303</v>
      </c>
      <c r="Z270" s="6"/>
      <c r="AA270" s="6"/>
      <c r="AB270" s="6">
        <f t="shared" si="18"/>
        <v>21615</v>
      </c>
      <c r="AC270" s="6">
        <f t="shared" si="19"/>
        <v>0</v>
      </c>
      <c r="AD270" s="6">
        <f t="shared" ca="1" si="20"/>
        <v>21741.429301443455</v>
      </c>
      <c r="AE270" s="6">
        <f t="shared" si="21"/>
        <v>0</v>
      </c>
      <c r="AF270" s="4" t="s">
        <v>1000</v>
      </c>
    </row>
    <row r="271" spans="1:32" ht="11.25" customHeight="1" x14ac:dyDescent="0.25">
      <c r="A271" s="4" t="s">
        <v>21</v>
      </c>
      <c r="B271" s="4" t="s">
        <v>41</v>
      </c>
      <c r="C271" s="4" t="s">
        <v>66</v>
      </c>
      <c r="D271" s="4" t="s">
        <v>25</v>
      </c>
      <c r="E271" s="4" t="s">
        <v>25</v>
      </c>
      <c r="F271" s="4" t="s">
        <v>25</v>
      </c>
      <c r="G271" s="4" t="s">
        <v>80</v>
      </c>
      <c r="H271" s="4" t="s">
        <v>25</v>
      </c>
      <c r="I271" s="5">
        <v>44409</v>
      </c>
      <c r="J271" s="6">
        <v>3000</v>
      </c>
      <c r="K271" s="6">
        <v>1500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4" t="s">
        <v>68</v>
      </c>
      <c r="R271" s="4">
        <v>34891</v>
      </c>
      <c r="S271" s="4">
        <v>38</v>
      </c>
      <c r="T271" s="4">
        <v>0</v>
      </c>
      <c r="U271" s="4">
        <v>0</v>
      </c>
      <c r="V271" s="6">
        <f>IF(ISERROR(VLOOKUP($S$271,'TAR FIN'!$A$1:$O$104,15,0)),0,VLOOKUP($S$271,'TAR FIN'!$A$1:$O$104,15,0))</f>
        <v>14.41</v>
      </c>
      <c r="W271" s="6">
        <f>IF(ISERROR(VLOOKUP($T$271,'TAR FIN'!$A$1:$O$104,15,0)),0,VLOOKUP($T$271,'TAR FIN'!$A$1:$O$104,15,0))</f>
        <v>0</v>
      </c>
      <c r="X271" s="6">
        <f>IF(ISERROR(VLOOKUP($U$271,'TAR FIN'!$A$1:$O$104,15,0)),0,VLOOKUP($U$271,'TAR FIN'!$A$1:$O$104,15,0))</f>
        <v>0</v>
      </c>
      <c r="Y271" s="6">
        <f ca="1">('TUSD BE'!$AM$23+'TUSD BF'!$AM$23+'TUSD CVA'!$AM$23)*1</f>
        <v>14.494286200962303</v>
      </c>
      <c r="Z271" s="6"/>
      <c r="AA271" s="6"/>
      <c r="AB271" s="6">
        <f t="shared" si="18"/>
        <v>21615</v>
      </c>
      <c r="AC271" s="6">
        <f t="shared" si="19"/>
        <v>0</v>
      </c>
      <c r="AD271" s="6">
        <f t="shared" ca="1" si="20"/>
        <v>21741.429301443455</v>
      </c>
      <c r="AE271" s="6">
        <f t="shared" si="21"/>
        <v>0</v>
      </c>
      <c r="AF271" s="4" t="s">
        <v>1000</v>
      </c>
    </row>
    <row r="272" spans="1:32" ht="11.25" customHeight="1" x14ac:dyDescent="0.25">
      <c r="A272" s="4" t="s">
        <v>21</v>
      </c>
      <c r="B272" s="4" t="s">
        <v>41</v>
      </c>
      <c r="C272" s="4" t="s">
        <v>66</v>
      </c>
      <c r="D272" s="4" t="s">
        <v>25</v>
      </c>
      <c r="E272" s="4" t="s">
        <v>25</v>
      </c>
      <c r="F272" s="4" t="s">
        <v>25</v>
      </c>
      <c r="G272" s="4" t="s">
        <v>81</v>
      </c>
      <c r="H272" s="4" t="s">
        <v>25</v>
      </c>
      <c r="I272" s="5">
        <v>44409</v>
      </c>
      <c r="J272" s="6">
        <v>600</v>
      </c>
      <c r="K272" s="6">
        <v>300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4" t="s">
        <v>68</v>
      </c>
      <c r="R272" s="4">
        <v>34893</v>
      </c>
      <c r="S272" s="4">
        <v>38</v>
      </c>
      <c r="T272" s="4">
        <v>0</v>
      </c>
      <c r="U272" s="4">
        <v>0</v>
      </c>
      <c r="V272" s="6">
        <f>IF(ISERROR(VLOOKUP($S$272,'TAR FIN'!$A$1:$O$104,15,0)),0,VLOOKUP($S$272,'TAR FIN'!$A$1:$O$104,15,0))</f>
        <v>14.41</v>
      </c>
      <c r="W272" s="6">
        <f>IF(ISERROR(VLOOKUP($T$272,'TAR FIN'!$A$1:$O$104,15,0)),0,VLOOKUP($T$272,'TAR FIN'!$A$1:$O$104,15,0))</f>
        <v>0</v>
      </c>
      <c r="X272" s="6">
        <f>IF(ISERROR(VLOOKUP($U$272,'TAR FIN'!$A$1:$O$104,15,0)),0,VLOOKUP($U$272,'TAR FIN'!$A$1:$O$104,15,0))</f>
        <v>0</v>
      </c>
      <c r="Y272" s="6">
        <f ca="1">('TUSD BE'!$AM$23+'TUSD BF'!$AM$23+'TUSD CVA'!$AM$23)*1</f>
        <v>14.494286200962303</v>
      </c>
      <c r="Z272" s="6"/>
      <c r="AA272" s="6"/>
      <c r="AB272" s="6">
        <f t="shared" si="18"/>
        <v>4323</v>
      </c>
      <c r="AC272" s="6">
        <f t="shared" si="19"/>
        <v>0</v>
      </c>
      <c r="AD272" s="6">
        <f t="shared" ca="1" si="20"/>
        <v>4348.2858602886909</v>
      </c>
      <c r="AE272" s="6">
        <f t="shared" si="21"/>
        <v>0</v>
      </c>
      <c r="AF272" s="4" t="s">
        <v>1000</v>
      </c>
    </row>
    <row r="273" spans="1:32" ht="11.25" customHeight="1" x14ac:dyDescent="0.25">
      <c r="A273" s="4" t="s">
        <v>21</v>
      </c>
      <c r="B273" s="4" t="s">
        <v>41</v>
      </c>
      <c r="C273" s="4" t="s">
        <v>66</v>
      </c>
      <c r="D273" s="4" t="s">
        <v>25</v>
      </c>
      <c r="E273" s="4" t="s">
        <v>25</v>
      </c>
      <c r="F273" s="4" t="s">
        <v>25</v>
      </c>
      <c r="G273" s="4" t="s">
        <v>82</v>
      </c>
      <c r="H273" s="4" t="s">
        <v>25</v>
      </c>
      <c r="I273" s="5">
        <v>44409</v>
      </c>
      <c r="J273" s="6">
        <v>4800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4" t="s">
        <v>68</v>
      </c>
      <c r="R273" s="4">
        <v>43199</v>
      </c>
      <c r="S273" s="4">
        <v>38</v>
      </c>
      <c r="T273" s="4">
        <v>0</v>
      </c>
      <c r="U273" s="4">
        <v>0</v>
      </c>
      <c r="V273" s="6">
        <f>IF(ISERROR(VLOOKUP($S$273,'TAR FIN'!$A$1:$O$104,15,0)),0,VLOOKUP($S$273,'TAR FIN'!$A$1:$O$104,15,0))</f>
        <v>14.41</v>
      </c>
      <c r="W273" s="6">
        <f>IF(ISERROR(VLOOKUP($T$273,'TAR FIN'!$A$1:$O$104,15,0)),0,VLOOKUP($T$273,'TAR FIN'!$A$1:$O$104,15,0))</f>
        <v>0</v>
      </c>
      <c r="X273" s="6">
        <f>IF(ISERROR(VLOOKUP($U$273,'TAR FIN'!$A$1:$O$104,15,0)),0,VLOOKUP($U$273,'TAR FIN'!$A$1:$O$104,15,0))</f>
        <v>0</v>
      </c>
      <c r="Y273" s="6">
        <f ca="1">('TUSD BE'!$AM$23+'TUSD BF'!$AM$23+'TUSD CVA'!$AM$23)*1</f>
        <v>14.494286200962303</v>
      </c>
      <c r="Z273" s="6"/>
      <c r="AA273" s="6"/>
      <c r="AB273" s="6">
        <f t="shared" si="18"/>
        <v>69168</v>
      </c>
      <c r="AC273" s="6">
        <f t="shared" si="19"/>
        <v>0</v>
      </c>
      <c r="AD273" s="6">
        <f t="shared" ca="1" si="20"/>
        <v>69572.573764619054</v>
      </c>
      <c r="AE273" s="6">
        <f t="shared" si="21"/>
        <v>0</v>
      </c>
      <c r="AF273" s="4" t="s">
        <v>1000</v>
      </c>
    </row>
    <row r="274" spans="1:32" ht="11.25" customHeight="1" x14ac:dyDescent="0.25">
      <c r="A274" s="4" t="s">
        <v>21</v>
      </c>
      <c r="B274" s="4" t="s">
        <v>41</v>
      </c>
      <c r="C274" s="4" t="s">
        <v>66</v>
      </c>
      <c r="D274" s="4" t="s">
        <v>25</v>
      </c>
      <c r="E274" s="4" t="s">
        <v>25</v>
      </c>
      <c r="F274" s="4" t="s">
        <v>25</v>
      </c>
      <c r="G274" s="4" t="s">
        <v>83</v>
      </c>
      <c r="H274" s="4" t="s">
        <v>25</v>
      </c>
      <c r="I274" s="5">
        <v>44409</v>
      </c>
      <c r="J274" s="6">
        <v>200</v>
      </c>
      <c r="K274" s="6">
        <v>100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4" t="s">
        <v>68</v>
      </c>
      <c r="S274" s="4">
        <v>38</v>
      </c>
      <c r="T274" s="4">
        <v>0</v>
      </c>
      <c r="U274" s="4">
        <v>0</v>
      </c>
      <c r="V274" s="6">
        <f>IF(ISERROR(VLOOKUP($S$274,'TAR FIN'!$A$1:$O$104,15,0)),0,VLOOKUP($S$274,'TAR FIN'!$A$1:$O$104,15,0))</f>
        <v>14.41</v>
      </c>
      <c r="W274" s="6">
        <f>IF(ISERROR(VLOOKUP($T$274,'TAR FIN'!$A$1:$O$104,15,0)),0,VLOOKUP($T$274,'TAR FIN'!$A$1:$O$104,15,0))</f>
        <v>0</v>
      </c>
      <c r="X274" s="6">
        <f>IF(ISERROR(VLOOKUP($U$274,'TAR FIN'!$A$1:$O$104,15,0)),0,VLOOKUP($U$274,'TAR FIN'!$A$1:$O$104,15,0))</f>
        <v>0</v>
      </c>
      <c r="Y274" s="6">
        <f ca="1">('TUSD BE'!$AM$23+'TUSD BF'!$AM$23+'TUSD CVA'!$AM$23)*1</f>
        <v>14.494286200962303</v>
      </c>
      <c r="Z274" s="6"/>
      <c r="AA274" s="6"/>
      <c r="AB274" s="6">
        <f t="shared" si="18"/>
        <v>1441</v>
      </c>
      <c r="AC274" s="6">
        <f t="shared" si="19"/>
        <v>0</v>
      </c>
      <c r="AD274" s="6">
        <f t="shared" ca="1" si="20"/>
        <v>1449.4286200962304</v>
      </c>
      <c r="AE274" s="6">
        <f t="shared" si="21"/>
        <v>0</v>
      </c>
      <c r="AF274" s="4" t="s">
        <v>1000</v>
      </c>
    </row>
    <row r="275" spans="1:32" ht="11.25" customHeight="1" x14ac:dyDescent="0.25">
      <c r="A275" s="4" t="s">
        <v>21</v>
      </c>
      <c r="B275" s="4" t="s">
        <v>41</v>
      </c>
      <c r="C275" s="4" t="s">
        <v>66</v>
      </c>
      <c r="D275" s="4" t="s">
        <v>25</v>
      </c>
      <c r="E275" s="4" t="s">
        <v>25</v>
      </c>
      <c r="F275" s="4" t="s">
        <v>25</v>
      </c>
      <c r="G275" s="4" t="s">
        <v>72</v>
      </c>
      <c r="H275" s="4" t="s">
        <v>25</v>
      </c>
      <c r="I275" s="5">
        <v>44440</v>
      </c>
      <c r="J275" s="6">
        <v>4500</v>
      </c>
      <c r="K275" s="6">
        <v>2250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4" t="s">
        <v>68</v>
      </c>
      <c r="R275" s="4">
        <v>29075</v>
      </c>
      <c r="S275" s="4">
        <v>38</v>
      </c>
      <c r="T275" s="4">
        <v>0</v>
      </c>
      <c r="U275" s="4">
        <v>0</v>
      </c>
      <c r="V275" s="6">
        <f>IF(ISERROR(VLOOKUP($S$275,'TAR FIN'!$A$1:$O$104,15,0)),0,VLOOKUP($S$275,'TAR FIN'!$A$1:$O$104,15,0))</f>
        <v>14.41</v>
      </c>
      <c r="W275" s="6">
        <f>IF(ISERROR(VLOOKUP($T$275,'TAR FIN'!$A$1:$O$104,15,0)),0,VLOOKUP($T$275,'TAR FIN'!$A$1:$O$104,15,0))</f>
        <v>0</v>
      </c>
      <c r="X275" s="6">
        <f>IF(ISERROR(VLOOKUP($U$275,'TAR FIN'!$A$1:$O$104,15,0)),0,VLOOKUP($U$275,'TAR FIN'!$A$1:$O$104,15,0))</f>
        <v>0</v>
      </c>
      <c r="Y275" s="6">
        <f ca="1">('TUSD BE'!$AM$23+'TUSD BF'!$AM$23+'TUSD CVA'!$AM$23)*1</f>
        <v>14.494286200962303</v>
      </c>
      <c r="Z275" s="6"/>
      <c r="AA275" s="6"/>
      <c r="AB275" s="6">
        <f t="shared" si="18"/>
        <v>32422.5</v>
      </c>
      <c r="AC275" s="6">
        <f t="shared" si="19"/>
        <v>0</v>
      </c>
      <c r="AD275" s="6">
        <f t="shared" ca="1" si="20"/>
        <v>32612.143952165185</v>
      </c>
      <c r="AE275" s="6">
        <f t="shared" si="21"/>
        <v>0</v>
      </c>
      <c r="AF275" s="4" t="s">
        <v>1000</v>
      </c>
    </row>
    <row r="276" spans="1:32" ht="11.25" customHeight="1" x14ac:dyDescent="0.25">
      <c r="A276" s="4" t="s">
        <v>21</v>
      </c>
      <c r="B276" s="4" t="s">
        <v>41</v>
      </c>
      <c r="C276" s="4" t="s">
        <v>66</v>
      </c>
      <c r="D276" s="4" t="s">
        <v>25</v>
      </c>
      <c r="E276" s="4" t="s">
        <v>25</v>
      </c>
      <c r="F276" s="4" t="s">
        <v>25</v>
      </c>
      <c r="G276" s="4" t="s">
        <v>74</v>
      </c>
      <c r="H276" s="4" t="s">
        <v>25</v>
      </c>
      <c r="I276" s="5">
        <v>44440</v>
      </c>
      <c r="J276" s="6">
        <v>3000</v>
      </c>
      <c r="K276" s="6">
        <v>1500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4" t="s">
        <v>68</v>
      </c>
      <c r="S276" s="4">
        <v>38</v>
      </c>
      <c r="T276" s="4">
        <v>0</v>
      </c>
      <c r="U276" s="4">
        <v>0</v>
      </c>
      <c r="V276" s="6">
        <f>IF(ISERROR(VLOOKUP($S$276,'TAR FIN'!$A$1:$O$104,15,0)),0,VLOOKUP($S$276,'TAR FIN'!$A$1:$O$104,15,0))</f>
        <v>14.41</v>
      </c>
      <c r="W276" s="6">
        <f>IF(ISERROR(VLOOKUP($T$276,'TAR FIN'!$A$1:$O$104,15,0)),0,VLOOKUP($T$276,'TAR FIN'!$A$1:$O$104,15,0))</f>
        <v>0</v>
      </c>
      <c r="X276" s="6">
        <f>IF(ISERROR(VLOOKUP($U$276,'TAR FIN'!$A$1:$O$104,15,0)),0,VLOOKUP($U$276,'TAR FIN'!$A$1:$O$104,15,0))</f>
        <v>0</v>
      </c>
      <c r="Y276" s="6">
        <f ca="1">('TUSD BE'!$AM$23+'TUSD BF'!$AM$23+'TUSD CVA'!$AM$23)*1</f>
        <v>14.494286200962303</v>
      </c>
      <c r="Z276" s="6"/>
      <c r="AA276" s="6"/>
      <c r="AB276" s="6">
        <f t="shared" si="18"/>
        <v>21615</v>
      </c>
      <c r="AC276" s="6">
        <f t="shared" si="19"/>
        <v>0</v>
      </c>
      <c r="AD276" s="6">
        <f t="shared" ca="1" si="20"/>
        <v>21741.429301443455</v>
      </c>
      <c r="AE276" s="6">
        <f t="shared" si="21"/>
        <v>0</v>
      </c>
      <c r="AF276" s="4" t="s">
        <v>1000</v>
      </c>
    </row>
    <row r="277" spans="1:32" ht="11.25" customHeight="1" x14ac:dyDescent="0.25">
      <c r="A277" s="4" t="s">
        <v>21</v>
      </c>
      <c r="B277" s="4" t="s">
        <v>41</v>
      </c>
      <c r="C277" s="4" t="s">
        <v>66</v>
      </c>
      <c r="D277" s="4" t="s">
        <v>25</v>
      </c>
      <c r="E277" s="4" t="s">
        <v>25</v>
      </c>
      <c r="F277" s="4" t="s">
        <v>25</v>
      </c>
      <c r="G277" s="4" t="s">
        <v>80</v>
      </c>
      <c r="H277" s="4" t="s">
        <v>25</v>
      </c>
      <c r="I277" s="5">
        <v>44440</v>
      </c>
      <c r="J277" s="6">
        <v>3000</v>
      </c>
      <c r="K277" s="6">
        <v>1500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4" t="s">
        <v>68</v>
      </c>
      <c r="R277" s="4">
        <v>34891</v>
      </c>
      <c r="S277" s="4">
        <v>38</v>
      </c>
      <c r="T277" s="4">
        <v>0</v>
      </c>
      <c r="U277" s="4">
        <v>0</v>
      </c>
      <c r="V277" s="6">
        <f>IF(ISERROR(VLOOKUP($S$277,'TAR FIN'!$A$1:$O$104,15,0)),0,VLOOKUP($S$277,'TAR FIN'!$A$1:$O$104,15,0))</f>
        <v>14.41</v>
      </c>
      <c r="W277" s="6">
        <f>IF(ISERROR(VLOOKUP($T$277,'TAR FIN'!$A$1:$O$104,15,0)),0,VLOOKUP($T$277,'TAR FIN'!$A$1:$O$104,15,0))</f>
        <v>0</v>
      </c>
      <c r="X277" s="6">
        <f>IF(ISERROR(VLOOKUP($U$277,'TAR FIN'!$A$1:$O$104,15,0)),0,VLOOKUP($U$277,'TAR FIN'!$A$1:$O$104,15,0))</f>
        <v>0</v>
      </c>
      <c r="Y277" s="6">
        <f ca="1">('TUSD BE'!$AM$23+'TUSD BF'!$AM$23+'TUSD CVA'!$AM$23)*1</f>
        <v>14.494286200962303</v>
      </c>
      <c r="Z277" s="6"/>
      <c r="AA277" s="6"/>
      <c r="AB277" s="6">
        <f t="shared" si="18"/>
        <v>21615</v>
      </c>
      <c r="AC277" s="6">
        <f t="shared" si="19"/>
        <v>0</v>
      </c>
      <c r="AD277" s="6">
        <f t="shared" ca="1" si="20"/>
        <v>21741.429301443455</v>
      </c>
      <c r="AE277" s="6">
        <f t="shared" si="21"/>
        <v>0</v>
      </c>
      <c r="AF277" s="4" t="s">
        <v>1000</v>
      </c>
    </row>
    <row r="278" spans="1:32" ht="11.25" customHeight="1" x14ac:dyDescent="0.25">
      <c r="A278" s="4" t="s">
        <v>21</v>
      </c>
      <c r="B278" s="4" t="s">
        <v>41</v>
      </c>
      <c r="C278" s="4" t="s">
        <v>66</v>
      </c>
      <c r="D278" s="4" t="s">
        <v>25</v>
      </c>
      <c r="E278" s="4" t="s">
        <v>25</v>
      </c>
      <c r="F278" s="4" t="s">
        <v>25</v>
      </c>
      <c r="G278" s="4" t="s">
        <v>81</v>
      </c>
      <c r="H278" s="4" t="s">
        <v>25</v>
      </c>
      <c r="I278" s="5">
        <v>44440</v>
      </c>
      <c r="J278" s="6">
        <v>600</v>
      </c>
      <c r="K278" s="6">
        <v>300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4" t="s">
        <v>68</v>
      </c>
      <c r="R278" s="4">
        <v>34893</v>
      </c>
      <c r="S278" s="4">
        <v>38</v>
      </c>
      <c r="T278" s="4">
        <v>0</v>
      </c>
      <c r="U278" s="4">
        <v>0</v>
      </c>
      <c r="V278" s="6">
        <f>IF(ISERROR(VLOOKUP($S$278,'TAR FIN'!$A$1:$O$104,15,0)),0,VLOOKUP($S$278,'TAR FIN'!$A$1:$O$104,15,0))</f>
        <v>14.41</v>
      </c>
      <c r="W278" s="6">
        <f>IF(ISERROR(VLOOKUP($T$278,'TAR FIN'!$A$1:$O$104,15,0)),0,VLOOKUP($T$278,'TAR FIN'!$A$1:$O$104,15,0))</f>
        <v>0</v>
      </c>
      <c r="X278" s="6">
        <f>IF(ISERROR(VLOOKUP($U$278,'TAR FIN'!$A$1:$O$104,15,0)),0,VLOOKUP($U$278,'TAR FIN'!$A$1:$O$104,15,0))</f>
        <v>0</v>
      </c>
      <c r="Y278" s="6">
        <f ca="1">('TUSD BE'!$AM$23+'TUSD BF'!$AM$23+'TUSD CVA'!$AM$23)*1</f>
        <v>14.494286200962303</v>
      </c>
      <c r="Z278" s="6"/>
      <c r="AA278" s="6"/>
      <c r="AB278" s="6">
        <f t="shared" si="18"/>
        <v>4323</v>
      </c>
      <c r="AC278" s="6">
        <f t="shared" si="19"/>
        <v>0</v>
      </c>
      <c r="AD278" s="6">
        <f t="shared" ca="1" si="20"/>
        <v>4348.2858602886909</v>
      </c>
      <c r="AE278" s="6">
        <f t="shared" si="21"/>
        <v>0</v>
      </c>
      <c r="AF278" s="4" t="s">
        <v>1000</v>
      </c>
    </row>
    <row r="279" spans="1:32" ht="11.25" customHeight="1" x14ac:dyDescent="0.25">
      <c r="A279" s="4" t="s">
        <v>21</v>
      </c>
      <c r="B279" s="4" t="s">
        <v>41</v>
      </c>
      <c r="C279" s="4" t="s">
        <v>66</v>
      </c>
      <c r="D279" s="4" t="s">
        <v>25</v>
      </c>
      <c r="E279" s="4" t="s">
        <v>25</v>
      </c>
      <c r="F279" s="4" t="s">
        <v>25</v>
      </c>
      <c r="G279" s="4" t="s">
        <v>82</v>
      </c>
      <c r="H279" s="4" t="s">
        <v>25</v>
      </c>
      <c r="I279" s="5">
        <v>44440</v>
      </c>
      <c r="J279" s="6">
        <v>4800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4" t="s">
        <v>68</v>
      </c>
      <c r="R279" s="4">
        <v>43199</v>
      </c>
      <c r="S279" s="4">
        <v>38</v>
      </c>
      <c r="T279" s="4">
        <v>0</v>
      </c>
      <c r="U279" s="4">
        <v>0</v>
      </c>
      <c r="V279" s="6">
        <f>IF(ISERROR(VLOOKUP($S$279,'TAR FIN'!$A$1:$O$104,15,0)),0,VLOOKUP($S$279,'TAR FIN'!$A$1:$O$104,15,0))</f>
        <v>14.41</v>
      </c>
      <c r="W279" s="6">
        <f>IF(ISERROR(VLOOKUP($T$279,'TAR FIN'!$A$1:$O$104,15,0)),0,VLOOKUP($T$279,'TAR FIN'!$A$1:$O$104,15,0))</f>
        <v>0</v>
      </c>
      <c r="X279" s="6">
        <f>IF(ISERROR(VLOOKUP($U$279,'TAR FIN'!$A$1:$O$104,15,0)),0,VLOOKUP($U$279,'TAR FIN'!$A$1:$O$104,15,0))</f>
        <v>0</v>
      </c>
      <c r="Y279" s="6">
        <f ca="1">('TUSD BE'!$AM$23+'TUSD BF'!$AM$23+'TUSD CVA'!$AM$23)*1</f>
        <v>14.494286200962303</v>
      </c>
      <c r="Z279" s="6"/>
      <c r="AA279" s="6"/>
      <c r="AB279" s="6">
        <f t="shared" si="18"/>
        <v>69168</v>
      </c>
      <c r="AC279" s="6">
        <f t="shared" si="19"/>
        <v>0</v>
      </c>
      <c r="AD279" s="6">
        <f t="shared" ca="1" si="20"/>
        <v>69572.573764619054</v>
      </c>
      <c r="AE279" s="6">
        <f t="shared" si="21"/>
        <v>0</v>
      </c>
      <c r="AF279" s="4" t="s">
        <v>1000</v>
      </c>
    </row>
    <row r="280" spans="1:32" ht="11.25" customHeight="1" x14ac:dyDescent="0.25">
      <c r="A280" s="4" t="s">
        <v>21</v>
      </c>
      <c r="B280" s="4" t="s">
        <v>41</v>
      </c>
      <c r="C280" s="4" t="s">
        <v>66</v>
      </c>
      <c r="D280" s="4" t="s">
        <v>25</v>
      </c>
      <c r="E280" s="4" t="s">
        <v>25</v>
      </c>
      <c r="F280" s="4" t="s">
        <v>25</v>
      </c>
      <c r="G280" s="4" t="s">
        <v>83</v>
      </c>
      <c r="H280" s="4" t="s">
        <v>25</v>
      </c>
      <c r="I280" s="5">
        <v>44440</v>
      </c>
      <c r="J280" s="6">
        <v>200</v>
      </c>
      <c r="K280" s="6">
        <v>100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4" t="s">
        <v>68</v>
      </c>
      <c r="S280" s="4">
        <v>38</v>
      </c>
      <c r="T280" s="4">
        <v>0</v>
      </c>
      <c r="U280" s="4">
        <v>0</v>
      </c>
      <c r="V280" s="6">
        <f>IF(ISERROR(VLOOKUP($S$280,'TAR FIN'!$A$1:$O$104,15,0)),0,VLOOKUP($S$280,'TAR FIN'!$A$1:$O$104,15,0))</f>
        <v>14.41</v>
      </c>
      <c r="W280" s="6">
        <f>IF(ISERROR(VLOOKUP($T$280,'TAR FIN'!$A$1:$O$104,15,0)),0,VLOOKUP($T$280,'TAR FIN'!$A$1:$O$104,15,0))</f>
        <v>0</v>
      </c>
      <c r="X280" s="6">
        <f>IF(ISERROR(VLOOKUP($U$280,'TAR FIN'!$A$1:$O$104,15,0)),0,VLOOKUP($U$280,'TAR FIN'!$A$1:$O$104,15,0))</f>
        <v>0</v>
      </c>
      <c r="Y280" s="6">
        <f ca="1">('TUSD BE'!$AM$23+'TUSD BF'!$AM$23+'TUSD CVA'!$AM$23)*1</f>
        <v>14.494286200962303</v>
      </c>
      <c r="Z280" s="6"/>
      <c r="AA280" s="6"/>
      <c r="AB280" s="6">
        <f t="shared" si="18"/>
        <v>1441</v>
      </c>
      <c r="AC280" s="6">
        <f t="shared" si="19"/>
        <v>0</v>
      </c>
      <c r="AD280" s="6">
        <f t="shared" ca="1" si="20"/>
        <v>1449.4286200962304</v>
      </c>
      <c r="AE280" s="6">
        <f t="shared" si="21"/>
        <v>0</v>
      </c>
      <c r="AF280" s="4" t="s">
        <v>1000</v>
      </c>
    </row>
    <row r="281" spans="1:32" ht="11.25" customHeight="1" x14ac:dyDescent="0.25">
      <c r="A281" s="4" t="s">
        <v>21</v>
      </c>
      <c r="B281" s="4" t="s">
        <v>41</v>
      </c>
      <c r="C281" s="4" t="s">
        <v>66</v>
      </c>
      <c r="D281" s="4" t="s">
        <v>25</v>
      </c>
      <c r="E281" s="4" t="s">
        <v>25</v>
      </c>
      <c r="F281" s="4" t="s">
        <v>25</v>
      </c>
      <c r="G281" s="4" t="s">
        <v>84</v>
      </c>
      <c r="H281" s="4" t="s">
        <v>25</v>
      </c>
      <c r="I281" s="5">
        <v>44440</v>
      </c>
      <c r="J281" s="6">
        <v>250</v>
      </c>
      <c r="K281" s="6">
        <v>125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4" t="s">
        <v>68</v>
      </c>
      <c r="S281" s="4">
        <v>38</v>
      </c>
      <c r="T281" s="4">
        <v>0</v>
      </c>
      <c r="U281" s="4">
        <v>0</v>
      </c>
      <c r="V281" s="6">
        <f>IF(ISERROR(VLOOKUP($S$281,'TAR FIN'!$A$1:$O$104,15,0)),0,VLOOKUP($S$281,'TAR FIN'!$A$1:$O$104,15,0))</f>
        <v>14.41</v>
      </c>
      <c r="W281" s="6">
        <f>IF(ISERROR(VLOOKUP($T$281,'TAR FIN'!$A$1:$O$104,15,0)),0,VLOOKUP($T$281,'TAR FIN'!$A$1:$O$104,15,0))</f>
        <v>0</v>
      </c>
      <c r="X281" s="6">
        <f>IF(ISERROR(VLOOKUP($U$281,'TAR FIN'!$A$1:$O$104,15,0)),0,VLOOKUP($U$281,'TAR FIN'!$A$1:$O$104,15,0))</f>
        <v>0</v>
      </c>
      <c r="Y281" s="6">
        <f ca="1">('TUSD BE'!$AM$23+'TUSD BF'!$AM$23+'TUSD CVA'!$AM$23)*1</f>
        <v>14.494286200962303</v>
      </c>
      <c r="Z281" s="6"/>
      <c r="AA281" s="6"/>
      <c r="AB281" s="6">
        <f t="shared" si="18"/>
        <v>1801.25</v>
      </c>
      <c r="AC281" s="6">
        <f t="shared" si="19"/>
        <v>0</v>
      </c>
      <c r="AD281" s="6">
        <f t="shared" ca="1" si="20"/>
        <v>1811.785775120288</v>
      </c>
      <c r="AE281" s="6">
        <f t="shared" si="21"/>
        <v>0</v>
      </c>
      <c r="AF281" s="4" t="s">
        <v>1000</v>
      </c>
    </row>
    <row r="282" spans="1:32" ht="11.25" customHeight="1" x14ac:dyDescent="0.25">
      <c r="A282" s="4" t="s">
        <v>27</v>
      </c>
      <c r="B282" s="4" t="s">
        <v>41</v>
      </c>
      <c r="C282" s="4" t="s">
        <v>66</v>
      </c>
      <c r="D282" s="4" t="s">
        <v>25</v>
      </c>
      <c r="E282" s="4" t="s">
        <v>25</v>
      </c>
      <c r="F282" s="4" t="s">
        <v>25</v>
      </c>
      <c r="G282" s="4" t="s">
        <v>84</v>
      </c>
      <c r="H282" s="4" t="s">
        <v>25</v>
      </c>
      <c r="I282" s="5">
        <v>44440</v>
      </c>
      <c r="J282" s="6">
        <v>122</v>
      </c>
      <c r="K282" s="6">
        <v>122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4" t="s">
        <v>68</v>
      </c>
      <c r="S282" s="4">
        <v>38</v>
      </c>
      <c r="T282" s="4">
        <v>0</v>
      </c>
      <c r="U282" s="4">
        <v>0</v>
      </c>
      <c r="V282" s="6">
        <f>IF(ISERROR(VLOOKUP($S$282,'TAR FIN'!$A$1:$O$104,15,0)),0,VLOOKUP($S$282,'TAR FIN'!$A$1:$O$104,15,0))</f>
        <v>14.41</v>
      </c>
      <c r="W282" s="6">
        <f>IF(ISERROR(VLOOKUP($T$282,'TAR FIN'!$A$1:$O$104,15,0)),0,VLOOKUP($T$282,'TAR FIN'!$A$1:$O$104,15,0))</f>
        <v>0</v>
      </c>
      <c r="X282" s="6">
        <f>IF(ISERROR(VLOOKUP($U$282,'TAR FIN'!$A$1:$O$104,15,0)),0,VLOOKUP($U$282,'TAR FIN'!$A$1:$O$104,15,0))</f>
        <v>0</v>
      </c>
      <c r="Y282" s="6">
        <f ca="1">('TUSD BE'!$AM$23+'TUSD BF'!$AM$23+'TUSD CVA'!$AM$23)*1</f>
        <v>14.494286200962303</v>
      </c>
      <c r="Z282" s="6"/>
      <c r="AA282" s="6"/>
      <c r="AB282" s="6">
        <f t="shared" si="18"/>
        <v>0</v>
      </c>
      <c r="AC282" s="6">
        <f t="shared" si="19"/>
        <v>0</v>
      </c>
      <c r="AD282" s="6">
        <f t="shared" ca="1" si="20"/>
        <v>0</v>
      </c>
      <c r="AE282" s="6">
        <f t="shared" si="21"/>
        <v>0</v>
      </c>
      <c r="AF282" s="4" t="s">
        <v>1000</v>
      </c>
    </row>
    <row r="283" spans="1:32" ht="11.25" customHeight="1" x14ac:dyDescent="0.25">
      <c r="A283" s="4" t="s">
        <v>21</v>
      </c>
      <c r="B283" s="4" t="s">
        <v>41</v>
      </c>
      <c r="C283" s="4" t="s">
        <v>66</v>
      </c>
      <c r="D283" s="4" t="s">
        <v>25</v>
      </c>
      <c r="E283" s="4" t="s">
        <v>25</v>
      </c>
      <c r="F283" s="4" t="s">
        <v>25</v>
      </c>
      <c r="G283" s="4" t="s">
        <v>85</v>
      </c>
      <c r="H283" s="4" t="s">
        <v>25</v>
      </c>
      <c r="I283" s="5">
        <v>44440</v>
      </c>
      <c r="J283" s="6">
        <v>250</v>
      </c>
      <c r="K283" s="6">
        <v>125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4" t="s">
        <v>68</v>
      </c>
      <c r="R283" s="4">
        <v>52044</v>
      </c>
      <c r="S283" s="4">
        <v>38</v>
      </c>
      <c r="T283" s="4">
        <v>0</v>
      </c>
      <c r="U283" s="4">
        <v>0</v>
      </c>
      <c r="V283" s="6">
        <f>IF(ISERROR(VLOOKUP($S$283,'TAR FIN'!$A$1:$O$104,15,0)),0,VLOOKUP($S$283,'TAR FIN'!$A$1:$O$104,15,0))</f>
        <v>14.41</v>
      </c>
      <c r="W283" s="6">
        <f>IF(ISERROR(VLOOKUP($T$283,'TAR FIN'!$A$1:$O$104,15,0)),0,VLOOKUP($T$283,'TAR FIN'!$A$1:$O$104,15,0))</f>
        <v>0</v>
      </c>
      <c r="X283" s="6">
        <f>IF(ISERROR(VLOOKUP($U$283,'TAR FIN'!$A$1:$O$104,15,0)),0,VLOOKUP($U$283,'TAR FIN'!$A$1:$O$104,15,0))</f>
        <v>0</v>
      </c>
      <c r="Y283" s="6">
        <f ca="1">('TUSD BE'!$AM$23+'TUSD BF'!$AM$23+'TUSD CVA'!$AM$23)*1</f>
        <v>14.494286200962303</v>
      </c>
      <c r="Z283" s="6"/>
      <c r="AA283" s="6"/>
      <c r="AB283" s="6">
        <f t="shared" si="18"/>
        <v>1801.25</v>
      </c>
      <c r="AC283" s="6">
        <f t="shared" si="19"/>
        <v>0</v>
      </c>
      <c r="AD283" s="6">
        <f t="shared" ca="1" si="20"/>
        <v>1811.785775120288</v>
      </c>
      <c r="AE283" s="6">
        <f t="shared" si="21"/>
        <v>0</v>
      </c>
      <c r="AF283" s="4" t="s">
        <v>1000</v>
      </c>
    </row>
    <row r="284" spans="1:32" ht="11.25" customHeight="1" x14ac:dyDescent="0.25">
      <c r="A284" s="4" t="s">
        <v>27</v>
      </c>
      <c r="B284" s="4" t="s">
        <v>41</v>
      </c>
      <c r="C284" s="4" t="s">
        <v>66</v>
      </c>
      <c r="D284" s="4" t="s">
        <v>25</v>
      </c>
      <c r="E284" s="4" t="s">
        <v>25</v>
      </c>
      <c r="F284" s="4" t="s">
        <v>25</v>
      </c>
      <c r="G284" s="4" t="s">
        <v>85</v>
      </c>
      <c r="H284" s="4" t="s">
        <v>25</v>
      </c>
      <c r="I284" s="5">
        <v>44440</v>
      </c>
      <c r="J284" s="6">
        <v>223</v>
      </c>
      <c r="K284" s="6">
        <v>223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4" t="s">
        <v>68</v>
      </c>
      <c r="R284" s="4">
        <v>52044</v>
      </c>
      <c r="S284" s="4">
        <v>38</v>
      </c>
      <c r="T284" s="4">
        <v>0</v>
      </c>
      <c r="U284" s="4">
        <v>0</v>
      </c>
      <c r="V284" s="6">
        <f>IF(ISERROR(VLOOKUP($S$284,'TAR FIN'!$A$1:$O$104,15,0)),0,VLOOKUP($S$284,'TAR FIN'!$A$1:$O$104,15,0))</f>
        <v>14.41</v>
      </c>
      <c r="W284" s="6">
        <f>IF(ISERROR(VLOOKUP($T$284,'TAR FIN'!$A$1:$O$104,15,0)),0,VLOOKUP($T$284,'TAR FIN'!$A$1:$O$104,15,0))</f>
        <v>0</v>
      </c>
      <c r="X284" s="6">
        <f>IF(ISERROR(VLOOKUP($U$284,'TAR FIN'!$A$1:$O$104,15,0)),0,VLOOKUP($U$284,'TAR FIN'!$A$1:$O$104,15,0))</f>
        <v>0</v>
      </c>
      <c r="Y284" s="6">
        <f ca="1">('TUSD BE'!$AM$23+'TUSD BF'!$AM$23+'TUSD CVA'!$AM$23)*1</f>
        <v>14.494286200962303</v>
      </c>
      <c r="Z284" s="6"/>
      <c r="AA284" s="6"/>
      <c r="AB284" s="6">
        <f t="shared" si="18"/>
        <v>0</v>
      </c>
      <c r="AC284" s="6">
        <f t="shared" si="19"/>
        <v>0</v>
      </c>
      <c r="AD284" s="6">
        <f t="shared" ca="1" si="20"/>
        <v>0</v>
      </c>
      <c r="AE284" s="6">
        <f t="shared" si="21"/>
        <v>0</v>
      </c>
      <c r="AF284" s="4" t="s">
        <v>1000</v>
      </c>
    </row>
    <row r="285" spans="1:32" ht="11.25" customHeight="1" x14ac:dyDescent="0.25">
      <c r="A285" s="4" t="s">
        <v>21</v>
      </c>
      <c r="B285" s="4" t="s">
        <v>41</v>
      </c>
      <c r="C285" s="4" t="s">
        <v>66</v>
      </c>
      <c r="D285" s="4" t="s">
        <v>25</v>
      </c>
      <c r="E285" s="4" t="s">
        <v>25</v>
      </c>
      <c r="F285" s="4" t="s">
        <v>25</v>
      </c>
      <c r="G285" s="4" t="s">
        <v>72</v>
      </c>
      <c r="H285" s="4" t="s">
        <v>25</v>
      </c>
      <c r="I285" s="5">
        <v>44470</v>
      </c>
      <c r="J285" s="6">
        <v>4500</v>
      </c>
      <c r="K285" s="6">
        <v>2250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4" t="s">
        <v>68</v>
      </c>
      <c r="R285" s="4">
        <v>29075</v>
      </c>
      <c r="S285" s="4">
        <v>38</v>
      </c>
      <c r="T285" s="4">
        <v>0</v>
      </c>
      <c r="U285" s="4">
        <v>0</v>
      </c>
      <c r="V285" s="6">
        <f>IF(ISERROR(VLOOKUP($S$285,'TAR FIN'!$A$1:$O$104,15,0)),0,VLOOKUP($S$285,'TAR FIN'!$A$1:$O$104,15,0))</f>
        <v>14.41</v>
      </c>
      <c r="W285" s="6">
        <f>IF(ISERROR(VLOOKUP($T$285,'TAR FIN'!$A$1:$O$104,15,0)),0,VLOOKUP($T$285,'TAR FIN'!$A$1:$O$104,15,0))</f>
        <v>0</v>
      </c>
      <c r="X285" s="6">
        <f>IF(ISERROR(VLOOKUP($U$285,'TAR FIN'!$A$1:$O$104,15,0)),0,VLOOKUP($U$285,'TAR FIN'!$A$1:$O$104,15,0))</f>
        <v>0</v>
      </c>
      <c r="Y285" s="6">
        <f ca="1">('TUSD BE'!$AM$23+'TUSD BF'!$AM$23+'TUSD CVA'!$AM$23)*1</f>
        <v>14.494286200962303</v>
      </c>
      <c r="Z285" s="6"/>
      <c r="AA285" s="6"/>
      <c r="AB285" s="6">
        <f t="shared" si="18"/>
        <v>32422.5</v>
      </c>
      <c r="AC285" s="6">
        <f t="shared" si="19"/>
        <v>0</v>
      </c>
      <c r="AD285" s="6">
        <f t="shared" ca="1" si="20"/>
        <v>32612.143952165185</v>
      </c>
      <c r="AE285" s="6">
        <f t="shared" si="21"/>
        <v>0</v>
      </c>
      <c r="AF285" s="4" t="s">
        <v>1000</v>
      </c>
    </row>
    <row r="286" spans="1:32" ht="11.25" customHeight="1" x14ac:dyDescent="0.25">
      <c r="A286" s="4" t="s">
        <v>21</v>
      </c>
      <c r="B286" s="4" t="s">
        <v>41</v>
      </c>
      <c r="C286" s="4" t="s">
        <v>66</v>
      </c>
      <c r="D286" s="4" t="s">
        <v>25</v>
      </c>
      <c r="E286" s="4" t="s">
        <v>25</v>
      </c>
      <c r="F286" s="4" t="s">
        <v>25</v>
      </c>
      <c r="G286" s="4" t="s">
        <v>74</v>
      </c>
      <c r="H286" s="4" t="s">
        <v>25</v>
      </c>
      <c r="I286" s="5">
        <v>44470</v>
      </c>
      <c r="J286" s="6">
        <v>3000</v>
      </c>
      <c r="K286" s="6">
        <v>1500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4" t="s">
        <v>68</v>
      </c>
      <c r="S286" s="4">
        <v>38</v>
      </c>
      <c r="T286" s="4">
        <v>0</v>
      </c>
      <c r="U286" s="4">
        <v>0</v>
      </c>
      <c r="V286" s="6">
        <f>IF(ISERROR(VLOOKUP($S$286,'TAR FIN'!$A$1:$O$104,15,0)),0,VLOOKUP($S$286,'TAR FIN'!$A$1:$O$104,15,0))</f>
        <v>14.41</v>
      </c>
      <c r="W286" s="6">
        <f>IF(ISERROR(VLOOKUP($T$286,'TAR FIN'!$A$1:$O$104,15,0)),0,VLOOKUP($T$286,'TAR FIN'!$A$1:$O$104,15,0))</f>
        <v>0</v>
      </c>
      <c r="X286" s="6">
        <f>IF(ISERROR(VLOOKUP($U$286,'TAR FIN'!$A$1:$O$104,15,0)),0,VLOOKUP($U$286,'TAR FIN'!$A$1:$O$104,15,0))</f>
        <v>0</v>
      </c>
      <c r="Y286" s="6">
        <f ca="1">('TUSD BE'!$AM$23+'TUSD BF'!$AM$23+'TUSD CVA'!$AM$23)*1</f>
        <v>14.494286200962303</v>
      </c>
      <c r="Z286" s="6"/>
      <c r="AA286" s="6"/>
      <c r="AB286" s="6">
        <f t="shared" si="18"/>
        <v>21615</v>
      </c>
      <c r="AC286" s="6">
        <f t="shared" si="19"/>
        <v>0</v>
      </c>
      <c r="AD286" s="6">
        <f t="shared" ca="1" si="20"/>
        <v>21741.429301443455</v>
      </c>
      <c r="AE286" s="6">
        <f t="shared" si="21"/>
        <v>0</v>
      </c>
      <c r="AF286" s="4" t="s">
        <v>1000</v>
      </c>
    </row>
    <row r="287" spans="1:32" ht="11.25" customHeight="1" x14ac:dyDescent="0.25">
      <c r="A287" s="4" t="s">
        <v>21</v>
      </c>
      <c r="B287" s="4" t="s">
        <v>41</v>
      </c>
      <c r="C287" s="4" t="s">
        <v>66</v>
      </c>
      <c r="D287" s="4" t="s">
        <v>25</v>
      </c>
      <c r="E287" s="4" t="s">
        <v>25</v>
      </c>
      <c r="F287" s="4" t="s">
        <v>25</v>
      </c>
      <c r="G287" s="4" t="s">
        <v>80</v>
      </c>
      <c r="H287" s="4" t="s">
        <v>25</v>
      </c>
      <c r="I287" s="5">
        <v>44470</v>
      </c>
      <c r="J287" s="6">
        <v>3884</v>
      </c>
      <c r="K287" s="6">
        <v>1942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4" t="s">
        <v>68</v>
      </c>
      <c r="R287" s="4">
        <v>34891</v>
      </c>
      <c r="S287" s="4">
        <v>38</v>
      </c>
      <c r="T287" s="4">
        <v>0</v>
      </c>
      <c r="U287" s="4">
        <v>0</v>
      </c>
      <c r="V287" s="6">
        <f>IF(ISERROR(VLOOKUP($S$287,'TAR FIN'!$A$1:$O$104,15,0)),0,VLOOKUP($S$287,'TAR FIN'!$A$1:$O$104,15,0))</f>
        <v>14.41</v>
      </c>
      <c r="W287" s="6">
        <f>IF(ISERROR(VLOOKUP($T$287,'TAR FIN'!$A$1:$O$104,15,0)),0,VLOOKUP($T$287,'TAR FIN'!$A$1:$O$104,15,0))</f>
        <v>0</v>
      </c>
      <c r="X287" s="6">
        <f>IF(ISERROR(VLOOKUP($U$287,'TAR FIN'!$A$1:$O$104,15,0)),0,VLOOKUP($U$287,'TAR FIN'!$A$1:$O$104,15,0))</f>
        <v>0</v>
      </c>
      <c r="Y287" s="6">
        <f ca="1">('TUSD BE'!$AM$23+'TUSD BF'!$AM$23+'TUSD CVA'!$AM$23)*1</f>
        <v>14.494286200962303</v>
      </c>
      <c r="Z287" s="6"/>
      <c r="AA287" s="6"/>
      <c r="AB287" s="6">
        <f t="shared" si="18"/>
        <v>27984.22</v>
      </c>
      <c r="AC287" s="6">
        <f t="shared" si="19"/>
        <v>0</v>
      </c>
      <c r="AD287" s="6">
        <f t="shared" ca="1" si="20"/>
        <v>28147.903802268793</v>
      </c>
      <c r="AE287" s="6">
        <f t="shared" si="21"/>
        <v>0</v>
      </c>
      <c r="AF287" s="4" t="s">
        <v>1000</v>
      </c>
    </row>
    <row r="288" spans="1:32" ht="11.25" customHeight="1" x14ac:dyDescent="0.25">
      <c r="A288" s="4" t="s">
        <v>21</v>
      </c>
      <c r="B288" s="4" t="s">
        <v>41</v>
      </c>
      <c r="C288" s="4" t="s">
        <v>66</v>
      </c>
      <c r="D288" s="4" t="s">
        <v>25</v>
      </c>
      <c r="E288" s="4" t="s">
        <v>25</v>
      </c>
      <c r="F288" s="4" t="s">
        <v>25</v>
      </c>
      <c r="G288" s="4" t="s">
        <v>81</v>
      </c>
      <c r="H288" s="4" t="s">
        <v>25</v>
      </c>
      <c r="I288" s="5">
        <v>44470</v>
      </c>
      <c r="J288" s="6">
        <v>600</v>
      </c>
      <c r="K288" s="6">
        <v>300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4" t="s">
        <v>68</v>
      </c>
      <c r="R288" s="4">
        <v>34893</v>
      </c>
      <c r="S288" s="4">
        <v>38</v>
      </c>
      <c r="T288" s="4">
        <v>0</v>
      </c>
      <c r="U288" s="4">
        <v>0</v>
      </c>
      <c r="V288" s="6">
        <f>IF(ISERROR(VLOOKUP($S$288,'TAR FIN'!$A$1:$O$104,15,0)),0,VLOOKUP($S$288,'TAR FIN'!$A$1:$O$104,15,0))</f>
        <v>14.41</v>
      </c>
      <c r="W288" s="6">
        <f>IF(ISERROR(VLOOKUP($T$288,'TAR FIN'!$A$1:$O$104,15,0)),0,VLOOKUP($T$288,'TAR FIN'!$A$1:$O$104,15,0))</f>
        <v>0</v>
      </c>
      <c r="X288" s="6">
        <f>IF(ISERROR(VLOOKUP($U$288,'TAR FIN'!$A$1:$O$104,15,0)),0,VLOOKUP($U$288,'TAR FIN'!$A$1:$O$104,15,0))</f>
        <v>0</v>
      </c>
      <c r="Y288" s="6">
        <f ca="1">('TUSD BE'!$AM$23+'TUSD BF'!$AM$23+'TUSD CVA'!$AM$23)*1</f>
        <v>14.494286200962303</v>
      </c>
      <c r="Z288" s="6"/>
      <c r="AA288" s="6"/>
      <c r="AB288" s="6">
        <f t="shared" si="18"/>
        <v>4323</v>
      </c>
      <c r="AC288" s="6">
        <f t="shared" si="19"/>
        <v>0</v>
      </c>
      <c r="AD288" s="6">
        <f t="shared" ca="1" si="20"/>
        <v>4348.2858602886909</v>
      </c>
      <c r="AE288" s="6">
        <f t="shared" si="21"/>
        <v>0</v>
      </c>
      <c r="AF288" s="4" t="s">
        <v>1000</v>
      </c>
    </row>
    <row r="289" spans="1:32" ht="11.25" customHeight="1" x14ac:dyDescent="0.25">
      <c r="A289" s="4" t="s">
        <v>21</v>
      </c>
      <c r="B289" s="4" t="s">
        <v>41</v>
      </c>
      <c r="C289" s="4" t="s">
        <v>66</v>
      </c>
      <c r="D289" s="4" t="s">
        <v>25</v>
      </c>
      <c r="E289" s="4" t="s">
        <v>25</v>
      </c>
      <c r="F289" s="4" t="s">
        <v>25</v>
      </c>
      <c r="G289" s="4" t="s">
        <v>82</v>
      </c>
      <c r="H289" s="4" t="s">
        <v>25</v>
      </c>
      <c r="I289" s="5">
        <v>44470</v>
      </c>
      <c r="J289" s="6">
        <v>4800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4" t="s">
        <v>68</v>
      </c>
      <c r="R289" s="4">
        <v>43199</v>
      </c>
      <c r="S289" s="4">
        <v>38</v>
      </c>
      <c r="T289" s="4">
        <v>0</v>
      </c>
      <c r="U289" s="4">
        <v>0</v>
      </c>
      <c r="V289" s="6">
        <f>IF(ISERROR(VLOOKUP($S$289,'TAR FIN'!$A$1:$O$104,15,0)),0,VLOOKUP($S$289,'TAR FIN'!$A$1:$O$104,15,0))</f>
        <v>14.41</v>
      </c>
      <c r="W289" s="6">
        <f>IF(ISERROR(VLOOKUP($T$289,'TAR FIN'!$A$1:$O$104,15,0)),0,VLOOKUP($T$289,'TAR FIN'!$A$1:$O$104,15,0))</f>
        <v>0</v>
      </c>
      <c r="X289" s="6">
        <f>IF(ISERROR(VLOOKUP($U$289,'TAR FIN'!$A$1:$O$104,15,0)),0,VLOOKUP($U$289,'TAR FIN'!$A$1:$O$104,15,0))</f>
        <v>0</v>
      </c>
      <c r="Y289" s="6">
        <f ca="1">('TUSD BE'!$AM$23+'TUSD BF'!$AM$23+'TUSD CVA'!$AM$23)*1</f>
        <v>14.494286200962303</v>
      </c>
      <c r="Z289" s="6"/>
      <c r="AA289" s="6"/>
      <c r="AB289" s="6">
        <f t="shared" si="18"/>
        <v>69168</v>
      </c>
      <c r="AC289" s="6">
        <f t="shared" si="19"/>
        <v>0</v>
      </c>
      <c r="AD289" s="6">
        <f t="shared" ca="1" si="20"/>
        <v>69572.573764619054</v>
      </c>
      <c r="AE289" s="6">
        <f t="shared" si="21"/>
        <v>0</v>
      </c>
      <c r="AF289" s="4" t="s">
        <v>1000</v>
      </c>
    </row>
    <row r="290" spans="1:32" ht="11.25" customHeight="1" x14ac:dyDescent="0.25">
      <c r="A290" s="4" t="s">
        <v>21</v>
      </c>
      <c r="B290" s="4" t="s">
        <v>41</v>
      </c>
      <c r="C290" s="4" t="s">
        <v>66</v>
      </c>
      <c r="D290" s="4" t="s">
        <v>25</v>
      </c>
      <c r="E290" s="4" t="s">
        <v>25</v>
      </c>
      <c r="F290" s="4" t="s">
        <v>25</v>
      </c>
      <c r="G290" s="4" t="s">
        <v>83</v>
      </c>
      <c r="H290" s="4" t="s">
        <v>25</v>
      </c>
      <c r="I290" s="5">
        <v>44470</v>
      </c>
      <c r="J290" s="6">
        <v>200</v>
      </c>
      <c r="K290" s="6">
        <v>100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4" t="s">
        <v>68</v>
      </c>
      <c r="S290" s="4">
        <v>38</v>
      </c>
      <c r="T290" s="4">
        <v>0</v>
      </c>
      <c r="U290" s="4">
        <v>0</v>
      </c>
      <c r="V290" s="6">
        <f>IF(ISERROR(VLOOKUP($S$290,'TAR FIN'!$A$1:$O$104,15,0)),0,VLOOKUP($S$290,'TAR FIN'!$A$1:$O$104,15,0))</f>
        <v>14.41</v>
      </c>
      <c r="W290" s="6">
        <f>IF(ISERROR(VLOOKUP($T$290,'TAR FIN'!$A$1:$O$104,15,0)),0,VLOOKUP($T$290,'TAR FIN'!$A$1:$O$104,15,0))</f>
        <v>0</v>
      </c>
      <c r="X290" s="6">
        <f>IF(ISERROR(VLOOKUP($U$290,'TAR FIN'!$A$1:$O$104,15,0)),0,VLOOKUP($U$290,'TAR FIN'!$A$1:$O$104,15,0))</f>
        <v>0</v>
      </c>
      <c r="Y290" s="6">
        <f ca="1">('TUSD BE'!$AM$23+'TUSD BF'!$AM$23+'TUSD CVA'!$AM$23)*1</f>
        <v>14.494286200962303</v>
      </c>
      <c r="Z290" s="6"/>
      <c r="AA290" s="6"/>
      <c r="AB290" s="6">
        <f t="shared" si="18"/>
        <v>1441</v>
      </c>
      <c r="AC290" s="6">
        <f t="shared" si="19"/>
        <v>0</v>
      </c>
      <c r="AD290" s="6">
        <f t="shared" ca="1" si="20"/>
        <v>1449.4286200962304</v>
      </c>
      <c r="AE290" s="6">
        <f t="shared" si="21"/>
        <v>0</v>
      </c>
      <c r="AF290" s="4" t="s">
        <v>1000</v>
      </c>
    </row>
    <row r="291" spans="1:32" ht="11.25" customHeight="1" x14ac:dyDescent="0.25">
      <c r="A291" s="4" t="s">
        <v>21</v>
      </c>
      <c r="B291" s="4" t="s">
        <v>41</v>
      </c>
      <c r="C291" s="4" t="s">
        <v>66</v>
      </c>
      <c r="D291" s="4" t="s">
        <v>25</v>
      </c>
      <c r="E291" s="4" t="s">
        <v>25</v>
      </c>
      <c r="F291" s="4" t="s">
        <v>25</v>
      </c>
      <c r="G291" s="4" t="s">
        <v>84</v>
      </c>
      <c r="H291" s="4" t="s">
        <v>25</v>
      </c>
      <c r="I291" s="5">
        <v>44470</v>
      </c>
      <c r="J291" s="6">
        <v>250</v>
      </c>
      <c r="K291" s="6">
        <v>125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4" t="s">
        <v>68</v>
      </c>
      <c r="S291" s="4">
        <v>38</v>
      </c>
      <c r="T291" s="4">
        <v>0</v>
      </c>
      <c r="U291" s="4">
        <v>0</v>
      </c>
      <c r="V291" s="6">
        <f>IF(ISERROR(VLOOKUP($S$291,'TAR FIN'!$A$1:$O$104,15,0)),0,VLOOKUP($S$291,'TAR FIN'!$A$1:$O$104,15,0))</f>
        <v>14.41</v>
      </c>
      <c r="W291" s="6">
        <f>IF(ISERROR(VLOOKUP($T$291,'TAR FIN'!$A$1:$O$104,15,0)),0,VLOOKUP($T$291,'TAR FIN'!$A$1:$O$104,15,0))</f>
        <v>0</v>
      </c>
      <c r="X291" s="6">
        <f>IF(ISERROR(VLOOKUP($U$291,'TAR FIN'!$A$1:$O$104,15,0)),0,VLOOKUP($U$291,'TAR FIN'!$A$1:$O$104,15,0))</f>
        <v>0</v>
      </c>
      <c r="Y291" s="6">
        <f ca="1">('TUSD BE'!$AM$23+'TUSD BF'!$AM$23+'TUSD CVA'!$AM$23)*1</f>
        <v>14.494286200962303</v>
      </c>
      <c r="Z291" s="6"/>
      <c r="AA291" s="6"/>
      <c r="AB291" s="6">
        <f t="shared" si="18"/>
        <v>1801.25</v>
      </c>
      <c r="AC291" s="6">
        <f t="shared" si="19"/>
        <v>0</v>
      </c>
      <c r="AD291" s="6">
        <f t="shared" ca="1" si="20"/>
        <v>1811.785775120288</v>
      </c>
      <c r="AE291" s="6">
        <f t="shared" si="21"/>
        <v>0</v>
      </c>
      <c r="AF291" s="4" t="s">
        <v>1000</v>
      </c>
    </row>
    <row r="292" spans="1:32" ht="11.25" customHeight="1" x14ac:dyDescent="0.25">
      <c r="A292" s="4" t="s">
        <v>21</v>
      </c>
      <c r="B292" s="4" t="s">
        <v>41</v>
      </c>
      <c r="C292" s="4" t="s">
        <v>66</v>
      </c>
      <c r="D292" s="4" t="s">
        <v>25</v>
      </c>
      <c r="E292" s="4" t="s">
        <v>25</v>
      </c>
      <c r="F292" s="4" t="s">
        <v>25</v>
      </c>
      <c r="G292" s="4" t="s">
        <v>85</v>
      </c>
      <c r="H292" s="4" t="s">
        <v>25</v>
      </c>
      <c r="I292" s="5">
        <v>44470</v>
      </c>
      <c r="J292" s="6">
        <v>250</v>
      </c>
      <c r="K292" s="6">
        <v>125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4" t="s">
        <v>68</v>
      </c>
      <c r="R292" s="4">
        <v>52044</v>
      </c>
      <c r="S292" s="4">
        <v>38</v>
      </c>
      <c r="T292" s="4">
        <v>0</v>
      </c>
      <c r="U292" s="4">
        <v>0</v>
      </c>
      <c r="V292" s="6">
        <f>IF(ISERROR(VLOOKUP($S$292,'TAR FIN'!$A$1:$O$104,15,0)),0,VLOOKUP($S$292,'TAR FIN'!$A$1:$O$104,15,0))</f>
        <v>14.41</v>
      </c>
      <c r="W292" s="6">
        <f>IF(ISERROR(VLOOKUP($T$292,'TAR FIN'!$A$1:$O$104,15,0)),0,VLOOKUP($T$292,'TAR FIN'!$A$1:$O$104,15,0))</f>
        <v>0</v>
      </c>
      <c r="X292" s="6">
        <f>IF(ISERROR(VLOOKUP($U$292,'TAR FIN'!$A$1:$O$104,15,0)),0,VLOOKUP($U$292,'TAR FIN'!$A$1:$O$104,15,0))</f>
        <v>0</v>
      </c>
      <c r="Y292" s="6">
        <f ca="1">('TUSD BE'!$AM$23+'TUSD BF'!$AM$23+'TUSD CVA'!$AM$23)*1</f>
        <v>14.494286200962303</v>
      </c>
      <c r="Z292" s="6"/>
      <c r="AA292" s="6"/>
      <c r="AB292" s="6">
        <f t="shared" si="18"/>
        <v>1801.25</v>
      </c>
      <c r="AC292" s="6">
        <f t="shared" si="19"/>
        <v>0</v>
      </c>
      <c r="AD292" s="6">
        <f t="shared" ca="1" si="20"/>
        <v>1811.785775120288</v>
      </c>
      <c r="AE292" s="6">
        <f t="shared" si="21"/>
        <v>0</v>
      </c>
      <c r="AF292" s="4" t="s">
        <v>1000</v>
      </c>
    </row>
    <row r="293" spans="1:32" ht="11.25" customHeight="1" x14ac:dyDescent="0.25">
      <c r="A293" s="4" t="s">
        <v>21</v>
      </c>
      <c r="B293" s="4" t="s">
        <v>41</v>
      </c>
      <c r="C293" s="4" t="s">
        <v>66</v>
      </c>
      <c r="D293" s="4" t="s">
        <v>25</v>
      </c>
      <c r="E293" s="4" t="s">
        <v>25</v>
      </c>
      <c r="F293" s="4" t="s">
        <v>25</v>
      </c>
      <c r="G293" s="4" t="s">
        <v>72</v>
      </c>
      <c r="H293" s="4" t="s">
        <v>25</v>
      </c>
      <c r="I293" s="5">
        <v>44501</v>
      </c>
      <c r="J293" s="6">
        <v>4500</v>
      </c>
      <c r="K293" s="6">
        <v>2250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4" t="s">
        <v>68</v>
      </c>
      <c r="R293" s="4">
        <v>29075</v>
      </c>
      <c r="S293" s="4">
        <v>38</v>
      </c>
      <c r="T293" s="4">
        <v>0</v>
      </c>
      <c r="U293" s="4">
        <v>0</v>
      </c>
      <c r="V293" s="6">
        <f>IF(ISERROR(VLOOKUP($S$293,'TAR FIN'!$A$1:$O$104,15,0)),0,VLOOKUP($S$293,'TAR FIN'!$A$1:$O$104,15,0))</f>
        <v>14.41</v>
      </c>
      <c r="W293" s="6">
        <f>IF(ISERROR(VLOOKUP($T$293,'TAR FIN'!$A$1:$O$104,15,0)),0,VLOOKUP($T$293,'TAR FIN'!$A$1:$O$104,15,0))</f>
        <v>0</v>
      </c>
      <c r="X293" s="6">
        <f>IF(ISERROR(VLOOKUP($U$293,'TAR FIN'!$A$1:$O$104,15,0)),0,VLOOKUP($U$293,'TAR FIN'!$A$1:$O$104,15,0))</f>
        <v>0</v>
      </c>
      <c r="Y293" s="6">
        <f ca="1">('TUSD BE'!$AM$23+'TUSD BF'!$AM$23+'TUSD CVA'!$AM$23)*1</f>
        <v>14.494286200962303</v>
      </c>
      <c r="Z293" s="6"/>
      <c r="AA293" s="6"/>
      <c r="AB293" s="6">
        <f t="shared" si="18"/>
        <v>32422.5</v>
      </c>
      <c r="AC293" s="6">
        <f t="shared" si="19"/>
        <v>0</v>
      </c>
      <c r="AD293" s="6">
        <f t="shared" ca="1" si="20"/>
        <v>32612.143952165185</v>
      </c>
      <c r="AE293" s="6">
        <f t="shared" si="21"/>
        <v>0</v>
      </c>
      <c r="AF293" s="4" t="s">
        <v>1000</v>
      </c>
    </row>
    <row r="294" spans="1:32" ht="11.25" customHeight="1" x14ac:dyDescent="0.25">
      <c r="A294" s="4" t="s">
        <v>21</v>
      </c>
      <c r="B294" s="4" t="s">
        <v>41</v>
      </c>
      <c r="C294" s="4" t="s">
        <v>66</v>
      </c>
      <c r="D294" s="4" t="s">
        <v>25</v>
      </c>
      <c r="E294" s="4" t="s">
        <v>25</v>
      </c>
      <c r="F294" s="4" t="s">
        <v>25</v>
      </c>
      <c r="G294" s="4" t="s">
        <v>74</v>
      </c>
      <c r="H294" s="4" t="s">
        <v>25</v>
      </c>
      <c r="I294" s="5">
        <v>44501</v>
      </c>
      <c r="J294" s="6">
        <v>3000</v>
      </c>
      <c r="K294" s="6">
        <v>1500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4" t="s">
        <v>68</v>
      </c>
      <c r="S294" s="4">
        <v>38</v>
      </c>
      <c r="T294" s="4">
        <v>0</v>
      </c>
      <c r="U294" s="4">
        <v>0</v>
      </c>
      <c r="V294" s="6">
        <f>IF(ISERROR(VLOOKUP($S$294,'TAR FIN'!$A$1:$O$104,15,0)),0,VLOOKUP($S$294,'TAR FIN'!$A$1:$O$104,15,0))</f>
        <v>14.41</v>
      </c>
      <c r="W294" s="6">
        <f>IF(ISERROR(VLOOKUP($T$294,'TAR FIN'!$A$1:$O$104,15,0)),0,VLOOKUP($T$294,'TAR FIN'!$A$1:$O$104,15,0))</f>
        <v>0</v>
      </c>
      <c r="X294" s="6">
        <f>IF(ISERROR(VLOOKUP($U$294,'TAR FIN'!$A$1:$O$104,15,0)),0,VLOOKUP($U$294,'TAR FIN'!$A$1:$O$104,15,0))</f>
        <v>0</v>
      </c>
      <c r="Y294" s="6">
        <f ca="1">('TUSD BE'!$AM$23+'TUSD BF'!$AM$23+'TUSD CVA'!$AM$23)*1</f>
        <v>14.494286200962303</v>
      </c>
      <c r="Z294" s="6"/>
      <c r="AA294" s="6"/>
      <c r="AB294" s="6">
        <f t="shared" si="18"/>
        <v>21615</v>
      </c>
      <c r="AC294" s="6">
        <f t="shared" si="19"/>
        <v>0</v>
      </c>
      <c r="AD294" s="6">
        <f t="shared" ca="1" si="20"/>
        <v>21741.429301443455</v>
      </c>
      <c r="AE294" s="6">
        <f t="shared" si="21"/>
        <v>0</v>
      </c>
      <c r="AF294" s="4" t="s">
        <v>1000</v>
      </c>
    </row>
    <row r="295" spans="1:32" ht="11.25" customHeight="1" x14ac:dyDescent="0.25">
      <c r="A295" s="4" t="s">
        <v>21</v>
      </c>
      <c r="B295" s="4" t="s">
        <v>41</v>
      </c>
      <c r="C295" s="4" t="s">
        <v>66</v>
      </c>
      <c r="D295" s="4" t="s">
        <v>25</v>
      </c>
      <c r="E295" s="4" t="s">
        <v>25</v>
      </c>
      <c r="F295" s="4" t="s">
        <v>25</v>
      </c>
      <c r="G295" s="4" t="s">
        <v>80</v>
      </c>
      <c r="H295" s="4" t="s">
        <v>25</v>
      </c>
      <c r="I295" s="5">
        <v>44501</v>
      </c>
      <c r="J295" s="6">
        <v>4641</v>
      </c>
      <c r="K295" s="6">
        <v>2320.5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4" t="s">
        <v>68</v>
      </c>
      <c r="R295" s="4">
        <v>34891</v>
      </c>
      <c r="S295" s="4">
        <v>38</v>
      </c>
      <c r="T295" s="4">
        <v>0</v>
      </c>
      <c r="U295" s="4">
        <v>0</v>
      </c>
      <c r="V295" s="6">
        <f>IF(ISERROR(VLOOKUP($S$295,'TAR FIN'!$A$1:$O$104,15,0)),0,VLOOKUP($S$295,'TAR FIN'!$A$1:$O$104,15,0))</f>
        <v>14.41</v>
      </c>
      <c r="W295" s="6">
        <f>IF(ISERROR(VLOOKUP($T$295,'TAR FIN'!$A$1:$O$104,15,0)),0,VLOOKUP($T$295,'TAR FIN'!$A$1:$O$104,15,0))</f>
        <v>0</v>
      </c>
      <c r="X295" s="6">
        <f>IF(ISERROR(VLOOKUP($U$295,'TAR FIN'!$A$1:$O$104,15,0)),0,VLOOKUP($U$295,'TAR FIN'!$A$1:$O$104,15,0))</f>
        <v>0</v>
      </c>
      <c r="Y295" s="6">
        <f ca="1">('TUSD BE'!$AM$23+'TUSD BF'!$AM$23+'TUSD CVA'!$AM$23)*1</f>
        <v>14.494286200962303</v>
      </c>
      <c r="Z295" s="6"/>
      <c r="AA295" s="6"/>
      <c r="AB295" s="6">
        <f t="shared" si="18"/>
        <v>33438.404999999999</v>
      </c>
      <c r="AC295" s="6">
        <f t="shared" si="19"/>
        <v>0</v>
      </c>
      <c r="AD295" s="6">
        <f t="shared" ca="1" si="20"/>
        <v>33633.991129333022</v>
      </c>
      <c r="AE295" s="6">
        <f t="shared" si="21"/>
        <v>0</v>
      </c>
      <c r="AF295" s="4" t="s">
        <v>1000</v>
      </c>
    </row>
    <row r="296" spans="1:32" ht="11.25" customHeight="1" x14ac:dyDescent="0.25">
      <c r="A296" s="4" t="s">
        <v>21</v>
      </c>
      <c r="B296" s="4" t="s">
        <v>41</v>
      </c>
      <c r="C296" s="4" t="s">
        <v>66</v>
      </c>
      <c r="D296" s="4" t="s">
        <v>25</v>
      </c>
      <c r="E296" s="4" t="s">
        <v>25</v>
      </c>
      <c r="F296" s="4" t="s">
        <v>25</v>
      </c>
      <c r="G296" s="4" t="s">
        <v>81</v>
      </c>
      <c r="H296" s="4" t="s">
        <v>25</v>
      </c>
      <c r="I296" s="5">
        <v>44501</v>
      </c>
      <c r="J296" s="6">
        <v>1025</v>
      </c>
      <c r="K296" s="6">
        <v>512.5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4" t="s">
        <v>68</v>
      </c>
      <c r="R296" s="4">
        <v>34893</v>
      </c>
      <c r="S296" s="4">
        <v>38</v>
      </c>
      <c r="T296" s="4">
        <v>0</v>
      </c>
      <c r="U296" s="4">
        <v>0</v>
      </c>
      <c r="V296" s="6">
        <f>IF(ISERROR(VLOOKUP($S$296,'TAR FIN'!$A$1:$O$104,15,0)),0,VLOOKUP($S$296,'TAR FIN'!$A$1:$O$104,15,0))</f>
        <v>14.41</v>
      </c>
      <c r="W296" s="6">
        <f>IF(ISERROR(VLOOKUP($T$296,'TAR FIN'!$A$1:$O$104,15,0)),0,VLOOKUP($T$296,'TAR FIN'!$A$1:$O$104,15,0))</f>
        <v>0</v>
      </c>
      <c r="X296" s="6">
        <f>IF(ISERROR(VLOOKUP($U$296,'TAR FIN'!$A$1:$O$104,15,0)),0,VLOOKUP($U$296,'TAR FIN'!$A$1:$O$104,15,0))</f>
        <v>0</v>
      </c>
      <c r="Y296" s="6">
        <f ca="1">('TUSD BE'!$AM$23+'TUSD BF'!$AM$23+'TUSD CVA'!$AM$23)*1</f>
        <v>14.494286200962303</v>
      </c>
      <c r="Z296" s="6"/>
      <c r="AA296" s="6"/>
      <c r="AB296" s="6">
        <f t="shared" si="18"/>
        <v>7385.125</v>
      </c>
      <c r="AC296" s="6">
        <f t="shared" si="19"/>
        <v>0</v>
      </c>
      <c r="AD296" s="6">
        <f t="shared" ca="1" si="20"/>
        <v>7428.3216779931809</v>
      </c>
      <c r="AE296" s="6">
        <f t="shared" si="21"/>
        <v>0</v>
      </c>
      <c r="AF296" s="4" t="s">
        <v>1000</v>
      </c>
    </row>
    <row r="297" spans="1:32" ht="11.25" customHeight="1" x14ac:dyDescent="0.25">
      <c r="A297" s="4" t="s">
        <v>27</v>
      </c>
      <c r="B297" s="4" t="s">
        <v>41</v>
      </c>
      <c r="C297" s="4" t="s">
        <v>66</v>
      </c>
      <c r="D297" s="4" t="s">
        <v>25</v>
      </c>
      <c r="E297" s="4" t="s">
        <v>25</v>
      </c>
      <c r="F297" s="4" t="s">
        <v>25</v>
      </c>
      <c r="G297" s="4" t="s">
        <v>81</v>
      </c>
      <c r="H297" s="4" t="s">
        <v>25</v>
      </c>
      <c r="I297" s="5">
        <v>44501</v>
      </c>
      <c r="J297" s="6">
        <v>297</v>
      </c>
      <c r="K297" s="6">
        <v>297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4" t="s">
        <v>68</v>
      </c>
      <c r="R297" s="4">
        <v>34893</v>
      </c>
      <c r="S297" s="4">
        <v>38</v>
      </c>
      <c r="T297" s="4">
        <v>0</v>
      </c>
      <c r="U297" s="4">
        <v>0</v>
      </c>
      <c r="V297" s="6">
        <f>IF(ISERROR(VLOOKUP($S$297,'TAR FIN'!$A$1:$O$104,15,0)),0,VLOOKUP($S$297,'TAR FIN'!$A$1:$O$104,15,0))</f>
        <v>14.41</v>
      </c>
      <c r="W297" s="6">
        <f>IF(ISERROR(VLOOKUP($T$297,'TAR FIN'!$A$1:$O$104,15,0)),0,VLOOKUP($T$297,'TAR FIN'!$A$1:$O$104,15,0))</f>
        <v>0</v>
      </c>
      <c r="X297" s="6">
        <f>IF(ISERROR(VLOOKUP($U$297,'TAR FIN'!$A$1:$O$104,15,0)),0,VLOOKUP($U$297,'TAR FIN'!$A$1:$O$104,15,0))</f>
        <v>0</v>
      </c>
      <c r="Y297" s="6">
        <f ca="1">('TUSD BE'!$AM$23+'TUSD BF'!$AM$23+'TUSD CVA'!$AM$23)*1</f>
        <v>14.494286200962303</v>
      </c>
      <c r="Z297" s="6"/>
      <c r="AA297" s="6"/>
      <c r="AB297" s="6">
        <f t="shared" si="18"/>
        <v>0</v>
      </c>
      <c r="AC297" s="6">
        <f t="shared" si="19"/>
        <v>0</v>
      </c>
      <c r="AD297" s="6">
        <f t="shared" ca="1" si="20"/>
        <v>0</v>
      </c>
      <c r="AE297" s="6">
        <f t="shared" si="21"/>
        <v>0</v>
      </c>
      <c r="AF297" s="4" t="s">
        <v>1000</v>
      </c>
    </row>
    <row r="298" spans="1:32" ht="11.25" customHeight="1" x14ac:dyDescent="0.25">
      <c r="A298" s="4" t="s">
        <v>21</v>
      </c>
      <c r="B298" s="4" t="s">
        <v>41</v>
      </c>
      <c r="C298" s="4" t="s">
        <v>66</v>
      </c>
      <c r="D298" s="4" t="s">
        <v>25</v>
      </c>
      <c r="E298" s="4" t="s">
        <v>25</v>
      </c>
      <c r="F298" s="4" t="s">
        <v>25</v>
      </c>
      <c r="G298" s="4" t="s">
        <v>82</v>
      </c>
      <c r="H298" s="4" t="s">
        <v>25</v>
      </c>
      <c r="I298" s="5">
        <v>44501</v>
      </c>
      <c r="J298" s="6">
        <v>4800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4" t="s">
        <v>68</v>
      </c>
      <c r="R298" s="4">
        <v>43199</v>
      </c>
      <c r="S298" s="4">
        <v>38</v>
      </c>
      <c r="T298" s="4">
        <v>0</v>
      </c>
      <c r="U298" s="4">
        <v>0</v>
      </c>
      <c r="V298" s="6">
        <f>IF(ISERROR(VLOOKUP($S$298,'TAR FIN'!$A$1:$O$104,15,0)),0,VLOOKUP($S$298,'TAR FIN'!$A$1:$O$104,15,0))</f>
        <v>14.41</v>
      </c>
      <c r="W298" s="6">
        <f>IF(ISERROR(VLOOKUP($T$298,'TAR FIN'!$A$1:$O$104,15,0)),0,VLOOKUP($T$298,'TAR FIN'!$A$1:$O$104,15,0))</f>
        <v>0</v>
      </c>
      <c r="X298" s="6">
        <f>IF(ISERROR(VLOOKUP($U$298,'TAR FIN'!$A$1:$O$104,15,0)),0,VLOOKUP($U$298,'TAR FIN'!$A$1:$O$104,15,0))</f>
        <v>0</v>
      </c>
      <c r="Y298" s="6">
        <f ca="1">('TUSD BE'!$AM$23+'TUSD BF'!$AM$23+'TUSD CVA'!$AM$23)*1</f>
        <v>14.494286200962303</v>
      </c>
      <c r="Z298" s="6"/>
      <c r="AA298" s="6"/>
      <c r="AB298" s="6">
        <f t="shared" si="18"/>
        <v>69168</v>
      </c>
      <c r="AC298" s="6">
        <f t="shared" si="19"/>
        <v>0</v>
      </c>
      <c r="AD298" s="6">
        <f t="shared" ca="1" si="20"/>
        <v>69572.573764619054</v>
      </c>
      <c r="AE298" s="6">
        <f t="shared" si="21"/>
        <v>0</v>
      </c>
      <c r="AF298" s="4" t="s">
        <v>1000</v>
      </c>
    </row>
    <row r="299" spans="1:32" ht="11.25" customHeight="1" x14ac:dyDescent="0.25">
      <c r="A299" s="4" t="s">
        <v>21</v>
      </c>
      <c r="B299" s="4" t="s">
        <v>41</v>
      </c>
      <c r="C299" s="4" t="s">
        <v>66</v>
      </c>
      <c r="D299" s="4" t="s">
        <v>25</v>
      </c>
      <c r="E299" s="4" t="s">
        <v>25</v>
      </c>
      <c r="F299" s="4" t="s">
        <v>25</v>
      </c>
      <c r="G299" s="4" t="s">
        <v>83</v>
      </c>
      <c r="H299" s="4" t="s">
        <v>25</v>
      </c>
      <c r="I299" s="5">
        <v>44501</v>
      </c>
      <c r="J299" s="6">
        <v>1645</v>
      </c>
      <c r="K299" s="6">
        <v>822.5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4" t="s">
        <v>68</v>
      </c>
      <c r="S299" s="4">
        <v>38</v>
      </c>
      <c r="T299" s="4">
        <v>0</v>
      </c>
      <c r="U299" s="4">
        <v>0</v>
      </c>
      <c r="V299" s="6">
        <f>IF(ISERROR(VLOOKUP($S$299,'TAR FIN'!$A$1:$O$104,15,0)),0,VLOOKUP($S$299,'TAR FIN'!$A$1:$O$104,15,0))</f>
        <v>14.41</v>
      </c>
      <c r="W299" s="6">
        <f>IF(ISERROR(VLOOKUP($T$299,'TAR FIN'!$A$1:$O$104,15,0)),0,VLOOKUP($T$299,'TAR FIN'!$A$1:$O$104,15,0))</f>
        <v>0</v>
      </c>
      <c r="X299" s="6">
        <f>IF(ISERROR(VLOOKUP($U$299,'TAR FIN'!$A$1:$O$104,15,0)),0,VLOOKUP($U$299,'TAR FIN'!$A$1:$O$104,15,0))</f>
        <v>0</v>
      </c>
      <c r="Y299" s="6">
        <f ca="1">('TUSD BE'!$AM$23+'TUSD BF'!$AM$23+'TUSD CVA'!$AM$23)*1</f>
        <v>14.494286200962303</v>
      </c>
      <c r="Z299" s="6"/>
      <c r="AA299" s="6"/>
      <c r="AB299" s="6">
        <f t="shared" si="18"/>
        <v>11852.225</v>
      </c>
      <c r="AC299" s="6">
        <f t="shared" si="19"/>
        <v>0</v>
      </c>
      <c r="AD299" s="6">
        <f t="shared" ca="1" si="20"/>
        <v>11921.550400291495</v>
      </c>
      <c r="AE299" s="6">
        <f t="shared" si="21"/>
        <v>0</v>
      </c>
      <c r="AF299" s="4" t="s">
        <v>1000</v>
      </c>
    </row>
    <row r="300" spans="1:32" ht="11.25" customHeight="1" x14ac:dyDescent="0.25">
      <c r="A300" s="4" t="s">
        <v>27</v>
      </c>
      <c r="B300" s="4" t="s">
        <v>41</v>
      </c>
      <c r="C300" s="4" t="s">
        <v>66</v>
      </c>
      <c r="D300" s="4" t="s">
        <v>25</v>
      </c>
      <c r="E300" s="4" t="s">
        <v>25</v>
      </c>
      <c r="F300" s="4" t="s">
        <v>25</v>
      </c>
      <c r="G300" s="4" t="s">
        <v>83</v>
      </c>
      <c r="H300" s="4" t="s">
        <v>25</v>
      </c>
      <c r="I300" s="5">
        <v>44501</v>
      </c>
      <c r="J300" s="6">
        <v>270</v>
      </c>
      <c r="K300" s="6">
        <v>270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4" t="s">
        <v>68</v>
      </c>
      <c r="S300" s="4">
        <v>38</v>
      </c>
      <c r="T300" s="4">
        <v>0</v>
      </c>
      <c r="U300" s="4">
        <v>0</v>
      </c>
      <c r="V300" s="6">
        <f>IF(ISERROR(VLOOKUP($S$300,'TAR FIN'!$A$1:$O$104,15,0)),0,VLOOKUP($S$300,'TAR FIN'!$A$1:$O$104,15,0))</f>
        <v>14.41</v>
      </c>
      <c r="W300" s="6">
        <f>IF(ISERROR(VLOOKUP($T$300,'TAR FIN'!$A$1:$O$104,15,0)),0,VLOOKUP($T$300,'TAR FIN'!$A$1:$O$104,15,0))</f>
        <v>0</v>
      </c>
      <c r="X300" s="6">
        <f>IF(ISERROR(VLOOKUP($U$300,'TAR FIN'!$A$1:$O$104,15,0)),0,VLOOKUP($U$300,'TAR FIN'!$A$1:$O$104,15,0))</f>
        <v>0</v>
      </c>
      <c r="Y300" s="6">
        <f ca="1">('TUSD BE'!$AM$23+'TUSD BF'!$AM$23+'TUSD CVA'!$AM$23)*1</f>
        <v>14.494286200962303</v>
      </c>
      <c r="Z300" s="6"/>
      <c r="AA300" s="6"/>
      <c r="AB300" s="6">
        <f t="shared" si="18"/>
        <v>0</v>
      </c>
      <c r="AC300" s="6">
        <f t="shared" si="19"/>
        <v>0</v>
      </c>
      <c r="AD300" s="6">
        <f t="shared" ca="1" si="20"/>
        <v>0</v>
      </c>
      <c r="AE300" s="6">
        <f t="shared" si="21"/>
        <v>0</v>
      </c>
      <c r="AF300" s="4" t="s">
        <v>1000</v>
      </c>
    </row>
    <row r="301" spans="1:32" ht="11.25" customHeight="1" x14ac:dyDescent="0.25">
      <c r="A301" s="4" t="s">
        <v>21</v>
      </c>
      <c r="B301" s="4" t="s">
        <v>41</v>
      </c>
      <c r="C301" s="4" t="s">
        <v>66</v>
      </c>
      <c r="D301" s="4" t="s">
        <v>25</v>
      </c>
      <c r="E301" s="4" t="s">
        <v>25</v>
      </c>
      <c r="F301" s="4" t="s">
        <v>25</v>
      </c>
      <c r="G301" s="4" t="s">
        <v>84</v>
      </c>
      <c r="H301" s="4" t="s">
        <v>25</v>
      </c>
      <c r="I301" s="5">
        <v>44501</v>
      </c>
      <c r="J301" s="6">
        <v>250</v>
      </c>
      <c r="K301" s="6">
        <v>125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4" t="s">
        <v>68</v>
      </c>
      <c r="S301" s="4">
        <v>38</v>
      </c>
      <c r="T301" s="4">
        <v>0</v>
      </c>
      <c r="U301" s="4">
        <v>0</v>
      </c>
      <c r="V301" s="6">
        <f>IF(ISERROR(VLOOKUP($S$301,'TAR FIN'!$A$1:$O$104,15,0)),0,VLOOKUP($S$301,'TAR FIN'!$A$1:$O$104,15,0))</f>
        <v>14.41</v>
      </c>
      <c r="W301" s="6">
        <f>IF(ISERROR(VLOOKUP($T$301,'TAR FIN'!$A$1:$O$104,15,0)),0,VLOOKUP($T$301,'TAR FIN'!$A$1:$O$104,15,0))</f>
        <v>0</v>
      </c>
      <c r="X301" s="6">
        <f>IF(ISERROR(VLOOKUP($U$301,'TAR FIN'!$A$1:$O$104,15,0)),0,VLOOKUP($U$301,'TAR FIN'!$A$1:$O$104,15,0))</f>
        <v>0</v>
      </c>
      <c r="Y301" s="6">
        <f ca="1">('TUSD BE'!$AM$23+'TUSD BF'!$AM$23+'TUSD CVA'!$AM$23)*1</f>
        <v>14.494286200962303</v>
      </c>
      <c r="Z301" s="6"/>
      <c r="AA301" s="6"/>
      <c r="AB301" s="6">
        <f t="shared" si="18"/>
        <v>1801.25</v>
      </c>
      <c r="AC301" s="6">
        <f t="shared" si="19"/>
        <v>0</v>
      </c>
      <c r="AD301" s="6">
        <f t="shared" ca="1" si="20"/>
        <v>1811.785775120288</v>
      </c>
      <c r="AE301" s="6">
        <f t="shared" si="21"/>
        <v>0</v>
      </c>
      <c r="AF301" s="4" t="s">
        <v>1000</v>
      </c>
    </row>
    <row r="302" spans="1:32" ht="11.25" customHeight="1" x14ac:dyDescent="0.25">
      <c r="A302" s="4" t="s">
        <v>21</v>
      </c>
      <c r="B302" s="4" t="s">
        <v>41</v>
      </c>
      <c r="C302" s="4" t="s">
        <v>66</v>
      </c>
      <c r="D302" s="4" t="s">
        <v>25</v>
      </c>
      <c r="E302" s="4" t="s">
        <v>25</v>
      </c>
      <c r="F302" s="4" t="s">
        <v>25</v>
      </c>
      <c r="G302" s="4" t="s">
        <v>85</v>
      </c>
      <c r="H302" s="4" t="s">
        <v>25</v>
      </c>
      <c r="I302" s="5">
        <v>44501</v>
      </c>
      <c r="J302" s="6">
        <v>250</v>
      </c>
      <c r="K302" s="6">
        <v>125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4" t="s">
        <v>68</v>
      </c>
      <c r="R302" s="4">
        <v>52044</v>
      </c>
      <c r="S302" s="4">
        <v>38</v>
      </c>
      <c r="T302" s="4">
        <v>0</v>
      </c>
      <c r="U302" s="4">
        <v>0</v>
      </c>
      <c r="V302" s="6">
        <f>IF(ISERROR(VLOOKUP($S$302,'TAR FIN'!$A$1:$O$104,15,0)),0,VLOOKUP($S$302,'TAR FIN'!$A$1:$O$104,15,0))</f>
        <v>14.41</v>
      </c>
      <c r="W302" s="6">
        <f>IF(ISERROR(VLOOKUP($T$302,'TAR FIN'!$A$1:$O$104,15,0)),0,VLOOKUP($T$302,'TAR FIN'!$A$1:$O$104,15,0))</f>
        <v>0</v>
      </c>
      <c r="X302" s="6">
        <f>IF(ISERROR(VLOOKUP($U$302,'TAR FIN'!$A$1:$O$104,15,0)),0,VLOOKUP($U$302,'TAR FIN'!$A$1:$O$104,15,0))</f>
        <v>0</v>
      </c>
      <c r="Y302" s="6">
        <f ca="1">('TUSD BE'!$AM$23+'TUSD BF'!$AM$23+'TUSD CVA'!$AM$23)*1</f>
        <v>14.494286200962303</v>
      </c>
      <c r="Z302" s="6"/>
      <c r="AA302" s="6"/>
      <c r="AB302" s="6">
        <f t="shared" si="18"/>
        <v>1801.25</v>
      </c>
      <c r="AC302" s="6">
        <f t="shared" si="19"/>
        <v>0</v>
      </c>
      <c r="AD302" s="6">
        <f t="shared" ca="1" si="20"/>
        <v>1811.785775120288</v>
      </c>
      <c r="AE302" s="6">
        <f t="shared" si="21"/>
        <v>0</v>
      </c>
      <c r="AF302" s="4" t="s">
        <v>1000</v>
      </c>
    </row>
    <row r="303" spans="1:32" ht="11.25" customHeight="1" x14ac:dyDescent="0.25">
      <c r="A303" s="4" t="s">
        <v>21</v>
      </c>
      <c r="B303" s="4" t="s">
        <v>41</v>
      </c>
      <c r="C303" s="4" t="s">
        <v>66</v>
      </c>
      <c r="D303" s="4" t="s">
        <v>25</v>
      </c>
      <c r="E303" s="4" t="s">
        <v>25</v>
      </c>
      <c r="F303" s="4" t="s">
        <v>25</v>
      </c>
      <c r="G303" s="4" t="s">
        <v>72</v>
      </c>
      <c r="H303" s="4" t="s">
        <v>25</v>
      </c>
      <c r="I303" s="5">
        <v>44531</v>
      </c>
      <c r="J303" s="6">
        <v>4500</v>
      </c>
      <c r="K303" s="6">
        <v>2250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4" t="s">
        <v>68</v>
      </c>
      <c r="R303" s="4">
        <v>29075</v>
      </c>
      <c r="S303" s="4">
        <v>38</v>
      </c>
      <c r="T303" s="4">
        <v>0</v>
      </c>
      <c r="U303" s="4">
        <v>0</v>
      </c>
      <c r="V303" s="6">
        <f>IF(ISERROR(VLOOKUP($S$303,'TAR FIN'!$A$1:$O$104,15,0)),0,VLOOKUP($S$303,'TAR FIN'!$A$1:$O$104,15,0))</f>
        <v>14.41</v>
      </c>
      <c r="W303" s="6">
        <f>IF(ISERROR(VLOOKUP($T$303,'TAR FIN'!$A$1:$O$104,15,0)),0,VLOOKUP($T$303,'TAR FIN'!$A$1:$O$104,15,0))</f>
        <v>0</v>
      </c>
      <c r="X303" s="6">
        <f>IF(ISERROR(VLOOKUP($U$303,'TAR FIN'!$A$1:$O$104,15,0)),0,VLOOKUP($U$303,'TAR FIN'!$A$1:$O$104,15,0))</f>
        <v>0</v>
      </c>
      <c r="Y303" s="6">
        <f ca="1">('TUSD BE'!$AM$23+'TUSD BF'!$AM$23+'TUSD CVA'!$AM$23)*1</f>
        <v>14.494286200962303</v>
      </c>
      <c r="Z303" s="6"/>
      <c r="AA303" s="6"/>
      <c r="AB303" s="6">
        <f t="shared" si="18"/>
        <v>32422.5</v>
      </c>
      <c r="AC303" s="6">
        <f t="shared" si="19"/>
        <v>0</v>
      </c>
      <c r="AD303" s="6">
        <f t="shared" ca="1" si="20"/>
        <v>32612.143952165185</v>
      </c>
      <c r="AE303" s="6">
        <f t="shared" si="21"/>
        <v>0</v>
      </c>
      <c r="AF303" s="4" t="s">
        <v>1000</v>
      </c>
    </row>
    <row r="304" spans="1:32" ht="11.25" customHeight="1" x14ac:dyDescent="0.25">
      <c r="A304" s="4" t="s">
        <v>21</v>
      </c>
      <c r="B304" s="4" t="s">
        <v>41</v>
      </c>
      <c r="C304" s="4" t="s">
        <v>66</v>
      </c>
      <c r="D304" s="4" t="s">
        <v>25</v>
      </c>
      <c r="E304" s="4" t="s">
        <v>25</v>
      </c>
      <c r="F304" s="4" t="s">
        <v>25</v>
      </c>
      <c r="G304" s="4" t="s">
        <v>74</v>
      </c>
      <c r="H304" s="4" t="s">
        <v>25</v>
      </c>
      <c r="I304" s="5">
        <v>44531</v>
      </c>
      <c r="J304" s="6">
        <v>3000</v>
      </c>
      <c r="K304" s="6">
        <v>1500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4" t="s">
        <v>68</v>
      </c>
      <c r="S304" s="4">
        <v>38</v>
      </c>
      <c r="T304" s="4">
        <v>0</v>
      </c>
      <c r="U304" s="4">
        <v>0</v>
      </c>
      <c r="V304" s="6">
        <f>IF(ISERROR(VLOOKUP($S$304,'TAR FIN'!$A$1:$O$104,15,0)),0,VLOOKUP($S$304,'TAR FIN'!$A$1:$O$104,15,0))</f>
        <v>14.41</v>
      </c>
      <c r="W304" s="6">
        <f>IF(ISERROR(VLOOKUP($T$304,'TAR FIN'!$A$1:$O$104,15,0)),0,VLOOKUP($T$304,'TAR FIN'!$A$1:$O$104,15,0))</f>
        <v>0</v>
      </c>
      <c r="X304" s="6">
        <f>IF(ISERROR(VLOOKUP($U$304,'TAR FIN'!$A$1:$O$104,15,0)),0,VLOOKUP($U$304,'TAR FIN'!$A$1:$O$104,15,0))</f>
        <v>0</v>
      </c>
      <c r="Y304" s="6">
        <f ca="1">('TUSD BE'!$AM$23+'TUSD BF'!$AM$23+'TUSD CVA'!$AM$23)*1</f>
        <v>14.494286200962303</v>
      </c>
      <c r="Z304" s="6"/>
      <c r="AA304" s="6"/>
      <c r="AB304" s="6">
        <f t="shared" si="18"/>
        <v>21615</v>
      </c>
      <c r="AC304" s="6">
        <f t="shared" si="19"/>
        <v>0</v>
      </c>
      <c r="AD304" s="6">
        <f t="shared" ca="1" si="20"/>
        <v>21741.429301443455</v>
      </c>
      <c r="AE304" s="6">
        <f t="shared" si="21"/>
        <v>0</v>
      </c>
      <c r="AF304" s="4" t="s">
        <v>1000</v>
      </c>
    </row>
    <row r="305" spans="1:32" ht="11.25" customHeight="1" x14ac:dyDescent="0.25">
      <c r="A305" s="4" t="s">
        <v>21</v>
      </c>
      <c r="B305" s="4" t="s">
        <v>41</v>
      </c>
      <c r="C305" s="4" t="s">
        <v>66</v>
      </c>
      <c r="D305" s="4" t="s">
        <v>25</v>
      </c>
      <c r="E305" s="4" t="s">
        <v>25</v>
      </c>
      <c r="F305" s="4" t="s">
        <v>25</v>
      </c>
      <c r="G305" s="4" t="s">
        <v>80</v>
      </c>
      <c r="H305" s="4" t="s">
        <v>25</v>
      </c>
      <c r="I305" s="5">
        <v>44531</v>
      </c>
      <c r="J305" s="6">
        <v>4702</v>
      </c>
      <c r="K305" s="6">
        <v>2351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4" t="s">
        <v>68</v>
      </c>
      <c r="R305" s="4">
        <v>34891</v>
      </c>
      <c r="S305" s="4">
        <v>38</v>
      </c>
      <c r="T305" s="4">
        <v>0</v>
      </c>
      <c r="U305" s="4">
        <v>0</v>
      </c>
      <c r="V305" s="6">
        <f>IF(ISERROR(VLOOKUP($S$305,'TAR FIN'!$A$1:$O$104,15,0)),0,VLOOKUP($S$305,'TAR FIN'!$A$1:$O$104,15,0))</f>
        <v>14.41</v>
      </c>
      <c r="W305" s="6">
        <f>IF(ISERROR(VLOOKUP($T$305,'TAR FIN'!$A$1:$O$104,15,0)),0,VLOOKUP($T$305,'TAR FIN'!$A$1:$O$104,15,0))</f>
        <v>0</v>
      </c>
      <c r="X305" s="6">
        <f>IF(ISERROR(VLOOKUP($U$305,'TAR FIN'!$A$1:$O$104,15,0)),0,VLOOKUP($U$305,'TAR FIN'!$A$1:$O$104,15,0))</f>
        <v>0</v>
      </c>
      <c r="Y305" s="6">
        <f ca="1">('TUSD BE'!$AM$23+'TUSD BF'!$AM$23+'TUSD CVA'!$AM$23)*1</f>
        <v>14.494286200962303</v>
      </c>
      <c r="Z305" s="6"/>
      <c r="AA305" s="6"/>
      <c r="AB305" s="6">
        <f t="shared" si="18"/>
        <v>33877.910000000003</v>
      </c>
      <c r="AC305" s="6">
        <f t="shared" si="19"/>
        <v>0</v>
      </c>
      <c r="AD305" s="6">
        <f t="shared" ca="1" si="20"/>
        <v>34076.066858462378</v>
      </c>
      <c r="AE305" s="6">
        <f t="shared" si="21"/>
        <v>0</v>
      </c>
      <c r="AF305" s="4" t="s">
        <v>1000</v>
      </c>
    </row>
    <row r="306" spans="1:32" ht="11.25" customHeight="1" x14ac:dyDescent="0.25">
      <c r="A306" s="4" t="s">
        <v>21</v>
      </c>
      <c r="B306" s="4" t="s">
        <v>41</v>
      </c>
      <c r="C306" s="4" t="s">
        <v>66</v>
      </c>
      <c r="D306" s="4" t="s">
        <v>25</v>
      </c>
      <c r="E306" s="4" t="s">
        <v>25</v>
      </c>
      <c r="F306" s="4" t="s">
        <v>25</v>
      </c>
      <c r="G306" s="4" t="s">
        <v>81</v>
      </c>
      <c r="H306" s="4" t="s">
        <v>25</v>
      </c>
      <c r="I306" s="5">
        <v>44531</v>
      </c>
      <c r="J306" s="6">
        <v>600</v>
      </c>
      <c r="K306" s="6">
        <v>300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4" t="s">
        <v>68</v>
      </c>
      <c r="R306" s="4">
        <v>34893</v>
      </c>
      <c r="S306" s="4">
        <v>38</v>
      </c>
      <c r="T306" s="4">
        <v>0</v>
      </c>
      <c r="U306" s="4">
        <v>0</v>
      </c>
      <c r="V306" s="6">
        <f>IF(ISERROR(VLOOKUP($S$306,'TAR FIN'!$A$1:$O$104,15,0)),0,VLOOKUP($S$306,'TAR FIN'!$A$1:$O$104,15,0))</f>
        <v>14.41</v>
      </c>
      <c r="W306" s="6">
        <f>IF(ISERROR(VLOOKUP($T$306,'TAR FIN'!$A$1:$O$104,15,0)),0,VLOOKUP($T$306,'TAR FIN'!$A$1:$O$104,15,0))</f>
        <v>0</v>
      </c>
      <c r="X306" s="6">
        <f>IF(ISERROR(VLOOKUP($U$306,'TAR FIN'!$A$1:$O$104,15,0)),0,VLOOKUP($U$306,'TAR FIN'!$A$1:$O$104,15,0))</f>
        <v>0</v>
      </c>
      <c r="Y306" s="6">
        <f ca="1">('TUSD BE'!$AM$23+'TUSD BF'!$AM$23+'TUSD CVA'!$AM$23)*1</f>
        <v>14.494286200962303</v>
      </c>
      <c r="Z306" s="6"/>
      <c r="AA306" s="6"/>
      <c r="AB306" s="6">
        <f t="shared" si="18"/>
        <v>4323</v>
      </c>
      <c r="AC306" s="6">
        <f t="shared" si="19"/>
        <v>0</v>
      </c>
      <c r="AD306" s="6">
        <f t="shared" ca="1" si="20"/>
        <v>4348.2858602886909</v>
      </c>
      <c r="AE306" s="6">
        <f t="shared" si="21"/>
        <v>0</v>
      </c>
      <c r="AF306" s="4" t="s">
        <v>1000</v>
      </c>
    </row>
    <row r="307" spans="1:32" ht="11.25" customHeight="1" x14ac:dyDescent="0.25">
      <c r="A307" s="4" t="s">
        <v>27</v>
      </c>
      <c r="B307" s="4" t="s">
        <v>41</v>
      </c>
      <c r="C307" s="4" t="s">
        <v>66</v>
      </c>
      <c r="D307" s="4" t="s">
        <v>25</v>
      </c>
      <c r="E307" s="4" t="s">
        <v>25</v>
      </c>
      <c r="F307" s="4" t="s">
        <v>25</v>
      </c>
      <c r="G307" s="4" t="s">
        <v>81</v>
      </c>
      <c r="H307" s="4" t="s">
        <v>25</v>
      </c>
      <c r="I307" s="5">
        <v>44531</v>
      </c>
      <c r="J307" s="6">
        <v>233</v>
      </c>
      <c r="K307" s="6">
        <v>233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4" t="s">
        <v>68</v>
      </c>
      <c r="R307" s="4">
        <v>34893</v>
      </c>
      <c r="S307" s="4">
        <v>38</v>
      </c>
      <c r="T307" s="4">
        <v>0</v>
      </c>
      <c r="U307" s="4">
        <v>0</v>
      </c>
      <c r="V307" s="6">
        <f>IF(ISERROR(VLOOKUP($S$307,'TAR FIN'!$A$1:$O$104,15,0)),0,VLOOKUP($S$307,'TAR FIN'!$A$1:$O$104,15,0))</f>
        <v>14.41</v>
      </c>
      <c r="W307" s="6">
        <f>IF(ISERROR(VLOOKUP($T$307,'TAR FIN'!$A$1:$O$104,15,0)),0,VLOOKUP($T$307,'TAR FIN'!$A$1:$O$104,15,0))</f>
        <v>0</v>
      </c>
      <c r="X307" s="6">
        <f>IF(ISERROR(VLOOKUP($U$307,'TAR FIN'!$A$1:$O$104,15,0)),0,VLOOKUP($U$307,'TAR FIN'!$A$1:$O$104,15,0))</f>
        <v>0</v>
      </c>
      <c r="Y307" s="6">
        <f ca="1">('TUSD BE'!$AM$23+'TUSD BF'!$AM$23+'TUSD CVA'!$AM$23)*1</f>
        <v>14.494286200962303</v>
      </c>
      <c r="Z307" s="6"/>
      <c r="AA307" s="6"/>
      <c r="AB307" s="6">
        <f t="shared" si="18"/>
        <v>0</v>
      </c>
      <c r="AC307" s="6">
        <f t="shared" si="19"/>
        <v>0</v>
      </c>
      <c r="AD307" s="6">
        <f t="shared" ca="1" si="20"/>
        <v>0</v>
      </c>
      <c r="AE307" s="6">
        <f t="shared" si="21"/>
        <v>0</v>
      </c>
      <c r="AF307" s="4" t="s">
        <v>1000</v>
      </c>
    </row>
    <row r="308" spans="1:32" ht="11.25" customHeight="1" x14ac:dyDescent="0.25">
      <c r="A308" s="4" t="s">
        <v>21</v>
      </c>
      <c r="B308" s="4" t="s">
        <v>41</v>
      </c>
      <c r="C308" s="4" t="s">
        <v>66</v>
      </c>
      <c r="D308" s="4" t="s">
        <v>25</v>
      </c>
      <c r="E308" s="4" t="s">
        <v>25</v>
      </c>
      <c r="F308" s="4" t="s">
        <v>25</v>
      </c>
      <c r="G308" s="4" t="s">
        <v>82</v>
      </c>
      <c r="H308" s="4" t="s">
        <v>25</v>
      </c>
      <c r="I308" s="5">
        <v>44531</v>
      </c>
      <c r="J308" s="6">
        <v>4800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4" t="s">
        <v>68</v>
      </c>
      <c r="R308" s="4">
        <v>43199</v>
      </c>
      <c r="S308" s="4">
        <v>38</v>
      </c>
      <c r="T308" s="4">
        <v>0</v>
      </c>
      <c r="U308" s="4">
        <v>0</v>
      </c>
      <c r="V308" s="6">
        <f>IF(ISERROR(VLOOKUP($S$308,'TAR FIN'!$A$1:$O$104,15,0)),0,VLOOKUP($S$308,'TAR FIN'!$A$1:$O$104,15,0))</f>
        <v>14.41</v>
      </c>
      <c r="W308" s="6">
        <f>IF(ISERROR(VLOOKUP($T$308,'TAR FIN'!$A$1:$O$104,15,0)),0,VLOOKUP($T$308,'TAR FIN'!$A$1:$O$104,15,0))</f>
        <v>0</v>
      </c>
      <c r="X308" s="6">
        <f>IF(ISERROR(VLOOKUP($U$308,'TAR FIN'!$A$1:$O$104,15,0)),0,VLOOKUP($U$308,'TAR FIN'!$A$1:$O$104,15,0))</f>
        <v>0</v>
      </c>
      <c r="Y308" s="6">
        <f ca="1">('TUSD BE'!$AM$23+'TUSD BF'!$AM$23+'TUSD CVA'!$AM$23)*1</f>
        <v>14.494286200962303</v>
      </c>
      <c r="Z308" s="6"/>
      <c r="AA308" s="6"/>
      <c r="AB308" s="6">
        <f t="shared" si="18"/>
        <v>69168</v>
      </c>
      <c r="AC308" s="6">
        <f t="shared" si="19"/>
        <v>0</v>
      </c>
      <c r="AD308" s="6">
        <f t="shared" ca="1" si="20"/>
        <v>69572.573764619054</v>
      </c>
      <c r="AE308" s="6">
        <f t="shared" si="21"/>
        <v>0</v>
      </c>
      <c r="AF308" s="4" t="s">
        <v>1000</v>
      </c>
    </row>
    <row r="309" spans="1:32" ht="11.25" customHeight="1" x14ac:dyDescent="0.25">
      <c r="A309" s="4" t="s">
        <v>21</v>
      </c>
      <c r="B309" s="4" t="s">
        <v>41</v>
      </c>
      <c r="C309" s="4" t="s">
        <v>66</v>
      </c>
      <c r="D309" s="4" t="s">
        <v>25</v>
      </c>
      <c r="E309" s="4" t="s">
        <v>25</v>
      </c>
      <c r="F309" s="4" t="s">
        <v>25</v>
      </c>
      <c r="G309" s="4" t="s">
        <v>83</v>
      </c>
      <c r="H309" s="4" t="s">
        <v>25</v>
      </c>
      <c r="I309" s="5">
        <v>44531</v>
      </c>
      <c r="J309" s="6">
        <v>2400</v>
      </c>
      <c r="K309" s="6">
        <v>1200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4" t="s">
        <v>68</v>
      </c>
      <c r="S309" s="4">
        <v>38</v>
      </c>
      <c r="T309" s="4">
        <v>0</v>
      </c>
      <c r="U309" s="4">
        <v>0</v>
      </c>
      <c r="V309" s="6">
        <f>IF(ISERROR(VLOOKUP($S$309,'TAR FIN'!$A$1:$O$104,15,0)),0,VLOOKUP($S$309,'TAR FIN'!$A$1:$O$104,15,0))</f>
        <v>14.41</v>
      </c>
      <c r="W309" s="6">
        <f>IF(ISERROR(VLOOKUP($T$309,'TAR FIN'!$A$1:$O$104,15,0)),0,VLOOKUP($T$309,'TAR FIN'!$A$1:$O$104,15,0))</f>
        <v>0</v>
      </c>
      <c r="X309" s="6">
        <f>IF(ISERROR(VLOOKUP($U$309,'TAR FIN'!$A$1:$O$104,15,0)),0,VLOOKUP($U$309,'TAR FIN'!$A$1:$O$104,15,0))</f>
        <v>0</v>
      </c>
      <c r="Y309" s="6">
        <f ca="1">('TUSD BE'!$AM$23+'TUSD BF'!$AM$23+'TUSD CVA'!$AM$23)*1</f>
        <v>14.494286200962303</v>
      </c>
      <c r="Z309" s="6"/>
      <c r="AA309" s="6"/>
      <c r="AB309" s="6">
        <f t="shared" si="18"/>
        <v>17292</v>
      </c>
      <c r="AC309" s="6">
        <f t="shared" si="19"/>
        <v>0</v>
      </c>
      <c r="AD309" s="6">
        <f t="shared" ca="1" si="20"/>
        <v>17393.143441154763</v>
      </c>
      <c r="AE309" s="6">
        <f t="shared" si="21"/>
        <v>0</v>
      </c>
      <c r="AF309" s="4" t="s">
        <v>1000</v>
      </c>
    </row>
    <row r="310" spans="1:32" ht="11.25" customHeight="1" x14ac:dyDescent="0.25">
      <c r="A310" s="4" t="s">
        <v>21</v>
      </c>
      <c r="B310" s="4" t="s">
        <v>41</v>
      </c>
      <c r="C310" s="4" t="s">
        <v>66</v>
      </c>
      <c r="D310" s="4" t="s">
        <v>25</v>
      </c>
      <c r="E310" s="4" t="s">
        <v>25</v>
      </c>
      <c r="F310" s="4" t="s">
        <v>25</v>
      </c>
      <c r="G310" s="4" t="s">
        <v>84</v>
      </c>
      <c r="H310" s="4" t="s">
        <v>25</v>
      </c>
      <c r="I310" s="5">
        <v>44531</v>
      </c>
      <c r="J310" s="6">
        <v>250</v>
      </c>
      <c r="K310" s="6">
        <v>125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4" t="s">
        <v>68</v>
      </c>
      <c r="S310" s="4">
        <v>38</v>
      </c>
      <c r="T310" s="4">
        <v>0</v>
      </c>
      <c r="U310" s="4">
        <v>0</v>
      </c>
      <c r="V310" s="6">
        <f>IF(ISERROR(VLOOKUP($S$310,'TAR FIN'!$A$1:$O$104,15,0)),0,VLOOKUP($S$310,'TAR FIN'!$A$1:$O$104,15,0))</f>
        <v>14.41</v>
      </c>
      <c r="W310" s="6">
        <f>IF(ISERROR(VLOOKUP($T$310,'TAR FIN'!$A$1:$O$104,15,0)),0,VLOOKUP($T$310,'TAR FIN'!$A$1:$O$104,15,0))</f>
        <v>0</v>
      </c>
      <c r="X310" s="6">
        <f>IF(ISERROR(VLOOKUP($U$310,'TAR FIN'!$A$1:$O$104,15,0)),0,VLOOKUP($U$310,'TAR FIN'!$A$1:$O$104,15,0))</f>
        <v>0</v>
      </c>
      <c r="Y310" s="6">
        <f ca="1">('TUSD BE'!$AM$23+'TUSD BF'!$AM$23+'TUSD CVA'!$AM$23)*1</f>
        <v>14.494286200962303</v>
      </c>
      <c r="Z310" s="6"/>
      <c r="AA310" s="6"/>
      <c r="AB310" s="6">
        <f t="shared" si="18"/>
        <v>1801.25</v>
      </c>
      <c r="AC310" s="6">
        <f t="shared" si="19"/>
        <v>0</v>
      </c>
      <c r="AD310" s="6">
        <f t="shared" ca="1" si="20"/>
        <v>1811.785775120288</v>
      </c>
      <c r="AE310" s="6">
        <f t="shared" si="21"/>
        <v>0</v>
      </c>
      <c r="AF310" s="4" t="s">
        <v>1000</v>
      </c>
    </row>
    <row r="311" spans="1:32" ht="11.25" customHeight="1" x14ac:dyDescent="0.25">
      <c r="A311" s="4" t="s">
        <v>21</v>
      </c>
      <c r="B311" s="4" t="s">
        <v>41</v>
      </c>
      <c r="C311" s="4" t="s">
        <v>66</v>
      </c>
      <c r="D311" s="4" t="s">
        <v>25</v>
      </c>
      <c r="E311" s="4" t="s">
        <v>25</v>
      </c>
      <c r="F311" s="4" t="s">
        <v>25</v>
      </c>
      <c r="G311" s="4" t="s">
        <v>85</v>
      </c>
      <c r="H311" s="4" t="s">
        <v>25</v>
      </c>
      <c r="I311" s="5">
        <v>44531</v>
      </c>
      <c r="J311" s="6">
        <v>250</v>
      </c>
      <c r="K311" s="6">
        <v>125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4" t="s">
        <v>68</v>
      </c>
      <c r="R311" s="4">
        <v>52044</v>
      </c>
      <c r="S311" s="4">
        <v>38</v>
      </c>
      <c r="T311" s="4">
        <v>0</v>
      </c>
      <c r="U311" s="4">
        <v>0</v>
      </c>
      <c r="V311" s="6">
        <f>IF(ISERROR(VLOOKUP($S$311,'TAR FIN'!$A$1:$O$104,15,0)),0,VLOOKUP($S$311,'TAR FIN'!$A$1:$O$104,15,0))</f>
        <v>14.41</v>
      </c>
      <c r="W311" s="6">
        <f>IF(ISERROR(VLOOKUP($T$311,'TAR FIN'!$A$1:$O$104,15,0)),0,VLOOKUP($T$311,'TAR FIN'!$A$1:$O$104,15,0))</f>
        <v>0</v>
      </c>
      <c r="X311" s="6">
        <f>IF(ISERROR(VLOOKUP($U$311,'TAR FIN'!$A$1:$O$104,15,0)),0,VLOOKUP($U$311,'TAR FIN'!$A$1:$O$104,15,0))</f>
        <v>0</v>
      </c>
      <c r="Y311" s="6">
        <f ca="1">('TUSD BE'!$AM$23+'TUSD BF'!$AM$23+'TUSD CVA'!$AM$23)*1</f>
        <v>14.494286200962303</v>
      </c>
      <c r="Z311" s="6"/>
      <c r="AA311" s="6"/>
      <c r="AB311" s="6">
        <f t="shared" si="18"/>
        <v>1801.25</v>
      </c>
      <c r="AC311" s="6">
        <f t="shared" si="19"/>
        <v>0</v>
      </c>
      <c r="AD311" s="6">
        <f t="shared" ca="1" si="20"/>
        <v>1811.785775120288</v>
      </c>
      <c r="AE311" s="6">
        <f t="shared" si="21"/>
        <v>0</v>
      </c>
      <c r="AF311" s="4" t="s">
        <v>1000</v>
      </c>
    </row>
    <row r="312" spans="1:32" ht="11.25" customHeight="1" x14ac:dyDescent="0.25">
      <c r="A312" s="4" t="s">
        <v>21</v>
      </c>
      <c r="B312" s="4" t="s">
        <v>41</v>
      </c>
      <c r="C312" s="4" t="s">
        <v>66</v>
      </c>
      <c r="D312" s="4" t="s">
        <v>25</v>
      </c>
      <c r="E312" s="4" t="s">
        <v>25</v>
      </c>
      <c r="F312" s="4" t="s">
        <v>25</v>
      </c>
      <c r="G312" s="4" t="s">
        <v>72</v>
      </c>
      <c r="H312" s="4" t="s">
        <v>25</v>
      </c>
      <c r="I312" s="5">
        <v>44562</v>
      </c>
      <c r="J312" s="6">
        <v>4500</v>
      </c>
      <c r="K312" s="6">
        <v>2250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4" t="s">
        <v>68</v>
      </c>
      <c r="R312" s="4">
        <v>29075</v>
      </c>
      <c r="S312" s="4">
        <v>38</v>
      </c>
      <c r="T312" s="4">
        <v>0</v>
      </c>
      <c r="U312" s="4">
        <v>0</v>
      </c>
      <c r="V312" s="6">
        <f>IF(ISERROR(VLOOKUP($S$312,'TAR FIN'!$A$1:$O$104,15,0)),0,VLOOKUP($S$312,'TAR FIN'!$A$1:$O$104,15,0))</f>
        <v>14.41</v>
      </c>
      <c r="W312" s="6">
        <f>IF(ISERROR(VLOOKUP($T$312,'TAR FIN'!$A$1:$O$104,15,0)),0,VLOOKUP($T$312,'TAR FIN'!$A$1:$O$104,15,0))</f>
        <v>0</v>
      </c>
      <c r="X312" s="6">
        <f>IF(ISERROR(VLOOKUP($U$312,'TAR FIN'!$A$1:$O$104,15,0)),0,VLOOKUP($U$312,'TAR FIN'!$A$1:$O$104,15,0))</f>
        <v>0</v>
      </c>
      <c r="Y312" s="6">
        <f ca="1">('TUSD BE'!$AM$23+'TUSD BF'!$AM$23+'TUSD CVA'!$AM$23)*1</f>
        <v>14.494286200962303</v>
      </c>
      <c r="Z312" s="6"/>
      <c r="AA312" s="6"/>
      <c r="AB312" s="6">
        <f t="shared" si="18"/>
        <v>32422.5</v>
      </c>
      <c r="AC312" s="6">
        <f t="shared" si="19"/>
        <v>0</v>
      </c>
      <c r="AD312" s="6">
        <f t="shared" ca="1" si="20"/>
        <v>32612.143952165185</v>
      </c>
      <c r="AE312" s="6">
        <f t="shared" si="21"/>
        <v>0</v>
      </c>
      <c r="AF312" s="4" t="s">
        <v>1000</v>
      </c>
    </row>
    <row r="313" spans="1:32" ht="11.25" customHeight="1" x14ac:dyDescent="0.25">
      <c r="A313" s="4" t="s">
        <v>21</v>
      </c>
      <c r="B313" s="4" t="s">
        <v>41</v>
      </c>
      <c r="C313" s="4" t="s">
        <v>66</v>
      </c>
      <c r="D313" s="4" t="s">
        <v>25</v>
      </c>
      <c r="E313" s="4" t="s">
        <v>25</v>
      </c>
      <c r="F313" s="4" t="s">
        <v>25</v>
      </c>
      <c r="G313" s="4" t="s">
        <v>74</v>
      </c>
      <c r="H313" s="4" t="s">
        <v>25</v>
      </c>
      <c r="I313" s="5">
        <v>44562</v>
      </c>
      <c r="J313" s="6">
        <v>3000</v>
      </c>
      <c r="K313" s="6">
        <v>1500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4" t="s">
        <v>68</v>
      </c>
      <c r="S313" s="4">
        <v>38</v>
      </c>
      <c r="T313" s="4">
        <v>0</v>
      </c>
      <c r="U313" s="4">
        <v>0</v>
      </c>
      <c r="V313" s="6">
        <f>IF(ISERROR(VLOOKUP($S$313,'TAR FIN'!$A$1:$O$104,15,0)),0,VLOOKUP($S$313,'TAR FIN'!$A$1:$O$104,15,0))</f>
        <v>14.41</v>
      </c>
      <c r="W313" s="6">
        <f>IF(ISERROR(VLOOKUP($T$313,'TAR FIN'!$A$1:$O$104,15,0)),0,VLOOKUP($T$313,'TAR FIN'!$A$1:$O$104,15,0))</f>
        <v>0</v>
      </c>
      <c r="X313" s="6">
        <f>IF(ISERROR(VLOOKUP($U$313,'TAR FIN'!$A$1:$O$104,15,0)),0,VLOOKUP($U$313,'TAR FIN'!$A$1:$O$104,15,0))</f>
        <v>0</v>
      </c>
      <c r="Y313" s="6">
        <f ca="1">('TUSD BE'!$AM$23+'TUSD BF'!$AM$23+'TUSD CVA'!$AM$23)*1</f>
        <v>14.494286200962303</v>
      </c>
      <c r="Z313" s="6"/>
      <c r="AA313" s="6"/>
      <c r="AB313" s="6">
        <f t="shared" si="18"/>
        <v>21615</v>
      </c>
      <c r="AC313" s="6">
        <f t="shared" si="19"/>
        <v>0</v>
      </c>
      <c r="AD313" s="6">
        <f t="shared" ca="1" si="20"/>
        <v>21741.429301443455</v>
      </c>
      <c r="AE313" s="6">
        <f t="shared" si="21"/>
        <v>0</v>
      </c>
      <c r="AF313" s="4" t="s">
        <v>1000</v>
      </c>
    </row>
    <row r="314" spans="1:32" ht="11.25" customHeight="1" x14ac:dyDescent="0.25">
      <c r="A314" s="4" t="s">
        <v>21</v>
      </c>
      <c r="B314" s="4" t="s">
        <v>41</v>
      </c>
      <c r="C314" s="4" t="s">
        <v>66</v>
      </c>
      <c r="D314" s="4" t="s">
        <v>25</v>
      </c>
      <c r="E314" s="4" t="s">
        <v>25</v>
      </c>
      <c r="F314" s="4" t="s">
        <v>25</v>
      </c>
      <c r="G314" s="4" t="s">
        <v>80</v>
      </c>
      <c r="H314" s="4" t="s">
        <v>25</v>
      </c>
      <c r="I314" s="5">
        <v>44562</v>
      </c>
      <c r="J314" s="6">
        <v>4689</v>
      </c>
      <c r="K314" s="6">
        <v>2344.5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4" t="s">
        <v>68</v>
      </c>
      <c r="R314" s="4">
        <v>34891</v>
      </c>
      <c r="S314" s="4">
        <v>38</v>
      </c>
      <c r="T314" s="4">
        <v>0</v>
      </c>
      <c r="U314" s="4">
        <v>0</v>
      </c>
      <c r="V314" s="6">
        <f>IF(ISERROR(VLOOKUP($S$314,'TAR FIN'!$A$1:$O$104,15,0)),0,VLOOKUP($S$314,'TAR FIN'!$A$1:$O$104,15,0))</f>
        <v>14.41</v>
      </c>
      <c r="W314" s="6">
        <f>IF(ISERROR(VLOOKUP($T$314,'TAR FIN'!$A$1:$O$104,15,0)),0,VLOOKUP($T$314,'TAR FIN'!$A$1:$O$104,15,0))</f>
        <v>0</v>
      </c>
      <c r="X314" s="6">
        <f>IF(ISERROR(VLOOKUP($U$314,'TAR FIN'!$A$1:$O$104,15,0)),0,VLOOKUP($U$314,'TAR FIN'!$A$1:$O$104,15,0))</f>
        <v>0</v>
      </c>
      <c r="Y314" s="6">
        <f ca="1">('TUSD BE'!$AM$23+'TUSD BF'!$AM$23+'TUSD CVA'!$AM$23)*1</f>
        <v>14.494286200962303</v>
      </c>
      <c r="Z314" s="6"/>
      <c r="AA314" s="6"/>
      <c r="AB314" s="6">
        <f t="shared" si="18"/>
        <v>33784.245000000003</v>
      </c>
      <c r="AC314" s="6">
        <f t="shared" si="19"/>
        <v>0</v>
      </c>
      <c r="AD314" s="6">
        <f t="shared" ca="1" si="20"/>
        <v>33981.853998156119</v>
      </c>
      <c r="AE314" s="6">
        <f t="shared" si="21"/>
        <v>0</v>
      </c>
      <c r="AF314" s="4" t="s">
        <v>1000</v>
      </c>
    </row>
    <row r="315" spans="1:32" ht="11.25" customHeight="1" x14ac:dyDescent="0.25">
      <c r="A315" s="4" t="s">
        <v>21</v>
      </c>
      <c r="B315" s="4" t="s">
        <v>41</v>
      </c>
      <c r="C315" s="4" t="s">
        <v>66</v>
      </c>
      <c r="D315" s="4" t="s">
        <v>25</v>
      </c>
      <c r="E315" s="4" t="s">
        <v>25</v>
      </c>
      <c r="F315" s="4" t="s">
        <v>25</v>
      </c>
      <c r="G315" s="4" t="s">
        <v>81</v>
      </c>
      <c r="H315" s="4" t="s">
        <v>25</v>
      </c>
      <c r="I315" s="5">
        <v>44562</v>
      </c>
      <c r="J315" s="6">
        <v>600</v>
      </c>
      <c r="K315" s="6">
        <v>300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4" t="s">
        <v>68</v>
      </c>
      <c r="R315" s="4">
        <v>34893</v>
      </c>
      <c r="S315" s="4">
        <v>38</v>
      </c>
      <c r="T315" s="4">
        <v>0</v>
      </c>
      <c r="U315" s="4">
        <v>0</v>
      </c>
      <c r="V315" s="6">
        <f>IF(ISERROR(VLOOKUP($S$315,'TAR FIN'!$A$1:$O$104,15,0)),0,VLOOKUP($S$315,'TAR FIN'!$A$1:$O$104,15,0))</f>
        <v>14.41</v>
      </c>
      <c r="W315" s="6">
        <f>IF(ISERROR(VLOOKUP($T$315,'TAR FIN'!$A$1:$O$104,15,0)),0,VLOOKUP($T$315,'TAR FIN'!$A$1:$O$104,15,0))</f>
        <v>0</v>
      </c>
      <c r="X315" s="6">
        <f>IF(ISERROR(VLOOKUP($U$315,'TAR FIN'!$A$1:$O$104,15,0)),0,VLOOKUP($U$315,'TAR FIN'!$A$1:$O$104,15,0))</f>
        <v>0</v>
      </c>
      <c r="Y315" s="6">
        <f ca="1">('TUSD BE'!$AM$23+'TUSD BF'!$AM$23+'TUSD CVA'!$AM$23)*1</f>
        <v>14.494286200962303</v>
      </c>
      <c r="Z315" s="6"/>
      <c r="AA315" s="6"/>
      <c r="AB315" s="6">
        <f t="shared" si="18"/>
        <v>4323</v>
      </c>
      <c r="AC315" s="6">
        <f t="shared" si="19"/>
        <v>0</v>
      </c>
      <c r="AD315" s="6">
        <f t="shared" ca="1" si="20"/>
        <v>4348.2858602886909</v>
      </c>
      <c r="AE315" s="6">
        <f t="shared" si="21"/>
        <v>0</v>
      </c>
      <c r="AF315" s="4" t="s">
        <v>1000</v>
      </c>
    </row>
    <row r="316" spans="1:32" ht="11.25" customHeight="1" x14ac:dyDescent="0.25">
      <c r="A316" s="4" t="s">
        <v>27</v>
      </c>
      <c r="B316" s="4" t="s">
        <v>41</v>
      </c>
      <c r="C316" s="4" t="s">
        <v>66</v>
      </c>
      <c r="D316" s="4" t="s">
        <v>25</v>
      </c>
      <c r="E316" s="4" t="s">
        <v>25</v>
      </c>
      <c r="F316" s="4" t="s">
        <v>25</v>
      </c>
      <c r="G316" s="4" t="s">
        <v>81</v>
      </c>
      <c r="H316" s="4" t="s">
        <v>25</v>
      </c>
      <c r="I316" s="5">
        <v>44562</v>
      </c>
      <c r="J316" s="6">
        <v>211</v>
      </c>
      <c r="K316" s="6">
        <v>211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4" t="s">
        <v>68</v>
      </c>
      <c r="R316" s="4">
        <v>34893</v>
      </c>
      <c r="S316" s="4">
        <v>38</v>
      </c>
      <c r="T316" s="4">
        <v>0</v>
      </c>
      <c r="U316" s="4">
        <v>0</v>
      </c>
      <c r="V316" s="6">
        <f>IF(ISERROR(VLOOKUP($S$316,'TAR FIN'!$A$1:$O$104,15,0)),0,VLOOKUP($S$316,'TAR FIN'!$A$1:$O$104,15,0))</f>
        <v>14.41</v>
      </c>
      <c r="W316" s="6">
        <f>IF(ISERROR(VLOOKUP($T$316,'TAR FIN'!$A$1:$O$104,15,0)),0,VLOOKUP($T$316,'TAR FIN'!$A$1:$O$104,15,0))</f>
        <v>0</v>
      </c>
      <c r="X316" s="6">
        <f>IF(ISERROR(VLOOKUP($U$316,'TAR FIN'!$A$1:$O$104,15,0)),0,VLOOKUP($U$316,'TAR FIN'!$A$1:$O$104,15,0))</f>
        <v>0</v>
      </c>
      <c r="Y316" s="6">
        <f ca="1">('TUSD BE'!$AM$23+'TUSD BF'!$AM$23+'TUSD CVA'!$AM$23)*1</f>
        <v>14.494286200962303</v>
      </c>
      <c r="Z316" s="6"/>
      <c r="AA316" s="6"/>
      <c r="AB316" s="6">
        <f t="shared" si="18"/>
        <v>0</v>
      </c>
      <c r="AC316" s="6">
        <f t="shared" si="19"/>
        <v>0</v>
      </c>
      <c r="AD316" s="6">
        <f t="shared" ca="1" si="20"/>
        <v>0</v>
      </c>
      <c r="AE316" s="6">
        <f t="shared" si="21"/>
        <v>0</v>
      </c>
      <c r="AF316" s="4" t="s">
        <v>1000</v>
      </c>
    </row>
    <row r="317" spans="1:32" ht="11.25" customHeight="1" x14ac:dyDescent="0.25">
      <c r="A317" s="4" t="s">
        <v>21</v>
      </c>
      <c r="B317" s="4" t="s">
        <v>41</v>
      </c>
      <c r="C317" s="4" t="s">
        <v>66</v>
      </c>
      <c r="D317" s="4" t="s">
        <v>25</v>
      </c>
      <c r="E317" s="4" t="s">
        <v>25</v>
      </c>
      <c r="F317" s="4" t="s">
        <v>25</v>
      </c>
      <c r="G317" s="4" t="s">
        <v>82</v>
      </c>
      <c r="H317" s="4" t="s">
        <v>25</v>
      </c>
      <c r="I317" s="5">
        <v>44562</v>
      </c>
      <c r="J317" s="6">
        <v>4800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4" t="s">
        <v>68</v>
      </c>
      <c r="R317" s="4">
        <v>43199</v>
      </c>
      <c r="S317" s="4">
        <v>38</v>
      </c>
      <c r="T317" s="4">
        <v>0</v>
      </c>
      <c r="U317" s="4">
        <v>0</v>
      </c>
      <c r="V317" s="6">
        <f>IF(ISERROR(VLOOKUP($S$317,'TAR FIN'!$A$1:$O$104,15,0)),0,VLOOKUP($S$317,'TAR FIN'!$A$1:$O$104,15,0))</f>
        <v>14.41</v>
      </c>
      <c r="W317" s="6">
        <f>IF(ISERROR(VLOOKUP($T$317,'TAR FIN'!$A$1:$O$104,15,0)),0,VLOOKUP($T$317,'TAR FIN'!$A$1:$O$104,15,0))</f>
        <v>0</v>
      </c>
      <c r="X317" s="6">
        <f>IF(ISERROR(VLOOKUP($U$317,'TAR FIN'!$A$1:$O$104,15,0)),0,VLOOKUP($U$317,'TAR FIN'!$A$1:$O$104,15,0))</f>
        <v>0</v>
      </c>
      <c r="Y317" s="6">
        <f ca="1">('TUSD BE'!$AM$23+'TUSD BF'!$AM$23+'TUSD CVA'!$AM$23)*1</f>
        <v>14.494286200962303</v>
      </c>
      <c r="Z317" s="6"/>
      <c r="AA317" s="6"/>
      <c r="AB317" s="6">
        <f t="shared" si="18"/>
        <v>69168</v>
      </c>
      <c r="AC317" s="6">
        <f t="shared" si="19"/>
        <v>0</v>
      </c>
      <c r="AD317" s="6">
        <f t="shared" ca="1" si="20"/>
        <v>69572.573764619054</v>
      </c>
      <c r="AE317" s="6">
        <f t="shared" si="21"/>
        <v>0</v>
      </c>
      <c r="AF317" s="4" t="s">
        <v>1000</v>
      </c>
    </row>
    <row r="318" spans="1:32" ht="11.25" customHeight="1" x14ac:dyDescent="0.25">
      <c r="A318" s="4" t="s">
        <v>21</v>
      </c>
      <c r="B318" s="4" t="s">
        <v>41</v>
      </c>
      <c r="C318" s="4" t="s">
        <v>66</v>
      </c>
      <c r="D318" s="4" t="s">
        <v>25</v>
      </c>
      <c r="E318" s="4" t="s">
        <v>25</v>
      </c>
      <c r="F318" s="4" t="s">
        <v>25</v>
      </c>
      <c r="G318" s="4" t="s">
        <v>83</v>
      </c>
      <c r="H318" s="4" t="s">
        <v>25</v>
      </c>
      <c r="I318" s="5">
        <v>44562</v>
      </c>
      <c r="J318" s="6">
        <v>2400</v>
      </c>
      <c r="K318" s="6">
        <v>1200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4" t="s">
        <v>68</v>
      </c>
      <c r="S318" s="4">
        <v>38</v>
      </c>
      <c r="T318" s="4">
        <v>0</v>
      </c>
      <c r="U318" s="4">
        <v>0</v>
      </c>
      <c r="V318" s="6">
        <f>IF(ISERROR(VLOOKUP($S$318,'TAR FIN'!$A$1:$O$104,15,0)),0,VLOOKUP($S$318,'TAR FIN'!$A$1:$O$104,15,0))</f>
        <v>14.41</v>
      </c>
      <c r="W318" s="6">
        <f>IF(ISERROR(VLOOKUP($T$318,'TAR FIN'!$A$1:$O$104,15,0)),0,VLOOKUP($T$318,'TAR FIN'!$A$1:$O$104,15,0))</f>
        <v>0</v>
      </c>
      <c r="X318" s="6">
        <f>IF(ISERROR(VLOOKUP($U$318,'TAR FIN'!$A$1:$O$104,15,0)),0,VLOOKUP($U$318,'TAR FIN'!$A$1:$O$104,15,0))</f>
        <v>0</v>
      </c>
      <c r="Y318" s="6">
        <f ca="1">('TUSD BE'!$AM$23+'TUSD BF'!$AM$23+'TUSD CVA'!$AM$23)*1</f>
        <v>14.494286200962303</v>
      </c>
      <c r="Z318" s="6"/>
      <c r="AA318" s="6"/>
      <c r="AB318" s="6">
        <f t="shared" si="18"/>
        <v>17292</v>
      </c>
      <c r="AC318" s="6">
        <f t="shared" si="19"/>
        <v>0</v>
      </c>
      <c r="AD318" s="6">
        <f t="shared" ca="1" si="20"/>
        <v>17393.143441154763</v>
      </c>
      <c r="AE318" s="6">
        <f t="shared" si="21"/>
        <v>0</v>
      </c>
      <c r="AF318" s="4" t="s">
        <v>1000</v>
      </c>
    </row>
    <row r="319" spans="1:32" ht="11.25" customHeight="1" x14ac:dyDescent="0.25">
      <c r="A319" s="4" t="s">
        <v>21</v>
      </c>
      <c r="B319" s="4" t="s">
        <v>41</v>
      </c>
      <c r="C319" s="4" t="s">
        <v>66</v>
      </c>
      <c r="D319" s="4" t="s">
        <v>25</v>
      </c>
      <c r="E319" s="4" t="s">
        <v>25</v>
      </c>
      <c r="F319" s="4" t="s">
        <v>25</v>
      </c>
      <c r="G319" s="4" t="s">
        <v>84</v>
      </c>
      <c r="H319" s="4" t="s">
        <v>25</v>
      </c>
      <c r="I319" s="5">
        <v>44562</v>
      </c>
      <c r="J319" s="6">
        <v>250</v>
      </c>
      <c r="K319" s="6">
        <v>125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4" t="s">
        <v>68</v>
      </c>
      <c r="S319" s="4">
        <v>38</v>
      </c>
      <c r="T319" s="4">
        <v>0</v>
      </c>
      <c r="U319" s="4">
        <v>0</v>
      </c>
      <c r="V319" s="6">
        <f>IF(ISERROR(VLOOKUP($S$319,'TAR FIN'!$A$1:$O$104,15,0)),0,VLOOKUP($S$319,'TAR FIN'!$A$1:$O$104,15,0))</f>
        <v>14.41</v>
      </c>
      <c r="W319" s="6">
        <f>IF(ISERROR(VLOOKUP($T$319,'TAR FIN'!$A$1:$O$104,15,0)),0,VLOOKUP($T$319,'TAR FIN'!$A$1:$O$104,15,0))</f>
        <v>0</v>
      </c>
      <c r="X319" s="6">
        <f>IF(ISERROR(VLOOKUP($U$319,'TAR FIN'!$A$1:$O$104,15,0)),0,VLOOKUP($U$319,'TAR FIN'!$A$1:$O$104,15,0))</f>
        <v>0</v>
      </c>
      <c r="Y319" s="6">
        <f ca="1">('TUSD BE'!$AM$23+'TUSD BF'!$AM$23+'TUSD CVA'!$AM$23)*1</f>
        <v>14.494286200962303</v>
      </c>
      <c r="Z319" s="6"/>
      <c r="AA319" s="6"/>
      <c r="AB319" s="6">
        <f t="shared" si="18"/>
        <v>1801.25</v>
      </c>
      <c r="AC319" s="6">
        <f t="shared" si="19"/>
        <v>0</v>
      </c>
      <c r="AD319" s="6">
        <f t="shared" ca="1" si="20"/>
        <v>1811.785775120288</v>
      </c>
      <c r="AE319" s="6">
        <f t="shared" si="21"/>
        <v>0</v>
      </c>
      <c r="AF319" s="4" t="s">
        <v>1000</v>
      </c>
    </row>
    <row r="320" spans="1:32" ht="11.25" customHeight="1" x14ac:dyDescent="0.25">
      <c r="A320" s="4" t="s">
        <v>21</v>
      </c>
      <c r="B320" s="4" t="s">
        <v>41</v>
      </c>
      <c r="C320" s="4" t="s">
        <v>66</v>
      </c>
      <c r="D320" s="4" t="s">
        <v>25</v>
      </c>
      <c r="E320" s="4" t="s">
        <v>25</v>
      </c>
      <c r="F320" s="4" t="s">
        <v>25</v>
      </c>
      <c r="G320" s="4" t="s">
        <v>85</v>
      </c>
      <c r="H320" s="4" t="s">
        <v>25</v>
      </c>
      <c r="I320" s="5">
        <v>44562</v>
      </c>
      <c r="J320" s="6">
        <v>250</v>
      </c>
      <c r="K320" s="6">
        <v>125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4" t="s">
        <v>68</v>
      </c>
      <c r="R320" s="4">
        <v>52044</v>
      </c>
      <c r="S320" s="4">
        <v>38</v>
      </c>
      <c r="T320" s="4">
        <v>0</v>
      </c>
      <c r="U320" s="4">
        <v>0</v>
      </c>
      <c r="V320" s="6">
        <f>IF(ISERROR(VLOOKUP($S$320,'TAR FIN'!$A$1:$O$104,15,0)),0,VLOOKUP($S$320,'TAR FIN'!$A$1:$O$104,15,0))</f>
        <v>14.41</v>
      </c>
      <c r="W320" s="6">
        <f>IF(ISERROR(VLOOKUP($T$320,'TAR FIN'!$A$1:$O$104,15,0)),0,VLOOKUP($T$320,'TAR FIN'!$A$1:$O$104,15,0))</f>
        <v>0</v>
      </c>
      <c r="X320" s="6">
        <f>IF(ISERROR(VLOOKUP($U$320,'TAR FIN'!$A$1:$O$104,15,0)),0,VLOOKUP($U$320,'TAR FIN'!$A$1:$O$104,15,0))</f>
        <v>0</v>
      </c>
      <c r="Y320" s="6">
        <f ca="1">('TUSD BE'!$AM$23+'TUSD BF'!$AM$23+'TUSD CVA'!$AM$23)*1</f>
        <v>14.494286200962303</v>
      </c>
      <c r="Z320" s="6"/>
      <c r="AA320" s="6"/>
      <c r="AB320" s="6">
        <f t="shared" si="18"/>
        <v>1801.25</v>
      </c>
      <c r="AC320" s="6">
        <f t="shared" si="19"/>
        <v>0</v>
      </c>
      <c r="AD320" s="6">
        <f t="shared" ca="1" si="20"/>
        <v>1811.785775120288</v>
      </c>
      <c r="AE320" s="6">
        <f t="shared" si="21"/>
        <v>0</v>
      </c>
      <c r="AF320" s="4" t="s">
        <v>1000</v>
      </c>
    </row>
    <row r="321" spans="1:32" ht="11.25" customHeight="1" x14ac:dyDescent="0.25">
      <c r="A321" s="4" t="s">
        <v>21</v>
      </c>
      <c r="B321" s="4" t="s">
        <v>41</v>
      </c>
      <c r="C321" s="4" t="s">
        <v>66</v>
      </c>
      <c r="D321" s="4" t="s">
        <v>25</v>
      </c>
      <c r="E321" s="4" t="s">
        <v>25</v>
      </c>
      <c r="F321" s="4" t="s">
        <v>25</v>
      </c>
      <c r="G321" s="4" t="s">
        <v>72</v>
      </c>
      <c r="H321" s="4" t="s">
        <v>25</v>
      </c>
      <c r="I321" s="5">
        <v>44593</v>
      </c>
      <c r="J321" s="6">
        <v>4500</v>
      </c>
      <c r="K321" s="6">
        <v>2250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4" t="s">
        <v>68</v>
      </c>
      <c r="R321" s="4">
        <v>29075</v>
      </c>
      <c r="S321" s="4">
        <v>38</v>
      </c>
      <c r="T321" s="4">
        <v>0</v>
      </c>
      <c r="U321" s="4">
        <v>0</v>
      </c>
      <c r="V321" s="6">
        <f>IF(ISERROR(VLOOKUP($S$321,'TAR FIN'!$A$1:$O$104,15,0)),0,VLOOKUP($S$321,'TAR FIN'!$A$1:$O$104,15,0))</f>
        <v>14.41</v>
      </c>
      <c r="W321" s="6">
        <f>IF(ISERROR(VLOOKUP($T$321,'TAR FIN'!$A$1:$O$104,15,0)),0,VLOOKUP($T$321,'TAR FIN'!$A$1:$O$104,15,0))</f>
        <v>0</v>
      </c>
      <c r="X321" s="6">
        <f>IF(ISERROR(VLOOKUP($U$321,'TAR FIN'!$A$1:$O$104,15,0)),0,VLOOKUP($U$321,'TAR FIN'!$A$1:$O$104,15,0))</f>
        <v>0</v>
      </c>
      <c r="Y321" s="6">
        <f ca="1">('TUSD BE'!$AM$23+'TUSD BF'!$AM$23+'TUSD CVA'!$AM$23)*1</f>
        <v>14.494286200962303</v>
      </c>
      <c r="Z321" s="6"/>
      <c r="AA321" s="6"/>
      <c r="AB321" s="6">
        <f t="shared" si="18"/>
        <v>32422.5</v>
      </c>
      <c r="AC321" s="6">
        <f t="shared" si="19"/>
        <v>0</v>
      </c>
      <c r="AD321" s="6">
        <f t="shared" ca="1" si="20"/>
        <v>32612.143952165185</v>
      </c>
      <c r="AE321" s="6">
        <f t="shared" si="21"/>
        <v>0</v>
      </c>
      <c r="AF321" s="4" t="s">
        <v>1000</v>
      </c>
    </row>
    <row r="322" spans="1:32" ht="11.25" customHeight="1" x14ac:dyDescent="0.25">
      <c r="A322" s="4" t="s">
        <v>21</v>
      </c>
      <c r="B322" s="4" t="s">
        <v>41</v>
      </c>
      <c r="C322" s="4" t="s">
        <v>66</v>
      </c>
      <c r="D322" s="4" t="s">
        <v>25</v>
      </c>
      <c r="E322" s="4" t="s">
        <v>25</v>
      </c>
      <c r="F322" s="4" t="s">
        <v>25</v>
      </c>
      <c r="G322" s="4" t="s">
        <v>74</v>
      </c>
      <c r="H322" s="4" t="s">
        <v>25</v>
      </c>
      <c r="I322" s="5">
        <v>44593</v>
      </c>
      <c r="J322" s="6">
        <v>3000</v>
      </c>
      <c r="K322" s="6">
        <v>1500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4" t="s">
        <v>68</v>
      </c>
      <c r="S322" s="4">
        <v>38</v>
      </c>
      <c r="T322" s="4">
        <v>0</v>
      </c>
      <c r="U322" s="4">
        <v>0</v>
      </c>
      <c r="V322" s="6">
        <f>IF(ISERROR(VLOOKUP($S$322,'TAR FIN'!$A$1:$O$104,15,0)),0,VLOOKUP($S$322,'TAR FIN'!$A$1:$O$104,15,0))</f>
        <v>14.41</v>
      </c>
      <c r="W322" s="6">
        <f>IF(ISERROR(VLOOKUP($T$322,'TAR FIN'!$A$1:$O$104,15,0)),0,VLOOKUP($T$322,'TAR FIN'!$A$1:$O$104,15,0))</f>
        <v>0</v>
      </c>
      <c r="X322" s="6">
        <f>IF(ISERROR(VLOOKUP($U$322,'TAR FIN'!$A$1:$O$104,15,0)),0,VLOOKUP($U$322,'TAR FIN'!$A$1:$O$104,15,0))</f>
        <v>0</v>
      </c>
      <c r="Y322" s="6">
        <f ca="1">('TUSD BE'!$AM$23+'TUSD BF'!$AM$23+'TUSD CVA'!$AM$23)*1</f>
        <v>14.494286200962303</v>
      </c>
      <c r="Z322" s="6"/>
      <c r="AA322" s="6"/>
      <c r="AB322" s="6">
        <f t="shared" ref="AB322:AB385" si="22">(J322-K322)*V322</f>
        <v>21615</v>
      </c>
      <c r="AC322" s="6">
        <f t="shared" ref="AC322:AC385" si="23">(L322-M322)*W322+(N322-O322)*X322</f>
        <v>0</v>
      </c>
      <c r="AD322" s="6">
        <f t="shared" ref="AD322:AD385" ca="1" si="24">(J322-K322)*Y322</f>
        <v>21741.429301443455</v>
      </c>
      <c r="AE322" s="6">
        <f t="shared" ref="AE322:AE385" si="25">(L322-M322)*Z322+(N322-O322)*AA322</f>
        <v>0</v>
      </c>
      <c r="AF322" s="4" t="s">
        <v>1000</v>
      </c>
    </row>
    <row r="323" spans="1:32" ht="11.25" customHeight="1" x14ac:dyDescent="0.25">
      <c r="A323" s="4" t="s">
        <v>21</v>
      </c>
      <c r="B323" s="4" t="s">
        <v>41</v>
      </c>
      <c r="C323" s="4" t="s">
        <v>66</v>
      </c>
      <c r="D323" s="4" t="s">
        <v>25</v>
      </c>
      <c r="E323" s="4" t="s">
        <v>25</v>
      </c>
      <c r="F323" s="4" t="s">
        <v>25</v>
      </c>
      <c r="G323" s="4" t="s">
        <v>80</v>
      </c>
      <c r="H323" s="4" t="s">
        <v>25</v>
      </c>
      <c r="I323" s="5">
        <v>44593</v>
      </c>
      <c r="J323" s="6">
        <v>3000</v>
      </c>
      <c r="K323" s="6">
        <v>1500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4" t="s">
        <v>68</v>
      </c>
      <c r="R323" s="4">
        <v>34891</v>
      </c>
      <c r="S323" s="4">
        <v>38</v>
      </c>
      <c r="T323" s="4">
        <v>0</v>
      </c>
      <c r="U323" s="4">
        <v>0</v>
      </c>
      <c r="V323" s="6">
        <f>IF(ISERROR(VLOOKUP($S$323,'TAR FIN'!$A$1:$O$104,15,0)),0,VLOOKUP($S$323,'TAR FIN'!$A$1:$O$104,15,0))</f>
        <v>14.41</v>
      </c>
      <c r="W323" s="6">
        <f>IF(ISERROR(VLOOKUP($T$323,'TAR FIN'!$A$1:$O$104,15,0)),0,VLOOKUP($T$323,'TAR FIN'!$A$1:$O$104,15,0))</f>
        <v>0</v>
      </c>
      <c r="X323" s="6">
        <f>IF(ISERROR(VLOOKUP($U$323,'TAR FIN'!$A$1:$O$104,15,0)),0,VLOOKUP($U$323,'TAR FIN'!$A$1:$O$104,15,0))</f>
        <v>0</v>
      </c>
      <c r="Y323" s="6">
        <f ca="1">('TUSD BE'!$AM$23+'TUSD BF'!$AM$23+'TUSD CVA'!$AM$23)*1</f>
        <v>14.494286200962303</v>
      </c>
      <c r="Z323" s="6"/>
      <c r="AA323" s="6"/>
      <c r="AB323" s="6">
        <f t="shared" si="22"/>
        <v>21615</v>
      </c>
      <c r="AC323" s="6">
        <f t="shared" si="23"/>
        <v>0</v>
      </c>
      <c r="AD323" s="6">
        <f t="shared" ca="1" si="24"/>
        <v>21741.429301443455</v>
      </c>
      <c r="AE323" s="6">
        <f t="shared" si="25"/>
        <v>0</v>
      </c>
      <c r="AF323" s="4" t="s">
        <v>1000</v>
      </c>
    </row>
    <row r="324" spans="1:32" ht="11.25" customHeight="1" x14ac:dyDescent="0.25">
      <c r="A324" s="4" t="s">
        <v>21</v>
      </c>
      <c r="B324" s="4" t="s">
        <v>41</v>
      </c>
      <c r="C324" s="4" t="s">
        <v>66</v>
      </c>
      <c r="D324" s="4" t="s">
        <v>25</v>
      </c>
      <c r="E324" s="4" t="s">
        <v>25</v>
      </c>
      <c r="F324" s="4" t="s">
        <v>25</v>
      </c>
      <c r="G324" s="4" t="s">
        <v>81</v>
      </c>
      <c r="H324" s="4" t="s">
        <v>25</v>
      </c>
      <c r="I324" s="5">
        <v>44593</v>
      </c>
      <c r="J324" s="6">
        <v>600</v>
      </c>
      <c r="K324" s="6">
        <v>300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4" t="s">
        <v>68</v>
      </c>
      <c r="R324" s="4">
        <v>34893</v>
      </c>
      <c r="S324" s="4">
        <v>38</v>
      </c>
      <c r="T324" s="4">
        <v>0</v>
      </c>
      <c r="U324" s="4">
        <v>0</v>
      </c>
      <c r="V324" s="6">
        <f>IF(ISERROR(VLOOKUP($S$324,'TAR FIN'!$A$1:$O$104,15,0)),0,VLOOKUP($S$324,'TAR FIN'!$A$1:$O$104,15,0))</f>
        <v>14.41</v>
      </c>
      <c r="W324" s="6">
        <f>IF(ISERROR(VLOOKUP($T$324,'TAR FIN'!$A$1:$O$104,15,0)),0,VLOOKUP($T$324,'TAR FIN'!$A$1:$O$104,15,0))</f>
        <v>0</v>
      </c>
      <c r="X324" s="6">
        <f>IF(ISERROR(VLOOKUP($U$324,'TAR FIN'!$A$1:$O$104,15,0)),0,VLOOKUP($U$324,'TAR FIN'!$A$1:$O$104,15,0))</f>
        <v>0</v>
      </c>
      <c r="Y324" s="6">
        <f ca="1">('TUSD BE'!$AM$23+'TUSD BF'!$AM$23+'TUSD CVA'!$AM$23)*1</f>
        <v>14.494286200962303</v>
      </c>
      <c r="Z324" s="6"/>
      <c r="AA324" s="6"/>
      <c r="AB324" s="6">
        <f t="shared" si="22"/>
        <v>4323</v>
      </c>
      <c r="AC324" s="6">
        <f t="shared" si="23"/>
        <v>0</v>
      </c>
      <c r="AD324" s="6">
        <f t="shared" ca="1" si="24"/>
        <v>4348.2858602886909</v>
      </c>
      <c r="AE324" s="6">
        <f t="shared" si="25"/>
        <v>0</v>
      </c>
      <c r="AF324" s="4" t="s">
        <v>1000</v>
      </c>
    </row>
    <row r="325" spans="1:32" ht="11.25" customHeight="1" x14ac:dyDescent="0.25">
      <c r="A325" s="4" t="s">
        <v>21</v>
      </c>
      <c r="B325" s="4" t="s">
        <v>41</v>
      </c>
      <c r="C325" s="4" t="s">
        <v>66</v>
      </c>
      <c r="D325" s="4" t="s">
        <v>25</v>
      </c>
      <c r="E325" s="4" t="s">
        <v>25</v>
      </c>
      <c r="F325" s="4" t="s">
        <v>25</v>
      </c>
      <c r="G325" s="4" t="s">
        <v>82</v>
      </c>
      <c r="H325" s="4" t="s">
        <v>25</v>
      </c>
      <c r="I325" s="5">
        <v>44593</v>
      </c>
      <c r="J325" s="6">
        <v>4800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4" t="s">
        <v>68</v>
      </c>
      <c r="R325" s="4">
        <v>43199</v>
      </c>
      <c r="S325" s="4">
        <v>38</v>
      </c>
      <c r="T325" s="4">
        <v>0</v>
      </c>
      <c r="U325" s="4">
        <v>0</v>
      </c>
      <c r="V325" s="6">
        <f>IF(ISERROR(VLOOKUP($S$325,'TAR FIN'!$A$1:$O$104,15,0)),0,VLOOKUP($S$325,'TAR FIN'!$A$1:$O$104,15,0))</f>
        <v>14.41</v>
      </c>
      <c r="W325" s="6">
        <f>IF(ISERROR(VLOOKUP($T$325,'TAR FIN'!$A$1:$O$104,15,0)),0,VLOOKUP($T$325,'TAR FIN'!$A$1:$O$104,15,0))</f>
        <v>0</v>
      </c>
      <c r="X325" s="6">
        <f>IF(ISERROR(VLOOKUP($U$325,'TAR FIN'!$A$1:$O$104,15,0)),0,VLOOKUP($U$325,'TAR FIN'!$A$1:$O$104,15,0))</f>
        <v>0</v>
      </c>
      <c r="Y325" s="6">
        <f ca="1">('TUSD BE'!$AM$23+'TUSD BF'!$AM$23+'TUSD CVA'!$AM$23)*1</f>
        <v>14.494286200962303</v>
      </c>
      <c r="Z325" s="6"/>
      <c r="AA325" s="6"/>
      <c r="AB325" s="6">
        <f t="shared" si="22"/>
        <v>69168</v>
      </c>
      <c r="AC325" s="6">
        <f t="shared" si="23"/>
        <v>0</v>
      </c>
      <c r="AD325" s="6">
        <f t="shared" ca="1" si="24"/>
        <v>69572.573764619054</v>
      </c>
      <c r="AE325" s="6">
        <f t="shared" si="25"/>
        <v>0</v>
      </c>
      <c r="AF325" s="4" t="s">
        <v>1000</v>
      </c>
    </row>
    <row r="326" spans="1:32" ht="11.25" customHeight="1" x14ac:dyDescent="0.25">
      <c r="A326" s="4" t="s">
        <v>21</v>
      </c>
      <c r="B326" s="4" t="s">
        <v>41</v>
      </c>
      <c r="C326" s="4" t="s">
        <v>66</v>
      </c>
      <c r="D326" s="4" t="s">
        <v>25</v>
      </c>
      <c r="E326" s="4" t="s">
        <v>25</v>
      </c>
      <c r="F326" s="4" t="s">
        <v>25</v>
      </c>
      <c r="G326" s="4" t="s">
        <v>83</v>
      </c>
      <c r="H326" s="4" t="s">
        <v>25</v>
      </c>
      <c r="I326" s="5">
        <v>44593</v>
      </c>
      <c r="J326" s="6">
        <v>2400</v>
      </c>
      <c r="K326" s="6">
        <v>1200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4" t="s">
        <v>68</v>
      </c>
      <c r="S326" s="4">
        <v>38</v>
      </c>
      <c r="T326" s="4">
        <v>0</v>
      </c>
      <c r="U326" s="4">
        <v>0</v>
      </c>
      <c r="V326" s="6">
        <f>IF(ISERROR(VLOOKUP($S$326,'TAR FIN'!$A$1:$O$104,15,0)),0,VLOOKUP($S$326,'TAR FIN'!$A$1:$O$104,15,0))</f>
        <v>14.41</v>
      </c>
      <c r="W326" s="6">
        <f>IF(ISERROR(VLOOKUP($T$326,'TAR FIN'!$A$1:$O$104,15,0)),0,VLOOKUP($T$326,'TAR FIN'!$A$1:$O$104,15,0))</f>
        <v>0</v>
      </c>
      <c r="X326" s="6">
        <f>IF(ISERROR(VLOOKUP($U$326,'TAR FIN'!$A$1:$O$104,15,0)),0,VLOOKUP($U$326,'TAR FIN'!$A$1:$O$104,15,0))</f>
        <v>0</v>
      </c>
      <c r="Y326" s="6">
        <f ca="1">('TUSD BE'!$AM$23+'TUSD BF'!$AM$23+'TUSD CVA'!$AM$23)*1</f>
        <v>14.494286200962303</v>
      </c>
      <c r="Z326" s="6"/>
      <c r="AA326" s="6"/>
      <c r="AB326" s="6">
        <f t="shared" si="22"/>
        <v>17292</v>
      </c>
      <c r="AC326" s="6">
        <f t="shared" si="23"/>
        <v>0</v>
      </c>
      <c r="AD326" s="6">
        <f t="shared" ca="1" si="24"/>
        <v>17393.143441154763</v>
      </c>
      <c r="AE326" s="6">
        <f t="shared" si="25"/>
        <v>0</v>
      </c>
      <c r="AF326" s="4" t="s">
        <v>1000</v>
      </c>
    </row>
    <row r="327" spans="1:32" ht="11.25" customHeight="1" x14ac:dyDescent="0.25">
      <c r="A327" s="4" t="s">
        <v>21</v>
      </c>
      <c r="B327" s="4" t="s">
        <v>41</v>
      </c>
      <c r="C327" s="4" t="s">
        <v>66</v>
      </c>
      <c r="D327" s="4" t="s">
        <v>25</v>
      </c>
      <c r="E327" s="4" t="s">
        <v>25</v>
      </c>
      <c r="F327" s="4" t="s">
        <v>25</v>
      </c>
      <c r="G327" s="4" t="s">
        <v>84</v>
      </c>
      <c r="H327" s="4" t="s">
        <v>25</v>
      </c>
      <c r="I327" s="5">
        <v>44593</v>
      </c>
      <c r="J327" s="6">
        <v>250</v>
      </c>
      <c r="K327" s="6">
        <v>125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4" t="s">
        <v>68</v>
      </c>
      <c r="S327" s="4">
        <v>38</v>
      </c>
      <c r="T327" s="4">
        <v>0</v>
      </c>
      <c r="U327" s="4">
        <v>0</v>
      </c>
      <c r="V327" s="6">
        <f>IF(ISERROR(VLOOKUP($S$327,'TAR FIN'!$A$1:$O$104,15,0)),0,VLOOKUP($S$327,'TAR FIN'!$A$1:$O$104,15,0))</f>
        <v>14.41</v>
      </c>
      <c r="W327" s="6">
        <f>IF(ISERROR(VLOOKUP($T$327,'TAR FIN'!$A$1:$O$104,15,0)),0,VLOOKUP($T$327,'TAR FIN'!$A$1:$O$104,15,0))</f>
        <v>0</v>
      </c>
      <c r="X327" s="6">
        <f>IF(ISERROR(VLOOKUP($U$327,'TAR FIN'!$A$1:$O$104,15,0)),0,VLOOKUP($U$327,'TAR FIN'!$A$1:$O$104,15,0))</f>
        <v>0</v>
      </c>
      <c r="Y327" s="6">
        <f ca="1">('TUSD BE'!$AM$23+'TUSD BF'!$AM$23+'TUSD CVA'!$AM$23)*1</f>
        <v>14.494286200962303</v>
      </c>
      <c r="Z327" s="6"/>
      <c r="AA327" s="6"/>
      <c r="AB327" s="6">
        <f t="shared" si="22"/>
        <v>1801.25</v>
      </c>
      <c r="AC327" s="6">
        <f t="shared" si="23"/>
        <v>0</v>
      </c>
      <c r="AD327" s="6">
        <f t="shared" ca="1" si="24"/>
        <v>1811.785775120288</v>
      </c>
      <c r="AE327" s="6">
        <f t="shared" si="25"/>
        <v>0</v>
      </c>
      <c r="AF327" s="4" t="s">
        <v>1000</v>
      </c>
    </row>
    <row r="328" spans="1:32" ht="11.25" customHeight="1" x14ac:dyDescent="0.25">
      <c r="A328" s="4" t="s">
        <v>21</v>
      </c>
      <c r="B328" s="4" t="s">
        <v>41</v>
      </c>
      <c r="C328" s="4" t="s">
        <v>66</v>
      </c>
      <c r="D328" s="4" t="s">
        <v>25</v>
      </c>
      <c r="E328" s="4" t="s">
        <v>25</v>
      </c>
      <c r="F328" s="4" t="s">
        <v>25</v>
      </c>
      <c r="G328" s="4" t="s">
        <v>85</v>
      </c>
      <c r="H328" s="4" t="s">
        <v>25</v>
      </c>
      <c r="I328" s="5">
        <v>44593</v>
      </c>
      <c r="J328" s="6">
        <v>250</v>
      </c>
      <c r="K328" s="6">
        <v>125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4" t="s">
        <v>68</v>
      </c>
      <c r="R328" s="4">
        <v>52044</v>
      </c>
      <c r="S328" s="4">
        <v>38</v>
      </c>
      <c r="T328" s="4">
        <v>0</v>
      </c>
      <c r="U328" s="4">
        <v>0</v>
      </c>
      <c r="V328" s="6">
        <f>IF(ISERROR(VLOOKUP($S$328,'TAR FIN'!$A$1:$O$104,15,0)),0,VLOOKUP($S$328,'TAR FIN'!$A$1:$O$104,15,0))</f>
        <v>14.41</v>
      </c>
      <c r="W328" s="6">
        <f>IF(ISERROR(VLOOKUP($T$328,'TAR FIN'!$A$1:$O$104,15,0)),0,VLOOKUP($T$328,'TAR FIN'!$A$1:$O$104,15,0))</f>
        <v>0</v>
      </c>
      <c r="X328" s="6">
        <f>IF(ISERROR(VLOOKUP($U$328,'TAR FIN'!$A$1:$O$104,15,0)),0,VLOOKUP($U$328,'TAR FIN'!$A$1:$O$104,15,0))</f>
        <v>0</v>
      </c>
      <c r="Y328" s="6">
        <f ca="1">('TUSD BE'!$AM$23+'TUSD BF'!$AM$23+'TUSD CVA'!$AM$23)*1</f>
        <v>14.494286200962303</v>
      </c>
      <c r="Z328" s="6"/>
      <c r="AA328" s="6"/>
      <c r="AB328" s="6">
        <f t="shared" si="22"/>
        <v>1801.25</v>
      </c>
      <c r="AC328" s="6">
        <f t="shared" si="23"/>
        <v>0</v>
      </c>
      <c r="AD328" s="6">
        <f t="shared" ca="1" si="24"/>
        <v>1811.785775120288</v>
      </c>
      <c r="AE328" s="6">
        <f t="shared" si="25"/>
        <v>0</v>
      </c>
      <c r="AF328" s="4" t="s">
        <v>1000</v>
      </c>
    </row>
    <row r="329" spans="1:32" ht="11.25" customHeight="1" x14ac:dyDescent="0.25">
      <c r="A329" s="4" t="s">
        <v>21</v>
      </c>
      <c r="B329" s="4" t="s">
        <v>41</v>
      </c>
      <c r="C329" s="4" t="s">
        <v>66</v>
      </c>
      <c r="D329" s="4" t="s">
        <v>25</v>
      </c>
      <c r="E329" s="4" t="s">
        <v>25</v>
      </c>
      <c r="F329" s="4" t="s">
        <v>25</v>
      </c>
      <c r="G329" s="4" t="s">
        <v>72</v>
      </c>
      <c r="H329" s="4" t="s">
        <v>25</v>
      </c>
      <c r="I329" s="5">
        <v>44621</v>
      </c>
      <c r="J329" s="6">
        <v>4500</v>
      </c>
      <c r="K329" s="6">
        <v>2250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4" t="s">
        <v>68</v>
      </c>
      <c r="R329" s="4">
        <v>29075</v>
      </c>
      <c r="S329" s="4">
        <v>38</v>
      </c>
      <c r="T329" s="4">
        <v>0</v>
      </c>
      <c r="U329" s="4">
        <v>0</v>
      </c>
      <c r="V329" s="6">
        <f>IF(ISERROR(VLOOKUP($S$329,'TAR FIN'!$A$1:$O$104,15,0)),0,VLOOKUP($S$329,'TAR FIN'!$A$1:$O$104,15,0))</f>
        <v>14.41</v>
      </c>
      <c r="W329" s="6">
        <f>IF(ISERROR(VLOOKUP($T$329,'TAR FIN'!$A$1:$O$104,15,0)),0,VLOOKUP($T$329,'TAR FIN'!$A$1:$O$104,15,0))</f>
        <v>0</v>
      </c>
      <c r="X329" s="6">
        <f>IF(ISERROR(VLOOKUP($U$329,'TAR FIN'!$A$1:$O$104,15,0)),0,VLOOKUP($U$329,'TAR FIN'!$A$1:$O$104,15,0))</f>
        <v>0</v>
      </c>
      <c r="Y329" s="6">
        <f ca="1">('TUSD BE'!$AM$23+'TUSD BF'!$AM$23+'TUSD CVA'!$AM$23)*1</f>
        <v>14.494286200962303</v>
      </c>
      <c r="Z329" s="6"/>
      <c r="AA329" s="6"/>
      <c r="AB329" s="6">
        <f t="shared" si="22"/>
        <v>32422.5</v>
      </c>
      <c r="AC329" s="6">
        <f t="shared" si="23"/>
        <v>0</v>
      </c>
      <c r="AD329" s="6">
        <f t="shared" ca="1" si="24"/>
        <v>32612.143952165185</v>
      </c>
      <c r="AE329" s="6">
        <f t="shared" si="25"/>
        <v>0</v>
      </c>
      <c r="AF329" s="4" t="s">
        <v>1000</v>
      </c>
    </row>
    <row r="330" spans="1:32" ht="11.25" customHeight="1" x14ac:dyDescent="0.25">
      <c r="A330" s="4" t="s">
        <v>21</v>
      </c>
      <c r="B330" s="4" t="s">
        <v>41</v>
      </c>
      <c r="C330" s="4" t="s">
        <v>66</v>
      </c>
      <c r="D330" s="4" t="s">
        <v>25</v>
      </c>
      <c r="E330" s="4" t="s">
        <v>25</v>
      </c>
      <c r="F330" s="4" t="s">
        <v>25</v>
      </c>
      <c r="G330" s="4" t="s">
        <v>74</v>
      </c>
      <c r="H330" s="4" t="s">
        <v>25</v>
      </c>
      <c r="I330" s="5">
        <v>44621</v>
      </c>
      <c r="J330" s="6">
        <v>3000</v>
      </c>
      <c r="K330" s="6">
        <v>1500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4" t="s">
        <v>68</v>
      </c>
      <c r="S330" s="4">
        <v>38</v>
      </c>
      <c r="T330" s="4">
        <v>0</v>
      </c>
      <c r="U330" s="4">
        <v>0</v>
      </c>
      <c r="V330" s="6">
        <f>IF(ISERROR(VLOOKUP($S$330,'TAR FIN'!$A$1:$O$104,15,0)),0,VLOOKUP($S$330,'TAR FIN'!$A$1:$O$104,15,0))</f>
        <v>14.41</v>
      </c>
      <c r="W330" s="6">
        <f>IF(ISERROR(VLOOKUP($T$330,'TAR FIN'!$A$1:$O$104,15,0)),0,VLOOKUP($T$330,'TAR FIN'!$A$1:$O$104,15,0))</f>
        <v>0</v>
      </c>
      <c r="X330" s="6">
        <f>IF(ISERROR(VLOOKUP($U$330,'TAR FIN'!$A$1:$O$104,15,0)),0,VLOOKUP($U$330,'TAR FIN'!$A$1:$O$104,15,0))</f>
        <v>0</v>
      </c>
      <c r="Y330" s="6">
        <f ca="1">('TUSD BE'!$AM$23+'TUSD BF'!$AM$23+'TUSD CVA'!$AM$23)*1</f>
        <v>14.494286200962303</v>
      </c>
      <c r="Z330" s="6"/>
      <c r="AA330" s="6"/>
      <c r="AB330" s="6">
        <f t="shared" si="22"/>
        <v>21615</v>
      </c>
      <c r="AC330" s="6">
        <f t="shared" si="23"/>
        <v>0</v>
      </c>
      <c r="AD330" s="6">
        <f t="shared" ca="1" si="24"/>
        <v>21741.429301443455</v>
      </c>
      <c r="AE330" s="6">
        <f t="shared" si="25"/>
        <v>0</v>
      </c>
      <c r="AF330" s="4" t="s">
        <v>1000</v>
      </c>
    </row>
    <row r="331" spans="1:32" ht="11.25" customHeight="1" x14ac:dyDescent="0.25">
      <c r="A331" s="4" t="s">
        <v>21</v>
      </c>
      <c r="B331" s="4" t="s">
        <v>41</v>
      </c>
      <c r="C331" s="4" t="s">
        <v>66</v>
      </c>
      <c r="D331" s="4" t="s">
        <v>25</v>
      </c>
      <c r="E331" s="4" t="s">
        <v>25</v>
      </c>
      <c r="F331" s="4" t="s">
        <v>25</v>
      </c>
      <c r="G331" s="4" t="s">
        <v>80</v>
      </c>
      <c r="H331" s="4" t="s">
        <v>25</v>
      </c>
      <c r="I331" s="5">
        <v>44621</v>
      </c>
      <c r="J331" s="6">
        <v>3000</v>
      </c>
      <c r="K331" s="6">
        <v>1500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4" t="s">
        <v>68</v>
      </c>
      <c r="R331" s="4">
        <v>34891</v>
      </c>
      <c r="S331" s="4">
        <v>38</v>
      </c>
      <c r="T331" s="4">
        <v>0</v>
      </c>
      <c r="U331" s="4">
        <v>0</v>
      </c>
      <c r="V331" s="6">
        <f>IF(ISERROR(VLOOKUP($S$331,'TAR FIN'!$A$1:$O$104,15,0)),0,VLOOKUP($S$331,'TAR FIN'!$A$1:$O$104,15,0))</f>
        <v>14.41</v>
      </c>
      <c r="W331" s="6">
        <f>IF(ISERROR(VLOOKUP($T$331,'TAR FIN'!$A$1:$O$104,15,0)),0,VLOOKUP($T$331,'TAR FIN'!$A$1:$O$104,15,0))</f>
        <v>0</v>
      </c>
      <c r="X331" s="6">
        <f>IF(ISERROR(VLOOKUP($U$331,'TAR FIN'!$A$1:$O$104,15,0)),0,VLOOKUP($U$331,'TAR FIN'!$A$1:$O$104,15,0))</f>
        <v>0</v>
      </c>
      <c r="Y331" s="6">
        <f ca="1">('TUSD BE'!$AM$23+'TUSD BF'!$AM$23+'TUSD CVA'!$AM$23)*1</f>
        <v>14.494286200962303</v>
      </c>
      <c r="Z331" s="6"/>
      <c r="AA331" s="6"/>
      <c r="AB331" s="6">
        <f t="shared" si="22"/>
        <v>21615</v>
      </c>
      <c r="AC331" s="6">
        <f t="shared" si="23"/>
        <v>0</v>
      </c>
      <c r="AD331" s="6">
        <f t="shared" ca="1" si="24"/>
        <v>21741.429301443455</v>
      </c>
      <c r="AE331" s="6">
        <f t="shared" si="25"/>
        <v>0</v>
      </c>
      <c r="AF331" s="4" t="s">
        <v>1000</v>
      </c>
    </row>
    <row r="332" spans="1:32" ht="11.25" customHeight="1" x14ac:dyDescent="0.25">
      <c r="A332" s="4" t="s">
        <v>21</v>
      </c>
      <c r="B332" s="4" t="s">
        <v>41</v>
      </c>
      <c r="C332" s="4" t="s">
        <v>66</v>
      </c>
      <c r="D332" s="4" t="s">
        <v>25</v>
      </c>
      <c r="E332" s="4" t="s">
        <v>25</v>
      </c>
      <c r="F332" s="4" t="s">
        <v>25</v>
      </c>
      <c r="G332" s="4" t="s">
        <v>81</v>
      </c>
      <c r="H332" s="4" t="s">
        <v>25</v>
      </c>
      <c r="I332" s="5">
        <v>44621</v>
      </c>
      <c r="J332" s="6">
        <v>600</v>
      </c>
      <c r="K332" s="6">
        <v>300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4" t="s">
        <v>68</v>
      </c>
      <c r="R332" s="4">
        <v>34893</v>
      </c>
      <c r="S332" s="4">
        <v>38</v>
      </c>
      <c r="T332" s="4">
        <v>0</v>
      </c>
      <c r="U332" s="4">
        <v>0</v>
      </c>
      <c r="V332" s="6">
        <f>IF(ISERROR(VLOOKUP($S$332,'TAR FIN'!$A$1:$O$104,15,0)),0,VLOOKUP($S$332,'TAR FIN'!$A$1:$O$104,15,0))</f>
        <v>14.41</v>
      </c>
      <c r="W332" s="6">
        <f>IF(ISERROR(VLOOKUP($T$332,'TAR FIN'!$A$1:$O$104,15,0)),0,VLOOKUP($T$332,'TAR FIN'!$A$1:$O$104,15,0))</f>
        <v>0</v>
      </c>
      <c r="X332" s="6">
        <f>IF(ISERROR(VLOOKUP($U$332,'TAR FIN'!$A$1:$O$104,15,0)),0,VLOOKUP($U$332,'TAR FIN'!$A$1:$O$104,15,0))</f>
        <v>0</v>
      </c>
      <c r="Y332" s="6">
        <f ca="1">('TUSD BE'!$AM$23+'TUSD BF'!$AM$23+'TUSD CVA'!$AM$23)*1</f>
        <v>14.494286200962303</v>
      </c>
      <c r="Z332" s="6"/>
      <c r="AA332" s="6"/>
      <c r="AB332" s="6">
        <f t="shared" si="22"/>
        <v>4323</v>
      </c>
      <c r="AC332" s="6">
        <f t="shared" si="23"/>
        <v>0</v>
      </c>
      <c r="AD332" s="6">
        <f t="shared" ca="1" si="24"/>
        <v>4348.2858602886909</v>
      </c>
      <c r="AE332" s="6">
        <f t="shared" si="25"/>
        <v>0</v>
      </c>
      <c r="AF332" s="4" t="s">
        <v>1000</v>
      </c>
    </row>
    <row r="333" spans="1:32" ht="11.25" customHeight="1" x14ac:dyDescent="0.25">
      <c r="A333" s="4" t="s">
        <v>21</v>
      </c>
      <c r="B333" s="4" t="s">
        <v>41</v>
      </c>
      <c r="C333" s="4" t="s">
        <v>66</v>
      </c>
      <c r="D333" s="4" t="s">
        <v>25</v>
      </c>
      <c r="E333" s="4" t="s">
        <v>25</v>
      </c>
      <c r="F333" s="4" t="s">
        <v>25</v>
      </c>
      <c r="G333" s="4" t="s">
        <v>82</v>
      </c>
      <c r="H333" s="4" t="s">
        <v>25</v>
      </c>
      <c r="I333" s="5">
        <v>44621</v>
      </c>
      <c r="J333" s="6">
        <v>4800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4" t="s">
        <v>68</v>
      </c>
      <c r="R333" s="4">
        <v>43199</v>
      </c>
      <c r="S333" s="4">
        <v>38</v>
      </c>
      <c r="T333" s="4">
        <v>0</v>
      </c>
      <c r="U333" s="4">
        <v>0</v>
      </c>
      <c r="V333" s="6">
        <f>IF(ISERROR(VLOOKUP($S$333,'TAR FIN'!$A$1:$O$104,15,0)),0,VLOOKUP($S$333,'TAR FIN'!$A$1:$O$104,15,0))</f>
        <v>14.41</v>
      </c>
      <c r="W333" s="6">
        <f>IF(ISERROR(VLOOKUP($T$333,'TAR FIN'!$A$1:$O$104,15,0)),0,VLOOKUP($T$333,'TAR FIN'!$A$1:$O$104,15,0))</f>
        <v>0</v>
      </c>
      <c r="X333" s="6">
        <f>IF(ISERROR(VLOOKUP($U$333,'TAR FIN'!$A$1:$O$104,15,0)),0,VLOOKUP($U$333,'TAR FIN'!$A$1:$O$104,15,0))</f>
        <v>0</v>
      </c>
      <c r="Y333" s="6">
        <f ca="1">('TUSD BE'!$AM$23+'TUSD BF'!$AM$23+'TUSD CVA'!$AM$23)*1</f>
        <v>14.494286200962303</v>
      </c>
      <c r="Z333" s="6"/>
      <c r="AA333" s="6"/>
      <c r="AB333" s="6">
        <f t="shared" si="22"/>
        <v>69168</v>
      </c>
      <c r="AC333" s="6">
        <f t="shared" si="23"/>
        <v>0</v>
      </c>
      <c r="AD333" s="6">
        <f t="shared" ca="1" si="24"/>
        <v>69572.573764619054</v>
      </c>
      <c r="AE333" s="6">
        <f t="shared" si="25"/>
        <v>0</v>
      </c>
      <c r="AF333" s="4" t="s">
        <v>1000</v>
      </c>
    </row>
    <row r="334" spans="1:32" ht="11.25" customHeight="1" x14ac:dyDescent="0.25">
      <c r="A334" s="4" t="s">
        <v>21</v>
      </c>
      <c r="B334" s="4" t="s">
        <v>41</v>
      </c>
      <c r="C334" s="4" t="s">
        <v>66</v>
      </c>
      <c r="D334" s="4" t="s">
        <v>25</v>
      </c>
      <c r="E334" s="4" t="s">
        <v>25</v>
      </c>
      <c r="F334" s="4" t="s">
        <v>25</v>
      </c>
      <c r="G334" s="4" t="s">
        <v>83</v>
      </c>
      <c r="H334" s="4" t="s">
        <v>25</v>
      </c>
      <c r="I334" s="5">
        <v>44621</v>
      </c>
      <c r="J334" s="6">
        <v>2400</v>
      </c>
      <c r="K334" s="6">
        <v>1200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4" t="s">
        <v>68</v>
      </c>
      <c r="S334" s="4">
        <v>38</v>
      </c>
      <c r="T334" s="4">
        <v>0</v>
      </c>
      <c r="U334" s="4">
        <v>0</v>
      </c>
      <c r="V334" s="6">
        <f>IF(ISERROR(VLOOKUP($S$334,'TAR FIN'!$A$1:$O$104,15,0)),0,VLOOKUP($S$334,'TAR FIN'!$A$1:$O$104,15,0))</f>
        <v>14.41</v>
      </c>
      <c r="W334" s="6">
        <f>IF(ISERROR(VLOOKUP($T$334,'TAR FIN'!$A$1:$O$104,15,0)),0,VLOOKUP($T$334,'TAR FIN'!$A$1:$O$104,15,0))</f>
        <v>0</v>
      </c>
      <c r="X334" s="6">
        <f>IF(ISERROR(VLOOKUP($U$334,'TAR FIN'!$A$1:$O$104,15,0)),0,VLOOKUP($U$334,'TAR FIN'!$A$1:$O$104,15,0))</f>
        <v>0</v>
      </c>
      <c r="Y334" s="6">
        <f ca="1">('TUSD BE'!$AM$23+'TUSD BF'!$AM$23+'TUSD CVA'!$AM$23)*1</f>
        <v>14.494286200962303</v>
      </c>
      <c r="Z334" s="6"/>
      <c r="AA334" s="6"/>
      <c r="AB334" s="6">
        <f t="shared" si="22"/>
        <v>17292</v>
      </c>
      <c r="AC334" s="6">
        <f t="shared" si="23"/>
        <v>0</v>
      </c>
      <c r="AD334" s="6">
        <f t="shared" ca="1" si="24"/>
        <v>17393.143441154763</v>
      </c>
      <c r="AE334" s="6">
        <f t="shared" si="25"/>
        <v>0</v>
      </c>
      <c r="AF334" s="4" t="s">
        <v>1000</v>
      </c>
    </row>
    <row r="335" spans="1:32" ht="11.25" customHeight="1" x14ac:dyDescent="0.25">
      <c r="A335" s="4" t="s">
        <v>21</v>
      </c>
      <c r="B335" s="4" t="s">
        <v>41</v>
      </c>
      <c r="C335" s="4" t="s">
        <v>66</v>
      </c>
      <c r="D335" s="4" t="s">
        <v>25</v>
      </c>
      <c r="E335" s="4" t="s">
        <v>25</v>
      </c>
      <c r="F335" s="4" t="s">
        <v>25</v>
      </c>
      <c r="G335" s="4" t="s">
        <v>84</v>
      </c>
      <c r="H335" s="4" t="s">
        <v>25</v>
      </c>
      <c r="I335" s="5">
        <v>44621</v>
      </c>
      <c r="J335" s="6">
        <v>250</v>
      </c>
      <c r="K335" s="6">
        <v>125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4" t="s">
        <v>68</v>
      </c>
      <c r="S335" s="4">
        <v>38</v>
      </c>
      <c r="T335" s="4">
        <v>0</v>
      </c>
      <c r="U335" s="4">
        <v>0</v>
      </c>
      <c r="V335" s="6">
        <f>IF(ISERROR(VLOOKUP($S$335,'TAR FIN'!$A$1:$O$104,15,0)),0,VLOOKUP($S$335,'TAR FIN'!$A$1:$O$104,15,0))</f>
        <v>14.41</v>
      </c>
      <c r="W335" s="6">
        <f>IF(ISERROR(VLOOKUP($T$335,'TAR FIN'!$A$1:$O$104,15,0)),0,VLOOKUP($T$335,'TAR FIN'!$A$1:$O$104,15,0))</f>
        <v>0</v>
      </c>
      <c r="X335" s="6">
        <f>IF(ISERROR(VLOOKUP($U$335,'TAR FIN'!$A$1:$O$104,15,0)),0,VLOOKUP($U$335,'TAR FIN'!$A$1:$O$104,15,0))</f>
        <v>0</v>
      </c>
      <c r="Y335" s="6">
        <f ca="1">('TUSD BE'!$AM$23+'TUSD BF'!$AM$23+'TUSD CVA'!$AM$23)*1</f>
        <v>14.494286200962303</v>
      </c>
      <c r="Z335" s="6"/>
      <c r="AA335" s="6"/>
      <c r="AB335" s="6">
        <f t="shared" si="22"/>
        <v>1801.25</v>
      </c>
      <c r="AC335" s="6">
        <f t="shared" si="23"/>
        <v>0</v>
      </c>
      <c r="AD335" s="6">
        <f t="shared" ca="1" si="24"/>
        <v>1811.785775120288</v>
      </c>
      <c r="AE335" s="6">
        <f t="shared" si="25"/>
        <v>0</v>
      </c>
      <c r="AF335" s="4" t="s">
        <v>1000</v>
      </c>
    </row>
    <row r="336" spans="1:32" ht="11.25" customHeight="1" x14ac:dyDescent="0.25">
      <c r="A336" s="4" t="s">
        <v>21</v>
      </c>
      <c r="B336" s="4" t="s">
        <v>41</v>
      </c>
      <c r="C336" s="4" t="s">
        <v>66</v>
      </c>
      <c r="D336" s="4" t="s">
        <v>25</v>
      </c>
      <c r="E336" s="4" t="s">
        <v>25</v>
      </c>
      <c r="F336" s="4" t="s">
        <v>25</v>
      </c>
      <c r="G336" s="4" t="s">
        <v>85</v>
      </c>
      <c r="H336" s="4" t="s">
        <v>25</v>
      </c>
      <c r="I336" s="5">
        <v>44621</v>
      </c>
      <c r="J336" s="6">
        <v>250</v>
      </c>
      <c r="K336" s="6">
        <v>125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4" t="s">
        <v>68</v>
      </c>
      <c r="R336" s="4">
        <v>52044</v>
      </c>
      <c r="S336" s="4">
        <v>38</v>
      </c>
      <c r="T336" s="4">
        <v>0</v>
      </c>
      <c r="U336" s="4">
        <v>0</v>
      </c>
      <c r="V336" s="6">
        <f>IF(ISERROR(VLOOKUP($S$336,'TAR FIN'!$A$1:$O$104,15,0)),0,VLOOKUP($S$336,'TAR FIN'!$A$1:$O$104,15,0))</f>
        <v>14.41</v>
      </c>
      <c r="W336" s="6">
        <f>IF(ISERROR(VLOOKUP($T$336,'TAR FIN'!$A$1:$O$104,15,0)),0,VLOOKUP($T$336,'TAR FIN'!$A$1:$O$104,15,0))</f>
        <v>0</v>
      </c>
      <c r="X336" s="6">
        <f>IF(ISERROR(VLOOKUP($U$336,'TAR FIN'!$A$1:$O$104,15,0)),0,VLOOKUP($U$336,'TAR FIN'!$A$1:$O$104,15,0))</f>
        <v>0</v>
      </c>
      <c r="Y336" s="6">
        <f ca="1">('TUSD BE'!$AM$23+'TUSD BF'!$AM$23+'TUSD CVA'!$AM$23)*1</f>
        <v>14.494286200962303</v>
      </c>
      <c r="Z336" s="6"/>
      <c r="AA336" s="6"/>
      <c r="AB336" s="6">
        <f t="shared" si="22"/>
        <v>1801.25</v>
      </c>
      <c r="AC336" s="6">
        <f t="shared" si="23"/>
        <v>0</v>
      </c>
      <c r="AD336" s="6">
        <f t="shared" ca="1" si="24"/>
        <v>1811.785775120288</v>
      </c>
      <c r="AE336" s="6">
        <f t="shared" si="25"/>
        <v>0</v>
      </c>
      <c r="AF336" s="4" t="s">
        <v>1000</v>
      </c>
    </row>
    <row r="337" spans="1:32" ht="11.25" customHeight="1" x14ac:dyDescent="0.25">
      <c r="A337" s="4" t="s">
        <v>21</v>
      </c>
      <c r="B337" s="4" t="s">
        <v>41</v>
      </c>
      <c r="C337" s="4" t="s">
        <v>66</v>
      </c>
      <c r="D337" s="4" t="s">
        <v>25</v>
      </c>
      <c r="E337" s="4" t="s">
        <v>25</v>
      </c>
      <c r="F337" s="4" t="s">
        <v>25</v>
      </c>
      <c r="G337" s="4" t="s">
        <v>72</v>
      </c>
      <c r="H337" s="4" t="s">
        <v>25</v>
      </c>
      <c r="I337" s="5">
        <v>44652</v>
      </c>
      <c r="J337" s="6">
        <v>4500</v>
      </c>
      <c r="K337" s="6">
        <v>2250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4" t="s">
        <v>68</v>
      </c>
      <c r="R337" s="4">
        <v>29075</v>
      </c>
      <c r="S337" s="4">
        <v>38</v>
      </c>
      <c r="T337" s="4">
        <v>0</v>
      </c>
      <c r="U337" s="4">
        <v>0</v>
      </c>
      <c r="V337" s="6">
        <f>IF(ISERROR(VLOOKUP($S$337,'TAR FIN'!$A$1:$O$104,15,0)),0,VLOOKUP($S$337,'TAR FIN'!$A$1:$O$104,15,0))</f>
        <v>14.41</v>
      </c>
      <c r="W337" s="6">
        <f>IF(ISERROR(VLOOKUP($T$337,'TAR FIN'!$A$1:$O$104,15,0)),0,VLOOKUP($T$337,'TAR FIN'!$A$1:$O$104,15,0))</f>
        <v>0</v>
      </c>
      <c r="X337" s="6">
        <f>IF(ISERROR(VLOOKUP($U$337,'TAR FIN'!$A$1:$O$104,15,0)),0,VLOOKUP($U$337,'TAR FIN'!$A$1:$O$104,15,0))</f>
        <v>0</v>
      </c>
      <c r="Y337" s="6">
        <f ca="1">('TUSD BE'!$AM$23+'TUSD BF'!$AM$23+'TUSD CVA'!$AM$23)*1</f>
        <v>14.494286200962303</v>
      </c>
      <c r="Z337" s="6"/>
      <c r="AA337" s="6"/>
      <c r="AB337" s="6">
        <f t="shared" si="22"/>
        <v>32422.5</v>
      </c>
      <c r="AC337" s="6">
        <f t="shared" si="23"/>
        <v>0</v>
      </c>
      <c r="AD337" s="6">
        <f t="shared" ca="1" si="24"/>
        <v>32612.143952165185</v>
      </c>
      <c r="AE337" s="6">
        <f t="shared" si="25"/>
        <v>0</v>
      </c>
      <c r="AF337" s="4" t="s">
        <v>1000</v>
      </c>
    </row>
    <row r="338" spans="1:32" ht="11.25" customHeight="1" x14ac:dyDescent="0.25">
      <c r="A338" s="4" t="s">
        <v>21</v>
      </c>
      <c r="B338" s="4" t="s">
        <v>41</v>
      </c>
      <c r="C338" s="4" t="s">
        <v>66</v>
      </c>
      <c r="D338" s="4" t="s">
        <v>25</v>
      </c>
      <c r="E338" s="4" t="s">
        <v>25</v>
      </c>
      <c r="F338" s="4" t="s">
        <v>25</v>
      </c>
      <c r="G338" s="4" t="s">
        <v>74</v>
      </c>
      <c r="H338" s="4" t="s">
        <v>25</v>
      </c>
      <c r="I338" s="5">
        <v>44652</v>
      </c>
      <c r="J338" s="6">
        <v>3000</v>
      </c>
      <c r="K338" s="6">
        <v>1500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4" t="s">
        <v>68</v>
      </c>
      <c r="S338" s="4">
        <v>38</v>
      </c>
      <c r="T338" s="4">
        <v>0</v>
      </c>
      <c r="U338" s="4">
        <v>0</v>
      </c>
      <c r="V338" s="6">
        <f>IF(ISERROR(VLOOKUP($S$338,'TAR FIN'!$A$1:$O$104,15,0)),0,VLOOKUP($S$338,'TAR FIN'!$A$1:$O$104,15,0))</f>
        <v>14.41</v>
      </c>
      <c r="W338" s="6">
        <f>IF(ISERROR(VLOOKUP($T$338,'TAR FIN'!$A$1:$O$104,15,0)),0,VLOOKUP($T$338,'TAR FIN'!$A$1:$O$104,15,0))</f>
        <v>0</v>
      </c>
      <c r="X338" s="6">
        <f>IF(ISERROR(VLOOKUP($U$338,'TAR FIN'!$A$1:$O$104,15,0)),0,VLOOKUP($U$338,'TAR FIN'!$A$1:$O$104,15,0))</f>
        <v>0</v>
      </c>
      <c r="Y338" s="6">
        <f ca="1">('TUSD BE'!$AM$23+'TUSD BF'!$AM$23+'TUSD CVA'!$AM$23)*1</f>
        <v>14.494286200962303</v>
      </c>
      <c r="Z338" s="6"/>
      <c r="AA338" s="6"/>
      <c r="AB338" s="6">
        <f t="shared" si="22"/>
        <v>21615</v>
      </c>
      <c r="AC338" s="6">
        <f t="shared" si="23"/>
        <v>0</v>
      </c>
      <c r="AD338" s="6">
        <f t="shared" ca="1" si="24"/>
        <v>21741.429301443455</v>
      </c>
      <c r="AE338" s="6">
        <f t="shared" si="25"/>
        <v>0</v>
      </c>
      <c r="AF338" s="4" t="s">
        <v>1000</v>
      </c>
    </row>
    <row r="339" spans="1:32" ht="11.25" customHeight="1" x14ac:dyDescent="0.25">
      <c r="A339" s="4" t="s">
        <v>21</v>
      </c>
      <c r="B339" s="4" t="s">
        <v>41</v>
      </c>
      <c r="C339" s="4" t="s">
        <v>66</v>
      </c>
      <c r="D339" s="4" t="s">
        <v>25</v>
      </c>
      <c r="E339" s="4" t="s">
        <v>25</v>
      </c>
      <c r="F339" s="4" t="s">
        <v>25</v>
      </c>
      <c r="G339" s="4" t="s">
        <v>80</v>
      </c>
      <c r="H339" s="4" t="s">
        <v>25</v>
      </c>
      <c r="I339" s="5">
        <v>44652</v>
      </c>
      <c r="J339" s="6">
        <v>3000</v>
      </c>
      <c r="K339" s="6">
        <v>1500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4" t="s">
        <v>68</v>
      </c>
      <c r="R339" s="4">
        <v>34891</v>
      </c>
      <c r="S339" s="4">
        <v>38</v>
      </c>
      <c r="T339" s="4">
        <v>0</v>
      </c>
      <c r="U339" s="4">
        <v>0</v>
      </c>
      <c r="V339" s="6">
        <f>IF(ISERROR(VLOOKUP($S$339,'TAR FIN'!$A$1:$O$104,15,0)),0,VLOOKUP($S$339,'TAR FIN'!$A$1:$O$104,15,0))</f>
        <v>14.41</v>
      </c>
      <c r="W339" s="6">
        <f>IF(ISERROR(VLOOKUP($T$339,'TAR FIN'!$A$1:$O$104,15,0)),0,VLOOKUP($T$339,'TAR FIN'!$A$1:$O$104,15,0))</f>
        <v>0</v>
      </c>
      <c r="X339" s="6">
        <f>IF(ISERROR(VLOOKUP($U$339,'TAR FIN'!$A$1:$O$104,15,0)),0,VLOOKUP($U$339,'TAR FIN'!$A$1:$O$104,15,0))</f>
        <v>0</v>
      </c>
      <c r="Y339" s="6">
        <f ca="1">('TUSD BE'!$AM$23+'TUSD BF'!$AM$23+'TUSD CVA'!$AM$23)*1</f>
        <v>14.494286200962303</v>
      </c>
      <c r="Z339" s="6"/>
      <c r="AA339" s="6"/>
      <c r="AB339" s="6">
        <f t="shared" si="22"/>
        <v>21615</v>
      </c>
      <c r="AC339" s="6">
        <f t="shared" si="23"/>
        <v>0</v>
      </c>
      <c r="AD339" s="6">
        <f t="shared" ca="1" si="24"/>
        <v>21741.429301443455</v>
      </c>
      <c r="AE339" s="6">
        <f t="shared" si="25"/>
        <v>0</v>
      </c>
      <c r="AF339" s="4" t="s">
        <v>1000</v>
      </c>
    </row>
    <row r="340" spans="1:32" ht="11.25" customHeight="1" x14ac:dyDescent="0.25">
      <c r="A340" s="4" t="s">
        <v>21</v>
      </c>
      <c r="B340" s="4" t="s">
        <v>41</v>
      </c>
      <c r="C340" s="4" t="s">
        <v>66</v>
      </c>
      <c r="D340" s="4" t="s">
        <v>25</v>
      </c>
      <c r="E340" s="4" t="s">
        <v>25</v>
      </c>
      <c r="F340" s="4" t="s">
        <v>25</v>
      </c>
      <c r="G340" s="4" t="s">
        <v>81</v>
      </c>
      <c r="H340" s="4" t="s">
        <v>25</v>
      </c>
      <c r="I340" s="5">
        <v>44652</v>
      </c>
      <c r="J340" s="6">
        <v>600</v>
      </c>
      <c r="K340" s="6">
        <v>300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4" t="s">
        <v>68</v>
      </c>
      <c r="R340" s="4">
        <v>34893</v>
      </c>
      <c r="S340" s="4">
        <v>38</v>
      </c>
      <c r="T340" s="4">
        <v>0</v>
      </c>
      <c r="U340" s="4">
        <v>0</v>
      </c>
      <c r="V340" s="6">
        <f>IF(ISERROR(VLOOKUP($S$340,'TAR FIN'!$A$1:$O$104,15,0)),0,VLOOKUP($S$340,'TAR FIN'!$A$1:$O$104,15,0))</f>
        <v>14.41</v>
      </c>
      <c r="W340" s="6">
        <f>IF(ISERROR(VLOOKUP($T$340,'TAR FIN'!$A$1:$O$104,15,0)),0,VLOOKUP($T$340,'TAR FIN'!$A$1:$O$104,15,0))</f>
        <v>0</v>
      </c>
      <c r="X340" s="6">
        <f>IF(ISERROR(VLOOKUP($U$340,'TAR FIN'!$A$1:$O$104,15,0)),0,VLOOKUP($U$340,'TAR FIN'!$A$1:$O$104,15,0))</f>
        <v>0</v>
      </c>
      <c r="Y340" s="6">
        <f ca="1">('TUSD BE'!$AM$23+'TUSD BF'!$AM$23+'TUSD CVA'!$AM$23)*1</f>
        <v>14.494286200962303</v>
      </c>
      <c r="Z340" s="6"/>
      <c r="AA340" s="6"/>
      <c r="AB340" s="6">
        <f t="shared" si="22"/>
        <v>4323</v>
      </c>
      <c r="AC340" s="6">
        <f t="shared" si="23"/>
        <v>0</v>
      </c>
      <c r="AD340" s="6">
        <f t="shared" ca="1" si="24"/>
        <v>4348.2858602886909</v>
      </c>
      <c r="AE340" s="6">
        <f t="shared" si="25"/>
        <v>0</v>
      </c>
      <c r="AF340" s="4" t="s">
        <v>1000</v>
      </c>
    </row>
    <row r="341" spans="1:32" ht="11.25" customHeight="1" x14ac:dyDescent="0.25">
      <c r="A341" s="4" t="s">
        <v>21</v>
      </c>
      <c r="B341" s="4" t="s">
        <v>41</v>
      </c>
      <c r="C341" s="4" t="s">
        <v>66</v>
      </c>
      <c r="D341" s="4" t="s">
        <v>25</v>
      </c>
      <c r="E341" s="4" t="s">
        <v>25</v>
      </c>
      <c r="F341" s="4" t="s">
        <v>25</v>
      </c>
      <c r="G341" s="4" t="s">
        <v>82</v>
      </c>
      <c r="H341" s="4" t="s">
        <v>25</v>
      </c>
      <c r="I341" s="5">
        <v>44652</v>
      </c>
      <c r="J341" s="6">
        <v>4800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4" t="s">
        <v>68</v>
      </c>
      <c r="R341" s="4">
        <v>43199</v>
      </c>
      <c r="S341" s="4">
        <v>38</v>
      </c>
      <c r="T341" s="4">
        <v>0</v>
      </c>
      <c r="U341" s="4">
        <v>0</v>
      </c>
      <c r="V341" s="6">
        <f>IF(ISERROR(VLOOKUP($S$341,'TAR FIN'!$A$1:$O$104,15,0)),0,VLOOKUP($S$341,'TAR FIN'!$A$1:$O$104,15,0))</f>
        <v>14.41</v>
      </c>
      <c r="W341" s="6">
        <f>IF(ISERROR(VLOOKUP($T$341,'TAR FIN'!$A$1:$O$104,15,0)),0,VLOOKUP($T$341,'TAR FIN'!$A$1:$O$104,15,0))</f>
        <v>0</v>
      </c>
      <c r="X341" s="6">
        <f>IF(ISERROR(VLOOKUP($U$341,'TAR FIN'!$A$1:$O$104,15,0)),0,VLOOKUP($U$341,'TAR FIN'!$A$1:$O$104,15,0))</f>
        <v>0</v>
      </c>
      <c r="Y341" s="6">
        <f ca="1">('TUSD BE'!$AM$23+'TUSD BF'!$AM$23+'TUSD CVA'!$AM$23)*1</f>
        <v>14.494286200962303</v>
      </c>
      <c r="Z341" s="6"/>
      <c r="AA341" s="6"/>
      <c r="AB341" s="6">
        <f t="shared" si="22"/>
        <v>69168</v>
      </c>
      <c r="AC341" s="6">
        <f t="shared" si="23"/>
        <v>0</v>
      </c>
      <c r="AD341" s="6">
        <f t="shared" ca="1" si="24"/>
        <v>69572.573764619054</v>
      </c>
      <c r="AE341" s="6">
        <f t="shared" si="25"/>
        <v>0</v>
      </c>
      <c r="AF341" s="4" t="s">
        <v>1000</v>
      </c>
    </row>
    <row r="342" spans="1:32" ht="11.25" customHeight="1" x14ac:dyDescent="0.25">
      <c r="A342" s="4" t="s">
        <v>21</v>
      </c>
      <c r="B342" s="4" t="s">
        <v>41</v>
      </c>
      <c r="C342" s="4" t="s">
        <v>66</v>
      </c>
      <c r="D342" s="4" t="s">
        <v>25</v>
      </c>
      <c r="E342" s="4" t="s">
        <v>25</v>
      </c>
      <c r="F342" s="4" t="s">
        <v>25</v>
      </c>
      <c r="G342" s="4" t="s">
        <v>83</v>
      </c>
      <c r="H342" s="4" t="s">
        <v>25</v>
      </c>
      <c r="I342" s="5">
        <v>44652</v>
      </c>
      <c r="J342" s="6">
        <v>2400</v>
      </c>
      <c r="K342" s="6">
        <v>1200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4" t="s">
        <v>68</v>
      </c>
      <c r="S342" s="4">
        <v>38</v>
      </c>
      <c r="T342" s="4">
        <v>0</v>
      </c>
      <c r="U342" s="4">
        <v>0</v>
      </c>
      <c r="V342" s="6">
        <f>IF(ISERROR(VLOOKUP($S$342,'TAR FIN'!$A$1:$O$104,15,0)),0,VLOOKUP($S$342,'TAR FIN'!$A$1:$O$104,15,0))</f>
        <v>14.41</v>
      </c>
      <c r="W342" s="6">
        <f>IF(ISERROR(VLOOKUP($T$342,'TAR FIN'!$A$1:$O$104,15,0)),0,VLOOKUP($T$342,'TAR FIN'!$A$1:$O$104,15,0))</f>
        <v>0</v>
      </c>
      <c r="X342" s="6">
        <f>IF(ISERROR(VLOOKUP($U$342,'TAR FIN'!$A$1:$O$104,15,0)),0,VLOOKUP($U$342,'TAR FIN'!$A$1:$O$104,15,0))</f>
        <v>0</v>
      </c>
      <c r="Y342" s="6">
        <f ca="1">('TUSD BE'!$AM$23+'TUSD BF'!$AM$23+'TUSD CVA'!$AM$23)*1</f>
        <v>14.494286200962303</v>
      </c>
      <c r="Z342" s="6"/>
      <c r="AA342" s="6"/>
      <c r="AB342" s="6">
        <f t="shared" si="22"/>
        <v>17292</v>
      </c>
      <c r="AC342" s="6">
        <f t="shared" si="23"/>
        <v>0</v>
      </c>
      <c r="AD342" s="6">
        <f t="shared" ca="1" si="24"/>
        <v>17393.143441154763</v>
      </c>
      <c r="AE342" s="6">
        <f t="shared" si="25"/>
        <v>0</v>
      </c>
      <c r="AF342" s="4" t="s">
        <v>1000</v>
      </c>
    </row>
    <row r="343" spans="1:32" ht="11.25" customHeight="1" x14ac:dyDescent="0.25">
      <c r="A343" s="4" t="s">
        <v>21</v>
      </c>
      <c r="B343" s="4" t="s">
        <v>41</v>
      </c>
      <c r="C343" s="4" t="s">
        <v>66</v>
      </c>
      <c r="D343" s="4" t="s">
        <v>25</v>
      </c>
      <c r="E343" s="4" t="s">
        <v>25</v>
      </c>
      <c r="F343" s="4" t="s">
        <v>25</v>
      </c>
      <c r="G343" s="4" t="s">
        <v>84</v>
      </c>
      <c r="H343" s="4" t="s">
        <v>25</v>
      </c>
      <c r="I343" s="5">
        <v>44652</v>
      </c>
      <c r="J343" s="6">
        <v>250</v>
      </c>
      <c r="K343" s="6">
        <v>125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4" t="s">
        <v>68</v>
      </c>
      <c r="S343" s="4">
        <v>38</v>
      </c>
      <c r="T343" s="4">
        <v>0</v>
      </c>
      <c r="U343" s="4">
        <v>0</v>
      </c>
      <c r="V343" s="6">
        <f>IF(ISERROR(VLOOKUP($S$343,'TAR FIN'!$A$1:$O$104,15,0)),0,VLOOKUP($S$343,'TAR FIN'!$A$1:$O$104,15,0))</f>
        <v>14.41</v>
      </c>
      <c r="W343" s="6">
        <f>IF(ISERROR(VLOOKUP($T$343,'TAR FIN'!$A$1:$O$104,15,0)),0,VLOOKUP($T$343,'TAR FIN'!$A$1:$O$104,15,0))</f>
        <v>0</v>
      </c>
      <c r="X343" s="6">
        <f>IF(ISERROR(VLOOKUP($U$343,'TAR FIN'!$A$1:$O$104,15,0)),0,VLOOKUP($U$343,'TAR FIN'!$A$1:$O$104,15,0))</f>
        <v>0</v>
      </c>
      <c r="Y343" s="6">
        <f ca="1">('TUSD BE'!$AM$23+'TUSD BF'!$AM$23+'TUSD CVA'!$AM$23)*1</f>
        <v>14.494286200962303</v>
      </c>
      <c r="Z343" s="6"/>
      <c r="AA343" s="6"/>
      <c r="AB343" s="6">
        <f t="shared" si="22"/>
        <v>1801.25</v>
      </c>
      <c r="AC343" s="6">
        <f t="shared" si="23"/>
        <v>0</v>
      </c>
      <c r="AD343" s="6">
        <f t="shared" ca="1" si="24"/>
        <v>1811.785775120288</v>
      </c>
      <c r="AE343" s="6">
        <f t="shared" si="25"/>
        <v>0</v>
      </c>
      <c r="AF343" s="4" t="s">
        <v>1000</v>
      </c>
    </row>
    <row r="344" spans="1:32" ht="11.25" customHeight="1" x14ac:dyDescent="0.25">
      <c r="A344" s="4" t="s">
        <v>21</v>
      </c>
      <c r="B344" s="4" t="s">
        <v>41</v>
      </c>
      <c r="C344" s="4" t="s">
        <v>66</v>
      </c>
      <c r="D344" s="4" t="s">
        <v>25</v>
      </c>
      <c r="E344" s="4" t="s">
        <v>25</v>
      </c>
      <c r="F344" s="4" t="s">
        <v>25</v>
      </c>
      <c r="G344" s="4" t="s">
        <v>85</v>
      </c>
      <c r="H344" s="4" t="s">
        <v>25</v>
      </c>
      <c r="I344" s="5">
        <v>44652</v>
      </c>
      <c r="J344" s="6">
        <v>250</v>
      </c>
      <c r="K344" s="6">
        <v>125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4" t="s">
        <v>68</v>
      </c>
      <c r="R344" s="4">
        <v>52044</v>
      </c>
      <c r="S344" s="4">
        <v>38</v>
      </c>
      <c r="T344" s="4">
        <v>0</v>
      </c>
      <c r="U344" s="4">
        <v>0</v>
      </c>
      <c r="V344" s="6">
        <f>IF(ISERROR(VLOOKUP($S$344,'TAR FIN'!$A$1:$O$104,15,0)),0,VLOOKUP($S$344,'TAR FIN'!$A$1:$O$104,15,0))</f>
        <v>14.41</v>
      </c>
      <c r="W344" s="6">
        <f>IF(ISERROR(VLOOKUP($T$344,'TAR FIN'!$A$1:$O$104,15,0)),0,VLOOKUP($T$344,'TAR FIN'!$A$1:$O$104,15,0))</f>
        <v>0</v>
      </c>
      <c r="X344" s="6">
        <f>IF(ISERROR(VLOOKUP($U$344,'TAR FIN'!$A$1:$O$104,15,0)),0,VLOOKUP($U$344,'TAR FIN'!$A$1:$O$104,15,0))</f>
        <v>0</v>
      </c>
      <c r="Y344" s="6">
        <f ca="1">('TUSD BE'!$AM$23+'TUSD BF'!$AM$23+'TUSD CVA'!$AM$23)*1</f>
        <v>14.494286200962303</v>
      </c>
      <c r="Z344" s="6"/>
      <c r="AA344" s="6"/>
      <c r="AB344" s="6">
        <f t="shared" si="22"/>
        <v>1801.25</v>
      </c>
      <c r="AC344" s="6">
        <f t="shared" si="23"/>
        <v>0</v>
      </c>
      <c r="AD344" s="6">
        <f t="shared" ca="1" si="24"/>
        <v>1811.785775120288</v>
      </c>
      <c r="AE344" s="6">
        <f t="shared" si="25"/>
        <v>0</v>
      </c>
      <c r="AF344" s="4" t="s">
        <v>1000</v>
      </c>
    </row>
    <row r="345" spans="1:32" ht="11.25" customHeight="1" x14ac:dyDescent="0.25">
      <c r="A345" s="4" t="s">
        <v>21</v>
      </c>
      <c r="B345" s="4" t="s">
        <v>41</v>
      </c>
      <c r="C345" s="4" t="s">
        <v>66</v>
      </c>
      <c r="D345" s="4" t="s">
        <v>25</v>
      </c>
      <c r="E345" s="4" t="s">
        <v>25</v>
      </c>
      <c r="F345" s="4" t="s">
        <v>25</v>
      </c>
      <c r="G345" s="4" t="s">
        <v>72</v>
      </c>
      <c r="H345" s="4" t="s">
        <v>25</v>
      </c>
      <c r="I345" s="5">
        <v>44682</v>
      </c>
      <c r="J345" s="6">
        <v>4500</v>
      </c>
      <c r="K345" s="6">
        <v>2250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4" t="s">
        <v>68</v>
      </c>
      <c r="R345" s="4">
        <v>29075</v>
      </c>
      <c r="S345" s="4">
        <v>38</v>
      </c>
      <c r="T345" s="4">
        <v>0</v>
      </c>
      <c r="U345" s="4">
        <v>0</v>
      </c>
      <c r="V345" s="6">
        <f>IF(ISERROR(VLOOKUP($S$345,'TAR FIN'!$A$1:$O$104,15,0)),0,VLOOKUP($S$345,'TAR FIN'!$A$1:$O$104,15,0))</f>
        <v>14.41</v>
      </c>
      <c r="W345" s="6">
        <f>IF(ISERROR(VLOOKUP($T$345,'TAR FIN'!$A$1:$O$104,15,0)),0,VLOOKUP($T$345,'TAR FIN'!$A$1:$O$104,15,0))</f>
        <v>0</v>
      </c>
      <c r="X345" s="6">
        <f>IF(ISERROR(VLOOKUP($U$345,'TAR FIN'!$A$1:$O$104,15,0)),0,VLOOKUP($U$345,'TAR FIN'!$A$1:$O$104,15,0))</f>
        <v>0</v>
      </c>
      <c r="Y345" s="6">
        <f ca="1">('TUSD BE'!$AM$23+'TUSD BF'!$AM$23+'TUSD CVA'!$AM$23)*1</f>
        <v>14.494286200962303</v>
      </c>
      <c r="Z345" s="6"/>
      <c r="AA345" s="6"/>
      <c r="AB345" s="6">
        <f t="shared" si="22"/>
        <v>32422.5</v>
      </c>
      <c r="AC345" s="6">
        <f t="shared" si="23"/>
        <v>0</v>
      </c>
      <c r="AD345" s="6">
        <f t="shared" ca="1" si="24"/>
        <v>32612.143952165185</v>
      </c>
      <c r="AE345" s="6">
        <f t="shared" si="25"/>
        <v>0</v>
      </c>
      <c r="AF345" s="4" t="s">
        <v>1000</v>
      </c>
    </row>
    <row r="346" spans="1:32" ht="11.25" customHeight="1" x14ac:dyDescent="0.25">
      <c r="A346" s="4" t="s">
        <v>21</v>
      </c>
      <c r="B346" s="4" t="s">
        <v>41</v>
      </c>
      <c r="C346" s="4" t="s">
        <v>66</v>
      </c>
      <c r="D346" s="4" t="s">
        <v>25</v>
      </c>
      <c r="E346" s="4" t="s">
        <v>25</v>
      </c>
      <c r="F346" s="4" t="s">
        <v>25</v>
      </c>
      <c r="G346" s="4" t="s">
        <v>74</v>
      </c>
      <c r="H346" s="4" t="s">
        <v>25</v>
      </c>
      <c r="I346" s="5">
        <v>44682</v>
      </c>
      <c r="J346" s="6">
        <v>3000</v>
      </c>
      <c r="K346" s="6">
        <v>1500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4" t="s">
        <v>68</v>
      </c>
      <c r="S346" s="4">
        <v>38</v>
      </c>
      <c r="T346" s="4">
        <v>0</v>
      </c>
      <c r="U346" s="4">
        <v>0</v>
      </c>
      <c r="V346" s="6">
        <f>IF(ISERROR(VLOOKUP($S$346,'TAR FIN'!$A$1:$O$104,15,0)),0,VLOOKUP($S$346,'TAR FIN'!$A$1:$O$104,15,0))</f>
        <v>14.41</v>
      </c>
      <c r="W346" s="6">
        <f>IF(ISERROR(VLOOKUP($T$346,'TAR FIN'!$A$1:$O$104,15,0)),0,VLOOKUP($T$346,'TAR FIN'!$A$1:$O$104,15,0))</f>
        <v>0</v>
      </c>
      <c r="X346" s="6">
        <f>IF(ISERROR(VLOOKUP($U$346,'TAR FIN'!$A$1:$O$104,15,0)),0,VLOOKUP($U$346,'TAR FIN'!$A$1:$O$104,15,0))</f>
        <v>0</v>
      </c>
      <c r="Y346" s="6">
        <f ca="1">('TUSD BE'!$AM$23+'TUSD BF'!$AM$23+'TUSD CVA'!$AM$23)*1</f>
        <v>14.494286200962303</v>
      </c>
      <c r="Z346" s="6"/>
      <c r="AA346" s="6"/>
      <c r="AB346" s="6">
        <f t="shared" si="22"/>
        <v>21615</v>
      </c>
      <c r="AC346" s="6">
        <f t="shared" si="23"/>
        <v>0</v>
      </c>
      <c r="AD346" s="6">
        <f t="shared" ca="1" si="24"/>
        <v>21741.429301443455</v>
      </c>
      <c r="AE346" s="6">
        <f t="shared" si="25"/>
        <v>0</v>
      </c>
      <c r="AF346" s="4" t="s">
        <v>1000</v>
      </c>
    </row>
    <row r="347" spans="1:32" ht="11.25" customHeight="1" x14ac:dyDescent="0.25">
      <c r="A347" s="4" t="s">
        <v>21</v>
      </c>
      <c r="B347" s="4" t="s">
        <v>41</v>
      </c>
      <c r="C347" s="4" t="s">
        <v>66</v>
      </c>
      <c r="D347" s="4" t="s">
        <v>25</v>
      </c>
      <c r="E347" s="4" t="s">
        <v>25</v>
      </c>
      <c r="F347" s="4" t="s">
        <v>25</v>
      </c>
      <c r="G347" s="4" t="s">
        <v>80</v>
      </c>
      <c r="H347" s="4" t="s">
        <v>25</v>
      </c>
      <c r="I347" s="5">
        <v>44682</v>
      </c>
      <c r="J347" s="6">
        <v>3000</v>
      </c>
      <c r="K347" s="6">
        <v>1500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4" t="s">
        <v>68</v>
      </c>
      <c r="R347" s="4">
        <v>34891</v>
      </c>
      <c r="S347" s="4">
        <v>38</v>
      </c>
      <c r="T347" s="4">
        <v>0</v>
      </c>
      <c r="U347" s="4">
        <v>0</v>
      </c>
      <c r="V347" s="6">
        <f>IF(ISERROR(VLOOKUP($S$347,'TAR FIN'!$A$1:$O$104,15,0)),0,VLOOKUP($S$347,'TAR FIN'!$A$1:$O$104,15,0))</f>
        <v>14.41</v>
      </c>
      <c r="W347" s="6">
        <f>IF(ISERROR(VLOOKUP($T$347,'TAR FIN'!$A$1:$O$104,15,0)),0,VLOOKUP($T$347,'TAR FIN'!$A$1:$O$104,15,0))</f>
        <v>0</v>
      </c>
      <c r="X347" s="6">
        <f>IF(ISERROR(VLOOKUP($U$347,'TAR FIN'!$A$1:$O$104,15,0)),0,VLOOKUP($U$347,'TAR FIN'!$A$1:$O$104,15,0))</f>
        <v>0</v>
      </c>
      <c r="Y347" s="6">
        <f ca="1">('TUSD BE'!$AM$23+'TUSD BF'!$AM$23+'TUSD CVA'!$AM$23)*1</f>
        <v>14.494286200962303</v>
      </c>
      <c r="Z347" s="6"/>
      <c r="AA347" s="6"/>
      <c r="AB347" s="6">
        <f t="shared" si="22"/>
        <v>21615</v>
      </c>
      <c r="AC347" s="6">
        <f t="shared" si="23"/>
        <v>0</v>
      </c>
      <c r="AD347" s="6">
        <f t="shared" ca="1" si="24"/>
        <v>21741.429301443455</v>
      </c>
      <c r="AE347" s="6">
        <f t="shared" si="25"/>
        <v>0</v>
      </c>
      <c r="AF347" s="4" t="s">
        <v>1000</v>
      </c>
    </row>
    <row r="348" spans="1:32" ht="11.25" customHeight="1" x14ac:dyDescent="0.25">
      <c r="A348" s="4" t="s">
        <v>21</v>
      </c>
      <c r="B348" s="4" t="s">
        <v>41</v>
      </c>
      <c r="C348" s="4" t="s">
        <v>66</v>
      </c>
      <c r="D348" s="4" t="s">
        <v>25</v>
      </c>
      <c r="E348" s="4" t="s">
        <v>25</v>
      </c>
      <c r="F348" s="4" t="s">
        <v>25</v>
      </c>
      <c r="G348" s="4" t="s">
        <v>81</v>
      </c>
      <c r="H348" s="4" t="s">
        <v>25</v>
      </c>
      <c r="I348" s="5">
        <v>44682</v>
      </c>
      <c r="J348" s="6">
        <v>600</v>
      </c>
      <c r="K348" s="6">
        <v>300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4" t="s">
        <v>68</v>
      </c>
      <c r="R348" s="4">
        <v>34893</v>
      </c>
      <c r="S348" s="4">
        <v>38</v>
      </c>
      <c r="T348" s="4">
        <v>0</v>
      </c>
      <c r="U348" s="4">
        <v>0</v>
      </c>
      <c r="V348" s="6">
        <f>IF(ISERROR(VLOOKUP($S$348,'TAR FIN'!$A$1:$O$104,15,0)),0,VLOOKUP($S$348,'TAR FIN'!$A$1:$O$104,15,0))</f>
        <v>14.41</v>
      </c>
      <c r="W348" s="6">
        <f>IF(ISERROR(VLOOKUP($T$348,'TAR FIN'!$A$1:$O$104,15,0)),0,VLOOKUP($T$348,'TAR FIN'!$A$1:$O$104,15,0))</f>
        <v>0</v>
      </c>
      <c r="X348" s="6">
        <f>IF(ISERROR(VLOOKUP($U$348,'TAR FIN'!$A$1:$O$104,15,0)),0,VLOOKUP($U$348,'TAR FIN'!$A$1:$O$104,15,0))</f>
        <v>0</v>
      </c>
      <c r="Y348" s="6">
        <f ca="1">('TUSD BE'!$AM$23+'TUSD BF'!$AM$23+'TUSD CVA'!$AM$23)*1</f>
        <v>14.494286200962303</v>
      </c>
      <c r="Z348" s="6"/>
      <c r="AA348" s="6"/>
      <c r="AB348" s="6">
        <f t="shared" si="22"/>
        <v>4323</v>
      </c>
      <c r="AC348" s="6">
        <f t="shared" si="23"/>
        <v>0</v>
      </c>
      <c r="AD348" s="6">
        <f t="shared" ca="1" si="24"/>
        <v>4348.2858602886909</v>
      </c>
      <c r="AE348" s="6">
        <f t="shared" si="25"/>
        <v>0</v>
      </c>
      <c r="AF348" s="4" t="s">
        <v>1000</v>
      </c>
    </row>
    <row r="349" spans="1:32" ht="11.25" customHeight="1" x14ac:dyDescent="0.25">
      <c r="A349" s="4" t="s">
        <v>21</v>
      </c>
      <c r="B349" s="4" t="s">
        <v>41</v>
      </c>
      <c r="C349" s="4" t="s">
        <v>66</v>
      </c>
      <c r="D349" s="4" t="s">
        <v>25</v>
      </c>
      <c r="E349" s="4" t="s">
        <v>25</v>
      </c>
      <c r="F349" s="4" t="s">
        <v>25</v>
      </c>
      <c r="G349" s="4" t="s">
        <v>82</v>
      </c>
      <c r="H349" s="4" t="s">
        <v>25</v>
      </c>
      <c r="I349" s="5">
        <v>44682</v>
      </c>
      <c r="J349" s="6">
        <v>4800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4" t="s">
        <v>68</v>
      </c>
      <c r="R349" s="4">
        <v>43199</v>
      </c>
      <c r="S349" s="4">
        <v>38</v>
      </c>
      <c r="T349" s="4">
        <v>0</v>
      </c>
      <c r="U349" s="4">
        <v>0</v>
      </c>
      <c r="V349" s="6">
        <f>IF(ISERROR(VLOOKUP($S$349,'TAR FIN'!$A$1:$O$104,15,0)),0,VLOOKUP($S$349,'TAR FIN'!$A$1:$O$104,15,0))</f>
        <v>14.41</v>
      </c>
      <c r="W349" s="6">
        <f>IF(ISERROR(VLOOKUP($T$349,'TAR FIN'!$A$1:$O$104,15,0)),0,VLOOKUP($T$349,'TAR FIN'!$A$1:$O$104,15,0))</f>
        <v>0</v>
      </c>
      <c r="X349" s="6">
        <f>IF(ISERROR(VLOOKUP($U$349,'TAR FIN'!$A$1:$O$104,15,0)),0,VLOOKUP($U$349,'TAR FIN'!$A$1:$O$104,15,0))</f>
        <v>0</v>
      </c>
      <c r="Y349" s="6">
        <f ca="1">('TUSD BE'!$AM$23+'TUSD BF'!$AM$23+'TUSD CVA'!$AM$23)*1</f>
        <v>14.494286200962303</v>
      </c>
      <c r="Z349" s="6"/>
      <c r="AA349" s="6"/>
      <c r="AB349" s="6">
        <f t="shared" si="22"/>
        <v>69168</v>
      </c>
      <c r="AC349" s="6">
        <f t="shared" si="23"/>
        <v>0</v>
      </c>
      <c r="AD349" s="6">
        <f t="shared" ca="1" si="24"/>
        <v>69572.573764619054</v>
      </c>
      <c r="AE349" s="6">
        <f t="shared" si="25"/>
        <v>0</v>
      </c>
      <c r="AF349" s="4" t="s">
        <v>1000</v>
      </c>
    </row>
    <row r="350" spans="1:32" ht="11.25" customHeight="1" x14ac:dyDescent="0.25">
      <c r="A350" s="4" t="s">
        <v>21</v>
      </c>
      <c r="B350" s="4" t="s">
        <v>41</v>
      </c>
      <c r="C350" s="4" t="s">
        <v>66</v>
      </c>
      <c r="D350" s="4" t="s">
        <v>25</v>
      </c>
      <c r="E350" s="4" t="s">
        <v>25</v>
      </c>
      <c r="F350" s="4" t="s">
        <v>25</v>
      </c>
      <c r="G350" s="4" t="s">
        <v>83</v>
      </c>
      <c r="H350" s="4" t="s">
        <v>25</v>
      </c>
      <c r="I350" s="5">
        <v>44682</v>
      </c>
      <c r="J350" s="6">
        <v>2400</v>
      </c>
      <c r="K350" s="6">
        <v>1200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4" t="s">
        <v>68</v>
      </c>
      <c r="S350" s="4">
        <v>38</v>
      </c>
      <c r="T350" s="4">
        <v>0</v>
      </c>
      <c r="U350" s="4">
        <v>0</v>
      </c>
      <c r="V350" s="6">
        <f>IF(ISERROR(VLOOKUP($S$350,'TAR FIN'!$A$1:$O$104,15,0)),0,VLOOKUP($S$350,'TAR FIN'!$A$1:$O$104,15,0))</f>
        <v>14.41</v>
      </c>
      <c r="W350" s="6">
        <f>IF(ISERROR(VLOOKUP($T$350,'TAR FIN'!$A$1:$O$104,15,0)),0,VLOOKUP($T$350,'TAR FIN'!$A$1:$O$104,15,0))</f>
        <v>0</v>
      </c>
      <c r="X350" s="6">
        <f>IF(ISERROR(VLOOKUP($U$350,'TAR FIN'!$A$1:$O$104,15,0)),0,VLOOKUP($U$350,'TAR FIN'!$A$1:$O$104,15,0))</f>
        <v>0</v>
      </c>
      <c r="Y350" s="6">
        <f ca="1">('TUSD BE'!$AM$23+'TUSD BF'!$AM$23+'TUSD CVA'!$AM$23)*1</f>
        <v>14.494286200962303</v>
      </c>
      <c r="Z350" s="6"/>
      <c r="AA350" s="6"/>
      <c r="AB350" s="6">
        <f t="shared" si="22"/>
        <v>17292</v>
      </c>
      <c r="AC350" s="6">
        <f t="shared" si="23"/>
        <v>0</v>
      </c>
      <c r="AD350" s="6">
        <f t="shared" ca="1" si="24"/>
        <v>17393.143441154763</v>
      </c>
      <c r="AE350" s="6">
        <f t="shared" si="25"/>
        <v>0</v>
      </c>
      <c r="AF350" s="4" t="s">
        <v>1000</v>
      </c>
    </row>
    <row r="351" spans="1:32" ht="11.25" customHeight="1" x14ac:dyDescent="0.25">
      <c r="A351" s="4" t="s">
        <v>21</v>
      </c>
      <c r="B351" s="4" t="s">
        <v>41</v>
      </c>
      <c r="C351" s="4" t="s">
        <v>66</v>
      </c>
      <c r="D351" s="4" t="s">
        <v>25</v>
      </c>
      <c r="E351" s="4" t="s">
        <v>25</v>
      </c>
      <c r="F351" s="4" t="s">
        <v>25</v>
      </c>
      <c r="G351" s="4" t="s">
        <v>84</v>
      </c>
      <c r="H351" s="4" t="s">
        <v>25</v>
      </c>
      <c r="I351" s="5">
        <v>44682</v>
      </c>
      <c r="J351" s="6">
        <v>250</v>
      </c>
      <c r="K351" s="6">
        <v>125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4" t="s">
        <v>68</v>
      </c>
      <c r="S351" s="4">
        <v>38</v>
      </c>
      <c r="T351" s="4">
        <v>0</v>
      </c>
      <c r="U351" s="4">
        <v>0</v>
      </c>
      <c r="V351" s="6">
        <f>IF(ISERROR(VLOOKUP($S$351,'TAR FIN'!$A$1:$O$104,15,0)),0,VLOOKUP($S$351,'TAR FIN'!$A$1:$O$104,15,0))</f>
        <v>14.41</v>
      </c>
      <c r="W351" s="6">
        <f>IF(ISERROR(VLOOKUP($T$351,'TAR FIN'!$A$1:$O$104,15,0)),0,VLOOKUP($T$351,'TAR FIN'!$A$1:$O$104,15,0))</f>
        <v>0</v>
      </c>
      <c r="X351" s="6">
        <f>IF(ISERROR(VLOOKUP($U$351,'TAR FIN'!$A$1:$O$104,15,0)),0,VLOOKUP($U$351,'TAR FIN'!$A$1:$O$104,15,0))</f>
        <v>0</v>
      </c>
      <c r="Y351" s="6">
        <f ca="1">('TUSD BE'!$AM$23+'TUSD BF'!$AM$23+'TUSD CVA'!$AM$23)*1</f>
        <v>14.494286200962303</v>
      </c>
      <c r="Z351" s="6"/>
      <c r="AA351" s="6"/>
      <c r="AB351" s="6">
        <f t="shared" si="22"/>
        <v>1801.25</v>
      </c>
      <c r="AC351" s="6">
        <f t="shared" si="23"/>
        <v>0</v>
      </c>
      <c r="AD351" s="6">
        <f t="shared" ca="1" si="24"/>
        <v>1811.785775120288</v>
      </c>
      <c r="AE351" s="6">
        <f t="shared" si="25"/>
        <v>0</v>
      </c>
      <c r="AF351" s="4" t="s">
        <v>1000</v>
      </c>
    </row>
    <row r="352" spans="1:32" ht="11.25" customHeight="1" x14ac:dyDescent="0.25">
      <c r="A352" s="4" t="s">
        <v>21</v>
      </c>
      <c r="B352" s="4" t="s">
        <v>41</v>
      </c>
      <c r="C352" s="4" t="s">
        <v>66</v>
      </c>
      <c r="D352" s="4" t="s">
        <v>25</v>
      </c>
      <c r="E352" s="4" t="s">
        <v>25</v>
      </c>
      <c r="F352" s="4" t="s">
        <v>25</v>
      </c>
      <c r="G352" s="4" t="s">
        <v>85</v>
      </c>
      <c r="H352" s="4" t="s">
        <v>25</v>
      </c>
      <c r="I352" s="5">
        <v>44682</v>
      </c>
      <c r="J352" s="6">
        <v>250</v>
      </c>
      <c r="K352" s="6">
        <v>125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4" t="s">
        <v>68</v>
      </c>
      <c r="R352" s="4">
        <v>52044</v>
      </c>
      <c r="S352" s="4">
        <v>38</v>
      </c>
      <c r="T352" s="4">
        <v>0</v>
      </c>
      <c r="U352" s="4">
        <v>0</v>
      </c>
      <c r="V352" s="6">
        <f>IF(ISERROR(VLOOKUP($S$352,'TAR FIN'!$A$1:$O$104,15,0)),0,VLOOKUP($S$352,'TAR FIN'!$A$1:$O$104,15,0))</f>
        <v>14.41</v>
      </c>
      <c r="W352" s="6">
        <f>IF(ISERROR(VLOOKUP($T$352,'TAR FIN'!$A$1:$O$104,15,0)),0,VLOOKUP($T$352,'TAR FIN'!$A$1:$O$104,15,0))</f>
        <v>0</v>
      </c>
      <c r="X352" s="6">
        <f>IF(ISERROR(VLOOKUP($U$352,'TAR FIN'!$A$1:$O$104,15,0)),0,VLOOKUP($U$352,'TAR FIN'!$A$1:$O$104,15,0))</f>
        <v>0</v>
      </c>
      <c r="Y352" s="6">
        <f ca="1">('TUSD BE'!$AM$23+'TUSD BF'!$AM$23+'TUSD CVA'!$AM$23)*1</f>
        <v>14.494286200962303</v>
      </c>
      <c r="Z352" s="6"/>
      <c r="AA352" s="6"/>
      <c r="AB352" s="6">
        <f t="shared" si="22"/>
        <v>1801.25</v>
      </c>
      <c r="AC352" s="6">
        <f t="shared" si="23"/>
        <v>0</v>
      </c>
      <c r="AD352" s="6">
        <f t="shared" ca="1" si="24"/>
        <v>1811.785775120288</v>
      </c>
      <c r="AE352" s="6">
        <f t="shared" si="25"/>
        <v>0</v>
      </c>
      <c r="AF352" s="4" t="s">
        <v>1000</v>
      </c>
    </row>
    <row r="353" spans="1:32" ht="11.25" customHeight="1" x14ac:dyDescent="0.25">
      <c r="A353" s="4" t="s">
        <v>21</v>
      </c>
      <c r="B353" s="4" t="s">
        <v>41</v>
      </c>
      <c r="C353" s="4" t="s">
        <v>66</v>
      </c>
      <c r="D353" s="4" t="s">
        <v>25</v>
      </c>
      <c r="E353" s="4" t="s">
        <v>25</v>
      </c>
      <c r="F353" s="4" t="s">
        <v>25</v>
      </c>
      <c r="G353" s="4" t="s">
        <v>72</v>
      </c>
      <c r="H353" s="4" t="s">
        <v>25</v>
      </c>
      <c r="I353" s="5">
        <v>44713</v>
      </c>
      <c r="J353" s="6">
        <v>4500</v>
      </c>
      <c r="K353" s="6">
        <v>2250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4" t="s">
        <v>68</v>
      </c>
      <c r="R353" s="4">
        <v>29075</v>
      </c>
      <c r="S353" s="4">
        <v>38</v>
      </c>
      <c r="T353" s="4">
        <v>0</v>
      </c>
      <c r="U353" s="4">
        <v>0</v>
      </c>
      <c r="V353" s="6">
        <f>IF(ISERROR(VLOOKUP($S$353,'TAR FIN'!$A$1:$O$104,15,0)),0,VLOOKUP($S$353,'TAR FIN'!$A$1:$O$104,15,0))</f>
        <v>14.41</v>
      </c>
      <c r="W353" s="6">
        <f>IF(ISERROR(VLOOKUP($T$353,'TAR FIN'!$A$1:$O$104,15,0)),0,VLOOKUP($T$353,'TAR FIN'!$A$1:$O$104,15,0))</f>
        <v>0</v>
      </c>
      <c r="X353" s="6">
        <f>IF(ISERROR(VLOOKUP($U$353,'TAR FIN'!$A$1:$O$104,15,0)),0,VLOOKUP($U$353,'TAR FIN'!$A$1:$O$104,15,0))</f>
        <v>0</v>
      </c>
      <c r="Y353" s="6">
        <f ca="1">('TUSD BE'!$AM$23+'TUSD BF'!$AM$23+'TUSD CVA'!$AM$23)*1</f>
        <v>14.494286200962303</v>
      </c>
      <c r="Z353" s="6"/>
      <c r="AA353" s="6"/>
      <c r="AB353" s="6">
        <f t="shared" si="22"/>
        <v>32422.5</v>
      </c>
      <c r="AC353" s="6">
        <f t="shared" si="23"/>
        <v>0</v>
      </c>
      <c r="AD353" s="6">
        <f t="shared" ca="1" si="24"/>
        <v>32612.143952165185</v>
      </c>
      <c r="AE353" s="6">
        <f t="shared" si="25"/>
        <v>0</v>
      </c>
      <c r="AF353" s="4" t="s">
        <v>1000</v>
      </c>
    </row>
    <row r="354" spans="1:32" ht="11.25" customHeight="1" x14ac:dyDescent="0.25">
      <c r="A354" s="4" t="s">
        <v>21</v>
      </c>
      <c r="B354" s="4" t="s">
        <v>41</v>
      </c>
      <c r="C354" s="4" t="s">
        <v>66</v>
      </c>
      <c r="D354" s="4" t="s">
        <v>25</v>
      </c>
      <c r="E354" s="4" t="s">
        <v>25</v>
      </c>
      <c r="F354" s="4" t="s">
        <v>25</v>
      </c>
      <c r="G354" s="4" t="s">
        <v>74</v>
      </c>
      <c r="H354" s="4" t="s">
        <v>25</v>
      </c>
      <c r="I354" s="5">
        <v>44713</v>
      </c>
      <c r="J354" s="6">
        <v>3000</v>
      </c>
      <c r="K354" s="6">
        <v>1500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4" t="s">
        <v>68</v>
      </c>
      <c r="S354" s="4">
        <v>38</v>
      </c>
      <c r="T354" s="4">
        <v>0</v>
      </c>
      <c r="U354" s="4">
        <v>0</v>
      </c>
      <c r="V354" s="6">
        <f>IF(ISERROR(VLOOKUP($S$354,'TAR FIN'!$A$1:$O$104,15,0)),0,VLOOKUP($S$354,'TAR FIN'!$A$1:$O$104,15,0))</f>
        <v>14.41</v>
      </c>
      <c r="W354" s="6">
        <f>IF(ISERROR(VLOOKUP($T$354,'TAR FIN'!$A$1:$O$104,15,0)),0,VLOOKUP($T$354,'TAR FIN'!$A$1:$O$104,15,0))</f>
        <v>0</v>
      </c>
      <c r="X354" s="6">
        <f>IF(ISERROR(VLOOKUP($U$354,'TAR FIN'!$A$1:$O$104,15,0)),0,VLOOKUP($U$354,'TAR FIN'!$A$1:$O$104,15,0))</f>
        <v>0</v>
      </c>
      <c r="Y354" s="6">
        <f ca="1">('TUSD BE'!$AM$23+'TUSD BF'!$AM$23+'TUSD CVA'!$AM$23)*1</f>
        <v>14.494286200962303</v>
      </c>
      <c r="Z354" s="6"/>
      <c r="AA354" s="6"/>
      <c r="AB354" s="6">
        <f t="shared" si="22"/>
        <v>21615</v>
      </c>
      <c r="AC354" s="6">
        <f t="shared" si="23"/>
        <v>0</v>
      </c>
      <c r="AD354" s="6">
        <f t="shared" ca="1" si="24"/>
        <v>21741.429301443455</v>
      </c>
      <c r="AE354" s="6">
        <f t="shared" si="25"/>
        <v>0</v>
      </c>
      <c r="AF354" s="4" t="s">
        <v>1000</v>
      </c>
    </row>
    <row r="355" spans="1:32" ht="11.25" customHeight="1" x14ac:dyDescent="0.25">
      <c r="A355" s="4" t="s">
        <v>21</v>
      </c>
      <c r="B355" s="4" t="s">
        <v>41</v>
      </c>
      <c r="C355" s="4" t="s">
        <v>66</v>
      </c>
      <c r="D355" s="4" t="s">
        <v>25</v>
      </c>
      <c r="E355" s="4" t="s">
        <v>25</v>
      </c>
      <c r="F355" s="4" t="s">
        <v>25</v>
      </c>
      <c r="G355" s="4" t="s">
        <v>80</v>
      </c>
      <c r="H355" s="4" t="s">
        <v>25</v>
      </c>
      <c r="I355" s="5">
        <v>44713</v>
      </c>
      <c r="J355" s="6">
        <v>3000</v>
      </c>
      <c r="K355" s="6">
        <v>1500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4" t="s">
        <v>68</v>
      </c>
      <c r="R355" s="4">
        <v>34891</v>
      </c>
      <c r="S355" s="4">
        <v>38</v>
      </c>
      <c r="T355" s="4">
        <v>0</v>
      </c>
      <c r="U355" s="4">
        <v>0</v>
      </c>
      <c r="V355" s="6">
        <f>IF(ISERROR(VLOOKUP($S$355,'TAR FIN'!$A$1:$O$104,15,0)),0,VLOOKUP($S$355,'TAR FIN'!$A$1:$O$104,15,0))</f>
        <v>14.41</v>
      </c>
      <c r="W355" s="6">
        <f>IF(ISERROR(VLOOKUP($T$355,'TAR FIN'!$A$1:$O$104,15,0)),0,VLOOKUP($T$355,'TAR FIN'!$A$1:$O$104,15,0))</f>
        <v>0</v>
      </c>
      <c r="X355" s="6">
        <f>IF(ISERROR(VLOOKUP($U$355,'TAR FIN'!$A$1:$O$104,15,0)),0,VLOOKUP($U$355,'TAR FIN'!$A$1:$O$104,15,0))</f>
        <v>0</v>
      </c>
      <c r="Y355" s="6">
        <f ca="1">('TUSD BE'!$AM$23+'TUSD BF'!$AM$23+'TUSD CVA'!$AM$23)*1</f>
        <v>14.494286200962303</v>
      </c>
      <c r="Z355" s="6"/>
      <c r="AA355" s="6"/>
      <c r="AB355" s="6">
        <f t="shared" si="22"/>
        <v>21615</v>
      </c>
      <c r="AC355" s="6">
        <f t="shared" si="23"/>
        <v>0</v>
      </c>
      <c r="AD355" s="6">
        <f t="shared" ca="1" si="24"/>
        <v>21741.429301443455</v>
      </c>
      <c r="AE355" s="6">
        <f t="shared" si="25"/>
        <v>0</v>
      </c>
      <c r="AF355" s="4" t="s">
        <v>1000</v>
      </c>
    </row>
    <row r="356" spans="1:32" ht="11.25" customHeight="1" x14ac:dyDescent="0.25">
      <c r="A356" s="4" t="s">
        <v>21</v>
      </c>
      <c r="B356" s="4" t="s">
        <v>41</v>
      </c>
      <c r="C356" s="4" t="s">
        <v>66</v>
      </c>
      <c r="D356" s="4" t="s">
        <v>25</v>
      </c>
      <c r="E356" s="4" t="s">
        <v>25</v>
      </c>
      <c r="F356" s="4" t="s">
        <v>25</v>
      </c>
      <c r="G356" s="4" t="s">
        <v>81</v>
      </c>
      <c r="H356" s="4" t="s">
        <v>25</v>
      </c>
      <c r="I356" s="5">
        <v>44713</v>
      </c>
      <c r="J356" s="6">
        <v>600</v>
      </c>
      <c r="K356" s="6">
        <v>300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4" t="s">
        <v>68</v>
      </c>
      <c r="R356" s="4">
        <v>34893</v>
      </c>
      <c r="S356" s="4">
        <v>38</v>
      </c>
      <c r="T356" s="4">
        <v>0</v>
      </c>
      <c r="U356" s="4">
        <v>0</v>
      </c>
      <c r="V356" s="6">
        <f>IF(ISERROR(VLOOKUP($S$356,'TAR FIN'!$A$1:$O$104,15,0)),0,VLOOKUP($S$356,'TAR FIN'!$A$1:$O$104,15,0))</f>
        <v>14.41</v>
      </c>
      <c r="W356" s="6">
        <f>IF(ISERROR(VLOOKUP($T$356,'TAR FIN'!$A$1:$O$104,15,0)),0,VLOOKUP($T$356,'TAR FIN'!$A$1:$O$104,15,0))</f>
        <v>0</v>
      </c>
      <c r="X356" s="6">
        <f>IF(ISERROR(VLOOKUP($U$356,'TAR FIN'!$A$1:$O$104,15,0)),0,VLOOKUP($U$356,'TAR FIN'!$A$1:$O$104,15,0))</f>
        <v>0</v>
      </c>
      <c r="Y356" s="6">
        <f ca="1">('TUSD BE'!$AM$23+'TUSD BF'!$AM$23+'TUSD CVA'!$AM$23)*1</f>
        <v>14.494286200962303</v>
      </c>
      <c r="Z356" s="6"/>
      <c r="AA356" s="6"/>
      <c r="AB356" s="6">
        <f t="shared" si="22"/>
        <v>4323</v>
      </c>
      <c r="AC356" s="6">
        <f t="shared" si="23"/>
        <v>0</v>
      </c>
      <c r="AD356" s="6">
        <f t="shared" ca="1" si="24"/>
        <v>4348.2858602886909</v>
      </c>
      <c r="AE356" s="6">
        <f t="shared" si="25"/>
        <v>0</v>
      </c>
      <c r="AF356" s="4" t="s">
        <v>1000</v>
      </c>
    </row>
    <row r="357" spans="1:32" ht="11.25" customHeight="1" x14ac:dyDescent="0.25">
      <c r="A357" s="4" t="s">
        <v>21</v>
      </c>
      <c r="B357" s="4" t="s">
        <v>41</v>
      </c>
      <c r="C357" s="4" t="s">
        <v>66</v>
      </c>
      <c r="D357" s="4" t="s">
        <v>25</v>
      </c>
      <c r="E357" s="4" t="s">
        <v>25</v>
      </c>
      <c r="F357" s="4" t="s">
        <v>25</v>
      </c>
      <c r="G357" s="4" t="s">
        <v>82</v>
      </c>
      <c r="H357" s="4" t="s">
        <v>25</v>
      </c>
      <c r="I357" s="5">
        <v>44713</v>
      </c>
      <c r="J357" s="6">
        <v>4800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4" t="s">
        <v>68</v>
      </c>
      <c r="R357" s="4">
        <v>43199</v>
      </c>
      <c r="S357" s="4">
        <v>38</v>
      </c>
      <c r="T357" s="4">
        <v>0</v>
      </c>
      <c r="U357" s="4">
        <v>0</v>
      </c>
      <c r="V357" s="6">
        <f>IF(ISERROR(VLOOKUP($S$357,'TAR FIN'!$A$1:$O$104,15,0)),0,VLOOKUP($S$357,'TAR FIN'!$A$1:$O$104,15,0))</f>
        <v>14.41</v>
      </c>
      <c r="W357" s="6">
        <f>IF(ISERROR(VLOOKUP($T$357,'TAR FIN'!$A$1:$O$104,15,0)),0,VLOOKUP($T$357,'TAR FIN'!$A$1:$O$104,15,0))</f>
        <v>0</v>
      </c>
      <c r="X357" s="6">
        <f>IF(ISERROR(VLOOKUP($U$357,'TAR FIN'!$A$1:$O$104,15,0)),0,VLOOKUP($U$357,'TAR FIN'!$A$1:$O$104,15,0))</f>
        <v>0</v>
      </c>
      <c r="Y357" s="6">
        <f ca="1">('TUSD BE'!$AM$23+'TUSD BF'!$AM$23+'TUSD CVA'!$AM$23)*1</f>
        <v>14.494286200962303</v>
      </c>
      <c r="Z357" s="6"/>
      <c r="AA357" s="6"/>
      <c r="AB357" s="6">
        <f t="shared" si="22"/>
        <v>69168</v>
      </c>
      <c r="AC357" s="6">
        <f t="shared" si="23"/>
        <v>0</v>
      </c>
      <c r="AD357" s="6">
        <f t="shared" ca="1" si="24"/>
        <v>69572.573764619054</v>
      </c>
      <c r="AE357" s="6">
        <f t="shared" si="25"/>
        <v>0</v>
      </c>
      <c r="AF357" s="4" t="s">
        <v>1000</v>
      </c>
    </row>
    <row r="358" spans="1:32" ht="11.25" customHeight="1" x14ac:dyDescent="0.25">
      <c r="A358" s="4" t="s">
        <v>21</v>
      </c>
      <c r="B358" s="4" t="s">
        <v>41</v>
      </c>
      <c r="C358" s="4" t="s">
        <v>66</v>
      </c>
      <c r="D358" s="4" t="s">
        <v>25</v>
      </c>
      <c r="E358" s="4" t="s">
        <v>25</v>
      </c>
      <c r="F358" s="4" t="s">
        <v>25</v>
      </c>
      <c r="G358" s="4" t="s">
        <v>83</v>
      </c>
      <c r="H358" s="4" t="s">
        <v>25</v>
      </c>
      <c r="I358" s="5">
        <v>44713</v>
      </c>
      <c r="J358" s="6">
        <v>2400</v>
      </c>
      <c r="K358" s="6">
        <v>1200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4" t="s">
        <v>68</v>
      </c>
      <c r="S358" s="4">
        <v>38</v>
      </c>
      <c r="T358" s="4">
        <v>0</v>
      </c>
      <c r="U358" s="4">
        <v>0</v>
      </c>
      <c r="V358" s="6">
        <f>IF(ISERROR(VLOOKUP($S$358,'TAR FIN'!$A$1:$O$104,15,0)),0,VLOOKUP($S$358,'TAR FIN'!$A$1:$O$104,15,0))</f>
        <v>14.41</v>
      </c>
      <c r="W358" s="6">
        <f>IF(ISERROR(VLOOKUP($T$358,'TAR FIN'!$A$1:$O$104,15,0)),0,VLOOKUP($T$358,'TAR FIN'!$A$1:$O$104,15,0))</f>
        <v>0</v>
      </c>
      <c r="X358" s="6">
        <f>IF(ISERROR(VLOOKUP($U$358,'TAR FIN'!$A$1:$O$104,15,0)),0,VLOOKUP($U$358,'TAR FIN'!$A$1:$O$104,15,0))</f>
        <v>0</v>
      </c>
      <c r="Y358" s="6">
        <f ca="1">('TUSD BE'!$AM$23+'TUSD BF'!$AM$23+'TUSD CVA'!$AM$23)*1</f>
        <v>14.494286200962303</v>
      </c>
      <c r="Z358" s="6"/>
      <c r="AA358" s="6"/>
      <c r="AB358" s="6">
        <f t="shared" si="22"/>
        <v>17292</v>
      </c>
      <c r="AC358" s="6">
        <f t="shared" si="23"/>
        <v>0</v>
      </c>
      <c r="AD358" s="6">
        <f t="shared" ca="1" si="24"/>
        <v>17393.143441154763</v>
      </c>
      <c r="AE358" s="6">
        <f t="shared" si="25"/>
        <v>0</v>
      </c>
      <c r="AF358" s="4" t="s">
        <v>1000</v>
      </c>
    </row>
    <row r="359" spans="1:32" ht="11.25" customHeight="1" x14ac:dyDescent="0.25">
      <c r="A359" s="4" t="s">
        <v>21</v>
      </c>
      <c r="B359" s="4" t="s">
        <v>41</v>
      </c>
      <c r="C359" s="4" t="s">
        <v>66</v>
      </c>
      <c r="D359" s="4" t="s">
        <v>25</v>
      </c>
      <c r="E359" s="4" t="s">
        <v>25</v>
      </c>
      <c r="F359" s="4" t="s">
        <v>25</v>
      </c>
      <c r="G359" s="4" t="s">
        <v>84</v>
      </c>
      <c r="H359" s="4" t="s">
        <v>25</v>
      </c>
      <c r="I359" s="5">
        <v>44713</v>
      </c>
      <c r="J359" s="6">
        <v>250</v>
      </c>
      <c r="K359" s="6">
        <v>125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4" t="s">
        <v>68</v>
      </c>
      <c r="S359" s="4">
        <v>38</v>
      </c>
      <c r="T359" s="4">
        <v>0</v>
      </c>
      <c r="U359" s="4">
        <v>0</v>
      </c>
      <c r="V359" s="6">
        <f>IF(ISERROR(VLOOKUP($S$359,'TAR FIN'!$A$1:$O$104,15,0)),0,VLOOKUP($S$359,'TAR FIN'!$A$1:$O$104,15,0))</f>
        <v>14.41</v>
      </c>
      <c r="W359" s="6">
        <f>IF(ISERROR(VLOOKUP($T$359,'TAR FIN'!$A$1:$O$104,15,0)),0,VLOOKUP($T$359,'TAR FIN'!$A$1:$O$104,15,0))</f>
        <v>0</v>
      </c>
      <c r="X359" s="6">
        <f>IF(ISERROR(VLOOKUP($U$359,'TAR FIN'!$A$1:$O$104,15,0)),0,VLOOKUP($U$359,'TAR FIN'!$A$1:$O$104,15,0))</f>
        <v>0</v>
      </c>
      <c r="Y359" s="6">
        <f ca="1">('TUSD BE'!$AM$23+'TUSD BF'!$AM$23+'TUSD CVA'!$AM$23)*1</f>
        <v>14.494286200962303</v>
      </c>
      <c r="Z359" s="6"/>
      <c r="AA359" s="6"/>
      <c r="AB359" s="6">
        <f t="shared" si="22"/>
        <v>1801.25</v>
      </c>
      <c r="AC359" s="6">
        <f t="shared" si="23"/>
        <v>0</v>
      </c>
      <c r="AD359" s="6">
        <f t="shared" ca="1" si="24"/>
        <v>1811.785775120288</v>
      </c>
      <c r="AE359" s="6">
        <f t="shared" si="25"/>
        <v>0</v>
      </c>
      <c r="AF359" s="4" t="s">
        <v>1000</v>
      </c>
    </row>
    <row r="360" spans="1:32" ht="11.25" customHeight="1" x14ac:dyDescent="0.25">
      <c r="A360" s="4" t="s">
        <v>21</v>
      </c>
      <c r="B360" s="4" t="s">
        <v>41</v>
      </c>
      <c r="C360" s="4" t="s">
        <v>66</v>
      </c>
      <c r="D360" s="4" t="s">
        <v>25</v>
      </c>
      <c r="E360" s="4" t="s">
        <v>25</v>
      </c>
      <c r="F360" s="4" t="s">
        <v>25</v>
      </c>
      <c r="G360" s="4" t="s">
        <v>85</v>
      </c>
      <c r="H360" s="4" t="s">
        <v>25</v>
      </c>
      <c r="I360" s="5">
        <v>44713</v>
      </c>
      <c r="J360" s="6">
        <v>250</v>
      </c>
      <c r="K360" s="6">
        <v>125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4" t="s">
        <v>68</v>
      </c>
      <c r="R360" s="4">
        <v>52044</v>
      </c>
      <c r="S360" s="4">
        <v>38</v>
      </c>
      <c r="T360" s="4">
        <v>0</v>
      </c>
      <c r="U360" s="4">
        <v>0</v>
      </c>
      <c r="V360" s="6">
        <f>IF(ISERROR(VLOOKUP($S$360,'TAR FIN'!$A$1:$O$104,15,0)),0,VLOOKUP($S$360,'TAR FIN'!$A$1:$O$104,15,0))</f>
        <v>14.41</v>
      </c>
      <c r="W360" s="6">
        <f>IF(ISERROR(VLOOKUP($T$360,'TAR FIN'!$A$1:$O$104,15,0)),0,VLOOKUP($T$360,'TAR FIN'!$A$1:$O$104,15,0))</f>
        <v>0</v>
      </c>
      <c r="X360" s="6">
        <f>IF(ISERROR(VLOOKUP($U$360,'TAR FIN'!$A$1:$O$104,15,0)),0,VLOOKUP($U$360,'TAR FIN'!$A$1:$O$104,15,0))</f>
        <v>0</v>
      </c>
      <c r="Y360" s="6">
        <f ca="1">('TUSD BE'!$AM$23+'TUSD BF'!$AM$23+'TUSD CVA'!$AM$23)*1</f>
        <v>14.494286200962303</v>
      </c>
      <c r="Z360" s="6"/>
      <c r="AA360" s="6"/>
      <c r="AB360" s="6">
        <f t="shared" si="22"/>
        <v>1801.25</v>
      </c>
      <c r="AC360" s="6">
        <f t="shared" si="23"/>
        <v>0</v>
      </c>
      <c r="AD360" s="6">
        <f t="shared" ca="1" si="24"/>
        <v>1811.785775120288</v>
      </c>
      <c r="AE360" s="6">
        <f t="shared" si="25"/>
        <v>0</v>
      </c>
      <c r="AF360" s="4" t="s">
        <v>1000</v>
      </c>
    </row>
    <row r="361" spans="1:32" ht="11.25" customHeight="1" x14ac:dyDescent="0.25">
      <c r="A361" s="4" t="s">
        <v>57</v>
      </c>
      <c r="B361" s="4" t="s">
        <v>41</v>
      </c>
      <c r="C361" s="4" t="s">
        <v>66</v>
      </c>
      <c r="D361" s="4" t="s">
        <v>25</v>
      </c>
      <c r="E361" s="4" t="s">
        <v>25</v>
      </c>
      <c r="F361" s="4" t="s">
        <v>25</v>
      </c>
      <c r="G361" s="4" t="s">
        <v>72</v>
      </c>
      <c r="H361" s="4" t="s">
        <v>25</v>
      </c>
      <c r="I361" s="5">
        <v>44743</v>
      </c>
      <c r="J361" s="6">
        <v>4500</v>
      </c>
      <c r="K361" s="6">
        <v>2250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4" t="s">
        <v>68</v>
      </c>
      <c r="R361" s="4">
        <v>29075</v>
      </c>
      <c r="S361" s="4">
        <v>38</v>
      </c>
      <c r="T361" s="4">
        <v>0</v>
      </c>
      <c r="U361" s="4">
        <v>0</v>
      </c>
      <c r="V361" s="6">
        <f>IF(ISERROR(VLOOKUP($S$361,'TAR FIN'!$A$1:$O$104,15,0)),0,VLOOKUP($S$361,'TAR FIN'!$A$1:$O$104,15,0))</f>
        <v>14.41</v>
      </c>
      <c r="W361" s="6">
        <f>IF(ISERROR(VLOOKUP($T$361,'TAR FIN'!$A$1:$O$104,15,0)),0,VLOOKUP($T$361,'TAR FIN'!$A$1:$O$104,15,0))</f>
        <v>0</v>
      </c>
      <c r="X361" s="6">
        <f>IF(ISERROR(VLOOKUP($U$361,'TAR FIN'!$A$1:$O$104,15,0)),0,VLOOKUP($U$361,'TAR FIN'!$A$1:$O$104,15,0))</f>
        <v>0</v>
      </c>
      <c r="Y361" s="6">
        <f ca="1">('TUSD BE'!$AM$23+'TUSD BF'!$AM$23+'TUSD CVA'!$AM$23)*1</f>
        <v>14.494286200962303</v>
      </c>
      <c r="Z361" s="6"/>
      <c r="AA361" s="6"/>
      <c r="AB361" s="6">
        <f t="shared" si="22"/>
        <v>32422.5</v>
      </c>
      <c r="AC361" s="6">
        <f t="shared" si="23"/>
        <v>0</v>
      </c>
      <c r="AD361" s="6">
        <f t="shared" ca="1" si="24"/>
        <v>32612.143952165185</v>
      </c>
      <c r="AE361" s="6">
        <f t="shared" si="25"/>
        <v>0</v>
      </c>
      <c r="AF361" s="4" t="s">
        <v>1000</v>
      </c>
    </row>
    <row r="362" spans="1:32" ht="11.25" customHeight="1" x14ac:dyDescent="0.25">
      <c r="A362" s="4" t="s">
        <v>57</v>
      </c>
      <c r="B362" s="4" t="s">
        <v>41</v>
      </c>
      <c r="C362" s="4" t="s">
        <v>66</v>
      </c>
      <c r="D362" s="4" t="s">
        <v>25</v>
      </c>
      <c r="E362" s="4" t="s">
        <v>25</v>
      </c>
      <c r="F362" s="4" t="s">
        <v>25</v>
      </c>
      <c r="G362" s="4" t="s">
        <v>74</v>
      </c>
      <c r="H362" s="4" t="s">
        <v>25</v>
      </c>
      <c r="I362" s="5">
        <v>44743</v>
      </c>
      <c r="J362" s="6">
        <v>3000</v>
      </c>
      <c r="K362" s="6">
        <v>1500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4" t="s">
        <v>68</v>
      </c>
      <c r="S362" s="4">
        <v>38</v>
      </c>
      <c r="T362" s="4">
        <v>0</v>
      </c>
      <c r="U362" s="4">
        <v>0</v>
      </c>
      <c r="V362" s="6">
        <f>IF(ISERROR(VLOOKUP($S$362,'TAR FIN'!$A$1:$O$104,15,0)),0,VLOOKUP($S$362,'TAR FIN'!$A$1:$O$104,15,0))</f>
        <v>14.41</v>
      </c>
      <c r="W362" s="6">
        <f>IF(ISERROR(VLOOKUP($T$362,'TAR FIN'!$A$1:$O$104,15,0)),0,VLOOKUP($T$362,'TAR FIN'!$A$1:$O$104,15,0))</f>
        <v>0</v>
      </c>
      <c r="X362" s="6">
        <f>IF(ISERROR(VLOOKUP($U$362,'TAR FIN'!$A$1:$O$104,15,0)),0,VLOOKUP($U$362,'TAR FIN'!$A$1:$O$104,15,0))</f>
        <v>0</v>
      </c>
      <c r="Y362" s="6">
        <f ca="1">('TUSD BE'!$AM$23+'TUSD BF'!$AM$23+'TUSD CVA'!$AM$23)*1</f>
        <v>14.494286200962303</v>
      </c>
      <c r="Z362" s="6"/>
      <c r="AA362" s="6"/>
      <c r="AB362" s="6">
        <f t="shared" si="22"/>
        <v>21615</v>
      </c>
      <c r="AC362" s="6">
        <f t="shared" si="23"/>
        <v>0</v>
      </c>
      <c r="AD362" s="6">
        <f t="shared" ca="1" si="24"/>
        <v>21741.429301443455</v>
      </c>
      <c r="AE362" s="6">
        <f t="shared" si="25"/>
        <v>0</v>
      </c>
      <c r="AF362" s="4" t="s">
        <v>1000</v>
      </c>
    </row>
    <row r="363" spans="1:32" ht="11.25" customHeight="1" x14ac:dyDescent="0.25">
      <c r="A363" s="4" t="s">
        <v>57</v>
      </c>
      <c r="B363" s="4" t="s">
        <v>41</v>
      </c>
      <c r="C363" s="4" t="s">
        <v>66</v>
      </c>
      <c r="D363" s="4" t="s">
        <v>25</v>
      </c>
      <c r="E363" s="4" t="s">
        <v>25</v>
      </c>
      <c r="F363" s="4" t="s">
        <v>25</v>
      </c>
      <c r="G363" s="4" t="s">
        <v>80</v>
      </c>
      <c r="H363" s="4" t="s">
        <v>25</v>
      </c>
      <c r="I363" s="5">
        <v>44743</v>
      </c>
      <c r="J363" s="6">
        <v>3000</v>
      </c>
      <c r="K363" s="6">
        <v>1500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4" t="s">
        <v>68</v>
      </c>
      <c r="R363" s="4">
        <v>34891</v>
      </c>
      <c r="S363" s="4">
        <v>38</v>
      </c>
      <c r="T363" s="4">
        <v>0</v>
      </c>
      <c r="U363" s="4">
        <v>0</v>
      </c>
      <c r="V363" s="6">
        <f>IF(ISERROR(VLOOKUP($S$363,'TAR FIN'!$A$1:$O$104,15,0)),0,VLOOKUP($S$363,'TAR FIN'!$A$1:$O$104,15,0))</f>
        <v>14.41</v>
      </c>
      <c r="W363" s="6">
        <f>IF(ISERROR(VLOOKUP($T$363,'TAR FIN'!$A$1:$O$104,15,0)),0,VLOOKUP($T$363,'TAR FIN'!$A$1:$O$104,15,0))</f>
        <v>0</v>
      </c>
      <c r="X363" s="6">
        <f>IF(ISERROR(VLOOKUP($U$363,'TAR FIN'!$A$1:$O$104,15,0)),0,VLOOKUP($U$363,'TAR FIN'!$A$1:$O$104,15,0))</f>
        <v>0</v>
      </c>
      <c r="Y363" s="6">
        <f ca="1">('TUSD BE'!$AM$23+'TUSD BF'!$AM$23+'TUSD CVA'!$AM$23)*1</f>
        <v>14.494286200962303</v>
      </c>
      <c r="Z363" s="6"/>
      <c r="AA363" s="6"/>
      <c r="AB363" s="6">
        <f t="shared" si="22"/>
        <v>21615</v>
      </c>
      <c r="AC363" s="6">
        <f t="shared" si="23"/>
        <v>0</v>
      </c>
      <c r="AD363" s="6">
        <f t="shared" ca="1" si="24"/>
        <v>21741.429301443455</v>
      </c>
      <c r="AE363" s="6">
        <f t="shared" si="25"/>
        <v>0</v>
      </c>
      <c r="AF363" s="4" t="s">
        <v>1000</v>
      </c>
    </row>
    <row r="364" spans="1:32" ht="11.25" customHeight="1" x14ac:dyDescent="0.25">
      <c r="A364" s="4" t="s">
        <v>57</v>
      </c>
      <c r="B364" s="4" t="s">
        <v>41</v>
      </c>
      <c r="C364" s="4" t="s">
        <v>66</v>
      </c>
      <c r="D364" s="4" t="s">
        <v>25</v>
      </c>
      <c r="E364" s="4" t="s">
        <v>25</v>
      </c>
      <c r="F364" s="4" t="s">
        <v>25</v>
      </c>
      <c r="G364" s="4" t="s">
        <v>81</v>
      </c>
      <c r="H364" s="4" t="s">
        <v>25</v>
      </c>
      <c r="I364" s="5">
        <v>44743</v>
      </c>
      <c r="J364" s="6">
        <v>600</v>
      </c>
      <c r="K364" s="6">
        <v>300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4" t="s">
        <v>68</v>
      </c>
      <c r="R364" s="4">
        <v>34893</v>
      </c>
      <c r="S364" s="4">
        <v>38</v>
      </c>
      <c r="T364" s="4">
        <v>0</v>
      </c>
      <c r="U364" s="4">
        <v>0</v>
      </c>
      <c r="V364" s="6">
        <f>IF(ISERROR(VLOOKUP($S$364,'TAR FIN'!$A$1:$O$104,15,0)),0,VLOOKUP($S$364,'TAR FIN'!$A$1:$O$104,15,0))</f>
        <v>14.41</v>
      </c>
      <c r="W364" s="6">
        <f>IF(ISERROR(VLOOKUP($T$364,'TAR FIN'!$A$1:$O$104,15,0)),0,VLOOKUP($T$364,'TAR FIN'!$A$1:$O$104,15,0))</f>
        <v>0</v>
      </c>
      <c r="X364" s="6">
        <f>IF(ISERROR(VLOOKUP($U$364,'TAR FIN'!$A$1:$O$104,15,0)),0,VLOOKUP($U$364,'TAR FIN'!$A$1:$O$104,15,0))</f>
        <v>0</v>
      </c>
      <c r="Y364" s="6">
        <f ca="1">('TUSD BE'!$AM$23+'TUSD BF'!$AM$23+'TUSD CVA'!$AM$23)*1</f>
        <v>14.494286200962303</v>
      </c>
      <c r="Z364" s="6"/>
      <c r="AA364" s="6"/>
      <c r="AB364" s="6">
        <f t="shared" si="22"/>
        <v>4323</v>
      </c>
      <c r="AC364" s="6">
        <f t="shared" si="23"/>
        <v>0</v>
      </c>
      <c r="AD364" s="6">
        <f t="shared" ca="1" si="24"/>
        <v>4348.2858602886909</v>
      </c>
      <c r="AE364" s="6">
        <f t="shared" si="25"/>
        <v>0</v>
      </c>
      <c r="AF364" s="4" t="s">
        <v>1000</v>
      </c>
    </row>
    <row r="365" spans="1:32" ht="11.25" customHeight="1" x14ac:dyDescent="0.25">
      <c r="A365" s="4" t="s">
        <v>57</v>
      </c>
      <c r="B365" s="4" t="s">
        <v>41</v>
      </c>
      <c r="C365" s="4" t="s">
        <v>66</v>
      </c>
      <c r="D365" s="4" t="s">
        <v>25</v>
      </c>
      <c r="E365" s="4" t="s">
        <v>25</v>
      </c>
      <c r="F365" s="4" t="s">
        <v>25</v>
      </c>
      <c r="G365" s="4" t="s">
        <v>82</v>
      </c>
      <c r="H365" s="4" t="s">
        <v>25</v>
      </c>
      <c r="I365" s="5">
        <v>44743</v>
      </c>
      <c r="J365" s="6">
        <v>4800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4" t="s">
        <v>68</v>
      </c>
      <c r="R365" s="4">
        <v>43199</v>
      </c>
      <c r="S365" s="4">
        <v>38</v>
      </c>
      <c r="T365" s="4">
        <v>0</v>
      </c>
      <c r="U365" s="4">
        <v>0</v>
      </c>
      <c r="V365" s="6">
        <f>IF(ISERROR(VLOOKUP($S$365,'TAR FIN'!$A$1:$O$104,15,0)),0,VLOOKUP($S$365,'TAR FIN'!$A$1:$O$104,15,0))</f>
        <v>14.41</v>
      </c>
      <c r="W365" s="6">
        <f>IF(ISERROR(VLOOKUP($T$365,'TAR FIN'!$A$1:$O$104,15,0)),0,VLOOKUP($T$365,'TAR FIN'!$A$1:$O$104,15,0))</f>
        <v>0</v>
      </c>
      <c r="X365" s="6">
        <f>IF(ISERROR(VLOOKUP($U$365,'TAR FIN'!$A$1:$O$104,15,0)),0,VLOOKUP($U$365,'TAR FIN'!$A$1:$O$104,15,0))</f>
        <v>0</v>
      </c>
      <c r="Y365" s="6">
        <f ca="1">('TUSD BE'!$AM$23+'TUSD BF'!$AM$23+'TUSD CVA'!$AM$23)*1</f>
        <v>14.494286200962303</v>
      </c>
      <c r="Z365" s="6"/>
      <c r="AA365" s="6"/>
      <c r="AB365" s="6">
        <f t="shared" si="22"/>
        <v>69168</v>
      </c>
      <c r="AC365" s="6">
        <f t="shared" si="23"/>
        <v>0</v>
      </c>
      <c r="AD365" s="6">
        <f t="shared" ca="1" si="24"/>
        <v>69572.573764619054</v>
      </c>
      <c r="AE365" s="6">
        <f t="shared" si="25"/>
        <v>0</v>
      </c>
      <c r="AF365" s="4" t="s">
        <v>1000</v>
      </c>
    </row>
    <row r="366" spans="1:32" ht="11.25" customHeight="1" x14ac:dyDescent="0.25">
      <c r="A366" s="4" t="s">
        <v>57</v>
      </c>
      <c r="B366" s="4" t="s">
        <v>41</v>
      </c>
      <c r="C366" s="4" t="s">
        <v>66</v>
      </c>
      <c r="D366" s="4" t="s">
        <v>25</v>
      </c>
      <c r="E366" s="4" t="s">
        <v>25</v>
      </c>
      <c r="F366" s="4" t="s">
        <v>25</v>
      </c>
      <c r="G366" s="4" t="s">
        <v>83</v>
      </c>
      <c r="H366" s="4" t="s">
        <v>25</v>
      </c>
      <c r="I366" s="5">
        <v>44743</v>
      </c>
      <c r="J366" s="6">
        <v>2400</v>
      </c>
      <c r="K366" s="6">
        <v>1200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4" t="s">
        <v>68</v>
      </c>
      <c r="S366" s="4">
        <v>38</v>
      </c>
      <c r="T366" s="4">
        <v>0</v>
      </c>
      <c r="U366" s="4">
        <v>0</v>
      </c>
      <c r="V366" s="6">
        <f>IF(ISERROR(VLOOKUP($S$366,'TAR FIN'!$A$1:$O$104,15,0)),0,VLOOKUP($S$366,'TAR FIN'!$A$1:$O$104,15,0))</f>
        <v>14.41</v>
      </c>
      <c r="W366" s="6">
        <f>IF(ISERROR(VLOOKUP($T$366,'TAR FIN'!$A$1:$O$104,15,0)),0,VLOOKUP($T$366,'TAR FIN'!$A$1:$O$104,15,0))</f>
        <v>0</v>
      </c>
      <c r="X366" s="6">
        <f>IF(ISERROR(VLOOKUP($U$366,'TAR FIN'!$A$1:$O$104,15,0)),0,VLOOKUP($U$366,'TAR FIN'!$A$1:$O$104,15,0))</f>
        <v>0</v>
      </c>
      <c r="Y366" s="6">
        <f ca="1">('TUSD BE'!$AM$23+'TUSD BF'!$AM$23+'TUSD CVA'!$AM$23)*1</f>
        <v>14.494286200962303</v>
      </c>
      <c r="Z366" s="6"/>
      <c r="AA366" s="6"/>
      <c r="AB366" s="6">
        <f t="shared" si="22"/>
        <v>17292</v>
      </c>
      <c r="AC366" s="6">
        <f t="shared" si="23"/>
        <v>0</v>
      </c>
      <c r="AD366" s="6">
        <f t="shared" ca="1" si="24"/>
        <v>17393.143441154763</v>
      </c>
      <c r="AE366" s="6">
        <f t="shared" si="25"/>
        <v>0</v>
      </c>
      <c r="AF366" s="4" t="s">
        <v>1000</v>
      </c>
    </row>
    <row r="367" spans="1:32" ht="11.25" customHeight="1" x14ac:dyDescent="0.25">
      <c r="A367" s="4" t="s">
        <v>57</v>
      </c>
      <c r="B367" s="4" t="s">
        <v>41</v>
      </c>
      <c r="C367" s="4" t="s">
        <v>66</v>
      </c>
      <c r="D367" s="4" t="s">
        <v>25</v>
      </c>
      <c r="E367" s="4" t="s">
        <v>25</v>
      </c>
      <c r="F367" s="4" t="s">
        <v>25</v>
      </c>
      <c r="G367" s="4" t="s">
        <v>84</v>
      </c>
      <c r="H367" s="4" t="s">
        <v>25</v>
      </c>
      <c r="I367" s="5">
        <v>44743</v>
      </c>
      <c r="J367" s="6">
        <v>250</v>
      </c>
      <c r="K367" s="6">
        <v>125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4" t="s">
        <v>68</v>
      </c>
      <c r="S367" s="4">
        <v>38</v>
      </c>
      <c r="T367" s="4">
        <v>0</v>
      </c>
      <c r="U367" s="4">
        <v>0</v>
      </c>
      <c r="V367" s="6">
        <f>IF(ISERROR(VLOOKUP($S$367,'TAR FIN'!$A$1:$O$104,15,0)),0,VLOOKUP($S$367,'TAR FIN'!$A$1:$O$104,15,0))</f>
        <v>14.41</v>
      </c>
      <c r="W367" s="6">
        <f>IF(ISERROR(VLOOKUP($T$367,'TAR FIN'!$A$1:$O$104,15,0)),0,VLOOKUP($T$367,'TAR FIN'!$A$1:$O$104,15,0))</f>
        <v>0</v>
      </c>
      <c r="X367" s="6">
        <f>IF(ISERROR(VLOOKUP($U$367,'TAR FIN'!$A$1:$O$104,15,0)),0,VLOOKUP($U$367,'TAR FIN'!$A$1:$O$104,15,0))</f>
        <v>0</v>
      </c>
      <c r="Y367" s="6">
        <f ca="1">('TUSD BE'!$AM$23+'TUSD BF'!$AM$23+'TUSD CVA'!$AM$23)*1</f>
        <v>14.494286200962303</v>
      </c>
      <c r="Z367" s="6"/>
      <c r="AA367" s="6"/>
      <c r="AB367" s="6">
        <f t="shared" si="22"/>
        <v>1801.25</v>
      </c>
      <c r="AC367" s="6">
        <f t="shared" si="23"/>
        <v>0</v>
      </c>
      <c r="AD367" s="6">
        <f t="shared" ca="1" si="24"/>
        <v>1811.785775120288</v>
      </c>
      <c r="AE367" s="6">
        <f t="shared" si="25"/>
        <v>0</v>
      </c>
      <c r="AF367" s="4" t="s">
        <v>1000</v>
      </c>
    </row>
    <row r="368" spans="1:32" ht="11.25" customHeight="1" x14ac:dyDescent="0.25">
      <c r="A368" s="4" t="s">
        <v>57</v>
      </c>
      <c r="B368" s="4" t="s">
        <v>41</v>
      </c>
      <c r="C368" s="4" t="s">
        <v>66</v>
      </c>
      <c r="D368" s="4" t="s">
        <v>25</v>
      </c>
      <c r="E368" s="4" t="s">
        <v>25</v>
      </c>
      <c r="F368" s="4" t="s">
        <v>25</v>
      </c>
      <c r="G368" s="4" t="s">
        <v>85</v>
      </c>
      <c r="H368" s="4" t="s">
        <v>25</v>
      </c>
      <c r="I368" s="5">
        <v>44743</v>
      </c>
      <c r="J368" s="6">
        <v>250</v>
      </c>
      <c r="K368" s="6">
        <v>125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4" t="s">
        <v>68</v>
      </c>
      <c r="R368" s="4">
        <v>52044</v>
      </c>
      <c r="S368" s="4">
        <v>38</v>
      </c>
      <c r="T368" s="4">
        <v>0</v>
      </c>
      <c r="U368" s="4">
        <v>0</v>
      </c>
      <c r="V368" s="6">
        <f>IF(ISERROR(VLOOKUP($S$368,'TAR FIN'!$A$1:$O$104,15,0)),0,VLOOKUP($S$368,'TAR FIN'!$A$1:$O$104,15,0))</f>
        <v>14.41</v>
      </c>
      <c r="W368" s="6">
        <f>IF(ISERROR(VLOOKUP($T$368,'TAR FIN'!$A$1:$O$104,15,0)),0,VLOOKUP($T$368,'TAR FIN'!$A$1:$O$104,15,0))</f>
        <v>0</v>
      </c>
      <c r="X368" s="6">
        <f>IF(ISERROR(VLOOKUP($U$368,'TAR FIN'!$A$1:$O$104,15,0)),0,VLOOKUP($U$368,'TAR FIN'!$A$1:$O$104,15,0))</f>
        <v>0</v>
      </c>
      <c r="Y368" s="6">
        <f ca="1">('TUSD BE'!$AM$23+'TUSD BF'!$AM$23+'TUSD CVA'!$AM$23)*1</f>
        <v>14.494286200962303</v>
      </c>
      <c r="Z368" s="6"/>
      <c r="AA368" s="6"/>
      <c r="AB368" s="6">
        <f t="shared" si="22"/>
        <v>1801.25</v>
      </c>
      <c r="AC368" s="6">
        <f t="shared" si="23"/>
        <v>0</v>
      </c>
      <c r="AD368" s="6">
        <f t="shared" ca="1" si="24"/>
        <v>1811.785775120288</v>
      </c>
      <c r="AE368" s="6">
        <f t="shared" si="25"/>
        <v>0</v>
      </c>
      <c r="AF368" s="4" t="s">
        <v>1000</v>
      </c>
    </row>
    <row r="369" spans="1:32" ht="11.25" customHeight="1" x14ac:dyDescent="0.25">
      <c r="A369" s="4" t="s">
        <v>21</v>
      </c>
      <c r="B369" s="4" t="s">
        <v>41</v>
      </c>
      <c r="C369" s="4" t="s">
        <v>42</v>
      </c>
      <c r="D369" s="4" t="s">
        <v>38</v>
      </c>
      <c r="E369" s="4" t="s">
        <v>25</v>
      </c>
      <c r="F369" s="4" t="s">
        <v>61</v>
      </c>
      <c r="G369" s="4" t="s">
        <v>25</v>
      </c>
      <c r="H369" s="4" t="s">
        <v>35</v>
      </c>
      <c r="I369" s="5">
        <v>44409</v>
      </c>
      <c r="J369" s="6">
        <v>0</v>
      </c>
      <c r="K369" s="6">
        <v>0</v>
      </c>
      <c r="L369" s="6">
        <v>9065.5460000000003</v>
      </c>
      <c r="M369" s="6">
        <v>9065.5460000000003</v>
      </c>
      <c r="N369" s="6">
        <v>0</v>
      </c>
      <c r="O369" s="6">
        <v>0</v>
      </c>
      <c r="P369" s="6">
        <v>0</v>
      </c>
      <c r="Q369" s="4" t="s">
        <v>58</v>
      </c>
      <c r="R369" s="4">
        <v>0</v>
      </c>
      <c r="S369" s="4">
        <v>0</v>
      </c>
      <c r="T369" s="4">
        <v>44</v>
      </c>
      <c r="U369" s="4">
        <v>0</v>
      </c>
      <c r="V369" s="6">
        <f>IF(ISERROR(VLOOKUP($S$369,'TAR FIN'!$A$1:$O$104,15,0)),0,VLOOKUP($S$369,'TAR FIN'!$A$1:$O$104,15,0))</f>
        <v>0</v>
      </c>
      <c r="W369" s="6">
        <f>IF(ISERROR(VLOOKUP($T$369,'TAR FIN'!$A$1:$O$104,15,0)),0,VLOOKUP($T$369,'TAR FIN'!$A$1:$O$104,15,0))</f>
        <v>62.57</v>
      </c>
      <c r="X369" s="6">
        <f>IF(ISERROR(VLOOKUP($U$369,'TAR FIN'!$A$1:$O$104,15,0)),0,VLOOKUP($U$369,'TAR FIN'!$A$1:$O$104,15,0))</f>
        <v>0</v>
      </c>
      <c r="Y369" s="6"/>
      <c r="Z369" s="6">
        <f ca="1">('TUSD BE'!$AM$26+'TUSD BF'!$AM$26+'TUSD CVA'!$AM$26)*1</f>
        <v>77.876201961015255</v>
      </c>
      <c r="AA369" s="6"/>
      <c r="AB369" s="6">
        <f t="shared" si="22"/>
        <v>0</v>
      </c>
      <c r="AC369" s="6">
        <f t="shared" si="23"/>
        <v>0</v>
      </c>
      <c r="AD369" s="6">
        <f t="shared" si="24"/>
        <v>0</v>
      </c>
      <c r="AE369" s="6">
        <f t="shared" ca="1" si="25"/>
        <v>0</v>
      </c>
      <c r="AF369" s="4" t="s">
        <v>997</v>
      </c>
    </row>
    <row r="370" spans="1:32" ht="11.25" customHeight="1" x14ac:dyDescent="0.25">
      <c r="A370" s="4" t="s">
        <v>27</v>
      </c>
      <c r="B370" s="4" t="s">
        <v>41</v>
      </c>
      <c r="C370" s="4" t="s">
        <v>42</v>
      </c>
      <c r="D370" s="4" t="s">
        <v>38</v>
      </c>
      <c r="E370" s="4" t="s">
        <v>25</v>
      </c>
      <c r="F370" s="4" t="s">
        <v>61</v>
      </c>
      <c r="G370" s="4" t="s">
        <v>25</v>
      </c>
      <c r="H370" s="4" t="s">
        <v>35</v>
      </c>
      <c r="I370" s="5">
        <v>44409</v>
      </c>
      <c r="J370" s="6">
        <v>0</v>
      </c>
      <c r="K370" s="6">
        <v>0</v>
      </c>
      <c r="L370" s="6">
        <v>-13.065</v>
      </c>
      <c r="M370" s="6">
        <v>-13.065</v>
      </c>
      <c r="N370" s="6">
        <v>0</v>
      </c>
      <c r="O370" s="6">
        <v>0</v>
      </c>
      <c r="P370" s="6">
        <v>0</v>
      </c>
      <c r="Q370" s="4" t="s">
        <v>58</v>
      </c>
      <c r="R370" s="4">
        <v>0</v>
      </c>
      <c r="S370" s="4">
        <v>0</v>
      </c>
      <c r="T370" s="4">
        <v>44</v>
      </c>
      <c r="U370" s="4">
        <v>0</v>
      </c>
      <c r="V370" s="6">
        <f>IF(ISERROR(VLOOKUP($S$370,'TAR FIN'!$A$1:$O$104,15,0)),0,VLOOKUP($S$370,'TAR FIN'!$A$1:$O$104,15,0))</f>
        <v>0</v>
      </c>
      <c r="W370" s="6">
        <f>IF(ISERROR(VLOOKUP($T$370,'TAR FIN'!$A$1:$O$104,15,0)),0,VLOOKUP($T$370,'TAR FIN'!$A$1:$O$104,15,0))</f>
        <v>62.57</v>
      </c>
      <c r="X370" s="6">
        <f>IF(ISERROR(VLOOKUP($U$370,'TAR FIN'!$A$1:$O$104,15,0)),0,VLOOKUP($U$370,'TAR FIN'!$A$1:$O$104,15,0))</f>
        <v>0</v>
      </c>
      <c r="Y370" s="6"/>
      <c r="Z370" s="6">
        <f ca="1">('TUSD BE'!$AM$26+'TUSD BF'!$AM$26+'TUSD CVA'!$AM$26)*1</f>
        <v>77.876201961015255</v>
      </c>
      <c r="AA370" s="6"/>
      <c r="AB370" s="6">
        <f t="shared" si="22"/>
        <v>0</v>
      </c>
      <c r="AC370" s="6">
        <f t="shared" si="23"/>
        <v>0</v>
      </c>
      <c r="AD370" s="6">
        <f t="shared" si="24"/>
        <v>0</v>
      </c>
      <c r="AE370" s="6">
        <f t="shared" ca="1" si="25"/>
        <v>0</v>
      </c>
      <c r="AF370" s="4" t="s">
        <v>997</v>
      </c>
    </row>
    <row r="371" spans="1:32" ht="11.25" customHeight="1" x14ac:dyDescent="0.25">
      <c r="A371" s="4" t="s">
        <v>21</v>
      </c>
      <c r="B371" s="4" t="s">
        <v>41</v>
      </c>
      <c r="C371" s="4" t="s">
        <v>42</v>
      </c>
      <c r="D371" s="4" t="s">
        <v>38</v>
      </c>
      <c r="E371" s="4" t="s">
        <v>25</v>
      </c>
      <c r="F371" s="4" t="s">
        <v>61</v>
      </c>
      <c r="G371" s="4" t="s">
        <v>25</v>
      </c>
      <c r="H371" s="4" t="s">
        <v>35</v>
      </c>
      <c r="I371" s="5">
        <v>44440</v>
      </c>
      <c r="J371" s="6">
        <v>0</v>
      </c>
      <c r="K371" s="6">
        <v>0</v>
      </c>
      <c r="L371" s="6">
        <v>9143.0030000000006</v>
      </c>
      <c r="M371" s="6">
        <v>9143.0030000000006</v>
      </c>
      <c r="N371" s="6">
        <v>0</v>
      </c>
      <c r="O371" s="6">
        <v>0</v>
      </c>
      <c r="P371" s="6">
        <v>0</v>
      </c>
      <c r="Q371" s="4" t="s">
        <v>58</v>
      </c>
      <c r="R371" s="4">
        <v>0</v>
      </c>
      <c r="S371" s="4">
        <v>0</v>
      </c>
      <c r="T371" s="4">
        <v>44</v>
      </c>
      <c r="U371" s="4">
        <v>0</v>
      </c>
      <c r="V371" s="6">
        <f>IF(ISERROR(VLOOKUP($S$371,'TAR FIN'!$A$1:$O$104,15,0)),0,VLOOKUP($S$371,'TAR FIN'!$A$1:$O$104,15,0))</f>
        <v>0</v>
      </c>
      <c r="W371" s="6">
        <f>IF(ISERROR(VLOOKUP($T$371,'TAR FIN'!$A$1:$O$104,15,0)),0,VLOOKUP($T$371,'TAR FIN'!$A$1:$O$104,15,0))</f>
        <v>62.57</v>
      </c>
      <c r="X371" s="6">
        <f>IF(ISERROR(VLOOKUP($U$371,'TAR FIN'!$A$1:$O$104,15,0)),0,VLOOKUP($U$371,'TAR FIN'!$A$1:$O$104,15,0))</f>
        <v>0</v>
      </c>
      <c r="Y371" s="6"/>
      <c r="Z371" s="6">
        <f ca="1">('TUSD BE'!$AM$26+'TUSD BF'!$AM$26+'TUSD CVA'!$AM$26)*1</f>
        <v>77.876201961015255</v>
      </c>
      <c r="AA371" s="6"/>
      <c r="AB371" s="6">
        <f t="shared" si="22"/>
        <v>0</v>
      </c>
      <c r="AC371" s="6">
        <f t="shared" si="23"/>
        <v>0</v>
      </c>
      <c r="AD371" s="6">
        <f t="shared" si="24"/>
        <v>0</v>
      </c>
      <c r="AE371" s="6">
        <f t="shared" ca="1" si="25"/>
        <v>0</v>
      </c>
      <c r="AF371" s="4" t="s">
        <v>997</v>
      </c>
    </row>
    <row r="372" spans="1:32" ht="11.25" customHeight="1" x14ac:dyDescent="0.25">
      <c r="A372" s="4" t="s">
        <v>27</v>
      </c>
      <c r="B372" s="4" t="s">
        <v>41</v>
      </c>
      <c r="C372" s="4" t="s">
        <v>42</v>
      </c>
      <c r="D372" s="4" t="s">
        <v>38</v>
      </c>
      <c r="E372" s="4" t="s">
        <v>25</v>
      </c>
      <c r="F372" s="4" t="s">
        <v>61</v>
      </c>
      <c r="G372" s="4" t="s">
        <v>25</v>
      </c>
      <c r="H372" s="4" t="s">
        <v>35</v>
      </c>
      <c r="I372" s="5">
        <v>44440</v>
      </c>
      <c r="J372" s="6">
        <v>0</v>
      </c>
      <c r="K372" s="6">
        <v>0</v>
      </c>
      <c r="L372" s="6">
        <v>-6.5860000000000003</v>
      </c>
      <c r="M372" s="6">
        <v>-6.5860000000000003</v>
      </c>
      <c r="N372" s="6">
        <v>0</v>
      </c>
      <c r="O372" s="6">
        <v>0</v>
      </c>
      <c r="P372" s="6">
        <v>0</v>
      </c>
      <c r="Q372" s="4" t="s">
        <v>58</v>
      </c>
      <c r="R372" s="4">
        <v>0</v>
      </c>
      <c r="S372" s="4">
        <v>0</v>
      </c>
      <c r="T372" s="4">
        <v>44</v>
      </c>
      <c r="U372" s="4">
        <v>0</v>
      </c>
      <c r="V372" s="6">
        <f>IF(ISERROR(VLOOKUP($S$372,'TAR FIN'!$A$1:$O$104,15,0)),0,VLOOKUP($S$372,'TAR FIN'!$A$1:$O$104,15,0))</f>
        <v>0</v>
      </c>
      <c r="W372" s="6">
        <f>IF(ISERROR(VLOOKUP($T$372,'TAR FIN'!$A$1:$O$104,15,0)),0,VLOOKUP($T$372,'TAR FIN'!$A$1:$O$104,15,0))</f>
        <v>62.57</v>
      </c>
      <c r="X372" s="6">
        <f>IF(ISERROR(VLOOKUP($U$372,'TAR FIN'!$A$1:$O$104,15,0)),0,VLOOKUP($U$372,'TAR FIN'!$A$1:$O$104,15,0))</f>
        <v>0</v>
      </c>
      <c r="Y372" s="6"/>
      <c r="Z372" s="6">
        <f ca="1">('TUSD BE'!$AM$26+'TUSD BF'!$AM$26+'TUSD CVA'!$AM$26)*1</f>
        <v>77.876201961015255</v>
      </c>
      <c r="AA372" s="6"/>
      <c r="AB372" s="6">
        <f t="shared" si="22"/>
        <v>0</v>
      </c>
      <c r="AC372" s="6">
        <f t="shared" si="23"/>
        <v>0</v>
      </c>
      <c r="AD372" s="6">
        <f t="shared" si="24"/>
        <v>0</v>
      </c>
      <c r="AE372" s="6">
        <f t="shared" ca="1" si="25"/>
        <v>0</v>
      </c>
      <c r="AF372" s="4" t="s">
        <v>997</v>
      </c>
    </row>
    <row r="373" spans="1:32" ht="11.25" customHeight="1" x14ac:dyDescent="0.25">
      <c r="A373" s="4" t="s">
        <v>21</v>
      </c>
      <c r="B373" s="4" t="s">
        <v>41</v>
      </c>
      <c r="C373" s="4" t="s">
        <v>42</v>
      </c>
      <c r="D373" s="4" t="s">
        <v>38</v>
      </c>
      <c r="E373" s="4" t="s">
        <v>25</v>
      </c>
      <c r="F373" s="4" t="s">
        <v>61</v>
      </c>
      <c r="G373" s="4" t="s">
        <v>25</v>
      </c>
      <c r="H373" s="4" t="s">
        <v>35</v>
      </c>
      <c r="I373" s="5">
        <v>44470</v>
      </c>
      <c r="J373" s="6">
        <v>0</v>
      </c>
      <c r="K373" s="6">
        <v>0</v>
      </c>
      <c r="L373" s="6">
        <v>9559.9210000000003</v>
      </c>
      <c r="M373" s="6">
        <v>9559.9210000000003</v>
      </c>
      <c r="N373" s="6">
        <v>0</v>
      </c>
      <c r="O373" s="6">
        <v>0</v>
      </c>
      <c r="P373" s="6">
        <v>0</v>
      </c>
      <c r="Q373" s="4" t="s">
        <v>58</v>
      </c>
      <c r="R373" s="4">
        <v>0</v>
      </c>
      <c r="S373" s="4">
        <v>0</v>
      </c>
      <c r="T373" s="4">
        <v>44</v>
      </c>
      <c r="U373" s="4">
        <v>0</v>
      </c>
      <c r="V373" s="6">
        <f>IF(ISERROR(VLOOKUP($S$373,'TAR FIN'!$A$1:$O$104,15,0)),0,VLOOKUP($S$373,'TAR FIN'!$A$1:$O$104,15,0))</f>
        <v>0</v>
      </c>
      <c r="W373" s="6">
        <f>IF(ISERROR(VLOOKUP($T$373,'TAR FIN'!$A$1:$O$104,15,0)),0,VLOOKUP($T$373,'TAR FIN'!$A$1:$O$104,15,0))</f>
        <v>62.57</v>
      </c>
      <c r="X373" s="6">
        <f>IF(ISERROR(VLOOKUP($U$373,'TAR FIN'!$A$1:$O$104,15,0)),0,VLOOKUP($U$373,'TAR FIN'!$A$1:$O$104,15,0))</f>
        <v>0</v>
      </c>
      <c r="Y373" s="6"/>
      <c r="Z373" s="6">
        <f ca="1">('TUSD BE'!$AM$26+'TUSD BF'!$AM$26+'TUSD CVA'!$AM$26)*1</f>
        <v>77.876201961015255</v>
      </c>
      <c r="AA373" s="6"/>
      <c r="AB373" s="6">
        <f t="shared" si="22"/>
        <v>0</v>
      </c>
      <c r="AC373" s="6">
        <f t="shared" si="23"/>
        <v>0</v>
      </c>
      <c r="AD373" s="6">
        <f t="shared" si="24"/>
        <v>0</v>
      </c>
      <c r="AE373" s="6">
        <f t="shared" ca="1" si="25"/>
        <v>0</v>
      </c>
      <c r="AF373" s="4" t="s">
        <v>997</v>
      </c>
    </row>
    <row r="374" spans="1:32" ht="11.25" customHeight="1" x14ac:dyDescent="0.25">
      <c r="A374" s="4" t="s">
        <v>27</v>
      </c>
      <c r="B374" s="4" t="s">
        <v>41</v>
      </c>
      <c r="C374" s="4" t="s">
        <v>42</v>
      </c>
      <c r="D374" s="4" t="s">
        <v>38</v>
      </c>
      <c r="E374" s="4" t="s">
        <v>25</v>
      </c>
      <c r="F374" s="4" t="s">
        <v>61</v>
      </c>
      <c r="G374" s="4" t="s">
        <v>25</v>
      </c>
      <c r="H374" s="4" t="s">
        <v>35</v>
      </c>
      <c r="I374" s="5">
        <v>44470</v>
      </c>
      <c r="J374" s="6">
        <v>0</v>
      </c>
      <c r="K374" s="6">
        <v>0</v>
      </c>
      <c r="L374" s="6">
        <v>-28.431000000000001</v>
      </c>
      <c r="M374" s="6">
        <v>-28.431000000000001</v>
      </c>
      <c r="N374" s="6">
        <v>0</v>
      </c>
      <c r="O374" s="6">
        <v>0</v>
      </c>
      <c r="P374" s="6">
        <v>0</v>
      </c>
      <c r="Q374" s="4" t="s">
        <v>58</v>
      </c>
      <c r="R374" s="4">
        <v>0</v>
      </c>
      <c r="S374" s="4">
        <v>0</v>
      </c>
      <c r="T374" s="4">
        <v>44</v>
      </c>
      <c r="U374" s="4">
        <v>0</v>
      </c>
      <c r="V374" s="6">
        <f>IF(ISERROR(VLOOKUP($S$374,'TAR FIN'!$A$1:$O$104,15,0)),0,VLOOKUP($S$374,'TAR FIN'!$A$1:$O$104,15,0))</f>
        <v>0</v>
      </c>
      <c r="W374" s="6">
        <f>IF(ISERROR(VLOOKUP($T$374,'TAR FIN'!$A$1:$O$104,15,0)),0,VLOOKUP($T$374,'TAR FIN'!$A$1:$O$104,15,0))</f>
        <v>62.57</v>
      </c>
      <c r="X374" s="6">
        <f>IF(ISERROR(VLOOKUP($U$374,'TAR FIN'!$A$1:$O$104,15,0)),0,VLOOKUP($U$374,'TAR FIN'!$A$1:$O$104,15,0))</f>
        <v>0</v>
      </c>
      <c r="Y374" s="6"/>
      <c r="Z374" s="6">
        <f ca="1">('TUSD BE'!$AM$26+'TUSD BF'!$AM$26+'TUSD CVA'!$AM$26)*1</f>
        <v>77.876201961015255</v>
      </c>
      <c r="AA374" s="6"/>
      <c r="AB374" s="6">
        <f t="shared" si="22"/>
        <v>0</v>
      </c>
      <c r="AC374" s="6">
        <f t="shared" si="23"/>
        <v>0</v>
      </c>
      <c r="AD374" s="6">
        <f t="shared" si="24"/>
        <v>0</v>
      </c>
      <c r="AE374" s="6">
        <f t="shared" ca="1" si="25"/>
        <v>0</v>
      </c>
      <c r="AF374" s="4" t="s">
        <v>997</v>
      </c>
    </row>
    <row r="375" spans="1:32" ht="11.25" customHeight="1" x14ac:dyDescent="0.25">
      <c r="A375" s="4" t="s">
        <v>21</v>
      </c>
      <c r="B375" s="4" t="s">
        <v>41</v>
      </c>
      <c r="C375" s="4" t="s">
        <v>42</v>
      </c>
      <c r="D375" s="4" t="s">
        <v>38</v>
      </c>
      <c r="E375" s="4" t="s">
        <v>25</v>
      </c>
      <c r="F375" s="4" t="s">
        <v>61</v>
      </c>
      <c r="G375" s="4" t="s">
        <v>25</v>
      </c>
      <c r="H375" s="4" t="s">
        <v>35</v>
      </c>
      <c r="I375" s="5">
        <v>44501</v>
      </c>
      <c r="J375" s="6">
        <v>0</v>
      </c>
      <c r="K375" s="6">
        <v>0</v>
      </c>
      <c r="L375" s="6">
        <v>10666.103999999999</v>
      </c>
      <c r="M375" s="6">
        <v>10666.103999999999</v>
      </c>
      <c r="N375" s="6">
        <v>0</v>
      </c>
      <c r="O375" s="6">
        <v>0</v>
      </c>
      <c r="P375" s="6">
        <v>0</v>
      </c>
      <c r="Q375" s="4" t="s">
        <v>58</v>
      </c>
      <c r="R375" s="4">
        <v>0</v>
      </c>
      <c r="S375" s="4">
        <v>0</v>
      </c>
      <c r="T375" s="4">
        <v>44</v>
      </c>
      <c r="U375" s="4">
        <v>0</v>
      </c>
      <c r="V375" s="6">
        <f>IF(ISERROR(VLOOKUP($S$375,'TAR FIN'!$A$1:$O$104,15,0)),0,VLOOKUP($S$375,'TAR FIN'!$A$1:$O$104,15,0))</f>
        <v>0</v>
      </c>
      <c r="W375" s="6">
        <f>IF(ISERROR(VLOOKUP($T$375,'TAR FIN'!$A$1:$O$104,15,0)),0,VLOOKUP($T$375,'TAR FIN'!$A$1:$O$104,15,0))</f>
        <v>62.57</v>
      </c>
      <c r="X375" s="6">
        <f>IF(ISERROR(VLOOKUP($U$375,'TAR FIN'!$A$1:$O$104,15,0)),0,VLOOKUP($U$375,'TAR FIN'!$A$1:$O$104,15,0))</f>
        <v>0</v>
      </c>
      <c r="Y375" s="6"/>
      <c r="Z375" s="6">
        <f ca="1">('TUSD BE'!$AM$26+'TUSD BF'!$AM$26+'TUSD CVA'!$AM$26)*1</f>
        <v>77.876201961015255</v>
      </c>
      <c r="AA375" s="6"/>
      <c r="AB375" s="6">
        <f t="shared" si="22"/>
        <v>0</v>
      </c>
      <c r="AC375" s="6">
        <f t="shared" si="23"/>
        <v>0</v>
      </c>
      <c r="AD375" s="6">
        <f t="shared" si="24"/>
        <v>0</v>
      </c>
      <c r="AE375" s="6">
        <f t="shared" ca="1" si="25"/>
        <v>0</v>
      </c>
      <c r="AF375" s="4" t="s">
        <v>997</v>
      </c>
    </row>
    <row r="376" spans="1:32" ht="11.25" customHeight="1" x14ac:dyDescent="0.25">
      <c r="A376" s="4" t="s">
        <v>27</v>
      </c>
      <c r="B376" s="4" t="s">
        <v>41</v>
      </c>
      <c r="C376" s="4" t="s">
        <v>42</v>
      </c>
      <c r="D376" s="4" t="s">
        <v>38</v>
      </c>
      <c r="E376" s="4" t="s">
        <v>25</v>
      </c>
      <c r="F376" s="4" t="s">
        <v>61</v>
      </c>
      <c r="G376" s="4" t="s">
        <v>25</v>
      </c>
      <c r="H376" s="4" t="s">
        <v>35</v>
      </c>
      <c r="I376" s="5">
        <v>44501</v>
      </c>
      <c r="J376" s="6">
        <v>0</v>
      </c>
      <c r="K376" s="6">
        <v>0</v>
      </c>
      <c r="L376" s="6">
        <v>-32.764000000000003</v>
      </c>
      <c r="M376" s="6">
        <v>-32.764000000000003</v>
      </c>
      <c r="N376" s="6">
        <v>0</v>
      </c>
      <c r="O376" s="6">
        <v>0</v>
      </c>
      <c r="P376" s="6">
        <v>0</v>
      </c>
      <c r="Q376" s="4" t="s">
        <v>58</v>
      </c>
      <c r="R376" s="4">
        <v>0</v>
      </c>
      <c r="S376" s="4">
        <v>0</v>
      </c>
      <c r="T376" s="4">
        <v>44</v>
      </c>
      <c r="U376" s="4">
        <v>0</v>
      </c>
      <c r="V376" s="6">
        <f>IF(ISERROR(VLOOKUP($S$376,'TAR FIN'!$A$1:$O$104,15,0)),0,VLOOKUP($S$376,'TAR FIN'!$A$1:$O$104,15,0))</f>
        <v>0</v>
      </c>
      <c r="W376" s="6">
        <f>IF(ISERROR(VLOOKUP($T$376,'TAR FIN'!$A$1:$O$104,15,0)),0,VLOOKUP($T$376,'TAR FIN'!$A$1:$O$104,15,0))</f>
        <v>62.57</v>
      </c>
      <c r="X376" s="6">
        <f>IF(ISERROR(VLOOKUP($U$376,'TAR FIN'!$A$1:$O$104,15,0)),0,VLOOKUP($U$376,'TAR FIN'!$A$1:$O$104,15,0))</f>
        <v>0</v>
      </c>
      <c r="Y376" s="6"/>
      <c r="Z376" s="6">
        <f ca="1">('TUSD BE'!$AM$26+'TUSD BF'!$AM$26+'TUSD CVA'!$AM$26)*1</f>
        <v>77.876201961015255</v>
      </c>
      <c r="AA376" s="6"/>
      <c r="AB376" s="6">
        <f t="shared" si="22"/>
        <v>0</v>
      </c>
      <c r="AC376" s="6">
        <f t="shared" si="23"/>
        <v>0</v>
      </c>
      <c r="AD376" s="6">
        <f t="shared" si="24"/>
        <v>0</v>
      </c>
      <c r="AE376" s="6">
        <f t="shared" ca="1" si="25"/>
        <v>0</v>
      </c>
      <c r="AF376" s="4" t="s">
        <v>997</v>
      </c>
    </row>
    <row r="377" spans="1:32" ht="11.25" customHeight="1" x14ac:dyDescent="0.25">
      <c r="A377" s="4" t="s">
        <v>21</v>
      </c>
      <c r="B377" s="4" t="s">
        <v>41</v>
      </c>
      <c r="C377" s="4" t="s">
        <v>42</v>
      </c>
      <c r="D377" s="4" t="s">
        <v>38</v>
      </c>
      <c r="E377" s="4" t="s">
        <v>25</v>
      </c>
      <c r="F377" s="4" t="s">
        <v>61</v>
      </c>
      <c r="G377" s="4" t="s">
        <v>25</v>
      </c>
      <c r="H377" s="4" t="s">
        <v>35</v>
      </c>
      <c r="I377" s="5">
        <v>44531</v>
      </c>
      <c r="J377" s="6">
        <v>0</v>
      </c>
      <c r="K377" s="6">
        <v>0</v>
      </c>
      <c r="L377" s="6">
        <v>10699.184999999999</v>
      </c>
      <c r="M377" s="6">
        <v>10699.184999999999</v>
      </c>
      <c r="N377" s="6">
        <v>0</v>
      </c>
      <c r="O377" s="6">
        <v>0</v>
      </c>
      <c r="P377" s="6">
        <v>0</v>
      </c>
      <c r="Q377" s="4" t="s">
        <v>58</v>
      </c>
      <c r="R377" s="4">
        <v>0</v>
      </c>
      <c r="S377" s="4">
        <v>0</v>
      </c>
      <c r="T377" s="4">
        <v>44</v>
      </c>
      <c r="U377" s="4">
        <v>0</v>
      </c>
      <c r="V377" s="6">
        <f>IF(ISERROR(VLOOKUP($S$377,'TAR FIN'!$A$1:$O$104,15,0)),0,VLOOKUP($S$377,'TAR FIN'!$A$1:$O$104,15,0))</f>
        <v>0</v>
      </c>
      <c r="W377" s="6">
        <f>IF(ISERROR(VLOOKUP($T$377,'TAR FIN'!$A$1:$O$104,15,0)),0,VLOOKUP($T$377,'TAR FIN'!$A$1:$O$104,15,0))</f>
        <v>62.57</v>
      </c>
      <c r="X377" s="6">
        <f>IF(ISERROR(VLOOKUP($U$377,'TAR FIN'!$A$1:$O$104,15,0)),0,VLOOKUP($U$377,'TAR FIN'!$A$1:$O$104,15,0))</f>
        <v>0</v>
      </c>
      <c r="Y377" s="6"/>
      <c r="Z377" s="6">
        <f ca="1">('TUSD BE'!$AM$26+'TUSD BF'!$AM$26+'TUSD CVA'!$AM$26)*1</f>
        <v>77.876201961015255</v>
      </c>
      <c r="AA377" s="6"/>
      <c r="AB377" s="6">
        <f t="shared" si="22"/>
        <v>0</v>
      </c>
      <c r="AC377" s="6">
        <f t="shared" si="23"/>
        <v>0</v>
      </c>
      <c r="AD377" s="6">
        <f t="shared" si="24"/>
        <v>0</v>
      </c>
      <c r="AE377" s="6">
        <f t="shared" ca="1" si="25"/>
        <v>0</v>
      </c>
      <c r="AF377" s="4" t="s">
        <v>997</v>
      </c>
    </row>
    <row r="378" spans="1:32" ht="11.25" customHeight="1" x14ac:dyDescent="0.25">
      <c r="A378" s="4" t="s">
        <v>27</v>
      </c>
      <c r="B378" s="4" t="s">
        <v>41</v>
      </c>
      <c r="C378" s="4" t="s">
        <v>42</v>
      </c>
      <c r="D378" s="4" t="s">
        <v>38</v>
      </c>
      <c r="E378" s="4" t="s">
        <v>25</v>
      </c>
      <c r="F378" s="4" t="s">
        <v>61</v>
      </c>
      <c r="G378" s="4" t="s">
        <v>25</v>
      </c>
      <c r="H378" s="4" t="s">
        <v>35</v>
      </c>
      <c r="I378" s="5">
        <v>44531</v>
      </c>
      <c r="J378" s="6">
        <v>0</v>
      </c>
      <c r="K378" s="6">
        <v>0</v>
      </c>
      <c r="L378" s="6">
        <v>-124.36199999999999</v>
      </c>
      <c r="M378" s="6">
        <v>-124.36199999999999</v>
      </c>
      <c r="N378" s="6">
        <v>0</v>
      </c>
      <c r="O378" s="6">
        <v>0</v>
      </c>
      <c r="P378" s="6">
        <v>0</v>
      </c>
      <c r="Q378" s="4" t="s">
        <v>58</v>
      </c>
      <c r="R378" s="4">
        <v>0</v>
      </c>
      <c r="S378" s="4">
        <v>0</v>
      </c>
      <c r="T378" s="4">
        <v>44</v>
      </c>
      <c r="U378" s="4">
        <v>0</v>
      </c>
      <c r="V378" s="6">
        <f>IF(ISERROR(VLOOKUP($S$378,'TAR FIN'!$A$1:$O$104,15,0)),0,VLOOKUP($S$378,'TAR FIN'!$A$1:$O$104,15,0))</f>
        <v>0</v>
      </c>
      <c r="W378" s="6">
        <f>IF(ISERROR(VLOOKUP($T$378,'TAR FIN'!$A$1:$O$104,15,0)),0,VLOOKUP($T$378,'TAR FIN'!$A$1:$O$104,15,0))</f>
        <v>62.57</v>
      </c>
      <c r="X378" s="6">
        <f>IF(ISERROR(VLOOKUP($U$378,'TAR FIN'!$A$1:$O$104,15,0)),0,VLOOKUP($U$378,'TAR FIN'!$A$1:$O$104,15,0))</f>
        <v>0</v>
      </c>
      <c r="Y378" s="6"/>
      <c r="Z378" s="6">
        <f ca="1">('TUSD BE'!$AM$26+'TUSD BF'!$AM$26+'TUSD CVA'!$AM$26)*1</f>
        <v>77.876201961015255</v>
      </c>
      <c r="AA378" s="6"/>
      <c r="AB378" s="6">
        <f t="shared" si="22"/>
        <v>0</v>
      </c>
      <c r="AC378" s="6">
        <f t="shared" si="23"/>
        <v>0</v>
      </c>
      <c r="AD378" s="6">
        <f t="shared" si="24"/>
        <v>0</v>
      </c>
      <c r="AE378" s="6">
        <f t="shared" ca="1" si="25"/>
        <v>0</v>
      </c>
      <c r="AF378" s="4" t="s">
        <v>997</v>
      </c>
    </row>
    <row r="379" spans="1:32" ht="11.25" customHeight="1" x14ac:dyDescent="0.25">
      <c r="A379" s="4" t="s">
        <v>21</v>
      </c>
      <c r="B379" s="4" t="s">
        <v>41</v>
      </c>
      <c r="C379" s="4" t="s">
        <v>42</v>
      </c>
      <c r="D379" s="4" t="s">
        <v>38</v>
      </c>
      <c r="E379" s="4" t="s">
        <v>25</v>
      </c>
      <c r="F379" s="4" t="s">
        <v>61</v>
      </c>
      <c r="G379" s="4" t="s">
        <v>25</v>
      </c>
      <c r="H379" s="4" t="s">
        <v>35</v>
      </c>
      <c r="I379" s="5">
        <v>44562</v>
      </c>
      <c r="J379" s="6">
        <v>0</v>
      </c>
      <c r="K379" s="6">
        <v>0</v>
      </c>
      <c r="L379" s="6">
        <v>10449.323</v>
      </c>
      <c r="M379" s="6">
        <v>10449.323</v>
      </c>
      <c r="N379" s="6">
        <v>0</v>
      </c>
      <c r="O379" s="6">
        <v>0</v>
      </c>
      <c r="P379" s="6">
        <v>0</v>
      </c>
      <c r="Q379" s="4" t="s">
        <v>58</v>
      </c>
      <c r="R379" s="4">
        <v>0</v>
      </c>
      <c r="S379" s="4">
        <v>0</v>
      </c>
      <c r="T379" s="4">
        <v>44</v>
      </c>
      <c r="U379" s="4">
        <v>0</v>
      </c>
      <c r="V379" s="6">
        <f>IF(ISERROR(VLOOKUP($S$379,'TAR FIN'!$A$1:$O$104,15,0)),0,VLOOKUP($S$379,'TAR FIN'!$A$1:$O$104,15,0))</f>
        <v>0</v>
      </c>
      <c r="W379" s="6">
        <f>IF(ISERROR(VLOOKUP($T$379,'TAR FIN'!$A$1:$O$104,15,0)),0,VLOOKUP($T$379,'TAR FIN'!$A$1:$O$104,15,0))</f>
        <v>62.57</v>
      </c>
      <c r="X379" s="6">
        <f>IF(ISERROR(VLOOKUP($U$379,'TAR FIN'!$A$1:$O$104,15,0)),0,VLOOKUP($U$379,'TAR FIN'!$A$1:$O$104,15,0))</f>
        <v>0</v>
      </c>
      <c r="Y379" s="6"/>
      <c r="Z379" s="6">
        <f ca="1">('TUSD BE'!$AM$26+'TUSD BF'!$AM$26+'TUSD CVA'!$AM$26)*1</f>
        <v>77.876201961015255</v>
      </c>
      <c r="AA379" s="6"/>
      <c r="AB379" s="6">
        <f t="shared" si="22"/>
        <v>0</v>
      </c>
      <c r="AC379" s="6">
        <f t="shared" si="23"/>
        <v>0</v>
      </c>
      <c r="AD379" s="6">
        <f t="shared" si="24"/>
        <v>0</v>
      </c>
      <c r="AE379" s="6">
        <f t="shared" ca="1" si="25"/>
        <v>0</v>
      </c>
      <c r="AF379" s="4" t="s">
        <v>997</v>
      </c>
    </row>
    <row r="380" spans="1:32" ht="11.25" customHeight="1" x14ac:dyDescent="0.25">
      <c r="A380" s="4" t="s">
        <v>27</v>
      </c>
      <c r="B380" s="4" t="s">
        <v>41</v>
      </c>
      <c r="C380" s="4" t="s">
        <v>42</v>
      </c>
      <c r="D380" s="4" t="s">
        <v>38</v>
      </c>
      <c r="E380" s="4" t="s">
        <v>25</v>
      </c>
      <c r="F380" s="4" t="s">
        <v>61</v>
      </c>
      <c r="G380" s="4" t="s">
        <v>25</v>
      </c>
      <c r="H380" s="4" t="s">
        <v>35</v>
      </c>
      <c r="I380" s="5">
        <v>44562</v>
      </c>
      <c r="J380" s="6">
        <v>0</v>
      </c>
      <c r="K380" s="6">
        <v>0</v>
      </c>
      <c r="L380" s="6">
        <v>-167.78399999999999</v>
      </c>
      <c r="M380" s="6">
        <v>-167.78399999999999</v>
      </c>
      <c r="N380" s="6">
        <v>0</v>
      </c>
      <c r="O380" s="6">
        <v>0</v>
      </c>
      <c r="P380" s="6">
        <v>0</v>
      </c>
      <c r="Q380" s="4" t="s">
        <v>58</v>
      </c>
      <c r="R380" s="4">
        <v>0</v>
      </c>
      <c r="S380" s="4">
        <v>0</v>
      </c>
      <c r="T380" s="4">
        <v>44</v>
      </c>
      <c r="U380" s="4">
        <v>0</v>
      </c>
      <c r="V380" s="6">
        <f>IF(ISERROR(VLOOKUP($S$380,'TAR FIN'!$A$1:$O$104,15,0)),0,VLOOKUP($S$380,'TAR FIN'!$A$1:$O$104,15,0))</f>
        <v>0</v>
      </c>
      <c r="W380" s="6">
        <f>IF(ISERROR(VLOOKUP($T$380,'TAR FIN'!$A$1:$O$104,15,0)),0,VLOOKUP($T$380,'TAR FIN'!$A$1:$O$104,15,0))</f>
        <v>62.57</v>
      </c>
      <c r="X380" s="6">
        <f>IF(ISERROR(VLOOKUP($U$380,'TAR FIN'!$A$1:$O$104,15,0)),0,VLOOKUP($U$380,'TAR FIN'!$A$1:$O$104,15,0))</f>
        <v>0</v>
      </c>
      <c r="Y380" s="6"/>
      <c r="Z380" s="6">
        <f ca="1">('TUSD BE'!$AM$26+'TUSD BF'!$AM$26+'TUSD CVA'!$AM$26)*1</f>
        <v>77.876201961015255</v>
      </c>
      <c r="AA380" s="6"/>
      <c r="AB380" s="6">
        <f t="shared" si="22"/>
        <v>0</v>
      </c>
      <c r="AC380" s="6">
        <f t="shared" si="23"/>
        <v>0</v>
      </c>
      <c r="AD380" s="6">
        <f t="shared" si="24"/>
        <v>0</v>
      </c>
      <c r="AE380" s="6">
        <f t="shared" ca="1" si="25"/>
        <v>0</v>
      </c>
      <c r="AF380" s="4" t="s">
        <v>997</v>
      </c>
    </row>
    <row r="381" spans="1:32" ht="11.25" customHeight="1" x14ac:dyDescent="0.25">
      <c r="A381" s="4" t="s">
        <v>21</v>
      </c>
      <c r="B381" s="4" t="s">
        <v>41</v>
      </c>
      <c r="C381" s="4" t="s">
        <v>42</v>
      </c>
      <c r="D381" s="4" t="s">
        <v>38</v>
      </c>
      <c r="E381" s="4" t="s">
        <v>25</v>
      </c>
      <c r="F381" s="4" t="s">
        <v>61</v>
      </c>
      <c r="G381" s="4" t="s">
        <v>25</v>
      </c>
      <c r="H381" s="4" t="s">
        <v>35</v>
      </c>
      <c r="I381" s="5">
        <v>44593</v>
      </c>
      <c r="J381" s="6">
        <v>0</v>
      </c>
      <c r="K381" s="6">
        <v>0</v>
      </c>
      <c r="L381" s="6">
        <v>10355.275</v>
      </c>
      <c r="M381" s="6">
        <v>10355.275</v>
      </c>
      <c r="N381" s="6">
        <v>0</v>
      </c>
      <c r="O381" s="6">
        <v>0</v>
      </c>
      <c r="P381" s="6">
        <v>0</v>
      </c>
      <c r="Q381" s="4" t="s">
        <v>58</v>
      </c>
      <c r="R381" s="4">
        <v>0</v>
      </c>
      <c r="S381" s="4">
        <v>0</v>
      </c>
      <c r="T381" s="4">
        <v>44</v>
      </c>
      <c r="U381" s="4">
        <v>0</v>
      </c>
      <c r="V381" s="6">
        <f>IF(ISERROR(VLOOKUP($S$381,'TAR FIN'!$A$1:$O$104,15,0)),0,VLOOKUP($S$381,'TAR FIN'!$A$1:$O$104,15,0))</f>
        <v>0</v>
      </c>
      <c r="W381" s="6">
        <f>IF(ISERROR(VLOOKUP($T$381,'TAR FIN'!$A$1:$O$104,15,0)),0,VLOOKUP($T$381,'TAR FIN'!$A$1:$O$104,15,0))</f>
        <v>62.57</v>
      </c>
      <c r="X381" s="6">
        <f>IF(ISERROR(VLOOKUP($U$381,'TAR FIN'!$A$1:$O$104,15,0)),0,VLOOKUP($U$381,'TAR FIN'!$A$1:$O$104,15,0))</f>
        <v>0</v>
      </c>
      <c r="Y381" s="6"/>
      <c r="Z381" s="6">
        <f ca="1">('TUSD BE'!$AM$26+'TUSD BF'!$AM$26+'TUSD CVA'!$AM$26)*1</f>
        <v>77.876201961015255</v>
      </c>
      <c r="AA381" s="6"/>
      <c r="AB381" s="6">
        <f t="shared" si="22"/>
        <v>0</v>
      </c>
      <c r="AC381" s="6">
        <f t="shared" si="23"/>
        <v>0</v>
      </c>
      <c r="AD381" s="6">
        <f t="shared" si="24"/>
        <v>0</v>
      </c>
      <c r="AE381" s="6">
        <f t="shared" ca="1" si="25"/>
        <v>0</v>
      </c>
      <c r="AF381" s="4" t="s">
        <v>997</v>
      </c>
    </row>
    <row r="382" spans="1:32" ht="11.25" customHeight="1" x14ac:dyDescent="0.25">
      <c r="A382" s="4" t="s">
        <v>27</v>
      </c>
      <c r="B382" s="4" t="s">
        <v>41</v>
      </c>
      <c r="C382" s="4" t="s">
        <v>42</v>
      </c>
      <c r="D382" s="4" t="s">
        <v>38</v>
      </c>
      <c r="E382" s="4" t="s">
        <v>25</v>
      </c>
      <c r="F382" s="4" t="s">
        <v>61</v>
      </c>
      <c r="G382" s="4" t="s">
        <v>25</v>
      </c>
      <c r="H382" s="4" t="s">
        <v>35</v>
      </c>
      <c r="I382" s="5">
        <v>44593</v>
      </c>
      <c r="J382" s="6">
        <v>0</v>
      </c>
      <c r="K382" s="6">
        <v>0</v>
      </c>
      <c r="L382" s="6">
        <v>-150.23400000000001</v>
      </c>
      <c r="M382" s="6">
        <v>-150.23400000000001</v>
      </c>
      <c r="N382" s="6">
        <v>0</v>
      </c>
      <c r="O382" s="6">
        <v>0</v>
      </c>
      <c r="P382" s="6">
        <v>0</v>
      </c>
      <c r="Q382" s="4" t="s">
        <v>58</v>
      </c>
      <c r="R382" s="4">
        <v>0</v>
      </c>
      <c r="S382" s="4">
        <v>0</v>
      </c>
      <c r="T382" s="4">
        <v>44</v>
      </c>
      <c r="U382" s="4">
        <v>0</v>
      </c>
      <c r="V382" s="6">
        <f>IF(ISERROR(VLOOKUP($S$382,'TAR FIN'!$A$1:$O$104,15,0)),0,VLOOKUP($S$382,'TAR FIN'!$A$1:$O$104,15,0))</f>
        <v>0</v>
      </c>
      <c r="W382" s="6">
        <f>IF(ISERROR(VLOOKUP($T$382,'TAR FIN'!$A$1:$O$104,15,0)),0,VLOOKUP($T$382,'TAR FIN'!$A$1:$O$104,15,0))</f>
        <v>62.57</v>
      </c>
      <c r="X382" s="6">
        <f>IF(ISERROR(VLOOKUP($U$382,'TAR FIN'!$A$1:$O$104,15,0)),0,VLOOKUP($U$382,'TAR FIN'!$A$1:$O$104,15,0))</f>
        <v>0</v>
      </c>
      <c r="Y382" s="6"/>
      <c r="Z382" s="6">
        <f ca="1">('TUSD BE'!$AM$26+'TUSD BF'!$AM$26+'TUSD CVA'!$AM$26)*1</f>
        <v>77.876201961015255</v>
      </c>
      <c r="AA382" s="6"/>
      <c r="AB382" s="6">
        <f t="shared" si="22"/>
        <v>0</v>
      </c>
      <c r="AC382" s="6">
        <f t="shared" si="23"/>
        <v>0</v>
      </c>
      <c r="AD382" s="6">
        <f t="shared" si="24"/>
        <v>0</v>
      </c>
      <c r="AE382" s="6">
        <f t="shared" ca="1" si="25"/>
        <v>0</v>
      </c>
      <c r="AF382" s="4" t="s">
        <v>997</v>
      </c>
    </row>
    <row r="383" spans="1:32" ht="11.25" customHeight="1" x14ac:dyDescent="0.25">
      <c r="A383" s="4" t="s">
        <v>21</v>
      </c>
      <c r="B383" s="4" t="s">
        <v>41</v>
      </c>
      <c r="C383" s="4" t="s">
        <v>42</v>
      </c>
      <c r="D383" s="4" t="s">
        <v>38</v>
      </c>
      <c r="E383" s="4" t="s">
        <v>25</v>
      </c>
      <c r="F383" s="4" t="s">
        <v>61</v>
      </c>
      <c r="G383" s="4" t="s">
        <v>25</v>
      </c>
      <c r="H383" s="4" t="s">
        <v>35</v>
      </c>
      <c r="I383" s="5">
        <v>44621</v>
      </c>
      <c r="J383" s="6">
        <v>0</v>
      </c>
      <c r="K383" s="6">
        <v>0</v>
      </c>
      <c r="L383" s="6">
        <v>10053.576999999999</v>
      </c>
      <c r="M383" s="6">
        <v>10053.576999999999</v>
      </c>
      <c r="N383" s="6">
        <v>0</v>
      </c>
      <c r="O383" s="6">
        <v>0</v>
      </c>
      <c r="P383" s="6">
        <v>0</v>
      </c>
      <c r="Q383" s="4" t="s">
        <v>58</v>
      </c>
      <c r="R383" s="4">
        <v>0</v>
      </c>
      <c r="S383" s="4">
        <v>0</v>
      </c>
      <c r="T383" s="4">
        <v>44</v>
      </c>
      <c r="U383" s="4">
        <v>0</v>
      </c>
      <c r="V383" s="6">
        <f>IF(ISERROR(VLOOKUP($S$383,'TAR FIN'!$A$1:$O$104,15,0)),0,VLOOKUP($S$383,'TAR FIN'!$A$1:$O$104,15,0))</f>
        <v>0</v>
      </c>
      <c r="W383" s="6">
        <f>IF(ISERROR(VLOOKUP($T$383,'TAR FIN'!$A$1:$O$104,15,0)),0,VLOOKUP($T$383,'TAR FIN'!$A$1:$O$104,15,0))</f>
        <v>62.57</v>
      </c>
      <c r="X383" s="6">
        <f>IF(ISERROR(VLOOKUP($U$383,'TAR FIN'!$A$1:$O$104,15,0)),0,VLOOKUP($U$383,'TAR FIN'!$A$1:$O$104,15,0))</f>
        <v>0</v>
      </c>
      <c r="Y383" s="6"/>
      <c r="Z383" s="6">
        <f ca="1">('TUSD BE'!$AM$26+'TUSD BF'!$AM$26+'TUSD CVA'!$AM$26)*1</f>
        <v>77.876201961015255</v>
      </c>
      <c r="AA383" s="6"/>
      <c r="AB383" s="6">
        <f t="shared" si="22"/>
        <v>0</v>
      </c>
      <c r="AC383" s="6">
        <f t="shared" si="23"/>
        <v>0</v>
      </c>
      <c r="AD383" s="6">
        <f t="shared" si="24"/>
        <v>0</v>
      </c>
      <c r="AE383" s="6">
        <f t="shared" ca="1" si="25"/>
        <v>0</v>
      </c>
      <c r="AF383" s="4" t="s">
        <v>997</v>
      </c>
    </row>
    <row r="384" spans="1:32" ht="11.25" customHeight="1" x14ac:dyDescent="0.25">
      <c r="A384" s="4" t="s">
        <v>27</v>
      </c>
      <c r="B384" s="4" t="s">
        <v>41</v>
      </c>
      <c r="C384" s="4" t="s">
        <v>42</v>
      </c>
      <c r="D384" s="4" t="s">
        <v>38</v>
      </c>
      <c r="E384" s="4" t="s">
        <v>25</v>
      </c>
      <c r="F384" s="4" t="s">
        <v>61</v>
      </c>
      <c r="G384" s="4" t="s">
        <v>25</v>
      </c>
      <c r="H384" s="4" t="s">
        <v>35</v>
      </c>
      <c r="I384" s="5">
        <v>44621</v>
      </c>
      <c r="J384" s="6">
        <v>0</v>
      </c>
      <c r="K384" s="6">
        <v>0</v>
      </c>
      <c r="L384" s="6">
        <v>-152.11000000000001</v>
      </c>
      <c r="M384" s="6">
        <v>-152.11000000000001</v>
      </c>
      <c r="N384" s="6">
        <v>0</v>
      </c>
      <c r="O384" s="6">
        <v>0</v>
      </c>
      <c r="P384" s="6">
        <v>0</v>
      </c>
      <c r="Q384" s="4" t="s">
        <v>58</v>
      </c>
      <c r="R384" s="4">
        <v>0</v>
      </c>
      <c r="S384" s="4">
        <v>0</v>
      </c>
      <c r="T384" s="4">
        <v>44</v>
      </c>
      <c r="U384" s="4">
        <v>0</v>
      </c>
      <c r="V384" s="6">
        <f>IF(ISERROR(VLOOKUP($S$384,'TAR FIN'!$A$1:$O$104,15,0)),0,VLOOKUP($S$384,'TAR FIN'!$A$1:$O$104,15,0))</f>
        <v>0</v>
      </c>
      <c r="W384" s="6">
        <f>IF(ISERROR(VLOOKUP($T$384,'TAR FIN'!$A$1:$O$104,15,0)),0,VLOOKUP($T$384,'TAR FIN'!$A$1:$O$104,15,0))</f>
        <v>62.57</v>
      </c>
      <c r="X384" s="6">
        <f>IF(ISERROR(VLOOKUP($U$384,'TAR FIN'!$A$1:$O$104,15,0)),0,VLOOKUP($U$384,'TAR FIN'!$A$1:$O$104,15,0))</f>
        <v>0</v>
      </c>
      <c r="Y384" s="6"/>
      <c r="Z384" s="6">
        <f ca="1">('TUSD BE'!$AM$26+'TUSD BF'!$AM$26+'TUSD CVA'!$AM$26)*1</f>
        <v>77.876201961015255</v>
      </c>
      <c r="AA384" s="6"/>
      <c r="AB384" s="6">
        <f t="shared" si="22"/>
        <v>0</v>
      </c>
      <c r="AC384" s="6">
        <f t="shared" si="23"/>
        <v>0</v>
      </c>
      <c r="AD384" s="6">
        <f t="shared" si="24"/>
        <v>0</v>
      </c>
      <c r="AE384" s="6">
        <f t="shared" ca="1" si="25"/>
        <v>0</v>
      </c>
      <c r="AF384" s="4" t="s">
        <v>997</v>
      </c>
    </row>
    <row r="385" spans="1:32" ht="11.25" customHeight="1" x14ac:dyDescent="0.25">
      <c r="A385" s="4" t="s">
        <v>21</v>
      </c>
      <c r="B385" s="4" t="s">
        <v>41</v>
      </c>
      <c r="C385" s="4" t="s">
        <v>42</v>
      </c>
      <c r="D385" s="4" t="s">
        <v>38</v>
      </c>
      <c r="E385" s="4" t="s">
        <v>25</v>
      </c>
      <c r="F385" s="4" t="s">
        <v>61</v>
      </c>
      <c r="G385" s="4" t="s">
        <v>25</v>
      </c>
      <c r="H385" s="4" t="s">
        <v>35</v>
      </c>
      <c r="I385" s="5">
        <v>44652</v>
      </c>
      <c r="J385" s="6">
        <v>0</v>
      </c>
      <c r="K385" s="6">
        <v>0</v>
      </c>
      <c r="L385" s="6">
        <v>11100.333000000001</v>
      </c>
      <c r="M385" s="6">
        <v>11100.333000000001</v>
      </c>
      <c r="N385" s="6">
        <v>0</v>
      </c>
      <c r="O385" s="6">
        <v>0</v>
      </c>
      <c r="P385" s="6">
        <v>0</v>
      </c>
      <c r="Q385" s="4" t="s">
        <v>58</v>
      </c>
      <c r="R385" s="4">
        <v>0</v>
      </c>
      <c r="S385" s="4">
        <v>0</v>
      </c>
      <c r="T385" s="4">
        <v>44</v>
      </c>
      <c r="U385" s="4">
        <v>0</v>
      </c>
      <c r="V385" s="6">
        <f>IF(ISERROR(VLOOKUP($S$385,'TAR FIN'!$A$1:$O$104,15,0)),0,VLOOKUP($S$385,'TAR FIN'!$A$1:$O$104,15,0))</f>
        <v>0</v>
      </c>
      <c r="W385" s="6">
        <f>IF(ISERROR(VLOOKUP($T$385,'TAR FIN'!$A$1:$O$104,15,0)),0,VLOOKUP($T$385,'TAR FIN'!$A$1:$O$104,15,0))</f>
        <v>62.57</v>
      </c>
      <c r="X385" s="6">
        <f>IF(ISERROR(VLOOKUP($U$385,'TAR FIN'!$A$1:$O$104,15,0)),0,VLOOKUP($U$385,'TAR FIN'!$A$1:$O$104,15,0))</f>
        <v>0</v>
      </c>
      <c r="Y385" s="6"/>
      <c r="Z385" s="6">
        <f ca="1">('TUSD BE'!$AM$26+'TUSD BF'!$AM$26+'TUSD CVA'!$AM$26)*1</f>
        <v>77.876201961015255</v>
      </c>
      <c r="AA385" s="6"/>
      <c r="AB385" s="6">
        <f t="shared" si="22"/>
        <v>0</v>
      </c>
      <c r="AC385" s="6">
        <f t="shared" si="23"/>
        <v>0</v>
      </c>
      <c r="AD385" s="6">
        <f t="shared" si="24"/>
        <v>0</v>
      </c>
      <c r="AE385" s="6">
        <f t="shared" ca="1" si="25"/>
        <v>0</v>
      </c>
      <c r="AF385" s="4" t="s">
        <v>997</v>
      </c>
    </row>
    <row r="386" spans="1:32" ht="11.25" customHeight="1" x14ac:dyDescent="0.25">
      <c r="A386" s="4" t="s">
        <v>27</v>
      </c>
      <c r="B386" s="4" t="s">
        <v>41</v>
      </c>
      <c r="C386" s="4" t="s">
        <v>42</v>
      </c>
      <c r="D386" s="4" t="s">
        <v>38</v>
      </c>
      <c r="E386" s="4" t="s">
        <v>25</v>
      </c>
      <c r="F386" s="4" t="s">
        <v>61</v>
      </c>
      <c r="G386" s="4" t="s">
        <v>25</v>
      </c>
      <c r="H386" s="4" t="s">
        <v>35</v>
      </c>
      <c r="I386" s="5">
        <v>44652</v>
      </c>
      <c r="J386" s="6">
        <v>0</v>
      </c>
      <c r="K386" s="6">
        <v>0</v>
      </c>
      <c r="L386" s="6">
        <v>-140.28399999999999</v>
      </c>
      <c r="M386" s="6">
        <v>-140.28399999999999</v>
      </c>
      <c r="N386" s="6">
        <v>0</v>
      </c>
      <c r="O386" s="6">
        <v>0</v>
      </c>
      <c r="P386" s="6">
        <v>0</v>
      </c>
      <c r="Q386" s="4" t="s">
        <v>58</v>
      </c>
      <c r="R386" s="4">
        <v>0</v>
      </c>
      <c r="S386" s="4">
        <v>0</v>
      </c>
      <c r="T386" s="4">
        <v>44</v>
      </c>
      <c r="U386" s="4">
        <v>0</v>
      </c>
      <c r="V386" s="6">
        <f>IF(ISERROR(VLOOKUP($S$386,'TAR FIN'!$A$1:$O$104,15,0)),0,VLOOKUP($S$386,'TAR FIN'!$A$1:$O$104,15,0))</f>
        <v>0</v>
      </c>
      <c r="W386" s="6">
        <f>IF(ISERROR(VLOOKUP($T$386,'TAR FIN'!$A$1:$O$104,15,0)),0,VLOOKUP($T$386,'TAR FIN'!$A$1:$O$104,15,0))</f>
        <v>62.57</v>
      </c>
      <c r="X386" s="6">
        <f>IF(ISERROR(VLOOKUP($U$386,'TAR FIN'!$A$1:$O$104,15,0)),0,VLOOKUP($U$386,'TAR FIN'!$A$1:$O$104,15,0))</f>
        <v>0</v>
      </c>
      <c r="Y386" s="6"/>
      <c r="Z386" s="6">
        <f ca="1">('TUSD BE'!$AM$26+'TUSD BF'!$AM$26+'TUSD CVA'!$AM$26)*1</f>
        <v>77.876201961015255</v>
      </c>
      <c r="AA386" s="6"/>
      <c r="AB386" s="6">
        <f t="shared" ref="AB386:AB449" si="26">(J386-K386)*V386</f>
        <v>0</v>
      </c>
      <c r="AC386" s="6">
        <f t="shared" ref="AC386:AC449" si="27">(L386-M386)*W386+(N386-O386)*X386</f>
        <v>0</v>
      </c>
      <c r="AD386" s="6">
        <f t="shared" ref="AD386:AD449" si="28">(J386-K386)*Y386</f>
        <v>0</v>
      </c>
      <c r="AE386" s="6">
        <f t="shared" ref="AE386:AE449" ca="1" si="29">(L386-M386)*Z386+(N386-O386)*AA386</f>
        <v>0</v>
      </c>
      <c r="AF386" s="4" t="s">
        <v>997</v>
      </c>
    </row>
    <row r="387" spans="1:32" ht="11.25" customHeight="1" x14ac:dyDescent="0.25">
      <c r="A387" s="4" t="s">
        <v>21</v>
      </c>
      <c r="B387" s="4" t="s">
        <v>41</v>
      </c>
      <c r="C387" s="4" t="s">
        <v>42</v>
      </c>
      <c r="D387" s="4" t="s">
        <v>38</v>
      </c>
      <c r="E387" s="4" t="s">
        <v>25</v>
      </c>
      <c r="F387" s="4" t="s">
        <v>61</v>
      </c>
      <c r="G387" s="4" t="s">
        <v>25</v>
      </c>
      <c r="H387" s="4" t="s">
        <v>35</v>
      </c>
      <c r="I387" s="5">
        <v>44682</v>
      </c>
      <c r="J387" s="6">
        <v>0</v>
      </c>
      <c r="K387" s="6">
        <v>0</v>
      </c>
      <c r="L387" s="6">
        <v>10173.319</v>
      </c>
      <c r="M387" s="6">
        <v>10173.319</v>
      </c>
      <c r="N387" s="6">
        <v>0</v>
      </c>
      <c r="O387" s="6">
        <v>0</v>
      </c>
      <c r="P387" s="6">
        <v>0</v>
      </c>
      <c r="Q387" s="4" t="s">
        <v>58</v>
      </c>
      <c r="R387" s="4">
        <v>0</v>
      </c>
      <c r="S387" s="4">
        <v>0</v>
      </c>
      <c r="T387" s="4">
        <v>44</v>
      </c>
      <c r="U387" s="4">
        <v>0</v>
      </c>
      <c r="V387" s="6">
        <f>IF(ISERROR(VLOOKUP($S$387,'TAR FIN'!$A$1:$O$104,15,0)),0,VLOOKUP($S$387,'TAR FIN'!$A$1:$O$104,15,0))</f>
        <v>0</v>
      </c>
      <c r="W387" s="6">
        <f>IF(ISERROR(VLOOKUP($T$387,'TAR FIN'!$A$1:$O$104,15,0)),0,VLOOKUP($T$387,'TAR FIN'!$A$1:$O$104,15,0))</f>
        <v>62.57</v>
      </c>
      <c r="X387" s="6">
        <f>IF(ISERROR(VLOOKUP($U$387,'TAR FIN'!$A$1:$O$104,15,0)),0,VLOOKUP($U$387,'TAR FIN'!$A$1:$O$104,15,0))</f>
        <v>0</v>
      </c>
      <c r="Y387" s="6"/>
      <c r="Z387" s="6">
        <f ca="1">('TUSD BE'!$AM$26+'TUSD BF'!$AM$26+'TUSD CVA'!$AM$26)*1</f>
        <v>77.876201961015255</v>
      </c>
      <c r="AA387" s="6"/>
      <c r="AB387" s="6">
        <f t="shared" si="26"/>
        <v>0</v>
      </c>
      <c r="AC387" s="6">
        <f t="shared" si="27"/>
        <v>0</v>
      </c>
      <c r="AD387" s="6">
        <f t="shared" si="28"/>
        <v>0</v>
      </c>
      <c r="AE387" s="6">
        <f t="shared" ca="1" si="29"/>
        <v>0</v>
      </c>
      <c r="AF387" s="4" t="s">
        <v>997</v>
      </c>
    </row>
    <row r="388" spans="1:32" ht="11.25" customHeight="1" x14ac:dyDescent="0.25">
      <c r="A388" s="4" t="s">
        <v>27</v>
      </c>
      <c r="B388" s="4" t="s">
        <v>41</v>
      </c>
      <c r="C388" s="4" t="s">
        <v>42</v>
      </c>
      <c r="D388" s="4" t="s">
        <v>38</v>
      </c>
      <c r="E388" s="4" t="s">
        <v>25</v>
      </c>
      <c r="F388" s="4" t="s">
        <v>61</v>
      </c>
      <c r="G388" s="4" t="s">
        <v>25</v>
      </c>
      <c r="H388" s="4" t="s">
        <v>35</v>
      </c>
      <c r="I388" s="5">
        <v>44682</v>
      </c>
      <c r="J388" s="6">
        <v>0</v>
      </c>
      <c r="K388" s="6">
        <v>0</v>
      </c>
      <c r="L388" s="6">
        <v>-17.553000000000001</v>
      </c>
      <c r="M388" s="6">
        <v>-17.553000000000001</v>
      </c>
      <c r="N388" s="6">
        <v>0</v>
      </c>
      <c r="O388" s="6">
        <v>0</v>
      </c>
      <c r="P388" s="6">
        <v>0</v>
      </c>
      <c r="Q388" s="4" t="s">
        <v>58</v>
      </c>
      <c r="R388" s="4">
        <v>0</v>
      </c>
      <c r="S388" s="4">
        <v>0</v>
      </c>
      <c r="T388" s="4">
        <v>44</v>
      </c>
      <c r="U388" s="4">
        <v>0</v>
      </c>
      <c r="V388" s="6">
        <f>IF(ISERROR(VLOOKUP($S$388,'TAR FIN'!$A$1:$O$104,15,0)),0,VLOOKUP($S$388,'TAR FIN'!$A$1:$O$104,15,0))</f>
        <v>0</v>
      </c>
      <c r="W388" s="6">
        <f>IF(ISERROR(VLOOKUP($T$388,'TAR FIN'!$A$1:$O$104,15,0)),0,VLOOKUP($T$388,'TAR FIN'!$A$1:$O$104,15,0))</f>
        <v>62.57</v>
      </c>
      <c r="X388" s="6">
        <f>IF(ISERROR(VLOOKUP($U$388,'TAR FIN'!$A$1:$O$104,15,0)),0,VLOOKUP($U$388,'TAR FIN'!$A$1:$O$104,15,0))</f>
        <v>0</v>
      </c>
      <c r="Y388" s="6"/>
      <c r="Z388" s="6">
        <f ca="1">('TUSD BE'!$AM$26+'TUSD BF'!$AM$26+'TUSD CVA'!$AM$26)*1</f>
        <v>77.876201961015255</v>
      </c>
      <c r="AA388" s="6"/>
      <c r="AB388" s="6">
        <f t="shared" si="26"/>
        <v>0</v>
      </c>
      <c r="AC388" s="6">
        <f t="shared" si="27"/>
        <v>0</v>
      </c>
      <c r="AD388" s="6">
        <f t="shared" si="28"/>
        <v>0</v>
      </c>
      <c r="AE388" s="6">
        <f t="shared" ca="1" si="29"/>
        <v>0</v>
      </c>
      <c r="AF388" s="4" t="s">
        <v>997</v>
      </c>
    </row>
    <row r="389" spans="1:32" ht="11.25" customHeight="1" x14ac:dyDescent="0.25">
      <c r="A389" s="4" t="s">
        <v>21</v>
      </c>
      <c r="B389" s="4" t="s">
        <v>41</v>
      </c>
      <c r="C389" s="4" t="s">
        <v>42</v>
      </c>
      <c r="D389" s="4" t="s">
        <v>38</v>
      </c>
      <c r="E389" s="4" t="s">
        <v>25</v>
      </c>
      <c r="F389" s="4" t="s">
        <v>61</v>
      </c>
      <c r="G389" s="4" t="s">
        <v>25</v>
      </c>
      <c r="H389" s="4" t="s">
        <v>35</v>
      </c>
      <c r="I389" s="5">
        <v>44713</v>
      </c>
      <c r="J389" s="6">
        <v>0</v>
      </c>
      <c r="K389" s="6">
        <v>0</v>
      </c>
      <c r="L389" s="6">
        <v>11253.813</v>
      </c>
      <c r="M389" s="6">
        <v>11253.813</v>
      </c>
      <c r="N389" s="6">
        <v>0</v>
      </c>
      <c r="O389" s="6">
        <v>0</v>
      </c>
      <c r="P389" s="6">
        <v>0</v>
      </c>
      <c r="Q389" s="4" t="s">
        <v>58</v>
      </c>
      <c r="R389" s="4">
        <v>0</v>
      </c>
      <c r="S389" s="4">
        <v>0</v>
      </c>
      <c r="T389" s="4">
        <v>44</v>
      </c>
      <c r="U389" s="4">
        <v>0</v>
      </c>
      <c r="V389" s="6">
        <f>IF(ISERROR(VLOOKUP($S$389,'TAR FIN'!$A$1:$O$104,15,0)),0,VLOOKUP($S$389,'TAR FIN'!$A$1:$O$104,15,0))</f>
        <v>0</v>
      </c>
      <c r="W389" s="6">
        <f>IF(ISERROR(VLOOKUP($T$389,'TAR FIN'!$A$1:$O$104,15,0)),0,VLOOKUP($T$389,'TAR FIN'!$A$1:$O$104,15,0))</f>
        <v>62.57</v>
      </c>
      <c r="X389" s="6">
        <f>IF(ISERROR(VLOOKUP($U$389,'TAR FIN'!$A$1:$O$104,15,0)),0,VLOOKUP($U$389,'TAR FIN'!$A$1:$O$104,15,0))</f>
        <v>0</v>
      </c>
      <c r="Y389" s="6"/>
      <c r="Z389" s="6">
        <f ca="1">('TUSD BE'!$AM$26+'TUSD BF'!$AM$26+'TUSD CVA'!$AM$26)*1</f>
        <v>77.876201961015255</v>
      </c>
      <c r="AA389" s="6"/>
      <c r="AB389" s="6">
        <f t="shared" si="26"/>
        <v>0</v>
      </c>
      <c r="AC389" s="6">
        <f t="shared" si="27"/>
        <v>0</v>
      </c>
      <c r="AD389" s="6">
        <f t="shared" si="28"/>
        <v>0</v>
      </c>
      <c r="AE389" s="6">
        <f t="shared" ca="1" si="29"/>
        <v>0</v>
      </c>
      <c r="AF389" s="4" t="s">
        <v>997</v>
      </c>
    </row>
    <row r="390" spans="1:32" ht="11.25" customHeight="1" x14ac:dyDescent="0.25">
      <c r="A390" s="4" t="s">
        <v>27</v>
      </c>
      <c r="B390" s="4" t="s">
        <v>41</v>
      </c>
      <c r="C390" s="4" t="s">
        <v>42</v>
      </c>
      <c r="D390" s="4" t="s">
        <v>38</v>
      </c>
      <c r="E390" s="4" t="s">
        <v>25</v>
      </c>
      <c r="F390" s="4" t="s">
        <v>61</v>
      </c>
      <c r="G390" s="4" t="s">
        <v>25</v>
      </c>
      <c r="H390" s="4" t="s">
        <v>35</v>
      </c>
      <c r="I390" s="5">
        <v>44713</v>
      </c>
      <c r="J390" s="6">
        <v>0</v>
      </c>
      <c r="K390" s="6">
        <v>0</v>
      </c>
      <c r="L390" s="6">
        <v>-91.113</v>
      </c>
      <c r="M390" s="6">
        <v>-91.113</v>
      </c>
      <c r="N390" s="6">
        <v>0</v>
      </c>
      <c r="O390" s="6">
        <v>0</v>
      </c>
      <c r="P390" s="6">
        <v>0</v>
      </c>
      <c r="Q390" s="4" t="s">
        <v>58</v>
      </c>
      <c r="R390" s="4">
        <v>0</v>
      </c>
      <c r="S390" s="4">
        <v>0</v>
      </c>
      <c r="T390" s="4">
        <v>44</v>
      </c>
      <c r="U390" s="4">
        <v>0</v>
      </c>
      <c r="V390" s="6">
        <f>IF(ISERROR(VLOOKUP($S$390,'TAR FIN'!$A$1:$O$104,15,0)),0,VLOOKUP($S$390,'TAR FIN'!$A$1:$O$104,15,0))</f>
        <v>0</v>
      </c>
      <c r="W390" s="6">
        <f>IF(ISERROR(VLOOKUP($T$390,'TAR FIN'!$A$1:$O$104,15,0)),0,VLOOKUP($T$390,'TAR FIN'!$A$1:$O$104,15,0))</f>
        <v>62.57</v>
      </c>
      <c r="X390" s="6">
        <f>IF(ISERROR(VLOOKUP($U$390,'TAR FIN'!$A$1:$O$104,15,0)),0,VLOOKUP($U$390,'TAR FIN'!$A$1:$O$104,15,0))</f>
        <v>0</v>
      </c>
      <c r="Y390" s="6"/>
      <c r="Z390" s="6">
        <f ca="1">('TUSD BE'!$AM$26+'TUSD BF'!$AM$26+'TUSD CVA'!$AM$26)*1</f>
        <v>77.876201961015255</v>
      </c>
      <c r="AA390" s="6"/>
      <c r="AB390" s="6">
        <f t="shared" si="26"/>
        <v>0</v>
      </c>
      <c r="AC390" s="6">
        <f t="shared" si="27"/>
        <v>0</v>
      </c>
      <c r="AD390" s="6">
        <f t="shared" si="28"/>
        <v>0</v>
      </c>
      <c r="AE390" s="6">
        <f t="shared" ca="1" si="29"/>
        <v>0</v>
      </c>
      <c r="AF390" s="4" t="s">
        <v>997</v>
      </c>
    </row>
    <row r="391" spans="1:32" ht="11.25" customHeight="1" x14ac:dyDescent="0.25">
      <c r="A391" s="4" t="s">
        <v>57</v>
      </c>
      <c r="B391" s="4" t="s">
        <v>41</v>
      </c>
      <c r="C391" s="4" t="s">
        <v>42</v>
      </c>
      <c r="D391" s="4" t="s">
        <v>38</v>
      </c>
      <c r="E391" s="4" t="s">
        <v>25</v>
      </c>
      <c r="F391" s="4" t="s">
        <v>61</v>
      </c>
      <c r="G391" s="4" t="s">
        <v>25</v>
      </c>
      <c r="H391" s="4" t="s">
        <v>35</v>
      </c>
      <c r="I391" s="5">
        <v>44743</v>
      </c>
      <c r="J391" s="6">
        <v>0</v>
      </c>
      <c r="K391" s="6">
        <v>0</v>
      </c>
      <c r="L391" s="6">
        <v>11253.813</v>
      </c>
      <c r="M391" s="6">
        <v>11253.813</v>
      </c>
      <c r="N391" s="6">
        <v>0</v>
      </c>
      <c r="O391" s="6">
        <v>0</v>
      </c>
      <c r="P391" s="6">
        <v>0</v>
      </c>
      <c r="Q391" s="4" t="s">
        <v>58</v>
      </c>
      <c r="R391" s="4">
        <v>0</v>
      </c>
      <c r="S391" s="4">
        <v>0</v>
      </c>
      <c r="T391" s="4">
        <v>44</v>
      </c>
      <c r="U391" s="4">
        <v>0</v>
      </c>
      <c r="V391" s="6">
        <f>IF(ISERROR(VLOOKUP($S$391,'TAR FIN'!$A$1:$O$104,15,0)),0,VLOOKUP($S$391,'TAR FIN'!$A$1:$O$104,15,0))</f>
        <v>0</v>
      </c>
      <c r="W391" s="6">
        <f>IF(ISERROR(VLOOKUP($T$391,'TAR FIN'!$A$1:$O$104,15,0)),0,VLOOKUP($T$391,'TAR FIN'!$A$1:$O$104,15,0))</f>
        <v>62.57</v>
      </c>
      <c r="X391" s="6">
        <f>IF(ISERROR(VLOOKUP($U$391,'TAR FIN'!$A$1:$O$104,15,0)),0,VLOOKUP($U$391,'TAR FIN'!$A$1:$O$104,15,0))</f>
        <v>0</v>
      </c>
      <c r="Y391" s="6"/>
      <c r="Z391" s="6">
        <f ca="1">('TUSD BE'!$AM$26+'TUSD BF'!$AM$26+'TUSD CVA'!$AM$26)*1</f>
        <v>77.876201961015255</v>
      </c>
      <c r="AA391" s="6"/>
      <c r="AB391" s="6">
        <f t="shared" si="26"/>
        <v>0</v>
      </c>
      <c r="AC391" s="6">
        <f t="shared" si="27"/>
        <v>0</v>
      </c>
      <c r="AD391" s="6">
        <f t="shared" si="28"/>
        <v>0</v>
      </c>
      <c r="AE391" s="6">
        <f t="shared" ca="1" si="29"/>
        <v>0</v>
      </c>
      <c r="AF391" s="4" t="s">
        <v>997</v>
      </c>
    </row>
    <row r="392" spans="1:32" ht="11.25" customHeight="1" x14ac:dyDescent="0.25">
      <c r="A392" s="4" t="s">
        <v>57</v>
      </c>
      <c r="B392" s="4" t="s">
        <v>41</v>
      </c>
      <c r="C392" s="4" t="s">
        <v>42</v>
      </c>
      <c r="D392" s="4" t="s">
        <v>38</v>
      </c>
      <c r="E392" s="4" t="s">
        <v>25</v>
      </c>
      <c r="F392" s="4" t="s">
        <v>61</v>
      </c>
      <c r="G392" s="4" t="s">
        <v>25</v>
      </c>
      <c r="H392" s="4" t="s">
        <v>35</v>
      </c>
      <c r="I392" s="5">
        <v>44743</v>
      </c>
      <c r="J392" s="6">
        <v>0</v>
      </c>
      <c r="K392" s="6">
        <v>0</v>
      </c>
      <c r="L392" s="6">
        <v>-91.113</v>
      </c>
      <c r="M392" s="6">
        <v>-91.113</v>
      </c>
      <c r="N392" s="6">
        <v>0</v>
      </c>
      <c r="O392" s="6">
        <v>0</v>
      </c>
      <c r="P392" s="6">
        <v>0</v>
      </c>
      <c r="Q392" s="4" t="s">
        <v>58</v>
      </c>
      <c r="R392" s="4">
        <v>0</v>
      </c>
      <c r="S392" s="4">
        <v>0</v>
      </c>
      <c r="T392" s="4">
        <v>44</v>
      </c>
      <c r="U392" s="4">
        <v>0</v>
      </c>
      <c r="V392" s="6">
        <f>IF(ISERROR(VLOOKUP($S$392,'TAR FIN'!$A$1:$O$104,15,0)),0,VLOOKUP($S$392,'TAR FIN'!$A$1:$O$104,15,0))</f>
        <v>0</v>
      </c>
      <c r="W392" s="6">
        <f>IF(ISERROR(VLOOKUP($T$392,'TAR FIN'!$A$1:$O$104,15,0)),0,VLOOKUP($T$392,'TAR FIN'!$A$1:$O$104,15,0))</f>
        <v>62.57</v>
      </c>
      <c r="X392" s="6">
        <f>IF(ISERROR(VLOOKUP($U$392,'TAR FIN'!$A$1:$O$104,15,0)),0,VLOOKUP($U$392,'TAR FIN'!$A$1:$O$104,15,0))</f>
        <v>0</v>
      </c>
      <c r="Y392" s="6"/>
      <c r="Z392" s="6">
        <f ca="1">('TUSD BE'!$AM$26+'TUSD BF'!$AM$26+'TUSD CVA'!$AM$26)*1</f>
        <v>77.876201961015255</v>
      </c>
      <c r="AA392" s="6"/>
      <c r="AB392" s="6">
        <f t="shared" si="26"/>
        <v>0</v>
      </c>
      <c r="AC392" s="6">
        <f t="shared" si="27"/>
        <v>0</v>
      </c>
      <c r="AD392" s="6">
        <f t="shared" si="28"/>
        <v>0</v>
      </c>
      <c r="AE392" s="6">
        <f t="shared" ca="1" si="29"/>
        <v>0</v>
      </c>
      <c r="AF392" s="4" t="s">
        <v>997</v>
      </c>
    </row>
    <row r="393" spans="1:32" ht="11.25" customHeight="1" x14ac:dyDescent="0.25">
      <c r="A393" s="4" t="s">
        <v>21</v>
      </c>
      <c r="B393" s="4" t="s">
        <v>41</v>
      </c>
      <c r="C393" s="4" t="s">
        <v>42</v>
      </c>
      <c r="D393" s="4" t="s">
        <v>38</v>
      </c>
      <c r="E393" s="4" t="s">
        <v>25</v>
      </c>
      <c r="F393" s="4" t="s">
        <v>61</v>
      </c>
      <c r="G393" s="4" t="s">
        <v>25</v>
      </c>
      <c r="H393" s="4" t="s">
        <v>25</v>
      </c>
      <c r="I393" s="5">
        <v>44409</v>
      </c>
      <c r="J393" s="6">
        <v>33170</v>
      </c>
      <c r="K393" s="6">
        <v>14594.8</v>
      </c>
      <c r="L393" s="6">
        <v>0</v>
      </c>
      <c r="M393" s="6">
        <v>0</v>
      </c>
      <c r="N393" s="6">
        <v>0</v>
      </c>
      <c r="O393" s="6">
        <v>0</v>
      </c>
      <c r="P393" s="6">
        <v>63</v>
      </c>
      <c r="Q393" s="4" t="s">
        <v>58</v>
      </c>
      <c r="R393" s="4">
        <v>0</v>
      </c>
      <c r="S393" s="4">
        <v>40</v>
      </c>
      <c r="T393" s="4">
        <v>0</v>
      </c>
      <c r="U393" s="4">
        <v>0</v>
      </c>
      <c r="V393" s="6">
        <f>IF(ISERROR(VLOOKUP($S$393,'TAR FIN'!$A$1:$O$104,15,0)),0,VLOOKUP($S$393,'TAR FIN'!$A$1:$O$104,15,0))</f>
        <v>26.22</v>
      </c>
      <c r="W393" s="6">
        <f>IF(ISERROR(VLOOKUP($T$393,'TAR FIN'!$A$1:$O$104,15,0)),0,VLOOKUP($T$393,'TAR FIN'!$A$1:$O$104,15,0))</f>
        <v>0</v>
      </c>
      <c r="X393" s="6">
        <f>IF(ISERROR(VLOOKUP($U$393,'TAR FIN'!$A$1:$O$104,15,0)),0,VLOOKUP($U$393,'TAR FIN'!$A$1:$O$104,15,0))</f>
        <v>0</v>
      </c>
      <c r="Y393" s="6">
        <f ca="1">('TUSD BE'!$AM$24+'TUSD BF'!$AM$24+'TUSD CVA'!$AM$24)*1</f>
        <v>26.280164278980507</v>
      </c>
      <c r="Z393" s="6"/>
      <c r="AA393" s="6"/>
      <c r="AB393" s="6">
        <f t="shared" si="26"/>
        <v>487041.74400000001</v>
      </c>
      <c r="AC393" s="6">
        <f t="shared" si="27"/>
        <v>0</v>
      </c>
      <c r="AD393" s="6">
        <f t="shared" ca="1" si="28"/>
        <v>488159.30751491874</v>
      </c>
      <c r="AE393" s="6">
        <f t="shared" si="29"/>
        <v>0</v>
      </c>
      <c r="AF393" s="4" t="s">
        <v>997</v>
      </c>
    </row>
    <row r="394" spans="1:32" ht="11.25" customHeight="1" x14ac:dyDescent="0.25">
      <c r="A394" s="4" t="s">
        <v>21</v>
      </c>
      <c r="B394" s="4" t="s">
        <v>41</v>
      </c>
      <c r="C394" s="4" t="s">
        <v>42</v>
      </c>
      <c r="D394" s="4" t="s">
        <v>38</v>
      </c>
      <c r="E394" s="4" t="s">
        <v>25</v>
      </c>
      <c r="F394" s="4" t="s">
        <v>61</v>
      </c>
      <c r="G394" s="4" t="s">
        <v>25</v>
      </c>
      <c r="H394" s="4" t="s">
        <v>25</v>
      </c>
      <c r="I394" s="5">
        <v>44440</v>
      </c>
      <c r="J394" s="6">
        <v>34049</v>
      </c>
      <c r="K394" s="6">
        <v>13960.09</v>
      </c>
      <c r="L394" s="6">
        <v>0</v>
      </c>
      <c r="M394" s="6">
        <v>0</v>
      </c>
      <c r="N394" s="6">
        <v>0</v>
      </c>
      <c r="O394" s="6">
        <v>0</v>
      </c>
      <c r="P394" s="6">
        <v>64</v>
      </c>
      <c r="Q394" s="4" t="s">
        <v>58</v>
      </c>
      <c r="R394" s="4">
        <v>0</v>
      </c>
      <c r="S394" s="4">
        <v>40</v>
      </c>
      <c r="T394" s="4">
        <v>0</v>
      </c>
      <c r="U394" s="4">
        <v>0</v>
      </c>
      <c r="V394" s="6">
        <f>IF(ISERROR(VLOOKUP($S$394,'TAR FIN'!$A$1:$O$104,15,0)),0,VLOOKUP($S$394,'TAR FIN'!$A$1:$O$104,15,0))</f>
        <v>26.22</v>
      </c>
      <c r="W394" s="6">
        <f>IF(ISERROR(VLOOKUP($T$394,'TAR FIN'!$A$1:$O$104,15,0)),0,VLOOKUP($T$394,'TAR FIN'!$A$1:$O$104,15,0))</f>
        <v>0</v>
      </c>
      <c r="X394" s="6">
        <f>IF(ISERROR(VLOOKUP($U$394,'TAR FIN'!$A$1:$O$104,15,0)),0,VLOOKUP($U$394,'TAR FIN'!$A$1:$O$104,15,0))</f>
        <v>0</v>
      </c>
      <c r="Y394" s="6">
        <f ca="1">('TUSD BE'!$AM$24+'TUSD BF'!$AM$24+'TUSD CVA'!$AM$24)*1</f>
        <v>26.280164278980507</v>
      </c>
      <c r="Z394" s="6"/>
      <c r="AA394" s="6"/>
      <c r="AB394" s="6">
        <f t="shared" si="26"/>
        <v>526731.22019999998</v>
      </c>
      <c r="AC394" s="6">
        <f t="shared" si="27"/>
        <v>0</v>
      </c>
      <c r="AD394" s="6">
        <f t="shared" ca="1" si="28"/>
        <v>527939.85498565435</v>
      </c>
      <c r="AE394" s="6">
        <f t="shared" si="29"/>
        <v>0</v>
      </c>
      <c r="AF394" s="4" t="s">
        <v>997</v>
      </c>
    </row>
    <row r="395" spans="1:32" ht="11.25" customHeight="1" x14ac:dyDescent="0.25">
      <c r="A395" s="4" t="s">
        <v>21</v>
      </c>
      <c r="B395" s="4" t="s">
        <v>41</v>
      </c>
      <c r="C395" s="4" t="s">
        <v>42</v>
      </c>
      <c r="D395" s="4" t="s">
        <v>38</v>
      </c>
      <c r="E395" s="4" t="s">
        <v>25</v>
      </c>
      <c r="F395" s="4" t="s">
        <v>61</v>
      </c>
      <c r="G395" s="4" t="s">
        <v>25</v>
      </c>
      <c r="H395" s="4" t="s">
        <v>25</v>
      </c>
      <c r="I395" s="5">
        <v>44470</v>
      </c>
      <c r="J395" s="6">
        <v>35137</v>
      </c>
      <c r="K395" s="6">
        <v>17568.5</v>
      </c>
      <c r="L395" s="6">
        <v>0</v>
      </c>
      <c r="M395" s="6">
        <v>0</v>
      </c>
      <c r="N395" s="6">
        <v>0</v>
      </c>
      <c r="O395" s="6">
        <v>0</v>
      </c>
      <c r="P395" s="6">
        <v>67</v>
      </c>
      <c r="Q395" s="4" t="s">
        <v>58</v>
      </c>
      <c r="R395" s="4">
        <v>0</v>
      </c>
      <c r="S395" s="4">
        <v>40</v>
      </c>
      <c r="T395" s="4">
        <v>0</v>
      </c>
      <c r="U395" s="4">
        <v>0</v>
      </c>
      <c r="V395" s="6">
        <f>IF(ISERROR(VLOOKUP($S$395,'TAR FIN'!$A$1:$O$104,15,0)),0,VLOOKUP($S$395,'TAR FIN'!$A$1:$O$104,15,0))</f>
        <v>26.22</v>
      </c>
      <c r="W395" s="6">
        <f>IF(ISERROR(VLOOKUP($T$395,'TAR FIN'!$A$1:$O$104,15,0)),0,VLOOKUP($T$395,'TAR FIN'!$A$1:$O$104,15,0))</f>
        <v>0</v>
      </c>
      <c r="X395" s="6">
        <f>IF(ISERROR(VLOOKUP($U$395,'TAR FIN'!$A$1:$O$104,15,0)),0,VLOOKUP($U$395,'TAR FIN'!$A$1:$O$104,15,0))</f>
        <v>0</v>
      </c>
      <c r="Y395" s="6">
        <f ca="1">('TUSD BE'!$AM$24+'TUSD BF'!$AM$24+'TUSD CVA'!$AM$24)*1</f>
        <v>26.280164278980507</v>
      </c>
      <c r="Z395" s="6"/>
      <c r="AA395" s="6"/>
      <c r="AB395" s="6">
        <f t="shared" si="26"/>
        <v>460646.07</v>
      </c>
      <c r="AC395" s="6">
        <f t="shared" si="27"/>
        <v>0</v>
      </c>
      <c r="AD395" s="6">
        <f t="shared" ca="1" si="28"/>
        <v>461703.06613526907</v>
      </c>
      <c r="AE395" s="6">
        <f t="shared" si="29"/>
        <v>0</v>
      </c>
      <c r="AF395" s="4" t="s">
        <v>997</v>
      </c>
    </row>
    <row r="396" spans="1:32" ht="11.25" customHeight="1" x14ac:dyDescent="0.25">
      <c r="A396" s="4" t="s">
        <v>21</v>
      </c>
      <c r="B396" s="4" t="s">
        <v>41</v>
      </c>
      <c r="C396" s="4" t="s">
        <v>42</v>
      </c>
      <c r="D396" s="4" t="s">
        <v>38</v>
      </c>
      <c r="E396" s="4" t="s">
        <v>25</v>
      </c>
      <c r="F396" s="4" t="s">
        <v>61</v>
      </c>
      <c r="G396" s="4" t="s">
        <v>25</v>
      </c>
      <c r="H396" s="4" t="s">
        <v>25</v>
      </c>
      <c r="I396" s="5">
        <v>44501</v>
      </c>
      <c r="J396" s="6">
        <v>36269</v>
      </c>
      <c r="K396" s="6">
        <v>16683.740000000002</v>
      </c>
      <c r="L396" s="6">
        <v>0</v>
      </c>
      <c r="M396" s="6">
        <v>0</v>
      </c>
      <c r="N396" s="6">
        <v>0</v>
      </c>
      <c r="O396" s="6">
        <v>0</v>
      </c>
      <c r="P396" s="6">
        <v>70</v>
      </c>
      <c r="Q396" s="4" t="s">
        <v>58</v>
      </c>
      <c r="R396" s="4">
        <v>0</v>
      </c>
      <c r="S396" s="4">
        <v>40</v>
      </c>
      <c r="T396" s="4">
        <v>0</v>
      </c>
      <c r="U396" s="4">
        <v>0</v>
      </c>
      <c r="V396" s="6">
        <f>IF(ISERROR(VLOOKUP($S$396,'TAR FIN'!$A$1:$O$104,15,0)),0,VLOOKUP($S$396,'TAR FIN'!$A$1:$O$104,15,0))</f>
        <v>26.22</v>
      </c>
      <c r="W396" s="6">
        <f>IF(ISERROR(VLOOKUP($T$396,'TAR FIN'!$A$1:$O$104,15,0)),0,VLOOKUP($T$396,'TAR FIN'!$A$1:$O$104,15,0))</f>
        <v>0</v>
      </c>
      <c r="X396" s="6">
        <f>IF(ISERROR(VLOOKUP($U$396,'TAR FIN'!$A$1:$O$104,15,0)),0,VLOOKUP($U$396,'TAR FIN'!$A$1:$O$104,15,0))</f>
        <v>0</v>
      </c>
      <c r="Y396" s="6">
        <f ca="1">('TUSD BE'!$AM$24+'TUSD BF'!$AM$24+'TUSD CVA'!$AM$24)*1</f>
        <v>26.280164278980507</v>
      </c>
      <c r="Z396" s="6"/>
      <c r="AA396" s="6"/>
      <c r="AB396" s="6">
        <f t="shared" si="26"/>
        <v>513525.51719999994</v>
      </c>
      <c r="AC396" s="6">
        <f t="shared" si="27"/>
        <v>0</v>
      </c>
      <c r="AD396" s="6">
        <f t="shared" ca="1" si="28"/>
        <v>514703.85024654574</v>
      </c>
      <c r="AE396" s="6">
        <f t="shared" si="29"/>
        <v>0</v>
      </c>
      <c r="AF396" s="4" t="s">
        <v>997</v>
      </c>
    </row>
    <row r="397" spans="1:32" ht="11.25" customHeight="1" x14ac:dyDescent="0.25">
      <c r="A397" s="4" t="s">
        <v>21</v>
      </c>
      <c r="B397" s="4" t="s">
        <v>41</v>
      </c>
      <c r="C397" s="4" t="s">
        <v>42</v>
      </c>
      <c r="D397" s="4" t="s">
        <v>38</v>
      </c>
      <c r="E397" s="4" t="s">
        <v>25</v>
      </c>
      <c r="F397" s="4" t="s">
        <v>61</v>
      </c>
      <c r="G397" s="4" t="s">
        <v>25</v>
      </c>
      <c r="H397" s="4" t="s">
        <v>25</v>
      </c>
      <c r="I397" s="5">
        <v>44531</v>
      </c>
      <c r="J397" s="6">
        <v>37278</v>
      </c>
      <c r="K397" s="6">
        <v>17520.66</v>
      </c>
      <c r="L397" s="6">
        <v>0</v>
      </c>
      <c r="M397" s="6">
        <v>0</v>
      </c>
      <c r="N397" s="6">
        <v>0</v>
      </c>
      <c r="O397" s="6">
        <v>0</v>
      </c>
      <c r="P397" s="6">
        <v>71</v>
      </c>
      <c r="Q397" s="4" t="s">
        <v>58</v>
      </c>
      <c r="R397" s="4">
        <v>0</v>
      </c>
      <c r="S397" s="4">
        <v>40</v>
      </c>
      <c r="T397" s="4">
        <v>0</v>
      </c>
      <c r="U397" s="4">
        <v>0</v>
      </c>
      <c r="V397" s="6">
        <f>IF(ISERROR(VLOOKUP($S$397,'TAR FIN'!$A$1:$O$104,15,0)),0,VLOOKUP($S$397,'TAR FIN'!$A$1:$O$104,15,0))</f>
        <v>26.22</v>
      </c>
      <c r="W397" s="6">
        <f>IF(ISERROR(VLOOKUP($T$397,'TAR FIN'!$A$1:$O$104,15,0)),0,VLOOKUP($T$397,'TAR FIN'!$A$1:$O$104,15,0))</f>
        <v>0</v>
      </c>
      <c r="X397" s="6">
        <f>IF(ISERROR(VLOOKUP($U$397,'TAR FIN'!$A$1:$O$104,15,0)),0,VLOOKUP($U$397,'TAR FIN'!$A$1:$O$104,15,0))</f>
        <v>0</v>
      </c>
      <c r="Y397" s="6">
        <f ca="1">('TUSD BE'!$AM$24+'TUSD BF'!$AM$24+'TUSD CVA'!$AM$24)*1</f>
        <v>26.280164278980507</v>
      </c>
      <c r="Z397" s="6"/>
      <c r="AA397" s="6"/>
      <c r="AB397" s="6">
        <f t="shared" si="26"/>
        <v>518037.45480000001</v>
      </c>
      <c r="AC397" s="6">
        <f t="shared" si="27"/>
        <v>0</v>
      </c>
      <c r="AD397" s="6">
        <f t="shared" ca="1" si="28"/>
        <v>519226.14091567276</v>
      </c>
      <c r="AE397" s="6">
        <f t="shared" si="29"/>
        <v>0</v>
      </c>
      <c r="AF397" s="4" t="s">
        <v>997</v>
      </c>
    </row>
    <row r="398" spans="1:32" ht="11.25" customHeight="1" x14ac:dyDescent="0.25">
      <c r="A398" s="4" t="s">
        <v>21</v>
      </c>
      <c r="B398" s="4" t="s">
        <v>41</v>
      </c>
      <c r="C398" s="4" t="s">
        <v>42</v>
      </c>
      <c r="D398" s="4" t="s">
        <v>38</v>
      </c>
      <c r="E398" s="4" t="s">
        <v>25</v>
      </c>
      <c r="F398" s="4" t="s">
        <v>61</v>
      </c>
      <c r="G398" s="4" t="s">
        <v>25</v>
      </c>
      <c r="H398" s="4" t="s">
        <v>25</v>
      </c>
      <c r="I398" s="5">
        <v>44562</v>
      </c>
      <c r="J398" s="6">
        <v>37901</v>
      </c>
      <c r="K398" s="6">
        <v>17813.47</v>
      </c>
      <c r="L398" s="6">
        <v>0</v>
      </c>
      <c r="M398" s="6">
        <v>0</v>
      </c>
      <c r="N398" s="6">
        <v>0</v>
      </c>
      <c r="O398" s="6">
        <v>0</v>
      </c>
      <c r="P398" s="6">
        <v>72</v>
      </c>
      <c r="Q398" s="4" t="s">
        <v>58</v>
      </c>
      <c r="R398" s="4">
        <v>0</v>
      </c>
      <c r="S398" s="4">
        <v>40</v>
      </c>
      <c r="T398" s="4">
        <v>0</v>
      </c>
      <c r="U398" s="4">
        <v>0</v>
      </c>
      <c r="V398" s="6">
        <f>IF(ISERROR(VLOOKUP($S$398,'TAR FIN'!$A$1:$O$104,15,0)),0,VLOOKUP($S$398,'TAR FIN'!$A$1:$O$104,15,0))</f>
        <v>26.22</v>
      </c>
      <c r="W398" s="6">
        <f>IF(ISERROR(VLOOKUP($T$398,'TAR FIN'!$A$1:$O$104,15,0)),0,VLOOKUP($T$398,'TAR FIN'!$A$1:$O$104,15,0))</f>
        <v>0</v>
      </c>
      <c r="X398" s="6">
        <f>IF(ISERROR(VLOOKUP($U$398,'TAR FIN'!$A$1:$O$104,15,0)),0,VLOOKUP($U$398,'TAR FIN'!$A$1:$O$104,15,0))</f>
        <v>0</v>
      </c>
      <c r="Y398" s="6">
        <f ca="1">('TUSD BE'!$AM$24+'TUSD BF'!$AM$24+'TUSD CVA'!$AM$24)*1</f>
        <v>26.280164278980507</v>
      </c>
      <c r="Z398" s="6"/>
      <c r="AA398" s="6"/>
      <c r="AB398" s="6">
        <f t="shared" si="26"/>
        <v>526695.03659999999</v>
      </c>
      <c r="AC398" s="6">
        <f t="shared" si="27"/>
        <v>0</v>
      </c>
      <c r="AD398" s="6">
        <f t="shared" ca="1" si="28"/>
        <v>527903.58835894929</v>
      </c>
      <c r="AE398" s="6">
        <f t="shared" si="29"/>
        <v>0</v>
      </c>
      <c r="AF398" s="4" t="s">
        <v>997</v>
      </c>
    </row>
    <row r="399" spans="1:32" ht="11.25" customHeight="1" x14ac:dyDescent="0.25">
      <c r="A399" s="4" t="s">
        <v>21</v>
      </c>
      <c r="B399" s="4" t="s">
        <v>41</v>
      </c>
      <c r="C399" s="4" t="s">
        <v>42</v>
      </c>
      <c r="D399" s="4" t="s">
        <v>38</v>
      </c>
      <c r="E399" s="4" t="s">
        <v>25</v>
      </c>
      <c r="F399" s="4" t="s">
        <v>61</v>
      </c>
      <c r="G399" s="4" t="s">
        <v>25</v>
      </c>
      <c r="H399" s="4" t="s">
        <v>25</v>
      </c>
      <c r="I399" s="5">
        <v>44593</v>
      </c>
      <c r="J399" s="6">
        <v>37807</v>
      </c>
      <c r="K399" s="6">
        <v>17391.22</v>
      </c>
      <c r="L399" s="6">
        <v>0</v>
      </c>
      <c r="M399" s="6">
        <v>0</v>
      </c>
      <c r="N399" s="6">
        <v>0</v>
      </c>
      <c r="O399" s="6">
        <v>0</v>
      </c>
      <c r="P399" s="6">
        <v>72</v>
      </c>
      <c r="Q399" s="4" t="s">
        <v>58</v>
      </c>
      <c r="R399" s="4">
        <v>0</v>
      </c>
      <c r="S399" s="4">
        <v>40</v>
      </c>
      <c r="T399" s="4">
        <v>0</v>
      </c>
      <c r="U399" s="4">
        <v>0</v>
      </c>
      <c r="V399" s="6">
        <f>IF(ISERROR(VLOOKUP($S$399,'TAR FIN'!$A$1:$O$104,15,0)),0,VLOOKUP($S$399,'TAR FIN'!$A$1:$O$104,15,0))</f>
        <v>26.22</v>
      </c>
      <c r="W399" s="6">
        <f>IF(ISERROR(VLOOKUP($T$399,'TAR FIN'!$A$1:$O$104,15,0)),0,VLOOKUP($T$399,'TAR FIN'!$A$1:$O$104,15,0))</f>
        <v>0</v>
      </c>
      <c r="X399" s="6">
        <f>IF(ISERROR(VLOOKUP($U$399,'TAR FIN'!$A$1:$O$104,15,0)),0,VLOOKUP($U$399,'TAR FIN'!$A$1:$O$104,15,0))</f>
        <v>0</v>
      </c>
      <c r="Y399" s="6">
        <f ca="1">('TUSD BE'!$AM$24+'TUSD BF'!$AM$24+'TUSD CVA'!$AM$24)*1</f>
        <v>26.280164278980507</v>
      </c>
      <c r="Z399" s="6"/>
      <c r="AA399" s="6"/>
      <c r="AB399" s="6">
        <f t="shared" si="26"/>
        <v>535301.75159999996</v>
      </c>
      <c r="AC399" s="6">
        <f t="shared" si="27"/>
        <v>0</v>
      </c>
      <c r="AD399" s="6">
        <f t="shared" ca="1" si="28"/>
        <v>536530.05228352465</v>
      </c>
      <c r="AE399" s="6">
        <f t="shared" si="29"/>
        <v>0</v>
      </c>
      <c r="AF399" s="4" t="s">
        <v>997</v>
      </c>
    </row>
    <row r="400" spans="1:32" ht="11.25" customHeight="1" x14ac:dyDescent="0.25">
      <c r="A400" s="4" t="s">
        <v>21</v>
      </c>
      <c r="B400" s="4" t="s">
        <v>41</v>
      </c>
      <c r="C400" s="4" t="s">
        <v>42</v>
      </c>
      <c r="D400" s="4" t="s">
        <v>38</v>
      </c>
      <c r="E400" s="4" t="s">
        <v>25</v>
      </c>
      <c r="F400" s="4" t="s">
        <v>61</v>
      </c>
      <c r="G400" s="4" t="s">
        <v>25</v>
      </c>
      <c r="H400" s="4" t="s">
        <v>25</v>
      </c>
      <c r="I400" s="5">
        <v>44621</v>
      </c>
      <c r="J400" s="6">
        <v>37786</v>
      </c>
      <c r="K400" s="6">
        <v>17381.560000000001</v>
      </c>
      <c r="L400" s="6">
        <v>0</v>
      </c>
      <c r="M400" s="6">
        <v>0</v>
      </c>
      <c r="N400" s="6">
        <v>0</v>
      </c>
      <c r="O400" s="6">
        <v>0</v>
      </c>
      <c r="P400" s="6">
        <v>72</v>
      </c>
      <c r="Q400" s="4" t="s">
        <v>58</v>
      </c>
      <c r="R400" s="4">
        <v>0</v>
      </c>
      <c r="S400" s="4">
        <v>40</v>
      </c>
      <c r="T400" s="4">
        <v>0</v>
      </c>
      <c r="U400" s="4">
        <v>0</v>
      </c>
      <c r="V400" s="6">
        <f>IF(ISERROR(VLOOKUP($S$400,'TAR FIN'!$A$1:$O$104,15,0)),0,VLOOKUP($S$400,'TAR FIN'!$A$1:$O$104,15,0))</f>
        <v>26.22</v>
      </c>
      <c r="W400" s="6">
        <f>IF(ISERROR(VLOOKUP($T$400,'TAR FIN'!$A$1:$O$104,15,0)),0,VLOOKUP($T$400,'TAR FIN'!$A$1:$O$104,15,0))</f>
        <v>0</v>
      </c>
      <c r="X400" s="6">
        <f>IF(ISERROR(VLOOKUP($U$400,'TAR FIN'!$A$1:$O$104,15,0)),0,VLOOKUP($U$400,'TAR FIN'!$A$1:$O$104,15,0))</f>
        <v>0</v>
      </c>
      <c r="Y400" s="6">
        <f ca="1">('TUSD BE'!$AM$24+'TUSD BF'!$AM$24+'TUSD CVA'!$AM$24)*1</f>
        <v>26.280164278980507</v>
      </c>
      <c r="Z400" s="6"/>
      <c r="AA400" s="6"/>
      <c r="AB400" s="6">
        <f t="shared" si="26"/>
        <v>535004.41679999989</v>
      </c>
      <c r="AC400" s="6">
        <f t="shared" si="27"/>
        <v>0</v>
      </c>
      <c r="AD400" s="6">
        <f t="shared" ca="1" si="28"/>
        <v>536232.03522060101</v>
      </c>
      <c r="AE400" s="6">
        <f t="shared" si="29"/>
        <v>0</v>
      </c>
      <c r="AF400" s="4" t="s">
        <v>997</v>
      </c>
    </row>
    <row r="401" spans="1:32" ht="11.25" customHeight="1" x14ac:dyDescent="0.25">
      <c r="A401" s="4" t="s">
        <v>21</v>
      </c>
      <c r="B401" s="4" t="s">
        <v>41</v>
      </c>
      <c r="C401" s="4" t="s">
        <v>42</v>
      </c>
      <c r="D401" s="4" t="s">
        <v>38</v>
      </c>
      <c r="E401" s="4" t="s">
        <v>25</v>
      </c>
      <c r="F401" s="4" t="s">
        <v>61</v>
      </c>
      <c r="G401" s="4" t="s">
        <v>25</v>
      </c>
      <c r="H401" s="4" t="s">
        <v>25</v>
      </c>
      <c r="I401" s="5">
        <v>44652</v>
      </c>
      <c r="J401" s="6">
        <v>36476</v>
      </c>
      <c r="K401" s="6">
        <v>16049.44</v>
      </c>
      <c r="L401" s="6">
        <v>0</v>
      </c>
      <c r="M401" s="6">
        <v>0</v>
      </c>
      <c r="N401" s="6">
        <v>0</v>
      </c>
      <c r="O401" s="6">
        <v>0</v>
      </c>
      <c r="P401" s="6">
        <v>69</v>
      </c>
      <c r="Q401" s="4" t="s">
        <v>58</v>
      </c>
      <c r="R401" s="4">
        <v>0</v>
      </c>
      <c r="S401" s="4">
        <v>40</v>
      </c>
      <c r="T401" s="4">
        <v>0</v>
      </c>
      <c r="U401" s="4">
        <v>0</v>
      </c>
      <c r="V401" s="6">
        <f>IF(ISERROR(VLOOKUP($S$401,'TAR FIN'!$A$1:$O$104,15,0)),0,VLOOKUP($S$401,'TAR FIN'!$A$1:$O$104,15,0))</f>
        <v>26.22</v>
      </c>
      <c r="W401" s="6">
        <f>IF(ISERROR(VLOOKUP($T$401,'TAR FIN'!$A$1:$O$104,15,0)),0,VLOOKUP($T$401,'TAR FIN'!$A$1:$O$104,15,0))</f>
        <v>0</v>
      </c>
      <c r="X401" s="6">
        <f>IF(ISERROR(VLOOKUP($U$401,'TAR FIN'!$A$1:$O$104,15,0)),0,VLOOKUP($U$401,'TAR FIN'!$A$1:$O$104,15,0))</f>
        <v>0</v>
      </c>
      <c r="Y401" s="6">
        <f ca="1">('TUSD BE'!$AM$24+'TUSD BF'!$AM$24+'TUSD CVA'!$AM$24)*1</f>
        <v>26.280164278980507</v>
      </c>
      <c r="Z401" s="6"/>
      <c r="AA401" s="6"/>
      <c r="AB401" s="6">
        <f t="shared" si="26"/>
        <v>535584.40319999994</v>
      </c>
      <c r="AC401" s="6">
        <f t="shared" si="27"/>
        <v>0</v>
      </c>
      <c r="AD401" s="6">
        <f t="shared" ca="1" si="28"/>
        <v>536813.35245445196</v>
      </c>
      <c r="AE401" s="6">
        <f t="shared" si="29"/>
        <v>0</v>
      </c>
      <c r="AF401" s="4" t="s">
        <v>997</v>
      </c>
    </row>
    <row r="402" spans="1:32" ht="11.25" customHeight="1" x14ac:dyDescent="0.25">
      <c r="A402" s="4" t="s">
        <v>21</v>
      </c>
      <c r="B402" s="4" t="s">
        <v>41</v>
      </c>
      <c r="C402" s="4" t="s">
        <v>42</v>
      </c>
      <c r="D402" s="4" t="s">
        <v>38</v>
      </c>
      <c r="E402" s="4" t="s">
        <v>25</v>
      </c>
      <c r="F402" s="4" t="s">
        <v>61</v>
      </c>
      <c r="G402" s="4" t="s">
        <v>25</v>
      </c>
      <c r="H402" s="4" t="s">
        <v>25</v>
      </c>
      <c r="I402" s="5">
        <v>44682</v>
      </c>
      <c r="J402" s="6">
        <v>36341</v>
      </c>
      <c r="K402" s="6">
        <v>15990.04</v>
      </c>
      <c r="L402" s="6">
        <v>0</v>
      </c>
      <c r="M402" s="6">
        <v>0</v>
      </c>
      <c r="N402" s="6">
        <v>0</v>
      </c>
      <c r="O402" s="6">
        <v>0</v>
      </c>
      <c r="P402" s="6">
        <v>69</v>
      </c>
      <c r="Q402" s="4" t="s">
        <v>58</v>
      </c>
      <c r="R402" s="4">
        <v>0</v>
      </c>
      <c r="S402" s="4">
        <v>40</v>
      </c>
      <c r="T402" s="4">
        <v>0</v>
      </c>
      <c r="U402" s="4">
        <v>0</v>
      </c>
      <c r="V402" s="6">
        <f>IF(ISERROR(VLOOKUP($S$402,'TAR FIN'!$A$1:$O$104,15,0)),0,VLOOKUP($S$402,'TAR FIN'!$A$1:$O$104,15,0))</f>
        <v>26.22</v>
      </c>
      <c r="W402" s="6">
        <f>IF(ISERROR(VLOOKUP($T$402,'TAR FIN'!$A$1:$O$104,15,0)),0,VLOOKUP($T$402,'TAR FIN'!$A$1:$O$104,15,0))</f>
        <v>0</v>
      </c>
      <c r="X402" s="6">
        <f>IF(ISERROR(VLOOKUP($U$402,'TAR FIN'!$A$1:$O$104,15,0)),0,VLOOKUP($U$402,'TAR FIN'!$A$1:$O$104,15,0))</f>
        <v>0</v>
      </c>
      <c r="Y402" s="6">
        <f ca="1">('TUSD BE'!$AM$24+'TUSD BF'!$AM$24+'TUSD CVA'!$AM$24)*1</f>
        <v>26.280164278980507</v>
      </c>
      <c r="Z402" s="6"/>
      <c r="AA402" s="6"/>
      <c r="AB402" s="6">
        <f t="shared" si="26"/>
        <v>533602.17119999998</v>
      </c>
      <c r="AC402" s="6">
        <f t="shared" si="27"/>
        <v>0</v>
      </c>
      <c r="AD402" s="6">
        <f t="shared" ca="1" si="28"/>
        <v>534826.57203496108</v>
      </c>
      <c r="AE402" s="6">
        <f t="shared" si="29"/>
        <v>0</v>
      </c>
      <c r="AF402" s="4" t="s">
        <v>997</v>
      </c>
    </row>
    <row r="403" spans="1:32" ht="11.25" customHeight="1" x14ac:dyDescent="0.25">
      <c r="A403" s="4" t="s">
        <v>21</v>
      </c>
      <c r="B403" s="4" t="s">
        <v>41</v>
      </c>
      <c r="C403" s="4" t="s">
        <v>42</v>
      </c>
      <c r="D403" s="4" t="s">
        <v>38</v>
      </c>
      <c r="E403" s="4" t="s">
        <v>25</v>
      </c>
      <c r="F403" s="4" t="s">
        <v>61</v>
      </c>
      <c r="G403" s="4" t="s">
        <v>25</v>
      </c>
      <c r="H403" s="4" t="s">
        <v>25</v>
      </c>
      <c r="I403" s="5">
        <v>44713</v>
      </c>
      <c r="J403" s="6">
        <v>39911</v>
      </c>
      <c r="K403" s="6">
        <v>16363.51</v>
      </c>
      <c r="L403" s="6">
        <v>0</v>
      </c>
      <c r="M403" s="6">
        <v>0</v>
      </c>
      <c r="N403" s="6">
        <v>0</v>
      </c>
      <c r="O403" s="6">
        <v>0</v>
      </c>
      <c r="P403" s="6">
        <v>71</v>
      </c>
      <c r="Q403" s="4" t="s">
        <v>58</v>
      </c>
      <c r="R403" s="4">
        <v>0</v>
      </c>
      <c r="S403" s="4">
        <v>40</v>
      </c>
      <c r="T403" s="4">
        <v>0</v>
      </c>
      <c r="U403" s="4">
        <v>0</v>
      </c>
      <c r="V403" s="6">
        <f>IF(ISERROR(VLOOKUP($S$403,'TAR FIN'!$A$1:$O$104,15,0)),0,VLOOKUP($S$403,'TAR FIN'!$A$1:$O$104,15,0))</f>
        <v>26.22</v>
      </c>
      <c r="W403" s="6">
        <f>IF(ISERROR(VLOOKUP($T$403,'TAR FIN'!$A$1:$O$104,15,0)),0,VLOOKUP($T$403,'TAR FIN'!$A$1:$O$104,15,0))</f>
        <v>0</v>
      </c>
      <c r="X403" s="6">
        <f>IF(ISERROR(VLOOKUP($U$403,'TAR FIN'!$A$1:$O$104,15,0)),0,VLOOKUP($U$403,'TAR FIN'!$A$1:$O$104,15,0))</f>
        <v>0</v>
      </c>
      <c r="Y403" s="6">
        <f ca="1">('TUSD BE'!$AM$24+'TUSD BF'!$AM$24+'TUSD CVA'!$AM$24)*1</f>
        <v>26.280164278980507</v>
      </c>
      <c r="Z403" s="6"/>
      <c r="AA403" s="6"/>
      <c r="AB403" s="6">
        <f t="shared" si="26"/>
        <v>617415.18779999996</v>
      </c>
      <c r="AC403" s="6">
        <f t="shared" si="27"/>
        <v>0</v>
      </c>
      <c r="AD403" s="6">
        <f t="shared" ca="1" si="28"/>
        <v>618831.90555765061</v>
      </c>
      <c r="AE403" s="6">
        <f t="shared" si="29"/>
        <v>0</v>
      </c>
      <c r="AF403" s="4" t="s">
        <v>997</v>
      </c>
    </row>
    <row r="404" spans="1:32" ht="11.25" customHeight="1" x14ac:dyDescent="0.25">
      <c r="A404" s="4" t="s">
        <v>57</v>
      </c>
      <c r="B404" s="4" t="s">
        <v>41</v>
      </c>
      <c r="C404" s="4" t="s">
        <v>42</v>
      </c>
      <c r="D404" s="4" t="s">
        <v>38</v>
      </c>
      <c r="E404" s="4" t="s">
        <v>25</v>
      </c>
      <c r="F404" s="4" t="s">
        <v>61</v>
      </c>
      <c r="G404" s="4" t="s">
        <v>25</v>
      </c>
      <c r="H404" s="4" t="s">
        <v>25</v>
      </c>
      <c r="I404" s="5">
        <v>44743</v>
      </c>
      <c r="J404" s="6">
        <v>39911</v>
      </c>
      <c r="K404" s="6">
        <v>16363.51</v>
      </c>
      <c r="L404" s="6">
        <v>0</v>
      </c>
      <c r="M404" s="6">
        <v>0</v>
      </c>
      <c r="N404" s="6">
        <v>0</v>
      </c>
      <c r="O404" s="6">
        <v>0</v>
      </c>
      <c r="P404" s="6">
        <v>71</v>
      </c>
      <c r="Q404" s="4" t="s">
        <v>58</v>
      </c>
      <c r="R404" s="4">
        <v>0</v>
      </c>
      <c r="S404" s="4">
        <v>40</v>
      </c>
      <c r="T404" s="4">
        <v>0</v>
      </c>
      <c r="U404" s="4">
        <v>0</v>
      </c>
      <c r="V404" s="6">
        <f>IF(ISERROR(VLOOKUP($S$404,'TAR FIN'!$A$1:$O$104,15,0)),0,VLOOKUP($S$404,'TAR FIN'!$A$1:$O$104,15,0))</f>
        <v>26.22</v>
      </c>
      <c r="W404" s="6">
        <f>IF(ISERROR(VLOOKUP($T$404,'TAR FIN'!$A$1:$O$104,15,0)),0,VLOOKUP($T$404,'TAR FIN'!$A$1:$O$104,15,0))</f>
        <v>0</v>
      </c>
      <c r="X404" s="6">
        <f>IF(ISERROR(VLOOKUP($U$404,'TAR FIN'!$A$1:$O$104,15,0)),0,VLOOKUP($U$404,'TAR FIN'!$A$1:$O$104,15,0))</f>
        <v>0</v>
      </c>
      <c r="Y404" s="6">
        <f ca="1">('TUSD BE'!$AM$24+'TUSD BF'!$AM$24+'TUSD CVA'!$AM$24)*1</f>
        <v>26.280164278980507</v>
      </c>
      <c r="Z404" s="6"/>
      <c r="AA404" s="6"/>
      <c r="AB404" s="6">
        <f t="shared" si="26"/>
        <v>617415.18779999996</v>
      </c>
      <c r="AC404" s="6">
        <f t="shared" si="27"/>
        <v>0</v>
      </c>
      <c r="AD404" s="6">
        <f t="shared" ca="1" si="28"/>
        <v>618831.90555765061</v>
      </c>
      <c r="AE404" s="6">
        <f t="shared" si="29"/>
        <v>0</v>
      </c>
      <c r="AF404" s="4" t="s">
        <v>997</v>
      </c>
    </row>
    <row r="405" spans="1:32" ht="11.25" customHeight="1" x14ac:dyDescent="0.25">
      <c r="A405" s="4" t="s">
        <v>21</v>
      </c>
      <c r="B405" s="4" t="s">
        <v>41</v>
      </c>
      <c r="C405" s="4" t="s">
        <v>42</v>
      </c>
      <c r="D405" s="4" t="s">
        <v>38</v>
      </c>
      <c r="E405" s="4" t="s">
        <v>25</v>
      </c>
      <c r="F405" s="4" t="s">
        <v>61</v>
      </c>
      <c r="G405" s="4" t="s">
        <v>25</v>
      </c>
      <c r="H405" s="4" t="s">
        <v>34</v>
      </c>
      <c r="I405" s="5">
        <v>44409</v>
      </c>
      <c r="J405" s="6">
        <v>0</v>
      </c>
      <c r="K405" s="6">
        <v>0</v>
      </c>
      <c r="L405" s="6">
        <v>632.36800000000005</v>
      </c>
      <c r="M405" s="6">
        <v>316.18400000000003</v>
      </c>
      <c r="N405" s="6">
        <v>0</v>
      </c>
      <c r="O405" s="6">
        <v>0</v>
      </c>
      <c r="P405" s="6">
        <v>0</v>
      </c>
      <c r="Q405" s="4" t="s">
        <v>58</v>
      </c>
      <c r="R405" s="4">
        <v>0</v>
      </c>
      <c r="S405" s="4">
        <v>0</v>
      </c>
      <c r="T405" s="4">
        <v>42</v>
      </c>
      <c r="U405" s="4">
        <v>0</v>
      </c>
      <c r="V405" s="6">
        <f>IF(ISERROR(VLOOKUP($S$405,'TAR FIN'!$A$1:$O$104,15,0)),0,VLOOKUP($S$405,'TAR FIN'!$A$1:$O$104,15,0))</f>
        <v>0</v>
      </c>
      <c r="W405" s="6">
        <f>IF(ISERROR(VLOOKUP($T$405,'TAR FIN'!$A$1:$O$104,15,0)),0,VLOOKUP($T$405,'TAR FIN'!$A$1:$O$104,15,0))</f>
        <v>1330.19</v>
      </c>
      <c r="X405" s="6">
        <f>IF(ISERROR(VLOOKUP($U$405,'TAR FIN'!$A$1:$O$104,15,0)),0,VLOOKUP($U$405,'TAR FIN'!$A$1:$O$104,15,0))</f>
        <v>0</v>
      </c>
      <c r="Y405" s="6"/>
      <c r="Z405" s="6">
        <f ca="1">('TUSD BE'!$AM$25+'TUSD BF'!$AM$25+'TUSD CVA'!$AM$25)*1</f>
        <v>1345.857743809549</v>
      </c>
      <c r="AA405" s="6"/>
      <c r="AB405" s="6">
        <f t="shared" si="26"/>
        <v>0</v>
      </c>
      <c r="AC405" s="6">
        <f t="shared" si="27"/>
        <v>420584.79496000003</v>
      </c>
      <c r="AD405" s="6">
        <f t="shared" si="28"/>
        <v>0</v>
      </c>
      <c r="AE405" s="6">
        <f t="shared" ca="1" si="29"/>
        <v>425538.68486867845</v>
      </c>
      <c r="AF405" s="4" t="s">
        <v>997</v>
      </c>
    </row>
    <row r="406" spans="1:32" ht="11.25" customHeight="1" x14ac:dyDescent="0.25">
      <c r="A406" s="4" t="s">
        <v>21</v>
      </c>
      <c r="B406" s="4" t="s">
        <v>41</v>
      </c>
      <c r="C406" s="4" t="s">
        <v>42</v>
      </c>
      <c r="D406" s="4" t="s">
        <v>38</v>
      </c>
      <c r="E406" s="4" t="s">
        <v>25</v>
      </c>
      <c r="F406" s="4" t="s">
        <v>61</v>
      </c>
      <c r="G406" s="4" t="s">
        <v>25</v>
      </c>
      <c r="H406" s="4" t="s">
        <v>34</v>
      </c>
      <c r="I406" s="5">
        <v>44440</v>
      </c>
      <c r="J406" s="6">
        <v>0</v>
      </c>
      <c r="K406" s="6">
        <v>0</v>
      </c>
      <c r="L406" s="6">
        <v>645.44399999999996</v>
      </c>
      <c r="M406" s="6">
        <v>367.90307999999999</v>
      </c>
      <c r="N406" s="6">
        <v>0</v>
      </c>
      <c r="O406" s="6">
        <v>0</v>
      </c>
      <c r="P406" s="6">
        <v>0</v>
      </c>
      <c r="Q406" s="4" t="s">
        <v>58</v>
      </c>
      <c r="R406" s="4">
        <v>0</v>
      </c>
      <c r="S406" s="4">
        <v>0</v>
      </c>
      <c r="T406" s="4">
        <v>42</v>
      </c>
      <c r="U406" s="4">
        <v>0</v>
      </c>
      <c r="V406" s="6">
        <f>IF(ISERROR(VLOOKUP($S$406,'TAR FIN'!$A$1:$O$104,15,0)),0,VLOOKUP($S$406,'TAR FIN'!$A$1:$O$104,15,0))</f>
        <v>0</v>
      </c>
      <c r="W406" s="6">
        <f>IF(ISERROR(VLOOKUP($T$406,'TAR FIN'!$A$1:$O$104,15,0)),0,VLOOKUP($T$406,'TAR FIN'!$A$1:$O$104,15,0))</f>
        <v>1330.19</v>
      </c>
      <c r="X406" s="6">
        <f>IF(ISERROR(VLOOKUP($U$406,'TAR FIN'!$A$1:$O$104,15,0)),0,VLOOKUP($U$406,'TAR FIN'!$A$1:$O$104,15,0))</f>
        <v>0</v>
      </c>
      <c r="Y406" s="6"/>
      <c r="Z406" s="6">
        <f ca="1">('TUSD BE'!$AM$25+'TUSD BF'!$AM$25+'TUSD CVA'!$AM$25)*1</f>
        <v>1345.857743809549</v>
      </c>
      <c r="AA406" s="6"/>
      <c r="AB406" s="6">
        <f t="shared" si="26"/>
        <v>0</v>
      </c>
      <c r="AC406" s="6">
        <f t="shared" si="27"/>
        <v>369182.15637479996</v>
      </c>
      <c r="AD406" s="6">
        <f t="shared" si="28"/>
        <v>0</v>
      </c>
      <c r="AE406" s="6">
        <f t="shared" ca="1" si="29"/>
        <v>373530.59640602651</v>
      </c>
      <c r="AF406" s="4" t="s">
        <v>997</v>
      </c>
    </row>
    <row r="407" spans="1:32" ht="11.25" customHeight="1" x14ac:dyDescent="0.25">
      <c r="A407" s="4" t="s">
        <v>21</v>
      </c>
      <c r="B407" s="4" t="s">
        <v>41</v>
      </c>
      <c r="C407" s="4" t="s">
        <v>42</v>
      </c>
      <c r="D407" s="4" t="s">
        <v>38</v>
      </c>
      <c r="E407" s="4" t="s">
        <v>25</v>
      </c>
      <c r="F407" s="4" t="s">
        <v>61</v>
      </c>
      <c r="G407" s="4" t="s">
        <v>25</v>
      </c>
      <c r="H407" s="4" t="s">
        <v>34</v>
      </c>
      <c r="I407" s="5">
        <v>44470</v>
      </c>
      <c r="J407" s="6">
        <v>0</v>
      </c>
      <c r="K407" s="6">
        <v>0</v>
      </c>
      <c r="L407" s="6">
        <v>701.73599999999999</v>
      </c>
      <c r="M407" s="6">
        <v>336.83328</v>
      </c>
      <c r="N407" s="6">
        <v>0</v>
      </c>
      <c r="O407" s="6">
        <v>0</v>
      </c>
      <c r="P407" s="6">
        <v>0</v>
      </c>
      <c r="Q407" s="4" t="s">
        <v>58</v>
      </c>
      <c r="R407" s="4">
        <v>0</v>
      </c>
      <c r="S407" s="4">
        <v>0</v>
      </c>
      <c r="T407" s="4">
        <v>42</v>
      </c>
      <c r="U407" s="4">
        <v>0</v>
      </c>
      <c r="V407" s="6">
        <f>IF(ISERROR(VLOOKUP($S$407,'TAR FIN'!$A$1:$O$104,15,0)),0,VLOOKUP($S$407,'TAR FIN'!$A$1:$O$104,15,0))</f>
        <v>0</v>
      </c>
      <c r="W407" s="6">
        <f>IF(ISERROR(VLOOKUP($T$407,'TAR FIN'!$A$1:$O$104,15,0)),0,VLOOKUP($T$407,'TAR FIN'!$A$1:$O$104,15,0))</f>
        <v>1330.19</v>
      </c>
      <c r="X407" s="6">
        <f>IF(ISERROR(VLOOKUP($U$407,'TAR FIN'!$A$1:$O$104,15,0)),0,VLOOKUP($U$407,'TAR FIN'!$A$1:$O$104,15,0))</f>
        <v>0</v>
      </c>
      <c r="Y407" s="6"/>
      <c r="Z407" s="6">
        <f ca="1">('TUSD BE'!$AM$25+'TUSD BF'!$AM$25+'TUSD CVA'!$AM$25)*1</f>
        <v>1345.857743809549</v>
      </c>
      <c r="AA407" s="6"/>
      <c r="AB407" s="6">
        <f t="shared" si="26"/>
        <v>0</v>
      </c>
      <c r="AC407" s="6">
        <f t="shared" si="27"/>
        <v>485389.94911679998</v>
      </c>
      <c r="AD407" s="6">
        <f t="shared" si="28"/>
        <v>0</v>
      </c>
      <c r="AE407" s="6">
        <f t="shared" ca="1" si="29"/>
        <v>491107.15144916758</v>
      </c>
      <c r="AF407" s="4" t="s">
        <v>997</v>
      </c>
    </row>
    <row r="408" spans="1:32" ht="11.25" customHeight="1" x14ac:dyDescent="0.25">
      <c r="A408" s="4" t="s">
        <v>21</v>
      </c>
      <c r="B408" s="4" t="s">
        <v>41</v>
      </c>
      <c r="C408" s="4" t="s">
        <v>42</v>
      </c>
      <c r="D408" s="4" t="s">
        <v>38</v>
      </c>
      <c r="E408" s="4" t="s">
        <v>25</v>
      </c>
      <c r="F408" s="4" t="s">
        <v>61</v>
      </c>
      <c r="G408" s="4" t="s">
        <v>25</v>
      </c>
      <c r="H408" s="4" t="s">
        <v>34</v>
      </c>
      <c r="I408" s="5">
        <v>44501</v>
      </c>
      <c r="J408" s="6">
        <v>0</v>
      </c>
      <c r="K408" s="6">
        <v>0</v>
      </c>
      <c r="L408" s="6">
        <v>767.41800000000001</v>
      </c>
      <c r="M408" s="6">
        <v>337.66392000000002</v>
      </c>
      <c r="N408" s="6">
        <v>0</v>
      </c>
      <c r="O408" s="6">
        <v>0</v>
      </c>
      <c r="P408" s="6">
        <v>0</v>
      </c>
      <c r="Q408" s="4" t="s">
        <v>58</v>
      </c>
      <c r="R408" s="4">
        <v>0</v>
      </c>
      <c r="S408" s="4">
        <v>0</v>
      </c>
      <c r="T408" s="4">
        <v>42</v>
      </c>
      <c r="U408" s="4">
        <v>0</v>
      </c>
      <c r="V408" s="6">
        <f>IF(ISERROR(VLOOKUP($S$408,'TAR FIN'!$A$1:$O$104,15,0)),0,VLOOKUP($S$408,'TAR FIN'!$A$1:$O$104,15,0))</f>
        <v>0</v>
      </c>
      <c r="W408" s="6">
        <f>IF(ISERROR(VLOOKUP($T$408,'TAR FIN'!$A$1:$O$104,15,0)),0,VLOOKUP($T$408,'TAR FIN'!$A$1:$O$104,15,0))</f>
        <v>1330.19</v>
      </c>
      <c r="X408" s="6">
        <f>IF(ISERROR(VLOOKUP($U$408,'TAR FIN'!$A$1:$O$104,15,0)),0,VLOOKUP($U$408,'TAR FIN'!$A$1:$O$104,15,0))</f>
        <v>0</v>
      </c>
      <c r="Y408" s="6"/>
      <c r="Z408" s="6">
        <f ca="1">('TUSD BE'!$AM$25+'TUSD BF'!$AM$25+'TUSD CVA'!$AM$25)*1</f>
        <v>1345.857743809549</v>
      </c>
      <c r="AA408" s="6"/>
      <c r="AB408" s="6">
        <f t="shared" si="26"/>
        <v>0</v>
      </c>
      <c r="AC408" s="6">
        <f t="shared" si="27"/>
        <v>571654.57967520005</v>
      </c>
      <c r="AD408" s="6">
        <f t="shared" si="28"/>
        <v>0</v>
      </c>
      <c r="AE408" s="6">
        <f t="shared" ca="1" si="29"/>
        <v>578387.85650174844</v>
      </c>
      <c r="AF408" s="4" t="s">
        <v>997</v>
      </c>
    </row>
    <row r="409" spans="1:32" ht="11.25" customHeight="1" x14ac:dyDescent="0.25">
      <c r="A409" s="4" t="s">
        <v>21</v>
      </c>
      <c r="B409" s="4" t="s">
        <v>41</v>
      </c>
      <c r="C409" s="4" t="s">
        <v>42</v>
      </c>
      <c r="D409" s="4" t="s">
        <v>38</v>
      </c>
      <c r="E409" s="4" t="s">
        <v>25</v>
      </c>
      <c r="F409" s="4" t="s">
        <v>61</v>
      </c>
      <c r="G409" s="4" t="s">
        <v>25</v>
      </c>
      <c r="H409" s="4" t="s">
        <v>34</v>
      </c>
      <c r="I409" s="5">
        <v>44531</v>
      </c>
      <c r="J409" s="6">
        <v>0</v>
      </c>
      <c r="K409" s="6">
        <v>0</v>
      </c>
      <c r="L409" s="6">
        <v>884.23099999999999</v>
      </c>
      <c r="M409" s="6">
        <v>389.06164000000001</v>
      </c>
      <c r="N409" s="6">
        <v>0</v>
      </c>
      <c r="O409" s="6">
        <v>0</v>
      </c>
      <c r="P409" s="6">
        <v>0</v>
      </c>
      <c r="Q409" s="4" t="s">
        <v>58</v>
      </c>
      <c r="R409" s="4">
        <v>0</v>
      </c>
      <c r="S409" s="4">
        <v>0</v>
      </c>
      <c r="T409" s="4">
        <v>42</v>
      </c>
      <c r="U409" s="4">
        <v>0</v>
      </c>
      <c r="V409" s="6">
        <f>IF(ISERROR(VLOOKUP($S$409,'TAR FIN'!$A$1:$O$104,15,0)),0,VLOOKUP($S$409,'TAR FIN'!$A$1:$O$104,15,0))</f>
        <v>0</v>
      </c>
      <c r="W409" s="6">
        <f>IF(ISERROR(VLOOKUP($T$409,'TAR FIN'!$A$1:$O$104,15,0)),0,VLOOKUP($T$409,'TAR FIN'!$A$1:$O$104,15,0))</f>
        <v>1330.19</v>
      </c>
      <c r="X409" s="6">
        <f>IF(ISERROR(VLOOKUP($U$409,'TAR FIN'!$A$1:$O$104,15,0)),0,VLOOKUP($U$409,'TAR FIN'!$A$1:$O$104,15,0))</f>
        <v>0</v>
      </c>
      <c r="Y409" s="6"/>
      <c r="Z409" s="6">
        <f ca="1">('TUSD BE'!$AM$25+'TUSD BF'!$AM$25+'TUSD CVA'!$AM$25)*1</f>
        <v>1345.857743809549</v>
      </c>
      <c r="AA409" s="6"/>
      <c r="AB409" s="6">
        <f t="shared" si="26"/>
        <v>0</v>
      </c>
      <c r="AC409" s="6">
        <f t="shared" si="27"/>
        <v>658669.33097839996</v>
      </c>
      <c r="AD409" s="6">
        <f t="shared" si="28"/>
        <v>0</v>
      </c>
      <c r="AE409" s="6">
        <f t="shared" ca="1" si="29"/>
        <v>666427.51765321835</v>
      </c>
      <c r="AF409" s="4" t="s">
        <v>997</v>
      </c>
    </row>
    <row r="410" spans="1:32" ht="11.25" customHeight="1" x14ac:dyDescent="0.25">
      <c r="A410" s="4" t="s">
        <v>21</v>
      </c>
      <c r="B410" s="4" t="s">
        <v>41</v>
      </c>
      <c r="C410" s="4" t="s">
        <v>42</v>
      </c>
      <c r="D410" s="4" t="s">
        <v>38</v>
      </c>
      <c r="E410" s="4" t="s">
        <v>25</v>
      </c>
      <c r="F410" s="4" t="s">
        <v>61</v>
      </c>
      <c r="G410" s="4" t="s">
        <v>25</v>
      </c>
      <c r="H410" s="4" t="s">
        <v>34</v>
      </c>
      <c r="I410" s="5">
        <v>44562</v>
      </c>
      <c r="J410" s="6">
        <v>0</v>
      </c>
      <c r="K410" s="6">
        <v>0</v>
      </c>
      <c r="L410" s="6">
        <v>933.57500000000005</v>
      </c>
      <c r="M410" s="6">
        <v>420.10874999999999</v>
      </c>
      <c r="N410" s="6">
        <v>0</v>
      </c>
      <c r="O410" s="6">
        <v>0</v>
      </c>
      <c r="P410" s="6">
        <v>0</v>
      </c>
      <c r="Q410" s="4" t="s">
        <v>58</v>
      </c>
      <c r="R410" s="4">
        <v>0</v>
      </c>
      <c r="S410" s="4">
        <v>0</v>
      </c>
      <c r="T410" s="4">
        <v>42</v>
      </c>
      <c r="U410" s="4">
        <v>0</v>
      </c>
      <c r="V410" s="6">
        <f>IF(ISERROR(VLOOKUP($S$410,'TAR FIN'!$A$1:$O$104,15,0)),0,VLOOKUP($S$410,'TAR FIN'!$A$1:$O$104,15,0))</f>
        <v>0</v>
      </c>
      <c r="W410" s="6">
        <f>IF(ISERROR(VLOOKUP($T$410,'TAR FIN'!$A$1:$O$104,15,0)),0,VLOOKUP($T$410,'TAR FIN'!$A$1:$O$104,15,0))</f>
        <v>1330.19</v>
      </c>
      <c r="X410" s="6">
        <f>IF(ISERROR(VLOOKUP($U$410,'TAR FIN'!$A$1:$O$104,15,0)),0,VLOOKUP($U$410,'TAR FIN'!$A$1:$O$104,15,0))</f>
        <v>0</v>
      </c>
      <c r="Y410" s="6"/>
      <c r="Z410" s="6">
        <f ca="1">('TUSD BE'!$AM$25+'TUSD BF'!$AM$25+'TUSD CVA'!$AM$25)*1</f>
        <v>1345.857743809549</v>
      </c>
      <c r="AA410" s="6"/>
      <c r="AB410" s="6">
        <f t="shared" si="26"/>
        <v>0</v>
      </c>
      <c r="AC410" s="6">
        <f t="shared" si="27"/>
        <v>683007.67108750006</v>
      </c>
      <c r="AD410" s="6">
        <f t="shared" si="28"/>
        <v>0</v>
      </c>
      <c r="AE410" s="6">
        <f t="shared" ca="1" si="29"/>
        <v>691052.52874734986</v>
      </c>
      <c r="AF410" s="4" t="s">
        <v>997</v>
      </c>
    </row>
    <row r="411" spans="1:32" ht="11.25" customHeight="1" x14ac:dyDescent="0.25">
      <c r="A411" s="4" t="s">
        <v>21</v>
      </c>
      <c r="B411" s="4" t="s">
        <v>41</v>
      </c>
      <c r="C411" s="4" t="s">
        <v>42</v>
      </c>
      <c r="D411" s="4" t="s">
        <v>38</v>
      </c>
      <c r="E411" s="4" t="s">
        <v>25</v>
      </c>
      <c r="F411" s="4" t="s">
        <v>61</v>
      </c>
      <c r="G411" s="4" t="s">
        <v>25</v>
      </c>
      <c r="H411" s="4" t="s">
        <v>34</v>
      </c>
      <c r="I411" s="5">
        <v>44593</v>
      </c>
      <c r="J411" s="6">
        <v>0</v>
      </c>
      <c r="K411" s="6">
        <v>0</v>
      </c>
      <c r="L411" s="6">
        <v>748.96299999999997</v>
      </c>
      <c r="M411" s="6">
        <v>352.01261</v>
      </c>
      <c r="N411" s="6">
        <v>0</v>
      </c>
      <c r="O411" s="6">
        <v>0</v>
      </c>
      <c r="P411" s="6">
        <v>0</v>
      </c>
      <c r="Q411" s="4" t="s">
        <v>58</v>
      </c>
      <c r="R411" s="4">
        <v>0</v>
      </c>
      <c r="S411" s="4">
        <v>0</v>
      </c>
      <c r="T411" s="4">
        <v>42</v>
      </c>
      <c r="U411" s="4">
        <v>0</v>
      </c>
      <c r="V411" s="6">
        <f>IF(ISERROR(VLOOKUP($S$411,'TAR FIN'!$A$1:$O$104,15,0)),0,VLOOKUP($S$411,'TAR FIN'!$A$1:$O$104,15,0))</f>
        <v>0</v>
      </c>
      <c r="W411" s="6">
        <f>IF(ISERROR(VLOOKUP($T$411,'TAR FIN'!$A$1:$O$104,15,0)),0,VLOOKUP($T$411,'TAR FIN'!$A$1:$O$104,15,0))</f>
        <v>1330.19</v>
      </c>
      <c r="X411" s="6">
        <f>IF(ISERROR(VLOOKUP($U$411,'TAR FIN'!$A$1:$O$104,15,0)),0,VLOOKUP($U$411,'TAR FIN'!$A$1:$O$104,15,0))</f>
        <v>0</v>
      </c>
      <c r="Y411" s="6"/>
      <c r="Z411" s="6">
        <f ca="1">('TUSD BE'!$AM$25+'TUSD BF'!$AM$25+'TUSD CVA'!$AM$25)*1</f>
        <v>1345.857743809549</v>
      </c>
      <c r="AA411" s="6"/>
      <c r="AB411" s="6">
        <f t="shared" si="26"/>
        <v>0</v>
      </c>
      <c r="AC411" s="6">
        <f t="shared" si="27"/>
        <v>528019.4392741</v>
      </c>
      <c r="AD411" s="6">
        <f t="shared" si="28"/>
        <v>0</v>
      </c>
      <c r="AE411" s="6">
        <f t="shared" ca="1" si="29"/>
        <v>534238.75628972054</v>
      </c>
      <c r="AF411" s="4" t="s">
        <v>997</v>
      </c>
    </row>
    <row r="412" spans="1:32" ht="11.25" customHeight="1" x14ac:dyDescent="0.25">
      <c r="A412" s="4" t="s">
        <v>21</v>
      </c>
      <c r="B412" s="4" t="s">
        <v>41</v>
      </c>
      <c r="C412" s="4" t="s">
        <v>42</v>
      </c>
      <c r="D412" s="4" t="s">
        <v>38</v>
      </c>
      <c r="E412" s="4" t="s">
        <v>25</v>
      </c>
      <c r="F412" s="4" t="s">
        <v>61</v>
      </c>
      <c r="G412" s="4" t="s">
        <v>25</v>
      </c>
      <c r="H412" s="4" t="s">
        <v>34</v>
      </c>
      <c r="I412" s="5">
        <v>44621</v>
      </c>
      <c r="J412" s="6">
        <v>0</v>
      </c>
      <c r="K412" s="6">
        <v>0</v>
      </c>
      <c r="L412" s="6">
        <v>827.06700000000001</v>
      </c>
      <c r="M412" s="6">
        <v>380.45082000000002</v>
      </c>
      <c r="N412" s="6">
        <v>0</v>
      </c>
      <c r="O412" s="6">
        <v>0</v>
      </c>
      <c r="P412" s="6">
        <v>0</v>
      </c>
      <c r="Q412" s="4" t="s">
        <v>58</v>
      </c>
      <c r="R412" s="4">
        <v>0</v>
      </c>
      <c r="S412" s="4">
        <v>0</v>
      </c>
      <c r="T412" s="4">
        <v>42</v>
      </c>
      <c r="U412" s="4">
        <v>0</v>
      </c>
      <c r="V412" s="6">
        <f>IF(ISERROR(VLOOKUP($S$412,'TAR FIN'!$A$1:$O$104,15,0)),0,VLOOKUP($S$412,'TAR FIN'!$A$1:$O$104,15,0))</f>
        <v>0</v>
      </c>
      <c r="W412" s="6">
        <f>IF(ISERROR(VLOOKUP($T$412,'TAR FIN'!$A$1:$O$104,15,0)),0,VLOOKUP($T$412,'TAR FIN'!$A$1:$O$104,15,0))</f>
        <v>1330.19</v>
      </c>
      <c r="X412" s="6">
        <f>IF(ISERROR(VLOOKUP($U$412,'TAR FIN'!$A$1:$O$104,15,0)),0,VLOOKUP($U$412,'TAR FIN'!$A$1:$O$104,15,0))</f>
        <v>0</v>
      </c>
      <c r="Y412" s="6"/>
      <c r="Z412" s="6">
        <f ca="1">('TUSD BE'!$AM$25+'TUSD BF'!$AM$25+'TUSD CVA'!$AM$25)*1</f>
        <v>1345.857743809549</v>
      </c>
      <c r="AA412" s="6"/>
      <c r="AB412" s="6">
        <f t="shared" si="26"/>
        <v>0</v>
      </c>
      <c r="AC412" s="6">
        <f t="shared" si="27"/>
        <v>594084.37647420005</v>
      </c>
      <c r="AD412" s="6">
        <f t="shared" si="28"/>
        <v>0</v>
      </c>
      <c r="AE412" s="6">
        <f t="shared" ca="1" si="29"/>
        <v>601081.84436363936</v>
      </c>
      <c r="AF412" s="4" t="s">
        <v>997</v>
      </c>
    </row>
    <row r="413" spans="1:32" ht="11.25" customHeight="1" x14ac:dyDescent="0.25">
      <c r="A413" s="4" t="s">
        <v>21</v>
      </c>
      <c r="B413" s="4" t="s">
        <v>41</v>
      </c>
      <c r="C413" s="4" t="s">
        <v>42</v>
      </c>
      <c r="D413" s="4" t="s">
        <v>38</v>
      </c>
      <c r="E413" s="4" t="s">
        <v>25</v>
      </c>
      <c r="F413" s="4" t="s">
        <v>61</v>
      </c>
      <c r="G413" s="4" t="s">
        <v>25</v>
      </c>
      <c r="H413" s="4" t="s">
        <v>34</v>
      </c>
      <c r="I413" s="5">
        <v>44652</v>
      </c>
      <c r="J413" s="6">
        <v>0</v>
      </c>
      <c r="K413" s="6">
        <v>0</v>
      </c>
      <c r="L413" s="6">
        <v>998.30899999999997</v>
      </c>
      <c r="M413" s="6">
        <v>429.27287000000001</v>
      </c>
      <c r="N413" s="6">
        <v>0</v>
      </c>
      <c r="O413" s="6">
        <v>0</v>
      </c>
      <c r="P413" s="6">
        <v>0</v>
      </c>
      <c r="Q413" s="4" t="s">
        <v>58</v>
      </c>
      <c r="R413" s="4">
        <v>0</v>
      </c>
      <c r="S413" s="4">
        <v>0</v>
      </c>
      <c r="T413" s="4">
        <v>42</v>
      </c>
      <c r="U413" s="4">
        <v>0</v>
      </c>
      <c r="V413" s="6">
        <f>IF(ISERROR(VLOOKUP($S$413,'TAR FIN'!$A$1:$O$104,15,0)),0,VLOOKUP($S$413,'TAR FIN'!$A$1:$O$104,15,0))</f>
        <v>0</v>
      </c>
      <c r="W413" s="6">
        <f>IF(ISERROR(VLOOKUP($T$413,'TAR FIN'!$A$1:$O$104,15,0)),0,VLOOKUP($T$413,'TAR FIN'!$A$1:$O$104,15,0))</f>
        <v>1330.19</v>
      </c>
      <c r="X413" s="6">
        <f>IF(ISERROR(VLOOKUP($U$413,'TAR FIN'!$A$1:$O$104,15,0)),0,VLOOKUP($U$413,'TAR FIN'!$A$1:$O$104,15,0))</f>
        <v>0</v>
      </c>
      <c r="Y413" s="6"/>
      <c r="Z413" s="6">
        <f ca="1">('TUSD BE'!$AM$25+'TUSD BF'!$AM$25+'TUSD CVA'!$AM$25)*1</f>
        <v>1345.857743809549</v>
      </c>
      <c r="AA413" s="6"/>
      <c r="AB413" s="6">
        <f t="shared" si="26"/>
        <v>0</v>
      </c>
      <c r="AC413" s="6">
        <f t="shared" si="27"/>
        <v>756926.1697647</v>
      </c>
      <c r="AD413" s="6">
        <f t="shared" si="28"/>
        <v>0</v>
      </c>
      <c r="AE413" s="6">
        <f t="shared" ca="1" si="29"/>
        <v>765841.68206791719</v>
      </c>
      <c r="AF413" s="4" t="s">
        <v>997</v>
      </c>
    </row>
    <row r="414" spans="1:32" ht="11.25" customHeight="1" x14ac:dyDescent="0.25">
      <c r="A414" s="4" t="s">
        <v>21</v>
      </c>
      <c r="B414" s="4" t="s">
        <v>41</v>
      </c>
      <c r="C414" s="4" t="s">
        <v>42</v>
      </c>
      <c r="D414" s="4" t="s">
        <v>38</v>
      </c>
      <c r="E414" s="4" t="s">
        <v>25</v>
      </c>
      <c r="F414" s="4" t="s">
        <v>61</v>
      </c>
      <c r="G414" s="4" t="s">
        <v>25</v>
      </c>
      <c r="H414" s="4" t="s">
        <v>34</v>
      </c>
      <c r="I414" s="5">
        <v>44682</v>
      </c>
      <c r="J414" s="6">
        <v>0</v>
      </c>
      <c r="K414" s="6">
        <v>0</v>
      </c>
      <c r="L414" s="6">
        <v>815.83100000000002</v>
      </c>
      <c r="M414" s="6">
        <v>350.80732999999998</v>
      </c>
      <c r="N414" s="6">
        <v>0</v>
      </c>
      <c r="O414" s="6">
        <v>0</v>
      </c>
      <c r="P414" s="6">
        <v>0</v>
      </c>
      <c r="Q414" s="4" t="s">
        <v>58</v>
      </c>
      <c r="R414" s="4">
        <v>0</v>
      </c>
      <c r="S414" s="4">
        <v>0</v>
      </c>
      <c r="T414" s="4">
        <v>42</v>
      </c>
      <c r="U414" s="4">
        <v>0</v>
      </c>
      <c r="V414" s="6">
        <f>IF(ISERROR(VLOOKUP($S$414,'TAR FIN'!$A$1:$O$104,15,0)),0,VLOOKUP($S$414,'TAR FIN'!$A$1:$O$104,15,0))</f>
        <v>0</v>
      </c>
      <c r="W414" s="6">
        <f>IF(ISERROR(VLOOKUP($T$414,'TAR FIN'!$A$1:$O$104,15,0)),0,VLOOKUP($T$414,'TAR FIN'!$A$1:$O$104,15,0))</f>
        <v>1330.19</v>
      </c>
      <c r="X414" s="6">
        <f>IF(ISERROR(VLOOKUP($U$414,'TAR FIN'!$A$1:$O$104,15,0)),0,VLOOKUP($U$414,'TAR FIN'!$A$1:$O$104,15,0))</f>
        <v>0</v>
      </c>
      <c r="Y414" s="6"/>
      <c r="Z414" s="6">
        <f ca="1">('TUSD BE'!$AM$25+'TUSD BF'!$AM$25+'TUSD CVA'!$AM$25)*1</f>
        <v>1345.857743809549</v>
      </c>
      <c r="AA414" s="6"/>
      <c r="AB414" s="6">
        <f t="shared" si="26"/>
        <v>0</v>
      </c>
      <c r="AC414" s="6">
        <f t="shared" si="27"/>
        <v>618569.83559730009</v>
      </c>
      <c r="AD414" s="6">
        <f t="shared" si="28"/>
        <v>0</v>
      </c>
      <c r="AE414" s="6">
        <f t="shared" ca="1" si="29"/>
        <v>625855.70732423628</v>
      </c>
      <c r="AF414" s="4" t="s">
        <v>997</v>
      </c>
    </row>
    <row r="415" spans="1:32" ht="11.25" customHeight="1" x14ac:dyDescent="0.25">
      <c r="A415" s="4" t="s">
        <v>21</v>
      </c>
      <c r="B415" s="4" t="s">
        <v>41</v>
      </c>
      <c r="C415" s="4" t="s">
        <v>42</v>
      </c>
      <c r="D415" s="4" t="s">
        <v>38</v>
      </c>
      <c r="E415" s="4" t="s">
        <v>25</v>
      </c>
      <c r="F415" s="4" t="s">
        <v>61</v>
      </c>
      <c r="G415" s="4" t="s">
        <v>25</v>
      </c>
      <c r="H415" s="4" t="s">
        <v>34</v>
      </c>
      <c r="I415" s="5">
        <v>44713</v>
      </c>
      <c r="J415" s="6">
        <v>0</v>
      </c>
      <c r="K415" s="6">
        <v>0</v>
      </c>
      <c r="L415" s="6">
        <v>986.846</v>
      </c>
      <c r="M415" s="6">
        <v>424.34377999999998</v>
      </c>
      <c r="N415" s="6">
        <v>0</v>
      </c>
      <c r="O415" s="6">
        <v>0</v>
      </c>
      <c r="P415" s="6">
        <v>0</v>
      </c>
      <c r="Q415" s="4" t="s">
        <v>58</v>
      </c>
      <c r="R415" s="4">
        <v>0</v>
      </c>
      <c r="S415" s="4">
        <v>0</v>
      </c>
      <c r="T415" s="4">
        <v>42</v>
      </c>
      <c r="U415" s="4">
        <v>0</v>
      </c>
      <c r="V415" s="6">
        <f>IF(ISERROR(VLOOKUP($S$415,'TAR FIN'!$A$1:$O$104,15,0)),0,VLOOKUP($S$415,'TAR FIN'!$A$1:$O$104,15,0))</f>
        <v>0</v>
      </c>
      <c r="W415" s="6">
        <f>IF(ISERROR(VLOOKUP($T$415,'TAR FIN'!$A$1:$O$104,15,0)),0,VLOOKUP($T$415,'TAR FIN'!$A$1:$O$104,15,0))</f>
        <v>1330.19</v>
      </c>
      <c r="X415" s="6">
        <f>IF(ISERROR(VLOOKUP($U$415,'TAR FIN'!$A$1:$O$104,15,0)),0,VLOOKUP($U$415,'TAR FIN'!$A$1:$O$104,15,0))</f>
        <v>0</v>
      </c>
      <c r="Y415" s="6"/>
      <c r="Z415" s="6">
        <f ca="1">('TUSD BE'!$AM$25+'TUSD BF'!$AM$25+'TUSD CVA'!$AM$25)*1</f>
        <v>1345.857743809549</v>
      </c>
      <c r="AA415" s="6"/>
      <c r="AB415" s="6">
        <f t="shared" si="26"/>
        <v>0</v>
      </c>
      <c r="AC415" s="6">
        <f t="shared" si="27"/>
        <v>748234.82802180015</v>
      </c>
      <c r="AD415" s="6">
        <f t="shared" si="28"/>
        <v>0</v>
      </c>
      <c r="AE415" s="6">
        <f t="shared" ca="1" si="29"/>
        <v>757047.96869706269</v>
      </c>
      <c r="AF415" s="4" t="s">
        <v>997</v>
      </c>
    </row>
    <row r="416" spans="1:32" ht="11.25" customHeight="1" x14ac:dyDescent="0.25">
      <c r="A416" s="4" t="s">
        <v>57</v>
      </c>
      <c r="B416" s="4" t="s">
        <v>41</v>
      </c>
      <c r="C416" s="4" t="s">
        <v>42</v>
      </c>
      <c r="D416" s="4" t="s">
        <v>38</v>
      </c>
      <c r="E416" s="4" t="s">
        <v>25</v>
      </c>
      <c r="F416" s="4" t="s">
        <v>61</v>
      </c>
      <c r="G416" s="4" t="s">
        <v>25</v>
      </c>
      <c r="H416" s="4" t="s">
        <v>34</v>
      </c>
      <c r="I416" s="5">
        <v>44743</v>
      </c>
      <c r="J416" s="6">
        <v>0</v>
      </c>
      <c r="K416" s="6">
        <v>0</v>
      </c>
      <c r="L416" s="6">
        <v>986.846</v>
      </c>
      <c r="M416" s="6">
        <v>424.34377999999998</v>
      </c>
      <c r="N416" s="6">
        <v>0</v>
      </c>
      <c r="O416" s="6">
        <v>0</v>
      </c>
      <c r="P416" s="6">
        <v>0</v>
      </c>
      <c r="Q416" s="4" t="s">
        <v>58</v>
      </c>
      <c r="R416" s="4">
        <v>0</v>
      </c>
      <c r="S416" s="4">
        <v>0</v>
      </c>
      <c r="T416" s="4">
        <v>42</v>
      </c>
      <c r="U416" s="4">
        <v>0</v>
      </c>
      <c r="V416" s="6">
        <f>IF(ISERROR(VLOOKUP($S$416,'TAR FIN'!$A$1:$O$104,15,0)),0,VLOOKUP($S$416,'TAR FIN'!$A$1:$O$104,15,0))</f>
        <v>0</v>
      </c>
      <c r="W416" s="6">
        <f>IF(ISERROR(VLOOKUP($T$416,'TAR FIN'!$A$1:$O$104,15,0)),0,VLOOKUP($T$416,'TAR FIN'!$A$1:$O$104,15,0))</f>
        <v>1330.19</v>
      </c>
      <c r="X416" s="6">
        <f>IF(ISERROR(VLOOKUP($U$416,'TAR FIN'!$A$1:$O$104,15,0)),0,VLOOKUP($U$416,'TAR FIN'!$A$1:$O$104,15,0))</f>
        <v>0</v>
      </c>
      <c r="Y416" s="6"/>
      <c r="Z416" s="6">
        <f ca="1">('TUSD BE'!$AM$25+'TUSD BF'!$AM$25+'TUSD CVA'!$AM$25)*1</f>
        <v>1345.857743809549</v>
      </c>
      <c r="AA416" s="6"/>
      <c r="AB416" s="6">
        <f t="shared" si="26"/>
        <v>0</v>
      </c>
      <c r="AC416" s="6">
        <f t="shared" si="27"/>
        <v>748234.82802180015</v>
      </c>
      <c r="AD416" s="6">
        <f t="shared" si="28"/>
        <v>0</v>
      </c>
      <c r="AE416" s="6">
        <f t="shared" ca="1" si="29"/>
        <v>757047.96869706269</v>
      </c>
      <c r="AF416" s="4" t="s">
        <v>997</v>
      </c>
    </row>
    <row r="417" spans="1:32" ht="11.25" customHeight="1" x14ac:dyDescent="0.25">
      <c r="A417" s="4" t="s">
        <v>21</v>
      </c>
      <c r="B417" s="4" t="s">
        <v>41</v>
      </c>
      <c r="C417" s="4" t="s">
        <v>42</v>
      </c>
      <c r="D417" s="4" t="s">
        <v>45</v>
      </c>
      <c r="E417" s="4" t="s">
        <v>53</v>
      </c>
      <c r="F417" s="4" t="s">
        <v>55</v>
      </c>
      <c r="G417" s="4" t="s">
        <v>25</v>
      </c>
      <c r="H417" s="4" t="s">
        <v>35</v>
      </c>
      <c r="I417" s="5">
        <v>44409</v>
      </c>
      <c r="J417" s="6">
        <v>0</v>
      </c>
      <c r="K417" s="6">
        <v>0</v>
      </c>
      <c r="L417" s="6">
        <v>1077.326</v>
      </c>
      <c r="M417" s="6">
        <v>107.73260000000001</v>
      </c>
      <c r="N417" s="6">
        <v>1077.326</v>
      </c>
      <c r="O417" s="6">
        <v>107.73260000000001</v>
      </c>
      <c r="P417" s="6">
        <v>0</v>
      </c>
      <c r="Q417" s="4" t="s">
        <v>26</v>
      </c>
      <c r="R417" s="4">
        <v>0</v>
      </c>
      <c r="S417" s="4">
        <v>0</v>
      </c>
      <c r="T417" s="4">
        <v>44</v>
      </c>
      <c r="U417" s="4">
        <v>67</v>
      </c>
      <c r="V417" s="6">
        <f>IF(ISERROR(VLOOKUP($S$417,'TAR FIN'!$A$1:$O$104,15,0)),0,VLOOKUP($S$417,'TAR FIN'!$A$1:$O$104,15,0))</f>
        <v>0</v>
      </c>
      <c r="W417" s="6">
        <f>IF(ISERROR(VLOOKUP($T$417,'TAR FIN'!$A$1:$O$104,15,0)),0,VLOOKUP($T$417,'TAR FIN'!$A$1:$O$104,15,0))</f>
        <v>62.57</v>
      </c>
      <c r="X417" s="6">
        <f>IF(ISERROR(VLOOKUP($U$417,'TAR FIN'!$A$1:$O$104,15,0)),0,VLOOKUP($U$417,'TAR FIN'!$A$1:$O$104,15,0))</f>
        <v>242.82</v>
      </c>
      <c r="Y417" s="6"/>
      <c r="Z417" s="6">
        <f ca="1">('TUSD BE'!$AM$26+'TUSD BF'!$AM$26+'TUSD CVA'!$AM$26)*1</f>
        <v>77.876201961015255</v>
      </c>
      <c r="AA417" s="6">
        <f>('TE BE'!$AB$8+'TE BF'!$AB$8+'TE CVA'!$AB$8)*1</f>
        <v>231.76257384332172</v>
      </c>
      <c r="AB417" s="6">
        <f t="shared" si="26"/>
        <v>0</v>
      </c>
      <c r="AC417" s="6">
        <f t="shared" si="27"/>
        <v>296104.12842600001</v>
      </c>
      <c r="AD417" s="6">
        <f t="shared" si="28"/>
        <v>0</v>
      </c>
      <c r="AE417" s="6">
        <f t="shared" ca="1" si="29"/>
        <v>300223.71340396482</v>
      </c>
      <c r="AF417" s="4" t="s">
        <v>1001</v>
      </c>
    </row>
    <row r="418" spans="1:32" ht="11.25" customHeight="1" x14ac:dyDescent="0.25">
      <c r="A418" s="4" t="s">
        <v>27</v>
      </c>
      <c r="B418" s="4" t="s">
        <v>41</v>
      </c>
      <c r="C418" s="4" t="s">
        <v>42</v>
      </c>
      <c r="D418" s="4" t="s">
        <v>45</v>
      </c>
      <c r="E418" s="4" t="s">
        <v>53</v>
      </c>
      <c r="F418" s="4" t="s">
        <v>55</v>
      </c>
      <c r="G418" s="4" t="s">
        <v>25</v>
      </c>
      <c r="H418" s="4" t="s">
        <v>35</v>
      </c>
      <c r="I418" s="5">
        <v>44409</v>
      </c>
      <c r="J418" s="6">
        <v>0</v>
      </c>
      <c r="K418" s="6">
        <v>0</v>
      </c>
      <c r="L418" s="6">
        <v>-18.64</v>
      </c>
      <c r="M418" s="6">
        <v>-1.8640000000000001</v>
      </c>
      <c r="N418" s="6">
        <v>-18.64</v>
      </c>
      <c r="O418" s="6">
        <v>-1.8640000000000001</v>
      </c>
      <c r="P418" s="6">
        <v>0</v>
      </c>
      <c r="Q418" s="4" t="s">
        <v>26</v>
      </c>
      <c r="R418" s="4">
        <v>0</v>
      </c>
      <c r="S418" s="4">
        <v>0</v>
      </c>
      <c r="T418" s="4">
        <v>44</v>
      </c>
      <c r="U418" s="4">
        <v>67</v>
      </c>
      <c r="V418" s="6">
        <f>IF(ISERROR(VLOOKUP($S$418,'TAR FIN'!$A$1:$O$104,15,0)),0,VLOOKUP($S$418,'TAR FIN'!$A$1:$O$104,15,0))</f>
        <v>0</v>
      </c>
      <c r="W418" s="6">
        <f>IF(ISERROR(VLOOKUP($T$418,'TAR FIN'!$A$1:$O$104,15,0)),0,VLOOKUP($T$418,'TAR FIN'!$A$1:$O$104,15,0))</f>
        <v>62.57</v>
      </c>
      <c r="X418" s="6">
        <f>IF(ISERROR(VLOOKUP($U$418,'TAR FIN'!$A$1:$O$104,15,0)),0,VLOOKUP($U$418,'TAR FIN'!$A$1:$O$104,15,0))</f>
        <v>242.82</v>
      </c>
      <c r="Y418" s="6"/>
      <c r="Z418" s="6">
        <f ca="1">('TUSD BE'!$AM$26+'TUSD BF'!$AM$26+'TUSD CVA'!$AM$26)*1</f>
        <v>77.876201961015255</v>
      </c>
      <c r="AA418" s="6">
        <f>('TE BE'!$AB$8+'TE BF'!$AB$8+'TE CVA'!$AB$8)*1</f>
        <v>231.76257384332172</v>
      </c>
      <c r="AB418" s="6">
        <f t="shared" si="26"/>
        <v>0</v>
      </c>
      <c r="AC418" s="6">
        <f t="shared" si="27"/>
        <v>-5123.22264</v>
      </c>
      <c r="AD418" s="6">
        <f t="shared" si="28"/>
        <v>0</v>
      </c>
      <c r="AE418" s="6">
        <f t="shared" ca="1" si="29"/>
        <v>-5194.5001028935567</v>
      </c>
      <c r="AF418" s="4" t="s">
        <v>1001</v>
      </c>
    </row>
    <row r="419" spans="1:32" ht="11.25" customHeight="1" x14ac:dyDescent="0.25">
      <c r="A419" s="4" t="s">
        <v>28</v>
      </c>
      <c r="B419" s="4" t="s">
        <v>41</v>
      </c>
      <c r="C419" s="4" t="s">
        <v>42</v>
      </c>
      <c r="D419" s="4" t="s">
        <v>45</v>
      </c>
      <c r="E419" s="4" t="s">
        <v>53</v>
      </c>
      <c r="F419" s="4" t="s">
        <v>55</v>
      </c>
      <c r="G419" s="4" t="s">
        <v>25</v>
      </c>
      <c r="H419" s="4" t="s">
        <v>35</v>
      </c>
      <c r="I419" s="5">
        <v>44409</v>
      </c>
      <c r="J419" s="6">
        <v>0</v>
      </c>
      <c r="K419" s="6">
        <v>0</v>
      </c>
      <c r="L419" s="6">
        <v>29.556000000000001</v>
      </c>
      <c r="M419" s="6">
        <v>2.9556</v>
      </c>
      <c r="N419" s="6">
        <v>29.556000000000001</v>
      </c>
      <c r="O419" s="6">
        <v>2.9556</v>
      </c>
      <c r="P419" s="6">
        <v>0</v>
      </c>
      <c r="Q419" s="4" t="s">
        <v>26</v>
      </c>
      <c r="R419" s="4">
        <v>0</v>
      </c>
      <c r="S419" s="4">
        <v>0</v>
      </c>
      <c r="T419" s="4">
        <v>44</v>
      </c>
      <c r="U419" s="4">
        <v>67</v>
      </c>
      <c r="V419" s="6">
        <f>IF(ISERROR(VLOOKUP($S$419,'TAR FIN'!$A$1:$O$104,15,0)),0,VLOOKUP($S$419,'TAR FIN'!$A$1:$O$104,15,0))</f>
        <v>0</v>
      </c>
      <c r="W419" s="6">
        <f>IF(ISERROR(VLOOKUP($T$419,'TAR FIN'!$A$1:$O$104,15,0)),0,VLOOKUP($T$419,'TAR FIN'!$A$1:$O$104,15,0))</f>
        <v>62.57</v>
      </c>
      <c r="X419" s="6">
        <f>IF(ISERROR(VLOOKUP($U$419,'TAR FIN'!$A$1:$O$104,15,0)),0,VLOOKUP($U$419,'TAR FIN'!$A$1:$O$104,15,0))</f>
        <v>242.82</v>
      </c>
      <c r="Y419" s="6"/>
      <c r="Z419" s="6">
        <f ca="1">('TUSD BE'!$AM$26+'TUSD BF'!$AM$26+'TUSD CVA'!$AM$26)*1</f>
        <v>77.876201961015255</v>
      </c>
      <c r="AA419" s="6">
        <f>('TE BE'!$AB$8+'TE BF'!$AB$8+'TE CVA'!$AB$8)*1</f>
        <v>231.76257384332172</v>
      </c>
      <c r="AB419" s="6">
        <f t="shared" si="26"/>
        <v>0</v>
      </c>
      <c r="AC419" s="6">
        <f t="shared" si="27"/>
        <v>8123.4961560000002</v>
      </c>
      <c r="AD419" s="6">
        <f t="shared" si="28"/>
        <v>0</v>
      </c>
      <c r="AE419" s="6">
        <f t="shared" ca="1" si="29"/>
        <v>8236.5152919056854</v>
      </c>
      <c r="AF419" s="4" t="s">
        <v>1001</v>
      </c>
    </row>
    <row r="420" spans="1:32" ht="11.25" customHeight="1" x14ac:dyDescent="0.25">
      <c r="A420" s="4" t="s">
        <v>28</v>
      </c>
      <c r="B420" s="4" t="s">
        <v>41</v>
      </c>
      <c r="C420" s="4" t="s">
        <v>42</v>
      </c>
      <c r="D420" s="4" t="s">
        <v>45</v>
      </c>
      <c r="E420" s="4" t="s">
        <v>53</v>
      </c>
      <c r="F420" s="4" t="s">
        <v>55</v>
      </c>
      <c r="G420" s="4" t="s">
        <v>25</v>
      </c>
      <c r="H420" s="4" t="s">
        <v>35</v>
      </c>
      <c r="I420" s="5">
        <v>44409</v>
      </c>
      <c r="J420" s="6">
        <v>0</v>
      </c>
      <c r="K420" s="6">
        <v>0</v>
      </c>
      <c r="L420" s="6">
        <v>-26.67</v>
      </c>
      <c r="M420" s="6">
        <v>-2.6669999999999998</v>
      </c>
      <c r="N420" s="6">
        <v>-26.67</v>
      </c>
      <c r="O420" s="6">
        <v>-2.6669999999999998</v>
      </c>
      <c r="P420" s="6">
        <v>0</v>
      </c>
      <c r="Q420" s="4" t="s">
        <v>26</v>
      </c>
      <c r="R420" s="4">
        <v>0</v>
      </c>
      <c r="S420" s="4">
        <v>0</v>
      </c>
      <c r="T420" s="4">
        <v>44</v>
      </c>
      <c r="U420" s="4">
        <v>67</v>
      </c>
      <c r="V420" s="6">
        <f>IF(ISERROR(VLOOKUP($S$420,'TAR FIN'!$A$1:$O$104,15,0)),0,VLOOKUP($S$420,'TAR FIN'!$A$1:$O$104,15,0))</f>
        <v>0</v>
      </c>
      <c r="W420" s="6">
        <f>IF(ISERROR(VLOOKUP($T$420,'TAR FIN'!$A$1:$O$104,15,0)),0,VLOOKUP($T$420,'TAR FIN'!$A$1:$O$104,15,0))</f>
        <v>62.57</v>
      </c>
      <c r="X420" s="6">
        <f>IF(ISERROR(VLOOKUP($U$420,'TAR FIN'!$A$1:$O$104,15,0)),0,VLOOKUP($U$420,'TAR FIN'!$A$1:$O$104,15,0))</f>
        <v>242.82</v>
      </c>
      <c r="Y420" s="6"/>
      <c r="Z420" s="6">
        <f ca="1">('TUSD BE'!$AM$26+'TUSD BF'!$AM$26+'TUSD CVA'!$AM$26)*1</f>
        <v>77.876201961015255</v>
      </c>
      <c r="AA420" s="6">
        <f>('TE BE'!$AB$8+'TE BF'!$AB$8+'TE CVA'!$AB$8)*1</f>
        <v>231.76257384332172</v>
      </c>
      <c r="AB420" s="6">
        <f t="shared" si="26"/>
        <v>0</v>
      </c>
      <c r="AC420" s="6">
        <f t="shared" si="27"/>
        <v>-7330.2761699999992</v>
      </c>
      <c r="AD420" s="6">
        <f t="shared" si="28"/>
        <v>0</v>
      </c>
      <c r="AE420" s="6">
        <f t="shared" ca="1" si="29"/>
        <v>-7432.2595356315005</v>
      </c>
      <c r="AF420" s="4" t="s">
        <v>1001</v>
      </c>
    </row>
    <row r="421" spans="1:32" ht="11.25" customHeight="1" x14ac:dyDescent="0.25">
      <c r="A421" s="4" t="s">
        <v>21</v>
      </c>
      <c r="B421" s="4" t="s">
        <v>41</v>
      </c>
      <c r="C421" s="4" t="s">
        <v>42</v>
      </c>
      <c r="D421" s="4" t="s">
        <v>45</v>
      </c>
      <c r="E421" s="4" t="s">
        <v>53</v>
      </c>
      <c r="F421" s="4" t="s">
        <v>55</v>
      </c>
      <c r="G421" s="4" t="s">
        <v>25</v>
      </c>
      <c r="H421" s="4" t="s">
        <v>35</v>
      </c>
      <c r="I421" s="5">
        <v>44440</v>
      </c>
      <c r="J421" s="6">
        <v>0</v>
      </c>
      <c r="K421" s="6">
        <v>0</v>
      </c>
      <c r="L421" s="6">
        <v>1455.296</v>
      </c>
      <c r="M421" s="6">
        <v>145.52959999999999</v>
      </c>
      <c r="N421" s="6">
        <v>1455.296</v>
      </c>
      <c r="O421" s="6">
        <v>145.52959999999999</v>
      </c>
      <c r="P421" s="6">
        <v>0</v>
      </c>
      <c r="Q421" s="4" t="s">
        <v>26</v>
      </c>
      <c r="R421" s="4">
        <v>0</v>
      </c>
      <c r="S421" s="4">
        <v>0</v>
      </c>
      <c r="T421" s="4">
        <v>44</v>
      </c>
      <c r="U421" s="4">
        <v>67</v>
      </c>
      <c r="V421" s="6">
        <f>IF(ISERROR(VLOOKUP($S$421,'TAR FIN'!$A$1:$O$104,15,0)),0,VLOOKUP($S$421,'TAR FIN'!$A$1:$O$104,15,0))</f>
        <v>0</v>
      </c>
      <c r="W421" s="6">
        <f>IF(ISERROR(VLOOKUP($T$421,'TAR FIN'!$A$1:$O$104,15,0)),0,VLOOKUP($T$421,'TAR FIN'!$A$1:$O$104,15,0))</f>
        <v>62.57</v>
      </c>
      <c r="X421" s="6">
        <f>IF(ISERROR(VLOOKUP($U$421,'TAR FIN'!$A$1:$O$104,15,0)),0,VLOOKUP($U$421,'TAR FIN'!$A$1:$O$104,15,0))</f>
        <v>242.82</v>
      </c>
      <c r="Y421" s="6"/>
      <c r="Z421" s="6">
        <f ca="1">('TUSD BE'!$AM$26+'TUSD BF'!$AM$26+'TUSD CVA'!$AM$26)*1</f>
        <v>77.876201961015255</v>
      </c>
      <c r="AA421" s="6">
        <f>('TE BE'!$AB$8+'TE BF'!$AB$8+'TE CVA'!$AB$8)*1</f>
        <v>231.76257384332172</v>
      </c>
      <c r="AB421" s="6">
        <f t="shared" si="26"/>
        <v>0</v>
      </c>
      <c r="AC421" s="6">
        <f t="shared" si="27"/>
        <v>399989.56089600001</v>
      </c>
      <c r="AD421" s="6">
        <f t="shared" si="28"/>
        <v>0</v>
      </c>
      <c r="AE421" s="6">
        <f t="shared" ca="1" si="29"/>
        <v>405554.46468565357</v>
      </c>
      <c r="AF421" s="4" t="s">
        <v>1001</v>
      </c>
    </row>
    <row r="422" spans="1:32" ht="11.25" customHeight="1" x14ac:dyDescent="0.25">
      <c r="A422" s="4" t="s">
        <v>28</v>
      </c>
      <c r="B422" s="4" t="s">
        <v>41</v>
      </c>
      <c r="C422" s="4" t="s">
        <v>42</v>
      </c>
      <c r="D422" s="4" t="s">
        <v>45</v>
      </c>
      <c r="E422" s="4" t="s">
        <v>53</v>
      </c>
      <c r="F422" s="4" t="s">
        <v>55</v>
      </c>
      <c r="G422" s="4" t="s">
        <v>25</v>
      </c>
      <c r="H422" s="4" t="s">
        <v>35</v>
      </c>
      <c r="I422" s="5">
        <v>44440</v>
      </c>
      <c r="J422" s="6">
        <v>0</v>
      </c>
      <c r="K422" s="6">
        <v>0</v>
      </c>
      <c r="L422" s="6">
        <v>0.25600000000000001</v>
      </c>
      <c r="M422" s="6">
        <v>2.5600000000000001E-2</v>
      </c>
      <c r="N422" s="6">
        <v>0.25600000000000001</v>
      </c>
      <c r="O422" s="6">
        <v>2.5600000000000001E-2</v>
      </c>
      <c r="P422" s="6">
        <v>0</v>
      </c>
      <c r="Q422" s="4" t="s">
        <v>26</v>
      </c>
      <c r="R422" s="4">
        <v>0</v>
      </c>
      <c r="S422" s="4">
        <v>0</v>
      </c>
      <c r="T422" s="4">
        <v>44</v>
      </c>
      <c r="U422" s="4">
        <v>67</v>
      </c>
      <c r="V422" s="6">
        <f>IF(ISERROR(VLOOKUP($S$422,'TAR FIN'!$A$1:$O$104,15,0)),0,VLOOKUP($S$422,'TAR FIN'!$A$1:$O$104,15,0))</f>
        <v>0</v>
      </c>
      <c r="W422" s="6">
        <f>IF(ISERROR(VLOOKUP($T$422,'TAR FIN'!$A$1:$O$104,15,0)),0,VLOOKUP($T$422,'TAR FIN'!$A$1:$O$104,15,0))</f>
        <v>62.57</v>
      </c>
      <c r="X422" s="6">
        <f>IF(ISERROR(VLOOKUP($U$422,'TAR FIN'!$A$1:$O$104,15,0)),0,VLOOKUP($U$422,'TAR FIN'!$A$1:$O$104,15,0))</f>
        <v>242.82</v>
      </c>
      <c r="Y422" s="6"/>
      <c r="Z422" s="6">
        <f ca="1">('TUSD BE'!$AM$26+'TUSD BF'!$AM$26+'TUSD CVA'!$AM$26)*1</f>
        <v>77.876201961015255</v>
      </c>
      <c r="AA422" s="6">
        <f>('TE BE'!$AB$8+'TE BF'!$AB$8+'TE CVA'!$AB$8)*1</f>
        <v>231.76257384332172</v>
      </c>
      <c r="AB422" s="6">
        <f t="shared" si="26"/>
        <v>0</v>
      </c>
      <c r="AC422" s="6">
        <f t="shared" si="27"/>
        <v>70.361855999999989</v>
      </c>
      <c r="AD422" s="6">
        <f t="shared" si="28"/>
        <v>0</v>
      </c>
      <c r="AE422" s="6">
        <f t="shared" ca="1" si="29"/>
        <v>71.340773945319228</v>
      </c>
      <c r="AF422" s="4" t="s">
        <v>1001</v>
      </c>
    </row>
    <row r="423" spans="1:32" ht="11.25" customHeight="1" x14ac:dyDescent="0.25">
      <c r="A423" s="4" t="s">
        <v>21</v>
      </c>
      <c r="B423" s="4" t="s">
        <v>41</v>
      </c>
      <c r="C423" s="4" t="s">
        <v>42</v>
      </c>
      <c r="D423" s="4" t="s">
        <v>45</v>
      </c>
      <c r="E423" s="4" t="s">
        <v>53</v>
      </c>
      <c r="F423" s="4" t="s">
        <v>55</v>
      </c>
      <c r="G423" s="4" t="s">
        <v>25</v>
      </c>
      <c r="H423" s="4" t="s">
        <v>35</v>
      </c>
      <c r="I423" s="5">
        <v>44470</v>
      </c>
      <c r="J423" s="6">
        <v>0</v>
      </c>
      <c r="K423" s="6">
        <v>0</v>
      </c>
      <c r="L423" s="6">
        <v>1622.479</v>
      </c>
      <c r="M423" s="6">
        <v>162.24789999999999</v>
      </c>
      <c r="N423" s="6">
        <v>1622.479</v>
      </c>
      <c r="O423" s="6">
        <v>162.24789999999999</v>
      </c>
      <c r="P423" s="6">
        <v>0</v>
      </c>
      <c r="Q423" s="4" t="s">
        <v>26</v>
      </c>
      <c r="R423" s="4">
        <v>0</v>
      </c>
      <c r="S423" s="4">
        <v>0</v>
      </c>
      <c r="T423" s="4">
        <v>44</v>
      </c>
      <c r="U423" s="4">
        <v>67</v>
      </c>
      <c r="V423" s="6">
        <f>IF(ISERROR(VLOOKUP($S$423,'TAR FIN'!$A$1:$O$104,15,0)),0,VLOOKUP($S$423,'TAR FIN'!$A$1:$O$104,15,0))</f>
        <v>0</v>
      </c>
      <c r="W423" s="6">
        <f>IF(ISERROR(VLOOKUP($T$423,'TAR FIN'!$A$1:$O$104,15,0)),0,VLOOKUP($T$423,'TAR FIN'!$A$1:$O$104,15,0))</f>
        <v>62.57</v>
      </c>
      <c r="X423" s="6">
        <f>IF(ISERROR(VLOOKUP($U$423,'TAR FIN'!$A$1:$O$104,15,0)),0,VLOOKUP($U$423,'TAR FIN'!$A$1:$O$104,15,0))</f>
        <v>242.82</v>
      </c>
      <c r="Y423" s="6"/>
      <c r="Z423" s="6">
        <f ca="1">('TUSD BE'!$AM$26+'TUSD BF'!$AM$26+'TUSD CVA'!$AM$26)*1</f>
        <v>77.876201961015255</v>
      </c>
      <c r="AA423" s="6">
        <f>('TE BE'!$AB$8+'TE BF'!$AB$8+'TE CVA'!$AB$8)*1</f>
        <v>231.76257384332172</v>
      </c>
      <c r="AB423" s="6">
        <f t="shared" si="26"/>
        <v>0</v>
      </c>
      <c r="AC423" s="6">
        <f t="shared" si="27"/>
        <v>445939.97562899999</v>
      </c>
      <c r="AD423" s="6">
        <f t="shared" si="28"/>
        <v>0</v>
      </c>
      <c r="AE423" s="6">
        <f t="shared" ca="1" si="29"/>
        <v>452144.17019542033</v>
      </c>
      <c r="AF423" s="4" t="s">
        <v>1001</v>
      </c>
    </row>
    <row r="424" spans="1:32" ht="11.25" customHeight="1" x14ac:dyDescent="0.25">
      <c r="A424" s="4" t="s">
        <v>27</v>
      </c>
      <c r="B424" s="4" t="s">
        <v>41</v>
      </c>
      <c r="C424" s="4" t="s">
        <v>42</v>
      </c>
      <c r="D424" s="4" t="s">
        <v>45</v>
      </c>
      <c r="E424" s="4" t="s">
        <v>53</v>
      </c>
      <c r="F424" s="4" t="s">
        <v>55</v>
      </c>
      <c r="G424" s="4" t="s">
        <v>25</v>
      </c>
      <c r="H424" s="4" t="s">
        <v>35</v>
      </c>
      <c r="I424" s="5">
        <v>44470</v>
      </c>
      <c r="J424" s="6">
        <v>0</v>
      </c>
      <c r="K424" s="6">
        <v>0</v>
      </c>
      <c r="L424" s="6">
        <v>-58.344999999999999</v>
      </c>
      <c r="M424" s="6">
        <v>-5.8345000000000002</v>
      </c>
      <c r="N424" s="6">
        <v>-58.344999999999999</v>
      </c>
      <c r="O424" s="6">
        <v>-5.8345000000000002</v>
      </c>
      <c r="P424" s="6">
        <v>0</v>
      </c>
      <c r="Q424" s="4" t="s">
        <v>26</v>
      </c>
      <c r="R424" s="4">
        <v>0</v>
      </c>
      <c r="S424" s="4">
        <v>0</v>
      </c>
      <c r="T424" s="4">
        <v>44</v>
      </c>
      <c r="U424" s="4">
        <v>67</v>
      </c>
      <c r="V424" s="6">
        <f>IF(ISERROR(VLOOKUP($S$424,'TAR FIN'!$A$1:$O$104,15,0)),0,VLOOKUP($S$424,'TAR FIN'!$A$1:$O$104,15,0))</f>
        <v>0</v>
      </c>
      <c r="W424" s="6">
        <f>IF(ISERROR(VLOOKUP($T$424,'TAR FIN'!$A$1:$O$104,15,0)),0,VLOOKUP($T$424,'TAR FIN'!$A$1:$O$104,15,0))</f>
        <v>62.57</v>
      </c>
      <c r="X424" s="6">
        <f>IF(ISERROR(VLOOKUP($U$424,'TAR FIN'!$A$1:$O$104,15,0)),0,VLOOKUP($U$424,'TAR FIN'!$A$1:$O$104,15,0))</f>
        <v>242.82</v>
      </c>
      <c r="Y424" s="6"/>
      <c r="Z424" s="6">
        <f ca="1">('TUSD BE'!$AM$26+'TUSD BF'!$AM$26+'TUSD CVA'!$AM$26)*1</f>
        <v>77.876201961015255</v>
      </c>
      <c r="AA424" s="6">
        <f>('TE BE'!$AB$8+'TE BF'!$AB$8+'TE CVA'!$AB$8)*1</f>
        <v>231.76257384332172</v>
      </c>
      <c r="AB424" s="6">
        <f t="shared" si="26"/>
        <v>0</v>
      </c>
      <c r="AC424" s="6">
        <f t="shared" si="27"/>
        <v>-16036.181595</v>
      </c>
      <c r="AD424" s="6">
        <f t="shared" si="28"/>
        <v>0</v>
      </c>
      <c r="AE424" s="6">
        <f t="shared" ca="1" si="29"/>
        <v>-16259.286936873636</v>
      </c>
      <c r="AF424" s="4" t="s">
        <v>1001</v>
      </c>
    </row>
    <row r="425" spans="1:32" ht="11.25" customHeight="1" x14ac:dyDescent="0.25">
      <c r="A425" s="4" t="s">
        <v>28</v>
      </c>
      <c r="B425" s="4" t="s">
        <v>41</v>
      </c>
      <c r="C425" s="4" t="s">
        <v>42</v>
      </c>
      <c r="D425" s="4" t="s">
        <v>45</v>
      </c>
      <c r="E425" s="4" t="s">
        <v>53</v>
      </c>
      <c r="F425" s="4" t="s">
        <v>55</v>
      </c>
      <c r="G425" s="4" t="s">
        <v>25</v>
      </c>
      <c r="H425" s="4" t="s">
        <v>35</v>
      </c>
      <c r="I425" s="5">
        <v>44470</v>
      </c>
      <c r="J425" s="6">
        <v>0</v>
      </c>
      <c r="K425" s="6">
        <v>0</v>
      </c>
      <c r="L425" s="6">
        <v>7.6360000000000001</v>
      </c>
      <c r="M425" s="6">
        <v>0.76359999999999995</v>
      </c>
      <c r="N425" s="6">
        <v>7.6360000000000001</v>
      </c>
      <c r="O425" s="6">
        <v>0.76359999999999995</v>
      </c>
      <c r="P425" s="6">
        <v>0</v>
      </c>
      <c r="Q425" s="4" t="s">
        <v>26</v>
      </c>
      <c r="R425" s="4">
        <v>0</v>
      </c>
      <c r="S425" s="4">
        <v>0</v>
      </c>
      <c r="T425" s="4">
        <v>44</v>
      </c>
      <c r="U425" s="4">
        <v>67</v>
      </c>
      <c r="V425" s="6">
        <f>IF(ISERROR(VLOOKUP($S$425,'TAR FIN'!$A$1:$O$104,15,0)),0,VLOOKUP($S$425,'TAR FIN'!$A$1:$O$104,15,0))</f>
        <v>0</v>
      </c>
      <c r="W425" s="6">
        <f>IF(ISERROR(VLOOKUP($T$425,'TAR FIN'!$A$1:$O$104,15,0)),0,VLOOKUP($T$425,'TAR FIN'!$A$1:$O$104,15,0))</f>
        <v>62.57</v>
      </c>
      <c r="X425" s="6">
        <f>IF(ISERROR(VLOOKUP($U$425,'TAR FIN'!$A$1:$O$104,15,0)),0,VLOOKUP($U$425,'TAR FIN'!$A$1:$O$104,15,0))</f>
        <v>242.82</v>
      </c>
      <c r="Y425" s="6"/>
      <c r="Z425" s="6">
        <f ca="1">('TUSD BE'!$AM$26+'TUSD BF'!$AM$26+'TUSD CVA'!$AM$26)*1</f>
        <v>77.876201961015255</v>
      </c>
      <c r="AA425" s="6">
        <f>('TE BE'!$AB$8+'TE BF'!$AB$8+'TE CVA'!$AB$8)*1</f>
        <v>231.76257384332172</v>
      </c>
      <c r="AB425" s="6">
        <f t="shared" si="26"/>
        <v>0</v>
      </c>
      <c r="AC425" s="6">
        <f t="shared" si="27"/>
        <v>2098.762236</v>
      </c>
      <c r="AD425" s="6">
        <f t="shared" si="28"/>
        <v>0</v>
      </c>
      <c r="AE425" s="6">
        <f t="shared" ca="1" si="29"/>
        <v>2127.9615228377252</v>
      </c>
      <c r="AF425" s="4" t="s">
        <v>1001</v>
      </c>
    </row>
    <row r="426" spans="1:32" ht="11.25" customHeight="1" x14ac:dyDescent="0.25">
      <c r="A426" s="4" t="s">
        <v>21</v>
      </c>
      <c r="B426" s="4" t="s">
        <v>41</v>
      </c>
      <c r="C426" s="4" t="s">
        <v>42</v>
      </c>
      <c r="D426" s="4" t="s">
        <v>45</v>
      </c>
      <c r="E426" s="4" t="s">
        <v>53</v>
      </c>
      <c r="F426" s="4" t="s">
        <v>55</v>
      </c>
      <c r="G426" s="4" t="s">
        <v>25</v>
      </c>
      <c r="H426" s="4" t="s">
        <v>35</v>
      </c>
      <c r="I426" s="5">
        <v>44501</v>
      </c>
      <c r="J426" s="6">
        <v>0</v>
      </c>
      <c r="K426" s="6">
        <v>0</v>
      </c>
      <c r="L426" s="6">
        <v>1939.4159999999999</v>
      </c>
      <c r="M426" s="6">
        <v>193.94159999999999</v>
      </c>
      <c r="N426" s="6">
        <v>1939.4159999999999</v>
      </c>
      <c r="O426" s="6">
        <v>193.94159999999999</v>
      </c>
      <c r="P426" s="6">
        <v>0</v>
      </c>
      <c r="Q426" s="4" t="s">
        <v>26</v>
      </c>
      <c r="R426" s="4">
        <v>0</v>
      </c>
      <c r="S426" s="4">
        <v>0</v>
      </c>
      <c r="T426" s="4">
        <v>44</v>
      </c>
      <c r="U426" s="4">
        <v>67</v>
      </c>
      <c r="V426" s="6">
        <f>IF(ISERROR(VLOOKUP($S$426,'TAR FIN'!$A$1:$O$104,15,0)),0,VLOOKUP($S$426,'TAR FIN'!$A$1:$O$104,15,0))</f>
        <v>0</v>
      </c>
      <c r="W426" s="6">
        <f>IF(ISERROR(VLOOKUP($T$426,'TAR FIN'!$A$1:$O$104,15,0)),0,VLOOKUP($T$426,'TAR FIN'!$A$1:$O$104,15,0))</f>
        <v>62.57</v>
      </c>
      <c r="X426" s="6">
        <f>IF(ISERROR(VLOOKUP($U$426,'TAR FIN'!$A$1:$O$104,15,0)),0,VLOOKUP($U$426,'TAR FIN'!$A$1:$O$104,15,0))</f>
        <v>242.82</v>
      </c>
      <c r="Y426" s="6"/>
      <c r="Z426" s="6">
        <f ca="1">('TUSD BE'!$AM$26+'TUSD BF'!$AM$26+'TUSD CVA'!$AM$26)*1</f>
        <v>77.876201961015255</v>
      </c>
      <c r="AA426" s="6">
        <f>('TE BE'!$AB$8+'TE BF'!$AB$8+'TE CVA'!$AB$8)*1</f>
        <v>231.76257384332172</v>
      </c>
      <c r="AB426" s="6">
        <f t="shared" si="26"/>
        <v>0</v>
      </c>
      <c r="AC426" s="6">
        <f t="shared" si="27"/>
        <v>533050.42701600003</v>
      </c>
      <c r="AD426" s="6">
        <f t="shared" si="28"/>
        <v>0</v>
      </c>
      <c r="AE426" s="6">
        <f t="shared" ca="1" si="29"/>
        <v>540466.55641380965</v>
      </c>
      <c r="AF426" s="4" t="s">
        <v>1001</v>
      </c>
    </row>
    <row r="427" spans="1:32" ht="11.25" customHeight="1" x14ac:dyDescent="0.25">
      <c r="A427" s="4" t="s">
        <v>27</v>
      </c>
      <c r="B427" s="4" t="s">
        <v>41</v>
      </c>
      <c r="C427" s="4" t="s">
        <v>42</v>
      </c>
      <c r="D427" s="4" t="s">
        <v>45</v>
      </c>
      <c r="E427" s="4" t="s">
        <v>53</v>
      </c>
      <c r="F427" s="4" t="s">
        <v>55</v>
      </c>
      <c r="G427" s="4" t="s">
        <v>25</v>
      </c>
      <c r="H427" s="4" t="s">
        <v>35</v>
      </c>
      <c r="I427" s="5">
        <v>44501</v>
      </c>
      <c r="J427" s="6">
        <v>0</v>
      </c>
      <c r="K427" s="6">
        <v>0</v>
      </c>
      <c r="L427" s="6">
        <v>-34.674999999999997</v>
      </c>
      <c r="M427" s="6">
        <v>-3.4674999999999998</v>
      </c>
      <c r="N427" s="6">
        <v>-34.674999999999997</v>
      </c>
      <c r="O427" s="6">
        <v>-3.4674999999999998</v>
      </c>
      <c r="P427" s="6">
        <v>0</v>
      </c>
      <c r="Q427" s="4" t="s">
        <v>26</v>
      </c>
      <c r="R427" s="4">
        <v>0</v>
      </c>
      <c r="S427" s="4">
        <v>0</v>
      </c>
      <c r="T427" s="4">
        <v>44</v>
      </c>
      <c r="U427" s="4">
        <v>67</v>
      </c>
      <c r="V427" s="6">
        <f>IF(ISERROR(VLOOKUP($S$427,'TAR FIN'!$A$1:$O$104,15,0)),0,VLOOKUP($S$427,'TAR FIN'!$A$1:$O$104,15,0))</f>
        <v>0</v>
      </c>
      <c r="W427" s="6">
        <f>IF(ISERROR(VLOOKUP($T$427,'TAR FIN'!$A$1:$O$104,15,0)),0,VLOOKUP($T$427,'TAR FIN'!$A$1:$O$104,15,0))</f>
        <v>62.57</v>
      </c>
      <c r="X427" s="6">
        <f>IF(ISERROR(VLOOKUP($U$427,'TAR FIN'!$A$1:$O$104,15,0)),0,VLOOKUP($U$427,'TAR FIN'!$A$1:$O$104,15,0))</f>
        <v>242.82</v>
      </c>
      <c r="Y427" s="6"/>
      <c r="Z427" s="6">
        <f ca="1">('TUSD BE'!$AM$26+'TUSD BF'!$AM$26+'TUSD CVA'!$AM$26)*1</f>
        <v>77.876201961015255</v>
      </c>
      <c r="AA427" s="6">
        <f>('TE BE'!$AB$8+'TE BF'!$AB$8+'TE CVA'!$AB$8)*1</f>
        <v>231.76257384332172</v>
      </c>
      <c r="AB427" s="6">
        <f t="shared" si="26"/>
        <v>0</v>
      </c>
      <c r="AC427" s="6">
        <f t="shared" si="27"/>
        <v>-9530.4584249999989</v>
      </c>
      <c r="AD427" s="6">
        <f t="shared" si="28"/>
        <v>0</v>
      </c>
      <c r="AE427" s="6">
        <f t="shared" ca="1" si="29"/>
        <v>-9663.0520959138448</v>
      </c>
      <c r="AF427" s="4" t="s">
        <v>1001</v>
      </c>
    </row>
    <row r="428" spans="1:32" ht="11.25" customHeight="1" x14ac:dyDescent="0.25">
      <c r="A428" s="4" t="s">
        <v>28</v>
      </c>
      <c r="B428" s="4" t="s">
        <v>41</v>
      </c>
      <c r="C428" s="4" t="s">
        <v>42</v>
      </c>
      <c r="D428" s="4" t="s">
        <v>45</v>
      </c>
      <c r="E428" s="4" t="s">
        <v>53</v>
      </c>
      <c r="F428" s="4" t="s">
        <v>55</v>
      </c>
      <c r="G428" s="4" t="s">
        <v>25</v>
      </c>
      <c r="H428" s="4" t="s">
        <v>35</v>
      </c>
      <c r="I428" s="5">
        <v>44501</v>
      </c>
      <c r="J428" s="6">
        <v>0</v>
      </c>
      <c r="K428" s="6">
        <v>0</v>
      </c>
      <c r="L428" s="6">
        <v>16.544</v>
      </c>
      <c r="M428" s="6">
        <v>1.6544000000000001</v>
      </c>
      <c r="N428" s="6">
        <v>16.544</v>
      </c>
      <c r="O428" s="6">
        <v>1.6544000000000001</v>
      </c>
      <c r="P428" s="6">
        <v>0</v>
      </c>
      <c r="Q428" s="4" t="s">
        <v>26</v>
      </c>
      <c r="R428" s="4">
        <v>0</v>
      </c>
      <c r="S428" s="4">
        <v>0</v>
      </c>
      <c r="T428" s="4">
        <v>44</v>
      </c>
      <c r="U428" s="4">
        <v>67</v>
      </c>
      <c r="V428" s="6">
        <f>IF(ISERROR(VLOOKUP($S$428,'TAR FIN'!$A$1:$O$104,15,0)),0,VLOOKUP($S$428,'TAR FIN'!$A$1:$O$104,15,0))</f>
        <v>0</v>
      </c>
      <c r="W428" s="6">
        <f>IF(ISERROR(VLOOKUP($T$428,'TAR FIN'!$A$1:$O$104,15,0)),0,VLOOKUP($T$428,'TAR FIN'!$A$1:$O$104,15,0))</f>
        <v>62.57</v>
      </c>
      <c r="X428" s="6">
        <f>IF(ISERROR(VLOOKUP($U$428,'TAR FIN'!$A$1:$O$104,15,0)),0,VLOOKUP($U$428,'TAR FIN'!$A$1:$O$104,15,0))</f>
        <v>242.82</v>
      </c>
      <c r="Y428" s="6"/>
      <c r="Z428" s="6">
        <f ca="1">('TUSD BE'!$AM$26+'TUSD BF'!$AM$26+'TUSD CVA'!$AM$26)*1</f>
        <v>77.876201961015255</v>
      </c>
      <c r="AA428" s="6">
        <f>('TE BE'!$AB$8+'TE BF'!$AB$8+'TE CVA'!$AB$8)*1</f>
        <v>231.76257384332172</v>
      </c>
      <c r="AB428" s="6">
        <f t="shared" si="26"/>
        <v>0</v>
      </c>
      <c r="AC428" s="6">
        <f t="shared" si="27"/>
        <v>4547.1349439999995</v>
      </c>
      <c r="AD428" s="6">
        <f t="shared" si="28"/>
        <v>0</v>
      </c>
      <c r="AE428" s="6">
        <f t="shared" ca="1" si="29"/>
        <v>4610.397516216256</v>
      </c>
      <c r="AF428" s="4" t="s">
        <v>1001</v>
      </c>
    </row>
    <row r="429" spans="1:32" ht="11.25" customHeight="1" x14ac:dyDescent="0.25">
      <c r="A429" s="4" t="s">
        <v>28</v>
      </c>
      <c r="B429" s="4" t="s">
        <v>41</v>
      </c>
      <c r="C429" s="4" t="s">
        <v>42</v>
      </c>
      <c r="D429" s="4" t="s">
        <v>45</v>
      </c>
      <c r="E429" s="4" t="s">
        <v>53</v>
      </c>
      <c r="F429" s="4" t="s">
        <v>55</v>
      </c>
      <c r="G429" s="4" t="s">
        <v>25</v>
      </c>
      <c r="H429" s="4" t="s">
        <v>35</v>
      </c>
      <c r="I429" s="5">
        <v>44501</v>
      </c>
      <c r="J429" s="6">
        <v>0</v>
      </c>
      <c r="K429" s="6">
        <v>0</v>
      </c>
      <c r="L429" s="6">
        <v>41.655999999999999</v>
      </c>
      <c r="M429" s="6">
        <v>4.1656000000000004</v>
      </c>
      <c r="N429" s="6">
        <v>41.655999999999999</v>
      </c>
      <c r="O429" s="6">
        <v>4.1656000000000004</v>
      </c>
      <c r="P429" s="6">
        <v>0</v>
      </c>
      <c r="Q429" s="4" t="s">
        <v>26</v>
      </c>
      <c r="R429" s="4">
        <v>0</v>
      </c>
      <c r="S429" s="4">
        <v>0</v>
      </c>
      <c r="T429" s="4">
        <v>44</v>
      </c>
      <c r="U429" s="4">
        <v>67</v>
      </c>
      <c r="V429" s="6">
        <f>IF(ISERROR(VLOOKUP($S$429,'TAR FIN'!$A$1:$O$104,15,0)),0,VLOOKUP($S$429,'TAR FIN'!$A$1:$O$104,15,0))</f>
        <v>0</v>
      </c>
      <c r="W429" s="6">
        <f>IF(ISERROR(VLOOKUP($T$429,'TAR FIN'!$A$1:$O$104,15,0)),0,VLOOKUP($T$429,'TAR FIN'!$A$1:$O$104,15,0))</f>
        <v>62.57</v>
      </c>
      <c r="X429" s="6">
        <f>IF(ISERROR(VLOOKUP($U$429,'TAR FIN'!$A$1:$O$104,15,0)),0,VLOOKUP($U$429,'TAR FIN'!$A$1:$O$104,15,0))</f>
        <v>242.82</v>
      </c>
      <c r="Y429" s="6"/>
      <c r="Z429" s="6">
        <f ca="1">('TUSD BE'!$AM$26+'TUSD BF'!$AM$26+'TUSD CVA'!$AM$26)*1</f>
        <v>77.876201961015255</v>
      </c>
      <c r="AA429" s="6">
        <f>('TE BE'!$AB$8+'TE BF'!$AB$8+'TE CVA'!$AB$8)*1</f>
        <v>231.76257384332172</v>
      </c>
      <c r="AB429" s="6">
        <f t="shared" si="26"/>
        <v>0</v>
      </c>
      <c r="AC429" s="6">
        <f t="shared" si="27"/>
        <v>11449.193255999999</v>
      </c>
      <c r="AD429" s="6">
        <f t="shared" si="28"/>
        <v>0</v>
      </c>
      <c r="AE429" s="6">
        <f t="shared" ca="1" si="29"/>
        <v>11608.481560414915</v>
      </c>
      <c r="AF429" s="4" t="s">
        <v>1001</v>
      </c>
    </row>
    <row r="430" spans="1:32" ht="11.25" customHeight="1" x14ac:dyDescent="0.25">
      <c r="A430" s="4" t="s">
        <v>21</v>
      </c>
      <c r="B430" s="4" t="s">
        <v>41</v>
      </c>
      <c r="C430" s="4" t="s">
        <v>42</v>
      </c>
      <c r="D430" s="4" t="s">
        <v>45</v>
      </c>
      <c r="E430" s="4" t="s">
        <v>53</v>
      </c>
      <c r="F430" s="4" t="s">
        <v>55</v>
      </c>
      <c r="G430" s="4" t="s">
        <v>25</v>
      </c>
      <c r="H430" s="4" t="s">
        <v>35</v>
      </c>
      <c r="I430" s="5">
        <v>44531</v>
      </c>
      <c r="J430" s="6">
        <v>0</v>
      </c>
      <c r="K430" s="6">
        <v>0</v>
      </c>
      <c r="L430" s="6">
        <v>2144.2049999999999</v>
      </c>
      <c r="M430" s="6">
        <v>214.4205</v>
      </c>
      <c r="N430" s="6">
        <v>2144.2049999999999</v>
      </c>
      <c r="O430" s="6">
        <v>214.4205</v>
      </c>
      <c r="P430" s="6">
        <v>0</v>
      </c>
      <c r="Q430" s="4" t="s">
        <v>26</v>
      </c>
      <c r="R430" s="4">
        <v>0</v>
      </c>
      <c r="S430" s="4">
        <v>0</v>
      </c>
      <c r="T430" s="4">
        <v>44</v>
      </c>
      <c r="U430" s="4">
        <v>67</v>
      </c>
      <c r="V430" s="6">
        <f>IF(ISERROR(VLOOKUP($S$430,'TAR FIN'!$A$1:$O$104,15,0)),0,VLOOKUP($S$430,'TAR FIN'!$A$1:$O$104,15,0))</f>
        <v>0</v>
      </c>
      <c r="W430" s="6">
        <f>IF(ISERROR(VLOOKUP($T$430,'TAR FIN'!$A$1:$O$104,15,0)),0,VLOOKUP($T$430,'TAR FIN'!$A$1:$O$104,15,0))</f>
        <v>62.57</v>
      </c>
      <c r="X430" s="6">
        <f>IF(ISERROR(VLOOKUP($U$430,'TAR FIN'!$A$1:$O$104,15,0)),0,VLOOKUP($U$430,'TAR FIN'!$A$1:$O$104,15,0))</f>
        <v>242.82</v>
      </c>
      <c r="Y430" s="6"/>
      <c r="Z430" s="6">
        <f ca="1">('TUSD BE'!$AM$26+'TUSD BF'!$AM$26+'TUSD CVA'!$AM$26)*1</f>
        <v>77.876201961015255</v>
      </c>
      <c r="AA430" s="6">
        <f>('TE BE'!$AB$8+'TE BF'!$AB$8+'TE CVA'!$AB$8)*1</f>
        <v>231.76257384332172</v>
      </c>
      <c r="AB430" s="6">
        <f t="shared" si="26"/>
        <v>0</v>
      </c>
      <c r="AC430" s="6">
        <f t="shared" si="27"/>
        <v>589336.88845500001</v>
      </c>
      <c r="AD430" s="6">
        <f t="shared" si="28"/>
        <v>0</v>
      </c>
      <c r="AE430" s="6">
        <f t="shared" ca="1" si="29"/>
        <v>597536.11014618445</v>
      </c>
      <c r="AF430" s="4" t="s">
        <v>1001</v>
      </c>
    </row>
    <row r="431" spans="1:32" ht="11.25" customHeight="1" x14ac:dyDescent="0.25">
      <c r="A431" s="4" t="s">
        <v>27</v>
      </c>
      <c r="B431" s="4" t="s">
        <v>41</v>
      </c>
      <c r="C431" s="4" t="s">
        <v>42</v>
      </c>
      <c r="D431" s="4" t="s">
        <v>45</v>
      </c>
      <c r="E431" s="4" t="s">
        <v>53</v>
      </c>
      <c r="F431" s="4" t="s">
        <v>55</v>
      </c>
      <c r="G431" s="4" t="s">
        <v>25</v>
      </c>
      <c r="H431" s="4" t="s">
        <v>35</v>
      </c>
      <c r="I431" s="5">
        <v>44531</v>
      </c>
      <c r="J431" s="6">
        <v>0</v>
      </c>
      <c r="K431" s="6">
        <v>0</v>
      </c>
      <c r="L431" s="6">
        <v>22.911999999999999</v>
      </c>
      <c r="M431" s="6">
        <v>2.2911999999999999</v>
      </c>
      <c r="N431" s="6">
        <v>22.911999999999999</v>
      </c>
      <c r="O431" s="6">
        <v>2.2911999999999999</v>
      </c>
      <c r="P431" s="6">
        <v>0</v>
      </c>
      <c r="Q431" s="4" t="s">
        <v>26</v>
      </c>
      <c r="R431" s="4">
        <v>0</v>
      </c>
      <c r="S431" s="4">
        <v>0</v>
      </c>
      <c r="T431" s="4">
        <v>44</v>
      </c>
      <c r="U431" s="4">
        <v>67</v>
      </c>
      <c r="V431" s="6">
        <f>IF(ISERROR(VLOOKUP($S$431,'TAR FIN'!$A$1:$O$104,15,0)),0,VLOOKUP($S$431,'TAR FIN'!$A$1:$O$104,15,0))</f>
        <v>0</v>
      </c>
      <c r="W431" s="6">
        <f>IF(ISERROR(VLOOKUP($T$431,'TAR FIN'!$A$1:$O$104,15,0)),0,VLOOKUP($T$431,'TAR FIN'!$A$1:$O$104,15,0))</f>
        <v>62.57</v>
      </c>
      <c r="X431" s="6">
        <f>IF(ISERROR(VLOOKUP($U$431,'TAR FIN'!$A$1:$O$104,15,0)),0,VLOOKUP($U$431,'TAR FIN'!$A$1:$O$104,15,0))</f>
        <v>242.82</v>
      </c>
      <c r="Y431" s="6"/>
      <c r="Z431" s="6">
        <f ca="1">('TUSD BE'!$AM$26+'TUSD BF'!$AM$26+'TUSD CVA'!$AM$26)*1</f>
        <v>77.876201961015255</v>
      </c>
      <c r="AA431" s="6">
        <f>('TE BE'!$AB$8+'TE BF'!$AB$8+'TE CVA'!$AB$8)*1</f>
        <v>231.76257384332172</v>
      </c>
      <c r="AB431" s="6">
        <f t="shared" si="26"/>
        <v>0</v>
      </c>
      <c r="AC431" s="6">
        <f t="shared" si="27"/>
        <v>6297.3861120000001</v>
      </c>
      <c r="AD431" s="6">
        <f t="shared" si="28"/>
        <v>0</v>
      </c>
      <c r="AE431" s="6">
        <f t="shared" ca="1" si="29"/>
        <v>6384.9992681060712</v>
      </c>
      <c r="AF431" s="4" t="s">
        <v>1001</v>
      </c>
    </row>
    <row r="432" spans="1:32" ht="11.25" customHeight="1" x14ac:dyDescent="0.25">
      <c r="A432" s="4" t="s">
        <v>28</v>
      </c>
      <c r="B432" s="4" t="s">
        <v>41</v>
      </c>
      <c r="C432" s="4" t="s">
        <v>42</v>
      </c>
      <c r="D432" s="4" t="s">
        <v>45</v>
      </c>
      <c r="E432" s="4" t="s">
        <v>53</v>
      </c>
      <c r="F432" s="4" t="s">
        <v>55</v>
      </c>
      <c r="G432" s="4" t="s">
        <v>25</v>
      </c>
      <c r="H432" s="4" t="s">
        <v>35</v>
      </c>
      <c r="I432" s="5">
        <v>44531</v>
      </c>
      <c r="J432" s="6">
        <v>0</v>
      </c>
      <c r="K432" s="6">
        <v>0</v>
      </c>
      <c r="L432" s="6">
        <v>20.131</v>
      </c>
      <c r="M432" s="6">
        <v>2.0131000000000001</v>
      </c>
      <c r="N432" s="6">
        <v>20.131</v>
      </c>
      <c r="O432" s="6">
        <v>2.0131000000000001</v>
      </c>
      <c r="P432" s="6">
        <v>0</v>
      </c>
      <c r="Q432" s="4" t="s">
        <v>26</v>
      </c>
      <c r="R432" s="4">
        <v>0</v>
      </c>
      <c r="S432" s="4">
        <v>0</v>
      </c>
      <c r="T432" s="4">
        <v>44</v>
      </c>
      <c r="U432" s="4">
        <v>67</v>
      </c>
      <c r="V432" s="6">
        <f>IF(ISERROR(VLOOKUP($S$432,'TAR FIN'!$A$1:$O$104,15,0)),0,VLOOKUP($S$432,'TAR FIN'!$A$1:$O$104,15,0))</f>
        <v>0</v>
      </c>
      <c r="W432" s="6">
        <f>IF(ISERROR(VLOOKUP($T$432,'TAR FIN'!$A$1:$O$104,15,0)),0,VLOOKUP($T$432,'TAR FIN'!$A$1:$O$104,15,0))</f>
        <v>62.57</v>
      </c>
      <c r="X432" s="6">
        <f>IF(ISERROR(VLOOKUP($U$432,'TAR FIN'!$A$1:$O$104,15,0)),0,VLOOKUP($U$432,'TAR FIN'!$A$1:$O$104,15,0))</f>
        <v>242.82</v>
      </c>
      <c r="Y432" s="6"/>
      <c r="Z432" s="6">
        <f ca="1">('TUSD BE'!$AM$26+'TUSD BF'!$AM$26+'TUSD CVA'!$AM$26)*1</f>
        <v>77.876201961015255</v>
      </c>
      <c r="AA432" s="6">
        <f>('TE BE'!$AB$8+'TE BF'!$AB$8+'TE CVA'!$AB$8)*1</f>
        <v>231.76257384332172</v>
      </c>
      <c r="AB432" s="6">
        <f t="shared" si="26"/>
        <v>0</v>
      </c>
      <c r="AC432" s="6">
        <f t="shared" si="27"/>
        <v>5533.0254809999997</v>
      </c>
      <c r="AD432" s="6">
        <f t="shared" si="28"/>
        <v>0</v>
      </c>
      <c r="AE432" s="6">
        <f t="shared" ca="1" si="29"/>
        <v>5610.0043761453962</v>
      </c>
      <c r="AF432" s="4" t="s">
        <v>1001</v>
      </c>
    </row>
    <row r="433" spans="1:32" ht="11.25" customHeight="1" x14ac:dyDescent="0.25">
      <c r="A433" s="4" t="s">
        <v>21</v>
      </c>
      <c r="B433" s="4" t="s">
        <v>41</v>
      </c>
      <c r="C433" s="4" t="s">
        <v>42</v>
      </c>
      <c r="D433" s="4" t="s">
        <v>45</v>
      </c>
      <c r="E433" s="4" t="s">
        <v>53</v>
      </c>
      <c r="F433" s="4" t="s">
        <v>55</v>
      </c>
      <c r="G433" s="4" t="s">
        <v>25</v>
      </c>
      <c r="H433" s="4" t="s">
        <v>35</v>
      </c>
      <c r="I433" s="5">
        <v>44562</v>
      </c>
      <c r="J433" s="6">
        <v>0</v>
      </c>
      <c r="K433" s="6">
        <v>0</v>
      </c>
      <c r="L433" s="6">
        <v>1625.114</v>
      </c>
      <c r="M433" s="6">
        <v>162.51140000000001</v>
      </c>
      <c r="N433" s="6">
        <v>1625.114</v>
      </c>
      <c r="O433" s="6">
        <v>162.51140000000001</v>
      </c>
      <c r="P433" s="6">
        <v>0</v>
      </c>
      <c r="Q433" s="4" t="s">
        <v>26</v>
      </c>
      <c r="R433" s="4">
        <v>0</v>
      </c>
      <c r="S433" s="4">
        <v>0</v>
      </c>
      <c r="T433" s="4">
        <v>44</v>
      </c>
      <c r="U433" s="4">
        <v>67</v>
      </c>
      <c r="V433" s="6">
        <f>IF(ISERROR(VLOOKUP($S$433,'TAR FIN'!$A$1:$O$104,15,0)),0,VLOOKUP($S$433,'TAR FIN'!$A$1:$O$104,15,0))</f>
        <v>0</v>
      </c>
      <c r="W433" s="6">
        <f>IF(ISERROR(VLOOKUP($T$433,'TAR FIN'!$A$1:$O$104,15,0)),0,VLOOKUP($T$433,'TAR FIN'!$A$1:$O$104,15,0))</f>
        <v>62.57</v>
      </c>
      <c r="X433" s="6">
        <f>IF(ISERROR(VLOOKUP($U$433,'TAR FIN'!$A$1:$O$104,15,0)),0,VLOOKUP($U$433,'TAR FIN'!$A$1:$O$104,15,0))</f>
        <v>242.82</v>
      </c>
      <c r="Y433" s="6"/>
      <c r="Z433" s="6">
        <f ca="1">('TUSD BE'!$AM$26+'TUSD BF'!$AM$26+'TUSD CVA'!$AM$26)*1</f>
        <v>77.876201961015255</v>
      </c>
      <c r="AA433" s="6">
        <f>('TE BE'!$AB$8+'TE BF'!$AB$8+'TE CVA'!$AB$8)*1</f>
        <v>231.76257384332172</v>
      </c>
      <c r="AB433" s="6">
        <f t="shared" si="26"/>
        <v>0</v>
      </c>
      <c r="AC433" s="6">
        <f t="shared" si="27"/>
        <v>446664.20801399997</v>
      </c>
      <c r="AD433" s="6">
        <f t="shared" si="28"/>
        <v>0</v>
      </c>
      <c r="AE433" s="6">
        <f t="shared" ca="1" si="29"/>
        <v>452878.4785522403</v>
      </c>
      <c r="AF433" s="4" t="s">
        <v>1001</v>
      </c>
    </row>
    <row r="434" spans="1:32" ht="11.25" customHeight="1" x14ac:dyDescent="0.25">
      <c r="A434" s="4" t="s">
        <v>27</v>
      </c>
      <c r="B434" s="4" t="s">
        <v>41</v>
      </c>
      <c r="C434" s="4" t="s">
        <v>42</v>
      </c>
      <c r="D434" s="4" t="s">
        <v>45</v>
      </c>
      <c r="E434" s="4" t="s">
        <v>53</v>
      </c>
      <c r="F434" s="4" t="s">
        <v>55</v>
      </c>
      <c r="G434" s="4" t="s">
        <v>25</v>
      </c>
      <c r="H434" s="4" t="s">
        <v>35</v>
      </c>
      <c r="I434" s="5">
        <v>44562</v>
      </c>
      <c r="J434" s="6">
        <v>0</v>
      </c>
      <c r="K434" s="6">
        <v>0</v>
      </c>
      <c r="L434" s="6">
        <v>-55.65</v>
      </c>
      <c r="M434" s="6">
        <v>-5.5650000000000004</v>
      </c>
      <c r="N434" s="6">
        <v>-55.65</v>
      </c>
      <c r="O434" s="6">
        <v>-5.5650000000000004</v>
      </c>
      <c r="P434" s="6">
        <v>0</v>
      </c>
      <c r="Q434" s="4" t="s">
        <v>26</v>
      </c>
      <c r="R434" s="4">
        <v>0</v>
      </c>
      <c r="S434" s="4">
        <v>0</v>
      </c>
      <c r="T434" s="4">
        <v>44</v>
      </c>
      <c r="U434" s="4">
        <v>67</v>
      </c>
      <c r="V434" s="6">
        <f>IF(ISERROR(VLOOKUP($S$434,'TAR FIN'!$A$1:$O$104,15,0)),0,VLOOKUP($S$434,'TAR FIN'!$A$1:$O$104,15,0))</f>
        <v>0</v>
      </c>
      <c r="W434" s="6">
        <f>IF(ISERROR(VLOOKUP($T$434,'TAR FIN'!$A$1:$O$104,15,0)),0,VLOOKUP($T$434,'TAR FIN'!$A$1:$O$104,15,0))</f>
        <v>62.57</v>
      </c>
      <c r="X434" s="6">
        <f>IF(ISERROR(VLOOKUP($U$434,'TAR FIN'!$A$1:$O$104,15,0)),0,VLOOKUP($U$434,'TAR FIN'!$A$1:$O$104,15,0))</f>
        <v>242.82</v>
      </c>
      <c r="Y434" s="6"/>
      <c r="Z434" s="6">
        <f ca="1">('TUSD BE'!$AM$26+'TUSD BF'!$AM$26+'TUSD CVA'!$AM$26)*1</f>
        <v>77.876201961015255</v>
      </c>
      <c r="AA434" s="6">
        <f>('TE BE'!$AB$8+'TE BF'!$AB$8+'TE CVA'!$AB$8)*1</f>
        <v>231.76257384332172</v>
      </c>
      <c r="AB434" s="6">
        <f t="shared" si="26"/>
        <v>0</v>
      </c>
      <c r="AC434" s="6">
        <f t="shared" si="27"/>
        <v>-15295.45815</v>
      </c>
      <c r="AD434" s="6">
        <f t="shared" si="28"/>
        <v>0</v>
      </c>
      <c r="AE434" s="6">
        <f t="shared" ca="1" si="29"/>
        <v>-15508.258086160218</v>
      </c>
      <c r="AF434" s="4" t="s">
        <v>1001</v>
      </c>
    </row>
    <row r="435" spans="1:32" ht="11.25" customHeight="1" x14ac:dyDescent="0.25">
      <c r="A435" s="4" t="s">
        <v>28</v>
      </c>
      <c r="B435" s="4" t="s">
        <v>41</v>
      </c>
      <c r="C435" s="4" t="s">
        <v>42</v>
      </c>
      <c r="D435" s="4" t="s">
        <v>45</v>
      </c>
      <c r="E435" s="4" t="s">
        <v>53</v>
      </c>
      <c r="F435" s="4" t="s">
        <v>55</v>
      </c>
      <c r="G435" s="4" t="s">
        <v>25</v>
      </c>
      <c r="H435" s="4" t="s">
        <v>35</v>
      </c>
      <c r="I435" s="5">
        <v>44562</v>
      </c>
      <c r="J435" s="6">
        <v>0</v>
      </c>
      <c r="K435" s="6">
        <v>0</v>
      </c>
      <c r="L435" s="6">
        <v>7.0730000000000004</v>
      </c>
      <c r="M435" s="6">
        <v>0.70730000000000004</v>
      </c>
      <c r="N435" s="6">
        <v>7.0730000000000004</v>
      </c>
      <c r="O435" s="6">
        <v>0.70730000000000004</v>
      </c>
      <c r="P435" s="6">
        <v>0</v>
      </c>
      <c r="Q435" s="4" t="s">
        <v>26</v>
      </c>
      <c r="R435" s="4">
        <v>0</v>
      </c>
      <c r="S435" s="4">
        <v>0</v>
      </c>
      <c r="T435" s="4">
        <v>44</v>
      </c>
      <c r="U435" s="4">
        <v>67</v>
      </c>
      <c r="V435" s="6">
        <f>IF(ISERROR(VLOOKUP($S$435,'TAR FIN'!$A$1:$O$104,15,0)),0,VLOOKUP($S$435,'TAR FIN'!$A$1:$O$104,15,0))</f>
        <v>0</v>
      </c>
      <c r="W435" s="6">
        <f>IF(ISERROR(VLOOKUP($T$435,'TAR FIN'!$A$1:$O$104,15,0)),0,VLOOKUP($T$435,'TAR FIN'!$A$1:$O$104,15,0))</f>
        <v>62.57</v>
      </c>
      <c r="X435" s="6">
        <f>IF(ISERROR(VLOOKUP($U$435,'TAR FIN'!$A$1:$O$104,15,0)),0,VLOOKUP($U$435,'TAR FIN'!$A$1:$O$104,15,0))</f>
        <v>242.82</v>
      </c>
      <c r="Y435" s="6"/>
      <c r="Z435" s="6">
        <f ca="1">('TUSD BE'!$AM$26+'TUSD BF'!$AM$26+'TUSD CVA'!$AM$26)*1</f>
        <v>77.876201961015255</v>
      </c>
      <c r="AA435" s="6">
        <f>('TE BE'!$AB$8+'TE BF'!$AB$8+'TE CVA'!$AB$8)*1</f>
        <v>231.76257384332172</v>
      </c>
      <c r="AB435" s="6">
        <f t="shared" si="26"/>
        <v>0</v>
      </c>
      <c r="AC435" s="6">
        <f t="shared" si="27"/>
        <v>1944.021123</v>
      </c>
      <c r="AD435" s="6">
        <f t="shared" si="28"/>
        <v>0</v>
      </c>
      <c r="AE435" s="6">
        <f t="shared" ca="1" si="29"/>
        <v>1971.067555137668</v>
      </c>
      <c r="AF435" s="4" t="s">
        <v>1001</v>
      </c>
    </row>
    <row r="436" spans="1:32" ht="11.25" customHeight="1" x14ac:dyDescent="0.25">
      <c r="A436" s="4" t="s">
        <v>21</v>
      </c>
      <c r="B436" s="4" t="s">
        <v>41</v>
      </c>
      <c r="C436" s="4" t="s">
        <v>42</v>
      </c>
      <c r="D436" s="4" t="s">
        <v>45</v>
      </c>
      <c r="E436" s="4" t="s">
        <v>53</v>
      </c>
      <c r="F436" s="4" t="s">
        <v>55</v>
      </c>
      <c r="G436" s="4" t="s">
        <v>25</v>
      </c>
      <c r="H436" s="4" t="s">
        <v>35</v>
      </c>
      <c r="I436" s="5">
        <v>44593</v>
      </c>
      <c r="J436" s="6">
        <v>0</v>
      </c>
      <c r="K436" s="6">
        <v>0</v>
      </c>
      <c r="L436" s="6">
        <v>1502.08</v>
      </c>
      <c r="M436" s="6">
        <v>150.208</v>
      </c>
      <c r="N436" s="6">
        <v>1502.08</v>
      </c>
      <c r="O436" s="6">
        <v>150.208</v>
      </c>
      <c r="P436" s="6">
        <v>0</v>
      </c>
      <c r="Q436" s="4" t="s">
        <v>26</v>
      </c>
      <c r="R436" s="4">
        <v>0</v>
      </c>
      <c r="S436" s="4">
        <v>0</v>
      </c>
      <c r="T436" s="4">
        <v>44</v>
      </c>
      <c r="U436" s="4">
        <v>67</v>
      </c>
      <c r="V436" s="6">
        <f>IF(ISERROR(VLOOKUP($S$436,'TAR FIN'!$A$1:$O$104,15,0)),0,VLOOKUP($S$436,'TAR FIN'!$A$1:$O$104,15,0))</f>
        <v>0</v>
      </c>
      <c r="W436" s="6">
        <f>IF(ISERROR(VLOOKUP($T$436,'TAR FIN'!$A$1:$O$104,15,0)),0,VLOOKUP($T$436,'TAR FIN'!$A$1:$O$104,15,0))</f>
        <v>62.57</v>
      </c>
      <c r="X436" s="6">
        <f>IF(ISERROR(VLOOKUP($U$436,'TAR FIN'!$A$1:$O$104,15,0)),0,VLOOKUP($U$436,'TAR FIN'!$A$1:$O$104,15,0))</f>
        <v>242.82</v>
      </c>
      <c r="Y436" s="6"/>
      <c r="Z436" s="6">
        <f ca="1">('TUSD BE'!$AM$26+'TUSD BF'!$AM$26+'TUSD CVA'!$AM$26)*1</f>
        <v>77.876201961015255</v>
      </c>
      <c r="AA436" s="6">
        <f>('TE BE'!$AB$8+'TE BF'!$AB$8+'TE CVA'!$AB$8)*1</f>
        <v>231.76257384332172</v>
      </c>
      <c r="AB436" s="6">
        <f t="shared" si="26"/>
        <v>0</v>
      </c>
      <c r="AC436" s="6">
        <f t="shared" si="27"/>
        <v>412848.19007999997</v>
      </c>
      <c r="AD436" s="6">
        <f t="shared" si="28"/>
        <v>0</v>
      </c>
      <c r="AE436" s="6">
        <f t="shared" ca="1" si="29"/>
        <v>418591.99112416059</v>
      </c>
      <c r="AF436" s="4" t="s">
        <v>1001</v>
      </c>
    </row>
    <row r="437" spans="1:32" ht="11.25" customHeight="1" x14ac:dyDescent="0.25">
      <c r="A437" s="4" t="s">
        <v>27</v>
      </c>
      <c r="B437" s="4" t="s">
        <v>41</v>
      </c>
      <c r="C437" s="4" t="s">
        <v>42</v>
      </c>
      <c r="D437" s="4" t="s">
        <v>45</v>
      </c>
      <c r="E437" s="4" t="s">
        <v>53</v>
      </c>
      <c r="F437" s="4" t="s">
        <v>55</v>
      </c>
      <c r="G437" s="4" t="s">
        <v>25</v>
      </c>
      <c r="H437" s="4" t="s">
        <v>35</v>
      </c>
      <c r="I437" s="5">
        <v>44593</v>
      </c>
      <c r="J437" s="6">
        <v>0</v>
      </c>
      <c r="K437" s="6">
        <v>0</v>
      </c>
      <c r="L437" s="6">
        <v>-5.5590000000000002</v>
      </c>
      <c r="M437" s="6">
        <v>-0.55589999999999995</v>
      </c>
      <c r="N437" s="6">
        <v>-5.5590000000000002</v>
      </c>
      <c r="O437" s="6">
        <v>-0.55589999999999995</v>
      </c>
      <c r="P437" s="6">
        <v>0</v>
      </c>
      <c r="Q437" s="4" t="s">
        <v>26</v>
      </c>
      <c r="R437" s="4">
        <v>0</v>
      </c>
      <c r="S437" s="4">
        <v>0</v>
      </c>
      <c r="T437" s="4">
        <v>44</v>
      </c>
      <c r="U437" s="4">
        <v>67</v>
      </c>
      <c r="V437" s="6">
        <f>IF(ISERROR(VLOOKUP($S$437,'TAR FIN'!$A$1:$O$104,15,0)),0,VLOOKUP($S$437,'TAR FIN'!$A$1:$O$104,15,0))</f>
        <v>0</v>
      </c>
      <c r="W437" s="6">
        <f>IF(ISERROR(VLOOKUP($T$437,'TAR FIN'!$A$1:$O$104,15,0)),0,VLOOKUP($T$437,'TAR FIN'!$A$1:$O$104,15,0))</f>
        <v>62.57</v>
      </c>
      <c r="X437" s="6">
        <f>IF(ISERROR(VLOOKUP($U$437,'TAR FIN'!$A$1:$O$104,15,0)),0,VLOOKUP($U$437,'TAR FIN'!$A$1:$O$104,15,0))</f>
        <v>242.82</v>
      </c>
      <c r="Y437" s="6"/>
      <c r="Z437" s="6">
        <f ca="1">('TUSD BE'!$AM$26+'TUSD BF'!$AM$26+'TUSD CVA'!$AM$26)*1</f>
        <v>77.876201961015255</v>
      </c>
      <c r="AA437" s="6">
        <f>('TE BE'!$AB$8+'TE BF'!$AB$8+'TE CVA'!$AB$8)*1</f>
        <v>231.76257384332172</v>
      </c>
      <c r="AB437" s="6">
        <f t="shared" si="26"/>
        <v>0</v>
      </c>
      <c r="AC437" s="6">
        <f t="shared" si="27"/>
        <v>-1527.8967090000001</v>
      </c>
      <c r="AD437" s="6">
        <f t="shared" si="28"/>
        <v>0</v>
      </c>
      <c r="AE437" s="6">
        <f t="shared" ca="1" si="29"/>
        <v>-1549.1537592266782</v>
      </c>
      <c r="AF437" s="4" t="s">
        <v>1001</v>
      </c>
    </row>
    <row r="438" spans="1:32" ht="11.25" customHeight="1" x14ac:dyDescent="0.25">
      <c r="A438" s="4" t="s">
        <v>28</v>
      </c>
      <c r="B438" s="4" t="s">
        <v>41</v>
      </c>
      <c r="C438" s="4" t="s">
        <v>42</v>
      </c>
      <c r="D438" s="4" t="s">
        <v>45</v>
      </c>
      <c r="E438" s="4" t="s">
        <v>53</v>
      </c>
      <c r="F438" s="4" t="s">
        <v>55</v>
      </c>
      <c r="G438" s="4" t="s">
        <v>25</v>
      </c>
      <c r="H438" s="4" t="s">
        <v>35</v>
      </c>
      <c r="I438" s="5">
        <v>44593</v>
      </c>
      <c r="J438" s="6">
        <v>0</v>
      </c>
      <c r="K438" s="6">
        <v>0</v>
      </c>
      <c r="L438" s="6">
        <v>0.193</v>
      </c>
      <c r="M438" s="6">
        <v>1.9300000000000001E-2</v>
      </c>
      <c r="N438" s="6">
        <v>0.193</v>
      </c>
      <c r="O438" s="6">
        <v>1.9300000000000001E-2</v>
      </c>
      <c r="P438" s="6">
        <v>0</v>
      </c>
      <c r="Q438" s="4" t="s">
        <v>26</v>
      </c>
      <c r="R438" s="4">
        <v>0</v>
      </c>
      <c r="S438" s="4">
        <v>0</v>
      </c>
      <c r="T438" s="4">
        <v>44</v>
      </c>
      <c r="U438" s="4">
        <v>67</v>
      </c>
      <c r="V438" s="6">
        <f>IF(ISERROR(VLOOKUP($S$438,'TAR FIN'!$A$1:$O$104,15,0)),0,VLOOKUP($S$438,'TAR FIN'!$A$1:$O$104,15,0))</f>
        <v>0</v>
      </c>
      <c r="W438" s="6">
        <f>IF(ISERROR(VLOOKUP($T$438,'TAR FIN'!$A$1:$O$104,15,0)),0,VLOOKUP($T$438,'TAR FIN'!$A$1:$O$104,15,0))</f>
        <v>62.57</v>
      </c>
      <c r="X438" s="6">
        <f>IF(ISERROR(VLOOKUP($U$438,'TAR FIN'!$A$1:$O$104,15,0)),0,VLOOKUP($U$438,'TAR FIN'!$A$1:$O$104,15,0))</f>
        <v>242.82</v>
      </c>
      <c r="Y438" s="6"/>
      <c r="Z438" s="6">
        <f ca="1">('TUSD BE'!$AM$26+'TUSD BF'!$AM$26+'TUSD CVA'!$AM$26)*1</f>
        <v>77.876201961015255</v>
      </c>
      <c r="AA438" s="6">
        <f>('TE BE'!$AB$8+'TE BF'!$AB$8+'TE CVA'!$AB$8)*1</f>
        <v>231.76257384332172</v>
      </c>
      <c r="AB438" s="6">
        <f t="shared" si="26"/>
        <v>0</v>
      </c>
      <c r="AC438" s="6">
        <f t="shared" si="27"/>
        <v>53.046242999999997</v>
      </c>
      <c r="AD438" s="6">
        <f t="shared" si="28"/>
        <v>0</v>
      </c>
      <c r="AE438" s="6">
        <f t="shared" ca="1" si="29"/>
        <v>53.784255357213333</v>
      </c>
      <c r="AF438" s="4" t="s">
        <v>1001</v>
      </c>
    </row>
    <row r="439" spans="1:32" ht="11.25" customHeight="1" x14ac:dyDescent="0.25">
      <c r="A439" s="4" t="s">
        <v>21</v>
      </c>
      <c r="B439" s="4" t="s">
        <v>41</v>
      </c>
      <c r="C439" s="4" t="s">
        <v>42</v>
      </c>
      <c r="D439" s="4" t="s">
        <v>45</v>
      </c>
      <c r="E439" s="4" t="s">
        <v>53</v>
      </c>
      <c r="F439" s="4" t="s">
        <v>55</v>
      </c>
      <c r="G439" s="4" t="s">
        <v>25</v>
      </c>
      <c r="H439" s="4" t="s">
        <v>35</v>
      </c>
      <c r="I439" s="5">
        <v>44621</v>
      </c>
      <c r="J439" s="6">
        <v>0</v>
      </c>
      <c r="K439" s="6">
        <v>0</v>
      </c>
      <c r="L439" s="6">
        <v>1412.0119999999999</v>
      </c>
      <c r="M439" s="6">
        <v>141.2012</v>
      </c>
      <c r="N439" s="6">
        <v>1412.0119999999999</v>
      </c>
      <c r="O439" s="6">
        <v>141.2012</v>
      </c>
      <c r="P439" s="6">
        <v>0</v>
      </c>
      <c r="Q439" s="4" t="s">
        <v>26</v>
      </c>
      <c r="R439" s="4">
        <v>0</v>
      </c>
      <c r="S439" s="4">
        <v>0</v>
      </c>
      <c r="T439" s="4">
        <v>44</v>
      </c>
      <c r="U439" s="4">
        <v>67</v>
      </c>
      <c r="V439" s="6">
        <f>IF(ISERROR(VLOOKUP($S$439,'TAR FIN'!$A$1:$O$104,15,0)),0,VLOOKUP($S$439,'TAR FIN'!$A$1:$O$104,15,0))</f>
        <v>0</v>
      </c>
      <c r="W439" s="6">
        <f>IF(ISERROR(VLOOKUP($T$439,'TAR FIN'!$A$1:$O$104,15,0)),0,VLOOKUP($T$439,'TAR FIN'!$A$1:$O$104,15,0))</f>
        <v>62.57</v>
      </c>
      <c r="X439" s="6">
        <f>IF(ISERROR(VLOOKUP($U$439,'TAR FIN'!$A$1:$O$104,15,0)),0,VLOOKUP($U$439,'TAR FIN'!$A$1:$O$104,15,0))</f>
        <v>242.82</v>
      </c>
      <c r="Y439" s="6"/>
      <c r="Z439" s="6">
        <f ca="1">('TUSD BE'!$AM$26+'TUSD BF'!$AM$26+'TUSD CVA'!$AM$26)*1</f>
        <v>77.876201961015255</v>
      </c>
      <c r="AA439" s="6">
        <f>('TE BE'!$AB$8+'TE BF'!$AB$8+'TE CVA'!$AB$8)*1</f>
        <v>231.76257384332172</v>
      </c>
      <c r="AB439" s="6">
        <f t="shared" si="26"/>
        <v>0</v>
      </c>
      <c r="AC439" s="6">
        <f t="shared" si="27"/>
        <v>388092.91021199996</v>
      </c>
      <c r="AD439" s="6">
        <f t="shared" si="28"/>
        <v>0</v>
      </c>
      <c r="AE439" s="6">
        <f t="shared" ca="1" si="29"/>
        <v>393492.30039093009</v>
      </c>
      <c r="AF439" s="4" t="s">
        <v>1001</v>
      </c>
    </row>
    <row r="440" spans="1:32" ht="11.25" customHeight="1" x14ac:dyDescent="0.25">
      <c r="A440" s="4" t="s">
        <v>28</v>
      </c>
      <c r="B440" s="4" t="s">
        <v>41</v>
      </c>
      <c r="C440" s="4" t="s">
        <v>42</v>
      </c>
      <c r="D440" s="4" t="s">
        <v>45</v>
      </c>
      <c r="E440" s="4" t="s">
        <v>53</v>
      </c>
      <c r="F440" s="4" t="s">
        <v>55</v>
      </c>
      <c r="G440" s="4" t="s">
        <v>25</v>
      </c>
      <c r="H440" s="4" t="s">
        <v>35</v>
      </c>
      <c r="I440" s="5">
        <v>44621</v>
      </c>
      <c r="J440" s="6">
        <v>0</v>
      </c>
      <c r="K440" s="6">
        <v>0</v>
      </c>
      <c r="L440" s="6">
        <v>10.467000000000001</v>
      </c>
      <c r="M440" s="6">
        <v>1.0467</v>
      </c>
      <c r="N440" s="6">
        <v>10.467000000000001</v>
      </c>
      <c r="O440" s="6">
        <v>1.0467</v>
      </c>
      <c r="P440" s="6">
        <v>0</v>
      </c>
      <c r="Q440" s="4" t="s">
        <v>26</v>
      </c>
      <c r="R440" s="4">
        <v>0</v>
      </c>
      <c r="S440" s="4">
        <v>0</v>
      </c>
      <c r="T440" s="4">
        <v>44</v>
      </c>
      <c r="U440" s="4">
        <v>67</v>
      </c>
      <c r="V440" s="6">
        <f>IF(ISERROR(VLOOKUP($S$440,'TAR FIN'!$A$1:$O$104,15,0)),0,VLOOKUP($S$440,'TAR FIN'!$A$1:$O$104,15,0))</f>
        <v>0</v>
      </c>
      <c r="W440" s="6">
        <f>IF(ISERROR(VLOOKUP($T$440,'TAR FIN'!$A$1:$O$104,15,0)),0,VLOOKUP($T$440,'TAR FIN'!$A$1:$O$104,15,0))</f>
        <v>62.57</v>
      </c>
      <c r="X440" s="6">
        <f>IF(ISERROR(VLOOKUP($U$440,'TAR FIN'!$A$1:$O$104,15,0)),0,VLOOKUP($U$440,'TAR FIN'!$A$1:$O$104,15,0))</f>
        <v>242.82</v>
      </c>
      <c r="Y440" s="6"/>
      <c r="Z440" s="6">
        <f ca="1">('TUSD BE'!$AM$26+'TUSD BF'!$AM$26+'TUSD CVA'!$AM$26)*1</f>
        <v>77.876201961015255</v>
      </c>
      <c r="AA440" s="6">
        <f>('TE BE'!$AB$8+'TE BF'!$AB$8+'TE CVA'!$AB$8)*1</f>
        <v>231.76257384332172</v>
      </c>
      <c r="AB440" s="6">
        <f t="shared" si="26"/>
        <v>0</v>
      </c>
      <c r="AC440" s="6">
        <f t="shared" si="27"/>
        <v>2876.865417</v>
      </c>
      <c r="AD440" s="6">
        <f t="shared" si="28"/>
        <v>0</v>
      </c>
      <c r="AE440" s="6">
        <f t="shared" ca="1" si="29"/>
        <v>2916.890159709596</v>
      </c>
      <c r="AF440" s="4" t="s">
        <v>1001</v>
      </c>
    </row>
    <row r="441" spans="1:32" ht="11.25" customHeight="1" x14ac:dyDescent="0.25">
      <c r="A441" s="4" t="s">
        <v>21</v>
      </c>
      <c r="B441" s="4" t="s">
        <v>41</v>
      </c>
      <c r="C441" s="4" t="s">
        <v>42</v>
      </c>
      <c r="D441" s="4" t="s">
        <v>45</v>
      </c>
      <c r="E441" s="4" t="s">
        <v>53</v>
      </c>
      <c r="F441" s="4" t="s">
        <v>55</v>
      </c>
      <c r="G441" s="4" t="s">
        <v>25</v>
      </c>
      <c r="H441" s="4" t="s">
        <v>35</v>
      </c>
      <c r="I441" s="5">
        <v>44652</v>
      </c>
      <c r="J441" s="6">
        <v>0</v>
      </c>
      <c r="K441" s="6">
        <v>0</v>
      </c>
      <c r="L441" s="6">
        <v>1244.174</v>
      </c>
      <c r="M441" s="6">
        <v>124.4174</v>
      </c>
      <c r="N441" s="6">
        <v>1244.174</v>
      </c>
      <c r="O441" s="6">
        <v>124.4174</v>
      </c>
      <c r="P441" s="6">
        <v>0</v>
      </c>
      <c r="Q441" s="4" t="s">
        <v>26</v>
      </c>
      <c r="R441" s="4">
        <v>0</v>
      </c>
      <c r="S441" s="4">
        <v>0</v>
      </c>
      <c r="T441" s="4">
        <v>44</v>
      </c>
      <c r="U441" s="4">
        <v>67</v>
      </c>
      <c r="V441" s="6">
        <f>IF(ISERROR(VLOOKUP($S$441,'TAR FIN'!$A$1:$O$104,15,0)),0,VLOOKUP($S$441,'TAR FIN'!$A$1:$O$104,15,0))</f>
        <v>0</v>
      </c>
      <c r="W441" s="6">
        <f>IF(ISERROR(VLOOKUP($T$441,'TAR FIN'!$A$1:$O$104,15,0)),0,VLOOKUP($T$441,'TAR FIN'!$A$1:$O$104,15,0))</f>
        <v>62.57</v>
      </c>
      <c r="X441" s="6">
        <f>IF(ISERROR(VLOOKUP($U$441,'TAR FIN'!$A$1:$O$104,15,0)),0,VLOOKUP($U$441,'TAR FIN'!$A$1:$O$104,15,0))</f>
        <v>242.82</v>
      </c>
      <c r="Y441" s="6"/>
      <c r="Z441" s="6">
        <f ca="1">('TUSD BE'!$AM$26+'TUSD BF'!$AM$26+'TUSD CVA'!$AM$26)*1</f>
        <v>77.876201961015255</v>
      </c>
      <c r="AA441" s="6">
        <f>('TE BE'!$AB$8+'TE BF'!$AB$8+'TE CVA'!$AB$8)*1</f>
        <v>231.76257384332172</v>
      </c>
      <c r="AB441" s="6">
        <f t="shared" si="26"/>
        <v>0</v>
      </c>
      <c r="AC441" s="6">
        <f t="shared" si="27"/>
        <v>341962.46807399997</v>
      </c>
      <c r="AD441" s="6">
        <f t="shared" si="28"/>
        <v>0</v>
      </c>
      <c r="AE441" s="6">
        <f t="shared" ca="1" si="29"/>
        <v>346720.06282282661</v>
      </c>
      <c r="AF441" s="4" t="s">
        <v>1001</v>
      </c>
    </row>
    <row r="442" spans="1:32" ht="11.25" customHeight="1" x14ac:dyDescent="0.25">
      <c r="A442" s="4" t="s">
        <v>27</v>
      </c>
      <c r="B442" s="4" t="s">
        <v>41</v>
      </c>
      <c r="C442" s="4" t="s">
        <v>42</v>
      </c>
      <c r="D442" s="4" t="s">
        <v>45</v>
      </c>
      <c r="E442" s="4" t="s">
        <v>53</v>
      </c>
      <c r="F442" s="4" t="s">
        <v>55</v>
      </c>
      <c r="G442" s="4" t="s">
        <v>25</v>
      </c>
      <c r="H442" s="4" t="s">
        <v>35</v>
      </c>
      <c r="I442" s="5">
        <v>44652</v>
      </c>
      <c r="J442" s="6">
        <v>0</v>
      </c>
      <c r="K442" s="6">
        <v>0</v>
      </c>
      <c r="L442" s="6">
        <v>-11.851000000000001</v>
      </c>
      <c r="M442" s="6">
        <v>-1.1851</v>
      </c>
      <c r="N442" s="6">
        <v>-11.851000000000001</v>
      </c>
      <c r="O442" s="6">
        <v>-1.1851</v>
      </c>
      <c r="P442" s="6">
        <v>0</v>
      </c>
      <c r="Q442" s="4" t="s">
        <v>26</v>
      </c>
      <c r="R442" s="4">
        <v>0</v>
      </c>
      <c r="S442" s="4">
        <v>0</v>
      </c>
      <c r="T442" s="4">
        <v>44</v>
      </c>
      <c r="U442" s="4">
        <v>67</v>
      </c>
      <c r="V442" s="6">
        <f>IF(ISERROR(VLOOKUP($S$442,'TAR FIN'!$A$1:$O$104,15,0)),0,VLOOKUP($S$442,'TAR FIN'!$A$1:$O$104,15,0))</f>
        <v>0</v>
      </c>
      <c r="W442" s="6">
        <f>IF(ISERROR(VLOOKUP($T$442,'TAR FIN'!$A$1:$O$104,15,0)),0,VLOOKUP($T$442,'TAR FIN'!$A$1:$O$104,15,0))</f>
        <v>62.57</v>
      </c>
      <c r="X442" s="6">
        <f>IF(ISERROR(VLOOKUP($U$442,'TAR FIN'!$A$1:$O$104,15,0)),0,VLOOKUP($U$442,'TAR FIN'!$A$1:$O$104,15,0))</f>
        <v>242.82</v>
      </c>
      <c r="Y442" s="6"/>
      <c r="Z442" s="6">
        <f ca="1">('TUSD BE'!$AM$26+'TUSD BF'!$AM$26+'TUSD CVA'!$AM$26)*1</f>
        <v>77.876201961015255</v>
      </c>
      <c r="AA442" s="6">
        <f>('TE BE'!$AB$8+'TE BF'!$AB$8+'TE CVA'!$AB$8)*1</f>
        <v>231.76257384332172</v>
      </c>
      <c r="AB442" s="6">
        <f t="shared" si="26"/>
        <v>0</v>
      </c>
      <c r="AC442" s="6">
        <f t="shared" si="27"/>
        <v>-3257.2592009999998</v>
      </c>
      <c r="AD442" s="6">
        <f t="shared" si="28"/>
        <v>0</v>
      </c>
      <c r="AE442" s="6">
        <f t="shared" ca="1" si="29"/>
        <v>-3302.5762188514777</v>
      </c>
      <c r="AF442" s="4" t="s">
        <v>1001</v>
      </c>
    </row>
    <row r="443" spans="1:32" ht="11.25" customHeight="1" x14ac:dyDescent="0.25">
      <c r="A443" s="4" t="s">
        <v>28</v>
      </c>
      <c r="B443" s="4" t="s">
        <v>41</v>
      </c>
      <c r="C443" s="4" t="s">
        <v>42</v>
      </c>
      <c r="D443" s="4" t="s">
        <v>45</v>
      </c>
      <c r="E443" s="4" t="s">
        <v>53</v>
      </c>
      <c r="F443" s="4" t="s">
        <v>55</v>
      </c>
      <c r="G443" s="4" t="s">
        <v>25</v>
      </c>
      <c r="H443" s="4" t="s">
        <v>35</v>
      </c>
      <c r="I443" s="5">
        <v>44652</v>
      </c>
      <c r="J443" s="6">
        <v>0</v>
      </c>
      <c r="K443" s="6">
        <v>0</v>
      </c>
      <c r="L443" s="6">
        <v>4.0919999999999996</v>
      </c>
      <c r="M443" s="6">
        <v>0.40920000000000001</v>
      </c>
      <c r="N443" s="6">
        <v>4.0919999999999996</v>
      </c>
      <c r="O443" s="6">
        <v>0.40920000000000001</v>
      </c>
      <c r="P443" s="6">
        <v>0</v>
      </c>
      <c r="Q443" s="4" t="s">
        <v>26</v>
      </c>
      <c r="R443" s="4">
        <v>0</v>
      </c>
      <c r="S443" s="4">
        <v>0</v>
      </c>
      <c r="T443" s="4">
        <v>44</v>
      </c>
      <c r="U443" s="4">
        <v>67</v>
      </c>
      <c r="V443" s="6">
        <f>IF(ISERROR(VLOOKUP($S$443,'TAR FIN'!$A$1:$O$104,15,0)),0,VLOOKUP($S$443,'TAR FIN'!$A$1:$O$104,15,0))</f>
        <v>0</v>
      </c>
      <c r="W443" s="6">
        <f>IF(ISERROR(VLOOKUP($T$443,'TAR FIN'!$A$1:$O$104,15,0)),0,VLOOKUP($T$443,'TAR FIN'!$A$1:$O$104,15,0))</f>
        <v>62.57</v>
      </c>
      <c r="X443" s="6">
        <f>IF(ISERROR(VLOOKUP($U$443,'TAR FIN'!$A$1:$O$104,15,0)),0,VLOOKUP($U$443,'TAR FIN'!$A$1:$O$104,15,0))</f>
        <v>242.82</v>
      </c>
      <c r="Y443" s="6"/>
      <c r="Z443" s="6">
        <f ca="1">('TUSD BE'!$AM$26+'TUSD BF'!$AM$26+'TUSD CVA'!$AM$26)*1</f>
        <v>77.876201961015255</v>
      </c>
      <c r="AA443" s="6">
        <f>('TE BE'!$AB$8+'TE BF'!$AB$8+'TE CVA'!$AB$8)*1</f>
        <v>231.76257384332172</v>
      </c>
      <c r="AB443" s="6">
        <f t="shared" si="26"/>
        <v>0</v>
      </c>
      <c r="AC443" s="6">
        <f t="shared" si="27"/>
        <v>1124.6902919999998</v>
      </c>
      <c r="AD443" s="6">
        <f t="shared" si="28"/>
        <v>0</v>
      </c>
      <c r="AE443" s="6">
        <f t="shared" ca="1" si="29"/>
        <v>1140.3376835322119</v>
      </c>
      <c r="AF443" s="4" t="s">
        <v>1001</v>
      </c>
    </row>
    <row r="444" spans="1:32" ht="11.25" customHeight="1" x14ac:dyDescent="0.25">
      <c r="A444" s="4" t="s">
        <v>28</v>
      </c>
      <c r="B444" s="4" t="s">
        <v>41</v>
      </c>
      <c r="C444" s="4" t="s">
        <v>42</v>
      </c>
      <c r="D444" s="4" t="s">
        <v>45</v>
      </c>
      <c r="E444" s="4" t="s">
        <v>53</v>
      </c>
      <c r="F444" s="4" t="s">
        <v>55</v>
      </c>
      <c r="G444" s="4" t="s">
        <v>25</v>
      </c>
      <c r="H444" s="4" t="s">
        <v>35</v>
      </c>
      <c r="I444" s="5">
        <v>44652</v>
      </c>
      <c r="J444" s="6">
        <v>0</v>
      </c>
      <c r="K444" s="6">
        <v>0</v>
      </c>
      <c r="L444" s="6">
        <v>52.59</v>
      </c>
      <c r="M444" s="6">
        <v>5.2590000000000003</v>
      </c>
      <c r="N444" s="6">
        <v>52.59</v>
      </c>
      <c r="O444" s="6">
        <v>5.2590000000000003</v>
      </c>
      <c r="P444" s="6">
        <v>0</v>
      </c>
      <c r="Q444" s="4" t="s">
        <v>26</v>
      </c>
      <c r="R444" s="4">
        <v>0</v>
      </c>
      <c r="S444" s="4">
        <v>0</v>
      </c>
      <c r="T444" s="4">
        <v>44</v>
      </c>
      <c r="U444" s="4">
        <v>67</v>
      </c>
      <c r="V444" s="6">
        <f>IF(ISERROR(VLOOKUP($S$444,'TAR FIN'!$A$1:$O$104,15,0)),0,VLOOKUP($S$444,'TAR FIN'!$A$1:$O$104,15,0))</f>
        <v>0</v>
      </c>
      <c r="W444" s="6">
        <f>IF(ISERROR(VLOOKUP($T$444,'TAR FIN'!$A$1:$O$104,15,0)),0,VLOOKUP($T$444,'TAR FIN'!$A$1:$O$104,15,0))</f>
        <v>62.57</v>
      </c>
      <c r="X444" s="6">
        <f>IF(ISERROR(VLOOKUP($U$444,'TAR FIN'!$A$1:$O$104,15,0)),0,VLOOKUP($U$444,'TAR FIN'!$A$1:$O$104,15,0))</f>
        <v>242.82</v>
      </c>
      <c r="Y444" s="6"/>
      <c r="Z444" s="6">
        <f ca="1">('TUSD BE'!$AM$26+'TUSD BF'!$AM$26+'TUSD CVA'!$AM$26)*1</f>
        <v>77.876201961015255</v>
      </c>
      <c r="AA444" s="6">
        <f>('TE BE'!$AB$8+'TE BF'!$AB$8+'TE CVA'!$AB$8)*1</f>
        <v>231.76257384332172</v>
      </c>
      <c r="AB444" s="6">
        <f t="shared" si="26"/>
        <v>0</v>
      </c>
      <c r="AC444" s="6">
        <f t="shared" si="27"/>
        <v>14454.414090000002</v>
      </c>
      <c r="AD444" s="6">
        <f t="shared" si="28"/>
        <v>0</v>
      </c>
      <c r="AE444" s="6">
        <f t="shared" ca="1" si="29"/>
        <v>14655.512897595074</v>
      </c>
      <c r="AF444" s="4" t="s">
        <v>1001</v>
      </c>
    </row>
    <row r="445" spans="1:32" ht="11.25" customHeight="1" x14ac:dyDescent="0.25">
      <c r="A445" s="4" t="s">
        <v>21</v>
      </c>
      <c r="B445" s="4" t="s">
        <v>41</v>
      </c>
      <c r="C445" s="4" t="s">
        <v>42</v>
      </c>
      <c r="D445" s="4" t="s">
        <v>45</v>
      </c>
      <c r="E445" s="4" t="s">
        <v>53</v>
      </c>
      <c r="F445" s="4" t="s">
        <v>55</v>
      </c>
      <c r="G445" s="4" t="s">
        <v>25</v>
      </c>
      <c r="H445" s="4" t="s">
        <v>35</v>
      </c>
      <c r="I445" s="5">
        <v>44682</v>
      </c>
      <c r="J445" s="6">
        <v>0</v>
      </c>
      <c r="K445" s="6">
        <v>0</v>
      </c>
      <c r="L445" s="6">
        <v>798.85400000000004</v>
      </c>
      <c r="M445" s="6">
        <v>79.885400000000004</v>
      </c>
      <c r="N445" s="6">
        <v>798.85400000000004</v>
      </c>
      <c r="O445" s="6">
        <v>79.885400000000004</v>
      </c>
      <c r="P445" s="6">
        <v>0</v>
      </c>
      <c r="Q445" s="4" t="s">
        <v>26</v>
      </c>
      <c r="R445" s="4">
        <v>0</v>
      </c>
      <c r="S445" s="4">
        <v>0</v>
      </c>
      <c r="T445" s="4">
        <v>44</v>
      </c>
      <c r="U445" s="4">
        <v>67</v>
      </c>
      <c r="V445" s="6">
        <f>IF(ISERROR(VLOOKUP($S$445,'TAR FIN'!$A$1:$O$104,15,0)),0,VLOOKUP($S$445,'TAR FIN'!$A$1:$O$104,15,0))</f>
        <v>0</v>
      </c>
      <c r="W445" s="6">
        <f>IF(ISERROR(VLOOKUP($T$445,'TAR FIN'!$A$1:$O$104,15,0)),0,VLOOKUP($T$445,'TAR FIN'!$A$1:$O$104,15,0))</f>
        <v>62.57</v>
      </c>
      <c r="X445" s="6">
        <f>IF(ISERROR(VLOOKUP($U$445,'TAR FIN'!$A$1:$O$104,15,0)),0,VLOOKUP($U$445,'TAR FIN'!$A$1:$O$104,15,0))</f>
        <v>242.82</v>
      </c>
      <c r="Y445" s="6"/>
      <c r="Z445" s="6">
        <f ca="1">('TUSD BE'!$AM$26+'TUSD BF'!$AM$26+'TUSD CVA'!$AM$26)*1</f>
        <v>77.876201961015255</v>
      </c>
      <c r="AA445" s="6">
        <f>('TE BE'!$AB$8+'TE BF'!$AB$8+'TE CVA'!$AB$8)*1</f>
        <v>231.76257384332172</v>
      </c>
      <c r="AB445" s="6">
        <f t="shared" si="26"/>
        <v>0</v>
      </c>
      <c r="AC445" s="6">
        <f t="shared" si="27"/>
        <v>219565.82075399999</v>
      </c>
      <c r="AD445" s="6">
        <f t="shared" si="28"/>
        <v>0</v>
      </c>
      <c r="AE445" s="6">
        <f t="shared" ca="1" si="29"/>
        <v>222620.55714575804</v>
      </c>
      <c r="AF445" s="4" t="s">
        <v>1001</v>
      </c>
    </row>
    <row r="446" spans="1:32" ht="11.25" customHeight="1" x14ac:dyDescent="0.25">
      <c r="A446" s="4" t="s">
        <v>28</v>
      </c>
      <c r="B446" s="4" t="s">
        <v>41</v>
      </c>
      <c r="C446" s="4" t="s">
        <v>42</v>
      </c>
      <c r="D446" s="4" t="s">
        <v>45</v>
      </c>
      <c r="E446" s="4" t="s">
        <v>53</v>
      </c>
      <c r="F446" s="4" t="s">
        <v>55</v>
      </c>
      <c r="G446" s="4" t="s">
        <v>25</v>
      </c>
      <c r="H446" s="4" t="s">
        <v>35</v>
      </c>
      <c r="I446" s="5">
        <v>44682</v>
      </c>
      <c r="J446" s="6">
        <v>0</v>
      </c>
      <c r="K446" s="6">
        <v>0</v>
      </c>
      <c r="L446" s="6">
        <v>4.6029999999999998</v>
      </c>
      <c r="M446" s="6">
        <v>0.46029999999999999</v>
      </c>
      <c r="N446" s="6">
        <v>4.6029999999999998</v>
      </c>
      <c r="O446" s="6">
        <v>0.46029999999999999</v>
      </c>
      <c r="P446" s="6">
        <v>0</v>
      </c>
      <c r="Q446" s="4" t="s">
        <v>26</v>
      </c>
      <c r="R446" s="4">
        <v>0</v>
      </c>
      <c r="S446" s="4">
        <v>0</v>
      </c>
      <c r="T446" s="4">
        <v>44</v>
      </c>
      <c r="U446" s="4">
        <v>67</v>
      </c>
      <c r="V446" s="6">
        <f>IF(ISERROR(VLOOKUP($S$446,'TAR FIN'!$A$1:$O$104,15,0)),0,VLOOKUP($S$446,'TAR FIN'!$A$1:$O$104,15,0))</f>
        <v>0</v>
      </c>
      <c r="W446" s="6">
        <f>IF(ISERROR(VLOOKUP($T$446,'TAR FIN'!$A$1:$O$104,15,0)),0,VLOOKUP($T$446,'TAR FIN'!$A$1:$O$104,15,0))</f>
        <v>62.57</v>
      </c>
      <c r="X446" s="6">
        <f>IF(ISERROR(VLOOKUP($U$446,'TAR FIN'!$A$1:$O$104,15,0)),0,VLOOKUP($U$446,'TAR FIN'!$A$1:$O$104,15,0))</f>
        <v>242.82</v>
      </c>
      <c r="Y446" s="6"/>
      <c r="Z446" s="6">
        <f ca="1">('TUSD BE'!$AM$26+'TUSD BF'!$AM$26+'TUSD CVA'!$AM$26)*1</f>
        <v>77.876201961015255</v>
      </c>
      <c r="AA446" s="6">
        <f>('TE BE'!$AB$8+'TE BF'!$AB$8+'TE CVA'!$AB$8)*1</f>
        <v>231.76257384332172</v>
      </c>
      <c r="AB446" s="6">
        <f t="shared" si="26"/>
        <v>0</v>
      </c>
      <c r="AC446" s="6">
        <f t="shared" si="27"/>
        <v>1265.1391529999999</v>
      </c>
      <c r="AD446" s="6">
        <f t="shared" si="28"/>
        <v>0</v>
      </c>
      <c r="AE446" s="6">
        <f t="shared" ca="1" si="29"/>
        <v>1282.7405565246268</v>
      </c>
      <c r="AF446" s="4" t="s">
        <v>1001</v>
      </c>
    </row>
    <row r="447" spans="1:32" ht="11.25" customHeight="1" x14ac:dyDescent="0.25">
      <c r="A447" s="4" t="s">
        <v>21</v>
      </c>
      <c r="B447" s="4" t="s">
        <v>41</v>
      </c>
      <c r="C447" s="4" t="s">
        <v>42</v>
      </c>
      <c r="D447" s="4" t="s">
        <v>45</v>
      </c>
      <c r="E447" s="4" t="s">
        <v>53</v>
      </c>
      <c r="F447" s="4" t="s">
        <v>55</v>
      </c>
      <c r="G447" s="4" t="s">
        <v>25</v>
      </c>
      <c r="H447" s="4" t="s">
        <v>35</v>
      </c>
      <c r="I447" s="5">
        <v>44713</v>
      </c>
      <c r="J447" s="6">
        <v>0</v>
      </c>
      <c r="K447" s="6">
        <v>0</v>
      </c>
      <c r="L447" s="6">
        <v>533.52800000000002</v>
      </c>
      <c r="M447" s="6">
        <v>53.352800000000002</v>
      </c>
      <c r="N447" s="6">
        <v>533.52800000000002</v>
      </c>
      <c r="O447" s="6">
        <v>53.352800000000002</v>
      </c>
      <c r="P447" s="6">
        <v>0</v>
      </c>
      <c r="Q447" s="4" t="s">
        <v>26</v>
      </c>
      <c r="R447" s="4">
        <v>0</v>
      </c>
      <c r="S447" s="4">
        <v>0</v>
      </c>
      <c r="T447" s="4">
        <v>44</v>
      </c>
      <c r="U447" s="4">
        <v>67</v>
      </c>
      <c r="V447" s="6">
        <f>IF(ISERROR(VLOOKUP($S$447,'TAR FIN'!$A$1:$O$104,15,0)),0,VLOOKUP($S$447,'TAR FIN'!$A$1:$O$104,15,0))</f>
        <v>0</v>
      </c>
      <c r="W447" s="6">
        <f>IF(ISERROR(VLOOKUP($T$447,'TAR FIN'!$A$1:$O$104,15,0)),0,VLOOKUP($T$447,'TAR FIN'!$A$1:$O$104,15,0))</f>
        <v>62.57</v>
      </c>
      <c r="X447" s="6">
        <f>IF(ISERROR(VLOOKUP($U$447,'TAR FIN'!$A$1:$O$104,15,0)),0,VLOOKUP($U$447,'TAR FIN'!$A$1:$O$104,15,0))</f>
        <v>242.82</v>
      </c>
      <c r="Y447" s="6"/>
      <c r="Z447" s="6">
        <f ca="1">('TUSD BE'!$AM$26+'TUSD BF'!$AM$26+'TUSD CVA'!$AM$26)*1</f>
        <v>77.876201961015255</v>
      </c>
      <c r="AA447" s="6">
        <f>('TE BE'!$AB$8+'TE BF'!$AB$8+'TE CVA'!$AB$8)*1</f>
        <v>231.76257384332172</v>
      </c>
      <c r="AB447" s="6">
        <f t="shared" si="26"/>
        <v>0</v>
      </c>
      <c r="AC447" s="6">
        <f t="shared" si="27"/>
        <v>146640.70432799999</v>
      </c>
      <c r="AD447" s="6">
        <f t="shared" si="28"/>
        <v>0</v>
      </c>
      <c r="AE447" s="6">
        <f t="shared" ca="1" si="29"/>
        <v>148680.86109960265</v>
      </c>
      <c r="AF447" s="4" t="s">
        <v>1001</v>
      </c>
    </row>
    <row r="448" spans="1:32" ht="11.25" customHeight="1" x14ac:dyDescent="0.25">
      <c r="A448" s="4" t="s">
        <v>27</v>
      </c>
      <c r="B448" s="4" t="s">
        <v>41</v>
      </c>
      <c r="C448" s="4" t="s">
        <v>42</v>
      </c>
      <c r="D448" s="4" t="s">
        <v>45</v>
      </c>
      <c r="E448" s="4" t="s">
        <v>53</v>
      </c>
      <c r="F448" s="4" t="s">
        <v>55</v>
      </c>
      <c r="G448" s="4" t="s">
        <v>25</v>
      </c>
      <c r="H448" s="4" t="s">
        <v>35</v>
      </c>
      <c r="I448" s="5">
        <v>44713</v>
      </c>
      <c r="J448" s="6">
        <v>0</v>
      </c>
      <c r="K448" s="6">
        <v>0</v>
      </c>
      <c r="L448" s="6">
        <v>-26.832000000000001</v>
      </c>
      <c r="M448" s="6">
        <v>-2.6831999999999998</v>
      </c>
      <c r="N448" s="6">
        <v>-26.832000000000001</v>
      </c>
      <c r="O448" s="6">
        <v>-2.6831999999999998</v>
      </c>
      <c r="P448" s="6">
        <v>0</v>
      </c>
      <c r="Q448" s="4" t="s">
        <v>26</v>
      </c>
      <c r="R448" s="4">
        <v>0</v>
      </c>
      <c r="S448" s="4">
        <v>0</v>
      </c>
      <c r="T448" s="4">
        <v>44</v>
      </c>
      <c r="U448" s="4">
        <v>67</v>
      </c>
      <c r="V448" s="6">
        <f>IF(ISERROR(VLOOKUP($S$448,'TAR FIN'!$A$1:$O$104,15,0)),0,VLOOKUP($S$448,'TAR FIN'!$A$1:$O$104,15,0))</f>
        <v>0</v>
      </c>
      <c r="W448" s="6">
        <f>IF(ISERROR(VLOOKUP($T$448,'TAR FIN'!$A$1:$O$104,15,0)),0,VLOOKUP($T$448,'TAR FIN'!$A$1:$O$104,15,0))</f>
        <v>62.57</v>
      </c>
      <c r="X448" s="6">
        <f>IF(ISERROR(VLOOKUP($U$448,'TAR FIN'!$A$1:$O$104,15,0)),0,VLOOKUP($U$448,'TAR FIN'!$A$1:$O$104,15,0))</f>
        <v>242.82</v>
      </c>
      <c r="Y448" s="6"/>
      <c r="Z448" s="6">
        <f ca="1">('TUSD BE'!$AM$26+'TUSD BF'!$AM$26+'TUSD CVA'!$AM$26)*1</f>
        <v>77.876201961015255</v>
      </c>
      <c r="AA448" s="6">
        <f>('TE BE'!$AB$8+'TE BF'!$AB$8+'TE CVA'!$AB$8)*1</f>
        <v>231.76257384332172</v>
      </c>
      <c r="AB448" s="6">
        <f t="shared" si="26"/>
        <v>0</v>
      </c>
      <c r="AC448" s="6">
        <f t="shared" si="27"/>
        <v>-7374.8020319999996</v>
      </c>
      <c r="AD448" s="6">
        <f t="shared" si="28"/>
        <v>0</v>
      </c>
      <c r="AE448" s="6">
        <f t="shared" ca="1" si="29"/>
        <v>-7477.4048691437729</v>
      </c>
      <c r="AF448" s="4" t="s">
        <v>1001</v>
      </c>
    </row>
    <row r="449" spans="1:32" ht="11.25" customHeight="1" x14ac:dyDescent="0.25">
      <c r="A449" s="4" t="s">
        <v>28</v>
      </c>
      <c r="B449" s="4" t="s">
        <v>41</v>
      </c>
      <c r="C449" s="4" t="s">
        <v>42</v>
      </c>
      <c r="D449" s="4" t="s">
        <v>45</v>
      </c>
      <c r="E449" s="4" t="s">
        <v>53</v>
      </c>
      <c r="F449" s="4" t="s">
        <v>55</v>
      </c>
      <c r="G449" s="4" t="s">
        <v>25</v>
      </c>
      <c r="H449" s="4" t="s">
        <v>35</v>
      </c>
      <c r="I449" s="5">
        <v>44713</v>
      </c>
      <c r="J449" s="6">
        <v>0</v>
      </c>
      <c r="K449" s="6">
        <v>0</v>
      </c>
      <c r="L449" s="6">
        <v>0.72499999999999998</v>
      </c>
      <c r="M449" s="6">
        <v>7.2499999999999995E-2</v>
      </c>
      <c r="N449" s="6">
        <v>0.72499999999999998</v>
      </c>
      <c r="O449" s="6">
        <v>7.2499999999999995E-2</v>
      </c>
      <c r="P449" s="6">
        <v>0</v>
      </c>
      <c r="Q449" s="4" t="s">
        <v>26</v>
      </c>
      <c r="R449" s="4">
        <v>0</v>
      </c>
      <c r="S449" s="4">
        <v>0</v>
      </c>
      <c r="T449" s="4">
        <v>44</v>
      </c>
      <c r="U449" s="4">
        <v>67</v>
      </c>
      <c r="V449" s="6">
        <f>IF(ISERROR(VLOOKUP($S$449,'TAR FIN'!$A$1:$O$104,15,0)),0,VLOOKUP($S$449,'TAR FIN'!$A$1:$O$104,15,0))</f>
        <v>0</v>
      </c>
      <c r="W449" s="6">
        <f>IF(ISERROR(VLOOKUP($T$449,'TAR FIN'!$A$1:$O$104,15,0)),0,VLOOKUP($T$449,'TAR FIN'!$A$1:$O$104,15,0))</f>
        <v>62.57</v>
      </c>
      <c r="X449" s="6">
        <f>IF(ISERROR(VLOOKUP($U$449,'TAR FIN'!$A$1:$O$104,15,0)),0,VLOOKUP($U$449,'TAR FIN'!$A$1:$O$104,15,0))</f>
        <v>242.82</v>
      </c>
      <c r="Y449" s="6"/>
      <c r="Z449" s="6">
        <f ca="1">('TUSD BE'!$AM$26+'TUSD BF'!$AM$26+'TUSD CVA'!$AM$26)*1</f>
        <v>77.876201961015255</v>
      </c>
      <c r="AA449" s="6">
        <f>('TE BE'!$AB$8+'TE BF'!$AB$8+'TE CVA'!$AB$8)*1</f>
        <v>231.76257384332172</v>
      </c>
      <c r="AB449" s="6">
        <f t="shared" si="26"/>
        <v>0</v>
      </c>
      <c r="AC449" s="6">
        <f t="shared" si="27"/>
        <v>199.26697499999997</v>
      </c>
      <c r="AD449" s="6">
        <f t="shared" si="28"/>
        <v>0</v>
      </c>
      <c r="AE449" s="6">
        <f t="shared" ca="1" si="29"/>
        <v>202.03930121232986</v>
      </c>
      <c r="AF449" s="4" t="s">
        <v>1001</v>
      </c>
    </row>
    <row r="450" spans="1:32" ht="11.25" customHeight="1" x14ac:dyDescent="0.25">
      <c r="A450" s="4" t="s">
        <v>57</v>
      </c>
      <c r="B450" s="4" t="s">
        <v>41</v>
      </c>
      <c r="C450" s="4" t="s">
        <v>42</v>
      </c>
      <c r="D450" s="4" t="s">
        <v>45</v>
      </c>
      <c r="E450" s="4" t="s">
        <v>53</v>
      </c>
      <c r="F450" s="4" t="s">
        <v>55</v>
      </c>
      <c r="G450" s="4" t="s">
        <v>25</v>
      </c>
      <c r="H450" s="4" t="s">
        <v>35</v>
      </c>
      <c r="I450" s="5">
        <v>44743</v>
      </c>
      <c r="J450" s="6">
        <v>0</v>
      </c>
      <c r="K450" s="6">
        <v>0</v>
      </c>
      <c r="L450" s="6">
        <v>533.52800000000002</v>
      </c>
      <c r="M450" s="6">
        <v>53.352800000000002</v>
      </c>
      <c r="N450" s="6">
        <v>533.52800000000002</v>
      </c>
      <c r="O450" s="6">
        <v>53.352800000000002</v>
      </c>
      <c r="P450" s="6">
        <v>0</v>
      </c>
      <c r="Q450" s="4" t="s">
        <v>26</v>
      </c>
      <c r="R450" s="4">
        <v>0</v>
      </c>
      <c r="S450" s="4">
        <v>0</v>
      </c>
      <c r="T450" s="4">
        <v>44</v>
      </c>
      <c r="U450" s="4">
        <v>67</v>
      </c>
      <c r="V450" s="6">
        <f>IF(ISERROR(VLOOKUP($S$450,'TAR FIN'!$A$1:$O$104,15,0)),0,VLOOKUP($S$450,'TAR FIN'!$A$1:$O$104,15,0))</f>
        <v>0</v>
      </c>
      <c r="W450" s="6">
        <f>IF(ISERROR(VLOOKUP($T$450,'TAR FIN'!$A$1:$O$104,15,0)),0,VLOOKUP($T$450,'TAR FIN'!$A$1:$O$104,15,0))</f>
        <v>62.57</v>
      </c>
      <c r="X450" s="6">
        <f>IF(ISERROR(VLOOKUP($U$450,'TAR FIN'!$A$1:$O$104,15,0)),0,VLOOKUP($U$450,'TAR FIN'!$A$1:$O$104,15,0))</f>
        <v>242.82</v>
      </c>
      <c r="Y450" s="6"/>
      <c r="Z450" s="6">
        <f ca="1">('TUSD BE'!$AM$26+'TUSD BF'!$AM$26+'TUSD CVA'!$AM$26)*1</f>
        <v>77.876201961015255</v>
      </c>
      <c r="AA450" s="6">
        <f>('TE BE'!$AB$8+'TE BF'!$AB$8+'TE CVA'!$AB$8)*1</f>
        <v>231.76257384332172</v>
      </c>
      <c r="AB450" s="6">
        <f t="shared" ref="AB450:AB452" si="30">(J450-K450)*V450</f>
        <v>0</v>
      </c>
      <c r="AC450" s="6">
        <f t="shared" ref="AC450:AC452" si="31">(L450-M450)*W450+(N450-O450)*X450</f>
        <v>146640.70432799999</v>
      </c>
      <c r="AD450" s="6">
        <f t="shared" ref="AD450:AD452" si="32">(J450-K450)*Y450</f>
        <v>0</v>
      </c>
      <c r="AE450" s="6">
        <f t="shared" ref="AE450:AE452" ca="1" si="33">(L450-M450)*Z450+(N450-O450)*AA450</f>
        <v>148680.86109960265</v>
      </c>
      <c r="AF450" s="4" t="s">
        <v>1001</v>
      </c>
    </row>
    <row r="451" spans="1:32" ht="11.25" customHeight="1" x14ac:dyDescent="0.25">
      <c r="A451" s="4" t="s">
        <v>57</v>
      </c>
      <c r="B451" s="4" t="s">
        <v>41</v>
      </c>
      <c r="C451" s="4" t="s">
        <v>42</v>
      </c>
      <c r="D451" s="4" t="s">
        <v>45</v>
      </c>
      <c r="E451" s="4" t="s">
        <v>53</v>
      </c>
      <c r="F451" s="4" t="s">
        <v>55</v>
      </c>
      <c r="G451" s="4" t="s">
        <v>25</v>
      </c>
      <c r="H451" s="4" t="s">
        <v>35</v>
      </c>
      <c r="I451" s="5">
        <v>44743</v>
      </c>
      <c r="J451" s="6">
        <v>0</v>
      </c>
      <c r="K451" s="6">
        <v>0</v>
      </c>
      <c r="L451" s="6">
        <v>-26.832000000000001</v>
      </c>
      <c r="M451" s="6">
        <v>-2.6831999999999998</v>
      </c>
      <c r="N451" s="6">
        <v>-26.832000000000001</v>
      </c>
      <c r="O451" s="6">
        <v>-2.6831999999999998</v>
      </c>
      <c r="P451" s="6">
        <v>0</v>
      </c>
      <c r="Q451" s="4" t="s">
        <v>26</v>
      </c>
      <c r="R451" s="4">
        <v>0</v>
      </c>
      <c r="S451" s="4">
        <v>0</v>
      </c>
      <c r="T451" s="4">
        <v>44</v>
      </c>
      <c r="U451" s="4">
        <v>67</v>
      </c>
      <c r="V451" s="6">
        <f>IF(ISERROR(VLOOKUP($S$451,'TAR FIN'!$A$1:$O$104,15,0)),0,VLOOKUP($S$451,'TAR FIN'!$A$1:$O$104,15,0))</f>
        <v>0</v>
      </c>
      <c r="W451" s="6">
        <f>IF(ISERROR(VLOOKUP($T$451,'TAR FIN'!$A$1:$O$104,15,0)),0,VLOOKUP($T$451,'TAR FIN'!$A$1:$O$104,15,0))</f>
        <v>62.57</v>
      </c>
      <c r="X451" s="6">
        <f>IF(ISERROR(VLOOKUP($U$451,'TAR FIN'!$A$1:$O$104,15,0)),0,VLOOKUP($U$451,'TAR FIN'!$A$1:$O$104,15,0))</f>
        <v>242.82</v>
      </c>
      <c r="Y451" s="6"/>
      <c r="Z451" s="6">
        <f ca="1">('TUSD BE'!$AM$26+'TUSD BF'!$AM$26+'TUSD CVA'!$AM$26)*1</f>
        <v>77.876201961015255</v>
      </c>
      <c r="AA451" s="6">
        <f>('TE BE'!$AB$8+'TE BF'!$AB$8+'TE CVA'!$AB$8)*1</f>
        <v>231.76257384332172</v>
      </c>
      <c r="AB451" s="6">
        <f t="shared" si="30"/>
        <v>0</v>
      </c>
      <c r="AC451" s="6">
        <f t="shared" si="31"/>
        <v>-7374.8020319999996</v>
      </c>
      <c r="AD451" s="6">
        <f t="shared" si="32"/>
        <v>0</v>
      </c>
      <c r="AE451" s="6">
        <f t="shared" ca="1" si="33"/>
        <v>-7477.4048691437729</v>
      </c>
      <c r="AF451" s="4" t="s">
        <v>1001</v>
      </c>
    </row>
    <row r="452" spans="1:32" ht="11.25" customHeight="1" x14ac:dyDescent="0.25">
      <c r="A452" s="4" t="s">
        <v>57</v>
      </c>
      <c r="B452" s="4" t="s">
        <v>41</v>
      </c>
      <c r="C452" s="4" t="s">
        <v>42</v>
      </c>
      <c r="D452" s="4" t="s">
        <v>45</v>
      </c>
      <c r="E452" s="4" t="s">
        <v>53</v>
      </c>
      <c r="F452" s="4" t="s">
        <v>55</v>
      </c>
      <c r="G452" s="4" t="s">
        <v>25</v>
      </c>
      <c r="H452" s="4" t="s">
        <v>35</v>
      </c>
      <c r="I452" s="5">
        <v>44743</v>
      </c>
      <c r="J452" s="6">
        <v>0</v>
      </c>
      <c r="K452" s="6">
        <v>0</v>
      </c>
      <c r="L452" s="6">
        <v>0.72499999999999998</v>
      </c>
      <c r="M452" s="6">
        <v>7.2499999999999995E-2</v>
      </c>
      <c r="N452" s="6">
        <v>0.72499999999999998</v>
      </c>
      <c r="O452" s="6">
        <v>7.2499999999999995E-2</v>
      </c>
      <c r="P452" s="6">
        <v>0</v>
      </c>
      <c r="Q452" s="4" t="s">
        <v>26</v>
      </c>
      <c r="R452" s="4">
        <v>0</v>
      </c>
      <c r="S452" s="4">
        <v>0</v>
      </c>
      <c r="T452" s="4">
        <v>44</v>
      </c>
      <c r="U452" s="4">
        <v>67</v>
      </c>
      <c r="V452" s="6">
        <f>IF(ISERROR(VLOOKUP($S$452,'TAR FIN'!$A$1:$O$104,15,0)),0,VLOOKUP($S$452,'TAR FIN'!$A$1:$O$104,15,0))</f>
        <v>0</v>
      </c>
      <c r="W452" s="6">
        <f>IF(ISERROR(VLOOKUP($T$452,'TAR FIN'!$A$1:$O$104,15,0)),0,VLOOKUP($T$452,'TAR FIN'!$A$1:$O$104,15,0))</f>
        <v>62.57</v>
      </c>
      <c r="X452" s="6">
        <f>IF(ISERROR(VLOOKUP($U$452,'TAR FIN'!$A$1:$O$104,15,0)),0,VLOOKUP($U$452,'TAR FIN'!$A$1:$O$104,15,0))</f>
        <v>242.82</v>
      </c>
      <c r="Y452" s="6"/>
      <c r="Z452" s="6">
        <f ca="1">('TUSD BE'!$AM$26+'TUSD BF'!$AM$26+'TUSD CVA'!$AM$26)*1</f>
        <v>77.876201961015255</v>
      </c>
      <c r="AA452" s="6">
        <f>('TE BE'!$AB$8+'TE BF'!$AB$8+'TE CVA'!$AB$8)*1</f>
        <v>231.76257384332172</v>
      </c>
      <c r="AB452" s="6">
        <f t="shared" si="30"/>
        <v>0</v>
      </c>
      <c r="AC452" s="6">
        <f t="shared" si="31"/>
        <v>199.26697499999997</v>
      </c>
      <c r="AD452" s="6">
        <f t="shared" si="32"/>
        <v>0</v>
      </c>
      <c r="AE452" s="6">
        <f t="shared" ca="1" si="33"/>
        <v>202.03930121232986</v>
      </c>
      <c r="AF452" s="4" t="s">
        <v>1001</v>
      </c>
    </row>
    <row r="453" spans="1:32" ht="11.25" customHeight="1" x14ac:dyDescent="0.25">
      <c r="A453" s="4" t="s">
        <v>21</v>
      </c>
      <c r="B453" s="4" t="s">
        <v>41</v>
      </c>
      <c r="C453" s="4" t="s">
        <v>42</v>
      </c>
      <c r="D453" s="4" t="s">
        <v>45</v>
      </c>
      <c r="E453" s="4" t="s">
        <v>53</v>
      </c>
      <c r="F453" s="4" t="s">
        <v>25</v>
      </c>
      <c r="G453" s="4" t="s">
        <v>25</v>
      </c>
      <c r="H453" s="4" t="s">
        <v>35</v>
      </c>
      <c r="I453" s="5">
        <v>44409</v>
      </c>
      <c r="J453" s="6">
        <v>0</v>
      </c>
      <c r="K453" s="60">
        <v>0</v>
      </c>
      <c r="L453" s="6">
        <v>1338.748</v>
      </c>
      <c r="M453" s="60">
        <v>1338.748</v>
      </c>
      <c r="N453" s="6">
        <v>1338.748</v>
      </c>
      <c r="O453" s="60">
        <v>1338.748</v>
      </c>
      <c r="P453" s="6">
        <v>0</v>
      </c>
      <c r="Q453" s="4" t="s">
        <v>26</v>
      </c>
      <c r="R453" s="4">
        <v>0</v>
      </c>
      <c r="S453" s="4">
        <v>0</v>
      </c>
      <c r="T453" s="4">
        <v>44</v>
      </c>
      <c r="U453" s="4">
        <v>67</v>
      </c>
      <c r="V453" s="60">
        <f>IF(ISERROR(VLOOKUP($S$453,'TAR FIN'!$A$1:$O$104,15,0)),0,VLOOKUP($S$453,'TAR FIN'!$A$1:$O$104,15,0))</f>
        <v>0</v>
      </c>
      <c r="W453" s="60">
        <f>IF(ISERROR(VLOOKUP($T$453,'TAR FIN'!$A$1:$O$104,15,0)),0,VLOOKUP($T$453,'TAR FIN'!$A$1:$O$104,15,0))*(1-0.04)</f>
        <v>60.0672</v>
      </c>
      <c r="X453" s="60">
        <f>IF(ISERROR(VLOOKUP($U$453,'TAR FIN'!$A$1:$O$104,15,0)),0,VLOOKUP($U$453,'TAR FIN'!$A$1:$O$104,15,0))*(1-0.04)</f>
        <v>233.10719999999998</v>
      </c>
      <c r="Y453" s="60"/>
      <c r="Z453" s="60">
        <f ca="1">('TUSD BE'!$AM$26+'TUSD BF'!$AM$26+'TUSD CVA'!$AM$26)*1*(1-0.02)</f>
        <v>76.318677921794944</v>
      </c>
      <c r="AA453" s="60">
        <f>('TE BE'!$AB$8+'TE BF'!$AB$8+'TE CVA'!$AB$8)*1*(1-0.02)</f>
        <v>227.12732236645527</v>
      </c>
      <c r="AB453" s="60">
        <f>(SUBSIDIO!$J$453*SUBSIDIO!$V$453)*(0.04)/(1-0.04)</f>
        <v>0</v>
      </c>
      <c r="AC453" s="60">
        <f>((SUBSIDIO!$L$453*SUBSIDIO!$W$453)+(SUBSIDIO!$N$453*SUBSIDIO!$X$453))*(0.04)/(1-0.04)</f>
        <v>16353.610068800002</v>
      </c>
      <c r="AD453" s="60">
        <f>(SUBSIDIO!$J$453*SUBSIDIO!$Y$453)*(0.02)/(1-0.02)</f>
        <v>0</v>
      </c>
      <c r="AE453" s="60">
        <f ca="1">((SUBSIDIO!$L$453*SUBSIDIO!$Z$453)+(SUBSIDIO!$N$453*SUBSIDIO!$AA$453))*(0.02)/(1-0.02)</f>
        <v>8290.5658366100906</v>
      </c>
      <c r="AF453" s="4" t="s">
        <v>998</v>
      </c>
    </row>
    <row r="454" spans="1:32" ht="11.25" customHeight="1" x14ac:dyDescent="0.25">
      <c r="A454" s="4" t="s">
        <v>27</v>
      </c>
      <c r="B454" s="4" t="s">
        <v>41</v>
      </c>
      <c r="C454" s="4" t="s">
        <v>42</v>
      </c>
      <c r="D454" s="4" t="s">
        <v>45</v>
      </c>
      <c r="E454" s="4" t="s">
        <v>53</v>
      </c>
      <c r="F454" s="4" t="s">
        <v>25</v>
      </c>
      <c r="G454" s="4" t="s">
        <v>25</v>
      </c>
      <c r="H454" s="4" t="s">
        <v>35</v>
      </c>
      <c r="I454" s="5">
        <v>44409</v>
      </c>
      <c r="J454" s="6">
        <v>0</v>
      </c>
      <c r="K454" s="60">
        <v>0</v>
      </c>
      <c r="L454" s="6">
        <v>-31.73</v>
      </c>
      <c r="M454" s="60">
        <v>-31.73</v>
      </c>
      <c r="N454" s="6">
        <v>-31.73</v>
      </c>
      <c r="O454" s="60">
        <v>-31.73</v>
      </c>
      <c r="P454" s="6">
        <v>0</v>
      </c>
      <c r="Q454" s="4" t="s">
        <v>26</v>
      </c>
      <c r="R454" s="4">
        <v>0</v>
      </c>
      <c r="S454" s="4">
        <v>0</v>
      </c>
      <c r="T454" s="4">
        <v>44</v>
      </c>
      <c r="U454" s="4">
        <v>67</v>
      </c>
      <c r="V454" s="60">
        <f>IF(ISERROR(VLOOKUP($S$454,'TAR FIN'!$A$1:$O$104,15,0)),0,VLOOKUP($S$454,'TAR FIN'!$A$1:$O$104,15,0))</f>
        <v>0</v>
      </c>
      <c r="W454" s="60">
        <f>IF(ISERROR(VLOOKUP($T$454,'TAR FIN'!$A$1:$O$104,15,0)),0,VLOOKUP($T$454,'TAR FIN'!$A$1:$O$104,15,0))*(1-0.04)</f>
        <v>60.0672</v>
      </c>
      <c r="X454" s="60">
        <f>IF(ISERROR(VLOOKUP($U$454,'TAR FIN'!$A$1:$O$104,15,0)),0,VLOOKUP($U$454,'TAR FIN'!$A$1:$O$104,15,0))*(1-0.04)</f>
        <v>233.10719999999998</v>
      </c>
      <c r="Y454" s="60"/>
      <c r="Z454" s="60">
        <f ca="1">('TUSD BE'!$AM$26+'TUSD BF'!$AM$26+'TUSD CVA'!$AM$26)*1*(1-0.02)</f>
        <v>76.318677921794944</v>
      </c>
      <c r="AA454" s="60">
        <f>('TE BE'!$AB$8+'TE BF'!$AB$8+'TE CVA'!$AB$8)*1*(1-0.02)</f>
        <v>227.12732236645527</v>
      </c>
      <c r="AB454" s="60">
        <f>(SUBSIDIO!$J$454*SUBSIDIO!$V$454)*(0.04)/(1-0.04)</f>
        <v>0</v>
      </c>
      <c r="AC454" s="60">
        <f>((SUBSIDIO!$L$454*SUBSIDIO!$W$454)+(SUBSIDIO!$N$454*SUBSIDIO!$X$454))*(0.04)/(1-0.04)</f>
        <v>-387.60098799999997</v>
      </c>
      <c r="AD454" s="60">
        <f>(SUBSIDIO!$J$454*SUBSIDIO!$Y$454)*(0.02)/(1-0.02)</f>
        <v>0</v>
      </c>
      <c r="AE454" s="60">
        <f ca="1">((SUBSIDIO!$L$454*SUBSIDIO!$Z$454)+(SUBSIDIO!$N$454*SUBSIDIO!$AA$454))*(0.02)/(1-0.02)</f>
        <v>-196.49676712543226</v>
      </c>
      <c r="AF454" s="4" t="s">
        <v>998</v>
      </c>
    </row>
    <row r="455" spans="1:32" ht="11.25" customHeight="1" x14ac:dyDescent="0.25">
      <c r="A455" s="4" t="s">
        <v>28</v>
      </c>
      <c r="B455" s="4" t="s">
        <v>41</v>
      </c>
      <c r="C455" s="4" t="s">
        <v>42</v>
      </c>
      <c r="D455" s="4" t="s">
        <v>45</v>
      </c>
      <c r="E455" s="4" t="s">
        <v>53</v>
      </c>
      <c r="F455" s="4" t="s">
        <v>25</v>
      </c>
      <c r="G455" s="4" t="s">
        <v>25</v>
      </c>
      <c r="H455" s="4" t="s">
        <v>35</v>
      </c>
      <c r="I455" s="5">
        <v>44409</v>
      </c>
      <c r="J455" s="6">
        <v>0</v>
      </c>
      <c r="K455" s="60">
        <v>0</v>
      </c>
      <c r="L455" s="6">
        <v>23.425000000000001</v>
      </c>
      <c r="M455" s="60">
        <v>23.425000000000001</v>
      </c>
      <c r="N455" s="6">
        <v>23.425000000000001</v>
      </c>
      <c r="O455" s="60">
        <v>23.425000000000001</v>
      </c>
      <c r="P455" s="6">
        <v>0</v>
      </c>
      <c r="Q455" s="4" t="s">
        <v>26</v>
      </c>
      <c r="R455" s="4">
        <v>0</v>
      </c>
      <c r="S455" s="4">
        <v>0</v>
      </c>
      <c r="T455" s="4">
        <v>44</v>
      </c>
      <c r="U455" s="4">
        <v>67</v>
      </c>
      <c r="V455" s="60">
        <f>IF(ISERROR(VLOOKUP($S$455,'TAR FIN'!$A$1:$O$104,15,0)),0,VLOOKUP($S$455,'TAR FIN'!$A$1:$O$104,15,0))</f>
        <v>0</v>
      </c>
      <c r="W455" s="60">
        <f>IF(ISERROR(VLOOKUP($T$455,'TAR FIN'!$A$1:$O$104,15,0)),0,VLOOKUP($T$455,'TAR FIN'!$A$1:$O$104,15,0))*(1-0.04)</f>
        <v>60.0672</v>
      </c>
      <c r="X455" s="60">
        <f>IF(ISERROR(VLOOKUP($U$455,'TAR FIN'!$A$1:$O$104,15,0)),0,VLOOKUP($U$455,'TAR FIN'!$A$1:$O$104,15,0))*(1-0.04)</f>
        <v>233.10719999999998</v>
      </c>
      <c r="Y455" s="60"/>
      <c r="Z455" s="60">
        <f ca="1">('TUSD BE'!$AM$26+'TUSD BF'!$AM$26+'TUSD CVA'!$AM$26)*1*(1-0.02)</f>
        <v>76.318677921794944</v>
      </c>
      <c r="AA455" s="60">
        <f>('TE BE'!$AB$8+'TE BF'!$AB$8+'TE CVA'!$AB$8)*1*(1-0.02)</f>
        <v>227.12732236645527</v>
      </c>
      <c r="AB455" s="60">
        <f>(SUBSIDIO!$J$455*SUBSIDIO!$V$455)*(0.04)/(1-0.04)</f>
        <v>0</v>
      </c>
      <c r="AC455" s="60">
        <f>((SUBSIDIO!$L$455*SUBSIDIO!$W$455)+(SUBSIDIO!$N$455*SUBSIDIO!$X$455))*(0.04)/(1-0.04)</f>
        <v>286.15043000000003</v>
      </c>
      <c r="AD455" s="60">
        <f>(SUBSIDIO!$J$455*SUBSIDIO!$Y$455)*(0.02)/(1-0.02)</f>
        <v>0</v>
      </c>
      <c r="AE455" s="60">
        <f ca="1">((SUBSIDIO!$L$455*SUBSIDIO!$Z$455)+(SUBSIDIO!$N$455*SUBSIDIO!$AA$455))*(0.02)/(1-0.02)</f>
        <v>145.06576646433189</v>
      </c>
      <c r="AF455" s="4" t="s">
        <v>998</v>
      </c>
    </row>
    <row r="456" spans="1:32" ht="11.25" customHeight="1" x14ac:dyDescent="0.25">
      <c r="A456" s="4" t="s">
        <v>28</v>
      </c>
      <c r="B456" s="4" t="s">
        <v>41</v>
      </c>
      <c r="C456" s="4" t="s">
        <v>42</v>
      </c>
      <c r="D456" s="4" t="s">
        <v>45</v>
      </c>
      <c r="E456" s="4" t="s">
        <v>53</v>
      </c>
      <c r="F456" s="4" t="s">
        <v>25</v>
      </c>
      <c r="G456" s="4" t="s">
        <v>25</v>
      </c>
      <c r="H456" s="4" t="s">
        <v>35</v>
      </c>
      <c r="I456" s="5">
        <v>44409</v>
      </c>
      <c r="J456" s="6">
        <v>0</v>
      </c>
      <c r="K456" s="60">
        <v>0</v>
      </c>
      <c r="L456" s="6">
        <v>-49.35</v>
      </c>
      <c r="M456" s="60">
        <v>-49.35</v>
      </c>
      <c r="N456" s="6">
        <v>-49.35</v>
      </c>
      <c r="O456" s="60">
        <v>-49.35</v>
      </c>
      <c r="P456" s="6">
        <v>0</v>
      </c>
      <c r="Q456" s="4" t="s">
        <v>26</v>
      </c>
      <c r="R456" s="4">
        <v>0</v>
      </c>
      <c r="S456" s="4">
        <v>0</v>
      </c>
      <c r="T456" s="4">
        <v>44</v>
      </c>
      <c r="U456" s="4">
        <v>67</v>
      </c>
      <c r="V456" s="60">
        <f>IF(ISERROR(VLOOKUP($S$456,'TAR FIN'!$A$1:$O$104,15,0)),0,VLOOKUP($S$456,'TAR FIN'!$A$1:$O$104,15,0))</f>
        <v>0</v>
      </c>
      <c r="W456" s="60">
        <f>IF(ISERROR(VLOOKUP($T$456,'TAR FIN'!$A$1:$O$104,15,0)),0,VLOOKUP($T$456,'TAR FIN'!$A$1:$O$104,15,0))*(1-0.04)</f>
        <v>60.0672</v>
      </c>
      <c r="X456" s="60">
        <f>IF(ISERROR(VLOOKUP($U$456,'TAR FIN'!$A$1:$O$104,15,0)),0,VLOOKUP($U$456,'TAR FIN'!$A$1:$O$104,15,0))*(1-0.04)</f>
        <v>233.10719999999998</v>
      </c>
      <c r="Y456" s="60"/>
      <c r="Z456" s="60">
        <f ca="1">('TUSD BE'!$AM$26+'TUSD BF'!$AM$26+'TUSD CVA'!$AM$26)*1*(1-0.02)</f>
        <v>76.318677921794944</v>
      </c>
      <c r="AA456" s="60">
        <f>('TE BE'!$AB$8+'TE BF'!$AB$8+'TE CVA'!$AB$8)*1*(1-0.02)</f>
        <v>227.12732236645527</v>
      </c>
      <c r="AB456" s="60">
        <f>(SUBSIDIO!$J$456*SUBSIDIO!$V$456)*(0.04)/(1-0.04)</f>
        <v>0</v>
      </c>
      <c r="AC456" s="60">
        <f>((SUBSIDIO!$L$456*SUBSIDIO!$W$456)+(SUBSIDIO!$N$456*SUBSIDIO!$X$456))*(0.04)/(1-0.04)</f>
        <v>-602.83986000000004</v>
      </c>
      <c r="AD456" s="60">
        <f>(SUBSIDIO!$J$456*SUBSIDIO!$Y$456)*(0.02)/(1-0.02)</f>
        <v>0</v>
      </c>
      <c r="AE456" s="60">
        <f ca="1">((SUBSIDIO!$L$456*SUBSIDIO!$Z$456)+(SUBSIDIO!$N$456*SUBSIDIO!$AA$456))*(0.02)/(1-0.02)</f>
        <v>-305.61347171888059</v>
      </c>
      <c r="AF456" s="4" t="s">
        <v>998</v>
      </c>
    </row>
    <row r="457" spans="1:32" ht="11.25" customHeight="1" x14ac:dyDescent="0.25">
      <c r="A457" s="4" t="s">
        <v>21</v>
      </c>
      <c r="B457" s="4" t="s">
        <v>41</v>
      </c>
      <c r="C457" s="4" t="s">
        <v>42</v>
      </c>
      <c r="D457" s="4" t="s">
        <v>45</v>
      </c>
      <c r="E457" s="4" t="s">
        <v>53</v>
      </c>
      <c r="F457" s="4" t="s">
        <v>25</v>
      </c>
      <c r="G457" s="4" t="s">
        <v>25</v>
      </c>
      <c r="H457" s="4" t="s">
        <v>35</v>
      </c>
      <c r="I457" s="5">
        <v>44440</v>
      </c>
      <c r="J457" s="6">
        <v>0</v>
      </c>
      <c r="K457" s="60">
        <v>0</v>
      </c>
      <c r="L457" s="6">
        <v>1734.5719999999999</v>
      </c>
      <c r="M457" s="60">
        <v>1734.5719999999999</v>
      </c>
      <c r="N457" s="6">
        <v>1734.5719999999999</v>
      </c>
      <c r="O457" s="60">
        <v>1734.5719999999999</v>
      </c>
      <c r="P457" s="6">
        <v>0</v>
      </c>
      <c r="Q457" s="4" t="s">
        <v>26</v>
      </c>
      <c r="R457" s="4">
        <v>0</v>
      </c>
      <c r="S457" s="4">
        <v>0</v>
      </c>
      <c r="T457" s="4">
        <v>44</v>
      </c>
      <c r="U457" s="4">
        <v>67</v>
      </c>
      <c r="V457" s="60">
        <f>IF(ISERROR(VLOOKUP($S$457,'TAR FIN'!$A$1:$O$104,15,0)),0,VLOOKUP($S$457,'TAR FIN'!$A$1:$O$104,15,0))</f>
        <v>0</v>
      </c>
      <c r="W457" s="60">
        <f>IF(ISERROR(VLOOKUP($T$457,'TAR FIN'!$A$1:$O$104,15,0)),0,VLOOKUP($T$457,'TAR FIN'!$A$1:$O$104,15,0))*(1-0.04)</f>
        <v>60.0672</v>
      </c>
      <c r="X457" s="60">
        <f>IF(ISERROR(VLOOKUP($U$457,'TAR FIN'!$A$1:$O$104,15,0)),0,VLOOKUP($U$457,'TAR FIN'!$A$1:$O$104,15,0))*(1-0.04)</f>
        <v>233.10719999999998</v>
      </c>
      <c r="Y457" s="60"/>
      <c r="Z457" s="60">
        <f ca="1">('TUSD BE'!$AM$26+'TUSD BF'!$AM$26+'TUSD CVA'!$AM$26)*1*(1-0.02)</f>
        <v>76.318677921794944</v>
      </c>
      <c r="AA457" s="60">
        <f>('TE BE'!$AB$8+'TE BF'!$AB$8+'TE CVA'!$AB$8)*1*(1-0.02)</f>
        <v>227.12732236645527</v>
      </c>
      <c r="AB457" s="60">
        <f>(SUBSIDIO!$J$457*SUBSIDIO!$V$457)*(0.04)/(1-0.04)</f>
        <v>0</v>
      </c>
      <c r="AC457" s="60">
        <f>((SUBSIDIO!$L$457*SUBSIDIO!$W$457)+(SUBSIDIO!$N$457*SUBSIDIO!$X$457))*(0.04)/(1-0.04)</f>
        <v>21188.837723199998</v>
      </c>
      <c r="AD457" s="60">
        <f>(SUBSIDIO!$J$457*SUBSIDIO!$Y$457)*(0.02)/(1-0.02)</f>
        <v>0</v>
      </c>
      <c r="AE457" s="60">
        <f ca="1">((SUBSIDIO!$L$457*SUBSIDIO!$Z$457)+(SUBSIDIO!$N$457*SUBSIDIO!$AA$457))*(0.02)/(1-0.02)</f>
        <v>10741.815012489607</v>
      </c>
      <c r="AF457" s="4" t="s">
        <v>998</v>
      </c>
    </row>
    <row r="458" spans="1:32" ht="11.25" customHeight="1" x14ac:dyDescent="0.25">
      <c r="A458" s="4" t="s">
        <v>21</v>
      </c>
      <c r="B458" s="4" t="s">
        <v>41</v>
      </c>
      <c r="C458" s="4" t="s">
        <v>42</v>
      </c>
      <c r="D458" s="4" t="s">
        <v>45</v>
      </c>
      <c r="E458" s="4" t="s">
        <v>53</v>
      </c>
      <c r="F458" s="4" t="s">
        <v>25</v>
      </c>
      <c r="G458" s="4" t="s">
        <v>25</v>
      </c>
      <c r="H458" s="4" t="s">
        <v>35</v>
      </c>
      <c r="I458" s="5">
        <v>44470</v>
      </c>
      <c r="J458" s="6">
        <v>0</v>
      </c>
      <c r="K458" s="60">
        <v>0</v>
      </c>
      <c r="L458" s="6">
        <v>2228.7159999999999</v>
      </c>
      <c r="M458" s="60">
        <v>2228.7159999999999</v>
      </c>
      <c r="N458" s="6">
        <v>2228.7159999999999</v>
      </c>
      <c r="O458" s="60">
        <v>2228.7159999999999</v>
      </c>
      <c r="P458" s="6">
        <v>0</v>
      </c>
      <c r="Q458" s="4" t="s">
        <v>26</v>
      </c>
      <c r="R458" s="4">
        <v>0</v>
      </c>
      <c r="S458" s="4">
        <v>0</v>
      </c>
      <c r="T458" s="4">
        <v>44</v>
      </c>
      <c r="U458" s="4">
        <v>67</v>
      </c>
      <c r="V458" s="60">
        <f>IF(ISERROR(VLOOKUP($S$458,'TAR FIN'!$A$1:$O$104,15,0)),0,VLOOKUP($S$458,'TAR FIN'!$A$1:$O$104,15,0))</f>
        <v>0</v>
      </c>
      <c r="W458" s="60">
        <f>IF(ISERROR(VLOOKUP($T$458,'TAR FIN'!$A$1:$O$104,15,0)),0,VLOOKUP($T$458,'TAR FIN'!$A$1:$O$104,15,0))*(1-0.04)</f>
        <v>60.0672</v>
      </c>
      <c r="X458" s="60">
        <f>IF(ISERROR(VLOOKUP($U$458,'TAR FIN'!$A$1:$O$104,15,0)),0,VLOOKUP($U$458,'TAR FIN'!$A$1:$O$104,15,0))*(1-0.04)</f>
        <v>233.10719999999998</v>
      </c>
      <c r="Y458" s="60"/>
      <c r="Z458" s="60">
        <f ca="1">('TUSD BE'!$AM$26+'TUSD BF'!$AM$26+'TUSD CVA'!$AM$26)*1*(1-0.02)</f>
        <v>76.318677921794944</v>
      </c>
      <c r="AA458" s="60">
        <f>('TE BE'!$AB$8+'TE BF'!$AB$8+'TE CVA'!$AB$8)*1*(1-0.02)</f>
        <v>227.12732236645527</v>
      </c>
      <c r="AB458" s="60">
        <f>(SUBSIDIO!$J$458*SUBSIDIO!$V$458)*(0.04)/(1-0.04)</f>
        <v>0</v>
      </c>
      <c r="AC458" s="60">
        <f>((SUBSIDIO!$L$458*SUBSIDIO!$W$458)+(SUBSIDIO!$N$458*SUBSIDIO!$X$458))*(0.04)/(1-0.04)</f>
        <v>27225.103169600003</v>
      </c>
      <c r="AD458" s="60">
        <f>(SUBSIDIO!$J$458*SUBSIDIO!$Y$458)*(0.02)/(1-0.02)</f>
        <v>0</v>
      </c>
      <c r="AE458" s="60">
        <f ca="1">((SUBSIDIO!$L$458*SUBSIDIO!$Z$458)+(SUBSIDIO!$N$458*SUBSIDIO!$AA$458))*(0.02)/(1-0.02)</f>
        <v>13801.937877110771</v>
      </c>
      <c r="AF458" s="4" t="s">
        <v>998</v>
      </c>
    </row>
    <row r="459" spans="1:32" ht="11.25" customHeight="1" x14ac:dyDescent="0.25">
      <c r="A459" s="4" t="s">
        <v>27</v>
      </c>
      <c r="B459" s="4" t="s">
        <v>41</v>
      </c>
      <c r="C459" s="4" t="s">
        <v>42</v>
      </c>
      <c r="D459" s="4" t="s">
        <v>45</v>
      </c>
      <c r="E459" s="4" t="s">
        <v>53</v>
      </c>
      <c r="F459" s="4" t="s">
        <v>25</v>
      </c>
      <c r="G459" s="4" t="s">
        <v>25</v>
      </c>
      <c r="H459" s="4" t="s">
        <v>35</v>
      </c>
      <c r="I459" s="5">
        <v>44470</v>
      </c>
      <c r="J459" s="6">
        <v>0</v>
      </c>
      <c r="K459" s="60">
        <v>0</v>
      </c>
      <c r="L459" s="6">
        <v>-65.650000000000006</v>
      </c>
      <c r="M459" s="60">
        <v>-65.650000000000006</v>
      </c>
      <c r="N459" s="6">
        <v>-65.650000000000006</v>
      </c>
      <c r="O459" s="60">
        <v>-65.650000000000006</v>
      </c>
      <c r="P459" s="6">
        <v>0</v>
      </c>
      <c r="Q459" s="4" t="s">
        <v>26</v>
      </c>
      <c r="R459" s="4">
        <v>0</v>
      </c>
      <c r="S459" s="4">
        <v>0</v>
      </c>
      <c r="T459" s="4">
        <v>44</v>
      </c>
      <c r="U459" s="4">
        <v>67</v>
      </c>
      <c r="V459" s="60">
        <f>IF(ISERROR(VLOOKUP($S$459,'TAR FIN'!$A$1:$O$104,15,0)),0,VLOOKUP($S$459,'TAR FIN'!$A$1:$O$104,15,0))</f>
        <v>0</v>
      </c>
      <c r="W459" s="60">
        <f>IF(ISERROR(VLOOKUP($T$459,'TAR FIN'!$A$1:$O$104,15,0)),0,VLOOKUP($T$459,'TAR FIN'!$A$1:$O$104,15,0))*(1-0.04)</f>
        <v>60.0672</v>
      </c>
      <c r="X459" s="60">
        <f>IF(ISERROR(VLOOKUP($U$459,'TAR FIN'!$A$1:$O$104,15,0)),0,VLOOKUP($U$459,'TAR FIN'!$A$1:$O$104,15,0))*(1-0.04)</f>
        <v>233.10719999999998</v>
      </c>
      <c r="Y459" s="60"/>
      <c r="Z459" s="60">
        <f ca="1">('TUSD BE'!$AM$26+'TUSD BF'!$AM$26+'TUSD CVA'!$AM$26)*1*(1-0.02)</f>
        <v>76.318677921794944</v>
      </c>
      <c r="AA459" s="60">
        <f>('TE BE'!$AB$8+'TE BF'!$AB$8+'TE CVA'!$AB$8)*1*(1-0.02)</f>
        <v>227.12732236645527</v>
      </c>
      <c r="AB459" s="60">
        <f>(SUBSIDIO!$J$459*SUBSIDIO!$V$459)*(0.04)/(1-0.04)</f>
        <v>0</v>
      </c>
      <c r="AC459" s="60">
        <f>((SUBSIDIO!$L$459*SUBSIDIO!$W$459)+(SUBSIDIO!$N$459*SUBSIDIO!$X$459))*(0.04)/(1-0.04)</f>
        <v>-801.95414000000005</v>
      </c>
      <c r="AD459" s="60">
        <f>(SUBSIDIO!$J$459*SUBSIDIO!$Y$459)*(0.02)/(1-0.02)</f>
        <v>0</v>
      </c>
      <c r="AE459" s="60">
        <f ca="1">((SUBSIDIO!$L$459*SUBSIDIO!$Z$459)+(SUBSIDIO!$N$459*SUBSIDIO!$AA$459))*(0.02)/(1-0.02)</f>
        <v>-406.55571263109448</v>
      </c>
      <c r="AF459" s="4" t="s">
        <v>998</v>
      </c>
    </row>
    <row r="460" spans="1:32" ht="11.25" customHeight="1" x14ac:dyDescent="0.25">
      <c r="A460" s="4" t="s">
        <v>21</v>
      </c>
      <c r="B460" s="4" t="s">
        <v>41</v>
      </c>
      <c r="C460" s="4" t="s">
        <v>42</v>
      </c>
      <c r="D460" s="4" t="s">
        <v>45</v>
      </c>
      <c r="E460" s="4" t="s">
        <v>53</v>
      </c>
      <c r="F460" s="4" t="s">
        <v>25</v>
      </c>
      <c r="G460" s="4" t="s">
        <v>25</v>
      </c>
      <c r="H460" s="4" t="s">
        <v>35</v>
      </c>
      <c r="I460" s="5">
        <v>44501</v>
      </c>
      <c r="J460" s="6">
        <v>0</v>
      </c>
      <c r="K460" s="60">
        <v>0</v>
      </c>
      <c r="L460" s="6">
        <v>2764.9520000000002</v>
      </c>
      <c r="M460" s="60">
        <v>2764.9520000000002</v>
      </c>
      <c r="N460" s="6">
        <v>2764.9520000000002</v>
      </c>
      <c r="O460" s="60">
        <v>2764.9520000000002</v>
      </c>
      <c r="P460" s="6">
        <v>0</v>
      </c>
      <c r="Q460" s="4" t="s">
        <v>26</v>
      </c>
      <c r="R460" s="4">
        <v>0</v>
      </c>
      <c r="S460" s="4">
        <v>0</v>
      </c>
      <c r="T460" s="4">
        <v>44</v>
      </c>
      <c r="U460" s="4">
        <v>67</v>
      </c>
      <c r="V460" s="60">
        <f>IF(ISERROR(VLOOKUP($S$460,'TAR FIN'!$A$1:$O$104,15,0)),0,VLOOKUP($S$460,'TAR FIN'!$A$1:$O$104,15,0))</f>
        <v>0</v>
      </c>
      <c r="W460" s="60">
        <f>IF(ISERROR(VLOOKUP($T$460,'TAR FIN'!$A$1:$O$104,15,0)),0,VLOOKUP($T$460,'TAR FIN'!$A$1:$O$104,15,0))*(1-0.04)</f>
        <v>60.0672</v>
      </c>
      <c r="X460" s="60">
        <f>IF(ISERROR(VLOOKUP($U$460,'TAR FIN'!$A$1:$O$104,15,0)),0,VLOOKUP($U$460,'TAR FIN'!$A$1:$O$104,15,0))*(1-0.04)</f>
        <v>233.10719999999998</v>
      </c>
      <c r="Y460" s="60"/>
      <c r="Z460" s="60">
        <f ca="1">('TUSD BE'!$AM$26+'TUSD BF'!$AM$26+'TUSD CVA'!$AM$26)*1*(1-0.02)</f>
        <v>76.318677921794944</v>
      </c>
      <c r="AA460" s="60">
        <f>('TE BE'!$AB$8+'TE BF'!$AB$8+'TE CVA'!$AB$8)*1*(1-0.02)</f>
        <v>227.12732236645527</v>
      </c>
      <c r="AB460" s="60">
        <f>(SUBSIDIO!$J$460*SUBSIDIO!$V$460)*(0.04)/(1-0.04)</f>
        <v>0</v>
      </c>
      <c r="AC460" s="60">
        <f>((SUBSIDIO!$L$460*SUBSIDIO!$W$460)+(SUBSIDIO!$N$460*SUBSIDIO!$X$460))*(0.04)/(1-0.04)</f>
        <v>33775.54765120001</v>
      </c>
      <c r="AD460" s="60">
        <f>(SUBSIDIO!$J$460*SUBSIDIO!$Y$460)*(0.02)/(1-0.02)</f>
        <v>0</v>
      </c>
      <c r="AE460" s="60">
        <f ca="1">((SUBSIDIO!$L$460*SUBSIDIO!$Z$460)+(SUBSIDIO!$N$460*SUBSIDIO!$AA$460))*(0.02)/(1-0.02)</f>
        <v>17122.727048755063</v>
      </c>
      <c r="AF460" s="4" t="s">
        <v>998</v>
      </c>
    </row>
    <row r="461" spans="1:32" ht="11.25" customHeight="1" x14ac:dyDescent="0.25">
      <c r="A461" s="4" t="s">
        <v>27</v>
      </c>
      <c r="B461" s="4" t="s">
        <v>41</v>
      </c>
      <c r="C461" s="4" t="s">
        <v>42</v>
      </c>
      <c r="D461" s="4" t="s">
        <v>45</v>
      </c>
      <c r="E461" s="4" t="s">
        <v>53</v>
      </c>
      <c r="F461" s="4" t="s">
        <v>25</v>
      </c>
      <c r="G461" s="4" t="s">
        <v>25</v>
      </c>
      <c r="H461" s="4" t="s">
        <v>35</v>
      </c>
      <c r="I461" s="5">
        <v>44501</v>
      </c>
      <c r="J461" s="6">
        <v>0</v>
      </c>
      <c r="K461" s="60">
        <v>0</v>
      </c>
      <c r="L461" s="6">
        <v>-65.512</v>
      </c>
      <c r="M461" s="60">
        <v>-65.512</v>
      </c>
      <c r="N461" s="6">
        <v>-65.512</v>
      </c>
      <c r="O461" s="60">
        <v>-65.512</v>
      </c>
      <c r="P461" s="6">
        <v>0</v>
      </c>
      <c r="Q461" s="4" t="s">
        <v>26</v>
      </c>
      <c r="R461" s="4">
        <v>0</v>
      </c>
      <c r="S461" s="4">
        <v>0</v>
      </c>
      <c r="T461" s="4">
        <v>44</v>
      </c>
      <c r="U461" s="4">
        <v>67</v>
      </c>
      <c r="V461" s="60">
        <f>IF(ISERROR(VLOOKUP($S$461,'TAR FIN'!$A$1:$O$104,15,0)),0,VLOOKUP($S$461,'TAR FIN'!$A$1:$O$104,15,0))</f>
        <v>0</v>
      </c>
      <c r="W461" s="60">
        <f>IF(ISERROR(VLOOKUP($T$461,'TAR FIN'!$A$1:$O$104,15,0)),0,VLOOKUP($T$461,'TAR FIN'!$A$1:$O$104,15,0))*(1-0.04)</f>
        <v>60.0672</v>
      </c>
      <c r="X461" s="60">
        <f>IF(ISERROR(VLOOKUP($U$461,'TAR FIN'!$A$1:$O$104,15,0)),0,VLOOKUP($U$461,'TAR FIN'!$A$1:$O$104,15,0))*(1-0.04)</f>
        <v>233.10719999999998</v>
      </c>
      <c r="Y461" s="60"/>
      <c r="Z461" s="60">
        <f ca="1">('TUSD BE'!$AM$26+'TUSD BF'!$AM$26+'TUSD CVA'!$AM$26)*1*(1-0.02)</f>
        <v>76.318677921794944</v>
      </c>
      <c r="AA461" s="60">
        <f>('TE BE'!$AB$8+'TE BF'!$AB$8+'TE CVA'!$AB$8)*1*(1-0.02)</f>
        <v>227.12732236645527</v>
      </c>
      <c r="AB461" s="60">
        <f>(SUBSIDIO!$J$461*SUBSIDIO!$V$461)*(0.04)/(1-0.04)</f>
        <v>0</v>
      </c>
      <c r="AC461" s="60">
        <f>((SUBSIDIO!$L$461*SUBSIDIO!$W$461)+(SUBSIDIO!$N$461*SUBSIDIO!$X$461))*(0.04)/(1-0.04)</f>
        <v>-800.26838720000001</v>
      </c>
      <c r="AD461" s="60">
        <f>(SUBSIDIO!$J$461*SUBSIDIO!$Y$461)*(0.02)/(1-0.02)</f>
        <v>0</v>
      </c>
      <c r="AE461" s="60">
        <f ca="1">((SUBSIDIO!$L$461*SUBSIDIO!$Z$461)+(SUBSIDIO!$N$461*SUBSIDIO!$AA$461))*(0.02)/(1-0.02)</f>
        <v>-405.70110960987449</v>
      </c>
      <c r="AF461" s="4" t="s">
        <v>998</v>
      </c>
    </row>
    <row r="462" spans="1:32" ht="11.25" customHeight="1" x14ac:dyDescent="0.25">
      <c r="A462" s="4" t="s">
        <v>28</v>
      </c>
      <c r="B462" s="4" t="s">
        <v>41</v>
      </c>
      <c r="C462" s="4" t="s">
        <v>42</v>
      </c>
      <c r="D462" s="4" t="s">
        <v>45</v>
      </c>
      <c r="E462" s="4" t="s">
        <v>53</v>
      </c>
      <c r="F462" s="4" t="s">
        <v>25</v>
      </c>
      <c r="G462" s="4" t="s">
        <v>25</v>
      </c>
      <c r="H462" s="4" t="s">
        <v>35</v>
      </c>
      <c r="I462" s="5">
        <v>44501</v>
      </c>
      <c r="J462" s="6">
        <v>0</v>
      </c>
      <c r="K462" s="60">
        <v>0</v>
      </c>
      <c r="L462" s="6">
        <v>39.298000000000002</v>
      </c>
      <c r="M462" s="60">
        <v>39.298000000000002</v>
      </c>
      <c r="N462" s="6">
        <v>39.298000000000002</v>
      </c>
      <c r="O462" s="60">
        <v>39.298000000000002</v>
      </c>
      <c r="P462" s="6">
        <v>0</v>
      </c>
      <c r="Q462" s="4" t="s">
        <v>26</v>
      </c>
      <c r="R462" s="4">
        <v>0</v>
      </c>
      <c r="S462" s="4">
        <v>0</v>
      </c>
      <c r="T462" s="4">
        <v>44</v>
      </c>
      <c r="U462" s="4">
        <v>67</v>
      </c>
      <c r="V462" s="60">
        <f>IF(ISERROR(VLOOKUP($S$462,'TAR FIN'!$A$1:$O$104,15,0)),0,VLOOKUP($S$462,'TAR FIN'!$A$1:$O$104,15,0))</f>
        <v>0</v>
      </c>
      <c r="W462" s="60">
        <f>IF(ISERROR(VLOOKUP($T$462,'TAR FIN'!$A$1:$O$104,15,0)),0,VLOOKUP($T$462,'TAR FIN'!$A$1:$O$104,15,0))*(1-0.04)</f>
        <v>60.0672</v>
      </c>
      <c r="X462" s="60">
        <f>IF(ISERROR(VLOOKUP($U$462,'TAR FIN'!$A$1:$O$104,15,0)),0,VLOOKUP($U$462,'TAR FIN'!$A$1:$O$104,15,0))*(1-0.04)</f>
        <v>233.10719999999998</v>
      </c>
      <c r="Y462" s="60"/>
      <c r="Z462" s="60">
        <f ca="1">('TUSD BE'!$AM$26+'TUSD BF'!$AM$26+'TUSD CVA'!$AM$26)*1*(1-0.02)</f>
        <v>76.318677921794944</v>
      </c>
      <c r="AA462" s="60">
        <f>('TE BE'!$AB$8+'TE BF'!$AB$8+'TE CVA'!$AB$8)*1*(1-0.02)</f>
        <v>227.12732236645527</v>
      </c>
      <c r="AB462" s="60">
        <f>(SUBSIDIO!$J$462*SUBSIDIO!$V$462)*(0.04)/(1-0.04)</f>
        <v>0</v>
      </c>
      <c r="AC462" s="60">
        <f>((SUBSIDIO!$L$462*SUBSIDIO!$W$462)+(SUBSIDIO!$N$462*SUBSIDIO!$X$462))*(0.04)/(1-0.04)</f>
        <v>480.04864880000002</v>
      </c>
      <c r="AD462" s="60">
        <f>(SUBSIDIO!$J$462*SUBSIDIO!$Y$462)*(0.02)/(1-0.02)</f>
        <v>0</v>
      </c>
      <c r="AE462" s="60">
        <f ca="1">((SUBSIDIO!$L$462*SUBSIDIO!$Z$462)+(SUBSIDIO!$N$462*SUBSIDIO!$AA$462))*(0.02)/(1-0.02)</f>
        <v>243.36369223117666</v>
      </c>
      <c r="AF462" s="4" t="s">
        <v>998</v>
      </c>
    </row>
    <row r="463" spans="1:32" ht="11.25" customHeight="1" x14ac:dyDescent="0.25">
      <c r="A463" s="4" t="s">
        <v>21</v>
      </c>
      <c r="B463" s="4" t="s">
        <v>41</v>
      </c>
      <c r="C463" s="4" t="s">
        <v>42</v>
      </c>
      <c r="D463" s="4" t="s">
        <v>45</v>
      </c>
      <c r="E463" s="4" t="s">
        <v>53</v>
      </c>
      <c r="F463" s="4" t="s">
        <v>25</v>
      </c>
      <c r="G463" s="4" t="s">
        <v>25</v>
      </c>
      <c r="H463" s="4" t="s">
        <v>35</v>
      </c>
      <c r="I463" s="5">
        <v>44531</v>
      </c>
      <c r="J463" s="6">
        <v>0</v>
      </c>
      <c r="K463" s="60">
        <v>0</v>
      </c>
      <c r="L463" s="6">
        <v>3025.9940000000001</v>
      </c>
      <c r="M463" s="60">
        <v>3025.9940000000001</v>
      </c>
      <c r="N463" s="6">
        <v>3025.9940000000001</v>
      </c>
      <c r="O463" s="60">
        <v>3025.9940000000001</v>
      </c>
      <c r="P463" s="6">
        <v>0</v>
      </c>
      <c r="Q463" s="4" t="s">
        <v>26</v>
      </c>
      <c r="R463" s="4">
        <v>0</v>
      </c>
      <c r="S463" s="4">
        <v>0</v>
      </c>
      <c r="T463" s="4">
        <v>44</v>
      </c>
      <c r="U463" s="4">
        <v>67</v>
      </c>
      <c r="V463" s="60">
        <f>IF(ISERROR(VLOOKUP($S$463,'TAR FIN'!$A$1:$O$104,15,0)),0,VLOOKUP($S$463,'TAR FIN'!$A$1:$O$104,15,0))</f>
        <v>0</v>
      </c>
      <c r="W463" s="60">
        <f>IF(ISERROR(VLOOKUP($T$463,'TAR FIN'!$A$1:$O$104,15,0)),0,VLOOKUP($T$463,'TAR FIN'!$A$1:$O$104,15,0))*(1-0.04)</f>
        <v>60.0672</v>
      </c>
      <c r="X463" s="60">
        <f>IF(ISERROR(VLOOKUP($U$463,'TAR FIN'!$A$1:$O$104,15,0)),0,VLOOKUP($U$463,'TAR FIN'!$A$1:$O$104,15,0))*(1-0.04)</f>
        <v>233.10719999999998</v>
      </c>
      <c r="Y463" s="60"/>
      <c r="Z463" s="60">
        <f ca="1">('TUSD BE'!$AM$26+'TUSD BF'!$AM$26+'TUSD CVA'!$AM$26)*1*(1-0.02)</f>
        <v>76.318677921794944</v>
      </c>
      <c r="AA463" s="60">
        <f>('TE BE'!$AB$8+'TE BF'!$AB$8+'TE CVA'!$AB$8)*1*(1-0.02)</f>
        <v>227.12732236645527</v>
      </c>
      <c r="AB463" s="60">
        <f>(SUBSIDIO!$J$463*SUBSIDIO!$V$463)*(0.04)/(1-0.04)</f>
        <v>0</v>
      </c>
      <c r="AC463" s="60">
        <f>((SUBSIDIO!$L$463*SUBSIDIO!$W$463)+(SUBSIDIO!$N$463*SUBSIDIO!$X$463))*(0.04)/(1-0.04)</f>
        <v>36964.3323064</v>
      </c>
      <c r="AD463" s="60">
        <f>(SUBSIDIO!$J$463*SUBSIDIO!$Y$463)*(0.02)/(1-0.02)</f>
        <v>0</v>
      </c>
      <c r="AE463" s="60">
        <f ca="1">((SUBSIDIO!$L$463*SUBSIDIO!$Z$463)+(SUBSIDIO!$N$463*SUBSIDIO!$AA$463))*(0.02)/(1-0.02)</f>
        <v>18739.30155502538</v>
      </c>
      <c r="AF463" s="4" t="s">
        <v>998</v>
      </c>
    </row>
    <row r="464" spans="1:32" ht="11.25" customHeight="1" x14ac:dyDescent="0.25">
      <c r="A464" s="4" t="s">
        <v>27</v>
      </c>
      <c r="B464" s="4" t="s">
        <v>41</v>
      </c>
      <c r="C464" s="4" t="s">
        <v>42</v>
      </c>
      <c r="D464" s="4" t="s">
        <v>45</v>
      </c>
      <c r="E464" s="4" t="s">
        <v>53</v>
      </c>
      <c r="F464" s="4" t="s">
        <v>25</v>
      </c>
      <c r="G464" s="4" t="s">
        <v>25</v>
      </c>
      <c r="H464" s="4" t="s">
        <v>35</v>
      </c>
      <c r="I464" s="5">
        <v>44531</v>
      </c>
      <c r="J464" s="6">
        <v>0</v>
      </c>
      <c r="K464" s="60">
        <v>0</v>
      </c>
      <c r="L464" s="6">
        <v>-27.626999999999999</v>
      </c>
      <c r="M464" s="60">
        <v>-27.626999999999999</v>
      </c>
      <c r="N464" s="6">
        <v>-27.626999999999999</v>
      </c>
      <c r="O464" s="60">
        <v>-27.626999999999999</v>
      </c>
      <c r="P464" s="6">
        <v>0</v>
      </c>
      <c r="Q464" s="4" t="s">
        <v>26</v>
      </c>
      <c r="R464" s="4">
        <v>0</v>
      </c>
      <c r="S464" s="4">
        <v>0</v>
      </c>
      <c r="T464" s="4">
        <v>44</v>
      </c>
      <c r="U464" s="4">
        <v>67</v>
      </c>
      <c r="V464" s="60">
        <f>IF(ISERROR(VLOOKUP($S$464,'TAR FIN'!$A$1:$O$104,15,0)),0,VLOOKUP($S$464,'TAR FIN'!$A$1:$O$104,15,0))</f>
        <v>0</v>
      </c>
      <c r="W464" s="60">
        <f>IF(ISERROR(VLOOKUP($T$464,'TAR FIN'!$A$1:$O$104,15,0)),0,VLOOKUP($T$464,'TAR FIN'!$A$1:$O$104,15,0))*(1-0.04)</f>
        <v>60.0672</v>
      </c>
      <c r="X464" s="60">
        <f>IF(ISERROR(VLOOKUP($U$464,'TAR FIN'!$A$1:$O$104,15,0)),0,VLOOKUP($U$464,'TAR FIN'!$A$1:$O$104,15,0))*(1-0.04)</f>
        <v>233.10719999999998</v>
      </c>
      <c r="Y464" s="60"/>
      <c r="Z464" s="60">
        <f ca="1">('TUSD BE'!$AM$26+'TUSD BF'!$AM$26+'TUSD CVA'!$AM$26)*1*(1-0.02)</f>
        <v>76.318677921794944</v>
      </c>
      <c r="AA464" s="60">
        <f>('TE BE'!$AB$8+'TE BF'!$AB$8+'TE CVA'!$AB$8)*1*(1-0.02)</f>
        <v>227.12732236645527</v>
      </c>
      <c r="AB464" s="60">
        <f>(SUBSIDIO!$J$464*SUBSIDIO!$V$464)*(0.04)/(1-0.04)</f>
        <v>0</v>
      </c>
      <c r="AC464" s="60">
        <f>((SUBSIDIO!$L$464*SUBSIDIO!$W$464)+(SUBSIDIO!$N$464*SUBSIDIO!$X$464))*(0.04)/(1-0.04)</f>
        <v>-337.48038119999995</v>
      </c>
      <c r="AD464" s="60">
        <f>(SUBSIDIO!$J$464*SUBSIDIO!$Y$464)*(0.02)/(1-0.02)</f>
        <v>0</v>
      </c>
      <c r="AE464" s="60">
        <f ca="1">((SUBSIDIO!$L$464*SUBSIDIO!$Z$464)+(SUBSIDIO!$N$464*SUBSIDIO!$AA$464))*(0.02)/(1-0.02)</f>
        <v>-171.08780918292837</v>
      </c>
      <c r="AF464" s="4" t="s">
        <v>998</v>
      </c>
    </row>
    <row r="465" spans="1:32" ht="11.25" customHeight="1" x14ac:dyDescent="0.25">
      <c r="A465" s="4" t="s">
        <v>28</v>
      </c>
      <c r="B465" s="4" t="s">
        <v>41</v>
      </c>
      <c r="C465" s="4" t="s">
        <v>42</v>
      </c>
      <c r="D465" s="4" t="s">
        <v>45</v>
      </c>
      <c r="E465" s="4" t="s">
        <v>53</v>
      </c>
      <c r="F465" s="4" t="s">
        <v>25</v>
      </c>
      <c r="G465" s="4" t="s">
        <v>25</v>
      </c>
      <c r="H465" s="4" t="s">
        <v>35</v>
      </c>
      <c r="I465" s="5">
        <v>44531</v>
      </c>
      <c r="J465" s="6">
        <v>0</v>
      </c>
      <c r="K465" s="60">
        <v>0</v>
      </c>
      <c r="L465" s="6">
        <v>11.375</v>
      </c>
      <c r="M465" s="60">
        <v>11.375</v>
      </c>
      <c r="N465" s="6">
        <v>11.375</v>
      </c>
      <c r="O465" s="60">
        <v>11.375</v>
      </c>
      <c r="P465" s="6">
        <v>0</v>
      </c>
      <c r="Q465" s="4" t="s">
        <v>26</v>
      </c>
      <c r="R465" s="4">
        <v>0</v>
      </c>
      <c r="S465" s="4">
        <v>0</v>
      </c>
      <c r="T465" s="4">
        <v>44</v>
      </c>
      <c r="U465" s="4">
        <v>67</v>
      </c>
      <c r="V465" s="60">
        <f>IF(ISERROR(VLOOKUP($S$465,'TAR FIN'!$A$1:$O$104,15,0)),0,VLOOKUP($S$465,'TAR FIN'!$A$1:$O$104,15,0))</f>
        <v>0</v>
      </c>
      <c r="W465" s="60">
        <f>IF(ISERROR(VLOOKUP($T$465,'TAR FIN'!$A$1:$O$104,15,0)),0,VLOOKUP($T$465,'TAR FIN'!$A$1:$O$104,15,0))*(1-0.04)</f>
        <v>60.0672</v>
      </c>
      <c r="X465" s="60">
        <f>IF(ISERROR(VLOOKUP($U$465,'TAR FIN'!$A$1:$O$104,15,0)),0,VLOOKUP($U$465,'TAR FIN'!$A$1:$O$104,15,0))*(1-0.04)</f>
        <v>233.10719999999998</v>
      </c>
      <c r="Y465" s="60"/>
      <c r="Z465" s="60">
        <f ca="1">('TUSD BE'!$AM$26+'TUSD BF'!$AM$26+'TUSD CVA'!$AM$26)*1*(1-0.02)</f>
        <v>76.318677921794944</v>
      </c>
      <c r="AA465" s="60">
        <f>('TE BE'!$AB$8+'TE BF'!$AB$8+'TE CVA'!$AB$8)*1*(1-0.02)</f>
        <v>227.12732236645527</v>
      </c>
      <c r="AB465" s="60">
        <f>(SUBSIDIO!$J$465*SUBSIDIO!$V$465)*(0.04)/(1-0.04)</f>
        <v>0</v>
      </c>
      <c r="AC465" s="60">
        <f>((SUBSIDIO!$L$465*SUBSIDIO!$W$465)+(SUBSIDIO!$N$465*SUBSIDIO!$X$465))*(0.04)/(1-0.04)</f>
        <v>138.95245</v>
      </c>
      <c r="AD465" s="60">
        <f>(SUBSIDIO!$J$465*SUBSIDIO!$Y$465)*(0.02)/(1-0.02)</f>
        <v>0</v>
      </c>
      <c r="AE465" s="60">
        <f ca="1">((SUBSIDIO!$L$465*SUBSIDIO!$Z$465)+(SUBSIDIO!$N$465*SUBSIDIO!$AA$465))*(0.02)/(1-0.02)</f>
        <v>70.442821495486655</v>
      </c>
      <c r="AF465" s="4" t="s">
        <v>998</v>
      </c>
    </row>
    <row r="466" spans="1:32" ht="11.25" customHeight="1" x14ac:dyDescent="0.25">
      <c r="A466" s="4" t="s">
        <v>21</v>
      </c>
      <c r="B466" s="4" t="s">
        <v>41</v>
      </c>
      <c r="C466" s="4" t="s">
        <v>42</v>
      </c>
      <c r="D466" s="4" t="s">
        <v>45</v>
      </c>
      <c r="E466" s="4" t="s">
        <v>53</v>
      </c>
      <c r="F466" s="4" t="s">
        <v>25</v>
      </c>
      <c r="G466" s="4" t="s">
        <v>25</v>
      </c>
      <c r="H466" s="4" t="s">
        <v>35</v>
      </c>
      <c r="I466" s="5">
        <v>44562</v>
      </c>
      <c r="J466" s="6">
        <v>0</v>
      </c>
      <c r="K466" s="60">
        <v>0</v>
      </c>
      <c r="L466" s="6">
        <v>2144.0500000000002</v>
      </c>
      <c r="M466" s="60">
        <v>2144.0500000000002</v>
      </c>
      <c r="N466" s="6">
        <v>2144.0500000000002</v>
      </c>
      <c r="O466" s="60">
        <v>2144.0500000000002</v>
      </c>
      <c r="P466" s="6">
        <v>0</v>
      </c>
      <c r="Q466" s="4" t="s">
        <v>26</v>
      </c>
      <c r="R466" s="4">
        <v>0</v>
      </c>
      <c r="S466" s="4">
        <v>0</v>
      </c>
      <c r="T466" s="4">
        <v>44</v>
      </c>
      <c r="U466" s="4">
        <v>67</v>
      </c>
      <c r="V466" s="60">
        <f>IF(ISERROR(VLOOKUP($S$466,'TAR FIN'!$A$1:$O$104,15,0)),0,VLOOKUP($S$466,'TAR FIN'!$A$1:$O$104,15,0))</f>
        <v>0</v>
      </c>
      <c r="W466" s="60">
        <f>IF(ISERROR(VLOOKUP($T$466,'TAR FIN'!$A$1:$O$104,15,0)),0,VLOOKUP($T$466,'TAR FIN'!$A$1:$O$104,15,0))*(1-0.04)</f>
        <v>60.0672</v>
      </c>
      <c r="X466" s="60">
        <f>IF(ISERROR(VLOOKUP($U$466,'TAR FIN'!$A$1:$O$104,15,0)),0,VLOOKUP($U$466,'TAR FIN'!$A$1:$O$104,15,0))*(1-0.04)</f>
        <v>233.10719999999998</v>
      </c>
      <c r="Y466" s="60"/>
      <c r="Z466" s="60">
        <f ca="1">('TUSD BE'!$AM$26+'TUSD BF'!$AM$26+'TUSD CVA'!$AM$26)*1*(1-0.02)</f>
        <v>76.318677921794944</v>
      </c>
      <c r="AA466" s="60">
        <f>('TE BE'!$AB$8+'TE BF'!$AB$8+'TE CVA'!$AB$8)*1*(1-0.02)</f>
        <v>227.12732236645527</v>
      </c>
      <c r="AB466" s="60">
        <f>(SUBSIDIO!$J$466*SUBSIDIO!$V$466)*(0.04)/(1-0.04)</f>
        <v>0</v>
      </c>
      <c r="AC466" s="60">
        <f>((SUBSIDIO!$L$466*SUBSIDIO!$W$466)+(SUBSIDIO!$N$466*SUBSIDIO!$X$466))*(0.04)/(1-0.04)</f>
        <v>26190.857180000003</v>
      </c>
      <c r="AD466" s="60">
        <f>(SUBSIDIO!$J$466*SUBSIDIO!$Y$466)*(0.02)/(1-0.02)</f>
        <v>0</v>
      </c>
      <c r="AE466" s="60">
        <f ca="1">((SUBSIDIO!$L$466*SUBSIDIO!$Z$466)+(SUBSIDIO!$N$466*SUBSIDIO!$AA$466))*(0.02)/(1-0.02)</f>
        <v>13277.620345265774</v>
      </c>
      <c r="AF466" s="4" t="s">
        <v>998</v>
      </c>
    </row>
    <row r="467" spans="1:32" ht="11.25" customHeight="1" x14ac:dyDescent="0.25">
      <c r="A467" s="4" t="s">
        <v>27</v>
      </c>
      <c r="B467" s="4" t="s">
        <v>41</v>
      </c>
      <c r="C467" s="4" t="s">
        <v>42</v>
      </c>
      <c r="D467" s="4" t="s">
        <v>45</v>
      </c>
      <c r="E467" s="4" t="s">
        <v>53</v>
      </c>
      <c r="F467" s="4" t="s">
        <v>25</v>
      </c>
      <c r="G467" s="4" t="s">
        <v>25</v>
      </c>
      <c r="H467" s="4" t="s">
        <v>35</v>
      </c>
      <c r="I467" s="5">
        <v>44562</v>
      </c>
      <c r="J467" s="6">
        <v>0</v>
      </c>
      <c r="K467" s="60">
        <v>0</v>
      </c>
      <c r="L467" s="6">
        <v>-149.74</v>
      </c>
      <c r="M467" s="60">
        <v>-149.74</v>
      </c>
      <c r="N467" s="6">
        <v>-149.74</v>
      </c>
      <c r="O467" s="60">
        <v>-149.74</v>
      </c>
      <c r="P467" s="6">
        <v>0</v>
      </c>
      <c r="Q467" s="4" t="s">
        <v>26</v>
      </c>
      <c r="R467" s="4">
        <v>0</v>
      </c>
      <c r="S467" s="4">
        <v>0</v>
      </c>
      <c r="T467" s="4">
        <v>44</v>
      </c>
      <c r="U467" s="4">
        <v>67</v>
      </c>
      <c r="V467" s="60">
        <f>IF(ISERROR(VLOOKUP($S$467,'TAR FIN'!$A$1:$O$104,15,0)),0,VLOOKUP($S$467,'TAR FIN'!$A$1:$O$104,15,0))</f>
        <v>0</v>
      </c>
      <c r="W467" s="60">
        <f>IF(ISERROR(VLOOKUP($T$467,'TAR FIN'!$A$1:$O$104,15,0)),0,VLOOKUP($T$467,'TAR FIN'!$A$1:$O$104,15,0))*(1-0.04)</f>
        <v>60.0672</v>
      </c>
      <c r="X467" s="60">
        <f>IF(ISERROR(VLOOKUP($U$467,'TAR FIN'!$A$1:$O$104,15,0)),0,VLOOKUP($U$467,'TAR FIN'!$A$1:$O$104,15,0))*(1-0.04)</f>
        <v>233.10719999999998</v>
      </c>
      <c r="Y467" s="60"/>
      <c r="Z467" s="60">
        <f ca="1">('TUSD BE'!$AM$26+'TUSD BF'!$AM$26+'TUSD CVA'!$AM$26)*1*(1-0.02)</f>
        <v>76.318677921794944</v>
      </c>
      <c r="AA467" s="60">
        <f>('TE BE'!$AB$8+'TE BF'!$AB$8+'TE CVA'!$AB$8)*1*(1-0.02)</f>
        <v>227.12732236645527</v>
      </c>
      <c r="AB467" s="60">
        <f>(SUBSIDIO!$J$467*SUBSIDIO!$V$467)*(0.04)/(1-0.04)</f>
        <v>0</v>
      </c>
      <c r="AC467" s="60">
        <f>((SUBSIDIO!$L$467*SUBSIDIO!$W$467)+(SUBSIDIO!$N$467*SUBSIDIO!$X$467))*(0.04)/(1-0.04)</f>
        <v>-1829.1639440000001</v>
      </c>
      <c r="AD467" s="60">
        <f>(SUBSIDIO!$J$467*SUBSIDIO!$Y$467)*(0.02)/(1-0.02)</f>
        <v>0</v>
      </c>
      <c r="AE467" s="60">
        <f ca="1">((SUBSIDIO!$L$467*SUBSIDIO!$Z$467)+(SUBSIDIO!$N$467*SUBSIDIO!$AA$467))*(0.02)/(1-0.02)</f>
        <v>-927.3062057788286</v>
      </c>
      <c r="AF467" s="4" t="s">
        <v>998</v>
      </c>
    </row>
    <row r="468" spans="1:32" ht="11.25" customHeight="1" x14ac:dyDescent="0.25">
      <c r="A468" s="4" t="s">
        <v>21</v>
      </c>
      <c r="B468" s="4" t="s">
        <v>41</v>
      </c>
      <c r="C468" s="4" t="s">
        <v>42</v>
      </c>
      <c r="D468" s="4" t="s">
        <v>45</v>
      </c>
      <c r="E468" s="4" t="s">
        <v>53</v>
      </c>
      <c r="F468" s="4" t="s">
        <v>25</v>
      </c>
      <c r="G468" s="4" t="s">
        <v>25</v>
      </c>
      <c r="H468" s="4" t="s">
        <v>35</v>
      </c>
      <c r="I468" s="5">
        <v>44593</v>
      </c>
      <c r="J468" s="6">
        <v>0</v>
      </c>
      <c r="K468" s="60">
        <v>0</v>
      </c>
      <c r="L468" s="6">
        <v>2003.865</v>
      </c>
      <c r="M468" s="60">
        <v>2003.865</v>
      </c>
      <c r="N468" s="6">
        <v>2003.865</v>
      </c>
      <c r="O468" s="60">
        <v>2003.865</v>
      </c>
      <c r="P468" s="6">
        <v>0</v>
      </c>
      <c r="Q468" s="4" t="s">
        <v>26</v>
      </c>
      <c r="R468" s="4">
        <v>0</v>
      </c>
      <c r="S468" s="4">
        <v>0</v>
      </c>
      <c r="T468" s="4">
        <v>44</v>
      </c>
      <c r="U468" s="4">
        <v>67</v>
      </c>
      <c r="V468" s="60">
        <f>IF(ISERROR(VLOOKUP($S$468,'TAR FIN'!$A$1:$O$104,15,0)),0,VLOOKUP($S$468,'TAR FIN'!$A$1:$O$104,15,0))</f>
        <v>0</v>
      </c>
      <c r="W468" s="60">
        <f>IF(ISERROR(VLOOKUP($T$468,'TAR FIN'!$A$1:$O$104,15,0)),0,VLOOKUP($T$468,'TAR FIN'!$A$1:$O$104,15,0))*(1-0.04)</f>
        <v>60.0672</v>
      </c>
      <c r="X468" s="60">
        <f>IF(ISERROR(VLOOKUP($U$468,'TAR FIN'!$A$1:$O$104,15,0)),0,VLOOKUP($U$468,'TAR FIN'!$A$1:$O$104,15,0))*(1-0.04)</f>
        <v>233.10719999999998</v>
      </c>
      <c r="Y468" s="60"/>
      <c r="Z468" s="60">
        <f ca="1">('TUSD BE'!$AM$26+'TUSD BF'!$AM$26+'TUSD CVA'!$AM$26)*1*(1-0.02)</f>
        <v>76.318677921794944</v>
      </c>
      <c r="AA468" s="60">
        <f>('TE BE'!$AB$8+'TE BF'!$AB$8+'TE CVA'!$AB$8)*1*(1-0.02)</f>
        <v>227.12732236645527</v>
      </c>
      <c r="AB468" s="60">
        <f>(SUBSIDIO!$J$468*SUBSIDIO!$V$468)*(0.04)/(1-0.04)</f>
        <v>0</v>
      </c>
      <c r="AC468" s="60">
        <f>((SUBSIDIO!$L$468*SUBSIDIO!$W$468)+(SUBSIDIO!$N$468*SUBSIDIO!$X$468))*(0.04)/(1-0.04)</f>
        <v>24478.413293999998</v>
      </c>
      <c r="AD468" s="60">
        <f>(SUBSIDIO!$J$468*SUBSIDIO!$Y$468)*(0.02)/(1-0.02)</f>
        <v>0</v>
      </c>
      <c r="AE468" s="60">
        <f ca="1">((SUBSIDIO!$L$468*SUBSIDIO!$Z$468)+(SUBSIDIO!$N$468*SUBSIDIO!$AA$468))*(0.02)/(1-0.02)</f>
        <v>12409.486109543155</v>
      </c>
      <c r="AF468" s="4" t="s">
        <v>998</v>
      </c>
    </row>
    <row r="469" spans="1:32" ht="11.25" customHeight="1" x14ac:dyDescent="0.25">
      <c r="A469" s="4" t="s">
        <v>27</v>
      </c>
      <c r="B469" s="4" t="s">
        <v>41</v>
      </c>
      <c r="C469" s="4" t="s">
        <v>42</v>
      </c>
      <c r="D469" s="4" t="s">
        <v>45</v>
      </c>
      <c r="E469" s="4" t="s">
        <v>53</v>
      </c>
      <c r="F469" s="4" t="s">
        <v>25</v>
      </c>
      <c r="G469" s="4" t="s">
        <v>25</v>
      </c>
      <c r="H469" s="4" t="s">
        <v>35</v>
      </c>
      <c r="I469" s="5">
        <v>44593</v>
      </c>
      <c r="J469" s="6">
        <v>0</v>
      </c>
      <c r="K469" s="60">
        <v>0</v>
      </c>
      <c r="L469" s="6">
        <v>-65.468999999999994</v>
      </c>
      <c r="M469" s="60">
        <v>-65.468999999999994</v>
      </c>
      <c r="N469" s="6">
        <v>-65.468999999999994</v>
      </c>
      <c r="O469" s="60">
        <v>-65.468999999999994</v>
      </c>
      <c r="P469" s="6">
        <v>0</v>
      </c>
      <c r="Q469" s="4" t="s">
        <v>26</v>
      </c>
      <c r="R469" s="4">
        <v>0</v>
      </c>
      <c r="S469" s="4">
        <v>0</v>
      </c>
      <c r="T469" s="4">
        <v>44</v>
      </c>
      <c r="U469" s="4">
        <v>67</v>
      </c>
      <c r="V469" s="60">
        <f>IF(ISERROR(VLOOKUP($S$469,'TAR FIN'!$A$1:$O$104,15,0)),0,VLOOKUP($S$469,'TAR FIN'!$A$1:$O$104,15,0))</f>
        <v>0</v>
      </c>
      <c r="W469" s="60">
        <f>IF(ISERROR(VLOOKUP($T$469,'TAR FIN'!$A$1:$O$104,15,0)),0,VLOOKUP($T$469,'TAR FIN'!$A$1:$O$104,15,0))*(1-0.04)</f>
        <v>60.0672</v>
      </c>
      <c r="X469" s="60">
        <f>IF(ISERROR(VLOOKUP($U$469,'TAR FIN'!$A$1:$O$104,15,0)),0,VLOOKUP($U$469,'TAR FIN'!$A$1:$O$104,15,0))*(1-0.04)</f>
        <v>233.10719999999998</v>
      </c>
      <c r="Y469" s="60"/>
      <c r="Z469" s="60">
        <f ca="1">('TUSD BE'!$AM$26+'TUSD BF'!$AM$26+'TUSD CVA'!$AM$26)*1*(1-0.02)</f>
        <v>76.318677921794944</v>
      </c>
      <c r="AA469" s="60">
        <f>('TE BE'!$AB$8+'TE BF'!$AB$8+'TE CVA'!$AB$8)*1*(1-0.02)</f>
        <v>227.12732236645527</v>
      </c>
      <c r="AB469" s="60">
        <f>(SUBSIDIO!$J$469*SUBSIDIO!$V$469)*(0.04)/(1-0.04)</f>
        <v>0</v>
      </c>
      <c r="AC469" s="60">
        <f>((SUBSIDIO!$L$469*SUBSIDIO!$W$469)+(SUBSIDIO!$N$469*SUBSIDIO!$X$469))*(0.04)/(1-0.04)</f>
        <v>-799.74311639999996</v>
      </c>
      <c r="AD469" s="60">
        <f>(SUBSIDIO!$J$469*SUBSIDIO!$Y$469)*(0.02)/(1-0.02)</f>
        <v>0</v>
      </c>
      <c r="AE469" s="60">
        <f ca="1">((SUBSIDIO!$L$469*SUBSIDIO!$Z$469)+(SUBSIDIO!$N$469*SUBSIDIO!$AA$469))*(0.02)/(1-0.02)</f>
        <v>-405.43482026268276</v>
      </c>
      <c r="AF469" s="4" t="s">
        <v>998</v>
      </c>
    </row>
    <row r="470" spans="1:32" ht="11.25" customHeight="1" x14ac:dyDescent="0.25">
      <c r="A470" s="4" t="s">
        <v>21</v>
      </c>
      <c r="B470" s="4" t="s">
        <v>41</v>
      </c>
      <c r="C470" s="4" t="s">
        <v>42</v>
      </c>
      <c r="D470" s="4" t="s">
        <v>45</v>
      </c>
      <c r="E470" s="4" t="s">
        <v>53</v>
      </c>
      <c r="F470" s="4" t="s">
        <v>25</v>
      </c>
      <c r="G470" s="4" t="s">
        <v>25</v>
      </c>
      <c r="H470" s="4" t="s">
        <v>35</v>
      </c>
      <c r="I470" s="5">
        <v>44621</v>
      </c>
      <c r="J470" s="6">
        <v>0</v>
      </c>
      <c r="K470" s="60">
        <v>0</v>
      </c>
      <c r="L470" s="6">
        <v>1956.866</v>
      </c>
      <c r="M470" s="60">
        <v>1956.866</v>
      </c>
      <c r="N470" s="6">
        <v>1956.866</v>
      </c>
      <c r="O470" s="60">
        <v>1956.866</v>
      </c>
      <c r="P470" s="6">
        <v>0</v>
      </c>
      <c r="Q470" s="4" t="s">
        <v>26</v>
      </c>
      <c r="R470" s="4">
        <v>0</v>
      </c>
      <c r="S470" s="4">
        <v>0</v>
      </c>
      <c r="T470" s="4">
        <v>44</v>
      </c>
      <c r="U470" s="4">
        <v>67</v>
      </c>
      <c r="V470" s="60">
        <f>IF(ISERROR(VLOOKUP($S$470,'TAR FIN'!$A$1:$O$104,15,0)),0,VLOOKUP($S$470,'TAR FIN'!$A$1:$O$104,15,0))</f>
        <v>0</v>
      </c>
      <c r="W470" s="60">
        <f>IF(ISERROR(VLOOKUP($T$470,'TAR FIN'!$A$1:$O$104,15,0)),0,VLOOKUP($T$470,'TAR FIN'!$A$1:$O$104,15,0))*(1-0.04)</f>
        <v>60.0672</v>
      </c>
      <c r="X470" s="60">
        <f>IF(ISERROR(VLOOKUP($U$470,'TAR FIN'!$A$1:$O$104,15,0)),0,VLOOKUP($U$470,'TAR FIN'!$A$1:$O$104,15,0))*(1-0.04)</f>
        <v>233.10719999999998</v>
      </c>
      <c r="Y470" s="60"/>
      <c r="Z470" s="60">
        <f ca="1">('TUSD BE'!$AM$26+'TUSD BF'!$AM$26+'TUSD CVA'!$AM$26)*1*(1-0.02)</f>
        <v>76.318677921794944</v>
      </c>
      <c r="AA470" s="60">
        <f>('TE BE'!$AB$8+'TE BF'!$AB$8+'TE CVA'!$AB$8)*1*(1-0.02)</f>
        <v>227.12732236645527</v>
      </c>
      <c r="AB470" s="60">
        <f>(SUBSIDIO!$J$470*SUBSIDIO!$V$470)*(0.04)/(1-0.04)</f>
        <v>0</v>
      </c>
      <c r="AC470" s="60">
        <f>((SUBSIDIO!$L$470*SUBSIDIO!$W$470)+(SUBSIDIO!$N$470*SUBSIDIO!$X$470))*(0.04)/(1-0.04)</f>
        <v>23904.292309599998</v>
      </c>
      <c r="AD470" s="60">
        <f>(SUBSIDIO!$J$470*SUBSIDIO!$Y$470)*(0.02)/(1-0.02)</f>
        <v>0</v>
      </c>
      <c r="AE470" s="60">
        <f ca="1">((SUBSIDIO!$L$470*SUBSIDIO!$Z$470)+(SUBSIDIO!$N$470*SUBSIDIO!$AA$470))*(0.02)/(1-0.02)</f>
        <v>12118.431853062593</v>
      </c>
      <c r="AF470" s="4" t="s">
        <v>998</v>
      </c>
    </row>
    <row r="471" spans="1:32" ht="11.25" customHeight="1" x14ac:dyDescent="0.25">
      <c r="A471" s="4" t="s">
        <v>27</v>
      </c>
      <c r="B471" s="4" t="s">
        <v>41</v>
      </c>
      <c r="C471" s="4" t="s">
        <v>42</v>
      </c>
      <c r="D471" s="4" t="s">
        <v>45</v>
      </c>
      <c r="E471" s="4" t="s">
        <v>53</v>
      </c>
      <c r="F471" s="4" t="s">
        <v>25</v>
      </c>
      <c r="G471" s="4" t="s">
        <v>25</v>
      </c>
      <c r="H471" s="4" t="s">
        <v>35</v>
      </c>
      <c r="I471" s="5">
        <v>44621</v>
      </c>
      <c r="J471" s="6">
        <v>0</v>
      </c>
      <c r="K471" s="60">
        <v>0</v>
      </c>
      <c r="L471" s="6">
        <v>7.1749999999999998</v>
      </c>
      <c r="M471" s="60">
        <v>7.1749999999999998</v>
      </c>
      <c r="N471" s="6">
        <v>7.1749999999999998</v>
      </c>
      <c r="O471" s="60">
        <v>7.1749999999999998</v>
      </c>
      <c r="P471" s="6">
        <v>0</v>
      </c>
      <c r="Q471" s="4" t="s">
        <v>26</v>
      </c>
      <c r="R471" s="4">
        <v>0</v>
      </c>
      <c r="S471" s="4">
        <v>0</v>
      </c>
      <c r="T471" s="4">
        <v>44</v>
      </c>
      <c r="U471" s="4">
        <v>67</v>
      </c>
      <c r="V471" s="60">
        <f>IF(ISERROR(VLOOKUP($S$471,'TAR FIN'!$A$1:$O$104,15,0)),0,VLOOKUP($S$471,'TAR FIN'!$A$1:$O$104,15,0))</f>
        <v>0</v>
      </c>
      <c r="W471" s="60">
        <f>IF(ISERROR(VLOOKUP($T$471,'TAR FIN'!$A$1:$O$104,15,0)),0,VLOOKUP($T$471,'TAR FIN'!$A$1:$O$104,15,0))*(1-0.04)</f>
        <v>60.0672</v>
      </c>
      <c r="X471" s="60">
        <f>IF(ISERROR(VLOOKUP($U$471,'TAR FIN'!$A$1:$O$104,15,0)),0,VLOOKUP($U$471,'TAR FIN'!$A$1:$O$104,15,0))*(1-0.04)</f>
        <v>233.10719999999998</v>
      </c>
      <c r="Y471" s="60"/>
      <c r="Z471" s="60">
        <f ca="1">('TUSD BE'!$AM$26+'TUSD BF'!$AM$26+'TUSD CVA'!$AM$26)*1*(1-0.02)</f>
        <v>76.318677921794944</v>
      </c>
      <c r="AA471" s="60">
        <f>('TE BE'!$AB$8+'TE BF'!$AB$8+'TE CVA'!$AB$8)*1*(1-0.02)</f>
        <v>227.12732236645527</v>
      </c>
      <c r="AB471" s="60">
        <f>(SUBSIDIO!$J$471*SUBSIDIO!$V$471)*(0.04)/(1-0.04)</f>
        <v>0</v>
      </c>
      <c r="AC471" s="60">
        <f>((SUBSIDIO!$L$471*SUBSIDIO!$W$471)+(SUBSIDIO!$N$471*SUBSIDIO!$X$471))*(0.04)/(1-0.04)</f>
        <v>87.646929999999983</v>
      </c>
      <c r="AD471" s="60">
        <f>(SUBSIDIO!$J$471*SUBSIDIO!$Y$471)*(0.02)/(1-0.02)</f>
        <v>0</v>
      </c>
      <c r="AE471" s="60">
        <f ca="1">((SUBSIDIO!$L$471*SUBSIDIO!$Z$471)+(SUBSIDIO!$N$471*SUBSIDIO!$AA$471))*(0.02)/(1-0.02)</f>
        <v>44.433164327922356</v>
      </c>
      <c r="AF471" s="4" t="s">
        <v>998</v>
      </c>
    </row>
    <row r="472" spans="1:32" ht="11.25" customHeight="1" x14ac:dyDescent="0.25">
      <c r="A472" s="4" t="s">
        <v>21</v>
      </c>
      <c r="B472" s="4" t="s">
        <v>41</v>
      </c>
      <c r="C472" s="4" t="s">
        <v>42</v>
      </c>
      <c r="D472" s="4" t="s">
        <v>45</v>
      </c>
      <c r="E472" s="4" t="s">
        <v>53</v>
      </c>
      <c r="F472" s="4" t="s">
        <v>25</v>
      </c>
      <c r="G472" s="4" t="s">
        <v>25</v>
      </c>
      <c r="H472" s="4" t="s">
        <v>35</v>
      </c>
      <c r="I472" s="5">
        <v>44652</v>
      </c>
      <c r="J472" s="6">
        <v>0</v>
      </c>
      <c r="K472" s="60">
        <v>0</v>
      </c>
      <c r="L472" s="6">
        <v>1746.6479999999999</v>
      </c>
      <c r="M472" s="60">
        <v>1746.6479999999999</v>
      </c>
      <c r="N472" s="6">
        <v>1746.6479999999999</v>
      </c>
      <c r="O472" s="60">
        <v>1746.6479999999999</v>
      </c>
      <c r="P472" s="6">
        <v>0</v>
      </c>
      <c r="Q472" s="4" t="s">
        <v>26</v>
      </c>
      <c r="R472" s="4">
        <v>0</v>
      </c>
      <c r="S472" s="4">
        <v>0</v>
      </c>
      <c r="T472" s="4">
        <v>44</v>
      </c>
      <c r="U472" s="4">
        <v>67</v>
      </c>
      <c r="V472" s="60">
        <f>IF(ISERROR(VLOOKUP($S$472,'TAR FIN'!$A$1:$O$104,15,0)),0,VLOOKUP($S$472,'TAR FIN'!$A$1:$O$104,15,0))</f>
        <v>0</v>
      </c>
      <c r="W472" s="60">
        <f>IF(ISERROR(VLOOKUP($T$472,'TAR FIN'!$A$1:$O$104,15,0)),0,VLOOKUP($T$472,'TAR FIN'!$A$1:$O$104,15,0))*(1-0.04)</f>
        <v>60.0672</v>
      </c>
      <c r="X472" s="60">
        <f>IF(ISERROR(VLOOKUP($U$472,'TAR FIN'!$A$1:$O$104,15,0)),0,VLOOKUP($U$472,'TAR FIN'!$A$1:$O$104,15,0))*(1-0.04)</f>
        <v>233.10719999999998</v>
      </c>
      <c r="Y472" s="60"/>
      <c r="Z472" s="60">
        <f ca="1">('TUSD BE'!$AM$26+'TUSD BF'!$AM$26+'TUSD CVA'!$AM$26)*1*(1-0.02)</f>
        <v>76.318677921794944</v>
      </c>
      <c r="AA472" s="60">
        <f>('TE BE'!$AB$8+'TE BF'!$AB$8+'TE CVA'!$AB$8)*1*(1-0.02)</f>
        <v>227.12732236645527</v>
      </c>
      <c r="AB472" s="60">
        <f>(SUBSIDIO!$J$472*SUBSIDIO!$V$472)*(0.04)/(1-0.04)</f>
        <v>0</v>
      </c>
      <c r="AC472" s="60">
        <f>((SUBSIDIO!$L$472*SUBSIDIO!$W$472)+(SUBSIDIO!$N$472*SUBSIDIO!$X$472))*(0.04)/(1-0.04)</f>
        <v>21336.3533088</v>
      </c>
      <c r="AD472" s="60">
        <f>(SUBSIDIO!$J$472*SUBSIDIO!$Y$472)*(0.02)/(1-0.02)</f>
        <v>0</v>
      </c>
      <c r="AE472" s="60">
        <f ca="1">((SUBSIDIO!$L$472*SUBSIDIO!$Z$472)+(SUBSIDIO!$N$472*SUBSIDIO!$AA$472))*(0.02)/(1-0.02)</f>
        <v>10816.598969621873</v>
      </c>
      <c r="AF472" s="4" t="s">
        <v>998</v>
      </c>
    </row>
    <row r="473" spans="1:32" ht="11.25" customHeight="1" x14ac:dyDescent="0.25">
      <c r="A473" s="4" t="s">
        <v>27</v>
      </c>
      <c r="B473" s="4" t="s">
        <v>41</v>
      </c>
      <c r="C473" s="4" t="s">
        <v>42</v>
      </c>
      <c r="D473" s="4" t="s">
        <v>45</v>
      </c>
      <c r="E473" s="4" t="s">
        <v>53</v>
      </c>
      <c r="F473" s="4" t="s">
        <v>25</v>
      </c>
      <c r="G473" s="4" t="s">
        <v>25</v>
      </c>
      <c r="H473" s="4" t="s">
        <v>35</v>
      </c>
      <c r="I473" s="5">
        <v>44652</v>
      </c>
      <c r="J473" s="6">
        <v>0</v>
      </c>
      <c r="K473" s="60">
        <v>0</v>
      </c>
      <c r="L473" s="6">
        <v>-22.260999999999999</v>
      </c>
      <c r="M473" s="60">
        <v>-22.260999999999999</v>
      </c>
      <c r="N473" s="6">
        <v>-22.260999999999999</v>
      </c>
      <c r="O473" s="60">
        <v>-22.260999999999999</v>
      </c>
      <c r="P473" s="6">
        <v>0</v>
      </c>
      <c r="Q473" s="4" t="s">
        <v>26</v>
      </c>
      <c r="R473" s="4">
        <v>0</v>
      </c>
      <c r="S473" s="4">
        <v>0</v>
      </c>
      <c r="T473" s="4">
        <v>44</v>
      </c>
      <c r="U473" s="4">
        <v>67</v>
      </c>
      <c r="V473" s="60">
        <f>IF(ISERROR(VLOOKUP($S$473,'TAR FIN'!$A$1:$O$104,15,0)),0,VLOOKUP($S$473,'TAR FIN'!$A$1:$O$104,15,0))</f>
        <v>0</v>
      </c>
      <c r="W473" s="60">
        <f>IF(ISERROR(VLOOKUP($T$473,'TAR FIN'!$A$1:$O$104,15,0)),0,VLOOKUP($T$473,'TAR FIN'!$A$1:$O$104,15,0))*(1-0.04)</f>
        <v>60.0672</v>
      </c>
      <c r="X473" s="60">
        <f>IF(ISERROR(VLOOKUP($U$473,'TAR FIN'!$A$1:$O$104,15,0)),0,VLOOKUP($U$473,'TAR FIN'!$A$1:$O$104,15,0))*(1-0.04)</f>
        <v>233.10719999999998</v>
      </c>
      <c r="Y473" s="60"/>
      <c r="Z473" s="60">
        <f ca="1">('TUSD BE'!$AM$26+'TUSD BF'!$AM$26+'TUSD CVA'!$AM$26)*1*(1-0.02)</f>
        <v>76.318677921794944</v>
      </c>
      <c r="AA473" s="60">
        <f>('TE BE'!$AB$8+'TE BF'!$AB$8+'TE CVA'!$AB$8)*1*(1-0.02)</f>
        <v>227.12732236645527</v>
      </c>
      <c r="AB473" s="60">
        <f>(SUBSIDIO!$J$473*SUBSIDIO!$V$473)*(0.04)/(1-0.04)</f>
        <v>0</v>
      </c>
      <c r="AC473" s="60">
        <f>((SUBSIDIO!$L$473*SUBSIDIO!$W$473)+(SUBSIDIO!$N$473*SUBSIDIO!$X$473))*(0.04)/(1-0.04)</f>
        <v>-271.93147159999995</v>
      </c>
      <c r="AD473" s="60">
        <f>(SUBSIDIO!$J$473*SUBSIDIO!$Y$473)*(0.02)/(1-0.02)</f>
        <v>0</v>
      </c>
      <c r="AE473" s="60">
        <f ca="1">((SUBSIDIO!$L$473*SUBSIDIO!$Z$473)+(SUBSIDIO!$N$473*SUBSIDIO!$AA$473))*(0.02)/(1-0.02)</f>
        <v>-137.85737576360691</v>
      </c>
      <c r="AF473" s="4" t="s">
        <v>998</v>
      </c>
    </row>
    <row r="474" spans="1:32" ht="11.25" customHeight="1" x14ac:dyDescent="0.25">
      <c r="A474" s="4" t="s">
        <v>28</v>
      </c>
      <c r="B474" s="4" t="s">
        <v>41</v>
      </c>
      <c r="C474" s="4" t="s">
        <v>42</v>
      </c>
      <c r="D474" s="4" t="s">
        <v>45</v>
      </c>
      <c r="E474" s="4" t="s">
        <v>53</v>
      </c>
      <c r="F474" s="4" t="s">
        <v>25</v>
      </c>
      <c r="G474" s="4" t="s">
        <v>25</v>
      </c>
      <c r="H474" s="4" t="s">
        <v>35</v>
      </c>
      <c r="I474" s="5">
        <v>44652</v>
      </c>
      <c r="J474" s="6">
        <v>0</v>
      </c>
      <c r="K474" s="60">
        <v>0</v>
      </c>
      <c r="L474" s="6">
        <v>0.41299999999999998</v>
      </c>
      <c r="M474" s="60">
        <v>0.41299999999999998</v>
      </c>
      <c r="N474" s="6">
        <v>0.41299999999999998</v>
      </c>
      <c r="O474" s="60">
        <v>0.41299999999999998</v>
      </c>
      <c r="P474" s="6">
        <v>0</v>
      </c>
      <c r="Q474" s="4" t="s">
        <v>26</v>
      </c>
      <c r="R474" s="4">
        <v>0</v>
      </c>
      <c r="S474" s="4">
        <v>0</v>
      </c>
      <c r="T474" s="4">
        <v>44</v>
      </c>
      <c r="U474" s="4">
        <v>67</v>
      </c>
      <c r="V474" s="60">
        <f>IF(ISERROR(VLOOKUP($S$474,'TAR FIN'!$A$1:$O$104,15,0)),0,VLOOKUP($S$474,'TAR FIN'!$A$1:$O$104,15,0))</f>
        <v>0</v>
      </c>
      <c r="W474" s="60">
        <f>IF(ISERROR(VLOOKUP($T$474,'TAR FIN'!$A$1:$O$104,15,0)),0,VLOOKUP($T$474,'TAR FIN'!$A$1:$O$104,15,0))*(1-0.04)</f>
        <v>60.0672</v>
      </c>
      <c r="X474" s="60">
        <f>IF(ISERROR(VLOOKUP($U$474,'TAR FIN'!$A$1:$O$104,15,0)),0,VLOOKUP($U$474,'TAR FIN'!$A$1:$O$104,15,0))*(1-0.04)</f>
        <v>233.10719999999998</v>
      </c>
      <c r="Y474" s="60"/>
      <c r="Z474" s="60">
        <f ca="1">('TUSD BE'!$AM$26+'TUSD BF'!$AM$26+'TUSD CVA'!$AM$26)*1*(1-0.02)</f>
        <v>76.318677921794944</v>
      </c>
      <c r="AA474" s="60">
        <f>('TE BE'!$AB$8+'TE BF'!$AB$8+'TE CVA'!$AB$8)*1*(1-0.02)</f>
        <v>227.12732236645527</v>
      </c>
      <c r="AB474" s="60">
        <f>(SUBSIDIO!$J$474*SUBSIDIO!$V$474)*(0.04)/(1-0.04)</f>
        <v>0</v>
      </c>
      <c r="AC474" s="60">
        <f>((SUBSIDIO!$L$474*SUBSIDIO!$W$474)+(SUBSIDIO!$N$474*SUBSIDIO!$X$474))*(0.04)/(1-0.04)</f>
        <v>5.0450427999999992</v>
      </c>
      <c r="AD474" s="60">
        <f>(SUBSIDIO!$J$474*SUBSIDIO!$Y$474)*(0.02)/(1-0.02)</f>
        <v>0</v>
      </c>
      <c r="AE474" s="60">
        <f ca="1">((SUBSIDIO!$L$474*SUBSIDIO!$Z$474)+(SUBSIDIO!$N$474*SUBSIDIO!$AA$474))*(0.02)/(1-0.02)</f>
        <v>2.5576162881438229</v>
      </c>
      <c r="AF474" s="4" t="s">
        <v>998</v>
      </c>
    </row>
    <row r="475" spans="1:32" ht="11.25" customHeight="1" x14ac:dyDescent="0.25">
      <c r="A475" s="4" t="s">
        <v>28</v>
      </c>
      <c r="B475" s="4" t="s">
        <v>41</v>
      </c>
      <c r="C475" s="4" t="s">
        <v>42</v>
      </c>
      <c r="D475" s="4" t="s">
        <v>45</v>
      </c>
      <c r="E475" s="4" t="s">
        <v>53</v>
      </c>
      <c r="F475" s="4" t="s">
        <v>25</v>
      </c>
      <c r="G475" s="4" t="s">
        <v>25</v>
      </c>
      <c r="H475" s="4" t="s">
        <v>35</v>
      </c>
      <c r="I475" s="5">
        <v>44652</v>
      </c>
      <c r="J475" s="6">
        <v>0</v>
      </c>
      <c r="K475" s="60">
        <v>0</v>
      </c>
      <c r="L475" s="6">
        <v>-32.792000000000002</v>
      </c>
      <c r="M475" s="60">
        <v>-32.792000000000002</v>
      </c>
      <c r="N475" s="6">
        <v>-32.792000000000002</v>
      </c>
      <c r="O475" s="60">
        <v>-32.792000000000002</v>
      </c>
      <c r="P475" s="6">
        <v>0</v>
      </c>
      <c r="Q475" s="4" t="s">
        <v>26</v>
      </c>
      <c r="R475" s="4">
        <v>0</v>
      </c>
      <c r="S475" s="4">
        <v>0</v>
      </c>
      <c r="T475" s="4">
        <v>44</v>
      </c>
      <c r="U475" s="4">
        <v>67</v>
      </c>
      <c r="V475" s="60">
        <f>IF(ISERROR(VLOOKUP($S$475,'TAR FIN'!$A$1:$O$104,15,0)),0,VLOOKUP($S$475,'TAR FIN'!$A$1:$O$104,15,0))</f>
        <v>0</v>
      </c>
      <c r="W475" s="60">
        <f>IF(ISERROR(VLOOKUP($T$475,'TAR FIN'!$A$1:$O$104,15,0)),0,VLOOKUP($T$475,'TAR FIN'!$A$1:$O$104,15,0))*(1-0.04)</f>
        <v>60.0672</v>
      </c>
      <c r="X475" s="60">
        <f>IF(ISERROR(VLOOKUP($U$475,'TAR FIN'!$A$1:$O$104,15,0)),0,VLOOKUP($U$475,'TAR FIN'!$A$1:$O$104,15,0))*(1-0.04)</f>
        <v>233.10719999999998</v>
      </c>
      <c r="Y475" s="60"/>
      <c r="Z475" s="60">
        <f ca="1">('TUSD BE'!$AM$26+'TUSD BF'!$AM$26+'TUSD CVA'!$AM$26)*1*(1-0.02)</f>
        <v>76.318677921794944</v>
      </c>
      <c r="AA475" s="60">
        <f>('TE BE'!$AB$8+'TE BF'!$AB$8+'TE CVA'!$AB$8)*1*(1-0.02)</f>
        <v>227.12732236645527</v>
      </c>
      <c r="AB475" s="60">
        <f>(SUBSIDIO!$J$475*SUBSIDIO!$V$475)*(0.04)/(1-0.04)</f>
        <v>0</v>
      </c>
      <c r="AC475" s="60">
        <f>((SUBSIDIO!$L$475*SUBSIDIO!$W$475)+(SUBSIDIO!$N$475*SUBSIDIO!$X$475))*(0.04)/(1-0.04)</f>
        <v>-400.57395520000006</v>
      </c>
      <c r="AD475" s="60">
        <f>(SUBSIDIO!$J$475*SUBSIDIO!$Y$475)*(0.02)/(1-0.02)</f>
        <v>0</v>
      </c>
      <c r="AE475" s="60">
        <f ca="1">((SUBSIDIO!$L$475*SUBSIDIO!$Z$475)+(SUBSIDIO!$N$475*SUBSIDIO!$AA$475))*(0.02)/(1-0.02)</f>
        <v>-203.07349472351635</v>
      </c>
      <c r="AF475" s="4" t="s">
        <v>998</v>
      </c>
    </row>
    <row r="476" spans="1:32" ht="11.25" customHeight="1" x14ac:dyDescent="0.25">
      <c r="A476" s="4" t="s">
        <v>21</v>
      </c>
      <c r="B476" s="4" t="s">
        <v>41</v>
      </c>
      <c r="C476" s="4" t="s">
        <v>42</v>
      </c>
      <c r="D476" s="4" t="s">
        <v>45</v>
      </c>
      <c r="E476" s="4" t="s">
        <v>53</v>
      </c>
      <c r="F476" s="4" t="s">
        <v>25</v>
      </c>
      <c r="G476" s="4" t="s">
        <v>25</v>
      </c>
      <c r="H476" s="4" t="s">
        <v>35</v>
      </c>
      <c r="I476" s="5">
        <v>44682</v>
      </c>
      <c r="J476" s="6">
        <v>0</v>
      </c>
      <c r="K476" s="60">
        <v>0</v>
      </c>
      <c r="L476" s="6">
        <v>1020.328</v>
      </c>
      <c r="M476" s="60">
        <v>1020.328</v>
      </c>
      <c r="N476" s="6">
        <v>1020.328</v>
      </c>
      <c r="O476" s="60">
        <v>1020.328</v>
      </c>
      <c r="P476" s="6">
        <v>0</v>
      </c>
      <c r="Q476" s="4" t="s">
        <v>26</v>
      </c>
      <c r="R476" s="4">
        <v>0</v>
      </c>
      <c r="S476" s="4">
        <v>0</v>
      </c>
      <c r="T476" s="4">
        <v>44</v>
      </c>
      <c r="U476" s="4">
        <v>67</v>
      </c>
      <c r="V476" s="60">
        <f>IF(ISERROR(VLOOKUP($S$476,'TAR FIN'!$A$1:$O$104,15,0)),0,VLOOKUP($S$476,'TAR FIN'!$A$1:$O$104,15,0))</f>
        <v>0</v>
      </c>
      <c r="W476" s="60">
        <f>IF(ISERROR(VLOOKUP($T$476,'TAR FIN'!$A$1:$O$104,15,0)),0,VLOOKUP($T$476,'TAR FIN'!$A$1:$O$104,15,0))*(1-0.04)</f>
        <v>60.0672</v>
      </c>
      <c r="X476" s="60">
        <f>IF(ISERROR(VLOOKUP($U$476,'TAR FIN'!$A$1:$O$104,15,0)),0,VLOOKUP($U$476,'TAR FIN'!$A$1:$O$104,15,0))*(1-0.04)</f>
        <v>233.10719999999998</v>
      </c>
      <c r="Y476" s="60"/>
      <c r="Z476" s="60">
        <f ca="1">('TUSD BE'!$AM$26+'TUSD BF'!$AM$26+'TUSD CVA'!$AM$26)*1*(1-0.02)</f>
        <v>76.318677921794944</v>
      </c>
      <c r="AA476" s="60">
        <f>('TE BE'!$AB$8+'TE BF'!$AB$8+'TE CVA'!$AB$8)*1*(1-0.02)</f>
        <v>227.12732236645527</v>
      </c>
      <c r="AB476" s="60">
        <f>(SUBSIDIO!$J$476*SUBSIDIO!$V$476)*(0.04)/(1-0.04)</f>
        <v>0</v>
      </c>
      <c r="AC476" s="60">
        <f>((SUBSIDIO!$L$476*SUBSIDIO!$W$476)+(SUBSIDIO!$N$476*SUBSIDIO!$X$476))*(0.04)/(1-0.04)</f>
        <v>12463.918716800001</v>
      </c>
      <c r="AD476" s="60">
        <f>(SUBSIDIO!$J$476*SUBSIDIO!$Y$476)*(0.02)/(1-0.02)</f>
        <v>0</v>
      </c>
      <c r="AE476" s="60">
        <f ca="1">((SUBSIDIO!$L$476*SUBSIDIO!$Z$476)+(SUBSIDIO!$N$476*SUBSIDIO!$AA$476))*(0.02)/(1-0.02)</f>
        <v>6318.6622567777504</v>
      </c>
      <c r="AF476" s="4" t="s">
        <v>998</v>
      </c>
    </row>
    <row r="477" spans="1:32" ht="11.25" customHeight="1" x14ac:dyDescent="0.25">
      <c r="A477" s="4" t="s">
        <v>28</v>
      </c>
      <c r="B477" s="4" t="s">
        <v>41</v>
      </c>
      <c r="C477" s="4" t="s">
        <v>42</v>
      </c>
      <c r="D477" s="4" t="s">
        <v>45</v>
      </c>
      <c r="E477" s="4" t="s">
        <v>53</v>
      </c>
      <c r="F477" s="4" t="s">
        <v>25</v>
      </c>
      <c r="G477" s="4" t="s">
        <v>25</v>
      </c>
      <c r="H477" s="4" t="s">
        <v>35</v>
      </c>
      <c r="I477" s="5">
        <v>44682</v>
      </c>
      <c r="J477" s="6">
        <v>0</v>
      </c>
      <c r="K477" s="60">
        <v>0</v>
      </c>
      <c r="L477" s="6">
        <v>2.202</v>
      </c>
      <c r="M477" s="60">
        <v>2.202</v>
      </c>
      <c r="N477" s="6">
        <v>2.202</v>
      </c>
      <c r="O477" s="60">
        <v>2.202</v>
      </c>
      <c r="P477" s="6">
        <v>0</v>
      </c>
      <c r="Q477" s="4" t="s">
        <v>26</v>
      </c>
      <c r="R477" s="4">
        <v>0</v>
      </c>
      <c r="S477" s="4">
        <v>0</v>
      </c>
      <c r="T477" s="4">
        <v>44</v>
      </c>
      <c r="U477" s="4">
        <v>67</v>
      </c>
      <c r="V477" s="60">
        <f>IF(ISERROR(VLOOKUP($S$477,'TAR FIN'!$A$1:$O$104,15,0)),0,VLOOKUP($S$477,'TAR FIN'!$A$1:$O$104,15,0))</f>
        <v>0</v>
      </c>
      <c r="W477" s="60">
        <f>IF(ISERROR(VLOOKUP($T$477,'TAR FIN'!$A$1:$O$104,15,0)),0,VLOOKUP($T$477,'TAR FIN'!$A$1:$O$104,15,0))*(1-0.04)</f>
        <v>60.0672</v>
      </c>
      <c r="X477" s="60">
        <f>IF(ISERROR(VLOOKUP($U$477,'TAR FIN'!$A$1:$O$104,15,0)),0,VLOOKUP($U$477,'TAR FIN'!$A$1:$O$104,15,0))*(1-0.04)</f>
        <v>233.10719999999998</v>
      </c>
      <c r="Y477" s="60"/>
      <c r="Z477" s="60">
        <f ca="1">('TUSD BE'!$AM$26+'TUSD BF'!$AM$26+'TUSD CVA'!$AM$26)*1*(1-0.02)</f>
        <v>76.318677921794944</v>
      </c>
      <c r="AA477" s="60">
        <f>('TE BE'!$AB$8+'TE BF'!$AB$8+'TE CVA'!$AB$8)*1*(1-0.02)</f>
        <v>227.12732236645527</v>
      </c>
      <c r="AB477" s="60">
        <f>(SUBSIDIO!$J$477*SUBSIDIO!$V$477)*(0.04)/(1-0.04)</f>
        <v>0</v>
      </c>
      <c r="AC477" s="60">
        <f>((SUBSIDIO!$L$477*SUBSIDIO!$W$477)+(SUBSIDIO!$N$477*SUBSIDIO!$X$477))*(0.04)/(1-0.04)</f>
        <v>26.898751199999996</v>
      </c>
      <c r="AD477" s="60">
        <f>(SUBSIDIO!$J$477*SUBSIDIO!$Y$477)*(0.02)/(1-0.02)</f>
        <v>0</v>
      </c>
      <c r="AE477" s="60">
        <f ca="1">((SUBSIDIO!$L$477*SUBSIDIO!$Z$477)+(SUBSIDIO!$N$477*SUBSIDIO!$AA$477))*(0.02)/(1-0.02)</f>
        <v>13.636491686422998</v>
      </c>
      <c r="AF477" s="4" t="s">
        <v>998</v>
      </c>
    </row>
    <row r="478" spans="1:32" ht="11.25" customHeight="1" x14ac:dyDescent="0.25">
      <c r="A478" s="4" t="s">
        <v>21</v>
      </c>
      <c r="B478" s="4" t="s">
        <v>41</v>
      </c>
      <c r="C478" s="4" t="s">
        <v>42</v>
      </c>
      <c r="D478" s="4" t="s">
        <v>45</v>
      </c>
      <c r="E478" s="4" t="s">
        <v>53</v>
      </c>
      <c r="F478" s="4" t="s">
        <v>25</v>
      </c>
      <c r="G478" s="4" t="s">
        <v>25</v>
      </c>
      <c r="H478" s="4" t="s">
        <v>35</v>
      </c>
      <c r="I478" s="5">
        <v>44713</v>
      </c>
      <c r="J478" s="6">
        <v>0</v>
      </c>
      <c r="K478" s="60">
        <v>0</v>
      </c>
      <c r="L478" s="6">
        <v>723.52</v>
      </c>
      <c r="M478" s="60">
        <v>723.52</v>
      </c>
      <c r="N478" s="6">
        <v>723.52</v>
      </c>
      <c r="O478" s="60">
        <v>723.52</v>
      </c>
      <c r="P478" s="6">
        <v>0</v>
      </c>
      <c r="Q478" s="4" t="s">
        <v>26</v>
      </c>
      <c r="R478" s="4">
        <v>0</v>
      </c>
      <c r="S478" s="4">
        <v>0</v>
      </c>
      <c r="T478" s="4">
        <v>44</v>
      </c>
      <c r="U478" s="4">
        <v>67</v>
      </c>
      <c r="V478" s="60">
        <f>IF(ISERROR(VLOOKUP($S$478,'TAR FIN'!$A$1:$O$104,15,0)),0,VLOOKUP($S$478,'TAR FIN'!$A$1:$O$104,15,0))</f>
        <v>0</v>
      </c>
      <c r="W478" s="60">
        <f>IF(ISERROR(VLOOKUP($T$478,'TAR FIN'!$A$1:$O$104,15,0)),0,VLOOKUP($T$478,'TAR FIN'!$A$1:$O$104,15,0))*(1-0.04)</f>
        <v>60.0672</v>
      </c>
      <c r="X478" s="60">
        <f>IF(ISERROR(VLOOKUP($U$478,'TAR FIN'!$A$1:$O$104,15,0)),0,VLOOKUP($U$478,'TAR FIN'!$A$1:$O$104,15,0))*(1-0.04)</f>
        <v>233.10719999999998</v>
      </c>
      <c r="Y478" s="60"/>
      <c r="Z478" s="60">
        <f ca="1">('TUSD BE'!$AM$26+'TUSD BF'!$AM$26+'TUSD CVA'!$AM$26)*1*(1-0.02)</f>
        <v>76.318677921794944</v>
      </c>
      <c r="AA478" s="60">
        <f>('TE BE'!$AB$8+'TE BF'!$AB$8+'TE CVA'!$AB$8)*1*(1-0.02)</f>
        <v>227.12732236645527</v>
      </c>
      <c r="AB478" s="60">
        <f>(SUBSIDIO!$J$478*SUBSIDIO!$V$478)*(0.04)/(1-0.04)</f>
        <v>0</v>
      </c>
      <c r="AC478" s="60">
        <f>((SUBSIDIO!$L$478*SUBSIDIO!$W$478)+(SUBSIDIO!$N$478*SUBSIDIO!$X$478))*(0.04)/(1-0.04)</f>
        <v>8838.2309119999991</v>
      </c>
      <c r="AD478" s="60">
        <f>(SUBSIDIO!$J$478*SUBSIDIO!$Y$478)*(0.02)/(1-0.02)</f>
        <v>0</v>
      </c>
      <c r="AE478" s="60">
        <f ca="1">((SUBSIDIO!$L$478*SUBSIDIO!$Z$478)+(SUBSIDIO!$N$478*SUBSIDIO!$AA$478))*(0.02)/(1-0.02)</f>
        <v>4480.596941399077</v>
      </c>
      <c r="AF478" s="4" t="s">
        <v>998</v>
      </c>
    </row>
    <row r="479" spans="1:32" ht="11.25" customHeight="1" x14ac:dyDescent="0.25">
      <c r="A479" s="4" t="s">
        <v>27</v>
      </c>
      <c r="B479" s="4" t="s">
        <v>41</v>
      </c>
      <c r="C479" s="4" t="s">
        <v>42</v>
      </c>
      <c r="D479" s="4" t="s">
        <v>45</v>
      </c>
      <c r="E479" s="4" t="s">
        <v>53</v>
      </c>
      <c r="F479" s="4" t="s">
        <v>25</v>
      </c>
      <c r="G479" s="4" t="s">
        <v>25</v>
      </c>
      <c r="H479" s="4" t="s">
        <v>35</v>
      </c>
      <c r="I479" s="5">
        <v>44713</v>
      </c>
      <c r="J479" s="6">
        <v>0</v>
      </c>
      <c r="K479" s="60">
        <v>0</v>
      </c>
      <c r="L479" s="6">
        <v>-5.359</v>
      </c>
      <c r="M479" s="60">
        <v>-5.359</v>
      </c>
      <c r="N479" s="6">
        <v>-5.359</v>
      </c>
      <c r="O479" s="60">
        <v>-5.359</v>
      </c>
      <c r="P479" s="6">
        <v>0</v>
      </c>
      <c r="Q479" s="4" t="s">
        <v>26</v>
      </c>
      <c r="R479" s="4">
        <v>0</v>
      </c>
      <c r="S479" s="4">
        <v>0</v>
      </c>
      <c r="T479" s="4">
        <v>44</v>
      </c>
      <c r="U479" s="4">
        <v>67</v>
      </c>
      <c r="V479" s="60">
        <f>IF(ISERROR(VLOOKUP($S$479,'TAR FIN'!$A$1:$O$104,15,0)),0,VLOOKUP($S$479,'TAR FIN'!$A$1:$O$104,15,0))</f>
        <v>0</v>
      </c>
      <c r="W479" s="60">
        <f>IF(ISERROR(VLOOKUP($T$479,'TAR FIN'!$A$1:$O$104,15,0)),0,VLOOKUP($T$479,'TAR FIN'!$A$1:$O$104,15,0))*(1-0.04)</f>
        <v>60.0672</v>
      </c>
      <c r="X479" s="60">
        <f>IF(ISERROR(VLOOKUP($U$479,'TAR FIN'!$A$1:$O$104,15,0)),0,VLOOKUP($U$479,'TAR FIN'!$A$1:$O$104,15,0))*(1-0.04)</f>
        <v>233.10719999999998</v>
      </c>
      <c r="Y479" s="60"/>
      <c r="Z479" s="60">
        <f ca="1">('TUSD BE'!$AM$26+'TUSD BF'!$AM$26+'TUSD CVA'!$AM$26)*1*(1-0.02)</f>
        <v>76.318677921794944</v>
      </c>
      <c r="AA479" s="60">
        <f>('TE BE'!$AB$8+'TE BF'!$AB$8+'TE CVA'!$AB$8)*1*(1-0.02)</f>
        <v>227.12732236645527</v>
      </c>
      <c r="AB479" s="60">
        <f>(SUBSIDIO!$J$479*SUBSIDIO!$V$479)*(0.04)/(1-0.04)</f>
        <v>0</v>
      </c>
      <c r="AC479" s="60">
        <f>((SUBSIDIO!$L$479*SUBSIDIO!$W$479)+(SUBSIDIO!$N$479*SUBSIDIO!$X$479))*(0.04)/(1-0.04)</f>
        <v>-65.463400399999998</v>
      </c>
      <c r="AD479" s="60">
        <f>(SUBSIDIO!$J$479*SUBSIDIO!$Y$479)*(0.02)/(1-0.02)</f>
        <v>0</v>
      </c>
      <c r="AE479" s="60">
        <f ca="1">((SUBSIDIO!$L$479*SUBSIDIO!$Z$479)+(SUBSIDIO!$N$479*SUBSIDIO!$AA$479))*(0.02)/(1-0.02)</f>
        <v>-33.187083990708842</v>
      </c>
      <c r="AF479" s="4" t="s">
        <v>998</v>
      </c>
    </row>
    <row r="480" spans="1:32" ht="11.25" customHeight="1" x14ac:dyDescent="0.25">
      <c r="A480" s="4" t="s">
        <v>57</v>
      </c>
      <c r="B480" s="4" t="s">
        <v>41</v>
      </c>
      <c r="C480" s="4" t="s">
        <v>42</v>
      </c>
      <c r="D480" s="4" t="s">
        <v>45</v>
      </c>
      <c r="E480" s="4" t="s">
        <v>53</v>
      </c>
      <c r="F480" s="4" t="s">
        <v>25</v>
      </c>
      <c r="G480" s="4" t="s">
        <v>25</v>
      </c>
      <c r="H480" s="4" t="s">
        <v>35</v>
      </c>
      <c r="I480" s="5">
        <v>44743</v>
      </c>
      <c r="J480" s="6">
        <v>0</v>
      </c>
      <c r="K480" s="60">
        <v>0</v>
      </c>
      <c r="L480" s="6">
        <v>723.52</v>
      </c>
      <c r="M480" s="60">
        <v>723.52</v>
      </c>
      <c r="N480" s="6">
        <v>723.52</v>
      </c>
      <c r="O480" s="60">
        <v>723.52</v>
      </c>
      <c r="P480" s="6">
        <v>0</v>
      </c>
      <c r="Q480" s="4" t="s">
        <v>26</v>
      </c>
      <c r="R480" s="4">
        <v>0</v>
      </c>
      <c r="S480" s="4">
        <v>0</v>
      </c>
      <c r="T480" s="4">
        <v>44</v>
      </c>
      <c r="U480" s="4">
        <v>67</v>
      </c>
      <c r="V480" s="60">
        <f>IF(ISERROR(VLOOKUP($S$480,'TAR FIN'!$A$1:$O$104,15,0)),0,VLOOKUP($S$480,'TAR FIN'!$A$1:$O$104,15,0))</f>
        <v>0</v>
      </c>
      <c r="W480" s="60">
        <f>IF(ISERROR(VLOOKUP($T$480,'TAR FIN'!$A$1:$O$104,15,0)),0,VLOOKUP($T$480,'TAR FIN'!$A$1:$O$104,15,0))*(1-0.04)</f>
        <v>60.0672</v>
      </c>
      <c r="X480" s="60">
        <f>IF(ISERROR(VLOOKUP($U$480,'TAR FIN'!$A$1:$O$104,15,0)),0,VLOOKUP($U$480,'TAR FIN'!$A$1:$O$104,15,0))*(1-0.04)</f>
        <v>233.10719999999998</v>
      </c>
      <c r="Y480" s="60"/>
      <c r="Z480" s="60">
        <f ca="1">('TUSD BE'!$AM$26+'TUSD BF'!$AM$26+'TUSD CVA'!$AM$26)*1*(1-0.02)</f>
        <v>76.318677921794944</v>
      </c>
      <c r="AA480" s="60">
        <f>('TE BE'!$AB$8+'TE BF'!$AB$8+'TE CVA'!$AB$8)*1*(1-0.02)</f>
        <v>227.12732236645527</v>
      </c>
      <c r="AB480" s="60">
        <f>(SUBSIDIO!$J$480*SUBSIDIO!$V$480)*(0.04)/(1-0.04)</f>
        <v>0</v>
      </c>
      <c r="AC480" s="60">
        <f>((SUBSIDIO!$L$480*SUBSIDIO!$W$480)+(SUBSIDIO!$N$480*SUBSIDIO!$X$480))*(0.04)/(1-0.04)</f>
        <v>8838.2309119999991</v>
      </c>
      <c r="AD480" s="60">
        <f>(SUBSIDIO!$J$480*SUBSIDIO!$Y$480)*(0.02)/(1-0.02)</f>
        <v>0</v>
      </c>
      <c r="AE480" s="60">
        <f ca="1">((SUBSIDIO!$L$480*SUBSIDIO!$Z$480)+(SUBSIDIO!$N$480*SUBSIDIO!$AA$480))*(0.02)/(1-0.02)</f>
        <v>4480.596941399077</v>
      </c>
      <c r="AF480" s="4" t="s">
        <v>998</v>
      </c>
    </row>
    <row r="481" spans="1:32" ht="11.25" customHeight="1" x14ac:dyDescent="0.25">
      <c r="A481" s="4" t="s">
        <v>57</v>
      </c>
      <c r="B481" s="4" t="s">
        <v>41</v>
      </c>
      <c r="C481" s="4" t="s">
        <v>42</v>
      </c>
      <c r="D481" s="4" t="s">
        <v>45</v>
      </c>
      <c r="E481" s="4" t="s">
        <v>53</v>
      </c>
      <c r="F481" s="4" t="s">
        <v>25</v>
      </c>
      <c r="G481" s="4" t="s">
        <v>25</v>
      </c>
      <c r="H481" s="4" t="s">
        <v>35</v>
      </c>
      <c r="I481" s="5">
        <v>44743</v>
      </c>
      <c r="J481" s="6">
        <v>0</v>
      </c>
      <c r="K481" s="60">
        <v>0</v>
      </c>
      <c r="L481" s="6">
        <v>-5.359</v>
      </c>
      <c r="M481" s="60">
        <v>-5.359</v>
      </c>
      <c r="N481" s="6">
        <v>-5.359</v>
      </c>
      <c r="O481" s="60">
        <v>-5.359</v>
      </c>
      <c r="P481" s="6">
        <v>0</v>
      </c>
      <c r="Q481" s="4" t="s">
        <v>26</v>
      </c>
      <c r="R481" s="4">
        <v>0</v>
      </c>
      <c r="S481" s="4">
        <v>0</v>
      </c>
      <c r="T481" s="4">
        <v>44</v>
      </c>
      <c r="U481" s="4">
        <v>67</v>
      </c>
      <c r="V481" s="60">
        <f>IF(ISERROR(VLOOKUP($S$481,'TAR FIN'!$A$1:$O$104,15,0)),0,VLOOKUP($S$481,'TAR FIN'!$A$1:$O$104,15,0))</f>
        <v>0</v>
      </c>
      <c r="W481" s="60">
        <f>IF(ISERROR(VLOOKUP($T$481,'TAR FIN'!$A$1:$O$104,15,0)),0,VLOOKUP($T$481,'TAR FIN'!$A$1:$O$104,15,0))*(1-0.04)</f>
        <v>60.0672</v>
      </c>
      <c r="X481" s="60">
        <f>IF(ISERROR(VLOOKUP($U$481,'TAR FIN'!$A$1:$O$104,15,0)),0,VLOOKUP($U$481,'TAR FIN'!$A$1:$O$104,15,0))*(1-0.04)</f>
        <v>233.10719999999998</v>
      </c>
      <c r="Y481" s="60"/>
      <c r="Z481" s="60">
        <f ca="1">('TUSD BE'!$AM$26+'TUSD BF'!$AM$26+'TUSD CVA'!$AM$26)*1*(1-0.02)</f>
        <v>76.318677921794944</v>
      </c>
      <c r="AA481" s="60">
        <f>('TE BE'!$AB$8+'TE BF'!$AB$8+'TE CVA'!$AB$8)*1*(1-0.02)</f>
        <v>227.12732236645527</v>
      </c>
      <c r="AB481" s="60">
        <f>(SUBSIDIO!$J$481*SUBSIDIO!$V$481)*(0.04)/(1-0.04)</f>
        <v>0</v>
      </c>
      <c r="AC481" s="60">
        <f>((SUBSIDIO!$L$481*SUBSIDIO!$W$481)+(SUBSIDIO!$N$481*SUBSIDIO!$X$481))*(0.04)/(1-0.04)</f>
        <v>-65.463400399999998</v>
      </c>
      <c r="AD481" s="60">
        <f>(SUBSIDIO!$J$481*SUBSIDIO!$Y$481)*(0.02)/(1-0.02)</f>
        <v>0</v>
      </c>
      <c r="AE481" s="60">
        <f ca="1">((SUBSIDIO!$L$481*SUBSIDIO!$Z$481)+(SUBSIDIO!$N$481*SUBSIDIO!$AA$481))*(0.02)/(1-0.02)</f>
        <v>-33.187083990708842</v>
      </c>
      <c r="AF481" s="4" t="s">
        <v>998</v>
      </c>
    </row>
    <row r="482" spans="1:32" ht="11.25" customHeight="1" x14ac:dyDescent="0.25">
      <c r="A482" s="4" t="s">
        <v>21</v>
      </c>
      <c r="B482" s="4" t="s">
        <v>41</v>
      </c>
      <c r="C482" s="4" t="s">
        <v>42</v>
      </c>
      <c r="D482" s="4" t="s">
        <v>45</v>
      </c>
      <c r="E482" s="4" t="s">
        <v>53</v>
      </c>
      <c r="F482" s="4" t="s">
        <v>25</v>
      </c>
      <c r="G482" s="4" t="s">
        <v>25</v>
      </c>
      <c r="H482" s="4" t="s">
        <v>25</v>
      </c>
      <c r="I482" s="5">
        <v>44409</v>
      </c>
      <c r="J482" s="6">
        <v>13023</v>
      </c>
      <c r="K482" s="60">
        <v>13023</v>
      </c>
      <c r="L482" s="6">
        <v>0</v>
      </c>
      <c r="M482" s="60">
        <v>0</v>
      </c>
      <c r="N482" s="6">
        <v>0</v>
      </c>
      <c r="O482" s="60">
        <v>0</v>
      </c>
      <c r="P482" s="6">
        <v>84</v>
      </c>
      <c r="Q482" s="4" t="s">
        <v>26</v>
      </c>
      <c r="R482" s="4">
        <v>0</v>
      </c>
      <c r="S482" s="4">
        <v>40</v>
      </c>
      <c r="T482" s="4">
        <v>0</v>
      </c>
      <c r="U482" s="4">
        <v>0</v>
      </c>
      <c r="V482" s="60">
        <f>IF(ISERROR(VLOOKUP($S$482,'TAR FIN'!$A$1:$O$104,15,0)),0,VLOOKUP($S$482,'TAR FIN'!$A$1:$O$104,15,0))*(1-0.04)</f>
        <v>25.171199999999999</v>
      </c>
      <c r="W482" s="60">
        <f>IF(ISERROR(VLOOKUP($T$482,'TAR FIN'!$A$1:$O$104,15,0)),0,VLOOKUP($T$482,'TAR FIN'!$A$1:$O$104,15,0))</f>
        <v>0</v>
      </c>
      <c r="X482" s="60">
        <f>IF(ISERROR(VLOOKUP($U$482,'TAR FIN'!$A$1:$O$104,15,0)),0,VLOOKUP($U$482,'TAR FIN'!$A$1:$O$104,15,0))</f>
        <v>0</v>
      </c>
      <c r="Y482" s="60">
        <f ca="1">('TUSD BE'!$AM$24+'TUSD BF'!$AM$24+'TUSD CVA'!$AM$24)*1*(1-0.02)</f>
        <v>25.754560993400897</v>
      </c>
      <c r="Z482" s="60"/>
      <c r="AA482" s="60"/>
      <c r="AB482" s="60">
        <f>(SUBSIDIO!$J$482*SUBSIDIO!$V$482)*(0.04)/(1-0.04)</f>
        <v>13658.5224</v>
      </c>
      <c r="AC482" s="60">
        <f>((SUBSIDIO!$L$482*SUBSIDIO!$W$482)+(SUBSIDIO!$N$482*SUBSIDIO!$X$482))*(0.04)/(1-0.04)</f>
        <v>0</v>
      </c>
      <c r="AD482" s="60">
        <f ca="1">(SUBSIDIO!$J$482*SUBSIDIO!$Y$482)*(0.02)/(1-0.02)</f>
        <v>6844.9315881032635</v>
      </c>
      <c r="AE482" s="60">
        <f>((SUBSIDIO!$L$482*SUBSIDIO!$Z$482)+(SUBSIDIO!$N$482*SUBSIDIO!$AA$482))*(0.02)/(1-0.02)</f>
        <v>0</v>
      </c>
      <c r="AF482" s="4" t="s">
        <v>998</v>
      </c>
    </row>
    <row r="483" spans="1:32" ht="11.25" customHeight="1" x14ac:dyDescent="0.25">
      <c r="A483" s="4" t="s">
        <v>27</v>
      </c>
      <c r="B483" s="4" t="s">
        <v>41</v>
      </c>
      <c r="C483" s="4" t="s">
        <v>42</v>
      </c>
      <c r="D483" s="4" t="s">
        <v>45</v>
      </c>
      <c r="E483" s="4" t="s">
        <v>53</v>
      </c>
      <c r="F483" s="4" t="s">
        <v>25</v>
      </c>
      <c r="G483" s="4" t="s">
        <v>25</v>
      </c>
      <c r="H483" s="4" t="s">
        <v>25</v>
      </c>
      <c r="I483" s="5">
        <v>44409</v>
      </c>
      <c r="J483" s="6">
        <v>-44</v>
      </c>
      <c r="K483" s="60">
        <v>-44</v>
      </c>
      <c r="L483" s="6">
        <v>0</v>
      </c>
      <c r="M483" s="60">
        <v>0</v>
      </c>
      <c r="N483" s="6">
        <v>0</v>
      </c>
      <c r="O483" s="60">
        <v>0</v>
      </c>
      <c r="P483" s="6">
        <v>-2</v>
      </c>
      <c r="Q483" s="4" t="s">
        <v>26</v>
      </c>
      <c r="R483" s="4">
        <v>0</v>
      </c>
      <c r="S483" s="4">
        <v>40</v>
      </c>
      <c r="T483" s="4">
        <v>0</v>
      </c>
      <c r="U483" s="4">
        <v>0</v>
      </c>
      <c r="V483" s="60">
        <f>IF(ISERROR(VLOOKUP($S$483,'TAR FIN'!$A$1:$O$104,15,0)),0,VLOOKUP($S$483,'TAR FIN'!$A$1:$O$104,15,0))*(1-0.04)</f>
        <v>25.171199999999999</v>
      </c>
      <c r="W483" s="60">
        <f>IF(ISERROR(VLOOKUP($T$483,'TAR FIN'!$A$1:$O$104,15,0)),0,VLOOKUP($T$483,'TAR FIN'!$A$1:$O$104,15,0))</f>
        <v>0</v>
      </c>
      <c r="X483" s="60">
        <f>IF(ISERROR(VLOOKUP($U$483,'TAR FIN'!$A$1:$O$104,15,0)),0,VLOOKUP($U$483,'TAR FIN'!$A$1:$O$104,15,0))</f>
        <v>0</v>
      </c>
      <c r="Y483" s="60">
        <f ca="1">('TUSD BE'!$AM$24+'TUSD BF'!$AM$24+'TUSD CVA'!$AM$24)*1*(1-0.02)</f>
        <v>25.754560993400897</v>
      </c>
      <c r="Z483" s="60"/>
      <c r="AA483" s="60"/>
      <c r="AB483" s="60">
        <f>(SUBSIDIO!$J$483*SUBSIDIO!$V$483)*(0.04)/(1-0.04)</f>
        <v>-46.147199999999998</v>
      </c>
      <c r="AC483" s="60">
        <f>((SUBSIDIO!$L$483*SUBSIDIO!$W$483)+(SUBSIDIO!$N$483*SUBSIDIO!$X$483))*(0.04)/(1-0.04)</f>
        <v>0</v>
      </c>
      <c r="AD483" s="60">
        <f ca="1">(SUBSIDIO!$J$483*SUBSIDIO!$Y$483)*(0.02)/(1-0.02)</f>
        <v>-23.126544565502844</v>
      </c>
      <c r="AE483" s="60">
        <f>((SUBSIDIO!$L$483*SUBSIDIO!$Z$483)+(SUBSIDIO!$N$483*SUBSIDIO!$AA$483))*(0.02)/(1-0.02)</f>
        <v>0</v>
      </c>
      <c r="AF483" s="4" t="s">
        <v>998</v>
      </c>
    </row>
    <row r="484" spans="1:32" ht="11.25" customHeight="1" x14ac:dyDescent="0.25">
      <c r="A484" s="4" t="s">
        <v>28</v>
      </c>
      <c r="B484" s="4" t="s">
        <v>41</v>
      </c>
      <c r="C484" s="4" t="s">
        <v>42</v>
      </c>
      <c r="D484" s="4" t="s">
        <v>45</v>
      </c>
      <c r="E484" s="4" t="s">
        <v>53</v>
      </c>
      <c r="F484" s="4" t="s">
        <v>25</v>
      </c>
      <c r="G484" s="4" t="s">
        <v>25</v>
      </c>
      <c r="H484" s="4" t="s">
        <v>25</v>
      </c>
      <c r="I484" s="5">
        <v>44409</v>
      </c>
      <c r="J484" s="6">
        <v>152</v>
      </c>
      <c r="K484" s="60">
        <v>152</v>
      </c>
      <c r="L484" s="6">
        <v>0</v>
      </c>
      <c r="M484" s="60">
        <v>0</v>
      </c>
      <c r="N484" s="6">
        <v>0</v>
      </c>
      <c r="O484" s="60">
        <v>0</v>
      </c>
      <c r="P484" s="6">
        <v>2</v>
      </c>
      <c r="Q484" s="4" t="s">
        <v>26</v>
      </c>
      <c r="R484" s="4">
        <v>0</v>
      </c>
      <c r="S484" s="4">
        <v>40</v>
      </c>
      <c r="T484" s="4">
        <v>0</v>
      </c>
      <c r="U484" s="4">
        <v>0</v>
      </c>
      <c r="V484" s="60">
        <f>IF(ISERROR(VLOOKUP($S$484,'TAR FIN'!$A$1:$O$104,15,0)),0,VLOOKUP($S$484,'TAR FIN'!$A$1:$O$104,15,0))*(1-0.04)</f>
        <v>25.171199999999999</v>
      </c>
      <c r="W484" s="60">
        <f>IF(ISERROR(VLOOKUP($T$484,'TAR FIN'!$A$1:$O$104,15,0)),0,VLOOKUP($T$484,'TAR FIN'!$A$1:$O$104,15,0))</f>
        <v>0</v>
      </c>
      <c r="X484" s="60">
        <f>IF(ISERROR(VLOOKUP($U$484,'TAR FIN'!$A$1:$O$104,15,0)),0,VLOOKUP($U$484,'TAR FIN'!$A$1:$O$104,15,0))</f>
        <v>0</v>
      </c>
      <c r="Y484" s="60">
        <f ca="1">('TUSD BE'!$AM$24+'TUSD BF'!$AM$24+'TUSD CVA'!$AM$24)*1*(1-0.02)</f>
        <v>25.754560993400897</v>
      </c>
      <c r="Z484" s="60"/>
      <c r="AA484" s="60"/>
      <c r="AB484" s="60">
        <f>(SUBSIDIO!$J$484*SUBSIDIO!$V$484)*(0.04)/(1-0.04)</f>
        <v>159.41760000000002</v>
      </c>
      <c r="AC484" s="60">
        <f>((SUBSIDIO!$L$484*SUBSIDIO!$W$484)+(SUBSIDIO!$N$484*SUBSIDIO!$X$484))*(0.04)/(1-0.04)</f>
        <v>0</v>
      </c>
      <c r="AD484" s="60">
        <f ca="1">(SUBSIDIO!$J$484*SUBSIDIO!$Y$484)*(0.02)/(1-0.02)</f>
        <v>79.891699408100749</v>
      </c>
      <c r="AE484" s="60">
        <f>((SUBSIDIO!$L$484*SUBSIDIO!$Z$484)+(SUBSIDIO!$N$484*SUBSIDIO!$AA$484))*(0.02)/(1-0.02)</f>
        <v>0</v>
      </c>
      <c r="AF484" s="4" t="s">
        <v>998</v>
      </c>
    </row>
    <row r="485" spans="1:32" ht="11.25" customHeight="1" x14ac:dyDescent="0.25">
      <c r="A485" s="4" t="s">
        <v>28</v>
      </c>
      <c r="B485" s="4" t="s">
        <v>41</v>
      </c>
      <c r="C485" s="4" t="s">
        <v>42</v>
      </c>
      <c r="D485" s="4" t="s">
        <v>45</v>
      </c>
      <c r="E485" s="4" t="s">
        <v>53</v>
      </c>
      <c r="F485" s="4" t="s">
        <v>25</v>
      </c>
      <c r="G485" s="4" t="s">
        <v>25</v>
      </c>
      <c r="H485" s="4" t="s">
        <v>25</v>
      </c>
      <c r="I485" s="5">
        <v>44409</v>
      </c>
      <c r="J485" s="6">
        <v>-22</v>
      </c>
      <c r="K485" s="60">
        <v>-22</v>
      </c>
      <c r="L485" s="6">
        <v>0</v>
      </c>
      <c r="M485" s="60">
        <v>0</v>
      </c>
      <c r="N485" s="6">
        <v>0</v>
      </c>
      <c r="O485" s="60">
        <v>0</v>
      </c>
      <c r="P485" s="6">
        <v>-4</v>
      </c>
      <c r="Q485" s="4" t="s">
        <v>26</v>
      </c>
      <c r="R485" s="4">
        <v>0</v>
      </c>
      <c r="S485" s="4">
        <v>40</v>
      </c>
      <c r="T485" s="4">
        <v>0</v>
      </c>
      <c r="U485" s="4">
        <v>0</v>
      </c>
      <c r="V485" s="60">
        <f>IF(ISERROR(VLOOKUP($S$485,'TAR FIN'!$A$1:$O$104,15,0)),0,VLOOKUP($S$485,'TAR FIN'!$A$1:$O$104,15,0))*(1-0.04)</f>
        <v>25.171199999999999</v>
      </c>
      <c r="W485" s="60">
        <f>IF(ISERROR(VLOOKUP($T$485,'TAR FIN'!$A$1:$O$104,15,0)),0,VLOOKUP($T$485,'TAR FIN'!$A$1:$O$104,15,0))</f>
        <v>0</v>
      </c>
      <c r="X485" s="60">
        <f>IF(ISERROR(VLOOKUP($U$485,'TAR FIN'!$A$1:$O$104,15,0)),0,VLOOKUP($U$485,'TAR FIN'!$A$1:$O$104,15,0))</f>
        <v>0</v>
      </c>
      <c r="Y485" s="60">
        <f ca="1">('TUSD BE'!$AM$24+'TUSD BF'!$AM$24+'TUSD CVA'!$AM$24)*1*(1-0.02)</f>
        <v>25.754560993400897</v>
      </c>
      <c r="Z485" s="60"/>
      <c r="AA485" s="60"/>
      <c r="AB485" s="60">
        <f>(SUBSIDIO!$J$485*SUBSIDIO!$V$485)*(0.04)/(1-0.04)</f>
        <v>-23.073599999999999</v>
      </c>
      <c r="AC485" s="60">
        <f>((SUBSIDIO!$L$485*SUBSIDIO!$W$485)+(SUBSIDIO!$N$485*SUBSIDIO!$X$485))*(0.04)/(1-0.04)</f>
        <v>0</v>
      </c>
      <c r="AD485" s="60">
        <f ca="1">(SUBSIDIO!$J$485*SUBSIDIO!$Y$485)*(0.02)/(1-0.02)</f>
        <v>-11.563272282751422</v>
      </c>
      <c r="AE485" s="60">
        <f>((SUBSIDIO!$L$485*SUBSIDIO!$Z$485)+(SUBSIDIO!$N$485*SUBSIDIO!$AA$485))*(0.02)/(1-0.02)</f>
        <v>0</v>
      </c>
      <c r="AF485" s="4" t="s">
        <v>998</v>
      </c>
    </row>
    <row r="486" spans="1:32" ht="11.25" customHeight="1" x14ac:dyDescent="0.25">
      <c r="A486" s="4" t="s">
        <v>21</v>
      </c>
      <c r="B486" s="4" t="s">
        <v>41</v>
      </c>
      <c r="C486" s="4" t="s">
        <v>42</v>
      </c>
      <c r="D486" s="4" t="s">
        <v>45</v>
      </c>
      <c r="E486" s="4" t="s">
        <v>53</v>
      </c>
      <c r="F486" s="4" t="s">
        <v>25</v>
      </c>
      <c r="G486" s="4" t="s">
        <v>25</v>
      </c>
      <c r="H486" s="4" t="s">
        <v>25</v>
      </c>
      <c r="I486" s="5">
        <v>44440</v>
      </c>
      <c r="J486" s="6">
        <v>12578</v>
      </c>
      <c r="K486" s="60">
        <v>12578</v>
      </c>
      <c r="L486" s="6">
        <v>0</v>
      </c>
      <c r="M486" s="60">
        <v>0</v>
      </c>
      <c r="N486" s="6">
        <v>0</v>
      </c>
      <c r="O486" s="60">
        <v>0</v>
      </c>
      <c r="P486" s="6">
        <v>104</v>
      </c>
      <c r="Q486" s="4" t="s">
        <v>26</v>
      </c>
      <c r="R486" s="4">
        <v>0</v>
      </c>
      <c r="S486" s="4">
        <v>40</v>
      </c>
      <c r="T486" s="4">
        <v>0</v>
      </c>
      <c r="U486" s="4">
        <v>0</v>
      </c>
      <c r="V486" s="60">
        <f>IF(ISERROR(VLOOKUP($S$486,'TAR FIN'!$A$1:$O$104,15,0)),0,VLOOKUP($S$486,'TAR FIN'!$A$1:$O$104,15,0))*(1-0.04)</f>
        <v>25.171199999999999</v>
      </c>
      <c r="W486" s="60">
        <f>IF(ISERROR(VLOOKUP($T$486,'TAR FIN'!$A$1:$O$104,15,0)),0,VLOOKUP($T$486,'TAR FIN'!$A$1:$O$104,15,0))</f>
        <v>0</v>
      </c>
      <c r="X486" s="60">
        <f>IF(ISERROR(VLOOKUP($U$486,'TAR FIN'!$A$1:$O$104,15,0)),0,VLOOKUP($U$486,'TAR FIN'!$A$1:$O$104,15,0))</f>
        <v>0</v>
      </c>
      <c r="Y486" s="60">
        <f ca="1">('TUSD BE'!$AM$24+'TUSD BF'!$AM$24+'TUSD CVA'!$AM$24)*1*(1-0.02)</f>
        <v>25.754560993400897</v>
      </c>
      <c r="Z486" s="60"/>
      <c r="AA486" s="60"/>
      <c r="AB486" s="60">
        <f>(SUBSIDIO!$J$486*SUBSIDIO!$V$486)*(0.04)/(1-0.04)</f>
        <v>13191.806399999999</v>
      </c>
      <c r="AC486" s="60">
        <f>((SUBSIDIO!$L$486*SUBSIDIO!$W$486)+(SUBSIDIO!$N$486*SUBSIDIO!$X$486))*(0.04)/(1-0.04)</f>
        <v>0</v>
      </c>
      <c r="AD486" s="60">
        <f ca="1">(SUBSIDIO!$J$486*SUBSIDIO!$Y$486)*(0.02)/(1-0.02)</f>
        <v>6611.0381260203358</v>
      </c>
      <c r="AE486" s="60">
        <f>((SUBSIDIO!$L$486*SUBSIDIO!$Z$486)+(SUBSIDIO!$N$486*SUBSIDIO!$AA$486))*(0.02)/(1-0.02)</f>
        <v>0</v>
      </c>
      <c r="AF486" s="4" t="s">
        <v>998</v>
      </c>
    </row>
    <row r="487" spans="1:32" ht="11.25" customHeight="1" x14ac:dyDescent="0.25">
      <c r="A487" s="4" t="s">
        <v>28</v>
      </c>
      <c r="B487" s="4" t="s">
        <v>41</v>
      </c>
      <c r="C487" s="4" t="s">
        <v>42</v>
      </c>
      <c r="D487" s="4" t="s">
        <v>45</v>
      </c>
      <c r="E487" s="4" t="s">
        <v>53</v>
      </c>
      <c r="F487" s="4" t="s">
        <v>25</v>
      </c>
      <c r="G487" s="4" t="s">
        <v>25</v>
      </c>
      <c r="H487" s="4" t="s">
        <v>25</v>
      </c>
      <c r="I487" s="5">
        <v>44440</v>
      </c>
      <c r="J487" s="6">
        <v>62</v>
      </c>
      <c r="K487" s="60">
        <v>62</v>
      </c>
      <c r="L487" s="6">
        <v>0</v>
      </c>
      <c r="M487" s="60">
        <v>0</v>
      </c>
      <c r="N487" s="6">
        <v>0</v>
      </c>
      <c r="O487" s="60">
        <v>0</v>
      </c>
      <c r="P487" s="6">
        <v>1</v>
      </c>
      <c r="Q487" s="4" t="s">
        <v>26</v>
      </c>
      <c r="R487" s="4">
        <v>0</v>
      </c>
      <c r="S487" s="4">
        <v>40</v>
      </c>
      <c r="T487" s="4">
        <v>0</v>
      </c>
      <c r="U487" s="4">
        <v>0</v>
      </c>
      <c r="V487" s="60">
        <f>IF(ISERROR(VLOOKUP($S$487,'TAR FIN'!$A$1:$O$104,15,0)),0,VLOOKUP($S$487,'TAR FIN'!$A$1:$O$104,15,0))*(1-0.04)</f>
        <v>25.171199999999999</v>
      </c>
      <c r="W487" s="60">
        <f>IF(ISERROR(VLOOKUP($T$487,'TAR FIN'!$A$1:$O$104,15,0)),0,VLOOKUP($T$487,'TAR FIN'!$A$1:$O$104,15,0))</f>
        <v>0</v>
      </c>
      <c r="X487" s="60">
        <f>IF(ISERROR(VLOOKUP($U$487,'TAR FIN'!$A$1:$O$104,15,0)),0,VLOOKUP($U$487,'TAR FIN'!$A$1:$O$104,15,0))</f>
        <v>0</v>
      </c>
      <c r="Y487" s="60">
        <f ca="1">('TUSD BE'!$AM$24+'TUSD BF'!$AM$24+'TUSD CVA'!$AM$24)*1*(1-0.02)</f>
        <v>25.754560993400897</v>
      </c>
      <c r="Z487" s="60"/>
      <c r="AA487" s="60"/>
      <c r="AB487" s="60">
        <f>(SUBSIDIO!$J$487*SUBSIDIO!$V$487)*(0.04)/(1-0.04)</f>
        <v>65.025600000000011</v>
      </c>
      <c r="AC487" s="60">
        <f>((SUBSIDIO!$L$487*SUBSIDIO!$W$487)+(SUBSIDIO!$N$487*SUBSIDIO!$X$487))*(0.04)/(1-0.04)</f>
        <v>0</v>
      </c>
      <c r="AD487" s="60">
        <f ca="1">(SUBSIDIO!$J$487*SUBSIDIO!$Y$487)*(0.02)/(1-0.02)</f>
        <v>32.587403705935827</v>
      </c>
      <c r="AE487" s="60">
        <f>((SUBSIDIO!$L$487*SUBSIDIO!$Z$487)+(SUBSIDIO!$N$487*SUBSIDIO!$AA$487))*(0.02)/(1-0.02)</f>
        <v>0</v>
      </c>
      <c r="AF487" s="4" t="s">
        <v>998</v>
      </c>
    </row>
    <row r="488" spans="1:32" ht="11.25" customHeight="1" x14ac:dyDescent="0.25">
      <c r="A488" s="4" t="s">
        <v>21</v>
      </c>
      <c r="B488" s="4" t="s">
        <v>41</v>
      </c>
      <c r="C488" s="4" t="s">
        <v>42</v>
      </c>
      <c r="D488" s="4" t="s">
        <v>45</v>
      </c>
      <c r="E488" s="4" t="s">
        <v>53</v>
      </c>
      <c r="F488" s="4" t="s">
        <v>25</v>
      </c>
      <c r="G488" s="4" t="s">
        <v>25</v>
      </c>
      <c r="H488" s="4" t="s">
        <v>25</v>
      </c>
      <c r="I488" s="5">
        <v>44470</v>
      </c>
      <c r="J488" s="6">
        <v>16352</v>
      </c>
      <c r="K488" s="60">
        <v>16352</v>
      </c>
      <c r="L488" s="6">
        <v>0</v>
      </c>
      <c r="M488" s="60">
        <v>0</v>
      </c>
      <c r="N488" s="6">
        <v>0</v>
      </c>
      <c r="O488" s="60">
        <v>0</v>
      </c>
      <c r="P488" s="6">
        <v>102</v>
      </c>
      <c r="Q488" s="4" t="s">
        <v>26</v>
      </c>
      <c r="R488" s="4">
        <v>0</v>
      </c>
      <c r="S488" s="4">
        <v>40</v>
      </c>
      <c r="T488" s="4">
        <v>0</v>
      </c>
      <c r="U488" s="4">
        <v>0</v>
      </c>
      <c r="V488" s="60">
        <f>IF(ISERROR(VLOOKUP($S$488,'TAR FIN'!$A$1:$O$104,15,0)),0,VLOOKUP($S$488,'TAR FIN'!$A$1:$O$104,15,0))*(1-0.04)</f>
        <v>25.171199999999999</v>
      </c>
      <c r="W488" s="60">
        <f>IF(ISERROR(VLOOKUP($T$488,'TAR FIN'!$A$1:$O$104,15,0)),0,VLOOKUP($T$488,'TAR FIN'!$A$1:$O$104,15,0))</f>
        <v>0</v>
      </c>
      <c r="X488" s="60">
        <f>IF(ISERROR(VLOOKUP($U$488,'TAR FIN'!$A$1:$O$104,15,0)),0,VLOOKUP($U$488,'TAR FIN'!$A$1:$O$104,15,0))</f>
        <v>0</v>
      </c>
      <c r="Y488" s="60">
        <f ca="1">('TUSD BE'!$AM$24+'TUSD BF'!$AM$24+'TUSD CVA'!$AM$24)*1*(1-0.02)</f>
        <v>25.754560993400897</v>
      </c>
      <c r="Z488" s="60"/>
      <c r="AA488" s="60"/>
      <c r="AB488" s="60">
        <f>(SUBSIDIO!$J$488*SUBSIDIO!$V$488)*(0.04)/(1-0.04)</f>
        <v>17149.977600000002</v>
      </c>
      <c r="AC488" s="60">
        <f>((SUBSIDIO!$L$488*SUBSIDIO!$W$488)+(SUBSIDIO!$N$488*SUBSIDIO!$X$488))*(0.04)/(1-0.04)</f>
        <v>0</v>
      </c>
      <c r="AD488" s="60">
        <f ca="1">(SUBSIDIO!$J$488*SUBSIDIO!$Y$488)*(0.02)/(1-0.02)</f>
        <v>8594.6649257977861</v>
      </c>
      <c r="AE488" s="60">
        <f>((SUBSIDIO!$L$488*SUBSIDIO!$Z$488)+(SUBSIDIO!$N$488*SUBSIDIO!$AA$488))*(0.02)/(1-0.02)</f>
        <v>0</v>
      </c>
      <c r="AF488" s="4" t="s">
        <v>998</v>
      </c>
    </row>
    <row r="489" spans="1:32" ht="11.25" customHeight="1" x14ac:dyDescent="0.25">
      <c r="A489" s="4" t="s">
        <v>27</v>
      </c>
      <c r="B489" s="4" t="s">
        <v>41</v>
      </c>
      <c r="C489" s="4" t="s">
        <v>42</v>
      </c>
      <c r="D489" s="4" t="s">
        <v>45</v>
      </c>
      <c r="E489" s="4" t="s">
        <v>53</v>
      </c>
      <c r="F489" s="4" t="s">
        <v>25</v>
      </c>
      <c r="G489" s="4" t="s">
        <v>25</v>
      </c>
      <c r="H489" s="4" t="s">
        <v>25</v>
      </c>
      <c r="I489" s="5">
        <v>44470</v>
      </c>
      <c r="J489" s="6">
        <v>65</v>
      </c>
      <c r="K489" s="60">
        <v>65</v>
      </c>
      <c r="L489" s="6">
        <v>0</v>
      </c>
      <c r="M489" s="60">
        <v>0</v>
      </c>
      <c r="N489" s="6">
        <v>0</v>
      </c>
      <c r="O489" s="60">
        <v>0</v>
      </c>
      <c r="P489" s="6">
        <v>-4</v>
      </c>
      <c r="Q489" s="4" t="s">
        <v>26</v>
      </c>
      <c r="R489" s="4">
        <v>0</v>
      </c>
      <c r="S489" s="4">
        <v>40</v>
      </c>
      <c r="T489" s="4">
        <v>0</v>
      </c>
      <c r="U489" s="4">
        <v>0</v>
      </c>
      <c r="V489" s="60">
        <f>IF(ISERROR(VLOOKUP($S$489,'TAR FIN'!$A$1:$O$104,15,0)),0,VLOOKUP($S$489,'TAR FIN'!$A$1:$O$104,15,0))*(1-0.04)</f>
        <v>25.171199999999999</v>
      </c>
      <c r="W489" s="60">
        <f>IF(ISERROR(VLOOKUP($T$489,'TAR FIN'!$A$1:$O$104,15,0)),0,VLOOKUP($T$489,'TAR FIN'!$A$1:$O$104,15,0))</f>
        <v>0</v>
      </c>
      <c r="X489" s="60">
        <f>IF(ISERROR(VLOOKUP($U$489,'TAR FIN'!$A$1:$O$104,15,0)),0,VLOOKUP($U$489,'TAR FIN'!$A$1:$O$104,15,0))</f>
        <v>0</v>
      </c>
      <c r="Y489" s="60">
        <f ca="1">('TUSD BE'!$AM$24+'TUSD BF'!$AM$24+'TUSD CVA'!$AM$24)*1*(1-0.02)</f>
        <v>25.754560993400897</v>
      </c>
      <c r="Z489" s="60"/>
      <c r="AA489" s="60"/>
      <c r="AB489" s="60">
        <f>(SUBSIDIO!$J$489*SUBSIDIO!$V$489)*(0.04)/(1-0.04)</f>
        <v>68.172000000000011</v>
      </c>
      <c r="AC489" s="60">
        <f>((SUBSIDIO!$L$489*SUBSIDIO!$W$489)+(SUBSIDIO!$N$489*SUBSIDIO!$X$489))*(0.04)/(1-0.04)</f>
        <v>0</v>
      </c>
      <c r="AD489" s="60">
        <f ca="1">(SUBSIDIO!$J$489*SUBSIDIO!$Y$489)*(0.02)/(1-0.02)</f>
        <v>34.164213562674661</v>
      </c>
      <c r="AE489" s="60">
        <f>((SUBSIDIO!$L$489*SUBSIDIO!$Z$489)+(SUBSIDIO!$N$489*SUBSIDIO!$AA$489))*(0.02)/(1-0.02)</f>
        <v>0</v>
      </c>
      <c r="AF489" s="4" t="s">
        <v>998</v>
      </c>
    </row>
    <row r="490" spans="1:32" ht="11.25" customHeight="1" x14ac:dyDescent="0.25">
      <c r="A490" s="4" t="s">
        <v>28</v>
      </c>
      <c r="B490" s="4" t="s">
        <v>41</v>
      </c>
      <c r="C490" s="4" t="s">
        <v>42</v>
      </c>
      <c r="D490" s="4" t="s">
        <v>45</v>
      </c>
      <c r="E490" s="4" t="s">
        <v>53</v>
      </c>
      <c r="F490" s="4" t="s">
        <v>25</v>
      </c>
      <c r="G490" s="4" t="s">
        <v>25</v>
      </c>
      <c r="H490" s="4" t="s">
        <v>25</v>
      </c>
      <c r="I490" s="5">
        <v>44470</v>
      </c>
      <c r="J490" s="6">
        <v>126</v>
      </c>
      <c r="K490" s="60">
        <v>126</v>
      </c>
      <c r="L490" s="6">
        <v>0</v>
      </c>
      <c r="M490" s="60">
        <v>0</v>
      </c>
      <c r="N490" s="6">
        <v>0</v>
      </c>
      <c r="O490" s="60">
        <v>0</v>
      </c>
      <c r="P490" s="6">
        <v>1</v>
      </c>
      <c r="Q490" s="4" t="s">
        <v>26</v>
      </c>
      <c r="R490" s="4">
        <v>0</v>
      </c>
      <c r="S490" s="4">
        <v>40</v>
      </c>
      <c r="T490" s="4">
        <v>0</v>
      </c>
      <c r="U490" s="4">
        <v>0</v>
      </c>
      <c r="V490" s="60">
        <f>IF(ISERROR(VLOOKUP($S$490,'TAR FIN'!$A$1:$O$104,15,0)),0,VLOOKUP($S$490,'TAR FIN'!$A$1:$O$104,15,0))*(1-0.04)</f>
        <v>25.171199999999999</v>
      </c>
      <c r="W490" s="60">
        <f>IF(ISERROR(VLOOKUP($T$490,'TAR FIN'!$A$1:$O$104,15,0)),0,VLOOKUP($T$490,'TAR FIN'!$A$1:$O$104,15,0))</f>
        <v>0</v>
      </c>
      <c r="X490" s="60">
        <f>IF(ISERROR(VLOOKUP($U$490,'TAR FIN'!$A$1:$O$104,15,0)),0,VLOOKUP($U$490,'TAR FIN'!$A$1:$O$104,15,0))</f>
        <v>0</v>
      </c>
      <c r="Y490" s="60">
        <f ca="1">('TUSD BE'!$AM$24+'TUSD BF'!$AM$24+'TUSD CVA'!$AM$24)*1*(1-0.02)</f>
        <v>25.754560993400897</v>
      </c>
      <c r="Z490" s="60"/>
      <c r="AA490" s="60"/>
      <c r="AB490" s="60">
        <f>(SUBSIDIO!$J$490*SUBSIDIO!$V$490)*(0.04)/(1-0.04)</f>
        <v>132.14879999999999</v>
      </c>
      <c r="AC490" s="60">
        <f>((SUBSIDIO!$L$490*SUBSIDIO!$W$490)+(SUBSIDIO!$N$490*SUBSIDIO!$X$490))*(0.04)/(1-0.04)</f>
        <v>0</v>
      </c>
      <c r="AD490" s="60">
        <f ca="1">(SUBSIDIO!$J$490*SUBSIDIO!$Y$490)*(0.02)/(1-0.02)</f>
        <v>66.226013983030882</v>
      </c>
      <c r="AE490" s="60">
        <f>((SUBSIDIO!$L$490*SUBSIDIO!$Z$490)+(SUBSIDIO!$N$490*SUBSIDIO!$AA$490))*(0.02)/(1-0.02)</f>
        <v>0</v>
      </c>
      <c r="AF490" s="4" t="s">
        <v>998</v>
      </c>
    </row>
    <row r="491" spans="1:32" ht="11.25" customHeight="1" x14ac:dyDescent="0.25">
      <c r="A491" s="4" t="s">
        <v>21</v>
      </c>
      <c r="B491" s="4" t="s">
        <v>41</v>
      </c>
      <c r="C491" s="4" t="s">
        <v>42</v>
      </c>
      <c r="D491" s="4" t="s">
        <v>45</v>
      </c>
      <c r="E491" s="4" t="s">
        <v>53</v>
      </c>
      <c r="F491" s="4" t="s">
        <v>25</v>
      </c>
      <c r="G491" s="4" t="s">
        <v>25</v>
      </c>
      <c r="H491" s="4" t="s">
        <v>25</v>
      </c>
      <c r="I491" s="5">
        <v>44501</v>
      </c>
      <c r="J491" s="6">
        <v>16067</v>
      </c>
      <c r="K491" s="60">
        <v>16067</v>
      </c>
      <c r="L491" s="6">
        <v>0</v>
      </c>
      <c r="M491" s="60">
        <v>0</v>
      </c>
      <c r="N491" s="6">
        <v>0</v>
      </c>
      <c r="O491" s="60">
        <v>0</v>
      </c>
      <c r="P491" s="6">
        <v>109</v>
      </c>
      <c r="Q491" s="4" t="s">
        <v>26</v>
      </c>
      <c r="R491" s="4">
        <v>0</v>
      </c>
      <c r="S491" s="4">
        <v>40</v>
      </c>
      <c r="T491" s="4">
        <v>0</v>
      </c>
      <c r="U491" s="4">
        <v>0</v>
      </c>
      <c r="V491" s="60">
        <f>IF(ISERROR(VLOOKUP($S$491,'TAR FIN'!$A$1:$O$104,15,0)),0,VLOOKUP($S$491,'TAR FIN'!$A$1:$O$104,15,0))*(1-0.04)</f>
        <v>25.171199999999999</v>
      </c>
      <c r="W491" s="60">
        <f>IF(ISERROR(VLOOKUP($T$491,'TAR FIN'!$A$1:$O$104,15,0)),0,VLOOKUP($T$491,'TAR FIN'!$A$1:$O$104,15,0))</f>
        <v>0</v>
      </c>
      <c r="X491" s="60">
        <f>IF(ISERROR(VLOOKUP($U$491,'TAR FIN'!$A$1:$O$104,15,0)),0,VLOOKUP($U$491,'TAR FIN'!$A$1:$O$104,15,0))</f>
        <v>0</v>
      </c>
      <c r="Y491" s="60">
        <f ca="1">('TUSD BE'!$AM$24+'TUSD BF'!$AM$24+'TUSD CVA'!$AM$24)*1*(1-0.02)</f>
        <v>25.754560993400897</v>
      </c>
      <c r="Z491" s="60"/>
      <c r="AA491" s="60"/>
      <c r="AB491" s="60">
        <f>(SUBSIDIO!$J$491*SUBSIDIO!$V$491)*(0.04)/(1-0.04)</f>
        <v>16851.069599999999</v>
      </c>
      <c r="AC491" s="60">
        <f>((SUBSIDIO!$L$491*SUBSIDIO!$W$491)+(SUBSIDIO!$N$491*SUBSIDIO!$X$491))*(0.04)/(1-0.04)</f>
        <v>0</v>
      </c>
      <c r="AD491" s="60">
        <f ca="1">(SUBSIDIO!$J$491*SUBSIDIO!$Y$491)*(0.02)/(1-0.02)</f>
        <v>8444.8679894075958</v>
      </c>
      <c r="AE491" s="60">
        <f>((SUBSIDIO!$L$491*SUBSIDIO!$Z$491)+(SUBSIDIO!$N$491*SUBSIDIO!$AA$491))*(0.02)/(1-0.02)</f>
        <v>0</v>
      </c>
      <c r="AF491" s="4" t="s">
        <v>998</v>
      </c>
    </row>
    <row r="492" spans="1:32" ht="11.25" customHeight="1" x14ac:dyDescent="0.25">
      <c r="A492" s="4" t="s">
        <v>27</v>
      </c>
      <c r="B492" s="4" t="s">
        <v>41</v>
      </c>
      <c r="C492" s="4" t="s">
        <v>42</v>
      </c>
      <c r="D492" s="4" t="s">
        <v>45</v>
      </c>
      <c r="E492" s="4" t="s">
        <v>53</v>
      </c>
      <c r="F492" s="4" t="s">
        <v>25</v>
      </c>
      <c r="G492" s="4" t="s">
        <v>25</v>
      </c>
      <c r="H492" s="4" t="s">
        <v>25</v>
      </c>
      <c r="I492" s="5">
        <v>44501</v>
      </c>
      <c r="J492" s="6">
        <v>-46</v>
      </c>
      <c r="K492" s="60">
        <v>-46</v>
      </c>
      <c r="L492" s="6">
        <v>0</v>
      </c>
      <c r="M492" s="60">
        <v>0</v>
      </c>
      <c r="N492" s="6">
        <v>0</v>
      </c>
      <c r="O492" s="60">
        <v>0</v>
      </c>
      <c r="P492" s="6">
        <v>-1</v>
      </c>
      <c r="Q492" s="4" t="s">
        <v>26</v>
      </c>
      <c r="R492" s="4">
        <v>0</v>
      </c>
      <c r="S492" s="4">
        <v>40</v>
      </c>
      <c r="T492" s="4">
        <v>0</v>
      </c>
      <c r="U492" s="4">
        <v>0</v>
      </c>
      <c r="V492" s="60">
        <f>IF(ISERROR(VLOOKUP($S$492,'TAR FIN'!$A$1:$O$104,15,0)),0,VLOOKUP($S$492,'TAR FIN'!$A$1:$O$104,15,0))*(1-0.04)</f>
        <v>25.171199999999999</v>
      </c>
      <c r="W492" s="60">
        <f>IF(ISERROR(VLOOKUP($T$492,'TAR FIN'!$A$1:$O$104,15,0)),0,VLOOKUP($T$492,'TAR FIN'!$A$1:$O$104,15,0))</f>
        <v>0</v>
      </c>
      <c r="X492" s="60">
        <f>IF(ISERROR(VLOOKUP($U$492,'TAR FIN'!$A$1:$O$104,15,0)),0,VLOOKUP($U$492,'TAR FIN'!$A$1:$O$104,15,0))</f>
        <v>0</v>
      </c>
      <c r="Y492" s="60">
        <f ca="1">('TUSD BE'!$AM$24+'TUSD BF'!$AM$24+'TUSD CVA'!$AM$24)*1*(1-0.02)</f>
        <v>25.754560993400897</v>
      </c>
      <c r="Z492" s="60"/>
      <c r="AA492" s="60"/>
      <c r="AB492" s="60">
        <f>(SUBSIDIO!$J$492*SUBSIDIO!$V$492)*(0.04)/(1-0.04)</f>
        <v>-48.244799999999998</v>
      </c>
      <c r="AC492" s="60">
        <f>((SUBSIDIO!$L$492*SUBSIDIO!$W$492)+(SUBSIDIO!$N$492*SUBSIDIO!$X$492))*(0.04)/(1-0.04)</f>
        <v>0</v>
      </c>
      <c r="AD492" s="60">
        <f ca="1">(SUBSIDIO!$J$492*SUBSIDIO!$Y$492)*(0.02)/(1-0.02)</f>
        <v>-24.177751136662067</v>
      </c>
      <c r="AE492" s="60">
        <f>((SUBSIDIO!$L$492*SUBSIDIO!$Z$492)+(SUBSIDIO!$N$492*SUBSIDIO!$AA$492))*(0.02)/(1-0.02)</f>
        <v>0</v>
      </c>
      <c r="AF492" s="4" t="s">
        <v>998</v>
      </c>
    </row>
    <row r="493" spans="1:32" ht="11.25" customHeight="1" x14ac:dyDescent="0.25">
      <c r="A493" s="4" t="s">
        <v>28</v>
      </c>
      <c r="B493" s="4" t="s">
        <v>41</v>
      </c>
      <c r="C493" s="4" t="s">
        <v>42</v>
      </c>
      <c r="D493" s="4" t="s">
        <v>45</v>
      </c>
      <c r="E493" s="4" t="s">
        <v>53</v>
      </c>
      <c r="F493" s="4" t="s">
        <v>25</v>
      </c>
      <c r="G493" s="4" t="s">
        <v>25</v>
      </c>
      <c r="H493" s="4" t="s">
        <v>25</v>
      </c>
      <c r="I493" s="5">
        <v>44501</v>
      </c>
      <c r="J493" s="6">
        <v>216</v>
      </c>
      <c r="K493" s="60">
        <v>216</v>
      </c>
      <c r="L493" s="6">
        <v>0</v>
      </c>
      <c r="M493" s="60">
        <v>0</v>
      </c>
      <c r="N493" s="6">
        <v>0</v>
      </c>
      <c r="O493" s="60">
        <v>0</v>
      </c>
      <c r="P493" s="6">
        <v>2</v>
      </c>
      <c r="Q493" s="4" t="s">
        <v>26</v>
      </c>
      <c r="R493" s="4">
        <v>0</v>
      </c>
      <c r="S493" s="4">
        <v>40</v>
      </c>
      <c r="T493" s="4">
        <v>0</v>
      </c>
      <c r="U493" s="4">
        <v>0</v>
      </c>
      <c r="V493" s="60">
        <f>IF(ISERROR(VLOOKUP($S$493,'TAR FIN'!$A$1:$O$104,15,0)),0,VLOOKUP($S$493,'TAR FIN'!$A$1:$O$104,15,0))*(1-0.04)</f>
        <v>25.171199999999999</v>
      </c>
      <c r="W493" s="60">
        <f>IF(ISERROR(VLOOKUP($T$493,'TAR FIN'!$A$1:$O$104,15,0)),0,VLOOKUP($T$493,'TAR FIN'!$A$1:$O$104,15,0))</f>
        <v>0</v>
      </c>
      <c r="X493" s="60">
        <f>IF(ISERROR(VLOOKUP($U$493,'TAR FIN'!$A$1:$O$104,15,0)),0,VLOOKUP($U$493,'TAR FIN'!$A$1:$O$104,15,0))</f>
        <v>0</v>
      </c>
      <c r="Y493" s="60">
        <f ca="1">('TUSD BE'!$AM$24+'TUSD BF'!$AM$24+'TUSD CVA'!$AM$24)*1*(1-0.02)</f>
        <v>25.754560993400897</v>
      </c>
      <c r="Z493" s="60"/>
      <c r="AA493" s="60"/>
      <c r="AB493" s="60">
        <f>(SUBSIDIO!$J$493*SUBSIDIO!$V$493)*(0.04)/(1-0.04)</f>
        <v>226.54079999999999</v>
      </c>
      <c r="AC493" s="60">
        <f>((SUBSIDIO!$L$493*SUBSIDIO!$W$493)+(SUBSIDIO!$N$493*SUBSIDIO!$X$493))*(0.04)/(1-0.04)</f>
        <v>0</v>
      </c>
      <c r="AD493" s="60">
        <f ca="1">(SUBSIDIO!$J$493*SUBSIDIO!$Y$493)*(0.02)/(1-0.02)</f>
        <v>113.53030968519579</v>
      </c>
      <c r="AE493" s="60">
        <f>((SUBSIDIO!$L$493*SUBSIDIO!$Z$493)+(SUBSIDIO!$N$493*SUBSIDIO!$AA$493))*(0.02)/(1-0.02)</f>
        <v>0</v>
      </c>
      <c r="AF493" s="4" t="s">
        <v>998</v>
      </c>
    </row>
    <row r="494" spans="1:32" ht="11.25" customHeight="1" x14ac:dyDescent="0.25">
      <c r="A494" s="4" t="s">
        <v>28</v>
      </c>
      <c r="B494" s="4" t="s">
        <v>41</v>
      </c>
      <c r="C494" s="4" t="s">
        <v>42</v>
      </c>
      <c r="D494" s="4" t="s">
        <v>45</v>
      </c>
      <c r="E494" s="4" t="s">
        <v>53</v>
      </c>
      <c r="F494" s="4" t="s">
        <v>25</v>
      </c>
      <c r="G494" s="4" t="s">
        <v>25</v>
      </c>
      <c r="H494" s="4" t="s">
        <v>25</v>
      </c>
      <c r="I494" s="5">
        <v>44501</v>
      </c>
      <c r="J494" s="6">
        <v>241</v>
      </c>
      <c r="K494" s="60">
        <v>241</v>
      </c>
      <c r="L494" s="6">
        <v>0</v>
      </c>
      <c r="M494" s="60">
        <v>0</v>
      </c>
      <c r="N494" s="6">
        <v>0</v>
      </c>
      <c r="O494" s="60">
        <v>0</v>
      </c>
      <c r="P494" s="6">
        <v>1</v>
      </c>
      <c r="Q494" s="4" t="s">
        <v>26</v>
      </c>
      <c r="R494" s="4">
        <v>0</v>
      </c>
      <c r="S494" s="4">
        <v>40</v>
      </c>
      <c r="T494" s="4">
        <v>0</v>
      </c>
      <c r="U494" s="4">
        <v>0</v>
      </c>
      <c r="V494" s="60">
        <f>IF(ISERROR(VLOOKUP($S$494,'TAR FIN'!$A$1:$O$104,15,0)),0,VLOOKUP($S$494,'TAR FIN'!$A$1:$O$104,15,0))*(1-0.04)</f>
        <v>25.171199999999999</v>
      </c>
      <c r="W494" s="60">
        <f>IF(ISERROR(VLOOKUP($T$494,'TAR FIN'!$A$1:$O$104,15,0)),0,VLOOKUP($T$494,'TAR FIN'!$A$1:$O$104,15,0))</f>
        <v>0</v>
      </c>
      <c r="X494" s="60">
        <f>IF(ISERROR(VLOOKUP($U$494,'TAR FIN'!$A$1:$O$104,15,0)),0,VLOOKUP($U$494,'TAR FIN'!$A$1:$O$104,15,0))</f>
        <v>0</v>
      </c>
      <c r="Y494" s="60">
        <f ca="1">('TUSD BE'!$AM$24+'TUSD BF'!$AM$24+'TUSD CVA'!$AM$24)*1*(1-0.02)</f>
        <v>25.754560993400897</v>
      </c>
      <c r="Z494" s="60"/>
      <c r="AA494" s="60"/>
      <c r="AB494" s="60">
        <f>(SUBSIDIO!$J$494*SUBSIDIO!$V$494)*(0.04)/(1-0.04)</f>
        <v>252.76079999999999</v>
      </c>
      <c r="AC494" s="60">
        <f>((SUBSIDIO!$L$494*SUBSIDIO!$W$494)+(SUBSIDIO!$N$494*SUBSIDIO!$X$494))*(0.04)/(1-0.04)</f>
        <v>0</v>
      </c>
      <c r="AD494" s="60">
        <f ca="1">(SUBSIDIO!$J$494*SUBSIDIO!$Y$494)*(0.02)/(1-0.02)</f>
        <v>126.67039182468606</v>
      </c>
      <c r="AE494" s="60">
        <f>((SUBSIDIO!$L$494*SUBSIDIO!$Z$494)+(SUBSIDIO!$N$494*SUBSIDIO!$AA$494))*(0.02)/(1-0.02)</f>
        <v>0</v>
      </c>
      <c r="AF494" s="4" t="s">
        <v>998</v>
      </c>
    </row>
    <row r="495" spans="1:32" ht="11.25" customHeight="1" x14ac:dyDescent="0.25">
      <c r="A495" s="4" t="s">
        <v>21</v>
      </c>
      <c r="B495" s="4" t="s">
        <v>41</v>
      </c>
      <c r="C495" s="4" t="s">
        <v>42</v>
      </c>
      <c r="D495" s="4" t="s">
        <v>45</v>
      </c>
      <c r="E495" s="4" t="s">
        <v>53</v>
      </c>
      <c r="F495" s="4" t="s">
        <v>25</v>
      </c>
      <c r="G495" s="4" t="s">
        <v>25</v>
      </c>
      <c r="H495" s="4" t="s">
        <v>25</v>
      </c>
      <c r="I495" s="5">
        <v>44531</v>
      </c>
      <c r="J495" s="6">
        <v>18098</v>
      </c>
      <c r="K495" s="60">
        <v>18098</v>
      </c>
      <c r="L495" s="6">
        <v>0</v>
      </c>
      <c r="M495" s="60">
        <v>0</v>
      </c>
      <c r="N495" s="6">
        <v>0</v>
      </c>
      <c r="O495" s="60">
        <v>0</v>
      </c>
      <c r="P495" s="6">
        <v>109</v>
      </c>
      <c r="Q495" s="4" t="s">
        <v>26</v>
      </c>
      <c r="R495" s="4">
        <v>0</v>
      </c>
      <c r="S495" s="4">
        <v>40</v>
      </c>
      <c r="T495" s="4">
        <v>0</v>
      </c>
      <c r="U495" s="4">
        <v>0</v>
      </c>
      <c r="V495" s="60">
        <f>IF(ISERROR(VLOOKUP($S$495,'TAR FIN'!$A$1:$O$104,15,0)),0,VLOOKUP($S$495,'TAR FIN'!$A$1:$O$104,15,0))*(1-0.04)</f>
        <v>25.171199999999999</v>
      </c>
      <c r="W495" s="60">
        <f>IF(ISERROR(VLOOKUP($T$495,'TAR FIN'!$A$1:$O$104,15,0)),0,VLOOKUP($T$495,'TAR FIN'!$A$1:$O$104,15,0))</f>
        <v>0</v>
      </c>
      <c r="X495" s="60">
        <f>IF(ISERROR(VLOOKUP($U$495,'TAR FIN'!$A$1:$O$104,15,0)),0,VLOOKUP($U$495,'TAR FIN'!$A$1:$O$104,15,0))</f>
        <v>0</v>
      </c>
      <c r="Y495" s="60">
        <f ca="1">('TUSD BE'!$AM$24+'TUSD BF'!$AM$24+'TUSD CVA'!$AM$24)*1*(1-0.02)</f>
        <v>25.754560993400897</v>
      </c>
      <c r="Z495" s="60"/>
      <c r="AA495" s="60"/>
      <c r="AB495" s="60">
        <f>(SUBSIDIO!$J$495*SUBSIDIO!$V$495)*(0.04)/(1-0.04)</f>
        <v>18981.182400000002</v>
      </c>
      <c r="AC495" s="60">
        <f>((SUBSIDIO!$L$495*SUBSIDIO!$W$495)+(SUBSIDIO!$N$495*SUBSIDIO!$X$495))*(0.04)/(1-0.04)</f>
        <v>0</v>
      </c>
      <c r="AD495" s="60">
        <f ca="1">(SUBSIDIO!$J$495*SUBSIDIO!$Y$495)*(0.02)/(1-0.02)</f>
        <v>9512.3682624197845</v>
      </c>
      <c r="AE495" s="60">
        <f>((SUBSIDIO!$L$495*SUBSIDIO!$Z$495)+(SUBSIDIO!$N$495*SUBSIDIO!$AA$495))*(0.02)/(1-0.02)</f>
        <v>0</v>
      </c>
      <c r="AF495" s="4" t="s">
        <v>998</v>
      </c>
    </row>
    <row r="496" spans="1:32" ht="11.25" customHeight="1" x14ac:dyDescent="0.25">
      <c r="A496" s="4" t="s">
        <v>27</v>
      </c>
      <c r="B496" s="4" t="s">
        <v>41</v>
      </c>
      <c r="C496" s="4" t="s">
        <v>42</v>
      </c>
      <c r="D496" s="4" t="s">
        <v>45</v>
      </c>
      <c r="E496" s="4" t="s">
        <v>53</v>
      </c>
      <c r="F496" s="4" t="s">
        <v>25</v>
      </c>
      <c r="G496" s="4" t="s">
        <v>25</v>
      </c>
      <c r="H496" s="4" t="s">
        <v>25</v>
      </c>
      <c r="I496" s="5">
        <v>44531</v>
      </c>
      <c r="J496" s="6">
        <v>-7</v>
      </c>
      <c r="K496" s="60">
        <v>-7</v>
      </c>
      <c r="L496" s="6">
        <v>0</v>
      </c>
      <c r="M496" s="60">
        <v>0</v>
      </c>
      <c r="N496" s="6">
        <v>0</v>
      </c>
      <c r="O496" s="60">
        <v>0</v>
      </c>
      <c r="P496" s="6">
        <v>1</v>
      </c>
      <c r="Q496" s="4" t="s">
        <v>26</v>
      </c>
      <c r="R496" s="4">
        <v>0</v>
      </c>
      <c r="S496" s="4">
        <v>40</v>
      </c>
      <c r="T496" s="4">
        <v>0</v>
      </c>
      <c r="U496" s="4">
        <v>0</v>
      </c>
      <c r="V496" s="60">
        <f>IF(ISERROR(VLOOKUP($S$496,'TAR FIN'!$A$1:$O$104,15,0)),0,VLOOKUP($S$496,'TAR FIN'!$A$1:$O$104,15,0))*(1-0.04)</f>
        <v>25.171199999999999</v>
      </c>
      <c r="W496" s="60">
        <f>IF(ISERROR(VLOOKUP($T$496,'TAR FIN'!$A$1:$O$104,15,0)),0,VLOOKUP($T$496,'TAR FIN'!$A$1:$O$104,15,0))</f>
        <v>0</v>
      </c>
      <c r="X496" s="60">
        <f>IF(ISERROR(VLOOKUP($U$496,'TAR FIN'!$A$1:$O$104,15,0)),0,VLOOKUP($U$496,'TAR FIN'!$A$1:$O$104,15,0))</f>
        <v>0</v>
      </c>
      <c r="Y496" s="60">
        <f ca="1">('TUSD BE'!$AM$24+'TUSD BF'!$AM$24+'TUSD CVA'!$AM$24)*1*(1-0.02)</f>
        <v>25.754560993400897</v>
      </c>
      <c r="Z496" s="60"/>
      <c r="AA496" s="60"/>
      <c r="AB496" s="60">
        <f>(SUBSIDIO!$J$496*SUBSIDIO!$V$496)*(0.04)/(1-0.04)</f>
        <v>-7.3416000000000006</v>
      </c>
      <c r="AC496" s="60">
        <f>((SUBSIDIO!$L$496*SUBSIDIO!$W$496)+(SUBSIDIO!$N$496*SUBSIDIO!$X$496))*(0.04)/(1-0.04)</f>
        <v>0</v>
      </c>
      <c r="AD496" s="60">
        <f ca="1">(SUBSIDIO!$J$496*SUBSIDIO!$Y$496)*(0.02)/(1-0.02)</f>
        <v>-3.6792229990572709</v>
      </c>
      <c r="AE496" s="60">
        <f>((SUBSIDIO!$L$496*SUBSIDIO!$Z$496)+(SUBSIDIO!$N$496*SUBSIDIO!$AA$496))*(0.02)/(1-0.02)</f>
        <v>0</v>
      </c>
      <c r="AF496" s="4" t="s">
        <v>998</v>
      </c>
    </row>
    <row r="497" spans="1:32" ht="11.25" customHeight="1" x14ac:dyDescent="0.25">
      <c r="A497" s="4" t="s">
        <v>28</v>
      </c>
      <c r="B497" s="4" t="s">
        <v>41</v>
      </c>
      <c r="C497" s="4" t="s">
        <v>42</v>
      </c>
      <c r="D497" s="4" t="s">
        <v>45</v>
      </c>
      <c r="E497" s="4" t="s">
        <v>53</v>
      </c>
      <c r="F497" s="4" t="s">
        <v>25</v>
      </c>
      <c r="G497" s="4" t="s">
        <v>25</v>
      </c>
      <c r="H497" s="4" t="s">
        <v>25</v>
      </c>
      <c r="I497" s="5">
        <v>44531</v>
      </c>
      <c r="J497" s="6">
        <v>153</v>
      </c>
      <c r="K497" s="60">
        <v>153</v>
      </c>
      <c r="L497" s="6">
        <v>0</v>
      </c>
      <c r="M497" s="60">
        <v>0</v>
      </c>
      <c r="N497" s="6">
        <v>0</v>
      </c>
      <c r="O497" s="60">
        <v>0</v>
      </c>
      <c r="P497" s="6">
        <v>2</v>
      </c>
      <c r="Q497" s="4" t="s">
        <v>26</v>
      </c>
      <c r="R497" s="4">
        <v>0</v>
      </c>
      <c r="S497" s="4">
        <v>40</v>
      </c>
      <c r="T497" s="4">
        <v>0</v>
      </c>
      <c r="U497" s="4">
        <v>0</v>
      </c>
      <c r="V497" s="60">
        <f>IF(ISERROR(VLOOKUP($S$497,'TAR FIN'!$A$1:$O$104,15,0)),0,VLOOKUP($S$497,'TAR FIN'!$A$1:$O$104,15,0))*(1-0.04)</f>
        <v>25.171199999999999</v>
      </c>
      <c r="W497" s="60">
        <f>IF(ISERROR(VLOOKUP($T$497,'TAR FIN'!$A$1:$O$104,15,0)),0,VLOOKUP($T$497,'TAR FIN'!$A$1:$O$104,15,0))</f>
        <v>0</v>
      </c>
      <c r="X497" s="60">
        <f>IF(ISERROR(VLOOKUP($U$497,'TAR FIN'!$A$1:$O$104,15,0)),0,VLOOKUP($U$497,'TAR FIN'!$A$1:$O$104,15,0))</f>
        <v>0</v>
      </c>
      <c r="Y497" s="60">
        <f ca="1">('TUSD BE'!$AM$24+'TUSD BF'!$AM$24+'TUSD CVA'!$AM$24)*1*(1-0.02)</f>
        <v>25.754560993400897</v>
      </c>
      <c r="Z497" s="60"/>
      <c r="AA497" s="60"/>
      <c r="AB497" s="60">
        <f>(SUBSIDIO!$J$497*SUBSIDIO!$V$497)*(0.04)/(1-0.04)</f>
        <v>160.46639999999999</v>
      </c>
      <c r="AC497" s="60">
        <f>((SUBSIDIO!$L$497*SUBSIDIO!$W$497)+(SUBSIDIO!$N$497*SUBSIDIO!$X$497))*(0.04)/(1-0.04)</f>
        <v>0</v>
      </c>
      <c r="AD497" s="60">
        <f ca="1">(SUBSIDIO!$J$497*SUBSIDIO!$Y$497)*(0.02)/(1-0.02)</f>
        <v>80.417302693680355</v>
      </c>
      <c r="AE497" s="60">
        <f>((SUBSIDIO!$L$497*SUBSIDIO!$Z$497)+(SUBSIDIO!$N$497*SUBSIDIO!$AA$497))*(0.02)/(1-0.02)</f>
        <v>0</v>
      </c>
      <c r="AF497" s="4" t="s">
        <v>998</v>
      </c>
    </row>
    <row r="498" spans="1:32" ht="11.25" customHeight="1" x14ac:dyDescent="0.25">
      <c r="A498" s="4" t="s">
        <v>21</v>
      </c>
      <c r="B498" s="4" t="s">
        <v>41</v>
      </c>
      <c r="C498" s="4" t="s">
        <v>42</v>
      </c>
      <c r="D498" s="4" t="s">
        <v>45</v>
      </c>
      <c r="E498" s="4" t="s">
        <v>53</v>
      </c>
      <c r="F498" s="4" t="s">
        <v>25</v>
      </c>
      <c r="G498" s="4" t="s">
        <v>25</v>
      </c>
      <c r="H498" s="4" t="s">
        <v>25</v>
      </c>
      <c r="I498" s="5">
        <v>44562</v>
      </c>
      <c r="J498" s="6">
        <v>18151</v>
      </c>
      <c r="K498" s="60">
        <v>18151</v>
      </c>
      <c r="L498" s="6">
        <v>0</v>
      </c>
      <c r="M498" s="60">
        <v>0</v>
      </c>
      <c r="N498" s="6">
        <v>0</v>
      </c>
      <c r="O498" s="60">
        <v>0</v>
      </c>
      <c r="P498" s="6">
        <v>109</v>
      </c>
      <c r="Q498" s="4" t="s">
        <v>26</v>
      </c>
      <c r="R498" s="4">
        <v>0</v>
      </c>
      <c r="S498" s="4">
        <v>40</v>
      </c>
      <c r="T498" s="4">
        <v>0</v>
      </c>
      <c r="U498" s="4">
        <v>0</v>
      </c>
      <c r="V498" s="60">
        <f>IF(ISERROR(VLOOKUP($S$498,'TAR FIN'!$A$1:$O$104,15,0)),0,VLOOKUP($S$498,'TAR FIN'!$A$1:$O$104,15,0))*(1-0.04)</f>
        <v>25.171199999999999</v>
      </c>
      <c r="W498" s="60">
        <f>IF(ISERROR(VLOOKUP($T$498,'TAR FIN'!$A$1:$O$104,15,0)),0,VLOOKUP($T$498,'TAR FIN'!$A$1:$O$104,15,0))</f>
        <v>0</v>
      </c>
      <c r="X498" s="60">
        <f>IF(ISERROR(VLOOKUP($U$498,'TAR FIN'!$A$1:$O$104,15,0)),0,VLOOKUP($U$498,'TAR FIN'!$A$1:$O$104,15,0))</f>
        <v>0</v>
      </c>
      <c r="Y498" s="60">
        <f ca="1">('TUSD BE'!$AM$24+'TUSD BF'!$AM$24+'TUSD CVA'!$AM$24)*1*(1-0.02)</f>
        <v>25.754560993400897</v>
      </c>
      <c r="Z498" s="60"/>
      <c r="AA498" s="60"/>
      <c r="AB498" s="60">
        <f>(SUBSIDIO!$J$498*SUBSIDIO!$V$498)*(0.04)/(1-0.04)</f>
        <v>19036.768799999998</v>
      </c>
      <c r="AC498" s="60">
        <f>((SUBSIDIO!$L$498*SUBSIDIO!$W$498)+(SUBSIDIO!$N$498*SUBSIDIO!$X$498))*(0.04)/(1-0.04)</f>
        <v>0</v>
      </c>
      <c r="AD498" s="60">
        <f ca="1">(SUBSIDIO!$J$498*SUBSIDIO!$Y$498)*(0.02)/(1-0.02)</f>
        <v>9540.2252365555032</v>
      </c>
      <c r="AE498" s="60">
        <f>((SUBSIDIO!$L$498*SUBSIDIO!$Z$498)+(SUBSIDIO!$N$498*SUBSIDIO!$AA$498))*(0.02)/(1-0.02)</f>
        <v>0</v>
      </c>
      <c r="AF498" s="4" t="s">
        <v>998</v>
      </c>
    </row>
    <row r="499" spans="1:32" ht="11.25" customHeight="1" x14ac:dyDescent="0.25">
      <c r="A499" s="4" t="s">
        <v>27</v>
      </c>
      <c r="B499" s="4" t="s">
        <v>41</v>
      </c>
      <c r="C499" s="4" t="s">
        <v>42</v>
      </c>
      <c r="D499" s="4" t="s">
        <v>45</v>
      </c>
      <c r="E499" s="4" t="s">
        <v>53</v>
      </c>
      <c r="F499" s="4" t="s">
        <v>25</v>
      </c>
      <c r="G499" s="4" t="s">
        <v>25</v>
      </c>
      <c r="H499" s="4" t="s">
        <v>25</v>
      </c>
      <c r="I499" s="5">
        <v>44562</v>
      </c>
      <c r="J499" s="6">
        <v>-172</v>
      </c>
      <c r="K499" s="60">
        <v>-172</v>
      </c>
      <c r="L499" s="6">
        <v>0</v>
      </c>
      <c r="M499" s="60">
        <v>0</v>
      </c>
      <c r="N499" s="6">
        <v>0</v>
      </c>
      <c r="O499" s="60">
        <v>0</v>
      </c>
      <c r="P499" s="6">
        <v>0</v>
      </c>
      <c r="Q499" s="4" t="s">
        <v>26</v>
      </c>
      <c r="R499" s="4">
        <v>0</v>
      </c>
      <c r="S499" s="4">
        <v>40</v>
      </c>
      <c r="T499" s="4">
        <v>0</v>
      </c>
      <c r="U499" s="4">
        <v>0</v>
      </c>
      <c r="V499" s="60">
        <f>IF(ISERROR(VLOOKUP($S$499,'TAR FIN'!$A$1:$O$104,15,0)),0,VLOOKUP($S$499,'TAR FIN'!$A$1:$O$104,15,0))*(1-0.04)</f>
        <v>25.171199999999999</v>
      </c>
      <c r="W499" s="60">
        <f>IF(ISERROR(VLOOKUP($T$499,'TAR FIN'!$A$1:$O$104,15,0)),0,VLOOKUP($T$499,'TAR FIN'!$A$1:$O$104,15,0))</f>
        <v>0</v>
      </c>
      <c r="X499" s="60">
        <f>IF(ISERROR(VLOOKUP($U$499,'TAR FIN'!$A$1:$O$104,15,0)),0,VLOOKUP($U$499,'TAR FIN'!$A$1:$O$104,15,0))</f>
        <v>0</v>
      </c>
      <c r="Y499" s="60">
        <f ca="1">('TUSD BE'!$AM$24+'TUSD BF'!$AM$24+'TUSD CVA'!$AM$24)*1*(1-0.02)</f>
        <v>25.754560993400897</v>
      </c>
      <c r="Z499" s="60"/>
      <c r="AA499" s="60"/>
      <c r="AB499" s="60">
        <f>(SUBSIDIO!$J$499*SUBSIDIO!$V$499)*(0.04)/(1-0.04)</f>
        <v>-180.39359999999999</v>
      </c>
      <c r="AC499" s="60">
        <f>((SUBSIDIO!$L$499*SUBSIDIO!$W$499)+(SUBSIDIO!$N$499*SUBSIDIO!$X$499))*(0.04)/(1-0.04)</f>
        <v>0</v>
      </c>
      <c r="AD499" s="60">
        <f ca="1">(SUBSIDIO!$J$499*SUBSIDIO!$Y$499)*(0.02)/(1-0.02)</f>
        <v>-90.403765119692949</v>
      </c>
      <c r="AE499" s="60">
        <f>((SUBSIDIO!$L$499*SUBSIDIO!$Z$499)+(SUBSIDIO!$N$499*SUBSIDIO!$AA$499))*(0.02)/(1-0.02)</f>
        <v>0</v>
      </c>
      <c r="AF499" s="4" t="s">
        <v>998</v>
      </c>
    </row>
    <row r="500" spans="1:32" ht="11.25" customHeight="1" x14ac:dyDescent="0.25">
      <c r="A500" s="4" t="s">
        <v>28</v>
      </c>
      <c r="B500" s="4" t="s">
        <v>41</v>
      </c>
      <c r="C500" s="4" t="s">
        <v>42</v>
      </c>
      <c r="D500" s="4" t="s">
        <v>45</v>
      </c>
      <c r="E500" s="4" t="s">
        <v>53</v>
      </c>
      <c r="F500" s="4" t="s">
        <v>25</v>
      </c>
      <c r="G500" s="4" t="s">
        <v>25</v>
      </c>
      <c r="H500" s="4" t="s">
        <v>25</v>
      </c>
      <c r="I500" s="5">
        <v>44562</v>
      </c>
      <c r="J500" s="6">
        <v>129</v>
      </c>
      <c r="K500" s="60">
        <v>129</v>
      </c>
      <c r="L500" s="6">
        <v>0</v>
      </c>
      <c r="M500" s="60">
        <v>0</v>
      </c>
      <c r="N500" s="6">
        <v>0</v>
      </c>
      <c r="O500" s="60">
        <v>0</v>
      </c>
      <c r="P500" s="6">
        <v>2</v>
      </c>
      <c r="Q500" s="4" t="s">
        <v>26</v>
      </c>
      <c r="R500" s="4">
        <v>0</v>
      </c>
      <c r="S500" s="4">
        <v>40</v>
      </c>
      <c r="T500" s="4">
        <v>0</v>
      </c>
      <c r="U500" s="4">
        <v>0</v>
      </c>
      <c r="V500" s="60">
        <f>IF(ISERROR(VLOOKUP($S$500,'TAR FIN'!$A$1:$O$104,15,0)),0,VLOOKUP($S$500,'TAR FIN'!$A$1:$O$104,15,0))*(1-0.04)</f>
        <v>25.171199999999999</v>
      </c>
      <c r="W500" s="60">
        <f>IF(ISERROR(VLOOKUP($T$500,'TAR FIN'!$A$1:$O$104,15,0)),0,VLOOKUP($T$500,'TAR FIN'!$A$1:$O$104,15,0))</f>
        <v>0</v>
      </c>
      <c r="X500" s="60">
        <f>IF(ISERROR(VLOOKUP($U$500,'TAR FIN'!$A$1:$O$104,15,0)),0,VLOOKUP($U$500,'TAR FIN'!$A$1:$O$104,15,0))</f>
        <v>0</v>
      </c>
      <c r="Y500" s="60">
        <f ca="1">('TUSD BE'!$AM$24+'TUSD BF'!$AM$24+'TUSD CVA'!$AM$24)*1*(1-0.02)</f>
        <v>25.754560993400897</v>
      </c>
      <c r="Z500" s="60"/>
      <c r="AA500" s="60"/>
      <c r="AB500" s="60">
        <f>(SUBSIDIO!$J$500*SUBSIDIO!$V$500)*(0.04)/(1-0.04)</f>
        <v>135.29519999999999</v>
      </c>
      <c r="AC500" s="60">
        <f>((SUBSIDIO!$L$500*SUBSIDIO!$W$500)+(SUBSIDIO!$N$500*SUBSIDIO!$X$500))*(0.04)/(1-0.04)</f>
        <v>0</v>
      </c>
      <c r="AD500" s="60">
        <f ca="1">(SUBSIDIO!$J$500*SUBSIDIO!$Y$500)*(0.02)/(1-0.02)</f>
        <v>67.802823839769715</v>
      </c>
      <c r="AE500" s="60">
        <f>((SUBSIDIO!$L$500*SUBSIDIO!$Z$500)+(SUBSIDIO!$N$500*SUBSIDIO!$AA$500))*(0.02)/(1-0.02)</f>
        <v>0</v>
      </c>
      <c r="AF500" s="4" t="s">
        <v>998</v>
      </c>
    </row>
    <row r="501" spans="1:32" ht="11.25" customHeight="1" x14ac:dyDescent="0.25">
      <c r="A501" s="4" t="s">
        <v>21</v>
      </c>
      <c r="B501" s="4" t="s">
        <v>41</v>
      </c>
      <c r="C501" s="4" t="s">
        <v>42</v>
      </c>
      <c r="D501" s="4" t="s">
        <v>45</v>
      </c>
      <c r="E501" s="4" t="s">
        <v>53</v>
      </c>
      <c r="F501" s="4" t="s">
        <v>25</v>
      </c>
      <c r="G501" s="4" t="s">
        <v>25</v>
      </c>
      <c r="H501" s="4" t="s">
        <v>25</v>
      </c>
      <c r="I501" s="5">
        <v>44593</v>
      </c>
      <c r="J501" s="6">
        <v>16868</v>
      </c>
      <c r="K501" s="60">
        <v>16868</v>
      </c>
      <c r="L501" s="6">
        <v>0</v>
      </c>
      <c r="M501" s="60">
        <v>0</v>
      </c>
      <c r="N501" s="6">
        <v>0</v>
      </c>
      <c r="O501" s="60">
        <v>0</v>
      </c>
      <c r="P501" s="6">
        <v>117</v>
      </c>
      <c r="Q501" s="4" t="s">
        <v>26</v>
      </c>
      <c r="R501" s="4">
        <v>0</v>
      </c>
      <c r="S501" s="4">
        <v>40</v>
      </c>
      <c r="T501" s="4">
        <v>0</v>
      </c>
      <c r="U501" s="4">
        <v>0</v>
      </c>
      <c r="V501" s="60">
        <f>IF(ISERROR(VLOOKUP($S$501,'TAR FIN'!$A$1:$O$104,15,0)),0,VLOOKUP($S$501,'TAR FIN'!$A$1:$O$104,15,0))*(1-0.04)</f>
        <v>25.171199999999999</v>
      </c>
      <c r="W501" s="60">
        <f>IF(ISERROR(VLOOKUP($T$501,'TAR FIN'!$A$1:$O$104,15,0)),0,VLOOKUP($T$501,'TAR FIN'!$A$1:$O$104,15,0))</f>
        <v>0</v>
      </c>
      <c r="X501" s="60">
        <f>IF(ISERROR(VLOOKUP($U$501,'TAR FIN'!$A$1:$O$104,15,0)),0,VLOOKUP($U$501,'TAR FIN'!$A$1:$O$104,15,0))</f>
        <v>0</v>
      </c>
      <c r="Y501" s="60">
        <f ca="1">('TUSD BE'!$AM$24+'TUSD BF'!$AM$24+'TUSD CVA'!$AM$24)*1*(1-0.02)</f>
        <v>25.754560993400897</v>
      </c>
      <c r="Z501" s="60"/>
      <c r="AA501" s="60"/>
      <c r="AB501" s="60">
        <f>(SUBSIDIO!$J$501*SUBSIDIO!$V$501)*(0.04)/(1-0.04)</f>
        <v>17691.158400000004</v>
      </c>
      <c r="AC501" s="60">
        <f>((SUBSIDIO!$L$501*SUBSIDIO!$W$501)+(SUBSIDIO!$N$501*SUBSIDIO!$X$501))*(0.04)/(1-0.04)</f>
        <v>0</v>
      </c>
      <c r="AD501" s="60">
        <f ca="1">(SUBSIDIO!$J$501*SUBSIDIO!$Y$501)*(0.02)/(1-0.02)</f>
        <v>8865.8762211568646</v>
      </c>
      <c r="AE501" s="60">
        <f>((SUBSIDIO!$L$501*SUBSIDIO!$Z$501)+(SUBSIDIO!$N$501*SUBSIDIO!$AA$501))*(0.02)/(1-0.02)</f>
        <v>0</v>
      </c>
      <c r="AF501" s="4" t="s">
        <v>998</v>
      </c>
    </row>
    <row r="502" spans="1:32" ht="11.25" customHeight="1" x14ac:dyDescent="0.25">
      <c r="A502" s="4" t="s">
        <v>27</v>
      </c>
      <c r="B502" s="4" t="s">
        <v>41</v>
      </c>
      <c r="C502" s="4" t="s">
        <v>42</v>
      </c>
      <c r="D502" s="4" t="s">
        <v>45</v>
      </c>
      <c r="E502" s="4" t="s">
        <v>53</v>
      </c>
      <c r="F502" s="4" t="s">
        <v>25</v>
      </c>
      <c r="G502" s="4" t="s">
        <v>25</v>
      </c>
      <c r="H502" s="4" t="s">
        <v>25</v>
      </c>
      <c r="I502" s="5">
        <v>44593</v>
      </c>
      <c r="J502" s="6">
        <v>-304</v>
      </c>
      <c r="K502" s="60">
        <v>-304</v>
      </c>
      <c r="L502" s="6">
        <v>0</v>
      </c>
      <c r="M502" s="60">
        <v>0</v>
      </c>
      <c r="N502" s="6">
        <v>0</v>
      </c>
      <c r="O502" s="60">
        <v>0</v>
      </c>
      <c r="P502" s="6">
        <v>-1</v>
      </c>
      <c r="Q502" s="4" t="s">
        <v>26</v>
      </c>
      <c r="R502" s="4">
        <v>0</v>
      </c>
      <c r="S502" s="4">
        <v>40</v>
      </c>
      <c r="T502" s="4">
        <v>0</v>
      </c>
      <c r="U502" s="4">
        <v>0</v>
      </c>
      <c r="V502" s="60">
        <f>IF(ISERROR(VLOOKUP($S$502,'TAR FIN'!$A$1:$O$104,15,0)),0,VLOOKUP($S$502,'TAR FIN'!$A$1:$O$104,15,0))*(1-0.04)</f>
        <v>25.171199999999999</v>
      </c>
      <c r="W502" s="60">
        <f>IF(ISERROR(VLOOKUP($T$502,'TAR FIN'!$A$1:$O$104,15,0)),0,VLOOKUP($T$502,'TAR FIN'!$A$1:$O$104,15,0))</f>
        <v>0</v>
      </c>
      <c r="X502" s="60">
        <f>IF(ISERROR(VLOOKUP($U$502,'TAR FIN'!$A$1:$O$104,15,0)),0,VLOOKUP($U$502,'TAR FIN'!$A$1:$O$104,15,0))</f>
        <v>0</v>
      </c>
      <c r="Y502" s="60">
        <f ca="1">('TUSD BE'!$AM$24+'TUSD BF'!$AM$24+'TUSD CVA'!$AM$24)*1*(1-0.02)</f>
        <v>25.754560993400897</v>
      </c>
      <c r="Z502" s="60"/>
      <c r="AA502" s="60"/>
      <c r="AB502" s="60">
        <f>(SUBSIDIO!$J$502*SUBSIDIO!$V$502)*(0.04)/(1-0.04)</f>
        <v>-318.83520000000004</v>
      </c>
      <c r="AC502" s="60">
        <f>((SUBSIDIO!$L$502*SUBSIDIO!$W$502)+(SUBSIDIO!$N$502*SUBSIDIO!$X$502))*(0.04)/(1-0.04)</f>
        <v>0</v>
      </c>
      <c r="AD502" s="60">
        <f ca="1">(SUBSIDIO!$J$502*SUBSIDIO!$Y$502)*(0.02)/(1-0.02)</f>
        <v>-159.7833988162015</v>
      </c>
      <c r="AE502" s="60">
        <f>((SUBSIDIO!$L$502*SUBSIDIO!$Z$502)+(SUBSIDIO!$N$502*SUBSIDIO!$AA$502))*(0.02)/(1-0.02)</f>
        <v>0</v>
      </c>
      <c r="AF502" s="4" t="s">
        <v>998</v>
      </c>
    </row>
    <row r="503" spans="1:32" ht="11.25" customHeight="1" x14ac:dyDescent="0.25">
      <c r="A503" s="4" t="s">
        <v>28</v>
      </c>
      <c r="B503" s="4" t="s">
        <v>41</v>
      </c>
      <c r="C503" s="4" t="s">
        <v>42</v>
      </c>
      <c r="D503" s="4" t="s">
        <v>45</v>
      </c>
      <c r="E503" s="4" t="s">
        <v>53</v>
      </c>
      <c r="F503" s="4" t="s">
        <v>25</v>
      </c>
      <c r="G503" s="4" t="s">
        <v>25</v>
      </c>
      <c r="H503" s="4" t="s">
        <v>25</v>
      </c>
      <c r="I503" s="5">
        <v>44593</v>
      </c>
      <c r="J503" s="6">
        <v>36</v>
      </c>
      <c r="K503" s="60">
        <v>36</v>
      </c>
      <c r="L503" s="6">
        <v>0</v>
      </c>
      <c r="M503" s="60">
        <v>0</v>
      </c>
      <c r="N503" s="6">
        <v>0</v>
      </c>
      <c r="O503" s="60">
        <v>0</v>
      </c>
      <c r="P503" s="6">
        <v>2</v>
      </c>
      <c r="Q503" s="4" t="s">
        <v>26</v>
      </c>
      <c r="R503" s="4">
        <v>0</v>
      </c>
      <c r="S503" s="4">
        <v>40</v>
      </c>
      <c r="T503" s="4">
        <v>0</v>
      </c>
      <c r="U503" s="4">
        <v>0</v>
      </c>
      <c r="V503" s="60">
        <f>IF(ISERROR(VLOOKUP($S$503,'TAR FIN'!$A$1:$O$104,15,0)),0,VLOOKUP($S$503,'TAR FIN'!$A$1:$O$104,15,0))*(1-0.04)</f>
        <v>25.171199999999999</v>
      </c>
      <c r="W503" s="60">
        <f>IF(ISERROR(VLOOKUP($T$503,'TAR FIN'!$A$1:$O$104,15,0)),0,VLOOKUP($T$503,'TAR FIN'!$A$1:$O$104,15,0))</f>
        <v>0</v>
      </c>
      <c r="X503" s="60">
        <f>IF(ISERROR(VLOOKUP($U$503,'TAR FIN'!$A$1:$O$104,15,0)),0,VLOOKUP($U$503,'TAR FIN'!$A$1:$O$104,15,0))</f>
        <v>0</v>
      </c>
      <c r="Y503" s="60">
        <f ca="1">('TUSD BE'!$AM$24+'TUSD BF'!$AM$24+'TUSD CVA'!$AM$24)*1*(1-0.02)</f>
        <v>25.754560993400897</v>
      </c>
      <c r="Z503" s="60"/>
      <c r="AA503" s="60"/>
      <c r="AB503" s="60">
        <f>(SUBSIDIO!$J$503*SUBSIDIO!$V$503)*(0.04)/(1-0.04)</f>
        <v>37.756799999999998</v>
      </c>
      <c r="AC503" s="60">
        <f>((SUBSIDIO!$L$503*SUBSIDIO!$W$503)+(SUBSIDIO!$N$503*SUBSIDIO!$X$503))*(0.04)/(1-0.04)</f>
        <v>0</v>
      </c>
      <c r="AD503" s="60">
        <f ca="1">(SUBSIDIO!$J$503*SUBSIDIO!$Y$503)*(0.02)/(1-0.02)</f>
        <v>18.921718280865967</v>
      </c>
      <c r="AE503" s="60">
        <f>((SUBSIDIO!$L$503*SUBSIDIO!$Z$503)+(SUBSIDIO!$N$503*SUBSIDIO!$AA$503))*(0.02)/(1-0.02)</f>
        <v>0</v>
      </c>
      <c r="AF503" s="4" t="s">
        <v>998</v>
      </c>
    </row>
    <row r="504" spans="1:32" ht="11.25" customHeight="1" x14ac:dyDescent="0.25">
      <c r="A504" s="4" t="s">
        <v>21</v>
      </c>
      <c r="B504" s="4" t="s">
        <v>41</v>
      </c>
      <c r="C504" s="4" t="s">
        <v>42</v>
      </c>
      <c r="D504" s="4" t="s">
        <v>45</v>
      </c>
      <c r="E504" s="4" t="s">
        <v>53</v>
      </c>
      <c r="F504" s="4" t="s">
        <v>25</v>
      </c>
      <c r="G504" s="4" t="s">
        <v>25</v>
      </c>
      <c r="H504" s="4" t="s">
        <v>25</v>
      </c>
      <c r="I504" s="5">
        <v>44621</v>
      </c>
      <c r="J504" s="6">
        <v>15596</v>
      </c>
      <c r="K504" s="60">
        <v>15596</v>
      </c>
      <c r="L504" s="6">
        <v>0</v>
      </c>
      <c r="M504" s="60">
        <v>0</v>
      </c>
      <c r="N504" s="6">
        <v>0</v>
      </c>
      <c r="O504" s="60">
        <v>0</v>
      </c>
      <c r="P504" s="6">
        <v>110</v>
      </c>
      <c r="Q504" s="4" t="s">
        <v>26</v>
      </c>
      <c r="R504" s="4">
        <v>0</v>
      </c>
      <c r="S504" s="4">
        <v>40</v>
      </c>
      <c r="T504" s="4">
        <v>0</v>
      </c>
      <c r="U504" s="4">
        <v>0</v>
      </c>
      <c r="V504" s="60">
        <f>IF(ISERROR(VLOOKUP($S$504,'TAR FIN'!$A$1:$O$104,15,0)),0,VLOOKUP($S$504,'TAR FIN'!$A$1:$O$104,15,0))*(1-0.04)</f>
        <v>25.171199999999999</v>
      </c>
      <c r="W504" s="60">
        <f>IF(ISERROR(VLOOKUP($T$504,'TAR FIN'!$A$1:$O$104,15,0)),0,VLOOKUP($T$504,'TAR FIN'!$A$1:$O$104,15,0))</f>
        <v>0</v>
      </c>
      <c r="X504" s="60">
        <f>IF(ISERROR(VLOOKUP($U$504,'TAR FIN'!$A$1:$O$104,15,0)),0,VLOOKUP($U$504,'TAR FIN'!$A$1:$O$104,15,0))</f>
        <v>0</v>
      </c>
      <c r="Y504" s="60">
        <f ca="1">('TUSD BE'!$AM$24+'TUSD BF'!$AM$24+'TUSD CVA'!$AM$24)*1*(1-0.02)</f>
        <v>25.754560993400897</v>
      </c>
      <c r="Z504" s="60"/>
      <c r="AA504" s="60"/>
      <c r="AB504" s="60">
        <f>(SUBSIDIO!$J$504*SUBSIDIO!$V$504)*(0.04)/(1-0.04)</f>
        <v>16357.084800000001</v>
      </c>
      <c r="AC504" s="60">
        <f>((SUBSIDIO!$L$504*SUBSIDIO!$W$504)+(SUBSIDIO!$N$504*SUBSIDIO!$X$504))*(0.04)/(1-0.04)</f>
        <v>0</v>
      </c>
      <c r="AD504" s="60">
        <f ca="1">(SUBSIDIO!$J$504*SUBSIDIO!$Y$504)*(0.02)/(1-0.02)</f>
        <v>8197.3088418996012</v>
      </c>
      <c r="AE504" s="60">
        <f>((SUBSIDIO!$L$504*SUBSIDIO!$Z$504)+(SUBSIDIO!$N$504*SUBSIDIO!$AA$504))*(0.02)/(1-0.02)</f>
        <v>0</v>
      </c>
      <c r="AF504" s="4" t="s">
        <v>998</v>
      </c>
    </row>
    <row r="505" spans="1:32" ht="11.25" customHeight="1" x14ac:dyDescent="0.25">
      <c r="A505" s="4" t="s">
        <v>28</v>
      </c>
      <c r="B505" s="4" t="s">
        <v>41</v>
      </c>
      <c r="C505" s="4" t="s">
        <v>42</v>
      </c>
      <c r="D505" s="4" t="s">
        <v>45</v>
      </c>
      <c r="E505" s="4" t="s">
        <v>53</v>
      </c>
      <c r="F505" s="4" t="s">
        <v>25</v>
      </c>
      <c r="G505" s="4" t="s">
        <v>25</v>
      </c>
      <c r="H505" s="4" t="s">
        <v>25</v>
      </c>
      <c r="I505" s="5">
        <v>44621</v>
      </c>
      <c r="J505" s="6">
        <v>89</v>
      </c>
      <c r="K505" s="60">
        <v>89</v>
      </c>
      <c r="L505" s="6">
        <v>0</v>
      </c>
      <c r="M505" s="60">
        <v>0</v>
      </c>
      <c r="N505" s="6">
        <v>0</v>
      </c>
      <c r="O505" s="60">
        <v>0</v>
      </c>
      <c r="P505" s="6">
        <v>3</v>
      </c>
      <c r="Q505" s="4" t="s">
        <v>26</v>
      </c>
      <c r="R505" s="4">
        <v>0</v>
      </c>
      <c r="S505" s="4">
        <v>40</v>
      </c>
      <c r="T505" s="4">
        <v>0</v>
      </c>
      <c r="U505" s="4">
        <v>0</v>
      </c>
      <c r="V505" s="60">
        <f>IF(ISERROR(VLOOKUP($S$505,'TAR FIN'!$A$1:$O$104,15,0)),0,VLOOKUP($S$505,'TAR FIN'!$A$1:$O$104,15,0))*(1-0.04)</f>
        <v>25.171199999999999</v>
      </c>
      <c r="W505" s="60">
        <f>IF(ISERROR(VLOOKUP($T$505,'TAR FIN'!$A$1:$O$104,15,0)),0,VLOOKUP($T$505,'TAR FIN'!$A$1:$O$104,15,0))</f>
        <v>0</v>
      </c>
      <c r="X505" s="60">
        <f>IF(ISERROR(VLOOKUP($U$505,'TAR FIN'!$A$1:$O$104,15,0)),0,VLOOKUP($U$505,'TAR FIN'!$A$1:$O$104,15,0))</f>
        <v>0</v>
      </c>
      <c r="Y505" s="60">
        <f ca="1">('TUSD BE'!$AM$24+'TUSD BF'!$AM$24+'TUSD CVA'!$AM$24)*1*(1-0.02)</f>
        <v>25.754560993400897</v>
      </c>
      <c r="Z505" s="60"/>
      <c r="AA505" s="60"/>
      <c r="AB505" s="60">
        <f>(SUBSIDIO!$J$505*SUBSIDIO!$V$505)*(0.04)/(1-0.04)</f>
        <v>93.343199999999982</v>
      </c>
      <c r="AC505" s="60">
        <f>((SUBSIDIO!$L$505*SUBSIDIO!$W$505)+(SUBSIDIO!$N$505*SUBSIDIO!$X$505))*(0.04)/(1-0.04)</f>
        <v>0</v>
      </c>
      <c r="AD505" s="60">
        <f ca="1">(SUBSIDIO!$J$505*SUBSIDIO!$Y$505)*(0.02)/(1-0.02)</f>
        <v>46.778692416585301</v>
      </c>
      <c r="AE505" s="60">
        <f>((SUBSIDIO!$L$505*SUBSIDIO!$Z$505)+(SUBSIDIO!$N$505*SUBSIDIO!$AA$505))*(0.02)/(1-0.02)</f>
        <v>0</v>
      </c>
      <c r="AF505" s="4" t="s">
        <v>998</v>
      </c>
    </row>
    <row r="506" spans="1:32" ht="11.25" customHeight="1" x14ac:dyDescent="0.25">
      <c r="A506" s="4" t="s">
        <v>21</v>
      </c>
      <c r="B506" s="4" t="s">
        <v>41</v>
      </c>
      <c r="C506" s="4" t="s">
        <v>42</v>
      </c>
      <c r="D506" s="4" t="s">
        <v>45</v>
      </c>
      <c r="E506" s="4" t="s">
        <v>53</v>
      </c>
      <c r="F506" s="4" t="s">
        <v>25</v>
      </c>
      <c r="G506" s="4" t="s">
        <v>25</v>
      </c>
      <c r="H506" s="4" t="s">
        <v>25</v>
      </c>
      <c r="I506" s="5">
        <v>44652</v>
      </c>
      <c r="J506" s="6">
        <v>13951</v>
      </c>
      <c r="K506" s="60">
        <v>13951</v>
      </c>
      <c r="L506" s="6">
        <v>0</v>
      </c>
      <c r="M506" s="60">
        <v>0</v>
      </c>
      <c r="N506" s="6">
        <v>0</v>
      </c>
      <c r="O506" s="60">
        <v>0</v>
      </c>
      <c r="P506" s="6">
        <v>112</v>
      </c>
      <c r="Q506" s="4" t="s">
        <v>26</v>
      </c>
      <c r="R506" s="4">
        <v>0</v>
      </c>
      <c r="S506" s="4">
        <v>40</v>
      </c>
      <c r="T506" s="4">
        <v>0</v>
      </c>
      <c r="U506" s="4">
        <v>0</v>
      </c>
      <c r="V506" s="60">
        <f>IF(ISERROR(VLOOKUP($S$506,'TAR FIN'!$A$1:$O$104,15,0)),0,VLOOKUP($S$506,'TAR FIN'!$A$1:$O$104,15,0))*(1-0.04)</f>
        <v>25.171199999999999</v>
      </c>
      <c r="W506" s="60">
        <f>IF(ISERROR(VLOOKUP($T$506,'TAR FIN'!$A$1:$O$104,15,0)),0,VLOOKUP($T$506,'TAR FIN'!$A$1:$O$104,15,0))</f>
        <v>0</v>
      </c>
      <c r="X506" s="60">
        <f>IF(ISERROR(VLOOKUP($U$506,'TAR FIN'!$A$1:$O$104,15,0)),0,VLOOKUP($U$506,'TAR FIN'!$A$1:$O$104,15,0))</f>
        <v>0</v>
      </c>
      <c r="Y506" s="60">
        <f ca="1">('TUSD BE'!$AM$24+'TUSD BF'!$AM$24+'TUSD CVA'!$AM$24)*1*(1-0.02)</f>
        <v>25.754560993400897</v>
      </c>
      <c r="Z506" s="60"/>
      <c r="AA506" s="60"/>
      <c r="AB506" s="60">
        <f>(SUBSIDIO!$J$506*SUBSIDIO!$V$506)*(0.04)/(1-0.04)</f>
        <v>14631.808799999999</v>
      </c>
      <c r="AC506" s="60">
        <f>((SUBSIDIO!$L$506*SUBSIDIO!$W$506)+(SUBSIDIO!$N$506*SUBSIDIO!$X$506))*(0.04)/(1-0.04)</f>
        <v>0</v>
      </c>
      <c r="AD506" s="60">
        <f ca="1">(SUBSIDIO!$J$506*SUBSIDIO!$Y$506)*(0.02)/(1-0.02)</f>
        <v>7332.6914371211415</v>
      </c>
      <c r="AE506" s="60">
        <f>((SUBSIDIO!$L$506*SUBSIDIO!$Z$506)+(SUBSIDIO!$N$506*SUBSIDIO!$AA$506))*(0.02)/(1-0.02)</f>
        <v>0</v>
      </c>
      <c r="AF506" s="4" t="s">
        <v>998</v>
      </c>
    </row>
    <row r="507" spans="1:32" ht="11.25" customHeight="1" x14ac:dyDescent="0.25">
      <c r="A507" s="4" t="s">
        <v>27</v>
      </c>
      <c r="B507" s="4" t="s">
        <v>41</v>
      </c>
      <c r="C507" s="4" t="s">
        <v>42</v>
      </c>
      <c r="D507" s="4" t="s">
        <v>45</v>
      </c>
      <c r="E507" s="4" t="s">
        <v>53</v>
      </c>
      <c r="F507" s="4" t="s">
        <v>25</v>
      </c>
      <c r="G507" s="4" t="s">
        <v>25</v>
      </c>
      <c r="H507" s="4" t="s">
        <v>25</v>
      </c>
      <c r="I507" s="5">
        <v>44652</v>
      </c>
      <c r="J507" s="6">
        <v>-17</v>
      </c>
      <c r="K507" s="60">
        <v>-17</v>
      </c>
      <c r="L507" s="6">
        <v>0</v>
      </c>
      <c r="M507" s="60">
        <v>0</v>
      </c>
      <c r="N507" s="6">
        <v>0</v>
      </c>
      <c r="O507" s="60">
        <v>0</v>
      </c>
      <c r="P507" s="6">
        <v>-1</v>
      </c>
      <c r="Q507" s="4" t="s">
        <v>26</v>
      </c>
      <c r="R507" s="4">
        <v>0</v>
      </c>
      <c r="S507" s="4">
        <v>40</v>
      </c>
      <c r="T507" s="4">
        <v>0</v>
      </c>
      <c r="U507" s="4">
        <v>0</v>
      </c>
      <c r="V507" s="60">
        <f>IF(ISERROR(VLOOKUP($S$507,'TAR FIN'!$A$1:$O$104,15,0)),0,VLOOKUP($S$507,'TAR FIN'!$A$1:$O$104,15,0))*(1-0.04)</f>
        <v>25.171199999999999</v>
      </c>
      <c r="W507" s="60">
        <f>IF(ISERROR(VLOOKUP($T$507,'TAR FIN'!$A$1:$O$104,15,0)),0,VLOOKUP($T$507,'TAR FIN'!$A$1:$O$104,15,0))</f>
        <v>0</v>
      </c>
      <c r="X507" s="60">
        <f>IF(ISERROR(VLOOKUP($U$507,'TAR FIN'!$A$1:$O$104,15,0)),0,VLOOKUP($U$507,'TAR FIN'!$A$1:$O$104,15,0))</f>
        <v>0</v>
      </c>
      <c r="Y507" s="60">
        <f ca="1">('TUSD BE'!$AM$24+'TUSD BF'!$AM$24+'TUSD CVA'!$AM$24)*1*(1-0.02)</f>
        <v>25.754560993400897</v>
      </c>
      <c r="Z507" s="60"/>
      <c r="AA507" s="60"/>
      <c r="AB507" s="60">
        <f>(SUBSIDIO!$J$507*SUBSIDIO!$V$507)*(0.04)/(1-0.04)</f>
        <v>-17.829600000000003</v>
      </c>
      <c r="AC507" s="60">
        <f>((SUBSIDIO!$L$507*SUBSIDIO!$W$507)+(SUBSIDIO!$N$507*SUBSIDIO!$X$507))*(0.04)/(1-0.04)</f>
        <v>0</v>
      </c>
      <c r="AD507" s="60">
        <f ca="1">(SUBSIDIO!$J$507*SUBSIDIO!$Y$507)*(0.02)/(1-0.02)</f>
        <v>-8.9352558548533718</v>
      </c>
      <c r="AE507" s="60">
        <f>((SUBSIDIO!$L$507*SUBSIDIO!$Z$507)+(SUBSIDIO!$N$507*SUBSIDIO!$AA$507))*(0.02)/(1-0.02)</f>
        <v>0</v>
      </c>
      <c r="AF507" s="4" t="s">
        <v>998</v>
      </c>
    </row>
    <row r="508" spans="1:32" ht="11.25" customHeight="1" x14ac:dyDescent="0.25">
      <c r="A508" s="4" t="s">
        <v>28</v>
      </c>
      <c r="B508" s="4" t="s">
        <v>41</v>
      </c>
      <c r="C508" s="4" t="s">
        <v>42</v>
      </c>
      <c r="D508" s="4" t="s">
        <v>45</v>
      </c>
      <c r="E508" s="4" t="s">
        <v>53</v>
      </c>
      <c r="F508" s="4" t="s">
        <v>25</v>
      </c>
      <c r="G508" s="4" t="s">
        <v>25</v>
      </c>
      <c r="H508" s="4" t="s">
        <v>25</v>
      </c>
      <c r="I508" s="5">
        <v>44652</v>
      </c>
      <c r="J508" s="6">
        <v>232</v>
      </c>
      <c r="K508" s="60">
        <v>232</v>
      </c>
      <c r="L508" s="6">
        <v>0</v>
      </c>
      <c r="M508" s="60">
        <v>0</v>
      </c>
      <c r="N508" s="6">
        <v>0</v>
      </c>
      <c r="O508" s="60">
        <v>0</v>
      </c>
      <c r="P508" s="6">
        <v>3</v>
      </c>
      <c r="Q508" s="4" t="s">
        <v>26</v>
      </c>
      <c r="R508" s="4">
        <v>0</v>
      </c>
      <c r="S508" s="4">
        <v>40</v>
      </c>
      <c r="T508" s="4">
        <v>0</v>
      </c>
      <c r="U508" s="4">
        <v>0</v>
      </c>
      <c r="V508" s="60">
        <f>IF(ISERROR(VLOOKUP($S$508,'TAR FIN'!$A$1:$O$104,15,0)),0,VLOOKUP($S$508,'TAR FIN'!$A$1:$O$104,15,0))*(1-0.04)</f>
        <v>25.171199999999999</v>
      </c>
      <c r="W508" s="60">
        <f>IF(ISERROR(VLOOKUP($T$508,'TAR FIN'!$A$1:$O$104,15,0)),0,VLOOKUP($T$508,'TAR FIN'!$A$1:$O$104,15,0))</f>
        <v>0</v>
      </c>
      <c r="X508" s="60">
        <f>IF(ISERROR(VLOOKUP($U$508,'TAR FIN'!$A$1:$O$104,15,0)),0,VLOOKUP($U$508,'TAR FIN'!$A$1:$O$104,15,0))</f>
        <v>0</v>
      </c>
      <c r="Y508" s="60">
        <f ca="1">('TUSD BE'!$AM$24+'TUSD BF'!$AM$24+'TUSD CVA'!$AM$24)*1*(1-0.02)</f>
        <v>25.754560993400897</v>
      </c>
      <c r="Z508" s="60"/>
      <c r="AA508" s="60"/>
      <c r="AB508" s="60">
        <f>(SUBSIDIO!$J$508*SUBSIDIO!$V$508)*(0.04)/(1-0.04)</f>
        <v>243.32159999999999</v>
      </c>
      <c r="AC508" s="60">
        <f>((SUBSIDIO!$L$508*SUBSIDIO!$W$508)+(SUBSIDIO!$N$508*SUBSIDIO!$X$508))*(0.04)/(1-0.04)</f>
        <v>0</v>
      </c>
      <c r="AD508" s="60">
        <f ca="1">(SUBSIDIO!$J$508*SUBSIDIO!$Y$508)*(0.02)/(1-0.02)</f>
        <v>121.93996225446956</v>
      </c>
      <c r="AE508" s="60">
        <f>((SUBSIDIO!$L$508*SUBSIDIO!$Z$508)+(SUBSIDIO!$N$508*SUBSIDIO!$AA$508))*(0.02)/(1-0.02)</f>
        <v>0</v>
      </c>
      <c r="AF508" s="4" t="s">
        <v>998</v>
      </c>
    </row>
    <row r="509" spans="1:32" ht="11.25" customHeight="1" x14ac:dyDescent="0.25">
      <c r="A509" s="4" t="s">
        <v>28</v>
      </c>
      <c r="B509" s="4" t="s">
        <v>41</v>
      </c>
      <c r="C509" s="4" t="s">
        <v>42</v>
      </c>
      <c r="D509" s="4" t="s">
        <v>45</v>
      </c>
      <c r="E509" s="4" t="s">
        <v>53</v>
      </c>
      <c r="F509" s="4" t="s">
        <v>25</v>
      </c>
      <c r="G509" s="4" t="s">
        <v>25</v>
      </c>
      <c r="H509" s="4" t="s">
        <v>25</v>
      </c>
      <c r="I509" s="5">
        <v>44652</v>
      </c>
      <c r="J509" s="6">
        <v>575</v>
      </c>
      <c r="K509" s="60">
        <v>575</v>
      </c>
      <c r="L509" s="6">
        <v>0</v>
      </c>
      <c r="M509" s="60">
        <v>0</v>
      </c>
      <c r="N509" s="6">
        <v>0</v>
      </c>
      <c r="O509" s="60">
        <v>0</v>
      </c>
      <c r="P509" s="6">
        <v>6</v>
      </c>
      <c r="Q509" s="4" t="s">
        <v>26</v>
      </c>
      <c r="R509" s="4">
        <v>0</v>
      </c>
      <c r="S509" s="4">
        <v>40</v>
      </c>
      <c r="T509" s="4">
        <v>0</v>
      </c>
      <c r="U509" s="4">
        <v>0</v>
      </c>
      <c r="V509" s="60">
        <f>IF(ISERROR(VLOOKUP($S$509,'TAR FIN'!$A$1:$O$104,15,0)),0,VLOOKUP($S$509,'TAR FIN'!$A$1:$O$104,15,0))*(1-0.04)</f>
        <v>25.171199999999999</v>
      </c>
      <c r="W509" s="60">
        <f>IF(ISERROR(VLOOKUP($T$509,'TAR FIN'!$A$1:$O$104,15,0)),0,VLOOKUP($T$509,'TAR FIN'!$A$1:$O$104,15,0))</f>
        <v>0</v>
      </c>
      <c r="X509" s="60">
        <f>IF(ISERROR(VLOOKUP($U$509,'TAR FIN'!$A$1:$O$104,15,0)),0,VLOOKUP($U$509,'TAR FIN'!$A$1:$O$104,15,0))</f>
        <v>0</v>
      </c>
      <c r="Y509" s="60">
        <f ca="1">('TUSD BE'!$AM$24+'TUSD BF'!$AM$24+'TUSD CVA'!$AM$24)*1*(1-0.02)</f>
        <v>25.754560993400897</v>
      </c>
      <c r="Z509" s="60"/>
      <c r="AA509" s="60"/>
      <c r="AB509" s="60">
        <f>(SUBSIDIO!$J$509*SUBSIDIO!$V$509)*(0.04)/(1-0.04)</f>
        <v>603.05999999999995</v>
      </c>
      <c r="AC509" s="60">
        <f>((SUBSIDIO!$L$509*SUBSIDIO!$W$509)+(SUBSIDIO!$N$509*SUBSIDIO!$X$509))*(0.04)/(1-0.04)</f>
        <v>0</v>
      </c>
      <c r="AD509" s="60">
        <f ca="1">(SUBSIDIO!$J$509*SUBSIDIO!$Y$509)*(0.02)/(1-0.02)</f>
        <v>302.22188920827585</v>
      </c>
      <c r="AE509" s="60">
        <f>((SUBSIDIO!$L$509*SUBSIDIO!$Z$509)+(SUBSIDIO!$N$509*SUBSIDIO!$AA$509))*(0.02)/(1-0.02)</f>
        <v>0</v>
      </c>
      <c r="AF509" s="4" t="s">
        <v>998</v>
      </c>
    </row>
    <row r="510" spans="1:32" ht="11.25" customHeight="1" x14ac:dyDescent="0.25">
      <c r="A510" s="4" t="s">
        <v>21</v>
      </c>
      <c r="B510" s="4" t="s">
        <v>41</v>
      </c>
      <c r="C510" s="4" t="s">
        <v>42</v>
      </c>
      <c r="D510" s="4" t="s">
        <v>45</v>
      </c>
      <c r="E510" s="4" t="s">
        <v>53</v>
      </c>
      <c r="F510" s="4" t="s">
        <v>25</v>
      </c>
      <c r="G510" s="4" t="s">
        <v>25</v>
      </c>
      <c r="H510" s="4" t="s">
        <v>25</v>
      </c>
      <c r="I510" s="5">
        <v>44682</v>
      </c>
      <c r="J510" s="6">
        <v>10682</v>
      </c>
      <c r="K510" s="60">
        <v>10682</v>
      </c>
      <c r="L510" s="6">
        <v>0</v>
      </c>
      <c r="M510" s="60">
        <v>0</v>
      </c>
      <c r="N510" s="6">
        <v>0</v>
      </c>
      <c r="O510" s="60">
        <v>0</v>
      </c>
      <c r="P510" s="6">
        <v>99</v>
      </c>
      <c r="Q510" s="4" t="s">
        <v>26</v>
      </c>
      <c r="R510" s="4">
        <v>0</v>
      </c>
      <c r="S510" s="4">
        <v>40</v>
      </c>
      <c r="T510" s="4">
        <v>0</v>
      </c>
      <c r="U510" s="4">
        <v>0</v>
      </c>
      <c r="V510" s="60">
        <f>IF(ISERROR(VLOOKUP($S$510,'TAR FIN'!$A$1:$O$104,15,0)),0,VLOOKUP($S$510,'TAR FIN'!$A$1:$O$104,15,0))*(1-0.04)</f>
        <v>25.171199999999999</v>
      </c>
      <c r="W510" s="60">
        <f>IF(ISERROR(VLOOKUP($T$510,'TAR FIN'!$A$1:$O$104,15,0)),0,VLOOKUP($T$510,'TAR FIN'!$A$1:$O$104,15,0))</f>
        <v>0</v>
      </c>
      <c r="X510" s="60">
        <f>IF(ISERROR(VLOOKUP($U$510,'TAR FIN'!$A$1:$O$104,15,0)),0,VLOOKUP($U$510,'TAR FIN'!$A$1:$O$104,15,0))</f>
        <v>0</v>
      </c>
      <c r="Y510" s="60">
        <f ca="1">('TUSD BE'!$AM$24+'TUSD BF'!$AM$24+'TUSD CVA'!$AM$24)*1*(1-0.02)</f>
        <v>25.754560993400897</v>
      </c>
      <c r="Z510" s="60"/>
      <c r="AA510" s="60"/>
      <c r="AB510" s="60">
        <f>(SUBSIDIO!$J$510*SUBSIDIO!$V$510)*(0.04)/(1-0.04)</f>
        <v>11203.2816</v>
      </c>
      <c r="AC510" s="60">
        <f>((SUBSIDIO!$L$510*SUBSIDIO!$W$510)+(SUBSIDIO!$N$510*SUBSIDIO!$X$510))*(0.04)/(1-0.04)</f>
        <v>0</v>
      </c>
      <c r="AD510" s="60">
        <f ca="1">(SUBSIDIO!$J$510*SUBSIDIO!$Y$510)*(0.02)/(1-0.02)</f>
        <v>5614.4942965613964</v>
      </c>
      <c r="AE510" s="60">
        <f>((SUBSIDIO!$L$510*SUBSIDIO!$Z$510)+(SUBSIDIO!$N$510*SUBSIDIO!$AA$510))*(0.02)/(1-0.02)</f>
        <v>0</v>
      </c>
      <c r="AF510" s="4" t="s">
        <v>998</v>
      </c>
    </row>
    <row r="511" spans="1:32" ht="11.25" customHeight="1" x14ac:dyDescent="0.25">
      <c r="A511" s="4" t="s">
        <v>28</v>
      </c>
      <c r="B511" s="4" t="s">
        <v>41</v>
      </c>
      <c r="C511" s="4" t="s">
        <v>42</v>
      </c>
      <c r="D511" s="4" t="s">
        <v>45</v>
      </c>
      <c r="E511" s="4" t="s">
        <v>53</v>
      </c>
      <c r="F511" s="4" t="s">
        <v>25</v>
      </c>
      <c r="G511" s="4" t="s">
        <v>25</v>
      </c>
      <c r="H511" s="4" t="s">
        <v>25</v>
      </c>
      <c r="I511" s="5">
        <v>44682</v>
      </c>
      <c r="J511" s="6">
        <v>140</v>
      </c>
      <c r="K511" s="60">
        <v>140</v>
      </c>
      <c r="L511" s="6">
        <v>0</v>
      </c>
      <c r="M511" s="60">
        <v>0</v>
      </c>
      <c r="N511" s="6">
        <v>0</v>
      </c>
      <c r="O511" s="60">
        <v>0</v>
      </c>
      <c r="P511" s="6">
        <v>3</v>
      </c>
      <c r="Q511" s="4" t="s">
        <v>26</v>
      </c>
      <c r="R511" s="4">
        <v>0</v>
      </c>
      <c r="S511" s="4">
        <v>40</v>
      </c>
      <c r="T511" s="4">
        <v>0</v>
      </c>
      <c r="U511" s="4">
        <v>0</v>
      </c>
      <c r="V511" s="60">
        <f>IF(ISERROR(VLOOKUP($S$511,'TAR FIN'!$A$1:$O$104,15,0)),0,VLOOKUP($S$511,'TAR FIN'!$A$1:$O$104,15,0))*(1-0.04)</f>
        <v>25.171199999999999</v>
      </c>
      <c r="W511" s="60">
        <f>IF(ISERROR(VLOOKUP($T$511,'TAR FIN'!$A$1:$O$104,15,0)),0,VLOOKUP($T$511,'TAR FIN'!$A$1:$O$104,15,0))</f>
        <v>0</v>
      </c>
      <c r="X511" s="60">
        <f>IF(ISERROR(VLOOKUP($U$511,'TAR FIN'!$A$1:$O$104,15,0)),0,VLOOKUP($U$511,'TAR FIN'!$A$1:$O$104,15,0))</f>
        <v>0</v>
      </c>
      <c r="Y511" s="60">
        <f ca="1">('TUSD BE'!$AM$24+'TUSD BF'!$AM$24+'TUSD CVA'!$AM$24)*1*(1-0.02)</f>
        <v>25.754560993400897</v>
      </c>
      <c r="Z511" s="60"/>
      <c r="AA511" s="60"/>
      <c r="AB511" s="60">
        <f>(SUBSIDIO!$J$511*SUBSIDIO!$V$511)*(0.04)/(1-0.04)</f>
        <v>146.83199999999999</v>
      </c>
      <c r="AC511" s="60">
        <f>((SUBSIDIO!$L$511*SUBSIDIO!$W$511)+(SUBSIDIO!$N$511*SUBSIDIO!$X$511))*(0.04)/(1-0.04)</f>
        <v>0</v>
      </c>
      <c r="AD511" s="60">
        <f ca="1">(SUBSIDIO!$J$511*SUBSIDIO!$Y$511)*(0.02)/(1-0.02)</f>
        <v>73.584459981145429</v>
      </c>
      <c r="AE511" s="60">
        <f>((SUBSIDIO!$L$511*SUBSIDIO!$Z$511)+(SUBSIDIO!$N$511*SUBSIDIO!$AA$511))*(0.02)/(1-0.02)</f>
        <v>0</v>
      </c>
      <c r="AF511" s="4" t="s">
        <v>998</v>
      </c>
    </row>
    <row r="512" spans="1:32" ht="11.25" customHeight="1" x14ac:dyDescent="0.25">
      <c r="A512" s="4" t="s">
        <v>21</v>
      </c>
      <c r="B512" s="4" t="s">
        <v>41</v>
      </c>
      <c r="C512" s="4" t="s">
        <v>42</v>
      </c>
      <c r="D512" s="4" t="s">
        <v>45</v>
      </c>
      <c r="E512" s="4" t="s">
        <v>53</v>
      </c>
      <c r="F512" s="4" t="s">
        <v>25</v>
      </c>
      <c r="G512" s="4" t="s">
        <v>25</v>
      </c>
      <c r="H512" s="4" t="s">
        <v>25</v>
      </c>
      <c r="I512" s="5">
        <v>44713</v>
      </c>
      <c r="J512" s="6">
        <v>8574</v>
      </c>
      <c r="K512" s="60">
        <v>8574</v>
      </c>
      <c r="L512" s="6">
        <v>0</v>
      </c>
      <c r="M512" s="60">
        <v>0</v>
      </c>
      <c r="N512" s="6">
        <v>0</v>
      </c>
      <c r="O512" s="60">
        <v>0</v>
      </c>
      <c r="P512" s="6">
        <v>94</v>
      </c>
      <c r="Q512" s="4" t="s">
        <v>26</v>
      </c>
      <c r="R512" s="4">
        <v>0</v>
      </c>
      <c r="S512" s="4">
        <v>40</v>
      </c>
      <c r="T512" s="4">
        <v>0</v>
      </c>
      <c r="U512" s="4">
        <v>0</v>
      </c>
      <c r="V512" s="60">
        <f>IF(ISERROR(VLOOKUP($S$512,'TAR FIN'!$A$1:$O$104,15,0)),0,VLOOKUP($S$512,'TAR FIN'!$A$1:$O$104,15,0))*(1-0.04)</f>
        <v>25.171199999999999</v>
      </c>
      <c r="W512" s="60">
        <f>IF(ISERROR(VLOOKUP($T$512,'TAR FIN'!$A$1:$O$104,15,0)),0,VLOOKUP($T$512,'TAR FIN'!$A$1:$O$104,15,0))</f>
        <v>0</v>
      </c>
      <c r="X512" s="60">
        <f>IF(ISERROR(VLOOKUP($U$512,'TAR FIN'!$A$1:$O$104,15,0)),0,VLOOKUP($U$512,'TAR FIN'!$A$1:$O$104,15,0))</f>
        <v>0</v>
      </c>
      <c r="Y512" s="60">
        <f ca="1">('TUSD BE'!$AM$24+'TUSD BF'!$AM$24+'TUSD CVA'!$AM$24)*1*(1-0.02)</f>
        <v>25.754560993400897</v>
      </c>
      <c r="Z512" s="60"/>
      <c r="AA512" s="60"/>
      <c r="AB512" s="60">
        <f>(SUBSIDIO!$J$512*SUBSIDIO!$V$512)*(0.04)/(1-0.04)</f>
        <v>8992.4112000000005</v>
      </c>
      <c r="AC512" s="60">
        <f>((SUBSIDIO!$L$512*SUBSIDIO!$W$512)+(SUBSIDIO!$N$512*SUBSIDIO!$X$512))*(0.04)/(1-0.04)</f>
        <v>0</v>
      </c>
      <c r="AD512" s="60">
        <f ca="1">(SUBSIDIO!$J$512*SUBSIDIO!$Y$512)*(0.02)/(1-0.02)</f>
        <v>4506.5225705595776</v>
      </c>
      <c r="AE512" s="60">
        <f>((SUBSIDIO!$L$512*SUBSIDIO!$Z$512)+(SUBSIDIO!$N$512*SUBSIDIO!$AA$512))*(0.02)/(1-0.02)</f>
        <v>0</v>
      </c>
      <c r="AF512" s="4" t="s">
        <v>998</v>
      </c>
    </row>
    <row r="513" spans="1:32" ht="11.25" customHeight="1" x14ac:dyDescent="0.25">
      <c r="A513" s="4" t="s">
        <v>27</v>
      </c>
      <c r="B513" s="4" t="s">
        <v>41</v>
      </c>
      <c r="C513" s="4" t="s">
        <v>42</v>
      </c>
      <c r="D513" s="4" t="s">
        <v>45</v>
      </c>
      <c r="E513" s="4" t="s">
        <v>53</v>
      </c>
      <c r="F513" s="4" t="s">
        <v>25</v>
      </c>
      <c r="G513" s="4" t="s">
        <v>25</v>
      </c>
      <c r="H513" s="4" t="s">
        <v>25</v>
      </c>
      <c r="I513" s="5">
        <v>44713</v>
      </c>
      <c r="J513" s="6">
        <v>272</v>
      </c>
      <c r="K513" s="60">
        <v>272</v>
      </c>
      <c r="L513" s="6">
        <v>0</v>
      </c>
      <c r="M513" s="60">
        <v>0</v>
      </c>
      <c r="N513" s="6">
        <v>0</v>
      </c>
      <c r="O513" s="60">
        <v>0</v>
      </c>
      <c r="P513" s="6">
        <v>0</v>
      </c>
      <c r="Q513" s="4" t="s">
        <v>26</v>
      </c>
      <c r="R513" s="4">
        <v>0</v>
      </c>
      <c r="S513" s="4">
        <v>40</v>
      </c>
      <c r="T513" s="4">
        <v>0</v>
      </c>
      <c r="U513" s="4">
        <v>0</v>
      </c>
      <c r="V513" s="60">
        <f>IF(ISERROR(VLOOKUP($S$513,'TAR FIN'!$A$1:$O$104,15,0)),0,VLOOKUP($S$513,'TAR FIN'!$A$1:$O$104,15,0))*(1-0.04)</f>
        <v>25.171199999999999</v>
      </c>
      <c r="W513" s="60">
        <f>IF(ISERROR(VLOOKUP($T$513,'TAR FIN'!$A$1:$O$104,15,0)),0,VLOOKUP($T$513,'TAR FIN'!$A$1:$O$104,15,0))</f>
        <v>0</v>
      </c>
      <c r="X513" s="60">
        <f>IF(ISERROR(VLOOKUP($U$513,'TAR FIN'!$A$1:$O$104,15,0)),0,VLOOKUP($U$513,'TAR FIN'!$A$1:$O$104,15,0))</f>
        <v>0</v>
      </c>
      <c r="Y513" s="60">
        <f ca="1">('TUSD BE'!$AM$24+'TUSD BF'!$AM$24+'TUSD CVA'!$AM$24)*1*(1-0.02)</f>
        <v>25.754560993400897</v>
      </c>
      <c r="Z513" s="60"/>
      <c r="AA513" s="60"/>
      <c r="AB513" s="60">
        <f>(SUBSIDIO!$J$513*SUBSIDIO!$V$513)*(0.04)/(1-0.04)</f>
        <v>285.27360000000004</v>
      </c>
      <c r="AC513" s="60">
        <f>((SUBSIDIO!$L$513*SUBSIDIO!$W$513)+(SUBSIDIO!$N$513*SUBSIDIO!$X$513))*(0.04)/(1-0.04)</f>
        <v>0</v>
      </c>
      <c r="AD513" s="60">
        <f ca="1">(SUBSIDIO!$J$513*SUBSIDIO!$Y$513)*(0.02)/(1-0.02)</f>
        <v>142.96409367765395</v>
      </c>
      <c r="AE513" s="60">
        <f>((SUBSIDIO!$L$513*SUBSIDIO!$Z$513)+(SUBSIDIO!$N$513*SUBSIDIO!$AA$513))*(0.02)/(1-0.02)</f>
        <v>0</v>
      </c>
      <c r="AF513" s="4" t="s">
        <v>998</v>
      </c>
    </row>
    <row r="514" spans="1:32" ht="11.25" customHeight="1" x14ac:dyDescent="0.25">
      <c r="A514" s="4" t="s">
        <v>28</v>
      </c>
      <c r="B514" s="4" t="s">
        <v>41</v>
      </c>
      <c r="C514" s="4" t="s">
        <v>42</v>
      </c>
      <c r="D514" s="4" t="s">
        <v>45</v>
      </c>
      <c r="E514" s="4" t="s">
        <v>53</v>
      </c>
      <c r="F514" s="4" t="s">
        <v>25</v>
      </c>
      <c r="G514" s="4" t="s">
        <v>25</v>
      </c>
      <c r="H514" s="4" t="s">
        <v>25</v>
      </c>
      <c r="I514" s="5">
        <v>44713</v>
      </c>
      <c r="J514" s="6">
        <v>47</v>
      </c>
      <c r="K514" s="60">
        <v>47</v>
      </c>
      <c r="L514" s="6">
        <v>0</v>
      </c>
      <c r="M514" s="60">
        <v>0</v>
      </c>
      <c r="N514" s="6">
        <v>0</v>
      </c>
      <c r="O514" s="60">
        <v>0</v>
      </c>
      <c r="P514" s="6">
        <v>3</v>
      </c>
      <c r="Q514" s="4" t="s">
        <v>26</v>
      </c>
      <c r="R514" s="4">
        <v>0</v>
      </c>
      <c r="S514" s="4">
        <v>40</v>
      </c>
      <c r="T514" s="4">
        <v>0</v>
      </c>
      <c r="U514" s="4">
        <v>0</v>
      </c>
      <c r="V514" s="60">
        <f>IF(ISERROR(VLOOKUP($S$514,'TAR FIN'!$A$1:$O$104,15,0)),0,VLOOKUP($S$514,'TAR FIN'!$A$1:$O$104,15,0))*(1-0.04)</f>
        <v>25.171199999999999</v>
      </c>
      <c r="W514" s="60">
        <f>IF(ISERROR(VLOOKUP($T$514,'TAR FIN'!$A$1:$O$104,15,0)),0,VLOOKUP($T$514,'TAR FIN'!$A$1:$O$104,15,0))</f>
        <v>0</v>
      </c>
      <c r="X514" s="60">
        <f>IF(ISERROR(VLOOKUP($U$514,'TAR FIN'!$A$1:$O$104,15,0)),0,VLOOKUP($U$514,'TAR FIN'!$A$1:$O$104,15,0))</f>
        <v>0</v>
      </c>
      <c r="Y514" s="60">
        <f ca="1">('TUSD BE'!$AM$24+'TUSD BF'!$AM$24+'TUSD CVA'!$AM$24)*1*(1-0.02)</f>
        <v>25.754560993400897</v>
      </c>
      <c r="Z514" s="60"/>
      <c r="AA514" s="60"/>
      <c r="AB514" s="60">
        <f>(SUBSIDIO!$J$514*SUBSIDIO!$V$514)*(0.04)/(1-0.04)</f>
        <v>49.293599999999998</v>
      </c>
      <c r="AC514" s="60">
        <f>((SUBSIDIO!$L$514*SUBSIDIO!$W$514)+(SUBSIDIO!$N$514*SUBSIDIO!$X$514))*(0.04)/(1-0.04)</f>
        <v>0</v>
      </c>
      <c r="AD514" s="60">
        <f ca="1">(SUBSIDIO!$J$514*SUBSIDIO!$Y$514)*(0.02)/(1-0.02)</f>
        <v>24.703354422241677</v>
      </c>
      <c r="AE514" s="60">
        <f>((SUBSIDIO!$L$514*SUBSIDIO!$Z$514)+(SUBSIDIO!$N$514*SUBSIDIO!$AA$514))*(0.02)/(1-0.02)</f>
        <v>0</v>
      </c>
      <c r="AF514" s="4" t="s">
        <v>998</v>
      </c>
    </row>
    <row r="515" spans="1:32" ht="11.25" customHeight="1" x14ac:dyDescent="0.25">
      <c r="A515" s="4" t="s">
        <v>57</v>
      </c>
      <c r="B515" s="4" t="s">
        <v>41</v>
      </c>
      <c r="C515" s="4" t="s">
        <v>42</v>
      </c>
      <c r="D515" s="4" t="s">
        <v>45</v>
      </c>
      <c r="E515" s="4" t="s">
        <v>53</v>
      </c>
      <c r="F515" s="4" t="s">
        <v>25</v>
      </c>
      <c r="G515" s="4" t="s">
        <v>25</v>
      </c>
      <c r="H515" s="4" t="s">
        <v>25</v>
      </c>
      <c r="I515" s="5">
        <v>44743</v>
      </c>
      <c r="J515" s="6">
        <v>8574</v>
      </c>
      <c r="K515" s="60">
        <v>8574</v>
      </c>
      <c r="L515" s="6">
        <v>0</v>
      </c>
      <c r="M515" s="60">
        <v>0</v>
      </c>
      <c r="N515" s="6">
        <v>0</v>
      </c>
      <c r="O515" s="60">
        <v>0</v>
      </c>
      <c r="P515" s="6">
        <v>94</v>
      </c>
      <c r="Q515" s="4" t="s">
        <v>26</v>
      </c>
      <c r="R515" s="4">
        <v>0</v>
      </c>
      <c r="S515" s="4">
        <v>40</v>
      </c>
      <c r="T515" s="4">
        <v>0</v>
      </c>
      <c r="U515" s="4">
        <v>0</v>
      </c>
      <c r="V515" s="60">
        <f>IF(ISERROR(VLOOKUP($S$515,'TAR FIN'!$A$1:$O$104,15,0)),0,VLOOKUP($S$515,'TAR FIN'!$A$1:$O$104,15,0))*(1-0.04)</f>
        <v>25.171199999999999</v>
      </c>
      <c r="W515" s="60">
        <f>IF(ISERROR(VLOOKUP($T$515,'TAR FIN'!$A$1:$O$104,15,0)),0,VLOOKUP($T$515,'TAR FIN'!$A$1:$O$104,15,0))</f>
        <v>0</v>
      </c>
      <c r="X515" s="60">
        <f>IF(ISERROR(VLOOKUP($U$515,'TAR FIN'!$A$1:$O$104,15,0)),0,VLOOKUP($U$515,'TAR FIN'!$A$1:$O$104,15,0))</f>
        <v>0</v>
      </c>
      <c r="Y515" s="60">
        <f ca="1">('TUSD BE'!$AM$24+'TUSD BF'!$AM$24+'TUSD CVA'!$AM$24)*1*(1-0.02)</f>
        <v>25.754560993400897</v>
      </c>
      <c r="Z515" s="60"/>
      <c r="AA515" s="60"/>
      <c r="AB515" s="60">
        <f>(SUBSIDIO!$J$515*SUBSIDIO!$V$515)*(0.04)/(1-0.04)</f>
        <v>8992.4112000000005</v>
      </c>
      <c r="AC515" s="60">
        <f>((SUBSIDIO!$L$515*SUBSIDIO!$W$515)+(SUBSIDIO!$N$515*SUBSIDIO!$X$515))*(0.04)/(1-0.04)</f>
        <v>0</v>
      </c>
      <c r="AD515" s="60">
        <f ca="1">(SUBSIDIO!$J$515*SUBSIDIO!$Y$515)*(0.02)/(1-0.02)</f>
        <v>4506.5225705595776</v>
      </c>
      <c r="AE515" s="60">
        <f>((SUBSIDIO!$L$515*SUBSIDIO!$Z$515)+(SUBSIDIO!$N$515*SUBSIDIO!$AA$515))*(0.02)/(1-0.02)</f>
        <v>0</v>
      </c>
      <c r="AF515" s="4" t="s">
        <v>998</v>
      </c>
    </row>
    <row r="516" spans="1:32" ht="11.25" customHeight="1" x14ac:dyDescent="0.25">
      <c r="A516" s="4" t="s">
        <v>57</v>
      </c>
      <c r="B516" s="4" t="s">
        <v>41</v>
      </c>
      <c r="C516" s="4" t="s">
        <v>42</v>
      </c>
      <c r="D516" s="4" t="s">
        <v>45</v>
      </c>
      <c r="E516" s="4" t="s">
        <v>53</v>
      </c>
      <c r="F516" s="4" t="s">
        <v>25</v>
      </c>
      <c r="G516" s="4" t="s">
        <v>25</v>
      </c>
      <c r="H516" s="4" t="s">
        <v>25</v>
      </c>
      <c r="I516" s="5">
        <v>44743</v>
      </c>
      <c r="J516" s="6">
        <v>272</v>
      </c>
      <c r="K516" s="60">
        <v>272</v>
      </c>
      <c r="L516" s="6">
        <v>0</v>
      </c>
      <c r="M516" s="60">
        <v>0</v>
      </c>
      <c r="N516" s="6">
        <v>0</v>
      </c>
      <c r="O516" s="60">
        <v>0</v>
      </c>
      <c r="P516" s="6">
        <v>0</v>
      </c>
      <c r="Q516" s="4" t="s">
        <v>26</v>
      </c>
      <c r="R516" s="4">
        <v>0</v>
      </c>
      <c r="S516" s="4">
        <v>40</v>
      </c>
      <c r="T516" s="4">
        <v>0</v>
      </c>
      <c r="U516" s="4">
        <v>0</v>
      </c>
      <c r="V516" s="60">
        <f>IF(ISERROR(VLOOKUP($S$516,'TAR FIN'!$A$1:$O$104,15,0)),0,VLOOKUP($S$516,'TAR FIN'!$A$1:$O$104,15,0))*(1-0.04)</f>
        <v>25.171199999999999</v>
      </c>
      <c r="W516" s="60">
        <f>IF(ISERROR(VLOOKUP($T$516,'TAR FIN'!$A$1:$O$104,15,0)),0,VLOOKUP($T$516,'TAR FIN'!$A$1:$O$104,15,0))</f>
        <v>0</v>
      </c>
      <c r="X516" s="60">
        <f>IF(ISERROR(VLOOKUP($U$516,'TAR FIN'!$A$1:$O$104,15,0)),0,VLOOKUP($U$516,'TAR FIN'!$A$1:$O$104,15,0))</f>
        <v>0</v>
      </c>
      <c r="Y516" s="60">
        <f ca="1">('TUSD BE'!$AM$24+'TUSD BF'!$AM$24+'TUSD CVA'!$AM$24)*1*(1-0.02)</f>
        <v>25.754560993400897</v>
      </c>
      <c r="Z516" s="60"/>
      <c r="AA516" s="60"/>
      <c r="AB516" s="60">
        <f>(SUBSIDIO!$J$516*SUBSIDIO!$V$516)*(0.04)/(1-0.04)</f>
        <v>285.27360000000004</v>
      </c>
      <c r="AC516" s="60">
        <f>((SUBSIDIO!$L$516*SUBSIDIO!$W$516)+(SUBSIDIO!$N$516*SUBSIDIO!$X$516))*(0.04)/(1-0.04)</f>
        <v>0</v>
      </c>
      <c r="AD516" s="60">
        <f ca="1">(SUBSIDIO!$J$516*SUBSIDIO!$Y$516)*(0.02)/(1-0.02)</f>
        <v>142.96409367765395</v>
      </c>
      <c r="AE516" s="60">
        <f>((SUBSIDIO!$L$516*SUBSIDIO!$Z$516)+(SUBSIDIO!$N$516*SUBSIDIO!$AA$516))*(0.02)/(1-0.02)</f>
        <v>0</v>
      </c>
      <c r="AF516" s="4" t="s">
        <v>998</v>
      </c>
    </row>
    <row r="517" spans="1:32" ht="11.25" customHeight="1" x14ac:dyDescent="0.25">
      <c r="A517" s="4" t="s">
        <v>57</v>
      </c>
      <c r="B517" s="4" t="s">
        <v>41</v>
      </c>
      <c r="C517" s="4" t="s">
        <v>42</v>
      </c>
      <c r="D517" s="4" t="s">
        <v>45</v>
      </c>
      <c r="E517" s="4" t="s">
        <v>53</v>
      </c>
      <c r="F517" s="4" t="s">
        <v>25</v>
      </c>
      <c r="G517" s="4" t="s">
        <v>25</v>
      </c>
      <c r="H517" s="4" t="s">
        <v>25</v>
      </c>
      <c r="I517" s="5">
        <v>44743</v>
      </c>
      <c r="J517" s="6">
        <v>47</v>
      </c>
      <c r="K517" s="60">
        <v>47</v>
      </c>
      <c r="L517" s="6">
        <v>0</v>
      </c>
      <c r="M517" s="60">
        <v>0</v>
      </c>
      <c r="N517" s="6">
        <v>0</v>
      </c>
      <c r="O517" s="60">
        <v>0</v>
      </c>
      <c r="P517" s="6">
        <v>3</v>
      </c>
      <c r="Q517" s="4" t="s">
        <v>26</v>
      </c>
      <c r="R517" s="4">
        <v>0</v>
      </c>
      <c r="S517" s="4">
        <v>40</v>
      </c>
      <c r="T517" s="4">
        <v>0</v>
      </c>
      <c r="U517" s="4">
        <v>0</v>
      </c>
      <c r="V517" s="60">
        <f>IF(ISERROR(VLOOKUP($S$517,'TAR FIN'!$A$1:$O$104,15,0)),0,VLOOKUP($S$517,'TAR FIN'!$A$1:$O$104,15,0))*(1-0.04)</f>
        <v>25.171199999999999</v>
      </c>
      <c r="W517" s="60">
        <f>IF(ISERROR(VLOOKUP($T$517,'TAR FIN'!$A$1:$O$104,15,0)),0,VLOOKUP($T$517,'TAR FIN'!$A$1:$O$104,15,0))</f>
        <v>0</v>
      </c>
      <c r="X517" s="60">
        <f>IF(ISERROR(VLOOKUP($U$517,'TAR FIN'!$A$1:$O$104,15,0)),0,VLOOKUP($U$517,'TAR FIN'!$A$1:$O$104,15,0))</f>
        <v>0</v>
      </c>
      <c r="Y517" s="60">
        <f ca="1">('TUSD BE'!$AM$24+'TUSD BF'!$AM$24+'TUSD CVA'!$AM$24)*1*(1-0.02)</f>
        <v>25.754560993400897</v>
      </c>
      <c r="Z517" s="60"/>
      <c r="AA517" s="60"/>
      <c r="AB517" s="60">
        <f>(SUBSIDIO!$J$517*SUBSIDIO!$V$517)*(0.04)/(1-0.04)</f>
        <v>49.293599999999998</v>
      </c>
      <c r="AC517" s="60">
        <f>((SUBSIDIO!$L$517*SUBSIDIO!$W$517)+(SUBSIDIO!$N$517*SUBSIDIO!$X$517))*(0.04)/(1-0.04)</f>
        <v>0</v>
      </c>
      <c r="AD517" s="60">
        <f ca="1">(SUBSIDIO!$J$517*SUBSIDIO!$Y$517)*(0.02)/(1-0.02)</f>
        <v>24.703354422241677</v>
      </c>
      <c r="AE517" s="60">
        <f>((SUBSIDIO!$L$517*SUBSIDIO!$Z$517)+(SUBSIDIO!$N$517*SUBSIDIO!$AA$517))*(0.02)/(1-0.02)</f>
        <v>0</v>
      </c>
      <c r="AF517" s="4" t="s">
        <v>998</v>
      </c>
    </row>
    <row r="518" spans="1:32" ht="11.25" customHeight="1" x14ac:dyDescent="0.25">
      <c r="A518" s="4" t="s">
        <v>21</v>
      </c>
      <c r="B518" s="4" t="s">
        <v>41</v>
      </c>
      <c r="C518" s="4" t="s">
        <v>42</v>
      </c>
      <c r="D518" s="4" t="s">
        <v>45</v>
      </c>
      <c r="E518" s="4" t="s">
        <v>53</v>
      </c>
      <c r="F518" s="4" t="s">
        <v>25</v>
      </c>
      <c r="G518" s="4" t="s">
        <v>25</v>
      </c>
      <c r="H518" s="4" t="s">
        <v>34</v>
      </c>
      <c r="I518" s="5">
        <v>44409</v>
      </c>
      <c r="J518" s="6">
        <v>0</v>
      </c>
      <c r="K518" s="60">
        <v>0</v>
      </c>
      <c r="L518" s="6">
        <v>47.573999999999998</v>
      </c>
      <c r="M518" s="60">
        <v>47.573999999999998</v>
      </c>
      <c r="N518" s="6">
        <v>47.573999999999998</v>
      </c>
      <c r="O518" s="60">
        <v>47.573999999999998</v>
      </c>
      <c r="P518" s="6">
        <v>0</v>
      </c>
      <c r="Q518" s="4" t="s">
        <v>26</v>
      </c>
      <c r="R518" s="4">
        <v>0</v>
      </c>
      <c r="S518" s="4">
        <v>0</v>
      </c>
      <c r="T518" s="4">
        <v>42</v>
      </c>
      <c r="U518" s="4">
        <v>66</v>
      </c>
      <c r="V518" s="60">
        <f>IF(ISERROR(VLOOKUP($S$518,'TAR FIN'!$A$1:$O$104,15,0)),0,VLOOKUP($S$518,'TAR FIN'!$A$1:$O$104,15,0))</f>
        <v>0</v>
      </c>
      <c r="W518" s="60">
        <f>IF(ISERROR(VLOOKUP($T$518,'TAR FIN'!$A$1:$O$104,15,0)),0,VLOOKUP($T$518,'TAR FIN'!$A$1:$O$104,15,0))*(1-0.04)</f>
        <v>1276.9824000000001</v>
      </c>
      <c r="X518" s="60">
        <f>IF(ISERROR(VLOOKUP($U$518,'TAR FIN'!$A$1:$O$104,15,0)),0,VLOOKUP($U$518,'TAR FIN'!$A$1:$O$104,15,0))*(1-0.04)</f>
        <v>381.71519999999998</v>
      </c>
      <c r="Y518" s="60"/>
      <c r="Z518" s="60">
        <f ca="1">('TUSD BE'!$AM$25+'TUSD BF'!$AM$25+'TUSD CVA'!$AM$25)*1*(1-0.02)</f>
        <v>1318.940588933358</v>
      </c>
      <c r="AA518" s="60">
        <f>('TE BE'!$AB$7+'TE BF'!$AB$7+'TE CVA'!$AB$7)*1*(1-0.02)</f>
        <v>353.05508603815775</v>
      </c>
      <c r="AB518" s="60">
        <f>(SUBSIDIO!$J$518*SUBSIDIO!$V$518)*(0.04)/(1-0.04)</f>
        <v>0</v>
      </c>
      <c r="AC518" s="60">
        <f>((SUBSIDIO!$L$518*SUBSIDIO!$W$518)+(SUBSIDIO!$N$518*SUBSIDIO!$X$518))*(0.04)/(1-0.04)</f>
        <v>3287.9533176000004</v>
      </c>
      <c r="AD518" s="60">
        <f>(SUBSIDIO!$J$518*SUBSIDIO!$Y$518)*(0.02)/(1-0.02)</f>
        <v>0</v>
      </c>
      <c r="AE518" s="60">
        <f ca="1">((SUBSIDIO!$L$518*SUBSIDIO!$Z$518)+(SUBSIDIO!$N$518*SUBSIDIO!$AA$518))*(0.02)/(1-0.02)</f>
        <v>1623.3371885937734</v>
      </c>
      <c r="AF518" s="4" t="s">
        <v>998</v>
      </c>
    </row>
    <row r="519" spans="1:32" ht="11.25" customHeight="1" x14ac:dyDescent="0.25">
      <c r="A519" s="4" t="s">
        <v>28</v>
      </c>
      <c r="B519" s="4" t="s">
        <v>41</v>
      </c>
      <c r="C519" s="4" t="s">
        <v>42</v>
      </c>
      <c r="D519" s="4" t="s">
        <v>45</v>
      </c>
      <c r="E519" s="4" t="s">
        <v>53</v>
      </c>
      <c r="F519" s="4" t="s">
        <v>25</v>
      </c>
      <c r="G519" s="4" t="s">
        <v>25</v>
      </c>
      <c r="H519" s="4" t="s">
        <v>34</v>
      </c>
      <c r="I519" s="5">
        <v>44409</v>
      </c>
      <c r="J519" s="6">
        <v>0</v>
      </c>
      <c r="K519" s="60">
        <v>0</v>
      </c>
      <c r="L519" s="6">
        <v>5.0999999999999997E-2</v>
      </c>
      <c r="M519" s="60">
        <v>5.0999999999999997E-2</v>
      </c>
      <c r="N519" s="6">
        <v>5.0999999999999997E-2</v>
      </c>
      <c r="O519" s="60">
        <v>5.0999999999999997E-2</v>
      </c>
      <c r="P519" s="6">
        <v>0</v>
      </c>
      <c r="Q519" s="4" t="s">
        <v>26</v>
      </c>
      <c r="R519" s="4">
        <v>0</v>
      </c>
      <c r="S519" s="4">
        <v>0</v>
      </c>
      <c r="T519" s="4">
        <v>42</v>
      </c>
      <c r="U519" s="4">
        <v>66</v>
      </c>
      <c r="V519" s="60">
        <f>IF(ISERROR(VLOOKUP($S$519,'TAR FIN'!$A$1:$O$104,15,0)),0,VLOOKUP($S$519,'TAR FIN'!$A$1:$O$104,15,0))</f>
        <v>0</v>
      </c>
      <c r="W519" s="60">
        <f>IF(ISERROR(VLOOKUP($T$519,'TAR FIN'!$A$1:$O$104,15,0)),0,VLOOKUP($T$519,'TAR FIN'!$A$1:$O$104,15,0))*(1-0.04)</f>
        <v>1276.9824000000001</v>
      </c>
      <c r="X519" s="60">
        <f>IF(ISERROR(VLOOKUP($U$519,'TAR FIN'!$A$1:$O$104,15,0)),0,VLOOKUP($U$519,'TAR FIN'!$A$1:$O$104,15,0))*(1-0.04)</f>
        <v>381.71519999999998</v>
      </c>
      <c r="Y519" s="60"/>
      <c r="Z519" s="60">
        <f ca="1">('TUSD BE'!$AM$25+'TUSD BF'!$AM$25+'TUSD CVA'!$AM$25)*1*(1-0.02)</f>
        <v>1318.940588933358</v>
      </c>
      <c r="AA519" s="60">
        <f>('TE BE'!$AB$7+'TE BF'!$AB$7+'TE CVA'!$AB$7)*1*(1-0.02)</f>
        <v>353.05508603815775</v>
      </c>
      <c r="AB519" s="60">
        <f>(SUBSIDIO!$J$519*SUBSIDIO!$V$519)*(0.04)/(1-0.04)</f>
        <v>0</v>
      </c>
      <c r="AC519" s="60">
        <f>((SUBSIDIO!$L$519*SUBSIDIO!$W$519)+(SUBSIDIO!$N$519*SUBSIDIO!$X$519))*(0.04)/(1-0.04)</f>
        <v>3.5247324000000004</v>
      </c>
      <c r="AD519" s="60">
        <f>(SUBSIDIO!$J$519*SUBSIDIO!$Y$519)*(0.02)/(1-0.02)</f>
        <v>0</v>
      </c>
      <c r="AE519" s="60">
        <f ca="1">((SUBSIDIO!$L$519*SUBSIDIO!$Z$519)+(SUBSIDIO!$N$519*SUBSIDIO!$AA$519))*(0.02)/(1-0.02)</f>
        <v>1.7402403963989246</v>
      </c>
      <c r="AF519" s="4" t="s">
        <v>998</v>
      </c>
    </row>
    <row r="520" spans="1:32" ht="11.25" customHeight="1" x14ac:dyDescent="0.25">
      <c r="A520" s="4" t="s">
        <v>21</v>
      </c>
      <c r="B520" s="4" t="s">
        <v>41</v>
      </c>
      <c r="C520" s="4" t="s">
        <v>42</v>
      </c>
      <c r="D520" s="4" t="s">
        <v>45</v>
      </c>
      <c r="E520" s="4" t="s">
        <v>53</v>
      </c>
      <c r="F520" s="4" t="s">
        <v>25</v>
      </c>
      <c r="G520" s="4" t="s">
        <v>25</v>
      </c>
      <c r="H520" s="4" t="s">
        <v>34</v>
      </c>
      <c r="I520" s="5">
        <v>44440</v>
      </c>
      <c r="J520" s="6">
        <v>0</v>
      </c>
      <c r="K520" s="60">
        <v>0</v>
      </c>
      <c r="L520" s="6">
        <v>53.497</v>
      </c>
      <c r="M520" s="60">
        <v>53.497</v>
      </c>
      <c r="N520" s="6">
        <v>53.497</v>
      </c>
      <c r="O520" s="60">
        <v>53.497</v>
      </c>
      <c r="P520" s="6">
        <v>0</v>
      </c>
      <c r="Q520" s="4" t="s">
        <v>26</v>
      </c>
      <c r="R520" s="4">
        <v>0</v>
      </c>
      <c r="S520" s="4">
        <v>0</v>
      </c>
      <c r="T520" s="4">
        <v>42</v>
      </c>
      <c r="U520" s="4">
        <v>66</v>
      </c>
      <c r="V520" s="60">
        <f>IF(ISERROR(VLOOKUP($S$520,'TAR FIN'!$A$1:$O$104,15,0)),0,VLOOKUP($S$520,'TAR FIN'!$A$1:$O$104,15,0))</f>
        <v>0</v>
      </c>
      <c r="W520" s="60">
        <f>IF(ISERROR(VLOOKUP($T$520,'TAR FIN'!$A$1:$O$104,15,0)),0,VLOOKUP($T$520,'TAR FIN'!$A$1:$O$104,15,0))*(1-0.04)</f>
        <v>1276.9824000000001</v>
      </c>
      <c r="X520" s="60">
        <f>IF(ISERROR(VLOOKUP($U$520,'TAR FIN'!$A$1:$O$104,15,0)),0,VLOOKUP($U$520,'TAR FIN'!$A$1:$O$104,15,0))*(1-0.04)</f>
        <v>381.71519999999998</v>
      </c>
      <c r="Y520" s="60"/>
      <c r="Z520" s="60">
        <f ca="1">('TUSD BE'!$AM$25+'TUSD BF'!$AM$25+'TUSD CVA'!$AM$25)*1*(1-0.02)</f>
        <v>1318.940588933358</v>
      </c>
      <c r="AA520" s="60">
        <f>('TE BE'!$AB$7+'TE BF'!$AB$7+'TE CVA'!$AB$7)*1*(1-0.02)</f>
        <v>353.05508603815775</v>
      </c>
      <c r="AB520" s="60">
        <f>(SUBSIDIO!$J$520*SUBSIDIO!$V$520)*(0.04)/(1-0.04)</f>
        <v>0</v>
      </c>
      <c r="AC520" s="60">
        <f>((SUBSIDIO!$L$520*SUBSIDIO!$W$520)+(SUBSIDIO!$N$520*SUBSIDIO!$X$520))*(0.04)/(1-0.04)</f>
        <v>3697.3060627999998</v>
      </c>
      <c r="AD520" s="60">
        <f>(SUBSIDIO!$J$520*SUBSIDIO!$Y$520)*(0.02)/(1-0.02)</f>
        <v>0</v>
      </c>
      <c r="AE520" s="60">
        <f ca="1">((SUBSIDIO!$L$520*SUBSIDIO!$Z$520)+(SUBSIDIO!$N$520*SUBSIDIO!$AA$520))*(0.02)/(1-0.02)</f>
        <v>1825.4439311010447</v>
      </c>
      <c r="AF520" s="4" t="s">
        <v>998</v>
      </c>
    </row>
    <row r="521" spans="1:32" ht="11.25" customHeight="1" x14ac:dyDescent="0.25">
      <c r="A521" s="4" t="s">
        <v>21</v>
      </c>
      <c r="B521" s="4" t="s">
        <v>41</v>
      </c>
      <c r="C521" s="4" t="s">
        <v>42</v>
      </c>
      <c r="D521" s="4" t="s">
        <v>45</v>
      </c>
      <c r="E521" s="4" t="s">
        <v>53</v>
      </c>
      <c r="F521" s="4" t="s">
        <v>25</v>
      </c>
      <c r="G521" s="4" t="s">
        <v>25</v>
      </c>
      <c r="H521" s="4" t="s">
        <v>34</v>
      </c>
      <c r="I521" s="5">
        <v>44470</v>
      </c>
      <c r="J521" s="6">
        <v>0</v>
      </c>
      <c r="K521" s="60">
        <v>0</v>
      </c>
      <c r="L521" s="6">
        <v>83.451999999999998</v>
      </c>
      <c r="M521" s="60">
        <v>83.451999999999998</v>
      </c>
      <c r="N521" s="6">
        <v>83.451999999999998</v>
      </c>
      <c r="O521" s="60">
        <v>83.451999999999998</v>
      </c>
      <c r="P521" s="6">
        <v>0</v>
      </c>
      <c r="Q521" s="4" t="s">
        <v>26</v>
      </c>
      <c r="R521" s="4">
        <v>0</v>
      </c>
      <c r="S521" s="4">
        <v>0</v>
      </c>
      <c r="T521" s="4">
        <v>42</v>
      </c>
      <c r="U521" s="4">
        <v>66</v>
      </c>
      <c r="V521" s="60">
        <f>IF(ISERROR(VLOOKUP($S$521,'TAR FIN'!$A$1:$O$104,15,0)),0,VLOOKUP($S$521,'TAR FIN'!$A$1:$O$104,15,0))</f>
        <v>0</v>
      </c>
      <c r="W521" s="60">
        <f>IF(ISERROR(VLOOKUP($T$521,'TAR FIN'!$A$1:$O$104,15,0)),0,VLOOKUP($T$521,'TAR FIN'!$A$1:$O$104,15,0))*(1-0.04)</f>
        <v>1276.9824000000001</v>
      </c>
      <c r="X521" s="60">
        <f>IF(ISERROR(VLOOKUP($U$521,'TAR FIN'!$A$1:$O$104,15,0)),0,VLOOKUP($U$521,'TAR FIN'!$A$1:$O$104,15,0))*(1-0.04)</f>
        <v>381.71519999999998</v>
      </c>
      <c r="Y521" s="60"/>
      <c r="Z521" s="60">
        <f ca="1">('TUSD BE'!$AM$25+'TUSD BF'!$AM$25+'TUSD CVA'!$AM$25)*1*(1-0.02)</f>
        <v>1318.940588933358</v>
      </c>
      <c r="AA521" s="60">
        <f>('TE BE'!$AB$7+'TE BF'!$AB$7+'TE CVA'!$AB$7)*1*(1-0.02)</f>
        <v>353.05508603815775</v>
      </c>
      <c r="AB521" s="60">
        <f>(SUBSIDIO!$J$521*SUBSIDIO!$V$521)*(0.04)/(1-0.04)</f>
        <v>0</v>
      </c>
      <c r="AC521" s="60">
        <f>((SUBSIDIO!$L$521*SUBSIDIO!$W$521)+(SUBSIDIO!$N$521*SUBSIDIO!$X$521))*(0.04)/(1-0.04)</f>
        <v>5767.5680047999995</v>
      </c>
      <c r="AD521" s="60">
        <f>(SUBSIDIO!$J$521*SUBSIDIO!$Y$521)*(0.02)/(1-0.02)</f>
        <v>0</v>
      </c>
      <c r="AE521" s="60">
        <f ca="1">((SUBSIDIO!$L$521*SUBSIDIO!$Z$521)+(SUBSIDIO!$N$521*SUBSIDIO!$AA$521))*(0.02)/(1-0.02)</f>
        <v>2847.57924628006</v>
      </c>
      <c r="AF521" s="4" t="s">
        <v>998</v>
      </c>
    </row>
    <row r="522" spans="1:32" ht="11.25" customHeight="1" x14ac:dyDescent="0.25">
      <c r="A522" s="4" t="s">
        <v>27</v>
      </c>
      <c r="B522" s="4" t="s">
        <v>41</v>
      </c>
      <c r="C522" s="4" t="s">
        <v>42</v>
      </c>
      <c r="D522" s="4" t="s">
        <v>45</v>
      </c>
      <c r="E522" s="4" t="s">
        <v>53</v>
      </c>
      <c r="F522" s="4" t="s">
        <v>25</v>
      </c>
      <c r="G522" s="4" t="s">
        <v>25</v>
      </c>
      <c r="H522" s="4" t="s">
        <v>34</v>
      </c>
      <c r="I522" s="5">
        <v>44470</v>
      </c>
      <c r="J522" s="6">
        <v>0</v>
      </c>
      <c r="K522" s="60">
        <v>0</v>
      </c>
      <c r="L522" s="6">
        <v>-0.56699999999999995</v>
      </c>
      <c r="M522" s="60">
        <v>-0.56699999999999995</v>
      </c>
      <c r="N522" s="6">
        <v>-0.56699999999999995</v>
      </c>
      <c r="O522" s="60">
        <v>-0.56699999999999995</v>
      </c>
      <c r="P522" s="6">
        <v>0</v>
      </c>
      <c r="Q522" s="4" t="s">
        <v>26</v>
      </c>
      <c r="R522" s="4">
        <v>0</v>
      </c>
      <c r="S522" s="4">
        <v>0</v>
      </c>
      <c r="T522" s="4">
        <v>42</v>
      </c>
      <c r="U522" s="4">
        <v>66</v>
      </c>
      <c r="V522" s="60">
        <f>IF(ISERROR(VLOOKUP($S$522,'TAR FIN'!$A$1:$O$104,15,0)),0,VLOOKUP($S$522,'TAR FIN'!$A$1:$O$104,15,0))</f>
        <v>0</v>
      </c>
      <c r="W522" s="60">
        <f>IF(ISERROR(VLOOKUP($T$522,'TAR FIN'!$A$1:$O$104,15,0)),0,VLOOKUP($T$522,'TAR FIN'!$A$1:$O$104,15,0))*(1-0.04)</f>
        <v>1276.9824000000001</v>
      </c>
      <c r="X522" s="60">
        <f>IF(ISERROR(VLOOKUP($U$522,'TAR FIN'!$A$1:$O$104,15,0)),0,VLOOKUP($U$522,'TAR FIN'!$A$1:$O$104,15,0))*(1-0.04)</f>
        <v>381.71519999999998</v>
      </c>
      <c r="Y522" s="60"/>
      <c r="Z522" s="60">
        <f ca="1">('TUSD BE'!$AM$25+'TUSD BF'!$AM$25+'TUSD CVA'!$AM$25)*1*(1-0.02)</f>
        <v>1318.940588933358</v>
      </c>
      <c r="AA522" s="60">
        <f>('TE BE'!$AB$7+'TE BF'!$AB$7+'TE CVA'!$AB$7)*1*(1-0.02)</f>
        <v>353.05508603815775</v>
      </c>
      <c r="AB522" s="60">
        <f>(SUBSIDIO!$J$522*SUBSIDIO!$V$522)*(0.04)/(1-0.04)</f>
        <v>0</v>
      </c>
      <c r="AC522" s="60">
        <f>((SUBSIDIO!$L$522*SUBSIDIO!$W$522)+(SUBSIDIO!$N$522*SUBSIDIO!$X$522))*(0.04)/(1-0.04)</f>
        <v>-39.186730799999999</v>
      </c>
      <c r="AD522" s="60">
        <f>(SUBSIDIO!$J$522*SUBSIDIO!$Y$522)*(0.02)/(1-0.02)</f>
        <v>0</v>
      </c>
      <c r="AE522" s="60">
        <f ca="1">((SUBSIDIO!$L$522*SUBSIDIO!$Z$522)+(SUBSIDIO!$N$522*SUBSIDIO!$AA$522))*(0.02)/(1-0.02)</f>
        <v>-19.347378524670393</v>
      </c>
      <c r="AF522" s="4" t="s">
        <v>998</v>
      </c>
    </row>
    <row r="523" spans="1:32" ht="11.25" customHeight="1" x14ac:dyDescent="0.25">
      <c r="A523" s="4" t="s">
        <v>21</v>
      </c>
      <c r="B523" s="4" t="s">
        <v>41</v>
      </c>
      <c r="C523" s="4" t="s">
        <v>42</v>
      </c>
      <c r="D523" s="4" t="s">
        <v>45</v>
      </c>
      <c r="E523" s="4" t="s">
        <v>53</v>
      </c>
      <c r="F523" s="4" t="s">
        <v>25</v>
      </c>
      <c r="G523" s="4" t="s">
        <v>25</v>
      </c>
      <c r="H523" s="4" t="s">
        <v>34</v>
      </c>
      <c r="I523" s="5">
        <v>44501</v>
      </c>
      <c r="J523" s="6">
        <v>0</v>
      </c>
      <c r="K523" s="60">
        <v>0</v>
      </c>
      <c r="L523" s="6">
        <v>125.313</v>
      </c>
      <c r="M523" s="60">
        <v>125.313</v>
      </c>
      <c r="N523" s="6">
        <v>125.313</v>
      </c>
      <c r="O523" s="60">
        <v>125.313</v>
      </c>
      <c r="P523" s="6">
        <v>0</v>
      </c>
      <c r="Q523" s="4" t="s">
        <v>26</v>
      </c>
      <c r="R523" s="4">
        <v>0</v>
      </c>
      <c r="S523" s="4">
        <v>0</v>
      </c>
      <c r="T523" s="4">
        <v>42</v>
      </c>
      <c r="U523" s="4">
        <v>66</v>
      </c>
      <c r="V523" s="60">
        <f>IF(ISERROR(VLOOKUP($S$523,'TAR FIN'!$A$1:$O$104,15,0)),0,VLOOKUP($S$523,'TAR FIN'!$A$1:$O$104,15,0))</f>
        <v>0</v>
      </c>
      <c r="W523" s="60">
        <f>IF(ISERROR(VLOOKUP($T$523,'TAR FIN'!$A$1:$O$104,15,0)),0,VLOOKUP($T$523,'TAR FIN'!$A$1:$O$104,15,0))*(1-0.04)</f>
        <v>1276.9824000000001</v>
      </c>
      <c r="X523" s="60">
        <f>IF(ISERROR(VLOOKUP($U$523,'TAR FIN'!$A$1:$O$104,15,0)),0,VLOOKUP($U$523,'TAR FIN'!$A$1:$O$104,15,0))*(1-0.04)</f>
        <v>381.71519999999998</v>
      </c>
      <c r="Y523" s="60"/>
      <c r="Z523" s="60">
        <f ca="1">('TUSD BE'!$AM$25+'TUSD BF'!$AM$25+'TUSD CVA'!$AM$25)*1*(1-0.02)</f>
        <v>1318.940588933358</v>
      </c>
      <c r="AA523" s="60">
        <f>('TE BE'!$AB$7+'TE BF'!$AB$7+'TE CVA'!$AB$7)*1*(1-0.02)</f>
        <v>353.05508603815775</v>
      </c>
      <c r="AB523" s="60">
        <f>(SUBSIDIO!$J$523*SUBSIDIO!$V$523)*(0.04)/(1-0.04)</f>
        <v>0</v>
      </c>
      <c r="AC523" s="60">
        <f>((SUBSIDIO!$L$523*SUBSIDIO!$W$523)+(SUBSIDIO!$N$523*SUBSIDIO!$X$523))*(0.04)/(1-0.04)</f>
        <v>8660.6821811999998</v>
      </c>
      <c r="AD523" s="60">
        <f>(SUBSIDIO!$J$523*SUBSIDIO!$Y$523)*(0.02)/(1-0.02)</f>
        <v>0</v>
      </c>
      <c r="AE523" s="60">
        <f ca="1">((SUBSIDIO!$L$523*SUBSIDIO!$Z$523)+(SUBSIDIO!$N$523*SUBSIDIO!$AA$523))*(0.02)/(1-0.02)</f>
        <v>4275.9753881164397</v>
      </c>
      <c r="AF523" s="4" t="s">
        <v>998</v>
      </c>
    </row>
    <row r="524" spans="1:32" ht="11.25" customHeight="1" x14ac:dyDescent="0.25">
      <c r="A524" s="4" t="s">
        <v>27</v>
      </c>
      <c r="B524" s="4" t="s">
        <v>41</v>
      </c>
      <c r="C524" s="4" t="s">
        <v>42</v>
      </c>
      <c r="D524" s="4" t="s">
        <v>45</v>
      </c>
      <c r="E524" s="4" t="s">
        <v>53</v>
      </c>
      <c r="F524" s="4" t="s">
        <v>25</v>
      </c>
      <c r="G524" s="4" t="s">
        <v>25</v>
      </c>
      <c r="H524" s="4" t="s">
        <v>34</v>
      </c>
      <c r="I524" s="5">
        <v>44501</v>
      </c>
      <c r="J524" s="6">
        <v>0</v>
      </c>
      <c r="K524" s="60">
        <v>0</v>
      </c>
      <c r="L524" s="6">
        <v>-10.221</v>
      </c>
      <c r="M524" s="60">
        <v>-10.221</v>
      </c>
      <c r="N524" s="6">
        <v>-10.221</v>
      </c>
      <c r="O524" s="60">
        <v>-10.221</v>
      </c>
      <c r="P524" s="6">
        <v>0</v>
      </c>
      <c r="Q524" s="4" t="s">
        <v>26</v>
      </c>
      <c r="R524" s="4">
        <v>0</v>
      </c>
      <c r="S524" s="4">
        <v>0</v>
      </c>
      <c r="T524" s="4">
        <v>42</v>
      </c>
      <c r="U524" s="4">
        <v>66</v>
      </c>
      <c r="V524" s="60">
        <f>IF(ISERROR(VLOOKUP($S$524,'TAR FIN'!$A$1:$O$104,15,0)),0,VLOOKUP($S$524,'TAR FIN'!$A$1:$O$104,15,0))</f>
        <v>0</v>
      </c>
      <c r="W524" s="60">
        <f>IF(ISERROR(VLOOKUP($T$524,'TAR FIN'!$A$1:$O$104,15,0)),0,VLOOKUP($T$524,'TAR FIN'!$A$1:$O$104,15,0))*(1-0.04)</f>
        <v>1276.9824000000001</v>
      </c>
      <c r="X524" s="60">
        <f>IF(ISERROR(VLOOKUP($U$524,'TAR FIN'!$A$1:$O$104,15,0)),0,VLOOKUP($U$524,'TAR FIN'!$A$1:$O$104,15,0))*(1-0.04)</f>
        <v>381.71519999999998</v>
      </c>
      <c r="Y524" s="60"/>
      <c r="Z524" s="60">
        <f ca="1">('TUSD BE'!$AM$25+'TUSD BF'!$AM$25+'TUSD CVA'!$AM$25)*1*(1-0.02)</f>
        <v>1318.940588933358</v>
      </c>
      <c r="AA524" s="60">
        <f>('TE BE'!$AB$7+'TE BF'!$AB$7+'TE CVA'!$AB$7)*1*(1-0.02)</f>
        <v>353.05508603815775</v>
      </c>
      <c r="AB524" s="60">
        <f>(SUBSIDIO!$J$524*SUBSIDIO!$V$524)*(0.04)/(1-0.04)</f>
        <v>0</v>
      </c>
      <c r="AC524" s="60">
        <f>((SUBSIDIO!$L$524*SUBSIDIO!$W$524)+(SUBSIDIO!$N$524*SUBSIDIO!$X$524))*(0.04)/(1-0.04)</f>
        <v>-706.39784040000006</v>
      </c>
      <c r="AD524" s="60">
        <f>(SUBSIDIO!$J$524*SUBSIDIO!$Y$524)*(0.02)/(1-0.02)</f>
        <v>0</v>
      </c>
      <c r="AE524" s="60">
        <f ca="1">((SUBSIDIO!$L$524*SUBSIDIO!$Z$524)+(SUBSIDIO!$N$524*SUBSIDIO!$AA$524))*(0.02)/(1-0.02)</f>
        <v>-348.7646488547727</v>
      </c>
      <c r="AF524" s="4" t="s">
        <v>998</v>
      </c>
    </row>
    <row r="525" spans="1:32" ht="11.25" customHeight="1" x14ac:dyDescent="0.25">
      <c r="A525" s="4" t="s">
        <v>28</v>
      </c>
      <c r="B525" s="4" t="s">
        <v>41</v>
      </c>
      <c r="C525" s="4" t="s">
        <v>42</v>
      </c>
      <c r="D525" s="4" t="s">
        <v>45</v>
      </c>
      <c r="E525" s="4" t="s">
        <v>53</v>
      </c>
      <c r="F525" s="4" t="s">
        <v>25</v>
      </c>
      <c r="G525" s="4" t="s">
        <v>25</v>
      </c>
      <c r="H525" s="4" t="s">
        <v>34</v>
      </c>
      <c r="I525" s="5">
        <v>44501</v>
      </c>
      <c r="J525" s="6">
        <v>0</v>
      </c>
      <c r="K525" s="60">
        <v>0</v>
      </c>
      <c r="L525" s="6">
        <v>0.41</v>
      </c>
      <c r="M525" s="60">
        <v>0.41</v>
      </c>
      <c r="N525" s="6">
        <v>0.41</v>
      </c>
      <c r="O525" s="60">
        <v>0.41</v>
      </c>
      <c r="P525" s="6">
        <v>0</v>
      </c>
      <c r="Q525" s="4" t="s">
        <v>26</v>
      </c>
      <c r="R525" s="4">
        <v>0</v>
      </c>
      <c r="S525" s="4">
        <v>0</v>
      </c>
      <c r="T525" s="4">
        <v>42</v>
      </c>
      <c r="U525" s="4">
        <v>66</v>
      </c>
      <c r="V525" s="60">
        <f>IF(ISERROR(VLOOKUP($S$525,'TAR FIN'!$A$1:$O$104,15,0)),0,VLOOKUP($S$525,'TAR FIN'!$A$1:$O$104,15,0))</f>
        <v>0</v>
      </c>
      <c r="W525" s="60">
        <f>IF(ISERROR(VLOOKUP($T$525,'TAR FIN'!$A$1:$O$104,15,0)),0,VLOOKUP($T$525,'TAR FIN'!$A$1:$O$104,15,0))*(1-0.04)</f>
        <v>1276.9824000000001</v>
      </c>
      <c r="X525" s="60">
        <f>IF(ISERROR(VLOOKUP($U$525,'TAR FIN'!$A$1:$O$104,15,0)),0,VLOOKUP($U$525,'TAR FIN'!$A$1:$O$104,15,0))*(1-0.04)</f>
        <v>381.71519999999998</v>
      </c>
      <c r="Y525" s="60"/>
      <c r="Z525" s="60">
        <f ca="1">('TUSD BE'!$AM$25+'TUSD BF'!$AM$25+'TUSD CVA'!$AM$25)*1*(1-0.02)</f>
        <v>1318.940588933358</v>
      </c>
      <c r="AA525" s="60">
        <f>('TE BE'!$AB$7+'TE BF'!$AB$7+'TE CVA'!$AB$7)*1*(1-0.02)</f>
        <v>353.05508603815775</v>
      </c>
      <c r="AB525" s="60">
        <f>(SUBSIDIO!$J$525*SUBSIDIO!$V$525)*(0.04)/(1-0.04)</f>
        <v>0</v>
      </c>
      <c r="AC525" s="60">
        <f>((SUBSIDIO!$L$525*SUBSIDIO!$W$525)+(SUBSIDIO!$N$525*SUBSIDIO!$X$525))*(0.04)/(1-0.04)</f>
        <v>28.336084</v>
      </c>
      <c r="AD525" s="60">
        <f>(SUBSIDIO!$J$525*SUBSIDIO!$Y$525)*(0.02)/(1-0.02)</f>
        <v>0</v>
      </c>
      <c r="AE525" s="60">
        <f ca="1">((SUBSIDIO!$L$525*SUBSIDIO!$Z$525)+(SUBSIDIO!$N$525*SUBSIDIO!$AA$525))*(0.02)/(1-0.02)</f>
        <v>13.990167892618803</v>
      </c>
      <c r="AF525" s="4" t="s">
        <v>998</v>
      </c>
    </row>
    <row r="526" spans="1:32" ht="11.25" customHeight="1" x14ac:dyDescent="0.25">
      <c r="A526" s="4" t="s">
        <v>28</v>
      </c>
      <c r="B526" s="4" t="s">
        <v>41</v>
      </c>
      <c r="C526" s="4" t="s">
        <v>42</v>
      </c>
      <c r="D526" s="4" t="s">
        <v>45</v>
      </c>
      <c r="E526" s="4" t="s">
        <v>53</v>
      </c>
      <c r="F526" s="4" t="s">
        <v>25</v>
      </c>
      <c r="G526" s="4" t="s">
        <v>25</v>
      </c>
      <c r="H526" s="4" t="s">
        <v>34</v>
      </c>
      <c r="I526" s="5">
        <v>44501</v>
      </c>
      <c r="J526" s="6">
        <v>0</v>
      </c>
      <c r="K526" s="60">
        <v>0</v>
      </c>
      <c r="L526" s="6">
        <v>0.32800000000000001</v>
      </c>
      <c r="M526" s="60">
        <v>0.32800000000000001</v>
      </c>
      <c r="N526" s="6">
        <v>0.32800000000000001</v>
      </c>
      <c r="O526" s="60">
        <v>0.32800000000000001</v>
      </c>
      <c r="P526" s="6">
        <v>0</v>
      </c>
      <c r="Q526" s="4" t="s">
        <v>26</v>
      </c>
      <c r="R526" s="4">
        <v>0</v>
      </c>
      <c r="S526" s="4">
        <v>0</v>
      </c>
      <c r="T526" s="4">
        <v>42</v>
      </c>
      <c r="U526" s="4">
        <v>66</v>
      </c>
      <c r="V526" s="60">
        <f>IF(ISERROR(VLOOKUP($S$526,'TAR FIN'!$A$1:$O$104,15,0)),0,VLOOKUP($S$526,'TAR FIN'!$A$1:$O$104,15,0))</f>
        <v>0</v>
      </c>
      <c r="W526" s="60">
        <f>IF(ISERROR(VLOOKUP($T$526,'TAR FIN'!$A$1:$O$104,15,0)),0,VLOOKUP($T$526,'TAR FIN'!$A$1:$O$104,15,0))*(1-0.04)</f>
        <v>1276.9824000000001</v>
      </c>
      <c r="X526" s="60">
        <f>IF(ISERROR(VLOOKUP($U$526,'TAR FIN'!$A$1:$O$104,15,0)),0,VLOOKUP($U$526,'TAR FIN'!$A$1:$O$104,15,0))*(1-0.04)</f>
        <v>381.71519999999998</v>
      </c>
      <c r="Y526" s="60"/>
      <c r="Z526" s="60">
        <f ca="1">('TUSD BE'!$AM$25+'TUSD BF'!$AM$25+'TUSD CVA'!$AM$25)*1*(1-0.02)</f>
        <v>1318.940588933358</v>
      </c>
      <c r="AA526" s="60">
        <f>('TE BE'!$AB$7+'TE BF'!$AB$7+'TE CVA'!$AB$7)*1*(1-0.02)</f>
        <v>353.05508603815775</v>
      </c>
      <c r="AB526" s="60">
        <f>(SUBSIDIO!$J$526*SUBSIDIO!$V$526)*(0.04)/(1-0.04)</f>
        <v>0</v>
      </c>
      <c r="AC526" s="60">
        <f>((SUBSIDIO!$L$526*SUBSIDIO!$W$526)+(SUBSIDIO!$N$526*SUBSIDIO!$X$526))*(0.04)/(1-0.04)</f>
        <v>22.668867200000005</v>
      </c>
      <c r="AD526" s="60">
        <f>(SUBSIDIO!$J$526*SUBSIDIO!$Y$526)*(0.02)/(1-0.02)</f>
        <v>0</v>
      </c>
      <c r="AE526" s="60">
        <f ca="1">((SUBSIDIO!$L$526*SUBSIDIO!$Z$526)+(SUBSIDIO!$N$526*SUBSIDIO!$AA$526))*(0.02)/(1-0.02)</f>
        <v>11.192134314095046</v>
      </c>
      <c r="AF526" s="4" t="s">
        <v>998</v>
      </c>
    </row>
    <row r="527" spans="1:32" ht="11.25" customHeight="1" x14ac:dyDescent="0.25">
      <c r="A527" s="4" t="s">
        <v>21</v>
      </c>
      <c r="B527" s="4" t="s">
        <v>41</v>
      </c>
      <c r="C527" s="4" t="s">
        <v>42</v>
      </c>
      <c r="D527" s="4" t="s">
        <v>45</v>
      </c>
      <c r="E527" s="4" t="s">
        <v>53</v>
      </c>
      <c r="F527" s="4" t="s">
        <v>25</v>
      </c>
      <c r="G527" s="4" t="s">
        <v>25</v>
      </c>
      <c r="H527" s="4" t="s">
        <v>34</v>
      </c>
      <c r="I527" s="5">
        <v>44531</v>
      </c>
      <c r="J527" s="6">
        <v>0</v>
      </c>
      <c r="K527" s="60">
        <v>0</v>
      </c>
      <c r="L527" s="6">
        <v>150.51900000000001</v>
      </c>
      <c r="M527" s="60">
        <v>150.51900000000001</v>
      </c>
      <c r="N527" s="6">
        <v>150.51900000000001</v>
      </c>
      <c r="O527" s="60">
        <v>150.51900000000001</v>
      </c>
      <c r="P527" s="6">
        <v>0</v>
      </c>
      <c r="Q527" s="4" t="s">
        <v>26</v>
      </c>
      <c r="R527" s="4">
        <v>0</v>
      </c>
      <c r="S527" s="4">
        <v>0</v>
      </c>
      <c r="T527" s="4">
        <v>42</v>
      </c>
      <c r="U527" s="4">
        <v>66</v>
      </c>
      <c r="V527" s="60">
        <f>IF(ISERROR(VLOOKUP($S$527,'TAR FIN'!$A$1:$O$104,15,0)),0,VLOOKUP($S$527,'TAR FIN'!$A$1:$O$104,15,0))</f>
        <v>0</v>
      </c>
      <c r="W527" s="60">
        <f>IF(ISERROR(VLOOKUP($T$527,'TAR FIN'!$A$1:$O$104,15,0)),0,VLOOKUP($T$527,'TAR FIN'!$A$1:$O$104,15,0))*(1-0.04)</f>
        <v>1276.9824000000001</v>
      </c>
      <c r="X527" s="60">
        <f>IF(ISERROR(VLOOKUP($U$527,'TAR FIN'!$A$1:$O$104,15,0)),0,VLOOKUP($U$527,'TAR FIN'!$A$1:$O$104,15,0))*(1-0.04)</f>
        <v>381.71519999999998</v>
      </c>
      <c r="Y527" s="60"/>
      <c r="Z527" s="60">
        <f ca="1">('TUSD BE'!$AM$25+'TUSD BF'!$AM$25+'TUSD CVA'!$AM$25)*1*(1-0.02)</f>
        <v>1318.940588933358</v>
      </c>
      <c r="AA527" s="60">
        <f>('TE BE'!$AB$7+'TE BF'!$AB$7+'TE CVA'!$AB$7)*1*(1-0.02)</f>
        <v>353.05508603815775</v>
      </c>
      <c r="AB527" s="60">
        <f>(SUBSIDIO!$J$527*SUBSIDIO!$V$527)*(0.04)/(1-0.04)</f>
        <v>0</v>
      </c>
      <c r="AC527" s="60">
        <f>((SUBSIDIO!$L$527*SUBSIDIO!$W$527)+(SUBSIDIO!$N$527*SUBSIDIO!$X$527))*(0.04)/(1-0.04)</f>
        <v>10402.729335600001</v>
      </c>
      <c r="AD527" s="60">
        <f>(SUBSIDIO!$J$527*SUBSIDIO!$Y$527)*(0.02)/(1-0.02)</f>
        <v>0</v>
      </c>
      <c r="AE527" s="60">
        <f ca="1">((SUBSIDIO!$L$527*SUBSIDIO!$Z$527)+(SUBSIDIO!$N$527*SUBSIDIO!$AA$527))*(0.02)/(1-0.02)</f>
        <v>5136.0636122660735</v>
      </c>
      <c r="AF527" s="4" t="s">
        <v>998</v>
      </c>
    </row>
    <row r="528" spans="1:32" ht="11.25" customHeight="1" x14ac:dyDescent="0.25">
      <c r="A528" s="4" t="s">
        <v>27</v>
      </c>
      <c r="B528" s="4" t="s">
        <v>41</v>
      </c>
      <c r="C528" s="4" t="s">
        <v>42</v>
      </c>
      <c r="D528" s="4" t="s">
        <v>45</v>
      </c>
      <c r="E528" s="4" t="s">
        <v>53</v>
      </c>
      <c r="F528" s="4" t="s">
        <v>25</v>
      </c>
      <c r="G528" s="4" t="s">
        <v>25</v>
      </c>
      <c r="H528" s="4" t="s">
        <v>34</v>
      </c>
      <c r="I528" s="5">
        <v>44531</v>
      </c>
      <c r="J528" s="6">
        <v>0</v>
      </c>
      <c r="K528" s="60">
        <v>0</v>
      </c>
      <c r="L528" s="6">
        <v>-5.5469999999999997</v>
      </c>
      <c r="M528" s="60">
        <v>-5.5469999999999997</v>
      </c>
      <c r="N528" s="6">
        <v>-5.5469999999999997</v>
      </c>
      <c r="O528" s="60">
        <v>-5.5469999999999997</v>
      </c>
      <c r="P528" s="6">
        <v>0</v>
      </c>
      <c r="Q528" s="4" t="s">
        <v>26</v>
      </c>
      <c r="R528" s="4">
        <v>0</v>
      </c>
      <c r="S528" s="4">
        <v>0</v>
      </c>
      <c r="T528" s="4">
        <v>42</v>
      </c>
      <c r="U528" s="4">
        <v>66</v>
      </c>
      <c r="V528" s="60">
        <f>IF(ISERROR(VLOOKUP($S$528,'TAR FIN'!$A$1:$O$104,15,0)),0,VLOOKUP($S$528,'TAR FIN'!$A$1:$O$104,15,0))</f>
        <v>0</v>
      </c>
      <c r="W528" s="60">
        <f>IF(ISERROR(VLOOKUP($T$528,'TAR FIN'!$A$1:$O$104,15,0)),0,VLOOKUP($T$528,'TAR FIN'!$A$1:$O$104,15,0))*(1-0.04)</f>
        <v>1276.9824000000001</v>
      </c>
      <c r="X528" s="60">
        <f>IF(ISERROR(VLOOKUP($U$528,'TAR FIN'!$A$1:$O$104,15,0)),0,VLOOKUP($U$528,'TAR FIN'!$A$1:$O$104,15,0))*(1-0.04)</f>
        <v>381.71519999999998</v>
      </c>
      <c r="Y528" s="60"/>
      <c r="Z528" s="60">
        <f ca="1">('TUSD BE'!$AM$25+'TUSD BF'!$AM$25+'TUSD CVA'!$AM$25)*1*(1-0.02)</f>
        <v>1318.940588933358</v>
      </c>
      <c r="AA528" s="60">
        <f>('TE BE'!$AB$7+'TE BF'!$AB$7+'TE CVA'!$AB$7)*1*(1-0.02)</f>
        <v>353.05508603815775</v>
      </c>
      <c r="AB528" s="60">
        <f>(SUBSIDIO!$J$528*SUBSIDIO!$V$528)*(0.04)/(1-0.04)</f>
        <v>0</v>
      </c>
      <c r="AC528" s="60">
        <f>((SUBSIDIO!$L$528*SUBSIDIO!$W$528)+(SUBSIDIO!$N$528*SUBSIDIO!$X$528))*(0.04)/(1-0.04)</f>
        <v>-383.36648280000009</v>
      </c>
      <c r="AD528" s="60">
        <f>(SUBSIDIO!$J$528*SUBSIDIO!$Y$528)*(0.02)/(1-0.02)</f>
        <v>0</v>
      </c>
      <c r="AE528" s="60">
        <f ca="1">((SUBSIDIO!$L$528*SUBSIDIO!$Z$528)+(SUBSIDIO!$N$528*SUBSIDIO!$AA$528))*(0.02)/(1-0.02)</f>
        <v>-189.27673487891832</v>
      </c>
      <c r="AF528" s="4" t="s">
        <v>998</v>
      </c>
    </row>
    <row r="529" spans="1:32" ht="11.25" customHeight="1" x14ac:dyDescent="0.25">
      <c r="A529" s="4" t="s">
        <v>28</v>
      </c>
      <c r="B529" s="4" t="s">
        <v>41</v>
      </c>
      <c r="C529" s="4" t="s">
        <v>42</v>
      </c>
      <c r="D529" s="4" t="s">
        <v>45</v>
      </c>
      <c r="E529" s="4" t="s">
        <v>53</v>
      </c>
      <c r="F529" s="4" t="s">
        <v>25</v>
      </c>
      <c r="G529" s="4" t="s">
        <v>25</v>
      </c>
      <c r="H529" s="4" t="s">
        <v>34</v>
      </c>
      <c r="I529" s="5">
        <v>44531</v>
      </c>
      <c r="J529" s="6">
        <v>0</v>
      </c>
      <c r="K529" s="60">
        <v>0</v>
      </c>
      <c r="L529" s="6">
        <v>8.2000000000000003E-2</v>
      </c>
      <c r="M529" s="60">
        <v>8.2000000000000003E-2</v>
      </c>
      <c r="N529" s="6">
        <v>8.2000000000000003E-2</v>
      </c>
      <c r="O529" s="60">
        <v>8.2000000000000003E-2</v>
      </c>
      <c r="P529" s="6">
        <v>0</v>
      </c>
      <c r="Q529" s="4" t="s">
        <v>26</v>
      </c>
      <c r="R529" s="4">
        <v>0</v>
      </c>
      <c r="S529" s="4">
        <v>0</v>
      </c>
      <c r="T529" s="4">
        <v>42</v>
      </c>
      <c r="U529" s="4">
        <v>66</v>
      </c>
      <c r="V529" s="60">
        <f>IF(ISERROR(VLOOKUP($S$529,'TAR FIN'!$A$1:$O$104,15,0)),0,VLOOKUP($S$529,'TAR FIN'!$A$1:$O$104,15,0))</f>
        <v>0</v>
      </c>
      <c r="W529" s="60">
        <f>IF(ISERROR(VLOOKUP($T$529,'TAR FIN'!$A$1:$O$104,15,0)),0,VLOOKUP($T$529,'TAR FIN'!$A$1:$O$104,15,0))*(1-0.04)</f>
        <v>1276.9824000000001</v>
      </c>
      <c r="X529" s="60">
        <f>IF(ISERROR(VLOOKUP($U$529,'TAR FIN'!$A$1:$O$104,15,0)),0,VLOOKUP($U$529,'TAR FIN'!$A$1:$O$104,15,0))*(1-0.04)</f>
        <v>381.71519999999998</v>
      </c>
      <c r="Y529" s="60"/>
      <c r="Z529" s="60">
        <f ca="1">('TUSD BE'!$AM$25+'TUSD BF'!$AM$25+'TUSD CVA'!$AM$25)*1*(1-0.02)</f>
        <v>1318.940588933358</v>
      </c>
      <c r="AA529" s="60">
        <f>('TE BE'!$AB$7+'TE BF'!$AB$7+'TE CVA'!$AB$7)*1*(1-0.02)</f>
        <v>353.05508603815775</v>
      </c>
      <c r="AB529" s="60">
        <f>(SUBSIDIO!$J$529*SUBSIDIO!$V$529)*(0.04)/(1-0.04)</f>
        <v>0</v>
      </c>
      <c r="AC529" s="60">
        <f>((SUBSIDIO!$L$529*SUBSIDIO!$W$529)+(SUBSIDIO!$N$529*SUBSIDIO!$X$529))*(0.04)/(1-0.04)</f>
        <v>5.6672168000000012</v>
      </c>
      <c r="AD529" s="60">
        <f>(SUBSIDIO!$J$529*SUBSIDIO!$Y$529)*(0.02)/(1-0.02)</f>
        <v>0</v>
      </c>
      <c r="AE529" s="60">
        <f ca="1">((SUBSIDIO!$L$529*SUBSIDIO!$Z$529)+(SUBSIDIO!$N$529*SUBSIDIO!$AA$529))*(0.02)/(1-0.02)</f>
        <v>2.7980335785237616</v>
      </c>
      <c r="AF529" s="4" t="s">
        <v>998</v>
      </c>
    </row>
    <row r="530" spans="1:32" ht="11.25" customHeight="1" x14ac:dyDescent="0.25">
      <c r="A530" s="4" t="s">
        <v>21</v>
      </c>
      <c r="B530" s="4" t="s">
        <v>41</v>
      </c>
      <c r="C530" s="4" t="s">
        <v>42</v>
      </c>
      <c r="D530" s="4" t="s">
        <v>45</v>
      </c>
      <c r="E530" s="4" t="s">
        <v>53</v>
      </c>
      <c r="F530" s="4" t="s">
        <v>25</v>
      </c>
      <c r="G530" s="4" t="s">
        <v>25</v>
      </c>
      <c r="H530" s="4" t="s">
        <v>34</v>
      </c>
      <c r="I530" s="5">
        <v>44562</v>
      </c>
      <c r="J530" s="6">
        <v>0</v>
      </c>
      <c r="K530" s="60">
        <v>0</v>
      </c>
      <c r="L530" s="6">
        <v>120.78400000000001</v>
      </c>
      <c r="M530" s="60">
        <v>120.78400000000001</v>
      </c>
      <c r="N530" s="6">
        <v>120.78400000000001</v>
      </c>
      <c r="O530" s="60">
        <v>120.78400000000001</v>
      </c>
      <c r="P530" s="6">
        <v>0</v>
      </c>
      <c r="Q530" s="4" t="s">
        <v>26</v>
      </c>
      <c r="R530" s="4">
        <v>0</v>
      </c>
      <c r="S530" s="4">
        <v>0</v>
      </c>
      <c r="T530" s="4">
        <v>42</v>
      </c>
      <c r="U530" s="4">
        <v>66</v>
      </c>
      <c r="V530" s="60">
        <f>IF(ISERROR(VLOOKUP($S$530,'TAR FIN'!$A$1:$O$104,15,0)),0,VLOOKUP($S$530,'TAR FIN'!$A$1:$O$104,15,0))</f>
        <v>0</v>
      </c>
      <c r="W530" s="60">
        <f>IF(ISERROR(VLOOKUP($T$530,'TAR FIN'!$A$1:$O$104,15,0)),0,VLOOKUP($T$530,'TAR FIN'!$A$1:$O$104,15,0))*(1-0.04)</f>
        <v>1276.9824000000001</v>
      </c>
      <c r="X530" s="60">
        <f>IF(ISERROR(VLOOKUP($U$530,'TAR FIN'!$A$1:$O$104,15,0)),0,VLOOKUP($U$530,'TAR FIN'!$A$1:$O$104,15,0))*(1-0.04)</f>
        <v>381.71519999999998</v>
      </c>
      <c r="Y530" s="60"/>
      <c r="Z530" s="60">
        <f ca="1">('TUSD BE'!$AM$25+'TUSD BF'!$AM$25+'TUSD CVA'!$AM$25)*1*(1-0.02)</f>
        <v>1318.940588933358</v>
      </c>
      <c r="AA530" s="60">
        <f>('TE BE'!$AB$7+'TE BF'!$AB$7+'TE CVA'!$AB$7)*1*(1-0.02)</f>
        <v>353.05508603815775</v>
      </c>
      <c r="AB530" s="60">
        <f>(SUBSIDIO!$J$530*SUBSIDIO!$V$530)*(0.04)/(1-0.04)</f>
        <v>0</v>
      </c>
      <c r="AC530" s="60">
        <f>((SUBSIDIO!$L$530*SUBSIDIO!$W$530)+(SUBSIDIO!$N$530*SUBSIDIO!$X$530))*(0.04)/(1-0.04)</f>
        <v>8347.6721216000005</v>
      </c>
      <c r="AD530" s="60">
        <f>(SUBSIDIO!$J$530*SUBSIDIO!$Y$530)*(0.02)/(1-0.02)</f>
        <v>0</v>
      </c>
      <c r="AE530" s="60">
        <f ca="1">((SUBSIDIO!$L$530*SUBSIDIO!$Z$530)+(SUBSIDIO!$N$530*SUBSIDIO!$AA$530))*(0.02)/(1-0.02)</f>
        <v>4121.4352164440734</v>
      </c>
      <c r="AF530" s="4" t="s">
        <v>998</v>
      </c>
    </row>
    <row r="531" spans="1:32" ht="11.25" customHeight="1" x14ac:dyDescent="0.25">
      <c r="A531" s="4" t="s">
        <v>27</v>
      </c>
      <c r="B531" s="4" t="s">
        <v>41</v>
      </c>
      <c r="C531" s="4" t="s">
        <v>42</v>
      </c>
      <c r="D531" s="4" t="s">
        <v>45</v>
      </c>
      <c r="E531" s="4" t="s">
        <v>53</v>
      </c>
      <c r="F531" s="4" t="s">
        <v>25</v>
      </c>
      <c r="G531" s="4" t="s">
        <v>25</v>
      </c>
      <c r="H531" s="4" t="s">
        <v>34</v>
      </c>
      <c r="I531" s="5">
        <v>44562</v>
      </c>
      <c r="J531" s="6">
        <v>0</v>
      </c>
      <c r="K531" s="60">
        <v>0</v>
      </c>
      <c r="L531" s="6">
        <v>-1.861</v>
      </c>
      <c r="M531" s="60">
        <v>-1.861</v>
      </c>
      <c r="N531" s="6">
        <v>-1.861</v>
      </c>
      <c r="O531" s="60">
        <v>-1.861</v>
      </c>
      <c r="P531" s="6">
        <v>0</v>
      </c>
      <c r="Q531" s="4" t="s">
        <v>26</v>
      </c>
      <c r="R531" s="4">
        <v>0</v>
      </c>
      <c r="S531" s="4">
        <v>0</v>
      </c>
      <c r="T531" s="4">
        <v>42</v>
      </c>
      <c r="U531" s="4">
        <v>66</v>
      </c>
      <c r="V531" s="60">
        <f>IF(ISERROR(VLOOKUP($S$531,'TAR FIN'!$A$1:$O$104,15,0)),0,VLOOKUP($S$531,'TAR FIN'!$A$1:$O$104,15,0))</f>
        <v>0</v>
      </c>
      <c r="W531" s="60">
        <f>IF(ISERROR(VLOOKUP($T$531,'TAR FIN'!$A$1:$O$104,15,0)),0,VLOOKUP($T$531,'TAR FIN'!$A$1:$O$104,15,0))*(1-0.04)</f>
        <v>1276.9824000000001</v>
      </c>
      <c r="X531" s="60">
        <f>IF(ISERROR(VLOOKUP($U$531,'TAR FIN'!$A$1:$O$104,15,0)),0,VLOOKUP($U$531,'TAR FIN'!$A$1:$O$104,15,0))*(1-0.04)</f>
        <v>381.71519999999998</v>
      </c>
      <c r="Y531" s="60"/>
      <c r="Z531" s="60">
        <f ca="1">('TUSD BE'!$AM$25+'TUSD BF'!$AM$25+'TUSD CVA'!$AM$25)*1*(1-0.02)</f>
        <v>1318.940588933358</v>
      </c>
      <c r="AA531" s="60">
        <f>('TE BE'!$AB$7+'TE BF'!$AB$7+'TE CVA'!$AB$7)*1*(1-0.02)</f>
        <v>353.05508603815775</v>
      </c>
      <c r="AB531" s="60">
        <f>(SUBSIDIO!$J$531*SUBSIDIO!$V$531)*(0.04)/(1-0.04)</f>
        <v>0</v>
      </c>
      <c r="AC531" s="60">
        <f>((SUBSIDIO!$L$531*SUBSIDIO!$W$531)+(SUBSIDIO!$N$531*SUBSIDIO!$X$531))*(0.04)/(1-0.04)</f>
        <v>-128.61817640000001</v>
      </c>
      <c r="AD531" s="60">
        <f>(SUBSIDIO!$J$531*SUBSIDIO!$Y$531)*(0.02)/(1-0.02)</f>
        <v>0</v>
      </c>
      <c r="AE531" s="60">
        <f ca="1">((SUBSIDIO!$L$531*SUBSIDIO!$Z$531)+(SUBSIDIO!$N$531*SUBSIDIO!$AA$531))*(0.02)/(1-0.02)</f>
        <v>-63.501713288203895</v>
      </c>
      <c r="AF531" s="4" t="s">
        <v>998</v>
      </c>
    </row>
    <row r="532" spans="1:32" ht="11.25" customHeight="1" x14ac:dyDescent="0.25">
      <c r="A532" s="4" t="s">
        <v>21</v>
      </c>
      <c r="B532" s="4" t="s">
        <v>41</v>
      </c>
      <c r="C532" s="4" t="s">
        <v>42</v>
      </c>
      <c r="D532" s="4" t="s">
        <v>45</v>
      </c>
      <c r="E532" s="4" t="s">
        <v>53</v>
      </c>
      <c r="F532" s="4" t="s">
        <v>25</v>
      </c>
      <c r="G532" s="4" t="s">
        <v>25</v>
      </c>
      <c r="H532" s="4" t="s">
        <v>34</v>
      </c>
      <c r="I532" s="5">
        <v>44593</v>
      </c>
      <c r="J532" s="6">
        <v>0</v>
      </c>
      <c r="K532" s="60">
        <v>0</v>
      </c>
      <c r="L532" s="6">
        <v>97.376999999999995</v>
      </c>
      <c r="M532" s="60">
        <v>97.376999999999995</v>
      </c>
      <c r="N532" s="6">
        <v>97.376999999999995</v>
      </c>
      <c r="O532" s="60">
        <v>97.376999999999995</v>
      </c>
      <c r="P532" s="6">
        <v>0</v>
      </c>
      <c r="Q532" s="4" t="s">
        <v>26</v>
      </c>
      <c r="R532" s="4">
        <v>0</v>
      </c>
      <c r="S532" s="4">
        <v>0</v>
      </c>
      <c r="T532" s="4">
        <v>42</v>
      </c>
      <c r="U532" s="4">
        <v>66</v>
      </c>
      <c r="V532" s="60">
        <f>IF(ISERROR(VLOOKUP($S$532,'TAR FIN'!$A$1:$O$104,15,0)),0,VLOOKUP($S$532,'TAR FIN'!$A$1:$O$104,15,0))</f>
        <v>0</v>
      </c>
      <c r="W532" s="60">
        <f>IF(ISERROR(VLOOKUP($T$532,'TAR FIN'!$A$1:$O$104,15,0)),0,VLOOKUP($T$532,'TAR FIN'!$A$1:$O$104,15,0))*(1-0.04)</f>
        <v>1276.9824000000001</v>
      </c>
      <c r="X532" s="60">
        <f>IF(ISERROR(VLOOKUP($U$532,'TAR FIN'!$A$1:$O$104,15,0)),0,VLOOKUP($U$532,'TAR FIN'!$A$1:$O$104,15,0))*(1-0.04)</f>
        <v>381.71519999999998</v>
      </c>
      <c r="Y532" s="60"/>
      <c r="Z532" s="60">
        <f ca="1">('TUSD BE'!$AM$25+'TUSD BF'!$AM$25+'TUSD CVA'!$AM$25)*1*(1-0.02)</f>
        <v>1318.940588933358</v>
      </c>
      <c r="AA532" s="60">
        <f>('TE BE'!$AB$7+'TE BF'!$AB$7+'TE CVA'!$AB$7)*1*(1-0.02)</f>
        <v>353.05508603815775</v>
      </c>
      <c r="AB532" s="60">
        <f>(SUBSIDIO!$J$532*SUBSIDIO!$V$532)*(0.04)/(1-0.04)</f>
        <v>0</v>
      </c>
      <c r="AC532" s="60">
        <f>((SUBSIDIO!$L$532*SUBSIDIO!$W$532)+(SUBSIDIO!$N$532*SUBSIDIO!$X$532))*(0.04)/(1-0.04)</f>
        <v>6729.9581748000001</v>
      </c>
      <c r="AD532" s="60">
        <f>(SUBSIDIO!$J$532*SUBSIDIO!$Y$532)*(0.02)/(1-0.02)</f>
        <v>0</v>
      </c>
      <c r="AE532" s="60">
        <f ca="1">((SUBSIDIO!$L$532*SUBSIDIO!$Z$532)+(SUBSIDIO!$N$532*SUBSIDIO!$AA$532))*(0.02)/(1-0.02)</f>
        <v>3322.7331192183938</v>
      </c>
      <c r="AF532" s="4" t="s">
        <v>998</v>
      </c>
    </row>
    <row r="533" spans="1:32" ht="11.25" customHeight="1" x14ac:dyDescent="0.25">
      <c r="A533" s="4" t="s">
        <v>27</v>
      </c>
      <c r="B533" s="4" t="s">
        <v>41</v>
      </c>
      <c r="C533" s="4" t="s">
        <v>42</v>
      </c>
      <c r="D533" s="4" t="s">
        <v>45</v>
      </c>
      <c r="E533" s="4" t="s">
        <v>53</v>
      </c>
      <c r="F533" s="4" t="s">
        <v>25</v>
      </c>
      <c r="G533" s="4" t="s">
        <v>25</v>
      </c>
      <c r="H533" s="4" t="s">
        <v>34</v>
      </c>
      <c r="I533" s="5">
        <v>44593</v>
      </c>
      <c r="J533" s="6">
        <v>0</v>
      </c>
      <c r="K533" s="60">
        <v>0</v>
      </c>
      <c r="L533" s="6">
        <v>-1.9E-2</v>
      </c>
      <c r="M533" s="60">
        <v>-1.9E-2</v>
      </c>
      <c r="N533" s="6">
        <v>-1.9E-2</v>
      </c>
      <c r="O533" s="60">
        <v>-1.9E-2</v>
      </c>
      <c r="P533" s="6">
        <v>0</v>
      </c>
      <c r="Q533" s="4" t="s">
        <v>26</v>
      </c>
      <c r="R533" s="4">
        <v>0</v>
      </c>
      <c r="S533" s="4">
        <v>0</v>
      </c>
      <c r="T533" s="4">
        <v>42</v>
      </c>
      <c r="U533" s="4">
        <v>66</v>
      </c>
      <c r="V533" s="60">
        <f>IF(ISERROR(VLOOKUP($S$533,'TAR FIN'!$A$1:$O$104,15,0)),0,VLOOKUP($S$533,'TAR FIN'!$A$1:$O$104,15,0))</f>
        <v>0</v>
      </c>
      <c r="W533" s="60">
        <f>IF(ISERROR(VLOOKUP($T$533,'TAR FIN'!$A$1:$O$104,15,0)),0,VLOOKUP($T$533,'TAR FIN'!$A$1:$O$104,15,0))*(1-0.04)</f>
        <v>1276.9824000000001</v>
      </c>
      <c r="X533" s="60">
        <f>IF(ISERROR(VLOOKUP($U$533,'TAR FIN'!$A$1:$O$104,15,0)),0,VLOOKUP($U$533,'TAR FIN'!$A$1:$O$104,15,0))*(1-0.04)</f>
        <v>381.71519999999998</v>
      </c>
      <c r="Y533" s="60"/>
      <c r="Z533" s="60">
        <f ca="1">('TUSD BE'!$AM$25+'TUSD BF'!$AM$25+'TUSD CVA'!$AM$25)*1*(1-0.02)</f>
        <v>1318.940588933358</v>
      </c>
      <c r="AA533" s="60">
        <f>('TE BE'!$AB$7+'TE BF'!$AB$7+'TE CVA'!$AB$7)*1*(1-0.02)</f>
        <v>353.05508603815775</v>
      </c>
      <c r="AB533" s="60">
        <f>(SUBSIDIO!$J$533*SUBSIDIO!$V$533)*(0.04)/(1-0.04)</f>
        <v>0</v>
      </c>
      <c r="AC533" s="60">
        <f>((SUBSIDIO!$L$533*SUBSIDIO!$W$533)+(SUBSIDIO!$N$533*SUBSIDIO!$X$533))*(0.04)/(1-0.04)</f>
        <v>-1.3131356000000003</v>
      </c>
      <c r="AD533" s="60">
        <f>(SUBSIDIO!$J$533*SUBSIDIO!$Y$533)*(0.02)/(1-0.02)</f>
        <v>0</v>
      </c>
      <c r="AE533" s="60">
        <f ca="1">((SUBSIDIO!$L$533*SUBSIDIO!$Z$533)+(SUBSIDIO!$N$533*SUBSIDIO!$AA$533))*(0.02)/(1-0.02)</f>
        <v>-0.64832485356038361</v>
      </c>
      <c r="AF533" s="4" t="s">
        <v>998</v>
      </c>
    </row>
    <row r="534" spans="1:32" ht="11.25" customHeight="1" x14ac:dyDescent="0.25">
      <c r="A534" s="4" t="s">
        <v>21</v>
      </c>
      <c r="B534" s="4" t="s">
        <v>41</v>
      </c>
      <c r="C534" s="4" t="s">
        <v>42</v>
      </c>
      <c r="D534" s="4" t="s">
        <v>45</v>
      </c>
      <c r="E534" s="4" t="s">
        <v>53</v>
      </c>
      <c r="F534" s="4" t="s">
        <v>25</v>
      </c>
      <c r="G534" s="4" t="s">
        <v>25</v>
      </c>
      <c r="H534" s="4" t="s">
        <v>34</v>
      </c>
      <c r="I534" s="5">
        <v>44621</v>
      </c>
      <c r="J534" s="6">
        <v>0</v>
      </c>
      <c r="K534" s="60">
        <v>0</v>
      </c>
      <c r="L534" s="6">
        <v>91.048000000000002</v>
      </c>
      <c r="M534" s="60">
        <v>91.048000000000002</v>
      </c>
      <c r="N534" s="6">
        <v>91.048000000000002</v>
      </c>
      <c r="O534" s="60">
        <v>91.048000000000002</v>
      </c>
      <c r="P534" s="6">
        <v>0</v>
      </c>
      <c r="Q534" s="4" t="s">
        <v>26</v>
      </c>
      <c r="R534" s="4">
        <v>0</v>
      </c>
      <c r="S534" s="4">
        <v>0</v>
      </c>
      <c r="T534" s="4">
        <v>42</v>
      </c>
      <c r="U534" s="4">
        <v>66</v>
      </c>
      <c r="V534" s="60">
        <f>IF(ISERROR(VLOOKUP($S$534,'TAR FIN'!$A$1:$O$104,15,0)),0,VLOOKUP($S$534,'TAR FIN'!$A$1:$O$104,15,0))</f>
        <v>0</v>
      </c>
      <c r="W534" s="60">
        <f>IF(ISERROR(VLOOKUP($T$534,'TAR FIN'!$A$1:$O$104,15,0)),0,VLOOKUP($T$534,'TAR FIN'!$A$1:$O$104,15,0))*(1-0.04)</f>
        <v>1276.9824000000001</v>
      </c>
      <c r="X534" s="60">
        <f>IF(ISERROR(VLOOKUP($U$534,'TAR FIN'!$A$1:$O$104,15,0)),0,VLOOKUP($U$534,'TAR FIN'!$A$1:$O$104,15,0))*(1-0.04)</f>
        <v>381.71519999999998</v>
      </c>
      <c r="Y534" s="60"/>
      <c r="Z534" s="60">
        <f ca="1">('TUSD BE'!$AM$25+'TUSD BF'!$AM$25+'TUSD CVA'!$AM$25)*1*(1-0.02)</f>
        <v>1318.940588933358</v>
      </c>
      <c r="AA534" s="60">
        <f>('TE BE'!$AB$7+'TE BF'!$AB$7+'TE CVA'!$AB$7)*1*(1-0.02)</f>
        <v>353.05508603815775</v>
      </c>
      <c r="AB534" s="60">
        <f>(SUBSIDIO!$J$534*SUBSIDIO!$V$534)*(0.04)/(1-0.04)</f>
        <v>0</v>
      </c>
      <c r="AC534" s="60">
        <f>((SUBSIDIO!$L$534*SUBSIDIO!$W$534)+(SUBSIDIO!$N$534*SUBSIDIO!$X$534))*(0.04)/(1-0.04)</f>
        <v>6292.5457951999997</v>
      </c>
      <c r="AD534" s="60">
        <f>(SUBSIDIO!$J$534*SUBSIDIO!$Y$534)*(0.02)/(1-0.02)</f>
        <v>0</v>
      </c>
      <c r="AE534" s="60">
        <f ca="1">((SUBSIDIO!$L$534*SUBSIDIO!$Z$534)+(SUBSIDIO!$N$534*SUBSIDIO!$AA$534))*(0.02)/(1-0.02)</f>
        <v>3106.7726982613585</v>
      </c>
      <c r="AF534" s="4" t="s">
        <v>998</v>
      </c>
    </row>
    <row r="535" spans="1:32" ht="11.25" customHeight="1" x14ac:dyDescent="0.25">
      <c r="A535" s="4" t="s">
        <v>21</v>
      </c>
      <c r="B535" s="4" t="s">
        <v>41</v>
      </c>
      <c r="C535" s="4" t="s">
        <v>42</v>
      </c>
      <c r="D535" s="4" t="s">
        <v>45</v>
      </c>
      <c r="E535" s="4" t="s">
        <v>53</v>
      </c>
      <c r="F535" s="4" t="s">
        <v>25</v>
      </c>
      <c r="G535" s="4" t="s">
        <v>25</v>
      </c>
      <c r="H535" s="4" t="s">
        <v>34</v>
      </c>
      <c r="I535" s="5">
        <v>44652</v>
      </c>
      <c r="J535" s="6">
        <v>0</v>
      </c>
      <c r="K535" s="60">
        <v>0</v>
      </c>
      <c r="L535" s="6">
        <v>87.200999999999993</v>
      </c>
      <c r="M535" s="60">
        <v>87.200999999999993</v>
      </c>
      <c r="N535" s="6">
        <v>87.200999999999993</v>
      </c>
      <c r="O535" s="60">
        <v>87.200999999999993</v>
      </c>
      <c r="P535" s="6">
        <v>0</v>
      </c>
      <c r="Q535" s="4" t="s">
        <v>26</v>
      </c>
      <c r="R535" s="4">
        <v>0</v>
      </c>
      <c r="S535" s="4">
        <v>0</v>
      </c>
      <c r="T535" s="4">
        <v>42</v>
      </c>
      <c r="U535" s="4">
        <v>66</v>
      </c>
      <c r="V535" s="60">
        <f>IF(ISERROR(VLOOKUP($S$535,'TAR FIN'!$A$1:$O$104,15,0)),0,VLOOKUP($S$535,'TAR FIN'!$A$1:$O$104,15,0))</f>
        <v>0</v>
      </c>
      <c r="W535" s="60">
        <f>IF(ISERROR(VLOOKUP($T$535,'TAR FIN'!$A$1:$O$104,15,0)),0,VLOOKUP($T$535,'TAR FIN'!$A$1:$O$104,15,0))*(1-0.04)</f>
        <v>1276.9824000000001</v>
      </c>
      <c r="X535" s="60">
        <f>IF(ISERROR(VLOOKUP($U$535,'TAR FIN'!$A$1:$O$104,15,0)),0,VLOOKUP($U$535,'TAR FIN'!$A$1:$O$104,15,0))*(1-0.04)</f>
        <v>381.71519999999998</v>
      </c>
      <c r="Y535" s="60"/>
      <c r="Z535" s="60">
        <f ca="1">('TUSD BE'!$AM$25+'TUSD BF'!$AM$25+'TUSD CVA'!$AM$25)*1*(1-0.02)</f>
        <v>1318.940588933358</v>
      </c>
      <c r="AA535" s="60">
        <f>('TE BE'!$AB$7+'TE BF'!$AB$7+'TE CVA'!$AB$7)*1*(1-0.02)</f>
        <v>353.05508603815775</v>
      </c>
      <c r="AB535" s="60">
        <f>(SUBSIDIO!$J$535*SUBSIDIO!$V$535)*(0.04)/(1-0.04)</f>
        <v>0</v>
      </c>
      <c r="AC535" s="60">
        <f>((SUBSIDIO!$L$535*SUBSIDIO!$W$535)+(SUBSIDIO!$N$535*SUBSIDIO!$X$535))*(0.04)/(1-0.04)</f>
        <v>6026.6703923999994</v>
      </c>
      <c r="AD535" s="60">
        <f>(SUBSIDIO!$J$535*SUBSIDIO!$Y$535)*(0.02)/(1-0.02)</f>
        <v>0</v>
      </c>
      <c r="AE535" s="60">
        <f ca="1">((SUBSIDIO!$L$535*SUBSIDIO!$Z$535)+(SUBSIDIO!$N$535*SUBSIDIO!$AA$535))*(0.02)/(1-0.02)</f>
        <v>2975.5039765957381</v>
      </c>
      <c r="AF535" s="4" t="s">
        <v>998</v>
      </c>
    </row>
    <row r="536" spans="1:32" ht="11.25" customHeight="1" x14ac:dyDescent="0.25">
      <c r="A536" s="4" t="s">
        <v>27</v>
      </c>
      <c r="B536" s="4" t="s">
        <v>41</v>
      </c>
      <c r="C536" s="4" t="s">
        <v>42</v>
      </c>
      <c r="D536" s="4" t="s">
        <v>45</v>
      </c>
      <c r="E536" s="4" t="s">
        <v>53</v>
      </c>
      <c r="F536" s="4" t="s">
        <v>25</v>
      </c>
      <c r="G536" s="4" t="s">
        <v>25</v>
      </c>
      <c r="H536" s="4" t="s">
        <v>34</v>
      </c>
      <c r="I536" s="5">
        <v>44652</v>
      </c>
      <c r="J536" s="6">
        <v>0</v>
      </c>
      <c r="K536" s="60">
        <v>0</v>
      </c>
      <c r="L536" s="6">
        <v>-2.931</v>
      </c>
      <c r="M536" s="60">
        <v>-2.931</v>
      </c>
      <c r="N536" s="6">
        <v>-2.931</v>
      </c>
      <c r="O536" s="60">
        <v>-2.931</v>
      </c>
      <c r="P536" s="6">
        <v>0</v>
      </c>
      <c r="Q536" s="4" t="s">
        <v>26</v>
      </c>
      <c r="R536" s="4">
        <v>0</v>
      </c>
      <c r="S536" s="4">
        <v>0</v>
      </c>
      <c r="T536" s="4">
        <v>42</v>
      </c>
      <c r="U536" s="4">
        <v>66</v>
      </c>
      <c r="V536" s="60">
        <f>IF(ISERROR(VLOOKUP($S$536,'TAR FIN'!$A$1:$O$104,15,0)),0,VLOOKUP($S$536,'TAR FIN'!$A$1:$O$104,15,0))</f>
        <v>0</v>
      </c>
      <c r="W536" s="60">
        <f>IF(ISERROR(VLOOKUP($T$536,'TAR FIN'!$A$1:$O$104,15,0)),0,VLOOKUP($T$536,'TAR FIN'!$A$1:$O$104,15,0))*(1-0.04)</f>
        <v>1276.9824000000001</v>
      </c>
      <c r="X536" s="60">
        <f>IF(ISERROR(VLOOKUP($U$536,'TAR FIN'!$A$1:$O$104,15,0)),0,VLOOKUP($U$536,'TAR FIN'!$A$1:$O$104,15,0))*(1-0.04)</f>
        <v>381.71519999999998</v>
      </c>
      <c r="Y536" s="60"/>
      <c r="Z536" s="60">
        <f ca="1">('TUSD BE'!$AM$25+'TUSD BF'!$AM$25+'TUSD CVA'!$AM$25)*1*(1-0.02)</f>
        <v>1318.940588933358</v>
      </c>
      <c r="AA536" s="60">
        <f>('TE BE'!$AB$7+'TE BF'!$AB$7+'TE CVA'!$AB$7)*1*(1-0.02)</f>
        <v>353.05508603815775</v>
      </c>
      <c r="AB536" s="60">
        <f>(SUBSIDIO!$J$536*SUBSIDIO!$V$536)*(0.04)/(1-0.04)</f>
        <v>0</v>
      </c>
      <c r="AC536" s="60">
        <f>((SUBSIDIO!$L$536*SUBSIDIO!$W$536)+(SUBSIDIO!$N$536*SUBSIDIO!$X$536))*(0.04)/(1-0.04)</f>
        <v>-202.5684444</v>
      </c>
      <c r="AD536" s="60">
        <f>(SUBSIDIO!$J$536*SUBSIDIO!$Y$536)*(0.02)/(1-0.02)</f>
        <v>0</v>
      </c>
      <c r="AE536" s="60">
        <f ca="1">((SUBSIDIO!$L$536*SUBSIDIO!$Z$536)+(SUBSIDIO!$N$536*SUBSIDIO!$AA$536))*(0.02)/(1-0.02)</f>
        <v>-100.0126392518676</v>
      </c>
      <c r="AF536" s="4" t="s">
        <v>998</v>
      </c>
    </row>
    <row r="537" spans="1:32" ht="11.25" customHeight="1" x14ac:dyDescent="0.25">
      <c r="A537" s="4" t="s">
        <v>28</v>
      </c>
      <c r="B537" s="4" t="s">
        <v>41</v>
      </c>
      <c r="C537" s="4" t="s">
        <v>42</v>
      </c>
      <c r="D537" s="4" t="s">
        <v>45</v>
      </c>
      <c r="E537" s="4" t="s">
        <v>53</v>
      </c>
      <c r="F537" s="4" t="s">
        <v>25</v>
      </c>
      <c r="G537" s="4" t="s">
        <v>25</v>
      </c>
      <c r="H537" s="4" t="s">
        <v>34</v>
      </c>
      <c r="I537" s="5">
        <v>44652</v>
      </c>
      <c r="J537" s="6">
        <v>0</v>
      </c>
      <c r="K537" s="60">
        <v>0</v>
      </c>
      <c r="L537" s="6">
        <v>0.89</v>
      </c>
      <c r="M537" s="60">
        <v>0.89</v>
      </c>
      <c r="N537" s="6">
        <v>0.89</v>
      </c>
      <c r="O537" s="60">
        <v>0.89</v>
      </c>
      <c r="P537" s="6">
        <v>0</v>
      </c>
      <c r="Q537" s="4" t="s">
        <v>26</v>
      </c>
      <c r="R537" s="4">
        <v>0</v>
      </c>
      <c r="S537" s="4">
        <v>0</v>
      </c>
      <c r="T537" s="4">
        <v>42</v>
      </c>
      <c r="U537" s="4">
        <v>66</v>
      </c>
      <c r="V537" s="60">
        <f>IF(ISERROR(VLOOKUP($S$537,'TAR FIN'!$A$1:$O$104,15,0)),0,VLOOKUP($S$537,'TAR FIN'!$A$1:$O$104,15,0))</f>
        <v>0</v>
      </c>
      <c r="W537" s="60">
        <f>IF(ISERROR(VLOOKUP($T$537,'TAR FIN'!$A$1:$O$104,15,0)),0,VLOOKUP($T$537,'TAR FIN'!$A$1:$O$104,15,0))*(1-0.04)</f>
        <v>1276.9824000000001</v>
      </c>
      <c r="X537" s="60">
        <f>IF(ISERROR(VLOOKUP($U$537,'TAR FIN'!$A$1:$O$104,15,0)),0,VLOOKUP($U$537,'TAR FIN'!$A$1:$O$104,15,0))*(1-0.04)</f>
        <v>381.71519999999998</v>
      </c>
      <c r="Y537" s="60"/>
      <c r="Z537" s="60">
        <f ca="1">('TUSD BE'!$AM$25+'TUSD BF'!$AM$25+'TUSD CVA'!$AM$25)*1*(1-0.02)</f>
        <v>1318.940588933358</v>
      </c>
      <c r="AA537" s="60">
        <f>('TE BE'!$AB$7+'TE BF'!$AB$7+'TE CVA'!$AB$7)*1*(1-0.02)</f>
        <v>353.05508603815775</v>
      </c>
      <c r="AB537" s="60">
        <f>(SUBSIDIO!$J$537*SUBSIDIO!$V$537)*(0.04)/(1-0.04)</f>
        <v>0</v>
      </c>
      <c r="AC537" s="60">
        <f>((SUBSIDIO!$L$537*SUBSIDIO!$W$537)+(SUBSIDIO!$N$537*SUBSIDIO!$X$537))*(0.04)/(1-0.04)</f>
        <v>61.510036000000014</v>
      </c>
      <c r="AD537" s="60">
        <f>(SUBSIDIO!$J$537*SUBSIDIO!$Y$537)*(0.02)/(1-0.02)</f>
        <v>0</v>
      </c>
      <c r="AE537" s="60">
        <f ca="1">((SUBSIDIO!$L$537*SUBSIDIO!$Z$537)+(SUBSIDIO!$N$537*SUBSIDIO!$AA$537))*(0.02)/(1-0.02)</f>
        <v>30.36890103519692</v>
      </c>
      <c r="AF537" s="4" t="s">
        <v>998</v>
      </c>
    </row>
    <row r="538" spans="1:32" ht="11.25" customHeight="1" x14ac:dyDescent="0.25">
      <c r="A538" s="4" t="s">
        <v>21</v>
      </c>
      <c r="B538" s="4" t="s">
        <v>41</v>
      </c>
      <c r="C538" s="4" t="s">
        <v>42</v>
      </c>
      <c r="D538" s="4" t="s">
        <v>45</v>
      </c>
      <c r="E538" s="4" t="s">
        <v>53</v>
      </c>
      <c r="F538" s="4" t="s">
        <v>25</v>
      </c>
      <c r="G538" s="4" t="s">
        <v>25</v>
      </c>
      <c r="H538" s="4" t="s">
        <v>34</v>
      </c>
      <c r="I538" s="5">
        <v>44682</v>
      </c>
      <c r="J538" s="6">
        <v>0</v>
      </c>
      <c r="K538" s="60">
        <v>0</v>
      </c>
      <c r="L538" s="6">
        <v>43.365000000000002</v>
      </c>
      <c r="M538" s="60">
        <v>43.365000000000002</v>
      </c>
      <c r="N538" s="6">
        <v>43.365000000000002</v>
      </c>
      <c r="O538" s="60">
        <v>43.365000000000002</v>
      </c>
      <c r="P538" s="6">
        <v>0</v>
      </c>
      <c r="Q538" s="4" t="s">
        <v>26</v>
      </c>
      <c r="R538" s="4">
        <v>0</v>
      </c>
      <c r="S538" s="4">
        <v>0</v>
      </c>
      <c r="T538" s="4">
        <v>42</v>
      </c>
      <c r="U538" s="4">
        <v>66</v>
      </c>
      <c r="V538" s="60">
        <f>IF(ISERROR(VLOOKUP($S$538,'TAR FIN'!$A$1:$O$104,15,0)),0,VLOOKUP($S$538,'TAR FIN'!$A$1:$O$104,15,0))</f>
        <v>0</v>
      </c>
      <c r="W538" s="60">
        <f>IF(ISERROR(VLOOKUP($T$538,'TAR FIN'!$A$1:$O$104,15,0)),0,VLOOKUP($T$538,'TAR FIN'!$A$1:$O$104,15,0))*(1-0.04)</f>
        <v>1276.9824000000001</v>
      </c>
      <c r="X538" s="60">
        <f>IF(ISERROR(VLOOKUP($U$538,'TAR FIN'!$A$1:$O$104,15,0)),0,VLOOKUP($U$538,'TAR FIN'!$A$1:$O$104,15,0))*(1-0.04)</f>
        <v>381.71519999999998</v>
      </c>
      <c r="Y538" s="60"/>
      <c r="Z538" s="60">
        <f ca="1">('TUSD BE'!$AM$25+'TUSD BF'!$AM$25+'TUSD CVA'!$AM$25)*1*(1-0.02)</f>
        <v>1318.940588933358</v>
      </c>
      <c r="AA538" s="60">
        <f>('TE BE'!$AB$7+'TE BF'!$AB$7+'TE CVA'!$AB$7)*1*(1-0.02)</f>
        <v>353.05508603815775</v>
      </c>
      <c r="AB538" s="60">
        <f>(SUBSIDIO!$J$538*SUBSIDIO!$V$538)*(0.04)/(1-0.04)</f>
        <v>0</v>
      </c>
      <c r="AC538" s="60">
        <f>((SUBSIDIO!$L$538*SUBSIDIO!$W$538)+(SUBSIDIO!$N$538*SUBSIDIO!$X$538))*(0.04)/(1-0.04)</f>
        <v>2997.0592259999999</v>
      </c>
      <c r="AD538" s="60">
        <f>(SUBSIDIO!$J$538*SUBSIDIO!$Y$538)*(0.02)/(1-0.02)</f>
        <v>0</v>
      </c>
      <c r="AE538" s="60">
        <f ca="1">((SUBSIDIO!$L$538*SUBSIDIO!$Z$538)+(SUBSIDIO!$N$538*SUBSIDIO!$AA$538))*(0.02)/(1-0.02)</f>
        <v>1479.7161723497916</v>
      </c>
      <c r="AF538" s="4" t="s">
        <v>998</v>
      </c>
    </row>
    <row r="539" spans="1:32" ht="11.25" customHeight="1" x14ac:dyDescent="0.25">
      <c r="A539" s="4" t="s">
        <v>28</v>
      </c>
      <c r="B539" s="4" t="s">
        <v>41</v>
      </c>
      <c r="C539" s="4" t="s">
        <v>42</v>
      </c>
      <c r="D539" s="4" t="s">
        <v>45</v>
      </c>
      <c r="E539" s="4" t="s">
        <v>53</v>
      </c>
      <c r="F539" s="4" t="s">
        <v>25</v>
      </c>
      <c r="G539" s="4" t="s">
        <v>25</v>
      </c>
      <c r="H539" s="4" t="s">
        <v>34</v>
      </c>
      <c r="I539" s="5">
        <v>44682</v>
      </c>
      <c r="J539" s="6">
        <v>0</v>
      </c>
      <c r="K539" s="60">
        <v>0</v>
      </c>
      <c r="L539" s="6">
        <v>1.7889999999999999</v>
      </c>
      <c r="M539" s="60">
        <v>1.7889999999999999</v>
      </c>
      <c r="N539" s="6">
        <v>1.7889999999999999</v>
      </c>
      <c r="O539" s="60">
        <v>1.7889999999999999</v>
      </c>
      <c r="P539" s="6">
        <v>0</v>
      </c>
      <c r="Q539" s="4" t="s">
        <v>26</v>
      </c>
      <c r="R539" s="4">
        <v>0</v>
      </c>
      <c r="S539" s="4">
        <v>0</v>
      </c>
      <c r="T539" s="4">
        <v>42</v>
      </c>
      <c r="U539" s="4">
        <v>66</v>
      </c>
      <c r="V539" s="60">
        <f>IF(ISERROR(VLOOKUP($S$539,'TAR FIN'!$A$1:$O$104,15,0)),0,VLOOKUP($S$539,'TAR FIN'!$A$1:$O$104,15,0))</f>
        <v>0</v>
      </c>
      <c r="W539" s="60">
        <f>IF(ISERROR(VLOOKUP($T$539,'TAR FIN'!$A$1:$O$104,15,0)),0,VLOOKUP($T$539,'TAR FIN'!$A$1:$O$104,15,0))*(1-0.04)</f>
        <v>1276.9824000000001</v>
      </c>
      <c r="X539" s="60">
        <f>IF(ISERROR(VLOOKUP($U$539,'TAR FIN'!$A$1:$O$104,15,0)),0,VLOOKUP($U$539,'TAR FIN'!$A$1:$O$104,15,0))*(1-0.04)</f>
        <v>381.71519999999998</v>
      </c>
      <c r="Y539" s="60"/>
      <c r="Z539" s="60">
        <f ca="1">('TUSD BE'!$AM$25+'TUSD BF'!$AM$25+'TUSD CVA'!$AM$25)*1*(1-0.02)</f>
        <v>1318.940588933358</v>
      </c>
      <c r="AA539" s="60">
        <f>('TE BE'!$AB$7+'TE BF'!$AB$7+'TE CVA'!$AB$7)*1*(1-0.02)</f>
        <v>353.05508603815775</v>
      </c>
      <c r="AB539" s="60">
        <f>(SUBSIDIO!$J$539*SUBSIDIO!$V$539)*(0.04)/(1-0.04)</f>
        <v>0</v>
      </c>
      <c r="AC539" s="60">
        <f>((SUBSIDIO!$L$539*SUBSIDIO!$W$539)+(SUBSIDIO!$N$539*SUBSIDIO!$X$539))*(0.04)/(1-0.04)</f>
        <v>123.64208360000002</v>
      </c>
      <c r="AD539" s="60">
        <f>(SUBSIDIO!$J$539*SUBSIDIO!$Y$539)*(0.02)/(1-0.02)</f>
        <v>0</v>
      </c>
      <c r="AE539" s="60">
        <f ca="1">((SUBSIDIO!$L$539*SUBSIDIO!$Z$539)+(SUBSIDIO!$N$539*SUBSIDIO!$AA$539))*(0.02)/(1-0.02)</f>
        <v>61.044903316817177</v>
      </c>
      <c r="AF539" s="4" t="s">
        <v>998</v>
      </c>
    </row>
    <row r="540" spans="1:32" ht="11.25" customHeight="1" x14ac:dyDescent="0.25">
      <c r="A540" s="4" t="s">
        <v>21</v>
      </c>
      <c r="B540" s="4" t="s">
        <v>41</v>
      </c>
      <c r="C540" s="4" t="s">
        <v>42</v>
      </c>
      <c r="D540" s="4" t="s">
        <v>45</v>
      </c>
      <c r="E540" s="4" t="s">
        <v>53</v>
      </c>
      <c r="F540" s="4" t="s">
        <v>25</v>
      </c>
      <c r="G540" s="4" t="s">
        <v>25</v>
      </c>
      <c r="H540" s="4" t="s">
        <v>34</v>
      </c>
      <c r="I540" s="5">
        <v>44713</v>
      </c>
      <c r="J540" s="6">
        <v>0</v>
      </c>
      <c r="K540" s="60">
        <v>0</v>
      </c>
      <c r="L540" s="6">
        <v>42.155000000000001</v>
      </c>
      <c r="M540" s="60">
        <v>42.155000000000001</v>
      </c>
      <c r="N540" s="6">
        <v>42.155000000000001</v>
      </c>
      <c r="O540" s="60">
        <v>42.155000000000001</v>
      </c>
      <c r="P540" s="6">
        <v>0</v>
      </c>
      <c r="Q540" s="4" t="s">
        <v>26</v>
      </c>
      <c r="R540" s="4">
        <v>0</v>
      </c>
      <c r="S540" s="4">
        <v>0</v>
      </c>
      <c r="T540" s="4">
        <v>42</v>
      </c>
      <c r="U540" s="4">
        <v>66</v>
      </c>
      <c r="V540" s="60">
        <f>IF(ISERROR(VLOOKUP($S$540,'TAR FIN'!$A$1:$O$104,15,0)),0,VLOOKUP($S$540,'TAR FIN'!$A$1:$O$104,15,0))</f>
        <v>0</v>
      </c>
      <c r="W540" s="60">
        <f>IF(ISERROR(VLOOKUP($T$540,'TAR FIN'!$A$1:$O$104,15,0)),0,VLOOKUP($T$540,'TAR FIN'!$A$1:$O$104,15,0))*(1-0.04)</f>
        <v>1276.9824000000001</v>
      </c>
      <c r="X540" s="60">
        <f>IF(ISERROR(VLOOKUP($U$540,'TAR FIN'!$A$1:$O$104,15,0)),0,VLOOKUP($U$540,'TAR FIN'!$A$1:$O$104,15,0))*(1-0.04)</f>
        <v>381.71519999999998</v>
      </c>
      <c r="Y540" s="60"/>
      <c r="Z540" s="60">
        <f ca="1">('TUSD BE'!$AM$25+'TUSD BF'!$AM$25+'TUSD CVA'!$AM$25)*1*(1-0.02)</f>
        <v>1318.940588933358</v>
      </c>
      <c r="AA540" s="60">
        <f>('TE BE'!$AB$7+'TE BF'!$AB$7+'TE CVA'!$AB$7)*1*(1-0.02)</f>
        <v>353.05508603815775</v>
      </c>
      <c r="AB540" s="60">
        <f>(SUBSIDIO!$J$540*SUBSIDIO!$V$540)*(0.04)/(1-0.04)</f>
        <v>0</v>
      </c>
      <c r="AC540" s="60">
        <f>((SUBSIDIO!$L$540*SUBSIDIO!$W$540)+(SUBSIDIO!$N$540*SUBSIDIO!$X$540))*(0.04)/(1-0.04)</f>
        <v>2913.4332220000006</v>
      </c>
      <c r="AD540" s="60">
        <f>(SUBSIDIO!$J$540*SUBSIDIO!$Y$540)*(0.02)/(1-0.02)</f>
        <v>0</v>
      </c>
      <c r="AE540" s="60">
        <f ca="1">((SUBSIDIO!$L$540*SUBSIDIO!$Z$540)+(SUBSIDIO!$N$540*SUBSIDIO!$AA$540))*(0.02)/(1-0.02)</f>
        <v>1438.4281158862091</v>
      </c>
      <c r="AF540" s="4" t="s">
        <v>998</v>
      </c>
    </row>
    <row r="541" spans="1:32" ht="11.25" customHeight="1" x14ac:dyDescent="0.25">
      <c r="A541" s="4" t="s">
        <v>27</v>
      </c>
      <c r="B541" s="4" t="s">
        <v>41</v>
      </c>
      <c r="C541" s="4" t="s">
        <v>42</v>
      </c>
      <c r="D541" s="4" t="s">
        <v>45</v>
      </c>
      <c r="E541" s="4" t="s">
        <v>53</v>
      </c>
      <c r="F541" s="4" t="s">
        <v>25</v>
      </c>
      <c r="G541" s="4" t="s">
        <v>25</v>
      </c>
      <c r="H541" s="4" t="s">
        <v>34</v>
      </c>
      <c r="I541" s="5">
        <v>44713</v>
      </c>
      <c r="J541" s="6">
        <v>0</v>
      </c>
      <c r="K541" s="60">
        <v>0</v>
      </c>
      <c r="L541" s="6">
        <v>-5.8000000000000003E-2</v>
      </c>
      <c r="M541" s="60">
        <v>-5.8000000000000003E-2</v>
      </c>
      <c r="N541" s="6">
        <v>-5.8000000000000003E-2</v>
      </c>
      <c r="O541" s="60">
        <v>-5.8000000000000003E-2</v>
      </c>
      <c r="P541" s="6">
        <v>0</v>
      </c>
      <c r="Q541" s="4" t="s">
        <v>26</v>
      </c>
      <c r="R541" s="4">
        <v>0</v>
      </c>
      <c r="S541" s="4">
        <v>0</v>
      </c>
      <c r="T541" s="4">
        <v>42</v>
      </c>
      <c r="U541" s="4">
        <v>66</v>
      </c>
      <c r="V541" s="60">
        <f>IF(ISERROR(VLOOKUP($S$541,'TAR FIN'!$A$1:$O$104,15,0)),0,VLOOKUP($S$541,'TAR FIN'!$A$1:$O$104,15,0))</f>
        <v>0</v>
      </c>
      <c r="W541" s="60">
        <f>IF(ISERROR(VLOOKUP($T$541,'TAR FIN'!$A$1:$O$104,15,0)),0,VLOOKUP($T$541,'TAR FIN'!$A$1:$O$104,15,0))*(1-0.04)</f>
        <v>1276.9824000000001</v>
      </c>
      <c r="X541" s="60">
        <f>IF(ISERROR(VLOOKUP($U$541,'TAR FIN'!$A$1:$O$104,15,0)),0,VLOOKUP($U$541,'TAR FIN'!$A$1:$O$104,15,0))*(1-0.04)</f>
        <v>381.71519999999998</v>
      </c>
      <c r="Y541" s="60"/>
      <c r="Z541" s="60">
        <f ca="1">('TUSD BE'!$AM$25+'TUSD BF'!$AM$25+'TUSD CVA'!$AM$25)*1*(1-0.02)</f>
        <v>1318.940588933358</v>
      </c>
      <c r="AA541" s="60">
        <f>('TE BE'!$AB$7+'TE BF'!$AB$7+'TE CVA'!$AB$7)*1*(1-0.02)</f>
        <v>353.05508603815775</v>
      </c>
      <c r="AB541" s="60">
        <f>(SUBSIDIO!$J$541*SUBSIDIO!$V$541)*(0.04)/(1-0.04)</f>
        <v>0</v>
      </c>
      <c r="AC541" s="60">
        <f>((SUBSIDIO!$L$541*SUBSIDIO!$W$541)+(SUBSIDIO!$N$541*SUBSIDIO!$X$541))*(0.04)/(1-0.04)</f>
        <v>-4.0085192000000003</v>
      </c>
      <c r="AD541" s="60">
        <f>(SUBSIDIO!$J$541*SUBSIDIO!$Y$541)*(0.02)/(1-0.02)</f>
        <v>0</v>
      </c>
      <c r="AE541" s="60">
        <f ca="1">((SUBSIDIO!$L$541*SUBSIDIO!$Z$541)+(SUBSIDIO!$N$541*SUBSIDIO!$AA$541))*(0.02)/(1-0.02)</f>
        <v>-1.9790969213948557</v>
      </c>
      <c r="AF541" s="4" t="s">
        <v>998</v>
      </c>
    </row>
    <row r="542" spans="1:32" ht="11.25" customHeight="1" x14ac:dyDescent="0.25">
      <c r="A542" s="4" t="s">
        <v>57</v>
      </c>
      <c r="B542" s="4" t="s">
        <v>41</v>
      </c>
      <c r="C542" s="4" t="s">
        <v>42</v>
      </c>
      <c r="D542" s="4" t="s">
        <v>45</v>
      </c>
      <c r="E542" s="4" t="s">
        <v>53</v>
      </c>
      <c r="F542" s="4" t="s">
        <v>25</v>
      </c>
      <c r="G542" s="4" t="s">
        <v>25</v>
      </c>
      <c r="H542" s="4" t="s">
        <v>34</v>
      </c>
      <c r="I542" s="5">
        <v>44743</v>
      </c>
      <c r="J542" s="6">
        <v>0</v>
      </c>
      <c r="K542" s="60">
        <v>0</v>
      </c>
      <c r="L542" s="6">
        <v>42.155000000000001</v>
      </c>
      <c r="M542" s="60">
        <v>42.155000000000001</v>
      </c>
      <c r="N542" s="6">
        <v>42.155000000000001</v>
      </c>
      <c r="O542" s="60">
        <v>42.155000000000001</v>
      </c>
      <c r="P542" s="6">
        <v>0</v>
      </c>
      <c r="Q542" s="4" t="s">
        <v>26</v>
      </c>
      <c r="R542" s="4">
        <v>0</v>
      </c>
      <c r="S542" s="4">
        <v>0</v>
      </c>
      <c r="T542" s="4">
        <v>42</v>
      </c>
      <c r="U542" s="4">
        <v>66</v>
      </c>
      <c r="V542" s="60">
        <f>IF(ISERROR(VLOOKUP($S$542,'TAR FIN'!$A$1:$O$104,15,0)),0,VLOOKUP($S$542,'TAR FIN'!$A$1:$O$104,15,0))</f>
        <v>0</v>
      </c>
      <c r="W542" s="60">
        <f>IF(ISERROR(VLOOKUP($T$542,'TAR FIN'!$A$1:$O$104,15,0)),0,VLOOKUP($T$542,'TAR FIN'!$A$1:$O$104,15,0))*(1-0.04)</f>
        <v>1276.9824000000001</v>
      </c>
      <c r="X542" s="60">
        <f>IF(ISERROR(VLOOKUP($U$542,'TAR FIN'!$A$1:$O$104,15,0)),0,VLOOKUP($U$542,'TAR FIN'!$A$1:$O$104,15,0))*(1-0.04)</f>
        <v>381.71519999999998</v>
      </c>
      <c r="Y542" s="60"/>
      <c r="Z542" s="60">
        <f ca="1">('TUSD BE'!$AM$25+'TUSD BF'!$AM$25+'TUSD CVA'!$AM$25)*1*(1-0.02)</f>
        <v>1318.940588933358</v>
      </c>
      <c r="AA542" s="60">
        <f>('TE BE'!$AB$7+'TE BF'!$AB$7+'TE CVA'!$AB$7)*1*(1-0.02)</f>
        <v>353.05508603815775</v>
      </c>
      <c r="AB542" s="60">
        <f>(SUBSIDIO!$J$542*SUBSIDIO!$V$542)*(0.04)/(1-0.04)</f>
        <v>0</v>
      </c>
      <c r="AC542" s="60">
        <f>((SUBSIDIO!$L$542*SUBSIDIO!$W$542)+(SUBSIDIO!$N$542*SUBSIDIO!$X$542))*(0.04)/(1-0.04)</f>
        <v>2913.4332220000006</v>
      </c>
      <c r="AD542" s="60">
        <f>(SUBSIDIO!$J$542*SUBSIDIO!$Y$542)*(0.02)/(1-0.02)</f>
        <v>0</v>
      </c>
      <c r="AE542" s="60">
        <f ca="1">((SUBSIDIO!$L$542*SUBSIDIO!$Z$542)+(SUBSIDIO!$N$542*SUBSIDIO!$AA$542))*(0.02)/(1-0.02)</f>
        <v>1438.4281158862091</v>
      </c>
      <c r="AF542" s="4" t="s">
        <v>998</v>
      </c>
    </row>
    <row r="543" spans="1:32" ht="11.25" customHeight="1" x14ac:dyDescent="0.25">
      <c r="A543" s="4" t="s">
        <v>57</v>
      </c>
      <c r="B543" s="4" t="s">
        <v>41</v>
      </c>
      <c r="C543" s="4" t="s">
        <v>42</v>
      </c>
      <c r="D543" s="4" t="s">
        <v>45</v>
      </c>
      <c r="E543" s="4" t="s">
        <v>53</v>
      </c>
      <c r="F543" s="4" t="s">
        <v>25</v>
      </c>
      <c r="G543" s="4" t="s">
        <v>25</v>
      </c>
      <c r="H543" s="4" t="s">
        <v>34</v>
      </c>
      <c r="I543" s="5">
        <v>44743</v>
      </c>
      <c r="J543" s="6">
        <v>0</v>
      </c>
      <c r="K543" s="60">
        <v>0</v>
      </c>
      <c r="L543" s="6">
        <v>-5.8000000000000003E-2</v>
      </c>
      <c r="M543" s="60">
        <v>-5.8000000000000003E-2</v>
      </c>
      <c r="N543" s="6">
        <v>-5.8000000000000003E-2</v>
      </c>
      <c r="O543" s="60">
        <v>-5.8000000000000003E-2</v>
      </c>
      <c r="P543" s="6">
        <v>0</v>
      </c>
      <c r="Q543" s="4" t="s">
        <v>26</v>
      </c>
      <c r="R543" s="4">
        <v>0</v>
      </c>
      <c r="S543" s="4">
        <v>0</v>
      </c>
      <c r="T543" s="4">
        <v>42</v>
      </c>
      <c r="U543" s="4">
        <v>66</v>
      </c>
      <c r="V543" s="60">
        <f>IF(ISERROR(VLOOKUP($S$543,'TAR FIN'!$A$1:$O$104,15,0)),0,VLOOKUP($S$543,'TAR FIN'!$A$1:$O$104,15,0))</f>
        <v>0</v>
      </c>
      <c r="W543" s="60">
        <f>IF(ISERROR(VLOOKUP($T$543,'TAR FIN'!$A$1:$O$104,15,0)),0,VLOOKUP($T$543,'TAR FIN'!$A$1:$O$104,15,0))*(1-0.04)</f>
        <v>1276.9824000000001</v>
      </c>
      <c r="X543" s="60">
        <f>IF(ISERROR(VLOOKUP($U$543,'TAR FIN'!$A$1:$O$104,15,0)),0,VLOOKUP($U$543,'TAR FIN'!$A$1:$O$104,15,0))*(1-0.04)</f>
        <v>381.71519999999998</v>
      </c>
      <c r="Y543" s="60"/>
      <c r="Z543" s="60">
        <f ca="1">('TUSD BE'!$AM$25+'TUSD BF'!$AM$25+'TUSD CVA'!$AM$25)*1*(1-0.02)</f>
        <v>1318.940588933358</v>
      </c>
      <c r="AA543" s="60">
        <f>('TE BE'!$AB$7+'TE BF'!$AB$7+'TE CVA'!$AB$7)*1*(1-0.02)</f>
        <v>353.05508603815775</v>
      </c>
      <c r="AB543" s="60">
        <f>(SUBSIDIO!$J$543*SUBSIDIO!$V$543)*(0.04)/(1-0.04)</f>
        <v>0</v>
      </c>
      <c r="AC543" s="60">
        <f>((SUBSIDIO!$L$543*SUBSIDIO!$W$543)+(SUBSIDIO!$N$543*SUBSIDIO!$X$543))*(0.04)/(1-0.04)</f>
        <v>-4.0085192000000003</v>
      </c>
      <c r="AD543" s="60">
        <f>(SUBSIDIO!$J$543*SUBSIDIO!$Y$543)*(0.02)/(1-0.02)</f>
        <v>0</v>
      </c>
      <c r="AE543" s="60">
        <f ca="1">((SUBSIDIO!$L$543*SUBSIDIO!$Z$543)+(SUBSIDIO!$N$543*SUBSIDIO!$AA$543))*(0.02)/(1-0.02)</f>
        <v>-1.9790969213948557</v>
      </c>
      <c r="AF543" s="4" t="s">
        <v>998</v>
      </c>
    </row>
    <row r="544" spans="1:32" ht="11.25" customHeight="1" x14ac:dyDescent="0.25">
      <c r="A544" s="4" t="s">
        <v>21</v>
      </c>
      <c r="B544" s="4" t="s">
        <v>41</v>
      </c>
      <c r="C544" s="4" t="s">
        <v>42</v>
      </c>
      <c r="D544" s="4" t="s">
        <v>45</v>
      </c>
      <c r="E544" s="4" t="s">
        <v>25</v>
      </c>
      <c r="F544" s="4" t="s">
        <v>25</v>
      </c>
      <c r="G544" s="4" t="s">
        <v>25</v>
      </c>
      <c r="H544" s="4" t="s">
        <v>35</v>
      </c>
      <c r="I544" s="5">
        <v>44409</v>
      </c>
      <c r="J544" s="6">
        <v>0</v>
      </c>
      <c r="K544" s="60">
        <v>0</v>
      </c>
      <c r="L544" s="6">
        <v>1229.2660000000001</v>
      </c>
      <c r="M544" s="60">
        <v>1229.2660000000001</v>
      </c>
      <c r="N544" s="6">
        <v>1229.2660000000001</v>
      </c>
      <c r="O544" s="60">
        <v>1229.2660000000001</v>
      </c>
      <c r="P544" s="6">
        <v>0</v>
      </c>
      <c r="Q544" s="4" t="s">
        <v>26</v>
      </c>
      <c r="R544" s="4">
        <v>0</v>
      </c>
      <c r="S544" s="4">
        <v>0</v>
      </c>
      <c r="T544" s="4">
        <v>44</v>
      </c>
      <c r="U544" s="4">
        <v>67</v>
      </c>
      <c r="V544" s="60">
        <f>IF(ISERROR(VLOOKUP($S$544,'TAR FIN'!$A$1:$O$104,15,0)),0,VLOOKUP($S$544,'TAR FIN'!$A$1:$O$104,15,0))</f>
        <v>0</v>
      </c>
      <c r="W544" s="60">
        <f>IF(ISERROR(VLOOKUP($T$544,'TAR FIN'!$A$1:$O$104,15,0)),0,VLOOKUP($T$544,'TAR FIN'!$A$1:$O$104,15,0))*(1-0.04)</f>
        <v>60.0672</v>
      </c>
      <c r="X544" s="60">
        <f>IF(ISERROR(VLOOKUP($U$544,'TAR FIN'!$A$1:$O$104,15,0)),0,VLOOKUP($U$544,'TAR FIN'!$A$1:$O$104,15,0))*(1-0.04)</f>
        <v>233.10719999999998</v>
      </c>
      <c r="Y544" s="60"/>
      <c r="Z544" s="60">
        <f ca="1">('TUSD BE'!$AM$26+'TUSD BF'!$AM$26+'TUSD CVA'!$AM$26)*1*(1-0.02)</f>
        <v>76.318677921794944</v>
      </c>
      <c r="AA544" s="60">
        <f>('TE BE'!$AB$8+'TE BF'!$AB$8+'TE CVA'!$AB$8)*1*(1-0.02)</f>
        <v>227.12732236645527</v>
      </c>
      <c r="AB544" s="60">
        <f>(SUBSIDIO!$J$544*SUBSIDIO!$V$544)*(0.04)/(1-0.04)</f>
        <v>0</v>
      </c>
      <c r="AC544" s="60">
        <f>((SUBSIDIO!$L$544*SUBSIDIO!$W$544)+(SUBSIDIO!$N$544*SUBSIDIO!$X$544))*(0.04)/(1-0.04)</f>
        <v>15016.221749600003</v>
      </c>
      <c r="AD544" s="60">
        <f>(SUBSIDIO!$J$544*SUBSIDIO!$Y$544)*(0.02)/(1-0.02)</f>
        <v>0</v>
      </c>
      <c r="AE544" s="60">
        <f ca="1">((SUBSIDIO!$L$544*SUBSIDIO!$Z$544)+(SUBSIDIO!$N$544*SUBSIDIO!$AA$544))*(0.02)/(1-0.02)</f>
        <v>7612.5683875578825</v>
      </c>
      <c r="AF544" s="4" t="s">
        <v>998</v>
      </c>
    </row>
    <row r="545" spans="1:32" ht="11.25" customHeight="1" x14ac:dyDescent="0.25">
      <c r="A545" s="4" t="s">
        <v>28</v>
      </c>
      <c r="B545" s="4" t="s">
        <v>41</v>
      </c>
      <c r="C545" s="4" t="s">
        <v>42</v>
      </c>
      <c r="D545" s="4" t="s">
        <v>45</v>
      </c>
      <c r="E545" s="4" t="s">
        <v>25</v>
      </c>
      <c r="F545" s="4" t="s">
        <v>25</v>
      </c>
      <c r="G545" s="4" t="s">
        <v>25</v>
      </c>
      <c r="H545" s="4" t="s">
        <v>35</v>
      </c>
      <c r="I545" s="5">
        <v>44409</v>
      </c>
      <c r="J545" s="6">
        <v>0</v>
      </c>
      <c r="K545" s="60">
        <v>0</v>
      </c>
      <c r="L545" s="6">
        <v>39.07</v>
      </c>
      <c r="M545" s="60">
        <v>39.07</v>
      </c>
      <c r="N545" s="6">
        <v>39.07</v>
      </c>
      <c r="O545" s="60">
        <v>39.07</v>
      </c>
      <c r="P545" s="6">
        <v>0</v>
      </c>
      <c r="Q545" s="4" t="s">
        <v>26</v>
      </c>
      <c r="R545" s="4">
        <v>0</v>
      </c>
      <c r="S545" s="4">
        <v>0</v>
      </c>
      <c r="T545" s="4">
        <v>44</v>
      </c>
      <c r="U545" s="4">
        <v>67</v>
      </c>
      <c r="V545" s="60">
        <f>IF(ISERROR(VLOOKUP($S$545,'TAR FIN'!$A$1:$O$104,15,0)),0,VLOOKUP($S$545,'TAR FIN'!$A$1:$O$104,15,0))</f>
        <v>0</v>
      </c>
      <c r="W545" s="60">
        <f>IF(ISERROR(VLOOKUP($T$545,'TAR FIN'!$A$1:$O$104,15,0)),0,VLOOKUP($T$545,'TAR FIN'!$A$1:$O$104,15,0))*(1-0.04)</f>
        <v>60.0672</v>
      </c>
      <c r="X545" s="60">
        <f>IF(ISERROR(VLOOKUP($U$545,'TAR FIN'!$A$1:$O$104,15,0)),0,VLOOKUP($U$545,'TAR FIN'!$A$1:$O$104,15,0))*(1-0.04)</f>
        <v>233.10719999999998</v>
      </c>
      <c r="Y545" s="60"/>
      <c r="Z545" s="60">
        <f ca="1">('TUSD BE'!$AM$26+'TUSD BF'!$AM$26+'TUSD CVA'!$AM$26)*1*(1-0.02)</f>
        <v>76.318677921794944</v>
      </c>
      <c r="AA545" s="60">
        <f>('TE BE'!$AB$8+'TE BF'!$AB$8+'TE CVA'!$AB$8)*1*(1-0.02)</f>
        <v>227.12732236645527</v>
      </c>
      <c r="AB545" s="60">
        <f>(SUBSIDIO!$J$545*SUBSIDIO!$V$545)*(0.04)/(1-0.04)</f>
        <v>0</v>
      </c>
      <c r="AC545" s="60">
        <f>((SUBSIDIO!$L$545*SUBSIDIO!$W$545)+(SUBSIDIO!$N$545*SUBSIDIO!$X$545))*(0.04)/(1-0.04)</f>
        <v>477.26349199999999</v>
      </c>
      <c r="AD545" s="60">
        <f>(SUBSIDIO!$J$545*SUBSIDIO!$Y$545)*(0.02)/(1-0.02)</f>
        <v>0</v>
      </c>
      <c r="AE545" s="60">
        <f ca="1">((SUBSIDIO!$L$545*SUBSIDIO!$Z$545)+(SUBSIDIO!$N$545*SUBSIDIO!$AA$545))*(0.02)/(1-0.02)</f>
        <v>241.9517394135089</v>
      </c>
      <c r="AF545" s="4" t="s">
        <v>998</v>
      </c>
    </row>
    <row r="546" spans="1:32" ht="11.25" customHeight="1" x14ac:dyDescent="0.25">
      <c r="A546" s="4" t="s">
        <v>21</v>
      </c>
      <c r="B546" s="4" t="s">
        <v>41</v>
      </c>
      <c r="C546" s="4" t="s">
        <v>42</v>
      </c>
      <c r="D546" s="4" t="s">
        <v>45</v>
      </c>
      <c r="E546" s="4" t="s">
        <v>25</v>
      </c>
      <c r="F546" s="4" t="s">
        <v>25</v>
      </c>
      <c r="G546" s="4" t="s">
        <v>25</v>
      </c>
      <c r="H546" s="4" t="s">
        <v>35</v>
      </c>
      <c r="I546" s="5">
        <v>44440</v>
      </c>
      <c r="J546" s="6">
        <v>0</v>
      </c>
      <c r="K546" s="60">
        <v>0</v>
      </c>
      <c r="L546" s="6">
        <v>1262.5540000000001</v>
      </c>
      <c r="M546" s="60">
        <v>1262.5540000000001</v>
      </c>
      <c r="N546" s="6">
        <v>1262.5540000000001</v>
      </c>
      <c r="O546" s="60">
        <v>1262.5540000000001</v>
      </c>
      <c r="P546" s="6">
        <v>0</v>
      </c>
      <c r="Q546" s="4" t="s">
        <v>26</v>
      </c>
      <c r="R546" s="4">
        <v>0</v>
      </c>
      <c r="S546" s="4">
        <v>0</v>
      </c>
      <c r="T546" s="4">
        <v>44</v>
      </c>
      <c r="U546" s="4">
        <v>67</v>
      </c>
      <c r="V546" s="60">
        <f>IF(ISERROR(VLOOKUP($S$546,'TAR FIN'!$A$1:$O$104,15,0)),0,VLOOKUP($S$546,'TAR FIN'!$A$1:$O$104,15,0))</f>
        <v>0</v>
      </c>
      <c r="W546" s="60">
        <f>IF(ISERROR(VLOOKUP($T$546,'TAR FIN'!$A$1:$O$104,15,0)),0,VLOOKUP($T$546,'TAR FIN'!$A$1:$O$104,15,0))*(1-0.04)</f>
        <v>60.0672</v>
      </c>
      <c r="X546" s="60">
        <f>IF(ISERROR(VLOOKUP($U$546,'TAR FIN'!$A$1:$O$104,15,0)),0,VLOOKUP($U$546,'TAR FIN'!$A$1:$O$104,15,0))*(1-0.04)</f>
        <v>233.10719999999998</v>
      </c>
      <c r="Y546" s="60"/>
      <c r="Z546" s="60">
        <f ca="1">('TUSD BE'!$AM$26+'TUSD BF'!$AM$26+'TUSD CVA'!$AM$26)*1*(1-0.02)</f>
        <v>76.318677921794944</v>
      </c>
      <c r="AA546" s="60">
        <f>('TE BE'!$AB$8+'TE BF'!$AB$8+'TE CVA'!$AB$8)*1*(1-0.02)</f>
        <v>227.12732236645527</v>
      </c>
      <c r="AB546" s="60">
        <f>(SUBSIDIO!$J$546*SUBSIDIO!$V$546)*(0.04)/(1-0.04)</f>
        <v>0</v>
      </c>
      <c r="AC546" s="60">
        <f>((SUBSIDIO!$L$546*SUBSIDIO!$W$546)+(SUBSIDIO!$N$546*SUBSIDIO!$X$546))*(0.04)/(1-0.04)</f>
        <v>15422.854642400001</v>
      </c>
      <c r="AD546" s="60">
        <f>(SUBSIDIO!$J$546*SUBSIDIO!$Y$546)*(0.02)/(1-0.02)</f>
        <v>0</v>
      </c>
      <c r="AE546" s="60">
        <f ca="1">((SUBSIDIO!$L$546*SUBSIDIO!$Z$546)+(SUBSIDIO!$N$546*SUBSIDIO!$AA$546))*(0.02)/(1-0.02)</f>
        <v>7818.713498937379</v>
      </c>
      <c r="AF546" s="4" t="s">
        <v>998</v>
      </c>
    </row>
    <row r="547" spans="1:32" ht="11.25" customHeight="1" x14ac:dyDescent="0.25">
      <c r="A547" s="4" t="s">
        <v>28</v>
      </c>
      <c r="B547" s="4" t="s">
        <v>41</v>
      </c>
      <c r="C547" s="4" t="s">
        <v>42</v>
      </c>
      <c r="D547" s="4" t="s">
        <v>45</v>
      </c>
      <c r="E547" s="4" t="s">
        <v>25</v>
      </c>
      <c r="F547" s="4" t="s">
        <v>25</v>
      </c>
      <c r="G547" s="4" t="s">
        <v>25</v>
      </c>
      <c r="H547" s="4" t="s">
        <v>35</v>
      </c>
      <c r="I547" s="5">
        <v>44440</v>
      </c>
      <c r="J547" s="6">
        <v>0</v>
      </c>
      <c r="K547" s="60">
        <v>0</v>
      </c>
      <c r="L547" s="6">
        <v>52.603000000000002</v>
      </c>
      <c r="M547" s="60">
        <v>52.603000000000002</v>
      </c>
      <c r="N547" s="6">
        <v>52.603000000000002</v>
      </c>
      <c r="O547" s="60">
        <v>52.603000000000002</v>
      </c>
      <c r="P547" s="6">
        <v>0</v>
      </c>
      <c r="Q547" s="4" t="s">
        <v>26</v>
      </c>
      <c r="R547" s="4">
        <v>0</v>
      </c>
      <c r="S547" s="4">
        <v>0</v>
      </c>
      <c r="T547" s="4">
        <v>44</v>
      </c>
      <c r="U547" s="4">
        <v>67</v>
      </c>
      <c r="V547" s="60">
        <f>IF(ISERROR(VLOOKUP($S$547,'TAR FIN'!$A$1:$O$104,15,0)),0,VLOOKUP($S$547,'TAR FIN'!$A$1:$O$104,15,0))</f>
        <v>0</v>
      </c>
      <c r="W547" s="60">
        <f>IF(ISERROR(VLOOKUP($T$547,'TAR FIN'!$A$1:$O$104,15,0)),0,VLOOKUP($T$547,'TAR FIN'!$A$1:$O$104,15,0))*(1-0.04)</f>
        <v>60.0672</v>
      </c>
      <c r="X547" s="60">
        <f>IF(ISERROR(VLOOKUP($U$547,'TAR FIN'!$A$1:$O$104,15,0)),0,VLOOKUP($U$547,'TAR FIN'!$A$1:$O$104,15,0))*(1-0.04)</f>
        <v>233.10719999999998</v>
      </c>
      <c r="Y547" s="60"/>
      <c r="Z547" s="60">
        <f ca="1">('TUSD BE'!$AM$26+'TUSD BF'!$AM$26+'TUSD CVA'!$AM$26)*1*(1-0.02)</f>
        <v>76.318677921794944</v>
      </c>
      <c r="AA547" s="60">
        <f>('TE BE'!$AB$8+'TE BF'!$AB$8+'TE CVA'!$AB$8)*1*(1-0.02)</f>
        <v>227.12732236645527</v>
      </c>
      <c r="AB547" s="60">
        <f>(SUBSIDIO!$J$547*SUBSIDIO!$V$547)*(0.04)/(1-0.04)</f>
        <v>0</v>
      </c>
      <c r="AC547" s="60">
        <f>((SUBSIDIO!$L$547*SUBSIDIO!$W$547)+(SUBSIDIO!$N$547*SUBSIDIO!$X$547))*(0.04)/(1-0.04)</f>
        <v>642.5772068</v>
      </c>
      <c r="AD547" s="60">
        <f>(SUBSIDIO!$J$547*SUBSIDIO!$Y$547)*(0.02)/(1-0.02)</f>
        <v>0</v>
      </c>
      <c r="AE547" s="60">
        <f ca="1">((SUBSIDIO!$L$547*SUBSIDIO!$Z$547)+(SUBSIDIO!$N$547*SUBSIDIO!$AA$547))*(0.02)/(1-0.02)</f>
        <v>325.7585704727108</v>
      </c>
      <c r="AF547" s="4" t="s">
        <v>998</v>
      </c>
    </row>
    <row r="548" spans="1:32" ht="11.25" customHeight="1" x14ac:dyDescent="0.25">
      <c r="A548" s="4" t="s">
        <v>21</v>
      </c>
      <c r="B548" s="4" t="s">
        <v>41</v>
      </c>
      <c r="C548" s="4" t="s">
        <v>42</v>
      </c>
      <c r="D548" s="4" t="s">
        <v>45</v>
      </c>
      <c r="E548" s="4" t="s">
        <v>25</v>
      </c>
      <c r="F548" s="4" t="s">
        <v>25</v>
      </c>
      <c r="G548" s="4" t="s">
        <v>25</v>
      </c>
      <c r="H548" s="4" t="s">
        <v>35</v>
      </c>
      <c r="I548" s="5">
        <v>44470</v>
      </c>
      <c r="J548" s="6">
        <v>0</v>
      </c>
      <c r="K548" s="60">
        <v>0</v>
      </c>
      <c r="L548" s="6">
        <v>1138.732</v>
      </c>
      <c r="M548" s="60">
        <v>1138.732</v>
      </c>
      <c r="N548" s="6">
        <v>1138.732</v>
      </c>
      <c r="O548" s="60">
        <v>1138.732</v>
      </c>
      <c r="P548" s="6">
        <v>0</v>
      </c>
      <c r="Q548" s="4" t="s">
        <v>26</v>
      </c>
      <c r="R548" s="4">
        <v>0</v>
      </c>
      <c r="S548" s="4">
        <v>0</v>
      </c>
      <c r="T548" s="4">
        <v>44</v>
      </c>
      <c r="U548" s="4">
        <v>67</v>
      </c>
      <c r="V548" s="60">
        <f>IF(ISERROR(VLOOKUP($S$548,'TAR FIN'!$A$1:$O$104,15,0)),0,VLOOKUP($S$548,'TAR FIN'!$A$1:$O$104,15,0))</f>
        <v>0</v>
      </c>
      <c r="W548" s="60">
        <f>IF(ISERROR(VLOOKUP($T$548,'TAR FIN'!$A$1:$O$104,15,0)),0,VLOOKUP($T$548,'TAR FIN'!$A$1:$O$104,15,0))*(1-0.04)</f>
        <v>60.0672</v>
      </c>
      <c r="X548" s="60">
        <f>IF(ISERROR(VLOOKUP($U$548,'TAR FIN'!$A$1:$O$104,15,0)),0,VLOOKUP($U$548,'TAR FIN'!$A$1:$O$104,15,0))*(1-0.04)</f>
        <v>233.10719999999998</v>
      </c>
      <c r="Y548" s="60"/>
      <c r="Z548" s="60">
        <f ca="1">('TUSD BE'!$AM$26+'TUSD BF'!$AM$26+'TUSD CVA'!$AM$26)*1*(1-0.02)</f>
        <v>76.318677921794944</v>
      </c>
      <c r="AA548" s="60">
        <f>('TE BE'!$AB$8+'TE BF'!$AB$8+'TE CVA'!$AB$8)*1*(1-0.02)</f>
        <v>227.12732236645527</v>
      </c>
      <c r="AB548" s="60">
        <f>(SUBSIDIO!$J$548*SUBSIDIO!$V$548)*(0.04)/(1-0.04)</f>
        <v>0</v>
      </c>
      <c r="AC548" s="60">
        <f>((SUBSIDIO!$L$548*SUBSIDIO!$W$548)+(SUBSIDIO!$N$548*SUBSIDIO!$X$548))*(0.04)/(1-0.04)</f>
        <v>13910.2946192</v>
      </c>
      <c r="AD548" s="60">
        <f>(SUBSIDIO!$J$548*SUBSIDIO!$Y$548)*(0.02)/(1-0.02)</f>
        <v>0</v>
      </c>
      <c r="AE548" s="60">
        <f ca="1">((SUBSIDIO!$L$548*SUBSIDIO!$Z$548)+(SUBSIDIO!$N$548*SUBSIDIO!$AA$548))*(0.02)/(1-0.02)</f>
        <v>7051.9116489844837</v>
      </c>
      <c r="AF548" s="4" t="s">
        <v>998</v>
      </c>
    </row>
    <row r="549" spans="1:32" ht="11.25" customHeight="1" x14ac:dyDescent="0.25">
      <c r="A549" s="4" t="s">
        <v>28</v>
      </c>
      <c r="B549" s="4" t="s">
        <v>41</v>
      </c>
      <c r="C549" s="4" t="s">
        <v>42</v>
      </c>
      <c r="D549" s="4" t="s">
        <v>45</v>
      </c>
      <c r="E549" s="4" t="s">
        <v>25</v>
      </c>
      <c r="F549" s="4" t="s">
        <v>25</v>
      </c>
      <c r="G549" s="4" t="s">
        <v>25</v>
      </c>
      <c r="H549" s="4" t="s">
        <v>35</v>
      </c>
      <c r="I549" s="5">
        <v>44470</v>
      </c>
      <c r="J549" s="6">
        <v>0</v>
      </c>
      <c r="K549" s="60">
        <v>0</v>
      </c>
      <c r="L549" s="6">
        <v>76.242999999999995</v>
      </c>
      <c r="M549" s="60">
        <v>76.242999999999995</v>
      </c>
      <c r="N549" s="6">
        <v>76.242999999999995</v>
      </c>
      <c r="O549" s="60">
        <v>76.242999999999995</v>
      </c>
      <c r="P549" s="6">
        <v>0</v>
      </c>
      <c r="Q549" s="4" t="s">
        <v>26</v>
      </c>
      <c r="R549" s="4">
        <v>0</v>
      </c>
      <c r="S549" s="4">
        <v>0</v>
      </c>
      <c r="T549" s="4">
        <v>44</v>
      </c>
      <c r="U549" s="4">
        <v>67</v>
      </c>
      <c r="V549" s="60">
        <f>IF(ISERROR(VLOOKUP($S$549,'TAR FIN'!$A$1:$O$104,15,0)),0,VLOOKUP($S$549,'TAR FIN'!$A$1:$O$104,15,0))</f>
        <v>0</v>
      </c>
      <c r="W549" s="60">
        <f>IF(ISERROR(VLOOKUP($T$549,'TAR FIN'!$A$1:$O$104,15,0)),0,VLOOKUP($T$549,'TAR FIN'!$A$1:$O$104,15,0))*(1-0.04)</f>
        <v>60.0672</v>
      </c>
      <c r="X549" s="60">
        <f>IF(ISERROR(VLOOKUP($U$549,'TAR FIN'!$A$1:$O$104,15,0)),0,VLOOKUP($U$549,'TAR FIN'!$A$1:$O$104,15,0))*(1-0.04)</f>
        <v>233.10719999999998</v>
      </c>
      <c r="Y549" s="60"/>
      <c r="Z549" s="60">
        <f ca="1">('TUSD BE'!$AM$26+'TUSD BF'!$AM$26+'TUSD CVA'!$AM$26)*1*(1-0.02)</f>
        <v>76.318677921794944</v>
      </c>
      <c r="AA549" s="60">
        <f>('TE BE'!$AB$8+'TE BF'!$AB$8+'TE CVA'!$AB$8)*1*(1-0.02)</f>
        <v>227.12732236645527</v>
      </c>
      <c r="AB549" s="60">
        <f>(SUBSIDIO!$J$549*SUBSIDIO!$V$549)*(0.04)/(1-0.04)</f>
        <v>0</v>
      </c>
      <c r="AC549" s="60">
        <f>((SUBSIDIO!$L$549*SUBSIDIO!$W$549)+(SUBSIDIO!$N$549*SUBSIDIO!$X$549))*(0.04)/(1-0.04)</f>
        <v>931.35399079999979</v>
      </c>
      <c r="AD549" s="60">
        <f>(SUBSIDIO!$J$549*SUBSIDIO!$Y$549)*(0.02)/(1-0.02)</f>
        <v>0</v>
      </c>
      <c r="AE549" s="60">
        <f ca="1">((SUBSIDIO!$L$549*SUBSIDIO!$Z$549)+(SUBSIDIO!$N$549*SUBSIDIO!$AA$549))*(0.02)/(1-0.02)</f>
        <v>472.15578367300122</v>
      </c>
      <c r="AF549" s="4" t="s">
        <v>998</v>
      </c>
    </row>
    <row r="550" spans="1:32" ht="11.25" customHeight="1" x14ac:dyDescent="0.25">
      <c r="A550" s="4" t="s">
        <v>21</v>
      </c>
      <c r="B550" s="4" t="s">
        <v>41</v>
      </c>
      <c r="C550" s="4" t="s">
        <v>42</v>
      </c>
      <c r="D550" s="4" t="s">
        <v>45</v>
      </c>
      <c r="E550" s="4" t="s">
        <v>25</v>
      </c>
      <c r="F550" s="4" t="s">
        <v>25</v>
      </c>
      <c r="G550" s="4" t="s">
        <v>25</v>
      </c>
      <c r="H550" s="4" t="s">
        <v>35</v>
      </c>
      <c r="I550" s="5">
        <v>44501</v>
      </c>
      <c r="J550" s="6">
        <v>0</v>
      </c>
      <c r="K550" s="60">
        <v>0</v>
      </c>
      <c r="L550" s="6">
        <v>1077.4010000000001</v>
      </c>
      <c r="M550" s="60">
        <v>1077.4010000000001</v>
      </c>
      <c r="N550" s="6">
        <v>1077.4010000000001</v>
      </c>
      <c r="O550" s="60">
        <v>1077.4010000000001</v>
      </c>
      <c r="P550" s="6">
        <v>0</v>
      </c>
      <c r="Q550" s="4" t="s">
        <v>26</v>
      </c>
      <c r="R550" s="4">
        <v>0</v>
      </c>
      <c r="S550" s="4">
        <v>0</v>
      </c>
      <c r="T550" s="4">
        <v>44</v>
      </c>
      <c r="U550" s="4">
        <v>67</v>
      </c>
      <c r="V550" s="60">
        <f>IF(ISERROR(VLOOKUP($S$550,'TAR FIN'!$A$1:$O$104,15,0)),0,VLOOKUP($S$550,'TAR FIN'!$A$1:$O$104,15,0))</f>
        <v>0</v>
      </c>
      <c r="W550" s="60">
        <f>IF(ISERROR(VLOOKUP($T$550,'TAR FIN'!$A$1:$O$104,15,0)),0,VLOOKUP($T$550,'TAR FIN'!$A$1:$O$104,15,0))*(1-0.04)</f>
        <v>60.0672</v>
      </c>
      <c r="X550" s="60">
        <f>IF(ISERROR(VLOOKUP($U$550,'TAR FIN'!$A$1:$O$104,15,0)),0,VLOOKUP($U$550,'TAR FIN'!$A$1:$O$104,15,0))*(1-0.04)</f>
        <v>233.10719999999998</v>
      </c>
      <c r="Y550" s="60"/>
      <c r="Z550" s="60">
        <f ca="1">('TUSD BE'!$AM$26+'TUSD BF'!$AM$26+'TUSD CVA'!$AM$26)*1*(1-0.02)</f>
        <v>76.318677921794944</v>
      </c>
      <c r="AA550" s="60">
        <f>('TE BE'!$AB$8+'TE BF'!$AB$8+'TE CVA'!$AB$8)*1*(1-0.02)</f>
        <v>227.12732236645527</v>
      </c>
      <c r="AB550" s="60">
        <f>(SUBSIDIO!$J$550*SUBSIDIO!$V$550)*(0.04)/(1-0.04)</f>
        <v>0</v>
      </c>
      <c r="AC550" s="60">
        <f>((SUBSIDIO!$L$550*SUBSIDIO!$W$550)+(SUBSIDIO!$N$550*SUBSIDIO!$X$550))*(0.04)/(1-0.04)</f>
        <v>13161.099655600001</v>
      </c>
      <c r="AD550" s="60">
        <f>(SUBSIDIO!$J$550*SUBSIDIO!$Y$550)*(0.02)/(1-0.02)</f>
        <v>0</v>
      </c>
      <c r="AE550" s="60">
        <f ca="1">((SUBSIDIO!$L$550*SUBSIDIO!$Z$550)+(SUBSIDIO!$N$550*SUBSIDIO!$AA$550))*(0.02)/(1-0.02)</f>
        <v>6672.1025338073696</v>
      </c>
      <c r="AF550" s="4" t="s">
        <v>998</v>
      </c>
    </row>
    <row r="551" spans="1:32" ht="11.25" customHeight="1" x14ac:dyDescent="0.25">
      <c r="A551" s="4" t="s">
        <v>28</v>
      </c>
      <c r="B551" s="4" t="s">
        <v>41</v>
      </c>
      <c r="C551" s="4" t="s">
        <v>42</v>
      </c>
      <c r="D551" s="4" t="s">
        <v>45</v>
      </c>
      <c r="E551" s="4" t="s">
        <v>25</v>
      </c>
      <c r="F551" s="4" t="s">
        <v>25</v>
      </c>
      <c r="G551" s="4" t="s">
        <v>25</v>
      </c>
      <c r="H551" s="4" t="s">
        <v>35</v>
      </c>
      <c r="I551" s="5">
        <v>44501</v>
      </c>
      <c r="J551" s="6">
        <v>0</v>
      </c>
      <c r="K551" s="60">
        <v>0</v>
      </c>
      <c r="L551" s="6">
        <v>46.671999999999997</v>
      </c>
      <c r="M551" s="60">
        <v>46.671999999999997</v>
      </c>
      <c r="N551" s="6">
        <v>46.671999999999997</v>
      </c>
      <c r="O551" s="60">
        <v>46.671999999999997</v>
      </c>
      <c r="P551" s="6">
        <v>0</v>
      </c>
      <c r="Q551" s="4" t="s">
        <v>26</v>
      </c>
      <c r="R551" s="4">
        <v>0</v>
      </c>
      <c r="S551" s="4">
        <v>0</v>
      </c>
      <c r="T551" s="4">
        <v>44</v>
      </c>
      <c r="U551" s="4">
        <v>67</v>
      </c>
      <c r="V551" s="60">
        <f>IF(ISERROR(VLOOKUP($S$551,'TAR FIN'!$A$1:$O$104,15,0)),0,VLOOKUP($S$551,'TAR FIN'!$A$1:$O$104,15,0))</f>
        <v>0</v>
      </c>
      <c r="W551" s="60">
        <f>IF(ISERROR(VLOOKUP($T$551,'TAR FIN'!$A$1:$O$104,15,0)),0,VLOOKUP($T$551,'TAR FIN'!$A$1:$O$104,15,0))*(1-0.04)</f>
        <v>60.0672</v>
      </c>
      <c r="X551" s="60">
        <f>IF(ISERROR(VLOOKUP($U$551,'TAR FIN'!$A$1:$O$104,15,0)),0,VLOOKUP($U$551,'TAR FIN'!$A$1:$O$104,15,0))*(1-0.04)</f>
        <v>233.10719999999998</v>
      </c>
      <c r="Y551" s="60"/>
      <c r="Z551" s="60">
        <f ca="1">('TUSD BE'!$AM$26+'TUSD BF'!$AM$26+'TUSD CVA'!$AM$26)*1*(1-0.02)</f>
        <v>76.318677921794944</v>
      </c>
      <c r="AA551" s="60">
        <f>('TE BE'!$AB$8+'TE BF'!$AB$8+'TE CVA'!$AB$8)*1*(1-0.02)</f>
        <v>227.12732236645527</v>
      </c>
      <c r="AB551" s="60">
        <f>(SUBSIDIO!$J$551*SUBSIDIO!$V$551)*(0.04)/(1-0.04)</f>
        <v>0</v>
      </c>
      <c r="AC551" s="60">
        <f>((SUBSIDIO!$L$551*SUBSIDIO!$W$551)+(SUBSIDIO!$N$551*SUBSIDIO!$X$551))*(0.04)/(1-0.04)</f>
        <v>570.12648319999983</v>
      </c>
      <c r="AD551" s="60">
        <f>(SUBSIDIO!$J$551*SUBSIDIO!$Y$551)*(0.02)/(1-0.02)</f>
        <v>0</v>
      </c>
      <c r="AE551" s="60">
        <f ca="1">((SUBSIDIO!$L$551*SUBSIDIO!$Z$551)+(SUBSIDIO!$N$551*SUBSIDIO!$AA$551))*(0.02)/(1-0.02)</f>
        <v>289.02921888680027</v>
      </c>
      <c r="AF551" s="4" t="s">
        <v>998</v>
      </c>
    </row>
    <row r="552" spans="1:32" ht="11.25" customHeight="1" x14ac:dyDescent="0.25">
      <c r="A552" s="4" t="s">
        <v>28</v>
      </c>
      <c r="B552" s="4" t="s">
        <v>41</v>
      </c>
      <c r="C552" s="4" t="s">
        <v>42</v>
      </c>
      <c r="D552" s="4" t="s">
        <v>45</v>
      </c>
      <c r="E552" s="4" t="s">
        <v>25</v>
      </c>
      <c r="F552" s="4" t="s">
        <v>25</v>
      </c>
      <c r="G552" s="4" t="s">
        <v>25</v>
      </c>
      <c r="H552" s="4" t="s">
        <v>35</v>
      </c>
      <c r="I552" s="5">
        <v>44501</v>
      </c>
      <c r="J552" s="6">
        <v>0</v>
      </c>
      <c r="K552" s="60">
        <v>0</v>
      </c>
      <c r="L552" s="6">
        <v>-41.655999999999999</v>
      </c>
      <c r="M552" s="60">
        <v>-41.655999999999999</v>
      </c>
      <c r="N552" s="6">
        <v>-41.655999999999999</v>
      </c>
      <c r="O552" s="60">
        <v>-41.655999999999999</v>
      </c>
      <c r="P552" s="6">
        <v>0</v>
      </c>
      <c r="Q552" s="4" t="s">
        <v>26</v>
      </c>
      <c r="R552" s="4">
        <v>0</v>
      </c>
      <c r="S552" s="4">
        <v>0</v>
      </c>
      <c r="T552" s="4">
        <v>44</v>
      </c>
      <c r="U552" s="4">
        <v>67</v>
      </c>
      <c r="V552" s="60">
        <f>IF(ISERROR(VLOOKUP($S$552,'TAR FIN'!$A$1:$O$104,15,0)),0,VLOOKUP($S$552,'TAR FIN'!$A$1:$O$104,15,0))</f>
        <v>0</v>
      </c>
      <c r="W552" s="60">
        <f>IF(ISERROR(VLOOKUP($T$552,'TAR FIN'!$A$1:$O$104,15,0)),0,VLOOKUP($T$552,'TAR FIN'!$A$1:$O$104,15,0))*(1-0.04)</f>
        <v>60.0672</v>
      </c>
      <c r="X552" s="60">
        <f>IF(ISERROR(VLOOKUP($U$552,'TAR FIN'!$A$1:$O$104,15,0)),0,VLOOKUP($U$552,'TAR FIN'!$A$1:$O$104,15,0))*(1-0.04)</f>
        <v>233.10719999999998</v>
      </c>
      <c r="Y552" s="60"/>
      <c r="Z552" s="60">
        <f ca="1">('TUSD BE'!$AM$26+'TUSD BF'!$AM$26+'TUSD CVA'!$AM$26)*1*(1-0.02)</f>
        <v>76.318677921794944</v>
      </c>
      <c r="AA552" s="60">
        <f>('TE BE'!$AB$8+'TE BF'!$AB$8+'TE CVA'!$AB$8)*1*(1-0.02)</f>
        <v>227.12732236645527</v>
      </c>
      <c r="AB552" s="60">
        <f>(SUBSIDIO!$J$552*SUBSIDIO!$V$552)*(0.04)/(1-0.04)</f>
        <v>0</v>
      </c>
      <c r="AC552" s="60">
        <f>((SUBSIDIO!$L$552*SUBSIDIO!$W$552)+(SUBSIDIO!$N$552*SUBSIDIO!$X$552))*(0.04)/(1-0.04)</f>
        <v>-508.8530336</v>
      </c>
      <c r="AD552" s="60">
        <f>(SUBSIDIO!$J$552*SUBSIDIO!$Y$552)*(0.02)/(1-0.02)</f>
        <v>0</v>
      </c>
      <c r="AE552" s="60">
        <f ca="1">((SUBSIDIO!$L$552*SUBSIDIO!$Z$552)+(SUBSIDIO!$N$552*SUBSIDIO!$AA$552))*(0.02)/(1-0.02)</f>
        <v>-257.96625689810924</v>
      </c>
      <c r="AF552" s="4" t="s">
        <v>998</v>
      </c>
    </row>
    <row r="553" spans="1:32" ht="11.25" customHeight="1" x14ac:dyDescent="0.25">
      <c r="A553" s="4" t="s">
        <v>21</v>
      </c>
      <c r="B553" s="4" t="s">
        <v>41</v>
      </c>
      <c r="C553" s="4" t="s">
        <v>42</v>
      </c>
      <c r="D553" s="4" t="s">
        <v>45</v>
      </c>
      <c r="E553" s="4" t="s">
        <v>25</v>
      </c>
      <c r="F553" s="4" t="s">
        <v>25</v>
      </c>
      <c r="G553" s="4" t="s">
        <v>25</v>
      </c>
      <c r="H553" s="4" t="s">
        <v>35</v>
      </c>
      <c r="I553" s="5">
        <v>44531</v>
      </c>
      <c r="J553" s="6">
        <v>0</v>
      </c>
      <c r="K553" s="60">
        <v>0</v>
      </c>
      <c r="L553" s="6">
        <v>1180.106</v>
      </c>
      <c r="M553" s="60">
        <v>1180.106</v>
      </c>
      <c r="N553" s="6">
        <v>1180.106</v>
      </c>
      <c r="O553" s="60">
        <v>1180.106</v>
      </c>
      <c r="P553" s="6">
        <v>0</v>
      </c>
      <c r="Q553" s="4" t="s">
        <v>26</v>
      </c>
      <c r="R553" s="4">
        <v>0</v>
      </c>
      <c r="S553" s="4">
        <v>0</v>
      </c>
      <c r="T553" s="4">
        <v>44</v>
      </c>
      <c r="U553" s="4">
        <v>67</v>
      </c>
      <c r="V553" s="60">
        <f>IF(ISERROR(VLOOKUP($S$553,'TAR FIN'!$A$1:$O$104,15,0)),0,VLOOKUP($S$553,'TAR FIN'!$A$1:$O$104,15,0))</f>
        <v>0</v>
      </c>
      <c r="W553" s="60">
        <f>IF(ISERROR(VLOOKUP($T$553,'TAR FIN'!$A$1:$O$104,15,0)),0,VLOOKUP($T$553,'TAR FIN'!$A$1:$O$104,15,0))*(1-0.04)</f>
        <v>60.0672</v>
      </c>
      <c r="X553" s="60">
        <f>IF(ISERROR(VLOOKUP($U$553,'TAR FIN'!$A$1:$O$104,15,0)),0,VLOOKUP($U$553,'TAR FIN'!$A$1:$O$104,15,0))*(1-0.04)</f>
        <v>233.10719999999998</v>
      </c>
      <c r="Y553" s="60"/>
      <c r="Z553" s="60">
        <f ca="1">('TUSD BE'!$AM$26+'TUSD BF'!$AM$26+'TUSD CVA'!$AM$26)*1*(1-0.02)</f>
        <v>76.318677921794944</v>
      </c>
      <c r="AA553" s="60">
        <f>('TE BE'!$AB$8+'TE BF'!$AB$8+'TE CVA'!$AB$8)*1*(1-0.02)</f>
        <v>227.12732236645527</v>
      </c>
      <c r="AB553" s="60">
        <f>(SUBSIDIO!$J$553*SUBSIDIO!$V$553)*(0.04)/(1-0.04)</f>
        <v>0</v>
      </c>
      <c r="AC553" s="60">
        <f>((SUBSIDIO!$L$553*SUBSIDIO!$W$553)+(SUBSIDIO!$N$553*SUBSIDIO!$X$553))*(0.04)/(1-0.04)</f>
        <v>14415.702853600002</v>
      </c>
      <c r="AD553" s="60">
        <f>(SUBSIDIO!$J$553*SUBSIDIO!$Y$553)*(0.02)/(1-0.02)</f>
        <v>0</v>
      </c>
      <c r="AE553" s="60">
        <f ca="1">((SUBSIDIO!$L$553*SUBSIDIO!$Z$553)+(SUBSIDIO!$N$553*SUBSIDIO!$AA$553))*(0.02)/(1-0.02)</f>
        <v>7308.131543187058</v>
      </c>
      <c r="AF553" s="4" t="s">
        <v>998</v>
      </c>
    </row>
    <row r="554" spans="1:32" ht="11.25" customHeight="1" x14ac:dyDescent="0.25">
      <c r="A554" s="4" t="s">
        <v>27</v>
      </c>
      <c r="B554" s="4" t="s">
        <v>41</v>
      </c>
      <c r="C554" s="4" t="s">
        <v>42</v>
      </c>
      <c r="D554" s="4" t="s">
        <v>45</v>
      </c>
      <c r="E554" s="4" t="s">
        <v>25</v>
      </c>
      <c r="F554" s="4" t="s">
        <v>25</v>
      </c>
      <c r="G554" s="4" t="s">
        <v>25</v>
      </c>
      <c r="H554" s="4" t="s">
        <v>35</v>
      </c>
      <c r="I554" s="5">
        <v>44531</v>
      </c>
      <c r="J554" s="6">
        <v>0</v>
      </c>
      <c r="K554" s="60">
        <v>0</v>
      </c>
      <c r="L554" s="6">
        <v>-6.8970000000000002</v>
      </c>
      <c r="M554" s="60">
        <v>-6.8970000000000002</v>
      </c>
      <c r="N554" s="6">
        <v>-6.8970000000000002</v>
      </c>
      <c r="O554" s="60">
        <v>-6.8970000000000002</v>
      </c>
      <c r="P554" s="6">
        <v>0</v>
      </c>
      <c r="Q554" s="4" t="s">
        <v>26</v>
      </c>
      <c r="R554" s="4">
        <v>0</v>
      </c>
      <c r="S554" s="4">
        <v>0</v>
      </c>
      <c r="T554" s="4">
        <v>44</v>
      </c>
      <c r="U554" s="4">
        <v>67</v>
      </c>
      <c r="V554" s="60">
        <f>IF(ISERROR(VLOOKUP($S$554,'TAR FIN'!$A$1:$O$104,15,0)),0,VLOOKUP($S$554,'TAR FIN'!$A$1:$O$104,15,0))</f>
        <v>0</v>
      </c>
      <c r="W554" s="60">
        <f>IF(ISERROR(VLOOKUP($T$554,'TAR FIN'!$A$1:$O$104,15,0)),0,VLOOKUP($T$554,'TAR FIN'!$A$1:$O$104,15,0))*(1-0.04)</f>
        <v>60.0672</v>
      </c>
      <c r="X554" s="60">
        <f>IF(ISERROR(VLOOKUP($U$554,'TAR FIN'!$A$1:$O$104,15,0)),0,VLOOKUP($U$554,'TAR FIN'!$A$1:$O$104,15,0))*(1-0.04)</f>
        <v>233.10719999999998</v>
      </c>
      <c r="Y554" s="60"/>
      <c r="Z554" s="60">
        <f ca="1">('TUSD BE'!$AM$26+'TUSD BF'!$AM$26+'TUSD CVA'!$AM$26)*1*(1-0.02)</f>
        <v>76.318677921794944</v>
      </c>
      <c r="AA554" s="60">
        <f>('TE BE'!$AB$8+'TE BF'!$AB$8+'TE CVA'!$AB$8)*1*(1-0.02)</f>
        <v>227.12732236645527</v>
      </c>
      <c r="AB554" s="60">
        <f>(SUBSIDIO!$J$554*SUBSIDIO!$V$554)*(0.04)/(1-0.04)</f>
        <v>0</v>
      </c>
      <c r="AC554" s="60">
        <f>((SUBSIDIO!$L$554*SUBSIDIO!$W$554)+(SUBSIDIO!$N$554*SUBSIDIO!$X$554))*(0.04)/(1-0.04)</f>
        <v>-84.250993200000011</v>
      </c>
      <c r="AD554" s="60">
        <f>(SUBSIDIO!$J$554*SUBSIDIO!$Y$554)*(0.02)/(1-0.02)</f>
        <v>0</v>
      </c>
      <c r="AE554" s="60">
        <f ca="1">((SUBSIDIO!$L$554*SUBSIDIO!$Z$554)+(SUBSIDIO!$N$554*SUBSIDIO!$AA$554))*(0.02)/(1-0.02)</f>
        <v>-42.71157273445025</v>
      </c>
      <c r="AF554" s="4" t="s">
        <v>998</v>
      </c>
    </row>
    <row r="555" spans="1:32" ht="11.25" customHeight="1" x14ac:dyDescent="0.25">
      <c r="A555" s="4" t="s">
        <v>28</v>
      </c>
      <c r="B555" s="4" t="s">
        <v>41</v>
      </c>
      <c r="C555" s="4" t="s">
        <v>42</v>
      </c>
      <c r="D555" s="4" t="s">
        <v>45</v>
      </c>
      <c r="E555" s="4" t="s">
        <v>25</v>
      </c>
      <c r="F555" s="4" t="s">
        <v>25</v>
      </c>
      <c r="G555" s="4" t="s">
        <v>25</v>
      </c>
      <c r="H555" s="4" t="s">
        <v>35</v>
      </c>
      <c r="I555" s="5">
        <v>44531</v>
      </c>
      <c r="J555" s="6">
        <v>0</v>
      </c>
      <c r="K555" s="60">
        <v>0</v>
      </c>
      <c r="L555" s="6">
        <v>32.405000000000001</v>
      </c>
      <c r="M555" s="60">
        <v>32.405000000000001</v>
      </c>
      <c r="N555" s="6">
        <v>32.405000000000001</v>
      </c>
      <c r="O555" s="60">
        <v>32.405000000000001</v>
      </c>
      <c r="P555" s="6">
        <v>0</v>
      </c>
      <c r="Q555" s="4" t="s">
        <v>26</v>
      </c>
      <c r="R555" s="4">
        <v>0</v>
      </c>
      <c r="S555" s="4">
        <v>0</v>
      </c>
      <c r="T555" s="4">
        <v>44</v>
      </c>
      <c r="U555" s="4">
        <v>67</v>
      </c>
      <c r="V555" s="60">
        <f>IF(ISERROR(VLOOKUP($S$555,'TAR FIN'!$A$1:$O$104,15,0)),0,VLOOKUP($S$555,'TAR FIN'!$A$1:$O$104,15,0))</f>
        <v>0</v>
      </c>
      <c r="W555" s="60">
        <f>IF(ISERROR(VLOOKUP($T$555,'TAR FIN'!$A$1:$O$104,15,0)),0,VLOOKUP($T$555,'TAR FIN'!$A$1:$O$104,15,0))*(1-0.04)</f>
        <v>60.0672</v>
      </c>
      <c r="X555" s="60">
        <f>IF(ISERROR(VLOOKUP($U$555,'TAR FIN'!$A$1:$O$104,15,0)),0,VLOOKUP($U$555,'TAR FIN'!$A$1:$O$104,15,0))*(1-0.04)</f>
        <v>233.10719999999998</v>
      </c>
      <c r="Y555" s="60"/>
      <c r="Z555" s="60">
        <f ca="1">('TUSD BE'!$AM$26+'TUSD BF'!$AM$26+'TUSD CVA'!$AM$26)*1*(1-0.02)</f>
        <v>76.318677921794944</v>
      </c>
      <c r="AA555" s="60">
        <f>('TE BE'!$AB$8+'TE BF'!$AB$8+'TE CVA'!$AB$8)*1*(1-0.02)</f>
        <v>227.12732236645527</v>
      </c>
      <c r="AB555" s="60">
        <f>(SUBSIDIO!$J$555*SUBSIDIO!$V$555)*(0.04)/(1-0.04)</f>
        <v>0</v>
      </c>
      <c r="AC555" s="60">
        <f>((SUBSIDIO!$L$555*SUBSIDIO!$W$555)+(SUBSIDIO!$N$555*SUBSIDIO!$X$555))*(0.04)/(1-0.04)</f>
        <v>395.846518</v>
      </c>
      <c r="AD555" s="60">
        <f>(SUBSIDIO!$J$555*SUBSIDIO!$Y$555)*(0.02)/(1-0.02)</f>
        <v>0</v>
      </c>
      <c r="AE555" s="60">
        <f ca="1">((SUBSIDIO!$L$555*SUBSIDIO!$Z$555)+(SUBSIDIO!$N$555*SUBSIDIO!$AA$555))*(0.02)/(1-0.02)</f>
        <v>200.67689059879081</v>
      </c>
      <c r="AF555" s="4" t="s">
        <v>998</v>
      </c>
    </row>
    <row r="556" spans="1:32" ht="11.25" customHeight="1" x14ac:dyDescent="0.25">
      <c r="A556" s="4" t="s">
        <v>21</v>
      </c>
      <c r="B556" s="4" t="s">
        <v>41</v>
      </c>
      <c r="C556" s="4" t="s">
        <v>42</v>
      </c>
      <c r="D556" s="4" t="s">
        <v>45</v>
      </c>
      <c r="E556" s="4" t="s">
        <v>25</v>
      </c>
      <c r="F556" s="4" t="s">
        <v>25</v>
      </c>
      <c r="G556" s="4" t="s">
        <v>25</v>
      </c>
      <c r="H556" s="4" t="s">
        <v>35</v>
      </c>
      <c r="I556" s="5">
        <v>44562</v>
      </c>
      <c r="J556" s="6">
        <v>0</v>
      </c>
      <c r="K556" s="60">
        <v>0</v>
      </c>
      <c r="L556" s="6">
        <v>1193.9010000000001</v>
      </c>
      <c r="M556" s="60">
        <v>1193.9010000000001</v>
      </c>
      <c r="N556" s="6">
        <v>1193.9010000000001</v>
      </c>
      <c r="O556" s="60">
        <v>1193.9010000000001</v>
      </c>
      <c r="P556" s="6">
        <v>0</v>
      </c>
      <c r="Q556" s="4" t="s">
        <v>26</v>
      </c>
      <c r="R556" s="4">
        <v>0</v>
      </c>
      <c r="S556" s="4">
        <v>0</v>
      </c>
      <c r="T556" s="4">
        <v>44</v>
      </c>
      <c r="U556" s="4">
        <v>67</v>
      </c>
      <c r="V556" s="60">
        <f>IF(ISERROR(VLOOKUP($S$556,'TAR FIN'!$A$1:$O$104,15,0)),0,VLOOKUP($S$556,'TAR FIN'!$A$1:$O$104,15,0))</f>
        <v>0</v>
      </c>
      <c r="W556" s="60">
        <f>IF(ISERROR(VLOOKUP($T$556,'TAR FIN'!$A$1:$O$104,15,0)),0,VLOOKUP($T$556,'TAR FIN'!$A$1:$O$104,15,0))*(1-0.04)</f>
        <v>60.0672</v>
      </c>
      <c r="X556" s="60">
        <f>IF(ISERROR(VLOOKUP($U$556,'TAR FIN'!$A$1:$O$104,15,0)),0,VLOOKUP($U$556,'TAR FIN'!$A$1:$O$104,15,0))*(1-0.04)</f>
        <v>233.10719999999998</v>
      </c>
      <c r="Y556" s="60"/>
      <c r="Z556" s="60">
        <f ca="1">('TUSD BE'!$AM$26+'TUSD BF'!$AM$26+'TUSD CVA'!$AM$26)*1*(1-0.02)</f>
        <v>76.318677921794944</v>
      </c>
      <c r="AA556" s="60">
        <f>('TE BE'!$AB$8+'TE BF'!$AB$8+'TE CVA'!$AB$8)*1*(1-0.02)</f>
        <v>227.12732236645527</v>
      </c>
      <c r="AB556" s="60">
        <f>(SUBSIDIO!$J$556*SUBSIDIO!$V$556)*(0.04)/(1-0.04)</f>
        <v>0</v>
      </c>
      <c r="AC556" s="60">
        <f>((SUBSIDIO!$L$556*SUBSIDIO!$W$556)+(SUBSIDIO!$N$556*SUBSIDIO!$X$556))*(0.04)/(1-0.04)</f>
        <v>14584.217055599998</v>
      </c>
      <c r="AD556" s="60">
        <f>(SUBSIDIO!$J$556*SUBSIDIO!$Y$556)*(0.02)/(1-0.02)</f>
        <v>0</v>
      </c>
      <c r="AE556" s="60">
        <f ca="1">((SUBSIDIO!$L$556*SUBSIDIO!$Z$556)+(SUBSIDIO!$N$556*SUBSIDIO!$AA$556))*(0.02)/(1-0.02)</f>
        <v>7393.5608814314737</v>
      </c>
      <c r="AF556" s="4" t="s">
        <v>998</v>
      </c>
    </row>
    <row r="557" spans="1:32" ht="11.25" customHeight="1" x14ac:dyDescent="0.25">
      <c r="A557" s="4" t="s">
        <v>28</v>
      </c>
      <c r="B557" s="4" t="s">
        <v>41</v>
      </c>
      <c r="C557" s="4" t="s">
        <v>42</v>
      </c>
      <c r="D557" s="4" t="s">
        <v>45</v>
      </c>
      <c r="E557" s="4" t="s">
        <v>25</v>
      </c>
      <c r="F557" s="4" t="s">
        <v>25</v>
      </c>
      <c r="G557" s="4" t="s">
        <v>25</v>
      </c>
      <c r="H557" s="4" t="s">
        <v>35</v>
      </c>
      <c r="I557" s="5">
        <v>44562</v>
      </c>
      <c r="J557" s="6">
        <v>0</v>
      </c>
      <c r="K557" s="60">
        <v>0</v>
      </c>
      <c r="L557" s="6">
        <v>90.117000000000004</v>
      </c>
      <c r="M557" s="60">
        <v>90.117000000000004</v>
      </c>
      <c r="N557" s="6">
        <v>90.117000000000004</v>
      </c>
      <c r="O557" s="60">
        <v>90.117000000000004</v>
      </c>
      <c r="P557" s="6">
        <v>0</v>
      </c>
      <c r="Q557" s="4" t="s">
        <v>26</v>
      </c>
      <c r="R557" s="4">
        <v>0</v>
      </c>
      <c r="S557" s="4">
        <v>0</v>
      </c>
      <c r="T557" s="4">
        <v>44</v>
      </c>
      <c r="U557" s="4">
        <v>67</v>
      </c>
      <c r="V557" s="60">
        <f>IF(ISERROR(VLOOKUP($S$557,'TAR FIN'!$A$1:$O$104,15,0)),0,VLOOKUP($S$557,'TAR FIN'!$A$1:$O$104,15,0))</f>
        <v>0</v>
      </c>
      <c r="W557" s="60">
        <f>IF(ISERROR(VLOOKUP($T$557,'TAR FIN'!$A$1:$O$104,15,0)),0,VLOOKUP($T$557,'TAR FIN'!$A$1:$O$104,15,0))*(1-0.04)</f>
        <v>60.0672</v>
      </c>
      <c r="X557" s="60">
        <f>IF(ISERROR(VLOOKUP($U$557,'TAR FIN'!$A$1:$O$104,15,0)),0,VLOOKUP($U$557,'TAR FIN'!$A$1:$O$104,15,0))*(1-0.04)</f>
        <v>233.10719999999998</v>
      </c>
      <c r="Y557" s="60"/>
      <c r="Z557" s="60">
        <f ca="1">('TUSD BE'!$AM$26+'TUSD BF'!$AM$26+'TUSD CVA'!$AM$26)*1*(1-0.02)</f>
        <v>76.318677921794944</v>
      </c>
      <c r="AA557" s="60">
        <f>('TE BE'!$AB$8+'TE BF'!$AB$8+'TE CVA'!$AB$8)*1*(1-0.02)</f>
        <v>227.12732236645527</v>
      </c>
      <c r="AB557" s="60">
        <f>(SUBSIDIO!$J$557*SUBSIDIO!$V$557)*(0.04)/(1-0.04)</f>
        <v>0</v>
      </c>
      <c r="AC557" s="60">
        <f>((SUBSIDIO!$L$557*SUBSIDIO!$W$557)+(SUBSIDIO!$N$557*SUBSIDIO!$X$557))*(0.04)/(1-0.04)</f>
        <v>1100.8332252</v>
      </c>
      <c r="AD557" s="60">
        <f>(SUBSIDIO!$J$557*SUBSIDIO!$Y$557)*(0.02)/(1-0.02)</f>
        <v>0</v>
      </c>
      <c r="AE557" s="60">
        <f ca="1">((SUBSIDIO!$L$557*SUBSIDIO!$Z$557)+(SUBSIDIO!$N$557*SUBSIDIO!$AA$557))*(0.02)/(1-0.02)</f>
        <v>558.0743511831887</v>
      </c>
      <c r="AF557" s="4" t="s">
        <v>998</v>
      </c>
    </row>
    <row r="558" spans="1:32" ht="11.25" customHeight="1" x14ac:dyDescent="0.25">
      <c r="A558" s="4" t="s">
        <v>21</v>
      </c>
      <c r="B558" s="4" t="s">
        <v>41</v>
      </c>
      <c r="C558" s="4" t="s">
        <v>42</v>
      </c>
      <c r="D558" s="4" t="s">
        <v>45</v>
      </c>
      <c r="E558" s="4" t="s">
        <v>25</v>
      </c>
      <c r="F558" s="4" t="s">
        <v>25</v>
      </c>
      <c r="G558" s="4" t="s">
        <v>25</v>
      </c>
      <c r="H558" s="4" t="s">
        <v>35</v>
      </c>
      <c r="I558" s="5">
        <v>44593</v>
      </c>
      <c r="J558" s="6">
        <v>0</v>
      </c>
      <c r="K558" s="60">
        <v>0</v>
      </c>
      <c r="L558" s="6">
        <v>999.81799999999998</v>
      </c>
      <c r="M558" s="60">
        <v>999.81799999999998</v>
      </c>
      <c r="N558" s="6">
        <v>999.81799999999998</v>
      </c>
      <c r="O558" s="60">
        <v>999.81799999999998</v>
      </c>
      <c r="P558" s="6">
        <v>0</v>
      </c>
      <c r="Q558" s="4" t="s">
        <v>26</v>
      </c>
      <c r="R558" s="4">
        <v>0</v>
      </c>
      <c r="S558" s="4">
        <v>0</v>
      </c>
      <c r="T558" s="4">
        <v>44</v>
      </c>
      <c r="U558" s="4">
        <v>67</v>
      </c>
      <c r="V558" s="60">
        <f>IF(ISERROR(VLOOKUP($S$558,'TAR FIN'!$A$1:$O$104,15,0)),0,VLOOKUP($S$558,'TAR FIN'!$A$1:$O$104,15,0))</f>
        <v>0</v>
      </c>
      <c r="W558" s="60">
        <f>IF(ISERROR(VLOOKUP($T$558,'TAR FIN'!$A$1:$O$104,15,0)),0,VLOOKUP($T$558,'TAR FIN'!$A$1:$O$104,15,0))*(1-0.04)</f>
        <v>60.0672</v>
      </c>
      <c r="X558" s="60">
        <f>IF(ISERROR(VLOOKUP($U$558,'TAR FIN'!$A$1:$O$104,15,0)),0,VLOOKUP($U$558,'TAR FIN'!$A$1:$O$104,15,0))*(1-0.04)</f>
        <v>233.10719999999998</v>
      </c>
      <c r="Y558" s="60"/>
      <c r="Z558" s="60">
        <f ca="1">('TUSD BE'!$AM$26+'TUSD BF'!$AM$26+'TUSD CVA'!$AM$26)*1*(1-0.02)</f>
        <v>76.318677921794944</v>
      </c>
      <c r="AA558" s="60">
        <f>('TE BE'!$AB$8+'TE BF'!$AB$8+'TE CVA'!$AB$8)*1*(1-0.02)</f>
        <v>227.12732236645527</v>
      </c>
      <c r="AB558" s="60">
        <f>(SUBSIDIO!$J$558*SUBSIDIO!$V$558)*(0.04)/(1-0.04)</f>
        <v>0</v>
      </c>
      <c r="AC558" s="60">
        <f>((SUBSIDIO!$L$558*SUBSIDIO!$W$558)+(SUBSIDIO!$N$558*SUBSIDIO!$X$558))*(0.04)/(1-0.04)</f>
        <v>12213.3767608</v>
      </c>
      <c r="AD558" s="60">
        <f>(SUBSIDIO!$J$558*SUBSIDIO!$Y$558)*(0.02)/(1-0.02)</f>
        <v>0</v>
      </c>
      <c r="AE558" s="60">
        <f ca="1">((SUBSIDIO!$L$558*SUBSIDIO!$Z$558)+(SUBSIDIO!$N$558*SUBSIDIO!$AA$558))*(0.02)/(1-0.02)</f>
        <v>6191.6484309428124</v>
      </c>
      <c r="AF558" s="4" t="s">
        <v>998</v>
      </c>
    </row>
    <row r="559" spans="1:32" ht="11.25" customHeight="1" x14ac:dyDescent="0.25">
      <c r="A559" s="4" t="s">
        <v>27</v>
      </c>
      <c r="B559" s="4" t="s">
        <v>41</v>
      </c>
      <c r="C559" s="4" t="s">
        <v>42</v>
      </c>
      <c r="D559" s="4" t="s">
        <v>45</v>
      </c>
      <c r="E559" s="4" t="s">
        <v>25</v>
      </c>
      <c r="F559" s="4" t="s">
        <v>25</v>
      </c>
      <c r="G559" s="4" t="s">
        <v>25</v>
      </c>
      <c r="H559" s="4" t="s">
        <v>35</v>
      </c>
      <c r="I559" s="5">
        <v>44593</v>
      </c>
      <c r="J559" s="6">
        <v>0</v>
      </c>
      <c r="K559" s="60">
        <v>0</v>
      </c>
      <c r="L559" s="6">
        <v>45.15</v>
      </c>
      <c r="M559" s="60">
        <v>45.15</v>
      </c>
      <c r="N559" s="6">
        <v>45.15</v>
      </c>
      <c r="O559" s="60">
        <v>45.15</v>
      </c>
      <c r="P559" s="6">
        <v>0</v>
      </c>
      <c r="Q559" s="4" t="s">
        <v>26</v>
      </c>
      <c r="R559" s="4">
        <v>0</v>
      </c>
      <c r="S559" s="4">
        <v>0</v>
      </c>
      <c r="T559" s="4">
        <v>44</v>
      </c>
      <c r="U559" s="4">
        <v>67</v>
      </c>
      <c r="V559" s="60">
        <f>IF(ISERROR(VLOOKUP($S$559,'TAR FIN'!$A$1:$O$104,15,0)),0,VLOOKUP($S$559,'TAR FIN'!$A$1:$O$104,15,0))</f>
        <v>0</v>
      </c>
      <c r="W559" s="60">
        <f>IF(ISERROR(VLOOKUP($T$559,'TAR FIN'!$A$1:$O$104,15,0)),0,VLOOKUP($T$559,'TAR FIN'!$A$1:$O$104,15,0))*(1-0.04)</f>
        <v>60.0672</v>
      </c>
      <c r="X559" s="60">
        <f>IF(ISERROR(VLOOKUP($U$559,'TAR FIN'!$A$1:$O$104,15,0)),0,VLOOKUP($U$559,'TAR FIN'!$A$1:$O$104,15,0))*(1-0.04)</f>
        <v>233.10719999999998</v>
      </c>
      <c r="Y559" s="60"/>
      <c r="Z559" s="60">
        <f ca="1">('TUSD BE'!$AM$26+'TUSD BF'!$AM$26+'TUSD CVA'!$AM$26)*1*(1-0.02)</f>
        <v>76.318677921794944</v>
      </c>
      <c r="AA559" s="60">
        <f>('TE BE'!$AB$8+'TE BF'!$AB$8+'TE CVA'!$AB$8)*1*(1-0.02)</f>
        <v>227.12732236645527</v>
      </c>
      <c r="AB559" s="60">
        <f>(SUBSIDIO!$J$559*SUBSIDIO!$V$559)*(0.04)/(1-0.04)</f>
        <v>0</v>
      </c>
      <c r="AC559" s="60">
        <f>((SUBSIDIO!$L$559*SUBSIDIO!$W$559)+(SUBSIDIO!$N$559*SUBSIDIO!$X$559))*(0.04)/(1-0.04)</f>
        <v>551.53433999999993</v>
      </c>
      <c r="AD559" s="60">
        <f>(SUBSIDIO!$J$559*SUBSIDIO!$Y$559)*(0.02)/(1-0.02)</f>
        <v>0</v>
      </c>
      <c r="AE559" s="60">
        <f ca="1">((SUBSIDIO!$L$559*SUBSIDIO!$Z$559)+(SUBSIDIO!$N$559*SUBSIDIO!$AA$559))*(0.02)/(1-0.02)</f>
        <v>279.60381455131625</v>
      </c>
      <c r="AF559" s="4" t="s">
        <v>998</v>
      </c>
    </row>
    <row r="560" spans="1:32" ht="11.25" customHeight="1" x14ac:dyDescent="0.25">
      <c r="A560" s="4" t="s">
        <v>28</v>
      </c>
      <c r="B560" s="4" t="s">
        <v>41</v>
      </c>
      <c r="C560" s="4" t="s">
        <v>42</v>
      </c>
      <c r="D560" s="4" t="s">
        <v>45</v>
      </c>
      <c r="E560" s="4" t="s">
        <v>25</v>
      </c>
      <c r="F560" s="4" t="s">
        <v>25</v>
      </c>
      <c r="G560" s="4" t="s">
        <v>25</v>
      </c>
      <c r="H560" s="4" t="s">
        <v>35</v>
      </c>
      <c r="I560" s="5">
        <v>44593</v>
      </c>
      <c r="J560" s="6">
        <v>0</v>
      </c>
      <c r="K560" s="60">
        <v>0</v>
      </c>
      <c r="L560" s="6">
        <v>42.384999999999998</v>
      </c>
      <c r="M560" s="60">
        <v>42.384999999999998</v>
      </c>
      <c r="N560" s="6">
        <v>42.384999999999998</v>
      </c>
      <c r="O560" s="60">
        <v>42.384999999999998</v>
      </c>
      <c r="P560" s="6">
        <v>0</v>
      </c>
      <c r="Q560" s="4" t="s">
        <v>26</v>
      </c>
      <c r="R560" s="4">
        <v>0</v>
      </c>
      <c r="S560" s="4">
        <v>0</v>
      </c>
      <c r="T560" s="4">
        <v>44</v>
      </c>
      <c r="U560" s="4">
        <v>67</v>
      </c>
      <c r="V560" s="60">
        <f>IF(ISERROR(VLOOKUP($S$560,'TAR FIN'!$A$1:$O$104,15,0)),0,VLOOKUP($S$560,'TAR FIN'!$A$1:$O$104,15,0))</f>
        <v>0</v>
      </c>
      <c r="W560" s="60">
        <f>IF(ISERROR(VLOOKUP($T$560,'TAR FIN'!$A$1:$O$104,15,0)),0,VLOOKUP($T$560,'TAR FIN'!$A$1:$O$104,15,0))*(1-0.04)</f>
        <v>60.0672</v>
      </c>
      <c r="X560" s="60">
        <f>IF(ISERROR(VLOOKUP($U$560,'TAR FIN'!$A$1:$O$104,15,0)),0,VLOOKUP($U$560,'TAR FIN'!$A$1:$O$104,15,0))*(1-0.04)</f>
        <v>233.10719999999998</v>
      </c>
      <c r="Y560" s="60"/>
      <c r="Z560" s="60">
        <f ca="1">('TUSD BE'!$AM$26+'TUSD BF'!$AM$26+'TUSD CVA'!$AM$26)*1*(1-0.02)</f>
        <v>76.318677921794944</v>
      </c>
      <c r="AA560" s="60">
        <f>('TE BE'!$AB$8+'TE BF'!$AB$8+'TE CVA'!$AB$8)*1*(1-0.02)</f>
        <v>227.12732236645527</v>
      </c>
      <c r="AB560" s="60">
        <f>(SUBSIDIO!$J$560*SUBSIDIO!$V$560)*(0.04)/(1-0.04)</f>
        <v>0</v>
      </c>
      <c r="AC560" s="60">
        <f>((SUBSIDIO!$L$560*SUBSIDIO!$W$560)+(SUBSIDIO!$N$560*SUBSIDIO!$X$560))*(0.04)/(1-0.04)</f>
        <v>517.75820599999986</v>
      </c>
      <c r="AD560" s="60">
        <f>(SUBSIDIO!$J$560*SUBSIDIO!$Y$560)*(0.02)/(1-0.02)</f>
        <v>0</v>
      </c>
      <c r="AE560" s="60">
        <f ca="1">((SUBSIDIO!$L$560*SUBSIDIO!$Z$560)+(SUBSIDIO!$N$560*SUBSIDIO!$AA$560))*(0.02)/(1-0.02)</f>
        <v>262.48079024933639</v>
      </c>
      <c r="AF560" s="4" t="s">
        <v>998</v>
      </c>
    </row>
    <row r="561" spans="1:32" ht="11.25" customHeight="1" x14ac:dyDescent="0.25">
      <c r="A561" s="4" t="s">
        <v>21</v>
      </c>
      <c r="B561" s="4" t="s">
        <v>41</v>
      </c>
      <c r="C561" s="4" t="s">
        <v>42</v>
      </c>
      <c r="D561" s="4" t="s">
        <v>45</v>
      </c>
      <c r="E561" s="4" t="s">
        <v>25</v>
      </c>
      <c r="F561" s="4" t="s">
        <v>25</v>
      </c>
      <c r="G561" s="4" t="s">
        <v>25</v>
      </c>
      <c r="H561" s="4" t="s">
        <v>35</v>
      </c>
      <c r="I561" s="5">
        <v>44621</v>
      </c>
      <c r="J561" s="6">
        <v>0</v>
      </c>
      <c r="K561" s="60">
        <v>0</v>
      </c>
      <c r="L561" s="6">
        <v>1049.3699999999999</v>
      </c>
      <c r="M561" s="60">
        <v>1049.3699999999999</v>
      </c>
      <c r="N561" s="6">
        <v>1049.3699999999999</v>
      </c>
      <c r="O561" s="60">
        <v>1049.3699999999999</v>
      </c>
      <c r="P561" s="6">
        <v>0</v>
      </c>
      <c r="Q561" s="4" t="s">
        <v>26</v>
      </c>
      <c r="R561" s="4">
        <v>0</v>
      </c>
      <c r="S561" s="4">
        <v>0</v>
      </c>
      <c r="T561" s="4">
        <v>44</v>
      </c>
      <c r="U561" s="4">
        <v>67</v>
      </c>
      <c r="V561" s="60">
        <f>IF(ISERROR(VLOOKUP($S$561,'TAR FIN'!$A$1:$O$104,15,0)),0,VLOOKUP($S$561,'TAR FIN'!$A$1:$O$104,15,0))</f>
        <v>0</v>
      </c>
      <c r="W561" s="60">
        <f>IF(ISERROR(VLOOKUP($T$561,'TAR FIN'!$A$1:$O$104,15,0)),0,VLOOKUP($T$561,'TAR FIN'!$A$1:$O$104,15,0))*(1-0.04)</f>
        <v>60.0672</v>
      </c>
      <c r="X561" s="60">
        <f>IF(ISERROR(VLOOKUP($U$561,'TAR FIN'!$A$1:$O$104,15,0)),0,VLOOKUP($U$561,'TAR FIN'!$A$1:$O$104,15,0))*(1-0.04)</f>
        <v>233.10719999999998</v>
      </c>
      <c r="Y561" s="60"/>
      <c r="Z561" s="60">
        <f ca="1">('TUSD BE'!$AM$26+'TUSD BF'!$AM$26+'TUSD CVA'!$AM$26)*1*(1-0.02)</f>
        <v>76.318677921794944</v>
      </c>
      <c r="AA561" s="60">
        <f>('TE BE'!$AB$8+'TE BF'!$AB$8+'TE CVA'!$AB$8)*1*(1-0.02)</f>
        <v>227.12732236645527</v>
      </c>
      <c r="AB561" s="60">
        <f>(SUBSIDIO!$J$561*SUBSIDIO!$V$561)*(0.04)/(1-0.04)</f>
        <v>0</v>
      </c>
      <c r="AC561" s="60">
        <f>((SUBSIDIO!$L$561*SUBSIDIO!$W$561)+(SUBSIDIO!$N$561*SUBSIDIO!$X$561))*(0.04)/(1-0.04)</f>
        <v>12818.684172000001</v>
      </c>
      <c r="AD561" s="60">
        <f>(SUBSIDIO!$J$561*SUBSIDIO!$Y$561)*(0.02)/(1-0.02)</f>
        <v>0</v>
      </c>
      <c r="AE561" s="60">
        <f ca="1">((SUBSIDIO!$L$561*SUBSIDIO!$Z$561)+(SUBSIDIO!$N$561*SUBSIDIO!$AA$561))*(0.02)/(1-0.02)</f>
        <v>6498.5128433159407</v>
      </c>
      <c r="AF561" s="4" t="s">
        <v>998</v>
      </c>
    </row>
    <row r="562" spans="1:32" ht="11.25" customHeight="1" x14ac:dyDescent="0.25">
      <c r="A562" s="4" t="s">
        <v>27</v>
      </c>
      <c r="B562" s="4" t="s">
        <v>41</v>
      </c>
      <c r="C562" s="4" t="s">
        <v>42</v>
      </c>
      <c r="D562" s="4" t="s">
        <v>45</v>
      </c>
      <c r="E562" s="4" t="s">
        <v>25</v>
      </c>
      <c r="F562" s="4" t="s">
        <v>25</v>
      </c>
      <c r="G562" s="4" t="s">
        <v>25</v>
      </c>
      <c r="H562" s="4" t="s">
        <v>35</v>
      </c>
      <c r="I562" s="5">
        <v>44621</v>
      </c>
      <c r="J562" s="6">
        <v>0</v>
      </c>
      <c r="K562" s="60">
        <v>0</v>
      </c>
      <c r="L562" s="6">
        <v>-28.718</v>
      </c>
      <c r="M562" s="60">
        <v>-28.718</v>
      </c>
      <c r="N562" s="6">
        <v>-28.718</v>
      </c>
      <c r="O562" s="60">
        <v>-28.718</v>
      </c>
      <c r="P562" s="6">
        <v>0</v>
      </c>
      <c r="Q562" s="4" t="s">
        <v>26</v>
      </c>
      <c r="R562" s="4">
        <v>0</v>
      </c>
      <c r="S562" s="4">
        <v>0</v>
      </c>
      <c r="T562" s="4">
        <v>44</v>
      </c>
      <c r="U562" s="4">
        <v>67</v>
      </c>
      <c r="V562" s="60">
        <f>IF(ISERROR(VLOOKUP($S$562,'TAR FIN'!$A$1:$O$104,15,0)),0,VLOOKUP($S$562,'TAR FIN'!$A$1:$O$104,15,0))</f>
        <v>0</v>
      </c>
      <c r="W562" s="60">
        <f>IF(ISERROR(VLOOKUP($T$562,'TAR FIN'!$A$1:$O$104,15,0)),0,VLOOKUP($T$562,'TAR FIN'!$A$1:$O$104,15,0))*(1-0.04)</f>
        <v>60.0672</v>
      </c>
      <c r="X562" s="60">
        <f>IF(ISERROR(VLOOKUP($U$562,'TAR FIN'!$A$1:$O$104,15,0)),0,VLOOKUP($U$562,'TAR FIN'!$A$1:$O$104,15,0))*(1-0.04)</f>
        <v>233.10719999999998</v>
      </c>
      <c r="Y562" s="60"/>
      <c r="Z562" s="60">
        <f ca="1">('TUSD BE'!$AM$26+'TUSD BF'!$AM$26+'TUSD CVA'!$AM$26)*1*(1-0.02)</f>
        <v>76.318677921794944</v>
      </c>
      <c r="AA562" s="60">
        <f>('TE BE'!$AB$8+'TE BF'!$AB$8+'TE CVA'!$AB$8)*1*(1-0.02)</f>
        <v>227.12732236645527</v>
      </c>
      <c r="AB562" s="60">
        <f>(SUBSIDIO!$J$562*SUBSIDIO!$V$562)*(0.04)/(1-0.04)</f>
        <v>0</v>
      </c>
      <c r="AC562" s="60">
        <f>((SUBSIDIO!$L$562*SUBSIDIO!$W$562)+(SUBSIDIO!$N$562*SUBSIDIO!$X$562))*(0.04)/(1-0.04)</f>
        <v>-350.80760079999999</v>
      </c>
      <c r="AD562" s="60">
        <f>(SUBSIDIO!$J$562*SUBSIDIO!$Y$562)*(0.02)/(1-0.02)</f>
        <v>0</v>
      </c>
      <c r="AE562" s="60">
        <f ca="1">((SUBSIDIO!$L$562*SUBSIDIO!$Z$562)+(SUBSIDIO!$N$562*SUBSIDIO!$AA$562))*(0.02)/(1-0.02)</f>
        <v>-177.84412727097896</v>
      </c>
      <c r="AF562" s="4" t="s">
        <v>998</v>
      </c>
    </row>
    <row r="563" spans="1:32" ht="11.25" customHeight="1" x14ac:dyDescent="0.25">
      <c r="A563" s="4" t="s">
        <v>28</v>
      </c>
      <c r="B563" s="4" t="s">
        <v>41</v>
      </c>
      <c r="C563" s="4" t="s">
        <v>42</v>
      </c>
      <c r="D563" s="4" t="s">
        <v>45</v>
      </c>
      <c r="E563" s="4" t="s">
        <v>25</v>
      </c>
      <c r="F563" s="4" t="s">
        <v>25</v>
      </c>
      <c r="G563" s="4" t="s">
        <v>25</v>
      </c>
      <c r="H563" s="4" t="s">
        <v>35</v>
      </c>
      <c r="I563" s="5">
        <v>44621</v>
      </c>
      <c r="J563" s="6">
        <v>0</v>
      </c>
      <c r="K563" s="60">
        <v>0</v>
      </c>
      <c r="L563" s="6">
        <v>28.227</v>
      </c>
      <c r="M563" s="60">
        <v>28.227</v>
      </c>
      <c r="N563" s="6">
        <v>28.227</v>
      </c>
      <c r="O563" s="60">
        <v>28.227</v>
      </c>
      <c r="P563" s="6">
        <v>0</v>
      </c>
      <c r="Q563" s="4" t="s">
        <v>26</v>
      </c>
      <c r="R563" s="4">
        <v>0</v>
      </c>
      <c r="S563" s="4">
        <v>0</v>
      </c>
      <c r="T563" s="4">
        <v>44</v>
      </c>
      <c r="U563" s="4">
        <v>67</v>
      </c>
      <c r="V563" s="60">
        <f>IF(ISERROR(VLOOKUP($S$563,'TAR FIN'!$A$1:$O$104,15,0)),0,VLOOKUP($S$563,'TAR FIN'!$A$1:$O$104,15,0))</f>
        <v>0</v>
      </c>
      <c r="W563" s="60">
        <f>IF(ISERROR(VLOOKUP($T$563,'TAR FIN'!$A$1:$O$104,15,0)),0,VLOOKUP($T$563,'TAR FIN'!$A$1:$O$104,15,0))*(1-0.04)</f>
        <v>60.0672</v>
      </c>
      <c r="X563" s="60">
        <f>IF(ISERROR(VLOOKUP($U$563,'TAR FIN'!$A$1:$O$104,15,0)),0,VLOOKUP($U$563,'TAR FIN'!$A$1:$O$104,15,0))*(1-0.04)</f>
        <v>233.10719999999998</v>
      </c>
      <c r="Y563" s="60"/>
      <c r="Z563" s="60">
        <f ca="1">('TUSD BE'!$AM$26+'TUSD BF'!$AM$26+'TUSD CVA'!$AM$26)*1*(1-0.02)</f>
        <v>76.318677921794944</v>
      </c>
      <c r="AA563" s="60">
        <f>('TE BE'!$AB$8+'TE BF'!$AB$8+'TE CVA'!$AB$8)*1*(1-0.02)</f>
        <v>227.12732236645527</v>
      </c>
      <c r="AB563" s="60">
        <f>(SUBSIDIO!$J$563*SUBSIDIO!$V$563)*(0.04)/(1-0.04)</f>
        <v>0</v>
      </c>
      <c r="AC563" s="60">
        <f>((SUBSIDIO!$L$563*SUBSIDIO!$W$563)+(SUBSIDIO!$N$563*SUBSIDIO!$X$563))*(0.04)/(1-0.04)</f>
        <v>344.80974120000002</v>
      </c>
      <c r="AD563" s="60">
        <f>(SUBSIDIO!$J$563*SUBSIDIO!$Y$563)*(0.02)/(1-0.02)</f>
        <v>0</v>
      </c>
      <c r="AE563" s="60">
        <f ca="1">((SUBSIDIO!$L$563*SUBSIDIO!$Z$563)+(SUBSIDIO!$N$563*SUBSIDIO!$AA$563))*(0.02)/(1-0.02)</f>
        <v>174.80347449258039</v>
      </c>
      <c r="AF563" s="4" t="s">
        <v>998</v>
      </c>
    </row>
    <row r="564" spans="1:32" ht="11.25" customHeight="1" x14ac:dyDescent="0.25">
      <c r="A564" s="4" t="s">
        <v>21</v>
      </c>
      <c r="B564" s="4" t="s">
        <v>41</v>
      </c>
      <c r="C564" s="4" t="s">
        <v>42</v>
      </c>
      <c r="D564" s="4" t="s">
        <v>45</v>
      </c>
      <c r="E564" s="4" t="s">
        <v>25</v>
      </c>
      <c r="F564" s="4" t="s">
        <v>25</v>
      </c>
      <c r="G564" s="4" t="s">
        <v>25</v>
      </c>
      <c r="H564" s="4" t="s">
        <v>35</v>
      </c>
      <c r="I564" s="5">
        <v>44652</v>
      </c>
      <c r="J564" s="6">
        <v>0</v>
      </c>
      <c r="K564" s="60">
        <v>0</v>
      </c>
      <c r="L564" s="6">
        <v>1056.098</v>
      </c>
      <c r="M564" s="60">
        <v>1056.098</v>
      </c>
      <c r="N564" s="6">
        <v>1056.098</v>
      </c>
      <c r="O564" s="60">
        <v>1056.098</v>
      </c>
      <c r="P564" s="6">
        <v>0</v>
      </c>
      <c r="Q564" s="4" t="s">
        <v>26</v>
      </c>
      <c r="R564" s="4">
        <v>0</v>
      </c>
      <c r="S564" s="4">
        <v>0</v>
      </c>
      <c r="T564" s="4">
        <v>44</v>
      </c>
      <c r="U564" s="4">
        <v>67</v>
      </c>
      <c r="V564" s="60">
        <f>IF(ISERROR(VLOOKUP($S$564,'TAR FIN'!$A$1:$O$104,15,0)),0,VLOOKUP($S$564,'TAR FIN'!$A$1:$O$104,15,0))</f>
        <v>0</v>
      </c>
      <c r="W564" s="60">
        <f>IF(ISERROR(VLOOKUP($T$564,'TAR FIN'!$A$1:$O$104,15,0)),0,VLOOKUP($T$564,'TAR FIN'!$A$1:$O$104,15,0))*(1-0.04)</f>
        <v>60.0672</v>
      </c>
      <c r="X564" s="60">
        <f>IF(ISERROR(VLOOKUP($U$564,'TAR FIN'!$A$1:$O$104,15,0)),0,VLOOKUP($U$564,'TAR FIN'!$A$1:$O$104,15,0))*(1-0.04)</f>
        <v>233.10719999999998</v>
      </c>
      <c r="Y564" s="60"/>
      <c r="Z564" s="60">
        <f ca="1">('TUSD BE'!$AM$26+'TUSD BF'!$AM$26+'TUSD CVA'!$AM$26)*1*(1-0.02)</f>
        <v>76.318677921794944</v>
      </c>
      <c r="AA564" s="60">
        <f>('TE BE'!$AB$8+'TE BF'!$AB$8+'TE CVA'!$AB$8)*1*(1-0.02)</f>
        <v>227.12732236645527</v>
      </c>
      <c r="AB564" s="60">
        <f>(SUBSIDIO!$J$564*SUBSIDIO!$V$564)*(0.04)/(1-0.04)</f>
        <v>0</v>
      </c>
      <c r="AC564" s="60">
        <f>((SUBSIDIO!$L$564*SUBSIDIO!$W$564)+(SUBSIDIO!$N$564*SUBSIDIO!$X$564))*(0.04)/(1-0.04)</f>
        <v>12900.870728799999</v>
      </c>
      <c r="AD564" s="60">
        <f>(SUBSIDIO!$J$564*SUBSIDIO!$Y$564)*(0.02)/(1-0.02)</f>
        <v>0</v>
      </c>
      <c r="AE564" s="60">
        <f ca="1">((SUBSIDIO!$L$564*SUBSIDIO!$Z$564)+(SUBSIDIO!$N$564*SUBSIDIO!$AA$564))*(0.02)/(1-0.02)</f>
        <v>6540.1778369881731</v>
      </c>
      <c r="AF564" s="4" t="s">
        <v>998</v>
      </c>
    </row>
    <row r="565" spans="1:32" ht="11.25" customHeight="1" x14ac:dyDescent="0.25">
      <c r="A565" s="4" t="s">
        <v>27</v>
      </c>
      <c r="B565" s="4" t="s">
        <v>41</v>
      </c>
      <c r="C565" s="4" t="s">
        <v>42</v>
      </c>
      <c r="D565" s="4" t="s">
        <v>45</v>
      </c>
      <c r="E565" s="4" t="s">
        <v>25</v>
      </c>
      <c r="F565" s="4" t="s">
        <v>25</v>
      </c>
      <c r="G565" s="4" t="s">
        <v>25</v>
      </c>
      <c r="H565" s="4" t="s">
        <v>35</v>
      </c>
      <c r="I565" s="5">
        <v>44652</v>
      </c>
      <c r="J565" s="6">
        <v>0</v>
      </c>
      <c r="K565" s="60">
        <v>0</v>
      </c>
      <c r="L565" s="6">
        <v>1.07</v>
      </c>
      <c r="M565" s="60">
        <v>1.07</v>
      </c>
      <c r="N565" s="6">
        <v>1.07</v>
      </c>
      <c r="O565" s="60">
        <v>1.07</v>
      </c>
      <c r="P565" s="6">
        <v>0</v>
      </c>
      <c r="Q565" s="4" t="s">
        <v>26</v>
      </c>
      <c r="R565" s="4">
        <v>0</v>
      </c>
      <c r="S565" s="4">
        <v>0</v>
      </c>
      <c r="T565" s="4">
        <v>44</v>
      </c>
      <c r="U565" s="4">
        <v>67</v>
      </c>
      <c r="V565" s="60">
        <f>IF(ISERROR(VLOOKUP($S$565,'TAR FIN'!$A$1:$O$104,15,0)),0,VLOOKUP($S$565,'TAR FIN'!$A$1:$O$104,15,0))</f>
        <v>0</v>
      </c>
      <c r="W565" s="60">
        <f>IF(ISERROR(VLOOKUP($T$565,'TAR FIN'!$A$1:$O$104,15,0)),0,VLOOKUP($T$565,'TAR FIN'!$A$1:$O$104,15,0))*(1-0.04)</f>
        <v>60.0672</v>
      </c>
      <c r="X565" s="60">
        <f>IF(ISERROR(VLOOKUP($U$565,'TAR FIN'!$A$1:$O$104,15,0)),0,VLOOKUP($U$565,'TAR FIN'!$A$1:$O$104,15,0))*(1-0.04)</f>
        <v>233.10719999999998</v>
      </c>
      <c r="Y565" s="60"/>
      <c r="Z565" s="60">
        <f ca="1">('TUSD BE'!$AM$26+'TUSD BF'!$AM$26+'TUSD CVA'!$AM$26)*1*(1-0.02)</f>
        <v>76.318677921794944</v>
      </c>
      <c r="AA565" s="60">
        <f>('TE BE'!$AB$8+'TE BF'!$AB$8+'TE CVA'!$AB$8)*1*(1-0.02)</f>
        <v>227.12732236645527</v>
      </c>
      <c r="AB565" s="60">
        <f>(SUBSIDIO!$J$565*SUBSIDIO!$V$565)*(0.04)/(1-0.04)</f>
        <v>0</v>
      </c>
      <c r="AC565" s="60">
        <f>((SUBSIDIO!$L$565*SUBSIDIO!$W$565)+(SUBSIDIO!$N$565*SUBSIDIO!$X$565))*(0.04)/(1-0.04)</f>
        <v>13.070691999999999</v>
      </c>
      <c r="AD565" s="60">
        <f>(SUBSIDIO!$J$565*SUBSIDIO!$Y$565)*(0.02)/(1-0.02)</f>
        <v>0</v>
      </c>
      <c r="AE565" s="60">
        <f ca="1">((SUBSIDIO!$L$565*SUBSIDIO!$Z$565)+(SUBSIDIO!$N$565*SUBSIDIO!$AA$565))*(0.02)/(1-0.02)</f>
        <v>6.6262698022128115</v>
      </c>
      <c r="AF565" s="4" t="s">
        <v>998</v>
      </c>
    </row>
    <row r="566" spans="1:32" ht="11.25" customHeight="1" x14ac:dyDescent="0.25">
      <c r="A566" s="4" t="s">
        <v>28</v>
      </c>
      <c r="B566" s="4" t="s">
        <v>41</v>
      </c>
      <c r="C566" s="4" t="s">
        <v>42</v>
      </c>
      <c r="D566" s="4" t="s">
        <v>45</v>
      </c>
      <c r="E566" s="4" t="s">
        <v>25</v>
      </c>
      <c r="F566" s="4" t="s">
        <v>25</v>
      </c>
      <c r="G566" s="4" t="s">
        <v>25</v>
      </c>
      <c r="H566" s="4" t="s">
        <v>35</v>
      </c>
      <c r="I566" s="5">
        <v>44652</v>
      </c>
      <c r="J566" s="6">
        <v>0</v>
      </c>
      <c r="K566" s="60">
        <v>0</v>
      </c>
      <c r="L566" s="6">
        <v>40.970999999999997</v>
      </c>
      <c r="M566" s="60">
        <v>40.970999999999997</v>
      </c>
      <c r="N566" s="6">
        <v>40.970999999999997</v>
      </c>
      <c r="O566" s="60">
        <v>40.970999999999997</v>
      </c>
      <c r="P566" s="6">
        <v>0</v>
      </c>
      <c r="Q566" s="4" t="s">
        <v>26</v>
      </c>
      <c r="R566" s="4">
        <v>0</v>
      </c>
      <c r="S566" s="4">
        <v>0</v>
      </c>
      <c r="T566" s="4">
        <v>44</v>
      </c>
      <c r="U566" s="4">
        <v>67</v>
      </c>
      <c r="V566" s="60">
        <f>IF(ISERROR(VLOOKUP($S$566,'TAR FIN'!$A$1:$O$104,15,0)),0,VLOOKUP($S$566,'TAR FIN'!$A$1:$O$104,15,0))</f>
        <v>0</v>
      </c>
      <c r="W566" s="60">
        <f>IF(ISERROR(VLOOKUP($T$566,'TAR FIN'!$A$1:$O$104,15,0)),0,VLOOKUP($T$566,'TAR FIN'!$A$1:$O$104,15,0))*(1-0.04)</f>
        <v>60.0672</v>
      </c>
      <c r="X566" s="60">
        <f>IF(ISERROR(VLOOKUP($U$566,'TAR FIN'!$A$1:$O$104,15,0)),0,VLOOKUP($U$566,'TAR FIN'!$A$1:$O$104,15,0))*(1-0.04)</f>
        <v>233.10719999999998</v>
      </c>
      <c r="Y566" s="60"/>
      <c r="Z566" s="60">
        <f ca="1">('TUSD BE'!$AM$26+'TUSD BF'!$AM$26+'TUSD CVA'!$AM$26)*1*(1-0.02)</f>
        <v>76.318677921794944</v>
      </c>
      <c r="AA566" s="60">
        <f>('TE BE'!$AB$8+'TE BF'!$AB$8+'TE CVA'!$AB$8)*1*(1-0.02)</f>
        <v>227.12732236645527</v>
      </c>
      <c r="AB566" s="60">
        <f>(SUBSIDIO!$J$566*SUBSIDIO!$V$566)*(0.04)/(1-0.04)</f>
        <v>0</v>
      </c>
      <c r="AC566" s="60">
        <f>((SUBSIDIO!$L$566*SUBSIDIO!$W$566)+(SUBSIDIO!$N$566*SUBSIDIO!$X$566))*(0.04)/(1-0.04)</f>
        <v>500.48534759999995</v>
      </c>
      <c r="AD566" s="60">
        <f>(SUBSIDIO!$J$566*SUBSIDIO!$Y$566)*(0.02)/(1-0.02)</f>
        <v>0</v>
      </c>
      <c r="AE566" s="60">
        <f ca="1">((SUBSIDIO!$L$566*SUBSIDIO!$Z$566)+(SUBSIDIO!$N$566*SUBSIDIO!$AA$566))*(0.02)/(1-0.02)</f>
        <v>253.72420566958979</v>
      </c>
      <c r="AF566" s="4" t="s">
        <v>998</v>
      </c>
    </row>
    <row r="567" spans="1:32" ht="11.25" customHeight="1" x14ac:dyDescent="0.25">
      <c r="A567" s="4" t="s">
        <v>28</v>
      </c>
      <c r="B567" s="4" t="s">
        <v>41</v>
      </c>
      <c r="C567" s="4" t="s">
        <v>42</v>
      </c>
      <c r="D567" s="4" t="s">
        <v>45</v>
      </c>
      <c r="E567" s="4" t="s">
        <v>25</v>
      </c>
      <c r="F567" s="4" t="s">
        <v>25</v>
      </c>
      <c r="G567" s="4" t="s">
        <v>25</v>
      </c>
      <c r="H567" s="4" t="s">
        <v>35</v>
      </c>
      <c r="I567" s="5">
        <v>44652</v>
      </c>
      <c r="J567" s="6">
        <v>0</v>
      </c>
      <c r="K567" s="60">
        <v>0</v>
      </c>
      <c r="L567" s="6">
        <v>-75.525000000000006</v>
      </c>
      <c r="M567" s="60">
        <v>-75.525000000000006</v>
      </c>
      <c r="N567" s="6">
        <v>-75.525000000000006</v>
      </c>
      <c r="O567" s="60">
        <v>-75.525000000000006</v>
      </c>
      <c r="P567" s="6">
        <v>0</v>
      </c>
      <c r="Q567" s="4" t="s">
        <v>26</v>
      </c>
      <c r="R567" s="4">
        <v>0</v>
      </c>
      <c r="S567" s="4">
        <v>0</v>
      </c>
      <c r="T567" s="4">
        <v>44</v>
      </c>
      <c r="U567" s="4">
        <v>67</v>
      </c>
      <c r="V567" s="60">
        <f>IF(ISERROR(VLOOKUP($S$567,'TAR FIN'!$A$1:$O$104,15,0)),0,VLOOKUP($S$567,'TAR FIN'!$A$1:$O$104,15,0))</f>
        <v>0</v>
      </c>
      <c r="W567" s="60">
        <f>IF(ISERROR(VLOOKUP($T$567,'TAR FIN'!$A$1:$O$104,15,0)),0,VLOOKUP($T$567,'TAR FIN'!$A$1:$O$104,15,0))*(1-0.04)</f>
        <v>60.0672</v>
      </c>
      <c r="X567" s="60">
        <f>IF(ISERROR(VLOOKUP($U$567,'TAR FIN'!$A$1:$O$104,15,0)),0,VLOOKUP($U$567,'TAR FIN'!$A$1:$O$104,15,0))*(1-0.04)</f>
        <v>233.10719999999998</v>
      </c>
      <c r="Y567" s="60"/>
      <c r="Z567" s="60">
        <f ca="1">('TUSD BE'!$AM$26+'TUSD BF'!$AM$26+'TUSD CVA'!$AM$26)*1*(1-0.02)</f>
        <v>76.318677921794944</v>
      </c>
      <c r="AA567" s="60">
        <f>('TE BE'!$AB$8+'TE BF'!$AB$8+'TE CVA'!$AB$8)*1*(1-0.02)</f>
        <v>227.12732236645527</v>
      </c>
      <c r="AB567" s="60">
        <f>(SUBSIDIO!$J$567*SUBSIDIO!$V$567)*(0.04)/(1-0.04)</f>
        <v>0</v>
      </c>
      <c r="AC567" s="60">
        <f>((SUBSIDIO!$L$567*SUBSIDIO!$W$567)+(SUBSIDIO!$N$567*SUBSIDIO!$X$567))*(0.04)/(1-0.04)</f>
        <v>-922.58319000000006</v>
      </c>
      <c r="AD567" s="60">
        <f>(SUBSIDIO!$J$567*SUBSIDIO!$Y$567)*(0.02)/(1-0.02)</f>
        <v>0</v>
      </c>
      <c r="AE567" s="60">
        <f ca="1">((SUBSIDIO!$L$567*SUBSIDIO!$Z$567)+(SUBSIDIO!$N$567*SUBSIDIO!$AA$567))*(0.02)/(1-0.02)</f>
        <v>-467.70937085245106</v>
      </c>
      <c r="AF567" s="4" t="s">
        <v>998</v>
      </c>
    </row>
    <row r="568" spans="1:32" ht="11.25" customHeight="1" x14ac:dyDescent="0.25">
      <c r="A568" s="4" t="s">
        <v>21</v>
      </c>
      <c r="B568" s="4" t="s">
        <v>41</v>
      </c>
      <c r="C568" s="4" t="s">
        <v>42</v>
      </c>
      <c r="D568" s="4" t="s">
        <v>45</v>
      </c>
      <c r="E568" s="4" t="s">
        <v>25</v>
      </c>
      <c r="F568" s="4" t="s">
        <v>25</v>
      </c>
      <c r="G568" s="4" t="s">
        <v>25</v>
      </c>
      <c r="H568" s="4" t="s">
        <v>35</v>
      </c>
      <c r="I568" s="5">
        <v>44682</v>
      </c>
      <c r="J568" s="6">
        <v>0</v>
      </c>
      <c r="K568" s="60">
        <v>0</v>
      </c>
      <c r="L568" s="6">
        <v>1185.383</v>
      </c>
      <c r="M568" s="60">
        <v>1185.383</v>
      </c>
      <c r="N568" s="6">
        <v>1185.383</v>
      </c>
      <c r="O568" s="60">
        <v>1185.383</v>
      </c>
      <c r="P568" s="6">
        <v>0</v>
      </c>
      <c r="Q568" s="4" t="s">
        <v>26</v>
      </c>
      <c r="R568" s="4">
        <v>0</v>
      </c>
      <c r="S568" s="4">
        <v>0</v>
      </c>
      <c r="T568" s="4">
        <v>44</v>
      </c>
      <c r="U568" s="4">
        <v>67</v>
      </c>
      <c r="V568" s="60">
        <f>IF(ISERROR(VLOOKUP($S$568,'TAR FIN'!$A$1:$O$104,15,0)),0,VLOOKUP($S$568,'TAR FIN'!$A$1:$O$104,15,0))</f>
        <v>0</v>
      </c>
      <c r="W568" s="60">
        <f>IF(ISERROR(VLOOKUP($T$568,'TAR FIN'!$A$1:$O$104,15,0)),0,VLOOKUP($T$568,'TAR FIN'!$A$1:$O$104,15,0))*(1-0.04)</f>
        <v>60.0672</v>
      </c>
      <c r="X568" s="60">
        <f>IF(ISERROR(VLOOKUP($U$568,'TAR FIN'!$A$1:$O$104,15,0)),0,VLOOKUP($U$568,'TAR FIN'!$A$1:$O$104,15,0))*(1-0.04)</f>
        <v>233.10719999999998</v>
      </c>
      <c r="Y568" s="60"/>
      <c r="Z568" s="60">
        <f ca="1">('TUSD BE'!$AM$26+'TUSD BF'!$AM$26+'TUSD CVA'!$AM$26)*1*(1-0.02)</f>
        <v>76.318677921794944</v>
      </c>
      <c r="AA568" s="60">
        <f>('TE BE'!$AB$8+'TE BF'!$AB$8+'TE CVA'!$AB$8)*1*(1-0.02)</f>
        <v>227.12732236645527</v>
      </c>
      <c r="AB568" s="60">
        <f>(SUBSIDIO!$J$568*SUBSIDIO!$V$568)*(0.04)/(1-0.04)</f>
        <v>0</v>
      </c>
      <c r="AC568" s="60">
        <f>((SUBSIDIO!$L$568*SUBSIDIO!$W$568)+(SUBSIDIO!$N$568*SUBSIDIO!$X$568))*(0.04)/(1-0.04)</f>
        <v>14480.164574800003</v>
      </c>
      <c r="AD568" s="60">
        <f>(SUBSIDIO!$J$568*SUBSIDIO!$Y$568)*(0.02)/(1-0.02)</f>
        <v>0</v>
      </c>
      <c r="AE568" s="60">
        <f ca="1">((SUBSIDIO!$L$568*SUBSIDIO!$Z$568)+(SUBSIDIO!$N$568*SUBSIDIO!$AA$568))*(0.02)/(1-0.02)</f>
        <v>7340.8108195854466</v>
      </c>
      <c r="AF568" s="4" t="s">
        <v>998</v>
      </c>
    </row>
    <row r="569" spans="1:32" ht="11.25" customHeight="1" x14ac:dyDescent="0.25">
      <c r="A569" s="4" t="s">
        <v>28</v>
      </c>
      <c r="B569" s="4" t="s">
        <v>41</v>
      </c>
      <c r="C569" s="4" t="s">
        <v>42</v>
      </c>
      <c r="D569" s="4" t="s">
        <v>45</v>
      </c>
      <c r="E569" s="4" t="s">
        <v>25</v>
      </c>
      <c r="F569" s="4" t="s">
        <v>25</v>
      </c>
      <c r="G569" s="4" t="s">
        <v>25</v>
      </c>
      <c r="H569" s="4" t="s">
        <v>35</v>
      </c>
      <c r="I569" s="5">
        <v>44682</v>
      </c>
      <c r="J569" s="6">
        <v>0</v>
      </c>
      <c r="K569" s="60">
        <v>0</v>
      </c>
      <c r="L569" s="6">
        <v>40.915999999999997</v>
      </c>
      <c r="M569" s="60">
        <v>40.915999999999997</v>
      </c>
      <c r="N569" s="6">
        <v>40.915999999999997</v>
      </c>
      <c r="O569" s="60">
        <v>40.915999999999997</v>
      </c>
      <c r="P569" s="6">
        <v>0</v>
      </c>
      <c r="Q569" s="4" t="s">
        <v>26</v>
      </c>
      <c r="R569" s="4">
        <v>0</v>
      </c>
      <c r="S569" s="4">
        <v>0</v>
      </c>
      <c r="T569" s="4">
        <v>44</v>
      </c>
      <c r="U569" s="4">
        <v>67</v>
      </c>
      <c r="V569" s="60">
        <f>IF(ISERROR(VLOOKUP($S$569,'TAR FIN'!$A$1:$O$104,15,0)),0,VLOOKUP($S$569,'TAR FIN'!$A$1:$O$104,15,0))</f>
        <v>0</v>
      </c>
      <c r="W569" s="60">
        <f>IF(ISERROR(VLOOKUP($T$569,'TAR FIN'!$A$1:$O$104,15,0)),0,VLOOKUP($T$569,'TAR FIN'!$A$1:$O$104,15,0))*(1-0.04)</f>
        <v>60.0672</v>
      </c>
      <c r="X569" s="60">
        <f>IF(ISERROR(VLOOKUP($U$569,'TAR FIN'!$A$1:$O$104,15,0)),0,VLOOKUP($U$569,'TAR FIN'!$A$1:$O$104,15,0))*(1-0.04)</f>
        <v>233.10719999999998</v>
      </c>
      <c r="Y569" s="60"/>
      <c r="Z569" s="60">
        <f ca="1">('TUSD BE'!$AM$26+'TUSD BF'!$AM$26+'TUSD CVA'!$AM$26)*1*(1-0.02)</f>
        <v>76.318677921794944</v>
      </c>
      <c r="AA569" s="60">
        <f>('TE BE'!$AB$8+'TE BF'!$AB$8+'TE CVA'!$AB$8)*1*(1-0.02)</f>
        <v>227.12732236645527</v>
      </c>
      <c r="AB569" s="60">
        <f>(SUBSIDIO!$J$569*SUBSIDIO!$V$569)*(0.04)/(1-0.04)</f>
        <v>0</v>
      </c>
      <c r="AC569" s="60">
        <f>((SUBSIDIO!$L$569*SUBSIDIO!$W$569)+(SUBSIDIO!$N$569*SUBSIDIO!$X$569))*(0.04)/(1-0.04)</f>
        <v>499.81348959999997</v>
      </c>
      <c r="AD569" s="60">
        <f>(SUBSIDIO!$J$569*SUBSIDIO!$Y$569)*(0.02)/(1-0.02)</f>
        <v>0</v>
      </c>
      <c r="AE569" s="60">
        <f ca="1">((SUBSIDIO!$L$569*SUBSIDIO!$Z$569)+(SUBSIDIO!$N$569*SUBSIDIO!$AA$569))*(0.02)/(1-0.02)</f>
        <v>253.383603016205</v>
      </c>
      <c r="AF569" s="4" t="s">
        <v>998</v>
      </c>
    </row>
    <row r="570" spans="1:32" ht="11.25" customHeight="1" x14ac:dyDescent="0.25">
      <c r="A570" s="4" t="s">
        <v>21</v>
      </c>
      <c r="B570" s="4" t="s">
        <v>41</v>
      </c>
      <c r="C570" s="4" t="s">
        <v>42</v>
      </c>
      <c r="D570" s="4" t="s">
        <v>45</v>
      </c>
      <c r="E570" s="4" t="s">
        <v>25</v>
      </c>
      <c r="F570" s="4" t="s">
        <v>25</v>
      </c>
      <c r="G570" s="4" t="s">
        <v>25</v>
      </c>
      <c r="H570" s="4" t="s">
        <v>35</v>
      </c>
      <c r="I570" s="5">
        <v>44713</v>
      </c>
      <c r="J570" s="6">
        <v>0</v>
      </c>
      <c r="K570" s="60">
        <v>0</v>
      </c>
      <c r="L570" s="6">
        <v>1157.3920000000001</v>
      </c>
      <c r="M570" s="60">
        <v>1157.3920000000001</v>
      </c>
      <c r="N570" s="6">
        <v>1157.3920000000001</v>
      </c>
      <c r="O570" s="60">
        <v>1157.3920000000001</v>
      </c>
      <c r="P570" s="6">
        <v>0</v>
      </c>
      <c r="Q570" s="4" t="s">
        <v>26</v>
      </c>
      <c r="R570" s="4">
        <v>0</v>
      </c>
      <c r="S570" s="4">
        <v>0</v>
      </c>
      <c r="T570" s="4">
        <v>44</v>
      </c>
      <c r="U570" s="4">
        <v>67</v>
      </c>
      <c r="V570" s="60">
        <f>IF(ISERROR(VLOOKUP($S$570,'TAR FIN'!$A$1:$O$104,15,0)),0,VLOOKUP($S$570,'TAR FIN'!$A$1:$O$104,15,0))</f>
        <v>0</v>
      </c>
      <c r="W570" s="60">
        <f>IF(ISERROR(VLOOKUP($T$570,'TAR FIN'!$A$1:$O$104,15,0)),0,VLOOKUP($T$570,'TAR FIN'!$A$1:$O$104,15,0))*(1-0.04)</f>
        <v>60.0672</v>
      </c>
      <c r="X570" s="60">
        <f>IF(ISERROR(VLOOKUP($U$570,'TAR FIN'!$A$1:$O$104,15,0)),0,VLOOKUP($U$570,'TAR FIN'!$A$1:$O$104,15,0))*(1-0.04)</f>
        <v>233.10719999999998</v>
      </c>
      <c r="Y570" s="60"/>
      <c r="Z570" s="60">
        <f ca="1">('TUSD BE'!$AM$26+'TUSD BF'!$AM$26+'TUSD CVA'!$AM$26)*1*(1-0.02)</f>
        <v>76.318677921794944</v>
      </c>
      <c r="AA570" s="60">
        <f>('TE BE'!$AB$8+'TE BF'!$AB$8+'TE CVA'!$AB$8)*1*(1-0.02)</f>
        <v>227.12732236645527</v>
      </c>
      <c r="AB570" s="60">
        <f>(SUBSIDIO!$J$570*SUBSIDIO!$V$570)*(0.04)/(1-0.04)</f>
        <v>0</v>
      </c>
      <c r="AC570" s="60">
        <f>((SUBSIDIO!$L$570*SUBSIDIO!$W$570)+(SUBSIDIO!$N$570*SUBSIDIO!$X$570))*(0.04)/(1-0.04)</f>
        <v>14138.237715200003</v>
      </c>
      <c r="AD570" s="60">
        <f>(SUBSIDIO!$J$570*SUBSIDIO!$Y$570)*(0.02)/(1-0.02)</f>
        <v>0</v>
      </c>
      <c r="AE570" s="60">
        <f ca="1">((SUBSIDIO!$L$570*SUBSIDIO!$Z$570)+(SUBSIDIO!$N$570*SUBSIDIO!$AA$570))*(0.02)/(1-0.02)</f>
        <v>7167.4688401146632</v>
      </c>
      <c r="AF570" s="4" t="s">
        <v>998</v>
      </c>
    </row>
    <row r="571" spans="1:32" ht="11.25" customHeight="1" x14ac:dyDescent="0.25">
      <c r="A571" s="4" t="s">
        <v>28</v>
      </c>
      <c r="B571" s="4" t="s">
        <v>41</v>
      </c>
      <c r="C571" s="4" t="s">
        <v>42</v>
      </c>
      <c r="D571" s="4" t="s">
        <v>45</v>
      </c>
      <c r="E571" s="4" t="s">
        <v>25</v>
      </c>
      <c r="F571" s="4" t="s">
        <v>25</v>
      </c>
      <c r="G571" s="4" t="s">
        <v>25</v>
      </c>
      <c r="H571" s="4" t="s">
        <v>35</v>
      </c>
      <c r="I571" s="5">
        <v>44713</v>
      </c>
      <c r="J571" s="6">
        <v>0</v>
      </c>
      <c r="K571" s="60">
        <v>0</v>
      </c>
      <c r="L571" s="6">
        <v>41.808999999999997</v>
      </c>
      <c r="M571" s="60">
        <v>41.808999999999997</v>
      </c>
      <c r="N571" s="6">
        <v>41.808999999999997</v>
      </c>
      <c r="O571" s="60">
        <v>41.808999999999997</v>
      </c>
      <c r="P571" s="6">
        <v>0</v>
      </c>
      <c r="Q571" s="4" t="s">
        <v>26</v>
      </c>
      <c r="R571" s="4">
        <v>0</v>
      </c>
      <c r="S571" s="4">
        <v>0</v>
      </c>
      <c r="T571" s="4">
        <v>44</v>
      </c>
      <c r="U571" s="4">
        <v>67</v>
      </c>
      <c r="V571" s="60">
        <f>IF(ISERROR(VLOOKUP($S$571,'TAR FIN'!$A$1:$O$104,15,0)),0,VLOOKUP($S$571,'TAR FIN'!$A$1:$O$104,15,0))</f>
        <v>0</v>
      </c>
      <c r="W571" s="60">
        <f>IF(ISERROR(VLOOKUP($T$571,'TAR FIN'!$A$1:$O$104,15,0)),0,VLOOKUP($T$571,'TAR FIN'!$A$1:$O$104,15,0))*(1-0.04)</f>
        <v>60.0672</v>
      </c>
      <c r="X571" s="60">
        <f>IF(ISERROR(VLOOKUP($U$571,'TAR FIN'!$A$1:$O$104,15,0)),0,VLOOKUP($U$571,'TAR FIN'!$A$1:$O$104,15,0))*(1-0.04)</f>
        <v>233.10719999999998</v>
      </c>
      <c r="Y571" s="60"/>
      <c r="Z571" s="60">
        <f ca="1">('TUSD BE'!$AM$26+'TUSD BF'!$AM$26+'TUSD CVA'!$AM$26)*1*(1-0.02)</f>
        <v>76.318677921794944</v>
      </c>
      <c r="AA571" s="60">
        <f>('TE BE'!$AB$8+'TE BF'!$AB$8+'TE CVA'!$AB$8)*1*(1-0.02)</f>
        <v>227.12732236645527</v>
      </c>
      <c r="AB571" s="60">
        <f>(SUBSIDIO!$J$571*SUBSIDIO!$V$571)*(0.04)/(1-0.04)</f>
        <v>0</v>
      </c>
      <c r="AC571" s="60">
        <f>((SUBSIDIO!$L$571*SUBSIDIO!$W$571)+(SUBSIDIO!$N$571*SUBSIDIO!$X$571))*(0.04)/(1-0.04)</f>
        <v>510.72202039999991</v>
      </c>
      <c r="AD571" s="60">
        <f>(SUBSIDIO!$J$571*SUBSIDIO!$Y$571)*(0.02)/(1-0.02)</f>
        <v>0</v>
      </c>
      <c r="AE571" s="60">
        <f ca="1">((SUBSIDIO!$L$571*SUBSIDIO!$Z$571)+(SUBSIDIO!$N$571*SUBSIDIO!$AA$571))*(0.02)/(1-0.02)</f>
        <v>258.91375155207049</v>
      </c>
      <c r="AF571" s="4" t="s">
        <v>998</v>
      </c>
    </row>
    <row r="572" spans="1:32" ht="11.25" customHeight="1" x14ac:dyDescent="0.25">
      <c r="A572" s="4" t="s">
        <v>57</v>
      </c>
      <c r="B572" s="4" t="s">
        <v>41</v>
      </c>
      <c r="C572" s="4" t="s">
        <v>42</v>
      </c>
      <c r="D572" s="4" t="s">
        <v>45</v>
      </c>
      <c r="E572" s="4" t="s">
        <v>25</v>
      </c>
      <c r="F572" s="4" t="s">
        <v>25</v>
      </c>
      <c r="G572" s="4" t="s">
        <v>25</v>
      </c>
      <c r="H572" s="4" t="s">
        <v>35</v>
      </c>
      <c r="I572" s="5">
        <v>44743</v>
      </c>
      <c r="J572" s="6">
        <v>0</v>
      </c>
      <c r="K572" s="60">
        <v>0</v>
      </c>
      <c r="L572" s="6">
        <v>1157.3920000000001</v>
      </c>
      <c r="M572" s="60">
        <v>1157.3920000000001</v>
      </c>
      <c r="N572" s="6">
        <v>1157.3920000000001</v>
      </c>
      <c r="O572" s="60">
        <v>1157.3920000000001</v>
      </c>
      <c r="P572" s="6">
        <v>0</v>
      </c>
      <c r="Q572" s="4" t="s">
        <v>26</v>
      </c>
      <c r="R572" s="4">
        <v>0</v>
      </c>
      <c r="S572" s="4">
        <v>0</v>
      </c>
      <c r="T572" s="4">
        <v>44</v>
      </c>
      <c r="U572" s="4">
        <v>67</v>
      </c>
      <c r="V572" s="60">
        <f>IF(ISERROR(VLOOKUP($S$572,'TAR FIN'!$A$1:$O$104,15,0)),0,VLOOKUP($S$572,'TAR FIN'!$A$1:$O$104,15,0))</f>
        <v>0</v>
      </c>
      <c r="W572" s="60">
        <f>IF(ISERROR(VLOOKUP($T$572,'TAR FIN'!$A$1:$O$104,15,0)),0,VLOOKUP($T$572,'TAR FIN'!$A$1:$O$104,15,0))*(1-0.04)</f>
        <v>60.0672</v>
      </c>
      <c r="X572" s="60">
        <f>IF(ISERROR(VLOOKUP($U$572,'TAR FIN'!$A$1:$O$104,15,0)),0,VLOOKUP($U$572,'TAR FIN'!$A$1:$O$104,15,0))*(1-0.04)</f>
        <v>233.10719999999998</v>
      </c>
      <c r="Y572" s="60"/>
      <c r="Z572" s="60">
        <f ca="1">('TUSD BE'!$AM$26+'TUSD BF'!$AM$26+'TUSD CVA'!$AM$26)*1*(1-0.02)</f>
        <v>76.318677921794944</v>
      </c>
      <c r="AA572" s="60">
        <f>('TE BE'!$AB$8+'TE BF'!$AB$8+'TE CVA'!$AB$8)*1*(1-0.02)</f>
        <v>227.12732236645527</v>
      </c>
      <c r="AB572" s="60">
        <f>(SUBSIDIO!$J$572*SUBSIDIO!$V$572)*(0.04)/(1-0.04)</f>
        <v>0</v>
      </c>
      <c r="AC572" s="60">
        <f>((SUBSIDIO!$L$572*SUBSIDIO!$W$572)+(SUBSIDIO!$N$572*SUBSIDIO!$X$572))*(0.04)/(1-0.04)</f>
        <v>14138.237715200003</v>
      </c>
      <c r="AD572" s="60">
        <f>(SUBSIDIO!$J$572*SUBSIDIO!$Y$572)*(0.02)/(1-0.02)</f>
        <v>0</v>
      </c>
      <c r="AE572" s="60">
        <f ca="1">((SUBSIDIO!$L$572*SUBSIDIO!$Z$572)+(SUBSIDIO!$N$572*SUBSIDIO!$AA$572))*(0.02)/(1-0.02)</f>
        <v>7167.4688401146632</v>
      </c>
      <c r="AF572" s="4" t="s">
        <v>998</v>
      </c>
    </row>
    <row r="573" spans="1:32" ht="11.25" customHeight="1" x14ac:dyDescent="0.25">
      <c r="A573" s="4" t="s">
        <v>57</v>
      </c>
      <c r="B573" s="4" t="s">
        <v>41</v>
      </c>
      <c r="C573" s="4" t="s">
        <v>42</v>
      </c>
      <c r="D573" s="4" t="s">
        <v>45</v>
      </c>
      <c r="E573" s="4" t="s">
        <v>25</v>
      </c>
      <c r="F573" s="4" t="s">
        <v>25</v>
      </c>
      <c r="G573" s="4" t="s">
        <v>25</v>
      </c>
      <c r="H573" s="4" t="s">
        <v>35</v>
      </c>
      <c r="I573" s="5">
        <v>44743</v>
      </c>
      <c r="J573" s="6">
        <v>0</v>
      </c>
      <c r="K573" s="60">
        <v>0</v>
      </c>
      <c r="L573" s="6">
        <v>41.808999999999997</v>
      </c>
      <c r="M573" s="60">
        <v>41.808999999999997</v>
      </c>
      <c r="N573" s="6">
        <v>41.808999999999997</v>
      </c>
      <c r="O573" s="60">
        <v>41.808999999999997</v>
      </c>
      <c r="P573" s="6">
        <v>0</v>
      </c>
      <c r="Q573" s="4" t="s">
        <v>26</v>
      </c>
      <c r="R573" s="4">
        <v>0</v>
      </c>
      <c r="S573" s="4">
        <v>0</v>
      </c>
      <c r="T573" s="4">
        <v>44</v>
      </c>
      <c r="U573" s="4">
        <v>67</v>
      </c>
      <c r="V573" s="60">
        <f>IF(ISERROR(VLOOKUP($S$573,'TAR FIN'!$A$1:$O$104,15,0)),0,VLOOKUP($S$573,'TAR FIN'!$A$1:$O$104,15,0))</f>
        <v>0</v>
      </c>
      <c r="W573" s="60">
        <f>IF(ISERROR(VLOOKUP($T$573,'TAR FIN'!$A$1:$O$104,15,0)),0,VLOOKUP($T$573,'TAR FIN'!$A$1:$O$104,15,0))*(1-0.04)</f>
        <v>60.0672</v>
      </c>
      <c r="X573" s="60">
        <f>IF(ISERROR(VLOOKUP($U$573,'TAR FIN'!$A$1:$O$104,15,0)),0,VLOOKUP($U$573,'TAR FIN'!$A$1:$O$104,15,0))*(1-0.04)</f>
        <v>233.10719999999998</v>
      </c>
      <c r="Y573" s="60"/>
      <c r="Z573" s="60">
        <f ca="1">('TUSD BE'!$AM$26+'TUSD BF'!$AM$26+'TUSD CVA'!$AM$26)*1*(1-0.02)</f>
        <v>76.318677921794944</v>
      </c>
      <c r="AA573" s="60">
        <f>('TE BE'!$AB$8+'TE BF'!$AB$8+'TE CVA'!$AB$8)*1*(1-0.02)</f>
        <v>227.12732236645527</v>
      </c>
      <c r="AB573" s="60">
        <f>(SUBSIDIO!$J$573*SUBSIDIO!$V$573)*(0.04)/(1-0.04)</f>
        <v>0</v>
      </c>
      <c r="AC573" s="60">
        <f>((SUBSIDIO!$L$573*SUBSIDIO!$W$573)+(SUBSIDIO!$N$573*SUBSIDIO!$X$573))*(0.04)/(1-0.04)</f>
        <v>510.72202039999991</v>
      </c>
      <c r="AD573" s="60">
        <f>(SUBSIDIO!$J$573*SUBSIDIO!$Y$573)*(0.02)/(1-0.02)</f>
        <v>0</v>
      </c>
      <c r="AE573" s="60">
        <f ca="1">((SUBSIDIO!$L$573*SUBSIDIO!$Z$573)+(SUBSIDIO!$N$573*SUBSIDIO!$AA$573))*(0.02)/(1-0.02)</f>
        <v>258.91375155207049</v>
      </c>
      <c r="AF573" s="4" t="s">
        <v>998</v>
      </c>
    </row>
    <row r="574" spans="1:32" ht="11.25" customHeight="1" x14ac:dyDescent="0.25">
      <c r="A574" s="4" t="s">
        <v>21</v>
      </c>
      <c r="B574" s="4" t="s">
        <v>41</v>
      </c>
      <c r="C574" s="4" t="s">
        <v>42</v>
      </c>
      <c r="D574" s="4" t="s">
        <v>45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44409</v>
      </c>
      <c r="J574" s="6">
        <v>5580</v>
      </c>
      <c r="K574" s="60">
        <v>5580</v>
      </c>
      <c r="L574" s="6">
        <v>0</v>
      </c>
      <c r="M574" s="60">
        <v>0</v>
      </c>
      <c r="N574" s="6">
        <v>0</v>
      </c>
      <c r="O574" s="60">
        <v>0</v>
      </c>
      <c r="P574" s="6">
        <v>70</v>
      </c>
      <c r="Q574" s="4" t="s">
        <v>26</v>
      </c>
      <c r="R574" s="4">
        <v>0</v>
      </c>
      <c r="S574" s="4">
        <v>40</v>
      </c>
      <c r="T574" s="4">
        <v>0</v>
      </c>
      <c r="U574" s="4">
        <v>0</v>
      </c>
      <c r="V574" s="60">
        <f>IF(ISERROR(VLOOKUP($S$574,'TAR FIN'!$A$1:$O$104,15,0)),0,VLOOKUP($S$574,'TAR FIN'!$A$1:$O$104,15,0))*(1-0.04)</f>
        <v>25.171199999999999</v>
      </c>
      <c r="W574" s="60">
        <f>IF(ISERROR(VLOOKUP($T$574,'TAR FIN'!$A$1:$O$104,15,0)),0,VLOOKUP($T$574,'TAR FIN'!$A$1:$O$104,15,0))</f>
        <v>0</v>
      </c>
      <c r="X574" s="60">
        <f>IF(ISERROR(VLOOKUP($U$574,'TAR FIN'!$A$1:$O$104,15,0)),0,VLOOKUP($U$574,'TAR FIN'!$A$1:$O$104,15,0))</f>
        <v>0</v>
      </c>
      <c r="Y574" s="60">
        <f ca="1">('TUSD BE'!$AM$24+'TUSD BF'!$AM$24+'TUSD CVA'!$AM$24)*1*(1-0.02)</f>
        <v>25.754560993400897</v>
      </c>
      <c r="Z574" s="60"/>
      <c r="AA574" s="60"/>
      <c r="AB574" s="60">
        <f>(SUBSIDIO!$J$574*SUBSIDIO!$V$574)*(0.04)/(1-0.04)</f>
        <v>5852.3040000000001</v>
      </c>
      <c r="AC574" s="60">
        <f>((SUBSIDIO!$L$574*SUBSIDIO!$W$574)+(SUBSIDIO!$N$574*SUBSIDIO!$X$574))*(0.04)/(1-0.04)</f>
        <v>0</v>
      </c>
      <c r="AD574" s="60">
        <f ca="1">(SUBSIDIO!$J$574*SUBSIDIO!$Y$574)*(0.02)/(1-0.02)</f>
        <v>2932.8663335342249</v>
      </c>
      <c r="AE574" s="60">
        <f>((SUBSIDIO!$L$574*SUBSIDIO!$Z$574)+(SUBSIDIO!$N$574*SUBSIDIO!$AA$574))*(0.02)/(1-0.02)</f>
        <v>0</v>
      </c>
      <c r="AF574" s="4" t="s">
        <v>998</v>
      </c>
    </row>
    <row r="575" spans="1:32" ht="11.25" customHeight="1" x14ac:dyDescent="0.25">
      <c r="A575" s="4" t="s">
        <v>27</v>
      </c>
      <c r="B575" s="4" t="s">
        <v>41</v>
      </c>
      <c r="C575" s="4" t="s">
        <v>42</v>
      </c>
      <c r="D575" s="4" t="s">
        <v>45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44409</v>
      </c>
      <c r="J575" s="6">
        <v>44</v>
      </c>
      <c r="K575" s="60">
        <v>44</v>
      </c>
      <c r="L575" s="6">
        <v>0</v>
      </c>
      <c r="M575" s="60">
        <v>0</v>
      </c>
      <c r="N575" s="6">
        <v>0</v>
      </c>
      <c r="O575" s="60">
        <v>0</v>
      </c>
      <c r="P575" s="6">
        <v>2</v>
      </c>
      <c r="Q575" s="4" t="s">
        <v>26</v>
      </c>
      <c r="R575" s="4">
        <v>0</v>
      </c>
      <c r="S575" s="4">
        <v>40</v>
      </c>
      <c r="T575" s="4">
        <v>0</v>
      </c>
      <c r="U575" s="4">
        <v>0</v>
      </c>
      <c r="V575" s="60">
        <f>IF(ISERROR(VLOOKUP($S$575,'TAR FIN'!$A$1:$O$104,15,0)),0,VLOOKUP($S$575,'TAR FIN'!$A$1:$O$104,15,0))*(1-0.04)</f>
        <v>25.171199999999999</v>
      </c>
      <c r="W575" s="60">
        <f>IF(ISERROR(VLOOKUP($T$575,'TAR FIN'!$A$1:$O$104,15,0)),0,VLOOKUP($T$575,'TAR FIN'!$A$1:$O$104,15,0))</f>
        <v>0</v>
      </c>
      <c r="X575" s="60">
        <f>IF(ISERROR(VLOOKUP($U$575,'TAR FIN'!$A$1:$O$104,15,0)),0,VLOOKUP($U$575,'TAR FIN'!$A$1:$O$104,15,0))</f>
        <v>0</v>
      </c>
      <c r="Y575" s="60">
        <f ca="1">('TUSD BE'!$AM$24+'TUSD BF'!$AM$24+'TUSD CVA'!$AM$24)*1*(1-0.02)</f>
        <v>25.754560993400897</v>
      </c>
      <c r="Z575" s="60"/>
      <c r="AA575" s="60"/>
      <c r="AB575" s="60">
        <f>(SUBSIDIO!$J$575*SUBSIDIO!$V$575)*(0.04)/(1-0.04)</f>
        <v>46.147199999999998</v>
      </c>
      <c r="AC575" s="60">
        <f>((SUBSIDIO!$L$575*SUBSIDIO!$W$575)+(SUBSIDIO!$N$575*SUBSIDIO!$X$575))*(0.04)/(1-0.04)</f>
        <v>0</v>
      </c>
      <c r="AD575" s="60">
        <f ca="1">(SUBSIDIO!$J$575*SUBSIDIO!$Y$575)*(0.02)/(1-0.02)</f>
        <v>23.126544565502844</v>
      </c>
      <c r="AE575" s="60">
        <f>((SUBSIDIO!$L$575*SUBSIDIO!$Z$575)+(SUBSIDIO!$N$575*SUBSIDIO!$AA$575))*(0.02)/(1-0.02)</f>
        <v>0</v>
      </c>
      <c r="AF575" s="4" t="s">
        <v>998</v>
      </c>
    </row>
    <row r="576" spans="1:32" ht="11.25" customHeight="1" x14ac:dyDescent="0.25">
      <c r="A576" s="4" t="s">
        <v>28</v>
      </c>
      <c r="B576" s="4" t="s">
        <v>41</v>
      </c>
      <c r="C576" s="4" t="s">
        <v>42</v>
      </c>
      <c r="D576" s="4" t="s">
        <v>45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44409</v>
      </c>
      <c r="J576" s="6">
        <v>308</v>
      </c>
      <c r="K576" s="60">
        <v>308</v>
      </c>
      <c r="L576" s="6">
        <v>0</v>
      </c>
      <c r="M576" s="60">
        <v>0</v>
      </c>
      <c r="N576" s="6">
        <v>0</v>
      </c>
      <c r="O576" s="60">
        <v>0</v>
      </c>
      <c r="P576" s="6">
        <v>4</v>
      </c>
      <c r="Q576" s="4" t="s">
        <v>26</v>
      </c>
      <c r="R576" s="4">
        <v>0</v>
      </c>
      <c r="S576" s="4">
        <v>40</v>
      </c>
      <c r="T576" s="4">
        <v>0</v>
      </c>
      <c r="U576" s="4">
        <v>0</v>
      </c>
      <c r="V576" s="60">
        <f>IF(ISERROR(VLOOKUP($S$576,'TAR FIN'!$A$1:$O$104,15,0)),0,VLOOKUP($S$576,'TAR FIN'!$A$1:$O$104,15,0))*(1-0.04)</f>
        <v>25.171199999999999</v>
      </c>
      <c r="W576" s="60">
        <f>IF(ISERROR(VLOOKUP($T$576,'TAR FIN'!$A$1:$O$104,15,0)),0,VLOOKUP($T$576,'TAR FIN'!$A$1:$O$104,15,0))</f>
        <v>0</v>
      </c>
      <c r="X576" s="60">
        <f>IF(ISERROR(VLOOKUP($U$576,'TAR FIN'!$A$1:$O$104,15,0)),0,VLOOKUP($U$576,'TAR FIN'!$A$1:$O$104,15,0))</f>
        <v>0</v>
      </c>
      <c r="Y576" s="60">
        <f ca="1">('TUSD BE'!$AM$24+'TUSD BF'!$AM$24+'TUSD CVA'!$AM$24)*1*(1-0.02)</f>
        <v>25.754560993400897</v>
      </c>
      <c r="Z576" s="60"/>
      <c r="AA576" s="60"/>
      <c r="AB576" s="60">
        <f>(SUBSIDIO!$J$576*SUBSIDIO!$V$576)*(0.04)/(1-0.04)</f>
        <v>323.03039999999999</v>
      </c>
      <c r="AC576" s="60">
        <f>((SUBSIDIO!$L$576*SUBSIDIO!$W$576)+(SUBSIDIO!$N$576*SUBSIDIO!$X$576))*(0.04)/(1-0.04)</f>
        <v>0</v>
      </c>
      <c r="AD576" s="60">
        <f ca="1">(SUBSIDIO!$J$576*SUBSIDIO!$Y$576)*(0.02)/(1-0.02)</f>
        <v>161.88581195851992</v>
      </c>
      <c r="AE576" s="60">
        <f>((SUBSIDIO!$L$576*SUBSIDIO!$Z$576)+(SUBSIDIO!$N$576*SUBSIDIO!$AA$576))*(0.02)/(1-0.02)</f>
        <v>0</v>
      </c>
      <c r="AF576" s="4" t="s">
        <v>998</v>
      </c>
    </row>
    <row r="577" spans="1:32" ht="11.25" customHeight="1" x14ac:dyDescent="0.25">
      <c r="A577" s="4" t="s">
        <v>28</v>
      </c>
      <c r="B577" s="4" t="s">
        <v>41</v>
      </c>
      <c r="C577" s="4" t="s">
        <v>42</v>
      </c>
      <c r="D577" s="4" t="s">
        <v>45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44409</v>
      </c>
      <c r="J577" s="6">
        <v>44</v>
      </c>
      <c r="K577" s="60">
        <v>44</v>
      </c>
      <c r="L577" s="6">
        <v>0</v>
      </c>
      <c r="M577" s="60">
        <v>0</v>
      </c>
      <c r="N577" s="6">
        <v>0</v>
      </c>
      <c r="O577" s="60">
        <v>0</v>
      </c>
      <c r="P577" s="6">
        <v>4</v>
      </c>
      <c r="Q577" s="4" t="s">
        <v>26</v>
      </c>
      <c r="R577" s="4">
        <v>0</v>
      </c>
      <c r="S577" s="4">
        <v>40</v>
      </c>
      <c r="T577" s="4">
        <v>0</v>
      </c>
      <c r="U577" s="4">
        <v>0</v>
      </c>
      <c r="V577" s="60">
        <f>IF(ISERROR(VLOOKUP($S$577,'TAR FIN'!$A$1:$O$104,15,0)),0,VLOOKUP($S$577,'TAR FIN'!$A$1:$O$104,15,0))*(1-0.04)</f>
        <v>25.171199999999999</v>
      </c>
      <c r="W577" s="60">
        <f>IF(ISERROR(VLOOKUP($T$577,'TAR FIN'!$A$1:$O$104,15,0)),0,VLOOKUP($T$577,'TAR FIN'!$A$1:$O$104,15,0))</f>
        <v>0</v>
      </c>
      <c r="X577" s="60">
        <f>IF(ISERROR(VLOOKUP($U$577,'TAR FIN'!$A$1:$O$104,15,0)),0,VLOOKUP($U$577,'TAR FIN'!$A$1:$O$104,15,0))</f>
        <v>0</v>
      </c>
      <c r="Y577" s="60">
        <f ca="1">('TUSD BE'!$AM$24+'TUSD BF'!$AM$24+'TUSD CVA'!$AM$24)*1*(1-0.02)</f>
        <v>25.754560993400897</v>
      </c>
      <c r="Z577" s="60"/>
      <c r="AA577" s="60"/>
      <c r="AB577" s="60">
        <f>(SUBSIDIO!$J$577*SUBSIDIO!$V$577)*(0.04)/(1-0.04)</f>
        <v>46.147199999999998</v>
      </c>
      <c r="AC577" s="60">
        <f>((SUBSIDIO!$L$577*SUBSIDIO!$W$577)+(SUBSIDIO!$N$577*SUBSIDIO!$X$577))*(0.04)/(1-0.04)</f>
        <v>0</v>
      </c>
      <c r="AD577" s="60">
        <f ca="1">(SUBSIDIO!$J$577*SUBSIDIO!$Y$577)*(0.02)/(1-0.02)</f>
        <v>23.126544565502844</v>
      </c>
      <c r="AE577" s="60">
        <f>((SUBSIDIO!$L$577*SUBSIDIO!$Z$577)+(SUBSIDIO!$N$577*SUBSIDIO!$AA$577))*(0.02)/(1-0.02)</f>
        <v>0</v>
      </c>
      <c r="AF577" s="4" t="s">
        <v>998</v>
      </c>
    </row>
    <row r="578" spans="1:32" ht="11.25" customHeight="1" x14ac:dyDescent="0.25">
      <c r="A578" s="4" t="s">
        <v>21</v>
      </c>
      <c r="B578" s="4" t="s">
        <v>41</v>
      </c>
      <c r="C578" s="4" t="s">
        <v>42</v>
      </c>
      <c r="D578" s="4" t="s">
        <v>45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44440</v>
      </c>
      <c r="J578" s="6">
        <v>4891</v>
      </c>
      <c r="K578" s="60">
        <v>4891</v>
      </c>
      <c r="L578" s="6">
        <v>0</v>
      </c>
      <c r="M578" s="60">
        <v>0</v>
      </c>
      <c r="N578" s="6">
        <v>0</v>
      </c>
      <c r="O578" s="60">
        <v>0</v>
      </c>
      <c r="P578" s="6">
        <v>52</v>
      </c>
      <c r="Q578" s="4" t="s">
        <v>26</v>
      </c>
      <c r="R578" s="4">
        <v>0</v>
      </c>
      <c r="S578" s="4">
        <v>40</v>
      </c>
      <c r="T578" s="4">
        <v>0</v>
      </c>
      <c r="U578" s="4">
        <v>0</v>
      </c>
      <c r="V578" s="60">
        <f>IF(ISERROR(VLOOKUP($S$578,'TAR FIN'!$A$1:$O$104,15,0)),0,VLOOKUP($S$578,'TAR FIN'!$A$1:$O$104,15,0))*(1-0.04)</f>
        <v>25.171199999999999</v>
      </c>
      <c r="W578" s="60">
        <f>IF(ISERROR(VLOOKUP($T$578,'TAR FIN'!$A$1:$O$104,15,0)),0,VLOOKUP($T$578,'TAR FIN'!$A$1:$O$104,15,0))</f>
        <v>0</v>
      </c>
      <c r="X578" s="60">
        <f>IF(ISERROR(VLOOKUP($U$578,'TAR FIN'!$A$1:$O$104,15,0)),0,VLOOKUP($U$578,'TAR FIN'!$A$1:$O$104,15,0))</f>
        <v>0</v>
      </c>
      <c r="Y578" s="60">
        <f ca="1">('TUSD BE'!$AM$24+'TUSD BF'!$AM$24+'TUSD CVA'!$AM$24)*1*(1-0.02)</f>
        <v>25.754560993400897</v>
      </c>
      <c r="Z578" s="60"/>
      <c r="AA578" s="60"/>
      <c r="AB578" s="60">
        <f>(SUBSIDIO!$J$578*SUBSIDIO!$V$578)*(0.04)/(1-0.04)</f>
        <v>5129.6808000000001</v>
      </c>
      <c r="AC578" s="60">
        <f>((SUBSIDIO!$L$578*SUBSIDIO!$W$578)+(SUBSIDIO!$N$578*SUBSIDIO!$X$578))*(0.04)/(1-0.04)</f>
        <v>0</v>
      </c>
      <c r="AD578" s="60">
        <f ca="1">(SUBSIDIO!$J$578*SUBSIDIO!$Y$578)*(0.02)/(1-0.02)</f>
        <v>2570.7256697698731</v>
      </c>
      <c r="AE578" s="60">
        <f>((SUBSIDIO!$L$578*SUBSIDIO!$Z$578)+(SUBSIDIO!$N$578*SUBSIDIO!$AA$578))*(0.02)/(1-0.02)</f>
        <v>0</v>
      </c>
      <c r="AF578" s="4" t="s">
        <v>998</v>
      </c>
    </row>
    <row r="579" spans="1:32" ht="11.25" customHeight="1" x14ac:dyDescent="0.25">
      <c r="A579" s="4" t="s">
        <v>27</v>
      </c>
      <c r="B579" s="4" t="s">
        <v>41</v>
      </c>
      <c r="C579" s="4" t="s">
        <v>42</v>
      </c>
      <c r="D579" s="4" t="s">
        <v>45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44440</v>
      </c>
      <c r="J579" s="6">
        <v>-219</v>
      </c>
      <c r="K579" s="60">
        <v>-219</v>
      </c>
      <c r="L579" s="6">
        <v>0</v>
      </c>
      <c r="M579" s="60">
        <v>0</v>
      </c>
      <c r="N579" s="6">
        <v>0</v>
      </c>
      <c r="O579" s="60">
        <v>0</v>
      </c>
      <c r="P579" s="6">
        <v>0</v>
      </c>
      <c r="Q579" s="4" t="s">
        <v>26</v>
      </c>
      <c r="R579" s="4">
        <v>0</v>
      </c>
      <c r="S579" s="4">
        <v>40</v>
      </c>
      <c r="T579" s="4">
        <v>0</v>
      </c>
      <c r="U579" s="4">
        <v>0</v>
      </c>
      <c r="V579" s="60">
        <f>IF(ISERROR(VLOOKUP($S$579,'TAR FIN'!$A$1:$O$104,15,0)),0,VLOOKUP($S$579,'TAR FIN'!$A$1:$O$104,15,0))*(1-0.04)</f>
        <v>25.171199999999999</v>
      </c>
      <c r="W579" s="60">
        <f>IF(ISERROR(VLOOKUP($T$579,'TAR FIN'!$A$1:$O$104,15,0)),0,VLOOKUP($T$579,'TAR FIN'!$A$1:$O$104,15,0))</f>
        <v>0</v>
      </c>
      <c r="X579" s="60">
        <f>IF(ISERROR(VLOOKUP($U$579,'TAR FIN'!$A$1:$O$104,15,0)),0,VLOOKUP($U$579,'TAR FIN'!$A$1:$O$104,15,0))</f>
        <v>0</v>
      </c>
      <c r="Y579" s="60">
        <f ca="1">('TUSD BE'!$AM$24+'TUSD BF'!$AM$24+'TUSD CVA'!$AM$24)*1*(1-0.02)</f>
        <v>25.754560993400897</v>
      </c>
      <c r="Z579" s="60"/>
      <c r="AA579" s="60"/>
      <c r="AB579" s="60">
        <f>(SUBSIDIO!$J$579*SUBSIDIO!$V$579)*(0.04)/(1-0.04)</f>
        <v>-229.68720000000002</v>
      </c>
      <c r="AC579" s="60">
        <f>((SUBSIDIO!$L$579*SUBSIDIO!$W$579)+(SUBSIDIO!$N$579*SUBSIDIO!$X$579))*(0.04)/(1-0.04)</f>
        <v>0</v>
      </c>
      <c r="AD579" s="60">
        <f ca="1">(SUBSIDIO!$J$579*SUBSIDIO!$Y$579)*(0.02)/(1-0.02)</f>
        <v>-115.10711954193464</v>
      </c>
      <c r="AE579" s="60">
        <f>((SUBSIDIO!$L$579*SUBSIDIO!$Z$579)+(SUBSIDIO!$N$579*SUBSIDIO!$AA$579))*(0.02)/(1-0.02)</f>
        <v>0</v>
      </c>
      <c r="AF579" s="4" t="s">
        <v>998</v>
      </c>
    </row>
    <row r="580" spans="1:32" ht="11.25" customHeight="1" x14ac:dyDescent="0.25">
      <c r="A580" s="4" t="s">
        <v>28</v>
      </c>
      <c r="B580" s="4" t="s">
        <v>41</v>
      </c>
      <c r="C580" s="4" t="s">
        <v>42</v>
      </c>
      <c r="D580" s="4" t="s">
        <v>45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44440</v>
      </c>
      <c r="J580" s="6">
        <v>468</v>
      </c>
      <c r="K580" s="60">
        <v>468</v>
      </c>
      <c r="L580" s="6">
        <v>0</v>
      </c>
      <c r="M580" s="60">
        <v>0</v>
      </c>
      <c r="N580" s="6">
        <v>0</v>
      </c>
      <c r="O580" s="60">
        <v>0</v>
      </c>
      <c r="P580" s="6">
        <v>5</v>
      </c>
      <c r="Q580" s="4" t="s">
        <v>26</v>
      </c>
      <c r="R580" s="4">
        <v>0</v>
      </c>
      <c r="S580" s="4">
        <v>40</v>
      </c>
      <c r="T580" s="4">
        <v>0</v>
      </c>
      <c r="U580" s="4">
        <v>0</v>
      </c>
      <c r="V580" s="60">
        <f>IF(ISERROR(VLOOKUP($S$580,'TAR FIN'!$A$1:$O$104,15,0)),0,VLOOKUP($S$580,'TAR FIN'!$A$1:$O$104,15,0))*(1-0.04)</f>
        <v>25.171199999999999</v>
      </c>
      <c r="W580" s="60">
        <f>IF(ISERROR(VLOOKUP($T$580,'TAR FIN'!$A$1:$O$104,15,0)),0,VLOOKUP($T$580,'TAR FIN'!$A$1:$O$104,15,0))</f>
        <v>0</v>
      </c>
      <c r="X580" s="60">
        <f>IF(ISERROR(VLOOKUP($U$580,'TAR FIN'!$A$1:$O$104,15,0)),0,VLOOKUP($U$580,'TAR FIN'!$A$1:$O$104,15,0))</f>
        <v>0</v>
      </c>
      <c r="Y580" s="60">
        <f ca="1">('TUSD BE'!$AM$24+'TUSD BF'!$AM$24+'TUSD CVA'!$AM$24)*1*(1-0.02)</f>
        <v>25.754560993400897</v>
      </c>
      <c r="Z580" s="60"/>
      <c r="AA580" s="60"/>
      <c r="AB580" s="60">
        <f>(SUBSIDIO!$J$580*SUBSIDIO!$V$580)*(0.04)/(1-0.04)</f>
        <v>490.83839999999992</v>
      </c>
      <c r="AC580" s="60">
        <f>((SUBSIDIO!$L$580*SUBSIDIO!$W$580)+(SUBSIDIO!$N$580*SUBSIDIO!$X$580))*(0.04)/(1-0.04)</f>
        <v>0</v>
      </c>
      <c r="AD580" s="60">
        <f ca="1">(SUBSIDIO!$J$580*SUBSIDIO!$Y$580)*(0.02)/(1-0.02)</f>
        <v>245.98233765125755</v>
      </c>
      <c r="AE580" s="60">
        <f>((SUBSIDIO!$L$580*SUBSIDIO!$Z$580)+(SUBSIDIO!$N$580*SUBSIDIO!$AA$580))*(0.02)/(1-0.02)</f>
        <v>0</v>
      </c>
      <c r="AF580" s="4" t="s">
        <v>998</v>
      </c>
    </row>
    <row r="581" spans="1:32" ht="11.25" customHeight="1" x14ac:dyDescent="0.25">
      <c r="A581" s="4" t="s">
        <v>21</v>
      </c>
      <c r="B581" s="4" t="s">
        <v>41</v>
      </c>
      <c r="C581" s="4" t="s">
        <v>42</v>
      </c>
      <c r="D581" s="4" t="s">
        <v>45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44470</v>
      </c>
      <c r="J581" s="6">
        <v>5809</v>
      </c>
      <c r="K581" s="60">
        <v>5809</v>
      </c>
      <c r="L581" s="6">
        <v>0</v>
      </c>
      <c r="M581" s="60">
        <v>0</v>
      </c>
      <c r="N581" s="6">
        <v>0</v>
      </c>
      <c r="O581" s="60">
        <v>0</v>
      </c>
      <c r="P581" s="6">
        <v>55</v>
      </c>
      <c r="Q581" s="4" t="s">
        <v>26</v>
      </c>
      <c r="R581" s="4">
        <v>0</v>
      </c>
      <c r="S581" s="4">
        <v>40</v>
      </c>
      <c r="T581" s="4">
        <v>0</v>
      </c>
      <c r="U581" s="4">
        <v>0</v>
      </c>
      <c r="V581" s="60">
        <f>IF(ISERROR(VLOOKUP($S$581,'TAR FIN'!$A$1:$O$104,15,0)),0,VLOOKUP($S$581,'TAR FIN'!$A$1:$O$104,15,0))*(1-0.04)</f>
        <v>25.171199999999999</v>
      </c>
      <c r="W581" s="60">
        <f>IF(ISERROR(VLOOKUP($T$581,'TAR FIN'!$A$1:$O$104,15,0)),0,VLOOKUP($T$581,'TAR FIN'!$A$1:$O$104,15,0))</f>
        <v>0</v>
      </c>
      <c r="X581" s="60">
        <f>IF(ISERROR(VLOOKUP($U$581,'TAR FIN'!$A$1:$O$104,15,0)),0,VLOOKUP($U$581,'TAR FIN'!$A$1:$O$104,15,0))</f>
        <v>0</v>
      </c>
      <c r="Y581" s="60">
        <f ca="1">('TUSD BE'!$AM$24+'TUSD BF'!$AM$24+'TUSD CVA'!$AM$24)*1*(1-0.02)</f>
        <v>25.754560993400897</v>
      </c>
      <c r="Z581" s="60"/>
      <c r="AA581" s="60"/>
      <c r="AB581" s="60">
        <f>(SUBSIDIO!$J$581*SUBSIDIO!$V$581)*(0.04)/(1-0.04)</f>
        <v>6092.4791999999998</v>
      </c>
      <c r="AC581" s="60">
        <f>((SUBSIDIO!$L$581*SUBSIDIO!$W$581)+(SUBSIDIO!$N$581*SUBSIDIO!$X$581))*(0.04)/(1-0.04)</f>
        <v>0</v>
      </c>
      <c r="AD581" s="60">
        <f ca="1">(SUBSIDIO!$J$581*SUBSIDIO!$Y$581)*(0.02)/(1-0.02)</f>
        <v>3053.2294859319554</v>
      </c>
      <c r="AE581" s="60">
        <f>((SUBSIDIO!$L$581*SUBSIDIO!$Z$581)+(SUBSIDIO!$N$581*SUBSIDIO!$AA$581))*(0.02)/(1-0.02)</f>
        <v>0</v>
      </c>
      <c r="AF581" s="4" t="s">
        <v>998</v>
      </c>
    </row>
    <row r="582" spans="1:32" ht="11.25" customHeight="1" x14ac:dyDescent="0.25">
      <c r="A582" s="4" t="s">
        <v>27</v>
      </c>
      <c r="B582" s="4" t="s">
        <v>41</v>
      </c>
      <c r="C582" s="4" t="s">
        <v>42</v>
      </c>
      <c r="D582" s="4" t="s">
        <v>45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44470</v>
      </c>
      <c r="J582" s="6">
        <v>70</v>
      </c>
      <c r="K582" s="60">
        <v>70</v>
      </c>
      <c r="L582" s="6">
        <v>0</v>
      </c>
      <c r="M582" s="60">
        <v>0</v>
      </c>
      <c r="N582" s="6">
        <v>0</v>
      </c>
      <c r="O582" s="60">
        <v>0</v>
      </c>
      <c r="P582" s="6">
        <v>4</v>
      </c>
      <c r="Q582" s="4" t="s">
        <v>26</v>
      </c>
      <c r="R582" s="4">
        <v>0</v>
      </c>
      <c r="S582" s="4">
        <v>40</v>
      </c>
      <c r="T582" s="4">
        <v>0</v>
      </c>
      <c r="U582" s="4">
        <v>0</v>
      </c>
      <c r="V582" s="60">
        <f>IF(ISERROR(VLOOKUP($S$582,'TAR FIN'!$A$1:$O$104,15,0)),0,VLOOKUP($S$582,'TAR FIN'!$A$1:$O$104,15,0))*(1-0.04)</f>
        <v>25.171199999999999</v>
      </c>
      <c r="W582" s="60">
        <f>IF(ISERROR(VLOOKUP($T$582,'TAR FIN'!$A$1:$O$104,15,0)),0,VLOOKUP($T$582,'TAR FIN'!$A$1:$O$104,15,0))</f>
        <v>0</v>
      </c>
      <c r="X582" s="60">
        <f>IF(ISERROR(VLOOKUP($U$582,'TAR FIN'!$A$1:$O$104,15,0)),0,VLOOKUP($U$582,'TAR FIN'!$A$1:$O$104,15,0))</f>
        <v>0</v>
      </c>
      <c r="Y582" s="60">
        <f ca="1">('TUSD BE'!$AM$24+'TUSD BF'!$AM$24+'TUSD CVA'!$AM$24)*1*(1-0.02)</f>
        <v>25.754560993400897</v>
      </c>
      <c r="Z582" s="60"/>
      <c r="AA582" s="60"/>
      <c r="AB582" s="60">
        <f>(SUBSIDIO!$J$582*SUBSIDIO!$V$582)*(0.04)/(1-0.04)</f>
        <v>73.415999999999997</v>
      </c>
      <c r="AC582" s="60">
        <f>((SUBSIDIO!$L$582*SUBSIDIO!$W$582)+(SUBSIDIO!$N$582*SUBSIDIO!$X$582))*(0.04)/(1-0.04)</f>
        <v>0</v>
      </c>
      <c r="AD582" s="60">
        <f ca="1">(SUBSIDIO!$J$582*SUBSIDIO!$Y$582)*(0.02)/(1-0.02)</f>
        <v>36.792229990572714</v>
      </c>
      <c r="AE582" s="60">
        <f>((SUBSIDIO!$L$582*SUBSIDIO!$Z$582)+(SUBSIDIO!$N$582*SUBSIDIO!$AA$582))*(0.02)/(1-0.02)</f>
        <v>0</v>
      </c>
      <c r="AF582" s="4" t="s">
        <v>998</v>
      </c>
    </row>
    <row r="583" spans="1:32" ht="11.25" customHeight="1" x14ac:dyDescent="0.25">
      <c r="A583" s="4" t="s">
        <v>28</v>
      </c>
      <c r="B583" s="4" t="s">
        <v>41</v>
      </c>
      <c r="C583" s="4" t="s">
        <v>42</v>
      </c>
      <c r="D583" s="4" t="s">
        <v>45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44470</v>
      </c>
      <c r="J583" s="6">
        <v>564</v>
      </c>
      <c r="K583" s="60">
        <v>564</v>
      </c>
      <c r="L583" s="6">
        <v>0</v>
      </c>
      <c r="M583" s="60">
        <v>0</v>
      </c>
      <c r="N583" s="6">
        <v>0</v>
      </c>
      <c r="O583" s="60">
        <v>0</v>
      </c>
      <c r="P583" s="6">
        <v>5</v>
      </c>
      <c r="Q583" s="4" t="s">
        <v>26</v>
      </c>
      <c r="R583" s="4">
        <v>0</v>
      </c>
      <c r="S583" s="4">
        <v>40</v>
      </c>
      <c r="T583" s="4">
        <v>0</v>
      </c>
      <c r="U583" s="4">
        <v>0</v>
      </c>
      <c r="V583" s="60">
        <f>IF(ISERROR(VLOOKUP($S$583,'TAR FIN'!$A$1:$O$104,15,0)),0,VLOOKUP($S$583,'TAR FIN'!$A$1:$O$104,15,0))*(1-0.04)</f>
        <v>25.171199999999999</v>
      </c>
      <c r="W583" s="60">
        <f>IF(ISERROR(VLOOKUP($T$583,'TAR FIN'!$A$1:$O$104,15,0)),0,VLOOKUP($T$583,'TAR FIN'!$A$1:$O$104,15,0))</f>
        <v>0</v>
      </c>
      <c r="X583" s="60">
        <f>IF(ISERROR(VLOOKUP($U$583,'TAR FIN'!$A$1:$O$104,15,0)),0,VLOOKUP($U$583,'TAR FIN'!$A$1:$O$104,15,0))</f>
        <v>0</v>
      </c>
      <c r="Y583" s="60">
        <f ca="1">('TUSD BE'!$AM$24+'TUSD BF'!$AM$24+'TUSD CVA'!$AM$24)*1*(1-0.02)</f>
        <v>25.754560993400897</v>
      </c>
      <c r="Z583" s="60"/>
      <c r="AA583" s="60"/>
      <c r="AB583" s="60">
        <f>(SUBSIDIO!$J$583*SUBSIDIO!$V$583)*(0.04)/(1-0.04)</f>
        <v>591.52319999999997</v>
      </c>
      <c r="AC583" s="60">
        <f>((SUBSIDIO!$L$583*SUBSIDIO!$W$583)+(SUBSIDIO!$N$583*SUBSIDIO!$X$583))*(0.04)/(1-0.04)</f>
        <v>0</v>
      </c>
      <c r="AD583" s="60">
        <f ca="1">(SUBSIDIO!$J$583*SUBSIDIO!$Y$583)*(0.02)/(1-0.02)</f>
        <v>296.44025306690014</v>
      </c>
      <c r="AE583" s="60">
        <f>((SUBSIDIO!$L$583*SUBSIDIO!$Z$583)+(SUBSIDIO!$N$583*SUBSIDIO!$AA$583))*(0.02)/(1-0.02)</f>
        <v>0</v>
      </c>
      <c r="AF583" s="4" t="s">
        <v>998</v>
      </c>
    </row>
    <row r="584" spans="1:32" ht="11.25" customHeight="1" x14ac:dyDescent="0.25">
      <c r="A584" s="4" t="s">
        <v>21</v>
      </c>
      <c r="B584" s="4" t="s">
        <v>41</v>
      </c>
      <c r="C584" s="4" t="s">
        <v>42</v>
      </c>
      <c r="D584" s="4" t="s">
        <v>45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44501</v>
      </c>
      <c r="J584" s="6">
        <v>7448</v>
      </c>
      <c r="K584" s="60">
        <v>7448</v>
      </c>
      <c r="L584" s="6">
        <v>0</v>
      </c>
      <c r="M584" s="60">
        <v>0</v>
      </c>
      <c r="N584" s="6">
        <v>0</v>
      </c>
      <c r="O584" s="60">
        <v>0</v>
      </c>
      <c r="P584" s="6">
        <v>44</v>
      </c>
      <c r="Q584" s="4" t="s">
        <v>26</v>
      </c>
      <c r="R584" s="4">
        <v>0</v>
      </c>
      <c r="S584" s="4">
        <v>40</v>
      </c>
      <c r="T584" s="4">
        <v>0</v>
      </c>
      <c r="U584" s="4">
        <v>0</v>
      </c>
      <c r="V584" s="60">
        <f>IF(ISERROR(VLOOKUP($S$584,'TAR FIN'!$A$1:$O$104,15,0)),0,VLOOKUP($S$584,'TAR FIN'!$A$1:$O$104,15,0))*(1-0.04)</f>
        <v>25.171199999999999</v>
      </c>
      <c r="W584" s="60">
        <f>IF(ISERROR(VLOOKUP($T$584,'TAR FIN'!$A$1:$O$104,15,0)),0,VLOOKUP($T$584,'TAR FIN'!$A$1:$O$104,15,0))</f>
        <v>0</v>
      </c>
      <c r="X584" s="60">
        <f>IF(ISERROR(VLOOKUP($U$584,'TAR FIN'!$A$1:$O$104,15,0)),0,VLOOKUP($U$584,'TAR FIN'!$A$1:$O$104,15,0))</f>
        <v>0</v>
      </c>
      <c r="Y584" s="60">
        <f ca="1">('TUSD BE'!$AM$24+'TUSD BF'!$AM$24+'TUSD CVA'!$AM$24)*1*(1-0.02)</f>
        <v>25.754560993400897</v>
      </c>
      <c r="Z584" s="60"/>
      <c r="AA584" s="60"/>
      <c r="AB584" s="60">
        <f>(SUBSIDIO!$J$584*SUBSIDIO!$V$584)*(0.04)/(1-0.04)</f>
        <v>7811.4623999999994</v>
      </c>
      <c r="AC584" s="60">
        <f>((SUBSIDIO!$L$584*SUBSIDIO!$W$584)+(SUBSIDIO!$N$584*SUBSIDIO!$X$584))*(0.04)/(1-0.04)</f>
        <v>0</v>
      </c>
      <c r="AD584" s="60">
        <f ca="1">(SUBSIDIO!$J$584*SUBSIDIO!$Y$584)*(0.02)/(1-0.02)</f>
        <v>3914.6932709969365</v>
      </c>
      <c r="AE584" s="60">
        <f>((SUBSIDIO!$L$584*SUBSIDIO!$Z$584)+(SUBSIDIO!$N$584*SUBSIDIO!$AA$584))*(0.02)/(1-0.02)</f>
        <v>0</v>
      </c>
      <c r="AF584" s="4" t="s">
        <v>998</v>
      </c>
    </row>
    <row r="585" spans="1:32" ht="11.25" customHeight="1" x14ac:dyDescent="0.25">
      <c r="A585" s="4" t="s">
        <v>27</v>
      </c>
      <c r="B585" s="4" t="s">
        <v>41</v>
      </c>
      <c r="C585" s="4" t="s">
        <v>42</v>
      </c>
      <c r="D585" s="4" t="s">
        <v>45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44501</v>
      </c>
      <c r="J585" s="6">
        <v>46</v>
      </c>
      <c r="K585" s="60">
        <v>46</v>
      </c>
      <c r="L585" s="6">
        <v>0</v>
      </c>
      <c r="M585" s="60">
        <v>0</v>
      </c>
      <c r="N585" s="6">
        <v>0</v>
      </c>
      <c r="O585" s="60">
        <v>0</v>
      </c>
      <c r="P585" s="6">
        <v>1</v>
      </c>
      <c r="Q585" s="4" t="s">
        <v>26</v>
      </c>
      <c r="R585" s="4">
        <v>0</v>
      </c>
      <c r="S585" s="4">
        <v>40</v>
      </c>
      <c r="T585" s="4">
        <v>0</v>
      </c>
      <c r="U585" s="4">
        <v>0</v>
      </c>
      <c r="V585" s="60">
        <f>IF(ISERROR(VLOOKUP($S$585,'TAR FIN'!$A$1:$O$104,15,0)),0,VLOOKUP($S$585,'TAR FIN'!$A$1:$O$104,15,0))*(1-0.04)</f>
        <v>25.171199999999999</v>
      </c>
      <c r="W585" s="60">
        <f>IF(ISERROR(VLOOKUP($T$585,'TAR FIN'!$A$1:$O$104,15,0)),0,VLOOKUP($T$585,'TAR FIN'!$A$1:$O$104,15,0))</f>
        <v>0</v>
      </c>
      <c r="X585" s="60">
        <f>IF(ISERROR(VLOOKUP($U$585,'TAR FIN'!$A$1:$O$104,15,0)),0,VLOOKUP($U$585,'TAR FIN'!$A$1:$O$104,15,0))</f>
        <v>0</v>
      </c>
      <c r="Y585" s="60">
        <f ca="1">('TUSD BE'!$AM$24+'TUSD BF'!$AM$24+'TUSD CVA'!$AM$24)*1*(1-0.02)</f>
        <v>25.754560993400897</v>
      </c>
      <c r="Z585" s="60"/>
      <c r="AA585" s="60"/>
      <c r="AB585" s="60">
        <f>(SUBSIDIO!$J$585*SUBSIDIO!$V$585)*(0.04)/(1-0.04)</f>
        <v>48.244799999999998</v>
      </c>
      <c r="AC585" s="60">
        <f>((SUBSIDIO!$L$585*SUBSIDIO!$W$585)+(SUBSIDIO!$N$585*SUBSIDIO!$X$585))*(0.04)/(1-0.04)</f>
        <v>0</v>
      </c>
      <c r="AD585" s="60">
        <f ca="1">(SUBSIDIO!$J$585*SUBSIDIO!$Y$585)*(0.02)/(1-0.02)</f>
        <v>24.177751136662067</v>
      </c>
      <c r="AE585" s="60">
        <f>((SUBSIDIO!$L$585*SUBSIDIO!$Z$585)+(SUBSIDIO!$N$585*SUBSIDIO!$AA$585))*(0.02)/(1-0.02)</f>
        <v>0</v>
      </c>
      <c r="AF585" s="4" t="s">
        <v>998</v>
      </c>
    </row>
    <row r="586" spans="1:32" ht="11.25" customHeight="1" x14ac:dyDescent="0.25">
      <c r="A586" s="4" t="s">
        <v>28</v>
      </c>
      <c r="B586" s="4" t="s">
        <v>41</v>
      </c>
      <c r="C586" s="4" t="s">
        <v>42</v>
      </c>
      <c r="D586" s="4" t="s">
        <v>45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44501</v>
      </c>
      <c r="J586" s="6">
        <v>340</v>
      </c>
      <c r="K586" s="60">
        <v>340</v>
      </c>
      <c r="L586" s="6">
        <v>0</v>
      </c>
      <c r="M586" s="60">
        <v>0</v>
      </c>
      <c r="N586" s="6">
        <v>0</v>
      </c>
      <c r="O586" s="60">
        <v>0</v>
      </c>
      <c r="P586" s="6">
        <v>4</v>
      </c>
      <c r="Q586" s="4" t="s">
        <v>26</v>
      </c>
      <c r="R586" s="4">
        <v>0</v>
      </c>
      <c r="S586" s="4">
        <v>40</v>
      </c>
      <c r="T586" s="4">
        <v>0</v>
      </c>
      <c r="U586" s="4">
        <v>0</v>
      </c>
      <c r="V586" s="60">
        <f>IF(ISERROR(VLOOKUP($S$586,'TAR FIN'!$A$1:$O$104,15,0)),0,VLOOKUP($S$586,'TAR FIN'!$A$1:$O$104,15,0))*(1-0.04)</f>
        <v>25.171199999999999</v>
      </c>
      <c r="W586" s="60">
        <f>IF(ISERROR(VLOOKUP($T$586,'TAR FIN'!$A$1:$O$104,15,0)),0,VLOOKUP($T$586,'TAR FIN'!$A$1:$O$104,15,0))</f>
        <v>0</v>
      </c>
      <c r="X586" s="60">
        <f>IF(ISERROR(VLOOKUP($U$586,'TAR FIN'!$A$1:$O$104,15,0)),0,VLOOKUP($U$586,'TAR FIN'!$A$1:$O$104,15,0))</f>
        <v>0</v>
      </c>
      <c r="Y586" s="60">
        <f ca="1">('TUSD BE'!$AM$24+'TUSD BF'!$AM$24+'TUSD CVA'!$AM$24)*1*(1-0.02)</f>
        <v>25.754560993400897</v>
      </c>
      <c r="Z586" s="60"/>
      <c r="AA586" s="60"/>
      <c r="AB586" s="60">
        <f>(SUBSIDIO!$J$586*SUBSIDIO!$V$586)*(0.04)/(1-0.04)</f>
        <v>356.59199999999998</v>
      </c>
      <c r="AC586" s="60">
        <f>((SUBSIDIO!$L$586*SUBSIDIO!$W$586)+(SUBSIDIO!$N$586*SUBSIDIO!$X$586))*(0.04)/(1-0.04)</f>
        <v>0</v>
      </c>
      <c r="AD586" s="60">
        <f ca="1">(SUBSIDIO!$J$586*SUBSIDIO!$Y$586)*(0.02)/(1-0.02)</f>
        <v>178.70511709706744</v>
      </c>
      <c r="AE586" s="60">
        <f>((SUBSIDIO!$L$586*SUBSIDIO!$Z$586)+(SUBSIDIO!$N$586*SUBSIDIO!$AA$586))*(0.02)/(1-0.02)</f>
        <v>0</v>
      </c>
      <c r="AF586" s="4" t="s">
        <v>998</v>
      </c>
    </row>
    <row r="587" spans="1:32" ht="11.25" customHeight="1" x14ac:dyDescent="0.25">
      <c r="A587" s="4" t="s">
        <v>28</v>
      </c>
      <c r="B587" s="4" t="s">
        <v>41</v>
      </c>
      <c r="C587" s="4" t="s">
        <v>42</v>
      </c>
      <c r="D587" s="4" t="s">
        <v>45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44501</v>
      </c>
      <c r="J587" s="6">
        <v>-241</v>
      </c>
      <c r="K587" s="60">
        <v>-241</v>
      </c>
      <c r="L587" s="6">
        <v>0</v>
      </c>
      <c r="M587" s="60">
        <v>0</v>
      </c>
      <c r="N587" s="6">
        <v>0</v>
      </c>
      <c r="O587" s="60">
        <v>0</v>
      </c>
      <c r="P587" s="6">
        <v>-1</v>
      </c>
      <c r="Q587" s="4" t="s">
        <v>26</v>
      </c>
      <c r="R587" s="4">
        <v>0</v>
      </c>
      <c r="S587" s="4">
        <v>40</v>
      </c>
      <c r="T587" s="4">
        <v>0</v>
      </c>
      <c r="U587" s="4">
        <v>0</v>
      </c>
      <c r="V587" s="60">
        <f>IF(ISERROR(VLOOKUP($S$587,'TAR FIN'!$A$1:$O$104,15,0)),0,VLOOKUP($S$587,'TAR FIN'!$A$1:$O$104,15,0))*(1-0.04)</f>
        <v>25.171199999999999</v>
      </c>
      <c r="W587" s="60">
        <f>IF(ISERROR(VLOOKUP($T$587,'TAR FIN'!$A$1:$O$104,15,0)),0,VLOOKUP($T$587,'TAR FIN'!$A$1:$O$104,15,0))</f>
        <v>0</v>
      </c>
      <c r="X587" s="60">
        <f>IF(ISERROR(VLOOKUP($U$587,'TAR FIN'!$A$1:$O$104,15,0)),0,VLOOKUP($U$587,'TAR FIN'!$A$1:$O$104,15,0))</f>
        <v>0</v>
      </c>
      <c r="Y587" s="60">
        <f ca="1">('TUSD BE'!$AM$24+'TUSD BF'!$AM$24+'TUSD CVA'!$AM$24)*1*(1-0.02)</f>
        <v>25.754560993400897</v>
      </c>
      <c r="Z587" s="60"/>
      <c r="AA587" s="60"/>
      <c r="AB587" s="60">
        <f>(SUBSIDIO!$J$587*SUBSIDIO!$V$587)*(0.04)/(1-0.04)</f>
        <v>-252.76079999999999</v>
      </c>
      <c r="AC587" s="60">
        <f>((SUBSIDIO!$L$587*SUBSIDIO!$W$587)+(SUBSIDIO!$N$587*SUBSIDIO!$X$587))*(0.04)/(1-0.04)</f>
        <v>0</v>
      </c>
      <c r="AD587" s="60">
        <f ca="1">(SUBSIDIO!$J$587*SUBSIDIO!$Y$587)*(0.02)/(1-0.02)</f>
        <v>-126.67039182468606</v>
      </c>
      <c r="AE587" s="60">
        <f>((SUBSIDIO!$L$587*SUBSIDIO!$Z$587)+(SUBSIDIO!$N$587*SUBSIDIO!$AA$587))*(0.02)/(1-0.02)</f>
        <v>0</v>
      </c>
      <c r="AF587" s="4" t="s">
        <v>998</v>
      </c>
    </row>
    <row r="588" spans="1:32" ht="11.25" customHeight="1" x14ac:dyDescent="0.25">
      <c r="A588" s="4" t="s">
        <v>21</v>
      </c>
      <c r="B588" s="4" t="s">
        <v>41</v>
      </c>
      <c r="C588" s="4" t="s">
        <v>42</v>
      </c>
      <c r="D588" s="4" t="s">
        <v>45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44531</v>
      </c>
      <c r="J588" s="6">
        <v>5500</v>
      </c>
      <c r="K588" s="60">
        <v>5500</v>
      </c>
      <c r="L588" s="6">
        <v>0</v>
      </c>
      <c r="M588" s="60">
        <v>0</v>
      </c>
      <c r="N588" s="6">
        <v>0</v>
      </c>
      <c r="O588" s="60">
        <v>0</v>
      </c>
      <c r="P588" s="6">
        <v>47</v>
      </c>
      <c r="Q588" s="4" t="s">
        <v>26</v>
      </c>
      <c r="R588" s="4">
        <v>0</v>
      </c>
      <c r="S588" s="4">
        <v>40</v>
      </c>
      <c r="T588" s="4">
        <v>0</v>
      </c>
      <c r="U588" s="4">
        <v>0</v>
      </c>
      <c r="V588" s="60">
        <f>IF(ISERROR(VLOOKUP($S$588,'TAR FIN'!$A$1:$O$104,15,0)),0,VLOOKUP($S$588,'TAR FIN'!$A$1:$O$104,15,0))*(1-0.04)</f>
        <v>25.171199999999999</v>
      </c>
      <c r="W588" s="60">
        <f>IF(ISERROR(VLOOKUP($T$588,'TAR FIN'!$A$1:$O$104,15,0)),0,VLOOKUP($T$588,'TAR FIN'!$A$1:$O$104,15,0))</f>
        <v>0</v>
      </c>
      <c r="X588" s="60">
        <f>IF(ISERROR(VLOOKUP($U$588,'TAR FIN'!$A$1:$O$104,15,0)),0,VLOOKUP($U$588,'TAR FIN'!$A$1:$O$104,15,0))</f>
        <v>0</v>
      </c>
      <c r="Y588" s="60">
        <f ca="1">('TUSD BE'!$AM$24+'TUSD BF'!$AM$24+'TUSD CVA'!$AM$24)*1*(1-0.02)</f>
        <v>25.754560993400897</v>
      </c>
      <c r="Z588" s="60"/>
      <c r="AA588" s="60"/>
      <c r="AB588" s="60">
        <f>(SUBSIDIO!$J$588*SUBSIDIO!$V$588)*(0.04)/(1-0.04)</f>
        <v>5768.4000000000005</v>
      </c>
      <c r="AC588" s="60">
        <f>((SUBSIDIO!$L$588*SUBSIDIO!$W$588)+(SUBSIDIO!$N$588*SUBSIDIO!$X$588))*(0.04)/(1-0.04)</f>
        <v>0</v>
      </c>
      <c r="AD588" s="60">
        <f ca="1">(SUBSIDIO!$J$588*SUBSIDIO!$Y$588)*(0.02)/(1-0.02)</f>
        <v>2890.8180706878561</v>
      </c>
      <c r="AE588" s="60">
        <f>((SUBSIDIO!$L$588*SUBSIDIO!$Z$588)+(SUBSIDIO!$N$588*SUBSIDIO!$AA$588))*(0.02)/(1-0.02)</f>
        <v>0</v>
      </c>
      <c r="AF588" s="4" t="s">
        <v>998</v>
      </c>
    </row>
    <row r="589" spans="1:32" ht="11.25" customHeight="1" x14ac:dyDescent="0.25">
      <c r="A589" s="4" t="s">
        <v>27</v>
      </c>
      <c r="B589" s="4" t="s">
        <v>41</v>
      </c>
      <c r="C589" s="4" t="s">
        <v>42</v>
      </c>
      <c r="D589" s="4" t="s">
        <v>45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44531</v>
      </c>
      <c r="J589" s="6">
        <v>-49</v>
      </c>
      <c r="K589" s="60">
        <v>-49</v>
      </c>
      <c r="L589" s="6">
        <v>0</v>
      </c>
      <c r="M589" s="60">
        <v>0</v>
      </c>
      <c r="N589" s="6">
        <v>0</v>
      </c>
      <c r="O589" s="60">
        <v>0</v>
      </c>
      <c r="P589" s="6">
        <v>-1</v>
      </c>
      <c r="Q589" s="4" t="s">
        <v>26</v>
      </c>
      <c r="R589" s="4">
        <v>0</v>
      </c>
      <c r="S589" s="4">
        <v>40</v>
      </c>
      <c r="T589" s="4">
        <v>0</v>
      </c>
      <c r="U589" s="4">
        <v>0</v>
      </c>
      <c r="V589" s="60">
        <f>IF(ISERROR(VLOOKUP($S$589,'TAR FIN'!$A$1:$O$104,15,0)),0,VLOOKUP($S$589,'TAR FIN'!$A$1:$O$104,15,0))*(1-0.04)</f>
        <v>25.171199999999999</v>
      </c>
      <c r="W589" s="60">
        <f>IF(ISERROR(VLOOKUP($T$589,'TAR FIN'!$A$1:$O$104,15,0)),0,VLOOKUP($T$589,'TAR FIN'!$A$1:$O$104,15,0))</f>
        <v>0</v>
      </c>
      <c r="X589" s="60">
        <f>IF(ISERROR(VLOOKUP($U$589,'TAR FIN'!$A$1:$O$104,15,0)),0,VLOOKUP($U$589,'TAR FIN'!$A$1:$O$104,15,0))</f>
        <v>0</v>
      </c>
      <c r="Y589" s="60">
        <f ca="1">('TUSD BE'!$AM$24+'TUSD BF'!$AM$24+'TUSD CVA'!$AM$24)*1*(1-0.02)</f>
        <v>25.754560993400897</v>
      </c>
      <c r="Z589" s="60"/>
      <c r="AA589" s="60"/>
      <c r="AB589" s="60">
        <f>(SUBSIDIO!$J$589*SUBSIDIO!$V$589)*(0.04)/(1-0.04)</f>
        <v>-51.391200000000005</v>
      </c>
      <c r="AC589" s="60">
        <f>((SUBSIDIO!$L$589*SUBSIDIO!$W$589)+(SUBSIDIO!$N$589*SUBSIDIO!$X$589))*(0.04)/(1-0.04)</f>
        <v>0</v>
      </c>
      <c r="AD589" s="60">
        <f ca="1">(SUBSIDIO!$J$589*SUBSIDIO!$Y$589)*(0.02)/(1-0.02)</f>
        <v>-25.754560993400897</v>
      </c>
      <c r="AE589" s="60">
        <f>((SUBSIDIO!$L$589*SUBSIDIO!$Z$589)+(SUBSIDIO!$N$589*SUBSIDIO!$AA$589))*(0.02)/(1-0.02)</f>
        <v>0</v>
      </c>
      <c r="AF589" s="4" t="s">
        <v>998</v>
      </c>
    </row>
    <row r="590" spans="1:32" ht="11.25" customHeight="1" x14ac:dyDescent="0.25">
      <c r="A590" s="4" t="s">
        <v>28</v>
      </c>
      <c r="B590" s="4" t="s">
        <v>41</v>
      </c>
      <c r="C590" s="4" t="s">
        <v>42</v>
      </c>
      <c r="D590" s="4" t="s">
        <v>45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44531</v>
      </c>
      <c r="J590" s="6">
        <v>329</v>
      </c>
      <c r="K590" s="60">
        <v>329</v>
      </c>
      <c r="L590" s="6">
        <v>0</v>
      </c>
      <c r="M590" s="60">
        <v>0</v>
      </c>
      <c r="N590" s="6">
        <v>0</v>
      </c>
      <c r="O590" s="60">
        <v>0</v>
      </c>
      <c r="P590" s="6">
        <v>4</v>
      </c>
      <c r="Q590" s="4" t="s">
        <v>26</v>
      </c>
      <c r="R590" s="4">
        <v>0</v>
      </c>
      <c r="S590" s="4">
        <v>40</v>
      </c>
      <c r="T590" s="4">
        <v>0</v>
      </c>
      <c r="U590" s="4">
        <v>0</v>
      </c>
      <c r="V590" s="60">
        <f>IF(ISERROR(VLOOKUP($S$590,'TAR FIN'!$A$1:$O$104,15,0)),0,VLOOKUP($S$590,'TAR FIN'!$A$1:$O$104,15,0))*(1-0.04)</f>
        <v>25.171199999999999</v>
      </c>
      <c r="W590" s="60">
        <f>IF(ISERROR(VLOOKUP($T$590,'TAR FIN'!$A$1:$O$104,15,0)),0,VLOOKUP($T$590,'TAR FIN'!$A$1:$O$104,15,0))</f>
        <v>0</v>
      </c>
      <c r="X590" s="60">
        <f>IF(ISERROR(VLOOKUP($U$590,'TAR FIN'!$A$1:$O$104,15,0)),0,VLOOKUP($U$590,'TAR FIN'!$A$1:$O$104,15,0))</f>
        <v>0</v>
      </c>
      <c r="Y590" s="60">
        <f ca="1">('TUSD BE'!$AM$24+'TUSD BF'!$AM$24+'TUSD CVA'!$AM$24)*1*(1-0.02)</f>
        <v>25.754560993400897</v>
      </c>
      <c r="Z590" s="60"/>
      <c r="AA590" s="60"/>
      <c r="AB590" s="60">
        <f>(SUBSIDIO!$J$590*SUBSIDIO!$V$590)*(0.04)/(1-0.04)</f>
        <v>345.05520000000001</v>
      </c>
      <c r="AC590" s="60">
        <f>((SUBSIDIO!$L$590*SUBSIDIO!$W$590)+(SUBSIDIO!$N$590*SUBSIDIO!$X$590))*(0.04)/(1-0.04)</f>
        <v>0</v>
      </c>
      <c r="AD590" s="60">
        <f ca="1">(SUBSIDIO!$J$590*SUBSIDIO!$Y$590)*(0.02)/(1-0.02)</f>
        <v>172.92348095569176</v>
      </c>
      <c r="AE590" s="60">
        <f>((SUBSIDIO!$L$590*SUBSIDIO!$Z$590)+(SUBSIDIO!$N$590*SUBSIDIO!$AA$590))*(0.02)/(1-0.02)</f>
        <v>0</v>
      </c>
      <c r="AF590" s="4" t="s">
        <v>998</v>
      </c>
    </row>
    <row r="591" spans="1:32" ht="11.25" customHeight="1" x14ac:dyDescent="0.25">
      <c r="A591" s="4" t="s">
        <v>21</v>
      </c>
      <c r="B591" s="4" t="s">
        <v>41</v>
      </c>
      <c r="C591" s="4" t="s">
        <v>42</v>
      </c>
      <c r="D591" s="4" t="s">
        <v>45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44562</v>
      </c>
      <c r="J591" s="6">
        <v>3939</v>
      </c>
      <c r="K591" s="60">
        <v>3939</v>
      </c>
      <c r="L591" s="6">
        <v>0</v>
      </c>
      <c r="M591" s="60">
        <v>0</v>
      </c>
      <c r="N591" s="6">
        <v>0</v>
      </c>
      <c r="O591" s="60">
        <v>0</v>
      </c>
      <c r="P591" s="6">
        <v>44</v>
      </c>
      <c r="Q591" s="4" t="s">
        <v>26</v>
      </c>
      <c r="R591" s="4">
        <v>0</v>
      </c>
      <c r="S591" s="4">
        <v>40</v>
      </c>
      <c r="T591" s="4">
        <v>0</v>
      </c>
      <c r="U591" s="4">
        <v>0</v>
      </c>
      <c r="V591" s="60">
        <f>IF(ISERROR(VLOOKUP($S$591,'TAR FIN'!$A$1:$O$104,15,0)),0,VLOOKUP($S$591,'TAR FIN'!$A$1:$O$104,15,0))*(1-0.04)</f>
        <v>25.171199999999999</v>
      </c>
      <c r="W591" s="60">
        <f>IF(ISERROR(VLOOKUP($T$591,'TAR FIN'!$A$1:$O$104,15,0)),0,VLOOKUP($T$591,'TAR FIN'!$A$1:$O$104,15,0))</f>
        <v>0</v>
      </c>
      <c r="X591" s="60">
        <f>IF(ISERROR(VLOOKUP($U$591,'TAR FIN'!$A$1:$O$104,15,0)),0,VLOOKUP($U$591,'TAR FIN'!$A$1:$O$104,15,0))</f>
        <v>0</v>
      </c>
      <c r="Y591" s="60">
        <f ca="1">('TUSD BE'!$AM$24+'TUSD BF'!$AM$24+'TUSD CVA'!$AM$24)*1*(1-0.02)</f>
        <v>25.754560993400897</v>
      </c>
      <c r="Z591" s="60"/>
      <c r="AA591" s="60"/>
      <c r="AB591" s="60">
        <f>(SUBSIDIO!$J$591*SUBSIDIO!$V$591)*(0.04)/(1-0.04)</f>
        <v>4131.2232000000004</v>
      </c>
      <c r="AC591" s="60">
        <f>((SUBSIDIO!$L$591*SUBSIDIO!$W$591)+(SUBSIDIO!$N$591*SUBSIDIO!$X$591))*(0.04)/(1-0.04)</f>
        <v>0</v>
      </c>
      <c r="AD591" s="60">
        <f ca="1">(SUBSIDIO!$J$591*SUBSIDIO!$Y$591)*(0.02)/(1-0.02)</f>
        <v>2070.3513418980847</v>
      </c>
      <c r="AE591" s="60">
        <f>((SUBSIDIO!$L$591*SUBSIDIO!$Z$591)+(SUBSIDIO!$N$591*SUBSIDIO!$AA$591))*(0.02)/(1-0.02)</f>
        <v>0</v>
      </c>
      <c r="AF591" s="4" t="s">
        <v>998</v>
      </c>
    </row>
    <row r="592" spans="1:32" ht="11.25" customHeight="1" x14ac:dyDescent="0.25">
      <c r="A592" s="4" t="s">
        <v>28</v>
      </c>
      <c r="B592" s="4" t="s">
        <v>41</v>
      </c>
      <c r="C592" s="4" t="s">
        <v>42</v>
      </c>
      <c r="D592" s="4" t="s">
        <v>45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44562</v>
      </c>
      <c r="J592" s="6">
        <v>249</v>
      </c>
      <c r="K592" s="60">
        <v>249</v>
      </c>
      <c r="L592" s="6">
        <v>0</v>
      </c>
      <c r="M592" s="60">
        <v>0</v>
      </c>
      <c r="N592" s="6">
        <v>0</v>
      </c>
      <c r="O592" s="60">
        <v>0</v>
      </c>
      <c r="P592" s="6">
        <v>4</v>
      </c>
      <c r="Q592" s="4" t="s">
        <v>26</v>
      </c>
      <c r="R592" s="4">
        <v>0</v>
      </c>
      <c r="S592" s="4">
        <v>40</v>
      </c>
      <c r="T592" s="4">
        <v>0</v>
      </c>
      <c r="U592" s="4">
        <v>0</v>
      </c>
      <c r="V592" s="60">
        <f>IF(ISERROR(VLOOKUP($S$592,'TAR FIN'!$A$1:$O$104,15,0)),0,VLOOKUP($S$592,'TAR FIN'!$A$1:$O$104,15,0))*(1-0.04)</f>
        <v>25.171199999999999</v>
      </c>
      <c r="W592" s="60">
        <f>IF(ISERROR(VLOOKUP($T$592,'TAR FIN'!$A$1:$O$104,15,0)),0,VLOOKUP($T$592,'TAR FIN'!$A$1:$O$104,15,0))</f>
        <v>0</v>
      </c>
      <c r="X592" s="60">
        <f>IF(ISERROR(VLOOKUP($U$592,'TAR FIN'!$A$1:$O$104,15,0)),0,VLOOKUP($U$592,'TAR FIN'!$A$1:$O$104,15,0))</f>
        <v>0</v>
      </c>
      <c r="Y592" s="60">
        <f ca="1">('TUSD BE'!$AM$24+'TUSD BF'!$AM$24+'TUSD CVA'!$AM$24)*1*(1-0.02)</f>
        <v>25.754560993400897</v>
      </c>
      <c r="Z592" s="60"/>
      <c r="AA592" s="60"/>
      <c r="AB592" s="60">
        <f>(SUBSIDIO!$J$592*SUBSIDIO!$V$592)*(0.04)/(1-0.04)</f>
        <v>261.15120000000002</v>
      </c>
      <c r="AC592" s="60">
        <f>((SUBSIDIO!$L$592*SUBSIDIO!$W$592)+(SUBSIDIO!$N$592*SUBSIDIO!$X$592))*(0.04)/(1-0.04)</f>
        <v>0</v>
      </c>
      <c r="AD592" s="60">
        <f ca="1">(SUBSIDIO!$J$592*SUBSIDIO!$Y$592)*(0.02)/(1-0.02)</f>
        <v>130.87521810932293</v>
      </c>
      <c r="AE592" s="60">
        <f>((SUBSIDIO!$L$592*SUBSIDIO!$Z$592)+(SUBSIDIO!$N$592*SUBSIDIO!$AA$592))*(0.02)/(1-0.02)</f>
        <v>0</v>
      </c>
      <c r="AF592" s="4" t="s">
        <v>998</v>
      </c>
    </row>
    <row r="593" spans="1:32" ht="11.25" customHeight="1" x14ac:dyDescent="0.25">
      <c r="A593" s="4" t="s">
        <v>21</v>
      </c>
      <c r="B593" s="4" t="s">
        <v>41</v>
      </c>
      <c r="C593" s="4" t="s">
        <v>42</v>
      </c>
      <c r="D593" s="4" t="s">
        <v>45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44593</v>
      </c>
      <c r="J593" s="6">
        <v>4123</v>
      </c>
      <c r="K593" s="60">
        <v>4123</v>
      </c>
      <c r="L593" s="6">
        <v>0</v>
      </c>
      <c r="M593" s="60">
        <v>0</v>
      </c>
      <c r="N593" s="6">
        <v>0</v>
      </c>
      <c r="O593" s="60">
        <v>0</v>
      </c>
      <c r="P593" s="6">
        <v>39</v>
      </c>
      <c r="Q593" s="4" t="s">
        <v>26</v>
      </c>
      <c r="R593" s="4">
        <v>0</v>
      </c>
      <c r="S593" s="4">
        <v>40</v>
      </c>
      <c r="T593" s="4">
        <v>0</v>
      </c>
      <c r="U593" s="4">
        <v>0</v>
      </c>
      <c r="V593" s="60">
        <f>IF(ISERROR(VLOOKUP($S$593,'TAR FIN'!$A$1:$O$104,15,0)),0,VLOOKUP($S$593,'TAR FIN'!$A$1:$O$104,15,0))*(1-0.04)</f>
        <v>25.171199999999999</v>
      </c>
      <c r="W593" s="60">
        <f>IF(ISERROR(VLOOKUP($T$593,'TAR FIN'!$A$1:$O$104,15,0)),0,VLOOKUP($T$593,'TAR FIN'!$A$1:$O$104,15,0))</f>
        <v>0</v>
      </c>
      <c r="X593" s="60">
        <f>IF(ISERROR(VLOOKUP($U$593,'TAR FIN'!$A$1:$O$104,15,0)),0,VLOOKUP($U$593,'TAR FIN'!$A$1:$O$104,15,0))</f>
        <v>0</v>
      </c>
      <c r="Y593" s="60">
        <f ca="1">('TUSD BE'!$AM$24+'TUSD BF'!$AM$24+'TUSD CVA'!$AM$24)*1*(1-0.02)</f>
        <v>25.754560993400897</v>
      </c>
      <c r="Z593" s="60"/>
      <c r="AA593" s="60"/>
      <c r="AB593" s="60">
        <f>(SUBSIDIO!$J$593*SUBSIDIO!$V$593)*(0.04)/(1-0.04)</f>
        <v>4324.2024000000001</v>
      </c>
      <c r="AC593" s="60">
        <f>((SUBSIDIO!$L$593*SUBSIDIO!$W$593)+(SUBSIDIO!$N$593*SUBSIDIO!$X$593))*(0.04)/(1-0.04)</f>
        <v>0</v>
      </c>
      <c r="AD593" s="60">
        <f ca="1">(SUBSIDIO!$J$593*SUBSIDIO!$Y$593)*(0.02)/(1-0.02)</f>
        <v>2167.0623464447326</v>
      </c>
      <c r="AE593" s="60">
        <f>((SUBSIDIO!$L$593*SUBSIDIO!$Z$593)+(SUBSIDIO!$N$593*SUBSIDIO!$AA$593))*(0.02)/(1-0.02)</f>
        <v>0</v>
      </c>
      <c r="AF593" s="4" t="s">
        <v>998</v>
      </c>
    </row>
    <row r="594" spans="1:32" ht="11.25" customHeight="1" x14ac:dyDescent="0.25">
      <c r="A594" s="4" t="s">
        <v>27</v>
      </c>
      <c r="B594" s="4" t="s">
        <v>41</v>
      </c>
      <c r="C594" s="4" t="s">
        <v>42</v>
      </c>
      <c r="D594" s="4" t="s">
        <v>45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44593</v>
      </c>
      <c r="J594" s="6">
        <v>304</v>
      </c>
      <c r="K594" s="60">
        <v>304</v>
      </c>
      <c r="L594" s="6">
        <v>0</v>
      </c>
      <c r="M594" s="60">
        <v>0</v>
      </c>
      <c r="N594" s="6">
        <v>0</v>
      </c>
      <c r="O594" s="60">
        <v>0</v>
      </c>
      <c r="P594" s="6">
        <v>1</v>
      </c>
      <c r="Q594" s="4" t="s">
        <v>26</v>
      </c>
      <c r="R594" s="4">
        <v>0</v>
      </c>
      <c r="S594" s="4">
        <v>40</v>
      </c>
      <c r="T594" s="4">
        <v>0</v>
      </c>
      <c r="U594" s="4">
        <v>0</v>
      </c>
      <c r="V594" s="60">
        <f>IF(ISERROR(VLOOKUP($S$594,'TAR FIN'!$A$1:$O$104,15,0)),0,VLOOKUP($S$594,'TAR FIN'!$A$1:$O$104,15,0))*(1-0.04)</f>
        <v>25.171199999999999</v>
      </c>
      <c r="W594" s="60">
        <f>IF(ISERROR(VLOOKUP($T$594,'TAR FIN'!$A$1:$O$104,15,0)),0,VLOOKUP($T$594,'TAR FIN'!$A$1:$O$104,15,0))</f>
        <v>0</v>
      </c>
      <c r="X594" s="60">
        <f>IF(ISERROR(VLOOKUP($U$594,'TAR FIN'!$A$1:$O$104,15,0)),0,VLOOKUP($U$594,'TAR FIN'!$A$1:$O$104,15,0))</f>
        <v>0</v>
      </c>
      <c r="Y594" s="60">
        <f ca="1">('TUSD BE'!$AM$24+'TUSD BF'!$AM$24+'TUSD CVA'!$AM$24)*1*(1-0.02)</f>
        <v>25.754560993400897</v>
      </c>
      <c r="Z594" s="60"/>
      <c r="AA594" s="60"/>
      <c r="AB594" s="60">
        <f>(SUBSIDIO!$J$594*SUBSIDIO!$V$594)*(0.04)/(1-0.04)</f>
        <v>318.83520000000004</v>
      </c>
      <c r="AC594" s="60">
        <f>((SUBSIDIO!$L$594*SUBSIDIO!$W$594)+(SUBSIDIO!$N$594*SUBSIDIO!$X$594))*(0.04)/(1-0.04)</f>
        <v>0</v>
      </c>
      <c r="AD594" s="60">
        <f ca="1">(SUBSIDIO!$J$594*SUBSIDIO!$Y$594)*(0.02)/(1-0.02)</f>
        <v>159.7833988162015</v>
      </c>
      <c r="AE594" s="60">
        <f>((SUBSIDIO!$L$594*SUBSIDIO!$Z$594)+(SUBSIDIO!$N$594*SUBSIDIO!$AA$594))*(0.02)/(1-0.02)</f>
        <v>0</v>
      </c>
      <c r="AF594" s="4" t="s">
        <v>998</v>
      </c>
    </row>
    <row r="595" spans="1:32" ht="11.25" customHeight="1" x14ac:dyDescent="0.25">
      <c r="A595" s="4" t="s">
        <v>28</v>
      </c>
      <c r="B595" s="4" t="s">
        <v>41</v>
      </c>
      <c r="C595" s="4" t="s">
        <v>42</v>
      </c>
      <c r="D595" s="4" t="s">
        <v>45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44593</v>
      </c>
      <c r="J595" s="6">
        <v>225</v>
      </c>
      <c r="K595" s="60">
        <v>225</v>
      </c>
      <c r="L595" s="6">
        <v>0</v>
      </c>
      <c r="M595" s="60">
        <v>0</v>
      </c>
      <c r="N595" s="6">
        <v>0</v>
      </c>
      <c r="O595" s="60">
        <v>0</v>
      </c>
      <c r="P595" s="6">
        <v>4</v>
      </c>
      <c r="Q595" s="4" t="s">
        <v>26</v>
      </c>
      <c r="R595" s="4">
        <v>0</v>
      </c>
      <c r="S595" s="4">
        <v>40</v>
      </c>
      <c r="T595" s="4">
        <v>0</v>
      </c>
      <c r="U595" s="4">
        <v>0</v>
      </c>
      <c r="V595" s="60">
        <f>IF(ISERROR(VLOOKUP($S$595,'TAR FIN'!$A$1:$O$104,15,0)),0,VLOOKUP($S$595,'TAR FIN'!$A$1:$O$104,15,0))*(1-0.04)</f>
        <v>25.171199999999999</v>
      </c>
      <c r="W595" s="60">
        <f>IF(ISERROR(VLOOKUP($T$595,'TAR FIN'!$A$1:$O$104,15,0)),0,VLOOKUP($T$595,'TAR FIN'!$A$1:$O$104,15,0))</f>
        <v>0</v>
      </c>
      <c r="X595" s="60">
        <f>IF(ISERROR(VLOOKUP($U$595,'TAR FIN'!$A$1:$O$104,15,0)),0,VLOOKUP($U$595,'TAR FIN'!$A$1:$O$104,15,0))</f>
        <v>0</v>
      </c>
      <c r="Y595" s="60">
        <f ca="1">('TUSD BE'!$AM$24+'TUSD BF'!$AM$24+'TUSD CVA'!$AM$24)*1*(1-0.02)</f>
        <v>25.754560993400897</v>
      </c>
      <c r="Z595" s="60"/>
      <c r="AA595" s="60"/>
      <c r="AB595" s="60">
        <f>(SUBSIDIO!$J$595*SUBSIDIO!$V$595)*(0.04)/(1-0.04)</f>
        <v>235.98</v>
      </c>
      <c r="AC595" s="60">
        <f>((SUBSIDIO!$L$595*SUBSIDIO!$W$595)+(SUBSIDIO!$N$595*SUBSIDIO!$X$595))*(0.04)/(1-0.04)</f>
        <v>0</v>
      </c>
      <c r="AD595" s="60">
        <f ca="1">(SUBSIDIO!$J$595*SUBSIDIO!$Y$595)*(0.02)/(1-0.02)</f>
        <v>118.2607392554123</v>
      </c>
      <c r="AE595" s="60">
        <f>((SUBSIDIO!$L$595*SUBSIDIO!$Z$595)+(SUBSIDIO!$N$595*SUBSIDIO!$AA$595))*(0.02)/(1-0.02)</f>
        <v>0</v>
      </c>
      <c r="AF595" s="4" t="s">
        <v>998</v>
      </c>
    </row>
    <row r="596" spans="1:32" ht="11.25" customHeight="1" x14ac:dyDescent="0.25">
      <c r="A596" s="4" t="s">
        <v>21</v>
      </c>
      <c r="B596" s="4" t="s">
        <v>41</v>
      </c>
      <c r="C596" s="4" t="s">
        <v>42</v>
      </c>
      <c r="D596" s="4" t="s">
        <v>45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44621</v>
      </c>
      <c r="J596" s="6">
        <v>4304</v>
      </c>
      <c r="K596" s="60">
        <v>4304</v>
      </c>
      <c r="L596" s="6">
        <v>0</v>
      </c>
      <c r="M596" s="60">
        <v>0</v>
      </c>
      <c r="N596" s="6">
        <v>0</v>
      </c>
      <c r="O596" s="60">
        <v>0</v>
      </c>
      <c r="P596" s="6">
        <v>47</v>
      </c>
      <c r="Q596" s="4" t="s">
        <v>26</v>
      </c>
      <c r="R596" s="4">
        <v>0</v>
      </c>
      <c r="S596" s="4">
        <v>40</v>
      </c>
      <c r="T596" s="4">
        <v>0</v>
      </c>
      <c r="U596" s="4">
        <v>0</v>
      </c>
      <c r="V596" s="60">
        <f>IF(ISERROR(VLOOKUP($S$596,'TAR FIN'!$A$1:$O$104,15,0)),0,VLOOKUP($S$596,'TAR FIN'!$A$1:$O$104,15,0))*(1-0.04)</f>
        <v>25.171199999999999</v>
      </c>
      <c r="W596" s="60">
        <f>IF(ISERROR(VLOOKUP($T$596,'TAR FIN'!$A$1:$O$104,15,0)),0,VLOOKUP($T$596,'TAR FIN'!$A$1:$O$104,15,0))</f>
        <v>0</v>
      </c>
      <c r="X596" s="60">
        <f>IF(ISERROR(VLOOKUP($U$596,'TAR FIN'!$A$1:$O$104,15,0)),0,VLOOKUP($U$596,'TAR FIN'!$A$1:$O$104,15,0))</f>
        <v>0</v>
      </c>
      <c r="Y596" s="60">
        <f ca="1">('TUSD BE'!$AM$24+'TUSD BF'!$AM$24+'TUSD CVA'!$AM$24)*1*(1-0.02)</f>
        <v>25.754560993400897</v>
      </c>
      <c r="Z596" s="60"/>
      <c r="AA596" s="60"/>
      <c r="AB596" s="60">
        <f>(SUBSIDIO!$J$596*SUBSIDIO!$V$596)*(0.04)/(1-0.04)</f>
        <v>4514.0352000000003</v>
      </c>
      <c r="AC596" s="60">
        <f>((SUBSIDIO!$L$596*SUBSIDIO!$W$596)+(SUBSIDIO!$N$596*SUBSIDIO!$X$596))*(0.04)/(1-0.04)</f>
        <v>0</v>
      </c>
      <c r="AD596" s="60">
        <f ca="1">(SUBSIDIO!$J$596*SUBSIDIO!$Y$596)*(0.02)/(1-0.02)</f>
        <v>2262.1965411346423</v>
      </c>
      <c r="AE596" s="60">
        <f>((SUBSIDIO!$L$596*SUBSIDIO!$Z$596)+(SUBSIDIO!$N$596*SUBSIDIO!$AA$596))*(0.02)/(1-0.02)</f>
        <v>0</v>
      </c>
      <c r="AF596" s="4" t="s">
        <v>998</v>
      </c>
    </row>
    <row r="597" spans="1:32" ht="11.25" customHeight="1" x14ac:dyDescent="0.25">
      <c r="A597" s="4" t="s">
        <v>28</v>
      </c>
      <c r="B597" s="4" t="s">
        <v>41</v>
      </c>
      <c r="C597" s="4" t="s">
        <v>42</v>
      </c>
      <c r="D597" s="4" t="s">
        <v>45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44621</v>
      </c>
      <c r="J597" s="6">
        <v>208</v>
      </c>
      <c r="K597" s="60">
        <v>208</v>
      </c>
      <c r="L597" s="6">
        <v>0</v>
      </c>
      <c r="M597" s="60">
        <v>0</v>
      </c>
      <c r="N597" s="6">
        <v>0</v>
      </c>
      <c r="O597" s="60">
        <v>0</v>
      </c>
      <c r="P597" s="6">
        <v>3</v>
      </c>
      <c r="Q597" s="4" t="s">
        <v>26</v>
      </c>
      <c r="R597" s="4">
        <v>0</v>
      </c>
      <c r="S597" s="4">
        <v>40</v>
      </c>
      <c r="T597" s="4">
        <v>0</v>
      </c>
      <c r="U597" s="4">
        <v>0</v>
      </c>
      <c r="V597" s="60">
        <f>IF(ISERROR(VLOOKUP($S$597,'TAR FIN'!$A$1:$O$104,15,0)),0,VLOOKUP($S$597,'TAR FIN'!$A$1:$O$104,15,0))*(1-0.04)</f>
        <v>25.171199999999999</v>
      </c>
      <c r="W597" s="60">
        <f>IF(ISERROR(VLOOKUP($T$597,'TAR FIN'!$A$1:$O$104,15,0)),0,VLOOKUP($T$597,'TAR FIN'!$A$1:$O$104,15,0))</f>
        <v>0</v>
      </c>
      <c r="X597" s="60">
        <f>IF(ISERROR(VLOOKUP($U$597,'TAR FIN'!$A$1:$O$104,15,0)),0,VLOOKUP($U$597,'TAR FIN'!$A$1:$O$104,15,0))</f>
        <v>0</v>
      </c>
      <c r="Y597" s="60">
        <f ca="1">('TUSD BE'!$AM$24+'TUSD BF'!$AM$24+'TUSD CVA'!$AM$24)*1*(1-0.02)</f>
        <v>25.754560993400897</v>
      </c>
      <c r="Z597" s="60"/>
      <c r="AA597" s="60"/>
      <c r="AB597" s="60">
        <f>(SUBSIDIO!$J$597*SUBSIDIO!$V$597)*(0.04)/(1-0.04)</f>
        <v>218.15040000000002</v>
      </c>
      <c r="AC597" s="60">
        <f>((SUBSIDIO!$L$597*SUBSIDIO!$W$597)+(SUBSIDIO!$N$597*SUBSIDIO!$X$597))*(0.04)/(1-0.04)</f>
        <v>0</v>
      </c>
      <c r="AD597" s="60">
        <f ca="1">(SUBSIDIO!$J$597*SUBSIDIO!$Y$597)*(0.02)/(1-0.02)</f>
        <v>109.32548340055891</v>
      </c>
      <c r="AE597" s="60">
        <f>((SUBSIDIO!$L$597*SUBSIDIO!$Z$597)+(SUBSIDIO!$N$597*SUBSIDIO!$AA$597))*(0.02)/(1-0.02)</f>
        <v>0</v>
      </c>
      <c r="AF597" s="4" t="s">
        <v>998</v>
      </c>
    </row>
    <row r="598" spans="1:32" ht="11.25" customHeight="1" x14ac:dyDescent="0.25">
      <c r="A598" s="4" t="s">
        <v>21</v>
      </c>
      <c r="B598" s="4" t="s">
        <v>41</v>
      </c>
      <c r="C598" s="4" t="s">
        <v>42</v>
      </c>
      <c r="D598" s="4" t="s">
        <v>45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44652</v>
      </c>
      <c r="J598" s="6">
        <v>4682</v>
      </c>
      <c r="K598" s="60">
        <v>4682</v>
      </c>
      <c r="L598" s="6">
        <v>0</v>
      </c>
      <c r="M598" s="60">
        <v>0</v>
      </c>
      <c r="N598" s="6">
        <v>0</v>
      </c>
      <c r="O598" s="60">
        <v>0</v>
      </c>
      <c r="P598" s="6">
        <v>47</v>
      </c>
      <c r="Q598" s="4" t="s">
        <v>26</v>
      </c>
      <c r="R598" s="4">
        <v>0</v>
      </c>
      <c r="S598" s="4">
        <v>40</v>
      </c>
      <c r="T598" s="4">
        <v>0</v>
      </c>
      <c r="U598" s="4">
        <v>0</v>
      </c>
      <c r="V598" s="60">
        <f>IF(ISERROR(VLOOKUP($S$598,'TAR FIN'!$A$1:$O$104,15,0)),0,VLOOKUP($S$598,'TAR FIN'!$A$1:$O$104,15,0))*(1-0.04)</f>
        <v>25.171199999999999</v>
      </c>
      <c r="W598" s="60">
        <f>IF(ISERROR(VLOOKUP($T$598,'TAR FIN'!$A$1:$O$104,15,0)),0,VLOOKUP($T$598,'TAR FIN'!$A$1:$O$104,15,0))</f>
        <v>0</v>
      </c>
      <c r="X598" s="60">
        <f>IF(ISERROR(VLOOKUP($U$598,'TAR FIN'!$A$1:$O$104,15,0)),0,VLOOKUP($U$598,'TAR FIN'!$A$1:$O$104,15,0))</f>
        <v>0</v>
      </c>
      <c r="Y598" s="60">
        <f ca="1">('TUSD BE'!$AM$24+'TUSD BF'!$AM$24+'TUSD CVA'!$AM$24)*1*(1-0.02)</f>
        <v>25.754560993400897</v>
      </c>
      <c r="Z598" s="60"/>
      <c r="AA598" s="60"/>
      <c r="AB598" s="60">
        <f>(SUBSIDIO!$J$598*SUBSIDIO!$V$598)*(0.04)/(1-0.04)</f>
        <v>4910.4816000000001</v>
      </c>
      <c r="AC598" s="60">
        <f>((SUBSIDIO!$L$598*SUBSIDIO!$W$598)+(SUBSIDIO!$N$598*SUBSIDIO!$X$598))*(0.04)/(1-0.04)</f>
        <v>0</v>
      </c>
      <c r="AD598" s="60">
        <f ca="1">(SUBSIDIO!$J$598*SUBSIDIO!$Y$598)*(0.02)/(1-0.02)</f>
        <v>2460.8745830837347</v>
      </c>
      <c r="AE598" s="60">
        <f>((SUBSIDIO!$L$598*SUBSIDIO!$Z$598)+(SUBSIDIO!$N$598*SUBSIDIO!$AA$598))*(0.02)/(1-0.02)</f>
        <v>0</v>
      </c>
      <c r="AF598" s="4" t="s">
        <v>998</v>
      </c>
    </row>
    <row r="599" spans="1:32" ht="11.25" customHeight="1" x14ac:dyDescent="0.25">
      <c r="A599" s="4" t="s">
        <v>27</v>
      </c>
      <c r="B599" s="4" t="s">
        <v>41</v>
      </c>
      <c r="C599" s="4" t="s">
        <v>42</v>
      </c>
      <c r="D599" s="4" t="s">
        <v>45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44652</v>
      </c>
      <c r="J599" s="6">
        <v>17</v>
      </c>
      <c r="K599" s="60">
        <v>17</v>
      </c>
      <c r="L599" s="6">
        <v>0</v>
      </c>
      <c r="M599" s="60">
        <v>0</v>
      </c>
      <c r="N599" s="6">
        <v>0</v>
      </c>
      <c r="O599" s="60">
        <v>0</v>
      </c>
      <c r="P599" s="6">
        <v>1</v>
      </c>
      <c r="Q599" s="4" t="s">
        <v>26</v>
      </c>
      <c r="R599" s="4">
        <v>0</v>
      </c>
      <c r="S599" s="4">
        <v>40</v>
      </c>
      <c r="T599" s="4">
        <v>0</v>
      </c>
      <c r="U599" s="4">
        <v>0</v>
      </c>
      <c r="V599" s="60">
        <f>IF(ISERROR(VLOOKUP($S$599,'TAR FIN'!$A$1:$O$104,15,0)),0,VLOOKUP($S$599,'TAR FIN'!$A$1:$O$104,15,0))*(1-0.04)</f>
        <v>25.171199999999999</v>
      </c>
      <c r="W599" s="60">
        <f>IF(ISERROR(VLOOKUP($T$599,'TAR FIN'!$A$1:$O$104,15,0)),0,VLOOKUP($T$599,'TAR FIN'!$A$1:$O$104,15,0))</f>
        <v>0</v>
      </c>
      <c r="X599" s="60">
        <f>IF(ISERROR(VLOOKUP($U$599,'TAR FIN'!$A$1:$O$104,15,0)),0,VLOOKUP($U$599,'TAR FIN'!$A$1:$O$104,15,0))</f>
        <v>0</v>
      </c>
      <c r="Y599" s="60">
        <f ca="1">('TUSD BE'!$AM$24+'TUSD BF'!$AM$24+'TUSD CVA'!$AM$24)*1*(1-0.02)</f>
        <v>25.754560993400897</v>
      </c>
      <c r="Z599" s="60"/>
      <c r="AA599" s="60"/>
      <c r="AB599" s="60">
        <f>(SUBSIDIO!$J$599*SUBSIDIO!$V$599)*(0.04)/(1-0.04)</f>
        <v>17.829600000000003</v>
      </c>
      <c r="AC599" s="60">
        <f>((SUBSIDIO!$L$599*SUBSIDIO!$W$599)+(SUBSIDIO!$N$599*SUBSIDIO!$X$599))*(0.04)/(1-0.04)</f>
        <v>0</v>
      </c>
      <c r="AD599" s="60">
        <f ca="1">(SUBSIDIO!$J$599*SUBSIDIO!$Y$599)*(0.02)/(1-0.02)</f>
        <v>8.9352558548533718</v>
      </c>
      <c r="AE599" s="60">
        <f>((SUBSIDIO!$L$599*SUBSIDIO!$Z$599)+(SUBSIDIO!$N$599*SUBSIDIO!$AA$599))*(0.02)/(1-0.02)</f>
        <v>0</v>
      </c>
      <c r="AF599" s="4" t="s">
        <v>998</v>
      </c>
    </row>
    <row r="600" spans="1:32" ht="11.25" customHeight="1" x14ac:dyDescent="0.25">
      <c r="A600" s="4" t="s">
        <v>28</v>
      </c>
      <c r="B600" s="4" t="s">
        <v>41</v>
      </c>
      <c r="C600" s="4" t="s">
        <v>42</v>
      </c>
      <c r="D600" s="4" t="s">
        <v>45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44652</v>
      </c>
      <c r="J600" s="6">
        <v>217</v>
      </c>
      <c r="K600" s="60">
        <v>217</v>
      </c>
      <c r="L600" s="6">
        <v>0</v>
      </c>
      <c r="M600" s="60">
        <v>0</v>
      </c>
      <c r="N600" s="6">
        <v>0</v>
      </c>
      <c r="O600" s="60">
        <v>0</v>
      </c>
      <c r="P600" s="6">
        <v>3</v>
      </c>
      <c r="Q600" s="4" t="s">
        <v>26</v>
      </c>
      <c r="R600" s="4">
        <v>0</v>
      </c>
      <c r="S600" s="4">
        <v>40</v>
      </c>
      <c r="T600" s="4">
        <v>0</v>
      </c>
      <c r="U600" s="4">
        <v>0</v>
      </c>
      <c r="V600" s="60">
        <f>IF(ISERROR(VLOOKUP($S$600,'TAR FIN'!$A$1:$O$104,15,0)),0,VLOOKUP($S$600,'TAR FIN'!$A$1:$O$104,15,0))*(1-0.04)</f>
        <v>25.171199999999999</v>
      </c>
      <c r="W600" s="60">
        <f>IF(ISERROR(VLOOKUP($T$600,'TAR FIN'!$A$1:$O$104,15,0)),0,VLOOKUP($T$600,'TAR FIN'!$A$1:$O$104,15,0))</f>
        <v>0</v>
      </c>
      <c r="X600" s="60">
        <f>IF(ISERROR(VLOOKUP($U$600,'TAR FIN'!$A$1:$O$104,15,0)),0,VLOOKUP($U$600,'TAR FIN'!$A$1:$O$104,15,0))</f>
        <v>0</v>
      </c>
      <c r="Y600" s="60">
        <f ca="1">('TUSD BE'!$AM$24+'TUSD BF'!$AM$24+'TUSD CVA'!$AM$24)*1*(1-0.02)</f>
        <v>25.754560993400897</v>
      </c>
      <c r="Z600" s="60"/>
      <c r="AA600" s="60"/>
      <c r="AB600" s="60">
        <f>(SUBSIDIO!$J$600*SUBSIDIO!$V$600)*(0.04)/(1-0.04)</f>
        <v>227.58959999999999</v>
      </c>
      <c r="AC600" s="60">
        <f>((SUBSIDIO!$L$600*SUBSIDIO!$W$600)+(SUBSIDIO!$N$600*SUBSIDIO!$X$600))*(0.04)/(1-0.04)</f>
        <v>0</v>
      </c>
      <c r="AD600" s="60">
        <f ca="1">(SUBSIDIO!$J$600*SUBSIDIO!$Y$600)*(0.02)/(1-0.02)</f>
        <v>114.05591297077541</v>
      </c>
      <c r="AE600" s="60">
        <f>((SUBSIDIO!$L$600*SUBSIDIO!$Z$600)+(SUBSIDIO!$N$600*SUBSIDIO!$AA$600))*(0.02)/(1-0.02)</f>
        <v>0</v>
      </c>
      <c r="AF600" s="4" t="s">
        <v>998</v>
      </c>
    </row>
    <row r="601" spans="1:32" ht="11.25" customHeight="1" x14ac:dyDescent="0.25">
      <c r="A601" s="4" t="s">
        <v>28</v>
      </c>
      <c r="B601" s="4" t="s">
        <v>41</v>
      </c>
      <c r="C601" s="4" t="s">
        <v>42</v>
      </c>
      <c r="D601" s="4" t="s">
        <v>45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44652</v>
      </c>
      <c r="J601" s="6">
        <v>-520</v>
      </c>
      <c r="K601" s="60">
        <v>-520</v>
      </c>
      <c r="L601" s="6">
        <v>0</v>
      </c>
      <c r="M601" s="60">
        <v>0</v>
      </c>
      <c r="N601" s="6">
        <v>0</v>
      </c>
      <c r="O601" s="60">
        <v>0</v>
      </c>
      <c r="P601" s="6">
        <v>-6</v>
      </c>
      <c r="Q601" s="4" t="s">
        <v>26</v>
      </c>
      <c r="R601" s="4">
        <v>0</v>
      </c>
      <c r="S601" s="4">
        <v>40</v>
      </c>
      <c r="T601" s="4">
        <v>0</v>
      </c>
      <c r="U601" s="4">
        <v>0</v>
      </c>
      <c r="V601" s="60">
        <f>IF(ISERROR(VLOOKUP($S$601,'TAR FIN'!$A$1:$O$104,15,0)),0,VLOOKUP($S$601,'TAR FIN'!$A$1:$O$104,15,0))*(1-0.04)</f>
        <v>25.171199999999999</v>
      </c>
      <c r="W601" s="60">
        <f>IF(ISERROR(VLOOKUP($T$601,'TAR FIN'!$A$1:$O$104,15,0)),0,VLOOKUP($T$601,'TAR FIN'!$A$1:$O$104,15,0))</f>
        <v>0</v>
      </c>
      <c r="X601" s="60">
        <f>IF(ISERROR(VLOOKUP($U$601,'TAR FIN'!$A$1:$O$104,15,0)),0,VLOOKUP($U$601,'TAR FIN'!$A$1:$O$104,15,0))</f>
        <v>0</v>
      </c>
      <c r="Y601" s="60">
        <f ca="1">('TUSD BE'!$AM$24+'TUSD BF'!$AM$24+'TUSD CVA'!$AM$24)*1*(1-0.02)</f>
        <v>25.754560993400897</v>
      </c>
      <c r="Z601" s="60"/>
      <c r="AA601" s="60"/>
      <c r="AB601" s="60">
        <f>(SUBSIDIO!$J$601*SUBSIDIO!$V$601)*(0.04)/(1-0.04)</f>
        <v>-545.37600000000009</v>
      </c>
      <c r="AC601" s="60">
        <f>((SUBSIDIO!$L$601*SUBSIDIO!$W$601)+(SUBSIDIO!$N$601*SUBSIDIO!$X$601))*(0.04)/(1-0.04)</f>
        <v>0</v>
      </c>
      <c r="AD601" s="60">
        <f ca="1">(SUBSIDIO!$J$601*SUBSIDIO!$Y$601)*(0.02)/(1-0.02)</f>
        <v>-273.31370850139729</v>
      </c>
      <c r="AE601" s="60">
        <f>((SUBSIDIO!$L$601*SUBSIDIO!$Z$601)+(SUBSIDIO!$N$601*SUBSIDIO!$AA$601))*(0.02)/(1-0.02)</f>
        <v>0</v>
      </c>
      <c r="AF601" s="4" t="s">
        <v>998</v>
      </c>
    </row>
    <row r="602" spans="1:32" ht="11.25" customHeight="1" x14ac:dyDescent="0.25">
      <c r="A602" s="4" t="s">
        <v>21</v>
      </c>
      <c r="B602" s="4" t="s">
        <v>41</v>
      </c>
      <c r="C602" s="4" t="s">
        <v>42</v>
      </c>
      <c r="D602" s="4" t="s">
        <v>45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44682</v>
      </c>
      <c r="J602" s="6">
        <v>4598</v>
      </c>
      <c r="K602" s="60">
        <v>4598</v>
      </c>
      <c r="L602" s="6">
        <v>0</v>
      </c>
      <c r="M602" s="60">
        <v>0</v>
      </c>
      <c r="N602" s="6">
        <v>0</v>
      </c>
      <c r="O602" s="60">
        <v>0</v>
      </c>
      <c r="P602" s="6">
        <v>53</v>
      </c>
      <c r="Q602" s="4" t="s">
        <v>26</v>
      </c>
      <c r="R602" s="4">
        <v>0</v>
      </c>
      <c r="S602" s="4">
        <v>40</v>
      </c>
      <c r="T602" s="4">
        <v>0</v>
      </c>
      <c r="U602" s="4">
        <v>0</v>
      </c>
      <c r="V602" s="60">
        <f>IF(ISERROR(VLOOKUP($S$602,'TAR FIN'!$A$1:$O$104,15,0)),0,VLOOKUP($S$602,'TAR FIN'!$A$1:$O$104,15,0))*(1-0.04)</f>
        <v>25.171199999999999</v>
      </c>
      <c r="W602" s="60">
        <f>IF(ISERROR(VLOOKUP($T$602,'TAR FIN'!$A$1:$O$104,15,0)),0,VLOOKUP($T$602,'TAR FIN'!$A$1:$O$104,15,0))</f>
        <v>0</v>
      </c>
      <c r="X602" s="60">
        <f>IF(ISERROR(VLOOKUP($U$602,'TAR FIN'!$A$1:$O$104,15,0)),0,VLOOKUP($U$602,'TAR FIN'!$A$1:$O$104,15,0))</f>
        <v>0</v>
      </c>
      <c r="Y602" s="60">
        <f ca="1">('TUSD BE'!$AM$24+'TUSD BF'!$AM$24+'TUSD CVA'!$AM$24)*1*(1-0.02)</f>
        <v>25.754560993400897</v>
      </c>
      <c r="Z602" s="60"/>
      <c r="AA602" s="60"/>
      <c r="AB602" s="60">
        <f>(SUBSIDIO!$J$602*SUBSIDIO!$V$602)*(0.04)/(1-0.04)</f>
        <v>4822.3824000000004</v>
      </c>
      <c r="AC602" s="60">
        <f>((SUBSIDIO!$L$602*SUBSIDIO!$W$602)+(SUBSIDIO!$N$602*SUBSIDIO!$X$602))*(0.04)/(1-0.04)</f>
        <v>0</v>
      </c>
      <c r="AD602" s="60">
        <f ca="1">(SUBSIDIO!$J$602*SUBSIDIO!$Y$602)*(0.02)/(1-0.02)</f>
        <v>2416.7239070950477</v>
      </c>
      <c r="AE602" s="60">
        <f>((SUBSIDIO!$L$602*SUBSIDIO!$Z$602)+(SUBSIDIO!$N$602*SUBSIDIO!$AA$602))*(0.02)/(1-0.02)</f>
        <v>0</v>
      </c>
      <c r="AF602" s="4" t="s">
        <v>998</v>
      </c>
    </row>
    <row r="603" spans="1:32" ht="11.25" customHeight="1" x14ac:dyDescent="0.25">
      <c r="A603" s="4" t="s">
        <v>28</v>
      </c>
      <c r="B603" s="4" t="s">
        <v>41</v>
      </c>
      <c r="C603" s="4" t="s">
        <v>42</v>
      </c>
      <c r="D603" s="4" t="s">
        <v>45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44682</v>
      </c>
      <c r="J603" s="6">
        <v>214</v>
      </c>
      <c r="K603" s="60">
        <v>214</v>
      </c>
      <c r="L603" s="6">
        <v>0</v>
      </c>
      <c r="M603" s="60">
        <v>0</v>
      </c>
      <c r="N603" s="6">
        <v>0</v>
      </c>
      <c r="O603" s="60">
        <v>0</v>
      </c>
      <c r="P603" s="6">
        <v>3</v>
      </c>
      <c r="Q603" s="4" t="s">
        <v>26</v>
      </c>
      <c r="R603" s="4">
        <v>0</v>
      </c>
      <c r="S603" s="4">
        <v>40</v>
      </c>
      <c r="T603" s="4">
        <v>0</v>
      </c>
      <c r="U603" s="4">
        <v>0</v>
      </c>
      <c r="V603" s="60">
        <f>IF(ISERROR(VLOOKUP($S$603,'TAR FIN'!$A$1:$O$104,15,0)),0,VLOOKUP($S$603,'TAR FIN'!$A$1:$O$104,15,0))*(1-0.04)</f>
        <v>25.171199999999999</v>
      </c>
      <c r="W603" s="60">
        <f>IF(ISERROR(VLOOKUP($T$603,'TAR FIN'!$A$1:$O$104,15,0)),0,VLOOKUP($T$603,'TAR FIN'!$A$1:$O$104,15,0))</f>
        <v>0</v>
      </c>
      <c r="X603" s="60">
        <f>IF(ISERROR(VLOOKUP($U$603,'TAR FIN'!$A$1:$O$104,15,0)),0,VLOOKUP($U$603,'TAR FIN'!$A$1:$O$104,15,0))</f>
        <v>0</v>
      </c>
      <c r="Y603" s="60">
        <f ca="1">('TUSD BE'!$AM$24+'TUSD BF'!$AM$24+'TUSD CVA'!$AM$24)*1*(1-0.02)</f>
        <v>25.754560993400897</v>
      </c>
      <c r="Z603" s="60"/>
      <c r="AA603" s="60"/>
      <c r="AB603" s="60">
        <f>(SUBSIDIO!$J$603*SUBSIDIO!$V$603)*(0.04)/(1-0.04)</f>
        <v>224.44320000000002</v>
      </c>
      <c r="AC603" s="60">
        <f>((SUBSIDIO!$L$603*SUBSIDIO!$W$603)+(SUBSIDIO!$N$603*SUBSIDIO!$X$603))*(0.04)/(1-0.04)</f>
        <v>0</v>
      </c>
      <c r="AD603" s="60">
        <f ca="1">(SUBSIDIO!$J$603*SUBSIDIO!$Y$603)*(0.02)/(1-0.02)</f>
        <v>112.47910311403658</v>
      </c>
      <c r="AE603" s="60">
        <f>((SUBSIDIO!$L$603*SUBSIDIO!$Z$603)+(SUBSIDIO!$N$603*SUBSIDIO!$AA$603))*(0.02)/(1-0.02)</f>
        <v>0</v>
      </c>
      <c r="AF603" s="4" t="s">
        <v>998</v>
      </c>
    </row>
    <row r="604" spans="1:32" ht="11.25" customHeight="1" x14ac:dyDescent="0.25">
      <c r="A604" s="4" t="s">
        <v>21</v>
      </c>
      <c r="B604" s="4" t="s">
        <v>41</v>
      </c>
      <c r="C604" s="4" t="s">
        <v>42</v>
      </c>
      <c r="D604" s="4" t="s">
        <v>45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44713</v>
      </c>
      <c r="J604" s="6">
        <v>4745</v>
      </c>
      <c r="K604" s="60">
        <v>4745</v>
      </c>
      <c r="L604" s="6">
        <v>0</v>
      </c>
      <c r="M604" s="60">
        <v>0</v>
      </c>
      <c r="N604" s="6">
        <v>0</v>
      </c>
      <c r="O604" s="60">
        <v>0</v>
      </c>
      <c r="P604" s="6">
        <v>60</v>
      </c>
      <c r="Q604" s="4" t="s">
        <v>26</v>
      </c>
      <c r="R604" s="4">
        <v>0</v>
      </c>
      <c r="S604" s="4">
        <v>40</v>
      </c>
      <c r="T604" s="4">
        <v>0</v>
      </c>
      <c r="U604" s="4">
        <v>0</v>
      </c>
      <c r="V604" s="60">
        <f>IF(ISERROR(VLOOKUP($S$604,'TAR FIN'!$A$1:$O$104,15,0)),0,VLOOKUP($S$604,'TAR FIN'!$A$1:$O$104,15,0))*(1-0.04)</f>
        <v>25.171199999999999</v>
      </c>
      <c r="W604" s="60">
        <f>IF(ISERROR(VLOOKUP($T$604,'TAR FIN'!$A$1:$O$104,15,0)),0,VLOOKUP($T$604,'TAR FIN'!$A$1:$O$104,15,0))</f>
        <v>0</v>
      </c>
      <c r="X604" s="60">
        <f>IF(ISERROR(VLOOKUP($U$604,'TAR FIN'!$A$1:$O$104,15,0)),0,VLOOKUP($U$604,'TAR FIN'!$A$1:$O$104,15,0))</f>
        <v>0</v>
      </c>
      <c r="Y604" s="60">
        <f ca="1">('TUSD BE'!$AM$24+'TUSD BF'!$AM$24+'TUSD CVA'!$AM$24)*1*(1-0.02)</f>
        <v>25.754560993400897</v>
      </c>
      <c r="Z604" s="60"/>
      <c r="AA604" s="60"/>
      <c r="AB604" s="60">
        <f>(SUBSIDIO!$J$604*SUBSIDIO!$V$604)*(0.04)/(1-0.04)</f>
        <v>4976.5560000000005</v>
      </c>
      <c r="AC604" s="60">
        <f>((SUBSIDIO!$L$604*SUBSIDIO!$W$604)+(SUBSIDIO!$N$604*SUBSIDIO!$X$604))*(0.04)/(1-0.04)</f>
        <v>0</v>
      </c>
      <c r="AD604" s="60">
        <f ca="1">(SUBSIDIO!$J$604*SUBSIDIO!$Y$604)*(0.02)/(1-0.02)</f>
        <v>2493.98759007525</v>
      </c>
      <c r="AE604" s="60">
        <f>((SUBSIDIO!$L$604*SUBSIDIO!$Z$604)+(SUBSIDIO!$N$604*SUBSIDIO!$AA$604))*(0.02)/(1-0.02)</f>
        <v>0</v>
      </c>
      <c r="AF604" s="4" t="s">
        <v>998</v>
      </c>
    </row>
    <row r="605" spans="1:32" ht="11.25" customHeight="1" x14ac:dyDescent="0.25">
      <c r="A605" s="4" t="s">
        <v>28</v>
      </c>
      <c r="B605" s="4" t="s">
        <v>41</v>
      </c>
      <c r="C605" s="4" t="s">
        <v>42</v>
      </c>
      <c r="D605" s="4" t="s">
        <v>45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44713</v>
      </c>
      <c r="J605" s="6">
        <v>204</v>
      </c>
      <c r="K605" s="60">
        <v>204</v>
      </c>
      <c r="L605" s="6">
        <v>0</v>
      </c>
      <c r="M605" s="60">
        <v>0</v>
      </c>
      <c r="N605" s="6">
        <v>0</v>
      </c>
      <c r="O605" s="60">
        <v>0</v>
      </c>
      <c r="P605" s="6">
        <v>3</v>
      </c>
      <c r="Q605" s="4" t="s">
        <v>26</v>
      </c>
      <c r="R605" s="4">
        <v>0</v>
      </c>
      <c r="S605" s="4">
        <v>40</v>
      </c>
      <c r="T605" s="4">
        <v>0</v>
      </c>
      <c r="U605" s="4">
        <v>0</v>
      </c>
      <c r="V605" s="60">
        <f>IF(ISERROR(VLOOKUP($S$605,'TAR FIN'!$A$1:$O$104,15,0)),0,VLOOKUP($S$605,'TAR FIN'!$A$1:$O$104,15,0))*(1-0.04)</f>
        <v>25.171199999999999</v>
      </c>
      <c r="W605" s="60">
        <f>IF(ISERROR(VLOOKUP($T$605,'TAR FIN'!$A$1:$O$104,15,0)),0,VLOOKUP($T$605,'TAR FIN'!$A$1:$O$104,15,0))</f>
        <v>0</v>
      </c>
      <c r="X605" s="60">
        <f>IF(ISERROR(VLOOKUP($U$605,'TAR FIN'!$A$1:$O$104,15,0)),0,VLOOKUP($U$605,'TAR FIN'!$A$1:$O$104,15,0))</f>
        <v>0</v>
      </c>
      <c r="Y605" s="60">
        <f ca="1">('TUSD BE'!$AM$24+'TUSD BF'!$AM$24+'TUSD CVA'!$AM$24)*1*(1-0.02)</f>
        <v>25.754560993400897</v>
      </c>
      <c r="Z605" s="60"/>
      <c r="AA605" s="60"/>
      <c r="AB605" s="60">
        <f>(SUBSIDIO!$J$605*SUBSIDIO!$V$605)*(0.04)/(1-0.04)</f>
        <v>213.95519999999999</v>
      </c>
      <c r="AC605" s="60">
        <f>((SUBSIDIO!$L$605*SUBSIDIO!$W$605)+(SUBSIDIO!$N$605*SUBSIDIO!$X$605))*(0.04)/(1-0.04)</f>
        <v>0</v>
      </c>
      <c r="AD605" s="60">
        <f ca="1">(SUBSIDIO!$J$605*SUBSIDIO!$Y$605)*(0.02)/(1-0.02)</f>
        <v>107.22307025824047</v>
      </c>
      <c r="AE605" s="60">
        <f>((SUBSIDIO!$L$605*SUBSIDIO!$Z$605)+(SUBSIDIO!$N$605*SUBSIDIO!$AA$605))*(0.02)/(1-0.02)</f>
        <v>0</v>
      </c>
      <c r="AF605" s="4" t="s">
        <v>998</v>
      </c>
    </row>
    <row r="606" spans="1:32" ht="11.25" customHeight="1" x14ac:dyDescent="0.25">
      <c r="A606" s="4" t="s">
        <v>57</v>
      </c>
      <c r="B606" s="4" t="s">
        <v>41</v>
      </c>
      <c r="C606" s="4" t="s">
        <v>42</v>
      </c>
      <c r="D606" s="4" t="s">
        <v>45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44743</v>
      </c>
      <c r="J606" s="6">
        <v>4745</v>
      </c>
      <c r="K606" s="60">
        <v>4745</v>
      </c>
      <c r="L606" s="6">
        <v>0</v>
      </c>
      <c r="M606" s="60">
        <v>0</v>
      </c>
      <c r="N606" s="6">
        <v>0</v>
      </c>
      <c r="O606" s="60">
        <v>0</v>
      </c>
      <c r="P606" s="6">
        <v>60</v>
      </c>
      <c r="Q606" s="4" t="s">
        <v>26</v>
      </c>
      <c r="R606" s="4">
        <v>0</v>
      </c>
      <c r="S606" s="4">
        <v>40</v>
      </c>
      <c r="T606" s="4">
        <v>0</v>
      </c>
      <c r="U606" s="4">
        <v>0</v>
      </c>
      <c r="V606" s="60">
        <f>IF(ISERROR(VLOOKUP($S$606,'TAR FIN'!$A$1:$O$104,15,0)),0,VLOOKUP($S$606,'TAR FIN'!$A$1:$O$104,15,0))*(1-0.04)</f>
        <v>25.171199999999999</v>
      </c>
      <c r="W606" s="60">
        <f>IF(ISERROR(VLOOKUP($T$606,'TAR FIN'!$A$1:$O$104,15,0)),0,VLOOKUP($T$606,'TAR FIN'!$A$1:$O$104,15,0))</f>
        <v>0</v>
      </c>
      <c r="X606" s="60">
        <f>IF(ISERROR(VLOOKUP($U$606,'TAR FIN'!$A$1:$O$104,15,0)),0,VLOOKUP($U$606,'TAR FIN'!$A$1:$O$104,15,0))</f>
        <v>0</v>
      </c>
      <c r="Y606" s="60">
        <f ca="1">('TUSD BE'!$AM$24+'TUSD BF'!$AM$24+'TUSD CVA'!$AM$24)*1*(1-0.02)</f>
        <v>25.754560993400897</v>
      </c>
      <c r="Z606" s="60"/>
      <c r="AA606" s="60"/>
      <c r="AB606" s="60">
        <f>(SUBSIDIO!$J$606*SUBSIDIO!$V$606)*(0.04)/(1-0.04)</f>
        <v>4976.5560000000005</v>
      </c>
      <c r="AC606" s="60">
        <f>((SUBSIDIO!$L$606*SUBSIDIO!$W$606)+(SUBSIDIO!$N$606*SUBSIDIO!$X$606))*(0.04)/(1-0.04)</f>
        <v>0</v>
      </c>
      <c r="AD606" s="60">
        <f ca="1">(SUBSIDIO!$J$606*SUBSIDIO!$Y$606)*(0.02)/(1-0.02)</f>
        <v>2493.98759007525</v>
      </c>
      <c r="AE606" s="60">
        <f>((SUBSIDIO!$L$606*SUBSIDIO!$Z$606)+(SUBSIDIO!$N$606*SUBSIDIO!$AA$606))*(0.02)/(1-0.02)</f>
        <v>0</v>
      </c>
      <c r="AF606" s="4" t="s">
        <v>998</v>
      </c>
    </row>
    <row r="607" spans="1:32" ht="11.25" customHeight="1" x14ac:dyDescent="0.25">
      <c r="A607" s="4" t="s">
        <v>57</v>
      </c>
      <c r="B607" s="4" t="s">
        <v>41</v>
      </c>
      <c r="C607" s="4" t="s">
        <v>42</v>
      </c>
      <c r="D607" s="4" t="s">
        <v>45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44743</v>
      </c>
      <c r="J607" s="6">
        <v>204</v>
      </c>
      <c r="K607" s="60">
        <v>204</v>
      </c>
      <c r="L607" s="6">
        <v>0</v>
      </c>
      <c r="M607" s="60">
        <v>0</v>
      </c>
      <c r="N607" s="6">
        <v>0</v>
      </c>
      <c r="O607" s="60">
        <v>0</v>
      </c>
      <c r="P607" s="6">
        <v>3</v>
      </c>
      <c r="Q607" s="4" t="s">
        <v>26</v>
      </c>
      <c r="R607" s="4">
        <v>0</v>
      </c>
      <c r="S607" s="4">
        <v>40</v>
      </c>
      <c r="T607" s="4">
        <v>0</v>
      </c>
      <c r="U607" s="4">
        <v>0</v>
      </c>
      <c r="V607" s="60">
        <f>IF(ISERROR(VLOOKUP($S$607,'TAR FIN'!$A$1:$O$104,15,0)),0,VLOOKUP($S$607,'TAR FIN'!$A$1:$O$104,15,0))*(1-0.04)</f>
        <v>25.171199999999999</v>
      </c>
      <c r="W607" s="60">
        <f>IF(ISERROR(VLOOKUP($T$607,'TAR FIN'!$A$1:$O$104,15,0)),0,VLOOKUP($T$607,'TAR FIN'!$A$1:$O$104,15,0))</f>
        <v>0</v>
      </c>
      <c r="X607" s="60">
        <f>IF(ISERROR(VLOOKUP($U$607,'TAR FIN'!$A$1:$O$104,15,0)),0,VLOOKUP($U$607,'TAR FIN'!$A$1:$O$104,15,0))</f>
        <v>0</v>
      </c>
      <c r="Y607" s="60">
        <f ca="1">('TUSD BE'!$AM$24+'TUSD BF'!$AM$24+'TUSD CVA'!$AM$24)*1*(1-0.02)</f>
        <v>25.754560993400897</v>
      </c>
      <c r="Z607" s="60"/>
      <c r="AA607" s="60"/>
      <c r="AB607" s="60">
        <f>(SUBSIDIO!$J$607*SUBSIDIO!$V$607)*(0.04)/(1-0.04)</f>
        <v>213.95519999999999</v>
      </c>
      <c r="AC607" s="60">
        <f>((SUBSIDIO!$L$607*SUBSIDIO!$W$607)+(SUBSIDIO!$N$607*SUBSIDIO!$X$607))*(0.04)/(1-0.04)</f>
        <v>0</v>
      </c>
      <c r="AD607" s="60">
        <f ca="1">(SUBSIDIO!$J$607*SUBSIDIO!$Y$607)*(0.02)/(1-0.02)</f>
        <v>107.22307025824047</v>
      </c>
      <c r="AE607" s="60">
        <f>((SUBSIDIO!$L$607*SUBSIDIO!$Z$607)+(SUBSIDIO!$N$607*SUBSIDIO!$AA$607))*(0.02)/(1-0.02)</f>
        <v>0</v>
      </c>
      <c r="AF607" s="4" t="s">
        <v>998</v>
      </c>
    </row>
    <row r="608" spans="1:32" ht="11.25" customHeight="1" x14ac:dyDescent="0.25">
      <c r="A608" s="4" t="s">
        <v>21</v>
      </c>
      <c r="B608" s="4" t="s">
        <v>41</v>
      </c>
      <c r="C608" s="4" t="s">
        <v>42</v>
      </c>
      <c r="D608" s="4" t="s">
        <v>45</v>
      </c>
      <c r="E608" s="4" t="s">
        <v>25</v>
      </c>
      <c r="F608" s="4" t="s">
        <v>25</v>
      </c>
      <c r="G608" s="4" t="s">
        <v>25</v>
      </c>
      <c r="H608" s="4" t="s">
        <v>34</v>
      </c>
      <c r="I608" s="5">
        <v>44409</v>
      </c>
      <c r="J608" s="6">
        <v>0</v>
      </c>
      <c r="K608" s="60">
        <v>0</v>
      </c>
      <c r="L608" s="6">
        <v>62.174999999999997</v>
      </c>
      <c r="M608" s="60">
        <v>62.174999999999997</v>
      </c>
      <c r="N608" s="6">
        <v>62.174999999999997</v>
      </c>
      <c r="O608" s="60">
        <v>62.174999999999997</v>
      </c>
      <c r="P608" s="6">
        <v>0</v>
      </c>
      <c r="Q608" s="4" t="s">
        <v>26</v>
      </c>
      <c r="R608" s="4">
        <v>0</v>
      </c>
      <c r="S608" s="4">
        <v>0</v>
      </c>
      <c r="T608" s="4">
        <v>42</v>
      </c>
      <c r="U608" s="4">
        <v>66</v>
      </c>
      <c r="V608" s="60">
        <f>IF(ISERROR(VLOOKUP($S$608,'TAR FIN'!$A$1:$O$104,15,0)),0,VLOOKUP($S$608,'TAR FIN'!$A$1:$O$104,15,0))</f>
        <v>0</v>
      </c>
      <c r="W608" s="60">
        <f>IF(ISERROR(VLOOKUP($T$608,'TAR FIN'!$A$1:$O$104,15,0)),0,VLOOKUP($T$608,'TAR FIN'!$A$1:$O$104,15,0))*(1-0.04)</f>
        <v>1276.9824000000001</v>
      </c>
      <c r="X608" s="60">
        <f>IF(ISERROR(VLOOKUP($U$608,'TAR FIN'!$A$1:$O$104,15,0)),0,VLOOKUP($U$608,'TAR FIN'!$A$1:$O$104,15,0))*(1-0.04)</f>
        <v>381.71519999999998</v>
      </c>
      <c r="Y608" s="60"/>
      <c r="Z608" s="60">
        <f ca="1">('TUSD BE'!$AM$25+'TUSD BF'!$AM$25+'TUSD CVA'!$AM$25)*1*(1-0.02)</f>
        <v>1318.940588933358</v>
      </c>
      <c r="AA608" s="60">
        <f>('TE BE'!$AB$7+'TE BF'!$AB$7+'TE CVA'!$AB$7)*1*(1-0.02)</f>
        <v>353.05508603815775</v>
      </c>
      <c r="AB608" s="60">
        <f>(SUBSIDIO!$J$608*SUBSIDIO!$V$608)*(0.04)/(1-0.04)</f>
        <v>0</v>
      </c>
      <c r="AC608" s="60">
        <f>((SUBSIDIO!$L$608*SUBSIDIO!$W$608)+(SUBSIDIO!$N$608*SUBSIDIO!$X$608))*(0.04)/(1-0.04)</f>
        <v>4297.0634700000001</v>
      </c>
      <c r="AD608" s="60">
        <f>(SUBSIDIO!$J$608*SUBSIDIO!$Y$608)*(0.02)/(1-0.02)</f>
        <v>0</v>
      </c>
      <c r="AE608" s="60">
        <f ca="1">((SUBSIDIO!$L$608*SUBSIDIO!$Z$608)+(SUBSIDIO!$N$608*SUBSIDIO!$AA$608))*(0.02)/(1-0.02)</f>
        <v>2121.5577773745713</v>
      </c>
      <c r="AF608" s="4" t="s">
        <v>998</v>
      </c>
    </row>
    <row r="609" spans="1:32" ht="11.25" customHeight="1" x14ac:dyDescent="0.25">
      <c r="A609" s="4" t="s">
        <v>28</v>
      </c>
      <c r="B609" s="4" t="s">
        <v>41</v>
      </c>
      <c r="C609" s="4" t="s">
        <v>42</v>
      </c>
      <c r="D609" s="4" t="s">
        <v>45</v>
      </c>
      <c r="E609" s="4" t="s">
        <v>25</v>
      </c>
      <c r="F609" s="4" t="s">
        <v>25</v>
      </c>
      <c r="G609" s="4" t="s">
        <v>25</v>
      </c>
      <c r="H609" s="4" t="s">
        <v>34</v>
      </c>
      <c r="I609" s="5">
        <v>44409</v>
      </c>
      <c r="J609" s="6">
        <v>0</v>
      </c>
      <c r="K609" s="60">
        <v>0</v>
      </c>
      <c r="L609" s="6">
        <v>5.22</v>
      </c>
      <c r="M609" s="60">
        <v>5.22</v>
      </c>
      <c r="N609" s="6">
        <v>5.22</v>
      </c>
      <c r="O609" s="60">
        <v>5.22</v>
      </c>
      <c r="P609" s="6">
        <v>0</v>
      </c>
      <c r="Q609" s="4" t="s">
        <v>26</v>
      </c>
      <c r="R609" s="4">
        <v>0</v>
      </c>
      <c r="S609" s="4">
        <v>0</v>
      </c>
      <c r="T609" s="4">
        <v>42</v>
      </c>
      <c r="U609" s="4">
        <v>66</v>
      </c>
      <c r="V609" s="60">
        <f>IF(ISERROR(VLOOKUP($S$609,'TAR FIN'!$A$1:$O$104,15,0)),0,VLOOKUP($S$609,'TAR FIN'!$A$1:$O$104,15,0))</f>
        <v>0</v>
      </c>
      <c r="W609" s="60">
        <f>IF(ISERROR(VLOOKUP($T$609,'TAR FIN'!$A$1:$O$104,15,0)),0,VLOOKUP($T$609,'TAR FIN'!$A$1:$O$104,15,0))*(1-0.04)</f>
        <v>1276.9824000000001</v>
      </c>
      <c r="X609" s="60">
        <f>IF(ISERROR(VLOOKUP($U$609,'TAR FIN'!$A$1:$O$104,15,0)),0,VLOOKUP($U$609,'TAR FIN'!$A$1:$O$104,15,0))*(1-0.04)</f>
        <v>381.71519999999998</v>
      </c>
      <c r="Y609" s="60"/>
      <c r="Z609" s="60">
        <f ca="1">('TUSD BE'!$AM$25+'TUSD BF'!$AM$25+'TUSD CVA'!$AM$25)*1*(1-0.02)</f>
        <v>1318.940588933358</v>
      </c>
      <c r="AA609" s="60">
        <f>('TE BE'!$AB$7+'TE BF'!$AB$7+'TE CVA'!$AB$7)*1*(1-0.02)</f>
        <v>353.05508603815775</v>
      </c>
      <c r="AB609" s="60">
        <f>(SUBSIDIO!$J$609*SUBSIDIO!$V$609)*(0.04)/(1-0.04)</f>
        <v>0</v>
      </c>
      <c r="AC609" s="60">
        <f>((SUBSIDIO!$L$609*SUBSIDIO!$W$609)+(SUBSIDIO!$N$609*SUBSIDIO!$X$609))*(0.04)/(1-0.04)</f>
        <v>360.766728</v>
      </c>
      <c r="AD609" s="60">
        <f>(SUBSIDIO!$J$609*SUBSIDIO!$Y$609)*(0.02)/(1-0.02)</f>
        <v>0</v>
      </c>
      <c r="AE609" s="60">
        <f ca="1">((SUBSIDIO!$L$609*SUBSIDIO!$Z$609)+(SUBSIDIO!$N$609*SUBSIDIO!$AA$609))*(0.02)/(1-0.02)</f>
        <v>178.11872292553699</v>
      </c>
      <c r="AF609" s="4" t="s">
        <v>998</v>
      </c>
    </row>
    <row r="610" spans="1:32" ht="11.25" customHeight="1" x14ac:dyDescent="0.25">
      <c r="A610" s="4" t="s">
        <v>21</v>
      </c>
      <c r="B610" s="4" t="s">
        <v>41</v>
      </c>
      <c r="C610" s="4" t="s">
        <v>42</v>
      </c>
      <c r="D610" s="4" t="s">
        <v>45</v>
      </c>
      <c r="E610" s="4" t="s">
        <v>25</v>
      </c>
      <c r="F610" s="4" t="s">
        <v>25</v>
      </c>
      <c r="G610" s="4" t="s">
        <v>25</v>
      </c>
      <c r="H610" s="4" t="s">
        <v>34</v>
      </c>
      <c r="I610" s="5">
        <v>44440</v>
      </c>
      <c r="J610" s="6">
        <v>0</v>
      </c>
      <c r="K610" s="60">
        <v>0</v>
      </c>
      <c r="L610" s="6">
        <v>72.335999999999999</v>
      </c>
      <c r="M610" s="60">
        <v>72.335999999999999</v>
      </c>
      <c r="N610" s="6">
        <v>72.335999999999999</v>
      </c>
      <c r="O610" s="60">
        <v>72.335999999999999</v>
      </c>
      <c r="P610" s="6">
        <v>0</v>
      </c>
      <c r="Q610" s="4" t="s">
        <v>26</v>
      </c>
      <c r="R610" s="4">
        <v>0</v>
      </c>
      <c r="S610" s="4">
        <v>0</v>
      </c>
      <c r="T610" s="4">
        <v>42</v>
      </c>
      <c r="U610" s="4">
        <v>66</v>
      </c>
      <c r="V610" s="60">
        <f>IF(ISERROR(VLOOKUP($S$610,'TAR FIN'!$A$1:$O$104,15,0)),0,VLOOKUP($S$610,'TAR FIN'!$A$1:$O$104,15,0))</f>
        <v>0</v>
      </c>
      <c r="W610" s="60">
        <f>IF(ISERROR(VLOOKUP($T$610,'TAR FIN'!$A$1:$O$104,15,0)),0,VLOOKUP($T$610,'TAR FIN'!$A$1:$O$104,15,0))*(1-0.04)</f>
        <v>1276.9824000000001</v>
      </c>
      <c r="X610" s="60">
        <f>IF(ISERROR(VLOOKUP($U$610,'TAR FIN'!$A$1:$O$104,15,0)),0,VLOOKUP($U$610,'TAR FIN'!$A$1:$O$104,15,0))*(1-0.04)</f>
        <v>381.71519999999998</v>
      </c>
      <c r="Y610" s="60"/>
      <c r="Z610" s="60">
        <f ca="1">('TUSD BE'!$AM$25+'TUSD BF'!$AM$25+'TUSD CVA'!$AM$25)*1*(1-0.02)</f>
        <v>1318.940588933358</v>
      </c>
      <c r="AA610" s="60">
        <f>('TE BE'!$AB$7+'TE BF'!$AB$7+'TE CVA'!$AB$7)*1*(1-0.02)</f>
        <v>353.05508603815775</v>
      </c>
      <c r="AB610" s="60">
        <f>(SUBSIDIO!$J$610*SUBSIDIO!$V$610)*(0.04)/(1-0.04)</f>
        <v>0</v>
      </c>
      <c r="AC610" s="60">
        <f>((SUBSIDIO!$L$610*SUBSIDIO!$W$610)+(SUBSIDIO!$N$610*SUBSIDIO!$X$610))*(0.04)/(1-0.04)</f>
        <v>4999.3145664000003</v>
      </c>
      <c r="AD610" s="60">
        <f>(SUBSIDIO!$J$610*SUBSIDIO!$Y$610)*(0.02)/(1-0.02)</f>
        <v>0</v>
      </c>
      <c r="AE610" s="60">
        <f ca="1">((SUBSIDIO!$L$610*SUBSIDIO!$Z$610)+(SUBSIDIO!$N$610*SUBSIDIO!$AA$610))*(0.02)/(1-0.02)</f>
        <v>2468.2750845865216</v>
      </c>
      <c r="AF610" s="4" t="s">
        <v>998</v>
      </c>
    </row>
    <row r="611" spans="1:32" ht="11.25" customHeight="1" x14ac:dyDescent="0.25">
      <c r="A611" s="4" t="s">
        <v>28</v>
      </c>
      <c r="B611" s="4" t="s">
        <v>41</v>
      </c>
      <c r="C611" s="4" t="s">
        <v>42</v>
      </c>
      <c r="D611" s="4" t="s">
        <v>45</v>
      </c>
      <c r="E611" s="4" t="s">
        <v>25</v>
      </c>
      <c r="F611" s="4" t="s">
        <v>25</v>
      </c>
      <c r="G611" s="4" t="s">
        <v>25</v>
      </c>
      <c r="H611" s="4" t="s">
        <v>34</v>
      </c>
      <c r="I611" s="5">
        <v>44440</v>
      </c>
      <c r="J611" s="6">
        <v>0</v>
      </c>
      <c r="K611" s="60">
        <v>0</v>
      </c>
      <c r="L611" s="6">
        <v>5.0069999999999997</v>
      </c>
      <c r="M611" s="60">
        <v>5.0069999999999997</v>
      </c>
      <c r="N611" s="6">
        <v>5.0069999999999997</v>
      </c>
      <c r="O611" s="60">
        <v>5.0069999999999997</v>
      </c>
      <c r="P611" s="6">
        <v>0</v>
      </c>
      <c r="Q611" s="4" t="s">
        <v>26</v>
      </c>
      <c r="R611" s="4">
        <v>0</v>
      </c>
      <c r="S611" s="4">
        <v>0</v>
      </c>
      <c r="T611" s="4">
        <v>42</v>
      </c>
      <c r="U611" s="4">
        <v>66</v>
      </c>
      <c r="V611" s="60">
        <f>IF(ISERROR(VLOOKUP($S$611,'TAR FIN'!$A$1:$O$104,15,0)),0,VLOOKUP($S$611,'TAR FIN'!$A$1:$O$104,15,0))</f>
        <v>0</v>
      </c>
      <c r="W611" s="60">
        <f>IF(ISERROR(VLOOKUP($T$611,'TAR FIN'!$A$1:$O$104,15,0)),0,VLOOKUP($T$611,'TAR FIN'!$A$1:$O$104,15,0))*(1-0.04)</f>
        <v>1276.9824000000001</v>
      </c>
      <c r="X611" s="60">
        <f>IF(ISERROR(VLOOKUP($U$611,'TAR FIN'!$A$1:$O$104,15,0)),0,VLOOKUP($U$611,'TAR FIN'!$A$1:$O$104,15,0))*(1-0.04)</f>
        <v>381.71519999999998</v>
      </c>
      <c r="Y611" s="60"/>
      <c r="Z611" s="60">
        <f ca="1">('TUSD BE'!$AM$25+'TUSD BF'!$AM$25+'TUSD CVA'!$AM$25)*1*(1-0.02)</f>
        <v>1318.940588933358</v>
      </c>
      <c r="AA611" s="60">
        <f>('TE BE'!$AB$7+'TE BF'!$AB$7+'TE CVA'!$AB$7)*1*(1-0.02)</f>
        <v>353.05508603815775</v>
      </c>
      <c r="AB611" s="60">
        <f>(SUBSIDIO!$J$611*SUBSIDIO!$V$611)*(0.04)/(1-0.04)</f>
        <v>0</v>
      </c>
      <c r="AC611" s="60">
        <f>((SUBSIDIO!$L$611*SUBSIDIO!$W$611)+(SUBSIDIO!$N$611*SUBSIDIO!$X$611))*(0.04)/(1-0.04)</f>
        <v>346.04578680000003</v>
      </c>
      <c r="AD611" s="60">
        <f>(SUBSIDIO!$J$611*SUBSIDIO!$Y$611)*(0.02)/(1-0.02)</f>
        <v>0</v>
      </c>
      <c r="AE611" s="60">
        <f ca="1">((SUBSIDIO!$L$611*SUBSIDIO!$Z$611)+(SUBSIDIO!$N$611*SUBSIDIO!$AA$611))*(0.02)/(1-0.02)</f>
        <v>170.85066009351794</v>
      </c>
      <c r="AF611" s="4" t="s">
        <v>998</v>
      </c>
    </row>
    <row r="612" spans="1:32" ht="11.25" customHeight="1" x14ac:dyDescent="0.25">
      <c r="A612" s="4" t="s">
        <v>21</v>
      </c>
      <c r="B612" s="4" t="s">
        <v>41</v>
      </c>
      <c r="C612" s="4" t="s">
        <v>42</v>
      </c>
      <c r="D612" s="4" t="s">
        <v>45</v>
      </c>
      <c r="E612" s="4" t="s">
        <v>25</v>
      </c>
      <c r="F612" s="4" t="s">
        <v>25</v>
      </c>
      <c r="G612" s="4" t="s">
        <v>25</v>
      </c>
      <c r="H612" s="4" t="s">
        <v>34</v>
      </c>
      <c r="I612" s="5">
        <v>44470</v>
      </c>
      <c r="J612" s="6">
        <v>0</v>
      </c>
      <c r="K612" s="60">
        <v>0</v>
      </c>
      <c r="L612" s="6">
        <v>36.887</v>
      </c>
      <c r="M612" s="60">
        <v>36.887</v>
      </c>
      <c r="N612" s="6">
        <v>36.887</v>
      </c>
      <c r="O612" s="60">
        <v>36.887</v>
      </c>
      <c r="P612" s="6">
        <v>0</v>
      </c>
      <c r="Q612" s="4" t="s">
        <v>26</v>
      </c>
      <c r="R612" s="4">
        <v>0</v>
      </c>
      <c r="S612" s="4">
        <v>0</v>
      </c>
      <c r="T612" s="4">
        <v>42</v>
      </c>
      <c r="U612" s="4">
        <v>66</v>
      </c>
      <c r="V612" s="60">
        <f>IF(ISERROR(VLOOKUP($S$612,'TAR FIN'!$A$1:$O$104,15,0)),0,VLOOKUP($S$612,'TAR FIN'!$A$1:$O$104,15,0))</f>
        <v>0</v>
      </c>
      <c r="W612" s="60">
        <f>IF(ISERROR(VLOOKUP($T$612,'TAR FIN'!$A$1:$O$104,15,0)),0,VLOOKUP($T$612,'TAR FIN'!$A$1:$O$104,15,0))*(1-0.04)</f>
        <v>1276.9824000000001</v>
      </c>
      <c r="X612" s="60">
        <f>IF(ISERROR(VLOOKUP($U$612,'TAR FIN'!$A$1:$O$104,15,0)),0,VLOOKUP($U$612,'TAR FIN'!$A$1:$O$104,15,0))*(1-0.04)</f>
        <v>381.71519999999998</v>
      </c>
      <c r="Y612" s="60"/>
      <c r="Z612" s="60">
        <f ca="1">('TUSD BE'!$AM$25+'TUSD BF'!$AM$25+'TUSD CVA'!$AM$25)*1*(1-0.02)</f>
        <v>1318.940588933358</v>
      </c>
      <c r="AA612" s="60">
        <f>('TE BE'!$AB$7+'TE BF'!$AB$7+'TE CVA'!$AB$7)*1*(1-0.02)</f>
        <v>353.05508603815775</v>
      </c>
      <c r="AB612" s="60">
        <f>(SUBSIDIO!$J$612*SUBSIDIO!$V$612)*(0.04)/(1-0.04)</f>
        <v>0</v>
      </c>
      <c r="AC612" s="60">
        <f>((SUBSIDIO!$L$612*SUBSIDIO!$W$612)+(SUBSIDIO!$N$612*SUBSIDIO!$X$612))*(0.04)/(1-0.04)</f>
        <v>2549.3490988000003</v>
      </c>
      <c r="AD612" s="60">
        <f>(SUBSIDIO!$J$612*SUBSIDIO!$Y$612)*(0.02)/(1-0.02)</f>
        <v>0</v>
      </c>
      <c r="AE612" s="60">
        <f ca="1">((SUBSIDIO!$L$612*SUBSIDIO!$Z$612)+(SUBSIDIO!$N$612*SUBSIDIO!$AA$612))*(0.02)/(1-0.02)</f>
        <v>1258.6715196464143</v>
      </c>
      <c r="AF612" s="4" t="s">
        <v>998</v>
      </c>
    </row>
    <row r="613" spans="1:32" ht="11.25" customHeight="1" x14ac:dyDescent="0.25">
      <c r="A613" s="4" t="s">
        <v>28</v>
      </c>
      <c r="B613" s="4" t="s">
        <v>41</v>
      </c>
      <c r="C613" s="4" t="s">
        <v>42</v>
      </c>
      <c r="D613" s="4" t="s">
        <v>45</v>
      </c>
      <c r="E613" s="4" t="s">
        <v>25</v>
      </c>
      <c r="F613" s="4" t="s">
        <v>25</v>
      </c>
      <c r="G613" s="4" t="s">
        <v>25</v>
      </c>
      <c r="H613" s="4" t="s">
        <v>34</v>
      </c>
      <c r="I613" s="5">
        <v>44470</v>
      </c>
      <c r="J613" s="6">
        <v>0</v>
      </c>
      <c r="K613" s="60">
        <v>0</v>
      </c>
      <c r="L613" s="6">
        <v>5.41</v>
      </c>
      <c r="M613" s="60">
        <v>5.41</v>
      </c>
      <c r="N613" s="6">
        <v>5.41</v>
      </c>
      <c r="O613" s="60">
        <v>5.41</v>
      </c>
      <c r="P613" s="6">
        <v>0</v>
      </c>
      <c r="Q613" s="4" t="s">
        <v>26</v>
      </c>
      <c r="R613" s="4">
        <v>0</v>
      </c>
      <c r="S613" s="4">
        <v>0</v>
      </c>
      <c r="T613" s="4">
        <v>42</v>
      </c>
      <c r="U613" s="4">
        <v>66</v>
      </c>
      <c r="V613" s="60">
        <f>IF(ISERROR(VLOOKUP($S$613,'TAR FIN'!$A$1:$O$104,15,0)),0,VLOOKUP($S$613,'TAR FIN'!$A$1:$O$104,15,0))</f>
        <v>0</v>
      </c>
      <c r="W613" s="60">
        <f>IF(ISERROR(VLOOKUP($T$613,'TAR FIN'!$A$1:$O$104,15,0)),0,VLOOKUP($T$613,'TAR FIN'!$A$1:$O$104,15,0))*(1-0.04)</f>
        <v>1276.9824000000001</v>
      </c>
      <c r="X613" s="60">
        <f>IF(ISERROR(VLOOKUP($U$613,'TAR FIN'!$A$1:$O$104,15,0)),0,VLOOKUP($U$613,'TAR FIN'!$A$1:$O$104,15,0))*(1-0.04)</f>
        <v>381.71519999999998</v>
      </c>
      <c r="Y613" s="60"/>
      <c r="Z613" s="60">
        <f ca="1">('TUSD BE'!$AM$25+'TUSD BF'!$AM$25+'TUSD CVA'!$AM$25)*1*(1-0.02)</f>
        <v>1318.940588933358</v>
      </c>
      <c r="AA613" s="60">
        <f>('TE BE'!$AB$7+'TE BF'!$AB$7+'TE CVA'!$AB$7)*1*(1-0.02)</f>
        <v>353.05508603815775</v>
      </c>
      <c r="AB613" s="60">
        <f>(SUBSIDIO!$J$613*SUBSIDIO!$V$613)*(0.04)/(1-0.04)</f>
        <v>0</v>
      </c>
      <c r="AC613" s="60">
        <f>((SUBSIDIO!$L$613*SUBSIDIO!$W$613)+(SUBSIDIO!$N$613*SUBSIDIO!$X$613))*(0.04)/(1-0.04)</f>
        <v>373.8980840000001</v>
      </c>
      <c r="AD613" s="60">
        <f>(SUBSIDIO!$J$613*SUBSIDIO!$Y$613)*(0.02)/(1-0.02)</f>
        <v>0</v>
      </c>
      <c r="AE613" s="60">
        <f ca="1">((SUBSIDIO!$L$613*SUBSIDIO!$Z$613)+(SUBSIDIO!$N$613*SUBSIDIO!$AA$613))*(0.02)/(1-0.02)</f>
        <v>184.60197146114083</v>
      </c>
      <c r="AF613" s="4" t="s">
        <v>998</v>
      </c>
    </row>
    <row r="614" spans="1:32" ht="11.25" customHeight="1" x14ac:dyDescent="0.25">
      <c r="A614" s="4" t="s">
        <v>21</v>
      </c>
      <c r="B614" s="4" t="s">
        <v>41</v>
      </c>
      <c r="C614" s="4" t="s">
        <v>42</v>
      </c>
      <c r="D614" s="4" t="s">
        <v>45</v>
      </c>
      <c r="E614" s="4" t="s">
        <v>25</v>
      </c>
      <c r="F614" s="4" t="s">
        <v>25</v>
      </c>
      <c r="G614" s="4" t="s">
        <v>25</v>
      </c>
      <c r="H614" s="4" t="s">
        <v>34</v>
      </c>
      <c r="I614" s="5">
        <v>44501</v>
      </c>
      <c r="J614" s="6">
        <v>0</v>
      </c>
      <c r="K614" s="60">
        <v>0</v>
      </c>
      <c r="L614" s="6">
        <v>29.646000000000001</v>
      </c>
      <c r="M614" s="60">
        <v>29.646000000000001</v>
      </c>
      <c r="N614" s="6">
        <v>29.646000000000001</v>
      </c>
      <c r="O614" s="60">
        <v>29.646000000000001</v>
      </c>
      <c r="P614" s="6">
        <v>0</v>
      </c>
      <c r="Q614" s="4" t="s">
        <v>26</v>
      </c>
      <c r="R614" s="4">
        <v>0</v>
      </c>
      <c r="S614" s="4">
        <v>0</v>
      </c>
      <c r="T614" s="4">
        <v>42</v>
      </c>
      <c r="U614" s="4">
        <v>66</v>
      </c>
      <c r="V614" s="60">
        <f>IF(ISERROR(VLOOKUP($S$614,'TAR FIN'!$A$1:$O$104,15,0)),0,VLOOKUP($S$614,'TAR FIN'!$A$1:$O$104,15,0))</f>
        <v>0</v>
      </c>
      <c r="W614" s="60">
        <f>IF(ISERROR(VLOOKUP($T$614,'TAR FIN'!$A$1:$O$104,15,0)),0,VLOOKUP($T$614,'TAR FIN'!$A$1:$O$104,15,0))*(1-0.04)</f>
        <v>1276.9824000000001</v>
      </c>
      <c r="X614" s="60">
        <f>IF(ISERROR(VLOOKUP($U$614,'TAR FIN'!$A$1:$O$104,15,0)),0,VLOOKUP($U$614,'TAR FIN'!$A$1:$O$104,15,0))*(1-0.04)</f>
        <v>381.71519999999998</v>
      </c>
      <c r="Y614" s="60"/>
      <c r="Z614" s="60">
        <f ca="1">('TUSD BE'!$AM$25+'TUSD BF'!$AM$25+'TUSD CVA'!$AM$25)*1*(1-0.02)</f>
        <v>1318.940588933358</v>
      </c>
      <c r="AA614" s="60">
        <f>('TE BE'!$AB$7+'TE BF'!$AB$7+'TE CVA'!$AB$7)*1*(1-0.02)</f>
        <v>353.05508603815775</v>
      </c>
      <c r="AB614" s="60">
        <f>(SUBSIDIO!$J$614*SUBSIDIO!$V$614)*(0.04)/(1-0.04)</f>
        <v>0</v>
      </c>
      <c r="AC614" s="60">
        <f>((SUBSIDIO!$L$614*SUBSIDIO!$W$614)+(SUBSIDIO!$N$614*SUBSIDIO!$X$614))*(0.04)/(1-0.04)</f>
        <v>2048.9062104000004</v>
      </c>
      <c r="AD614" s="60">
        <f>(SUBSIDIO!$J$614*SUBSIDIO!$Y$614)*(0.02)/(1-0.02)</f>
        <v>0</v>
      </c>
      <c r="AE614" s="60">
        <f ca="1">((SUBSIDIO!$L$614*SUBSIDIO!$Z$614)+(SUBSIDIO!$N$614*SUBSIDIO!$AA$614))*(0.02)/(1-0.02)</f>
        <v>1011.5915057184807</v>
      </c>
      <c r="AF614" s="4" t="s">
        <v>998</v>
      </c>
    </row>
    <row r="615" spans="1:32" ht="11.25" customHeight="1" x14ac:dyDescent="0.25">
      <c r="A615" s="4" t="s">
        <v>28</v>
      </c>
      <c r="B615" s="4" t="s">
        <v>41</v>
      </c>
      <c r="C615" s="4" t="s">
        <v>42</v>
      </c>
      <c r="D615" s="4" t="s">
        <v>45</v>
      </c>
      <c r="E615" s="4" t="s">
        <v>25</v>
      </c>
      <c r="F615" s="4" t="s">
        <v>25</v>
      </c>
      <c r="G615" s="4" t="s">
        <v>25</v>
      </c>
      <c r="H615" s="4" t="s">
        <v>34</v>
      </c>
      <c r="I615" s="5">
        <v>44501</v>
      </c>
      <c r="J615" s="6">
        <v>0</v>
      </c>
      <c r="K615" s="60">
        <v>0</v>
      </c>
      <c r="L615" s="6">
        <v>5.5730000000000004</v>
      </c>
      <c r="M615" s="60">
        <v>5.5730000000000004</v>
      </c>
      <c r="N615" s="6">
        <v>5.5730000000000004</v>
      </c>
      <c r="O615" s="60">
        <v>5.5730000000000004</v>
      </c>
      <c r="P615" s="6">
        <v>0</v>
      </c>
      <c r="Q615" s="4" t="s">
        <v>26</v>
      </c>
      <c r="R615" s="4">
        <v>0</v>
      </c>
      <c r="S615" s="4">
        <v>0</v>
      </c>
      <c r="T615" s="4">
        <v>42</v>
      </c>
      <c r="U615" s="4">
        <v>66</v>
      </c>
      <c r="V615" s="60">
        <f>IF(ISERROR(VLOOKUP($S$615,'TAR FIN'!$A$1:$O$104,15,0)),0,VLOOKUP($S$615,'TAR FIN'!$A$1:$O$104,15,0))</f>
        <v>0</v>
      </c>
      <c r="W615" s="60">
        <f>IF(ISERROR(VLOOKUP($T$615,'TAR FIN'!$A$1:$O$104,15,0)),0,VLOOKUP($T$615,'TAR FIN'!$A$1:$O$104,15,0))*(1-0.04)</f>
        <v>1276.9824000000001</v>
      </c>
      <c r="X615" s="60">
        <f>IF(ISERROR(VLOOKUP($U$615,'TAR FIN'!$A$1:$O$104,15,0)),0,VLOOKUP($U$615,'TAR FIN'!$A$1:$O$104,15,0))*(1-0.04)</f>
        <v>381.71519999999998</v>
      </c>
      <c r="Y615" s="60"/>
      <c r="Z615" s="60">
        <f ca="1">('TUSD BE'!$AM$25+'TUSD BF'!$AM$25+'TUSD CVA'!$AM$25)*1*(1-0.02)</f>
        <v>1318.940588933358</v>
      </c>
      <c r="AA615" s="60">
        <f>('TE BE'!$AB$7+'TE BF'!$AB$7+'TE CVA'!$AB$7)*1*(1-0.02)</f>
        <v>353.05508603815775</v>
      </c>
      <c r="AB615" s="60">
        <f>(SUBSIDIO!$J$615*SUBSIDIO!$V$615)*(0.04)/(1-0.04)</f>
        <v>0</v>
      </c>
      <c r="AC615" s="60">
        <f>((SUBSIDIO!$L$615*SUBSIDIO!$W$615)+(SUBSIDIO!$N$615*SUBSIDIO!$X$615))*(0.04)/(1-0.04)</f>
        <v>385.16340520000011</v>
      </c>
      <c r="AD615" s="60">
        <f>(SUBSIDIO!$J$615*SUBSIDIO!$Y$615)*(0.02)/(1-0.02)</f>
        <v>0</v>
      </c>
      <c r="AE615" s="60">
        <f ca="1">((SUBSIDIO!$L$615*SUBSIDIO!$Z$615)+(SUBSIDIO!$N$615*SUBSIDIO!$AA$615))*(0.02)/(1-0.02)</f>
        <v>190.16391625747465</v>
      </c>
      <c r="AF615" s="4" t="s">
        <v>998</v>
      </c>
    </row>
    <row r="616" spans="1:32" ht="11.25" customHeight="1" x14ac:dyDescent="0.25">
      <c r="A616" s="4" t="s">
        <v>28</v>
      </c>
      <c r="B616" s="4" t="s">
        <v>41</v>
      </c>
      <c r="C616" s="4" t="s">
        <v>42</v>
      </c>
      <c r="D616" s="4" t="s">
        <v>45</v>
      </c>
      <c r="E616" s="4" t="s">
        <v>25</v>
      </c>
      <c r="F616" s="4" t="s">
        <v>25</v>
      </c>
      <c r="G616" s="4" t="s">
        <v>25</v>
      </c>
      <c r="H616" s="4" t="s">
        <v>34</v>
      </c>
      <c r="I616" s="5">
        <v>44501</v>
      </c>
      <c r="J616" s="6">
        <v>0</v>
      </c>
      <c r="K616" s="60">
        <v>0</v>
      </c>
      <c r="L616" s="6">
        <v>-0.32800000000000001</v>
      </c>
      <c r="M616" s="60">
        <v>-0.32800000000000001</v>
      </c>
      <c r="N616" s="6">
        <v>-0.32800000000000001</v>
      </c>
      <c r="O616" s="60">
        <v>-0.32800000000000001</v>
      </c>
      <c r="P616" s="6">
        <v>0</v>
      </c>
      <c r="Q616" s="4" t="s">
        <v>26</v>
      </c>
      <c r="R616" s="4">
        <v>0</v>
      </c>
      <c r="S616" s="4">
        <v>0</v>
      </c>
      <c r="T616" s="4">
        <v>42</v>
      </c>
      <c r="U616" s="4">
        <v>66</v>
      </c>
      <c r="V616" s="60">
        <f>IF(ISERROR(VLOOKUP($S$616,'TAR FIN'!$A$1:$O$104,15,0)),0,VLOOKUP($S$616,'TAR FIN'!$A$1:$O$104,15,0))</f>
        <v>0</v>
      </c>
      <c r="W616" s="60">
        <f>IF(ISERROR(VLOOKUP($T$616,'TAR FIN'!$A$1:$O$104,15,0)),0,VLOOKUP($T$616,'TAR FIN'!$A$1:$O$104,15,0))*(1-0.04)</f>
        <v>1276.9824000000001</v>
      </c>
      <c r="X616" s="60">
        <f>IF(ISERROR(VLOOKUP($U$616,'TAR FIN'!$A$1:$O$104,15,0)),0,VLOOKUP($U$616,'TAR FIN'!$A$1:$O$104,15,0))*(1-0.04)</f>
        <v>381.71519999999998</v>
      </c>
      <c r="Y616" s="60"/>
      <c r="Z616" s="60">
        <f ca="1">('TUSD BE'!$AM$25+'TUSD BF'!$AM$25+'TUSD CVA'!$AM$25)*1*(1-0.02)</f>
        <v>1318.940588933358</v>
      </c>
      <c r="AA616" s="60">
        <f>('TE BE'!$AB$7+'TE BF'!$AB$7+'TE CVA'!$AB$7)*1*(1-0.02)</f>
        <v>353.05508603815775</v>
      </c>
      <c r="AB616" s="60">
        <f>(SUBSIDIO!$J$616*SUBSIDIO!$V$616)*(0.04)/(1-0.04)</f>
        <v>0</v>
      </c>
      <c r="AC616" s="60">
        <f>((SUBSIDIO!$L$616*SUBSIDIO!$W$616)+(SUBSIDIO!$N$616*SUBSIDIO!$X$616))*(0.04)/(1-0.04)</f>
        <v>-22.668867200000005</v>
      </c>
      <c r="AD616" s="60">
        <f>(SUBSIDIO!$J$616*SUBSIDIO!$Y$616)*(0.02)/(1-0.02)</f>
        <v>0</v>
      </c>
      <c r="AE616" s="60">
        <f ca="1">((SUBSIDIO!$L$616*SUBSIDIO!$Z$616)+(SUBSIDIO!$N$616*SUBSIDIO!$AA$616))*(0.02)/(1-0.02)</f>
        <v>-11.192134314095046</v>
      </c>
      <c r="AF616" s="4" t="s">
        <v>998</v>
      </c>
    </row>
    <row r="617" spans="1:32" ht="11.25" customHeight="1" x14ac:dyDescent="0.25">
      <c r="A617" s="4" t="s">
        <v>21</v>
      </c>
      <c r="B617" s="4" t="s">
        <v>41</v>
      </c>
      <c r="C617" s="4" t="s">
        <v>42</v>
      </c>
      <c r="D617" s="4" t="s">
        <v>45</v>
      </c>
      <c r="E617" s="4" t="s">
        <v>25</v>
      </c>
      <c r="F617" s="4" t="s">
        <v>25</v>
      </c>
      <c r="G617" s="4" t="s">
        <v>25</v>
      </c>
      <c r="H617" s="4" t="s">
        <v>34</v>
      </c>
      <c r="I617" s="5">
        <v>44531</v>
      </c>
      <c r="J617" s="6">
        <v>0</v>
      </c>
      <c r="K617" s="60">
        <v>0</v>
      </c>
      <c r="L617" s="6">
        <v>51.064999999999998</v>
      </c>
      <c r="M617" s="60">
        <v>51.064999999999998</v>
      </c>
      <c r="N617" s="6">
        <v>51.064999999999998</v>
      </c>
      <c r="O617" s="60">
        <v>51.064999999999998</v>
      </c>
      <c r="P617" s="6">
        <v>0</v>
      </c>
      <c r="Q617" s="4" t="s">
        <v>26</v>
      </c>
      <c r="R617" s="4">
        <v>0</v>
      </c>
      <c r="S617" s="4">
        <v>0</v>
      </c>
      <c r="T617" s="4">
        <v>42</v>
      </c>
      <c r="U617" s="4">
        <v>66</v>
      </c>
      <c r="V617" s="60">
        <f>IF(ISERROR(VLOOKUP($S$617,'TAR FIN'!$A$1:$O$104,15,0)),0,VLOOKUP($S$617,'TAR FIN'!$A$1:$O$104,15,0))</f>
        <v>0</v>
      </c>
      <c r="W617" s="60">
        <f>IF(ISERROR(VLOOKUP($T$617,'TAR FIN'!$A$1:$O$104,15,0)),0,VLOOKUP($T$617,'TAR FIN'!$A$1:$O$104,15,0))*(1-0.04)</f>
        <v>1276.9824000000001</v>
      </c>
      <c r="X617" s="60">
        <f>IF(ISERROR(VLOOKUP($U$617,'TAR FIN'!$A$1:$O$104,15,0)),0,VLOOKUP($U$617,'TAR FIN'!$A$1:$O$104,15,0))*(1-0.04)</f>
        <v>381.71519999999998</v>
      </c>
      <c r="Y617" s="60"/>
      <c r="Z617" s="60">
        <f ca="1">('TUSD BE'!$AM$25+'TUSD BF'!$AM$25+'TUSD CVA'!$AM$25)*1*(1-0.02)</f>
        <v>1318.940588933358</v>
      </c>
      <c r="AA617" s="60">
        <f>('TE BE'!$AB$7+'TE BF'!$AB$7+'TE CVA'!$AB$7)*1*(1-0.02)</f>
        <v>353.05508603815775</v>
      </c>
      <c r="AB617" s="60">
        <f>(SUBSIDIO!$J$617*SUBSIDIO!$V$617)*(0.04)/(1-0.04)</f>
        <v>0</v>
      </c>
      <c r="AC617" s="60">
        <f>((SUBSIDIO!$L$617*SUBSIDIO!$W$617)+(SUBSIDIO!$N$617*SUBSIDIO!$X$617))*(0.04)/(1-0.04)</f>
        <v>3529.224706</v>
      </c>
      <c r="AD617" s="60">
        <f>(SUBSIDIO!$J$617*SUBSIDIO!$Y$617)*(0.02)/(1-0.02)</f>
        <v>0</v>
      </c>
      <c r="AE617" s="60">
        <f ca="1">((SUBSIDIO!$L$617*SUBSIDIO!$Z$617)+(SUBSIDIO!$N$617*SUBSIDIO!$AA$617))*(0.02)/(1-0.02)</f>
        <v>1742.4583498453155</v>
      </c>
      <c r="AF617" s="4" t="s">
        <v>998</v>
      </c>
    </row>
    <row r="618" spans="1:32" ht="11.25" customHeight="1" x14ac:dyDescent="0.25">
      <c r="A618" s="4" t="s">
        <v>28</v>
      </c>
      <c r="B618" s="4" t="s">
        <v>41</v>
      </c>
      <c r="C618" s="4" t="s">
        <v>42</v>
      </c>
      <c r="D618" s="4" t="s">
        <v>45</v>
      </c>
      <c r="E618" s="4" t="s">
        <v>25</v>
      </c>
      <c r="F618" s="4" t="s">
        <v>25</v>
      </c>
      <c r="G618" s="4" t="s">
        <v>25</v>
      </c>
      <c r="H618" s="4" t="s">
        <v>34</v>
      </c>
      <c r="I618" s="5">
        <v>44531</v>
      </c>
      <c r="J618" s="6">
        <v>0</v>
      </c>
      <c r="K618" s="60">
        <v>0</v>
      </c>
      <c r="L618" s="6">
        <v>5.8719999999999999</v>
      </c>
      <c r="M618" s="60">
        <v>5.8719999999999999</v>
      </c>
      <c r="N618" s="6">
        <v>5.8719999999999999</v>
      </c>
      <c r="O618" s="60">
        <v>5.8719999999999999</v>
      </c>
      <c r="P618" s="6">
        <v>0</v>
      </c>
      <c r="Q618" s="4" t="s">
        <v>26</v>
      </c>
      <c r="R618" s="4">
        <v>0</v>
      </c>
      <c r="S618" s="4">
        <v>0</v>
      </c>
      <c r="T618" s="4">
        <v>42</v>
      </c>
      <c r="U618" s="4">
        <v>66</v>
      </c>
      <c r="V618" s="60">
        <f>IF(ISERROR(VLOOKUP($S$618,'TAR FIN'!$A$1:$O$104,15,0)),0,VLOOKUP($S$618,'TAR FIN'!$A$1:$O$104,15,0))</f>
        <v>0</v>
      </c>
      <c r="W618" s="60">
        <f>IF(ISERROR(VLOOKUP($T$618,'TAR FIN'!$A$1:$O$104,15,0)),0,VLOOKUP($T$618,'TAR FIN'!$A$1:$O$104,15,0))*(1-0.04)</f>
        <v>1276.9824000000001</v>
      </c>
      <c r="X618" s="60">
        <f>IF(ISERROR(VLOOKUP($U$618,'TAR FIN'!$A$1:$O$104,15,0)),0,VLOOKUP($U$618,'TAR FIN'!$A$1:$O$104,15,0))*(1-0.04)</f>
        <v>381.71519999999998</v>
      </c>
      <c r="Y618" s="60"/>
      <c r="Z618" s="60">
        <f ca="1">('TUSD BE'!$AM$25+'TUSD BF'!$AM$25+'TUSD CVA'!$AM$25)*1*(1-0.02)</f>
        <v>1318.940588933358</v>
      </c>
      <c r="AA618" s="60">
        <f>('TE BE'!$AB$7+'TE BF'!$AB$7+'TE CVA'!$AB$7)*1*(1-0.02)</f>
        <v>353.05508603815775</v>
      </c>
      <c r="AB618" s="60">
        <f>(SUBSIDIO!$J$618*SUBSIDIO!$V$618)*(0.04)/(1-0.04)</f>
        <v>0</v>
      </c>
      <c r="AC618" s="60">
        <f>((SUBSIDIO!$L$618*SUBSIDIO!$W$618)+(SUBSIDIO!$N$618*SUBSIDIO!$X$618))*(0.04)/(1-0.04)</f>
        <v>405.82801280000007</v>
      </c>
      <c r="AD618" s="60">
        <f>(SUBSIDIO!$J$618*SUBSIDIO!$Y$618)*(0.02)/(1-0.02)</f>
        <v>0</v>
      </c>
      <c r="AE618" s="60">
        <f ca="1">((SUBSIDIO!$L$618*SUBSIDIO!$Z$618)+(SUBSIDIO!$N$618*SUBSIDIO!$AA$618))*(0.02)/(1-0.02)</f>
        <v>200.36650211087226</v>
      </c>
      <c r="AF618" s="4" t="s">
        <v>998</v>
      </c>
    </row>
    <row r="619" spans="1:32" ht="11.25" customHeight="1" x14ac:dyDescent="0.25">
      <c r="A619" s="4" t="s">
        <v>21</v>
      </c>
      <c r="B619" s="4" t="s">
        <v>41</v>
      </c>
      <c r="C619" s="4" t="s">
        <v>42</v>
      </c>
      <c r="D619" s="4" t="s">
        <v>45</v>
      </c>
      <c r="E619" s="4" t="s">
        <v>25</v>
      </c>
      <c r="F619" s="4" t="s">
        <v>25</v>
      </c>
      <c r="G619" s="4" t="s">
        <v>25</v>
      </c>
      <c r="H619" s="4" t="s">
        <v>34</v>
      </c>
      <c r="I619" s="5">
        <v>44562</v>
      </c>
      <c r="J619" s="6">
        <v>0</v>
      </c>
      <c r="K619" s="60">
        <v>0</v>
      </c>
      <c r="L619" s="6">
        <v>43.834000000000003</v>
      </c>
      <c r="M619" s="60">
        <v>43.834000000000003</v>
      </c>
      <c r="N619" s="6">
        <v>43.834000000000003</v>
      </c>
      <c r="O619" s="60">
        <v>43.834000000000003</v>
      </c>
      <c r="P619" s="6">
        <v>0</v>
      </c>
      <c r="Q619" s="4" t="s">
        <v>26</v>
      </c>
      <c r="R619" s="4">
        <v>0</v>
      </c>
      <c r="S619" s="4">
        <v>0</v>
      </c>
      <c r="T619" s="4">
        <v>42</v>
      </c>
      <c r="U619" s="4">
        <v>66</v>
      </c>
      <c r="V619" s="60">
        <f>IF(ISERROR(VLOOKUP($S$619,'TAR FIN'!$A$1:$O$104,15,0)),0,VLOOKUP($S$619,'TAR FIN'!$A$1:$O$104,15,0))</f>
        <v>0</v>
      </c>
      <c r="W619" s="60">
        <f>IF(ISERROR(VLOOKUP($T$619,'TAR FIN'!$A$1:$O$104,15,0)),0,VLOOKUP($T$619,'TAR FIN'!$A$1:$O$104,15,0))*(1-0.04)</f>
        <v>1276.9824000000001</v>
      </c>
      <c r="X619" s="60">
        <f>IF(ISERROR(VLOOKUP($U$619,'TAR FIN'!$A$1:$O$104,15,0)),0,VLOOKUP($U$619,'TAR FIN'!$A$1:$O$104,15,0))*(1-0.04)</f>
        <v>381.71519999999998</v>
      </c>
      <c r="Y619" s="60"/>
      <c r="Z619" s="60">
        <f ca="1">('TUSD BE'!$AM$25+'TUSD BF'!$AM$25+'TUSD CVA'!$AM$25)*1*(1-0.02)</f>
        <v>1318.940588933358</v>
      </c>
      <c r="AA619" s="60">
        <f>('TE BE'!$AB$7+'TE BF'!$AB$7+'TE CVA'!$AB$7)*1*(1-0.02)</f>
        <v>353.05508603815775</v>
      </c>
      <c r="AB619" s="60">
        <f>(SUBSIDIO!$J$619*SUBSIDIO!$V$619)*(0.04)/(1-0.04)</f>
        <v>0</v>
      </c>
      <c r="AC619" s="60">
        <f>((SUBSIDIO!$L$619*SUBSIDIO!$W$619)+(SUBSIDIO!$N$619*SUBSIDIO!$X$619))*(0.04)/(1-0.04)</f>
        <v>3029.4729416000005</v>
      </c>
      <c r="AD619" s="60">
        <f>(SUBSIDIO!$J$619*SUBSIDIO!$Y$619)*(0.02)/(1-0.02)</f>
        <v>0</v>
      </c>
      <c r="AE619" s="60">
        <f ca="1">((SUBSIDIO!$L$619*SUBSIDIO!$Z$619)+(SUBSIDIO!$N$619*SUBSIDIO!$AA$619))*(0.02)/(1-0.02)</f>
        <v>1495.7195595245191</v>
      </c>
      <c r="AF619" s="4" t="s">
        <v>998</v>
      </c>
    </row>
    <row r="620" spans="1:32" ht="11.25" customHeight="1" x14ac:dyDescent="0.25">
      <c r="A620" s="4" t="s">
        <v>28</v>
      </c>
      <c r="B620" s="4" t="s">
        <v>41</v>
      </c>
      <c r="C620" s="4" t="s">
        <v>42</v>
      </c>
      <c r="D620" s="4" t="s">
        <v>45</v>
      </c>
      <c r="E620" s="4" t="s">
        <v>25</v>
      </c>
      <c r="F620" s="4" t="s">
        <v>25</v>
      </c>
      <c r="G620" s="4" t="s">
        <v>25</v>
      </c>
      <c r="H620" s="4" t="s">
        <v>34</v>
      </c>
      <c r="I620" s="5">
        <v>44562</v>
      </c>
      <c r="J620" s="6">
        <v>0</v>
      </c>
      <c r="K620" s="60">
        <v>0</v>
      </c>
      <c r="L620" s="6">
        <v>5.3609999999999998</v>
      </c>
      <c r="M620" s="60">
        <v>5.3609999999999998</v>
      </c>
      <c r="N620" s="6">
        <v>5.3609999999999998</v>
      </c>
      <c r="O620" s="60">
        <v>5.3609999999999998</v>
      </c>
      <c r="P620" s="6">
        <v>0</v>
      </c>
      <c r="Q620" s="4" t="s">
        <v>26</v>
      </c>
      <c r="R620" s="4">
        <v>0</v>
      </c>
      <c r="S620" s="4">
        <v>0</v>
      </c>
      <c r="T620" s="4">
        <v>42</v>
      </c>
      <c r="U620" s="4">
        <v>66</v>
      </c>
      <c r="V620" s="60">
        <f>IF(ISERROR(VLOOKUP($S$620,'TAR FIN'!$A$1:$O$104,15,0)),0,VLOOKUP($S$620,'TAR FIN'!$A$1:$O$104,15,0))</f>
        <v>0</v>
      </c>
      <c r="W620" s="60">
        <f>IF(ISERROR(VLOOKUP($T$620,'TAR FIN'!$A$1:$O$104,15,0)),0,VLOOKUP($T$620,'TAR FIN'!$A$1:$O$104,15,0))*(1-0.04)</f>
        <v>1276.9824000000001</v>
      </c>
      <c r="X620" s="60">
        <f>IF(ISERROR(VLOOKUP($U$620,'TAR FIN'!$A$1:$O$104,15,0)),0,VLOOKUP($U$620,'TAR FIN'!$A$1:$O$104,15,0))*(1-0.04)</f>
        <v>381.71519999999998</v>
      </c>
      <c r="Y620" s="60"/>
      <c r="Z620" s="60">
        <f ca="1">('TUSD BE'!$AM$25+'TUSD BF'!$AM$25+'TUSD CVA'!$AM$25)*1*(1-0.02)</f>
        <v>1318.940588933358</v>
      </c>
      <c r="AA620" s="60">
        <f>('TE BE'!$AB$7+'TE BF'!$AB$7+'TE CVA'!$AB$7)*1*(1-0.02)</f>
        <v>353.05508603815775</v>
      </c>
      <c r="AB620" s="60">
        <f>(SUBSIDIO!$J$620*SUBSIDIO!$V$620)*(0.04)/(1-0.04)</f>
        <v>0</v>
      </c>
      <c r="AC620" s="60">
        <f>((SUBSIDIO!$L$620*SUBSIDIO!$W$620)+(SUBSIDIO!$N$620*SUBSIDIO!$X$620))*(0.04)/(1-0.04)</f>
        <v>370.51157639999997</v>
      </c>
      <c r="AD620" s="60">
        <f>(SUBSIDIO!$J$620*SUBSIDIO!$Y$620)*(0.02)/(1-0.02)</f>
        <v>0</v>
      </c>
      <c r="AE620" s="60">
        <f ca="1">((SUBSIDIO!$L$620*SUBSIDIO!$Z$620)+(SUBSIDIO!$N$620*SUBSIDIO!$AA$620))*(0.02)/(1-0.02)</f>
        <v>182.92997578616928</v>
      </c>
      <c r="AF620" s="4" t="s">
        <v>998</v>
      </c>
    </row>
    <row r="621" spans="1:32" ht="11.25" customHeight="1" x14ac:dyDescent="0.25">
      <c r="A621" s="4" t="s">
        <v>21</v>
      </c>
      <c r="B621" s="4" t="s">
        <v>41</v>
      </c>
      <c r="C621" s="4" t="s">
        <v>42</v>
      </c>
      <c r="D621" s="4" t="s">
        <v>45</v>
      </c>
      <c r="E621" s="4" t="s">
        <v>25</v>
      </c>
      <c r="F621" s="4" t="s">
        <v>25</v>
      </c>
      <c r="G621" s="4" t="s">
        <v>25</v>
      </c>
      <c r="H621" s="4" t="s">
        <v>34</v>
      </c>
      <c r="I621" s="5">
        <v>44593</v>
      </c>
      <c r="J621" s="6">
        <v>0</v>
      </c>
      <c r="K621" s="60">
        <v>0</v>
      </c>
      <c r="L621" s="6">
        <v>32.957000000000001</v>
      </c>
      <c r="M621" s="60">
        <v>32.957000000000001</v>
      </c>
      <c r="N621" s="6">
        <v>32.957000000000001</v>
      </c>
      <c r="O621" s="60">
        <v>32.957000000000001</v>
      </c>
      <c r="P621" s="6">
        <v>0</v>
      </c>
      <c r="Q621" s="4" t="s">
        <v>26</v>
      </c>
      <c r="R621" s="4">
        <v>0</v>
      </c>
      <c r="S621" s="4">
        <v>0</v>
      </c>
      <c r="T621" s="4">
        <v>42</v>
      </c>
      <c r="U621" s="4">
        <v>66</v>
      </c>
      <c r="V621" s="60">
        <f>IF(ISERROR(VLOOKUP($S$621,'TAR FIN'!$A$1:$O$104,15,0)),0,VLOOKUP($S$621,'TAR FIN'!$A$1:$O$104,15,0))</f>
        <v>0</v>
      </c>
      <c r="W621" s="60">
        <f>IF(ISERROR(VLOOKUP($T$621,'TAR FIN'!$A$1:$O$104,15,0)),0,VLOOKUP($T$621,'TAR FIN'!$A$1:$O$104,15,0))*(1-0.04)</f>
        <v>1276.9824000000001</v>
      </c>
      <c r="X621" s="60">
        <f>IF(ISERROR(VLOOKUP($U$621,'TAR FIN'!$A$1:$O$104,15,0)),0,VLOOKUP($U$621,'TAR FIN'!$A$1:$O$104,15,0))*(1-0.04)</f>
        <v>381.71519999999998</v>
      </c>
      <c r="Y621" s="60"/>
      <c r="Z621" s="60">
        <f ca="1">('TUSD BE'!$AM$25+'TUSD BF'!$AM$25+'TUSD CVA'!$AM$25)*1*(1-0.02)</f>
        <v>1318.940588933358</v>
      </c>
      <c r="AA621" s="60">
        <f>('TE BE'!$AB$7+'TE BF'!$AB$7+'TE CVA'!$AB$7)*1*(1-0.02)</f>
        <v>353.05508603815775</v>
      </c>
      <c r="AB621" s="60">
        <f>(SUBSIDIO!$J$621*SUBSIDIO!$V$621)*(0.04)/(1-0.04)</f>
        <v>0</v>
      </c>
      <c r="AC621" s="60">
        <f>((SUBSIDIO!$L$621*SUBSIDIO!$W$621)+(SUBSIDIO!$N$621*SUBSIDIO!$X$621))*(0.04)/(1-0.04)</f>
        <v>2277.7373668</v>
      </c>
      <c r="AD621" s="60">
        <f>(SUBSIDIO!$J$621*SUBSIDIO!$Y$621)*(0.02)/(1-0.02)</f>
        <v>0</v>
      </c>
      <c r="AE621" s="60">
        <f ca="1">((SUBSIDIO!$L$621*SUBSIDIO!$Z$621)+(SUBSIDIO!$N$621*SUBSIDIO!$AA$621))*(0.02)/(1-0.02)</f>
        <v>1124.5706420415559</v>
      </c>
      <c r="AF621" s="4" t="s">
        <v>998</v>
      </c>
    </row>
    <row r="622" spans="1:32" ht="11.25" customHeight="1" x14ac:dyDescent="0.25">
      <c r="A622" s="4" t="s">
        <v>28</v>
      </c>
      <c r="B622" s="4" t="s">
        <v>41</v>
      </c>
      <c r="C622" s="4" t="s">
        <v>42</v>
      </c>
      <c r="D622" s="4" t="s">
        <v>45</v>
      </c>
      <c r="E622" s="4" t="s">
        <v>25</v>
      </c>
      <c r="F622" s="4" t="s">
        <v>25</v>
      </c>
      <c r="G622" s="4" t="s">
        <v>25</v>
      </c>
      <c r="H622" s="4" t="s">
        <v>34</v>
      </c>
      <c r="I622" s="5">
        <v>44593</v>
      </c>
      <c r="J622" s="6">
        <v>0</v>
      </c>
      <c r="K622" s="60">
        <v>0</v>
      </c>
      <c r="L622" s="6">
        <v>5.0780000000000003</v>
      </c>
      <c r="M622" s="60">
        <v>5.0780000000000003</v>
      </c>
      <c r="N622" s="6">
        <v>5.0780000000000003</v>
      </c>
      <c r="O622" s="60">
        <v>5.0780000000000003</v>
      </c>
      <c r="P622" s="6">
        <v>0</v>
      </c>
      <c r="Q622" s="4" t="s">
        <v>26</v>
      </c>
      <c r="R622" s="4">
        <v>0</v>
      </c>
      <c r="S622" s="4">
        <v>0</v>
      </c>
      <c r="T622" s="4">
        <v>42</v>
      </c>
      <c r="U622" s="4">
        <v>66</v>
      </c>
      <c r="V622" s="60">
        <f>IF(ISERROR(VLOOKUP($S$622,'TAR FIN'!$A$1:$O$104,15,0)),0,VLOOKUP($S$622,'TAR FIN'!$A$1:$O$104,15,0))</f>
        <v>0</v>
      </c>
      <c r="W622" s="60">
        <f>IF(ISERROR(VLOOKUP($T$622,'TAR FIN'!$A$1:$O$104,15,0)),0,VLOOKUP($T$622,'TAR FIN'!$A$1:$O$104,15,0))*(1-0.04)</f>
        <v>1276.9824000000001</v>
      </c>
      <c r="X622" s="60">
        <f>IF(ISERROR(VLOOKUP($U$622,'TAR FIN'!$A$1:$O$104,15,0)),0,VLOOKUP($U$622,'TAR FIN'!$A$1:$O$104,15,0))*(1-0.04)</f>
        <v>381.71519999999998</v>
      </c>
      <c r="Y622" s="60"/>
      <c r="Z622" s="60">
        <f ca="1">('TUSD BE'!$AM$25+'TUSD BF'!$AM$25+'TUSD CVA'!$AM$25)*1*(1-0.02)</f>
        <v>1318.940588933358</v>
      </c>
      <c r="AA622" s="60">
        <f>('TE BE'!$AB$7+'TE BF'!$AB$7+'TE CVA'!$AB$7)*1*(1-0.02)</f>
        <v>353.05508603815775</v>
      </c>
      <c r="AB622" s="60">
        <f>(SUBSIDIO!$J$622*SUBSIDIO!$V$622)*(0.04)/(1-0.04)</f>
        <v>0</v>
      </c>
      <c r="AC622" s="60">
        <f>((SUBSIDIO!$L$622*SUBSIDIO!$W$622)+(SUBSIDIO!$N$622*SUBSIDIO!$X$622))*(0.04)/(1-0.04)</f>
        <v>350.95276720000004</v>
      </c>
      <c r="AD622" s="60">
        <f>(SUBSIDIO!$J$622*SUBSIDIO!$Y$622)*(0.02)/(1-0.02)</f>
        <v>0</v>
      </c>
      <c r="AE622" s="60">
        <f ca="1">((SUBSIDIO!$L$622*SUBSIDIO!$Z$622)+(SUBSIDIO!$N$622*SUBSIDIO!$AA$622))*(0.02)/(1-0.02)</f>
        <v>173.27334770419097</v>
      </c>
      <c r="AF622" s="4" t="s">
        <v>998</v>
      </c>
    </row>
    <row r="623" spans="1:32" ht="11.25" customHeight="1" x14ac:dyDescent="0.25">
      <c r="A623" s="4" t="s">
        <v>21</v>
      </c>
      <c r="B623" s="4" t="s">
        <v>41</v>
      </c>
      <c r="C623" s="4" t="s">
        <v>42</v>
      </c>
      <c r="D623" s="4" t="s">
        <v>45</v>
      </c>
      <c r="E623" s="4" t="s">
        <v>25</v>
      </c>
      <c r="F623" s="4" t="s">
        <v>25</v>
      </c>
      <c r="G623" s="4" t="s">
        <v>25</v>
      </c>
      <c r="H623" s="4" t="s">
        <v>34</v>
      </c>
      <c r="I623" s="5">
        <v>44621</v>
      </c>
      <c r="J623" s="6">
        <v>0</v>
      </c>
      <c r="K623" s="60">
        <v>0</v>
      </c>
      <c r="L623" s="6">
        <v>28.315999999999999</v>
      </c>
      <c r="M623" s="60">
        <v>28.315999999999999</v>
      </c>
      <c r="N623" s="6">
        <v>28.315999999999999</v>
      </c>
      <c r="O623" s="60">
        <v>28.315999999999999</v>
      </c>
      <c r="P623" s="6">
        <v>0</v>
      </c>
      <c r="Q623" s="4" t="s">
        <v>26</v>
      </c>
      <c r="R623" s="4">
        <v>0</v>
      </c>
      <c r="S623" s="4">
        <v>0</v>
      </c>
      <c r="T623" s="4">
        <v>42</v>
      </c>
      <c r="U623" s="4">
        <v>66</v>
      </c>
      <c r="V623" s="60">
        <f>IF(ISERROR(VLOOKUP($S$623,'TAR FIN'!$A$1:$O$104,15,0)),0,VLOOKUP($S$623,'TAR FIN'!$A$1:$O$104,15,0))</f>
        <v>0</v>
      </c>
      <c r="W623" s="60">
        <f>IF(ISERROR(VLOOKUP($T$623,'TAR FIN'!$A$1:$O$104,15,0)),0,VLOOKUP($T$623,'TAR FIN'!$A$1:$O$104,15,0))*(1-0.04)</f>
        <v>1276.9824000000001</v>
      </c>
      <c r="X623" s="60">
        <f>IF(ISERROR(VLOOKUP($U$623,'TAR FIN'!$A$1:$O$104,15,0)),0,VLOOKUP($U$623,'TAR FIN'!$A$1:$O$104,15,0))*(1-0.04)</f>
        <v>381.71519999999998</v>
      </c>
      <c r="Y623" s="60"/>
      <c r="Z623" s="60">
        <f ca="1">('TUSD BE'!$AM$25+'TUSD BF'!$AM$25+'TUSD CVA'!$AM$25)*1*(1-0.02)</f>
        <v>1318.940588933358</v>
      </c>
      <c r="AA623" s="60">
        <f>('TE BE'!$AB$7+'TE BF'!$AB$7+'TE CVA'!$AB$7)*1*(1-0.02)</f>
        <v>353.05508603815775</v>
      </c>
      <c r="AB623" s="60">
        <f>(SUBSIDIO!$J$623*SUBSIDIO!$V$623)*(0.04)/(1-0.04)</f>
        <v>0</v>
      </c>
      <c r="AC623" s="60">
        <f>((SUBSIDIO!$L$623*SUBSIDIO!$W$623)+(SUBSIDIO!$N$623*SUBSIDIO!$X$623))*(0.04)/(1-0.04)</f>
        <v>1956.9867184000002</v>
      </c>
      <c r="AD623" s="60">
        <f>(SUBSIDIO!$J$623*SUBSIDIO!$Y$623)*(0.02)/(1-0.02)</f>
        <v>0</v>
      </c>
      <c r="AE623" s="60">
        <f ca="1">((SUBSIDIO!$L$623*SUBSIDIO!$Z$623)+(SUBSIDIO!$N$623*SUBSIDIO!$AA$623))*(0.02)/(1-0.02)</f>
        <v>966.20876596925382</v>
      </c>
      <c r="AF623" s="4" t="s">
        <v>998</v>
      </c>
    </row>
    <row r="624" spans="1:32" ht="11.25" customHeight="1" x14ac:dyDescent="0.25">
      <c r="A624" s="4" t="s">
        <v>27</v>
      </c>
      <c r="B624" s="4" t="s">
        <v>41</v>
      </c>
      <c r="C624" s="4" t="s">
        <v>42</v>
      </c>
      <c r="D624" s="4" t="s">
        <v>45</v>
      </c>
      <c r="E624" s="4" t="s">
        <v>25</v>
      </c>
      <c r="F624" s="4" t="s">
        <v>25</v>
      </c>
      <c r="G624" s="4" t="s">
        <v>25</v>
      </c>
      <c r="H624" s="4" t="s">
        <v>34</v>
      </c>
      <c r="I624" s="5">
        <v>44621</v>
      </c>
      <c r="J624" s="6">
        <v>0</v>
      </c>
      <c r="K624" s="60">
        <v>0</v>
      </c>
      <c r="L624" s="6">
        <v>-3.9660000000000002</v>
      </c>
      <c r="M624" s="60">
        <v>-3.9660000000000002</v>
      </c>
      <c r="N624" s="6">
        <v>-3.9660000000000002</v>
      </c>
      <c r="O624" s="60">
        <v>-3.9660000000000002</v>
      </c>
      <c r="P624" s="6">
        <v>0</v>
      </c>
      <c r="Q624" s="4" t="s">
        <v>26</v>
      </c>
      <c r="R624" s="4">
        <v>0</v>
      </c>
      <c r="S624" s="4">
        <v>0</v>
      </c>
      <c r="T624" s="4">
        <v>42</v>
      </c>
      <c r="U624" s="4">
        <v>66</v>
      </c>
      <c r="V624" s="60">
        <f>IF(ISERROR(VLOOKUP($S$624,'TAR FIN'!$A$1:$O$104,15,0)),0,VLOOKUP($S$624,'TAR FIN'!$A$1:$O$104,15,0))</f>
        <v>0</v>
      </c>
      <c r="W624" s="60">
        <f>IF(ISERROR(VLOOKUP($T$624,'TAR FIN'!$A$1:$O$104,15,0)),0,VLOOKUP($T$624,'TAR FIN'!$A$1:$O$104,15,0))*(1-0.04)</f>
        <v>1276.9824000000001</v>
      </c>
      <c r="X624" s="60">
        <f>IF(ISERROR(VLOOKUP($U$624,'TAR FIN'!$A$1:$O$104,15,0)),0,VLOOKUP($U$624,'TAR FIN'!$A$1:$O$104,15,0))*(1-0.04)</f>
        <v>381.71519999999998</v>
      </c>
      <c r="Y624" s="60"/>
      <c r="Z624" s="60">
        <f ca="1">('TUSD BE'!$AM$25+'TUSD BF'!$AM$25+'TUSD CVA'!$AM$25)*1*(1-0.02)</f>
        <v>1318.940588933358</v>
      </c>
      <c r="AA624" s="60">
        <f>('TE BE'!$AB$7+'TE BF'!$AB$7+'TE CVA'!$AB$7)*1*(1-0.02)</f>
        <v>353.05508603815775</v>
      </c>
      <c r="AB624" s="60">
        <f>(SUBSIDIO!$J$624*SUBSIDIO!$V$624)*(0.04)/(1-0.04)</f>
        <v>0</v>
      </c>
      <c r="AC624" s="60">
        <f>((SUBSIDIO!$L$624*SUBSIDIO!$W$624)+(SUBSIDIO!$N$624*SUBSIDIO!$X$624))*(0.04)/(1-0.04)</f>
        <v>-274.09977840000005</v>
      </c>
      <c r="AD624" s="60">
        <f>(SUBSIDIO!$J$624*SUBSIDIO!$Y$624)*(0.02)/(1-0.02)</f>
        <v>0</v>
      </c>
      <c r="AE624" s="60">
        <f ca="1">((SUBSIDIO!$L$624*SUBSIDIO!$Z$624)+(SUBSIDIO!$N$624*SUBSIDIO!$AA$624))*(0.02)/(1-0.02)</f>
        <v>-135.32928259055166</v>
      </c>
      <c r="AF624" s="4" t="s">
        <v>998</v>
      </c>
    </row>
    <row r="625" spans="1:32" ht="11.25" customHeight="1" x14ac:dyDescent="0.25">
      <c r="A625" s="4" t="s">
        <v>28</v>
      </c>
      <c r="B625" s="4" t="s">
        <v>41</v>
      </c>
      <c r="C625" s="4" t="s">
        <v>42</v>
      </c>
      <c r="D625" s="4" t="s">
        <v>45</v>
      </c>
      <c r="E625" s="4" t="s">
        <v>25</v>
      </c>
      <c r="F625" s="4" t="s">
        <v>25</v>
      </c>
      <c r="G625" s="4" t="s">
        <v>25</v>
      </c>
      <c r="H625" s="4" t="s">
        <v>34</v>
      </c>
      <c r="I625" s="5">
        <v>44621</v>
      </c>
      <c r="J625" s="6">
        <v>0</v>
      </c>
      <c r="K625" s="60">
        <v>0</v>
      </c>
      <c r="L625" s="6">
        <v>5.1529999999999996</v>
      </c>
      <c r="M625" s="60">
        <v>5.1529999999999996</v>
      </c>
      <c r="N625" s="6">
        <v>5.1529999999999996</v>
      </c>
      <c r="O625" s="60">
        <v>5.1529999999999996</v>
      </c>
      <c r="P625" s="6">
        <v>0</v>
      </c>
      <c r="Q625" s="4" t="s">
        <v>26</v>
      </c>
      <c r="R625" s="4">
        <v>0</v>
      </c>
      <c r="S625" s="4">
        <v>0</v>
      </c>
      <c r="T625" s="4">
        <v>42</v>
      </c>
      <c r="U625" s="4">
        <v>66</v>
      </c>
      <c r="V625" s="60">
        <f>IF(ISERROR(VLOOKUP($S$625,'TAR FIN'!$A$1:$O$104,15,0)),0,VLOOKUP($S$625,'TAR FIN'!$A$1:$O$104,15,0))</f>
        <v>0</v>
      </c>
      <c r="W625" s="60">
        <f>IF(ISERROR(VLOOKUP($T$625,'TAR FIN'!$A$1:$O$104,15,0)),0,VLOOKUP($T$625,'TAR FIN'!$A$1:$O$104,15,0))*(1-0.04)</f>
        <v>1276.9824000000001</v>
      </c>
      <c r="X625" s="60">
        <f>IF(ISERROR(VLOOKUP($U$625,'TAR FIN'!$A$1:$O$104,15,0)),0,VLOOKUP($U$625,'TAR FIN'!$A$1:$O$104,15,0))*(1-0.04)</f>
        <v>381.71519999999998</v>
      </c>
      <c r="Y625" s="60"/>
      <c r="Z625" s="60">
        <f ca="1">('TUSD BE'!$AM$25+'TUSD BF'!$AM$25+'TUSD CVA'!$AM$25)*1*(1-0.02)</f>
        <v>1318.940588933358</v>
      </c>
      <c r="AA625" s="60">
        <f>('TE BE'!$AB$7+'TE BF'!$AB$7+'TE CVA'!$AB$7)*1*(1-0.02)</f>
        <v>353.05508603815775</v>
      </c>
      <c r="AB625" s="60">
        <f>(SUBSIDIO!$J$625*SUBSIDIO!$V$625)*(0.04)/(1-0.04)</f>
        <v>0</v>
      </c>
      <c r="AC625" s="60">
        <f>((SUBSIDIO!$L$625*SUBSIDIO!$W$625)+(SUBSIDIO!$N$625*SUBSIDIO!$X$625))*(0.04)/(1-0.04)</f>
        <v>356.13619719999997</v>
      </c>
      <c r="AD625" s="60">
        <f>(SUBSIDIO!$J$625*SUBSIDIO!$Y$625)*(0.02)/(1-0.02)</f>
        <v>0</v>
      </c>
      <c r="AE625" s="60">
        <f ca="1">((SUBSIDIO!$L$625*SUBSIDIO!$Z$625)+(SUBSIDIO!$N$625*SUBSIDIO!$AA$625))*(0.02)/(1-0.02)</f>
        <v>175.83252475771877</v>
      </c>
      <c r="AF625" s="4" t="s">
        <v>998</v>
      </c>
    </row>
    <row r="626" spans="1:32" ht="11.25" customHeight="1" x14ac:dyDescent="0.25">
      <c r="A626" s="4" t="s">
        <v>21</v>
      </c>
      <c r="B626" s="4" t="s">
        <v>41</v>
      </c>
      <c r="C626" s="4" t="s">
        <v>42</v>
      </c>
      <c r="D626" s="4" t="s">
        <v>45</v>
      </c>
      <c r="E626" s="4" t="s">
        <v>25</v>
      </c>
      <c r="F626" s="4" t="s">
        <v>25</v>
      </c>
      <c r="G626" s="4" t="s">
        <v>25</v>
      </c>
      <c r="H626" s="4" t="s">
        <v>34</v>
      </c>
      <c r="I626" s="5">
        <v>44652</v>
      </c>
      <c r="J626" s="6">
        <v>0</v>
      </c>
      <c r="K626" s="60">
        <v>0</v>
      </c>
      <c r="L626" s="6">
        <v>35.521999999999998</v>
      </c>
      <c r="M626" s="60">
        <v>35.521999999999998</v>
      </c>
      <c r="N626" s="6">
        <v>35.521999999999998</v>
      </c>
      <c r="O626" s="60">
        <v>35.521999999999998</v>
      </c>
      <c r="P626" s="6">
        <v>0</v>
      </c>
      <c r="Q626" s="4" t="s">
        <v>26</v>
      </c>
      <c r="R626" s="4">
        <v>0</v>
      </c>
      <c r="S626" s="4">
        <v>0</v>
      </c>
      <c r="T626" s="4">
        <v>42</v>
      </c>
      <c r="U626" s="4">
        <v>66</v>
      </c>
      <c r="V626" s="60">
        <f>IF(ISERROR(VLOOKUP($S$626,'TAR FIN'!$A$1:$O$104,15,0)),0,VLOOKUP($S$626,'TAR FIN'!$A$1:$O$104,15,0))</f>
        <v>0</v>
      </c>
      <c r="W626" s="60">
        <f>IF(ISERROR(VLOOKUP($T$626,'TAR FIN'!$A$1:$O$104,15,0)),0,VLOOKUP($T$626,'TAR FIN'!$A$1:$O$104,15,0))*(1-0.04)</f>
        <v>1276.9824000000001</v>
      </c>
      <c r="X626" s="60">
        <f>IF(ISERROR(VLOOKUP($U$626,'TAR FIN'!$A$1:$O$104,15,0)),0,VLOOKUP($U$626,'TAR FIN'!$A$1:$O$104,15,0))*(1-0.04)</f>
        <v>381.71519999999998</v>
      </c>
      <c r="Y626" s="60"/>
      <c r="Z626" s="60">
        <f ca="1">('TUSD BE'!$AM$25+'TUSD BF'!$AM$25+'TUSD CVA'!$AM$25)*1*(1-0.02)</f>
        <v>1318.940588933358</v>
      </c>
      <c r="AA626" s="60">
        <f>('TE BE'!$AB$7+'TE BF'!$AB$7+'TE CVA'!$AB$7)*1*(1-0.02)</f>
        <v>353.05508603815775</v>
      </c>
      <c r="AB626" s="60">
        <f>(SUBSIDIO!$J$626*SUBSIDIO!$V$626)*(0.04)/(1-0.04)</f>
        <v>0</v>
      </c>
      <c r="AC626" s="60">
        <f>((SUBSIDIO!$L$626*SUBSIDIO!$W$626)+(SUBSIDIO!$N$626*SUBSIDIO!$X$626))*(0.04)/(1-0.04)</f>
        <v>2455.0106728000001</v>
      </c>
      <c r="AD626" s="60">
        <f>(SUBSIDIO!$J$626*SUBSIDIO!$Y$626)*(0.02)/(1-0.02)</f>
        <v>0</v>
      </c>
      <c r="AE626" s="60">
        <f ca="1">((SUBSIDIO!$L$626*SUBSIDIO!$Z$626)+(SUBSIDIO!$N$626*SUBSIDIO!$AA$626))*(0.02)/(1-0.02)</f>
        <v>1212.0944972722077</v>
      </c>
      <c r="AF626" s="4" t="s">
        <v>998</v>
      </c>
    </row>
    <row r="627" spans="1:32" ht="11.25" customHeight="1" x14ac:dyDescent="0.25">
      <c r="A627" s="4" t="s">
        <v>27</v>
      </c>
      <c r="B627" s="4" t="s">
        <v>41</v>
      </c>
      <c r="C627" s="4" t="s">
        <v>42</v>
      </c>
      <c r="D627" s="4" t="s">
        <v>45</v>
      </c>
      <c r="E627" s="4" t="s">
        <v>25</v>
      </c>
      <c r="F627" s="4" t="s">
        <v>25</v>
      </c>
      <c r="G627" s="4" t="s">
        <v>25</v>
      </c>
      <c r="H627" s="4" t="s">
        <v>34</v>
      </c>
      <c r="I627" s="5">
        <v>44652</v>
      </c>
      <c r="J627" s="6">
        <v>0</v>
      </c>
      <c r="K627" s="60">
        <v>0</v>
      </c>
      <c r="L627" s="6">
        <v>0.152</v>
      </c>
      <c r="M627" s="60">
        <v>0.152</v>
      </c>
      <c r="N627" s="6">
        <v>0.152</v>
      </c>
      <c r="O627" s="60">
        <v>0.152</v>
      </c>
      <c r="P627" s="6">
        <v>0</v>
      </c>
      <c r="Q627" s="4" t="s">
        <v>26</v>
      </c>
      <c r="R627" s="4">
        <v>0</v>
      </c>
      <c r="S627" s="4">
        <v>0</v>
      </c>
      <c r="T627" s="4">
        <v>42</v>
      </c>
      <c r="U627" s="4">
        <v>66</v>
      </c>
      <c r="V627" s="60">
        <f>IF(ISERROR(VLOOKUP($S$627,'TAR FIN'!$A$1:$O$104,15,0)),0,VLOOKUP($S$627,'TAR FIN'!$A$1:$O$104,15,0))</f>
        <v>0</v>
      </c>
      <c r="W627" s="60">
        <f>IF(ISERROR(VLOOKUP($T$627,'TAR FIN'!$A$1:$O$104,15,0)),0,VLOOKUP($T$627,'TAR FIN'!$A$1:$O$104,15,0))*(1-0.04)</f>
        <v>1276.9824000000001</v>
      </c>
      <c r="X627" s="60">
        <f>IF(ISERROR(VLOOKUP($U$627,'TAR FIN'!$A$1:$O$104,15,0)),0,VLOOKUP($U$627,'TAR FIN'!$A$1:$O$104,15,0))*(1-0.04)</f>
        <v>381.71519999999998</v>
      </c>
      <c r="Y627" s="60"/>
      <c r="Z627" s="60">
        <f ca="1">('TUSD BE'!$AM$25+'TUSD BF'!$AM$25+'TUSD CVA'!$AM$25)*1*(1-0.02)</f>
        <v>1318.940588933358</v>
      </c>
      <c r="AA627" s="60">
        <f>('TE BE'!$AB$7+'TE BF'!$AB$7+'TE CVA'!$AB$7)*1*(1-0.02)</f>
        <v>353.05508603815775</v>
      </c>
      <c r="AB627" s="60">
        <f>(SUBSIDIO!$J$627*SUBSIDIO!$V$627)*(0.04)/(1-0.04)</f>
        <v>0</v>
      </c>
      <c r="AC627" s="60">
        <f>((SUBSIDIO!$L$627*SUBSIDIO!$W$627)+(SUBSIDIO!$N$627*SUBSIDIO!$X$627))*(0.04)/(1-0.04)</f>
        <v>10.505084800000002</v>
      </c>
      <c r="AD627" s="60">
        <f>(SUBSIDIO!$J$627*SUBSIDIO!$Y$627)*(0.02)/(1-0.02)</f>
        <v>0</v>
      </c>
      <c r="AE627" s="60">
        <f ca="1">((SUBSIDIO!$L$627*SUBSIDIO!$Z$627)+(SUBSIDIO!$N$627*SUBSIDIO!$AA$627))*(0.02)/(1-0.02)</f>
        <v>5.1865988284830689</v>
      </c>
      <c r="AF627" s="4" t="s">
        <v>998</v>
      </c>
    </row>
    <row r="628" spans="1:32" ht="11.25" customHeight="1" x14ac:dyDescent="0.25">
      <c r="A628" s="4" t="s">
        <v>28</v>
      </c>
      <c r="B628" s="4" t="s">
        <v>41</v>
      </c>
      <c r="C628" s="4" t="s">
        <v>42</v>
      </c>
      <c r="D628" s="4" t="s">
        <v>45</v>
      </c>
      <c r="E628" s="4" t="s">
        <v>25</v>
      </c>
      <c r="F628" s="4" t="s">
        <v>25</v>
      </c>
      <c r="G628" s="4" t="s">
        <v>25</v>
      </c>
      <c r="H628" s="4" t="s">
        <v>34</v>
      </c>
      <c r="I628" s="5">
        <v>44652</v>
      </c>
      <c r="J628" s="6">
        <v>0</v>
      </c>
      <c r="K628" s="60">
        <v>0</v>
      </c>
      <c r="L628" s="6">
        <v>4.6909999999999998</v>
      </c>
      <c r="M628" s="60">
        <v>4.6909999999999998</v>
      </c>
      <c r="N628" s="6">
        <v>4.6909999999999998</v>
      </c>
      <c r="O628" s="60">
        <v>4.6909999999999998</v>
      </c>
      <c r="P628" s="6">
        <v>0</v>
      </c>
      <c r="Q628" s="4" t="s">
        <v>26</v>
      </c>
      <c r="R628" s="4">
        <v>0</v>
      </c>
      <c r="S628" s="4">
        <v>0</v>
      </c>
      <c r="T628" s="4">
        <v>42</v>
      </c>
      <c r="U628" s="4">
        <v>66</v>
      </c>
      <c r="V628" s="60">
        <f>IF(ISERROR(VLOOKUP($S$628,'TAR FIN'!$A$1:$O$104,15,0)),0,VLOOKUP($S$628,'TAR FIN'!$A$1:$O$104,15,0))</f>
        <v>0</v>
      </c>
      <c r="W628" s="60">
        <f>IF(ISERROR(VLOOKUP($T$628,'TAR FIN'!$A$1:$O$104,15,0)),0,VLOOKUP($T$628,'TAR FIN'!$A$1:$O$104,15,0))*(1-0.04)</f>
        <v>1276.9824000000001</v>
      </c>
      <c r="X628" s="60">
        <f>IF(ISERROR(VLOOKUP($U$628,'TAR FIN'!$A$1:$O$104,15,0)),0,VLOOKUP($U$628,'TAR FIN'!$A$1:$O$104,15,0))*(1-0.04)</f>
        <v>381.71519999999998</v>
      </c>
      <c r="Y628" s="60"/>
      <c r="Z628" s="60">
        <f ca="1">('TUSD BE'!$AM$25+'TUSD BF'!$AM$25+'TUSD CVA'!$AM$25)*1*(1-0.02)</f>
        <v>1318.940588933358</v>
      </c>
      <c r="AA628" s="60">
        <f>('TE BE'!$AB$7+'TE BF'!$AB$7+'TE CVA'!$AB$7)*1*(1-0.02)</f>
        <v>353.05508603815775</v>
      </c>
      <c r="AB628" s="60">
        <f>(SUBSIDIO!$J$628*SUBSIDIO!$V$628)*(0.04)/(1-0.04)</f>
        <v>0</v>
      </c>
      <c r="AC628" s="60">
        <f>((SUBSIDIO!$L$628*SUBSIDIO!$W$628)+(SUBSIDIO!$N$628*SUBSIDIO!$X$628))*(0.04)/(1-0.04)</f>
        <v>324.2062684</v>
      </c>
      <c r="AD628" s="60">
        <f>(SUBSIDIO!$J$628*SUBSIDIO!$Y$628)*(0.02)/(1-0.02)</f>
        <v>0</v>
      </c>
      <c r="AE628" s="60">
        <f ca="1">((SUBSIDIO!$L$628*SUBSIDIO!$Z$628)+(SUBSIDIO!$N$628*SUBSIDIO!$AA$628))*(0.02)/(1-0.02)</f>
        <v>160.06799410798735</v>
      </c>
      <c r="AF628" s="4" t="s">
        <v>998</v>
      </c>
    </row>
    <row r="629" spans="1:32" ht="11.25" customHeight="1" x14ac:dyDescent="0.25">
      <c r="A629" s="4" t="s">
        <v>28</v>
      </c>
      <c r="B629" s="4" t="s">
        <v>41</v>
      </c>
      <c r="C629" s="4" t="s">
        <v>42</v>
      </c>
      <c r="D629" s="4" t="s">
        <v>45</v>
      </c>
      <c r="E629" s="4" t="s">
        <v>25</v>
      </c>
      <c r="F629" s="4" t="s">
        <v>25</v>
      </c>
      <c r="G629" s="4" t="s">
        <v>25</v>
      </c>
      <c r="H629" s="4" t="s">
        <v>34</v>
      </c>
      <c r="I629" s="5">
        <v>44652</v>
      </c>
      <c r="J629" s="6">
        <v>0</v>
      </c>
      <c r="K629" s="60">
        <v>0</v>
      </c>
      <c r="L629" s="6">
        <v>-5.0999999999999997E-2</v>
      </c>
      <c r="M629" s="60">
        <v>-5.0999999999999997E-2</v>
      </c>
      <c r="N629" s="6">
        <v>-5.0999999999999997E-2</v>
      </c>
      <c r="O629" s="60">
        <v>-5.0999999999999997E-2</v>
      </c>
      <c r="P629" s="6">
        <v>0</v>
      </c>
      <c r="Q629" s="4" t="s">
        <v>26</v>
      </c>
      <c r="R629" s="4">
        <v>0</v>
      </c>
      <c r="S629" s="4">
        <v>0</v>
      </c>
      <c r="T629" s="4">
        <v>42</v>
      </c>
      <c r="U629" s="4">
        <v>66</v>
      </c>
      <c r="V629" s="60">
        <f>IF(ISERROR(VLOOKUP($S$629,'TAR FIN'!$A$1:$O$104,15,0)),0,VLOOKUP($S$629,'TAR FIN'!$A$1:$O$104,15,0))</f>
        <v>0</v>
      </c>
      <c r="W629" s="60">
        <f>IF(ISERROR(VLOOKUP($T$629,'TAR FIN'!$A$1:$O$104,15,0)),0,VLOOKUP($T$629,'TAR FIN'!$A$1:$O$104,15,0))*(1-0.04)</f>
        <v>1276.9824000000001</v>
      </c>
      <c r="X629" s="60">
        <f>IF(ISERROR(VLOOKUP($U$629,'TAR FIN'!$A$1:$O$104,15,0)),0,VLOOKUP($U$629,'TAR FIN'!$A$1:$O$104,15,0))*(1-0.04)</f>
        <v>381.71519999999998</v>
      </c>
      <c r="Y629" s="60"/>
      <c r="Z629" s="60">
        <f ca="1">('TUSD BE'!$AM$25+'TUSD BF'!$AM$25+'TUSD CVA'!$AM$25)*1*(1-0.02)</f>
        <v>1318.940588933358</v>
      </c>
      <c r="AA629" s="60">
        <f>('TE BE'!$AB$7+'TE BF'!$AB$7+'TE CVA'!$AB$7)*1*(1-0.02)</f>
        <v>353.05508603815775</v>
      </c>
      <c r="AB629" s="60">
        <f>(SUBSIDIO!$J$629*SUBSIDIO!$V$629)*(0.04)/(1-0.04)</f>
        <v>0</v>
      </c>
      <c r="AC629" s="60">
        <f>((SUBSIDIO!$L$629*SUBSIDIO!$W$629)+(SUBSIDIO!$N$629*SUBSIDIO!$X$629))*(0.04)/(1-0.04)</f>
        <v>-3.5247324000000004</v>
      </c>
      <c r="AD629" s="60">
        <f>(SUBSIDIO!$J$629*SUBSIDIO!$Y$629)*(0.02)/(1-0.02)</f>
        <v>0</v>
      </c>
      <c r="AE629" s="60">
        <f ca="1">((SUBSIDIO!$L$629*SUBSIDIO!$Z$629)+(SUBSIDIO!$N$629*SUBSIDIO!$AA$629))*(0.02)/(1-0.02)</f>
        <v>-1.7402403963989246</v>
      </c>
      <c r="AF629" s="4" t="s">
        <v>998</v>
      </c>
    </row>
    <row r="630" spans="1:32" ht="11.25" customHeight="1" x14ac:dyDescent="0.25">
      <c r="A630" s="4" t="s">
        <v>21</v>
      </c>
      <c r="B630" s="4" t="s">
        <v>41</v>
      </c>
      <c r="C630" s="4" t="s">
        <v>42</v>
      </c>
      <c r="D630" s="4" t="s">
        <v>45</v>
      </c>
      <c r="E630" s="4" t="s">
        <v>25</v>
      </c>
      <c r="F630" s="4" t="s">
        <v>25</v>
      </c>
      <c r="G630" s="4" t="s">
        <v>25</v>
      </c>
      <c r="H630" s="4" t="s">
        <v>34</v>
      </c>
      <c r="I630" s="5">
        <v>44682</v>
      </c>
      <c r="J630" s="6">
        <v>0</v>
      </c>
      <c r="K630" s="60">
        <v>0</v>
      </c>
      <c r="L630" s="6">
        <v>41.817999999999998</v>
      </c>
      <c r="M630" s="60">
        <v>41.817999999999998</v>
      </c>
      <c r="N630" s="6">
        <v>41.817999999999998</v>
      </c>
      <c r="O630" s="60">
        <v>41.817999999999998</v>
      </c>
      <c r="P630" s="6">
        <v>0</v>
      </c>
      <c r="Q630" s="4" t="s">
        <v>26</v>
      </c>
      <c r="R630" s="4">
        <v>0</v>
      </c>
      <c r="S630" s="4">
        <v>0</v>
      </c>
      <c r="T630" s="4">
        <v>42</v>
      </c>
      <c r="U630" s="4">
        <v>66</v>
      </c>
      <c r="V630" s="60">
        <f>IF(ISERROR(VLOOKUP($S$630,'TAR FIN'!$A$1:$O$104,15,0)),0,VLOOKUP($S$630,'TAR FIN'!$A$1:$O$104,15,0))</f>
        <v>0</v>
      </c>
      <c r="W630" s="60">
        <f>IF(ISERROR(VLOOKUP($T$630,'TAR FIN'!$A$1:$O$104,15,0)),0,VLOOKUP($T$630,'TAR FIN'!$A$1:$O$104,15,0))*(1-0.04)</f>
        <v>1276.9824000000001</v>
      </c>
      <c r="X630" s="60">
        <f>IF(ISERROR(VLOOKUP($U$630,'TAR FIN'!$A$1:$O$104,15,0)),0,VLOOKUP($U$630,'TAR FIN'!$A$1:$O$104,15,0))*(1-0.04)</f>
        <v>381.71519999999998</v>
      </c>
      <c r="Y630" s="60"/>
      <c r="Z630" s="60">
        <f ca="1">('TUSD BE'!$AM$25+'TUSD BF'!$AM$25+'TUSD CVA'!$AM$25)*1*(1-0.02)</f>
        <v>1318.940588933358</v>
      </c>
      <c r="AA630" s="60">
        <f>('TE BE'!$AB$7+'TE BF'!$AB$7+'TE CVA'!$AB$7)*1*(1-0.02)</f>
        <v>353.05508603815775</v>
      </c>
      <c r="AB630" s="60">
        <f>(SUBSIDIO!$J$630*SUBSIDIO!$V$630)*(0.04)/(1-0.04)</f>
        <v>0</v>
      </c>
      <c r="AC630" s="60">
        <f>((SUBSIDIO!$L$630*SUBSIDIO!$W$630)+(SUBSIDIO!$N$630*SUBSIDIO!$X$630))*(0.04)/(1-0.04)</f>
        <v>2890.1423431999997</v>
      </c>
      <c r="AD630" s="60">
        <f>(SUBSIDIO!$J$630*SUBSIDIO!$Y$630)*(0.02)/(1-0.02)</f>
        <v>0</v>
      </c>
      <c r="AE630" s="60">
        <f ca="1">((SUBSIDIO!$L$630*SUBSIDIO!$Z$630)+(SUBSIDIO!$N$630*SUBSIDIO!$AA$630))*(0.02)/(1-0.02)</f>
        <v>1426.9288803256909</v>
      </c>
      <c r="AF630" s="4" t="s">
        <v>998</v>
      </c>
    </row>
    <row r="631" spans="1:32" ht="11.25" customHeight="1" x14ac:dyDescent="0.25">
      <c r="A631" s="4" t="s">
        <v>28</v>
      </c>
      <c r="B631" s="4" t="s">
        <v>41</v>
      </c>
      <c r="C631" s="4" t="s">
        <v>42</v>
      </c>
      <c r="D631" s="4" t="s">
        <v>45</v>
      </c>
      <c r="E631" s="4" t="s">
        <v>25</v>
      </c>
      <c r="F631" s="4" t="s">
        <v>25</v>
      </c>
      <c r="G631" s="4" t="s">
        <v>25</v>
      </c>
      <c r="H631" s="4" t="s">
        <v>34</v>
      </c>
      <c r="I631" s="5">
        <v>44682</v>
      </c>
      <c r="J631" s="6">
        <v>0</v>
      </c>
      <c r="K631" s="60">
        <v>0</v>
      </c>
      <c r="L631" s="6">
        <v>5.0430000000000001</v>
      </c>
      <c r="M631" s="60">
        <v>5.0430000000000001</v>
      </c>
      <c r="N631" s="6">
        <v>5.0430000000000001</v>
      </c>
      <c r="O631" s="60">
        <v>5.0430000000000001</v>
      </c>
      <c r="P631" s="6">
        <v>0</v>
      </c>
      <c r="Q631" s="4" t="s">
        <v>26</v>
      </c>
      <c r="R631" s="4">
        <v>0</v>
      </c>
      <c r="S631" s="4">
        <v>0</v>
      </c>
      <c r="T631" s="4">
        <v>42</v>
      </c>
      <c r="U631" s="4">
        <v>66</v>
      </c>
      <c r="V631" s="60">
        <f>IF(ISERROR(VLOOKUP($S$631,'TAR FIN'!$A$1:$O$104,15,0)),0,VLOOKUP($S$631,'TAR FIN'!$A$1:$O$104,15,0))</f>
        <v>0</v>
      </c>
      <c r="W631" s="60">
        <f>IF(ISERROR(VLOOKUP($T$631,'TAR FIN'!$A$1:$O$104,15,0)),0,VLOOKUP($T$631,'TAR FIN'!$A$1:$O$104,15,0))*(1-0.04)</f>
        <v>1276.9824000000001</v>
      </c>
      <c r="X631" s="60">
        <f>IF(ISERROR(VLOOKUP($U$631,'TAR FIN'!$A$1:$O$104,15,0)),0,VLOOKUP($U$631,'TAR FIN'!$A$1:$O$104,15,0))*(1-0.04)</f>
        <v>381.71519999999998</v>
      </c>
      <c r="Y631" s="60"/>
      <c r="Z631" s="60">
        <f ca="1">('TUSD BE'!$AM$25+'TUSD BF'!$AM$25+'TUSD CVA'!$AM$25)*1*(1-0.02)</f>
        <v>1318.940588933358</v>
      </c>
      <c r="AA631" s="60">
        <f>('TE BE'!$AB$7+'TE BF'!$AB$7+'TE CVA'!$AB$7)*1*(1-0.02)</f>
        <v>353.05508603815775</v>
      </c>
      <c r="AB631" s="60">
        <f>(SUBSIDIO!$J$631*SUBSIDIO!$V$631)*(0.04)/(1-0.04)</f>
        <v>0</v>
      </c>
      <c r="AC631" s="60">
        <f>((SUBSIDIO!$L$631*SUBSIDIO!$W$631)+(SUBSIDIO!$N$631*SUBSIDIO!$X$631))*(0.04)/(1-0.04)</f>
        <v>348.53383319999995</v>
      </c>
      <c r="AD631" s="60">
        <f>(SUBSIDIO!$J$631*SUBSIDIO!$Y$631)*(0.02)/(1-0.02)</f>
        <v>0</v>
      </c>
      <c r="AE631" s="60">
        <f ca="1">((SUBSIDIO!$L$631*SUBSIDIO!$Z$631)+(SUBSIDIO!$N$631*SUBSIDIO!$AA$631))*(0.02)/(1-0.02)</f>
        <v>172.07906507921132</v>
      </c>
      <c r="AF631" s="4" t="s">
        <v>998</v>
      </c>
    </row>
    <row r="632" spans="1:32" ht="11.25" customHeight="1" x14ac:dyDescent="0.25">
      <c r="A632" s="4" t="s">
        <v>21</v>
      </c>
      <c r="B632" s="4" t="s">
        <v>41</v>
      </c>
      <c r="C632" s="4" t="s">
        <v>42</v>
      </c>
      <c r="D632" s="4" t="s">
        <v>45</v>
      </c>
      <c r="E632" s="4" t="s">
        <v>25</v>
      </c>
      <c r="F632" s="4" t="s">
        <v>25</v>
      </c>
      <c r="G632" s="4" t="s">
        <v>25</v>
      </c>
      <c r="H632" s="4" t="s">
        <v>34</v>
      </c>
      <c r="I632" s="5">
        <v>44713</v>
      </c>
      <c r="J632" s="6">
        <v>0</v>
      </c>
      <c r="K632" s="60">
        <v>0</v>
      </c>
      <c r="L632" s="6">
        <v>34.619999999999997</v>
      </c>
      <c r="M632" s="60">
        <v>34.619999999999997</v>
      </c>
      <c r="N632" s="6">
        <v>34.619999999999997</v>
      </c>
      <c r="O632" s="60">
        <v>34.619999999999997</v>
      </c>
      <c r="P632" s="6">
        <v>0</v>
      </c>
      <c r="Q632" s="4" t="s">
        <v>26</v>
      </c>
      <c r="R632" s="4">
        <v>0</v>
      </c>
      <c r="S632" s="4">
        <v>0</v>
      </c>
      <c r="T632" s="4">
        <v>42</v>
      </c>
      <c r="U632" s="4">
        <v>66</v>
      </c>
      <c r="V632" s="60">
        <f>IF(ISERROR(VLOOKUP($S$632,'TAR FIN'!$A$1:$O$104,15,0)),0,VLOOKUP($S$632,'TAR FIN'!$A$1:$O$104,15,0))</f>
        <v>0</v>
      </c>
      <c r="W632" s="60">
        <f>IF(ISERROR(VLOOKUP($T$632,'TAR FIN'!$A$1:$O$104,15,0)),0,VLOOKUP($T$632,'TAR FIN'!$A$1:$O$104,15,0))*(1-0.04)</f>
        <v>1276.9824000000001</v>
      </c>
      <c r="X632" s="60">
        <f>IF(ISERROR(VLOOKUP($U$632,'TAR FIN'!$A$1:$O$104,15,0)),0,VLOOKUP($U$632,'TAR FIN'!$A$1:$O$104,15,0))*(1-0.04)</f>
        <v>381.71519999999998</v>
      </c>
      <c r="Y632" s="60"/>
      <c r="Z632" s="60">
        <f ca="1">('TUSD BE'!$AM$25+'TUSD BF'!$AM$25+'TUSD CVA'!$AM$25)*1*(1-0.02)</f>
        <v>1318.940588933358</v>
      </c>
      <c r="AA632" s="60">
        <f>('TE BE'!$AB$7+'TE BF'!$AB$7+'TE CVA'!$AB$7)*1*(1-0.02)</f>
        <v>353.05508603815775</v>
      </c>
      <c r="AB632" s="60">
        <f>(SUBSIDIO!$J$632*SUBSIDIO!$V$632)*(0.04)/(1-0.04)</f>
        <v>0</v>
      </c>
      <c r="AC632" s="60">
        <f>((SUBSIDIO!$L$632*SUBSIDIO!$W$632)+(SUBSIDIO!$N$632*SUBSIDIO!$X$632))*(0.04)/(1-0.04)</f>
        <v>2392.671288</v>
      </c>
      <c r="AD632" s="60">
        <f>(SUBSIDIO!$J$632*SUBSIDIO!$Y$632)*(0.02)/(1-0.02)</f>
        <v>0</v>
      </c>
      <c r="AE632" s="60">
        <f ca="1">((SUBSIDIO!$L$632*SUBSIDIO!$Z$632)+(SUBSIDIO!$N$632*SUBSIDIO!$AA$632))*(0.02)/(1-0.02)</f>
        <v>1181.3161279084466</v>
      </c>
      <c r="AF632" s="4" t="s">
        <v>998</v>
      </c>
    </row>
    <row r="633" spans="1:32" ht="11.25" customHeight="1" x14ac:dyDescent="0.25">
      <c r="A633" s="4" t="s">
        <v>28</v>
      </c>
      <c r="B633" s="4" t="s">
        <v>41</v>
      </c>
      <c r="C633" s="4" t="s">
        <v>42</v>
      </c>
      <c r="D633" s="4" t="s">
        <v>45</v>
      </c>
      <c r="E633" s="4" t="s">
        <v>25</v>
      </c>
      <c r="F633" s="4" t="s">
        <v>25</v>
      </c>
      <c r="G633" s="4" t="s">
        <v>25</v>
      </c>
      <c r="H633" s="4" t="s">
        <v>34</v>
      </c>
      <c r="I633" s="5">
        <v>44713</v>
      </c>
      <c r="J633" s="6">
        <v>0</v>
      </c>
      <c r="K633" s="60">
        <v>0</v>
      </c>
      <c r="L633" s="6">
        <v>4.3789999999999996</v>
      </c>
      <c r="M633" s="60">
        <v>4.3789999999999996</v>
      </c>
      <c r="N633" s="6">
        <v>4.3789999999999996</v>
      </c>
      <c r="O633" s="60">
        <v>4.3789999999999996</v>
      </c>
      <c r="P633" s="6">
        <v>0</v>
      </c>
      <c r="Q633" s="4" t="s">
        <v>26</v>
      </c>
      <c r="R633" s="4">
        <v>0</v>
      </c>
      <c r="S633" s="4">
        <v>0</v>
      </c>
      <c r="T633" s="4">
        <v>42</v>
      </c>
      <c r="U633" s="4">
        <v>66</v>
      </c>
      <c r="V633" s="60">
        <f>IF(ISERROR(VLOOKUP($S$633,'TAR FIN'!$A$1:$O$104,15,0)),0,VLOOKUP($S$633,'TAR FIN'!$A$1:$O$104,15,0))</f>
        <v>0</v>
      </c>
      <c r="W633" s="60">
        <f>IF(ISERROR(VLOOKUP($T$633,'TAR FIN'!$A$1:$O$104,15,0)),0,VLOOKUP($T$633,'TAR FIN'!$A$1:$O$104,15,0))*(1-0.04)</f>
        <v>1276.9824000000001</v>
      </c>
      <c r="X633" s="60">
        <f>IF(ISERROR(VLOOKUP($U$633,'TAR FIN'!$A$1:$O$104,15,0)),0,VLOOKUP($U$633,'TAR FIN'!$A$1:$O$104,15,0))*(1-0.04)</f>
        <v>381.71519999999998</v>
      </c>
      <c r="Y633" s="60"/>
      <c r="Z633" s="60">
        <f ca="1">('TUSD BE'!$AM$25+'TUSD BF'!$AM$25+'TUSD CVA'!$AM$25)*1*(1-0.02)</f>
        <v>1318.940588933358</v>
      </c>
      <c r="AA633" s="60">
        <f>('TE BE'!$AB$7+'TE BF'!$AB$7+'TE CVA'!$AB$7)*1*(1-0.02)</f>
        <v>353.05508603815775</v>
      </c>
      <c r="AB633" s="60">
        <f>(SUBSIDIO!$J$633*SUBSIDIO!$V$633)*(0.04)/(1-0.04)</f>
        <v>0</v>
      </c>
      <c r="AC633" s="60">
        <f>((SUBSIDIO!$L$633*SUBSIDIO!$W$633)+(SUBSIDIO!$N$633*SUBSIDIO!$X$633))*(0.04)/(1-0.04)</f>
        <v>302.64319959999995</v>
      </c>
      <c r="AD633" s="60">
        <f>(SUBSIDIO!$J$633*SUBSIDIO!$Y$633)*(0.02)/(1-0.02)</f>
        <v>0</v>
      </c>
      <c r="AE633" s="60">
        <f ca="1">((SUBSIDIO!$L$633*SUBSIDIO!$Z$633)+(SUBSIDIO!$N$633*SUBSIDIO!$AA$633))*(0.02)/(1-0.02)</f>
        <v>149.42181756531156</v>
      </c>
      <c r="AF633" s="4" t="s">
        <v>998</v>
      </c>
    </row>
    <row r="634" spans="1:32" ht="11.25" customHeight="1" x14ac:dyDescent="0.25">
      <c r="A634" s="4" t="s">
        <v>57</v>
      </c>
      <c r="B634" s="4" t="s">
        <v>41</v>
      </c>
      <c r="C634" s="4" t="s">
        <v>42</v>
      </c>
      <c r="D634" s="4" t="s">
        <v>45</v>
      </c>
      <c r="E634" s="4" t="s">
        <v>25</v>
      </c>
      <c r="F634" s="4" t="s">
        <v>25</v>
      </c>
      <c r="G634" s="4" t="s">
        <v>25</v>
      </c>
      <c r="H634" s="4" t="s">
        <v>34</v>
      </c>
      <c r="I634" s="5">
        <v>44743</v>
      </c>
      <c r="J634" s="6">
        <v>0</v>
      </c>
      <c r="K634" s="60">
        <v>0</v>
      </c>
      <c r="L634" s="6">
        <v>34.619999999999997</v>
      </c>
      <c r="M634" s="60">
        <v>34.619999999999997</v>
      </c>
      <c r="N634" s="6">
        <v>34.619999999999997</v>
      </c>
      <c r="O634" s="60">
        <v>34.619999999999997</v>
      </c>
      <c r="P634" s="6">
        <v>0</v>
      </c>
      <c r="Q634" s="4" t="s">
        <v>26</v>
      </c>
      <c r="R634" s="4">
        <v>0</v>
      </c>
      <c r="S634" s="4">
        <v>0</v>
      </c>
      <c r="T634" s="4">
        <v>42</v>
      </c>
      <c r="U634" s="4">
        <v>66</v>
      </c>
      <c r="V634" s="60">
        <f>IF(ISERROR(VLOOKUP($S$634,'TAR FIN'!$A$1:$O$104,15,0)),0,VLOOKUP($S$634,'TAR FIN'!$A$1:$O$104,15,0))</f>
        <v>0</v>
      </c>
      <c r="W634" s="60">
        <f>IF(ISERROR(VLOOKUP($T$634,'TAR FIN'!$A$1:$O$104,15,0)),0,VLOOKUP($T$634,'TAR FIN'!$A$1:$O$104,15,0))*(1-0.04)</f>
        <v>1276.9824000000001</v>
      </c>
      <c r="X634" s="60">
        <f>IF(ISERROR(VLOOKUP($U$634,'TAR FIN'!$A$1:$O$104,15,0)),0,VLOOKUP($U$634,'TAR FIN'!$A$1:$O$104,15,0))*(1-0.04)</f>
        <v>381.71519999999998</v>
      </c>
      <c r="Y634" s="60"/>
      <c r="Z634" s="60">
        <f ca="1">('TUSD BE'!$AM$25+'TUSD BF'!$AM$25+'TUSD CVA'!$AM$25)*1*(1-0.02)</f>
        <v>1318.940588933358</v>
      </c>
      <c r="AA634" s="60">
        <f>('TE BE'!$AB$7+'TE BF'!$AB$7+'TE CVA'!$AB$7)*1*(1-0.02)</f>
        <v>353.05508603815775</v>
      </c>
      <c r="AB634" s="60">
        <f>(SUBSIDIO!$J$634*SUBSIDIO!$V$634)*(0.04)/(1-0.04)</f>
        <v>0</v>
      </c>
      <c r="AC634" s="60">
        <f>((SUBSIDIO!$L$634*SUBSIDIO!$W$634)+(SUBSIDIO!$N$634*SUBSIDIO!$X$634))*(0.04)/(1-0.04)</f>
        <v>2392.671288</v>
      </c>
      <c r="AD634" s="60">
        <f>(SUBSIDIO!$J$634*SUBSIDIO!$Y$634)*(0.02)/(1-0.02)</f>
        <v>0</v>
      </c>
      <c r="AE634" s="60">
        <f ca="1">((SUBSIDIO!$L$634*SUBSIDIO!$Z$634)+(SUBSIDIO!$N$634*SUBSIDIO!$AA$634))*(0.02)/(1-0.02)</f>
        <v>1181.3161279084466</v>
      </c>
      <c r="AF634" s="4" t="s">
        <v>998</v>
      </c>
    </row>
    <row r="635" spans="1:32" ht="11.25" customHeight="1" x14ac:dyDescent="0.25">
      <c r="A635" s="4" t="s">
        <v>57</v>
      </c>
      <c r="B635" s="4" t="s">
        <v>41</v>
      </c>
      <c r="C635" s="4" t="s">
        <v>42</v>
      </c>
      <c r="D635" s="4" t="s">
        <v>45</v>
      </c>
      <c r="E635" s="4" t="s">
        <v>25</v>
      </c>
      <c r="F635" s="4" t="s">
        <v>25</v>
      </c>
      <c r="G635" s="4" t="s">
        <v>25</v>
      </c>
      <c r="H635" s="4" t="s">
        <v>34</v>
      </c>
      <c r="I635" s="5">
        <v>44743</v>
      </c>
      <c r="J635" s="6">
        <v>0</v>
      </c>
      <c r="K635" s="60">
        <v>0</v>
      </c>
      <c r="L635" s="6">
        <v>4.3789999999999996</v>
      </c>
      <c r="M635" s="60">
        <v>4.3789999999999996</v>
      </c>
      <c r="N635" s="6">
        <v>4.3789999999999996</v>
      </c>
      <c r="O635" s="60">
        <v>4.3789999999999996</v>
      </c>
      <c r="P635" s="6">
        <v>0</v>
      </c>
      <c r="Q635" s="4" t="s">
        <v>26</v>
      </c>
      <c r="R635" s="4">
        <v>0</v>
      </c>
      <c r="S635" s="4">
        <v>0</v>
      </c>
      <c r="T635" s="4">
        <v>42</v>
      </c>
      <c r="U635" s="4">
        <v>66</v>
      </c>
      <c r="V635" s="60">
        <f>IF(ISERROR(VLOOKUP($S$635,'TAR FIN'!$A$1:$O$104,15,0)),0,VLOOKUP($S$635,'TAR FIN'!$A$1:$O$104,15,0))</f>
        <v>0</v>
      </c>
      <c r="W635" s="60">
        <f>IF(ISERROR(VLOOKUP($T$635,'TAR FIN'!$A$1:$O$104,15,0)),0,VLOOKUP($T$635,'TAR FIN'!$A$1:$O$104,15,0))*(1-0.04)</f>
        <v>1276.9824000000001</v>
      </c>
      <c r="X635" s="60">
        <f>IF(ISERROR(VLOOKUP($U$635,'TAR FIN'!$A$1:$O$104,15,0)),0,VLOOKUP($U$635,'TAR FIN'!$A$1:$O$104,15,0))*(1-0.04)</f>
        <v>381.71519999999998</v>
      </c>
      <c r="Y635" s="60"/>
      <c r="Z635" s="60">
        <f ca="1">('TUSD BE'!$AM$25+'TUSD BF'!$AM$25+'TUSD CVA'!$AM$25)*1*(1-0.02)</f>
        <v>1318.940588933358</v>
      </c>
      <c r="AA635" s="60">
        <f>('TE BE'!$AB$7+'TE BF'!$AB$7+'TE CVA'!$AB$7)*1*(1-0.02)</f>
        <v>353.05508603815775</v>
      </c>
      <c r="AB635" s="60">
        <f>(SUBSIDIO!$J$635*SUBSIDIO!$V$635)*(0.04)/(1-0.04)</f>
        <v>0</v>
      </c>
      <c r="AC635" s="60">
        <f>((SUBSIDIO!$L$635*SUBSIDIO!$W$635)+(SUBSIDIO!$N$635*SUBSIDIO!$X$635))*(0.04)/(1-0.04)</f>
        <v>302.64319959999995</v>
      </c>
      <c r="AD635" s="60">
        <f>(SUBSIDIO!$J$635*SUBSIDIO!$Y$635)*(0.02)/(1-0.02)</f>
        <v>0</v>
      </c>
      <c r="AE635" s="60">
        <f ca="1">((SUBSIDIO!$L$635*SUBSIDIO!$Z$635)+(SUBSIDIO!$N$635*SUBSIDIO!$AA$635))*(0.02)/(1-0.02)</f>
        <v>149.42181756531156</v>
      </c>
      <c r="AF635" s="4" t="s">
        <v>998</v>
      </c>
    </row>
    <row r="636" spans="1:32" ht="11.25" customHeight="1" x14ac:dyDescent="0.25">
      <c r="A636" s="4" t="s">
        <v>21</v>
      </c>
      <c r="B636" s="4" t="s">
        <v>41</v>
      </c>
      <c r="C636" s="4" t="s">
        <v>42</v>
      </c>
      <c r="D636" s="4" t="s">
        <v>50</v>
      </c>
      <c r="E636" s="4" t="s">
        <v>51</v>
      </c>
      <c r="F636" s="4" t="s">
        <v>25</v>
      </c>
      <c r="G636" s="4" t="s">
        <v>25</v>
      </c>
      <c r="H636" s="4" t="s">
        <v>35</v>
      </c>
      <c r="I636" s="5">
        <v>44409</v>
      </c>
      <c r="J636" s="6">
        <v>0</v>
      </c>
      <c r="K636" s="60">
        <v>0</v>
      </c>
      <c r="L636" s="6">
        <v>2140.3910000000001</v>
      </c>
      <c r="M636" s="60">
        <v>2140.3910000000001</v>
      </c>
      <c r="N636" s="6">
        <v>2140.3910000000001</v>
      </c>
      <c r="O636" s="60">
        <v>2140.3910000000001</v>
      </c>
      <c r="P636" s="6">
        <v>0</v>
      </c>
      <c r="Q636" s="4" t="s">
        <v>26</v>
      </c>
      <c r="R636" s="4">
        <v>0</v>
      </c>
      <c r="S636" s="4">
        <v>0</v>
      </c>
      <c r="T636" s="4">
        <v>44</v>
      </c>
      <c r="U636" s="4">
        <v>67</v>
      </c>
      <c r="V636" s="60">
        <f>IF(ISERROR(VLOOKUP($S$636,'TAR FIN'!$A$1:$O$104,15,0)),0,VLOOKUP($S$636,'TAR FIN'!$A$1:$O$104,15,0))</f>
        <v>0</v>
      </c>
      <c r="W636" s="60">
        <f>IF(ISERROR(VLOOKUP($T$636,'TAR FIN'!$A$1:$O$104,15,0)),0,VLOOKUP($T$636,'TAR FIN'!$A$1:$O$104,15,0))*(1-0.06)</f>
        <v>58.815799999999996</v>
      </c>
      <c r="X636" s="60">
        <f>IF(ISERROR(VLOOKUP($U$636,'TAR FIN'!$A$1:$O$104,15,0)),0,VLOOKUP($U$636,'TAR FIN'!$A$1:$O$104,15,0))*(1-0.06)</f>
        <v>228.25079999999997</v>
      </c>
      <c r="Y636" s="60"/>
      <c r="Z636" s="60">
        <f ca="1">('TUSD BE'!$AM$26+'TUSD BF'!$AM$26+'TUSD CVA'!$AM$26)*1*(1-0.03)</f>
        <v>75.539915902184802</v>
      </c>
      <c r="AA636" s="60">
        <f>('TE BE'!$AB$8+'TE BF'!$AB$8+'TE CVA'!$AB$8)*1*(1-0.03)</f>
        <v>224.80969662802207</v>
      </c>
      <c r="AB636" s="60">
        <f>(SUBSIDIO!$J$636*SUBSIDIO!$V$636)*(0.06)/(1-0.06)</f>
        <v>0</v>
      </c>
      <c r="AC636" s="60">
        <f>((SUBSIDIO!$L$636*SUBSIDIO!$W$636)+(SUBSIDIO!$N$636*SUBSIDIO!$X$636))*(0.06)/(1-0.06)</f>
        <v>39219.240449399993</v>
      </c>
      <c r="AD636" s="60">
        <f>(SUBSIDIO!$J$636*SUBSIDIO!$Y$636)*(0.03)/(1-0.03)</f>
        <v>0</v>
      </c>
      <c r="AE636" s="60">
        <f ca="1">((SUBSIDIO!$L$636*SUBSIDIO!$Z$636)+(SUBSIDIO!$N$636*SUBSIDIO!$AA$636))*(0.03)/(1-0.03)</f>
        <v>19882.441469478617</v>
      </c>
      <c r="AF636" s="4" t="s">
        <v>999</v>
      </c>
    </row>
    <row r="637" spans="1:32" ht="11.25" customHeight="1" x14ac:dyDescent="0.25">
      <c r="A637" s="4" t="s">
        <v>21</v>
      </c>
      <c r="B637" s="4" t="s">
        <v>41</v>
      </c>
      <c r="C637" s="4" t="s">
        <v>42</v>
      </c>
      <c r="D637" s="4" t="s">
        <v>50</v>
      </c>
      <c r="E637" s="4" t="s">
        <v>51</v>
      </c>
      <c r="F637" s="4" t="s">
        <v>25</v>
      </c>
      <c r="G637" s="4" t="s">
        <v>25</v>
      </c>
      <c r="H637" s="4" t="s">
        <v>35</v>
      </c>
      <c r="I637" s="5">
        <v>44440</v>
      </c>
      <c r="J637" s="6">
        <v>0</v>
      </c>
      <c r="K637" s="60">
        <v>0</v>
      </c>
      <c r="L637" s="6">
        <v>2002.85</v>
      </c>
      <c r="M637" s="60">
        <v>2002.85</v>
      </c>
      <c r="N637" s="6">
        <v>2002.85</v>
      </c>
      <c r="O637" s="60">
        <v>2002.85</v>
      </c>
      <c r="P637" s="6">
        <v>0</v>
      </c>
      <c r="Q637" s="4" t="s">
        <v>26</v>
      </c>
      <c r="R637" s="4">
        <v>0</v>
      </c>
      <c r="S637" s="4">
        <v>0</v>
      </c>
      <c r="T637" s="4">
        <v>44</v>
      </c>
      <c r="U637" s="4">
        <v>67</v>
      </c>
      <c r="V637" s="60">
        <f>IF(ISERROR(VLOOKUP($S$637,'TAR FIN'!$A$1:$O$104,15,0)),0,VLOOKUP($S$637,'TAR FIN'!$A$1:$O$104,15,0))</f>
        <v>0</v>
      </c>
      <c r="W637" s="60">
        <f>IF(ISERROR(VLOOKUP($T$637,'TAR FIN'!$A$1:$O$104,15,0)),0,VLOOKUP($T$637,'TAR FIN'!$A$1:$O$104,15,0))*(1-0.06)</f>
        <v>58.815799999999996</v>
      </c>
      <c r="X637" s="60">
        <f>IF(ISERROR(VLOOKUP($U$637,'TAR FIN'!$A$1:$O$104,15,0)),0,VLOOKUP($U$637,'TAR FIN'!$A$1:$O$104,15,0))*(1-0.06)</f>
        <v>228.25079999999997</v>
      </c>
      <c r="Y637" s="60"/>
      <c r="Z637" s="60">
        <f ca="1">('TUSD BE'!$AM$26+'TUSD BF'!$AM$26+'TUSD CVA'!$AM$26)*1*(1-0.03)</f>
        <v>75.539915902184802</v>
      </c>
      <c r="AA637" s="60">
        <f>('TE BE'!$AB$8+'TE BF'!$AB$8+'TE CVA'!$AB$8)*1*(1-0.03)</f>
        <v>224.80969662802207</v>
      </c>
      <c r="AB637" s="60">
        <f>(SUBSIDIO!$J$637*SUBSIDIO!$V$637)*(0.06)/(1-0.06)</f>
        <v>0</v>
      </c>
      <c r="AC637" s="60">
        <f>((SUBSIDIO!$L$637*SUBSIDIO!$W$637)+(SUBSIDIO!$N$637*SUBSIDIO!$X$637))*(0.06)/(1-0.06)</f>
        <v>36699.021689999994</v>
      </c>
      <c r="AD637" s="60">
        <f>(SUBSIDIO!$J$637*SUBSIDIO!$Y$637)*(0.03)/(1-0.03)</f>
        <v>0</v>
      </c>
      <c r="AE637" s="60">
        <f ca="1">((SUBSIDIO!$L$637*SUBSIDIO!$Z$637)+(SUBSIDIO!$N$637*SUBSIDIO!$AA$637))*(0.03)/(1-0.03)</f>
        <v>18604.800663591486</v>
      </c>
      <c r="AF637" s="4" t="s">
        <v>999</v>
      </c>
    </row>
    <row r="638" spans="1:32" ht="11.25" customHeight="1" x14ac:dyDescent="0.25">
      <c r="A638" s="4" t="s">
        <v>21</v>
      </c>
      <c r="B638" s="4" t="s">
        <v>41</v>
      </c>
      <c r="C638" s="4" t="s">
        <v>42</v>
      </c>
      <c r="D638" s="4" t="s">
        <v>50</v>
      </c>
      <c r="E638" s="4" t="s">
        <v>51</v>
      </c>
      <c r="F638" s="4" t="s">
        <v>25</v>
      </c>
      <c r="G638" s="4" t="s">
        <v>25</v>
      </c>
      <c r="H638" s="4" t="s">
        <v>35</v>
      </c>
      <c r="I638" s="5">
        <v>44470</v>
      </c>
      <c r="J638" s="6">
        <v>0</v>
      </c>
      <c r="K638" s="60">
        <v>0</v>
      </c>
      <c r="L638" s="6">
        <v>2107.96</v>
      </c>
      <c r="M638" s="60">
        <v>2107.96</v>
      </c>
      <c r="N638" s="6">
        <v>2107.96</v>
      </c>
      <c r="O638" s="60">
        <v>2107.96</v>
      </c>
      <c r="P638" s="6">
        <v>0</v>
      </c>
      <c r="Q638" s="4" t="s">
        <v>26</v>
      </c>
      <c r="R638" s="4">
        <v>0</v>
      </c>
      <c r="S638" s="4">
        <v>0</v>
      </c>
      <c r="T638" s="4">
        <v>44</v>
      </c>
      <c r="U638" s="4">
        <v>67</v>
      </c>
      <c r="V638" s="60">
        <f>IF(ISERROR(VLOOKUP($S$638,'TAR FIN'!$A$1:$O$104,15,0)),0,VLOOKUP($S$638,'TAR FIN'!$A$1:$O$104,15,0))</f>
        <v>0</v>
      </c>
      <c r="W638" s="60">
        <f>IF(ISERROR(VLOOKUP($T$638,'TAR FIN'!$A$1:$O$104,15,0)),0,VLOOKUP($T$638,'TAR FIN'!$A$1:$O$104,15,0))*(1-0.06)</f>
        <v>58.815799999999996</v>
      </c>
      <c r="X638" s="60">
        <f>IF(ISERROR(VLOOKUP($U$638,'TAR FIN'!$A$1:$O$104,15,0)),0,VLOOKUP($U$638,'TAR FIN'!$A$1:$O$104,15,0))*(1-0.06)</f>
        <v>228.25079999999997</v>
      </c>
      <c r="Y638" s="60"/>
      <c r="Z638" s="60">
        <f ca="1">('TUSD BE'!$AM$26+'TUSD BF'!$AM$26+'TUSD CVA'!$AM$26)*1*(1-0.03)</f>
        <v>75.539915902184802</v>
      </c>
      <c r="AA638" s="60">
        <f>('TE BE'!$AB$8+'TE BF'!$AB$8+'TE CVA'!$AB$8)*1*(1-0.03)</f>
        <v>224.80969662802207</v>
      </c>
      <c r="AB638" s="60">
        <f>(SUBSIDIO!$J$638*SUBSIDIO!$V$638)*(0.06)/(1-0.06)</f>
        <v>0</v>
      </c>
      <c r="AC638" s="60">
        <f>((SUBSIDIO!$L$638*SUBSIDIO!$W$638)+(SUBSIDIO!$N$638*SUBSIDIO!$X$638))*(0.06)/(1-0.06)</f>
        <v>38624.994263999994</v>
      </c>
      <c r="AD638" s="60">
        <f>(SUBSIDIO!$J$638*SUBSIDIO!$Y$638)*(0.03)/(1-0.03)</f>
        <v>0</v>
      </c>
      <c r="AE638" s="60">
        <f ca="1">((SUBSIDIO!$L$638*SUBSIDIO!$Z$638)+(SUBSIDIO!$N$638*SUBSIDIO!$AA$638))*(0.03)/(1-0.03)</f>
        <v>19581.184615335307</v>
      </c>
      <c r="AF638" s="4" t="s">
        <v>999</v>
      </c>
    </row>
    <row r="639" spans="1:32" ht="11.25" customHeight="1" x14ac:dyDescent="0.25">
      <c r="A639" s="4" t="s">
        <v>21</v>
      </c>
      <c r="B639" s="4" t="s">
        <v>41</v>
      </c>
      <c r="C639" s="4" t="s">
        <v>42</v>
      </c>
      <c r="D639" s="4" t="s">
        <v>50</v>
      </c>
      <c r="E639" s="4" t="s">
        <v>51</v>
      </c>
      <c r="F639" s="4" t="s">
        <v>25</v>
      </c>
      <c r="G639" s="4" t="s">
        <v>25</v>
      </c>
      <c r="H639" s="4" t="s">
        <v>35</v>
      </c>
      <c r="I639" s="5">
        <v>44501</v>
      </c>
      <c r="J639" s="6">
        <v>0</v>
      </c>
      <c r="K639" s="60">
        <v>0</v>
      </c>
      <c r="L639" s="6">
        <v>2219.277</v>
      </c>
      <c r="M639" s="60">
        <v>2219.277</v>
      </c>
      <c r="N639" s="6">
        <v>2219.277</v>
      </c>
      <c r="O639" s="60">
        <v>2219.277</v>
      </c>
      <c r="P639" s="6">
        <v>0</v>
      </c>
      <c r="Q639" s="4" t="s">
        <v>26</v>
      </c>
      <c r="R639" s="4">
        <v>0</v>
      </c>
      <c r="S639" s="4">
        <v>0</v>
      </c>
      <c r="T639" s="4">
        <v>44</v>
      </c>
      <c r="U639" s="4">
        <v>67</v>
      </c>
      <c r="V639" s="60">
        <f>IF(ISERROR(VLOOKUP($S$639,'TAR FIN'!$A$1:$O$104,15,0)),0,VLOOKUP($S$639,'TAR FIN'!$A$1:$O$104,15,0))</f>
        <v>0</v>
      </c>
      <c r="W639" s="60">
        <f>IF(ISERROR(VLOOKUP($T$639,'TAR FIN'!$A$1:$O$104,15,0)),0,VLOOKUP($T$639,'TAR FIN'!$A$1:$O$104,15,0))*(1-0.06)</f>
        <v>58.815799999999996</v>
      </c>
      <c r="X639" s="60">
        <f>IF(ISERROR(VLOOKUP($U$639,'TAR FIN'!$A$1:$O$104,15,0)),0,VLOOKUP($U$639,'TAR FIN'!$A$1:$O$104,15,0))*(1-0.06)</f>
        <v>228.25079999999997</v>
      </c>
      <c r="Y639" s="60"/>
      <c r="Z639" s="60">
        <f ca="1">('TUSD BE'!$AM$26+'TUSD BF'!$AM$26+'TUSD CVA'!$AM$26)*1*(1-0.03)</f>
        <v>75.539915902184802</v>
      </c>
      <c r="AA639" s="60">
        <f>('TE BE'!$AB$8+'TE BF'!$AB$8+'TE CVA'!$AB$8)*1*(1-0.03)</f>
        <v>224.80969662802207</v>
      </c>
      <c r="AB639" s="60">
        <f>(SUBSIDIO!$J$639*SUBSIDIO!$V$639)*(0.06)/(1-0.06)</f>
        <v>0</v>
      </c>
      <c r="AC639" s="60">
        <f>((SUBSIDIO!$L$639*SUBSIDIO!$W$639)+(SUBSIDIO!$N$639*SUBSIDIO!$X$639))*(0.06)/(1-0.06)</f>
        <v>40664.700181799999</v>
      </c>
      <c r="AD639" s="60">
        <f>(SUBSIDIO!$J$639*SUBSIDIO!$Y$639)*(0.03)/(1-0.03)</f>
        <v>0</v>
      </c>
      <c r="AE639" s="60">
        <f ca="1">((SUBSIDIO!$L$639*SUBSIDIO!$Z$639)+(SUBSIDIO!$N$639*SUBSIDIO!$AA$639))*(0.03)/(1-0.03)</f>
        <v>20615.22640352165</v>
      </c>
      <c r="AF639" s="4" t="s">
        <v>999</v>
      </c>
    </row>
    <row r="640" spans="1:32" ht="11.25" customHeight="1" x14ac:dyDescent="0.25">
      <c r="A640" s="4" t="s">
        <v>21</v>
      </c>
      <c r="B640" s="4" t="s">
        <v>41</v>
      </c>
      <c r="C640" s="4" t="s">
        <v>42</v>
      </c>
      <c r="D640" s="4" t="s">
        <v>50</v>
      </c>
      <c r="E640" s="4" t="s">
        <v>51</v>
      </c>
      <c r="F640" s="4" t="s">
        <v>25</v>
      </c>
      <c r="G640" s="4" t="s">
        <v>25</v>
      </c>
      <c r="H640" s="4" t="s">
        <v>35</v>
      </c>
      <c r="I640" s="5">
        <v>44531</v>
      </c>
      <c r="J640" s="6">
        <v>0</v>
      </c>
      <c r="K640" s="60">
        <v>0</v>
      </c>
      <c r="L640" s="6">
        <v>2049.038</v>
      </c>
      <c r="M640" s="60">
        <v>2049.038</v>
      </c>
      <c r="N640" s="6">
        <v>2049.038</v>
      </c>
      <c r="O640" s="60">
        <v>2049.038</v>
      </c>
      <c r="P640" s="6">
        <v>0</v>
      </c>
      <c r="Q640" s="4" t="s">
        <v>26</v>
      </c>
      <c r="R640" s="4">
        <v>0</v>
      </c>
      <c r="S640" s="4">
        <v>0</v>
      </c>
      <c r="T640" s="4">
        <v>44</v>
      </c>
      <c r="U640" s="4">
        <v>67</v>
      </c>
      <c r="V640" s="60">
        <f>IF(ISERROR(VLOOKUP($S$640,'TAR FIN'!$A$1:$O$104,15,0)),0,VLOOKUP($S$640,'TAR FIN'!$A$1:$O$104,15,0))</f>
        <v>0</v>
      </c>
      <c r="W640" s="60">
        <f>IF(ISERROR(VLOOKUP($T$640,'TAR FIN'!$A$1:$O$104,15,0)),0,VLOOKUP($T$640,'TAR FIN'!$A$1:$O$104,15,0))*(1-0.06)</f>
        <v>58.815799999999996</v>
      </c>
      <c r="X640" s="60">
        <f>IF(ISERROR(VLOOKUP($U$640,'TAR FIN'!$A$1:$O$104,15,0)),0,VLOOKUP($U$640,'TAR FIN'!$A$1:$O$104,15,0))*(1-0.06)</f>
        <v>228.25079999999997</v>
      </c>
      <c r="Y640" s="60"/>
      <c r="Z640" s="60">
        <f ca="1">('TUSD BE'!$AM$26+'TUSD BF'!$AM$26+'TUSD CVA'!$AM$26)*1*(1-0.03)</f>
        <v>75.539915902184802</v>
      </c>
      <c r="AA640" s="60">
        <f>('TE BE'!$AB$8+'TE BF'!$AB$8+'TE CVA'!$AB$8)*1*(1-0.03)</f>
        <v>224.80969662802207</v>
      </c>
      <c r="AB640" s="60">
        <f>(SUBSIDIO!$J$640*SUBSIDIO!$V$640)*(0.06)/(1-0.06)</f>
        <v>0</v>
      </c>
      <c r="AC640" s="60">
        <f>((SUBSIDIO!$L$640*SUBSIDIO!$W$640)+(SUBSIDIO!$N$640*SUBSIDIO!$X$640))*(0.06)/(1-0.06)</f>
        <v>37545.342889199994</v>
      </c>
      <c r="AD640" s="60">
        <f>(SUBSIDIO!$J$640*SUBSIDIO!$Y$640)*(0.03)/(1-0.03)</f>
        <v>0</v>
      </c>
      <c r="AE640" s="60">
        <f ca="1">((SUBSIDIO!$L$640*SUBSIDIO!$Z$640)+(SUBSIDIO!$N$640*SUBSIDIO!$AA$640))*(0.03)/(1-0.03)</f>
        <v>19033.84853689701</v>
      </c>
      <c r="AF640" s="4" t="s">
        <v>999</v>
      </c>
    </row>
    <row r="641" spans="1:32" ht="11.25" customHeight="1" x14ac:dyDescent="0.25">
      <c r="A641" s="4" t="s">
        <v>21</v>
      </c>
      <c r="B641" s="4" t="s">
        <v>41</v>
      </c>
      <c r="C641" s="4" t="s">
        <v>42</v>
      </c>
      <c r="D641" s="4" t="s">
        <v>50</v>
      </c>
      <c r="E641" s="4" t="s">
        <v>51</v>
      </c>
      <c r="F641" s="4" t="s">
        <v>25</v>
      </c>
      <c r="G641" s="4" t="s">
        <v>25</v>
      </c>
      <c r="H641" s="4" t="s">
        <v>35</v>
      </c>
      <c r="I641" s="5">
        <v>44562</v>
      </c>
      <c r="J641" s="6">
        <v>0</v>
      </c>
      <c r="K641" s="60">
        <v>0</v>
      </c>
      <c r="L641" s="6">
        <v>2257.6480000000001</v>
      </c>
      <c r="M641" s="60">
        <v>2257.6480000000001</v>
      </c>
      <c r="N641" s="6">
        <v>2257.6480000000001</v>
      </c>
      <c r="O641" s="60">
        <v>2257.6480000000001</v>
      </c>
      <c r="P641" s="6">
        <v>0</v>
      </c>
      <c r="Q641" s="4" t="s">
        <v>26</v>
      </c>
      <c r="R641" s="4">
        <v>0</v>
      </c>
      <c r="S641" s="4">
        <v>0</v>
      </c>
      <c r="T641" s="4">
        <v>44</v>
      </c>
      <c r="U641" s="4">
        <v>67</v>
      </c>
      <c r="V641" s="60">
        <f>IF(ISERROR(VLOOKUP($S$641,'TAR FIN'!$A$1:$O$104,15,0)),0,VLOOKUP($S$641,'TAR FIN'!$A$1:$O$104,15,0))</f>
        <v>0</v>
      </c>
      <c r="W641" s="60">
        <f>IF(ISERROR(VLOOKUP($T$641,'TAR FIN'!$A$1:$O$104,15,0)),0,VLOOKUP($T$641,'TAR FIN'!$A$1:$O$104,15,0))*(1-0.06)</f>
        <v>58.815799999999996</v>
      </c>
      <c r="X641" s="60">
        <f>IF(ISERROR(VLOOKUP($U$641,'TAR FIN'!$A$1:$O$104,15,0)),0,VLOOKUP($U$641,'TAR FIN'!$A$1:$O$104,15,0))*(1-0.06)</f>
        <v>228.25079999999997</v>
      </c>
      <c r="Y641" s="60"/>
      <c r="Z641" s="60">
        <f ca="1">('TUSD BE'!$AM$26+'TUSD BF'!$AM$26+'TUSD CVA'!$AM$26)*1*(1-0.03)</f>
        <v>75.539915902184802</v>
      </c>
      <c r="AA641" s="60">
        <f>('TE BE'!$AB$8+'TE BF'!$AB$8+'TE CVA'!$AB$8)*1*(1-0.03)</f>
        <v>224.80969662802207</v>
      </c>
      <c r="AB641" s="60">
        <f>(SUBSIDIO!$J$641*SUBSIDIO!$V$641)*(0.06)/(1-0.06)</f>
        <v>0</v>
      </c>
      <c r="AC641" s="60">
        <f>((SUBSIDIO!$L$641*SUBSIDIO!$W$641)+(SUBSIDIO!$N$641*SUBSIDIO!$X$641))*(0.06)/(1-0.06)</f>
        <v>41367.787363199997</v>
      </c>
      <c r="AD641" s="60">
        <f>(SUBSIDIO!$J$641*SUBSIDIO!$Y$641)*(0.03)/(1-0.03)</f>
        <v>0</v>
      </c>
      <c r="AE641" s="60">
        <f ca="1">((SUBSIDIO!$L$641*SUBSIDIO!$Z$641)+(SUBSIDIO!$N$641*SUBSIDIO!$AA$641))*(0.03)/(1-0.03)</f>
        <v>20971.660887513295</v>
      </c>
      <c r="AF641" s="4" t="s">
        <v>999</v>
      </c>
    </row>
    <row r="642" spans="1:32" ht="11.25" customHeight="1" x14ac:dyDescent="0.25">
      <c r="A642" s="4" t="s">
        <v>21</v>
      </c>
      <c r="B642" s="4" t="s">
        <v>41</v>
      </c>
      <c r="C642" s="4" t="s">
        <v>42</v>
      </c>
      <c r="D642" s="4" t="s">
        <v>50</v>
      </c>
      <c r="E642" s="4" t="s">
        <v>51</v>
      </c>
      <c r="F642" s="4" t="s">
        <v>25</v>
      </c>
      <c r="G642" s="4" t="s">
        <v>25</v>
      </c>
      <c r="H642" s="4" t="s">
        <v>35</v>
      </c>
      <c r="I642" s="5">
        <v>44593</v>
      </c>
      <c r="J642" s="6">
        <v>0</v>
      </c>
      <c r="K642" s="60">
        <v>0</v>
      </c>
      <c r="L642" s="6">
        <v>2031.07</v>
      </c>
      <c r="M642" s="60">
        <v>2031.07</v>
      </c>
      <c r="N642" s="6">
        <v>2031.07</v>
      </c>
      <c r="O642" s="60">
        <v>2031.07</v>
      </c>
      <c r="P642" s="6">
        <v>0</v>
      </c>
      <c r="Q642" s="4" t="s">
        <v>26</v>
      </c>
      <c r="R642" s="4">
        <v>0</v>
      </c>
      <c r="S642" s="4">
        <v>0</v>
      </c>
      <c r="T642" s="4">
        <v>44</v>
      </c>
      <c r="U642" s="4">
        <v>67</v>
      </c>
      <c r="V642" s="60">
        <f>IF(ISERROR(VLOOKUP($S$642,'TAR FIN'!$A$1:$O$104,15,0)),0,VLOOKUP($S$642,'TAR FIN'!$A$1:$O$104,15,0))</f>
        <v>0</v>
      </c>
      <c r="W642" s="60">
        <f>IF(ISERROR(VLOOKUP($T$642,'TAR FIN'!$A$1:$O$104,15,0)),0,VLOOKUP($T$642,'TAR FIN'!$A$1:$O$104,15,0))*(1-0.06)</f>
        <v>58.815799999999996</v>
      </c>
      <c r="X642" s="60">
        <f>IF(ISERROR(VLOOKUP($U$642,'TAR FIN'!$A$1:$O$104,15,0)),0,VLOOKUP($U$642,'TAR FIN'!$A$1:$O$104,15,0))*(1-0.06)</f>
        <v>228.25079999999997</v>
      </c>
      <c r="Y642" s="60"/>
      <c r="Z642" s="60">
        <f ca="1">('TUSD BE'!$AM$26+'TUSD BF'!$AM$26+'TUSD CVA'!$AM$26)*1*(1-0.03)</f>
        <v>75.539915902184802</v>
      </c>
      <c r="AA642" s="60">
        <f>('TE BE'!$AB$8+'TE BF'!$AB$8+'TE CVA'!$AB$8)*1*(1-0.03)</f>
        <v>224.80969662802207</v>
      </c>
      <c r="AB642" s="60">
        <f>(SUBSIDIO!$J$642*SUBSIDIO!$V$642)*(0.06)/(1-0.06)</f>
        <v>0</v>
      </c>
      <c r="AC642" s="60">
        <f>((SUBSIDIO!$L$642*SUBSIDIO!$W$642)+(SUBSIDIO!$N$642*SUBSIDIO!$X$642))*(0.06)/(1-0.06)</f>
        <v>37216.108037999998</v>
      </c>
      <c r="AD642" s="60">
        <f>(SUBSIDIO!$J$642*SUBSIDIO!$Y$642)*(0.03)/(1-0.03)</f>
        <v>0</v>
      </c>
      <c r="AE642" s="60">
        <f ca="1">((SUBSIDIO!$L$642*SUBSIDIO!$Z$642)+(SUBSIDIO!$N$642*SUBSIDIO!$AA$642))*(0.03)/(1-0.03)</f>
        <v>18866.940851187439</v>
      </c>
      <c r="AF642" s="4" t="s">
        <v>999</v>
      </c>
    </row>
    <row r="643" spans="1:32" ht="11.25" customHeight="1" x14ac:dyDescent="0.25">
      <c r="A643" s="4" t="s">
        <v>21</v>
      </c>
      <c r="B643" s="4" t="s">
        <v>41</v>
      </c>
      <c r="C643" s="4" t="s">
        <v>42</v>
      </c>
      <c r="D643" s="4" t="s">
        <v>50</v>
      </c>
      <c r="E643" s="4" t="s">
        <v>51</v>
      </c>
      <c r="F643" s="4" t="s">
        <v>25</v>
      </c>
      <c r="G643" s="4" t="s">
        <v>25</v>
      </c>
      <c r="H643" s="4" t="s">
        <v>35</v>
      </c>
      <c r="I643" s="5">
        <v>44621</v>
      </c>
      <c r="J643" s="6">
        <v>0</v>
      </c>
      <c r="K643" s="60">
        <v>0</v>
      </c>
      <c r="L643" s="6">
        <v>1982.943</v>
      </c>
      <c r="M643" s="60">
        <v>1982.943</v>
      </c>
      <c r="N643" s="6">
        <v>1982.943</v>
      </c>
      <c r="O643" s="60">
        <v>1982.943</v>
      </c>
      <c r="P643" s="6">
        <v>0</v>
      </c>
      <c r="Q643" s="4" t="s">
        <v>26</v>
      </c>
      <c r="R643" s="4">
        <v>0</v>
      </c>
      <c r="S643" s="4">
        <v>0</v>
      </c>
      <c r="T643" s="4">
        <v>44</v>
      </c>
      <c r="U643" s="4">
        <v>67</v>
      </c>
      <c r="V643" s="60">
        <f>IF(ISERROR(VLOOKUP($S$643,'TAR FIN'!$A$1:$O$104,15,0)),0,VLOOKUP($S$643,'TAR FIN'!$A$1:$O$104,15,0))</f>
        <v>0</v>
      </c>
      <c r="W643" s="60">
        <f>IF(ISERROR(VLOOKUP($T$643,'TAR FIN'!$A$1:$O$104,15,0)),0,VLOOKUP($T$643,'TAR FIN'!$A$1:$O$104,15,0))*(1-0.06)</f>
        <v>58.815799999999996</v>
      </c>
      <c r="X643" s="60">
        <f>IF(ISERROR(VLOOKUP($U$643,'TAR FIN'!$A$1:$O$104,15,0)),0,VLOOKUP($U$643,'TAR FIN'!$A$1:$O$104,15,0))*(1-0.06)</f>
        <v>228.25079999999997</v>
      </c>
      <c r="Y643" s="60"/>
      <c r="Z643" s="60">
        <f ca="1">('TUSD BE'!$AM$26+'TUSD BF'!$AM$26+'TUSD CVA'!$AM$26)*1*(1-0.03)</f>
        <v>75.539915902184802</v>
      </c>
      <c r="AA643" s="60">
        <f>('TE BE'!$AB$8+'TE BF'!$AB$8+'TE CVA'!$AB$8)*1*(1-0.03)</f>
        <v>224.80969662802207</v>
      </c>
      <c r="AB643" s="60">
        <f>(SUBSIDIO!$J$643*SUBSIDIO!$V$643)*(0.06)/(1-0.06)</f>
        <v>0</v>
      </c>
      <c r="AC643" s="60">
        <f>((SUBSIDIO!$L$643*SUBSIDIO!$W$643)+(SUBSIDIO!$N$643*SUBSIDIO!$X$643))*(0.06)/(1-0.06)</f>
        <v>36334.257766199989</v>
      </c>
      <c r="AD643" s="60">
        <f>(SUBSIDIO!$J$643*SUBSIDIO!$Y$643)*(0.03)/(1-0.03)</f>
        <v>0</v>
      </c>
      <c r="AE643" s="60">
        <f ca="1">((SUBSIDIO!$L$643*SUBSIDIO!$Z$643)+(SUBSIDIO!$N$643*SUBSIDIO!$AA$643))*(0.03)/(1-0.03)</f>
        <v>18419.881290293382</v>
      </c>
      <c r="AF643" s="4" t="s">
        <v>999</v>
      </c>
    </row>
    <row r="644" spans="1:32" ht="11.25" customHeight="1" x14ac:dyDescent="0.25">
      <c r="A644" s="4" t="s">
        <v>21</v>
      </c>
      <c r="B644" s="4" t="s">
        <v>41</v>
      </c>
      <c r="C644" s="4" t="s">
        <v>42</v>
      </c>
      <c r="D644" s="4" t="s">
        <v>50</v>
      </c>
      <c r="E644" s="4" t="s">
        <v>51</v>
      </c>
      <c r="F644" s="4" t="s">
        <v>25</v>
      </c>
      <c r="G644" s="4" t="s">
        <v>25</v>
      </c>
      <c r="H644" s="4" t="s">
        <v>35</v>
      </c>
      <c r="I644" s="5">
        <v>44652</v>
      </c>
      <c r="J644" s="6">
        <v>0</v>
      </c>
      <c r="K644" s="60">
        <v>0</v>
      </c>
      <c r="L644" s="6">
        <v>2214.62</v>
      </c>
      <c r="M644" s="60">
        <v>2214.62</v>
      </c>
      <c r="N644" s="6">
        <v>2214.62</v>
      </c>
      <c r="O644" s="60">
        <v>2214.62</v>
      </c>
      <c r="P644" s="6">
        <v>0</v>
      </c>
      <c r="Q644" s="4" t="s">
        <v>26</v>
      </c>
      <c r="R644" s="4">
        <v>0</v>
      </c>
      <c r="S644" s="4">
        <v>0</v>
      </c>
      <c r="T644" s="4">
        <v>44</v>
      </c>
      <c r="U644" s="4">
        <v>67</v>
      </c>
      <c r="V644" s="60">
        <f>IF(ISERROR(VLOOKUP($S$644,'TAR FIN'!$A$1:$O$104,15,0)),0,VLOOKUP($S$644,'TAR FIN'!$A$1:$O$104,15,0))</f>
        <v>0</v>
      </c>
      <c r="W644" s="60">
        <f>IF(ISERROR(VLOOKUP($T$644,'TAR FIN'!$A$1:$O$104,15,0)),0,VLOOKUP($T$644,'TAR FIN'!$A$1:$O$104,15,0))*(1-0.06)</f>
        <v>58.815799999999996</v>
      </c>
      <c r="X644" s="60">
        <f>IF(ISERROR(VLOOKUP($U$644,'TAR FIN'!$A$1:$O$104,15,0)),0,VLOOKUP($U$644,'TAR FIN'!$A$1:$O$104,15,0))*(1-0.06)</f>
        <v>228.25079999999997</v>
      </c>
      <c r="Y644" s="60"/>
      <c r="Z644" s="60">
        <f ca="1">('TUSD BE'!$AM$26+'TUSD BF'!$AM$26+'TUSD CVA'!$AM$26)*1*(1-0.03)</f>
        <v>75.539915902184802</v>
      </c>
      <c r="AA644" s="60">
        <f>('TE BE'!$AB$8+'TE BF'!$AB$8+'TE CVA'!$AB$8)*1*(1-0.03)</f>
        <v>224.80969662802207</v>
      </c>
      <c r="AB644" s="60">
        <f>(SUBSIDIO!$J$644*SUBSIDIO!$V$644)*(0.06)/(1-0.06)</f>
        <v>0</v>
      </c>
      <c r="AC644" s="60">
        <f>((SUBSIDIO!$L$644*SUBSIDIO!$W$644)+(SUBSIDIO!$N$644*SUBSIDIO!$X$644))*(0.06)/(1-0.06)</f>
        <v>40579.368107999995</v>
      </c>
      <c r="AD644" s="60">
        <f>(SUBSIDIO!$J$644*SUBSIDIO!$Y$644)*(0.03)/(1-0.03)</f>
        <v>0</v>
      </c>
      <c r="AE644" s="60">
        <f ca="1">((SUBSIDIO!$L$644*SUBSIDIO!$Z$644)+(SUBSIDIO!$N$644*SUBSIDIO!$AA$644))*(0.03)/(1-0.03)</f>
        <v>20571.966770154024</v>
      </c>
      <c r="AF644" s="4" t="s">
        <v>999</v>
      </c>
    </row>
    <row r="645" spans="1:32" ht="11.25" customHeight="1" x14ac:dyDescent="0.25">
      <c r="A645" s="4" t="s">
        <v>21</v>
      </c>
      <c r="B645" s="4" t="s">
        <v>41</v>
      </c>
      <c r="C645" s="4" t="s">
        <v>42</v>
      </c>
      <c r="D645" s="4" t="s">
        <v>50</v>
      </c>
      <c r="E645" s="4" t="s">
        <v>51</v>
      </c>
      <c r="F645" s="4" t="s">
        <v>25</v>
      </c>
      <c r="G645" s="4" t="s">
        <v>25</v>
      </c>
      <c r="H645" s="4" t="s">
        <v>35</v>
      </c>
      <c r="I645" s="5">
        <v>44682</v>
      </c>
      <c r="J645" s="6">
        <v>0</v>
      </c>
      <c r="K645" s="60">
        <v>0</v>
      </c>
      <c r="L645" s="6">
        <v>2133.7860000000001</v>
      </c>
      <c r="M645" s="60">
        <v>2133.7860000000001</v>
      </c>
      <c r="N645" s="6">
        <v>2133.7860000000001</v>
      </c>
      <c r="O645" s="60">
        <v>2133.7860000000001</v>
      </c>
      <c r="P645" s="6">
        <v>0</v>
      </c>
      <c r="Q645" s="4" t="s">
        <v>26</v>
      </c>
      <c r="R645" s="4">
        <v>0</v>
      </c>
      <c r="S645" s="4">
        <v>0</v>
      </c>
      <c r="T645" s="4">
        <v>44</v>
      </c>
      <c r="U645" s="4">
        <v>67</v>
      </c>
      <c r="V645" s="60">
        <f>IF(ISERROR(VLOOKUP($S$645,'TAR FIN'!$A$1:$O$104,15,0)),0,VLOOKUP($S$645,'TAR FIN'!$A$1:$O$104,15,0))</f>
        <v>0</v>
      </c>
      <c r="W645" s="60">
        <f>IF(ISERROR(VLOOKUP($T$645,'TAR FIN'!$A$1:$O$104,15,0)),0,VLOOKUP($T$645,'TAR FIN'!$A$1:$O$104,15,0))*(1-0.06)</f>
        <v>58.815799999999996</v>
      </c>
      <c r="X645" s="60">
        <f>IF(ISERROR(VLOOKUP($U$645,'TAR FIN'!$A$1:$O$104,15,0)),0,VLOOKUP($U$645,'TAR FIN'!$A$1:$O$104,15,0))*(1-0.06)</f>
        <v>228.25079999999997</v>
      </c>
      <c r="Y645" s="60"/>
      <c r="Z645" s="60">
        <f ca="1">('TUSD BE'!$AM$26+'TUSD BF'!$AM$26+'TUSD CVA'!$AM$26)*1*(1-0.03)</f>
        <v>75.539915902184802</v>
      </c>
      <c r="AA645" s="60">
        <f>('TE BE'!$AB$8+'TE BF'!$AB$8+'TE CVA'!$AB$8)*1*(1-0.03)</f>
        <v>224.80969662802207</v>
      </c>
      <c r="AB645" s="60">
        <f>(SUBSIDIO!$J$645*SUBSIDIO!$V$645)*(0.06)/(1-0.06)</f>
        <v>0</v>
      </c>
      <c r="AC645" s="60">
        <f>((SUBSIDIO!$L$645*SUBSIDIO!$W$645)+(SUBSIDIO!$N$645*SUBSIDIO!$X$645))*(0.06)/(1-0.06)</f>
        <v>39098.214392399997</v>
      </c>
      <c r="AD645" s="60">
        <f>(SUBSIDIO!$J$645*SUBSIDIO!$Y$645)*(0.03)/(1-0.03)</f>
        <v>0</v>
      </c>
      <c r="AE645" s="60">
        <f ca="1">((SUBSIDIO!$L$645*SUBSIDIO!$Z$645)+(SUBSIDIO!$N$645*SUBSIDIO!$AA$645))*(0.03)/(1-0.03)</f>
        <v>19821.086546052993</v>
      </c>
      <c r="AF645" s="4" t="s">
        <v>999</v>
      </c>
    </row>
    <row r="646" spans="1:32" ht="11.25" customHeight="1" x14ac:dyDescent="0.25">
      <c r="A646" s="4" t="s">
        <v>21</v>
      </c>
      <c r="B646" s="4" t="s">
        <v>41</v>
      </c>
      <c r="C646" s="4" t="s">
        <v>42</v>
      </c>
      <c r="D646" s="4" t="s">
        <v>50</v>
      </c>
      <c r="E646" s="4" t="s">
        <v>51</v>
      </c>
      <c r="F646" s="4" t="s">
        <v>25</v>
      </c>
      <c r="G646" s="4" t="s">
        <v>25</v>
      </c>
      <c r="H646" s="4" t="s">
        <v>35</v>
      </c>
      <c r="I646" s="5">
        <v>44713</v>
      </c>
      <c r="J646" s="6">
        <v>0</v>
      </c>
      <c r="K646" s="60">
        <v>0</v>
      </c>
      <c r="L646" s="6">
        <v>2217.5650000000001</v>
      </c>
      <c r="M646" s="60">
        <v>2217.5650000000001</v>
      </c>
      <c r="N646" s="6">
        <v>2217.5650000000001</v>
      </c>
      <c r="O646" s="60">
        <v>2217.5650000000001</v>
      </c>
      <c r="P646" s="6">
        <v>0</v>
      </c>
      <c r="Q646" s="4" t="s">
        <v>26</v>
      </c>
      <c r="R646" s="4">
        <v>0</v>
      </c>
      <c r="S646" s="4">
        <v>0</v>
      </c>
      <c r="T646" s="4">
        <v>44</v>
      </c>
      <c r="U646" s="4">
        <v>67</v>
      </c>
      <c r="V646" s="60">
        <f>IF(ISERROR(VLOOKUP($S$646,'TAR FIN'!$A$1:$O$104,15,0)),0,VLOOKUP($S$646,'TAR FIN'!$A$1:$O$104,15,0))</f>
        <v>0</v>
      </c>
      <c r="W646" s="60">
        <f>IF(ISERROR(VLOOKUP($T$646,'TAR FIN'!$A$1:$O$104,15,0)),0,VLOOKUP($T$646,'TAR FIN'!$A$1:$O$104,15,0))*(1-0.06)</f>
        <v>58.815799999999996</v>
      </c>
      <c r="X646" s="60">
        <f>IF(ISERROR(VLOOKUP($U$646,'TAR FIN'!$A$1:$O$104,15,0)),0,VLOOKUP($U$646,'TAR FIN'!$A$1:$O$104,15,0))*(1-0.06)</f>
        <v>228.25079999999997</v>
      </c>
      <c r="Y646" s="60"/>
      <c r="Z646" s="60">
        <f ca="1">('TUSD BE'!$AM$26+'TUSD BF'!$AM$26+'TUSD CVA'!$AM$26)*1*(1-0.03)</f>
        <v>75.539915902184802</v>
      </c>
      <c r="AA646" s="60">
        <f>('TE BE'!$AB$8+'TE BF'!$AB$8+'TE CVA'!$AB$8)*1*(1-0.03)</f>
        <v>224.80969662802207</v>
      </c>
      <c r="AB646" s="60">
        <f>(SUBSIDIO!$J$646*SUBSIDIO!$V$646)*(0.06)/(1-0.06)</f>
        <v>0</v>
      </c>
      <c r="AC646" s="60">
        <f>((SUBSIDIO!$L$646*SUBSIDIO!$W$646)+(SUBSIDIO!$N$646*SUBSIDIO!$X$646))*(0.06)/(1-0.06)</f>
        <v>40633.330520999996</v>
      </c>
      <c r="AD646" s="60">
        <f>(SUBSIDIO!$J$646*SUBSIDIO!$Y$646)*(0.03)/(1-0.03)</f>
        <v>0</v>
      </c>
      <c r="AE646" s="60">
        <f ca="1">((SUBSIDIO!$L$646*SUBSIDIO!$Z$646)+(SUBSIDIO!$N$646*SUBSIDIO!$AA$646))*(0.03)/(1-0.03)</f>
        <v>20599.323355996337</v>
      </c>
      <c r="AF646" s="4" t="s">
        <v>999</v>
      </c>
    </row>
    <row r="647" spans="1:32" ht="11.25" customHeight="1" x14ac:dyDescent="0.25">
      <c r="A647" s="4" t="s">
        <v>57</v>
      </c>
      <c r="B647" s="4" t="s">
        <v>41</v>
      </c>
      <c r="C647" s="4" t="s">
        <v>42</v>
      </c>
      <c r="D647" s="4" t="s">
        <v>50</v>
      </c>
      <c r="E647" s="4" t="s">
        <v>51</v>
      </c>
      <c r="F647" s="4" t="s">
        <v>25</v>
      </c>
      <c r="G647" s="4" t="s">
        <v>25</v>
      </c>
      <c r="H647" s="4" t="s">
        <v>35</v>
      </c>
      <c r="I647" s="5">
        <v>44743</v>
      </c>
      <c r="J647" s="6">
        <v>0</v>
      </c>
      <c r="K647" s="60">
        <v>0</v>
      </c>
      <c r="L647" s="6">
        <v>2217.5650000000001</v>
      </c>
      <c r="M647" s="60">
        <v>2217.5650000000001</v>
      </c>
      <c r="N647" s="6">
        <v>2217.5650000000001</v>
      </c>
      <c r="O647" s="60">
        <v>2217.5650000000001</v>
      </c>
      <c r="P647" s="6">
        <v>0</v>
      </c>
      <c r="Q647" s="4" t="s">
        <v>26</v>
      </c>
      <c r="R647" s="4">
        <v>0</v>
      </c>
      <c r="S647" s="4">
        <v>0</v>
      </c>
      <c r="T647" s="4">
        <v>44</v>
      </c>
      <c r="U647" s="4">
        <v>67</v>
      </c>
      <c r="V647" s="60">
        <f>IF(ISERROR(VLOOKUP($S$647,'TAR FIN'!$A$1:$O$104,15,0)),0,VLOOKUP($S$647,'TAR FIN'!$A$1:$O$104,15,0))</f>
        <v>0</v>
      </c>
      <c r="W647" s="60">
        <f>IF(ISERROR(VLOOKUP($T$647,'TAR FIN'!$A$1:$O$104,15,0)),0,VLOOKUP($T$647,'TAR FIN'!$A$1:$O$104,15,0))*(1-0.06)</f>
        <v>58.815799999999996</v>
      </c>
      <c r="X647" s="60">
        <f>IF(ISERROR(VLOOKUP($U$647,'TAR FIN'!$A$1:$O$104,15,0)),0,VLOOKUP($U$647,'TAR FIN'!$A$1:$O$104,15,0))*(1-0.06)</f>
        <v>228.25079999999997</v>
      </c>
      <c r="Y647" s="60"/>
      <c r="Z647" s="60">
        <f ca="1">('TUSD BE'!$AM$26+'TUSD BF'!$AM$26+'TUSD CVA'!$AM$26)*1*(1-0.03)</f>
        <v>75.539915902184802</v>
      </c>
      <c r="AA647" s="60">
        <f>('TE BE'!$AB$8+'TE BF'!$AB$8+'TE CVA'!$AB$8)*1*(1-0.03)</f>
        <v>224.80969662802207</v>
      </c>
      <c r="AB647" s="60">
        <f>(SUBSIDIO!$J$647*SUBSIDIO!$V$647)*(0.06)/(1-0.06)</f>
        <v>0</v>
      </c>
      <c r="AC647" s="60">
        <f>((SUBSIDIO!$L$647*SUBSIDIO!$W$647)+(SUBSIDIO!$N$647*SUBSIDIO!$X$647))*(0.06)/(1-0.06)</f>
        <v>40633.330520999996</v>
      </c>
      <c r="AD647" s="60">
        <f>(SUBSIDIO!$J$647*SUBSIDIO!$Y$647)*(0.03)/(1-0.03)</f>
        <v>0</v>
      </c>
      <c r="AE647" s="60">
        <f ca="1">((SUBSIDIO!$L$647*SUBSIDIO!$Z$647)+(SUBSIDIO!$N$647*SUBSIDIO!$AA$647))*(0.03)/(1-0.03)</f>
        <v>20599.323355996337</v>
      </c>
      <c r="AF647" s="4" t="s">
        <v>999</v>
      </c>
    </row>
    <row r="648" spans="1:32" ht="11.25" customHeight="1" x14ac:dyDescent="0.25">
      <c r="A648" s="4" t="s">
        <v>21</v>
      </c>
      <c r="B648" s="4" t="s">
        <v>41</v>
      </c>
      <c r="C648" s="4" t="s">
        <v>42</v>
      </c>
      <c r="D648" s="4" t="s">
        <v>50</v>
      </c>
      <c r="E648" s="4" t="s">
        <v>51</v>
      </c>
      <c r="F648" s="4" t="s">
        <v>25</v>
      </c>
      <c r="G648" s="4" t="s">
        <v>25</v>
      </c>
      <c r="H648" s="4" t="s">
        <v>25</v>
      </c>
      <c r="I648" s="5">
        <v>44409</v>
      </c>
      <c r="J648" s="6">
        <v>9684</v>
      </c>
      <c r="K648" s="61">
        <v>9684</v>
      </c>
      <c r="L648" s="6">
        <v>0</v>
      </c>
      <c r="M648" s="60">
        <v>0</v>
      </c>
      <c r="N648" s="6">
        <v>0</v>
      </c>
      <c r="O648" s="60">
        <v>0</v>
      </c>
      <c r="P648" s="6">
        <v>91</v>
      </c>
      <c r="Q648" s="4" t="s">
        <v>26</v>
      </c>
      <c r="R648" s="4">
        <v>0</v>
      </c>
      <c r="S648" s="4">
        <v>40</v>
      </c>
      <c r="T648" s="4">
        <v>0</v>
      </c>
      <c r="U648" s="4">
        <v>0</v>
      </c>
      <c r="V648" s="60">
        <f>IF(ISERROR(VLOOKUP($S$648,'TAR FIN'!$A$1:$O$104,15,0)),0,VLOOKUP($S$648,'TAR FIN'!$A$1:$O$104,15,0))*(1-0.06)</f>
        <v>24.646799999999999</v>
      </c>
      <c r="W648" s="60">
        <f>IF(ISERROR(VLOOKUP($T$648,'TAR FIN'!$A$1:$O$104,15,0)),0,VLOOKUP($T$648,'TAR FIN'!$A$1:$O$104,15,0))</f>
        <v>0</v>
      </c>
      <c r="X648" s="60">
        <f>IF(ISERROR(VLOOKUP($U$648,'TAR FIN'!$A$1:$O$104,15,0)),0,VLOOKUP($U$648,'TAR FIN'!$A$1:$O$104,15,0))</f>
        <v>0</v>
      </c>
      <c r="Y648" s="60">
        <f ca="1">('TUSD BE'!$AM$24+'TUSD BF'!$AM$24+'TUSD CVA'!$AM$24)*1*(1-0.03)</f>
        <v>25.49175935061109</v>
      </c>
      <c r="Z648" s="60"/>
      <c r="AA648" s="60"/>
      <c r="AB648" s="60">
        <f>(SUBSIDIO!$J$648*SUBSIDIO!$V$648)*(0.06)/(1-0.06)</f>
        <v>15234.868799999998</v>
      </c>
      <c r="AC648" s="60">
        <f>((SUBSIDIO!$L$648*SUBSIDIO!$W$648)+(SUBSIDIO!$N$648*SUBSIDIO!$X$648))*(0.06)/(1-0.06)</f>
        <v>0</v>
      </c>
      <c r="AD648" s="60">
        <f ca="1">(SUBSIDIO!$J$648*SUBSIDIO!$Y$648)*(0.03)/(1-0.03)</f>
        <v>7634.9133263294161</v>
      </c>
      <c r="AE648" s="60">
        <f>((SUBSIDIO!$L$648*SUBSIDIO!$Z$648)+(SUBSIDIO!$N$648*SUBSIDIO!$AA$648))*(0.03)/(1-0.03)</f>
        <v>0</v>
      </c>
      <c r="AF648" s="4" t="s">
        <v>999</v>
      </c>
    </row>
    <row r="649" spans="1:32" ht="11.25" customHeight="1" x14ac:dyDescent="0.25">
      <c r="A649" s="4" t="s">
        <v>21</v>
      </c>
      <c r="B649" s="4" t="s">
        <v>41</v>
      </c>
      <c r="C649" s="4" t="s">
        <v>42</v>
      </c>
      <c r="D649" s="4" t="s">
        <v>50</v>
      </c>
      <c r="E649" s="4" t="s">
        <v>51</v>
      </c>
      <c r="F649" s="4" t="s">
        <v>25</v>
      </c>
      <c r="G649" s="4" t="s">
        <v>25</v>
      </c>
      <c r="H649" s="4" t="s">
        <v>25</v>
      </c>
      <c r="I649" s="5">
        <v>44440</v>
      </c>
      <c r="J649" s="6">
        <v>9478</v>
      </c>
      <c r="K649" s="61">
        <v>9478</v>
      </c>
      <c r="L649" s="6">
        <v>0</v>
      </c>
      <c r="M649" s="60">
        <v>0</v>
      </c>
      <c r="N649" s="6">
        <v>0</v>
      </c>
      <c r="O649" s="60">
        <v>0</v>
      </c>
      <c r="P649" s="6">
        <v>91</v>
      </c>
      <c r="Q649" s="4" t="s">
        <v>26</v>
      </c>
      <c r="R649" s="4">
        <v>0</v>
      </c>
      <c r="S649" s="4">
        <v>40</v>
      </c>
      <c r="T649" s="4">
        <v>0</v>
      </c>
      <c r="U649" s="4">
        <v>0</v>
      </c>
      <c r="V649" s="60">
        <f>IF(ISERROR(VLOOKUP($S$649,'TAR FIN'!$A$1:$O$104,15,0)),0,VLOOKUP($S$649,'TAR FIN'!$A$1:$O$104,15,0))*(1-0.06)</f>
        <v>24.646799999999999</v>
      </c>
      <c r="W649" s="60">
        <f>IF(ISERROR(VLOOKUP($T$649,'TAR FIN'!$A$1:$O$104,15,0)),0,VLOOKUP($T$649,'TAR FIN'!$A$1:$O$104,15,0))</f>
        <v>0</v>
      </c>
      <c r="X649" s="60">
        <f>IF(ISERROR(VLOOKUP($U$649,'TAR FIN'!$A$1:$O$104,15,0)),0,VLOOKUP($U$649,'TAR FIN'!$A$1:$O$104,15,0))</f>
        <v>0</v>
      </c>
      <c r="Y649" s="60">
        <f ca="1">('TUSD BE'!$AM$24+'TUSD BF'!$AM$24+'TUSD CVA'!$AM$24)*1*(1-0.03)</f>
        <v>25.49175935061109</v>
      </c>
      <c r="Z649" s="60"/>
      <c r="AA649" s="60"/>
      <c r="AB649" s="60">
        <f>(SUBSIDIO!$J$649*SUBSIDIO!$V$649)*(0.06)/(1-0.06)</f>
        <v>14910.7896</v>
      </c>
      <c r="AC649" s="60">
        <f>((SUBSIDIO!$L$649*SUBSIDIO!$W$649)+(SUBSIDIO!$N$649*SUBSIDIO!$X$649))*(0.06)/(1-0.06)</f>
        <v>0</v>
      </c>
      <c r="AD649" s="60">
        <f ca="1">(SUBSIDIO!$J$649*SUBSIDIO!$Y$649)*(0.03)/(1-0.03)</f>
        <v>7472.5019110853173</v>
      </c>
      <c r="AE649" s="60">
        <f>((SUBSIDIO!$L$649*SUBSIDIO!$Z$649)+(SUBSIDIO!$N$649*SUBSIDIO!$AA$649))*(0.03)/(1-0.03)</f>
        <v>0</v>
      </c>
      <c r="AF649" s="4" t="s">
        <v>999</v>
      </c>
    </row>
    <row r="650" spans="1:32" ht="11.25" customHeight="1" x14ac:dyDescent="0.25">
      <c r="A650" s="4" t="s">
        <v>21</v>
      </c>
      <c r="B650" s="4" t="s">
        <v>41</v>
      </c>
      <c r="C650" s="4" t="s">
        <v>42</v>
      </c>
      <c r="D650" s="4" t="s">
        <v>50</v>
      </c>
      <c r="E650" s="4" t="s">
        <v>51</v>
      </c>
      <c r="F650" s="4" t="s">
        <v>25</v>
      </c>
      <c r="G650" s="4" t="s">
        <v>25</v>
      </c>
      <c r="H650" s="4" t="s">
        <v>25</v>
      </c>
      <c r="I650" s="5">
        <v>44470</v>
      </c>
      <c r="J650" s="6">
        <v>9454</v>
      </c>
      <c r="K650" s="61">
        <v>9454</v>
      </c>
      <c r="L650" s="6">
        <v>0</v>
      </c>
      <c r="M650" s="60">
        <v>0</v>
      </c>
      <c r="N650" s="6">
        <v>0</v>
      </c>
      <c r="O650" s="60">
        <v>0</v>
      </c>
      <c r="P650" s="6">
        <v>90</v>
      </c>
      <c r="Q650" s="4" t="s">
        <v>26</v>
      </c>
      <c r="R650" s="4">
        <v>0</v>
      </c>
      <c r="S650" s="4">
        <v>40</v>
      </c>
      <c r="T650" s="4">
        <v>0</v>
      </c>
      <c r="U650" s="4">
        <v>0</v>
      </c>
      <c r="V650" s="60">
        <f>IF(ISERROR(VLOOKUP($S$650,'TAR FIN'!$A$1:$O$104,15,0)),0,VLOOKUP($S$650,'TAR FIN'!$A$1:$O$104,15,0))*(1-0.06)</f>
        <v>24.646799999999999</v>
      </c>
      <c r="W650" s="60">
        <f>IF(ISERROR(VLOOKUP($T$650,'TAR FIN'!$A$1:$O$104,15,0)),0,VLOOKUP($T$650,'TAR FIN'!$A$1:$O$104,15,0))</f>
        <v>0</v>
      </c>
      <c r="X650" s="60">
        <f>IF(ISERROR(VLOOKUP($U$650,'TAR FIN'!$A$1:$O$104,15,0)),0,VLOOKUP($U$650,'TAR FIN'!$A$1:$O$104,15,0))</f>
        <v>0</v>
      </c>
      <c r="Y650" s="60">
        <f ca="1">('TUSD BE'!$AM$24+'TUSD BF'!$AM$24+'TUSD CVA'!$AM$24)*1*(1-0.03)</f>
        <v>25.49175935061109</v>
      </c>
      <c r="Z650" s="60"/>
      <c r="AA650" s="60"/>
      <c r="AB650" s="60">
        <f>(SUBSIDIO!$J$650*SUBSIDIO!$V$650)*(0.06)/(1-0.06)</f>
        <v>14873.032800000001</v>
      </c>
      <c r="AC650" s="60">
        <f>((SUBSIDIO!$L$650*SUBSIDIO!$W$650)+(SUBSIDIO!$N$650*SUBSIDIO!$X$650))*(0.06)/(1-0.06)</f>
        <v>0</v>
      </c>
      <c r="AD650" s="60">
        <f ca="1">(SUBSIDIO!$J$650*SUBSIDIO!$Y$650)*(0.03)/(1-0.03)</f>
        <v>7453.5801928044502</v>
      </c>
      <c r="AE650" s="60">
        <f>((SUBSIDIO!$L$650*SUBSIDIO!$Z$650)+(SUBSIDIO!$N$650*SUBSIDIO!$AA$650))*(0.03)/(1-0.03)</f>
        <v>0</v>
      </c>
      <c r="AF650" s="4" t="s">
        <v>999</v>
      </c>
    </row>
    <row r="651" spans="1:32" ht="11.25" customHeight="1" x14ac:dyDescent="0.25">
      <c r="A651" s="4" t="s">
        <v>21</v>
      </c>
      <c r="B651" s="4" t="s">
        <v>41</v>
      </c>
      <c r="C651" s="4" t="s">
        <v>42</v>
      </c>
      <c r="D651" s="4" t="s">
        <v>50</v>
      </c>
      <c r="E651" s="4" t="s">
        <v>51</v>
      </c>
      <c r="F651" s="4" t="s">
        <v>25</v>
      </c>
      <c r="G651" s="4" t="s">
        <v>25</v>
      </c>
      <c r="H651" s="4" t="s">
        <v>25</v>
      </c>
      <c r="I651" s="5">
        <v>44501</v>
      </c>
      <c r="J651" s="6">
        <v>9444</v>
      </c>
      <c r="K651" s="61">
        <v>9444</v>
      </c>
      <c r="L651" s="6">
        <v>0</v>
      </c>
      <c r="M651" s="60">
        <v>0</v>
      </c>
      <c r="N651" s="6">
        <v>0</v>
      </c>
      <c r="O651" s="60">
        <v>0</v>
      </c>
      <c r="P651" s="6">
        <v>90</v>
      </c>
      <c r="Q651" s="4" t="s">
        <v>26</v>
      </c>
      <c r="R651" s="4">
        <v>0</v>
      </c>
      <c r="S651" s="4">
        <v>40</v>
      </c>
      <c r="T651" s="4">
        <v>0</v>
      </c>
      <c r="U651" s="4">
        <v>0</v>
      </c>
      <c r="V651" s="60">
        <f>IF(ISERROR(VLOOKUP($S$651,'TAR FIN'!$A$1:$O$104,15,0)),0,VLOOKUP($S$651,'TAR FIN'!$A$1:$O$104,15,0))*(1-0.06)</f>
        <v>24.646799999999999</v>
      </c>
      <c r="W651" s="60">
        <f>IF(ISERROR(VLOOKUP($T$651,'TAR FIN'!$A$1:$O$104,15,0)),0,VLOOKUP($T$651,'TAR FIN'!$A$1:$O$104,15,0))</f>
        <v>0</v>
      </c>
      <c r="X651" s="60">
        <f>IF(ISERROR(VLOOKUP($U$651,'TAR FIN'!$A$1:$O$104,15,0)),0,VLOOKUP($U$651,'TAR FIN'!$A$1:$O$104,15,0))</f>
        <v>0</v>
      </c>
      <c r="Y651" s="60">
        <f ca="1">('TUSD BE'!$AM$24+'TUSD BF'!$AM$24+'TUSD CVA'!$AM$24)*1*(1-0.03)</f>
        <v>25.49175935061109</v>
      </c>
      <c r="Z651" s="60"/>
      <c r="AA651" s="60"/>
      <c r="AB651" s="60">
        <f>(SUBSIDIO!$J$651*SUBSIDIO!$V$651)*(0.06)/(1-0.06)</f>
        <v>14857.300799999999</v>
      </c>
      <c r="AC651" s="60">
        <f>((SUBSIDIO!$L$651*SUBSIDIO!$W$651)+(SUBSIDIO!$N$651*SUBSIDIO!$X$651))*(0.06)/(1-0.06)</f>
        <v>0</v>
      </c>
      <c r="AD651" s="60">
        <f ca="1">(SUBSIDIO!$J$651*SUBSIDIO!$Y$651)*(0.03)/(1-0.03)</f>
        <v>7445.6961435207568</v>
      </c>
      <c r="AE651" s="60">
        <f>((SUBSIDIO!$L$651*SUBSIDIO!$Z$651)+(SUBSIDIO!$N$651*SUBSIDIO!$AA$651))*(0.03)/(1-0.03)</f>
        <v>0</v>
      </c>
      <c r="AF651" s="4" t="s">
        <v>999</v>
      </c>
    </row>
    <row r="652" spans="1:32" ht="11.25" customHeight="1" x14ac:dyDescent="0.25">
      <c r="A652" s="4" t="s">
        <v>21</v>
      </c>
      <c r="B652" s="4" t="s">
        <v>41</v>
      </c>
      <c r="C652" s="4" t="s">
        <v>42</v>
      </c>
      <c r="D652" s="4" t="s">
        <v>50</v>
      </c>
      <c r="E652" s="4" t="s">
        <v>51</v>
      </c>
      <c r="F652" s="4" t="s">
        <v>25</v>
      </c>
      <c r="G652" s="4" t="s">
        <v>25</v>
      </c>
      <c r="H652" s="4" t="s">
        <v>25</v>
      </c>
      <c r="I652" s="5">
        <v>44531</v>
      </c>
      <c r="J652" s="6">
        <v>9479</v>
      </c>
      <c r="K652" s="61">
        <v>9479</v>
      </c>
      <c r="L652" s="6">
        <v>0</v>
      </c>
      <c r="M652" s="60">
        <v>0</v>
      </c>
      <c r="N652" s="6">
        <v>0</v>
      </c>
      <c r="O652" s="60">
        <v>0</v>
      </c>
      <c r="P652" s="6">
        <v>90</v>
      </c>
      <c r="Q652" s="4" t="s">
        <v>26</v>
      </c>
      <c r="R652" s="4">
        <v>0</v>
      </c>
      <c r="S652" s="4">
        <v>40</v>
      </c>
      <c r="T652" s="4">
        <v>0</v>
      </c>
      <c r="U652" s="4">
        <v>0</v>
      </c>
      <c r="V652" s="60">
        <f>IF(ISERROR(VLOOKUP($S$652,'TAR FIN'!$A$1:$O$104,15,0)),0,VLOOKUP($S$652,'TAR FIN'!$A$1:$O$104,15,0))*(1-0.06)</f>
        <v>24.646799999999999</v>
      </c>
      <c r="W652" s="60">
        <f>IF(ISERROR(VLOOKUP($T$652,'TAR FIN'!$A$1:$O$104,15,0)),0,VLOOKUP($T$652,'TAR FIN'!$A$1:$O$104,15,0))</f>
        <v>0</v>
      </c>
      <c r="X652" s="60">
        <f>IF(ISERROR(VLOOKUP($U$652,'TAR FIN'!$A$1:$O$104,15,0)),0,VLOOKUP($U$652,'TAR FIN'!$A$1:$O$104,15,0))</f>
        <v>0</v>
      </c>
      <c r="Y652" s="60">
        <f ca="1">('TUSD BE'!$AM$24+'TUSD BF'!$AM$24+'TUSD CVA'!$AM$24)*1*(1-0.03)</f>
        <v>25.49175935061109</v>
      </c>
      <c r="Z652" s="60"/>
      <c r="AA652" s="60"/>
      <c r="AB652" s="60">
        <f>(SUBSIDIO!$J$652*SUBSIDIO!$V$652)*(0.06)/(1-0.06)</f>
        <v>14912.362800000001</v>
      </c>
      <c r="AC652" s="60">
        <f>((SUBSIDIO!$L$652*SUBSIDIO!$W$652)+(SUBSIDIO!$N$652*SUBSIDIO!$X$652))*(0.06)/(1-0.06)</f>
        <v>0</v>
      </c>
      <c r="AD652" s="60">
        <f ca="1">(SUBSIDIO!$J$652*SUBSIDIO!$Y$652)*(0.03)/(1-0.03)</f>
        <v>7473.2903160136866</v>
      </c>
      <c r="AE652" s="60">
        <f>((SUBSIDIO!$L$652*SUBSIDIO!$Z$652)+(SUBSIDIO!$N$652*SUBSIDIO!$AA$652))*(0.03)/(1-0.03)</f>
        <v>0</v>
      </c>
      <c r="AF652" s="4" t="s">
        <v>999</v>
      </c>
    </row>
    <row r="653" spans="1:32" ht="11.25" customHeight="1" x14ac:dyDescent="0.25">
      <c r="A653" s="4" t="s">
        <v>21</v>
      </c>
      <c r="B653" s="4" t="s">
        <v>41</v>
      </c>
      <c r="C653" s="4" t="s">
        <v>42</v>
      </c>
      <c r="D653" s="4" t="s">
        <v>50</v>
      </c>
      <c r="E653" s="4" t="s">
        <v>51</v>
      </c>
      <c r="F653" s="4" t="s">
        <v>25</v>
      </c>
      <c r="G653" s="4" t="s">
        <v>25</v>
      </c>
      <c r="H653" s="4" t="s">
        <v>25</v>
      </c>
      <c r="I653" s="5">
        <v>44562</v>
      </c>
      <c r="J653" s="6">
        <v>9549</v>
      </c>
      <c r="K653" s="61">
        <v>9549</v>
      </c>
      <c r="L653" s="6">
        <v>0</v>
      </c>
      <c r="M653" s="60">
        <v>0</v>
      </c>
      <c r="N653" s="6">
        <v>0</v>
      </c>
      <c r="O653" s="60">
        <v>0</v>
      </c>
      <c r="P653" s="6">
        <v>90</v>
      </c>
      <c r="Q653" s="4" t="s">
        <v>26</v>
      </c>
      <c r="R653" s="4">
        <v>0</v>
      </c>
      <c r="S653" s="4">
        <v>40</v>
      </c>
      <c r="T653" s="4">
        <v>0</v>
      </c>
      <c r="U653" s="4">
        <v>0</v>
      </c>
      <c r="V653" s="60">
        <f>IF(ISERROR(VLOOKUP($S$653,'TAR FIN'!$A$1:$O$104,15,0)),0,VLOOKUP($S$653,'TAR FIN'!$A$1:$O$104,15,0))*(1-0.06)</f>
        <v>24.646799999999999</v>
      </c>
      <c r="W653" s="60">
        <f>IF(ISERROR(VLOOKUP($T$653,'TAR FIN'!$A$1:$O$104,15,0)),0,VLOOKUP($T$653,'TAR FIN'!$A$1:$O$104,15,0))</f>
        <v>0</v>
      </c>
      <c r="X653" s="60">
        <f>IF(ISERROR(VLOOKUP($U$653,'TAR FIN'!$A$1:$O$104,15,0)),0,VLOOKUP($U$653,'TAR FIN'!$A$1:$O$104,15,0))</f>
        <v>0</v>
      </c>
      <c r="Y653" s="60">
        <f ca="1">('TUSD BE'!$AM$24+'TUSD BF'!$AM$24+'TUSD CVA'!$AM$24)*1*(1-0.03)</f>
        <v>25.49175935061109</v>
      </c>
      <c r="Z653" s="60"/>
      <c r="AA653" s="60"/>
      <c r="AB653" s="60">
        <f>(SUBSIDIO!$J$653*SUBSIDIO!$V$653)*(0.06)/(1-0.06)</f>
        <v>15022.486800000001</v>
      </c>
      <c r="AC653" s="60">
        <f>((SUBSIDIO!$L$653*SUBSIDIO!$W$653)+(SUBSIDIO!$N$653*SUBSIDIO!$X$653))*(0.06)/(1-0.06)</f>
        <v>0</v>
      </c>
      <c r="AD653" s="60">
        <f ca="1">(SUBSIDIO!$J$653*SUBSIDIO!$Y$653)*(0.03)/(1-0.03)</f>
        <v>7528.4786609995454</v>
      </c>
      <c r="AE653" s="60">
        <f>((SUBSIDIO!$L$653*SUBSIDIO!$Z$653)+(SUBSIDIO!$N$653*SUBSIDIO!$AA$653))*(0.03)/(1-0.03)</f>
        <v>0</v>
      </c>
      <c r="AF653" s="4" t="s">
        <v>999</v>
      </c>
    </row>
    <row r="654" spans="1:32" ht="11.25" customHeight="1" x14ac:dyDescent="0.25">
      <c r="A654" s="4" t="s">
        <v>21</v>
      </c>
      <c r="B654" s="4" t="s">
        <v>41</v>
      </c>
      <c r="C654" s="4" t="s">
        <v>42</v>
      </c>
      <c r="D654" s="4" t="s">
        <v>50</v>
      </c>
      <c r="E654" s="4" t="s">
        <v>51</v>
      </c>
      <c r="F654" s="4" t="s">
        <v>25</v>
      </c>
      <c r="G654" s="4" t="s">
        <v>25</v>
      </c>
      <c r="H654" s="4" t="s">
        <v>25</v>
      </c>
      <c r="I654" s="5">
        <v>44593</v>
      </c>
      <c r="J654" s="6">
        <v>9470</v>
      </c>
      <c r="K654" s="61">
        <v>9470</v>
      </c>
      <c r="L654" s="6">
        <v>0</v>
      </c>
      <c r="M654" s="60">
        <v>0</v>
      </c>
      <c r="N654" s="6">
        <v>0</v>
      </c>
      <c r="O654" s="60">
        <v>0</v>
      </c>
      <c r="P654" s="6">
        <v>92</v>
      </c>
      <c r="Q654" s="4" t="s">
        <v>26</v>
      </c>
      <c r="R654" s="4">
        <v>0</v>
      </c>
      <c r="S654" s="4">
        <v>40</v>
      </c>
      <c r="T654" s="4">
        <v>0</v>
      </c>
      <c r="U654" s="4">
        <v>0</v>
      </c>
      <c r="V654" s="60">
        <f>IF(ISERROR(VLOOKUP($S$654,'TAR FIN'!$A$1:$O$104,15,0)),0,VLOOKUP($S$654,'TAR FIN'!$A$1:$O$104,15,0))*(1-0.06)</f>
        <v>24.646799999999999</v>
      </c>
      <c r="W654" s="60">
        <f>IF(ISERROR(VLOOKUP($T$654,'TAR FIN'!$A$1:$O$104,15,0)),0,VLOOKUP($T$654,'TAR FIN'!$A$1:$O$104,15,0))</f>
        <v>0</v>
      </c>
      <c r="X654" s="60">
        <f>IF(ISERROR(VLOOKUP($U$654,'TAR FIN'!$A$1:$O$104,15,0)),0,VLOOKUP($U$654,'TAR FIN'!$A$1:$O$104,15,0))</f>
        <v>0</v>
      </c>
      <c r="Y654" s="60">
        <f ca="1">('TUSD BE'!$AM$24+'TUSD BF'!$AM$24+'TUSD CVA'!$AM$24)*1*(1-0.03)</f>
        <v>25.49175935061109</v>
      </c>
      <c r="Z654" s="60"/>
      <c r="AA654" s="60"/>
      <c r="AB654" s="60">
        <f>(SUBSIDIO!$J$654*SUBSIDIO!$V$654)*(0.06)/(1-0.06)</f>
        <v>14898.204</v>
      </c>
      <c r="AC654" s="60">
        <f>((SUBSIDIO!$L$654*SUBSIDIO!$W$654)+(SUBSIDIO!$N$654*SUBSIDIO!$X$654))*(0.06)/(1-0.06)</f>
        <v>0</v>
      </c>
      <c r="AD654" s="60">
        <f ca="1">(SUBSIDIO!$J$654*SUBSIDIO!$Y$654)*(0.03)/(1-0.03)</f>
        <v>7466.1946716583625</v>
      </c>
      <c r="AE654" s="60">
        <f>((SUBSIDIO!$L$654*SUBSIDIO!$Z$654)+(SUBSIDIO!$N$654*SUBSIDIO!$AA$654))*(0.03)/(1-0.03)</f>
        <v>0</v>
      </c>
      <c r="AF654" s="4" t="s">
        <v>999</v>
      </c>
    </row>
    <row r="655" spans="1:32" ht="11.25" customHeight="1" x14ac:dyDescent="0.25">
      <c r="A655" s="4" t="s">
        <v>21</v>
      </c>
      <c r="B655" s="4" t="s">
        <v>41</v>
      </c>
      <c r="C655" s="4" t="s">
        <v>42</v>
      </c>
      <c r="D655" s="4" t="s">
        <v>50</v>
      </c>
      <c r="E655" s="4" t="s">
        <v>51</v>
      </c>
      <c r="F655" s="4" t="s">
        <v>25</v>
      </c>
      <c r="G655" s="4" t="s">
        <v>25</v>
      </c>
      <c r="H655" s="4" t="s">
        <v>25</v>
      </c>
      <c r="I655" s="5">
        <v>44621</v>
      </c>
      <c r="J655" s="6">
        <v>9467</v>
      </c>
      <c r="K655" s="61">
        <v>9467</v>
      </c>
      <c r="L655" s="6">
        <v>0</v>
      </c>
      <c r="M655" s="60">
        <v>0</v>
      </c>
      <c r="N655" s="6">
        <v>0</v>
      </c>
      <c r="O655" s="60">
        <v>0</v>
      </c>
      <c r="P655" s="6">
        <v>90</v>
      </c>
      <c r="Q655" s="4" t="s">
        <v>26</v>
      </c>
      <c r="R655" s="4">
        <v>0</v>
      </c>
      <c r="S655" s="4">
        <v>40</v>
      </c>
      <c r="T655" s="4">
        <v>0</v>
      </c>
      <c r="U655" s="4">
        <v>0</v>
      </c>
      <c r="V655" s="60">
        <f>IF(ISERROR(VLOOKUP($S$655,'TAR FIN'!$A$1:$O$104,15,0)),0,VLOOKUP($S$655,'TAR FIN'!$A$1:$O$104,15,0))*(1-0.06)</f>
        <v>24.646799999999999</v>
      </c>
      <c r="W655" s="60">
        <f>IF(ISERROR(VLOOKUP($T$655,'TAR FIN'!$A$1:$O$104,15,0)),0,VLOOKUP($T$655,'TAR FIN'!$A$1:$O$104,15,0))</f>
        <v>0</v>
      </c>
      <c r="X655" s="60">
        <f>IF(ISERROR(VLOOKUP($U$655,'TAR FIN'!$A$1:$O$104,15,0)),0,VLOOKUP($U$655,'TAR FIN'!$A$1:$O$104,15,0))</f>
        <v>0</v>
      </c>
      <c r="Y655" s="60">
        <f ca="1">('TUSD BE'!$AM$24+'TUSD BF'!$AM$24+'TUSD CVA'!$AM$24)*1*(1-0.03)</f>
        <v>25.49175935061109</v>
      </c>
      <c r="Z655" s="60"/>
      <c r="AA655" s="60"/>
      <c r="AB655" s="60">
        <f>(SUBSIDIO!$J$655*SUBSIDIO!$V$655)*(0.06)/(1-0.06)</f>
        <v>14893.484399999999</v>
      </c>
      <c r="AC655" s="60">
        <f>((SUBSIDIO!$L$655*SUBSIDIO!$W$655)+(SUBSIDIO!$N$655*SUBSIDIO!$X$655))*(0.06)/(1-0.06)</f>
        <v>0</v>
      </c>
      <c r="AD655" s="60">
        <f ca="1">(SUBSIDIO!$J$655*SUBSIDIO!$Y$655)*(0.03)/(1-0.03)</f>
        <v>7463.8294568732535</v>
      </c>
      <c r="AE655" s="60">
        <f>((SUBSIDIO!$L$655*SUBSIDIO!$Z$655)+(SUBSIDIO!$N$655*SUBSIDIO!$AA$655))*(0.03)/(1-0.03)</f>
        <v>0</v>
      </c>
      <c r="AF655" s="4" t="s">
        <v>999</v>
      </c>
    </row>
    <row r="656" spans="1:32" ht="11.25" customHeight="1" x14ac:dyDescent="0.25">
      <c r="A656" s="4" t="s">
        <v>21</v>
      </c>
      <c r="B656" s="4" t="s">
        <v>41</v>
      </c>
      <c r="C656" s="4" t="s">
        <v>42</v>
      </c>
      <c r="D656" s="4" t="s">
        <v>50</v>
      </c>
      <c r="E656" s="4" t="s">
        <v>51</v>
      </c>
      <c r="F656" s="4" t="s">
        <v>25</v>
      </c>
      <c r="G656" s="4" t="s">
        <v>25</v>
      </c>
      <c r="H656" s="4" t="s">
        <v>25</v>
      </c>
      <c r="I656" s="5">
        <v>44652</v>
      </c>
      <c r="J656" s="6">
        <v>9692</v>
      </c>
      <c r="K656" s="61">
        <v>9692</v>
      </c>
      <c r="L656" s="6">
        <v>0</v>
      </c>
      <c r="M656" s="60">
        <v>0</v>
      </c>
      <c r="N656" s="6">
        <v>0</v>
      </c>
      <c r="O656" s="60">
        <v>0</v>
      </c>
      <c r="P656" s="6">
        <v>91</v>
      </c>
      <c r="Q656" s="4" t="s">
        <v>26</v>
      </c>
      <c r="R656" s="4">
        <v>0</v>
      </c>
      <c r="S656" s="4">
        <v>40</v>
      </c>
      <c r="T656" s="4">
        <v>0</v>
      </c>
      <c r="U656" s="4">
        <v>0</v>
      </c>
      <c r="V656" s="60">
        <f>IF(ISERROR(VLOOKUP($S$656,'TAR FIN'!$A$1:$O$104,15,0)),0,VLOOKUP($S$656,'TAR FIN'!$A$1:$O$104,15,0))*(1-0.06)</f>
        <v>24.646799999999999</v>
      </c>
      <c r="W656" s="60">
        <f>IF(ISERROR(VLOOKUP($T$656,'TAR FIN'!$A$1:$O$104,15,0)),0,VLOOKUP($T$656,'TAR FIN'!$A$1:$O$104,15,0))</f>
        <v>0</v>
      </c>
      <c r="X656" s="60">
        <f>IF(ISERROR(VLOOKUP($U$656,'TAR FIN'!$A$1:$O$104,15,0)),0,VLOOKUP($U$656,'TAR FIN'!$A$1:$O$104,15,0))</f>
        <v>0</v>
      </c>
      <c r="Y656" s="60">
        <f ca="1">('TUSD BE'!$AM$24+'TUSD BF'!$AM$24+'TUSD CVA'!$AM$24)*1*(1-0.03)</f>
        <v>25.49175935061109</v>
      </c>
      <c r="Z656" s="60"/>
      <c r="AA656" s="60"/>
      <c r="AB656" s="60">
        <f>(SUBSIDIO!$J$656*SUBSIDIO!$V$656)*(0.06)/(1-0.06)</f>
        <v>15247.454400000001</v>
      </c>
      <c r="AC656" s="60">
        <f>((SUBSIDIO!$L$656*SUBSIDIO!$W$656)+(SUBSIDIO!$N$656*SUBSIDIO!$X$656))*(0.06)/(1-0.06)</f>
        <v>0</v>
      </c>
      <c r="AD656" s="60">
        <f ca="1">(SUBSIDIO!$J$656*SUBSIDIO!$Y$656)*(0.03)/(1-0.03)</f>
        <v>7641.2205657563718</v>
      </c>
      <c r="AE656" s="60">
        <f>((SUBSIDIO!$L$656*SUBSIDIO!$Z$656)+(SUBSIDIO!$N$656*SUBSIDIO!$AA$656))*(0.03)/(1-0.03)</f>
        <v>0</v>
      </c>
      <c r="AF656" s="4" t="s">
        <v>999</v>
      </c>
    </row>
    <row r="657" spans="1:32" ht="11.25" customHeight="1" x14ac:dyDescent="0.25">
      <c r="A657" s="4" t="s">
        <v>21</v>
      </c>
      <c r="B657" s="4" t="s">
        <v>41</v>
      </c>
      <c r="C657" s="4" t="s">
        <v>42</v>
      </c>
      <c r="D657" s="4" t="s">
        <v>50</v>
      </c>
      <c r="E657" s="4" t="s">
        <v>51</v>
      </c>
      <c r="F657" s="4" t="s">
        <v>25</v>
      </c>
      <c r="G657" s="4" t="s">
        <v>25</v>
      </c>
      <c r="H657" s="4" t="s">
        <v>25</v>
      </c>
      <c r="I657" s="5">
        <v>44682</v>
      </c>
      <c r="J657" s="6">
        <v>9723</v>
      </c>
      <c r="K657" s="61">
        <v>9723</v>
      </c>
      <c r="L657" s="6">
        <v>0</v>
      </c>
      <c r="M657" s="60">
        <v>0</v>
      </c>
      <c r="N657" s="6">
        <v>0</v>
      </c>
      <c r="O657" s="60">
        <v>0</v>
      </c>
      <c r="P657" s="6">
        <v>91</v>
      </c>
      <c r="Q657" s="4" t="s">
        <v>26</v>
      </c>
      <c r="R657" s="4">
        <v>0</v>
      </c>
      <c r="S657" s="4">
        <v>40</v>
      </c>
      <c r="T657" s="4">
        <v>0</v>
      </c>
      <c r="U657" s="4">
        <v>0</v>
      </c>
      <c r="V657" s="60">
        <f>IF(ISERROR(VLOOKUP($S$657,'TAR FIN'!$A$1:$O$104,15,0)),0,VLOOKUP($S$657,'TAR FIN'!$A$1:$O$104,15,0))*(1-0.06)</f>
        <v>24.646799999999999</v>
      </c>
      <c r="W657" s="60">
        <f>IF(ISERROR(VLOOKUP($T$657,'TAR FIN'!$A$1:$O$104,15,0)),0,VLOOKUP($T$657,'TAR FIN'!$A$1:$O$104,15,0))</f>
        <v>0</v>
      </c>
      <c r="X657" s="60">
        <f>IF(ISERROR(VLOOKUP($U$657,'TAR FIN'!$A$1:$O$104,15,0)),0,VLOOKUP($U$657,'TAR FIN'!$A$1:$O$104,15,0))</f>
        <v>0</v>
      </c>
      <c r="Y657" s="60">
        <f ca="1">('TUSD BE'!$AM$24+'TUSD BF'!$AM$24+'TUSD CVA'!$AM$24)*1*(1-0.03)</f>
        <v>25.49175935061109</v>
      </c>
      <c r="Z657" s="60"/>
      <c r="AA657" s="60"/>
      <c r="AB657" s="60">
        <f>(SUBSIDIO!$J$657*SUBSIDIO!$V$657)*(0.06)/(1-0.06)</f>
        <v>15296.223599999999</v>
      </c>
      <c r="AC657" s="60">
        <f>((SUBSIDIO!$L$657*SUBSIDIO!$W$657)+(SUBSIDIO!$N$657*SUBSIDIO!$X$657))*(0.06)/(1-0.06)</f>
        <v>0</v>
      </c>
      <c r="AD657" s="60">
        <f ca="1">(SUBSIDIO!$J$657*SUBSIDIO!$Y$657)*(0.03)/(1-0.03)</f>
        <v>7665.6611185358233</v>
      </c>
      <c r="AE657" s="60">
        <f>((SUBSIDIO!$L$657*SUBSIDIO!$Z$657)+(SUBSIDIO!$N$657*SUBSIDIO!$AA$657))*(0.03)/(1-0.03)</f>
        <v>0</v>
      </c>
      <c r="AF657" s="4" t="s">
        <v>999</v>
      </c>
    </row>
    <row r="658" spans="1:32" ht="11.25" customHeight="1" x14ac:dyDescent="0.25">
      <c r="A658" s="4" t="s">
        <v>21</v>
      </c>
      <c r="B658" s="4" t="s">
        <v>41</v>
      </c>
      <c r="C658" s="4" t="s">
        <v>42</v>
      </c>
      <c r="D658" s="4" t="s">
        <v>50</v>
      </c>
      <c r="E658" s="4" t="s">
        <v>51</v>
      </c>
      <c r="F658" s="4" t="s">
        <v>25</v>
      </c>
      <c r="G658" s="4" t="s">
        <v>25</v>
      </c>
      <c r="H658" s="4" t="s">
        <v>25</v>
      </c>
      <c r="I658" s="5">
        <v>44713</v>
      </c>
      <c r="J658" s="6">
        <v>9716</v>
      </c>
      <c r="K658" s="61">
        <v>9716</v>
      </c>
      <c r="L658" s="6">
        <v>0</v>
      </c>
      <c r="M658" s="60">
        <v>0</v>
      </c>
      <c r="N658" s="6">
        <v>0</v>
      </c>
      <c r="O658" s="60">
        <v>0</v>
      </c>
      <c r="P658" s="6">
        <v>91</v>
      </c>
      <c r="Q658" s="4" t="s">
        <v>26</v>
      </c>
      <c r="R658" s="4">
        <v>0</v>
      </c>
      <c r="S658" s="4">
        <v>40</v>
      </c>
      <c r="T658" s="4">
        <v>0</v>
      </c>
      <c r="U658" s="4">
        <v>0</v>
      </c>
      <c r="V658" s="60">
        <f>IF(ISERROR(VLOOKUP($S$658,'TAR FIN'!$A$1:$O$104,15,0)),0,VLOOKUP($S$658,'TAR FIN'!$A$1:$O$104,15,0))*(1-0.06)</f>
        <v>24.646799999999999</v>
      </c>
      <c r="W658" s="60">
        <f>IF(ISERROR(VLOOKUP($T$658,'TAR FIN'!$A$1:$O$104,15,0)),0,VLOOKUP($T$658,'TAR FIN'!$A$1:$O$104,15,0))</f>
        <v>0</v>
      </c>
      <c r="X658" s="60">
        <f>IF(ISERROR(VLOOKUP($U$658,'TAR FIN'!$A$1:$O$104,15,0)),0,VLOOKUP($U$658,'TAR FIN'!$A$1:$O$104,15,0))</f>
        <v>0</v>
      </c>
      <c r="Y658" s="60">
        <f ca="1">('TUSD BE'!$AM$24+'TUSD BF'!$AM$24+'TUSD CVA'!$AM$24)*1*(1-0.03)</f>
        <v>25.49175935061109</v>
      </c>
      <c r="Z658" s="60"/>
      <c r="AA658" s="60"/>
      <c r="AB658" s="60">
        <f>(SUBSIDIO!$J$658*SUBSIDIO!$V$658)*(0.06)/(1-0.06)</f>
        <v>15285.2112</v>
      </c>
      <c r="AC658" s="60">
        <f>((SUBSIDIO!$L$658*SUBSIDIO!$W$658)+(SUBSIDIO!$N$658*SUBSIDIO!$X$658))*(0.06)/(1-0.06)</f>
        <v>0</v>
      </c>
      <c r="AD658" s="60">
        <f ca="1">(SUBSIDIO!$J$658*SUBSIDIO!$Y$658)*(0.03)/(1-0.03)</f>
        <v>7660.1422840372379</v>
      </c>
      <c r="AE658" s="60">
        <f>((SUBSIDIO!$L$658*SUBSIDIO!$Z$658)+(SUBSIDIO!$N$658*SUBSIDIO!$AA$658))*(0.03)/(1-0.03)</f>
        <v>0</v>
      </c>
      <c r="AF658" s="4" t="s">
        <v>999</v>
      </c>
    </row>
    <row r="659" spans="1:32" ht="11.25" customHeight="1" x14ac:dyDescent="0.25">
      <c r="A659" s="4" t="s">
        <v>57</v>
      </c>
      <c r="B659" s="4" t="s">
        <v>41</v>
      </c>
      <c r="C659" s="4" t="s">
        <v>42</v>
      </c>
      <c r="D659" s="4" t="s">
        <v>50</v>
      </c>
      <c r="E659" s="4" t="s">
        <v>51</v>
      </c>
      <c r="F659" s="4" t="s">
        <v>25</v>
      </c>
      <c r="G659" s="4" t="s">
        <v>25</v>
      </c>
      <c r="H659" s="4" t="s">
        <v>25</v>
      </c>
      <c r="I659" s="5">
        <v>44743</v>
      </c>
      <c r="J659" s="6">
        <v>9716</v>
      </c>
      <c r="K659" s="61">
        <v>9716</v>
      </c>
      <c r="L659" s="6">
        <v>0</v>
      </c>
      <c r="M659" s="60">
        <v>0</v>
      </c>
      <c r="N659" s="6">
        <v>0</v>
      </c>
      <c r="O659" s="60">
        <v>0</v>
      </c>
      <c r="P659" s="6">
        <v>91</v>
      </c>
      <c r="Q659" s="4" t="s">
        <v>26</v>
      </c>
      <c r="R659" s="4">
        <v>0</v>
      </c>
      <c r="S659" s="4">
        <v>40</v>
      </c>
      <c r="T659" s="4">
        <v>0</v>
      </c>
      <c r="U659" s="4">
        <v>0</v>
      </c>
      <c r="V659" s="60">
        <f>IF(ISERROR(VLOOKUP($S$659,'TAR FIN'!$A$1:$O$104,15,0)),0,VLOOKUP($S$659,'TAR FIN'!$A$1:$O$104,15,0))*(1-0.06)</f>
        <v>24.646799999999999</v>
      </c>
      <c r="W659" s="60">
        <f>IF(ISERROR(VLOOKUP($T$659,'TAR FIN'!$A$1:$O$104,15,0)),0,VLOOKUP($T$659,'TAR FIN'!$A$1:$O$104,15,0))</f>
        <v>0</v>
      </c>
      <c r="X659" s="60">
        <f>IF(ISERROR(VLOOKUP($U$659,'TAR FIN'!$A$1:$O$104,15,0)),0,VLOOKUP($U$659,'TAR FIN'!$A$1:$O$104,15,0))</f>
        <v>0</v>
      </c>
      <c r="Y659" s="60">
        <f ca="1">('TUSD BE'!$AM$24+'TUSD BF'!$AM$24+'TUSD CVA'!$AM$24)*1*(1-0.03)</f>
        <v>25.49175935061109</v>
      </c>
      <c r="Z659" s="60"/>
      <c r="AA659" s="60"/>
      <c r="AB659" s="60">
        <f>(SUBSIDIO!$J$659*SUBSIDIO!$V$659)*(0.06)/(1-0.06)</f>
        <v>15285.2112</v>
      </c>
      <c r="AC659" s="60">
        <f>((SUBSIDIO!$L$659*SUBSIDIO!$W$659)+(SUBSIDIO!$N$659*SUBSIDIO!$X$659))*(0.06)/(1-0.06)</f>
        <v>0</v>
      </c>
      <c r="AD659" s="60">
        <f ca="1">(SUBSIDIO!$J$659*SUBSIDIO!$Y$659)*(0.03)/(1-0.03)</f>
        <v>7660.1422840372379</v>
      </c>
      <c r="AE659" s="60">
        <f>((SUBSIDIO!$L$659*SUBSIDIO!$Z$659)+(SUBSIDIO!$N$659*SUBSIDIO!$AA$659))*(0.03)/(1-0.03)</f>
        <v>0</v>
      </c>
      <c r="AF659" s="4" t="s">
        <v>999</v>
      </c>
    </row>
    <row r="660" spans="1:32" ht="11.25" customHeight="1" x14ac:dyDescent="0.25">
      <c r="A660" s="4" t="s">
        <v>21</v>
      </c>
      <c r="B660" s="4" t="s">
        <v>41</v>
      </c>
      <c r="C660" s="4" t="s">
        <v>42</v>
      </c>
      <c r="D660" s="4" t="s">
        <v>50</v>
      </c>
      <c r="E660" s="4" t="s">
        <v>51</v>
      </c>
      <c r="F660" s="4" t="s">
        <v>25</v>
      </c>
      <c r="G660" s="4" t="s">
        <v>25</v>
      </c>
      <c r="H660" s="4" t="s">
        <v>34</v>
      </c>
      <c r="I660" s="5">
        <v>44409</v>
      </c>
      <c r="J660" s="6">
        <v>0</v>
      </c>
      <c r="K660" s="60">
        <v>0</v>
      </c>
      <c r="L660" s="6">
        <v>211.697</v>
      </c>
      <c r="M660" s="60">
        <v>211.697</v>
      </c>
      <c r="N660" s="6">
        <v>211.697</v>
      </c>
      <c r="O660" s="60">
        <v>211.697</v>
      </c>
      <c r="P660" s="6">
        <v>0</v>
      </c>
      <c r="Q660" s="4" t="s">
        <v>26</v>
      </c>
      <c r="R660" s="4">
        <v>0</v>
      </c>
      <c r="S660" s="4">
        <v>0</v>
      </c>
      <c r="T660" s="4">
        <v>42</v>
      </c>
      <c r="U660" s="4">
        <v>66</v>
      </c>
      <c r="V660" s="60">
        <f>IF(ISERROR(VLOOKUP($S$660,'TAR FIN'!$A$1:$O$104,15,0)),0,VLOOKUP($S$660,'TAR FIN'!$A$1:$O$104,15,0))</f>
        <v>0</v>
      </c>
      <c r="W660" s="60">
        <f>IF(ISERROR(VLOOKUP($T$660,'TAR FIN'!$A$1:$O$104,15,0)),0,VLOOKUP($T$660,'TAR FIN'!$A$1:$O$104,15,0))*(1-0.06)</f>
        <v>1250.3786</v>
      </c>
      <c r="X660" s="60">
        <f>IF(ISERROR(VLOOKUP($U$660,'TAR FIN'!$A$1:$O$104,15,0)),0,VLOOKUP($U$660,'TAR FIN'!$A$1:$O$104,15,0))*(1-0.06)</f>
        <v>373.76279999999997</v>
      </c>
      <c r="Y660" s="60"/>
      <c r="Z660" s="60">
        <f ca="1">('TUSD BE'!$AM$25+'TUSD BF'!$AM$25+'TUSD CVA'!$AM$25)*1*(1-0.03)</f>
        <v>1305.4820114952624</v>
      </c>
      <c r="AA660" s="60">
        <f>('TE BE'!$AB$7+'TE BF'!$AB$7+'TE CVA'!$AB$7)*1*(1-0.03)</f>
        <v>349.45248311940099</v>
      </c>
      <c r="AB660" s="60">
        <f>(SUBSIDIO!$J$660*SUBSIDIO!$V$660)*(0.06)/(1-0.06)</f>
        <v>0</v>
      </c>
      <c r="AC660" s="60">
        <f>((SUBSIDIO!$L$660*SUBSIDIO!$W$660)+(SUBSIDIO!$N$660*SUBSIDIO!$X$660))*(0.06)/(1-0.06)</f>
        <v>21946.331614199997</v>
      </c>
      <c r="AD660" s="60">
        <f>(SUBSIDIO!$J$660*SUBSIDIO!$Y$660)*(0.03)/(1-0.03)</f>
        <v>0</v>
      </c>
      <c r="AE660" s="60">
        <f ca="1">((SUBSIDIO!$L$660*SUBSIDIO!$Z$660)+(SUBSIDIO!$N$660*SUBSIDIO!$AA$660))*(0.03)/(1-0.03)</f>
        <v>10835.40209401362</v>
      </c>
      <c r="AF660" s="4" t="s">
        <v>999</v>
      </c>
    </row>
    <row r="661" spans="1:32" ht="11.25" customHeight="1" x14ac:dyDescent="0.25">
      <c r="A661" s="4" t="s">
        <v>21</v>
      </c>
      <c r="B661" s="4" t="s">
        <v>41</v>
      </c>
      <c r="C661" s="4" t="s">
        <v>42</v>
      </c>
      <c r="D661" s="4" t="s">
        <v>50</v>
      </c>
      <c r="E661" s="4" t="s">
        <v>51</v>
      </c>
      <c r="F661" s="4" t="s">
        <v>25</v>
      </c>
      <c r="G661" s="4" t="s">
        <v>25</v>
      </c>
      <c r="H661" s="4" t="s">
        <v>34</v>
      </c>
      <c r="I661" s="5">
        <v>44440</v>
      </c>
      <c r="J661" s="6">
        <v>0</v>
      </c>
      <c r="K661" s="60">
        <v>0</v>
      </c>
      <c r="L661" s="6">
        <v>195.94800000000001</v>
      </c>
      <c r="M661" s="60">
        <v>195.94800000000001</v>
      </c>
      <c r="N661" s="6">
        <v>195.94800000000001</v>
      </c>
      <c r="O661" s="60">
        <v>195.94800000000001</v>
      </c>
      <c r="P661" s="6">
        <v>0</v>
      </c>
      <c r="Q661" s="4" t="s">
        <v>26</v>
      </c>
      <c r="R661" s="4">
        <v>0</v>
      </c>
      <c r="S661" s="4">
        <v>0</v>
      </c>
      <c r="T661" s="4">
        <v>42</v>
      </c>
      <c r="U661" s="4">
        <v>66</v>
      </c>
      <c r="V661" s="60">
        <f>IF(ISERROR(VLOOKUP($S$661,'TAR FIN'!$A$1:$O$104,15,0)),0,VLOOKUP($S$661,'TAR FIN'!$A$1:$O$104,15,0))</f>
        <v>0</v>
      </c>
      <c r="W661" s="60">
        <f>IF(ISERROR(VLOOKUP($T$661,'TAR FIN'!$A$1:$O$104,15,0)),0,VLOOKUP($T$661,'TAR FIN'!$A$1:$O$104,15,0))*(1-0.06)</f>
        <v>1250.3786</v>
      </c>
      <c r="X661" s="60">
        <f>IF(ISERROR(VLOOKUP($U$661,'TAR FIN'!$A$1:$O$104,15,0)),0,VLOOKUP($U$661,'TAR FIN'!$A$1:$O$104,15,0))*(1-0.06)</f>
        <v>373.76279999999997</v>
      </c>
      <c r="Y661" s="60"/>
      <c r="Z661" s="60">
        <f ca="1">('TUSD BE'!$AM$25+'TUSD BF'!$AM$25+'TUSD CVA'!$AM$25)*1*(1-0.03)</f>
        <v>1305.4820114952624</v>
      </c>
      <c r="AA661" s="60">
        <f>('TE BE'!$AB$7+'TE BF'!$AB$7+'TE CVA'!$AB$7)*1*(1-0.03)</f>
        <v>349.45248311940099</v>
      </c>
      <c r="AB661" s="60">
        <f>(SUBSIDIO!$J$661*SUBSIDIO!$V$661)*(0.06)/(1-0.06)</f>
        <v>0</v>
      </c>
      <c r="AC661" s="60">
        <f>((SUBSIDIO!$L$661*SUBSIDIO!$W$661)+(SUBSIDIO!$N$661*SUBSIDIO!$X$661))*(0.06)/(1-0.06)</f>
        <v>20313.654832800003</v>
      </c>
      <c r="AD661" s="60">
        <f>(SUBSIDIO!$J$661*SUBSIDIO!$Y$661)*(0.03)/(1-0.03)</f>
        <v>0</v>
      </c>
      <c r="AE661" s="60">
        <f ca="1">((SUBSIDIO!$L$661*SUBSIDIO!$Z$661)+(SUBSIDIO!$N$661*SUBSIDIO!$AA$661))*(0.03)/(1-0.03)</f>
        <v>10029.312505693424</v>
      </c>
      <c r="AF661" s="4" t="s">
        <v>999</v>
      </c>
    </row>
    <row r="662" spans="1:32" ht="11.25" customHeight="1" x14ac:dyDescent="0.25">
      <c r="A662" s="4" t="s">
        <v>21</v>
      </c>
      <c r="B662" s="4" t="s">
        <v>41</v>
      </c>
      <c r="C662" s="4" t="s">
        <v>42</v>
      </c>
      <c r="D662" s="4" t="s">
        <v>50</v>
      </c>
      <c r="E662" s="4" t="s">
        <v>51</v>
      </c>
      <c r="F662" s="4" t="s">
        <v>25</v>
      </c>
      <c r="G662" s="4" t="s">
        <v>25</v>
      </c>
      <c r="H662" s="4" t="s">
        <v>34</v>
      </c>
      <c r="I662" s="5">
        <v>44470</v>
      </c>
      <c r="J662" s="6">
        <v>0</v>
      </c>
      <c r="K662" s="60">
        <v>0</v>
      </c>
      <c r="L662" s="6">
        <v>194.745</v>
      </c>
      <c r="M662" s="60">
        <v>194.745</v>
      </c>
      <c r="N662" s="6">
        <v>194.745</v>
      </c>
      <c r="O662" s="60">
        <v>194.745</v>
      </c>
      <c r="P662" s="6">
        <v>0</v>
      </c>
      <c r="Q662" s="4" t="s">
        <v>26</v>
      </c>
      <c r="R662" s="4">
        <v>0</v>
      </c>
      <c r="S662" s="4">
        <v>0</v>
      </c>
      <c r="T662" s="4">
        <v>42</v>
      </c>
      <c r="U662" s="4">
        <v>66</v>
      </c>
      <c r="V662" s="60">
        <f>IF(ISERROR(VLOOKUP($S$662,'TAR FIN'!$A$1:$O$104,15,0)),0,VLOOKUP($S$662,'TAR FIN'!$A$1:$O$104,15,0))</f>
        <v>0</v>
      </c>
      <c r="W662" s="60">
        <f>IF(ISERROR(VLOOKUP($T$662,'TAR FIN'!$A$1:$O$104,15,0)),0,VLOOKUP($T$662,'TAR FIN'!$A$1:$O$104,15,0))*(1-0.06)</f>
        <v>1250.3786</v>
      </c>
      <c r="X662" s="60">
        <f>IF(ISERROR(VLOOKUP($U$662,'TAR FIN'!$A$1:$O$104,15,0)),0,VLOOKUP($U$662,'TAR FIN'!$A$1:$O$104,15,0))*(1-0.06)</f>
        <v>373.76279999999997</v>
      </c>
      <c r="Y662" s="60"/>
      <c r="Z662" s="60">
        <f ca="1">('TUSD BE'!$AM$25+'TUSD BF'!$AM$25+'TUSD CVA'!$AM$25)*1*(1-0.03)</f>
        <v>1305.4820114952624</v>
      </c>
      <c r="AA662" s="60">
        <f>('TE BE'!$AB$7+'TE BF'!$AB$7+'TE CVA'!$AB$7)*1*(1-0.03)</f>
        <v>349.45248311940099</v>
      </c>
      <c r="AB662" s="60">
        <f>(SUBSIDIO!$J$662*SUBSIDIO!$V$662)*(0.06)/(1-0.06)</f>
        <v>0</v>
      </c>
      <c r="AC662" s="60">
        <f>((SUBSIDIO!$L$662*SUBSIDIO!$W$662)+(SUBSIDIO!$N$662*SUBSIDIO!$X$662))*(0.06)/(1-0.06)</f>
        <v>20188.941507</v>
      </c>
      <c r="AD662" s="60">
        <f>(SUBSIDIO!$J$662*SUBSIDIO!$Y$662)*(0.03)/(1-0.03)</f>
        <v>0</v>
      </c>
      <c r="AE662" s="60">
        <f ca="1">((SUBSIDIO!$L$662*SUBSIDIO!$Z$662)+(SUBSIDIO!$N$662*SUBSIDIO!$AA$662))*(0.03)/(1-0.03)</f>
        <v>9967.7387057855467</v>
      </c>
      <c r="AF662" s="4" t="s">
        <v>999</v>
      </c>
    </row>
    <row r="663" spans="1:32" ht="11.25" customHeight="1" x14ac:dyDescent="0.25">
      <c r="A663" s="4" t="s">
        <v>21</v>
      </c>
      <c r="B663" s="4" t="s">
        <v>41</v>
      </c>
      <c r="C663" s="4" t="s">
        <v>42</v>
      </c>
      <c r="D663" s="4" t="s">
        <v>50</v>
      </c>
      <c r="E663" s="4" t="s">
        <v>51</v>
      </c>
      <c r="F663" s="4" t="s">
        <v>25</v>
      </c>
      <c r="G663" s="4" t="s">
        <v>25</v>
      </c>
      <c r="H663" s="4" t="s">
        <v>34</v>
      </c>
      <c r="I663" s="5">
        <v>44501</v>
      </c>
      <c r="J663" s="6">
        <v>0</v>
      </c>
      <c r="K663" s="60">
        <v>0</v>
      </c>
      <c r="L663" s="6">
        <v>201.191</v>
      </c>
      <c r="M663" s="60">
        <v>201.191</v>
      </c>
      <c r="N663" s="6">
        <v>201.191</v>
      </c>
      <c r="O663" s="60">
        <v>201.191</v>
      </c>
      <c r="P663" s="6">
        <v>0</v>
      </c>
      <c r="Q663" s="4" t="s">
        <v>26</v>
      </c>
      <c r="R663" s="4">
        <v>0</v>
      </c>
      <c r="S663" s="4">
        <v>0</v>
      </c>
      <c r="T663" s="4">
        <v>42</v>
      </c>
      <c r="U663" s="4">
        <v>66</v>
      </c>
      <c r="V663" s="60">
        <f>IF(ISERROR(VLOOKUP($S$663,'TAR FIN'!$A$1:$O$104,15,0)),0,VLOOKUP($S$663,'TAR FIN'!$A$1:$O$104,15,0))</f>
        <v>0</v>
      </c>
      <c r="W663" s="60">
        <f>IF(ISERROR(VLOOKUP($T$663,'TAR FIN'!$A$1:$O$104,15,0)),0,VLOOKUP($T$663,'TAR FIN'!$A$1:$O$104,15,0))*(1-0.06)</f>
        <v>1250.3786</v>
      </c>
      <c r="X663" s="60">
        <f>IF(ISERROR(VLOOKUP($U$663,'TAR FIN'!$A$1:$O$104,15,0)),0,VLOOKUP($U$663,'TAR FIN'!$A$1:$O$104,15,0))*(1-0.06)</f>
        <v>373.76279999999997</v>
      </c>
      <c r="Y663" s="60"/>
      <c r="Z663" s="60">
        <f ca="1">('TUSD BE'!$AM$25+'TUSD BF'!$AM$25+'TUSD CVA'!$AM$25)*1*(1-0.03)</f>
        <v>1305.4820114952624</v>
      </c>
      <c r="AA663" s="60">
        <f>('TE BE'!$AB$7+'TE BF'!$AB$7+'TE CVA'!$AB$7)*1*(1-0.03)</f>
        <v>349.45248311940099</v>
      </c>
      <c r="AB663" s="60">
        <f>(SUBSIDIO!$J$663*SUBSIDIO!$V$663)*(0.06)/(1-0.06)</f>
        <v>0</v>
      </c>
      <c r="AC663" s="60">
        <f>((SUBSIDIO!$L$663*SUBSIDIO!$W$663)+(SUBSIDIO!$N$663*SUBSIDIO!$X$663))*(0.06)/(1-0.06)</f>
        <v>20857.1893026</v>
      </c>
      <c r="AD663" s="60">
        <f>(SUBSIDIO!$J$663*SUBSIDIO!$Y$663)*(0.03)/(1-0.03)</f>
        <v>0</v>
      </c>
      <c r="AE663" s="60">
        <f ca="1">((SUBSIDIO!$L$663*SUBSIDIO!$Z$663)+(SUBSIDIO!$N$663*SUBSIDIO!$AA$663))*(0.03)/(1-0.03)</f>
        <v>10297.667811526353</v>
      </c>
      <c r="AF663" s="4" t="s">
        <v>999</v>
      </c>
    </row>
    <row r="664" spans="1:32" ht="11.25" customHeight="1" x14ac:dyDescent="0.25">
      <c r="A664" s="4" t="s">
        <v>21</v>
      </c>
      <c r="B664" s="4" t="s">
        <v>41</v>
      </c>
      <c r="C664" s="4" t="s">
        <v>42</v>
      </c>
      <c r="D664" s="4" t="s">
        <v>50</v>
      </c>
      <c r="E664" s="4" t="s">
        <v>51</v>
      </c>
      <c r="F664" s="4" t="s">
        <v>25</v>
      </c>
      <c r="G664" s="4" t="s">
        <v>25</v>
      </c>
      <c r="H664" s="4" t="s">
        <v>34</v>
      </c>
      <c r="I664" s="5">
        <v>44531</v>
      </c>
      <c r="J664" s="6">
        <v>0</v>
      </c>
      <c r="K664" s="60">
        <v>0</v>
      </c>
      <c r="L664" s="6">
        <v>204.17500000000001</v>
      </c>
      <c r="M664" s="60">
        <v>204.17500000000001</v>
      </c>
      <c r="N664" s="6">
        <v>204.17500000000001</v>
      </c>
      <c r="O664" s="60">
        <v>204.17500000000001</v>
      </c>
      <c r="P664" s="6">
        <v>0</v>
      </c>
      <c r="Q664" s="4" t="s">
        <v>26</v>
      </c>
      <c r="R664" s="4">
        <v>0</v>
      </c>
      <c r="S664" s="4">
        <v>0</v>
      </c>
      <c r="T664" s="4">
        <v>42</v>
      </c>
      <c r="U664" s="4">
        <v>66</v>
      </c>
      <c r="V664" s="60">
        <f>IF(ISERROR(VLOOKUP($S$664,'TAR FIN'!$A$1:$O$104,15,0)),0,VLOOKUP($S$664,'TAR FIN'!$A$1:$O$104,15,0))</f>
        <v>0</v>
      </c>
      <c r="W664" s="60">
        <f>IF(ISERROR(VLOOKUP($T$664,'TAR FIN'!$A$1:$O$104,15,0)),0,VLOOKUP($T$664,'TAR FIN'!$A$1:$O$104,15,0))*(1-0.06)</f>
        <v>1250.3786</v>
      </c>
      <c r="X664" s="60">
        <f>IF(ISERROR(VLOOKUP($U$664,'TAR FIN'!$A$1:$O$104,15,0)),0,VLOOKUP($U$664,'TAR FIN'!$A$1:$O$104,15,0))*(1-0.06)</f>
        <v>373.76279999999997</v>
      </c>
      <c r="Y664" s="60"/>
      <c r="Z664" s="60">
        <f ca="1">('TUSD BE'!$AM$25+'TUSD BF'!$AM$25+'TUSD CVA'!$AM$25)*1*(1-0.03)</f>
        <v>1305.4820114952624</v>
      </c>
      <c r="AA664" s="60">
        <f>('TE BE'!$AB$7+'TE BF'!$AB$7+'TE CVA'!$AB$7)*1*(1-0.03)</f>
        <v>349.45248311940099</v>
      </c>
      <c r="AB664" s="60">
        <f>(SUBSIDIO!$J$664*SUBSIDIO!$V$664)*(0.06)/(1-0.06)</f>
        <v>0</v>
      </c>
      <c r="AC664" s="60">
        <f>((SUBSIDIO!$L$664*SUBSIDIO!$W$664)+(SUBSIDIO!$N$664*SUBSIDIO!$X$664))*(0.06)/(1-0.06)</f>
        <v>21166.536405000003</v>
      </c>
      <c r="AD664" s="60">
        <f>(SUBSIDIO!$J$664*SUBSIDIO!$Y$664)*(0.03)/(1-0.03)</f>
        <v>0</v>
      </c>
      <c r="AE664" s="60">
        <f ca="1">((SUBSIDIO!$L$664*SUBSIDIO!$Z$664)+(SUBSIDIO!$N$664*SUBSIDIO!$AA$664))*(0.03)/(1-0.03)</f>
        <v>10450.399498080893</v>
      </c>
      <c r="AF664" s="4" t="s">
        <v>999</v>
      </c>
    </row>
    <row r="665" spans="1:32" ht="11.25" customHeight="1" x14ac:dyDescent="0.25">
      <c r="A665" s="4" t="s">
        <v>21</v>
      </c>
      <c r="B665" s="4" t="s">
        <v>41</v>
      </c>
      <c r="C665" s="4" t="s">
        <v>42</v>
      </c>
      <c r="D665" s="4" t="s">
        <v>50</v>
      </c>
      <c r="E665" s="4" t="s">
        <v>51</v>
      </c>
      <c r="F665" s="4" t="s">
        <v>25</v>
      </c>
      <c r="G665" s="4" t="s">
        <v>25</v>
      </c>
      <c r="H665" s="4" t="s">
        <v>34</v>
      </c>
      <c r="I665" s="5">
        <v>44562</v>
      </c>
      <c r="J665" s="6">
        <v>0</v>
      </c>
      <c r="K665" s="60">
        <v>0</v>
      </c>
      <c r="L665" s="6">
        <v>219.00800000000001</v>
      </c>
      <c r="M665" s="60">
        <v>219.00800000000001</v>
      </c>
      <c r="N665" s="6">
        <v>219.00800000000001</v>
      </c>
      <c r="O665" s="60">
        <v>219.00800000000001</v>
      </c>
      <c r="P665" s="6">
        <v>0</v>
      </c>
      <c r="Q665" s="4" t="s">
        <v>26</v>
      </c>
      <c r="R665" s="4">
        <v>0</v>
      </c>
      <c r="S665" s="4">
        <v>0</v>
      </c>
      <c r="T665" s="4">
        <v>42</v>
      </c>
      <c r="U665" s="4">
        <v>66</v>
      </c>
      <c r="V665" s="60">
        <f>IF(ISERROR(VLOOKUP($S$665,'TAR FIN'!$A$1:$O$104,15,0)),0,VLOOKUP($S$665,'TAR FIN'!$A$1:$O$104,15,0))</f>
        <v>0</v>
      </c>
      <c r="W665" s="60">
        <f>IF(ISERROR(VLOOKUP($T$665,'TAR FIN'!$A$1:$O$104,15,0)),0,VLOOKUP($T$665,'TAR FIN'!$A$1:$O$104,15,0))*(1-0.06)</f>
        <v>1250.3786</v>
      </c>
      <c r="X665" s="60">
        <f>IF(ISERROR(VLOOKUP($U$665,'TAR FIN'!$A$1:$O$104,15,0)),0,VLOOKUP($U$665,'TAR FIN'!$A$1:$O$104,15,0))*(1-0.06)</f>
        <v>373.76279999999997</v>
      </c>
      <c r="Y665" s="60"/>
      <c r="Z665" s="60">
        <f ca="1">('TUSD BE'!$AM$25+'TUSD BF'!$AM$25+'TUSD CVA'!$AM$25)*1*(1-0.03)</f>
        <v>1305.4820114952624</v>
      </c>
      <c r="AA665" s="60">
        <f>('TE BE'!$AB$7+'TE BF'!$AB$7+'TE CVA'!$AB$7)*1*(1-0.03)</f>
        <v>349.45248311940099</v>
      </c>
      <c r="AB665" s="60">
        <f>(SUBSIDIO!$J$665*SUBSIDIO!$V$665)*(0.06)/(1-0.06)</f>
        <v>0</v>
      </c>
      <c r="AC665" s="60">
        <f>((SUBSIDIO!$L$665*SUBSIDIO!$W$665)+(SUBSIDIO!$N$665*SUBSIDIO!$X$665))*(0.06)/(1-0.06)</f>
        <v>22704.252748799998</v>
      </c>
      <c r="AD665" s="60">
        <f>(SUBSIDIO!$J$665*SUBSIDIO!$Y$665)*(0.03)/(1-0.03)</f>
        <v>0</v>
      </c>
      <c r="AE665" s="60">
        <f ca="1">((SUBSIDIO!$L$665*SUBSIDIO!$Z$665)+(SUBSIDIO!$N$665*SUBSIDIO!$AA$665))*(0.03)/(1-0.03)</f>
        <v>11209.60496278046</v>
      </c>
      <c r="AF665" s="4" t="s">
        <v>999</v>
      </c>
    </row>
    <row r="666" spans="1:32" ht="11.25" customHeight="1" x14ac:dyDescent="0.25">
      <c r="A666" s="4" t="s">
        <v>21</v>
      </c>
      <c r="B666" s="4" t="s">
        <v>41</v>
      </c>
      <c r="C666" s="4" t="s">
        <v>42</v>
      </c>
      <c r="D666" s="4" t="s">
        <v>50</v>
      </c>
      <c r="E666" s="4" t="s">
        <v>51</v>
      </c>
      <c r="F666" s="4" t="s">
        <v>25</v>
      </c>
      <c r="G666" s="4" t="s">
        <v>25</v>
      </c>
      <c r="H666" s="4" t="s">
        <v>34</v>
      </c>
      <c r="I666" s="5">
        <v>44593</v>
      </c>
      <c r="J666" s="6">
        <v>0</v>
      </c>
      <c r="K666" s="60">
        <v>0</v>
      </c>
      <c r="L666" s="6">
        <v>195.251</v>
      </c>
      <c r="M666" s="60">
        <v>195.251</v>
      </c>
      <c r="N666" s="6">
        <v>195.251</v>
      </c>
      <c r="O666" s="60">
        <v>195.251</v>
      </c>
      <c r="P666" s="6">
        <v>0</v>
      </c>
      <c r="Q666" s="4" t="s">
        <v>26</v>
      </c>
      <c r="R666" s="4">
        <v>0</v>
      </c>
      <c r="S666" s="4">
        <v>0</v>
      </c>
      <c r="T666" s="4">
        <v>42</v>
      </c>
      <c r="U666" s="4">
        <v>66</v>
      </c>
      <c r="V666" s="60">
        <f>IF(ISERROR(VLOOKUP($S$666,'TAR FIN'!$A$1:$O$104,15,0)),0,VLOOKUP($S$666,'TAR FIN'!$A$1:$O$104,15,0))</f>
        <v>0</v>
      </c>
      <c r="W666" s="60">
        <f>IF(ISERROR(VLOOKUP($T$666,'TAR FIN'!$A$1:$O$104,15,0)),0,VLOOKUP($T$666,'TAR FIN'!$A$1:$O$104,15,0))*(1-0.06)</f>
        <v>1250.3786</v>
      </c>
      <c r="X666" s="60">
        <f>IF(ISERROR(VLOOKUP($U$666,'TAR FIN'!$A$1:$O$104,15,0)),0,VLOOKUP($U$666,'TAR FIN'!$A$1:$O$104,15,0))*(1-0.06)</f>
        <v>373.76279999999997</v>
      </c>
      <c r="Y666" s="60"/>
      <c r="Z666" s="60">
        <f ca="1">('TUSD BE'!$AM$25+'TUSD BF'!$AM$25+'TUSD CVA'!$AM$25)*1*(1-0.03)</f>
        <v>1305.4820114952624</v>
      </c>
      <c r="AA666" s="60">
        <f>('TE BE'!$AB$7+'TE BF'!$AB$7+'TE CVA'!$AB$7)*1*(1-0.03)</f>
        <v>349.45248311940099</v>
      </c>
      <c r="AB666" s="60">
        <f>(SUBSIDIO!$J$666*SUBSIDIO!$V$666)*(0.06)/(1-0.06)</f>
        <v>0</v>
      </c>
      <c r="AC666" s="60">
        <f>((SUBSIDIO!$L$666*SUBSIDIO!$W$666)+(SUBSIDIO!$N$666*SUBSIDIO!$X$666))*(0.06)/(1-0.06)</f>
        <v>20241.397818599999</v>
      </c>
      <c r="AD666" s="60">
        <f>(SUBSIDIO!$J$666*SUBSIDIO!$Y$666)*(0.03)/(1-0.03)</f>
        <v>0</v>
      </c>
      <c r="AE666" s="60">
        <f ca="1">((SUBSIDIO!$L$666*SUBSIDIO!$Z$666)+(SUBSIDIO!$N$666*SUBSIDIO!$AA$666))*(0.03)/(1-0.03)</f>
        <v>9993.6375775672459</v>
      </c>
      <c r="AF666" s="4" t="s">
        <v>999</v>
      </c>
    </row>
    <row r="667" spans="1:32" ht="11.25" customHeight="1" x14ac:dyDescent="0.25">
      <c r="A667" s="4" t="s">
        <v>21</v>
      </c>
      <c r="B667" s="4" t="s">
        <v>41</v>
      </c>
      <c r="C667" s="4" t="s">
        <v>42</v>
      </c>
      <c r="D667" s="4" t="s">
        <v>50</v>
      </c>
      <c r="E667" s="4" t="s">
        <v>51</v>
      </c>
      <c r="F667" s="4" t="s">
        <v>25</v>
      </c>
      <c r="G667" s="4" t="s">
        <v>25</v>
      </c>
      <c r="H667" s="4" t="s">
        <v>34</v>
      </c>
      <c r="I667" s="5">
        <v>44621</v>
      </c>
      <c r="J667" s="6">
        <v>0</v>
      </c>
      <c r="K667" s="60">
        <v>0</v>
      </c>
      <c r="L667" s="6">
        <v>192.36600000000001</v>
      </c>
      <c r="M667" s="60">
        <v>192.36600000000001</v>
      </c>
      <c r="N667" s="6">
        <v>192.36600000000001</v>
      </c>
      <c r="O667" s="60">
        <v>192.36600000000001</v>
      </c>
      <c r="P667" s="6">
        <v>0</v>
      </c>
      <c r="Q667" s="4" t="s">
        <v>26</v>
      </c>
      <c r="R667" s="4">
        <v>0</v>
      </c>
      <c r="S667" s="4">
        <v>0</v>
      </c>
      <c r="T667" s="4">
        <v>42</v>
      </c>
      <c r="U667" s="4">
        <v>66</v>
      </c>
      <c r="V667" s="60">
        <f>IF(ISERROR(VLOOKUP($S$667,'TAR FIN'!$A$1:$O$104,15,0)),0,VLOOKUP($S$667,'TAR FIN'!$A$1:$O$104,15,0))</f>
        <v>0</v>
      </c>
      <c r="W667" s="60">
        <f>IF(ISERROR(VLOOKUP($T$667,'TAR FIN'!$A$1:$O$104,15,0)),0,VLOOKUP($T$667,'TAR FIN'!$A$1:$O$104,15,0))*(1-0.06)</f>
        <v>1250.3786</v>
      </c>
      <c r="X667" s="60">
        <f>IF(ISERROR(VLOOKUP($U$667,'TAR FIN'!$A$1:$O$104,15,0)),0,VLOOKUP($U$667,'TAR FIN'!$A$1:$O$104,15,0))*(1-0.06)</f>
        <v>373.76279999999997</v>
      </c>
      <c r="Y667" s="60"/>
      <c r="Z667" s="60">
        <f ca="1">('TUSD BE'!$AM$25+'TUSD BF'!$AM$25+'TUSD CVA'!$AM$25)*1*(1-0.03)</f>
        <v>1305.4820114952624</v>
      </c>
      <c r="AA667" s="60">
        <f>('TE BE'!$AB$7+'TE BF'!$AB$7+'TE CVA'!$AB$7)*1*(1-0.03)</f>
        <v>349.45248311940099</v>
      </c>
      <c r="AB667" s="60">
        <f>(SUBSIDIO!$J$667*SUBSIDIO!$V$667)*(0.06)/(1-0.06)</f>
        <v>0</v>
      </c>
      <c r="AC667" s="60">
        <f>((SUBSIDIO!$L$667*SUBSIDIO!$W$667)+(SUBSIDIO!$N$667*SUBSIDIO!$X$667))*(0.06)/(1-0.06)</f>
        <v>19942.313907600004</v>
      </c>
      <c r="AD667" s="60">
        <f>(SUBSIDIO!$J$667*SUBSIDIO!$Y$667)*(0.03)/(1-0.03)</f>
        <v>0</v>
      </c>
      <c r="AE667" s="60">
        <f ca="1">((SUBSIDIO!$L$667*SUBSIDIO!$Z$667)+(SUBSIDIO!$N$667*SUBSIDIO!$AA$667))*(0.03)/(1-0.03)</f>
        <v>9845.9730615786921</v>
      </c>
      <c r="AF667" s="4" t="s">
        <v>999</v>
      </c>
    </row>
    <row r="668" spans="1:32" ht="11.25" customHeight="1" x14ac:dyDescent="0.25">
      <c r="A668" s="4" t="s">
        <v>21</v>
      </c>
      <c r="B668" s="4" t="s">
        <v>41</v>
      </c>
      <c r="C668" s="4" t="s">
        <v>42</v>
      </c>
      <c r="D668" s="4" t="s">
        <v>50</v>
      </c>
      <c r="E668" s="4" t="s">
        <v>51</v>
      </c>
      <c r="F668" s="4" t="s">
        <v>25</v>
      </c>
      <c r="G668" s="4" t="s">
        <v>25</v>
      </c>
      <c r="H668" s="4" t="s">
        <v>34</v>
      </c>
      <c r="I668" s="5">
        <v>44652</v>
      </c>
      <c r="J668" s="6">
        <v>0</v>
      </c>
      <c r="K668" s="60">
        <v>0</v>
      </c>
      <c r="L668" s="6">
        <v>197.28800000000001</v>
      </c>
      <c r="M668" s="60">
        <v>197.28800000000001</v>
      </c>
      <c r="N668" s="6">
        <v>197.28800000000001</v>
      </c>
      <c r="O668" s="60">
        <v>197.28800000000001</v>
      </c>
      <c r="P668" s="6">
        <v>0</v>
      </c>
      <c r="Q668" s="4" t="s">
        <v>26</v>
      </c>
      <c r="R668" s="4">
        <v>0</v>
      </c>
      <c r="S668" s="4">
        <v>0</v>
      </c>
      <c r="T668" s="4">
        <v>42</v>
      </c>
      <c r="U668" s="4">
        <v>66</v>
      </c>
      <c r="V668" s="60">
        <f>IF(ISERROR(VLOOKUP($S$668,'TAR FIN'!$A$1:$O$104,15,0)),0,VLOOKUP($S$668,'TAR FIN'!$A$1:$O$104,15,0))</f>
        <v>0</v>
      </c>
      <c r="W668" s="60">
        <f>IF(ISERROR(VLOOKUP($T$668,'TAR FIN'!$A$1:$O$104,15,0)),0,VLOOKUP($T$668,'TAR FIN'!$A$1:$O$104,15,0))*(1-0.06)</f>
        <v>1250.3786</v>
      </c>
      <c r="X668" s="60">
        <f>IF(ISERROR(VLOOKUP($U$668,'TAR FIN'!$A$1:$O$104,15,0)),0,VLOOKUP($U$668,'TAR FIN'!$A$1:$O$104,15,0))*(1-0.06)</f>
        <v>373.76279999999997</v>
      </c>
      <c r="Y668" s="60"/>
      <c r="Z668" s="60">
        <f ca="1">('TUSD BE'!$AM$25+'TUSD BF'!$AM$25+'TUSD CVA'!$AM$25)*1*(1-0.03)</f>
        <v>1305.4820114952624</v>
      </c>
      <c r="AA668" s="60">
        <f>('TE BE'!$AB$7+'TE BF'!$AB$7+'TE CVA'!$AB$7)*1*(1-0.03)</f>
        <v>349.45248311940099</v>
      </c>
      <c r="AB668" s="60">
        <f>(SUBSIDIO!$J$668*SUBSIDIO!$V$668)*(0.06)/(1-0.06)</f>
        <v>0</v>
      </c>
      <c r="AC668" s="60">
        <f>((SUBSIDIO!$L$668*SUBSIDIO!$W$668)+(SUBSIDIO!$N$668*SUBSIDIO!$X$668))*(0.06)/(1-0.06)</f>
        <v>20452.570756800003</v>
      </c>
      <c r="AD668" s="60">
        <f>(SUBSIDIO!$J$668*SUBSIDIO!$Y$668)*(0.03)/(1-0.03)</f>
        <v>0</v>
      </c>
      <c r="AE668" s="60">
        <f ca="1">((SUBSIDIO!$L$668*SUBSIDIO!$Z$668)+(SUBSIDIO!$N$668*SUBSIDIO!$AA$668))*(0.03)/(1-0.03)</f>
        <v>10097.898450727971</v>
      </c>
      <c r="AF668" s="4" t="s">
        <v>999</v>
      </c>
    </row>
    <row r="669" spans="1:32" ht="11.25" customHeight="1" x14ac:dyDescent="0.25">
      <c r="A669" s="4" t="s">
        <v>21</v>
      </c>
      <c r="B669" s="4" t="s">
        <v>41</v>
      </c>
      <c r="C669" s="4" t="s">
        <v>42</v>
      </c>
      <c r="D669" s="4" t="s">
        <v>50</v>
      </c>
      <c r="E669" s="4" t="s">
        <v>51</v>
      </c>
      <c r="F669" s="4" t="s">
        <v>25</v>
      </c>
      <c r="G669" s="4" t="s">
        <v>25</v>
      </c>
      <c r="H669" s="4" t="s">
        <v>34</v>
      </c>
      <c r="I669" s="5">
        <v>44682</v>
      </c>
      <c r="J669" s="6">
        <v>0</v>
      </c>
      <c r="K669" s="60">
        <v>0</v>
      </c>
      <c r="L669" s="6">
        <v>209.20500000000001</v>
      </c>
      <c r="M669" s="60">
        <v>209.20500000000001</v>
      </c>
      <c r="N669" s="6">
        <v>209.20500000000001</v>
      </c>
      <c r="O669" s="60">
        <v>209.20500000000001</v>
      </c>
      <c r="P669" s="6">
        <v>0</v>
      </c>
      <c r="Q669" s="4" t="s">
        <v>26</v>
      </c>
      <c r="R669" s="4">
        <v>0</v>
      </c>
      <c r="S669" s="4">
        <v>0</v>
      </c>
      <c r="T669" s="4">
        <v>42</v>
      </c>
      <c r="U669" s="4">
        <v>66</v>
      </c>
      <c r="V669" s="60">
        <f>IF(ISERROR(VLOOKUP($S$669,'TAR FIN'!$A$1:$O$104,15,0)),0,VLOOKUP($S$669,'TAR FIN'!$A$1:$O$104,15,0))</f>
        <v>0</v>
      </c>
      <c r="W669" s="60">
        <f>IF(ISERROR(VLOOKUP($T$669,'TAR FIN'!$A$1:$O$104,15,0)),0,VLOOKUP($T$669,'TAR FIN'!$A$1:$O$104,15,0))*(1-0.06)</f>
        <v>1250.3786</v>
      </c>
      <c r="X669" s="60">
        <f>IF(ISERROR(VLOOKUP($U$669,'TAR FIN'!$A$1:$O$104,15,0)),0,VLOOKUP($U$669,'TAR FIN'!$A$1:$O$104,15,0))*(1-0.06)</f>
        <v>373.76279999999997</v>
      </c>
      <c r="Y669" s="60"/>
      <c r="Z669" s="60">
        <f ca="1">('TUSD BE'!$AM$25+'TUSD BF'!$AM$25+'TUSD CVA'!$AM$25)*1*(1-0.03)</f>
        <v>1305.4820114952624</v>
      </c>
      <c r="AA669" s="60">
        <f>('TE BE'!$AB$7+'TE BF'!$AB$7+'TE CVA'!$AB$7)*1*(1-0.03)</f>
        <v>349.45248311940099</v>
      </c>
      <c r="AB669" s="60">
        <f>(SUBSIDIO!$J$669*SUBSIDIO!$V$669)*(0.06)/(1-0.06)</f>
        <v>0</v>
      </c>
      <c r="AC669" s="60">
        <f>((SUBSIDIO!$L$669*SUBSIDIO!$W$669)+(SUBSIDIO!$N$669*SUBSIDIO!$X$669))*(0.06)/(1-0.06)</f>
        <v>21687.989463000002</v>
      </c>
      <c r="AD669" s="60">
        <f>(SUBSIDIO!$J$669*SUBSIDIO!$Y$669)*(0.03)/(1-0.03)</f>
        <v>0</v>
      </c>
      <c r="AE669" s="60">
        <f ca="1">((SUBSIDIO!$L$669*SUBSIDIO!$Z$669)+(SUBSIDIO!$N$669*SUBSIDIO!$AA$669))*(0.03)/(1-0.03)</f>
        <v>10707.852709665796</v>
      </c>
      <c r="AF669" s="4" t="s">
        <v>999</v>
      </c>
    </row>
    <row r="670" spans="1:32" ht="11.25" customHeight="1" x14ac:dyDescent="0.25">
      <c r="A670" s="4" t="s">
        <v>21</v>
      </c>
      <c r="B670" s="4" t="s">
        <v>41</v>
      </c>
      <c r="C670" s="4" t="s">
        <v>42</v>
      </c>
      <c r="D670" s="4" t="s">
        <v>50</v>
      </c>
      <c r="E670" s="4" t="s">
        <v>51</v>
      </c>
      <c r="F670" s="4" t="s">
        <v>25</v>
      </c>
      <c r="G670" s="4" t="s">
        <v>25</v>
      </c>
      <c r="H670" s="4" t="s">
        <v>34</v>
      </c>
      <c r="I670" s="5">
        <v>44713</v>
      </c>
      <c r="J670" s="6">
        <v>0</v>
      </c>
      <c r="K670" s="60">
        <v>0</v>
      </c>
      <c r="L670" s="6">
        <v>214.83099999999999</v>
      </c>
      <c r="M670" s="60">
        <v>214.83099999999999</v>
      </c>
      <c r="N670" s="6">
        <v>214.83099999999999</v>
      </c>
      <c r="O670" s="60">
        <v>214.83099999999999</v>
      </c>
      <c r="P670" s="6">
        <v>0</v>
      </c>
      <c r="Q670" s="4" t="s">
        <v>26</v>
      </c>
      <c r="R670" s="4">
        <v>0</v>
      </c>
      <c r="S670" s="4">
        <v>0</v>
      </c>
      <c r="T670" s="4">
        <v>42</v>
      </c>
      <c r="U670" s="4">
        <v>66</v>
      </c>
      <c r="V670" s="60">
        <f>IF(ISERROR(VLOOKUP($S$670,'TAR FIN'!$A$1:$O$104,15,0)),0,VLOOKUP($S$670,'TAR FIN'!$A$1:$O$104,15,0))</f>
        <v>0</v>
      </c>
      <c r="W670" s="60">
        <f>IF(ISERROR(VLOOKUP($T$670,'TAR FIN'!$A$1:$O$104,15,0)),0,VLOOKUP($T$670,'TAR FIN'!$A$1:$O$104,15,0))*(1-0.06)</f>
        <v>1250.3786</v>
      </c>
      <c r="X670" s="60">
        <f>IF(ISERROR(VLOOKUP($U$670,'TAR FIN'!$A$1:$O$104,15,0)),0,VLOOKUP($U$670,'TAR FIN'!$A$1:$O$104,15,0))*(1-0.06)</f>
        <v>373.76279999999997</v>
      </c>
      <c r="Y670" s="60"/>
      <c r="Z670" s="60">
        <f ca="1">('TUSD BE'!$AM$25+'TUSD BF'!$AM$25+'TUSD CVA'!$AM$25)*1*(1-0.03)</f>
        <v>1305.4820114952624</v>
      </c>
      <c r="AA670" s="60">
        <f>('TE BE'!$AB$7+'TE BF'!$AB$7+'TE CVA'!$AB$7)*1*(1-0.03)</f>
        <v>349.45248311940099</v>
      </c>
      <c r="AB670" s="60">
        <f>(SUBSIDIO!$J$670*SUBSIDIO!$V$670)*(0.06)/(1-0.06)</f>
        <v>0</v>
      </c>
      <c r="AC670" s="60">
        <f>((SUBSIDIO!$L$670*SUBSIDIO!$W$670)+(SUBSIDIO!$N$670*SUBSIDIO!$X$670))*(0.06)/(1-0.06)</f>
        <v>22271.229006599999</v>
      </c>
      <c r="AD670" s="60">
        <f>(SUBSIDIO!$J$670*SUBSIDIO!$Y$670)*(0.03)/(1-0.03)</f>
        <v>0</v>
      </c>
      <c r="AE670" s="60">
        <f ca="1">((SUBSIDIO!$L$670*SUBSIDIO!$Z$670)+(SUBSIDIO!$N$670*SUBSIDIO!$AA$670))*(0.03)/(1-0.03)</f>
        <v>10995.811311728747</v>
      </c>
      <c r="AF670" s="4" t="s">
        <v>999</v>
      </c>
    </row>
    <row r="671" spans="1:32" ht="11.25" customHeight="1" x14ac:dyDescent="0.25">
      <c r="A671" s="4" t="s">
        <v>57</v>
      </c>
      <c r="B671" s="4" t="s">
        <v>41</v>
      </c>
      <c r="C671" s="4" t="s">
        <v>42</v>
      </c>
      <c r="D671" s="4" t="s">
        <v>50</v>
      </c>
      <c r="E671" s="4" t="s">
        <v>51</v>
      </c>
      <c r="F671" s="4" t="s">
        <v>25</v>
      </c>
      <c r="G671" s="4" t="s">
        <v>25</v>
      </c>
      <c r="H671" s="4" t="s">
        <v>34</v>
      </c>
      <c r="I671" s="5">
        <v>44743</v>
      </c>
      <c r="J671" s="6">
        <v>0</v>
      </c>
      <c r="K671" s="60">
        <v>0</v>
      </c>
      <c r="L671" s="6">
        <v>214.83099999999999</v>
      </c>
      <c r="M671" s="60">
        <v>214.83099999999999</v>
      </c>
      <c r="N671" s="6">
        <v>214.83099999999999</v>
      </c>
      <c r="O671" s="60">
        <v>214.83099999999999</v>
      </c>
      <c r="P671" s="6">
        <v>0</v>
      </c>
      <c r="Q671" s="4" t="s">
        <v>26</v>
      </c>
      <c r="R671" s="4">
        <v>0</v>
      </c>
      <c r="S671" s="4">
        <v>0</v>
      </c>
      <c r="T671" s="4">
        <v>42</v>
      </c>
      <c r="U671" s="4">
        <v>66</v>
      </c>
      <c r="V671" s="60">
        <f>IF(ISERROR(VLOOKUP($S$671,'TAR FIN'!$A$1:$O$104,15,0)),0,VLOOKUP($S$671,'TAR FIN'!$A$1:$O$104,15,0))</f>
        <v>0</v>
      </c>
      <c r="W671" s="60">
        <f>IF(ISERROR(VLOOKUP($T$671,'TAR FIN'!$A$1:$O$104,15,0)),0,VLOOKUP($T$671,'TAR FIN'!$A$1:$O$104,15,0))*(1-0.06)</f>
        <v>1250.3786</v>
      </c>
      <c r="X671" s="60">
        <f>IF(ISERROR(VLOOKUP($U$671,'TAR FIN'!$A$1:$O$104,15,0)),0,VLOOKUP($U$671,'TAR FIN'!$A$1:$O$104,15,0))*(1-0.06)</f>
        <v>373.76279999999997</v>
      </c>
      <c r="Y671" s="60"/>
      <c r="Z671" s="60">
        <f ca="1">('TUSD BE'!$AM$25+'TUSD BF'!$AM$25+'TUSD CVA'!$AM$25)*1*(1-0.03)</f>
        <v>1305.4820114952624</v>
      </c>
      <c r="AA671" s="60">
        <f>('TE BE'!$AB$7+'TE BF'!$AB$7+'TE CVA'!$AB$7)*1*(1-0.03)</f>
        <v>349.45248311940099</v>
      </c>
      <c r="AB671" s="60">
        <f>(SUBSIDIO!$J$671*SUBSIDIO!$V$671)*(0.06)/(1-0.06)</f>
        <v>0</v>
      </c>
      <c r="AC671" s="60">
        <f>((SUBSIDIO!$L$671*SUBSIDIO!$W$671)+(SUBSIDIO!$N$671*SUBSIDIO!$X$671))*(0.06)/(1-0.06)</f>
        <v>22271.229006599999</v>
      </c>
      <c r="AD671" s="60">
        <f>(SUBSIDIO!$J$671*SUBSIDIO!$Y$671)*(0.03)/(1-0.03)</f>
        <v>0</v>
      </c>
      <c r="AE671" s="60">
        <f ca="1">((SUBSIDIO!$L$671*SUBSIDIO!$Z$671)+(SUBSIDIO!$N$671*SUBSIDIO!$AA$671))*(0.03)/(1-0.03)</f>
        <v>10995.811311728747</v>
      </c>
      <c r="AF671" s="4" t="s">
        <v>999</v>
      </c>
    </row>
    <row r="672" spans="1:32" ht="11.25" customHeight="1" x14ac:dyDescent="0.25">
      <c r="A672" s="4" t="s">
        <v>21</v>
      </c>
      <c r="B672" s="4" t="s">
        <v>22</v>
      </c>
      <c r="C672" s="4" t="s">
        <v>23</v>
      </c>
      <c r="D672" s="4" t="s">
        <v>24</v>
      </c>
      <c r="E672" s="4" t="s">
        <v>24</v>
      </c>
      <c r="F672" s="4" t="s">
        <v>25</v>
      </c>
      <c r="G672" s="4" t="s">
        <v>25</v>
      </c>
      <c r="H672" s="4" t="s">
        <v>25</v>
      </c>
      <c r="I672" s="5">
        <v>44409</v>
      </c>
      <c r="J672" s="6">
        <v>0</v>
      </c>
      <c r="K672" s="6">
        <v>0</v>
      </c>
      <c r="L672" s="6">
        <v>107190.459</v>
      </c>
      <c r="M672" s="6">
        <v>107190.459</v>
      </c>
      <c r="N672" s="6">
        <v>107190.459</v>
      </c>
      <c r="O672" s="6">
        <v>107190.459</v>
      </c>
      <c r="P672" s="6">
        <v>796021</v>
      </c>
      <c r="Q672" s="4" t="s">
        <v>26</v>
      </c>
      <c r="R672" s="4">
        <v>0</v>
      </c>
      <c r="S672" s="4">
        <v>0</v>
      </c>
      <c r="T672" s="4">
        <v>2</v>
      </c>
      <c r="U672" s="4">
        <v>72</v>
      </c>
      <c r="V672" s="6">
        <f>IF(ISERROR(VLOOKUP($S$672,'TAR FIN'!$A$1:$O$104,15,0)),0,VLOOKUP($S$672,'TAR FIN'!$A$1:$O$104,15,0))</f>
        <v>0</v>
      </c>
      <c r="W672" s="6">
        <f>IF(ISERROR(VLOOKUP($T$672,'TAR FIN'!$A$1:$O$104,15,0)),0,VLOOKUP($T$672,'TAR FIN'!$A$1:$O$104,15,0))</f>
        <v>341.2</v>
      </c>
      <c r="X672" s="6">
        <f>IF(ISERROR(VLOOKUP($U$672,'TAR FIN'!$A$1:$O$104,15,0)),0,VLOOKUP($U$672,'TAR FIN'!$A$1:$O$104,15,0))</f>
        <v>255.72</v>
      </c>
      <c r="Y672" s="6"/>
      <c r="Z672" s="6">
        <f ca="1">('TUSD BE'!$AM$34+'TUSD BF'!$AM$34+'TUSD CVA'!$AM$34)*1</f>
        <v>356.61002995987536</v>
      </c>
      <c r="AA672" s="6">
        <f>('TE BE'!$AB$13+'TE BF'!$AB$13+'TE CVA'!$AB$13)*1</f>
        <v>242.47071701268419</v>
      </c>
      <c r="AB672" s="6">
        <f t="shared" ref="AB672:AB705" si="34">(J672-K672)*V672</f>
        <v>0</v>
      </c>
      <c r="AC672" s="6">
        <f t="shared" ref="AC672" si="35">(L672-M672)*W672+(N672-O672)*X672</f>
        <v>0</v>
      </c>
      <c r="AD672" s="6">
        <f t="shared" ref="AD672:AD705" si="36">(J672-K672)*Y672</f>
        <v>0</v>
      </c>
      <c r="AE672" s="6">
        <f t="shared" ref="AE672" ca="1" si="37">(L672-M672)*Z672+(N672-O672)*AA672</f>
        <v>0</v>
      </c>
    </row>
    <row r="673" spans="1:32" ht="11.25" customHeight="1" x14ac:dyDescent="0.25">
      <c r="A673" s="4" t="s">
        <v>21</v>
      </c>
      <c r="B673" s="4" t="s">
        <v>22</v>
      </c>
      <c r="C673" s="4" t="s">
        <v>23</v>
      </c>
      <c r="D673" s="4" t="s">
        <v>24</v>
      </c>
      <c r="E673" s="4" t="s">
        <v>29</v>
      </c>
      <c r="F673" s="4" t="s">
        <v>25</v>
      </c>
      <c r="G673" s="4" t="s">
        <v>25</v>
      </c>
      <c r="H673" s="4" t="s">
        <v>25</v>
      </c>
      <c r="I673" s="5">
        <v>44409</v>
      </c>
      <c r="J673" s="6">
        <v>0</v>
      </c>
      <c r="K673" s="6">
        <v>0</v>
      </c>
      <c r="L673" s="6">
        <v>13046.805</v>
      </c>
      <c r="M673" s="6">
        <v>13046.805</v>
      </c>
      <c r="N673" s="6">
        <v>13046.805</v>
      </c>
      <c r="O673" s="6">
        <v>13046.805</v>
      </c>
      <c r="P673" s="6">
        <v>45745</v>
      </c>
      <c r="Q673" s="4" t="s">
        <v>26</v>
      </c>
      <c r="R673" s="4">
        <v>0</v>
      </c>
      <c r="S673" s="4">
        <v>0</v>
      </c>
      <c r="T673" s="4">
        <v>4</v>
      </c>
      <c r="U673" s="4">
        <v>73</v>
      </c>
      <c r="V673" s="6">
        <f>IF(ISERROR(VLOOKUP($S$673,'TAR FIN'!$A$1:$O$104,15,0)),0,VLOOKUP($S$673,'TAR FIN'!$A$1:$O$104,15,0))</f>
        <v>0</v>
      </c>
      <c r="W673" s="6">
        <f>IF(ISERROR(VLOOKUP($T$673,'TAR FIN'!$A$1:$O$104,15,0)),0,VLOOKUP($T$673,'TAR FIN'!$A$1:$O$104,15,0))</f>
        <v>104.85</v>
      </c>
      <c r="X673" s="6">
        <f>IF(ISERROR(VLOOKUP($U$673,'TAR FIN'!$A$1:$O$104,15,0)),0,VLOOKUP($U$673,'TAR FIN'!$A$1:$O$104,15,0))</f>
        <v>89.5</v>
      </c>
      <c r="Y673" s="6"/>
      <c r="Z673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73" s="6">
        <f>('TE BE'!$AB$14+'TE BF'!$AB$14+'TE CVA'!$AB$14)*(1-CUSTOS!$M$34)</f>
        <v>84.864750954439458</v>
      </c>
      <c r="AB673" s="6">
        <f t="shared" si="34"/>
        <v>0</v>
      </c>
      <c r="AC673" s="6">
        <f>(L673-M673)*(W673+X673)+($W$784+$X$784-$W$673-$X$673)*(L673)</f>
        <v>4709113.7966999989</v>
      </c>
      <c r="AD673" s="6">
        <f t="shared" si="36"/>
        <v>0</v>
      </c>
      <c r="AE673" s="6">
        <f ca="1">(L673-M673)*(Z673+AA673)+($Z$784+$AA$784-$Z$673-$AA$673)*(L673)</f>
        <v>4534748.1967995623</v>
      </c>
      <c r="AF673" s="4" t="s">
        <v>1002</v>
      </c>
    </row>
    <row r="674" spans="1:32" ht="11.25" customHeight="1" x14ac:dyDescent="0.25">
      <c r="A674" s="4" t="s">
        <v>27</v>
      </c>
      <c r="B674" s="4" t="s">
        <v>22</v>
      </c>
      <c r="C674" s="4" t="s">
        <v>23</v>
      </c>
      <c r="D674" s="4" t="s">
        <v>24</v>
      </c>
      <c r="E674" s="4" t="s">
        <v>29</v>
      </c>
      <c r="F674" s="4" t="s">
        <v>25</v>
      </c>
      <c r="G674" s="4" t="s">
        <v>25</v>
      </c>
      <c r="H674" s="4" t="s">
        <v>25</v>
      </c>
      <c r="I674" s="5">
        <v>44409</v>
      </c>
      <c r="J674" s="6">
        <v>0</v>
      </c>
      <c r="K674" s="6">
        <v>0</v>
      </c>
      <c r="L674" s="6">
        <v>2.44</v>
      </c>
      <c r="M674" s="6">
        <v>2.44</v>
      </c>
      <c r="N674" s="6">
        <v>2.44</v>
      </c>
      <c r="O674" s="6">
        <v>2.44</v>
      </c>
      <c r="P674" s="6">
        <v>32</v>
      </c>
      <c r="Q674" s="4" t="s">
        <v>26</v>
      </c>
      <c r="R674" s="4">
        <v>0</v>
      </c>
      <c r="S674" s="4">
        <v>0</v>
      </c>
      <c r="T674" s="4">
        <v>4</v>
      </c>
      <c r="U674" s="4">
        <v>73</v>
      </c>
      <c r="V674" s="6">
        <f>IF(ISERROR(VLOOKUP($S$674,'TAR FIN'!$A$1:$O$104,15,0)),0,VLOOKUP($S$674,'TAR FIN'!$A$1:$O$104,15,0))</f>
        <v>0</v>
      </c>
      <c r="W674" s="6">
        <f>IF(ISERROR(VLOOKUP($T$674,'TAR FIN'!$A$1:$O$104,15,0)),0,VLOOKUP($T$674,'TAR FIN'!$A$1:$O$104,15,0))</f>
        <v>104.85</v>
      </c>
      <c r="X674" s="6">
        <f>IF(ISERROR(VLOOKUP($U$674,'TAR FIN'!$A$1:$O$104,15,0)),0,VLOOKUP($U$674,'TAR FIN'!$A$1:$O$104,15,0))</f>
        <v>89.5</v>
      </c>
      <c r="Y674" s="6"/>
      <c r="Z674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74" s="6">
        <f>('TE BE'!$AB$14+'TE BF'!$AB$14+'TE CVA'!$AB$14)*(1-CUSTOS!$M$34)</f>
        <v>84.864750954439458</v>
      </c>
      <c r="AB674" s="6">
        <f t="shared" si="34"/>
        <v>0</v>
      </c>
      <c r="AC674" s="6">
        <f>(L674-M674)*(W674+X674)+($W$784+$X$784-$W$674-$X$674)*(L674)</f>
        <v>880.69359999999983</v>
      </c>
      <c r="AD674" s="6">
        <f t="shared" si="36"/>
        <v>0</v>
      </c>
      <c r="AE674" s="6">
        <f ca="1">(L674-M674)*(Z674+AA674)+($Z$784+$AA$784-$Z$674-$AA$674)*(L674)</f>
        <v>848.08392554276179</v>
      </c>
      <c r="AF674" s="4" t="s">
        <v>1002</v>
      </c>
    </row>
    <row r="675" spans="1:32" ht="11.25" customHeight="1" x14ac:dyDescent="0.25">
      <c r="A675" s="4" t="s">
        <v>28</v>
      </c>
      <c r="B675" s="4" t="s">
        <v>22</v>
      </c>
      <c r="C675" s="4" t="s">
        <v>23</v>
      </c>
      <c r="D675" s="4" t="s">
        <v>24</v>
      </c>
      <c r="E675" s="4" t="s">
        <v>29</v>
      </c>
      <c r="F675" s="4" t="s">
        <v>25</v>
      </c>
      <c r="G675" s="4" t="s">
        <v>25</v>
      </c>
      <c r="H675" s="4" t="s">
        <v>25</v>
      </c>
      <c r="I675" s="5">
        <v>44409</v>
      </c>
      <c r="J675" s="6">
        <v>0</v>
      </c>
      <c r="K675" s="6">
        <v>0</v>
      </c>
      <c r="L675" s="6">
        <v>15.66</v>
      </c>
      <c r="M675" s="6">
        <v>15.66</v>
      </c>
      <c r="N675" s="6">
        <v>15.66</v>
      </c>
      <c r="O675" s="6">
        <v>15.66</v>
      </c>
      <c r="P675" s="6">
        <v>25</v>
      </c>
      <c r="Q675" s="4" t="s">
        <v>26</v>
      </c>
      <c r="R675" s="4">
        <v>0</v>
      </c>
      <c r="S675" s="4">
        <v>0</v>
      </c>
      <c r="T675" s="4">
        <v>4</v>
      </c>
      <c r="U675" s="4">
        <v>73</v>
      </c>
      <c r="V675" s="6">
        <f>IF(ISERROR(VLOOKUP($S$675,'TAR FIN'!$A$1:$O$104,15,0)),0,VLOOKUP($S$675,'TAR FIN'!$A$1:$O$104,15,0))</f>
        <v>0</v>
      </c>
      <c r="W675" s="6">
        <f>IF(ISERROR(VLOOKUP($T$675,'TAR FIN'!$A$1:$O$104,15,0)),0,VLOOKUP($T$675,'TAR FIN'!$A$1:$O$104,15,0))</f>
        <v>104.85</v>
      </c>
      <c r="X675" s="6">
        <f>IF(ISERROR(VLOOKUP($U$675,'TAR FIN'!$A$1:$O$104,15,0)),0,VLOOKUP($U$675,'TAR FIN'!$A$1:$O$104,15,0))</f>
        <v>89.5</v>
      </c>
      <c r="Y675" s="6"/>
      <c r="Z675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75" s="6">
        <f>('TE BE'!$AB$14+'TE BF'!$AB$14+'TE CVA'!$AB$14)*(1-CUSTOS!$M$34)</f>
        <v>84.864750954439458</v>
      </c>
      <c r="AB675" s="6">
        <f t="shared" si="34"/>
        <v>0</v>
      </c>
      <c r="AC675" s="6">
        <f>(L675-M675)*(W675+X675)+($W$784+$X$784-$W$675-$X$675)*(L675)</f>
        <v>5652.3203999999987</v>
      </c>
      <c r="AD675" s="6">
        <f t="shared" si="36"/>
        <v>0</v>
      </c>
      <c r="AE675" s="6">
        <f ca="1">(L675-M675)*(Z675+AA675)+($Z$784+$AA$784-$Z$675-$AA$675)*(L675)</f>
        <v>5443.0304401637914</v>
      </c>
      <c r="AF675" s="4" t="s">
        <v>1002</v>
      </c>
    </row>
    <row r="676" spans="1:32" ht="11.25" customHeight="1" x14ac:dyDescent="0.25">
      <c r="A676" s="4" t="s">
        <v>21</v>
      </c>
      <c r="B676" s="4" t="s">
        <v>22</v>
      </c>
      <c r="C676" s="4" t="s">
        <v>23</v>
      </c>
      <c r="D676" s="4" t="s">
        <v>24</v>
      </c>
      <c r="E676" s="4" t="s">
        <v>29</v>
      </c>
      <c r="F676" s="4" t="s">
        <v>25</v>
      </c>
      <c r="G676" s="4" t="s">
        <v>25</v>
      </c>
      <c r="H676" s="4" t="s">
        <v>25</v>
      </c>
      <c r="I676" s="5">
        <v>44440</v>
      </c>
      <c r="J676" s="6">
        <v>0</v>
      </c>
      <c r="K676" s="6">
        <v>0</v>
      </c>
      <c r="L676" s="6">
        <v>12870.684999999999</v>
      </c>
      <c r="M676" s="6">
        <v>12870.684999999999</v>
      </c>
      <c r="N676" s="6">
        <v>12870.684999999999</v>
      </c>
      <c r="O676" s="6">
        <v>12870.684999999999</v>
      </c>
      <c r="P676" s="6">
        <v>44002</v>
      </c>
      <c r="Q676" s="4" t="s">
        <v>26</v>
      </c>
      <c r="R676" s="4">
        <v>0</v>
      </c>
      <c r="S676" s="4">
        <v>0</v>
      </c>
      <c r="T676" s="4">
        <v>4</v>
      </c>
      <c r="U676" s="4">
        <v>73</v>
      </c>
      <c r="V676" s="6">
        <f>IF(ISERROR(VLOOKUP($S$676,'TAR FIN'!$A$1:$O$104,15,0)),0,VLOOKUP($S$676,'TAR FIN'!$A$1:$O$104,15,0))</f>
        <v>0</v>
      </c>
      <c r="W676" s="6">
        <f>IF(ISERROR(VLOOKUP($T$676,'TAR FIN'!$A$1:$O$104,15,0)),0,VLOOKUP($T$676,'TAR FIN'!$A$1:$O$104,15,0))</f>
        <v>104.85</v>
      </c>
      <c r="X676" s="6">
        <f>IF(ISERROR(VLOOKUP($U$676,'TAR FIN'!$A$1:$O$104,15,0)),0,VLOOKUP($U$676,'TAR FIN'!$A$1:$O$104,15,0))</f>
        <v>89.5</v>
      </c>
      <c r="Y676" s="6"/>
      <c r="Z676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76" s="6">
        <f>('TE BE'!$AB$14+'TE BF'!$AB$14+'TE CVA'!$AB$14)*(1-CUSTOS!$M$34)</f>
        <v>84.864750954439458</v>
      </c>
      <c r="AB676" s="6">
        <f t="shared" si="34"/>
        <v>0</v>
      </c>
      <c r="AC676" s="6">
        <f>(L676-M676)*(W676+X676)+($W$784+$X$784-$W$676-$X$676)*(L676)</f>
        <v>4645545.043899999</v>
      </c>
      <c r="AD676" s="6">
        <f t="shared" si="36"/>
        <v>0</v>
      </c>
      <c r="AE676" s="6">
        <f ca="1">(L676-M676)*(Z676+AA676)+($Z$784+$AA$784-$Z$676-$AA$676)*(L676)</f>
        <v>4473533.2209935822</v>
      </c>
      <c r="AF676" s="4" t="s">
        <v>1002</v>
      </c>
    </row>
    <row r="677" spans="1:32" ht="11.25" customHeight="1" x14ac:dyDescent="0.25">
      <c r="A677" s="4" t="s">
        <v>27</v>
      </c>
      <c r="B677" s="4" t="s">
        <v>22</v>
      </c>
      <c r="C677" s="4" t="s">
        <v>23</v>
      </c>
      <c r="D677" s="4" t="s">
        <v>24</v>
      </c>
      <c r="E677" s="4" t="s">
        <v>29</v>
      </c>
      <c r="F677" s="4" t="s">
        <v>25</v>
      </c>
      <c r="G677" s="4" t="s">
        <v>25</v>
      </c>
      <c r="H677" s="4" t="s">
        <v>25</v>
      </c>
      <c r="I677" s="5">
        <v>44440</v>
      </c>
      <c r="J677" s="6">
        <v>0</v>
      </c>
      <c r="K677" s="6">
        <v>0</v>
      </c>
      <c r="L677" s="6">
        <v>4.0679999999999996</v>
      </c>
      <c r="M677" s="6">
        <v>4.0679999999999996</v>
      </c>
      <c r="N677" s="6">
        <v>4.0679999999999996</v>
      </c>
      <c r="O677" s="6">
        <v>4.0679999999999996</v>
      </c>
      <c r="P677" s="6">
        <v>55</v>
      </c>
      <c r="Q677" s="4" t="s">
        <v>26</v>
      </c>
      <c r="R677" s="4">
        <v>0</v>
      </c>
      <c r="S677" s="4">
        <v>0</v>
      </c>
      <c r="T677" s="4">
        <v>4</v>
      </c>
      <c r="U677" s="4">
        <v>73</v>
      </c>
      <c r="V677" s="6">
        <f>IF(ISERROR(VLOOKUP($S$677,'TAR FIN'!$A$1:$O$104,15,0)),0,VLOOKUP($S$677,'TAR FIN'!$A$1:$O$104,15,0))</f>
        <v>0</v>
      </c>
      <c r="W677" s="6">
        <f>IF(ISERROR(VLOOKUP($T$677,'TAR FIN'!$A$1:$O$104,15,0)),0,VLOOKUP($T$677,'TAR FIN'!$A$1:$O$104,15,0))</f>
        <v>104.85</v>
      </c>
      <c r="X677" s="6">
        <f>IF(ISERROR(VLOOKUP($U$677,'TAR FIN'!$A$1:$O$104,15,0)),0,VLOOKUP($U$677,'TAR FIN'!$A$1:$O$104,15,0))</f>
        <v>89.5</v>
      </c>
      <c r="Y677" s="6"/>
      <c r="Z677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77" s="6">
        <f>('TE BE'!$AB$14+'TE BF'!$AB$14+'TE CVA'!$AB$14)*(1-CUSTOS!$M$34)</f>
        <v>84.864750954439458</v>
      </c>
      <c r="AB677" s="6">
        <f t="shared" si="34"/>
        <v>0</v>
      </c>
      <c r="AC677" s="6">
        <f>(L677-M677)*(W677+X677)+($W$784+$X$784-$W$677-$X$677)*(L677)</f>
        <v>1468.3039199999996</v>
      </c>
      <c r="AD677" s="6">
        <f t="shared" si="36"/>
        <v>0</v>
      </c>
      <c r="AE677" s="6">
        <f ca="1">(L677-M677)*(Z677+AA677)+($Z$784+$AA$784-$Z$677-$AA$677)*(L677)</f>
        <v>1413.9366430770306</v>
      </c>
      <c r="AF677" s="4" t="s">
        <v>1002</v>
      </c>
    </row>
    <row r="678" spans="1:32" ht="11.25" customHeight="1" x14ac:dyDescent="0.25">
      <c r="A678" s="4" t="s">
        <v>28</v>
      </c>
      <c r="B678" s="4" t="s">
        <v>22</v>
      </c>
      <c r="C678" s="4" t="s">
        <v>23</v>
      </c>
      <c r="D678" s="4" t="s">
        <v>24</v>
      </c>
      <c r="E678" s="4" t="s">
        <v>29</v>
      </c>
      <c r="F678" s="4" t="s">
        <v>25</v>
      </c>
      <c r="G678" s="4" t="s">
        <v>25</v>
      </c>
      <c r="H678" s="4" t="s">
        <v>25</v>
      </c>
      <c r="I678" s="5">
        <v>44440</v>
      </c>
      <c r="J678" s="6">
        <v>0</v>
      </c>
      <c r="K678" s="6">
        <v>0</v>
      </c>
      <c r="L678" s="6">
        <v>16.829999999999998</v>
      </c>
      <c r="M678" s="6">
        <v>16.829999999999998</v>
      </c>
      <c r="N678" s="6">
        <v>16.829999999999998</v>
      </c>
      <c r="O678" s="6">
        <v>16.829999999999998</v>
      </c>
      <c r="P678" s="6">
        <v>36</v>
      </c>
      <c r="Q678" s="4" t="s">
        <v>26</v>
      </c>
      <c r="R678" s="4">
        <v>0</v>
      </c>
      <c r="S678" s="4">
        <v>0</v>
      </c>
      <c r="T678" s="4">
        <v>4</v>
      </c>
      <c r="U678" s="4">
        <v>73</v>
      </c>
      <c r="V678" s="6">
        <f>IF(ISERROR(VLOOKUP($S$678,'TAR FIN'!$A$1:$O$104,15,0)),0,VLOOKUP($S$678,'TAR FIN'!$A$1:$O$104,15,0))</f>
        <v>0</v>
      </c>
      <c r="W678" s="6">
        <f>IF(ISERROR(VLOOKUP($T$678,'TAR FIN'!$A$1:$O$104,15,0)),0,VLOOKUP($T$678,'TAR FIN'!$A$1:$O$104,15,0))</f>
        <v>104.85</v>
      </c>
      <c r="X678" s="6">
        <f>IF(ISERROR(VLOOKUP($U$678,'TAR FIN'!$A$1:$O$104,15,0)),0,VLOOKUP($U$678,'TAR FIN'!$A$1:$O$104,15,0))</f>
        <v>89.5</v>
      </c>
      <c r="Y678" s="6"/>
      <c r="Z678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78" s="6">
        <f>('TE BE'!$AB$14+'TE BF'!$AB$14+'TE CVA'!$AB$14)*(1-CUSTOS!$M$34)</f>
        <v>84.864750954439458</v>
      </c>
      <c r="AB678" s="6">
        <f t="shared" si="34"/>
        <v>0</v>
      </c>
      <c r="AC678" s="6">
        <f>(L678-M678)*(W678+X678)+($W$784+$X$784-$W$678-$X$678)*(L678)</f>
        <v>6074.6201999999985</v>
      </c>
      <c r="AD678" s="6">
        <f t="shared" si="36"/>
        <v>0</v>
      </c>
      <c r="AE678" s="6">
        <f ca="1">(L678-M678)*(Z678+AA678)+($Z$784+$AA$784-$Z$678-$AA$678)*(L678)</f>
        <v>5849.693633969131</v>
      </c>
      <c r="AF678" s="4" t="s">
        <v>1002</v>
      </c>
    </row>
    <row r="679" spans="1:32" ht="11.25" customHeight="1" x14ac:dyDescent="0.25">
      <c r="A679" s="4" t="s">
        <v>21</v>
      </c>
      <c r="B679" s="4" t="s">
        <v>22</v>
      </c>
      <c r="C679" s="4" t="s">
        <v>23</v>
      </c>
      <c r="D679" s="4" t="s">
        <v>24</v>
      </c>
      <c r="E679" s="4" t="s">
        <v>29</v>
      </c>
      <c r="F679" s="4" t="s">
        <v>25</v>
      </c>
      <c r="G679" s="4" t="s">
        <v>25</v>
      </c>
      <c r="H679" s="4" t="s">
        <v>25</v>
      </c>
      <c r="I679" s="5">
        <v>44470</v>
      </c>
      <c r="J679" s="6">
        <v>0</v>
      </c>
      <c r="K679" s="6">
        <v>0</v>
      </c>
      <c r="L679" s="6">
        <v>13028.805</v>
      </c>
      <c r="M679" s="6">
        <v>13028.805</v>
      </c>
      <c r="N679" s="6">
        <v>13028.805</v>
      </c>
      <c r="O679" s="6">
        <v>13028.805</v>
      </c>
      <c r="P679" s="6">
        <v>42538</v>
      </c>
      <c r="Q679" s="4" t="s">
        <v>26</v>
      </c>
      <c r="R679" s="4">
        <v>0</v>
      </c>
      <c r="S679" s="4">
        <v>0</v>
      </c>
      <c r="T679" s="4">
        <v>4</v>
      </c>
      <c r="U679" s="4">
        <v>73</v>
      </c>
      <c r="V679" s="6">
        <f>IF(ISERROR(VLOOKUP($S$679,'TAR FIN'!$A$1:$O$104,15,0)),0,VLOOKUP($S$679,'TAR FIN'!$A$1:$O$104,15,0))</f>
        <v>0</v>
      </c>
      <c r="W679" s="6">
        <f>IF(ISERROR(VLOOKUP($T$679,'TAR FIN'!$A$1:$O$104,15,0)),0,VLOOKUP($T$679,'TAR FIN'!$A$1:$O$104,15,0))</f>
        <v>104.85</v>
      </c>
      <c r="X679" s="6">
        <f>IF(ISERROR(VLOOKUP($U$679,'TAR FIN'!$A$1:$O$104,15,0)),0,VLOOKUP($U$679,'TAR FIN'!$A$1:$O$104,15,0))</f>
        <v>89.5</v>
      </c>
      <c r="Y679" s="6"/>
      <c r="Z679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79" s="6">
        <f>('TE BE'!$AB$14+'TE BF'!$AB$14+'TE CVA'!$AB$14)*(1-CUSTOS!$M$34)</f>
        <v>84.864750954439458</v>
      </c>
      <c r="AB679" s="6">
        <f t="shared" si="34"/>
        <v>0</v>
      </c>
      <c r="AC679" s="6">
        <f>(L679-M679)*(W679+X679)+($W$784+$X$784-$W$679-$X$679)*(L679)</f>
        <v>4702616.876699999</v>
      </c>
      <c r="AD679" s="6">
        <f t="shared" si="36"/>
        <v>0</v>
      </c>
      <c r="AE679" s="6">
        <f ca="1">(L679-M679)*(Z679+AA679)+($Z$784+$AA$784-$Z$679-$AA$679)*(L679)</f>
        <v>4528491.8399717882</v>
      </c>
      <c r="AF679" s="4" t="s">
        <v>1002</v>
      </c>
    </row>
    <row r="680" spans="1:32" ht="11.25" customHeight="1" x14ac:dyDescent="0.25">
      <c r="A680" s="4" t="s">
        <v>27</v>
      </c>
      <c r="B680" s="4" t="s">
        <v>22</v>
      </c>
      <c r="C680" s="4" t="s">
        <v>23</v>
      </c>
      <c r="D680" s="4" t="s">
        <v>24</v>
      </c>
      <c r="E680" s="4" t="s">
        <v>29</v>
      </c>
      <c r="F680" s="4" t="s">
        <v>25</v>
      </c>
      <c r="G680" s="4" t="s">
        <v>25</v>
      </c>
      <c r="H680" s="4" t="s">
        <v>25</v>
      </c>
      <c r="I680" s="5">
        <v>44470</v>
      </c>
      <c r="J680" s="6">
        <v>0</v>
      </c>
      <c r="K680" s="6">
        <v>0</v>
      </c>
      <c r="L680" s="6">
        <v>4.2389999999999999</v>
      </c>
      <c r="M680" s="6">
        <v>4.2389999999999999</v>
      </c>
      <c r="N680" s="6">
        <v>4.2389999999999999</v>
      </c>
      <c r="O680" s="6">
        <v>4.2389999999999999</v>
      </c>
      <c r="P680" s="6">
        <v>63</v>
      </c>
      <c r="Q680" s="4" t="s">
        <v>26</v>
      </c>
      <c r="R680" s="4">
        <v>0</v>
      </c>
      <c r="S680" s="4">
        <v>0</v>
      </c>
      <c r="T680" s="4">
        <v>4</v>
      </c>
      <c r="U680" s="4">
        <v>73</v>
      </c>
      <c r="V680" s="6">
        <f>IF(ISERROR(VLOOKUP($S$680,'TAR FIN'!$A$1:$O$104,15,0)),0,VLOOKUP($S$680,'TAR FIN'!$A$1:$O$104,15,0))</f>
        <v>0</v>
      </c>
      <c r="W680" s="6">
        <f>IF(ISERROR(VLOOKUP($T$680,'TAR FIN'!$A$1:$O$104,15,0)),0,VLOOKUP($T$680,'TAR FIN'!$A$1:$O$104,15,0))</f>
        <v>104.85</v>
      </c>
      <c r="X680" s="6">
        <f>IF(ISERROR(VLOOKUP($U$680,'TAR FIN'!$A$1:$O$104,15,0)),0,VLOOKUP($U$680,'TAR FIN'!$A$1:$O$104,15,0))</f>
        <v>89.5</v>
      </c>
      <c r="Y680" s="6"/>
      <c r="Z680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80" s="6">
        <f>('TE BE'!$AB$14+'TE BF'!$AB$14+'TE CVA'!$AB$14)*(1-CUSTOS!$M$34)</f>
        <v>84.864750954439458</v>
      </c>
      <c r="AB680" s="6">
        <f t="shared" si="34"/>
        <v>0</v>
      </c>
      <c r="AC680" s="6">
        <f>(L680-M680)*(W680+X680)+($W$784+$X$784-$W$680-$X$680)*(L680)</f>
        <v>1530.0246599999998</v>
      </c>
      <c r="AD680" s="6">
        <f t="shared" si="36"/>
        <v>0</v>
      </c>
      <c r="AE680" s="6">
        <f ca="1">(L680-M680)*(Z680+AA680)+($Z$784+$AA$784-$Z$680-$AA$680)*(L680)</f>
        <v>1473.3720329408882</v>
      </c>
      <c r="AF680" s="4" t="s">
        <v>1002</v>
      </c>
    </row>
    <row r="681" spans="1:32" ht="11.25" customHeight="1" x14ac:dyDescent="0.25">
      <c r="A681" s="4" t="s">
        <v>28</v>
      </c>
      <c r="B681" s="4" t="s">
        <v>22</v>
      </c>
      <c r="C681" s="4" t="s">
        <v>23</v>
      </c>
      <c r="D681" s="4" t="s">
        <v>24</v>
      </c>
      <c r="E681" s="4" t="s">
        <v>29</v>
      </c>
      <c r="F681" s="4" t="s">
        <v>25</v>
      </c>
      <c r="G681" s="4" t="s">
        <v>25</v>
      </c>
      <c r="H681" s="4" t="s">
        <v>25</v>
      </c>
      <c r="I681" s="5">
        <v>44470</v>
      </c>
      <c r="J681" s="6">
        <v>0</v>
      </c>
      <c r="K681" s="6">
        <v>0</v>
      </c>
      <c r="L681" s="6">
        <v>19.05</v>
      </c>
      <c r="M681" s="6">
        <v>19.05</v>
      </c>
      <c r="N681" s="6">
        <v>19.05</v>
      </c>
      <c r="O681" s="6">
        <v>19.05</v>
      </c>
      <c r="P681" s="6">
        <v>42</v>
      </c>
      <c r="Q681" s="4" t="s">
        <v>26</v>
      </c>
      <c r="R681" s="4">
        <v>0</v>
      </c>
      <c r="S681" s="4">
        <v>0</v>
      </c>
      <c r="T681" s="4">
        <v>4</v>
      </c>
      <c r="U681" s="4">
        <v>73</v>
      </c>
      <c r="V681" s="6">
        <f>IF(ISERROR(VLOOKUP($S$681,'TAR FIN'!$A$1:$O$104,15,0)),0,VLOOKUP($S$681,'TAR FIN'!$A$1:$O$104,15,0))</f>
        <v>0</v>
      </c>
      <c r="W681" s="6">
        <f>IF(ISERROR(VLOOKUP($T$681,'TAR FIN'!$A$1:$O$104,15,0)),0,VLOOKUP($T$681,'TAR FIN'!$A$1:$O$104,15,0))</f>
        <v>104.85</v>
      </c>
      <c r="X681" s="6">
        <f>IF(ISERROR(VLOOKUP($U$681,'TAR FIN'!$A$1:$O$104,15,0)),0,VLOOKUP($U$681,'TAR FIN'!$A$1:$O$104,15,0))</f>
        <v>89.5</v>
      </c>
      <c r="Y681" s="6"/>
      <c r="Z681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81" s="6">
        <f>('TE BE'!$AB$14+'TE BF'!$AB$14+'TE CVA'!$AB$14)*(1-CUSTOS!$M$34)</f>
        <v>84.864750954439458</v>
      </c>
      <c r="AB681" s="6">
        <f t="shared" si="34"/>
        <v>0</v>
      </c>
      <c r="AC681" s="6">
        <f>(L681-M681)*(W681+X681)+($W$784+$X$784-$W$681-$X$681)*(L681)</f>
        <v>6875.9069999999992</v>
      </c>
      <c r="AD681" s="6">
        <f t="shared" si="36"/>
        <v>0</v>
      </c>
      <c r="AE681" s="6">
        <f ca="1">(L681-M681)*(Z681+AA681)+($Z$784+$AA$784-$Z$681-$AA$681)*(L681)</f>
        <v>6621.310976061317</v>
      </c>
      <c r="AF681" s="4" t="s">
        <v>1002</v>
      </c>
    </row>
    <row r="682" spans="1:32" ht="11.25" customHeight="1" x14ac:dyDescent="0.25">
      <c r="A682" s="4" t="s">
        <v>21</v>
      </c>
      <c r="B682" s="4" t="s">
        <v>22</v>
      </c>
      <c r="C682" s="4" t="s">
        <v>23</v>
      </c>
      <c r="D682" s="4" t="s">
        <v>24</v>
      </c>
      <c r="E682" s="4" t="s">
        <v>29</v>
      </c>
      <c r="F682" s="4" t="s">
        <v>25</v>
      </c>
      <c r="G682" s="4" t="s">
        <v>25</v>
      </c>
      <c r="H682" s="4" t="s">
        <v>25</v>
      </c>
      <c r="I682" s="5">
        <v>44501</v>
      </c>
      <c r="J682" s="6">
        <v>0</v>
      </c>
      <c r="K682" s="6">
        <v>0</v>
      </c>
      <c r="L682" s="6">
        <v>13189</v>
      </c>
      <c r="M682" s="6">
        <v>13189</v>
      </c>
      <c r="N682" s="6">
        <v>13189</v>
      </c>
      <c r="O682" s="6">
        <v>13189</v>
      </c>
      <c r="P682" s="6">
        <v>42924</v>
      </c>
      <c r="Q682" s="4" t="s">
        <v>26</v>
      </c>
      <c r="R682" s="4">
        <v>0</v>
      </c>
      <c r="S682" s="4">
        <v>0</v>
      </c>
      <c r="T682" s="4">
        <v>4</v>
      </c>
      <c r="U682" s="4">
        <v>73</v>
      </c>
      <c r="V682" s="6">
        <f>IF(ISERROR(VLOOKUP($S$682,'TAR FIN'!$A$1:$O$104,15,0)),0,VLOOKUP($S$682,'TAR FIN'!$A$1:$O$104,15,0))</f>
        <v>0</v>
      </c>
      <c r="W682" s="6">
        <f>IF(ISERROR(VLOOKUP($T$682,'TAR FIN'!$A$1:$O$104,15,0)),0,VLOOKUP($T$682,'TAR FIN'!$A$1:$O$104,15,0))</f>
        <v>104.85</v>
      </c>
      <c r="X682" s="6">
        <f>IF(ISERROR(VLOOKUP($U$682,'TAR FIN'!$A$1:$O$104,15,0)),0,VLOOKUP($U$682,'TAR FIN'!$A$1:$O$104,15,0))</f>
        <v>89.5</v>
      </c>
      <c r="Y682" s="6"/>
      <c r="Z682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82" s="6">
        <f>('TE BE'!$AB$14+'TE BF'!$AB$14+'TE CVA'!$AB$14)*(1-CUSTOS!$M$34)</f>
        <v>84.864750954439458</v>
      </c>
      <c r="AB682" s="6">
        <f t="shared" si="34"/>
        <v>0</v>
      </c>
      <c r="AC682" s="6">
        <f>(L682-M682)*(W682+X682)+($W$784+$X$784-$W$682-$X$682)*(L682)</f>
        <v>4760437.6599999992</v>
      </c>
      <c r="AD682" s="6">
        <f t="shared" si="36"/>
        <v>0</v>
      </c>
      <c r="AE682" s="6">
        <f ca="1">(L682-M682)*(Z682+AA682)+($Z$784+$AA$784-$Z$682-$AA$682)*(L682)</f>
        <v>4584171.6778620845</v>
      </c>
      <c r="AF682" s="4" t="s">
        <v>1002</v>
      </c>
    </row>
    <row r="683" spans="1:32" ht="11.25" customHeight="1" x14ac:dyDescent="0.25">
      <c r="A683" s="4" t="s">
        <v>27</v>
      </c>
      <c r="B683" s="4" t="s">
        <v>22</v>
      </c>
      <c r="C683" s="4" t="s">
        <v>23</v>
      </c>
      <c r="D683" s="4" t="s">
        <v>24</v>
      </c>
      <c r="E683" s="4" t="s">
        <v>29</v>
      </c>
      <c r="F683" s="4" t="s">
        <v>25</v>
      </c>
      <c r="G683" s="4" t="s">
        <v>25</v>
      </c>
      <c r="H683" s="4" t="s">
        <v>25</v>
      </c>
      <c r="I683" s="5">
        <v>44501</v>
      </c>
      <c r="J683" s="6">
        <v>0</v>
      </c>
      <c r="K683" s="6">
        <v>0</v>
      </c>
      <c r="L683" s="6">
        <v>3.202</v>
      </c>
      <c r="M683" s="6">
        <v>3.202</v>
      </c>
      <c r="N683" s="6">
        <v>3.202</v>
      </c>
      <c r="O683" s="6">
        <v>3.202</v>
      </c>
      <c r="P683" s="6">
        <v>38</v>
      </c>
      <c r="Q683" s="4" t="s">
        <v>26</v>
      </c>
      <c r="R683" s="4">
        <v>0</v>
      </c>
      <c r="S683" s="4">
        <v>0</v>
      </c>
      <c r="T683" s="4">
        <v>4</v>
      </c>
      <c r="U683" s="4">
        <v>73</v>
      </c>
      <c r="V683" s="6">
        <f>IF(ISERROR(VLOOKUP($S$683,'TAR FIN'!$A$1:$O$104,15,0)),0,VLOOKUP($S$683,'TAR FIN'!$A$1:$O$104,15,0))</f>
        <v>0</v>
      </c>
      <c r="W683" s="6">
        <f>IF(ISERROR(VLOOKUP($T$683,'TAR FIN'!$A$1:$O$104,15,0)),0,VLOOKUP($T$683,'TAR FIN'!$A$1:$O$104,15,0))</f>
        <v>104.85</v>
      </c>
      <c r="X683" s="6">
        <f>IF(ISERROR(VLOOKUP($U$683,'TAR FIN'!$A$1:$O$104,15,0)),0,VLOOKUP($U$683,'TAR FIN'!$A$1:$O$104,15,0))</f>
        <v>89.5</v>
      </c>
      <c r="Y683" s="6"/>
      <c r="Z683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83" s="6">
        <f>('TE BE'!$AB$14+'TE BF'!$AB$14+'TE CVA'!$AB$14)*(1-CUSTOS!$M$34)</f>
        <v>84.864750954439458</v>
      </c>
      <c r="AB683" s="6">
        <f t="shared" si="34"/>
        <v>0</v>
      </c>
      <c r="AC683" s="6">
        <f>(L683-M683)*(W683+X683)+($W$784+$X$784-$W$683-$X$683)*(L683)</f>
        <v>1155.7298799999999</v>
      </c>
      <c r="AD683" s="6">
        <f t="shared" si="36"/>
        <v>0</v>
      </c>
      <c r="AE683" s="6">
        <f ca="1">(L683-M683)*(Z683+AA683)+($Z$784+$AA$784-$Z$683-$AA$683)*(L683)</f>
        <v>1112.9363645852145</v>
      </c>
      <c r="AF683" s="4" t="s">
        <v>1002</v>
      </c>
    </row>
    <row r="684" spans="1:32" ht="11.25" customHeight="1" x14ac:dyDescent="0.25">
      <c r="A684" s="4" t="s">
        <v>28</v>
      </c>
      <c r="B684" s="4" t="s">
        <v>22</v>
      </c>
      <c r="C684" s="4" t="s">
        <v>23</v>
      </c>
      <c r="D684" s="4" t="s">
        <v>24</v>
      </c>
      <c r="E684" s="4" t="s">
        <v>29</v>
      </c>
      <c r="F684" s="4" t="s">
        <v>25</v>
      </c>
      <c r="G684" s="4" t="s">
        <v>25</v>
      </c>
      <c r="H684" s="4" t="s">
        <v>25</v>
      </c>
      <c r="I684" s="5">
        <v>44501</v>
      </c>
      <c r="J684" s="6">
        <v>0</v>
      </c>
      <c r="K684" s="6">
        <v>0</v>
      </c>
      <c r="L684" s="6">
        <v>19.829999999999998</v>
      </c>
      <c r="M684" s="6">
        <v>19.829999999999998</v>
      </c>
      <c r="N684" s="6">
        <v>19.829999999999998</v>
      </c>
      <c r="O684" s="6">
        <v>19.829999999999998</v>
      </c>
      <c r="P684" s="6">
        <v>8</v>
      </c>
      <c r="Q684" s="4" t="s">
        <v>26</v>
      </c>
      <c r="R684" s="4">
        <v>0</v>
      </c>
      <c r="S684" s="4">
        <v>0</v>
      </c>
      <c r="T684" s="4">
        <v>4</v>
      </c>
      <c r="U684" s="4">
        <v>73</v>
      </c>
      <c r="V684" s="6">
        <f>IF(ISERROR(VLOOKUP($S$684,'TAR FIN'!$A$1:$O$104,15,0)),0,VLOOKUP($S$684,'TAR FIN'!$A$1:$O$104,15,0))</f>
        <v>0</v>
      </c>
      <c r="W684" s="6">
        <f>IF(ISERROR(VLOOKUP($T$684,'TAR FIN'!$A$1:$O$104,15,0)),0,VLOOKUP($T$684,'TAR FIN'!$A$1:$O$104,15,0))</f>
        <v>104.85</v>
      </c>
      <c r="X684" s="6">
        <f>IF(ISERROR(VLOOKUP($U$684,'TAR FIN'!$A$1:$O$104,15,0)),0,VLOOKUP($U$684,'TAR FIN'!$A$1:$O$104,15,0))</f>
        <v>89.5</v>
      </c>
      <c r="Y684" s="6"/>
      <c r="Z684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84" s="6">
        <f>('TE BE'!$AB$14+'TE BF'!$AB$14+'TE CVA'!$AB$14)*(1-CUSTOS!$M$34)</f>
        <v>84.864750954439458</v>
      </c>
      <c r="AB684" s="6">
        <f t="shared" si="34"/>
        <v>0</v>
      </c>
      <c r="AC684" s="6">
        <f>(L684-M684)*(W684+X684)+($W$784+$X$784-$W$684-$X$684)*(L684)</f>
        <v>7157.4401999999982</v>
      </c>
      <c r="AD684" s="6">
        <f t="shared" si="36"/>
        <v>0</v>
      </c>
      <c r="AE684" s="6">
        <f ca="1">(L684-M684)*(Z684+AA684)+($Z$784+$AA$784-$Z$684-$AA$684)*(L684)</f>
        <v>6892.4197719315434</v>
      </c>
      <c r="AF684" s="4" t="s">
        <v>1002</v>
      </c>
    </row>
    <row r="685" spans="1:32" ht="11.25" customHeight="1" x14ac:dyDescent="0.25">
      <c r="A685" s="4" t="s">
        <v>21</v>
      </c>
      <c r="B685" s="4" t="s">
        <v>22</v>
      </c>
      <c r="C685" s="4" t="s">
        <v>23</v>
      </c>
      <c r="D685" s="4" t="s">
        <v>24</v>
      </c>
      <c r="E685" s="4" t="s">
        <v>29</v>
      </c>
      <c r="F685" s="4" t="s">
        <v>25</v>
      </c>
      <c r="G685" s="4" t="s">
        <v>25</v>
      </c>
      <c r="H685" s="4" t="s">
        <v>25</v>
      </c>
      <c r="I685" s="5">
        <v>44531</v>
      </c>
      <c r="J685" s="6">
        <v>0</v>
      </c>
      <c r="K685" s="6">
        <v>0</v>
      </c>
      <c r="L685" s="6">
        <v>13127.332</v>
      </c>
      <c r="M685" s="6">
        <v>13127.332</v>
      </c>
      <c r="N685" s="6">
        <v>13127.332</v>
      </c>
      <c r="O685" s="6">
        <v>13127.332</v>
      </c>
      <c r="P685" s="6">
        <v>39320</v>
      </c>
      <c r="Q685" s="4" t="s">
        <v>26</v>
      </c>
      <c r="R685" s="4">
        <v>0</v>
      </c>
      <c r="S685" s="4">
        <v>0</v>
      </c>
      <c r="T685" s="4">
        <v>4</v>
      </c>
      <c r="U685" s="4">
        <v>73</v>
      </c>
      <c r="V685" s="6">
        <f>IF(ISERROR(VLOOKUP($S$685,'TAR FIN'!$A$1:$O$104,15,0)),0,VLOOKUP($S$685,'TAR FIN'!$A$1:$O$104,15,0))</f>
        <v>0</v>
      </c>
      <c r="W685" s="6">
        <f>IF(ISERROR(VLOOKUP($T$685,'TAR FIN'!$A$1:$O$104,15,0)),0,VLOOKUP($T$685,'TAR FIN'!$A$1:$O$104,15,0))</f>
        <v>104.85</v>
      </c>
      <c r="X685" s="6">
        <f>IF(ISERROR(VLOOKUP($U$685,'TAR FIN'!$A$1:$O$104,15,0)),0,VLOOKUP($U$685,'TAR FIN'!$A$1:$O$104,15,0))</f>
        <v>89.5</v>
      </c>
      <c r="Y685" s="6"/>
      <c r="Z685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85" s="6">
        <f>('TE BE'!$AB$14+'TE BF'!$AB$14+'TE CVA'!$AB$14)*(1-CUSTOS!$M$34)</f>
        <v>84.864750954439458</v>
      </c>
      <c r="AB685" s="6">
        <f t="shared" si="34"/>
        <v>0</v>
      </c>
      <c r="AC685" s="6">
        <f>(L685-M685)*(W685+X685)+($W$784+$X$784-$W$685-$X$685)*(L685)</f>
        <v>4738179.212079999</v>
      </c>
      <c r="AD685" s="6">
        <f t="shared" si="36"/>
        <v>0</v>
      </c>
      <c r="AE685" s="6">
        <f ca="1">(L685-M685)*(Z685+AA685)+($Z$784+$AA$784-$Z$685-$AA$685)*(L685)</f>
        <v>4562737.3993701292</v>
      </c>
      <c r="AF685" s="4" t="s">
        <v>1002</v>
      </c>
    </row>
    <row r="686" spans="1:32" ht="11.25" customHeight="1" x14ac:dyDescent="0.25">
      <c r="A686" s="4" t="s">
        <v>27</v>
      </c>
      <c r="B686" s="4" t="s">
        <v>22</v>
      </c>
      <c r="C686" s="4" t="s">
        <v>23</v>
      </c>
      <c r="D686" s="4" t="s">
        <v>24</v>
      </c>
      <c r="E686" s="4" t="s">
        <v>29</v>
      </c>
      <c r="F686" s="4" t="s">
        <v>25</v>
      </c>
      <c r="G686" s="4" t="s">
        <v>25</v>
      </c>
      <c r="H686" s="4" t="s">
        <v>25</v>
      </c>
      <c r="I686" s="5">
        <v>44531</v>
      </c>
      <c r="J686" s="6">
        <v>0</v>
      </c>
      <c r="K686" s="6">
        <v>0</v>
      </c>
      <c r="L686" s="6">
        <v>4.2729999999999997</v>
      </c>
      <c r="M686" s="6">
        <v>4.2729999999999997</v>
      </c>
      <c r="N686" s="6">
        <v>4.2729999999999997</v>
      </c>
      <c r="O686" s="6">
        <v>4.2729999999999997</v>
      </c>
      <c r="P686" s="6">
        <v>42</v>
      </c>
      <c r="Q686" s="4" t="s">
        <v>26</v>
      </c>
      <c r="R686" s="4">
        <v>0</v>
      </c>
      <c r="S686" s="4">
        <v>0</v>
      </c>
      <c r="T686" s="4">
        <v>4</v>
      </c>
      <c r="U686" s="4">
        <v>73</v>
      </c>
      <c r="V686" s="6">
        <f>IF(ISERROR(VLOOKUP($S$686,'TAR FIN'!$A$1:$O$104,15,0)),0,VLOOKUP($S$686,'TAR FIN'!$A$1:$O$104,15,0))</f>
        <v>0</v>
      </c>
      <c r="W686" s="6">
        <f>IF(ISERROR(VLOOKUP($T$686,'TAR FIN'!$A$1:$O$104,15,0)),0,VLOOKUP($T$686,'TAR FIN'!$A$1:$O$104,15,0))</f>
        <v>104.85</v>
      </c>
      <c r="X686" s="6">
        <f>IF(ISERROR(VLOOKUP($U$686,'TAR FIN'!$A$1:$O$104,15,0)),0,VLOOKUP($U$686,'TAR FIN'!$A$1:$O$104,15,0))</f>
        <v>89.5</v>
      </c>
      <c r="Y686" s="6"/>
      <c r="Z686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86" s="6">
        <f>('TE BE'!$AB$14+'TE BF'!$AB$14+'TE CVA'!$AB$14)*(1-CUSTOS!$M$34)</f>
        <v>84.864750954439458</v>
      </c>
      <c r="AB686" s="6">
        <f t="shared" si="34"/>
        <v>0</v>
      </c>
      <c r="AC686" s="6">
        <f>(L686-M686)*(W686+X686)+($W$784+$X$784-$W$686-$X$686)*(L686)</f>
        <v>1542.2966199999996</v>
      </c>
      <c r="AD686" s="6">
        <f t="shared" si="36"/>
        <v>0</v>
      </c>
      <c r="AE686" s="6">
        <f ca="1">(L686-M686)*(Z686+AA686)+($Z$784+$AA$784-$Z$686-$AA$686)*(L686)</f>
        <v>1485.1895958377954</v>
      </c>
      <c r="AF686" s="4" t="s">
        <v>1002</v>
      </c>
    </row>
    <row r="687" spans="1:32" ht="11.25" customHeight="1" x14ac:dyDescent="0.25">
      <c r="A687" s="4" t="s">
        <v>28</v>
      </c>
      <c r="B687" s="4" t="s">
        <v>22</v>
      </c>
      <c r="C687" s="4" t="s">
        <v>23</v>
      </c>
      <c r="D687" s="4" t="s">
        <v>24</v>
      </c>
      <c r="E687" s="4" t="s">
        <v>29</v>
      </c>
      <c r="F687" s="4" t="s">
        <v>25</v>
      </c>
      <c r="G687" s="4" t="s">
        <v>25</v>
      </c>
      <c r="H687" s="4" t="s">
        <v>25</v>
      </c>
      <c r="I687" s="5">
        <v>44531</v>
      </c>
      <c r="J687" s="6">
        <v>0</v>
      </c>
      <c r="K687" s="6">
        <v>0</v>
      </c>
      <c r="L687" s="6">
        <v>21.3</v>
      </c>
      <c r="M687" s="6">
        <v>21.3</v>
      </c>
      <c r="N687" s="6">
        <v>21.3</v>
      </c>
      <c r="O687" s="6">
        <v>21.3</v>
      </c>
      <c r="P687" s="6">
        <v>37</v>
      </c>
      <c r="Q687" s="4" t="s">
        <v>26</v>
      </c>
      <c r="R687" s="4">
        <v>0</v>
      </c>
      <c r="S687" s="4">
        <v>0</v>
      </c>
      <c r="T687" s="4">
        <v>4</v>
      </c>
      <c r="U687" s="4">
        <v>73</v>
      </c>
      <c r="V687" s="6">
        <f>IF(ISERROR(VLOOKUP($S$687,'TAR FIN'!$A$1:$O$104,15,0)),0,VLOOKUP($S$687,'TAR FIN'!$A$1:$O$104,15,0))</f>
        <v>0</v>
      </c>
      <c r="W687" s="6">
        <f>IF(ISERROR(VLOOKUP($T$687,'TAR FIN'!$A$1:$O$104,15,0)),0,VLOOKUP($T$687,'TAR FIN'!$A$1:$O$104,15,0))</f>
        <v>104.85</v>
      </c>
      <c r="X687" s="6">
        <f>IF(ISERROR(VLOOKUP($U$687,'TAR FIN'!$A$1:$O$104,15,0)),0,VLOOKUP($U$687,'TAR FIN'!$A$1:$O$104,15,0))</f>
        <v>89.5</v>
      </c>
      <c r="Y687" s="6"/>
      <c r="Z687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87" s="6">
        <f>('TE BE'!$AB$14+'TE BF'!$AB$14+'TE CVA'!$AB$14)*(1-CUSTOS!$M$34)</f>
        <v>84.864750954439458</v>
      </c>
      <c r="AB687" s="6">
        <f t="shared" si="34"/>
        <v>0</v>
      </c>
      <c r="AC687" s="6">
        <f>(L687-M687)*(W687+X687)+($W$784+$X$784-$W$687-$X$687)*(L687)</f>
        <v>7688.021999999999</v>
      </c>
      <c r="AD687" s="6">
        <f t="shared" si="36"/>
        <v>0</v>
      </c>
      <c r="AE687" s="6">
        <f ca="1">(L687-M687)*(Z687+AA687)+($Z$784+$AA$784-$Z$687-$AA$687)*(L687)</f>
        <v>7403.3555795331258</v>
      </c>
      <c r="AF687" s="4" t="s">
        <v>1002</v>
      </c>
    </row>
    <row r="688" spans="1:32" ht="11.25" customHeight="1" x14ac:dyDescent="0.25">
      <c r="A688" s="4" t="s">
        <v>21</v>
      </c>
      <c r="B688" s="4" t="s">
        <v>22</v>
      </c>
      <c r="C688" s="4" t="s">
        <v>23</v>
      </c>
      <c r="D688" s="4" t="s">
        <v>24</v>
      </c>
      <c r="E688" s="4" t="s">
        <v>29</v>
      </c>
      <c r="F688" s="4" t="s">
        <v>25</v>
      </c>
      <c r="G688" s="4" t="s">
        <v>25</v>
      </c>
      <c r="H688" s="4" t="s">
        <v>25</v>
      </c>
      <c r="I688" s="5">
        <v>44562</v>
      </c>
      <c r="J688" s="6">
        <v>0</v>
      </c>
      <c r="K688" s="6">
        <v>0</v>
      </c>
      <c r="L688" s="6">
        <v>13158.582</v>
      </c>
      <c r="M688" s="6">
        <v>13158.582</v>
      </c>
      <c r="N688" s="6">
        <v>13158.582</v>
      </c>
      <c r="O688" s="6">
        <v>13158.582</v>
      </c>
      <c r="P688" s="6">
        <v>40119</v>
      </c>
      <c r="Q688" s="4" t="s">
        <v>26</v>
      </c>
      <c r="R688" s="4">
        <v>0</v>
      </c>
      <c r="S688" s="4">
        <v>0</v>
      </c>
      <c r="T688" s="4">
        <v>4</v>
      </c>
      <c r="U688" s="4">
        <v>73</v>
      </c>
      <c r="V688" s="6">
        <f>IF(ISERROR(VLOOKUP($S$688,'TAR FIN'!$A$1:$O$104,15,0)),0,VLOOKUP($S$688,'TAR FIN'!$A$1:$O$104,15,0))</f>
        <v>0</v>
      </c>
      <c r="W688" s="6">
        <f>IF(ISERROR(VLOOKUP($T$688,'TAR FIN'!$A$1:$O$104,15,0)),0,VLOOKUP($T$688,'TAR FIN'!$A$1:$O$104,15,0))</f>
        <v>104.85</v>
      </c>
      <c r="X688" s="6">
        <f>IF(ISERROR(VLOOKUP($U$688,'TAR FIN'!$A$1:$O$104,15,0)),0,VLOOKUP($U$688,'TAR FIN'!$A$1:$O$104,15,0))</f>
        <v>89.5</v>
      </c>
      <c r="Y688" s="6"/>
      <c r="Z688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88" s="6">
        <f>('TE BE'!$AB$14+'TE BF'!$AB$14+'TE CVA'!$AB$14)*(1-CUSTOS!$M$34)</f>
        <v>84.864750954439458</v>
      </c>
      <c r="AB688" s="6">
        <f t="shared" si="34"/>
        <v>0</v>
      </c>
      <c r="AC688" s="6">
        <f>(L688-M688)*(W688+X688)+($W$784+$X$784-$W$688-$X$688)*(L688)</f>
        <v>4749458.587079999</v>
      </c>
      <c r="AD688" s="6">
        <f t="shared" si="36"/>
        <v>0</v>
      </c>
      <c r="AE688" s="6">
        <f ca="1">(L688-M688)*(Z688+AA688)+($Z$784+$AA$784-$Z$688-$AA$688)*(L688)</f>
        <v>4573599.1299739042</v>
      </c>
      <c r="AF688" s="4" t="s">
        <v>1002</v>
      </c>
    </row>
    <row r="689" spans="1:32" ht="11.25" customHeight="1" x14ac:dyDescent="0.25">
      <c r="A689" s="4" t="s">
        <v>27</v>
      </c>
      <c r="B689" s="4" t="s">
        <v>22</v>
      </c>
      <c r="C689" s="4" t="s">
        <v>23</v>
      </c>
      <c r="D689" s="4" t="s">
        <v>24</v>
      </c>
      <c r="E689" s="4" t="s">
        <v>29</v>
      </c>
      <c r="F689" s="4" t="s">
        <v>25</v>
      </c>
      <c r="G689" s="4" t="s">
        <v>25</v>
      </c>
      <c r="H689" s="4" t="s">
        <v>25</v>
      </c>
      <c r="I689" s="5">
        <v>44562</v>
      </c>
      <c r="J689" s="6">
        <v>0</v>
      </c>
      <c r="K689" s="6">
        <v>0</v>
      </c>
      <c r="L689" s="6">
        <v>6.6429999999999998</v>
      </c>
      <c r="M689" s="6">
        <v>6.6429999999999998</v>
      </c>
      <c r="N689" s="6">
        <v>6.6429999999999998</v>
      </c>
      <c r="O689" s="6">
        <v>6.6429999999999998</v>
      </c>
      <c r="P689" s="6">
        <v>54</v>
      </c>
      <c r="Q689" s="4" t="s">
        <v>26</v>
      </c>
      <c r="R689" s="4">
        <v>0</v>
      </c>
      <c r="S689" s="4">
        <v>0</v>
      </c>
      <c r="T689" s="4">
        <v>4</v>
      </c>
      <c r="U689" s="4">
        <v>73</v>
      </c>
      <c r="V689" s="6">
        <f>IF(ISERROR(VLOOKUP($S$689,'TAR FIN'!$A$1:$O$104,15,0)),0,VLOOKUP($S$689,'TAR FIN'!$A$1:$O$104,15,0))</f>
        <v>0</v>
      </c>
      <c r="W689" s="6">
        <f>IF(ISERROR(VLOOKUP($T$689,'TAR FIN'!$A$1:$O$104,15,0)),0,VLOOKUP($T$689,'TAR FIN'!$A$1:$O$104,15,0))</f>
        <v>104.85</v>
      </c>
      <c r="X689" s="6">
        <f>IF(ISERROR(VLOOKUP($U$689,'TAR FIN'!$A$1:$O$104,15,0)),0,VLOOKUP($U$689,'TAR FIN'!$A$1:$O$104,15,0))</f>
        <v>89.5</v>
      </c>
      <c r="Y689" s="6"/>
      <c r="Z689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89" s="6">
        <f>('TE BE'!$AB$14+'TE BF'!$AB$14+'TE CVA'!$AB$14)*(1-CUSTOS!$M$34)</f>
        <v>84.864750954439458</v>
      </c>
      <c r="AB689" s="6">
        <f t="shared" si="34"/>
        <v>0</v>
      </c>
      <c r="AC689" s="6">
        <f>(L689-M689)*(W689+X689)+($W$784+$X$784-$W$689-$X$689)*(L689)</f>
        <v>2397.7244199999996</v>
      </c>
      <c r="AD689" s="6">
        <f t="shared" si="36"/>
        <v>0</v>
      </c>
      <c r="AE689" s="6">
        <f ca="1">(L689-M689)*(Z689+AA689)+($Z$784+$AA$784-$Z$689-$AA$689)*(L689)</f>
        <v>2308.9432448281009</v>
      </c>
      <c r="AF689" s="4" t="s">
        <v>1002</v>
      </c>
    </row>
    <row r="690" spans="1:32" ht="11.25" customHeight="1" x14ac:dyDescent="0.25">
      <c r="A690" s="4" t="s">
        <v>28</v>
      </c>
      <c r="B690" s="4" t="s">
        <v>22</v>
      </c>
      <c r="C690" s="4" t="s">
        <v>23</v>
      </c>
      <c r="D690" s="4" t="s">
        <v>24</v>
      </c>
      <c r="E690" s="4" t="s">
        <v>29</v>
      </c>
      <c r="F690" s="4" t="s">
        <v>25</v>
      </c>
      <c r="G690" s="4" t="s">
        <v>25</v>
      </c>
      <c r="H690" s="4" t="s">
        <v>25</v>
      </c>
      <c r="I690" s="5">
        <v>44562</v>
      </c>
      <c r="J690" s="6">
        <v>0</v>
      </c>
      <c r="K690" s="6">
        <v>0</v>
      </c>
      <c r="L690" s="6">
        <v>22.62</v>
      </c>
      <c r="M690" s="6">
        <v>22.62</v>
      </c>
      <c r="N690" s="6">
        <v>22.62</v>
      </c>
      <c r="O690" s="6">
        <v>22.62</v>
      </c>
      <c r="P690" s="6">
        <v>37</v>
      </c>
      <c r="Q690" s="4" t="s">
        <v>26</v>
      </c>
      <c r="R690" s="4">
        <v>0</v>
      </c>
      <c r="S690" s="4">
        <v>0</v>
      </c>
      <c r="T690" s="4">
        <v>4</v>
      </c>
      <c r="U690" s="4">
        <v>73</v>
      </c>
      <c r="V690" s="6">
        <f>IF(ISERROR(VLOOKUP($S$690,'TAR FIN'!$A$1:$O$104,15,0)),0,VLOOKUP($S$690,'TAR FIN'!$A$1:$O$104,15,0))</f>
        <v>0</v>
      </c>
      <c r="W690" s="6">
        <f>IF(ISERROR(VLOOKUP($T$690,'TAR FIN'!$A$1:$O$104,15,0)),0,VLOOKUP($T$690,'TAR FIN'!$A$1:$O$104,15,0))</f>
        <v>104.85</v>
      </c>
      <c r="X690" s="6">
        <f>IF(ISERROR(VLOOKUP($U$690,'TAR FIN'!$A$1:$O$104,15,0)),0,VLOOKUP($U$690,'TAR FIN'!$A$1:$O$104,15,0))</f>
        <v>89.5</v>
      </c>
      <c r="Y690" s="6"/>
      <c r="Z690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90" s="6">
        <f>('TE BE'!$AB$14+'TE BF'!$AB$14+'TE CVA'!$AB$14)*(1-CUSTOS!$M$34)</f>
        <v>84.864750954439458</v>
      </c>
      <c r="AB690" s="6">
        <f t="shared" si="34"/>
        <v>0</v>
      </c>
      <c r="AC690" s="6">
        <f>(L690-M690)*(W690+X690)+($W$784+$X$784-$W$690-$X$690)*(L690)</f>
        <v>8164.4627999999993</v>
      </c>
      <c r="AD690" s="6">
        <f t="shared" si="36"/>
        <v>0</v>
      </c>
      <c r="AE690" s="6">
        <f ca="1">(L690-M690)*(Z690+AA690)+($Z$784+$AA$784-$Z$690-$AA$690)*(L690)</f>
        <v>7862.1550802365873</v>
      </c>
      <c r="AF690" s="4" t="s">
        <v>1002</v>
      </c>
    </row>
    <row r="691" spans="1:32" ht="11.25" customHeight="1" x14ac:dyDescent="0.25">
      <c r="A691" s="4" t="s">
        <v>28</v>
      </c>
      <c r="B691" s="4" t="s">
        <v>22</v>
      </c>
      <c r="C691" s="4" t="s">
        <v>23</v>
      </c>
      <c r="D691" s="4" t="s">
        <v>24</v>
      </c>
      <c r="E691" s="4" t="s">
        <v>29</v>
      </c>
      <c r="F691" s="4" t="s">
        <v>25</v>
      </c>
      <c r="G691" s="4" t="s">
        <v>25</v>
      </c>
      <c r="H691" s="4" t="s">
        <v>25</v>
      </c>
      <c r="I691" s="5">
        <v>44562</v>
      </c>
      <c r="J691" s="6">
        <v>0</v>
      </c>
      <c r="K691" s="6">
        <v>0</v>
      </c>
      <c r="L691" s="6">
        <v>0.377</v>
      </c>
      <c r="M691" s="6">
        <v>0.377</v>
      </c>
      <c r="N691" s="6">
        <v>0.377</v>
      </c>
      <c r="O691" s="6">
        <v>0.377</v>
      </c>
      <c r="P691" s="6">
        <v>1</v>
      </c>
      <c r="Q691" s="4" t="s">
        <v>26</v>
      </c>
      <c r="R691" s="4">
        <v>0</v>
      </c>
      <c r="S691" s="4">
        <v>0</v>
      </c>
      <c r="T691" s="4">
        <v>4</v>
      </c>
      <c r="U691" s="4">
        <v>73</v>
      </c>
      <c r="V691" s="6">
        <f>IF(ISERROR(VLOOKUP($S$691,'TAR FIN'!$A$1:$O$104,15,0)),0,VLOOKUP($S$691,'TAR FIN'!$A$1:$O$104,15,0))</f>
        <v>0</v>
      </c>
      <c r="W691" s="6">
        <f>IF(ISERROR(VLOOKUP($T$691,'TAR FIN'!$A$1:$O$104,15,0)),0,VLOOKUP($T$691,'TAR FIN'!$A$1:$O$104,15,0))</f>
        <v>104.85</v>
      </c>
      <c r="X691" s="6">
        <f>IF(ISERROR(VLOOKUP($U$691,'TAR FIN'!$A$1:$O$104,15,0)),0,VLOOKUP($U$691,'TAR FIN'!$A$1:$O$104,15,0))</f>
        <v>89.5</v>
      </c>
      <c r="Y691" s="6"/>
      <c r="Z691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91" s="6">
        <f>('TE BE'!$AB$14+'TE BF'!$AB$14+'TE CVA'!$AB$14)*(1-CUSTOS!$M$34)</f>
        <v>84.864750954439458</v>
      </c>
      <c r="AB691" s="6">
        <f t="shared" si="34"/>
        <v>0</v>
      </c>
      <c r="AC691" s="6">
        <f>(L691-M691)*(W691+X691)+($W$784+$X$784-$W$691-$X$691)*(L691)</f>
        <v>136.07437999999999</v>
      </c>
      <c r="AD691" s="6">
        <f t="shared" si="36"/>
        <v>0</v>
      </c>
      <c r="AE691" s="6">
        <f ca="1">(L691-M691)*(Z691+AA691)+($Z$784+$AA$784-$Z$691-$AA$691)*(L691)</f>
        <v>131.03591800394312</v>
      </c>
      <c r="AF691" s="4" t="s">
        <v>1002</v>
      </c>
    </row>
    <row r="692" spans="1:32" ht="11.25" customHeight="1" x14ac:dyDescent="0.25">
      <c r="A692" s="4" t="s">
        <v>21</v>
      </c>
      <c r="B692" s="4" t="s">
        <v>22</v>
      </c>
      <c r="C692" s="4" t="s">
        <v>23</v>
      </c>
      <c r="D692" s="4" t="s">
        <v>24</v>
      </c>
      <c r="E692" s="4" t="s">
        <v>29</v>
      </c>
      <c r="F692" s="4" t="s">
        <v>25</v>
      </c>
      <c r="G692" s="4" t="s">
        <v>25</v>
      </c>
      <c r="H692" s="4" t="s">
        <v>25</v>
      </c>
      <c r="I692" s="5">
        <v>44593</v>
      </c>
      <c r="J692" s="6">
        <v>0</v>
      </c>
      <c r="K692" s="6">
        <v>0</v>
      </c>
      <c r="L692" s="6">
        <v>13427.204</v>
      </c>
      <c r="M692" s="6">
        <v>13427.204</v>
      </c>
      <c r="N692" s="6">
        <v>13427.204</v>
      </c>
      <c r="O692" s="6">
        <v>13427.204</v>
      </c>
      <c r="P692" s="6">
        <v>43318</v>
      </c>
      <c r="Q692" s="4" t="s">
        <v>26</v>
      </c>
      <c r="R692" s="4">
        <v>0</v>
      </c>
      <c r="S692" s="4">
        <v>0</v>
      </c>
      <c r="T692" s="4">
        <v>4</v>
      </c>
      <c r="U692" s="4">
        <v>73</v>
      </c>
      <c r="V692" s="6">
        <f>IF(ISERROR(VLOOKUP($S$692,'TAR FIN'!$A$1:$O$104,15,0)),0,VLOOKUP($S$692,'TAR FIN'!$A$1:$O$104,15,0))</f>
        <v>0</v>
      </c>
      <c r="W692" s="6">
        <f>IF(ISERROR(VLOOKUP($T$692,'TAR FIN'!$A$1:$O$104,15,0)),0,VLOOKUP($T$692,'TAR FIN'!$A$1:$O$104,15,0))</f>
        <v>104.85</v>
      </c>
      <c r="X692" s="6">
        <f>IF(ISERROR(VLOOKUP($U$692,'TAR FIN'!$A$1:$O$104,15,0)),0,VLOOKUP($U$692,'TAR FIN'!$A$1:$O$104,15,0))</f>
        <v>89.5</v>
      </c>
      <c r="Y692" s="6"/>
      <c r="Z692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92" s="6">
        <f>('TE BE'!$AB$14+'TE BF'!$AB$14+'TE CVA'!$AB$14)*(1-CUSTOS!$M$34)</f>
        <v>84.864750954439458</v>
      </c>
      <c r="AB692" s="6">
        <f t="shared" si="34"/>
        <v>0</v>
      </c>
      <c r="AC692" s="6">
        <f>(L692-M692)*(W692+X692)+($W$784+$X$784-$W$692-$X$692)*(L692)</f>
        <v>4846415.0117599992</v>
      </c>
      <c r="AD692" s="6">
        <f t="shared" si="36"/>
        <v>0</v>
      </c>
      <c r="AE692" s="6">
        <f ca="1">(L692-M692)*(Z692+AA692)+($Z$784+$AA$784-$Z$692-$AA$692)*(L692)</f>
        <v>4666965.5235178173</v>
      </c>
      <c r="AF692" s="4" t="s">
        <v>1002</v>
      </c>
    </row>
    <row r="693" spans="1:32" ht="11.25" customHeight="1" x14ac:dyDescent="0.25">
      <c r="A693" s="4" t="s">
        <v>27</v>
      </c>
      <c r="B693" s="4" t="s">
        <v>22</v>
      </c>
      <c r="C693" s="4" t="s">
        <v>23</v>
      </c>
      <c r="D693" s="4" t="s">
        <v>24</v>
      </c>
      <c r="E693" s="4" t="s">
        <v>29</v>
      </c>
      <c r="F693" s="4" t="s">
        <v>25</v>
      </c>
      <c r="G693" s="4" t="s">
        <v>25</v>
      </c>
      <c r="H693" s="4" t="s">
        <v>25</v>
      </c>
      <c r="I693" s="5">
        <v>44593</v>
      </c>
      <c r="J693" s="6">
        <v>0</v>
      </c>
      <c r="K693" s="6">
        <v>0</v>
      </c>
      <c r="L693" s="6">
        <v>9.8789999999999996</v>
      </c>
      <c r="M693" s="6">
        <v>9.8789999999999996</v>
      </c>
      <c r="N693" s="6">
        <v>9.8789999999999996</v>
      </c>
      <c r="O693" s="6">
        <v>9.8789999999999996</v>
      </c>
      <c r="P693" s="6">
        <v>80</v>
      </c>
      <c r="Q693" s="4" t="s">
        <v>26</v>
      </c>
      <c r="R693" s="4">
        <v>0</v>
      </c>
      <c r="S693" s="4">
        <v>0</v>
      </c>
      <c r="T693" s="4">
        <v>4</v>
      </c>
      <c r="U693" s="4">
        <v>73</v>
      </c>
      <c r="V693" s="6">
        <f>IF(ISERROR(VLOOKUP($S$693,'TAR FIN'!$A$1:$O$104,15,0)),0,VLOOKUP($S$693,'TAR FIN'!$A$1:$O$104,15,0))</f>
        <v>0</v>
      </c>
      <c r="W693" s="6">
        <f>IF(ISERROR(VLOOKUP($T$693,'TAR FIN'!$A$1:$O$104,15,0)),0,VLOOKUP($T$693,'TAR FIN'!$A$1:$O$104,15,0))</f>
        <v>104.85</v>
      </c>
      <c r="X693" s="6">
        <f>IF(ISERROR(VLOOKUP($U$693,'TAR FIN'!$A$1:$O$104,15,0)),0,VLOOKUP($U$693,'TAR FIN'!$A$1:$O$104,15,0))</f>
        <v>89.5</v>
      </c>
      <c r="Y693" s="6"/>
      <c r="Z693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93" s="6">
        <f>('TE BE'!$AB$14+'TE BF'!$AB$14+'TE CVA'!$AB$14)*(1-CUSTOS!$M$34)</f>
        <v>84.864750954439458</v>
      </c>
      <c r="AB693" s="6">
        <f t="shared" si="34"/>
        <v>0</v>
      </c>
      <c r="AC693" s="6">
        <f>(L693-M693)*(W693+X693)+($W$784+$X$784-$W$693-$X$693)*(L693)</f>
        <v>3565.7262599999995</v>
      </c>
      <c r="AD693" s="6">
        <f t="shared" si="36"/>
        <v>0</v>
      </c>
      <c r="AE693" s="6">
        <f ca="1">(L693-M693)*(Z693+AA693)+($Z$784+$AA$784-$Z$693-$AA$693)*(L693)</f>
        <v>3433.6971723102229</v>
      </c>
      <c r="AF693" s="4" t="s">
        <v>1002</v>
      </c>
    </row>
    <row r="694" spans="1:32" ht="11.25" customHeight="1" x14ac:dyDescent="0.25">
      <c r="A694" s="4" t="s">
        <v>28</v>
      </c>
      <c r="B694" s="4" t="s">
        <v>22</v>
      </c>
      <c r="C694" s="4" t="s">
        <v>23</v>
      </c>
      <c r="D694" s="4" t="s">
        <v>24</v>
      </c>
      <c r="E694" s="4" t="s">
        <v>29</v>
      </c>
      <c r="F694" s="4" t="s">
        <v>25</v>
      </c>
      <c r="G694" s="4" t="s">
        <v>25</v>
      </c>
      <c r="H694" s="4" t="s">
        <v>25</v>
      </c>
      <c r="I694" s="5">
        <v>44593</v>
      </c>
      <c r="J694" s="6">
        <v>0</v>
      </c>
      <c r="K694" s="6">
        <v>0</v>
      </c>
      <c r="L694" s="6">
        <v>24.33</v>
      </c>
      <c r="M694" s="6">
        <v>24.33</v>
      </c>
      <c r="N694" s="6">
        <v>24.33</v>
      </c>
      <c r="O694" s="6">
        <v>24.33</v>
      </c>
      <c r="P694" s="6">
        <v>49</v>
      </c>
      <c r="Q694" s="4" t="s">
        <v>26</v>
      </c>
      <c r="R694" s="4">
        <v>0</v>
      </c>
      <c r="S694" s="4">
        <v>0</v>
      </c>
      <c r="T694" s="4">
        <v>4</v>
      </c>
      <c r="U694" s="4">
        <v>73</v>
      </c>
      <c r="V694" s="6">
        <f>IF(ISERROR(VLOOKUP($S$694,'TAR FIN'!$A$1:$O$104,15,0)),0,VLOOKUP($S$694,'TAR FIN'!$A$1:$O$104,15,0))</f>
        <v>0</v>
      </c>
      <c r="W694" s="6">
        <f>IF(ISERROR(VLOOKUP($T$694,'TAR FIN'!$A$1:$O$104,15,0)),0,VLOOKUP($T$694,'TAR FIN'!$A$1:$O$104,15,0))</f>
        <v>104.85</v>
      </c>
      <c r="X694" s="6">
        <f>IF(ISERROR(VLOOKUP($U$694,'TAR FIN'!$A$1:$O$104,15,0)),0,VLOOKUP($U$694,'TAR FIN'!$A$1:$O$104,15,0))</f>
        <v>89.5</v>
      </c>
      <c r="Y694" s="6"/>
      <c r="Z694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94" s="6">
        <f>('TE BE'!$AB$14+'TE BF'!$AB$14+'TE CVA'!$AB$14)*(1-CUSTOS!$M$34)</f>
        <v>84.864750954439458</v>
      </c>
      <c r="AB694" s="6">
        <f t="shared" si="34"/>
        <v>0</v>
      </c>
      <c r="AC694" s="6">
        <f>(L694-M694)*(W694+X694)+($W$784+$X$784-$W$694-$X$694)*(L694)</f>
        <v>8781.6701999999987</v>
      </c>
      <c r="AD694" s="6">
        <f t="shared" si="36"/>
        <v>0</v>
      </c>
      <c r="AE694" s="6">
        <f ca="1">(L694-M694)*(Z694+AA694)+($Z$784+$AA$784-$Z$694-$AA$694)*(L694)</f>
        <v>8456.5089788751611</v>
      </c>
      <c r="AF694" s="4" t="s">
        <v>1002</v>
      </c>
    </row>
    <row r="695" spans="1:32" ht="11.25" customHeight="1" x14ac:dyDescent="0.25">
      <c r="A695" s="4" t="s">
        <v>21</v>
      </c>
      <c r="B695" s="4" t="s">
        <v>22</v>
      </c>
      <c r="C695" s="4" t="s">
        <v>23</v>
      </c>
      <c r="D695" s="4" t="s">
        <v>24</v>
      </c>
      <c r="E695" s="4" t="s">
        <v>29</v>
      </c>
      <c r="F695" s="4" t="s">
        <v>25</v>
      </c>
      <c r="G695" s="4" t="s">
        <v>25</v>
      </c>
      <c r="H695" s="4" t="s">
        <v>25</v>
      </c>
      <c r="I695" s="5">
        <v>44621</v>
      </c>
      <c r="J695" s="6">
        <v>0</v>
      </c>
      <c r="K695" s="6">
        <v>0</v>
      </c>
      <c r="L695" s="6">
        <v>13673.727999999999</v>
      </c>
      <c r="M695" s="6">
        <v>13673.727999999999</v>
      </c>
      <c r="N695" s="6">
        <v>13673.727999999999</v>
      </c>
      <c r="O695" s="6">
        <v>13673.727999999999</v>
      </c>
      <c r="P695" s="6">
        <v>40150</v>
      </c>
      <c r="Q695" s="4" t="s">
        <v>26</v>
      </c>
      <c r="R695" s="4">
        <v>0</v>
      </c>
      <c r="S695" s="4">
        <v>0</v>
      </c>
      <c r="T695" s="4">
        <v>4</v>
      </c>
      <c r="U695" s="4">
        <v>73</v>
      </c>
      <c r="V695" s="6">
        <f>IF(ISERROR(VLOOKUP($S$695,'TAR FIN'!$A$1:$O$104,15,0)),0,VLOOKUP($S$695,'TAR FIN'!$A$1:$O$104,15,0))</f>
        <v>0</v>
      </c>
      <c r="W695" s="6">
        <f>IF(ISERROR(VLOOKUP($T$695,'TAR FIN'!$A$1:$O$104,15,0)),0,VLOOKUP($T$695,'TAR FIN'!$A$1:$O$104,15,0))</f>
        <v>104.85</v>
      </c>
      <c r="X695" s="6">
        <f>IF(ISERROR(VLOOKUP($U$695,'TAR FIN'!$A$1:$O$104,15,0)),0,VLOOKUP($U$695,'TAR FIN'!$A$1:$O$104,15,0))</f>
        <v>89.5</v>
      </c>
      <c r="Y695" s="6"/>
      <c r="Z695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95" s="6">
        <f>('TE BE'!$AB$14+'TE BF'!$AB$14+'TE CVA'!$AB$14)*(1-CUSTOS!$M$34)</f>
        <v>84.864750954439458</v>
      </c>
      <c r="AB695" s="6">
        <f t="shared" si="34"/>
        <v>0</v>
      </c>
      <c r="AC695" s="6">
        <f>(L695-M695)*(W695+X695)+($W$784+$X$784-$W$695-$X$695)*(L695)</f>
        <v>4935395.3843199993</v>
      </c>
      <c r="AD695" s="6">
        <f t="shared" si="36"/>
        <v>0</v>
      </c>
      <c r="AE695" s="6">
        <f ca="1">(L695-M695)*(Z695+AA695)+($Z$784+$AA$784-$Z$695-$AA$695)*(L695)</f>
        <v>4752651.1963294987</v>
      </c>
      <c r="AF695" s="4" t="s">
        <v>1002</v>
      </c>
    </row>
    <row r="696" spans="1:32" ht="11.25" customHeight="1" x14ac:dyDescent="0.25">
      <c r="A696" s="4" t="s">
        <v>27</v>
      </c>
      <c r="B696" s="4" t="s">
        <v>22</v>
      </c>
      <c r="C696" s="4" t="s">
        <v>23</v>
      </c>
      <c r="D696" s="4" t="s">
        <v>24</v>
      </c>
      <c r="E696" s="4" t="s">
        <v>29</v>
      </c>
      <c r="F696" s="4" t="s">
        <v>25</v>
      </c>
      <c r="G696" s="4" t="s">
        <v>25</v>
      </c>
      <c r="H696" s="4" t="s">
        <v>25</v>
      </c>
      <c r="I696" s="5">
        <v>44621</v>
      </c>
      <c r="J696" s="6">
        <v>0</v>
      </c>
      <c r="K696" s="6">
        <v>0</v>
      </c>
      <c r="L696" s="6">
        <v>3.9249999999999998</v>
      </c>
      <c r="M696" s="6">
        <v>3.9249999999999998</v>
      </c>
      <c r="N696" s="6">
        <v>3.9249999999999998</v>
      </c>
      <c r="O696" s="6">
        <v>3.9249999999999998</v>
      </c>
      <c r="P696" s="6">
        <v>43</v>
      </c>
      <c r="Q696" s="4" t="s">
        <v>26</v>
      </c>
      <c r="R696" s="4">
        <v>0</v>
      </c>
      <c r="S696" s="4">
        <v>0</v>
      </c>
      <c r="T696" s="4">
        <v>4</v>
      </c>
      <c r="U696" s="4">
        <v>73</v>
      </c>
      <c r="V696" s="6">
        <f>IF(ISERROR(VLOOKUP($S$696,'TAR FIN'!$A$1:$O$104,15,0)),0,VLOOKUP($S$696,'TAR FIN'!$A$1:$O$104,15,0))</f>
        <v>0</v>
      </c>
      <c r="W696" s="6">
        <f>IF(ISERROR(VLOOKUP($T$696,'TAR FIN'!$A$1:$O$104,15,0)),0,VLOOKUP($T$696,'TAR FIN'!$A$1:$O$104,15,0))</f>
        <v>104.85</v>
      </c>
      <c r="X696" s="6">
        <f>IF(ISERROR(VLOOKUP($U$696,'TAR FIN'!$A$1:$O$104,15,0)),0,VLOOKUP($U$696,'TAR FIN'!$A$1:$O$104,15,0))</f>
        <v>89.5</v>
      </c>
      <c r="Y696" s="6"/>
      <c r="Z696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96" s="6">
        <f>('TE BE'!$AB$14+'TE BF'!$AB$14+'TE CVA'!$AB$14)*(1-CUSTOS!$M$34)</f>
        <v>84.864750954439458</v>
      </c>
      <c r="AB696" s="6">
        <f t="shared" si="34"/>
        <v>0</v>
      </c>
      <c r="AC696" s="6">
        <f>(L696-M696)*(W696+X696)+($W$784+$X$784-$W$696-$X$696)*(L696)</f>
        <v>1416.6894999999997</v>
      </c>
      <c r="AD696" s="6">
        <f t="shared" si="36"/>
        <v>0</v>
      </c>
      <c r="AE696" s="6">
        <f ca="1">(L696-M696)*(Z696+AA696)+($Z$784+$AA$784-$Z$696-$AA$696)*(L696)</f>
        <v>1364.2333638341556</v>
      </c>
      <c r="AF696" s="4" t="s">
        <v>1002</v>
      </c>
    </row>
    <row r="697" spans="1:32" ht="11.25" customHeight="1" x14ac:dyDescent="0.25">
      <c r="A697" s="4" t="s">
        <v>28</v>
      </c>
      <c r="B697" s="4" t="s">
        <v>22</v>
      </c>
      <c r="C697" s="4" t="s">
        <v>23</v>
      </c>
      <c r="D697" s="4" t="s">
        <v>24</v>
      </c>
      <c r="E697" s="4" t="s">
        <v>29</v>
      </c>
      <c r="F697" s="4" t="s">
        <v>25</v>
      </c>
      <c r="G697" s="4" t="s">
        <v>25</v>
      </c>
      <c r="H697" s="4" t="s">
        <v>25</v>
      </c>
      <c r="I697" s="5">
        <v>44621</v>
      </c>
      <c r="J697" s="6">
        <v>0</v>
      </c>
      <c r="K697" s="6">
        <v>0</v>
      </c>
      <c r="L697" s="6">
        <v>25.65</v>
      </c>
      <c r="M697" s="6">
        <v>25.65</v>
      </c>
      <c r="N697" s="6">
        <v>25.65</v>
      </c>
      <c r="O697" s="6">
        <v>25.65</v>
      </c>
      <c r="P697" s="6">
        <v>40</v>
      </c>
      <c r="Q697" s="4" t="s">
        <v>26</v>
      </c>
      <c r="R697" s="4">
        <v>0</v>
      </c>
      <c r="S697" s="4">
        <v>0</v>
      </c>
      <c r="T697" s="4">
        <v>4</v>
      </c>
      <c r="U697" s="4">
        <v>73</v>
      </c>
      <c r="V697" s="6">
        <f>IF(ISERROR(VLOOKUP($S$697,'TAR FIN'!$A$1:$O$104,15,0)),0,VLOOKUP($S$697,'TAR FIN'!$A$1:$O$104,15,0))</f>
        <v>0</v>
      </c>
      <c r="W697" s="6">
        <f>IF(ISERROR(VLOOKUP($T$697,'TAR FIN'!$A$1:$O$104,15,0)),0,VLOOKUP($T$697,'TAR FIN'!$A$1:$O$104,15,0))</f>
        <v>104.85</v>
      </c>
      <c r="X697" s="6">
        <f>IF(ISERROR(VLOOKUP($U$697,'TAR FIN'!$A$1:$O$104,15,0)),0,VLOOKUP($U$697,'TAR FIN'!$A$1:$O$104,15,0))</f>
        <v>89.5</v>
      </c>
      <c r="Y697" s="6"/>
      <c r="Z697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97" s="6">
        <f>('TE BE'!$AB$14+'TE BF'!$AB$14+'TE CVA'!$AB$14)*(1-CUSTOS!$M$34)</f>
        <v>84.864750954439458</v>
      </c>
      <c r="AB697" s="6">
        <f t="shared" si="34"/>
        <v>0</v>
      </c>
      <c r="AC697" s="6">
        <f>(L697-M697)*(W697+X697)+($W$784+$X$784-$W$697-$X$697)*(L697)</f>
        <v>9258.1109999999971</v>
      </c>
      <c r="AD697" s="6">
        <f t="shared" si="36"/>
        <v>0</v>
      </c>
      <c r="AE697" s="6">
        <f ca="1">(L697-M697)*(Z697+AA697)+($Z$784+$AA$784-$Z$697-$AA$697)*(L697)</f>
        <v>8915.3084795786217</v>
      </c>
      <c r="AF697" s="4" t="s">
        <v>1002</v>
      </c>
    </row>
    <row r="698" spans="1:32" ht="11.25" customHeight="1" x14ac:dyDescent="0.25">
      <c r="A698" s="4" t="s">
        <v>21</v>
      </c>
      <c r="B698" s="4" t="s">
        <v>22</v>
      </c>
      <c r="C698" s="4" t="s">
        <v>23</v>
      </c>
      <c r="D698" s="4" t="s">
        <v>24</v>
      </c>
      <c r="E698" s="4" t="s">
        <v>29</v>
      </c>
      <c r="F698" s="4" t="s">
        <v>25</v>
      </c>
      <c r="G698" s="4" t="s">
        <v>25</v>
      </c>
      <c r="H698" s="4" t="s">
        <v>25</v>
      </c>
      <c r="I698" s="5">
        <v>44652</v>
      </c>
      <c r="J698" s="6">
        <v>0</v>
      </c>
      <c r="K698" s="6">
        <v>0</v>
      </c>
      <c r="L698" s="6">
        <v>13824.705</v>
      </c>
      <c r="M698" s="6">
        <v>13824.705</v>
      </c>
      <c r="N698" s="6">
        <v>13824.705</v>
      </c>
      <c r="O698" s="6">
        <v>13824.705</v>
      </c>
      <c r="P698" s="6">
        <v>42786</v>
      </c>
      <c r="Q698" s="4" t="s">
        <v>26</v>
      </c>
      <c r="R698" s="4">
        <v>0</v>
      </c>
      <c r="S698" s="4">
        <v>0</v>
      </c>
      <c r="T698" s="4">
        <v>4</v>
      </c>
      <c r="U698" s="4">
        <v>73</v>
      </c>
      <c r="V698" s="6">
        <f>IF(ISERROR(VLOOKUP($S$698,'TAR FIN'!$A$1:$O$104,15,0)),0,VLOOKUP($S$698,'TAR FIN'!$A$1:$O$104,15,0))</f>
        <v>0</v>
      </c>
      <c r="W698" s="6">
        <f>IF(ISERROR(VLOOKUP($T$698,'TAR FIN'!$A$1:$O$104,15,0)),0,VLOOKUP($T$698,'TAR FIN'!$A$1:$O$104,15,0))</f>
        <v>104.85</v>
      </c>
      <c r="X698" s="6">
        <f>IF(ISERROR(VLOOKUP($U$698,'TAR FIN'!$A$1:$O$104,15,0)),0,VLOOKUP($U$698,'TAR FIN'!$A$1:$O$104,15,0))</f>
        <v>89.5</v>
      </c>
      <c r="Y698" s="6"/>
      <c r="Z698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98" s="6">
        <f>('TE BE'!$AB$14+'TE BF'!$AB$14+'TE CVA'!$AB$14)*(1-CUSTOS!$M$34)</f>
        <v>84.864750954439458</v>
      </c>
      <c r="AB698" s="6">
        <f t="shared" si="34"/>
        <v>0</v>
      </c>
      <c r="AC698" s="6">
        <f>(L698-M698)*(W698+X698)+($W$784+$X$784-$W$698-$X$698)*(L698)</f>
        <v>4989889.0226999987</v>
      </c>
      <c r="AD698" s="6">
        <f t="shared" si="36"/>
        <v>0</v>
      </c>
      <c r="AE698" s="6">
        <f ca="1">(L698-M698)*(Z698+AA698)+($Z$784+$AA$784-$Z$698-$AA$698)*(L698)</f>
        <v>4805127.0843732161</v>
      </c>
      <c r="AF698" s="4" t="s">
        <v>1002</v>
      </c>
    </row>
    <row r="699" spans="1:32" ht="11.25" customHeight="1" x14ac:dyDescent="0.25">
      <c r="A699" s="4" t="s">
        <v>27</v>
      </c>
      <c r="B699" s="4" t="s">
        <v>22</v>
      </c>
      <c r="C699" s="4" t="s">
        <v>23</v>
      </c>
      <c r="D699" s="4" t="s">
        <v>24</v>
      </c>
      <c r="E699" s="4" t="s">
        <v>29</v>
      </c>
      <c r="F699" s="4" t="s">
        <v>25</v>
      </c>
      <c r="G699" s="4" t="s">
        <v>25</v>
      </c>
      <c r="H699" s="4" t="s">
        <v>25</v>
      </c>
      <c r="I699" s="5">
        <v>44652</v>
      </c>
      <c r="J699" s="6">
        <v>0</v>
      </c>
      <c r="K699" s="6">
        <v>0</v>
      </c>
      <c r="L699" s="6">
        <v>5.8869999999999996</v>
      </c>
      <c r="M699" s="6">
        <v>5.8869999999999996</v>
      </c>
      <c r="N699" s="6">
        <v>5.8869999999999996</v>
      </c>
      <c r="O699" s="6">
        <v>5.8869999999999996</v>
      </c>
      <c r="P699" s="6">
        <v>47</v>
      </c>
      <c r="Q699" s="4" t="s">
        <v>26</v>
      </c>
      <c r="R699" s="4">
        <v>0</v>
      </c>
      <c r="S699" s="4">
        <v>0</v>
      </c>
      <c r="T699" s="4">
        <v>4</v>
      </c>
      <c r="U699" s="4">
        <v>73</v>
      </c>
      <c r="V699" s="6">
        <f>IF(ISERROR(VLOOKUP($S$699,'TAR FIN'!$A$1:$O$104,15,0)),0,VLOOKUP($S$699,'TAR FIN'!$A$1:$O$104,15,0))</f>
        <v>0</v>
      </c>
      <c r="W699" s="6">
        <f>IF(ISERROR(VLOOKUP($T$699,'TAR FIN'!$A$1:$O$104,15,0)),0,VLOOKUP($T$699,'TAR FIN'!$A$1:$O$104,15,0))</f>
        <v>104.85</v>
      </c>
      <c r="X699" s="6">
        <f>IF(ISERROR(VLOOKUP($U$699,'TAR FIN'!$A$1:$O$104,15,0)),0,VLOOKUP($U$699,'TAR FIN'!$A$1:$O$104,15,0))</f>
        <v>89.5</v>
      </c>
      <c r="Y699" s="6"/>
      <c r="Z699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699" s="6">
        <f>('TE BE'!$AB$14+'TE BF'!$AB$14+'TE CVA'!$AB$14)*(1-CUSTOS!$M$34)</f>
        <v>84.864750954439458</v>
      </c>
      <c r="AB699" s="6">
        <f t="shared" si="34"/>
        <v>0</v>
      </c>
      <c r="AC699" s="6">
        <f>(L699-M699)*(W699+X699)+($W$784+$X$784-$W$699-$X$699)*(L699)</f>
        <v>2124.8537799999995</v>
      </c>
      <c r="AD699" s="6">
        <f t="shared" si="36"/>
        <v>0</v>
      </c>
      <c r="AE699" s="6">
        <f ca="1">(L699-M699)*(Z699+AA699)+($Z$784+$AA$784-$Z$699-$AA$699)*(L699)</f>
        <v>2046.1762580615732</v>
      </c>
      <c r="AF699" s="4" t="s">
        <v>1002</v>
      </c>
    </row>
    <row r="700" spans="1:32" ht="11.25" customHeight="1" x14ac:dyDescent="0.25">
      <c r="A700" s="4" t="s">
        <v>28</v>
      </c>
      <c r="B700" s="4" t="s">
        <v>22</v>
      </c>
      <c r="C700" s="4" t="s">
        <v>23</v>
      </c>
      <c r="D700" s="4" t="s">
        <v>24</v>
      </c>
      <c r="E700" s="4" t="s">
        <v>29</v>
      </c>
      <c r="F700" s="4" t="s">
        <v>25</v>
      </c>
      <c r="G700" s="4" t="s">
        <v>25</v>
      </c>
      <c r="H700" s="4" t="s">
        <v>25</v>
      </c>
      <c r="I700" s="5">
        <v>44652</v>
      </c>
      <c r="J700" s="6">
        <v>0</v>
      </c>
      <c r="K700" s="6">
        <v>0</v>
      </c>
      <c r="L700" s="6">
        <v>26.66</v>
      </c>
      <c r="M700" s="6">
        <v>26.66</v>
      </c>
      <c r="N700" s="6">
        <v>26.66</v>
      </c>
      <c r="O700" s="6">
        <v>26.66</v>
      </c>
      <c r="P700" s="6">
        <v>44</v>
      </c>
      <c r="Q700" s="4" t="s">
        <v>26</v>
      </c>
      <c r="R700" s="4">
        <v>0</v>
      </c>
      <c r="S700" s="4">
        <v>0</v>
      </c>
      <c r="T700" s="4">
        <v>4</v>
      </c>
      <c r="U700" s="4">
        <v>73</v>
      </c>
      <c r="V700" s="6">
        <f>IF(ISERROR(VLOOKUP($S$700,'TAR FIN'!$A$1:$O$104,15,0)),0,VLOOKUP($S$700,'TAR FIN'!$A$1:$O$104,15,0))</f>
        <v>0</v>
      </c>
      <c r="W700" s="6">
        <f>IF(ISERROR(VLOOKUP($T$700,'TAR FIN'!$A$1:$O$104,15,0)),0,VLOOKUP($T$700,'TAR FIN'!$A$1:$O$104,15,0))</f>
        <v>104.85</v>
      </c>
      <c r="X700" s="6">
        <f>IF(ISERROR(VLOOKUP($U$700,'TAR FIN'!$A$1:$O$104,15,0)),0,VLOOKUP($U$700,'TAR FIN'!$A$1:$O$104,15,0))</f>
        <v>89.5</v>
      </c>
      <c r="Y700" s="6"/>
      <c r="Z700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700" s="6">
        <f>('TE BE'!$AB$14+'TE BF'!$AB$14+'TE CVA'!$AB$14)*(1-CUSTOS!$M$34)</f>
        <v>84.864750954439458</v>
      </c>
      <c r="AB700" s="6">
        <f t="shared" si="34"/>
        <v>0</v>
      </c>
      <c r="AC700" s="6">
        <f>(L700-M700)*(W700+X700)+($W$784+$X$784-$W$700-$X$700)*(L700)</f>
        <v>9622.6603999999988</v>
      </c>
      <c r="AD700" s="6">
        <f t="shared" si="36"/>
        <v>0</v>
      </c>
      <c r="AE700" s="6">
        <f ca="1">(L700-M700)*(Z700+AA700)+($Z$784+$AA$784-$Z$700-$AA$700)*(L700)</f>
        <v>9266.359612692635</v>
      </c>
      <c r="AF700" s="4" t="s">
        <v>1002</v>
      </c>
    </row>
    <row r="701" spans="1:32" ht="11.25" customHeight="1" x14ac:dyDescent="0.25">
      <c r="A701" s="4" t="s">
        <v>21</v>
      </c>
      <c r="B701" s="4" t="s">
        <v>22</v>
      </c>
      <c r="C701" s="4" t="s">
        <v>23</v>
      </c>
      <c r="D701" s="4" t="s">
        <v>24</v>
      </c>
      <c r="E701" s="4" t="s">
        <v>29</v>
      </c>
      <c r="F701" s="4" t="s">
        <v>25</v>
      </c>
      <c r="G701" s="4" t="s">
        <v>25</v>
      </c>
      <c r="H701" s="4" t="s">
        <v>25</v>
      </c>
      <c r="I701" s="5">
        <v>44682</v>
      </c>
      <c r="J701" s="6">
        <v>0</v>
      </c>
      <c r="K701" s="6">
        <v>0</v>
      </c>
      <c r="L701" s="6">
        <v>13703.281999999999</v>
      </c>
      <c r="M701" s="6">
        <v>13703.281999999999</v>
      </c>
      <c r="N701" s="6">
        <v>13703.281999999999</v>
      </c>
      <c r="O701" s="6">
        <v>13703.281999999999</v>
      </c>
      <c r="P701" s="6">
        <v>42836</v>
      </c>
      <c r="Q701" s="4" t="s">
        <v>26</v>
      </c>
      <c r="R701" s="4">
        <v>0</v>
      </c>
      <c r="S701" s="4">
        <v>0</v>
      </c>
      <c r="T701" s="4">
        <v>4</v>
      </c>
      <c r="U701" s="4">
        <v>73</v>
      </c>
      <c r="V701" s="6">
        <f>IF(ISERROR(VLOOKUP($S$701,'TAR FIN'!$A$1:$O$104,15,0)),0,VLOOKUP($S$701,'TAR FIN'!$A$1:$O$104,15,0))</f>
        <v>0</v>
      </c>
      <c r="W701" s="6">
        <f>IF(ISERROR(VLOOKUP($T$701,'TAR FIN'!$A$1:$O$104,15,0)),0,VLOOKUP($T$701,'TAR FIN'!$A$1:$O$104,15,0))</f>
        <v>104.85</v>
      </c>
      <c r="X701" s="6">
        <f>IF(ISERROR(VLOOKUP($U$701,'TAR FIN'!$A$1:$O$104,15,0)),0,VLOOKUP($U$701,'TAR FIN'!$A$1:$O$104,15,0))</f>
        <v>89.5</v>
      </c>
      <c r="Y701" s="6"/>
      <c r="Z701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701" s="6">
        <f>('TE BE'!$AB$14+'TE BF'!$AB$14+'TE CVA'!$AB$14)*(1-CUSTOS!$M$34)</f>
        <v>84.864750954439458</v>
      </c>
      <c r="AB701" s="6">
        <f t="shared" si="34"/>
        <v>0</v>
      </c>
      <c r="AC701" s="6">
        <f>(L701-M701)*(W701+X701)+($W$784+$X$784-$W$701-$X$701)*(L701)</f>
        <v>4946062.6050799992</v>
      </c>
      <c r="AD701" s="6">
        <f t="shared" si="36"/>
        <v>0</v>
      </c>
      <c r="AE701" s="6">
        <f ca="1">(L701-M701)*(Z701+AA701)+($Z$784+$AA$784-$Z$701-$AA$701)*(L701)</f>
        <v>4762923.4390899455</v>
      </c>
      <c r="AF701" s="4" t="s">
        <v>1002</v>
      </c>
    </row>
    <row r="702" spans="1:32" ht="11.25" customHeight="1" x14ac:dyDescent="0.25">
      <c r="A702" s="4" t="s">
        <v>27</v>
      </c>
      <c r="B702" s="4" t="s">
        <v>22</v>
      </c>
      <c r="C702" s="4" t="s">
        <v>23</v>
      </c>
      <c r="D702" s="4" t="s">
        <v>24</v>
      </c>
      <c r="E702" s="4" t="s">
        <v>29</v>
      </c>
      <c r="F702" s="4" t="s">
        <v>25</v>
      </c>
      <c r="G702" s="4" t="s">
        <v>25</v>
      </c>
      <c r="H702" s="4" t="s">
        <v>25</v>
      </c>
      <c r="I702" s="5">
        <v>44682</v>
      </c>
      <c r="J702" s="6">
        <v>0</v>
      </c>
      <c r="K702" s="6">
        <v>0</v>
      </c>
      <c r="L702" s="6">
        <v>5.532</v>
      </c>
      <c r="M702" s="6">
        <v>5.532</v>
      </c>
      <c r="N702" s="6">
        <v>5.532</v>
      </c>
      <c r="O702" s="6">
        <v>5.532</v>
      </c>
      <c r="P702" s="6">
        <v>54</v>
      </c>
      <c r="Q702" s="4" t="s">
        <v>26</v>
      </c>
      <c r="R702" s="4">
        <v>0</v>
      </c>
      <c r="S702" s="4">
        <v>0</v>
      </c>
      <c r="T702" s="4">
        <v>4</v>
      </c>
      <c r="U702" s="4">
        <v>73</v>
      </c>
      <c r="V702" s="6">
        <f>IF(ISERROR(VLOOKUP($S$702,'TAR FIN'!$A$1:$O$104,15,0)),0,VLOOKUP($S$702,'TAR FIN'!$A$1:$O$104,15,0))</f>
        <v>0</v>
      </c>
      <c r="W702" s="6">
        <f>IF(ISERROR(VLOOKUP($T$702,'TAR FIN'!$A$1:$O$104,15,0)),0,VLOOKUP($T$702,'TAR FIN'!$A$1:$O$104,15,0))</f>
        <v>104.85</v>
      </c>
      <c r="X702" s="6">
        <f>IF(ISERROR(VLOOKUP($U$702,'TAR FIN'!$A$1:$O$104,15,0)),0,VLOOKUP($U$702,'TAR FIN'!$A$1:$O$104,15,0))</f>
        <v>89.5</v>
      </c>
      <c r="Y702" s="6"/>
      <c r="Z702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702" s="6">
        <f>('TE BE'!$AB$14+'TE BF'!$AB$14+'TE CVA'!$AB$14)*(1-CUSTOS!$M$34)</f>
        <v>84.864750954439458</v>
      </c>
      <c r="AB702" s="6">
        <f t="shared" si="34"/>
        <v>0</v>
      </c>
      <c r="AC702" s="6">
        <f>(L702-M702)*(W702+X702)+($W$784+$X$784-$W$702-$X$702)*(L702)</f>
        <v>1996.7200799999996</v>
      </c>
      <c r="AD702" s="6">
        <f t="shared" si="36"/>
        <v>0</v>
      </c>
      <c r="AE702" s="6">
        <f ca="1">(L702-M702)*(Z702+AA702)+($Z$784+$AA$784-$Z$702-$AA$702)*(L702)</f>
        <v>1922.7869984026879</v>
      </c>
      <c r="AF702" s="4" t="s">
        <v>1002</v>
      </c>
    </row>
    <row r="703" spans="1:32" ht="11.25" customHeight="1" x14ac:dyDescent="0.25">
      <c r="A703" s="4" t="s">
        <v>28</v>
      </c>
      <c r="B703" s="4" t="s">
        <v>22</v>
      </c>
      <c r="C703" s="4" t="s">
        <v>23</v>
      </c>
      <c r="D703" s="4" t="s">
        <v>24</v>
      </c>
      <c r="E703" s="4" t="s">
        <v>29</v>
      </c>
      <c r="F703" s="4" t="s">
        <v>25</v>
      </c>
      <c r="G703" s="4" t="s">
        <v>25</v>
      </c>
      <c r="H703" s="4" t="s">
        <v>25</v>
      </c>
      <c r="I703" s="5">
        <v>44682</v>
      </c>
      <c r="J703" s="6">
        <v>0</v>
      </c>
      <c r="K703" s="6">
        <v>0</v>
      </c>
      <c r="L703" s="6">
        <v>26.37</v>
      </c>
      <c r="M703" s="6">
        <v>26.37</v>
      </c>
      <c r="N703" s="6">
        <v>26.37</v>
      </c>
      <c r="O703" s="6">
        <v>26.37</v>
      </c>
      <c r="P703" s="6">
        <v>28</v>
      </c>
      <c r="Q703" s="4" t="s">
        <v>26</v>
      </c>
      <c r="R703" s="4">
        <v>0</v>
      </c>
      <c r="S703" s="4">
        <v>0</v>
      </c>
      <c r="T703" s="4">
        <v>4</v>
      </c>
      <c r="U703" s="4">
        <v>73</v>
      </c>
      <c r="V703" s="6">
        <f>IF(ISERROR(VLOOKUP($S$703,'TAR FIN'!$A$1:$O$104,15,0)),0,VLOOKUP($S$703,'TAR FIN'!$A$1:$O$104,15,0))</f>
        <v>0</v>
      </c>
      <c r="W703" s="6">
        <f>IF(ISERROR(VLOOKUP($T$703,'TAR FIN'!$A$1:$O$104,15,0)),0,VLOOKUP($T$703,'TAR FIN'!$A$1:$O$104,15,0))</f>
        <v>104.85</v>
      </c>
      <c r="X703" s="6">
        <f>IF(ISERROR(VLOOKUP($U$703,'TAR FIN'!$A$1:$O$104,15,0)),0,VLOOKUP($U$703,'TAR FIN'!$A$1:$O$104,15,0))</f>
        <v>89.5</v>
      </c>
      <c r="Y703" s="6"/>
      <c r="Z703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703" s="6">
        <f>('TE BE'!$AB$14+'TE BF'!$AB$14+'TE CVA'!$AB$14)*(1-CUSTOS!$M$34)</f>
        <v>84.864750954439458</v>
      </c>
      <c r="AB703" s="6">
        <f t="shared" si="34"/>
        <v>0</v>
      </c>
      <c r="AC703" s="6">
        <f>(L703-M703)*(W703+X703)+($W$784+$X$784-$W$703-$X$703)*(L703)</f>
        <v>9517.987799999999</v>
      </c>
      <c r="AD703" s="6">
        <f t="shared" si="36"/>
        <v>0</v>
      </c>
      <c r="AE703" s="6">
        <f ca="1">(L703-M703)*(Z703+AA703)+($Z$784+$AA$784-$Z$703-$AA$703)*(L703)</f>
        <v>9165.5627526896023</v>
      </c>
      <c r="AF703" s="4" t="s">
        <v>1002</v>
      </c>
    </row>
    <row r="704" spans="1:32" ht="11.25" customHeight="1" x14ac:dyDescent="0.25">
      <c r="A704" s="4" t="s">
        <v>21</v>
      </c>
      <c r="B704" s="4" t="s">
        <v>22</v>
      </c>
      <c r="C704" s="4" t="s">
        <v>23</v>
      </c>
      <c r="D704" s="4" t="s">
        <v>24</v>
      </c>
      <c r="E704" s="4" t="s">
        <v>29</v>
      </c>
      <c r="F704" s="4" t="s">
        <v>25</v>
      </c>
      <c r="G704" s="4" t="s">
        <v>25</v>
      </c>
      <c r="H704" s="4" t="s">
        <v>25</v>
      </c>
      <c r="I704" s="5">
        <v>44713</v>
      </c>
      <c r="J704" s="6">
        <v>0</v>
      </c>
      <c r="K704" s="6">
        <v>0</v>
      </c>
      <c r="L704" s="6">
        <v>13836.76</v>
      </c>
      <c r="M704" s="6">
        <v>13836.76</v>
      </c>
      <c r="N704" s="6">
        <v>13836.76</v>
      </c>
      <c r="O704" s="6">
        <v>13836.76</v>
      </c>
      <c r="P704" s="6">
        <v>48343</v>
      </c>
      <c r="Q704" s="4" t="s">
        <v>26</v>
      </c>
      <c r="R704" s="4">
        <v>0</v>
      </c>
      <c r="S704" s="4">
        <v>0</v>
      </c>
      <c r="T704" s="4">
        <v>4</v>
      </c>
      <c r="U704" s="4">
        <v>73</v>
      </c>
      <c r="V704" s="6">
        <f>IF(ISERROR(VLOOKUP($S$704,'TAR FIN'!$A$1:$O$104,15,0)),0,VLOOKUP($S$704,'TAR FIN'!$A$1:$O$104,15,0))</f>
        <v>0</v>
      </c>
      <c r="W704" s="6">
        <f>IF(ISERROR(VLOOKUP($T$704,'TAR FIN'!$A$1:$O$104,15,0)),0,VLOOKUP($T$704,'TAR FIN'!$A$1:$O$104,15,0))</f>
        <v>104.85</v>
      </c>
      <c r="X704" s="6">
        <f>IF(ISERROR(VLOOKUP($U$704,'TAR FIN'!$A$1:$O$104,15,0)),0,VLOOKUP($U$704,'TAR FIN'!$A$1:$O$104,15,0))</f>
        <v>89.5</v>
      </c>
      <c r="Y704" s="6"/>
      <c r="Z704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704" s="6">
        <f>('TE BE'!$AB$14+'TE BF'!$AB$14+'TE CVA'!$AB$14)*(1-CUSTOS!$M$34)</f>
        <v>84.864750954439458</v>
      </c>
      <c r="AB704" s="6">
        <f t="shared" si="34"/>
        <v>0</v>
      </c>
      <c r="AC704" s="6">
        <f>(L704-M704)*(W704+X704)+($W$784+$X$784-$W$704-$X$704)*(L704)</f>
        <v>4994240.1543999994</v>
      </c>
      <c r="AD704" s="6">
        <f t="shared" si="36"/>
        <v>0</v>
      </c>
      <c r="AE704" s="6">
        <f ca="1">(L704-M704)*(Z704+AA704)+($Z$784+$AA$784-$Z$704-$AA$704)*(L704)</f>
        <v>4809317.1055709282</v>
      </c>
      <c r="AF704" s="4" t="s">
        <v>1002</v>
      </c>
    </row>
    <row r="705" spans="1:32" ht="11.25" customHeight="1" x14ac:dyDescent="0.25">
      <c r="A705" s="4" t="s">
        <v>27</v>
      </c>
      <c r="B705" s="4" t="s">
        <v>22</v>
      </c>
      <c r="C705" s="4" t="s">
        <v>23</v>
      </c>
      <c r="D705" s="4" t="s">
        <v>24</v>
      </c>
      <c r="E705" s="4" t="s">
        <v>29</v>
      </c>
      <c r="F705" s="4" t="s">
        <v>25</v>
      </c>
      <c r="G705" s="4" t="s">
        <v>25</v>
      </c>
      <c r="H705" s="4" t="s">
        <v>25</v>
      </c>
      <c r="I705" s="5">
        <v>44713</v>
      </c>
      <c r="J705" s="6">
        <v>0</v>
      </c>
      <c r="K705" s="6">
        <v>0</v>
      </c>
      <c r="L705" s="6">
        <v>6.5830000000000002</v>
      </c>
      <c r="M705" s="6">
        <v>6.5830000000000002</v>
      </c>
      <c r="N705" s="6">
        <v>6.5830000000000002</v>
      </c>
      <c r="O705" s="6">
        <v>6.5830000000000002</v>
      </c>
      <c r="P705" s="6">
        <v>24</v>
      </c>
      <c r="Q705" s="4" t="s">
        <v>26</v>
      </c>
      <c r="R705" s="4">
        <v>0</v>
      </c>
      <c r="S705" s="4">
        <v>0</v>
      </c>
      <c r="T705" s="4">
        <v>4</v>
      </c>
      <c r="U705" s="4">
        <v>73</v>
      </c>
      <c r="V705" s="6">
        <f>IF(ISERROR(VLOOKUP($S$705,'TAR FIN'!$A$1:$O$104,15,0)),0,VLOOKUP($S$705,'TAR FIN'!$A$1:$O$104,15,0))</f>
        <v>0</v>
      </c>
      <c r="W705" s="6">
        <f>IF(ISERROR(VLOOKUP($T$705,'TAR FIN'!$A$1:$O$104,15,0)),0,VLOOKUP($T$705,'TAR FIN'!$A$1:$O$104,15,0))</f>
        <v>104.85</v>
      </c>
      <c r="X705" s="6">
        <f>IF(ISERROR(VLOOKUP($U$705,'TAR FIN'!$A$1:$O$104,15,0)),0,VLOOKUP($U$705,'TAR FIN'!$A$1:$O$104,15,0))</f>
        <v>89.5</v>
      </c>
      <c r="Y705" s="6"/>
      <c r="Z705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705" s="6">
        <f>('TE BE'!$AB$14+'TE BF'!$AB$14+'TE CVA'!$AB$14)*(1-CUSTOS!$M$34)</f>
        <v>84.864750954439458</v>
      </c>
      <c r="AB705" s="6">
        <f t="shared" si="34"/>
        <v>0</v>
      </c>
      <c r="AC705" s="6">
        <f>(L705-M705)*(W705+X705)+($W$784+$X$784-$W$705-$X$705)*(L705)</f>
        <v>2376.0680199999997</v>
      </c>
      <c r="AD705" s="6">
        <f t="shared" si="36"/>
        <v>0</v>
      </c>
      <c r="AE705" s="6">
        <f ca="1">(L705-M705)*(Z705+AA705)+($Z$784+$AA$784-$Z$705-$AA$705)*(L705)</f>
        <v>2288.0887220688528</v>
      </c>
      <c r="AF705" s="4" t="s">
        <v>1002</v>
      </c>
    </row>
    <row r="706" spans="1:32" ht="11.25" customHeight="1" x14ac:dyDescent="0.25">
      <c r="A706" s="4" t="s">
        <v>28</v>
      </c>
      <c r="B706" s="4" t="s">
        <v>22</v>
      </c>
      <c r="C706" s="4" t="s">
        <v>23</v>
      </c>
      <c r="D706" s="4" t="s">
        <v>24</v>
      </c>
      <c r="E706" s="4" t="s">
        <v>29</v>
      </c>
      <c r="F706" s="4" t="s">
        <v>25</v>
      </c>
      <c r="G706" s="4" t="s">
        <v>25</v>
      </c>
      <c r="H706" s="4" t="s">
        <v>25</v>
      </c>
      <c r="I706" s="5">
        <v>44713</v>
      </c>
      <c r="J706" s="6">
        <v>0</v>
      </c>
      <c r="K706" s="6">
        <v>0</v>
      </c>
      <c r="L706" s="6">
        <v>27.57</v>
      </c>
      <c r="M706" s="6">
        <v>27.57</v>
      </c>
      <c r="N706" s="6">
        <v>27.57</v>
      </c>
      <c r="O706" s="6">
        <v>27.57</v>
      </c>
      <c r="P706" s="6">
        <v>12</v>
      </c>
      <c r="Q706" s="4" t="s">
        <v>26</v>
      </c>
      <c r="R706" s="4">
        <v>0</v>
      </c>
      <c r="S706" s="4">
        <v>0</v>
      </c>
      <c r="T706" s="4">
        <v>4</v>
      </c>
      <c r="U706" s="4">
        <v>73</v>
      </c>
      <c r="V706" s="6">
        <f>IF(ISERROR(VLOOKUP($S$706,'TAR FIN'!$A$1:$O$104,15,0)),0,VLOOKUP($S$706,'TAR FIN'!$A$1:$O$104,15,0))</f>
        <v>0</v>
      </c>
      <c r="W706" s="6">
        <f>IF(ISERROR(VLOOKUP($T$706,'TAR FIN'!$A$1:$O$104,15,0)),0,VLOOKUP($T$706,'TAR FIN'!$A$1:$O$104,15,0))</f>
        <v>104.85</v>
      </c>
      <c r="X706" s="6">
        <f>IF(ISERROR(VLOOKUP($U$706,'TAR FIN'!$A$1:$O$104,15,0)),0,VLOOKUP($U$706,'TAR FIN'!$A$1:$O$104,15,0))</f>
        <v>89.5</v>
      </c>
      <c r="Y706" s="6"/>
      <c r="Z706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706" s="6">
        <f>('TE BE'!$AB$14+'TE BF'!$AB$14+'TE CVA'!$AB$14)*(1-CUSTOS!$M$34)</f>
        <v>84.864750954439458</v>
      </c>
      <c r="AB706" s="6">
        <f t="shared" ref="AB706:AB769" si="38">(J706-K706)*V706</f>
        <v>0</v>
      </c>
      <c r="AC706" s="6">
        <f>(L706-M706)*(W706+X706)+($W$784+$X$784-$W$706-$X$706)*(L706)</f>
        <v>9951.1157999999978</v>
      </c>
      <c r="AD706" s="6">
        <f t="shared" ref="AD706:AD769" si="39">(J706-K706)*Y706</f>
        <v>0</v>
      </c>
      <c r="AE706" s="6">
        <f ca="1">(L706-M706)*(Z706+AA706)+($Z$784+$AA$784-$Z$706-$AA$706)*(L706)</f>
        <v>9582.6532078745677</v>
      </c>
      <c r="AF706" s="4" t="s">
        <v>1002</v>
      </c>
    </row>
    <row r="707" spans="1:32" ht="11.25" customHeight="1" x14ac:dyDescent="0.25">
      <c r="A707" s="4" t="s">
        <v>57</v>
      </c>
      <c r="B707" s="4" t="s">
        <v>22</v>
      </c>
      <c r="C707" s="4" t="s">
        <v>23</v>
      </c>
      <c r="D707" s="4" t="s">
        <v>24</v>
      </c>
      <c r="E707" s="4" t="s">
        <v>29</v>
      </c>
      <c r="F707" s="4" t="s">
        <v>25</v>
      </c>
      <c r="G707" s="4" t="s">
        <v>25</v>
      </c>
      <c r="H707" s="4" t="s">
        <v>25</v>
      </c>
      <c r="I707" s="5">
        <v>44743</v>
      </c>
      <c r="J707" s="6">
        <v>0</v>
      </c>
      <c r="K707" s="6">
        <v>0</v>
      </c>
      <c r="L707" s="6">
        <v>13836.76</v>
      </c>
      <c r="M707" s="6">
        <v>13836.76</v>
      </c>
      <c r="N707" s="6">
        <v>13836.76</v>
      </c>
      <c r="O707" s="6">
        <v>13836.76</v>
      </c>
      <c r="P707" s="6">
        <v>48343</v>
      </c>
      <c r="Q707" s="4" t="s">
        <v>26</v>
      </c>
      <c r="R707" s="4">
        <v>0</v>
      </c>
      <c r="S707" s="4">
        <v>0</v>
      </c>
      <c r="T707" s="4">
        <v>4</v>
      </c>
      <c r="U707" s="4">
        <v>73</v>
      </c>
      <c r="V707" s="6">
        <f>IF(ISERROR(VLOOKUP($S$707,'TAR FIN'!$A$1:$O$104,15,0)),0,VLOOKUP($S$707,'TAR FIN'!$A$1:$O$104,15,0))</f>
        <v>0</v>
      </c>
      <c r="W707" s="6">
        <f>IF(ISERROR(VLOOKUP($T$707,'TAR FIN'!$A$1:$O$104,15,0)),0,VLOOKUP($T$707,'TAR FIN'!$A$1:$O$104,15,0))</f>
        <v>104.85</v>
      </c>
      <c r="X707" s="6">
        <f>IF(ISERROR(VLOOKUP($U$707,'TAR FIN'!$A$1:$O$104,15,0)),0,VLOOKUP($U$707,'TAR FIN'!$A$1:$O$104,15,0))</f>
        <v>89.5</v>
      </c>
      <c r="Y707" s="6"/>
      <c r="Z707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707" s="6">
        <f>('TE BE'!$AB$14+'TE BF'!$AB$14+'TE CVA'!$AB$14)*(1-CUSTOS!$M$34)</f>
        <v>84.864750954439458</v>
      </c>
      <c r="AB707" s="6">
        <f t="shared" si="38"/>
        <v>0</v>
      </c>
      <c r="AC707" s="6">
        <f>(L707-M707)*(W707+X707)+($W$784+$X$784-$W$707-$X$707)*(L707)</f>
        <v>4994240.1543999994</v>
      </c>
      <c r="AD707" s="6">
        <f t="shared" si="39"/>
        <v>0</v>
      </c>
      <c r="AE707" s="6">
        <f ca="1">(L707-M707)*(Z707+AA707)+($Z$784+$AA$784-$Z$707-$AA$707)*(L707)</f>
        <v>4809317.1055709282</v>
      </c>
      <c r="AF707" s="4" t="s">
        <v>1002</v>
      </c>
    </row>
    <row r="708" spans="1:32" ht="11.25" customHeight="1" x14ac:dyDescent="0.25">
      <c r="A708" s="4" t="s">
        <v>57</v>
      </c>
      <c r="B708" s="4" t="s">
        <v>22</v>
      </c>
      <c r="C708" s="4" t="s">
        <v>23</v>
      </c>
      <c r="D708" s="4" t="s">
        <v>24</v>
      </c>
      <c r="E708" s="4" t="s">
        <v>29</v>
      </c>
      <c r="F708" s="4" t="s">
        <v>25</v>
      </c>
      <c r="G708" s="4" t="s">
        <v>25</v>
      </c>
      <c r="H708" s="4" t="s">
        <v>25</v>
      </c>
      <c r="I708" s="5">
        <v>44743</v>
      </c>
      <c r="J708" s="6">
        <v>0</v>
      </c>
      <c r="K708" s="6">
        <v>0</v>
      </c>
      <c r="L708" s="6">
        <v>6.5830000000000002</v>
      </c>
      <c r="M708" s="6">
        <v>6.5830000000000002</v>
      </c>
      <c r="N708" s="6">
        <v>6.5830000000000002</v>
      </c>
      <c r="O708" s="6">
        <v>6.5830000000000002</v>
      </c>
      <c r="P708" s="6">
        <v>24</v>
      </c>
      <c r="Q708" s="4" t="s">
        <v>26</v>
      </c>
      <c r="R708" s="4">
        <v>0</v>
      </c>
      <c r="S708" s="4">
        <v>0</v>
      </c>
      <c r="T708" s="4">
        <v>4</v>
      </c>
      <c r="U708" s="4">
        <v>73</v>
      </c>
      <c r="V708" s="6">
        <f>IF(ISERROR(VLOOKUP($S$708,'TAR FIN'!$A$1:$O$104,15,0)),0,VLOOKUP($S$708,'TAR FIN'!$A$1:$O$104,15,0))</f>
        <v>0</v>
      </c>
      <c r="W708" s="6">
        <f>IF(ISERROR(VLOOKUP($T$708,'TAR FIN'!$A$1:$O$104,15,0)),0,VLOOKUP($T$708,'TAR FIN'!$A$1:$O$104,15,0))</f>
        <v>104.85</v>
      </c>
      <c r="X708" s="6">
        <f>IF(ISERROR(VLOOKUP($U$708,'TAR FIN'!$A$1:$O$104,15,0)),0,VLOOKUP($U$708,'TAR FIN'!$A$1:$O$104,15,0))</f>
        <v>89.5</v>
      </c>
      <c r="Y708" s="6"/>
      <c r="Z708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708" s="6">
        <f>('TE BE'!$AB$14+'TE BF'!$AB$14+'TE CVA'!$AB$14)*(1-CUSTOS!$M$34)</f>
        <v>84.864750954439458</v>
      </c>
      <c r="AB708" s="6">
        <f t="shared" si="38"/>
        <v>0</v>
      </c>
      <c r="AC708" s="6">
        <f>(L708-M708)*(W708+X708)+($W$784+$X$784-$W$708-$X$708)*(L708)</f>
        <v>2376.0680199999997</v>
      </c>
      <c r="AD708" s="6">
        <f t="shared" si="39"/>
        <v>0</v>
      </c>
      <c r="AE708" s="6">
        <f ca="1">(L708-M708)*(Z708+AA708)+($Z$784+$AA$784-$Z$708-$AA$708)*(L708)</f>
        <v>2288.0887220688528</v>
      </c>
      <c r="AF708" s="4" t="s">
        <v>1002</v>
      </c>
    </row>
    <row r="709" spans="1:32" ht="11.25" customHeight="1" x14ac:dyDescent="0.25">
      <c r="A709" s="4" t="s">
        <v>57</v>
      </c>
      <c r="B709" s="4" t="s">
        <v>22</v>
      </c>
      <c r="C709" s="4" t="s">
        <v>23</v>
      </c>
      <c r="D709" s="4" t="s">
        <v>24</v>
      </c>
      <c r="E709" s="4" t="s">
        <v>29</v>
      </c>
      <c r="F709" s="4" t="s">
        <v>25</v>
      </c>
      <c r="G709" s="4" t="s">
        <v>25</v>
      </c>
      <c r="H709" s="4" t="s">
        <v>25</v>
      </c>
      <c r="I709" s="5">
        <v>44743</v>
      </c>
      <c r="J709" s="6">
        <v>0</v>
      </c>
      <c r="K709" s="6">
        <v>0</v>
      </c>
      <c r="L709" s="6">
        <v>27.57</v>
      </c>
      <c r="M709" s="6">
        <v>27.57</v>
      </c>
      <c r="N709" s="6">
        <v>27.57</v>
      </c>
      <c r="O709" s="6">
        <v>27.57</v>
      </c>
      <c r="P709" s="6">
        <v>12</v>
      </c>
      <c r="Q709" s="4" t="s">
        <v>26</v>
      </c>
      <c r="R709" s="4">
        <v>0</v>
      </c>
      <c r="S709" s="4">
        <v>0</v>
      </c>
      <c r="T709" s="4">
        <v>4</v>
      </c>
      <c r="U709" s="4">
        <v>73</v>
      </c>
      <c r="V709" s="6">
        <f>IF(ISERROR(VLOOKUP($S$709,'TAR FIN'!$A$1:$O$104,15,0)),0,VLOOKUP($S$709,'TAR FIN'!$A$1:$O$104,15,0))</f>
        <v>0</v>
      </c>
      <c r="W709" s="6">
        <f>IF(ISERROR(VLOOKUP($T$709,'TAR FIN'!$A$1:$O$104,15,0)),0,VLOOKUP($T$709,'TAR FIN'!$A$1:$O$104,15,0))</f>
        <v>104.85</v>
      </c>
      <c r="X709" s="6">
        <f>IF(ISERROR(VLOOKUP($U$709,'TAR FIN'!$A$1:$O$104,15,0)),0,VLOOKUP($U$709,'TAR FIN'!$A$1:$O$104,15,0))</f>
        <v>89.5</v>
      </c>
      <c r="Y709" s="6"/>
      <c r="Z709" s="6">
        <f ca="1">('TUSD BE'!$AM$35+'TUSD BF'!$AM$35+'TUSD CVA'!$AM$35-('TUSD BE'!$P$35+'TUSD BF'!$P$35+'TUSD CVA'!$P$35)-('TUSD BE'!$Q$35+'TUSD BF'!$Q$35+'TUSD CVA'!$Q$35)-('TUSD BE'!$R$35+'TUSD BF'!$R$35+'TUSD CVA'!$R$35))*(1-CUSTOS!$M$34)</f>
        <v>102.29122252599343</v>
      </c>
      <c r="AA709" s="6">
        <f>('TE BE'!$AB$14+'TE BF'!$AB$14+'TE CVA'!$AB$14)*(1-CUSTOS!$M$34)</f>
        <v>84.864750954439458</v>
      </c>
      <c r="AB709" s="6">
        <f t="shared" si="38"/>
        <v>0</v>
      </c>
      <c r="AC709" s="6">
        <f>(L709-M709)*(W709+X709)+($W$784+$X$784-$W$709-$X$709)*(L709)</f>
        <v>9951.1157999999978</v>
      </c>
      <c r="AD709" s="6">
        <f t="shared" si="39"/>
        <v>0</v>
      </c>
      <c r="AE709" s="6">
        <f ca="1">(L709-M709)*(Z709+AA709)+($Z$784+$AA$784-$Z$709-$AA$709)*(L709)</f>
        <v>9582.6532078745677</v>
      </c>
      <c r="AF709" s="4" t="s">
        <v>1002</v>
      </c>
    </row>
    <row r="710" spans="1:32" ht="11.25" customHeight="1" x14ac:dyDescent="0.25">
      <c r="A710" s="4" t="s">
        <v>21</v>
      </c>
      <c r="B710" s="4" t="s">
        <v>22</v>
      </c>
      <c r="C710" s="4" t="s">
        <v>23</v>
      </c>
      <c r="D710" s="4" t="s">
        <v>24</v>
      </c>
      <c r="E710" s="4" t="s">
        <v>30</v>
      </c>
      <c r="F710" s="4" t="s">
        <v>25</v>
      </c>
      <c r="G710" s="4" t="s">
        <v>25</v>
      </c>
      <c r="H710" s="4" t="s">
        <v>25</v>
      </c>
      <c r="I710" s="5">
        <v>44409</v>
      </c>
      <c r="J710" s="6">
        <v>0</v>
      </c>
      <c r="K710" s="6">
        <v>0</v>
      </c>
      <c r="L710" s="6">
        <v>21068.968000000001</v>
      </c>
      <c r="M710" s="6">
        <v>21068.968000000001</v>
      </c>
      <c r="N710" s="6">
        <v>21068.968000000001</v>
      </c>
      <c r="O710" s="6">
        <v>21068.968000000001</v>
      </c>
      <c r="P710" s="6">
        <v>200657</v>
      </c>
      <c r="Q710" s="4" t="s">
        <v>26</v>
      </c>
      <c r="R710" s="4">
        <v>0</v>
      </c>
      <c r="S710" s="4">
        <v>0</v>
      </c>
      <c r="T710" s="4">
        <v>6</v>
      </c>
      <c r="U710" s="4">
        <v>74</v>
      </c>
      <c r="V710" s="6">
        <f>IF(ISERROR(VLOOKUP($S$710,'TAR FIN'!$A$1:$O$104,15,0)),0,VLOOKUP($S$710,'TAR FIN'!$A$1:$O$104,15,0))</f>
        <v>0</v>
      </c>
      <c r="W710" s="6">
        <f>IF(ISERROR(VLOOKUP($T$710,'TAR FIN'!$A$1:$O$104,15,0)),0,VLOOKUP($T$710,'TAR FIN'!$A$1:$O$104,15,0))</f>
        <v>179.74</v>
      </c>
      <c r="X710" s="6">
        <f>IF(ISERROR(VLOOKUP($U$710,'TAR FIN'!$A$1:$O$104,15,0)),0,VLOOKUP($U$710,'TAR FIN'!$A$1:$O$104,15,0))</f>
        <v>153.43</v>
      </c>
      <c r="Y710" s="6"/>
      <c r="Z710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10" s="6">
        <f>('TE BE'!$AB$15+'TE BF'!$AB$15+'TE CVA'!$AB$15)*(1-CUSTOS!$M$35)</f>
        <v>145.48243020761052</v>
      </c>
      <c r="AB710" s="6">
        <f t="shared" si="38"/>
        <v>0</v>
      </c>
      <c r="AC710" s="6">
        <f>(L710-M710)*(W710+X710)+($W$784+$X$784-$W$710-$X$710)*(L710)</f>
        <v>4679839.1721599987</v>
      </c>
      <c r="AD710" s="6">
        <f t="shared" si="39"/>
        <v>0</v>
      </c>
      <c r="AE710" s="6">
        <f ca="1">(L710-M710)*(Z710+AA710)+($Z$784+$AA$784-$Z$710-$AA$710)*(L710)</f>
        <v>4506495.1043063886</v>
      </c>
      <c r="AF710" s="4" t="s">
        <v>1002</v>
      </c>
    </row>
    <row r="711" spans="1:32" ht="11.25" customHeight="1" x14ac:dyDescent="0.25">
      <c r="A711" s="4" t="s">
        <v>27</v>
      </c>
      <c r="B711" s="4" t="s">
        <v>22</v>
      </c>
      <c r="C711" s="4" t="s">
        <v>23</v>
      </c>
      <c r="D711" s="4" t="s">
        <v>24</v>
      </c>
      <c r="E711" s="4" t="s">
        <v>30</v>
      </c>
      <c r="F711" s="4" t="s">
        <v>25</v>
      </c>
      <c r="G711" s="4" t="s">
        <v>25</v>
      </c>
      <c r="H711" s="4" t="s">
        <v>25</v>
      </c>
      <c r="I711" s="5">
        <v>44409</v>
      </c>
      <c r="J711" s="6">
        <v>0</v>
      </c>
      <c r="K711" s="6">
        <v>0</v>
      </c>
      <c r="L711" s="6">
        <v>-3.6280000000000001</v>
      </c>
      <c r="M711" s="6">
        <v>-3.6280000000000001</v>
      </c>
      <c r="N711" s="6">
        <v>-3.6280000000000001</v>
      </c>
      <c r="O711" s="6">
        <v>-3.6280000000000001</v>
      </c>
      <c r="P711" s="6">
        <v>-12</v>
      </c>
      <c r="Q711" s="4" t="s">
        <v>26</v>
      </c>
      <c r="R711" s="4">
        <v>0</v>
      </c>
      <c r="S711" s="4">
        <v>0</v>
      </c>
      <c r="T711" s="4">
        <v>6</v>
      </c>
      <c r="U711" s="4">
        <v>74</v>
      </c>
      <c r="V711" s="6">
        <f>IF(ISERROR(VLOOKUP($S$711,'TAR FIN'!$A$1:$O$104,15,0)),0,VLOOKUP($S$711,'TAR FIN'!$A$1:$O$104,15,0))</f>
        <v>0</v>
      </c>
      <c r="W711" s="6">
        <f>IF(ISERROR(VLOOKUP($T$711,'TAR FIN'!$A$1:$O$104,15,0)),0,VLOOKUP($T$711,'TAR FIN'!$A$1:$O$104,15,0))</f>
        <v>179.74</v>
      </c>
      <c r="X711" s="6">
        <f>IF(ISERROR(VLOOKUP($U$711,'TAR FIN'!$A$1:$O$104,15,0)),0,VLOOKUP($U$711,'TAR FIN'!$A$1:$O$104,15,0))</f>
        <v>153.43</v>
      </c>
      <c r="Y711" s="6"/>
      <c r="Z711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11" s="6">
        <f>('TE BE'!$AB$15+'TE BF'!$AB$15+'TE CVA'!$AB$15)*(1-CUSTOS!$M$35)</f>
        <v>145.48243020761052</v>
      </c>
      <c r="AB711" s="6">
        <f t="shared" si="38"/>
        <v>0</v>
      </c>
      <c r="AC711" s="6">
        <f>(L711-M711)*(W711+X711)+($W$784+$X$784-$W$711-$X$711)*(L711)</f>
        <v>-805.85135999999989</v>
      </c>
      <c r="AD711" s="6">
        <f t="shared" si="39"/>
        <v>0</v>
      </c>
      <c r="AE711" s="6">
        <f ca="1">(L711-M711)*(Z711+AA711)+($Z$784+$AA$784-$Z$711-$AA$711)*(L711)</f>
        <v>-776.0021391851551</v>
      </c>
      <c r="AF711" s="4" t="s">
        <v>1002</v>
      </c>
    </row>
    <row r="712" spans="1:32" ht="11.25" customHeight="1" x14ac:dyDescent="0.25">
      <c r="A712" s="4" t="s">
        <v>28</v>
      </c>
      <c r="B712" s="4" t="s">
        <v>22</v>
      </c>
      <c r="C712" s="4" t="s">
        <v>23</v>
      </c>
      <c r="D712" s="4" t="s">
        <v>24</v>
      </c>
      <c r="E712" s="4" t="s">
        <v>30</v>
      </c>
      <c r="F712" s="4" t="s">
        <v>25</v>
      </c>
      <c r="G712" s="4" t="s">
        <v>25</v>
      </c>
      <c r="H712" s="4" t="s">
        <v>25</v>
      </c>
      <c r="I712" s="5">
        <v>44409</v>
      </c>
      <c r="J712" s="6">
        <v>0</v>
      </c>
      <c r="K712" s="6">
        <v>0</v>
      </c>
      <c r="L712" s="6">
        <v>13.291</v>
      </c>
      <c r="M712" s="6">
        <v>13.291</v>
      </c>
      <c r="N712" s="6">
        <v>13.291</v>
      </c>
      <c r="O712" s="6">
        <v>13.291</v>
      </c>
      <c r="P712" s="6">
        <v>58</v>
      </c>
      <c r="Q712" s="4" t="s">
        <v>26</v>
      </c>
      <c r="R712" s="4">
        <v>0</v>
      </c>
      <c r="S712" s="4">
        <v>0</v>
      </c>
      <c r="T712" s="4">
        <v>6</v>
      </c>
      <c r="U712" s="4">
        <v>74</v>
      </c>
      <c r="V712" s="6">
        <f>IF(ISERROR(VLOOKUP($S$712,'TAR FIN'!$A$1:$O$104,15,0)),0,VLOOKUP($S$712,'TAR FIN'!$A$1:$O$104,15,0))</f>
        <v>0</v>
      </c>
      <c r="W712" s="6">
        <f>IF(ISERROR(VLOOKUP($T$712,'TAR FIN'!$A$1:$O$104,15,0)),0,VLOOKUP($T$712,'TAR FIN'!$A$1:$O$104,15,0))</f>
        <v>179.74</v>
      </c>
      <c r="X712" s="6">
        <f>IF(ISERROR(VLOOKUP($U$712,'TAR FIN'!$A$1:$O$104,15,0)),0,VLOOKUP($U$712,'TAR FIN'!$A$1:$O$104,15,0))</f>
        <v>153.43</v>
      </c>
      <c r="Y712" s="6"/>
      <c r="Z712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12" s="6">
        <f>('TE BE'!$AB$15+'TE BF'!$AB$15+'TE CVA'!$AB$15)*(1-CUSTOS!$M$35)</f>
        <v>145.48243020761052</v>
      </c>
      <c r="AB712" s="6">
        <f t="shared" si="38"/>
        <v>0</v>
      </c>
      <c r="AC712" s="6">
        <f>(L712-M712)*(W712+X712)+($W$784+$X$784-$W$712-$X$712)*(L712)</f>
        <v>2952.1969199999994</v>
      </c>
      <c r="AD712" s="6">
        <f t="shared" si="39"/>
        <v>0</v>
      </c>
      <c r="AE712" s="6">
        <f ca="1">(L712-M712)*(Z712+AA712)+($Z$784+$AA$784-$Z$712-$AA$712)*(L712)</f>
        <v>2842.8457640324959</v>
      </c>
      <c r="AF712" s="4" t="s">
        <v>1002</v>
      </c>
    </row>
    <row r="713" spans="1:32" ht="11.25" customHeight="1" x14ac:dyDescent="0.25">
      <c r="A713" s="4" t="s">
        <v>21</v>
      </c>
      <c r="B713" s="4" t="s">
        <v>22</v>
      </c>
      <c r="C713" s="4" t="s">
        <v>23</v>
      </c>
      <c r="D713" s="4" t="s">
        <v>24</v>
      </c>
      <c r="E713" s="4" t="s">
        <v>30</v>
      </c>
      <c r="F713" s="4" t="s">
        <v>25</v>
      </c>
      <c r="G713" s="4" t="s">
        <v>25</v>
      </c>
      <c r="H713" s="4" t="s">
        <v>25</v>
      </c>
      <c r="I713" s="5">
        <v>44440</v>
      </c>
      <c r="J713" s="6">
        <v>0</v>
      </c>
      <c r="K713" s="6">
        <v>0</v>
      </c>
      <c r="L713" s="6">
        <v>20728.253000000001</v>
      </c>
      <c r="M713" s="6">
        <v>20728.253000000001</v>
      </c>
      <c r="N713" s="6">
        <v>20728.253000000001</v>
      </c>
      <c r="O713" s="6">
        <v>20728.253000000001</v>
      </c>
      <c r="P713" s="6">
        <v>201132</v>
      </c>
      <c r="Q713" s="4" t="s">
        <v>26</v>
      </c>
      <c r="R713" s="4">
        <v>0</v>
      </c>
      <c r="S713" s="4">
        <v>0</v>
      </c>
      <c r="T713" s="4">
        <v>6</v>
      </c>
      <c r="U713" s="4">
        <v>74</v>
      </c>
      <c r="V713" s="6">
        <f>IF(ISERROR(VLOOKUP($S$713,'TAR FIN'!$A$1:$O$104,15,0)),0,VLOOKUP($S$713,'TAR FIN'!$A$1:$O$104,15,0))</f>
        <v>0</v>
      </c>
      <c r="W713" s="6">
        <f>IF(ISERROR(VLOOKUP($T$713,'TAR FIN'!$A$1:$O$104,15,0)),0,VLOOKUP($T$713,'TAR FIN'!$A$1:$O$104,15,0))</f>
        <v>179.74</v>
      </c>
      <c r="X713" s="6">
        <f>IF(ISERROR(VLOOKUP($U$713,'TAR FIN'!$A$1:$O$104,15,0)),0,VLOOKUP($U$713,'TAR FIN'!$A$1:$O$104,15,0))</f>
        <v>153.43</v>
      </c>
      <c r="Y713" s="6"/>
      <c r="Z713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13" s="6">
        <f>('TE BE'!$AB$15+'TE BF'!$AB$15+'TE CVA'!$AB$15)*(1-CUSTOS!$M$35)</f>
        <v>145.48243020761052</v>
      </c>
      <c r="AB713" s="6">
        <f t="shared" si="38"/>
        <v>0</v>
      </c>
      <c r="AC713" s="6">
        <f>(L713-M713)*(W713+X713)+($W$784+$X$784-$W$713-$X$713)*(L713)</f>
        <v>4604159.5563599989</v>
      </c>
      <c r="AD713" s="6">
        <f t="shared" si="39"/>
        <v>0</v>
      </c>
      <c r="AE713" s="6">
        <f ca="1">(L713-M713)*(Z713+AA713)+($Z$784+$AA$784-$Z$713-$AA$713)*(L713)</f>
        <v>4433618.707158519</v>
      </c>
      <c r="AF713" s="4" t="s">
        <v>1002</v>
      </c>
    </row>
    <row r="714" spans="1:32" ht="11.25" customHeight="1" x14ac:dyDescent="0.25">
      <c r="A714" s="4" t="s">
        <v>27</v>
      </c>
      <c r="B714" s="4" t="s">
        <v>22</v>
      </c>
      <c r="C714" s="4" t="s">
        <v>23</v>
      </c>
      <c r="D714" s="4" t="s">
        <v>24</v>
      </c>
      <c r="E714" s="4" t="s">
        <v>30</v>
      </c>
      <c r="F714" s="4" t="s">
        <v>25</v>
      </c>
      <c r="G714" s="4" t="s">
        <v>25</v>
      </c>
      <c r="H714" s="4" t="s">
        <v>25</v>
      </c>
      <c r="I714" s="5">
        <v>44440</v>
      </c>
      <c r="J714" s="6">
        <v>0</v>
      </c>
      <c r="K714" s="6">
        <v>0</v>
      </c>
      <c r="L714" s="6">
        <v>-3.8239999999999998</v>
      </c>
      <c r="M714" s="6">
        <v>-3.8239999999999998</v>
      </c>
      <c r="N714" s="6">
        <v>-3.8239999999999998</v>
      </c>
      <c r="O714" s="6">
        <v>-3.8239999999999998</v>
      </c>
      <c r="P714" s="6">
        <v>-8</v>
      </c>
      <c r="Q714" s="4" t="s">
        <v>26</v>
      </c>
      <c r="R714" s="4">
        <v>0</v>
      </c>
      <c r="S714" s="4">
        <v>0</v>
      </c>
      <c r="T714" s="4">
        <v>6</v>
      </c>
      <c r="U714" s="4">
        <v>74</v>
      </c>
      <c r="V714" s="6">
        <f>IF(ISERROR(VLOOKUP($S$714,'TAR FIN'!$A$1:$O$104,15,0)),0,VLOOKUP($S$714,'TAR FIN'!$A$1:$O$104,15,0))</f>
        <v>0</v>
      </c>
      <c r="W714" s="6">
        <f>IF(ISERROR(VLOOKUP($T$714,'TAR FIN'!$A$1:$O$104,15,0)),0,VLOOKUP($T$714,'TAR FIN'!$A$1:$O$104,15,0))</f>
        <v>179.74</v>
      </c>
      <c r="X714" s="6">
        <f>IF(ISERROR(VLOOKUP($U$714,'TAR FIN'!$A$1:$O$104,15,0)),0,VLOOKUP($U$714,'TAR FIN'!$A$1:$O$104,15,0))</f>
        <v>153.43</v>
      </c>
      <c r="Y714" s="6"/>
      <c r="Z714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14" s="6">
        <f>('TE BE'!$AB$15+'TE BF'!$AB$15+'TE CVA'!$AB$15)*(1-CUSTOS!$M$35)</f>
        <v>145.48243020761052</v>
      </c>
      <c r="AB714" s="6">
        <f t="shared" si="38"/>
        <v>0</v>
      </c>
      <c r="AC714" s="6">
        <f>(L714-M714)*(W714+X714)+($W$784+$X$784-$W$714-$X$714)*(L714)</f>
        <v>-849.38687999999979</v>
      </c>
      <c r="AD714" s="6">
        <f t="shared" si="39"/>
        <v>0</v>
      </c>
      <c r="AE714" s="6">
        <f ca="1">(L714-M714)*(Z714+AA714)+($Z$784+$AA$784-$Z$714-$AA$714)*(L714)</f>
        <v>-817.92507724477196</v>
      </c>
      <c r="AF714" s="4" t="s">
        <v>1002</v>
      </c>
    </row>
    <row r="715" spans="1:32" ht="11.25" customHeight="1" x14ac:dyDescent="0.25">
      <c r="A715" s="4" t="s">
        <v>28</v>
      </c>
      <c r="B715" s="4" t="s">
        <v>22</v>
      </c>
      <c r="C715" s="4" t="s">
        <v>23</v>
      </c>
      <c r="D715" s="4" t="s">
        <v>24</v>
      </c>
      <c r="E715" s="4" t="s">
        <v>30</v>
      </c>
      <c r="F715" s="4" t="s">
        <v>25</v>
      </c>
      <c r="G715" s="4" t="s">
        <v>25</v>
      </c>
      <c r="H715" s="4" t="s">
        <v>25</v>
      </c>
      <c r="I715" s="5">
        <v>44440</v>
      </c>
      <c r="J715" s="6">
        <v>0</v>
      </c>
      <c r="K715" s="6">
        <v>0</v>
      </c>
      <c r="L715" s="6">
        <v>12.747999999999999</v>
      </c>
      <c r="M715" s="6">
        <v>12.747999999999999</v>
      </c>
      <c r="N715" s="6">
        <v>12.747999999999999</v>
      </c>
      <c r="O715" s="6">
        <v>12.747999999999999</v>
      </c>
      <c r="P715" s="6">
        <v>50</v>
      </c>
      <c r="Q715" s="4" t="s">
        <v>26</v>
      </c>
      <c r="R715" s="4">
        <v>0</v>
      </c>
      <c r="S715" s="4">
        <v>0</v>
      </c>
      <c r="T715" s="4">
        <v>6</v>
      </c>
      <c r="U715" s="4">
        <v>74</v>
      </c>
      <c r="V715" s="6">
        <f>IF(ISERROR(VLOOKUP($S$715,'TAR FIN'!$A$1:$O$104,15,0)),0,VLOOKUP($S$715,'TAR FIN'!$A$1:$O$104,15,0))</f>
        <v>0</v>
      </c>
      <c r="W715" s="6">
        <f>IF(ISERROR(VLOOKUP($T$715,'TAR FIN'!$A$1:$O$104,15,0)),0,VLOOKUP($T$715,'TAR FIN'!$A$1:$O$104,15,0))</f>
        <v>179.74</v>
      </c>
      <c r="X715" s="6">
        <f>IF(ISERROR(VLOOKUP($U$715,'TAR FIN'!$A$1:$O$104,15,0)),0,VLOOKUP($U$715,'TAR FIN'!$A$1:$O$104,15,0))</f>
        <v>153.43</v>
      </c>
      <c r="Y715" s="6"/>
      <c r="Z715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15" s="6">
        <f>('TE BE'!$AB$15+'TE BF'!$AB$15+'TE CVA'!$AB$15)*(1-CUSTOS!$M$35)</f>
        <v>145.48243020761052</v>
      </c>
      <c r="AB715" s="6">
        <f t="shared" si="38"/>
        <v>0</v>
      </c>
      <c r="AC715" s="6">
        <f>(L715-M715)*(W715+X715)+($W$784+$X$784-$W$715-$X$715)*(L715)</f>
        <v>2831.585759999999</v>
      </c>
      <c r="AD715" s="6">
        <f t="shared" si="39"/>
        <v>0</v>
      </c>
      <c r="AE715" s="6">
        <f ca="1">(L715-M715)*(Z715+AA715)+($Z$784+$AA$784-$Z$715-$AA$715)*(L715)</f>
        <v>2726.7021142040671</v>
      </c>
      <c r="AF715" s="4" t="s">
        <v>1002</v>
      </c>
    </row>
    <row r="716" spans="1:32" ht="11.25" customHeight="1" x14ac:dyDescent="0.25">
      <c r="A716" s="4" t="s">
        <v>21</v>
      </c>
      <c r="B716" s="4" t="s">
        <v>22</v>
      </c>
      <c r="C716" s="4" t="s">
        <v>23</v>
      </c>
      <c r="D716" s="4" t="s">
        <v>24</v>
      </c>
      <c r="E716" s="4" t="s">
        <v>30</v>
      </c>
      <c r="F716" s="4" t="s">
        <v>25</v>
      </c>
      <c r="G716" s="4" t="s">
        <v>25</v>
      </c>
      <c r="H716" s="4" t="s">
        <v>25</v>
      </c>
      <c r="I716" s="5">
        <v>44470</v>
      </c>
      <c r="J716" s="6">
        <v>0</v>
      </c>
      <c r="K716" s="6">
        <v>0</v>
      </c>
      <c r="L716" s="6">
        <v>21787.931</v>
      </c>
      <c r="M716" s="6">
        <v>21787.931</v>
      </c>
      <c r="N716" s="6">
        <v>21787.931</v>
      </c>
      <c r="O716" s="6">
        <v>21787.931</v>
      </c>
      <c r="P716" s="6">
        <v>188992</v>
      </c>
      <c r="Q716" s="4" t="s">
        <v>26</v>
      </c>
      <c r="R716" s="4">
        <v>0</v>
      </c>
      <c r="S716" s="4">
        <v>0</v>
      </c>
      <c r="T716" s="4">
        <v>6</v>
      </c>
      <c r="U716" s="4">
        <v>74</v>
      </c>
      <c r="V716" s="6">
        <f>IF(ISERROR(VLOOKUP($S$716,'TAR FIN'!$A$1:$O$104,15,0)),0,VLOOKUP($S$716,'TAR FIN'!$A$1:$O$104,15,0))</f>
        <v>0</v>
      </c>
      <c r="W716" s="6">
        <f>IF(ISERROR(VLOOKUP($T$716,'TAR FIN'!$A$1:$O$104,15,0)),0,VLOOKUP($T$716,'TAR FIN'!$A$1:$O$104,15,0))</f>
        <v>179.74</v>
      </c>
      <c r="X716" s="6">
        <f>IF(ISERROR(VLOOKUP($U$716,'TAR FIN'!$A$1:$O$104,15,0)),0,VLOOKUP($U$716,'TAR FIN'!$A$1:$O$104,15,0))</f>
        <v>153.43</v>
      </c>
      <c r="Y716" s="6"/>
      <c r="Z716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16" s="6">
        <f>('TE BE'!$AB$15+'TE BF'!$AB$15+'TE CVA'!$AB$15)*(1-CUSTOS!$M$35)</f>
        <v>145.48243020761052</v>
      </c>
      <c r="AB716" s="6">
        <f t="shared" si="38"/>
        <v>0</v>
      </c>
      <c r="AC716" s="6">
        <f>(L716-M716)*(W716+X716)+($W$784+$X$784-$W$716-$X$716)*(L716)</f>
        <v>4839535.233719999</v>
      </c>
      <c r="AD716" s="6">
        <f t="shared" si="39"/>
        <v>0</v>
      </c>
      <c r="AE716" s="6">
        <f ca="1">(L716-M716)*(Z716+AA716)+($Z$784+$AA$784-$Z$716-$AA$716)*(L716)</f>
        <v>4660275.9273480028</v>
      </c>
      <c r="AF716" s="4" t="s">
        <v>1002</v>
      </c>
    </row>
    <row r="717" spans="1:32" ht="11.25" customHeight="1" x14ac:dyDescent="0.25">
      <c r="A717" s="4" t="s">
        <v>27</v>
      </c>
      <c r="B717" s="4" t="s">
        <v>22</v>
      </c>
      <c r="C717" s="4" t="s">
        <v>23</v>
      </c>
      <c r="D717" s="4" t="s">
        <v>24</v>
      </c>
      <c r="E717" s="4" t="s">
        <v>30</v>
      </c>
      <c r="F717" s="4" t="s">
        <v>25</v>
      </c>
      <c r="G717" s="4" t="s">
        <v>25</v>
      </c>
      <c r="H717" s="4" t="s">
        <v>25</v>
      </c>
      <c r="I717" s="5">
        <v>44470</v>
      </c>
      <c r="J717" s="6">
        <v>0</v>
      </c>
      <c r="K717" s="6">
        <v>0</v>
      </c>
      <c r="L717" s="6">
        <v>-4.6779999999999999</v>
      </c>
      <c r="M717" s="6">
        <v>-4.6779999999999999</v>
      </c>
      <c r="N717" s="6">
        <v>-4.6779999999999999</v>
      </c>
      <c r="O717" s="6">
        <v>-4.6779999999999999</v>
      </c>
      <c r="P717" s="6">
        <v>-8</v>
      </c>
      <c r="Q717" s="4" t="s">
        <v>26</v>
      </c>
      <c r="R717" s="4">
        <v>0</v>
      </c>
      <c r="S717" s="4">
        <v>0</v>
      </c>
      <c r="T717" s="4">
        <v>6</v>
      </c>
      <c r="U717" s="4">
        <v>74</v>
      </c>
      <c r="V717" s="6">
        <f>IF(ISERROR(VLOOKUP($S$717,'TAR FIN'!$A$1:$O$104,15,0)),0,VLOOKUP($S$717,'TAR FIN'!$A$1:$O$104,15,0))</f>
        <v>0</v>
      </c>
      <c r="W717" s="6">
        <f>IF(ISERROR(VLOOKUP($T$717,'TAR FIN'!$A$1:$O$104,15,0)),0,VLOOKUP($T$717,'TAR FIN'!$A$1:$O$104,15,0))</f>
        <v>179.74</v>
      </c>
      <c r="X717" s="6">
        <f>IF(ISERROR(VLOOKUP($U$717,'TAR FIN'!$A$1:$O$104,15,0)),0,VLOOKUP($U$717,'TAR FIN'!$A$1:$O$104,15,0))</f>
        <v>153.43</v>
      </c>
      <c r="Y717" s="6"/>
      <c r="Z717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17" s="6">
        <f>('TE BE'!$AB$15+'TE BF'!$AB$15+'TE CVA'!$AB$15)*(1-CUSTOS!$M$35)</f>
        <v>145.48243020761052</v>
      </c>
      <c r="AB717" s="6">
        <f t="shared" si="38"/>
        <v>0</v>
      </c>
      <c r="AC717" s="6">
        <f>(L717-M717)*(W717+X717)+($W$784+$X$784-$W$717-$X$717)*(L717)</f>
        <v>-1039.0773599999998</v>
      </c>
      <c r="AD717" s="6">
        <f t="shared" si="39"/>
        <v>0</v>
      </c>
      <c r="AE717" s="6">
        <f ca="1">(L717-M717)*(Z717+AA717)+($Z$784+$AA$784-$Z$717-$AA$717)*(L717)</f>
        <v>-1000.5893073616745</v>
      </c>
      <c r="AF717" s="4" t="s">
        <v>1002</v>
      </c>
    </row>
    <row r="718" spans="1:32" ht="11.25" customHeight="1" x14ac:dyDescent="0.25">
      <c r="A718" s="4" t="s">
        <v>28</v>
      </c>
      <c r="B718" s="4" t="s">
        <v>22</v>
      </c>
      <c r="C718" s="4" t="s">
        <v>23</v>
      </c>
      <c r="D718" s="4" t="s">
        <v>24</v>
      </c>
      <c r="E718" s="4" t="s">
        <v>30</v>
      </c>
      <c r="F718" s="4" t="s">
        <v>25</v>
      </c>
      <c r="G718" s="4" t="s">
        <v>25</v>
      </c>
      <c r="H718" s="4" t="s">
        <v>25</v>
      </c>
      <c r="I718" s="5">
        <v>44470</v>
      </c>
      <c r="J718" s="6">
        <v>0</v>
      </c>
      <c r="K718" s="6">
        <v>0</v>
      </c>
      <c r="L718" s="6">
        <v>14.361000000000001</v>
      </c>
      <c r="M718" s="6">
        <v>14.361000000000001</v>
      </c>
      <c r="N718" s="6">
        <v>14.361000000000001</v>
      </c>
      <c r="O718" s="6">
        <v>14.361000000000001</v>
      </c>
      <c r="P718" s="6">
        <v>48</v>
      </c>
      <c r="Q718" s="4" t="s">
        <v>26</v>
      </c>
      <c r="R718" s="4">
        <v>0</v>
      </c>
      <c r="S718" s="4">
        <v>0</v>
      </c>
      <c r="T718" s="4">
        <v>6</v>
      </c>
      <c r="U718" s="4">
        <v>74</v>
      </c>
      <c r="V718" s="6">
        <f>IF(ISERROR(VLOOKUP($S$718,'TAR FIN'!$A$1:$O$104,15,0)),0,VLOOKUP($S$718,'TAR FIN'!$A$1:$O$104,15,0))</f>
        <v>0</v>
      </c>
      <c r="W718" s="6">
        <f>IF(ISERROR(VLOOKUP($T$718,'TAR FIN'!$A$1:$O$104,15,0)),0,VLOOKUP($T$718,'TAR FIN'!$A$1:$O$104,15,0))</f>
        <v>179.74</v>
      </c>
      <c r="X718" s="6">
        <f>IF(ISERROR(VLOOKUP($U$718,'TAR FIN'!$A$1:$O$104,15,0)),0,VLOOKUP($U$718,'TAR FIN'!$A$1:$O$104,15,0))</f>
        <v>153.43</v>
      </c>
      <c r="Y718" s="6"/>
      <c r="Z718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18" s="6">
        <f>('TE BE'!$AB$15+'TE BF'!$AB$15+'TE CVA'!$AB$15)*(1-CUSTOS!$M$35)</f>
        <v>145.48243020761052</v>
      </c>
      <c r="AB718" s="6">
        <f t="shared" si="38"/>
        <v>0</v>
      </c>
      <c r="AC718" s="6">
        <f>(L718-M718)*(W718+X718)+($W$784+$X$784-$W$718-$X$718)*(L718)</f>
        <v>3189.8653199999994</v>
      </c>
      <c r="AD718" s="6">
        <f t="shared" si="39"/>
        <v>0</v>
      </c>
      <c r="AE718" s="6">
        <f ca="1">(L718-M718)*(Z718+AA718)+($Z$784+$AA$784-$Z$718-$AA$718)*(L718)</f>
        <v>3071.7107830314253</v>
      </c>
      <c r="AF718" s="4" t="s">
        <v>1002</v>
      </c>
    </row>
    <row r="719" spans="1:32" ht="11.25" customHeight="1" x14ac:dyDescent="0.25">
      <c r="A719" s="4" t="s">
        <v>21</v>
      </c>
      <c r="B719" s="4" t="s">
        <v>22</v>
      </c>
      <c r="C719" s="4" t="s">
        <v>23</v>
      </c>
      <c r="D719" s="4" t="s">
        <v>24</v>
      </c>
      <c r="E719" s="4" t="s">
        <v>30</v>
      </c>
      <c r="F719" s="4" t="s">
        <v>25</v>
      </c>
      <c r="G719" s="4" t="s">
        <v>25</v>
      </c>
      <c r="H719" s="4" t="s">
        <v>25</v>
      </c>
      <c r="I719" s="5">
        <v>44501</v>
      </c>
      <c r="J719" s="6">
        <v>0</v>
      </c>
      <c r="K719" s="6">
        <v>0</v>
      </c>
      <c r="L719" s="6">
        <v>22162.739000000001</v>
      </c>
      <c r="M719" s="6">
        <v>22162.739000000001</v>
      </c>
      <c r="N719" s="6">
        <v>22162.739000000001</v>
      </c>
      <c r="O719" s="6">
        <v>22162.739000000001</v>
      </c>
      <c r="P719" s="6">
        <v>189824</v>
      </c>
      <c r="Q719" s="4" t="s">
        <v>26</v>
      </c>
      <c r="R719" s="4">
        <v>0</v>
      </c>
      <c r="S719" s="4">
        <v>0</v>
      </c>
      <c r="T719" s="4">
        <v>6</v>
      </c>
      <c r="U719" s="4">
        <v>74</v>
      </c>
      <c r="V719" s="6">
        <f>IF(ISERROR(VLOOKUP($S$719,'TAR FIN'!$A$1:$O$104,15,0)),0,VLOOKUP($S$719,'TAR FIN'!$A$1:$O$104,15,0))</f>
        <v>0</v>
      </c>
      <c r="W719" s="6">
        <f>IF(ISERROR(VLOOKUP($T$719,'TAR FIN'!$A$1:$O$104,15,0)),0,VLOOKUP($T$719,'TAR FIN'!$A$1:$O$104,15,0))</f>
        <v>179.74</v>
      </c>
      <c r="X719" s="6">
        <f>IF(ISERROR(VLOOKUP($U$719,'TAR FIN'!$A$1:$O$104,15,0)),0,VLOOKUP($U$719,'TAR FIN'!$A$1:$O$104,15,0))</f>
        <v>153.43</v>
      </c>
      <c r="Y719" s="6"/>
      <c r="Z719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19" s="6">
        <f>('TE BE'!$AB$15+'TE BF'!$AB$15+'TE CVA'!$AB$15)*(1-CUSTOS!$M$35)</f>
        <v>145.48243020761052</v>
      </c>
      <c r="AB719" s="6">
        <f t="shared" si="38"/>
        <v>0</v>
      </c>
      <c r="AC719" s="6">
        <f>(L719-M719)*(W719+X719)+($W$784+$X$784-$W$719-$X$719)*(L719)</f>
        <v>4922787.5866799988</v>
      </c>
      <c r="AD719" s="6">
        <f t="shared" si="39"/>
        <v>0</v>
      </c>
      <c r="AE719" s="6">
        <f ca="1">(L719-M719)*(Z719+AA719)+($Z$784+$AA$784-$Z$719-$AA$719)*(L719)</f>
        <v>4740444.5629002936</v>
      </c>
      <c r="AF719" s="4" t="s">
        <v>1002</v>
      </c>
    </row>
    <row r="720" spans="1:32" ht="11.25" customHeight="1" x14ac:dyDescent="0.25">
      <c r="A720" s="4" t="s">
        <v>27</v>
      </c>
      <c r="B720" s="4" t="s">
        <v>22</v>
      </c>
      <c r="C720" s="4" t="s">
        <v>23</v>
      </c>
      <c r="D720" s="4" t="s">
        <v>24</v>
      </c>
      <c r="E720" s="4" t="s">
        <v>30</v>
      </c>
      <c r="F720" s="4" t="s">
        <v>25</v>
      </c>
      <c r="G720" s="4" t="s">
        <v>25</v>
      </c>
      <c r="H720" s="4" t="s">
        <v>25</v>
      </c>
      <c r="I720" s="5">
        <v>44501</v>
      </c>
      <c r="J720" s="6">
        <v>0</v>
      </c>
      <c r="K720" s="6">
        <v>0</v>
      </c>
      <c r="L720" s="6">
        <v>-3.3090000000000002</v>
      </c>
      <c r="M720" s="6">
        <v>-3.3090000000000002</v>
      </c>
      <c r="N720" s="6">
        <v>-3.3090000000000002</v>
      </c>
      <c r="O720" s="6">
        <v>-3.3090000000000002</v>
      </c>
      <c r="P720" s="6">
        <v>-5</v>
      </c>
      <c r="Q720" s="4" t="s">
        <v>26</v>
      </c>
      <c r="R720" s="4">
        <v>0</v>
      </c>
      <c r="S720" s="4">
        <v>0</v>
      </c>
      <c r="T720" s="4">
        <v>6</v>
      </c>
      <c r="U720" s="4">
        <v>74</v>
      </c>
      <c r="V720" s="6">
        <f>IF(ISERROR(VLOOKUP($S$720,'TAR FIN'!$A$1:$O$104,15,0)),0,VLOOKUP($S$720,'TAR FIN'!$A$1:$O$104,15,0))</f>
        <v>0</v>
      </c>
      <c r="W720" s="6">
        <f>IF(ISERROR(VLOOKUP($T$720,'TAR FIN'!$A$1:$O$104,15,0)),0,VLOOKUP($T$720,'TAR FIN'!$A$1:$O$104,15,0))</f>
        <v>179.74</v>
      </c>
      <c r="X720" s="6">
        <f>IF(ISERROR(VLOOKUP($U$720,'TAR FIN'!$A$1:$O$104,15,0)),0,VLOOKUP($U$720,'TAR FIN'!$A$1:$O$104,15,0))</f>
        <v>153.43</v>
      </c>
      <c r="Y720" s="6"/>
      <c r="Z720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20" s="6">
        <f>('TE BE'!$AB$15+'TE BF'!$AB$15+'TE CVA'!$AB$15)*(1-CUSTOS!$M$35)</f>
        <v>145.48243020761052</v>
      </c>
      <c r="AB720" s="6">
        <f t="shared" si="38"/>
        <v>0</v>
      </c>
      <c r="AC720" s="6">
        <f>(L720-M720)*(W720+X720)+($W$784+$X$784-$W$720-$X$720)*(L720)</f>
        <v>-734.99507999999992</v>
      </c>
      <c r="AD720" s="6">
        <f t="shared" si="39"/>
        <v>0</v>
      </c>
      <c r="AE720" s="6">
        <f ca="1">(L720-M720)*(Z720+AA720)+($Z$784+$AA$784-$Z$720-$AA$720)*(L720)</f>
        <v>-707.77041856771723</v>
      </c>
      <c r="AF720" s="4" t="s">
        <v>1002</v>
      </c>
    </row>
    <row r="721" spans="1:32" ht="11.25" customHeight="1" x14ac:dyDescent="0.25">
      <c r="A721" s="4" t="s">
        <v>28</v>
      </c>
      <c r="B721" s="4" t="s">
        <v>22</v>
      </c>
      <c r="C721" s="4" t="s">
        <v>23</v>
      </c>
      <c r="D721" s="4" t="s">
        <v>24</v>
      </c>
      <c r="E721" s="4" t="s">
        <v>30</v>
      </c>
      <c r="F721" s="4" t="s">
        <v>25</v>
      </c>
      <c r="G721" s="4" t="s">
        <v>25</v>
      </c>
      <c r="H721" s="4" t="s">
        <v>25</v>
      </c>
      <c r="I721" s="5">
        <v>44501</v>
      </c>
      <c r="J721" s="6">
        <v>0</v>
      </c>
      <c r="K721" s="6">
        <v>0</v>
      </c>
      <c r="L721" s="6">
        <v>15.215</v>
      </c>
      <c r="M721" s="6">
        <v>15.215</v>
      </c>
      <c r="N721" s="6">
        <v>15.215</v>
      </c>
      <c r="O721" s="6">
        <v>15.215</v>
      </c>
      <c r="P721" s="6">
        <v>51</v>
      </c>
      <c r="Q721" s="4" t="s">
        <v>26</v>
      </c>
      <c r="R721" s="4">
        <v>0</v>
      </c>
      <c r="S721" s="4">
        <v>0</v>
      </c>
      <c r="T721" s="4">
        <v>6</v>
      </c>
      <c r="U721" s="4">
        <v>74</v>
      </c>
      <c r="V721" s="6">
        <f>IF(ISERROR(VLOOKUP($S$721,'TAR FIN'!$A$1:$O$104,15,0)),0,VLOOKUP($S$721,'TAR FIN'!$A$1:$O$104,15,0))</f>
        <v>0</v>
      </c>
      <c r="W721" s="6">
        <f>IF(ISERROR(VLOOKUP($T$721,'TAR FIN'!$A$1:$O$104,15,0)),0,VLOOKUP($T$721,'TAR FIN'!$A$1:$O$104,15,0))</f>
        <v>179.74</v>
      </c>
      <c r="X721" s="6">
        <f>IF(ISERROR(VLOOKUP($U$721,'TAR FIN'!$A$1:$O$104,15,0)),0,VLOOKUP($U$721,'TAR FIN'!$A$1:$O$104,15,0))</f>
        <v>153.43</v>
      </c>
      <c r="Y721" s="6"/>
      <c r="Z721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21" s="6">
        <f>('TE BE'!$AB$15+'TE BF'!$AB$15+'TE CVA'!$AB$15)*(1-CUSTOS!$M$35)</f>
        <v>145.48243020761052</v>
      </c>
      <c r="AB721" s="6">
        <f t="shared" si="38"/>
        <v>0</v>
      </c>
      <c r="AC721" s="6">
        <f>(L721-M721)*(W721+X721)+($W$784+$X$784-$W$721-$X$721)*(L721)</f>
        <v>3379.5557999999992</v>
      </c>
      <c r="AD721" s="6">
        <f t="shared" si="39"/>
        <v>0</v>
      </c>
      <c r="AE721" s="6">
        <f ca="1">(L721-M721)*(Z721+AA721)+($Z$784+$AA$784-$Z$721-$AA$721)*(L721)</f>
        <v>3254.375013148328</v>
      </c>
      <c r="AF721" s="4" t="s">
        <v>1002</v>
      </c>
    </row>
    <row r="722" spans="1:32" ht="11.25" customHeight="1" x14ac:dyDescent="0.25">
      <c r="A722" s="4" t="s">
        <v>21</v>
      </c>
      <c r="B722" s="4" t="s">
        <v>22</v>
      </c>
      <c r="C722" s="4" t="s">
        <v>23</v>
      </c>
      <c r="D722" s="4" t="s">
        <v>24</v>
      </c>
      <c r="E722" s="4" t="s">
        <v>30</v>
      </c>
      <c r="F722" s="4" t="s">
        <v>25</v>
      </c>
      <c r="G722" s="4" t="s">
        <v>25</v>
      </c>
      <c r="H722" s="4" t="s">
        <v>25</v>
      </c>
      <c r="I722" s="5">
        <v>44531</v>
      </c>
      <c r="J722" s="6">
        <v>0</v>
      </c>
      <c r="K722" s="6">
        <v>0</v>
      </c>
      <c r="L722" s="6">
        <v>23244.647000000001</v>
      </c>
      <c r="M722" s="6">
        <v>23244.647000000001</v>
      </c>
      <c r="N722" s="6">
        <v>23244.647000000001</v>
      </c>
      <c r="O722" s="6">
        <v>23244.647000000001</v>
      </c>
      <c r="P722" s="6">
        <v>163647</v>
      </c>
      <c r="Q722" s="4" t="s">
        <v>26</v>
      </c>
      <c r="R722" s="4">
        <v>0</v>
      </c>
      <c r="S722" s="4">
        <v>0</v>
      </c>
      <c r="T722" s="4">
        <v>6</v>
      </c>
      <c r="U722" s="4">
        <v>74</v>
      </c>
      <c r="V722" s="6">
        <f>IF(ISERROR(VLOOKUP($S$722,'TAR FIN'!$A$1:$O$104,15,0)),0,VLOOKUP($S$722,'TAR FIN'!$A$1:$O$104,15,0))</f>
        <v>0</v>
      </c>
      <c r="W722" s="6">
        <f>IF(ISERROR(VLOOKUP($T$722,'TAR FIN'!$A$1:$O$104,15,0)),0,VLOOKUP($T$722,'TAR FIN'!$A$1:$O$104,15,0))</f>
        <v>179.74</v>
      </c>
      <c r="X722" s="6">
        <f>IF(ISERROR(VLOOKUP($U$722,'TAR FIN'!$A$1:$O$104,15,0)),0,VLOOKUP($U$722,'TAR FIN'!$A$1:$O$104,15,0))</f>
        <v>153.43</v>
      </c>
      <c r="Y722" s="6"/>
      <c r="Z722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22" s="6">
        <f>('TE BE'!$AB$15+'TE BF'!$AB$15+'TE CVA'!$AB$15)*(1-CUSTOS!$M$35)</f>
        <v>145.48243020761052</v>
      </c>
      <c r="AB722" s="6">
        <f t="shared" si="38"/>
        <v>0</v>
      </c>
      <c r="AC722" s="6">
        <f>(L722-M722)*(W722+X722)+($W$784+$X$784-$W$722-$X$722)*(L722)</f>
        <v>5163100.9916399987</v>
      </c>
      <c r="AD722" s="6">
        <f t="shared" si="39"/>
        <v>0</v>
      </c>
      <c r="AE722" s="6">
        <f ca="1">(L722-M722)*(Z722+AA722)+($Z$784+$AA$784-$Z$722-$AA$722)*(L722)</f>
        <v>4971856.6142788855</v>
      </c>
      <c r="AF722" s="4" t="s">
        <v>1002</v>
      </c>
    </row>
    <row r="723" spans="1:32" ht="11.25" customHeight="1" x14ac:dyDescent="0.25">
      <c r="A723" s="4" t="s">
        <v>27</v>
      </c>
      <c r="B723" s="4" t="s">
        <v>22</v>
      </c>
      <c r="C723" s="4" t="s">
        <v>23</v>
      </c>
      <c r="D723" s="4" t="s">
        <v>24</v>
      </c>
      <c r="E723" s="4" t="s">
        <v>30</v>
      </c>
      <c r="F723" s="4" t="s">
        <v>25</v>
      </c>
      <c r="G723" s="4" t="s">
        <v>25</v>
      </c>
      <c r="H723" s="4" t="s">
        <v>25</v>
      </c>
      <c r="I723" s="5">
        <v>44531</v>
      </c>
      <c r="J723" s="6">
        <v>0</v>
      </c>
      <c r="K723" s="6">
        <v>0</v>
      </c>
      <c r="L723" s="6">
        <v>-2.8319999999999999</v>
      </c>
      <c r="M723" s="6">
        <v>-2.8319999999999999</v>
      </c>
      <c r="N723" s="6">
        <v>-2.8319999999999999</v>
      </c>
      <c r="O723" s="6">
        <v>-2.8319999999999999</v>
      </c>
      <c r="P723" s="6">
        <v>-8</v>
      </c>
      <c r="Q723" s="4" t="s">
        <v>26</v>
      </c>
      <c r="R723" s="4">
        <v>0</v>
      </c>
      <c r="S723" s="4">
        <v>0</v>
      </c>
      <c r="T723" s="4">
        <v>6</v>
      </c>
      <c r="U723" s="4">
        <v>74</v>
      </c>
      <c r="V723" s="6">
        <f>IF(ISERROR(VLOOKUP($S$723,'TAR FIN'!$A$1:$O$104,15,0)),0,VLOOKUP($S$723,'TAR FIN'!$A$1:$O$104,15,0))</f>
        <v>0</v>
      </c>
      <c r="W723" s="6">
        <f>IF(ISERROR(VLOOKUP($T$723,'TAR FIN'!$A$1:$O$104,15,0)),0,VLOOKUP($T$723,'TAR FIN'!$A$1:$O$104,15,0))</f>
        <v>179.74</v>
      </c>
      <c r="X723" s="6">
        <f>IF(ISERROR(VLOOKUP($U$723,'TAR FIN'!$A$1:$O$104,15,0)),0,VLOOKUP($U$723,'TAR FIN'!$A$1:$O$104,15,0))</f>
        <v>153.43</v>
      </c>
      <c r="Y723" s="6"/>
      <c r="Z723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23" s="6">
        <f>('TE BE'!$AB$15+'TE BF'!$AB$15+'TE CVA'!$AB$15)*(1-CUSTOS!$M$35)</f>
        <v>145.48243020761052</v>
      </c>
      <c r="AB723" s="6">
        <f t="shared" si="38"/>
        <v>0</v>
      </c>
      <c r="AC723" s="6">
        <f>(L723-M723)*(W723+X723)+($W$784+$X$784-$W$723-$X$723)*(L723)</f>
        <v>-629.04383999999982</v>
      </c>
      <c r="AD723" s="6">
        <f t="shared" si="39"/>
        <v>0</v>
      </c>
      <c r="AE723" s="6">
        <f ca="1">(L723-M723)*(Z723+AA723)+($Z$784+$AA$784-$Z$723-$AA$723)*(L723)</f>
        <v>-605.74367645324116</v>
      </c>
      <c r="AF723" s="4" t="s">
        <v>1002</v>
      </c>
    </row>
    <row r="724" spans="1:32" ht="11.25" customHeight="1" x14ac:dyDescent="0.25">
      <c r="A724" s="4" t="s">
        <v>28</v>
      </c>
      <c r="B724" s="4" t="s">
        <v>22</v>
      </c>
      <c r="C724" s="4" t="s">
        <v>23</v>
      </c>
      <c r="D724" s="4" t="s">
        <v>24</v>
      </c>
      <c r="E724" s="4" t="s">
        <v>30</v>
      </c>
      <c r="F724" s="4" t="s">
        <v>25</v>
      </c>
      <c r="G724" s="4" t="s">
        <v>25</v>
      </c>
      <c r="H724" s="4" t="s">
        <v>25</v>
      </c>
      <c r="I724" s="5">
        <v>44531</v>
      </c>
      <c r="J724" s="6">
        <v>0</v>
      </c>
      <c r="K724" s="6">
        <v>0</v>
      </c>
      <c r="L724" s="6">
        <v>19.161000000000001</v>
      </c>
      <c r="M724" s="6">
        <v>19.161000000000001</v>
      </c>
      <c r="N724" s="6">
        <v>19.161000000000001</v>
      </c>
      <c r="O724" s="6">
        <v>19.161000000000001</v>
      </c>
      <c r="P724" s="6">
        <v>39</v>
      </c>
      <c r="Q724" s="4" t="s">
        <v>26</v>
      </c>
      <c r="R724" s="4">
        <v>0</v>
      </c>
      <c r="S724" s="4">
        <v>0</v>
      </c>
      <c r="T724" s="4">
        <v>6</v>
      </c>
      <c r="U724" s="4">
        <v>74</v>
      </c>
      <c r="V724" s="6">
        <f>IF(ISERROR(VLOOKUP($S$724,'TAR FIN'!$A$1:$O$104,15,0)),0,VLOOKUP($S$724,'TAR FIN'!$A$1:$O$104,15,0))</f>
        <v>0</v>
      </c>
      <c r="W724" s="6">
        <f>IF(ISERROR(VLOOKUP($T$724,'TAR FIN'!$A$1:$O$104,15,0)),0,VLOOKUP($T$724,'TAR FIN'!$A$1:$O$104,15,0))</f>
        <v>179.74</v>
      </c>
      <c r="X724" s="6">
        <f>IF(ISERROR(VLOOKUP($U$724,'TAR FIN'!$A$1:$O$104,15,0)),0,VLOOKUP($U$724,'TAR FIN'!$A$1:$O$104,15,0))</f>
        <v>153.43</v>
      </c>
      <c r="Y724" s="6"/>
      <c r="Z724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24" s="6">
        <f>('TE BE'!$AB$15+'TE BF'!$AB$15+'TE CVA'!$AB$15)*(1-CUSTOS!$M$35)</f>
        <v>145.48243020761052</v>
      </c>
      <c r="AB724" s="6">
        <f t="shared" si="38"/>
        <v>0</v>
      </c>
      <c r="AC724" s="6">
        <f>(L724-M724)*(W724+X724)+($W$784+$X$784-$W$724-$X$724)*(L724)</f>
        <v>4256.0413199999994</v>
      </c>
      <c r="AD724" s="6">
        <f t="shared" si="39"/>
        <v>0</v>
      </c>
      <c r="AE724" s="6">
        <f ca="1">(L724-M724)*(Z724+AA724)+($Z$784+$AA$784-$Z$724-$AA$724)*(L724)</f>
        <v>4098.3949804098002</v>
      </c>
      <c r="AF724" s="4" t="s">
        <v>1002</v>
      </c>
    </row>
    <row r="725" spans="1:32" ht="11.25" customHeight="1" x14ac:dyDescent="0.25">
      <c r="A725" s="4" t="s">
        <v>21</v>
      </c>
      <c r="B725" s="4" t="s">
        <v>22</v>
      </c>
      <c r="C725" s="4" t="s">
        <v>23</v>
      </c>
      <c r="D725" s="4" t="s">
        <v>24</v>
      </c>
      <c r="E725" s="4" t="s">
        <v>30</v>
      </c>
      <c r="F725" s="4" t="s">
        <v>25</v>
      </c>
      <c r="G725" s="4" t="s">
        <v>25</v>
      </c>
      <c r="H725" s="4" t="s">
        <v>25</v>
      </c>
      <c r="I725" s="5">
        <v>44562</v>
      </c>
      <c r="J725" s="6">
        <v>0</v>
      </c>
      <c r="K725" s="6">
        <v>0</v>
      </c>
      <c r="L725" s="6">
        <v>22506.417000000001</v>
      </c>
      <c r="M725" s="6">
        <v>22506.417000000001</v>
      </c>
      <c r="N725" s="6">
        <v>22506.417000000001</v>
      </c>
      <c r="O725" s="6">
        <v>22506.417000000001</v>
      </c>
      <c r="P725" s="6">
        <v>182803</v>
      </c>
      <c r="Q725" s="4" t="s">
        <v>26</v>
      </c>
      <c r="R725" s="4">
        <v>0</v>
      </c>
      <c r="S725" s="4">
        <v>0</v>
      </c>
      <c r="T725" s="4">
        <v>6</v>
      </c>
      <c r="U725" s="4">
        <v>74</v>
      </c>
      <c r="V725" s="6">
        <f>IF(ISERROR(VLOOKUP($S$725,'TAR FIN'!$A$1:$O$104,15,0)),0,VLOOKUP($S$725,'TAR FIN'!$A$1:$O$104,15,0))</f>
        <v>0</v>
      </c>
      <c r="W725" s="6">
        <f>IF(ISERROR(VLOOKUP($T$725,'TAR FIN'!$A$1:$O$104,15,0)),0,VLOOKUP($T$725,'TAR FIN'!$A$1:$O$104,15,0))</f>
        <v>179.74</v>
      </c>
      <c r="X725" s="6">
        <f>IF(ISERROR(VLOOKUP($U$725,'TAR FIN'!$A$1:$O$104,15,0)),0,VLOOKUP($U$725,'TAR FIN'!$A$1:$O$104,15,0))</f>
        <v>153.43</v>
      </c>
      <c r="Y725" s="6"/>
      <c r="Z725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25" s="6">
        <f>('TE BE'!$AB$15+'TE BF'!$AB$15+'TE CVA'!$AB$15)*(1-CUSTOS!$M$35)</f>
        <v>145.48243020761052</v>
      </c>
      <c r="AB725" s="6">
        <f t="shared" si="38"/>
        <v>0</v>
      </c>
      <c r="AC725" s="6">
        <f>(L725-M725)*(W725+X725)+($W$784+$X$784-$W$725-$X$725)*(L725)</f>
        <v>4999125.3440399989</v>
      </c>
      <c r="AD725" s="6">
        <f t="shared" si="39"/>
        <v>0</v>
      </c>
      <c r="AE725" s="6">
        <f ca="1">(L725-M725)*(Z725+AA725)+($Z$784+$AA$784-$Z$725-$AA$725)*(L725)</f>
        <v>4813954.7236475032</v>
      </c>
      <c r="AF725" s="4" t="s">
        <v>1002</v>
      </c>
    </row>
    <row r="726" spans="1:32" ht="11.25" customHeight="1" x14ac:dyDescent="0.25">
      <c r="A726" s="4" t="s">
        <v>27</v>
      </c>
      <c r="B726" s="4" t="s">
        <v>22</v>
      </c>
      <c r="C726" s="4" t="s">
        <v>23</v>
      </c>
      <c r="D726" s="4" t="s">
        <v>24</v>
      </c>
      <c r="E726" s="4" t="s">
        <v>30</v>
      </c>
      <c r="F726" s="4" t="s">
        <v>25</v>
      </c>
      <c r="G726" s="4" t="s">
        <v>25</v>
      </c>
      <c r="H726" s="4" t="s">
        <v>25</v>
      </c>
      <c r="I726" s="5">
        <v>44562</v>
      </c>
      <c r="J726" s="6">
        <v>0</v>
      </c>
      <c r="K726" s="6">
        <v>0</v>
      </c>
      <c r="L726" s="6">
        <v>-3.6040000000000001</v>
      </c>
      <c r="M726" s="6">
        <v>-3.6040000000000001</v>
      </c>
      <c r="N726" s="6">
        <v>-3.6040000000000001</v>
      </c>
      <c r="O726" s="6">
        <v>-3.6040000000000001</v>
      </c>
      <c r="P726" s="6">
        <v>-9</v>
      </c>
      <c r="Q726" s="4" t="s">
        <v>26</v>
      </c>
      <c r="R726" s="4">
        <v>0</v>
      </c>
      <c r="S726" s="4">
        <v>0</v>
      </c>
      <c r="T726" s="4">
        <v>6</v>
      </c>
      <c r="U726" s="4">
        <v>74</v>
      </c>
      <c r="V726" s="6">
        <f>IF(ISERROR(VLOOKUP($S$726,'TAR FIN'!$A$1:$O$104,15,0)),0,VLOOKUP($S$726,'TAR FIN'!$A$1:$O$104,15,0))</f>
        <v>0</v>
      </c>
      <c r="W726" s="6">
        <f>IF(ISERROR(VLOOKUP($T$726,'TAR FIN'!$A$1:$O$104,15,0)),0,VLOOKUP($T$726,'TAR FIN'!$A$1:$O$104,15,0))</f>
        <v>179.74</v>
      </c>
      <c r="X726" s="6">
        <f>IF(ISERROR(VLOOKUP($U$726,'TAR FIN'!$A$1:$O$104,15,0)),0,VLOOKUP($U$726,'TAR FIN'!$A$1:$O$104,15,0))</f>
        <v>153.43</v>
      </c>
      <c r="Y726" s="6"/>
      <c r="Z726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26" s="6">
        <f>('TE BE'!$AB$15+'TE BF'!$AB$15+'TE CVA'!$AB$15)*(1-CUSTOS!$M$35)</f>
        <v>145.48243020761052</v>
      </c>
      <c r="AB726" s="6">
        <f t="shared" si="38"/>
        <v>0</v>
      </c>
      <c r="AC726" s="6">
        <f>(L726-M726)*(W726+X726)+($W$784+$X$784-$W$726-$X$726)*(L726)</f>
        <v>-800.52047999999979</v>
      </c>
      <c r="AD726" s="6">
        <f t="shared" si="39"/>
        <v>0</v>
      </c>
      <c r="AE726" s="6">
        <f ca="1">(L726-M726)*(Z726+AA726)+($Z$784+$AA$784-$Z$726-$AA$726)*(L726)</f>
        <v>-770.8687181982632</v>
      </c>
      <c r="AF726" s="4" t="s">
        <v>1002</v>
      </c>
    </row>
    <row r="727" spans="1:32" ht="11.25" customHeight="1" x14ac:dyDescent="0.25">
      <c r="A727" s="4" t="s">
        <v>28</v>
      </c>
      <c r="B727" s="4" t="s">
        <v>22</v>
      </c>
      <c r="C727" s="4" t="s">
        <v>23</v>
      </c>
      <c r="D727" s="4" t="s">
        <v>24</v>
      </c>
      <c r="E727" s="4" t="s">
        <v>30</v>
      </c>
      <c r="F727" s="4" t="s">
        <v>25</v>
      </c>
      <c r="G727" s="4" t="s">
        <v>25</v>
      </c>
      <c r="H727" s="4" t="s">
        <v>25</v>
      </c>
      <c r="I727" s="5">
        <v>44562</v>
      </c>
      <c r="J727" s="6">
        <v>0</v>
      </c>
      <c r="K727" s="6">
        <v>0</v>
      </c>
      <c r="L727" s="6">
        <v>19.314</v>
      </c>
      <c r="M727" s="6">
        <v>19.314</v>
      </c>
      <c r="N727" s="6">
        <v>19.314</v>
      </c>
      <c r="O727" s="6">
        <v>19.314</v>
      </c>
      <c r="P727" s="6">
        <v>58</v>
      </c>
      <c r="Q727" s="4" t="s">
        <v>26</v>
      </c>
      <c r="R727" s="4">
        <v>0</v>
      </c>
      <c r="S727" s="4">
        <v>0</v>
      </c>
      <c r="T727" s="4">
        <v>6</v>
      </c>
      <c r="U727" s="4">
        <v>74</v>
      </c>
      <c r="V727" s="6">
        <f>IF(ISERROR(VLOOKUP($S$727,'TAR FIN'!$A$1:$O$104,15,0)),0,VLOOKUP($S$727,'TAR FIN'!$A$1:$O$104,15,0))</f>
        <v>0</v>
      </c>
      <c r="W727" s="6">
        <f>IF(ISERROR(VLOOKUP($T$727,'TAR FIN'!$A$1:$O$104,15,0)),0,VLOOKUP($T$727,'TAR FIN'!$A$1:$O$104,15,0))</f>
        <v>179.74</v>
      </c>
      <c r="X727" s="6">
        <f>IF(ISERROR(VLOOKUP($U$727,'TAR FIN'!$A$1:$O$104,15,0)),0,VLOOKUP($U$727,'TAR FIN'!$A$1:$O$104,15,0))</f>
        <v>153.43</v>
      </c>
      <c r="Y727" s="6"/>
      <c r="Z727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27" s="6">
        <f>('TE BE'!$AB$15+'TE BF'!$AB$15+'TE CVA'!$AB$15)*(1-CUSTOS!$M$35)</f>
        <v>145.48243020761052</v>
      </c>
      <c r="AB727" s="6">
        <f t="shared" si="38"/>
        <v>0</v>
      </c>
      <c r="AC727" s="6">
        <f>(L727-M727)*(W727+X727)+($W$784+$X$784-$W$727-$X$727)*(L727)</f>
        <v>4290.0256799999988</v>
      </c>
      <c r="AD727" s="6">
        <f t="shared" si="39"/>
        <v>0</v>
      </c>
      <c r="AE727" s="6">
        <f ca="1">(L727-M727)*(Z727+AA727)+($Z$784+$AA$784-$Z$727-$AA$727)*(L727)</f>
        <v>4131.1205392012362</v>
      </c>
      <c r="AF727" s="4" t="s">
        <v>1002</v>
      </c>
    </row>
    <row r="728" spans="1:32" ht="11.25" customHeight="1" x14ac:dyDescent="0.25">
      <c r="A728" s="4" t="s">
        <v>28</v>
      </c>
      <c r="B728" s="4" t="s">
        <v>22</v>
      </c>
      <c r="C728" s="4" t="s">
        <v>23</v>
      </c>
      <c r="D728" s="4" t="s">
        <v>24</v>
      </c>
      <c r="E728" s="4" t="s">
        <v>30</v>
      </c>
      <c r="F728" s="4" t="s">
        <v>25</v>
      </c>
      <c r="G728" s="4" t="s">
        <v>25</v>
      </c>
      <c r="H728" s="4" t="s">
        <v>25</v>
      </c>
      <c r="I728" s="5">
        <v>44562</v>
      </c>
      <c r="J728" s="6">
        <v>0</v>
      </c>
      <c r="K728" s="6">
        <v>0</v>
      </c>
      <c r="L728" s="6">
        <v>-7.0000000000000007E-2</v>
      </c>
      <c r="M728" s="6">
        <v>-7.0000000000000007E-2</v>
      </c>
      <c r="N728" s="6">
        <v>-7.0000000000000007E-2</v>
      </c>
      <c r="O728" s="6">
        <v>-7.0000000000000007E-2</v>
      </c>
      <c r="P728" s="6">
        <v>0</v>
      </c>
      <c r="Q728" s="4" t="s">
        <v>26</v>
      </c>
      <c r="R728" s="4">
        <v>0</v>
      </c>
      <c r="S728" s="4">
        <v>0</v>
      </c>
      <c r="T728" s="4">
        <v>6</v>
      </c>
      <c r="U728" s="4">
        <v>74</v>
      </c>
      <c r="V728" s="6">
        <f>IF(ISERROR(VLOOKUP($S$728,'TAR FIN'!$A$1:$O$104,15,0)),0,VLOOKUP($S$728,'TAR FIN'!$A$1:$O$104,15,0))</f>
        <v>0</v>
      </c>
      <c r="W728" s="6">
        <f>IF(ISERROR(VLOOKUP($T$728,'TAR FIN'!$A$1:$O$104,15,0)),0,VLOOKUP($T$728,'TAR FIN'!$A$1:$O$104,15,0))</f>
        <v>179.74</v>
      </c>
      <c r="X728" s="6">
        <f>IF(ISERROR(VLOOKUP($U$728,'TAR FIN'!$A$1:$O$104,15,0)),0,VLOOKUP($U$728,'TAR FIN'!$A$1:$O$104,15,0))</f>
        <v>153.43</v>
      </c>
      <c r="Y728" s="6"/>
      <c r="Z728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28" s="6">
        <f>('TE BE'!$AB$15+'TE BF'!$AB$15+'TE CVA'!$AB$15)*(1-CUSTOS!$M$35)</f>
        <v>145.48243020761052</v>
      </c>
      <c r="AB728" s="6">
        <f t="shared" si="38"/>
        <v>0</v>
      </c>
      <c r="AC728" s="6">
        <f>(L728-M728)*(W728+X728)+($W$784+$X$784-$W$728-$X$728)*(L728)</f>
        <v>-15.548399999999997</v>
      </c>
      <c r="AD728" s="6">
        <f t="shared" si="39"/>
        <v>0</v>
      </c>
      <c r="AE728" s="6">
        <f ca="1">(L728-M728)*(Z728+AA728)+($Z$784+$AA$784-$Z$728-$AA$728)*(L728)</f>
        <v>-14.972477878434635</v>
      </c>
      <c r="AF728" s="4" t="s">
        <v>1002</v>
      </c>
    </row>
    <row r="729" spans="1:32" ht="11.25" customHeight="1" x14ac:dyDescent="0.25">
      <c r="A729" s="4" t="s">
        <v>21</v>
      </c>
      <c r="B729" s="4" t="s">
        <v>22</v>
      </c>
      <c r="C729" s="4" t="s">
        <v>23</v>
      </c>
      <c r="D729" s="4" t="s">
        <v>24</v>
      </c>
      <c r="E729" s="4" t="s">
        <v>30</v>
      </c>
      <c r="F729" s="4" t="s">
        <v>25</v>
      </c>
      <c r="G729" s="4" t="s">
        <v>25</v>
      </c>
      <c r="H729" s="4" t="s">
        <v>25</v>
      </c>
      <c r="I729" s="5">
        <v>44593</v>
      </c>
      <c r="J729" s="6">
        <v>0</v>
      </c>
      <c r="K729" s="6">
        <v>0</v>
      </c>
      <c r="L729" s="6">
        <v>21989.413</v>
      </c>
      <c r="M729" s="6">
        <v>21989.413</v>
      </c>
      <c r="N729" s="6">
        <v>21989.413</v>
      </c>
      <c r="O729" s="6">
        <v>21989.413</v>
      </c>
      <c r="P729" s="6">
        <v>205753</v>
      </c>
      <c r="Q729" s="4" t="s">
        <v>26</v>
      </c>
      <c r="R729" s="4">
        <v>0</v>
      </c>
      <c r="S729" s="4">
        <v>0</v>
      </c>
      <c r="T729" s="4">
        <v>6</v>
      </c>
      <c r="U729" s="4">
        <v>74</v>
      </c>
      <c r="V729" s="6">
        <f>IF(ISERROR(VLOOKUP($S$729,'TAR FIN'!$A$1:$O$104,15,0)),0,VLOOKUP($S$729,'TAR FIN'!$A$1:$O$104,15,0))</f>
        <v>0</v>
      </c>
      <c r="W729" s="6">
        <f>IF(ISERROR(VLOOKUP($T$729,'TAR FIN'!$A$1:$O$104,15,0)),0,VLOOKUP($T$729,'TAR FIN'!$A$1:$O$104,15,0))</f>
        <v>179.74</v>
      </c>
      <c r="X729" s="6">
        <f>IF(ISERROR(VLOOKUP($U$729,'TAR FIN'!$A$1:$O$104,15,0)),0,VLOOKUP($U$729,'TAR FIN'!$A$1:$O$104,15,0))</f>
        <v>153.43</v>
      </c>
      <c r="Y729" s="6"/>
      <c r="Z729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29" s="6">
        <f>('TE BE'!$AB$15+'TE BF'!$AB$15+'TE CVA'!$AB$15)*(1-CUSTOS!$M$35)</f>
        <v>145.48243020761052</v>
      </c>
      <c r="AB729" s="6">
        <f t="shared" si="38"/>
        <v>0</v>
      </c>
      <c r="AC729" s="6">
        <f>(L729-M729)*(W729+X729)+($W$784+$X$784-$W$729-$X$729)*(L729)</f>
        <v>4884288.4155599987</v>
      </c>
      <c r="AD729" s="6">
        <f t="shared" si="39"/>
        <v>0</v>
      </c>
      <c r="AE729" s="6">
        <f ca="1">(L729-M729)*(Z729+AA729)+($Z$784+$AA$784-$Z$729-$AA$729)*(L729)</f>
        <v>4703371.4243180426</v>
      </c>
      <c r="AF729" s="4" t="s">
        <v>1002</v>
      </c>
    </row>
    <row r="730" spans="1:32" ht="11.25" customHeight="1" x14ac:dyDescent="0.25">
      <c r="A730" s="4" t="s">
        <v>27</v>
      </c>
      <c r="B730" s="4" t="s">
        <v>22</v>
      </c>
      <c r="C730" s="4" t="s">
        <v>23</v>
      </c>
      <c r="D730" s="4" t="s">
        <v>24</v>
      </c>
      <c r="E730" s="4" t="s">
        <v>30</v>
      </c>
      <c r="F730" s="4" t="s">
        <v>25</v>
      </c>
      <c r="G730" s="4" t="s">
        <v>25</v>
      </c>
      <c r="H730" s="4" t="s">
        <v>25</v>
      </c>
      <c r="I730" s="5">
        <v>44593</v>
      </c>
      <c r="J730" s="6">
        <v>0</v>
      </c>
      <c r="K730" s="6">
        <v>0</v>
      </c>
      <c r="L730" s="6">
        <v>-5.3319999999999999</v>
      </c>
      <c r="M730" s="6">
        <v>-5.3319999999999999</v>
      </c>
      <c r="N730" s="6">
        <v>-5.3319999999999999</v>
      </c>
      <c r="O730" s="6">
        <v>-5.3319999999999999</v>
      </c>
      <c r="P730" s="6">
        <v>-10</v>
      </c>
      <c r="Q730" s="4" t="s">
        <v>26</v>
      </c>
      <c r="R730" s="4">
        <v>0</v>
      </c>
      <c r="S730" s="4">
        <v>0</v>
      </c>
      <c r="T730" s="4">
        <v>6</v>
      </c>
      <c r="U730" s="4">
        <v>74</v>
      </c>
      <c r="V730" s="6">
        <f>IF(ISERROR(VLOOKUP($S$730,'TAR FIN'!$A$1:$O$104,15,0)),0,VLOOKUP($S$730,'TAR FIN'!$A$1:$O$104,15,0))</f>
        <v>0</v>
      </c>
      <c r="W730" s="6">
        <f>IF(ISERROR(VLOOKUP($T$730,'TAR FIN'!$A$1:$O$104,15,0)),0,VLOOKUP($T$730,'TAR FIN'!$A$1:$O$104,15,0))</f>
        <v>179.74</v>
      </c>
      <c r="X730" s="6">
        <f>IF(ISERROR(VLOOKUP($U$730,'TAR FIN'!$A$1:$O$104,15,0)),0,VLOOKUP($U$730,'TAR FIN'!$A$1:$O$104,15,0))</f>
        <v>153.43</v>
      </c>
      <c r="Y730" s="6"/>
      <c r="Z730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30" s="6">
        <f>('TE BE'!$AB$15+'TE BF'!$AB$15+'TE CVA'!$AB$15)*(1-CUSTOS!$M$35)</f>
        <v>145.48243020761052</v>
      </c>
      <c r="AB730" s="6">
        <f t="shared" si="38"/>
        <v>0</v>
      </c>
      <c r="AC730" s="6">
        <f>(L730-M730)*(W730+X730)+($W$784+$X$784-$W$730-$X$730)*(L730)</f>
        <v>-1184.3438399999998</v>
      </c>
      <c r="AD730" s="6">
        <f t="shared" si="39"/>
        <v>0</v>
      </c>
      <c r="AE730" s="6">
        <f ca="1">(L730-M730)*(Z730+AA730)+($Z$784+$AA$784-$Z$730-$AA$730)*(L730)</f>
        <v>-1140.4750292544782</v>
      </c>
      <c r="AF730" s="4" t="s">
        <v>1002</v>
      </c>
    </row>
    <row r="731" spans="1:32" ht="11.25" customHeight="1" x14ac:dyDescent="0.25">
      <c r="A731" s="4" t="s">
        <v>28</v>
      </c>
      <c r="B731" s="4" t="s">
        <v>22</v>
      </c>
      <c r="C731" s="4" t="s">
        <v>23</v>
      </c>
      <c r="D731" s="4" t="s">
        <v>24</v>
      </c>
      <c r="E731" s="4" t="s">
        <v>30</v>
      </c>
      <c r="F731" s="4" t="s">
        <v>25</v>
      </c>
      <c r="G731" s="4" t="s">
        <v>25</v>
      </c>
      <c r="H731" s="4" t="s">
        <v>25</v>
      </c>
      <c r="I731" s="5">
        <v>44593</v>
      </c>
      <c r="J731" s="6">
        <v>0</v>
      </c>
      <c r="K731" s="6">
        <v>0</v>
      </c>
      <c r="L731" s="6">
        <v>18.664999999999999</v>
      </c>
      <c r="M731" s="6">
        <v>18.664999999999999</v>
      </c>
      <c r="N731" s="6">
        <v>18.664999999999999</v>
      </c>
      <c r="O731" s="6">
        <v>18.664999999999999</v>
      </c>
      <c r="P731" s="6">
        <v>70</v>
      </c>
      <c r="Q731" s="4" t="s">
        <v>26</v>
      </c>
      <c r="R731" s="4">
        <v>0</v>
      </c>
      <c r="S731" s="4">
        <v>0</v>
      </c>
      <c r="T731" s="4">
        <v>6</v>
      </c>
      <c r="U731" s="4">
        <v>74</v>
      </c>
      <c r="V731" s="6">
        <f>IF(ISERROR(VLOOKUP($S$731,'TAR FIN'!$A$1:$O$104,15,0)),0,VLOOKUP($S$731,'TAR FIN'!$A$1:$O$104,15,0))</f>
        <v>0</v>
      </c>
      <c r="W731" s="6">
        <f>IF(ISERROR(VLOOKUP($T$731,'TAR FIN'!$A$1:$O$104,15,0)),0,VLOOKUP($T$731,'TAR FIN'!$A$1:$O$104,15,0))</f>
        <v>179.74</v>
      </c>
      <c r="X731" s="6">
        <f>IF(ISERROR(VLOOKUP($U$731,'TAR FIN'!$A$1:$O$104,15,0)),0,VLOOKUP($U$731,'TAR FIN'!$A$1:$O$104,15,0))</f>
        <v>153.43</v>
      </c>
      <c r="Y731" s="6"/>
      <c r="Z731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31" s="6">
        <f>('TE BE'!$AB$15+'TE BF'!$AB$15+'TE CVA'!$AB$15)*(1-CUSTOS!$M$35)</f>
        <v>145.48243020761052</v>
      </c>
      <c r="AB731" s="6">
        <f t="shared" si="38"/>
        <v>0</v>
      </c>
      <c r="AC731" s="6">
        <f>(L731-M731)*(W731+X731)+($W$784+$X$784-$W$731-$X$731)*(L731)</f>
        <v>4145.8697999999986</v>
      </c>
      <c r="AD731" s="6">
        <f t="shared" si="39"/>
        <v>0</v>
      </c>
      <c r="AE731" s="6">
        <f ca="1">(L731-M731)*(Z731+AA731)+($Z$784+$AA$784-$Z$731-$AA$731)*(L731)</f>
        <v>3992.3042800140347</v>
      </c>
      <c r="AF731" s="4" t="s">
        <v>1002</v>
      </c>
    </row>
    <row r="732" spans="1:32" ht="11.25" customHeight="1" x14ac:dyDescent="0.25">
      <c r="A732" s="4" t="s">
        <v>21</v>
      </c>
      <c r="B732" s="4" t="s">
        <v>22</v>
      </c>
      <c r="C732" s="4" t="s">
        <v>23</v>
      </c>
      <c r="D732" s="4" t="s">
        <v>24</v>
      </c>
      <c r="E732" s="4" t="s">
        <v>30</v>
      </c>
      <c r="F732" s="4" t="s">
        <v>25</v>
      </c>
      <c r="G732" s="4" t="s">
        <v>25</v>
      </c>
      <c r="H732" s="4" t="s">
        <v>25</v>
      </c>
      <c r="I732" s="5">
        <v>44621</v>
      </c>
      <c r="J732" s="6">
        <v>0</v>
      </c>
      <c r="K732" s="6">
        <v>0</v>
      </c>
      <c r="L732" s="6">
        <v>24009.078000000001</v>
      </c>
      <c r="M732" s="6">
        <v>24009.078000000001</v>
      </c>
      <c r="N732" s="6">
        <v>24009.078000000001</v>
      </c>
      <c r="O732" s="6">
        <v>24009.078000000001</v>
      </c>
      <c r="P732" s="6">
        <v>175797</v>
      </c>
      <c r="Q732" s="4" t="s">
        <v>26</v>
      </c>
      <c r="R732" s="4">
        <v>0</v>
      </c>
      <c r="S732" s="4">
        <v>0</v>
      </c>
      <c r="T732" s="4">
        <v>6</v>
      </c>
      <c r="U732" s="4">
        <v>74</v>
      </c>
      <c r="V732" s="6">
        <f>IF(ISERROR(VLOOKUP($S$732,'TAR FIN'!$A$1:$O$104,15,0)),0,VLOOKUP($S$732,'TAR FIN'!$A$1:$O$104,15,0))</f>
        <v>0</v>
      </c>
      <c r="W732" s="6">
        <f>IF(ISERROR(VLOOKUP($T$732,'TAR FIN'!$A$1:$O$104,15,0)),0,VLOOKUP($T$732,'TAR FIN'!$A$1:$O$104,15,0))</f>
        <v>179.74</v>
      </c>
      <c r="X732" s="6">
        <f>IF(ISERROR(VLOOKUP($U$732,'TAR FIN'!$A$1:$O$104,15,0)),0,VLOOKUP($U$732,'TAR FIN'!$A$1:$O$104,15,0))</f>
        <v>153.43</v>
      </c>
      <c r="Y732" s="6"/>
      <c r="Z732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32" s="6">
        <f>('TE BE'!$AB$15+'TE BF'!$AB$15+'TE CVA'!$AB$15)*(1-CUSTOS!$M$35)</f>
        <v>145.48243020761052</v>
      </c>
      <c r="AB732" s="6">
        <f t="shared" si="38"/>
        <v>0</v>
      </c>
      <c r="AC732" s="6">
        <f>(L732-M732)*(W732+X732)+($W$784+$X$784-$W$732-$X$732)*(L732)</f>
        <v>5332896.4053599993</v>
      </c>
      <c r="AD732" s="6">
        <f t="shared" si="39"/>
        <v>0</v>
      </c>
      <c r="AE732" s="6">
        <f ca="1">(L732-M732)*(Z732+AA732)+($Z$784+$AA$784-$Z$732-$AA$732)*(L732)</f>
        <v>5135362.7033801666</v>
      </c>
      <c r="AF732" s="4" t="s">
        <v>1002</v>
      </c>
    </row>
    <row r="733" spans="1:32" ht="11.25" customHeight="1" x14ac:dyDescent="0.25">
      <c r="A733" s="4" t="s">
        <v>27</v>
      </c>
      <c r="B733" s="4" t="s">
        <v>22</v>
      </c>
      <c r="C733" s="4" t="s">
        <v>23</v>
      </c>
      <c r="D733" s="4" t="s">
        <v>24</v>
      </c>
      <c r="E733" s="4" t="s">
        <v>30</v>
      </c>
      <c r="F733" s="4" t="s">
        <v>25</v>
      </c>
      <c r="G733" s="4" t="s">
        <v>25</v>
      </c>
      <c r="H733" s="4" t="s">
        <v>25</v>
      </c>
      <c r="I733" s="5">
        <v>44621</v>
      </c>
      <c r="J733" s="6">
        <v>0</v>
      </c>
      <c r="K733" s="6">
        <v>0</v>
      </c>
      <c r="L733" s="6">
        <v>-2.8959999999999999</v>
      </c>
      <c r="M733" s="6">
        <v>-2.8959999999999999</v>
      </c>
      <c r="N733" s="6">
        <v>-2.8959999999999999</v>
      </c>
      <c r="O733" s="6">
        <v>-2.8959999999999999</v>
      </c>
      <c r="P733" s="6">
        <v>-7</v>
      </c>
      <c r="Q733" s="4" t="s">
        <v>26</v>
      </c>
      <c r="R733" s="4">
        <v>0</v>
      </c>
      <c r="S733" s="4">
        <v>0</v>
      </c>
      <c r="T733" s="4">
        <v>6</v>
      </c>
      <c r="U733" s="4">
        <v>74</v>
      </c>
      <c r="V733" s="6">
        <f>IF(ISERROR(VLOOKUP($S$733,'TAR FIN'!$A$1:$O$104,15,0)),0,VLOOKUP($S$733,'TAR FIN'!$A$1:$O$104,15,0))</f>
        <v>0</v>
      </c>
      <c r="W733" s="6">
        <f>IF(ISERROR(VLOOKUP($T$733,'TAR FIN'!$A$1:$O$104,15,0)),0,VLOOKUP($T$733,'TAR FIN'!$A$1:$O$104,15,0))</f>
        <v>179.74</v>
      </c>
      <c r="X733" s="6">
        <f>IF(ISERROR(VLOOKUP($U$733,'TAR FIN'!$A$1:$O$104,15,0)),0,VLOOKUP($U$733,'TAR FIN'!$A$1:$O$104,15,0))</f>
        <v>153.43</v>
      </c>
      <c r="Y733" s="6"/>
      <c r="Z733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33" s="6">
        <f>('TE BE'!$AB$15+'TE BF'!$AB$15+'TE CVA'!$AB$15)*(1-CUSTOS!$M$35)</f>
        <v>145.48243020761052</v>
      </c>
      <c r="AB733" s="6">
        <f t="shared" si="38"/>
        <v>0</v>
      </c>
      <c r="AC733" s="6">
        <f>(L733-M733)*(W733+X733)+($W$784+$X$784-$W$733-$X$733)*(L733)</f>
        <v>-643.25951999999984</v>
      </c>
      <c r="AD733" s="6">
        <f t="shared" si="39"/>
        <v>0</v>
      </c>
      <c r="AE733" s="6">
        <f ca="1">(L733-M733)*(Z733+AA733)+($Z$784+$AA$784-$Z$733-$AA$733)*(L733)</f>
        <v>-619.43279908495288</v>
      </c>
      <c r="AF733" s="4" t="s">
        <v>1002</v>
      </c>
    </row>
    <row r="734" spans="1:32" ht="11.25" customHeight="1" x14ac:dyDescent="0.25">
      <c r="A734" s="4" t="s">
        <v>28</v>
      </c>
      <c r="B734" s="4" t="s">
        <v>22</v>
      </c>
      <c r="C734" s="4" t="s">
        <v>23</v>
      </c>
      <c r="D734" s="4" t="s">
        <v>24</v>
      </c>
      <c r="E734" s="4" t="s">
        <v>30</v>
      </c>
      <c r="F734" s="4" t="s">
        <v>25</v>
      </c>
      <c r="G734" s="4" t="s">
        <v>25</v>
      </c>
      <c r="H734" s="4" t="s">
        <v>25</v>
      </c>
      <c r="I734" s="5">
        <v>44621</v>
      </c>
      <c r="J734" s="6">
        <v>0</v>
      </c>
      <c r="K734" s="6">
        <v>0</v>
      </c>
      <c r="L734" s="6">
        <v>18.558</v>
      </c>
      <c r="M734" s="6">
        <v>18.558</v>
      </c>
      <c r="N734" s="6">
        <v>18.558</v>
      </c>
      <c r="O734" s="6">
        <v>18.558</v>
      </c>
      <c r="P734" s="6">
        <v>51</v>
      </c>
      <c r="Q734" s="4" t="s">
        <v>26</v>
      </c>
      <c r="R734" s="4">
        <v>0</v>
      </c>
      <c r="S734" s="4">
        <v>0</v>
      </c>
      <c r="T734" s="4">
        <v>6</v>
      </c>
      <c r="U734" s="4">
        <v>74</v>
      </c>
      <c r="V734" s="6">
        <f>IF(ISERROR(VLOOKUP($S$734,'TAR FIN'!$A$1:$O$104,15,0)),0,VLOOKUP($S$734,'TAR FIN'!$A$1:$O$104,15,0))</f>
        <v>0</v>
      </c>
      <c r="W734" s="6">
        <f>IF(ISERROR(VLOOKUP($T$734,'TAR FIN'!$A$1:$O$104,15,0)),0,VLOOKUP($T$734,'TAR FIN'!$A$1:$O$104,15,0))</f>
        <v>179.74</v>
      </c>
      <c r="X734" s="6">
        <f>IF(ISERROR(VLOOKUP($U$734,'TAR FIN'!$A$1:$O$104,15,0)),0,VLOOKUP($U$734,'TAR FIN'!$A$1:$O$104,15,0))</f>
        <v>153.43</v>
      </c>
      <c r="Y734" s="6"/>
      <c r="Z734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34" s="6">
        <f>('TE BE'!$AB$15+'TE BF'!$AB$15+'TE CVA'!$AB$15)*(1-CUSTOS!$M$35)</f>
        <v>145.48243020761052</v>
      </c>
      <c r="AB734" s="6">
        <f t="shared" si="38"/>
        <v>0</v>
      </c>
      <c r="AC734" s="6">
        <f>(L734-M734)*(W734+X734)+($W$784+$X$784-$W$734-$X$734)*(L734)</f>
        <v>4122.1029599999993</v>
      </c>
      <c r="AD734" s="6">
        <f t="shared" si="39"/>
        <v>0</v>
      </c>
      <c r="AE734" s="6">
        <f ca="1">(L734-M734)*(Z734+AA734)+($Z$784+$AA$784-$Z$734-$AA$734)*(L734)</f>
        <v>3969.417778114142</v>
      </c>
      <c r="AF734" s="4" t="s">
        <v>1002</v>
      </c>
    </row>
    <row r="735" spans="1:32" ht="11.25" customHeight="1" x14ac:dyDescent="0.25">
      <c r="A735" s="4" t="s">
        <v>21</v>
      </c>
      <c r="B735" s="4" t="s">
        <v>22</v>
      </c>
      <c r="C735" s="4" t="s">
        <v>23</v>
      </c>
      <c r="D735" s="4" t="s">
        <v>24</v>
      </c>
      <c r="E735" s="4" t="s">
        <v>30</v>
      </c>
      <c r="F735" s="4" t="s">
        <v>25</v>
      </c>
      <c r="G735" s="4" t="s">
        <v>25</v>
      </c>
      <c r="H735" s="4" t="s">
        <v>25</v>
      </c>
      <c r="I735" s="5">
        <v>44652</v>
      </c>
      <c r="J735" s="6">
        <v>0</v>
      </c>
      <c r="K735" s="6">
        <v>0</v>
      </c>
      <c r="L735" s="6">
        <v>23322.166000000001</v>
      </c>
      <c r="M735" s="6">
        <v>23322.166000000001</v>
      </c>
      <c r="N735" s="6">
        <v>23322.166000000001</v>
      </c>
      <c r="O735" s="6">
        <v>23322.166000000001</v>
      </c>
      <c r="P735" s="6">
        <v>198096</v>
      </c>
      <c r="Q735" s="4" t="s">
        <v>26</v>
      </c>
      <c r="R735" s="4">
        <v>0</v>
      </c>
      <c r="S735" s="4">
        <v>0</v>
      </c>
      <c r="T735" s="4">
        <v>6</v>
      </c>
      <c r="U735" s="4">
        <v>74</v>
      </c>
      <c r="V735" s="6">
        <f>IF(ISERROR(VLOOKUP($S$735,'TAR FIN'!$A$1:$O$104,15,0)),0,VLOOKUP($S$735,'TAR FIN'!$A$1:$O$104,15,0))</f>
        <v>0</v>
      </c>
      <c r="W735" s="6">
        <f>IF(ISERROR(VLOOKUP($T$735,'TAR FIN'!$A$1:$O$104,15,0)),0,VLOOKUP($T$735,'TAR FIN'!$A$1:$O$104,15,0))</f>
        <v>179.74</v>
      </c>
      <c r="X735" s="6">
        <f>IF(ISERROR(VLOOKUP($U$735,'TAR FIN'!$A$1:$O$104,15,0)),0,VLOOKUP($U$735,'TAR FIN'!$A$1:$O$104,15,0))</f>
        <v>153.43</v>
      </c>
      <c r="Y735" s="6"/>
      <c r="Z735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35" s="6">
        <f>('TE BE'!$AB$15+'TE BF'!$AB$15+'TE CVA'!$AB$15)*(1-CUSTOS!$M$35)</f>
        <v>145.48243020761052</v>
      </c>
      <c r="AB735" s="6">
        <f t="shared" si="38"/>
        <v>0</v>
      </c>
      <c r="AC735" s="6">
        <f>(L735-M735)*(W735+X735)+($W$784+$X$784-$W$735-$X$735)*(L735)</f>
        <v>5180319.5119199986</v>
      </c>
      <c r="AD735" s="6">
        <f t="shared" si="39"/>
        <v>0</v>
      </c>
      <c r="AE735" s="6">
        <f ca="1">(L735-M735)*(Z735+AA735)+($Z$784+$AA$784-$Z$735-$AA$735)*(L735)</f>
        <v>4988437.3501740051</v>
      </c>
      <c r="AF735" s="4" t="s">
        <v>1002</v>
      </c>
    </row>
    <row r="736" spans="1:32" ht="11.25" customHeight="1" x14ac:dyDescent="0.25">
      <c r="A736" s="4" t="s">
        <v>27</v>
      </c>
      <c r="B736" s="4" t="s">
        <v>22</v>
      </c>
      <c r="C736" s="4" t="s">
        <v>23</v>
      </c>
      <c r="D736" s="4" t="s">
        <v>24</v>
      </c>
      <c r="E736" s="4" t="s">
        <v>30</v>
      </c>
      <c r="F736" s="4" t="s">
        <v>25</v>
      </c>
      <c r="G736" s="4" t="s">
        <v>25</v>
      </c>
      <c r="H736" s="4" t="s">
        <v>25</v>
      </c>
      <c r="I736" s="5">
        <v>44652</v>
      </c>
      <c r="J736" s="6">
        <v>0</v>
      </c>
      <c r="K736" s="6">
        <v>0</v>
      </c>
      <c r="L736" s="6">
        <v>-3.6139999999999999</v>
      </c>
      <c r="M736" s="6">
        <v>-3.6139999999999999</v>
      </c>
      <c r="N736" s="6">
        <v>-3.6139999999999999</v>
      </c>
      <c r="O736" s="6">
        <v>-3.6139999999999999</v>
      </c>
      <c r="P736" s="6">
        <v>-3</v>
      </c>
      <c r="Q736" s="4" t="s">
        <v>26</v>
      </c>
      <c r="R736" s="4">
        <v>0</v>
      </c>
      <c r="S736" s="4">
        <v>0</v>
      </c>
      <c r="T736" s="4">
        <v>6</v>
      </c>
      <c r="U736" s="4">
        <v>74</v>
      </c>
      <c r="V736" s="6">
        <f>IF(ISERROR(VLOOKUP($S$736,'TAR FIN'!$A$1:$O$104,15,0)),0,VLOOKUP($S$736,'TAR FIN'!$A$1:$O$104,15,0))</f>
        <v>0</v>
      </c>
      <c r="W736" s="6">
        <f>IF(ISERROR(VLOOKUP($T$736,'TAR FIN'!$A$1:$O$104,15,0)),0,VLOOKUP($T$736,'TAR FIN'!$A$1:$O$104,15,0))</f>
        <v>179.74</v>
      </c>
      <c r="X736" s="6">
        <f>IF(ISERROR(VLOOKUP($U$736,'TAR FIN'!$A$1:$O$104,15,0)),0,VLOOKUP($U$736,'TAR FIN'!$A$1:$O$104,15,0))</f>
        <v>153.43</v>
      </c>
      <c r="Y736" s="6"/>
      <c r="Z736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36" s="6">
        <f>('TE BE'!$AB$15+'TE BF'!$AB$15+'TE CVA'!$AB$15)*(1-CUSTOS!$M$35)</f>
        <v>145.48243020761052</v>
      </c>
      <c r="AB736" s="6">
        <f t="shared" si="38"/>
        <v>0</v>
      </c>
      <c r="AC736" s="6">
        <f>(L736-M736)*(W736+X736)+($W$784+$X$784-$W$736-$X$736)*(L736)</f>
        <v>-802.74167999999975</v>
      </c>
      <c r="AD736" s="6">
        <f t="shared" si="39"/>
        <v>0</v>
      </c>
      <c r="AE736" s="6">
        <f ca="1">(L736-M736)*(Z736+AA736)+($Z$784+$AA$784-$Z$736-$AA$736)*(L736)</f>
        <v>-773.00764360946812</v>
      </c>
      <c r="AF736" s="4" t="s">
        <v>1002</v>
      </c>
    </row>
    <row r="737" spans="1:32" ht="11.25" customHeight="1" x14ac:dyDescent="0.25">
      <c r="A737" s="4" t="s">
        <v>28</v>
      </c>
      <c r="B737" s="4" t="s">
        <v>22</v>
      </c>
      <c r="C737" s="4" t="s">
        <v>23</v>
      </c>
      <c r="D737" s="4" t="s">
        <v>24</v>
      </c>
      <c r="E737" s="4" t="s">
        <v>30</v>
      </c>
      <c r="F737" s="4" t="s">
        <v>25</v>
      </c>
      <c r="G737" s="4" t="s">
        <v>25</v>
      </c>
      <c r="H737" s="4" t="s">
        <v>25</v>
      </c>
      <c r="I737" s="5">
        <v>44652</v>
      </c>
      <c r="J737" s="6">
        <v>0</v>
      </c>
      <c r="K737" s="6">
        <v>0</v>
      </c>
      <c r="L737" s="6">
        <v>18.727</v>
      </c>
      <c r="M737" s="6">
        <v>18.727</v>
      </c>
      <c r="N737" s="6">
        <v>18.727</v>
      </c>
      <c r="O737" s="6">
        <v>18.727</v>
      </c>
      <c r="P737" s="6">
        <v>68</v>
      </c>
      <c r="Q737" s="4" t="s">
        <v>26</v>
      </c>
      <c r="R737" s="4">
        <v>0</v>
      </c>
      <c r="S737" s="4">
        <v>0</v>
      </c>
      <c r="T737" s="4">
        <v>6</v>
      </c>
      <c r="U737" s="4">
        <v>74</v>
      </c>
      <c r="V737" s="6">
        <f>IF(ISERROR(VLOOKUP($S$737,'TAR FIN'!$A$1:$O$104,15,0)),0,VLOOKUP($S$737,'TAR FIN'!$A$1:$O$104,15,0))</f>
        <v>0</v>
      </c>
      <c r="W737" s="6">
        <f>IF(ISERROR(VLOOKUP($T$737,'TAR FIN'!$A$1:$O$104,15,0)),0,VLOOKUP($T$737,'TAR FIN'!$A$1:$O$104,15,0))</f>
        <v>179.74</v>
      </c>
      <c r="X737" s="6">
        <f>IF(ISERROR(VLOOKUP($U$737,'TAR FIN'!$A$1:$O$104,15,0)),0,VLOOKUP($U$737,'TAR FIN'!$A$1:$O$104,15,0))</f>
        <v>153.43</v>
      </c>
      <c r="Y737" s="6"/>
      <c r="Z737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37" s="6">
        <f>('TE BE'!$AB$15+'TE BF'!$AB$15+'TE CVA'!$AB$15)*(1-CUSTOS!$M$35)</f>
        <v>145.48243020761052</v>
      </c>
      <c r="AB737" s="6">
        <f t="shared" si="38"/>
        <v>0</v>
      </c>
      <c r="AC737" s="6">
        <f>(L737-M737)*(W737+X737)+($W$784+$X$784-$W$737-$X$737)*(L737)</f>
        <v>4159.641239999999</v>
      </c>
      <c r="AD737" s="6">
        <f t="shared" si="39"/>
        <v>0</v>
      </c>
      <c r="AE737" s="6">
        <f ca="1">(L737-M737)*(Z737+AA737)+($Z$784+$AA$784-$Z$737-$AA$737)*(L737)</f>
        <v>4005.5656175635058</v>
      </c>
      <c r="AF737" s="4" t="s">
        <v>1002</v>
      </c>
    </row>
    <row r="738" spans="1:32" ht="11.25" customHeight="1" x14ac:dyDescent="0.25">
      <c r="A738" s="4" t="s">
        <v>21</v>
      </c>
      <c r="B738" s="4" t="s">
        <v>22</v>
      </c>
      <c r="C738" s="4" t="s">
        <v>23</v>
      </c>
      <c r="D738" s="4" t="s">
        <v>24</v>
      </c>
      <c r="E738" s="4" t="s">
        <v>30</v>
      </c>
      <c r="F738" s="4" t="s">
        <v>25</v>
      </c>
      <c r="G738" s="4" t="s">
        <v>25</v>
      </c>
      <c r="H738" s="4" t="s">
        <v>25</v>
      </c>
      <c r="I738" s="5">
        <v>44682</v>
      </c>
      <c r="J738" s="6">
        <v>0</v>
      </c>
      <c r="K738" s="6">
        <v>0</v>
      </c>
      <c r="L738" s="6">
        <v>23247.407999999999</v>
      </c>
      <c r="M738" s="6">
        <v>23247.407999999999</v>
      </c>
      <c r="N738" s="6">
        <v>23247.407999999999</v>
      </c>
      <c r="O738" s="6">
        <v>23247.407999999999</v>
      </c>
      <c r="P738" s="6">
        <v>192837</v>
      </c>
      <c r="Q738" s="4" t="s">
        <v>26</v>
      </c>
      <c r="R738" s="4">
        <v>0</v>
      </c>
      <c r="S738" s="4">
        <v>0</v>
      </c>
      <c r="T738" s="4">
        <v>6</v>
      </c>
      <c r="U738" s="4">
        <v>74</v>
      </c>
      <c r="V738" s="6">
        <f>IF(ISERROR(VLOOKUP($S$738,'TAR FIN'!$A$1:$O$104,15,0)),0,VLOOKUP($S$738,'TAR FIN'!$A$1:$O$104,15,0))</f>
        <v>0</v>
      </c>
      <c r="W738" s="6">
        <f>IF(ISERROR(VLOOKUP($T$738,'TAR FIN'!$A$1:$O$104,15,0)),0,VLOOKUP($T$738,'TAR FIN'!$A$1:$O$104,15,0))</f>
        <v>179.74</v>
      </c>
      <c r="X738" s="6">
        <f>IF(ISERROR(VLOOKUP($U$738,'TAR FIN'!$A$1:$O$104,15,0)),0,VLOOKUP($U$738,'TAR FIN'!$A$1:$O$104,15,0))</f>
        <v>153.43</v>
      </c>
      <c r="Y738" s="6"/>
      <c r="Z738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38" s="6">
        <f>('TE BE'!$AB$15+'TE BF'!$AB$15+'TE CVA'!$AB$15)*(1-CUSTOS!$M$35)</f>
        <v>145.48243020761052</v>
      </c>
      <c r="AB738" s="6">
        <f t="shared" si="38"/>
        <v>0</v>
      </c>
      <c r="AC738" s="6">
        <f>(L738-M738)*(W738+X738)+($W$784+$X$784-$W$738-$X$738)*(L738)</f>
        <v>5163714.2649599984</v>
      </c>
      <c r="AD738" s="6">
        <f t="shared" si="39"/>
        <v>0</v>
      </c>
      <c r="AE738" s="6">
        <f ca="1">(L738-M738)*(Z738+AA738)+($Z$784+$AA$784-$Z$738-$AA$738)*(L738)</f>
        <v>4972447.1715849191</v>
      </c>
      <c r="AF738" s="4" t="s">
        <v>1002</v>
      </c>
    </row>
    <row r="739" spans="1:32" ht="11.25" customHeight="1" x14ac:dyDescent="0.25">
      <c r="A739" s="4" t="s">
        <v>27</v>
      </c>
      <c r="B739" s="4" t="s">
        <v>22</v>
      </c>
      <c r="C739" s="4" t="s">
        <v>23</v>
      </c>
      <c r="D739" s="4" t="s">
        <v>24</v>
      </c>
      <c r="E739" s="4" t="s">
        <v>30</v>
      </c>
      <c r="F739" s="4" t="s">
        <v>25</v>
      </c>
      <c r="G739" s="4" t="s">
        <v>25</v>
      </c>
      <c r="H739" s="4" t="s">
        <v>25</v>
      </c>
      <c r="I739" s="5">
        <v>44682</v>
      </c>
      <c r="J739" s="6">
        <v>0</v>
      </c>
      <c r="K739" s="6">
        <v>0</v>
      </c>
      <c r="L739" s="6">
        <v>-3.7120000000000002</v>
      </c>
      <c r="M739" s="6">
        <v>-3.7120000000000002</v>
      </c>
      <c r="N739" s="6">
        <v>-3.7120000000000002</v>
      </c>
      <c r="O739" s="6">
        <v>-3.7120000000000002</v>
      </c>
      <c r="P739" s="6">
        <v>-7</v>
      </c>
      <c r="Q739" s="4" t="s">
        <v>26</v>
      </c>
      <c r="R739" s="4">
        <v>0</v>
      </c>
      <c r="S739" s="4">
        <v>0</v>
      </c>
      <c r="T739" s="4">
        <v>6</v>
      </c>
      <c r="U739" s="4">
        <v>74</v>
      </c>
      <c r="V739" s="6">
        <f>IF(ISERROR(VLOOKUP($S$739,'TAR FIN'!$A$1:$O$104,15,0)),0,VLOOKUP($S$739,'TAR FIN'!$A$1:$O$104,15,0))</f>
        <v>0</v>
      </c>
      <c r="W739" s="6">
        <f>IF(ISERROR(VLOOKUP($T$739,'TAR FIN'!$A$1:$O$104,15,0)),0,VLOOKUP($T$739,'TAR FIN'!$A$1:$O$104,15,0))</f>
        <v>179.74</v>
      </c>
      <c r="X739" s="6">
        <f>IF(ISERROR(VLOOKUP($U$739,'TAR FIN'!$A$1:$O$104,15,0)),0,VLOOKUP($U$739,'TAR FIN'!$A$1:$O$104,15,0))</f>
        <v>153.43</v>
      </c>
      <c r="Y739" s="6"/>
      <c r="Z739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39" s="6">
        <f>('TE BE'!$AB$15+'TE BF'!$AB$15+'TE CVA'!$AB$15)*(1-CUSTOS!$M$35)</f>
        <v>145.48243020761052</v>
      </c>
      <c r="AB739" s="6">
        <f t="shared" si="38"/>
        <v>0</v>
      </c>
      <c r="AC739" s="6">
        <f>(L739-M739)*(W739+X739)+($W$784+$X$784-$W$739-$X$739)*(L739)</f>
        <v>-824.50943999999981</v>
      </c>
      <c r="AD739" s="6">
        <f t="shared" si="39"/>
        <v>0</v>
      </c>
      <c r="AE739" s="6">
        <f ca="1">(L739-M739)*(Z739+AA739)+($Z$784+$AA$784-$Z$739-$AA$739)*(L739)</f>
        <v>-793.96911263927666</v>
      </c>
      <c r="AF739" s="4" t="s">
        <v>1002</v>
      </c>
    </row>
    <row r="740" spans="1:32" ht="11.25" customHeight="1" x14ac:dyDescent="0.25">
      <c r="A740" s="4" t="s">
        <v>28</v>
      </c>
      <c r="B740" s="4" t="s">
        <v>22</v>
      </c>
      <c r="C740" s="4" t="s">
        <v>23</v>
      </c>
      <c r="D740" s="4" t="s">
        <v>24</v>
      </c>
      <c r="E740" s="4" t="s">
        <v>30</v>
      </c>
      <c r="F740" s="4" t="s">
        <v>25</v>
      </c>
      <c r="G740" s="4" t="s">
        <v>25</v>
      </c>
      <c r="H740" s="4" t="s">
        <v>25</v>
      </c>
      <c r="I740" s="5">
        <v>44682</v>
      </c>
      <c r="J740" s="6">
        <v>0</v>
      </c>
      <c r="K740" s="6">
        <v>0</v>
      </c>
      <c r="L740" s="6">
        <v>18.114999999999998</v>
      </c>
      <c r="M740" s="6">
        <v>18.114999999999998</v>
      </c>
      <c r="N740" s="6">
        <v>18.114999999999998</v>
      </c>
      <c r="O740" s="6">
        <v>18.114999999999998</v>
      </c>
      <c r="P740" s="6">
        <v>74</v>
      </c>
      <c r="Q740" s="4" t="s">
        <v>26</v>
      </c>
      <c r="R740" s="4">
        <v>0</v>
      </c>
      <c r="S740" s="4">
        <v>0</v>
      </c>
      <c r="T740" s="4">
        <v>6</v>
      </c>
      <c r="U740" s="4">
        <v>74</v>
      </c>
      <c r="V740" s="6">
        <f>IF(ISERROR(VLOOKUP($S$740,'TAR FIN'!$A$1:$O$104,15,0)),0,VLOOKUP($S$740,'TAR FIN'!$A$1:$O$104,15,0))</f>
        <v>0</v>
      </c>
      <c r="W740" s="6">
        <f>IF(ISERROR(VLOOKUP($T$740,'TAR FIN'!$A$1:$O$104,15,0)),0,VLOOKUP($T$740,'TAR FIN'!$A$1:$O$104,15,0))</f>
        <v>179.74</v>
      </c>
      <c r="X740" s="6">
        <f>IF(ISERROR(VLOOKUP($U$740,'TAR FIN'!$A$1:$O$104,15,0)),0,VLOOKUP($U$740,'TAR FIN'!$A$1:$O$104,15,0))</f>
        <v>153.43</v>
      </c>
      <c r="Y740" s="6"/>
      <c r="Z740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40" s="6">
        <f>('TE BE'!$AB$15+'TE BF'!$AB$15+'TE CVA'!$AB$15)*(1-CUSTOS!$M$35)</f>
        <v>145.48243020761052</v>
      </c>
      <c r="AB740" s="6">
        <f t="shared" si="38"/>
        <v>0</v>
      </c>
      <c r="AC740" s="6">
        <f>(L740-M740)*(W740+X740)+($W$784+$X$784-$W$740-$X$740)*(L740)</f>
        <v>4023.7037999999989</v>
      </c>
      <c r="AD740" s="6">
        <f t="shared" si="39"/>
        <v>0</v>
      </c>
      <c r="AE740" s="6">
        <f ca="1">(L740-M740)*(Z740+AA740)+($Z$784+$AA$784-$Z$740-$AA$740)*(L740)</f>
        <v>3874.6633823977622</v>
      </c>
      <c r="AF740" s="4" t="s">
        <v>1002</v>
      </c>
    </row>
    <row r="741" spans="1:32" ht="11.25" customHeight="1" x14ac:dyDescent="0.25">
      <c r="A741" s="4" t="s">
        <v>21</v>
      </c>
      <c r="B741" s="4" t="s">
        <v>22</v>
      </c>
      <c r="C741" s="4" t="s">
        <v>23</v>
      </c>
      <c r="D741" s="4" t="s">
        <v>24</v>
      </c>
      <c r="E741" s="4" t="s">
        <v>30</v>
      </c>
      <c r="F741" s="4" t="s">
        <v>25</v>
      </c>
      <c r="G741" s="4" t="s">
        <v>25</v>
      </c>
      <c r="H741" s="4" t="s">
        <v>25</v>
      </c>
      <c r="I741" s="5">
        <v>44713</v>
      </c>
      <c r="J741" s="6">
        <v>0</v>
      </c>
      <c r="K741" s="6">
        <v>0</v>
      </c>
      <c r="L741" s="6">
        <v>21458.624</v>
      </c>
      <c r="M741" s="6">
        <v>21458.624</v>
      </c>
      <c r="N741" s="6">
        <v>21458.624</v>
      </c>
      <c r="O741" s="6">
        <v>21458.624</v>
      </c>
      <c r="P741" s="6">
        <v>231567</v>
      </c>
      <c r="Q741" s="4" t="s">
        <v>26</v>
      </c>
      <c r="R741" s="4">
        <v>0</v>
      </c>
      <c r="S741" s="4">
        <v>0</v>
      </c>
      <c r="T741" s="4">
        <v>6</v>
      </c>
      <c r="U741" s="4">
        <v>74</v>
      </c>
      <c r="V741" s="6">
        <f>IF(ISERROR(VLOOKUP($S$741,'TAR FIN'!$A$1:$O$104,15,0)),0,VLOOKUP($S$741,'TAR FIN'!$A$1:$O$104,15,0))</f>
        <v>0</v>
      </c>
      <c r="W741" s="6">
        <f>IF(ISERROR(VLOOKUP($T$741,'TAR FIN'!$A$1:$O$104,15,0)),0,VLOOKUP($T$741,'TAR FIN'!$A$1:$O$104,15,0))</f>
        <v>179.74</v>
      </c>
      <c r="X741" s="6">
        <f>IF(ISERROR(VLOOKUP($U$741,'TAR FIN'!$A$1:$O$104,15,0)),0,VLOOKUP($U$741,'TAR FIN'!$A$1:$O$104,15,0))</f>
        <v>153.43</v>
      </c>
      <c r="Y741" s="6"/>
      <c r="Z741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41" s="6">
        <f>('TE BE'!$AB$15+'TE BF'!$AB$15+'TE CVA'!$AB$15)*(1-CUSTOS!$M$35)</f>
        <v>145.48243020761052</v>
      </c>
      <c r="AB741" s="6">
        <f t="shared" si="38"/>
        <v>0</v>
      </c>
      <c r="AC741" s="6">
        <f>(L741-M741)*(W741+X741)+($W$784+$X$784-$W$741-$X$741)*(L741)</f>
        <v>4766389.5628799992</v>
      </c>
      <c r="AD741" s="6">
        <f t="shared" si="39"/>
        <v>0</v>
      </c>
      <c r="AE741" s="6">
        <f ca="1">(L741-M741)*(Z741+AA741)+($Z$784+$AA$784-$Z$741-$AA$741)*(L741)</f>
        <v>4589839.6163092358</v>
      </c>
      <c r="AF741" s="4" t="s">
        <v>1002</v>
      </c>
    </row>
    <row r="742" spans="1:32" ht="11.25" customHeight="1" x14ac:dyDescent="0.25">
      <c r="A742" s="4" t="s">
        <v>27</v>
      </c>
      <c r="B742" s="4" t="s">
        <v>22</v>
      </c>
      <c r="C742" s="4" t="s">
        <v>23</v>
      </c>
      <c r="D742" s="4" t="s">
        <v>24</v>
      </c>
      <c r="E742" s="4" t="s">
        <v>30</v>
      </c>
      <c r="F742" s="4" t="s">
        <v>25</v>
      </c>
      <c r="G742" s="4" t="s">
        <v>25</v>
      </c>
      <c r="H742" s="4" t="s">
        <v>25</v>
      </c>
      <c r="I742" s="5">
        <v>44713</v>
      </c>
      <c r="J742" s="6">
        <v>0</v>
      </c>
      <c r="K742" s="6">
        <v>0</v>
      </c>
      <c r="L742" s="6">
        <v>-3.2170000000000001</v>
      </c>
      <c r="M742" s="6">
        <v>-3.2170000000000001</v>
      </c>
      <c r="N742" s="6">
        <v>-3.2170000000000001</v>
      </c>
      <c r="O742" s="6">
        <v>-3.2170000000000001</v>
      </c>
      <c r="P742" s="6">
        <v>-8</v>
      </c>
      <c r="Q742" s="4" t="s">
        <v>26</v>
      </c>
      <c r="R742" s="4">
        <v>0</v>
      </c>
      <c r="S742" s="4">
        <v>0</v>
      </c>
      <c r="T742" s="4">
        <v>6</v>
      </c>
      <c r="U742" s="4">
        <v>74</v>
      </c>
      <c r="V742" s="6">
        <f>IF(ISERROR(VLOOKUP($S$742,'TAR FIN'!$A$1:$O$104,15,0)),0,VLOOKUP($S$742,'TAR FIN'!$A$1:$O$104,15,0))</f>
        <v>0</v>
      </c>
      <c r="W742" s="6">
        <f>IF(ISERROR(VLOOKUP($T$742,'TAR FIN'!$A$1:$O$104,15,0)),0,VLOOKUP($T$742,'TAR FIN'!$A$1:$O$104,15,0))</f>
        <v>179.74</v>
      </c>
      <c r="X742" s="6">
        <f>IF(ISERROR(VLOOKUP($U$742,'TAR FIN'!$A$1:$O$104,15,0)),0,VLOOKUP($U$742,'TAR FIN'!$A$1:$O$104,15,0))</f>
        <v>153.43</v>
      </c>
      <c r="Y742" s="6"/>
      <c r="Z742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42" s="6">
        <f>('TE BE'!$AB$15+'TE BF'!$AB$15+'TE CVA'!$AB$15)*(1-CUSTOS!$M$35)</f>
        <v>145.48243020761052</v>
      </c>
      <c r="AB742" s="6">
        <f t="shared" si="38"/>
        <v>0</v>
      </c>
      <c r="AC742" s="6">
        <f>(L742-M742)*(W742+X742)+($W$784+$X$784-$W$742-$X$742)*(L742)</f>
        <v>-714.56003999999984</v>
      </c>
      <c r="AD742" s="6">
        <f t="shared" si="39"/>
        <v>0</v>
      </c>
      <c r="AE742" s="6">
        <f ca="1">(L742-M742)*(Z742+AA742)+($Z$784+$AA$784-$Z$742-$AA$742)*(L742)</f>
        <v>-688.09230478463166</v>
      </c>
      <c r="AF742" s="4" t="s">
        <v>1002</v>
      </c>
    </row>
    <row r="743" spans="1:32" ht="11.25" customHeight="1" x14ac:dyDescent="0.25">
      <c r="A743" s="4" t="s">
        <v>28</v>
      </c>
      <c r="B743" s="4" t="s">
        <v>22</v>
      </c>
      <c r="C743" s="4" t="s">
        <v>23</v>
      </c>
      <c r="D743" s="4" t="s">
        <v>24</v>
      </c>
      <c r="E743" s="4" t="s">
        <v>30</v>
      </c>
      <c r="F743" s="4" t="s">
        <v>25</v>
      </c>
      <c r="G743" s="4" t="s">
        <v>25</v>
      </c>
      <c r="H743" s="4" t="s">
        <v>25</v>
      </c>
      <c r="I743" s="5">
        <v>44713</v>
      </c>
      <c r="J743" s="6">
        <v>0</v>
      </c>
      <c r="K743" s="6">
        <v>0</v>
      </c>
      <c r="L743" s="6">
        <v>19.669</v>
      </c>
      <c r="M743" s="6">
        <v>19.669</v>
      </c>
      <c r="N743" s="6">
        <v>19.669</v>
      </c>
      <c r="O743" s="6">
        <v>19.669</v>
      </c>
      <c r="P743" s="6">
        <v>97</v>
      </c>
      <c r="Q743" s="4" t="s">
        <v>26</v>
      </c>
      <c r="R743" s="4">
        <v>0</v>
      </c>
      <c r="S743" s="4">
        <v>0</v>
      </c>
      <c r="T743" s="4">
        <v>6</v>
      </c>
      <c r="U743" s="4">
        <v>74</v>
      </c>
      <c r="V743" s="6">
        <f>IF(ISERROR(VLOOKUP($S$743,'TAR FIN'!$A$1:$O$104,15,0)),0,VLOOKUP($S$743,'TAR FIN'!$A$1:$O$104,15,0))</f>
        <v>0</v>
      </c>
      <c r="W743" s="6">
        <f>IF(ISERROR(VLOOKUP($T$743,'TAR FIN'!$A$1:$O$104,15,0)),0,VLOOKUP($T$743,'TAR FIN'!$A$1:$O$104,15,0))</f>
        <v>179.74</v>
      </c>
      <c r="X743" s="6">
        <f>IF(ISERROR(VLOOKUP($U$743,'TAR FIN'!$A$1:$O$104,15,0)),0,VLOOKUP($U$743,'TAR FIN'!$A$1:$O$104,15,0))</f>
        <v>153.43</v>
      </c>
      <c r="Y743" s="6"/>
      <c r="Z743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43" s="6">
        <f>('TE BE'!$AB$15+'TE BF'!$AB$15+'TE CVA'!$AB$15)*(1-CUSTOS!$M$35)</f>
        <v>145.48243020761052</v>
      </c>
      <c r="AB743" s="6">
        <f t="shared" si="38"/>
        <v>0</v>
      </c>
      <c r="AC743" s="6">
        <f>(L743-M743)*(W743+X743)+($W$784+$X$784-$W$743-$X$743)*(L743)</f>
        <v>4368.878279999999</v>
      </c>
      <c r="AD743" s="6">
        <f t="shared" si="39"/>
        <v>0</v>
      </c>
      <c r="AE743" s="6">
        <f ca="1">(L743-M743)*(Z743+AA743)+($Z$784+$AA$784-$Z$743-$AA$743)*(L743)</f>
        <v>4207.052391299012</v>
      </c>
      <c r="AF743" s="4" t="s">
        <v>1002</v>
      </c>
    </row>
    <row r="744" spans="1:32" ht="11.25" customHeight="1" x14ac:dyDescent="0.25">
      <c r="A744" s="4" t="s">
        <v>57</v>
      </c>
      <c r="B744" s="4" t="s">
        <v>22</v>
      </c>
      <c r="C744" s="4" t="s">
        <v>23</v>
      </c>
      <c r="D744" s="4" t="s">
        <v>24</v>
      </c>
      <c r="E744" s="4" t="s">
        <v>30</v>
      </c>
      <c r="F744" s="4" t="s">
        <v>25</v>
      </c>
      <c r="G744" s="4" t="s">
        <v>25</v>
      </c>
      <c r="H744" s="4" t="s">
        <v>25</v>
      </c>
      <c r="I744" s="5">
        <v>44743</v>
      </c>
      <c r="J744" s="6">
        <v>0</v>
      </c>
      <c r="K744" s="6">
        <v>0</v>
      </c>
      <c r="L744" s="6">
        <v>21458.624</v>
      </c>
      <c r="M744" s="6">
        <v>21458.624</v>
      </c>
      <c r="N744" s="6">
        <v>21458.624</v>
      </c>
      <c r="O744" s="6">
        <v>21458.624</v>
      </c>
      <c r="P744" s="6">
        <v>231567</v>
      </c>
      <c r="Q744" s="4" t="s">
        <v>26</v>
      </c>
      <c r="R744" s="4">
        <v>0</v>
      </c>
      <c r="S744" s="4">
        <v>0</v>
      </c>
      <c r="T744" s="4">
        <v>6</v>
      </c>
      <c r="U744" s="4">
        <v>74</v>
      </c>
      <c r="V744" s="6">
        <f>IF(ISERROR(VLOOKUP($S$744,'TAR FIN'!$A$1:$O$104,15,0)),0,VLOOKUP($S$744,'TAR FIN'!$A$1:$O$104,15,0))</f>
        <v>0</v>
      </c>
      <c r="W744" s="6">
        <f>IF(ISERROR(VLOOKUP($T$744,'TAR FIN'!$A$1:$O$104,15,0)),0,VLOOKUP($T$744,'TAR FIN'!$A$1:$O$104,15,0))</f>
        <v>179.74</v>
      </c>
      <c r="X744" s="6">
        <f>IF(ISERROR(VLOOKUP($U$744,'TAR FIN'!$A$1:$O$104,15,0)),0,VLOOKUP($U$744,'TAR FIN'!$A$1:$O$104,15,0))</f>
        <v>153.43</v>
      </c>
      <c r="Y744" s="6"/>
      <c r="Z744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44" s="6">
        <f>('TE BE'!$AB$15+'TE BF'!$AB$15+'TE CVA'!$AB$15)*(1-CUSTOS!$M$35)</f>
        <v>145.48243020761052</v>
      </c>
      <c r="AB744" s="6">
        <f t="shared" si="38"/>
        <v>0</v>
      </c>
      <c r="AC744" s="6">
        <f>(L744-M744)*(W744+X744)+($W$784+$X$784-$W$744-$X$744)*(L744)</f>
        <v>4766389.5628799992</v>
      </c>
      <c r="AD744" s="6">
        <f t="shared" si="39"/>
        <v>0</v>
      </c>
      <c r="AE744" s="6">
        <f ca="1">(L744-M744)*(Z744+AA744)+($Z$784+$AA$784-$Z$744-$AA$744)*(L744)</f>
        <v>4589839.6163092358</v>
      </c>
      <c r="AF744" s="4" t="s">
        <v>1002</v>
      </c>
    </row>
    <row r="745" spans="1:32" ht="11.25" customHeight="1" x14ac:dyDescent="0.25">
      <c r="A745" s="4" t="s">
        <v>57</v>
      </c>
      <c r="B745" s="4" t="s">
        <v>22</v>
      </c>
      <c r="C745" s="4" t="s">
        <v>23</v>
      </c>
      <c r="D745" s="4" t="s">
        <v>24</v>
      </c>
      <c r="E745" s="4" t="s">
        <v>30</v>
      </c>
      <c r="F745" s="4" t="s">
        <v>25</v>
      </c>
      <c r="G745" s="4" t="s">
        <v>25</v>
      </c>
      <c r="H745" s="4" t="s">
        <v>25</v>
      </c>
      <c r="I745" s="5">
        <v>44743</v>
      </c>
      <c r="J745" s="6">
        <v>0</v>
      </c>
      <c r="K745" s="6">
        <v>0</v>
      </c>
      <c r="L745" s="6">
        <v>-3.2170000000000001</v>
      </c>
      <c r="M745" s="6">
        <v>-3.2170000000000001</v>
      </c>
      <c r="N745" s="6">
        <v>-3.2170000000000001</v>
      </c>
      <c r="O745" s="6">
        <v>-3.2170000000000001</v>
      </c>
      <c r="P745" s="6">
        <v>-8</v>
      </c>
      <c r="Q745" s="4" t="s">
        <v>26</v>
      </c>
      <c r="R745" s="4">
        <v>0</v>
      </c>
      <c r="S745" s="4">
        <v>0</v>
      </c>
      <c r="T745" s="4">
        <v>6</v>
      </c>
      <c r="U745" s="4">
        <v>74</v>
      </c>
      <c r="V745" s="6">
        <f>IF(ISERROR(VLOOKUP($S$745,'TAR FIN'!$A$1:$O$104,15,0)),0,VLOOKUP($S$745,'TAR FIN'!$A$1:$O$104,15,0))</f>
        <v>0</v>
      </c>
      <c r="W745" s="6">
        <f>IF(ISERROR(VLOOKUP($T$745,'TAR FIN'!$A$1:$O$104,15,0)),0,VLOOKUP($T$745,'TAR FIN'!$A$1:$O$104,15,0))</f>
        <v>179.74</v>
      </c>
      <c r="X745" s="6">
        <f>IF(ISERROR(VLOOKUP($U$745,'TAR FIN'!$A$1:$O$104,15,0)),0,VLOOKUP($U$745,'TAR FIN'!$A$1:$O$104,15,0))</f>
        <v>153.43</v>
      </c>
      <c r="Y745" s="6"/>
      <c r="Z745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45" s="6">
        <f>('TE BE'!$AB$15+'TE BF'!$AB$15+'TE CVA'!$AB$15)*(1-CUSTOS!$M$35)</f>
        <v>145.48243020761052</v>
      </c>
      <c r="AB745" s="6">
        <f t="shared" si="38"/>
        <v>0</v>
      </c>
      <c r="AC745" s="6">
        <f>(L745-M745)*(W745+X745)+($W$784+$X$784-$W$745-$X$745)*(L745)</f>
        <v>-714.56003999999984</v>
      </c>
      <c r="AD745" s="6">
        <f t="shared" si="39"/>
        <v>0</v>
      </c>
      <c r="AE745" s="6">
        <f ca="1">(L745-M745)*(Z745+AA745)+($Z$784+$AA$784-$Z$745-$AA$745)*(L745)</f>
        <v>-688.09230478463166</v>
      </c>
      <c r="AF745" s="4" t="s">
        <v>1002</v>
      </c>
    </row>
    <row r="746" spans="1:32" ht="11.25" customHeight="1" x14ac:dyDescent="0.25">
      <c r="A746" s="4" t="s">
        <v>57</v>
      </c>
      <c r="B746" s="4" t="s">
        <v>22</v>
      </c>
      <c r="C746" s="4" t="s">
        <v>23</v>
      </c>
      <c r="D746" s="4" t="s">
        <v>24</v>
      </c>
      <c r="E746" s="4" t="s">
        <v>30</v>
      </c>
      <c r="F746" s="4" t="s">
        <v>25</v>
      </c>
      <c r="G746" s="4" t="s">
        <v>25</v>
      </c>
      <c r="H746" s="4" t="s">
        <v>25</v>
      </c>
      <c r="I746" s="5">
        <v>44743</v>
      </c>
      <c r="J746" s="6">
        <v>0</v>
      </c>
      <c r="K746" s="6">
        <v>0</v>
      </c>
      <c r="L746" s="6">
        <v>19.669</v>
      </c>
      <c r="M746" s="6">
        <v>19.669</v>
      </c>
      <c r="N746" s="6">
        <v>19.669</v>
      </c>
      <c r="O746" s="6">
        <v>19.669</v>
      </c>
      <c r="P746" s="6">
        <v>97</v>
      </c>
      <c r="Q746" s="4" t="s">
        <v>26</v>
      </c>
      <c r="R746" s="4">
        <v>0</v>
      </c>
      <c r="S746" s="4">
        <v>0</v>
      </c>
      <c r="T746" s="4">
        <v>6</v>
      </c>
      <c r="U746" s="4">
        <v>74</v>
      </c>
      <c r="V746" s="6">
        <f>IF(ISERROR(VLOOKUP($S$746,'TAR FIN'!$A$1:$O$104,15,0)),0,VLOOKUP($S$746,'TAR FIN'!$A$1:$O$104,15,0))</f>
        <v>0</v>
      </c>
      <c r="W746" s="6">
        <f>IF(ISERROR(VLOOKUP($T$746,'TAR FIN'!$A$1:$O$104,15,0)),0,VLOOKUP($T$746,'TAR FIN'!$A$1:$O$104,15,0))</f>
        <v>179.74</v>
      </c>
      <c r="X746" s="6">
        <f>IF(ISERROR(VLOOKUP($U$746,'TAR FIN'!$A$1:$O$104,15,0)),0,VLOOKUP($U$746,'TAR FIN'!$A$1:$O$104,15,0))</f>
        <v>153.43</v>
      </c>
      <c r="Y746" s="6"/>
      <c r="Z746" s="6">
        <f ca="1">('TUSD BE'!$AM$36+'TUSD BF'!$AM$36+'TUSD CVA'!$AM$36-('TUSD BE'!$P$36+'TUSD BF'!$P$36+'TUSD CVA'!$P$36)-('TUSD BE'!$Q$36+'TUSD BF'!$Q$36+'TUSD CVA'!$Q$36)-('TUSD BE'!$R$36+'TUSD BF'!$R$36+'TUSD CVA'!$R$36))*(1-CUSTOS!$M$35)</f>
        <v>175.35638147313162</v>
      </c>
      <c r="AA746" s="6">
        <f>('TE BE'!$AB$15+'TE BF'!$AB$15+'TE CVA'!$AB$15)*(1-CUSTOS!$M$35)</f>
        <v>145.48243020761052</v>
      </c>
      <c r="AB746" s="6">
        <f t="shared" si="38"/>
        <v>0</v>
      </c>
      <c r="AC746" s="6">
        <f>(L746-M746)*(W746+X746)+($W$784+$X$784-$W$746-$X$746)*(L746)</f>
        <v>4368.878279999999</v>
      </c>
      <c r="AD746" s="6">
        <f t="shared" si="39"/>
        <v>0</v>
      </c>
      <c r="AE746" s="6">
        <f ca="1">(L746-M746)*(Z746+AA746)+($Z$784+$AA$784-$Z$746-$AA$746)*(L746)</f>
        <v>4207.052391299012</v>
      </c>
      <c r="AF746" s="4" t="s">
        <v>1002</v>
      </c>
    </row>
    <row r="747" spans="1:32" ht="11.25" customHeight="1" x14ac:dyDescent="0.25">
      <c r="A747" s="4" t="s">
        <v>21</v>
      </c>
      <c r="B747" s="4" t="s">
        <v>22</v>
      </c>
      <c r="C747" s="4" t="s">
        <v>23</v>
      </c>
      <c r="D747" s="4" t="s">
        <v>24</v>
      </c>
      <c r="E747" s="4" t="s">
        <v>31</v>
      </c>
      <c r="F747" s="4" t="s">
        <v>25</v>
      </c>
      <c r="G747" s="4" t="s">
        <v>25</v>
      </c>
      <c r="H747" s="4" t="s">
        <v>25</v>
      </c>
      <c r="I747" s="5">
        <v>44409</v>
      </c>
      <c r="J747" s="6">
        <v>0</v>
      </c>
      <c r="K747" s="6">
        <v>0</v>
      </c>
      <c r="L747" s="6">
        <v>10356.489</v>
      </c>
      <c r="M747" s="6">
        <v>10356.489</v>
      </c>
      <c r="N747" s="6">
        <v>10356.489</v>
      </c>
      <c r="O747" s="6">
        <v>10356.489</v>
      </c>
      <c r="P747" s="6">
        <v>163135</v>
      </c>
      <c r="Q747" s="4" t="s">
        <v>26</v>
      </c>
      <c r="R747" s="4">
        <v>0</v>
      </c>
      <c r="S747" s="4">
        <v>0</v>
      </c>
      <c r="T747" s="4">
        <v>8</v>
      </c>
      <c r="U747" s="4">
        <v>75</v>
      </c>
      <c r="V747" s="6">
        <f>IF(ISERROR(VLOOKUP($S$747,'TAR FIN'!$A$1:$O$104,15,0)),0,VLOOKUP($S$747,'TAR FIN'!$A$1:$O$104,15,0))</f>
        <v>0</v>
      </c>
      <c r="W747" s="6">
        <f>IF(ISERROR(VLOOKUP($T$747,'TAR FIN'!$A$1:$O$104,15,0)),0,VLOOKUP($T$747,'TAR FIN'!$A$1:$O$104,15,0))</f>
        <v>269.62</v>
      </c>
      <c r="X747" s="6">
        <f>IF(ISERROR(VLOOKUP($U$747,'TAR FIN'!$A$1:$O$104,15,0)),0,VLOOKUP($U$747,'TAR FIN'!$A$1:$O$104,15,0))</f>
        <v>230.15</v>
      </c>
      <c r="Y747" s="6"/>
      <c r="Z747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47" s="6">
        <f>('TE BE'!$AB$16+'TE BF'!$AB$16+'TE CVA'!$AB$16)*(1-CUSTOS!$M$36)</f>
        <v>218.22364531141577</v>
      </c>
      <c r="AB747" s="6">
        <f t="shared" si="38"/>
        <v>0</v>
      </c>
      <c r="AC747" s="6">
        <f>(L747-M747)*(W747+X747)+($W$784+$X$784-$W$747-$X$747)*(L747)</f>
        <v>574992.26927999954</v>
      </c>
      <c r="AD747" s="6">
        <f t="shared" si="39"/>
        <v>0</v>
      </c>
      <c r="AE747" s="6">
        <f ca="1">(L747-M747)*(Z747+AA747)+($Z$784+$AA$784-$Z$747-$AA$747)*(L747)</f>
        <v>553793.93732411275</v>
      </c>
      <c r="AF747" s="4" t="s">
        <v>1002</v>
      </c>
    </row>
    <row r="748" spans="1:32" ht="11.25" customHeight="1" x14ac:dyDescent="0.25">
      <c r="A748" s="4" t="s">
        <v>27</v>
      </c>
      <c r="B748" s="4" t="s">
        <v>22</v>
      </c>
      <c r="C748" s="4" t="s">
        <v>23</v>
      </c>
      <c r="D748" s="4" t="s">
        <v>24</v>
      </c>
      <c r="E748" s="4" t="s">
        <v>31</v>
      </c>
      <c r="F748" s="4" t="s">
        <v>25</v>
      </c>
      <c r="G748" s="4" t="s">
        <v>25</v>
      </c>
      <c r="H748" s="4" t="s">
        <v>25</v>
      </c>
      <c r="I748" s="5">
        <v>44409</v>
      </c>
      <c r="J748" s="6">
        <v>0</v>
      </c>
      <c r="K748" s="6">
        <v>0</v>
      </c>
      <c r="L748" s="6">
        <v>-2.9860000000000002</v>
      </c>
      <c r="M748" s="6">
        <v>-2.9860000000000002</v>
      </c>
      <c r="N748" s="6">
        <v>-2.9860000000000002</v>
      </c>
      <c r="O748" s="6">
        <v>-2.9860000000000002</v>
      </c>
      <c r="P748" s="6">
        <v>-31</v>
      </c>
      <c r="Q748" s="4" t="s">
        <v>26</v>
      </c>
      <c r="R748" s="4">
        <v>0</v>
      </c>
      <c r="S748" s="4">
        <v>0</v>
      </c>
      <c r="T748" s="4">
        <v>8</v>
      </c>
      <c r="U748" s="4">
        <v>75</v>
      </c>
      <c r="V748" s="6">
        <f>IF(ISERROR(VLOOKUP($S$748,'TAR FIN'!$A$1:$O$104,15,0)),0,VLOOKUP($S$748,'TAR FIN'!$A$1:$O$104,15,0))</f>
        <v>0</v>
      </c>
      <c r="W748" s="6">
        <f>IF(ISERROR(VLOOKUP($T$748,'TAR FIN'!$A$1:$O$104,15,0)),0,VLOOKUP($T$748,'TAR FIN'!$A$1:$O$104,15,0))</f>
        <v>269.62</v>
      </c>
      <c r="X748" s="6">
        <f>IF(ISERROR(VLOOKUP($U$748,'TAR FIN'!$A$1:$O$104,15,0)),0,VLOOKUP($U$748,'TAR FIN'!$A$1:$O$104,15,0))</f>
        <v>230.15</v>
      </c>
      <c r="Y748" s="6"/>
      <c r="Z748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48" s="6">
        <f>('TE BE'!$AB$16+'TE BF'!$AB$16+'TE CVA'!$AB$16)*(1-CUSTOS!$M$36)</f>
        <v>218.22364531141577</v>
      </c>
      <c r="AB748" s="6">
        <f t="shared" si="38"/>
        <v>0</v>
      </c>
      <c r="AC748" s="6">
        <f>(L748-M748)*(W748+X748)+($W$784+$X$784-$W$748-$X$748)*(L748)</f>
        <v>-165.78271999999987</v>
      </c>
      <c r="AD748" s="6">
        <f t="shared" si="39"/>
        <v>0</v>
      </c>
      <c r="AE748" s="6">
        <f ca="1">(L748-M748)*(Z748+AA748)+($Z$784+$AA$784-$Z$748-$AA$748)*(L748)</f>
        <v>-159.6707819464493</v>
      </c>
      <c r="AF748" s="4" t="s">
        <v>1002</v>
      </c>
    </row>
    <row r="749" spans="1:32" ht="11.25" customHeight="1" x14ac:dyDescent="0.25">
      <c r="A749" s="4" t="s">
        <v>28</v>
      </c>
      <c r="B749" s="4" t="s">
        <v>22</v>
      </c>
      <c r="C749" s="4" t="s">
        <v>23</v>
      </c>
      <c r="D749" s="4" t="s">
        <v>24</v>
      </c>
      <c r="E749" s="4" t="s">
        <v>31</v>
      </c>
      <c r="F749" s="4" t="s">
        <v>25</v>
      </c>
      <c r="G749" s="4" t="s">
        <v>25</v>
      </c>
      <c r="H749" s="4" t="s">
        <v>25</v>
      </c>
      <c r="I749" s="5">
        <v>44409</v>
      </c>
      <c r="J749" s="6">
        <v>0</v>
      </c>
      <c r="K749" s="6">
        <v>0</v>
      </c>
      <c r="L749" s="6">
        <v>13.97</v>
      </c>
      <c r="M749" s="6">
        <v>13.97</v>
      </c>
      <c r="N749" s="6">
        <v>13.97</v>
      </c>
      <c r="O749" s="6">
        <v>13.97</v>
      </c>
      <c r="P749" s="6">
        <v>135</v>
      </c>
      <c r="Q749" s="4" t="s">
        <v>26</v>
      </c>
      <c r="R749" s="4">
        <v>0</v>
      </c>
      <c r="S749" s="4">
        <v>0</v>
      </c>
      <c r="T749" s="4">
        <v>8</v>
      </c>
      <c r="U749" s="4">
        <v>75</v>
      </c>
      <c r="V749" s="6">
        <f>IF(ISERROR(VLOOKUP($S$749,'TAR FIN'!$A$1:$O$104,15,0)),0,VLOOKUP($S$749,'TAR FIN'!$A$1:$O$104,15,0))</f>
        <v>0</v>
      </c>
      <c r="W749" s="6">
        <f>IF(ISERROR(VLOOKUP($T$749,'TAR FIN'!$A$1:$O$104,15,0)),0,VLOOKUP($T$749,'TAR FIN'!$A$1:$O$104,15,0))</f>
        <v>269.62</v>
      </c>
      <c r="X749" s="6">
        <f>IF(ISERROR(VLOOKUP($U$749,'TAR FIN'!$A$1:$O$104,15,0)),0,VLOOKUP($U$749,'TAR FIN'!$A$1:$O$104,15,0))</f>
        <v>230.15</v>
      </c>
      <c r="Y749" s="6"/>
      <c r="Z749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49" s="6">
        <f>('TE BE'!$AB$16+'TE BF'!$AB$16+'TE CVA'!$AB$16)*(1-CUSTOS!$M$36)</f>
        <v>218.22364531141577</v>
      </c>
      <c r="AB749" s="6">
        <f t="shared" si="38"/>
        <v>0</v>
      </c>
      <c r="AC749" s="6">
        <f>(L749-M749)*(W749+X749)+($W$784+$X$784-$W$749-$X$749)*(L749)</f>
        <v>775.61439999999936</v>
      </c>
      <c r="AD749" s="6">
        <f t="shared" si="39"/>
        <v>0</v>
      </c>
      <c r="AE749" s="6">
        <f ca="1">(L749-M749)*(Z749+AA749)+($Z$784+$AA$784-$Z$749-$AA$749)*(L749)</f>
        <v>747.01969986332767</v>
      </c>
      <c r="AF749" s="4" t="s">
        <v>1002</v>
      </c>
    </row>
    <row r="750" spans="1:32" ht="11.25" customHeight="1" x14ac:dyDescent="0.25">
      <c r="A750" s="4" t="s">
        <v>21</v>
      </c>
      <c r="B750" s="4" t="s">
        <v>22</v>
      </c>
      <c r="C750" s="4" t="s">
        <v>23</v>
      </c>
      <c r="D750" s="4" t="s">
        <v>24</v>
      </c>
      <c r="E750" s="4" t="s">
        <v>31</v>
      </c>
      <c r="F750" s="4" t="s">
        <v>25</v>
      </c>
      <c r="G750" s="4" t="s">
        <v>25</v>
      </c>
      <c r="H750" s="4" t="s">
        <v>25</v>
      </c>
      <c r="I750" s="5">
        <v>44440</v>
      </c>
      <c r="J750" s="6">
        <v>0</v>
      </c>
      <c r="K750" s="6">
        <v>0</v>
      </c>
      <c r="L750" s="6">
        <v>10094.369000000001</v>
      </c>
      <c r="M750" s="6">
        <v>10094.369000000001</v>
      </c>
      <c r="N750" s="6">
        <v>10094.369000000001</v>
      </c>
      <c r="O750" s="6">
        <v>10094.369000000001</v>
      </c>
      <c r="P750" s="6">
        <v>159456</v>
      </c>
      <c r="Q750" s="4" t="s">
        <v>26</v>
      </c>
      <c r="R750" s="4">
        <v>0</v>
      </c>
      <c r="S750" s="4">
        <v>0</v>
      </c>
      <c r="T750" s="4">
        <v>8</v>
      </c>
      <c r="U750" s="4">
        <v>75</v>
      </c>
      <c r="V750" s="6">
        <f>IF(ISERROR(VLOOKUP($S$750,'TAR FIN'!$A$1:$O$104,15,0)),0,VLOOKUP($S$750,'TAR FIN'!$A$1:$O$104,15,0))</f>
        <v>0</v>
      </c>
      <c r="W750" s="6">
        <f>IF(ISERROR(VLOOKUP($T$750,'TAR FIN'!$A$1:$O$104,15,0)),0,VLOOKUP($T$750,'TAR FIN'!$A$1:$O$104,15,0))</f>
        <v>269.62</v>
      </c>
      <c r="X750" s="6">
        <f>IF(ISERROR(VLOOKUP($U$750,'TAR FIN'!$A$1:$O$104,15,0)),0,VLOOKUP($U$750,'TAR FIN'!$A$1:$O$104,15,0))</f>
        <v>230.15</v>
      </c>
      <c r="Y750" s="6"/>
      <c r="Z750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50" s="6">
        <f>('TE BE'!$AB$16+'TE BF'!$AB$16+'TE CVA'!$AB$16)*(1-CUSTOS!$M$36)</f>
        <v>218.22364531141577</v>
      </c>
      <c r="AB750" s="6">
        <f t="shared" si="38"/>
        <v>0</v>
      </c>
      <c r="AC750" s="6">
        <f>(L750-M750)*(W750+X750)+($W$784+$X$784-$W$750-$X$750)*(L750)</f>
        <v>560439.36687999952</v>
      </c>
      <c r="AD750" s="6">
        <f t="shared" si="39"/>
        <v>0</v>
      </c>
      <c r="AE750" s="6">
        <f ca="1">(L750-M750)*(Z750+AA750)+($Z$784+$AA$784-$Z$750-$AA$750)*(L750)</f>
        <v>539777.55910448672</v>
      </c>
      <c r="AF750" s="4" t="s">
        <v>1002</v>
      </c>
    </row>
    <row r="751" spans="1:32" ht="11.25" customHeight="1" x14ac:dyDescent="0.25">
      <c r="A751" s="4" t="s">
        <v>27</v>
      </c>
      <c r="B751" s="4" t="s">
        <v>22</v>
      </c>
      <c r="C751" s="4" t="s">
        <v>23</v>
      </c>
      <c r="D751" s="4" t="s">
        <v>24</v>
      </c>
      <c r="E751" s="4" t="s">
        <v>31</v>
      </c>
      <c r="F751" s="4" t="s">
        <v>25</v>
      </c>
      <c r="G751" s="4" t="s">
        <v>25</v>
      </c>
      <c r="H751" s="4" t="s">
        <v>25</v>
      </c>
      <c r="I751" s="5">
        <v>44440</v>
      </c>
      <c r="J751" s="6">
        <v>0</v>
      </c>
      <c r="K751" s="6">
        <v>0</v>
      </c>
      <c r="L751" s="6">
        <v>-4.2089999999999996</v>
      </c>
      <c r="M751" s="6">
        <v>-4.2089999999999996</v>
      </c>
      <c r="N751" s="6">
        <v>-4.2089999999999996</v>
      </c>
      <c r="O751" s="6">
        <v>-4.2089999999999996</v>
      </c>
      <c r="P751" s="6">
        <v>-27</v>
      </c>
      <c r="Q751" s="4" t="s">
        <v>26</v>
      </c>
      <c r="R751" s="4">
        <v>0</v>
      </c>
      <c r="S751" s="4">
        <v>0</v>
      </c>
      <c r="T751" s="4">
        <v>8</v>
      </c>
      <c r="U751" s="4">
        <v>75</v>
      </c>
      <c r="V751" s="6">
        <f>IF(ISERROR(VLOOKUP($S$751,'TAR FIN'!$A$1:$O$104,15,0)),0,VLOOKUP($S$751,'TAR FIN'!$A$1:$O$104,15,0))</f>
        <v>0</v>
      </c>
      <c r="W751" s="6">
        <f>IF(ISERROR(VLOOKUP($T$751,'TAR FIN'!$A$1:$O$104,15,0)),0,VLOOKUP($T$751,'TAR FIN'!$A$1:$O$104,15,0))</f>
        <v>269.62</v>
      </c>
      <c r="X751" s="6">
        <f>IF(ISERROR(VLOOKUP($U$751,'TAR FIN'!$A$1:$O$104,15,0)),0,VLOOKUP($U$751,'TAR FIN'!$A$1:$O$104,15,0))</f>
        <v>230.15</v>
      </c>
      <c r="Y751" s="6"/>
      <c r="Z751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51" s="6">
        <f>('TE BE'!$AB$16+'TE BF'!$AB$16+'TE CVA'!$AB$16)*(1-CUSTOS!$M$36)</f>
        <v>218.22364531141577</v>
      </c>
      <c r="AB751" s="6">
        <f t="shared" si="38"/>
        <v>0</v>
      </c>
      <c r="AC751" s="6">
        <f>(L751-M751)*(W751+X751)+($W$784+$X$784-$W$751-$X$751)*(L751)</f>
        <v>-233.68367999999978</v>
      </c>
      <c r="AD751" s="6">
        <f t="shared" si="39"/>
        <v>0</v>
      </c>
      <c r="AE751" s="6">
        <f ca="1">(L751-M751)*(Z751+AA751)+($Z$784+$AA$784-$Z$751-$AA$751)*(L751)</f>
        <v>-225.0684263940405</v>
      </c>
      <c r="AF751" s="4" t="s">
        <v>1002</v>
      </c>
    </row>
    <row r="752" spans="1:32" ht="11.25" customHeight="1" x14ac:dyDescent="0.25">
      <c r="A752" s="4" t="s">
        <v>28</v>
      </c>
      <c r="B752" s="4" t="s">
        <v>22</v>
      </c>
      <c r="C752" s="4" t="s">
        <v>23</v>
      </c>
      <c r="D752" s="4" t="s">
        <v>24</v>
      </c>
      <c r="E752" s="4" t="s">
        <v>31</v>
      </c>
      <c r="F752" s="4" t="s">
        <v>25</v>
      </c>
      <c r="G752" s="4" t="s">
        <v>25</v>
      </c>
      <c r="H752" s="4" t="s">
        <v>25</v>
      </c>
      <c r="I752" s="5">
        <v>44440</v>
      </c>
      <c r="J752" s="6">
        <v>0</v>
      </c>
      <c r="K752" s="6">
        <v>0</v>
      </c>
      <c r="L752" s="6">
        <v>14.861000000000001</v>
      </c>
      <c r="M752" s="6">
        <v>14.861000000000001</v>
      </c>
      <c r="N752" s="6">
        <v>14.861000000000001</v>
      </c>
      <c r="O752" s="6">
        <v>14.861000000000001</v>
      </c>
      <c r="P752" s="6">
        <v>140</v>
      </c>
      <c r="Q752" s="4" t="s">
        <v>26</v>
      </c>
      <c r="R752" s="4">
        <v>0</v>
      </c>
      <c r="S752" s="4">
        <v>0</v>
      </c>
      <c r="T752" s="4">
        <v>8</v>
      </c>
      <c r="U752" s="4">
        <v>75</v>
      </c>
      <c r="V752" s="6">
        <f>IF(ISERROR(VLOOKUP($S$752,'TAR FIN'!$A$1:$O$104,15,0)),0,VLOOKUP($S$752,'TAR FIN'!$A$1:$O$104,15,0))</f>
        <v>0</v>
      </c>
      <c r="W752" s="6">
        <f>IF(ISERROR(VLOOKUP($T$752,'TAR FIN'!$A$1:$O$104,15,0)),0,VLOOKUP($T$752,'TAR FIN'!$A$1:$O$104,15,0))</f>
        <v>269.62</v>
      </c>
      <c r="X752" s="6">
        <f>IF(ISERROR(VLOOKUP($U$752,'TAR FIN'!$A$1:$O$104,15,0)),0,VLOOKUP($U$752,'TAR FIN'!$A$1:$O$104,15,0))</f>
        <v>230.15</v>
      </c>
      <c r="Y752" s="6"/>
      <c r="Z752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52" s="6">
        <f>('TE BE'!$AB$16+'TE BF'!$AB$16+'TE CVA'!$AB$16)*(1-CUSTOS!$M$36)</f>
        <v>218.22364531141577</v>
      </c>
      <c r="AB752" s="6">
        <f t="shared" si="38"/>
        <v>0</v>
      </c>
      <c r="AC752" s="6">
        <f>(L752-M752)*(W752+X752)+($W$784+$X$784-$W$752-$X$752)*(L752)</f>
        <v>825.08271999999931</v>
      </c>
      <c r="AD752" s="6">
        <f t="shared" si="39"/>
        <v>0</v>
      </c>
      <c r="AE752" s="6">
        <f ca="1">(L752-M752)*(Z752+AA752)+($Z$784+$AA$784-$Z$752-$AA$752)*(L752)</f>
        <v>794.66426339791792</v>
      </c>
      <c r="AF752" s="4" t="s">
        <v>1002</v>
      </c>
    </row>
    <row r="753" spans="1:32" ht="11.25" customHeight="1" x14ac:dyDescent="0.25">
      <c r="A753" s="4" t="s">
        <v>21</v>
      </c>
      <c r="B753" s="4" t="s">
        <v>22</v>
      </c>
      <c r="C753" s="4" t="s">
        <v>23</v>
      </c>
      <c r="D753" s="4" t="s">
        <v>24</v>
      </c>
      <c r="E753" s="4" t="s">
        <v>31</v>
      </c>
      <c r="F753" s="4" t="s">
        <v>25</v>
      </c>
      <c r="G753" s="4" t="s">
        <v>25</v>
      </c>
      <c r="H753" s="4" t="s">
        <v>25</v>
      </c>
      <c r="I753" s="5">
        <v>44470</v>
      </c>
      <c r="J753" s="6">
        <v>0</v>
      </c>
      <c r="K753" s="6">
        <v>0</v>
      </c>
      <c r="L753" s="6">
        <v>11556.401</v>
      </c>
      <c r="M753" s="6">
        <v>11556.401</v>
      </c>
      <c r="N753" s="6">
        <v>11556.401</v>
      </c>
      <c r="O753" s="6">
        <v>11556.401</v>
      </c>
      <c r="P753" s="6">
        <v>171958</v>
      </c>
      <c r="Q753" s="4" t="s">
        <v>26</v>
      </c>
      <c r="R753" s="4">
        <v>0</v>
      </c>
      <c r="S753" s="4">
        <v>0</v>
      </c>
      <c r="T753" s="4">
        <v>8</v>
      </c>
      <c r="U753" s="4">
        <v>75</v>
      </c>
      <c r="V753" s="6">
        <f>IF(ISERROR(VLOOKUP($S$753,'TAR FIN'!$A$1:$O$104,15,0)),0,VLOOKUP($S$753,'TAR FIN'!$A$1:$O$104,15,0))</f>
        <v>0</v>
      </c>
      <c r="W753" s="6">
        <f>IF(ISERROR(VLOOKUP($T$753,'TAR FIN'!$A$1:$O$104,15,0)),0,VLOOKUP($T$753,'TAR FIN'!$A$1:$O$104,15,0))</f>
        <v>269.62</v>
      </c>
      <c r="X753" s="6">
        <f>IF(ISERROR(VLOOKUP($U$753,'TAR FIN'!$A$1:$O$104,15,0)),0,VLOOKUP($U$753,'TAR FIN'!$A$1:$O$104,15,0))</f>
        <v>230.15</v>
      </c>
      <c r="Y753" s="6"/>
      <c r="Z753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53" s="6">
        <f>('TE BE'!$AB$16+'TE BF'!$AB$16+'TE CVA'!$AB$16)*(1-CUSTOS!$M$36)</f>
        <v>218.22364531141577</v>
      </c>
      <c r="AB753" s="6">
        <f t="shared" si="38"/>
        <v>0</v>
      </c>
      <c r="AC753" s="6">
        <f>(L753-M753)*(W753+X753)+($W$784+$X$784-$W$753-$X$753)*(L753)</f>
        <v>641611.38351999945</v>
      </c>
      <c r="AD753" s="6">
        <f t="shared" si="39"/>
        <v>0</v>
      </c>
      <c r="AE753" s="6">
        <f ca="1">(L753-M753)*(Z753+AA753)+($Z$784+$AA$784-$Z$753-$AA$753)*(L753)</f>
        <v>617956.99402435648</v>
      </c>
      <c r="AF753" s="4" t="s">
        <v>1002</v>
      </c>
    </row>
    <row r="754" spans="1:32" ht="11.25" customHeight="1" x14ac:dyDescent="0.25">
      <c r="A754" s="4" t="s">
        <v>27</v>
      </c>
      <c r="B754" s="4" t="s">
        <v>22</v>
      </c>
      <c r="C754" s="4" t="s">
        <v>23</v>
      </c>
      <c r="D754" s="4" t="s">
        <v>24</v>
      </c>
      <c r="E754" s="4" t="s">
        <v>31</v>
      </c>
      <c r="F754" s="4" t="s">
        <v>25</v>
      </c>
      <c r="G754" s="4" t="s">
        <v>25</v>
      </c>
      <c r="H754" s="4" t="s">
        <v>25</v>
      </c>
      <c r="I754" s="5">
        <v>44470</v>
      </c>
      <c r="J754" s="6">
        <v>0</v>
      </c>
      <c r="K754" s="6">
        <v>0</v>
      </c>
      <c r="L754" s="6">
        <v>-4.7309999999999999</v>
      </c>
      <c r="M754" s="6">
        <v>-4.7309999999999999</v>
      </c>
      <c r="N754" s="6">
        <v>-4.7309999999999999</v>
      </c>
      <c r="O754" s="6">
        <v>-4.7309999999999999</v>
      </c>
      <c r="P754" s="6">
        <v>-43</v>
      </c>
      <c r="Q754" s="4" t="s">
        <v>26</v>
      </c>
      <c r="R754" s="4">
        <v>0</v>
      </c>
      <c r="S754" s="4">
        <v>0</v>
      </c>
      <c r="T754" s="4">
        <v>8</v>
      </c>
      <c r="U754" s="4">
        <v>75</v>
      </c>
      <c r="V754" s="6">
        <f>IF(ISERROR(VLOOKUP($S$754,'TAR FIN'!$A$1:$O$104,15,0)),0,VLOOKUP($S$754,'TAR FIN'!$A$1:$O$104,15,0))</f>
        <v>0</v>
      </c>
      <c r="W754" s="6">
        <f>IF(ISERROR(VLOOKUP($T$754,'TAR FIN'!$A$1:$O$104,15,0)),0,VLOOKUP($T$754,'TAR FIN'!$A$1:$O$104,15,0))</f>
        <v>269.62</v>
      </c>
      <c r="X754" s="6">
        <f>IF(ISERROR(VLOOKUP($U$754,'TAR FIN'!$A$1:$O$104,15,0)),0,VLOOKUP($U$754,'TAR FIN'!$A$1:$O$104,15,0))</f>
        <v>230.15</v>
      </c>
      <c r="Y754" s="6"/>
      <c r="Z754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54" s="6">
        <f>('TE BE'!$AB$16+'TE BF'!$AB$16+'TE CVA'!$AB$16)*(1-CUSTOS!$M$36)</f>
        <v>218.22364531141577</v>
      </c>
      <c r="AB754" s="6">
        <f t="shared" si="38"/>
        <v>0</v>
      </c>
      <c r="AC754" s="6">
        <f>(L754-M754)*(W754+X754)+($W$784+$X$784-$W$754-$X$754)*(L754)</f>
        <v>-262.66511999999977</v>
      </c>
      <c r="AD754" s="6">
        <f t="shared" si="39"/>
        <v>0</v>
      </c>
      <c r="AE754" s="6">
        <f ca="1">(L754-M754)*(Z754+AA754)+($Z$784+$AA$784-$Z$754-$AA$754)*(L754)</f>
        <v>-252.98140301026507</v>
      </c>
      <c r="AF754" s="4" t="s">
        <v>1002</v>
      </c>
    </row>
    <row r="755" spans="1:32" ht="11.25" customHeight="1" x14ac:dyDescent="0.25">
      <c r="A755" s="4" t="s">
        <v>28</v>
      </c>
      <c r="B755" s="4" t="s">
        <v>22</v>
      </c>
      <c r="C755" s="4" t="s">
        <v>23</v>
      </c>
      <c r="D755" s="4" t="s">
        <v>24</v>
      </c>
      <c r="E755" s="4" t="s">
        <v>31</v>
      </c>
      <c r="F755" s="4" t="s">
        <v>25</v>
      </c>
      <c r="G755" s="4" t="s">
        <v>25</v>
      </c>
      <c r="H755" s="4" t="s">
        <v>25</v>
      </c>
      <c r="I755" s="5">
        <v>44470</v>
      </c>
      <c r="J755" s="6">
        <v>0</v>
      </c>
      <c r="K755" s="6">
        <v>0</v>
      </c>
      <c r="L755" s="6">
        <v>17.568000000000001</v>
      </c>
      <c r="M755" s="6">
        <v>17.568000000000001</v>
      </c>
      <c r="N755" s="6">
        <v>17.568000000000001</v>
      </c>
      <c r="O755" s="6">
        <v>17.568000000000001</v>
      </c>
      <c r="P755" s="6">
        <v>145</v>
      </c>
      <c r="Q755" s="4" t="s">
        <v>26</v>
      </c>
      <c r="R755" s="4">
        <v>0</v>
      </c>
      <c r="S755" s="4">
        <v>0</v>
      </c>
      <c r="T755" s="4">
        <v>8</v>
      </c>
      <c r="U755" s="4">
        <v>75</v>
      </c>
      <c r="V755" s="6">
        <f>IF(ISERROR(VLOOKUP($S$755,'TAR FIN'!$A$1:$O$104,15,0)),0,VLOOKUP($S$755,'TAR FIN'!$A$1:$O$104,15,0))</f>
        <v>0</v>
      </c>
      <c r="W755" s="6">
        <f>IF(ISERROR(VLOOKUP($T$755,'TAR FIN'!$A$1:$O$104,15,0)),0,VLOOKUP($T$755,'TAR FIN'!$A$1:$O$104,15,0))</f>
        <v>269.62</v>
      </c>
      <c r="X755" s="6">
        <f>IF(ISERROR(VLOOKUP($U$755,'TAR FIN'!$A$1:$O$104,15,0)),0,VLOOKUP($U$755,'TAR FIN'!$A$1:$O$104,15,0))</f>
        <v>230.15</v>
      </c>
      <c r="Y755" s="6"/>
      <c r="Z755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55" s="6">
        <f>('TE BE'!$AB$16+'TE BF'!$AB$16+'TE CVA'!$AB$16)*(1-CUSTOS!$M$36)</f>
        <v>218.22364531141577</v>
      </c>
      <c r="AB755" s="6">
        <f t="shared" si="38"/>
        <v>0</v>
      </c>
      <c r="AC755" s="6">
        <f>(L755-M755)*(W755+X755)+($W$784+$X$784-$W$755-$X$755)*(L755)</f>
        <v>975.3753599999992</v>
      </c>
      <c r="AD755" s="6">
        <f t="shared" si="39"/>
        <v>0</v>
      </c>
      <c r="AE755" s="6">
        <f ca="1">(L755-M755)*(Z755+AA755)+($Z$784+$AA$784-$Z$755-$AA$755)*(L755)</f>
        <v>939.41604060121267</v>
      </c>
      <c r="AF755" s="4" t="s">
        <v>1002</v>
      </c>
    </row>
    <row r="756" spans="1:32" ht="11.25" customHeight="1" x14ac:dyDescent="0.25">
      <c r="A756" s="4" t="s">
        <v>21</v>
      </c>
      <c r="B756" s="4" t="s">
        <v>22</v>
      </c>
      <c r="C756" s="4" t="s">
        <v>23</v>
      </c>
      <c r="D756" s="4" t="s">
        <v>24</v>
      </c>
      <c r="E756" s="4" t="s">
        <v>31</v>
      </c>
      <c r="F756" s="4" t="s">
        <v>25</v>
      </c>
      <c r="G756" s="4" t="s">
        <v>25</v>
      </c>
      <c r="H756" s="4" t="s">
        <v>25</v>
      </c>
      <c r="I756" s="5">
        <v>44501</v>
      </c>
      <c r="J756" s="6">
        <v>0</v>
      </c>
      <c r="K756" s="6">
        <v>0</v>
      </c>
      <c r="L756" s="6">
        <v>11665.414000000001</v>
      </c>
      <c r="M756" s="6">
        <v>11665.414000000001</v>
      </c>
      <c r="N756" s="6">
        <v>11665.414000000001</v>
      </c>
      <c r="O756" s="6">
        <v>11665.414000000001</v>
      </c>
      <c r="P756" s="6">
        <v>172032</v>
      </c>
      <c r="Q756" s="4" t="s">
        <v>26</v>
      </c>
      <c r="R756" s="4">
        <v>0</v>
      </c>
      <c r="S756" s="4">
        <v>0</v>
      </c>
      <c r="T756" s="4">
        <v>8</v>
      </c>
      <c r="U756" s="4">
        <v>75</v>
      </c>
      <c r="V756" s="6">
        <f>IF(ISERROR(VLOOKUP($S$756,'TAR FIN'!$A$1:$O$104,15,0)),0,VLOOKUP($S$756,'TAR FIN'!$A$1:$O$104,15,0))</f>
        <v>0</v>
      </c>
      <c r="W756" s="6">
        <f>IF(ISERROR(VLOOKUP($T$756,'TAR FIN'!$A$1:$O$104,15,0)),0,VLOOKUP($T$756,'TAR FIN'!$A$1:$O$104,15,0))</f>
        <v>269.62</v>
      </c>
      <c r="X756" s="6">
        <f>IF(ISERROR(VLOOKUP($U$756,'TAR FIN'!$A$1:$O$104,15,0)),0,VLOOKUP($U$756,'TAR FIN'!$A$1:$O$104,15,0))</f>
        <v>230.15</v>
      </c>
      <c r="Y756" s="6"/>
      <c r="Z756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56" s="6">
        <f>('TE BE'!$AB$16+'TE BF'!$AB$16+'TE CVA'!$AB$16)*(1-CUSTOS!$M$36)</f>
        <v>218.22364531141577</v>
      </c>
      <c r="AB756" s="6">
        <f t="shared" si="38"/>
        <v>0</v>
      </c>
      <c r="AC756" s="6">
        <f>(L756-M756)*(W756+X756)+($W$784+$X$784-$W$756-$X$756)*(L756)</f>
        <v>647663.78527999949</v>
      </c>
      <c r="AD756" s="6">
        <f t="shared" si="39"/>
        <v>0</v>
      </c>
      <c r="AE756" s="6">
        <f ca="1">(L756-M756)*(Z756+AA756)+($Z$784+$AA$784-$Z$756-$AA$756)*(L756)</f>
        <v>623786.26092064858</v>
      </c>
      <c r="AF756" s="4" t="s">
        <v>1002</v>
      </c>
    </row>
    <row r="757" spans="1:32" ht="11.25" customHeight="1" x14ac:dyDescent="0.25">
      <c r="A757" s="4" t="s">
        <v>27</v>
      </c>
      <c r="B757" s="4" t="s">
        <v>22</v>
      </c>
      <c r="C757" s="4" t="s">
        <v>23</v>
      </c>
      <c r="D757" s="4" t="s">
        <v>24</v>
      </c>
      <c r="E757" s="4" t="s">
        <v>31</v>
      </c>
      <c r="F757" s="4" t="s">
        <v>25</v>
      </c>
      <c r="G757" s="4" t="s">
        <v>25</v>
      </c>
      <c r="H757" s="4" t="s">
        <v>25</v>
      </c>
      <c r="I757" s="5">
        <v>44501</v>
      </c>
      <c r="J757" s="6">
        <v>0</v>
      </c>
      <c r="K757" s="6">
        <v>0</v>
      </c>
      <c r="L757" s="6">
        <v>-4.0759999999999996</v>
      </c>
      <c r="M757" s="6">
        <v>-4.0759999999999996</v>
      </c>
      <c r="N757" s="6">
        <v>-4.0759999999999996</v>
      </c>
      <c r="O757" s="6">
        <v>-4.0759999999999996</v>
      </c>
      <c r="P757" s="6">
        <v>-26</v>
      </c>
      <c r="Q757" s="4" t="s">
        <v>26</v>
      </c>
      <c r="R757" s="4">
        <v>0</v>
      </c>
      <c r="S757" s="4">
        <v>0</v>
      </c>
      <c r="T757" s="4">
        <v>8</v>
      </c>
      <c r="U757" s="4">
        <v>75</v>
      </c>
      <c r="V757" s="6">
        <f>IF(ISERROR(VLOOKUP($S$757,'TAR FIN'!$A$1:$O$104,15,0)),0,VLOOKUP($S$757,'TAR FIN'!$A$1:$O$104,15,0))</f>
        <v>0</v>
      </c>
      <c r="W757" s="6">
        <f>IF(ISERROR(VLOOKUP($T$757,'TAR FIN'!$A$1:$O$104,15,0)),0,VLOOKUP($T$757,'TAR FIN'!$A$1:$O$104,15,0))</f>
        <v>269.62</v>
      </c>
      <c r="X757" s="6">
        <f>IF(ISERROR(VLOOKUP($U$757,'TAR FIN'!$A$1:$O$104,15,0)),0,VLOOKUP($U$757,'TAR FIN'!$A$1:$O$104,15,0))</f>
        <v>230.15</v>
      </c>
      <c r="Y757" s="6"/>
      <c r="Z757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57" s="6">
        <f>('TE BE'!$AB$16+'TE BF'!$AB$16+'TE CVA'!$AB$16)*(1-CUSTOS!$M$36)</f>
        <v>218.22364531141577</v>
      </c>
      <c r="AB757" s="6">
        <f t="shared" si="38"/>
        <v>0</v>
      </c>
      <c r="AC757" s="6">
        <f>(L757-M757)*(W757+X757)+($W$784+$X$784-$W$757-$X$757)*(L757)</f>
        <v>-226.2995199999998</v>
      </c>
      <c r="AD757" s="6">
        <f t="shared" si="39"/>
        <v>0</v>
      </c>
      <c r="AE757" s="6">
        <f ca="1">(L757-M757)*(Z757+AA757)+($Z$784+$AA$784-$Z$757-$AA$757)*(L757)</f>
        <v>-217.95649940178407</v>
      </c>
      <c r="AF757" s="4" t="s">
        <v>1002</v>
      </c>
    </row>
    <row r="758" spans="1:32" ht="11.25" customHeight="1" x14ac:dyDescent="0.25">
      <c r="A758" s="4" t="s">
        <v>28</v>
      </c>
      <c r="B758" s="4" t="s">
        <v>22</v>
      </c>
      <c r="C758" s="4" t="s">
        <v>23</v>
      </c>
      <c r="D758" s="4" t="s">
        <v>24</v>
      </c>
      <c r="E758" s="4" t="s">
        <v>31</v>
      </c>
      <c r="F758" s="4" t="s">
        <v>25</v>
      </c>
      <c r="G758" s="4" t="s">
        <v>25</v>
      </c>
      <c r="H758" s="4" t="s">
        <v>25</v>
      </c>
      <c r="I758" s="5">
        <v>44501</v>
      </c>
      <c r="J758" s="6">
        <v>0</v>
      </c>
      <c r="K758" s="6">
        <v>0</v>
      </c>
      <c r="L758" s="6">
        <v>17.651</v>
      </c>
      <c r="M758" s="6">
        <v>17.651</v>
      </c>
      <c r="N758" s="6">
        <v>17.651</v>
      </c>
      <c r="O758" s="6">
        <v>17.651</v>
      </c>
      <c r="P758" s="6">
        <v>149</v>
      </c>
      <c r="Q758" s="4" t="s">
        <v>26</v>
      </c>
      <c r="R758" s="4">
        <v>0</v>
      </c>
      <c r="S758" s="4">
        <v>0</v>
      </c>
      <c r="T758" s="4">
        <v>8</v>
      </c>
      <c r="U758" s="4">
        <v>75</v>
      </c>
      <c r="V758" s="6">
        <f>IF(ISERROR(VLOOKUP($S$758,'TAR FIN'!$A$1:$O$104,15,0)),0,VLOOKUP($S$758,'TAR FIN'!$A$1:$O$104,15,0))</f>
        <v>0</v>
      </c>
      <c r="W758" s="6">
        <f>IF(ISERROR(VLOOKUP($T$758,'TAR FIN'!$A$1:$O$104,15,0)),0,VLOOKUP($T$758,'TAR FIN'!$A$1:$O$104,15,0))</f>
        <v>269.62</v>
      </c>
      <c r="X758" s="6">
        <f>IF(ISERROR(VLOOKUP($U$758,'TAR FIN'!$A$1:$O$104,15,0)),0,VLOOKUP($U$758,'TAR FIN'!$A$1:$O$104,15,0))</f>
        <v>230.15</v>
      </c>
      <c r="Y758" s="6"/>
      <c r="Z758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58" s="6">
        <f>('TE BE'!$AB$16+'TE BF'!$AB$16+'TE CVA'!$AB$16)*(1-CUSTOS!$M$36)</f>
        <v>218.22364531141577</v>
      </c>
      <c r="AB758" s="6">
        <f t="shared" si="38"/>
        <v>0</v>
      </c>
      <c r="AC758" s="6">
        <f>(L758-M758)*(W758+X758)+($W$784+$X$784-$W$758-$X$758)*(L758)</f>
        <v>979.9835199999992</v>
      </c>
      <c r="AD758" s="6">
        <f t="shared" si="39"/>
        <v>0</v>
      </c>
      <c r="AE758" s="6">
        <f ca="1">(L758-M758)*(Z758+AA758)+($Z$784+$AA$784-$Z$758-$AA$758)*(L758)</f>
        <v>943.85431082946286</v>
      </c>
      <c r="AF758" s="4" t="s">
        <v>1002</v>
      </c>
    </row>
    <row r="759" spans="1:32" ht="11.25" customHeight="1" x14ac:dyDescent="0.25">
      <c r="A759" s="4" t="s">
        <v>21</v>
      </c>
      <c r="B759" s="4" t="s">
        <v>22</v>
      </c>
      <c r="C759" s="4" t="s">
        <v>23</v>
      </c>
      <c r="D759" s="4" t="s">
        <v>24</v>
      </c>
      <c r="E759" s="4" t="s">
        <v>31</v>
      </c>
      <c r="F759" s="4" t="s">
        <v>25</v>
      </c>
      <c r="G759" s="4" t="s">
        <v>25</v>
      </c>
      <c r="H759" s="4" t="s">
        <v>25</v>
      </c>
      <c r="I759" s="5">
        <v>44531</v>
      </c>
      <c r="J759" s="6">
        <v>0</v>
      </c>
      <c r="K759" s="6">
        <v>0</v>
      </c>
      <c r="L759" s="6">
        <v>14346.074000000001</v>
      </c>
      <c r="M759" s="6">
        <v>14346.074000000001</v>
      </c>
      <c r="N759" s="6">
        <v>14346.074000000001</v>
      </c>
      <c r="O759" s="6">
        <v>14346.074000000001</v>
      </c>
      <c r="P759" s="6">
        <v>189972</v>
      </c>
      <c r="Q759" s="4" t="s">
        <v>26</v>
      </c>
      <c r="R759" s="4">
        <v>0</v>
      </c>
      <c r="S759" s="4">
        <v>0</v>
      </c>
      <c r="T759" s="4">
        <v>8</v>
      </c>
      <c r="U759" s="4">
        <v>75</v>
      </c>
      <c r="V759" s="6">
        <f>IF(ISERROR(VLOOKUP($S$759,'TAR FIN'!$A$1:$O$104,15,0)),0,VLOOKUP($S$759,'TAR FIN'!$A$1:$O$104,15,0))</f>
        <v>0</v>
      </c>
      <c r="W759" s="6">
        <f>IF(ISERROR(VLOOKUP($T$759,'TAR FIN'!$A$1:$O$104,15,0)),0,VLOOKUP($T$759,'TAR FIN'!$A$1:$O$104,15,0))</f>
        <v>269.62</v>
      </c>
      <c r="X759" s="6">
        <f>IF(ISERROR(VLOOKUP($U$759,'TAR FIN'!$A$1:$O$104,15,0)),0,VLOOKUP($U$759,'TAR FIN'!$A$1:$O$104,15,0))</f>
        <v>230.15</v>
      </c>
      <c r="Y759" s="6"/>
      <c r="Z759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59" s="6">
        <f>('TE BE'!$AB$16+'TE BF'!$AB$16+'TE CVA'!$AB$16)*(1-CUSTOS!$M$36)</f>
        <v>218.22364531141577</v>
      </c>
      <c r="AB759" s="6">
        <f t="shared" si="38"/>
        <v>0</v>
      </c>
      <c r="AC759" s="6">
        <f>(L759-M759)*(W759+X759)+($W$784+$X$784-$W$759-$X$759)*(L759)</f>
        <v>796494.0284799994</v>
      </c>
      <c r="AD759" s="6">
        <f t="shared" si="39"/>
        <v>0</v>
      </c>
      <c r="AE759" s="6">
        <f ca="1">(L759-M759)*(Z759+AA759)+($Z$784+$AA$784-$Z$759-$AA$759)*(L759)</f>
        <v>767129.55574066495</v>
      </c>
      <c r="AF759" s="4" t="s">
        <v>1002</v>
      </c>
    </row>
    <row r="760" spans="1:32" ht="11.25" customHeight="1" x14ac:dyDescent="0.25">
      <c r="A760" s="4" t="s">
        <v>27</v>
      </c>
      <c r="B760" s="4" t="s">
        <v>22</v>
      </c>
      <c r="C760" s="4" t="s">
        <v>23</v>
      </c>
      <c r="D760" s="4" t="s">
        <v>24</v>
      </c>
      <c r="E760" s="4" t="s">
        <v>31</v>
      </c>
      <c r="F760" s="4" t="s">
        <v>25</v>
      </c>
      <c r="G760" s="4" t="s">
        <v>25</v>
      </c>
      <c r="H760" s="4" t="s">
        <v>25</v>
      </c>
      <c r="I760" s="5">
        <v>44531</v>
      </c>
      <c r="J760" s="6">
        <v>0</v>
      </c>
      <c r="K760" s="6">
        <v>0</v>
      </c>
      <c r="L760" s="6">
        <v>-3.3580000000000001</v>
      </c>
      <c r="M760" s="6">
        <v>-3.3580000000000001</v>
      </c>
      <c r="N760" s="6">
        <v>-3.3580000000000001</v>
      </c>
      <c r="O760" s="6">
        <v>-3.3580000000000001</v>
      </c>
      <c r="P760" s="6">
        <v>-17</v>
      </c>
      <c r="Q760" s="4" t="s">
        <v>26</v>
      </c>
      <c r="R760" s="4">
        <v>0</v>
      </c>
      <c r="S760" s="4">
        <v>0</v>
      </c>
      <c r="T760" s="4">
        <v>8</v>
      </c>
      <c r="U760" s="4">
        <v>75</v>
      </c>
      <c r="V760" s="6">
        <f>IF(ISERROR(VLOOKUP($S$760,'TAR FIN'!$A$1:$O$104,15,0)),0,VLOOKUP($S$760,'TAR FIN'!$A$1:$O$104,15,0))</f>
        <v>0</v>
      </c>
      <c r="W760" s="6">
        <f>IF(ISERROR(VLOOKUP($T$760,'TAR FIN'!$A$1:$O$104,15,0)),0,VLOOKUP($T$760,'TAR FIN'!$A$1:$O$104,15,0))</f>
        <v>269.62</v>
      </c>
      <c r="X760" s="6">
        <f>IF(ISERROR(VLOOKUP($U$760,'TAR FIN'!$A$1:$O$104,15,0)),0,VLOOKUP($U$760,'TAR FIN'!$A$1:$O$104,15,0))</f>
        <v>230.15</v>
      </c>
      <c r="Y760" s="6"/>
      <c r="Z760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60" s="6">
        <f>('TE BE'!$AB$16+'TE BF'!$AB$16+'TE CVA'!$AB$16)*(1-CUSTOS!$M$36)</f>
        <v>218.22364531141577</v>
      </c>
      <c r="AB760" s="6">
        <f t="shared" si="38"/>
        <v>0</v>
      </c>
      <c r="AC760" s="6">
        <f>(L760-M760)*(W760+X760)+($W$784+$X$784-$W$760-$X$760)*(L760)</f>
        <v>-186.43615999999986</v>
      </c>
      <c r="AD760" s="6">
        <f t="shared" si="39"/>
        <v>0</v>
      </c>
      <c r="AE760" s="6">
        <f ca="1">(L760-M760)*(Z760+AA760)+($Z$784+$AA$784-$Z$760-$AA$760)*(L760)</f>
        <v>-179.56278827065529</v>
      </c>
      <c r="AF760" s="4" t="s">
        <v>1002</v>
      </c>
    </row>
    <row r="761" spans="1:32" ht="11.25" customHeight="1" x14ac:dyDescent="0.25">
      <c r="A761" s="4" t="s">
        <v>28</v>
      </c>
      <c r="B761" s="4" t="s">
        <v>22</v>
      </c>
      <c r="C761" s="4" t="s">
        <v>23</v>
      </c>
      <c r="D761" s="4" t="s">
        <v>24</v>
      </c>
      <c r="E761" s="4" t="s">
        <v>31</v>
      </c>
      <c r="F761" s="4" t="s">
        <v>25</v>
      </c>
      <c r="G761" s="4" t="s">
        <v>25</v>
      </c>
      <c r="H761" s="4" t="s">
        <v>25</v>
      </c>
      <c r="I761" s="5">
        <v>44531</v>
      </c>
      <c r="J761" s="6">
        <v>0</v>
      </c>
      <c r="K761" s="6">
        <v>0</v>
      </c>
      <c r="L761" s="6">
        <v>24.507999999999999</v>
      </c>
      <c r="M761" s="6">
        <v>24.507999999999999</v>
      </c>
      <c r="N761" s="6">
        <v>24.507999999999999</v>
      </c>
      <c r="O761" s="6">
        <v>24.507999999999999</v>
      </c>
      <c r="P761" s="6">
        <v>132</v>
      </c>
      <c r="Q761" s="4" t="s">
        <v>26</v>
      </c>
      <c r="R761" s="4">
        <v>0</v>
      </c>
      <c r="S761" s="4">
        <v>0</v>
      </c>
      <c r="T761" s="4">
        <v>8</v>
      </c>
      <c r="U761" s="4">
        <v>75</v>
      </c>
      <c r="V761" s="6">
        <f>IF(ISERROR(VLOOKUP($S$761,'TAR FIN'!$A$1:$O$104,15,0)),0,VLOOKUP($S$761,'TAR FIN'!$A$1:$O$104,15,0))</f>
        <v>0</v>
      </c>
      <c r="W761" s="6">
        <f>IF(ISERROR(VLOOKUP($T$761,'TAR FIN'!$A$1:$O$104,15,0)),0,VLOOKUP($T$761,'TAR FIN'!$A$1:$O$104,15,0))</f>
        <v>269.62</v>
      </c>
      <c r="X761" s="6">
        <f>IF(ISERROR(VLOOKUP($U$761,'TAR FIN'!$A$1:$O$104,15,0)),0,VLOOKUP($U$761,'TAR FIN'!$A$1:$O$104,15,0))</f>
        <v>230.15</v>
      </c>
      <c r="Y761" s="6"/>
      <c r="Z761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61" s="6">
        <f>('TE BE'!$AB$16+'TE BF'!$AB$16+'TE CVA'!$AB$16)*(1-CUSTOS!$M$36)</f>
        <v>218.22364531141577</v>
      </c>
      <c r="AB761" s="6">
        <f t="shared" si="38"/>
        <v>0</v>
      </c>
      <c r="AC761" s="6">
        <f>(L761-M761)*(W761+X761)+($W$784+$X$784-$W$761-$X$761)*(L761)</f>
        <v>1360.6841599999989</v>
      </c>
      <c r="AD761" s="6">
        <f t="shared" si="39"/>
        <v>0</v>
      </c>
      <c r="AE761" s="6">
        <f ca="1">(L761-M761)*(Z761+AA761)+($Z$784+$AA$784-$Z$761-$AA$761)*(L761)</f>
        <v>1310.5195994452708</v>
      </c>
      <c r="AF761" s="4" t="s">
        <v>1002</v>
      </c>
    </row>
    <row r="762" spans="1:32" ht="11.25" customHeight="1" x14ac:dyDescent="0.25">
      <c r="A762" s="4" t="s">
        <v>21</v>
      </c>
      <c r="B762" s="4" t="s">
        <v>22</v>
      </c>
      <c r="C762" s="4" t="s">
        <v>23</v>
      </c>
      <c r="D762" s="4" t="s">
        <v>24</v>
      </c>
      <c r="E762" s="4" t="s">
        <v>31</v>
      </c>
      <c r="F762" s="4" t="s">
        <v>25</v>
      </c>
      <c r="G762" s="4" t="s">
        <v>25</v>
      </c>
      <c r="H762" s="4" t="s">
        <v>25</v>
      </c>
      <c r="I762" s="5">
        <v>44562</v>
      </c>
      <c r="J762" s="6">
        <v>0</v>
      </c>
      <c r="K762" s="6">
        <v>0</v>
      </c>
      <c r="L762" s="6">
        <v>12718.638000000001</v>
      </c>
      <c r="M762" s="6">
        <v>12718.638000000001</v>
      </c>
      <c r="N762" s="6">
        <v>12718.638000000001</v>
      </c>
      <c r="O762" s="6">
        <v>12718.638000000001</v>
      </c>
      <c r="P762" s="6">
        <v>179781</v>
      </c>
      <c r="Q762" s="4" t="s">
        <v>26</v>
      </c>
      <c r="R762" s="4">
        <v>0</v>
      </c>
      <c r="S762" s="4">
        <v>0</v>
      </c>
      <c r="T762" s="4">
        <v>8</v>
      </c>
      <c r="U762" s="4">
        <v>75</v>
      </c>
      <c r="V762" s="6">
        <f>IF(ISERROR(VLOOKUP($S$762,'TAR FIN'!$A$1:$O$104,15,0)),0,VLOOKUP($S$762,'TAR FIN'!$A$1:$O$104,15,0))</f>
        <v>0</v>
      </c>
      <c r="W762" s="6">
        <f>IF(ISERROR(VLOOKUP($T$762,'TAR FIN'!$A$1:$O$104,15,0)),0,VLOOKUP($T$762,'TAR FIN'!$A$1:$O$104,15,0))</f>
        <v>269.62</v>
      </c>
      <c r="X762" s="6">
        <f>IF(ISERROR(VLOOKUP($U$762,'TAR FIN'!$A$1:$O$104,15,0)),0,VLOOKUP($U$762,'TAR FIN'!$A$1:$O$104,15,0))</f>
        <v>230.15</v>
      </c>
      <c r="Y762" s="6"/>
      <c r="Z762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62" s="6">
        <f>('TE BE'!$AB$16+'TE BF'!$AB$16+'TE CVA'!$AB$16)*(1-CUSTOS!$M$36)</f>
        <v>218.22364531141577</v>
      </c>
      <c r="AB762" s="6">
        <f t="shared" si="38"/>
        <v>0</v>
      </c>
      <c r="AC762" s="6">
        <f>(L762-M762)*(W762+X762)+($W$784+$X$784-$W$762-$X$762)*(L762)</f>
        <v>706138.78175999946</v>
      </c>
      <c r="AD762" s="6">
        <f t="shared" si="39"/>
        <v>0</v>
      </c>
      <c r="AE762" s="6">
        <f ca="1">(L762-M762)*(Z762+AA762)+($Z$784+$AA$784-$Z$762-$AA$762)*(L762)</f>
        <v>680105.45035292162</v>
      </c>
      <c r="AF762" s="4" t="s">
        <v>1002</v>
      </c>
    </row>
    <row r="763" spans="1:32" ht="11.25" customHeight="1" x14ac:dyDescent="0.25">
      <c r="A763" s="4" t="s">
        <v>27</v>
      </c>
      <c r="B763" s="4" t="s">
        <v>22</v>
      </c>
      <c r="C763" s="4" t="s">
        <v>23</v>
      </c>
      <c r="D763" s="4" t="s">
        <v>24</v>
      </c>
      <c r="E763" s="4" t="s">
        <v>31</v>
      </c>
      <c r="F763" s="4" t="s">
        <v>25</v>
      </c>
      <c r="G763" s="4" t="s">
        <v>25</v>
      </c>
      <c r="H763" s="4" t="s">
        <v>25</v>
      </c>
      <c r="I763" s="5">
        <v>44562</v>
      </c>
      <c r="J763" s="6">
        <v>0</v>
      </c>
      <c r="K763" s="6">
        <v>0</v>
      </c>
      <c r="L763" s="6">
        <v>-3.8540000000000001</v>
      </c>
      <c r="M763" s="6">
        <v>-3.8540000000000001</v>
      </c>
      <c r="N763" s="6">
        <v>-3.8540000000000001</v>
      </c>
      <c r="O763" s="6">
        <v>-3.8540000000000001</v>
      </c>
      <c r="P763" s="6">
        <v>-25</v>
      </c>
      <c r="Q763" s="4" t="s">
        <v>26</v>
      </c>
      <c r="R763" s="4">
        <v>0</v>
      </c>
      <c r="S763" s="4">
        <v>0</v>
      </c>
      <c r="T763" s="4">
        <v>8</v>
      </c>
      <c r="U763" s="4">
        <v>75</v>
      </c>
      <c r="V763" s="6">
        <f>IF(ISERROR(VLOOKUP($S$763,'TAR FIN'!$A$1:$O$104,15,0)),0,VLOOKUP($S$763,'TAR FIN'!$A$1:$O$104,15,0))</f>
        <v>0</v>
      </c>
      <c r="W763" s="6">
        <f>IF(ISERROR(VLOOKUP($T$763,'TAR FIN'!$A$1:$O$104,15,0)),0,VLOOKUP($T$763,'TAR FIN'!$A$1:$O$104,15,0))</f>
        <v>269.62</v>
      </c>
      <c r="X763" s="6">
        <f>IF(ISERROR(VLOOKUP($U$763,'TAR FIN'!$A$1:$O$104,15,0)),0,VLOOKUP($U$763,'TAR FIN'!$A$1:$O$104,15,0))</f>
        <v>230.15</v>
      </c>
      <c r="Y763" s="6"/>
      <c r="Z763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63" s="6">
        <f>('TE BE'!$AB$16+'TE BF'!$AB$16+'TE CVA'!$AB$16)*(1-CUSTOS!$M$36)</f>
        <v>218.22364531141577</v>
      </c>
      <c r="AB763" s="6">
        <f t="shared" si="38"/>
        <v>0</v>
      </c>
      <c r="AC763" s="6">
        <f>(L763-M763)*(W763+X763)+($W$784+$X$784-$W$763-$X$763)*(L763)</f>
        <v>-213.97407999999982</v>
      </c>
      <c r="AD763" s="6">
        <f t="shared" si="39"/>
        <v>0</v>
      </c>
      <c r="AE763" s="6">
        <f ca="1">(L763-M763)*(Z763+AA763)+($Z$784+$AA$784-$Z$763-$AA$763)*(L763)</f>
        <v>-206.08546336959662</v>
      </c>
      <c r="AF763" s="4" t="s">
        <v>1002</v>
      </c>
    </row>
    <row r="764" spans="1:32" ht="11.25" customHeight="1" x14ac:dyDescent="0.25">
      <c r="A764" s="4" t="s">
        <v>28</v>
      </c>
      <c r="B764" s="4" t="s">
        <v>22</v>
      </c>
      <c r="C764" s="4" t="s">
        <v>23</v>
      </c>
      <c r="D764" s="4" t="s">
        <v>24</v>
      </c>
      <c r="E764" s="4" t="s">
        <v>31</v>
      </c>
      <c r="F764" s="4" t="s">
        <v>25</v>
      </c>
      <c r="G764" s="4" t="s">
        <v>25</v>
      </c>
      <c r="H764" s="4" t="s">
        <v>25</v>
      </c>
      <c r="I764" s="5">
        <v>44562</v>
      </c>
      <c r="J764" s="6">
        <v>0</v>
      </c>
      <c r="K764" s="6">
        <v>0</v>
      </c>
      <c r="L764" s="6">
        <v>22.459</v>
      </c>
      <c r="M764" s="6">
        <v>22.459</v>
      </c>
      <c r="N764" s="6">
        <v>22.459</v>
      </c>
      <c r="O764" s="6">
        <v>22.459</v>
      </c>
      <c r="P764" s="6">
        <v>177</v>
      </c>
      <c r="Q764" s="4" t="s">
        <v>26</v>
      </c>
      <c r="R764" s="4">
        <v>0</v>
      </c>
      <c r="S764" s="4">
        <v>0</v>
      </c>
      <c r="T764" s="4">
        <v>8</v>
      </c>
      <c r="U764" s="4">
        <v>75</v>
      </c>
      <c r="V764" s="6">
        <f>IF(ISERROR(VLOOKUP($S$764,'TAR FIN'!$A$1:$O$104,15,0)),0,VLOOKUP($S$764,'TAR FIN'!$A$1:$O$104,15,0))</f>
        <v>0</v>
      </c>
      <c r="W764" s="6">
        <f>IF(ISERROR(VLOOKUP($T$764,'TAR FIN'!$A$1:$O$104,15,0)),0,VLOOKUP($T$764,'TAR FIN'!$A$1:$O$104,15,0))</f>
        <v>269.62</v>
      </c>
      <c r="X764" s="6">
        <f>IF(ISERROR(VLOOKUP($U$764,'TAR FIN'!$A$1:$O$104,15,0)),0,VLOOKUP($U$764,'TAR FIN'!$A$1:$O$104,15,0))</f>
        <v>230.15</v>
      </c>
      <c r="Y764" s="6"/>
      <c r="Z764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64" s="6">
        <f>('TE BE'!$AB$16+'TE BF'!$AB$16+'TE CVA'!$AB$16)*(1-CUSTOS!$M$36)</f>
        <v>218.22364531141577</v>
      </c>
      <c r="AB764" s="6">
        <f t="shared" si="38"/>
        <v>0</v>
      </c>
      <c r="AC764" s="6">
        <f>(L764-M764)*(W764+X764)+($W$784+$X$784-$W$764-$X$764)*(L764)</f>
        <v>1246.923679999999</v>
      </c>
      <c r="AD764" s="6">
        <f t="shared" si="39"/>
        <v>0</v>
      </c>
      <c r="AE764" s="6">
        <f ca="1">(L764-M764)*(Z764+AA764)+($Z$784+$AA$784-$Z$764-$AA$764)*(L764)</f>
        <v>1200.9531452562976</v>
      </c>
      <c r="AF764" s="4" t="s">
        <v>1002</v>
      </c>
    </row>
    <row r="765" spans="1:32" ht="11.25" customHeight="1" x14ac:dyDescent="0.25">
      <c r="A765" s="4" t="s">
        <v>28</v>
      </c>
      <c r="B765" s="4" t="s">
        <v>22</v>
      </c>
      <c r="C765" s="4" t="s">
        <v>23</v>
      </c>
      <c r="D765" s="4" t="s">
        <v>24</v>
      </c>
      <c r="E765" s="4" t="s">
        <v>31</v>
      </c>
      <c r="F765" s="4" t="s">
        <v>25</v>
      </c>
      <c r="G765" s="4" t="s">
        <v>25</v>
      </c>
      <c r="H765" s="4" t="s">
        <v>25</v>
      </c>
      <c r="I765" s="5">
        <v>44562</v>
      </c>
      <c r="J765" s="6">
        <v>0</v>
      </c>
      <c r="K765" s="6">
        <v>0</v>
      </c>
      <c r="L765" s="6">
        <v>-0.12</v>
      </c>
      <c r="M765" s="6">
        <v>-0.12</v>
      </c>
      <c r="N765" s="6">
        <v>-0.12</v>
      </c>
      <c r="O765" s="6">
        <v>-0.12</v>
      </c>
      <c r="P765" s="6">
        <v>0</v>
      </c>
      <c r="Q765" s="4" t="s">
        <v>26</v>
      </c>
      <c r="R765" s="4">
        <v>0</v>
      </c>
      <c r="S765" s="4">
        <v>0</v>
      </c>
      <c r="T765" s="4">
        <v>8</v>
      </c>
      <c r="U765" s="4">
        <v>75</v>
      </c>
      <c r="V765" s="6">
        <f>IF(ISERROR(VLOOKUP($S$765,'TAR FIN'!$A$1:$O$104,15,0)),0,VLOOKUP($S$765,'TAR FIN'!$A$1:$O$104,15,0))</f>
        <v>0</v>
      </c>
      <c r="W765" s="6">
        <f>IF(ISERROR(VLOOKUP($T$765,'TAR FIN'!$A$1:$O$104,15,0)),0,VLOOKUP($T$765,'TAR FIN'!$A$1:$O$104,15,0))</f>
        <v>269.62</v>
      </c>
      <c r="X765" s="6">
        <f>IF(ISERROR(VLOOKUP($U$765,'TAR FIN'!$A$1:$O$104,15,0)),0,VLOOKUP($U$765,'TAR FIN'!$A$1:$O$104,15,0))</f>
        <v>230.15</v>
      </c>
      <c r="Y765" s="6"/>
      <c r="Z765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65" s="6">
        <f>('TE BE'!$AB$16+'TE BF'!$AB$16+'TE CVA'!$AB$16)*(1-CUSTOS!$M$36)</f>
        <v>218.22364531141577</v>
      </c>
      <c r="AB765" s="6">
        <f t="shared" si="38"/>
        <v>0</v>
      </c>
      <c r="AC765" s="6">
        <f>(L765-M765)*(W765+X765)+($W$784+$X$784-$W$765-$X$765)*(L765)</f>
        <v>-6.6623999999999945</v>
      </c>
      <c r="AD765" s="6">
        <f t="shared" si="39"/>
        <v>0</v>
      </c>
      <c r="AE765" s="6">
        <f ca="1">(L765-M765)*(Z765+AA765)+($Z$784+$AA$784-$Z$765-$AA$765)*(L765)</f>
        <v>-6.41677623361484</v>
      </c>
      <c r="AF765" s="4" t="s">
        <v>1002</v>
      </c>
    </row>
    <row r="766" spans="1:32" ht="11.25" customHeight="1" x14ac:dyDescent="0.25">
      <c r="A766" s="4" t="s">
        <v>21</v>
      </c>
      <c r="B766" s="4" t="s">
        <v>22</v>
      </c>
      <c r="C766" s="4" t="s">
        <v>23</v>
      </c>
      <c r="D766" s="4" t="s">
        <v>24</v>
      </c>
      <c r="E766" s="4" t="s">
        <v>31</v>
      </c>
      <c r="F766" s="4" t="s">
        <v>25</v>
      </c>
      <c r="G766" s="4" t="s">
        <v>25</v>
      </c>
      <c r="H766" s="4" t="s">
        <v>25</v>
      </c>
      <c r="I766" s="5">
        <v>44593</v>
      </c>
      <c r="J766" s="6">
        <v>0</v>
      </c>
      <c r="K766" s="6">
        <v>0</v>
      </c>
      <c r="L766" s="6">
        <v>11096.271000000001</v>
      </c>
      <c r="M766" s="6">
        <v>11096.271000000001</v>
      </c>
      <c r="N766" s="6">
        <v>11096.271000000001</v>
      </c>
      <c r="O766" s="6">
        <v>11096.271000000001</v>
      </c>
      <c r="P766" s="6">
        <v>170419</v>
      </c>
      <c r="Q766" s="4" t="s">
        <v>26</v>
      </c>
      <c r="R766" s="4">
        <v>0</v>
      </c>
      <c r="S766" s="4">
        <v>0</v>
      </c>
      <c r="T766" s="4">
        <v>8</v>
      </c>
      <c r="U766" s="4">
        <v>75</v>
      </c>
      <c r="V766" s="6">
        <f>IF(ISERROR(VLOOKUP($S$766,'TAR FIN'!$A$1:$O$104,15,0)),0,VLOOKUP($S$766,'TAR FIN'!$A$1:$O$104,15,0))</f>
        <v>0</v>
      </c>
      <c r="W766" s="6">
        <f>IF(ISERROR(VLOOKUP($T$766,'TAR FIN'!$A$1:$O$104,15,0)),0,VLOOKUP($T$766,'TAR FIN'!$A$1:$O$104,15,0))</f>
        <v>269.62</v>
      </c>
      <c r="X766" s="6">
        <f>IF(ISERROR(VLOOKUP($U$766,'TAR FIN'!$A$1:$O$104,15,0)),0,VLOOKUP($U$766,'TAR FIN'!$A$1:$O$104,15,0))</f>
        <v>230.15</v>
      </c>
      <c r="Y766" s="6"/>
      <c r="Z766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66" s="6">
        <f>('TE BE'!$AB$16+'TE BF'!$AB$16+'TE CVA'!$AB$16)*(1-CUSTOS!$M$36)</f>
        <v>218.22364531141577</v>
      </c>
      <c r="AB766" s="6">
        <f t="shared" si="38"/>
        <v>0</v>
      </c>
      <c r="AC766" s="6">
        <f>(L766-M766)*(W766+X766)+($W$784+$X$784-$W$766-$X$766)*(L766)</f>
        <v>616064.96591999952</v>
      </c>
      <c r="AD766" s="6">
        <f t="shared" si="39"/>
        <v>0</v>
      </c>
      <c r="AE766" s="6">
        <f ca="1">(L766-M766)*(Z766+AA766)+($Z$784+$AA$784-$Z$766-$AA$766)*(L766)</f>
        <v>593352.40028791316</v>
      </c>
      <c r="AF766" s="4" t="s">
        <v>1002</v>
      </c>
    </row>
    <row r="767" spans="1:32" ht="11.25" customHeight="1" x14ac:dyDescent="0.25">
      <c r="A767" s="4" t="s">
        <v>27</v>
      </c>
      <c r="B767" s="4" t="s">
        <v>22</v>
      </c>
      <c r="C767" s="4" t="s">
        <v>23</v>
      </c>
      <c r="D767" s="4" t="s">
        <v>24</v>
      </c>
      <c r="E767" s="4" t="s">
        <v>31</v>
      </c>
      <c r="F767" s="4" t="s">
        <v>25</v>
      </c>
      <c r="G767" s="4" t="s">
        <v>25</v>
      </c>
      <c r="H767" s="4" t="s">
        <v>25</v>
      </c>
      <c r="I767" s="5">
        <v>44593</v>
      </c>
      <c r="J767" s="6">
        <v>0</v>
      </c>
      <c r="K767" s="6">
        <v>0</v>
      </c>
      <c r="L767" s="6">
        <v>-5.6360000000000001</v>
      </c>
      <c r="M767" s="6">
        <v>-5.6360000000000001</v>
      </c>
      <c r="N767" s="6">
        <v>-5.6360000000000001</v>
      </c>
      <c r="O767" s="6">
        <v>-5.6360000000000001</v>
      </c>
      <c r="P767" s="6">
        <v>-38</v>
      </c>
      <c r="Q767" s="4" t="s">
        <v>26</v>
      </c>
      <c r="R767" s="4">
        <v>0</v>
      </c>
      <c r="S767" s="4">
        <v>0</v>
      </c>
      <c r="T767" s="4">
        <v>8</v>
      </c>
      <c r="U767" s="4">
        <v>75</v>
      </c>
      <c r="V767" s="6">
        <f>IF(ISERROR(VLOOKUP($S$767,'TAR FIN'!$A$1:$O$104,15,0)),0,VLOOKUP($S$767,'TAR FIN'!$A$1:$O$104,15,0))</f>
        <v>0</v>
      </c>
      <c r="W767" s="6">
        <f>IF(ISERROR(VLOOKUP($T$767,'TAR FIN'!$A$1:$O$104,15,0)),0,VLOOKUP($T$767,'TAR FIN'!$A$1:$O$104,15,0))</f>
        <v>269.62</v>
      </c>
      <c r="X767" s="6">
        <f>IF(ISERROR(VLOOKUP($U$767,'TAR FIN'!$A$1:$O$104,15,0)),0,VLOOKUP($U$767,'TAR FIN'!$A$1:$O$104,15,0))</f>
        <v>230.15</v>
      </c>
      <c r="Y767" s="6"/>
      <c r="Z767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67" s="6">
        <f>('TE BE'!$AB$16+'TE BF'!$AB$16+'TE CVA'!$AB$16)*(1-CUSTOS!$M$36)</f>
        <v>218.22364531141577</v>
      </c>
      <c r="AB767" s="6">
        <f t="shared" si="38"/>
        <v>0</v>
      </c>
      <c r="AC767" s="6">
        <f>(L767-M767)*(W767+X767)+($W$784+$X$784-$W$767-$X$767)*(L767)</f>
        <v>-312.91071999999974</v>
      </c>
      <c r="AD767" s="6">
        <f t="shared" si="39"/>
        <v>0</v>
      </c>
      <c r="AE767" s="6">
        <f ca="1">(L767-M767)*(Z767+AA767)+($Z$784+$AA$784-$Z$767-$AA$767)*(L767)</f>
        <v>-301.37459043877703</v>
      </c>
      <c r="AF767" s="4" t="s">
        <v>1002</v>
      </c>
    </row>
    <row r="768" spans="1:32" ht="11.25" customHeight="1" x14ac:dyDescent="0.25">
      <c r="A768" s="4" t="s">
        <v>28</v>
      </c>
      <c r="B768" s="4" t="s">
        <v>22</v>
      </c>
      <c r="C768" s="4" t="s">
        <v>23</v>
      </c>
      <c r="D768" s="4" t="s">
        <v>24</v>
      </c>
      <c r="E768" s="4" t="s">
        <v>31</v>
      </c>
      <c r="F768" s="4" t="s">
        <v>25</v>
      </c>
      <c r="G768" s="4" t="s">
        <v>25</v>
      </c>
      <c r="H768" s="4" t="s">
        <v>25</v>
      </c>
      <c r="I768" s="5">
        <v>44593</v>
      </c>
      <c r="J768" s="6">
        <v>0</v>
      </c>
      <c r="K768" s="6">
        <v>0</v>
      </c>
      <c r="L768" s="6">
        <v>22.652000000000001</v>
      </c>
      <c r="M768" s="6">
        <v>22.652000000000001</v>
      </c>
      <c r="N768" s="6">
        <v>22.652000000000001</v>
      </c>
      <c r="O768" s="6">
        <v>22.652000000000001</v>
      </c>
      <c r="P768" s="6">
        <v>212</v>
      </c>
      <c r="Q768" s="4" t="s">
        <v>26</v>
      </c>
      <c r="R768" s="4">
        <v>0</v>
      </c>
      <c r="S768" s="4">
        <v>0</v>
      </c>
      <c r="T768" s="4">
        <v>8</v>
      </c>
      <c r="U768" s="4">
        <v>75</v>
      </c>
      <c r="V768" s="6">
        <f>IF(ISERROR(VLOOKUP($S$768,'TAR FIN'!$A$1:$O$104,15,0)),0,VLOOKUP($S$768,'TAR FIN'!$A$1:$O$104,15,0))</f>
        <v>0</v>
      </c>
      <c r="W768" s="6">
        <f>IF(ISERROR(VLOOKUP($T$768,'TAR FIN'!$A$1:$O$104,15,0)),0,VLOOKUP($T$768,'TAR FIN'!$A$1:$O$104,15,0))</f>
        <v>269.62</v>
      </c>
      <c r="X768" s="6">
        <f>IF(ISERROR(VLOOKUP($U$768,'TAR FIN'!$A$1:$O$104,15,0)),0,VLOOKUP($U$768,'TAR FIN'!$A$1:$O$104,15,0))</f>
        <v>230.15</v>
      </c>
      <c r="Y768" s="6"/>
      <c r="Z768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68" s="6">
        <f>('TE BE'!$AB$16+'TE BF'!$AB$16+'TE CVA'!$AB$16)*(1-CUSTOS!$M$36)</f>
        <v>218.22364531141577</v>
      </c>
      <c r="AB768" s="6">
        <f t="shared" si="38"/>
        <v>0</v>
      </c>
      <c r="AC768" s="6">
        <f>(L768-M768)*(W768+X768)+($W$784+$X$784-$W$768-$X$768)*(L768)</f>
        <v>1257.6390399999991</v>
      </c>
      <c r="AD768" s="6">
        <f t="shared" si="39"/>
        <v>0</v>
      </c>
      <c r="AE768" s="6">
        <f ca="1">(L768-M768)*(Z768+AA768)+($Z$784+$AA$784-$Z$768-$AA$768)*(L768)</f>
        <v>1211.2734603653614</v>
      </c>
      <c r="AF768" s="4" t="s">
        <v>1002</v>
      </c>
    </row>
    <row r="769" spans="1:32" ht="11.25" customHeight="1" x14ac:dyDescent="0.25">
      <c r="A769" s="4" t="s">
        <v>21</v>
      </c>
      <c r="B769" s="4" t="s">
        <v>22</v>
      </c>
      <c r="C769" s="4" t="s">
        <v>23</v>
      </c>
      <c r="D769" s="4" t="s">
        <v>24</v>
      </c>
      <c r="E769" s="4" t="s">
        <v>31</v>
      </c>
      <c r="F769" s="4" t="s">
        <v>25</v>
      </c>
      <c r="G769" s="4" t="s">
        <v>25</v>
      </c>
      <c r="H769" s="4" t="s">
        <v>25</v>
      </c>
      <c r="I769" s="5">
        <v>44621</v>
      </c>
      <c r="J769" s="6">
        <v>0</v>
      </c>
      <c r="K769" s="6">
        <v>0</v>
      </c>
      <c r="L769" s="6">
        <v>14632.08</v>
      </c>
      <c r="M769" s="6">
        <v>14632.08</v>
      </c>
      <c r="N769" s="6">
        <v>14632.08</v>
      </c>
      <c r="O769" s="6">
        <v>14632.08</v>
      </c>
      <c r="P769" s="6">
        <v>195747</v>
      </c>
      <c r="Q769" s="4" t="s">
        <v>26</v>
      </c>
      <c r="R769" s="4">
        <v>0</v>
      </c>
      <c r="S769" s="4">
        <v>0</v>
      </c>
      <c r="T769" s="4">
        <v>8</v>
      </c>
      <c r="U769" s="4">
        <v>75</v>
      </c>
      <c r="V769" s="6">
        <f>IF(ISERROR(VLOOKUP($S$769,'TAR FIN'!$A$1:$O$104,15,0)),0,VLOOKUP($S$769,'TAR FIN'!$A$1:$O$104,15,0))</f>
        <v>0</v>
      </c>
      <c r="W769" s="6">
        <f>IF(ISERROR(VLOOKUP($T$769,'TAR FIN'!$A$1:$O$104,15,0)),0,VLOOKUP($T$769,'TAR FIN'!$A$1:$O$104,15,0))</f>
        <v>269.62</v>
      </c>
      <c r="X769" s="6">
        <f>IF(ISERROR(VLOOKUP($U$769,'TAR FIN'!$A$1:$O$104,15,0)),0,VLOOKUP($U$769,'TAR FIN'!$A$1:$O$104,15,0))</f>
        <v>230.15</v>
      </c>
      <c r="Y769" s="6"/>
      <c r="Z769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69" s="6">
        <f>('TE BE'!$AB$16+'TE BF'!$AB$16+'TE CVA'!$AB$16)*(1-CUSTOS!$M$36)</f>
        <v>218.22364531141577</v>
      </c>
      <c r="AB769" s="6">
        <f t="shared" si="38"/>
        <v>0</v>
      </c>
      <c r="AC769" s="6">
        <f>(L769-M769)*(W769+X769)+($W$784+$X$784-$W$769-$X$769)*(L769)</f>
        <v>812373.08159999934</v>
      </c>
      <c r="AD769" s="6">
        <f t="shared" si="39"/>
        <v>0</v>
      </c>
      <c r="AE769" s="6">
        <f ca="1">(L769-M769)*(Z769+AA769)+($Z$784+$AA$784-$Z$769-$AA$769)*(L769)</f>
        <v>782423.19326959201</v>
      </c>
      <c r="AF769" s="4" t="s">
        <v>1002</v>
      </c>
    </row>
    <row r="770" spans="1:32" ht="11.25" customHeight="1" x14ac:dyDescent="0.25">
      <c r="A770" s="4" t="s">
        <v>27</v>
      </c>
      <c r="B770" s="4" t="s">
        <v>22</v>
      </c>
      <c r="C770" s="4" t="s">
        <v>23</v>
      </c>
      <c r="D770" s="4" t="s">
        <v>24</v>
      </c>
      <c r="E770" s="4" t="s">
        <v>31</v>
      </c>
      <c r="F770" s="4" t="s">
        <v>25</v>
      </c>
      <c r="G770" s="4" t="s">
        <v>25</v>
      </c>
      <c r="H770" s="4" t="s">
        <v>25</v>
      </c>
      <c r="I770" s="5">
        <v>44621</v>
      </c>
      <c r="J770" s="6">
        <v>0</v>
      </c>
      <c r="K770" s="6">
        <v>0</v>
      </c>
      <c r="L770" s="6">
        <v>-3.121</v>
      </c>
      <c r="M770" s="6">
        <v>-3.121</v>
      </c>
      <c r="N770" s="6">
        <v>-3.121</v>
      </c>
      <c r="O770" s="6">
        <v>-3.121</v>
      </c>
      <c r="P770" s="6">
        <v>-20</v>
      </c>
      <c r="Q770" s="4" t="s">
        <v>26</v>
      </c>
      <c r="R770" s="4">
        <v>0</v>
      </c>
      <c r="S770" s="4">
        <v>0</v>
      </c>
      <c r="T770" s="4">
        <v>8</v>
      </c>
      <c r="U770" s="4">
        <v>75</v>
      </c>
      <c r="V770" s="6">
        <f>IF(ISERROR(VLOOKUP($S$770,'TAR FIN'!$A$1:$O$104,15,0)),0,VLOOKUP($S$770,'TAR FIN'!$A$1:$O$104,15,0))</f>
        <v>0</v>
      </c>
      <c r="W770" s="6">
        <f>IF(ISERROR(VLOOKUP($T$770,'TAR FIN'!$A$1:$O$104,15,0)),0,VLOOKUP($T$770,'TAR FIN'!$A$1:$O$104,15,0))</f>
        <v>269.62</v>
      </c>
      <c r="X770" s="6">
        <f>IF(ISERROR(VLOOKUP($U$770,'TAR FIN'!$A$1:$O$104,15,0)),0,VLOOKUP($U$770,'TAR FIN'!$A$1:$O$104,15,0))</f>
        <v>230.15</v>
      </c>
      <c r="Y770" s="6"/>
      <c r="Z770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70" s="6">
        <f>('TE BE'!$AB$16+'TE BF'!$AB$16+'TE CVA'!$AB$16)*(1-CUSTOS!$M$36)</f>
        <v>218.22364531141577</v>
      </c>
      <c r="AB770" s="6">
        <f t="shared" ref="AB770:AB833" si="40">(J770-K770)*V770</f>
        <v>0</v>
      </c>
      <c r="AC770" s="6">
        <f>(L770-M770)*(W770+X770)+($W$784+$X$784-$W$770-$X$770)*(L770)</f>
        <v>-173.27791999999985</v>
      </c>
      <c r="AD770" s="6">
        <f t="shared" ref="AD770:AD833" si="41">(J770-K770)*Y770</f>
        <v>0</v>
      </c>
      <c r="AE770" s="6">
        <f ca="1">(L770-M770)*(Z770+AA770)+($Z$784+$AA$784-$Z$770-$AA$770)*(L770)</f>
        <v>-166.88965520926598</v>
      </c>
      <c r="AF770" s="4" t="s">
        <v>1002</v>
      </c>
    </row>
    <row r="771" spans="1:32" ht="11.25" customHeight="1" x14ac:dyDescent="0.25">
      <c r="A771" s="4" t="s">
        <v>28</v>
      </c>
      <c r="B771" s="4" t="s">
        <v>22</v>
      </c>
      <c r="C771" s="4" t="s">
        <v>23</v>
      </c>
      <c r="D771" s="4" t="s">
        <v>24</v>
      </c>
      <c r="E771" s="4" t="s">
        <v>31</v>
      </c>
      <c r="F771" s="4" t="s">
        <v>25</v>
      </c>
      <c r="G771" s="4" t="s">
        <v>25</v>
      </c>
      <c r="H771" s="4" t="s">
        <v>25</v>
      </c>
      <c r="I771" s="5">
        <v>44621</v>
      </c>
      <c r="J771" s="6">
        <v>0</v>
      </c>
      <c r="K771" s="6">
        <v>0</v>
      </c>
      <c r="L771" s="6">
        <v>22.757999999999999</v>
      </c>
      <c r="M771" s="6">
        <v>22.757999999999999</v>
      </c>
      <c r="N771" s="6">
        <v>22.757999999999999</v>
      </c>
      <c r="O771" s="6">
        <v>22.757999999999999</v>
      </c>
      <c r="P771" s="6">
        <v>203</v>
      </c>
      <c r="Q771" s="4" t="s">
        <v>26</v>
      </c>
      <c r="R771" s="4">
        <v>0</v>
      </c>
      <c r="S771" s="4">
        <v>0</v>
      </c>
      <c r="T771" s="4">
        <v>8</v>
      </c>
      <c r="U771" s="4">
        <v>75</v>
      </c>
      <c r="V771" s="6">
        <f>IF(ISERROR(VLOOKUP($S$771,'TAR FIN'!$A$1:$O$104,15,0)),0,VLOOKUP($S$771,'TAR FIN'!$A$1:$O$104,15,0))</f>
        <v>0</v>
      </c>
      <c r="W771" s="6">
        <f>IF(ISERROR(VLOOKUP($T$771,'TAR FIN'!$A$1:$O$104,15,0)),0,VLOOKUP($T$771,'TAR FIN'!$A$1:$O$104,15,0))</f>
        <v>269.62</v>
      </c>
      <c r="X771" s="6">
        <f>IF(ISERROR(VLOOKUP($U$771,'TAR FIN'!$A$1:$O$104,15,0)),0,VLOOKUP($U$771,'TAR FIN'!$A$1:$O$104,15,0))</f>
        <v>230.15</v>
      </c>
      <c r="Y771" s="6"/>
      <c r="Z771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71" s="6">
        <f>('TE BE'!$AB$16+'TE BF'!$AB$16+'TE CVA'!$AB$16)*(1-CUSTOS!$M$36)</f>
        <v>218.22364531141577</v>
      </c>
      <c r="AB771" s="6">
        <f t="shared" si="40"/>
        <v>0</v>
      </c>
      <c r="AC771" s="6">
        <f>(L771-M771)*(W771+X771)+($W$784+$X$784-$W$771-$X$771)*(L771)</f>
        <v>1263.5241599999988</v>
      </c>
      <c r="AD771" s="6">
        <f t="shared" si="41"/>
        <v>0</v>
      </c>
      <c r="AE771" s="6">
        <f ca="1">(L771-M771)*(Z771+AA771)+($Z$784+$AA$784-$Z$771-$AA$771)*(L771)</f>
        <v>1216.9416127050545</v>
      </c>
      <c r="AF771" s="4" t="s">
        <v>1002</v>
      </c>
    </row>
    <row r="772" spans="1:32" ht="11.25" customHeight="1" x14ac:dyDescent="0.25">
      <c r="A772" s="4" t="s">
        <v>21</v>
      </c>
      <c r="B772" s="4" t="s">
        <v>22</v>
      </c>
      <c r="C772" s="4" t="s">
        <v>23</v>
      </c>
      <c r="D772" s="4" t="s">
        <v>24</v>
      </c>
      <c r="E772" s="4" t="s">
        <v>31</v>
      </c>
      <c r="F772" s="4" t="s">
        <v>25</v>
      </c>
      <c r="G772" s="4" t="s">
        <v>25</v>
      </c>
      <c r="H772" s="4" t="s">
        <v>25</v>
      </c>
      <c r="I772" s="5">
        <v>44652</v>
      </c>
      <c r="J772" s="6">
        <v>0</v>
      </c>
      <c r="K772" s="6">
        <v>0</v>
      </c>
      <c r="L772" s="6">
        <v>12747.907999999999</v>
      </c>
      <c r="M772" s="6">
        <v>12747.907999999999</v>
      </c>
      <c r="N772" s="6">
        <v>12747.907999999999</v>
      </c>
      <c r="O772" s="6">
        <v>12747.907999999999</v>
      </c>
      <c r="P772" s="6">
        <v>185685</v>
      </c>
      <c r="Q772" s="4" t="s">
        <v>26</v>
      </c>
      <c r="R772" s="4">
        <v>0</v>
      </c>
      <c r="S772" s="4">
        <v>0</v>
      </c>
      <c r="T772" s="4">
        <v>8</v>
      </c>
      <c r="U772" s="4">
        <v>75</v>
      </c>
      <c r="V772" s="6">
        <f>IF(ISERROR(VLOOKUP($S$772,'TAR FIN'!$A$1:$O$104,15,0)),0,VLOOKUP($S$772,'TAR FIN'!$A$1:$O$104,15,0))</f>
        <v>0</v>
      </c>
      <c r="W772" s="6">
        <f>IF(ISERROR(VLOOKUP($T$772,'TAR FIN'!$A$1:$O$104,15,0)),0,VLOOKUP($T$772,'TAR FIN'!$A$1:$O$104,15,0))</f>
        <v>269.62</v>
      </c>
      <c r="X772" s="6">
        <f>IF(ISERROR(VLOOKUP($U$772,'TAR FIN'!$A$1:$O$104,15,0)),0,VLOOKUP($U$772,'TAR FIN'!$A$1:$O$104,15,0))</f>
        <v>230.15</v>
      </c>
      <c r="Y772" s="6"/>
      <c r="Z772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72" s="6">
        <f>('TE BE'!$AB$16+'TE BF'!$AB$16+'TE CVA'!$AB$16)*(1-CUSTOS!$M$36)</f>
        <v>218.22364531141577</v>
      </c>
      <c r="AB772" s="6">
        <f t="shared" si="40"/>
        <v>0</v>
      </c>
      <c r="AC772" s="6">
        <f>(L772-M772)*(W772+X772)+($W$784+$X$784-$W$772-$X$772)*(L772)</f>
        <v>707763.85215999943</v>
      </c>
      <c r="AD772" s="6">
        <f t="shared" si="41"/>
        <v>0</v>
      </c>
      <c r="AE772" s="6">
        <f ca="1">(L772-M772)*(Z772+AA772)+($Z$784+$AA$784-$Z$772-$AA$772)*(L772)</f>
        <v>681670.60902257077</v>
      </c>
      <c r="AF772" s="4" t="s">
        <v>1002</v>
      </c>
    </row>
    <row r="773" spans="1:32" ht="11.25" customHeight="1" x14ac:dyDescent="0.25">
      <c r="A773" s="4" t="s">
        <v>27</v>
      </c>
      <c r="B773" s="4" t="s">
        <v>22</v>
      </c>
      <c r="C773" s="4" t="s">
        <v>23</v>
      </c>
      <c r="D773" s="4" t="s">
        <v>24</v>
      </c>
      <c r="E773" s="4" t="s">
        <v>31</v>
      </c>
      <c r="F773" s="4" t="s">
        <v>25</v>
      </c>
      <c r="G773" s="4" t="s">
        <v>25</v>
      </c>
      <c r="H773" s="4" t="s">
        <v>25</v>
      </c>
      <c r="I773" s="5">
        <v>44652</v>
      </c>
      <c r="J773" s="6">
        <v>0</v>
      </c>
      <c r="K773" s="6">
        <v>0</v>
      </c>
      <c r="L773" s="6">
        <v>-3.931</v>
      </c>
      <c r="M773" s="6">
        <v>-3.931</v>
      </c>
      <c r="N773" s="6">
        <v>-3.931</v>
      </c>
      <c r="O773" s="6">
        <v>-3.931</v>
      </c>
      <c r="P773" s="6">
        <v>-32</v>
      </c>
      <c r="Q773" s="4" t="s">
        <v>26</v>
      </c>
      <c r="R773" s="4">
        <v>0</v>
      </c>
      <c r="S773" s="4">
        <v>0</v>
      </c>
      <c r="T773" s="4">
        <v>8</v>
      </c>
      <c r="U773" s="4">
        <v>75</v>
      </c>
      <c r="V773" s="6">
        <f>IF(ISERROR(VLOOKUP($S$773,'TAR FIN'!$A$1:$O$104,15,0)),0,VLOOKUP($S$773,'TAR FIN'!$A$1:$O$104,15,0))</f>
        <v>0</v>
      </c>
      <c r="W773" s="6">
        <f>IF(ISERROR(VLOOKUP($T$773,'TAR FIN'!$A$1:$O$104,15,0)),0,VLOOKUP($T$773,'TAR FIN'!$A$1:$O$104,15,0))</f>
        <v>269.62</v>
      </c>
      <c r="X773" s="6">
        <f>IF(ISERROR(VLOOKUP($U$773,'TAR FIN'!$A$1:$O$104,15,0)),0,VLOOKUP($U$773,'TAR FIN'!$A$1:$O$104,15,0))</f>
        <v>230.15</v>
      </c>
      <c r="Y773" s="6"/>
      <c r="Z773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73" s="6">
        <f>('TE BE'!$AB$16+'TE BF'!$AB$16+'TE CVA'!$AB$16)*(1-CUSTOS!$M$36)</f>
        <v>218.22364531141577</v>
      </c>
      <c r="AB773" s="6">
        <f t="shared" si="40"/>
        <v>0</v>
      </c>
      <c r="AC773" s="6">
        <f>(L773-M773)*(W773+X773)+($W$784+$X$784-$W$773-$X$773)*(L773)</f>
        <v>-218.24911999999981</v>
      </c>
      <c r="AD773" s="6">
        <f t="shared" si="41"/>
        <v>0</v>
      </c>
      <c r="AE773" s="6">
        <f ca="1">(L773-M773)*(Z773+AA773)+($Z$784+$AA$784-$Z$773-$AA$773)*(L773)</f>
        <v>-210.20289478616615</v>
      </c>
      <c r="AF773" s="4" t="s">
        <v>1002</v>
      </c>
    </row>
    <row r="774" spans="1:32" ht="11.25" customHeight="1" x14ac:dyDescent="0.25">
      <c r="A774" s="4" t="s">
        <v>28</v>
      </c>
      <c r="B774" s="4" t="s">
        <v>22</v>
      </c>
      <c r="C774" s="4" t="s">
        <v>23</v>
      </c>
      <c r="D774" s="4" t="s">
        <v>24</v>
      </c>
      <c r="E774" s="4" t="s">
        <v>31</v>
      </c>
      <c r="F774" s="4" t="s">
        <v>25</v>
      </c>
      <c r="G774" s="4" t="s">
        <v>25</v>
      </c>
      <c r="H774" s="4" t="s">
        <v>25</v>
      </c>
      <c r="I774" s="5">
        <v>44652</v>
      </c>
      <c r="J774" s="6">
        <v>0</v>
      </c>
      <c r="K774" s="6">
        <v>0</v>
      </c>
      <c r="L774" s="6">
        <v>22.352</v>
      </c>
      <c r="M774" s="6">
        <v>22.352</v>
      </c>
      <c r="N774" s="6">
        <v>22.352</v>
      </c>
      <c r="O774" s="6">
        <v>22.352</v>
      </c>
      <c r="P774" s="6">
        <v>237</v>
      </c>
      <c r="Q774" s="4" t="s">
        <v>26</v>
      </c>
      <c r="R774" s="4">
        <v>0</v>
      </c>
      <c r="S774" s="4">
        <v>0</v>
      </c>
      <c r="T774" s="4">
        <v>8</v>
      </c>
      <c r="U774" s="4">
        <v>75</v>
      </c>
      <c r="V774" s="6">
        <f>IF(ISERROR(VLOOKUP($S$774,'TAR FIN'!$A$1:$O$104,15,0)),0,VLOOKUP($S$774,'TAR FIN'!$A$1:$O$104,15,0))</f>
        <v>0</v>
      </c>
      <c r="W774" s="6">
        <f>IF(ISERROR(VLOOKUP($T$774,'TAR FIN'!$A$1:$O$104,15,0)),0,VLOOKUP($T$774,'TAR FIN'!$A$1:$O$104,15,0))</f>
        <v>269.62</v>
      </c>
      <c r="X774" s="6">
        <f>IF(ISERROR(VLOOKUP($U$774,'TAR FIN'!$A$1:$O$104,15,0)),0,VLOOKUP($U$774,'TAR FIN'!$A$1:$O$104,15,0))</f>
        <v>230.15</v>
      </c>
      <c r="Y774" s="6"/>
      <c r="Z774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74" s="6">
        <f>('TE BE'!$AB$16+'TE BF'!$AB$16+'TE CVA'!$AB$16)*(1-CUSTOS!$M$36)</f>
        <v>218.22364531141577</v>
      </c>
      <c r="AB774" s="6">
        <f t="shared" si="40"/>
        <v>0</v>
      </c>
      <c r="AC774" s="6">
        <f>(L774-M774)*(W774+X774)+($W$784+$X$784-$W$774-$X$774)*(L774)</f>
        <v>1240.9830399999989</v>
      </c>
      <c r="AD774" s="6">
        <f t="shared" si="41"/>
        <v>0</v>
      </c>
      <c r="AE774" s="6">
        <f ca="1">(L774-M774)*(Z774+AA774)+($Z$784+$AA$784-$Z$774-$AA$774)*(L774)</f>
        <v>1195.2315197813243</v>
      </c>
      <c r="AF774" s="4" t="s">
        <v>1002</v>
      </c>
    </row>
    <row r="775" spans="1:32" ht="11.25" customHeight="1" x14ac:dyDescent="0.25">
      <c r="A775" s="4" t="s">
        <v>21</v>
      </c>
      <c r="B775" s="4" t="s">
        <v>22</v>
      </c>
      <c r="C775" s="4" t="s">
        <v>23</v>
      </c>
      <c r="D775" s="4" t="s">
        <v>24</v>
      </c>
      <c r="E775" s="4" t="s">
        <v>31</v>
      </c>
      <c r="F775" s="4" t="s">
        <v>25</v>
      </c>
      <c r="G775" s="4" t="s">
        <v>25</v>
      </c>
      <c r="H775" s="4" t="s">
        <v>25</v>
      </c>
      <c r="I775" s="5">
        <v>44682</v>
      </c>
      <c r="J775" s="6">
        <v>0</v>
      </c>
      <c r="K775" s="6">
        <v>0</v>
      </c>
      <c r="L775" s="6">
        <v>12753.152</v>
      </c>
      <c r="M775" s="6">
        <v>12753.152</v>
      </c>
      <c r="N775" s="6">
        <v>12753.152</v>
      </c>
      <c r="O775" s="6">
        <v>12753.152</v>
      </c>
      <c r="P775" s="6">
        <v>183851</v>
      </c>
      <c r="Q775" s="4" t="s">
        <v>26</v>
      </c>
      <c r="R775" s="4">
        <v>0</v>
      </c>
      <c r="S775" s="4">
        <v>0</v>
      </c>
      <c r="T775" s="4">
        <v>8</v>
      </c>
      <c r="U775" s="4">
        <v>75</v>
      </c>
      <c r="V775" s="6">
        <f>IF(ISERROR(VLOOKUP($S$775,'TAR FIN'!$A$1:$O$104,15,0)),0,VLOOKUP($S$775,'TAR FIN'!$A$1:$O$104,15,0))</f>
        <v>0</v>
      </c>
      <c r="W775" s="6">
        <f>IF(ISERROR(VLOOKUP($T$775,'TAR FIN'!$A$1:$O$104,15,0)),0,VLOOKUP($T$775,'TAR FIN'!$A$1:$O$104,15,0))</f>
        <v>269.62</v>
      </c>
      <c r="X775" s="6">
        <f>IF(ISERROR(VLOOKUP($U$775,'TAR FIN'!$A$1:$O$104,15,0)),0,VLOOKUP($U$775,'TAR FIN'!$A$1:$O$104,15,0))</f>
        <v>230.15</v>
      </c>
      <c r="Y775" s="6"/>
      <c r="Z775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75" s="6">
        <f>('TE BE'!$AB$16+'TE BF'!$AB$16+'TE CVA'!$AB$16)*(1-CUSTOS!$M$36)</f>
        <v>218.22364531141577</v>
      </c>
      <c r="AB775" s="6">
        <f t="shared" si="40"/>
        <v>0</v>
      </c>
      <c r="AC775" s="6">
        <f>(L775-M775)*(W775+X775)+($W$784+$X$784-$W$775-$X$775)*(L775)</f>
        <v>708054.99903999944</v>
      </c>
      <c r="AD775" s="6">
        <f t="shared" si="41"/>
        <v>0</v>
      </c>
      <c r="AE775" s="6">
        <f ca="1">(L775-M775)*(Z775+AA775)+($Z$784+$AA$784-$Z$775-$AA$775)*(L775)</f>
        <v>681951.02214397979</v>
      </c>
      <c r="AF775" s="4" t="s">
        <v>1002</v>
      </c>
    </row>
    <row r="776" spans="1:32" ht="11.25" customHeight="1" x14ac:dyDescent="0.25">
      <c r="A776" s="4" t="s">
        <v>27</v>
      </c>
      <c r="B776" s="4" t="s">
        <v>22</v>
      </c>
      <c r="C776" s="4" t="s">
        <v>23</v>
      </c>
      <c r="D776" s="4" t="s">
        <v>24</v>
      </c>
      <c r="E776" s="4" t="s">
        <v>31</v>
      </c>
      <c r="F776" s="4" t="s">
        <v>25</v>
      </c>
      <c r="G776" s="4" t="s">
        <v>25</v>
      </c>
      <c r="H776" s="4" t="s">
        <v>25</v>
      </c>
      <c r="I776" s="5">
        <v>44682</v>
      </c>
      <c r="J776" s="6">
        <v>0</v>
      </c>
      <c r="K776" s="6">
        <v>0</v>
      </c>
      <c r="L776" s="6">
        <v>-4.3570000000000002</v>
      </c>
      <c r="M776" s="6">
        <v>-4.3570000000000002</v>
      </c>
      <c r="N776" s="6">
        <v>-4.3570000000000002</v>
      </c>
      <c r="O776" s="6">
        <v>-4.3570000000000002</v>
      </c>
      <c r="P776" s="6">
        <v>-22</v>
      </c>
      <c r="Q776" s="4" t="s">
        <v>26</v>
      </c>
      <c r="R776" s="4">
        <v>0</v>
      </c>
      <c r="S776" s="4">
        <v>0</v>
      </c>
      <c r="T776" s="4">
        <v>8</v>
      </c>
      <c r="U776" s="4">
        <v>75</v>
      </c>
      <c r="V776" s="6">
        <f>IF(ISERROR(VLOOKUP($S$776,'TAR FIN'!$A$1:$O$104,15,0)),0,VLOOKUP($S$776,'TAR FIN'!$A$1:$O$104,15,0))</f>
        <v>0</v>
      </c>
      <c r="W776" s="6">
        <f>IF(ISERROR(VLOOKUP($T$776,'TAR FIN'!$A$1:$O$104,15,0)),0,VLOOKUP($T$776,'TAR FIN'!$A$1:$O$104,15,0))</f>
        <v>269.62</v>
      </c>
      <c r="X776" s="6">
        <f>IF(ISERROR(VLOOKUP($U$776,'TAR FIN'!$A$1:$O$104,15,0)),0,VLOOKUP($U$776,'TAR FIN'!$A$1:$O$104,15,0))</f>
        <v>230.15</v>
      </c>
      <c r="Y776" s="6"/>
      <c r="Z776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76" s="6">
        <f>('TE BE'!$AB$16+'TE BF'!$AB$16+'TE CVA'!$AB$16)*(1-CUSTOS!$M$36)</f>
        <v>218.22364531141577</v>
      </c>
      <c r="AB776" s="6">
        <f t="shared" si="40"/>
        <v>0</v>
      </c>
      <c r="AC776" s="6">
        <f>(L776-M776)*(W776+X776)+($W$784+$X$784-$W$776-$X$776)*(L776)</f>
        <v>-241.90063999999981</v>
      </c>
      <c r="AD776" s="6">
        <f t="shared" si="41"/>
        <v>0</v>
      </c>
      <c r="AE776" s="6">
        <f ca="1">(L776-M776)*(Z776+AA776)+($Z$784+$AA$784-$Z$776-$AA$776)*(L776)</f>
        <v>-232.98245041549885</v>
      </c>
      <c r="AF776" s="4" t="s">
        <v>1002</v>
      </c>
    </row>
    <row r="777" spans="1:32" ht="11.25" customHeight="1" x14ac:dyDescent="0.25">
      <c r="A777" s="4" t="s">
        <v>28</v>
      </c>
      <c r="B777" s="4" t="s">
        <v>22</v>
      </c>
      <c r="C777" s="4" t="s">
        <v>23</v>
      </c>
      <c r="D777" s="4" t="s">
        <v>24</v>
      </c>
      <c r="E777" s="4" t="s">
        <v>31</v>
      </c>
      <c r="F777" s="4" t="s">
        <v>25</v>
      </c>
      <c r="G777" s="4" t="s">
        <v>25</v>
      </c>
      <c r="H777" s="4" t="s">
        <v>25</v>
      </c>
      <c r="I777" s="5">
        <v>44682</v>
      </c>
      <c r="J777" s="6">
        <v>0</v>
      </c>
      <c r="K777" s="6">
        <v>0</v>
      </c>
      <c r="L777" s="6">
        <v>21.106999999999999</v>
      </c>
      <c r="M777" s="6">
        <v>21.106999999999999</v>
      </c>
      <c r="N777" s="6">
        <v>21.106999999999999</v>
      </c>
      <c r="O777" s="6">
        <v>21.106999999999999</v>
      </c>
      <c r="P777" s="6">
        <v>214</v>
      </c>
      <c r="Q777" s="4" t="s">
        <v>26</v>
      </c>
      <c r="R777" s="4">
        <v>0</v>
      </c>
      <c r="S777" s="4">
        <v>0</v>
      </c>
      <c r="T777" s="4">
        <v>8</v>
      </c>
      <c r="U777" s="4">
        <v>75</v>
      </c>
      <c r="V777" s="6">
        <f>IF(ISERROR(VLOOKUP($S$777,'TAR FIN'!$A$1:$O$104,15,0)),0,VLOOKUP($S$777,'TAR FIN'!$A$1:$O$104,15,0))</f>
        <v>0</v>
      </c>
      <c r="W777" s="6">
        <f>IF(ISERROR(VLOOKUP($T$777,'TAR FIN'!$A$1:$O$104,15,0)),0,VLOOKUP($T$777,'TAR FIN'!$A$1:$O$104,15,0))</f>
        <v>269.62</v>
      </c>
      <c r="X777" s="6">
        <f>IF(ISERROR(VLOOKUP($U$777,'TAR FIN'!$A$1:$O$104,15,0)),0,VLOOKUP($U$777,'TAR FIN'!$A$1:$O$104,15,0))</f>
        <v>230.15</v>
      </c>
      <c r="Y777" s="6"/>
      <c r="Z777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77" s="6">
        <f>('TE BE'!$AB$16+'TE BF'!$AB$16+'TE CVA'!$AB$16)*(1-CUSTOS!$M$36)</f>
        <v>218.22364531141577</v>
      </c>
      <c r="AB777" s="6">
        <f t="shared" si="40"/>
        <v>0</v>
      </c>
      <c r="AC777" s="6">
        <f>(L777-M777)*(W777+X777)+($W$784+$X$784-$W$777-$X$777)*(L777)</f>
        <v>1171.860639999999</v>
      </c>
      <c r="AD777" s="6">
        <f t="shared" si="41"/>
        <v>0</v>
      </c>
      <c r="AE777" s="6">
        <f ca="1">(L777-M777)*(Z777+AA777)+($Z$784+$AA$784-$Z$777-$AA$777)*(L777)</f>
        <v>1128.6574663575702</v>
      </c>
      <c r="AF777" s="4" t="s">
        <v>1002</v>
      </c>
    </row>
    <row r="778" spans="1:32" ht="11.25" customHeight="1" x14ac:dyDescent="0.25">
      <c r="A778" s="4" t="s">
        <v>21</v>
      </c>
      <c r="B778" s="4" t="s">
        <v>22</v>
      </c>
      <c r="C778" s="4" t="s">
        <v>23</v>
      </c>
      <c r="D778" s="4" t="s">
        <v>24</v>
      </c>
      <c r="E778" s="4" t="s">
        <v>31</v>
      </c>
      <c r="F778" s="4" t="s">
        <v>25</v>
      </c>
      <c r="G778" s="4" t="s">
        <v>25</v>
      </c>
      <c r="H778" s="4" t="s">
        <v>25</v>
      </c>
      <c r="I778" s="5">
        <v>44713</v>
      </c>
      <c r="J778" s="6">
        <v>0</v>
      </c>
      <c r="K778" s="6">
        <v>0</v>
      </c>
      <c r="L778" s="6">
        <v>9310.4619999999995</v>
      </c>
      <c r="M778" s="6">
        <v>9310.4619999999995</v>
      </c>
      <c r="N778" s="6">
        <v>9310.4619999999995</v>
      </c>
      <c r="O778" s="6">
        <v>9310.4619999999995</v>
      </c>
      <c r="P778" s="6">
        <v>158404</v>
      </c>
      <c r="Q778" s="4" t="s">
        <v>26</v>
      </c>
      <c r="R778" s="4">
        <v>0</v>
      </c>
      <c r="S778" s="4">
        <v>0</v>
      </c>
      <c r="T778" s="4">
        <v>8</v>
      </c>
      <c r="U778" s="4">
        <v>75</v>
      </c>
      <c r="V778" s="6">
        <f>IF(ISERROR(VLOOKUP($S$778,'TAR FIN'!$A$1:$O$104,15,0)),0,VLOOKUP($S$778,'TAR FIN'!$A$1:$O$104,15,0))</f>
        <v>0</v>
      </c>
      <c r="W778" s="6">
        <f>IF(ISERROR(VLOOKUP($T$778,'TAR FIN'!$A$1:$O$104,15,0)),0,VLOOKUP($T$778,'TAR FIN'!$A$1:$O$104,15,0))</f>
        <v>269.62</v>
      </c>
      <c r="X778" s="6">
        <f>IF(ISERROR(VLOOKUP($U$778,'TAR FIN'!$A$1:$O$104,15,0)),0,VLOOKUP($U$778,'TAR FIN'!$A$1:$O$104,15,0))</f>
        <v>230.15</v>
      </c>
      <c r="Y778" s="6"/>
      <c r="Z778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78" s="6">
        <f>('TE BE'!$AB$16+'TE BF'!$AB$16+'TE CVA'!$AB$16)*(1-CUSTOS!$M$36)</f>
        <v>218.22364531141577</v>
      </c>
      <c r="AB778" s="6">
        <f t="shared" si="40"/>
        <v>0</v>
      </c>
      <c r="AC778" s="6">
        <f>(L778-M778)*(W778+X778)+($W$784+$X$784-$W$778-$X$778)*(L778)</f>
        <v>516916.85023999953</v>
      </c>
      <c r="AD778" s="6">
        <f t="shared" si="41"/>
        <v>0</v>
      </c>
      <c r="AE778" s="6">
        <f ca="1">(L778-M778)*(Z778+AA778)+($Z$784+$AA$784-$Z$778-$AA$778)*(L778)</f>
        <v>497859.59404645074</v>
      </c>
      <c r="AF778" s="4" t="s">
        <v>1002</v>
      </c>
    </row>
    <row r="779" spans="1:32" ht="11.25" customHeight="1" x14ac:dyDescent="0.25">
      <c r="A779" s="4" t="s">
        <v>27</v>
      </c>
      <c r="B779" s="4" t="s">
        <v>22</v>
      </c>
      <c r="C779" s="4" t="s">
        <v>23</v>
      </c>
      <c r="D779" s="4" t="s">
        <v>24</v>
      </c>
      <c r="E779" s="4" t="s">
        <v>31</v>
      </c>
      <c r="F779" s="4" t="s">
        <v>25</v>
      </c>
      <c r="G779" s="4" t="s">
        <v>25</v>
      </c>
      <c r="H779" s="4" t="s">
        <v>25</v>
      </c>
      <c r="I779" s="5">
        <v>44713</v>
      </c>
      <c r="J779" s="6">
        <v>0</v>
      </c>
      <c r="K779" s="6">
        <v>0</v>
      </c>
      <c r="L779" s="6">
        <v>-3.7389999999999999</v>
      </c>
      <c r="M779" s="6">
        <v>-3.7389999999999999</v>
      </c>
      <c r="N779" s="6">
        <v>-3.7389999999999999</v>
      </c>
      <c r="O779" s="6">
        <v>-3.7389999999999999</v>
      </c>
      <c r="P779" s="6">
        <v>-15</v>
      </c>
      <c r="Q779" s="4" t="s">
        <v>26</v>
      </c>
      <c r="R779" s="4">
        <v>0</v>
      </c>
      <c r="S779" s="4">
        <v>0</v>
      </c>
      <c r="T779" s="4">
        <v>8</v>
      </c>
      <c r="U779" s="4">
        <v>75</v>
      </c>
      <c r="V779" s="6">
        <f>IF(ISERROR(VLOOKUP($S$779,'TAR FIN'!$A$1:$O$104,15,0)),0,VLOOKUP($S$779,'TAR FIN'!$A$1:$O$104,15,0))</f>
        <v>0</v>
      </c>
      <c r="W779" s="6">
        <f>IF(ISERROR(VLOOKUP($T$779,'TAR FIN'!$A$1:$O$104,15,0)),0,VLOOKUP($T$779,'TAR FIN'!$A$1:$O$104,15,0))</f>
        <v>269.62</v>
      </c>
      <c r="X779" s="6">
        <f>IF(ISERROR(VLOOKUP($U$779,'TAR FIN'!$A$1:$O$104,15,0)),0,VLOOKUP($U$779,'TAR FIN'!$A$1:$O$104,15,0))</f>
        <v>230.15</v>
      </c>
      <c r="Y779" s="6"/>
      <c r="Z779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79" s="6">
        <f>('TE BE'!$AB$16+'TE BF'!$AB$16+'TE CVA'!$AB$16)*(1-CUSTOS!$M$36)</f>
        <v>218.22364531141577</v>
      </c>
      <c r="AB779" s="6">
        <f t="shared" si="40"/>
        <v>0</v>
      </c>
      <c r="AC779" s="6">
        <f>(L779-M779)*(W779+X779)+($W$784+$X$784-$W$779-$X$779)*(L779)</f>
        <v>-207.58927999999983</v>
      </c>
      <c r="AD779" s="6">
        <f t="shared" si="41"/>
        <v>0</v>
      </c>
      <c r="AE779" s="6">
        <f ca="1">(L779-M779)*(Z779+AA779)+($Z$784+$AA$784-$Z$779-$AA$779)*(L779)</f>
        <v>-199.9360528123824</v>
      </c>
      <c r="AF779" s="4" t="s">
        <v>1002</v>
      </c>
    </row>
    <row r="780" spans="1:32" ht="11.25" customHeight="1" x14ac:dyDescent="0.25">
      <c r="A780" s="4" t="s">
        <v>28</v>
      </c>
      <c r="B780" s="4" t="s">
        <v>22</v>
      </c>
      <c r="C780" s="4" t="s">
        <v>23</v>
      </c>
      <c r="D780" s="4" t="s">
        <v>24</v>
      </c>
      <c r="E780" s="4" t="s">
        <v>31</v>
      </c>
      <c r="F780" s="4" t="s">
        <v>25</v>
      </c>
      <c r="G780" s="4" t="s">
        <v>25</v>
      </c>
      <c r="H780" s="4" t="s">
        <v>25</v>
      </c>
      <c r="I780" s="5">
        <v>44713</v>
      </c>
      <c r="J780" s="6">
        <v>0</v>
      </c>
      <c r="K780" s="6">
        <v>0</v>
      </c>
      <c r="L780" s="6">
        <v>23.605</v>
      </c>
      <c r="M780" s="6">
        <v>23.605</v>
      </c>
      <c r="N780" s="6">
        <v>23.605</v>
      </c>
      <c r="O780" s="6">
        <v>23.605</v>
      </c>
      <c r="P780" s="6">
        <v>338</v>
      </c>
      <c r="Q780" s="4" t="s">
        <v>26</v>
      </c>
      <c r="R780" s="4">
        <v>0</v>
      </c>
      <c r="S780" s="4">
        <v>0</v>
      </c>
      <c r="T780" s="4">
        <v>8</v>
      </c>
      <c r="U780" s="4">
        <v>75</v>
      </c>
      <c r="V780" s="6">
        <f>IF(ISERROR(VLOOKUP($S$780,'TAR FIN'!$A$1:$O$104,15,0)),0,VLOOKUP($S$780,'TAR FIN'!$A$1:$O$104,15,0))</f>
        <v>0</v>
      </c>
      <c r="W780" s="6">
        <f>IF(ISERROR(VLOOKUP($T$780,'TAR FIN'!$A$1:$O$104,15,0)),0,VLOOKUP($T$780,'TAR FIN'!$A$1:$O$104,15,0))</f>
        <v>269.62</v>
      </c>
      <c r="X780" s="6">
        <f>IF(ISERROR(VLOOKUP($U$780,'TAR FIN'!$A$1:$O$104,15,0)),0,VLOOKUP($U$780,'TAR FIN'!$A$1:$O$104,15,0))</f>
        <v>230.15</v>
      </c>
      <c r="Y780" s="6"/>
      <c r="Z780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80" s="6">
        <f>('TE BE'!$AB$16+'TE BF'!$AB$16+'TE CVA'!$AB$16)*(1-CUSTOS!$M$36)</f>
        <v>218.22364531141577</v>
      </c>
      <c r="AB780" s="6">
        <f t="shared" si="40"/>
        <v>0</v>
      </c>
      <c r="AC780" s="6">
        <f>(L780-M780)*(W780+X780)+($W$784+$X$784-$W$780-$X$780)*(L780)</f>
        <v>1310.5495999999989</v>
      </c>
      <c r="AD780" s="6">
        <f t="shared" si="41"/>
        <v>0</v>
      </c>
      <c r="AE780" s="6">
        <f ca="1">(L780-M780)*(Z780+AA780)+($Z$784+$AA$784-$Z$780-$AA$780)*(L780)</f>
        <v>1262.2333582873193</v>
      </c>
      <c r="AF780" s="4" t="s">
        <v>1002</v>
      </c>
    </row>
    <row r="781" spans="1:32" ht="11.25" customHeight="1" x14ac:dyDescent="0.25">
      <c r="A781" s="4" t="s">
        <v>57</v>
      </c>
      <c r="B781" s="4" t="s">
        <v>22</v>
      </c>
      <c r="C781" s="4" t="s">
        <v>23</v>
      </c>
      <c r="D781" s="4" t="s">
        <v>24</v>
      </c>
      <c r="E781" s="4" t="s">
        <v>31</v>
      </c>
      <c r="F781" s="4" t="s">
        <v>25</v>
      </c>
      <c r="G781" s="4" t="s">
        <v>25</v>
      </c>
      <c r="H781" s="4" t="s">
        <v>25</v>
      </c>
      <c r="I781" s="5">
        <v>44743</v>
      </c>
      <c r="J781" s="6">
        <v>0</v>
      </c>
      <c r="K781" s="6">
        <v>0</v>
      </c>
      <c r="L781" s="6">
        <v>9310.4619999999995</v>
      </c>
      <c r="M781" s="6">
        <v>9310.4619999999995</v>
      </c>
      <c r="N781" s="6">
        <v>9310.4619999999995</v>
      </c>
      <c r="O781" s="6">
        <v>9310.4619999999995</v>
      </c>
      <c r="P781" s="6">
        <v>158404</v>
      </c>
      <c r="Q781" s="4" t="s">
        <v>26</v>
      </c>
      <c r="R781" s="4">
        <v>0</v>
      </c>
      <c r="S781" s="4">
        <v>0</v>
      </c>
      <c r="T781" s="4">
        <v>8</v>
      </c>
      <c r="U781" s="4">
        <v>75</v>
      </c>
      <c r="V781" s="6">
        <f>IF(ISERROR(VLOOKUP($S$781,'TAR FIN'!$A$1:$O$104,15,0)),0,VLOOKUP($S$781,'TAR FIN'!$A$1:$O$104,15,0))</f>
        <v>0</v>
      </c>
      <c r="W781" s="6">
        <f>IF(ISERROR(VLOOKUP($T$781,'TAR FIN'!$A$1:$O$104,15,0)),0,VLOOKUP($T$781,'TAR FIN'!$A$1:$O$104,15,0))</f>
        <v>269.62</v>
      </c>
      <c r="X781" s="6">
        <f>IF(ISERROR(VLOOKUP($U$781,'TAR FIN'!$A$1:$O$104,15,0)),0,VLOOKUP($U$781,'TAR FIN'!$A$1:$O$104,15,0))</f>
        <v>230.15</v>
      </c>
      <c r="Y781" s="6"/>
      <c r="Z781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81" s="6">
        <f>('TE BE'!$AB$16+'TE BF'!$AB$16+'TE CVA'!$AB$16)*(1-CUSTOS!$M$36)</f>
        <v>218.22364531141577</v>
      </c>
      <c r="AB781" s="6">
        <f t="shared" si="40"/>
        <v>0</v>
      </c>
      <c r="AC781" s="6">
        <f>(L781-M781)*(W781+X781)+($W$784+$X$784-$W$781-$X$781)*(L781)</f>
        <v>516916.85023999953</v>
      </c>
      <c r="AD781" s="6">
        <f t="shared" si="41"/>
        <v>0</v>
      </c>
      <c r="AE781" s="6">
        <f ca="1">(L781-M781)*(Z781+AA781)+($Z$784+$AA$784-$Z$781-$AA$781)*(L781)</f>
        <v>497859.59404645074</v>
      </c>
      <c r="AF781" s="4" t="s">
        <v>1002</v>
      </c>
    </row>
    <row r="782" spans="1:32" ht="11.25" customHeight="1" x14ac:dyDescent="0.25">
      <c r="A782" s="4" t="s">
        <v>57</v>
      </c>
      <c r="B782" s="4" t="s">
        <v>22</v>
      </c>
      <c r="C782" s="4" t="s">
        <v>23</v>
      </c>
      <c r="D782" s="4" t="s">
        <v>24</v>
      </c>
      <c r="E782" s="4" t="s">
        <v>31</v>
      </c>
      <c r="F782" s="4" t="s">
        <v>25</v>
      </c>
      <c r="G782" s="4" t="s">
        <v>25</v>
      </c>
      <c r="H782" s="4" t="s">
        <v>25</v>
      </c>
      <c r="I782" s="5">
        <v>44743</v>
      </c>
      <c r="J782" s="6">
        <v>0</v>
      </c>
      <c r="K782" s="6">
        <v>0</v>
      </c>
      <c r="L782" s="6">
        <v>-3.7389999999999999</v>
      </c>
      <c r="M782" s="6">
        <v>-3.7389999999999999</v>
      </c>
      <c r="N782" s="6">
        <v>-3.7389999999999999</v>
      </c>
      <c r="O782" s="6">
        <v>-3.7389999999999999</v>
      </c>
      <c r="P782" s="6">
        <v>-15</v>
      </c>
      <c r="Q782" s="4" t="s">
        <v>26</v>
      </c>
      <c r="R782" s="4">
        <v>0</v>
      </c>
      <c r="S782" s="4">
        <v>0</v>
      </c>
      <c r="T782" s="4">
        <v>8</v>
      </c>
      <c r="U782" s="4">
        <v>75</v>
      </c>
      <c r="V782" s="6">
        <f>IF(ISERROR(VLOOKUP($S$782,'TAR FIN'!$A$1:$O$104,15,0)),0,VLOOKUP($S$782,'TAR FIN'!$A$1:$O$104,15,0))</f>
        <v>0</v>
      </c>
      <c r="W782" s="6">
        <f>IF(ISERROR(VLOOKUP($T$782,'TAR FIN'!$A$1:$O$104,15,0)),0,VLOOKUP($T$782,'TAR FIN'!$A$1:$O$104,15,0))</f>
        <v>269.62</v>
      </c>
      <c r="X782" s="6">
        <f>IF(ISERROR(VLOOKUP($U$782,'TAR FIN'!$A$1:$O$104,15,0)),0,VLOOKUP($U$782,'TAR FIN'!$A$1:$O$104,15,0))</f>
        <v>230.15</v>
      </c>
      <c r="Y782" s="6"/>
      <c r="Z782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82" s="6">
        <f>('TE BE'!$AB$16+'TE BF'!$AB$16+'TE CVA'!$AB$16)*(1-CUSTOS!$M$36)</f>
        <v>218.22364531141577</v>
      </c>
      <c r="AB782" s="6">
        <f t="shared" si="40"/>
        <v>0</v>
      </c>
      <c r="AC782" s="6">
        <f>(L782-M782)*(W782+X782)+($W$784+$X$784-$W$782-$X$782)*(L782)</f>
        <v>-207.58927999999983</v>
      </c>
      <c r="AD782" s="6">
        <f t="shared" si="41"/>
        <v>0</v>
      </c>
      <c r="AE782" s="6">
        <f ca="1">(L782-M782)*(Z782+AA782)+($Z$784+$AA$784-$Z$782-$AA$782)*(L782)</f>
        <v>-199.9360528123824</v>
      </c>
      <c r="AF782" s="4" t="s">
        <v>1002</v>
      </c>
    </row>
    <row r="783" spans="1:32" ht="11.25" customHeight="1" x14ac:dyDescent="0.25">
      <c r="A783" s="4" t="s">
        <v>57</v>
      </c>
      <c r="B783" s="4" t="s">
        <v>22</v>
      </c>
      <c r="C783" s="4" t="s">
        <v>23</v>
      </c>
      <c r="D783" s="4" t="s">
        <v>24</v>
      </c>
      <c r="E783" s="4" t="s">
        <v>31</v>
      </c>
      <c r="F783" s="4" t="s">
        <v>25</v>
      </c>
      <c r="G783" s="4" t="s">
        <v>25</v>
      </c>
      <c r="H783" s="4" t="s">
        <v>25</v>
      </c>
      <c r="I783" s="5">
        <v>44743</v>
      </c>
      <c r="J783" s="6">
        <v>0</v>
      </c>
      <c r="K783" s="6">
        <v>0</v>
      </c>
      <c r="L783" s="6">
        <v>23.605</v>
      </c>
      <c r="M783" s="6">
        <v>23.605</v>
      </c>
      <c r="N783" s="6">
        <v>23.605</v>
      </c>
      <c r="O783" s="6">
        <v>23.605</v>
      </c>
      <c r="P783" s="6">
        <v>338</v>
      </c>
      <c r="Q783" s="4" t="s">
        <v>26</v>
      </c>
      <c r="R783" s="4">
        <v>0</v>
      </c>
      <c r="S783" s="4">
        <v>0</v>
      </c>
      <c r="T783" s="4">
        <v>8</v>
      </c>
      <c r="U783" s="4">
        <v>75</v>
      </c>
      <c r="V783" s="6">
        <f>IF(ISERROR(VLOOKUP($S$783,'TAR FIN'!$A$1:$O$104,15,0)),0,VLOOKUP($S$783,'TAR FIN'!$A$1:$O$104,15,0))</f>
        <v>0</v>
      </c>
      <c r="W783" s="6">
        <f>IF(ISERROR(VLOOKUP($T$783,'TAR FIN'!$A$1:$O$104,15,0)),0,VLOOKUP($T$783,'TAR FIN'!$A$1:$O$104,15,0))</f>
        <v>269.62</v>
      </c>
      <c r="X783" s="6">
        <f>IF(ISERROR(VLOOKUP($U$783,'TAR FIN'!$A$1:$O$104,15,0)),0,VLOOKUP($U$783,'TAR FIN'!$A$1:$O$104,15,0))</f>
        <v>230.15</v>
      </c>
      <c r="Y783" s="6"/>
      <c r="Z783" s="6">
        <f ca="1">('TUSD BE'!$AM$37+'TUSD BF'!$AM$37+'TUSD CVA'!$AM$37-('TUSD BE'!$P$37+'TUSD BF'!$P$37+'TUSD CVA'!$P$37)-('TUSD BE'!$Q$37+'TUSD BF'!$Q$37+'TUSD CVA'!$Q$37)-('TUSD BE'!$R$37+'TUSD BF'!$R$37+'TUSD CVA'!$R$37))*(1-CUSTOS!$M$36)</f>
        <v>263.03457220969744</v>
      </c>
      <c r="AA783" s="6">
        <f>('TE BE'!$AB$16+'TE BF'!$AB$16+'TE CVA'!$AB$16)*(1-CUSTOS!$M$36)</f>
        <v>218.22364531141577</v>
      </c>
      <c r="AB783" s="6">
        <f t="shared" si="40"/>
        <v>0</v>
      </c>
      <c r="AC783" s="6">
        <f>(L783-M783)*(W783+X783)+($W$784+$X$784-$W$783-$X$783)*(L783)</f>
        <v>1310.5495999999989</v>
      </c>
      <c r="AD783" s="6">
        <f t="shared" si="41"/>
        <v>0</v>
      </c>
      <c r="AE783" s="6">
        <f ca="1">(L783-M783)*(Z783+AA783)+($Z$784+$AA$784-$Z$783-$AA$783)*(L783)</f>
        <v>1262.2333582873193</v>
      </c>
      <c r="AF783" s="4" t="s">
        <v>1002</v>
      </c>
    </row>
    <row r="784" spans="1:32" ht="11.25" customHeight="1" x14ac:dyDescent="0.25">
      <c r="A784" s="4" t="s">
        <v>21</v>
      </c>
      <c r="B784" s="4" t="s">
        <v>22</v>
      </c>
      <c r="C784" s="4" t="s">
        <v>23</v>
      </c>
      <c r="D784" s="4" t="s">
        <v>24</v>
      </c>
      <c r="E784" s="4" t="s">
        <v>32</v>
      </c>
      <c r="F784" s="4" t="s">
        <v>25</v>
      </c>
      <c r="G784" s="4" t="s">
        <v>25</v>
      </c>
      <c r="H784" s="4" t="s">
        <v>25</v>
      </c>
      <c r="I784" s="5">
        <v>44409</v>
      </c>
      <c r="J784" s="6">
        <v>0</v>
      </c>
      <c r="K784" s="6">
        <v>0</v>
      </c>
      <c r="L784" s="6">
        <v>2540.3440000000001</v>
      </c>
      <c r="M784" s="6">
        <v>2540.3440000000001</v>
      </c>
      <c r="N784" s="6">
        <v>2540.3440000000001</v>
      </c>
      <c r="O784" s="6">
        <v>2540.3440000000001</v>
      </c>
      <c r="P784" s="6">
        <v>28194</v>
      </c>
      <c r="Q784" s="4" t="s">
        <v>26</v>
      </c>
      <c r="R784" s="4">
        <v>0</v>
      </c>
      <c r="S784" s="4">
        <v>0</v>
      </c>
      <c r="T784" s="4">
        <v>10</v>
      </c>
      <c r="U784" s="4">
        <v>76</v>
      </c>
      <c r="V784" s="6">
        <f>IF(ISERROR(VLOOKUP($S$784,'TAR FIN'!$A$1:$O$104,15,0)),0,VLOOKUP($S$784,'TAR FIN'!$A$1:$O$104,15,0))</f>
        <v>0</v>
      </c>
      <c r="W784" s="6">
        <f>IF(ISERROR(VLOOKUP($T$784,'TAR FIN'!$A$1:$O$104,15,0)),0,VLOOKUP($T$784,'TAR FIN'!$A$1:$O$104,15,0))</f>
        <v>299.57</v>
      </c>
      <c r="X784" s="6">
        <f>IF(ISERROR(VLOOKUP($U$784,'TAR FIN'!$A$1:$O$104,15,0)),0,VLOOKUP($U$784,'TAR FIN'!$A$1:$O$104,15,0))</f>
        <v>255.72</v>
      </c>
      <c r="Y784" s="6"/>
      <c r="Z784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84" s="6">
        <f>('TE BE'!$AB$17+'TE BF'!$AB$17+'TE CVA'!$AB$17)*(1-CUSTOS!$M$37)</f>
        <v>242.47071701268419</v>
      </c>
      <c r="AB784" s="6">
        <f t="shared" si="40"/>
        <v>0</v>
      </c>
      <c r="AC784" s="6">
        <f>(L784-M784)*(W784+X784)+($W$784+$X$784-$W$784-$X$784)*(L784)</f>
        <v>-7.2200919021270239E-11</v>
      </c>
      <c r="AD784" s="6">
        <f t="shared" si="41"/>
        <v>0</v>
      </c>
      <c r="AE784" s="6">
        <f ca="1">(L784-M784)*(Z784+AA784)+($Z$784+$AA$784-$Z$784-$AA$784)*(L784)</f>
        <v>0</v>
      </c>
      <c r="AF784" s="4" t="s">
        <v>1002</v>
      </c>
    </row>
    <row r="785" spans="1:32" ht="11.25" customHeight="1" x14ac:dyDescent="0.25">
      <c r="A785" s="4" t="s">
        <v>27</v>
      </c>
      <c r="B785" s="4" t="s">
        <v>22</v>
      </c>
      <c r="C785" s="4" t="s">
        <v>23</v>
      </c>
      <c r="D785" s="4" t="s">
        <v>24</v>
      </c>
      <c r="E785" s="4" t="s">
        <v>32</v>
      </c>
      <c r="F785" s="4" t="s">
        <v>25</v>
      </c>
      <c r="G785" s="4" t="s">
        <v>25</v>
      </c>
      <c r="H785" s="4" t="s">
        <v>25</v>
      </c>
      <c r="I785" s="5">
        <v>44409</v>
      </c>
      <c r="J785" s="6">
        <v>0</v>
      </c>
      <c r="K785" s="6">
        <v>0</v>
      </c>
      <c r="L785" s="6">
        <v>-13.037000000000001</v>
      </c>
      <c r="M785" s="6">
        <v>-13.037000000000001</v>
      </c>
      <c r="N785" s="6">
        <v>-13.037000000000001</v>
      </c>
      <c r="O785" s="6">
        <v>-13.037000000000001</v>
      </c>
      <c r="P785" s="6">
        <v>-12</v>
      </c>
      <c r="Q785" s="4" t="s">
        <v>26</v>
      </c>
      <c r="R785" s="4">
        <v>0</v>
      </c>
      <c r="S785" s="4">
        <v>0</v>
      </c>
      <c r="T785" s="4">
        <v>10</v>
      </c>
      <c r="U785" s="4">
        <v>76</v>
      </c>
      <c r="V785" s="6">
        <f>IF(ISERROR(VLOOKUP($S$785,'TAR FIN'!$A$1:$O$104,15,0)),0,VLOOKUP($S$785,'TAR FIN'!$A$1:$O$104,15,0))</f>
        <v>0</v>
      </c>
      <c r="W785" s="6">
        <f>IF(ISERROR(VLOOKUP($T$785,'TAR FIN'!$A$1:$O$104,15,0)),0,VLOOKUP($T$785,'TAR FIN'!$A$1:$O$104,15,0))</f>
        <v>299.57</v>
      </c>
      <c r="X785" s="6">
        <f>IF(ISERROR(VLOOKUP($U$785,'TAR FIN'!$A$1:$O$104,15,0)),0,VLOOKUP($U$785,'TAR FIN'!$A$1:$O$104,15,0))</f>
        <v>255.72</v>
      </c>
      <c r="Y785" s="6"/>
      <c r="Z785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85" s="6">
        <f>('TE BE'!$AB$17+'TE BF'!$AB$17+'TE CVA'!$AB$17)*(1-CUSTOS!$M$37)</f>
        <v>242.47071701268419</v>
      </c>
      <c r="AB785" s="6">
        <f t="shared" si="40"/>
        <v>0</v>
      </c>
      <c r="AC785" s="6">
        <f>(L785-M785)*(W785+X785)+($W$784+$X$784-$W$785-$X$785)*(L785)</f>
        <v>3.7053382584417707E-13</v>
      </c>
      <c r="AD785" s="6">
        <f t="shared" si="41"/>
        <v>0</v>
      </c>
      <c r="AE785" s="6">
        <f ca="1">(L785-M785)*(Z785+AA785)+($Z$784+$AA$784-$Z$785-$AA$785)*(L785)</f>
        <v>0</v>
      </c>
      <c r="AF785" s="4" t="s">
        <v>1002</v>
      </c>
    </row>
    <row r="786" spans="1:32" ht="11.25" customHeight="1" x14ac:dyDescent="0.25">
      <c r="A786" s="4" t="s">
        <v>28</v>
      </c>
      <c r="B786" s="4" t="s">
        <v>22</v>
      </c>
      <c r="C786" s="4" t="s">
        <v>23</v>
      </c>
      <c r="D786" s="4" t="s">
        <v>24</v>
      </c>
      <c r="E786" s="4" t="s">
        <v>32</v>
      </c>
      <c r="F786" s="4" t="s">
        <v>25</v>
      </c>
      <c r="G786" s="4" t="s">
        <v>25</v>
      </c>
      <c r="H786" s="4" t="s">
        <v>25</v>
      </c>
      <c r="I786" s="5">
        <v>44409</v>
      </c>
      <c r="J786" s="6">
        <v>0</v>
      </c>
      <c r="K786" s="6">
        <v>0</v>
      </c>
      <c r="L786" s="6">
        <v>44.537999999999997</v>
      </c>
      <c r="M786" s="6">
        <v>44.537999999999997</v>
      </c>
      <c r="N786" s="6">
        <v>44.537999999999997</v>
      </c>
      <c r="O786" s="6">
        <v>44.537999999999997</v>
      </c>
      <c r="P786" s="6">
        <v>304</v>
      </c>
      <c r="Q786" s="4" t="s">
        <v>26</v>
      </c>
      <c r="R786" s="4">
        <v>0</v>
      </c>
      <c r="S786" s="4">
        <v>0</v>
      </c>
      <c r="T786" s="4">
        <v>10</v>
      </c>
      <c r="U786" s="4">
        <v>76</v>
      </c>
      <c r="V786" s="6">
        <f>IF(ISERROR(VLOOKUP($S$786,'TAR FIN'!$A$1:$O$104,15,0)),0,VLOOKUP($S$786,'TAR FIN'!$A$1:$O$104,15,0))</f>
        <v>0</v>
      </c>
      <c r="W786" s="6">
        <f>IF(ISERROR(VLOOKUP($T$786,'TAR FIN'!$A$1:$O$104,15,0)),0,VLOOKUP($T$786,'TAR FIN'!$A$1:$O$104,15,0))</f>
        <v>299.57</v>
      </c>
      <c r="X786" s="6">
        <f>IF(ISERROR(VLOOKUP($U$786,'TAR FIN'!$A$1:$O$104,15,0)),0,VLOOKUP($U$786,'TAR FIN'!$A$1:$O$104,15,0))</f>
        <v>255.72</v>
      </c>
      <c r="Y786" s="6"/>
      <c r="Z786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86" s="6">
        <f>('TE BE'!$AB$17+'TE BF'!$AB$17+'TE CVA'!$AB$17)*(1-CUSTOS!$M$37)</f>
        <v>242.47071701268419</v>
      </c>
      <c r="AB786" s="6">
        <f t="shared" si="40"/>
        <v>0</v>
      </c>
      <c r="AC786" s="6">
        <f>(L786-M786)*(W786+X786)+($W$784+$X$784-$W$786-$X$786)*(L786)</f>
        <v>-1.2658460946113336E-12</v>
      </c>
      <c r="AD786" s="6">
        <f t="shared" si="41"/>
        <v>0</v>
      </c>
      <c r="AE786" s="6">
        <f ca="1">(L786-M786)*(Z786+AA786)+($Z$784+$AA$784-$Z$786-$AA$786)*(L786)</f>
        <v>0</v>
      </c>
      <c r="AF786" s="4" t="s">
        <v>1002</v>
      </c>
    </row>
    <row r="787" spans="1:32" ht="11.25" customHeight="1" x14ac:dyDescent="0.25">
      <c r="A787" s="4" t="s">
        <v>21</v>
      </c>
      <c r="B787" s="4" t="s">
        <v>22</v>
      </c>
      <c r="C787" s="4" t="s">
        <v>23</v>
      </c>
      <c r="D787" s="4" t="s">
        <v>24</v>
      </c>
      <c r="E787" s="4" t="s">
        <v>32</v>
      </c>
      <c r="F787" s="4" t="s">
        <v>25</v>
      </c>
      <c r="G787" s="4" t="s">
        <v>25</v>
      </c>
      <c r="H787" s="4" t="s">
        <v>25</v>
      </c>
      <c r="I787" s="5">
        <v>44440</v>
      </c>
      <c r="J787" s="6">
        <v>0</v>
      </c>
      <c r="K787" s="6">
        <v>0</v>
      </c>
      <c r="L787" s="6">
        <v>2572.3429999999998</v>
      </c>
      <c r="M787" s="6">
        <v>2572.3429999999998</v>
      </c>
      <c r="N787" s="6">
        <v>2572.3429999999998</v>
      </c>
      <c r="O787" s="6">
        <v>2572.3429999999998</v>
      </c>
      <c r="P787" s="6">
        <v>27882</v>
      </c>
      <c r="Q787" s="4" t="s">
        <v>26</v>
      </c>
      <c r="R787" s="4">
        <v>0</v>
      </c>
      <c r="S787" s="4">
        <v>0</v>
      </c>
      <c r="T787" s="4">
        <v>10</v>
      </c>
      <c r="U787" s="4">
        <v>76</v>
      </c>
      <c r="V787" s="6">
        <f>IF(ISERROR(VLOOKUP($S$787,'TAR FIN'!$A$1:$O$104,15,0)),0,VLOOKUP($S$787,'TAR FIN'!$A$1:$O$104,15,0))</f>
        <v>0</v>
      </c>
      <c r="W787" s="6">
        <f>IF(ISERROR(VLOOKUP($T$787,'TAR FIN'!$A$1:$O$104,15,0)),0,VLOOKUP($T$787,'TAR FIN'!$A$1:$O$104,15,0))</f>
        <v>299.57</v>
      </c>
      <c r="X787" s="6">
        <f>IF(ISERROR(VLOOKUP($U$787,'TAR FIN'!$A$1:$O$104,15,0)),0,VLOOKUP($U$787,'TAR FIN'!$A$1:$O$104,15,0))</f>
        <v>255.72</v>
      </c>
      <c r="Y787" s="6"/>
      <c r="Z787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87" s="6">
        <f>('TE BE'!$AB$17+'TE BF'!$AB$17+'TE CVA'!$AB$17)*(1-CUSTOS!$M$37)</f>
        <v>242.47071701268419</v>
      </c>
      <c r="AB787" s="6">
        <f t="shared" si="40"/>
        <v>0</v>
      </c>
      <c r="AC787" s="6">
        <f>(L787-M787)*(W787+X787)+($W$784+$X$784-$W$787-$X$787)*(L787)</f>
        <v>-7.3110385301333731E-11</v>
      </c>
      <c r="AD787" s="6">
        <f t="shared" si="41"/>
        <v>0</v>
      </c>
      <c r="AE787" s="6">
        <f ca="1">(L787-M787)*(Z787+AA787)+($Z$784+$AA$784-$Z$787-$AA$787)*(L787)</f>
        <v>0</v>
      </c>
      <c r="AF787" s="4" t="s">
        <v>1002</v>
      </c>
    </row>
    <row r="788" spans="1:32" ht="11.25" customHeight="1" x14ac:dyDescent="0.25">
      <c r="A788" s="4" t="s">
        <v>27</v>
      </c>
      <c r="B788" s="4" t="s">
        <v>22</v>
      </c>
      <c r="C788" s="4" t="s">
        <v>23</v>
      </c>
      <c r="D788" s="4" t="s">
        <v>24</v>
      </c>
      <c r="E788" s="4" t="s">
        <v>32</v>
      </c>
      <c r="F788" s="4" t="s">
        <v>25</v>
      </c>
      <c r="G788" s="4" t="s">
        <v>25</v>
      </c>
      <c r="H788" s="4" t="s">
        <v>25</v>
      </c>
      <c r="I788" s="5">
        <v>44440</v>
      </c>
      <c r="J788" s="6">
        <v>0</v>
      </c>
      <c r="K788" s="6">
        <v>0</v>
      </c>
      <c r="L788" s="6">
        <v>-14.095000000000001</v>
      </c>
      <c r="M788" s="6">
        <v>-14.095000000000001</v>
      </c>
      <c r="N788" s="6">
        <v>-14.095000000000001</v>
      </c>
      <c r="O788" s="6">
        <v>-14.095000000000001</v>
      </c>
      <c r="P788" s="6">
        <v>-22</v>
      </c>
      <c r="Q788" s="4" t="s">
        <v>26</v>
      </c>
      <c r="R788" s="4">
        <v>0</v>
      </c>
      <c r="S788" s="4">
        <v>0</v>
      </c>
      <c r="T788" s="4">
        <v>10</v>
      </c>
      <c r="U788" s="4">
        <v>76</v>
      </c>
      <c r="V788" s="6">
        <f>IF(ISERROR(VLOOKUP($S$788,'TAR FIN'!$A$1:$O$104,15,0)),0,VLOOKUP($S$788,'TAR FIN'!$A$1:$O$104,15,0))</f>
        <v>0</v>
      </c>
      <c r="W788" s="6">
        <f>IF(ISERROR(VLOOKUP($T$788,'TAR FIN'!$A$1:$O$104,15,0)),0,VLOOKUP($T$788,'TAR FIN'!$A$1:$O$104,15,0))</f>
        <v>299.57</v>
      </c>
      <c r="X788" s="6">
        <f>IF(ISERROR(VLOOKUP($U$788,'TAR FIN'!$A$1:$O$104,15,0)),0,VLOOKUP($U$788,'TAR FIN'!$A$1:$O$104,15,0))</f>
        <v>255.72</v>
      </c>
      <c r="Y788" s="6"/>
      <c r="Z788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88" s="6">
        <f>('TE BE'!$AB$17+'TE BF'!$AB$17+'TE CVA'!$AB$17)*(1-CUSTOS!$M$37)</f>
        <v>242.47071701268419</v>
      </c>
      <c r="AB788" s="6">
        <f t="shared" si="40"/>
        <v>0</v>
      </c>
      <c r="AC788" s="6">
        <f>(L788-M788)*(W788+X788)+($W$784+$X$784-$W$788-$X$788)*(L788)</f>
        <v>4.006039944215445E-13</v>
      </c>
      <c r="AD788" s="6">
        <f t="shared" si="41"/>
        <v>0</v>
      </c>
      <c r="AE788" s="6">
        <f ca="1">(L788-M788)*(Z788+AA788)+($Z$784+$AA$784-$Z$788-$AA$788)*(L788)</f>
        <v>0</v>
      </c>
      <c r="AF788" s="4" t="s">
        <v>1002</v>
      </c>
    </row>
    <row r="789" spans="1:32" ht="11.25" customHeight="1" x14ac:dyDescent="0.25">
      <c r="A789" s="4" t="s">
        <v>28</v>
      </c>
      <c r="B789" s="4" t="s">
        <v>22</v>
      </c>
      <c r="C789" s="4" t="s">
        <v>23</v>
      </c>
      <c r="D789" s="4" t="s">
        <v>24</v>
      </c>
      <c r="E789" s="4" t="s">
        <v>32</v>
      </c>
      <c r="F789" s="4" t="s">
        <v>25</v>
      </c>
      <c r="G789" s="4" t="s">
        <v>25</v>
      </c>
      <c r="H789" s="4" t="s">
        <v>25</v>
      </c>
      <c r="I789" s="5">
        <v>44440</v>
      </c>
      <c r="J789" s="6">
        <v>0</v>
      </c>
      <c r="K789" s="6">
        <v>0</v>
      </c>
      <c r="L789" s="6">
        <v>48.887999999999998</v>
      </c>
      <c r="M789" s="6">
        <v>48.887999999999998</v>
      </c>
      <c r="N789" s="6">
        <v>48.887999999999998</v>
      </c>
      <c r="O789" s="6">
        <v>48.887999999999998</v>
      </c>
      <c r="P789" s="6">
        <v>335</v>
      </c>
      <c r="Q789" s="4" t="s">
        <v>26</v>
      </c>
      <c r="R789" s="4">
        <v>0</v>
      </c>
      <c r="S789" s="4">
        <v>0</v>
      </c>
      <c r="T789" s="4">
        <v>10</v>
      </c>
      <c r="U789" s="4">
        <v>76</v>
      </c>
      <c r="V789" s="6">
        <f>IF(ISERROR(VLOOKUP($S$789,'TAR FIN'!$A$1:$O$104,15,0)),0,VLOOKUP($S$789,'TAR FIN'!$A$1:$O$104,15,0))</f>
        <v>0</v>
      </c>
      <c r="W789" s="6">
        <f>IF(ISERROR(VLOOKUP($T$789,'TAR FIN'!$A$1:$O$104,15,0)),0,VLOOKUP($T$789,'TAR FIN'!$A$1:$O$104,15,0))</f>
        <v>299.57</v>
      </c>
      <c r="X789" s="6">
        <f>IF(ISERROR(VLOOKUP($U$789,'TAR FIN'!$A$1:$O$104,15,0)),0,VLOOKUP($U$789,'TAR FIN'!$A$1:$O$104,15,0))</f>
        <v>255.72</v>
      </c>
      <c r="Y789" s="6"/>
      <c r="Z789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89" s="6">
        <f>('TE BE'!$AB$17+'TE BF'!$AB$17+'TE CVA'!$AB$17)*(1-CUSTOS!$M$37)</f>
        <v>242.47071701268419</v>
      </c>
      <c r="AB789" s="6">
        <f t="shared" si="40"/>
        <v>0</v>
      </c>
      <c r="AC789" s="6">
        <f>(L789-M789)*(W789+X789)+($W$784+$X$784-$W$789-$X$789)*(L789)</f>
        <v>-1.3894805306335911E-12</v>
      </c>
      <c r="AD789" s="6">
        <f t="shared" si="41"/>
        <v>0</v>
      </c>
      <c r="AE789" s="6">
        <f ca="1">(L789-M789)*(Z789+AA789)+($Z$784+$AA$784-$Z$789-$AA$789)*(L789)</f>
        <v>0</v>
      </c>
      <c r="AF789" s="4" t="s">
        <v>1002</v>
      </c>
    </row>
    <row r="790" spans="1:32" ht="11.25" customHeight="1" x14ac:dyDescent="0.25">
      <c r="A790" s="4" t="s">
        <v>21</v>
      </c>
      <c r="B790" s="4" t="s">
        <v>22</v>
      </c>
      <c r="C790" s="4" t="s">
        <v>23</v>
      </c>
      <c r="D790" s="4" t="s">
        <v>24</v>
      </c>
      <c r="E790" s="4" t="s">
        <v>32</v>
      </c>
      <c r="F790" s="4" t="s">
        <v>25</v>
      </c>
      <c r="G790" s="4" t="s">
        <v>25</v>
      </c>
      <c r="H790" s="4" t="s">
        <v>25</v>
      </c>
      <c r="I790" s="5">
        <v>44470</v>
      </c>
      <c r="J790" s="6">
        <v>0</v>
      </c>
      <c r="K790" s="6">
        <v>0</v>
      </c>
      <c r="L790" s="6">
        <v>3295.3270000000002</v>
      </c>
      <c r="M790" s="6">
        <v>3295.3270000000002</v>
      </c>
      <c r="N790" s="6">
        <v>3295.3270000000002</v>
      </c>
      <c r="O790" s="6">
        <v>3295.3270000000002</v>
      </c>
      <c r="P790" s="6">
        <v>34370</v>
      </c>
      <c r="Q790" s="4" t="s">
        <v>26</v>
      </c>
      <c r="R790" s="4">
        <v>0</v>
      </c>
      <c r="S790" s="4">
        <v>0</v>
      </c>
      <c r="T790" s="4">
        <v>10</v>
      </c>
      <c r="U790" s="4">
        <v>76</v>
      </c>
      <c r="V790" s="6">
        <f>IF(ISERROR(VLOOKUP($S$790,'TAR FIN'!$A$1:$O$104,15,0)),0,VLOOKUP($S$790,'TAR FIN'!$A$1:$O$104,15,0))</f>
        <v>0</v>
      </c>
      <c r="W790" s="6">
        <f>IF(ISERROR(VLOOKUP($T$790,'TAR FIN'!$A$1:$O$104,15,0)),0,VLOOKUP($T$790,'TAR FIN'!$A$1:$O$104,15,0))</f>
        <v>299.57</v>
      </c>
      <c r="X790" s="6">
        <f>IF(ISERROR(VLOOKUP($U$790,'TAR FIN'!$A$1:$O$104,15,0)),0,VLOOKUP($U$790,'TAR FIN'!$A$1:$O$104,15,0))</f>
        <v>255.72</v>
      </c>
      <c r="Y790" s="6"/>
      <c r="Z790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90" s="6">
        <f>('TE BE'!$AB$17+'TE BF'!$AB$17+'TE CVA'!$AB$17)*(1-CUSTOS!$M$37)</f>
        <v>242.47071701268419</v>
      </c>
      <c r="AB790" s="6">
        <f t="shared" si="40"/>
        <v>0</v>
      </c>
      <c r="AC790" s="6">
        <f>(L790-M790)*(W790+X790)+($W$784+$X$784-$W$790-$X$790)*(L790)</f>
        <v>-9.3658826472164953E-11</v>
      </c>
      <c r="AD790" s="6">
        <f t="shared" si="41"/>
        <v>0</v>
      </c>
      <c r="AE790" s="6">
        <f ca="1">(L790-M790)*(Z790+AA790)+($Z$784+$AA$784-$Z$790-$AA$790)*(L790)</f>
        <v>0</v>
      </c>
      <c r="AF790" s="4" t="s">
        <v>1002</v>
      </c>
    </row>
    <row r="791" spans="1:32" ht="11.25" customHeight="1" x14ac:dyDescent="0.25">
      <c r="A791" s="4" t="s">
        <v>27</v>
      </c>
      <c r="B791" s="4" t="s">
        <v>22</v>
      </c>
      <c r="C791" s="4" t="s">
        <v>23</v>
      </c>
      <c r="D791" s="4" t="s">
        <v>24</v>
      </c>
      <c r="E791" s="4" t="s">
        <v>32</v>
      </c>
      <c r="F791" s="4" t="s">
        <v>25</v>
      </c>
      <c r="G791" s="4" t="s">
        <v>25</v>
      </c>
      <c r="H791" s="4" t="s">
        <v>25</v>
      </c>
      <c r="I791" s="5">
        <v>44470</v>
      </c>
      <c r="J791" s="6">
        <v>0</v>
      </c>
      <c r="K791" s="6">
        <v>0</v>
      </c>
      <c r="L791" s="6">
        <v>-18.164999999999999</v>
      </c>
      <c r="M791" s="6">
        <v>-18.164999999999999</v>
      </c>
      <c r="N791" s="6">
        <v>-18.164999999999999</v>
      </c>
      <c r="O791" s="6">
        <v>-18.164999999999999</v>
      </c>
      <c r="P791" s="6">
        <v>-20</v>
      </c>
      <c r="Q791" s="4" t="s">
        <v>26</v>
      </c>
      <c r="R791" s="4">
        <v>0</v>
      </c>
      <c r="S791" s="4">
        <v>0</v>
      </c>
      <c r="T791" s="4">
        <v>10</v>
      </c>
      <c r="U791" s="4">
        <v>76</v>
      </c>
      <c r="V791" s="6">
        <f>IF(ISERROR(VLOOKUP($S$791,'TAR FIN'!$A$1:$O$104,15,0)),0,VLOOKUP($S$791,'TAR FIN'!$A$1:$O$104,15,0))</f>
        <v>0</v>
      </c>
      <c r="W791" s="6">
        <f>IF(ISERROR(VLOOKUP($T$791,'TAR FIN'!$A$1:$O$104,15,0)),0,VLOOKUP($T$791,'TAR FIN'!$A$1:$O$104,15,0))</f>
        <v>299.57</v>
      </c>
      <c r="X791" s="6">
        <f>IF(ISERROR(VLOOKUP($U$791,'TAR FIN'!$A$1:$O$104,15,0)),0,VLOOKUP($U$791,'TAR FIN'!$A$1:$O$104,15,0))</f>
        <v>255.72</v>
      </c>
      <c r="Y791" s="6"/>
      <c r="Z791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91" s="6">
        <f>('TE BE'!$AB$17+'TE BF'!$AB$17+'TE CVA'!$AB$17)*(1-CUSTOS!$M$37)</f>
        <v>242.47071701268419</v>
      </c>
      <c r="AB791" s="6">
        <f t="shared" si="40"/>
        <v>0</v>
      </c>
      <c r="AC791" s="6">
        <f>(L791-M791)*(W791+X791)+($W$784+$X$784-$W$791-$X$791)*(L791)</f>
        <v>5.1628035180328877E-13</v>
      </c>
      <c r="AD791" s="6">
        <f t="shared" si="41"/>
        <v>0</v>
      </c>
      <c r="AE791" s="6">
        <f ca="1">(L791-M791)*(Z791+AA791)+($Z$784+$AA$784-$Z$791-$AA$791)*(L791)</f>
        <v>0</v>
      </c>
      <c r="AF791" s="4" t="s">
        <v>1002</v>
      </c>
    </row>
    <row r="792" spans="1:32" ht="11.25" customHeight="1" x14ac:dyDescent="0.25">
      <c r="A792" s="4" t="s">
        <v>28</v>
      </c>
      <c r="B792" s="4" t="s">
        <v>22</v>
      </c>
      <c r="C792" s="4" t="s">
        <v>23</v>
      </c>
      <c r="D792" s="4" t="s">
        <v>24</v>
      </c>
      <c r="E792" s="4" t="s">
        <v>32</v>
      </c>
      <c r="F792" s="4" t="s">
        <v>25</v>
      </c>
      <c r="G792" s="4" t="s">
        <v>25</v>
      </c>
      <c r="H792" s="4" t="s">
        <v>25</v>
      </c>
      <c r="I792" s="5">
        <v>44470</v>
      </c>
      <c r="J792" s="6">
        <v>0</v>
      </c>
      <c r="K792" s="6">
        <v>0</v>
      </c>
      <c r="L792" s="6">
        <v>65.254000000000005</v>
      </c>
      <c r="M792" s="6">
        <v>65.254000000000005</v>
      </c>
      <c r="N792" s="6">
        <v>65.254000000000005</v>
      </c>
      <c r="O792" s="6">
        <v>65.254000000000005</v>
      </c>
      <c r="P792" s="6">
        <v>400</v>
      </c>
      <c r="Q792" s="4" t="s">
        <v>26</v>
      </c>
      <c r="R792" s="4">
        <v>0</v>
      </c>
      <c r="S792" s="4">
        <v>0</v>
      </c>
      <c r="T792" s="4">
        <v>10</v>
      </c>
      <c r="U792" s="4">
        <v>76</v>
      </c>
      <c r="V792" s="6">
        <f>IF(ISERROR(VLOOKUP($S$792,'TAR FIN'!$A$1:$O$104,15,0)),0,VLOOKUP($S$792,'TAR FIN'!$A$1:$O$104,15,0))</f>
        <v>0</v>
      </c>
      <c r="W792" s="6">
        <f>IF(ISERROR(VLOOKUP($T$792,'TAR FIN'!$A$1:$O$104,15,0)),0,VLOOKUP($T$792,'TAR FIN'!$A$1:$O$104,15,0))</f>
        <v>299.57</v>
      </c>
      <c r="X792" s="6">
        <f>IF(ISERROR(VLOOKUP($U$792,'TAR FIN'!$A$1:$O$104,15,0)),0,VLOOKUP($U$792,'TAR FIN'!$A$1:$O$104,15,0))</f>
        <v>255.72</v>
      </c>
      <c r="Y792" s="6"/>
      <c r="Z792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92" s="6">
        <f>('TE BE'!$AB$17+'TE BF'!$AB$17+'TE CVA'!$AB$17)*(1-CUSTOS!$M$37)</f>
        <v>242.47071701268419</v>
      </c>
      <c r="AB792" s="6">
        <f t="shared" si="40"/>
        <v>0</v>
      </c>
      <c r="AC792" s="6">
        <f>(L792-M792)*(W792+X792)+($W$784+$X$784-$W$792-$X$792)*(L792)</f>
        <v>-1.8546302271715832E-12</v>
      </c>
      <c r="AD792" s="6">
        <f t="shared" si="41"/>
        <v>0</v>
      </c>
      <c r="AE792" s="6">
        <f ca="1">(L792-M792)*(Z792+AA792)+($Z$784+$AA$784-$Z$792-$AA$792)*(L792)</f>
        <v>0</v>
      </c>
      <c r="AF792" s="4" t="s">
        <v>1002</v>
      </c>
    </row>
    <row r="793" spans="1:32" ht="11.25" customHeight="1" x14ac:dyDescent="0.25">
      <c r="A793" s="4" t="s">
        <v>21</v>
      </c>
      <c r="B793" s="4" t="s">
        <v>22</v>
      </c>
      <c r="C793" s="4" t="s">
        <v>23</v>
      </c>
      <c r="D793" s="4" t="s">
        <v>24</v>
      </c>
      <c r="E793" s="4" t="s">
        <v>32</v>
      </c>
      <c r="F793" s="4" t="s">
        <v>25</v>
      </c>
      <c r="G793" s="4" t="s">
        <v>25</v>
      </c>
      <c r="H793" s="4" t="s">
        <v>25</v>
      </c>
      <c r="I793" s="5">
        <v>44501</v>
      </c>
      <c r="J793" s="6">
        <v>0</v>
      </c>
      <c r="K793" s="6">
        <v>0</v>
      </c>
      <c r="L793" s="6">
        <v>3196.73</v>
      </c>
      <c r="M793" s="6">
        <v>3196.73</v>
      </c>
      <c r="N793" s="6">
        <v>3196.73</v>
      </c>
      <c r="O793" s="6">
        <v>3196.73</v>
      </c>
      <c r="P793" s="6">
        <v>34987</v>
      </c>
      <c r="Q793" s="4" t="s">
        <v>26</v>
      </c>
      <c r="R793" s="4">
        <v>0</v>
      </c>
      <c r="S793" s="4">
        <v>0</v>
      </c>
      <c r="T793" s="4">
        <v>10</v>
      </c>
      <c r="U793" s="4">
        <v>76</v>
      </c>
      <c r="V793" s="6">
        <f>IF(ISERROR(VLOOKUP($S$793,'TAR FIN'!$A$1:$O$104,15,0)),0,VLOOKUP($S$793,'TAR FIN'!$A$1:$O$104,15,0))</f>
        <v>0</v>
      </c>
      <c r="W793" s="6">
        <f>IF(ISERROR(VLOOKUP($T$793,'TAR FIN'!$A$1:$O$104,15,0)),0,VLOOKUP($T$793,'TAR FIN'!$A$1:$O$104,15,0))</f>
        <v>299.57</v>
      </c>
      <c r="X793" s="6">
        <f>IF(ISERROR(VLOOKUP($U$793,'TAR FIN'!$A$1:$O$104,15,0)),0,VLOOKUP($U$793,'TAR FIN'!$A$1:$O$104,15,0))</f>
        <v>255.72</v>
      </c>
      <c r="Y793" s="6"/>
      <c r="Z793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93" s="6">
        <f>('TE BE'!$AB$17+'TE BF'!$AB$17+'TE CVA'!$AB$17)*(1-CUSTOS!$M$37)</f>
        <v>242.47071701268419</v>
      </c>
      <c r="AB793" s="6">
        <f t="shared" si="40"/>
        <v>0</v>
      </c>
      <c r="AC793" s="6">
        <f>(L793-M793)*(W793+X793)+($W$784+$X$784-$W$793-$X$793)*(L793)</f>
        <v>-9.0856531187455403E-11</v>
      </c>
      <c r="AD793" s="6">
        <f t="shared" si="41"/>
        <v>0</v>
      </c>
      <c r="AE793" s="6">
        <f ca="1">(L793-M793)*(Z793+AA793)+($Z$784+$AA$784-$Z$793-$AA$793)*(L793)</f>
        <v>0</v>
      </c>
      <c r="AF793" s="4" t="s">
        <v>1002</v>
      </c>
    </row>
    <row r="794" spans="1:32" ht="11.25" customHeight="1" x14ac:dyDescent="0.25">
      <c r="A794" s="4" t="s">
        <v>27</v>
      </c>
      <c r="B794" s="4" t="s">
        <v>22</v>
      </c>
      <c r="C794" s="4" t="s">
        <v>23</v>
      </c>
      <c r="D794" s="4" t="s">
        <v>24</v>
      </c>
      <c r="E794" s="4" t="s">
        <v>32</v>
      </c>
      <c r="F794" s="4" t="s">
        <v>25</v>
      </c>
      <c r="G794" s="4" t="s">
        <v>25</v>
      </c>
      <c r="H794" s="4" t="s">
        <v>25</v>
      </c>
      <c r="I794" s="5">
        <v>44501</v>
      </c>
      <c r="J794" s="6">
        <v>0</v>
      </c>
      <c r="K794" s="6">
        <v>0</v>
      </c>
      <c r="L794" s="6">
        <v>-12.724</v>
      </c>
      <c r="M794" s="6">
        <v>-12.724</v>
      </c>
      <c r="N794" s="6">
        <v>-12.724</v>
      </c>
      <c r="O794" s="6">
        <v>-12.724</v>
      </c>
      <c r="P794" s="6">
        <v>-18</v>
      </c>
      <c r="Q794" s="4" t="s">
        <v>26</v>
      </c>
      <c r="R794" s="4">
        <v>0</v>
      </c>
      <c r="S794" s="4">
        <v>0</v>
      </c>
      <c r="T794" s="4">
        <v>10</v>
      </c>
      <c r="U794" s="4">
        <v>76</v>
      </c>
      <c r="V794" s="6">
        <f>IF(ISERROR(VLOOKUP($S$794,'TAR FIN'!$A$1:$O$104,15,0)),0,VLOOKUP($S$794,'TAR FIN'!$A$1:$O$104,15,0))</f>
        <v>0</v>
      </c>
      <c r="W794" s="6">
        <f>IF(ISERROR(VLOOKUP($T$794,'TAR FIN'!$A$1:$O$104,15,0)),0,VLOOKUP($T$794,'TAR FIN'!$A$1:$O$104,15,0))</f>
        <v>299.57</v>
      </c>
      <c r="X794" s="6">
        <f>IF(ISERROR(VLOOKUP($U$794,'TAR FIN'!$A$1:$O$104,15,0)),0,VLOOKUP($U$794,'TAR FIN'!$A$1:$O$104,15,0))</f>
        <v>255.72</v>
      </c>
      <c r="Y794" s="6"/>
      <c r="Z794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94" s="6">
        <f>('TE BE'!$AB$17+'TE BF'!$AB$17+'TE CVA'!$AB$17)*(1-CUSTOS!$M$37)</f>
        <v>242.47071701268419</v>
      </c>
      <c r="AB794" s="6">
        <f t="shared" si="40"/>
        <v>0</v>
      </c>
      <c r="AC794" s="6">
        <f>(L794-M794)*(W794+X794)+($W$784+$X$784-$W$794-$X$794)*(L794)</f>
        <v>3.616378307924606E-13</v>
      </c>
      <c r="AD794" s="6">
        <f t="shared" si="41"/>
        <v>0</v>
      </c>
      <c r="AE794" s="6">
        <f ca="1">(L794-M794)*(Z794+AA794)+($Z$784+$AA$784-$Z$794-$AA$794)*(L794)</f>
        <v>0</v>
      </c>
      <c r="AF794" s="4" t="s">
        <v>1002</v>
      </c>
    </row>
    <row r="795" spans="1:32" ht="11.25" customHeight="1" x14ac:dyDescent="0.25">
      <c r="A795" s="4" t="s">
        <v>28</v>
      </c>
      <c r="B795" s="4" t="s">
        <v>22</v>
      </c>
      <c r="C795" s="4" t="s">
        <v>23</v>
      </c>
      <c r="D795" s="4" t="s">
        <v>24</v>
      </c>
      <c r="E795" s="4" t="s">
        <v>32</v>
      </c>
      <c r="F795" s="4" t="s">
        <v>25</v>
      </c>
      <c r="G795" s="4" t="s">
        <v>25</v>
      </c>
      <c r="H795" s="4" t="s">
        <v>25</v>
      </c>
      <c r="I795" s="5">
        <v>44501</v>
      </c>
      <c r="J795" s="6">
        <v>0</v>
      </c>
      <c r="K795" s="6">
        <v>0</v>
      </c>
      <c r="L795" s="6">
        <v>69.477999999999994</v>
      </c>
      <c r="M795" s="6">
        <v>69.477999999999994</v>
      </c>
      <c r="N795" s="6">
        <v>69.477999999999994</v>
      </c>
      <c r="O795" s="6">
        <v>69.477999999999994</v>
      </c>
      <c r="P795" s="6">
        <v>453</v>
      </c>
      <c r="Q795" s="4" t="s">
        <v>26</v>
      </c>
      <c r="R795" s="4">
        <v>0</v>
      </c>
      <c r="S795" s="4">
        <v>0</v>
      </c>
      <c r="T795" s="4">
        <v>10</v>
      </c>
      <c r="U795" s="4">
        <v>76</v>
      </c>
      <c r="V795" s="6">
        <f>IF(ISERROR(VLOOKUP($S$795,'TAR FIN'!$A$1:$O$104,15,0)),0,VLOOKUP($S$795,'TAR FIN'!$A$1:$O$104,15,0))</f>
        <v>0</v>
      </c>
      <c r="W795" s="6">
        <f>IF(ISERROR(VLOOKUP($T$795,'TAR FIN'!$A$1:$O$104,15,0)),0,VLOOKUP($T$795,'TAR FIN'!$A$1:$O$104,15,0))</f>
        <v>299.57</v>
      </c>
      <c r="X795" s="6">
        <f>IF(ISERROR(VLOOKUP($U$795,'TAR FIN'!$A$1:$O$104,15,0)),0,VLOOKUP($U$795,'TAR FIN'!$A$1:$O$104,15,0))</f>
        <v>255.72</v>
      </c>
      <c r="Y795" s="6"/>
      <c r="Z795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95" s="6">
        <f>('TE BE'!$AB$17+'TE BF'!$AB$17+'TE CVA'!$AB$17)*(1-CUSTOS!$M$37)</f>
        <v>242.47071701268419</v>
      </c>
      <c r="AB795" s="6">
        <f t="shared" si="40"/>
        <v>0</v>
      </c>
      <c r="AC795" s="6">
        <f>(L795-M795)*(W795+X795)+($W$784+$X$784-$W$795-$X$795)*(L795)</f>
        <v>-1.9746835278056095E-12</v>
      </c>
      <c r="AD795" s="6">
        <f t="shared" si="41"/>
        <v>0</v>
      </c>
      <c r="AE795" s="6">
        <f ca="1">(L795-M795)*(Z795+AA795)+($Z$784+$AA$784-$Z$795-$AA$795)*(L795)</f>
        <v>0</v>
      </c>
      <c r="AF795" s="4" t="s">
        <v>1002</v>
      </c>
    </row>
    <row r="796" spans="1:32" ht="11.25" customHeight="1" x14ac:dyDescent="0.25">
      <c r="A796" s="4" t="s">
        <v>21</v>
      </c>
      <c r="B796" s="4" t="s">
        <v>22</v>
      </c>
      <c r="C796" s="4" t="s">
        <v>23</v>
      </c>
      <c r="D796" s="4" t="s">
        <v>24</v>
      </c>
      <c r="E796" s="4" t="s">
        <v>32</v>
      </c>
      <c r="F796" s="4" t="s">
        <v>25</v>
      </c>
      <c r="G796" s="4" t="s">
        <v>25</v>
      </c>
      <c r="H796" s="4" t="s">
        <v>25</v>
      </c>
      <c r="I796" s="5">
        <v>44531</v>
      </c>
      <c r="J796" s="6">
        <v>0</v>
      </c>
      <c r="K796" s="6">
        <v>0</v>
      </c>
      <c r="L796" s="6">
        <v>4843.7380000000003</v>
      </c>
      <c r="M796" s="6">
        <v>4843.7380000000003</v>
      </c>
      <c r="N796" s="6">
        <v>4843.7380000000003</v>
      </c>
      <c r="O796" s="6">
        <v>4843.7380000000003</v>
      </c>
      <c r="P796" s="6">
        <v>47750</v>
      </c>
      <c r="Q796" s="4" t="s">
        <v>26</v>
      </c>
      <c r="R796" s="4">
        <v>0</v>
      </c>
      <c r="S796" s="4">
        <v>0</v>
      </c>
      <c r="T796" s="4">
        <v>10</v>
      </c>
      <c r="U796" s="4">
        <v>76</v>
      </c>
      <c r="V796" s="6">
        <f>IF(ISERROR(VLOOKUP($S$796,'TAR FIN'!$A$1:$O$104,15,0)),0,VLOOKUP($S$796,'TAR FIN'!$A$1:$O$104,15,0))</f>
        <v>0</v>
      </c>
      <c r="W796" s="6">
        <f>IF(ISERROR(VLOOKUP($T$796,'TAR FIN'!$A$1:$O$104,15,0)),0,VLOOKUP($T$796,'TAR FIN'!$A$1:$O$104,15,0))</f>
        <v>299.57</v>
      </c>
      <c r="X796" s="6">
        <f>IF(ISERROR(VLOOKUP($U$796,'TAR FIN'!$A$1:$O$104,15,0)),0,VLOOKUP($U$796,'TAR FIN'!$A$1:$O$104,15,0))</f>
        <v>255.72</v>
      </c>
      <c r="Y796" s="6"/>
      <c r="Z796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96" s="6">
        <f>('TE BE'!$AB$17+'TE BF'!$AB$17+'TE CVA'!$AB$17)*(1-CUSTOS!$M$37)</f>
        <v>242.47071701268419</v>
      </c>
      <c r="AB796" s="6">
        <f t="shared" si="40"/>
        <v>0</v>
      </c>
      <c r="AC796" s="6">
        <f>(L796-M796)*(W796+X796)+($W$784+$X$784-$W$796-$X$796)*(L796)</f>
        <v>-1.3766731399300625E-10</v>
      </c>
      <c r="AD796" s="6">
        <f t="shared" si="41"/>
        <v>0</v>
      </c>
      <c r="AE796" s="6">
        <f ca="1">(L796-M796)*(Z796+AA796)+($Z$784+$AA$784-$Z$796-$AA$796)*(L796)</f>
        <v>0</v>
      </c>
      <c r="AF796" s="4" t="s">
        <v>1002</v>
      </c>
    </row>
    <row r="797" spans="1:32" ht="11.25" customHeight="1" x14ac:dyDescent="0.25">
      <c r="A797" s="4" t="s">
        <v>27</v>
      </c>
      <c r="B797" s="4" t="s">
        <v>22</v>
      </c>
      <c r="C797" s="4" t="s">
        <v>23</v>
      </c>
      <c r="D797" s="4" t="s">
        <v>24</v>
      </c>
      <c r="E797" s="4" t="s">
        <v>32</v>
      </c>
      <c r="F797" s="4" t="s">
        <v>25</v>
      </c>
      <c r="G797" s="4" t="s">
        <v>25</v>
      </c>
      <c r="H797" s="4" t="s">
        <v>25</v>
      </c>
      <c r="I797" s="5">
        <v>44531</v>
      </c>
      <c r="J797" s="6">
        <v>0</v>
      </c>
      <c r="K797" s="6">
        <v>0</v>
      </c>
      <c r="L797" s="6">
        <v>-28.105</v>
      </c>
      <c r="M797" s="6">
        <v>-28.105</v>
      </c>
      <c r="N797" s="6">
        <v>-28.105</v>
      </c>
      <c r="O797" s="6">
        <v>-28.105</v>
      </c>
      <c r="P797" s="6">
        <v>-21</v>
      </c>
      <c r="Q797" s="4" t="s">
        <v>26</v>
      </c>
      <c r="R797" s="4">
        <v>0</v>
      </c>
      <c r="S797" s="4">
        <v>0</v>
      </c>
      <c r="T797" s="4">
        <v>10</v>
      </c>
      <c r="U797" s="4">
        <v>76</v>
      </c>
      <c r="V797" s="6">
        <f>IF(ISERROR(VLOOKUP($S$797,'TAR FIN'!$A$1:$O$104,15,0)),0,VLOOKUP($S$797,'TAR FIN'!$A$1:$O$104,15,0))</f>
        <v>0</v>
      </c>
      <c r="W797" s="6">
        <f>IF(ISERROR(VLOOKUP($T$797,'TAR FIN'!$A$1:$O$104,15,0)),0,VLOOKUP($T$797,'TAR FIN'!$A$1:$O$104,15,0))</f>
        <v>299.57</v>
      </c>
      <c r="X797" s="6">
        <f>IF(ISERROR(VLOOKUP($U$797,'TAR FIN'!$A$1:$O$104,15,0)),0,VLOOKUP($U$797,'TAR FIN'!$A$1:$O$104,15,0))</f>
        <v>255.72</v>
      </c>
      <c r="Y797" s="6"/>
      <c r="Z797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97" s="6">
        <f>('TE BE'!$AB$17+'TE BF'!$AB$17+'TE CVA'!$AB$17)*(1-CUSTOS!$M$37)</f>
        <v>242.47071701268419</v>
      </c>
      <c r="AB797" s="6">
        <f t="shared" si="40"/>
        <v>0</v>
      </c>
      <c r="AC797" s="6">
        <f>(L797-M797)*(W797+X797)+($W$784+$X$784-$W$797-$X$797)*(L797)</f>
        <v>7.9879214354150464E-13</v>
      </c>
      <c r="AD797" s="6">
        <f t="shared" si="41"/>
        <v>0</v>
      </c>
      <c r="AE797" s="6">
        <f ca="1">(L797-M797)*(Z797+AA797)+($Z$784+$AA$784-$Z$797-$AA$797)*(L797)</f>
        <v>0</v>
      </c>
      <c r="AF797" s="4" t="s">
        <v>1002</v>
      </c>
    </row>
    <row r="798" spans="1:32" ht="11.25" customHeight="1" x14ac:dyDescent="0.25">
      <c r="A798" s="4" t="s">
        <v>28</v>
      </c>
      <c r="B798" s="4" t="s">
        <v>22</v>
      </c>
      <c r="C798" s="4" t="s">
        <v>23</v>
      </c>
      <c r="D798" s="4" t="s">
        <v>24</v>
      </c>
      <c r="E798" s="4" t="s">
        <v>32</v>
      </c>
      <c r="F798" s="4" t="s">
        <v>25</v>
      </c>
      <c r="G798" s="4" t="s">
        <v>25</v>
      </c>
      <c r="H798" s="4" t="s">
        <v>25</v>
      </c>
      <c r="I798" s="5">
        <v>44531</v>
      </c>
      <c r="J798" s="6">
        <v>0</v>
      </c>
      <c r="K798" s="6">
        <v>0</v>
      </c>
      <c r="L798" s="6">
        <v>95.070999999999998</v>
      </c>
      <c r="M798" s="6">
        <v>95.070999999999998</v>
      </c>
      <c r="N798" s="6">
        <v>95.070999999999998</v>
      </c>
      <c r="O798" s="6">
        <v>95.070999999999998</v>
      </c>
      <c r="P798" s="6">
        <v>502</v>
      </c>
      <c r="Q798" s="4" t="s">
        <v>26</v>
      </c>
      <c r="R798" s="4">
        <v>0</v>
      </c>
      <c r="S798" s="4">
        <v>0</v>
      </c>
      <c r="T798" s="4">
        <v>10</v>
      </c>
      <c r="U798" s="4">
        <v>76</v>
      </c>
      <c r="V798" s="6">
        <f>IF(ISERROR(VLOOKUP($S$798,'TAR FIN'!$A$1:$O$104,15,0)),0,VLOOKUP($S$798,'TAR FIN'!$A$1:$O$104,15,0))</f>
        <v>0</v>
      </c>
      <c r="W798" s="6">
        <f>IF(ISERROR(VLOOKUP($T$798,'TAR FIN'!$A$1:$O$104,15,0)),0,VLOOKUP($T$798,'TAR FIN'!$A$1:$O$104,15,0))</f>
        <v>299.57</v>
      </c>
      <c r="X798" s="6">
        <f>IF(ISERROR(VLOOKUP($U$798,'TAR FIN'!$A$1:$O$104,15,0)),0,VLOOKUP($U$798,'TAR FIN'!$A$1:$O$104,15,0))</f>
        <v>255.72</v>
      </c>
      <c r="Y798" s="6"/>
      <c r="Z798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98" s="6">
        <f>('TE BE'!$AB$17+'TE BF'!$AB$17+'TE CVA'!$AB$17)*(1-CUSTOS!$M$37)</f>
        <v>242.47071701268419</v>
      </c>
      <c r="AB798" s="6">
        <f t="shared" si="40"/>
        <v>0</v>
      </c>
      <c r="AC798" s="6">
        <f>(L798-M798)*(W798+X798)+($W$784+$X$784-$W$798-$X$798)*(L798)</f>
        <v>-2.7020803372579393E-12</v>
      </c>
      <c r="AD798" s="6">
        <f t="shared" si="41"/>
        <v>0</v>
      </c>
      <c r="AE798" s="6">
        <f ca="1">(L798-M798)*(Z798+AA798)+($Z$784+$AA$784-$Z$798-$AA$798)*(L798)</f>
        <v>0</v>
      </c>
      <c r="AF798" s="4" t="s">
        <v>1002</v>
      </c>
    </row>
    <row r="799" spans="1:32" ht="11.25" customHeight="1" x14ac:dyDescent="0.25">
      <c r="A799" s="4" t="s">
        <v>21</v>
      </c>
      <c r="B799" s="4" t="s">
        <v>22</v>
      </c>
      <c r="C799" s="4" t="s">
        <v>23</v>
      </c>
      <c r="D799" s="4" t="s">
        <v>24</v>
      </c>
      <c r="E799" s="4" t="s">
        <v>32</v>
      </c>
      <c r="F799" s="4" t="s">
        <v>25</v>
      </c>
      <c r="G799" s="4" t="s">
        <v>25</v>
      </c>
      <c r="H799" s="4" t="s">
        <v>25</v>
      </c>
      <c r="I799" s="5">
        <v>44562</v>
      </c>
      <c r="J799" s="6">
        <v>0</v>
      </c>
      <c r="K799" s="6">
        <v>0</v>
      </c>
      <c r="L799" s="6">
        <v>3844.5459999999998</v>
      </c>
      <c r="M799" s="6">
        <v>3844.5459999999998</v>
      </c>
      <c r="N799" s="6">
        <v>3844.5459999999998</v>
      </c>
      <c r="O799" s="6">
        <v>3844.5459999999998</v>
      </c>
      <c r="P799" s="6">
        <v>39341</v>
      </c>
      <c r="Q799" s="4" t="s">
        <v>26</v>
      </c>
      <c r="R799" s="4">
        <v>0</v>
      </c>
      <c r="S799" s="4">
        <v>0</v>
      </c>
      <c r="T799" s="4">
        <v>10</v>
      </c>
      <c r="U799" s="4">
        <v>76</v>
      </c>
      <c r="V799" s="6">
        <f>IF(ISERROR(VLOOKUP($S$799,'TAR FIN'!$A$1:$O$104,15,0)),0,VLOOKUP($S$799,'TAR FIN'!$A$1:$O$104,15,0))</f>
        <v>0</v>
      </c>
      <c r="W799" s="6">
        <f>IF(ISERROR(VLOOKUP($T$799,'TAR FIN'!$A$1:$O$104,15,0)),0,VLOOKUP($T$799,'TAR FIN'!$A$1:$O$104,15,0))</f>
        <v>299.57</v>
      </c>
      <c r="X799" s="6">
        <f>IF(ISERROR(VLOOKUP($U$799,'TAR FIN'!$A$1:$O$104,15,0)),0,VLOOKUP($U$799,'TAR FIN'!$A$1:$O$104,15,0))</f>
        <v>255.72</v>
      </c>
      <c r="Y799" s="6"/>
      <c r="Z799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799" s="6">
        <f>('TE BE'!$AB$17+'TE BF'!$AB$17+'TE CVA'!$AB$17)*(1-CUSTOS!$M$37)</f>
        <v>242.47071701268419</v>
      </c>
      <c r="AB799" s="6">
        <f t="shared" si="40"/>
        <v>0</v>
      </c>
      <c r="AC799" s="6">
        <f>(L799-M799)*(W799+X799)+($W$784+$X$784-$W$799-$X$799)*(L799)</f>
        <v>-1.09268569303822E-10</v>
      </c>
      <c r="AD799" s="6">
        <f t="shared" si="41"/>
        <v>0</v>
      </c>
      <c r="AE799" s="6">
        <f ca="1">(L799-M799)*(Z799+AA799)+($Z$784+$AA$784-$Z$799-$AA$799)*(L799)</f>
        <v>0</v>
      </c>
      <c r="AF799" s="4" t="s">
        <v>1002</v>
      </c>
    </row>
    <row r="800" spans="1:32" ht="11.25" customHeight="1" x14ac:dyDescent="0.25">
      <c r="A800" s="4" t="s">
        <v>27</v>
      </c>
      <c r="B800" s="4" t="s">
        <v>22</v>
      </c>
      <c r="C800" s="4" t="s">
        <v>23</v>
      </c>
      <c r="D800" s="4" t="s">
        <v>24</v>
      </c>
      <c r="E800" s="4" t="s">
        <v>32</v>
      </c>
      <c r="F800" s="4" t="s">
        <v>25</v>
      </c>
      <c r="G800" s="4" t="s">
        <v>25</v>
      </c>
      <c r="H800" s="4" t="s">
        <v>25</v>
      </c>
      <c r="I800" s="5">
        <v>44562</v>
      </c>
      <c r="J800" s="6">
        <v>0</v>
      </c>
      <c r="K800" s="6">
        <v>0</v>
      </c>
      <c r="L800" s="6">
        <v>-13.45</v>
      </c>
      <c r="M800" s="6">
        <v>-13.45</v>
      </c>
      <c r="N800" s="6">
        <v>-13.45</v>
      </c>
      <c r="O800" s="6">
        <v>-13.45</v>
      </c>
      <c r="P800" s="6">
        <v>-21</v>
      </c>
      <c r="Q800" s="4" t="s">
        <v>26</v>
      </c>
      <c r="R800" s="4">
        <v>0</v>
      </c>
      <c r="S800" s="4">
        <v>0</v>
      </c>
      <c r="T800" s="4">
        <v>10</v>
      </c>
      <c r="U800" s="4">
        <v>76</v>
      </c>
      <c r="V800" s="6">
        <f>IF(ISERROR(VLOOKUP($S$800,'TAR FIN'!$A$1:$O$104,15,0)),0,VLOOKUP($S$800,'TAR FIN'!$A$1:$O$104,15,0))</f>
        <v>0</v>
      </c>
      <c r="W800" s="6">
        <f>IF(ISERROR(VLOOKUP($T$800,'TAR FIN'!$A$1:$O$104,15,0)),0,VLOOKUP($T$800,'TAR FIN'!$A$1:$O$104,15,0))</f>
        <v>299.57</v>
      </c>
      <c r="X800" s="6">
        <f>IF(ISERROR(VLOOKUP($U$800,'TAR FIN'!$A$1:$O$104,15,0)),0,VLOOKUP($U$800,'TAR FIN'!$A$1:$O$104,15,0))</f>
        <v>255.72</v>
      </c>
      <c r="Y800" s="6"/>
      <c r="Z800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00" s="6">
        <f>('TE BE'!$AB$17+'TE BF'!$AB$17+'TE CVA'!$AB$17)*(1-CUSTOS!$M$37)</f>
        <v>242.47071701268419</v>
      </c>
      <c r="AB800" s="6">
        <f t="shared" si="40"/>
        <v>0</v>
      </c>
      <c r="AC800" s="6">
        <f>(L800-M800)*(W800+X800)+($W$784+$X$784-$W$800-$X$800)*(L800)</f>
        <v>3.8227199183893388E-13</v>
      </c>
      <c r="AD800" s="6">
        <f t="shared" si="41"/>
        <v>0</v>
      </c>
      <c r="AE800" s="6">
        <f ca="1">(L800-M800)*(Z800+AA800)+($Z$784+$AA$784-$Z$800-$AA$800)*(L800)</f>
        <v>0</v>
      </c>
      <c r="AF800" s="4" t="s">
        <v>1002</v>
      </c>
    </row>
    <row r="801" spans="1:32" ht="11.25" customHeight="1" x14ac:dyDescent="0.25">
      <c r="A801" s="4" t="s">
        <v>28</v>
      </c>
      <c r="B801" s="4" t="s">
        <v>22</v>
      </c>
      <c r="C801" s="4" t="s">
        <v>23</v>
      </c>
      <c r="D801" s="4" t="s">
        <v>24</v>
      </c>
      <c r="E801" s="4" t="s">
        <v>32</v>
      </c>
      <c r="F801" s="4" t="s">
        <v>25</v>
      </c>
      <c r="G801" s="4" t="s">
        <v>25</v>
      </c>
      <c r="H801" s="4" t="s">
        <v>25</v>
      </c>
      <c r="I801" s="5">
        <v>44562</v>
      </c>
      <c r="J801" s="6">
        <v>0</v>
      </c>
      <c r="K801" s="6">
        <v>0</v>
      </c>
      <c r="L801" s="6">
        <v>74.606999999999999</v>
      </c>
      <c r="M801" s="6">
        <v>74.606999999999999</v>
      </c>
      <c r="N801" s="6">
        <v>74.606999999999999</v>
      </c>
      <c r="O801" s="6">
        <v>74.606999999999999</v>
      </c>
      <c r="P801" s="6">
        <v>484</v>
      </c>
      <c r="Q801" s="4" t="s">
        <v>26</v>
      </c>
      <c r="R801" s="4">
        <v>0</v>
      </c>
      <c r="S801" s="4">
        <v>0</v>
      </c>
      <c r="T801" s="4">
        <v>10</v>
      </c>
      <c r="U801" s="4">
        <v>76</v>
      </c>
      <c r="V801" s="6">
        <f>IF(ISERROR(VLOOKUP($S$801,'TAR FIN'!$A$1:$O$104,15,0)),0,VLOOKUP($S$801,'TAR FIN'!$A$1:$O$104,15,0))</f>
        <v>0</v>
      </c>
      <c r="W801" s="6">
        <f>IF(ISERROR(VLOOKUP($T$801,'TAR FIN'!$A$1:$O$104,15,0)),0,VLOOKUP($T$801,'TAR FIN'!$A$1:$O$104,15,0))</f>
        <v>299.57</v>
      </c>
      <c r="X801" s="6">
        <f>IF(ISERROR(VLOOKUP($U$801,'TAR FIN'!$A$1:$O$104,15,0)),0,VLOOKUP($U$801,'TAR FIN'!$A$1:$O$104,15,0))</f>
        <v>255.72</v>
      </c>
      <c r="Y801" s="6"/>
      <c r="Z801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01" s="6">
        <f>('TE BE'!$AB$17+'TE BF'!$AB$17+'TE CVA'!$AB$17)*(1-CUSTOS!$M$37)</f>
        <v>242.47071701268419</v>
      </c>
      <c r="AB801" s="6">
        <f t="shared" si="40"/>
        <v>0</v>
      </c>
      <c r="AC801" s="6">
        <f>(L801-M801)*(W801+X801)+($W$784+$X$784-$W$801-$X$801)*(L801)</f>
        <v>-2.1204584754741518E-12</v>
      </c>
      <c r="AD801" s="6">
        <f t="shared" si="41"/>
        <v>0</v>
      </c>
      <c r="AE801" s="6">
        <f ca="1">(L801-M801)*(Z801+AA801)+($Z$784+$AA$784-$Z$801-$AA$801)*(L801)</f>
        <v>0</v>
      </c>
      <c r="AF801" s="4" t="s">
        <v>1002</v>
      </c>
    </row>
    <row r="802" spans="1:32" ht="11.25" customHeight="1" x14ac:dyDescent="0.25">
      <c r="A802" s="4" t="s">
        <v>28</v>
      </c>
      <c r="B802" s="4" t="s">
        <v>22</v>
      </c>
      <c r="C802" s="4" t="s">
        <v>23</v>
      </c>
      <c r="D802" s="4" t="s">
        <v>24</v>
      </c>
      <c r="E802" s="4" t="s">
        <v>32</v>
      </c>
      <c r="F802" s="4" t="s">
        <v>25</v>
      </c>
      <c r="G802" s="4" t="s">
        <v>25</v>
      </c>
      <c r="H802" s="4" t="s">
        <v>25</v>
      </c>
      <c r="I802" s="5">
        <v>44562</v>
      </c>
      <c r="J802" s="6">
        <v>0</v>
      </c>
      <c r="K802" s="6">
        <v>0</v>
      </c>
      <c r="L802" s="6">
        <v>-1.1060000000000001</v>
      </c>
      <c r="M802" s="6">
        <v>-1.1060000000000001</v>
      </c>
      <c r="N802" s="6">
        <v>-1.1060000000000001</v>
      </c>
      <c r="O802" s="6">
        <v>-1.1060000000000001</v>
      </c>
      <c r="P802" s="6">
        <v>-1</v>
      </c>
      <c r="Q802" s="4" t="s">
        <v>26</v>
      </c>
      <c r="R802" s="4">
        <v>0</v>
      </c>
      <c r="S802" s="4">
        <v>0</v>
      </c>
      <c r="T802" s="4">
        <v>10</v>
      </c>
      <c r="U802" s="4">
        <v>76</v>
      </c>
      <c r="V802" s="6">
        <f>IF(ISERROR(VLOOKUP($S$802,'TAR FIN'!$A$1:$O$104,15,0)),0,VLOOKUP($S$802,'TAR FIN'!$A$1:$O$104,15,0))</f>
        <v>0</v>
      </c>
      <c r="W802" s="6">
        <f>IF(ISERROR(VLOOKUP($T$802,'TAR FIN'!$A$1:$O$104,15,0)),0,VLOOKUP($T$802,'TAR FIN'!$A$1:$O$104,15,0))</f>
        <v>299.57</v>
      </c>
      <c r="X802" s="6">
        <f>IF(ISERROR(VLOOKUP($U$802,'TAR FIN'!$A$1:$O$104,15,0)),0,VLOOKUP($U$802,'TAR FIN'!$A$1:$O$104,15,0))</f>
        <v>255.72</v>
      </c>
      <c r="Y802" s="6"/>
      <c r="Z802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02" s="6">
        <f>('TE BE'!$AB$17+'TE BF'!$AB$17+'TE CVA'!$AB$17)*(1-CUSTOS!$M$37)</f>
        <v>242.47071701268419</v>
      </c>
      <c r="AB802" s="6">
        <f t="shared" si="40"/>
        <v>0</v>
      </c>
      <c r="AC802" s="6">
        <f>(L802-M802)*(W802+X802)+($W$784+$X$784-$W$802-$X$802)*(L802)</f>
        <v>3.1434410630026835E-14</v>
      </c>
      <c r="AD802" s="6">
        <f t="shared" si="41"/>
        <v>0</v>
      </c>
      <c r="AE802" s="6">
        <f ca="1">(L802-M802)*(Z802+AA802)+($Z$784+$AA$784-$Z$802-$AA$802)*(L802)</f>
        <v>0</v>
      </c>
      <c r="AF802" s="4" t="s">
        <v>1002</v>
      </c>
    </row>
    <row r="803" spans="1:32" ht="11.25" customHeight="1" x14ac:dyDescent="0.25">
      <c r="A803" s="4" t="s">
        <v>21</v>
      </c>
      <c r="B803" s="4" t="s">
        <v>22</v>
      </c>
      <c r="C803" s="4" t="s">
        <v>23</v>
      </c>
      <c r="D803" s="4" t="s">
        <v>24</v>
      </c>
      <c r="E803" s="4" t="s">
        <v>32</v>
      </c>
      <c r="F803" s="4" t="s">
        <v>25</v>
      </c>
      <c r="G803" s="4" t="s">
        <v>25</v>
      </c>
      <c r="H803" s="4" t="s">
        <v>25</v>
      </c>
      <c r="I803" s="5">
        <v>44593</v>
      </c>
      <c r="J803" s="6">
        <v>0</v>
      </c>
      <c r="K803" s="6">
        <v>0</v>
      </c>
      <c r="L803" s="6">
        <v>2946.5129999999999</v>
      </c>
      <c r="M803" s="6">
        <v>2946.5129999999999</v>
      </c>
      <c r="N803" s="6">
        <v>2946.5129999999999</v>
      </c>
      <c r="O803" s="6">
        <v>2946.5129999999999</v>
      </c>
      <c r="P803" s="6">
        <v>31604</v>
      </c>
      <c r="Q803" s="4" t="s">
        <v>26</v>
      </c>
      <c r="R803" s="4">
        <v>0</v>
      </c>
      <c r="S803" s="4">
        <v>0</v>
      </c>
      <c r="T803" s="4">
        <v>10</v>
      </c>
      <c r="U803" s="4">
        <v>76</v>
      </c>
      <c r="V803" s="6">
        <f>IF(ISERROR(VLOOKUP($S$803,'TAR FIN'!$A$1:$O$104,15,0)),0,VLOOKUP($S$803,'TAR FIN'!$A$1:$O$104,15,0))</f>
        <v>0</v>
      </c>
      <c r="W803" s="6">
        <f>IF(ISERROR(VLOOKUP($T$803,'TAR FIN'!$A$1:$O$104,15,0)),0,VLOOKUP($T$803,'TAR FIN'!$A$1:$O$104,15,0))</f>
        <v>299.57</v>
      </c>
      <c r="X803" s="6">
        <f>IF(ISERROR(VLOOKUP($U$803,'TAR FIN'!$A$1:$O$104,15,0)),0,VLOOKUP($U$803,'TAR FIN'!$A$1:$O$104,15,0))</f>
        <v>255.72</v>
      </c>
      <c r="Y803" s="6"/>
      <c r="Z803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03" s="6">
        <f>('TE BE'!$AB$17+'TE BF'!$AB$17+'TE CVA'!$AB$17)*(1-CUSTOS!$M$37)</f>
        <v>242.47071701268419</v>
      </c>
      <c r="AB803" s="6">
        <f t="shared" si="40"/>
        <v>0</v>
      </c>
      <c r="AC803" s="6">
        <f>(L803-M803)*(W803+X803)+($W$784+$X$784-$W$803-$X$803)*(L803)</f>
        <v>-8.3744936318908001E-11</v>
      </c>
      <c r="AD803" s="6">
        <f t="shared" si="41"/>
        <v>0</v>
      </c>
      <c r="AE803" s="6">
        <f ca="1">(L803-M803)*(Z803+AA803)+($Z$784+$AA$784-$Z$803-$AA$803)*(L803)</f>
        <v>0</v>
      </c>
      <c r="AF803" s="4" t="s">
        <v>1002</v>
      </c>
    </row>
    <row r="804" spans="1:32" ht="11.25" customHeight="1" x14ac:dyDescent="0.25">
      <c r="A804" s="4" t="s">
        <v>27</v>
      </c>
      <c r="B804" s="4" t="s">
        <v>22</v>
      </c>
      <c r="C804" s="4" t="s">
        <v>23</v>
      </c>
      <c r="D804" s="4" t="s">
        <v>24</v>
      </c>
      <c r="E804" s="4" t="s">
        <v>32</v>
      </c>
      <c r="F804" s="4" t="s">
        <v>25</v>
      </c>
      <c r="G804" s="4" t="s">
        <v>25</v>
      </c>
      <c r="H804" s="4" t="s">
        <v>25</v>
      </c>
      <c r="I804" s="5">
        <v>44593</v>
      </c>
      <c r="J804" s="6">
        <v>0</v>
      </c>
      <c r="K804" s="6">
        <v>0</v>
      </c>
      <c r="L804" s="6">
        <v>-22.614999999999998</v>
      </c>
      <c r="M804" s="6">
        <v>-22.614999999999998</v>
      </c>
      <c r="N804" s="6">
        <v>-22.614999999999998</v>
      </c>
      <c r="O804" s="6">
        <v>-22.614999999999998</v>
      </c>
      <c r="P804" s="6">
        <v>-32</v>
      </c>
      <c r="Q804" s="4" t="s">
        <v>26</v>
      </c>
      <c r="R804" s="4">
        <v>0</v>
      </c>
      <c r="S804" s="4">
        <v>0</v>
      </c>
      <c r="T804" s="4">
        <v>10</v>
      </c>
      <c r="U804" s="4">
        <v>76</v>
      </c>
      <c r="V804" s="6">
        <f>IF(ISERROR(VLOOKUP($S$804,'TAR FIN'!$A$1:$O$104,15,0)),0,VLOOKUP($S$804,'TAR FIN'!$A$1:$O$104,15,0))</f>
        <v>0</v>
      </c>
      <c r="W804" s="6">
        <f>IF(ISERROR(VLOOKUP($T$804,'TAR FIN'!$A$1:$O$104,15,0)),0,VLOOKUP($T$804,'TAR FIN'!$A$1:$O$104,15,0))</f>
        <v>299.57</v>
      </c>
      <c r="X804" s="6">
        <f>IF(ISERROR(VLOOKUP($U$804,'TAR FIN'!$A$1:$O$104,15,0)),0,VLOOKUP($U$804,'TAR FIN'!$A$1:$O$104,15,0))</f>
        <v>255.72</v>
      </c>
      <c r="Y804" s="6"/>
      <c r="Z804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04" s="6">
        <f>('TE BE'!$AB$17+'TE BF'!$AB$17+'TE CVA'!$AB$17)*(1-CUSTOS!$M$37)</f>
        <v>242.47071701268419</v>
      </c>
      <c r="AB804" s="6">
        <f t="shared" si="40"/>
        <v>0</v>
      </c>
      <c r="AC804" s="6">
        <f>(L804-M804)*(W804+X804)+($W$784+$X$784-$W$804-$X$804)*(L804)</f>
        <v>6.4275695876858658E-13</v>
      </c>
      <c r="AD804" s="6">
        <f t="shared" si="41"/>
        <v>0</v>
      </c>
      <c r="AE804" s="6">
        <f ca="1">(L804-M804)*(Z804+AA804)+($Z$784+$AA$784-$Z$804-$AA$804)*(L804)</f>
        <v>0</v>
      </c>
      <c r="AF804" s="4" t="s">
        <v>1002</v>
      </c>
    </row>
    <row r="805" spans="1:32" ht="11.25" customHeight="1" x14ac:dyDescent="0.25">
      <c r="A805" s="4" t="s">
        <v>28</v>
      </c>
      <c r="B805" s="4" t="s">
        <v>22</v>
      </c>
      <c r="C805" s="4" t="s">
        <v>23</v>
      </c>
      <c r="D805" s="4" t="s">
        <v>24</v>
      </c>
      <c r="E805" s="4" t="s">
        <v>32</v>
      </c>
      <c r="F805" s="4" t="s">
        <v>25</v>
      </c>
      <c r="G805" s="4" t="s">
        <v>25</v>
      </c>
      <c r="H805" s="4" t="s">
        <v>25</v>
      </c>
      <c r="I805" s="5">
        <v>44593</v>
      </c>
      <c r="J805" s="6">
        <v>0</v>
      </c>
      <c r="K805" s="6">
        <v>0</v>
      </c>
      <c r="L805" s="6">
        <v>62.000999999999998</v>
      </c>
      <c r="M805" s="6">
        <v>62.000999999999998</v>
      </c>
      <c r="N805" s="6">
        <v>62.000999999999998</v>
      </c>
      <c r="O805" s="6">
        <v>62.000999999999998</v>
      </c>
      <c r="P805" s="6">
        <v>480</v>
      </c>
      <c r="Q805" s="4" t="s">
        <v>26</v>
      </c>
      <c r="R805" s="4">
        <v>0</v>
      </c>
      <c r="S805" s="4">
        <v>0</v>
      </c>
      <c r="T805" s="4">
        <v>10</v>
      </c>
      <c r="U805" s="4">
        <v>76</v>
      </c>
      <c r="V805" s="6">
        <f>IF(ISERROR(VLOOKUP($S$805,'TAR FIN'!$A$1:$O$104,15,0)),0,VLOOKUP($S$805,'TAR FIN'!$A$1:$O$104,15,0))</f>
        <v>0</v>
      </c>
      <c r="W805" s="6">
        <f>IF(ISERROR(VLOOKUP($T$805,'TAR FIN'!$A$1:$O$104,15,0)),0,VLOOKUP($T$805,'TAR FIN'!$A$1:$O$104,15,0))</f>
        <v>299.57</v>
      </c>
      <c r="X805" s="6">
        <f>IF(ISERROR(VLOOKUP($U$805,'TAR FIN'!$A$1:$O$104,15,0)),0,VLOOKUP($U$805,'TAR FIN'!$A$1:$O$104,15,0))</f>
        <v>255.72</v>
      </c>
      <c r="Y805" s="6"/>
      <c r="Z805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05" s="6">
        <f>('TE BE'!$AB$17+'TE BF'!$AB$17+'TE CVA'!$AB$17)*(1-CUSTOS!$M$37)</f>
        <v>242.47071701268419</v>
      </c>
      <c r="AB805" s="6">
        <f t="shared" si="40"/>
        <v>0</v>
      </c>
      <c r="AC805" s="6">
        <f>(L805-M805)*(W805+X805)+($W$784+$X$784-$W$805-$X$805)*(L805)</f>
        <v>-1.7621744063944788E-12</v>
      </c>
      <c r="AD805" s="6">
        <f t="shared" si="41"/>
        <v>0</v>
      </c>
      <c r="AE805" s="6">
        <f ca="1">(L805-M805)*(Z805+AA805)+($Z$784+$AA$784-$Z$805-$AA$805)*(L805)</f>
        <v>0</v>
      </c>
      <c r="AF805" s="4" t="s">
        <v>1002</v>
      </c>
    </row>
    <row r="806" spans="1:32" ht="11.25" customHeight="1" x14ac:dyDescent="0.25">
      <c r="A806" s="4" t="s">
        <v>21</v>
      </c>
      <c r="B806" s="4" t="s">
        <v>22</v>
      </c>
      <c r="C806" s="4" t="s">
        <v>23</v>
      </c>
      <c r="D806" s="4" t="s">
        <v>24</v>
      </c>
      <c r="E806" s="4" t="s">
        <v>32</v>
      </c>
      <c r="F806" s="4" t="s">
        <v>25</v>
      </c>
      <c r="G806" s="4" t="s">
        <v>25</v>
      </c>
      <c r="H806" s="4" t="s">
        <v>25</v>
      </c>
      <c r="I806" s="5">
        <v>44621</v>
      </c>
      <c r="J806" s="6">
        <v>0</v>
      </c>
      <c r="K806" s="6">
        <v>0</v>
      </c>
      <c r="L806" s="6">
        <v>4651.0640000000003</v>
      </c>
      <c r="M806" s="6">
        <v>4651.0640000000003</v>
      </c>
      <c r="N806" s="6">
        <v>4651.0640000000003</v>
      </c>
      <c r="O806" s="6">
        <v>4651.0640000000003</v>
      </c>
      <c r="P806" s="6">
        <v>47641</v>
      </c>
      <c r="Q806" s="4" t="s">
        <v>26</v>
      </c>
      <c r="R806" s="4">
        <v>0</v>
      </c>
      <c r="S806" s="4">
        <v>0</v>
      </c>
      <c r="T806" s="4">
        <v>10</v>
      </c>
      <c r="U806" s="4">
        <v>76</v>
      </c>
      <c r="V806" s="6">
        <f>IF(ISERROR(VLOOKUP($S$806,'TAR FIN'!$A$1:$O$104,15,0)),0,VLOOKUP($S$806,'TAR FIN'!$A$1:$O$104,15,0))</f>
        <v>0</v>
      </c>
      <c r="W806" s="6">
        <f>IF(ISERROR(VLOOKUP($T$806,'TAR FIN'!$A$1:$O$104,15,0)),0,VLOOKUP($T$806,'TAR FIN'!$A$1:$O$104,15,0))</f>
        <v>299.57</v>
      </c>
      <c r="X806" s="6">
        <f>IF(ISERROR(VLOOKUP($U$806,'TAR FIN'!$A$1:$O$104,15,0)),0,VLOOKUP($U$806,'TAR FIN'!$A$1:$O$104,15,0))</f>
        <v>255.72</v>
      </c>
      <c r="Y806" s="6"/>
      <c r="Z806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06" s="6">
        <f>('TE BE'!$AB$17+'TE BF'!$AB$17+'TE CVA'!$AB$17)*(1-CUSTOS!$M$37)</f>
        <v>242.47071701268419</v>
      </c>
      <c r="AB806" s="6">
        <f t="shared" si="40"/>
        <v>0</v>
      </c>
      <c r="AC806" s="6">
        <f>(L806-M806)*(W806+X806)+($W$784+$X$784-$W$806-$X$806)*(L806)</f>
        <v>-1.3219118955021259E-10</v>
      </c>
      <c r="AD806" s="6">
        <f t="shared" si="41"/>
        <v>0</v>
      </c>
      <c r="AE806" s="6">
        <f ca="1">(L806-M806)*(Z806+AA806)+($Z$784+$AA$784-$Z$806-$AA$806)*(L806)</f>
        <v>0</v>
      </c>
      <c r="AF806" s="4" t="s">
        <v>1002</v>
      </c>
    </row>
    <row r="807" spans="1:32" ht="11.25" customHeight="1" x14ac:dyDescent="0.25">
      <c r="A807" s="4" t="s">
        <v>27</v>
      </c>
      <c r="B807" s="4" t="s">
        <v>22</v>
      </c>
      <c r="C807" s="4" t="s">
        <v>23</v>
      </c>
      <c r="D807" s="4" t="s">
        <v>24</v>
      </c>
      <c r="E807" s="4" t="s">
        <v>32</v>
      </c>
      <c r="F807" s="4" t="s">
        <v>25</v>
      </c>
      <c r="G807" s="4" t="s">
        <v>25</v>
      </c>
      <c r="H807" s="4" t="s">
        <v>25</v>
      </c>
      <c r="I807" s="5">
        <v>44621</v>
      </c>
      <c r="J807" s="6">
        <v>0</v>
      </c>
      <c r="K807" s="6">
        <v>0</v>
      </c>
      <c r="L807" s="6">
        <v>-11.782999999999999</v>
      </c>
      <c r="M807" s="6">
        <v>-11.782999999999999</v>
      </c>
      <c r="N807" s="6">
        <v>-11.782999999999999</v>
      </c>
      <c r="O807" s="6">
        <v>-11.782999999999999</v>
      </c>
      <c r="P807" s="6">
        <v>-19</v>
      </c>
      <c r="Q807" s="4" t="s">
        <v>26</v>
      </c>
      <c r="R807" s="4">
        <v>0</v>
      </c>
      <c r="S807" s="4">
        <v>0</v>
      </c>
      <c r="T807" s="4">
        <v>10</v>
      </c>
      <c r="U807" s="4">
        <v>76</v>
      </c>
      <c r="V807" s="6">
        <f>IF(ISERROR(VLOOKUP($S$807,'TAR FIN'!$A$1:$O$104,15,0)),0,VLOOKUP($S$807,'TAR FIN'!$A$1:$O$104,15,0))</f>
        <v>0</v>
      </c>
      <c r="W807" s="6">
        <f>IF(ISERROR(VLOOKUP($T$807,'TAR FIN'!$A$1:$O$104,15,0)),0,VLOOKUP($T$807,'TAR FIN'!$A$1:$O$104,15,0))</f>
        <v>299.57</v>
      </c>
      <c r="X807" s="6">
        <f>IF(ISERROR(VLOOKUP($U$807,'TAR FIN'!$A$1:$O$104,15,0)),0,VLOOKUP($U$807,'TAR FIN'!$A$1:$O$104,15,0))</f>
        <v>255.72</v>
      </c>
      <c r="Y807" s="6"/>
      <c r="Z807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07" s="6">
        <f>('TE BE'!$AB$17+'TE BF'!$AB$17+'TE CVA'!$AB$17)*(1-CUSTOS!$M$37)</f>
        <v>242.47071701268419</v>
      </c>
      <c r="AB807" s="6">
        <f t="shared" si="40"/>
        <v>0</v>
      </c>
      <c r="AC807" s="6">
        <f>(L807-M807)*(W807+X807)+($W$784+$X$784-$W$807-$X$807)*(L807)</f>
        <v>3.348930022184504E-13</v>
      </c>
      <c r="AD807" s="6">
        <f t="shared" si="41"/>
        <v>0</v>
      </c>
      <c r="AE807" s="6">
        <f ca="1">(L807-M807)*(Z807+AA807)+($Z$784+$AA$784-$Z$807-$AA$807)*(L807)</f>
        <v>0</v>
      </c>
      <c r="AF807" s="4" t="s">
        <v>1002</v>
      </c>
    </row>
    <row r="808" spans="1:32" ht="11.25" customHeight="1" x14ac:dyDescent="0.25">
      <c r="A808" s="4" t="s">
        <v>28</v>
      </c>
      <c r="B808" s="4" t="s">
        <v>22</v>
      </c>
      <c r="C808" s="4" t="s">
        <v>23</v>
      </c>
      <c r="D808" s="4" t="s">
        <v>24</v>
      </c>
      <c r="E808" s="4" t="s">
        <v>32</v>
      </c>
      <c r="F808" s="4" t="s">
        <v>25</v>
      </c>
      <c r="G808" s="4" t="s">
        <v>25</v>
      </c>
      <c r="H808" s="4" t="s">
        <v>25</v>
      </c>
      <c r="I808" s="5">
        <v>44621</v>
      </c>
      <c r="J808" s="6">
        <v>0</v>
      </c>
      <c r="K808" s="6">
        <v>0</v>
      </c>
      <c r="L808" s="6">
        <v>75.334000000000003</v>
      </c>
      <c r="M808" s="6">
        <v>75.334000000000003</v>
      </c>
      <c r="N808" s="6">
        <v>75.334000000000003</v>
      </c>
      <c r="O808" s="6">
        <v>75.334000000000003</v>
      </c>
      <c r="P808" s="6">
        <v>561</v>
      </c>
      <c r="Q808" s="4" t="s">
        <v>26</v>
      </c>
      <c r="R808" s="4">
        <v>0</v>
      </c>
      <c r="S808" s="4">
        <v>0</v>
      </c>
      <c r="T808" s="4">
        <v>10</v>
      </c>
      <c r="U808" s="4">
        <v>76</v>
      </c>
      <c r="V808" s="6">
        <f>IF(ISERROR(VLOOKUP($S$808,'TAR FIN'!$A$1:$O$104,15,0)),0,VLOOKUP($S$808,'TAR FIN'!$A$1:$O$104,15,0))</f>
        <v>0</v>
      </c>
      <c r="W808" s="6">
        <f>IF(ISERROR(VLOOKUP($T$808,'TAR FIN'!$A$1:$O$104,15,0)),0,VLOOKUP($T$808,'TAR FIN'!$A$1:$O$104,15,0))</f>
        <v>299.57</v>
      </c>
      <c r="X808" s="6">
        <f>IF(ISERROR(VLOOKUP($U$808,'TAR FIN'!$A$1:$O$104,15,0)),0,VLOOKUP($U$808,'TAR FIN'!$A$1:$O$104,15,0))</f>
        <v>255.72</v>
      </c>
      <c r="Y808" s="6"/>
      <c r="Z808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08" s="6">
        <f>('TE BE'!$AB$17+'TE BF'!$AB$17+'TE CVA'!$AB$17)*(1-CUSTOS!$M$37)</f>
        <v>242.47071701268419</v>
      </c>
      <c r="AB808" s="6">
        <f t="shared" si="40"/>
        <v>0</v>
      </c>
      <c r="AC808" s="6">
        <f>(L808-M808)*(W808+X808)+($W$784+$X$784-$W$808-$X$808)*(L808)</f>
        <v>-2.1411210582300556E-12</v>
      </c>
      <c r="AD808" s="6">
        <f t="shared" si="41"/>
        <v>0</v>
      </c>
      <c r="AE808" s="6">
        <f ca="1">(L808-M808)*(Z808+AA808)+($Z$784+$AA$784-$Z$808-$AA$808)*(L808)</f>
        <v>0</v>
      </c>
      <c r="AF808" s="4" t="s">
        <v>1002</v>
      </c>
    </row>
    <row r="809" spans="1:32" ht="11.25" customHeight="1" x14ac:dyDescent="0.25">
      <c r="A809" s="4" t="s">
        <v>21</v>
      </c>
      <c r="B809" s="4" t="s">
        <v>22</v>
      </c>
      <c r="C809" s="4" t="s">
        <v>23</v>
      </c>
      <c r="D809" s="4" t="s">
        <v>24</v>
      </c>
      <c r="E809" s="4" t="s">
        <v>32</v>
      </c>
      <c r="F809" s="4" t="s">
        <v>25</v>
      </c>
      <c r="G809" s="4" t="s">
        <v>25</v>
      </c>
      <c r="H809" s="4" t="s">
        <v>25</v>
      </c>
      <c r="I809" s="5">
        <v>44652</v>
      </c>
      <c r="J809" s="6">
        <v>0</v>
      </c>
      <c r="K809" s="6">
        <v>0</v>
      </c>
      <c r="L809" s="6">
        <v>3627.748</v>
      </c>
      <c r="M809" s="6">
        <v>3627.748</v>
      </c>
      <c r="N809" s="6">
        <v>3627.748</v>
      </c>
      <c r="O809" s="6">
        <v>3627.748</v>
      </c>
      <c r="P809" s="6">
        <v>37884</v>
      </c>
      <c r="Q809" s="4" t="s">
        <v>26</v>
      </c>
      <c r="R809" s="4">
        <v>0</v>
      </c>
      <c r="S809" s="4">
        <v>0</v>
      </c>
      <c r="T809" s="4">
        <v>10</v>
      </c>
      <c r="U809" s="4">
        <v>76</v>
      </c>
      <c r="V809" s="6">
        <f>IF(ISERROR(VLOOKUP($S$809,'TAR FIN'!$A$1:$O$104,15,0)),0,VLOOKUP($S$809,'TAR FIN'!$A$1:$O$104,15,0))</f>
        <v>0</v>
      </c>
      <c r="W809" s="6">
        <f>IF(ISERROR(VLOOKUP($T$809,'TAR FIN'!$A$1:$O$104,15,0)),0,VLOOKUP($T$809,'TAR FIN'!$A$1:$O$104,15,0))</f>
        <v>299.57</v>
      </c>
      <c r="X809" s="6">
        <f>IF(ISERROR(VLOOKUP($U$809,'TAR FIN'!$A$1:$O$104,15,0)),0,VLOOKUP($U$809,'TAR FIN'!$A$1:$O$104,15,0))</f>
        <v>255.72</v>
      </c>
      <c r="Y809" s="6"/>
      <c r="Z809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09" s="6">
        <f>('TE BE'!$AB$17+'TE BF'!$AB$17+'TE CVA'!$AB$17)*(1-CUSTOS!$M$37)</f>
        <v>242.47071701268419</v>
      </c>
      <c r="AB809" s="6">
        <f t="shared" si="40"/>
        <v>0</v>
      </c>
      <c r="AC809" s="6">
        <f>(L809-M809)*(W809+X809)+($W$784+$X$784-$W$809-$X$809)*(L809)</f>
        <v>-1.0310679954272928E-10</v>
      </c>
      <c r="AD809" s="6">
        <f t="shared" si="41"/>
        <v>0</v>
      </c>
      <c r="AE809" s="6">
        <f ca="1">(L809-M809)*(Z809+AA809)+($Z$784+$AA$784-$Z$809-$AA$809)*(L809)</f>
        <v>0</v>
      </c>
      <c r="AF809" s="4" t="s">
        <v>1002</v>
      </c>
    </row>
    <row r="810" spans="1:32" ht="11.25" customHeight="1" x14ac:dyDescent="0.25">
      <c r="A810" s="4" t="s">
        <v>27</v>
      </c>
      <c r="B810" s="4" t="s">
        <v>22</v>
      </c>
      <c r="C810" s="4" t="s">
        <v>23</v>
      </c>
      <c r="D810" s="4" t="s">
        <v>24</v>
      </c>
      <c r="E810" s="4" t="s">
        <v>32</v>
      </c>
      <c r="F810" s="4" t="s">
        <v>25</v>
      </c>
      <c r="G810" s="4" t="s">
        <v>25</v>
      </c>
      <c r="H810" s="4" t="s">
        <v>25</v>
      </c>
      <c r="I810" s="5">
        <v>44652</v>
      </c>
      <c r="J810" s="6">
        <v>0</v>
      </c>
      <c r="K810" s="6">
        <v>0</v>
      </c>
      <c r="L810" s="6">
        <v>-19.420999999999999</v>
      </c>
      <c r="M810" s="6">
        <v>-19.420999999999999</v>
      </c>
      <c r="N810" s="6">
        <v>-19.420999999999999</v>
      </c>
      <c r="O810" s="6">
        <v>-19.420999999999999</v>
      </c>
      <c r="P810" s="6">
        <v>-19</v>
      </c>
      <c r="Q810" s="4" t="s">
        <v>26</v>
      </c>
      <c r="R810" s="4">
        <v>0</v>
      </c>
      <c r="S810" s="4">
        <v>0</v>
      </c>
      <c r="T810" s="4">
        <v>10</v>
      </c>
      <c r="U810" s="4">
        <v>76</v>
      </c>
      <c r="V810" s="6">
        <f>IF(ISERROR(VLOOKUP($S$810,'TAR FIN'!$A$1:$O$104,15,0)),0,VLOOKUP($S$810,'TAR FIN'!$A$1:$O$104,15,0))</f>
        <v>0</v>
      </c>
      <c r="W810" s="6">
        <f>IF(ISERROR(VLOOKUP($T$810,'TAR FIN'!$A$1:$O$104,15,0)),0,VLOOKUP($T$810,'TAR FIN'!$A$1:$O$104,15,0))</f>
        <v>299.57</v>
      </c>
      <c r="X810" s="6">
        <f>IF(ISERROR(VLOOKUP($U$810,'TAR FIN'!$A$1:$O$104,15,0)),0,VLOOKUP($U$810,'TAR FIN'!$A$1:$O$104,15,0))</f>
        <v>255.72</v>
      </c>
      <c r="Y810" s="6"/>
      <c r="Z810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10" s="6">
        <f>('TE BE'!$AB$17+'TE BF'!$AB$17+'TE CVA'!$AB$17)*(1-CUSTOS!$M$37)</f>
        <v>242.47071701268419</v>
      </c>
      <c r="AB810" s="6">
        <f t="shared" si="40"/>
        <v>0</v>
      </c>
      <c r="AC810" s="6">
        <f>(L810-M810)*(W810+X810)+($W$784+$X$784-$W$810-$X$810)*(L810)</f>
        <v>5.5197801884787621E-13</v>
      </c>
      <c r="AD810" s="6">
        <f t="shared" si="41"/>
        <v>0</v>
      </c>
      <c r="AE810" s="6">
        <f ca="1">(L810-M810)*(Z810+AA810)+($Z$784+$AA$784-$Z$810-$AA$810)*(L810)</f>
        <v>0</v>
      </c>
      <c r="AF810" s="4" t="s">
        <v>1002</v>
      </c>
    </row>
    <row r="811" spans="1:32" ht="11.25" customHeight="1" x14ac:dyDescent="0.25">
      <c r="A811" s="4" t="s">
        <v>28</v>
      </c>
      <c r="B811" s="4" t="s">
        <v>22</v>
      </c>
      <c r="C811" s="4" t="s">
        <v>23</v>
      </c>
      <c r="D811" s="4" t="s">
        <v>24</v>
      </c>
      <c r="E811" s="4" t="s">
        <v>32</v>
      </c>
      <c r="F811" s="4" t="s">
        <v>25</v>
      </c>
      <c r="G811" s="4" t="s">
        <v>25</v>
      </c>
      <c r="H811" s="4" t="s">
        <v>25</v>
      </c>
      <c r="I811" s="5">
        <v>44652</v>
      </c>
      <c r="J811" s="6">
        <v>0</v>
      </c>
      <c r="K811" s="6">
        <v>0</v>
      </c>
      <c r="L811" s="6">
        <v>68.492000000000004</v>
      </c>
      <c r="M811" s="6">
        <v>68.492000000000004</v>
      </c>
      <c r="N811" s="6">
        <v>68.492000000000004</v>
      </c>
      <c r="O811" s="6">
        <v>68.492000000000004</v>
      </c>
      <c r="P811" s="6">
        <v>544</v>
      </c>
      <c r="Q811" s="4" t="s">
        <v>26</v>
      </c>
      <c r="R811" s="4">
        <v>0</v>
      </c>
      <c r="S811" s="4">
        <v>0</v>
      </c>
      <c r="T811" s="4">
        <v>10</v>
      </c>
      <c r="U811" s="4">
        <v>76</v>
      </c>
      <c r="V811" s="6">
        <f>IF(ISERROR(VLOOKUP($S$811,'TAR FIN'!$A$1:$O$104,15,0)),0,VLOOKUP($S$811,'TAR FIN'!$A$1:$O$104,15,0))</f>
        <v>0</v>
      </c>
      <c r="W811" s="6">
        <f>IF(ISERROR(VLOOKUP($T$811,'TAR FIN'!$A$1:$O$104,15,0)),0,VLOOKUP($T$811,'TAR FIN'!$A$1:$O$104,15,0))</f>
        <v>299.57</v>
      </c>
      <c r="X811" s="6">
        <f>IF(ISERROR(VLOOKUP($U$811,'TAR FIN'!$A$1:$O$104,15,0)),0,VLOOKUP($U$811,'TAR FIN'!$A$1:$O$104,15,0))</f>
        <v>255.72</v>
      </c>
      <c r="Y811" s="6"/>
      <c r="Z811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11" s="6">
        <f>('TE BE'!$AB$17+'TE BF'!$AB$17+'TE CVA'!$AB$17)*(1-CUSTOS!$M$37)</f>
        <v>242.47071701268419</v>
      </c>
      <c r="AB811" s="6">
        <f t="shared" si="40"/>
        <v>0</v>
      </c>
      <c r="AC811" s="6">
        <f>(L811-M811)*(W811+X811)+($W$784+$X$784-$W$811-$X$811)*(L811)</f>
        <v>-1.9466597223072314E-12</v>
      </c>
      <c r="AD811" s="6">
        <f t="shared" si="41"/>
        <v>0</v>
      </c>
      <c r="AE811" s="6">
        <f ca="1">(L811-M811)*(Z811+AA811)+($Z$784+$AA$784-$Z$811-$AA$811)*(L811)</f>
        <v>0</v>
      </c>
      <c r="AF811" s="4" t="s">
        <v>1002</v>
      </c>
    </row>
    <row r="812" spans="1:32" ht="11.25" customHeight="1" x14ac:dyDescent="0.25">
      <c r="A812" s="4" t="s">
        <v>21</v>
      </c>
      <c r="B812" s="4" t="s">
        <v>22</v>
      </c>
      <c r="C812" s="4" t="s">
        <v>23</v>
      </c>
      <c r="D812" s="4" t="s">
        <v>24</v>
      </c>
      <c r="E812" s="4" t="s">
        <v>32</v>
      </c>
      <c r="F812" s="4" t="s">
        <v>25</v>
      </c>
      <c r="G812" s="4" t="s">
        <v>25</v>
      </c>
      <c r="H812" s="4" t="s">
        <v>25</v>
      </c>
      <c r="I812" s="5">
        <v>44682</v>
      </c>
      <c r="J812" s="6">
        <v>0</v>
      </c>
      <c r="K812" s="6">
        <v>0</v>
      </c>
      <c r="L812" s="6">
        <v>3403.78</v>
      </c>
      <c r="M812" s="6">
        <v>3403.78</v>
      </c>
      <c r="N812" s="6">
        <v>3403.78</v>
      </c>
      <c r="O812" s="6">
        <v>3403.78</v>
      </c>
      <c r="P812" s="6">
        <v>38015</v>
      </c>
      <c r="Q812" s="4" t="s">
        <v>26</v>
      </c>
      <c r="R812" s="4">
        <v>0</v>
      </c>
      <c r="S812" s="4">
        <v>0</v>
      </c>
      <c r="T812" s="4">
        <v>10</v>
      </c>
      <c r="U812" s="4">
        <v>76</v>
      </c>
      <c r="V812" s="6">
        <f>IF(ISERROR(VLOOKUP($S$812,'TAR FIN'!$A$1:$O$104,15,0)),0,VLOOKUP($S$812,'TAR FIN'!$A$1:$O$104,15,0))</f>
        <v>0</v>
      </c>
      <c r="W812" s="6">
        <f>IF(ISERROR(VLOOKUP($T$812,'TAR FIN'!$A$1:$O$104,15,0)),0,VLOOKUP($T$812,'TAR FIN'!$A$1:$O$104,15,0))</f>
        <v>299.57</v>
      </c>
      <c r="X812" s="6">
        <f>IF(ISERROR(VLOOKUP($U$812,'TAR FIN'!$A$1:$O$104,15,0)),0,VLOOKUP($U$812,'TAR FIN'!$A$1:$O$104,15,0))</f>
        <v>255.72</v>
      </c>
      <c r="Y812" s="6"/>
      <c r="Z812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12" s="6">
        <f>('TE BE'!$AB$17+'TE BF'!$AB$17+'TE CVA'!$AB$17)*(1-CUSTOS!$M$37)</f>
        <v>242.47071701268419</v>
      </c>
      <c r="AB812" s="6">
        <f t="shared" si="40"/>
        <v>0</v>
      </c>
      <c r="AC812" s="6">
        <f>(L812-M812)*(W812+X812)+($W$784+$X$784-$W$812-$X$812)*(L812)</f>
        <v>-9.6741246125020558E-11</v>
      </c>
      <c r="AD812" s="6">
        <f t="shared" si="41"/>
        <v>0</v>
      </c>
      <c r="AE812" s="6">
        <f ca="1">(L812-M812)*(Z812+AA812)+($Z$784+$AA$784-$Z$812-$AA$812)*(L812)</f>
        <v>0</v>
      </c>
      <c r="AF812" s="4" t="s">
        <v>1002</v>
      </c>
    </row>
    <row r="813" spans="1:32" ht="11.25" customHeight="1" x14ac:dyDescent="0.25">
      <c r="A813" s="4" t="s">
        <v>27</v>
      </c>
      <c r="B813" s="4" t="s">
        <v>22</v>
      </c>
      <c r="C813" s="4" t="s">
        <v>23</v>
      </c>
      <c r="D813" s="4" t="s">
        <v>24</v>
      </c>
      <c r="E813" s="4" t="s">
        <v>32</v>
      </c>
      <c r="F813" s="4" t="s">
        <v>25</v>
      </c>
      <c r="G813" s="4" t="s">
        <v>25</v>
      </c>
      <c r="H813" s="4" t="s">
        <v>25</v>
      </c>
      <c r="I813" s="5">
        <v>44682</v>
      </c>
      <c r="J813" s="6">
        <v>0</v>
      </c>
      <c r="K813" s="6">
        <v>0</v>
      </c>
      <c r="L813" s="6">
        <v>-19.036999999999999</v>
      </c>
      <c r="M813" s="6">
        <v>-19.036999999999999</v>
      </c>
      <c r="N813" s="6">
        <v>-19.036999999999999</v>
      </c>
      <c r="O813" s="6">
        <v>-19.036999999999999</v>
      </c>
      <c r="P813" s="6">
        <v>-26</v>
      </c>
      <c r="Q813" s="4" t="s">
        <v>26</v>
      </c>
      <c r="R813" s="4">
        <v>0</v>
      </c>
      <c r="S813" s="4">
        <v>0</v>
      </c>
      <c r="T813" s="4">
        <v>10</v>
      </c>
      <c r="U813" s="4">
        <v>76</v>
      </c>
      <c r="V813" s="6">
        <f>IF(ISERROR(VLOOKUP($S$813,'TAR FIN'!$A$1:$O$104,15,0)),0,VLOOKUP($S$813,'TAR FIN'!$A$1:$O$104,15,0))</f>
        <v>0</v>
      </c>
      <c r="W813" s="6">
        <f>IF(ISERROR(VLOOKUP($T$813,'TAR FIN'!$A$1:$O$104,15,0)),0,VLOOKUP($T$813,'TAR FIN'!$A$1:$O$104,15,0))</f>
        <v>299.57</v>
      </c>
      <c r="X813" s="6">
        <f>IF(ISERROR(VLOOKUP($U$813,'TAR FIN'!$A$1:$O$104,15,0)),0,VLOOKUP($U$813,'TAR FIN'!$A$1:$O$104,15,0))</f>
        <v>255.72</v>
      </c>
      <c r="Y813" s="6"/>
      <c r="Z813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13" s="6">
        <f>('TE BE'!$AB$17+'TE BF'!$AB$17+'TE CVA'!$AB$17)*(1-CUSTOS!$M$37)</f>
        <v>242.47071701268419</v>
      </c>
      <c r="AB813" s="6">
        <f t="shared" si="40"/>
        <v>0</v>
      </c>
      <c r="AC813" s="6">
        <f>(L813-M813)*(W813+X813)+($W$784+$X$784-$W$813-$X$813)*(L813)</f>
        <v>5.4106408242660106E-13</v>
      </c>
      <c r="AD813" s="6">
        <f t="shared" si="41"/>
        <v>0</v>
      </c>
      <c r="AE813" s="6">
        <f ca="1">(L813-M813)*(Z813+AA813)+($Z$784+$AA$784-$Z$813-$AA$813)*(L813)</f>
        <v>0</v>
      </c>
      <c r="AF813" s="4" t="s">
        <v>1002</v>
      </c>
    </row>
    <row r="814" spans="1:32" ht="11.25" customHeight="1" x14ac:dyDescent="0.25">
      <c r="A814" s="4" t="s">
        <v>28</v>
      </c>
      <c r="B814" s="4" t="s">
        <v>22</v>
      </c>
      <c r="C814" s="4" t="s">
        <v>23</v>
      </c>
      <c r="D814" s="4" t="s">
        <v>24</v>
      </c>
      <c r="E814" s="4" t="s">
        <v>32</v>
      </c>
      <c r="F814" s="4" t="s">
        <v>25</v>
      </c>
      <c r="G814" s="4" t="s">
        <v>25</v>
      </c>
      <c r="H814" s="4" t="s">
        <v>25</v>
      </c>
      <c r="I814" s="5">
        <v>44682</v>
      </c>
      <c r="J814" s="6">
        <v>0</v>
      </c>
      <c r="K814" s="6">
        <v>0</v>
      </c>
      <c r="L814" s="6">
        <v>73.257999999999996</v>
      </c>
      <c r="M814" s="6">
        <v>73.257999999999996</v>
      </c>
      <c r="N814" s="6">
        <v>73.257999999999996</v>
      </c>
      <c r="O814" s="6">
        <v>73.257999999999996</v>
      </c>
      <c r="P814" s="6">
        <v>563</v>
      </c>
      <c r="Q814" s="4" t="s">
        <v>26</v>
      </c>
      <c r="R814" s="4">
        <v>0</v>
      </c>
      <c r="S814" s="4">
        <v>0</v>
      </c>
      <c r="T814" s="4">
        <v>10</v>
      </c>
      <c r="U814" s="4">
        <v>76</v>
      </c>
      <c r="V814" s="6">
        <f>IF(ISERROR(VLOOKUP($S$814,'TAR FIN'!$A$1:$O$104,15,0)),0,VLOOKUP($S$814,'TAR FIN'!$A$1:$O$104,15,0))</f>
        <v>0</v>
      </c>
      <c r="W814" s="6">
        <f>IF(ISERROR(VLOOKUP($T$814,'TAR FIN'!$A$1:$O$104,15,0)),0,VLOOKUP($T$814,'TAR FIN'!$A$1:$O$104,15,0))</f>
        <v>299.57</v>
      </c>
      <c r="X814" s="6">
        <f>IF(ISERROR(VLOOKUP($U$814,'TAR FIN'!$A$1:$O$104,15,0)),0,VLOOKUP($U$814,'TAR FIN'!$A$1:$O$104,15,0))</f>
        <v>255.72</v>
      </c>
      <c r="Y814" s="6"/>
      <c r="Z814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14" s="6">
        <f>('TE BE'!$AB$17+'TE BF'!$AB$17+'TE CVA'!$AB$17)*(1-CUSTOS!$M$37)</f>
        <v>242.47071701268419</v>
      </c>
      <c r="AB814" s="6">
        <f t="shared" si="40"/>
        <v>0</v>
      </c>
      <c r="AC814" s="6">
        <f>(L814-M814)*(W814+X814)+($W$784+$X$784-$W$814-$X$814)*(L814)</f>
        <v>-2.0821175894525367E-12</v>
      </c>
      <c r="AD814" s="6">
        <f t="shared" si="41"/>
        <v>0</v>
      </c>
      <c r="AE814" s="6">
        <f ca="1">(L814-M814)*(Z814+AA814)+($Z$784+$AA$784-$Z$814-$AA$814)*(L814)</f>
        <v>0</v>
      </c>
      <c r="AF814" s="4" t="s">
        <v>1002</v>
      </c>
    </row>
    <row r="815" spans="1:32" ht="11.25" customHeight="1" x14ac:dyDescent="0.25">
      <c r="A815" s="4" t="s">
        <v>21</v>
      </c>
      <c r="B815" s="4" t="s">
        <v>22</v>
      </c>
      <c r="C815" s="4" t="s">
        <v>23</v>
      </c>
      <c r="D815" s="4" t="s">
        <v>24</v>
      </c>
      <c r="E815" s="4" t="s">
        <v>32</v>
      </c>
      <c r="F815" s="4" t="s">
        <v>25</v>
      </c>
      <c r="G815" s="4" t="s">
        <v>25</v>
      </c>
      <c r="H815" s="4" t="s">
        <v>25</v>
      </c>
      <c r="I815" s="5">
        <v>44713</v>
      </c>
      <c r="J815" s="6">
        <v>0</v>
      </c>
      <c r="K815" s="6">
        <v>0</v>
      </c>
      <c r="L815" s="6">
        <v>1946.1020000000001</v>
      </c>
      <c r="M815" s="6">
        <v>1946.1020000000001</v>
      </c>
      <c r="N815" s="6">
        <v>1946.1020000000001</v>
      </c>
      <c r="O815" s="6">
        <v>1946.1020000000001</v>
      </c>
      <c r="P815" s="6">
        <v>23031</v>
      </c>
      <c r="Q815" s="4" t="s">
        <v>26</v>
      </c>
      <c r="R815" s="4">
        <v>0</v>
      </c>
      <c r="S815" s="4">
        <v>0</v>
      </c>
      <c r="T815" s="4">
        <v>10</v>
      </c>
      <c r="U815" s="4">
        <v>76</v>
      </c>
      <c r="V815" s="6">
        <f>IF(ISERROR(VLOOKUP($S$815,'TAR FIN'!$A$1:$O$104,15,0)),0,VLOOKUP($S$815,'TAR FIN'!$A$1:$O$104,15,0))</f>
        <v>0</v>
      </c>
      <c r="W815" s="6">
        <f>IF(ISERROR(VLOOKUP($T$815,'TAR FIN'!$A$1:$O$104,15,0)),0,VLOOKUP($T$815,'TAR FIN'!$A$1:$O$104,15,0))</f>
        <v>299.57</v>
      </c>
      <c r="X815" s="6">
        <f>IF(ISERROR(VLOOKUP($U$815,'TAR FIN'!$A$1:$O$104,15,0)),0,VLOOKUP($U$815,'TAR FIN'!$A$1:$O$104,15,0))</f>
        <v>255.72</v>
      </c>
      <c r="Y815" s="6"/>
      <c r="Z815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15" s="6">
        <f>('TE BE'!$AB$17+'TE BF'!$AB$17+'TE CVA'!$AB$17)*(1-CUSTOS!$M$37)</f>
        <v>242.47071701268419</v>
      </c>
      <c r="AB815" s="6">
        <f t="shared" si="40"/>
        <v>0</v>
      </c>
      <c r="AC815" s="6">
        <f>(L815-M815)*(W815+X815)+($W$784+$X$784-$W$815-$X$815)*(L815)</f>
        <v>-5.5311545565928102E-11</v>
      </c>
      <c r="AD815" s="6">
        <f t="shared" si="41"/>
        <v>0</v>
      </c>
      <c r="AE815" s="6">
        <f ca="1">(L815-M815)*(Z815+AA815)+($Z$784+$AA$784-$Z$815-$AA$815)*(L815)</f>
        <v>0</v>
      </c>
      <c r="AF815" s="4" t="s">
        <v>1002</v>
      </c>
    </row>
    <row r="816" spans="1:32" ht="11.25" customHeight="1" x14ac:dyDescent="0.25">
      <c r="A816" s="4" t="s">
        <v>27</v>
      </c>
      <c r="B816" s="4" t="s">
        <v>22</v>
      </c>
      <c r="C816" s="4" t="s">
        <v>23</v>
      </c>
      <c r="D816" s="4" t="s">
        <v>24</v>
      </c>
      <c r="E816" s="4" t="s">
        <v>32</v>
      </c>
      <c r="F816" s="4" t="s">
        <v>25</v>
      </c>
      <c r="G816" s="4" t="s">
        <v>25</v>
      </c>
      <c r="H816" s="4" t="s">
        <v>25</v>
      </c>
      <c r="I816" s="5">
        <v>44713</v>
      </c>
      <c r="J816" s="6">
        <v>0</v>
      </c>
      <c r="K816" s="6">
        <v>0</v>
      </c>
      <c r="L816" s="6">
        <v>-5.69</v>
      </c>
      <c r="M816" s="6">
        <v>-5.69</v>
      </c>
      <c r="N816" s="6">
        <v>-5.69</v>
      </c>
      <c r="O816" s="6">
        <v>-5.69</v>
      </c>
      <c r="P816" s="6">
        <v>-27</v>
      </c>
      <c r="Q816" s="4" t="s">
        <v>26</v>
      </c>
      <c r="R816" s="4">
        <v>0</v>
      </c>
      <c r="S816" s="4">
        <v>0</v>
      </c>
      <c r="T816" s="4">
        <v>10</v>
      </c>
      <c r="U816" s="4">
        <v>76</v>
      </c>
      <c r="V816" s="6">
        <f>IF(ISERROR(VLOOKUP($S$816,'TAR FIN'!$A$1:$O$104,15,0)),0,VLOOKUP($S$816,'TAR FIN'!$A$1:$O$104,15,0))</f>
        <v>0</v>
      </c>
      <c r="W816" s="6">
        <f>IF(ISERROR(VLOOKUP($T$816,'TAR FIN'!$A$1:$O$104,15,0)),0,VLOOKUP($T$816,'TAR FIN'!$A$1:$O$104,15,0))</f>
        <v>299.57</v>
      </c>
      <c r="X816" s="6">
        <f>IF(ISERROR(VLOOKUP($U$816,'TAR FIN'!$A$1:$O$104,15,0)),0,VLOOKUP($U$816,'TAR FIN'!$A$1:$O$104,15,0))</f>
        <v>255.72</v>
      </c>
      <c r="Y816" s="6"/>
      <c r="Z816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16" s="6">
        <f>('TE BE'!$AB$17+'TE BF'!$AB$17+'TE CVA'!$AB$17)*(1-CUSTOS!$M$37)</f>
        <v>242.47071701268419</v>
      </c>
      <c r="AB816" s="6">
        <f t="shared" si="40"/>
        <v>0</v>
      </c>
      <c r="AC816" s="6">
        <f>(L816-M816)*(W816+X816)+($W$784+$X$784-$W$816-$X$816)*(L816)</f>
        <v>1.6171952665899881E-13</v>
      </c>
      <c r="AD816" s="6">
        <f t="shared" si="41"/>
        <v>0</v>
      </c>
      <c r="AE816" s="6">
        <f ca="1">(L816-M816)*(Z816+AA816)+($Z$784+$AA$784-$Z$816-$AA$816)*(L816)</f>
        <v>0</v>
      </c>
      <c r="AF816" s="4" t="s">
        <v>1002</v>
      </c>
    </row>
    <row r="817" spans="1:32" ht="11.25" customHeight="1" x14ac:dyDescent="0.25">
      <c r="A817" s="4" t="s">
        <v>28</v>
      </c>
      <c r="B817" s="4" t="s">
        <v>22</v>
      </c>
      <c r="C817" s="4" t="s">
        <v>23</v>
      </c>
      <c r="D817" s="4" t="s">
        <v>24</v>
      </c>
      <c r="E817" s="4" t="s">
        <v>32</v>
      </c>
      <c r="F817" s="4" t="s">
        <v>25</v>
      </c>
      <c r="G817" s="4" t="s">
        <v>25</v>
      </c>
      <c r="H817" s="4" t="s">
        <v>25</v>
      </c>
      <c r="I817" s="5">
        <v>44713</v>
      </c>
      <c r="J817" s="6">
        <v>0</v>
      </c>
      <c r="K817" s="6">
        <v>0</v>
      </c>
      <c r="L817" s="6">
        <v>62.06</v>
      </c>
      <c r="M817" s="6">
        <v>62.06</v>
      </c>
      <c r="N817" s="6">
        <v>62.06</v>
      </c>
      <c r="O817" s="6">
        <v>62.06</v>
      </c>
      <c r="P817" s="6">
        <v>472</v>
      </c>
      <c r="Q817" s="4" t="s">
        <v>26</v>
      </c>
      <c r="R817" s="4">
        <v>0</v>
      </c>
      <c r="S817" s="4">
        <v>0</v>
      </c>
      <c r="T817" s="4">
        <v>10</v>
      </c>
      <c r="U817" s="4">
        <v>76</v>
      </c>
      <c r="V817" s="6">
        <f>IF(ISERROR(VLOOKUP($S$817,'TAR FIN'!$A$1:$O$104,15,0)),0,VLOOKUP($S$817,'TAR FIN'!$A$1:$O$104,15,0))</f>
        <v>0</v>
      </c>
      <c r="W817" s="6">
        <f>IF(ISERROR(VLOOKUP($T$817,'TAR FIN'!$A$1:$O$104,15,0)),0,VLOOKUP($T$817,'TAR FIN'!$A$1:$O$104,15,0))</f>
        <v>299.57</v>
      </c>
      <c r="X817" s="6">
        <f>IF(ISERROR(VLOOKUP($U$817,'TAR FIN'!$A$1:$O$104,15,0)),0,VLOOKUP($U$817,'TAR FIN'!$A$1:$O$104,15,0))</f>
        <v>255.72</v>
      </c>
      <c r="Y817" s="6"/>
      <c r="Z817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17" s="6">
        <f>('TE BE'!$AB$17+'TE BF'!$AB$17+'TE CVA'!$AB$17)*(1-CUSTOS!$M$37)</f>
        <v>242.47071701268419</v>
      </c>
      <c r="AB817" s="6">
        <f t="shared" si="40"/>
        <v>0</v>
      </c>
      <c r="AC817" s="6">
        <f>(L817-M817)*(W817+X817)+($W$784+$X$784-$W$817-$X$817)*(L817)</f>
        <v>-1.7638512872508728E-12</v>
      </c>
      <c r="AD817" s="6">
        <f t="shared" si="41"/>
        <v>0</v>
      </c>
      <c r="AE817" s="6">
        <f ca="1">(L817-M817)*(Z817+AA817)+($Z$784+$AA$784-$Z$817-$AA$817)*(L817)</f>
        <v>0</v>
      </c>
      <c r="AF817" s="4" t="s">
        <v>1002</v>
      </c>
    </row>
    <row r="818" spans="1:32" ht="11.25" customHeight="1" x14ac:dyDescent="0.25">
      <c r="A818" s="4" t="s">
        <v>57</v>
      </c>
      <c r="B818" s="4" t="s">
        <v>22</v>
      </c>
      <c r="C818" s="4" t="s">
        <v>23</v>
      </c>
      <c r="D818" s="4" t="s">
        <v>24</v>
      </c>
      <c r="E818" s="4" t="s">
        <v>32</v>
      </c>
      <c r="F818" s="4" t="s">
        <v>25</v>
      </c>
      <c r="G818" s="4" t="s">
        <v>25</v>
      </c>
      <c r="H818" s="4" t="s">
        <v>25</v>
      </c>
      <c r="I818" s="5">
        <v>44743</v>
      </c>
      <c r="J818" s="6">
        <v>0</v>
      </c>
      <c r="K818" s="6">
        <v>0</v>
      </c>
      <c r="L818" s="6">
        <v>1946.1020000000001</v>
      </c>
      <c r="M818" s="6">
        <v>1946.1020000000001</v>
      </c>
      <c r="N818" s="6">
        <v>1946.1020000000001</v>
      </c>
      <c r="O818" s="6">
        <v>1946.1020000000001</v>
      </c>
      <c r="P818" s="6">
        <v>23031</v>
      </c>
      <c r="Q818" s="4" t="s">
        <v>26</v>
      </c>
      <c r="R818" s="4">
        <v>0</v>
      </c>
      <c r="S818" s="4">
        <v>0</v>
      </c>
      <c r="T818" s="4">
        <v>10</v>
      </c>
      <c r="U818" s="4">
        <v>76</v>
      </c>
      <c r="V818" s="6">
        <f>IF(ISERROR(VLOOKUP($S$818,'TAR FIN'!$A$1:$O$104,15,0)),0,VLOOKUP($S$818,'TAR FIN'!$A$1:$O$104,15,0))</f>
        <v>0</v>
      </c>
      <c r="W818" s="6">
        <f>IF(ISERROR(VLOOKUP($T$818,'TAR FIN'!$A$1:$O$104,15,0)),0,VLOOKUP($T$818,'TAR FIN'!$A$1:$O$104,15,0))</f>
        <v>299.57</v>
      </c>
      <c r="X818" s="6">
        <f>IF(ISERROR(VLOOKUP($U$818,'TAR FIN'!$A$1:$O$104,15,0)),0,VLOOKUP($U$818,'TAR FIN'!$A$1:$O$104,15,0))</f>
        <v>255.72</v>
      </c>
      <c r="Y818" s="6"/>
      <c r="Z818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18" s="6">
        <f>('TE BE'!$AB$17+'TE BF'!$AB$17+'TE CVA'!$AB$17)*(1-CUSTOS!$M$37)</f>
        <v>242.47071701268419</v>
      </c>
      <c r="AB818" s="6">
        <f t="shared" si="40"/>
        <v>0</v>
      </c>
      <c r="AC818" s="6">
        <f>(L818-M818)*(W818+X818)+($W$784+$X$784-$W$818-$X$818)*(L818)</f>
        <v>-5.5311545565928102E-11</v>
      </c>
      <c r="AD818" s="6">
        <f t="shared" si="41"/>
        <v>0</v>
      </c>
      <c r="AE818" s="6">
        <f ca="1">(L818-M818)*(Z818+AA818)+($Z$784+$AA$784-$Z$818-$AA$818)*(L818)</f>
        <v>0</v>
      </c>
      <c r="AF818" s="4" t="s">
        <v>1002</v>
      </c>
    </row>
    <row r="819" spans="1:32" ht="11.25" customHeight="1" x14ac:dyDescent="0.25">
      <c r="A819" s="4" t="s">
        <v>57</v>
      </c>
      <c r="B819" s="4" t="s">
        <v>22</v>
      </c>
      <c r="C819" s="4" t="s">
        <v>23</v>
      </c>
      <c r="D819" s="4" t="s">
        <v>24</v>
      </c>
      <c r="E819" s="4" t="s">
        <v>32</v>
      </c>
      <c r="F819" s="4" t="s">
        <v>25</v>
      </c>
      <c r="G819" s="4" t="s">
        <v>25</v>
      </c>
      <c r="H819" s="4" t="s">
        <v>25</v>
      </c>
      <c r="I819" s="5">
        <v>44743</v>
      </c>
      <c r="J819" s="6">
        <v>0</v>
      </c>
      <c r="K819" s="6">
        <v>0</v>
      </c>
      <c r="L819" s="6">
        <v>-5.69</v>
      </c>
      <c r="M819" s="6">
        <v>-5.69</v>
      </c>
      <c r="N819" s="6">
        <v>-5.69</v>
      </c>
      <c r="O819" s="6">
        <v>-5.69</v>
      </c>
      <c r="P819" s="6">
        <v>-27</v>
      </c>
      <c r="Q819" s="4" t="s">
        <v>26</v>
      </c>
      <c r="R819" s="4">
        <v>0</v>
      </c>
      <c r="S819" s="4">
        <v>0</v>
      </c>
      <c r="T819" s="4">
        <v>10</v>
      </c>
      <c r="U819" s="4">
        <v>76</v>
      </c>
      <c r="V819" s="6">
        <f>IF(ISERROR(VLOOKUP($S$819,'TAR FIN'!$A$1:$O$104,15,0)),0,VLOOKUP($S$819,'TAR FIN'!$A$1:$O$104,15,0))</f>
        <v>0</v>
      </c>
      <c r="W819" s="6">
        <f>IF(ISERROR(VLOOKUP($T$819,'TAR FIN'!$A$1:$O$104,15,0)),0,VLOOKUP($T$819,'TAR FIN'!$A$1:$O$104,15,0))</f>
        <v>299.57</v>
      </c>
      <c r="X819" s="6">
        <f>IF(ISERROR(VLOOKUP($U$819,'TAR FIN'!$A$1:$O$104,15,0)),0,VLOOKUP($U$819,'TAR FIN'!$A$1:$O$104,15,0))</f>
        <v>255.72</v>
      </c>
      <c r="Y819" s="6"/>
      <c r="Z819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19" s="6">
        <f>('TE BE'!$AB$17+'TE BF'!$AB$17+'TE CVA'!$AB$17)*(1-CUSTOS!$M$37)</f>
        <v>242.47071701268419</v>
      </c>
      <c r="AB819" s="6">
        <f t="shared" si="40"/>
        <v>0</v>
      </c>
      <c r="AC819" s="6">
        <f>(L819-M819)*(W819+X819)+($W$784+$X$784-$W$819-$X$819)*(L819)</f>
        <v>1.6171952665899881E-13</v>
      </c>
      <c r="AD819" s="6">
        <f t="shared" si="41"/>
        <v>0</v>
      </c>
      <c r="AE819" s="6">
        <f ca="1">(L819-M819)*(Z819+AA819)+($Z$784+$AA$784-$Z$819-$AA$819)*(L819)</f>
        <v>0</v>
      </c>
      <c r="AF819" s="4" t="s">
        <v>1002</v>
      </c>
    </row>
    <row r="820" spans="1:32" ht="11.25" customHeight="1" x14ac:dyDescent="0.25">
      <c r="A820" s="4" t="s">
        <v>57</v>
      </c>
      <c r="B820" s="4" t="s">
        <v>22</v>
      </c>
      <c r="C820" s="4" t="s">
        <v>23</v>
      </c>
      <c r="D820" s="4" t="s">
        <v>24</v>
      </c>
      <c r="E820" s="4" t="s">
        <v>32</v>
      </c>
      <c r="F820" s="4" t="s">
        <v>25</v>
      </c>
      <c r="G820" s="4" t="s">
        <v>25</v>
      </c>
      <c r="H820" s="4" t="s">
        <v>25</v>
      </c>
      <c r="I820" s="5">
        <v>44743</v>
      </c>
      <c r="J820" s="6">
        <v>0</v>
      </c>
      <c r="K820" s="6">
        <v>0</v>
      </c>
      <c r="L820" s="6">
        <v>62.06</v>
      </c>
      <c r="M820" s="6">
        <v>62.06</v>
      </c>
      <c r="N820" s="6">
        <v>62.06</v>
      </c>
      <c r="O820" s="6">
        <v>62.06</v>
      </c>
      <c r="P820" s="6">
        <v>472</v>
      </c>
      <c r="Q820" s="4" t="s">
        <v>26</v>
      </c>
      <c r="R820" s="4">
        <v>0</v>
      </c>
      <c r="S820" s="4">
        <v>0</v>
      </c>
      <c r="T820" s="4">
        <v>10</v>
      </c>
      <c r="U820" s="4">
        <v>76</v>
      </c>
      <c r="V820" s="6">
        <f>IF(ISERROR(VLOOKUP($S$820,'TAR FIN'!$A$1:$O$104,15,0)),0,VLOOKUP($S$820,'TAR FIN'!$A$1:$O$104,15,0))</f>
        <v>0</v>
      </c>
      <c r="W820" s="6">
        <f>IF(ISERROR(VLOOKUP($T$820,'TAR FIN'!$A$1:$O$104,15,0)),0,VLOOKUP($T$820,'TAR FIN'!$A$1:$O$104,15,0))</f>
        <v>299.57</v>
      </c>
      <c r="X820" s="6">
        <f>IF(ISERROR(VLOOKUP($U$820,'TAR FIN'!$A$1:$O$104,15,0)),0,VLOOKUP($U$820,'TAR FIN'!$A$1:$O$104,15,0))</f>
        <v>255.72</v>
      </c>
      <c r="Y820" s="6"/>
      <c r="Z820" s="6">
        <f ca="1">('TUSD BE'!$AM$38+'TUSD BF'!$AM$38+'TUSD CVA'!$AM$38-('TUSD BE'!$P$38+'TUSD BF'!$P$38+'TUSD CVA'!$P$38)-('TUSD BE'!$Q$38+'TUSD BF'!$Q$38+'TUSD CVA'!$Q$38)-('TUSD BE'!$R$38+'TUSD BF'!$R$38+'TUSD CVA'!$R$38))*(1-CUSTOS!$M$37)</f>
        <v>292.26063578855269</v>
      </c>
      <c r="AA820" s="6">
        <f>('TE BE'!$AB$17+'TE BF'!$AB$17+'TE CVA'!$AB$17)*(1-CUSTOS!$M$37)</f>
        <v>242.47071701268419</v>
      </c>
      <c r="AB820" s="6">
        <f t="shared" si="40"/>
        <v>0</v>
      </c>
      <c r="AC820" s="6">
        <f>(L820-M820)*(W820+X820)+($W$784+$X$784-$W$820-$X$820)*(L820)</f>
        <v>-1.7638512872508728E-12</v>
      </c>
      <c r="AD820" s="6">
        <f t="shared" si="41"/>
        <v>0</v>
      </c>
      <c r="AE820" s="6">
        <f ca="1">(L820-M820)*(Z820+AA820)+($Z$784+$AA$784-$Z$820-$AA$820)*(L820)</f>
        <v>0</v>
      </c>
      <c r="AF820" s="4" t="s">
        <v>1002</v>
      </c>
    </row>
    <row r="821" spans="1:32" ht="11.25" customHeight="1" x14ac:dyDescent="0.25">
      <c r="A821" s="4" t="s">
        <v>21</v>
      </c>
      <c r="B821" s="4" t="s">
        <v>44</v>
      </c>
      <c r="C821" s="4" t="s">
        <v>33</v>
      </c>
      <c r="D821" s="4" t="s">
        <v>45</v>
      </c>
      <c r="E821" s="4" t="s">
        <v>53</v>
      </c>
      <c r="F821" s="4" t="s">
        <v>54</v>
      </c>
      <c r="G821" s="4" t="s">
        <v>25</v>
      </c>
      <c r="H821" s="4" t="s">
        <v>35</v>
      </c>
      <c r="I821" s="5">
        <v>44440</v>
      </c>
      <c r="J821" s="6">
        <v>0</v>
      </c>
      <c r="K821" s="6">
        <v>0</v>
      </c>
      <c r="L821" s="6">
        <v>7.29</v>
      </c>
      <c r="M821" s="6">
        <v>7.29</v>
      </c>
      <c r="N821" s="6">
        <v>7.29</v>
      </c>
      <c r="O821" s="6">
        <v>7.29</v>
      </c>
      <c r="P821" s="6">
        <v>0</v>
      </c>
      <c r="Q821" s="4" t="s">
        <v>26</v>
      </c>
      <c r="R821" s="4">
        <v>0</v>
      </c>
      <c r="S821" s="4">
        <v>0</v>
      </c>
      <c r="T821" s="4">
        <v>25</v>
      </c>
      <c r="U821" s="4">
        <v>84</v>
      </c>
      <c r="V821" s="6">
        <f>IF(ISERROR(VLOOKUP($S$821,'TAR FIN'!$A$1:$O$104,15,0)),0,VLOOKUP($S$821,'TAR FIN'!$A$1:$O$104,15,0))</f>
        <v>0</v>
      </c>
      <c r="W821" s="6">
        <f>IF(ISERROR(VLOOKUP($T$821,'TAR FIN'!$A$1:$O$104,15,0)),0,VLOOKUP($T$821,'TAR FIN'!$A$1:$O$104,15,0))</f>
        <v>226.76</v>
      </c>
      <c r="X821" s="6">
        <f>IF(ISERROR(VLOOKUP($U$821,'TAR FIN'!$A$1:$O$104,15,0)),0,VLOOKUP($U$821,'TAR FIN'!$A$1:$O$104,15,0))</f>
        <v>213.69</v>
      </c>
      <c r="Y821" s="6"/>
      <c r="Z821" s="6">
        <f ca="1">('TUSD BE'!$AM$46+'TUSD BF'!$AM$46+'TUSD CVA'!$AM$46)*(1-CUSTOS!$M$38)</f>
        <v>256.58961565728271</v>
      </c>
      <c r="AA821" s="6">
        <f>('TE BE'!$AB$25+'TE BF'!$AB$25+'TE CVA'!$AB$25)*(1-CUSTOS!$M$38)</f>
        <v>217.85681941272242</v>
      </c>
      <c r="AB821" s="6">
        <f t="shared" si="40"/>
        <v>0</v>
      </c>
      <c r="AC821" s="6">
        <f>(L821*W821+M821*X821)/(1-CUSTOS!$M$38)*CUSTOS!$M$38</f>
        <v>204.9498191489362</v>
      </c>
      <c r="AD821" s="6">
        <f t="shared" si="41"/>
        <v>0</v>
      </c>
      <c r="AE821" s="6">
        <f ca="1">(L821*Z821+N821*AA821)/(1-CUSTOS!$M$38)*CUSTOS!$M$38</f>
        <v>220.76901138257472</v>
      </c>
      <c r="AF821" s="4" t="s">
        <v>998</v>
      </c>
    </row>
    <row r="822" spans="1:32" ht="11.25" customHeight="1" x14ac:dyDescent="0.25">
      <c r="A822" s="4" t="s">
        <v>21</v>
      </c>
      <c r="B822" s="4" t="s">
        <v>44</v>
      </c>
      <c r="C822" s="4" t="s">
        <v>33</v>
      </c>
      <c r="D822" s="4" t="s">
        <v>45</v>
      </c>
      <c r="E822" s="4" t="s">
        <v>53</v>
      </c>
      <c r="F822" s="4" t="s">
        <v>54</v>
      </c>
      <c r="G822" s="4" t="s">
        <v>25</v>
      </c>
      <c r="H822" s="4" t="s">
        <v>35</v>
      </c>
      <c r="I822" s="5">
        <v>44501</v>
      </c>
      <c r="J822" s="6">
        <v>0</v>
      </c>
      <c r="K822" s="6">
        <v>0</v>
      </c>
      <c r="L822" s="6">
        <v>6.5609999999999999</v>
      </c>
      <c r="M822" s="6">
        <v>6.5609999999999999</v>
      </c>
      <c r="N822" s="6">
        <v>6.5609999999999999</v>
      </c>
      <c r="O822" s="6">
        <v>6.5609999999999999</v>
      </c>
      <c r="P822" s="6">
        <v>0</v>
      </c>
      <c r="Q822" s="4" t="s">
        <v>26</v>
      </c>
      <c r="R822" s="4">
        <v>0</v>
      </c>
      <c r="S822" s="4">
        <v>0</v>
      </c>
      <c r="T822" s="4">
        <v>25</v>
      </c>
      <c r="U822" s="4">
        <v>84</v>
      </c>
      <c r="V822" s="6">
        <f>IF(ISERROR(VLOOKUP($S$822,'TAR FIN'!$A$1:$O$104,15,0)),0,VLOOKUP($S$822,'TAR FIN'!$A$1:$O$104,15,0))</f>
        <v>0</v>
      </c>
      <c r="W822" s="6">
        <f>IF(ISERROR(VLOOKUP($T$822,'TAR FIN'!$A$1:$O$104,15,0)),0,VLOOKUP($T$822,'TAR FIN'!$A$1:$O$104,15,0))</f>
        <v>226.76</v>
      </c>
      <c r="X822" s="6">
        <f>IF(ISERROR(VLOOKUP($U$822,'TAR FIN'!$A$1:$O$104,15,0)),0,VLOOKUP($U$822,'TAR FIN'!$A$1:$O$104,15,0))</f>
        <v>213.69</v>
      </c>
      <c r="Y822" s="6"/>
      <c r="Z822" s="6">
        <f ca="1">('TUSD BE'!$AM$46+'TUSD BF'!$AM$46+'TUSD CVA'!$AM$46)*(1-CUSTOS!$M$38)</f>
        <v>256.58961565728271</v>
      </c>
      <c r="AA822" s="6">
        <f>('TE BE'!$AB$25+'TE BF'!$AB$25+'TE CVA'!$AB$25)*(1-CUSTOS!$M$38)</f>
        <v>217.85681941272242</v>
      </c>
      <c r="AB822" s="6">
        <f t="shared" si="40"/>
        <v>0</v>
      </c>
      <c r="AC822" s="6">
        <f>(L822*W822+M822*X822)/(1-CUSTOS!$M$38)*CUSTOS!$M$38</f>
        <v>184.45483723404254</v>
      </c>
      <c r="AD822" s="6">
        <f t="shared" si="41"/>
        <v>0</v>
      </c>
      <c r="AE822" s="6">
        <f ca="1">(L822*Z822+N822*AA822)/(1-CUSTOS!$M$38)*CUSTOS!$M$38</f>
        <v>198.69211024431726</v>
      </c>
      <c r="AF822" s="4" t="s">
        <v>998</v>
      </c>
    </row>
    <row r="823" spans="1:32" ht="11.25" customHeight="1" x14ac:dyDescent="0.25">
      <c r="A823" s="4" t="s">
        <v>21</v>
      </c>
      <c r="B823" s="4" t="s">
        <v>44</v>
      </c>
      <c r="C823" s="4" t="s">
        <v>33</v>
      </c>
      <c r="D823" s="4" t="s">
        <v>45</v>
      </c>
      <c r="E823" s="4" t="s">
        <v>53</v>
      </c>
      <c r="F823" s="4" t="s">
        <v>54</v>
      </c>
      <c r="G823" s="4" t="s">
        <v>25</v>
      </c>
      <c r="H823" s="4" t="s">
        <v>36</v>
      </c>
      <c r="I823" s="5">
        <v>44440</v>
      </c>
      <c r="J823" s="6">
        <v>0</v>
      </c>
      <c r="K823" s="6">
        <v>0</v>
      </c>
      <c r="L823" s="6">
        <v>0.252</v>
      </c>
      <c r="M823" s="6">
        <v>0.252</v>
      </c>
      <c r="N823" s="6">
        <v>0.252</v>
      </c>
      <c r="O823" s="6">
        <v>0.252</v>
      </c>
      <c r="P823" s="6">
        <v>0</v>
      </c>
      <c r="Q823" s="4" t="s">
        <v>26</v>
      </c>
      <c r="R823" s="4">
        <v>0</v>
      </c>
      <c r="S823" s="4">
        <v>0</v>
      </c>
      <c r="T823" s="4">
        <v>23</v>
      </c>
      <c r="U823" s="4">
        <v>83</v>
      </c>
      <c r="V823" s="6">
        <f>IF(ISERROR(VLOOKUP($S$823,'TAR FIN'!$A$1:$O$104,15,0)),0,VLOOKUP($S$823,'TAR FIN'!$A$1:$O$104,15,0))</f>
        <v>0</v>
      </c>
      <c r="W823" s="6">
        <f>IF(ISERROR(VLOOKUP($T$823,'TAR FIN'!$A$1:$O$104,15,0)),0,VLOOKUP($T$823,'TAR FIN'!$A$1:$O$104,15,0))</f>
        <v>525.19000000000005</v>
      </c>
      <c r="X823" s="6">
        <f>IF(ISERROR(VLOOKUP($U$823,'TAR FIN'!$A$1:$O$104,15,0)),0,VLOOKUP($U$823,'TAR FIN'!$A$1:$O$104,15,0))</f>
        <v>213.69</v>
      </c>
      <c r="Y823" s="6"/>
      <c r="Z823" s="6">
        <f ca="1">('TUSD BE'!$AM$45+'TUSD BF'!$AM$45+'TUSD CVA'!$AM$45)*(1-CUSTOS!$M$38)</f>
        <v>575.84967768293859</v>
      </c>
      <c r="AA823" s="6">
        <f>('TE BE'!$AB$24+'TE BF'!$AB$24+'TE CVA'!$AB$24)*(1-CUSTOS!$M$38)</f>
        <v>217.85681941272242</v>
      </c>
      <c r="AB823" s="6">
        <f t="shared" si="40"/>
        <v>0</v>
      </c>
      <c r="AC823" s="6">
        <f>(L823*W823+M823*X823)/(1-CUSTOS!$M$38)*CUSTOS!$M$38</f>
        <v>11.88496340425532</v>
      </c>
      <c r="AD823" s="6">
        <f t="shared" si="41"/>
        <v>0</v>
      </c>
      <c r="AE823" s="6">
        <f ca="1">(L823*Z823+N823*AA823)/(1-CUSTOS!$M$38)*CUSTOS!$M$38</f>
        <v>12.766853442645099</v>
      </c>
      <c r="AF823" s="4" t="s">
        <v>998</v>
      </c>
    </row>
    <row r="824" spans="1:32" ht="11.25" customHeight="1" x14ac:dyDescent="0.25">
      <c r="A824" s="4" t="s">
        <v>21</v>
      </c>
      <c r="B824" s="4" t="s">
        <v>44</v>
      </c>
      <c r="C824" s="4" t="s">
        <v>33</v>
      </c>
      <c r="D824" s="4" t="s">
        <v>45</v>
      </c>
      <c r="E824" s="4" t="s">
        <v>53</v>
      </c>
      <c r="F824" s="4" t="s">
        <v>54</v>
      </c>
      <c r="G824" s="4" t="s">
        <v>25</v>
      </c>
      <c r="H824" s="4" t="s">
        <v>36</v>
      </c>
      <c r="I824" s="5">
        <v>44501</v>
      </c>
      <c r="J824" s="6">
        <v>0</v>
      </c>
      <c r="K824" s="6">
        <v>0</v>
      </c>
      <c r="L824" s="6">
        <v>0.22700000000000001</v>
      </c>
      <c r="M824" s="6">
        <v>0.22700000000000001</v>
      </c>
      <c r="N824" s="6">
        <v>0.22700000000000001</v>
      </c>
      <c r="O824" s="6">
        <v>0.22700000000000001</v>
      </c>
      <c r="P824" s="6">
        <v>0</v>
      </c>
      <c r="Q824" s="4" t="s">
        <v>26</v>
      </c>
      <c r="R824" s="4">
        <v>0</v>
      </c>
      <c r="S824" s="4">
        <v>0</v>
      </c>
      <c r="T824" s="4">
        <v>23</v>
      </c>
      <c r="U824" s="4">
        <v>83</v>
      </c>
      <c r="V824" s="6">
        <f>IF(ISERROR(VLOOKUP($S$824,'TAR FIN'!$A$1:$O$104,15,0)),0,VLOOKUP($S$824,'TAR FIN'!$A$1:$O$104,15,0))</f>
        <v>0</v>
      </c>
      <c r="W824" s="6">
        <f>IF(ISERROR(VLOOKUP($T$824,'TAR FIN'!$A$1:$O$104,15,0)),0,VLOOKUP($T$824,'TAR FIN'!$A$1:$O$104,15,0))</f>
        <v>525.19000000000005</v>
      </c>
      <c r="X824" s="6">
        <f>IF(ISERROR(VLOOKUP($U$824,'TAR FIN'!$A$1:$O$104,15,0)),0,VLOOKUP($U$824,'TAR FIN'!$A$1:$O$104,15,0))</f>
        <v>213.69</v>
      </c>
      <c r="Y824" s="6"/>
      <c r="Z824" s="6">
        <f ca="1">('TUSD BE'!$AM$45+'TUSD BF'!$AM$45+'TUSD CVA'!$AM$45)*(1-CUSTOS!$M$38)</f>
        <v>575.84967768293859</v>
      </c>
      <c r="AA824" s="6">
        <f>('TE BE'!$AB$24+'TE BF'!$AB$24+'TE CVA'!$AB$24)*(1-CUSTOS!$M$38)</f>
        <v>217.85681941272242</v>
      </c>
      <c r="AB824" s="6">
        <f t="shared" si="40"/>
        <v>0</v>
      </c>
      <c r="AC824" s="6">
        <f>(L824*W824+M824*X824)/(1-CUSTOS!$M$38)*CUSTOS!$M$38</f>
        <v>10.705899574468086</v>
      </c>
      <c r="AD824" s="6">
        <f t="shared" si="41"/>
        <v>0</v>
      </c>
      <c r="AE824" s="6">
        <f ca="1">(L824*Z824+N824*AA824)/(1-CUSTOS!$M$38)*CUSTOS!$M$38</f>
        <v>11.500300521747771</v>
      </c>
      <c r="AF824" s="4" t="s">
        <v>998</v>
      </c>
    </row>
    <row r="825" spans="1:32" ht="11.25" customHeight="1" x14ac:dyDescent="0.25">
      <c r="A825" s="4" t="s">
        <v>21</v>
      </c>
      <c r="B825" s="4" t="s">
        <v>44</v>
      </c>
      <c r="C825" s="4" t="s">
        <v>33</v>
      </c>
      <c r="D825" s="4" t="s">
        <v>45</v>
      </c>
      <c r="E825" s="4" t="s">
        <v>53</v>
      </c>
      <c r="F825" s="4" t="s">
        <v>54</v>
      </c>
      <c r="G825" s="4" t="s">
        <v>25</v>
      </c>
      <c r="H825" s="4" t="s">
        <v>34</v>
      </c>
      <c r="I825" s="5">
        <v>44440</v>
      </c>
      <c r="J825" s="6">
        <v>0</v>
      </c>
      <c r="K825" s="6">
        <v>0</v>
      </c>
      <c r="L825" s="6">
        <v>0.1</v>
      </c>
      <c r="M825" s="6">
        <v>0.1</v>
      </c>
      <c r="N825" s="6">
        <v>0.1</v>
      </c>
      <c r="O825" s="6">
        <v>0.1</v>
      </c>
      <c r="P825" s="6">
        <v>0</v>
      </c>
      <c r="Q825" s="4" t="s">
        <v>26</v>
      </c>
      <c r="R825" s="4">
        <v>0</v>
      </c>
      <c r="S825" s="4">
        <v>0</v>
      </c>
      <c r="T825" s="4">
        <v>21</v>
      </c>
      <c r="U825" s="4">
        <v>82</v>
      </c>
      <c r="V825" s="6">
        <f>IF(ISERROR(VLOOKUP($S$825,'TAR FIN'!$A$1:$O$104,15,0)),0,VLOOKUP($S$825,'TAR FIN'!$A$1:$O$104,15,0))</f>
        <v>0</v>
      </c>
      <c r="W825" s="6">
        <f>IF(ISERROR(VLOOKUP($T$825,'TAR FIN'!$A$1:$O$104,15,0)),0,VLOOKUP($T$825,'TAR FIN'!$A$1:$O$104,15,0))</f>
        <v>823.61</v>
      </c>
      <c r="X825" s="6">
        <f>IF(ISERROR(VLOOKUP($U$825,'TAR FIN'!$A$1:$O$104,15,0)),0,VLOOKUP($U$825,'TAR FIN'!$A$1:$O$104,15,0))</f>
        <v>349.91</v>
      </c>
      <c r="Y825" s="6"/>
      <c r="Z825" s="6">
        <f ca="1">('TUSD BE'!$AM$44+'TUSD BF'!$AM$44+'TUSD CVA'!$AM$44)*(1-CUSTOS!$M$38)</f>
        <v>895.10942436703249</v>
      </c>
      <c r="AA825" s="6">
        <f>('TE BE'!$AB$23+'TE BF'!$AB$23+'TE CVA'!$AB$23)*(1-CUSTOS!$M$38)</f>
        <v>338.64467436313089</v>
      </c>
      <c r="AB825" s="6">
        <f t="shared" si="40"/>
        <v>0</v>
      </c>
      <c r="AC825" s="6">
        <f>(L825*W825+M825*X825)/(1-CUSTOS!$M$38)*CUSTOS!$M$38</f>
        <v>7.4905531914893624</v>
      </c>
      <c r="AD825" s="6">
        <f t="shared" si="41"/>
        <v>0</v>
      </c>
      <c r="AE825" s="6">
        <f ca="1">(L825*Z825+N825*AA825)/(1-CUSTOS!$M$38)*CUSTOS!$M$38</f>
        <v>7.8750261621074271</v>
      </c>
      <c r="AF825" s="4" t="s">
        <v>998</v>
      </c>
    </row>
    <row r="826" spans="1:32" ht="11.25" customHeight="1" x14ac:dyDescent="0.25">
      <c r="A826" s="4" t="s">
        <v>21</v>
      </c>
      <c r="B826" s="4" t="s">
        <v>44</v>
      </c>
      <c r="C826" s="4" t="s">
        <v>33</v>
      </c>
      <c r="D826" s="4" t="s">
        <v>45</v>
      </c>
      <c r="E826" s="4" t="s">
        <v>53</v>
      </c>
      <c r="F826" s="4" t="s">
        <v>54</v>
      </c>
      <c r="G826" s="4" t="s">
        <v>25</v>
      </c>
      <c r="H826" s="4" t="s">
        <v>34</v>
      </c>
      <c r="I826" s="5">
        <v>44501</v>
      </c>
      <c r="J826" s="6">
        <v>0</v>
      </c>
      <c r="K826" s="6">
        <v>0</v>
      </c>
      <c r="L826" s="6">
        <v>0.09</v>
      </c>
      <c r="M826" s="6">
        <v>0.09</v>
      </c>
      <c r="N826" s="6">
        <v>0.09</v>
      </c>
      <c r="O826" s="6">
        <v>0.09</v>
      </c>
      <c r="P826" s="6">
        <v>0</v>
      </c>
      <c r="Q826" s="4" t="s">
        <v>26</v>
      </c>
      <c r="R826" s="4">
        <v>0</v>
      </c>
      <c r="S826" s="4">
        <v>0</v>
      </c>
      <c r="T826" s="4">
        <v>21</v>
      </c>
      <c r="U826" s="4">
        <v>82</v>
      </c>
      <c r="V826" s="6">
        <f>IF(ISERROR(VLOOKUP($S$826,'TAR FIN'!$A$1:$O$104,15,0)),0,VLOOKUP($S$826,'TAR FIN'!$A$1:$O$104,15,0))</f>
        <v>0</v>
      </c>
      <c r="W826" s="6">
        <f>IF(ISERROR(VLOOKUP($T$826,'TAR FIN'!$A$1:$O$104,15,0)),0,VLOOKUP($T$826,'TAR FIN'!$A$1:$O$104,15,0))</f>
        <v>823.61</v>
      </c>
      <c r="X826" s="6">
        <f>IF(ISERROR(VLOOKUP($U$826,'TAR FIN'!$A$1:$O$104,15,0)),0,VLOOKUP($U$826,'TAR FIN'!$A$1:$O$104,15,0))</f>
        <v>349.91</v>
      </c>
      <c r="Y826" s="6"/>
      <c r="Z826" s="6">
        <f ca="1">('TUSD BE'!$AM$44+'TUSD BF'!$AM$44+'TUSD CVA'!$AM$44)*(1-CUSTOS!$M$38)</f>
        <v>895.10942436703249</v>
      </c>
      <c r="AA826" s="6">
        <f>('TE BE'!$AB$23+'TE BF'!$AB$23+'TE CVA'!$AB$23)*(1-CUSTOS!$M$38)</f>
        <v>338.64467436313089</v>
      </c>
      <c r="AB826" s="6">
        <f t="shared" si="40"/>
        <v>0</v>
      </c>
      <c r="AC826" s="6">
        <f>(L826*W826+M826*X826)/(1-CUSTOS!$M$38)*CUSTOS!$M$38</f>
        <v>6.7414978723404255</v>
      </c>
      <c r="AD826" s="6">
        <f t="shared" si="41"/>
        <v>0</v>
      </c>
      <c r="AE826" s="6">
        <f ca="1">(L826*Z826+N826*AA826)/(1-CUSTOS!$M$38)*CUSTOS!$M$38</f>
        <v>7.0875235458966834</v>
      </c>
      <c r="AF826" s="4" t="s">
        <v>998</v>
      </c>
    </row>
    <row r="827" spans="1:32" ht="11.25" customHeight="1" x14ac:dyDescent="0.25">
      <c r="A827" s="4" t="s">
        <v>21</v>
      </c>
      <c r="B827" s="4" t="s">
        <v>44</v>
      </c>
      <c r="C827" s="4" t="s">
        <v>33</v>
      </c>
      <c r="D827" s="4" t="s">
        <v>45</v>
      </c>
      <c r="E827" s="4" t="s">
        <v>25</v>
      </c>
      <c r="F827" s="4" t="s">
        <v>25</v>
      </c>
      <c r="G827" s="4" t="s">
        <v>25</v>
      </c>
      <c r="H827" s="4" t="s">
        <v>35</v>
      </c>
      <c r="I827" s="5">
        <v>44409</v>
      </c>
      <c r="J827" s="6">
        <v>0</v>
      </c>
      <c r="K827" s="6">
        <v>0</v>
      </c>
      <c r="L827" s="6">
        <v>12.946</v>
      </c>
      <c r="M827" s="6">
        <v>12.946</v>
      </c>
      <c r="N827" s="6">
        <v>12.946</v>
      </c>
      <c r="O827" s="6">
        <v>12.946</v>
      </c>
      <c r="P827" s="6">
        <v>0</v>
      </c>
      <c r="Q827" s="4" t="s">
        <v>26</v>
      </c>
      <c r="R827" s="4">
        <v>0</v>
      </c>
      <c r="S827" s="4">
        <v>0</v>
      </c>
      <c r="T827" s="4">
        <v>25</v>
      </c>
      <c r="U827" s="4">
        <v>84</v>
      </c>
      <c r="V827" s="6">
        <f>IF(ISERROR(VLOOKUP($S$827,'TAR FIN'!$A$1:$O$104,15,0)),0,VLOOKUP($S$827,'TAR FIN'!$A$1:$O$104,15,0))</f>
        <v>0</v>
      </c>
      <c r="W827" s="6">
        <f>IF(ISERROR(VLOOKUP($T$827,'TAR FIN'!$A$1:$O$104,15,0)),0,VLOOKUP($T$827,'TAR FIN'!$A$1:$O$104,15,0))</f>
        <v>226.76</v>
      </c>
      <c r="X827" s="6">
        <f>IF(ISERROR(VLOOKUP($U$827,'TAR FIN'!$A$1:$O$104,15,0)),0,VLOOKUP($U$827,'TAR FIN'!$A$1:$O$104,15,0))</f>
        <v>213.69</v>
      </c>
      <c r="Y827" s="6"/>
      <c r="Z827" s="6">
        <f ca="1">('TUSD BE'!$AM$46+'TUSD BF'!$AM$46+'TUSD CVA'!$AM$46)*(1-CUSTOS!$M$38)</f>
        <v>256.58961565728271</v>
      </c>
      <c r="AA827" s="6">
        <f>('TE BE'!$AB$25+'TE BF'!$AB$25+'TE CVA'!$AB$25)*(1-CUSTOS!$M$38)</f>
        <v>217.85681941272242</v>
      </c>
      <c r="AB827" s="6">
        <f t="shared" si="40"/>
        <v>0</v>
      </c>
      <c r="AC827" s="6">
        <f>(L827*W827+M827*X827)/(1-CUSTOS!$M$38)*CUSTOS!$M$38</f>
        <v>363.96164042553187</v>
      </c>
      <c r="AD827" s="6">
        <f t="shared" si="41"/>
        <v>0</v>
      </c>
      <c r="AE827" s="6">
        <f ca="1">(L827*Z827+N827*AA827)/(1-CUSTOS!$M$38)*CUSTOS!$M$38</f>
        <v>392.05426904784804</v>
      </c>
      <c r="AF827" s="4" t="s">
        <v>998</v>
      </c>
    </row>
    <row r="828" spans="1:32" ht="11.25" customHeight="1" x14ac:dyDescent="0.25">
      <c r="A828" s="4" t="s">
        <v>21</v>
      </c>
      <c r="B828" s="4" t="s">
        <v>44</v>
      </c>
      <c r="C828" s="4" t="s">
        <v>33</v>
      </c>
      <c r="D828" s="4" t="s">
        <v>45</v>
      </c>
      <c r="E828" s="4" t="s">
        <v>25</v>
      </c>
      <c r="F828" s="4" t="s">
        <v>25</v>
      </c>
      <c r="G828" s="4" t="s">
        <v>25</v>
      </c>
      <c r="H828" s="4" t="s">
        <v>35</v>
      </c>
      <c r="I828" s="5">
        <v>44440</v>
      </c>
      <c r="J828" s="6">
        <v>0</v>
      </c>
      <c r="K828" s="6">
        <v>0</v>
      </c>
      <c r="L828" s="6">
        <v>10.468</v>
      </c>
      <c r="M828" s="6">
        <v>10.468</v>
      </c>
      <c r="N828" s="6">
        <v>10.468</v>
      </c>
      <c r="O828" s="6">
        <v>10.468</v>
      </c>
      <c r="P828" s="6">
        <v>0</v>
      </c>
      <c r="Q828" s="4" t="s">
        <v>26</v>
      </c>
      <c r="R828" s="4">
        <v>0</v>
      </c>
      <c r="S828" s="4">
        <v>0</v>
      </c>
      <c r="T828" s="4">
        <v>25</v>
      </c>
      <c r="U828" s="4">
        <v>84</v>
      </c>
      <c r="V828" s="6">
        <f>IF(ISERROR(VLOOKUP($S$828,'TAR FIN'!$A$1:$O$104,15,0)),0,VLOOKUP($S$828,'TAR FIN'!$A$1:$O$104,15,0))</f>
        <v>0</v>
      </c>
      <c r="W828" s="6">
        <f>IF(ISERROR(VLOOKUP($T$828,'TAR FIN'!$A$1:$O$104,15,0)),0,VLOOKUP($T$828,'TAR FIN'!$A$1:$O$104,15,0))</f>
        <v>226.76</v>
      </c>
      <c r="X828" s="6">
        <f>IF(ISERROR(VLOOKUP($U$828,'TAR FIN'!$A$1:$O$104,15,0)),0,VLOOKUP($U$828,'TAR FIN'!$A$1:$O$104,15,0))</f>
        <v>213.69</v>
      </c>
      <c r="Y828" s="6"/>
      <c r="Z828" s="6">
        <f ca="1">('TUSD BE'!$AM$46+'TUSD BF'!$AM$46+'TUSD CVA'!$AM$46)*(1-CUSTOS!$M$38)</f>
        <v>256.58961565728271</v>
      </c>
      <c r="AA828" s="6">
        <f>('TE BE'!$AB$25+'TE BF'!$AB$25+'TE CVA'!$AB$25)*(1-CUSTOS!$M$38)</f>
        <v>217.85681941272242</v>
      </c>
      <c r="AB828" s="6">
        <f t="shared" si="40"/>
        <v>0</v>
      </c>
      <c r="AC828" s="6">
        <f>(L828*W828+M828*X828)/(1-CUSTOS!$M$38)*CUSTOS!$M$38</f>
        <v>294.29557021276599</v>
      </c>
      <c r="AD828" s="6">
        <f t="shared" si="41"/>
        <v>0</v>
      </c>
      <c r="AE828" s="6">
        <f ca="1">(L828*Z828+N828*AA828)/(1-CUSTOS!$M$38)*CUSTOS!$M$38</f>
        <v>317.01097546677534</v>
      </c>
      <c r="AF828" s="4" t="s">
        <v>998</v>
      </c>
    </row>
    <row r="829" spans="1:32" ht="11.25" customHeight="1" x14ac:dyDescent="0.25">
      <c r="A829" s="4" t="s">
        <v>21</v>
      </c>
      <c r="B829" s="4" t="s">
        <v>44</v>
      </c>
      <c r="C829" s="4" t="s">
        <v>33</v>
      </c>
      <c r="D829" s="4" t="s">
        <v>45</v>
      </c>
      <c r="E829" s="4" t="s">
        <v>25</v>
      </c>
      <c r="F829" s="4" t="s">
        <v>25</v>
      </c>
      <c r="G829" s="4" t="s">
        <v>25</v>
      </c>
      <c r="H829" s="4" t="s">
        <v>35</v>
      </c>
      <c r="I829" s="5">
        <v>44470</v>
      </c>
      <c r="J829" s="6">
        <v>0</v>
      </c>
      <c r="K829" s="6">
        <v>0</v>
      </c>
      <c r="L829" s="6">
        <v>14.688000000000001</v>
      </c>
      <c r="M829" s="6">
        <v>14.688000000000001</v>
      </c>
      <c r="N829" s="6">
        <v>14.688000000000001</v>
      </c>
      <c r="O829" s="6">
        <v>14.688000000000001</v>
      </c>
      <c r="P829" s="6">
        <v>0</v>
      </c>
      <c r="Q829" s="4" t="s">
        <v>26</v>
      </c>
      <c r="R829" s="4">
        <v>0</v>
      </c>
      <c r="S829" s="4">
        <v>0</v>
      </c>
      <c r="T829" s="4">
        <v>25</v>
      </c>
      <c r="U829" s="4">
        <v>84</v>
      </c>
      <c r="V829" s="6">
        <f>IF(ISERROR(VLOOKUP($S$829,'TAR FIN'!$A$1:$O$104,15,0)),0,VLOOKUP($S$829,'TAR FIN'!$A$1:$O$104,15,0))</f>
        <v>0</v>
      </c>
      <c r="W829" s="6">
        <f>IF(ISERROR(VLOOKUP($T$829,'TAR FIN'!$A$1:$O$104,15,0)),0,VLOOKUP($T$829,'TAR FIN'!$A$1:$O$104,15,0))</f>
        <v>226.76</v>
      </c>
      <c r="X829" s="6">
        <f>IF(ISERROR(VLOOKUP($U$829,'TAR FIN'!$A$1:$O$104,15,0)),0,VLOOKUP($U$829,'TAR FIN'!$A$1:$O$104,15,0))</f>
        <v>213.69</v>
      </c>
      <c r="Y829" s="6"/>
      <c r="Z829" s="6">
        <f ca="1">('TUSD BE'!$AM$46+'TUSD BF'!$AM$46+'TUSD CVA'!$AM$46)*(1-CUSTOS!$M$38)</f>
        <v>256.58961565728271</v>
      </c>
      <c r="AA829" s="6">
        <f>('TE BE'!$AB$25+'TE BF'!$AB$25+'TE CVA'!$AB$25)*(1-CUSTOS!$M$38)</f>
        <v>217.85681941272242</v>
      </c>
      <c r="AB829" s="6">
        <f t="shared" si="40"/>
        <v>0</v>
      </c>
      <c r="AC829" s="6">
        <f>(L829*W829+M829*X829)/(1-CUSTOS!$M$38)*CUSTOS!$M$38</f>
        <v>412.93593191489367</v>
      </c>
      <c r="AD829" s="6">
        <f t="shared" si="41"/>
        <v>0</v>
      </c>
      <c r="AE829" s="6">
        <f ca="1">(L829*Z829+N829*AA829)/(1-CUSTOS!$M$38)*CUSTOS!$M$38</f>
        <v>444.80867478563204</v>
      </c>
      <c r="AF829" s="4" t="s">
        <v>998</v>
      </c>
    </row>
    <row r="830" spans="1:32" ht="11.25" customHeight="1" x14ac:dyDescent="0.25">
      <c r="A830" s="4" t="s">
        <v>21</v>
      </c>
      <c r="B830" s="4" t="s">
        <v>44</v>
      </c>
      <c r="C830" s="4" t="s">
        <v>33</v>
      </c>
      <c r="D830" s="4" t="s">
        <v>45</v>
      </c>
      <c r="E830" s="4" t="s">
        <v>25</v>
      </c>
      <c r="F830" s="4" t="s">
        <v>25</v>
      </c>
      <c r="G830" s="4" t="s">
        <v>25</v>
      </c>
      <c r="H830" s="4" t="s">
        <v>35</v>
      </c>
      <c r="I830" s="5">
        <v>44501</v>
      </c>
      <c r="J830" s="6">
        <v>0</v>
      </c>
      <c r="K830" s="6">
        <v>0</v>
      </c>
      <c r="L830" s="6">
        <v>9.9930000000000003</v>
      </c>
      <c r="M830" s="6">
        <v>9.9930000000000003</v>
      </c>
      <c r="N830" s="6">
        <v>9.9930000000000003</v>
      </c>
      <c r="O830" s="6">
        <v>9.9930000000000003</v>
      </c>
      <c r="P830" s="6">
        <v>0</v>
      </c>
      <c r="Q830" s="4" t="s">
        <v>26</v>
      </c>
      <c r="R830" s="4">
        <v>0</v>
      </c>
      <c r="S830" s="4">
        <v>0</v>
      </c>
      <c r="T830" s="4">
        <v>25</v>
      </c>
      <c r="U830" s="4">
        <v>84</v>
      </c>
      <c r="V830" s="6">
        <f>IF(ISERROR(VLOOKUP($S$830,'TAR FIN'!$A$1:$O$104,15,0)),0,VLOOKUP($S$830,'TAR FIN'!$A$1:$O$104,15,0))</f>
        <v>0</v>
      </c>
      <c r="W830" s="6">
        <f>IF(ISERROR(VLOOKUP($T$830,'TAR FIN'!$A$1:$O$104,15,0)),0,VLOOKUP($T$830,'TAR FIN'!$A$1:$O$104,15,0))</f>
        <v>226.76</v>
      </c>
      <c r="X830" s="6">
        <f>IF(ISERROR(VLOOKUP($U$830,'TAR FIN'!$A$1:$O$104,15,0)),0,VLOOKUP($U$830,'TAR FIN'!$A$1:$O$104,15,0))</f>
        <v>213.69</v>
      </c>
      <c r="Y830" s="6"/>
      <c r="Z830" s="6">
        <f ca="1">('TUSD BE'!$AM$46+'TUSD BF'!$AM$46+'TUSD CVA'!$AM$46)*(1-CUSTOS!$M$38)</f>
        <v>256.58961565728271</v>
      </c>
      <c r="AA830" s="6">
        <f>('TE BE'!$AB$25+'TE BF'!$AB$25+'TE CVA'!$AB$25)*(1-CUSTOS!$M$38)</f>
        <v>217.85681941272242</v>
      </c>
      <c r="AB830" s="6">
        <f t="shared" si="40"/>
        <v>0</v>
      </c>
      <c r="AC830" s="6">
        <f>(L830*W830+M830*X830)/(1-CUSTOS!$M$38)*CUSTOS!$M$38</f>
        <v>280.94150106382978</v>
      </c>
      <c r="AD830" s="6">
        <f t="shared" si="41"/>
        <v>0</v>
      </c>
      <c r="AE830" s="6">
        <f ca="1">(L830*Z830+N830*AA830)/(1-CUSTOS!$M$38)*CUSTOS!$M$38</f>
        <v>302.62616333965286</v>
      </c>
      <c r="AF830" s="4" t="s">
        <v>998</v>
      </c>
    </row>
    <row r="831" spans="1:32" ht="11.25" customHeight="1" x14ac:dyDescent="0.25">
      <c r="A831" s="4" t="s">
        <v>21</v>
      </c>
      <c r="B831" s="4" t="s">
        <v>44</v>
      </c>
      <c r="C831" s="4" t="s">
        <v>33</v>
      </c>
      <c r="D831" s="4" t="s">
        <v>45</v>
      </c>
      <c r="E831" s="4" t="s">
        <v>25</v>
      </c>
      <c r="F831" s="4" t="s">
        <v>25</v>
      </c>
      <c r="G831" s="4" t="s">
        <v>25</v>
      </c>
      <c r="H831" s="4" t="s">
        <v>35</v>
      </c>
      <c r="I831" s="5">
        <v>44531</v>
      </c>
      <c r="J831" s="6">
        <v>0</v>
      </c>
      <c r="K831" s="6">
        <v>0</v>
      </c>
      <c r="L831" s="6">
        <v>12.581</v>
      </c>
      <c r="M831" s="6">
        <v>12.581</v>
      </c>
      <c r="N831" s="6">
        <v>12.581</v>
      </c>
      <c r="O831" s="6">
        <v>12.581</v>
      </c>
      <c r="P831" s="6">
        <v>0</v>
      </c>
      <c r="Q831" s="4" t="s">
        <v>26</v>
      </c>
      <c r="R831" s="4">
        <v>0</v>
      </c>
      <c r="S831" s="4">
        <v>0</v>
      </c>
      <c r="T831" s="4">
        <v>25</v>
      </c>
      <c r="U831" s="4">
        <v>84</v>
      </c>
      <c r="V831" s="6">
        <f>IF(ISERROR(VLOOKUP($S$831,'TAR FIN'!$A$1:$O$104,15,0)),0,VLOOKUP($S$831,'TAR FIN'!$A$1:$O$104,15,0))</f>
        <v>0</v>
      </c>
      <c r="W831" s="6">
        <f>IF(ISERROR(VLOOKUP($T$831,'TAR FIN'!$A$1:$O$104,15,0)),0,VLOOKUP($T$831,'TAR FIN'!$A$1:$O$104,15,0))</f>
        <v>226.76</v>
      </c>
      <c r="X831" s="6">
        <f>IF(ISERROR(VLOOKUP($U$831,'TAR FIN'!$A$1:$O$104,15,0)),0,VLOOKUP($U$831,'TAR FIN'!$A$1:$O$104,15,0))</f>
        <v>213.69</v>
      </c>
      <c r="Y831" s="6"/>
      <c r="Z831" s="6">
        <f ca="1">('TUSD BE'!$AM$46+'TUSD BF'!$AM$46+'TUSD CVA'!$AM$46)*(1-CUSTOS!$M$38)</f>
        <v>256.58961565728271</v>
      </c>
      <c r="AA831" s="6">
        <f>('TE BE'!$AB$25+'TE BF'!$AB$25+'TE CVA'!$AB$25)*(1-CUSTOS!$M$38)</f>
        <v>217.85681941272242</v>
      </c>
      <c r="AB831" s="6">
        <f t="shared" si="40"/>
        <v>0</v>
      </c>
      <c r="AC831" s="6">
        <f>(L831*W831+M831*X831)/(1-CUSTOS!$M$38)*CUSTOS!$M$38</f>
        <v>353.70009255319144</v>
      </c>
      <c r="AD831" s="6">
        <f t="shared" si="41"/>
        <v>0</v>
      </c>
      <c r="AE831" s="6">
        <f ca="1">(L831*Z831+N831*AA831)/(1-CUSTOS!$M$38)*CUSTOS!$M$38</f>
        <v>381.00067657121713</v>
      </c>
      <c r="AF831" s="4" t="s">
        <v>998</v>
      </c>
    </row>
    <row r="832" spans="1:32" ht="11.25" customHeight="1" x14ac:dyDescent="0.25">
      <c r="A832" s="4" t="s">
        <v>21</v>
      </c>
      <c r="B832" s="4" t="s">
        <v>44</v>
      </c>
      <c r="C832" s="4" t="s">
        <v>33</v>
      </c>
      <c r="D832" s="4" t="s">
        <v>45</v>
      </c>
      <c r="E832" s="4" t="s">
        <v>25</v>
      </c>
      <c r="F832" s="4" t="s">
        <v>25</v>
      </c>
      <c r="G832" s="4" t="s">
        <v>25</v>
      </c>
      <c r="H832" s="4" t="s">
        <v>35</v>
      </c>
      <c r="I832" s="5">
        <v>44562</v>
      </c>
      <c r="J832" s="6">
        <v>0</v>
      </c>
      <c r="K832" s="6">
        <v>0</v>
      </c>
      <c r="L832" s="6">
        <v>10.922000000000001</v>
      </c>
      <c r="M832" s="6">
        <v>10.922000000000001</v>
      </c>
      <c r="N832" s="6">
        <v>10.922000000000001</v>
      </c>
      <c r="O832" s="6">
        <v>10.922000000000001</v>
      </c>
      <c r="P832" s="6">
        <v>0</v>
      </c>
      <c r="Q832" s="4" t="s">
        <v>26</v>
      </c>
      <c r="R832" s="4">
        <v>0</v>
      </c>
      <c r="S832" s="4">
        <v>0</v>
      </c>
      <c r="T832" s="4">
        <v>25</v>
      </c>
      <c r="U832" s="4">
        <v>84</v>
      </c>
      <c r="V832" s="6">
        <f>IF(ISERROR(VLOOKUP($S$832,'TAR FIN'!$A$1:$O$104,15,0)),0,VLOOKUP($S$832,'TAR FIN'!$A$1:$O$104,15,0))</f>
        <v>0</v>
      </c>
      <c r="W832" s="6">
        <f>IF(ISERROR(VLOOKUP($T$832,'TAR FIN'!$A$1:$O$104,15,0)),0,VLOOKUP($T$832,'TAR FIN'!$A$1:$O$104,15,0))</f>
        <v>226.76</v>
      </c>
      <c r="X832" s="6">
        <f>IF(ISERROR(VLOOKUP($U$832,'TAR FIN'!$A$1:$O$104,15,0)),0,VLOOKUP($U$832,'TAR FIN'!$A$1:$O$104,15,0))</f>
        <v>213.69</v>
      </c>
      <c r="Y832" s="6"/>
      <c r="Z832" s="6">
        <f ca="1">('TUSD BE'!$AM$46+'TUSD BF'!$AM$46+'TUSD CVA'!$AM$46)*(1-CUSTOS!$M$38)</f>
        <v>256.58961565728271</v>
      </c>
      <c r="AA832" s="6">
        <f>('TE BE'!$AB$25+'TE BF'!$AB$25+'TE CVA'!$AB$25)*(1-CUSTOS!$M$38)</f>
        <v>217.85681941272242</v>
      </c>
      <c r="AB832" s="6">
        <f t="shared" si="40"/>
        <v>0</v>
      </c>
      <c r="AC832" s="6">
        <f>(L832*W832+M832*X832)/(1-CUSTOS!$M$38)*CUSTOS!$M$38</f>
        <v>307.05924893617021</v>
      </c>
      <c r="AD832" s="6">
        <f t="shared" si="41"/>
        <v>0</v>
      </c>
      <c r="AE832" s="6">
        <f ca="1">(L832*Z832+N832*AA832)/(1-CUSTOS!$M$38)*CUSTOS!$M$38</f>
        <v>330.75982747880403</v>
      </c>
      <c r="AF832" s="4" t="s">
        <v>998</v>
      </c>
    </row>
    <row r="833" spans="1:32" ht="11.25" customHeight="1" x14ac:dyDescent="0.25">
      <c r="A833" s="4" t="s">
        <v>21</v>
      </c>
      <c r="B833" s="4" t="s">
        <v>44</v>
      </c>
      <c r="C833" s="4" t="s">
        <v>33</v>
      </c>
      <c r="D833" s="4" t="s">
        <v>45</v>
      </c>
      <c r="E833" s="4" t="s">
        <v>25</v>
      </c>
      <c r="F833" s="4" t="s">
        <v>25</v>
      </c>
      <c r="G833" s="4" t="s">
        <v>25</v>
      </c>
      <c r="H833" s="4" t="s">
        <v>35</v>
      </c>
      <c r="I833" s="5">
        <v>44593</v>
      </c>
      <c r="J833" s="6">
        <v>0</v>
      </c>
      <c r="K833" s="6">
        <v>0</v>
      </c>
      <c r="L833" s="6">
        <v>6.39</v>
      </c>
      <c r="M833" s="6">
        <v>6.39</v>
      </c>
      <c r="N833" s="6">
        <v>6.39</v>
      </c>
      <c r="O833" s="6">
        <v>6.39</v>
      </c>
      <c r="P833" s="6">
        <v>0</v>
      </c>
      <c r="Q833" s="4" t="s">
        <v>26</v>
      </c>
      <c r="R833" s="4">
        <v>0</v>
      </c>
      <c r="S833" s="4">
        <v>0</v>
      </c>
      <c r="T833" s="4">
        <v>25</v>
      </c>
      <c r="U833" s="4">
        <v>84</v>
      </c>
      <c r="V833" s="6">
        <f>IF(ISERROR(VLOOKUP($S$833,'TAR FIN'!$A$1:$O$104,15,0)),0,VLOOKUP($S$833,'TAR FIN'!$A$1:$O$104,15,0))</f>
        <v>0</v>
      </c>
      <c r="W833" s="6">
        <f>IF(ISERROR(VLOOKUP($T$833,'TAR FIN'!$A$1:$O$104,15,0)),0,VLOOKUP($T$833,'TAR FIN'!$A$1:$O$104,15,0))</f>
        <v>226.76</v>
      </c>
      <c r="X833" s="6">
        <f>IF(ISERROR(VLOOKUP($U$833,'TAR FIN'!$A$1:$O$104,15,0)),0,VLOOKUP($U$833,'TAR FIN'!$A$1:$O$104,15,0))</f>
        <v>213.69</v>
      </c>
      <c r="Y833" s="6"/>
      <c r="Z833" s="6">
        <f ca="1">('TUSD BE'!$AM$46+'TUSD BF'!$AM$46+'TUSD CVA'!$AM$46)*(1-CUSTOS!$M$38)</f>
        <v>256.58961565728271</v>
      </c>
      <c r="AA833" s="6">
        <f>('TE BE'!$AB$25+'TE BF'!$AB$25+'TE CVA'!$AB$25)*(1-CUSTOS!$M$38)</f>
        <v>217.85681941272242</v>
      </c>
      <c r="AB833" s="6">
        <f t="shared" si="40"/>
        <v>0</v>
      </c>
      <c r="AC833" s="6">
        <f>(L833*W833+M833*X833)/(1-CUSTOS!$M$38)*CUSTOS!$M$38</f>
        <v>179.64737234042551</v>
      </c>
      <c r="AD833" s="6">
        <f t="shared" si="41"/>
        <v>0</v>
      </c>
      <c r="AE833" s="6">
        <f ca="1">(L833*Z833+N833*AA833)/(1-CUSTOS!$M$38)*CUSTOS!$M$38</f>
        <v>193.51357787855315</v>
      </c>
      <c r="AF833" s="4" t="s">
        <v>998</v>
      </c>
    </row>
    <row r="834" spans="1:32" ht="11.25" customHeight="1" x14ac:dyDescent="0.25">
      <c r="A834" s="4" t="s">
        <v>21</v>
      </c>
      <c r="B834" s="4" t="s">
        <v>44</v>
      </c>
      <c r="C834" s="4" t="s">
        <v>33</v>
      </c>
      <c r="D834" s="4" t="s">
        <v>45</v>
      </c>
      <c r="E834" s="4" t="s">
        <v>25</v>
      </c>
      <c r="F834" s="4" t="s">
        <v>25</v>
      </c>
      <c r="G834" s="4" t="s">
        <v>25</v>
      </c>
      <c r="H834" s="4" t="s">
        <v>35</v>
      </c>
      <c r="I834" s="5">
        <v>44621</v>
      </c>
      <c r="J834" s="6">
        <v>0</v>
      </c>
      <c r="K834" s="6">
        <v>0</v>
      </c>
      <c r="L834" s="6">
        <v>3.0859999999999999</v>
      </c>
      <c r="M834" s="6">
        <v>3.0859999999999999</v>
      </c>
      <c r="N834" s="6">
        <v>3.0859999999999999</v>
      </c>
      <c r="O834" s="6">
        <v>3.0859999999999999</v>
      </c>
      <c r="P834" s="6">
        <v>0</v>
      </c>
      <c r="Q834" s="4" t="s">
        <v>26</v>
      </c>
      <c r="R834" s="4">
        <v>0</v>
      </c>
      <c r="S834" s="4">
        <v>0</v>
      </c>
      <c r="T834" s="4">
        <v>25</v>
      </c>
      <c r="U834" s="4">
        <v>84</v>
      </c>
      <c r="V834" s="6">
        <f>IF(ISERROR(VLOOKUP($S$834,'TAR FIN'!$A$1:$O$104,15,0)),0,VLOOKUP($S$834,'TAR FIN'!$A$1:$O$104,15,0))</f>
        <v>0</v>
      </c>
      <c r="W834" s="6">
        <f>IF(ISERROR(VLOOKUP($T$834,'TAR FIN'!$A$1:$O$104,15,0)),0,VLOOKUP($T$834,'TAR FIN'!$A$1:$O$104,15,0))</f>
        <v>226.76</v>
      </c>
      <c r="X834" s="6">
        <f>IF(ISERROR(VLOOKUP($U$834,'TAR FIN'!$A$1:$O$104,15,0)),0,VLOOKUP($U$834,'TAR FIN'!$A$1:$O$104,15,0))</f>
        <v>213.69</v>
      </c>
      <c r="Y834" s="6"/>
      <c r="Z834" s="6">
        <f ca="1">('TUSD BE'!$AM$46+'TUSD BF'!$AM$46+'TUSD CVA'!$AM$46)*(1-CUSTOS!$M$38)</f>
        <v>256.58961565728271</v>
      </c>
      <c r="AA834" s="6">
        <f>('TE BE'!$AB$25+'TE BF'!$AB$25+'TE CVA'!$AB$25)*(1-CUSTOS!$M$38)</f>
        <v>217.85681941272242</v>
      </c>
      <c r="AB834" s="6">
        <f t="shared" ref="AB834:AB897" si="42">(J834-K834)*V834</f>
        <v>0</v>
      </c>
      <c r="AC834" s="6">
        <f>(L834*W834+M834*X834)/(1-CUSTOS!$M$38)*CUSTOS!$M$38</f>
        <v>86.75927872340425</v>
      </c>
      <c r="AD834" s="6">
        <f t="shared" ref="AD834:AD897" si="43">(J834-K834)*Y834</f>
        <v>0</v>
      </c>
      <c r="AE834" s="6">
        <f ca="1">(L834*Z834+N834*AA834)/(1-CUSTOS!$M$38)*CUSTOS!$M$38</f>
        <v>93.455853103789522</v>
      </c>
      <c r="AF834" s="4" t="s">
        <v>998</v>
      </c>
    </row>
    <row r="835" spans="1:32" ht="11.25" customHeight="1" x14ac:dyDescent="0.25">
      <c r="A835" s="4" t="s">
        <v>21</v>
      </c>
      <c r="B835" s="4" t="s">
        <v>44</v>
      </c>
      <c r="C835" s="4" t="s">
        <v>33</v>
      </c>
      <c r="D835" s="4" t="s">
        <v>45</v>
      </c>
      <c r="E835" s="4" t="s">
        <v>25</v>
      </c>
      <c r="F835" s="4" t="s">
        <v>25</v>
      </c>
      <c r="G835" s="4" t="s">
        <v>25</v>
      </c>
      <c r="H835" s="4" t="s">
        <v>35</v>
      </c>
      <c r="I835" s="5">
        <v>44652</v>
      </c>
      <c r="J835" s="6">
        <v>0</v>
      </c>
      <c r="K835" s="6">
        <v>0</v>
      </c>
      <c r="L835" s="6">
        <v>2.5569999999999999</v>
      </c>
      <c r="M835" s="6">
        <v>2.5569999999999999</v>
      </c>
      <c r="N835" s="6">
        <v>2.5569999999999999</v>
      </c>
      <c r="O835" s="6">
        <v>2.5569999999999999</v>
      </c>
      <c r="P835" s="6">
        <v>0</v>
      </c>
      <c r="Q835" s="4" t="s">
        <v>26</v>
      </c>
      <c r="R835" s="4">
        <v>0</v>
      </c>
      <c r="S835" s="4">
        <v>0</v>
      </c>
      <c r="T835" s="4">
        <v>25</v>
      </c>
      <c r="U835" s="4">
        <v>84</v>
      </c>
      <c r="V835" s="6">
        <f>IF(ISERROR(VLOOKUP($S$835,'TAR FIN'!$A$1:$O$104,15,0)),0,VLOOKUP($S$835,'TAR FIN'!$A$1:$O$104,15,0))</f>
        <v>0</v>
      </c>
      <c r="W835" s="6">
        <f>IF(ISERROR(VLOOKUP($T$835,'TAR FIN'!$A$1:$O$104,15,0)),0,VLOOKUP($T$835,'TAR FIN'!$A$1:$O$104,15,0))</f>
        <v>226.76</v>
      </c>
      <c r="X835" s="6">
        <f>IF(ISERROR(VLOOKUP($U$835,'TAR FIN'!$A$1:$O$104,15,0)),0,VLOOKUP($U$835,'TAR FIN'!$A$1:$O$104,15,0))</f>
        <v>213.69</v>
      </c>
      <c r="Y835" s="6"/>
      <c r="Z835" s="6">
        <f ca="1">('TUSD BE'!$AM$46+'TUSD BF'!$AM$46+'TUSD CVA'!$AM$46)*(1-CUSTOS!$M$38)</f>
        <v>256.58961565728271</v>
      </c>
      <c r="AA835" s="6">
        <f>('TE BE'!$AB$25+'TE BF'!$AB$25+'TE CVA'!$AB$25)*(1-CUSTOS!$M$38)</f>
        <v>217.85681941272242</v>
      </c>
      <c r="AB835" s="6">
        <f t="shared" si="42"/>
        <v>0</v>
      </c>
      <c r="AC835" s="6">
        <f>(L835*W835+M835*X835)/(1-CUSTOS!$M$38)*CUSTOS!$M$38</f>
        <v>71.887062765957452</v>
      </c>
      <c r="AD835" s="6">
        <f t="shared" si="43"/>
        <v>0</v>
      </c>
      <c r="AE835" s="6">
        <f ca="1">(L835*Z835+N835*AA835)/(1-CUSTOS!$M$38)*CUSTOS!$M$38</f>
        <v>77.435714966425735</v>
      </c>
      <c r="AF835" s="4" t="s">
        <v>998</v>
      </c>
    </row>
    <row r="836" spans="1:32" ht="11.25" customHeight="1" x14ac:dyDescent="0.25">
      <c r="A836" s="4" t="s">
        <v>21</v>
      </c>
      <c r="B836" s="4" t="s">
        <v>44</v>
      </c>
      <c r="C836" s="4" t="s">
        <v>33</v>
      </c>
      <c r="D836" s="4" t="s">
        <v>45</v>
      </c>
      <c r="E836" s="4" t="s">
        <v>25</v>
      </c>
      <c r="F836" s="4" t="s">
        <v>25</v>
      </c>
      <c r="G836" s="4" t="s">
        <v>25</v>
      </c>
      <c r="H836" s="4" t="s">
        <v>35</v>
      </c>
      <c r="I836" s="5">
        <v>44682</v>
      </c>
      <c r="J836" s="6">
        <v>0</v>
      </c>
      <c r="K836" s="6">
        <v>0</v>
      </c>
      <c r="L836" s="6">
        <v>3.3130000000000002</v>
      </c>
      <c r="M836" s="6">
        <v>3.3130000000000002</v>
      </c>
      <c r="N836" s="6">
        <v>3.3130000000000002</v>
      </c>
      <c r="O836" s="6">
        <v>3.3130000000000002</v>
      </c>
      <c r="P836" s="6">
        <v>0</v>
      </c>
      <c r="Q836" s="4" t="s">
        <v>26</v>
      </c>
      <c r="R836" s="4">
        <v>0</v>
      </c>
      <c r="S836" s="4">
        <v>0</v>
      </c>
      <c r="T836" s="4">
        <v>25</v>
      </c>
      <c r="U836" s="4">
        <v>84</v>
      </c>
      <c r="V836" s="6">
        <f>IF(ISERROR(VLOOKUP($S$836,'TAR FIN'!$A$1:$O$104,15,0)),0,VLOOKUP($S$836,'TAR FIN'!$A$1:$O$104,15,0))</f>
        <v>0</v>
      </c>
      <c r="W836" s="6">
        <f>IF(ISERROR(VLOOKUP($T$836,'TAR FIN'!$A$1:$O$104,15,0)),0,VLOOKUP($T$836,'TAR FIN'!$A$1:$O$104,15,0))</f>
        <v>226.76</v>
      </c>
      <c r="X836" s="6">
        <f>IF(ISERROR(VLOOKUP($U$836,'TAR FIN'!$A$1:$O$104,15,0)),0,VLOOKUP($U$836,'TAR FIN'!$A$1:$O$104,15,0))</f>
        <v>213.69</v>
      </c>
      <c r="Y836" s="6"/>
      <c r="Z836" s="6">
        <f ca="1">('TUSD BE'!$AM$46+'TUSD BF'!$AM$46+'TUSD CVA'!$AM$46)*(1-CUSTOS!$M$38)</f>
        <v>256.58961565728271</v>
      </c>
      <c r="AA836" s="6">
        <f>('TE BE'!$AB$25+'TE BF'!$AB$25+'TE CVA'!$AB$25)*(1-CUSTOS!$M$38)</f>
        <v>217.85681941272242</v>
      </c>
      <c r="AB836" s="6">
        <f t="shared" si="42"/>
        <v>0</v>
      </c>
      <c r="AC836" s="6">
        <f>(L836*W836+M836*X836)/(1-CUSTOS!$M$38)*CUSTOS!$M$38</f>
        <v>93.141118085106385</v>
      </c>
      <c r="AD836" s="6">
        <f t="shared" si="43"/>
        <v>0</v>
      </c>
      <c r="AE836" s="6">
        <f ca="1">(L836*Z836+N836*AA836)/(1-CUSTOS!$M$38)*CUSTOS!$M$38</f>
        <v>100.33027910980387</v>
      </c>
      <c r="AF836" s="4" t="s">
        <v>998</v>
      </c>
    </row>
    <row r="837" spans="1:32" ht="11.25" customHeight="1" x14ac:dyDescent="0.25">
      <c r="A837" s="4" t="s">
        <v>21</v>
      </c>
      <c r="B837" s="4" t="s">
        <v>44</v>
      </c>
      <c r="C837" s="4" t="s">
        <v>33</v>
      </c>
      <c r="D837" s="4" t="s">
        <v>45</v>
      </c>
      <c r="E837" s="4" t="s">
        <v>25</v>
      </c>
      <c r="F837" s="4" t="s">
        <v>25</v>
      </c>
      <c r="G837" s="4" t="s">
        <v>25</v>
      </c>
      <c r="H837" s="4" t="s">
        <v>35</v>
      </c>
      <c r="I837" s="5">
        <v>44713</v>
      </c>
      <c r="J837" s="6">
        <v>0</v>
      </c>
      <c r="K837" s="6">
        <v>0</v>
      </c>
      <c r="L837" s="6">
        <v>2.52</v>
      </c>
      <c r="M837" s="6">
        <v>2.52</v>
      </c>
      <c r="N837" s="6">
        <v>2.52</v>
      </c>
      <c r="O837" s="6">
        <v>2.52</v>
      </c>
      <c r="P837" s="6">
        <v>0</v>
      </c>
      <c r="Q837" s="4" t="s">
        <v>26</v>
      </c>
      <c r="R837" s="4">
        <v>0</v>
      </c>
      <c r="S837" s="4">
        <v>0</v>
      </c>
      <c r="T837" s="4">
        <v>25</v>
      </c>
      <c r="U837" s="4">
        <v>84</v>
      </c>
      <c r="V837" s="6">
        <f>IF(ISERROR(VLOOKUP($S$837,'TAR FIN'!$A$1:$O$104,15,0)),0,VLOOKUP($S$837,'TAR FIN'!$A$1:$O$104,15,0))</f>
        <v>0</v>
      </c>
      <c r="W837" s="6">
        <f>IF(ISERROR(VLOOKUP($T$837,'TAR FIN'!$A$1:$O$104,15,0)),0,VLOOKUP($T$837,'TAR FIN'!$A$1:$O$104,15,0))</f>
        <v>226.76</v>
      </c>
      <c r="X837" s="6">
        <f>IF(ISERROR(VLOOKUP($U$837,'TAR FIN'!$A$1:$O$104,15,0)),0,VLOOKUP($U$837,'TAR FIN'!$A$1:$O$104,15,0))</f>
        <v>213.69</v>
      </c>
      <c r="Y837" s="6"/>
      <c r="Z837" s="6">
        <f ca="1">('TUSD BE'!$AM$46+'TUSD BF'!$AM$46+'TUSD CVA'!$AM$46)*(1-CUSTOS!$M$38)</f>
        <v>256.58961565728271</v>
      </c>
      <c r="AA837" s="6">
        <f>('TE BE'!$AB$25+'TE BF'!$AB$25+'TE CVA'!$AB$25)*(1-CUSTOS!$M$38)</f>
        <v>217.85681941272242</v>
      </c>
      <c r="AB837" s="6">
        <f t="shared" si="42"/>
        <v>0</v>
      </c>
      <c r="AC837" s="6">
        <f>(L837*W837+M837*X837)/(1-CUSTOS!$M$38)*CUSTOS!$M$38</f>
        <v>70.846851063829789</v>
      </c>
      <c r="AD837" s="6">
        <f t="shared" si="43"/>
        <v>0</v>
      </c>
      <c r="AE837" s="6">
        <f ca="1">(L837*Z837+N837*AA837)/(1-CUSTOS!$M$38)*CUSTOS!$M$38</f>
        <v>76.315213811260406</v>
      </c>
      <c r="AF837" s="4" t="s">
        <v>998</v>
      </c>
    </row>
    <row r="838" spans="1:32" ht="11.25" customHeight="1" x14ac:dyDescent="0.25">
      <c r="A838" s="4" t="s">
        <v>57</v>
      </c>
      <c r="B838" s="4" t="s">
        <v>44</v>
      </c>
      <c r="C838" s="4" t="s">
        <v>33</v>
      </c>
      <c r="D838" s="4" t="s">
        <v>45</v>
      </c>
      <c r="E838" s="4" t="s">
        <v>25</v>
      </c>
      <c r="F838" s="4" t="s">
        <v>25</v>
      </c>
      <c r="G838" s="4" t="s">
        <v>25</v>
      </c>
      <c r="H838" s="4" t="s">
        <v>35</v>
      </c>
      <c r="I838" s="5">
        <v>44743</v>
      </c>
      <c r="J838" s="6">
        <v>0</v>
      </c>
      <c r="K838" s="6">
        <v>0</v>
      </c>
      <c r="L838" s="6">
        <v>2.52</v>
      </c>
      <c r="M838" s="6">
        <v>2.52</v>
      </c>
      <c r="N838" s="6">
        <v>2.52</v>
      </c>
      <c r="O838" s="6">
        <v>2.52</v>
      </c>
      <c r="P838" s="6">
        <v>0</v>
      </c>
      <c r="Q838" s="4" t="s">
        <v>26</v>
      </c>
      <c r="R838" s="4">
        <v>0</v>
      </c>
      <c r="S838" s="4">
        <v>0</v>
      </c>
      <c r="T838" s="4">
        <v>25</v>
      </c>
      <c r="U838" s="4">
        <v>84</v>
      </c>
      <c r="V838" s="6">
        <f>IF(ISERROR(VLOOKUP($S$838,'TAR FIN'!$A$1:$O$104,15,0)),0,VLOOKUP($S$838,'TAR FIN'!$A$1:$O$104,15,0))</f>
        <v>0</v>
      </c>
      <c r="W838" s="6">
        <f>IF(ISERROR(VLOOKUP($T$838,'TAR FIN'!$A$1:$O$104,15,0)),0,VLOOKUP($T$838,'TAR FIN'!$A$1:$O$104,15,0))</f>
        <v>226.76</v>
      </c>
      <c r="X838" s="6">
        <f>IF(ISERROR(VLOOKUP($U$838,'TAR FIN'!$A$1:$O$104,15,0)),0,VLOOKUP($U$838,'TAR FIN'!$A$1:$O$104,15,0))</f>
        <v>213.69</v>
      </c>
      <c r="Y838" s="6"/>
      <c r="Z838" s="6">
        <f ca="1">('TUSD BE'!$AM$46+'TUSD BF'!$AM$46+'TUSD CVA'!$AM$46)*(1-CUSTOS!$M$38)</f>
        <v>256.58961565728271</v>
      </c>
      <c r="AA838" s="6">
        <f>('TE BE'!$AB$25+'TE BF'!$AB$25+'TE CVA'!$AB$25)*(1-CUSTOS!$M$38)</f>
        <v>217.85681941272242</v>
      </c>
      <c r="AB838" s="6">
        <f t="shared" si="42"/>
        <v>0</v>
      </c>
      <c r="AC838" s="6">
        <f>(L838*W838+M838*X838)/(1-CUSTOS!$M$38)*CUSTOS!$M$38</f>
        <v>70.846851063829789</v>
      </c>
      <c r="AD838" s="6">
        <f t="shared" si="43"/>
        <v>0</v>
      </c>
      <c r="AE838" s="6">
        <f ca="1">(L838*Z838+N838*AA838)/(1-CUSTOS!$M$38)*CUSTOS!$M$38</f>
        <v>76.315213811260406</v>
      </c>
      <c r="AF838" s="4" t="s">
        <v>998</v>
      </c>
    </row>
    <row r="839" spans="1:32" ht="11.25" customHeight="1" x14ac:dyDescent="0.25">
      <c r="A839" s="4" t="s">
        <v>21</v>
      </c>
      <c r="B839" s="4" t="s">
        <v>44</v>
      </c>
      <c r="C839" s="4" t="s">
        <v>33</v>
      </c>
      <c r="D839" s="4" t="s">
        <v>45</v>
      </c>
      <c r="E839" s="4" t="s">
        <v>25</v>
      </c>
      <c r="F839" s="4" t="s">
        <v>25</v>
      </c>
      <c r="G839" s="4" t="s">
        <v>25</v>
      </c>
      <c r="H839" s="4" t="s">
        <v>36</v>
      </c>
      <c r="I839" s="5">
        <v>44409</v>
      </c>
      <c r="J839" s="6">
        <v>0</v>
      </c>
      <c r="K839" s="6">
        <v>0</v>
      </c>
      <c r="L839" s="6">
        <v>0.43</v>
      </c>
      <c r="M839" s="6">
        <v>0.43</v>
      </c>
      <c r="N839" s="6">
        <v>0.43</v>
      </c>
      <c r="O839" s="6">
        <v>0.43</v>
      </c>
      <c r="P839" s="6">
        <v>0</v>
      </c>
      <c r="Q839" s="4" t="s">
        <v>26</v>
      </c>
      <c r="R839" s="4">
        <v>0</v>
      </c>
      <c r="S839" s="4">
        <v>0</v>
      </c>
      <c r="T839" s="4">
        <v>23</v>
      </c>
      <c r="U839" s="4">
        <v>83</v>
      </c>
      <c r="V839" s="6">
        <f>IF(ISERROR(VLOOKUP($S$839,'TAR FIN'!$A$1:$O$104,15,0)),0,VLOOKUP($S$839,'TAR FIN'!$A$1:$O$104,15,0))</f>
        <v>0</v>
      </c>
      <c r="W839" s="6">
        <f>IF(ISERROR(VLOOKUP($T$839,'TAR FIN'!$A$1:$O$104,15,0)),0,VLOOKUP($T$839,'TAR FIN'!$A$1:$O$104,15,0))</f>
        <v>525.19000000000005</v>
      </c>
      <c r="X839" s="6">
        <f>IF(ISERROR(VLOOKUP($U$839,'TAR FIN'!$A$1:$O$104,15,0)),0,VLOOKUP($U$839,'TAR FIN'!$A$1:$O$104,15,0))</f>
        <v>213.69</v>
      </c>
      <c r="Y839" s="6"/>
      <c r="Z839" s="6">
        <f ca="1">('TUSD BE'!$AM$45+'TUSD BF'!$AM$45+'TUSD CVA'!$AM$45)*(1-CUSTOS!$M$38)</f>
        <v>575.84967768293859</v>
      </c>
      <c r="AA839" s="6">
        <f>('TE BE'!$AB$24+'TE BF'!$AB$24+'TE CVA'!$AB$24)*(1-CUSTOS!$M$38)</f>
        <v>217.85681941272242</v>
      </c>
      <c r="AB839" s="6">
        <f t="shared" si="42"/>
        <v>0</v>
      </c>
      <c r="AC839" s="6">
        <f>(L839*W839+M839*X839)/(1-CUSTOS!$M$38)*CUSTOS!$M$38</f>
        <v>20.279897872340424</v>
      </c>
      <c r="AD839" s="6">
        <f t="shared" si="43"/>
        <v>0</v>
      </c>
      <c r="AE839" s="6">
        <f ca="1">(L839*Z839+N839*AA839)/(1-CUSTOS!$M$38)*CUSTOS!$M$38</f>
        <v>21.784710239434098</v>
      </c>
      <c r="AF839" s="4" t="s">
        <v>998</v>
      </c>
    </row>
    <row r="840" spans="1:32" ht="11.25" customHeight="1" x14ac:dyDescent="0.25">
      <c r="A840" s="4" t="s">
        <v>21</v>
      </c>
      <c r="B840" s="4" t="s">
        <v>44</v>
      </c>
      <c r="C840" s="4" t="s">
        <v>33</v>
      </c>
      <c r="D840" s="4" t="s">
        <v>45</v>
      </c>
      <c r="E840" s="4" t="s">
        <v>25</v>
      </c>
      <c r="F840" s="4" t="s">
        <v>25</v>
      </c>
      <c r="G840" s="4" t="s">
        <v>25</v>
      </c>
      <c r="H840" s="4" t="s">
        <v>36</v>
      </c>
      <c r="I840" s="5">
        <v>44440</v>
      </c>
      <c r="J840" s="6">
        <v>0</v>
      </c>
      <c r="K840" s="6">
        <v>0</v>
      </c>
      <c r="L840" s="6">
        <v>0.36899999999999999</v>
      </c>
      <c r="M840" s="6">
        <v>0.36899999999999999</v>
      </c>
      <c r="N840" s="6">
        <v>0.36899999999999999</v>
      </c>
      <c r="O840" s="6">
        <v>0.36899999999999999</v>
      </c>
      <c r="P840" s="6">
        <v>0</v>
      </c>
      <c r="Q840" s="4" t="s">
        <v>26</v>
      </c>
      <c r="R840" s="4">
        <v>0</v>
      </c>
      <c r="S840" s="4">
        <v>0</v>
      </c>
      <c r="T840" s="4">
        <v>23</v>
      </c>
      <c r="U840" s="4">
        <v>83</v>
      </c>
      <c r="V840" s="6">
        <f>IF(ISERROR(VLOOKUP($S$840,'TAR FIN'!$A$1:$O$104,15,0)),0,VLOOKUP($S$840,'TAR FIN'!$A$1:$O$104,15,0))</f>
        <v>0</v>
      </c>
      <c r="W840" s="6">
        <f>IF(ISERROR(VLOOKUP($T$840,'TAR FIN'!$A$1:$O$104,15,0)),0,VLOOKUP($T$840,'TAR FIN'!$A$1:$O$104,15,0))</f>
        <v>525.19000000000005</v>
      </c>
      <c r="X840" s="6">
        <f>IF(ISERROR(VLOOKUP($U$840,'TAR FIN'!$A$1:$O$104,15,0)),0,VLOOKUP($U$840,'TAR FIN'!$A$1:$O$104,15,0))</f>
        <v>213.69</v>
      </c>
      <c r="Y840" s="6"/>
      <c r="Z840" s="6">
        <f ca="1">('TUSD BE'!$AM$45+'TUSD BF'!$AM$45+'TUSD CVA'!$AM$45)*(1-CUSTOS!$M$38)</f>
        <v>575.84967768293859</v>
      </c>
      <c r="AA840" s="6">
        <f>('TE BE'!$AB$24+'TE BF'!$AB$24+'TE CVA'!$AB$24)*(1-CUSTOS!$M$38)</f>
        <v>217.85681941272242</v>
      </c>
      <c r="AB840" s="6">
        <f t="shared" si="42"/>
        <v>0</v>
      </c>
      <c r="AC840" s="6">
        <f>(L840*W840+M840*X840)/(1-CUSTOS!$M$38)*CUSTOS!$M$38</f>
        <v>17.402982127659577</v>
      </c>
      <c r="AD840" s="6">
        <f t="shared" si="43"/>
        <v>0</v>
      </c>
      <c r="AE840" s="6">
        <f ca="1">(L840*Z840+N840*AA840)/(1-CUSTOS!$M$38)*CUSTOS!$M$38</f>
        <v>18.694321112444612</v>
      </c>
      <c r="AF840" s="4" t="s">
        <v>998</v>
      </c>
    </row>
    <row r="841" spans="1:32" ht="11.25" customHeight="1" x14ac:dyDescent="0.25">
      <c r="A841" s="4" t="s">
        <v>21</v>
      </c>
      <c r="B841" s="4" t="s">
        <v>44</v>
      </c>
      <c r="C841" s="4" t="s">
        <v>33</v>
      </c>
      <c r="D841" s="4" t="s">
        <v>45</v>
      </c>
      <c r="E841" s="4" t="s">
        <v>25</v>
      </c>
      <c r="F841" s="4" t="s">
        <v>25</v>
      </c>
      <c r="G841" s="4" t="s">
        <v>25</v>
      </c>
      <c r="H841" s="4" t="s">
        <v>36</v>
      </c>
      <c r="I841" s="5">
        <v>44470</v>
      </c>
      <c r="J841" s="6">
        <v>0</v>
      </c>
      <c r="K841" s="6">
        <v>0</v>
      </c>
      <c r="L841" s="6">
        <v>0.439</v>
      </c>
      <c r="M841" s="6">
        <v>0.439</v>
      </c>
      <c r="N841" s="6">
        <v>0.439</v>
      </c>
      <c r="O841" s="6">
        <v>0.439</v>
      </c>
      <c r="P841" s="6">
        <v>0</v>
      </c>
      <c r="Q841" s="4" t="s">
        <v>26</v>
      </c>
      <c r="R841" s="4">
        <v>0</v>
      </c>
      <c r="S841" s="4">
        <v>0</v>
      </c>
      <c r="T841" s="4">
        <v>23</v>
      </c>
      <c r="U841" s="4">
        <v>83</v>
      </c>
      <c r="V841" s="6">
        <f>IF(ISERROR(VLOOKUP($S$841,'TAR FIN'!$A$1:$O$104,15,0)),0,VLOOKUP($S$841,'TAR FIN'!$A$1:$O$104,15,0))</f>
        <v>0</v>
      </c>
      <c r="W841" s="6">
        <f>IF(ISERROR(VLOOKUP($T$841,'TAR FIN'!$A$1:$O$104,15,0)),0,VLOOKUP($T$841,'TAR FIN'!$A$1:$O$104,15,0))</f>
        <v>525.19000000000005</v>
      </c>
      <c r="X841" s="6">
        <f>IF(ISERROR(VLOOKUP($U$841,'TAR FIN'!$A$1:$O$104,15,0)),0,VLOOKUP($U$841,'TAR FIN'!$A$1:$O$104,15,0))</f>
        <v>213.69</v>
      </c>
      <c r="Y841" s="6"/>
      <c r="Z841" s="6">
        <f ca="1">('TUSD BE'!$AM$45+'TUSD BF'!$AM$45+'TUSD CVA'!$AM$45)*(1-CUSTOS!$M$38)</f>
        <v>575.84967768293859</v>
      </c>
      <c r="AA841" s="6">
        <f>('TE BE'!$AB$24+'TE BF'!$AB$24+'TE CVA'!$AB$24)*(1-CUSTOS!$M$38)</f>
        <v>217.85681941272242</v>
      </c>
      <c r="AB841" s="6">
        <f t="shared" si="42"/>
        <v>0</v>
      </c>
      <c r="AC841" s="6">
        <f>(L841*W841+M841*X841)/(1-CUSTOS!$M$38)*CUSTOS!$M$38</f>
        <v>20.704360851063832</v>
      </c>
      <c r="AD841" s="6">
        <f t="shared" si="43"/>
        <v>0</v>
      </c>
      <c r="AE841" s="6">
        <f ca="1">(L841*Z841+N841*AA841)/(1-CUSTOS!$M$38)*CUSTOS!$M$38</f>
        <v>22.24066929095714</v>
      </c>
      <c r="AF841" s="4" t="s">
        <v>998</v>
      </c>
    </row>
    <row r="842" spans="1:32" ht="11.25" customHeight="1" x14ac:dyDescent="0.25">
      <c r="A842" s="4" t="s">
        <v>21</v>
      </c>
      <c r="B842" s="4" t="s">
        <v>44</v>
      </c>
      <c r="C842" s="4" t="s">
        <v>33</v>
      </c>
      <c r="D842" s="4" t="s">
        <v>45</v>
      </c>
      <c r="E842" s="4" t="s">
        <v>25</v>
      </c>
      <c r="F842" s="4" t="s">
        <v>25</v>
      </c>
      <c r="G842" s="4" t="s">
        <v>25</v>
      </c>
      <c r="H842" s="4" t="s">
        <v>36</v>
      </c>
      <c r="I842" s="5">
        <v>44501</v>
      </c>
      <c r="J842" s="6">
        <v>0</v>
      </c>
      <c r="K842" s="6">
        <v>0</v>
      </c>
      <c r="L842" s="6">
        <v>0.373</v>
      </c>
      <c r="M842" s="6">
        <v>0.373</v>
      </c>
      <c r="N842" s="6">
        <v>0.373</v>
      </c>
      <c r="O842" s="6">
        <v>0.373</v>
      </c>
      <c r="P842" s="6">
        <v>0</v>
      </c>
      <c r="Q842" s="4" t="s">
        <v>26</v>
      </c>
      <c r="R842" s="4">
        <v>0</v>
      </c>
      <c r="S842" s="4">
        <v>0</v>
      </c>
      <c r="T842" s="4">
        <v>23</v>
      </c>
      <c r="U842" s="4">
        <v>83</v>
      </c>
      <c r="V842" s="6">
        <f>IF(ISERROR(VLOOKUP($S$842,'TAR FIN'!$A$1:$O$104,15,0)),0,VLOOKUP($S$842,'TAR FIN'!$A$1:$O$104,15,0))</f>
        <v>0</v>
      </c>
      <c r="W842" s="6">
        <f>IF(ISERROR(VLOOKUP($T$842,'TAR FIN'!$A$1:$O$104,15,0)),0,VLOOKUP($T$842,'TAR FIN'!$A$1:$O$104,15,0))</f>
        <v>525.19000000000005</v>
      </c>
      <c r="X842" s="6">
        <f>IF(ISERROR(VLOOKUP($U$842,'TAR FIN'!$A$1:$O$104,15,0)),0,VLOOKUP($U$842,'TAR FIN'!$A$1:$O$104,15,0))</f>
        <v>213.69</v>
      </c>
      <c r="Y842" s="6"/>
      <c r="Z842" s="6">
        <f ca="1">('TUSD BE'!$AM$45+'TUSD BF'!$AM$45+'TUSD CVA'!$AM$45)*(1-CUSTOS!$M$38)</f>
        <v>575.84967768293859</v>
      </c>
      <c r="AA842" s="6">
        <f>('TE BE'!$AB$24+'TE BF'!$AB$24+'TE CVA'!$AB$24)*(1-CUSTOS!$M$38)</f>
        <v>217.85681941272242</v>
      </c>
      <c r="AB842" s="6">
        <f t="shared" si="42"/>
        <v>0</v>
      </c>
      <c r="AC842" s="6">
        <f>(L842*W842+M842*X842)/(1-CUSTOS!$M$38)*CUSTOS!$M$38</f>
        <v>17.591632340425537</v>
      </c>
      <c r="AD842" s="6">
        <f t="shared" si="43"/>
        <v>0</v>
      </c>
      <c r="AE842" s="6">
        <f ca="1">(L842*Z842+N842*AA842)/(1-CUSTOS!$M$38)*CUSTOS!$M$38</f>
        <v>18.896969579788184</v>
      </c>
      <c r="AF842" s="4" t="s">
        <v>998</v>
      </c>
    </row>
    <row r="843" spans="1:32" ht="11.25" customHeight="1" x14ac:dyDescent="0.25">
      <c r="A843" s="4" t="s">
        <v>21</v>
      </c>
      <c r="B843" s="4" t="s">
        <v>44</v>
      </c>
      <c r="C843" s="4" t="s">
        <v>33</v>
      </c>
      <c r="D843" s="4" t="s">
        <v>45</v>
      </c>
      <c r="E843" s="4" t="s">
        <v>25</v>
      </c>
      <c r="F843" s="4" t="s">
        <v>25</v>
      </c>
      <c r="G843" s="4" t="s">
        <v>25</v>
      </c>
      <c r="H843" s="4" t="s">
        <v>36</v>
      </c>
      <c r="I843" s="5">
        <v>44531</v>
      </c>
      <c r="J843" s="6">
        <v>0</v>
      </c>
      <c r="K843" s="6">
        <v>0</v>
      </c>
      <c r="L843" s="6">
        <v>0.52800000000000002</v>
      </c>
      <c r="M843" s="6">
        <v>0.52800000000000002</v>
      </c>
      <c r="N843" s="6">
        <v>0.52800000000000002</v>
      </c>
      <c r="O843" s="6">
        <v>0.52800000000000002</v>
      </c>
      <c r="P843" s="6">
        <v>0</v>
      </c>
      <c r="Q843" s="4" t="s">
        <v>26</v>
      </c>
      <c r="R843" s="4">
        <v>0</v>
      </c>
      <c r="S843" s="4">
        <v>0</v>
      </c>
      <c r="T843" s="4">
        <v>23</v>
      </c>
      <c r="U843" s="4">
        <v>83</v>
      </c>
      <c r="V843" s="6">
        <f>IF(ISERROR(VLOOKUP($S$843,'TAR FIN'!$A$1:$O$104,15,0)),0,VLOOKUP($S$843,'TAR FIN'!$A$1:$O$104,15,0))</f>
        <v>0</v>
      </c>
      <c r="W843" s="6">
        <f>IF(ISERROR(VLOOKUP($T$843,'TAR FIN'!$A$1:$O$104,15,0)),0,VLOOKUP($T$843,'TAR FIN'!$A$1:$O$104,15,0))</f>
        <v>525.19000000000005</v>
      </c>
      <c r="X843" s="6">
        <f>IF(ISERROR(VLOOKUP($U$843,'TAR FIN'!$A$1:$O$104,15,0)),0,VLOOKUP($U$843,'TAR FIN'!$A$1:$O$104,15,0))</f>
        <v>213.69</v>
      </c>
      <c r="Y843" s="6"/>
      <c r="Z843" s="6">
        <f ca="1">('TUSD BE'!$AM$45+'TUSD BF'!$AM$45+'TUSD CVA'!$AM$45)*(1-CUSTOS!$M$38)</f>
        <v>575.84967768293859</v>
      </c>
      <c r="AA843" s="6">
        <f>('TE BE'!$AB$24+'TE BF'!$AB$24+'TE CVA'!$AB$24)*(1-CUSTOS!$M$38)</f>
        <v>217.85681941272242</v>
      </c>
      <c r="AB843" s="6">
        <f t="shared" si="42"/>
        <v>0</v>
      </c>
      <c r="AC843" s="6">
        <f>(L843*W843+M843*X843)/(1-CUSTOS!$M$38)*CUSTOS!$M$38</f>
        <v>24.901828085106388</v>
      </c>
      <c r="AD843" s="6">
        <f t="shared" si="43"/>
        <v>0</v>
      </c>
      <c r="AE843" s="6">
        <f ca="1">(L843*Z843+N843*AA843)/(1-CUSTOS!$M$38)*CUSTOS!$M$38</f>
        <v>26.749597689351642</v>
      </c>
      <c r="AF843" s="4" t="s">
        <v>998</v>
      </c>
    </row>
    <row r="844" spans="1:32" ht="11.25" customHeight="1" x14ac:dyDescent="0.25">
      <c r="A844" s="4" t="s">
        <v>21</v>
      </c>
      <c r="B844" s="4" t="s">
        <v>44</v>
      </c>
      <c r="C844" s="4" t="s">
        <v>33</v>
      </c>
      <c r="D844" s="4" t="s">
        <v>45</v>
      </c>
      <c r="E844" s="4" t="s">
        <v>25</v>
      </c>
      <c r="F844" s="4" t="s">
        <v>25</v>
      </c>
      <c r="G844" s="4" t="s">
        <v>25</v>
      </c>
      <c r="H844" s="4" t="s">
        <v>36</v>
      </c>
      <c r="I844" s="5">
        <v>44562</v>
      </c>
      <c r="J844" s="6">
        <v>0</v>
      </c>
      <c r="K844" s="6">
        <v>0</v>
      </c>
      <c r="L844" s="6">
        <v>0.53100000000000003</v>
      </c>
      <c r="M844" s="6">
        <v>0.53100000000000003</v>
      </c>
      <c r="N844" s="6">
        <v>0.53100000000000003</v>
      </c>
      <c r="O844" s="6">
        <v>0.53100000000000003</v>
      </c>
      <c r="P844" s="6">
        <v>0</v>
      </c>
      <c r="Q844" s="4" t="s">
        <v>26</v>
      </c>
      <c r="R844" s="4">
        <v>0</v>
      </c>
      <c r="S844" s="4">
        <v>0</v>
      </c>
      <c r="T844" s="4">
        <v>23</v>
      </c>
      <c r="U844" s="4">
        <v>83</v>
      </c>
      <c r="V844" s="6">
        <f>IF(ISERROR(VLOOKUP($S$844,'TAR FIN'!$A$1:$O$104,15,0)),0,VLOOKUP($S$844,'TAR FIN'!$A$1:$O$104,15,0))</f>
        <v>0</v>
      </c>
      <c r="W844" s="6">
        <f>IF(ISERROR(VLOOKUP($T$844,'TAR FIN'!$A$1:$O$104,15,0)),0,VLOOKUP($T$844,'TAR FIN'!$A$1:$O$104,15,0))</f>
        <v>525.19000000000005</v>
      </c>
      <c r="X844" s="6">
        <f>IF(ISERROR(VLOOKUP($U$844,'TAR FIN'!$A$1:$O$104,15,0)),0,VLOOKUP($U$844,'TAR FIN'!$A$1:$O$104,15,0))</f>
        <v>213.69</v>
      </c>
      <c r="Y844" s="6"/>
      <c r="Z844" s="6">
        <f ca="1">('TUSD BE'!$AM$45+'TUSD BF'!$AM$45+'TUSD CVA'!$AM$45)*(1-CUSTOS!$M$38)</f>
        <v>575.84967768293859</v>
      </c>
      <c r="AA844" s="6">
        <f>('TE BE'!$AB$24+'TE BF'!$AB$24+'TE CVA'!$AB$24)*(1-CUSTOS!$M$38)</f>
        <v>217.85681941272242</v>
      </c>
      <c r="AB844" s="6">
        <f t="shared" si="42"/>
        <v>0</v>
      </c>
      <c r="AC844" s="6">
        <f>(L844*W844+M844*X844)/(1-CUSTOS!$M$38)*CUSTOS!$M$38</f>
        <v>25.04331574468085</v>
      </c>
      <c r="AD844" s="6">
        <f t="shared" si="43"/>
        <v>0</v>
      </c>
      <c r="AE844" s="6">
        <f ca="1">(L844*Z844+N844*AA844)/(1-CUSTOS!$M$38)*CUSTOS!$M$38</f>
        <v>26.901584039859323</v>
      </c>
      <c r="AF844" s="4" t="s">
        <v>998</v>
      </c>
    </row>
    <row r="845" spans="1:32" ht="11.25" customHeight="1" x14ac:dyDescent="0.25">
      <c r="A845" s="4" t="s">
        <v>21</v>
      </c>
      <c r="B845" s="4" t="s">
        <v>44</v>
      </c>
      <c r="C845" s="4" t="s">
        <v>33</v>
      </c>
      <c r="D845" s="4" t="s">
        <v>45</v>
      </c>
      <c r="E845" s="4" t="s">
        <v>25</v>
      </c>
      <c r="F845" s="4" t="s">
        <v>25</v>
      </c>
      <c r="G845" s="4" t="s">
        <v>25</v>
      </c>
      <c r="H845" s="4" t="s">
        <v>36</v>
      </c>
      <c r="I845" s="5">
        <v>44593</v>
      </c>
      <c r="J845" s="6">
        <v>0</v>
      </c>
      <c r="K845" s="6">
        <v>0</v>
      </c>
      <c r="L845" s="6">
        <v>0.34799999999999998</v>
      </c>
      <c r="M845" s="6">
        <v>0.34799999999999998</v>
      </c>
      <c r="N845" s="6">
        <v>0.34799999999999998</v>
      </c>
      <c r="O845" s="6">
        <v>0.34799999999999998</v>
      </c>
      <c r="P845" s="6">
        <v>0</v>
      </c>
      <c r="Q845" s="4" t="s">
        <v>26</v>
      </c>
      <c r="R845" s="4">
        <v>0</v>
      </c>
      <c r="S845" s="4">
        <v>0</v>
      </c>
      <c r="T845" s="4">
        <v>23</v>
      </c>
      <c r="U845" s="4">
        <v>83</v>
      </c>
      <c r="V845" s="6">
        <f>IF(ISERROR(VLOOKUP($S$845,'TAR FIN'!$A$1:$O$104,15,0)),0,VLOOKUP($S$845,'TAR FIN'!$A$1:$O$104,15,0))</f>
        <v>0</v>
      </c>
      <c r="W845" s="6">
        <f>IF(ISERROR(VLOOKUP($T$845,'TAR FIN'!$A$1:$O$104,15,0)),0,VLOOKUP($T$845,'TAR FIN'!$A$1:$O$104,15,0))</f>
        <v>525.19000000000005</v>
      </c>
      <c r="X845" s="6">
        <f>IF(ISERROR(VLOOKUP($U$845,'TAR FIN'!$A$1:$O$104,15,0)),0,VLOOKUP($U$845,'TAR FIN'!$A$1:$O$104,15,0))</f>
        <v>213.69</v>
      </c>
      <c r="Y845" s="6"/>
      <c r="Z845" s="6">
        <f ca="1">('TUSD BE'!$AM$45+'TUSD BF'!$AM$45+'TUSD CVA'!$AM$45)*(1-CUSTOS!$M$38)</f>
        <v>575.84967768293859</v>
      </c>
      <c r="AA845" s="6">
        <f>('TE BE'!$AB$24+'TE BF'!$AB$24+'TE CVA'!$AB$24)*(1-CUSTOS!$M$38)</f>
        <v>217.85681941272242</v>
      </c>
      <c r="AB845" s="6">
        <f t="shared" si="42"/>
        <v>0</v>
      </c>
      <c r="AC845" s="6">
        <f>(L845*W845+M845*X845)/(1-CUSTOS!$M$38)*CUSTOS!$M$38</f>
        <v>16.412568510638298</v>
      </c>
      <c r="AD845" s="6">
        <f t="shared" si="43"/>
        <v>0</v>
      </c>
      <c r="AE845" s="6">
        <f ca="1">(L845*Z845+N845*AA845)/(1-CUSTOS!$M$38)*CUSTOS!$M$38</f>
        <v>17.630416658890852</v>
      </c>
      <c r="AF845" s="4" t="s">
        <v>998</v>
      </c>
    </row>
    <row r="846" spans="1:32" ht="11.25" customHeight="1" x14ac:dyDescent="0.25">
      <c r="A846" s="4" t="s">
        <v>21</v>
      </c>
      <c r="B846" s="4" t="s">
        <v>44</v>
      </c>
      <c r="C846" s="4" t="s">
        <v>33</v>
      </c>
      <c r="D846" s="4" t="s">
        <v>45</v>
      </c>
      <c r="E846" s="4" t="s">
        <v>25</v>
      </c>
      <c r="F846" s="4" t="s">
        <v>25</v>
      </c>
      <c r="G846" s="4" t="s">
        <v>25</v>
      </c>
      <c r="H846" s="4" t="s">
        <v>36</v>
      </c>
      <c r="I846" s="5">
        <v>44621</v>
      </c>
      <c r="J846" s="6">
        <v>0</v>
      </c>
      <c r="K846" s="6">
        <v>0</v>
      </c>
      <c r="L846" s="6">
        <v>0.16300000000000001</v>
      </c>
      <c r="M846" s="6">
        <v>0.16300000000000001</v>
      </c>
      <c r="N846" s="6">
        <v>0.16300000000000001</v>
      </c>
      <c r="O846" s="6">
        <v>0.16300000000000001</v>
      </c>
      <c r="P846" s="6">
        <v>0</v>
      </c>
      <c r="Q846" s="4" t="s">
        <v>26</v>
      </c>
      <c r="R846" s="4">
        <v>0</v>
      </c>
      <c r="S846" s="4">
        <v>0</v>
      </c>
      <c r="T846" s="4">
        <v>23</v>
      </c>
      <c r="U846" s="4">
        <v>83</v>
      </c>
      <c r="V846" s="6">
        <f>IF(ISERROR(VLOOKUP($S$846,'TAR FIN'!$A$1:$O$104,15,0)),0,VLOOKUP($S$846,'TAR FIN'!$A$1:$O$104,15,0))</f>
        <v>0</v>
      </c>
      <c r="W846" s="6">
        <f>IF(ISERROR(VLOOKUP($T$846,'TAR FIN'!$A$1:$O$104,15,0)),0,VLOOKUP($T$846,'TAR FIN'!$A$1:$O$104,15,0))</f>
        <v>525.19000000000005</v>
      </c>
      <c r="X846" s="6">
        <f>IF(ISERROR(VLOOKUP($U$846,'TAR FIN'!$A$1:$O$104,15,0)),0,VLOOKUP($U$846,'TAR FIN'!$A$1:$O$104,15,0))</f>
        <v>213.69</v>
      </c>
      <c r="Y846" s="6"/>
      <c r="Z846" s="6">
        <f ca="1">('TUSD BE'!$AM$45+'TUSD BF'!$AM$45+'TUSD CVA'!$AM$45)*(1-CUSTOS!$M$38)</f>
        <v>575.84967768293859</v>
      </c>
      <c r="AA846" s="6">
        <f>('TE BE'!$AB$24+'TE BF'!$AB$24+'TE CVA'!$AB$24)*(1-CUSTOS!$M$38)</f>
        <v>217.85681941272242</v>
      </c>
      <c r="AB846" s="6">
        <f t="shared" si="42"/>
        <v>0</v>
      </c>
      <c r="AC846" s="6">
        <f>(L846*W846+M846*X846)/(1-CUSTOS!$M$38)*CUSTOS!$M$38</f>
        <v>7.687496170212766</v>
      </c>
      <c r="AD846" s="6">
        <f t="shared" si="43"/>
        <v>0</v>
      </c>
      <c r="AE846" s="6">
        <f ca="1">(L846*Z846+N846*AA846)/(1-CUSTOS!$M$38)*CUSTOS!$M$38</f>
        <v>8.2579250442505998</v>
      </c>
      <c r="AF846" s="4" t="s">
        <v>998</v>
      </c>
    </row>
    <row r="847" spans="1:32" ht="11.25" customHeight="1" x14ac:dyDescent="0.25">
      <c r="A847" s="4" t="s">
        <v>21</v>
      </c>
      <c r="B847" s="4" t="s">
        <v>44</v>
      </c>
      <c r="C847" s="4" t="s">
        <v>33</v>
      </c>
      <c r="D847" s="4" t="s">
        <v>45</v>
      </c>
      <c r="E847" s="4" t="s">
        <v>25</v>
      </c>
      <c r="F847" s="4" t="s">
        <v>25</v>
      </c>
      <c r="G847" s="4" t="s">
        <v>25</v>
      </c>
      <c r="H847" s="4" t="s">
        <v>36</v>
      </c>
      <c r="I847" s="5">
        <v>44652</v>
      </c>
      <c r="J847" s="6">
        <v>0</v>
      </c>
      <c r="K847" s="6">
        <v>0</v>
      </c>
      <c r="L847" s="6">
        <v>0.14199999999999999</v>
      </c>
      <c r="M847" s="6">
        <v>0.14199999999999999</v>
      </c>
      <c r="N847" s="6">
        <v>0.14199999999999999</v>
      </c>
      <c r="O847" s="6">
        <v>0.14199999999999999</v>
      </c>
      <c r="P847" s="6">
        <v>0</v>
      </c>
      <c r="Q847" s="4" t="s">
        <v>26</v>
      </c>
      <c r="R847" s="4">
        <v>0</v>
      </c>
      <c r="S847" s="4">
        <v>0</v>
      </c>
      <c r="T847" s="4">
        <v>23</v>
      </c>
      <c r="U847" s="4">
        <v>83</v>
      </c>
      <c r="V847" s="6">
        <f>IF(ISERROR(VLOOKUP($S$847,'TAR FIN'!$A$1:$O$104,15,0)),0,VLOOKUP($S$847,'TAR FIN'!$A$1:$O$104,15,0))</f>
        <v>0</v>
      </c>
      <c r="W847" s="6">
        <f>IF(ISERROR(VLOOKUP($T$847,'TAR FIN'!$A$1:$O$104,15,0)),0,VLOOKUP($T$847,'TAR FIN'!$A$1:$O$104,15,0))</f>
        <v>525.19000000000005</v>
      </c>
      <c r="X847" s="6">
        <f>IF(ISERROR(VLOOKUP($U$847,'TAR FIN'!$A$1:$O$104,15,0)),0,VLOOKUP($U$847,'TAR FIN'!$A$1:$O$104,15,0))</f>
        <v>213.69</v>
      </c>
      <c r="Y847" s="6"/>
      <c r="Z847" s="6">
        <f ca="1">('TUSD BE'!$AM$45+'TUSD BF'!$AM$45+'TUSD CVA'!$AM$45)*(1-CUSTOS!$M$38)</f>
        <v>575.84967768293859</v>
      </c>
      <c r="AA847" s="6">
        <f>('TE BE'!$AB$24+'TE BF'!$AB$24+'TE CVA'!$AB$24)*(1-CUSTOS!$M$38)</f>
        <v>217.85681941272242</v>
      </c>
      <c r="AB847" s="6">
        <f t="shared" si="42"/>
        <v>0</v>
      </c>
      <c r="AC847" s="6">
        <f>(L847*W847+M847*X847)/(1-CUSTOS!$M$38)*CUSTOS!$M$38</f>
        <v>6.6970825531914899</v>
      </c>
      <c r="AD847" s="6">
        <f t="shared" si="43"/>
        <v>0</v>
      </c>
      <c r="AE847" s="6">
        <f ca="1">(L847*Z847+N847*AA847)/(1-CUSTOS!$M$38)*CUSTOS!$M$38</f>
        <v>7.1940205906968417</v>
      </c>
      <c r="AF847" s="4" t="s">
        <v>998</v>
      </c>
    </row>
    <row r="848" spans="1:32" ht="11.25" customHeight="1" x14ac:dyDescent="0.25">
      <c r="A848" s="4" t="s">
        <v>21</v>
      </c>
      <c r="B848" s="4" t="s">
        <v>44</v>
      </c>
      <c r="C848" s="4" t="s">
        <v>33</v>
      </c>
      <c r="D848" s="4" t="s">
        <v>45</v>
      </c>
      <c r="E848" s="4" t="s">
        <v>25</v>
      </c>
      <c r="F848" s="4" t="s">
        <v>25</v>
      </c>
      <c r="G848" s="4" t="s">
        <v>25</v>
      </c>
      <c r="H848" s="4" t="s">
        <v>36</v>
      </c>
      <c r="I848" s="5">
        <v>44682</v>
      </c>
      <c r="J848" s="6">
        <v>0</v>
      </c>
      <c r="K848" s="6">
        <v>0</v>
      </c>
      <c r="L848" s="6">
        <v>0.154</v>
      </c>
      <c r="M848" s="6">
        <v>0.154</v>
      </c>
      <c r="N848" s="6">
        <v>0.154</v>
      </c>
      <c r="O848" s="6">
        <v>0.154</v>
      </c>
      <c r="P848" s="6">
        <v>0</v>
      </c>
      <c r="Q848" s="4" t="s">
        <v>26</v>
      </c>
      <c r="R848" s="4">
        <v>0</v>
      </c>
      <c r="S848" s="4">
        <v>0</v>
      </c>
      <c r="T848" s="4">
        <v>23</v>
      </c>
      <c r="U848" s="4">
        <v>83</v>
      </c>
      <c r="V848" s="6">
        <f>IF(ISERROR(VLOOKUP($S$848,'TAR FIN'!$A$1:$O$104,15,0)),0,VLOOKUP($S$848,'TAR FIN'!$A$1:$O$104,15,0))</f>
        <v>0</v>
      </c>
      <c r="W848" s="6">
        <f>IF(ISERROR(VLOOKUP($T$848,'TAR FIN'!$A$1:$O$104,15,0)),0,VLOOKUP($T$848,'TAR FIN'!$A$1:$O$104,15,0))</f>
        <v>525.19000000000005</v>
      </c>
      <c r="X848" s="6">
        <f>IF(ISERROR(VLOOKUP($U$848,'TAR FIN'!$A$1:$O$104,15,0)),0,VLOOKUP($U$848,'TAR FIN'!$A$1:$O$104,15,0))</f>
        <v>213.69</v>
      </c>
      <c r="Y848" s="6"/>
      <c r="Z848" s="6">
        <f ca="1">('TUSD BE'!$AM$45+'TUSD BF'!$AM$45+'TUSD CVA'!$AM$45)*(1-CUSTOS!$M$38)</f>
        <v>575.84967768293859</v>
      </c>
      <c r="AA848" s="6">
        <f>('TE BE'!$AB$24+'TE BF'!$AB$24+'TE CVA'!$AB$24)*(1-CUSTOS!$M$38)</f>
        <v>217.85681941272242</v>
      </c>
      <c r="AB848" s="6">
        <f t="shared" si="42"/>
        <v>0</v>
      </c>
      <c r="AC848" s="6">
        <f>(L848*W848+M848*X848)/(1-CUSTOS!$M$38)*CUSTOS!$M$38</f>
        <v>7.2630331914893622</v>
      </c>
      <c r="AD848" s="6">
        <f t="shared" si="43"/>
        <v>0</v>
      </c>
      <c r="AE848" s="6">
        <f ca="1">(L848*Z848+N848*AA848)/(1-CUSTOS!$M$38)*CUSTOS!$M$38</f>
        <v>7.8019659927275615</v>
      </c>
      <c r="AF848" s="4" t="s">
        <v>998</v>
      </c>
    </row>
    <row r="849" spans="1:32" ht="11.25" customHeight="1" x14ac:dyDescent="0.25">
      <c r="A849" s="4" t="s">
        <v>21</v>
      </c>
      <c r="B849" s="4" t="s">
        <v>44</v>
      </c>
      <c r="C849" s="4" t="s">
        <v>33</v>
      </c>
      <c r="D849" s="4" t="s">
        <v>45</v>
      </c>
      <c r="E849" s="4" t="s">
        <v>25</v>
      </c>
      <c r="F849" s="4" t="s">
        <v>25</v>
      </c>
      <c r="G849" s="4" t="s">
        <v>25</v>
      </c>
      <c r="H849" s="4" t="s">
        <v>36</v>
      </c>
      <c r="I849" s="5">
        <v>44713</v>
      </c>
      <c r="J849" s="6">
        <v>0</v>
      </c>
      <c r="K849" s="6">
        <v>0</v>
      </c>
      <c r="L849" s="6">
        <v>0.14000000000000001</v>
      </c>
      <c r="M849" s="6">
        <v>0.14000000000000001</v>
      </c>
      <c r="N849" s="6">
        <v>0.14000000000000001</v>
      </c>
      <c r="O849" s="6">
        <v>0.14000000000000001</v>
      </c>
      <c r="P849" s="6">
        <v>0</v>
      </c>
      <c r="Q849" s="4" t="s">
        <v>26</v>
      </c>
      <c r="R849" s="4">
        <v>0</v>
      </c>
      <c r="S849" s="4">
        <v>0</v>
      </c>
      <c r="T849" s="4">
        <v>23</v>
      </c>
      <c r="U849" s="4">
        <v>83</v>
      </c>
      <c r="V849" s="6">
        <f>IF(ISERROR(VLOOKUP($S$849,'TAR FIN'!$A$1:$O$104,15,0)),0,VLOOKUP($S$849,'TAR FIN'!$A$1:$O$104,15,0))</f>
        <v>0</v>
      </c>
      <c r="W849" s="6">
        <f>IF(ISERROR(VLOOKUP($T$849,'TAR FIN'!$A$1:$O$104,15,0)),0,VLOOKUP($T$849,'TAR FIN'!$A$1:$O$104,15,0))</f>
        <v>525.19000000000005</v>
      </c>
      <c r="X849" s="6">
        <f>IF(ISERROR(VLOOKUP($U$849,'TAR FIN'!$A$1:$O$104,15,0)),0,VLOOKUP($U$849,'TAR FIN'!$A$1:$O$104,15,0))</f>
        <v>213.69</v>
      </c>
      <c r="Y849" s="6"/>
      <c r="Z849" s="6">
        <f ca="1">('TUSD BE'!$AM$45+'TUSD BF'!$AM$45+'TUSD CVA'!$AM$45)*(1-CUSTOS!$M$38)</f>
        <v>575.84967768293859</v>
      </c>
      <c r="AA849" s="6">
        <f>('TE BE'!$AB$24+'TE BF'!$AB$24+'TE CVA'!$AB$24)*(1-CUSTOS!$M$38)</f>
        <v>217.85681941272242</v>
      </c>
      <c r="AB849" s="6">
        <f t="shared" si="42"/>
        <v>0</v>
      </c>
      <c r="AC849" s="6">
        <f>(L849*W849+M849*X849)/(1-CUSTOS!$M$38)*CUSTOS!$M$38</f>
        <v>6.6027574468085124</v>
      </c>
      <c r="AD849" s="6">
        <f t="shared" si="43"/>
        <v>0</v>
      </c>
      <c r="AE849" s="6">
        <f ca="1">(L849*Z849+N849*AA849)/(1-CUSTOS!$M$38)*CUSTOS!$M$38</f>
        <v>7.0926963570250559</v>
      </c>
      <c r="AF849" s="4" t="s">
        <v>998</v>
      </c>
    </row>
    <row r="850" spans="1:32" ht="11.25" customHeight="1" x14ac:dyDescent="0.25">
      <c r="A850" s="4" t="s">
        <v>57</v>
      </c>
      <c r="B850" s="4" t="s">
        <v>44</v>
      </c>
      <c r="C850" s="4" t="s">
        <v>33</v>
      </c>
      <c r="D850" s="4" t="s">
        <v>45</v>
      </c>
      <c r="E850" s="4" t="s">
        <v>25</v>
      </c>
      <c r="F850" s="4" t="s">
        <v>25</v>
      </c>
      <c r="G850" s="4" t="s">
        <v>25</v>
      </c>
      <c r="H850" s="4" t="s">
        <v>36</v>
      </c>
      <c r="I850" s="5">
        <v>44743</v>
      </c>
      <c r="J850" s="6">
        <v>0</v>
      </c>
      <c r="K850" s="6">
        <v>0</v>
      </c>
      <c r="L850" s="6">
        <v>0.14000000000000001</v>
      </c>
      <c r="M850" s="6">
        <v>0.14000000000000001</v>
      </c>
      <c r="N850" s="6">
        <v>0.14000000000000001</v>
      </c>
      <c r="O850" s="6">
        <v>0.14000000000000001</v>
      </c>
      <c r="P850" s="6">
        <v>0</v>
      </c>
      <c r="Q850" s="4" t="s">
        <v>26</v>
      </c>
      <c r="R850" s="4">
        <v>0</v>
      </c>
      <c r="S850" s="4">
        <v>0</v>
      </c>
      <c r="T850" s="4">
        <v>23</v>
      </c>
      <c r="U850" s="4">
        <v>83</v>
      </c>
      <c r="V850" s="6">
        <f>IF(ISERROR(VLOOKUP($S$850,'TAR FIN'!$A$1:$O$104,15,0)),0,VLOOKUP($S$850,'TAR FIN'!$A$1:$O$104,15,0))</f>
        <v>0</v>
      </c>
      <c r="W850" s="6">
        <f>IF(ISERROR(VLOOKUP($T$850,'TAR FIN'!$A$1:$O$104,15,0)),0,VLOOKUP($T$850,'TAR FIN'!$A$1:$O$104,15,0))</f>
        <v>525.19000000000005</v>
      </c>
      <c r="X850" s="6">
        <f>IF(ISERROR(VLOOKUP($U$850,'TAR FIN'!$A$1:$O$104,15,0)),0,VLOOKUP($U$850,'TAR FIN'!$A$1:$O$104,15,0))</f>
        <v>213.69</v>
      </c>
      <c r="Y850" s="6"/>
      <c r="Z850" s="6">
        <f ca="1">('TUSD BE'!$AM$45+'TUSD BF'!$AM$45+'TUSD CVA'!$AM$45)*(1-CUSTOS!$M$38)</f>
        <v>575.84967768293859</v>
      </c>
      <c r="AA850" s="6">
        <f>('TE BE'!$AB$24+'TE BF'!$AB$24+'TE CVA'!$AB$24)*(1-CUSTOS!$M$38)</f>
        <v>217.85681941272242</v>
      </c>
      <c r="AB850" s="6">
        <f t="shared" si="42"/>
        <v>0</v>
      </c>
      <c r="AC850" s="6">
        <f>(L850*W850+M850*X850)/(1-CUSTOS!$M$38)*CUSTOS!$M$38</f>
        <v>6.6027574468085124</v>
      </c>
      <c r="AD850" s="6">
        <f t="shared" si="43"/>
        <v>0</v>
      </c>
      <c r="AE850" s="6">
        <f ca="1">(L850*Z850+N850*AA850)/(1-CUSTOS!$M$38)*CUSTOS!$M$38</f>
        <v>7.0926963570250559</v>
      </c>
      <c r="AF850" s="4" t="s">
        <v>998</v>
      </c>
    </row>
    <row r="851" spans="1:32" ht="11.25" customHeight="1" x14ac:dyDescent="0.25">
      <c r="A851" s="4" t="s">
        <v>21</v>
      </c>
      <c r="B851" s="4" t="s">
        <v>44</v>
      </c>
      <c r="C851" s="4" t="s">
        <v>33</v>
      </c>
      <c r="D851" s="4" t="s">
        <v>45</v>
      </c>
      <c r="E851" s="4" t="s">
        <v>25</v>
      </c>
      <c r="F851" s="4" t="s">
        <v>25</v>
      </c>
      <c r="G851" s="4" t="s">
        <v>25</v>
      </c>
      <c r="H851" s="4" t="s">
        <v>34</v>
      </c>
      <c r="I851" s="5">
        <v>44409</v>
      </c>
      <c r="J851" s="6">
        <v>0</v>
      </c>
      <c r="K851" s="6">
        <v>0</v>
      </c>
      <c r="L851" s="6">
        <v>0.37</v>
      </c>
      <c r="M851" s="6">
        <v>0.37</v>
      </c>
      <c r="N851" s="6">
        <v>0.37</v>
      </c>
      <c r="O851" s="6">
        <v>0.37</v>
      </c>
      <c r="P851" s="6">
        <v>0</v>
      </c>
      <c r="Q851" s="4" t="s">
        <v>26</v>
      </c>
      <c r="R851" s="4">
        <v>0</v>
      </c>
      <c r="S851" s="4">
        <v>0</v>
      </c>
      <c r="T851" s="4">
        <v>21</v>
      </c>
      <c r="U851" s="4">
        <v>82</v>
      </c>
      <c r="V851" s="6">
        <f>IF(ISERROR(VLOOKUP($S$851,'TAR FIN'!$A$1:$O$104,15,0)),0,VLOOKUP($S$851,'TAR FIN'!$A$1:$O$104,15,0))</f>
        <v>0</v>
      </c>
      <c r="W851" s="6">
        <f>IF(ISERROR(VLOOKUP($T$851,'TAR FIN'!$A$1:$O$104,15,0)),0,VLOOKUP($T$851,'TAR FIN'!$A$1:$O$104,15,0))</f>
        <v>823.61</v>
      </c>
      <c r="X851" s="6">
        <f>IF(ISERROR(VLOOKUP($U$851,'TAR FIN'!$A$1:$O$104,15,0)),0,VLOOKUP($U$851,'TAR FIN'!$A$1:$O$104,15,0))</f>
        <v>349.91</v>
      </c>
      <c r="Y851" s="6"/>
      <c r="Z851" s="6">
        <f ca="1">('TUSD BE'!$AM$44+'TUSD BF'!$AM$44+'TUSD CVA'!$AM$44)*(1-CUSTOS!$M$38)</f>
        <v>895.10942436703249</v>
      </c>
      <c r="AA851" s="6">
        <f>('TE BE'!$AB$23+'TE BF'!$AB$23+'TE CVA'!$AB$23)*(1-CUSTOS!$M$38)</f>
        <v>338.64467436313089</v>
      </c>
      <c r="AB851" s="6">
        <f t="shared" si="42"/>
        <v>0</v>
      </c>
      <c r="AC851" s="6">
        <f>(L851*W851+M851*X851)/(1-CUSTOS!$M$38)*CUSTOS!$M$38</f>
        <v>27.715046808510643</v>
      </c>
      <c r="AD851" s="6">
        <f t="shared" si="43"/>
        <v>0</v>
      </c>
      <c r="AE851" s="6">
        <f ca="1">(L851*Z851+N851*AA851)/(1-CUSTOS!$M$38)*CUSTOS!$M$38</f>
        <v>29.137596799797478</v>
      </c>
      <c r="AF851" s="4" t="s">
        <v>998</v>
      </c>
    </row>
    <row r="852" spans="1:32" ht="11.25" customHeight="1" x14ac:dyDescent="0.25">
      <c r="A852" s="4" t="s">
        <v>21</v>
      </c>
      <c r="B852" s="4" t="s">
        <v>44</v>
      </c>
      <c r="C852" s="4" t="s">
        <v>33</v>
      </c>
      <c r="D852" s="4" t="s">
        <v>45</v>
      </c>
      <c r="E852" s="4" t="s">
        <v>25</v>
      </c>
      <c r="F852" s="4" t="s">
        <v>25</v>
      </c>
      <c r="G852" s="4" t="s">
        <v>25</v>
      </c>
      <c r="H852" s="4" t="s">
        <v>34</v>
      </c>
      <c r="I852" s="5">
        <v>44440</v>
      </c>
      <c r="J852" s="6">
        <v>0</v>
      </c>
      <c r="K852" s="6">
        <v>0</v>
      </c>
      <c r="L852" s="6">
        <v>0.30399999999999999</v>
      </c>
      <c r="M852" s="6">
        <v>0.30399999999999999</v>
      </c>
      <c r="N852" s="6">
        <v>0.30399999999999999</v>
      </c>
      <c r="O852" s="6">
        <v>0.30399999999999999</v>
      </c>
      <c r="P852" s="6">
        <v>0</v>
      </c>
      <c r="Q852" s="4" t="s">
        <v>26</v>
      </c>
      <c r="R852" s="4">
        <v>0</v>
      </c>
      <c r="S852" s="4">
        <v>0</v>
      </c>
      <c r="T852" s="4">
        <v>21</v>
      </c>
      <c r="U852" s="4">
        <v>82</v>
      </c>
      <c r="V852" s="6">
        <f>IF(ISERROR(VLOOKUP($S$852,'TAR FIN'!$A$1:$O$104,15,0)),0,VLOOKUP($S$852,'TAR FIN'!$A$1:$O$104,15,0))</f>
        <v>0</v>
      </c>
      <c r="W852" s="6">
        <f>IF(ISERROR(VLOOKUP($T$852,'TAR FIN'!$A$1:$O$104,15,0)),0,VLOOKUP($T$852,'TAR FIN'!$A$1:$O$104,15,0))</f>
        <v>823.61</v>
      </c>
      <c r="X852" s="6">
        <f>IF(ISERROR(VLOOKUP($U$852,'TAR FIN'!$A$1:$O$104,15,0)),0,VLOOKUP($U$852,'TAR FIN'!$A$1:$O$104,15,0))</f>
        <v>349.91</v>
      </c>
      <c r="Y852" s="6"/>
      <c r="Z852" s="6">
        <f ca="1">('TUSD BE'!$AM$44+'TUSD BF'!$AM$44+'TUSD CVA'!$AM$44)*(1-CUSTOS!$M$38)</f>
        <v>895.10942436703249</v>
      </c>
      <c r="AA852" s="6">
        <f>('TE BE'!$AB$23+'TE BF'!$AB$23+'TE CVA'!$AB$23)*(1-CUSTOS!$M$38)</f>
        <v>338.64467436313089</v>
      </c>
      <c r="AB852" s="6">
        <f t="shared" si="42"/>
        <v>0</v>
      </c>
      <c r="AC852" s="6">
        <f>(L852*W852+M852*X852)/(1-CUSTOS!$M$38)*CUSTOS!$M$38</f>
        <v>22.771281702127663</v>
      </c>
      <c r="AD852" s="6">
        <f t="shared" si="43"/>
        <v>0</v>
      </c>
      <c r="AE852" s="6">
        <f ca="1">(L852*Z852+N852*AA852)/(1-CUSTOS!$M$38)*CUSTOS!$M$38</f>
        <v>23.940079532806571</v>
      </c>
      <c r="AF852" s="4" t="s">
        <v>998</v>
      </c>
    </row>
    <row r="853" spans="1:32" ht="11.25" customHeight="1" x14ac:dyDescent="0.25">
      <c r="A853" s="4" t="s">
        <v>21</v>
      </c>
      <c r="B853" s="4" t="s">
        <v>44</v>
      </c>
      <c r="C853" s="4" t="s">
        <v>33</v>
      </c>
      <c r="D853" s="4" t="s">
        <v>45</v>
      </c>
      <c r="E853" s="4" t="s">
        <v>25</v>
      </c>
      <c r="F853" s="4" t="s">
        <v>25</v>
      </c>
      <c r="G853" s="4" t="s">
        <v>25</v>
      </c>
      <c r="H853" s="4" t="s">
        <v>34</v>
      </c>
      <c r="I853" s="5">
        <v>44470</v>
      </c>
      <c r="J853" s="6">
        <v>0</v>
      </c>
      <c r="K853" s="6">
        <v>0</v>
      </c>
      <c r="L853" s="6">
        <v>0.36799999999999999</v>
      </c>
      <c r="M853" s="6">
        <v>0.36799999999999999</v>
      </c>
      <c r="N853" s="6">
        <v>0.36799999999999999</v>
      </c>
      <c r="O853" s="6">
        <v>0.36799999999999999</v>
      </c>
      <c r="P853" s="6">
        <v>0</v>
      </c>
      <c r="Q853" s="4" t="s">
        <v>26</v>
      </c>
      <c r="R853" s="4">
        <v>0</v>
      </c>
      <c r="S853" s="4">
        <v>0</v>
      </c>
      <c r="T853" s="4">
        <v>21</v>
      </c>
      <c r="U853" s="4">
        <v>82</v>
      </c>
      <c r="V853" s="6">
        <f>IF(ISERROR(VLOOKUP($S$853,'TAR FIN'!$A$1:$O$104,15,0)),0,VLOOKUP($S$853,'TAR FIN'!$A$1:$O$104,15,0))</f>
        <v>0</v>
      </c>
      <c r="W853" s="6">
        <f>IF(ISERROR(VLOOKUP($T$853,'TAR FIN'!$A$1:$O$104,15,0)),0,VLOOKUP($T$853,'TAR FIN'!$A$1:$O$104,15,0))</f>
        <v>823.61</v>
      </c>
      <c r="X853" s="6">
        <f>IF(ISERROR(VLOOKUP($U$853,'TAR FIN'!$A$1:$O$104,15,0)),0,VLOOKUP($U$853,'TAR FIN'!$A$1:$O$104,15,0))</f>
        <v>349.91</v>
      </c>
      <c r="Y853" s="6"/>
      <c r="Z853" s="6">
        <f ca="1">('TUSD BE'!$AM$44+'TUSD BF'!$AM$44+'TUSD CVA'!$AM$44)*(1-CUSTOS!$M$38)</f>
        <v>895.10942436703249</v>
      </c>
      <c r="AA853" s="6">
        <f>('TE BE'!$AB$23+'TE BF'!$AB$23+'TE CVA'!$AB$23)*(1-CUSTOS!$M$38)</f>
        <v>338.64467436313089</v>
      </c>
      <c r="AB853" s="6">
        <f t="shared" si="42"/>
        <v>0</v>
      </c>
      <c r="AC853" s="6">
        <f>(L853*W853+M853*X853)/(1-CUSTOS!$M$38)*CUSTOS!$M$38</f>
        <v>27.565235744680852</v>
      </c>
      <c r="AD853" s="6">
        <f t="shared" si="43"/>
        <v>0</v>
      </c>
      <c r="AE853" s="6">
        <f ca="1">(L853*Z853+N853*AA853)/(1-CUSTOS!$M$38)*CUSTOS!$M$38</f>
        <v>28.980096276555329</v>
      </c>
      <c r="AF853" s="4" t="s">
        <v>998</v>
      </c>
    </row>
    <row r="854" spans="1:32" ht="11.25" customHeight="1" x14ac:dyDescent="0.25">
      <c r="A854" s="4" t="s">
        <v>21</v>
      </c>
      <c r="B854" s="4" t="s">
        <v>44</v>
      </c>
      <c r="C854" s="4" t="s">
        <v>33</v>
      </c>
      <c r="D854" s="4" t="s">
        <v>45</v>
      </c>
      <c r="E854" s="4" t="s">
        <v>25</v>
      </c>
      <c r="F854" s="4" t="s">
        <v>25</v>
      </c>
      <c r="G854" s="4" t="s">
        <v>25</v>
      </c>
      <c r="H854" s="4" t="s">
        <v>34</v>
      </c>
      <c r="I854" s="5">
        <v>44501</v>
      </c>
      <c r="J854" s="6">
        <v>0</v>
      </c>
      <c r="K854" s="6">
        <v>0</v>
      </c>
      <c r="L854" s="6">
        <v>0.36699999999999999</v>
      </c>
      <c r="M854" s="6">
        <v>0.36699999999999999</v>
      </c>
      <c r="N854" s="6">
        <v>0.36699999999999999</v>
      </c>
      <c r="O854" s="6">
        <v>0.36699999999999999</v>
      </c>
      <c r="P854" s="6">
        <v>0</v>
      </c>
      <c r="Q854" s="4" t="s">
        <v>26</v>
      </c>
      <c r="R854" s="4">
        <v>0</v>
      </c>
      <c r="S854" s="4">
        <v>0</v>
      </c>
      <c r="T854" s="4">
        <v>21</v>
      </c>
      <c r="U854" s="4">
        <v>82</v>
      </c>
      <c r="V854" s="6">
        <f>IF(ISERROR(VLOOKUP($S$854,'TAR FIN'!$A$1:$O$104,15,0)),0,VLOOKUP($S$854,'TAR FIN'!$A$1:$O$104,15,0))</f>
        <v>0</v>
      </c>
      <c r="W854" s="6">
        <f>IF(ISERROR(VLOOKUP($T$854,'TAR FIN'!$A$1:$O$104,15,0)),0,VLOOKUP($T$854,'TAR FIN'!$A$1:$O$104,15,0))</f>
        <v>823.61</v>
      </c>
      <c r="X854" s="6">
        <f>IF(ISERROR(VLOOKUP($U$854,'TAR FIN'!$A$1:$O$104,15,0)),0,VLOOKUP($U$854,'TAR FIN'!$A$1:$O$104,15,0))</f>
        <v>349.91</v>
      </c>
      <c r="Y854" s="6"/>
      <c r="Z854" s="6">
        <f ca="1">('TUSD BE'!$AM$44+'TUSD BF'!$AM$44+'TUSD CVA'!$AM$44)*(1-CUSTOS!$M$38)</f>
        <v>895.10942436703249</v>
      </c>
      <c r="AA854" s="6">
        <f>('TE BE'!$AB$23+'TE BF'!$AB$23+'TE CVA'!$AB$23)*(1-CUSTOS!$M$38)</f>
        <v>338.64467436313089</v>
      </c>
      <c r="AB854" s="6">
        <f t="shared" si="42"/>
        <v>0</v>
      </c>
      <c r="AC854" s="6">
        <f>(L854*W854+M854*X854)/(1-CUSTOS!$M$38)*CUSTOS!$M$38</f>
        <v>27.490330212765954</v>
      </c>
      <c r="AD854" s="6">
        <f t="shared" si="43"/>
        <v>0</v>
      </c>
      <c r="AE854" s="6">
        <f ca="1">(L854*Z854+N854*AA854)/(1-CUSTOS!$M$38)*CUSTOS!$M$38</f>
        <v>28.901346014934255</v>
      </c>
      <c r="AF854" s="4" t="s">
        <v>998</v>
      </c>
    </row>
    <row r="855" spans="1:32" ht="11.25" customHeight="1" x14ac:dyDescent="0.25">
      <c r="A855" s="4" t="s">
        <v>21</v>
      </c>
      <c r="B855" s="4" t="s">
        <v>44</v>
      </c>
      <c r="C855" s="4" t="s">
        <v>33</v>
      </c>
      <c r="D855" s="4" t="s">
        <v>45</v>
      </c>
      <c r="E855" s="4" t="s">
        <v>25</v>
      </c>
      <c r="F855" s="4" t="s">
        <v>25</v>
      </c>
      <c r="G855" s="4" t="s">
        <v>25</v>
      </c>
      <c r="H855" s="4" t="s">
        <v>34</v>
      </c>
      <c r="I855" s="5">
        <v>44531</v>
      </c>
      <c r="J855" s="6">
        <v>0</v>
      </c>
      <c r="K855" s="6">
        <v>0</v>
      </c>
      <c r="L855" s="6">
        <v>0.379</v>
      </c>
      <c r="M855" s="6">
        <v>0.379</v>
      </c>
      <c r="N855" s="6">
        <v>0.379</v>
      </c>
      <c r="O855" s="6">
        <v>0.379</v>
      </c>
      <c r="P855" s="6">
        <v>0</v>
      </c>
      <c r="Q855" s="4" t="s">
        <v>26</v>
      </c>
      <c r="R855" s="4">
        <v>0</v>
      </c>
      <c r="S855" s="4">
        <v>0</v>
      </c>
      <c r="T855" s="4">
        <v>21</v>
      </c>
      <c r="U855" s="4">
        <v>82</v>
      </c>
      <c r="V855" s="6">
        <f>IF(ISERROR(VLOOKUP($S$855,'TAR FIN'!$A$1:$O$104,15,0)),0,VLOOKUP($S$855,'TAR FIN'!$A$1:$O$104,15,0))</f>
        <v>0</v>
      </c>
      <c r="W855" s="6">
        <f>IF(ISERROR(VLOOKUP($T$855,'TAR FIN'!$A$1:$O$104,15,0)),0,VLOOKUP($T$855,'TAR FIN'!$A$1:$O$104,15,0))</f>
        <v>823.61</v>
      </c>
      <c r="X855" s="6">
        <f>IF(ISERROR(VLOOKUP($U$855,'TAR FIN'!$A$1:$O$104,15,0)),0,VLOOKUP($U$855,'TAR FIN'!$A$1:$O$104,15,0))</f>
        <v>349.91</v>
      </c>
      <c r="Y855" s="6"/>
      <c r="Z855" s="6">
        <f ca="1">('TUSD BE'!$AM$44+'TUSD BF'!$AM$44+'TUSD CVA'!$AM$44)*(1-CUSTOS!$M$38)</f>
        <v>895.10942436703249</v>
      </c>
      <c r="AA855" s="6">
        <f>('TE BE'!$AB$23+'TE BF'!$AB$23+'TE CVA'!$AB$23)*(1-CUSTOS!$M$38)</f>
        <v>338.64467436313089</v>
      </c>
      <c r="AB855" s="6">
        <f t="shared" si="42"/>
        <v>0</v>
      </c>
      <c r="AC855" s="6">
        <f>(L855*W855+M855*X855)/(1-CUSTOS!$M$38)*CUSTOS!$M$38</f>
        <v>28.389196595744682</v>
      </c>
      <c r="AD855" s="6">
        <f t="shared" si="43"/>
        <v>0</v>
      </c>
      <c r="AE855" s="6">
        <f ca="1">(L855*Z855+N855*AA855)/(1-CUSTOS!$M$38)*CUSTOS!$M$38</f>
        <v>29.846349154387145</v>
      </c>
      <c r="AF855" s="4" t="s">
        <v>998</v>
      </c>
    </row>
    <row r="856" spans="1:32" ht="11.25" customHeight="1" x14ac:dyDescent="0.25">
      <c r="A856" s="4" t="s">
        <v>21</v>
      </c>
      <c r="B856" s="4" t="s">
        <v>44</v>
      </c>
      <c r="C856" s="4" t="s">
        <v>33</v>
      </c>
      <c r="D856" s="4" t="s">
        <v>45</v>
      </c>
      <c r="E856" s="4" t="s">
        <v>25</v>
      </c>
      <c r="F856" s="4" t="s">
        <v>25</v>
      </c>
      <c r="G856" s="4" t="s">
        <v>25</v>
      </c>
      <c r="H856" s="4" t="s">
        <v>34</v>
      </c>
      <c r="I856" s="5">
        <v>44562</v>
      </c>
      <c r="J856" s="6">
        <v>0</v>
      </c>
      <c r="K856" s="6">
        <v>0</v>
      </c>
      <c r="L856" s="6">
        <v>0.53300000000000003</v>
      </c>
      <c r="M856" s="6">
        <v>0.53300000000000003</v>
      </c>
      <c r="N856" s="6">
        <v>0.53300000000000003</v>
      </c>
      <c r="O856" s="6">
        <v>0.53300000000000003</v>
      </c>
      <c r="P856" s="6">
        <v>0</v>
      </c>
      <c r="Q856" s="4" t="s">
        <v>26</v>
      </c>
      <c r="R856" s="4">
        <v>0</v>
      </c>
      <c r="S856" s="4">
        <v>0</v>
      </c>
      <c r="T856" s="4">
        <v>21</v>
      </c>
      <c r="U856" s="4">
        <v>82</v>
      </c>
      <c r="V856" s="6">
        <f>IF(ISERROR(VLOOKUP($S$856,'TAR FIN'!$A$1:$O$104,15,0)),0,VLOOKUP($S$856,'TAR FIN'!$A$1:$O$104,15,0))</f>
        <v>0</v>
      </c>
      <c r="W856" s="6">
        <f>IF(ISERROR(VLOOKUP($T$856,'TAR FIN'!$A$1:$O$104,15,0)),0,VLOOKUP($T$856,'TAR FIN'!$A$1:$O$104,15,0))</f>
        <v>823.61</v>
      </c>
      <c r="X856" s="6">
        <f>IF(ISERROR(VLOOKUP($U$856,'TAR FIN'!$A$1:$O$104,15,0)),0,VLOOKUP($U$856,'TAR FIN'!$A$1:$O$104,15,0))</f>
        <v>349.91</v>
      </c>
      <c r="Y856" s="6"/>
      <c r="Z856" s="6">
        <f ca="1">('TUSD BE'!$AM$44+'TUSD BF'!$AM$44+'TUSD CVA'!$AM$44)*(1-CUSTOS!$M$38)</f>
        <v>895.10942436703249</v>
      </c>
      <c r="AA856" s="6">
        <f>('TE BE'!$AB$23+'TE BF'!$AB$23+'TE CVA'!$AB$23)*(1-CUSTOS!$M$38)</f>
        <v>338.64467436313089</v>
      </c>
      <c r="AB856" s="6">
        <f t="shared" si="42"/>
        <v>0</v>
      </c>
      <c r="AC856" s="6">
        <f>(L856*W856+M856*X856)/(1-CUSTOS!$M$38)*CUSTOS!$M$38</f>
        <v>39.924648510638299</v>
      </c>
      <c r="AD856" s="6">
        <f t="shared" si="43"/>
        <v>0</v>
      </c>
      <c r="AE856" s="6">
        <f ca="1">(L856*Z856+N856*AA856)/(1-CUSTOS!$M$38)*CUSTOS!$M$38</f>
        <v>41.973889444032586</v>
      </c>
      <c r="AF856" s="4" t="s">
        <v>998</v>
      </c>
    </row>
    <row r="857" spans="1:32" ht="11.25" customHeight="1" x14ac:dyDescent="0.25">
      <c r="A857" s="4" t="s">
        <v>21</v>
      </c>
      <c r="B857" s="4" t="s">
        <v>44</v>
      </c>
      <c r="C857" s="4" t="s">
        <v>33</v>
      </c>
      <c r="D857" s="4" t="s">
        <v>45</v>
      </c>
      <c r="E857" s="4" t="s">
        <v>25</v>
      </c>
      <c r="F857" s="4" t="s">
        <v>25</v>
      </c>
      <c r="G857" s="4" t="s">
        <v>25</v>
      </c>
      <c r="H857" s="4" t="s">
        <v>34</v>
      </c>
      <c r="I857" s="5">
        <v>44593</v>
      </c>
      <c r="J857" s="6">
        <v>0</v>
      </c>
      <c r="K857" s="6">
        <v>0</v>
      </c>
      <c r="L857" s="6">
        <v>0.312</v>
      </c>
      <c r="M857" s="6">
        <v>0.312</v>
      </c>
      <c r="N857" s="6">
        <v>0.312</v>
      </c>
      <c r="O857" s="6">
        <v>0.312</v>
      </c>
      <c r="P857" s="6">
        <v>0</v>
      </c>
      <c r="Q857" s="4" t="s">
        <v>26</v>
      </c>
      <c r="R857" s="4">
        <v>0</v>
      </c>
      <c r="S857" s="4">
        <v>0</v>
      </c>
      <c r="T857" s="4">
        <v>21</v>
      </c>
      <c r="U857" s="4">
        <v>82</v>
      </c>
      <c r="V857" s="6">
        <f>IF(ISERROR(VLOOKUP($S$857,'TAR FIN'!$A$1:$O$104,15,0)),0,VLOOKUP($S$857,'TAR FIN'!$A$1:$O$104,15,0))</f>
        <v>0</v>
      </c>
      <c r="W857" s="6">
        <f>IF(ISERROR(VLOOKUP($T$857,'TAR FIN'!$A$1:$O$104,15,0)),0,VLOOKUP($T$857,'TAR FIN'!$A$1:$O$104,15,0))</f>
        <v>823.61</v>
      </c>
      <c r="X857" s="6">
        <f>IF(ISERROR(VLOOKUP($U$857,'TAR FIN'!$A$1:$O$104,15,0)),0,VLOOKUP($U$857,'TAR FIN'!$A$1:$O$104,15,0))</f>
        <v>349.91</v>
      </c>
      <c r="Y857" s="6"/>
      <c r="Z857" s="6">
        <f ca="1">('TUSD BE'!$AM$44+'TUSD BF'!$AM$44+'TUSD CVA'!$AM$44)*(1-CUSTOS!$M$38)</f>
        <v>895.10942436703249</v>
      </c>
      <c r="AA857" s="6">
        <f>('TE BE'!$AB$23+'TE BF'!$AB$23+'TE CVA'!$AB$23)*(1-CUSTOS!$M$38)</f>
        <v>338.64467436313089</v>
      </c>
      <c r="AB857" s="6">
        <f t="shared" si="42"/>
        <v>0</v>
      </c>
      <c r="AC857" s="6">
        <f>(L857*W857+M857*X857)/(1-CUSTOS!$M$38)*CUSTOS!$M$38</f>
        <v>23.370525957446809</v>
      </c>
      <c r="AD857" s="6">
        <f t="shared" si="43"/>
        <v>0</v>
      </c>
      <c r="AE857" s="6">
        <f ca="1">(L857*Z857+N857*AA857)/(1-CUSTOS!$M$38)*CUSTOS!$M$38</f>
        <v>24.570081625775167</v>
      </c>
      <c r="AF857" s="4" t="s">
        <v>998</v>
      </c>
    </row>
    <row r="858" spans="1:32" ht="11.25" customHeight="1" x14ac:dyDescent="0.25">
      <c r="A858" s="4" t="s">
        <v>21</v>
      </c>
      <c r="B858" s="4" t="s">
        <v>44</v>
      </c>
      <c r="C858" s="4" t="s">
        <v>33</v>
      </c>
      <c r="D858" s="4" t="s">
        <v>45</v>
      </c>
      <c r="E858" s="4" t="s">
        <v>25</v>
      </c>
      <c r="F858" s="4" t="s">
        <v>25</v>
      </c>
      <c r="G858" s="4" t="s">
        <v>25</v>
      </c>
      <c r="H858" s="4" t="s">
        <v>34</v>
      </c>
      <c r="I858" s="5">
        <v>44621</v>
      </c>
      <c r="J858" s="6">
        <v>0</v>
      </c>
      <c r="K858" s="6">
        <v>0</v>
      </c>
      <c r="L858" s="6">
        <v>0.23499999999999999</v>
      </c>
      <c r="M858" s="6">
        <v>0.23499999999999999</v>
      </c>
      <c r="N858" s="6">
        <v>0.23499999999999999</v>
      </c>
      <c r="O858" s="6">
        <v>0.23499999999999999</v>
      </c>
      <c r="P858" s="6">
        <v>0</v>
      </c>
      <c r="Q858" s="4" t="s">
        <v>26</v>
      </c>
      <c r="R858" s="4">
        <v>0</v>
      </c>
      <c r="S858" s="4">
        <v>0</v>
      </c>
      <c r="T858" s="4">
        <v>21</v>
      </c>
      <c r="U858" s="4">
        <v>82</v>
      </c>
      <c r="V858" s="6">
        <f>IF(ISERROR(VLOOKUP($S$858,'TAR FIN'!$A$1:$O$104,15,0)),0,VLOOKUP($S$858,'TAR FIN'!$A$1:$O$104,15,0))</f>
        <v>0</v>
      </c>
      <c r="W858" s="6">
        <f>IF(ISERROR(VLOOKUP($T$858,'TAR FIN'!$A$1:$O$104,15,0)),0,VLOOKUP($T$858,'TAR FIN'!$A$1:$O$104,15,0))</f>
        <v>823.61</v>
      </c>
      <c r="X858" s="6">
        <f>IF(ISERROR(VLOOKUP($U$858,'TAR FIN'!$A$1:$O$104,15,0)),0,VLOOKUP($U$858,'TAR FIN'!$A$1:$O$104,15,0))</f>
        <v>349.91</v>
      </c>
      <c r="Y858" s="6"/>
      <c r="Z858" s="6">
        <f ca="1">('TUSD BE'!$AM$44+'TUSD BF'!$AM$44+'TUSD CVA'!$AM$44)*(1-CUSTOS!$M$38)</f>
        <v>895.10942436703249</v>
      </c>
      <c r="AA858" s="6">
        <f>('TE BE'!$AB$23+'TE BF'!$AB$23+'TE CVA'!$AB$23)*(1-CUSTOS!$M$38)</f>
        <v>338.64467436313089</v>
      </c>
      <c r="AB858" s="6">
        <f t="shared" si="42"/>
        <v>0</v>
      </c>
      <c r="AC858" s="6">
        <f>(L858*W858+M858*X858)/(1-CUSTOS!$M$38)*CUSTOS!$M$38</f>
        <v>17.602799999999998</v>
      </c>
      <c r="AD858" s="6">
        <f t="shared" si="43"/>
        <v>0</v>
      </c>
      <c r="AE858" s="6">
        <f ca="1">(L858*Z858+N858*AA858)/(1-CUSTOS!$M$38)*CUSTOS!$M$38</f>
        <v>18.506311480952451</v>
      </c>
      <c r="AF858" s="4" t="s">
        <v>998</v>
      </c>
    </row>
    <row r="859" spans="1:32" ht="11.25" customHeight="1" x14ac:dyDescent="0.25">
      <c r="A859" s="4" t="s">
        <v>21</v>
      </c>
      <c r="B859" s="4" t="s">
        <v>44</v>
      </c>
      <c r="C859" s="4" t="s">
        <v>33</v>
      </c>
      <c r="D859" s="4" t="s">
        <v>45</v>
      </c>
      <c r="E859" s="4" t="s">
        <v>25</v>
      </c>
      <c r="F859" s="4" t="s">
        <v>25</v>
      </c>
      <c r="G859" s="4" t="s">
        <v>25</v>
      </c>
      <c r="H859" s="4" t="s">
        <v>34</v>
      </c>
      <c r="I859" s="5">
        <v>44652</v>
      </c>
      <c r="J859" s="6">
        <v>0</v>
      </c>
      <c r="K859" s="6">
        <v>0</v>
      </c>
      <c r="L859" s="6">
        <v>0.216</v>
      </c>
      <c r="M859" s="6">
        <v>0.216</v>
      </c>
      <c r="N859" s="6">
        <v>0.216</v>
      </c>
      <c r="O859" s="6">
        <v>0.216</v>
      </c>
      <c r="P859" s="6">
        <v>0</v>
      </c>
      <c r="Q859" s="4" t="s">
        <v>26</v>
      </c>
      <c r="R859" s="4">
        <v>0</v>
      </c>
      <c r="S859" s="4">
        <v>0</v>
      </c>
      <c r="T859" s="4">
        <v>21</v>
      </c>
      <c r="U859" s="4">
        <v>82</v>
      </c>
      <c r="V859" s="6">
        <f>IF(ISERROR(VLOOKUP($S$859,'TAR FIN'!$A$1:$O$104,15,0)),0,VLOOKUP($S$859,'TAR FIN'!$A$1:$O$104,15,0))</f>
        <v>0</v>
      </c>
      <c r="W859" s="6">
        <f>IF(ISERROR(VLOOKUP($T$859,'TAR FIN'!$A$1:$O$104,15,0)),0,VLOOKUP($T$859,'TAR FIN'!$A$1:$O$104,15,0))</f>
        <v>823.61</v>
      </c>
      <c r="X859" s="6">
        <f>IF(ISERROR(VLOOKUP($U$859,'TAR FIN'!$A$1:$O$104,15,0)),0,VLOOKUP($U$859,'TAR FIN'!$A$1:$O$104,15,0))</f>
        <v>349.91</v>
      </c>
      <c r="Y859" s="6"/>
      <c r="Z859" s="6">
        <f ca="1">('TUSD BE'!$AM$44+'TUSD BF'!$AM$44+'TUSD CVA'!$AM$44)*(1-CUSTOS!$M$38)</f>
        <v>895.10942436703249</v>
      </c>
      <c r="AA859" s="6">
        <f>('TE BE'!$AB$23+'TE BF'!$AB$23+'TE CVA'!$AB$23)*(1-CUSTOS!$M$38)</f>
        <v>338.64467436313089</v>
      </c>
      <c r="AB859" s="6">
        <f t="shared" si="42"/>
        <v>0</v>
      </c>
      <c r="AC859" s="6">
        <f>(L859*W859+M859*X859)/(1-CUSTOS!$M$38)*CUSTOS!$M$38</f>
        <v>16.179594893617022</v>
      </c>
      <c r="AD859" s="6">
        <f t="shared" si="43"/>
        <v>0</v>
      </c>
      <c r="AE859" s="6">
        <f ca="1">(L859*Z859+N859*AA859)/(1-CUSTOS!$M$38)*CUSTOS!$M$38</f>
        <v>17.01005651015204</v>
      </c>
      <c r="AF859" s="4" t="s">
        <v>998</v>
      </c>
    </row>
    <row r="860" spans="1:32" ht="11.25" customHeight="1" x14ac:dyDescent="0.25">
      <c r="A860" s="4" t="s">
        <v>21</v>
      </c>
      <c r="B860" s="4" t="s">
        <v>44</v>
      </c>
      <c r="C860" s="4" t="s">
        <v>33</v>
      </c>
      <c r="D860" s="4" t="s">
        <v>45</v>
      </c>
      <c r="E860" s="4" t="s">
        <v>25</v>
      </c>
      <c r="F860" s="4" t="s">
        <v>25</v>
      </c>
      <c r="G860" s="4" t="s">
        <v>25</v>
      </c>
      <c r="H860" s="4" t="s">
        <v>34</v>
      </c>
      <c r="I860" s="5">
        <v>44682</v>
      </c>
      <c r="J860" s="6">
        <v>0</v>
      </c>
      <c r="K860" s="6">
        <v>0</v>
      </c>
      <c r="L860" s="6">
        <v>0.23499999999999999</v>
      </c>
      <c r="M860" s="6">
        <v>0.23499999999999999</v>
      </c>
      <c r="N860" s="6">
        <v>0.23499999999999999</v>
      </c>
      <c r="O860" s="6">
        <v>0.23499999999999999</v>
      </c>
      <c r="P860" s="6">
        <v>0</v>
      </c>
      <c r="Q860" s="4" t="s">
        <v>26</v>
      </c>
      <c r="R860" s="4">
        <v>0</v>
      </c>
      <c r="S860" s="4">
        <v>0</v>
      </c>
      <c r="T860" s="4">
        <v>21</v>
      </c>
      <c r="U860" s="4">
        <v>82</v>
      </c>
      <c r="V860" s="6">
        <f>IF(ISERROR(VLOOKUP($S$860,'TAR FIN'!$A$1:$O$104,15,0)),0,VLOOKUP($S$860,'TAR FIN'!$A$1:$O$104,15,0))</f>
        <v>0</v>
      </c>
      <c r="W860" s="6">
        <f>IF(ISERROR(VLOOKUP($T$860,'TAR FIN'!$A$1:$O$104,15,0)),0,VLOOKUP($T$860,'TAR FIN'!$A$1:$O$104,15,0))</f>
        <v>823.61</v>
      </c>
      <c r="X860" s="6">
        <f>IF(ISERROR(VLOOKUP($U$860,'TAR FIN'!$A$1:$O$104,15,0)),0,VLOOKUP($U$860,'TAR FIN'!$A$1:$O$104,15,0))</f>
        <v>349.91</v>
      </c>
      <c r="Y860" s="6"/>
      <c r="Z860" s="6">
        <f ca="1">('TUSD BE'!$AM$44+'TUSD BF'!$AM$44+'TUSD CVA'!$AM$44)*(1-CUSTOS!$M$38)</f>
        <v>895.10942436703249</v>
      </c>
      <c r="AA860" s="6">
        <f>('TE BE'!$AB$23+'TE BF'!$AB$23+'TE CVA'!$AB$23)*(1-CUSTOS!$M$38)</f>
        <v>338.64467436313089</v>
      </c>
      <c r="AB860" s="6">
        <f t="shared" si="42"/>
        <v>0</v>
      </c>
      <c r="AC860" s="6">
        <f>(L860*W860+M860*X860)/(1-CUSTOS!$M$38)*CUSTOS!$M$38</f>
        <v>17.602799999999998</v>
      </c>
      <c r="AD860" s="6">
        <f t="shared" si="43"/>
        <v>0</v>
      </c>
      <c r="AE860" s="6">
        <f ca="1">(L860*Z860+N860*AA860)/(1-CUSTOS!$M$38)*CUSTOS!$M$38</f>
        <v>18.506311480952451</v>
      </c>
      <c r="AF860" s="4" t="s">
        <v>998</v>
      </c>
    </row>
    <row r="861" spans="1:32" ht="11.25" customHeight="1" x14ac:dyDescent="0.25">
      <c r="A861" s="4" t="s">
        <v>21</v>
      </c>
      <c r="B861" s="4" t="s">
        <v>44</v>
      </c>
      <c r="C861" s="4" t="s">
        <v>33</v>
      </c>
      <c r="D861" s="4" t="s">
        <v>45</v>
      </c>
      <c r="E861" s="4" t="s">
        <v>25</v>
      </c>
      <c r="F861" s="4" t="s">
        <v>25</v>
      </c>
      <c r="G861" s="4" t="s">
        <v>25</v>
      </c>
      <c r="H861" s="4" t="s">
        <v>34</v>
      </c>
      <c r="I861" s="5">
        <v>44713</v>
      </c>
      <c r="J861" s="6">
        <v>0</v>
      </c>
      <c r="K861" s="6">
        <v>0</v>
      </c>
      <c r="L861" s="6">
        <v>0.218</v>
      </c>
      <c r="M861" s="6">
        <v>0.218</v>
      </c>
      <c r="N861" s="6">
        <v>0.218</v>
      </c>
      <c r="O861" s="6">
        <v>0.218</v>
      </c>
      <c r="P861" s="6">
        <v>0</v>
      </c>
      <c r="Q861" s="4" t="s">
        <v>26</v>
      </c>
      <c r="R861" s="4">
        <v>0</v>
      </c>
      <c r="S861" s="4">
        <v>0</v>
      </c>
      <c r="T861" s="4">
        <v>21</v>
      </c>
      <c r="U861" s="4">
        <v>82</v>
      </c>
      <c r="V861" s="6">
        <f>IF(ISERROR(VLOOKUP($S$861,'TAR FIN'!$A$1:$O$104,15,0)),0,VLOOKUP($S$861,'TAR FIN'!$A$1:$O$104,15,0))</f>
        <v>0</v>
      </c>
      <c r="W861" s="6">
        <f>IF(ISERROR(VLOOKUP($T$861,'TAR FIN'!$A$1:$O$104,15,0)),0,VLOOKUP($T$861,'TAR FIN'!$A$1:$O$104,15,0))</f>
        <v>823.61</v>
      </c>
      <c r="X861" s="6">
        <f>IF(ISERROR(VLOOKUP($U$861,'TAR FIN'!$A$1:$O$104,15,0)),0,VLOOKUP($U$861,'TAR FIN'!$A$1:$O$104,15,0))</f>
        <v>349.91</v>
      </c>
      <c r="Y861" s="6"/>
      <c r="Z861" s="6">
        <f ca="1">('TUSD BE'!$AM$44+'TUSD BF'!$AM$44+'TUSD CVA'!$AM$44)*(1-CUSTOS!$M$38)</f>
        <v>895.10942436703249</v>
      </c>
      <c r="AA861" s="6">
        <f>('TE BE'!$AB$23+'TE BF'!$AB$23+'TE CVA'!$AB$23)*(1-CUSTOS!$M$38)</f>
        <v>338.64467436313089</v>
      </c>
      <c r="AB861" s="6">
        <f t="shared" si="42"/>
        <v>0</v>
      </c>
      <c r="AC861" s="6">
        <f>(L861*W861+M861*X861)/(1-CUSTOS!$M$38)*CUSTOS!$M$38</f>
        <v>16.329405957446809</v>
      </c>
      <c r="AD861" s="6">
        <f t="shared" si="43"/>
        <v>0</v>
      </c>
      <c r="AE861" s="6">
        <f ca="1">(L861*Z861+N861*AA861)/(1-CUSTOS!$M$38)*CUSTOS!$M$38</f>
        <v>17.167557033394186</v>
      </c>
      <c r="AF861" s="4" t="s">
        <v>998</v>
      </c>
    </row>
    <row r="862" spans="1:32" ht="11.25" customHeight="1" x14ac:dyDescent="0.25">
      <c r="A862" s="4" t="s">
        <v>57</v>
      </c>
      <c r="B862" s="4" t="s">
        <v>44</v>
      </c>
      <c r="C862" s="4" t="s">
        <v>33</v>
      </c>
      <c r="D862" s="4" t="s">
        <v>45</v>
      </c>
      <c r="E862" s="4" t="s">
        <v>25</v>
      </c>
      <c r="F862" s="4" t="s">
        <v>25</v>
      </c>
      <c r="G862" s="4" t="s">
        <v>25</v>
      </c>
      <c r="H862" s="4" t="s">
        <v>34</v>
      </c>
      <c r="I862" s="5">
        <v>44743</v>
      </c>
      <c r="J862" s="6">
        <v>0</v>
      </c>
      <c r="K862" s="6">
        <v>0</v>
      </c>
      <c r="L862" s="6">
        <v>0.218</v>
      </c>
      <c r="M862" s="6">
        <v>0.218</v>
      </c>
      <c r="N862" s="6">
        <v>0.218</v>
      </c>
      <c r="O862" s="6">
        <v>0.218</v>
      </c>
      <c r="P862" s="6">
        <v>0</v>
      </c>
      <c r="Q862" s="4" t="s">
        <v>26</v>
      </c>
      <c r="R862" s="4">
        <v>0</v>
      </c>
      <c r="S862" s="4">
        <v>0</v>
      </c>
      <c r="T862" s="4">
        <v>21</v>
      </c>
      <c r="U862" s="4">
        <v>82</v>
      </c>
      <c r="V862" s="6">
        <f>IF(ISERROR(VLOOKUP($S$862,'TAR FIN'!$A$1:$O$104,15,0)),0,VLOOKUP($S$862,'TAR FIN'!$A$1:$O$104,15,0))</f>
        <v>0</v>
      </c>
      <c r="W862" s="6">
        <f>IF(ISERROR(VLOOKUP($T$862,'TAR FIN'!$A$1:$O$104,15,0)),0,VLOOKUP($T$862,'TAR FIN'!$A$1:$O$104,15,0))</f>
        <v>823.61</v>
      </c>
      <c r="X862" s="6">
        <f>IF(ISERROR(VLOOKUP($U$862,'TAR FIN'!$A$1:$O$104,15,0)),0,VLOOKUP($U$862,'TAR FIN'!$A$1:$O$104,15,0))</f>
        <v>349.91</v>
      </c>
      <c r="Y862" s="6"/>
      <c r="Z862" s="6">
        <f ca="1">('TUSD BE'!$AM$44+'TUSD BF'!$AM$44+'TUSD CVA'!$AM$44)*(1-CUSTOS!$M$38)</f>
        <v>895.10942436703249</v>
      </c>
      <c r="AA862" s="6">
        <f>('TE BE'!$AB$23+'TE BF'!$AB$23+'TE CVA'!$AB$23)*(1-CUSTOS!$M$38)</f>
        <v>338.64467436313089</v>
      </c>
      <c r="AB862" s="6">
        <f t="shared" si="42"/>
        <v>0</v>
      </c>
      <c r="AC862" s="6">
        <f>(L862*W862+M862*X862)/(1-CUSTOS!$M$38)*CUSTOS!$M$38</f>
        <v>16.329405957446809</v>
      </c>
      <c r="AD862" s="6">
        <f t="shared" si="43"/>
        <v>0</v>
      </c>
      <c r="AE862" s="6">
        <f ca="1">(L862*Z862+N862*AA862)/(1-CUSTOS!$M$38)*CUSTOS!$M$38</f>
        <v>17.167557033394186</v>
      </c>
      <c r="AF862" s="4" t="s">
        <v>998</v>
      </c>
    </row>
    <row r="863" spans="1:32" ht="11.25" customHeight="1" x14ac:dyDescent="0.25">
      <c r="A863" s="4" t="s">
        <v>21</v>
      </c>
      <c r="B863" s="4" t="s">
        <v>44</v>
      </c>
      <c r="C863" s="4" t="s">
        <v>23</v>
      </c>
      <c r="D863" s="4" t="s">
        <v>45</v>
      </c>
      <c r="E863" s="4" t="s">
        <v>53</v>
      </c>
      <c r="F863" s="4" t="s">
        <v>54</v>
      </c>
      <c r="G863" s="4" t="s">
        <v>25</v>
      </c>
      <c r="H863" s="4" t="s">
        <v>25</v>
      </c>
      <c r="I863" s="5">
        <v>44409</v>
      </c>
      <c r="J863" s="6">
        <v>0</v>
      </c>
      <c r="K863" s="6">
        <v>0</v>
      </c>
      <c r="L863" s="6">
        <v>2523.9659999999999</v>
      </c>
      <c r="M863" s="6">
        <v>2523.9659999999999</v>
      </c>
      <c r="N863" s="6">
        <v>2523.9659999999999</v>
      </c>
      <c r="O863" s="6">
        <v>2523.9659999999999</v>
      </c>
      <c r="P863" s="6">
        <v>0</v>
      </c>
      <c r="Q863" s="4" t="s">
        <v>26</v>
      </c>
      <c r="R863" s="4">
        <v>0</v>
      </c>
      <c r="S863" s="4">
        <v>0</v>
      </c>
      <c r="T863" s="4">
        <v>27</v>
      </c>
      <c r="U863" s="4">
        <v>85</v>
      </c>
      <c r="V863" s="6">
        <f>IF(ISERROR(VLOOKUP($S$863,'TAR FIN'!$A$1:$O$104,15,0)),0,VLOOKUP($S$863,'TAR FIN'!$A$1:$O$104,15,0))</f>
        <v>0</v>
      </c>
      <c r="W863" s="6">
        <f>IF(ISERROR(VLOOKUP($T$863,'TAR FIN'!$A$1:$O$104,15,0)),0,VLOOKUP($T$863,'TAR FIN'!$A$1:$O$104,15,0))</f>
        <v>300.26</v>
      </c>
      <c r="X863" s="6">
        <f>IF(ISERROR(VLOOKUP($U$863,'TAR FIN'!$A$1:$O$104,15,0)),0,VLOOKUP($U$863,'TAR FIN'!$A$1:$O$104,15,0))</f>
        <v>225.04</v>
      </c>
      <c r="Y863" s="6"/>
      <c r="Z863" s="6">
        <f ca="1">('TUSD BE'!$AM$47+'TUSD BF'!$AM$47+'TUSD CVA'!$AM$47)*(1-CUSTOS!$M$38)</f>
        <v>335.21342816228281</v>
      </c>
      <c r="AA863" s="6">
        <f>('TE BE'!$AB$26+'TE BF'!$AB$26+'TE CVA'!$AB$26)*(1-CUSTOS!$M$38)</f>
        <v>227.92247399192311</v>
      </c>
      <c r="AB863" s="6">
        <f t="shared" si="42"/>
        <v>0</v>
      </c>
      <c r="AC863" s="6">
        <f>(L863-M863)*(W863+X863)+($W$672+$X$672-$W$863-$X$863)*(L863)</f>
        <v>180766.44491999992</v>
      </c>
      <c r="AD863" s="6">
        <f t="shared" si="43"/>
        <v>0</v>
      </c>
      <c r="AE863" s="6">
        <f ca="1">(L863-M863)*(Z863+AA863)+($Z$672+$AA$672-$Z$863-$AA$863)*(L863)</f>
        <v>90723.566196800879</v>
      </c>
      <c r="AF863" s="4" t="s">
        <v>998</v>
      </c>
    </row>
    <row r="864" spans="1:32" ht="11.25" customHeight="1" x14ac:dyDescent="0.25">
      <c r="A864" s="4" t="s">
        <v>27</v>
      </c>
      <c r="B864" s="4" t="s">
        <v>44</v>
      </c>
      <c r="C864" s="4" t="s">
        <v>23</v>
      </c>
      <c r="D864" s="4" t="s">
        <v>45</v>
      </c>
      <c r="E864" s="4" t="s">
        <v>53</v>
      </c>
      <c r="F864" s="4" t="s">
        <v>54</v>
      </c>
      <c r="G864" s="4" t="s">
        <v>25</v>
      </c>
      <c r="H864" s="4" t="s">
        <v>25</v>
      </c>
      <c r="I864" s="5">
        <v>44409</v>
      </c>
      <c r="J864" s="6">
        <v>0</v>
      </c>
      <c r="K864" s="6">
        <v>0</v>
      </c>
      <c r="L864" s="6">
        <v>-22.556999999999999</v>
      </c>
      <c r="M864" s="6">
        <v>-22.556999999999999</v>
      </c>
      <c r="N864" s="6">
        <v>-22.556999999999999</v>
      </c>
      <c r="O864" s="6">
        <v>-22.556999999999999</v>
      </c>
      <c r="P864" s="6">
        <v>0</v>
      </c>
      <c r="Q864" s="4" t="s">
        <v>26</v>
      </c>
      <c r="R864" s="4">
        <v>0</v>
      </c>
      <c r="S864" s="4">
        <v>0</v>
      </c>
      <c r="T864" s="4">
        <v>27</v>
      </c>
      <c r="U864" s="4">
        <v>85</v>
      </c>
      <c r="V864" s="6">
        <f>IF(ISERROR(VLOOKUP($S$864,'TAR FIN'!$A$1:$O$104,15,0)),0,VLOOKUP($S$864,'TAR FIN'!$A$1:$O$104,15,0))</f>
        <v>0</v>
      </c>
      <c r="W864" s="6">
        <f>IF(ISERROR(VLOOKUP($T$864,'TAR FIN'!$A$1:$O$104,15,0)),0,VLOOKUP($T$864,'TAR FIN'!$A$1:$O$104,15,0))</f>
        <v>300.26</v>
      </c>
      <c r="X864" s="6">
        <f>IF(ISERROR(VLOOKUP($U$864,'TAR FIN'!$A$1:$O$104,15,0)),0,VLOOKUP($U$864,'TAR FIN'!$A$1:$O$104,15,0))</f>
        <v>225.04</v>
      </c>
      <c r="Y864" s="6"/>
      <c r="Z864" s="6">
        <f ca="1">('TUSD BE'!$AM$47+'TUSD BF'!$AM$47+'TUSD CVA'!$AM$47)*(1-CUSTOS!$M$38)</f>
        <v>335.21342816228281</v>
      </c>
      <c r="AA864" s="6">
        <f>('TE BE'!$AB$26+'TE BF'!$AB$26+'TE CVA'!$AB$26)*(1-CUSTOS!$M$38)</f>
        <v>227.92247399192311</v>
      </c>
      <c r="AB864" s="6">
        <f t="shared" si="42"/>
        <v>0</v>
      </c>
      <c r="AC864" s="6">
        <f>(L864-M864)*(W864+X864)+($W$672+$X$672-$W$864-$X$864)*(L864)</f>
        <v>-1615.5323399999993</v>
      </c>
      <c r="AD864" s="6">
        <f t="shared" si="43"/>
        <v>0</v>
      </c>
      <c r="AE864" s="6">
        <f ca="1">(L864-M864)*(Z864+AA864)+($Z$672+$AA$672-$Z$864-$AA$864)*(L864)</f>
        <v>-810.80786456760404</v>
      </c>
      <c r="AF864" s="4" t="s">
        <v>998</v>
      </c>
    </row>
    <row r="865" spans="1:32" ht="11.25" customHeight="1" x14ac:dyDescent="0.25">
      <c r="A865" s="4" t="s">
        <v>28</v>
      </c>
      <c r="B865" s="4" t="s">
        <v>44</v>
      </c>
      <c r="C865" s="4" t="s">
        <v>23</v>
      </c>
      <c r="D865" s="4" t="s">
        <v>45</v>
      </c>
      <c r="E865" s="4" t="s">
        <v>53</v>
      </c>
      <c r="F865" s="4" t="s">
        <v>54</v>
      </c>
      <c r="G865" s="4" t="s">
        <v>25</v>
      </c>
      <c r="H865" s="4" t="s">
        <v>25</v>
      </c>
      <c r="I865" s="5">
        <v>44409</v>
      </c>
      <c r="J865" s="6">
        <v>0</v>
      </c>
      <c r="K865" s="6">
        <v>0</v>
      </c>
      <c r="L865" s="6">
        <v>75.521000000000001</v>
      </c>
      <c r="M865" s="6">
        <v>75.521000000000001</v>
      </c>
      <c r="N865" s="6">
        <v>75.521000000000001</v>
      </c>
      <c r="O865" s="6">
        <v>75.521000000000001</v>
      </c>
      <c r="P865" s="6">
        <v>0</v>
      </c>
      <c r="Q865" s="4" t="s">
        <v>26</v>
      </c>
      <c r="R865" s="4">
        <v>0</v>
      </c>
      <c r="S865" s="4">
        <v>0</v>
      </c>
      <c r="T865" s="4">
        <v>27</v>
      </c>
      <c r="U865" s="4">
        <v>85</v>
      </c>
      <c r="V865" s="6">
        <f>IF(ISERROR(VLOOKUP($S$865,'TAR FIN'!$A$1:$O$104,15,0)),0,VLOOKUP($S$865,'TAR FIN'!$A$1:$O$104,15,0))</f>
        <v>0</v>
      </c>
      <c r="W865" s="6">
        <f>IF(ISERROR(VLOOKUP($T$865,'TAR FIN'!$A$1:$O$104,15,0)),0,VLOOKUP($T$865,'TAR FIN'!$A$1:$O$104,15,0))</f>
        <v>300.26</v>
      </c>
      <c r="X865" s="6">
        <f>IF(ISERROR(VLOOKUP($U$865,'TAR FIN'!$A$1:$O$104,15,0)),0,VLOOKUP($U$865,'TAR FIN'!$A$1:$O$104,15,0))</f>
        <v>225.04</v>
      </c>
      <c r="Y865" s="6"/>
      <c r="Z865" s="6">
        <f ca="1">('TUSD BE'!$AM$47+'TUSD BF'!$AM$47+'TUSD CVA'!$AM$47)*(1-CUSTOS!$M$38)</f>
        <v>335.21342816228281</v>
      </c>
      <c r="AA865" s="6">
        <f>('TE BE'!$AB$26+'TE BF'!$AB$26+'TE CVA'!$AB$26)*(1-CUSTOS!$M$38)</f>
        <v>227.92247399192311</v>
      </c>
      <c r="AB865" s="6">
        <f t="shared" si="42"/>
        <v>0</v>
      </c>
      <c r="AC865" s="6">
        <f>(L865-M865)*(W865+X865)+($W$672+$X$672-$W$865-$X$865)*(L865)</f>
        <v>5408.814019999998</v>
      </c>
      <c r="AD865" s="6">
        <f t="shared" si="43"/>
        <v>0</v>
      </c>
      <c r="AE865" s="6">
        <f ca="1">(L865-M865)*(Z865+AA865)+($Z$672+$AA$672-$Z$865-$AA$865)*(L865)</f>
        <v>2714.5906255268887</v>
      </c>
      <c r="AF865" s="4" t="s">
        <v>998</v>
      </c>
    </row>
    <row r="866" spans="1:32" ht="11.25" customHeight="1" x14ac:dyDescent="0.25">
      <c r="A866" s="4" t="s">
        <v>21</v>
      </c>
      <c r="B866" s="4" t="s">
        <v>44</v>
      </c>
      <c r="C866" s="4" t="s">
        <v>23</v>
      </c>
      <c r="D866" s="4" t="s">
        <v>45</v>
      </c>
      <c r="E866" s="4" t="s">
        <v>53</v>
      </c>
      <c r="F866" s="4" t="s">
        <v>54</v>
      </c>
      <c r="G866" s="4" t="s">
        <v>25</v>
      </c>
      <c r="H866" s="4" t="s">
        <v>25</v>
      </c>
      <c r="I866" s="5">
        <v>44440</v>
      </c>
      <c r="J866" s="6">
        <v>0</v>
      </c>
      <c r="K866" s="6">
        <v>0</v>
      </c>
      <c r="L866" s="6">
        <v>2721.3130000000001</v>
      </c>
      <c r="M866" s="6">
        <v>2721.3130000000001</v>
      </c>
      <c r="N866" s="6">
        <v>2721.3130000000001</v>
      </c>
      <c r="O866" s="6">
        <v>2721.3130000000001</v>
      </c>
      <c r="P866" s="6">
        <v>0</v>
      </c>
      <c r="Q866" s="4" t="s">
        <v>26</v>
      </c>
      <c r="R866" s="4">
        <v>0</v>
      </c>
      <c r="S866" s="4">
        <v>0</v>
      </c>
      <c r="T866" s="4">
        <v>27</v>
      </c>
      <c r="U866" s="4">
        <v>85</v>
      </c>
      <c r="V866" s="6">
        <f>IF(ISERROR(VLOOKUP($S$866,'TAR FIN'!$A$1:$O$104,15,0)),0,VLOOKUP($S$866,'TAR FIN'!$A$1:$O$104,15,0))</f>
        <v>0</v>
      </c>
      <c r="W866" s="6">
        <f>IF(ISERROR(VLOOKUP($T$866,'TAR FIN'!$A$1:$O$104,15,0)),0,VLOOKUP($T$866,'TAR FIN'!$A$1:$O$104,15,0))</f>
        <v>300.26</v>
      </c>
      <c r="X866" s="6">
        <f>IF(ISERROR(VLOOKUP($U$866,'TAR FIN'!$A$1:$O$104,15,0)),0,VLOOKUP($U$866,'TAR FIN'!$A$1:$O$104,15,0))</f>
        <v>225.04</v>
      </c>
      <c r="Y866" s="6"/>
      <c r="Z866" s="6">
        <f ca="1">('TUSD BE'!$AM$47+'TUSD BF'!$AM$47+'TUSD CVA'!$AM$47)*(1-CUSTOS!$M$38)</f>
        <v>335.21342816228281</v>
      </c>
      <c r="AA866" s="6">
        <f>('TE BE'!$AB$26+'TE BF'!$AB$26+'TE CVA'!$AB$26)*(1-CUSTOS!$M$38)</f>
        <v>227.92247399192311</v>
      </c>
      <c r="AB866" s="6">
        <f t="shared" si="42"/>
        <v>0</v>
      </c>
      <c r="AC866" s="6">
        <f>(L866-M866)*(W866+X866)+($W$672+$X$672-$W$866-$X$866)*(L866)</f>
        <v>194900.43705999994</v>
      </c>
      <c r="AD866" s="6">
        <f t="shared" si="43"/>
        <v>0</v>
      </c>
      <c r="AE866" s="6">
        <f ca="1">(L866-M866)*(Z866+AA866)+($Z$672+$AA$672-$Z$866-$AA$866)*(L866)</f>
        <v>97817.173487168533</v>
      </c>
      <c r="AF866" s="4" t="s">
        <v>998</v>
      </c>
    </row>
    <row r="867" spans="1:32" ht="11.25" customHeight="1" x14ac:dyDescent="0.25">
      <c r="A867" s="4" t="s">
        <v>27</v>
      </c>
      <c r="B867" s="4" t="s">
        <v>44</v>
      </c>
      <c r="C867" s="4" t="s">
        <v>23</v>
      </c>
      <c r="D867" s="4" t="s">
        <v>45</v>
      </c>
      <c r="E867" s="4" t="s">
        <v>53</v>
      </c>
      <c r="F867" s="4" t="s">
        <v>54</v>
      </c>
      <c r="G867" s="4" t="s">
        <v>25</v>
      </c>
      <c r="H867" s="4" t="s">
        <v>25</v>
      </c>
      <c r="I867" s="5">
        <v>44440</v>
      </c>
      <c r="J867" s="6">
        <v>0</v>
      </c>
      <c r="K867" s="6">
        <v>0</v>
      </c>
      <c r="L867" s="6">
        <v>-69.834999999999994</v>
      </c>
      <c r="M867" s="6">
        <v>-69.834999999999994</v>
      </c>
      <c r="N867" s="6">
        <v>-69.834999999999994</v>
      </c>
      <c r="O867" s="6">
        <v>-69.834999999999994</v>
      </c>
      <c r="P867" s="6">
        <v>0</v>
      </c>
      <c r="Q867" s="4" t="s">
        <v>26</v>
      </c>
      <c r="R867" s="4">
        <v>0</v>
      </c>
      <c r="S867" s="4">
        <v>0</v>
      </c>
      <c r="T867" s="4">
        <v>27</v>
      </c>
      <c r="U867" s="4">
        <v>85</v>
      </c>
      <c r="V867" s="6">
        <f>IF(ISERROR(VLOOKUP($S$867,'TAR FIN'!$A$1:$O$104,15,0)),0,VLOOKUP($S$867,'TAR FIN'!$A$1:$O$104,15,0))</f>
        <v>0</v>
      </c>
      <c r="W867" s="6">
        <f>IF(ISERROR(VLOOKUP($T$867,'TAR FIN'!$A$1:$O$104,15,0)),0,VLOOKUP($T$867,'TAR FIN'!$A$1:$O$104,15,0))</f>
        <v>300.26</v>
      </c>
      <c r="X867" s="6">
        <f>IF(ISERROR(VLOOKUP($U$867,'TAR FIN'!$A$1:$O$104,15,0)),0,VLOOKUP($U$867,'TAR FIN'!$A$1:$O$104,15,0))</f>
        <v>225.04</v>
      </c>
      <c r="Y867" s="6"/>
      <c r="Z867" s="6">
        <f ca="1">('TUSD BE'!$AM$47+'TUSD BF'!$AM$47+'TUSD CVA'!$AM$47)*(1-CUSTOS!$M$38)</f>
        <v>335.21342816228281</v>
      </c>
      <c r="AA867" s="6">
        <f>('TE BE'!$AB$26+'TE BF'!$AB$26+'TE CVA'!$AB$26)*(1-CUSTOS!$M$38)</f>
        <v>227.92247399192311</v>
      </c>
      <c r="AB867" s="6">
        <f t="shared" si="42"/>
        <v>0</v>
      </c>
      <c r="AC867" s="6">
        <f>(L867-M867)*(W867+X867)+($W$672+$X$672-$W$867-$X$867)*(L867)</f>
        <v>-5001.5826999999981</v>
      </c>
      <c r="AD867" s="6">
        <f t="shared" si="43"/>
        <v>0</v>
      </c>
      <c r="AE867" s="6">
        <f ca="1">(L867-M867)*(Z867+AA867)+($Z$672+$AA$672-$Z$867-$AA$867)*(L867)</f>
        <v>-2510.2082378897294</v>
      </c>
      <c r="AF867" s="4" t="s">
        <v>998</v>
      </c>
    </row>
    <row r="868" spans="1:32" ht="11.25" customHeight="1" x14ac:dyDescent="0.25">
      <c r="A868" s="4" t="s">
        <v>28</v>
      </c>
      <c r="B868" s="4" t="s">
        <v>44</v>
      </c>
      <c r="C868" s="4" t="s">
        <v>23</v>
      </c>
      <c r="D868" s="4" t="s">
        <v>45</v>
      </c>
      <c r="E868" s="4" t="s">
        <v>53</v>
      </c>
      <c r="F868" s="4" t="s">
        <v>54</v>
      </c>
      <c r="G868" s="4" t="s">
        <v>25</v>
      </c>
      <c r="H868" s="4" t="s">
        <v>25</v>
      </c>
      <c r="I868" s="5">
        <v>44440</v>
      </c>
      <c r="J868" s="6">
        <v>0</v>
      </c>
      <c r="K868" s="6">
        <v>0</v>
      </c>
      <c r="L868" s="6">
        <v>57.8</v>
      </c>
      <c r="M868" s="6">
        <v>57.8</v>
      </c>
      <c r="N868" s="6">
        <v>57.8</v>
      </c>
      <c r="O868" s="6">
        <v>57.8</v>
      </c>
      <c r="P868" s="6">
        <v>0</v>
      </c>
      <c r="Q868" s="4" t="s">
        <v>26</v>
      </c>
      <c r="R868" s="4">
        <v>0</v>
      </c>
      <c r="S868" s="4">
        <v>0</v>
      </c>
      <c r="T868" s="4">
        <v>27</v>
      </c>
      <c r="U868" s="4">
        <v>85</v>
      </c>
      <c r="V868" s="6">
        <f>IF(ISERROR(VLOOKUP($S$868,'TAR FIN'!$A$1:$O$104,15,0)),0,VLOOKUP($S$868,'TAR FIN'!$A$1:$O$104,15,0))</f>
        <v>0</v>
      </c>
      <c r="W868" s="6">
        <f>IF(ISERROR(VLOOKUP($T$868,'TAR FIN'!$A$1:$O$104,15,0)),0,VLOOKUP($T$868,'TAR FIN'!$A$1:$O$104,15,0))</f>
        <v>300.26</v>
      </c>
      <c r="X868" s="6">
        <f>IF(ISERROR(VLOOKUP($U$868,'TAR FIN'!$A$1:$O$104,15,0)),0,VLOOKUP($U$868,'TAR FIN'!$A$1:$O$104,15,0))</f>
        <v>225.04</v>
      </c>
      <c r="Y868" s="6"/>
      <c r="Z868" s="6">
        <f ca="1">('TUSD BE'!$AM$47+'TUSD BF'!$AM$47+'TUSD CVA'!$AM$47)*(1-CUSTOS!$M$38)</f>
        <v>335.21342816228281</v>
      </c>
      <c r="AA868" s="6">
        <f>('TE BE'!$AB$26+'TE BF'!$AB$26+'TE CVA'!$AB$26)*(1-CUSTOS!$M$38)</f>
        <v>227.92247399192311</v>
      </c>
      <c r="AB868" s="6">
        <f t="shared" si="42"/>
        <v>0</v>
      </c>
      <c r="AC868" s="6">
        <f>(L868-M868)*(W868+X868)+($W$672+$X$672-$W$868-$X$868)*(L868)</f>
        <v>4139.6359999999986</v>
      </c>
      <c r="AD868" s="6">
        <f t="shared" si="43"/>
        <v>0</v>
      </c>
      <c r="AE868" s="6">
        <f ca="1">(L868-M868)*(Z868+AA868)+($Z$672+$AA$672-$Z$868-$AA$868)*(L868)</f>
        <v>2077.612030500843</v>
      </c>
      <c r="AF868" s="4" t="s">
        <v>998</v>
      </c>
    </row>
    <row r="869" spans="1:32" ht="11.25" customHeight="1" x14ac:dyDescent="0.25">
      <c r="A869" s="4" t="s">
        <v>21</v>
      </c>
      <c r="B869" s="4" t="s">
        <v>44</v>
      </c>
      <c r="C869" s="4" t="s">
        <v>23</v>
      </c>
      <c r="D869" s="4" t="s">
        <v>45</v>
      </c>
      <c r="E869" s="4" t="s">
        <v>53</v>
      </c>
      <c r="F869" s="4" t="s">
        <v>54</v>
      </c>
      <c r="G869" s="4" t="s">
        <v>25</v>
      </c>
      <c r="H869" s="4" t="s">
        <v>25</v>
      </c>
      <c r="I869" s="5">
        <v>44470</v>
      </c>
      <c r="J869" s="6">
        <v>0</v>
      </c>
      <c r="K869" s="6">
        <v>0</v>
      </c>
      <c r="L869" s="6">
        <v>3010.81</v>
      </c>
      <c r="M869" s="6">
        <v>3010.81</v>
      </c>
      <c r="N869" s="6">
        <v>3010.81</v>
      </c>
      <c r="O869" s="6">
        <v>3010.81</v>
      </c>
      <c r="P869" s="6">
        <v>0</v>
      </c>
      <c r="Q869" s="4" t="s">
        <v>26</v>
      </c>
      <c r="R869" s="4">
        <v>0</v>
      </c>
      <c r="S869" s="4">
        <v>0</v>
      </c>
      <c r="T869" s="4">
        <v>27</v>
      </c>
      <c r="U869" s="4">
        <v>85</v>
      </c>
      <c r="V869" s="6">
        <f>IF(ISERROR(VLOOKUP($S$869,'TAR FIN'!$A$1:$O$104,15,0)),0,VLOOKUP($S$869,'TAR FIN'!$A$1:$O$104,15,0))</f>
        <v>0</v>
      </c>
      <c r="W869" s="6">
        <f>IF(ISERROR(VLOOKUP($T$869,'TAR FIN'!$A$1:$O$104,15,0)),0,VLOOKUP($T$869,'TAR FIN'!$A$1:$O$104,15,0))</f>
        <v>300.26</v>
      </c>
      <c r="X869" s="6">
        <f>IF(ISERROR(VLOOKUP($U$869,'TAR FIN'!$A$1:$O$104,15,0)),0,VLOOKUP($U$869,'TAR FIN'!$A$1:$O$104,15,0))</f>
        <v>225.04</v>
      </c>
      <c r="Y869" s="6"/>
      <c r="Z869" s="6">
        <f ca="1">('TUSD BE'!$AM$47+'TUSD BF'!$AM$47+'TUSD CVA'!$AM$47)*(1-CUSTOS!$M$38)</f>
        <v>335.21342816228281</v>
      </c>
      <c r="AA869" s="6">
        <f>('TE BE'!$AB$26+'TE BF'!$AB$26+'TE CVA'!$AB$26)*(1-CUSTOS!$M$38)</f>
        <v>227.92247399192311</v>
      </c>
      <c r="AB869" s="6">
        <f t="shared" si="42"/>
        <v>0</v>
      </c>
      <c r="AC869" s="6">
        <f>(L869-M869)*(W869+X869)+($W$672+$X$672-$W$869-$X$869)*(L869)</f>
        <v>215634.21219999992</v>
      </c>
      <c r="AD869" s="6">
        <f t="shared" si="43"/>
        <v>0</v>
      </c>
      <c r="AE869" s="6">
        <f ca="1">(L869-M869)*(Z869+AA869)+($Z$672+$AA$672-$Z$869-$AA$869)*(L869)</f>
        <v>108223.09822754747</v>
      </c>
      <c r="AF869" s="4" t="s">
        <v>998</v>
      </c>
    </row>
    <row r="870" spans="1:32" ht="11.25" customHeight="1" x14ac:dyDescent="0.25">
      <c r="A870" s="4" t="s">
        <v>27</v>
      </c>
      <c r="B870" s="4" t="s">
        <v>44</v>
      </c>
      <c r="C870" s="4" t="s">
        <v>23</v>
      </c>
      <c r="D870" s="4" t="s">
        <v>45</v>
      </c>
      <c r="E870" s="4" t="s">
        <v>53</v>
      </c>
      <c r="F870" s="4" t="s">
        <v>54</v>
      </c>
      <c r="G870" s="4" t="s">
        <v>25</v>
      </c>
      <c r="H870" s="4" t="s">
        <v>25</v>
      </c>
      <c r="I870" s="5">
        <v>44470</v>
      </c>
      <c r="J870" s="6">
        <v>0</v>
      </c>
      <c r="K870" s="6">
        <v>0</v>
      </c>
      <c r="L870" s="6">
        <v>-160.626</v>
      </c>
      <c r="M870" s="6">
        <v>-160.626</v>
      </c>
      <c r="N870" s="6">
        <v>-160.626</v>
      </c>
      <c r="O870" s="6">
        <v>-160.626</v>
      </c>
      <c r="P870" s="6">
        <v>0</v>
      </c>
      <c r="Q870" s="4" t="s">
        <v>26</v>
      </c>
      <c r="R870" s="4">
        <v>0</v>
      </c>
      <c r="S870" s="4">
        <v>0</v>
      </c>
      <c r="T870" s="4">
        <v>27</v>
      </c>
      <c r="U870" s="4">
        <v>85</v>
      </c>
      <c r="V870" s="6">
        <f>IF(ISERROR(VLOOKUP($S$870,'TAR FIN'!$A$1:$O$104,15,0)),0,VLOOKUP($S$870,'TAR FIN'!$A$1:$O$104,15,0))</f>
        <v>0</v>
      </c>
      <c r="W870" s="6">
        <f>IF(ISERROR(VLOOKUP($T$870,'TAR FIN'!$A$1:$O$104,15,0)),0,VLOOKUP($T$870,'TAR FIN'!$A$1:$O$104,15,0))</f>
        <v>300.26</v>
      </c>
      <c r="X870" s="6">
        <f>IF(ISERROR(VLOOKUP($U$870,'TAR FIN'!$A$1:$O$104,15,0)),0,VLOOKUP($U$870,'TAR FIN'!$A$1:$O$104,15,0))</f>
        <v>225.04</v>
      </c>
      <c r="Y870" s="6"/>
      <c r="Z870" s="6">
        <f ca="1">('TUSD BE'!$AM$47+'TUSD BF'!$AM$47+'TUSD CVA'!$AM$47)*(1-CUSTOS!$M$38)</f>
        <v>335.21342816228281</v>
      </c>
      <c r="AA870" s="6">
        <f>('TE BE'!$AB$26+'TE BF'!$AB$26+'TE CVA'!$AB$26)*(1-CUSTOS!$M$38)</f>
        <v>227.92247399192311</v>
      </c>
      <c r="AB870" s="6">
        <f t="shared" si="42"/>
        <v>0</v>
      </c>
      <c r="AC870" s="6">
        <f>(L870-M870)*(W870+X870)+($W$672+$X$672-$W$870-$X$870)*(L870)</f>
        <v>-11504.034119999997</v>
      </c>
      <c r="AD870" s="6">
        <f t="shared" si="43"/>
        <v>0</v>
      </c>
      <c r="AE870" s="6">
        <f ca="1">(L870-M870)*(Z870+AA870)+($Z$672+$AA$672-$Z$870-$AA$870)*(L870)</f>
        <v>-5773.6766437928791</v>
      </c>
      <c r="AF870" s="4" t="s">
        <v>998</v>
      </c>
    </row>
    <row r="871" spans="1:32" ht="11.25" customHeight="1" x14ac:dyDescent="0.25">
      <c r="A871" s="4" t="s">
        <v>28</v>
      </c>
      <c r="B871" s="4" t="s">
        <v>44</v>
      </c>
      <c r="C871" s="4" t="s">
        <v>23</v>
      </c>
      <c r="D871" s="4" t="s">
        <v>45</v>
      </c>
      <c r="E871" s="4" t="s">
        <v>53</v>
      </c>
      <c r="F871" s="4" t="s">
        <v>54</v>
      </c>
      <c r="G871" s="4" t="s">
        <v>25</v>
      </c>
      <c r="H871" s="4" t="s">
        <v>25</v>
      </c>
      <c r="I871" s="5">
        <v>44470</v>
      </c>
      <c r="J871" s="6">
        <v>0</v>
      </c>
      <c r="K871" s="6">
        <v>0</v>
      </c>
      <c r="L871" s="6">
        <v>80.421999999999997</v>
      </c>
      <c r="M871" s="6">
        <v>80.421999999999997</v>
      </c>
      <c r="N871" s="6">
        <v>80.421999999999997</v>
      </c>
      <c r="O871" s="6">
        <v>80.421999999999997</v>
      </c>
      <c r="P871" s="6">
        <v>0</v>
      </c>
      <c r="Q871" s="4" t="s">
        <v>26</v>
      </c>
      <c r="R871" s="4">
        <v>0</v>
      </c>
      <c r="S871" s="4">
        <v>0</v>
      </c>
      <c r="T871" s="4">
        <v>27</v>
      </c>
      <c r="U871" s="4">
        <v>85</v>
      </c>
      <c r="V871" s="6">
        <f>IF(ISERROR(VLOOKUP($S$871,'TAR FIN'!$A$1:$O$104,15,0)),0,VLOOKUP($S$871,'TAR FIN'!$A$1:$O$104,15,0))</f>
        <v>0</v>
      </c>
      <c r="W871" s="6">
        <f>IF(ISERROR(VLOOKUP($T$871,'TAR FIN'!$A$1:$O$104,15,0)),0,VLOOKUP($T$871,'TAR FIN'!$A$1:$O$104,15,0))</f>
        <v>300.26</v>
      </c>
      <c r="X871" s="6">
        <f>IF(ISERROR(VLOOKUP($U$871,'TAR FIN'!$A$1:$O$104,15,0)),0,VLOOKUP($U$871,'TAR FIN'!$A$1:$O$104,15,0))</f>
        <v>225.04</v>
      </c>
      <c r="Y871" s="6"/>
      <c r="Z871" s="6">
        <f ca="1">('TUSD BE'!$AM$47+'TUSD BF'!$AM$47+'TUSD CVA'!$AM$47)*(1-CUSTOS!$M$38)</f>
        <v>335.21342816228281</v>
      </c>
      <c r="AA871" s="6">
        <f>('TE BE'!$AB$26+'TE BF'!$AB$26+'TE CVA'!$AB$26)*(1-CUSTOS!$M$38)</f>
        <v>227.92247399192311</v>
      </c>
      <c r="AB871" s="6">
        <f t="shared" si="42"/>
        <v>0</v>
      </c>
      <c r="AC871" s="6">
        <f>(L871-M871)*(W871+X871)+($W$672+$X$672-$W$871-$X$871)*(L871)</f>
        <v>5759.8236399999978</v>
      </c>
      <c r="AD871" s="6">
        <f t="shared" si="43"/>
        <v>0</v>
      </c>
      <c r="AE871" s="6">
        <f ca="1">(L871-M871)*(Z871+AA871)+($Z$672+$AA$672-$Z$871-$AA$871)*(L871)</f>
        <v>2890.7563099816402</v>
      </c>
      <c r="AF871" s="4" t="s">
        <v>998</v>
      </c>
    </row>
    <row r="872" spans="1:32" ht="11.25" customHeight="1" x14ac:dyDescent="0.25">
      <c r="A872" s="4" t="s">
        <v>21</v>
      </c>
      <c r="B872" s="4" t="s">
        <v>44</v>
      </c>
      <c r="C872" s="4" t="s">
        <v>23</v>
      </c>
      <c r="D872" s="4" t="s">
        <v>45</v>
      </c>
      <c r="E872" s="4" t="s">
        <v>53</v>
      </c>
      <c r="F872" s="4" t="s">
        <v>54</v>
      </c>
      <c r="G872" s="4" t="s">
        <v>25</v>
      </c>
      <c r="H872" s="4" t="s">
        <v>25</v>
      </c>
      <c r="I872" s="5">
        <v>44501</v>
      </c>
      <c r="J872" s="6">
        <v>0</v>
      </c>
      <c r="K872" s="6">
        <v>0</v>
      </c>
      <c r="L872" s="6">
        <v>3123.9059999999999</v>
      </c>
      <c r="M872" s="6">
        <v>3123.9059999999999</v>
      </c>
      <c r="N872" s="6">
        <v>3123.9059999999999</v>
      </c>
      <c r="O872" s="6">
        <v>3123.9059999999999</v>
      </c>
      <c r="P872" s="6">
        <v>0</v>
      </c>
      <c r="Q872" s="4" t="s">
        <v>26</v>
      </c>
      <c r="R872" s="4">
        <v>0</v>
      </c>
      <c r="S872" s="4">
        <v>0</v>
      </c>
      <c r="T872" s="4">
        <v>27</v>
      </c>
      <c r="U872" s="4">
        <v>85</v>
      </c>
      <c r="V872" s="6">
        <f>IF(ISERROR(VLOOKUP($S$872,'TAR FIN'!$A$1:$O$104,15,0)),0,VLOOKUP($S$872,'TAR FIN'!$A$1:$O$104,15,0))</f>
        <v>0</v>
      </c>
      <c r="W872" s="6">
        <f>IF(ISERROR(VLOOKUP($T$872,'TAR FIN'!$A$1:$O$104,15,0)),0,VLOOKUP($T$872,'TAR FIN'!$A$1:$O$104,15,0))</f>
        <v>300.26</v>
      </c>
      <c r="X872" s="6">
        <f>IF(ISERROR(VLOOKUP($U$872,'TAR FIN'!$A$1:$O$104,15,0)),0,VLOOKUP($U$872,'TAR FIN'!$A$1:$O$104,15,0))</f>
        <v>225.04</v>
      </c>
      <c r="Y872" s="6"/>
      <c r="Z872" s="6">
        <f ca="1">('TUSD BE'!$AM$47+'TUSD BF'!$AM$47+'TUSD CVA'!$AM$47)*(1-CUSTOS!$M$38)</f>
        <v>335.21342816228281</v>
      </c>
      <c r="AA872" s="6">
        <f>('TE BE'!$AB$26+'TE BF'!$AB$26+'TE CVA'!$AB$26)*(1-CUSTOS!$M$38)</f>
        <v>227.92247399192311</v>
      </c>
      <c r="AB872" s="6">
        <f t="shared" si="42"/>
        <v>0</v>
      </c>
      <c r="AC872" s="6">
        <f>(L872-M872)*(W872+X872)+($W$672+$X$672-$W$872-$X$872)*(L872)</f>
        <v>223734.14771999992</v>
      </c>
      <c r="AD872" s="6">
        <f t="shared" si="43"/>
        <v>0</v>
      </c>
      <c r="AE872" s="6">
        <f ca="1">(L872-M872)*(Z872+AA872)+($Z$672+$AA$672-$Z$872-$AA$872)*(L872)</f>
        <v>112288.31639712398</v>
      </c>
      <c r="AF872" s="4" t="s">
        <v>998</v>
      </c>
    </row>
    <row r="873" spans="1:32" ht="11.25" customHeight="1" x14ac:dyDescent="0.25">
      <c r="A873" s="4" t="s">
        <v>27</v>
      </c>
      <c r="B873" s="4" t="s">
        <v>44</v>
      </c>
      <c r="C873" s="4" t="s">
        <v>23</v>
      </c>
      <c r="D873" s="4" t="s">
        <v>45</v>
      </c>
      <c r="E873" s="4" t="s">
        <v>53</v>
      </c>
      <c r="F873" s="4" t="s">
        <v>54</v>
      </c>
      <c r="G873" s="4" t="s">
        <v>25</v>
      </c>
      <c r="H873" s="4" t="s">
        <v>25</v>
      </c>
      <c r="I873" s="5">
        <v>44501</v>
      </c>
      <c r="J873" s="6">
        <v>0</v>
      </c>
      <c r="K873" s="6">
        <v>0</v>
      </c>
      <c r="L873" s="6">
        <v>-52.665999999999997</v>
      </c>
      <c r="M873" s="6">
        <v>-52.665999999999997</v>
      </c>
      <c r="N873" s="6">
        <v>-52.665999999999997</v>
      </c>
      <c r="O873" s="6">
        <v>-52.665999999999997</v>
      </c>
      <c r="P873" s="6">
        <v>0</v>
      </c>
      <c r="Q873" s="4" t="s">
        <v>26</v>
      </c>
      <c r="R873" s="4">
        <v>0</v>
      </c>
      <c r="S873" s="4">
        <v>0</v>
      </c>
      <c r="T873" s="4">
        <v>27</v>
      </c>
      <c r="U873" s="4">
        <v>85</v>
      </c>
      <c r="V873" s="6">
        <f>IF(ISERROR(VLOOKUP($S$873,'TAR FIN'!$A$1:$O$104,15,0)),0,VLOOKUP($S$873,'TAR FIN'!$A$1:$O$104,15,0))</f>
        <v>0</v>
      </c>
      <c r="W873" s="6">
        <f>IF(ISERROR(VLOOKUP($T$873,'TAR FIN'!$A$1:$O$104,15,0)),0,VLOOKUP($T$873,'TAR FIN'!$A$1:$O$104,15,0))</f>
        <v>300.26</v>
      </c>
      <c r="X873" s="6">
        <f>IF(ISERROR(VLOOKUP($U$873,'TAR FIN'!$A$1:$O$104,15,0)),0,VLOOKUP($U$873,'TAR FIN'!$A$1:$O$104,15,0))</f>
        <v>225.04</v>
      </c>
      <c r="Y873" s="6"/>
      <c r="Z873" s="6">
        <f ca="1">('TUSD BE'!$AM$47+'TUSD BF'!$AM$47+'TUSD CVA'!$AM$47)*(1-CUSTOS!$M$38)</f>
        <v>335.21342816228281</v>
      </c>
      <c r="AA873" s="6">
        <f>('TE BE'!$AB$26+'TE BF'!$AB$26+'TE CVA'!$AB$26)*(1-CUSTOS!$M$38)</f>
        <v>227.92247399192311</v>
      </c>
      <c r="AB873" s="6">
        <f t="shared" si="42"/>
        <v>0</v>
      </c>
      <c r="AC873" s="6">
        <f>(L873-M873)*(W873+X873)+($W$672+$X$672-$W$873-$X$873)*(L873)</f>
        <v>-3771.9389199999987</v>
      </c>
      <c r="AD873" s="6">
        <f t="shared" si="43"/>
        <v>0</v>
      </c>
      <c r="AE873" s="6">
        <f ca="1">(L873-M873)*(Z873+AA873)+($Z$672+$AA$672-$Z$873-$AA$873)*(L873)</f>
        <v>-1893.0711972034151</v>
      </c>
      <c r="AF873" s="4" t="s">
        <v>998</v>
      </c>
    </row>
    <row r="874" spans="1:32" ht="11.25" customHeight="1" x14ac:dyDescent="0.25">
      <c r="A874" s="4" t="s">
        <v>28</v>
      </c>
      <c r="B874" s="4" t="s">
        <v>44</v>
      </c>
      <c r="C874" s="4" t="s">
        <v>23</v>
      </c>
      <c r="D874" s="4" t="s">
        <v>45</v>
      </c>
      <c r="E874" s="4" t="s">
        <v>53</v>
      </c>
      <c r="F874" s="4" t="s">
        <v>54</v>
      </c>
      <c r="G874" s="4" t="s">
        <v>25</v>
      </c>
      <c r="H874" s="4" t="s">
        <v>25</v>
      </c>
      <c r="I874" s="5">
        <v>44501</v>
      </c>
      <c r="J874" s="6">
        <v>0</v>
      </c>
      <c r="K874" s="6">
        <v>0</v>
      </c>
      <c r="L874" s="6">
        <v>112.06699999999999</v>
      </c>
      <c r="M874" s="6">
        <v>112.06699999999999</v>
      </c>
      <c r="N874" s="6">
        <v>112.06699999999999</v>
      </c>
      <c r="O874" s="6">
        <v>112.06699999999999</v>
      </c>
      <c r="P874" s="6">
        <v>0</v>
      </c>
      <c r="Q874" s="4" t="s">
        <v>26</v>
      </c>
      <c r="R874" s="4">
        <v>0</v>
      </c>
      <c r="S874" s="4">
        <v>0</v>
      </c>
      <c r="T874" s="4">
        <v>27</v>
      </c>
      <c r="U874" s="4">
        <v>85</v>
      </c>
      <c r="V874" s="6">
        <f>IF(ISERROR(VLOOKUP($S$874,'TAR FIN'!$A$1:$O$104,15,0)),0,VLOOKUP($S$874,'TAR FIN'!$A$1:$O$104,15,0))</f>
        <v>0</v>
      </c>
      <c r="W874" s="6">
        <f>IF(ISERROR(VLOOKUP($T$874,'TAR FIN'!$A$1:$O$104,15,0)),0,VLOOKUP($T$874,'TAR FIN'!$A$1:$O$104,15,0))</f>
        <v>300.26</v>
      </c>
      <c r="X874" s="6">
        <f>IF(ISERROR(VLOOKUP($U$874,'TAR FIN'!$A$1:$O$104,15,0)),0,VLOOKUP($U$874,'TAR FIN'!$A$1:$O$104,15,0))</f>
        <v>225.04</v>
      </c>
      <c r="Y874" s="6"/>
      <c r="Z874" s="6">
        <f ca="1">('TUSD BE'!$AM$47+'TUSD BF'!$AM$47+'TUSD CVA'!$AM$47)*(1-CUSTOS!$M$38)</f>
        <v>335.21342816228281</v>
      </c>
      <c r="AA874" s="6">
        <f>('TE BE'!$AB$26+'TE BF'!$AB$26+'TE CVA'!$AB$26)*(1-CUSTOS!$M$38)</f>
        <v>227.92247399192311</v>
      </c>
      <c r="AB874" s="6">
        <f t="shared" si="42"/>
        <v>0</v>
      </c>
      <c r="AC874" s="6">
        <f>(L874-M874)*(W874+X874)+($W$672+$X$672-$W$874-$X$874)*(L874)</f>
        <v>8026.2385399999966</v>
      </c>
      <c r="AD874" s="6">
        <f t="shared" si="43"/>
        <v>0</v>
      </c>
      <c r="AE874" s="6">
        <f ca="1">(L874-M874)*(Z874+AA874)+($Z$672+$AA$672-$Z$874-$AA$874)*(L874)</f>
        <v>4028.2309242584424</v>
      </c>
      <c r="AF874" s="4" t="s">
        <v>998</v>
      </c>
    </row>
    <row r="875" spans="1:32" ht="11.25" customHeight="1" x14ac:dyDescent="0.25">
      <c r="A875" s="4" t="s">
        <v>21</v>
      </c>
      <c r="B875" s="4" t="s">
        <v>44</v>
      </c>
      <c r="C875" s="4" t="s">
        <v>23</v>
      </c>
      <c r="D875" s="4" t="s">
        <v>45</v>
      </c>
      <c r="E875" s="4" t="s">
        <v>53</v>
      </c>
      <c r="F875" s="4" t="s">
        <v>54</v>
      </c>
      <c r="G875" s="4" t="s">
        <v>25</v>
      </c>
      <c r="H875" s="4" t="s">
        <v>25</v>
      </c>
      <c r="I875" s="5">
        <v>44531</v>
      </c>
      <c r="J875" s="6">
        <v>0</v>
      </c>
      <c r="K875" s="6">
        <v>0</v>
      </c>
      <c r="L875" s="6">
        <v>3471.3240000000001</v>
      </c>
      <c r="M875" s="6">
        <v>3471.3240000000001</v>
      </c>
      <c r="N875" s="6">
        <v>3471.3240000000001</v>
      </c>
      <c r="O875" s="6">
        <v>3471.3240000000001</v>
      </c>
      <c r="P875" s="6">
        <v>0</v>
      </c>
      <c r="Q875" s="4" t="s">
        <v>26</v>
      </c>
      <c r="R875" s="4">
        <v>0</v>
      </c>
      <c r="S875" s="4">
        <v>0</v>
      </c>
      <c r="T875" s="4">
        <v>27</v>
      </c>
      <c r="U875" s="4">
        <v>85</v>
      </c>
      <c r="V875" s="6">
        <f>IF(ISERROR(VLOOKUP($S$875,'TAR FIN'!$A$1:$O$104,15,0)),0,VLOOKUP($S$875,'TAR FIN'!$A$1:$O$104,15,0))</f>
        <v>0</v>
      </c>
      <c r="W875" s="6">
        <f>IF(ISERROR(VLOOKUP($T$875,'TAR FIN'!$A$1:$O$104,15,0)),0,VLOOKUP($T$875,'TAR FIN'!$A$1:$O$104,15,0))</f>
        <v>300.26</v>
      </c>
      <c r="X875" s="6">
        <f>IF(ISERROR(VLOOKUP($U$875,'TAR FIN'!$A$1:$O$104,15,0)),0,VLOOKUP($U$875,'TAR FIN'!$A$1:$O$104,15,0))</f>
        <v>225.04</v>
      </c>
      <c r="Y875" s="6"/>
      <c r="Z875" s="6">
        <f ca="1">('TUSD BE'!$AM$47+'TUSD BF'!$AM$47+'TUSD CVA'!$AM$47)*(1-CUSTOS!$M$38)</f>
        <v>335.21342816228281</v>
      </c>
      <c r="AA875" s="6">
        <f>('TE BE'!$AB$26+'TE BF'!$AB$26+'TE CVA'!$AB$26)*(1-CUSTOS!$M$38)</f>
        <v>227.92247399192311</v>
      </c>
      <c r="AB875" s="6">
        <f t="shared" si="42"/>
        <v>0</v>
      </c>
      <c r="AC875" s="6">
        <f>(L875-M875)*(W875+X875)+($W$672+$X$672-$W$875-$X$875)*(L875)</f>
        <v>248616.22487999994</v>
      </c>
      <c r="AD875" s="6">
        <f t="shared" si="43"/>
        <v>0</v>
      </c>
      <c r="AE875" s="6">
        <f ca="1">(L875-M875)*(Z875+AA875)+($Z$672+$AA$672-$Z$875-$AA$875)*(L875)</f>
        <v>124776.20249422679</v>
      </c>
      <c r="AF875" s="4" t="s">
        <v>998</v>
      </c>
    </row>
    <row r="876" spans="1:32" ht="11.25" customHeight="1" x14ac:dyDescent="0.25">
      <c r="A876" s="4" t="s">
        <v>27</v>
      </c>
      <c r="B876" s="4" t="s">
        <v>44</v>
      </c>
      <c r="C876" s="4" t="s">
        <v>23</v>
      </c>
      <c r="D876" s="4" t="s">
        <v>45</v>
      </c>
      <c r="E876" s="4" t="s">
        <v>53</v>
      </c>
      <c r="F876" s="4" t="s">
        <v>54</v>
      </c>
      <c r="G876" s="4" t="s">
        <v>25</v>
      </c>
      <c r="H876" s="4" t="s">
        <v>25</v>
      </c>
      <c r="I876" s="5">
        <v>44531</v>
      </c>
      <c r="J876" s="6">
        <v>0</v>
      </c>
      <c r="K876" s="6">
        <v>0</v>
      </c>
      <c r="L876" s="6">
        <v>-107.721</v>
      </c>
      <c r="M876" s="6">
        <v>-107.721</v>
      </c>
      <c r="N876" s="6">
        <v>-107.721</v>
      </c>
      <c r="O876" s="6">
        <v>-107.721</v>
      </c>
      <c r="P876" s="6">
        <v>0</v>
      </c>
      <c r="Q876" s="4" t="s">
        <v>26</v>
      </c>
      <c r="R876" s="4">
        <v>0</v>
      </c>
      <c r="S876" s="4">
        <v>0</v>
      </c>
      <c r="T876" s="4">
        <v>27</v>
      </c>
      <c r="U876" s="4">
        <v>85</v>
      </c>
      <c r="V876" s="6">
        <f>IF(ISERROR(VLOOKUP($S$876,'TAR FIN'!$A$1:$O$104,15,0)),0,VLOOKUP($S$876,'TAR FIN'!$A$1:$O$104,15,0))</f>
        <v>0</v>
      </c>
      <c r="W876" s="6">
        <f>IF(ISERROR(VLOOKUP($T$876,'TAR FIN'!$A$1:$O$104,15,0)),0,VLOOKUP($T$876,'TAR FIN'!$A$1:$O$104,15,0))</f>
        <v>300.26</v>
      </c>
      <c r="X876" s="6">
        <f>IF(ISERROR(VLOOKUP($U$876,'TAR FIN'!$A$1:$O$104,15,0)),0,VLOOKUP($U$876,'TAR FIN'!$A$1:$O$104,15,0))</f>
        <v>225.04</v>
      </c>
      <c r="Y876" s="6"/>
      <c r="Z876" s="6">
        <f ca="1">('TUSD BE'!$AM$47+'TUSD BF'!$AM$47+'TUSD CVA'!$AM$47)*(1-CUSTOS!$M$38)</f>
        <v>335.21342816228281</v>
      </c>
      <c r="AA876" s="6">
        <f>('TE BE'!$AB$26+'TE BF'!$AB$26+'TE CVA'!$AB$26)*(1-CUSTOS!$M$38)</f>
        <v>227.92247399192311</v>
      </c>
      <c r="AB876" s="6">
        <f t="shared" si="42"/>
        <v>0</v>
      </c>
      <c r="AC876" s="6">
        <f>(L876-M876)*(W876+X876)+($W$672+$X$672-$W$876-$X$876)*(L876)</f>
        <v>-7714.9780199999977</v>
      </c>
      <c r="AD876" s="6">
        <f t="shared" si="43"/>
        <v>0</v>
      </c>
      <c r="AE876" s="6">
        <f ca="1">(L876-M876)*(Z876+AA876)+($Z$672+$AA$672-$Z$876-$AA$876)*(L876)</f>
        <v>-3872.0146286778777</v>
      </c>
      <c r="AF876" s="4" t="s">
        <v>998</v>
      </c>
    </row>
    <row r="877" spans="1:32" ht="11.25" customHeight="1" x14ac:dyDescent="0.25">
      <c r="A877" s="4" t="s">
        <v>28</v>
      </c>
      <c r="B877" s="4" t="s">
        <v>44</v>
      </c>
      <c r="C877" s="4" t="s">
        <v>23</v>
      </c>
      <c r="D877" s="4" t="s">
        <v>45</v>
      </c>
      <c r="E877" s="4" t="s">
        <v>53</v>
      </c>
      <c r="F877" s="4" t="s">
        <v>54</v>
      </c>
      <c r="G877" s="4" t="s">
        <v>25</v>
      </c>
      <c r="H877" s="4" t="s">
        <v>25</v>
      </c>
      <c r="I877" s="5">
        <v>44531</v>
      </c>
      <c r="J877" s="6">
        <v>0</v>
      </c>
      <c r="K877" s="6">
        <v>0</v>
      </c>
      <c r="L877" s="6">
        <v>123.726</v>
      </c>
      <c r="M877" s="6">
        <v>123.726</v>
      </c>
      <c r="N877" s="6">
        <v>123.726</v>
      </c>
      <c r="O877" s="6">
        <v>123.726</v>
      </c>
      <c r="P877" s="6">
        <v>0</v>
      </c>
      <c r="Q877" s="4" t="s">
        <v>26</v>
      </c>
      <c r="R877" s="4">
        <v>0</v>
      </c>
      <c r="S877" s="4">
        <v>0</v>
      </c>
      <c r="T877" s="4">
        <v>27</v>
      </c>
      <c r="U877" s="4">
        <v>85</v>
      </c>
      <c r="V877" s="6">
        <f>IF(ISERROR(VLOOKUP($S$877,'TAR FIN'!$A$1:$O$104,15,0)),0,VLOOKUP($S$877,'TAR FIN'!$A$1:$O$104,15,0))</f>
        <v>0</v>
      </c>
      <c r="W877" s="6">
        <f>IF(ISERROR(VLOOKUP($T$877,'TAR FIN'!$A$1:$O$104,15,0)),0,VLOOKUP($T$877,'TAR FIN'!$A$1:$O$104,15,0))</f>
        <v>300.26</v>
      </c>
      <c r="X877" s="6">
        <f>IF(ISERROR(VLOOKUP($U$877,'TAR FIN'!$A$1:$O$104,15,0)),0,VLOOKUP($U$877,'TAR FIN'!$A$1:$O$104,15,0))</f>
        <v>225.04</v>
      </c>
      <c r="Y877" s="6"/>
      <c r="Z877" s="6">
        <f ca="1">('TUSD BE'!$AM$47+'TUSD BF'!$AM$47+'TUSD CVA'!$AM$47)*(1-CUSTOS!$M$38)</f>
        <v>335.21342816228281</v>
      </c>
      <c r="AA877" s="6">
        <f>('TE BE'!$AB$26+'TE BF'!$AB$26+'TE CVA'!$AB$26)*(1-CUSTOS!$M$38)</f>
        <v>227.92247399192311</v>
      </c>
      <c r="AB877" s="6">
        <f t="shared" si="42"/>
        <v>0</v>
      </c>
      <c r="AC877" s="6">
        <f>(L877-M877)*(W877+X877)+($W$672+$X$672-$W$877-$X$877)*(L877)</f>
        <v>8861.2561199999964</v>
      </c>
      <c r="AD877" s="6">
        <f t="shared" si="43"/>
        <v>0</v>
      </c>
      <c r="AE877" s="6">
        <f ca="1">(L877-M877)*(Z877+AA877)+($Z$672+$AA$672-$Z$877-$AA$877)*(L877)</f>
        <v>4447.3118699956285</v>
      </c>
      <c r="AF877" s="4" t="s">
        <v>998</v>
      </c>
    </row>
    <row r="878" spans="1:32" ht="11.25" customHeight="1" x14ac:dyDescent="0.25">
      <c r="A878" s="4" t="s">
        <v>21</v>
      </c>
      <c r="B878" s="4" t="s">
        <v>44</v>
      </c>
      <c r="C878" s="4" t="s">
        <v>23</v>
      </c>
      <c r="D878" s="4" t="s">
        <v>45</v>
      </c>
      <c r="E878" s="4" t="s">
        <v>53</v>
      </c>
      <c r="F878" s="4" t="s">
        <v>54</v>
      </c>
      <c r="G878" s="4" t="s">
        <v>25</v>
      </c>
      <c r="H878" s="4" t="s">
        <v>25</v>
      </c>
      <c r="I878" s="5">
        <v>44562</v>
      </c>
      <c r="J878" s="6">
        <v>0</v>
      </c>
      <c r="K878" s="6">
        <v>0</v>
      </c>
      <c r="L878" s="6">
        <v>2284.2489999999998</v>
      </c>
      <c r="M878" s="6">
        <v>2284.2489999999998</v>
      </c>
      <c r="N878" s="6">
        <v>2284.2489999999998</v>
      </c>
      <c r="O878" s="6">
        <v>2284.2489999999998</v>
      </c>
      <c r="P878" s="6">
        <v>0</v>
      </c>
      <c r="Q878" s="4" t="s">
        <v>26</v>
      </c>
      <c r="R878" s="4">
        <v>0</v>
      </c>
      <c r="S878" s="4">
        <v>0</v>
      </c>
      <c r="T878" s="4">
        <v>27</v>
      </c>
      <c r="U878" s="4">
        <v>85</v>
      </c>
      <c r="V878" s="6">
        <f>IF(ISERROR(VLOOKUP($S$878,'TAR FIN'!$A$1:$O$104,15,0)),0,VLOOKUP($S$878,'TAR FIN'!$A$1:$O$104,15,0))</f>
        <v>0</v>
      </c>
      <c r="W878" s="6">
        <f>IF(ISERROR(VLOOKUP($T$878,'TAR FIN'!$A$1:$O$104,15,0)),0,VLOOKUP($T$878,'TAR FIN'!$A$1:$O$104,15,0))</f>
        <v>300.26</v>
      </c>
      <c r="X878" s="6">
        <f>IF(ISERROR(VLOOKUP($U$878,'TAR FIN'!$A$1:$O$104,15,0)),0,VLOOKUP($U$878,'TAR FIN'!$A$1:$O$104,15,0))</f>
        <v>225.04</v>
      </c>
      <c r="Y878" s="6"/>
      <c r="Z878" s="6">
        <f ca="1">('TUSD BE'!$AM$47+'TUSD BF'!$AM$47+'TUSD CVA'!$AM$47)*(1-CUSTOS!$M$38)</f>
        <v>335.21342816228281</v>
      </c>
      <c r="AA878" s="6">
        <f>('TE BE'!$AB$26+'TE BF'!$AB$26+'TE CVA'!$AB$26)*(1-CUSTOS!$M$38)</f>
        <v>227.92247399192311</v>
      </c>
      <c r="AB878" s="6">
        <f t="shared" si="42"/>
        <v>0</v>
      </c>
      <c r="AC878" s="6">
        <f>(L878-M878)*(W878+X878)+($W$672+$X$672-$W$878-$X$878)*(L878)</f>
        <v>163597.91337999993</v>
      </c>
      <c r="AD878" s="6">
        <f t="shared" si="43"/>
        <v>0</v>
      </c>
      <c r="AE878" s="6">
        <f ca="1">(L878-M878)*(Z878+AA878)+($Z$672+$AA$672-$Z$878-$AA$878)*(L878)</f>
        <v>82106.975831479576</v>
      </c>
      <c r="AF878" s="4" t="s">
        <v>998</v>
      </c>
    </row>
    <row r="879" spans="1:32" ht="11.25" customHeight="1" x14ac:dyDescent="0.25">
      <c r="A879" s="4" t="s">
        <v>27</v>
      </c>
      <c r="B879" s="4" t="s">
        <v>44</v>
      </c>
      <c r="C879" s="4" t="s">
        <v>23</v>
      </c>
      <c r="D879" s="4" t="s">
        <v>45</v>
      </c>
      <c r="E879" s="4" t="s">
        <v>53</v>
      </c>
      <c r="F879" s="4" t="s">
        <v>54</v>
      </c>
      <c r="G879" s="4" t="s">
        <v>25</v>
      </c>
      <c r="H879" s="4" t="s">
        <v>25</v>
      </c>
      <c r="I879" s="5">
        <v>44562</v>
      </c>
      <c r="J879" s="6">
        <v>0</v>
      </c>
      <c r="K879" s="6">
        <v>0</v>
      </c>
      <c r="L879" s="6">
        <v>-27.282</v>
      </c>
      <c r="M879" s="6">
        <v>-27.282</v>
      </c>
      <c r="N879" s="6">
        <v>-27.282</v>
      </c>
      <c r="O879" s="6">
        <v>-27.282</v>
      </c>
      <c r="P879" s="6">
        <v>0</v>
      </c>
      <c r="Q879" s="4" t="s">
        <v>26</v>
      </c>
      <c r="R879" s="4">
        <v>0</v>
      </c>
      <c r="S879" s="4">
        <v>0</v>
      </c>
      <c r="T879" s="4">
        <v>27</v>
      </c>
      <c r="U879" s="4">
        <v>85</v>
      </c>
      <c r="V879" s="6">
        <f>IF(ISERROR(VLOOKUP($S$879,'TAR FIN'!$A$1:$O$104,15,0)),0,VLOOKUP($S$879,'TAR FIN'!$A$1:$O$104,15,0))</f>
        <v>0</v>
      </c>
      <c r="W879" s="6">
        <f>IF(ISERROR(VLOOKUP($T$879,'TAR FIN'!$A$1:$O$104,15,0)),0,VLOOKUP($T$879,'TAR FIN'!$A$1:$O$104,15,0))</f>
        <v>300.26</v>
      </c>
      <c r="X879" s="6">
        <f>IF(ISERROR(VLOOKUP($U$879,'TAR FIN'!$A$1:$O$104,15,0)),0,VLOOKUP($U$879,'TAR FIN'!$A$1:$O$104,15,0))</f>
        <v>225.04</v>
      </c>
      <c r="Y879" s="6"/>
      <c r="Z879" s="6">
        <f ca="1">('TUSD BE'!$AM$47+'TUSD BF'!$AM$47+'TUSD CVA'!$AM$47)*(1-CUSTOS!$M$38)</f>
        <v>335.21342816228281</v>
      </c>
      <c r="AA879" s="6">
        <f>('TE BE'!$AB$26+'TE BF'!$AB$26+'TE CVA'!$AB$26)*(1-CUSTOS!$M$38)</f>
        <v>227.92247399192311</v>
      </c>
      <c r="AB879" s="6">
        <f t="shared" si="42"/>
        <v>0</v>
      </c>
      <c r="AC879" s="6">
        <f>(L879-M879)*(W879+X879)+($W$672+$X$672-$W$879-$X$879)*(L879)</f>
        <v>-1953.9368399999994</v>
      </c>
      <c r="AD879" s="6">
        <f t="shared" si="43"/>
        <v>0</v>
      </c>
      <c r="AE879" s="6">
        <f ca="1">(L879-M879)*(Z879+AA879)+($Z$672+$AA$672-$Z$879-$AA$879)*(L879)</f>
        <v>-980.64725633432533</v>
      </c>
      <c r="AF879" s="4" t="s">
        <v>998</v>
      </c>
    </row>
    <row r="880" spans="1:32" ht="11.25" customHeight="1" x14ac:dyDescent="0.25">
      <c r="A880" s="4" t="s">
        <v>28</v>
      </c>
      <c r="B880" s="4" t="s">
        <v>44</v>
      </c>
      <c r="C880" s="4" t="s">
        <v>23</v>
      </c>
      <c r="D880" s="4" t="s">
        <v>45</v>
      </c>
      <c r="E880" s="4" t="s">
        <v>53</v>
      </c>
      <c r="F880" s="4" t="s">
        <v>54</v>
      </c>
      <c r="G880" s="4" t="s">
        <v>25</v>
      </c>
      <c r="H880" s="4" t="s">
        <v>25</v>
      </c>
      <c r="I880" s="5">
        <v>44562</v>
      </c>
      <c r="J880" s="6">
        <v>0</v>
      </c>
      <c r="K880" s="6">
        <v>0</v>
      </c>
      <c r="L880" s="6">
        <v>81.566000000000003</v>
      </c>
      <c r="M880" s="6">
        <v>81.566000000000003</v>
      </c>
      <c r="N880" s="6">
        <v>81.566000000000003</v>
      </c>
      <c r="O880" s="6">
        <v>81.566000000000003</v>
      </c>
      <c r="P880" s="6">
        <v>0</v>
      </c>
      <c r="Q880" s="4" t="s">
        <v>26</v>
      </c>
      <c r="R880" s="4">
        <v>0</v>
      </c>
      <c r="S880" s="4">
        <v>0</v>
      </c>
      <c r="T880" s="4">
        <v>27</v>
      </c>
      <c r="U880" s="4">
        <v>85</v>
      </c>
      <c r="V880" s="6">
        <f>IF(ISERROR(VLOOKUP($S$880,'TAR FIN'!$A$1:$O$104,15,0)),0,VLOOKUP($S$880,'TAR FIN'!$A$1:$O$104,15,0))</f>
        <v>0</v>
      </c>
      <c r="W880" s="6">
        <f>IF(ISERROR(VLOOKUP($T$880,'TAR FIN'!$A$1:$O$104,15,0)),0,VLOOKUP($T$880,'TAR FIN'!$A$1:$O$104,15,0))</f>
        <v>300.26</v>
      </c>
      <c r="X880" s="6">
        <f>IF(ISERROR(VLOOKUP($U$880,'TAR FIN'!$A$1:$O$104,15,0)),0,VLOOKUP($U$880,'TAR FIN'!$A$1:$O$104,15,0))</f>
        <v>225.04</v>
      </c>
      <c r="Y880" s="6"/>
      <c r="Z880" s="6">
        <f ca="1">('TUSD BE'!$AM$47+'TUSD BF'!$AM$47+'TUSD CVA'!$AM$47)*(1-CUSTOS!$M$38)</f>
        <v>335.21342816228281</v>
      </c>
      <c r="AA880" s="6">
        <f>('TE BE'!$AB$26+'TE BF'!$AB$26+'TE CVA'!$AB$26)*(1-CUSTOS!$M$38)</f>
        <v>227.92247399192311</v>
      </c>
      <c r="AB880" s="6">
        <f t="shared" si="42"/>
        <v>0</v>
      </c>
      <c r="AC880" s="6">
        <f>(L880-M880)*(W880+X880)+($W$672+$X$672-$W$880-$X$880)*(L880)</f>
        <v>5841.756919999998</v>
      </c>
      <c r="AD880" s="6">
        <f t="shared" si="43"/>
        <v>0</v>
      </c>
      <c r="AE880" s="6">
        <f ca="1">(L880-M880)*(Z880+AA880)+($Z$672+$AA$672-$Z$880-$AA$880)*(L880)</f>
        <v>2931.8772124538368</v>
      </c>
      <c r="AF880" s="4" t="s">
        <v>998</v>
      </c>
    </row>
    <row r="881" spans="1:32" ht="11.25" customHeight="1" x14ac:dyDescent="0.25">
      <c r="A881" s="4" t="s">
        <v>21</v>
      </c>
      <c r="B881" s="4" t="s">
        <v>44</v>
      </c>
      <c r="C881" s="4" t="s">
        <v>23</v>
      </c>
      <c r="D881" s="4" t="s">
        <v>45</v>
      </c>
      <c r="E881" s="4" t="s">
        <v>53</v>
      </c>
      <c r="F881" s="4" t="s">
        <v>54</v>
      </c>
      <c r="G881" s="4" t="s">
        <v>25</v>
      </c>
      <c r="H881" s="4" t="s">
        <v>25</v>
      </c>
      <c r="I881" s="5">
        <v>44593</v>
      </c>
      <c r="J881" s="6">
        <v>0</v>
      </c>
      <c r="K881" s="6">
        <v>0</v>
      </c>
      <c r="L881" s="6">
        <v>1871.96</v>
      </c>
      <c r="M881" s="6">
        <v>1871.96</v>
      </c>
      <c r="N881" s="6">
        <v>1871.96</v>
      </c>
      <c r="O881" s="6">
        <v>1871.96</v>
      </c>
      <c r="P881" s="6">
        <v>0</v>
      </c>
      <c r="Q881" s="4" t="s">
        <v>26</v>
      </c>
      <c r="R881" s="4">
        <v>0</v>
      </c>
      <c r="S881" s="4">
        <v>0</v>
      </c>
      <c r="T881" s="4">
        <v>27</v>
      </c>
      <c r="U881" s="4">
        <v>85</v>
      </c>
      <c r="V881" s="6">
        <f>IF(ISERROR(VLOOKUP($S$881,'TAR FIN'!$A$1:$O$104,15,0)),0,VLOOKUP($S$881,'TAR FIN'!$A$1:$O$104,15,0))</f>
        <v>0</v>
      </c>
      <c r="W881" s="6">
        <f>IF(ISERROR(VLOOKUP($T$881,'TAR FIN'!$A$1:$O$104,15,0)),0,VLOOKUP($T$881,'TAR FIN'!$A$1:$O$104,15,0))</f>
        <v>300.26</v>
      </c>
      <c r="X881" s="6">
        <f>IF(ISERROR(VLOOKUP($U$881,'TAR FIN'!$A$1:$O$104,15,0)),0,VLOOKUP($U$881,'TAR FIN'!$A$1:$O$104,15,0))</f>
        <v>225.04</v>
      </c>
      <c r="Y881" s="6"/>
      <c r="Z881" s="6">
        <f ca="1">('TUSD BE'!$AM$47+'TUSD BF'!$AM$47+'TUSD CVA'!$AM$47)*(1-CUSTOS!$M$38)</f>
        <v>335.21342816228281</v>
      </c>
      <c r="AA881" s="6">
        <f>('TE BE'!$AB$26+'TE BF'!$AB$26+'TE CVA'!$AB$26)*(1-CUSTOS!$M$38)</f>
        <v>227.92247399192311</v>
      </c>
      <c r="AB881" s="6">
        <f t="shared" si="42"/>
        <v>0</v>
      </c>
      <c r="AC881" s="6">
        <f>(L881-M881)*(W881+X881)+($W$672+$X$672-$W$881-$X$881)*(L881)</f>
        <v>134069.77519999995</v>
      </c>
      <c r="AD881" s="6">
        <f t="shared" si="43"/>
        <v>0</v>
      </c>
      <c r="AE881" s="6">
        <f ca="1">(L881-M881)*(Z881+AA881)+($Z$672+$AA$672-$Z$881-$AA$881)*(L881)</f>
        <v>67287.311706165376</v>
      </c>
      <c r="AF881" s="4" t="s">
        <v>998</v>
      </c>
    </row>
    <row r="882" spans="1:32" ht="11.25" customHeight="1" x14ac:dyDescent="0.25">
      <c r="A882" s="4" t="s">
        <v>27</v>
      </c>
      <c r="B882" s="4" t="s">
        <v>44</v>
      </c>
      <c r="C882" s="4" t="s">
        <v>23</v>
      </c>
      <c r="D882" s="4" t="s">
        <v>45</v>
      </c>
      <c r="E882" s="4" t="s">
        <v>53</v>
      </c>
      <c r="F882" s="4" t="s">
        <v>54</v>
      </c>
      <c r="G882" s="4" t="s">
        <v>25</v>
      </c>
      <c r="H882" s="4" t="s">
        <v>25</v>
      </c>
      <c r="I882" s="5">
        <v>44593</v>
      </c>
      <c r="J882" s="6">
        <v>0</v>
      </c>
      <c r="K882" s="6">
        <v>0</v>
      </c>
      <c r="L882" s="6">
        <v>-107.125</v>
      </c>
      <c r="M882" s="6">
        <v>-107.125</v>
      </c>
      <c r="N882" s="6">
        <v>-107.125</v>
      </c>
      <c r="O882" s="6">
        <v>-107.125</v>
      </c>
      <c r="P882" s="6">
        <v>0</v>
      </c>
      <c r="Q882" s="4" t="s">
        <v>26</v>
      </c>
      <c r="R882" s="4">
        <v>0</v>
      </c>
      <c r="S882" s="4">
        <v>0</v>
      </c>
      <c r="T882" s="4">
        <v>27</v>
      </c>
      <c r="U882" s="4">
        <v>85</v>
      </c>
      <c r="V882" s="6">
        <f>IF(ISERROR(VLOOKUP($S$882,'TAR FIN'!$A$1:$O$104,15,0)),0,VLOOKUP($S$882,'TAR FIN'!$A$1:$O$104,15,0))</f>
        <v>0</v>
      </c>
      <c r="W882" s="6">
        <f>IF(ISERROR(VLOOKUP($T$882,'TAR FIN'!$A$1:$O$104,15,0)),0,VLOOKUP($T$882,'TAR FIN'!$A$1:$O$104,15,0))</f>
        <v>300.26</v>
      </c>
      <c r="X882" s="6">
        <f>IF(ISERROR(VLOOKUP($U$882,'TAR FIN'!$A$1:$O$104,15,0)),0,VLOOKUP($U$882,'TAR FIN'!$A$1:$O$104,15,0))</f>
        <v>225.04</v>
      </c>
      <c r="Y882" s="6"/>
      <c r="Z882" s="6">
        <f ca="1">('TUSD BE'!$AM$47+'TUSD BF'!$AM$47+'TUSD CVA'!$AM$47)*(1-CUSTOS!$M$38)</f>
        <v>335.21342816228281</v>
      </c>
      <c r="AA882" s="6">
        <f>('TE BE'!$AB$26+'TE BF'!$AB$26+'TE CVA'!$AB$26)*(1-CUSTOS!$M$38)</f>
        <v>227.92247399192311</v>
      </c>
      <c r="AB882" s="6">
        <f t="shared" si="42"/>
        <v>0</v>
      </c>
      <c r="AC882" s="6">
        <f>(L882-M882)*(W882+X882)+($W$672+$X$672-$W$882-$X$882)*(L882)</f>
        <v>-7672.2924999999977</v>
      </c>
      <c r="AD882" s="6">
        <f t="shared" si="43"/>
        <v>0</v>
      </c>
      <c r="AE882" s="6">
        <f ca="1">(L882-M882)*(Z882+AA882)+($Z$672+$AA$672-$Z$882-$AA$882)*(L882)</f>
        <v>-3850.5915011661386</v>
      </c>
      <c r="AF882" s="4" t="s">
        <v>998</v>
      </c>
    </row>
    <row r="883" spans="1:32" ht="11.25" customHeight="1" x14ac:dyDescent="0.25">
      <c r="A883" s="4" t="s">
        <v>28</v>
      </c>
      <c r="B883" s="4" t="s">
        <v>44</v>
      </c>
      <c r="C883" s="4" t="s">
        <v>23</v>
      </c>
      <c r="D883" s="4" t="s">
        <v>45</v>
      </c>
      <c r="E883" s="4" t="s">
        <v>53</v>
      </c>
      <c r="F883" s="4" t="s">
        <v>54</v>
      </c>
      <c r="G883" s="4" t="s">
        <v>25</v>
      </c>
      <c r="H883" s="4" t="s">
        <v>25</v>
      </c>
      <c r="I883" s="5">
        <v>44593</v>
      </c>
      <c r="J883" s="6">
        <v>0</v>
      </c>
      <c r="K883" s="6">
        <v>0</v>
      </c>
      <c r="L883" s="6">
        <v>61.600999999999999</v>
      </c>
      <c r="M883" s="6">
        <v>61.600999999999999</v>
      </c>
      <c r="N883" s="6">
        <v>61.600999999999999</v>
      </c>
      <c r="O883" s="6">
        <v>61.600999999999999</v>
      </c>
      <c r="P883" s="6">
        <v>0</v>
      </c>
      <c r="Q883" s="4" t="s">
        <v>26</v>
      </c>
      <c r="R883" s="4">
        <v>0</v>
      </c>
      <c r="S883" s="4">
        <v>0</v>
      </c>
      <c r="T883" s="4">
        <v>27</v>
      </c>
      <c r="U883" s="4">
        <v>85</v>
      </c>
      <c r="V883" s="6">
        <f>IF(ISERROR(VLOOKUP($S$883,'TAR FIN'!$A$1:$O$104,15,0)),0,VLOOKUP($S$883,'TAR FIN'!$A$1:$O$104,15,0))</f>
        <v>0</v>
      </c>
      <c r="W883" s="6">
        <f>IF(ISERROR(VLOOKUP($T$883,'TAR FIN'!$A$1:$O$104,15,0)),0,VLOOKUP($T$883,'TAR FIN'!$A$1:$O$104,15,0))</f>
        <v>300.26</v>
      </c>
      <c r="X883" s="6">
        <f>IF(ISERROR(VLOOKUP($U$883,'TAR FIN'!$A$1:$O$104,15,0)),0,VLOOKUP($U$883,'TAR FIN'!$A$1:$O$104,15,0))</f>
        <v>225.04</v>
      </c>
      <c r="Y883" s="6"/>
      <c r="Z883" s="6">
        <f ca="1">('TUSD BE'!$AM$47+'TUSD BF'!$AM$47+'TUSD CVA'!$AM$47)*(1-CUSTOS!$M$38)</f>
        <v>335.21342816228281</v>
      </c>
      <c r="AA883" s="6">
        <f>('TE BE'!$AB$26+'TE BF'!$AB$26+'TE CVA'!$AB$26)*(1-CUSTOS!$M$38)</f>
        <v>227.92247399192311</v>
      </c>
      <c r="AB883" s="6">
        <f t="shared" si="42"/>
        <v>0</v>
      </c>
      <c r="AC883" s="6">
        <f>(L883-M883)*(W883+X883)+($W$672+$X$672-$W$883-$X$883)*(L883)</f>
        <v>4411.8636199999983</v>
      </c>
      <c r="AD883" s="6">
        <f t="shared" si="43"/>
        <v>0</v>
      </c>
      <c r="AE883" s="6">
        <f ca="1">(L883-M883)*(Z883+AA883)+($Z$672+$AA$672-$Z$883-$AA$883)*(L883)</f>
        <v>2214.2383856554056</v>
      </c>
      <c r="AF883" s="4" t="s">
        <v>998</v>
      </c>
    </row>
    <row r="884" spans="1:32" ht="11.25" customHeight="1" x14ac:dyDescent="0.25">
      <c r="A884" s="4" t="s">
        <v>28</v>
      </c>
      <c r="B884" s="4" t="s">
        <v>44</v>
      </c>
      <c r="C884" s="4" t="s">
        <v>23</v>
      </c>
      <c r="D884" s="4" t="s">
        <v>45</v>
      </c>
      <c r="E884" s="4" t="s">
        <v>53</v>
      </c>
      <c r="F884" s="4" t="s">
        <v>54</v>
      </c>
      <c r="G884" s="4" t="s">
        <v>25</v>
      </c>
      <c r="H884" s="4" t="s">
        <v>25</v>
      </c>
      <c r="I884" s="5">
        <v>44593</v>
      </c>
      <c r="J884" s="6">
        <v>0</v>
      </c>
      <c r="K884" s="6">
        <v>0</v>
      </c>
      <c r="L884" s="6">
        <v>0.12</v>
      </c>
      <c r="M884" s="6">
        <v>0.12</v>
      </c>
      <c r="N884" s="6">
        <v>0.12</v>
      </c>
      <c r="O884" s="6">
        <v>0.12</v>
      </c>
      <c r="P884" s="6">
        <v>0</v>
      </c>
      <c r="Q884" s="4" t="s">
        <v>26</v>
      </c>
      <c r="R884" s="4">
        <v>0</v>
      </c>
      <c r="S884" s="4">
        <v>0</v>
      </c>
      <c r="T884" s="4">
        <v>27</v>
      </c>
      <c r="U884" s="4">
        <v>85</v>
      </c>
      <c r="V884" s="6">
        <f>IF(ISERROR(VLOOKUP($S$884,'TAR FIN'!$A$1:$O$104,15,0)),0,VLOOKUP($S$884,'TAR FIN'!$A$1:$O$104,15,0))</f>
        <v>0</v>
      </c>
      <c r="W884" s="6">
        <f>IF(ISERROR(VLOOKUP($T$884,'TAR FIN'!$A$1:$O$104,15,0)),0,VLOOKUP($T$884,'TAR FIN'!$A$1:$O$104,15,0))</f>
        <v>300.26</v>
      </c>
      <c r="X884" s="6">
        <f>IF(ISERROR(VLOOKUP($U$884,'TAR FIN'!$A$1:$O$104,15,0)),0,VLOOKUP($U$884,'TAR FIN'!$A$1:$O$104,15,0))</f>
        <v>225.04</v>
      </c>
      <c r="Y884" s="6"/>
      <c r="Z884" s="6">
        <f ca="1">('TUSD BE'!$AM$47+'TUSD BF'!$AM$47+'TUSD CVA'!$AM$47)*(1-CUSTOS!$M$38)</f>
        <v>335.21342816228281</v>
      </c>
      <c r="AA884" s="6">
        <f>('TE BE'!$AB$26+'TE BF'!$AB$26+'TE CVA'!$AB$26)*(1-CUSTOS!$M$38)</f>
        <v>227.92247399192311</v>
      </c>
      <c r="AB884" s="6">
        <f t="shared" si="42"/>
        <v>0</v>
      </c>
      <c r="AC884" s="6">
        <f>(L884-M884)*(W884+X884)+($W$672+$X$672-$W$884-$X$884)*(L884)</f>
        <v>8.5943999999999967</v>
      </c>
      <c r="AD884" s="6">
        <f t="shared" si="43"/>
        <v>0</v>
      </c>
      <c r="AE884" s="6">
        <f ca="1">(L884-M884)*(Z884+AA884)+($Z$672+$AA$672-$Z$884-$AA$884)*(L884)</f>
        <v>4.3133813782024424</v>
      </c>
      <c r="AF884" s="4" t="s">
        <v>998</v>
      </c>
    </row>
    <row r="885" spans="1:32" ht="11.25" customHeight="1" x14ac:dyDescent="0.25">
      <c r="A885" s="4" t="s">
        <v>21</v>
      </c>
      <c r="B885" s="4" t="s">
        <v>44</v>
      </c>
      <c r="C885" s="4" t="s">
        <v>23</v>
      </c>
      <c r="D885" s="4" t="s">
        <v>45</v>
      </c>
      <c r="E885" s="4" t="s">
        <v>53</v>
      </c>
      <c r="F885" s="4" t="s">
        <v>54</v>
      </c>
      <c r="G885" s="4" t="s">
        <v>25</v>
      </c>
      <c r="H885" s="4" t="s">
        <v>25</v>
      </c>
      <c r="I885" s="5">
        <v>44621</v>
      </c>
      <c r="J885" s="6">
        <v>0</v>
      </c>
      <c r="K885" s="6">
        <v>0</v>
      </c>
      <c r="L885" s="6">
        <v>2023.2439999999999</v>
      </c>
      <c r="M885" s="6">
        <v>2023.2439999999999</v>
      </c>
      <c r="N885" s="6">
        <v>2023.2439999999999</v>
      </c>
      <c r="O885" s="6">
        <v>2023.2439999999999</v>
      </c>
      <c r="P885" s="6">
        <v>0</v>
      </c>
      <c r="Q885" s="4" t="s">
        <v>26</v>
      </c>
      <c r="R885" s="4">
        <v>0</v>
      </c>
      <c r="S885" s="4">
        <v>0</v>
      </c>
      <c r="T885" s="4">
        <v>27</v>
      </c>
      <c r="U885" s="4">
        <v>85</v>
      </c>
      <c r="V885" s="6">
        <f>IF(ISERROR(VLOOKUP($S$885,'TAR FIN'!$A$1:$O$104,15,0)),0,VLOOKUP($S$885,'TAR FIN'!$A$1:$O$104,15,0))</f>
        <v>0</v>
      </c>
      <c r="W885" s="6">
        <f>IF(ISERROR(VLOOKUP($T$885,'TAR FIN'!$A$1:$O$104,15,0)),0,VLOOKUP($T$885,'TAR FIN'!$A$1:$O$104,15,0))</f>
        <v>300.26</v>
      </c>
      <c r="X885" s="6">
        <f>IF(ISERROR(VLOOKUP($U$885,'TAR FIN'!$A$1:$O$104,15,0)),0,VLOOKUP($U$885,'TAR FIN'!$A$1:$O$104,15,0))</f>
        <v>225.04</v>
      </c>
      <c r="Y885" s="6"/>
      <c r="Z885" s="6">
        <f ca="1">('TUSD BE'!$AM$47+'TUSD BF'!$AM$47+'TUSD CVA'!$AM$47)*(1-CUSTOS!$M$38)</f>
        <v>335.21342816228281</v>
      </c>
      <c r="AA885" s="6">
        <f>('TE BE'!$AB$26+'TE BF'!$AB$26+'TE CVA'!$AB$26)*(1-CUSTOS!$M$38)</f>
        <v>227.92247399192311</v>
      </c>
      <c r="AB885" s="6">
        <f t="shared" si="42"/>
        <v>0</v>
      </c>
      <c r="AC885" s="6">
        <f>(L885-M885)*(W885+X885)+($W$672+$X$672-$W$885-$X$885)*(L885)</f>
        <v>144904.73527999994</v>
      </c>
      <c r="AD885" s="6">
        <f t="shared" si="43"/>
        <v>0</v>
      </c>
      <c r="AE885" s="6">
        <f ca="1">(L885-M885)*(Z885+AA885)+($Z$672+$AA$672-$Z$885-$AA$885)*(L885)</f>
        <v>72725.191609665184</v>
      </c>
      <c r="AF885" s="4" t="s">
        <v>998</v>
      </c>
    </row>
    <row r="886" spans="1:32" ht="11.25" customHeight="1" x14ac:dyDescent="0.25">
      <c r="A886" s="4" t="s">
        <v>27</v>
      </c>
      <c r="B886" s="4" t="s">
        <v>44</v>
      </c>
      <c r="C886" s="4" t="s">
        <v>23</v>
      </c>
      <c r="D886" s="4" t="s">
        <v>45</v>
      </c>
      <c r="E886" s="4" t="s">
        <v>53</v>
      </c>
      <c r="F886" s="4" t="s">
        <v>54</v>
      </c>
      <c r="G886" s="4" t="s">
        <v>25</v>
      </c>
      <c r="H886" s="4" t="s">
        <v>25</v>
      </c>
      <c r="I886" s="5">
        <v>44621</v>
      </c>
      <c r="J886" s="6">
        <v>0</v>
      </c>
      <c r="K886" s="6">
        <v>0</v>
      </c>
      <c r="L886" s="6">
        <v>-116.762</v>
      </c>
      <c r="M886" s="6">
        <v>-116.762</v>
      </c>
      <c r="N886" s="6">
        <v>-116.762</v>
      </c>
      <c r="O886" s="6">
        <v>-116.762</v>
      </c>
      <c r="P886" s="6">
        <v>0</v>
      </c>
      <c r="Q886" s="4" t="s">
        <v>26</v>
      </c>
      <c r="R886" s="4">
        <v>0</v>
      </c>
      <c r="S886" s="4">
        <v>0</v>
      </c>
      <c r="T886" s="4">
        <v>27</v>
      </c>
      <c r="U886" s="4">
        <v>85</v>
      </c>
      <c r="V886" s="6">
        <f>IF(ISERROR(VLOOKUP($S$886,'TAR FIN'!$A$1:$O$104,15,0)),0,VLOOKUP($S$886,'TAR FIN'!$A$1:$O$104,15,0))</f>
        <v>0</v>
      </c>
      <c r="W886" s="6">
        <f>IF(ISERROR(VLOOKUP($T$886,'TAR FIN'!$A$1:$O$104,15,0)),0,VLOOKUP($T$886,'TAR FIN'!$A$1:$O$104,15,0))</f>
        <v>300.26</v>
      </c>
      <c r="X886" s="6">
        <f>IF(ISERROR(VLOOKUP($U$886,'TAR FIN'!$A$1:$O$104,15,0)),0,VLOOKUP($U$886,'TAR FIN'!$A$1:$O$104,15,0))</f>
        <v>225.04</v>
      </c>
      <c r="Y886" s="6"/>
      <c r="Z886" s="6">
        <f ca="1">('TUSD BE'!$AM$47+'TUSD BF'!$AM$47+'TUSD CVA'!$AM$47)*(1-CUSTOS!$M$38)</f>
        <v>335.21342816228281</v>
      </c>
      <c r="AA886" s="6">
        <f>('TE BE'!$AB$26+'TE BF'!$AB$26+'TE CVA'!$AB$26)*(1-CUSTOS!$M$38)</f>
        <v>227.92247399192311</v>
      </c>
      <c r="AB886" s="6">
        <f t="shared" si="42"/>
        <v>0</v>
      </c>
      <c r="AC886" s="6">
        <f>(L886-M886)*(W886+X886)+($W$672+$X$672-$W$886-$X$886)*(L886)</f>
        <v>-8362.4944399999968</v>
      </c>
      <c r="AD886" s="6">
        <f t="shared" si="43"/>
        <v>0</v>
      </c>
      <c r="AE886" s="6">
        <f ca="1">(L886-M886)*(Z886+AA886)+($Z$672+$AA$672-$Z$886-$AA$886)*(L886)</f>
        <v>-4196.9919706806131</v>
      </c>
      <c r="AF886" s="4" t="s">
        <v>998</v>
      </c>
    </row>
    <row r="887" spans="1:32" ht="11.25" customHeight="1" x14ac:dyDescent="0.25">
      <c r="A887" s="4" t="s">
        <v>28</v>
      </c>
      <c r="B887" s="4" t="s">
        <v>44</v>
      </c>
      <c r="C887" s="4" t="s">
        <v>23</v>
      </c>
      <c r="D887" s="4" t="s">
        <v>45</v>
      </c>
      <c r="E887" s="4" t="s">
        <v>53</v>
      </c>
      <c r="F887" s="4" t="s">
        <v>54</v>
      </c>
      <c r="G887" s="4" t="s">
        <v>25</v>
      </c>
      <c r="H887" s="4" t="s">
        <v>25</v>
      </c>
      <c r="I887" s="5">
        <v>44621</v>
      </c>
      <c r="J887" s="6">
        <v>0</v>
      </c>
      <c r="K887" s="6">
        <v>0</v>
      </c>
      <c r="L887" s="6">
        <v>100.78100000000001</v>
      </c>
      <c r="M887" s="6">
        <v>100.78100000000001</v>
      </c>
      <c r="N887" s="6">
        <v>100.78100000000001</v>
      </c>
      <c r="O887" s="6">
        <v>100.78100000000001</v>
      </c>
      <c r="P887" s="6">
        <v>0</v>
      </c>
      <c r="Q887" s="4" t="s">
        <v>26</v>
      </c>
      <c r="R887" s="4">
        <v>0</v>
      </c>
      <c r="S887" s="4">
        <v>0</v>
      </c>
      <c r="T887" s="4">
        <v>27</v>
      </c>
      <c r="U887" s="4">
        <v>85</v>
      </c>
      <c r="V887" s="6">
        <f>IF(ISERROR(VLOOKUP($S$887,'TAR FIN'!$A$1:$O$104,15,0)),0,VLOOKUP($S$887,'TAR FIN'!$A$1:$O$104,15,0))</f>
        <v>0</v>
      </c>
      <c r="W887" s="6">
        <f>IF(ISERROR(VLOOKUP($T$887,'TAR FIN'!$A$1:$O$104,15,0)),0,VLOOKUP($T$887,'TAR FIN'!$A$1:$O$104,15,0))</f>
        <v>300.26</v>
      </c>
      <c r="X887" s="6">
        <f>IF(ISERROR(VLOOKUP($U$887,'TAR FIN'!$A$1:$O$104,15,0)),0,VLOOKUP($U$887,'TAR FIN'!$A$1:$O$104,15,0))</f>
        <v>225.04</v>
      </c>
      <c r="Y887" s="6"/>
      <c r="Z887" s="6">
        <f ca="1">('TUSD BE'!$AM$47+'TUSD BF'!$AM$47+'TUSD CVA'!$AM$47)*(1-CUSTOS!$M$38)</f>
        <v>335.21342816228281</v>
      </c>
      <c r="AA887" s="6">
        <f>('TE BE'!$AB$26+'TE BF'!$AB$26+'TE CVA'!$AB$26)*(1-CUSTOS!$M$38)</f>
        <v>227.92247399192311</v>
      </c>
      <c r="AB887" s="6">
        <f t="shared" si="42"/>
        <v>0</v>
      </c>
      <c r="AC887" s="6">
        <f>(L887-M887)*(W887+X887)+($W$672+$X$672-$W$887-$X$887)*(L887)</f>
        <v>7217.9352199999976</v>
      </c>
      <c r="AD887" s="6">
        <f t="shared" si="43"/>
        <v>0</v>
      </c>
      <c r="AE887" s="6">
        <f ca="1">(L887-M887)*(Z887+AA887)+($Z$672+$AA$672-$Z$887-$AA$887)*(L887)</f>
        <v>3622.557405638503</v>
      </c>
      <c r="AF887" s="4" t="s">
        <v>998</v>
      </c>
    </row>
    <row r="888" spans="1:32" ht="11.25" customHeight="1" x14ac:dyDescent="0.25">
      <c r="A888" s="4" t="s">
        <v>21</v>
      </c>
      <c r="B888" s="4" t="s">
        <v>44</v>
      </c>
      <c r="C888" s="4" t="s">
        <v>23</v>
      </c>
      <c r="D888" s="4" t="s">
        <v>45</v>
      </c>
      <c r="E888" s="4" t="s">
        <v>53</v>
      </c>
      <c r="F888" s="4" t="s">
        <v>54</v>
      </c>
      <c r="G888" s="4" t="s">
        <v>25</v>
      </c>
      <c r="H888" s="4" t="s">
        <v>25</v>
      </c>
      <c r="I888" s="5">
        <v>44652</v>
      </c>
      <c r="J888" s="6">
        <v>0</v>
      </c>
      <c r="K888" s="6">
        <v>0</v>
      </c>
      <c r="L888" s="6">
        <v>2050.3809999999999</v>
      </c>
      <c r="M888" s="6">
        <v>2050.3809999999999</v>
      </c>
      <c r="N888" s="6">
        <v>2050.3809999999999</v>
      </c>
      <c r="O888" s="6">
        <v>2050.3809999999999</v>
      </c>
      <c r="P888" s="6">
        <v>0</v>
      </c>
      <c r="Q888" s="4" t="s">
        <v>26</v>
      </c>
      <c r="R888" s="4">
        <v>0</v>
      </c>
      <c r="S888" s="4">
        <v>0</v>
      </c>
      <c r="T888" s="4">
        <v>27</v>
      </c>
      <c r="U888" s="4">
        <v>85</v>
      </c>
      <c r="V888" s="6">
        <f>IF(ISERROR(VLOOKUP($S$888,'TAR FIN'!$A$1:$O$104,15,0)),0,VLOOKUP($S$888,'TAR FIN'!$A$1:$O$104,15,0))</f>
        <v>0</v>
      </c>
      <c r="W888" s="6">
        <f>IF(ISERROR(VLOOKUP($T$888,'TAR FIN'!$A$1:$O$104,15,0)),0,VLOOKUP($T$888,'TAR FIN'!$A$1:$O$104,15,0))</f>
        <v>300.26</v>
      </c>
      <c r="X888" s="6">
        <f>IF(ISERROR(VLOOKUP($U$888,'TAR FIN'!$A$1:$O$104,15,0)),0,VLOOKUP($U$888,'TAR FIN'!$A$1:$O$104,15,0))</f>
        <v>225.04</v>
      </c>
      <c r="Y888" s="6"/>
      <c r="Z888" s="6">
        <f ca="1">('TUSD BE'!$AM$47+'TUSD BF'!$AM$47+'TUSD CVA'!$AM$47)*(1-CUSTOS!$M$38)</f>
        <v>335.21342816228281</v>
      </c>
      <c r="AA888" s="6">
        <f>('TE BE'!$AB$26+'TE BF'!$AB$26+'TE CVA'!$AB$26)*(1-CUSTOS!$M$38)</f>
        <v>227.92247399192311</v>
      </c>
      <c r="AB888" s="6">
        <f t="shared" si="42"/>
        <v>0</v>
      </c>
      <c r="AC888" s="6">
        <f>(L888-M888)*(W888+X888)+($W$672+$X$672-$W$888-$X$888)*(L888)</f>
        <v>146848.28721999994</v>
      </c>
      <c r="AD888" s="6">
        <f t="shared" si="43"/>
        <v>0</v>
      </c>
      <c r="AE888" s="6">
        <f ca="1">(L888-M888)*(Z888+AA888)+($Z$672+$AA$672-$Z$888-$AA$888)*(L888)</f>
        <v>73700.626863500846</v>
      </c>
      <c r="AF888" s="4" t="s">
        <v>998</v>
      </c>
    </row>
    <row r="889" spans="1:32" ht="11.25" customHeight="1" x14ac:dyDescent="0.25">
      <c r="A889" s="4" t="s">
        <v>27</v>
      </c>
      <c r="B889" s="4" t="s">
        <v>44</v>
      </c>
      <c r="C889" s="4" t="s">
        <v>23</v>
      </c>
      <c r="D889" s="4" t="s">
        <v>45</v>
      </c>
      <c r="E889" s="4" t="s">
        <v>53</v>
      </c>
      <c r="F889" s="4" t="s">
        <v>54</v>
      </c>
      <c r="G889" s="4" t="s">
        <v>25</v>
      </c>
      <c r="H889" s="4" t="s">
        <v>25</v>
      </c>
      <c r="I889" s="5">
        <v>44652</v>
      </c>
      <c r="J889" s="6">
        <v>0</v>
      </c>
      <c r="K889" s="6">
        <v>0</v>
      </c>
      <c r="L889" s="6">
        <v>-55.38</v>
      </c>
      <c r="M889" s="6">
        <v>-55.38</v>
      </c>
      <c r="N889" s="6">
        <v>-55.38</v>
      </c>
      <c r="O889" s="6">
        <v>-55.38</v>
      </c>
      <c r="P889" s="6">
        <v>0</v>
      </c>
      <c r="Q889" s="4" t="s">
        <v>26</v>
      </c>
      <c r="R889" s="4">
        <v>0</v>
      </c>
      <c r="S889" s="4">
        <v>0</v>
      </c>
      <c r="T889" s="4">
        <v>27</v>
      </c>
      <c r="U889" s="4">
        <v>85</v>
      </c>
      <c r="V889" s="6">
        <f>IF(ISERROR(VLOOKUP($S$889,'TAR FIN'!$A$1:$O$104,15,0)),0,VLOOKUP($S$889,'TAR FIN'!$A$1:$O$104,15,0))</f>
        <v>0</v>
      </c>
      <c r="W889" s="6">
        <f>IF(ISERROR(VLOOKUP($T$889,'TAR FIN'!$A$1:$O$104,15,0)),0,VLOOKUP($T$889,'TAR FIN'!$A$1:$O$104,15,0))</f>
        <v>300.26</v>
      </c>
      <c r="X889" s="6">
        <f>IF(ISERROR(VLOOKUP($U$889,'TAR FIN'!$A$1:$O$104,15,0)),0,VLOOKUP($U$889,'TAR FIN'!$A$1:$O$104,15,0))</f>
        <v>225.04</v>
      </c>
      <c r="Y889" s="6"/>
      <c r="Z889" s="6">
        <f ca="1">('TUSD BE'!$AM$47+'TUSD BF'!$AM$47+'TUSD CVA'!$AM$47)*(1-CUSTOS!$M$38)</f>
        <v>335.21342816228281</v>
      </c>
      <c r="AA889" s="6">
        <f>('TE BE'!$AB$26+'TE BF'!$AB$26+'TE CVA'!$AB$26)*(1-CUSTOS!$M$38)</f>
        <v>227.92247399192311</v>
      </c>
      <c r="AB889" s="6">
        <f t="shared" si="42"/>
        <v>0</v>
      </c>
      <c r="AC889" s="6">
        <f>(L889-M889)*(W889+X889)+($W$672+$X$672-$W$889-$X$889)*(L889)</f>
        <v>-3966.315599999999</v>
      </c>
      <c r="AD889" s="6">
        <f t="shared" si="43"/>
        <v>0</v>
      </c>
      <c r="AE889" s="6">
        <f ca="1">(L889-M889)*(Z889+AA889)+($Z$672+$AA$672-$Z$889-$AA$889)*(L889)</f>
        <v>-1990.6255060404274</v>
      </c>
      <c r="AF889" s="4" t="s">
        <v>998</v>
      </c>
    </row>
    <row r="890" spans="1:32" ht="11.25" customHeight="1" x14ac:dyDescent="0.25">
      <c r="A890" s="4" t="s">
        <v>28</v>
      </c>
      <c r="B890" s="4" t="s">
        <v>44</v>
      </c>
      <c r="C890" s="4" t="s">
        <v>23</v>
      </c>
      <c r="D890" s="4" t="s">
        <v>45</v>
      </c>
      <c r="E890" s="4" t="s">
        <v>53</v>
      </c>
      <c r="F890" s="4" t="s">
        <v>54</v>
      </c>
      <c r="G890" s="4" t="s">
        <v>25</v>
      </c>
      <c r="H890" s="4" t="s">
        <v>25</v>
      </c>
      <c r="I890" s="5">
        <v>44652</v>
      </c>
      <c r="J890" s="6">
        <v>0</v>
      </c>
      <c r="K890" s="6">
        <v>0</v>
      </c>
      <c r="L890" s="6">
        <v>61.347000000000001</v>
      </c>
      <c r="M890" s="6">
        <v>61.347000000000001</v>
      </c>
      <c r="N890" s="6">
        <v>61.347000000000001</v>
      </c>
      <c r="O890" s="6">
        <v>61.347000000000001</v>
      </c>
      <c r="P890" s="6">
        <v>0</v>
      </c>
      <c r="Q890" s="4" t="s">
        <v>26</v>
      </c>
      <c r="R890" s="4">
        <v>0</v>
      </c>
      <c r="S890" s="4">
        <v>0</v>
      </c>
      <c r="T890" s="4">
        <v>27</v>
      </c>
      <c r="U890" s="4">
        <v>85</v>
      </c>
      <c r="V890" s="6">
        <f>IF(ISERROR(VLOOKUP($S$890,'TAR FIN'!$A$1:$O$104,15,0)),0,VLOOKUP($S$890,'TAR FIN'!$A$1:$O$104,15,0))</f>
        <v>0</v>
      </c>
      <c r="W890" s="6">
        <f>IF(ISERROR(VLOOKUP($T$890,'TAR FIN'!$A$1:$O$104,15,0)),0,VLOOKUP($T$890,'TAR FIN'!$A$1:$O$104,15,0))</f>
        <v>300.26</v>
      </c>
      <c r="X890" s="6">
        <f>IF(ISERROR(VLOOKUP($U$890,'TAR FIN'!$A$1:$O$104,15,0)),0,VLOOKUP($U$890,'TAR FIN'!$A$1:$O$104,15,0))</f>
        <v>225.04</v>
      </c>
      <c r="Y890" s="6"/>
      <c r="Z890" s="6">
        <f ca="1">('TUSD BE'!$AM$47+'TUSD BF'!$AM$47+'TUSD CVA'!$AM$47)*(1-CUSTOS!$M$38)</f>
        <v>335.21342816228281</v>
      </c>
      <c r="AA890" s="6">
        <f>('TE BE'!$AB$26+'TE BF'!$AB$26+'TE CVA'!$AB$26)*(1-CUSTOS!$M$38)</f>
        <v>227.92247399192311</v>
      </c>
      <c r="AB890" s="6">
        <f t="shared" si="42"/>
        <v>0</v>
      </c>
      <c r="AC890" s="6">
        <f>(L890-M890)*(W890+X890)+($W$672+$X$672-$W$890-$X$890)*(L890)</f>
        <v>4393.6721399999988</v>
      </c>
      <c r="AD890" s="6">
        <f t="shared" si="43"/>
        <v>0</v>
      </c>
      <c r="AE890" s="6">
        <f ca="1">(L890-M890)*(Z890+AA890)+($Z$672+$AA$672-$Z$890-$AA$890)*(L890)</f>
        <v>2205.1083950715438</v>
      </c>
      <c r="AF890" s="4" t="s">
        <v>998</v>
      </c>
    </row>
    <row r="891" spans="1:32" ht="11.25" customHeight="1" x14ac:dyDescent="0.25">
      <c r="A891" s="4" t="s">
        <v>21</v>
      </c>
      <c r="B891" s="4" t="s">
        <v>44</v>
      </c>
      <c r="C891" s="4" t="s">
        <v>23</v>
      </c>
      <c r="D891" s="4" t="s">
        <v>45</v>
      </c>
      <c r="E891" s="4" t="s">
        <v>53</v>
      </c>
      <c r="F891" s="4" t="s">
        <v>54</v>
      </c>
      <c r="G891" s="4" t="s">
        <v>25</v>
      </c>
      <c r="H891" s="4" t="s">
        <v>25</v>
      </c>
      <c r="I891" s="5">
        <v>44682</v>
      </c>
      <c r="J891" s="6">
        <v>0</v>
      </c>
      <c r="K891" s="6">
        <v>0</v>
      </c>
      <c r="L891" s="6">
        <v>1859.2439999999999</v>
      </c>
      <c r="M891" s="6">
        <v>1859.2439999999999</v>
      </c>
      <c r="N891" s="6">
        <v>1859.2439999999999</v>
      </c>
      <c r="O891" s="6">
        <v>1859.2439999999999</v>
      </c>
      <c r="P891" s="6">
        <v>0</v>
      </c>
      <c r="Q891" s="4" t="s">
        <v>26</v>
      </c>
      <c r="R891" s="4">
        <v>0</v>
      </c>
      <c r="S891" s="4">
        <v>0</v>
      </c>
      <c r="T891" s="4">
        <v>27</v>
      </c>
      <c r="U891" s="4">
        <v>85</v>
      </c>
      <c r="V891" s="6">
        <f>IF(ISERROR(VLOOKUP($S$891,'TAR FIN'!$A$1:$O$104,15,0)),0,VLOOKUP($S$891,'TAR FIN'!$A$1:$O$104,15,0))</f>
        <v>0</v>
      </c>
      <c r="W891" s="6">
        <f>IF(ISERROR(VLOOKUP($T$891,'TAR FIN'!$A$1:$O$104,15,0)),0,VLOOKUP($T$891,'TAR FIN'!$A$1:$O$104,15,0))</f>
        <v>300.26</v>
      </c>
      <c r="X891" s="6">
        <f>IF(ISERROR(VLOOKUP($U$891,'TAR FIN'!$A$1:$O$104,15,0)),0,VLOOKUP($U$891,'TAR FIN'!$A$1:$O$104,15,0))</f>
        <v>225.04</v>
      </c>
      <c r="Y891" s="6"/>
      <c r="Z891" s="6">
        <f ca="1">('TUSD BE'!$AM$47+'TUSD BF'!$AM$47+'TUSD CVA'!$AM$47)*(1-CUSTOS!$M$38)</f>
        <v>335.21342816228281</v>
      </c>
      <c r="AA891" s="6">
        <f>('TE BE'!$AB$26+'TE BF'!$AB$26+'TE CVA'!$AB$26)*(1-CUSTOS!$M$38)</f>
        <v>227.92247399192311</v>
      </c>
      <c r="AB891" s="6">
        <f t="shared" si="42"/>
        <v>0</v>
      </c>
      <c r="AC891" s="6">
        <f>(L891-M891)*(W891+X891)+($W$672+$X$672-$W$891-$X$891)*(L891)</f>
        <v>133159.05527999994</v>
      </c>
      <c r="AD891" s="6">
        <f t="shared" si="43"/>
        <v>0</v>
      </c>
      <c r="AE891" s="6">
        <f ca="1">(L891-M891)*(Z891+AA891)+($Z$672+$AA$672-$Z$891-$AA$891)*(L891)</f>
        <v>66830.237059455176</v>
      </c>
      <c r="AF891" s="4" t="s">
        <v>998</v>
      </c>
    </row>
    <row r="892" spans="1:32" ht="11.25" customHeight="1" x14ac:dyDescent="0.25">
      <c r="A892" s="4" t="s">
        <v>27</v>
      </c>
      <c r="B892" s="4" t="s">
        <v>44</v>
      </c>
      <c r="C892" s="4" t="s">
        <v>23</v>
      </c>
      <c r="D892" s="4" t="s">
        <v>45</v>
      </c>
      <c r="E892" s="4" t="s">
        <v>53</v>
      </c>
      <c r="F892" s="4" t="s">
        <v>54</v>
      </c>
      <c r="G892" s="4" t="s">
        <v>25</v>
      </c>
      <c r="H892" s="4" t="s">
        <v>25</v>
      </c>
      <c r="I892" s="5">
        <v>44682</v>
      </c>
      <c r="J892" s="6">
        <v>0</v>
      </c>
      <c r="K892" s="6">
        <v>0</v>
      </c>
      <c r="L892" s="6">
        <v>-54.777999999999999</v>
      </c>
      <c r="M892" s="6">
        <v>-54.777999999999999</v>
      </c>
      <c r="N892" s="6">
        <v>-54.777999999999999</v>
      </c>
      <c r="O892" s="6">
        <v>-54.777999999999999</v>
      </c>
      <c r="P892" s="6">
        <v>0</v>
      </c>
      <c r="Q892" s="4" t="s">
        <v>26</v>
      </c>
      <c r="R892" s="4">
        <v>0</v>
      </c>
      <c r="S892" s="4">
        <v>0</v>
      </c>
      <c r="T892" s="4">
        <v>27</v>
      </c>
      <c r="U892" s="4">
        <v>85</v>
      </c>
      <c r="V892" s="6">
        <f>IF(ISERROR(VLOOKUP($S$892,'TAR FIN'!$A$1:$O$104,15,0)),0,VLOOKUP($S$892,'TAR FIN'!$A$1:$O$104,15,0))</f>
        <v>0</v>
      </c>
      <c r="W892" s="6">
        <f>IF(ISERROR(VLOOKUP($T$892,'TAR FIN'!$A$1:$O$104,15,0)),0,VLOOKUP($T$892,'TAR FIN'!$A$1:$O$104,15,0))</f>
        <v>300.26</v>
      </c>
      <c r="X892" s="6">
        <f>IF(ISERROR(VLOOKUP($U$892,'TAR FIN'!$A$1:$O$104,15,0)),0,VLOOKUP($U$892,'TAR FIN'!$A$1:$O$104,15,0))</f>
        <v>225.04</v>
      </c>
      <c r="Y892" s="6"/>
      <c r="Z892" s="6">
        <f ca="1">('TUSD BE'!$AM$47+'TUSD BF'!$AM$47+'TUSD CVA'!$AM$47)*(1-CUSTOS!$M$38)</f>
        <v>335.21342816228281</v>
      </c>
      <c r="AA892" s="6">
        <f>('TE BE'!$AB$26+'TE BF'!$AB$26+'TE CVA'!$AB$26)*(1-CUSTOS!$M$38)</f>
        <v>227.92247399192311</v>
      </c>
      <c r="AB892" s="6">
        <f t="shared" si="42"/>
        <v>0</v>
      </c>
      <c r="AC892" s="6">
        <f>(L892-M892)*(W892+X892)+($W$672+$X$672-$W$892-$X$892)*(L892)</f>
        <v>-3923.2003599999985</v>
      </c>
      <c r="AD892" s="6">
        <f t="shared" si="43"/>
        <v>0</v>
      </c>
      <c r="AE892" s="6">
        <f ca="1">(L892-M892)*(Z892+AA892)+($Z$672+$AA$672-$Z$892-$AA$892)*(L892)</f>
        <v>-1968.9867094597782</v>
      </c>
      <c r="AF892" s="4" t="s">
        <v>998</v>
      </c>
    </row>
    <row r="893" spans="1:32" ht="11.25" customHeight="1" x14ac:dyDescent="0.25">
      <c r="A893" s="4" t="s">
        <v>28</v>
      </c>
      <c r="B893" s="4" t="s">
        <v>44</v>
      </c>
      <c r="C893" s="4" t="s">
        <v>23</v>
      </c>
      <c r="D893" s="4" t="s">
        <v>45</v>
      </c>
      <c r="E893" s="4" t="s">
        <v>53</v>
      </c>
      <c r="F893" s="4" t="s">
        <v>54</v>
      </c>
      <c r="G893" s="4" t="s">
        <v>25</v>
      </c>
      <c r="H893" s="4" t="s">
        <v>25</v>
      </c>
      <c r="I893" s="5">
        <v>44682</v>
      </c>
      <c r="J893" s="6">
        <v>0</v>
      </c>
      <c r="K893" s="6">
        <v>0</v>
      </c>
      <c r="L893" s="6">
        <v>45.665999999999997</v>
      </c>
      <c r="M893" s="6">
        <v>45.665999999999997</v>
      </c>
      <c r="N893" s="6">
        <v>45.665999999999997</v>
      </c>
      <c r="O893" s="6">
        <v>45.665999999999997</v>
      </c>
      <c r="P893" s="6">
        <v>0</v>
      </c>
      <c r="Q893" s="4" t="s">
        <v>26</v>
      </c>
      <c r="R893" s="4">
        <v>0</v>
      </c>
      <c r="S893" s="4">
        <v>0</v>
      </c>
      <c r="T893" s="4">
        <v>27</v>
      </c>
      <c r="U893" s="4">
        <v>85</v>
      </c>
      <c r="V893" s="6">
        <f>IF(ISERROR(VLOOKUP($S$893,'TAR FIN'!$A$1:$O$104,15,0)),0,VLOOKUP($S$893,'TAR FIN'!$A$1:$O$104,15,0))</f>
        <v>0</v>
      </c>
      <c r="W893" s="6">
        <f>IF(ISERROR(VLOOKUP($T$893,'TAR FIN'!$A$1:$O$104,15,0)),0,VLOOKUP($T$893,'TAR FIN'!$A$1:$O$104,15,0))</f>
        <v>300.26</v>
      </c>
      <c r="X893" s="6">
        <f>IF(ISERROR(VLOOKUP($U$893,'TAR FIN'!$A$1:$O$104,15,0)),0,VLOOKUP($U$893,'TAR FIN'!$A$1:$O$104,15,0))</f>
        <v>225.04</v>
      </c>
      <c r="Y893" s="6"/>
      <c r="Z893" s="6">
        <f ca="1">('TUSD BE'!$AM$47+'TUSD BF'!$AM$47+'TUSD CVA'!$AM$47)*(1-CUSTOS!$M$38)</f>
        <v>335.21342816228281</v>
      </c>
      <c r="AA893" s="6">
        <f>('TE BE'!$AB$26+'TE BF'!$AB$26+'TE CVA'!$AB$26)*(1-CUSTOS!$M$38)</f>
        <v>227.92247399192311</v>
      </c>
      <c r="AB893" s="6">
        <f t="shared" si="42"/>
        <v>0</v>
      </c>
      <c r="AC893" s="6">
        <f>(L893-M893)*(W893+X893)+($W$672+$X$672-$W$893-$X$893)*(L893)</f>
        <v>3270.5989199999985</v>
      </c>
      <c r="AD893" s="6">
        <f t="shared" si="43"/>
        <v>0</v>
      </c>
      <c r="AE893" s="6">
        <f ca="1">(L893-M893)*(Z893+AA893)+($Z$672+$AA$672-$Z$893-$AA$893)*(L893)</f>
        <v>1641.4572834749395</v>
      </c>
      <c r="AF893" s="4" t="s">
        <v>998</v>
      </c>
    </row>
    <row r="894" spans="1:32" ht="11.25" customHeight="1" x14ac:dyDescent="0.25">
      <c r="A894" s="4" t="s">
        <v>28</v>
      </c>
      <c r="B894" s="4" t="s">
        <v>44</v>
      </c>
      <c r="C894" s="4" t="s">
        <v>23</v>
      </c>
      <c r="D894" s="4" t="s">
        <v>45</v>
      </c>
      <c r="E894" s="4" t="s">
        <v>53</v>
      </c>
      <c r="F894" s="4" t="s">
        <v>54</v>
      </c>
      <c r="G894" s="4" t="s">
        <v>25</v>
      </c>
      <c r="H894" s="4" t="s">
        <v>25</v>
      </c>
      <c r="I894" s="5">
        <v>44682</v>
      </c>
      <c r="J894" s="6">
        <v>0</v>
      </c>
      <c r="K894" s="6">
        <v>0</v>
      </c>
      <c r="L894" s="6">
        <v>0.1</v>
      </c>
      <c r="M894" s="6">
        <v>0.1</v>
      </c>
      <c r="N894" s="6">
        <v>0.1</v>
      </c>
      <c r="O894" s="6">
        <v>0.1</v>
      </c>
      <c r="P894" s="6">
        <v>0</v>
      </c>
      <c r="Q894" s="4" t="s">
        <v>26</v>
      </c>
      <c r="R894" s="4">
        <v>0</v>
      </c>
      <c r="S894" s="4">
        <v>0</v>
      </c>
      <c r="T894" s="4">
        <v>27</v>
      </c>
      <c r="U894" s="4">
        <v>85</v>
      </c>
      <c r="V894" s="6">
        <f>IF(ISERROR(VLOOKUP($S$894,'TAR FIN'!$A$1:$O$104,15,0)),0,VLOOKUP($S$894,'TAR FIN'!$A$1:$O$104,15,0))</f>
        <v>0</v>
      </c>
      <c r="W894" s="6">
        <f>IF(ISERROR(VLOOKUP($T$894,'TAR FIN'!$A$1:$O$104,15,0)),0,VLOOKUP($T$894,'TAR FIN'!$A$1:$O$104,15,0))</f>
        <v>300.26</v>
      </c>
      <c r="X894" s="6">
        <f>IF(ISERROR(VLOOKUP($U$894,'TAR FIN'!$A$1:$O$104,15,0)),0,VLOOKUP($U$894,'TAR FIN'!$A$1:$O$104,15,0))</f>
        <v>225.04</v>
      </c>
      <c r="Y894" s="6"/>
      <c r="Z894" s="6">
        <f ca="1">('TUSD BE'!$AM$47+'TUSD BF'!$AM$47+'TUSD CVA'!$AM$47)*(1-CUSTOS!$M$38)</f>
        <v>335.21342816228281</v>
      </c>
      <c r="AA894" s="6">
        <f>('TE BE'!$AB$26+'TE BF'!$AB$26+'TE CVA'!$AB$26)*(1-CUSTOS!$M$38)</f>
        <v>227.92247399192311</v>
      </c>
      <c r="AB894" s="6">
        <f t="shared" si="42"/>
        <v>0</v>
      </c>
      <c r="AC894" s="6">
        <f>(L894-M894)*(W894+X894)+($W$672+$X$672-$W$894-$X$894)*(L894)</f>
        <v>7.1619999999999981</v>
      </c>
      <c r="AD894" s="6">
        <f t="shared" si="43"/>
        <v>0</v>
      </c>
      <c r="AE894" s="6">
        <f ca="1">(L894-M894)*(Z894+AA894)+($Z$672+$AA$672-$Z$894-$AA$894)*(L894)</f>
        <v>3.5944844818353689</v>
      </c>
      <c r="AF894" s="4" t="s">
        <v>998</v>
      </c>
    </row>
    <row r="895" spans="1:32" ht="11.25" customHeight="1" x14ac:dyDescent="0.25">
      <c r="A895" s="4" t="s">
        <v>21</v>
      </c>
      <c r="B895" s="4" t="s">
        <v>44</v>
      </c>
      <c r="C895" s="4" t="s">
        <v>23</v>
      </c>
      <c r="D895" s="4" t="s">
        <v>45</v>
      </c>
      <c r="E895" s="4" t="s">
        <v>53</v>
      </c>
      <c r="F895" s="4" t="s">
        <v>54</v>
      </c>
      <c r="G895" s="4" t="s">
        <v>25</v>
      </c>
      <c r="H895" s="4" t="s">
        <v>25</v>
      </c>
      <c r="I895" s="5">
        <v>44713</v>
      </c>
      <c r="J895" s="6">
        <v>0</v>
      </c>
      <c r="K895" s="6">
        <v>0</v>
      </c>
      <c r="L895" s="6">
        <v>1813.252</v>
      </c>
      <c r="M895" s="6">
        <v>1813.252</v>
      </c>
      <c r="N895" s="6">
        <v>1813.252</v>
      </c>
      <c r="O895" s="6">
        <v>1813.252</v>
      </c>
      <c r="P895" s="6">
        <v>0</v>
      </c>
      <c r="Q895" s="4" t="s">
        <v>26</v>
      </c>
      <c r="R895" s="4">
        <v>0</v>
      </c>
      <c r="S895" s="4">
        <v>0</v>
      </c>
      <c r="T895" s="4">
        <v>27</v>
      </c>
      <c r="U895" s="4">
        <v>85</v>
      </c>
      <c r="V895" s="6">
        <f>IF(ISERROR(VLOOKUP($S$895,'TAR FIN'!$A$1:$O$104,15,0)),0,VLOOKUP($S$895,'TAR FIN'!$A$1:$O$104,15,0))</f>
        <v>0</v>
      </c>
      <c r="W895" s="6">
        <f>IF(ISERROR(VLOOKUP($T$895,'TAR FIN'!$A$1:$O$104,15,0)),0,VLOOKUP($T$895,'TAR FIN'!$A$1:$O$104,15,0))</f>
        <v>300.26</v>
      </c>
      <c r="X895" s="6">
        <f>IF(ISERROR(VLOOKUP($U$895,'TAR FIN'!$A$1:$O$104,15,0)),0,VLOOKUP($U$895,'TAR FIN'!$A$1:$O$104,15,0))</f>
        <v>225.04</v>
      </c>
      <c r="Y895" s="6"/>
      <c r="Z895" s="6">
        <f ca="1">('TUSD BE'!$AM$47+'TUSD BF'!$AM$47+'TUSD CVA'!$AM$47)*(1-CUSTOS!$M$38)</f>
        <v>335.21342816228281</v>
      </c>
      <c r="AA895" s="6">
        <f>('TE BE'!$AB$26+'TE BF'!$AB$26+'TE CVA'!$AB$26)*(1-CUSTOS!$M$38)</f>
        <v>227.92247399192311</v>
      </c>
      <c r="AB895" s="6">
        <f t="shared" si="42"/>
        <v>0</v>
      </c>
      <c r="AC895" s="6">
        <f>(L895-M895)*(W895+X895)+($W$672+$X$672-$W$895-$X$895)*(L895)</f>
        <v>129865.10823999996</v>
      </c>
      <c r="AD895" s="6">
        <f t="shared" si="43"/>
        <v>0</v>
      </c>
      <c r="AE895" s="6">
        <f ca="1">(L895-M895)*(Z895+AA895)+($Z$672+$AA$672-$Z$895-$AA$895)*(L895)</f>
        <v>65177.061756569456</v>
      </c>
      <c r="AF895" s="4" t="s">
        <v>998</v>
      </c>
    </row>
    <row r="896" spans="1:32" ht="11.25" customHeight="1" x14ac:dyDescent="0.25">
      <c r="A896" s="4" t="s">
        <v>27</v>
      </c>
      <c r="B896" s="4" t="s">
        <v>44</v>
      </c>
      <c r="C896" s="4" t="s">
        <v>23</v>
      </c>
      <c r="D896" s="4" t="s">
        <v>45</v>
      </c>
      <c r="E896" s="4" t="s">
        <v>53</v>
      </c>
      <c r="F896" s="4" t="s">
        <v>54</v>
      </c>
      <c r="G896" s="4" t="s">
        <v>25</v>
      </c>
      <c r="H896" s="4" t="s">
        <v>25</v>
      </c>
      <c r="I896" s="5">
        <v>44713</v>
      </c>
      <c r="J896" s="6">
        <v>0</v>
      </c>
      <c r="K896" s="6">
        <v>0</v>
      </c>
      <c r="L896" s="6">
        <v>-47.026000000000003</v>
      </c>
      <c r="M896" s="6">
        <v>-47.026000000000003</v>
      </c>
      <c r="N896" s="6">
        <v>-47.026000000000003</v>
      </c>
      <c r="O896" s="6">
        <v>-47.026000000000003</v>
      </c>
      <c r="P896" s="6">
        <v>0</v>
      </c>
      <c r="Q896" s="4" t="s">
        <v>26</v>
      </c>
      <c r="R896" s="4">
        <v>0</v>
      </c>
      <c r="S896" s="4">
        <v>0</v>
      </c>
      <c r="T896" s="4">
        <v>27</v>
      </c>
      <c r="U896" s="4">
        <v>85</v>
      </c>
      <c r="V896" s="6">
        <f>IF(ISERROR(VLOOKUP($S$896,'TAR FIN'!$A$1:$O$104,15,0)),0,VLOOKUP($S$896,'TAR FIN'!$A$1:$O$104,15,0))</f>
        <v>0</v>
      </c>
      <c r="W896" s="6">
        <f>IF(ISERROR(VLOOKUP($T$896,'TAR FIN'!$A$1:$O$104,15,0)),0,VLOOKUP($T$896,'TAR FIN'!$A$1:$O$104,15,0))</f>
        <v>300.26</v>
      </c>
      <c r="X896" s="6">
        <f>IF(ISERROR(VLOOKUP($U$896,'TAR FIN'!$A$1:$O$104,15,0)),0,VLOOKUP($U$896,'TAR FIN'!$A$1:$O$104,15,0))</f>
        <v>225.04</v>
      </c>
      <c r="Y896" s="6"/>
      <c r="Z896" s="6">
        <f ca="1">('TUSD BE'!$AM$47+'TUSD BF'!$AM$47+'TUSD CVA'!$AM$47)*(1-CUSTOS!$M$38)</f>
        <v>335.21342816228281</v>
      </c>
      <c r="AA896" s="6">
        <f>('TE BE'!$AB$26+'TE BF'!$AB$26+'TE CVA'!$AB$26)*(1-CUSTOS!$M$38)</f>
        <v>227.92247399192311</v>
      </c>
      <c r="AB896" s="6">
        <f t="shared" si="42"/>
        <v>0</v>
      </c>
      <c r="AC896" s="6">
        <f>(L896-M896)*(W896+X896)+($W$672+$X$672-$W$896-$X$896)*(L896)</f>
        <v>-3368.0021199999992</v>
      </c>
      <c r="AD896" s="6">
        <f t="shared" si="43"/>
        <v>0</v>
      </c>
      <c r="AE896" s="6">
        <f ca="1">(L896-M896)*(Z896+AA896)+($Z$672+$AA$672-$Z$896-$AA$896)*(L896)</f>
        <v>-1690.3422724279005</v>
      </c>
      <c r="AF896" s="4" t="s">
        <v>998</v>
      </c>
    </row>
    <row r="897" spans="1:32" ht="11.25" customHeight="1" x14ac:dyDescent="0.25">
      <c r="A897" s="4" t="s">
        <v>28</v>
      </c>
      <c r="B897" s="4" t="s">
        <v>44</v>
      </c>
      <c r="C897" s="4" t="s">
        <v>23</v>
      </c>
      <c r="D897" s="4" t="s">
        <v>45</v>
      </c>
      <c r="E897" s="4" t="s">
        <v>53</v>
      </c>
      <c r="F897" s="4" t="s">
        <v>54</v>
      </c>
      <c r="G897" s="4" t="s">
        <v>25</v>
      </c>
      <c r="H897" s="4" t="s">
        <v>25</v>
      </c>
      <c r="I897" s="5">
        <v>44713</v>
      </c>
      <c r="J897" s="6">
        <v>0</v>
      </c>
      <c r="K897" s="6">
        <v>0</v>
      </c>
      <c r="L897" s="6">
        <v>61.408000000000001</v>
      </c>
      <c r="M897" s="6">
        <v>61.408000000000001</v>
      </c>
      <c r="N897" s="6">
        <v>61.408000000000001</v>
      </c>
      <c r="O897" s="6">
        <v>61.408000000000001</v>
      </c>
      <c r="P897" s="6">
        <v>0</v>
      </c>
      <c r="Q897" s="4" t="s">
        <v>26</v>
      </c>
      <c r="R897" s="4">
        <v>0</v>
      </c>
      <c r="S897" s="4">
        <v>0</v>
      </c>
      <c r="T897" s="4">
        <v>27</v>
      </c>
      <c r="U897" s="4">
        <v>85</v>
      </c>
      <c r="V897" s="6">
        <f>IF(ISERROR(VLOOKUP($S$897,'TAR FIN'!$A$1:$O$104,15,0)),0,VLOOKUP($S$897,'TAR FIN'!$A$1:$O$104,15,0))</f>
        <v>0</v>
      </c>
      <c r="W897" s="6">
        <f>IF(ISERROR(VLOOKUP($T$897,'TAR FIN'!$A$1:$O$104,15,0)),0,VLOOKUP($T$897,'TAR FIN'!$A$1:$O$104,15,0))</f>
        <v>300.26</v>
      </c>
      <c r="X897" s="6">
        <f>IF(ISERROR(VLOOKUP($U$897,'TAR FIN'!$A$1:$O$104,15,0)),0,VLOOKUP($U$897,'TAR FIN'!$A$1:$O$104,15,0))</f>
        <v>225.04</v>
      </c>
      <c r="Y897" s="6"/>
      <c r="Z897" s="6">
        <f ca="1">('TUSD BE'!$AM$47+'TUSD BF'!$AM$47+'TUSD CVA'!$AM$47)*(1-CUSTOS!$M$38)</f>
        <v>335.21342816228281</v>
      </c>
      <c r="AA897" s="6">
        <f>('TE BE'!$AB$26+'TE BF'!$AB$26+'TE CVA'!$AB$26)*(1-CUSTOS!$M$38)</f>
        <v>227.92247399192311</v>
      </c>
      <c r="AB897" s="6">
        <f t="shared" si="42"/>
        <v>0</v>
      </c>
      <c r="AC897" s="6">
        <f>(L897-M897)*(W897+X897)+($W$672+$X$672-$W$897-$X$897)*(L897)</f>
        <v>4398.0409599999984</v>
      </c>
      <c r="AD897" s="6">
        <f t="shared" si="43"/>
        <v>0</v>
      </c>
      <c r="AE897" s="6">
        <f ca="1">(L897-M897)*(Z897+AA897)+($Z$672+$AA$672-$Z$897-$AA$897)*(L897)</f>
        <v>2207.3010306054634</v>
      </c>
      <c r="AF897" s="4" t="s">
        <v>998</v>
      </c>
    </row>
    <row r="898" spans="1:32" ht="11.25" customHeight="1" x14ac:dyDescent="0.25">
      <c r="A898" s="4" t="s">
        <v>57</v>
      </c>
      <c r="B898" s="4" t="s">
        <v>44</v>
      </c>
      <c r="C898" s="4" t="s">
        <v>23</v>
      </c>
      <c r="D898" s="4" t="s">
        <v>45</v>
      </c>
      <c r="E898" s="4" t="s">
        <v>53</v>
      </c>
      <c r="F898" s="4" t="s">
        <v>54</v>
      </c>
      <c r="G898" s="4" t="s">
        <v>25</v>
      </c>
      <c r="H898" s="4" t="s">
        <v>25</v>
      </c>
      <c r="I898" s="5">
        <v>44743</v>
      </c>
      <c r="J898" s="6">
        <v>0</v>
      </c>
      <c r="K898" s="6">
        <v>0</v>
      </c>
      <c r="L898" s="6">
        <v>1813.252</v>
      </c>
      <c r="M898" s="6">
        <v>1813.252</v>
      </c>
      <c r="N898" s="6">
        <v>1813.252</v>
      </c>
      <c r="O898" s="6">
        <v>1813.252</v>
      </c>
      <c r="P898" s="6">
        <v>0</v>
      </c>
      <c r="Q898" s="4" t="s">
        <v>26</v>
      </c>
      <c r="R898" s="4">
        <v>0</v>
      </c>
      <c r="S898" s="4">
        <v>0</v>
      </c>
      <c r="T898" s="4">
        <v>27</v>
      </c>
      <c r="U898" s="4">
        <v>85</v>
      </c>
      <c r="V898" s="6">
        <f>IF(ISERROR(VLOOKUP($S$898,'TAR FIN'!$A$1:$O$104,15,0)),0,VLOOKUP($S$898,'TAR FIN'!$A$1:$O$104,15,0))</f>
        <v>0</v>
      </c>
      <c r="W898" s="6">
        <f>IF(ISERROR(VLOOKUP($T$898,'TAR FIN'!$A$1:$O$104,15,0)),0,VLOOKUP($T$898,'TAR FIN'!$A$1:$O$104,15,0))</f>
        <v>300.26</v>
      </c>
      <c r="X898" s="6">
        <f>IF(ISERROR(VLOOKUP($U$898,'TAR FIN'!$A$1:$O$104,15,0)),0,VLOOKUP($U$898,'TAR FIN'!$A$1:$O$104,15,0))</f>
        <v>225.04</v>
      </c>
      <c r="Y898" s="6"/>
      <c r="Z898" s="6">
        <f ca="1">('TUSD BE'!$AM$47+'TUSD BF'!$AM$47+'TUSD CVA'!$AM$47)*(1-CUSTOS!$M$38)</f>
        <v>335.21342816228281</v>
      </c>
      <c r="AA898" s="6">
        <f>('TE BE'!$AB$26+'TE BF'!$AB$26+'TE CVA'!$AB$26)*(1-CUSTOS!$M$38)</f>
        <v>227.92247399192311</v>
      </c>
      <c r="AB898" s="6">
        <f t="shared" ref="AB898:AB961" si="44">(J898-K898)*V898</f>
        <v>0</v>
      </c>
      <c r="AC898" s="6">
        <f>(L898-M898)*(W898+X898)+($W$672+$X$672-$W$898-$X$898)*(L898)</f>
        <v>129865.10823999996</v>
      </c>
      <c r="AD898" s="6">
        <f t="shared" ref="AD898:AD961" si="45">(J898-K898)*Y898</f>
        <v>0</v>
      </c>
      <c r="AE898" s="6">
        <f ca="1">(L898-M898)*(Z898+AA898)+($Z$672+$AA$672-$Z$898-$AA$898)*(L898)</f>
        <v>65177.061756569456</v>
      </c>
      <c r="AF898" s="4" t="s">
        <v>998</v>
      </c>
    </row>
    <row r="899" spans="1:32" ht="11.25" customHeight="1" x14ac:dyDescent="0.25">
      <c r="A899" s="4" t="s">
        <v>57</v>
      </c>
      <c r="B899" s="4" t="s">
        <v>44</v>
      </c>
      <c r="C899" s="4" t="s">
        <v>23</v>
      </c>
      <c r="D899" s="4" t="s">
        <v>45</v>
      </c>
      <c r="E899" s="4" t="s">
        <v>53</v>
      </c>
      <c r="F899" s="4" t="s">
        <v>54</v>
      </c>
      <c r="G899" s="4" t="s">
        <v>25</v>
      </c>
      <c r="H899" s="4" t="s">
        <v>25</v>
      </c>
      <c r="I899" s="5">
        <v>44743</v>
      </c>
      <c r="J899" s="6">
        <v>0</v>
      </c>
      <c r="K899" s="6">
        <v>0</v>
      </c>
      <c r="L899" s="6">
        <v>-47.026000000000003</v>
      </c>
      <c r="M899" s="6">
        <v>-47.026000000000003</v>
      </c>
      <c r="N899" s="6">
        <v>-47.026000000000003</v>
      </c>
      <c r="O899" s="6">
        <v>-47.026000000000003</v>
      </c>
      <c r="P899" s="6">
        <v>0</v>
      </c>
      <c r="Q899" s="4" t="s">
        <v>26</v>
      </c>
      <c r="R899" s="4">
        <v>0</v>
      </c>
      <c r="S899" s="4">
        <v>0</v>
      </c>
      <c r="T899" s="4">
        <v>27</v>
      </c>
      <c r="U899" s="4">
        <v>85</v>
      </c>
      <c r="V899" s="6">
        <f>IF(ISERROR(VLOOKUP($S$899,'TAR FIN'!$A$1:$O$104,15,0)),0,VLOOKUP($S$899,'TAR FIN'!$A$1:$O$104,15,0))</f>
        <v>0</v>
      </c>
      <c r="W899" s="6">
        <f>IF(ISERROR(VLOOKUP($T$899,'TAR FIN'!$A$1:$O$104,15,0)),0,VLOOKUP($T$899,'TAR FIN'!$A$1:$O$104,15,0))</f>
        <v>300.26</v>
      </c>
      <c r="X899" s="6">
        <f>IF(ISERROR(VLOOKUP($U$899,'TAR FIN'!$A$1:$O$104,15,0)),0,VLOOKUP($U$899,'TAR FIN'!$A$1:$O$104,15,0))</f>
        <v>225.04</v>
      </c>
      <c r="Y899" s="6"/>
      <c r="Z899" s="6">
        <f ca="1">('TUSD BE'!$AM$47+'TUSD BF'!$AM$47+'TUSD CVA'!$AM$47)*(1-CUSTOS!$M$38)</f>
        <v>335.21342816228281</v>
      </c>
      <c r="AA899" s="6">
        <f>('TE BE'!$AB$26+'TE BF'!$AB$26+'TE CVA'!$AB$26)*(1-CUSTOS!$M$38)</f>
        <v>227.92247399192311</v>
      </c>
      <c r="AB899" s="6">
        <f t="shared" si="44"/>
        <v>0</v>
      </c>
      <c r="AC899" s="6">
        <f>(L899-M899)*(W899+X899)+($W$672+$X$672-$W$899-$X$899)*(L899)</f>
        <v>-3368.0021199999992</v>
      </c>
      <c r="AD899" s="6">
        <f t="shared" si="45"/>
        <v>0</v>
      </c>
      <c r="AE899" s="6">
        <f ca="1">(L899-M899)*(Z899+AA899)+($Z$672+$AA$672-$Z$899-$AA$899)*(L899)</f>
        <v>-1690.3422724279005</v>
      </c>
      <c r="AF899" s="4" t="s">
        <v>998</v>
      </c>
    </row>
    <row r="900" spans="1:32" ht="11.25" customHeight="1" x14ac:dyDescent="0.25">
      <c r="A900" s="4" t="s">
        <v>57</v>
      </c>
      <c r="B900" s="4" t="s">
        <v>44</v>
      </c>
      <c r="C900" s="4" t="s">
        <v>23</v>
      </c>
      <c r="D900" s="4" t="s">
        <v>45</v>
      </c>
      <c r="E900" s="4" t="s">
        <v>53</v>
      </c>
      <c r="F900" s="4" t="s">
        <v>54</v>
      </c>
      <c r="G900" s="4" t="s">
        <v>25</v>
      </c>
      <c r="H900" s="4" t="s">
        <v>25</v>
      </c>
      <c r="I900" s="5">
        <v>44743</v>
      </c>
      <c r="J900" s="6">
        <v>0</v>
      </c>
      <c r="K900" s="6">
        <v>0</v>
      </c>
      <c r="L900" s="6">
        <v>61.408000000000001</v>
      </c>
      <c r="M900" s="6">
        <v>61.408000000000001</v>
      </c>
      <c r="N900" s="6">
        <v>61.408000000000001</v>
      </c>
      <c r="O900" s="6">
        <v>61.408000000000001</v>
      </c>
      <c r="P900" s="6">
        <v>0</v>
      </c>
      <c r="Q900" s="4" t="s">
        <v>26</v>
      </c>
      <c r="R900" s="4">
        <v>0</v>
      </c>
      <c r="S900" s="4">
        <v>0</v>
      </c>
      <c r="T900" s="4">
        <v>27</v>
      </c>
      <c r="U900" s="4">
        <v>85</v>
      </c>
      <c r="V900" s="6">
        <f>IF(ISERROR(VLOOKUP($S$900,'TAR FIN'!$A$1:$O$104,15,0)),0,VLOOKUP($S$900,'TAR FIN'!$A$1:$O$104,15,0))</f>
        <v>0</v>
      </c>
      <c r="W900" s="6">
        <f>IF(ISERROR(VLOOKUP($T$900,'TAR FIN'!$A$1:$O$104,15,0)),0,VLOOKUP($T$900,'TAR FIN'!$A$1:$O$104,15,0))</f>
        <v>300.26</v>
      </c>
      <c r="X900" s="6">
        <f>IF(ISERROR(VLOOKUP($U$900,'TAR FIN'!$A$1:$O$104,15,0)),0,VLOOKUP($U$900,'TAR FIN'!$A$1:$O$104,15,0))</f>
        <v>225.04</v>
      </c>
      <c r="Y900" s="6"/>
      <c r="Z900" s="6">
        <f ca="1">('TUSD BE'!$AM$47+'TUSD BF'!$AM$47+'TUSD CVA'!$AM$47)*(1-CUSTOS!$M$38)</f>
        <v>335.21342816228281</v>
      </c>
      <c r="AA900" s="6">
        <f>('TE BE'!$AB$26+'TE BF'!$AB$26+'TE CVA'!$AB$26)*(1-CUSTOS!$M$38)</f>
        <v>227.92247399192311</v>
      </c>
      <c r="AB900" s="6">
        <f t="shared" si="44"/>
        <v>0</v>
      </c>
      <c r="AC900" s="6">
        <f>(L900-M900)*(W900+X900)+($W$672+$X$672-$W$900-$X$900)*(L900)</f>
        <v>4398.0409599999984</v>
      </c>
      <c r="AD900" s="6">
        <f t="shared" si="45"/>
        <v>0</v>
      </c>
      <c r="AE900" s="6">
        <f ca="1">(L900-M900)*(Z900+AA900)+($Z$672+$AA$672-$Z$900-$AA$900)*(L900)</f>
        <v>2207.3010306054634</v>
      </c>
      <c r="AF900" s="4" t="s">
        <v>998</v>
      </c>
    </row>
    <row r="901" spans="1:32" ht="11.25" customHeight="1" x14ac:dyDescent="0.25">
      <c r="A901" s="4" t="s">
        <v>21</v>
      </c>
      <c r="B901" s="4" t="s">
        <v>44</v>
      </c>
      <c r="C901" s="4" t="s">
        <v>23</v>
      </c>
      <c r="D901" s="4" t="s">
        <v>45</v>
      </c>
      <c r="E901" s="4" t="s">
        <v>53</v>
      </c>
      <c r="F901" s="4" t="s">
        <v>55</v>
      </c>
      <c r="G901" s="4" t="s">
        <v>25</v>
      </c>
      <c r="H901" s="4" t="s">
        <v>25</v>
      </c>
      <c r="I901" s="5">
        <v>44409</v>
      </c>
      <c r="J901" s="6">
        <v>0</v>
      </c>
      <c r="K901" s="6">
        <v>0</v>
      </c>
      <c r="L901" s="6">
        <v>4636.4390000000003</v>
      </c>
      <c r="M901" s="6">
        <v>1251.83853</v>
      </c>
      <c r="N901" s="6">
        <v>4636.4390000000003</v>
      </c>
      <c r="O901" s="6">
        <v>1251.83853</v>
      </c>
      <c r="P901" s="6">
        <v>0</v>
      </c>
      <c r="Q901" s="4" t="s">
        <v>26</v>
      </c>
      <c r="R901" s="4">
        <v>0</v>
      </c>
      <c r="S901" s="4">
        <v>0</v>
      </c>
      <c r="T901" s="4">
        <v>27</v>
      </c>
      <c r="U901" s="4">
        <v>85</v>
      </c>
      <c r="V901" s="6">
        <f>IF(ISERROR(VLOOKUP($S$901,'TAR FIN'!$A$1:$O$104,15,0)),0,VLOOKUP($S$901,'TAR FIN'!$A$1:$O$104,15,0))</f>
        <v>0</v>
      </c>
      <c r="W901" s="6">
        <f>IF(ISERROR(VLOOKUP($T$901,'TAR FIN'!$A$1:$O$104,15,0)),0,VLOOKUP($T$901,'TAR FIN'!$A$1:$O$104,15,0))</f>
        <v>300.26</v>
      </c>
      <c r="X901" s="6">
        <f>IF(ISERROR(VLOOKUP($U$901,'TAR FIN'!$A$1:$O$104,15,0)),0,VLOOKUP($U$901,'TAR FIN'!$A$1:$O$104,15,0))</f>
        <v>225.04</v>
      </c>
      <c r="Y901" s="6"/>
      <c r="Z901" s="6">
        <f ca="1">('TUSD BE'!$AM$47+'TUSD BF'!$AM$47+'TUSD CVA'!$AM$47)*(1-CUSTOS!$M$38)</f>
        <v>335.21342816228281</v>
      </c>
      <c r="AA901" s="6">
        <f>('TE BE'!$AB$26+'TE BF'!$AB$26+'TE CVA'!$AB$26)*(1-CUSTOS!$M$38)</f>
        <v>227.92247399192311</v>
      </c>
      <c r="AB901" s="6">
        <f t="shared" si="44"/>
        <v>0</v>
      </c>
      <c r="AC901" s="6">
        <f>(L901-M901)*(W901+X901)+($W$672+$X$672-$W$901-$X$901)*(L901)</f>
        <v>2109992.3880709996</v>
      </c>
      <c r="AD901" s="6">
        <f t="shared" si="45"/>
        <v>0</v>
      </c>
      <c r="AE901" s="6">
        <f ca="1">(L901-M901)*(Z901+AA901)+($Z$672+$AA$672-$Z$901-$AA$901)*(L901)</f>
        <v>2072646.1194697628</v>
      </c>
      <c r="AF901" s="4" t="s">
        <v>1001</v>
      </c>
    </row>
    <row r="902" spans="1:32" ht="11.25" customHeight="1" x14ac:dyDescent="0.25">
      <c r="A902" s="4" t="s">
        <v>27</v>
      </c>
      <c r="B902" s="4" t="s">
        <v>44</v>
      </c>
      <c r="C902" s="4" t="s">
        <v>23</v>
      </c>
      <c r="D902" s="4" t="s">
        <v>45</v>
      </c>
      <c r="E902" s="4" t="s">
        <v>53</v>
      </c>
      <c r="F902" s="4" t="s">
        <v>55</v>
      </c>
      <c r="G902" s="4" t="s">
        <v>25</v>
      </c>
      <c r="H902" s="4" t="s">
        <v>25</v>
      </c>
      <c r="I902" s="5">
        <v>44409</v>
      </c>
      <c r="J902" s="6">
        <v>0</v>
      </c>
      <c r="K902" s="6">
        <v>0</v>
      </c>
      <c r="L902" s="6">
        <v>-53.640999999999998</v>
      </c>
      <c r="M902" s="6">
        <v>-14.48307</v>
      </c>
      <c r="N902" s="6">
        <v>-53.640999999999998</v>
      </c>
      <c r="O902" s="6">
        <v>-14.48307</v>
      </c>
      <c r="P902" s="6">
        <v>0</v>
      </c>
      <c r="Q902" s="4" t="s">
        <v>26</v>
      </c>
      <c r="R902" s="4">
        <v>0</v>
      </c>
      <c r="S902" s="4">
        <v>0</v>
      </c>
      <c r="T902" s="4">
        <v>27</v>
      </c>
      <c r="U902" s="4">
        <v>85</v>
      </c>
      <c r="V902" s="6">
        <f>IF(ISERROR(VLOOKUP($S$902,'TAR FIN'!$A$1:$O$104,15,0)),0,VLOOKUP($S$902,'TAR FIN'!$A$1:$O$104,15,0))</f>
        <v>0</v>
      </c>
      <c r="W902" s="6">
        <f>IF(ISERROR(VLOOKUP($T$902,'TAR FIN'!$A$1:$O$104,15,0)),0,VLOOKUP($T$902,'TAR FIN'!$A$1:$O$104,15,0))</f>
        <v>300.26</v>
      </c>
      <c r="X902" s="6">
        <f>IF(ISERROR(VLOOKUP($U$902,'TAR FIN'!$A$1:$O$104,15,0)),0,VLOOKUP($U$902,'TAR FIN'!$A$1:$O$104,15,0))</f>
        <v>225.04</v>
      </c>
      <c r="Y902" s="6"/>
      <c r="Z902" s="6">
        <f ca="1">('TUSD BE'!$AM$47+'TUSD BF'!$AM$47+'TUSD CVA'!$AM$47)*(1-CUSTOS!$M$38)</f>
        <v>335.21342816228281</v>
      </c>
      <c r="AA902" s="6">
        <f>('TE BE'!$AB$26+'TE BF'!$AB$26+'TE CVA'!$AB$26)*(1-CUSTOS!$M$38)</f>
        <v>227.92247399192311</v>
      </c>
      <c r="AB902" s="6">
        <f t="shared" si="44"/>
        <v>0</v>
      </c>
      <c r="AC902" s="6">
        <f>(L902-M902)*(W902+X902)+($W$672+$X$672-$W$902-$X$902)*(L902)</f>
        <v>-24411.429048999998</v>
      </c>
      <c r="AD902" s="6">
        <f t="shared" si="45"/>
        <v>0</v>
      </c>
      <c r="AE902" s="6">
        <f ca="1">(L902-M902)*(Z902+AA902)+($Z$672+$AA$672-$Z$902-$AA$902)*(L902)</f>
        <v>-23979.353657942556</v>
      </c>
      <c r="AF902" s="4" t="s">
        <v>1001</v>
      </c>
    </row>
    <row r="903" spans="1:32" ht="11.25" customHeight="1" x14ac:dyDescent="0.25">
      <c r="A903" s="4" t="s">
        <v>28</v>
      </c>
      <c r="B903" s="4" t="s">
        <v>44</v>
      </c>
      <c r="C903" s="4" t="s">
        <v>23</v>
      </c>
      <c r="D903" s="4" t="s">
        <v>45</v>
      </c>
      <c r="E903" s="4" t="s">
        <v>53</v>
      </c>
      <c r="F903" s="4" t="s">
        <v>55</v>
      </c>
      <c r="G903" s="4" t="s">
        <v>25</v>
      </c>
      <c r="H903" s="4" t="s">
        <v>25</v>
      </c>
      <c r="I903" s="5">
        <v>44409</v>
      </c>
      <c r="J903" s="6">
        <v>0</v>
      </c>
      <c r="K903" s="6">
        <v>0</v>
      </c>
      <c r="L903" s="6">
        <v>115.738</v>
      </c>
      <c r="M903" s="6">
        <v>31.24926</v>
      </c>
      <c r="N903" s="6">
        <v>115.738</v>
      </c>
      <c r="O903" s="6">
        <v>31.24926</v>
      </c>
      <c r="P903" s="6">
        <v>0</v>
      </c>
      <c r="Q903" s="4" t="s">
        <v>26</v>
      </c>
      <c r="R903" s="4">
        <v>0</v>
      </c>
      <c r="S903" s="4">
        <v>0</v>
      </c>
      <c r="T903" s="4">
        <v>27</v>
      </c>
      <c r="U903" s="4">
        <v>85</v>
      </c>
      <c r="V903" s="6">
        <f>IF(ISERROR(VLOOKUP($S$903,'TAR FIN'!$A$1:$O$104,15,0)),0,VLOOKUP($S$903,'TAR FIN'!$A$1:$O$104,15,0))</f>
        <v>0</v>
      </c>
      <c r="W903" s="6">
        <f>IF(ISERROR(VLOOKUP($T$903,'TAR FIN'!$A$1:$O$104,15,0)),0,VLOOKUP($T$903,'TAR FIN'!$A$1:$O$104,15,0))</f>
        <v>300.26</v>
      </c>
      <c r="X903" s="6">
        <f>IF(ISERROR(VLOOKUP($U$903,'TAR FIN'!$A$1:$O$104,15,0)),0,VLOOKUP($U$903,'TAR FIN'!$A$1:$O$104,15,0))</f>
        <v>225.04</v>
      </c>
      <c r="Y903" s="6"/>
      <c r="Z903" s="6">
        <f ca="1">('TUSD BE'!$AM$47+'TUSD BF'!$AM$47+'TUSD CVA'!$AM$47)*(1-CUSTOS!$M$38)</f>
        <v>335.21342816228281</v>
      </c>
      <c r="AA903" s="6">
        <f>('TE BE'!$AB$26+'TE BF'!$AB$26+'TE CVA'!$AB$26)*(1-CUSTOS!$M$38)</f>
        <v>227.92247399192311</v>
      </c>
      <c r="AB903" s="6">
        <f t="shared" si="44"/>
        <v>0</v>
      </c>
      <c r="AC903" s="6">
        <f>(L903-M903)*(W903+X903)+($W$672+$X$672-$W$903-$X$903)*(L903)</f>
        <v>52671.090682000002</v>
      </c>
      <c r="AD903" s="6">
        <f t="shared" si="45"/>
        <v>0</v>
      </c>
      <c r="AE903" s="6">
        <f ca="1">(L903-M903)*(Z903+AA903)+($Z$672+$AA$672-$Z$903-$AA$903)*(L903)</f>
        <v>51738.827271358765</v>
      </c>
      <c r="AF903" s="4" t="s">
        <v>1001</v>
      </c>
    </row>
    <row r="904" spans="1:32" ht="11.25" customHeight="1" x14ac:dyDescent="0.25">
      <c r="A904" s="4" t="s">
        <v>21</v>
      </c>
      <c r="B904" s="4" t="s">
        <v>44</v>
      </c>
      <c r="C904" s="4" t="s">
        <v>23</v>
      </c>
      <c r="D904" s="4" t="s">
        <v>45</v>
      </c>
      <c r="E904" s="4" t="s">
        <v>53</v>
      </c>
      <c r="F904" s="4" t="s">
        <v>55</v>
      </c>
      <c r="G904" s="4" t="s">
        <v>25</v>
      </c>
      <c r="H904" s="4" t="s">
        <v>25</v>
      </c>
      <c r="I904" s="5">
        <v>44440</v>
      </c>
      <c r="J904" s="6">
        <v>0</v>
      </c>
      <c r="K904" s="6">
        <v>0</v>
      </c>
      <c r="L904" s="6">
        <v>5422.4669999999996</v>
      </c>
      <c r="M904" s="6">
        <v>1464.06609</v>
      </c>
      <c r="N904" s="6">
        <v>5422.4669999999996</v>
      </c>
      <c r="O904" s="6">
        <v>1464.06609</v>
      </c>
      <c r="P904" s="6">
        <v>0</v>
      </c>
      <c r="Q904" s="4" t="s">
        <v>26</v>
      </c>
      <c r="R904" s="4">
        <v>0</v>
      </c>
      <c r="S904" s="4">
        <v>0</v>
      </c>
      <c r="T904" s="4">
        <v>27</v>
      </c>
      <c r="U904" s="4">
        <v>85</v>
      </c>
      <c r="V904" s="6">
        <f>IF(ISERROR(VLOOKUP($S$904,'TAR FIN'!$A$1:$O$104,15,0)),0,VLOOKUP($S$904,'TAR FIN'!$A$1:$O$104,15,0))</f>
        <v>0</v>
      </c>
      <c r="W904" s="6">
        <f>IF(ISERROR(VLOOKUP($T$904,'TAR FIN'!$A$1:$O$104,15,0)),0,VLOOKUP($T$904,'TAR FIN'!$A$1:$O$104,15,0))</f>
        <v>300.26</v>
      </c>
      <c r="X904" s="6">
        <f>IF(ISERROR(VLOOKUP($U$904,'TAR FIN'!$A$1:$O$104,15,0)),0,VLOOKUP($U$904,'TAR FIN'!$A$1:$O$104,15,0))</f>
        <v>225.04</v>
      </c>
      <c r="Y904" s="6"/>
      <c r="Z904" s="6">
        <f ca="1">('TUSD BE'!$AM$47+'TUSD BF'!$AM$47+'TUSD CVA'!$AM$47)*(1-CUSTOS!$M$38)</f>
        <v>335.21342816228281</v>
      </c>
      <c r="AA904" s="6">
        <f>('TE BE'!$AB$26+'TE BF'!$AB$26+'TE CVA'!$AB$26)*(1-CUSTOS!$M$38)</f>
        <v>227.92247399192311</v>
      </c>
      <c r="AB904" s="6">
        <f t="shared" si="44"/>
        <v>0</v>
      </c>
      <c r="AC904" s="6">
        <f>(L904-M904)*(W904+X904)+($W$672+$X$672-$W$904-$X$904)*(L904)</f>
        <v>2467705.0845629992</v>
      </c>
      <c r="AD904" s="6">
        <f t="shared" si="45"/>
        <v>0</v>
      </c>
      <c r="AE904" s="6">
        <f ca="1">(L904-M904)*(Z904+AA904)+($Z$672+$AA$672-$Z$904-$AA$904)*(L904)</f>
        <v>2424027.4023885233</v>
      </c>
      <c r="AF904" s="4" t="s">
        <v>1001</v>
      </c>
    </row>
    <row r="905" spans="1:32" ht="11.25" customHeight="1" x14ac:dyDescent="0.25">
      <c r="A905" s="4" t="s">
        <v>27</v>
      </c>
      <c r="B905" s="4" t="s">
        <v>44</v>
      </c>
      <c r="C905" s="4" t="s">
        <v>23</v>
      </c>
      <c r="D905" s="4" t="s">
        <v>45</v>
      </c>
      <c r="E905" s="4" t="s">
        <v>53</v>
      </c>
      <c r="F905" s="4" t="s">
        <v>55</v>
      </c>
      <c r="G905" s="4" t="s">
        <v>25</v>
      </c>
      <c r="H905" s="4" t="s">
        <v>25</v>
      </c>
      <c r="I905" s="5">
        <v>44440</v>
      </c>
      <c r="J905" s="6">
        <v>0</v>
      </c>
      <c r="K905" s="6">
        <v>0</v>
      </c>
      <c r="L905" s="6">
        <v>-48.792000000000002</v>
      </c>
      <c r="M905" s="6">
        <v>-13.17384</v>
      </c>
      <c r="N905" s="6">
        <v>-48.792000000000002</v>
      </c>
      <c r="O905" s="6">
        <v>-13.17384</v>
      </c>
      <c r="P905" s="6">
        <v>0</v>
      </c>
      <c r="Q905" s="4" t="s">
        <v>26</v>
      </c>
      <c r="R905" s="4">
        <v>0</v>
      </c>
      <c r="S905" s="4">
        <v>0</v>
      </c>
      <c r="T905" s="4">
        <v>27</v>
      </c>
      <c r="U905" s="4">
        <v>85</v>
      </c>
      <c r="V905" s="6">
        <f>IF(ISERROR(VLOOKUP($S$905,'TAR FIN'!$A$1:$O$104,15,0)),0,VLOOKUP($S$905,'TAR FIN'!$A$1:$O$104,15,0))</f>
        <v>0</v>
      </c>
      <c r="W905" s="6">
        <f>IF(ISERROR(VLOOKUP($T$905,'TAR FIN'!$A$1:$O$104,15,0)),0,VLOOKUP($T$905,'TAR FIN'!$A$1:$O$104,15,0))</f>
        <v>300.26</v>
      </c>
      <c r="X905" s="6">
        <f>IF(ISERROR(VLOOKUP($U$905,'TAR FIN'!$A$1:$O$104,15,0)),0,VLOOKUP($U$905,'TAR FIN'!$A$1:$O$104,15,0))</f>
        <v>225.04</v>
      </c>
      <c r="Y905" s="6"/>
      <c r="Z905" s="6">
        <f ca="1">('TUSD BE'!$AM$47+'TUSD BF'!$AM$47+'TUSD CVA'!$AM$47)*(1-CUSTOS!$M$38)</f>
        <v>335.21342816228281</v>
      </c>
      <c r="AA905" s="6">
        <f>('TE BE'!$AB$26+'TE BF'!$AB$26+'TE CVA'!$AB$26)*(1-CUSTOS!$M$38)</f>
        <v>227.92247399192311</v>
      </c>
      <c r="AB905" s="6">
        <f t="shared" si="44"/>
        <v>0</v>
      </c>
      <c r="AC905" s="6">
        <f>(L905-M905)*(W905+X905)+($W$672+$X$672-$W$905-$X$905)*(L905)</f>
        <v>-22204.702487999999</v>
      </c>
      <c r="AD905" s="6">
        <f t="shared" si="45"/>
        <v>0</v>
      </c>
      <c r="AE905" s="6">
        <f ca="1">(L905-M905)*(Z905+AA905)+($Z$672+$AA$672-$Z$905-$AA$905)*(L905)</f>
        <v>-21811.685533049967</v>
      </c>
      <c r="AF905" s="4" t="s">
        <v>1001</v>
      </c>
    </row>
    <row r="906" spans="1:32" ht="11.25" customHeight="1" x14ac:dyDescent="0.25">
      <c r="A906" s="4" t="s">
        <v>28</v>
      </c>
      <c r="B906" s="4" t="s">
        <v>44</v>
      </c>
      <c r="C906" s="4" t="s">
        <v>23</v>
      </c>
      <c r="D906" s="4" t="s">
        <v>45</v>
      </c>
      <c r="E906" s="4" t="s">
        <v>53</v>
      </c>
      <c r="F906" s="4" t="s">
        <v>55</v>
      </c>
      <c r="G906" s="4" t="s">
        <v>25</v>
      </c>
      <c r="H906" s="4" t="s">
        <v>25</v>
      </c>
      <c r="I906" s="5">
        <v>44440</v>
      </c>
      <c r="J906" s="6">
        <v>0</v>
      </c>
      <c r="K906" s="6">
        <v>0</v>
      </c>
      <c r="L906" s="6">
        <v>135.87799999999999</v>
      </c>
      <c r="M906" s="6">
        <v>36.687060000000002</v>
      </c>
      <c r="N906" s="6">
        <v>135.87799999999999</v>
      </c>
      <c r="O906" s="6">
        <v>36.687060000000002</v>
      </c>
      <c r="P906" s="6">
        <v>0</v>
      </c>
      <c r="Q906" s="4" t="s">
        <v>26</v>
      </c>
      <c r="R906" s="4">
        <v>0</v>
      </c>
      <c r="S906" s="4">
        <v>0</v>
      </c>
      <c r="T906" s="4">
        <v>27</v>
      </c>
      <c r="U906" s="4">
        <v>85</v>
      </c>
      <c r="V906" s="6">
        <f>IF(ISERROR(VLOOKUP($S$906,'TAR FIN'!$A$1:$O$104,15,0)),0,VLOOKUP($S$906,'TAR FIN'!$A$1:$O$104,15,0))</f>
        <v>0</v>
      </c>
      <c r="W906" s="6">
        <f>IF(ISERROR(VLOOKUP($T$906,'TAR FIN'!$A$1:$O$104,15,0)),0,VLOOKUP($T$906,'TAR FIN'!$A$1:$O$104,15,0))</f>
        <v>300.26</v>
      </c>
      <c r="X906" s="6">
        <f>IF(ISERROR(VLOOKUP($U$906,'TAR FIN'!$A$1:$O$104,15,0)),0,VLOOKUP($U$906,'TAR FIN'!$A$1:$O$104,15,0))</f>
        <v>225.04</v>
      </c>
      <c r="Y906" s="6"/>
      <c r="Z906" s="6">
        <f ca="1">('TUSD BE'!$AM$47+'TUSD BF'!$AM$47+'TUSD CVA'!$AM$47)*(1-CUSTOS!$M$38)</f>
        <v>335.21342816228281</v>
      </c>
      <c r="AA906" s="6">
        <f>('TE BE'!$AB$26+'TE BF'!$AB$26+'TE CVA'!$AB$26)*(1-CUSTOS!$M$38)</f>
        <v>227.92247399192311</v>
      </c>
      <c r="AB906" s="6">
        <f t="shared" si="44"/>
        <v>0</v>
      </c>
      <c r="AC906" s="6">
        <f>(L906-M906)*(W906+X906)+($W$672+$X$672-$W$906-$X$906)*(L906)</f>
        <v>61836.583141999981</v>
      </c>
      <c r="AD906" s="6">
        <f t="shared" si="45"/>
        <v>0</v>
      </c>
      <c r="AE906" s="6">
        <f ca="1">(L906-M906)*(Z906+AA906)+($Z$672+$AA$672-$Z$906-$AA$906)*(L906)</f>
        <v>60742.093106651962</v>
      </c>
      <c r="AF906" s="4" t="s">
        <v>1001</v>
      </c>
    </row>
    <row r="907" spans="1:32" ht="11.25" customHeight="1" x14ac:dyDescent="0.25">
      <c r="A907" s="4" t="s">
        <v>28</v>
      </c>
      <c r="B907" s="4" t="s">
        <v>44</v>
      </c>
      <c r="C907" s="4" t="s">
        <v>23</v>
      </c>
      <c r="D907" s="4" t="s">
        <v>45</v>
      </c>
      <c r="E907" s="4" t="s">
        <v>53</v>
      </c>
      <c r="F907" s="4" t="s">
        <v>55</v>
      </c>
      <c r="G907" s="4" t="s">
        <v>25</v>
      </c>
      <c r="H907" s="4" t="s">
        <v>25</v>
      </c>
      <c r="I907" s="5">
        <v>44440</v>
      </c>
      <c r="J907" s="6">
        <v>0</v>
      </c>
      <c r="K907" s="6">
        <v>0</v>
      </c>
      <c r="L907" s="6">
        <v>-3.532</v>
      </c>
      <c r="M907" s="6">
        <v>-0.95364000000000004</v>
      </c>
      <c r="N907" s="6">
        <v>-3.532</v>
      </c>
      <c r="O907" s="6">
        <v>-0.95364000000000004</v>
      </c>
      <c r="P907" s="6">
        <v>0</v>
      </c>
      <c r="Q907" s="4" t="s">
        <v>26</v>
      </c>
      <c r="R907" s="4">
        <v>0</v>
      </c>
      <c r="S907" s="4">
        <v>0</v>
      </c>
      <c r="T907" s="4">
        <v>27</v>
      </c>
      <c r="U907" s="4">
        <v>85</v>
      </c>
      <c r="V907" s="6">
        <f>IF(ISERROR(VLOOKUP($S$907,'TAR FIN'!$A$1:$O$104,15,0)),0,VLOOKUP($S$907,'TAR FIN'!$A$1:$O$104,15,0))</f>
        <v>0</v>
      </c>
      <c r="W907" s="6">
        <f>IF(ISERROR(VLOOKUP($T$907,'TAR FIN'!$A$1:$O$104,15,0)),0,VLOOKUP($T$907,'TAR FIN'!$A$1:$O$104,15,0))</f>
        <v>300.26</v>
      </c>
      <c r="X907" s="6">
        <f>IF(ISERROR(VLOOKUP($U$907,'TAR FIN'!$A$1:$O$104,15,0)),0,VLOOKUP($U$907,'TAR FIN'!$A$1:$O$104,15,0))</f>
        <v>225.04</v>
      </c>
      <c r="Y907" s="6"/>
      <c r="Z907" s="6">
        <f ca="1">('TUSD BE'!$AM$47+'TUSD BF'!$AM$47+'TUSD CVA'!$AM$47)*(1-CUSTOS!$M$38)</f>
        <v>335.21342816228281</v>
      </c>
      <c r="AA907" s="6">
        <f>('TE BE'!$AB$26+'TE BF'!$AB$26+'TE CVA'!$AB$26)*(1-CUSTOS!$M$38)</f>
        <v>227.92247399192311</v>
      </c>
      <c r="AB907" s="6">
        <f t="shared" si="44"/>
        <v>0</v>
      </c>
      <c r="AC907" s="6">
        <f>(L907-M907)*(W907+X907)+($W$672+$X$672-$W$907-$X$907)*(L907)</f>
        <v>-1607.3743479999998</v>
      </c>
      <c r="AD907" s="6">
        <f t="shared" si="45"/>
        <v>0</v>
      </c>
      <c r="AE907" s="6">
        <f ca="1">(L907-M907)*(Z907+AA907)+($Z$672+$AA$672-$Z$907-$AA$907)*(L907)</f>
        <v>-1578.9242765767438</v>
      </c>
      <c r="AF907" s="4" t="s">
        <v>1001</v>
      </c>
    </row>
    <row r="908" spans="1:32" ht="11.25" customHeight="1" x14ac:dyDescent="0.25">
      <c r="A908" s="4" t="s">
        <v>21</v>
      </c>
      <c r="B908" s="4" t="s">
        <v>44</v>
      </c>
      <c r="C908" s="4" t="s">
        <v>23</v>
      </c>
      <c r="D908" s="4" t="s">
        <v>45</v>
      </c>
      <c r="E908" s="4" t="s">
        <v>53</v>
      </c>
      <c r="F908" s="4" t="s">
        <v>55</v>
      </c>
      <c r="G908" s="4" t="s">
        <v>25</v>
      </c>
      <c r="H908" s="4" t="s">
        <v>25</v>
      </c>
      <c r="I908" s="5">
        <v>44470</v>
      </c>
      <c r="J908" s="6">
        <v>0</v>
      </c>
      <c r="K908" s="6">
        <v>0</v>
      </c>
      <c r="L908" s="6">
        <v>6521.0780000000004</v>
      </c>
      <c r="M908" s="6">
        <v>1760.6910600000001</v>
      </c>
      <c r="N908" s="6">
        <v>6521.0780000000004</v>
      </c>
      <c r="O908" s="6">
        <v>1760.6910600000001</v>
      </c>
      <c r="P908" s="6">
        <v>0</v>
      </c>
      <c r="Q908" s="4" t="s">
        <v>26</v>
      </c>
      <c r="R908" s="4">
        <v>0</v>
      </c>
      <c r="S908" s="4">
        <v>0</v>
      </c>
      <c r="T908" s="4">
        <v>27</v>
      </c>
      <c r="U908" s="4">
        <v>85</v>
      </c>
      <c r="V908" s="6">
        <f>IF(ISERROR(VLOOKUP($S$908,'TAR FIN'!$A$1:$O$104,15,0)),0,VLOOKUP($S$908,'TAR FIN'!$A$1:$O$104,15,0))</f>
        <v>0</v>
      </c>
      <c r="W908" s="6">
        <f>IF(ISERROR(VLOOKUP($T$908,'TAR FIN'!$A$1:$O$104,15,0)),0,VLOOKUP($T$908,'TAR FIN'!$A$1:$O$104,15,0))</f>
        <v>300.26</v>
      </c>
      <c r="X908" s="6">
        <f>IF(ISERROR(VLOOKUP($U$908,'TAR FIN'!$A$1:$O$104,15,0)),0,VLOOKUP($U$908,'TAR FIN'!$A$1:$O$104,15,0))</f>
        <v>225.04</v>
      </c>
      <c r="Y908" s="6"/>
      <c r="Z908" s="6">
        <f ca="1">('TUSD BE'!$AM$47+'TUSD BF'!$AM$47+'TUSD CVA'!$AM$47)*(1-CUSTOS!$M$38)</f>
        <v>335.21342816228281</v>
      </c>
      <c r="AA908" s="6">
        <f>('TE BE'!$AB$26+'TE BF'!$AB$26+'TE CVA'!$AB$26)*(1-CUSTOS!$M$38)</f>
        <v>227.92247399192311</v>
      </c>
      <c r="AB908" s="6">
        <f t="shared" si="44"/>
        <v>0</v>
      </c>
      <c r="AC908" s="6">
        <f>(L908-M908)*(W908+X908)+($W$672+$X$672-$W$908-$X$908)*(L908)</f>
        <v>2967670.8659419995</v>
      </c>
      <c r="AD908" s="6">
        <f t="shared" si="45"/>
        <v>0</v>
      </c>
      <c r="AE908" s="6">
        <f ca="1">(L908-M908)*(Z908+AA908)+($Z$672+$AA$672-$Z$908-$AA$908)*(L908)</f>
        <v>2915143.9308183803</v>
      </c>
      <c r="AF908" s="4" t="s">
        <v>1001</v>
      </c>
    </row>
    <row r="909" spans="1:32" ht="11.25" customHeight="1" x14ac:dyDescent="0.25">
      <c r="A909" s="4" t="s">
        <v>27</v>
      </c>
      <c r="B909" s="4" t="s">
        <v>44</v>
      </c>
      <c r="C909" s="4" t="s">
        <v>23</v>
      </c>
      <c r="D909" s="4" t="s">
        <v>45</v>
      </c>
      <c r="E909" s="4" t="s">
        <v>53</v>
      </c>
      <c r="F909" s="4" t="s">
        <v>55</v>
      </c>
      <c r="G909" s="4" t="s">
        <v>25</v>
      </c>
      <c r="H909" s="4" t="s">
        <v>25</v>
      </c>
      <c r="I909" s="5">
        <v>44470</v>
      </c>
      <c r="J909" s="6">
        <v>0</v>
      </c>
      <c r="K909" s="6">
        <v>0</v>
      </c>
      <c r="L909" s="6">
        <v>31.164000000000001</v>
      </c>
      <c r="M909" s="6">
        <v>8.4142799999999998</v>
      </c>
      <c r="N909" s="6">
        <v>31.164000000000001</v>
      </c>
      <c r="O909" s="6">
        <v>8.4142799999999998</v>
      </c>
      <c r="P909" s="6">
        <v>0</v>
      </c>
      <c r="Q909" s="4" t="s">
        <v>26</v>
      </c>
      <c r="R909" s="4">
        <v>0</v>
      </c>
      <c r="S909" s="4">
        <v>0</v>
      </c>
      <c r="T909" s="4">
        <v>27</v>
      </c>
      <c r="U909" s="4">
        <v>85</v>
      </c>
      <c r="V909" s="6">
        <f>IF(ISERROR(VLOOKUP($S$909,'TAR FIN'!$A$1:$O$104,15,0)),0,VLOOKUP($S$909,'TAR FIN'!$A$1:$O$104,15,0))</f>
        <v>0</v>
      </c>
      <c r="W909" s="6">
        <f>IF(ISERROR(VLOOKUP($T$909,'TAR FIN'!$A$1:$O$104,15,0)),0,VLOOKUP($T$909,'TAR FIN'!$A$1:$O$104,15,0))</f>
        <v>300.26</v>
      </c>
      <c r="X909" s="6">
        <f>IF(ISERROR(VLOOKUP($U$909,'TAR FIN'!$A$1:$O$104,15,0)),0,VLOOKUP($U$909,'TAR FIN'!$A$1:$O$104,15,0))</f>
        <v>225.04</v>
      </c>
      <c r="Y909" s="6"/>
      <c r="Z909" s="6">
        <f ca="1">('TUSD BE'!$AM$47+'TUSD BF'!$AM$47+'TUSD CVA'!$AM$47)*(1-CUSTOS!$M$38)</f>
        <v>335.21342816228281</v>
      </c>
      <c r="AA909" s="6">
        <f>('TE BE'!$AB$26+'TE BF'!$AB$26+'TE CVA'!$AB$26)*(1-CUSTOS!$M$38)</f>
        <v>227.92247399192311</v>
      </c>
      <c r="AB909" s="6">
        <f t="shared" si="44"/>
        <v>0</v>
      </c>
      <c r="AC909" s="6">
        <f>(L909-M909)*(W909+X909)+($W$672+$X$672-$W$909-$X$909)*(L909)</f>
        <v>14182.393596</v>
      </c>
      <c r="AD909" s="6">
        <f t="shared" si="45"/>
        <v>0</v>
      </c>
      <c r="AE909" s="6">
        <f ca="1">(L909-M909)*(Z909+AA909)+($Z$672+$AA$672-$Z$909-$AA$909)*(L909)</f>
        <v>13931.369239874759</v>
      </c>
      <c r="AF909" s="4" t="s">
        <v>1001</v>
      </c>
    </row>
    <row r="910" spans="1:32" ht="11.25" customHeight="1" x14ac:dyDescent="0.25">
      <c r="A910" s="4" t="s">
        <v>28</v>
      </c>
      <c r="B910" s="4" t="s">
        <v>44</v>
      </c>
      <c r="C910" s="4" t="s">
        <v>23</v>
      </c>
      <c r="D910" s="4" t="s">
        <v>45</v>
      </c>
      <c r="E910" s="4" t="s">
        <v>53</v>
      </c>
      <c r="F910" s="4" t="s">
        <v>55</v>
      </c>
      <c r="G910" s="4" t="s">
        <v>25</v>
      </c>
      <c r="H910" s="4" t="s">
        <v>25</v>
      </c>
      <c r="I910" s="5">
        <v>44470</v>
      </c>
      <c r="J910" s="6">
        <v>0</v>
      </c>
      <c r="K910" s="6">
        <v>0</v>
      </c>
      <c r="L910" s="6">
        <v>156.62200000000001</v>
      </c>
      <c r="M910" s="6">
        <v>42.287939999999999</v>
      </c>
      <c r="N910" s="6">
        <v>156.62200000000001</v>
      </c>
      <c r="O910" s="6">
        <v>42.287939999999999</v>
      </c>
      <c r="P910" s="6">
        <v>0</v>
      </c>
      <c r="Q910" s="4" t="s">
        <v>26</v>
      </c>
      <c r="R910" s="4">
        <v>0</v>
      </c>
      <c r="S910" s="4">
        <v>0</v>
      </c>
      <c r="T910" s="4">
        <v>27</v>
      </c>
      <c r="U910" s="4">
        <v>85</v>
      </c>
      <c r="V910" s="6">
        <f>IF(ISERROR(VLOOKUP($S$910,'TAR FIN'!$A$1:$O$104,15,0)),0,VLOOKUP($S$910,'TAR FIN'!$A$1:$O$104,15,0))</f>
        <v>0</v>
      </c>
      <c r="W910" s="6">
        <f>IF(ISERROR(VLOOKUP($T$910,'TAR FIN'!$A$1:$O$104,15,0)),0,VLOOKUP($T$910,'TAR FIN'!$A$1:$O$104,15,0))</f>
        <v>300.26</v>
      </c>
      <c r="X910" s="6">
        <f>IF(ISERROR(VLOOKUP($U$910,'TAR FIN'!$A$1:$O$104,15,0)),0,VLOOKUP($U$910,'TAR FIN'!$A$1:$O$104,15,0))</f>
        <v>225.04</v>
      </c>
      <c r="Y910" s="6"/>
      <c r="Z910" s="6">
        <f ca="1">('TUSD BE'!$AM$47+'TUSD BF'!$AM$47+'TUSD CVA'!$AM$47)*(1-CUSTOS!$M$38)</f>
        <v>335.21342816228281</v>
      </c>
      <c r="AA910" s="6">
        <f>('TE BE'!$AB$26+'TE BF'!$AB$26+'TE CVA'!$AB$26)*(1-CUSTOS!$M$38)</f>
        <v>227.92247399192311</v>
      </c>
      <c r="AB910" s="6">
        <f t="shared" si="44"/>
        <v>0</v>
      </c>
      <c r="AC910" s="6">
        <f>(L910-M910)*(W910+X910)+($W$672+$X$672-$W$910-$X$910)*(L910)</f>
        <v>71276.949357999998</v>
      </c>
      <c r="AD910" s="6">
        <f t="shared" si="45"/>
        <v>0</v>
      </c>
      <c r="AE910" s="6">
        <f ca="1">(L910-M910)*(Z910+AA910)+($Z$672+$AA$672-$Z$910-$AA$910)*(L910)</f>
        <v>70015.367510193319</v>
      </c>
      <c r="AF910" s="4" t="s">
        <v>1001</v>
      </c>
    </row>
    <row r="911" spans="1:32" ht="11.25" customHeight="1" x14ac:dyDescent="0.25">
      <c r="A911" s="4" t="s">
        <v>21</v>
      </c>
      <c r="B911" s="4" t="s">
        <v>44</v>
      </c>
      <c r="C911" s="4" t="s">
        <v>23</v>
      </c>
      <c r="D911" s="4" t="s">
        <v>45</v>
      </c>
      <c r="E911" s="4" t="s">
        <v>53</v>
      </c>
      <c r="F911" s="4" t="s">
        <v>55</v>
      </c>
      <c r="G911" s="4" t="s">
        <v>25</v>
      </c>
      <c r="H911" s="4" t="s">
        <v>25</v>
      </c>
      <c r="I911" s="5">
        <v>44501</v>
      </c>
      <c r="J911" s="6">
        <v>0</v>
      </c>
      <c r="K911" s="6">
        <v>0</v>
      </c>
      <c r="L911" s="6">
        <v>6503.8609999999999</v>
      </c>
      <c r="M911" s="6">
        <v>1756.0424700000001</v>
      </c>
      <c r="N911" s="6">
        <v>6503.8609999999999</v>
      </c>
      <c r="O911" s="6">
        <v>1756.0424700000001</v>
      </c>
      <c r="P911" s="6">
        <v>0</v>
      </c>
      <c r="Q911" s="4" t="s">
        <v>26</v>
      </c>
      <c r="R911" s="4">
        <v>0</v>
      </c>
      <c r="S911" s="4">
        <v>0</v>
      </c>
      <c r="T911" s="4">
        <v>27</v>
      </c>
      <c r="U911" s="4">
        <v>85</v>
      </c>
      <c r="V911" s="6">
        <f>IF(ISERROR(VLOOKUP($S$911,'TAR FIN'!$A$1:$O$104,15,0)),0,VLOOKUP($S$911,'TAR FIN'!$A$1:$O$104,15,0))</f>
        <v>0</v>
      </c>
      <c r="W911" s="6">
        <f>IF(ISERROR(VLOOKUP($T$911,'TAR FIN'!$A$1:$O$104,15,0)),0,VLOOKUP($T$911,'TAR FIN'!$A$1:$O$104,15,0))</f>
        <v>300.26</v>
      </c>
      <c r="X911" s="6">
        <f>IF(ISERROR(VLOOKUP($U$911,'TAR FIN'!$A$1:$O$104,15,0)),0,VLOOKUP($U$911,'TAR FIN'!$A$1:$O$104,15,0))</f>
        <v>225.04</v>
      </c>
      <c r="Y911" s="6"/>
      <c r="Z911" s="6">
        <f ca="1">('TUSD BE'!$AM$47+'TUSD BF'!$AM$47+'TUSD CVA'!$AM$47)*(1-CUSTOS!$M$38)</f>
        <v>335.21342816228281</v>
      </c>
      <c r="AA911" s="6">
        <f>('TE BE'!$AB$26+'TE BF'!$AB$26+'TE CVA'!$AB$26)*(1-CUSTOS!$M$38)</f>
        <v>227.92247399192311</v>
      </c>
      <c r="AB911" s="6">
        <f t="shared" si="44"/>
        <v>0</v>
      </c>
      <c r="AC911" s="6">
        <f>(L911-M911)*(W911+X911)+($W$672+$X$672-$W$911-$X$911)*(L911)</f>
        <v>2959835.5986289997</v>
      </c>
      <c r="AD911" s="6">
        <f t="shared" si="45"/>
        <v>0</v>
      </c>
      <c r="AE911" s="6">
        <f ca="1">(L911-M911)*(Z911+AA911)+($Z$672+$AA$672-$Z$911-$AA$911)*(L911)</f>
        <v>2907447.3455211483</v>
      </c>
      <c r="AF911" s="4" t="s">
        <v>1001</v>
      </c>
    </row>
    <row r="912" spans="1:32" ht="11.25" customHeight="1" x14ac:dyDescent="0.25">
      <c r="A912" s="4" t="s">
        <v>27</v>
      </c>
      <c r="B912" s="4" t="s">
        <v>44</v>
      </c>
      <c r="C912" s="4" t="s">
        <v>23</v>
      </c>
      <c r="D912" s="4" t="s">
        <v>45</v>
      </c>
      <c r="E912" s="4" t="s">
        <v>53</v>
      </c>
      <c r="F912" s="4" t="s">
        <v>55</v>
      </c>
      <c r="G912" s="4" t="s">
        <v>25</v>
      </c>
      <c r="H912" s="4" t="s">
        <v>25</v>
      </c>
      <c r="I912" s="5">
        <v>44501</v>
      </c>
      <c r="J912" s="6">
        <v>0</v>
      </c>
      <c r="K912" s="6">
        <v>0</v>
      </c>
      <c r="L912" s="6">
        <v>-31.870999999999999</v>
      </c>
      <c r="M912" s="6">
        <v>-8.6051699999999993</v>
      </c>
      <c r="N912" s="6">
        <v>-31.870999999999999</v>
      </c>
      <c r="O912" s="6">
        <v>-8.6051699999999993</v>
      </c>
      <c r="P912" s="6">
        <v>0</v>
      </c>
      <c r="Q912" s="4" t="s">
        <v>26</v>
      </c>
      <c r="R912" s="4">
        <v>0</v>
      </c>
      <c r="S912" s="4">
        <v>0</v>
      </c>
      <c r="T912" s="4">
        <v>27</v>
      </c>
      <c r="U912" s="4">
        <v>85</v>
      </c>
      <c r="V912" s="6">
        <f>IF(ISERROR(VLOOKUP($S$912,'TAR FIN'!$A$1:$O$104,15,0)),0,VLOOKUP($S$912,'TAR FIN'!$A$1:$O$104,15,0))</f>
        <v>0</v>
      </c>
      <c r="W912" s="6">
        <f>IF(ISERROR(VLOOKUP($T$912,'TAR FIN'!$A$1:$O$104,15,0)),0,VLOOKUP($T$912,'TAR FIN'!$A$1:$O$104,15,0))</f>
        <v>300.26</v>
      </c>
      <c r="X912" s="6">
        <f>IF(ISERROR(VLOOKUP($U$912,'TAR FIN'!$A$1:$O$104,15,0)),0,VLOOKUP($U$912,'TAR FIN'!$A$1:$O$104,15,0))</f>
        <v>225.04</v>
      </c>
      <c r="Y912" s="6"/>
      <c r="Z912" s="6">
        <f ca="1">('TUSD BE'!$AM$47+'TUSD BF'!$AM$47+'TUSD CVA'!$AM$47)*(1-CUSTOS!$M$38)</f>
        <v>335.21342816228281</v>
      </c>
      <c r="AA912" s="6">
        <f>('TE BE'!$AB$26+'TE BF'!$AB$26+'TE CVA'!$AB$26)*(1-CUSTOS!$M$38)</f>
        <v>227.92247399192311</v>
      </c>
      <c r="AB912" s="6">
        <f t="shared" si="44"/>
        <v>0</v>
      </c>
      <c r="AC912" s="6">
        <f>(L912-M912)*(W912+X912)+($W$672+$X$672-$W$912-$X$912)*(L912)</f>
        <v>-14504.141518999997</v>
      </c>
      <c r="AD912" s="6">
        <f t="shared" si="45"/>
        <v>0</v>
      </c>
      <c r="AE912" s="6">
        <f ca="1">(L912-M912)*(Z912+AA912)+($Z$672+$AA$672-$Z$912-$AA$912)*(L912)</f>
        <v>-14247.422315622141</v>
      </c>
      <c r="AF912" s="4" t="s">
        <v>1001</v>
      </c>
    </row>
    <row r="913" spans="1:32" ht="11.25" customHeight="1" x14ac:dyDescent="0.25">
      <c r="A913" s="4" t="s">
        <v>28</v>
      </c>
      <c r="B913" s="4" t="s">
        <v>44</v>
      </c>
      <c r="C913" s="4" t="s">
        <v>23</v>
      </c>
      <c r="D913" s="4" t="s">
        <v>45</v>
      </c>
      <c r="E913" s="4" t="s">
        <v>53</v>
      </c>
      <c r="F913" s="4" t="s">
        <v>55</v>
      </c>
      <c r="G913" s="4" t="s">
        <v>25</v>
      </c>
      <c r="H913" s="4" t="s">
        <v>25</v>
      </c>
      <c r="I913" s="5">
        <v>44501</v>
      </c>
      <c r="J913" s="6">
        <v>0</v>
      </c>
      <c r="K913" s="6">
        <v>0</v>
      </c>
      <c r="L913" s="6">
        <v>172.49700000000001</v>
      </c>
      <c r="M913" s="6">
        <v>46.574190000000002</v>
      </c>
      <c r="N913" s="6">
        <v>172.49700000000001</v>
      </c>
      <c r="O913" s="6">
        <v>46.574190000000002</v>
      </c>
      <c r="P913" s="6">
        <v>0</v>
      </c>
      <c r="Q913" s="4" t="s">
        <v>26</v>
      </c>
      <c r="R913" s="4">
        <v>0</v>
      </c>
      <c r="S913" s="4">
        <v>0</v>
      </c>
      <c r="T913" s="4">
        <v>27</v>
      </c>
      <c r="U913" s="4">
        <v>85</v>
      </c>
      <c r="V913" s="6">
        <f>IF(ISERROR(VLOOKUP($S$913,'TAR FIN'!$A$1:$O$104,15,0)),0,VLOOKUP($S$913,'TAR FIN'!$A$1:$O$104,15,0))</f>
        <v>0</v>
      </c>
      <c r="W913" s="6">
        <f>IF(ISERROR(VLOOKUP($T$913,'TAR FIN'!$A$1:$O$104,15,0)),0,VLOOKUP($T$913,'TAR FIN'!$A$1:$O$104,15,0))</f>
        <v>300.26</v>
      </c>
      <c r="X913" s="6">
        <f>IF(ISERROR(VLOOKUP($U$913,'TAR FIN'!$A$1:$O$104,15,0)),0,VLOOKUP($U$913,'TAR FIN'!$A$1:$O$104,15,0))</f>
        <v>225.04</v>
      </c>
      <c r="Y913" s="6"/>
      <c r="Z913" s="6">
        <f ca="1">('TUSD BE'!$AM$47+'TUSD BF'!$AM$47+'TUSD CVA'!$AM$47)*(1-CUSTOS!$M$38)</f>
        <v>335.21342816228281</v>
      </c>
      <c r="AA913" s="6">
        <f>('TE BE'!$AB$26+'TE BF'!$AB$26+'TE CVA'!$AB$26)*(1-CUSTOS!$M$38)</f>
        <v>227.92247399192311</v>
      </c>
      <c r="AB913" s="6">
        <f t="shared" si="44"/>
        <v>0</v>
      </c>
      <c r="AC913" s="6">
        <f>(L913-M913)*(W913+X913)+($W$672+$X$672-$W$913-$X$913)*(L913)</f>
        <v>78501.487232999993</v>
      </c>
      <c r="AD913" s="6">
        <f t="shared" si="45"/>
        <v>0</v>
      </c>
      <c r="AE913" s="6">
        <f ca="1">(L913-M913)*(Z913+AA913)+($Z$672+$AA$672-$Z$913-$AA$913)*(L913)</f>
        <v>77112.03310777423</v>
      </c>
      <c r="AF913" s="4" t="s">
        <v>1001</v>
      </c>
    </row>
    <row r="914" spans="1:32" ht="11.25" customHeight="1" x14ac:dyDescent="0.25">
      <c r="A914" s="4" t="s">
        <v>21</v>
      </c>
      <c r="B914" s="4" t="s">
        <v>44</v>
      </c>
      <c r="C914" s="4" t="s">
        <v>23</v>
      </c>
      <c r="D914" s="4" t="s">
        <v>45</v>
      </c>
      <c r="E914" s="4" t="s">
        <v>53</v>
      </c>
      <c r="F914" s="4" t="s">
        <v>55</v>
      </c>
      <c r="G914" s="4" t="s">
        <v>25</v>
      </c>
      <c r="H914" s="4" t="s">
        <v>25</v>
      </c>
      <c r="I914" s="5">
        <v>44531</v>
      </c>
      <c r="J914" s="6">
        <v>0</v>
      </c>
      <c r="K914" s="6">
        <v>0</v>
      </c>
      <c r="L914" s="6">
        <v>6802.8249999999998</v>
      </c>
      <c r="M914" s="6">
        <v>1836.7627500000001</v>
      </c>
      <c r="N914" s="6">
        <v>6802.8249999999998</v>
      </c>
      <c r="O914" s="6">
        <v>1836.7627500000001</v>
      </c>
      <c r="P914" s="6">
        <v>0</v>
      </c>
      <c r="Q914" s="4" t="s">
        <v>26</v>
      </c>
      <c r="R914" s="4">
        <v>0</v>
      </c>
      <c r="S914" s="4">
        <v>0</v>
      </c>
      <c r="T914" s="4">
        <v>27</v>
      </c>
      <c r="U914" s="4">
        <v>85</v>
      </c>
      <c r="V914" s="6">
        <f>IF(ISERROR(VLOOKUP($S$914,'TAR FIN'!$A$1:$O$104,15,0)),0,VLOOKUP($S$914,'TAR FIN'!$A$1:$O$104,15,0))</f>
        <v>0</v>
      </c>
      <c r="W914" s="6">
        <f>IF(ISERROR(VLOOKUP($T$914,'TAR FIN'!$A$1:$O$104,15,0)),0,VLOOKUP($T$914,'TAR FIN'!$A$1:$O$104,15,0))</f>
        <v>300.26</v>
      </c>
      <c r="X914" s="6">
        <f>IF(ISERROR(VLOOKUP($U$914,'TAR FIN'!$A$1:$O$104,15,0)),0,VLOOKUP($U$914,'TAR FIN'!$A$1:$O$104,15,0))</f>
        <v>225.04</v>
      </c>
      <c r="Y914" s="6"/>
      <c r="Z914" s="6">
        <f ca="1">('TUSD BE'!$AM$47+'TUSD BF'!$AM$47+'TUSD CVA'!$AM$47)*(1-CUSTOS!$M$38)</f>
        <v>335.21342816228281</v>
      </c>
      <c r="AA914" s="6">
        <f>('TE BE'!$AB$26+'TE BF'!$AB$26+'TE CVA'!$AB$26)*(1-CUSTOS!$M$38)</f>
        <v>227.92247399192311</v>
      </c>
      <c r="AB914" s="6">
        <f t="shared" si="44"/>
        <v>0</v>
      </c>
      <c r="AC914" s="6">
        <f>(L914-M914)*(W914+X914)+($W$672+$X$672-$W$914-$X$914)*(L914)</f>
        <v>3095890.8264249996</v>
      </c>
      <c r="AD914" s="6">
        <f t="shared" si="45"/>
        <v>0</v>
      </c>
      <c r="AE914" s="6">
        <f ca="1">(L914-M914)*(Z914+AA914)+($Z$672+$AA$672-$Z$914-$AA$914)*(L914)</f>
        <v>3041094.4342591129</v>
      </c>
      <c r="AF914" s="4" t="s">
        <v>1001</v>
      </c>
    </row>
    <row r="915" spans="1:32" ht="11.25" customHeight="1" x14ac:dyDescent="0.25">
      <c r="A915" s="4" t="s">
        <v>27</v>
      </c>
      <c r="B915" s="4" t="s">
        <v>44</v>
      </c>
      <c r="C915" s="4" t="s">
        <v>23</v>
      </c>
      <c r="D915" s="4" t="s">
        <v>45</v>
      </c>
      <c r="E915" s="4" t="s">
        <v>53</v>
      </c>
      <c r="F915" s="4" t="s">
        <v>55</v>
      </c>
      <c r="G915" s="4" t="s">
        <v>25</v>
      </c>
      <c r="H915" s="4" t="s">
        <v>25</v>
      </c>
      <c r="I915" s="5">
        <v>44531</v>
      </c>
      <c r="J915" s="6">
        <v>0</v>
      </c>
      <c r="K915" s="6">
        <v>0</v>
      </c>
      <c r="L915" s="6">
        <v>-60.622999999999998</v>
      </c>
      <c r="M915" s="6">
        <v>-16.368210000000001</v>
      </c>
      <c r="N915" s="6">
        <v>-60.622999999999998</v>
      </c>
      <c r="O915" s="6">
        <v>-16.368210000000001</v>
      </c>
      <c r="P915" s="6">
        <v>0</v>
      </c>
      <c r="Q915" s="4" t="s">
        <v>26</v>
      </c>
      <c r="R915" s="4">
        <v>0</v>
      </c>
      <c r="S915" s="4">
        <v>0</v>
      </c>
      <c r="T915" s="4">
        <v>27</v>
      </c>
      <c r="U915" s="4">
        <v>85</v>
      </c>
      <c r="V915" s="6">
        <f>IF(ISERROR(VLOOKUP($S$915,'TAR FIN'!$A$1:$O$104,15,0)),0,VLOOKUP($S$915,'TAR FIN'!$A$1:$O$104,15,0))</f>
        <v>0</v>
      </c>
      <c r="W915" s="6">
        <f>IF(ISERROR(VLOOKUP($T$915,'TAR FIN'!$A$1:$O$104,15,0)),0,VLOOKUP($T$915,'TAR FIN'!$A$1:$O$104,15,0))</f>
        <v>300.26</v>
      </c>
      <c r="X915" s="6">
        <f>IF(ISERROR(VLOOKUP($U$915,'TAR FIN'!$A$1:$O$104,15,0)),0,VLOOKUP($U$915,'TAR FIN'!$A$1:$O$104,15,0))</f>
        <v>225.04</v>
      </c>
      <c r="Y915" s="6"/>
      <c r="Z915" s="6">
        <f ca="1">('TUSD BE'!$AM$47+'TUSD BF'!$AM$47+'TUSD CVA'!$AM$47)*(1-CUSTOS!$M$38)</f>
        <v>335.21342816228281</v>
      </c>
      <c r="AA915" s="6">
        <f>('TE BE'!$AB$26+'TE BF'!$AB$26+'TE CVA'!$AB$26)*(1-CUSTOS!$M$38)</f>
        <v>227.92247399192311</v>
      </c>
      <c r="AB915" s="6">
        <f t="shared" si="44"/>
        <v>0</v>
      </c>
      <c r="AC915" s="6">
        <f>(L915-M915)*(W915+X915)+($W$672+$X$672-$W$915-$X$915)*(L915)</f>
        <v>-27588.860446999999</v>
      </c>
      <c r="AD915" s="6">
        <f t="shared" si="45"/>
        <v>0</v>
      </c>
      <c r="AE915" s="6">
        <f ca="1">(L915-M915)*(Z915+AA915)+($Z$672+$AA$672-$Z$915-$AA$915)*(L915)</f>
        <v>-27100.545418717986</v>
      </c>
      <c r="AF915" s="4" t="s">
        <v>1001</v>
      </c>
    </row>
    <row r="916" spans="1:32" ht="11.25" customHeight="1" x14ac:dyDescent="0.25">
      <c r="A916" s="4" t="s">
        <v>28</v>
      </c>
      <c r="B916" s="4" t="s">
        <v>44</v>
      </c>
      <c r="C916" s="4" t="s">
        <v>23</v>
      </c>
      <c r="D916" s="4" t="s">
        <v>45</v>
      </c>
      <c r="E916" s="4" t="s">
        <v>53</v>
      </c>
      <c r="F916" s="4" t="s">
        <v>55</v>
      </c>
      <c r="G916" s="4" t="s">
        <v>25</v>
      </c>
      <c r="H916" s="4" t="s">
        <v>25</v>
      </c>
      <c r="I916" s="5">
        <v>44531</v>
      </c>
      <c r="J916" s="6">
        <v>0</v>
      </c>
      <c r="K916" s="6">
        <v>0</v>
      </c>
      <c r="L916" s="6">
        <v>199.44300000000001</v>
      </c>
      <c r="M916" s="6">
        <v>53.849609999999998</v>
      </c>
      <c r="N916" s="6">
        <v>199.44300000000001</v>
      </c>
      <c r="O916" s="6">
        <v>53.849609999999998</v>
      </c>
      <c r="P916" s="6">
        <v>0</v>
      </c>
      <c r="Q916" s="4" t="s">
        <v>26</v>
      </c>
      <c r="R916" s="4">
        <v>0</v>
      </c>
      <c r="S916" s="4">
        <v>0</v>
      </c>
      <c r="T916" s="4">
        <v>27</v>
      </c>
      <c r="U916" s="4">
        <v>85</v>
      </c>
      <c r="V916" s="6">
        <f>IF(ISERROR(VLOOKUP($S$916,'TAR FIN'!$A$1:$O$104,15,0)),0,VLOOKUP($S$916,'TAR FIN'!$A$1:$O$104,15,0))</f>
        <v>0</v>
      </c>
      <c r="W916" s="6">
        <f>IF(ISERROR(VLOOKUP($T$916,'TAR FIN'!$A$1:$O$104,15,0)),0,VLOOKUP($T$916,'TAR FIN'!$A$1:$O$104,15,0))</f>
        <v>300.26</v>
      </c>
      <c r="X916" s="6">
        <f>IF(ISERROR(VLOOKUP($U$916,'TAR FIN'!$A$1:$O$104,15,0)),0,VLOOKUP($U$916,'TAR FIN'!$A$1:$O$104,15,0))</f>
        <v>225.04</v>
      </c>
      <c r="Y916" s="6"/>
      <c r="Z916" s="6">
        <f ca="1">('TUSD BE'!$AM$47+'TUSD BF'!$AM$47+'TUSD CVA'!$AM$47)*(1-CUSTOS!$M$38)</f>
        <v>335.21342816228281</v>
      </c>
      <c r="AA916" s="6">
        <f>('TE BE'!$AB$26+'TE BF'!$AB$26+'TE CVA'!$AB$26)*(1-CUSTOS!$M$38)</f>
        <v>227.92247399192311</v>
      </c>
      <c r="AB916" s="6">
        <f t="shared" si="44"/>
        <v>0</v>
      </c>
      <c r="AC916" s="6">
        <f>(L916-M916)*(W916+X916)+($W$672+$X$672-$W$916-$X$916)*(L916)</f>
        <v>90764.315426999994</v>
      </c>
      <c r="AD916" s="6">
        <f t="shared" si="45"/>
        <v>0</v>
      </c>
      <c r="AE916" s="6">
        <f ca="1">(L916-M916)*(Z916+AA916)+($Z$672+$AA$672-$Z$916-$AA$916)*(L916)</f>
        <v>89157.812710446073</v>
      </c>
      <c r="AF916" s="4" t="s">
        <v>1001</v>
      </c>
    </row>
    <row r="917" spans="1:32" ht="11.25" customHeight="1" x14ac:dyDescent="0.25">
      <c r="A917" s="4" t="s">
        <v>21</v>
      </c>
      <c r="B917" s="4" t="s">
        <v>44</v>
      </c>
      <c r="C917" s="4" t="s">
        <v>23</v>
      </c>
      <c r="D917" s="4" t="s">
        <v>45</v>
      </c>
      <c r="E917" s="4" t="s">
        <v>53</v>
      </c>
      <c r="F917" s="4" t="s">
        <v>55</v>
      </c>
      <c r="G917" s="4" t="s">
        <v>25</v>
      </c>
      <c r="H917" s="4" t="s">
        <v>25</v>
      </c>
      <c r="I917" s="5">
        <v>44562</v>
      </c>
      <c r="J917" s="6">
        <v>0</v>
      </c>
      <c r="K917" s="6">
        <v>0</v>
      </c>
      <c r="L917" s="6">
        <v>3661.6559999999999</v>
      </c>
      <c r="M917" s="6">
        <v>988.64711999999997</v>
      </c>
      <c r="N917" s="6">
        <v>3661.6559999999999</v>
      </c>
      <c r="O917" s="6">
        <v>988.64711999999997</v>
      </c>
      <c r="P917" s="6">
        <v>0</v>
      </c>
      <c r="Q917" s="4" t="s">
        <v>26</v>
      </c>
      <c r="R917" s="4">
        <v>0</v>
      </c>
      <c r="S917" s="4">
        <v>0</v>
      </c>
      <c r="T917" s="4">
        <v>27</v>
      </c>
      <c r="U917" s="4">
        <v>85</v>
      </c>
      <c r="V917" s="6">
        <f>IF(ISERROR(VLOOKUP($S$917,'TAR FIN'!$A$1:$O$104,15,0)),0,VLOOKUP($S$917,'TAR FIN'!$A$1:$O$104,15,0))</f>
        <v>0</v>
      </c>
      <c r="W917" s="6">
        <f>IF(ISERROR(VLOOKUP($T$917,'TAR FIN'!$A$1:$O$104,15,0)),0,VLOOKUP($T$917,'TAR FIN'!$A$1:$O$104,15,0))</f>
        <v>300.26</v>
      </c>
      <c r="X917" s="6">
        <f>IF(ISERROR(VLOOKUP($U$917,'TAR FIN'!$A$1:$O$104,15,0)),0,VLOOKUP($U$917,'TAR FIN'!$A$1:$O$104,15,0))</f>
        <v>225.04</v>
      </c>
      <c r="Y917" s="6"/>
      <c r="Z917" s="6">
        <f ca="1">('TUSD BE'!$AM$47+'TUSD BF'!$AM$47+'TUSD CVA'!$AM$47)*(1-CUSTOS!$M$38)</f>
        <v>335.21342816228281</v>
      </c>
      <c r="AA917" s="6">
        <f>('TE BE'!$AB$26+'TE BF'!$AB$26+'TE CVA'!$AB$26)*(1-CUSTOS!$M$38)</f>
        <v>227.92247399192311</v>
      </c>
      <c r="AB917" s="6">
        <f t="shared" si="44"/>
        <v>0</v>
      </c>
      <c r="AC917" s="6">
        <f>(L917-M917)*(W917+X917)+($W$672+$X$672-$W$917-$X$917)*(L917)</f>
        <v>1666379.3673839998</v>
      </c>
      <c r="AD917" s="6">
        <f t="shared" si="45"/>
        <v>0</v>
      </c>
      <c r="AE917" s="6">
        <f ca="1">(L917-M917)*(Z917+AA917)+($Z$672+$AA$672-$Z$917-$AA$917)*(L917)</f>
        <v>1636884.9238031972</v>
      </c>
      <c r="AF917" s="4" t="s">
        <v>1001</v>
      </c>
    </row>
    <row r="918" spans="1:32" ht="11.25" customHeight="1" x14ac:dyDescent="0.25">
      <c r="A918" s="4" t="s">
        <v>27</v>
      </c>
      <c r="B918" s="4" t="s">
        <v>44</v>
      </c>
      <c r="C918" s="4" t="s">
        <v>23</v>
      </c>
      <c r="D918" s="4" t="s">
        <v>45</v>
      </c>
      <c r="E918" s="4" t="s">
        <v>53</v>
      </c>
      <c r="F918" s="4" t="s">
        <v>55</v>
      </c>
      <c r="G918" s="4" t="s">
        <v>25</v>
      </c>
      <c r="H918" s="4" t="s">
        <v>25</v>
      </c>
      <c r="I918" s="5">
        <v>44562</v>
      </c>
      <c r="J918" s="6">
        <v>0</v>
      </c>
      <c r="K918" s="6">
        <v>0</v>
      </c>
      <c r="L918" s="6">
        <v>-46.845999999999997</v>
      </c>
      <c r="M918" s="6">
        <v>-12.64842</v>
      </c>
      <c r="N918" s="6">
        <v>-46.845999999999997</v>
      </c>
      <c r="O918" s="6">
        <v>-12.64842</v>
      </c>
      <c r="P918" s="6">
        <v>0</v>
      </c>
      <c r="Q918" s="4" t="s">
        <v>26</v>
      </c>
      <c r="R918" s="4">
        <v>0</v>
      </c>
      <c r="S918" s="4">
        <v>0</v>
      </c>
      <c r="T918" s="4">
        <v>27</v>
      </c>
      <c r="U918" s="4">
        <v>85</v>
      </c>
      <c r="V918" s="6">
        <f>IF(ISERROR(VLOOKUP($S$918,'TAR FIN'!$A$1:$O$104,15,0)),0,VLOOKUP($S$918,'TAR FIN'!$A$1:$O$104,15,0))</f>
        <v>0</v>
      </c>
      <c r="W918" s="6">
        <f>IF(ISERROR(VLOOKUP($T$918,'TAR FIN'!$A$1:$O$104,15,0)),0,VLOOKUP($T$918,'TAR FIN'!$A$1:$O$104,15,0))</f>
        <v>300.26</v>
      </c>
      <c r="X918" s="6">
        <f>IF(ISERROR(VLOOKUP($U$918,'TAR FIN'!$A$1:$O$104,15,0)),0,VLOOKUP($U$918,'TAR FIN'!$A$1:$O$104,15,0))</f>
        <v>225.04</v>
      </c>
      <c r="Y918" s="6"/>
      <c r="Z918" s="6">
        <f ca="1">('TUSD BE'!$AM$47+'TUSD BF'!$AM$47+'TUSD CVA'!$AM$47)*(1-CUSTOS!$M$38)</f>
        <v>335.21342816228281</v>
      </c>
      <c r="AA918" s="6">
        <f>('TE BE'!$AB$26+'TE BF'!$AB$26+'TE CVA'!$AB$26)*(1-CUSTOS!$M$38)</f>
        <v>227.92247399192311</v>
      </c>
      <c r="AB918" s="6">
        <f t="shared" si="44"/>
        <v>0</v>
      </c>
      <c r="AC918" s="6">
        <f>(L918-M918)*(W918+X918)+($W$672+$X$672-$W$918-$X$918)*(L918)</f>
        <v>-21319.099293999992</v>
      </c>
      <c r="AD918" s="6">
        <f t="shared" si="45"/>
        <v>0</v>
      </c>
      <c r="AE918" s="6">
        <f ca="1">(L918-M918)*(Z918+AA918)+($Z$672+$AA$672-$Z$918-$AA$918)*(L918)</f>
        <v>-20941.757265151227</v>
      </c>
      <c r="AF918" s="4" t="s">
        <v>1001</v>
      </c>
    </row>
    <row r="919" spans="1:32" ht="11.25" customHeight="1" x14ac:dyDescent="0.25">
      <c r="A919" s="4" t="s">
        <v>28</v>
      </c>
      <c r="B919" s="4" t="s">
        <v>44</v>
      </c>
      <c r="C919" s="4" t="s">
        <v>23</v>
      </c>
      <c r="D919" s="4" t="s">
        <v>45</v>
      </c>
      <c r="E919" s="4" t="s">
        <v>53</v>
      </c>
      <c r="F919" s="4" t="s">
        <v>55</v>
      </c>
      <c r="G919" s="4" t="s">
        <v>25</v>
      </c>
      <c r="H919" s="4" t="s">
        <v>25</v>
      </c>
      <c r="I919" s="5">
        <v>44562</v>
      </c>
      <c r="J919" s="6">
        <v>0</v>
      </c>
      <c r="K919" s="6">
        <v>0</v>
      </c>
      <c r="L919" s="6">
        <v>131.33000000000001</v>
      </c>
      <c r="M919" s="6">
        <v>35.459099999999999</v>
      </c>
      <c r="N919" s="6">
        <v>131.33000000000001</v>
      </c>
      <c r="O919" s="6">
        <v>35.459099999999999</v>
      </c>
      <c r="P919" s="6">
        <v>0</v>
      </c>
      <c r="Q919" s="4" t="s">
        <v>26</v>
      </c>
      <c r="R919" s="4">
        <v>0</v>
      </c>
      <c r="S919" s="4">
        <v>0</v>
      </c>
      <c r="T919" s="4">
        <v>27</v>
      </c>
      <c r="U919" s="4">
        <v>85</v>
      </c>
      <c r="V919" s="6">
        <f>IF(ISERROR(VLOOKUP($S$919,'TAR FIN'!$A$1:$O$104,15,0)),0,VLOOKUP($S$919,'TAR FIN'!$A$1:$O$104,15,0))</f>
        <v>0</v>
      </c>
      <c r="W919" s="6">
        <f>IF(ISERROR(VLOOKUP($T$919,'TAR FIN'!$A$1:$O$104,15,0)),0,VLOOKUP($T$919,'TAR FIN'!$A$1:$O$104,15,0))</f>
        <v>300.26</v>
      </c>
      <c r="X919" s="6">
        <f>IF(ISERROR(VLOOKUP($U$919,'TAR FIN'!$A$1:$O$104,15,0)),0,VLOOKUP($U$919,'TAR FIN'!$A$1:$O$104,15,0))</f>
        <v>225.04</v>
      </c>
      <c r="Y919" s="6"/>
      <c r="Z919" s="6">
        <f ca="1">('TUSD BE'!$AM$47+'TUSD BF'!$AM$47+'TUSD CVA'!$AM$47)*(1-CUSTOS!$M$38)</f>
        <v>335.21342816228281</v>
      </c>
      <c r="AA919" s="6">
        <f>('TE BE'!$AB$26+'TE BF'!$AB$26+'TE CVA'!$AB$26)*(1-CUSTOS!$M$38)</f>
        <v>227.92247399192311</v>
      </c>
      <c r="AB919" s="6">
        <f t="shared" si="44"/>
        <v>0</v>
      </c>
      <c r="AC919" s="6">
        <f>(L919-M919)*(W919+X919)+($W$672+$X$672-$W$919-$X$919)*(L919)</f>
        <v>59766.838369999998</v>
      </c>
      <c r="AD919" s="6">
        <f t="shared" si="45"/>
        <v>0</v>
      </c>
      <c r="AE919" s="6">
        <f ca="1">(L919-M919)*(Z919+AA919)+($Z$672+$AA$672-$Z$919-$AA$919)*(L919)</f>
        <v>58708.982231830058</v>
      </c>
      <c r="AF919" s="4" t="s">
        <v>1001</v>
      </c>
    </row>
    <row r="920" spans="1:32" ht="11.25" customHeight="1" x14ac:dyDescent="0.25">
      <c r="A920" s="4" t="s">
        <v>21</v>
      </c>
      <c r="B920" s="4" t="s">
        <v>44</v>
      </c>
      <c r="C920" s="4" t="s">
        <v>23</v>
      </c>
      <c r="D920" s="4" t="s">
        <v>45</v>
      </c>
      <c r="E920" s="4" t="s">
        <v>53</v>
      </c>
      <c r="F920" s="4" t="s">
        <v>55</v>
      </c>
      <c r="G920" s="4" t="s">
        <v>25</v>
      </c>
      <c r="H920" s="4" t="s">
        <v>25</v>
      </c>
      <c r="I920" s="5">
        <v>44593</v>
      </c>
      <c r="J920" s="6">
        <v>0</v>
      </c>
      <c r="K920" s="6">
        <v>0</v>
      </c>
      <c r="L920" s="6">
        <v>2808.576</v>
      </c>
      <c r="M920" s="6">
        <v>758.31551999999999</v>
      </c>
      <c r="N920" s="6">
        <v>2808.576</v>
      </c>
      <c r="O920" s="6">
        <v>758.31551999999999</v>
      </c>
      <c r="P920" s="6">
        <v>0</v>
      </c>
      <c r="Q920" s="4" t="s">
        <v>26</v>
      </c>
      <c r="R920" s="4">
        <v>0</v>
      </c>
      <c r="S920" s="4">
        <v>0</v>
      </c>
      <c r="T920" s="4">
        <v>27</v>
      </c>
      <c r="U920" s="4">
        <v>85</v>
      </c>
      <c r="V920" s="6">
        <f>IF(ISERROR(VLOOKUP($S$920,'TAR FIN'!$A$1:$O$104,15,0)),0,VLOOKUP($S$920,'TAR FIN'!$A$1:$O$104,15,0))</f>
        <v>0</v>
      </c>
      <c r="W920" s="6">
        <f>IF(ISERROR(VLOOKUP($T$920,'TAR FIN'!$A$1:$O$104,15,0)),0,VLOOKUP($T$920,'TAR FIN'!$A$1:$O$104,15,0))</f>
        <v>300.26</v>
      </c>
      <c r="X920" s="6">
        <f>IF(ISERROR(VLOOKUP($U$920,'TAR FIN'!$A$1:$O$104,15,0)),0,VLOOKUP($U$920,'TAR FIN'!$A$1:$O$104,15,0))</f>
        <v>225.04</v>
      </c>
      <c r="Y920" s="6"/>
      <c r="Z920" s="6">
        <f ca="1">('TUSD BE'!$AM$47+'TUSD BF'!$AM$47+'TUSD CVA'!$AM$47)*(1-CUSTOS!$M$38)</f>
        <v>335.21342816228281</v>
      </c>
      <c r="AA920" s="6">
        <f>('TE BE'!$AB$26+'TE BF'!$AB$26+'TE CVA'!$AB$26)*(1-CUSTOS!$M$38)</f>
        <v>227.92247399192311</v>
      </c>
      <c r="AB920" s="6">
        <f t="shared" si="44"/>
        <v>0</v>
      </c>
      <c r="AC920" s="6">
        <f>(L920-M920)*(W920+X920)+($W$672+$X$672-$W$920-$X$920)*(L920)</f>
        <v>1278152.0432639997</v>
      </c>
      <c r="AD920" s="6">
        <f t="shared" si="45"/>
        <v>0</v>
      </c>
      <c r="AE920" s="6">
        <f ca="1">(L920-M920)*(Z920+AA920)+($Z$672+$AA$672-$Z$920-$AA$920)*(L920)</f>
        <v>1255529.1135364678</v>
      </c>
      <c r="AF920" s="4" t="s">
        <v>1001</v>
      </c>
    </row>
    <row r="921" spans="1:32" ht="11.25" customHeight="1" x14ac:dyDescent="0.25">
      <c r="A921" s="4" t="s">
        <v>27</v>
      </c>
      <c r="B921" s="4" t="s">
        <v>44</v>
      </c>
      <c r="C921" s="4" t="s">
        <v>23</v>
      </c>
      <c r="D921" s="4" t="s">
        <v>45</v>
      </c>
      <c r="E921" s="4" t="s">
        <v>53</v>
      </c>
      <c r="F921" s="4" t="s">
        <v>55</v>
      </c>
      <c r="G921" s="4" t="s">
        <v>25</v>
      </c>
      <c r="H921" s="4" t="s">
        <v>25</v>
      </c>
      <c r="I921" s="5">
        <v>44593</v>
      </c>
      <c r="J921" s="6">
        <v>0</v>
      </c>
      <c r="K921" s="6">
        <v>0</v>
      </c>
      <c r="L921" s="6">
        <v>-61.741999999999997</v>
      </c>
      <c r="M921" s="6">
        <v>-16.670339999999999</v>
      </c>
      <c r="N921" s="6">
        <v>-61.741999999999997</v>
      </c>
      <c r="O921" s="6">
        <v>-16.670339999999999</v>
      </c>
      <c r="P921" s="6">
        <v>0</v>
      </c>
      <c r="Q921" s="4" t="s">
        <v>26</v>
      </c>
      <c r="R921" s="4">
        <v>0</v>
      </c>
      <c r="S921" s="4">
        <v>0</v>
      </c>
      <c r="T921" s="4">
        <v>27</v>
      </c>
      <c r="U921" s="4">
        <v>85</v>
      </c>
      <c r="V921" s="6">
        <f>IF(ISERROR(VLOOKUP($S$921,'TAR FIN'!$A$1:$O$104,15,0)),0,VLOOKUP($S$921,'TAR FIN'!$A$1:$O$104,15,0))</f>
        <v>0</v>
      </c>
      <c r="W921" s="6">
        <f>IF(ISERROR(VLOOKUP($T$921,'TAR FIN'!$A$1:$O$104,15,0)),0,VLOOKUP($T$921,'TAR FIN'!$A$1:$O$104,15,0))</f>
        <v>300.26</v>
      </c>
      <c r="X921" s="6">
        <f>IF(ISERROR(VLOOKUP($U$921,'TAR FIN'!$A$1:$O$104,15,0)),0,VLOOKUP($U$921,'TAR FIN'!$A$1:$O$104,15,0))</f>
        <v>225.04</v>
      </c>
      <c r="Y921" s="6"/>
      <c r="Z921" s="6">
        <f ca="1">('TUSD BE'!$AM$47+'TUSD BF'!$AM$47+'TUSD CVA'!$AM$47)*(1-CUSTOS!$M$38)</f>
        <v>335.21342816228281</v>
      </c>
      <c r="AA921" s="6">
        <f>('TE BE'!$AB$26+'TE BF'!$AB$26+'TE CVA'!$AB$26)*(1-CUSTOS!$M$38)</f>
        <v>227.92247399192311</v>
      </c>
      <c r="AB921" s="6">
        <f t="shared" si="44"/>
        <v>0</v>
      </c>
      <c r="AC921" s="6">
        <f>(L921-M921)*(W921+X921)+($W$672+$X$672-$W$921-$X$921)*(L921)</f>
        <v>-28098.105037999994</v>
      </c>
      <c r="AD921" s="6">
        <f t="shared" si="45"/>
        <v>0</v>
      </c>
      <c r="AE921" s="6">
        <f ca="1">(L921-M921)*(Z921+AA921)+($Z$672+$AA$672-$Z$921-$AA$921)*(L921)</f>
        <v>-27600.776524462428</v>
      </c>
      <c r="AF921" s="4" t="s">
        <v>1001</v>
      </c>
    </row>
    <row r="922" spans="1:32" ht="11.25" customHeight="1" x14ac:dyDescent="0.25">
      <c r="A922" s="4" t="s">
        <v>28</v>
      </c>
      <c r="B922" s="4" t="s">
        <v>44</v>
      </c>
      <c r="C922" s="4" t="s">
        <v>23</v>
      </c>
      <c r="D922" s="4" t="s">
        <v>45</v>
      </c>
      <c r="E922" s="4" t="s">
        <v>53</v>
      </c>
      <c r="F922" s="4" t="s">
        <v>55</v>
      </c>
      <c r="G922" s="4" t="s">
        <v>25</v>
      </c>
      <c r="H922" s="4" t="s">
        <v>25</v>
      </c>
      <c r="I922" s="5">
        <v>44593</v>
      </c>
      <c r="J922" s="6">
        <v>0</v>
      </c>
      <c r="K922" s="6">
        <v>0</v>
      </c>
      <c r="L922" s="6">
        <v>107.61799999999999</v>
      </c>
      <c r="M922" s="6">
        <v>29.05686</v>
      </c>
      <c r="N922" s="6">
        <v>107.61799999999999</v>
      </c>
      <c r="O922" s="6">
        <v>29.05686</v>
      </c>
      <c r="P922" s="6">
        <v>0</v>
      </c>
      <c r="Q922" s="4" t="s">
        <v>26</v>
      </c>
      <c r="R922" s="4">
        <v>0</v>
      </c>
      <c r="S922" s="4">
        <v>0</v>
      </c>
      <c r="T922" s="4">
        <v>27</v>
      </c>
      <c r="U922" s="4">
        <v>85</v>
      </c>
      <c r="V922" s="6">
        <f>IF(ISERROR(VLOOKUP($S$922,'TAR FIN'!$A$1:$O$104,15,0)),0,VLOOKUP($S$922,'TAR FIN'!$A$1:$O$104,15,0))</f>
        <v>0</v>
      </c>
      <c r="W922" s="6">
        <f>IF(ISERROR(VLOOKUP($T$922,'TAR FIN'!$A$1:$O$104,15,0)),0,VLOOKUP($T$922,'TAR FIN'!$A$1:$O$104,15,0))</f>
        <v>300.26</v>
      </c>
      <c r="X922" s="6">
        <f>IF(ISERROR(VLOOKUP($U$922,'TAR FIN'!$A$1:$O$104,15,0)),0,VLOOKUP($U$922,'TAR FIN'!$A$1:$O$104,15,0))</f>
        <v>225.04</v>
      </c>
      <c r="Y922" s="6"/>
      <c r="Z922" s="6">
        <f ca="1">('TUSD BE'!$AM$47+'TUSD BF'!$AM$47+'TUSD CVA'!$AM$47)*(1-CUSTOS!$M$38)</f>
        <v>335.21342816228281</v>
      </c>
      <c r="AA922" s="6">
        <f>('TE BE'!$AB$26+'TE BF'!$AB$26+'TE CVA'!$AB$26)*(1-CUSTOS!$M$38)</f>
        <v>227.92247399192311</v>
      </c>
      <c r="AB922" s="6">
        <f t="shared" si="44"/>
        <v>0</v>
      </c>
      <c r="AC922" s="6">
        <f>(L922-M922)*(W922+X922)+($W$672+$X$672-$W$922-$X$922)*(L922)</f>
        <v>48975.76800199999</v>
      </c>
      <c r="AD922" s="6">
        <f t="shared" si="45"/>
        <v>0</v>
      </c>
      <c r="AE922" s="6">
        <f ca="1">(L922-M922)*(Z922+AA922)+($Z$672+$AA$672-$Z$922-$AA$922)*(L922)</f>
        <v>48108.910757824458</v>
      </c>
      <c r="AF922" s="4" t="s">
        <v>1001</v>
      </c>
    </row>
    <row r="923" spans="1:32" ht="11.25" customHeight="1" x14ac:dyDescent="0.25">
      <c r="A923" s="4" t="s">
        <v>21</v>
      </c>
      <c r="B923" s="4" t="s">
        <v>44</v>
      </c>
      <c r="C923" s="4" t="s">
        <v>23</v>
      </c>
      <c r="D923" s="4" t="s">
        <v>45</v>
      </c>
      <c r="E923" s="4" t="s">
        <v>53</v>
      </c>
      <c r="F923" s="4" t="s">
        <v>55</v>
      </c>
      <c r="G923" s="4" t="s">
        <v>25</v>
      </c>
      <c r="H923" s="4" t="s">
        <v>25</v>
      </c>
      <c r="I923" s="5">
        <v>44621</v>
      </c>
      <c r="J923" s="6">
        <v>0</v>
      </c>
      <c r="K923" s="6">
        <v>0</v>
      </c>
      <c r="L923" s="6">
        <v>3113.7739999999999</v>
      </c>
      <c r="M923" s="6">
        <v>840.71897999999999</v>
      </c>
      <c r="N923" s="6">
        <v>3113.7739999999999</v>
      </c>
      <c r="O923" s="6">
        <v>840.71897999999999</v>
      </c>
      <c r="P923" s="6">
        <v>0</v>
      </c>
      <c r="Q923" s="4" t="s">
        <v>26</v>
      </c>
      <c r="R923" s="4">
        <v>0</v>
      </c>
      <c r="S923" s="4">
        <v>0</v>
      </c>
      <c r="T923" s="4">
        <v>27</v>
      </c>
      <c r="U923" s="4">
        <v>85</v>
      </c>
      <c r="V923" s="6">
        <f>IF(ISERROR(VLOOKUP($S$923,'TAR FIN'!$A$1:$O$104,15,0)),0,VLOOKUP($S$923,'TAR FIN'!$A$1:$O$104,15,0))</f>
        <v>0</v>
      </c>
      <c r="W923" s="6">
        <f>IF(ISERROR(VLOOKUP($T$923,'TAR FIN'!$A$1:$O$104,15,0)),0,VLOOKUP($T$923,'TAR FIN'!$A$1:$O$104,15,0))</f>
        <v>300.26</v>
      </c>
      <c r="X923" s="6">
        <f>IF(ISERROR(VLOOKUP($U$923,'TAR FIN'!$A$1:$O$104,15,0)),0,VLOOKUP($U$923,'TAR FIN'!$A$1:$O$104,15,0))</f>
        <v>225.04</v>
      </c>
      <c r="Y923" s="6"/>
      <c r="Z923" s="6">
        <f ca="1">('TUSD BE'!$AM$47+'TUSD BF'!$AM$47+'TUSD CVA'!$AM$47)*(1-CUSTOS!$M$38)</f>
        <v>335.21342816228281</v>
      </c>
      <c r="AA923" s="6">
        <f>('TE BE'!$AB$26+'TE BF'!$AB$26+'TE CVA'!$AB$26)*(1-CUSTOS!$M$38)</f>
        <v>227.92247399192311</v>
      </c>
      <c r="AB923" s="6">
        <f t="shared" si="44"/>
        <v>0</v>
      </c>
      <c r="AC923" s="6">
        <f>(L923-M923)*(W923+X923)+($W$672+$X$672-$W$923-$X$923)*(L923)</f>
        <v>1417044.2958859997</v>
      </c>
      <c r="AD923" s="6">
        <f t="shared" si="45"/>
        <v>0</v>
      </c>
      <c r="AE923" s="6">
        <f ca="1">(L923-M923)*(Z923+AA923)+($Z$672+$AA$672-$Z$923-$AA$923)*(L923)</f>
        <v>1391963.012563271</v>
      </c>
      <c r="AF923" s="4" t="s">
        <v>1001</v>
      </c>
    </row>
    <row r="924" spans="1:32" ht="11.25" customHeight="1" x14ac:dyDescent="0.25">
      <c r="A924" s="4" t="s">
        <v>27</v>
      </c>
      <c r="B924" s="4" t="s">
        <v>44</v>
      </c>
      <c r="C924" s="4" t="s">
        <v>23</v>
      </c>
      <c r="D924" s="4" t="s">
        <v>45</v>
      </c>
      <c r="E924" s="4" t="s">
        <v>53</v>
      </c>
      <c r="F924" s="4" t="s">
        <v>55</v>
      </c>
      <c r="G924" s="4" t="s">
        <v>25</v>
      </c>
      <c r="H924" s="4" t="s">
        <v>25</v>
      </c>
      <c r="I924" s="5">
        <v>44621</v>
      </c>
      <c r="J924" s="6">
        <v>0</v>
      </c>
      <c r="K924" s="6">
        <v>0</v>
      </c>
      <c r="L924" s="6">
        <v>-53.786000000000001</v>
      </c>
      <c r="M924" s="6">
        <v>-14.522220000000001</v>
      </c>
      <c r="N924" s="6">
        <v>-53.786000000000001</v>
      </c>
      <c r="O924" s="6">
        <v>-14.522220000000001</v>
      </c>
      <c r="P924" s="6">
        <v>0</v>
      </c>
      <c r="Q924" s="4" t="s">
        <v>26</v>
      </c>
      <c r="R924" s="4">
        <v>0</v>
      </c>
      <c r="S924" s="4">
        <v>0</v>
      </c>
      <c r="T924" s="4">
        <v>27</v>
      </c>
      <c r="U924" s="4">
        <v>85</v>
      </c>
      <c r="V924" s="6">
        <f>IF(ISERROR(VLOOKUP($S$924,'TAR FIN'!$A$1:$O$104,15,0)),0,VLOOKUP($S$924,'TAR FIN'!$A$1:$O$104,15,0))</f>
        <v>0</v>
      </c>
      <c r="W924" s="6">
        <f>IF(ISERROR(VLOOKUP($T$924,'TAR FIN'!$A$1:$O$104,15,0)),0,VLOOKUP($T$924,'TAR FIN'!$A$1:$O$104,15,0))</f>
        <v>300.26</v>
      </c>
      <c r="X924" s="6">
        <f>IF(ISERROR(VLOOKUP($U$924,'TAR FIN'!$A$1:$O$104,15,0)),0,VLOOKUP($U$924,'TAR FIN'!$A$1:$O$104,15,0))</f>
        <v>225.04</v>
      </c>
      <c r="Y924" s="6"/>
      <c r="Z924" s="6">
        <f ca="1">('TUSD BE'!$AM$47+'TUSD BF'!$AM$47+'TUSD CVA'!$AM$47)*(1-CUSTOS!$M$38)</f>
        <v>335.21342816228281</v>
      </c>
      <c r="AA924" s="6">
        <f>('TE BE'!$AB$26+'TE BF'!$AB$26+'TE CVA'!$AB$26)*(1-CUSTOS!$M$38)</f>
        <v>227.92247399192311</v>
      </c>
      <c r="AB924" s="6">
        <f t="shared" si="44"/>
        <v>0</v>
      </c>
      <c r="AC924" s="6">
        <f>(L924-M924)*(W924+X924)+($W$672+$X$672-$W$924-$X$924)*(L924)</f>
        <v>-24477.416953999993</v>
      </c>
      <c r="AD924" s="6">
        <f t="shared" si="45"/>
        <v>0</v>
      </c>
      <c r="AE924" s="6">
        <f ca="1">(L924-M924)*(Z924+AA924)+($Z$672+$AA$672-$Z$924-$AA$924)*(L924)</f>
        <v>-24044.173595684239</v>
      </c>
      <c r="AF924" s="4" t="s">
        <v>1001</v>
      </c>
    </row>
    <row r="925" spans="1:32" ht="11.25" customHeight="1" x14ac:dyDescent="0.25">
      <c r="A925" s="4" t="s">
        <v>28</v>
      </c>
      <c r="B925" s="4" t="s">
        <v>44</v>
      </c>
      <c r="C925" s="4" t="s">
        <v>23</v>
      </c>
      <c r="D925" s="4" t="s">
        <v>45</v>
      </c>
      <c r="E925" s="4" t="s">
        <v>53</v>
      </c>
      <c r="F925" s="4" t="s">
        <v>55</v>
      </c>
      <c r="G925" s="4" t="s">
        <v>25</v>
      </c>
      <c r="H925" s="4" t="s">
        <v>25</v>
      </c>
      <c r="I925" s="5">
        <v>44621</v>
      </c>
      <c r="J925" s="6">
        <v>0</v>
      </c>
      <c r="K925" s="6">
        <v>0</v>
      </c>
      <c r="L925" s="6">
        <v>136.94</v>
      </c>
      <c r="M925" s="6">
        <v>36.973799999999997</v>
      </c>
      <c r="N925" s="6">
        <v>136.94</v>
      </c>
      <c r="O925" s="6">
        <v>36.973799999999997</v>
      </c>
      <c r="P925" s="6">
        <v>0</v>
      </c>
      <c r="Q925" s="4" t="s">
        <v>26</v>
      </c>
      <c r="R925" s="4">
        <v>0</v>
      </c>
      <c r="S925" s="4">
        <v>0</v>
      </c>
      <c r="T925" s="4">
        <v>27</v>
      </c>
      <c r="U925" s="4">
        <v>85</v>
      </c>
      <c r="V925" s="6">
        <f>IF(ISERROR(VLOOKUP($S$925,'TAR FIN'!$A$1:$O$104,15,0)),0,VLOOKUP($S$925,'TAR FIN'!$A$1:$O$104,15,0))</f>
        <v>0</v>
      </c>
      <c r="W925" s="6">
        <f>IF(ISERROR(VLOOKUP($T$925,'TAR FIN'!$A$1:$O$104,15,0)),0,VLOOKUP($T$925,'TAR FIN'!$A$1:$O$104,15,0))</f>
        <v>300.26</v>
      </c>
      <c r="X925" s="6">
        <f>IF(ISERROR(VLOOKUP($U$925,'TAR FIN'!$A$1:$O$104,15,0)),0,VLOOKUP($U$925,'TAR FIN'!$A$1:$O$104,15,0))</f>
        <v>225.04</v>
      </c>
      <c r="Y925" s="6"/>
      <c r="Z925" s="6">
        <f ca="1">('TUSD BE'!$AM$47+'TUSD BF'!$AM$47+'TUSD CVA'!$AM$47)*(1-CUSTOS!$M$38)</f>
        <v>335.21342816228281</v>
      </c>
      <c r="AA925" s="6">
        <f>('TE BE'!$AB$26+'TE BF'!$AB$26+'TE CVA'!$AB$26)*(1-CUSTOS!$M$38)</f>
        <v>227.92247399192311</v>
      </c>
      <c r="AB925" s="6">
        <f t="shared" si="44"/>
        <v>0</v>
      </c>
      <c r="AC925" s="6">
        <f>(L925-M925)*(W925+X925)+($W$672+$X$672-$W$925-$X$925)*(L925)</f>
        <v>62319.887659999993</v>
      </c>
      <c r="AD925" s="6">
        <f t="shared" si="45"/>
        <v>0</v>
      </c>
      <c r="AE925" s="6">
        <f ca="1">(L925-M925)*(Z925+AA925)+($Z$672+$AA$672-$Z$925-$AA$925)*(L925)</f>
        <v>61216.843271353137</v>
      </c>
      <c r="AF925" s="4" t="s">
        <v>1001</v>
      </c>
    </row>
    <row r="926" spans="1:32" ht="11.25" customHeight="1" x14ac:dyDescent="0.25">
      <c r="A926" s="4" t="s">
        <v>21</v>
      </c>
      <c r="B926" s="4" t="s">
        <v>44</v>
      </c>
      <c r="C926" s="4" t="s">
        <v>23</v>
      </c>
      <c r="D926" s="4" t="s">
        <v>45</v>
      </c>
      <c r="E926" s="4" t="s">
        <v>53</v>
      </c>
      <c r="F926" s="4" t="s">
        <v>55</v>
      </c>
      <c r="G926" s="4" t="s">
        <v>25</v>
      </c>
      <c r="H926" s="4" t="s">
        <v>25</v>
      </c>
      <c r="I926" s="5">
        <v>44652</v>
      </c>
      <c r="J926" s="6">
        <v>0</v>
      </c>
      <c r="K926" s="6">
        <v>0</v>
      </c>
      <c r="L926" s="6">
        <v>2269.3440000000001</v>
      </c>
      <c r="M926" s="6">
        <v>612.72288000000003</v>
      </c>
      <c r="N926" s="6">
        <v>2269.3440000000001</v>
      </c>
      <c r="O926" s="6">
        <v>612.72288000000003</v>
      </c>
      <c r="P926" s="6">
        <v>0</v>
      </c>
      <c r="Q926" s="4" t="s">
        <v>26</v>
      </c>
      <c r="R926" s="4">
        <v>0</v>
      </c>
      <c r="S926" s="4">
        <v>0</v>
      </c>
      <c r="T926" s="4">
        <v>27</v>
      </c>
      <c r="U926" s="4">
        <v>85</v>
      </c>
      <c r="V926" s="6">
        <f>IF(ISERROR(VLOOKUP($S$926,'TAR FIN'!$A$1:$O$104,15,0)),0,VLOOKUP($S$926,'TAR FIN'!$A$1:$O$104,15,0))</f>
        <v>0</v>
      </c>
      <c r="W926" s="6">
        <f>IF(ISERROR(VLOOKUP($T$926,'TAR FIN'!$A$1:$O$104,15,0)),0,VLOOKUP($T$926,'TAR FIN'!$A$1:$O$104,15,0))</f>
        <v>300.26</v>
      </c>
      <c r="X926" s="6">
        <f>IF(ISERROR(VLOOKUP($U$926,'TAR FIN'!$A$1:$O$104,15,0)),0,VLOOKUP($U$926,'TAR FIN'!$A$1:$O$104,15,0))</f>
        <v>225.04</v>
      </c>
      <c r="Y926" s="6"/>
      <c r="Z926" s="6">
        <f ca="1">('TUSD BE'!$AM$47+'TUSD BF'!$AM$47+'TUSD CVA'!$AM$47)*(1-CUSTOS!$M$38)</f>
        <v>335.21342816228281</v>
      </c>
      <c r="AA926" s="6">
        <f>('TE BE'!$AB$26+'TE BF'!$AB$26+'TE CVA'!$AB$26)*(1-CUSTOS!$M$38)</f>
        <v>227.92247399192311</v>
      </c>
      <c r="AB926" s="6">
        <f t="shared" si="44"/>
        <v>0</v>
      </c>
      <c r="AC926" s="6">
        <f>(L926-M926)*(W926+X926)+($W$672+$X$672-$W$926-$X$926)*(L926)</f>
        <v>1032753.4916159998</v>
      </c>
      <c r="AD926" s="6">
        <f t="shared" si="45"/>
        <v>0</v>
      </c>
      <c r="AE926" s="6">
        <f ca="1">(L926-M926)*(Z926+AA926)+($Z$672+$AA$672-$Z$926-$AA$926)*(L926)</f>
        <v>1014474.0468583731</v>
      </c>
      <c r="AF926" s="4" t="s">
        <v>1001</v>
      </c>
    </row>
    <row r="927" spans="1:32" ht="11.25" customHeight="1" x14ac:dyDescent="0.25">
      <c r="A927" s="4" t="s">
        <v>27</v>
      </c>
      <c r="B927" s="4" t="s">
        <v>44</v>
      </c>
      <c r="C927" s="4" t="s">
        <v>23</v>
      </c>
      <c r="D927" s="4" t="s">
        <v>45</v>
      </c>
      <c r="E927" s="4" t="s">
        <v>53</v>
      </c>
      <c r="F927" s="4" t="s">
        <v>55</v>
      </c>
      <c r="G927" s="4" t="s">
        <v>25</v>
      </c>
      <c r="H927" s="4" t="s">
        <v>25</v>
      </c>
      <c r="I927" s="5">
        <v>44652</v>
      </c>
      <c r="J927" s="6">
        <v>0</v>
      </c>
      <c r="K927" s="6">
        <v>0</v>
      </c>
      <c r="L927" s="6">
        <v>-48.996000000000002</v>
      </c>
      <c r="M927" s="6">
        <v>-13.22892</v>
      </c>
      <c r="N927" s="6">
        <v>-48.996000000000002</v>
      </c>
      <c r="O927" s="6">
        <v>-13.22892</v>
      </c>
      <c r="P927" s="6">
        <v>0</v>
      </c>
      <c r="Q927" s="4" t="s">
        <v>26</v>
      </c>
      <c r="R927" s="4">
        <v>0</v>
      </c>
      <c r="S927" s="4">
        <v>0</v>
      </c>
      <c r="T927" s="4">
        <v>27</v>
      </c>
      <c r="U927" s="4">
        <v>85</v>
      </c>
      <c r="V927" s="6">
        <f>IF(ISERROR(VLOOKUP($S$927,'TAR FIN'!$A$1:$O$104,15,0)),0,VLOOKUP($S$927,'TAR FIN'!$A$1:$O$104,15,0))</f>
        <v>0</v>
      </c>
      <c r="W927" s="6">
        <f>IF(ISERROR(VLOOKUP($T$927,'TAR FIN'!$A$1:$O$104,15,0)),0,VLOOKUP($T$927,'TAR FIN'!$A$1:$O$104,15,0))</f>
        <v>300.26</v>
      </c>
      <c r="X927" s="6">
        <f>IF(ISERROR(VLOOKUP($U$927,'TAR FIN'!$A$1:$O$104,15,0)),0,VLOOKUP($U$927,'TAR FIN'!$A$1:$O$104,15,0))</f>
        <v>225.04</v>
      </c>
      <c r="Y927" s="6"/>
      <c r="Z927" s="6">
        <f ca="1">('TUSD BE'!$AM$47+'TUSD BF'!$AM$47+'TUSD CVA'!$AM$47)*(1-CUSTOS!$M$38)</f>
        <v>335.21342816228281</v>
      </c>
      <c r="AA927" s="6">
        <f>('TE BE'!$AB$26+'TE BF'!$AB$26+'TE CVA'!$AB$26)*(1-CUSTOS!$M$38)</f>
        <v>227.92247399192311</v>
      </c>
      <c r="AB927" s="6">
        <f t="shared" si="44"/>
        <v>0</v>
      </c>
      <c r="AC927" s="6">
        <f>(L927-M927)*(W927+X927)+($W$672+$X$672-$W$927-$X$927)*(L927)</f>
        <v>-22297.540643999997</v>
      </c>
      <c r="AD927" s="6">
        <f t="shared" si="45"/>
        <v>0</v>
      </c>
      <c r="AE927" s="6">
        <f ca="1">(L927-M927)*(Z927+AA927)+($Z$672+$AA$672-$Z$927-$AA$927)*(L927)</f>
        <v>-21902.880479941716</v>
      </c>
      <c r="AF927" s="4" t="s">
        <v>1001</v>
      </c>
    </row>
    <row r="928" spans="1:32" ht="11.25" customHeight="1" x14ac:dyDescent="0.25">
      <c r="A928" s="4" t="s">
        <v>28</v>
      </c>
      <c r="B928" s="4" t="s">
        <v>44</v>
      </c>
      <c r="C928" s="4" t="s">
        <v>23</v>
      </c>
      <c r="D928" s="4" t="s">
        <v>45</v>
      </c>
      <c r="E928" s="4" t="s">
        <v>53</v>
      </c>
      <c r="F928" s="4" t="s">
        <v>55</v>
      </c>
      <c r="G928" s="4" t="s">
        <v>25</v>
      </c>
      <c r="H928" s="4" t="s">
        <v>25</v>
      </c>
      <c r="I928" s="5">
        <v>44652</v>
      </c>
      <c r="J928" s="6">
        <v>0</v>
      </c>
      <c r="K928" s="6">
        <v>0</v>
      </c>
      <c r="L928" s="6">
        <v>98.134</v>
      </c>
      <c r="M928" s="6">
        <v>26.496179999999999</v>
      </c>
      <c r="N928" s="6">
        <v>98.134</v>
      </c>
      <c r="O928" s="6">
        <v>26.496179999999999</v>
      </c>
      <c r="P928" s="6">
        <v>0</v>
      </c>
      <c r="Q928" s="4" t="s">
        <v>26</v>
      </c>
      <c r="R928" s="4">
        <v>0</v>
      </c>
      <c r="S928" s="4">
        <v>0</v>
      </c>
      <c r="T928" s="4">
        <v>27</v>
      </c>
      <c r="U928" s="4">
        <v>85</v>
      </c>
      <c r="V928" s="6">
        <f>IF(ISERROR(VLOOKUP($S$928,'TAR FIN'!$A$1:$O$104,15,0)),0,VLOOKUP($S$928,'TAR FIN'!$A$1:$O$104,15,0))</f>
        <v>0</v>
      </c>
      <c r="W928" s="6">
        <f>IF(ISERROR(VLOOKUP($T$928,'TAR FIN'!$A$1:$O$104,15,0)),0,VLOOKUP($T$928,'TAR FIN'!$A$1:$O$104,15,0))</f>
        <v>300.26</v>
      </c>
      <c r="X928" s="6">
        <f>IF(ISERROR(VLOOKUP($U$928,'TAR FIN'!$A$1:$O$104,15,0)),0,VLOOKUP($U$928,'TAR FIN'!$A$1:$O$104,15,0))</f>
        <v>225.04</v>
      </c>
      <c r="Y928" s="6"/>
      <c r="Z928" s="6">
        <f ca="1">('TUSD BE'!$AM$47+'TUSD BF'!$AM$47+'TUSD CVA'!$AM$47)*(1-CUSTOS!$M$38)</f>
        <v>335.21342816228281</v>
      </c>
      <c r="AA928" s="6">
        <f>('TE BE'!$AB$26+'TE BF'!$AB$26+'TE CVA'!$AB$26)*(1-CUSTOS!$M$38)</f>
        <v>227.92247399192311</v>
      </c>
      <c r="AB928" s="6">
        <f t="shared" si="44"/>
        <v>0</v>
      </c>
      <c r="AC928" s="6">
        <f>(L928-M928)*(W928+X928)+($W$672+$X$672-$W$928-$X$928)*(L928)</f>
        <v>44659.703926000002</v>
      </c>
      <c r="AD928" s="6">
        <f t="shared" si="45"/>
        <v>0</v>
      </c>
      <c r="AE928" s="6">
        <f ca="1">(L928-M928)*(Z928+AA928)+($Z$672+$AA$672-$Z$928-$AA$928)*(L928)</f>
        <v>43869.239795464942</v>
      </c>
      <c r="AF928" s="4" t="s">
        <v>1001</v>
      </c>
    </row>
    <row r="929" spans="1:32" ht="11.25" customHeight="1" x14ac:dyDescent="0.25">
      <c r="A929" s="4" t="s">
        <v>21</v>
      </c>
      <c r="B929" s="4" t="s">
        <v>44</v>
      </c>
      <c r="C929" s="4" t="s">
        <v>23</v>
      </c>
      <c r="D929" s="4" t="s">
        <v>45</v>
      </c>
      <c r="E929" s="4" t="s">
        <v>53</v>
      </c>
      <c r="F929" s="4" t="s">
        <v>55</v>
      </c>
      <c r="G929" s="4" t="s">
        <v>25</v>
      </c>
      <c r="H929" s="4" t="s">
        <v>25</v>
      </c>
      <c r="I929" s="5">
        <v>44682</v>
      </c>
      <c r="J929" s="6">
        <v>0</v>
      </c>
      <c r="K929" s="6">
        <v>0</v>
      </c>
      <c r="L929" s="6">
        <v>2342.1759999999999</v>
      </c>
      <c r="M929" s="6">
        <v>632.38751999999999</v>
      </c>
      <c r="N929" s="6">
        <v>2342.1759999999999</v>
      </c>
      <c r="O929" s="6">
        <v>632.38751999999999</v>
      </c>
      <c r="P929" s="6">
        <v>0</v>
      </c>
      <c r="Q929" s="4" t="s">
        <v>26</v>
      </c>
      <c r="R929" s="4">
        <v>0</v>
      </c>
      <c r="S929" s="4">
        <v>0</v>
      </c>
      <c r="T929" s="4">
        <v>27</v>
      </c>
      <c r="U929" s="4">
        <v>85</v>
      </c>
      <c r="V929" s="6">
        <f>IF(ISERROR(VLOOKUP($S$929,'TAR FIN'!$A$1:$O$104,15,0)),0,VLOOKUP($S$929,'TAR FIN'!$A$1:$O$104,15,0))</f>
        <v>0</v>
      </c>
      <c r="W929" s="6">
        <f>IF(ISERROR(VLOOKUP($T$929,'TAR FIN'!$A$1:$O$104,15,0)),0,VLOOKUP($T$929,'TAR FIN'!$A$1:$O$104,15,0))</f>
        <v>300.26</v>
      </c>
      <c r="X929" s="6">
        <f>IF(ISERROR(VLOOKUP($U$929,'TAR FIN'!$A$1:$O$104,15,0)),0,VLOOKUP($U$929,'TAR FIN'!$A$1:$O$104,15,0))</f>
        <v>225.04</v>
      </c>
      <c r="Y929" s="6"/>
      <c r="Z929" s="6">
        <f ca="1">('TUSD BE'!$AM$47+'TUSD BF'!$AM$47+'TUSD CVA'!$AM$47)*(1-CUSTOS!$M$38)</f>
        <v>335.21342816228281</v>
      </c>
      <c r="AA929" s="6">
        <f>('TE BE'!$AB$26+'TE BF'!$AB$26+'TE CVA'!$AB$26)*(1-CUSTOS!$M$38)</f>
        <v>227.92247399192311</v>
      </c>
      <c r="AB929" s="6">
        <f t="shared" si="44"/>
        <v>0</v>
      </c>
      <c r="AC929" s="6">
        <f>(L929-M929)*(W929+X929)+($W$672+$X$672-$W$929-$X$929)*(L929)</f>
        <v>1065898.5336639998</v>
      </c>
      <c r="AD929" s="6">
        <f t="shared" si="45"/>
        <v>0</v>
      </c>
      <c r="AE929" s="6">
        <f ca="1">(L929-M929)*(Z929+AA929)+($Z$672+$AA$672-$Z$929-$AA$929)*(L929)</f>
        <v>1047032.4310349408</v>
      </c>
      <c r="AF929" s="4" t="s">
        <v>1001</v>
      </c>
    </row>
    <row r="930" spans="1:32" ht="11.25" customHeight="1" x14ac:dyDescent="0.25">
      <c r="A930" s="4" t="s">
        <v>27</v>
      </c>
      <c r="B930" s="4" t="s">
        <v>44</v>
      </c>
      <c r="C930" s="4" t="s">
        <v>23</v>
      </c>
      <c r="D930" s="4" t="s">
        <v>45</v>
      </c>
      <c r="E930" s="4" t="s">
        <v>53</v>
      </c>
      <c r="F930" s="4" t="s">
        <v>55</v>
      </c>
      <c r="G930" s="4" t="s">
        <v>25</v>
      </c>
      <c r="H930" s="4" t="s">
        <v>25</v>
      </c>
      <c r="I930" s="5">
        <v>44682</v>
      </c>
      <c r="J930" s="6">
        <v>0</v>
      </c>
      <c r="K930" s="6">
        <v>0</v>
      </c>
      <c r="L930" s="6">
        <v>-34.822000000000003</v>
      </c>
      <c r="M930" s="6">
        <v>-9.4019399999999997</v>
      </c>
      <c r="N930" s="6">
        <v>-34.822000000000003</v>
      </c>
      <c r="O930" s="6">
        <v>-9.4019399999999997</v>
      </c>
      <c r="P930" s="6">
        <v>0</v>
      </c>
      <c r="Q930" s="4" t="s">
        <v>26</v>
      </c>
      <c r="R930" s="4">
        <v>0</v>
      </c>
      <c r="S930" s="4">
        <v>0</v>
      </c>
      <c r="T930" s="4">
        <v>27</v>
      </c>
      <c r="U930" s="4">
        <v>85</v>
      </c>
      <c r="V930" s="6">
        <f>IF(ISERROR(VLOOKUP($S$930,'TAR FIN'!$A$1:$O$104,15,0)),0,VLOOKUP($S$930,'TAR FIN'!$A$1:$O$104,15,0))</f>
        <v>0</v>
      </c>
      <c r="W930" s="6">
        <f>IF(ISERROR(VLOOKUP($T$930,'TAR FIN'!$A$1:$O$104,15,0)),0,VLOOKUP($T$930,'TAR FIN'!$A$1:$O$104,15,0))</f>
        <v>300.26</v>
      </c>
      <c r="X930" s="6">
        <f>IF(ISERROR(VLOOKUP($U$930,'TAR FIN'!$A$1:$O$104,15,0)),0,VLOOKUP($U$930,'TAR FIN'!$A$1:$O$104,15,0))</f>
        <v>225.04</v>
      </c>
      <c r="Y930" s="6"/>
      <c r="Z930" s="6">
        <f ca="1">('TUSD BE'!$AM$47+'TUSD BF'!$AM$47+'TUSD CVA'!$AM$47)*(1-CUSTOS!$M$38)</f>
        <v>335.21342816228281</v>
      </c>
      <c r="AA930" s="6">
        <f>('TE BE'!$AB$26+'TE BF'!$AB$26+'TE CVA'!$AB$26)*(1-CUSTOS!$M$38)</f>
        <v>227.92247399192311</v>
      </c>
      <c r="AB930" s="6">
        <f t="shared" si="44"/>
        <v>0</v>
      </c>
      <c r="AC930" s="6">
        <f>(L930-M930)*(W930+X930)+($W$672+$X$672-$W$930-$X$930)*(L930)</f>
        <v>-15847.109157999999</v>
      </c>
      <c r="AD930" s="6">
        <f t="shared" si="45"/>
        <v>0</v>
      </c>
      <c r="AE930" s="6">
        <f ca="1">(L930-M930)*(Z930+AA930)+($Z$672+$AA$672-$Z$930-$AA$930)*(L930)</f>
        <v>-15566.619807178758</v>
      </c>
      <c r="AF930" s="4" t="s">
        <v>1001</v>
      </c>
    </row>
    <row r="931" spans="1:32" ht="11.25" customHeight="1" x14ac:dyDescent="0.25">
      <c r="A931" s="4" t="s">
        <v>28</v>
      </c>
      <c r="B931" s="4" t="s">
        <v>44</v>
      </c>
      <c r="C931" s="4" t="s">
        <v>23</v>
      </c>
      <c r="D931" s="4" t="s">
        <v>45</v>
      </c>
      <c r="E931" s="4" t="s">
        <v>53</v>
      </c>
      <c r="F931" s="4" t="s">
        <v>55</v>
      </c>
      <c r="G931" s="4" t="s">
        <v>25</v>
      </c>
      <c r="H931" s="4" t="s">
        <v>25</v>
      </c>
      <c r="I931" s="5">
        <v>44682</v>
      </c>
      <c r="J931" s="6">
        <v>0</v>
      </c>
      <c r="K931" s="6">
        <v>0</v>
      </c>
      <c r="L931" s="6">
        <v>109.886</v>
      </c>
      <c r="M931" s="6">
        <v>29.669219999999999</v>
      </c>
      <c r="N931" s="6">
        <v>109.886</v>
      </c>
      <c r="O931" s="6">
        <v>29.669219999999999</v>
      </c>
      <c r="P931" s="6">
        <v>0</v>
      </c>
      <c r="Q931" s="4" t="s">
        <v>26</v>
      </c>
      <c r="R931" s="4">
        <v>0</v>
      </c>
      <c r="S931" s="4">
        <v>0</v>
      </c>
      <c r="T931" s="4">
        <v>27</v>
      </c>
      <c r="U931" s="4">
        <v>85</v>
      </c>
      <c r="V931" s="6">
        <f>IF(ISERROR(VLOOKUP($S$931,'TAR FIN'!$A$1:$O$104,15,0)),0,VLOOKUP($S$931,'TAR FIN'!$A$1:$O$104,15,0))</f>
        <v>0</v>
      </c>
      <c r="W931" s="6">
        <f>IF(ISERROR(VLOOKUP($T$931,'TAR FIN'!$A$1:$O$104,15,0)),0,VLOOKUP($T$931,'TAR FIN'!$A$1:$O$104,15,0))</f>
        <v>300.26</v>
      </c>
      <c r="X931" s="6">
        <f>IF(ISERROR(VLOOKUP($U$931,'TAR FIN'!$A$1:$O$104,15,0)),0,VLOOKUP($U$931,'TAR FIN'!$A$1:$O$104,15,0))</f>
        <v>225.04</v>
      </c>
      <c r="Y931" s="6"/>
      <c r="Z931" s="6">
        <f ca="1">('TUSD BE'!$AM$47+'TUSD BF'!$AM$47+'TUSD CVA'!$AM$47)*(1-CUSTOS!$M$38)</f>
        <v>335.21342816228281</v>
      </c>
      <c r="AA931" s="6">
        <f>('TE BE'!$AB$26+'TE BF'!$AB$26+'TE CVA'!$AB$26)*(1-CUSTOS!$M$38)</f>
        <v>227.92247399192311</v>
      </c>
      <c r="AB931" s="6">
        <f t="shared" si="44"/>
        <v>0</v>
      </c>
      <c r="AC931" s="6">
        <f>(L931-M931)*(W931+X931)+($W$672+$X$672-$W$931-$X$931)*(L931)</f>
        <v>50007.90985399999</v>
      </c>
      <c r="AD931" s="6">
        <f t="shared" si="45"/>
        <v>0</v>
      </c>
      <c r="AE931" s="6">
        <f ca="1">(L931-M931)*(Z931+AA931)+($Z$672+$AA$672-$Z$931-$AA$931)*(L931)</f>
        <v>49122.783990915079</v>
      </c>
      <c r="AF931" s="4" t="s">
        <v>1001</v>
      </c>
    </row>
    <row r="932" spans="1:32" ht="11.25" customHeight="1" x14ac:dyDescent="0.25">
      <c r="A932" s="4" t="s">
        <v>21</v>
      </c>
      <c r="B932" s="4" t="s">
        <v>44</v>
      </c>
      <c r="C932" s="4" t="s">
        <v>23</v>
      </c>
      <c r="D932" s="4" t="s">
        <v>45</v>
      </c>
      <c r="E932" s="4" t="s">
        <v>53</v>
      </c>
      <c r="F932" s="4" t="s">
        <v>55</v>
      </c>
      <c r="G932" s="4" t="s">
        <v>25</v>
      </c>
      <c r="H932" s="4" t="s">
        <v>25</v>
      </c>
      <c r="I932" s="5">
        <v>44713</v>
      </c>
      <c r="J932" s="6">
        <v>0</v>
      </c>
      <c r="K932" s="6">
        <v>0</v>
      </c>
      <c r="L932" s="6">
        <v>1825.501</v>
      </c>
      <c r="M932" s="6">
        <v>492.88526999999999</v>
      </c>
      <c r="N932" s="6">
        <v>1825.501</v>
      </c>
      <c r="O932" s="6">
        <v>492.88526999999999</v>
      </c>
      <c r="P932" s="6">
        <v>0</v>
      </c>
      <c r="Q932" s="4" t="s">
        <v>26</v>
      </c>
      <c r="R932" s="4">
        <v>0</v>
      </c>
      <c r="S932" s="4">
        <v>0</v>
      </c>
      <c r="T932" s="4">
        <v>27</v>
      </c>
      <c r="U932" s="4">
        <v>85</v>
      </c>
      <c r="V932" s="6">
        <f>IF(ISERROR(VLOOKUP($S$932,'TAR FIN'!$A$1:$O$104,15,0)),0,VLOOKUP($S$932,'TAR FIN'!$A$1:$O$104,15,0))</f>
        <v>0</v>
      </c>
      <c r="W932" s="6">
        <f>IF(ISERROR(VLOOKUP($T$932,'TAR FIN'!$A$1:$O$104,15,0)),0,VLOOKUP($T$932,'TAR FIN'!$A$1:$O$104,15,0))</f>
        <v>300.26</v>
      </c>
      <c r="X932" s="6">
        <f>IF(ISERROR(VLOOKUP($U$932,'TAR FIN'!$A$1:$O$104,15,0)),0,VLOOKUP($U$932,'TAR FIN'!$A$1:$O$104,15,0))</f>
        <v>225.04</v>
      </c>
      <c r="Y932" s="6"/>
      <c r="Z932" s="6">
        <f ca="1">('TUSD BE'!$AM$47+'TUSD BF'!$AM$47+'TUSD CVA'!$AM$47)*(1-CUSTOS!$M$38)</f>
        <v>335.21342816228281</v>
      </c>
      <c r="AA932" s="6">
        <f>('TE BE'!$AB$26+'TE BF'!$AB$26+'TE CVA'!$AB$26)*(1-CUSTOS!$M$38)</f>
        <v>227.92247399192311</v>
      </c>
      <c r="AB932" s="6">
        <f t="shared" si="44"/>
        <v>0</v>
      </c>
      <c r="AC932" s="6">
        <f>(L932-M932)*(W932+X932)+($W$672+$X$672-$W$932-$X$932)*(L932)</f>
        <v>830765.42458899994</v>
      </c>
      <c r="AD932" s="6">
        <f t="shared" si="45"/>
        <v>0</v>
      </c>
      <c r="AE932" s="6">
        <f ca="1">(L932-M932)*(Z932+AA932)+($Z$672+$AA$672-$Z$932-$AA$932)*(L932)</f>
        <v>816061.11149918521</v>
      </c>
      <c r="AF932" s="4" t="s">
        <v>1001</v>
      </c>
    </row>
    <row r="933" spans="1:32" ht="11.25" customHeight="1" x14ac:dyDescent="0.25">
      <c r="A933" s="4" t="s">
        <v>27</v>
      </c>
      <c r="B933" s="4" t="s">
        <v>44</v>
      </c>
      <c r="C933" s="4" t="s">
        <v>23</v>
      </c>
      <c r="D933" s="4" t="s">
        <v>45</v>
      </c>
      <c r="E933" s="4" t="s">
        <v>53</v>
      </c>
      <c r="F933" s="4" t="s">
        <v>55</v>
      </c>
      <c r="G933" s="4" t="s">
        <v>25</v>
      </c>
      <c r="H933" s="4" t="s">
        <v>25</v>
      </c>
      <c r="I933" s="5">
        <v>44713</v>
      </c>
      <c r="J933" s="6">
        <v>0</v>
      </c>
      <c r="K933" s="6">
        <v>0</v>
      </c>
      <c r="L933" s="6">
        <v>-50.198999999999998</v>
      </c>
      <c r="M933" s="6">
        <v>-13.55373</v>
      </c>
      <c r="N933" s="6">
        <v>-50.198999999999998</v>
      </c>
      <c r="O933" s="6">
        <v>-13.55373</v>
      </c>
      <c r="P933" s="6">
        <v>0</v>
      </c>
      <c r="Q933" s="4" t="s">
        <v>26</v>
      </c>
      <c r="R933" s="4">
        <v>0</v>
      </c>
      <c r="S933" s="4">
        <v>0</v>
      </c>
      <c r="T933" s="4">
        <v>27</v>
      </c>
      <c r="U933" s="4">
        <v>85</v>
      </c>
      <c r="V933" s="6">
        <f>IF(ISERROR(VLOOKUP($S$933,'TAR FIN'!$A$1:$O$104,15,0)),0,VLOOKUP($S$933,'TAR FIN'!$A$1:$O$104,15,0))</f>
        <v>0</v>
      </c>
      <c r="W933" s="6">
        <f>IF(ISERROR(VLOOKUP($T$933,'TAR FIN'!$A$1:$O$104,15,0)),0,VLOOKUP($T$933,'TAR FIN'!$A$1:$O$104,15,0))</f>
        <v>300.26</v>
      </c>
      <c r="X933" s="6">
        <f>IF(ISERROR(VLOOKUP($U$933,'TAR FIN'!$A$1:$O$104,15,0)),0,VLOOKUP($U$933,'TAR FIN'!$A$1:$O$104,15,0))</f>
        <v>225.04</v>
      </c>
      <c r="Y933" s="6"/>
      <c r="Z933" s="6">
        <f ca="1">('TUSD BE'!$AM$47+'TUSD BF'!$AM$47+'TUSD CVA'!$AM$47)*(1-CUSTOS!$M$38)</f>
        <v>335.21342816228281</v>
      </c>
      <c r="AA933" s="6">
        <f>('TE BE'!$AB$26+'TE BF'!$AB$26+'TE CVA'!$AB$26)*(1-CUSTOS!$M$38)</f>
        <v>227.92247399192311</v>
      </c>
      <c r="AB933" s="6">
        <f t="shared" si="44"/>
        <v>0</v>
      </c>
      <c r="AC933" s="6">
        <f>(L933-M933)*(W933+X933)+($W$672+$X$672-$W$933-$X$933)*(L933)</f>
        <v>-22845.012710999996</v>
      </c>
      <c r="AD933" s="6">
        <f t="shared" si="45"/>
        <v>0</v>
      </c>
      <c r="AE933" s="6">
        <f ca="1">(L933-M933)*(Z933+AA933)+($Z$672+$AA$672-$Z$933-$AA$933)*(L933)</f>
        <v>-22440.662446170991</v>
      </c>
      <c r="AF933" s="4" t="s">
        <v>1001</v>
      </c>
    </row>
    <row r="934" spans="1:32" ht="11.25" customHeight="1" x14ac:dyDescent="0.25">
      <c r="A934" s="4" t="s">
        <v>28</v>
      </c>
      <c r="B934" s="4" t="s">
        <v>44</v>
      </c>
      <c r="C934" s="4" t="s">
        <v>23</v>
      </c>
      <c r="D934" s="4" t="s">
        <v>45</v>
      </c>
      <c r="E934" s="4" t="s">
        <v>53</v>
      </c>
      <c r="F934" s="4" t="s">
        <v>55</v>
      </c>
      <c r="G934" s="4" t="s">
        <v>25</v>
      </c>
      <c r="H934" s="4" t="s">
        <v>25</v>
      </c>
      <c r="I934" s="5">
        <v>44713</v>
      </c>
      <c r="J934" s="6">
        <v>0</v>
      </c>
      <c r="K934" s="6">
        <v>0</v>
      </c>
      <c r="L934" s="6">
        <v>66.944999999999993</v>
      </c>
      <c r="M934" s="6">
        <v>18.075150000000001</v>
      </c>
      <c r="N934" s="6">
        <v>66.944999999999993</v>
      </c>
      <c r="O934" s="6">
        <v>18.075150000000001</v>
      </c>
      <c r="P934" s="6">
        <v>0</v>
      </c>
      <c r="Q934" s="4" t="s">
        <v>26</v>
      </c>
      <c r="R934" s="4">
        <v>0</v>
      </c>
      <c r="S934" s="4">
        <v>0</v>
      </c>
      <c r="T934" s="4">
        <v>27</v>
      </c>
      <c r="U934" s="4">
        <v>85</v>
      </c>
      <c r="V934" s="6">
        <f>IF(ISERROR(VLOOKUP($S$934,'TAR FIN'!$A$1:$O$104,15,0)),0,VLOOKUP($S$934,'TAR FIN'!$A$1:$O$104,15,0))</f>
        <v>0</v>
      </c>
      <c r="W934" s="6">
        <f>IF(ISERROR(VLOOKUP($T$934,'TAR FIN'!$A$1:$O$104,15,0)),0,VLOOKUP($T$934,'TAR FIN'!$A$1:$O$104,15,0))</f>
        <v>300.26</v>
      </c>
      <c r="X934" s="6">
        <f>IF(ISERROR(VLOOKUP($U$934,'TAR FIN'!$A$1:$O$104,15,0)),0,VLOOKUP($U$934,'TAR FIN'!$A$1:$O$104,15,0))</f>
        <v>225.04</v>
      </c>
      <c r="Y934" s="6"/>
      <c r="Z934" s="6">
        <f ca="1">('TUSD BE'!$AM$47+'TUSD BF'!$AM$47+'TUSD CVA'!$AM$47)*(1-CUSTOS!$M$38)</f>
        <v>335.21342816228281</v>
      </c>
      <c r="AA934" s="6">
        <f>('TE BE'!$AB$26+'TE BF'!$AB$26+'TE CVA'!$AB$26)*(1-CUSTOS!$M$38)</f>
        <v>227.92247399192311</v>
      </c>
      <c r="AB934" s="6">
        <f t="shared" si="44"/>
        <v>0</v>
      </c>
      <c r="AC934" s="6">
        <f>(L934-M934)*(W934+X934)+($W$672+$X$672-$W$934-$X$934)*(L934)</f>
        <v>30465.933104999993</v>
      </c>
      <c r="AD934" s="6">
        <f t="shared" si="45"/>
        <v>0</v>
      </c>
      <c r="AE934" s="6">
        <f ca="1">(L934-M934)*(Z934+AA934)+($Z$672+$AA$672-$Z$934-$AA$934)*(L934)</f>
        <v>29926.694704255406</v>
      </c>
      <c r="AF934" s="4" t="s">
        <v>1001</v>
      </c>
    </row>
    <row r="935" spans="1:32" ht="11.25" customHeight="1" x14ac:dyDescent="0.25">
      <c r="A935" s="4" t="s">
        <v>57</v>
      </c>
      <c r="B935" s="4" t="s">
        <v>44</v>
      </c>
      <c r="C935" s="4" t="s">
        <v>23</v>
      </c>
      <c r="D935" s="4" t="s">
        <v>45</v>
      </c>
      <c r="E935" s="4" t="s">
        <v>53</v>
      </c>
      <c r="F935" s="4" t="s">
        <v>55</v>
      </c>
      <c r="G935" s="4" t="s">
        <v>25</v>
      </c>
      <c r="H935" s="4" t="s">
        <v>25</v>
      </c>
      <c r="I935" s="5">
        <v>44743</v>
      </c>
      <c r="J935" s="6">
        <v>0</v>
      </c>
      <c r="K935" s="6">
        <v>0</v>
      </c>
      <c r="L935" s="6">
        <v>1825.501</v>
      </c>
      <c r="M935" s="6">
        <v>492.88526999999999</v>
      </c>
      <c r="N935" s="6">
        <v>1825.501</v>
      </c>
      <c r="O935" s="6">
        <v>492.88526999999999</v>
      </c>
      <c r="P935" s="6">
        <v>0</v>
      </c>
      <c r="Q935" s="4" t="s">
        <v>26</v>
      </c>
      <c r="R935" s="4">
        <v>0</v>
      </c>
      <c r="S935" s="4">
        <v>0</v>
      </c>
      <c r="T935" s="4">
        <v>27</v>
      </c>
      <c r="U935" s="4">
        <v>85</v>
      </c>
      <c r="V935" s="6">
        <f>IF(ISERROR(VLOOKUP($S$935,'TAR FIN'!$A$1:$O$104,15,0)),0,VLOOKUP($S$935,'TAR FIN'!$A$1:$O$104,15,0))</f>
        <v>0</v>
      </c>
      <c r="W935" s="6">
        <f>IF(ISERROR(VLOOKUP($T$935,'TAR FIN'!$A$1:$O$104,15,0)),0,VLOOKUP($T$935,'TAR FIN'!$A$1:$O$104,15,0))</f>
        <v>300.26</v>
      </c>
      <c r="X935" s="6">
        <f>IF(ISERROR(VLOOKUP($U$935,'TAR FIN'!$A$1:$O$104,15,0)),0,VLOOKUP($U$935,'TAR FIN'!$A$1:$O$104,15,0))</f>
        <v>225.04</v>
      </c>
      <c r="Y935" s="6"/>
      <c r="Z935" s="6">
        <f ca="1">('TUSD BE'!$AM$47+'TUSD BF'!$AM$47+'TUSD CVA'!$AM$47)*(1-CUSTOS!$M$38)</f>
        <v>335.21342816228281</v>
      </c>
      <c r="AA935" s="6">
        <f>('TE BE'!$AB$26+'TE BF'!$AB$26+'TE CVA'!$AB$26)*(1-CUSTOS!$M$38)</f>
        <v>227.92247399192311</v>
      </c>
      <c r="AB935" s="6">
        <f t="shared" si="44"/>
        <v>0</v>
      </c>
      <c r="AC935" s="6">
        <f>(L935-M935)*(W935+X935)+($W$672+$X$672-$W$935-$X$935)*(L935)</f>
        <v>830765.42458899994</v>
      </c>
      <c r="AD935" s="6">
        <f t="shared" si="45"/>
        <v>0</v>
      </c>
      <c r="AE935" s="6">
        <f ca="1">(L935-M935)*(Z935+AA935)+($Z$672+$AA$672-$Z$935-$AA$935)*(L935)</f>
        <v>816061.11149918521</v>
      </c>
      <c r="AF935" s="4" t="s">
        <v>1001</v>
      </c>
    </row>
    <row r="936" spans="1:32" ht="11.25" customHeight="1" x14ac:dyDescent="0.25">
      <c r="A936" s="4" t="s">
        <v>57</v>
      </c>
      <c r="B936" s="4" t="s">
        <v>44</v>
      </c>
      <c r="C936" s="4" t="s">
        <v>23</v>
      </c>
      <c r="D936" s="4" t="s">
        <v>45</v>
      </c>
      <c r="E936" s="4" t="s">
        <v>53</v>
      </c>
      <c r="F936" s="4" t="s">
        <v>55</v>
      </c>
      <c r="G936" s="4" t="s">
        <v>25</v>
      </c>
      <c r="H936" s="4" t="s">
        <v>25</v>
      </c>
      <c r="I936" s="5">
        <v>44743</v>
      </c>
      <c r="J936" s="6">
        <v>0</v>
      </c>
      <c r="K936" s="6">
        <v>0</v>
      </c>
      <c r="L936" s="6">
        <v>-50.198999999999998</v>
      </c>
      <c r="M936" s="6">
        <v>-13.55373</v>
      </c>
      <c r="N936" s="6">
        <v>-50.198999999999998</v>
      </c>
      <c r="O936" s="6">
        <v>-13.55373</v>
      </c>
      <c r="P936" s="6">
        <v>0</v>
      </c>
      <c r="Q936" s="4" t="s">
        <v>26</v>
      </c>
      <c r="R936" s="4">
        <v>0</v>
      </c>
      <c r="S936" s="4">
        <v>0</v>
      </c>
      <c r="T936" s="4">
        <v>27</v>
      </c>
      <c r="U936" s="4">
        <v>85</v>
      </c>
      <c r="V936" s="6">
        <f>IF(ISERROR(VLOOKUP($S$936,'TAR FIN'!$A$1:$O$104,15,0)),0,VLOOKUP($S$936,'TAR FIN'!$A$1:$O$104,15,0))</f>
        <v>0</v>
      </c>
      <c r="W936" s="6">
        <f>IF(ISERROR(VLOOKUP($T$936,'TAR FIN'!$A$1:$O$104,15,0)),0,VLOOKUP($T$936,'TAR FIN'!$A$1:$O$104,15,0))</f>
        <v>300.26</v>
      </c>
      <c r="X936" s="6">
        <f>IF(ISERROR(VLOOKUP($U$936,'TAR FIN'!$A$1:$O$104,15,0)),0,VLOOKUP($U$936,'TAR FIN'!$A$1:$O$104,15,0))</f>
        <v>225.04</v>
      </c>
      <c r="Y936" s="6"/>
      <c r="Z936" s="6">
        <f ca="1">('TUSD BE'!$AM$47+'TUSD BF'!$AM$47+'TUSD CVA'!$AM$47)*(1-CUSTOS!$M$38)</f>
        <v>335.21342816228281</v>
      </c>
      <c r="AA936" s="6">
        <f>('TE BE'!$AB$26+'TE BF'!$AB$26+'TE CVA'!$AB$26)*(1-CUSTOS!$M$38)</f>
        <v>227.92247399192311</v>
      </c>
      <c r="AB936" s="6">
        <f t="shared" si="44"/>
        <v>0</v>
      </c>
      <c r="AC936" s="6">
        <f>(L936-M936)*(W936+X936)+($W$672+$X$672-$W$936-$X$936)*(L936)</f>
        <v>-22845.012710999996</v>
      </c>
      <c r="AD936" s="6">
        <f t="shared" si="45"/>
        <v>0</v>
      </c>
      <c r="AE936" s="6">
        <f ca="1">(L936-M936)*(Z936+AA936)+($Z$672+$AA$672-$Z$936-$AA$936)*(L936)</f>
        <v>-22440.662446170991</v>
      </c>
      <c r="AF936" s="4" t="s">
        <v>1001</v>
      </c>
    </row>
    <row r="937" spans="1:32" ht="11.25" customHeight="1" x14ac:dyDescent="0.25">
      <c r="A937" s="4" t="s">
        <v>57</v>
      </c>
      <c r="B937" s="4" t="s">
        <v>44</v>
      </c>
      <c r="C937" s="4" t="s">
        <v>23</v>
      </c>
      <c r="D937" s="4" t="s">
        <v>45</v>
      </c>
      <c r="E937" s="4" t="s">
        <v>53</v>
      </c>
      <c r="F937" s="4" t="s">
        <v>55</v>
      </c>
      <c r="G937" s="4" t="s">
        <v>25</v>
      </c>
      <c r="H937" s="4" t="s">
        <v>25</v>
      </c>
      <c r="I937" s="5">
        <v>44743</v>
      </c>
      <c r="J937" s="6">
        <v>0</v>
      </c>
      <c r="K937" s="6">
        <v>0</v>
      </c>
      <c r="L937" s="6">
        <v>66.944999999999993</v>
      </c>
      <c r="M937" s="6">
        <v>18.075150000000001</v>
      </c>
      <c r="N937" s="6">
        <v>66.944999999999993</v>
      </c>
      <c r="O937" s="6">
        <v>18.075150000000001</v>
      </c>
      <c r="P937" s="6">
        <v>0</v>
      </c>
      <c r="Q937" s="4" t="s">
        <v>26</v>
      </c>
      <c r="R937" s="4">
        <v>0</v>
      </c>
      <c r="S937" s="4">
        <v>0</v>
      </c>
      <c r="T937" s="4">
        <v>27</v>
      </c>
      <c r="U937" s="4">
        <v>85</v>
      </c>
      <c r="V937" s="6">
        <f>IF(ISERROR(VLOOKUP($S$937,'TAR FIN'!$A$1:$O$104,15,0)),0,VLOOKUP($S$937,'TAR FIN'!$A$1:$O$104,15,0))</f>
        <v>0</v>
      </c>
      <c r="W937" s="6">
        <f>IF(ISERROR(VLOOKUP($T$937,'TAR FIN'!$A$1:$O$104,15,0)),0,VLOOKUP($T$937,'TAR FIN'!$A$1:$O$104,15,0))</f>
        <v>300.26</v>
      </c>
      <c r="X937" s="6">
        <f>IF(ISERROR(VLOOKUP($U$937,'TAR FIN'!$A$1:$O$104,15,0)),0,VLOOKUP($U$937,'TAR FIN'!$A$1:$O$104,15,0))</f>
        <v>225.04</v>
      </c>
      <c r="Y937" s="6"/>
      <c r="Z937" s="6">
        <f ca="1">('TUSD BE'!$AM$47+'TUSD BF'!$AM$47+'TUSD CVA'!$AM$47)*(1-CUSTOS!$M$38)</f>
        <v>335.21342816228281</v>
      </c>
      <c r="AA937" s="6">
        <f>('TE BE'!$AB$26+'TE BF'!$AB$26+'TE CVA'!$AB$26)*(1-CUSTOS!$M$38)</f>
        <v>227.92247399192311</v>
      </c>
      <c r="AB937" s="6">
        <f t="shared" si="44"/>
        <v>0</v>
      </c>
      <c r="AC937" s="6">
        <f>(L937-M937)*(W937+X937)+($W$672+$X$672-$W$937-$X$937)*(L937)</f>
        <v>30465.933104999993</v>
      </c>
      <c r="AD937" s="6">
        <f t="shared" si="45"/>
        <v>0</v>
      </c>
      <c r="AE937" s="6">
        <f ca="1">(L937-M937)*(Z937+AA937)+($Z$672+$AA$672-$Z$937-$AA$937)*(L937)</f>
        <v>29926.694704255406</v>
      </c>
      <c r="AF937" s="4" t="s">
        <v>1001</v>
      </c>
    </row>
    <row r="938" spans="1:32" ht="11.25" customHeight="1" x14ac:dyDescent="0.25">
      <c r="A938" s="4" t="s">
        <v>21</v>
      </c>
      <c r="B938" s="4" t="s">
        <v>44</v>
      </c>
      <c r="C938" s="4" t="s">
        <v>23</v>
      </c>
      <c r="D938" s="4" t="s">
        <v>45</v>
      </c>
      <c r="E938" s="4" t="s">
        <v>56</v>
      </c>
      <c r="F938" s="4" t="s">
        <v>54</v>
      </c>
      <c r="G938" s="4" t="s">
        <v>25</v>
      </c>
      <c r="H938" s="4" t="s">
        <v>25</v>
      </c>
      <c r="I938" s="5">
        <v>44409</v>
      </c>
      <c r="J938" s="6">
        <v>0</v>
      </c>
      <c r="K938" s="6">
        <v>0</v>
      </c>
      <c r="L938" s="6">
        <v>9.3840000000000003</v>
      </c>
      <c r="M938" s="6">
        <v>9.3840000000000003</v>
      </c>
      <c r="N938" s="6">
        <v>9.3840000000000003</v>
      </c>
      <c r="O938" s="6">
        <v>9.3840000000000003</v>
      </c>
      <c r="P938" s="6">
        <v>0</v>
      </c>
      <c r="Q938" s="4" t="s">
        <v>26</v>
      </c>
      <c r="R938" s="4">
        <v>0</v>
      </c>
      <c r="S938" s="4">
        <v>0</v>
      </c>
      <c r="T938" s="4">
        <v>27</v>
      </c>
      <c r="U938" s="4">
        <v>85</v>
      </c>
      <c r="V938" s="6">
        <f>IF(ISERROR(VLOOKUP($S$938,'TAR FIN'!$A$1:$O$104,15,0)),0,VLOOKUP($S$938,'TAR FIN'!$A$1:$O$104,15,0))</f>
        <v>0</v>
      </c>
      <c r="W938" s="6">
        <f>IF(ISERROR(VLOOKUP($T$938,'TAR FIN'!$A$1:$O$104,15,0)),0,VLOOKUP($T$938,'TAR FIN'!$A$1:$O$104,15,0))</f>
        <v>300.26</v>
      </c>
      <c r="X938" s="6">
        <f>IF(ISERROR(VLOOKUP($U$938,'TAR FIN'!$A$1:$O$104,15,0)),0,VLOOKUP($U$938,'TAR FIN'!$A$1:$O$104,15,0))</f>
        <v>225.04</v>
      </c>
      <c r="Y938" s="6"/>
      <c r="Z938" s="6">
        <f ca="1">('TUSD BE'!$AM$47+'TUSD BF'!$AM$47+'TUSD CVA'!$AM$47)*(1-CUSTOS!$M$38)</f>
        <v>335.21342816228281</v>
      </c>
      <c r="AA938" s="6">
        <f>('TE BE'!$AB$26+'TE BF'!$AB$26+'TE CVA'!$AB$26)*(1-CUSTOS!$M$38)</f>
        <v>227.92247399192311</v>
      </c>
      <c r="AB938" s="6">
        <f t="shared" si="44"/>
        <v>0</v>
      </c>
      <c r="AC938" s="6">
        <f>(L938-M938)*(W938+X938)+($W$672+$X$672-$W$938-$X$938)*(L938)</f>
        <v>672.08207999999979</v>
      </c>
      <c r="AD938" s="6">
        <f t="shared" si="45"/>
        <v>0</v>
      </c>
      <c r="AE938" s="6">
        <f ca="1">(L938-M938)*(Z938+AA938)+($Z$672+$AA$672-$Z$938-$AA$938)*(L938)</f>
        <v>337.30642377543103</v>
      </c>
      <c r="AF938" s="4" t="s">
        <v>998</v>
      </c>
    </row>
    <row r="939" spans="1:32" ht="11.25" customHeight="1" x14ac:dyDescent="0.25">
      <c r="A939" s="4" t="s">
        <v>21</v>
      </c>
      <c r="B939" s="4" t="s">
        <v>44</v>
      </c>
      <c r="C939" s="4" t="s">
        <v>23</v>
      </c>
      <c r="D939" s="4" t="s">
        <v>45</v>
      </c>
      <c r="E939" s="4" t="s">
        <v>56</v>
      </c>
      <c r="F939" s="4" t="s">
        <v>54</v>
      </c>
      <c r="G939" s="4" t="s">
        <v>25</v>
      </c>
      <c r="H939" s="4" t="s">
        <v>25</v>
      </c>
      <c r="I939" s="5">
        <v>44440</v>
      </c>
      <c r="J939" s="6">
        <v>0</v>
      </c>
      <c r="K939" s="6">
        <v>0</v>
      </c>
      <c r="L939" s="6">
        <v>6.282</v>
      </c>
      <c r="M939" s="6">
        <v>6.282</v>
      </c>
      <c r="N939" s="6">
        <v>6.282</v>
      </c>
      <c r="O939" s="6">
        <v>6.282</v>
      </c>
      <c r="P939" s="6">
        <v>0</v>
      </c>
      <c r="Q939" s="4" t="s">
        <v>26</v>
      </c>
      <c r="R939" s="4">
        <v>0</v>
      </c>
      <c r="S939" s="4">
        <v>0</v>
      </c>
      <c r="T939" s="4">
        <v>27</v>
      </c>
      <c r="U939" s="4">
        <v>85</v>
      </c>
      <c r="V939" s="6">
        <f>IF(ISERROR(VLOOKUP($S$939,'TAR FIN'!$A$1:$O$104,15,0)),0,VLOOKUP($S$939,'TAR FIN'!$A$1:$O$104,15,0))</f>
        <v>0</v>
      </c>
      <c r="W939" s="6">
        <f>IF(ISERROR(VLOOKUP($T$939,'TAR FIN'!$A$1:$O$104,15,0)),0,VLOOKUP($T$939,'TAR FIN'!$A$1:$O$104,15,0))</f>
        <v>300.26</v>
      </c>
      <c r="X939" s="6">
        <f>IF(ISERROR(VLOOKUP($U$939,'TAR FIN'!$A$1:$O$104,15,0)),0,VLOOKUP($U$939,'TAR FIN'!$A$1:$O$104,15,0))</f>
        <v>225.04</v>
      </c>
      <c r="Y939" s="6"/>
      <c r="Z939" s="6">
        <f ca="1">('TUSD BE'!$AM$47+'TUSD BF'!$AM$47+'TUSD CVA'!$AM$47)*(1-CUSTOS!$M$38)</f>
        <v>335.21342816228281</v>
      </c>
      <c r="AA939" s="6">
        <f>('TE BE'!$AB$26+'TE BF'!$AB$26+'TE CVA'!$AB$26)*(1-CUSTOS!$M$38)</f>
        <v>227.92247399192311</v>
      </c>
      <c r="AB939" s="6">
        <f t="shared" si="44"/>
        <v>0</v>
      </c>
      <c r="AC939" s="6">
        <f>(L939-M939)*(W939+X939)+($W$672+$X$672-$W$939-$X$939)*(L939)</f>
        <v>449.91683999999987</v>
      </c>
      <c r="AD939" s="6">
        <f t="shared" si="45"/>
        <v>0</v>
      </c>
      <c r="AE939" s="6">
        <f ca="1">(L939-M939)*(Z939+AA939)+($Z$672+$AA$672-$Z$939-$AA$939)*(L939)</f>
        <v>225.80551514889785</v>
      </c>
      <c r="AF939" s="4" t="s">
        <v>998</v>
      </c>
    </row>
    <row r="940" spans="1:32" ht="11.25" customHeight="1" x14ac:dyDescent="0.25">
      <c r="A940" s="4" t="s">
        <v>21</v>
      </c>
      <c r="B940" s="4" t="s">
        <v>44</v>
      </c>
      <c r="C940" s="4" t="s">
        <v>23</v>
      </c>
      <c r="D940" s="4" t="s">
        <v>45</v>
      </c>
      <c r="E940" s="4" t="s">
        <v>56</v>
      </c>
      <c r="F940" s="4" t="s">
        <v>54</v>
      </c>
      <c r="G940" s="4" t="s">
        <v>25</v>
      </c>
      <c r="H940" s="4" t="s">
        <v>25</v>
      </c>
      <c r="I940" s="5">
        <v>44470</v>
      </c>
      <c r="J940" s="6">
        <v>0</v>
      </c>
      <c r="K940" s="6">
        <v>0</v>
      </c>
      <c r="L940" s="6">
        <v>6.4340000000000002</v>
      </c>
      <c r="M940" s="6">
        <v>6.4340000000000002</v>
      </c>
      <c r="N940" s="6">
        <v>6.4340000000000002</v>
      </c>
      <c r="O940" s="6">
        <v>6.4340000000000002</v>
      </c>
      <c r="P940" s="6">
        <v>0</v>
      </c>
      <c r="Q940" s="4" t="s">
        <v>26</v>
      </c>
      <c r="R940" s="4">
        <v>0</v>
      </c>
      <c r="S940" s="4">
        <v>0</v>
      </c>
      <c r="T940" s="4">
        <v>27</v>
      </c>
      <c r="U940" s="4">
        <v>85</v>
      </c>
      <c r="V940" s="6">
        <f>IF(ISERROR(VLOOKUP($S$940,'TAR FIN'!$A$1:$O$104,15,0)),0,VLOOKUP($S$940,'TAR FIN'!$A$1:$O$104,15,0))</f>
        <v>0</v>
      </c>
      <c r="W940" s="6">
        <f>IF(ISERROR(VLOOKUP($T$940,'TAR FIN'!$A$1:$O$104,15,0)),0,VLOOKUP($T$940,'TAR FIN'!$A$1:$O$104,15,0))</f>
        <v>300.26</v>
      </c>
      <c r="X940" s="6">
        <f>IF(ISERROR(VLOOKUP($U$940,'TAR FIN'!$A$1:$O$104,15,0)),0,VLOOKUP($U$940,'TAR FIN'!$A$1:$O$104,15,0))</f>
        <v>225.04</v>
      </c>
      <c r="Y940" s="6"/>
      <c r="Z940" s="6">
        <f ca="1">('TUSD BE'!$AM$47+'TUSD BF'!$AM$47+'TUSD CVA'!$AM$47)*(1-CUSTOS!$M$38)</f>
        <v>335.21342816228281</v>
      </c>
      <c r="AA940" s="6">
        <f>('TE BE'!$AB$26+'TE BF'!$AB$26+'TE CVA'!$AB$26)*(1-CUSTOS!$M$38)</f>
        <v>227.92247399192311</v>
      </c>
      <c r="AB940" s="6">
        <f t="shared" si="44"/>
        <v>0</v>
      </c>
      <c r="AC940" s="6">
        <f>(L940-M940)*(W940+X940)+($W$672+$X$672-$W$940-$X$940)*(L940)</f>
        <v>460.80307999999985</v>
      </c>
      <c r="AD940" s="6">
        <f t="shared" si="45"/>
        <v>0</v>
      </c>
      <c r="AE940" s="6">
        <f ca="1">(L940-M940)*(Z940+AA940)+($Z$672+$AA$672-$Z$940-$AA$940)*(L940)</f>
        <v>231.26913156128762</v>
      </c>
      <c r="AF940" s="4" t="s">
        <v>998</v>
      </c>
    </row>
    <row r="941" spans="1:32" ht="11.25" customHeight="1" x14ac:dyDescent="0.25">
      <c r="A941" s="4" t="s">
        <v>21</v>
      </c>
      <c r="B941" s="4" t="s">
        <v>44</v>
      </c>
      <c r="C941" s="4" t="s">
        <v>23</v>
      </c>
      <c r="D941" s="4" t="s">
        <v>45</v>
      </c>
      <c r="E941" s="4" t="s">
        <v>56</v>
      </c>
      <c r="F941" s="4" t="s">
        <v>54</v>
      </c>
      <c r="G941" s="4" t="s">
        <v>25</v>
      </c>
      <c r="H941" s="4" t="s">
        <v>25</v>
      </c>
      <c r="I941" s="5">
        <v>44501</v>
      </c>
      <c r="J941" s="6">
        <v>0</v>
      </c>
      <c r="K941" s="6">
        <v>0</v>
      </c>
      <c r="L941" s="6">
        <v>7.734</v>
      </c>
      <c r="M941" s="6">
        <v>7.734</v>
      </c>
      <c r="N941" s="6">
        <v>7.734</v>
      </c>
      <c r="O941" s="6">
        <v>7.734</v>
      </c>
      <c r="P941" s="6">
        <v>0</v>
      </c>
      <c r="Q941" s="4" t="s">
        <v>26</v>
      </c>
      <c r="R941" s="4">
        <v>0</v>
      </c>
      <c r="S941" s="4">
        <v>0</v>
      </c>
      <c r="T941" s="4">
        <v>27</v>
      </c>
      <c r="U941" s="4">
        <v>85</v>
      </c>
      <c r="V941" s="6">
        <f>IF(ISERROR(VLOOKUP($S$941,'TAR FIN'!$A$1:$O$104,15,0)),0,VLOOKUP($S$941,'TAR FIN'!$A$1:$O$104,15,0))</f>
        <v>0</v>
      </c>
      <c r="W941" s="6">
        <f>IF(ISERROR(VLOOKUP($T$941,'TAR FIN'!$A$1:$O$104,15,0)),0,VLOOKUP($T$941,'TAR FIN'!$A$1:$O$104,15,0))</f>
        <v>300.26</v>
      </c>
      <c r="X941" s="6">
        <f>IF(ISERROR(VLOOKUP($U$941,'TAR FIN'!$A$1:$O$104,15,0)),0,VLOOKUP($U$941,'TAR FIN'!$A$1:$O$104,15,0))</f>
        <v>225.04</v>
      </c>
      <c r="Y941" s="6"/>
      <c r="Z941" s="6">
        <f ca="1">('TUSD BE'!$AM$47+'TUSD BF'!$AM$47+'TUSD CVA'!$AM$47)*(1-CUSTOS!$M$38)</f>
        <v>335.21342816228281</v>
      </c>
      <c r="AA941" s="6">
        <f>('TE BE'!$AB$26+'TE BF'!$AB$26+'TE CVA'!$AB$26)*(1-CUSTOS!$M$38)</f>
        <v>227.92247399192311</v>
      </c>
      <c r="AB941" s="6">
        <f t="shared" si="44"/>
        <v>0</v>
      </c>
      <c r="AC941" s="6">
        <f>(L941-M941)*(W941+X941)+($W$672+$X$672-$W$941-$X$941)*(L941)</f>
        <v>553.90907999999979</v>
      </c>
      <c r="AD941" s="6">
        <f t="shared" si="45"/>
        <v>0</v>
      </c>
      <c r="AE941" s="6">
        <f ca="1">(L941-M941)*(Z941+AA941)+($Z$672+$AA$672-$Z$941-$AA$941)*(L941)</f>
        <v>277.99742982514744</v>
      </c>
      <c r="AF941" s="4" t="s">
        <v>998</v>
      </c>
    </row>
    <row r="942" spans="1:32" ht="11.25" customHeight="1" x14ac:dyDescent="0.25">
      <c r="A942" s="4" t="s">
        <v>21</v>
      </c>
      <c r="B942" s="4" t="s">
        <v>44</v>
      </c>
      <c r="C942" s="4" t="s">
        <v>23</v>
      </c>
      <c r="D942" s="4" t="s">
        <v>45</v>
      </c>
      <c r="E942" s="4" t="s">
        <v>56</v>
      </c>
      <c r="F942" s="4" t="s">
        <v>54</v>
      </c>
      <c r="G942" s="4" t="s">
        <v>25</v>
      </c>
      <c r="H942" s="4" t="s">
        <v>25</v>
      </c>
      <c r="I942" s="5">
        <v>44531</v>
      </c>
      <c r="J942" s="6">
        <v>0</v>
      </c>
      <c r="K942" s="6">
        <v>0</v>
      </c>
      <c r="L942" s="6">
        <v>7.53</v>
      </c>
      <c r="M942" s="6">
        <v>7.53</v>
      </c>
      <c r="N942" s="6">
        <v>7.53</v>
      </c>
      <c r="O942" s="6">
        <v>7.53</v>
      </c>
      <c r="P942" s="6">
        <v>0</v>
      </c>
      <c r="Q942" s="4" t="s">
        <v>26</v>
      </c>
      <c r="R942" s="4">
        <v>0</v>
      </c>
      <c r="S942" s="4">
        <v>0</v>
      </c>
      <c r="T942" s="4">
        <v>27</v>
      </c>
      <c r="U942" s="4">
        <v>85</v>
      </c>
      <c r="V942" s="6">
        <f>IF(ISERROR(VLOOKUP($S$942,'TAR FIN'!$A$1:$O$104,15,0)),0,VLOOKUP($S$942,'TAR FIN'!$A$1:$O$104,15,0))</f>
        <v>0</v>
      </c>
      <c r="W942" s="6">
        <f>IF(ISERROR(VLOOKUP($T$942,'TAR FIN'!$A$1:$O$104,15,0)),0,VLOOKUP($T$942,'TAR FIN'!$A$1:$O$104,15,0))</f>
        <v>300.26</v>
      </c>
      <c r="X942" s="6">
        <f>IF(ISERROR(VLOOKUP($U$942,'TAR FIN'!$A$1:$O$104,15,0)),0,VLOOKUP($U$942,'TAR FIN'!$A$1:$O$104,15,0))</f>
        <v>225.04</v>
      </c>
      <c r="Y942" s="6"/>
      <c r="Z942" s="6">
        <f ca="1">('TUSD BE'!$AM$47+'TUSD BF'!$AM$47+'TUSD CVA'!$AM$47)*(1-CUSTOS!$M$38)</f>
        <v>335.21342816228281</v>
      </c>
      <c r="AA942" s="6">
        <f>('TE BE'!$AB$26+'TE BF'!$AB$26+'TE CVA'!$AB$26)*(1-CUSTOS!$M$38)</f>
        <v>227.92247399192311</v>
      </c>
      <c r="AB942" s="6">
        <f t="shared" si="44"/>
        <v>0</v>
      </c>
      <c r="AC942" s="6">
        <f>(L942-M942)*(W942+X942)+($W$672+$X$672-$W$942-$X$942)*(L942)</f>
        <v>539.29859999999985</v>
      </c>
      <c r="AD942" s="6">
        <f t="shared" si="45"/>
        <v>0</v>
      </c>
      <c r="AE942" s="6">
        <f ca="1">(L942-M942)*(Z942+AA942)+($Z$672+$AA$672-$Z$942-$AA$942)*(L942)</f>
        <v>270.66468148220326</v>
      </c>
      <c r="AF942" s="4" t="s">
        <v>998</v>
      </c>
    </row>
    <row r="943" spans="1:32" ht="11.25" customHeight="1" x14ac:dyDescent="0.25">
      <c r="A943" s="4" t="s">
        <v>21</v>
      </c>
      <c r="B943" s="4" t="s">
        <v>44</v>
      </c>
      <c r="C943" s="4" t="s">
        <v>23</v>
      </c>
      <c r="D943" s="4" t="s">
        <v>45</v>
      </c>
      <c r="E943" s="4" t="s">
        <v>56</v>
      </c>
      <c r="F943" s="4" t="s">
        <v>54</v>
      </c>
      <c r="G943" s="4" t="s">
        <v>25</v>
      </c>
      <c r="H943" s="4" t="s">
        <v>25</v>
      </c>
      <c r="I943" s="5">
        <v>44562</v>
      </c>
      <c r="J943" s="6">
        <v>0</v>
      </c>
      <c r="K943" s="6">
        <v>0</v>
      </c>
      <c r="L943" s="6">
        <v>6.3029999999999999</v>
      </c>
      <c r="M943" s="6">
        <v>6.3029999999999999</v>
      </c>
      <c r="N943" s="6">
        <v>6.3029999999999999</v>
      </c>
      <c r="O943" s="6">
        <v>6.3029999999999999</v>
      </c>
      <c r="P943" s="6">
        <v>0</v>
      </c>
      <c r="Q943" s="4" t="s">
        <v>26</v>
      </c>
      <c r="R943" s="4">
        <v>0</v>
      </c>
      <c r="S943" s="4">
        <v>0</v>
      </c>
      <c r="T943" s="4">
        <v>27</v>
      </c>
      <c r="U943" s="4">
        <v>85</v>
      </c>
      <c r="V943" s="6">
        <f>IF(ISERROR(VLOOKUP($S$943,'TAR FIN'!$A$1:$O$104,15,0)),0,VLOOKUP($S$943,'TAR FIN'!$A$1:$O$104,15,0))</f>
        <v>0</v>
      </c>
      <c r="W943" s="6">
        <f>IF(ISERROR(VLOOKUP($T$943,'TAR FIN'!$A$1:$O$104,15,0)),0,VLOOKUP($T$943,'TAR FIN'!$A$1:$O$104,15,0))</f>
        <v>300.26</v>
      </c>
      <c r="X943" s="6">
        <f>IF(ISERROR(VLOOKUP($U$943,'TAR FIN'!$A$1:$O$104,15,0)),0,VLOOKUP($U$943,'TAR FIN'!$A$1:$O$104,15,0))</f>
        <v>225.04</v>
      </c>
      <c r="Y943" s="6"/>
      <c r="Z943" s="6">
        <f ca="1">('TUSD BE'!$AM$47+'TUSD BF'!$AM$47+'TUSD CVA'!$AM$47)*(1-CUSTOS!$M$38)</f>
        <v>335.21342816228281</v>
      </c>
      <c r="AA943" s="6">
        <f>('TE BE'!$AB$26+'TE BF'!$AB$26+'TE CVA'!$AB$26)*(1-CUSTOS!$M$38)</f>
        <v>227.92247399192311</v>
      </c>
      <c r="AB943" s="6">
        <f t="shared" si="44"/>
        <v>0</v>
      </c>
      <c r="AC943" s="6">
        <f>(L943-M943)*(W943+X943)+($W$672+$X$672-$W$943-$X$943)*(L943)</f>
        <v>451.42085999999983</v>
      </c>
      <c r="AD943" s="6">
        <f t="shared" si="45"/>
        <v>0</v>
      </c>
      <c r="AE943" s="6">
        <f ca="1">(L943-M943)*(Z943+AA943)+($Z$672+$AA$672-$Z$943-$AA$943)*(L943)</f>
        <v>226.56035689008328</v>
      </c>
      <c r="AF943" s="4" t="s">
        <v>998</v>
      </c>
    </row>
    <row r="944" spans="1:32" ht="11.25" customHeight="1" x14ac:dyDescent="0.25">
      <c r="A944" s="4" t="s">
        <v>21</v>
      </c>
      <c r="B944" s="4" t="s">
        <v>44</v>
      </c>
      <c r="C944" s="4" t="s">
        <v>23</v>
      </c>
      <c r="D944" s="4" t="s">
        <v>45</v>
      </c>
      <c r="E944" s="4" t="s">
        <v>56</v>
      </c>
      <c r="F944" s="4" t="s">
        <v>54</v>
      </c>
      <c r="G944" s="4" t="s">
        <v>25</v>
      </c>
      <c r="H944" s="4" t="s">
        <v>25</v>
      </c>
      <c r="I944" s="5">
        <v>44593</v>
      </c>
      <c r="J944" s="6">
        <v>0</v>
      </c>
      <c r="K944" s="6">
        <v>0</v>
      </c>
      <c r="L944" s="6">
        <v>4.4089999999999998</v>
      </c>
      <c r="M944" s="6">
        <v>4.4089999999999998</v>
      </c>
      <c r="N944" s="6">
        <v>4.4089999999999998</v>
      </c>
      <c r="O944" s="6">
        <v>4.4089999999999998</v>
      </c>
      <c r="P944" s="6">
        <v>0</v>
      </c>
      <c r="Q944" s="4" t="s">
        <v>26</v>
      </c>
      <c r="R944" s="4">
        <v>0</v>
      </c>
      <c r="S944" s="4">
        <v>0</v>
      </c>
      <c r="T944" s="4">
        <v>27</v>
      </c>
      <c r="U944" s="4">
        <v>85</v>
      </c>
      <c r="V944" s="6">
        <f>IF(ISERROR(VLOOKUP($S$944,'TAR FIN'!$A$1:$O$104,15,0)),0,VLOOKUP($S$944,'TAR FIN'!$A$1:$O$104,15,0))</f>
        <v>0</v>
      </c>
      <c r="W944" s="6">
        <f>IF(ISERROR(VLOOKUP($T$944,'TAR FIN'!$A$1:$O$104,15,0)),0,VLOOKUP($T$944,'TAR FIN'!$A$1:$O$104,15,0))</f>
        <v>300.26</v>
      </c>
      <c r="X944" s="6">
        <f>IF(ISERROR(VLOOKUP($U$944,'TAR FIN'!$A$1:$O$104,15,0)),0,VLOOKUP($U$944,'TAR FIN'!$A$1:$O$104,15,0))</f>
        <v>225.04</v>
      </c>
      <c r="Y944" s="6"/>
      <c r="Z944" s="6">
        <f ca="1">('TUSD BE'!$AM$47+'TUSD BF'!$AM$47+'TUSD CVA'!$AM$47)*(1-CUSTOS!$M$38)</f>
        <v>335.21342816228281</v>
      </c>
      <c r="AA944" s="6">
        <f>('TE BE'!$AB$26+'TE BF'!$AB$26+'TE CVA'!$AB$26)*(1-CUSTOS!$M$38)</f>
        <v>227.92247399192311</v>
      </c>
      <c r="AB944" s="6">
        <f t="shared" si="44"/>
        <v>0</v>
      </c>
      <c r="AC944" s="6">
        <f>(L944-M944)*(W944+X944)+($W$672+$X$672-$W$944-$X$944)*(L944)</f>
        <v>315.77257999999989</v>
      </c>
      <c r="AD944" s="6">
        <f t="shared" si="45"/>
        <v>0</v>
      </c>
      <c r="AE944" s="6">
        <f ca="1">(L944-M944)*(Z944+AA944)+($Z$672+$AA$672-$Z$944-$AA$944)*(L944)</f>
        <v>158.48082080412141</v>
      </c>
      <c r="AF944" s="4" t="s">
        <v>998</v>
      </c>
    </row>
    <row r="945" spans="1:32" ht="11.25" customHeight="1" x14ac:dyDescent="0.25">
      <c r="A945" s="4" t="s">
        <v>21</v>
      </c>
      <c r="B945" s="4" t="s">
        <v>44</v>
      </c>
      <c r="C945" s="4" t="s">
        <v>23</v>
      </c>
      <c r="D945" s="4" t="s">
        <v>45</v>
      </c>
      <c r="E945" s="4" t="s">
        <v>56</v>
      </c>
      <c r="F945" s="4" t="s">
        <v>54</v>
      </c>
      <c r="G945" s="4" t="s">
        <v>25</v>
      </c>
      <c r="H945" s="4" t="s">
        <v>25</v>
      </c>
      <c r="I945" s="5">
        <v>44621</v>
      </c>
      <c r="J945" s="6">
        <v>0</v>
      </c>
      <c r="K945" s="6">
        <v>0</v>
      </c>
      <c r="L945" s="6">
        <v>5.9340000000000002</v>
      </c>
      <c r="M945" s="6">
        <v>5.9340000000000002</v>
      </c>
      <c r="N945" s="6">
        <v>5.9340000000000002</v>
      </c>
      <c r="O945" s="6">
        <v>5.9340000000000002</v>
      </c>
      <c r="P945" s="6">
        <v>0</v>
      </c>
      <c r="Q945" s="4" t="s">
        <v>26</v>
      </c>
      <c r="R945" s="4">
        <v>0</v>
      </c>
      <c r="S945" s="4">
        <v>0</v>
      </c>
      <c r="T945" s="4">
        <v>27</v>
      </c>
      <c r="U945" s="4">
        <v>85</v>
      </c>
      <c r="V945" s="6">
        <f>IF(ISERROR(VLOOKUP($S$945,'TAR FIN'!$A$1:$O$104,15,0)),0,VLOOKUP($S$945,'TAR FIN'!$A$1:$O$104,15,0))</f>
        <v>0</v>
      </c>
      <c r="W945" s="6">
        <f>IF(ISERROR(VLOOKUP($T$945,'TAR FIN'!$A$1:$O$104,15,0)),0,VLOOKUP($T$945,'TAR FIN'!$A$1:$O$104,15,0))</f>
        <v>300.26</v>
      </c>
      <c r="X945" s="6">
        <f>IF(ISERROR(VLOOKUP($U$945,'TAR FIN'!$A$1:$O$104,15,0)),0,VLOOKUP($U$945,'TAR FIN'!$A$1:$O$104,15,0))</f>
        <v>225.04</v>
      </c>
      <c r="Y945" s="6"/>
      <c r="Z945" s="6">
        <f ca="1">('TUSD BE'!$AM$47+'TUSD BF'!$AM$47+'TUSD CVA'!$AM$47)*(1-CUSTOS!$M$38)</f>
        <v>335.21342816228281</v>
      </c>
      <c r="AA945" s="6">
        <f>('TE BE'!$AB$26+'TE BF'!$AB$26+'TE CVA'!$AB$26)*(1-CUSTOS!$M$38)</f>
        <v>227.92247399192311</v>
      </c>
      <c r="AB945" s="6">
        <f t="shared" si="44"/>
        <v>0</v>
      </c>
      <c r="AC945" s="6">
        <f>(L945-M945)*(W945+X945)+($W$672+$X$672-$W$945-$X$945)*(L945)</f>
        <v>424.99307999999985</v>
      </c>
      <c r="AD945" s="6">
        <f t="shared" si="45"/>
        <v>0</v>
      </c>
      <c r="AE945" s="6">
        <f ca="1">(L945-M945)*(Z945+AA945)+($Z$672+$AA$672-$Z$945-$AA$945)*(L945)</f>
        <v>213.29670915211079</v>
      </c>
      <c r="AF945" s="4" t="s">
        <v>998</v>
      </c>
    </row>
    <row r="946" spans="1:32" ht="11.25" customHeight="1" x14ac:dyDescent="0.25">
      <c r="A946" s="4" t="s">
        <v>21</v>
      </c>
      <c r="B946" s="4" t="s">
        <v>44</v>
      </c>
      <c r="C946" s="4" t="s">
        <v>23</v>
      </c>
      <c r="D946" s="4" t="s">
        <v>45</v>
      </c>
      <c r="E946" s="4" t="s">
        <v>56</v>
      </c>
      <c r="F946" s="4" t="s">
        <v>54</v>
      </c>
      <c r="G946" s="4" t="s">
        <v>25</v>
      </c>
      <c r="H946" s="4" t="s">
        <v>25</v>
      </c>
      <c r="I946" s="5">
        <v>44652</v>
      </c>
      <c r="J946" s="6">
        <v>0</v>
      </c>
      <c r="K946" s="6">
        <v>0</v>
      </c>
      <c r="L946" s="6">
        <v>7.6669999999999998</v>
      </c>
      <c r="M946" s="6">
        <v>7.6669999999999998</v>
      </c>
      <c r="N946" s="6">
        <v>7.6669999999999998</v>
      </c>
      <c r="O946" s="6">
        <v>7.6669999999999998</v>
      </c>
      <c r="P946" s="6">
        <v>0</v>
      </c>
      <c r="Q946" s="4" t="s">
        <v>26</v>
      </c>
      <c r="R946" s="4">
        <v>0</v>
      </c>
      <c r="S946" s="4">
        <v>0</v>
      </c>
      <c r="T946" s="4">
        <v>27</v>
      </c>
      <c r="U946" s="4">
        <v>85</v>
      </c>
      <c r="V946" s="6">
        <f>IF(ISERROR(VLOOKUP($S$946,'TAR FIN'!$A$1:$O$104,15,0)),0,VLOOKUP($S$946,'TAR FIN'!$A$1:$O$104,15,0))</f>
        <v>0</v>
      </c>
      <c r="W946" s="6">
        <f>IF(ISERROR(VLOOKUP($T$946,'TAR FIN'!$A$1:$O$104,15,0)),0,VLOOKUP($T$946,'TAR FIN'!$A$1:$O$104,15,0))</f>
        <v>300.26</v>
      </c>
      <c r="X946" s="6">
        <f>IF(ISERROR(VLOOKUP($U$946,'TAR FIN'!$A$1:$O$104,15,0)),0,VLOOKUP($U$946,'TAR FIN'!$A$1:$O$104,15,0))</f>
        <v>225.04</v>
      </c>
      <c r="Y946" s="6"/>
      <c r="Z946" s="6">
        <f ca="1">('TUSD BE'!$AM$47+'TUSD BF'!$AM$47+'TUSD CVA'!$AM$47)*(1-CUSTOS!$M$38)</f>
        <v>335.21342816228281</v>
      </c>
      <c r="AA946" s="6">
        <f>('TE BE'!$AB$26+'TE BF'!$AB$26+'TE CVA'!$AB$26)*(1-CUSTOS!$M$38)</f>
        <v>227.92247399192311</v>
      </c>
      <c r="AB946" s="6">
        <f t="shared" si="44"/>
        <v>0</v>
      </c>
      <c r="AC946" s="6">
        <f>(L946-M946)*(W946+X946)+($W$672+$X$672-$W$946-$X$946)*(L946)</f>
        <v>549.11053999999979</v>
      </c>
      <c r="AD946" s="6">
        <f t="shared" si="45"/>
        <v>0</v>
      </c>
      <c r="AE946" s="6">
        <f ca="1">(L946-M946)*(Z946+AA946)+($Z$672+$AA$672-$Z$946-$AA$946)*(L946)</f>
        <v>275.5891252223177</v>
      </c>
      <c r="AF946" s="4" t="s">
        <v>998</v>
      </c>
    </row>
    <row r="947" spans="1:32" ht="11.25" customHeight="1" x14ac:dyDescent="0.25">
      <c r="A947" s="4" t="s">
        <v>21</v>
      </c>
      <c r="B947" s="4" t="s">
        <v>44</v>
      </c>
      <c r="C947" s="4" t="s">
        <v>23</v>
      </c>
      <c r="D947" s="4" t="s">
        <v>45</v>
      </c>
      <c r="E947" s="4" t="s">
        <v>56</v>
      </c>
      <c r="F947" s="4" t="s">
        <v>54</v>
      </c>
      <c r="G947" s="4" t="s">
        <v>25</v>
      </c>
      <c r="H947" s="4" t="s">
        <v>25</v>
      </c>
      <c r="I947" s="5">
        <v>44682</v>
      </c>
      <c r="J947" s="6">
        <v>0</v>
      </c>
      <c r="K947" s="6">
        <v>0</v>
      </c>
      <c r="L947" s="6">
        <v>7.8570000000000002</v>
      </c>
      <c r="M947" s="6">
        <v>7.8570000000000002</v>
      </c>
      <c r="N947" s="6">
        <v>7.8570000000000002</v>
      </c>
      <c r="O947" s="6">
        <v>7.8570000000000002</v>
      </c>
      <c r="P947" s="6">
        <v>0</v>
      </c>
      <c r="Q947" s="4" t="s">
        <v>26</v>
      </c>
      <c r="R947" s="4">
        <v>0</v>
      </c>
      <c r="S947" s="4">
        <v>0</v>
      </c>
      <c r="T947" s="4">
        <v>27</v>
      </c>
      <c r="U947" s="4">
        <v>85</v>
      </c>
      <c r="V947" s="6">
        <f>IF(ISERROR(VLOOKUP($S$947,'TAR FIN'!$A$1:$O$104,15,0)),0,VLOOKUP($S$947,'TAR FIN'!$A$1:$O$104,15,0))</f>
        <v>0</v>
      </c>
      <c r="W947" s="6">
        <f>IF(ISERROR(VLOOKUP($T$947,'TAR FIN'!$A$1:$O$104,15,0)),0,VLOOKUP($T$947,'TAR FIN'!$A$1:$O$104,15,0))</f>
        <v>300.26</v>
      </c>
      <c r="X947" s="6">
        <f>IF(ISERROR(VLOOKUP($U$947,'TAR FIN'!$A$1:$O$104,15,0)),0,VLOOKUP($U$947,'TAR FIN'!$A$1:$O$104,15,0))</f>
        <v>225.04</v>
      </c>
      <c r="Y947" s="6"/>
      <c r="Z947" s="6">
        <f ca="1">('TUSD BE'!$AM$47+'TUSD BF'!$AM$47+'TUSD CVA'!$AM$47)*(1-CUSTOS!$M$38)</f>
        <v>335.21342816228281</v>
      </c>
      <c r="AA947" s="6">
        <f>('TE BE'!$AB$26+'TE BF'!$AB$26+'TE CVA'!$AB$26)*(1-CUSTOS!$M$38)</f>
        <v>227.92247399192311</v>
      </c>
      <c r="AB947" s="6">
        <f t="shared" si="44"/>
        <v>0</v>
      </c>
      <c r="AC947" s="6">
        <f>(L947-M947)*(W947+X947)+($W$672+$X$672-$W$947-$X$947)*(L947)</f>
        <v>562.71833999999978</v>
      </c>
      <c r="AD947" s="6">
        <f t="shared" si="45"/>
        <v>0</v>
      </c>
      <c r="AE947" s="6">
        <f ca="1">(L947-M947)*(Z947+AA947)+($Z$672+$AA$672-$Z$947-$AA$947)*(L947)</f>
        <v>282.41864573780492</v>
      </c>
      <c r="AF947" s="4" t="s">
        <v>998</v>
      </c>
    </row>
    <row r="948" spans="1:32" ht="11.25" customHeight="1" x14ac:dyDescent="0.25">
      <c r="A948" s="4" t="s">
        <v>21</v>
      </c>
      <c r="B948" s="4" t="s">
        <v>44</v>
      </c>
      <c r="C948" s="4" t="s">
        <v>23</v>
      </c>
      <c r="D948" s="4" t="s">
        <v>45</v>
      </c>
      <c r="E948" s="4" t="s">
        <v>56</v>
      </c>
      <c r="F948" s="4" t="s">
        <v>54</v>
      </c>
      <c r="G948" s="4" t="s">
        <v>25</v>
      </c>
      <c r="H948" s="4" t="s">
        <v>25</v>
      </c>
      <c r="I948" s="5">
        <v>44713</v>
      </c>
      <c r="J948" s="6">
        <v>0</v>
      </c>
      <c r="K948" s="6">
        <v>0</v>
      </c>
      <c r="L948" s="6">
        <v>7.8369999999999997</v>
      </c>
      <c r="M948" s="6">
        <v>7.8369999999999997</v>
      </c>
      <c r="N948" s="6">
        <v>7.8369999999999997</v>
      </c>
      <c r="O948" s="6">
        <v>7.8369999999999997</v>
      </c>
      <c r="P948" s="6">
        <v>0</v>
      </c>
      <c r="Q948" s="4" t="s">
        <v>26</v>
      </c>
      <c r="R948" s="4">
        <v>0</v>
      </c>
      <c r="S948" s="4">
        <v>0</v>
      </c>
      <c r="T948" s="4">
        <v>27</v>
      </c>
      <c r="U948" s="4">
        <v>85</v>
      </c>
      <c r="V948" s="6">
        <f>IF(ISERROR(VLOOKUP($S$948,'TAR FIN'!$A$1:$O$104,15,0)),0,VLOOKUP($S$948,'TAR FIN'!$A$1:$O$104,15,0))</f>
        <v>0</v>
      </c>
      <c r="W948" s="6">
        <f>IF(ISERROR(VLOOKUP($T$948,'TAR FIN'!$A$1:$O$104,15,0)),0,VLOOKUP($T$948,'TAR FIN'!$A$1:$O$104,15,0))</f>
        <v>300.26</v>
      </c>
      <c r="X948" s="6">
        <f>IF(ISERROR(VLOOKUP($U$948,'TAR FIN'!$A$1:$O$104,15,0)),0,VLOOKUP($U$948,'TAR FIN'!$A$1:$O$104,15,0))</f>
        <v>225.04</v>
      </c>
      <c r="Y948" s="6"/>
      <c r="Z948" s="6">
        <f ca="1">('TUSD BE'!$AM$47+'TUSD BF'!$AM$47+'TUSD CVA'!$AM$47)*(1-CUSTOS!$M$38)</f>
        <v>335.21342816228281</v>
      </c>
      <c r="AA948" s="6">
        <f>('TE BE'!$AB$26+'TE BF'!$AB$26+'TE CVA'!$AB$26)*(1-CUSTOS!$M$38)</f>
        <v>227.92247399192311</v>
      </c>
      <c r="AB948" s="6">
        <f t="shared" si="44"/>
        <v>0</v>
      </c>
      <c r="AC948" s="6">
        <f>(L948-M948)*(W948+X948)+($W$672+$X$672-$W$948-$X$948)*(L948)</f>
        <v>561.28593999999975</v>
      </c>
      <c r="AD948" s="6">
        <f t="shared" si="45"/>
        <v>0</v>
      </c>
      <c r="AE948" s="6">
        <f ca="1">(L948-M948)*(Z948+AA948)+($Z$672+$AA$672-$Z$948-$AA$948)*(L948)</f>
        <v>281.69974884143784</v>
      </c>
      <c r="AF948" s="4" t="s">
        <v>998</v>
      </c>
    </row>
    <row r="949" spans="1:32" ht="11.25" customHeight="1" x14ac:dyDescent="0.25">
      <c r="A949" s="4" t="s">
        <v>57</v>
      </c>
      <c r="B949" s="4" t="s">
        <v>44</v>
      </c>
      <c r="C949" s="4" t="s">
        <v>23</v>
      </c>
      <c r="D949" s="4" t="s">
        <v>45</v>
      </c>
      <c r="E949" s="4" t="s">
        <v>56</v>
      </c>
      <c r="F949" s="4" t="s">
        <v>54</v>
      </c>
      <c r="G949" s="4" t="s">
        <v>25</v>
      </c>
      <c r="H949" s="4" t="s">
        <v>25</v>
      </c>
      <c r="I949" s="5">
        <v>44743</v>
      </c>
      <c r="J949" s="6">
        <v>0</v>
      </c>
      <c r="K949" s="6">
        <v>0</v>
      </c>
      <c r="L949" s="6">
        <v>7.8369999999999997</v>
      </c>
      <c r="M949" s="6">
        <v>7.8369999999999997</v>
      </c>
      <c r="N949" s="6">
        <v>7.8369999999999997</v>
      </c>
      <c r="O949" s="6">
        <v>7.8369999999999997</v>
      </c>
      <c r="P949" s="6">
        <v>0</v>
      </c>
      <c r="Q949" s="4" t="s">
        <v>26</v>
      </c>
      <c r="R949" s="4">
        <v>0</v>
      </c>
      <c r="S949" s="4">
        <v>0</v>
      </c>
      <c r="T949" s="4">
        <v>27</v>
      </c>
      <c r="U949" s="4">
        <v>85</v>
      </c>
      <c r="V949" s="6">
        <f>IF(ISERROR(VLOOKUP($S$949,'TAR FIN'!$A$1:$O$104,15,0)),0,VLOOKUP($S$949,'TAR FIN'!$A$1:$O$104,15,0))</f>
        <v>0</v>
      </c>
      <c r="W949" s="6">
        <f>IF(ISERROR(VLOOKUP($T$949,'TAR FIN'!$A$1:$O$104,15,0)),0,VLOOKUP($T$949,'TAR FIN'!$A$1:$O$104,15,0))</f>
        <v>300.26</v>
      </c>
      <c r="X949" s="6">
        <f>IF(ISERROR(VLOOKUP($U$949,'TAR FIN'!$A$1:$O$104,15,0)),0,VLOOKUP($U$949,'TAR FIN'!$A$1:$O$104,15,0))</f>
        <v>225.04</v>
      </c>
      <c r="Y949" s="6"/>
      <c r="Z949" s="6">
        <f ca="1">('TUSD BE'!$AM$47+'TUSD BF'!$AM$47+'TUSD CVA'!$AM$47)*(1-CUSTOS!$M$38)</f>
        <v>335.21342816228281</v>
      </c>
      <c r="AA949" s="6">
        <f>('TE BE'!$AB$26+'TE BF'!$AB$26+'TE CVA'!$AB$26)*(1-CUSTOS!$M$38)</f>
        <v>227.92247399192311</v>
      </c>
      <c r="AB949" s="6">
        <f t="shared" si="44"/>
        <v>0</v>
      </c>
      <c r="AC949" s="6">
        <f>(L949-M949)*(W949+X949)+($W$672+$X$672-$W$949-$X$949)*(L949)</f>
        <v>561.28593999999975</v>
      </c>
      <c r="AD949" s="6">
        <f t="shared" si="45"/>
        <v>0</v>
      </c>
      <c r="AE949" s="6">
        <f ca="1">(L949-M949)*(Z949+AA949)+($Z$672+$AA$672-$Z$949-$AA$949)*(L949)</f>
        <v>281.69974884143784</v>
      </c>
      <c r="AF949" s="4" t="s">
        <v>998</v>
      </c>
    </row>
    <row r="950" spans="1:32" ht="11.25" customHeight="1" x14ac:dyDescent="0.25">
      <c r="A950" s="4" t="s">
        <v>21</v>
      </c>
      <c r="B950" s="4" t="s">
        <v>44</v>
      </c>
      <c r="C950" s="4" t="s">
        <v>23</v>
      </c>
      <c r="D950" s="4" t="s">
        <v>45</v>
      </c>
      <c r="E950" s="4" t="s">
        <v>56</v>
      </c>
      <c r="F950" s="4" t="s">
        <v>55</v>
      </c>
      <c r="G950" s="4" t="s">
        <v>25</v>
      </c>
      <c r="H950" s="4" t="s">
        <v>25</v>
      </c>
      <c r="I950" s="5">
        <v>44409</v>
      </c>
      <c r="J950" s="6">
        <v>0</v>
      </c>
      <c r="K950" s="6">
        <v>0</v>
      </c>
      <c r="L950" s="6">
        <v>24.286000000000001</v>
      </c>
      <c r="M950" s="6">
        <v>6.55722</v>
      </c>
      <c r="N950" s="6">
        <v>24.286000000000001</v>
      </c>
      <c r="O950" s="6">
        <v>6.55722</v>
      </c>
      <c r="P950" s="6">
        <v>0</v>
      </c>
      <c r="Q950" s="4" t="s">
        <v>26</v>
      </c>
      <c r="R950" s="4">
        <v>0</v>
      </c>
      <c r="S950" s="4">
        <v>0</v>
      </c>
      <c r="T950" s="4">
        <v>27</v>
      </c>
      <c r="U950" s="4">
        <v>85</v>
      </c>
      <c r="V950" s="6">
        <f>IF(ISERROR(VLOOKUP($S$950,'TAR FIN'!$A$1:$O$104,15,0)),0,VLOOKUP($S$950,'TAR FIN'!$A$1:$O$104,15,0))</f>
        <v>0</v>
      </c>
      <c r="W950" s="6">
        <f>IF(ISERROR(VLOOKUP($T$950,'TAR FIN'!$A$1:$O$104,15,0)),0,VLOOKUP($T$950,'TAR FIN'!$A$1:$O$104,15,0))</f>
        <v>300.26</v>
      </c>
      <c r="X950" s="6">
        <f>IF(ISERROR(VLOOKUP($U$950,'TAR FIN'!$A$1:$O$104,15,0)),0,VLOOKUP($U$950,'TAR FIN'!$A$1:$O$104,15,0))</f>
        <v>225.04</v>
      </c>
      <c r="Y950" s="6"/>
      <c r="Z950" s="6">
        <f ca="1">('TUSD BE'!$AM$47+'TUSD BF'!$AM$47+'TUSD CVA'!$AM$47)*(1-CUSTOS!$M$38)</f>
        <v>335.21342816228281</v>
      </c>
      <c r="AA950" s="6">
        <f>('TE BE'!$AB$26+'TE BF'!$AB$26+'TE CVA'!$AB$26)*(1-CUSTOS!$M$38)</f>
        <v>227.92247399192311</v>
      </c>
      <c r="AB950" s="6">
        <f t="shared" si="44"/>
        <v>0</v>
      </c>
      <c r="AC950" s="6">
        <f>(L950-M950)*(W950+X950)+($W$672+$X$672-$W$950-$X$950)*(L950)</f>
        <v>11052.291453999998</v>
      </c>
      <c r="AD950" s="6">
        <f t="shared" si="45"/>
        <v>0</v>
      </c>
      <c r="AE950" s="6">
        <f ca="1">(L950-M950)*(Z950+AA950)+($Z$672+$AA$672-$Z$950-$AA$950)*(L950)</f>
        <v>10856.669020651982</v>
      </c>
      <c r="AF950" s="4" t="s">
        <v>1001</v>
      </c>
    </row>
    <row r="951" spans="1:32" ht="11.25" customHeight="1" x14ac:dyDescent="0.25">
      <c r="A951" s="4" t="s">
        <v>21</v>
      </c>
      <c r="B951" s="4" t="s">
        <v>44</v>
      </c>
      <c r="C951" s="4" t="s">
        <v>23</v>
      </c>
      <c r="D951" s="4" t="s">
        <v>45</v>
      </c>
      <c r="E951" s="4" t="s">
        <v>56</v>
      </c>
      <c r="F951" s="4" t="s">
        <v>55</v>
      </c>
      <c r="G951" s="4" t="s">
        <v>25</v>
      </c>
      <c r="H951" s="4" t="s">
        <v>25</v>
      </c>
      <c r="I951" s="5">
        <v>44440</v>
      </c>
      <c r="J951" s="6">
        <v>0</v>
      </c>
      <c r="K951" s="6">
        <v>0</v>
      </c>
      <c r="L951" s="6">
        <v>18.283000000000001</v>
      </c>
      <c r="M951" s="6">
        <v>4.9364100000000004</v>
      </c>
      <c r="N951" s="6">
        <v>18.283000000000001</v>
      </c>
      <c r="O951" s="6">
        <v>4.9364100000000004</v>
      </c>
      <c r="P951" s="6">
        <v>0</v>
      </c>
      <c r="Q951" s="4" t="s">
        <v>26</v>
      </c>
      <c r="R951" s="4">
        <v>0</v>
      </c>
      <c r="S951" s="4">
        <v>0</v>
      </c>
      <c r="T951" s="4">
        <v>27</v>
      </c>
      <c r="U951" s="4">
        <v>85</v>
      </c>
      <c r="V951" s="6">
        <f>IF(ISERROR(VLOOKUP($S$951,'TAR FIN'!$A$1:$O$104,15,0)),0,VLOOKUP($S$951,'TAR FIN'!$A$1:$O$104,15,0))</f>
        <v>0</v>
      </c>
      <c r="W951" s="6">
        <f>IF(ISERROR(VLOOKUP($T$951,'TAR FIN'!$A$1:$O$104,15,0)),0,VLOOKUP($T$951,'TAR FIN'!$A$1:$O$104,15,0))</f>
        <v>300.26</v>
      </c>
      <c r="X951" s="6">
        <f>IF(ISERROR(VLOOKUP($U$951,'TAR FIN'!$A$1:$O$104,15,0)),0,VLOOKUP($U$951,'TAR FIN'!$A$1:$O$104,15,0))</f>
        <v>225.04</v>
      </c>
      <c r="Y951" s="6"/>
      <c r="Z951" s="6">
        <f ca="1">('TUSD BE'!$AM$47+'TUSD BF'!$AM$47+'TUSD CVA'!$AM$47)*(1-CUSTOS!$M$38)</f>
        <v>335.21342816228281</v>
      </c>
      <c r="AA951" s="6">
        <f>('TE BE'!$AB$26+'TE BF'!$AB$26+'TE CVA'!$AB$26)*(1-CUSTOS!$M$38)</f>
        <v>227.92247399192311</v>
      </c>
      <c r="AB951" s="6">
        <f t="shared" si="44"/>
        <v>0</v>
      </c>
      <c r="AC951" s="6">
        <f>(L951-M951)*(W951+X951)+($W$672+$X$672-$W$951-$X$951)*(L951)</f>
        <v>8320.3921869999995</v>
      </c>
      <c r="AD951" s="6">
        <f t="shared" si="45"/>
        <v>0</v>
      </c>
      <c r="AE951" s="6">
        <f ca="1">(L951-M951)*(Z951+AA951)+($Z$672+$AA$672-$Z$951-$AA$951)*(L951)</f>
        <v>8173.1235981462651</v>
      </c>
      <c r="AF951" s="4" t="s">
        <v>1001</v>
      </c>
    </row>
    <row r="952" spans="1:32" ht="11.25" customHeight="1" x14ac:dyDescent="0.25">
      <c r="A952" s="4" t="s">
        <v>21</v>
      </c>
      <c r="B952" s="4" t="s">
        <v>44</v>
      </c>
      <c r="C952" s="4" t="s">
        <v>23</v>
      </c>
      <c r="D952" s="4" t="s">
        <v>45</v>
      </c>
      <c r="E952" s="4" t="s">
        <v>56</v>
      </c>
      <c r="F952" s="4" t="s">
        <v>55</v>
      </c>
      <c r="G952" s="4" t="s">
        <v>25</v>
      </c>
      <c r="H952" s="4" t="s">
        <v>25</v>
      </c>
      <c r="I952" s="5">
        <v>44470</v>
      </c>
      <c r="J952" s="6">
        <v>0</v>
      </c>
      <c r="K952" s="6">
        <v>0</v>
      </c>
      <c r="L952" s="6">
        <v>23.462</v>
      </c>
      <c r="M952" s="6">
        <v>6.33474</v>
      </c>
      <c r="N952" s="6">
        <v>23.462</v>
      </c>
      <c r="O952" s="6">
        <v>6.33474</v>
      </c>
      <c r="P952" s="6">
        <v>0</v>
      </c>
      <c r="Q952" s="4" t="s">
        <v>26</v>
      </c>
      <c r="R952" s="4">
        <v>0</v>
      </c>
      <c r="S952" s="4">
        <v>0</v>
      </c>
      <c r="T952" s="4">
        <v>27</v>
      </c>
      <c r="U952" s="4">
        <v>85</v>
      </c>
      <c r="V952" s="6">
        <f>IF(ISERROR(VLOOKUP($S$952,'TAR FIN'!$A$1:$O$104,15,0)),0,VLOOKUP($S$952,'TAR FIN'!$A$1:$O$104,15,0))</f>
        <v>0</v>
      </c>
      <c r="W952" s="6">
        <f>IF(ISERROR(VLOOKUP($T$952,'TAR FIN'!$A$1:$O$104,15,0)),0,VLOOKUP($T$952,'TAR FIN'!$A$1:$O$104,15,0))</f>
        <v>300.26</v>
      </c>
      <c r="X952" s="6">
        <f>IF(ISERROR(VLOOKUP($U$952,'TAR FIN'!$A$1:$O$104,15,0)),0,VLOOKUP($U$952,'TAR FIN'!$A$1:$O$104,15,0))</f>
        <v>225.04</v>
      </c>
      <c r="Y952" s="6"/>
      <c r="Z952" s="6">
        <f ca="1">('TUSD BE'!$AM$47+'TUSD BF'!$AM$47+'TUSD CVA'!$AM$47)*(1-CUSTOS!$M$38)</f>
        <v>335.21342816228281</v>
      </c>
      <c r="AA952" s="6">
        <f>('TE BE'!$AB$26+'TE BF'!$AB$26+'TE CVA'!$AB$26)*(1-CUSTOS!$M$38)</f>
        <v>227.92247399192311</v>
      </c>
      <c r="AB952" s="6">
        <f t="shared" si="44"/>
        <v>0</v>
      </c>
      <c r="AC952" s="6">
        <f>(L952-M952)*(W952+X952)+($W$672+$X$672-$W$952-$X$952)*(L952)</f>
        <v>10677.298117999999</v>
      </c>
      <c r="AD952" s="6">
        <f t="shared" si="45"/>
        <v>0</v>
      </c>
      <c r="AE952" s="6">
        <f ca="1">(L952-M952)*(Z952+AA952)+($Z$672+$AA$672-$Z$952-$AA$952)*(L952)</f>
        <v>10488.312960657859</v>
      </c>
      <c r="AF952" s="4" t="s">
        <v>1001</v>
      </c>
    </row>
    <row r="953" spans="1:32" ht="11.25" customHeight="1" x14ac:dyDescent="0.25">
      <c r="A953" s="4" t="s">
        <v>21</v>
      </c>
      <c r="B953" s="4" t="s">
        <v>44</v>
      </c>
      <c r="C953" s="4" t="s">
        <v>23</v>
      </c>
      <c r="D953" s="4" t="s">
        <v>45</v>
      </c>
      <c r="E953" s="4" t="s">
        <v>56</v>
      </c>
      <c r="F953" s="4" t="s">
        <v>55</v>
      </c>
      <c r="G953" s="4" t="s">
        <v>25</v>
      </c>
      <c r="H953" s="4" t="s">
        <v>25</v>
      </c>
      <c r="I953" s="5">
        <v>44501</v>
      </c>
      <c r="J953" s="6">
        <v>0</v>
      </c>
      <c r="K953" s="6">
        <v>0</v>
      </c>
      <c r="L953" s="6">
        <v>23.196000000000002</v>
      </c>
      <c r="M953" s="6">
        <v>6.2629200000000003</v>
      </c>
      <c r="N953" s="6">
        <v>23.196000000000002</v>
      </c>
      <c r="O953" s="6">
        <v>6.2629200000000003</v>
      </c>
      <c r="P953" s="6">
        <v>0</v>
      </c>
      <c r="Q953" s="4" t="s">
        <v>26</v>
      </c>
      <c r="R953" s="4">
        <v>0</v>
      </c>
      <c r="S953" s="4">
        <v>0</v>
      </c>
      <c r="T953" s="4">
        <v>27</v>
      </c>
      <c r="U953" s="4">
        <v>85</v>
      </c>
      <c r="V953" s="6">
        <f>IF(ISERROR(VLOOKUP($S$953,'TAR FIN'!$A$1:$O$104,15,0)),0,VLOOKUP($S$953,'TAR FIN'!$A$1:$O$104,15,0))</f>
        <v>0</v>
      </c>
      <c r="W953" s="6">
        <f>IF(ISERROR(VLOOKUP($T$953,'TAR FIN'!$A$1:$O$104,15,0)),0,VLOOKUP($T$953,'TAR FIN'!$A$1:$O$104,15,0))</f>
        <v>300.26</v>
      </c>
      <c r="X953" s="6">
        <f>IF(ISERROR(VLOOKUP($U$953,'TAR FIN'!$A$1:$O$104,15,0)),0,VLOOKUP($U$953,'TAR FIN'!$A$1:$O$104,15,0))</f>
        <v>225.04</v>
      </c>
      <c r="Y953" s="6"/>
      <c r="Z953" s="6">
        <f ca="1">('TUSD BE'!$AM$47+'TUSD BF'!$AM$47+'TUSD CVA'!$AM$47)*(1-CUSTOS!$M$38)</f>
        <v>335.21342816228281</v>
      </c>
      <c r="AA953" s="6">
        <f>('TE BE'!$AB$26+'TE BF'!$AB$26+'TE CVA'!$AB$26)*(1-CUSTOS!$M$38)</f>
        <v>227.92247399192311</v>
      </c>
      <c r="AB953" s="6">
        <f t="shared" si="44"/>
        <v>0</v>
      </c>
      <c r="AC953" s="6">
        <f>(L953-M953)*(W953+X953)+($W$672+$X$672-$W$953-$X$953)*(L953)</f>
        <v>10556.244444</v>
      </c>
      <c r="AD953" s="6">
        <f t="shared" si="45"/>
        <v>0</v>
      </c>
      <c r="AE953" s="6">
        <f ca="1">(L953-M953)*(Z953+AA953)+($Z$672+$AA$672-$Z$953-$AA$953)*(L953)</f>
        <v>10369.401902455875</v>
      </c>
      <c r="AF953" s="4" t="s">
        <v>1001</v>
      </c>
    </row>
    <row r="954" spans="1:32" ht="11.25" customHeight="1" x14ac:dyDescent="0.25">
      <c r="A954" s="4" t="s">
        <v>21</v>
      </c>
      <c r="B954" s="4" t="s">
        <v>44</v>
      </c>
      <c r="C954" s="4" t="s">
        <v>23</v>
      </c>
      <c r="D954" s="4" t="s">
        <v>45</v>
      </c>
      <c r="E954" s="4" t="s">
        <v>56</v>
      </c>
      <c r="F954" s="4" t="s">
        <v>55</v>
      </c>
      <c r="G954" s="4" t="s">
        <v>25</v>
      </c>
      <c r="H954" s="4" t="s">
        <v>25</v>
      </c>
      <c r="I954" s="5">
        <v>44531</v>
      </c>
      <c r="J954" s="6">
        <v>0</v>
      </c>
      <c r="K954" s="6">
        <v>0</v>
      </c>
      <c r="L954" s="6">
        <v>20.673999999999999</v>
      </c>
      <c r="M954" s="6">
        <v>5.5819799999999997</v>
      </c>
      <c r="N954" s="6">
        <v>20.673999999999999</v>
      </c>
      <c r="O954" s="6">
        <v>5.5819799999999997</v>
      </c>
      <c r="P954" s="6">
        <v>0</v>
      </c>
      <c r="Q954" s="4" t="s">
        <v>26</v>
      </c>
      <c r="R954" s="4">
        <v>0</v>
      </c>
      <c r="S954" s="4">
        <v>0</v>
      </c>
      <c r="T954" s="4">
        <v>27</v>
      </c>
      <c r="U954" s="4">
        <v>85</v>
      </c>
      <c r="V954" s="6">
        <f>IF(ISERROR(VLOOKUP($S$954,'TAR FIN'!$A$1:$O$104,15,0)),0,VLOOKUP($S$954,'TAR FIN'!$A$1:$O$104,15,0))</f>
        <v>0</v>
      </c>
      <c r="W954" s="6">
        <f>IF(ISERROR(VLOOKUP($T$954,'TAR FIN'!$A$1:$O$104,15,0)),0,VLOOKUP($T$954,'TAR FIN'!$A$1:$O$104,15,0))</f>
        <v>300.26</v>
      </c>
      <c r="X954" s="6">
        <f>IF(ISERROR(VLOOKUP($U$954,'TAR FIN'!$A$1:$O$104,15,0)),0,VLOOKUP($U$954,'TAR FIN'!$A$1:$O$104,15,0))</f>
        <v>225.04</v>
      </c>
      <c r="Y954" s="6"/>
      <c r="Z954" s="6">
        <f ca="1">('TUSD BE'!$AM$47+'TUSD BF'!$AM$47+'TUSD CVA'!$AM$47)*(1-CUSTOS!$M$38)</f>
        <v>335.21342816228281</v>
      </c>
      <c r="AA954" s="6">
        <f>('TE BE'!$AB$26+'TE BF'!$AB$26+'TE CVA'!$AB$26)*(1-CUSTOS!$M$38)</f>
        <v>227.92247399192311</v>
      </c>
      <c r="AB954" s="6">
        <f t="shared" si="44"/>
        <v>0</v>
      </c>
      <c r="AC954" s="6">
        <f>(L954-M954)*(W954+X954)+($W$672+$X$672-$W$954-$X$954)*(L954)</f>
        <v>9408.5099859999991</v>
      </c>
      <c r="AD954" s="6">
        <f t="shared" si="45"/>
        <v>0</v>
      </c>
      <c r="AE954" s="6">
        <f ca="1">(L954-M954)*(Z954+AA954)+($Z$672+$AA$672-$Z$954-$AA$954)*(L954)</f>
        <v>9241.9820198039633</v>
      </c>
      <c r="AF954" s="4" t="s">
        <v>1001</v>
      </c>
    </row>
    <row r="955" spans="1:32" ht="11.25" customHeight="1" x14ac:dyDescent="0.25">
      <c r="A955" s="4" t="s">
        <v>21</v>
      </c>
      <c r="B955" s="4" t="s">
        <v>44</v>
      </c>
      <c r="C955" s="4" t="s">
        <v>23</v>
      </c>
      <c r="D955" s="4" t="s">
        <v>45</v>
      </c>
      <c r="E955" s="4" t="s">
        <v>56</v>
      </c>
      <c r="F955" s="4" t="s">
        <v>55</v>
      </c>
      <c r="G955" s="4" t="s">
        <v>25</v>
      </c>
      <c r="H955" s="4" t="s">
        <v>25</v>
      </c>
      <c r="I955" s="5">
        <v>44562</v>
      </c>
      <c r="J955" s="6">
        <v>0</v>
      </c>
      <c r="K955" s="6">
        <v>0</v>
      </c>
      <c r="L955" s="6">
        <v>21.818999999999999</v>
      </c>
      <c r="M955" s="6">
        <v>5.8911300000000004</v>
      </c>
      <c r="N955" s="6">
        <v>21.818999999999999</v>
      </c>
      <c r="O955" s="6">
        <v>5.8911300000000004</v>
      </c>
      <c r="P955" s="6">
        <v>0</v>
      </c>
      <c r="Q955" s="4" t="s">
        <v>26</v>
      </c>
      <c r="R955" s="4">
        <v>0</v>
      </c>
      <c r="S955" s="4">
        <v>0</v>
      </c>
      <c r="T955" s="4">
        <v>27</v>
      </c>
      <c r="U955" s="4">
        <v>85</v>
      </c>
      <c r="V955" s="6">
        <f>IF(ISERROR(VLOOKUP($S$955,'TAR FIN'!$A$1:$O$104,15,0)),0,VLOOKUP($S$955,'TAR FIN'!$A$1:$O$104,15,0))</f>
        <v>0</v>
      </c>
      <c r="W955" s="6">
        <f>IF(ISERROR(VLOOKUP($T$955,'TAR FIN'!$A$1:$O$104,15,0)),0,VLOOKUP($T$955,'TAR FIN'!$A$1:$O$104,15,0))</f>
        <v>300.26</v>
      </c>
      <c r="X955" s="6">
        <f>IF(ISERROR(VLOOKUP($U$955,'TAR FIN'!$A$1:$O$104,15,0)),0,VLOOKUP($U$955,'TAR FIN'!$A$1:$O$104,15,0))</f>
        <v>225.04</v>
      </c>
      <c r="Y955" s="6"/>
      <c r="Z955" s="6">
        <f ca="1">('TUSD BE'!$AM$47+'TUSD BF'!$AM$47+'TUSD CVA'!$AM$47)*(1-CUSTOS!$M$38)</f>
        <v>335.21342816228281</v>
      </c>
      <c r="AA955" s="6">
        <f>('TE BE'!$AB$26+'TE BF'!$AB$26+'TE CVA'!$AB$26)*(1-CUSTOS!$M$38)</f>
        <v>227.92247399192311</v>
      </c>
      <c r="AB955" s="6">
        <f t="shared" si="44"/>
        <v>0</v>
      </c>
      <c r="AC955" s="6">
        <f>(L955-M955)*(W955+X955)+($W$672+$X$672-$W$955-$X$955)*(L955)</f>
        <v>9929.586890999999</v>
      </c>
      <c r="AD955" s="6">
        <f t="shared" si="45"/>
        <v>0</v>
      </c>
      <c r="AE955" s="6">
        <f ca="1">(L955-M955)*(Z955+AA955)+($Z$672+$AA$672-$Z$955-$AA$955)*(L955)</f>
        <v>9753.8360109365713</v>
      </c>
      <c r="AF955" s="4" t="s">
        <v>1001</v>
      </c>
    </row>
    <row r="956" spans="1:32" ht="11.25" customHeight="1" x14ac:dyDescent="0.25">
      <c r="A956" s="4" t="s">
        <v>21</v>
      </c>
      <c r="B956" s="4" t="s">
        <v>44</v>
      </c>
      <c r="C956" s="4" t="s">
        <v>23</v>
      </c>
      <c r="D956" s="4" t="s">
        <v>45</v>
      </c>
      <c r="E956" s="4" t="s">
        <v>56</v>
      </c>
      <c r="F956" s="4" t="s">
        <v>55</v>
      </c>
      <c r="G956" s="4" t="s">
        <v>25</v>
      </c>
      <c r="H956" s="4" t="s">
        <v>25</v>
      </c>
      <c r="I956" s="5">
        <v>44593</v>
      </c>
      <c r="J956" s="6">
        <v>0</v>
      </c>
      <c r="K956" s="6">
        <v>0</v>
      </c>
      <c r="L956" s="6">
        <v>17.419</v>
      </c>
      <c r="M956" s="6">
        <v>4.7031299999999998</v>
      </c>
      <c r="N956" s="6">
        <v>17.419</v>
      </c>
      <c r="O956" s="6">
        <v>4.7031299999999998</v>
      </c>
      <c r="P956" s="6">
        <v>0</v>
      </c>
      <c r="Q956" s="4" t="s">
        <v>26</v>
      </c>
      <c r="R956" s="4">
        <v>0</v>
      </c>
      <c r="S956" s="4">
        <v>0</v>
      </c>
      <c r="T956" s="4">
        <v>27</v>
      </c>
      <c r="U956" s="4">
        <v>85</v>
      </c>
      <c r="V956" s="6">
        <f>IF(ISERROR(VLOOKUP($S$956,'TAR FIN'!$A$1:$O$104,15,0)),0,VLOOKUP($S$956,'TAR FIN'!$A$1:$O$104,15,0))</f>
        <v>0</v>
      </c>
      <c r="W956" s="6">
        <f>IF(ISERROR(VLOOKUP($T$956,'TAR FIN'!$A$1:$O$104,15,0)),0,VLOOKUP($T$956,'TAR FIN'!$A$1:$O$104,15,0))</f>
        <v>300.26</v>
      </c>
      <c r="X956" s="6">
        <f>IF(ISERROR(VLOOKUP($U$956,'TAR FIN'!$A$1:$O$104,15,0)),0,VLOOKUP($U$956,'TAR FIN'!$A$1:$O$104,15,0))</f>
        <v>225.04</v>
      </c>
      <c r="Y956" s="6"/>
      <c r="Z956" s="6">
        <f ca="1">('TUSD BE'!$AM$47+'TUSD BF'!$AM$47+'TUSD CVA'!$AM$47)*(1-CUSTOS!$M$38)</f>
        <v>335.21342816228281</v>
      </c>
      <c r="AA956" s="6">
        <f>('TE BE'!$AB$26+'TE BF'!$AB$26+'TE CVA'!$AB$26)*(1-CUSTOS!$M$38)</f>
        <v>227.92247399192311</v>
      </c>
      <c r="AB956" s="6">
        <f t="shared" si="44"/>
        <v>0</v>
      </c>
      <c r="AC956" s="6">
        <f>(L956-M956)*(W956+X956)+($W$672+$X$672-$W$956-$X$956)*(L956)</f>
        <v>7927.195291</v>
      </c>
      <c r="AD956" s="6">
        <f t="shared" si="45"/>
        <v>0</v>
      </c>
      <c r="AE956" s="6">
        <f ca="1">(L956-M956)*(Z956+AA956)+($Z$672+$AA$672-$Z$956-$AA$956)*(L956)</f>
        <v>7786.8861760165064</v>
      </c>
      <c r="AF956" s="4" t="s">
        <v>1001</v>
      </c>
    </row>
    <row r="957" spans="1:32" ht="11.25" customHeight="1" x14ac:dyDescent="0.25">
      <c r="A957" s="4" t="s">
        <v>21</v>
      </c>
      <c r="B957" s="4" t="s">
        <v>44</v>
      </c>
      <c r="C957" s="4" t="s">
        <v>23</v>
      </c>
      <c r="D957" s="4" t="s">
        <v>45</v>
      </c>
      <c r="E957" s="4" t="s">
        <v>56</v>
      </c>
      <c r="F957" s="4" t="s">
        <v>55</v>
      </c>
      <c r="G957" s="4" t="s">
        <v>25</v>
      </c>
      <c r="H957" s="4" t="s">
        <v>25</v>
      </c>
      <c r="I957" s="5">
        <v>44621</v>
      </c>
      <c r="J957" s="6">
        <v>0</v>
      </c>
      <c r="K957" s="6">
        <v>0</v>
      </c>
      <c r="L957" s="6">
        <v>18.379000000000001</v>
      </c>
      <c r="M957" s="6">
        <v>4.9623299999999997</v>
      </c>
      <c r="N957" s="6">
        <v>18.379000000000001</v>
      </c>
      <c r="O957" s="6">
        <v>4.9623299999999997</v>
      </c>
      <c r="P957" s="6">
        <v>0</v>
      </c>
      <c r="Q957" s="4" t="s">
        <v>26</v>
      </c>
      <c r="R957" s="4">
        <v>0</v>
      </c>
      <c r="S957" s="4">
        <v>0</v>
      </c>
      <c r="T957" s="4">
        <v>27</v>
      </c>
      <c r="U957" s="4">
        <v>85</v>
      </c>
      <c r="V957" s="6">
        <f>IF(ISERROR(VLOOKUP($S$957,'TAR FIN'!$A$1:$O$104,15,0)),0,VLOOKUP($S$957,'TAR FIN'!$A$1:$O$104,15,0))</f>
        <v>0</v>
      </c>
      <c r="W957" s="6">
        <f>IF(ISERROR(VLOOKUP($T$957,'TAR FIN'!$A$1:$O$104,15,0)),0,VLOOKUP($T$957,'TAR FIN'!$A$1:$O$104,15,0))</f>
        <v>300.26</v>
      </c>
      <c r="X957" s="6">
        <f>IF(ISERROR(VLOOKUP($U$957,'TAR FIN'!$A$1:$O$104,15,0)),0,VLOOKUP($U$957,'TAR FIN'!$A$1:$O$104,15,0))</f>
        <v>225.04</v>
      </c>
      <c r="Y957" s="6"/>
      <c r="Z957" s="6">
        <f ca="1">('TUSD BE'!$AM$47+'TUSD BF'!$AM$47+'TUSD CVA'!$AM$47)*(1-CUSTOS!$M$38)</f>
        <v>335.21342816228281</v>
      </c>
      <c r="AA957" s="6">
        <f>('TE BE'!$AB$26+'TE BF'!$AB$26+'TE CVA'!$AB$26)*(1-CUSTOS!$M$38)</f>
        <v>227.92247399192311</v>
      </c>
      <c r="AB957" s="6">
        <f t="shared" si="44"/>
        <v>0</v>
      </c>
      <c r="AC957" s="6">
        <f>(L957-M957)*(W957+X957)+($W$672+$X$672-$W$957-$X$957)*(L957)</f>
        <v>8364.080731</v>
      </c>
      <c r="AD957" s="6">
        <f t="shared" si="45"/>
        <v>0</v>
      </c>
      <c r="AE957" s="6">
        <f ca="1">(L957-M957)*(Z957+AA957)+($Z$672+$AA$672-$Z$957-$AA$957)*(L957)</f>
        <v>8216.0388672717945</v>
      </c>
      <c r="AF957" s="4" t="s">
        <v>1001</v>
      </c>
    </row>
    <row r="958" spans="1:32" ht="11.25" customHeight="1" x14ac:dyDescent="0.25">
      <c r="A958" s="4" t="s">
        <v>21</v>
      </c>
      <c r="B958" s="4" t="s">
        <v>44</v>
      </c>
      <c r="C958" s="4" t="s">
        <v>23</v>
      </c>
      <c r="D958" s="4" t="s">
        <v>45</v>
      </c>
      <c r="E958" s="4" t="s">
        <v>56</v>
      </c>
      <c r="F958" s="4" t="s">
        <v>55</v>
      </c>
      <c r="G958" s="4" t="s">
        <v>25</v>
      </c>
      <c r="H958" s="4" t="s">
        <v>25</v>
      </c>
      <c r="I958" s="5">
        <v>44652</v>
      </c>
      <c r="J958" s="6">
        <v>0</v>
      </c>
      <c r="K958" s="6">
        <v>0</v>
      </c>
      <c r="L958" s="6">
        <v>19.802</v>
      </c>
      <c r="M958" s="6">
        <v>5.3465400000000001</v>
      </c>
      <c r="N958" s="6">
        <v>19.802</v>
      </c>
      <c r="O958" s="6">
        <v>5.3465400000000001</v>
      </c>
      <c r="P958" s="6">
        <v>0</v>
      </c>
      <c r="Q958" s="4" t="s">
        <v>26</v>
      </c>
      <c r="R958" s="4">
        <v>0</v>
      </c>
      <c r="S958" s="4">
        <v>0</v>
      </c>
      <c r="T958" s="4">
        <v>27</v>
      </c>
      <c r="U958" s="4">
        <v>85</v>
      </c>
      <c r="V958" s="6">
        <f>IF(ISERROR(VLOOKUP($S$958,'TAR FIN'!$A$1:$O$104,15,0)),0,VLOOKUP($S$958,'TAR FIN'!$A$1:$O$104,15,0))</f>
        <v>0</v>
      </c>
      <c r="W958" s="6">
        <f>IF(ISERROR(VLOOKUP($T$958,'TAR FIN'!$A$1:$O$104,15,0)),0,VLOOKUP($T$958,'TAR FIN'!$A$1:$O$104,15,0))</f>
        <v>300.26</v>
      </c>
      <c r="X958" s="6">
        <f>IF(ISERROR(VLOOKUP($U$958,'TAR FIN'!$A$1:$O$104,15,0)),0,VLOOKUP($U$958,'TAR FIN'!$A$1:$O$104,15,0))</f>
        <v>225.04</v>
      </c>
      <c r="Y958" s="6"/>
      <c r="Z958" s="6">
        <f ca="1">('TUSD BE'!$AM$47+'TUSD BF'!$AM$47+'TUSD CVA'!$AM$47)*(1-CUSTOS!$M$38)</f>
        <v>335.21342816228281</v>
      </c>
      <c r="AA958" s="6">
        <f>('TE BE'!$AB$26+'TE BF'!$AB$26+'TE CVA'!$AB$26)*(1-CUSTOS!$M$38)</f>
        <v>227.92247399192311</v>
      </c>
      <c r="AB958" s="6">
        <f t="shared" si="44"/>
        <v>0</v>
      </c>
      <c r="AC958" s="6">
        <f>(L958-M958)*(W958+X958)+($W$672+$X$672-$W$958-$X$958)*(L958)</f>
        <v>9011.6723779999993</v>
      </c>
      <c r="AD958" s="6">
        <f t="shared" si="45"/>
        <v>0</v>
      </c>
      <c r="AE958" s="6">
        <f ca="1">(L958-M958)*(Z958+AA958)+($Z$672+$AA$672-$Z$958-$AA$958)*(L958)</f>
        <v>8852.1683252470775</v>
      </c>
      <c r="AF958" s="4" t="s">
        <v>1001</v>
      </c>
    </row>
    <row r="959" spans="1:32" ht="11.25" customHeight="1" x14ac:dyDescent="0.25">
      <c r="A959" s="4" t="s">
        <v>21</v>
      </c>
      <c r="B959" s="4" t="s">
        <v>44</v>
      </c>
      <c r="C959" s="4" t="s">
        <v>23</v>
      </c>
      <c r="D959" s="4" t="s">
        <v>45</v>
      </c>
      <c r="E959" s="4" t="s">
        <v>56</v>
      </c>
      <c r="F959" s="4" t="s">
        <v>55</v>
      </c>
      <c r="G959" s="4" t="s">
        <v>25</v>
      </c>
      <c r="H959" s="4" t="s">
        <v>25</v>
      </c>
      <c r="I959" s="5">
        <v>44682</v>
      </c>
      <c r="J959" s="6">
        <v>0</v>
      </c>
      <c r="K959" s="6">
        <v>0</v>
      </c>
      <c r="L959" s="6">
        <v>21.521999999999998</v>
      </c>
      <c r="M959" s="6">
        <v>5.8109400000000004</v>
      </c>
      <c r="N959" s="6">
        <v>21.521999999999998</v>
      </c>
      <c r="O959" s="6">
        <v>5.8109400000000004</v>
      </c>
      <c r="P959" s="6">
        <v>0</v>
      </c>
      <c r="Q959" s="4" t="s">
        <v>26</v>
      </c>
      <c r="R959" s="4">
        <v>0</v>
      </c>
      <c r="S959" s="4">
        <v>0</v>
      </c>
      <c r="T959" s="4">
        <v>27</v>
      </c>
      <c r="U959" s="4">
        <v>85</v>
      </c>
      <c r="V959" s="6">
        <f>IF(ISERROR(VLOOKUP($S$959,'TAR FIN'!$A$1:$O$104,15,0)),0,VLOOKUP($S$959,'TAR FIN'!$A$1:$O$104,15,0))</f>
        <v>0</v>
      </c>
      <c r="W959" s="6">
        <f>IF(ISERROR(VLOOKUP($T$959,'TAR FIN'!$A$1:$O$104,15,0)),0,VLOOKUP($T$959,'TAR FIN'!$A$1:$O$104,15,0))</f>
        <v>300.26</v>
      </c>
      <c r="X959" s="6">
        <f>IF(ISERROR(VLOOKUP($U$959,'TAR FIN'!$A$1:$O$104,15,0)),0,VLOOKUP($U$959,'TAR FIN'!$A$1:$O$104,15,0))</f>
        <v>225.04</v>
      </c>
      <c r="Y959" s="6"/>
      <c r="Z959" s="6">
        <f ca="1">('TUSD BE'!$AM$47+'TUSD BF'!$AM$47+'TUSD CVA'!$AM$47)*(1-CUSTOS!$M$38)</f>
        <v>335.21342816228281</v>
      </c>
      <c r="AA959" s="6">
        <f>('TE BE'!$AB$26+'TE BF'!$AB$26+'TE CVA'!$AB$26)*(1-CUSTOS!$M$38)</f>
        <v>227.92247399192311</v>
      </c>
      <c r="AB959" s="6">
        <f t="shared" si="44"/>
        <v>0</v>
      </c>
      <c r="AC959" s="6">
        <f>(L959-M959)*(W959+X959)+($W$672+$X$672-$W$959-$X$959)*(L959)</f>
        <v>9794.4254579999979</v>
      </c>
      <c r="AD959" s="6">
        <f t="shared" si="45"/>
        <v>0</v>
      </c>
      <c r="AE959" s="6">
        <f ca="1">(L959-M959)*(Z959+AA959)+($Z$672+$AA$672-$Z$959-$AA$959)*(L959)</f>
        <v>9621.0668970794668</v>
      </c>
      <c r="AF959" s="4" t="s">
        <v>1001</v>
      </c>
    </row>
    <row r="960" spans="1:32" ht="11.25" customHeight="1" x14ac:dyDescent="0.25">
      <c r="A960" s="4" t="s">
        <v>21</v>
      </c>
      <c r="B960" s="4" t="s">
        <v>44</v>
      </c>
      <c r="C960" s="4" t="s">
        <v>23</v>
      </c>
      <c r="D960" s="4" t="s">
        <v>45</v>
      </c>
      <c r="E960" s="4" t="s">
        <v>56</v>
      </c>
      <c r="F960" s="4" t="s">
        <v>55</v>
      </c>
      <c r="G960" s="4" t="s">
        <v>25</v>
      </c>
      <c r="H960" s="4" t="s">
        <v>25</v>
      </c>
      <c r="I960" s="5">
        <v>44713</v>
      </c>
      <c r="J960" s="6">
        <v>0</v>
      </c>
      <c r="K960" s="6">
        <v>0</v>
      </c>
      <c r="L960" s="6">
        <v>18.597000000000001</v>
      </c>
      <c r="M960" s="6">
        <v>5.0211899999999998</v>
      </c>
      <c r="N960" s="6">
        <v>18.597000000000001</v>
      </c>
      <c r="O960" s="6">
        <v>5.0211899999999998</v>
      </c>
      <c r="P960" s="6">
        <v>0</v>
      </c>
      <c r="Q960" s="4" t="s">
        <v>26</v>
      </c>
      <c r="R960" s="4">
        <v>0</v>
      </c>
      <c r="S960" s="4">
        <v>0</v>
      </c>
      <c r="T960" s="4">
        <v>27</v>
      </c>
      <c r="U960" s="4">
        <v>85</v>
      </c>
      <c r="V960" s="6">
        <f>IF(ISERROR(VLOOKUP($S$960,'TAR FIN'!$A$1:$O$104,15,0)),0,VLOOKUP($S$960,'TAR FIN'!$A$1:$O$104,15,0))</f>
        <v>0</v>
      </c>
      <c r="W960" s="6">
        <f>IF(ISERROR(VLOOKUP($T$960,'TAR FIN'!$A$1:$O$104,15,0)),0,VLOOKUP($T$960,'TAR FIN'!$A$1:$O$104,15,0))</f>
        <v>300.26</v>
      </c>
      <c r="X960" s="6">
        <f>IF(ISERROR(VLOOKUP($U$960,'TAR FIN'!$A$1:$O$104,15,0)),0,VLOOKUP($U$960,'TAR FIN'!$A$1:$O$104,15,0))</f>
        <v>225.04</v>
      </c>
      <c r="Y960" s="6"/>
      <c r="Z960" s="6">
        <f ca="1">('TUSD BE'!$AM$47+'TUSD BF'!$AM$47+'TUSD CVA'!$AM$47)*(1-CUSTOS!$M$38)</f>
        <v>335.21342816228281</v>
      </c>
      <c r="AA960" s="6">
        <f>('TE BE'!$AB$26+'TE BF'!$AB$26+'TE CVA'!$AB$26)*(1-CUSTOS!$M$38)</f>
        <v>227.92247399192311</v>
      </c>
      <c r="AB960" s="6">
        <f t="shared" si="44"/>
        <v>0</v>
      </c>
      <c r="AC960" s="6">
        <f>(L960-M960)*(W960+X960)+($W$672+$X$672-$W$960-$X$960)*(L960)</f>
        <v>8463.2901329999986</v>
      </c>
      <c r="AD960" s="6">
        <f t="shared" si="45"/>
        <v>0</v>
      </c>
      <c r="AE960" s="6">
        <f ca="1">(L960-M960)*(Z960+AA960)+($Z$672+$AA$672-$Z$960-$AA$960)*(L960)</f>
        <v>8313.4922909110155</v>
      </c>
      <c r="AF960" s="4" t="s">
        <v>1001</v>
      </c>
    </row>
    <row r="961" spans="1:32" ht="11.25" customHeight="1" x14ac:dyDescent="0.25">
      <c r="A961" s="4" t="s">
        <v>57</v>
      </c>
      <c r="B961" s="4" t="s">
        <v>44</v>
      </c>
      <c r="C961" s="4" t="s">
        <v>23</v>
      </c>
      <c r="D961" s="4" t="s">
        <v>45</v>
      </c>
      <c r="E961" s="4" t="s">
        <v>56</v>
      </c>
      <c r="F961" s="4" t="s">
        <v>55</v>
      </c>
      <c r="G961" s="4" t="s">
        <v>25</v>
      </c>
      <c r="H961" s="4" t="s">
        <v>25</v>
      </c>
      <c r="I961" s="5">
        <v>44743</v>
      </c>
      <c r="J961" s="6">
        <v>0</v>
      </c>
      <c r="K961" s="6">
        <v>0</v>
      </c>
      <c r="L961" s="6">
        <v>18.597000000000001</v>
      </c>
      <c r="M961" s="6">
        <v>5.0211899999999998</v>
      </c>
      <c r="N961" s="6">
        <v>18.597000000000001</v>
      </c>
      <c r="O961" s="6">
        <v>5.0211899999999998</v>
      </c>
      <c r="P961" s="6">
        <v>0</v>
      </c>
      <c r="Q961" s="4" t="s">
        <v>26</v>
      </c>
      <c r="R961" s="4">
        <v>0</v>
      </c>
      <c r="S961" s="4">
        <v>0</v>
      </c>
      <c r="T961" s="4">
        <v>27</v>
      </c>
      <c r="U961" s="4">
        <v>85</v>
      </c>
      <c r="V961" s="6">
        <f>IF(ISERROR(VLOOKUP($S$961,'TAR FIN'!$A$1:$O$104,15,0)),0,VLOOKUP($S$961,'TAR FIN'!$A$1:$O$104,15,0))</f>
        <v>0</v>
      </c>
      <c r="W961" s="6">
        <f>IF(ISERROR(VLOOKUP($T$961,'TAR FIN'!$A$1:$O$104,15,0)),0,VLOOKUP($T$961,'TAR FIN'!$A$1:$O$104,15,0))</f>
        <v>300.26</v>
      </c>
      <c r="X961" s="6">
        <f>IF(ISERROR(VLOOKUP($U$961,'TAR FIN'!$A$1:$O$104,15,0)),0,VLOOKUP($U$961,'TAR FIN'!$A$1:$O$104,15,0))</f>
        <v>225.04</v>
      </c>
      <c r="Y961" s="6"/>
      <c r="Z961" s="6">
        <f ca="1">('TUSD BE'!$AM$47+'TUSD BF'!$AM$47+'TUSD CVA'!$AM$47)*(1-CUSTOS!$M$38)</f>
        <v>335.21342816228281</v>
      </c>
      <c r="AA961" s="6">
        <f>('TE BE'!$AB$26+'TE BF'!$AB$26+'TE CVA'!$AB$26)*(1-CUSTOS!$M$38)</f>
        <v>227.92247399192311</v>
      </c>
      <c r="AB961" s="6">
        <f t="shared" si="44"/>
        <v>0</v>
      </c>
      <c r="AC961" s="6">
        <f>(L961-M961)*(W961+X961)+($W$672+$X$672-$W$961-$X$961)*(L961)</f>
        <v>8463.2901329999986</v>
      </c>
      <c r="AD961" s="6">
        <f t="shared" si="45"/>
        <v>0</v>
      </c>
      <c r="AE961" s="6">
        <f ca="1">(L961-M961)*(Z961+AA961)+($Z$672+$AA$672-$Z$961-$AA$961)*(L961)</f>
        <v>8313.4922909110155</v>
      </c>
      <c r="AF961" s="4" t="s">
        <v>1001</v>
      </c>
    </row>
    <row r="962" spans="1:32" ht="11.25" customHeight="1" x14ac:dyDescent="0.25">
      <c r="A962" s="4" t="s">
        <v>21</v>
      </c>
      <c r="B962" s="4" t="s">
        <v>44</v>
      </c>
      <c r="C962" s="4" t="s">
        <v>23</v>
      </c>
      <c r="D962" s="4" t="s">
        <v>45</v>
      </c>
      <c r="E962" s="4" t="s">
        <v>25</v>
      </c>
      <c r="F962" s="4" t="s">
        <v>25</v>
      </c>
      <c r="G962" s="4" t="s">
        <v>25</v>
      </c>
      <c r="H962" s="4" t="s">
        <v>25</v>
      </c>
      <c r="I962" s="5">
        <v>44409</v>
      </c>
      <c r="J962" s="6">
        <v>0</v>
      </c>
      <c r="K962" s="6">
        <v>0</v>
      </c>
      <c r="L962" s="6">
        <v>15716.521000000001</v>
      </c>
      <c r="M962" s="6">
        <v>15716.521000000001</v>
      </c>
      <c r="N962" s="6">
        <v>15716.521000000001</v>
      </c>
      <c r="O962" s="6">
        <v>15716.521000000001</v>
      </c>
      <c r="P962" s="6">
        <v>125140</v>
      </c>
      <c r="Q962" s="4" t="s">
        <v>26</v>
      </c>
      <c r="R962" s="4">
        <v>0</v>
      </c>
      <c r="S962" s="4">
        <v>0</v>
      </c>
      <c r="T962" s="4">
        <v>27</v>
      </c>
      <c r="U962" s="4">
        <v>85</v>
      </c>
      <c r="V962" s="6">
        <f>IF(ISERROR(VLOOKUP($S$962,'TAR FIN'!$A$1:$O$104,15,0)),0,VLOOKUP($S$962,'TAR FIN'!$A$1:$O$104,15,0))</f>
        <v>0</v>
      </c>
      <c r="W962" s="6">
        <f>IF(ISERROR(VLOOKUP($T$962,'TAR FIN'!$A$1:$O$104,15,0)),0,VLOOKUP($T$962,'TAR FIN'!$A$1:$O$104,15,0))</f>
        <v>300.26</v>
      </c>
      <c r="X962" s="6">
        <f>IF(ISERROR(VLOOKUP($U$962,'TAR FIN'!$A$1:$O$104,15,0)),0,VLOOKUP($U$962,'TAR FIN'!$A$1:$O$104,15,0))</f>
        <v>225.04</v>
      </c>
      <c r="Y962" s="6"/>
      <c r="Z962" s="6">
        <f ca="1">('TUSD BE'!$AM$47+'TUSD BF'!$AM$47+'TUSD CVA'!$AM$47)*(1-CUSTOS!$M$38)</f>
        <v>335.21342816228281</v>
      </c>
      <c r="AA962" s="6">
        <f>('TE BE'!$AB$26+'TE BF'!$AB$26+'TE CVA'!$AB$26)*(1-CUSTOS!$M$38)</f>
        <v>227.92247399192311</v>
      </c>
      <c r="AB962" s="6">
        <f t="shared" ref="AB962:AB1004" si="46">(J962-K962)*V962</f>
        <v>0</v>
      </c>
      <c r="AC962" s="6">
        <f>(L962-M962)*(W962+X962)+($W$672+$X$672-$W$962-$X$962)*(L962)</f>
        <v>1125617.2340199996</v>
      </c>
      <c r="AD962" s="6">
        <f t="shared" ref="AD962:AD1004" si="47">(J962-K962)*Y962</f>
        <v>0</v>
      </c>
      <c r="AE962" s="6">
        <f ca="1">(L962-M962)*(Z962+AA962)+($Z$672+$AA$672-$Z$962-$AA$962)*(L962)</f>
        <v>564927.90842939692</v>
      </c>
      <c r="AF962" s="4" t="s">
        <v>998</v>
      </c>
    </row>
    <row r="963" spans="1:32" ht="11.25" customHeight="1" x14ac:dyDescent="0.25">
      <c r="A963" s="4" t="s">
        <v>27</v>
      </c>
      <c r="B963" s="4" t="s">
        <v>44</v>
      </c>
      <c r="C963" s="4" t="s">
        <v>23</v>
      </c>
      <c r="D963" s="4" t="s">
        <v>45</v>
      </c>
      <c r="E963" s="4" t="s">
        <v>25</v>
      </c>
      <c r="F963" s="4" t="s">
        <v>25</v>
      </c>
      <c r="G963" s="4" t="s">
        <v>25</v>
      </c>
      <c r="H963" s="4" t="s">
        <v>25</v>
      </c>
      <c r="I963" s="5">
        <v>44409</v>
      </c>
      <c r="J963" s="6">
        <v>0</v>
      </c>
      <c r="K963" s="6">
        <v>0</v>
      </c>
      <c r="L963" s="6">
        <v>-23.651</v>
      </c>
      <c r="M963" s="6">
        <v>-23.651</v>
      </c>
      <c r="N963" s="6">
        <v>-23.651</v>
      </c>
      <c r="O963" s="6">
        <v>-23.651</v>
      </c>
      <c r="P963" s="6">
        <v>-158</v>
      </c>
      <c r="Q963" s="4" t="s">
        <v>26</v>
      </c>
      <c r="R963" s="4">
        <v>0</v>
      </c>
      <c r="S963" s="4">
        <v>0</v>
      </c>
      <c r="T963" s="4">
        <v>27</v>
      </c>
      <c r="U963" s="4">
        <v>85</v>
      </c>
      <c r="V963" s="6">
        <f>IF(ISERROR(VLOOKUP($S$963,'TAR FIN'!$A$1:$O$104,15,0)),0,VLOOKUP($S$963,'TAR FIN'!$A$1:$O$104,15,0))</f>
        <v>0</v>
      </c>
      <c r="W963" s="6">
        <f>IF(ISERROR(VLOOKUP($T$963,'TAR FIN'!$A$1:$O$104,15,0)),0,VLOOKUP($T$963,'TAR FIN'!$A$1:$O$104,15,0))</f>
        <v>300.26</v>
      </c>
      <c r="X963" s="6">
        <f>IF(ISERROR(VLOOKUP($U$963,'TAR FIN'!$A$1:$O$104,15,0)),0,VLOOKUP($U$963,'TAR FIN'!$A$1:$O$104,15,0))</f>
        <v>225.04</v>
      </c>
      <c r="Y963" s="6"/>
      <c r="Z963" s="6">
        <f ca="1">('TUSD BE'!$AM$47+'TUSD BF'!$AM$47+'TUSD CVA'!$AM$47)*(1-CUSTOS!$M$38)</f>
        <v>335.21342816228281</v>
      </c>
      <c r="AA963" s="6">
        <f>('TE BE'!$AB$26+'TE BF'!$AB$26+'TE CVA'!$AB$26)*(1-CUSTOS!$M$38)</f>
        <v>227.92247399192311</v>
      </c>
      <c r="AB963" s="6">
        <f t="shared" si="46"/>
        <v>0</v>
      </c>
      <c r="AC963" s="6">
        <f>(L963-M963)*(W963+X963)+($W$672+$X$672-$W$963-$X$963)*(L963)</f>
        <v>-1693.8846199999994</v>
      </c>
      <c r="AD963" s="6">
        <f t="shared" si="47"/>
        <v>0</v>
      </c>
      <c r="AE963" s="6">
        <f ca="1">(L963-M963)*(Z963+AA963)+($Z$672+$AA$672-$Z$963-$AA$963)*(L963)</f>
        <v>-850.13152479888299</v>
      </c>
      <c r="AF963" s="4" t="s">
        <v>998</v>
      </c>
    </row>
    <row r="964" spans="1:32" ht="11.25" customHeight="1" x14ac:dyDescent="0.25">
      <c r="A964" s="4" t="s">
        <v>28</v>
      </c>
      <c r="B964" s="4" t="s">
        <v>44</v>
      </c>
      <c r="C964" s="4" t="s">
        <v>23</v>
      </c>
      <c r="D964" s="4" t="s">
        <v>45</v>
      </c>
      <c r="E964" s="4" t="s">
        <v>25</v>
      </c>
      <c r="F964" s="4" t="s">
        <v>25</v>
      </c>
      <c r="G964" s="4" t="s">
        <v>25</v>
      </c>
      <c r="H964" s="4" t="s">
        <v>25</v>
      </c>
      <c r="I964" s="5">
        <v>44409</v>
      </c>
      <c r="J964" s="6">
        <v>0</v>
      </c>
      <c r="K964" s="6">
        <v>0</v>
      </c>
      <c r="L964" s="6">
        <v>240.501</v>
      </c>
      <c r="M964" s="6">
        <v>240.501</v>
      </c>
      <c r="N964" s="6">
        <v>240.501</v>
      </c>
      <c r="O964" s="6">
        <v>240.501</v>
      </c>
      <c r="P964" s="6">
        <v>816</v>
      </c>
      <c r="Q964" s="4" t="s">
        <v>26</v>
      </c>
      <c r="R964" s="4">
        <v>0</v>
      </c>
      <c r="S964" s="4">
        <v>0</v>
      </c>
      <c r="T964" s="4">
        <v>27</v>
      </c>
      <c r="U964" s="4">
        <v>85</v>
      </c>
      <c r="V964" s="6">
        <f>IF(ISERROR(VLOOKUP($S$964,'TAR FIN'!$A$1:$O$104,15,0)),0,VLOOKUP($S$964,'TAR FIN'!$A$1:$O$104,15,0))</f>
        <v>0</v>
      </c>
      <c r="W964" s="6">
        <f>IF(ISERROR(VLOOKUP($T$964,'TAR FIN'!$A$1:$O$104,15,0)),0,VLOOKUP($T$964,'TAR FIN'!$A$1:$O$104,15,0))</f>
        <v>300.26</v>
      </c>
      <c r="X964" s="6">
        <f>IF(ISERROR(VLOOKUP($U$964,'TAR FIN'!$A$1:$O$104,15,0)),0,VLOOKUP($U$964,'TAR FIN'!$A$1:$O$104,15,0))</f>
        <v>225.04</v>
      </c>
      <c r="Y964" s="6"/>
      <c r="Z964" s="6">
        <f ca="1">('TUSD BE'!$AM$47+'TUSD BF'!$AM$47+'TUSD CVA'!$AM$47)*(1-CUSTOS!$M$38)</f>
        <v>335.21342816228281</v>
      </c>
      <c r="AA964" s="6">
        <f>('TE BE'!$AB$26+'TE BF'!$AB$26+'TE CVA'!$AB$26)*(1-CUSTOS!$M$38)</f>
        <v>227.92247399192311</v>
      </c>
      <c r="AB964" s="6">
        <f t="shared" si="46"/>
        <v>0</v>
      </c>
      <c r="AC964" s="6">
        <f>(L964-M964)*(W964+X964)+($W$672+$X$672-$W$964-$X$964)*(L964)</f>
        <v>17224.681619999996</v>
      </c>
      <c r="AD964" s="6">
        <f t="shared" si="47"/>
        <v>0</v>
      </c>
      <c r="AE964" s="6">
        <f ca="1">(L964-M964)*(Z964+AA964)+($Z$672+$AA$672-$Z$964-$AA$964)*(L964)</f>
        <v>8644.7711236588802</v>
      </c>
      <c r="AF964" s="4" t="s">
        <v>998</v>
      </c>
    </row>
    <row r="965" spans="1:32" ht="11.25" customHeight="1" x14ac:dyDescent="0.25">
      <c r="A965" s="4" t="s">
        <v>21</v>
      </c>
      <c r="B965" s="4" t="s">
        <v>44</v>
      </c>
      <c r="C965" s="4" t="s">
        <v>23</v>
      </c>
      <c r="D965" s="4" t="s">
        <v>45</v>
      </c>
      <c r="E965" s="4" t="s">
        <v>25</v>
      </c>
      <c r="F965" s="4" t="s">
        <v>25</v>
      </c>
      <c r="G965" s="4" t="s">
        <v>25</v>
      </c>
      <c r="H965" s="4" t="s">
        <v>25</v>
      </c>
      <c r="I965" s="5">
        <v>44440</v>
      </c>
      <c r="J965" s="6">
        <v>0</v>
      </c>
      <c r="K965" s="6">
        <v>0</v>
      </c>
      <c r="L965" s="6">
        <v>15689.016</v>
      </c>
      <c r="M965" s="6">
        <v>15689.016</v>
      </c>
      <c r="N965" s="6">
        <v>15689.016</v>
      </c>
      <c r="O965" s="6">
        <v>15689.016</v>
      </c>
      <c r="P965" s="6">
        <v>124857</v>
      </c>
      <c r="Q965" s="4" t="s">
        <v>26</v>
      </c>
      <c r="R965" s="4">
        <v>0</v>
      </c>
      <c r="S965" s="4">
        <v>0</v>
      </c>
      <c r="T965" s="4">
        <v>27</v>
      </c>
      <c r="U965" s="4">
        <v>85</v>
      </c>
      <c r="V965" s="6">
        <f>IF(ISERROR(VLOOKUP($S$965,'TAR FIN'!$A$1:$O$104,15,0)),0,VLOOKUP($S$965,'TAR FIN'!$A$1:$O$104,15,0))</f>
        <v>0</v>
      </c>
      <c r="W965" s="6">
        <f>IF(ISERROR(VLOOKUP($T$965,'TAR FIN'!$A$1:$O$104,15,0)),0,VLOOKUP($T$965,'TAR FIN'!$A$1:$O$104,15,0))</f>
        <v>300.26</v>
      </c>
      <c r="X965" s="6">
        <f>IF(ISERROR(VLOOKUP($U$965,'TAR FIN'!$A$1:$O$104,15,0)),0,VLOOKUP($U$965,'TAR FIN'!$A$1:$O$104,15,0))</f>
        <v>225.04</v>
      </c>
      <c r="Y965" s="6"/>
      <c r="Z965" s="6">
        <f ca="1">('TUSD BE'!$AM$47+'TUSD BF'!$AM$47+'TUSD CVA'!$AM$47)*(1-CUSTOS!$M$38)</f>
        <v>335.21342816228281</v>
      </c>
      <c r="AA965" s="6">
        <f>('TE BE'!$AB$26+'TE BF'!$AB$26+'TE CVA'!$AB$26)*(1-CUSTOS!$M$38)</f>
        <v>227.92247399192311</v>
      </c>
      <c r="AB965" s="6">
        <f t="shared" si="46"/>
        <v>0</v>
      </c>
      <c r="AC965" s="6">
        <f>(L965-M965)*(W965+X965)+($W$672+$X$672-$W$965-$X$965)*(L965)</f>
        <v>1123647.3259199995</v>
      </c>
      <c r="AD965" s="6">
        <f t="shared" si="47"/>
        <v>0</v>
      </c>
      <c r="AE965" s="6">
        <f ca="1">(L965-M965)*(Z965+AA965)+($Z$672+$AA$672-$Z$965-$AA$965)*(L965)</f>
        <v>563939.24547266809</v>
      </c>
      <c r="AF965" s="4" t="s">
        <v>998</v>
      </c>
    </row>
    <row r="966" spans="1:32" ht="11.25" customHeight="1" x14ac:dyDescent="0.25">
      <c r="A966" s="4" t="s">
        <v>27</v>
      </c>
      <c r="B966" s="4" t="s">
        <v>44</v>
      </c>
      <c r="C966" s="4" t="s">
        <v>23</v>
      </c>
      <c r="D966" s="4" t="s">
        <v>45</v>
      </c>
      <c r="E966" s="4" t="s">
        <v>25</v>
      </c>
      <c r="F966" s="4" t="s">
        <v>25</v>
      </c>
      <c r="G966" s="4" t="s">
        <v>25</v>
      </c>
      <c r="H966" s="4" t="s">
        <v>25</v>
      </c>
      <c r="I966" s="5">
        <v>44440</v>
      </c>
      <c r="J966" s="6">
        <v>0</v>
      </c>
      <c r="K966" s="6">
        <v>0</v>
      </c>
      <c r="L966" s="6">
        <v>-2.9239999999999999</v>
      </c>
      <c r="M966" s="6">
        <v>-2.9239999999999999</v>
      </c>
      <c r="N966" s="6">
        <v>-2.9239999999999999</v>
      </c>
      <c r="O966" s="6">
        <v>-2.9239999999999999</v>
      </c>
      <c r="P966" s="6">
        <v>-6</v>
      </c>
      <c r="Q966" s="4" t="s">
        <v>26</v>
      </c>
      <c r="R966" s="4">
        <v>0</v>
      </c>
      <c r="S966" s="4">
        <v>0</v>
      </c>
      <c r="T966" s="4">
        <v>27</v>
      </c>
      <c r="U966" s="4">
        <v>85</v>
      </c>
      <c r="V966" s="6">
        <f>IF(ISERROR(VLOOKUP($S$966,'TAR FIN'!$A$1:$O$104,15,0)),0,VLOOKUP($S$966,'TAR FIN'!$A$1:$O$104,15,0))</f>
        <v>0</v>
      </c>
      <c r="W966" s="6">
        <f>IF(ISERROR(VLOOKUP($T$966,'TAR FIN'!$A$1:$O$104,15,0)),0,VLOOKUP($T$966,'TAR FIN'!$A$1:$O$104,15,0))</f>
        <v>300.26</v>
      </c>
      <c r="X966" s="6">
        <f>IF(ISERROR(VLOOKUP($U$966,'TAR FIN'!$A$1:$O$104,15,0)),0,VLOOKUP($U$966,'TAR FIN'!$A$1:$O$104,15,0))</f>
        <v>225.04</v>
      </c>
      <c r="Y966" s="6"/>
      <c r="Z966" s="6">
        <f ca="1">('TUSD BE'!$AM$47+'TUSD BF'!$AM$47+'TUSD CVA'!$AM$47)*(1-CUSTOS!$M$38)</f>
        <v>335.21342816228281</v>
      </c>
      <c r="AA966" s="6">
        <f>('TE BE'!$AB$26+'TE BF'!$AB$26+'TE CVA'!$AB$26)*(1-CUSTOS!$M$38)</f>
        <v>227.92247399192311</v>
      </c>
      <c r="AB966" s="6">
        <f t="shared" si="46"/>
        <v>0</v>
      </c>
      <c r="AC966" s="6">
        <f>(L966-M966)*(W966+X966)+($W$672+$X$672-$W$966-$X$966)*(L966)</f>
        <v>-209.41687999999994</v>
      </c>
      <c r="AD966" s="6">
        <f t="shared" si="47"/>
        <v>0</v>
      </c>
      <c r="AE966" s="6">
        <f ca="1">(L966-M966)*(Z966+AA966)+($Z$672+$AA$672-$Z$966-$AA$966)*(L966)</f>
        <v>-105.10272624886618</v>
      </c>
      <c r="AF966" s="4" t="s">
        <v>998</v>
      </c>
    </row>
    <row r="967" spans="1:32" ht="11.25" customHeight="1" x14ac:dyDescent="0.25">
      <c r="A967" s="4" t="s">
        <v>28</v>
      </c>
      <c r="B967" s="4" t="s">
        <v>44</v>
      </c>
      <c r="C967" s="4" t="s">
        <v>23</v>
      </c>
      <c r="D967" s="4" t="s">
        <v>45</v>
      </c>
      <c r="E967" s="4" t="s">
        <v>25</v>
      </c>
      <c r="F967" s="4" t="s">
        <v>25</v>
      </c>
      <c r="G967" s="4" t="s">
        <v>25</v>
      </c>
      <c r="H967" s="4" t="s">
        <v>25</v>
      </c>
      <c r="I967" s="5">
        <v>44440</v>
      </c>
      <c r="J967" s="6">
        <v>0</v>
      </c>
      <c r="K967" s="6">
        <v>0</v>
      </c>
      <c r="L967" s="6">
        <v>307.24799999999999</v>
      </c>
      <c r="M967" s="6">
        <v>307.24799999999999</v>
      </c>
      <c r="N967" s="6">
        <v>307.24799999999999</v>
      </c>
      <c r="O967" s="6">
        <v>307.24799999999999</v>
      </c>
      <c r="P967" s="6">
        <v>861</v>
      </c>
      <c r="Q967" s="4" t="s">
        <v>26</v>
      </c>
      <c r="R967" s="4">
        <v>0</v>
      </c>
      <c r="S967" s="4">
        <v>0</v>
      </c>
      <c r="T967" s="4">
        <v>27</v>
      </c>
      <c r="U967" s="4">
        <v>85</v>
      </c>
      <c r="V967" s="6">
        <f>IF(ISERROR(VLOOKUP($S$967,'TAR FIN'!$A$1:$O$104,15,0)),0,VLOOKUP($S$967,'TAR FIN'!$A$1:$O$104,15,0))</f>
        <v>0</v>
      </c>
      <c r="W967" s="6">
        <f>IF(ISERROR(VLOOKUP($T$967,'TAR FIN'!$A$1:$O$104,15,0)),0,VLOOKUP($T$967,'TAR FIN'!$A$1:$O$104,15,0))</f>
        <v>300.26</v>
      </c>
      <c r="X967" s="6">
        <f>IF(ISERROR(VLOOKUP($U$967,'TAR FIN'!$A$1:$O$104,15,0)),0,VLOOKUP($U$967,'TAR FIN'!$A$1:$O$104,15,0))</f>
        <v>225.04</v>
      </c>
      <c r="Y967" s="6"/>
      <c r="Z967" s="6">
        <f ca="1">('TUSD BE'!$AM$47+'TUSD BF'!$AM$47+'TUSD CVA'!$AM$47)*(1-CUSTOS!$M$38)</f>
        <v>335.21342816228281</v>
      </c>
      <c r="AA967" s="6">
        <f>('TE BE'!$AB$26+'TE BF'!$AB$26+'TE CVA'!$AB$26)*(1-CUSTOS!$M$38)</f>
        <v>227.92247399192311</v>
      </c>
      <c r="AB967" s="6">
        <f t="shared" si="46"/>
        <v>0</v>
      </c>
      <c r="AC967" s="6">
        <f>(L967-M967)*(W967+X967)+($W$672+$X$672-$W$967-$X$967)*(L967)</f>
        <v>22005.10175999999</v>
      </c>
      <c r="AD967" s="6">
        <f t="shared" si="47"/>
        <v>0</v>
      </c>
      <c r="AE967" s="6">
        <f ca="1">(L967-M967)*(Z967+AA967)+($Z$672+$AA$672-$Z$967-$AA$967)*(L967)</f>
        <v>11043.981680749534</v>
      </c>
      <c r="AF967" s="4" t="s">
        <v>998</v>
      </c>
    </row>
    <row r="968" spans="1:32" ht="11.25" customHeight="1" x14ac:dyDescent="0.25">
      <c r="A968" s="4" t="s">
        <v>28</v>
      </c>
      <c r="B968" s="4" t="s">
        <v>44</v>
      </c>
      <c r="C968" s="4" t="s">
        <v>23</v>
      </c>
      <c r="D968" s="4" t="s">
        <v>45</v>
      </c>
      <c r="E968" s="4" t="s">
        <v>25</v>
      </c>
      <c r="F968" s="4" t="s">
        <v>25</v>
      </c>
      <c r="G968" s="4" t="s">
        <v>25</v>
      </c>
      <c r="H968" s="4" t="s">
        <v>25</v>
      </c>
      <c r="I968" s="5">
        <v>44440</v>
      </c>
      <c r="J968" s="6">
        <v>0</v>
      </c>
      <c r="K968" s="6">
        <v>0</v>
      </c>
      <c r="L968" s="6">
        <v>-0.32400000000000001</v>
      </c>
      <c r="M968" s="6">
        <v>-0.32400000000000001</v>
      </c>
      <c r="N968" s="6">
        <v>-0.32400000000000001</v>
      </c>
      <c r="O968" s="6">
        <v>-0.32400000000000001</v>
      </c>
      <c r="P968" s="6">
        <v>0</v>
      </c>
      <c r="Q968" s="4" t="s">
        <v>26</v>
      </c>
      <c r="R968" s="4">
        <v>0</v>
      </c>
      <c r="S968" s="4">
        <v>0</v>
      </c>
      <c r="T968" s="4">
        <v>27</v>
      </c>
      <c r="U968" s="4">
        <v>85</v>
      </c>
      <c r="V968" s="6">
        <f>IF(ISERROR(VLOOKUP($S$968,'TAR FIN'!$A$1:$O$104,15,0)),0,VLOOKUP($S$968,'TAR FIN'!$A$1:$O$104,15,0))</f>
        <v>0</v>
      </c>
      <c r="W968" s="6">
        <f>IF(ISERROR(VLOOKUP($T$968,'TAR FIN'!$A$1:$O$104,15,0)),0,VLOOKUP($T$968,'TAR FIN'!$A$1:$O$104,15,0))</f>
        <v>300.26</v>
      </c>
      <c r="X968" s="6">
        <f>IF(ISERROR(VLOOKUP($U$968,'TAR FIN'!$A$1:$O$104,15,0)),0,VLOOKUP($U$968,'TAR FIN'!$A$1:$O$104,15,0))</f>
        <v>225.04</v>
      </c>
      <c r="Y968" s="6"/>
      <c r="Z968" s="6">
        <f ca="1">('TUSD BE'!$AM$47+'TUSD BF'!$AM$47+'TUSD CVA'!$AM$47)*(1-CUSTOS!$M$38)</f>
        <v>335.21342816228281</v>
      </c>
      <c r="AA968" s="6">
        <f>('TE BE'!$AB$26+'TE BF'!$AB$26+'TE CVA'!$AB$26)*(1-CUSTOS!$M$38)</f>
        <v>227.92247399192311</v>
      </c>
      <c r="AB968" s="6">
        <f t="shared" si="46"/>
        <v>0</v>
      </c>
      <c r="AC968" s="6">
        <f>(L968-M968)*(W968+X968)+($W$672+$X$672-$W$968-$X$968)*(L968)</f>
        <v>-23.204879999999992</v>
      </c>
      <c r="AD968" s="6">
        <f t="shared" si="47"/>
        <v>0</v>
      </c>
      <c r="AE968" s="6">
        <f ca="1">(L968-M968)*(Z968+AA968)+($Z$672+$AA$672-$Z$968-$AA$968)*(L968)</f>
        <v>-11.646129721146595</v>
      </c>
      <c r="AF968" s="4" t="s">
        <v>998</v>
      </c>
    </row>
    <row r="969" spans="1:32" ht="11.25" customHeight="1" x14ac:dyDescent="0.25">
      <c r="A969" s="4" t="s">
        <v>21</v>
      </c>
      <c r="B969" s="4" t="s">
        <v>44</v>
      </c>
      <c r="C969" s="4" t="s">
        <v>23</v>
      </c>
      <c r="D969" s="4" t="s">
        <v>45</v>
      </c>
      <c r="E969" s="4" t="s">
        <v>25</v>
      </c>
      <c r="F969" s="4" t="s">
        <v>25</v>
      </c>
      <c r="G969" s="4" t="s">
        <v>25</v>
      </c>
      <c r="H969" s="4" t="s">
        <v>25</v>
      </c>
      <c r="I969" s="5">
        <v>44470</v>
      </c>
      <c r="J969" s="6">
        <v>0</v>
      </c>
      <c r="K969" s="6">
        <v>0</v>
      </c>
      <c r="L969" s="6">
        <v>16650.550999999999</v>
      </c>
      <c r="M969" s="6">
        <v>16650.550999999999</v>
      </c>
      <c r="N969" s="6">
        <v>16650.550999999999</v>
      </c>
      <c r="O969" s="6">
        <v>16650.550999999999</v>
      </c>
      <c r="P969" s="6">
        <v>124363</v>
      </c>
      <c r="Q969" s="4" t="s">
        <v>26</v>
      </c>
      <c r="R969" s="4">
        <v>0</v>
      </c>
      <c r="S969" s="4">
        <v>0</v>
      </c>
      <c r="T969" s="4">
        <v>27</v>
      </c>
      <c r="U969" s="4">
        <v>85</v>
      </c>
      <c r="V969" s="6">
        <f>IF(ISERROR(VLOOKUP($S$969,'TAR FIN'!$A$1:$O$104,15,0)),0,VLOOKUP($S$969,'TAR FIN'!$A$1:$O$104,15,0))</f>
        <v>0</v>
      </c>
      <c r="W969" s="6">
        <f>IF(ISERROR(VLOOKUP($T$969,'TAR FIN'!$A$1:$O$104,15,0)),0,VLOOKUP($T$969,'TAR FIN'!$A$1:$O$104,15,0))</f>
        <v>300.26</v>
      </c>
      <c r="X969" s="6">
        <f>IF(ISERROR(VLOOKUP($U$969,'TAR FIN'!$A$1:$O$104,15,0)),0,VLOOKUP($U$969,'TAR FIN'!$A$1:$O$104,15,0))</f>
        <v>225.04</v>
      </c>
      <c r="Y969" s="6"/>
      <c r="Z969" s="6">
        <f ca="1">('TUSD BE'!$AM$47+'TUSD BF'!$AM$47+'TUSD CVA'!$AM$47)*(1-CUSTOS!$M$38)</f>
        <v>335.21342816228281</v>
      </c>
      <c r="AA969" s="6">
        <f>('TE BE'!$AB$26+'TE BF'!$AB$26+'TE CVA'!$AB$26)*(1-CUSTOS!$M$38)</f>
        <v>227.92247399192311</v>
      </c>
      <c r="AB969" s="6">
        <f t="shared" si="46"/>
        <v>0</v>
      </c>
      <c r="AC969" s="6">
        <f>(L969-M969)*(W969+X969)+($W$672+$X$672-$W$969-$X$969)*(L969)</f>
        <v>1192512.4626199997</v>
      </c>
      <c r="AD969" s="6">
        <f t="shared" si="47"/>
        <v>0</v>
      </c>
      <c r="AE969" s="6">
        <f ca="1">(L969-M969)*(Z969+AA969)+($Z$672+$AA$672-$Z$969-$AA$969)*(L969)</f>
        <v>598501.47183508379</v>
      </c>
      <c r="AF969" s="4" t="s">
        <v>998</v>
      </c>
    </row>
    <row r="970" spans="1:32" ht="11.25" customHeight="1" x14ac:dyDescent="0.25">
      <c r="A970" s="4" t="s">
        <v>27</v>
      </c>
      <c r="B970" s="4" t="s">
        <v>44</v>
      </c>
      <c r="C970" s="4" t="s">
        <v>23</v>
      </c>
      <c r="D970" s="4" t="s">
        <v>45</v>
      </c>
      <c r="E970" s="4" t="s">
        <v>25</v>
      </c>
      <c r="F970" s="4" t="s">
        <v>25</v>
      </c>
      <c r="G970" s="4" t="s">
        <v>25</v>
      </c>
      <c r="H970" s="4" t="s">
        <v>25</v>
      </c>
      <c r="I970" s="5">
        <v>44470</v>
      </c>
      <c r="J970" s="6">
        <v>0</v>
      </c>
      <c r="K970" s="6">
        <v>0</v>
      </c>
      <c r="L970" s="6">
        <v>-62.281999999999996</v>
      </c>
      <c r="M970" s="6">
        <v>-62.281999999999996</v>
      </c>
      <c r="N970" s="6">
        <v>-62.281999999999996</v>
      </c>
      <c r="O970" s="6">
        <v>-62.281999999999996</v>
      </c>
      <c r="P970" s="6">
        <v>-9</v>
      </c>
      <c r="Q970" s="4" t="s">
        <v>26</v>
      </c>
      <c r="R970" s="4">
        <v>0</v>
      </c>
      <c r="S970" s="4">
        <v>0</v>
      </c>
      <c r="T970" s="4">
        <v>27</v>
      </c>
      <c r="U970" s="4">
        <v>85</v>
      </c>
      <c r="V970" s="6">
        <f>IF(ISERROR(VLOOKUP($S$970,'TAR FIN'!$A$1:$O$104,15,0)),0,VLOOKUP($S$970,'TAR FIN'!$A$1:$O$104,15,0))</f>
        <v>0</v>
      </c>
      <c r="W970" s="6">
        <f>IF(ISERROR(VLOOKUP($T$970,'TAR FIN'!$A$1:$O$104,15,0)),0,VLOOKUP($T$970,'TAR FIN'!$A$1:$O$104,15,0))</f>
        <v>300.26</v>
      </c>
      <c r="X970" s="6">
        <f>IF(ISERROR(VLOOKUP($U$970,'TAR FIN'!$A$1:$O$104,15,0)),0,VLOOKUP($U$970,'TAR FIN'!$A$1:$O$104,15,0))</f>
        <v>225.04</v>
      </c>
      <c r="Y970" s="6"/>
      <c r="Z970" s="6">
        <f ca="1">('TUSD BE'!$AM$47+'TUSD BF'!$AM$47+'TUSD CVA'!$AM$47)*(1-CUSTOS!$M$38)</f>
        <v>335.21342816228281</v>
      </c>
      <c r="AA970" s="6">
        <f>('TE BE'!$AB$26+'TE BF'!$AB$26+'TE CVA'!$AB$26)*(1-CUSTOS!$M$38)</f>
        <v>227.92247399192311</v>
      </c>
      <c r="AB970" s="6">
        <f t="shared" si="46"/>
        <v>0</v>
      </c>
      <c r="AC970" s="6">
        <f>(L970-M970)*(W970+X970)+($W$672+$X$672-$W$970-$X$970)*(L970)</f>
        <v>-4460.6368399999983</v>
      </c>
      <c r="AD970" s="6">
        <f t="shared" si="47"/>
        <v>0</v>
      </c>
      <c r="AE970" s="6">
        <f ca="1">(L970-M970)*(Z970+AA970)+($Z$672+$AA$672-$Z$970-$AA$970)*(L970)</f>
        <v>-2238.7168249767042</v>
      </c>
      <c r="AF970" s="4" t="s">
        <v>998</v>
      </c>
    </row>
    <row r="971" spans="1:32" ht="11.25" customHeight="1" x14ac:dyDescent="0.25">
      <c r="A971" s="4" t="s">
        <v>28</v>
      </c>
      <c r="B971" s="4" t="s">
        <v>44</v>
      </c>
      <c r="C971" s="4" t="s">
        <v>23</v>
      </c>
      <c r="D971" s="4" t="s">
        <v>45</v>
      </c>
      <c r="E971" s="4" t="s">
        <v>25</v>
      </c>
      <c r="F971" s="4" t="s">
        <v>25</v>
      </c>
      <c r="G971" s="4" t="s">
        <v>25</v>
      </c>
      <c r="H971" s="4" t="s">
        <v>25</v>
      </c>
      <c r="I971" s="5">
        <v>44470</v>
      </c>
      <c r="J971" s="6">
        <v>0</v>
      </c>
      <c r="K971" s="6">
        <v>0</v>
      </c>
      <c r="L971" s="6">
        <v>309.358</v>
      </c>
      <c r="M971" s="6">
        <v>309.358</v>
      </c>
      <c r="N971" s="6">
        <v>309.358</v>
      </c>
      <c r="O971" s="6">
        <v>309.358</v>
      </c>
      <c r="P971" s="6">
        <v>928</v>
      </c>
      <c r="Q971" s="4" t="s">
        <v>26</v>
      </c>
      <c r="R971" s="4">
        <v>0</v>
      </c>
      <c r="S971" s="4">
        <v>0</v>
      </c>
      <c r="T971" s="4">
        <v>27</v>
      </c>
      <c r="U971" s="4">
        <v>85</v>
      </c>
      <c r="V971" s="6">
        <f>IF(ISERROR(VLOOKUP($S$971,'TAR FIN'!$A$1:$O$104,15,0)),0,VLOOKUP($S$971,'TAR FIN'!$A$1:$O$104,15,0))</f>
        <v>0</v>
      </c>
      <c r="W971" s="6">
        <f>IF(ISERROR(VLOOKUP($T$971,'TAR FIN'!$A$1:$O$104,15,0)),0,VLOOKUP($T$971,'TAR FIN'!$A$1:$O$104,15,0))</f>
        <v>300.26</v>
      </c>
      <c r="X971" s="6">
        <f>IF(ISERROR(VLOOKUP($U$971,'TAR FIN'!$A$1:$O$104,15,0)),0,VLOOKUP($U$971,'TAR FIN'!$A$1:$O$104,15,0))</f>
        <v>225.04</v>
      </c>
      <c r="Y971" s="6"/>
      <c r="Z971" s="6">
        <f ca="1">('TUSD BE'!$AM$47+'TUSD BF'!$AM$47+'TUSD CVA'!$AM$47)*(1-CUSTOS!$M$38)</f>
        <v>335.21342816228281</v>
      </c>
      <c r="AA971" s="6">
        <f>('TE BE'!$AB$26+'TE BF'!$AB$26+'TE CVA'!$AB$26)*(1-CUSTOS!$M$38)</f>
        <v>227.92247399192311</v>
      </c>
      <c r="AB971" s="6">
        <f t="shared" si="46"/>
        <v>0</v>
      </c>
      <c r="AC971" s="6">
        <f>(L971-M971)*(W971+X971)+($W$672+$X$672-$W$971-$X$971)*(L971)</f>
        <v>22156.219959999991</v>
      </c>
      <c r="AD971" s="6">
        <f t="shared" si="47"/>
        <v>0</v>
      </c>
      <c r="AE971" s="6">
        <f ca="1">(L971-M971)*(Z971+AA971)+($Z$672+$AA$672-$Z$971-$AA$971)*(L971)</f>
        <v>11119.82530331626</v>
      </c>
      <c r="AF971" s="4" t="s">
        <v>998</v>
      </c>
    </row>
    <row r="972" spans="1:32" ht="11.25" customHeight="1" x14ac:dyDescent="0.25">
      <c r="A972" s="4" t="s">
        <v>28</v>
      </c>
      <c r="B972" s="4" t="s">
        <v>44</v>
      </c>
      <c r="C972" s="4" t="s">
        <v>23</v>
      </c>
      <c r="D972" s="4" t="s">
        <v>45</v>
      </c>
      <c r="E972" s="4" t="s">
        <v>25</v>
      </c>
      <c r="F972" s="4" t="s">
        <v>25</v>
      </c>
      <c r="G972" s="4" t="s">
        <v>25</v>
      </c>
      <c r="H972" s="4" t="s">
        <v>25</v>
      </c>
      <c r="I972" s="5">
        <v>44470</v>
      </c>
      <c r="J972" s="6">
        <v>0</v>
      </c>
      <c r="K972" s="6">
        <v>0</v>
      </c>
      <c r="L972" s="6">
        <v>11.587999999999999</v>
      </c>
      <c r="M972" s="6">
        <v>11.587999999999999</v>
      </c>
      <c r="N972" s="6">
        <v>11.587999999999999</v>
      </c>
      <c r="O972" s="6">
        <v>11.587999999999999</v>
      </c>
      <c r="P972" s="6">
        <v>0</v>
      </c>
      <c r="Q972" s="4" t="s">
        <v>26</v>
      </c>
      <c r="R972" s="4">
        <v>0</v>
      </c>
      <c r="S972" s="4">
        <v>0</v>
      </c>
      <c r="T972" s="4">
        <v>27</v>
      </c>
      <c r="U972" s="4">
        <v>85</v>
      </c>
      <c r="V972" s="6">
        <f>IF(ISERROR(VLOOKUP($S$972,'TAR FIN'!$A$1:$O$104,15,0)),0,VLOOKUP($S$972,'TAR FIN'!$A$1:$O$104,15,0))</f>
        <v>0</v>
      </c>
      <c r="W972" s="6">
        <f>IF(ISERROR(VLOOKUP($T$972,'TAR FIN'!$A$1:$O$104,15,0)),0,VLOOKUP($T$972,'TAR FIN'!$A$1:$O$104,15,0))</f>
        <v>300.26</v>
      </c>
      <c r="X972" s="6">
        <f>IF(ISERROR(VLOOKUP($U$972,'TAR FIN'!$A$1:$O$104,15,0)),0,VLOOKUP($U$972,'TAR FIN'!$A$1:$O$104,15,0))</f>
        <v>225.04</v>
      </c>
      <c r="Y972" s="6"/>
      <c r="Z972" s="6">
        <f ca="1">('TUSD BE'!$AM$47+'TUSD BF'!$AM$47+'TUSD CVA'!$AM$47)*(1-CUSTOS!$M$38)</f>
        <v>335.21342816228281</v>
      </c>
      <c r="AA972" s="6">
        <f>('TE BE'!$AB$26+'TE BF'!$AB$26+'TE CVA'!$AB$26)*(1-CUSTOS!$M$38)</f>
        <v>227.92247399192311</v>
      </c>
      <c r="AB972" s="6">
        <f t="shared" si="46"/>
        <v>0</v>
      </c>
      <c r="AC972" s="6">
        <f>(L972-M972)*(W972+X972)+($W$672+$X$672-$W$972-$X$972)*(L972)</f>
        <v>829.93255999999963</v>
      </c>
      <c r="AD972" s="6">
        <f t="shared" si="47"/>
        <v>0</v>
      </c>
      <c r="AE972" s="6">
        <f ca="1">(L972-M972)*(Z972+AA972)+($Z$672+$AA$672-$Z$972-$AA$972)*(L972)</f>
        <v>416.52886175508252</v>
      </c>
      <c r="AF972" s="4" t="s">
        <v>998</v>
      </c>
    </row>
    <row r="973" spans="1:32" ht="11.25" customHeight="1" x14ac:dyDescent="0.25">
      <c r="A973" s="4" t="s">
        <v>21</v>
      </c>
      <c r="B973" s="4" t="s">
        <v>44</v>
      </c>
      <c r="C973" s="4" t="s">
        <v>23</v>
      </c>
      <c r="D973" s="4" t="s">
        <v>45</v>
      </c>
      <c r="E973" s="4" t="s">
        <v>25</v>
      </c>
      <c r="F973" s="4" t="s">
        <v>25</v>
      </c>
      <c r="G973" s="4" t="s">
        <v>25</v>
      </c>
      <c r="H973" s="4" t="s">
        <v>25</v>
      </c>
      <c r="I973" s="5">
        <v>44501</v>
      </c>
      <c r="J973" s="6">
        <v>0</v>
      </c>
      <c r="K973" s="6">
        <v>0</v>
      </c>
      <c r="L973" s="6">
        <v>16466.123</v>
      </c>
      <c r="M973" s="6">
        <v>16466.123</v>
      </c>
      <c r="N973" s="6">
        <v>16466.123</v>
      </c>
      <c r="O973" s="6">
        <v>16466.123</v>
      </c>
      <c r="P973" s="6">
        <v>123663</v>
      </c>
      <c r="Q973" s="4" t="s">
        <v>26</v>
      </c>
      <c r="R973" s="4">
        <v>0</v>
      </c>
      <c r="S973" s="4">
        <v>0</v>
      </c>
      <c r="T973" s="4">
        <v>27</v>
      </c>
      <c r="U973" s="4">
        <v>85</v>
      </c>
      <c r="V973" s="6">
        <f>IF(ISERROR(VLOOKUP($S$973,'TAR FIN'!$A$1:$O$104,15,0)),0,VLOOKUP($S$973,'TAR FIN'!$A$1:$O$104,15,0))</f>
        <v>0</v>
      </c>
      <c r="W973" s="6">
        <f>IF(ISERROR(VLOOKUP($T$973,'TAR FIN'!$A$1:$O$104,15,0)),0,VLOOKUP($T$973,'TAR FIN'!$A$1:$O$104,15,0))</f>
        <v>300.26</v>
      </c>
      <c r="X973" s="6">
        <f>IF(ISERROR(VLOOKUP($U$973,'TAR FIN'!$A$1:$O$104,15,0)),0,VLOOKUP($U$973,'TAR FIN'!$A$1:$O$104,15,0))</f>
        <v>225.04</v>
      </c>
      <c r="Y973" s="6"/>
      <c r="Z973" s="6">
        <f ca="1">('TUSD BE'!$AM$47+'TUSD BF'!$AM$47+'TUSD CVA'!$AM$47)*(1-CUSTOS!$M$38)</f>
        <v>335.21342816228281</v>
      </c>
      <c r="AA973" s="6">
        <f>('TE BE'!$AB$26+'TE BF'!$AB$26+'TE CVA'!$AB$26)*(1-CUSTOS!$M$38)</f>
        <v>227.92247399192311</v>
      </c>
      <c r="AB973" s="6">
        <f t="shared" si="46"/>
        <v>0</v>
      </c>
      <c r="AC973" s="6">
        <f>(L973-M973)*(W973+X973)+($W$672+$X$672-$W$973-$X$973)*(L973)</f>
        <v>1179303.7292599995</v>
      </c>
      <c r="AD973" s="6">
        <f t="shared" si="47"/>
        <v>0</v>
      </c>
      <c r="AE973" s="6">
        <f ca="1">(L973-M973)*(Z973+AA973)+($Z$672+$AA$672-$Z$973-$AA$973)*(L973)</f>
        <v>591872.23599492444</v>
      </c>
      <c r="AF973" s="4" t="s">
        <v>998</v>
      </c>
    </row>
    <row r="974" spans="1:32" ht="11.25" customHeight="1" x14ac:dyDescent="0.25">
      <c r="A974" s="4" t="s">
        <v>27</v>
      </c>
      <c r="B974" s="4" t="s">
        <v>44</v>
      </c>
      <c r="C974" s="4" t="s">
        <v>23</v>
      </c>
      <c r="D974" s="4" t="s">
        <v>45</v>
      </c>
      <c r="E974" s="4" t="s">
        <v>25</v>
      </c>
      <c r="F974" s="4" t="s">
        <v>25</v>
      </c>
      <c r="G974" s="4" t="s">
        <v>25</v>
      </c>
      <c r="H974" s="4" t="s">
        <v>25</v>
      </c>
      <c r="I974" s="5">
        <v>44501</v>
      </c>
      <c r="J974" s="6">
        <v>0</v>
      </c>
      <c r="K974" s="6">
        <v>0</v>
      </c>
      <c r="L974" s="6">
        <v>-38.383000000000003</v>
      </c>
      <c r="M974" s="6">
        <v>-38.383000000000003</v>
      </c>
      <c r="N974" s="6">
        <v>-38.383000000000003</v>
      </c>
      <c r="O974" s="6">
        <v>-38.383000000000003</v>
      </c>
      <c r="P974" s="6">
        <v>-51</v>
      </c>
      <c r="Q974" s="4" t="s">
        <v>26</v>
      </c>
      <c r="R974" s="4">
        <v>0</v>
      </c>
      <c r="S974" s="4">
        <v>0</v>
      </c>
      <c r="T974" s="4">
        <v>27</v>
      </c>
      <c r="U974" s="4">
        <v>85</v>
      </c>
      <c r="V974" s="6">
        <f>IF(ISERROR(VLOOKUP($S$974,'TAR FIN'!$A$1:$O$104,15,0)),0,VLOOKUP($S$974,'TAR FIN'!$A$1:$O$104,15,0))</f>
        <v>0</v>
      </c>
      <c r="W974" s="6">
        <f>IF(ISERROR(VLOOKUP($T$974,'TAR FIN'!$A$1:$O$104,15,0)),0,VLOOKUP($T$974,'TAR FIN'!$A$1:$O$104,15,0))</f>
        <v>300.26</v>
      </c>
      <c r="X974" s="6">
        <f>IF(ISERROR(VLOOKUP($U$974,'TAR FIN'!$A$1:$O$104,15,0)),0,VLOOKUP($U$974,'TAR FIN'!$A$1:$O$104,15,0))</f>
        <v>225.04</v>
      </c>
      <c r="Y974" s="6"/>
      <c r="Z974" s="6">
        <f ca="1">('TUSD BE'!$AM$47+'TUSD BF'!$AM$47+'TUSD CVA'!$AM$47)*(1-CUSTOS!$M$38)</f>
        <v>335.21342816228281</v>
      </c>
      <c r="AA974" s="6">
        <f>('TE BE'!$AB$26+'TE BF'!$AB$26+'TE CVA'!$AB$26)*(1-CUSTOS!$M$38)</f>
        <v>227.92247399192311</v>
      </c>
      <c r="AB974" s="6">
        <f t="shared" si="46"/>
        <v>0</v>
      </c>
      <c r="AC974" s="6">
        <f>(L974-M974)*(W974+X974)+($W$672+$X$672-$W$974-$X$974)*(L974)</f>
        <v>-2748.9904599999991</v>
      </c>
      <c r="AD974" s="6">
        <f t="shared" si="47"/>
        <v>0</v>
      </c>
      <c r="AE974" s="6">
        <f ca="1">(L974-M974)*(Z974+AA974)+($Z$672+$AA$672-$Z$974-$AA$974)*(L974)</f>
        <v>-1379.6709786628696</v>
      </c>
      <c r="AF974" s="4" t="s">
        <v>998</v>
      </c>
    </row>
    <row r="975" spans="1:32" ht="11.25" customHeight="1" x14ac:dyDescent="0.25">
      <c r="A975" s="4" t="s">
        <v>28</v>
      </c>
      <c r="B975" s="4" t="s">
        <v>44</v>
      </c>
      <c r="C975" s="4" t="s">
        <v>23</v>
      </c>
      <c r="D975" s="4" t="s">
        <v>45</v>
      </c>
      <c r="E975" s="4" t="s">
        <v>25</v>
      </c>
      <c r="F975" s="4" t="s">
        <v>25</v>
      </c>
      <c r="G975" s="4" t="s">
        <v>25</v>
      </c>
      <c r="H975" s="4" t="s">
        <v>25</v>
      </c>
      <c r="I975" s="5">
        <v>44501</v>
      </c>
      <c r="J975" s="6">
        <v>0</v>
      </c>
      <c r="K975" s="6">
        <v>0</v>
      </c>
      <c r="L975" s="6">
        <v>421.00200000000001</v>
      </c>
      <c r="M975" s="6">
        <v>421.00200000000001</v>
      </c>
      <c r="N975" s="6">
        <v>421.00200000000001</v>
      </c>
      <c r="O975" s="6">
        <v>421.00200000000001</v>
      </c>
      <c r="P975" s="6">
        <v>980</v>
      </c>
      <c r="Q975" s="4" t="s">
        <v>26</v>
      </c>
      <c r="R975" s="4">
        <v>0</v>
      </c>
      <c r="S975" s="4">
        <v>0</v>
      </c>
      <c r="T975" s="4">
        <v>27</v>
      </c>
      <c r="U975" s="4">
        <v>85</v>
      </c>
      <c r="V975" s="6">
        <f>IF(ISERROR(VLOOKUP($S$975,'TAR FIN'!$A$1:$O$104,15,0)),0,VLOOKUP($S$975,'TAR FIN'!$A$1:$O$104,15,0))</f>
        <v>0</v>
      </c>
      <c r="W975" s="6">
        <f>IF(ISERROR(VLOOKUP($T$975,'TAR FIN'!$A$1:$O$104,15,0)),0,VLOOKUP($T$975,'TAR FIN'!$A$1:$O$104,15,0))</f>
        <v>300.26</v>
      </c>
      <c r="X975" s="6">
        <f>IF(ISERROR(VLOOKUP($U$975,'TAR FIN'!$A$1:$O$104,15,0)),0,VLOOKUP($U$975,'TAR FIN'!$A$1:$O$104,15,0))</f>
        <v>225.04</v>
      </c>
      <c r="Y975" s="6"/>
      <c r="Z975" s="6">
        <f ca="1">('TUSD BE'!$AM$47+'TUSD BF'!$AM$47+'TUSD CVA'!$AM$47)*(1-CUSTOS!$M$38)</f>
        <v>335.21342816228281</v>
      </c>
      <c r="AA975" s="6">
        <f>('TE BE'!$AB$26+'TE BF'!$AB$26+'TE CVA'!$AB$26)*(1-CUSTOS!$M$38)</f>
        <v>227.92247399192311</v>
      </c>
      <c r="AB975" s="6">
        <f t="shared" si="46"/>
        <v>0</v>
      </c>
      <c r="AC975" s="6">
        <f>(L975-M975)*(W975+X975)+($W$672+$X$672-$W$975-$X$975)*(L975)</f>
        <v>30152.163239999991</v>
      </c>
      <c r="AD975" s="6">
        <f t="shared" si="47"/>
        <v>0</v>
      </c>
      <c r="AE975" s="6">
        <f ca="1">(L975-M975)*(Z975+AA975)+($Z$672+$AA$672-$Z$975-$AA$975)*(L975)</f>
        <v>15132.85155821654</v>
      </c>
      <c r="AF975" s="4" t="s">
        <v>998</v>
      </c>
    </row>
    <row r="976" spans="1:32" ht="11.25" customHeight="1" x14ac:dyDescent="0.25">
      <c r="A976" s="4" t="s">
        <v>28</v>
      </c>
      <c r="B976" s="4" t="s">
        <v>44</v>
      </c>
      <c r="C976" s="4" t="s">
        <v>23</v>
      </c>
      <c r="D976" s="4" t="s">
        <v>45</v>
      </c>
      <c r="E976" s="4" t="s">
        <v>25</v>
      </c>
      <c r="F976" s="4" t="s">
        <v>25</v>
      </c>
      <c r="G976" s="4" t="s">
        <v>25</v>
      </c>
      <c r="H976" s="4" t="s">
        <v>25</v>
      </c>
      <c r="I976" s="5">
        <v>44501</v>
      </c>
      <c r="J976" s="6">
        <v>0</v>
      </c>
      <c r="K976" s="6">
        <v>0</v>
      </c>
      <c r="L976" s="6">
        <v>-2.2869999999999999</v>
      </c>
      <c r="M976" s="6">
        <v>-2.2869999999999999</v>
      </c>
      <c r="N976" s="6">
        <v>-2.2869999999999999</v>
      </c>
      <c r="O976" s="6">
        <v>-2.2869999999999999</v>
      </c>
      <c r="P976" s="6">
        <v>0</v>
      </c>
      <c r="Q976" s="4" t="s">
        <v>26</v>
      </c>
      <c r="R976" s="4">
        <v>0</v>
      </c>
      <c r="S976" s="4">
        <v>0</v>
      </c>
      <c r="T976" s="4">
        <v>27</v>
      </c>
      <c r="U976" s="4">
        <v>85</v>
      </c>
      <c r="V976" s="6">
        <f>IF(ISERROR(VLOOKUP($S$976,'TAR FIN'!$A$1:$O$104,15,0)),0,VLOOKUP($S$976,'TAR FIN'!$A$1:$O$104,15,0))</f>
        <v>0</v>
      </c>
      <c r="W976" s="6">
        <f>IF(ISERROR(VLOOKUP($T$976,'TAR FIN'!$A$1:$O$104,15,0)),0,VLOOKUP($T$976,'TAR FIN'!$A$1:$O$104,15,0))</f>
        <v>300.26</v>
      </c>
      <c r="X976" s="6">
        <f>IF(ISERROR(VLOOKUP($U$976,'TAR FIN'!$A$1:$O$104,15,0)),0,VLOOKUP($U$976,'TAR FIN'!$A$1:$O$104,15,0))</f>
        <v>225.04</v>
      </c>
      <c r="Y976" s="6"/>
      <c r="Z976" s="6">
        <f ca="1">('TUSD BE'!$AM$47+'TUSD BF'!$AM$47+'TUSD CVA'!$AM$47)*(1-CUSTOS!$M$38)</f>
        <v>335.21342816228281</v>
      </c>
      <c r="AA976" s="6">
        <f>('TE BE'!$AB$26+'TE BF'!$AB$26+'TE CVA'!$AB$26)*(1-CUSTOS!$M$38)</f>
        <v>227.92247399192311</v>
      </c>
      <c r="AB976" s="6">
        <f t="shared" si="46"/>
        <v>0</v>
      </c>
      <c r="AC976" s="6">
        <f>(L976-M976)*(W976+X976)+($W$672+$X$672-$W$976-$X$976)*(L976)</f>
        <v>-163.79493999999994</v>
      </c>
      <c r="AD976" s="6">
        <f t="shared" si="47"/>
        <v>0</v>
      </c>
      <c r="AE976" s="6">
        <f ca="1">(L976-M976)*(Z976+AA976)+($Z$672+$AA$672-$Z$976-$AA$976)*(L976)</f>
        <v>-82.205860099574878</v>
      </c>
      <c r="AF976" s="4" t="s">
        <v>998</v>
      </c>
    </row>
    <row r="977" spans="1:32" ht="11.25" customHeight="1" x14ac:dyDescent="0.25">
      <c r="A977" s="4" t="s">
        <v>21</v>
      </c>
      <c r="B977" s="4" t="s">
        <v>44</v>
      </c>
      <c r="C977" s="4" t="s">
        <v>23</v>
      </c>
      <c r="D977" s="4" t="s">
        <v>45</v>
      </c>
      <c r="E977" s="4" t="s">
        <v>25</v>
      </c>
      <c r="F977" s="4" t="s">
        <v>25</v>
      </c>
      <c r="G977" s="4" t="s">
        <v>25</v>
      </c>
      <c r="H977" s="4" t="s">
        <v>25</v>
      </c>
      <c r="I977" s="5">
        <v>44531</v>
      </c>
      <c r="J977" s="6">
        <v>0</v>
      </c>
      <c r="K977" s="6">
        <v>0</v>
      </c>
      <c r="L977" s="6">
        <v>17848.134999999998</v>
      </c>
      <c r="M977" s="6">
        <v>17848.134999999998</v>
      </c>
      <c r="N977" s="6">
        <v>17848.134999999998</v>
      </c>
      <c r="O977" s="6">
        <v>17848.134999999998</v>
      </c>
      <c r="P977" s="6">
        <v>123329</v>
      </c>
      <c r="Q977" s="4" t="s">
        <v>26</v>
      </c>
      <c r="R977" s="4">
        <v>0</v>
      </c>
      <c r="S977" s="4">
        <v>0</v>
      </c>
      <c r="T977" s="4">
        <v>27</v>
      </c>
      <c r="U977" s="4">
        <v>85</v>
      </c>
      <c r="V977" s="6">
        <f>IF(ISERROR(VLOOKUP($S$977,'TAR FIN'!$A$1:$O$104,15,0)),0,VLOOKUP($S$977,'TAR FIN'!$A$1:$O$104,15,0))</f>
        <v>0</v>
      </c>
      <c r="W977" s="6">
        <f>IF(ISERROR(VLOOKUP($T$977,'TAR FIN'!$A$1:$O$104,15,0)),0,VLOOKUP($T$977,'TAR FIN'!$A$1:$O$104,15,0))</f>
        <v>300.26</v>
      </c>
      <c r="X977" s="6">
        <f>IF(ISERROR(VLOOKUP($U$977,'TAR FIN'!$A$1:$O$104,15,0)),0,VLOOKUP($U$977,'TAR FIN'!$A$1:$O$104,15,0))</f>
        <v>225.04</v>
      </c>
      <c r="Y977" s="6"/>
      <c r="Z977" s="6">
        <f ca="1">('TUSD BE'!$AM$47+'TUSD BF'!$AM$47+'TUSD CVA'!$AM$47)*(1-CUSTOS!$M$38)</f>
        <v>335.21342816228281</v>
      </c>
      <c r="AA977" s="6">
        <f>('TE BE'!$AB$26+'TE BF'!$AB$26+'TE CVA'!$AB$26)*(1-CUSTOS!$M$38)</f>
        <v>227.92247399192311</v>
      </c>
      <c r="AB977" s="6">
        <f t="shared" si="46"/>
        <v>0</v>
      </c>
      <c r="AC977" s="6">
        <f>(L977-M977)*(W977+X977)+($W$672+$X$672-$W$977-$X$977)*(L977)</f>
        <v>1278283.4286999993</v>
      </c>
      <c r="AD977" s="6">
        <f t="shared" si="47"/>
        <v>0</v>
      </c>
      <c r="AE977" s="6">
        <f ca="1">(L977-M977)*(Z977+AA977)+($Z$672+$AA$672-$Z$977-$AA$977)*(L977)</f>
        <v>641548.44287202705</v>
      </c>
      <c r="AF977" s="4" t="s">
        <v>998</v>
      </c>
    </row>
    <row r="978" spans="1:32" ht="11.25" customHeight="1" x14ac:dyDescent="0.25">
      <c r="A978" s="4" t="s">
        <v>27</v>
      </c>
      <c r="B978" s="4" t="s">
        <v>44</v>
      </c>
      <c r="C978" s="4" t="s">
        <v>23</v>
      </c>
      <c r="D978" s="4" t="s">
        <v>45</v>
      </c>
      <c r="E978" s="4" t="s">
        <v>25</v>
      </c>
      <c r="F978" s="4" t="s">
        <v>25</v>
      </c>
      <c r="G978" s="4" t="s">
        <v>25</v>
      </c>
      <c r="H978" s="4" t="s">
        <v>25</v>
      </c>
      <c r="I978" s="5">
        <v>44531</v>
      </c>
      <c r="J978" s="6">
        <v>0</v>
      </c>
      <c r="K978" s="6">
        <v>0</v>
      </c>
      <c r="L978" s="6">
        <v>-129.00700000000001</v>
      </c>
      <c r="M978" s="6">
        <v>-129.00700000000001</v>
      </c>
      <c r="N978" s="6">
        <v>-129.00700000000001</v>
      </c>
      <c r="O978" s="6">
        <v>-129.00700000000001</v>
      </c>
      <c r="P978" s="6">
        <v>-8</v>
      </c>
      <c r="Q978" s="4" t="s">
        <v>26</v>
      </c>
      <c r="R978" s="4">
        <v>0</v>
      </c>
      <c r="S978" s="4">
        <v>0</v>
      </c>
      <c r="T978" s="4">
        <v>27</v>
      </c>
      <c r="U978" s="4">
        <v>85</v>
      </c>
      <c r="V978" s="6">
        <f>IF(ISERROR(VLOOKUP($S$978,'TAR FIN'!$A$1:$O$104,15,0)),0,VLOOKUP($S$978,'TAR FIN'!$A$1:$O$104,15,0))</f>
        <v>0</v>
      </c>
      <c r="W978" s="6">
        <f>IF(ISERROR(VLOOKUP($T$978,'TAR FIN'!$A$1:$O$104,15,0)),0,VLOOKUP($T$978,'TAR FIN'!$A$1:$O$104,15,0))</f>
        <v>300.26</v>
      </c>
      <c r="X978" s="6">
        <f>IF(ISERROR(VLOOKUP($U$978,'TAR FIN'!$A$1:$O$104,15,0)),0,VLOOKUP($U$978,'TAR FIN'!$A$1:$O$104,15,0))</f>
        <v>225.04</v>
      </c>
      <c r="Y978" s="6"/>
      <c r="Z978" s="6">
        <f ca="1">('TUSD BE'!$AM$47+'TUSD BF'!$AM$47+'TUSD CVA'!$AM$47)*(1-CUSTOS!$M$38)</f>
        <v>335.21342816228281</v>
      </c>
      <c r="AA978" s="6">
        <f>('TE BE'!$AB$26+'TE BF'!$AB$26+'TE CVA'!$AB$26)*(1-CUSTOS!$M$38)</f>
        <v>227.92247399192311</v>
      </c>
      <c r="AB978" s="6">
        <f t="shared" si="46"/>
        <v>0</v>
      </c>
      <c r="AC978" s="6">
        <f>(L978-M978)*(W978+X978)+($W$672+$X$672-$W$978-$X$978)*(L978)</f>
        <v>-9239.4813399999966</v>
      </c>
      <c r="AD978" s="6">
        <f t="shared" si="47"/>
        <v>0</v>
      </c>
      <c r="AE978" s="6">
        <f ca="1">(L978-M978)*(Z978+AA978)+($Z$672+$AA$672-$Z$978-$AA$978)*(L978)</f>
        <v>-4637.1365954813546</v>
      </c>
      <c r="AF978" s="4" t="s">
        <v>998</v>
      </c>
    </row>
    <row r="979" spans="1:32" ht="11.25" customHeight="1" x14ac:dyDescent="0.25">
      <c r="A979" s="4" t="s">
        <v>28</v>
      </c>
      <c r="B979" s="4" t="s">
        <v>44</v>
      </c>
      <c r="C979" s="4" t="s">
        <v>23</v>
      </c>
      <c r="D979" s="4" t="s">
        <v>45</v>
      </c>
      <c r="E979" s="4" t="s">
        <v>25</v>
      </c>
      <c r="F979" s="4" t="s">
        <v>25</v>
      </c>
      <c r="G979" s="4" t="s">
        <v>25</v>
      </c>
      <c r="H979" s="4" t="s">
        <v>25</v>
      </c>
      <c r="I979" s="5">
        <v>44531</v>
      </c>
      <c r="J979" s="6">
        <v>0</v>
      </c>
      <c r="K979" s="6">
        <v>0</v>
      </c>
      <c r="L979" s="6">
        <v>300.54500000000002</v>
      </c>
      <c r="M979" s="6">
        <v>300.54500000000002</v>
      </c>
      <c r="N979" s="6">
        <v>300.54500000000002</v>
      </c>
      <c r="O979" s="6">
        <v>300.54500000000002</v>
      </c>
      <c r="P979" s="6">
        <v>1031</v>
      </c>
      <c r="Q979" s="4" t="s">
        <v>26</v>
      </c>
      <c r="R979" s="4">
        <v>0</v>
      </c>
      <c r="S979" s="4">
        <v>0</v>
      </c>
      <c r="T979" s="4">
        <v>27</v>
      </c>
      <c r="U979" s="4">
        <v>85</v>
      </c>
      <c r="V979" s="6">
        <f>IF(ISERROR(VLOOKUP($S$979,'TAR FIN'!$A$1:$O$104,15,0)),0,VLOOKUP($S$979,'TAR FIN'!$A$1:$O$104,15,0))</f>
        <v>0</v>
      </c>
      <c r="W979" s="6">
        <f>IF(ISERROR(VLOOKUP($T$979,'TAR FIN'!$A$1:$O$104,15,0)),0,VLOOKUP($T$979,'TAR FIN'!$A$1:$O$104,15,0))</f>
        <v>300.26</v>
      </c>
      <c r="X979" s="6">
        <f>IF(ISERROR(VLOOKUP($U$979,'TAR FIN'!$A$1:$O$104,15,0)),0,VLOOKUP($U$979,'TAR FIN'!$A$1:$O$104,15,0))</f>
        <v>225.04</v>
      </c>
      <c r="Y979" s="6"/>
      <c r="Z979" s="6">
        <f ca="1">('TUSD BE'!$AM$47+'TUSD BF'!$AM$47+'TUSD CVA'!$AM$47)*(1-CUSTOS!$M$38)</f>
        <v>335.21342816228281</v>
      </c>
      <c r="AA979" s="6">
        <f>('TE BE'!$AB$26+'TE BF'!$AB$26+'TE CVA'!$AB$26)*(1-CUSTOS!$M$38)</f>
        <v>227.92247399192311</v>
      </c>
      <c r="AB979" s="6">
        <f t="shared" si="46"/>
        <v>0</v>
      </c>
      <c r="AC979" s="6">
        <f>(L979-M979)*(W979+X979)+($W$672+$X$672-$W$979-$X$979)*(L979)</f>
        <v>21525.032899999995</v>
      </c>
      <c r="AD979" s="6">
        <f t="shared" si="47"/>
        <v>0</v>
      </c>
      <c r="AE979" s="6">
        <f ca="1">(L979-M979)*(Z979+AA979)+($Z$672+$AA$672-$Z$979-$AA$979)*(L979)</f>
        <v>10803.043385932109</v>
      </c>
      <c r="AF979" s="4" t="s">
        <v>998</v>
      </c>
    </row>
    <row r="980" spans="1:32" ht="11.25" customHeight="1" x14ac:dyDescent="0.25">
      <c r="A980" s="4" t="s">
        <v>28</v>
      </c>
      <c r="B980" s="4" t="s">
        <v>44</v>
      </c>
      <c r="C980" s="4" t="s">
        <v>23</v>
      </c>
      <c r="D980" s="4" t="s">
        <v>45</v>
      </c>
      <c r="E980" s="4" t="s">
        <v>25</v>
      </c>
      <c r="F980" s="4" t="s">
        <v>25</v>
      </c>
      <c r="G980" s="4" t="s">
        <v>25</v>
      </c>
      <c r="H980" s="4" t="s">
        <v>25</v>
      </c>
      <c r="I980" s="5">
        <v>44531</v>
      </c>
      <c r="J980" s="6">
        <v>0</v>
      </c>
      <c r="K980" s="6">
        <v>0</v>
      </c>
      <c r="L980" s="6">
        <v>-1.2589999999999999</v>
      </c>
      <c r="M980" s="6">
        <v>-1.2589999999999999</v>
      </c>
      <c r="N980" s="6">
        <v>-1.2589999999999999</v>
      </c>
      <c r="O980" s="6">
        <v>-1.2589999999999999</v>
      </c>
      <c r="P980" s="6">
        <v>-1</v>
      </c>
      <c r="Q980" s="4" t="s">
        <v>26</v>
      </c>
      <c r="R980" s="4">
        <v>0</v>
      </c>
      <c r="S980" s="4">
        <v>0</v>
      </c>
      <c r="T980" s="4">
        <v>27</v>
      </c>
      <c r="U980" s="4">
        <v>85</v>
      </c>
      <c r="V980" s="6">
        <f>IF(ISERROR(VLOOKUP($S$980,'TAR FIN'!$A$1:$O$104,15,0)),0,VLOOKUP($S$980,'TAR FIN'!$A$1:$O$104,15,0))</f>
        <v>0</v>
      </c>
      <c r="W980" s="6">
        <f>IF(ISERROR(VLOOKUP($T$980,'TAR FIN'!$A$1:$O$104,15,0)),0,VLOOKUP($T$980,'TAR FIN'!$A$1:$O$104,15,0))</f>
        <v>300.26</v>
      </c>
      <c r="X980" s="6">
        <f>IF(ISERROR(VLOOKUP($U$980,'TAR FIN'!$A$1:$O$104,15,0)),0,VLOOKUP($U$980,'TAR FIN'!$A$1:$O$104,15,0))</f>
        <v>225.04</v>
      </c>
      <c r="Y980" s="6"/>
      <c r="Z980" s="6">
        <f ca="1">('TUSD BE'!$AM$47+'TUSD BF'!$AM$47+'TUSD CVA'!$AM$47)*(1-CUSTOS!$M$38)</f>
        <v>335.21342816228281</v>
      </c>
      <c r="AA980" s="6">
        <f>('TE BE'!$AB$26+'TE BF'!$AB$26+'TE CVA'!$AB$26)*(1-CUSTOS!$M$38)</f>
        <v>227.92247399192311</v>
      </c>
      <c r="AB980" s="6">
        <f t="shared" si="46"/>
        <v>0</v>
      </c>
      <c r="AC980" s="6">
        <f>(L980-M980)*(W980+X980)+($W$672+$X$672-$W$980-$X$980)*(L980)</f>
        <v>-90.169579999999968</v>
      </c>
      <c r="AD980" s="6">
        <f t="shared" si="47"/>
        <v>0</v>
      </c>
      <c r="AE980" s="6">
        <f ca="1">(L980-M980)*(Z980+AA980)+($Z$672+$AA$672-$Z$980-$AA$980)*(L980)</f>
        <v>-45.254559626307291</v>
      </c>
      <c r="AF980" s="4" t="s">
        <v>998</v>
      </c>
    </row>
    <row r="981" spans="1:32" ht="11.25" customHeight="1" x14ac:dyDescent="0.25">
      <c r="A981" s="4" t="s">
        <v>21</v>
      </c>
      <c r="B981" s="4" t="s">
        <v>44</v>
      </c>
      <c r="C981" s="4" t="s">
        <v>23</v>
      </c>
      <c r="D981" s="4" t="s">
        <v>45</v>
      </c>
      <c r="E981" s="4" t="s">
        <v>25</v>
      </c>
      <c r="F981" s="4" t="s">
        <v>25</v>
      </c>
      <c r="G981" s="4" t="s">
        <v>25</v>
      </c>
      <c r="H981" s="4" t="s">
        <v>25</v>
      </c>
      <c r="I981" s="5">
        <v>44562</v>
      </c>
      <c r="J981" s="6">
        <v>0</v>
      </c>
      <c r="K981" s="6">
        <v>0</v>
      </c>
      <c r="L981" s="6">
        <v>15475.6</v>
      </c>
      <c r="M981" s="6">
        <v>15475.6</v>
      </c>
      <c r="N981" s="6">
        <v>15475.6</v>
      </c>
      <c r="O981" s="6">
        <v>15475.6</v>
      </c>
      <c r="P981" s="6">
        <v>122861</v>
      </c>
      <c r="Q981" s="4" t="s">
        <v>26</v>
      </c>
      <c r="R981" s="4">
        <v>0</v>
      </c>
      <c r="S981" s="4">
        <v>0</v>
      </c>
      <c r="T981" s="4">
        <v>27</v>
      </c>
      <c r="U981" s="4">
        <v>85</v>
      </c>
      <c r="V981" s="6">
        <f>IF(ISERROR(VLOOKUP($S$981,'TAR FIN'!$A$1:$O$104,15,0)),0,VLOOKUP($S$981,'TAR FIN'!$A$1:$O$104,15,0))</f>
        <v>0</v>
      </c>
      <c r="W981" s="6">
        <f>IF(ISERROR(VLOOKUP($T$981,'TAR FIN'!$A$1:$O$104,15,0)),0,VLOOKUP($T$981,'TAR FIN'!$A$1:$O$104,15,0))</f>
        <v>300.26</v>
      </c>
      <c r="X981" s="6">
        <f>IF(ISERROR(VLOOKUP($U$981,'TAR FIN'!$A$1:$O$104,15,0)),0,VLOOKUP($U$981,'TAR FIN'!$A$1:$O$104,15,0))</f>
        <v>225.04</v>
      </c>
      <c r="Y981" s="6"/>
      <c r="Z981" s="6">
        <f ca="1">('TUSD BE'!$AM$47+'TUSD BF'!$AM$47+'TUSD CVA'!$AM$47)*(1-CUSTOS!$M$38)</f>
        <v>335.21342816228281</v>
      </c>
      <c r="AA981" s="6">
        <f>('TE BE'!$AB$26+'TE BF'!$AB$26+'TE CVA'!$AB$26)*(1-CUSTOS!$M$38)</f>
        <v>227.92247399192311</v>
      </c>
      <c r="AB981" s="6">
        <f t="shared" si="46"/>
        <v>0</v>
      </c>
      <c r="AC981" s="6">
        <f>(L981-M981)*(W981+X981)+($W$672+$X$672-$W$981-$X$981)*(L981)</f>
        <v>1108362.4719999996</v>
      </c>
      <c r="AD981" s="6">
        <f t="shared" si="47"/>
        <v>0</v>
      </c>
      <c r="AE981" s="6">
        <f ca="1">(L981-M981)*(Z981+AA981)+($Z$672+$AA$672-$Z$981-$AA$981)*(L981)</f>
        <v>556268.04047091433</v>
      </c>
      <c r="AF981" s="4" t="s">
        <v>998</v>
      </c>
    </row>
    <row r="982" spans="1:32" ht="11.25" customHeight="1" x14ac:dyDescent="0.25">
      <c r="A982" s="4" t="s">
        <v>27</v>
      </c>
      <c r="B982" s="4" t="s">
        <v>44</v>
      </c>
      <c r="C982" s="4" t="s">
        <v>23</v>
      </c>
      <c r="D982" s="4" t="s">
        <v>45</v>
      </c>
      <c r="E982" s="4" t="s">
        <v>25</v>
      </c>
      <c r="F982" s="4" t="s">
        <v>25</v>
      </c>
      <c r="G982" s="4" t="s">
        <v>25</v>
      </c>
      <c r="H982" s="4" t="s">
        <v>25</v>
      </c>
      <c r="I982" s="5">
        <v>44562</v>
      </c>
      <c r="J982" s="6">
        <v>0</v>
      </c>
      <c r="K982" s="6">
        <v>0</v>
      </c>
      <c r="L982" s="6">
        <v>-99.62</v>
      </c>
      <c r="M982" s="6">
        <v>-99.62</v>
      </c>
      <c r="N982" s="6">
        <v>-99.62</v>
      </c>
      <c r="O982" s="6">
        <v>-99.62</v>
      </c>
      <c r="P982" s="6">
        <v>-15</v>
      </c>
      <c r="Q982" s="4" t="s">
        <v>26</v>
      </c>
      <c r="R982" s="4">
        <v>0</v>
      </c>
      <c r="S982" s="4">
        <v>0</v>
      </c>
      <c r="T982" s="4">
        <v>27</v>
      </c>
      <c r="U982" s="4">
        <v>85</v>
      </c>
      <c r="V982" s="6">
        <f>IF(ISERROR(VLOOKUP($S$982,'TAR FIN'!$A$1:$O$104,15,0)),0,VLOOKUP($S$982,'TAR FIN'!$A$1:$O$104,15,0))</f>
        <v>0</v>
      </c>
      <c r="W982" s="6">
        <f>IF(ISERROR(VLOOKUP($T$982,'TAR FIN'!$A$1:$O$104,15,0)),0,VLOOKUP($T$982,'TAR FIN'!$A$1:$O$104,15,0))</f>
        <v>300.26</v>
      </c>
      <c r="X982" s="6">
        <f>IF(ISERROR(VLOOKUP($U$982,'TAR FIN'!$A$1:$O$104,15,0)),0,VLOOKUP($U$982,'TAR FIN'!$A$1:$O$104,15,0))</f>
        <v>225.04</v>
      </c>
      <c r="Y982" s="6"/>
      <c r="Z982" s="6">
        <f ca="1">('TUSD BE'!$AM$47+'TUSD BF'!$AM$47+'TUSD CVA'!$AM$47)*(1-CUSTOS!$M$38)</f>
        <v>335.21342816228281</v>
      </c>
      <c r="AA982" s="6">
        <f>('TE BE'!$AB$26+'TE BF'!$AB$26+'TE CVA'!$AB$26)*(1-CUSTOS!$M$38)</f>
        <v>227.92247399192311</v>
      </c>
      <c r="AB982" s="6">
        <f t="shared" si="46"/>
        <v>0</v>
      </c>
      <c r="AC982" s="6">
        <f>(L982-M982)*(W982+X982)+($W$672+$X$672-$W$982-$X$982)*(L982)</f>
        <v>-7134.7843999999977</v>
      </c>
      <c r="AD982" s="6">
        <f t="shared" si="47"/>
        <v>0</v>
      </c>
      <c r="AE982" s="6">
        <f ca="1">(L982-M982)*(Z982+AA982)+($Z$672+$AA$672-$Z$982-$AA$982)*(L982)</f>
        <v>-3580.8254408043945</v>
      </c>
      <c r="AF982" s="4" t="s">
        <v>998</v>
      </c>
    </row>
    <row r="983" spans="1:32" ht="11.25" customHeight="1" x14ac:dyDescent="0.25">
      <c r="A983" s="4" t="s">
        <v>28</v>
      </c>
      <c r="B983" s="4" t="s">
        <v>44</v>
      </c>
      <c r="C983" s="4" t="s">
        <v>23</v>
      </c>
      <c r="D983" s="4" t="s">
        <v>45</v>
      </c>
      <c r="E983" s="4" t="s">
        <v>25</v>
      </c>
      <c r="F983" s="4" t="s">
        <v>25</v>
      </c>
      <c r="G983" s="4" t="s">
        <v>25</v>
      </c>
      <c r="H983" s="4" t="s">
        <v>25</v>
      </c>
      <c r="I983" s="5">
        <v>44562</v>
      </c>
      <c r="J983" s="6">
        <v>0</v>
      </c>
      <c r="K983" s="6">
        <v>0</v>
      </c>
      <c r="L983" s="6">
        <v>304.58600000000001</v>
      </c>
      <c r="M983" s="6">
        <v>304.58600000000001</v>
      </c>
      <c r="N983" s="6">
        <v>304.58600000000001</v>
      </c>
      <c r="O983" s="6">
        <v>304.58600000000001</v>
      </c>
      <c r="P983" s="6">
        <v>1102</v>
      </c>
      <c r="Q983" s="4" t="s">
        <v>26</v>
      </c>
      <c r="R983" s="4">
        <v>0</v>
      </c>
      <c r="S983" s="4">
        <v>0</v>
      </c>
      <c r="T983" s="4">
        <v>27</v>
      </c>
      <c r="U983" s="4">
        <v>85</v>
      </c>
      <c r="V983" s="6">
        <f>IF(ISERROR(VLOOKUP($S$983,'TAR FIN'!$A$1:$O$104,15,0)),0,VLOOKUP($S$983,'TAR FIN'!$A$1:$O$104,15,0))</f>
        <v>0</v>
      </c>
      <c r="W983" s="6">
        <f>IF(ISERROR(VLOOKUP($T$983,'TAR FIN'!$A$1:$O$104,15,0)),0,VLOOKUP($T$983,'TAR FIN'!$A$1:$O$104,15,0))</f>
        <v>300.26</v>
      </c>
      <c r="X983" s="6">
        <f>IF(ISERROR(VLOOKUP($U$983,'TAR FIN'!$A$1:$O$104,15,0)),0,VLOOKUP($U$983,'TAR FIN'!$A$1:$O$104,15,0))</f>
        <v>225.04</v>
      </c>
      <c r="Y983" s="6"/>
      <c r="Z983" s="6">
        <f ca="1">('TUSD BE'!$AM$47+'TUSD BF'!$AM$47+'TUSD CVA'!$AM$47)*(1-CUSTOS!$M$38)</f>
        <v>335.21342816228281</v>
      </c>
      <c r="AA983" s="6">
        <f>('TE BE'!$AB$26+'TE BF'!$AB$26+'TE CVA'!$AB$26)*(1-CUSTOS!$M$38)</f>
        <v>227.92247399192311</v>
      </c>
      <c r="AB983" s="6">
        <f t="shared" si="46"/>
        <v>0</v>
      </c>
      <c r="AC983" s="6">
        <f>(L983-M983)*(W983+X983)+($W$672+$X$672-$W$983-$X$983)*(L983)</f>
        <v>21814.449319999992</v>
      </c>
      <c r="AD983" s="6">
        <f t="shared" si="47"/>
        <v>0</v>
      </c>
      <c r="AE983" s="6">
        <f ca="1">(L983-M983)*(Z983+AA983)+($Z$672+$AA$672-$Z$983-$AA$983)*(L983)</f>
        <v>10948.296503843076</v>
      </c>
      <c r="AF983" s="4" t="s">
        <v>998</v>
      </c>
    </row>
    <row r="984" spans="1:32" ht="11.25" customHeight="1" x14ac:dyDescent="0.25">
      <c r="A984" s="4" t="s">
        <v>21</v>
      </c>
      <c r="B984" s="4" t="s">
        <v>44</v>
      </c>
      <c r="C984" s="4" t="s">
        <v>23</v>
      </c>
      <c r="D984" s="4" t="s">
        <v>45</v>
      </c>
      <c r="E984" s="4" t="s">
        <v>25</v>
      </c>
      <c r="F984" s="4" t="s">
        <v>25</v>
      </c>
      <c r="G984" s="4" t="s">
        <v>25</v>
      </c>
      <c r="H984" s="4" t="s">
        <v>25</v>
      </c>
      <c r="I984" s="5">
        <v>44593</v>
      </c>
      <c r="J984" s="6">
        <v>0</v>
      </c>
      <c r="K984" s="6">
        <v>0</v>
      </c>
      <c r="L984" s="6">
        <v>12215.161</v>
      </c>
      <c r="M984" s="6">
        <v>12215.161</v>
      </c>
      <c r="N984" s="6">
        <v>12215.161</v>
      </c>
      <c r="O984" s="6">
        <v>12215.161</v>
      </c>
      <c r="P984" s="6">
        <v>103552</v>
      </c>
      <c r="Q984" s="4" t="s">
        <v>26</v>
      </c>
      <c r="R984" s="4">
        <v>0</v>
      </c>
      <c r="S984" s="4">
        <v>0</v>
      </c>
      <c r="T984" s="4">
        <v>27</v>
      </c>
      <c r="U984" s="4">
        <v>85</v>
      </c>
      <c r="V984" s="6">
        <f>IF(ISERROR(VLOOKUP($S$984,'TAR FIN'!$A$1:$O$104,15,0)),0,VLOOKUP($S$984,'TAR FIN'!$A$1:$O$104,15,0))</f>
        <v>0</v>
      </c>
      <c r="W984" s="6">
        <f>IF(ISERROR(VLOOKUP($T$984,'TAR FIN'!$A$1:$O$104,15,0)),0,VLOOKUP($T$984,'TAR FIN'!$A$1:$O$104,15,0))</f>
        <v>300.26</v>
      </c>
      <c r="X984" s="6">
        <f>IF(ISERROR(VLOOKUP($U$984,'TAR FIN'!$A$1:$O$104,15,0)),0,VLOOKUP($U$984,'TAR FIN'!$A$1:$O$104,15,0))</f>
        <v>225.04</v>
      </c>
      <c r="Y984" s="6"/>
      <c r="Z984" s="6">
        <f ca="1">('TUSD BE'!$AM$47+'TUSD BF'!$AM$47+'TUSD CVA'!$AM$47)*(1-CUSTOS!$M$38)</f>
        <v>335.21342816228281</v>
      </c>
      <c r="AA984" s="6">
        <f>('TE BE'!$AB$26+'TE BF'!$AB$26+'TE CVA'!$AB$26)*(1-CUSTOS!$M$38)</f>
        <v>227.92247399192311</v>
      </c>
      <c r="AB984" s="6">
        <f t="shared" si="46"/>
        <v>0</v>
      </c>
      <c r="AC984" s="6">
        <f>(L984-M984)*(W984+X984)+($W$672+$X$672-$W$984-$X$984)*(L984)</f>
        <v>874849.83081999968</v>
      </c>
      <c r="AD984" s="6">
        <f t="shared" si="47"/>
        <v>0</v>
      </c>
      <c r="AE984" s="6">
        <f ca="1">(L984-M984)*(Z984+AA984)+($Z$672+$AA$672-$Z$984-$AA$984)*(L984)</f>
        <v>439072.06657620607</v>
      </c>
      <c r="AF984" s="4" t="s">
        <v>998</v>
      </c>
    </row>
    <row r="985" spans="1:32" ht="11.25" customHeight="1" x14ac:dyDescent="0.25">
      <c r="A985" s="4" t="s">
        <v>27</v>
      </c>
      <c r="B985" s="4" t="s">
        <v>44</v>
      </c>
      <c r="C985" s="4" t="s">
        <v>23</v>
      </c>
      <c r="D985" s="4" t="s">
        <v>45</v>
      </c>
      <c r="E985" s="4" t="s">
        <v>25</v>
      </c>
      <c r="F985" s="4" t="s">
        <v>25</v>
      </c>
      <c r="G985" s="4" t="s">
        <v>25</v>
      </c>
      <c r="H985" s="4" t="s">
        <v>25</v>
      </c>
      <c r="I985" s="5">
        <v>44593</v>
      </c>
      <c r="J985" s="6">
        <v>0</v>
      </c>
      <c r="K985" s="6">
        <v>0</v>
      </c>
      <c r="L985" s="6">
        <v>-74.933999999999997</v>
      </c>
      <c r="M985" s="6">
        <v>-74.933999999999997</v>
      </c>
      <c r="N985" s="6">
        <v>-74.933999999999997</v>
      </c>
      <c r="O985" s="6">
        <v>-74.933999999999997</v>
      </c>
      <c r="P985" s="6">
        <v>-19</v>
      </c>
      <c r="Q985" s="4" t="s">
        <v>26</v>
      </c>
      <c r="R985" s="4">
        <v>0</v>
      </c>
      <c r="S985" s="4">
        <v>0</v>
      </c>
      <c r="T985" s="4">
        <v>27</v>
      </c>
      <c r="U985" s="4">
        <v>85</v>
      </c>
      <c r="V985" s="6">
        <f>IF(ISERROR(VLOOKUP($S$985,'TAR FIN'!$A$1:$O$104,15,0)),0,VLOOKUP($S$985,'TAR FIN'!$A$1:$O$104,15,0))</f>
        <v>0</v>
      </c>
      <c r="W985" s="6">
        <f>IF(ISERROR(VLOOKUP($T$985,'TAR FIN'!$A$1:$O$104,15,0)),0,VLOOKUP($T$985,'TAR FIN'!$A$1:$O$104,15,0))</f>
        <v>300.26</v>
      </c>
      <c r="X985" s="6">
        <f>IF(ISERROR(VLOOKUP($U$985,'TAR FIN'!$A$1:$O$104,15,0)),0,VLOOKUP($U$985,'TAR FIN'!$A$1:$O$104,15,0))</f>
        <v>225.04</v>
      </c>
      <c r="Y985" s="6"/>
      <c r="Z985" s="6">
        <f ca="1">('TUSD BE'!$AM$47+'TUSD BF'!$AM$47+'TUSD CVA'!$AM$47)*(1-CUSTOS!$M$38)</f>
        <v>335.21342816228281</v>
      </c>
      <c r="AA985" s="6">
        <f>('TE BE'!$AB$26+'TE BF'!$AB$26+'TE CVA'!$AB$26)*(1-CUSTOS!$M$38)</f>
        <v>227.92247399192311</v>
      </c>
      <c r="AB985" s="6">
        <f t="shared" si="46"/>
        <v>0</v>
      </c>
      <c r="AC985" s="6">
        <f>(L985-M985)*(W985+X985)+($W$672+$X$672-$W$985-$X$985)*(L985)</f>
        <v>-5366.7730799999981</v>
      </c>
      <c r="AD985" s="6">
        <f t="shared" si="47"/>
        <v>0</v>
      </c>
      <c r="AE985" s="6">
        <f ca="1">(L985-M985)*(Z985+AA985)+($Z$672+$AA$672-$Z$985-$AA$985)*(L985)</f>
        <v>-2693.4910016185149</v>
      </c>
      <c r="AF985" s="4" t="s">
        <v>998</v>
      </c>
    </row>
    <row r="986" spans="1:32" ht="11.25" customHeight="1" x14ac:dyDescent="0.25">
      <c r="A986" s="4" t="s">
        <v>28</v>
      </c>
      <c r="B986" s="4" t="s">
        <v>44</v>
      </c>
      <c r="C986" s="4" t="s">
        <v>23</v>
      </c>
      <c r="D986" s="4" t="s">
        <v>45</v>
      </c>
      <c r="E986" s="4" t="s">
        <v>25</v>
      </c>
      <c r="F986" s="4" t="s">
        <v>25</v>
      </c>
      <c r="G986" s="4" t="s">
        <v>25</v>
      </c>
      <c r="H986" s="4" t="s">
        <v>25</v>
      </c>
      <c r="I986" s="5">
        <v>44593</v>
      </c>
      <c r="J986" s="6">
        <v>0</v>
      </c>
      <c r="K986" s="6">
        <v>0</v>
      </c>
      <c r="L986" s="6">
        <v>298.65600000000001</v>
      </c>
      <c r="M986" s="6">
        <v>298.65600000000001</v>
      </c>
      <c r="N986" s="6">
        <v>298.65600000000001</v>
      </c>
      <c r="O986" s="6">
        <v>298.65600000000001</v>
      </c>
      <c r="P986" s="6">
        <v>1042</v>
      </c>
      <c r="Q986" s="4" t="s">
        <v>26</v>
      </c>
      <c r="R986" s="4">
        <v>0</v>
      </c>
      <c r="S986" s="4">
        <v>0</v>
      </c>
      <c r="T986" s="4">
        <v>27</v>
      </c>
      <c r="U986" s="4">
        <v>85</v>
      </c>
      <c r="V986" s="6">
        <f>IF(ISERROR(VLOOKUP($S$986,'TAR FIN'!$A$1:$O$104,15,0)),0,VLOOKUP($S$986,'TAR FIN'!$A$1:$O$104,15,0))</f>
        <v>0</v>
      </c>
      <c r="W986" s="6">
        <f>IF(ISERROR(VLOOKUP($T$986,'TAR FIN'!$A$1:$O$104,15,0)),0,VLOOKUP($T$986,'TAR FIN'!$A$1:$O$104,15,0))</f>
        <v>300.26</v>
      </c>
      <c r="X986" s="6">
        <f>IF(ISERROR(VLOOKUP($U$986,'TAR FIN'!$A$1:$O$104,15,0)),0,VLOOKUP($U$986,'TAR FIN'!$A$1:$O$104,15,0))</f>
        <v>225.04</v>
      </c>
      <c r="Y986" s="6"/>
      <c r="Z986" s="6">
        <f ca="1">('TUSD BE'!$AM$47+'TUSD BF'!$AM$47+'TUSD CVA'!$AM$47)*(1-CUSTOS!$M$38)</f>
        <v>335.21342816228281</v>
      </c>
      <c r="AA986" s="6">
        <f>('TE BE'!$AB$26+'TE BF'!$AB$26+'TE CVA'!$AB$26)*(1-CUSTOS!$M$38)</f>
        <v>227.92247399192311</v>
      </c>
      <c r="AB986" s="6">
        <f t="shared" si="46"/>
        <v>0</v>
      </c>
      <c r="AC986" s="6">
        <f>(L986-M986)*(W986+X986)+($W$672+$X$672-$W$986-$X$986)*(L986)</f>
        <v>21389.742719999995</v>
      </c>
      <c r="AD986" s="6">
        <f t="shared" si="47"/>
        <v>0</v>
      </c>
      <c r="AE986" s="6">
        <f ca="1">(L986-M986)*(Z986+AA986)+($Z$672+$AA$672-$Z$986-$AA$986)*(L986)</f>
        <v>10735.143574070238</v>
      </c>
      <c r="AF986" s="4" t="s">
        <v>998</v>
      </c>
    </row>
    <row r="987" spans="1:32" ht="11.25" customHeight="1" x14ac:dyDescent="0.25">
      <c r="A987" s="4" t="s">
        <v>28</v>
      </c>
      <c r="B987" s="4" t="s">
        <v>44</v>
      </c>
      <c r="C987" s="4" t="s">
        <v>23</v>
      </c>
      <c r="D987" s="4" t="s">
        <v>45</v>
      </c>
      <c r="E987" s="4" t="s">
        <v>25</v>
      </c>
      <c r="F987" s="4" t="s">
        <v>25</v>
      </c>
      <c r="G987" s="4" t="s">
        <v>25</v>
      </c>
      <c r="H987" s="4" t="s">
        <v>25</v>
      </c>
      <c r="I987" s="5">
        <v>44593</v>
      </c>
      <c r="J987" s="6">
        <v>0</v>
      </c>
      <c r="K987" s="6">
        <v>0</v>
      </c>
      <c r="L987" s="6">
        <v>-2.0299999999999998</v>
      </c>
      <c r="M987" s="6">
        <v>-2.0299999999999998</v>
      </c>
      <c r="N987" s="6">
        <v>-2.0299999999999998</v>
      </c>
      <c r="O987" s="6">
        <v>-2.0299999999999998</v>
      </c>
      <c r="P987" s="6">
        <v>0</v>
      </c>
      <c r="Q987" s="4" t="s">
        <v>26</v>
      </c>
      <c r="R987" s="4">
        <v>0</v>
      </c>
      <c r="S987" s="4">
        <v>0</v>
      </c>
      <c r="T987" s="4">
        <v>27</v>
      </c>
      <c r="U987" s="4">
        <v>85</v>
      </c>
      <c r="V987" s="6">
        <f>IF(ISERROR(VLOOKUP($S$987,'TAR FIN'!$A$1:$O$104,15,0)),0,VLOOKUP($S$987,'TAR FIN'!$A$1:$O$104,15,0))</f>
        <v>0</v>
      </c>
      <c r="W987" s="6">
        <f>IF(ISERROR(VLOOKUP($T$987,'TAR FIN'!$A$1:$O$104,15,0)),0,VLOOKUP($T$987,'TAR FIN'!$A$1:$O$104,15,0))</f>
        <v>300.26</v>
      </c>
      <c r="X987" s="6">
        <f>IF(ISERROR(VLOOKUP($U$987,'TAR FIN'!$A$1:$O$104,15,0)),0,VLOOKUP($U$987,'TAR FIN'!$A$1:$O$104,15,0))</f>
        <v>225.04</v>
      </c>
      <c r="Y987" s="6"/>
      <c r="Z987" s="6">
        <f ca="1">('TUSD BE'!$AM$47+'TUSD BF'!$AM$47+'TUSD CVA'!$AM$47)*(1-CUSTOS!$M$38)</f>
        <v>335.21342816228281</v>
      </c>
      <c r="AA987" s="6">
        <f>('TE BE'!$AB$26+'TE BF'!$AB$26+'TE CVA'!$AB$26)*(1-CUSTOS!$M$38)</f>
        <v>227.92247399192311</v>
      </c>
      <c r="AB987" s="6">
        <f t="shared" si="46"/>
        <v>0</v>
      </c>
      <c r="AC987" s="6">
        <f>(L987-M987)*(W987+X987)+($W$672+$X$672-$W$987-$X$987)*(L987)</f>
        <v>-145.38859999999994</v>
      </c>
      <c r="AD987" s="6">
        <f t="shared" si="47"/>
        <v>0</v>
      </c>
      <c r="AE987" s="6">
        <f ca="1">(L987-M987)*(Z987+AA987)+($Z$672+$AA$672-$Z$987-$AA$987)*(L987)</f>
        <v>-72.968034981257972</v>
      </c>
      <c r="AF987" s="4" t="s">
        <v>998</v>
      </c>
    </row>
    <row r="988" spans="1:32" ht="11.25" customHeight="1" x14ac:dyDescent="0.25">
      <c r="A988" s="4" t="s">
        <v>21</v>
      </c>
      <c r="B988" s="4" t="s">
        <v>44</v>
      </c>
      <c r="C988" s="4" t="s">
        <v>23</v>
      </c>
      <c r="D988" s="4" t="s">
        <v>45</v>
      </c>
      <c r="E988" s="4" t="s">
        <v>25</v>
      </c>
      <c r="F988" s="4" t="s">
        <v>25</v>
      </c>
      <c r="G988" s="4" t="s">
        <v>25</v>
      </c>
      <c r="H988" s="4" t="s">
        <v>25</v>
      </c>
      <c r="I988" s="5">
        <v>44621</v>
      </c>
      <c r="J988" s="6">
        <v>0</v>
      </c>
      <c r="K988" s="6">
        <v>0</v>
      </c>
      <c r="L988" s="6">
        <v>13579.308000000001</v>
      </c>
      <c r="M988" s="6">
        <v>13579.308000000001</v>
      </c>
      <c r="N988" s="6">
        <v>13579.308000000001</v>
      </c>
      <c r="O988" s="6">
        <v>13579.308000000001</v>
      </c>
      <c r="P988" s="6">
        <v>103285</v>
      </c>
      <c r="Q988" s="4" t="s">
        <v>26</v>
      </c>
      <c r="R988" s="4">
        <v>0</v>
      </c>
      <c r="S988" s="4">
        <v>0</v>
      </c>
      <c r="T988" s="4">
        <v>27</v>
      </c>
      <c r="U988" s="4">
        <v>85</v>
      </c>
      <c r="V988" s="6">
        <f>IF(ISERROR(VLOOKUP($S$988,'TAR FIN'!$A$1:$O$104,15,0)),0,VLOOKUP($S$988,'TAR FIN'!$A$1:$O$104,15,0))</f>
        <v>0</v>
      </c>
      <c r="W988" s="6">
        <f>IF(ISERROR(VLOOKUP($T$988,'TAR FIN'!$A$1:$O$104,15,0)),0,VLOOKUP($T$988,'TAR FIN'!$A$1:$O$104,15,0))</f>
        <v>300.26</v>
      </c>
      <c r="X988" s="6">
        <f>IF(ISERROR(VLOOKUP($U$988,'TAR FIN'!$A$1:$O$104,15,0)),0,VLOOKUP($U$988,'TAR FIN'!$A$1:$O$104,15,0))</f>
        <v>225.04</v>
      </c>
      <c r="Y988" s="6"/>
      <c r="Z988" s="6">
        <f ca="1">('TUSD BE'!$AM$47+'TUSD BF'!$AM$47+'TUSD CVA'!$AM$47)*(1-CUSTOS!$M$38)</f>
        <v>335.21342816228281</v>
      </c>
      <c r="AA988" s="6">
        <f>('TE BE'!$AB$26+'TE BF'!$AB$26+'TE CVA'!$AB$26)*(1-CUSTOS!$M$38)</f>
        <v>227.92247399192311</v>
      </c>
      <c r="AB988" s="6">
        <f t="shared" si="46"/>
        <v>0</v>
      </c>
      <c r="AC988" s="6">
        <f>(L988-M988)*(W988+X988)+($W$672+$X$672-$W$988-$X$988)*(L988)</f>
        <v>972550.03895999969</v>
      </c>
      <c r="AD988" s="6">
        <f t="shared" si="47"/>
        <v>0</v>
      </c>
      <c r="AE988" s="6">
        <f ca="1">(L988-M988)*(Z988+AA988)+($Z$672+$AA$672-$Z$988-$AA$988)*(L988)</f>
        <v>488106.11880062881</v>
      </c>
      <c r="AF988" s="4" t="s">
        <v>998</v>
      </c>
    </row>
    <row r="989" spans="1:32" ht="11.25" customHeight="1" x14ac:dyDescent="0.25">
      <c r="A989" s="4" t="s">
        <v>27</v>
      </c>
      <c r="B989" s="4" t="s">
        <v>44</v>
      </c>
      <c r="C989" s="4" t="s">
        <v>23</v>
      </c>
      <c r="D989" s="4" t="s">
        <v>45</v>
      </c>
      <c r="E989" s="4" t="s">
        <v>25</v>
      </c>
      <c r="F989" s="4" t="s">
        <v>25</v>
      </c>
      <c r="G989" s="4" t="s">
        <v>25</v>
      </c>
      <c r="H989" s="4" t="s">
        <v>25</v>
      </c>
      <c r="I989" s="5">
        <v>44621</v>
      </c>
      <c r="J989" s="6">
        <v>0</v>
      </c>
      <c r="K989" s="6">
        <v>0</v>
      </c>
      <c r="L989" s="6">
        <v>-79.305999999999997</v>
      </c>
      <c r="M989" s="6">
        <v>-79.305999999999997</v>
      </c>
      <c r="N989" s="6">
        <v>-79.305999999999997</v>
      </c>
      <c r="O989" s="6">
        <v>-79.305999999999997</v>
      </c>
      <c r="P989" s="6">
        <v>-26</v>
      </c>
      <c r="Q989" s="4" t="s">
        <v>26</v>
      </c>
      <c r="R989" s="4">
        <v>0</v>
      </c>
      <c r="S989" s="4">
        <v>0</v>
      </c>
      <c r="T989" s="4">
        <v>27</v>
      </c>
      <c r="U989" s="4">
        <v>85</v>
      </c>
      <c r="V989" s="6">
        <f>IF(ISERROR(VLOOKUP($S$989,'TAR FIN'!$A$1:$O$104,15,0)),0,VLOOKUP($S$989,'TAR FIN'!$A$1:$O$104,15,0))</f>
        <v>0</v>
      </c>
      <c r="W989" s="6">
        <f>IF(ISERROR(VLOOKUP($T$989,'TAR FIN'!$A$1:$O$104,15,0)),0,VLOOKUP($T$989,'TAR FIN'!$A$1:$O$104,15,0))</f>
        <v>300.26</v>
      </c>
      <c r="X989" s="6">
        <f>IF(ISERROR(VLOOKUP($U$989,'TAR FIN'!$A$1:$O$104,15,0)),0,VLOOKUP($U$989,'TAR FIN'!$A$1:$O$104,15,0))</f>
        <v>225.04</v>
      </c>
      <c r="Y989" s="6"/>
      <c r="Z989" s="6">
        <f ca="1">('TUSD BE'!$AM$47+'TUSD BF'!$AM$47+'TUSD CVA'!$AM$47)*(1-CUSTOS!$M$38)</f>
        <v>335.21342816228281</v>
      </c>
      <c r="AA989" s="6">
        <f>('TE BE'!$AB$26+'TE BF'!$AB$26+'TE CVA'!$AB$26)*(1-CUSTOS!$M$38)</f>
        <v>227.92247399192311</v>
      </c>
      <c r="AB989" s="6">
        <f t="shared" si="46"/>
        <v>0</v>
      </c>
      <c r="AC989" s="6">
        <f>(L989-M989)*(W989+X989)+($W$672+$X$672-$W$989-$X$989)*(L989)</f>
        <v>-5679.8957199999977</v>
      </c>
      <c r="AD989" s="6">
        <f t="shared" si="47"/>
        <v>0</v>
      </c>
      <c r="AE989" s="6">
        <f ca="1">(L989-M989)*(Z989+AA989)+($Z$672+$AA$672-$Z$989-$AA$989)*(L989)</f>
        <v>-2850.6418631643573</v>
      </c>
      <c r="AF989" s="4" t="s">
        <v>998</v>
      </c>
    </row>
    <row r="990" spans="1:32" ht="11.25" customHeight="1" x14ac:dyDescent="0.25">
      <c r="A990" s="4" t="s">
        <v>28</v>
      </c>
      <c r="B990" s="4" t="s">
        <v>44</v>
      </c>
      <c r="C990" s="4" t="s">
        <v>23</v>
      </c>
      <c r="D990" s="4" t="s">
        <v>45</v>
      </c>
      <c r="E990" s="4" t="s">
        <v>25</v>
      </c>
      <c r="F990" s="4" t="s">
        <v>25</v>
      </c>
      <c r="G990" s="4" t="s">
        <v>25</v>
      </c>
      <c r="H990" s="4" t="s">
        <v>25</v>
      </c>
      <c r="I990" s="5">
        <v>44621</v>
      </c>
      <c r="J990" s="6">
        <v>0</v>
      </c>
      <c r="K990" s="6">
        <v>0</v>
      </c>
      <c r="L990" s="6">
        <v>279.35199999999998</v>
      </c>
      <c r="M990" s="6">
        <v>279.35199999999998</v>
      </c>
      <c r="N990" s="6">
        <v>279.35199999999998</v>
      </c>
      <c r="O990" s="6">
        <v>279.35199999999998</v>
      </c>
      <c r="P990" s="6">
        <v>1095</v>
      </c>
      <c r="Q990" s="4" t="s">
        <v>26</v>
      </c>
      <c r="R990" s="4">
        <v>0</v>
      </c>
      <c r="S990" s="4">
        <v>0</v>
      </c>
      <c r="T990" s="4">
        <v>27</v>
      </c>
      <c r="U990" s="4">
        <v>85</v>
      </c>
      <c r="V990" s="6">
        <f>IF(ISERROR(VLOOKUP($S$990,'TAR FIN'!$A$1:$O$104,15,0)),0,VLOOKUP($S$990,'TAR FIN'!$A$1:$O$104,15,0))</f>
        <v>0</v>
      </c>
      <c r="W990" s="6">
        <f>IF(ISERROR(VLOOKUP($T$990,'TAR FIN'!$A$1:$O$104,15,0)),0,VLOOKUP($T$990,'TAR FIN'!$A$1:$O$104,15,0))</f>
        <v>300.26</v>
      </c>
      <c r="X990" s="6">
        <f>IF(ISERROR(VLOOKUP($U$990,'TAR FIN'!$A$1:$O$104,15,0)),0,VLOOKUP($U$990,'TAR FIN'!$A$1:$O$104,15,0))</f>
        <v>225.04</v>
      </c>
      <c r="Y990" s="6"/>
      <c r="Z990" s="6">
        <f ca="1">('TUSD BE'!$AM$47+'TUSD BF'!$AM$47+'TUSD CVA'!$AM$47)*(1-CUSTOS!$M$38)</f>
        <v>335.21342816228281</v>
      </c>
      <c r="AA990" s="6">
        <f>('TE BE'!$AB$26+'TE BF'!$AB$26+'TE CVA'!$AB$26)*(1-CUSTOS!$M$38)</f>
        <v>227.92247399192311</v>
      </c>
      <c r="AB990" s="6">
        <f t="shared" si="46"/>
        <v>0</v>
      </c>
      <c r="AC990" s="6">
        <f>(L990-M990)*(W990+X990)+($W$672+$X$672-$W$990-$X$990)*(L990)</f>
        <v>20007.190239999993</v>
      </c>
      <c r="AD990" s="6">
        <f t="shared" si="47"/>
        <v>0</v>
      </c>
      <c r="AE990" s="6">
        <f ca="1">(L990-M990)*(Z990+AA990)+($Z$672+$AA$672-$Z$990-$AA$990)*(L990)</f>
        <v>10041.264289696739</v>
      </c>
      <c r="AF990" s="4" t="s">
        <v>998</v>
      </c>
    </row>
    <row r="991" spans="1:32" ht="11.25" customHeight="1" x14ac:dyDescent="0.25">
      <c r="A991" s="4" t="s">
        <v>28</v>
      </c>
      <c r="B991" s="4" t="s">
        <v>44</v>
      </c>
      <c r="C991" s="4" t="s">
        <v>23</v>
      </c>
      <c r="D991" s="4" t="s">
        <v>45</v>
      </c>
      <c r="E991" s="4" t="s">
        <v>25</v>
      </c>
      <c r="F991" s="4" t="s">
        <v>25</v>
      </c>
      <c r="G991" s="4" t="s">
        <v>25</v>
      </c>
      <c r="H991" s="4" t="s">
        <v>25</v>
      </c>
      <c r="I991" s="5">
        <v>44621</v>
      </c>
      <c r="J991" s="6">
        <v>0</v>
      </c>
      <c r="K991" s="6">
        <v>0</v>
      </c>
      <c r="L991" s="6">
        <v>-0.03</v>
      </c>
      <c r="M991" s="6">
        <v>-0.03</v>
      </c>
      <c r="N991" s="6">
        <v>-0.03</v>
      </c>
      <c r="O991" s="6">
        <v>-0.03</v>
      </c>
      <c r="P991" s="6">
        <v>-1</v>
      </c>
      <c r="Q991" s="4" t="s">
        <v>26</v>
      </c>
      <c r="R991" s="4">
        <v>0</v>
      </c>
      <c r="S991" s="4">
        <v>0</v>
      </c>
      <c r="T991" s="4">
        <v>27</v>
      </c>
      <c r="U991" s="4">
        <v>85</v>
      </c>
      <c r="V991" s="6">
        <f>IF(ISERROR(VLOOKUP($S$991,'TAR FIN'!$A$1:$O$104,15,0)),0,VLOOKUP($S$991,'TAR FIN'!$A$1:$O$104,15,0))</f>
        <v>0</v>
      </c>
      <c r="W991" s="6">
        <f>IF(ISERROR(VLOOKUP($T$991,'TAR FIN'!$A$1:$O$104,15,0)),0,VLOOKUP($T$991,'TAR FIN'!$A$1:$O$104,15,0))</f>
        <v>300.26</v>
      </c>
      <c r="X991" s="6">
        <f>IF(ISERROR(VLOOKUP($U$991,'TAR FIN'!$A$1:$O$104,15,0)),0,VLOOKUP($U$991,'TAR FIN'!$A$1:$O$104,15,0))</f>
        <v>225.04</v>
      </c>
      <c r="Y991" s="6"/>
      <c r="Z991" s="6">
        <f ca="1">('TUSD BE'!$AM$47+'TUSD BF'!$AM$47+'TUSD CVA'!$AM$47)*(1-CUSTOS!$M$38)</f>
        <v>335.21342816228281</v>
      </c>
      <c r="AA991" s="6">
        <f>('TE BE'!$AB$26+'TE BF'!$AB$26+'TE CVA'!$AB$26)*(1-CUSTOS!$M$38)</f>
        <v>227.92247399192311</v>
      </c>
      <c r="AB991" s="6">
        <f t="shared" si="46"/>
        <v>0</v>
      </c>
      <c r="AC991" s="6">
        <f>(L991-M991)*(W991+X991)+($W$672+$X$672-$W$991-$X$991)*(L991)</f>
        <v>-2.1485999999999992</v>
      </c>
      <c r="AD991" s="6">
        <f t="shared" si="47"/>
        <v>0</v>
      </c>
      <c r="AE991" s="6">
        <f ca="1">(L991-M991)*(Z991+AA991)+($Z$672+$AA$672-$Z$991-$AA$991)*(L991)</f>
        <v>-1.0783453445506106</v>
      </c>
      <c r="AF991" s="4" t="s">
        <v>998</v>
      </c>
    </row>
    <row r="992" spans="1:32" ht="11.25" customHeight="1" x14ac:dyDescent="0.25">
      <c r="A992" s="4" t="s">
        <v>21</v>
      </c>
      <c r="B992" s="4" t="s">
        <v>44</v>
      </c>
      <c r="C992" s="4" t="s">
        <v>23</v>
      </c>
      <c r="D992" s="4" t="s">
        <v>45</v>
      </c>
      <c r="E992" s="4" t="s">
        <v>25</v>
      </c>
      <c r="F992" s="4" t="s">
        <v>25</v>
      </c>
      <c r="G992" s="4" t="s">
        <v>25</v>
      </c>
      <c r="H992" s="4" t="s">
        <v>25</v>
      </c>
      <c r="I992" s="5">
        <v>44652</v>
      </c>
      <c r="J992" s="6">
        <v>0</v>
      </c>
      <c r="K992" s="6">
        <v>0</v>
      </c>
      <c r="L992" s="6">
        <v>12470.677</v>
      </c>
      <c r="M992" s="6">
        <v>12470.677</v>
      </c>
      <c r="N992" s="6">
        <v>12470.677</v>
      </c>
      <c r="O992" s="6">
        <v>12470.677</v>
      </c>
      <c r="P992" s="6">
        <v>102945</v>
      </c>
      <c r="Q992" s="4" t="s">
        <v>26</v>
      </c>
      <c r="R992" s="4">
        <v>0</v>
      </c>
      <c r="S992" s="4">
        <v>0</v>
      </c>
      <c r="T992" s="4">
        <v>27</v>
      </c>
      <c r="U992" s="4">
        <v>85</v>
      </c>
      <c r="V992" s="6">
        <f>IF(ISERROR(VLOOKUP($S$992,'TAR FIN'!$A$1:$O$104,15,0)),0,VLOOKUP($S$992,'TAR FIN'!$A$1:$O$104,15,0))</f>
        <v>0</v>
      </c>
      <c r="W992" s="6">
        <f>IF(ISERROR(VLOOKUP($T$992,'TAR FIN'!$A$1:$O$104,15,0)),0,VLOOKUP($T$992,'TAR FIN'!$A$1:$O$104,15,0))</f>
        <v>300.26</v>
      </c>
      <c r="X992" s="6">
        <f>IF(ISERROR(VLOOKUP($U$992,'TAR FIN'!$A$1:$O$104,15,0)),0,VLOOKUP($U$992,'TAR FIN'!$A$1:$O$104,15,0))</f>
        <v>225.04</v>
      </c>
      <c r="Y992" s="6"/>
      <c r="Z992" s="6">
        <f ca="1">('TUSD BE'!$AM$47+'TUSD BF'!$AM$47+'TUSD CVA'!$AM$47)*(1-CUSTOS!$M$38)</f>
        <v>335.21342816228281</v>
      </c>
      <c r="AA992" s="6">
        <f>('TE BE'!$AB$26+'TE BF'!$AB$26+'TE CVA'!$AB$26)*(1-CUSTOS!$M$38)</f>
        <v>227.92247399192311</v>
      </c>
      <c r="AB992" s="6">
        <f t="shared" si="46"/>
        <v>0</v>
      </c>
      <c r="AC992" s="6">
        <f>(L992-M992)*(W992+X992)+($W$672+$X$672-$W$992-$X$992)*(L992)</f>
        <v>893149.88673999964</v>
      </c>
      <c r="AD992" s="6">
        <f t="shared" si="47"/>
        <v>0</v>
      </c>
      <c r="AE992" s="6">
        <f ca="1">(L992-M992)*(Z992+AA992)+($Z$672+$AA$672-$Z$992-$AA$992)*(L992)</f>
        <v>448256.54954481247</v>
      </c>
      <c r="AF992" s="4" t="s">
        <v>998</v>
      </c>
    </row>
    <row r="993" spans="1:32" ht="11.25" customHeight="1" x14ac:dyDescent="0.25">
      <c r="A993" s="4" t="s">
        <v>27</v>
      </c>
      <c r="B993" s="4" t="s">
        <v>44</v>
      </c>
      <c r="C993" s="4" t="s">
        <v>23</v>
      </c>
      <c r="D993" s="4" t="s">
        <v>45</v>
      </c>
      <c r="E993" s="4" t="s">
        <v>25</v>
      </c>
      <c r="F993" s="4" t="s">
        <v>25</v>
      </c>
      <c r="G993" s="4" t="s">
        <v>25</v>
      </c>
      <c r="H993" s="4" t="s">
        <v>25</v>
      </c>
      <c r="I993" s="5">
        <v>44652</v>
      </c>
      <c r="J993" s="6">
        <v>0</v>
      </c>
      <c r="K993" s="6">
        <v>0</v>
      </c>
      <c r="L993" s="6">
        <v>-48.29</v>
      </c>
      <c r="M993" s="6">
        <v>-48.29</v>
      </c>
      <c r="N993" s="6">
        <v>-48.29</v>
      </c>
      <c r="O993" s="6">
        <v>-48.29</v>
      </c>
      <c r="P993" s="6">
        <v>-13</v>
      </c>
      <c r="Q993" s="4" t="s">
        <v>26</v>
      </c>
      <c r="R993" s="4">
        <v>0</v>
      </c>
      <c r="S993" s="4">
        <v>0</v>
      </c>
      <c r="T993" s="4">
        <v>27</v>
      </c>
      <c r="U993" s="4">
        <v>85</v>
      </c>
      <c r="V993" s="6">
        <f>IF(ISERROR(VLOOKUP($S$993,'TAR FIN'!$A$1:$O$104,15,0)),0,VLOOKUP($S$993,'TAR FIN'!$A$1:$O$104,15,0))</f>
        <v>0</v>
      </c>
      <c r="W993" s="6">
        <f>IF(ISERROR(VLOOKUP($T$993,'TAR FIN'!$A$1:$O$104,15,0)),0,VLOOKUP($T$993,'TAR FIN'!$A$1:$O$104,15,0))</f>
        <v>300.26</v>
      </c>
      <c r="X993" s="6">
        <f>IF(ISERROR(VLOOKUP($U$993,'TAR FIN'!$A$1:$O$104,15,0)),0,VLOOKUP($U$993,'TAR FIN'!$A$1:$O$104,15,0))</f>
        <v>225.04</v>
      </c>
      <c r="Y993" s="6"/>
      <c r="Z993" s="6">
        <f ca="1">('TUSD BE'!$AM$47+'TUSD BF'!$AM$47+'TUSD CVA'!$AM$47)*(1-CUSTOS!$M$38)</f>
        <v>335.21342816228281</v>
      </c>
      <c r="AA993" s="6">
        <f>('TE BE'!$AB$26+'TE BF'!$AB$26+'TE CVA'!$AB$26)*(1-CUSTOS!$M$38)</f>
        <v>227.92247399192311</v>
      </c>
      <c r="AB993" s="6">
        <f t="shared" si="46"/>
        <v>0</v>
      </c>
      <c r="AC993" s="6">
        <f>(L993-M993)*(W993+X993)+($W$672+$X$672-$W$993-$X$993)*(L993)</f>
        <v>-3458.5297999999989</v>
      </c>
      <c r="AD993" s="6">
        <f t="shared" si="47"/>
        <v>0</v>
      </c>
      <c r="AE993" s="6">
        <f ca="1">(L993-M993)*(Z993+AA993)+($Z$672+$AA$672-$Z$993-$AA$993)*(L993)</f>
        <v>-1735.7765562782995</v>
      </c>
      <c r="AF993" s="4" t="s">
        <v>998</v>
      </c>
    </row>
    <row r="994" spans="1:32" ht="11.25" customHeight="1" x14ac:dyDescent="0.25">
      <c r="A994" s="4" t="s">
        <v>28</v>
      </c>
      <c r="B994" s="4" t="s">
        <v>44</v>
      </c>
      <c r="C994" s="4" t="s">
        <v>23</v>
      </c>
      <c r="D994" s="4" t="s">
        <v>45</v>
      </c>
      <c r="E994" s="4" t="s">
        <v>25</v>
      </c>
      <c r="F994" s="4" t="s">
        <v>25</v>
      </c>
      <c r="G994" s="4" t="s">
        <v>25</v>
      </c>
      <c r="H994" s="4" t="s">
        <v>25</v>
      </c>
      <c r="I994" s="5">
        <v>44652</v>
      </c>
      <c r="J994" s="6">
        <v>0</v>
      </c>
      <c r="K994" s="6">
        <v>0</v>
      </c>
      <c r="L994" s="6">
        <v>384.02499999999998</v>
      </c>
      <c r="M994" s="6">
        <v>384.02499999999998</v>
      </c>
      <c r="N994" s="6">
        <v>384.02499999999998</v>
      </c>
      <c r="O994" s="6">
        <v>384.02499999999998</v>
      </c>
      <c r="P994" s="6">
        <v>1136</v>
      </c>
      <c r="Q994" s="4" t="s">
        <v>26</v>
      </c>
      <c r="R994" s="4">
        <v>0</v>
      </c>
      <c r="S994" s="4">
        <v>0</v>
      </c>
      <c r="T994" s="4">
        <v>27</v>
      </c>
      <c r="U994" s="4">
        <v>85</v>
      </c>
      <c r="V994" s="6">
        <f>IF(ISERROR(VLOOKUP($S$994,'TAR FIN'!$A$1:$O$104,15,0)),0,VLOOKUP($S$994,'TAR FIN'!$A$1:$O$104,15,0))</f>
        <v>0</v>
      </c>
      <c r="W994" s="6">
        <f>IF(ISERROR(VLOOKUP($T$994,'TAR FIN'!$A$1:$O$104,15,0)),0,VLOOKUP($T$994,'TAR FIN'!$A$1:$O$104,15,0))</f>
        <v>300.26</v>
      </c>
      <c r="X994" s="6">
        <f>IF(ISERROR(VLOOKUP($U$994,'TAR FIN'!$A$1:$O$104,15,0)),0,VLOOKUP($U$994,'TAR FIN'!$A$1:$O$104,15,0))</f>
        <v>225.04</v>
      </c>
      <c r="Y994" s="6"/>
      <c r="Z994" s="6">
        <f ca="1">('TUSD BE'!$AM$47+'TUSD BF'!$AM$47+'TUSD CVA'!$AM$47)*(1-CUSTOS!$M$38)</f>
        <v>335.21342816228281</v>
      </c>
      <c r="AA994" s="6">
        <f>('TE BE'!$AB$26+'TE BF'!$AB$26+'TE CVA'!$AB$26)*(1-CUSTOS!$M$38)</f>
        <v>227.92247399192311</v>
      </c>
      <c r="AB994" s="6">
        <f t="shared" si="46"/>
        <v>0</v>
      </c>
      <c r="AC994" s="6">
        <f>(L994-M994)*(W994+X994)+($W$672+$X$672-$W$994-$X$994)*(L994)</f>
        <v>27503.87049999999</v>
      </c>
      <c r="AD994" s="6">
        <f t="shared" si="47"/>
        <v>0</v>
      </c>
      <c r="AE994" s="6">
        <f ca="1">(L994-M994)*(Z994+AA994)+($Z$672+$AA$672-$Z$994-$AA$994)*(L994)</f>
        <v>13803.719031368273</v>
      </c>
      <c r="AF994" s="4" t="s">
        <v>998</v>
      </c>
    </row>
    <row r="995" spans="1:32" ht="11.25" customHeight="1" x14ac:dyDescent="0.25">
      <c r="A995" s="4" t="s">
        <v>28</v>
      </c>
      <c r="B995" s="4" t="s">
        <v>44</v>
      </c>
      <c r="C995" s="4" t="s">
        <v>23</v>
      </c>
      <c r="D995" s="4" t="s">
        <v>45</v>
      </c>
      <c r="E995" s="4" t="s">
        <v>25</v>
      </c>
      <c r="F995" s="4" t="s">
        <v>25</v>
      </c>
      <c r="G995" s="4" t="s">
        <v>25</v>
      </c>
      <c r="H995" s="4" t="s">
        <v>25</v>
      </c>
      <c r="I995" s="5">
        <v>44652</v>
      </c>
      <c r="J995" s="6">
        <v>0</v>
      </c>
      <c r="K995" s="6">
        <v>0</v>
      </c>
      <c r="L995" s="6">
        <v>1.2589999999999999</v>
      </c>
      <c r="M995" s="6">
        <v>1.2589999999999999</v>
      </c>
      <c r="N995" s="6">
        <v>1.2589999999999999</v>
      </c>
      <c r="O995" s="6">
        <v>1.2589999999999999</v>
      </c>
      <c r="P995" s="6">
        <v>0</v>
      </c>
      <c r="Q995" s="4" t="s">
        <v>26</v>
      </c>
      <c r="R995" s="4">
        <v>0</v>
      </c>
      <c r="S995" s="4">
        <v>0</v>
      </c>
      <c r="T995" s="4">
        <v>27</v>
      </c>
      <c r="U995" s="4">
        <v>85</v>
      </c>
      <c r="V995" s="6">
        <f>IF(ISERROR(VLOOKUP($S$995,'TAR FIN'!$A$1:$O$104,15,0)),0,VLOOKUP($S$995,'TAR FIN'!$A$1:$O$104,15,0))</f>
        <v>0</v>
      </c>
      <c r="W995" s="6">
        <f>IF(ISERROR(VLOOKUP($T$995,'TAR FIN'!$A$1:$O$104,15,0)),0,VLOOKUP($T$995,'TAR FIN'!$A$1:$O$104,15,0))</f>
        <v>300.26</v>
      </c>
      <c r="X995" s="6">
        <f>IF(ISERROR(VLOOKUP($U$995,'TAR FIN'!$A$1:$O$104,15,0)),0,VLOOKUP($U$995,'TAR FIN'!$A$1:$O$104,15,0))</f>
        <v>225.04</v>
      </c>
      <c r="Y995" s="6"/>
      <c r="Z995" s="6">
        <f ca="1">('TUSD BE'!$AM$47+'TUSD BF'!$AM$47+'TUSD CVA'!$AM$47)*(1-CUSTOS!$M$38)</f>
        <v>335.21342816228281</v>
      </c>
      <c r="AA995" s="6">
        <f>('TE BE'!$AB$26+'TE BF'!$AB$26+'TE CVA'!$AB$26)*(1-CUSTOS!$M$38)</f>
        <v>227.92247399192311</v>
      </c>
      <c r="AB995" s="6">
        <f t="shared" si="46"/>
        <v>0</v>
      </c>
      <c r="AC995" s="6">
        <f>(L995-M995)*(W995+X995)+($W$672+$X$672-$W$995-$X$995)*(L995)</f>
        <v>90.169579999999968</v>
      </c>
      <c r="AD995" s="6">
        <f t="shared" si="47"/>
        <v>0</v>
      </c>
      <c r="AE995" s="6">
        <f ca="1">(L995-M995)*(Z995+AA995)+($Z$672+$AA$672-$Z$995-$AA$995)*(L995)</f>
        <v>45.254559626307291</v>
      </c>
      <c r="AF995" s="4" t="s">
        <v>998</v>
      </c>
    </row>
    <row r="996" spans="1:32" ht="11.25" customHeight="1" x14ac:dyDescent="0.25">
      <c r="A996" s="4" t="s">
        <v>21</v>
      </c>
      <c r="B996" s="4" t="s">
        <v>44</v>
      </c>
      <c r="C996" s="4" t="s">
        <v>23</v>
      </c>
      <c r="D996" s="4" t="s">
        <v>45</v>
      </c>
      <c r="E996" s="4" t="s">
        <v>25</v>
      </c>
      <c r="F996" s="4" t="s">
        <v>25</v>
      </c>
      <c r="G996" s="4" t="s">
        <v>25</v>
      </c>
      <c r="H996" s="4" t="s">
        <v>25</v>
      </c>
      <c r="I996" s="5">
        <v>44682</v>
      </c>
      <c r="J996" s="6">
        <v>0</v>
      </c>
      <c r="K996" s="6">
        <v>0</v>
      </c>
      <c r="L996" s="6">
        <v>12586.26</v>
      </c>
      <c r="M996" s="6">
        <v>12586.26</v>
      </c>
      <c r="N996" s="6">
        <v>12586.26</v>
      </c>
      <c r="O996" s="6">
        <v>12586.26</v>
      </c>
      <c r="P996" s="6">
        <v>102712</v>
      </c>
      <c r="Q996" s="4" t="s">
        <v>26</v>
      </c>
      <c r="R996" s="4">
        <v>0</v>
      </c>
      <c r="S996" s="4">
        <v>0</v>
      </c>
      <c r="T996" s="4">
        <v>27</v>
      </c>
      <c r="U996" s="4">
        <v>85</v>
      </c>
      <c r="V996" s="6">
        <f>IF(ISERROR(VLOOKUP($S$996,'TAR FIN'!$A$1:$O$104,15,0)),0,VLOOKUP($S$996,'TAR FIN'!$A$1:$O$104,15,0))</f>
        <v>0</v>
      </c>
      <c r="W996" s="6">
        <f>IF(ISERROR(VLOOKUP($T$996,'TAR FIN'!$A$1:$O$104,15,0)),0,VLOOKUP($T$996,'TAR FIN'!$A$1:$O$104,15,0))</f>
        <v>300.26</v>
      </c>
      <c r="X996" s="6">
        <f>IF(ISERROR(VLOOKUP($U$996,'TAR FIN'!$A$1:$O$104,15,0)),0,VLOOKUP($U$996,'TAR FIN'!$A$1:$O$104,15,0))</f>
        <v>225.04</v>
      </c>
      <c r="Y996" s="6"/>
      <c r="Z996" s="6">
        <f ca="1">('TUSD BE'!$AM$47+'TUSD BF'!$AM$47+'TUSD CVA'!$AM$47)*(1-CUSTOS!$M$38)</f>
        <v>335.21342816228281</v>
      </c>
      <c r="AA996" s="6">
        <f>('TE BE'!$AB$26+'TE BF'!$AB$26+'TE CVA'!$AB$26)*(1-CUSTOS!$M$38)</f>
        <v>227.92247399192311</v>
      </c>
      <c r="AB996" s="6">
        <f t="shared" si="46"/>
        <v>0</v>
      </c>
      <c r="AC996" s="6">
        <f>(L996-M996)*(W996+X996)+($W$672+$X$672-$W$996-$X$996)*(L996)</f>
        <v>901427.94119999977</v>
      </c>
      <c r="AD996" s="6">
        <f t="shared" si="47"/>
        <v>0</v>
      </c>
      <c r="AE996" s="6">
        <f ca="1">(L996-M996)*(Z996+AA996)+($Z$672+$AA$672-$Z$996-$AA$996)*(L996)</f>
        <v>452411.16254345229</v>
      </c>
      <c r="AF996" s="4" t="s">
        <v>998</v>
      </c>
    </row>
    <row r="997" spans="1:32" ht="11.25" customHeight="1" x14ac:dyDescent="0.25">
      <c r="A997" s="4" t="s">
        <v>27</v>
      </c>
      <c r="B997" s="4" t="s">
        <v>44</v>
      </c>
      <c r="C997" s="4" t="s">
        <v>23</v>
      </c>
      <c r="D997" s="4" t="s">
        <v>45</v>
      </c>
      <c r="E997" s="4" t="s">
        <v>25</v>
      </c>
      <c r="F997" s="4" t="s">
        <v>25</v>
      </c>
      <c r="G997" s="4" t="s">
        <v>25</v>
      </c>
      <c r="H997" s="4" t="s">
        <v>25</v>
      </c>
      <c r="I997" s="5">
        <v>44682</v>
      </c>
      <c r="J997" s="6">
        <v>0</v>
      </c>
      <c r="K997" s="6">
        <v>0</v>
      </c>
      <c r="L997" s="6">
        <v>-86.680999999999997</v>
      </c>
      <c r="M997" s="6">
        <v>-86.680999999999997</v>
      </c>
      <c r="N997" s="6">
        <v>-86.680999999999997</v>
      </c>
      <c r="O997" s="6">
        <v>-86.680999999999997</v>
      </c>
      <c r="P997" s="6">
        <v>-16</v>
      </c>
      <c r="Q997" s="4" t="s">
        <v>26</v>
      </c>
      <c r="R997" s="4">
        <v>0</v>
      </c>
      <c r="S997" s="4">
        <v>0</v>
      </c>
      <c r="T997" s="4">
        <v>27</v>
      </c>
      <c r="U997" s="4">
        <v>85</v>
      </c>
      <c r="V997" s="6">
        <f>IF(ISERROR(VLOOKUP($S$997,'TAR FIN'!$A$1:$O$104,15,0)),0,VLOOKUP($S$997,'TAR FIN'!$A$1:$O$104,15,0))</f>
        <v>0</v>
      </c>
      <c r="W997" s="6">
        <f>IF(ISERROR(VLOOKUP($T$997,'TAR FIN'!$A$1:$O$104,15,0)),0,VLOOKUP($T$997,'TAR FIN'!$A$1:$O$104,15,0))</f>
        <v>300.26</v>
      </c>
      <c r="X997" s="6">
        <f>IF(ISERROR(VLOOKUP($U$997,'TAR FIN'!$A$1:$O$104,15,0)),0,VLOOKUP($U$997,'TAR FIN'!$A$1:$O$104,15,0))</f>
        <v>225.04</v>
      </c>
      <c r="Y997" s="6"/>
      <c r="Z997" s="6">
        <f ca="1">('TUSD BE'!$AM$47+'TUSD BF'!$AM$47+'TUSD CVA'!$AM$47)*(1-CUSTOS!$M$38)</f>
        <v>335.21342816228281</v>
      </c>
      <c r="AA997" s="6">
        <f>('TE BE'!$AB$26+'TE BF'!$AB$26+'TE CVA'!$AB$26)*(1-CUSTOS!$M$38)</f>
        <v>227.92247399192311</v>
      </c>
      <c r="AB997" s="6">
        <f t="shared" si="46"/>
        <v>0</v>
      </c>
      <c r="AC997" s="6">
        <f>(L997-M997)*(W997+X997)+($W$672+$X$672-$W$997-$X$997)*(L997)</f>
        <v>-6208.0932199999979</v>
      </c>
      <c r="AD997" s="6">
        <f t="shared" si="47"/>
        <v>0</v>
      </c>
      <c r="AE997" s="6">
        <f ca="1">(L997-M997)*(Z997+AA997)+($Z$672+$AA$672-$Z$997-$AA$997)*(L997)</f>
        <v>-3115.7350936997159</v>
      </c>
      <c r="AF997" s="4" t="s">
        <v>998</v>
      </c>
    </row>
    <row r="998" spans="1:32" ht="11.25" customHeight="1" x14ac:dyDescent="0.25">
      <c r="A998" s="4" t="s">
        <v>28</v>
      </c>
      <c r="B998" s="4" t="s">
        <v>44</v>
      </c>
      <c r="C998" s="4" t="s">
        <v>23</v>
      </c>
      <c r="D998" s="4" t="s">
        <v>45</v>
      </c>
      <c r="E998" s="4" t="s">
        <v>25</v>
      </c>
      <c r="F998" s="4" t="s">
        <v>25</v>
      </c>
      <c r="G998" s="4" t="s">
        <v>25</v>
      </c>
      <c r="H998" s="4" t="s">
        <v>25</v>
      </c>
      <c r="I998" s="5">
        <v>44682</v>
      </c>
      <c r="J998" s="6">
        <v>0</v>
      </c>
      <c r="K998" s="6">
        <v>0</v>
      </c>
      <c r="L998" s="6">
        <v>276.334</v>
      </c>
      <c r="M998" s="6">
        <v>276.334</v>
      </c>
      <c r="N998" s="6">
        <v>276.334</v>
      </c>
      <c r="O998" s="6">
        <v>276.334</v>
      </c>
      <c r="P998" s="6">
        <v>1205</v>
      </c>
      <c r="Q998" s="4" t="s">
        <v>26</v>
      </c>
      <c r="R998" s="4">
        <v>0</v>
      </c>
      <c r="S998" s="4">
        <v>0</v>
      </c>
      <c r="T998" s="4">
        <v>27</v>
      </c>
      <c r="U998" s="4">
        <v>85</v>
      </c>
      <c r="V998" s="6">
        <f>IF(ISERROR(VLOOKUP($S$998,'TAR FIN'!$A$1:$O$104,15,0)),0,VLOOKUP($S$998,'TAR FIN'!$A$1:$O$104,15,0))</f>
        <v>0</v>
      </c>
      <c r="W998" s="6">
        <f>IF(ISERROR(VLOOKUP($T$998,'TAR FIN'!$A$1:$O$104,15,0)),0,VLOOKUP($T$998,'TAR FIN'!$A$1:$O$104,15,0))</f>
        <v>300.26</v>
      </c>
      <c r="X998" s="6">
        <f>IF(ISERROR(VLOOKUP($U$998,'TAR FIN'!$A$1:$O$104,15,0)),0,VLOOKUP($U$998,'TAR FIN'!$A$1:$O$104,15,0))</f>
        <v>225.04</v>
      </c>
      <c r="Y998" s="6"/>
      <c r="Z998" s="6">
        <f ca="1">('TUSD BE'!$AM$47+'TUSD BF'!$AM$47+'TUSD CVA'!$AM$47)*(1-CUSTOS!$M$38)</f>
        <v>335.21342816228281</v>
      </c>
      <c r="AA998" s="6">
        <f>('TE BE'!$AB$26+'TE BF'!$AB$26+'TE CVA'!$AB$26)*(1-CUSTOS!$M$38)</f>
        <v>227.92247399192311</v>
      </c>
      <c r="AB998" s="6">
        <f t="shared" si="46"/>
        <v>0</v>
      </c>
      <c r="AC998" s="6">
        <f>(L998-M998)*(W998+X998)+($W$672+$X$672-$W$998-$X$998)*(L998)</f>
        <v>19791.041079999995</v>
      </c>
      <c r="AD998" s="6">
        <f t="shared" si="47"/>
        <v>0</v>
      </c>
      <c r="AE998" s="6">
        <f ca="1">(L998-M998)*(Z998+AA998)+($Z$672+$AA$672-$Z$998-$AA$998)*(L998)</f>
        <v>9932.7827480349479</v>
      </c>
      <c r="AF998" s="4" t="s">
        <v>998</v>
      </c>
    </row>
    <row r="999" spans="1:32" ht="11.25" customHeight="1" x14ac:dyDescent="0.25">
      <c r="A999" s="4" t="s">
        <v>21</v>
      </c>
      <c r="B999" s="4" t="s">
        <v>44</v>
      </c>
      <c r="C999" s="4" t="s">
        <v>23</v>
      </c>
      <c r="D999" s="4" t="s">
        <v>45</v>
      </c>
      <c r="E999" s="4" t="s">
        <v>25</v>
      </c>
      <c r="F999" s="4" t="s">
        <v>25</v>
      </c>
      <c r="G999" s="4" t="s">
        <v>25</v>
      </c>
      <c r="H999" s="4" t="s">
        <v>25</v>
      </c>
      <c r="I999" s="5">
        <v>44713</v>
      </c>
      <c r="J999" s="6">
        <v>0</v>
      </c>
      <c r="K999" s="6">
        <v>0</v>
      </c>
      <c r="L999" s="6">
        <v>11106.716</v>
      </c>
      <c r="M999" s="6">
        <v>11106.716</v>
      </c>
      <c r="N999" s="6">
        <v>11106.716</v>
      </c>
      <c r="O999" s="6">
        <v>11106.716</v>
      </c>
      <c r="P999" s="6">
        <v>103012</v>
      </c>
      <c r="Q999" s="4" t="s">
        <v>26</v>
      </c>
      <c r="R999" s="4">
        <v>0</v>
      </c>
      <c r="S999" s="4">
        <v>0</v>
      </c>
      <c r="T999" s="4">
        <v>27</v>
      </c>
      <c r="U999" s="4">
        <v>85</v>
      </c>
      <c r="V999" s="6">
        <f>IF(ISERROR(VLOOKUP($S$999,'TAR FIN'!$A$1:$O$104,15,0)),0,VLOOKUP($S$999,'TAR FIN'!$A$1:$O$104,15,0))</f>
        <v>0</v>
      </c>
      <c r="W999" s="6">
        <f>IF(ISERROR(VLOOKUP($T$999,'TAR FIN'!$A$1:$O$104,15,0)),0,VLOOKUP($T$999,'TAR FIN'!$A$1:$O$104,15,0))</f>
        <v>300.26</v>
      </c>
      <c r="X999" s="6">
        <f>IF(ISERROR(VLOOKUP($U$999,'TAR FIN'!$A$1:$O$104,15,0)),0,VLOOKUP($U$999,'TAR FIN'!$A$1:$O$104,15,0))</f>
        <v>225.04</v>
      </c>
      <c r="Y999" s="6"/>
      <c r="Z999" s="6">
        <f ca="1">('TUSD BE'!$AM$47+'TUSD BF'!$AM$47+'TUSD CVA'!$AM$47)*(1-CUSTOS!$M$38)</f>
        <v>335.21342816228281</v>
      </c>
      <c r="AA999" s="6">
        <f>('TE BE'!$AB$26+'TE BF'!$AB$26+'TE CVA'!$AB$26)*(1-CUSTOS!$M$38)</f>
        <v>227.92247399192311</v>
      </c>
      <c r="AB999" s="6">
        <f t="shared" si="46"/>
        <v>0</v>
      </c>
      <c r="AC999" s="6">
        <f>(L999-M999)*(W999+X999)+($W$672+$X$672-$W$999-$X$999)*(L999)</f>
        <v>795462.99991999974</v>
      </c>
      <c r="AD999" s="6">
        <f t="shared" si="47"/>
        <v>0</v>
      </c>
      <c r="AE999" s="6">
        <f ca="1">(L999-M999)*(Z999+AA999)+($Z$672+$AA$672-$Z$999-$AA$999)*(L999)</f>
        <v>399229.18306152598</v>
      </c>
      <c r="AF999" s="4" t="s">
        <v>998</v>
      </c>
    </row>
    <row r="1000" spans="1:32" ht="11.25" customHeight="1" x14ac:dyDescent="0.25">
      <c r="A1000" s="4" t="s">
        <v>27</v>
      </c>
      <c r="B1000" s="4" t="s">
        <v>44</v>
      </c>
      <c r="C1000" s="4" t="s">
        <v>23</v>
      </c>
      <c r="D1000" s="4" t="s">
        <v>45</v>
      </c>
      <c r="E1000" s="4" t="s">
        <v>25</v>
      </c>
      <c r="F1000" s="4" t="s">
        <v>25</v>
      </c>
      <c r="G1000" s="4" t="s">
        <v>25</v>
      </c>
      <c r="H1000" s="4" t="s">
        <v>25</v>
      </c>
      <c r="I1000" s="5">
        <v>44713</v>
      </c>
      <c r="J1000" s="6">
        <v>0</v>
      </c>
      <c r="K1000" s="6">
        <v>0</v>
      </c>
      <c r="L1000" s="6">
        <v>-12.156000000000001</v>
      </c>
      <c r="M1000" s="6">
        <v>-12.156000000000001</v>
      </c>
      <c r="N1000" s="6">
        <v>-12.156000000000001</v>
      </c>
      <c r="O1000" s="6">
        <v>-12.156000000000001</v>
      </c>
      <c r="P1000" s="6">
        <v>-19</v>
      </c>
      <c r="Q1000" s="4" t="s">
        <v>26</v>
      </c>
      <c r="R1000" s="4">
        <v>0</v>
      </c>
      <c r="S1000" s="4">
        <v>0</v>
      </c>
      <c r="T1000" s="4">
        <v>27</v>
      </c>
      <c r="U1000" s="4">
        <v>85</v>
      </c>
      <c r="V1000" s="6">
        <f>IF(ISERROR(VLOOKUP($S$1000,'TAR FIN'!$A$1:$O$104,15,0)),0,VLOOKUP($S$1000,'TAR FIN'!$A$1:$O$104,15,0))</f>
        <v>0</v>
      </c>
      <c r="W1000" s="6">
        <f>IF(ISERROR(VLOOKUP($T$1000,'TAR FIN'!$A$1:$O$104,15,0)),0,VLOOKUP($T$1000,'TAR FIN'!$A$1:$O$104,15,0))</f>
        <v>300.26</v>
      </c>
      <c r="X1000" s="6">
        <f>IF(ISERROR(VLOOKUP($U$1000,'TAR FIN'!$A$1:$O$104,15,0)),0,VLOOKUP($U$1000,'TAR FIN'!$A$1:$O$104,15,0))</f>
        <v>225.04</v>
      </c>
      <c r="Y1000" s="6"/>
      <c r="Z1000" s="6">
        <f ca="1">('TUSD BE'!$AM$47+'TUSD BF'!$AM$47+'TUSD CVA'!$AM$47)*(1-CUSTOS!$M$38)</f>
        <v>335.21342816228281</v>
      </c>
      <c r="AA1000" s="6">
        <f>('TE BE'!$AB$26+'TE BF'!$AB$26+'TE CVA'!$AB$26)*(1-CUSTOS!$M$38)</f>
        <v>227.92247399192311</v>
      </c>
      <c r="AB1000" s="6">
        <f t="shared" si="46"/>
        <v>0</v>
      </c>
      <c r="AC1000" s="6">
        <f>(L1000-M1000)*(W1000+X1000)+($W$672+$X$672-$W$1000-$X$1000)*(L1000)</f>
        <v>-870.61271999999974</v>
      </c>
      <c r="AD1000" s="6">
        <f t="shared" si="47"/>
        <v>0</v>
      </c>
      <c r="AE1000" s="6">
        <f ca="1">(L1000-M1000)*(Z1000+AA1000)+($Z$672+$AA$672-$Z$1000-$AA$1000)*(L1000)</f>
        <v>-436.94553361190742</v>
      </c>
      <c r="AF1000" s="4" t="s">
        <v>998</v>
      </c>
    </row>
    <row r="1001" spans="1:32" ht="11.25" customHeight="1" x14ac:dyDescent="0.25">
      <c r="A1001" s="4" t="s">
        <v>28</v>
      </c>
      <c r="B1001" s="4" t="s">
        <v>44</v>
      </c>
      <c r="C1001" s="4" t="s">
        <v>23</v>
      </c>
      <c r="D1001" s="4" t="s">
        <v>45</v>
      </c>
      <c r="E1001" s="4" t="s">
        <v>25</v>
      </c>
      <c r="F1001" s="4" t="s">
        <v>25</v>
      </c>
      <c r="G1001" s="4" t="s">
        <v>25</v>
      </c>
      <c r="H1001" s="4" t="s">
        <v>25</v>
      </c>
      <c r="I1001" s="5">
        <v>44713</v>
      </c>
      <c r="J1001" s="6">
        <v>0</v>
      </c>
      <c r="K1001" s="6">
        <v>0</v>
      </c>
      <c r="L1001" s="6">
        <v>346.21</v>
      </c>
      <c r="M1001" s="6">
        <v>346.21</v>
      </c>
      <c r="N1001" s="6">
        <v>346.21</v>
      </c>
      <c r="O1001" s="6">
        <v>346.21</v>
      </c>
      <c r="P1001" s="6">
        <v>1263</v>
      </c>
      <c r="Q1001" s="4" t="s">
        <v>26</v>
      </c>
      <c r="R1001" s="4">
        <v>0</v>
      </c>
      <c r="S1001" s="4">
        <v>0</v>
      </c>
      <c r="T1001" s="4">
        <v>27</v>
      </c>
      <c r="U1001" s="4">
        <v>85</v>
      </c>
      <c r="V1001" s="6">
        <f>IF(ISERROR(VLOOKUP($S$1001,'TAR FIN'!$A$1:$O$104,15,0)),0,VLOOKUP($S$1001,'TAR FIN'!$A$1:$O$104,15,0))</f>
        <v>0</v>
      </c>
      <c r="W1001" s="6">
        <f>IF(ISERROR(VLOOKUP($T$1001,'TAR FIN'!$A$1:$O$104,15,0)),0,VLOOKUP($T$1001,'TAR FIN'!$A$1:$O$104,15,0))</f>
        <v>300.26</v>
      </c>
      <c r="X1001" s="6">
        <f>IF(ISERROR(VLOOKUP($U$1001,'TAR FIN'!$A$1:$O$104,15,0)),0,VLOOKUP($U$1001,'TAR FIN'!$A$1:$O$104,15,0))</f>
        <v>225.04</v>
      </c>
      <c r="Y1001" s="6"/>
      <c r="Z1001" s="6">
        <f ca="1">('TUSD BE'!$AM$47+'TUSD BF'!$AM$47+'TUSD CVA'!$AM$47)*(1-CUSTOS!$M$38)</f>
        <v>335.21342816228281</v>
      </c>
      <c r="AA1001" s="6">
        <f>('TE BE'!$AB$26+'TE BF'!$AB$26+'TE CVA'!$AB$26)*(1-CUSTOS!$M$38)</f>
        <v>227.92247399192311</v>
      </c>
      <c r="AB1001" s="6">
        <f t="shared" si="46"/>
        <v>0</v>
      </c>
      <c r="AC1001" s="6">
        <f>(L1001-M1001)*(W1001+X1001)+($W$672+$X$672-$W$1001-$X$1001)*(L1001)</f>
        <v>24795.560199999989</v>
      </c>
      <c r="AD1001" s="6">
        <f t="shared" si="47"/>
        <v>0</v>
      </c>
      <c r="AE1001" s="6">
        <f ca="1">(L1001-M1001)*(Z1001+AA1001)+($Z$672+$AA$672-$Z$1001-$AA$1001)*(L1001)</f>
        <v>12444.464724562229</v>
      </c>
      <c r="AF1001" s="4" t="s">
        <v>998</v>
      </c>
    </row>
    <row r="1002" spans="1:32" ht="11.25" customHeight="1" x14ac:dyDescent="0.25">
      <c r="A1002" s="4" t="s">
        <v>57</v>
      </c>
      <c r="B1002" s="4" t="s">
        <v>44</v>
      </c>
      <c r="C1002" s="4" t="s">
        <v>23</v>
      </c>
      <c r="D1002" s="4" t="s">
        <v>45</v>
      </c>
      <c r="E1002" s="4" t="s">
        <v>25</v>
      </c>
      <c r="F1002" s="4" t="s">
        <v>25</v>
      </c>
      <c r="G1002" s="4" t="s">
        <v>25</v>
      </c>
      <c r="H1002" s="4" t="s">
        <v>25</v>
      </c>
      <c r="I1002" s="5">
        <v>44743</v>
      </c>
      <c r="J1002" s="6">
        <v>0</v>
      </c>
      <c r="K1002" s="6">
        <v>0</v>
      </c>
      <c r="L1002" s="6">
        <v>11106.716</v>
      </c>
      <c r="M1002" s="6">
        <v>11106.716</v>
      </c>
      <c r="N1002" s="6">
        <v>11106.716</v>
      </c>
      <c r="O1002" s="6">
        <v>11106.716</v>
      </c>
      <c r="P1002" s="6">
        <v>103012</v>
      </c>
      <c r="Q1002" s="4" t="s">
        <v>26</v>
      </c>
      <c r="R1002" s="4">
        <v>0</v>
      </c>
      <c r="S1002" s="4">
        <v>0</v>
      </c>
      <c r="T1002" s="4">
        <v>27</v>
      </c>
      <c r="U1002" s="4">
        <v>85</v>
      </c>
      <c r="V1002" s="6">
        <f>IF(ISERROR(VLOOKUP($S$1002,'TAR FIN'!$A$1:$O$104,15,0)),0,VLOOKUP($S$1002,'TAR FIN'!$A$1:$O$104,15,0))</f>
        <v>0</v>
      </c>
      <c r="W1002" s="6">
        <f>IF(ISERROR(VLOOKUP($T$1002,'TAR FIN'!$A$1:$O$104,15,0)),0,VLOOKUP($T$1002,'TAR FIN'!$A$1:$O$104,15,0))</f>
        <v>300.26</v>
      </c>
      <c r="X1002" s="6">
        <f>IF(ISERROR(VLOOKUP($U$1002,'TAR FIN'!$A$1:$O$104,15,0)),0,VLOOKUP($U$1002,'TAR FIN'!$A$1:$O$104,15,0))</f>
        <v>225.04</v>
      </c>
      <c r="Y1002" s="6"/>
      <c r="Z1002" s="6">
        <f ca="1">('TUSD BE'!$AM$47+'TUSD BF'!$AM$47+'TUSD CVA'!$AM$47)*(1-CUSTOS!$M$38)</f>
        <v>335.21342816228281</v>
      </c>
      <c r="AA1002" s="6">
        <f>('TE BE'!$AB$26+'TE BF'!$AB$26+'TE CVA'!$AB$26)*(1-CUSTOS!$M$38)</f>
        <v>227.92247399192311</v>
      </c>
      <c r="AB1002" s="6">
        <f t="shared" si="46"/>
        <v>0</v>
      </c>
      <c r="AC1002" s="6">
        <f>(L1002-M1002)*(W1002+X1002)+($W$672+$X$672-$W$1002-$X$1002)*(L1002)</f>
        <v>795462.99991999974</v>
      </c>
      <c r="AD1002" s="6">
        <f t="shared" si="47"/>
        <v>0</v>
      </c>
      <c r="AE1002" s="6">
        <f ca="1">(L1002-M1002)*(Z1002+AA1002)+($Z$672+$AA$672-$Z$1002-$AA$1002)*(L1002)</f>
        <v>399229.18306152598</v>
      </c>
      <c r="AF1002" s="4" t="s">
        <v>998</v>
      </c>
    </row>
    <row r="1003" spans="1:32" ht="11.25" customHeight="1" x14ac:dyDescent="0.25">
      <c r="A1003" s="4" t="s">
        <v>57</v>
      </c>
      <c r="B1003" s="4" t="s">
        <v>44</v>
      </c>
      <c r="C1003" s="4" t="s">
        <v>23</v>
      </c>
      <c r="D1003" s="4" t="s">
        <v>45</v>
      </c>
      <c r="E1003" s="4" t="s">
        <v>25</v>
      </c>
      <c r="F1003" s="4" t="s">
        <v>25</v>
      </c>
      <c r="G1003" s="4" t="s">
        <v>25</v>
      </c>
      <c r="H1003" s="4" t="s">
        <v>25</v>
      </c>
      <c r="I1003" s="5">
        <v>44743</v>
      </c>
      <c r="J1003" s="6">
        <v>0</v>
      </c>
      <c r="K1003" s="6">
        <v>0</v>
      </c>
      <c r="L1003" s="6">
        <v>-12.156000000000001</v>
      </c>
      <c r="M1003" s="6">
        <v>-12.156000000000001</v>
      </c>
      <c r="N1003" s="6">
        <v>-12.156000000000001</v>
      </c>
      <c r="O1003" s="6">
        <v>-12.156000000000001</v>
      </c>
      <c r="P1003" s="6">
        <v>-19</v>
      </c>
      <c r="Q1003" s="4" t="s">
        <v>26</v>
      </c>
      <c r="R1003" s="4">
        <v>0</v>
      </c>
      <c r="S1003" s="4">
        <v>0</v>
      </c>
      <c r="T1003" s="4">
        <v>27</v>
      </c>
      <c r="U1003" s="4">
        <v>85</v>
      </c>
      <c r="V1003" s="6">
        <f>IF(ISERROR(VLOOKUP($S$1003,'TAR FIN'!$A$1:$O$104,15,0)),0,VLOOKUP($S$1003,'TAR FIN'!$A$1:$O$104,15,0))</f>
        <v>0</v>
      </c>
      <c r="W1003" s="6">
        <f>IF(ISERROR(VLOOKUP($T$1003,'TAR FIN'!$A$1:$O$104,15,0)),0,VLOOKUP($T$1003,'TAR FIN'!$A$1:$O$104,15,0))</f>
        <v>300.26</v>
      </c>
      <c r="X1003" s="6">
        <f>IF(ISERROR(VLOOKUP($U$1003,'TAR FIN'!$A$1:$O$104,15,0)),0,VLOOKUP($U$1003,'TAR FIN'!$A$1:$O$104,15,0))</f>
        <v>225.04</v>
      </c>
      <c r="Y1003" s="6"/>
      <c r="Z1003" s="6">
        <f ca="1">('TUSD BE'!$AM$47+'TUSD BF'!$AM$47+'TUSD CVA'!$AM$47)*(1-CUSTOS!$M$38)</f>
        <v>335.21342816228281</v>
      </c>
      <c r="AA1003" s="6">
        <f>('TE BE'!$AB$26+'TE BF'!$AB$26+'TE CVA'!$AB$26)*(1-CUSTOS!$M$38)</f>
        <v>227.92247399192311</v>
      </c>
      <c r="AB1003" s="6">
        <f t="shared" si="46"/>
        <v>0</v>
      </c>
      <c r="AC1003" s="6">
        <f>(L1003-M1003)*(W1003+X1003)+($W$672+$X$672-$W$1003-$X$1003)*(L1003)</f>
        <v>-870.61271999999974</v>
      </c>
      <c r="AD1003" s="6">
        <f t="shared" si="47"/>
        <v>0</v>
      </c>
      <c r="AE1003" s="6">
        <f ca="1">(L1003-M1003)*(Z1003+AA1003)+($Z$672+$AA$672-$Z$1003-$AA$1003)*(L1003)</f>
        <v>-436.94553361190742</v>
      </c>
      <c r="AF1003" s="4" t="s">
        <v>998</v>
      </c>
    </row>
    <row r="1004" spans="1:32" ht="11.25" customHeight="1" x14ac:dyDescent="0.25">
      <c r="A1004" s="4" t="s">
        <v>57</v>
      </c>
      <c r="B1004" s="4" t="s">
        <v>44</v>
      </c>
      <c r="C1004" s="4" t="s">
        <v>23</v>
      </c>
      <c r="D1004" s="4" t="s">
        <v>45</v>
      </c>
      <c r="E1004" s="4" t="s">
        <v>25</v>
      </c>
      <c r="F1004" s="4" t="s">
        <v>25</v>
      </c>
      <c r="G1004" s="4" t="s">
        <v>25</v>
      </c>
      <c r="H1004" s="4" t="s">
        <v>25</v>
      </c>
      <c r="I1004" s="5">
        <v>44743</v>
      </c>
      <c r="J1004" s="6">
        <v>0</v>
      </c>
      <c r="K1004" s="6">
        <v>0</v>
      </c>
      <c r="L1004" s="6">
        <v>346.21</v>
      </c>
      <c r="M1004" s="6">
        <v>346.21</v>
      </c>
      <c r="N1004" s="6">
        <v>346.21</v>
      </c>
      <c r="O1004" s="6">
        <v>346.21</v>
      </c>
      <c r="P1004" s="6">
        <v>1263</v>
      </c>
      <c r="Q1004" s="4" t="s">
        <v>26</v>
      </c>
      <c r="R1004" s="4">
        <v>0</v>
      </c>
      <c r="S1004" s="4">
        <v>0</v>
      </c>
      <c r="T1004" s="4">
        <v>27</v>
      </c>
      <c r="U1004" s="4">
        <v>85</v>
      </c>
      <c r="V1004" s="6">
        <f>IF(ISERROR(VLOOKUP($S$1004,'TAR FIN'!$A$1:$O$104,15,0)),0,VLOOKUP($S$1004,'TAR FIN'!$A$1:$O$104,15,0))</f>
        <v>0</v>
      </c>
      <c r="W1004" s="6">
        <f>IF(ISERROR(VLOOKUP($T$1004,'TAR FIN'!$A$1:$O$104,15,0)),0,VLOOKUP($T$1004,'TAR FIN'!$A$1:$O$104,15,0))</f>
        <v>300.26</v>
      </c>
      <c r="X1004" s="6">
        <f>IF(ISERROR(VLOOKUP($U$1004,'TAR FIN'!$A$1:$O$104,15,0)),0,VLOOKUP($U$1004,'TAR FIN'!$A$1:$O$104,15,0))</f>
        <v>225.04</v>
      </c>
      <c r="Y1004" s="6"/>
      <c r="Z1004" s="6">
        <f ca="1">('TUSD BE'!$AM$47+'TUSD BF'!$AM$47+'TUSD CVA'!$AM$47)*(1-CUSTOS!$M$38)</f>
        <v>335.21342816228281</v>
      </c>
      <c r="AA1004" s="6">
        <f>('TE BE'!$AB$26+'TE BF'!$AB$26+'TE CVA'!$AB$26)*(1-CUSTOS!$M$38)</f>
        <v>227.92247399192311</v>
      </c>
      <c r="AB1004" s="6">
        <f t="shared" si="46"/>
        <v>0</v>
      </c>
      <c r="AC1004" s="6">
        <f>(L1004-M1004)*(W1004+X1004)+($W$672+$X$672-$W$1004-$X$1004)*(L1004)</f>
        <v>24795.560199999989</v>
      </c>
      <c r="AD1004" s="6">
        <f t="shared" si="47"/>
        <v>0</v>
      </c>
      <c r="AE1004" s="6">
        <f ca="1">(L1004-M1004)*(Z1004+AA1004)+($Z$672+$AA$672-$Z$1004-$AA$1004)*(L1004)</f>
        <v>12444.464724562229</v>
      </c>
      <c r="AF1004" s="4" t="s">
        <v>998</v>
      </c>
    </row>
    <row r="1005" spans="1:32" ht="11.25" customHeight="1" x14ac:dyDescent="0.25">
      <c r="A1005" s="4" t="s">
        <v>21</v>
      </c>
      <c r="B1005" s="4" t="s">
        <v>37</v>
      </c>
      <c r="C1005" s="4" t="s">
        <v>23</v>
      </c>
      <c r="D1005" s="4" t="s">
        <v>50</v>
      </c>
      <c r="E1005" s="4" t="s">
        <v>51</v>
      </c>
      <c r="F1005" s="4" t="s">
        <v>25</v>
      </c>
      <c r="G1005" s="4" t="s">
        <v>25</v>
      </c>
      <c r="H1005" s="4" t="s">
        <v>25</v>
      </c>
      <c r="I1005" s="5">
        <v>44409</v>
      </c>
      <c r="J1005" s="6">
        <v>0</v>
      </c>
      <c r="K1005" s="60">
        <v>0</v>
      </c>
      <c r="L1005" s="6">
        <v>2482.0250000000001</v>
      </c>
      <c r="M1005" s="60">
        <v>2482.0250000000001</v>
      </c>
      <c r="N1005" s="6">
        <v>2482.0250000000001</v>
      </c>
      <c r="O1005" s="60">
        <v>2482.0250000000001</v>
      </c>
      <c r="P1005" s="6">
        <v>828</v>
      </c>
      <c r="Q1005" s="4" t="s">
        <v>26</v>
      </c>
      <c r="R1005" s="4">
        <v>0</v>
      </c>
      <c r="S1005" s="4">
        <v>0</v>
      </c>
      <c r="T1005" s="4">
        <v>57</v>
      </c>
      <c r="U1005" s="4">
        <v>100</v>
      </c>
      <c r="V1005" s="60">
        <f>IF(ISERROR(VLOOKUP($S$1005,'TAR FIN'!$A$1:$O$104,15,0)),0,VLOOKUP($S$1005,'TAR FIN'!$A$1:$O$104,15,0))</f>
        <v>0</v>
      </c>
      <c r="W1005" s="60">
        <f>IF(ISERROR(VLOOKUP($T$1005,'TAR FIN'!$A$1:$O$104,15,0)),0,VLOOKUP($T$1005,'TAR FIN'!$A$1:$O$104,15,0))*(1-0.06)</f>
        <v>320.72799999999995</v>
      </c>
      <c r="X1005" s="60">
        <f>IF(ISERROR(VLOOKUP($U$1005,'TAR FIN'!$A$1:$O$104,15,0)),0,VLOOKUP($U$1005,'TAR FIN'!$A$1:$O$104,15,0))*(1-0.06)</f>
        <v>240.37679999999997</v>
      </c>
      <c r="Y1005" s="60"/>
      <c r="Z1005" s="60">
        <f ca="1">('TUSD BE'!$AM$62+'TUSD BF'!$AM$62+'TUSD CVA'!$AM$62)*1*(1-0.03)</f>
        <v>345.91172906107909</v>
      </c>
      <c r="AA1005" s="60">
        <f>('TE BE'!$AB$41+'TE BF'!$AB$41+'TE CVA'!$AB$41)*1*(1-0.03)</f>
        <v>235.19659550230367</v>
      </c>
      <c r="AB1005" s="60">
        <f>(SUBSIDIO!$J$1005*SUBSIDIO!$V$1005)*(0.06)/(1-0.06)</f>
        <v>0</v>
      </c>
      <c r="AC1005" s="60">
        <f>((SUBSIDIO!$L$1005*SUBSIDIO!$W$1005)+(SUBSIDIO!$N$1005*SUBSIDIO!$X$1005))*(0.06)/(1-0.06)</f>
        <v>88894.221779999993</v>
      </c>
      <c r="AD1005" s="60">
        <f>(SUBSIDIO!$J$1005*SUBSIDIO!$Y$1005)*(0.03)/(1-0.03)</f>
        <v>0</v>
      </c>
      <c r="AE1005" s="60">
        <f ca="1">((SUBSIDIO!$L$1005*SUBSIDIO!$Z$1005)+(SUBSIDIO!$N$1005*SUBSIDIO!$AA$1005))*(0.03)/(1-0.03)</f>
        <v>44608.00173013701</v>
      </c>
      <c r="AF1005" s="4" t="s">
        <v>999</v>
      </c>
    </row>
    <row r="1006" spans="1:32" ht="11.25" customHeight="1" x14ac:dyDescent="0.25">
      <c r="A1006" s="4" t="s">
        <v>21</v>
      </c>
      <c r="B1006" s="4" t="s">
        <v>37</v>
      </c>
      <c r="C1006" s="4" t="s">
        <v>23</v>
      </c>
      <c r="D1006" s="4" t="s">
        <v>50</v>
      </c>
      <c r="E1006" s="4" t="s">
        <v>51</v>
      </c>
      <c r="F1006" s="4" t="s">
        <v>25</v>
      </c>
      <c r="G1006" s="4" t="s">
        <v>25</v>
      </c>
      <c r="H1006" s="4" t="s">
        <v>25</v>
      </c>
      <c r="I1006" s="5">
        <v>44440</v>
      </c>
      <c r="J1006" s="6">
        <v>0</v>
      </c>
      <c r="K1006" s="60">
        <v>0</v>
      </c>
      <c r="L1006" s="6">
        <v>2433.2939999999999</v>
      </c>
      <c r="M1006" s="60">
        <v>2433.2939999999999</v>
      </c>
      <c r="N1006" s="6">
        <v>2433.2939999999999</v>
      </c>
      <c r="O1006" s="60">
        <v>2433.2939999999999</v>
      </c>
      <c r="P1006" s="6">
        <v>834</v>
      </c>
      <c r="Q1006" s="4" t="s">
        <v>26</v>
      </c>
      <c r="R1006" s="4">
        <v>0</v>
      </c>
      <c r="S1006" s="4">
        <v>0</v>
      </c>
      <c r="T1006" s="4">
        <v>57</v>
      </c>
      <c r="U1006" s="4">
        <v>100</v>
      </c>
      <c r="V1006" s="60">
        <f>IF(ISERROR(VLOOKUP($S$1006,'TAR FIN'!$A$1:$O$104,15,0)),0,VLOOKUP($S$1006,'TAR FIN'!$A$1:$O$104,15,0))</f>
        <v>0</v>
      </c>
      <c r="W1006" s="60">
        <f>IF(ISERROR(VLOOKUP($T$1006,'TAR FIN'!$A$1:$O$104,15,0)),0,VLOOKUP($T$1006,'TAR FIN'!$A$1:$O$104,15,0))*(1-0.06)</f>
        <v>320.72799999999995</v>
      </c>
      <c r="X1006" s="60">
        <f>IF(ISERROR(VLOOKUP($U$1006,'TAR FIN'!$A$1:$O$104,15,0)),0,VLOOKUP($U$1006,'TAR FIN'!$A$1:$O$104,15,0))*(1-0.06)</f>
        <v>240.37679999999997</v>
      </c>
      <c r="Y1006" s="60"/>
      <c r="Z1006" s="60">
        <f ca="1">('TUSD BE'!$AM$62+'TUSD BF'!$AM$62+'TUSD CVA'!$AM$62)*1*(1-0.03)</f>
        <v>345.91172906107909</v>
      </c>
      <c r="AA1006" s="60">
        <f>('TE BE'!$AB$41+'TE BF'!$AB$41+'TE CVA'!$AB$41)*1*(1-0.03)</f>
        <v>235.19659550230367</v>
      </c>
      <c r="AB1006" s="60">
        <f>(SUBSIDIO!$J$1006*SUBSIDIO!$V$1006)*(0.06)/(1-0.06)</f>
        <v>0</v>
      </c>
      <c r="AC1006" s="60">
        <f>((SUBSIDIO!$L$1006*SUBSIDIO!$W$1006)+(SUBSIDIO!$N$1006*SUBSIDIO!$X$1006))*(0.06)/(1-0.06)</f>
        <v>87148.911268799988</v>
      </c>
      <c r="AD1006" s="60">
        <f>(SUBSIDIO!$J$1006*SUBSIDIO!$Y$1006)*(0.03)/(1-0.03)</f>
        <v>0</v>
      </c>
      <c r="AE1006" s="60">
        <f ca="1">((SUBSIDIO!$L$1006*SUBSIDIO!$Z$1006)+(SUBSIDIO!$N$1006*SUBSIDIO!$AA$1006))*(0.03)/(1-0.03)</f>
        <v>43732.18761371541</v>
      </c>
      <c r="AF1006" s="4" t="s">
        <v>999</v>
      </c>
    </row>
    <row r="1007" spans="1:32" ht="11.25" customHeight="1" x14ac:dyDescent="0.25">
      <c r="A1007" s="4" t="s">
        <v>21</v>
      </c>
      <c r="B1007" s="4" t="s">
        <v>37</v>
      </c>
      <c r="C1007" s="4" t="s">
        <v>23</v>
      </c>
      <c r="D1007" s="4" t="s">
        <v>50</v>
      </c>
      <c r="E1007" s="4" t="s">
        <v>51</v>
      </c>
      <c r="F1007" s="4" t="s">
        <v>25</v>
      </c>
      <c r="G1007" s="4" t="s">
        <v>25</v>
      </c>
      <c r="H1007" s="4" t="s">
        <v>25</v>
      </c>
      <c r="I1007" s="5">
        <v>44470</v>
      </c>
      <c r="J1007" s="6">
        <v>0</v>
      </c>
      <c r="K1007" s="60">
        <v>0</v>
      </c>
      <c r="L1007" s="6">
        <v>2406.951</v>
      </c>
      <c r="M1007" s="60">
        <v>2406.951</v>
      </c>
      <c r="N1007" s="6">
        <v>2406.951</v>
      </c>
      <c r="O1007" s="60">
        <v>2406.951</v>
      </c>
      <c r="P1007" s="6">
        <v>827</v>
      </c>
      <c r="Q1007" s="4" t="s">
        <v>26</v>
      </c>
      <c r="R1007" s="4">
        <v>0</v>
      </c>
      <c r="S1007" s="4">
        <v>0</v>
      </c>
      <c r="T1007" s="4">
        <v>57</v>
      </c>
      <c r="U1007" s="4">
        <v>100</v>
      </c>
      <c r="V1007" s="60">
        <f>IF(ISERROR(VLOOKUP($S$1007,'TAR FIN'!$A$1:$O$104,15,0)),0,VLOOKUP($S$1007,'TAR FIN'!$A$1:$O$104,15,0))</f>
        <v>0</v>
      </c>
      <c r="W1007" s="60">
        <f>IF(ISERROR(VLOOKUP($T$1007,'TAR FIN'!$A$1:$O$104,15,0)),0,VLOOKUP($T$1007,'TAR FIN'!$A$1:$O$104,15,0))*(1-0.06)</f>
        <v>320.72799999999995</v>
      </c>
      <c r="X1007" s="60">
        <f>IF(ISERROR(VLOOKUP($U$1007,'TAR FIN'!$A$1:$O$104,15,0)),0,VLOOKUP($U$1007,'TAR FIN'!$A$1:$O$104,15,0))*(1-0.06)</f>
        <v>240.37679999999997</v>
      </c>
      <c r="Y1007" s="60"/>
      <c r="Z1007" s="60">
        <f ca="1">('TUSD BE'!$AM$62+'TUSD BF'!$AM$62+'TUSD CVA'!$AM$62)*1*(1-0.03)</f>
        <v>345.91172906107909</v>
      </c>
      <c r="AA1007" s="60">
        <f>('TE BE'!$AB$41+'TE BF'!$AB$41+'TE CVA'!$AB$41)*1*(1-0.03)</f>
        <v>235.19659550230367</v>
      </c>
      <c r="AB1007" s="60">
        <f>(SUBSIDIO!$J$1007*SUBSIDIO!$V$1007)*(0.06)/(1-0.06)</f>
        <v>0</v>
      </c>
      <c r="AC1007" s="60">
        <f>((SUBSIDIO!$L$1007*SUBSIDIO!$W$1007)+(SUBSIDIO!$N$1007*SUBSIDIO!$X$1007))*(0.06)/(1-0.06)</f>
        <v>86205.4314552</v>
      </c>
      <c r="AD1007" s="60">
        <f>(SUBSIDIO!$J$1007*SUBSIDIO!$Y$1007)*(0.03)/(1-0.03)</f>
        <v>0</v>
      </c>
      <c r="AE1007" s="60">
        <f ca="1">((SUBSIDIO!$L$1007*SUBSIDIO!$Z$1007)+(SUBSIDIO!$N$1007*SUBSIDIO!$AA$1007))*(0.03)/(1-0.03)</f>
        <v>43258.740090190477</v>
      </c>
      <c r="AF1007" s="4" t="s">
        <v>999</v>
      </c>
    </row>
    <row r="1008" spans="1:32" ht="11.25" customHeight="1" x14ac:dyDescent="0.25">
      <c r="A1008" s="4" t="s">
        <v>21</v>
      </c>
      <c r="B1008" s="4" t="s">
        <v>37</v>
      </c>
      <c r="C1008" s="4" t="s">
        <v>23</v>
      </c>
      <c r="D1008" s="4" t="s">
        <v>50</v>
      </c>
      <c r="E1008" s="4" t="s">
        <v>51</v>
      </c>
      <c r="F1008" s="4" t="s">
        <v>25</v>
      </c>
      <c r="G1008" s="4" t="s">
        <v>25</v>
      </c>
      <c r="H1008" s="4" t="s">
        <v>25</v>
      </c>
      <c r="I1008" s="5">
        <v>44501</v>
      </c>
      <c r="J1008" s="6">
        <v>0</v>
      </c>
      <c r="K1008" s="60">
        <v>0</v>
      </c>
      <c r="L1008" s="6">
        <v>2420.7080000000001</v>
      </c>
      <c r="M1008" s="60">
        <v>2420.7080000000001</v>
      </c>
      <c r="N1008" s="6">
        <v>2420.7080000000001</v>
      </c>
      <c r="O1008" s="60">
        <v>2420.7080000000001</v>
      </c>
      <c r="P1008" s="6">
        <v>832</v>
      </c>
      <c r="Q1008" s="4" t="s">
        <v>26</v>
      </c>
      <c r="R1008" s="4">
        <v>0</v>
      </c>
      <c r="S1008" s="4">
        <v>0</v>
      </c>
      <c r="T1008" s="4">
        <v>57</v>
      </c>
      <c r="U1008" s="4">
        <v>100</v>
      </c>
      <c r="V1008" s="60">
        <f>IF(ISERROR(VLOOKUP($S$1008,'TAR FIN'!$A$1:$O$104,15,0)),0,VLOOKUP($S$1008,'TAR FIN'!$A$1:$O$104,15,0))</f>
        <v>0</v>
      </c>
      <c r="W1008" s="60">
        <f>IF(ISERROR(VLOOKUP($T$1008,'TAR FIN'!$A$1:$O$104,15,0)),0,VLOOKUP($T$1008,'TAR FIN'!$A$1:$O$104,15,0))*(1-0.06)</f>
        <v>320.72799999999995</v>
      </c>
      <c r="X1008" s="60">
        <f>IF(ISERROR(VLOOKUP($U$1008,'TAR FIN'!$A$1:$O$104,15,0)),0,VLOOKUP($U$1008,'TAR FIN'!$A$1:$O$104,15,0))*(1-0.06)</f>
        <v>240.37679999999997</v>
      </c>
      <c r="Y1008" s="60"/>
      <c r="Z1008" s="60">
        <f ca="1">('TUSD BE'!$AM$62+'TUSD BF'!$AM$62+'TUSD CVA'!$AM$62)*1*(1-0.03)</f>
        <v>345.91172906107909</v>
      </c>
      <c r="AA1008" s="60">
        <f>('TE BE'!$AB$41+'TE BF'!$AB$41+'TE CVA'!$AB$41)*1*(1-0.03)</f>
        <v>235.19659550230367</v>
      </c>
      <c r="AB1008" s="60">
        <f>(SUBSIDIO!$J$1008*SUBSIDIO!$V$1008)*(0.06)/(1-0.06)</f>
        <v>0</v>
      </c>
      <c r="AC1008" s="60">
        <f>((SUBSIDIO!$L$1008*SUBSIDIO!$W$1008)+(SUBSIDIO!$N$1008*SUBSIDIO!$X$1008))*(0.06)/(1-0.06)</f>
        <v>86698.141161599997</v>
      </c>
      <c r="AD1008" s="60">
        <f>(SUBSIDIO!$J$1008*SUBSIDIO!$Y$1008)*(0.03)/(1-0.03)</f>
        <v>0</v>
      </c>
      <c r="AE1008" s="60">
        <f ca="1">((SUBSIDIO!$L$1008*SUBSIDIO!$Z$1008)+(SUBSIDIO!$N$1008*SUBSIDIO!$AA$1008))*(0.03)/(1-0.03)</f>
        <v>43505.986705273514</v>
      </c>
      <c r="AF1008" s="4" t="s">
        <v>999</v>
      </c>
    </row>
    <row r="1009" spans="1:32" ht="11.25" customHeight="1" x14ac:dyDescent="0.25">
      <c r="A1009" s="4" t="s">
        <v>21</v>
      </c>
      <c r="B1009" s="4" t="s">
        <v>37</v>
      </c>
      <c r="C1009" s="4" t="s">
        <v>23</v>
      </c>
      <c r="D1009" s="4" t="s">
        <v>50</v>
      </c>
      <c r="E1009" s="4" t="s">
        <v>51</v>
      </c>
      <c r="F1009" s="4" t="s">
        <v>25</v>
      </c>
      <c r="G1009" s="4" t="s">
        <v>25</v>
      </c>
      <c r="H1009" s="4" t="s">
        <v>25</v>
      </c>
      <c r="I1009" s="5">
        <v>44531</v>
      </c>
      <c r="J1009" s="6">
        <v>0</v>
      </c>
      <c r="K1009" s="60">
        <v>0</v>
      </c>
      <c r="L1009" s="6">
        <v>2657.1010000000001</v>
      </c>
      <c r="M1009" s="60">
        <v>2657.1010000000001</v>
      </c>
      <c r="N1009" s="6">
        <v>2657.1010000000001</v>
      </c>
      <c r="O1009" s="60">
        <v>2657.1010000000001</v>
      </c>
      <c r="P1009" s="6">
        <v>832</v>
      </c>
      <c r="Q1009" s="4" t="s">
        <v>26</v>
      </c>
      <c r="R1009" s="4">
        <v>0</v>
      </c>
      <c r="S1009" s="4">
        <v>0</v>
      </c>
      <c r="T1009" s="4">
        <v>57</v>
      </c>
      <c r="U1009" s="4">
        <v>100</v>
      </c>
      <c r="V1009" s="60">
        <f>IF(ISERROR(VLOOKUP($S$1009,'TAR FIN'!$A$1:$O$104,15,0)),0,VLOOKUP($S$1009,'TAR FIN'!$A$1:$O$104,15,0))</f>
        <v>0</v>
      </c>
      <c r="W1009" s="60">
        <f>IF(ISERROR(VLOOKUP($T$1009,'TAR FIN'!$A$1:$O$104,15,0)),0,VLOOKUP($T$1009,'TAR FIN'!$A$1:$O$104,15,0))*(1-0.06)</f>
        <v>320.72799999999995</v>
      </c>
      <c r="X1009" s="60">
        <f>IF(ISERROR(VLOOKUP($U$1009,'TAR FIN'!$A$1:$O$104,15,0)),0,VLOOKUP($U$1009,'TAR FIN'!$A$1:$O$104,15,0))*(1-0.06)</f>
        <v>240.37679999999997</v>
      </c>
      <c r="Y1009" s="60"/>
      <c r="Z1009" s="60">
        <f ca="1">('TUSD BE'!$AM$62+'TUSD BF'!$AM$62+'TUSD CVA'!$AM$62)*1*(1-0.03)</f>
        <v>345.91172906107909</v>
      </c>
      <c r="AA1009" s="60">
        <f>('TE BE'!$AB$41+'TE BF'!$AB$41+'TE CVA'!$AB$41)*1*(1-0.03)</f>
        <v>235.19659550230367</v>
      </c>
      <c r="AB1009" s="60">
        <f>(SUBSIDIO!$J$1009*SUBSIDIO!$V$1009)*(0.06)/(1-0.06)</f>
        <v>0</v>
      </c>
      <c r="AC1009" s="60">
        <f>((SUBSIDIO!$L$1009*SUBSIDIO!$W$1009)+(SUBSIDIO!$N$1009*SUBSIDIO!$X$1009))*(0.06)/(1-0.06)</f>
        <v>95164.603735199998</v>
      </c>
      <c r="AD1009" s="60">
        <f>(SUBSIDIO!$J$1009*SUBSIDIO!$Y$1009)*(0.03)/(1-0.03)</f>
        <v>0</v>
      </c>
      <c r="AE1009" s="60">
        <f ca="1">((SUBSIDIO!$L$1009*SUBSIDIO!$Z$1009)+(SUBSIDIO!$N$1009*SUBSIDIO!$AA$1009))*(0.03)/(1-0.03)</f>
        <v>47754.541555846052</v>
      </c>
      <c r="AF1009" s="4" t="s">
        <v>999</v>
      </c>
    </row>
    <row r="1010" spans="1:32" ht="11.25" customHeight="1" x14ac:dyDescent="0.25">
      <c r="A1010" s="4" t="s">
        <v>21</v>
      </c>
      <c r="B1010" s="4" t="s">
        <v>37</v>
      </c>
      <c r="C1010" s="4" t="s">
        <v>23</v>
      </c>
      <c r="D1010" s="4" t="s">
        <v>50</v>
      </c>
      <c r="E1010" s="4" t="s">
        <v>51</v>
      </c>
      <c r="F1010" s="4" t="s">
        <v>25</v>
      </c>
      <c r="G1010" s="4" t="s">
        <v>25</v>
      </c>
      <c r="H1010" s="4" t="s">
        <v>25</v>
      </c>
      <c r="I1010" s="5">
        <v>44562</v>
      </c>
      <c r="J1010" s="6">
        <v>0</v>
      </c>
      <c r="K1010" s="60">
        <v>0</v>
      </c>
      <c r="L1010" s="6">
        <v>2379.2330000000002</v>
      </c>
      <c r="M1010" s="60">
        <v>2379.2330000000002</v>
      </c>
      <c r="N1010" s="6">
        <v>2379.2330000000002</v>
      </c>
      <c r="O1010" s="60">
        <v>2379.2330000000002</v>
      </c>
      <c r="P1010" s="6">
        <v>836</v>
      </c>
      <c r="Q1010" s="4" t="s">
        <v>26</v>
      </c>
      <c r="R1010" s="4">
        <v>0</v>
      </c>
      <c r="S1010" s="4">
        <v>0</v>
      </c>
      <c r="T1010" s="4">
        <v>57</v>
      </c>
      <c r="U1010" s="4">
        <v>100</v>
      </c>
      <c r="V1010" s="60">
        <f>IF(ISERROR(VLOOKUP($S$1010,'TAR FIN'!$A$1:$O$104,15,0)),0,VLOOKUP($S$1010,'TAR FIN'!$A$1:$O$104,15,0))</f>
        <v>0</v>
      </c>
      <c r="W1010" s="60">
        <f>IF(ISERROR(VLOOKUP($T$1010,'TAR FIN'!$A$1:$O$104,15,0)),0,VLOOKUP($T$1010,'TAR FIN'!$A$1:$O$104,15,0))*(1-0.06)</f>
        <v>320.72799999999995</v>
      </c>
      <c r="X1010" s="60">
        <f>IF(ISERROR(VLOOKUP($U$1010,'TAR FIN'!$A$1:$O$104,15,0)),0,VLOOKUP($U$1010,'TAR FIN'!$A$1:$O$104,15,0))*(1-0.06)</f>
        <v>240.37679999999997</v>
      </c>
      <c r="Y1010" s="60"/>
      <c r="Z1010" s="60">
        <f ca="1">('TUSD BE'!$AM$62+'TUSD BF'!$AM$62+'TUSD CVA'!$AM$62)*1*(1-0.03)</f>
        <v>345.91172906107909</v>
      </c>
      <c r="AA1010" s="60">
        <f>('TE BE'!$AB$41+'TE BF'!$AB$41+'TE CVA'!$AB$41)*1*(1-0.03)</f>
        <v>235.19659550230367</v>
      </c>
      <c r="AB1010" s="60">
        <f>(SUBSIDIO!$J$1010*SUBSIDIO!$V$1010)*(0.06)/(1-0.06)</f>
        <v>0</v>
      </c>
      <c r="AC1010" s="60">
        <f>((SUBSIDIO!$L$1010*SUBSIDIO!$W$1010)+(SUBSIDIO!$N$1010*SUBSIDIO!$X$1010))*(0.06)/(1-0.06)</f>
        <v>85212.705741600003</v>
      </c>
      <c r="AD1010" s="60">
        <f>(SUBSIDIO!$J$1010*SUBSIDIO!$Y$1010)*(0.03)/(1-0.03)</f>
        <v>0</v>
      </c>
      <c r="AE1010" s="60">
        <f ca="1">((SUBSIDIO!$L$1010*SUBSIDIO!$Z$1010)+(SUBSIDIO!$N$1010*SUBSIDIO!$AA$1010))*(0.03)/(1-0.03)</f>
        <v>42760.580485852923</v>
      </c>
      <c r="AF1010" s="4" t="s">
        <v>999</v>
      </c>
    </row>
    <row r="1011" spans="1:32" ht="11.25" customHeight="1" x14ac:dyDescent="0.25">
      <c r="A1011" s="4" t="s">
        <v>27</v>
      </c>
      <c r="B1011" s="4" t="s">
        <v>37</v>
      </c>
      <c r="C1011" s="4" t="s">
        <v>23</v>
      </c>
      <c r="D1011" s="4" t="s">
        <v>50</v>
      </c>
      <c r="E1011" s="4" t="s">
        <v>51</v>
      </c>
      <c r="F1011" s="4" t="s">
        <v>25</v>
      </c>
      <c r="G1011" s="4" t="s">
        <v>25</v>
      </c>
      <c r="H1011" s="4" t="s">
        <v>25</v>
      </c>
      <c r="I1011" s="5">
        <v>44562</v>
      </c>
      <c r="J1011" s="6">
        <v>0</v>
      </c>
      <c r="K1011" s="60">
        <v>0</v>
      </c>
      <c r="L1011" s="6">
        <v>-47.996000000000002</v>
      </c>
      <c r="M1011" s="60">
        <v>-47.996000000000002</v>
      </c>
      <c r="N1011" s="6">
        <v>-47.996000000000002</v>
      </c>
      <c r="O1011" s="60">
        <v>-47.996000000000002</v>
      </c>
      <c r="P1011" s="6">
        <v>-1</v>
      </c>
      <c r="Q1011" s="4" t="s">
        <v>26</v>
      </c>
      <c r="R1011" s="4">
        <v>0</v>
      </c>
      <c r="S1011" s="4">
        <v>0</v>
      </c>
      <c r="T1011" s="4">
        <v>57</v>
      </c>
      <c r="U1011" s="4">
        <v>100</v>
      </c>
      <c r="V1011" s="60">
        <f>IF(ISERROR(VLOOKUP($S$1011,'TAR FIN'!$A$1:$O$104,15,0)),0,VLOOKUP($S$1011,'TAR FIN'!$A$1:$O$104,15,0))</f>
        <v>0</v>
      </c>
      <c r="W1011" s="60">
        <f>IF(ISERROR(VLOOKUP($T$1011,'TAR FIN'!$A$1:$O$104,15,0)),0,VLOOKUP($T$1011,'TAR FIN'!$A$1:$O$104,15,0))*(1-0.06)</f>
        <v>320.72799999999995</v>
      </c>
      <c r="X1011" s="60">
        <f>IF(ISERROR(VLOOKUP($U$1011,'TAR FIN'!$A$1:$O$104,15,0)),0,VLOOKUP($U$1011,'TAR FIN'!$A$1:$O$104,15,0))*(1-0.06)</f>
        <v>240.37679999999997</v>
      </c>
      <c r="Y1011" s="60"/>
      <c r="Z1011" s="60">
        <f ca="1">('TUSD BE'!$AM$62+'TUSD BF'!$AM$62+'TUSD CVA'!$AM$62)*1*(1-0.03)</f>
        <v>345.91172906107909</v>
      </c>
      <c r="AA1011" s="60">
        <f>('TE BE'!$AB$41+'TE BF'!$AB$41+'TE CVA'!$AB$41)*1*(1-0.03)</f>
        <v>235.19659550230367</v>
      </c>
      <c r="AB1011" s="60">
        <f>(SUBSIDIO!$J$1011*SUBSIDIO!$V$1011)*(0.06)/(1-0.06)</f>
        <v>0</v>
      </c>
      <c r="AC1011" s="60">
        <f>((SUBSIDIO!$L$1011*SUBSIDIO!$W$1011)+(SUBSIDIO!$N$1011*SUBSIDIO!$X$1011))*(0.06)/(1-0.06)</f>
        <v>-1718.9863392</v>
      </c>
      <c r="AD1011" s="60">
        <f>(SUBSIDIO!$J$1011*SUBSIDIO!$Y$1011)*(0.03)/(1-0.03)</f>
        <v>0</v>
      </c>
      <c r="AE1011" s="60">
        <f ca="1">((SUBSIDIO!$L$1011*SUBSIDIO!$Z$1011)+(SUBSIDIO!$N$1011*SUBSIDIO!$AA$1011))*(0.03)/(1-0.03)</f>
        <v>-862.60438595084906</v>
      </c>
      <c r="AF1011" s="4" t="s">
        <v>999</v>
      </c>
    </row>
    <row r="1012" spans="1:32" ht="11.25" customHeight="1" x14ac:dyDescent="0.25">
      <c r="A1012" s="4" t="s">
        <v>21</v>
      </c>
      <c r="B1012" s="4" t="s">
        <v>37</v>
      </c>
      <c r="C1012" s="4" t="s">
        <v>23</v>
      </c>
      <c r="D1012" s="4" t="s">
        <v>50</v>
      </c>
      <c r="E1012" s="4" t="s">
        <v>51</v>
      </c>
      <c r="F1012" s="4" t="s">
        <v>25</v>
      </c>
      <c r="G1012" s="4" t="s">
        <v>25</v>
      </c>
      <c r="H1012" s="4" t="s">
        <v>25</v>
      </c>
      <c r="I1012" s="5">
        <v>44593</v>
      </c>
      <c r="J1012" s="6">
        <v>0</v>
      </c>
      <c r="K1012" s="60">
        <v>0</v>
      </c>
      <c r="L1012" s="6">
        <v>2256.3719999999998</v>
      </c>
      <c r="M1012" s="60">
        <v>2256.3719999999998</v>
      </c>
      <c r="N1012" s="6">
        <v>2256.3719999999998</v>
      </c>
      <c r="O1012" s="60">
        <v>2256.3719999999998</v>
      </c>
      <c r="P1012" s="6">
        <v>835</v>
      </c>
      <c r="Q1012" s="4" t="s">
        <v>26</v>
      </c>
      <c r="R1012" s="4">
        <v>0</v>
      </c>
      <c r="S1012" s="4">
        <v>0</v>
      </c>
      <c r="T1012" s="4">
        <v>57</v>
      </c>
      <c r="U1012" s="4">
        <v>100</v>
      </c>
      <c r="V1012" s="60">
        <f>IF(ISERROR(VLOOKUP($S$1012,'TAR FIN'!$A$1:$O$104,15,0)),0,VLOOKUP($S$1012,'TAR FIN'!$A$1:$O$104,15,0))</f>
        <v>0</v>
      </c>
      <c r="W1012" s="60">
        <f>IF(ISERROR(VLOOKUP($T$1012,'TAR FIN'!$A$1:$O$104,15,0)),0,VLOOKUP($T$1012,'TAR FIN'!$A$1:$O$104,15,0))*(1-0.06)</f>
        <v>320.72799999999995</v>
      </c>
      <c r="X1012" s="60">
        <f>IF(ISERROR(VLOOKUP($U$1012,'TAR FIN'!$A$1:$O$104,15,0)),0,VLOOKUP($U$1012,'TAR FIN'!$A$1:$O$104,15,0))*(1-0.06)</f>
        <v>240.37679999999997</v>
      </c>
      <c r="Y1012" s="60"/>
      <c r="Z1012" s="60">
        <f ca="1">('TUSD BE'!$AM$62+'TUSD BF'!$AM$62+'TUSD CVA'!$AM$62)*1*(1-0.03)</f>
        <v>345.91172906107909</v>
      </c>
      <c r="AA1012" s="60">
        <f>('TE BE'!$AB$41+'TE BF'!$AB$41+'TE CVA'!$AB$41)*1*(1-0.03)</f>
        <v>235.19659550230367</v>
      </c>
      <c r="AB1012" s="60">
        <f>(SUBSIDIO!$J$1012*SUBSIDIO!$V$1012)*(0.06)/(1-0.06)</f>
        <v>0</v>
      </c>
      <c r="AC1012" s="60">
        <f>((SUBSIDIO!$L$1012*SUBSIDIO!$W$1012)+(SUBSIDIO!$N$1012*SUBSIDIO!$X$1012))*(0.06)/(1-0.06)</f>
        <v>80812.414454400001</v>
      </c>
      <c r="AD1012" s="60">
        <f>(SUBSIDIO!$J$1012*SUBSIDIO!$Y$1012)*(0.03)/(1-0.03)</f>
        <v>0</v>
      </c>
      <c r="AE1012" s="60">
        <f ca="1">((SUBSIDIO!$L$1012*SUBSIDIO!$Z$1012)+(SUBSIDIO!$N$1012*SUBSIDIO!$AA$1012))*(0.03)/(1-0.03)</f>
        <v>40552.470696239034</v>
      </c>
      <c r="AF1012" s="4" t="s">
        <v>999</v>
      </c>
    </row>
    <row r="1013" spans="1:32" ht="11.25" customHeight="1" x14ac:dyDescent="0.25">
      <c r="A1013" s="4" t="s">
        <v>21</v>
      </c>
      <c r="B1013" s="4" t="s">
        <v>37</v>
      </c>
      <c r="C1013" s="4" t="s">
        <v>23</v>
      </c>
      <c r="D1013" s="4" t="s">
        <v>50</v>
      </c>
      <c r="E1013" s="4" t="s">
        <v>51</v>
      </c>
      <c r="F1013" s="4" t="s">
        <v>25</v>
      </c>
      <c r="G1013" s="4" t="s">
        <v>25</v>
      </c>
      <c r="H1013" s="4" t="s">
        <v>25</v>
      </c>
      <c r="I1013" s="5">
        <v>44621</v>
      </c>
      <c r="J1013" s="6">
        <v>0</v>
      </c>
      <c r="K1013" s="60">
        <v>0</v>
      </c>
      <c r="L1013" s="6">
        <v>2416.3939999999998</v>
      </c>
      <c r="M1013" s="60">
        <v>2416.3939999999998</v>
      </c>
      <c r="N1013" s="6">
        <v>2416.3939999999998</v>
      </c>
      <c r="O1013" s="60">
        <v>2416.3939999999998</v>
      </c>
      <c r="P1013" s="6">
        <v>836</v>
      </c>
      <c r="Q1013" s="4" t="s">
        <v>26</v>
      </c>
      <c r="R1013" s="4">
        <v>0</v>
      </c>
      <c r="S1013" s="4">
        <v>0</v>
      </c>
      <c r="T1013" s="4">
        <v>57</v>
      </c>
      <c r="U1013" s="4">
        <v>100</v>
      </c>
      <c r="V1013" s="60">
        <f>IF(ISERROR(VLOOKUP($S$1013,'TAR FIN'!$A$1:$O$104,15,0)),0,VLOOKUP($S$1013,'TAR FIN'!$A$1:$O$104,15,0))</f>
        <v>0</v>
      </c>
      <c r="W1013" s="60">
        <f>IF(ISERROR(VLOOKUP($T$1013,'TAR FIN'!$A$1:$O$104,15,0)),0,VLOOKUP($T$1013,'TAR FIN'!$A$1:$O$104,15,0))*(1-0.06)</f>
        <v>320.72799999999995</v>
      </c>
      <c r="X1013" s="60">
        <f>IF(ISERROR(VLOOKUP($U$1013,'TAR FIN'!$A$1:$O$104,15,0)),0,VLOOKUP($U$1013,'TAR FIN'!$A$1:$O$104,15,0))*(1-0.06)</f>
        <v>240.37679999999997</v>
      </c>
      <c r="Y1013" s="60"/>
      <c r="Z1013" s="60">
        <f ca="1">('TUSD BE'!$AM$62+'TUSD BF'!$AM$62+'TUSD CVA'!$AM$62)*1*(1-0.03)</f>
        <v>345.91172906107909</v>
      </c>
      <c r="AA1013" s="60">
        <f>('TE BE'!$AB$41+'TE BF'!$AB$41+'TE CVA'!$AB$41)*1*(1-0.03)</f>
        <v>235.19659550230367</v>
      </c>
      <c r="AB1013" s="60">
        <f>(SUBSIDIO!$J$1013*SUBSIDIO!$V$1013)*(0.06)/(1-0.06)</f>
        <v>0</v>
      </c>
      <c r="AC1013" s="60">
        <f>((SUBSIDIO!$L$1013*SUBSIDIO!$W$1013)+(SUBSIDIO!$N$1013*SUBSIDIO!$X$1013))*(0.06)/(1-0.06)</f>
        <v>86543.634388799983</v>
      </c>
      <c r="AD1013" s="60">
        <f>(SUBSIDIO!$J$1013*SUBSIDIO!$Y$1013)*(0.03)/(1-0.03)</f>
        <v>0</v>
      </c>
      <c r="AE1013" s="60">
        <f ca="1">((SUBSIDIO!$L$1013*SUBSIDIO!$Z$1013)+(SUBSIDIO!$N$1013*SUBSIDIO!$AA$1013))*(0.03)/(1-0.03)</f>
        <v>43428.453675000339</v>
      </c>
      <c r="AF1013" s="4" t="s">
        <v>999</v>
      </c>
    </row>
    <row r="1014" spans="1:32" ht="11.25" customHeight="1" x14ac:dyDescent="0.25">
      <c r="A1014" s="4" t="s">
        <v>21</v>
      </c>
      <c r="B1014" s="4" t="s">
        <v>37</v>
      </c>
      <c r="C1014" s="4" t="s">
        <v>23</v>
      </c>
      <c r="D1014" s="4" t="s">
        <v>50</v>
      </c>
      <c r="E1014" s="4" t="s">
        <v>51</v>
      </c>
      <c r="F1014" s="4" t="s">
        <v>25</v>
      </c>
      <c r="G1014" s="4" t="s">
        <v>25</v>
      </c>
      <c r="H1014" s="4" t="s">
        <v>25</v>
      </c>
      <c r="I1014" s="5">
        <v>44652</v>
      </c>
      <c r="J1014" s="6">
        <v>0</v>
      </c>
      <c r="K1014" s="60">
        <v>0</v>
      </c>
      <c r="L1014" s="6">
        <v>2339.1709999999998</v>
      </c>
      <c r="M1014" s="60">
        <v>2339.1709999999998</v>
      </c>
      <c r="N1014" s="6">
        <v>2339.1709999999998</v>
      </c>
      <c r="O1014" s="60">
        <v>2339.1709999999998</v>
      </c>
      <c r="P1014" s="6">
        <v>833</v>
      </c>
      <c r="Q1014" s="4" t="s">
        <v>26</v>
      </c>
      <c r="R1014" s="4">
        <v>0</v>
      </c>
      <c r="S1014" s="4">
        <v>0</v>
      </c>
      <c r="T1014" s="4">
        <v>57</v>
      </c>
      <c r="U1014" s="4">
        <v>100</v>
      </c>
      <c r="V1014" s="60">
        <f>IF(ISERROR(VLOOKUP($S$1014,'TAR FIN'!$A$1:$O$104,15,0)),0,VLOOKUP($S$1014,'TAR FIN'!$A$1:$O$104,15,0))</f>
        <v>0</v>
      </c>
      <c r="W1014" s="60">
        <f>IF(ISERROR(VLOOKUP($T$1014,'TAR FIN'!$A$1:$O$104,15,0)),0,VLOOKUP($T$1014,'TAR FIN'!$A$1:$O$104,15,0))*(1-0.06)</f>
        <v>320.72799999999995</v>
      </c>
      <c r="X1014" s="60">
        <f>IF(ISERROR(VLOOKUP($U$1014,'TAR FIN'!$A$1:$O$104,15,0)),0,VLOOKUP($U$1014,'TAR FIN'!$A$1:$O$104,15,0))*(1-0.06)</f>
        <v>240.37679999999997</v>
      </c>
      <c r="Y1014" s="60"/>
      <c r="Z1014" s="60">
        <f ca="1">('TUSD BE'!$AM$62+'TUSD BF'!$AM$62+'TUSD CVA'!$AM$62)*1*(1-0.03)</f>
        <v>345.91172906107909</v>
      </c>
      <c r="AA1014" s="60">
        <f>('TE BE'!$AB$41+'TE BF'!$AB$41+'TE CVA'!$AB$41)*1*(1-0.03)</f>
        <v>235.19659550230367</v>
      </c>
      <c r="AB1014" s="60">
        <f>(SUBSIDIO!$J$1014*SUBSIDIO!$V$1014)*(0.06)/(1-0.06)</f>
        <v>0</v>
      </c>
      <c r="AC1014" s="60">
        <f>((SUBSIDIO!$L$1014*SUBSIDIO!$W$1014)+(SUBSIDIO!$N$1014*SUBSIDIO!$X$1014))*(0.06)/(1-0.06)</f>
        <v>83777.877199199997</v>
      </c>
      <c r="AD1014" s="60">
        <f>(SUBSIDIO!$J$1014*SUBSIDIO!$Y$1014)*(0.03)/(1-0.03)</f>
        <v>0</v>
      </c>
      <c r="AE1014" s="60">
        <f ca="1">((SUBSIDIO!$L$1014*SUBSIDIO!$Z$1014)+(SUBSIDIO!$N$1014*SUBSIDIO!$AA$1014))*(0.03)/(1-0.03)</f>
        <v>42040.569299296469</v>
      </c>
      <c r="AF1014" s="4" t="s">
        <v>999</v>
      </c>
    </row>
    <row r="1015" spans="1:32" ht="11.25" customHeight="1" x14ac:dyDescent="0.25">
      <c r="A1015" s="4" t="s">
        <v>21</v>
      </c>
      <c r="B1015" s="4" t="s">
        <v>37</v>
      </c>
      <c r="C1015" s="4" t="s">
        <v>23</v>
      </c>
      <c r="D1015" s="4" t="s">
        <v>50</v>
      </c>
      <c r="E1015" s="4" t="s">
        <v>51</v>
      </c>
      <c r="F1015" s="4" t="s">
        <v>25</v>
      </c>
      <c r="G1015" s="4" t="s">
        <v>25</v>
      </c>
      <c r="H1015" s="4" t="s">
        <v>25</v>
      </c>
      <c r="I1015" s="5">
        <v>44682</v>
      </c>
      <c r="J1015" s="6">
        <v>0</v>
      </c>
      <c r="K1015" s="60">
        <v>0</v>
      </c>
      <c r="L1015" s="6">
        <v>2386.5549999999998</v>
      </c>
      <c r="M1015" s="60">
        <v>2386.5549999999998</v>
      </c>
      <c r="N1015" s="6">
        <v>2386.5549999999998</v>
      </c>
      <c r="O1015" s="60">
        <v>2386.5549999999998</v>
      </c>
      <c r="P1015" s="6">
        <v>834</v>
      </c>
      <c r="Q1015" s="4" t="s">
        <v>26</v>
      </c>
      <c r="R1015" s="4">
        <v>0</v>
      </c>
      <c r="S1015" s="4">
        <v>0</v>
      </c>
      <c r="T1015" s="4">
        <v>57</v>
      </c>
      <c r="U1015" s="4">
        <v>100</v>
      </c>
      <c r="V1015" s="60">
        <f>IF(ISERROR(VLOOKUP($S$1015,'TAR FIN'!$A$1:$O$104,15,0)),0,VLOOKUP($S$1015,'TAR FIN'!$A$1:$O$104,15,0))</f>
        <v>0</v>
      </c>
      <c r="W1015" s="60">
        <f>IF(ISERROR(VLOOKUP($T$1015,'TAR FIN'!$A$1:$O$104,15,0)),0,VLOOKUP($T$1015,'TAR FIN'!$A$1:$O$104,15,0))*(1-0.06)</f>
        <v>320.72799999999995</v>
      </c>
      <c r="X1015" s="60">
        <f>IF(ISERROR(VLOOKUP($U$1015,'TAR FIN'!$A$1:$O$104,15,0)),0,VLOOKUP($U$1015,'TAR FIN'!$A$1:$O$104,15,0))*(1-0.06)</f>
        <v>240.37679999999997</v>
      </c>
      <c r="Y1015" s="60"/>
      <c r="Z1015" s="60">
        <f ca="1">('TUSD BE'!$AM$62+'TUSD BF'!$AM$62+'TUSD CVA'!$AM$62)*1*(1-0.03)</f>
        <v>345.91172906107909</v>
      </c>
      <c r="AA1015" s="60">
        <f>('TE BE'!$AB$41+'TE BF'!$AB$41+'TE CVA'!$AB$41)*1*(1-0.03)</f>
        <v>235.19659550230367</v>
      </c>
      <c r="AB1015" s="60">
        <f>(SUBSIDIO!$J$1015*SUBSIDIO!$V$1015)*(0.06)/(1-0.06)</f>
        <v>0</v>
      </c>
      <c r="AC1015" s="60">
        <f>((SUBSIDIO!$L$1015*SUBSIDIO!$W$1015)+(SUBSIDIO!$N$1015*SUBSIDIO!$X$1015))*(0.06)/(1-0.06)</f>
        <v>85474.944635999986</v>
      </c>
      <c r="AD1015" s="60">
        <f>(SUBSIDIO!$J$1015*SUBSIDIO!$Y$1015)*(0.03)/(1-0.03)</f>
        <v>0</v>
      </c>
      <c r="AE1015" s="60">
        <f ca="1">((SUBSIDIO!$L$1015*SUBSIDIO!$Z$1015)+(SUBSIDIO!$N$1015*SUBSIDIO!$AA$1015))*(0.03)/(1-0.03)</f>
        <v>42892.174562732907</v>
      </c>
      <c r="AF1015" s="4" t="s">
        <v>999</v>
      </c>
    </row>
    <row r="1016" spans="1:32" ht="11.25" customHeight="1" x14ac:dyDescent="0.25">
      <c r="A1016" s="4" t="s">
        <v>21</v>
      </c>
      <c r="B1016" s="4" t="s">
        <v>37</v>
      </c>
      <c r="C1016" s="4" t="s">
        <v>23</v>
      </c>
      <c r="D1016" s="4" t="s">
        <v>50</v>
      </c>
      <c r="E1016" s="4" t="s">
        <v>51</v>
      </c>
      <c r="F1016" s="4" t="s">
        <v>25</v>
      </c>
      <c r="G1016" s="4" t="s">
        <v>25</v>
      </c>
      <c r="H1016" s="4" t="s">
        <v>25</v>
      </c>
      <c r="I1016" s="5">
        <v>44713</v>
      </c>
      <c r="J1016" s="6">
        <v>0</v>
      </c>
      <c r="K1016" s="60">
        <v>0</v>
      </c>
      <c r="L1016" s="6">
        <v>2229.7440000000001</v>
      </c>
      <c r="M1016" s="60">
        <v>2229.7440000000001</v>
      </c>
      <c r="N1016" s="6">
        <v>2229.7440000000001</v>
      </c>
      <c r="O1016" s="60">
        <v>2229.7440000000001</v>
      </c>
      <c r="P1016" s="6">
        <v>836</v>
      </c>
      <c r="Q1016" s="4" t="s">
        <v>26</v>
      </c>
      <c r="R1016" s="4">
        <v>0</v>
      </c>
      <c r="S1016" s="4">
        <v>0</v>
      </c>
      <c r="T1016" s="4">
        <v>57</v>
      </c>
      <c r="U1016" s="4">
        <v>100</v>
      </c>
      <c r="V1016" s="60">
        <f>IF(ISERROR(VLOOKUP($S$1016,'TAR FIN'!$A$1:$O$104,15,0)),0,VLOOKUP($S$1016,'TAR FIN'!$A$1:$O$104,15,0))</f>
        <v>0</v>
      </c>
      <c r="W1016" s="60">
        <f>IF(ISERROR(VLOOKUP($T$1016,'TAR FIN'!$A$1:$O$104,15,0)),0,VLOOKUP($T$1016,'TAR FIN'!$A$1:$O$104,15,0))*(1-0.06)</f>
        <v>320.72799999999995</v>
      </c>
      <c r="X1016" s="60">
        <f>IF(ISERROR(VLOOKUP($U$1016,'TAR FIN'!$A$1:$O$104,15,0)),0,VLOOKUP($U$1016,'TAR FIN'!$A$1:$O$104,15,0))*(1-0.06)</f>
        <v>240.37679999999997</v>
      </c>
      <c r="Y1016" s="60"/>
      <c r="Z1016" s="60">
        <f ca="1">('TUSD BE'!$AM$62+'TUSD BF'!$AM$62+'TUSD CVA'!$AM$62)*1*(1-0.03)</f>
        <v>345.91172906107909</v>
      </c>
      <c r="AA1016" s="60">
        <f>('TE BE'!$AB$41+'TE BF'!$AB$41+'TE CVA'!$AB$41)*1*(1-0.03)</f>
        <v>235.19659550230367</v>
      </c>
      <c r="AB1016" s="60">
        <f>(SUBSIDIO!$J$1016*SUBSIDIO!$V$1016)*(0.06)/(1-0.06)</f>
        <v>0</v>
      </c>
      <c r="AC1016" s="60">
        <f>((SUBSIDIO!$L$1016*SUBSIDIO!$W$1016)+(SUBSIDIO!$N$1016*SUBSIDIO!$X$1016))*(0.06)/(1-0.06)</f>
        <v>79858.727308799993</v>
      </c>
      <c r="AD1016" s="60">
        <f>(SUBSIDIO!$J$1016*SUBSIDIO!$Y$1016)*(0.03)/(1-0.03)</f>
        <v>0</v>
      </c>
      <c r="AE1016" s="60">
        <f ca="1">((SUBSIDIO!$L$1016*SUBSIDIO!$Z$1016)+(SUBSIDIO!$N$1016*SUBSIDIO!$AA$1016))*(0.03)/(1-0.03)</f>
        <v>40073.901032327492</v>
      </c>
      <c r="AF1016" s="4" t="s">
        <v>999</v>
      </c>
    </row>
    <row r="1017" spans="1:32" ht="11.25" customHeight="1" x14ac:dyDescent="0.25">
      <c r="A1017" s="4" t="s">
        <v>57</v>
      </c>
      <c r="B1017" s="4" t="s">
        <v>37</v>
      </c>
      <c r="C1017" s="4" t="s">
        <v>23</v>
      </c>
      <c r="D1017" s="4" t="s">
        <v>50</v>
      </c>
      <c r="E1017" s="4" t="s">
        <v>51</v>
      </c>
      <c r="F1017" s="4" t="s">
        <v>25</v>
      </c>
      <c r="G1017" s="4" t="s">
        <v>25</v>
      </c>
      <c r="H1017" s="4" t="s">
        <v>25</v>
      </c>
      <c r="I1017" s="5">
        <v>44743</v>
      </c>
      <c r="J1017" s="6">
        <v>0</v>
      </c>
      <c r="K1017" s="60">
        <v>0</v>
      </c>
      <c r="L1017" s="6">
        <v>2229.7440000000001</v>
      </c>
      <c r="M1017" s="60">
        <v>2229.7440000000001</v>
      </c>
      <c r="N1017" s="6">
        <v>2229.7440000000001</v>
      </c>
      <c r="O1017" s="60">
        <v>2229.7440000000001</v>
      </c>
      <c r="P1017" s="6">
        <v>836</v>
      </c>
      <c r="Q1017" s="4" t="s">
        <v>26</v>
      </c>
      <c r="R1017" s="4">
        <v>0</v>
      </c>
      <c r="S1017" s="4">
        <v>0</v>
      </c>
      <c r="T1017" s="4">
        <v>57</v>
      </c>
      <c r="U1017" s="4">
        <v>100</v>
      </c>
      <c r="V1017" s="60">
        <f>IF(ISERROR(VLOOKUP($S$1017,'TAR FIN'!$A$1:$O$104,15,0)),0,VLOOKUP($S$1017,'TAR FIN'!$A$1:$O$104,15,0))</f>
        <v>0</v>
      </c>
      <c r="W1017" s="60">
        <f>IF(ISERROR(VLOOKUP($T$1017,'TAR FIN'!$A$1:$O$104,15,0)),0,VLOOKUP($T$1017,'TAR FIN'!$A$1:$O$104,15,0))*(1-0.06)</f>
        <v>320.72799999999995</v>
      </c>
      <c r="X1017" s="60">
        <f>IF(ISERROR(VLOOKUP($U$1017,'TAR FIN'!$A$1:$O$104,15,0)),0,VLOOKUP($U$1017,'TAR FIN'!$A$1:$O$104,15,0))*(1-0.06)</f>
        <v>240.37679999999997</v>
      </c>
      <c r="Y1017" s="60"/>
      <c r="Z1017" s="60">
        <f ca="1">('TUSD BE'!$AM$62+'TUSD BF'!$AM$62+'TUSD CVA'!$AM$62)*1*(1-0.03)</f>
        <v>345.91172906107909</v>
      </c>
      <c r="AA1017" s="60">
        <f>('TE BE'!$AB$41+'TE BF'!$AB$41+'TE CVA'!$AB$41)*1*(1-0.03)</f>
        <v>235.19659550230367</v>
      </c>
      <c r="AB1017" s="60">
        <f>(SUBSIDIO!$J$1017*SUBSIDIO!$V$1017)*(0.06)/(1-0.06)</f>
        <v>0</v>
      </c>
      <c r="AC1017" s="60">
        <f>((SUBSIDIO!$L$1017*SUBSIDIO!$W$1017)+(SUBSIDIO!$N$1017*SUBSIDIO!$X$1017))*(0.06)/(1-0.06)</f>
        <v>79858.727308799993</v>
      </c>
      <c r="AD1017" s="60">
        <f>(SUBSIDIO!$J$1017*SUBSIDIO!$Y$1017)*(0.03)/(1-0.03)</f>
        <v>0</v>
      </c>
      <c r="AE1017" s="60">
        <f ca="1">((SUBSIDIO!$L$1017*SUBSIDIO!$Z$1017)+(SUBSIDIO!$N$1017*SUBSIDIO!$AA$1017))*(0.03)/(1-0.03)</f>
        <v>40073.901032327492</v>
      </c>
      <c r="AF1017" s="4" t="s">
        <v>999</v>
      </c>
    </row>
    <row r="1018" spans="1:32" ht="11.25" customHeight="1" x14ac:dyDescent="0.25"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</row>
    <row r="1019" spans="1:32" ht="11.25" customHeight="1" x14ac:dyDescent="0.25"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</row>
    <row r="1020" spans="1:32" ht="11.25" customHeight="1" x14ac:dyDescent="0.25"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</row>
    <row r="1021" spans="1:32" ht="11.25" customHeight="1" x14ac:dyDescent="0.25"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</row>
    <row r="1022" spans="1:32" ht="11.25" customHeight="1" x14ac:dyDescent="0.25"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</row>
    <row r="1023" spans="1:32" ht="11.25" customHeight="1" x14ac:dyDescent="0.25"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</row>
    <row r="1024" spans="1:32" ht="11.25" customHeight="1" x14ac:dyDescent="0.25"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</row>
    <row r="1025" spans="22:31" ht="11.25" customHeight="1" x14ac:dyDescent="0.25"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</row>
    <row r="1026" spans="22:31" ht="11.25" customHeight="1" x14ac:dyDescent="0.25"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</row>
    <row r="1027" spans="22:31" ht="11.25" customHeight="1" x14ac:dyDescent="0.25"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</row>
    <row r="1028" spans="22:31" ht="11.25" customHeight="1" x14ac:dyDescent="0.25"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</row>
    <row r="1029" spans="22:31" ht="11.25" customHeight="1" x14ac:dyDescent="0.25"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</row>
    <row r="1030" spans="22:31" ht="11.25" customHeight="1" x14ac:dyDescent="0.25"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</row>
    <row r="1031" spans="22:31" ht="11.25" customHeight="1" x14ac:dyDescent="0.25"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</row>
    <row r="1032" spans="22:31" ht="11.25" customHeight="1" x14ac:dyDescent="0.25"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</row>
    <row r="1033" spans="22:31" ht="11.25" customHeight="1" x14ac:dyDescent="0.25"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</row>
    <row r="1034" spans="22:31" ht="11.25" customHeight="1" x14ac:dyDescent="0.25"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</row>
    <row r="1035" spans="22:31" ht="11.25" customHeight="1" x14ac:dyDescent="0.25"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</row>
    <row r="1036" spans="22:31" ht="11.25" customHeight="1" x14ac:dyDescent="0.25"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</row>
    <row r="1037" spans="22:31" ht="11.25" customHeight="1" x14ac:dyDescent="0.25"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</row>
    <row r="1038" spans="22:31" ht="11.25" customHeight="1" x14ac:dyDescent="0.25"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</row>
    <row r="1039" spans="22:31" ht="11.25" customHeight="1" x14ac:dyDescent="0.25"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</row>
    <row r="1040" spans="22:31" ht="11.25" customHeight="1" x14ac:dyDescent="0.25"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</row>
    <row r="1041" spans="22:31" ht="11.25" customHeight="1" x14ac:dyDescent="0.25"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</row>
    <row r="1042" spans="22:31" ht="11.25" customHeight="1" x14ac:dyDescent="0.25"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</row>
    <row r="1043" spans="22:31" ht="11.25" customHeight="1" x14ac:dyDescent="0.25"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22:31" ht="11.25" customHeight="1" x14ac:dyDescent="0.25"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22:31" ht="11.25" customHeight="1" x14ac:dyDescent="0.25"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22:31" ht="11.25" customHeight="1" x14ac:dyDescent="0.25"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</row>
    <row r="1047" spans="22:31" ht="11.25" customHeight="1" x14ac:dyDescent="0.25"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</row>
    <row r="1048" spans="22:31" ht="11.25" customHeight="1" x14ac:dyDescent="0.25"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</row>
    <row r="1049" spans="22:31" ht="11.25" customHeight="1" x14ac:dyDescent="0.25"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</row>
    <row r="1050" spans="22:31" ht="11.25" customHeight="1" x14ac:dyDescent="0.25"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</row>
    <row r="1051" spans="22:31" ht="11.25" customHeight="1" x14ac:dyDescent="0.25"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</row>
    <row r="1052" spans="22:31" ht="11.25" customHeight="1" x14ac:dyDescent="0.25"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</row>
    <row r="1053" spans="22:31" ht="11.25" customHeight="1" x14ac:dyDescent="0.25"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</row>
    <row r="1054" spans="22:31" ht="11.25" customHeight="1" x14ac:dyDescent="0.25"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</row>
    <row r="1055" spans="22:31" ht="11.25" customHeight="1" x14ac:dyDescent="0.25"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</row>
    <row r="1056" spans="22:31" ht="11.25" customHeight="1" x14ac:dyDescent="0.25"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</row>
    <row r="1057" spans="22:31" ht="11.25" customHeight="1" x14ac:dyDescent="0.25"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</row>
    <row r="1058" spans="22:31" ht="11.25" customHeight="1" x14ac:dyDescent="0.25"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</row>
    <row r="1059" spans="22:31" ht="11.25" customHeight="1" x14ac:dyDescent="0.25"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</row>
    <row r="1060" spans="22:31" ht="11.25" customHeight="1" x14ac:dyDescent="0.25"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</row>
    <row r="1061" spans="22:31" ht="11.25" customHeight="1" x14ac:dyDescent="0.25"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</row>
    <row r="1062" spans="22:31" ht="11.25" customHeight="1" x14ac:dyDescent="0.25"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</row>
    <row r="1063" spans="22:31" ht="11.25" customHeight="1" x14ac:dyDescent="0.25"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</row>
    <row r="1064" spans="22:31" ht="11.25" customHeight="1" x14ac:dyDescent="0.25"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</row>
    <row r="1065" spans="22:31" ht="11.25" customHeight="1" x14ac:dyDescent="0.25"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</row>
    <row r="1066" spans="22:31" ht="11.25" customHeight="1" x14ac:dyDescent="0.25"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</row>
    <row r="1067" spans="22:31" ht="11.25" customHeight="1" x14ac:dyDescent="0.25"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</row>
    <row r="1068" spans="22:31" ht="11.25" customHeight="1" x14ac:dyDescent="0.25"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</row>
    <row r="1069" spans="22:31" ht="11.25" customHeight="1" x14ac:dyDescent="0.25"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</row>
    <row r="1070" spans="22:31" ht="11.25" customHeight="1" x14ac:dyDescent="0.25"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</row>
    <row r="1071" spans="22:31" ht="11.25" customHeight="1" x14ac:dyDescent="0.25"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</row>
    <row r="1072" spans="22:31" ht="11.25" customHeight="1" x14ac:dyDescent="0.25"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</row>
    <row r="1073" spans="22:31" ht="11.25" customHeight="1" x14ac:dyDescent="0.25"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</row>
    <row r="1074" spans="22:31" ht="11.25" customHeight="1" x14ac:dyDescent="0.25"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</row>
    <row r="1075" spans="22:31" ht="11.25" customHeight="1" x14ac:dyDescent="0.25"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</row>
    <row r="1076" spans="22:31" ht="11.25" customHeight="1" x14ac:dyDescent="0.25"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</row>
    <row r="1077" spans="22:31" ht="11.25" customHeight="1" x14ac:dyDescent="0.25"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</row>
    <row r="1078" spans="22:31" ht="11.25" customHeight="1" x14ac:dyDescent="0.25"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</row>
    <row r="1079" spans="22:31" ht="11.25" customHeight="1" x14ac:dyDescent="0.25"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</row>
    <row r="1080" spans="22:31" ht="11.25" customHeight="1" x14ac:dyDescent="0.25"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</row>
    <row r="1081" spans="22:31" ht="11.25" customHeight="1" x14ac:dyDescent="0.25"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</row>
    <row r="1082" spans="22:31" ht="11.25" customHeight="1" x14ac:dyDescent="0.25"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</row>
    <row r="1083" spans="22:31" ht="11.25" customHeight="1" x14ac:dyDescent="0.25"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</row>
    <row r="1084" spans="22:31" ht="11.25" customHeight="1" x14ac:dyDescent="0.25"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</row>
    <row r="1085" spans="22:31" ht="11.25" customHeight="1" x14ac:dyDescent="0.25"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</row>
    <row r="1086" spans="22:31" ht="11.25" customHeight="1" x14ac:dyDescent="0.25"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</row>
    <row r="1087" spans="22:31" ht="11.25" customHeight="1" x14ac:dyDescent="0.25"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</row>
    <row r="1088" spans="22:31" ht="11.25" customHeight="1" x14ac:dyDescent="0.25"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</row>
    <row r="1089" spans="22:31" ht="11.25" customHeight="1" x14ac:dyDescent="0.25"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</row>
    <row r="1090" spans="22:31" ht="11.25" customHeight="1" x14ac:dyDescent="0.25"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</row>
    <row r="1091" spans="22:31" ht="11.25" customHeight="1" x14ac:dyDescent="0.25"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</row>
    <row r="1092" spans="22:31" ht="11.25" customHeight="1" x14ac:dyDescent="0.25"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</row>
    <row r="1093" spans="22:31" ht="11.25" customHeight="1" x14ac:dyDescent="0.25"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</row>
    <row r="1094" spans="22:31" ht="11.25" customHeight="1" x14ac:dyDescent="0.25"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</row>
    <row r="1095" spans="22:31" ht="11.25" customHeight="1" x14ac:dyDescent="0.25"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</row>
    <row r="1096" spans="22:31" ht="11.25" customHeight="1" x14ac:dyDescent="0.25"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</row>
    <row r="1097" spans="22:31" ht="11.25" customHeight="1" x14ac:dyDescent="0.25"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</row>
    <row r="1098" spans="22:31" ht="11.25" customHeight="1" x14ac:dyDescent="0.25"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</row>
    <row r="1099" spans="22:31" ht="11.25" customHeight="1" x14ac:dyDescent="0.25"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</row>
    <row r="1100" spans="22:31" ht="11.25" customHeight="1" x14ac:dyDescent="0.25"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</row>
    <row r="1101" spans="22:31" ht="11.25" customHeight="1" x14ac:dyDescent="0.25"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</row>
    <row r="1102" spans="22:31" ht="11.25" customHeight="1" x14ac:dyDescent="0.25"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</row>
    <row r="1103" spans="22:31" ht="11.25" customHeight="1" x14ac:dyDescent="0.25"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</row>
    <row r="1104" spans="22:31" ht="11.25" customHeight="1" x14ac:dyDescent="0.25"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</row>
    <row r="1105" spans="22:31" ht="11.25" customHeight="1" x14ac:dyDescent="0.25"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</row>
    <row r="1106" spans="22:31" ht="11.25" customHeight="1" x14ac:dyDescent="0.25"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</row>
    <row r="1107" spans="22:31" ht="11.25" customHeight="1" x14ac:dyDescent="0.25"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</row>
    <row r="1108" spans="22:31" ht="11.25" customHeight="1" x14ac:dyDescent="0.25"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</row>
    <row r="1109" spans="22:31" ht="11.25" customHeight="1" x14ac:dyDescent="0.25"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</row>
    <row r="1110" spans="22:31" ht="11.25" customHeight="1" x14ac:dyDescent="0.25"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</row>
    <row r="1111" spans="22:31" ht="11.25" customHeight="1" x14ac:dyDescent="0.25"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</row>
    <row r="1112" spans="22:31" ht="11.25" customHeight="1" x14ac:dyDescent="0.25"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</row>
    <row r="1113" spans="22:31" ht="11.25" customHeight="1" x14ac:dyDescent="0.25"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</row>
    <row r="1114" spans="22:31" ht="11.25" customHeight="1" x14ac:dyDescent="0.25"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</row>
    <row r="1115" spans="22:31" ht="11.25" customHeight="1" x14ac:dyDescent="0.25"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</row>
    <row r="1116" spans="22:31" ht="11.25" customHeight="1" x14ac:dyDescent="0.25"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</row>
    <row r="1117" spans="22:31" ht="11.25" customHeight="1" x14ac:dyDescent="0.25"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</row>
    <row r="1118" spans="22:31" ht="11.25" customHeight="1" x14ac:dyDescent="0.25"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</row>
    <row r="1119" spans="22:31" ht="11.25" customHeight="1" x14ac:dyDescent="0.25"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</row>
    <row r="1120" spans="22:31" ht="11.25" customHeight="1" x14ac:dyDescent="0.25"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</row>
    <row r="1121" spans="22:31" ht="11.25" customHeight="1" x14ac:dyDescent="0.25"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</row>
    <row r="1122" spans="22:31" ht="11.25" customHeight="1" x14ac:dyDescent="0.25"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</row>
    <row r="1123" spans="22:31" ht="11.25" customHeight="1" x14ac:dyDescent="0.25"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</row>
    <row r="1124" spans="22:31" ht="11.25" customHeight="1" x14ac:dyDescent="0.25"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</row>
    <row r="1125" spans="22:31" ht="11.25" customHeight="1" x14ac:dyDescent="0.25"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</row>
    <row r="1126" spans="22:31" ht="11.25" customHeight="1" x14ac:dyDescent="0.25"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</row>
    <row r="1127" spans="22:31" ht="11.25" customHeight="1" x14ac:dyDescent="0.25"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</row>
    <row r="1128" spans="22:31" ht="11.25" customHeight="1" x14ac:dyDescent="0.25"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</row>
    <row r="1129" spans="22:31" ht="11.25" customHeight="1" x14ac:dyDescent="0.25"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</row>
    <row r="1130" spans="22:31" ht="11.25" customHeight="1" x14ac:dyDescent="0.25"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</row>
    <row r="1131" spans="22:31" ht="11.25" customHeight="1" x14ac:dyDescent="0.25"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</row>
    <row r="1132" spans="22:31" ht="11.25" customHeight="1" x14ac:dyDescent="0.25"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</row>
    <row r="1133" spans="22:31" ht="11.25" customHeight="1" x14ac:dyDescent="0.25"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</row>
    <row r="1134" spans="22:31" ht="11.25" customHeight="1" x14ac:dyDescent="0.25"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</row>
    <row r="1135" spans="22:31" ht="11.25" customHeight="1" x14ac:dyDescent="0.25"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</row>
    <row r="1136" spans="22:31" ht="11.25" customHeight="1" x14ac:dyDescent="0.25"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</row>
    <row r="1137" spans="22:31" ht="11.25" customHeight="1" x14ac:dyDescent="0.25"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</row>
    <row r="1138" spans="22:31" ht="11.25" customHeight="1" x14ac:dyDescent="0.25"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</row>
    <row r="1139" spans="22:31" ht="11.25" customHeight="1" x14ac:dyDescent="0.25"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</row>
    <row r="1140" spans="22:31" ht="11.25" customHeight="1" x14ac:dyDescent="0.25"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</row>
    <row r="1141" spans="22:31" ht="11.25" customHeight="1" x14ac:dyDescent="0.25"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</row>
    <row r="1142" spans="22:31" ht="11.25" customHeight="1" x14ac:dyDescent="0.25"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</row>
    <row r="1143" spans="22:31" ht="11.25" customHeight="1" x14ac:dyDescent="0.25"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</row>
    <row r="1144" spans="22:31" ht="11.25" customHeight="1" x14ac:dyDescent="0.25"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</row>
    <row r="1145" spans="22:31" ht="11.25" customHeight="1" x14ac:dyDescent="0.25"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</row>
    <row r="1146" spans="22:31" ht="11.25" customHeight="1" x14ac:dyDescent="0.25"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</row>
    <row r="1147" spans="22:31" ht="11.25" customHeight="1" x14ac:dyDescent="0.25"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</row>
    <row r="1148" spans="22:31" ht="11.25" customHeight="1" x14ac:dyDescent="0.25"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</row>
    <row r="1149" spans="22:31" ht="11.25" customHeight="1" x14ac:dyDescent="0.25"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</row>
    <row r="1150" spans="22:31" ht="11.25" customHeight="1" x14ac:dyDescent="0.25"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</row>
    <row r="1151" spans="22:31" ht="11.25" customHeight="1" x14ac:dyDescent="0.25"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</row>
    <row r="1152" spans="22:31" ht="11.25" customHeight="1" x14ac:dyDescent="0.25"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</row>
    <row r="1153" spans="22:31" ht="11.25" customHeight="1" x14ac:dyDescent="0.25"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</row>
    <row r="1154" spans="22:31" ht="11.25" customHeight="1" x14ac:dyDescent="0.25"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</row>
    <row r="1155" spans="22:31" ht="11.25" customHeight="1" x14ac:dyDescent="0.25"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</row>
    <row r="1156" spans="22:31" ht="11.25" customHeight="1" x14ac:dyDescent="0.25"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</row>
    <row r="1157" spans="22:31" ht="11.25" customHeight="1" x14ac:dyDescent="0.25"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</row>
    <row r="1158" spans="22:31" ht="11.25" customHeight="1" x14ac:dyDescent="0.25"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</row>
    <row r="1159" spans="22:31" ht="11.25" customHeight="1" x14ac:dyDescent="0.25"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</row>
    <row r="1160" spans="22:31" ht="11.25" customHeight="1" x14ac:dyDescent="0.25"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</row>
    <row r="1161" spans="22:31" ht="11.25" customHeight="1" x14ac:dyDescent="0.25"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</row>
    <row r="1162" spans="22:31" ht="11.25" customHeight="1" x14ac:dyDescent="0.25"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</row>
    <row r="1163" spans="22:31" ht="11.25" customHeight="1" x14ac:dyDescent="0.25"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</row>
    <row r="1164" spans="22:31" ht="11.25" customHeight="1" x14ac:dyDescent="0.25"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</row>
    <row r="1165" spans="22:31" ht="11.25" customHeight="1" x14ac:dyDescent="0.25"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</row>
    <row r="1166" spans="22:31" ht="11.25" customHeight="1" x14ac:dyDescent="0.25"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</row>
    <row r="1167" spans="22:31" ht="11.25" customHeight="1" x14ac:dyDescent="0.25"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</row>
    <row r="1168" spans="22:31" ht="11.25" customHeight="1" x14ac:dyDescent="0.25"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</row>
    <row r="1169" spans="22:31" ht="11.25" customHeight="1" x14ac:dyDescent="0.25"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22:31" ht="11.25" customHeight="1" x14ac:dyDescent="0.25"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22:31" ht="11.25" customHeight="1" x14ac:dyDescent="0.25"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</row>
    <row r="1172" spans="22:31" ht="11.25" customHeight="1" x14ac:dyDescent="0.25"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</row>
    <row r="1173" spans="22:31" ht="11.25" customHeight="1" x14ac:dyDescent="0.25"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</row>
    <row r="1174" spans="22:31" ht="11.25" customHeight="1" x14ac:dyDescent="0.25"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</row>
    <row r="1175" spans="22:31" ht="11.25" customHeight="1" x14ac:dyDescent="0.25"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</row>
    <row r="1176" spans="22:31" ht="11.25" customHeight="1" x14ac:dyDescent="0.25"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</row>
    <row r="1177" spans="22:31" ht="11.25" customHeight="1" x14ac:dyDescent="0.25"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</row>
    <row r="1178" spans="22:31" ht="11.25" customHeight="1" x14ac:dyDescent="0.25"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</row>
    <row r="1179" spans="22:31" ht="11.25" customHeight="1" x14ac:dyDescent="0.25"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</row>
    <row r="1180" spans="22:31" ht="11.25" customHeight="1" x14ac:dyDescent="0.25"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</row>
    <row r="1181" spans="22:31" ht="11.25" customHeight="1" x14ac:dyDescent="0.25"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</row>
    <row r="1182" spans="22:31" ht="11.25" customHeight="1" x14ac:dyDescent="0.25"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</row>
    <row r="1183" spans="22:31" ht="11.25" customHeight="1" x14ac:dyDescent="0.25"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</row>
    <row r="1184" spans="22:31" ht="11.25" customHeight="1" x14ac:dyDescent="0.25"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</row>
    <row r="1185" spans="22:31" ht="11.25" customHeight="1" x14ac:dyDescent="0.25"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</row>
    <row r="1186" spans="22:31" ht="11.25" customHeight="1" x14ac:dyDescent="0.25"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</row>
    <row r="1187" spans="22:31" ht="11.25" customHeight="1" x14ac:dyDescent="0.25"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</row>
    <row r="1188" spans="22:31" ht="11.25" customHeight="1" x14ac:dyDescent="0.25"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</row>
    <row r="1189" spans="22:31" ht="11.25" customHeight="1" x14ac:dyDescent="0.25"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</row>
    <row r="1190" spans="22:31" ht="11.25" customHeight="1" x14ac:dyDescent="0.25"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</row>
    <row r="1191" spans="22:31" ht="11.25" customHeight="1" x14ac:dyDescent="0.25"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</row>
    <row r="1192" spans="22:31" ht="11.25" customHeight="1" x14ac:dyDescent="0.25"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</row>
    <row r="1193" spans="22:31" ht="11.25" customHeight="1" x14ac:dyDescent="0.25"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</row>
    <row r="1194" spans="22:31" ht="11.25" customHeight="1" x14ac:dyDescent="0.25"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</row>
    <row r="1195" spans="22:31" ht="11.25" customHeight="1" x14ac:dyDescent="0.25"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</row>
    <row r="1196" spans="22:31" ht="11.25" customHeight="1" x14ac:dyDescent="0.25"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</row>
    <row r="1197" spans="22:31" ht="11.25" customHeight="1" x14ac:dyDescent="0.25"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</row>
    <row r="1198" spans="22:31" ht="11.25" customHeight="1" x14ac:dyDescent="0.25"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</row>
    <row r="1199" spans="22:31" ht="11.25" customHeight="1" x14ac:dyDescent="0.25"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</row>
    <row r="1200" spans="22:31" ht="11.25" customHeight="1" x14ac:dyDescent="0.25"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</row>
    <row r="1201" spans="22:31" ht="11.25" customHeight="1" x14ac:dyDescent="0.25"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</row>
    <row r="1202" spans="22:31" ht="11.25" customHeight="1" x14ac:dyDescent="0.25"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</row>
    <row r="1203" spans="22:31" ht="11.25" customHeight="1" x14ac:dyDescent="0.25"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</row>
    <row r="1204" spans="22:31" ht="11.25" customHeight="1" x14ac:dyDescent="0.25"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</row>
    <row r="1205" spans="22:31" ht="11.25" customHeight="1" x14ac:dyDescent="0.25"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</row>
    <row r="1206" spans="22:31" ht="11.25" customHeight="1" x14ac:dyDescent="0.25"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</row>
    <row r="1207" spans="22:31" ht="11.25" customHeight="1" x14ac:dyDescent="0.25"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</row>
    <row r="1208" spans="22:31" ht="11.25" customHeight="1" x14ac:dyDescent="0.25"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</row>
    <row r="1209" spans="22:31" ht="11.25" customHeight="1" x14ac:dyDescent="0.25"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</row>
    <row r="1210" spans="22:31" ht="11.25" customHeight="1" x14ac:dyDescent="0.25"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</row>
    <row r="1211" spans="22:31" ht="11.25" customHeight="1" x14ac:dyDescent="0.25"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</row>
    <row r="1212" spans="22:31" ht="11.25" customHeight="1" x14ac:dyDescent="0.25"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</row>
    <row r="1213" spans="22:31" ht="11.25" customHeight="1" x14ac:dyDescent="0.25"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</row>
    <row r="1214" spans="22:31" ht="11.25" customHeight="1" x14ac:dyDescent="0.25"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22:31" ht="11.25" customHeight="1" x14ac:dyDescent="0.25"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22:31" ht="11.25" customHeight="1" x14ac:dyDescent="0.25"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22:31" ht="11.25" customHeight="1" x14ac:dyDescent="0.25"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</row>
    <row r="1218" spans="22:31" ht="11.25" customHeight="1" x14ac:dyDescent="0.25"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</row>
    <row r="1219" spans="22:31" ht="11.25" customHeight="1" x14ac:dyDescent="0.25"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</row>
    <row r="1220" spans="22:31" ht="11.25" customHeight="1" x14ac:dyDescent="0.25"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</row>
    <row r="1221" spans="22:31" ht="11.25" customHeight="1" x14ac:dyDescent="0.25"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</row>
    <row r="1222" spans="22:31" ht="11.25" customHeight="1" x14ac:dyDescent="0.25"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</row>
    <row r="1223" spans="22:31" ht="11.25" customHeight="1" x14ac:dyDescent="0.25"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</row>
    <row r="1224" spans="22:31" ht="11.25" customHeight="1" x14ac:dyDescent="0.25"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</row>
    <row r="1225" spans="22:31" ht="11.25" customHeight="1" x14ac:dyDescent="0.25"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</row>
    <row r="1226" spans="22:31" ht="11.25" customHeight="1" x14ac:dyDescent="0.25"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</row>
    <row r="1227" spans="22:31" ht="11.25" customHeight="1" x14ac:dyDescent="0.25"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</row>
    <row r="1228" spans="22:31" ht="11.25" customHeight="1" x14ac:dyDescent="0.25"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</row>
    <row r="1229" spans="22:31" ht="11.25" customHeight="1" x14ac:dyDescent="0.25"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</row>
    <row r="1230" spans="22:31" ht="11.25" customHeight="1" x14ac:dyDescent="0.25"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</row>
    <row r="1231" spans="22:31" ht="11.25" customHeight="1" x14ac:dyDescent="0.25"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</row>
    <row r="1232" spans="22:31" ht="11.25" customHeight="1" x14ac:dyDescent="0.25"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</row>
    <row r="1233" spans="22:31" ht="11.25" customHeight="1" x14ac:dyDescent="0.25"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</row>
    <row r="1234" spans="22:31" ht="11.25" customHeight="1" x14ac:dyDescent="0.25"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</row>
    <row r="1235" spans="22:31" ht="11.25" customHeight="1" x14ac:dyDescent="0.25"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</row>
    <row r="1236" spans="22:31" ht="11.25" customHeight="1" x14ac:dyDescent="0.25"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</row>
    <row r="1237" spans="22:31" ht="11.25" customHeight="1" x14ac:dyDescent="0.25"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</row>
    <row r="1238" spans="22:31" ht="11.25" customHeight="1" x14ac:dyDescent="0.25"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</row>
    <row r="1239" spans="22:31" ht="11.25" customHeight="1" x14ac:dyDescent="0.25"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</row>
    <row r="1240" spans="22:31" ht="11.25" customHeight="1" x14ac:dyDescent="0.25"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</row>
    <row r="1241" spans="22:31" ht="11.25" customHeight="1" x14ac:dyDescent="0.25"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</row>
    <row r="1242" spans="22:31" ht="11.25" customHeight="1" x14ac:dyDescent="0.25"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</row>
    <row r="1243" spans="22:31" ht="11.25" customHeight="1" x14ac:dyDescent="0.25"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</row>
    <row r="1244" spans="22:31" ht="11.25" customHeight="1" x14ac:dyDescent="0.25"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</row>
    <row r="1245" spans="22:31" ht="11.25" customHeight="1" x14ac:dyDescent="0.25"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</row>
    <row r="1246" spans="22:31" ht="11.25" customHeight="1" x14ac:dyDescent="0.25"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</row>
    <row r="1247" spans="22:31" ht="11.25" customHeight="1" x14ac:dyDescent="0.25"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</row>
    <row r="1248" spans="22:31" ht="11.25" customHeight="1" x14ac:dyDescent="0.25"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</row>
    <row r="1249" spans="22:31" ht="11.25" customHeight="1" x14ac:dyDescent="0.25"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</row>
    <row r="1250" spans="22:31" ht="11.25" customHeight="1" x14ac:dyDescent="0.25"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</row>
    <row r="1251" spans="22:31" ht="11.25" customHeight="1" x14ac:dyDescent="0.25"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</row>
    <row r="1252" spans="22:31" ht="11.25" customHeight="1" x14ac:dyDescent="0.25"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</row>
    <row r="1253" spans="22:31" ht="11.25" customHeight="1" x14ac:dyDescent="0.25"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</row>
    <row r="1254" spans="22:31" ht="11.25" customHeight="1" x14ac:dyDescent="0.25"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</row>
    <row r="1255" spans="22:31" ht="11.25" customHeight="1" x14ac:dyDescent="0.25"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</row>
    <row r="1256" spans="22:31" ht="11.25" customHeight="1" x14ac:dyDescent="0.25"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</row>
    <row r="1257" spans="22:31" ht="11.25" customHeight="1" x14ac:dyDescent="0.25"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</row>
    <row r="1258" spans="22:31" ht="11.25" customHeight="1" x14ac:dyDescent="0.25"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</row>
    <row r="1259" spans="22:31" ht="11.25" customHeight="1" x14ac:dyDescent="0.25"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</row>
    <row r="1260" spans="22:31" ht="11.25" customHeight="1" x14ac:dyDescent="0.25"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</row>
    <row r="1261" spans="22:31" ht="11.25" customHeight="1" x14ac:dyDescent="0.25"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</row>
    <row r="1262" spans="22:31" ht="11.25" customHeight="1" x14ac:dyDescent="0.25"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</row>
    <row r="1263" spans="22:31" ht="11.25" customHeight="1" x14ac:dyDescent="0.25"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</row>
    <row r="1264" spans="22:31" ht="11.25" customHeight="1" x14ac:dyDescent="0.25"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22:31" ht="11.25" customHeight="1" x14ac:dyDescent="0.25"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</row>
    <row r="1266" spans="22:31" ht="11.25" customHeight="1" x14ac:dyDescent="0.25"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</row>
    <row r="1267" spans="22:31" ht="11.25" customHeight="1" x14ac:dyDescent="0.25"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</row>
    <row r="1268" spans="22:31" ht="11.25" customHeight="1" x14ac:dyDescent="0.25"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</row>
    <row r="1269" spans="22:31" ht="11.25" customHeight="1" x14ac:dyDescent="0.25"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</row>
    <row r="1270" spans="22:31" ht="11.25" customHeight="1" x14ac:dyDescent="0.25"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</row>
    <row r="1271" spans="22:31" ht="11.25" customHeight="1" x14ac:dyDescent="0.25"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</row>
    <row r="1272" spans="22:31" ht="11.25" customHeight="1" x14ac:dyDescent="0.25"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</row>
    <row r="1273" spans="22:31" ht="11.25" customHeight="1" x14ac:dyDescent="0.25"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</row>
    <row r="1274" spans="22:31" ht="11.25" customHeight="1" x14ac:dyDescent="0.25"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</row>
    <row r="1275" spans="22:31" ht="11.25" customHeight="1" x14ac:dyDescent="0.25"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</row>
    <row r="1276" spans="22:31" ht="11.25" customHeight="1" x14ac:dyDescent="0.25"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</row>
    <row r="1277" spans="22:31" ht="11.25" customHeight="1" x14ac:dyDescent="0.25"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</row>
    <row r="1278" spans="22:31" ht="11.25" customHeight="1" x14ac:dyDescent="0.25"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</row>
    <row r="1279" spans="22:31" ht="11.25" customHeight="1" x14ac:dyDescent="0.25"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</row>
    <row r="1280" spans="22:31" ht="11.25" customHeight="1" x14ac:dyDescent="0.25"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</row>
    <row r="1281" spans="22:31" ht="11.25" customHeight="1" x14ac:dyDescent="0.25"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</row>
    <row r="1282" spans="22:31" ht="11.25" customHeight="1" x14ac:dyDescent="0.25"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</row>
    <row r="1283" spans="22:31" ht="11.25" customHeight="1" x14ac:dyDescent="0.25"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</row>
    <row r="1284" spans="22:31" ht="11.25" customHeight="1" x14ac:dyDescent="0.25"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</row>
    <row r="1285" spans="22:31" ht="11.25" customHeight="1" x14ac:dyDescent="0.25"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</row>
    <row r="1286" spans="22:31" ht="11.25" customHeight="1" x14ac:dyDescent="0.25"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</row>
    <row r="1287" spans="22:31" ht="11.25" customHeight="1" x14ac:dyDescent="0.25"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</row>
    <row r="1288" spans="22:31" ht="11.25" customHeight="1" x14ac:dyDescent="0.25"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</row>
    <row r="1289" spans="22:31" ht="11.25" customHeight="1" x14ac:dyDescent="0.25"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</row>
    <row r="1290" spans="22:31" ht="11.25" customHeight="1" x14ac:dyDescent="0.25"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</row>
    <row r="1291" spans="22:31" ht="11.25" customHeight="1" x14ac:dyDescent="0.25"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</row>
    <row r="1292" spans="22:31" ht="11.25" customHeight="1" x14ac:dyDescent="0.25"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</row>
    <row r="1293" spans="22:31" ht="11.25" customHeight="1" x14ac:dyDescent="0.25"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</row>
    <row r="1294" spans="22:31" ht="11.25" customHeight="1" x14ac:dyDescent="0.25"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</row>
    <row r="1295" spans="22:31" ht="11.25" customHeight="1" x14ac:dyDescent="0.25"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</row>
    <row r="1296" spans="22:31" ht="11.25" customHeight="1" x14ac:dyDescent="0.25"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</row>
    <row r="1297" spans="22:31" ht="11.25" customHeight="1" x14ac:dyDescent="0.25"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22:31" ht="11.25" customHeight="1" x14ac:dyDescent="0.25"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22:31" ht="11.25" customHeight="1" x14ac:dyDescent="0.25"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22:31" ht="11.25" customHeight="1" x14ac:dyDescent="0.25"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</row>
    <row r="1301" spans="22:31" ht="11.25" customHeight="1" x14ac:dyDescent="0.25"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</row>
    <row r="1302" spans="22:31" ht="11.25" customHeight="1" x14ac:dyDescent="0.25"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</row>
    <row r="1303" spans="22:31" ht="11.25" customHeight="1" x14ac:dyDescent="0.25"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</row>
    <row r="1304" spans="22:31" ht="11.25" customHeight="1" x14ac:dyDescent="0.25"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</row>
    <row r="1305" spans="22:31" ht="11.25" customHeight="1" x14ac:dyDescent="0.25"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</row>
    <row r="1306" spans="22:31" ht="11.25" customHeight="1" x14ac:dyDescent="0.25"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</row>
    <row r="1307" spans="22:31" ht="11.25" customHeight="1" x14ac:dyDescent="0.25"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</row>
    <row r="1308" spans="22:31" ht="11.25" customHeight="1" x14ac:dyDescent="0.25"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</row>
    <row r="1309" spans="22:31" ht="11.25" customHeight="1" x14ac:dyDescent="0.25"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</row>
    <row r="1310" spans="22:31" ht="11.25" customHeight="1" x14ac:dyDescent="0.25"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</row>
    <row r="1311" spans="22:31" ht="11.25" customHeight="1" x14ac:dyDescent="0.25"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</row>
    <row r="1312" spans="22:31" ht="11.25" customHeight="1" x14ac:dyDescent="0.25"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</row>
    <row r="1313" spans="22:31" ht="11.25" customHeight="1" x14ac:dyDescent="0.25"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</row>
    <row r="1314" spans="22:31" ht="11.25" customHeight="1" x14ac:dyDescent="0.25"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</row>
    <row r="1315" spans="22:31" ht="11.25" customHeight="1" x14ac:dyDescent="0.25"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</row>
    <row r="1316" spans="22:31" ht="11.25" customHeight="1" x14ac:dyDescent="0.25"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</row>
    <row r="1317" spans="22:31" ht="11.25" customHeight="1" x14ac:dyDescent="0.25"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</row>
    <row r="1318" spans="22:31" ht="11.25" customHeight="1" x14ac:dyDescent="0.25"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</row>
    <row r="1319" spans="22:31" ht="11.25" customHeight="1" x14ac:dyDescent="0.25"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</row>
    <row r="1320" spans="22:31" ht="11.25" customHeight="1" x14ac:dyDescent="0.25"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</row>
    <row r="1321" spans="22:31" ht="11.25" customHeight="1" x14ac:dyDescent="0.25"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</row>
    <row r="1322" spans="22:31" ht="11.25" customHeight="1" x14ac:dyDescent="0.25"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</row>
    <row r="1323" spans="22:31" ht="11.25" customHeight="1" x14ac:dyDescent="0.25"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</row>
    <row r="1324" spans="22:31" ht="11.25" customHeight="1" x14ac:dyDescent="0.25"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</row>
    <row r="1325" spans="22:31" ht="11.25" customHeight="1" x14ac:dyDescent="0.25"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</row>
    <row r="1326" spans="22:31" ht="11.25" customHeight="1" x14ac:dyDescent="0.25"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</row>
    <row r="1327" spans="22:31" ht="11.25" customHeight="1" x14ac:dyDescent="0.25"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</row>
    <row r="1328" spans="22:31" ht="11.25" customHeight="1" x14ac:dyDescent="0.25"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</row>
    <row r="1329" spans="22:31" ht="11.25" customHeight="1" x14ac:dyDescent="0.25"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</row>
    <row r="1330" spans="22:31" ht="11.25" customHeight="1" x14ac:dyDescent="0.25"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</row>
    <row r="1331" spans="22:31" ht="11.25" customHeight="1" x14ac:dyDescent="0.25"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</row>
    <row r="1332" spans="22:31" ht="11.25" customHeight="1" x14ac:dyDescent="0.25"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</row>
    <row r="1333" spans="22:31" ht="11.25" customHeight="1" x14ac:dyDescent="0.25"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</row>
    <row r="1334" spans="22:31" ht="11.25" customHeight="1" x14ac:dyDescent="0.25"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</row>
    <row r="1335" spans="22:31" ht="11.25" customHeight="1" x14ac:dyDescent="0.25"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</row>
    <row r="1336" spans="22:31" ht="11.25" customHeight="1" x14ac:dyDescent="0.25"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</row>
    <row r="1337" spans="22:31" ht="11.25" customHeight="1" x14ac:dyDescent="0.25"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</row>
    <row r="1338" spans="22:31" ht="11.25" customHeight="1" x14ac:dyDescent="0.25"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</row>
    <row r="1339" spans="22:31" ht="11.25" customHeight="1" x14ac:dyDescent="0.25"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</row>
    <row r="1340" spans="22:31" ht="11.25" customHeight="1" x14ac:dyDescent="0.25"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</row>
    <row r="1341" spans="22:31" ht="11.25" customHeight="1" x14ac:dyDescent="0.25"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</row>
    <row r="1342" spans="22:31" ht="11.25" customHeight="1" x14ac:dyDescent="0.25"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</row>
    <row r="1343" spans="22:31" ht="11.25" customHeight="1" x14ac:dyDescent="0.25"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</row>
    <row r="1344" spans="22:31" ht="11.25" customHeight="1" x14ac:dyDescent="0.25"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</row>
    <row r="1345" spans="22:31" ht="11.25" customHeight="1" x14ac:dyDescent="0.25"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</row>
    <row r="1346" spans="22:31" ht="11.25" customHeight="1" x14ac:dyDescent="0.25"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</row>
    <row r="1347" spans="22:31" ht="11.25" customHeight="1" x14ac:dyDescent="0.25"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</row>
    <row r="1348" spans="22:31" ht="11.25" customHeight="1" x14ac:dyDescent="0.25"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</row>
    <row r="1349" spans="22:31" ht="11.25" customHeight="1" x14ac:dyDescent="0.25"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</row>
    <row r="1350" spans="22:31" ht="11.25" customHeight="1" x14ac:dyDescent="0.25"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</row>
    <row r="1351" spans="22:31" ht="11.25" customHeight="1" x14ac:dyDescent="0.25"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</row>
    <row r="1352" spans="22:31" ht="11.25" customHeight="1" x14ac:dyDescent="0.25"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</row>
    <row r="1353" spans="22:31" ht="11.25" customHeight="1" x14ac:dyDescent="0.25"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</row>
    <row r="1354" spans="22:31" ht="11.25" customHeight="1" x14ac:dyDescent="0.25"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</row>
    <row r="1355" spans="22:31" ht="11.25" customHeight="1" x14ac:dyDescent="0.25"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</row>
    <row r="1356" spans="22:31" ht="11.25" customHeight="1" x14ac:dyDescent="0.25"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</row>
    <row r="1357" spans="22:31" ht="11.25" customHeight="1" x14ac:dyDescent="0.25"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</row>
    <row r="1358" spans="22:31" ht="11.25" customHeight="1" x14ac:dyDescent="0.25"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</row>
    <row r="1359" spans="22:31" ht="11.25" customHeight="1" x14ac:dyDescent="0.25"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</row>
    <row r="1360" spans="22:31" ht="11.25" customHeight="1" x14ac:dyDescent="0.25"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</row>
    <row r="1361" spans="22:31" ht="11.25" customHeight="1" x14ac:dyDescent="0.25"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</row>
    <row r="1362" spans="22:31" ht="11.25" customHeight="1" x14ac:dyDescent="0.25"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</row>
    <row r="1363" spans="22:31" ht="11.25" customHeight="1" x14ac:dyDescent="0.25"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</row>
    <row r="1364" spans="22:31" ht="11.25" customHeight="1" x14ac:dyDescent="0.25"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</row>
    <row r="1365" spans="22:31" ht="11.25" customHeight="1" x14ac:dyDescent="0.25"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</row>
    <row r="1366" spans="22:31" ht="11.25" customHeight="1" x14ac:dyDescent="0.25"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</row>
    <row r="1367" spans="22:31" ht="11.25" customHeight="1" x14ac:dyDescent="0.25"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</row>
    <row r="1368" spans="22:31" ht="11.25" customHeight="1" x14ac:dyDescent="0.25"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</row>
    <row r="1369" spans="22:31" ht="11.25" customHeight="1" x14ac:dyDescent="0.25"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</row>
    <row r="1370" spans="22:31" ht="11.25" customHeight="1" x14ac:dyDescent="0.25"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</row>
    <row r="1371" spans="22:31" ht="11.25" customHeight="1" x14ac:dyDescent="0.25"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</row>
    <row r="1372" spans="22:31" ht="11.25" customHeight="1" x14ac:dyDescent="0.25"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</row>
    <row r="1373" spans="22:31" ht="11.25" customHeight="1" x14ac:dyDescent="0.25"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</row>
    <row r="1374" spans="22:31" ht="11.25" customHeight="1" x14ac:dyDescent="0.25"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</row>
    <row r="1375" spans="22:31" ht="11.25" customHeight="1" x14ac:dyDescent="0.25"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</row>
    <row r="1376" spans="22:31" ht="11.25" customHeight="1" x14ac:dyDescent="0.25"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</row>
    <row r="1377" spans="22:31" ht="11.25" customHeight="1" x14ac:dyDescent="0.25"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</row>
    <row r="1378" spans="22:31" ht="11.25" customHeight="1" x14ac:dyDescent="0.25"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</row>
    <row r="1379" spans="22:31" ht="11.25" customHeight="1" x14ac:dyDescent="0.25"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</row>
    <row r="1380" spans="22:31" ht="11.25" customHeight="1" x14ac:dyDescent="0.25"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</row>
    <row r="1381" spans="22:31" ht="11.25" customHeight="1" x14ac:dyDescent="0.25"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</row>
    <row r="1382" spans="22:31" ht="11.25" customHeight="1" x14ac:dyDescent="0.25"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</row>
    <row r="1383" spans="22:31" ht="11.25" customHeight="1" x14ac:dyDescent="0.25"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</row>
    <row r="1384" spans="22:31" ht="11.25" customHeight="1" x14ac:dyDescent="0.25"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</row>
    <row r="1385" spans="22:31" ht="11.25" customHeight="1" x14ac:dyDescent="0.25"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</row>
    <row r="1386" spans="22:31" ht="11.25" customHeight="1" x14ac:dyDescent="0.25"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</row>
    <row r="1387" spans="22:31" ht="11.25" customHeight="1" x14ac:dyDescent="0.25"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</row>
    <row r="1388" spans="22:31" ht="11.25" customHeight="1" x14ac:dyDescent="0.25"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</row>
    <row r="1389" spans="22:31" ht="11.25" customHeight="1" x14ac:dyDescent="0.25"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</row>
    <row r="1390" spans="22:31" ht="11.25" customHeight="1" x14ac:dyDescent="0.25"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</row>
    <row r="1391" spans="22:31" ht="11.25" customHeight="1" x14ac:dyDescent="0.25"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</row>
    <row r="1392" spans="22:31" ht="11.25" customHeight="1" x14ac:dyDescent="0.25"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</row>
    <row r="1393" spans="22:31" ht="11.25" customHeight="1" x14ac:dyDescent="0.25"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</row>
    <row r="1394" spans="22:31" ht="11.25" customHeight="1" x14ac:dyDescent="0.25"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</row>
    <row r="1395" spans="22:31" ht="11.25" customHeight="1" x14ac:dyDescent="0.25"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</row>
    <row r="1396" spans="22:31" ht="11.25" customHeight="1" x14ac:dyDescent="0.25"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</row>
    <row r="1397" spans="22:31" ht="11.25" customHeight="1" x14ac:dyDescent="0.25"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</row>
    <row r="1398" spans="22:31" ht="11.25" customHeight="1" x14ac:dyDescent="0.25"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</row>
    <row r="1399" spans="22:31" ht="11.25" customHeight="1" x14ac:dyDescent="0.25"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</row>
    <row r="1400" spans="22:31" ht="11.25" customHeight="1" x14ac:dyDescent="0.25"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</row>
    <row r="1401" spans="22:31" ht="11.25" customHeight="1" x14ac:dyDescent="0.25"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</row>
    <row r="1402" spans="22:31" ht="11.25" customHeight="1" x14ac:dyDescent="0.25"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</row>
    <row r="1403" spans="22:31" ht="11.25" customHeight="1" x14ac:dyDescent="0.25"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</row>
    <row r="1404" spans="22:31" ht="11.25" customHeight="1" x14ac:dyDescent="0.25"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</row>
    <row r="1405" spans="22:31" ht="11.25" customHeight="1" x14ac:dyDescent="0.25"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</row>
    <row r="1406" spans="22:31" ht="11.25" customHeight="1" x14ac:dyDescent="0.25"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</row>
    <row r="1407" spans="22:31" ht="11.25" customHeight="1" x14ac:dyDescent="0.25"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</row>
    <row r="1408" spans="22:31" ht="11.25" customHeight="1" x14ac:dyDescent="0.25"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</row>
    <row r="1409" spans="22:31" ht="11.25" customHeight="1" x14ac:dyDescent="0.25"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</row>
    <row r="1410" spans="22:31" ht="11.25" customHeight="1" x14ac:dyDescent="0.25"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</row>
    <row r="1411" spans="22:31" ht="11.25" customHeight="1" x14ac:dyDescent="0.25"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</row>
    <row r="1412" spans="22:31" ht="11.25" customHeight="1" x14ac:dyDescent="0.25"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</row>
    <row r="1413" spans="22:31" ht="11.25" customHeight="1" x14ac:dyDescent="0.25"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</row>
    <row r="1414" spans="22:31" ht="11.25" customHeight="1" x14ac:dyDescent="0.25"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</row>
    <row r="1415" spans="22:31" ht="11.25" customHeight="1" x14ac:dyDescent="0.25"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</row>
    <row r="1416" spans="22:31" ht="11.25" customHeight="1" x14ac:dyDescent="0.25"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</row>
    <row r="1417" spans="22:31" ht="11.25" customHeight="1" x14ac:dyDescent="0.25"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</row>
    <row r="1418" spans="22:31" ht="11.25" customHeight="1" x14ac:dyDescent="0.25"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</row>
    <row r="1419" spans="22:31" ht="11.25" customHeight="1" x14ac:dyDescent="0.25"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</row>
    <row r="1420" spans="22:31" ht="11.25" customHeight="1" x14ac:dyDescent="0.25"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</row>
    <row r="1421" spans="22:31" ht="11.25" customHeight="1" x14ac:dyDescent="0.25"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</row>
    <row r="1422" spans="22:31" ht="11.25" customHeight="1" x14ac:dyDescent="0.25"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</row>
    <row r="1423" spans="22:31" ht="11.25" customHeight="1" x14ac:dyDescent="0.25"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</row>
    <row r="1424" spans="22:31" ht="11.25" customHeight="1" x14ac:dyDescent="0.25"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</row>
    <row r="1425" spans="22:31" ht="11.25" customHeight="1" x14ac:dyDescent="0.25"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</row>
    <row r="1426" spans="22:31" ht="11.25" customHeight="1" x14ac:dyDescent="0.25"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</row>
    <row r="1427" spans="22:31" ht="11.25" customHeight="1" x14ac:dyDescent="0.25"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</row>
    <row r="1428" spans="22:31" ht="11.25" customHeight="1" x14ac:dyDescent="0.25"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</row>
    <row r="1429" spans="22:31" ht="11.25" customHeight="1" x14ac:dyDescent="0.25"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</row>
    <row r="1430" spans="22:31" ht="11.25" customHeight="1" x14ac:dyDescent="0.25"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</row>
    <row r="1431" spans="22:31" ht="11.25" customHeight="1" x14ac:dyDescent="0.25"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</row>
    <row r="1432" spans="22:31" ht="11.25" customHeight="1" x14ac:dyDescent="0.25"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</row>
    <row r="1433" spans="22:31" ht="11.25" customHeight="1" x14ac:dyDescent="0.25"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</row>
    <row r="1434" spans="22:31" ht="11.25" customHeight="1" x14ac:dyDescent="0.25"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</row>
    <row r="1435" spans="22:31" ht="11.25" customHeight="1" x14ac:dyDescent="0.25"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</row>
    <row r="1436" spans="22:31" ht="11.25" customHeight="1" x14ac:dyDescent="0.25"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</row>
    <row r="1437" spans="22:31" ht="11.25" customHeight="1" x14ac:dyDescent="0.25"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</row>
    <row r="1438" spans="22:31" ht="11.25" customHeight="1" x14ac:dyDescent="0.25"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</row>
    <row r="1439" spans="22:31" ht="11.25" customHeight="1" x14ac:dyDescent="0.25"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</row>
    <row r="1440" spans="22:31" ht="11.25" customHeight="1" x14ac:dyDescent="0.25"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</row>
    <row r="1441" spans="22:31" ht="11.25" customHeight="1" x14ac:dyDescent="0.25"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</row>
    <row r="1442" spans="22:31" ht="11.25" customHeight="1" x14ac:dyDescent="0.25"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</row>
    <row r="1443" spans="22:31" ht="11.25" customHeight="1" x14ac:dyDescent="0.25"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</row>
    <row r="1444" spans="22:31" ht="11.25" customHeight="1" x14ac:dyDescent="0.25"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</row>
    <row r="1445" spans="22:31" ht="11.25" customHeight="1" x14ac:dyDescent="0.25"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</row>
    <row r="1446" spans="22:31" ht="11.25" customHeight="1" x14ac:dyDescent="0.25"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</row>
    <row r="1447" spans="22:31" ht="11.25" customHeight="1" x14ac:dyDescent="0.25"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</row>
    <row r="1448" spans="22:31" ht="11.25" customHeight="1" x14ac:dyDescent="0.25"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</row>
    <row r="1449" spans="22:31" ht="11.25" customHeight="1" x14ac:dyDescent="0.25"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</row>
    <row r="1450" spans="22:31" ht="11.25" customHeight="1" x14ac:dyDescent="0.25"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</row>
    <row r="1451" spans="22:31" ht="11.25" customHeight="1" x14ac:dyDescent="0.25"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</row>
    <row r="1452" spans="22:31" ht="11.25" customHeight="1" x14ac:dyDescent="0.25"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</row>
    <row r="1453" spans="22:31" ht="11.25" customHeight="1" x14ac:dyDescent="0.25"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</row>
    <row r="1454" spans="22:31" ht="11.25" customHeight="1" x14ac:dyDescent="0.25"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</row>
    <row r="1455" spans="22:31" ht="11.25" customHeight="1" x14ac:dyDescent="0.25"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</row>
    <row r="1456" spans="22:31" ht="11.25" customHeight="1" x14ac:dyDescent="0.25"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</row>
    <row r="1457" spans="22:31" ht="11.25" customHeight="1" x14ac:dyDescent="0.25"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</row>
    <row r="1458" spans="22:31" ht="11.25" customHeight="1" x14ac:dyDescent="0.25"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</row>
    <row r="1459" spans="22:31" ht="11.25" customHeight="1" x14ac:dyDescent="0.25"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</row>
    <row r="1460" spans="22:31" ht="11.25" customHeight="1" x14ac:dyDescent="0.25"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</row>
    <row r="1461" spans="22:31" ht="11.25" customHeight="1" x14ac:dyDescent="0.25"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</row>
    <row r="1462" spans="22:31" ht="11.25" customHeight="1" x14ac:dyDescent="0.25"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</row>
    <row r="1463" spans="22:31" ht="11.25" customHeight="1" x14ac:dyDescent="0.25"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</row>
    <row r="1464" spans="22:31" ht="11.25" customHeight="1" x14ac:dyDescent="0.25"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</row>
    <row r="1465" spans="22:31" ht="11.25" customHeight="1" x14ac:dyDescent="0.25"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</row>
    <row r="1466" spans="22:31" ht="11.25" customHeight="1" x14ac:dyDescent="0.25"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</row>
    <row r="1467" spans="22:31" ht="11.25" customHeight="1" x14ac:dyDescent="0.25"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</row>
    <row r="1468" spans="22:31" ht="11.25" customHeight="1" x14ac:dyDescent="0.25"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</row>
    <row r="1469" spans="22:31" ht="11.25" customHeight="1" x14ac:dyDescent="0.25"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</row>
    <row r="1470" spans="22:31" ht="11.25" customHeight="1" x14ac:dyDescent="0.25"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</row>
    <row r="1471" spans="22:31" ht="11.25" customHeight="1" x14ac:dyDescent="0.25"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</row>
    <row r="1472" spans="22:31" ht="11.25" customHeight="1" x14ac:dyDescent="0.25"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</row>
    <row r="1473" spans="22:31" ht="11.25" customHeight="1" x14ac:dyDescent="0.25"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</row>
    <row r="1474" spans="22:31" ht="11.25" customHeight="1" x14ac:dyDescent="0.25"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</row>
    <row r="1475" spans="22:31" ht="11.25" customHeight="1" x14ac:dyDescent="0.25"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</row>
    <row r="1476" spans="22:31" ht="11.25" customHeight="1" x14ac:dyDescent="0.25"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</row>
    <row r="1477" spans="22:31" ht="11.25" customHeight="1" x14ac:dyDescent="0.25"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</row>
    <row r="1478" spans="22:31" ht="11.25" customHeight="1" x14ac:dyDescent="0.25"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</row>
    <row r="1479" spans="22:31" ht="11.25" customHeight="1" x14ac:dyDescent="0.25"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</row>
    <row r="1480" spans="22:31" ht="11.25" customHeight="1" x14ac:dyDescent="0.25"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</row>
    <row r="1481" spans="22:31" ht="11.25" customHeight="1" x14ac:dyDescent="0.25"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</row>
    <row r="1482" spans="22:31" ht="11.25" customHeight="1" x14ac:dyDescent="0.25"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</row>
    <row r="1483" spans="22:31" ht="11.25" customHeight="1" x14ac:dyDescent="0.25"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</row>
    <row r="1484" spans="22:31" ht="11.25" customHeight="1" x14ac:dyDescent="0.25"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</row>
    <row r="1485" spans="22:31" ht="11.25" customHeight="1" x14ac:dyDescent="0.25"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</row>
    <row r="1486" spans="22:31" ht="11.25" customHeight="1" x14ac:dyDescent="0.25"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</row>
    <row r="1487" spans="22:31" ht="11.25" customHeight="1" x14ac:dyDescent="0.25"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</row>
    <row r="1488" spans="22:31" ht="11.25" customHeight="1" x14ac:dyDescent="0.25"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</row>
    <row r="1489" spans="22:31" ht="11.25" customHeight="1" x14ac:dyDescent="0.25"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</row>
    <row r="1490" spans="22:31" ht="11.25" customHeight="1" x14ac:dyDescent="0.25"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</row>
    <row r="1491" spans="22:31" ht="11.25" customHeight="1" x14ac:dyDescent="0.25"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</row>
    <row r="1492" spans="22:31" ht="11.25" customHeight="1" x14ac:dyDescent="0.25"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</row>
    <row r="1493" spans="22:31" ht="11.25" customHeight="1" x14ac:dyDescent="0.25"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</row>
    <row r="1494" spans="22:31" ht="11.25" customHeight="1" x14ac:dyDescent="0.25"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</row>
    <row r="1495" spans="22:31" ht="11.25" customHeight="1" x14ac:dyDescent="0.25"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</row>
    <row r="1496" spans="22:31" ht="11.25" customHeight="1" x14ac:dyDescent="0.25"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</row>
    <row r="1497" spans="22:31" ht="11.25" customHeight="1" x14ac:dyDescent="0.25"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</row>
    <row r="1498" spans="22:31" ht="11.25" customHeight="1" x14ac:dyDescent="0.25"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</row>
    <row r="1499" spans="22:31" ht="11.25" customHeight="1" x14ac:dyDescent="0.25"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</row>
    <row r="1500" spans="22:31" ht="11.25" customHeight="1" x14ac:dyDescent="0.25"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</row>
    <row r="1501" spans="22:31" ht="11.25" customHeight="1" x14ac:dyDescent="0.25"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</row>
    <row r="1502" spans="22:31" ht="11.25" customHeight="1" x14ac:dyDescent="0.25"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</row>
    <row r="1503" spans="22:31" ht="11.25" customHeight="1" x14ac:dyDescent="0.25"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</row>
    <row r="1504" spans="22:31" ht="11.25" customHeight="1" x14ac:dyDescent="0.25"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</row>
    <row r="1505" spans="22:31" ht="11.25" customHeight="1" x14ac:dyDescent="0.25"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</row>
    <row r="1506" spans="22:31" ht="11.25" customHeight="1" x14ac:dyDescent="0.25"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</row>
    <row r="1507" spans="22:31" ht="11.25" customHeight="1" x14ac:dyDescent="0.25"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</row>
    <row r="1508" spans="22:31" ht="11.25" customHeight="1" x14ac:dyDescent="0.25"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</row>
    <row r="1509" spans="22:31" ht="11.25" customHeight="1" x14ac:dyDescent="0.25"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</row>
    <row r="1510" spans="22:31" ht="11.25" customHeight="1" x14ac:dyDescent="0.25"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</row>
    <row r="1511" spans="22:31" ht="11.25" customHeight="1" x14ac:dyDescent="0.25"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</row>
    <row r="1512" spans="22:31" ht="11.25" customHeight="1" x14ac:dyDescent="0.25"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</row>
    <row r="1513" spans="22:31" ht="11.25" customHeight="1" x14ac:dyDescent="0.25"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</row>
    <row r="1514" spans="22:31" ht="11.25" customHeight="1" x14ac:dyDescent="0.25"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</row>
    <row r="1515" spans="22:31" ht="11.25" customHeight="1" x14ac:dyDescent="0.25"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</row>
    <row r="1516" spans="22:31" ht="11.25" customHeight="1" x14ac:dyDescent="0.25"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</row>
    <row r="1517" spans="22:31" ht="11.25" customHeight="1" x14ac:dyDescent="0.25"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</row>
    <row r="1518" spans="22:31" ht="11.25" customHeight="1" x14ac:dyDescent="0.25"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</row>
    <row r="1519" spans="22:31" ht="11.25" customHeight="1" x14ac:dyDescent="0.25"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</row>
    <row r="1520" spans="22:31" ht="11.25" customHeight="1" x14ac:dyDescent="0.25"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</row>
    <row r="1521" spans="22:31" ht="11.25" customHeight="1" x14ac:dyDescent="0.25"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</row>
    <row r="1522" spans="22:31" ht="11.25" customHeight="1" x14ac:dyDescent="0.25"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</row>
    <row r="1523" spans="22:31" ht="11.25" customHeight="1" x14ac:dyDescent="0.25"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</row>
    <row r="1524" spans="22:31" ht="11.25" customHeight="1" x14ac:dyDescent="0.25"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</row>
    <row r="1525" spans="22:31" ht="11.25" customHeight="1" x14ac:dyDescent="0.25"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</row>
    <row r="1526" spans="22:31" ht="11.25" customHeight="1" x14ac:dyDescent="0.25"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</row>
    <row r="1527" spans="22:31" ht="11.25" customHeight="1" x14ac:dyDescent="0.25"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</row>
    <row r="1528" spans="22:31" ht="11.25" customHeight="1" x14ac:dyDescent="0.25"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</row>
    <row r="1529" spans="22:31" ht="11.25" customHeight="1" x14ac:dyDescent="0.25"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</row>
    <row r="1530" spans="22:31" ht="11.25" customHeight="1" x14ac:dyDescent="0.25"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</row>
    <row r="1531" spans="22:31" ht="11.25" customHeight="1" x14ac:dyDescent="0.25"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</row>
    <row r="1532" spans="22:31" ht="11.25" customHeight="1" x14ac:dyDescent="0.25"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</row>
    <row r="1533" spans="22:31" ht="11.25" customHeight="1" x14ac:dyDescent="0.25"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</row>
    <row r="1534" spans="22:31" ht="11.25" customHeight="1" x14ac:dyDescent="0.25"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</row>
    <row r="1535" spans="22:31" ht="11.25" customHeight="1" x14ac:dyDescent="0.25"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</row>
    <row r="1536" spans="22:31" ht="11.25" customHeight="1" x14ac:dyDescent="0.25"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</row>
    <row r="1537" spans="22:31" ht="11.25" customHeight="1" x14ac:dyDescent="0.25"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</row>
    <row r="1538" spans="22:31" ht="11.25" customHeight="1" x14ac:dyDescent="0.25"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</row>
    <row r="1539" spans="22:31" ht="11.25" customHeight="1" x14ac:dyDescent="0.25"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</row>
    <row r="1540" spans="22:31" ht="11.25" customHeight="1" x14ac:dyDescent="0.25"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</row>
    <row r="1541" spans="22:31" ht="11.25" customHeight="1" x14ac:dyDescent="0.25"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</row>
    <row r="1542" spans="22:31" ht="11.25" customHeight="1" x14ac:dyDescent="0.25"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</row>
    <row r="1543" spans="22:31" ht="11.25" customHeight="1" x14ac:dyDescent="0.25"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</row>
    <row r="1544" spans="22:31" ht="11.25" customHeight="1" x14ac:dyDescent="0.25"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</row>
    <row r="1545" spans="22:31" ht="11.25" customHeight="1" x14ac:dyDescent="0.25"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</row>
    <row r="1546" spans="22:31" ht="11.25" customHeight="1" x14ac:dyDescent="0.25"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</row>
    <row r="1547" spans="22:31" ht="11.25" customHeight="1" x14ac:dyDescent="0.25"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</row>
    <row r="1548" spans="22:31" ht="11.25" customHeight="1" x14ac:dyDescent="0.25"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</row>
    <row r="1549" spans="22:31" ht="11.25" customHeight="1" x14ac:dyDescent="0.25"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</row>
    <row r="1550" spans="22:31" ht="11.25" customHeight="1" x14ac:dyDescent="0.25"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</row>
    <row r="1551" spans="22:31" ht="11.25" customHeight="1" x14ac:dyDescent="0.25"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</row>
    <row r="1552" spans="22:31" ht="11.25" customHeight="1" x14ac:dyDescent="0.25"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</row>
    <row r="1553" spans="22:31" ht="11.25" customHeight="1" x14ac:dyDescent="0.25"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</row>
    <row r="1554" spans="22:31" ht="11.25" customHeight="1" x14ac:dyDescent="0.25"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</row>
    <row r="1555" spans="22:31" ht="11.25" customHeight="1" x14ac:dyDescent="0.25"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</row>
    <row r="1556" spans="22:31" ht="11.25" customHeight="1" x14ac:dyDescent="0.25"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</row>
    <row r="1557" spans="22:31" ht="11.25" customHeight="1" x14ac:dyDescent="0.25"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</row>
    <row r="1558" spans="22:31" ht="11.25" customHeight="1" x14ac:dyDescent="0.25"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</row>
    <row r="1559" spans="22:31" ht="11.25" customHeight="1" x14ac:dyDescent="0.25"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</row>
    <row r="1560" spans="22:31" ht="11.25" customHeight="1" x14ac:dyDescent="0.25"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</row>
    <row r="1561" spans="22:31" ht="11.25" customHeight="1" x14ac:dyDescent="0.25"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</row>
    <row r="1562" spans="22:31" ht="11.25" customHeight="1" x14ac:dyDescent="0.25"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</row>
    <row r="1563" spans="22:31" ht="11.25" customHeight="1" x14ac:dyDescent="0.25"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</row>
    <row r="1564" spans="22:31" ht="11.25" customHeight="1" x14ac:dyDescent="0.25"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</row>
    <row r="1565" spans="22:31" ht="11.25" customHeight="1" x14ac:dyDescent="0.25"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</row>
    <row r="1566" spans="22:31" ht="11.25" customHeight="1" x14ac:dyDescent="0.25"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</row>
    <row r="1567" spans="22:31" ht="11.25" customHeight="1" x14ac:dyDescent="0.25"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</row>
    <row r="1568" spans="22:31" ht="11.25" customHeight="1" x14ac:dyDescent="0.25"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</row>
    <row r="1569" spans="22:31" ht="11.25" customHeight="1" x14ac:dyDescent="0.25"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</row>
    <row r="1570" spans="22:31" ht="11.25" customHeight="1" x14ac:dyDescent="0.25"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</row>
    <row r="1571" spans="22:31" ht="11.25" customHeight="1" x14ac:dyDescent="0.25"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</row>
    <row r="1572" spans="22:31" ht="11.25" customHeight="1" x14ac:dyDescent="0.25"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</row>
    <row r="1573" spans="22:31" ht="11.25" customHeight="1" x14ac:dyDescent="0.25"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</row>
    <row r="1574" spans="22:31" ht="11.25" customHeight="1" x14ac:dyDescent="0.25"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</row>
    <row r="1575" spans="22:31" ht="11.25" customHeight="1" x14ac:dyDescent="0.25"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</row>
    <row r="1576" spans="22:31" ht="11.25" customHeight="1" x14ac:dyDescent="0.25"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</row>
    <row r="1577" spans="22:31" ht="11.25" customHeight="1" x14ac:dyDescent="0.25"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</row>
    <row r="1578" spans="22:31" ht="11.25" customHeight="1" x14ac:dyDescent="0.25"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</row>
    <row r="1579" spans="22:31" ht="11.25" customHeight="1" x14ac:dyDescent="0.25"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</row>
    <row r="1580" spans="22:31" ht="11.25" customHeight="1" x14ac:dyDescent="0.25"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</row>
    <row r="1581" spans="22:31" ht="11.25" customHeight="1" x14ac:dyDescent="0.25"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</row>
    <row r="1582" spans="22:31" ht="11.25" customHeight="1" x14ac:dyDescent="0.25"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</row>
    <row r="1583" spans="22:31" ht="11.25" customHeight="1" x14ac:dyDescent="0.25"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</row>
    <row r="1584" spans="22:31" ht="11.25" customHeight="1" x14ac:dyDescent="0.25"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</row>
    <row r="1585" spans="22:31" ht="11.25" customHeight="1" x14ac:dyDescent="0.25"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</row>
    <row r="1586" spans="22:31" ht="11.25" customHeight="1" x14ac:dyDescent="0.25"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</row>
    <row r="1587" spans="22:31" ht="11.25" customHeight="1" x14ac:dyDescent="0.25"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</row>
    <row r="1588" spans="22:31" ht="11.25" customHeight="1" x14ac:dyDescent="0.25"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</row>
    <row r="1589" spans="22:31" ht="11.25" customHeight="1" x14ac:dyDescent="0.25"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</row>
    <row r="1590" spans="22:31" ht="11.25" customHeight="1" x14ac:dyDescent="0.25"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</row>
    <row r="1591" spans="22:31" ht="11.25" customHeight="1" x14ac:dyDescent="0.25"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</row>
    <row r="1592" spans="22:31" ht="11.25" customHeight="1" x14ac:dyDescent="0.25"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</row>
    <row r="1593" spans="22:31" ht="11.25" customHeight="1" x14ac:dyDescent="0.25"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</row>
    <row r="1594" spans="22:31" ht="11.25" customHeight="1" x14ac:dyDescent="0.25"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</row>
    <row r="1595" spans="22:31" ht="11.25" customHeight="1" x14ac:dyDescent="0.25"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</row>
    <row r="1596" spans="22:31" ht="11.25" customHeight="1" x14ac:dyDescent="0.25"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</row>
    <row r="1597" spans="22:31" ht="11.25" customHeight="1" x14ac:dyDescent="0.25"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</row>
    <row r="1598" spans="22:31" ht="11.25" customHeight="1" x14ac:dyDescent="0.25"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</row>
    <row r="1599" spans="22:31" ht="11.25" customHeight="1" x14ac:dyDescent="0.25"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</row>
    <row r="1600" spans="22:31" ht="11.25" customHeight="1" x14ac:dyDescent="0.25"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</row>
    <row r="1601" spans="22:31" ht="11.25" customHeight="1" x14ac:dyDescent="0.25"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</row>
    <row r="1602" spans="22:31" ht="11.25" customHeight="1" x14ac:dyDescent="0.25"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</row>
    <row r="1603" spans="22:31" ht="11.25" customHeight="1" x14ac:dyDescent="0.25"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</row>
    <row r="1604" spans="22:31" ht="11.25" customHeight="1" x14ac:dyDescent="0.25"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</row>
    <row r="1605" spans="22:31" ht="11.25" customHeight="1" x14ac:dyDescent="0.25"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</row>
    <row r="1606" spans="22:31" ht="11.25" customHeight="1" x14ac:dyDescent="0.25"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</row>
    <row r="1607" spans="22:31" ht="11.25" customHeight="1" x14ac:dyDescent="0.25"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</row>
    <row r="1608" spans="22:31" ht="11.25" customHeight="1" x14ac:dyDescent="0.25"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</row>
    <row r="1609" spans="22:31" ht="11.25" customHeight="1" x14ac:dyDescent="0.25"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</row>
    <row r="1610" spans="22:31" ht="11.25" customHeight="1" x14ac:dyDescent="0.25"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</row>
    <row r="1611" spans="22:31" ht="11.25" customHeight="1" x14ac:dyDescent="0.25"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</row>
    <row r="1612" spans="22:31" ht="11.25" customHeight="1" x14ac:dyDescent="0.25"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</row>
    <row r="1613" spans="22:31" ht="11.25" customHeight="1" x14ac:dyDescent="0.25"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</row>
    <row r="1614" spans="22:31" ht="11.25" customHeight="1" x14ac:dyDescent="0.25"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</row>
    <row r="1615" spans="22:31" ht="11.25" customHeight="1" x14ac:dyDescent="0.25"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</row>
    <row r="1616" spans="22:31" ht="11.25" customHeight="1" x14ac:dyDescent="0.25"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</row>
    <row r="1617" spans="22:31" ht="11.25" customHeight="1" x14ac:dyDescent="0.25"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</row>
    <row r="1618" spans="22:31" ht="11.25" customHeight="1" x14ac:dyDescent="0.25"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</row>
    <row r="1619" spans="22:31" ht="11.25" customHeight="1" x14ac:dyDescent="0.25"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</row>
    <row r="1620" spans="22:31" ht="11.25" customHeight="1" x14ac:dyDescent="0.25"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</row>
    <row r="1621" spans="22:31" ht="11.25" customHeight="1" x14ac:dyDescent="0.25"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</row>
    <row r="1622" spans="22:31" ht="11.25" customHeight="1" x14ac:dyDescent="0.25"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</row>
    <row r="1623" spans="22:31" ht="11.25" customHeight="1" x14ac:dyDescent="0.25"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</row>
    <row r="1624" spans="22:31" ht="11.25" customHeight="1" x14ac:dyDescent="0.25"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</row>
    <row r="1625" spans="22:31" ht="11.25" customHeight="1" x14ac:dyDescent="0.25"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</row>
    <row r="1626" spans="22:31" ht="11.25" customHeight="1" x14ac:dyDescent="0.25"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</row>
    <row r="1627" spans="22:31" ht="11.25" customHeight="1" x14ac:dyDescent="0.25"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</row>
    <row r="1628" spans="22:31" ht="11.25" customHeight="1" x14ac:dyDescent="0.25"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</row>
    <row r="1629" spans="22:31" ht="11.25" customHeight="1" x14ac:dyDescent="0.25"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</row>
    <row r="1630" spans="22:31" ht="11.25" customHeight="1" x14ac:dyDescent="0.25"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</row>
    <row r="1631" spans="22:31" ht="11.25" customHeight="1" x14ac:dyDescent="0.25"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</row>
    <row r="1632" spans="22:31" ht="11.25" customHeight="1" x14ac:dyDescent="0.25"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</row>
    <row r="1633" spans="22:31" ht="11.25" customHeight="1" x14ac:dyDescent="0.25"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</row>
    <row r="1634" spans="22:31" ht="11.25" customHeight="1" x14ac:dyDescent="0.25"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</row>
    <row r="1635" spans="22:31" ht="11.25" customHeight="1" x14ac:dyDescent="0.25"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</row>
    <row r="1636" spans="22:31" ht="11.25" customHeight="1" x14ac:dyDescent="0.25"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</row>
    <row r="1637" spans="22:31" ht="11.25" customHeight="1" x14ac:dyDescent="0.25"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</row>
    <row r="1638" spans="22:31" ht="11.25" customHeight="1" x14ac:dyDescent="0.25"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</row>
    <row r="1639" spans="22:31" ht="11.25" customHeight="1" x14ac:dyDescent="0.25"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</row>
    <row r="1640" spans="22:31" ht="11.25" customHeight="1" x14ac:dyDescent="0.25"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</row>
    <row r="1641" spans="22:31" ht="11.25" customHeight="1" x14ac:dyDescent="0.25"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</row>
    <row r="1642" spans="22:31" ht="11.25" customHeight="1" x14ac:dyDescent="0.25"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</row>
    <row r="1643" spans="22:31" ht="11.25" customHeight="1" x14ac:dyDescent="0.25"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</row>
    <row r="1644" spans="22:31" ht="11.25" customHeight="1" x14ac:dyDescent="0.25"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</row>
    <row r="1645" spans="22:31" ht="11.25" customHeight="1" x14ac:dyDescent="0.25"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</row>
    <row r="1646" spans="22:31" ht="11.25" customHeight="1" x14ac:dyDescent="0.25"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</row>
    <row r="1647" spans="22:31" ht="11.25" customHeight="1" x14ac:dyDescent="0.25"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</row>
    <row r="1648" spans="22:31" ht="11.25" customHeight="1" x14ac:dyDescent="0.25"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</row>
    <row r="1649" spans="22:31" ht="11.25" customHeight="1" x14ac:dyDescent="0.25"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</row>
    <row r="1650" spans="22:31" ht="11.25" customHeight="1" x14ac:dyDescent="0.25"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</row>
    <row r="1651" spans="22:31" ht="11.25" customHeight="1" x14ac:dyDescent="0.25"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</row>
    <row r="1652" spans="22:31" ht="11.25" customHeight="1" x14ac:dyDescent="0.25"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</row>
    <row r="1653" spans="22:31" ht="11.25" customHeight="1" x14ac:dyDescent="0.25"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</row>
    <row r="1654" spans="22:31" ht="11.25" customHeight="1" x14ac:dyDescent="0.25"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</row>
    <row r="1655" spans="22:31" ht="11.25" customHeight="1" x14ac:dyDescent="0.25"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</row>
    <row r="1656" spans="22:31" ht="11.25" customHeight="1" x14ac:dyDescent="0.25"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</row>
    <row r="1657" spans="22:31" ht="11.25" customHeight="1" x14ac:dyDescent="0.25"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</row>
    <row r="1658" spans="22:31" ht="11.25" customHeight="1" x14ac:dyDescent="0.25"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</row>
    <row r="1659" spans="22:31" ht="11.25" customHeight="1" x14ac:dyDescent="0.25"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</row>
    <row r="1660" spans="22:31" ht="11.25" customHeight="1" x14ac:dyDescent="0.25"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</row>
    <row r="1661" spans="22:31" ht="11.25" customHeight="1" x14ac:dyDescent="0.25"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</row>
    <row r="1662" spans="22:31" ht="11.25" customHeight="1" x14ac:dyDescent="0.25"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</row>
    <row r="1663" spans="22:31" ht="11.25" customHeight="1" x14ac:dyDescent="0.25"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</row>
    <row r="1664" spans="22:31" ht="11.25" customHeight="1" x14ac:dyDescent="0.25"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</row>
    <row r="1665" spans="22:31" ht="11.25" customHeight="1" x14ac:dyDescent="0.25"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</row>
    <row r="1666" spans="22:31" ht="11.25" customHeight="1" x14ac:dyDescent="0.25"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</row>
    <row r="1667" spans="22:31" ht="11.25" customHeight="1" x14ac:dyDescent="0.25"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</row>
    <row r="1668" spans="22:31" ht="11.25" customHeight="1" x14ac:dyDescent="0.25"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</row>
    <row r="1669" spans="22:31" ht="11.25" customHeight="1" x14ac:dyDescent="0.25"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</row>
    <row r="1670" spans="22:31" ht="11.25" customHeight="1" x14ac:dyDescent="0.25"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</row>
    <row r="1671" spans="22:31" ht="11.25" customHeight="1" x14ac:dyDescent="0.25"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</row>
    <row r="1672" spans="22:31" ht="11.25" customHeight="1" x14ac:dyDescent="0.25"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</row>
    <row r="1673" spans="22:31" ht="11.25" customHeight="1" x14ac:dyDescent="0.25"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</row>
    <row r="1674" spans="22:31" ht="11.25" customHeight="1" x14ac:dyDescent="0.25"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</row>
    <row r="1675" spans="22:31" ht="11.25" customHeight="1" x14ac:dyDescent="0.25"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</row>
    <row r="1676" spans="22:31" ht="11.25" customHeight="1" x14ac:dyDescent="0.25"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</row>
    <row r="1677" spans="22:31" ht="11.25" customHeight="1" x14ac:dyDescent="0.25"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</row>
    <row r="1678" spans="22:31" ht="11.25" customHeight="1" x14ac:dyDescent="0.25"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</row>
    <row r="1679" spans="22:31" ht="11.25" customHeight="1" x14ac:dyDescent="0.25"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</row>
    <row r="1680" spans="22:31" ht="11.25" customHeight="1" x14ac:dyDescent="0.25"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</row>
    <row r="1681" spans="22:31" ht="11.25" customHeight="1" x14ac:dyDescent="0.25"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</row>
    <row r="1682" spans="22:31" ht="11.25" customHeight="1" x14ac:dyDescent="0.25"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</row>
    <row r="1683" spans="22:31" ht="11.25" customHeight="1" x14ac:dyDescent="0.25"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</row>
    <row r="1684" spans="22:31" ht="11.25" customHeight="1" x14ac:dyDescent="0.25"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</row>
    <row r="1685" spans="22:31" ht="11.25" customHeight="1" x14ac:dyDescent="0.25"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</row>
    <row r="1686" spans="22:31" ht="11.25" customHeight="1" x14ac:dyDescent="0.25"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</row>
    <row r="1687" spans="22:31" ht="11.25" customHeight="1" x14ac:dyDescent="0.25"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</row>
    <row r="1688" spans="22:31" ht="11.25" customHeight="1" x14ac:dyDescent="0.25"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</row>
    <row r="1689" spans="22:31" ht="11.25" customHeight="1" x14ac:dyDescent="0.25"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</row>
    <row r="1690" spans="22:31" ht="11.25" customHeight="1" x14ac:dyDescent="0.25"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</row>
    <row r="1691" spans="22:31" ht="11.25" customHeight="1" x14ac:dyDescent="0.25"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</row>
    <row r="1692" spans="22:31" ht="11.25" customHeight="1" x14ac:dyDescent="0.25"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</row>
    <row r="1693" spans="22:31" ht="11.25" customHeight="1" x14ac:dyDescent="0.25"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</row>
    <row r="1694" spans="22:31" ht="11.25" customHeight="1" x14ac:dyDescent="0.25"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</row>
    <row r="1695" spans="22:31" ht="11.25" customHeight="1" x14ac:dyDescent="0.25"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</row>
    <row r="1696" spans="22:31" ht="11.25" customHeight="1" x14ac:dyDescent="0.25"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</row>
    <row r="1697" spans="22:31" ht="11.25" customHeight="1" x14ac:dyDescent="0.25"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</row>
    <row r="1698" spans="22:31" ht="11.25" customHeight="1" x14ac:dyDescent="0.25"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</row>
    <row r="1699" spans="22:31" ht="11.25" customHeight="1" x14ac:dyDescent="0.25"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</row>
    <row r="1700" spans="22:31" ht="11.25" customHeight="1" x14ac:dyDescent="0.25"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</row>
    <row r="1701" spans="22:31" ht="11.25" customHeight="1" x14ac:dyDescent="0.25"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</row>
    <row r="1702" spans="22:31" ht="11.25" customHeight="1" x14ac:dyDescent="0.25"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</row>
    <row r="1703" spans="22:31" ht="11.25" customHeight="1" x14ac:dyDescent="0.25"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</row>
    <row r="1704" spans="22:31" ht="11.25" customHeight="1" x14ac:dyDescent="0.25"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</row>
    <row r="1705" spans="22:31" ht="11.25" customHeight="1" x14ac:dyDescent="0.25"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</row>
    <row r="1706" spans="22:31" ht="11.25" customHeight="1" x14ac:dyDescent="0.25"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</row>
    <row r="1707" spans="22:31" ht="11.25" customHeight="1" x14ac:dyDescent="0.25"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</row>
    <row r="1708" spans="22:31" ht="11.25" customHeight="1" x14ac:dyDescent="0.25"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</row>
    <row r="1709" spans="22:31" ht="11.25" customHeight="1" x14ac:dyDescent="0.25"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</row>
    <row r="1710" spans="22:31" ht="11.25" customHeight="1" x14ac:dyDescent="0.25"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</row>
    <row r="1711" spans="22:31" ht="11.25" customHeight="1" x14ac:dyDescent="0.25"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</row>
    <row r="1712" spans="22:31" ht="11.25" customHeight="1" x14ac:dyDescent="0.25"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</row>
    <row r="1713" spans="22:31" ht="11.25" customHeight="1" x14ac:dyDescent="0.25"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</row>
    <row r="1714" spans="22:31" ht="11.25" customHeight="1" x14ac:dyDescent="0.25"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</row>
    <row r="1715" spans="22:31" ht="11.25" customHeight="1" x14ac:dyDescent="0.25"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</row>
    <row r="1716" spans="22:31" ht="11.25" customHeight="1" x14ac:dyDescent="0.25"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</row>
    <row r="1717" spans="22:31" ht="11.25" customHeight="1" x14ac:dyDescent="0.25"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</row>
    <row r="1718" spans="22:31" ht="11.25" customHeight="1" x14ac:dyDescent="0.25"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</row>
    <row r="1719" spans="22:31" ht="11.25" customHeight="1" x14ac:dyDescent="0.25"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</row>
    <row r="1720" spans="22:31" ht="11.25" customHeight="1" x14ac:dyDescent="0.25"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</row>
    <row r="1721" spans="22:31" ht="11.25" customHeight="1" x14ac:dyDescent="0.25"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</row>
    <row r="1722" spans="22:31" ht="11.25" customHeight="1" x14ac:dyDescent="0.25"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</row>
    <row r="1723" spans="22:31" ht="11.25" customHeight="1" x14ac:dyDescent="0.25"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</row>
    <row r="1724" spans="22:31" ht="11.25" customHeight="1" x14ac:dyDescent="0.25"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</row>
    <row r="1725" spans="22:31" ht="11.25" customHeight="1" x14ac:dyDescent="0.25"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</row>
    <row r="1726" spans="22:31" ht="11.25" customHeight="1" x14ac:dyDescent="0.25"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</row>
    <row r="1727" spans="22:31" ht="11.25" customHeight="1" x14ac:dyDescent="0.25"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</row>
    <row r="1728" spans="22:31" ht="11.25" customHeight="1" x14ac:dyDescent="0.25"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</row>
    <row r="1729" spans="22:31" ht="11.25" customHeight="1" x14ac:dyDescent="0.25"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</row>
    <row r="1730" spans="22:31" ht="11.25" customHeight="1" x14ac:dyDescent="0.25"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</row>
    <row r="1731" spans="22:31" ht="11.25" customHeight="1" x14ac:dyDescent="0.25"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</row>
    <row r="1732" spans="22:31" ht="11.25" customHeight="1" x14ac:dyDescent="0.25"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</row>
    <row r="1733" spans="22:31" ht="11.25" customHeight="1" x14ac:dyDescent="0.25"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</row>
    <row r="1734" spans="22:31" ht="11.25" customHeight="1" x14ac:dyDescent="0.25"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</row>
    <row r="1735" spans="22:31" ht="11.25" customHeight="1" x14ac:dyDescent="0.25"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</row>
    <row r="1736" spans="22:31" ht="11.25" customHeight="1" x14ac:dyDescent="0.25"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</row>
    <row r="1737" spans="22:31" ht="11.25" customHeight="1" x14ac:dyDescent="0.25"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</row>
    <row r="1738" spans="22:31" ht="11.25" customHeight="1" x14ac:dyDescent="0.25"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</row>
    <row r="1739" spans="22:31" ht="11.25" customHeight="1" x14ac:dyDescent="0.25"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</row>
    <row r="1740" spans="22:31" ht="11.25" customHeight="1" x14ac:dyDescent="0.25"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</row>
    <row r="1741" spans="22:31" ht="11.25" customHeight="1" x14ac:dyDescent="0.25"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</row>
    <row r="1742" spans="22:31" ht="11.25" customHeight="1" x14ac:dyDescent="0.25"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</row>
    <row r="1743" spans="22:31" ht="11.25" customHeight="1" x14ac:dyDescent="0.25"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</row>
    <row r="1744" spans="22:31" ht="11.25" customHeight="1" x14ac:dyDescent="0.25"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</row>
    <row r="1745" spans="22:31" ht="11.25" customHeight="1" x14ac:dyDescent="0.25"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</row>
    <row r="1746" spans="22:31" ht="11.25" customHeight="1" x14ac:dyDescent="0.25"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</row>
    <row r="1747" spans="22:31" ht="11.25" customHeight="1" x14ac:dyDescent="0.25"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</row>
    <row r="1748" spans="22:31" ht="11.25" customHeight="1" x14ac:dyDescent="0.25"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</row>
    <row r="1749" spans="22:31" ht="11.25" customHeight="1" x14ac:dyDescent="0.25"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</row>
    <row r="1750" spans="22:31" ht="11.25" customHeight="1" x14ac:dyDescent="0.25"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</row>
    <row r="1751" spans="22:31" ht="11.25" customHeight="1" x14ac:dyDescent="0.25"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</row>
    <row r="1752" spans="22:31" ht="11.25" customHeight="1" x14ac:dyDescent="0.25"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</row>
    <row r="1753" spans="22:31" ht="11.25" customHeight="1" x14ac:dyDescent="0.25"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</row>
    <row r="1754" spans="22:31" ht="11.25" customHeight="1" x14ac:dyDescent="0.25"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</row>
    <row r="1755" spans="22:31" ht="11.25" customHeight="1" x14ac:dyDescent="0.25"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</row>
    <row r="1756" spans="22:31" ht="11.25" customHeight="1" x14ac:dyDescent="0.25"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</row>
    <row r="1757" spans="22:31" ht="11.25" customHeight="1" x14ac:dyDescent="0.25"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</row>
    <row r="1758" spans="22:31" ht="11.25" customHeight="1" x14ac:dyDescent="0.25"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</row>
    <row r="1759" spans="22:31" ht="11.25" customHeight="1" x14ac:dyDescent="0.25"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</row>
    <row r="1760" spans="22:31" ht="11.25" customHeight="1" x14ac:dyDescent="0.25"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</row>
    <row r="1761" spans="22:31" ht="11.25" customHeight="1" x14ac:dyDescent="0.25"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</row>
    <row r="1762" spans="22:31" ht="11.25" customHeight="1" x14ac:dyDescent="0.25"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</row>
    <row r="1763" spans="22:31" ht="11.25" customHeight="1" x14ac:dyDescent="0.25"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</row>
    <row r="1764" spans="22:31" ht="11.25" customHeight="1" x14ac:dyDescent="0.25"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</row>
    <row r="1765" spans="22:31" ht="11.25" customHeight="1" x14ac:dyDescent="0.25"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</row>
    <row r="1766" spans="22:31" ht="11.25" customHeight="1" x14ac:dyDescent="0.25"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</row>
    <row r="1767" spans="22:31" ht="11.25" customHeight="1" x14ac:dyDescent="0.25"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</row>
    <row r="1768" spans="22:31" ht="11.25" customHeight="1" x14ac:dyDescent="0.25"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</row>
    <row r="1769" spans="22:31" ht="11.25" customHeight="1" x14ac:dyDescent="0.25"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</row>
    <row r="1770" spans="22:31" ht="11.25" customHeight="1" x14ac:dyDescent="0.25"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</row>
    <row r="1771" spans="22:31" ht="11.25" customHeight="1" x14ac:dyDescent="0.25"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</row>
    <row r="1772" spans="22:31" ht="11.25" customHeight="1" x14ac:dyDescent="0.25"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</row>
    <row r="1773" spans="22:31" ht="11.25" customHeight="1" x14ac:dyDescent="0.25"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</row>
    <row r="1774" spans="22:31" ht="11.25" customHeight="1" x14ac:dyDescent="0.25"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</row>
    <row r="1775" spans="22:31" ht="11.25" customHeight="1" x14ac:dyDescent="0.25"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</row>
    <row r="1776" spans="22:31" ht="11.25" customHeight="1" x14ac:dyDescent="0.25"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</row>
    <row r="1777" spans="22:31" ht="11.25" customHeight="1" x14ac:dyDescent="0.25"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</row>
    <row r="1778" spans="22:31" ht="11.25" customHeight="1" x14ac:dyDescent="0.25"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</row>
    <row r="1779" spans="22:31" ht="11.25" customHeight="1" x14ac:dyDescent="0.25"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</row>
    <row r="1780" spans="22:31" ht="11.25" customHeight="1" x14ac:dyDescent="0.25"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</row>
    <row r="1781" spans="22:31" ht="11.25" customHeight="1" x14ac:dyDescent="0.25"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</row>
    <row r="1782" spans="22:31" ht="11.25" customHeight="1" x14ac:dyDescent="0.25"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</row>
    <row r="1783" spans="22:31" ht="11.25" customHeight="1" x14ac:dyDescent="0.25"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</row>
    <row r="1784" spans="22:31" ht="11.25" customHeight="1" x14ac:dyDescent="0.25"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</row>
    <row r="1785" spans="22:31" ht="11.25" customHeight="1" x14ac:dyDescent="0.25"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</row>
    <row r="1786" spans="22:31" ht="11.25" customHeight="1" x14ac:dyDescent="0.25"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</row>
    <row r="1787" spans="22:31" ht="11.25" customHeight="1" x14ac:dyDescent="0.25"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</row>
    <row r="1788" spans="22:31" ht="11.25" customHeight="1" x14ac:dyDescent="0.25"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</row>
    <row r="1789" spans="22:31" ht="11.25" customHeight="1" x14ac:dyDescent="0.25"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</row>
    <row r="1790" spans="22:31" ht="11.25" customHeight="1" x14ac:dyDescent="0.25"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</row>
    <row r="1791" spans="22:31" ht="11.25" customHeight="1" x14ac:dyDescent="0.25"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</row>
    <row r="1792" spans="22:31" ht="11.25" customHeight="1" x14ac:dyDescent="0.25"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</row>
    <row r="1793" spans="22:31" ht="11.25" customHeight="1" x14ac:dyDescent="0.25"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</row>
    <row r="1794" spans="22:31" ht="11.25" customHeight="1" x14ac:dyDescent="0.25"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</row>
    <row r="1795" spans="22:31" ht="11.25" customHeight="1" x14ac:dyDescent="0.25"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</row>
    <row r="1796" spans="22:31" ht="11.25" customHeight="1" x14ac:dyDescent="0.25"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</row>
    <row r="1797" spans="22:31" ht="11.25" customHeight="1" x14ac:dyDescent="0.25"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</row>
    <row r="1798" spans="22:31" ht="11.25" customHeight="1" x14ac:dyDescent="0.25"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</row>
    <row r="1799" spans="22:31" ht="11.25" customHeight="1" x14ac:dyDescent="0.25"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</row>
    <row r="1800" spans="22:31" ht="11.25" customHeight="1" x14ac:dyDescent="0.25"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</row>
    <row r="1801" spans="22:31" ht="11.25" customHeight="1" x14ac:dyDescent="0.25"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</row>
    <row r="1802" spans="22:31" ht="11.25" customHeight="1" x14ac:dyDescent="0.25"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</row>
    <row r="1803" spans="22:31" ht="11.25" customHeight="1" x14ac:dyDescent="0.25"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</row>
    <row r="1804" spans="22:31" ht="11.25" customHeight="1" x14ac:dyDescent="0.25"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</row>
    <row r="1805" spans="22:31" ht="11.25" customHeight="1" x14ac:dyDescent="0.25"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</row>
    <row r="1806" spans="22:31" ht="11.25" customHeight="1" x14ac:dyDescent="0.25"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</row>
    <row r="1807" spans="22:31" ht="11.25" customHeight="1" x14ac:dyDescent="0.25"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</row>
    <row r="1808" spans="22:31" ht="11.25" customHeight="1" x14ac:dyDescent="0.25"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</row>
    <row r="1809" spans="22:31" ht="11.25" customHeight="1" x14ac:dyDescent="0.25"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</row>
    <row r="1810" spans="22:31" ht="11.25" customHeight="1" x14ac:dyDescent="0.25"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</row>
    <row r="1811" spans="22:31" ht="11.25" customHeight="1" x14ac:dyDescent="0.25"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</row>
    <row r="1812" spans="22:31" ht="11.25" customHeight="1" x14ac:dyDescent="0.25"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</row>
    <row r="1813" spans="22:31" ht="11.25" customHeight="1" x14ac:dyDescent="0.25"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</row>
    <row r="1814" spans="22:31" ht="11.25" customHeight="1" x14ac:dyDescent="0.25"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</row>
    <row r="1815" spans="22:31" ht="11.25" customHeight="1" x14ac:dyDescent="0.25"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</row>
    <row r="1816" spans="22:31" ht="11.25" customHeight="1" x14ac:dyDescent="0.25"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</row>
    <row r="1817" spans="22:31" ht="11.25" customHeight="1" x14ac:dyDescent="0.25"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</row>
    <row r="1818" spans="22:31" ht="11.25" customHeight="1" x14ac:dyDescent="0.25"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</row>
    <row r="1819" spans="22:31" ht="11.25" customHeight="1" x14ac:dyDescent="0.25"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</row>
    <row r="1820" spans="22:31" ht="11.25" customHeight="1" x14ac:dyDescent="0.25"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</row>
    <row r="1821" spans="22:31" ht="11.25" customHeight="1" x14ac:dyDescent="0.25"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</row>
    <row r="1822" spans="22:31" ht="11.25" customHeight="1" x14ac:dyDescent="0.25"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</row>
    <row r="1823" spans="22:31" ht="11.25" customHeight="1" x14ac:dyDescent="0.25"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</row>
    <row r="1824" spans="22:31" ht="11.25" customHeight="1" x14ac:dyDescent="0.25"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</row>
    <row r="1825" spans="22:31" ht="11.25" customHeight="1" x14ac:dyDescent="0.25"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</row>
    <row r="1826" spans="22:31" ht="11.25" customHeight="1" x14ac:dyDescent="0.25"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</row>
    <row r="1827" spans="22:31" ht="11.25" customHeight="1" x14ac:dyDescent="0.25"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</row>
    <row r="1828" spans="22:31" ht="11.25" customHeight="1" x14ac:dyDescent="0.25"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</row>
    <row r="1829" spans="22:31" ht="11.25" customHeight="1" x14ac:dyDescent="0.25"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</row>
    <row r="1830" spans="22:31" ht="11.25" customHeight="1" x14ac:dyDescent="0.25"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</row>
    <row r="1831" spans="22:31" ht="11.25" customHeight="1" x14ac:dyDescent="0.25"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</row>
    <row r="1832" spans="22:31" ht="11.25" customHeight="1" x14ac:dyDescent="0.25"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</row>
    <row r="1833" spans="22:31" ht="11.25" customHeight="1" x14ac:dyDescent="0.25"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</row>
    <row r="1834" spans="22:31" ht="11.25" customHeight="1" x14ac:dyDescent="0.25"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</row>
    <row r="1835" spans="22:31" ht="11.25" customHeight="1" x14ac:dyDescent="0.25"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</row>
    <row r="1836" spans="22:31" ht="11.25" customHeight="1" x14ac:dyDescent="0.25"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</row>
    <row r="1837" spans="22:31" ht="11.25" customHeight="1" x14ac:dyDescent="0.25"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</row>
    <row r="1838" spans="22:31" ht="11.25" customHeight="1" x14ac:dyDescent="0.25"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</row>
    <row r="1839" spans="22:31" ht="11.25" customHeight="1" x14ac:dyDescent="0.25"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</row>
    <row r="1840" spans="22:31" ht="11.25" customHeight="1" x14ac:dyDescent="0.25"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</row>
    <row r="1841" spans="22:31" ht="11.25" customHeight="1" x14ac:dyDescent="0.25"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</row>
    <row r="1842" spans="22:31" ht="11.25" customHeight="1" x14ac:dyDescent="0.25"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</row>
    <row r="1843" spans="22:31" ht="11.25" customHeight="1" x14ac:dyDescent="0.25"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</row>
    <row r="1844" spans="22:31" ht="11.25" customHeight="1" x14ac:dyDescent="0.25"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</row>
    <row r="1845" spans="22:31" ht="11.25" customHeight="1" x14ac:dyDescent="0.25"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</row>
    <row r="1846" spans="22:31" ht="11.25" customHeight="1" x14ac:dyDescent="0.25"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</row>
    <row r="1847" spans="22:31" ht="11.25" customHeight="1" x14ac:dyDescent="0.25"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</row>
    <row r="1848" spans="22:31" ht="11.25" customHeight="1" x14ac:dyDescent="0.25"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</row>
    <row r="1849" spans="22:31" ht="11.25" customHeight="1" x14ac:dyDescent="0.25"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</row>
    <row r="1850" spans="22:31" ht="11.25" customHeight="1" x14ac:dyDescent="0.25"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</row>
    <row r="1851" spans="22:31" ht="11.25" customHeight="1" x14ac:dyDescent="0.25"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</row>
    <row r="1852" spans="22:31" ht="11.25" customHeight="1" x14ac:dyDescent="0.25"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</row>
    <row r="1853" spans="22:31" ht="11.25" customHeight="1" x14ac:dyDescent="0.25"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</row>
    <row r="1854" spans="22:31" ht="11.25" customHeight="1" x14ac:dyDescent="0.25"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</row>
    <row r="1855" spans="22:31" ht="11.25" customHeight="1" x14ac:dyDescent="0.25"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</row>
    <row r="1856" spans="22:31" ht="11.25" customHeight="1" x14ac:dyDescent="0.25"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</row>
    <row r="1857" spans="22:31" ht="11.25" customHeight="1" x14ac:dyDescent="0.25"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</row>
    <row r="1858" spans="22:31" ht="11.25" customHeight="1" x14ac:dyDescent="0.25"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</row>
    <row r="1859" spans="22:31" ht="11.25" customHeight="1" x14ac:dyDescent="0.25"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</row>
    <row r="1860" spans="22:31" ht="11.25" customHeight="1" x14ac:dyDescent="0.25"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</row>
    <row r="1861" spans="22:31" ht="11.25" customHeight="1" x14ac:dyDescent="0.25"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</row>
    <row r="1862" spans="22:31" ht="11.25" customHeight="1" x14ac:dyDescent="0.25"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</row>
    <row r="1863" spans="22:31" ht="11.25" customHeight="1" x14ac:dyDescent="0.25"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</row>
    <row r="1864" spans="22:31" ht="11.25" customHeight="1" x14ac:dyDescent="0.25"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</row>
    <row r="1865" spans="22:31" ht="11.25" customHeight="1" x14ac:dyDescent="0.25"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</row>
    <row r="1866" spans="22:31" ht="11.25" customHeight="1" x14ac:dyDescent="0.25"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</row>
    <row r="1867" spans="22:31" ht="11.25" customHeight="1" x14ac:dyDescent="0.25"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</row>
    <row r="1868" spans="22:31" ht="11.25" customHeight="1" x14ac:dyDescent="0.25"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</row>
    <row r="1869" spans="22:31" ht="11.25" customHeight="1" x14ac:dyDescent="0.25"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</row>
    <row r="1870" spans="22:31" ht="11.25" customHeight="1" x14ac:dyDescent="0.25"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</row>
    <row r="1871" spans="22:31" ht="11.25" customHeight="1" x14ac:dyDescent="0.25"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</row>
    <row r="1872" spans="22:31" ht="11.25" customHeight="1" x14ac:dyDescent="0.25"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</row>
    <row r="1873" spans="22:31" ht="11.25" customHeight="1" x14ac:dyDescent="0.25"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</row>
    <row r="1874" spans="22:31" ht="11.25" customHeight="1" x14ac:dyDescent="0.25"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</row>
    <row r="1875" spans="22:31" ht="11.25" customHeight="1" x14ac:dyDescent="0.25"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</row>
    <row r="1876" spans="22:31" ht="11.25" customHeight="1" x14ac:dyDescent="0.25"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</row>
    <row r="1877" spans="22:31" ht="11.25" customHeight="1" x14ac:dyDescent="0.25"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</row>
    <row r="1878" spans="22:31" ht="11.25" customHeight="1" x14ac:dyDescent="0.25"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</row>
    <row r="1879" spans="22:31" ht="11.25" customHeight="1" x14ac:dyDescent="0.25"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</row>
    <row r="1880" spans="22:31" ht="11.25" customHeight="1" x14ac:dyDescent="0.25"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</row>
    <row r="1881" spans="22:31" ht="11.25" customHeight="1" x14ac:dyDescent="0.25"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</row>
    <row r="1882" spans="22:31" ht="11.25" customHeight="1" x14ac:dyDescent="0.25"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</row>
    <row r="1883" spans="22:31" ht="11.25" customHeight="1" x14ac:dyDescent="0.25"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</row>
    <row r="1884" spans="22:31" ht="11.25" customHeight="1" x14ac:dyDescent="0.25"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</row>
    <row r="1885" spans="22:31" ht="11.25" customHeight="1" x14ac:dyDescent="0.25"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</row>
    <row r="1886" spans="22:31" ht="11.25" customHeight="1" x14ac:dyDescent="0.25"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</row>
    <row r="1887" spans="22:31" ht="11.25" customHeight="1" x14ac:dyDescent="0.25"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</row>
    <row r="1888" spans="22:31" ht="11.25" customHeight="1" x14ac:dyDescent="0.25"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</row>
    <row r="1889" spans="22:31" ht="11.25" customHeight="1" x14ac:dyDescent="0.25"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</row>
    <row r="1890" spans="22:31" ht="11.25" customHeight="1" x14ac:dyDescent="0.25"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</row>
    <row r="1891" spans="22:31" ht="11.25" customHeight="1" x14ac:dyDescent="0.25"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</row>
    <row r="1892" spans="22:31" ht="11.25" customHeight="1" x14ac:dyDescent="0.25"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</row>
    <row r="1893" spans="22:31" ht="11.25" customHeight="1" x14ac:dyDescent="0.25"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</row>
    <row r="1894" spans="22:31" ht="11.25" customHeight="1" x14ac:dyDescent="0.25"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</row>
    <row r="1895" spans="22:31" ht="11.25" customHeight="1" x14ac:dyDescent="0.25"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</row>
    <row r="1896" spans="22:31" ht="11.25" customHeight="1" x14ac:dyDescent="0.25"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</row>
    <row r="1897" spans="22:31" ht="11.25" customHeight="1" x14ac:dyDescent="0.25"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</row>
    <row r="1898" spans="22:31" ht="11.25" customHeight="1" x14ac:dyDescent="0.25"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</row>
    <row r="1899" spans="22:31" ht="11.25" customHeight="1" x14ac:dyDescent="0.25"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</row>
    <row r="1900" spans="22:31" ht="11.25" customHeight="1" x14ac:dyDescent="0.25"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</row>
    <row r="1901" spans="22:31" ht="11.25" customHeight="1" x14ac:dyDescent="0.25"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</row>
    <row r="1902" spans="22:31" ht="11.25" customHeight="1" x14ac:dyDescent="0.25"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</row>
    <row r="1903" spans="22:31" ht="11.25" customHeight="1" x14ac:dyDescent="0.25"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</row>
    <row r="1904" spans="22:31" ht="11.25" customHeight="1" x14ac:dyDescent="0.25"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</row>
    <row r="1905" spans="22:31" ht="11.25" customHeight="1" x14ac:dyDescent="0.25"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</row>
    <row r="1906" spans="22:31" ht="11.25" customHeight="1" x14ac:dyDescent="0.25"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</row>
    <row r="1907" spans="22:31" ht="11.25" customHeight="1" x14ac:dyDescent="0.25"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</row>
    <row r="1908" spans="22:31" ht="11.25" customHeight="1" x14ac:dyDescent="0.25"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</row>
    <row r="1909" spans="22:31" ht="11.25" customHeight="1" x14ac:dyDescent="0.25"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</row>
    <row r="1910" spans="22:31" ht="11.25" customHeight="1" x14ac:dyDescent="0.25"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</row>
    <row r="1911" spans="22:31" ht="11.25" customHeight="1" x14ac:dyDescent="0.25"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</row>
    <row r="1912" spans="22:31" ht="11.25" customHeight="1" x14ac:dyDescent="0.25"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</row>
    <row r="1913" spans="22:31" ht="11.25" customHeight="1" x14ac:dyDescent="0.25"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</row>
    <row r="1914" spans="22:31" ht="11.25" customHeight="1" x14ac:dyDescent="0.25"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</row>
    <row r="1915" spans="22:31" ht="11.25" customHeight="1" x14ac:dyDescent="0.25"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</row>
    <row r="1916" spans="22:31" ht="11.25" customHeight="1" x14ac:dyDescent="0.25"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</row>
    <row r="1917" spans="22:31" ht="11.25" customHeight="1" x14ac:dyDescent="0.25"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</row>
    <row r="1918" spans="22:31" ht="11.25" customHeight="1" x14ac:dyDescent="0.25"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</row>
    <row r="1919" spans="22:31" ht="11.25" customHeight="1" x14ac:dyDescent="0.25"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</row>
    <row r="1920" spans="22:31" ht="11.25" customHeight="1" x14ac:dyDescent="0.25"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</row>
    <row r="1921" spans="22:31" ht="11.25" customHeight="1" x14ac:dyDescent="0.25"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</row>
    <row r="1922" spans="22:31" ht="11.25" customHeight="1" x14ac:dyDescent="0.25"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</row>
    <row r="1923" spans="22:31" ht="11.25" customHeight="1" x14ac:dyDescent="0.25"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</row>
    <row r="1924" spans="22:31" ht="11.25" customHeight="1" x14ac:dyDescent="0.25"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</row>
    <row r="1925" spans="22:31" ht="11.25" customHeight="1" x14ac:dyDescent="0.25"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</row>
    <row r="1926" spans="22:31" ht="11.25" customHeight="1" x14ac:dyDescent="0.25"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</row>
    <row r="1927" spans="22:31" ht="11.25" customHeight="1" x14ac:dyDescent="0.25"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</row>
    <row r="1928" spans="22:31" ht="11.25" customHeight="1" x14ac:dyDescent="0.25"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</row>
    <row r="1929" spans="22:31" ht="11.25" customHeight="1" x14ac:dyDescent="0.25"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</row>
    <row r="1930" spans="22:31" ht="11.25" customHeight="1" x14ac:dyDescent="0.25"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</row>
    <row r="1931" spans="22:31" ht="11.25" customHeight="1" x14ac:dyDescent="0.25"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</row>
    <row r="1932" spans="22:31" ht="11.25" customHeight="1" x14ac:dyDescent="0.25"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</row>
    <row r="1933" spans="22:31" ht="11.25" customHeight="1" x14ac:dyDescent="0.25"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</row>
    <row r="1934" spans="22:31" ht="11.25" customHeight="1" x14ac:dyDescent="0.25"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</row>
    <row r="1935" spans="22:31" ht="11.25" customHeight="1" x14ac:dyDescent="0.25"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</row>
    <row r="1936" spans="22:31" ht="11.25" customHeight="1" x14ac:dyDescent="0.25"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</row>
    <row r="1937" spans="22:31" ht="11.25" customHeight="1" x14ac:dyDescent="0.25"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</row>
    <row r="1938" spans="22:31" ht="11.25" customHeight="1" x14ac:dyDescent="0.25"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</row>
    <row r="1939" spans="22:31" ht="11.25" customHeight="1" x14ac:dyDescent="0.25"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</row>
    <row r="1940" spans="22:31" ht="11.25" customHeight="1" x14ac:dyDescent="0.25"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</row>
    <row r="1941" spans="22:31" ht="11.25" customHeight="1" x14ac:dyDescent="0.25"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</row>
    <row r="1942" spans="22:31" ht="11.25" customHeight="1" x14ac:dyDescent="0.25"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</row>
    <row r="1943" spans="22:31" ht="11.25" customHeight="1" x14ac:dyDescent="0.25"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</row>
    <row r="1944" spans="22:31" ht="11.25" customHeight="1" x14ac:dyDescent="0.25"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</row>
    <row r="1945" spans="22:31" ht="11.25" customHeight="1" x14ac:dyDescent="0.25"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</row>
    <row r="1946" spans="22:31" ht="11.25" customHeight="1" x14ac:dyDescent="0.25"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</row>
    <row r="1947" spans="22:31" ht="11.25" customHeight="1" x14ac:dyDescent="0.25"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</row>
    <row r="1948" spans="22:31" ht="11.25" customHeight="1" x14ac:dyDescent="0.25"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</row>
    <row r="1949" spans="22:31" ht="11.25" customHeight="1" x14ac:dyDescent="0.25"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</row>
    <row r="1950" spans="22:31" ht="11.25" customHeight="1" x14ac:dyDescent="0.25"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</row>
    <row r="1951" spans="22:31" ht="11.25" customHeight="1" x14ac:dyDescent="0.25"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</row>
    <row r="1952" spans="22:31" ht="11.25" customHeight="1" x14ac:dyDescent="0.25"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</row>
    <row r="1953" spans="22:31" ht="11.25" customHeight="1" x14ac:dyDescent="0.25"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</row>
    <row r="1954" spans="22:31" ht="11.25" customHeight="1" x14ac:dyDescent="0.25"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</row>
    <row r="1955" spans="22:31" ht="11.25" customHeight="1" x14ac:dyDescent="0.25"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</row>
    <row r="1956" spans="22:31" ht="11.25" customHeight="1" x14ac:dyDescent="0.25"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</row>
    <row r="1957" spans="22:31" ht="11.25" customHeight="1" x14ac:dyDescent="0.25"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</row>
    <row r="1958" spans="22:31" ht="11.25" customHeight="1" x14ac:dyDescent="0.25"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</row>
    <row r="1959" spans="22:31" ht="11.25" customHeight="1" x14ac:dyDescent="0.25"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</row>
    <row r="1960" spans="22:31" ht="11.25" customHeight="1" x14ac:dyDescent="0.25"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</row>
    <row r="1961" spans="22:31" ht="11.25" customHeight="1" x14ac:dyDescent="0.25"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</row>
    <row r="1962" spans="22:31" ht="11.25" customHeight="1" x14ac:dyDescent="0.25"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</row>
    <row r="1963" spans="22:31" ht="11.25" customHeight="1" x14ac:dyDescent="0.25"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</row>
    <row r="1964" spans="22:31" ht="11.25" customHeight="1" x14ac:dyDescent="0.25"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</row>
    <row r="1965" spans="22:31" ht="11.25" customHeight="1" x14ac:dyDescent="0.25"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</row>
    <row r="1966" spans="22:31" ht="11.25" customHeight="1" x14ac:dyDescent="0.25"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</row>
    <row r="1967" spans="22:31" ht="11.25" customHeight="1" x14ac:dyDescent="0.25"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</row>
    <row r="1968" spans="22:31" ht="11.25" customHeight="1" x14ac:dyDescent="0.25"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</row>
    <row r="1969" spans="22:31" ht="11.25" customHeight="1" x14ac:dyDescent="0.25"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</row>
    <row r="1970" spans="22:31" ht="11.25" customHeight="1" x14ac:dyDescent="0.25"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</row>
    <row r="1971" spans="22:31" ht="11.25" customHeight="1" x14ac:dyDescent="0.25"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</row>
    <row r="1972" spans="22:31" ht="11.25" customHeight="1" x14ac:dyDescent="0.25"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</row>
    <row r="1973" spans="22:31" ht="11.25" customHeight="1" x14ac:dyDescent="0.25"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</row>
    <row r="1974" spans="22:31" ht="11.25" customHeight="1" x14ac:dyDescent="0.25"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</row>
    <row r="1975" spans="22:31" ht="11.25" customHeight="1" x14ac:dyDescent="0.25"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</row>
    <row r="1976" spans="22:31" ht="11.25" customHeight="1" x14ac:dyDescent="0.25"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</row>
    <row r="1977" spans="22:31" ht="11.25" customHeight="1" x14ac:dyDescent="0.25"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</row>
    <row r="1978" spans="22:31" ht="11.25" customHeight="1" x14ac:dyDescent="0.25"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</row>
    <row r="1979" spans="22:31" ht="11.25" customHeight="1" x14ac:dyDescent="0.25"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</row>
    <row r="1980" spans="22:31" ht="11.25" customHeight="1" x14ac:dyDescent="0.25"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</row>
    <row r="1981" spans="22:31" ht="11.25" customHeight="1" x14ac:dyDescent="0.25"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</row>
    <row r="1982" spans="22:31" ht="11.25" customHeight="1" x14ac:dyDescent="0.25"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</row>
    <row r="1983" spans="22:31" ht="11.25" customHeight="1" x14ac:dyDescent="0.25"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</row>
    <row r="1984" spans="22:31" ht="11.25" customHeight="1" x14ac:dyDescent="0.25"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</row>
    <row r="1985" spans="22:31" ht="11.25" customHeight="1" x14ac:dyDescent="0.25"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</row>
    <row r="1986" spans="22:31" ht="11.25" customHeight="1" x14ac:dyDescent="0.25"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</row>
    <row r="1987" spans="22:31" ht="11.25" customHeight="1" x14ac:dyDescent="0.25"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</row>
    <row r="1988" spans="22:31" ht="11.25" customHeight="1" x14ac:dyDescent="0.25"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</row>
    <row r="1989" spans="22:31" ht="11.25" customHeight="1" x14ac:dyDescent="0.25"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</row>
    <row r="1990" spans="22:31" ht="11.25" customHeight="1" x14ac:dyDescent="0.25"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</row>
    <row r="1991" spans="22:31" ht="11.25" customHeight="1" x14ac:dyDescent="0.25"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</row>
    <row r="1992" spans="22:31" ht="11.25" customHeight="1" x14ac:dyDescent="0.25"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</row>
    <row r="1993" spans="22:31" ht="11.25" customHeight="1" x14ac:dyDescent="0.25"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</row>
    <row r="1994" spans="22:31" ht="11.25" customHeight="1" x14ac:dyDescent="0.25"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</row>
    <row r="1995" spans="22:31" ht="11.25" customHeight="1" x14ac:dyDescent="0.25"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</row>
    <row r="1996" spans="22:31" ht="11.25" customHeight="1" x14ac:dyDescent="0.25"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</row>
    <row r="1997" spans="22:31" ht="11.25" customHeight="1" x14ac:dyDescent="0.25"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</row>
    <row r="1998" spans="22:31" ht="11.25" customHeight="1" x14ac:dyDescent="0.25"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</row>
    <row r="1999" spans="22:31" ht="11.25" customHeight="1" x14ac:dyDescent="0.25"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</row>
    <row r="2000" spans="22:31" ht="11.25" customHeight="1" x14ac:dyDescent="0.25"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</row>
    <row r="2001" spans="22:31" ht="11.25" customHeight="1" x14ac:dyDescent="0.25"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</row>
    <row r="2002" spans="22:31" ht="11.25" customHeight="1" x14ac:dyDescent="0.25"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</row>
    <row r="2003" spans="22:31" ht="11.25" customHeight="1" x14ac:dyDescent="0.25"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</row>
    <row r="2004" spans="22:31" ht="11.25" customHeight="1" x14ac:dyDescent="0.25"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</row>
    <row r="2005" spans="22:31" ht="11.25" customHeight="1" x14ac:dyDescent="0.25"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</row>
    <row r="2006" spans="22:31" ht="11.25" customHeight="1" x14ac:dyDescent="0.25"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</row>
    <row r="2007" spans="22:31" ht="11.25" customHeight="1" x14ac:dyDescent="0.25"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</row>
    <row r="2008" spans="22:31" ht="11.25" customHeight="1" x14ac:dyDescent="0.25"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</row>
    <row r="2009" spans="22:31" ht="11.25" customHeight="1" x14ac:dyDescent="0.25"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</row>
    <row r="2010" spans="22:31" ht="11.25" customHeight="1" x14ac:dyDescent="0.25"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</row>
    <row r="2011" spans="22:31" ht="11.25" customHeight="1" x14ac:dyDescent="0.25"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</row>
    <row r="2012" spans="22:31" ht="11.25" customHeight="1" x14ac:dyDescent="0.25"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</row>
    <row r="2013" spans="22:31" ht="11.25" customHeight="1" x14ac:dyDescent="0.25"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</row>
    <row r="2014" spans="22:31" ht="11.25" customHeight="1" x14ac:dyDescent="0.25"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</row>
    <row r="2015" spans="22:31" ht="11.25" customHeight="1" x14ac:dyDescent="0.25"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</row>
    <row r="2016" spans="22:31" ht="11.25" customHeight="1" x14ac:dyDescent="0.25"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</row>
    <row r="2017" spans="22:31" ht="11.25" customHeight="1" x14ac:dyDescent="0.25"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</row>
    <row r="2018" spans="22:31" ht="11.25" customHeight="1" x14ac:dyDescent="0.25"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</row>
    <row r="2019" spans="22:31" ht="11.25" customHeight="1" x14ac:dyDescent="0.25"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</row>
    <row r="2020" spans="22:31" ht="11.25" customHeight="1" x14ac:dyDescent="0.25"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</row>
    <row r="2021" spans="22:31" ht="11.25" customHeight="1" x14ac:dyDescent="0.25"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</row>
    <row r="2022" spans="22:31" ht="11.25" customHeight="1" x14ac:dyDescent="0.25"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</row>
    <row r="2023" spans="22:31" ht="11.25" customHeight="1" x14ac:dyDescent="0.25"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</row>
    <row r="2024" spans="22:31" ht="11.25" customHeight="1" x14ac:dyDescent="0.25"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</row>
    <row r="2025" spans="22:31" ht="11.25" customHeight="1" x14ac:dyDescent="0.25"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</row>
    <row r="2026" spans="22:31" ht="11.25" customHeight="1" x14ac:dyDescent="0.25"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</row>
    <row r="2027" spans="22:31" ht="11.25" customHeight="1" x14ac:dyDescent="0.25"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</row>
    <row r="2028" spans="22:31" ht="11.25" customHeight="1" x14ac:dyDescent="0.25"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</row>
    <row r="2029" spans="22:31" ht="11.25" customHeight="1" x14ac:dyDescent="0.25"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</row>
    <row r="2030" spans="22:31" ht="11.25" customHeight="1" x14ac:dyDescent="0.25"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</row>
    <row r="2031" spans="22:31" ht="11.25" customHeight="1" x14ac:dyDescent="0.25"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</row>
    <row r="2032" spans="22:31" ht="11.25" customHeight="1" x14ac:dyDescent="0.25"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</row>
    <row r="2033" spans="22:31" ht="11.25" customHeight="1" x14ac:dyDescent="0.25"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</row>
    <row r="2034" spans="22:31" ht="11.25" customHeight="1" x14ac:dyDescent="0.25"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</row>
    <row r="2035" spans="22:31" ht="11.25" customHeight="1" x14ac:dyDescent="0.25"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</row>
    <row r="2036" spans="22:31" ht="11.25" customHeight="1" x14ac:dyDescent="0.25"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</row>
    <row r="2037" spans="22:31" ht="11.25" customHeight="1" x14ac:dyDescent="0.25"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</row>
    <row r="2038" spans="22:31" ht="11.25" customHeight="1" x14ac:dyDescent="0.25"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</row>
    <row r="2039" spans="22:31" ht="11.25" customHeight="1" x14ac:dyDescent="0.25"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</row>
    <row r="2040" spans="22:31" ht="11.25" customHeight="1" x14ac:dyDescent="0.25"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</row>
    <row r="2041" spans="22:31" ht="11.25" customHeight="1" x14ac:dyDescent="0.25"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</row>
    <row r="2042" spans="22:31" ht="11.25" customHeight="1" x14ac:dyDescent="0.25"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</row>
    <row r="2043" spans="22:31" ht="11.25" customHeight="1" x14ac:dyDescent="0.25"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</row>
    <row r="2044" spans="22:31" ht="11.25" customHeight="1" x14ac:dyDescent="0.25"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</row>
    <row r="2045" spans="22:31" ht="11.25" customHeight="1" x14ac:dyDescent="0.25"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</row>
    <row r="2046" spans="22:31" ht="11.25" customHeight="1" x14ac:dyDescent="0.25"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</row>
    <row r="2047" spans="22:31" ht="11.25" customHeight="1" x14ac:dyDescent="0.25"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</row>
    <row r="2048" spans="22:31" ht="11.25" customHeight="1" x14ac:dyDescent="0.25"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</row>
    <row r="2049" spans="22:31" ht="11.25" customHeight="1" x14ac:dyDescent="0.25"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</row>
    <row r="2050" spans="22:31" ht="11.25" customHeight="1" x14ac:dyDescent="0.25"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</row>
    <row r="2051" spans="22:31" ht="11.25" customHeight="1" x14ac:dyDescent="0.25"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</row>
    <row r="2052" spans="22:31" ht="11.25" customHeight="1" x14ac:dyDescent="0.25"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</row>
    <row r="2053" spans="22:31" ht="11.25" customHeight="1" x14ac:dyDescent="0.25"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</row>
    <row r="2054" spans="22:31" ht="11.25" customHeight="1" x14ac:dyDescent="0.25"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</row>
    <row r="2055" spans="22:31" ht="11.25" customHeight="1" x14ac:dyDescent="0.25"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</row>
    <row r="2056" spans="22:31" ht="11.25" customHeight="1" x14ac:dyDescent="0.25"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</row>
    <row r="2057" spans="22:31" ht="11.25" customHeight="1" x14ac:dyDescent="0.25"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</row>
    <row r="2058" spans="22:31" ht="11.25" customHeight="1" x14ac:dyDescent="0.25"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</row>
    <row r="2059" spans="22:31" ht="11.25" customHeight="1" x14ac:dyDescent="0.25"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</row>
    <row r="2060" spans="22:31" ht="11.25" customHeight="1" x14ac:dyDescent="0.25"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</row>
    <row r="2061" spans="22:31" ht="11.25" customHeight="1" x14ac:dyDescent="0.25"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</row>
    <row r="2062" spans="22:31" ht="11.25" customHeight="1" x14ac:dyDescent="0.25"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</row>
    <row r="2063" spans="22:31" ht="11.25" customHeight="1" x14ac:dyDescent="0.25"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</row>
    <row r="2064" spans="22:31" ht="11.25" customHeight="1" x14ac:dyDescent="0.25"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</row>
    <row r="2065" spans="22:31" ht="11.25" customHeight="1" x14ac:dyDescent="0.25"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</row>
    <row r="2066" spans="22:31" ht="11.25" customHeight="1" x14ac:dyDescent="0.25"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</row>
    <row r="2067" spans="22:31" ht="11.25" customHeight="1" x14ac:dyDescent="0.25"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</row>
    <row r="2068" spans="22:31" ht="11.25" customHeight="1" x14ac:dyDescent="0.25"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</row>
    <row r="2069" spans="22:31" ht="11.25" customHeight="1" x14ac:dyDescent="0.25"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</row>
    <row r="2070" spans="22:31" ht="11.25" customHeight="1" x14ac:dyDescent="0.25"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</row>
    <row r="2071" spans="22:31" ht="11.25" customHeight="1" x14ac:dyDescent="0.25"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</row>
    <row r="2072" spans="22:31" ht="11.25" customHeight="1" x14ac:dyDescent="0.25"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</row>
    <row r="2073" spans="22:31" ht="11.25" customHeight="1" x14ac:dyDescent="0.25"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</row>
    <row r="2074" spans="22:31" ht="11.25" customHeight="1" x14ac:dyDescent="0.25"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</row>
    <row r="2075" spans="22:31" ht="11.25" customHeight="1" x14ac:dyDescent="0.25"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</row>
    <row r="2076" spans="22:31" ht="11.25" customHeight="1" x14ac:dyDescent="0.25"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</row>
    <row r="2077" spans="22:31" ht="11.25" customHeight="1" x14ac:dyDescent="0.25"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</row>
    <row r="2078" spans="22:31" ht="11.25" customHeight="1" x14ac:dyDescent="0.25"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</row>
    <row r="2079" spans="22:31" ht="11.25" customHeight="1" x14ac:dyDescent="0.25"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</row>
    <row r="2080" spans="22:31" ht="11.25" customHeight="1" x14ac:dyDescent="0.25"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</row>
    <row r="2081" spans="22:31" ht="11.25" customHeight="1" x14ac:dyDescent="0.25"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</row>
    <row r="2082" spans="22:31" ht="11.25" customHeight="1" x14ac:dyDescent="0.25"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</row>
    <row r="2083" spans="22:31" ht="11.25" customHeight="1" x14ac:dyDescent="0.25"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</row>
    <row r="2084" spans="22:31" ht="11.25" customHeight="1" x14ac:dyDescent="0.25"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</row>
    <row r="2085" spans="22:31" ht="11.25" customHeight="1" x14ac:dyDescent="0.25"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</row>
    <row r="2086" spans="22:31" ht="11.25" customHeight="1" x14ac:dyDescent="0.25"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</row>
    <row r="2087" spans="22:31" ht="11.25" customHeight="1" x14ac:dyDescent="0.25"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</row>
    <row r="2088" spans="22:31" ht="11.25" customHeight="1" x14ac:dyDescent="0.25"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</row>
    <row r="2089" spans="22:31" ht="11.25" customHeight="1" x14ac:dyDescent="0.25"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</row>
    <row r="2090" spans="22:31" ht="11.25" customHeight="1" x14ac:dyDescent="0.25"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</row>
    <row r="2091" spans="22:31" ht="11.25" customHeight="1" x14ac:dyDescent="0.25"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</row>
    <row r="2092" spans="22:31" ht="11.25" customHeight="1" x14ac:dyDescent="0.25"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</row>
    <row r="2093" spans="22:31" ht="11.25" customHeight="1" x14ac:dyDescent="0.25"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</row>
    <row r="2094" spans="22:31" ht="11.25" customHeight="1" x14ac:dyDescent="0.25"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</row>
    <row r="2095" spans="22:31" ht="11.25" customHeight="1" x14ac:dyDescent="0.25"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</row>
    <row r="2096" spans="22:31" ht="11.25" customHeight="1" x14ac:dyDescent="0.25"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</row>
    <row r="2097" spans="22:31" ht="11.25" customHeight="1" x14ac:dyDescent="0.25"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</row>
    <row r="2098" spans="22:31" ht="11.25" customHeight="1" x14ac:dyDescent="0.25"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</row>
    <row r="2099" spans="22:31" ht="11.25" customHeight="1" x14ac:dyDescent="0.25"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</row>
    <row r="2100" spans="22:31" ht="11.25" customHeight="1" x14ac:dyDescent="0.25"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</row>
    <row r="2101" spans="22:31" ht="11.25" customHeight="1" x14ac:dyDescent="0.25"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</row>
    <row r="2102" spans="22:31" ht="11.25" customHeight="1" x14ac:dyDescent="0.25"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</row>
    <row r="2103" spans="22:31" ht="11.25" customHeight="1" x14ac:dyDescent="0.25"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</row>
    <row r="2104" spans="22:31" ht="11.25" customHeight="1" x14ac:dyDescent="0.25"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</row>
    <row r="2105" spans="22:31" ht="11.25" customHeight="1" x14ac:dyDescent="0.25"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</row>
    <row r="2106" spans="22:31" ht="11.25" customHeight="1" x14ac:dyDescent="0.25"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</row>
    <row r="2107" spans="22:31" ht="11.25" customHeight="1" x14ac:dyDescent="0.25"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</row>
    <row r="2108" spans="22:31" ht="11.25" customHeight="1" x14ac:dyDescent="0.25"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</row>
    <row r="2109" spans="22:31" ht="11.25" customHeight="1" x14ac:dyDescent="0.25"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</row>
    <row r="2110" spans="22:31" ht="11.25" customHeight="1" x14ac:dyDescent="0.25"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</row>
    <row r="2111" spans="22:31" ht="11.25" customHeight="1" x14ac:dyDescent="0.25"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</row>
    <row r="2112" spans="22:31" ht="11.25" customHeight="1" x14ac:dyDescent="0.25"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</row>
    <row r="2113" spans="22:31" ht="11.25" customHeight="1" x14ac:dyDescent="0.25"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</row>
    <row r="2114" spans="22:31" ht="11.25" customHeight="1" x14ac:dyDescent="0.25"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</row>
    <row r="2115" spans="22:31" ht="11.25" customHeight="1" x14ac:dyDescent="0.25"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</row>
    <row r="2116" spans="22:31" ht="11.25" customHeight="1" x14ac:dyDescent="0.25"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</row>
    <row r="2117" spans="22:31" ht="11.25" customHeight="1" x14ac:dyDescent="0.25"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</row>
    <row r="2118" spans="22:31" ht="11.25" customHeight="1" x14ac:dyDescent="0.25"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</row>
    <row r="2119" spans="22:31" ht="11.25" customHeight="1" x14ac:dyDescent="0.25"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</row>
    <row r="2120" spans="22:31" ht="11.25" customHeight="1" x14ac:dyDescent="0.25"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</row>
    <row r="2121" spans="22:31" ht="11.25" customHeight="1" x14ac:dyDescent="0.25"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</row>
    <row r="2122" spans="22:31" ht="11.25" customHeight="1" x14ac:dyDescent="0.25"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</row>
    <row r="2123" spans="22:31" ht="11.25" customHeight="1" x14ac:dyDescent="0.25"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</row>
    <row r="2124" spans="22:31" ht="11.25" customHeight="1" x14ac:dyDescent="0.25"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</row>
    <row r="2125" spans="22:31" ht="11.25" customHeight="1" x14ac:dyDescent="0.25"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</row>
    <row r="2126" spans="22:31" ht="11.25" customHeight="1" x14ac:dyDescent="0.25"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</row>
    <row r="2127" spans="22:31" ht="11.25" customHeight="1" x14ac:dyDescent="0.25"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</row>
    <row r="2128" spans="22:31" ht="11.25" customHeight="1" x14ac:dyDescent="0.25"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</row>
    <row r="2129" spans="22:31" ht="11.25" customHeight="1" x14ac:dyDescent="0.25"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</row>
    <row r="2130" spans="22:31" ht="11.25" customHeight="1" x14ac:dyDescent="0.25"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</row>
    <row r="2131" spans="22:31" ht="11.25" customHeight="1" x14ac:dyDescent="0.25"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</row>
    <row r="2132" spans="22:31" ht="11.25" customHeight="1" x14ac:dyDescent="0.25"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</row>
    <row r="2133" spans="22:31" ht="11.25" customHeight="1" x14ac:dyDescent="0.25"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</row>
    <row r="2134" spans="22:31" ht="11.25" customHeight="1" x14ac:dyDescent="0.25"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</row>
    <row r="2135" spans="22:31" ht="11.25" customHeight="1" x14ac:dyDescent="0.25"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</row>
    <row r="2136" spans="22:31" ht="11.25" customHeight="1" x14ac:dyDescent="0.25"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</row>
    <row r="2137" spans="22:31" ht="11.25" customHeight="1" x14ac:dyDescent="0.25"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</row>
    <row r="2138" spans="22:31" ht="11.25" customHeight="1" x14ac:dyDescent="0.25"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</row>
    <row r="2139" spans="22:31" ht="11.25" customHeight="1" x14ac:dyDescent="0.25"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</row>
    <row r="2140" spans="22:31" ht="11.25" customHeight="1" x14ac:dyDescent="0.25"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</row>
    <row r="2141" spans="22:31" ht="11.25" customHeight="1" x14ac:dyDescent="0.25"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</row>
    <row r="2142" spans="22:31" ht="11.25" customHeight="1" x14ac:dyDescent="0.25"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</row>
    <row r="2143" spans="22:31" ht="11.25" customHeight="1" x14ac:dyDescent="0.25"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</row>
    <row r="2144" spans="22:31" ht="11.25" customHeight="1" x14ac:dyDescent="0.25"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</row>
    <row r="2145" spans="22:31" ht="11.25" customHeight="1" x14ac:dyDescent="0.25"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</row>
    <row r="2146" spans="22:31" ht="11.25" customHeight="1" x14ac:dyDescent="0.25"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</row>
    <row r="2147" spans="22:31" ht="11.25" customHeight="1" x14ac:dyDescent="0.25"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</row>
    <row r="2148" spans="22:31" ht="11.25" customHeight="1" x14ac:dyDescent="0.25"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</row>
    <row r="2149" spans="22:31" ht="11.25" customHeight="1" x14ac:dyDescent="0.25"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</row>
    <row r="2150" spans="22:31" ht="11.25" customHeight="1" x14ac:dyDescent="0.25"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</row>
    <row r="2151" spans="22:31" ht="11.25" customHeight="1" x14ac:dyDescent="0.25"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</row>
    <row r="2152" spans="22:31" ht="11.25" customHeight="1" x14ac:dyDescent="0.25"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</row>
    <row r="2153" spans="22:31" ht="11.25" customHeight="1" x14ac:dyDescent="0.25"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</row>
    <row r="2154" spans="22:31" ht="11.25" customHeight="1" x14ac:dyDescent="0.25"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</row>
    <row r="2155" spans="22:31" ht="11.25" customHeight="1" x14ac:dyDescent="0.25"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</row>
    <row r="2156" spans="22:31" ht="11.25" customHeight="1" x14ac:dyDescent="0.25"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</row>
    <row r="2157" spans="22:31" ht="11.25" customHeight="1" x14ac:dyDescent="0.25"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</row>
    <row r="2158" spans="22:31" ht="11.25" customHeight="1" x14ac:dyDescent="0.25"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</row>
    <row r="2159" spans="22:31" ht="11.25" customHeight="1" x14ac:dyDescent="0.25"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</row>
    <row r="2160" spans="22:31" ht="11.25" customHeight="1" x14ac:dyDescent="0.25"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</row>
    <row r="2161" spans="22:31" ht="11.25" customHeight="1" x14ac:dyDescent="0.25"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</row>
    <row r="2162" spans="22:31" ht="11.25" customHeight="1" x14ac:dyDescent="0.25"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</row>
    <row r="2163" spans="22:31" ht="11.25" customHeight="1" x14ac:dyDescent="0.25"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</row>
    <row r="2164" spans="22:31" ht="11.25" customHeight="1" x14ac:dyDescent="0.25"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</row>
    <row r="2165" spans="22:31" ht="11.25" customHeight="1" x14ac:dyDescent="0.25"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</row>
    <row r="2166" spans="22:31" ht="11.25" customHeight="1" x14ac:dyDescent="0.25"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</row>
    <row r="2167" spans="22:31" ht="11.25" customHeight="1" x14ac:dyDescent="0.25"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</row>
    <row r="2168" spans="22:31" ht="11.25" customHeight="1" x14ac:dyDescent="0.25"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</row>
    <row r="2169" spans="22:31" ht="11.25" customHeight="1" x14ac:dyDescent="0.25"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</row>
    <row r="2170" spans="22:31" ht="11.25" customHeight="1" x14ac:dyDescent="0.25"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</row>
    <row r="2171" spans="22:31" ht="11.25" customHeight="1" x14ac:dyDescent="0.25"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</row>
    <row r="2172" spans="22:31" ht="11.25" customHeight="1" x14ac:dyDescent="0.25"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</row>
    <row r="2173" spans="22:31" ht="11.25" customHeight="1" x14ac:dyDescent="0.25"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</row>
    <row r="2174" spans="22:31" ht="11.25" customHeight="1" x14ac:dyDescent="0.25"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</row>
    <row r="2175" spans="22:31" ht="11.25" customHeight="1" x14ac:dyDescent="0.25"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</row>
    <row r="2176" spans="22:31" ht="11.25" customHeight="1" x14ac:dyDescent="0.25"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</row>
    <row r="2177" spans="22:31" ht="11.25" customHeight="1" x14ac:dyDescent="0.25"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</row>
    <row r="2178" spans="22:31" ht="11.25" customHeight="1" x14ac:dyDescent="0.25"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</row>
    <row r="2179" spans="22:31" ht="11.25" customHeight="1" x14ac:dyDescent="0.25"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</row>
    <row r="2180" spans="22:31" ht="11.25" customHeight="1" x14ac:dyDescent="0.25"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</row>
    <row r="2181" spans="22:31" ht="11.25" customHeight="1" x14ac:dyDescent="0.25"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</row>
    <row r="2182" spans="22:31" ht="11.25" customHeight="1" x14ac:dyDescent="0.25"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</row>
    <row r="2183" spans="22:31" ht="11.25" customHeight="1" x14ac:dyDescent="0.25"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</row>
    <row r="2184" spans="22:31" ht="11.25" customHeight="1" x14ac:dyDescent="0.25"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</row>
    <row r="2185" spans="22:31" ht="11.25" customHeight="1" x14ac:dyDescent="0.25"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</row>
    <row r="2186" spans="22:31" ht="11.25" customHeight="1" x14ac:dyDescent="0.25"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</row>
    <row r="2187" spans="22:31" ht="11.25" customHeight="1" x14ac:dyDescent="0.25"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</row>
    <row r="2188" spans="22:31" ht="11.25" customHeight="1" x14ac:dyDescent="0.25"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</row>
    <row r="2189" spans="22:31" ht="11.25" customHeight="1" x14ac:dyDescent="0.25"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</row>
    <row r="2190" spans="22:31" ht="11.25" customHeight="1" x14ac:dyDescent="0.25"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</row>
    <row r="2191" spans="22:31" ht="11.25" customHeight="1" x14ac:dyDescent="0.25"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</row>
    <row r="2192" spans="22:31" ht="11.25" customHeight="1" x14ac:dyDescent="0.25"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</row>
    <row r="2193" spans="22:31" ht="11.25" customHeight="1" x14ac:dyDescent="0.25"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</row>
    <row r="2194" spans="22:31" ht="11.25" customHeight="1" x14ac:dyDescent="0.25"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</row>
    <row r="2195" spans="22:31" ht="11.25" customHeight="1" x14ac:dyDescent="0.25"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</row>
    <row r="2196" spans="22:31" ht="11.25" customHeight="1" x14ac:dyDescent="0.25"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</row>
    <row r="2197" spans="22:31" ht="11.25" customHeight="1" x14ac:dyDescent="0.25"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</row>
    <row r="2198" spans="22:31" ht="11.25" customHeight="1" x14ac:dyDescent="0.25"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</row>
    <row r="2199" spans="22:31" ht="11.25" customHeight="1" x14ac:dyDescent="0.25"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</row>
    <row r="2200" spans="22:31" ht="11.25" customHeight="1" x14ac:dyDescent="0.25"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</row>
    <row r="2201" spans="22:31" ht="11.25" customHeight="1" x14ac:dyDescent="0.25"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</row>
    <row r="2202" spans="22:31" ht="11.25" customHeight="1" x14ac:dyDescent="0.25"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</row>
    <row r="2203" spans="22:31" ht="11.25" customHeight="1" x14ac:dyDescent="0.25"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</row>
    <row r="2204" spans="22:31" ht="11.25" customHeight="1" x14ac:dyDescent="0.25"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</row>
    <row r="2205" spans="22:31" ht="11.25" customHeight="1" x14ac:dyDescent="0.25"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</row>
    <row r="2206" spans="22:31" ht="11.25" customHeight="1" x14ac:dyDescent="0.25"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</row>
    <row r="2207" spans="22:31" ht="11.25" customHeight="1" x14ac:dyDescent="0.25"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</row>
    <row r="2208" spans="22:31" ht="11.25" customHeight="1" x14ac:dyDescent="0.25"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</row>
    <row r="2209" spans="22:31" ht="11.25" customHeight="1" x14ac:dyDescent="0.25"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</row>
    <row r="2210" spans="22:31" ht="11.25" customHeight="1" x14ac:dyDescent="0.25"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</row>
    <row r="2211" spans="22:31" ht="11.25" customHeight="1" x14ac:dyDescent="0.25"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</row>
    <row r="2212" spans="22:31" ht="11.25" customHeight="1" x14ac:dyDescent="0.25"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</row>
    <row r="2213" spans="22:31" ht="11.25" customHeight="1" x14ac:dyDescent="0.25"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</row>
    <row r="2214" spans="22:31" ht="11.25" customHeight="1" x14ac:dyDescent="0.25"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</row>
    <row r="2215" spans="22:31" ht="11.25" customHeight="1" x14ac:dyDescent="0.25"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</row>
    <row r="2216" spans="22:31" ht="11.25" customHeight="1" x14ac:dyDescent="0.25"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</row>
    <row r="2217" spans="22:31" ht="11.25" customHeight="1" x14ac:dyDescent="0.25"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A648B-FEFF-41C9-9CCF-93BE1AB64B5C}">
  <dimension ref="A1:J1701"/>
  <sheetViews>
    <sheetView showGridLines="0" workbookViewId="0"/>
  </sheetViews>
  <sheetFormatPr defaultRowHeight="11.25" customHeight="1" x14ac:dyDescent="0.2"/>
  <cols>
    <col min="1" max="1" width="38.28515625" style="14" bestFit="1" customWidth="1"/>
    <col min="2" max="2" width="24.5703125" style="19" bestFit="1" customWidth="1"/>
    <col min="3" max="3" width="25.5703125" style="19" bestFit="1" customWidth="1"/>
    <col min="4" max="4" width="26" style="19" bestFit="1" customWidth="1"/>
    <col min="5" max="5" width="26.85546875" style="19" bestFit="1" customWidth="1"/>
    <col min="6" max="6" width="23.7109375" style="19" bestFit="1" customWidth="1"/>
    <col min="7" max="7" width="24.5703125" style="19" bestFit="1" customWidth="1"/>
    <col min="8" max="8" width="18.28515625" style="20" bestFit="1" customWidth="1"/>
    <col min="9" max="9" width="16" style="20" bestFit="1" customWidth="1"/>
    <col min="10" max="10" width="13.85546875" style="20" bestFit="1" customWidth="1"/>
    <col min="11" max="16384" width="9.140625" style="14"/>
  </cols>
  <sheetData>
    <row r="1" spans="1:10" ht="11.25" customHeight="1" x14ac:dyDescent="0.2">
      <c r="A1" s="18" t="s">
        <v>982</v>
      </c>
      <c r="B1" s="19" t="s">
        <v>983</v>
      </c>
      <c r="C1" s="19" t="s">
        <v>984</v>
      </c>
      <c r="D1" s="19" t="s">
        <v>985</v>
      </c>
      <c r="E1" s="19" t="s">
        <v>986</v>
      </c>
      <c r="F1" s="19" t="s">
        <v>987</v>
      </c>
      <c r="G1" s="19" t="s">
        <v>988</v>
      </c>
      <c r="H1" s="20" t="s">
        <v>989</v>
      </c>
      <c r="I1" s="20" t="s">
        <v>990</v>
      </c>
      <c r="J1" s="20" t="s">
        <v>991</v>
      </c>
    </row>
    <row r="2" spans="1:10" ht="11.25" customHeight="1" x14ac:dyDescent="0.2">
      <c r="A2" s="21" t="s">
        <v>26</v>
      </c>
      <c r="B2" s="19">
        <v>94850438.535299987</v>
      </c>
      <c r="C2" s="19">
        <v>104438119.48701961</v>
      </c>
      <c r="D2" s="19">
        <v>998180091.93448782</v>
      </c>
      <c r="E2" s="19">
        <v>1113750896.4629142</v>
      </c>
      <c r="F2" s="19">
        <v>872757803.73579109</v>
      </c>
      <c r="G2" s="19">
        <v>805673045.03379071</v>
      </c>
      <c r="H2" s="20">
        <v>0.11450593738342429</v>
      </c>
      <c r="I2" s="20">
        <v>-7.6865263667478256E-2</v>
      </c>
      <c r="J2" s="20">
        <v>2.9542207453180813E-2</v>
      </c>
    </row>
    <row r="3" spans="1:10" ht="11.25" customHeight="1" x14ac:dyDescent="0.2">
      <c r="A3" s="22" t="s">
        <v>39</v>
      </c>
      <c r="B3" s="19">
        <v>4848211.7265999997</v>
      </c>
      <c r="C3" s="19">
        <v>5273400.0435208296</v>
      </c>
      <c r="D3" s="19">
        <v>3737326.2794310008</v>
      </c>
      <c r="E3" s="19">
        <v>5041282.080925934</v>
      </c>
      <c r="F3" s="19">
        <v>22719805.663611613</v>
      </c>
      <c r="G3" s="19">
        <v>20896783.761062801</v>
      </c>
      <c r="H3" s="20">
        <v>0.20140195258597759</v>
      </c>
      <c r="I3" s="20">
        <v>-8.0239326407117617E-2</v>
      </c>
      <c r="J3" s="20">
        <v>-2.9987782636636817E-3</v>
      </c>
    </row>
    <row r="4" spans="1:10" ht="11.25" customHeight="1" x14ac:dyDescent="0.2">
      <c r="A4" s="23" t="s">
        <v>40</v>
      </c>
      <c r="B4" s="19">
        <v>4848211.7265999997</v>
      </c>
      <c r="C4" s="19">
        <v>5273400.0435208296</v>
      </c>
      <c r="D4" s="19">
        <v>3737326.2794310008</v>
      </c>
      <c r="E4" s="19">
        <v>5041282.080925934</v>
      </c>
      <c r="F4" s="19">
        <v>22719805.663611613</v>
      </c>
      <c r="G4" s="19">
        <v>20896783.761062801</v>
      </c>
      <c r="H4" s="20">
        <v>0.20140195258597759</v>
      </c>
      <c r="I4" s="20">
        <v>-8.0239326407117617E-2</v>
      </c>
      <c r="J4" s="20">
        <v>-2.9987782636636817E-3</v>
      </c>
    </row>
    <row r="5" spans="1:10" ht="11.25" customHeight="1" x14ac:dyDescent="0.2">
      <c r="A5" s="24" t="s">
        <v>38</v>
      </c>
      <c r="B5" s="19">
        <v>1430537.6700000002</v>
      </c>
      <c r="C5" s="19">
        <v>1555646.7034808637</v>
      </c>
      <c r="D5" s="19">
        <v>656566.95904999995</v>
      </c>
      <c r="E5" s="19">
        <v>885643.63882372272</v>
      </c>
      <c r="F5" s="19">
        <v>3982803.2515800004</v>
      </c>
      <c r="G5" s="19">
        <v>3664070.0553763434</v>
      </c>
      <c r="H5" s="20">
        <v>0.16970194417890938</v>
      </c>
      <c r="I5" s="20">
        <v>-8.0027351608998987E-2</v>
      </c>
      <c r="J5" s="20">
        <v>5.8407010037275775E-3</v>
      </c>
    </row>
    <row r="6" spans="1:10" ht="11.25" customHeight="1" x14ac:dyDescent="0.2">
      <c r="A6" s="25" t="s">
        <v>25</v>
      </c>
      <c r="B6" s="19">
        <v>1430537.6700000002</v>
      </c>
      <c r="C6" s="19">
        <v>1555646.7034808637</v>
      </c>
      <c r="D6" s="19">
        <v>656566.95904999995</v>
      </c>
      <c r="E6" s="19">
        <v>885643.63882372272</v>
      </c>
      <c r="F6" s="19">
        <v>3982803.2515800004</v>
      </c>
      <c r="G6" s="19">
        <v>3664070.0553763434</v>
      </c>
      <c r="H6" s="20">
        <v>0.16970194417890938</v>
      </c>
      <c r="I6" s="20">
        <v>-8.0027351608998987E-2</v>
      </c>
      <c r="J6" s="20">
        <v>5.8407010037275775E-3</v>
      </c>
    </row>
    <row r="7" spans="1:10" ht="11.25" customHeight="1" x14ac:dyDescent="0.2">
      <c r="A7" s="26" t="s">
        <v>25</v>
      </c>
      <c r="B7" s="19">
        <v>1430537.6700000002</v>
      </c>
      <c r="C7" s="19">
        <v>1555646.7034808637</v>
      </c>
      <c r="D7" s="19">
        <v>656566.95904999995</v>
      </c>
      <c r="E7" s="19">
        <v>885643.63882372272</v>
      </c>
      <c r="F7" s="19">
        <v>3982803.2515800004</v>
      </c>
      <c r="G7" s="19">
        <v>3664070.0553763434</v>
      </c>
      <c r="H7" s="20">
        <v>0.16970194417890938</v>
      </c>
      <c r="I7" s="20">
        <v>-8.0027351608998987E-2</v>
      </c>
      <c r="J7" s="20">
        <v>5.8407010037275775E-3</v>
      </c>
    </row>
    <row r="8" spans="1:10" ht="11.25" customHeight="1" x14ac:dyDescent="0.2">
      <c r="A8" s="27" t="s">
        <v>25</v>
      </c>
      <c r="B8" s="19">
        <v>1430537.6700000002</v>
      </c>
      <c r="C8" s="19">
        <v>1555646.7034808637</v>
      </c>
      <c r="D8" s="19">
        <v>656566.95904999995</v>
      </c>
      <c r="E8" s="19">
        <v>885643.63882372272</v>
      </c>
      <c r="F8" s="19">
        <v>3982803.2515800004</v>
      </c>
      <c r="G8" s="19">
        <v>3664070.0553763434</v>
      </c>
      <c r="H8" s="20">
        <v>0.16970194417890938</v>
      </c>
      <c r="I8" s="20">
        <v>-8.0027351608998987E-2</v>
      </c>
      <c r="J8" s="20">
        <v>5.8407010037275775E-3</v>
      </c>
    </row>
    <row r="9" spans="1:10" ht="11.25" customHeight="1" x14ac:dyDescent="0.2">
      <c r="A9" s="28" t="s">
        <v>35</v>
      </c>
      <c r="B9" s="19">
        <v>688596.99</v>
      </c>
      <c r="C9" s="19">
        <v>747426.72664552159</v>
      </c>
      <c r="D9" s="19">
        <v>607141.84659999993</v>
      </c>
      <c r="E9" s="19">
        <v>818974.06942774565</v>
      </c>
      <c r="F9" s="19">
        <v>3514330.9461599998</v>
      </c>
      <c r="G9" s="19">
        <v>3249733.7417826233</v>
      </c>
      <c r="H9" s="20">
        <v>0.20888619822763066</v>
      </c>
      <c r="I9" s="20">
        <v>-7.5290918365697346E-2</v>
      </c>
      <c r="J9" s="20">
        <v>1.2608455531408769E-3</v>
      </c>
    </row>
    <row r="10" spans="1:10" ht="11.25" customHeight="1" x14ac:dyDescent="0.2">
      <c r="A10" s="29">
        <v>44409</v>
      </c>
      <c r="B10" s="19">
        <v>111644.15</v>
      </c>
      <c r="C10" s="19">
        <v>121182.3792369781</v>
      </c>
      <c r="D10" s="19">
        <v>93043.505900000004</v>
      </c>
      <c r="E10" s="19">
        <v>125506.45139594542</v>
      </c>
      <c r="F10" s="19">
        <v>538565.53284</v>
      </c>
      <c r="G10" s="19">
        <v>498016.4392723653</v>
      </c>
      <c r="H10" s="20">
        <v>0.20519642256025028</v>
      </c>
      <c r="I10" s="20">
        <v>-7.5290918365697235E-2</v>
      </c>
      <c r="J10" s="20">
        <v>1.9536830615560774E-3</v>
      </c>
    </row>
    <row r="11" spans="1:10" ht="11.25" customHeight="1" x14ac:dyDescent="0.2">
      <c r="A11" s="29">
        <v>44440</v>
      </c>
      <c r="B11" s="19">
        <v>107578.27</v>
      </c>
      <c r="C11" s="19">
        <v>116769.13401013867</v>
      </c>
      <c r="D11" s="19">
        <v>77061.436849999998</v>
      </c>
      <c r="E11" s="19">
        <v>103948.22706821757</v>
      </c>
      <c r="F11" s="19">
        <v>446056.21205999999</v>
      </c>
      <c r="G11" s="19">
        <v>412472.23021127837</v>
      </c>
      <c r="H11" s="20">
        <v>0.19539488468569477</v>
      </c>
      <c r="I11" s="20">
        <v>-7.5290918365697346E-2</v>
      </c>
      <c r="J11" s="20">
        <v>3.9538425806595612E-3</v>
      </c>
    </row>
    <row r="12" spans="1:10" ht="11.25" customHeight="1" x14ac:dyDescent="0.2">
      <c r="A12" s="29">
        <v>44470</v>
      </c>
      <c r="B12" s="19">
        <v>51203.28</v>
      </c>
      <c r="C12" s="19">
        <v>55577.791537999758</v>
      </c>
      <c r="D12" s="19">
        <v>18601.93045</v>
      </c>
      <c r="E12" s="19">
        <v>25092.157236668379</v>
      </c>
      <c r="F12" s="19">
        <v>107673.91541999999</v>
      </c>
      <c r="G12" s="19">
        <v>99567.047443997784</v>
      </c>
      <c r="H12" s="20">
        <v>0.15564365832619798</v>
      </c>
      <c r="I12" s="20">
        <v>-7.5290918365697235E-2</v>
      </c>
      <c r="J12" s="20">
        <v>1.5539125151461608E-2</v>
      </c>
    </row>
    <row r="13" spans="1:10" ht="11.25" customHeight="1" x14ac:dyDescent="0.2">
      <c r="A13" s="29">
        <v>44501</v>
      </c>
      <c r="B13" s="19">
        <v>68963.58</v>
      </c>
      <c r="C13" s="19">
        <v>74855.428655237891</v>
      </c>
      <c r="D13" s="19">
        <v>74288.793550000002</v>
      </c>
      <c r="E13" s="19">
        <v>100208.20654551988</v>
      </c>
      <c r="F13" s="19">
        <v>430007.26697999996</v>
      </c>
      <c r="G13" s="19">
        <v>397631.6249451522</v>
      </c>
      <c r="H13" s="20">
        <v>0.2220644647095813</v>
      </c>
      <c r="I13" s="20">
        <v>-7.5290918365697235E-2</v>
      </c>
      <c r="J13" s="20">
        <v>-9.8451093394302802E-4</v>
      </c>
    </row>
    <row r="14" spans="1:10" ht="11.25" customHeight="1" x14ac:dyDescent="0.2">
      <c r="A14" s="29">
        <v>44531</v>
      </c>
      <c r="B14" s="19">
        <v>85517.52</v>
      </c>
      <c r="C14" s="19">
        <v>92823.641364512689</v>
      </c>
      <c r="D14" s="19">
        <v>31831.156600000002</v>
      </c>
      <c r="E14" s="19">
        <v>42937.069815365023</v>
      </c>
      <c r="F14" s="19">
        <v>184248.90216</v>
      </c>
      <c r="G14" s="19">
        <v>170376.63310850208</v>
      </c>
      <c r="H14" s="20">
        <v>0.15690023196970349</v>
      </c>
      <c r="I14" s="20">
        <v>-7.5290918365697346E-2</v>
      </c>
      <c r="J14" s="20">
        <v>1.5052393812459375E-2</v>
      </c>
    </row>
    <row r="15" spans="1:10" ht="11.25" customHeight="1" x14ac:dyDescent="0.2">
      <c r="A15" s="29">
        <v>44562</v>
      </c>
      <c r="B15" s="19">
        <v>57380.29</v>
      </c>
      <c r="C15" s="19">
        <v>62282.529478775032</v>
      </c>
      <c r="D15" s="19">
        <v>38606.375249999997</v>
      </c>
      <c r="E15" s="19">
        <v>52076.167079251842</v>
      </c>
      <c r="F15" s="19">
        <v>223466.03189999997</v>
      </c>
      <c r="G15" s="19">
        <v>206641.06913471076</v>
      </c>
      <c r="H15" s="20">
        <v>0.1914019125487525</v>
      </c>
      <c r="I15" s="20">
        <v>-7.5290918365697346E-2</v>
      </c>
      <c r="J15" s="20">
        <v>4.8428720638138412E-3</v>
      </c>
    </row>
    <row r="16" spans="1:10" ht="11.25" customHeight="1" x14ac:dyDescent="0.2">
      <c r="A16" s="29">
        <v>44593</v>
      </c>
      <c r="B16" s="19">
        <v>33677.550000000003</v>
      </c>
      <c r="C16" s="19">
        <v>36554.76472231005</v>
      </c>
      <c r="D16" s="19">
        <v>40210.962749999999</v>
      </c>
      <c r="E16" s="19">
        <v>54240.59630116589</v>
      </c>
      <c r="F16" s="19">
        <v>232753.89689999999</v>
      </c>
      <c r="G16" s="19">
        <v>215229.64224920416</v>
      </c>
      <c r="H16" s="20">
        <v>0.22881565272101034</v>
      </c>
      <c r="I16" s="20">
        <v>-7.5290918365697346E-2</v>
      </c>
      <c r="J16" s="20">
        <v>-2.013440926271759E-3</v>
      </c>
    </row>
    <row r="17" spans="1:10" ht="11.25" customHeight="1" x14ac:dyDescent="0.2">
      <c r="A17" s="29">
        <v>44621</v>
      </c>
      <c r="B17" s="19">
        <v>34638.17</v>
      </c>
      <c r="C17" s="19">
        <v>37597.454528651237</v>
      </c>
      <c r="D17" s="19">
        <v>33670.328500000003</v>
      </c>
      <c r="E17" s="19">
        <v>45417.930101565158</v>
      </c>
      <c r="F17" s="19">
        <v>194894.61659999998</v>
      </c>
      <c r="G17" s="19">
        <v>180220.82193165552</v>
      </c>
      <c r="H17" s="20">
        <v>0.21530097210695387</v>
      </c>
      <c r="I17" s="20">
        <v>-7.5290918365697235E-2</v>
      </c>
      <c r="J17" s="20">
        <v>1.2572595069526571E-4</v>
      </c>
    </row>
    <row r="18" spans="1:10" ht="11.25" customHeight="1" x14ac:dyDescent="0.2">
      <c r="A18" s="29">
        <v>44652</v>
      </c>
      <c r="B18" s="19">
        <v>34314.239999999998</v>
      </c>
      <c r="C18" s="19">
        <v>37245.849826512931</v>
      </c>
      <c r="D18" s="19">
        <v>42849.198250000001</v>
      </c>
      <c r="E18" s="19">
        <v>57799.314046686777</v>
      </c>
      <c r="F18" s="19">
        <v>248024.84669999997</v>
      </c>
      <c r="G18" s="19">
        <v>229350.8282144457</v>
      </c>
      <c r="H18" s="20">
        <v>0.23173832100722525</v>
      </c>
      <c r="I18" s="20">
        <v>-7.5290918365697235E-2</v>
      </c>
      <c r="J18" s="20">
        <v>-2.436412684658773E-3</v>
      </c>
    </row>
    <row r="19" spans="1:10" ht="11.25" customHeight="1" x14ac:dyDescent="0.2">
      <c r="A19" s="29">
        <v>44682</v>
      </c>
      <c r="B19" s="19">
        <v>34850.400000000001</v>
      </c>
      <c r="C19" s="19">
        <v>37827.816230052194</v>
      </c>
      <c r="D19" s="19">
        <v>48385.549500000008</v>
      </c>
      <c r="E19" s="19">
        <v>65267.302192101313</v>
      </c>
      <c r="F19" s="19">
        <v>280071.01620000001</v>
      </c>
      <c r="G19" s="19">
        <v>258984.21218268794</v>
      </c>
      <c r="H19" s="20">
        <v>0.23858884341979536</v>
      </c>
      <c r="I19" s="20">
        <v>-7.5290918365697235E-2</v>
      </c>
      <c r="J19" s="20">
        <v>-3.3790574116663308E-3</v>
      </c>
    </row>
    <row r="20" spans="1:10" ht="11.25" customHeight="1" x14ac:dyDescent="0.2">
      <c r="A20" s="29">
        <v>44713</v>
      </c>
      <c r="B20" s="19">
        <v>34414.769999999997</v>
      </c>
      <c r="C20" s="19">
        <v>37354.968527176541</v>
      </c>
      <c r="D20" s="19">
        <v>54296.304499999998</v>
      </c>
      <c r="E20" s="19">
        <v>73240.323822629114</v>
      </c>
      <c r="F20" s="19">
        <v>314284.3542</v>
      </c>
      <c r="G20" s="19">
        <v>290621.59654431191</v>
      </c>
      <c r="H20" s="20">
        <v>0.24669093428471167</v>
      </c>
      <c r="I20" s="20">
        <v>-7.5290918365697346E-2</v>
      </c>
      <c r="J20" s="20">
        <v>-4.4133001995078081E-3</v>
      </c>
    </row>
    <row r="21" spans="1:10" ht="11.25" customHeight="1" x14ac:dyDescent="0.2">
      <c r="A21" s="29">
        <v>44743</v>
      </c>
      <c r="B21" s="19">
        <v>34414.769999999997</v>
      </c>
      <c r="C21" s="19">
        <v>37354.968527176541</v>
      </c>
      <c r="D21" s="19">
        <v>54296.304499999998</v>
      </c>
      <c r="E21" s="19">
        <v>73240.323822629114</v>
      </c>
      <c r="F21" s="19">
        <v>314284.3542</v>
      </c>
      <c r="G21" s="19">
        <v>290621.59654431191</v>
      </c>
      <c r="H21" s="20">
        <v>0.24669093428471167</v>
      </c>
      <c r="I21" s="20">
        <v>-7.5290918365697346E-2</v>
      </c>
      <c r="J21" s="20">
        <v>-4.4133001995078081E-3</v>
      </c>
    </row>
    <row r="22" spans="1:10" ht="11.25" customHeight="1" x14ac:dyDescent="0.2">
      <c r="A22" s="28" t="s">
        <v>34</v>
      </c>
      <c r="B22" s="19">
        <v>741940.67999999993</v>
      </c>
      <c r="C22" s="19">
        <v>808219.97683534247</v>
      </c>
      <c r="D22" s="19">
        <v>49425.112450000008</v>
      </c>
      <c r="E22" s="19">
        <v>66669.569395977174</v>
      </c>
      <c r="F22" s="19">
        <v>468472.30541999999</v>
      </c>
      <c r="G22" s="19">
        <v>414336.31359371904</v>
      </c>
      <c r="H22" s="20">
        <v>0.10554380108184525</v>
      </c>
      <c r="I22" s="20">
        <v>-0.11555857454102081</v>
      </c>
      <c r="J22" s="20">
        <v>2.3326617923941528E-2</v>
      </c>
    </row>
    <row r="23" spans="1:10" ht="11.25" customHeight="1" x14ac:dyDescent="0.2">
      <c r="A23" s="29">
        <v>44409</v>
      </c>
      <c r="B23" s="19">
        <v>157104.72</v>
      </c>
      <c r="C23" s="19">
        <v>171139.25220965501</v>
      </c>
      <c r="D23" s="19">
        <v>7645.6811500000003</v>
      </c>
      <c r="E23" s="19">
        <v>10313.264750284641</v>
      </c>
      <c r="F23" s="19">
        <v>72469.028340000004</v>
      </c>
      <c r="G23" s="19">
        <v>64094.610726656756</v>
      </c>
      <c r="H23" s="20">
        <v>0.10137830131735415</v>
      </c>
      <c r="I23" s="20">
        <v>-0.11555857454102092</v>
      </c>
      <c r="J23" s="20">
        <v>3.5105464229891359E-2</v>
      </c>
    </row>
    <row r="24" spans="1:10" ht="11.25" customHeight="1" x14ac:dyDescent="0.2">
      <c r="A24" s="29">
        <v>44440</v>
      </c>
      <c r="B24" s="19">
        <v>137815.67999999999</v>
      </c>
      <c r="C24" s="19">
        <v>150127.0771366074</v>
      </c>
      <c r="D24" s="19">
        <v>5999.5212000000001</v>
      </c>
      <c r="E24" s="19">
        <v>8092.7584209479373</v>
      </c>
      <c r="F24" s="19">
        <v>56866.021919999999</v>
      </c>
      <c r="G24" s="19">
        <v>50294.665487106351</v>
      </c>
      <c r="H24" s="20">
        <v>0.10016072179687896</v>
      </c>
      <c r="I24" s="20">
        <v>-0.11555857454102092</v>
      </c>
      <c r="J24" s="20">
        <v>3.9033437223858769E-2</v>
      </c>
    </row>
    <row r="25" spans="1:10" ht="11.25" customHeight="1" x14ac:dyDescent="0.2">
      <c r="A25" s="29">
        <v>44470</v>
      </c>
      <c r="B25" s="19">
        <v>37547.040000000001</v>
      </c>
      <c r="C25" s="19">
        <v>40901.204930609376</v>
      </c>
      <c r="D25" s="19">
        <v>1256.27665</v>
      </c>
      <c r="E25" s="19">
        <v>1694.5924682002565</v>
      </c>
      <c r="F25" s="19">
        <v>11907.52614</v>
      </c>
      <c r="G25" s="19">
        <v>10531.509392951655</v>
      </c>
      <c r="H25" s="20">
        <v>9.7735994657808023E-2</v>
      </c>
      <c r="I25" s="20">
        <v>-0.11555857454102092</v>
      </c>
      <c r="J25" s="20">
        <v>4.7651820967917535E-2</v>
      </c>
    </row>
    <row r="26" spans="1:10" ht="11.25" customHeight="1" x14ac:dyDescent="0.2">
      <c r="A26" s="29">
        <v>44501</v>
      </c>
      <c r="B26" s="19">
        <v>37547.040000000001</v>
      </c>
      <c r="C26" s="19">
        <v>40901.204930609376</v>
      </c>
      <c r="D26" s="19">
        <v>6731.7165000000005</v>
      </c>
      <c r="E26" s="19">
        <v>9080.41718275938</v>
      </c>
      <c r="F26" s="19">
        <v>63806.081400000003</v>
      </c>
      <c r="G26" s="19">
        <v>56432.741586367651</v>
      </c>
      <c r="H26" s="20">
        <v>0.12879461990692431</v>
      </c>
      <c r="I26" s="20">
        <v>-0.11555857454102092</v>
      </c>
      <c r="J26" s="20">
        <v>-1.5455213078166663E-2</v>
      </c>
    </row>
    <row r="27" spans="1:10" ht="11.25" customHeight="1" x14ac:dyDescent="0.2">
      <c r="A27" s="29">
        <v>44531</v>
      </c>
      <c r="B27" s="19">
        <v>37181.879999999997</v>
      </c>
      <c r="C27" s="19">
        <v>40503.424333458141</v>
      </c>
      <c r="D27" s="19">
        <v>2249.1073000000001</v>
      </c>
      <c r="E27" s="19">
        <v>3033.8224393124037</v>
      </c>
      <c r="F27" s="19">
        <v>21317.998680000001</v>
      </c>
      <c r="G27" s="19">
        <v>18854.521140471836</v>
      </c>
      <c r="H27" s="20">
        <v>0.10413788124373302</v>
      </c>
      <c r="I27" s="20">
        <v>-0.11555857454102092</v>
      </c>
      <c r="J27" s="20">
        <v>2.7042129292219386E-2</v>
      </c>
    </row>
    <row r="28" spans="1:10" ht="11.25" customHeight="1" x14ac:dyDescent="0.2">
      <c r="A28" s="29">
        <v>44562</v>
      </c>
      <c r="B28" s="19">
        <v>54000.72</v>
      </c>
      <c r="C28" s="19">
        <v>58824.73066107092</v>
      </c>
      <c r="D28" s="19">
        <v>3338.8843999999999</v>
      </c>
      <c r="E28" s="19">
        <v>4503.8235458975796</v>
      </c>
      <c r="F28" s="19">
        <v>31647.371039999998</v>
      </c>
      <c r="G28" s="19">
        <v>27990.245954646816</v>
      </c>
      <c r="H28" s="20">
        <v>0.10444700254975081</v>
      </c>
      <c r="I28" s="20">
        <v>-0.11555857454102081</v>
      </c>
      <c r="J28" s="20">
        <v>2.6204112569120364E-2</v>
      </c>
    </row>
    <row r="29" spans="1:10" ht="11.25" customHeight="1" x14ac:dyDescent="0.2">
      <c r="A29" s="29">
        <v>44593</v>
      </c>
      <c r="B29" s="19">
        <v>47793</v>
      </c>
      <c r="C29" s="19">
        <v>52062.460509499921</v>
      </c>
      <c r="D29" s="19">
        <v>3113.3611999999998</v>
      </c>
      <c r="E29" s="19">
        <v>4199.6151407469943</v>
      </c>
      <c r="F29" s="19">
        <v>29509.765919999998</v>
      </c>
      <c r="G29" s="19">
        <v>26099.659435245601</v>
      </c>
      <c r="H29" s="20">
        <v>0.10520717497771015</v>
      </c>
      <c r="I29" s="20">
        <v>-0.11555857454102081</v>
      </c>
      <c r="J29" s="20">
        <v>2.4194251018694546E-2</v>
      </c>
    </row>
    <row r="30" spans="1:10" ht="11.25" customHeight="1" x14ac:dyDescent="0.2">
      <c r="A30" s="29">
        <v>44621</v>
      </c>
      <c r="B30" s="19">
        <v>39394.32</v>
      </c>
      <c r="C30" s="19">
        <v>42913.506775021509</v>
      </c>
      <c r="D30" s="19">
        <v>2615.1630000000005</v>
      </c>
      <c r="E30" s="19">
        <v>3527.5952338332386</v>
      </c>
      <c r="F30" s="19">
        <v>24787.630800000003</v>
      </c>
      <c r="G30" s="19">
        <v>21923.207518502895</v>
      </c>
      <c r="H30" s="20">
        <v>0.10549091996335069</v>
      </c>
      <c r="I30" s="20">
        <v>-0.11555857454102092</v>
      </c>
      <c r="J30" s="20">
        <v>2.346202759673166E-2</v>
      </c>
    </row>
    <row r="31" spans="1:10" ht="11.25" customHeight="1" x14ac:dyDescent="0.2">
      <c r="A31" s="29">
        <v>44652</v>
      </c>
      <c r="B31" s="19">
        <v>38621.040000000001</v>
      </c>
      <c r="C31" s="19">
        <v>42071.147863407125</v>
      </c>
      <c r="D31" s="19">
        <v>3516.3748500000002</v>
      </c>
      <c r="E31" s="19">
        <v>4743.2405403529601</v>
      </c>
      <c r="F31" s="19">
        <v>33329.701259999994</v>
      </c>
      <c r="G31" s="19">
        <v>29478.168492516332</v>
      </c>
      <c r="H31" s="20">
        <v>0.11099336706841401</v>
      </c>
      <c r="I31" s="20">
        <v>-0.1155585745410207</v>
      </c>
      <c r="J31" s="20">
        <v>1.0937754466107785E-2</v>
      </c>
    </row>
    <row r="32" spans="1:10" ht="11.25" customHeight="1" x14ac:dyDescent="0.2">
      <c r="A32" s="29">
        <v>44682</v>
      </c>
      <c r="B32" s="19">
        <v>56385</v>
      </c>
      <c r="C32" s="19">
        <v>61422.003971881932</v>
      </c>
      <c r="D32" s="19">
        <v>3560.6321000000003</v>
      </c>
      <c r="E32" s="19">
        <v>4802.9391764083675</v>
      </c>
      <c r="F32" s="19">
        <v>33749.190360000001</v>
      </c>
      <c r="G32" s="19">
        <v>29849.182030084838</v>
      </c>
      <c r="H32" s="20">
        <v>0.10475010152224762</v>
      </c>
      <c r="I32" s="20">
        <v>-0.11555857454102092</v>
      </c>
      <c r="J32" s="20">
        <v>2.5394175002475761E-2</v>
      </c>
    </row>
    <row r="33" spans="1:10" ht="11.25" customHeight="1" x14ac:dyDescent="0.2">
      <c r="A33" s="29">
        <v>44713</v>
      </c>
      <c r="B33" s="19">
        <v>49275.12</v>
      </c>
      <c r="C33" s="19">
        <v>53676.981756760819</v>
      </c>
      <c r="D33" s="19">
        <v>4699.1970500000007</v>
      </c>
      <c r="E33" s="19">
        <v>6338.7502486167077</v>
      </c>
      <c r="F33" s="19">
        <v>44540.994780000001</v>
      </c>
      <c r="G33" s="19">
        <v>39393.900914584148</v>
      </c>
      <c r="H33" s="20">
        <v>0.11193129039096417</v>
      </c>
      <c r="I33" s="20">
        <v>-0.11555857454102092</v>
      </c>
      <c r="J33" s="20">
        <v>9.0779907544211724E-3</v>
      </c>
    </row>
    <row r="34" spans="1:10" ht="11.25" customHeight="1" x14ac:dyDescent="0.2">
      <c r="A34" s="29">
        <v>44743</v>
      </c>
      <c r="B34" s="19">
        <v>49275.12</v>
      </c>
      <c r="C34" s="19">
        <v>53676.981756760819</v>
      </c>
      <c r="D34" s="19">
        <v>4699.1970500000007</v>
      </c>
      <c r="E34" s="19">
        <v>6338.7502486167077</v>
      </c>
      <c r="F34" s="19">
        <v>44540.994780000001</v>
      </c>
      <c r="G34" s="19">
        <v>39393.900914584148</v>
      </c>
      <c r="H34" s="20">
        <v>0.11193129039096417</v>
      </c>
      <c r="I34" s="20">
        <v>-0.11555857454102092</v>
      </c>
      <c r="J34" s="20">
        <v>9.0779907544211724E-3</v>
      </c>
    </row>
    <row r="35" spans="1:10" ht="11.25" customHeight="1" x14ac:dyDescent="0.2">
      <c r="A35" s="24" t="s">
        <v>45</v>
      </c>
      <c r="B35" s="19">
        <v>211811.62560000003</v>
      </c>
      <c r="C35" s="19">
        <v>230045.76128860889</v>
      </c>
      <c r="D35" s="19">
        <v>182262.01080000002</v>
      </c>
      <c r="E35" s="19">
        <v>245853.3562179268</v>
      </c>
      <c r="F35" s="19">
        <v>1056172.7661120002</v>
      </c>
      <c r="G35" s="19">
        <v>976530.28944286029</v>
      </c>
      <c r="H35" s="20">
        <v>0.2076400792857902</v>
      </c>
      <c r="I35" s="20">
        <v>-7.5406675143045998E-2</v>
      </c>
      <c r="J35" s="20">
        <v>1.5052645078894589E-3</v>
      </c>
    </row>
    <row r="36" spans="1:10" ht="11.25" customHeight="1" x14ac:dyDescent="0.2">
      <c r="A36" s="25" t="s">
        <v>25</v>
      </c>
      <c r="B36" s="19">
        <v>211811.62560000003</v>
      </c>
      <c r="C36" s="19">
        <v>230045.76128860889</v>
      </c>
      <c r="D36" s="19">
        <v>182262.01080000002</v>
      </c>
      <c r="E36" s="19">
        <v>245853.3562179268</v>
      </c>
      <c r="F36" s="19">
        <v>1056172.7661120002</v>
      </c>
      <c r="G36" s="19">
        <v>976530.28944286029</v>
      </c>
      <c r="H36" s="20">
        <v>0.2076400792857902</v>
      </c>
      <c r="I36" s="20">
        <v>-7.5406675143045998E-2</v>
      </c>
      <c r="J36" s="20">
        <v>1.5052645078894589E-3</v>
      </c>
    </row>
    <row r="37" spans="1:10" ht="11.25" customHeight="1" x14ac:dyDescent="0.2">
      <c r="A37" s="26" t="s">
        <v>25</v>
      </c>
      <c r="B37" s="19">
        <v>211811.62560000003</v>
      </c>
      <c r="C37" s="19">
        <v>230045.76128860889</v>
      </c>
      <c r="D37" s="19">
        <v>182262.01080000002</v>
      </c>
      <c r="E37" s="19">
        <v>245853.3562179268</v>
      </c>
      <c r="F37" s="19">
        <v>1056172.7661120002</v>
      </c>
      <c r="G37" s="19">
        <v>976530.28944286029</v>
      </c>
      <c r="H37" s="20">
        <v>0.2076400792857902</v>
      </c>
      <c r="I37" s="20">
        <v>-7.5406675143045998E-2</v>
      </c>
      <c r="J37" s="20">
        <v>1.5052645078894589E-3</v>
      </c>
    </row>
    <row r="38" spans="1:10" ht="11.25" customHeight="1" x14ac:dyDescent="0.2">
      <c r="A38" s="27" t="s">
        <v>25</v>
      </c>
      <c r="B38" s="19">
        <v>211811.62560000003</v>
      </c>
      <c r="C38" s="19">
        <v>230045.76128860889</v>
      </c>
      <c r="D38" s="19">
        <v>182262.01080000002</v>
      </c>
      <c r="E38" s="19">
        <v>245853.3562179268</v>
      </c>
      <c r="F38" s="19">
        <v>1056172.7661120002</v>
      </c>
      <c r="G38" s="19">
        <v>976530.28944286029</v>
      </c>
      <c r="H38" s="20">
        <v>0.2076400792857902</v>
      </c>
      <c r="I38" s="20">
        <v>-7.5406675143045998E-2</v>
      </c>
      <c r="J38" s="20">
        <v>1.5052645078894589E-3</v>
      </c>
    </row>
    <row r="39" spans="1:10" ht="11.25" customHeight="1" x14ac:dyDescent="0.2">
      <c r="A39" s="28" t="s">
        <v>35</v>
      </c>
      <c r="B39" s="19">
        <v>176364.47039999999</v>
      </c>
      <c r="C39" s="19">
        <v>191432.0287802057</v>
      </c>
      <c r="D39" s="19">
        <v>181941.68731200002</v>
      </c>
      <c r="E39" s="19">
        <v>245421.27163675398</v>
      </c>
      <c r="F39" s="19">
        <v>1053136.6034112002</v>
      </c>
      <c r="G39" s="19">
        <v>973844.98137583956</v>
      </c>
      <c r="H39" s="20">
        <v>0.21921795373691122</v>
      </c>
      <c r="I39" s="20">
        <v>-7.5290918365697568E-2</v>
      </c>
      <c r="J39" s="20">
        <v>-5.2745980985335894E-4</v>
      </c>
    </row>
    <row r="40" spans="1:10" ht="11.25" customHeight="1" x14ac:dyDescent="0.2">
      <c r="A40" s="29">
        <v>44409</v>
      </c>
      <c r="B40" s="19">
        <v>14637.168000000001</v>
      </c>
      <c r="C40" s="19">
        <v>15887.682816621922</v>
      </c>
      <c r="D40" s="19">
        <v>19028.52</v>
      </c>
      <c r="E40" s="19">
        <v>25667.584184580639</v>
      </c>
      <c r="F40" s="19">
        <v>110143.152</v>
      </c>
      <c r="G40" s="19">
        <v>101850.37293422742</v>
      </c>
      <c r="H40" s="20">
        <v>0.23435074314247073</v>
      </c>
      <c r="I40" s="20">
        <v>-7.5290918365697235E-2</v>
      </c>
      <c r="J40" s="20">
        <v>-2.8037223898755848E-3</v>
      </c>
    </row>
    <row r="41" spans="1:10" ht="11.25" customHeight="1" x14ac:dyDescent="0.2">
      <c r="A41" s="29">
        <v>44440</v>
      </c>
      <c r="B41" s="19">
        <v>15012.48</v>
      </c>
      <c r="C41" s="19">
        <v>16295.059299099406</v>
      </c>
      <c r="D41" s="19">
        <v>24948.504000000004</v>
      </c>
      <c r="E41" s="19">
        <v>33653.054819783501</v>
      </c>
      <c r="F41" s="19">
        <v>144409.91039999999</v>
      </c>
      <c r="G41" s="19">
        <v>133537.15562487594</v>
      </c>
      <c r="H41" s="20">
        <v>0.24992202691712739</v>
      </c>
      <c r="I41" s="20">
        <v>-7.5290918365697235E-2</v>
      </c>
      <c r="J41" s="20">
        <v>-4.8034949286505091E-3</v>
      </c>
    </row>
    <row r="42" spans="1:10" ht="11.25" customHeight="1" x14ac:dyDescent="0.2">
      <c r="A42" s="29">
        <v>44470</v>
      </c>
      <c r="B42" s="19">
        <v>14637.168000000001</v>
      </c>
      <c r="C42" s="19">
        <v>15887.682816621922</v>
      </c>
      <c r="D42" s="19">
        <v>27203.736000000004</v>
      </c>
      <c r="E42" s="19">
        <v>36695.13887128936</v>
      </c>
      <c r="F42" s="19">
        <v>157463.9136</v>
      </c>
      <c r="G42" s="19">
        <v>145608.31093559921</v>
      </c>
      <c r="H42" s="20">
        <v>0.25673244746125157</v>
      </c>
      <c r="I42" s="20">
        <v>-7.5290918365697235E-2</v>
      </c>
      <c r="J42" s="20">
        <v>-5.5878477494941681E-3</v>
      </c>
    </row>
    <row r="43" spans="1:10" ht="11.25" customHeight="1" x14ac:dyDescent="0.2">
      <c r="A43" s="29">
        <v>44501</v>
      </c>
      <c r="B43" s="19">
        <v>14637.168000000001</v>
      </c>
      <c r="C43" s="19">
        <v>15887.682816621922</v>
      </c>
      <c r="D43" s="19">
        <v>26921.832000000002</v>
      </c>
      <c r="E43" s="19">
        <v>36314.878364851123</v>
      </c>
      <c r="F43" s="19">
        <v>155832.16319999998</v>
      </c>
      <c r="G43" s="19">
        <v>144099.41652175877</v>
      </c>
      <c r="H43" s="20">
        <v>0.2561072494880301</v>
      </c>
      <c r="I43" s="20">
        <v>-7.5290918365697235E-2</v>
      </c>
      <c r="J43" s="20">
        <v>-5.5179040394254253E-3</v>
      </c>
    </row>
    <row r="44" spans="1:10" ht="11.25" customHeight="1" x14ac:dyDescent="0.2">
      <c r="A44" s="29">
        <v>44531</v>
      </c>
      <c r="B44" s="19">
        <v>14637.168000000001</v>
      </c>
      <c r="C44" s="19">
        <v>15887.682816621922</v>
      </c>
      <c r="D44" s="19">
        <v>23116.128000000001</v>
      </c>
      <c r="E44" s="19">
        <v>31181.361527934994</v>
      </c>
      <c r="F44" s="19">
        <v>133803.53279999999</v>
      </c>
      <c r="G44" s="19">
        <v>123729.34193491329</v>
      </c>
      <c r="H44" s="20">
        <v>0.24675324624787498</v>
      </c>
      <c r="I44" s="20">
        <v>-7.5290918365697235E-2</v>
      </c>
      <c r="J44" s="20">
        <v>-4.4209404302639754E-3</v>
      </c>
    </row>
    <row r="45" spans="1:10" ht="11.25" customHeight="1" x14ac:dyDescent="0.2">
      <c r="A45" s="29">
        <v>44562</v>
      </c>
      <c r="B45" s="19">
        <v>14712.230399999999</v>
      </c>
      <c r="C45" s="19">
        <v>15969.158113117417</v>
      </c>
      <c r="D45" s="19">
        <v>6191.1353760000002</v>
      </c>
      <c r="E45" s="19">
        <v>8351.2269194669516</v>
      </c>
      <c r="F45" s="19">
        <v>35836.269177599999</v>
      </c>
      <c r="G45" s="19">
        <v>33138.123560418164</v>
      </c>
      <c r="H45" s="20">
        <v>0.16346741922813157</v>
      </c>
      <c r="I45" s="20">
        <v>-7.5290918365697235E-2</v>
      </c>
      <c r="J45" s="20">
        <v>1.2669690948671208E-2</v>
      </c>
    </row>
    <row r="46" spans="1:10" ht="11.25" customHeight="1" x14ac:dyDescent="0.2">
      <c r="A46" s="29">
        <v>44593</v>
      </c>
      <c r="B46" s="19">
        <v>14798.016</v>
      </c>
      <c r="C46" s="19">
        <v>16062.272737683699</v>
      </c>
      <c r="D46" s="19">
        <v>12242.688</v>
      </c>
      <c r="E46" s="19">
        <v>16514.170565317487</v>
      </c>
      <c r="F46" s="19">
        <v>70864.588799999998</v>
      </c>
      <c r="G46" s="19">
        <v>65529.128829640489</v>
      </c>
      <c r="H46" s="20">
        <v>0.20471875669365658</v>
      </c>
      <c r="I46" s="20">
        <v>-7.5290918365697346E-2</v>
      </c>
      <c r="J46" s="20">
        <v>2.0456435695546116E-3</v>
      </c>
    </row>
    <row r="47" spans="1:10" ht="11.25" customHeight="1" x14ac:dyDescent="0.2">
      <c r="A47" s="29">
        <v>44621</v>
      </c>
      <c r="B47" s="19">
        <v>14712.230399999999</v>
      </c>
      <c r="C47" s="19">
        <v>15969.158113117417</v>
      </c>
      <c r="D47" s="19">
        <v>8793.8744640000004</v>
      </c>
      <c r="E47" s="19">
        <v>11862.063529552164</v>
      </c>
      <c r="F47" s="19">
        <v>50901.754406400003</v>
      </c>
      <c r="G47" s="19">
        <v>47069.314570716968</v>
      </c>
      <c r="H47" s="20">
        <v>0.18399972278238108</v>
      </c>
      <c r="I47" s="20">
        <v>-7.5290918365697346E-2</v>
      </c>
      <c r="J47" s="20">
        <v>6.6213024782253438E-3</v>
      </c>
    </row>
    <row r="48" spans="1:10" ht="11.25" customHeight="1" x14ac:dyDescent="0.2">
      <c r="A48" s="29">
        <v>44652</v>
      </c>
      <c r="B48" s="19">
        <v>14615.721600000001</v>
      </c>
      <c r="C48" s="19">
        <v>15864.40416048035</v>
      </c>
      <c r="D48" s="19">
        <v>7273.0426560000005</v>
      </c>
      <c r="E48" s="19">
        <v>9810.6124202473948</v>
      </c>
      <c r="F48" s="19">
        <v>42098.6941056</v>
      </c>
      <c r="G48" s="19">
        <v>38929.044764392806</v>
      </c>
      <c r="H48" s="20">
        <v>0.17297697944231283</v>
      </c>
      <c r="I48" s="20">
        <v>-7.5290918365697346E-2</v>
      </c>
      <c r="J48" s="20">
        <v>9.6363099786844764E-3</v>
      </c>
    </row>
    <row r="49" spans="1:10" ht="11.25" customHeight="1" x14ac:dyDescent="0.2">
      <c r="A49" s="29">
        <v>44682</v>
      </c>
      <c r="B49" s="19">
        <v>14733.676799999999</v>
      </c>
      <c r="C49" s="19">
        <v>15992.436769258988</v>
      </c>
      <c r="D49" s="19">
        <v>10227.316032000001</v>
      </c>
      <c r="E49" s="19">
        <v>13795.63388186108</v>
      </c>
      <c r="F49" s="19">
        <v>59198.972083200002</v>
      </c>
      <c r="G49" s="19">
        <v>54741.8271087506</v>
      </c>
      <c r="H49" s="20">
        <v>0.19338484857588489</v>
      </c>
      <c r="I49" s="20">
        <v>-7.5290918365697235E-2</v>
      </c>
      <c r="J49" s="20">
        <v>4.3955917168383429E-3</v>
      </c>
    </row>
    <row r="50" spans="1:10" ht="11.25" customHeight="1" x14ac:dyDescent="0.2">
      <c r="A50" s="29">
        <v>44713</v>
      </c>
      <c r="B50" s="19">
        <v>14615.721600000001</v>
      </c>
      <c r="C50" s="19">
        <v>15864.40416048035</v>
      </c>
      <c r="D50" s="19">
        <v>7997.4553920000008</v>
      </c>
      <c r="E50" s="19">
        <v>10787.773275934667</v>
      </c>
      <c r="F50" s="19">
        <v>46291.826419199999</v>
      </c>
      <c r="G50" s="19">
        <v>42806.472295272986</v>
      </c>
      <c r="H50" s="20">
        <v>0.17861269320290196</v>
      </c>
      <c r="I50" s="20">
        <v>-7.5290918365697235E-2</v>
      </c>
      <c r="J50" s="20">
        <v>8.0349218936111022E-3</v>
      </c>
    </row>
    <row r="51" spans="1:10" ht="11.25" customHeight="1" x14ac:dyDescent="0.2">
      <c r="A51" s="29">
        <v>44743</v>
      </c>
      <c r="B51" s="19">
        <v>14615.721600000001</v>
      </c>
      <c r="C51" s="19">
        <v>15864.40416048035</v>
      </c>
      <c r="D51" s="19">
        <v>7997.4553920000008</v>
      </c>
      <c r="E51" s="19">
        <v>10787.773275934667</v>
      </c>
      <c r="F51" s="19">
        <v>46291.826419199999</v>
      </c>
      <c r="G51" s="19">
        <v>42806.472295272986</v>
      </c>
      <c r="H51" s="20">
        <v>0.17861269320290196</v>
      </c>
      <c r="I51" s="20">
        <v>-7.5290918365697235E-2</v>
      </c>
      <c r="J51" s="20">
        <v>8.0349218936111022E-3</v>
      </c>
    </row>
    <row r="52" spans="1:10" ht="11.25" customHeight="1" x14ac:dyDescent="0.2">
      <c r="A52" s="28" t="s">
        <v>34</v>
      </c>
      <c r="B52" s="19">
        <v>35447.155200000008</v>
      </c>
      <c r="C52" s="19">
        <v>38613.732508403213</v>
      </c>
      <c r="D52" s="19">
        <v>320.323488</v>
      </c>
      <c r="E52" s="19">
        <v>432.0845811728135</v>
      </c>
      <c r="F52" s="19">
        <v>3036.1627008</v>
      </c>
      <c r="G52" s="19">
        <v>2685.3080670209356</v>
      </c>
      <c r="H52" s="20">
        <v>9.1656961067146714E-2</v>
      </c>
      <c r="I52" s="20">
        <v>-0.11555857454102103</v>
      </c>
      <c r="J52" s="20">
        <v>7.544353217948041E-2</v>
      </c>
    </row>
    <row r="53" spans="1:10" ht="11.25" customHeight="1" x14ac:dyDescent="0.2">
      <c r="A53" s="29">
        <v>44409</v>
      </c>
      <c r="B53" s="19">
        <v>494.89920000000001</v>
      </c>
      <c r="C53" s="19">
        <v>539.10970343320366</v>
      </c>
      <c r="D53" s="19">
        <v>0</v>
      </c>
      <c r="E53" s="19">
        <v>0</v>
      </c>
      <c r="F53" s="19">
        <v>0</v>
      </c>
      <c r="G53" s="19">
        <v>0</v>
      </c>
      <c r="H53" s="20">
        <v>8.9332339662710369E-2</v>
      </c>
      <c r="I53" s="20">
        <v>0</v>
      </c>
      <c r="J53" s="20">
        <v>8.9332339662710369E-2</v>
      </c>
    </row>
    <row r="54" spans="1:10" ht="11.25" customHeight="1" x14ac:dyDescent="0.2">
      <c r="A54" s="29">
        <v>44440</v>
      </c>
      <c r="B54" s="19">
        <v>721.72800000000007</v>
      </c>
      <c r="C54" s="19">
        <v>786.20165084008875</v>
      </c>
      <c r="D54" s="19">
        <v>140.952</v>
      </c>
      <c r="E54" s="19">
        <v>190.13025321911581</v>
      </c>
      <c r="F54" s="19">
        <v>1336.0031999999999</v>
      </c>
      <c r="G54" s="19">
        <v>1181.6165746257575</v>
      </c>
      <c r="H54" s="20">
        <v>0.13174282939120485</v>
      </c>
      <c r="I54" s="20">
        <v>-0.11555857454102081</v>
      </c>
      <c r="J54" s="20">
        <v>-1.8526871590703875E-2</v>
      </c>
    </row>
    <row r="55" spans="1:10" ht="11.25" customHeight="1" x14ac:dyDescent="0.2">
      <c r="A55" s="29">
        <v>44470</v>
      </c>
      <c r="B55" s="19">
        <v>2165.1840000000002</v>
      </c>
      <c r="C55" s="19">
        <v>2358.6049525202661</v>
      </c>
      <c r="D55" s="19">
        <v>0</v>
      </c>
      <c r="E55" s="19">
        <v>0</v>
      </c>
      <c r="F55" s="19">
        <v>0</v>
      </c>
      <c r="G55" s="19">
        <v>0</v>
      </c>
      <c r="H55" s="20">
        <v>8.9332339662710369E-2</v>
      </c>
      <c r="I55" s="20">
        <v>0</v>
      </c>
      <c r="J55" s="20">
        <v>8.9332339662710369E-2</v>
      </c>
    </row>
    <row r="56" spans="1:10" ht="11.25" customHeight="1" x14ac:dyDescent="0.2">
      <c r="A56" s="29">
        <v>44501</v>
      </c>
      <c r="B56" s="19">
        <v>2886.9120000000003</v>
      </c>
      <c r="C56" s="19">
        <v>3144.806603360355</v>
      </c>
      <c r="D56" s="19">
        <v>0</v>
      </c>
      <c r="E56" s="19">
        <v>0</v>
      </c>
      <c r="F56" s="19">
        <v>0</v>
      </c>
      <c r="G56" s="19">
        <v>0</v>
      </c>
      <c r="H56" s="20">
        <v>8.9332339662710369E-2</v>
      </c>
      <c r="I56" s="20">
        <v>0</v>
      </c>
      <c r="J56" s="20">
        <v>8.9332339662710369E-2</v>
      </c>
    </row>
    <row r="57" spans="1:10" ht="11.25" customHeight="1" x14ac:dyDescent="0.2">
      <c r="A57" s="29">
        <v>44531</v>
      </c>
      <c r="B57" s="19">
        <v>4330.3680000000004</v>
      </c>
      <c r="C57" s="19">
        <v>4717.2099050405322</v>
      </c>
      <c r="D57" s="19">
        <v>0</v>
      </c>
      <c r="E57" s="19">
        <v>0</v>
      </c>
      <c r="F57" s="19">
        <v>0</v>
      </c>
      <c r="G57" s="19">
        <v>0</v>
      </c>
      <c r="H57" s="20">
        <v>8.9332339662710369E-2</v>
      </c>
      <c r="I57" s="20">
        <v>0</v>
      </c>
      <c r="J57" s="20">
        <v>8.9332339662710369E-2</v>
      </c>
    </row>
    <row r="58" spans="1:10" ht="11.25" customHeight="1" x14ac:dyDescent="0.2">
      <c r="A58" s="29">
        <v>44562</v>
      </c>
      <c r="B58" s="19">
        <v>433.03680000000003</v>
      </c>
      <c r="C58" s="19">
        <v>471.72099050405325</v>
      </c>
      <c r="D58" s="19">
        <v>40.876080000000002</v>
      </c>
      <c r="E58" s="19">
        <v>55.137773433543593</v>
      </c>
      <c r="F58" s="19">
        <v>387.44092800000004</v>
      </c>
      <c r="G58" s="19">
        <v>342.6688066414697</v>
      </c>
      <c r="H58" s="20">
        <v>0.11172071106739434</v>
      </c>
      <c r="I58" s="20">
        <v>-0.11555857454102092</v>
      </c>
      <c r="J58" s="20">
        <v>9.4894368645623839E-3</v>
      </c>
    </row>
    <row r="59" spans="1:10" ht="11.25" customHeight="1" x14ac:dyDescent="0.2">
      <c r="A59" s="29">
        <v>44593</v>
      </c>
      <c r="B59" s="19">
        <v>433.03680000000003</v>
      </c>
      <c r="C59" s="19">
        <v>471.72099050405325</v>
      </c>
      <c r="D59" s="19">
        <v>18.364032000000002</v>
      </c>
      <c r="E59" s="19">
        <v>24.771255847976235</v>
      </c>
      <c r="F59" s="19">
        <v>174.06213119999998</v>
      </c>
      <c r="G59" s="19">
        <v>153.94775943695583</v>
      </c>
      <c r="H59" s="20">
        <v>9.9892182635652471E-2</v>
      </c>
      <c r="I59" s="20">
        <v>-0.11555857454102081</v>
      </c>
      <c r="J59" s="20">
        <v>3.993368761788485E-2</v>
      </c>
    </row>
    <row r="60" spans="1:10" ht="11.25" customHeight="1" x14ac:dyDescent="0.2">
      <c r="A60" s="29">
        <v>44621</v>
      </c>
      <c r="B60" s="19">
        <v>3979.8144000000002</v>
      </c>
      <c r="C60" s="19">
        <v>4335.3405317753459</v>
      </c>
      <c r="D60" s="19">
        <v>22.632864000000001</v>
      </c>
      <c r="E60" s="19">
        <v>30.529486374040886</v>
      </c>
      <c r="F60" s="19">
        <v>214.52394240000001</v>
      </c>
      <c r="G60" s="19">
        <v>189.73386141133594</v>
      </c>
      <c r="H60" s="20">
        <v>9.0800135561607931E-2</v>
      </c>
      <c r="I60" s="20">
        <v>-0.11555857454102092</v>
      </c>
      <c r="J60" s="20">
        <v>8.0302344167488604E-2</v>
      </c>
    </row>
    <row r="61" spans="1:10" ht="11.25" customHeight="1" x14ac:dyDescent="0.2">
      <c r="A61" s="29">
        <v>44652</v>
      </c>
      <c r="B61" s="19">
        <v>3917.9520000000002</v>
      </c>
      <c r="C61" s="19">
        <v>4267.9518188461961</v>
      </c>
      <c r="D61" s="19">
        <v>19.250016000000002</v>
      </c>
      <c r="E61" s="19">
        <v>25.966360296782106</v>
      </c>
      <c r="F61" s="19">
        <v>182.4598656</v>
      </c>
      <c r="G61" s="19">
        <v>161.37506362031775</v>
      </c>
      <c r="H61" s="20">
        <v>9.0601437694422415E-2</v>
      </c>
      <c r="I61" s="20">
        <v>-0.11555857454102092</v>
      </c>
      <c r="J61" s="20">
        <v>8.1470608707562953E-2</v>
      </c>
    </row>
    <row r="62" spans="1:10" ht="11.25" customHeight="1" x14ac:dyDescent="0.2">
      <c r="A62" s="29">
        <v>44682</v>
      </c>
      <c r="B62" s="19">
        <v>7794.6624000000002</v>
      </c>
      <c r="C62" s="19">
        <v>8490.9778290729573</v>
      </c>
      <c r="D62" s="19">
        <v>32.741135999999997</v>
      </c>
      <c r="E62" s="19">
        <v>44.164541676326046</v>
      </c>
      <c r="F62" s="19">
        <v>310.33445760000001</v>
      </c>
      <c r="G62" s="19">
        <v>274.47265004878312</v>
      </c>
      <c r="H62" s="20">
        <v>9.0418084553100186E-2</v>
      </c>
      <c r="I62" s="20">
        <v>-0.11555857454102092</v>
      </c>
      <c r="J62" s="20">
        <v>8.2563118611888253E-2</v>
      </c>
    </row>
    <row r="63" spans="1:10" ht="11.25" customHeight="1" x14ac:dyDescent="0.2">
      <c r="A63" s="29">
        <v>44713</v>
      </c>
      <c r="B63" s="19">
        <v>4144.7808000000005</v>
      </c>
      <c r="C63" s="19">
        <v>4515.0437662530812</v>
      </c>
      <c r="D63" s="19">
        <v>22.753680000000003</v>
      </c>
      <c r="E63" s="19">
        <v>30.692455162514413</v>
      </c>
      <c r="F63" s="19">
        <v>215.66908799999999</v>
      </c>
      <c r="G63" s="19">
        <v>190.74667561815801</v>
      </c>
      <c r="H63" s="20">
        <v>9.0749517065926044E-2</v>
      </c>
      <c r="I63" s="20">
        <v>-0.11555857454102081</v>
      </c>
      <c r="J63" s="20">
        <v>8.0598430703265445E-2</v>
      </c>
    </row>
    <row r="64" spans="1:10" ht="11.25" customHeight="1" x14ac:dyDescent="0.2">
      <c r="A64" s="29">
        <v>44743</v>
      </c>
      <c r="B64" s="19">
        <v>4144.7808000000005</v>
      </c>
      <c r="C64" s="19">
        <v>4515.0437662530812</v>
      </c>
      <c r="D64" s="19">
        <v>22.753680000000003</v>
      </c>
      <c r="E64" s="19">
        <v>30.692455162514413</v>
      </c>
      <c r="F64" s="19">
        <v>215.66908799999999</v>
      </c>
      <c r="G64" s="19">
        <v>190.74667561815801</v>
      </c>
      <c r="H64" s="20">
        <v>9.0749517065926044E-2</v>
      </c>
      <c r="I64" s="20">
        <v>-0.11555857454102081</v>
      </c>
      <c r="J64" s="20">
        <v>8.0598430703265445E-2</v>
      </c>
    </row>
    <row r="65" spans="1:10" ht="11.25" customHeight="1" x14ac:dyDescent="0.2">
      <c r="A65" s="24" t="s">
        <v>50</v>
      </c>
      <c r="B65" s="19">
        <v>3205862.4310000003</v>
      </c>
      <c r="C65" s="19">
        <v>3487707.5787513587</v>
      </c>
      <c r="D65" s="19">
        <v>2898497.3095810004</v>
      </c>
      <c r="E65" s="19">
        <v>3909785.0858842824</v>
      </c>
      <c r="F65" s="19">
        <v>17680829.645919599</v>
      </c>
      <c r="G65" s="19">
        <v>16256183.4162436</v>
      </c>
      <c r="H65" s="20">
        <v>0.21183760115873573</v>
      </c>
      <c r="I65" s="20">
        <v>-8.0575756805890575E-2</v>
      </c>
      <c r="J65" s="20">
        <v>-5.5292099417125762E-3</v>
      </c>
    </row>
    <row r="66" spans="1:10" ht="11.25" customHeight="1" x14ac:dyDescent="0.2">
      <c r="A66" s="25" t="s">
        <v>51</v>
      </c>
      <c r="B66" s="19">
        <v>3205862.4310000003</v>
      </c>
      <c r="C66" s="19">
        <v>3487707.5787513587</v>
      </c>
      <c r="D66" s="19">
        <v>2898497.3095810004</v>
      </c>
      <c r="E66" s="19">
        <v>3909785.0858842824</v>
      </c>
      <c r="F66" s="19">
        <v>17680829.645919599</v>
      </c>
      <c r="G66" s="19">
        <v>16256183.4162436</v>
      </c>
      <c r="H66" s="20">
        <v>0.21183760115873573</v>
      </c>
      <c r="I66" s="20">
        <v>-8.0575756805890575E-2</v>
      </c>
      <c r="J66" s="20">
        <v>-5.5292099417125762E-3</v>
      </c>
    </row>
    <row r="67" spans="1:10" ht="11.25" customHeight="1" x14ac:dyDescent="0.2">
      <c r="A67" s="26" t="s">
        <v>25</v>
      </c>
      <c r="B67" s="19">
        <v>3205862.4310000003</v>
      </c>
      <c r="C67" s="19">
        <v>3487707.5787513587</v>
      </c>
      <c r="D67" s="19">
        <v>2898497.3095810004</v>
      </c>
      <c r="E67" s="19">
        <v>3909785.0858842824</v>
      </c>
      <c r="F67" s="19">
        <v>17680829.645919599</v>
      </c>
      <c r="G67" s="19">
        <v>16256183.4162436</v>
      </c>
      <c r="H67" s="20">
        <v>0.21183760115873573</v>
      </c>
      <c r="I67" s="20">
        <v>-8.0575756805890575E-2</v>
      </c>
      <c r="J67" s="20">
        <v>-5.5292099417125762E-3</v>
      </c>
    </row>
    <row r="68" spans="1:10" ht="11.25" customHeight="1" x14ac:dyDescent="0.2">
      <c r="A68" s="27" t="s">
        <v>25</v>
      </c>
      <c r="B68" s="19">
        <v>3205862.4310000003</v>
      </c>
      <c r="C68" s="19">
        <v>3487707.5787513587</v>
      </c>
      <c r="D68" s="19">
        <v>2898497.3095810004</v>
      </c>
      <c r="E68" s="19">
        <v>3909785.0858842824</v>
      </c>
      <c r="F68" s="19">
        <v>17680829.645919599</v>
      </c>
      <c r="G68" s="19">
        <v>16256183.4162436</v>
      </c>
      <c r="H68" s="20">
        <v>0.21183760115873573</v>
      </c>
      <c r="I68" s="20">
        <v>-8.0575756805890575E-2</v>
      </c>
      <c r="J68" s="20">
        <v>-5.5292099417125762E-3</v>
      </c>
    </row>
    <row r="69" spans="1:10" ht="11.25" customHeight="1" x14ac:dyDescent="0.2">
      <c r="A69" s="28" t="s">
        <v>35</v>
      </c>
      <c r="B69" s="19">
        <v>1165184.0290000001</v>
      </c>
      <c r="C69" s="19">
        <v>1264730.6006015372</v>
      </c>
      <c r="D69" s="19">
        <v>2653680.2105250005</v>
      </c>
      <c r="E69" s="19">
        <v>3579551.1265514134</v>
      </c>
      <c r="F69" s="19">
        <v>15360348.71799</v>
      </c>
      <c r="G69" s="19">
        <v>14203853.956595171</v>
      </c>
      <c r="H69" s="20">
        <v>0.26851373165218728</v>
      </c>
      <c r="I69" s="20">
        <v>-7.5290918365697346E-2</v>
      </c>
      <c r="J69" s="20">
        <v>-6.8343405987115746E-3</v>
      </c>
    </row>
    <row r="70" spans="1:10" ht="11.25" customHeight="1" x14ac:dyDescent="0.2">
      <c r="A70" s="29">
        <v>44409</v>
      </c>
      <c r="B70" s="19">
        <v>95894.45</v>
      </c>
      <c r="C70" s="19">
        <v>104087.1161330122</v>
      </c>
      <c r="D70" s="19">
        <v>210217.32300000003</v>
      </c>
      <c r="E70" s="19">
        <v>283562.29676084529</v>
      </c>
      <c r="F70" s="19">
        <v>1216805.0148</v>
      </c>
      <c r="G70" s="19">
        <v>1125190.6477637221</v>
      </c>
      <c r="H70" s="20">
        <v>0.26636557978401365</v>
      </c>
      <c r="I70" s="20">
        <v>-7.5290918365697346E-2</v>
      </c>
      <c r="J70" s="20">
        <v>-6.6167286506686462E-3</v>
      </c>
    </row>
    <row r="71" spans="1:10" ht="11.25" customHeight="1" x14ac:dyDescent="0.2">
      <c r="A71" s="29">
        <v>44440</v>
      </c>
      <c r="B71" s="19">
        <v>95894.45</v>
      </c>
      <c r="C71" s="19">
        <v>104087.1161330122</v>
      </c>
      <c r="D71" s="19">
        <v>210177.89</v>
      </c>
      <c r="E71" s="19">
        <v>283509.10555905185</v>
      </c>
      <c r="F71" s="19">
        <v>1216576.764</v>
      </c>
      <c r="G71" s="19">
        <v>1124979.5821760718</v>
      </c>
      <c r="H71" s="20">
        <v>0.26635494632433643</v>
      </c>
      <c r="I71" s="20">
        <v>-7.5290918365697235E-2</v>
      </c>
      <c r="J71" s="20">
        <v>-6.6156411910016644E-3</v>
      </c>
    </row>
    <row r="72" spans="1:10" ht="11.25" customHeight="1" x14ac:dyDescent="0.2">
      <c r="A72" s="29">
        <v>44470</v>
      </c>
      <c r="B72" s="19">
        <v>96654.01</v>
      </c>
      <c r="C72" s="19">
        <v>104911.56853802616</v>
      </c>
      <c r="D72" s="19">
        <v>219523.511</v>
      </c>
      <c r="E72" s="19">
        <v>296115.42038409784</v>
      </c>
      <c r="F72" s="19">
        <v>1270672.2035999999</v>
      </c>
      <c r="G72" s="19">
        <v>1175002.1264491917</v>
      </c>
      <c r="H72" s="20">
        <v>0.26836021629167006</v>
      </c>
      <c r="I72" s="20">
        <v>-7.5290918365697235E-2</v>
      </c>
      <c r="J72" s="20">
        <v>-6.8189249813253028E-3</v>
      </c>
    </row>
    <row r="73" spans="1:10" ht="11.25" customHeight="1" x14ac:dyDescent="0.2">
      <c r="A73" s="29">
        <v>44501</v>
      </c>
      <c r="B73" s="19">
        <v>97413.569999999992</v>
      </c>
      <c r="C73" s="19">
        <v>105736.02094304012</v>
      </c>
      <c r="D73" s="19">
        <v>227962.17300000004</v>
      </c>
      <c r="E73" s="19">
        <v>307498.33756789472</v>
      </c>
      <c r="F73" s="19">
        <v>1319517.8748000001</v>
      </c>
      <c r="G73" s="19">
        <v>1220170.1622063548</v>
      </c>
      <c r="H73" s="20">
        <v>0.27002202039054546</v>
      </c>
      <c r="I73" s="20">
        <v>-7.5290918365697346E-2</v>
      </c>
      <c r="J73" s="20">
        <v>-6.9847052468211546E-3</v>
      </c>
    </row>
    <row r="74" spans="1:10" ht="11.25" customHeight="1" x14ac:dyDescent="0.2">
      <c r="A74" s="29">
        <v>44531</v>
      </c>
      <c r="B74" s="19">
        <v>96748.955000000002</v>
      </c>
      <c r="C74" s="19">
        <v>105014.6250886529</v>
      </c>
      <c r="D74" s="19">
        <v>236834.59800000003</v>
      </c>
      <c r="E74" s="19">
        <v>319466.35797141941</v>
      </c>
      <c r="F74" s="19">
        <v>1370874.3048</v>
      </c>
      <c r="G74" s="19">
        <v>1267659.9194276712</v>
      </c>
      <c r="H74" s="20">
        <v>0.2724877448021914</v>
      </c>
      <c r="I74" s="20">
        <v>-7.5290918365697235E-2</v>
      </c>
      <c r="J74" s="20">
        <v>-7.2263184776855116E-3</v>
      </c>
    </row>
    <row r="75" spans="1:10" ht="11.25" customHeight="1" x14ac:dyDescent="0.2">
      <c r="A75" s="29">
        <v>44562</v>
      </c>
      <c r="B75" s="19">
        <v>97347.108499999988</v>
      </c>
      <c r="C75" s="19">
        <v>105663.88135760139</v>
      </c>
      <c r="D75" s="19">
        <v>225757.04020700004</v>
      </c>
      <c r="E75" s="19">
        <v>304523.83237240359</v>
      </c>
      <c r="F75" s="19">
        <v>1306753.8618131999</v>
      </c>
      <c r="G75" s="19">
        <v>1208367.1634793628</v>
      </c>
      <c r="H75" s="20">
        <v>0.26952165539036388</v>
      </c>
      <c r="I75" s="20">
        <v>-7.5290918365697124E-2</v>
      </c>
      <c r="J75" s="20">
        <v>-6.9350417262573627E-3</v>
      </c>
    </row>
    <row r="76" spans="1:10" ht="11.25" customHeight="1" x14ac:dyDescent="0.2">
      <c r="A76" s="29">
        <v>44593</v>
      </c>
      <c r="B76" s="19">
        <v>97432.558999999994</v>
      </c>
      <c r="C76" s="19">
        <v>105756.63225316546</v>
      </c>
      <c r="D76" s="19">
        <v>217919.49485900003</v>
      </c>
      <c r="E76" s="19">
        <v>293951.76186874596</v>
      </c>
      <c r="F76" s="19">
        <v>1261387.6458084001</v>
      </c>
      <c r="G76" s="19">
        <v>1166416.6115403406</v>
      </c>
      <c r="H76" s="20">
        <v>0.26749894040845135</v>
      </c>
      <c r="I76" s="20">
        <v>-7.5290918365697457E-2</v>
      </c>
      <c r="J76" s="20">
        <v>-6.7320522261140603E-3</v>
      </c>
    </row>
    <row r="77" spans="1:10" ht="11.25" customHeight="1" x14ac:dyDescent="0.2">
      <c r="A77" s="29">
        <v>44621</v>
      </c>
      <c r="B77" s="19">
        <v>97442.053499999995</v>
      </c>
      <c r="C77" s="19">
        <v>105766.93790822814</v>
      </c>
      <c r="D77" s="19">
        <v>230566.68321700001</v>
      </c>
      <c r="E77" s="19">
        <v>311011.56325514981</v>
      </c>
      <c r="F77" s="19">
        <v>1334593.6118892001</v>
      </c>
      <c r="G77" s="19">
        <v>1234110.8332050692</v>
      </c>
      <c r="H77" s="20">
        <v>0.2706323170988183</v>
      </c>
      <c r="I77" s="20">
        <v>-7.5290918365697346E-2</v>
      </c>
      <c r="J77" s="20">
        <v>-7.0449883867733654E-3</v>
      </c>
    </row>
    <row r="78" spans="1:10" ht="11.25" customHeight="1" x14ac:dyDescent="0.2">
      <c r="A78" s="29">
        <v>44652</v>
      </c>
      <c r="B78" s="19">
        <v>101572.16099999999</v>
      </c>
      <c r="C78" s="19">
        <v>110249.89786049153</v>
      </c>
      <c r="D78" s="19">
        <v>221832.86521200003</v>
      </c>
      <c r="E78" s="19">
        <v>299230.50992592907</v>
      </c>
      <c r="F78" s="19">
        <v>1284039.4834512</v>
      </c>
      <c r="G78" s="19">
        <v>1187362.9715243436</v>
      </c>
      <c r="H78" s="20">
        <v>0.26615350596931031</v>
      </c>
      <c r="I78" s="20">
        <v>-7.5290918365697235E-2</v>
      </c>
      <c r="J78" s="20">
        <v>-6.5950210341363391E-3</v>
      </c>
    </row>
    <row r="79" spans="1:10" ht="11.25" customHeight="1" x14ac:dyDescent="0.2">
      <c r="A79" s="29">
        <v>44682</v>
      </c>
      <c r="B79" s="19">
        <v>96805.922000000006</v>
      </c>
      <c r="C79" s="19">
        <v>105076.45901902896</v>
      </c>
      <c r="D79" s="19">
        <v>226570.89789399999</v>
      </c>
      <c r="E79" s="19">
        <v>305621.64558621839</v>
      </c>
      <c r="F79" s="19">
        <v>1311464.7300743998</v>
      </c>
      <c r="G79" s="19">
        <v>1212723.3461428771</v>
      </c>
      <c r="H79" s="20">
        <v>0.27002951151498888</v>
      </c>
      <c r="I79" s="20">
        <v>-7.5290918365697124E-2</v>
      </c>
      <c r="J79" s="20">
        <v>-6.9854471343084867E-3</v>
      </c>
    </row>
    <row r="80" spans="1:10" ht="11.25" customHeight="1" x14ac:dyDescent="0.2">
      <c r="A80" s="29">
        <v>44713</v>
      </c>
      <c r="B80" s="19">
        <v>95989.395000000004</v>
      </c>
      <c r="C80" s="19">
        <v>104190.17268363894</v>
      </c>
      <c r="D80" s="19">
        <v>213158.86706799999</v>
      </c>
      <c r="E80" s="19">
        <v>287530.14764982893</v>
      </c>
      <c r="F80" s="19">
        <v>1233831.6114767999</v>
      </c>
      <c r="G80" s="19">
        <v>1140935.2963400835</v>
      </c>
      <c r="H80" s="20">
        <v>0.26709533384763251</v>
      </c>
      <c r="I80" s="20">
        <v>-7.5290918365697235E-2</v>
      </c>
      <c r="J80" s="20">
        <v>-6.69111570945502E-3</v>
      </c>
    </row>
    <row r="81" spans="1:10" ht="11.25" customHeight="1" x14ac:dyDescent="0.2">
      <c r="A81" s="29">
        <v>44743</v>
      </c>
      <c r="B81" s="19">
        <v>95989.395000000004</v>
      </c>
      <c r="C81" s="19">
        <v>104190.17268363894</v>
      </c>
      <c r="D81" s="19">
        <v>213158.86706799999</v>
      </c>
      <c r="E81" s="19">
        <v>287530.14764982893</v>
      </c>
      <c r="F81" s="19">
        <v>1233831.6114767999</v>
      </c>
      <c r="G81" s="19">
        <v>1140935.2963400835</v>
      </c>
      <c r="H81" s="20">
        <v>0.26709533384763251</v>
      </c>
      <c r="I81" s="20">
        <v>-7.5290918365697235E-2</v>
      </c>
      <c r="J81" s="20">
        <v>-6.69111570945502E-3</v>
      </c>
    </row>
    <row r="82" spans="1:10" ht="11.25" customHeight="1" x14ac:dyDescent="0.2">
      <c r="A82" s="28" t="s">
        <v>34</v>
      </c>
      <c r="B82" s="19">
        <v>2040678.402</v>
      </c>
      <c r="C82" s="19">
        <v>2222976.9781498211</v>
      </c>
      <c r="D82" s="19">
        <v>244817.09905600001</v>
      </c>
      <c r="E82" s="19">
        <v>330233.95933286968</v>
      </c>
      <c r="F82" s="19">
        <v>2320480.9279296002</v>
      </c>
      <c r="G82" s="19">
        <v>2052329.4596484299</v>
      </c>
      <c r="H82" s="20">
        <v>0.1171367155625529</v>
      </c>
      <c r="I82" s="20">
        <v>-0.11555857454102103</v>
      </c>
      <c r="J82" s="20">
        <v>-9.4666540570109703E-5</v>
      </c>
    </row>
    <row r="83" spans="1:10" ht="11.25" customHeight="1" x14ac:dyDescent="0.2">
      <c r="A83" s="29">
        <v>44409</v>
      </c>
      <c r="B83" s="19">
        <v>165782.64000000001</v>
      </c>
      <c r="C83" s="19">
        <v>180592.39110666086</v>
      </c>
      <c r="D83" s="19">
        <v>20229.129000000001</v>
      </c>
      <c r="E83" s="19">
        <v>27287.086520036322</v>
      </c>
      <c r="F83" s="19">
        <v>191740.31640000001</v>
      </c>
      <c r="G83" s="19">
        <v>169583.07875477168</v>
      </c>
      <c r="H83" s="20">
        <v>0.11756088737964299</v>
      </c>
      <c r="I83" s="20">
        <v>-0.11555857454102092</v>
      </c>
      <c r="J83" s="20">
        <v>-7.6645246901696495E-4</v>
      </c>
    </row>
    <row r="84" spans="1:10" ht="11.25" customHeight="1" x14ac:dyDescent="0.2">
      <c r="A84" s="29">
        <v>44440</v>
      </c>
      <c r="B84" s="19">
        <v>164322</v>
      </c>
      <c r="C84" s="19">
        <v>179001.26871805592</v>
      </c>
      <c r="D84" s="19">
        <v>19440.469000000001</v>
      </c>
      <c r="E84" s="19">
        <v>26223.262484167459</v>
      </c>
      <c r="F84" s="19">
        <v>184265.06040000002</v>
      </c>
      <c r="G84" s="19">
        <v>162971.6526824609</v>
      </c>
      <c r="H84" s="20">
        <v>0.11679241315713584</v>
      </c>
      <c r="I84" s="20">
        <v>-0.11555857454102092</v>
      </c>
      <c r="J84" s="20">
        <v>4.5826594809161847E-4</v>
      </c>
    </row>
    <row r="85" spans="1:10" ht="11.25" customHeight="1" x14ac:dyDescent="0.2">
      <c r="A85" s="29">
        <v>44470</v>
      </c>
      <c r="B85" s="19">
        <v>174181.32</v>
      </c>
      <c r="C85" s="19">
        <v>189741.34484113927</v>
      </c>
      <c r="D85" s="19">
        <v>19913.665000000001</v>
      </c>
      <c r="E85" s="19">
        <v>26861.556905688776</v>
      </c>
      <c r="F85" s="19">
        <v>188750.21400000001</v>
      </c>
      <c r="G85" s="19">
        <v>166938.50832584736</v>
      </c>
      <c r="H85" s="20">
        <v>0.11596341217588924</v>
      </c>
      <c r="I85" s="20">
        <v>-0.11555857454102092</v>
      </c>
      <c r="J85" s="20">
        <v>1.8185184886578831E-3</v>
      </c>
    </row>
    <row r="86" spans="1:10" ht="11.25" customHeight="1" x14ac:dyDescent="0.2">
      <c r="A86" s="29">
        <v>44501</v>
      </c>
      <c r="B86" s="19">
        <v>173085.84</v>
      </c>
      <c r="C86" s="19">
        <v>188548.00304968556</v>
      </c>
      <c r="D86" s="19">
        <v>20860.057000000001</v>
      </c>
      <c r="E86" s="19">
        <v>28138.145748731411</v>
      </c>
      <c r="F86" s="19">
        <v>197720.52119999999</v>
      </c>
      <c r="G86" s="19">
        <v>174872.21961262031</v>
      </c>
      <c r="H86" s="20">
        <v>0.1172504917617152</v>
      </c>
      <c r="I86" s="20">
        <v>-0.11555857454102081</v>
      </c>
      <c r="J86" s="20">
        <v>-2.7587197661538276E-4</v>
      </c>
    </row>
    <row r="87" spans="1:10" ht="11.25" customHeight="1" x14ac:dyDescent="0.2">
      <c r="A87" s="29">
        <v>44531</v>
      </c>
      <c r="B87" s="19">
        <v>186049.02</v>
      </c>
      <c r="C87" s="19">
        <v>202669.2142485544</v>
      </c>
      <c r="D87" s="19">
        <v>23659.800000000003</v>
      </c>
      <c r="E87" s="19">
        <v>31914.721076065871</v>
      </c>
      <c r="F87" s="19">
        <v>224257.68</v>
      </c>
      <c r="G87" s="19">
        <v>198342.78216932359</v>
      </c>
      <c r="H87" s="20">
        <v>0.1186174016172532</v>
      </c>
      <c r="I87" s="20">
        <v>-0.11555857454102092</v>
      </c>
      <c r="J87" s="20">
        <v>-2.3959971704178296E-3</v>
      </c>
    </row>
    <row r="88" spans="1:10" ht="11.25" customHeight="1" x14ac:dyDescent="0.2">
      <c r="A88" s="29">
        <v>44562</v>
      </c>
      <c r="B88" s="19">
        <v>177157.37399999998</v>
      </c>
      <c r="C88" s="19">
        <v>192983.25670792183</v>
      </c>
      <c r="D88" s="19">
        <v>20998.585129000003</v>
      </c>
      <c r="E88" s="19">
        <v>28325.00644063178</v>
      </c>
      <c r="F88" s="19">
        <v>199033.54991640002</v>
      </c>
      <c r="G88" s="19">
        <v>176033.5166022217</v>
      </c>
      <c r="H88" s="20">
        <v>0.1168387976890537</v>
      </c>
      <c r="I88" s="20">
        <v>-0.11555857454102092</v>
      </c>
      <c r="J88" s="20">
        <v>3.833704111200209E-4</v>
      </c>
    </row>
    <row r="89" spans="1:10" ht="11.25" customHeight="1" x14ac:dyDescent="0.2">
      <c r="A89" s="29">
        <v>44593</v>
      </c>
      <c r="B89" s="19">
        <v>177832.92</v>
      </c>
      <c r="C89" s="19">
        <v>193719.15081265161</v>
      </c>
      <c r="D89" s="19">
        <v>20387.215897000002</v>
      </c>
      <c r="E89" s="19">
        <v>27500.330048026233</v>
      </c>
      <c r="F89" s="19">
        <v>193238.73146519999</v>
      </c>
      <c r="G89" s="19">
        <v>170908.33911096636</v>
      </c>
      <c r="H89" s="20">
        <v>0.11602930680881385</v>
      </c>
      <c r="I89" s="20">
        <v>-0.11555857454102081</v>
      </c>
      <c r="J89" s="20">
        <v>1.7088707530164005E-3</v>
      </c>
    </row>
    <row r="90" spans="1:10" ht="11.25" customHeight="1" x14ac:dyDescent="0.2">
      <c r="A90" s="29">
        <v>44621</v>
      </c>
      <c r="B90" s="19">
        <v>164705.41800000001</v>
      </c>
      <c r="C90" s="19">
        <v>179418.9383450647</v>
      </c>
      <c r="D90" s="19">
        <v>21114.951912</v>
      </c>
      <c r="E90" s="19">
        <v>28481.973677124228</v>
      </c>
      <c r="F90" s="19">
        <v>200136.52393920001</v>
      </c>
      <c r="G90" s="19">
        <v>177009.03251919115</v>
      </c>
      <c r="H90" s="20">
        <v>0.11882734987905641</v>
      </c>
      <c r="I90" s="20">
        <v>-0.11555857454102092</v>
      </c>
      <c r="J90" s="20">
        <v>-2.7126068389999869E-3</v>
      </c>
    </row>
    <row r="91" spans="1:10" ht="11.25" customHeight="1" x14ac:dyDescent="0.2">
      <c r="A91" s="29">
        <v>44652</v>
      </c>
      <c r="B91" s="19">
        <v>167042.44200000001</v>
      </c>
      <c r="C91" s="19">
        <v>181964.73416683261</v>
      </c>
      <c r="D91" s="19">
        <v>17859.008535000001</v>
      </c>
      <c r="E91" s="19">
        <v>24090.02933624142</v>
      </c>
      <c r="F91" s="19">
        <v>169275.30330599999</v>
      </c>
      <c r="G91" s="19">
        <v>149714.09055095966</v>
      </c>
      <c r="H91" s="20">
        <v>0.11440317480943674</v>
      </c>
      <c r="I91" s="20">
        <v>-0.11555857454102092</v>
      </c>
      <c r="J91" s="20">
        <v>4.4952137478464493E-3</v>
      </c>
    </row>
    <row r="92" spans="1:10" ht="11.25" customHeight="1" x14ac:dyDescent="0.2">
      <c r="A92" s="29">
        <v>44682</v>
      </c>
      <c r="B92" s="19">
        <v>163920.32399999999</v>
      </c>
      <c r="C92" s="19">
        <v>178563.71006118954</v>
      </c>
      <c r="D92" s="19">
        <v>20801.972191000001</v>
      </c>
      <c r="E92" s="19">
        <v>28059.79510848967</v>
      </c>
      <c r="F92" s="19">
        <v>197169.96859560002</v>
      </c>
      <c r="G92" s="19">
        <v>174385.2880823946</v>
      </c>
      <c r="H92" s="20">
        <v>0.11856288834799722</v>
      </c>
      <c r="I92" s="20">
        <v>-0.11555857454102103</v>
      </c>
      <c r="J92" s="20">
        <v>-2.3134051563465929E-3</v>
      </c>
    </row>
    <row r="93" spans="1:10" ht="11.25" customHeight="1" x14ac:dyDescent="0.2">
      <c r="A93" s="29">
        <v>44713</v>
      </c>
      <c r="B93" s="19">
        <v>163299.552</v>
      </c>
      <c r="C93" s="19">
        <v>177887.48304603243</v>
      </c>
      <c r="D93" s="19">
        <v>19776.122696000002</v>
      </c>
      <c r="E93" s="19">
        <v>26676.025993833249</v>
      </c>
      <c r="F93" s="19">
        <v>187446.52935360002</v>
      </c>
      <c r="G93" s="19">
        <v>165785.47561883635</v>
      </c>
      <c r="H93" s="20">
        <v>0.11737132406883966</v>
      </c>
      <c r="I93" s="20">
        <v>-0.11555857454102103</v>
      </c>
      <c r="J93" s="20">
        <v>-4.6750070307477465E-4</v>
      </c>
    </row>
    <row r="94" spans="1:10" ht="11.25" customHeight="1" x14ac:dyDescent="0.2">
      <c r="A94" s="29">
        <v>44743</v>
      </c>
      <c r="B94" s="19">
        <v>163299.552</v>
      </c>
      <c r="C94" s="19">
        <v>177887.48304603243</v>
      </c>
      <c r="D94" s="19">
        <v>19776.122696000002</v>
      </c>
      <c r="E94" s="19">
        <v>26676.025993833249</v>
      </c>
      <c r="F94" s="19">
        <v>187446.52935360002</v>
      </c>
      <c r="G94" s="19">
        <v>165785.47561883635</v>
      </c>
      <c r="H94" s="20">
        <v>0.11737132406883966</v>
      </c>
      <c r="I94" s="20">
        <v>-0.11555857454102103</v>
      </c>
      <c r="J94" s="20">
        <v>-4.6750070307477465E-4</v>
      </c>
    </row>
    <row r="95" spans="1:10" ht="11.25" customHeight="1" x14ac:dyDescent="0.2">
      <c r="A95" s="22" t="s">
        <v>41</v>
      </c>
      <c r="B95" s="19">
        <v>90002226.808699965</v>
      </c>
      <c r="C95" s="19">
        <v>99164719.443498775</v>
      </c>
      <c r="D95" s="19">
        <v>68170048.87243396</v>
      </c>
      <c r="E95" s="19">
        <v>79013413.450688928</v>
      </c>
      <c r="F95" s="19">
        <v>143826146.97061658</v>
      </c>
      <c r="G95" s="19">
        <v>132372499.81283127</v>
      </c>
      <c r="H95" s="20">
        <v>0.12648144010638385</v>
      </c>
      <c r="I95" s="20">
        <v>-7.9635361156726092E-2</v>
      </c>
      <c r="J95" s="20">
        <v>2.8318724250855576E-2</v>
      </c>
    </row>
    <row r="96" spans="1:10" ht="11.25" customHeight="1" x14ac:dyDescent="0.2">
      <c r="A96" s="23" t="s">
        <v>40</v>
      </c>
      <c r="B96" s="19">
        <v>27002741.649499994</v>
      </c>
      <c r="C96" s="19">
        <v>29745732.630335066</v>
      </c>
      <c r="D96" s="19">
        <v>9025997.8230168</v>
      </c>
      <c r="E96" s="19">
        <v>10946901.693521531</v>
      </c>
      <c r="F96" s="19">
        <v>37079916.538996808</v>
      </c>
      <c r="G96" s="19">
        <v>34075887.220422603</v>
      </c>
      <c r="H96" s="20">
        <v>0.12944929297061614</v>
      </c>
      <c r="I96" s="20">
        <v>-8.1014996768260628E-2</v>
      </c>
      <c r="J96" s="20">
        <v>2.2704090367961616E-2</v>
      </c>
    </row>
    <row r="97" spans="1:10" ht="11.25" customHeight="1" x14ac:dyDescent="0.2">
      <c r="A97" s="24" t="s">
        <v>43</v>
      </c>
      <c r="B97" s="19">
        <v>6754662.4800000023</v>
      </c>
      <c r="C97" s="19">
        <v>7440831.5640972098</v>
      </c>
      <c r="D97" s="19">
        <v>2101678.43395</v>
      </c>
      <c r="E97" s="19">
        <v>2548955.5458540139</v>
      </c>
      <c r="F97" s="19">
        <v>8665663.9454999994</v>
      </c>
      <c r="G97" s="19">
        <v>7960517.0241077999</v>
      </c>
      <c r="H97" s="20">
        <v>0.12798131948781344</v>
      </c>
      <c r="I97" s="20">
        <v>-8.1372521000929843E-2</v>
      </c>
      <c r="J97" s="20">
        <v>2.4443508493723343E-2</v>
      </c>
    </row>
    <row r="98" spans="1:10" ht="11.25" customHeight="1" x14ac:dyDescent="0.2">
      <c r="A98" s="25" t="s">
        <v>25</v>
      </c>
      <c r="B98" s="19">
        <v>6754662.4800000023</v>
      </c>
      <c r="C98" s="19">
        <v>7440831.5640972098</v>
      </c>
      <c r="D98" s="19">
        <v>2101678.43395</v>
      </c>
      <c r="E98" s="19">
        <v>2548955.5458540139</v>
      </c>
      <c r="F98" s="19">
        <v>8665663.9454999994</v>
      </c>
      <c r="G98" s="19">
        <v>7960517.0241077999</v>
      </c>
      <c r="H98" s="20">
        <v>0.12798131948781344</v>
      </c>
      <c r="I98" s="20">
        <v>-8.1372521000929843E-2</v>
      </c>
      <c r="J98" s="20">
        <v>2.4443508493723343E-2</v>
      </c>
    </row>
    <row r="99" spans="1:10" ht="11.25" customHeight="1" x14ac:dyDescent="0.2">
      <c r="A99" s="26" t="s">
        <v>25</v>
      </c>
      <c r="B99" s="19">
        <v>6754662.4800000023</v>
      </c>
      <c r="C99" s="19">
        <v>7440831.5640972098</v>
      </c>
      <c r="D99" s="19">
        <v>2101678.43395</v>
      </c>
      <c r="E99" s="19">
        <v>2548955.5458540139</v>
      </c>
      <c r="F99" s="19">
        <v>8665663.9454999994</v>
      </c>
      <c r="G99" s="19">
        <v>7960517.0241077999</v>
      </c>
      <c r="H99" s="20">
        <v>0.12798131948781344</v>
      </c>
      <c r="I99" s="20">
        <v>-8.1372521000929843E-2</v>
      </c>
      <c r="J99" s="20">
        <v>2.4443508493723343E-2</v>
      </c>
    </row>
    <row r="100" spans="1:10" ht="11.25" customHeight="1" x14ac:dyDescent="0.2">
      <c r="A100" s="27" t="s">
        <v>25</v>
      </c>
      <c r="B100" s="19">
        <v>6754662.4800000023</v>
      </c>
      <c r="C100" s="19">
        <v>7440831.5640972098</v>
      </c>
      <c r="D100" s="19">
        <v>2101678.43395</v>
      </c>
      <c r="E100" s="19">
        <v>2548955.5458540139</v>
      </c>
      <c r="F100" s="19">
        <v>8665663.9454999994</v>
      </c>
      <c r="G100" s="19">
        <v>7960517.0241077999</v>
      </c>
      <c r="H100" s="20">
        <v>0.12798131948781344</v>
      </c>
      <c r="I100" s="20">
        <v>-8.1372521000929843E-2</v>
      </c>
      <c r="J100" s="20">
        <v>2.4443508493723343E-2</v>
      </c>
    </row>
    <row r="101" spans="1:10" ht="11.25" customHeight="1" x14ac:dyDescent="0.2">
      <c r="A101" s="28" t="s">
        <v>35</v>
      </c>
      <c r="B101" s="19">
        <v>2557734.7799999998</v>
      </c>
      <c r="C101" s="19">
        <v>2818362.0313040134</v>
      </c>
      <c r="D101" s="19">
        <v>1895728.5906799997</v>
      </c>
      <c r="E101" s="19">
        <v>2299175.661980818</v>
      </c>
      <c r="F101" s="19">
        <v>7356893.3416799996</v>
      </c>
      <c r="G101" s="19">
        <v>6802986.0856664302</v>
      </c>
      <c r="H101" s="20">
        <v>0.14911413148177188</v>
      </c>
      <c r="I101" s="20">
        <v>-7.5290918365697013E-2</v>
      </c>
      <c r="J101" s="20">
        <v>9.3280050107182877E-3</v>
      </c>
    </row>
    <row r="102" spans="1:10" ht="11.25" customHeight="1" x14ac:dyDescent="0.2">
      <c r="A102" s="29">
        <v>44409</v>
      </c>
      <c r="B102" s="19">
        <v>172396.49999999997</v>
      </c>
      <c r="C102" s="19">
        <v>189963.30414277842</v>
      </c>
      <c r="D102" s="19">
        <v>142495.29118</v>
      </c>
      <c r="E102" s="19">
        <v>172820.99718209542</v>
      </c>
      <c r="F102" s="19">
        <v>552991.95467999997</v>
      </c>
      <c r="G102" s="19">
        <v>511356.68256330077</v>
      </c>
      <c r="H102" s="20">
        <v>0.15209196138586334</v>
      </c>
      <c r="I102" s="20">
        <v>-7.5290918365697235E-2</v>
      </c>
      <c r="J102" s="20">
        <v>7.209765199571061E-3</v>
      </c>
    </row>
    <row r="103" spans="1:10" ht="11.25" customHeight="1" x14ac:dyDescent="0.2">
      <c r="A103" s="29">
        <v>44440</v>
      </c>
      <c r="B103" s="19">
        <v>181809.47999999998</v>
      </c>
      <c r="C103" s="19">
        <v>200335.44500776054</v>
      </c>
      <c r="D103" s="19">
        <v>147407.91216000001</v>
      </c>
      <c r="E103" s="19">
        <v>178779.11726810457</v>
      </c>
      <c r="F103" s="19">
        <v>572056.72415999998</v>
      </c>
      <c r="G103" s="19">
        <v>528986.04804072133</v>
      </c>
      <c r="H103" s="20">
        <v>0.15156298331776785</v>
      </c>
      <c r="I103" s="20">
        <v>-7.5290918365697124E-2</v>
      </c>
      <c r="J103" s="20">
        <v>7.5742705498520468E-3</v>
      </c>
    </row>
    <row r="104" spans="1:10" ht="11.25" customHeight="1" x14ac:dyDescent="0.2">
      <c r="A104" s="29">
        <v>44470</v>
      </c>
      <c r="B104" s="19">
        <v>176932.56</v>
      </c>
      <c r="C104" s="19">
        <v>194961.578152923</v>
      </c>
      <c r="D104" s="19">
        <v>151400.12844</v>
      </c>
      <c r="E104" s="19">
        <v>183620.95304220507</v>
      </c>
      <c r="F104" s="19">
        <v>587549.61144000001</v>
      </c>
      <c r="G104" s="19">
        <v>543312.46160927368</v>
      </c>
      <c r="H104" s="20">
        <v>0.15304550696392449</v>
      </c>
      <c r="I104" s="20">
        <v>-7.5290918365697457E-2</v>
      </c>
      <c r="J104" s="20">
        <v>6.564918794903507E-3</v>
      </c>
    </row>
    <row r="105" spans="1:10" ht="11.25" customHeight="1" x14ac:dyDescent="0.2">
      <c r="A105" s="29">
        <v>44501</v>
      </c>
      <c r="B105" s="19">
        <v>191615.76</v>
      </c>
      <c r="C105" s="19">
        <v>211140.96223200375</v>
      </c>
      <c r="D105" s="19">
        <v>156580.36131000001</v>
      </c>
      <c r="E105" s="19">
        <v>189903.63791421245</v>
      </c>
      <c r="F105" s="19">
        <v>607652.92206000001</v>
      </c>
      <c r="G105" s="19">
        <v>561902.17551050324</v>
      </c>
      <c r="H105" s="20">
        <v>0.15177790791404333</v>
      </c>
      <c r="I105" s="20">
        <v>-7.5290918365697124E-2</v>
      </c>
      <c r="J105" s="20">
        <v>7.4255786893870912E-3</v>
      </c>
    </row>
    <row r="106" spans="1:10" ht="11.25" customHeight="1" x14ac:dyDescent="0.2">
      <c r="A106" s="29">
        <v>44531</v>
      </c>
      <c r="B106" s="19">
        <v>197567.7</v>
      </c>
      <c r="C106" s="19">
        <v>217699.39113548826</v>
      </c>
      <c r="D106" s="19">
        <v>167800.226</v>
      </c>
      <c r="E106" s="19">
        <v>203511.30303715746</v>
      </c>
      <c r="F106" s="19">
        <v>651194.67599999998</v>
      </c>
      <c r="G106" s="19">
        <v>602165.63080910721</v>
      </c>
      <c r="H106" s="20">
        <v>0.15283982035315735</v>
      </c>
      <c r="I106" s="20">
        <v>-7.5290918365697346E-2</v>
      </c>
      <c r="J106" s="20">
        <v>6.7027086854734019E-3</v>
      </c>
    </row>
    <row r="107" spans="1:10" ht="11.25" customHeight="1" x14ac:dyDescent="0.2">
      <c r="A107" s="29">
        <v>44562</v>
      </c>
      <c r="B107" s="19">
        <v>244921.02</v>
      </c>
      <c r="C107" s="19">
        <v>269877.90479052369</v>
      </c>
      <c r="D107" s="19">
        <v>173660.21935</v>
      </c>
      <c r="E107" s="19">
        <v>210618.41433775591</v>
      </c>
      <c r="F107" s="19">
        <v>673935.98309999995</v>
      </c>
      <c r="G107" s="19">
        <v>623194.7240127119</v>
      </c>
      <c r="H107" s="20">
        <v>0.14791651884452661</v>
      </c>
      <c r="I107" s="20">
        <v>-7.5290918365697346E-2</v>
      </c>
      <c r="J107" s="20">
        <v>1.0227592262512797E-2</v>
      </c>
    </row>
    <row r="108" spans="1:10" ht="11.25" customHeight="1" x14ac:dyDescent="0.2">
      <c r="A108" s="29">
        <v>44593</v>
      </c>
      <c r="B108" s="19">
        <v>229477.43999999997</v>
      </c>
      <c r="C108" s="19">
        <v>252860.65975020482</v>
      </c>
      <c r="D108" s="19">
        <v>162403.43836</v>
      </c>
      <c r="E108" s="19">
        <v>196965.97642459837</v>
      </c>
      <c r="F108" s="19">
        <v>630250.96535999991</v>
      </c>
      <c r="G108" s="19">
        <v>582798.79137717828</v>
      </c>
      <c r="H108" s="20">
        <v>0.14786574445097456</v>
      </c>
      <c r="I108" s="20">
        <v>-7.5290918365697235E-2</v>
      </c>
      <c r="J108" s="20">
        <v>1.0266370132634428E-2</v>
      </c>
    </row>
    <row r="109" spans="1:10" ht="11.25" customHeight="1" x14ac:dyDescent="0.2">
      <c r="A109" s="29">
        <v>44621</v>
      </c>
      <c r="B109" s="19">
        <v>233672.63999999998</v>
      </c>
      <c r="C109" s="19">
        <v>257483.34091565647</v>
      </c>
      <c r="D109" s="19">
        <v>169671.38184999998</v>
      </c>
      <c r="E109" s="19">
        <v>205780.67641225111</v>
      </c>
      <c r="F109" s="19">
        <v>658456.20809999993</v>
      </c>
      <c r="G109" s="19">
        <v>608880.43548855628</v>
      </c>
      <c r="H109" s="20">
        <v>0.14855803540381052</v>
      </c>
      <c r="I109" s="20">
        <v>-7.5290918365697235E-2</v>
      </c>
      <c r="J109" s="20">
        <v>9.7421554212238082E-3</v>
      </c>
    </row>
    <row r="110" spans="1:10" ht="11.25" customHeight="1" x14ac:dyDescent="0.2">
      <c r="A110" s="29">
        <v>44652</v>
      </c>
      <c r="B110" s="19">
        <v>237343.43999999997</v>
      </c>
      <c r="C110" s="19">
        <v>261528.18693542667</v>
      </c>
      <c r="D110" s="19">
        <v>169065.26626</v>
      </c>
      <c r="E110" s="19">
        <v>205045.5679058297</v>
      </c>
      <c r="F110" s="19">
        <v>656104.01075999986</v>
      </c>
      <c r="G110" s="19">
        <v>606705.33724646224</v>
      </c>
      <c r="H110" s="20">
        <v>0.14804074729335581</v>
      </c>
      <c r="I110" s="20">
        <v>-7.5290918365697124E-2</v>
      </c>
      <c r="J110" s="20">
        <v>1.0132937606539771E-2</v>
      </c>
    </row>
    <row r="111" spans="1:10" ht="11.25" customHeight="1" x14ac:dyDescent="0.2">
      <c r="A111" s="29">
        <v>44682</v>
      </c>
      <c r="B111" s="19">
        <v>234354.36</v>
      </c>
      <c r="C111" s="19">
        <v>258234.52660504237</v>
      </c>
      <c r="D111" s="19">
        <v>163531.76317000002</v>
      </c>
      <c r="E111" s="19">
        <v>198334.4301973141</v>
      </c>
      <c r="F111" s="19">
        <v>634629.73841999995</v>
      </c>
      <c r="G111" s="19">
        <v>586847.88259217585</v>
      </c>
      <c r="H111" s="20">
        <v>0.14748650484421066</v>
      </c>
      <c r="I111" s="20">
        <v>-7.5290918365697346E-2</v>
      </c>
      <c r="J111" s="20">
        <v>1.0557685562084806E-2</v>
      </c>
    </row>
    <row r="112" spans="1:10" ht="11.25" customHeight="1" x14ac:dyDescent="0.2">
      <c r="A112" s="29">
        <v>44713</v>
      </c>
      <c r="B112" s="19">
        <v>228821.94</v>
      </c>
      <c r="C112" s="19">
        <v>252138.36581810302</v>
      </c>
      <c r="D112" s="19">
        <v>145856.30129999999</v>
      </c>
      <c r="E112" s="19">
        <v>176897.29412964702</v>
      </c>
      <c r="F112" s="19">
        <v>566035.27379999997</v>
      </c>
      <c r="G112" s="19">
        <v>523417.95820821915</v>
      </c>
      <c r="H112" s="20">
        <v>0.14507759633745798</v>
      </c>
      <c r="I112" s="20">
        <v>-7.5290918365697124E-2</v>
      </c>
      <c r="J112" s="20">
        <v>1.2479998285898075E-2</v>
      </c>
    </row>
    <row r="113" spans="1:10" ht="11.25" customHeight="1" x14ac:dyDescent="0.2">
      <c r="A113" s="29">
        <v>44743</v>
      </c>
      <c r="B113" s="19">
        <v>228821.94</v>
      </c>
      <c r="C113" s="19">
        <v>252138.36581810302</v>
      </c>
      <c r="D113" s="19">
        <v>145856.30129999999</v>
      </c>
      <c r="E113" s="19">
        <v>176897.29412964702</v>
      </c>
      <c r="F113" s="19">
        <v>566035.27379999997</v>
      </c>
      <c r="G113" s="19">
        <v>523417.95820821915</v>
      </c>
      <c r="H113" s="20">
        <v>0.14507759633745798</v>
      </c>
      <c r="I113" s="20">
        <v>-7.5290918365697124E-2</v>
      </c>
      <c r="J113" s="20">
        <v>1.2479998285898075E-2</v>
      </c>
    </row>
    <row r="114" spans="1:10" ht="11.25" customHeight="1" x14ac:dyDescent="0.2">
      <c r="A114" s="28" t="s">
        <v>34</v>
      </c>
      <c r="B114" s="19">
        <v>4196927.6999999993</v>
      </c>
      <c r="C114" s="19">
        <v>4622469.5327931959</v>
      </c>
      <c r="D114" s="19">
        <v>205949.84327000001</v>
      </c>
      <c r="E114" s="19">
        <v>249779.88387319609</v>
      </c>
      <c r="F114" s="19">
        <v>1308770.6038199998</v>
      </c>
      <c r="G114" s="19">
        <v>1157530.9384413694</v>
      </c>
      <c r="H114" s="20">
        <v>0.10660570701400762</v>
      </c>
      <c r="I114" s="20">
        <v>-0.11555857454102092</v>
      </c>
      <c r="J114" s="20">
        <v>5.5698845556487742E-2</v>
      </c>
    </row>
    <row r="115" spans="1:10" ht="11.25" customHeight="1" x14ac:dyDescent="0.2">
      <c r="A115" s="29">
        <v>44409</v>
      </c>
      <c r="B115" s="19">
        <v>304399.55</v>
      </c>
      <c r="C115" s="19">
        <v>335263.73248482682</v>
      </c>
      <c r="D115" s="19">
        <v>15401.54293</v>
      </c>
      <c r="E115" s="19">
        <v>18679.283962746391</v>
      </c>
      <c r="F115" s="19">
        <v>97873.765379999997</v>
      </c>
      <c r="G115" s="19">
        <v>86563.612567724878</v>
      </c>
      <c r="H115" s="20">
        <v>0.10675987128363684</v>
      </c>
      <c r="I115" s="20">
        <v>-0.11555857454102092</v>
      </c>
      <c r="J115" s="20">
        <v>5.4663981446430032E-2</v>
      </c>
    </row>
    <row r="116" spans="1:10" ht="11.25" customHeight="1" x14ac:dyDescent="0.2">
      <c r="A116" s="29">
        <v>44440</v>
      </c>
      <c r="B116" s="19">
        <v>323277.84999999998</v>
      </c>
      <c r="C116" s="19">
        <v>356056.17229286302</v>
      </c>
      <c r="D116" s="19">
        <v>16107.70795</v>
      </c>
      <c r="E116" s="19">
        <v>19535.734319252231</v>
      </c>
      <c r="F116" s="19">
        <v>102361.30470000001</v>
      </c>
      <c r="G116" s="19">
        <v>90532.578240708899</v>
      </c>
      <c r="H116" s="20">
        <v>0.10668205471326919</v>
      </c>
      <c r="I116" s="20">
        <v>-0.11555857454102092</v>
      </c>
      <c r="J116" s="20">
        <v>5.5184596120468221E-2</v>
      </c>
    </row>
    <row r="117" spans="1:10" ht="11.25" customHeight="1" x14ac:dyDescent="0.2">
      <c r="A117" s="29">
        <v>44470</v>
      </c>
      <c r="B117" s="19">
        <v>308102.19999999995</v>
      </c>
      <c r="C117" s="19">
        <v>339341.8076957952</v>
      </c>
      <c r="D117" s="19">
        <v>15664.52464</v>
      </c>
      <c r="E117" s="19">
        <v>18998.233178446728</v>
      </c>
      <c r="F117" s="19">
        <v>99544.962240000008</v>
      </c>
      <c r="G117" s="19">
        <v>88041.68830080585</v>
      </c>
      <c r="H117" s="20">
        <v>0.10678464957349898</v>
      </c>
      <c r="I117" s="20">
        <v>-0.11555857454102092</v>
      </c>
      <c r="J117" s="20">
        <v>5.449894961578905E-2</v>
      </c>
    </row>
    <row r="118" spans="1:10" ht="11.25" customHeight="1" x14ac:dyDescent="0.2">
      <c r="A118" s="29">
        <v>44501</v>
      </c>
      <c r="B118" s="19">
        <v>325311.69999999995</v>
      </c>
      <c r="C118" s="19">
        <v>358296.24177494424</v>
      </c>
      <c r="D118" s="19">
        <v>16375.820400000001</v>
      </c>
      <c r="E118" s="19">
        <v>19860.906193931256</v>
      </c>
      <c r="F118" s="19">
        <v>104065.1064</v>
      </c>
      <c r="G118" s="19">
        <v>92039.491044956332</v>
      </c>
      <c r="H118" s="20">
        <v>0.10673385883740205</v>
      </c>
      <c r="I118" s="20">
        <v>-0.11555857454102092</v>
      </c>
      <c r="J118" s="20">
        <v>5.4837617871850153E-2</v>
      </c>
    </row>
    <row r="119" spans="1:10" ht="11.25" customHeight="1" x14ac:dyDescent="0.2">
      <c r="A119" s="29">
        <v>44531</v>
      </c>
      <c r="B119" s="19">
        <v>349717.89999999997</v>
      </c>
      <c r="C119" s="19">
        <v>385177.07555991918</v>
      </c>
      <c r="D119" s="19">
        <v>18957.708879999998</v>
      </c>
      <c r="E119" s="19">
        <v>22992.2696097435</v>
      </c>
      <c r="F119" s="19">
        <v>120472.49808</v>
      </c>
      <c r="G119" s="19">
        <v>106550.86793047933</v>
      </c>
      <c r="H119" s="20">
        <v>0.10712326863618893</v>
      </c>
      <c r="I119" s="20">
        <v>-0.11555857454102081</v>
      </c>
      <c r="J119" s="20">
        <v>5.2278861506936725E-2</v>
      </c>
    </row>
    <row r="120" spans="1:10" ht="11.25" customHeight="1" x14ac:dyDescent="0.2">
      <c r="A120" s="29">
        <v>44562</v>
      </c>
      <c r="B120" s="19">
        <v>359313.5</v>
      </c>
      <c r="C120" s="19">
        <v>395745.60850102047</v>
      </c>
      <c r="D120" s="19">
        <v>18111.574769999999</v>
      </c>
      <c r="E120" s="19">
        <v>21966.062080855627</v>
      </c>
      <c r="F120" s="19">
        <v>115095.48281999999</v>
      </c>
      <c r="G120" s="19">
        <v>101795.21288921025</v>
      </c>
      <c r="H120" s="20">
        <v>0.10674064471319622</v>
      </c>
      <c r="I120" s="20">
        <v>-0.1155585745410207</v>
      </c>
      <c r="J120" s="20">
        <v>5.4792283215822968E-2</v>
      </c>
    </row>
    <row r="121" spans="1:10" ht="11.25" customHeight="1" x14ac:dyDescent="0.2">
      <c r="A121" s="29">
        <v>44593</v>
      </c>
      <c r="B121" s="19">
        <v>370317.14999999997</v>
      </c>
      <c r="C121" s="19">
        <v>407864.95877587027</v>
      </c>
      <c r="D121" s="19">
        <v>17776.700129999997</v>
      </c>
      <c r="E121" s="19">
        <v>21559.919753368544</v>
      </c>
      <c r="F121" s="19">
        <v>112967.42057999999</v>
      </c>
      <c r="G121" s="19">
        <v>99913.066488199212</v>
      </c>
      <c r="H121" s="20">
        <v>0.10649750926327273</v>
      </c>
      <c r="I121" s="20">
        <v>-0.11555857454102081</v>
      </c>
      <c r="J121" s="20">
        <v>5.6433566033491811E-2</v>
      </c>
    </row>
    <row r="122" spans="1:10" ht="11.25" customHeight="1" x14ac:dyDescent="0.2">
      <c r="A122" s="29">
        <v>44621</v>
      </c>
      <c r="B122" s="19">
        <v>369795.64999999997</v>
      </c>
      <c r="C122" s="19">
        <v>407290.58198559307</v>
      </c>
      <c r="D122" s="19">
        <v>19221.378860000001</v>
      </c>
      <c r="E122" s="19">
        <v>23312.053572380002</v>
      </c>
      <c r="F122" s="19">
        <v>122148.06876000001</v>
      </c>
      <c r="G122" s="19">
        <v>108032.81205115579</v>
      </c>
      <c r="H122" s="20">
        <v>0.1068991936415693</v>
      </c>
      <c r="I122" s="20">
        <v>-0.11555857454102092</v>
      </c>
      <c r="J122" s="20">
        <v>5.3740660536159002E-2</v>
      </c>
    </row>
    <row r="123" spans="1:10" ht="11.25" customHeight="1" x14ac:dyDescent="0.2">
      <c r="A123" s="29">
        <v>44652</v>
      </c>
      <c r="B123" s="19">
        <v>377983.2</v>
      </c>
      <c r="C123" s="19">
        <v>416308.29759294575</v>
      </c>
      <c r="D123" s="19">
        <v>17156.819140000003</v>
      </c>
      <c r="E123" s="19">
        <v>20808.116308223824</v>
      </c>
      <c r="F123" s="19">
        <v>109028.19924</v>
      </c>
      <c r="G123" s="19">
        <v>96429.055951051196</v>
      </c>
      <c r="H123" s="20">
        <v>0.1062316969375281</v>
      </c>
      <c r="I123" s="20">
        <v>-0.11555857454102081</v>
      </c>
      <c r="J123" s="20">
        <v>5.8268749201637826E-2</v>
      </c>
    </row>
    <row r="124" spans="1:10" ht="11.25" customHeight="1" x14ac:dyDescent="0.2">
      <c r="A124" s="29">
        <v>44682</v>
      </c>
      <c r="B124" s="19">
        <v>376418.69999999995</v>
      </c>
      <c r="C124" s="19">
        <v>414585.16722211405</v>
      </c>
      <c r="D124" s="19">
        <v>18344.710590000002</v>
      </c>
      <c r="E124" s="19">
        <v>22248.813633960428</v>
      </c>
      <c r="F124" s="19">
        <v>116577.01493999999</v>
      </c>
      <c r="G124" s="19">
        <v>103105.5412692863</v>
      </c>
      <c r="H124" s="20">
        <v>0.10657160501070062</v>
      </c>
      <c r="I124" s="20">
        <v>-0.11555857454102081</v>
      </c>
      <c r="J124" s="20">
        <v>5.5929660882411358E-2</v>
      </c>
    </row>
    <row r="125" spans="1:10" ht="11.25" customHeight="1" x14ac:dyDescent="0.2">
      <c r="A125" s="29">
        <v>44713</v>
      </c>
      <c r="B125" s="19">
        <v>366145.14999999997</v>
      </c>
      <c r="C125" s="19">
        <v>403269.94445365237</v>
      </c>
      <c r="D125" s="19">
        <v>16415.677490000002</v>
      </c>
      <c r="E125" s="19">
        <v>19909.245630143752</v>
      </c>
      <c r="F125" s="19">
        <v>104318.39034000001</v>
      </c>
      <c r="G125" s="19">
        <v>92263.505853895796</v>
      </c>
      <c r="H125" s="20">
        <v>0.1061749130466263</v>
      </c>
      <c r="I125" s="20">
        <v>-0.11555857454102103</v>
      </c>
      <c r="J125" s="20">
        <v>5.8666455789585958E-2</v>
      </c>
    </row>
    <row r="126" spans="1:10" ht="11.25" customHeight="1" x14ac:dyDescent="0.2">
      <c r="A126" s="29">
        <v>44743</v>
      </c>
      <c r="B126" s="19">
        <v>366145.14999999997</v>
      </c>
      <c r="C126" s="19">
        <v>403269.94445365237</v>
      </c>
      <c r="D126" s="19">
        <v>16415.677490000002</v>
      </c>
      <c r="E126" s="19">
        <v>19909.245630143752</v>
      </c>
      <c r="F126" s="19">
        <v>104318.39034000001</v>
      </c>
      <c r="G126" s="19">
        <v>92263.505853895796</v>
      </c>
      <c r="H126" s="20">
        <v>0.1061749130466263</v>
      </c>
      <c r="I126" s="20">
        <v>-0.11555857454102103</v>
      </c>
      <c r="J126" s="20">
        <v>5.8666455789585958E-2</v>
      </c>
    </row>
    <row r="127" spans="1:10" ht="11.25" customHeight="1" x14ac:dyDescent="0.2">
      <c r="A127" s="24" t="s">
        <v>38</v>
      </c>
      <c r="B127" s="19">
        <v>705963.22</v>
      </c>
      <c r="C127" s="19">
        <v>777734.32394565735</v>
      </c>
      <c r="D127" s="19">
        <v>127166.89257999999</v>
      </c>
      <c r="E127" s="19">
        <v>154230.42405283786</v>
      </c>
      <c r="F127" s="19">
        <v>518447.59668000013</v>
      </c>
      <c r="G127" s="19">
        <v>476833.4403347717</v>
      </c>
      <c r="H127" s="20">
        <v>0.11863049231581546</v>
      </c>
      <c r="I127" s="20">
        <v>-8.0266851677419648E-2</v>
      </c>
      <c r="J127" s="20">
        <v>4.2336063018231229E-2</v>
      </c>
    </row>
    <row r="128" spans="1:10" ht="11.25" customHeight="1" x14ac:dyDescent="0.2">
      <c r="A128" s="25" t="s">
        <v>25</v>
      </c>
      <c r="B128" s="19">
        <v>705963.22</v>
      </c>
      <c r="C128" s="19">
        <v>777734.32394565735</v>
      </c>
      <c r="D128" s="19">
        <v>127166.89257999999</v>
      </c>
      <c r="E128" s="19">
        <v>154230.42405283786</v>
      </c>
      <c r="F128" s="19">
        <v>518447.59668000013</v>
      </c>
      <c r="G128" s="19">
        <v>476833.4403347717</v>
      </c>
      <c r="H128" s="20">
        <v>0.11863049231581546</v>
      </c>
      <c r="I128" s="20">
        <v>-8.0266851677419648E-2</v>
      </c>
      <c r="J128" s="20">
        <v>4.2336063018231229E-2</v>
      </c>
    </row>
    <row r="129" spans="1:10" ht="11.25" customHeight="1" x14ac:dyDescent="0.2">
      <c r="A129" s="26" t="s">
        <v>25</v>
      </c>
      <c r="B129" s="19">
        <v>705963.22</v>
      </c>
      <c r="C129" s="19">
        <v>777734.32394565735</v>
      </c>
      <c r="D129" s="19">
        <v>127166.89257999999</v>
      </c>
      <c r="E129" s="19">
        <v>154230.42405283786</v>
      </c>
      <c r="F129" s="19">
        <v>518447.59668000013</v>
      </c>
      <c r="G129" s="19">
        <v>476833.4403347717</v>
      </c>
      <c r="H129" s="20">
        <v>0.11863049231581546</v>
      </c>
      <c r="I129" s="20">
        <v>-8.0266851677419648E-2</v>
      </c>
      <c r="J129" s="20">
        <v>4.2336063018231229E-2</v>
      </c>
    </row>
    <row r="130" spans="1:10" ht="11.25" customHeight="1" x14ac:dyDescent="0.2">
      <c r="A130" s="27" t="s">
        <v>25</v>
      </c>
      <c r="B130" s="19">
        <v>705963.22</v>
      </c>
      <c r="C130" s="19">
        <v>777734.32394565735</v>
      </c>
      <c r="D130" s="19">
        <v>127166.89257999999</v>
      </c>
      <c r="E130" s="19">
        <v>154230.42405283786</v>
      </c>
      <c r="F130" s="19">
        <v>518447.59668000013</v>
      </c>
      <c r="G130" s="19">
        <v>476833.4403347717</v>
      </c>
      <c r="H130" s="20">
        <v>0.11863049231581546</v>
      </c>
      <c r="I130" s="20">
        <v>-8.0266851677419648E-2</v>
      </c>
      <c r="J130" s="20">
        <v>4.2336063018231229E-2</v>
      </c>
    </row>
    <row r="131" spans="1:10" ht="11.25" customHeight="1" x14ac:dyDescent="0.2">
      <c r="A131" s="28" t="s">
        <v>35</v>
      </c>
      <c r="B131" s="19">
        <v>378774.12</v>
      </c>
      <c r="C131" s="19">
        <v>417370.32572571508</v>
      </c>
      <c r="D131" s="19">
        <v>117085.48903999999</v>
      </c>
      <c r="E131" s="19">
        <v>142003.50624839574</v>
      </c>
      <c r="F131" s="19">
        <v>454382.26704000001</v>
      </c>
      <c r="G131" s="19">
        <v>420171.40886547079</v>
      </c>
      <c r="H131" s="20">
        <v>0.12808912397014249</v>
      </c>
      <c r="I131" s="20">
        <v>-7.5290918365697124E-2</v>
      </c>
      <c r="J131" s="20">
        <v>3.0837795615223706E-2</v>
      </c>
    </row>
    <row r="132" spans="1:10" ht="11.25" customHeight="1" x14ac:dyDescent="0.2">
      <c r="A132" s="29">
        <v>44409</v>
      </c>
      <c r="B132" s="19">
        <v>37887.9</v>
      </c>
      <c r="C132" s="19">
        <v>41748.589275485137</v>
      </c>
      <c r="D132" s="19">
        <v>10403.01334</v>
      </c>
      <c r="E132" s="19">
        <v>12616.972281886745</v>
      </c>
      <c r="F132" s="19">
        <v>40371.738839999998</v>
      </c>
      <c r="G132" s="19">
        <v>37332.113546716311</v>
      </c>
      <c r="H132" s="20">
        <v>0.12579277957744006</v>
      </c>
      <c r="I132" s="20">
        <v>-7.5290918365697235E-2</v>
      </c>
      <c r="J132" s="20">
        <v>3.423113170500014E-2</v>
      </c>
    </row>
    <row r="133" spans="1:10" ht="11.25" customHeight="1" x14ac:dyDescent="0.2">
      <c r="A133" s="29">
        <v>44440</v>
      </c>
      <c r="B133" s="19">
        <v>39198.899999999994</v>
      </c>
      <c r="C133" s="19">
        <v>43193.177139688778</v>
      </c>
      <c r="D133" s="19">
        <v>13771.281579999999</v>
      </c>
      <c r="E133" s="19">
        <v>16702.072015310659</v>
      </c>
      <c r="F133" s="19">
        <v>53443.225079999997</v>
      </c>
      <c r="G133" s="19">
        <v>49419.435583302133</v>
      </c>
      <c r="H133" s="20">
        <v>0.13073520551445794</v>
      </c>
      <c r="I133" s="20">
        <v>-7.5290918365697235E-2</v>
      </c>
      <c r="J133" s="20">
        <v>2.7264215754049026E-2</v>
      </c>
    </row>
    <row r="134" spans="1:10" ht="11.25" customHeight="1" x14ac:dyDescent="0.2">
      <c r="A134" s="29">
        <v>44470</v>
      </c>
      <c r="B134" s="19">
        <v>39198.899999999994</v>
      </c>
      <c r="C134" s="19">
        <v>43193.177139688778</v>
      </c>
      <c r="D134" s="19">
        <v>13358.63243</v>
      </c>
      <c r="E134" s="19">
        <v>16201.60328403687</v>
      </c>
      <c r="F134" s="19">
        <v>51841.82718</v>
      </c>
      <c r="G134" s="19">
        <v>47938.608401862031</v>
      </c>
      <c r="H134" s="20">
        <v>0.13009073443149211</v>
      </c>
      <c r="I134" s="20">
        <v>-7.5290918365697346E-2</v>
      </c>
      <c r="J134" s="20">
        <v>2.8103900508089419E-2</v>
      </c>
    </row>
    <row r="135" spans="1:10" ht="11.25" customHeight="1" x14ac:dyDescent="0.2">
      <c r="A135" s="29">
        <v>44501</v>
      </c>
      <c r="B135" s="19">
        <v>39198.899999999994</v>
      </c>
      <c r="C135" s="19">
        <v>43193.177139688778</v>
      </c>
      <c r="D135" s="19">
        <v>13795.871590000001</v>
      </c>
      <c r="E135" s="19">
        <v>16731.895246757304</v>
      </c>
      <c r="F135" s="19">
        <v>53538.653340000004</v>
      </c>
      <c r="G135" s="19">
        <v>49507.67896196869</v>
      </c>
      <c r="H135" s="20">
        <v>0.1307732930724399</v>
      </c>
      <c r="I135" s="20">
        <v>-7.5290918365697457E-2</v>
      </c>
      <c r="J135" s="20">
        <v>2.7215180778425552E-2</v>
      </c>
    </row>
    <row r="136" spans="1:10" ht="11.25" customHeight="1" x14ac:dyDescent="0.2">
      <c r="A136" s="29">
        <v>44531</v>
      </c>
      <c r="B136" s="19">
        <v>39198.899999999994</v>
      </c>
      <c r="C136" s="19">
        <v>43193.177139688778</v>
      </c>
      <c r="D136" s="19">
        <v>13311.45465</v>
      </c>
      <c r="E136" s="19">
        <v>16144.385175866977</v>
      </c>
      <c r="F136" s="19">
        <v>51658.740899999997</v>
      </c>
      <c r="G136" s="19">
        <v>47769.306856023388</v>
      </c>
      <c r="H136" s="20">
        <v>0.13001640745071152</v>
      </c>
      <c r="I136" s="20">
        <v>-7.5290918365697346E-2</v>
      </c>
      <c r="J136" s="20">
        <v>2.8201969173947905E-2</v>
      </c>
    </row>
    <row r="137" spans="1:10" ht="11.25" customHeight="1" x14ac:dyDescent="0.2">
      <c r="A137" s="29">
        <v>44562</v>
      </c>
      <c r="B137" s="19">
        <v>26560.859999999997</v>
      </c>
      <c r="C137" s="19">
        <v>29267.350128765709</v>
      </c>
      <c r="D137" s="19">
        <v>5582.0574099999994</v>
      </c>
      <c r="E137" s="19">
        <v>6770.0253105578067</v>
      </c>
      <c r="F137" s="19">
        <v>21662.700659999999</v>
      </c>
      <c r="G137" s="19">
        <v>20031.696033027401</v>
      </c>
      <c r="H137" s="20">
        <v>0.12116068929424295</v>
      </c>
      <c r="I137" s="20">
        <v>-7.5290918365697346E-2</v>
      </c>
      <c r="J137" s="20">
        <v>4.206723170443305E-2</v>
      </c>
    </row>
    <row r="138" spans="1:10" ht="11.25" customHeight="1" x14ac:dyDescent="0.2">
      <c r="A138" s="29">
        <v>44593</v>
      </c>
      <c r="B138" s="19">
        <v>26980.379999999997</v>
      </c>
      <c r="C138" s="19">
        <v>29729.618245310874</v>
      </c>
      <c r="D138" s="19">
        <v>8134.4128499999997</v>
      </c>
      <c r="E138" s="19">
        <v>9865.5704942000357</v>
      </c>
      <c r="F138" s="19">
        <v>31567.8141</v>
      </c>
      <c r="G138" s="19">
        <v>29191.044385613393</v>
      </c>
      <c r="H138" s="20">
        <v>0.12759283270301025</v>
      </c>
      <c r="I138" s="20">
        <v>-7.5290918365697235E-2</v>
      </c>
      <c r="J138" s="20">
        <v>3.1546849641041153E-2</v>
      </c>
    </row>
    <row r="139" spans="1:10" ht="11.25" customHeight="1" x14ac:dyDescent="0.2">
      <c r="A139" s="29">
        <v>44621</v>
      </c>
      <c r="B139" s="19">
        <v>26141.339999999997</v>
      </c>
      <c r="C139" s="19">
        <v>28805.082012220544</v>
      </c>
      <c r="D139" s="19">
        <v>6916.1749499999996</v>
      </c>
      <c r="E139" s="19">
        <v>8388.068417187038</v>
      </c>
      <c r="F139" s="19">
        <v>26840.108699999997</v>
      </c>
      <c r="G139" s="19">
        <v>24819.292266941859</v>
      </c>
      <c r="H139" s="20">
        <v>0.12510424590786084</v>
      </c>
      <c r="I139" s="20">
        <v>-7.5290918365697235E-2</v>
      </c>
      <c r="J139" s="20">
        <v>3.5307227857769075E-2</v>
      </c>
    </row>
    <row r="140" spans="1:10" ht="11.25" customHeight="1" x14ac:dyDescent="0.2">
      <c r="A140" s="29">
        <v>44652</v>
      </c>
      <c r="B140" s="19">
        <v>26088.899999999998</v>
      </c>
      <c r="C140" s="19">
        <v>28747.298497652399</v>
      </c>
      <c r="D140" s="19">
        <v>7396.1494199999997</v>
      </c>
      <c r="E140" s="19">
        <v>8970.19057603484</v>
      </c>
      <c r="F140" s="19">
        <v>28702.780919999997</v>
      </c>
      <c r="G140" s="19">
        <v>26541.722184883787</v>
      </c>
      <c r="H140" s="20">
        <v>0.12639789180538852</v>
      </c>
      <c r="I140" s="20">
        <v>-7.5290918365697124E-2</v>
      </c>
      <c r="J140" s="20">
        <v>3.3308460952024888E-2</v>
      </c>
    </row>
    <row r="141" spans="1:10" ht="11.25" customHeight="1" x14ac:dyDescent="0.2">
      <c r="A141" s="29">
        <v>44682</v>
      </c>
      <c r="B141" s="19">
        <v>26141.339999999997</v>
      </c>
      <c r="C141" s="19">
        <v>28805.082012220544</v>
      </c>
      <c r="D141" s="19">
        <v>8509.1445800000001</v>
      </c>
      <c r="E141" s="19">
        <v>10320.052257899617</v>
      </c>
      <c r="F141" s="19">
        <v>33022.06308</v>
      </c>
      <c r="G141" s="19">
        <v>30535.801624376814</v>
      </c>
      <c r="H141" s="20">
        <v>0.12913671321938458</v>
      </c>
      <c r="I141" s="20">
        <v>-7.5290918365697235E-2</v>
      </c>
      <c r="J141" s="20">
        <v>2.9382494131697579E-2</v>
      </c>
    </row>
    <row r="142" spans="1:10" ht="11.25" customHeight="1" x14ac:dyDescent="0.2">
      <c r="A142" s="29">
        <v>44713</v>
      </c>
      <c r="B142" s="19">
        <v>26088.899999999998</v>
      </c>
      <c r="C142" s="19">
        <v>28747.298497652399</v>
      </c>
      <c r="D142" s="19">
        <v>7953.6481199999998</v>
      </c>
      <c r="E142" s="19">
        <v>9646.3355943289225</v>
      </c>
      <c r="F142" s="19">
        <v>30866.307119999998</v>
      </c>
      <c r="G142" s="19">
        <v>28542.354510377536</v>
      </c>
      <c r="H142" s="20">
        <v>0.12781316946791832</v>
      </c>
      <c r="I142" s="20">
        <v>-7.5290918365697346E-2</v>
      </c>
      <c r="J142" s="20">
        <v>3.123045930888102E-2</v>
      </c>
    </row>
    <row r="143" spans="1:10" ht="11.25" customHeight="1" x14ac:dyDescent="0.2">
      <c r="A143" s="29">
        <v>44743</v>
      </c>
      <c r="B143" s="19">
        <v>26088.899999999998</v>
      </c>
      <c r="C143" s="19">
        <v>28747.298497652399</v>
      </c>
      <c r="D143" s="19">
        <v>7953.6481199999998</v>
      </c>
      <c r="E143" s="19">
        <v>9646.3355943289225</v>
      </c>
      <c r="F143" s="19">
        <v>30866.307119999998</v>
      </c>
      <c r="G143" s="19">
        <v>28542.354510377536</v>
      </c>
      <c r="H143" s="20">
        <v>0.12781316946791832</v>
      </c>
      <c r="I143" s="20">
        <v>-7.5290918365697346E-2</v>
      </c>
      <c r="J143" s="20">
        <v>3.123045930888102E-2</v>
      </c>
    </row>
    <row r="144" spans="1:10" ht="11.25" customHeight="1" x14ac:dyDescent="0.2">
      <c r="A144" s="28" t="s">
        <v>34</v>
      </c>
      <c r="B144" s="19">
        <v>327189.09999999998</v>
      </c>
      <c r="C144" s="19">
        <v>360363.99821994232</v>
      </c>
      <c r="D144" s="19">
        <v>10081.403539999999</v>
      </c>
      <c r="E144" s="19">
        <v>12226.917804442122</v>
      </c>
      <c r="F144" s="19">
        <v>64065.329639999996</v>
      </c>
      <c r="G144" s="19">
        <v>56662.031469300986</v>
      </c>
      <c r="H144" s="20">
        <v>0.10472428544346601</v>
      </c>
      <c r="I144" s="20">
        <v>-0.11555857454102081</v>
      </c>
      <c r="J144" s="20">
        <v>6.9560482781921174E-2</v>
      </c>
    </row>
    <row r="145" spans="1:10" ht="11.25" customHeight="1" x14ac:dyDescent="0.2">
      <c r="A145" s="29">
        <v>44409</v>
      </c>
      <c r="B145" s="19">
        <v>35774.899999999994</v>
      </c>
      <c r="C145" s="19">
        <v>39402.247813018876</v>
      </c>
      <c r="D145" s="19">
        <v>996.48982000000001</v>
      </c>
      <c r="E145" s="19">
        <v>1208.5617913974827</v>
      </c>
      <c r="F145" s="19">
        <v>6332.4961199999998</v>
      </c>
      <c r="G145" s="19">
        <v>5600.7218950862543</v>
      </c>
      <c r="H145" s="20">
        <v>0.10441323548581516</v>
      </c>
      <c r="I145" s="20">
        <v>-0.11555857454102092</v>
      </c>
      <c r="J145" s="20">
        <v>7.2096644924970699E-2</v>
      </c>
    </row>
    <row r="146" spans="1:10" ht="11.25" customHeight="1" x14ac:dyDescent="0.2">
      <c r="A146" s="29">
        <v>44440</v>
      </c>
      <c r="B146" s="19">
        <v>38382.399999999994</v>
      </c>
      <c r="C146" s="19">
        <v>42274.131764405094</v>
      </c>
      <c r="D146" s="19">
        <v>1050.8631500000001</v>
      </c>
      <c r="E146" s="19">
        <v>1274.5067993545601</v>
      </c>
      <c r="F146" s="19">
        <v>6678.027900000001</v>
      </c>
      <c r="G146" s="19">
        <v>5906.3245151308338</v>
      </c>
      <c r="H146" s="20">
        <v>0.10436304492745641</v>
      </c>
      <c r="I146" s="20">
        <v>-0.11555857454102092</v>
      </c>
      <c r="J146" s="20">
        <v>7.2513086334209165E-2</v>
      </c>
    </row>
    <row r="147" spans="1:10" ht="11.25" customHeight="1" x14ac:dyDescent="0.2">
      <c r="A147" s="29">
        <v>44470</v>
      </c>
      <c r="B147" s="19">
        <v>38382.399999999994</v>
      </c>
      <c r="C147" s="19">
        <v>42274.131764405094</v>
      </c>
      <c r="D147" s="19">
        <v>1001.9334100000001</v>
      </c>
      <c r="E147" s="19">
        <v>1215.1638808017012</v>
      </c>
      <c r="F147" s="19">
        <v>6367.0890600000012</v>
      </c>
      <c r="G147" s="19">
        <v>5631.3173242506718</v>
      </c>
      <c r="H147" s="20">
        <v>0.10422830297705432</v>
      </c>
      <c r="I147" s="20">
        <v>-0.11555857454102103</v>
      </c>
      <c r="J147" s="20">
        <v>7.3641218514390872E-2</v>
      </c>
    </row>
    <row r="148" spans="1:10" ht="11.25" customHeight="1" x14ac:dyDescent="0.2">
      <c r="A148" s="29">
        <v>44501</v>
      </c>
      <c r="B148" s="19">
        <v>38382.399999999994</v>
      </c>
      <c r="C148" s="19">
        <v>42274.131764405094</v>
      </c>
      <c r="D148" s="19">
        <v>1115.9985200000001</v>
      </c>
      <c r="E148" s="19">
        <v>1353.5042139498621</v>
      </c>
      <c r="F148" s="19">
        <v>7091.9503200000008</v>
      </c>
      <c r="G148" s="19">
        <v>6272.4146503050642</v>
      </c>
      <c r="H148" s="20">
        <v>0.10454189569898942</v>
      </c>
      <c r="I148" s="20">
        <v>-0.11555857454102081</v>
      </c>
      <c r="J148" s="20">
        <v>7.1038356034340167E-2</v>
      </c>
    </row>
    <row r="149" spans="1:10" ht="11.25" customHeight="1" x14ac:dyDescent="0.2">
      <c r="A149" s="29">
        <v>44531</v>
      </c>
      <c r="B149" s="19">
        <v>46100.6</v>
      </c>
      <c r="C149" s="19">
        <v>50774.908260508288</v>
      </c>
      <c r="D149" s="19">
        <v>1140.5259600000002</v>
      </c>
      <c r="E149" s="19">
        <v>1383.2515593113976</v>
      </c>
      <c r="F149" s="19">
        <v>7247.8173600000009</v>
      </c>
      <c r="G149" s="19">
        <v>6410.2699173447354</v>
      </c>
      <c r="H149" s="20">
        <v>0.10408375668232472</v>
      </c>
      <c r="I149" s="20">
        <v>-0.11555857454102092</v>
      </c>
      <c r="J149" s="20">
        <v>7.4868150648593312E-2</v>
      </c>
    </row>
    <row r="150" spans="1:10" ht="11.25" customHeight="1" x14ac:dyDescent="0.2">
      <c r="A150" s="29">
        <v>44562</v>
      </c>
      <c r="B150" s="19">
        <v>18252.5</v>
      </c>
      <c r="C150" s="19">
        <v>20103.187659703508</v>
      </c>
      <c r="D150" s="19">
        <v>713.1728599999999</v>
      </c>
      <c r="E150" s="19">
        <v>864.9495980377061</v>
      </c>
      <c r="F150" s="19">
        <v>4532.0727599999991</v>
      </c>
      <c r="G150" s="19">
        <v>4008.3528921382094</v>
      </c>
      <c r="H150" s="20">
        <v>0.10558362007627786</v>
      </c>
      <c r="I150" s="20">
        <v>-0.11555857454102081</v>
      </c>
      <c r="J150" s="20">
        <v>6.2931336213836619E-2</v>
      </c>
    </row>
    <row r="151" spans="1:10" ht="11.25" customHeight="1" x14ac:dyDescent="0.2">
      <c r="A151" s="29">
        <v>44593</v>
      </c>
      <c r="B151" s="19">
        <v>22111.599999999999</v>
      </c>
      <c r="C151" s="19">
        <v>24353.575907755108</v>
      </c>
      <c r="D151" s="19">
        <v>808.4043999999999</v>
      </c>
      <c r="E151" s="19">
        <v>980.44821956897385</v>
      </c>
      <c r="F151" s="19">
        <v>5137.2503999999999</v>
      </c>
      <c r="G151" s="19">
        <v>4543.5970667157098</v>
      </c>
      <c r="H151" s="20">
        <v>0.10532370261342905</v>
      </c>
      <c r="I151" s="20">
        <v>-0.11555857454102103</v>
      </c>
      <c r="J151" s="20">
        <v>6.4880417097676668E-2</v>
      </c>
    </row>
    <row r="152" spans="1:10" ht="11.25" customHeight="1" x14ac:dyDescent="0.2">
      <c r="A152" s="29">
        <v>44621</v>
      </c>
      <c r="B152" s="19">
        <v>17522.400000000001</v>
      </c>
      <c r="C152" s="19">
        <v>19299.060153315368</v>
      </c>
      <c r="D152" s="19">
        <v>706.97843</v>
      </c>
      <c r="E152" s="19">
        <v>857.43687561221645</v>
      </c>
      <c r="F152" s="19">
        <v>4492.70838</v>
      </c>
      <c r="G152" s="19">
        <v>3973.537403778701</v>
      </c>
      <c r="H152" s="20">
        <v>0.10571499222135494</v>
      </c>
      <c r="I152" s="20">
        <v>-0.11555857454102081</v>
      </c>
      <c r="J152" s="20">
        <v>6.1963834329100687E-2</v>
      </c>
    </row>
    <row r="153" spans="1:10" ht="11.25" customHeight="1" x14ac:dyDescent="0.2">
      <c r="A153" s="29">
        <v>44652</v>
      </c>
      <c r="B153" s="19">
        <v>17522.400000000001</v>
      </c>
      <c r="C153" s="19">
        <v>19299.060153315368</v>
      </c>
      <c r="D153" s="19">
        <v>632.39499000000012</v>
      </c>
      <c r="E153" s="19">
        <v>766.98066216591485</v>
      </c>
      <c r="F153" s="19">
        <v>4018.7453400000004</v>
      </c>
      <c r="G153" s="19">
        <v>3554.3448570662299</v>
      </c>
      <c r="H153" s="20">
        <v>0.10527498804222413</v>
      </c>
      <c r="I153" s="20">
        <v>-0.11555857454102092</v>
      </c>
      <c r="J153" s="20">
        <v>6.5250984778014054E-2</v>
      </c>
    </row>
    <row r="154" spans="1:10" ht="11.25" customHeight="1" x14ac:dyDescent="0.2">
      <c r="A154" s="29">
        <v>44682</v>
      </c>
      <c r="B154" s="19">
        <v>17939.600000000002</v>
      </c>
      <c r="C154" s="19">
        <v>19758.561585537162</v>
      </c>
      <c r="D154" s="19">
        <v>662.86658</v>
      </c>
      <c r="E154" s="19">
        <v>803.93718561251626</v>
      </c>
      <c r="F154" s="19">
        <v>4212.3862799999997</v>
      </c>
      <c r="G154" s="19">
        <v>3725.608926067046</v>
      </c>
      <c r="H154" s="20">
        <v>0.1053641022667906</v>
      </c>
      <c r="I154" s="20">
        <v>-0.11555857454102092</v>
      </c>
      <c r="J154" s="20">
        <v>6.4574373819420883E-2</v>
      </c>
    </row>
    <row r="155" spans="1:10" ht="11.25" customHeight="1" x14ac:dyDescent="0.2">
      <c r="A155" s="29">
        <v>44713</v>
      </c>
      <c r="B155" s="19">
        <v>18408.949999999997</v>
      </c>
      <c r="C155" s="19">
        <v>20275.500696786679</v>
      </c>
      <c r="D155" s="19">
        <v>625.88770999999997</v>
      </c>
      <c r="E155" s="19">
        <v>759.08850931489519</v>
      </c>
      <c r="F155" s="19">
        <v>3977.3928600000004</v>
      </c>
      <c r="G155" s="19">
        <v>3517.771010708766</v>
      </c>
      <c r="H155" s="20">
        <v>0.10505744921854543</v>
      </c>
      <c r="I155" s="20">
        <v>-0.11555857454102092</v>
      </c>
      <c r="J155" s="20">
        <v>6.6926569422528726E-2</v>
      </c>
    </row>
    <row r="156" spans="1:10" ht="11.25" customHeight="1" x14ac:dyDescent="0.2">
      <c r="A156" s="29">
        <v>44743</v>
      </c>
      <c r="B156" s="19">
        <v>18408.949999999997</v>
      </c>
      <c r="C156" s="19">
        <v>20275.500696786679</v>
      </c>
      <c r="D156" s="19">
        <v>625.88770999999997</v>
      </c>
      <c r="E156" s="19">
        <v>759.08850931489519</v>
      </c>
      <c r="F156" s="19">
        <v>3977.3928600000004</v>
      </c>
      <c r="G156" s="19">
        <v>3517.771010708766</v>
      </c>
      <c r="H156" s="20">
        <v>0.10505744921854543</v>
      </c>
      <c r="I156" s="20">
        <v>-0.11555857454102092</v>
      </c>
      <c r="J156" s="20">
        <v>6.6926569422528726E-2</v>
      </c>
    </row>
    <row r="157" spans="1:10" ht="11.25" customHeight="1" x14ac:dyDescent="0.2">
      <c r="A157" s="24" t="s">
        <v>46</v>
      </c>
      <c r="B157" s="19">
        <v>6879440.2999999989</v>
      </c>
      <c r="C157" s="19">
        <v>7578409.2242430113</v>
      </c>
      <c r="D157" s="19">
        <v>1422476.7040500001</v>
      </c>
      <c r="E157" s="19">
        <v>1725206.780002885</v>
      </c>
      <c r="F157" s="19">
        <v>5843148.5961000016</v>
      </c>
      <c r="G157" s="19">
        <v>5369820.8252439564</v>
      </c>
      <c r="H157" s="20">
        <v>0.12065875865866071</v>
      </c>
      <c r="I157" s="20">
        <v>-8.1005602214525685E-2</v>
      </c>
      <c r="J157" s="20">
        <v>3.7353748952161592E-2</v>
      </c>
    </row>
    <row r="158" spans="1:10" ht="11.25" customHeight="1" x14ac:dyDescent="0.2">
      <c r="A158" s="25" t="s">
        <v>25</v>
      </c>
      <c r="B158" s="19">
        <v>6879440.2999999989</v>
      </c>
      <c r="C158" s="19">
        <v>7578409.2242430113</v>
      </c>
      <c r="D158" s="19">
        <v>1422476.7040500001</v>
      </c>
      <c r="E158" s="19">
        <v>1725206.780002885</v>
      </c>
      <c r="F158" s="19">
        <v>5843148.5961000016</v>
      </c>
      <c r="G158" s="19">
        <v>5369820.8252439564</v>
      </c>
      <c r="H158" s="20">
        <v>0.12065875865866071</v>
      </c>
      <c r="I158" s="20">
        <v>-8.1005602214525685E-2</v>
      </c>
      <c r="J158" s="20">
        <v>3.7353748952161592E-2</v>
      </c>
    </row>
    <row r="159" spans="1:10" ht="11.25" customHeight="1" x14ac:dyDescent="0.2">
      <c r="A159" s="26" t="s">
        <v>25</v>
      </c>
      <c r="B159" s="19">
        <v>6879440.2999999989</v>
      </c>
      <c r="C159" s="19">
        <v>7578409.2242430113</v>
      </c>
      <c r="D159" s="19">
        <v>1422476.7040500001</v>
      </c>
      <c r="E159" s="19">
        <v>1725206.780002885</v>
      </c>
      <c r="F159" s="19">
        <v>5843148.5961000016</v>
      </c>
      <c r="G159" s="19">
        <v>5369820.8252439564</v>
      </c>
      <c r="H159" s="20">
        <v>0.12065875865866071</v>
      </c>
      <c r="I159" s="20">
        <v>-8.1005602214525685E-2</v>
      </c>
      <c r="J159" s="20">
        <v>3.7353748952161592E-2</v>
      </c>
    </row>
    <row r="160" spans="1:10" ht="11.25" customHeight="1" x14ac:dyDescent="0.2">
      <c r="A160" s="27" t="s">
        <v>25</v>
      </c>
      <c r="B160" s="19">
        <v>6879440.2999999989</v>
      </c>
      <c r="C160" s="19">
        <v>7578409.2242430113</v>
      </c>
      <c r="D160" s="19">
        <v>1422476.7040500001</v>
      </c>
      <c r="E160" s="19">
        <v>1725206.780002885</v>
      </c>
      <c r="F160" s="19">
        <v>5843148.5961000016</v>
      </c>
      <c r="G160" s="19">
        <v>5369820.8252439564</v>
      </c>
      <c r="H160" s="20">
        <v>0.12065875865866071</v>
      </c>
      <c r="I160" s="20">
        <v>-8.1005602214525685E-2</v>
      </c>
      <c r="J160" s="20">
        <v>3.7353748952161592E-2</v>
      </c>
    </row>
    <row r="161" spans="1:10" ht="11.25" customHeight="1" x14ac:dyDescent="0.2">
      <c r="A161" s="28" t="s">
        <v>35</v>
      </c>
      <c r="B161" s="19">
        <v>2851687.2</v>
      </c>
      <c r="C161" s="19">
        <v>3142267.5222157538</v>
      </c>
      <c r="D161" s="19">
        <v>1291985.6550799999</v>
      </c>
      <c r="E161" s="19">
        <v>1566944.7559066233</v>
      </c>
      <c r="F161" s="19">
        <v>5013903.7360800002</v>
      </c>
      <c r="G161" s="19">
        <v>4636402.3191933371</v>
      </c>
      <c r="H161" s="20">
        <v>0.1364826430129602</v>
      </c>
      <c r="I161" s="20">
        <v>-7.5290918365696902E-2</v>
      </c>
      <c r="J161" s="20">
        <v>2.0533599067818153E-2</v>
      </c>
    </row>
    <row r="162" spans="1:10" ht="11.25" customHeight="1" x14ac:dyDescent="0.2">
      <c r="A162" s="29">
        <v>44409</v>
      </c>
      <c r="B162" s="19">
        <v>236189.75999999998</v>
      </c>
      <c r="C162" s="19">
        <v>260256.94961492746</v>
      </c>
      <c r="D162" s="19">
        <v>93187.816090000008</v>
      </c>
      <c r="E162" s="19">
        <v>113019.95433345178</v>
      </c>
      <c r="F162" s="19">
        <v>361640.81034000003</v>
      </c>
      <c r="G162" s="19">
        <v>334412.54161098652</v>
      </c>
      <c r="H162" s="20">
        <v>0.13327964939053438</v>
      </c>
      <c r="I162" s="20">
        <v>-7.5290918365697124E-2</v>
      </c>
      <c r="J162" s="20">
        <v>2.412534811916256E-2</v>
      </c>
    </row>
    <row r="163" spans="1:10" ht="11.25" customHeight="1" x14ac:dyDescent="0.2">
      <c r="A163" s="29">
        <v>44440</v>
      </c>
      <c r="B163" s="19">
        <v>245969.81999999998</v>
      </c>
      <c r="C163" s="19">
        <v>271033.57508188661</v>
      </c>
      <c r="D163" s="19">
        <v>110870.9115</v>
      </c>
      <c r="E163" s="19">
        <v>134466.34850350179</v>
      </c>
      <c r="F163" s="19">
        <v>430264.89899999998</v>
      </c>
      <c r="G163" s="19">
        <v>397869.85961376596</v>
      </c>
      <c r="H163" s="20">
        <v>0.13636109275095021</v>
      </c>
      <c r="I163" s="20">
        <v>-7.5290918365697346E-2</v>
      </c>
      <c r="J163" s="20">
        <v>2.0663240191564514E-2</v>
      </c>
    </row>
    <row r="164" spans="1:10" ht="11.25" customHeight="1" x14ac:dyDescent="0.2">
      <c r="A164" s="29">
        <v>44470</v>
      </c>
      <c r="B164" s="19">
        <v>242010.59999999998</v>
      </c>
      <c r="C164" s="19">
        <v>266670.9197319916</v>
      </c>
      <c r="D164" s="19">
        <v>108599.24507999999</v>
      </c>
      <c r="E164" s="19">
        <v>131711.22829764491</v>
      </c>
      <c r="F164" s="19">
        <v>421449.07608000003</v>
      </c>
      <c r="G164" s="19">
        <v>389717.78809756215</v>
      </c>
      <c r="H164" s="20">
        <v>0.13625488165837463</v>
      </c>
      <c r="I164" s="20">
        <v>-7.5290918365697457E-2</v>
      </c>
      <c r="J164" s="20">
        <v>2.0776931044456326E-2</v>
      </c>
    </row>
    <row r="165" spans="1:10" ht="11.25" customHeight="1" x14ac:dyDescent="0.2">
      <c r="A165" s="29">
        <v>44501</v>
      </c>
      <c r="B165" s="19">
        <v>235350.71999999997</v>
      </c>
      <c r="C165" s="19">
        <v>259332.41338183713</v>
      </c>
      <c r="D165" s="19">
        <v>107654.56322</v>
      </c>
      <c r="E165" s="19">
        <v>130565.50018471514</v>
      </c>
      <c r="F165" s="19">
        <v>417782.97971999994</v>
      </c>
      <c r="G165" s="19">
        <v>386327.71549932368</v>
      </c>
      <c r="H165" s="20">
        <v>0.13671110224992034</v>
      </c>
      <c r="I165" s="20">
        <v>-7.5290918365697235E-2</v>
      </c>
      <c r="J165" s="20">
        <v>2.0291277978211175E-2</v>
      </c>
    </row>
    <row r="166" spans="1:10" ht="11.25" customHeight="1" x14ac:dyDescent="0.2">
      <c r="A166" s="29">
        <v>44531</v>
      </c>
      <c r="B166" s="19">
        <v>236478.18</v>
      </c>
      <c r="C166" s="19">
        <v>260574.75894505225</v>
      </c>
      <c r="D166" s="19">
        <v>109642.6624</v>
      </c>
      <c r="E166" s="19">
        <v>132976.70465287188</v>
      </c>
      <c r="F166" s="19">
        <v>425498.34240000002</v>
      </c>
      <c r="G166" s="19">
        <v>393462.18143762212</v>
      </c>
      <c r="H166" s="20">
        <v>0.13703486004783905</v>
      </c>
      <c r="I166" s="20">
        <v>-7.5290918365697235E-2</v>
      </c>
      <c r="J166" s="20">
        <v>1.9950852102694316E-2</v>
      </c>
    </row>
    <row r="167" spans="1:10" ht="11.25" customHeight="1" x14ac:dyDescent="0.2">
      <c r="A167" s="29">
        <v>44562</v>
      </c>
      <c r="B167" s="19">
        <v>234485.45999999996</v>
      </c>
      <c r="C167" s="19">
        <v>258378.98539146275</v>
      </c>
      <c r="D167" s="19">
        <v>98786.955109999995</v>
      </c>
      <c r="E167" s="19">
        <v>119810.6965452435</v>
      </c>
      <c r="F167" s="19">
        <v>383369.80085999996</v>
      </c>
      <c r="G167" s="19">
        <v>354505.53647957608</v>
      </c>
      <c r="H167" s="20">
        <v>0.13477643150238183</v>
      </c>
      <c r="I167" s="20">
        <v>-7.5290918365697235E-2</v>
      </c>
      <c r="J167" s="20">
        <v>2.2400302533885919E-2</v>
      </c>
    </row>
    <row r="168" spans="1:10" ht="11.25" customHeight="1" x14ac:dyDescent="0.2">
      <c r="A168" s="29">
        <v>44593</v>
      </c>
      <c r="B168" s="19">
        <v>246363.12</v>
      </c>
      <c r="C168" s="19">
        <v>271466.95144114771</v>
      </c>
      <c r="D168" s="19">
        <v>106171.21622999999</v>
      </c>
      <c r="E168" s="19">
        <v>128766.46876510822</v>
      </c>
      <c r="F168" s="19">
        <v>412026.44597999996</v>
      </c>
      <c r="G168" s="19">
        <v>381004.59647121147</v>
      </c>
      <c r="H168" s="20">
        <v>0.13530337069106402</v>
      </c>
      <c r="I168" s="20">
        <v>-7.5290918365697124E-2</v>
      </c>
      <c r="J168" s="20">
        <v>2.1812830131387351E-2</v>
      </c>
    </row>
    <row r="169" spans="1:10" ht="11.25" customHeight="1" x14ac:dyDescent="0.2">
      <c r="A169" s="29">
        <v>44621</v>
      </c>
      <c r="B169" s="19">
        <v>235717.8</v>
      </c>
      <c r="C169" s="19">
        <v>259736.89798381412</v>
      </c>
      <c r="D169" s="19">
        <v>119192.78407000001</v>
      </c>
      <c r="E169" s="19">
        <v>144559.27370867931</v>
      </c>
      <c r="F169" s="19">
        <v>462560.20181999996</v>
      </c>
      <c r="G169" s="19">
        <v>427733.61942554993</v>
      </c>
      <c r="H169" s="20">
        <v>0.13914937970053032</v>
      </c>
      <c r="I169" s="20">
        <v>-7.5290918365697235E-2</v>
      </c>
      <c r="J169" s="20">
        <v>1.7809817157187657E-2</v>
      </c>
    </row>
    <row r="170" spans="1:10" ht="11.25" customHeight="1" x14ac:dyDescent="0.2">
      <c r="A170" s="29">
        <v>44652</v>
      </c>
      <c r="B170" s="19">
        <v>235848.89999999997</v>
      </c>
      <c r="C170" s="19">
        <v>259881.3567702345</v>
      </c>
      <c r="D170" s="19">
        <v>115975.43466999999</v>
      </c>
      <c r="E170" s="19">
        <v>140657.21121253094</v>
      </c>
      <c r="F170" s="19">
        <v>450074.39741999994</v>
      </c>
      <c r="G170" s="19">
        <v>416187.88270536036</v>
      </c>
      <c r="H170" s="20">
        <v>0.13846180753374515</v>
      </c>
      <c r="I170" s="20">
        <v>-7.5290918365697235E-2</v>
      </c>
      <c r="J170" s="20">
        <v>1.8490761993700033E-2</v>
      </c>
    </row>
    <row r="171" spans="1:10" ht="11.25" customHeight="1" x14ac:dyDescent="0.2">
      <c r="A171" s="29">
        <v>44682</v>
      </c>
      <c r="B171" s="19">
        <v>235665.36</v>
      </c>
      <c r="C171" s="19">
        <v>259679.11446924601</v>
      </c>
      <c r="D171" s="19">
        <v>120873.41427000001</v>
      </c>
      <c r="E171" s="19">
        <v>146597.57395462532</v>
      </c>
      <c r="F171" s="19">
        <v>469082.34701999999</v>
      </c>
      <c r="G171" s="19">
        <v>433764.7063237275</v>
      </c>
      <c r="H171" s="20">
        <v>0.13950211798340262</v>
      </c>
      <c r="I171" s="20">
        <v>-7.5290918365697235E-2</v>
      </c>
      <c r="J171" s="20">
        <v>1.7465969663019054E-2</v>
      </c>
    </row>
    <row r="172" spans="1:10" ht="11.25" customHeight="1" x14ac:dyDescent="0.2">
      <c r="A172" s="29">
        <v>44713</v>
      </c>
      <c r="B172" s="19">
        <v>233803.74</v>
      </c>
      <c r="C172" s="19">
        <v>257627.79970207682</v>
      </c>
      <c r="D172" s="19">
        <v>100515.32622</v>
      </c>
      <c r="E172" s="19">
        <v>121906.89787412537</v>
      </c>
      <c r="F172" s="19">
        <v>390077.21771999996</v>
      </c>
      <c r="G172" s="19">
        <v>360707.94576432515</v>
      </c>
      <c r="H172" s="20">
        <v>0.13524694199297604</v>
      </c>
      <c r="I172" s="20">
        <v>-7.5290918365697235E-2</v>
      </c>
      <c r="J172" s="20">
        <v>2.1875263238981368E-2</v>
      </c>
    </row>
    <row r="173" spans="1:10" ht="11.25" customHeight="1" x14ac:dyDescent="0.2">
      <c r="A173" s="29">
        <v>44743</v>
      </c>
      <c r="B173" s="19">
        <v>233803.74</v>
      </c>
      <c r="C173" s="19">
        <v>257627.79970207682</v>
      </c>
      <c r="D173" s="19">
        <v>100515.32622</v>
      </c>
      <c r="E173" s="19">
        <v>121906.89787412537</v>
      </c>
      <c r="F173" s="19">
        <v>390077.21771999996</v>
      </c>
      <c r="G173" s="19">
        <v>360707.94576432515</v>
      </c>
      <c r="H173" s="20">
        <v>0.13524694199297604</v>
      </c>
      <c r="I173" s="20">
        <v>-7.5290918365697235E-2</v>
      </c>
      <c r="J173" s="20">
        <v>2.1875263238981368E-2</v>
      </c>
    </row>
    <row r="174" spans="1:10" ht="11.25" customHeight="1" x14ac:dyDescent="0.2">
      <c r="A174" s="28" t="s">
        <v>34</v>
      </c>
      <c r="B174" s="19">
        <v>4027753.1</v>
      </c>
      <c r="C174" s="19">
        <v>4436141.7020272594</v>
      </c>
      <c r="D174" s="19">
        <v>130491.04897</v>
      </c>
      <c r="E174" s="19">
        <v>158262.02409626209</v>
      </c>
      <c r="F174" s="19">
        <v>829244.86002000014</v>
      </c>
      <c r="G174" s="19">
        <v>733418.50605062046</v>
      </c>
      <c r="H174" s="20">
        <v>0.1048903242638024</v>
      </c>
      <c r="I174" s="20">
        <v>-0.11555857454102103</v>
      </c>
      <c r="J174" s="20">
        <v>6.8237388106658026E-2</v>
      </c>
    </row>
    <row r="175" spans="1:10" ht="11.25" customHeight="1" x14ac:dyDescent="0.2">
      <c r="A175" s="29">
        <v>44409</v>
      </c>
      <c r="B175" s="19">
        <v>331465.40000000002</v>
      </c>
      <c r="C175" s="19">
        <v>365073.88790021569</v>
      </c>
      <c r="D175" s="19">
        <v>9633.5900499999989</v>
      </c>
      <c r="E175" s="19">
        <v>11683.801093338781</v>
      </c>
      <c r="F175" s="19">
        <v>61219.563299999994</v>
      </c>
      <c r="G175" s="19">
        <v>54145.117831028198</v>
      </c>
      <c r="H175" s="20">
        <v>0.10454061719246766</v>
      </c>
      <c r="I175" s="20">
        <v>-0.11555857454102092</v>
      </c>
      <c r="J175" s="20">
        <v>7.1048807559505045E-2</v>
      </c>
    </row>
    <row r="176" spans="1:10" ht="11.25" customHeight="1" x14ac:dyDescent="0.2">
      <c r="A176" s="29">
        <v>44440</v>
      </c>
      <c r="B176" s="19">
        <v>352325.4</v>
      </c>
      <c r="C176" s="19">
        <v>388048.95951130544</v>
      </c>
      <c r="D176" s="19">
        <v>11466.76591</v>
      </c>
      <c r="E176" s="19">
        <v>13907.111614773134</v>
      </c>
      <c r="F176" s="19">
        <v>72869.034060000005</v>
      </c>
      <c r="G176" s="19">
        <v>64448.392355845295</v>
      </c>
      <c r="H176" s="20">
        <v>0.10490579180179505</v>
      </c>
      <c r="I176" s="20">
        <v>-0.11555857454102103</v>
      </c>
      <c r="J176" s="20">
        <v>6.8115196664982447E-2</v>
      </c>
    </row>
    <row r="177" spans="1:10" ht="11.25" customHeight="1" x14ac:dyDescent="0.2">
      <c r="A177" s="29">
        <v>44470</v>
      </c>
      <c r="B177" s="19">
        <v>342364.75</v>
      </c>
      <c r="C177" s="19">
        <v>377078.36281701009</v>
      </c>
      <c r="D177" s="19">
        <v>10334.937180000001</v>
      </c>
      <c r="E177" s="19">
        <v>12534.408221291462</v>
      </c>
      <c r="F177" s="19">
        <v>65676.485880000007</v>
      </c>
      <c r="G177" s="19">
        <v>58087.004790843712</v>
      </c>
      <c r="H177" s="20">
        <v>0.10465868045826454</v>
      </c>
      <c r="I177" s="20">
        <v>-0.11555857454102103</v>
      </c>
      <c r="J177" s="20">
        <v>7.0089084076353059E-2</v>
      </c>
    </row>
    <row r="178" spans="1:10" ht="11.25" customHeight="1" x14ac:dyDescent="0.2">
      <c r="A178" s="29">
        <v>44501</v>
      </c>
      <c r="B178" s="19">
        <v>335533.09999999998</v>
      </c>
      <c r="C178" s="19">
        <v>369554.02686437825</v>
      </c>
      <c r="D178" s="19">
        <v>9830.3726999999999</v>
      </c>
      <c r="E178" s="19">
        <v>11922.462830997021</v>
      </c>
      <c r="F178" s="19">
        <v>62470.078200000004</v>
      </c>
      <c r="G178" s="19">
        <v>55251.125011741897</v>
      </c>
      <c r="H178" s="20">
        <v>0.10456524748563911</v>
      </c>
      <c r="I178" s="20">
        <v>-0.11555857454102092</v>
      </c>
      <c r="J178" s="20">
        <v>7.084768710998457E-2</v>
      </c>
    </row>
    <row r="179" spans="1:10" ht="11.25" customHeight="1" x14ac:dyDescent="0.2">
      <c r="A179" s="29">
        <v>44531</v>
      </c>
      <c r="B179" s="19">
        <v>332821.3</v>
      </c>
      <c r="C179" s="19">
        <v>366567.26755493658</v>
      </c>
      <c r="D179" s="19">
        <v>11118.87671</v>
      </c>
      <c r="E179" s="19">
        <v>13485.184981584007</v>
      </c>
      <c r="F179" s="19">
        <v>70658.266860000003</v>
      </c>
      <c r="G179" s="19">
        <v>62493.09826211934</v>
      </c>
      <c r="H179" s="20">
        <v>0.10499580529369035</v>
      </c>
      <c r="I179" s="20">
        <v>-0.11555857454102103</v>
      </c>
      <c r="J179" s="20">
        <v>6.7407651094863352E-2</v>
      </c>
    </row>
    <row r="180" spans="1:10" ht="11.25" customHeight="1" x14ac:dyDescent="0.2">
      <c r="A180" s="29">
        <v>44562</v>
      </c>
      <c r="B180" s="19">
        <v>329796.59999999998</v>
      </c>
      <c r="C180" s="19">
        <v>363235.88217132853</v>
      </c>
      <c r="D180" s="19">
        <v>9634.7163099999998</v>
      </c>
      <c r="E180" s="19">
        <v>11685.167042870689</v>
      </c>
      <c r="F180" s="19">
        <v>61226.720459999997</v>
      </c>
      <c r="G180" s="19">
        <v>54151.447919820843</v>
      </c>
      <c r="H180" s="20">
        <v>0.1045564483855308</v>
      </c>
      <c r="I180" s="20">
        <v>-0.11555857454102081</v>
      </c>
      <c r="J180" s="20">
        <v>7.0919481843145116E-2</v>
      </c>
    </row>
    <row r="181" spans="1:10" ht="11.25" customHeight="1" x14ac:dyDescent="0.2">
      <c r="A181" s="29">
        <v>44593</v>
      </c>
      <c r="B181" s="19">
        <v>353837.75</v>
      </c>
      <c r="C181" s="19">
        <v>389714.65220310946</v>
      </c>
      <c r="D181" s="19">
        <v>11284.18665</v>
      </c>
      <c r="E181" s="19">
        <v>13685.676018433947</v>
      </c>
      <c r="F181" s="19">
        <v>71708.778900000005</v>
      </c>
      <c r="G181" s="19">
        <v>63422.214628238769</v>
      </c>
      <c r="H181" s="20">
        <v>0.10483728236859258</v>
      </c>
      <c r="I181" s="20">
        <v>-0.11555857454102092</v>
      </c>
      <c r="J181" s="20">
        <v>6.8657780307459504E-2</v>
      </c>
    </row>
    <row r="182" spans="1:10" ht="11.25" customHeight="1" x14ac:dyDescent="0.2">
      <c r="A182" s="29">
        <v>44621</v>
      </c>
      <c r="B182" s="19">
        <v>331830.44999999995</v>
      </c>
      <c r="C182" s="19">
        <v>365475.95165340975</v>
      </c>
      <c r="D182" s="19">
        <v>11979.589629999999</v>
      </c>
      <c r="E182" s="19">
        <v>14529.07396830156</v>
      </c>
      <c r="F182" s="19">
        <v>76127.927579999989</v>
      </c>
      <c r="G182" s="19">
        <v>67330.692786093132</v>
      </c>
      <c r="H182" s="20">
        <v>0.10527611709845219</v>
      </c>
      <c r="I182" s="20">
        <v>-0.1155585745410207</v>
      </c>
      <c r="J182" s="20">
        <v>6.5242377058285062E-2</v>
      </c>
    </row>
    <row r="183" spans="1:10" ht="11.25" customHeight="1" x14ac:dyDescent="0.2">
      <c r="A183" s="29">
        <v>44652</v>
      </c>
      <c r="B183" s="19">
        <v>332195.5</v>
      </c>
      <c r="C183" s="19">
        <v>365878.01540660381</v>
      </c>
      <c r="D183" s="19">
        <v>11197.33949</v>
      </c>
      <c r="E183" s="19">
        <v>13580.346132306877</v>
      </c>
      <c r="F183" s="19">
        <v>71156.882340000011</v>
      </c>
      <c r="G183" s="19">
        <v>62934.09444800645</v>
      </c>
      <c r="H183" s="20">
        <v>0.10502700668562115</v>
      </c>
      <c r="I183" s="20">
        <v>-0.11555857454102114</v>
      </c>
      <c r="J183" s="20">
        <v>6.7163798914174677E-2</v>
      </c>
    </row>
    <row r="184" spans="1:10" ht="11.25" customHeight="1" x14ac:dyDescent="0.2">
      <c r="A184" s="29">
        <v>44682</v>
      </c>
      <c r="B184" s="19">
        <v>331100.34999999998</v>
      </c>
      <c r="C184" s="19">
        <v>364671.82414702163</v>
      </c>
      <c r="D184" s="19">
        <v>12881.411039999999</v>
      </c>
      <c r="E184" s="19">
        <v>15622.82011293373</v>
      </c>
      <c r="F184" s="19">
        <v>81858.824640000006</v>
      </c>
      <c r="G184" s="19">
        <v>72399.335550998207</v>
      </c>
      <c r="H184" s="20">
        <v>0.10556630418475232</v>
      </c>
      <c r="I184" s="20">
        <v>-0.11555857454102092</v>
      </c>
      <c r="J184" s="20">
        <v>6.3059734168064319E-2</v>
      </c>
    </row>
    <row r="185" spans="1:10" ht="11.25" customHeight="1" x14ac:dyDescent="0.2">
      <c r="A185" s="29">
        <v>44713</v>
      </c>
      <c r="B185" s="19">
        <v>327241.25</v>
      </c>
      <c r="C185" s="19">
        <v>360421.43589897006</v>
      </c>
      <c r="D185" s="19">
        <v>10564.631649999999</v>
      </c>
      <c r="E185" s="19">
        <v>12812.986039715433</v>
      </c>
      <c r="F185" s="19">
        <v>67136.1489</v>
      </c>
      <c r="G185" s="19">
        <v>59377.991232942273</v>
      </c>
      <c r="H185" s="20">
        <v>0.10487839973548163</v>
      </c>
      <c r="I185" s="20">
        <v>-0.11555857454102092</v>
      </c>
      <c r="J185" s="20">
        <v>6.8331713020861828E-2</v>
      </c>
    </row>
    <row r="186" spans="1:10" ht="11.25" customHeight="1" x14ac:dyDescent="0.2">
      <c r="A186" s="29">
        <v>44743</v>
      </c>
      <c r="B186" s="19">
        <v>327241.25</v>
      </c>
      <c r="C186" s="19">
        <v>360421.43589897006</v>
      </c>
      <c r="D186" s="19">
        <v>10564.631649999999</v>
      </c>
      <c r="E186" s="19">
        <v>12812.986039715433</v>
      </c>
      <c r="F186" s="19">
        <v>67136.1489</v>
      </c>
      <c r="G186" s="19">
        <v>59377.991232942273</v>
      </c>
      <c r="H186" s="20">
        <v>0.10487839973548163</v>
      </c>
      <c r="I186" s="20">
        <v>-0.11555857454102092</v>
      </c>
      <c r="J186" s="20">
        <v>6.8331713020861828E-2</v>
      </c>
    </row>
    <row r="187" spans="1:10" ht="11.25" customHeight="1" x14ac:dyDescent="0.2">
      <c r="A187" s="24" t="s">
        <v>50</v>
      </c>
      <c r="B187" s="19">
        <v>12662675.649499997</v>
      </c>
      <c r="C187" s="19">
        <v>13948757.518049181</v>
      </c>
      <c r="D187" s="19">
        <v>5374675.7924368</v>
      </c>
      <c r="E187" s="19">
        <v>6518508.9436117914</v>
      </c>
      <c r="F187" s="19">
        <v>22052656.400716804</v>
      </c>
      <c r="G187" s="19">
        <v>20268715.930736061</v>
      </c>
      <c r="H187" s="20">
        <v>0.13471573293596917</v>
      </c>
      <c r="I187" s="20">
        <v>-8.0894584197246933E-2</v>
      </c>
      <c r="J187" s="20">
        <v>1.6113106095632768E-2</v>
      </c>
    </row>
    <row r="188" spans="1:10" ht="11.25" customHeight="1" x14ac:dyDescent="0.2">
      <c r="A188" s="25" t="s">
        <v>51</v>
      </c>
      <c r="B188" s="19">
        <v>12662675.649499997</v>
      </c>
      <c r="C188" s="19">
        <v>13948757.518049181</v>
      </c>
      <c r="D188" s="19">
        <v>5374675.7924368</v>
      </c>
      <c r="E188" s="19">
        <v>6518508.9436117914</v>
      </c>
      <c r="F188" s="19">
        <v>22052656.400716804</v>
      </c>
      <c r="G188" s="19">
        <v>20268715.930736061</v>
      </c>
      <c r="H188" s="20">
        <v>0.13471573293596917</v>
      </c>
      <c r="I188" s="20">
        <v>-8.0894584197246933E-2</v>
      </c>
      <c r="J188" s="20">
        <v>1.6113106095632768E-2</v>
      </c>
    </row>
    <row r="189" spans="1:10" ht="11.25" customHeight="1" x14ac:dyDescent="0.2">
      <c r="A189" s="26" t="s">
        <v>25</v>
      </c>
      <c r="B189" s="19">
        <v>12662675.649499997</v>
      </c>
      <c r="C189" s="19">
        <v>13948757.518049181</v>
      </c>
      <c r="D189" s="19">
        <v>5374675.7924368</v>
      </c>
      <c r="E189" s="19">
        <v>6518508.9436117914</v>
      </c>
      <c r="F189" s="19">
        <v>22052656.400716804</v>
      </c>
      <c r="G189" s="19">
        <v>20268715.930736061</v>
      </c>
      <c r="H189" s="20">
        <v>0.13471573293596917</v>
      </c>
      <c r="I189" s="20">
        <v>-8.0894584197246933E-2</v>
      </c>
      <c r="J189" s="20">
        <v>1.6113106095632768E-2</v>
      </c>
    </row>
    <row r="190" spans="1:10" ht="11.25" customHeight="1" x14ac:dyDescent="0.2">
      <c r="A190" s="27" t="s">
        <v>25</v>
      </c>
      <c r="B190" s="19">
        <v>12662675.649499997</v>
      </c>
      <c r="C190" s="19">
        <v>13948757.518049181</v>
      </c>
      <c r="D190" s="19">
        <v>5374675.7924368</v>
      </c>
      <c r="E190" s="19">
        <v>6518508.9436117914</v>
      </c>
      <c r="F190" s="19">
        <v>22052656.400716804</v>
      </c>
      <c r="G190" s="19">
        <v>20268715.930736061</v>
      </c>
      <c r="H190" s="20">
        <v>0.13471573293596917</v>
      </c>
      <c r="I190" s="20">
        <v>-8.0894584197246933E-2</v>
      </c>
      <c r="J190" s="20">
        <v>1.6113106095632768E-2</v>
      </c>
    </row>
    <row r="191" spans="1:10" ht="11.25" customHeight="1" x14ac:dyDescent="0.2">
      <c r="A191" s="28" t="s">
        <v>35</v>
      </c>
      <c r="B191" s="19">
        <v>4299184.5869999994</v>
      </c>
      <c r="C191" s="19">
        <v>4737261.5410766816</v>
      </c>
      <c r="D191" s="19">
        <v>4891756.3152188007</v>
      </c>
      <c r="E191" s="19">
        <v>5932815.0240418734</v>
      </c>
      <c r="F191" s="19">
        <v>18983798.441128798</v>
      </c>
      <c r="G191" s="19">
        <v>17554490.822426919</v>
      </c>
      <c r="H191" s="20">
        <v>0.160934084838112</v>
      </c>
      <c r="I191" s="20">
        <v>-7.5290918365697235E-2</v>
      </c>
      <c r="J191" s="20">
        <v>1.7685361199142324E-3</v>
      </c>
    </row>
    <row r="192" spans="1:10" ht="11.25" customHeight="1" x14ac:dyDescent="0.2">
      <c r="A192" s="29">
        <v>44409</v>
      </c>
      <c r="B192" s="19">
        <v>352892.35799999995</v>
      </c>
      <c r="C192" s="19">
        <v>388851.27211060689</v>
      </c>
      <c r="D192" s="19">
        <v>396243.16210019996</v>
      </c>
      <c r="E192" s="19">
        <v>480571.23736278695</v>
      </c>
      <c r="F192" s="19">
        <v>1537729.9763651998</v>
      </c>
      <c r="G192" s="19">
        <v>1421952.8742462019</v>
      </c>
      <c r="H192" s="20">
        <v>0.16056772926359875</v>
      </c>
      <c r="I192" s="20">
        <v>-7.5290918365697235E-2</v>
      </c>
      <c r="J192" s="20">
        <v>1.9720824251214797E-3</v>
      </c>
    </row>
    <row r="193" spans="1:10" ht="11.25" customHeight="1" x14ac:dyDescent="0.2">
      <c r="A193" s="29">
        <v>44440</v>
      </c>
      <c r="B193" s="19">
        <v>356904.01799999998</v>
      </c>
      <c r="C193" s="19">
        <v>393271.71097507002</v>
      </c>
      <c r="D193" s="19">
        <v>396762.50561420002</v>
      </c>
      <c r="E193" s="19">
        <v>481201.10704638349</v>
      </c>
      <c r="F193" s="19">
        <v>1539745.4309292</v>
      </c>
      <c r="G193" s="19">
        <v>1423816.5833851541</v>
      </c>
      <c r="H193" s="20">
        <v>0.16029144272977391</v>
      </c>
      <c r="I193" s="20">
        <v>-7.5290918365697346E-2</v>
      </c>
      <c r="J193" s="20">
        <v>2.1267207810375943E-3</v>
      </c>
    </row>
    <row r="194" spans="1:10" ht="11.25" customHeight="1" x14ac:dyDescent="0.2">
      <c r="A194" s="29">
        <v>44470</v>
      </c>
      <c r="B194" s="19">
        <v>358776.12599999999</v>
      </c>
      <c r="C194" s="19">
        <v>395334.5824451528</v>
      </c>
      <c r="D194" s="19">
        <v>427019.35287139995</v>
      </c>
      <c r="E194" s="19">
        <v>517897.18641345779</v>
      </c>
      <c r="F194" s="19">
        <v>1657165.4029764</v>
      </c>
      <c r="G194" s="19">
        <v>1532395.8979024459</v>
      </c>
      <c r="H194" s="20">
        <v>0.16217488317728845</v>
      </c>
      <c r="I194" s="20">
        <v>-7.5290918365697346E-2</v>
      </c>
      <c r="J194" s="20">
        <v>1.0916199817492256E-3</v>
      </c>
    </row>
    <row r="195" spans="1:10" ht="11.25" customHeight="1" x14ac:dyDescent="0.2">
      <c r="A195" s="29">
        <v>44501</v>
      </c>
      <c r="B195" s="19">
        <v>358330.38599999994</v>
      </c>
      <c r="C195" s="19">
        <v>394843.42257132358</v>
      </c>
      <c r="D195" s="19">
        <v>417184.2336112</v>
      </c>
      <c r="E195" s="19">
        <v>505968.96686404466</v>
      </c>
      <c r="F195" s="19">
        <v>1618997.5324512001</v>
      </c>
      <c r="G195" s="19">
        <v>1497101.7214011513</v>
      </c>
      <c r="H195" s="20">
        <v>0.16156725696155894</v>
      </c>
      <c r="I195" s="20">
        <v>-7.5290918365697346E-2</v>
      </c>
      <c r="J195" s="20">
        <v>1.4207314718319708E-3</v>
      </c>
    </row>
    <row r="196" spans="1:10" ht="11.25" customHeight="1" x14ac:dyDescent="0.2">
      <c r="A196" s="29">
        <v>44531</v>
      </c>
      <c r="B196" s="19">
        <v>359533.88399999996</v>
      </c>
      <c r="C196" s="19">
        <v>396169.55423066253</v>
      </c>
      <c r="D196" s="19">
        <v>422217.10161720001</v>
      </c>
      <c r="E196" s="19">
        <v>512072.9248284105</v>
      </c>
      <c r="F196" s="19">
        <v>1638528.9534072001</v>
      </c>
      <c r="G196" s="19">
        <v>1515162.6037363871</v>
      </c>
      <c r="H196" s="20">
        <v>0.16180535204827007</v>
      </c>
      <c r="I196" s="20">
        <v>-7.5290918365697346E-2</v>
      </c>
      <c r="J196" s="20">
        <v>1.291232357327976E-3</v>
      </c>
    </row>
    <row r="197" spans="1:10" ht="11.25" customHeight="1" x14ac:dyDescent="0.2">
      <c r="A197" s="29">
        <v>44562</v>
      </c>
      <c r="B197" s="19">
        <v>358664.69099999999</v>
      </c>
      <c r="C197" s="19">
        <v>395211.7924766955</v>
      </c>
      <c r="D197" s="19">
        <v>424505.09505300003</v>
      </c>
      <c r="E197" s="19">
        <v>514847.84674931492</v>
      </c>
      <c r="F197" s="19">
        <v>1647408.137778</v>
      </c>
      <c r="G197" s="19">
        <v>1523373.2661615713</v>
      </c>
      <c r="H197" s="20">
        <v>0.16202087393144571</v>
      </c>
      <c r="I197" s="20">
        <v>-7.5290918365697235E-2</v>
      </c>
      <c r="J197" s="20">
        <v>1.1746101734035896E-3</v>
      </c>
    </row>
    <row r="198" spans="1:10" ht="11.25" customHeight="1" x14ac:dyDescent="0.2">
      <c r="A198" s="29">
        <v>44593</v>
      </c>
      <c r="B198" s="19">
        <v>358152.08999999997</v>
      </c>
      <c r="C198" s="19">
        <v>394646.95862179191</v>
      </c>
      <c r="D198" s="19">
        <v>389822.47647739999</v>
      </c>
      <c r="E198" s="19">
        <v>472784.10781811061</v>
      </c>
      <c r="F198" s="19">
        <v>1512812.7495323999</v>
      </c>
      <c r="G198" s="19">
        <v>1398911.68830477</v>
      </c>
      <c r="H198" s="20">
        <v>0.15970663350905778</v>
      </c>
      <c r="I198" s="20">
        <v>-7.5290918365697235E-2</v>
      </c>
      <c r="J198" s="20">
        <v>2.4573026819161292E-3</v>
      </c>
    </row>
    <row r="199" spans="1:10" ht="11.25" customHeight="1" x14ac:dyDescent="0.2">
      <c r="A199" s="29">
        <v>44621</v>
      </c>
      <c r="B199" s="19">
        <v>360692.80799999996</v>
      </c>
      <c r="C199" s="19">
        <v>397446.56990261853</v>
      </c>
      <c r="D199" s="19">
        <v>422041.24237519997</v>
      </c>
      <c r="E199" s="19">
        <v>511859.63939761167</v>
      </c>
      <c r="F199" s="19">
        <v>1637846.4835151997</v>
      </c>
      <c r="G199" s="19">
        <v>1514531.5176293126</v>
      </c>
      <c r="H199" s="20">
        <v>0.16170519075330714</v>
      </c>
      <c r="I199" s="20">
        <v>-7.5290918365697235E-2</v>
      </c>
      <c r="J199" s="20">
        <v>1.3456247348679895E-3</v>
      </c>
    </row>
    <row r="200" spans="1:10" ht="11.25" customHeight="1" x14ac:dyDescent="0.2">
      <c r="A200" s="29">
        <v>44652</v>
      </c>
      <c r="B200" s="19">
        <v>358842.98700000002</v>
      </c>
      <c r="C200" s="19">
        <v>395408.25642622722</v>
      </c>
      <c r="D200" s="19">
        <v>409124.88098459999</v>
      </c>
      <c r="E200" s="19">
        <v>496194.4308352595</v>
      </c>
      <c r="F200" s="19">
        <v>1587721.0100795999</v>
      </c>
      <c r="G200" s="19">
        <v>1468180.0371221944</v>
      </c>
      <c r="H200" s="20">
        <v>0.16098957317230611</v>
      </c>
      <c r="I200" s="20">
        <v>-7.5290918365697235E-2</v>
      </c>
      <c r="J200" s="20">
        <v>1.7378552650151313E-3</v>
      </c>
    </row>
    <row r="201" spans="1:10" ht="11.25" customHeight="1" x14ac:dyDescent="0.2">
      <c r="A201" s="29">
        <v>44682</v>
      </c>
      <c r="B201" s="19">
        <v>359377.875</v>
      </c>
      <c r="C201" s="19">
        <v>395997.64827482234</v>
      </c>
      <c r="D201" s="19">
        <v>410183.50656879996</v>
      </c>
      <c r="E201" s="19">
        <v>497478.35206233221</v>
      </c>
      <c r="F201" s="19">
        <v>1591829.2962287997</v>
      </c>
      <c r="G201" s="19">
        <v>1471979.006634312</v>
      </c>
      <c r="H201" s="20">
        <v>0.16101979872709671</v>
      </c>
      <c r="I201" s="20">
        <v>-7.5290918365697124E-2</v>
      </c>
      <c r="J201" s="20">
        <v>1.7211591508683455E-3</v>
      </c>
    </row>
    <row r="202" spans="1:10" ht="11.25" customHeight="1" x14ac:dyDescent="0.2">
      <c r="A202" s="29">
        <v>44713</v>
      </c>
      <c r="B202" s="19">
        <v>358508.68199999997</v>
      </c>
      <c r="C202" s="19">
        <v>395039.8865208553</v>
      </c>
      <c r="D202" s="19">
        <v>388326.37897279998</v>
      </c>
      <c r="E202" s="19">
        <v>470969.61233208078</v>
      </c>
      <c r="F202" s="19">
        <v>1507006.7339327999</v>
      </c>
      <c r="G202" s="19">
        <v>1393542.8129517094</v>
      </c>
      <c r="H202" s="20">
        <v>0.15957263404975097</v>
      </c>
      <c r="I202" s="20">
        <v>-7.5290918365697235E-2</v>
      </c>
      <c r="J202" s="20">
        <v>2.5336813399916558E-3</v>
      </c>
    </row>
    <row r="203" spans="1:10" ht="11.25" customHeight="1" x14ac:dyDescent="0.2">
      <c r="A203" s="29">
        <v>44743</v>
      </c>
      <c r="B203" s="19">
        <v>358508.68199999997</v>
      </c>
      <c r="C203" s="19">
        <v>395039.8865208553</v>
      </c>
      <c r="D203" s="19">
        <v>388326.37897279998</v>
      </c>
      <c r="E203" s="19">
        <v>470969.61233208078</v>
      </c>
      <c r="F203" s="19">
        <v>1507006.7339327999</v>
      </c>
      <c r="G203" s="19">
        <v>1393542.8129517094</v>
      </c>
      <c r="H203" s="20">
        <v>0.15957263404975097</v>
      </c>
      <c r="I203" s="20">
        <v>-7.5290918365697235E-2</v>
      </c>
      <c r="J203" s="20">
        <v>2.5336813399916558E-3</v>
      </c>
    </row>
    <row r="204" spans="1:10" ht="11.25" customHeight="1" x14ac:dyDescent="0.2">
      <c r="A204" s="28" t="s">
        <v>34</v>
      </c>
      <c r="B204" s="19">
        <v>8363491.0625</v>
      </c>
      <c r="C204" s="19">
        <v>9211495.9769724999</v>
      </c>
      <c r="D204" s="19">
        <v>482919.47721799999</v>
      </c>
      <c r="E204" s="19">
        <v>585693.91956991795</v>
      </c>
      <c r="F204" s="19">
        <v>3068857.9595880001</v>
      </c>
      <c r="G204" s="19">
        <v>2714225.1083091451</v>
      </c>
      <c r="H204" s="20">
        <v>0.10747628685732757</v>
      </c>
      <c r="I204" s="20">
        <v>-0.11555857454102081</v>
      </c>
      <c r="J204" s="20">
        <v>5.003215039428488E-2</v>
      </c>
    </row>
    <row r="205" spans="1:10" ht="11.25" customHeight="1" x14ac:dyDescent="0.2">
      <c r="A205" s="29">
        <v>44409</v>
      </c>
      <c r="B205" s="19">
        <v>688095.78249999997</v>
      </c>
      <c r="C205" s="19">
        <v>757864.32781525969</v>
      </c>
      <c r="D205" s="19">
        <v>40682.947675800002</v>
      </c>
      <c r="E205" s="19">
        <v>49341.052096643507</v>
      </c>
      <c r="F205" s="19">
        <v>258532.10252280001</v>
      </c>
      <c r="G205" s="19">
        <v>228656.50128217216</v>
      </c>
      <c r="H205" s="20">
        <v>0.10761380167775303</v>
      </c>
      <c r="I205" s="20">
        <v>-0.11555857454102092</v>
      </c>
      <c r="J205" s="20">
        <v>4.9175038789731174E-2</v>
      </c>
    </row>
    <row r="206" spans="1:10" ht="11.25" customHeight="1" x14ac:dyDescent="0.2">
      <c r="A206" s="29">
        <v>44440</v>
      </c>
      <c r="B206" s="19">
        <v>692883.15249999997</v>
      </c>
      <c r="C206" s="19">
        <v>763137.10675000492</v>
      </c>
      <c r="D206" s="19">
        <v>39695.548025399999</v>
      </c>
      <c r="E206" s="19">
        <v>48143.515035690216</v>
      </c>
      <c r="F206" s="19">
        <v>252257.37263640002</v>
      </c>
      <c r="G206" s="19">
        <v>223106.8702370745</v>
      </c>
      <c r="H206" s="20">
        <v>0.10743135338749377</v>
      </c>
      <c r="I206" s="20">
        <v>-0.11555857454102092</v>
      </c>
      <c r="J206" s="20">
        <v>5.0314382475741048E-2</v>
      </c>
    </row>
    <row r="207" spans="1:10" ht="11.25" customHeight="1" x14ac:dyDescent="0.2">
      <c r="A207" s="29">
        <v>44470</v>
      </c>
      <c r="B207" s="19">
        <v>695365.49249999993</v>
      </c>
      <c r="C207" s="19">
        <v>765871.14027172443</v>
      </c>
      <c r="D207" s="19">
        <v>39169.675957600004</v>
      </c>
      <c r="E207" s="19">
        <v>47505.727397973795</v>
      </c>
      <c r="F207" s="19">
        <v>248915.55944160002</v>
      </c>
      <c r="G207" s="19">
        <v>220151.23221144796</v>
      </c>
      <c r="H207" s="20">
        <v>0.10733549950733123</v>
      </c>
      <c r="I207" s="20">
        <v>-0.11555857454102092</v>
      </c>
      <c r="J207" s="20">
        <v>5.0920061942420825E-2</v>
      </c>
    </row>
    <row r="208" spans="1:10" ht="11.25" customHeight="1" x14ac:dyDescent="0.2">
      <c r="A208" s="29">
        <v>44501</v>
      </c>
      <c r="B208" s="19">
        <v>696695.31749999989</v>
      </c>
      <c r="C208" s="19">
        <v>767335.80108693149</v>
      </c>
      <c r="D208" s="19">
        <v>38847.7182684</v>
      </c>
      <c r="E208" s="19">
        <v>47115.250993895977</v>
      </c>
      <c r="F208" s="19">
        <v>246869.5818744</v>
      </c>
      <c r="G208" s="19">
        <v>218341.68489545648</v>
      </c>
      <c r="H208" s="20">
        <v>0.10727858531077605</v>
      </c>
      <c r="I208" s="20">
        <v>-0.11555857454102092</v>
      </c>
      <c r="J208" s="20">
        <v>5.1282036110616991E-2</v>
      </c>
    </row>
    <row r="209" spans="1:10" ht="11.25" customHeight="1" x14ac:dyDescent="0.2">
      <c r="A209" s="29">
        <v>44531</v>
      </c>
      <c r="B209" s="19">
        <v>700241.51749999996</v>
      </c>
      <c r="C209" s="19">
        <v>771241.56326081674</v>
      </c>
      <c r="D209" s="19">
        <v>44083.324336999998</v>
      </c>
      <c r="E209" s="19">
        <v>53465.093533500389</v>
      </c>
      <c r="F209" s="19">
        <v>280140.82504199998</v>
      </c>
      <c r="G209" s="19">
        <v>247768.15062940095</v>
      </c>
      <c r="H209" s="20">
        <v>0.10799292249729842</v>
      </c>
      <c r="I209" s="20">
        <v>-0.11555857454102081</v>
      </c>
      <c r="J209" s="20">
        <v>4.6862615407089692E-2</v>
      </c>
    </row>
    <row r="210" spans="1:10" ht="11.25" customHeight="1" x14ac:dyDescent="0.2">
      <c r="A210" s="29">
        <v>44562</v>
      </c>
      <c r="B210" s="19">
        <v>701571.34249999991</v>
      </c>
      <c r="C210" s="19">
        <v>772706.22407602367</v>
      </c>
      <c r="D210" s="19">
        <v>41518.543746400006</v>
      </c>
      <c r="E210" s="19">
        <v>50354.47889107783</v>
      </c>
      <c r="F210" s="19">
        <v>263842.15062240005</v>
      </c>
      <c r="G210" s="19">
        <v>233352.92779263816</v>
      </c>
      <c r="H210" s="20">
        <v>0.10761930447561507</v>
      </c>
      <c r="I210" s="20">
        <v>-0.11555857454102092</v>
      </c>
      <c r="J210" s="20">
        <v>4.9140947034329807E-2</v>
      </c>
    </row>
    <row r="211" spans="1:10" ht="11.25" customHeight="1" x14ac:dyDescent="0.2">
      <c r="A211" s="29">
        <v>44593</v>
      </c>
      <c r="B211" s="19">
        <v>696030.40499999991</v>
      </c>
      <c r="C211" s="19">
        <v>766603.47067932796</v>
      </c>
      <c r="D211" s="19">
        <v>39724.8382938</v>
      </c>
      <c r="E211" s="19">
        <v>48179.038829850018</v>
      </c>
      <c r="F211" s="19">
        <v>252443.50651080001</v>
      </c>
      <c r="G211" s="19">
        <v>223271.49474627504</v>
      </c>
      <c r="H211" s="20">
        <v>0.1074097220994199</v>
      </c>
      <c r="I211" s="20">
        <v>-0.11555857454102092</v>
      </c>
      <c r="J211" s="20">
        <v>5.0450635017208034E-2</v>
      </c>
    </row>
    <row r="212" spans="1:10" ht="11.25" customHeight="1" x14ac:dyDescent="0.2">
      <c r="A212" s="29">
        <v>44621</v>
      </c>
      <c r="B212" s="19">
        <v>699709.58750000002</v>
      </c>
      <c r="C212" s="19">
        <v>770655.69893473398</v>
      </c>
      <c r="D212" s="19">
        <v>41968.425800599995</v>
      </c>
      <c r="E212" s="19">
        <v>50900.104396154762</v>
      </c>
      <c r="F212" s="19">
        <v>266701.06227960001</v>
      </c>
      <c r="G212" s="19">
        <v>235881.46769399339</v>
      </c>
      <c r="H212" s="20">
        <v>0.10769874338706398</v>
      </c>
      <c r="I212" s="20">
        <v>-0.11555857454102092</v>
      </c>
      <c r="J212" s="20">
        <v>4.8650548819108685E-2</v>
      </c>
    </row>
    <row r="213" spans="1:10" ht="11.25" customHeight="1" x14ac:dyDescent="0.2">
      <c r="A213" s="29">
        <v>44652</v>
      </c>
      <c r="B213" s="19">
        <v>697537.54</v>
      </c>
      <c r="C213" s="19">
        <v>768263.41960322927</v>
      </c>
      <c r="D213" s="19">
        <v>37015.958993200002</v>
      </c>
      <c r="E213" s="19">
        <v>44893.658533428425</v>
      </c>
      <c r="F213" s="19">
        <v>235229.1132312</v>
      </c>
      <c r="G213" s="19">
        <v>208046.37221565415</v>
      </c>
      <c r="H213" s="20">
        <v>0.10700865117543379</v>
      </c>
      <c r="I213" s="20">
        <v>-0.11555857454102081</v>
      </c>
      <c r="J213" s="20">
        <v>5.3023056383705747E-2</v>
      </c>
    </row>
    <row r="214" spans="1:10" ht="11.25" customHeight="1" x14ac:dyDescent="0.2">
      <c r="A214" s="29">
        <v>44682</v>
      </c>
      <c r="B214" s="19">
        <v>697094.26500000001</v>
      </c>
      <c r="C214" s="19">
        <v>767775.19933149358</v>
      </c>
      <c r="D214" s="19">
        <v>40580.490552200004</v>
      </c>
      <c r="E214" s="19">
        <v>49216.790150004206</v>
      </c>
      <c r="F214" s="19">
        <v>257881.0077252</v>
      </c>
      <c r="G214" s="19">
        <v>228080.64607127389</v>
      </c>
      <c r="H214" s="20">
        <v>0.10752331340107113</v>
      </c>
      <c r="I214" s="20">
        <v>-0.11555857454102092</v>
      </c>
      <c r="J214" s="20">
        <v>4.9737919363110894E-2</v>
      </c>
    </row>
    <row r="215" spans="1:10" ht="11.25" customHeight="1" x14ac:dyDescent="0.2">
      <c r="A215" s="29">
        <v>44713</v>
      </c>
      <c r="B215" s="19">
        <v>699133.33</v>
      </c>
      <c r="C215" s="19">
        <v>770021.01258147752</v>
      </c>
      <c r="D215" s="19">
        <v>39816.002783800002</v>
      </c>
      <c r="E215" s="19">
        <v>48289.6048558494</v>
      </c>
      <c r="F215" s="19">
        <v>253022.83885080001</v>
      </c>
      <c r="G215" s="19">
        <v>223783.88026687913</v>
      </c>
      <c r="H215" s="20">
        <v>0.10739746438981679</v>
      </c>
      <c r="I215" s="20">
        <v>-0.11555857454102081</v>
      </c>
      <c r="J215" s="20">
        <v>5.0527955826636717E-2</v>
      </c>
    </row>
    <row r="216" spans="1:10" ht="11.25" customHeight="1" x14ac:dyDescent="0.2">
      <c r="A216" s="29">
        <v>44743</v>
      </c>
      <c r="B216" s="19">
        <v>699133.33</v>
      </c>
      <c r="C216" s="19">
        <v>770021.01258147752</v>
      </c>
      <c r="D216" s="19">
        <v>39816.002783800002</v>
      </c>
      <c r="E216" s="19">
        <v>48289.6048558494</v>
      </c>
      <c r="F216" s="19">
        <v>253022.83885080001</v>
      </c>
      <c r="G216" s="19">
        <v>223783.88026687913</v>
      </c>
      <c r="H216" s="20">
        <v>0.10739746438981679</v>
      </c>
      <c r="I216" s="20">
        <v>-0.11555857454102081</v>
      </c>
      <c r="J216" s="20">
        <v>5.0527955826636717E-2</v>
      </c>
    </row>
    <row r="217" spans="1:10" ht="11.25" customHeight="1" x14ac:dyDescent="0.2">
      <c r="A217" s="23" t="s">
        <v>42</v>
      </c>
      <c r="B217" s="19">
        <v>62999485.159200013</v>
      </c>
      <c r="C217" s="19">
        <v>69418986.813163638</v>
      </c>
      <c r="D217" s="19">
        <v>59144051.04941719</v>
      </c>
      <c r="E217" s="19">
        <v>68066511.757167459</v>
      </c>
      <c r="F217" s="19">
        <v>106746230.4316199</v>
      </c>
      <c r="G217" s="19">
        <v>98296612.592408612</v>
      </c>
      <c r="H217" s="20">
        <v>0.12560601107462932</v>
      </c>
      <c r="I217" s="20">
        <v>-7.9156123874781215E-2</v>
      </c>
      <c r="J217" s="20">
        <v>3.0112069332203451E-2</v>
      </c>
    </row>
    <row r="218" spans="1:10" ht="11.25" customHeight="1" x14ac:dyDescent="0.2">
      <c r="A218" s="24" t="s">
        <v>43</v>
      </c>
      <c r="B218" s="19">
        <v>21529477.979999997</v>
      </c>
      <c r="C218" s="19">
        <v>23723281.931767702</v>
      </c>
      <c r="D218" s="19">
        <v>22627474.922190007</v>
      </c>
      <c r="E218" s="19">
        <v>25965650.449097287</v>
      </c>
      <c r="F218" s="19">
        <v>38312940.491100006</v>
      </c>
      <c r="G218" s="19">
        <v>35261982.40235503</v>
      </c>
      <c r="H218" s="20">
        <v>0.1252799189049254</v>
      </c>
      <c r="I218" s="20">
        <v>-7.9632574520184796E-2</v>
      </c>
      <c r="J218" s="20">
        <v>3.0083965042834837E-2</v>
      </c>
    </row>
    <row r="219" spans="1:10" ht="11.25" customHeight="1" x14ac:dyDescent="0.2">
      <c r="A219" s="25" t="s">
        <v>25</v>
      </c>
      <c r="B219" s="19">
        <v>21529477.979999997</v>
      </c>
      <c r="C219" s="19">
        <v>23723281.931767702</v>
      </c>
      <c r="D219" s="19">
        <v>22627474.922190007</v>
      </c>
      <c r="E219" s="19">
        <v>25965650.449097287</v>
      </c>
      <c r="F219" s="19">
        <v>38312940.491100006</v>
      </c>
      <c r="G219" s="19">
        <v>35261982.40235503</v>
      </c>
      <c r="H219" s="20">
        <v>0.1252799189049254</v>
      </c>
      <c r="I219" s="20">
        <v>-7.9632574520184796E-2</v>
      </c>
      <c r="J219" s="20">
        <v>3.0083965042834837E-2</v>
      </c>
    </row>
    <row r="220" spans="1:10" ht="11.25" customHeight="1" x14ac:dyDescent="0.2">
      <c r="A220" s="26" t="s">
        <v>25</v>
      </c>
      <c r="B220" s="19">
        <v>21529477.979999997</v>
      </c>
      <c r="C220" s="19">
        <v>23723281.931767702</v>
      </c>
      <c r="D220" s="19">
        <v>22627474.922190007</v>
      </c>
      <c r="E220" s="19">
        <v>25965650.449097287</v>
      </c>
      <c r="F220" s="19">
        <v>38312940.491100006</v>
      </c>
      <c r="G220" s="19">
        <v>35261982.40235503</v>
      </c>
      <c r="H220" s="20">
        <v>0.1252799189049254</v>
      </c>
      <c r="I220" s="20">
        <v>-7.9632574520184796E-2</v>
      </c>
      <c r="J220" s="20">
        <v>3.0083965042834837E-2</v>
      </c>
    </row>
    <row r="221" spans="1:10" ht="11.25" customHeight="1" x14ac:dyDescent="0.2">
      <c r="A221" s="27" t="s">
        <v>25</v>
      </c>
      <c r="B221" s="19">
        <v>21529477.979999997</v>
      </c>
      <c r="C221" s="19">
        <v>23723281.931767702</v>
      </c>
      <c r="D221" s="19">
        <v>22627474.922190007</v>
      </c>
      <c r="E221" s="19">
        <v>25965650.449097287</v>
      </c>
      <c r="F221" s="19">
        <v>38312940.491100006</v>
      </c>
      <c r="G221" s="19">
        <v>35261982.40235503</v>
      </c>
      <c r="H221" s="20">
        <v>0.1252799189049254</v>
      </c>
      <c r="I221" s="20">
        <v>-7.9632574520184796E-2</v>
      </c>
      <c r="J221" s="20">
        <v>3.0083965042834837E-2</v>
      </c>
    </row>
    <row r="222" spans="1:10" ht="11.25" customHeight="1" x14ac:dyDescent="0.2">
      <c r="A222" s="28" t="s">
        <v>35</v>
      </c>
      <c r="B222" s="19">
        <v>0</v>
      </c>
      <c r="C222" s="19">
        <v>0</v>
      </c>
      <c r="D222" s="19">
        <v>8808048.5404100008</v>
      </c>
      <c r="E222" s="19">
        <v>10682568.661578393</v>
      </c>
      <c r="F222" s="19">
        <v>34182041.658660002</v>
      </c>
      <c r="G222" s="19">
        <v>31608444.350564964</v>
      </c>
      <c r="H222" s="20">
        <v>0.21281900441038415</v>
      </c>
      <c r="I222" s="20">
        <v>-7.5290918365696791E-2</v>
      </c>
      <c r="J222" s="20">
        <v>-1.6261356598450294E-2</v>
      </c>
    </row>
    <row r="223" spans="1:10" ht="11.25" customHeight="1" x14ac:dyDescent="0.2">
      <c r="A223" s="29">
        <v>44409</v>
      </c>
      <c r="B223" s="19">
        <v>0</v>
      </c>
      <c r="C223" s="19">
        <v>0</v>
      </c>
      <c r="D223" s="19">
        <v>658948.32146000001</v>
      </c>
      <c r="E223" s="19">
        <v>799185.04719101102</v>
      </c>
      <c r="F223" s="19">
        <v>2557229.2059600004</v>
      </c>
      <c r="G223" s="19">
        <v>2364693.0705716889</v>
      </c>
      <c r="H223" s="20">
        <v>0.21281900441038415</v>
      </c>
      <c r="I223" s="20">
        <v>-7.5290918365697346E-2</v>
      </c>
      <c r="J223" s="20">
        <v>-1.6261356598450849E-2</v>
      </c>
    </row>
    <row r="224" spans="1:10" ht="11.25" customHeight="1" x14ac:dyDescent="0.2">
      <c r="A224" s="29">
        <v>44440</v>
      </c>
      <c r="B224" s="19">
        <v>0</v>
      </c>
      <c r="C224" s="19">
        <v>0</v>
      </c>
      <c r="D224" s="19">
        <v>688477.16926999995</v>
      </c>
      <c r="E224" s="19">
        <v>834998.19499332097</v>
      </c>
      <c r="F224" s="19">
        <v>2671823.9770200001</v>
      </c>
      <c r="G224" s="19">
        <v>2470659.8960786746</v>
      </c>
      <c r="H224" s="20">
        <v>0.21281900441038437</v>
      </c>
      <c r="I224" s="20">
        <v>-7.5290918365697346E-2</v>
      </c>
      <c r="J224" s="20">
        <v>-1.6261356598450738E-2</v>
      </c>
    </row>
    <row r="225" spans="1:10" ht="11.25" customHeight="1" x14ac:dyDescent="0.2">
      <c r="A225" s="29">
        <v>44470</v>
      </c>
      <c r="B225" s="19">
        <v>0</v>
      </c>
      <c r="C225" s="19">
        <v>0</v>
      </c>
      <c r="D225" s="19">
        <v>766715.3229700001</v>
      </c>
      <c r="E225" s="19">
        <v>929886.91467066144</v>
      </c>
      <c r="F225" s="19">
        <v>2975448.5332200001</v>
      </c>
      <c r="G225" s="19">
        <v>2751424.2806039993</v>
      </c>
      <c r="H225" s="20">
        <v>0.21281900441038393</v>
      </c>
      <c r="I225" s="20">
        <v>-7.5290918365697346E-2</v>
      </c>
      <c r="J225" s="20">
        <v>-1.6261356598450849E-2</v>
      </c>
    </row>
    <row r="226" spans="1:10" ht="11.25" customHeight="1" x14ac:dyDescent="0.2">
      <c r="A226" s="29">
        <v>44501</v>
      </c>
      <c r="B226" s="19">
        <v>0</v>
      </c>
      <c r="C226" s="19">
        <v>0</v>
      </c>
      <c r="D226" s="19">
        <v>765068.98112999997</v>
      </c>
      <c r="E226" s="19">
        <v>927890.19999935338</v>
      </c>
      <c r="F226" s="19">
        <v>2969059.4533799994</v>
      </c>
      <c r="G226" s="19">
        <v>2745516.2404526644</v>
      </c>
      <c r="H226" s="20">
        <v>0.21281900441038393</v>
      </c>
      <c r="I226" s="20">
        <v>-7.5290918365697124E-2</v>
      </c>
      <c r="J226" s="20">
        <v>-1.6261356598450627E-2</v>
      </c>
    </row>
    <row r="227" spans="1:10" ht="11.25" customHeight="1" x14ac:dyDescent="0.2">
      <c r="A227" s="29">
        <v>44531</v>
      </c>
      <c r="B227" s="19">
        <v>0</v>
      </c>
      <c r="C227" s="19">
        <v>0</v>
      </c>
      <c r="D227" s="19">
        <v>795071.54641000007</v>
      </c>
      <c r="E227" s="19">
        <v>964277.88135200075</v>
      </c>
      <c r="F227" s="19">
        <v>3085492.6146600004</v>
      </c>
      <c r="G227" s="19">
        <v>2853183.0420916723</v>
      </c>
      <c r="H227" s="20">
        <v>0.21281900441038415</v>
      </c>
      <c r="I227" s="20">
        <v>-7.5290918365697346E-2</v>
      </c>
      <c r="J227" s="20">
        <v>-1.6261356598450738E-2</v>
      </c>
    </row>
    <row r="228" spans="1:10" ht="11.25" customHeight="1" x14ac:dyDescent="0.2">
      <c r="A228" s="29">
        <v>44562</v>
      </c>
      <c r="B228" s="19">
        <v>0</v>
      </c>
      <c r="C228" s="19">
        <v>0</v>
      </c>
      <c r="D228" s="19">
        <v>753748.00332000002</v>
      </c>
      <c r="E228" s="19">
        <v>914159.90296287718</v>
      </c>
      <c r="F228" s="19">
        <v>2925125.3023199998</v>
      </c>
      <c r="G228" s="19">
        <v>2704889.9319735891</v>
      </c>
      <c r="H228" s="20">
        <v>0.21281900441038393</v>
      </c>
      <c r="I228" s="20">
        <v>-7.5290918365697235E-2</v>
      </c>
      <c r="J228" s="20">
        <v>-1.6261356598450849E-2</v>
      </c>
    </row>
    <row r="229" spans="1:10" ht="11.25" customHeight="1" x14ac:dyDescent="0.2">
      <c r="A229" s="29">
        <v>44593</v>
      </c>
      <c r="B229" s="19">
        <v>0</v>
      </c>
      <c r="C229" s="19">
        <v>0</v>
      </c>
      <c r="D229" s="19">
        <v>721142.27576000011</v>
      </c>
      <c r="E229" s="19">
        <v>874615.05692548177</v>
      </c>
      <c r="F229" s="19">
        <v>2798589.8577599996</v>
      </c>
      <c r="G229" s="19">
        <v>2587881.4572403235</v>
      </c>
      <c r="H229" s="20">
        <v>0.21281900441038371</v>
      </c>
      <c r="I229" s="20">
        <v>-7.5290918365697124E-2</v>
      </c>
      <c r="J229" s="20">
        <v>-1.6261356598450738E-2</v>
      </c>
    </row>
    <row r="230" spans="1:10" ht="11.25" customHeight="1" x14ac:dyDescent="0.2">
      <c r="A230" s="29">
        <v>44621</v>
      </c>
      <c r="B230" s="19">
        <v>0</v>
      </c>
      <c r="C230" s="19">
        <v>0</v>
      </c>
      <c r="D230" s="19">
        <v>775465.17433999991</v>
      </c>
      <c r="E230" s="19">
        <v>940498.90069796366</v>
      </c>
      <c r="F230" s="19">
        <v>3009404.7248399993</v>
      </c>
      <c r="G230" s="19">
        <v>2782823.8793727276</v>
      </c>
      <c r="H230" s="20">
        <v>0.21281900441038415</v>
      </c>
      <c r="I230" s="20">
        <v>-7.5290918365697124E-2</v>
      </c>
      <c r="J230" s="20">
        <v>-1.6261356598450627E-2</v>
      </c>
    </row>
    <row r="231" spans="1:10" ht="11.25" customHeight="1" x14ac:dyDescent="0.2">
      <c r="A231" s="29">
        <v>44652</v>
      </c>
      <c r="B231" s="19">
        <v>0</v>
      </c>
      <c r="C231" s="19">
        <v>0</v>
      </c>
      <c r="D231" s="19">
        <v>761308.77440999995</v>
      </c>
      <c r="E231" s="19">
        <v>923329.74982882594</v>
      </c>
      <c r="F231" s="19">
        <v>2954466.9426599997</v>
      </c>
      <c r="G231" s="19">
        <v>2732022.4132660343</v>
      </c>
      <c r="H231" s="20">
        <v>0.21281900441038415</v>
      </c>
      <c r="I231" s="20">
        <v>-7.5290918365697346E-2</v>
      </c>
      <c r="J231" s="20">
        <v>-1.6261356598450738E-2</v>
      </c>
    </row>
    <row r="232" spans="1:10" ht="11.25" customHeight="1" x14ac:dyDescent="0.2">
      <c r="A232" s="29">
        <v>44682</v>
      </c>
      <c r="B232" s="19">
        <v>0</v>
      </c>
      <c r="C232" s="19">
        <v>0</v>
      </c>
      <c r="D232" s="19">
        <v>760242.1436200001</v>
      </c>
      <c r="E232" s="19">
        <v>922036.11973602464</v>
      </c>
      <c r="F232" s="19">
        <v>2950327.5901199998</v>
      </c>
      <c r="G232" s="19">
        <v>2728194.7163802111</v>
      </c>
      <c r="H232" s="20">
        <v>0.21281900441038393</v>
      </c>
      <c r="I232" s="20">
        <v>-7.5290918365697124E-2</v>
      </c>
      <c r="J232" s="20">
        <v>-1.6261356598450738E-2</v>
      </c>
    </row>
    <row r="233" spans="1:10" ht="11.25" customHeight="1" x14ac:dyDescent="0.2">
      <c r="A233" s="29">
        <v>44713</v>
      </c>
      <c r="B233" s="19">
        <v>0</v>
      </c>
      <c r="C233" s="19">
        <v>0</v>
      </c>
      <c r="D233" s="19">
        <v>680930.41386000009</v>
      </c>
      <c r="E233" s="19">
        <v>825845.34661043598</v>
      </c>
      <c r="F233" s="19">
        <v>2642536.7283600001</v>
      </c>
      <c r="G233" s="19">
        <v>2443577.7112666909</v>
      </c>
      <c r="H233" s="20">
        <v>0.21281900441038393</v>
      </c>
      <c r="I233" s="20">
        <v>-7.5290918365697124E-2</v>
      </c>
      <c r="J233" s="20">
        <v>-1.6261356598450627E-2</v>
      </c>
    </row>
    <row r="234" spans="1:10" ht="11.25" customHeight="1" x14ac:dyDescent="0.2">
      <c r="A234" s="29">
        <v>44743</v>
      </c>
      <c r="B234" s="19">
        <v>0</v>
      </c>
      <c r="C234" s="19">
        <v>0</v>
      </c>
      <c r="D234" s="19">
        <v>680930.41386000009</v>
      </c>
      <c r="E234" s="19">
        <v>825845.34661043598</v>
      </c>
      <c r="F234" s="19">
        <v>2642536.7283600001</v>
      </c>
      <c r="G234" s="19">
        <v>2443577.7112666909</v>
      </c>
      <c r="H234" s="20">
        <v>0.21281900441038393</v>
      </c>
      <c r="I234" s="20">
        <v>-7.5290918365697124E-2</v>
      </c>
      <c r="J234" s="20">
        <v>-1.6261356598450627E-2</v>
      </c>
    </row>
    <row r="235" spans="1:10" ht="11.25" customHeight="1" x14ac:dyDescent="0.2">
      <c r="A235" s="28" t="s">
        <v>25</v>
      </c>
      <c r="B235" s="19">
        <v>21529477.979999997</v>
      </c>
      <c r="C235" s="19">
        <v>23723281.931767702</v>
      </c>
      <c r="D235" s="19">
        <v>0</v>
      </c>
      <c r="E235" s="19">
        <v>0</v>
      </c>
      <c r="F235" s="19">
        <v>0</v>
      </c>
      <c r="G235" s="19">
        <v>0</v>
      </c>
      <c r="H235" s="20">
        <v>0.10189768436585611</v>
      </c>
      <c r="I235" s="20">
        <v>0</v>
      </c>
      <c r="J235" s="20">
        <v>0.10189768436585611</v>
      </c>
    </row>
    <row r="236" spans="1:10" ht="11.25" customHeight="1" x14ac:dyDescent="0.2">
      <c r="A236" s="29">
        <v>44409</v>
      </c>
      <c r="B236" s="19">
        <v>1703959.14</v>
      </c>
      <c r="C236" s="19">
        <v>1877588.6306200367</v>
      </c>
      <c r="D236" s="19">
        <v>0</v>
      </c>
      <c r="E236" s="19">
        <v>0</v>
      </c>
      <c r="F236" s="19">
        <v>0</v>
      </c>
      <c r="G236" s="19">
        <v>0</v>
      </c>
      <c r="H236" s="20">
        <v>0.10189768436585678</v>
      </c>
      <c r="I236" s="20">
        <v>0</v>
      </c>
      <c r="J236" s="20">
        <v>0.10189768436585678</v>
      </c>
    </row>
    <row r="237" spans="1:10" ht="11.25" customHeight="1" x14ac:dyDescent="0.2">
      <c r="A237" s="29">
        <v>44440</v>
      </c>
      <c r="B237" s="19">
        <v>1723650.3599999999</v>
      </c>
      <c r="C237" s="19">
        <v>1899286.3403403754</v>
      </c>
      <c r="D237" s="19">
        <v>0</v>
      </c>
      <c r="E237" s="19">
        <v>0</v>
      </c>
      <c r="F237" s="19">
        <v>0</v>
      </c>
      <c r="G237" s="19">
        <v>0</v>
      </c>
      <c r="H237" s="20">
        <v>0.10189768436585678</v>
      </c>
      <c r="I237" s="20">
        <v>0</v>
      </c>
      <c r="J237" s="20">
        <v>0.10189768436585678</v>
      </c>
    </row>
    <row r="238" spans="1:10" ht="11.25" customHeight="1" x14ac:dyDescent="0.2">
      <c r="A238" s="29">
        <v>44470</v>
      </c>
      <c r="B238" s="19">
        <v>1722444.2399999998</v>
      </c>
      <c r="C238" s="19">
        <v>1897957.3195053081</v>
      </c>
      <c r="D238" s="19">
        <v>0</v>
      </c>
      <c r="E238" s="19">
        <v>0</v>
      </c>
      <c r="F238" s="19">
        <v>0</v>
      </c>
      <c r="G238" s="19">
        <v>0</v>
      </c>
      <c r="H238" s="20">
        <v>0.101897684365857</v>
      </c>
      <c r="I238" s="20">
        <v>0</v>
      </c>
      <c r="J238" s="20">
        <v>0.101897684365857</v>
      </c>
    </row>
    <row r="239" spans="1:10" ht="11.25" customHeight="1" x14ac:dyDescent="0.2">
      <c r="A239" s="29">
        <v>44501</v>
      </c>
      <c r="B239" s="19">
        <v>1724122.3199999998</v>
      </c>
      <c r="C239" s="19">
        <v>1899806.3919714887</v>
      </c>
      <c r="D239" s="19">
        <v>0</v>
      </c>
      <c r="E239" s="19">
        <v>0</v>
      </c>
      <c r="F239" s="19">
        <v>0</v>
      </c>
      <c r="G239" s="19">
        <v>0</v>
      </c>
      <c r="H239" s="20">
        <v>0.10189768436585678</v>
      </c>
      <c r="I239" s="20">
        <v>0</v>
      </c>
      <c r="J239" s="20">
        <v>0.10189768436585678</v>
      </c>
    </row>
    <row r="240" spans="1:10" ht="11.25" customHeight="1" x14ac:dyDescent="0.2">
      <c r="A240" s="29">
        <v>44531</v>
      </c>
      <c r="B240" s="19">
        <v>1780285.5599999998</v>
      </c>
      <c r="C240" s="19">
        <v>1961692.5360739725</v>
      </c>
      <c r="D240" s="19">
        <v>0</v>
      </c>
      <c r="E240" s="19">
        <v>0</v>
      </c>
      <c r="F240" s="19">
        <v>0</v>
      </c>
      <c r="G240" s="19">
        <v>0</v>
      </c>
      <c r="H240" s="20">
        <v>0.10189768436585678</v>
      </c>
      <c r="I240" s="20">
        <v>0</v>
      </c>
      <c r="J240" s="20">
        <v>0.10189768436585678</v>
      </c>
    </row>
    <row r="241" spans="1:10" ht="11.25" customHeight="1" x14ac:dyDescent="0.2">
      <c r="A241" s="29">
        <v>44562</v>
      </c>
      <c r="B241" s="19">
        <v>1731831</v>
      </c>
      <c r="C241" s="19">
        <v>1908300.568613006</v>
      </c>
      <c r="D241" s="19">
        <v>0</v>
      </c>
      <c r="E241" s="19">
        <v>0</v>
      </c>
      <c r="F241" s="19">
        <v>0</v>
      </c>
      <c r="G241" s="19">
        <v>0</v>
      </c>
      <c r="H241" s="20">
        <v>0.10189768436585678</v>
      </c>
      <c r="I241" s="20">
        <v>0</v>
      </c>
      <c r="J241" s="20">
        <v>0.10189768436585678</v>
      </c>
    </row>
    <row r="242" spans="1:10" ht="11.25" customHeight="1" x14ac:dyDescent="0.2">
      <c r="A242" s="29">
        <v>44593</v>
      </c>
      <c r="B242" s="19">
        <v>1775985.48</v>
      </c>
      <c r="C242" s="19">
        <v>1956954.2878793846</v>
      </c>
      <c r="D242" s="19">
        <v>0</v>
      </c>
      <c r="E242" s="19">
        <v>0</v>
      </c>
      <c r="F242" s="19">
        <v>0</v>
      </c>
      <c r="G242" s="19">
        <v>0</v>
      </c>
      <c r="H242" s="20">
        <v>0.10189768436585678</v>
      </c>
      <c r="I242" s="20">
        <v>0</v>
      </c>
      <c r="J242" s="20">
        <v>0.10189768436585678</v>
      </c>
    </row>
    <row r="243" spans="1:10" ht="11.25" customHeight="1" x14ac:dyDescent="0.2">
      <c r="A243" s="29">
        <v>44621</v>
      </c>
      <c r="B243" s="19">
        <v>1836239.0399999998</v>
      </c>
      <c r="C243" s="19">
        <v>2023347.5461181838</v>
      </c>
      <c r="D243" s="19">
        <v>0</v>
      </c>
      <c r="E243" s="19">
        <v>0</v>
      </c>
      <c r="F243" s="19">
        <v>0</v>
      </c>
      <c r="G243" s="19">
        <v>0</v>
      </c>
      <c r="H243" s="20">
        <v>0.10189768436585678</v>
      </c>
      <c r="I243" s="20">
        <v>0</v>
      </c>
      <c r="J243" s="20">
        <v>0.10189768436585678</v>
      </c>
    </row>
    <row r="244" spans="1:10" ht="11.25" customHeight="1" x14ac:dyDescent="0.2">
      <c r="A244" s="29">
        <v>44652</v>
      </c>
      <c r="B244" s="19">
        <v>1874730</v>
      </c>
      <c r="C244" s="19">
        <v>2065760.6458112027</v>
      </c>
      <c r="D244" s="19">
        <v>0</v>
      </c>
      <c r="E244" s="19">
        <v>0</v>
      </c>
      <c r="F244" s="19">
        <v>0</v>
      </c>
      <c r="G244" s="19">
        <v>0</v>
      </c>
      <c r="H244" s="20">
        <v>0.10189768436585678</v>
      </c>
      <c r="I244" s="20">
        <v>0</v>
      </c>
      <c r="J244" s="20">
        <v>0.10189768436585678</v>
      </c>
    </row>
    <row r="245" spans="1:10" ht="11.25" customHeight="1" x14ac:dyDescent="0.2">
      <c r="A245" s="29">
        <v>44682</v>
      </c>
      <c r="B245" s="19">
        <v>1900792.6799999997</v>
      </c>
      <c r="C245" s="19">
        <v>2094479.0525515708</v>
      </c>
      <c r="D245" s="19">
        <v>0</v>
      </c>
      <c r="E245" s="19">
        <v>0</v>
      </c>
      <c r="F245" s="19">
        <v>0</v>
      </c>
      <c r="G245" s="19">
        <v>0</v>
      </c>
      <c r="H245" s="20">
        <v>0.10189768436585678</v>
      </c>
      <c r="I245" s="20">
        <v>0</v>
      </c>
      <c r="J245" s="20">
        <v>0.10189768436585678</v>
      </c>
    </row>
    <row r="246" spans="1:10" ht="11.25" customHeight="1" x14ac:dyDescent="0.2">
      <c r="A246" s="29">
        <v>44713</v>
      </c>
      <c r="B246" s="19">
        <v>1877719.0799999998</v>
      </c>
      <c r="C246" s="19">
        <v>2069054.306141587</v>
      </c>
      <c r="D246" s="19">
        <v>0</v>
      </c>
      <c r="E246" s="19">
        <v>0</v>
      </c>
      <c r="F246" s="19">
        <v>0</v>
      </c>
      <c r="G246" s="19">
        <v>0</v>
      </c>
      <c r="H246" s="20">
        <v>0.10189768436585678</v>
      </c>
      <c r="I246" s="20">
        <v>0</v>
      </c>
      <c r="J246" s="20">
        <v>0.10189768436585678</v>
      </c>
    </row>
    <row r="247" spans="1:10" ht="11.25" customHeight="1" x14ac:dyDescent="0.2">
      <c r="A247" s="29">
        <v>44743</v>
      </c>
      <c r="B247" s="19">
        <v>1877719.0799999998</v>
      </c>
      <c r="C247" s="19">
        <v>2069054.306141587</v>
      </c>
      <c r="D247" s="19">
        <v>0</v>
      </c>
      <c r="E247" s="19">
        <v>0</v>
      </c>
      <c r="F247" s="19">
        <v>0</v>
      </c>
      <c r="G247" s="19">
        <v>0</v>
      </c>
      <c r="H247" s="20">
        <v>0.10189768436585678</v>
      </c>
      <c r="I247" s="20">
        <v>0</v>
      </c>
      <c r="J247" s="20">
        <v>0.10189768436585678</v>
      </c>
    </row>
    <row r="248" spans="1:10" ht="11.25" customHeight="1" x14ac:dyDescent="0.2">
      <c r="A248" s="28" t="s">
        <v>34</v>
      </c>
      <c r="B248" s="19">
        <v>0</v>
      </c>
      <c r="C248" s="19">
        <v>0</v>
      </c>
      <c r="D248" s="19">
        <v>13819426.381780002</v>
      </c>
      <c r="E248" s="19">
        <v>15283081.787518892</v>
      </c>
      <c r="F248" s="19">
        <v>4130898.83244</v>
      </c>
      <c r="G248" s="19">
        <v>3653538.0517900665</v>
      </c>
      <c r="H248" s="20">
        <v>0.10591289141122573</v>
      </c>
      <c r="I248" s="20">
        <v>-0.11555857454102048</v>
      </c>
      <c r="J248" s="20">
        <v>5.4945780275202472E-2</v>
      </c>
    </row>
    <row r="249" spans="1:10" ht="11.25" customHeight="1" x14ac:dyDescent="0.2">
      <c r="A249" s="29">
        <v>44409</v>
      </c>
      <c r="B249" s="19">
        <v>0</v>
      </c>
      <c r="C249" s="19">
        <v>0</v>
      </c>
      <c r="D249" s="19">
        <v>937223.94001000014</v>
      </c>
      <c r="E249" s="19">
        <v>1036488.0373962803</v>
      </c>
      <c r="F249" s="19">
        <v>280154.70198000007</v>
      </c>
      <c r="G249" s="19">
        <v>247780.42396822671</v>
      </c>
      <c r="H249" s="20">
        <v>0.10591289141122573</v>
      </c>
      <c r="I249" s="20">
        <v>-0.11555857454102103</v>
      </c>
      <c r="J249" s="20">
        <v>5.4945780275202472E-2</v>
      </c>
    </row>
    <row r="250" spans="1:10" ht="11.25" customHeight="1" x14ac:dyDescent="0.2">
      <c r="A250" s="29">
        <v>44440</v>
      </c>
      <c r="B250" s="19">
        <v>0</v>
      </c>
      <c r="C250" s="19">
        <v>0</v>
      </c>
      <c r="D250" s="19">
        <v>956213.73245000001</v>
      </c>
      <c r="E250" s="19">
        <v>1057489.0936608997</v>
      </c>
      <c r="F250" s="19">
        <v>285831.1251</v>
      </c>
      <c r="G250" s="19">
        <v>252800.88772398778</v>
      </c>
      <c r="H250" s="20">
        <v>0.10591289141122573</v>
      </c>
      <c r="I250" s="20">
        <v>-0.11555857454102092</v>
      </c>
      <c r="J250" s="20">
        <v>5.4945780275202249E-2</v>
      </c>
    </row>
    <row r="251" spans="1:10" ht="11.25" customHeight="1" x14ac:dyDescent="0.2">
      <c r="A251" s="29">
        <v>44470</v>
      </c>
      <c r="B251" s="19">
        <v>0</v>
      </c>
      <c r="C251" s="19">
        <v>0</v>
      </c>
      <c r="D251" s="19">
        <v>1086354.20129</v>
      </c>
      <c r="E251" s="19">
        <v>1201413.1158453566</v>
      </c>
      <c r="F251" s="19">
        <v>324732.67541999999</v>
      </c>
      <c r="G251" s="19">
        <v>287207.03034157277</v>
      </c>
      <c r="H251" s="20">
        <v>0.10591289141122573</v>
      </c>
      <c r="I251" s="20">
        <v>-0.11555857454102092</v>
      </c>
      <c r="J251" s="20">
        <v>5.4945780275202472E-2</v>
      </c>
    </row>
    <row r="252" spans="1:10" ht="11.25" customHeight="1" x14ac:dyDescent="0.2">
      <c r="A252" s="29">
        <v>44501</v>
      </c>
      <c r="B252" s="19">
        <v>0</v>
      </c>
      <c r="C252" s="19">
        <v>0</v>
      </c>
      <c r="D252" s="19">
        <v>1021165.57996</v>
      </c>
      <c r="E252" s="19">
        <v>1129320.1791431846</v>
      </c>
      <c r="F252" s="19">
        <v>305246.51207999996</v>
      </c>
      <c r="G252" s="19">
        <v>269972.66026041668</v>
      </c>
      <c r="H252" s="20">
        <v>0.10591289141122551</v>
      </c>
      <c r="I252" s="20">
        <v>-0.11555857454102081</v>
      </c>
      <c r="J252" s="20">
        <v>5.4945780275202472E-2</v>
      </c>
    </row>
    <row r="253" spans="1:10" ht="11.25" customHeight="1" x14ac:dyDescent="0.2">
      <c r="A253" s="29">
        <v>44531</v>
      </c>
      <c r="B253" s="19">
        <v>0</v>
      </c>
      <c r="C253" s="19">
        <v>0</v>
      </c>
      <c r="D253" s="19">
        <v>1230903.2882099999</v>
      </c>
      <c r="E253" s="19">
        <v>1361271.8145119064</v>
      </c>
      <c r="F253" s="19">
        <v>367941.24557999999</v>
      </c>
      <c r="G253" s="19">
        <v>325422.47972592752</v>
      </c>
      <c r="H253" s="20">
        <v>0.10591289141122573</v>
      </c>
      <c r="I253" s="20">
        <v>-0.11555857454102081</v>
      </c>
      <c r="J253" s="20">
        <v>5.4945780275202694E-2</v>
      </c>
    </row>
    <row r="254" spans="1:10" ht="11.25" customHeight="1" x14ac:dyDescent="0.2">
      <c r="A254" s="29">
        <v>44562</v>
      </c>
      <c r="B254" s="19">
        <v>0</v>
      </c>
      <c r="C254" s="19">
        <v>0</v>
      </c>
      <c r="D254" s="19">
        <v>1229614.3341000001</v>
      </c>
      <c r="E254" s="19">
        <v>1359846.3435452199</v>
      </c>
      <c r="F254" s="19">
        <v>367555.95179999998</v>
      </c>
      <c r="G254" s="19">
        <v>325081.70994592382</v>
      </c>
      <c r="H254" s="20">
        <v>0.10591289141122551</v>
      </c>
      <c r="I254" s="20">
        <v>-0.11555857454102081</v>
      </c>
      <c r="J254" s="20">
        <v>5.4945780275202472E-2</v>
      </c>
    </row>
    <row r="255" spans="1:10" ht="11.25" customHeight="1" x14ac:dyDescent="0.2">
      <c r="A255" s="29">
        <v>44593</v>
      </c>
      <c r="B255" s="19">
        <v>0</v>
      </c>
      <c r="C255" s="19">
        <v>0</v>
      </c>
      <c r="D255" s="19">
        <v>1104255.8983100001</v>
      </c>
      <c r="E255" s="19">
        <v>1221210.8333579125</v>
      </c>
      <c r="F255" s="19">
        <v>330083.84537999996</v>
      </c>
      <c r="G255" s="19">
        <v>291939.82672886847</v>
      </c>
      <c r="H255" s="20">
        <v>0.10591289141122551</v>
      </c>
      <c r="I255" s="20">
        <v>-0.1155585745410207</v>
      </c>
      <c r="J255" s="20">
        <v>5.4945780275202472E-2</v>
      </c>
    </row>
    <row r="256" spans="1:10" ht="11.25" customHeight="1" x14ac:dyDescent="0.2">
      <c r="A256" s="29">
        <v>44621</v>
      </c>
      <c r="B256" s="19">
        <v>0</v>
      </c>
      <c r="C256" s="19">
        <v>0</v>
      </c>
      <c r="D256" s="19">
        <v>1282876.4718899999</v>
      </c>
      <c r="E256" s="19">
        <v>1418749.6283513017</v>
      </c>
      <c r="F256" s="19">
        <v>383477.05421999999</v>
      </c>
      <c r="G256" s="19">
        <v>339162.99246514705</v>
      </c>
      <c r="H256" s="20">
        <v>0.10591289141122551</v>
      </c>
      <c r="I256" s="20">
        <v>-0.11555857454102081</v>
      </c>
      <c r="J256" s="20">
        <v>5.4945780275202249E-2</v>
      </c>
    </row>
    <row r="257" spans="1:10" ht="11.25" customHeight="1" x14ac:dyDescent="0.2">
      <c r="A257" s="29">
        <v>44652</v>
      </c>
      <c r="B257" s="19">
        <v>0</v>
      </c>
      <c r="C257" s="19">
        <v>0</v>
      </c>
      <c r="D257" s="19">
        <v>1208146.39769</v>
      </c>
      <c r="E257" s="19">
        <v>1336104.6759174042</v>
      </c>
      <c r="F257" s="19">
        <v>361138.76261999999</v>
      </c>
      <c r="G257" s="19">
        <v>319406.08200012468</v>
      </c>
      <c r="H257" s="20">
        <v>0.10591289141122551</v>
      </c>
      <c r="I257" s="20">
        <v>-0.11555857454102092</v>
      </c>
      <c r="J257" s="20">
        <v>5.4945780275202472E-2</v>
      </c>
    </row>
    <row r="258" spans="1:10" ht="11.25" customHeight="1" x14ac:dyDescent="0.2">
      <c r="A258" s="29">
        <v>44682</v>
      </c>
      <c r="B258" s="19">
        <v>0</v>
      </c>
      <c r="C258" s="19">
        <v>0</v>
      </c>
      <c r="D258" s="19">
        <v>1269832.6287500001</v>
      </c>
      <c r="E258" s="19">
        <v>1404324.2740692301</v>
      </c>
      <c r="F258" s="19">
        <v>379577.99250000005</v>
      </c>
      <c r="G258" s="19">
        <v>335714.50075955765</v>
      </c>
      <c r="H258" s="20">
        <v>0.10591289141122551</v>
      </c>
      <c r="I258" s="20">
        <v>-0.11555857454102114</v>
      </c>
      <c r="J258" s="20">
        <v>5.4945780275202249E-2</v>
      </c>
    </row>
    <row r="259" spans="1:10" ht="11.25" customHeight="1" x14ac:dyDescent="0.2">
      <c r="A259" s="29">
        <v>44713</v>
      </c>
      <c r="B259" s="19">
        <v>0</v>
      </c>
      <c r="C259" s="19">
        <v>0</v>
      </c>
      <c r="D259" s="19">
        <v>1246419.95456</v>
      </c>
      <c r="E259" s="19">
        <v>1378431.8958600983</v>
      </c>
      <c r="F259" s="19">
        <v>372579.48287999997</v>
      </c>
      <c r="G259" s="19">
        <v>329524.72893515654</v>
      </c>
      <c r="H259" s="20">
        <v>0.10591289141122573</v>
      </c>
      <c r="I259" s="20">
        <v>-0.1155585745410207</v>
      </c>
      <c r="J259" s="20">
        <v>5.4945780275202472E-2</v>
      </c>
    </row>
    <row r="260" spans="1:10" ht="11.25" customHeight="1" x14ac:dyDescent="0.2">
      <c r="A260" s="29">
        <v>44743</v>
      </c>
      <c r="B260" s="19">
        <v>0</v>
      </c>
      <c r="C260" s="19">
        <v>0</v>
      </c>
      <c r="D260" s="19">
        <v>1246419.95456</v>
      </c>
      <c r="E260" s="19">
        <v>1378431.8958600983</v>
      </c>
      <c r="F260" s="19">
        <v>372579.48287999997</v>
      </c>
      <c r="G260" s="19">
        <v>329524.72893515654</v>
      </c>
      <c r="H260" s="20">
        <v>0.10591289141122573</v>
      </c>
      <c r="I260" s="20">
        <v>-0.1155585745410207</v>
      </c>
      <c r="J260" s="20">
        <v>5.4945780275202472E-2</v>
      </c>
    </row>
    <row r="261" spans="1:10" ht="11.25" customHeight="1" x14ac:dyDescent="0.2">
      <c r="A261" s="24" t="s">
        <v>52</v>
      </c>
      <c r="B261" s="19">
        <v>219068.09999999995</v>
      </c>
      <c r="C261" s="19">
        <v>241390.63210842788</v>
      </c>
      <c r="D261" s="19">
        <v>323864.27506000001</v>
      </c>
      <c r="E261" s="19">
        <v>370124.4708409505</v>
      </c>
      <c r="F261" s="19">
        <v>497484.83591999998</v>
      </c>
      <c r="G261" s="19">
        <v>457476.92467228021</v>
      </c>
      <c r="H261" s="20">
        <v>0.12631909799410868</v>
      </c>
      <c r="I261" s="20">
        <v>-8.0420363313653653E-2</v>
      </c>
      <c r="J261" s="20">
        <v>2.7464767345345198E-2</v>
      </c>
    </row>
    <row r="262" spans="1:10" ht="11.25" customHeight="1" x14ac:dyDescent="0.2">
      <c r="A262" s="25" t="s">
        <v>25</v>
      </c>
      <c r="B262" s="19">
        <v>219068.09999999995</v>
      </c>
      <c r="C262" s="19">
        <v>241390.63210842788</v>
      </c>
      <c r="D262" s="19">
        <v>323864.27506000001</v>
      </c>
      <c r="E262" s="19">
        <v>370124.4708409505</v>
      </c>
      <c r="F262" s="19">
        <v>497484.83591999998</v>
      </c>
      <c r="G262" s="19">
        <v>457476.92467228021</v>
      </c>
      <c r="H262" s="20">
        <v>0.12631909799410868</v>
      </c>
      <c r="I262" s="20">
        <v>-8.0420363313653653E-2</v>
      </c>
      <c r="J262" s="20">
        <v>2.7464767345345198E-2</v>
      </c>
    </row>
    <row r="263" spans="1:10" ht="11.25" customHeight="1" x14ac:dyDescent="0.2">
      <c r="A263" s="26" t="s">
        <v>25</v>
      </c>
      <c r="B263" s="19">
        <v>219068.09999999995</v>
      </c>
      <c r="C263" s="19">
        <v>241390.63210842788</v>
      </c>
      <c r="D263" s="19">
        <v>323864.27506000001</v>
      </c>
      <c r="E263" s="19">
        <v>370124.4708409505</v>
      </c>
      <c r="F263" s="19">
        <v>497484.83591999998</v>
      </c>
      <c r="G263" s="19">
        <v>457476.92467228021</v>
      </c>
      <c r="H263" s="20">
        <v>0.12631909799410868</v>
      </c>
      <c r="I263" s="20">
        <v>-8.0420363313653653E-2</v>
      </c>
      <c r="J263" s="20">
        <v>2.7464767345345198E-2</v>
      </c>
    </row>
    <row r="264" spans="1:10" ht="11.25" customHeight="1" x14ac:dyDescent="0.2">
      <c r="A264" s="27" t="s">
        <v>25</v>
      </c>
      <c r="B264" s="19">
        <v>219068.09999999995</v>
      </c>
      <c r="C264" s="19">
        <v>241390.63210842788</v>
      </c>
      <c r="D264" s="19">
        <v>323864.27506000001</v>
      </c>
      <c r="E264" s="19">
        <v>370124.4708409505</v>
      </c>
      <c r="F264" s="19">
        <v>497484.83591999998</v>
      </c>
      <c r="G264" s="19">
        <v>457476.92467228021</v>
      </c>
      <c r="H264" s="20">
        <v>0.12631909799410868</v>
      </c>
      <c r="I264" s="20">
        <v>-8.0420363313653653E-2</v>
      </c>
      <c r="J264" s="20">
        <v>2.7464767345345198E-2</v>
      </c>
    </row>
    <row r="265" spans="1:10" ht="11.25" customHeight="1" x14ac:dyDescent="0.2">
      <c r="A265" s="28" t="s">
        <v>35</v>
      </c>
      <c r="B265" s="19">
        <v>0</v>
      </c>
      <c r="C265" s="19">
        <v>0</v>
      </c>
      <c r="D265" s="19">
        <v>111862.58343</v>
      </c>
      <c r="E265" s="19">
        <v>135669.06706634612</v>
      </c>
      <c r="F265" s="19">
        <v>434113.35317999998</v>
      </c>
      <c r="G265" s="19">
        <v>401428.56014426547</v>
      </c>
      <c r="H265" s="20">
        <v>0.21281900441038393</v>
      </c>
      <c r="I265" s="20">
        <v>-7.5290918365697346E-2</v>
      </c>
      <c r="J265" s="20">
        <v>-1.6261356598450849E-2</v>
      </c>
    </row>
    <row r="266" spans="1:10" ht="11.25" customHeight="1" x14ac:dyDescent="0.2">
      <c r="A266" s="29">
        <v>44409</v>
      </c>
      <c r="B266" s="19">
        <v>0</v>
      </c>
      <c r="C266" s="19">
        <v>0</v>
      </c>
      <c r="D266" s="19">
        <v>8592.4252500000002</v>
      </c>
      <c r="E266" s="19">
        <v>10421.056637175645</v>
      </c>
      <c r="F266" s="19">
        <v>33345.256499999996</v>
      </c>
      <c r="G266" s="19">
        <v>30834.661514975262</v>
      </c>
      <c r="H266" s="20">
        <v>0.21281900441038393</v>
      </c>
      <c r="I266" s="20">
        <v>-7.5290918365697235E-2</v>
      </c>
      <c r="J266" s="20">
        <v>-1.6261356598450738E-2</v>
      </c>
    </row>
    <row r="267" spans="1:10" ht="11.25" customHeight="1" x14ac:dyDescent="0.2">
      <c r="A267" s="29">
        <v>44440</v>
      </c>
      <c r="B267" s="19">
        <v>0</v>
      </c>
      <c r="C267" s="19">
        <v>0</v>
      </c>
      <c r="D267" s="19">
        <v>9022.4688600000009</v>
      </c>
      <c r="E267" s="19">
        <v>10942.621700108893</v>
      </c>
      <c r="F267" s="19">
        <v>35014.158360000001</v>
      </c>
      <c r="G267" s="19">
        <v>32377.910221273643</v>
      </c>
      <c r="H267" s="20">
        <v>0.21281900441038393</v>
      </c>
      <c r="I267" s="20">
        <v>-7.5290918365697346E-2</v>
      </c>
      <c r="J267" s="20">
        <v>-1.6261356598450849E-2</v>
      </c>
    </row>
    <row r="268" spans="1:10" ht="11.25" customHeight="1" x14ac:dyDescent="0.2">
      <c r="A268" s="29">
        <v>44470</v>
      </c>
      <c r="B268" s="19">
        <v>0</v>
      </c>
      <c r="C268" s="19">
        <v>0</v>
      </c>
      <c r="D268" s="19">
        <v>9337.9467999999997</v>
      </c>
      <c r="E268" s="19">
        <v>11325.239341213133</v>
      </c>
      <c r="F268" s="19">
        <v>36238.4568</v>
      </c>
      <c r="G268" s="19">
        <v>33510.030107372353</v>
      </c>
      <c r="H268" s="20">
        <v>0.21281900441038415</v>
      </c>
      <c r="I268" s="20">
        <v>-7.5290918365697235E-2</v>
      </c>
      <c r="J268" s="20">
        <v>-1.6261356598450627E-2</v>
      </c>
    </row>
    <row r="269" spans="1:10" ht="11.25" customHeight="1" x14ac:dyDescent="0.2">
      <c r="A269" s="29">
        <v>44501</v>
      </c>
      <c r="B269" s="19">
        <v>0</v>
      </c>
      <c r="C269" s="19">
        <v>0</v>
      </c>
      <c r="D269" s="19">
        <v>9722.6897300000001</v>
      </c>
      <c r="E269" s="19">
        <v>11791.862878529668</v>
      </c>
      <c r="F269" s="19">
        <v>37731.556980000001</v>
      </c>
      <c r="G269" s="19">
        <v>34890.71340360817</v>
      </c>
      <c r="H269" s="20">
        <v>0.21281900441038415</v>
      </c>
      <c r="I269" s="20">
        <v>-7.5290918365697124E-2</v>
      </c>
      <c r="J269" s="20">
        <v>-1.6261356598450627E-2</v>
      </c>
    </row>
    <row r="270" spans="1:10" ht="11.25" customHeight="1" x14ac:dyDescent="0.2">
      <c r="A270" s="29">
        <v>44531</v>
      </c>
      <c r="B270" s="19">
        <v>0</v>
      </c>
      <c r="C270" s="19">
        <v>0</v>
      </c>
      <c r="D270" s="19">
        <v>10125.26511</v>
      </c>
      <c r="E270" s="19">
        <v>12280.113950101399</v>
      </c>
      <c r="F270" s="19">
        <v>39293.860860000001</v>
      </c>
      <c r="G270" s="19">
        <v>36335.38998971667</v>
      </c>
      <c r="H270" s="20">
        <v>0.21281900441038415</v>
      </c>
      <c r="I270" s="20">
        <v>-7.5290918365697346E-2</v>
      </c>
      <c r="J270" s="20">
        <v>-1.6261356598450849E-2</v>
      </c>
    </row>
    <row r="271" spans="1:10" ht="11.25" customHeight="1" x14ac:dyDescent="0.2">
      <c r="A271" s="29">
        <v>44562</v>
      </c>
      <c r="B271" s="19">
        <v>0</v>
      </c>
      <c r="C271" s="19">
        <v>0</v>
      </c>
      <c r="D271" s="19">
        <v>9213.8704900000012</v>
      </c>
      <c r="E271" s="19">
        <v>11174.757234448018</v>
      </c>
      <c r="F271" s="19">
        <v>35756.944739999999</v>
      </c>
      <c r="G271" s="19">
        <v>33064.771532573912</v>
      </c>
      <c r="H271" s="20">
        <v>0.21281900441038393</v>
      </c>
      <c r="I271" s="20">
        <v>-7.5290918365697235E-2</v>
      </c>
      <c r="J271" s="20">
        <v>-1.6261356598450849E-2</v>
      </c>
    </row>
    <row r="272" spans="1:10" ht="11.25" customHeight="1" x14ac:dyDescent="0.2">
      <c r="A272" s="29">
        <v>44593</v>
      </c>
      <c r="B272" s="19">
        <v>0</v>
      </c>
      <c r="C272" s="19">
        <v>0</v>
      </c>
      <c r="D272" s="19">
        <v>9015.2107400000004</v>
      </c>
      <c r="E272" s="19">
        <v>10933.818914236601</v>
      </c>
      <c r="F272" s="19">
        <v>34985.991239999996</v>
      </c>
      <c r="G272" s="19">
        <v>32351.863829606158</v>
      </c>
      <c r="H272" s="20">
        <v>0.21281900441038393</v>
      </c>
      <c r="I272" s="20">
        <v>-7.5290918365697235E-2</v>
      </c>
      <c r="J272" s="20">
        <v>-1.6261356598450849E-2</v>
      </c>
    </row>
    <row r="273" spans="1:10" ht="11.25" customHeight="1" x14ac:dyDescent="0.2">
      <c r="A273" s="29">
        <v>44621</v>
      </c>
      <c r="B273" s="19">
        <v>0</v>
      </c>
      <c r="C273" s="19">
        <v>0</v>
      </c>
      <c r="D273" s="19">
        <v>10320.23323</v>
      </c>
      <c r="E273" s="19">
        <v>12516.574991291562</v>
      </c>
      <c r="F273" s="19">
        <v>40050.487979999998</v>
      </c>
      <c r="G273" s="19">
        <v>37035.049958991476</v>
      </c>
      <c r="H273" s="20">
        <v>0.21281900441038393</v>
      </c>
      <c r="I273" s="20">
        <v>-7.5290918365697346E-2</v>
      </c>
      <c r="J273" s="20">
        <v>-1.6261356598450738E-2</v>
      </c>
    </row>
    <row r="274" spans="1:10" ht="11.25" customHeight="1" x14ac:dyDescent="0.2">
      <c r="A274" s="29">
        <v>44652</v>
      </c>
      <c r="B274" s="19">
        <v>0</v>
      </c>
      <c r="C274" s="19">
        <v>0</v>
      </c>
      <c r="D274" s="19">
        <v>9437.4956700000002</v>
      </c>
      <c r="E274" s="19">
        <v>11445.97410261671</v>
      </c>
      <c r="F274" s="19">
        <v>36624.78342</v>
      </c>
      <c r="G274" s="19">
        <v>33867.269841363435</v>
      </c>
      <c r="H274" s="20">
        <v>0.21281900441038393</v>
      </c>
      <c r="I274" s="20">
        <v>-7.5290918365697346E-2</v>
      </c>
      <c r="J274" s="20">
        <v>-1.6261356598450738E-2</v>
      </c>
    </row>
    <row r="275" spans="1:10" ht="11.25" customHeight="1" x14ac:dyDescent="0.2">
      <c r="A275" s="29">
        <v>44682</v>
      </c>
      <c r="B275" s="19">
        <v>0</v>
      </c>
      <c r="C275" s="19">
        <v>0</v>
      </c>
      <c r="D275" s="19">
        <v>9828.8084500000004</v>
      </c>
      <c r="E275" s="19">
        <v>11920.56567886937</v>
      </c>
      <c r="F275" s="19">
        <v>38143.379699999998</v>
      </c>
      <c r="G275" s="19">
        <v>35271.52961281551</v>
      </c>
      <c r="H275" s="20">
        <v>0.21281900441038415</v>
      </c>
      <c r="I275" s="20">
        <v>-7.5290918365697124E-2</v>
      </c>
      <c r="J275" s="20">
        <v>-1.6261356598450738E-2</v>
      </c>
    </row>
    <row r="276" spans="1:10" ht="11.25" customHeight="1" x14ac:dyDescent="0.2">
      <c r="A276" s="29">
        <v>44713</v>
      </c>
      <c r="B276" s="19">
        <v>0</v>
      </c>
      <c r="C276" s="19">
        <v>0</v>
      </c>
      <c r="D276" s="19">
        <v>8623.0845499999996</v>
      </c>
      <c r="E276" s="19">
        <v>10458.240818877564</v>
      </c>
      <c r="F276" s="19">
        <v>33464.238299999997</v>
      </c>
      <c r="G276" s="19">
        <v>30944.685065984457</v>
      </c>
      <c r="H276" s="20">
        <v>0.21281900441038415</v>
      </c>
      <c r="I276" s="20">
        <v>-7.5290918365697346E-2</v>
      </c>
      <c r="J276" s="20">
        <v>-1.6261356598450738E-2</v>
      </c>
    </row>
    <row r="277" spans="1:10" ht="11.25" customHeight="1" x14ac:dyDescent="0.2">
      <c r="A277" s="29">
        <v>44743</v>
      </c>
      <c r="B277" s="19">
        <v>0</v>
      </c>
      <c r="C277" s="19">
        <v>0</v>
      </c>
      <c r="D277" s="19">
        <v>8623.0845499999996</v>
      </c>
      <c r="E277" s="19">
        <v>10458.240818877564</v>
      </c>
      <c r="F277" s="19">
        <v>33464.238299999997</v>
      </c>
      <c r="G277" s="19">
        <v>30944.685065984457</v>
      </c>
      <c r="H277" s="20">
        <v>0.21281900441038415</v>
      </c>
      <c r="I277" s="20">
        <v>-7.5290918365697346E-2</v>
      </c>
      <c r="J277" s="20">
        <v>-1.6261356598450738E-2</v>
      </c>
    </row>
    <row r="278" spans="1:10" ht="11.25" customHeight="1" x14ac:dyDescent="0.2">
      <c r="A278" s="28" t="s">
        <v>25</v>
      </c>
      <c r="B278" s="19">
        <v>219068.09999999995</v>
      </c>
      <c r="C278" s="19">
        <v>241390.63210842788</v>
      </c>
      <c r="D278" s="19">
        <v>0</v>
      </c>
      <c r="E278" s="19">
        <v>0</v>
      </c>
      <c r="F278" s="19">
        <v>0</v>
      </c>
      <c r="G278" s="19">
        <v>0</v>
      </c>
      <c r="H278" s="20">
        <v>0.10189768436585678</v>
      </c>
      <c r="I278" s="20">
        <v>0</v>
      </c>
      <c r="J278" s="20">
        <v>0.10189768436585678</v>
      </c>
    </row>
    <row r="279" spans="1:10" ht="11.25" customHeight="1" x14ac:dyDescent="0.2">
      <c r="A279" s="29">
        <v>44409</v>
      </c>
      <c r="B279" s="19">
        <v>18249.12</v>
      </c>
      <c r="C279" s="19">
        <v>20108.663069714643</v>
      </c>
      <c r="D279" s="19">
        <v>0</v>
      </c>
      <c r="E279" s="19">
        <v>0</v>
      </c>
      <c r="F279" s="19">
        <v>0</v>
      </c>
      <c r="G279" s="19">
        <v>0</v>
      </c>
      <c r="H279" s="20">
        <v>0.10189768436585678</v>
      </c>
      <c r="I279" s="20">
        <v>0</v>
      </c>
      <c r="J279" s="20">
        <v>0.10189768436585678</v>
      </c>
    </row>
    <row r="280" spans="1:10" ht="11.25" customHeight="1" x14ac:dyDescent="0.2">
      <c r="A280" s="29">
        <v>44440</v>
      </c>
      <c r="B280" s="19">
        <v>18327.78</v>
      </c>
      <c r="C280" s="19">
        <v>20195.338341566861</v>
      </c>
      <c r="D280" s="19">
        <v>0</v>
      </c>
      <c r="E280" s="19">
        <v>0</v>
      </c>
      <c r="F280" s="19">
        <v>0</v>
      </c>
      <c r="G280" s="19">
        <v>0</v>
      </c>
      <c r="H280" s="20">
        <v>0.10189768436585678</v>
      </c>
      <c r="I280" s="20">
        <v>0</v>
      </c>
      <c r="J280" s="20">
        <v>0.10189768436585678</v>
      </c>
    </row>
    <row r="281" spans="1:10" ht="11.25" customHeight="1" x14ac:dyDescent="0.2">
      <c r="A281" s="29">
        <v>44470</v>
      </c>
      <c r="B281" s="19">
        <v>18327.78</v>
      </c>
      <c r="C281" s="19">
        <v>20195.338341566861</v>
      </c>
      <c r="D281" s="19">
        <v>0</v>
      </c>
      <c r="E281" s="19">
        <v>0</v>
      </c>
      <c r="F281" s="19">
        <v>0</v>
      </c>
      <c r="G281" s="19">
        <v>0</v>
      </c>
      <c r="H281" s="20">
        <v>0.10189768436585678</v>
      </c>
      <c r="I281" s="20">
        <v>0</v>
      </c>
      <c r="J281" s="20">
        <v>0.10189768436585678</v>
      </c>
    </row>
    <row r="282" spans="1:10" ht="11.25" customHeight="1" x14ac:dyDescent="0.2">
      <c r="A282" s="29">
        <v>44501</v>
      </c>
      <c r="B282" s="19">
        <v>18301.559999999998</v>
      </c>
      <c r="C282" s="19">
        <v>20166.446584282789</v>
      </c>
      <c r="D282" s="19">
        <v>0</v>
      </c>
      <c r="E282" s="19">
        <v>0</v>
      </c>
      <c r="F282" s="19">
        <v>0</v>
      </c>
      <c r="G282" s="19">
        <v>0</v>
      </c>
      <c r="H282" s="20">
        <v>0.10189768436585678</v>
      </c>
      <c r="I282" s="20">
        <v>0</v>
      </c>
      <c r="J282" s="20">
        <v>0.10189768436585678</v>
      </c>
    </row>
    <row r="283" spans="1:10" ht="11.25" customHeight="1" x14ac:dyDescent="0.2">
      <c r="A283" s="29">
        <v>44531</v>
      </c>
      <c r="B283" s="19">
        <v>18301.559999999998</v>
      </c>
      <c r="C283" s="19">
        <v>20166.446584282789</v>
      </c>
      <c r="D283" s="19">
        <v>0</v>
      </c>
      <c r="E283" s="19">
        <v>0</v>
      </c>
      <c r="F283" s="19">
        <v>0</v>
      </c>
      <c r="G283" s="19">
        <v>0</v>
      </c>
      <c r="H283" s="20">
        <v>0.10189768436585678</v>
      </c>
      <c r="I283" s="20">
        <v>0</v>
      </c>
      <c r="J283" s="20">
        <v>0.10189768436585678</v>
      </c>
    </row>
    <row r="284" spans="1:10" ht="11.25" customHeight="1" x14ac:dyDescent="0.2">
      <c r="A284" s="29">
        <v>44562</v>
      </c>
      <c r="B284" s="19">
        <v>18222.899999999998</v>
      </c>
      <c r="C284" s="19">
        <v>20079.77131243057</v>
      </c>
      <c r="D284" s="19">
        <v>0</v>
      </c>
      <c r="E284" s="19">
        <v>0</v>
      </c>
      <c r="F284" s="19">
        <v>0</v>
      </c>
      <c r="G284" s="19">
        <v>0</v>
      </c>
      <c r="H284" s="20">
        <v>0.10189768436585678</v>
      </c>
      <c r="I284" s="20">
        <v>0</v>
      </c>
      <c r="J284" s="20">
        <v>0.10189768436585678</v>
      </c>
    </row>
    <row r="285" spans="1:10" ht="11.25" customHeight="1" x14ac:dyDescent="0.2">
      <c r="A285" s="29">
        <v>44593</v>
      </c>
      <c r="B285" s="19">
        <v>18222.899999999998</v>
      </c>
      <c r="C285" s="19">
        <v>20079.77131243057</v>
      </c>
      <c r="D285" s="19">
        <v>0</v>
      </c>
      <c r="E285" s="19">
        <v>0</v>
      </c>
      <c r="F285" s="19">
        <v>0</v>
      </c>
      <c r="G285" s="19">
        <v>0</v>
      </c>
      <c r="H285" s="20">
        <v>0.10189768436585678</v>
      </c>
      <c r="I285" s="20">
        <v>0</v>
      </c>
      <c r="J285" s="20">
        <v>0.10189768436585678</v>
      </c>
    </row>
    <row r="286" spans="1:10" ht="11.25" customHeight="1" x14ac:dyDescent="0.2">
      <c r="A286" s="29">
        <v>44621</v>
      </c>
      <c r="B286" s="19">
        <v>18222.899999999998</v>
      </c>
      <c r="C286" s="19">
        <v>20079.77131243057</v>
      </c>
      <c r="D286" s="19">
        <v>0</v>
      </c>
      <c r="E286" s="19">
        <v>0</v>
      </c>
      <c r="F286" s="19">
        <v>0</v>
      </c>
      <c r="G286" s="19">
        <v>0</v>
      </c>
      <c r="H286" s="20">
        <v>0.10189768436585678</v>
      </c>
      <c r="I286" s="20">
        <v>0</v>
      </c>
      <c r="J286" s="20">
        <v>0.10189768436585678</v>
      </c>
    </row>
    <row r="287" spans="1:10" ht="11.25" customHeight="1" x14ac:dyDescent="0.2">
      <c r="A287" s="29">
        <v>44652</v>
      </c>
      <c r="B287" s="19">
        <v>18222.899999999998</v>
      </c>
      <c r="C287" s="19">
        <v>20079.77131243057</v>
      </c>
      <c r="D287" s="19">
        <v>0</v>
      </c>
      <c r="E287" s="19">
        <v>0</v>
      </c>
      <c r="F287" s="19">
        <v>0</v>
      </c>
      <c r="G287" s="19">
        <v>0</v>
      </c>
      <c r="H287" s="20">
        <v>0.10189768436585678</v>
      </c>
      <c r="I287" s="20">
        <v>0</v>
      </c>
      <c r="J287" s="20">
        <v>0.10189768436585678</v>
      </c>
    </row>
    <row r="288" spans="1:10" ht="11.25" customHeight="1" x14ac:dyDescent="0.2">
      <c r="A288" s="29">
        <v>44682</v>
      </c>
      <c r="B288" s="19">
        <v>18222.899999999998</v>
      </c>
      <c r="C288" s="19">
        <v>20079.77131243057</v>
      </c>
      <c r="D288" s="19">
        <v>0</v>
      </c>
      <c r="E288" s="19">
        <v>0</v>
      </c>
      <c r="F288" s="19">
        <v>0</v>
      </c>
      <c r="G288" s="19">
        <v>0</v>
      </c>
      <c r="H288" s="20">
        <v>0.10189768436585678</v>
      </c>
      <c r="I288" s="20">
        <v>0</v>
      </c>
      <c r="J288" s="20">
        <v>0.10189768436585678</v>
      </c>
    </row>
    <row r="289" spans="1:10" ht="11.25" customHeight="1" x14ac:dyDescent="0.2">
      <c r="A289" s="29">
        <v>44713</v>
      </c>
      <c r="B289" s="19">
        <v>18222.899999999998</v>
      </c>
      <c r="C289" s="19">
        <v>20079.77131243057</v>
      </c>
      <c r="D289" s="19">
        <v>0</v>
      </c>
      <c r="E289" s="19">
        <v>0</v>
      </c>
      <c r="F289" s="19">
        <v>0</v>
      </c>
      <c r="G289" s="19">
        <v>0</v>
      </c>
      <c r="H289" s="20">
        <v>0.10189768436585678</v>
      </c>
      <c r="I289" s="20">
        <v>0</v>
      </c>
      <c r="J289" s="20">
        <v>0.10189768436585678</v>
      </c>
    </row>
    <row r="290" spans="1:10" ht="11.25" customHeight="1" x14ac:dyDescent="0.2">
      <c r="A290" s="29">
        <v>44743</v>
      </c>
      <c r="B290" s="19">
        <v>18222.899999999998</v>
      </c>
      <c r="C290" s="19">
        <v>20079.77131243057</v>
      </c>
      <c r="D290" s="19">
        <v>0</v>
      </c>
      <c r="E290" s="19">
        <v>0</v>
      </c>
      <c r="F290" s="19">
        <v>0</v>
      </c>
      <c r="G290" s="19">
        <v>0</v>
      </c>
      <c r="H290" s="20">
        <v>0.10189768436585678</v>
      </c>
      <c r="I290" s="20">
        <v>0</v>
      </c>
      <c r="J290" s="20">
        <v>0.10189768436585678</v>
      </c>
    </row>
    <row r="291" spans="1:10" ht="11.25" customHeight="1" x14ac:dyDescent="0.2">
      <c r="A291" s="28" t="s">
        <v>34</v>
      </c>
      <c r="B291" s="19">
        <v>0</v>
      </c>
      <c r="C291" s="19">
        <v>0</v>
      </c>
      <c r="D291" s="19">
        <v>212001.69163000002</v>
      </c>
      <c r="E291" s="19">
        <v>234455.40377460438</v>
      </c>
      <c r="F291" s="19">
        <v>63371.482739999999</v>
      </c>
      <c r="G291" s="19">
        <v>56048.364528014688</v>
      </c>
      <c r="H291" s="20">
        <v>0.10591289141122573</v>
      </c>
      <c r="I291" s="20">
        <v>-0.11555857454102092</v>
      </c>
      <c r="J291" s="20">
        <v>5.4945780275202472E-2</v>
      </c>
    </row>
    <row r="292" spans="1:10" ht="11.25" customHeight="1" x14ac:dyDescent="0.2">
      <c r="A292" s="29">
        <v>44409</v>
      </c>
      <c r="B292" s="19">
        <v>0</v>
      </c>
      <c r="C292" s="19">
        <v>0</v>
      </c>
      <c r="D292" s="19">
        <v>17674.234530000002</v>
      </c>
      <c r="E292" s="19">
        <v>19546.163812552426</v>
      </c>
      <c r="F292" s="19">
        <v>5283.1769400000003</v>
      </c>
      <c r="G292" s="19">
        <v>4672.6605437656081</v>
      </c>
      <c r="H292" s="20">
        <v>0.10591289141122551</v>
      </c>
      <c r="I292" s="20">
        <v>-0.11555857454102081</v>
      </c>
      <c r="J292" s="20">
        <v>5.4945780275202249E-2</v>
      </c>
    </row>
    <row r="293" spans="1:10" ht="11.25" customHeight="1" x14ac:dyDescent="0.2">
      <c r="A293" s="29">
        <v>44440</v>
      </c>
      <c r="B293" s="19">
        <v>0</v>
      </c>
      <c r="C293" s="19">
        <v>0</v>
      </c>
      <c r="D293" s="19">
        <v>17256.55487</v>
      </c>
      <c r="E293" s="19">
        <v>19084.246492078168</v>
      </c>
      <c r="F293" s="19">
        <v>5158.3242600000003</v>
      </c>
      <c r="G293" s="19">
        <v>4562.2356614940336</v>
      </c>
      <c r="H293" s="20">
        <v>0.10591289141122573</v>
      </c>
      <c r="I293" s="20">
        <v>-0.11555857454102092</v>
      </c>
      <c r="J293" s="20">
        <v>5.4945780275202472E-2</v>
      </c>
    </row>
    <row r="294" spans="1:10" ht="11.25" customHeight="1" x14ac:dyDescent="0.2">
      <c r="A294" s="29">
        <v>44470</v>
      </c>
      <c r="B294" s="19">
        <v>0</v>
      </c>
      <c r="C294" s="19">
        <v>0</v>
      </c>
      <c r="D294" s="19">
        <v>17001.158390000001</v>
      </c>
      <c r="E294" s="19">
        <v>18801.800232425117</v>
      </c>
      <c r="F294" s="19">
        <v>5081.9812200000006</v>
      </c>
      <c r="G294" s="19">
        <v>4494.7147143725624</v>
      </c>
      <c r="H294" s="20">
        <v>0.10591289141122551</v>
      </c>
      <c r="I294" s="20">
        <v>-0.11555857454102081</v>
      </c>
      <c r="J294" s="20">
        <v>5.4945780275202472E-2</v>
      </c>
    </row>
    <row r="295" spans="1:10" ht="11.25" customHeight="1" x14ac:dyDescent="0.2">
      <c r="A295" s="29">
        <v>44501</v>
      </c>
      <c r="B295" s="19">
        <v>0</v>
      </c>
      <c r="C295" s="19">
        <v>0</v>
      </c>
      <c r="D295" s="19">
        <v>16999.8282</v>
      </c>
      <c r="E295" s="19">
        <v>18800.329158156092</v>
      </c>
      <c r="F295" s="19">
        <v>5081.5835999999999</v>
      </c>
      <c r="G295" s="19">
        <v>4494.3630427729704</v>
      </c>
      <c r="H295" s="20">
        <v>0.10591289141122573</v>
      </c>
      <c r="I295" s="20">
        <v>-0.11555857454102092</v>
      </c>
      <c r="J295" s="20">
        <v>5.4945780275202249E-2</v>
      </c>
    </row>
    <row r="296" spans="1:10" ht="11.25" customHeight="1" x14ac:dyDescent="0.2">
      <c r="A296" s="29">
        <v>44531</v>
      </c>
      <c r="B296" s="19">
        <v>0</v>
      </c>
      <c r="C296" s="19">
        <v>0</v>
      </c>
      <c r="D296" s="19">
        <v>19121.481250000001</v>
      </c>
      <c r="E296" s="19">
        <v>21146.692617253037</v>
      </c>
      <c r="F296" s="19">
        <v>5715.7875000000004</v>
      </c>
      <c r="G296" s="19">
        <v>5055.2792441206147</v>
      </c>
      <c r="H296" s="20">
        <v>0.10591289141122551</v>
      </c>
      <c r="I296" s="20">
        <v>-0.11555857454102092</v>
      </c>
      <c r="J296" s="20">
        <v>5.4945780275202249E-2</v>
      </c>
    </row>
    <row r="297" spans="1:10" ht="11.25" customHeight="1" x14ac:dyDescent="0.2">
      <c r="A297" s="29">
        <v>44562</v>
      </c>
      <c r="B297" s="19">
        <v>0</v>
      </c>
      <c r="C297" s="19">
        <v>0</v>
      </c>
      <c r="D297" s="19">
        <v>16724.478870000003</v>
      </c>
      <c r="E297" s="19">
        <v>18495.816784467646</v>
      </c>
      <c r="F297" s="19">
        <v>4999.2762600000005</v>
      </c>
      <c r="G297" s="19">
        <v>4421.5670216576336</v>
      </c>
      <c r="H297" s="20">
        <v>0.10591289141122529</v>
      </c>
      <c r="I297" s="20">
        <v>-0.11555857454102103</v>
      </c>
      <c r="J297" s="20">
        <v>5.4945780275202027E-2</v>
      </c>
    </row>
    <row r="298" spans="1:10" ht="11.25" customHeight="1" x14ac:dyDescent="0.2">
      <c r="A298" s="29">
        <v>44593</v>
      </c>
      <c r="B298" s="19">
        <v>0</v>
      </c>
      <c r="C298" s="19">
        <v>0</v>
      </c>
      <c r="D298" s="19">
        <v>17474.706030000001</v>
      </c>
      <c r="E298" s="19">
        <v>19325.50267219848</v>
      </c>
      <c r="F298" s="19">
        <v>5223.5339400000003</v>
      </c>
      <c r="G298" s="19">
        <v>4619.9098038269576</v>
      </c>
      <c r="H298" s="20">
        <v>0.10591289141122551</v>
      </c>
      <c r="I298" s="20">
        <v>-0.11555857454102092</v>
      </c>
      <c r="J298" s="20">
        <v>5.4945780275202249E-2</v>
      </c>
    </row>
    <row r="299" spans="1:10" ht="11.25" customHeight="1" x14ac:dyDescent="0.2">
      <c r="A299" s="29">
        <v>44621</v>
      </c>
      <c r="B299" s="19">
        <v>0</v>
      </c>
      <c r="C299" s="19">
        <v>0</v>
      </c>
      <c r="D299" s="19">
        <v>19987.434939999999</v>
      </c>
      <c r="E299" s="19">
        <v>22104.361966389159</v>
      </c>
      <c r="F299" s="19">
        <v>5974.6381199999996</v>
      </c>
      <c r="G299" s="19">
        <v>5284.2174554543553</v>
      </c>
      <c r="H299" s="20">
        <v>0.10591289141122573</v>
      </c>
      <c r="I299" s="20">
        <v>-0.11555857454102081</v>
      </c>
      <c r="J299" s="20">
        <v>5.4945780275202472E-2</v>
      </c>
    </row>
    <row r="300" spans="1:10" ht="11.25" customHeight="1" x14ac:dyDescent="0.2">
      <c r="A300" s="29">
        <v>44652</v>
      </c>
      <c r="B300" s="19">
        <v>0</v>
      </c>
      <c r="C300" s="19">
        <v>0</v>
      </c>
      <c r="D300" s="19">
        <v>16550.223980000002</v>
      </c>
      <c r="E300" s="19">
        <v>18303.106055225202</v>
      </c>
      <c r="F300" s="19">
        <v>4947.18804</v>
      </c>
      <c r="G300" s="19">
        <v>4375.4980421112132</v>
      </c>
      <c r="H300" s="20">
        <v>0.10591289141122551</v>
      </c>
      <c r="I300" s="20">
        <v>-0.11555857454102081</v>
      </c>
      <c r="J300" s="20">
        <v>5.4945780275202249E-2</v>
      </c>
    </row>
    <row r="301" spans="1:10" ht="11.25" customHeight="1" x14ac:dyDescent="0.2">
      <c r="A301" s="29">
        <v>44682</v>
      </c>
      <c r="B301" s="19">
        <v>0</v>
      </c>
      <c r="C301" s="19">
        <v>0</v>
      </c>
      <c r="D301" s="19">
        <v>18757.009190000001</v>
      </c>
      <c r="E301" s="19">
        <v>20743.618267539834</v>
      </c>
      <c r="F301" s="19">
        <v>5606.8396200000007</v>
      </c>
      <c r="G301" s="19">
        <v>4958.9212258326816</v>
      </c>
      <c r="H301" s="20">
        <v>0.10591289141122573</v>
      </c>
      <c r="I301" s="20">
        <v>-0.11555857454102081</v>
      </c>
      <c r="J301" s="20">
        <v>5.4945780275202472E-2</v>
      </c>
    </row>
    <row r="302" spans="1:10" ht="11.25" customHeight="1" x14ac:dyDescent="0.2">
      <c r="A302" s="29">
        <v>44713</v>
      </c>
      <c r="B302" s="19">
        <v>0</v>
      </c>
      <c r="C302" s="19">
        <v>0</v>
      </c>
      <c r="D302" s="19">
        <v>17227.290690000002</v>
      </c>
      <c r="E302" s="19">
        <v>19051.882858159588</v>
      </c>
      <c r="F302" s="19">
        <v>5149.5766199999998</v>
      </c>
      <c r="G302" s="19">
        <v>4554.4988863030321</v>
      </c>
      <c r="H302" s="20">
        <v>0.10591289141122551</v>
      </c>
      <c r="I302" s="20">
        <v>-0.11555857454102081</v>
      </c>
      <c r="J302" s="20">
        <v>5.4945780275202249E-2</v>
      </c>
    </row>
    <row r="303" spans="1:10" ht="11.25" customHeight="1" x14ac:dyDescent="0.2">
      <c r="A303" s="29">
        <v>44743</v>
      </c>
      <c r="B303" s="19">
        <v>0</v>
      </c>
      <c r="C303" s="19">
        <v>0</v>
      </c>
      <c r="D303" s="19">
        <v>17227.290690000002</v>
      </c>
      <c r="E303" s="19">
        <v>19051.882858159588</v>
      </c>
      <c r="F303" s="19">
        <v>5149.5766199999998</v>
      </c>
      <c r="G303" s="19">
        <v>4554.4988863030321</v>
      </c>
      <c r="H303" s="20">
        <v>0.10591289141122551</v>
      </c>
      <c r="I303" s="20">
        <v>-0.11555857454102081</v>
      </c>
      <c r="J303" s="20">
        <v>5.4945780275202249E-2</v>
      </c>
    </row>
    <row r="304" spans="1:10" ht="11.25" customHeight="1" x14ac:dyDescent="0.2">
      <c r="A304" s="24" t="s">
        <v>38</v>
      </c>
      <c r="B304" s="19">
        <v>17392460.16</v>
      </c>
      <c r="C304" s="19">
        <v>19164711.575729422</v>
      </c>
      <c r="D304" s="19">
        <v>11104951.316669999</v>
      </c>
      <c r="E304" s="19">
        <v>12990165.182209035</v>
      </c>
      <c r="F304" s="19">
        <v>27076186.822140001</v>
      </c>
      <c r="G304" s="19">
        <v>24983762.043651003</v>
      </c>
      <c r="H304" s="20">
        <v>0.1283437720040892</v>
      </c>
      <c r="I304" s="20">
        <v>-7.7279152793334083E-2</v>
      </c>
      <c r="J304" s="20">
        <v>2.8161583030209325E-2</v>
      </c>
    </row>
    <row r="305" spans="1:10" ht="11.25" customHeight="1" x14ac:dyDescent="0.2">
      <c r="A305" s="25" t="s">
        <v>25</v>
      </c>
      <c r="B305" s="19">
        <v>17392460.16</v>
      </c>
      <c r="C305" s="19">
        <v>19164711.575729422</v>
      </c>
      <c r="D305" s="19">
        <v>11104951.316669999</v>
      </c>
      <c r="E305" s="19">
        <v>12990165.182209035</v>
      </c>
      <c r="F305" s="19">
        <v>27076186.822140001</v>
      </c>
      <c r="G305" s="19">
        <v>24983762.043651003</v>
      </c>
      <c r="H305" s="20">
        <v>0.1283437720040892</v>
      </c>
      <c r="I305" s="20">
        <v>-7.7279152793334083E-2</v>
      </c>
      <c r="J305" s="20">
        <v>2.8161583030209325E-2</v>
      </c>
    </row>
    <row r="306" spans="1:10" ht="11.25" customHeight="1" x14ac:dyDescent="0.2">
      <c r="A306" s="26" t="s">
        <v>25</v>
      </c>
      <c r="B306" s="19">
        <v>17392460.16</v>
      </c>
      <c r="C306" s="19">
        <v>19164711.575729422</v>
      </c>
      <c r="D306" s="19">
        <v>11104951.316669999</v>
      </c>
      <c r="E306" s="19">
        <v>12990165.182209035</v>
      </c>
      <c r="F306" s="19">
        <v>27076186.822140001</v>
      </c>
      <c r="G306" s="19">
        <v>24983762.043651003</v>
      </c>
      <c r="H306" s="20">
        <v>0.1283437720040892</v>
      </c>
      <c r="I306" s="20">
        <v>-7.7279152793334083E-2</v>
      </c>
      <c r="J306" s="20">
        <v>2.8161583030209325E-2</v>
      </c>
    </row>
    <row r="307" spans="1:10" ht="11.25" customHeight="1" x14ac:dyDescent="0.2">
      <c r="A307" s="27" t="s">
        <v>25</v>
      </c>
      <c r="B307" s="19">
        <v>17392460.16</v>
      </c>
      <c r="C307" s="19">
        <v>19164711.575729422</v>
      </c>
      <c r="D307" s="19">
        <v>11104951.316669999</v>
      </c>
      <c r="E307" s="19">
        <v>12990165.182209035</v>
      </c>
      <c r="F307" s="19">
        <v>27076186.822140001</v>
      </c>
      <c r="G307" s="19">
        <v>24983762.043651003</v>
      </c>
      <c r="H307" s="20">
        <v>0.1283437720040892</v>
      </c>
      <c r="I307" s="20">
        <v>-7.7279152793334083E-2</v>
      </c>
      <c r="J307" s="20">
        <v>2.8161583030209325E-2</v>
      </c>
    </row>
    <row r="308" spans="1:10" ht="11.25" customHeight="1" x14ac:dyDescent="0.2">
      <c r="A308" s="28" t="s">
        <v>35</v>
      </c>
      <c r="B308" s="19">
        <v>0</v>
      </c>
      <c r="C308" s="19">
        <v>0</v>
      </c>
      <c r="D308" s="19">
        <v>6632514.6684100013</v>
      </c>
      <c r="E308" s="19">
        <v>8044039.8368782857</v>
      </c>
      <c r="F308" s="19">
        <v>25739287.386660002</v>
      </c>
      <c r="G308" s="19">
        <v>23801352.801239762</v>
      </c>
      <c r="H308" s="20">
        <v>0.21281900441038415</v>
      </c>
      <c r="I308" s="20">
        <v>-7.5290918365697235E-2</v>
      </c>
      <c r="J308" s="20">
        <v>-1.6261356598450738E-2</v>
      </c>
    </row>
    <row r="309" spans="1:10" ht="11.25" customHeight="1" x14ac:dyDescent="0.2">
      <c r="A309" s="29">
        <v>44409</v>
      </c>
      <c r="B309" s="19">
        <v>0</v>
      </c>
      <c r="C309" s="19">
        <v>0</v>
      </c>
      <c r="D309" s="19">
        <v>566093.75319000008</v>
      </c>
      <c r="E309" s="19">
        <v>686569.26214683359</v>
      </c>
      <c r="F309" s="19">
        <v>2196881.6549399998</v>
      </c>
      <c r="G309" s="19">
        <v>2031476.4175988145</v>
      </c>
      <c r="H309" s="20">
        <v>0.21281900441038415</v>
      </c>
      <c r="I309" s="20">
        <v>-7.5290918365697235E-2</v>
      </c>
      <c r="J309" s="20">
        <v>-1.6261356598450738E-2</v>
      </c>
    </row>
    <row r="310" spans="1:10" ht="11.25" customHeight="1" x14ac:dyDescent="0.2">
      <c r="A310" s="29">
        <v>44440</v>
      </c>
      <c r="B310" s="19">
        <v>0</v>
      </c>
      <c r="C310" s="19">
        <v>0</v>
      </c>
      <c r="D310" s="19">
        <v>560603.48597000004</v>
      </c>
      <c r="E310" s="19">
        <v>679910.5617231261</v>
      </c>
      <c r="F310" s="19">
        <v>2175575.1712199999</v>
      </c>
      <c r="G310" s="19">
        <v>2011774.118605237</v>
      </c>
      <c r="H310" s="20">
        <v>0.21281900441038393</v>
      </c>
      <c r="I310" s="20">
        <v>-7.5290918365697235E-2</v>
      </c>
      <c r="J310" s="20">
        <v>-1.6261356598450738E-2</v>
      </c>
    </row>
    <row r="311" spans="1:10" ht="11.25" customHeight="1" x14ac:dyDescent="0.2">
      <c r="A311" s="29">
        <v>44470</v>
      </c>
      <c r="B311" s="19">
        <v>0</v>
      </c>
      <c r="C311" s="19">
        <v>0</v>
      </c>
      <c r="D311" s="19">
        <v>574328.40318000002</v>
      </c>
      <c r="E311" s="19">
        <v>696556.4021493732</v>
      </c>
      <c r="F311" s="19">
        <v>2228838.4666800001</v>
      </c>
      <c r="G311" s="19">
        <v>2061027.1716348703</v>
      </c>
      <c r="H311" s="20">
        <v>0.21281900441038393</v>
      </c>
      <c r="I311" s="20">
        <v>-7.5290918365697235E-2</v>
      </c>
      <c r="J311" s="20">
        <v>-1.6261356598450849E-2</v>
      </c>
    </row>
    <row r="312" spans="1:10" ht="11.25" customHeight="1" x14ac:dyDescent="0.2">
      <c r="A312" s="29">
        <v>44501</v>
      </c>
      <c r="B312" s="19">
        <v>0</v>
      </c>
      <c r="C312" s="19">
        <v>0</v>
      </c>
      <c r="D312" s="19">
        <v>552919.70225999993</v>
      </c>
      <c r="E312" s="19">
        <v>670591.52281385916</v>
      </c>
      <c r="F312" s="19">
        <v>2145756.1467599999</v>
      </c>
      <c r="G312" s="19">
        <v>1984200.1958815996</v>
      </c>
      <c r="H312" s="20">
        <v>0.21281900441038415</v>
      </c>
      <c r="I312" s="20">
        <v>-7.5290918365697346E-2</v>
      </c>
      <c r="J312" s="20">
        <v>-1.6261356598450627E-2</v>
      </c>
    </row>
    <row r="313" spans="1:10" ht="11.25" customHeight="1" x14ac:dyDescent="0.2">
      <c r="A313" s="29">
        <v>44531</v>
      </c>
      <c r="B313" s="19">
        <v>0</v>
      </c>
      <c r="C313" s="19">
        <v>0</v>
      </c>
      <c r="D313" s="19">
        <v>536784.40093999996</v>
      </c>
      <c r="E313" s="19">
        <v>651022.32273107523</v>
      </c>
      <c r="F313" s="19">
        <v>2083138.6964399999</v>
      </c>
      <c r="G313" s="19">
        <v>1926297.270901911</v>
      </c>
      <c r="H313" s="20">
        <v>0.21281900441038415</v>
      </c>
      <c r="I313" s="20">
        <v>-7.5290918365697235E-2</v>
      </c>
      <c r="J313" s="20">
        <v>-1.6261356598450627E-2</v>
      </c>
    </row>
    <row r="314" spans="1:10" ht="11.25" customHeight="1" x14ac:dyDescent="0.2">
      <c r="A314" s="29">
        <v>44562</v>
      </c>
      <c r="B314" s="19">
        <v>0</v>
      </c>
      <c r="C314" s="19">
        <v>0</v>
      </c>
      <c r="D314" s="19">
        <v>551548.41813999997</v>
      </c>
      <c r="E314" s="19">
        <v>668928.40337267704</v>
      </c>
      <c r="F314" s="19">
        <v>2140434.5036399998</v>
      </c>
      <c r="G314" s="19">
        <v>1979279.2241593187</v>
      </c>
      <c r="H314" s="20">
        <v>0.21281900441038415</v>
      </c>
      <c r="I314" s="20">
        <v>-7.5290918365697346E-2</v>
      </c>
      <c r="J314" s="20">
        <v>-1.6261356598450627E-2</v>
      </c>
    </row>
    <row r="315" spans="1:10" ht="11.25" customHeight="1" x14ac:dyDescent="0.2">
      <c r="A315" s="29">
        <v>44593</v>
      </c>
      <c r="B315" s="19">
        <v>0</v>
      </c>
      <c r="C315" s="19">
        <v>0</v>
      </c>
      <c r="D315" s="19">
        <v>536353.10593000008</v>
      </c>
      <c r="E315" s="19">
        <v>650499.23994643986</v>
      </c>
      <c r="F315" s="19">
        <v>2081464.9381800001</v>
      </c>
      <c r="G315" s="19">
        <v>1924749.5314384284</v>
      </c>
      <c r="H315" s="20">
        <v>0.21281900441038393</v>
      </c>
      <c r="I315" s="20">
        <v>-7.5290918365697346E-2</v>
      </c>
      <c r="J315" s="20">
        <v>-1.6261356598450849E-2</v>
      </c>
    </row>
    <row r="316" spans="1:10" ht="11.25" customHeight="1" x14ac:dyDescent="0.2">
      <c r="A316" s="29">
        <v>44621</v>
      </c>
      <c r="B316" s="19">
        <v>0</v>
      </c>
      <c r="C316" s="19">
        <v>0</v>
      </c>
      <c r="D316" s="19">
        <v>570816.34908000007</v>
      </c>
      <c r="E316" s="19">
        <v>692296.91619237582</v>
      </c>
      <c r="F316" s="19">
        <v>2215208.9800800001</v>
      </c>
      <c r="G316" s="19">
        <v>2048423.8615978372</v>
      </c>
      <c r="H316" s="20">
        <v>0.21281900441038393</v>
      </c>
      <c r="I316" s="20">
        <v>-7.5290918365697346E-2</v>
      </c>
      <c r="J316" s="20">
        <v>-1.6261356598450849E-2</v>
      </c>
    </row>
    <row r="317" spans="1:10" ht="11.25" customHeight="1" x14ac:dyDescent="0.2">
      <c r="A317" s="29">
        <v>44652</v>
      </c>
      <c r="B317" s="19">
        <v>0</v>
      </c>
      <c r="C317" s="19">
        <v>0</v>
      </c>
      <c r="D317" s="19">
        <v>549922.72439999995</v>
      </c>
      <c r="E317" s="19">
        <v>666956.73110945406</v>
      </c>
      <c r="F317" s="19">
        <v>2134125.5543999998</v>
      </c>
      <c r="G317" s="19">
        <v>1973445.2815015211</v>
      </c>
      <c r="H317" s="20">
        <v>0.21281900441038415</v>
      </c>
      <c r="I317" s="20">
        <v>-7.5290918365697235E-2</v>
      </c>
      <c r="J317" s="20">
        <v>-1.6261356598450627E-2</v>
      </c>
    </row>
    <row r="318" spans="1:10" ht="11.25" customHeight="1" x14ac:dyDescent="0.2">
      <c r="A318" s="29">
        <v>44682</v>
      </c>
      <c r="B318" s="19">
        <v>0</v>
      </c>
      <c r="C318" s="19">
        <v>0</v>
      </c>
      <c r="D318" s="19">
        <v>558794.39956000005</v>
      </c>
      <c r="E318" s="19">
        <v>677716.46734445752</v>
      </c>
      <c r="F318" s="19">
        <v>2168554.5165599999</v>
      </c>
      <c r="G318" s="19">
        <v>2005282.055482117</v>
      </c>
      <c r="H318" s="20">
        <v>0.21281900441038393</v>
      </c>
      <c r="I318" s="20">
        <v>-7.5290918365697235E-2</v>
      </c>
      <c r="J318" s="20">
        <v>-1.6261356598450738E-2</v>
      </c>
    </row>
    <row r="319" spans="1:10" ht="11.25" customHeight="1" x14ac:dyDescent="0.2">
      <c r="A319" s="29">
        <v>44713</v>
      </c>
      <c r="B319" s="19">
        <v>0</v>
      </c>
      <c r="C319" s="19">
        <v>0</v>
      </c>
      <c r="D319" s="19">
        <v>537174.96288000001</v>
      </c>
      <c r="E319" s="19">
        <v>651496.00367430656</v>
      </c>
      <c r="F319" s="19">
        <v>2084654.37888</v>
      </c>
      <c r="G319" s="19">
        <v>1927698.8362190526</v>
      </c>
      <c r="H319" s="20">
        <v>0.21281900441038393</v>
      </c>
      <c r="I319" s="20">
        <v>-7.5290918365697235E-2</v>
      </c>
      <c r="J319" s="20">
        <v>-1.6261356598450849E-2</v>
      </c>
    </row>
    <row r="320" spans="1:10" ht="11.25" customHeight="1" x14ac:dyDescent="0.2">
      <c r="A320" s="29">
        <v>44743</v>
      </c>
      <c r="B320" s="19">
        <v>0</v>
      </c>
      <c r="C320" s="19">
        <v>0</v>
      </c>
      <c r="D320" s="19">
        <v>537174.96288000001</v>
      </c>
      <c r="E320" s="19">
        <v>651496.00367430656</v>
      </c>
      <c r="F320" s="19">
        <v>2084654.37888</v>
      </c>
      <c r="G320" s="19">
        <v>1927698.8362190526</v>
      </c>
      <c r="H320" s="20">
        <v>0.21281900441038393</v>
      </c>
      <c r="I320" s="20">
        <v>-7.5290918365697235E-2</v>
      </c>
      <c r="J320" s="20">
        <v>-1.6261356598450849E-2</v>
      </c>
    </row>
    <row r="321" spans="1:10" ht="11.25" customHeight="1" x14ac:dyDescent="0.2">
      <c r="A321" s="28" t="s">
        <v>25</v>
      </c>
      <c r="B321" s="19">
        <v>17392460.16</v>
      </c>
      <c r="C321" s="19">
        <v>19164711.575729422</v>
      </c>
      <c r="D321" s="19">
        <v>0</v>
      </c>
      <c r="E321" s="19">
        <v>0</v>
      </c>
      <c r="F321" s="19">
        <v>0</v>
      </c>
      <c r="G321" s="19">
        <v>0</v>
      </c>
      <c r="H321" s="20">
        <v>0.10189768436585678</v>
      </c>
      <c r="I321" s="20">
        <v>0</v>
      </c>
      <c r="J321" s="20">
        <v>0.10189768436585678</v>
      </c>
    </row>
    <row r="322" spans="1:10" ht="11.25" customHeight="1" x14ac:dyDescent="0.2">
      <c r="A322" s="29">
        <v>44409</v>
      </c>
      <c r="B322" s="19">
        <v>1408800.6</v>
      </c>
      <c r="C322" s="19">
        <v>1552354.1188732297</v>
      </c>
      <c r="D322" s="19">
        <v>0</v>
      </c>
      <c r="E322" s="19">
        <v>0</v>
      </c>
      <c r="F322" s="19">
        <v>0</v>
      </c>
      <c r="G322" s="19">
        <v>0</v>
      </c>
      <c r="H322" s="20">
        <v>0.10189768436585678</v>
      </c>
      <c r="I322" s="20">
        <v>0</v>
      </c>
      <c r="J322" s="20">
        <v>0.10189768436585678</v>
      </c>
    </row>
    <row r="323" spans="1:10" ht="11.25" customHeight="1" x14ac:dyDescent="0.2">
      <c r="A323" s="29">
        <v>44440</v>
      </c>
      <c r="B323" s="19">
        <v>1449074.52</v>
      </c>
      <c r="C323" s="19">
        <v>1596731.8580615653</v>
      </c>
      <c r="D323" s="19">
        <v>0</v>
      </c>
      <c r="E323" s="19">
        <v>0</v>
      </c>
      <c r="F323" s="19">
        <v>0</v>
      </c>
      <c r="G323" s="19">
        <v>0</v>
      </c>
      <c r="H323" s="20">
        <v>0.10189768436585678</v>
      </c>
      <c r="I323" s="20">
        <v>0</v>
      </c>
      <c r="J323" s="20">
        <v>0.10189768436585678</v>
      </c>
    </row>
    <row r="324" spans="1:10" ht="11.25" customHeight="1" x14ac:dyDescent="0.2">
      <c r="A324" s="29">
        <v>44470</v>
      </c>
      <c r="B324" s="19">
        <v>1482740.9999999998</v>
      </c>
      <c r="C324" s="19">
        <v>1633828.874414315</v>
      </c>
      <c r="D324" s="19">
        <v>0</v>
      </c>
      <c r="E324" s="19">
        <v>0</v>
      </c>
      <c r="F324" s="19">
        <v>0</v>
      </c>
      <c r="G324" s="19">
        <v>0</v>
      </c>
      <c r="H324" s="20">
        <v>0.101897684365857</v>
      </c>
      <c r="I324" s="20">
        <v>0</v>
      </c>
      <c r="J324" s="20">
        <v>0.101897684365857</v>
      </c>
    </row>
    <row r="325" spans="1:10" ht="11.25" customHeight="1" x14ac:dyDescent="0.2">
      <c r="A325" s="29">
        <v>44501</v>
      </c>
      <c r="B325" s="19">
        <v>1481639.7599999998</v>
      </c>
      <c r="C325" s="19">
        <v>1632615.4206083836</v>
      </c>
      <c r="D325" s="19">
        <v>0</v>
      </c>
      <c r="E325" s="19">
        <v>0</v>
      </c>
      <c r="F325" s="19">
        <v>0</v>
      </c>
      <c r="G325" s="19">
        <v>0</v>
      </c>
      <c r="H325" s="20">
        <v>0.10189768436585678</v>
      </c>
      <c r="I325" s="20">
        <v>0</v>
      </c>
      <c r="J325" s="20">
        <v>0.10189768436585678</v>
      </c>
    </row>
    <row r="326" spans="1:10" ht="11.25" customHeight="1" x14ac:dyDescent="0.2">
      <c r="A326" s="29">
        <v>44531</v>
      </c>
      <c r="B326" s="19">
        <v>1467166.3199999998</v>
      </c>
      <c r="C326" s="19">
        <v>1616667.1705875755</v>
      </c>
      <c r="D326" s="19">
        <v>0</v>
      </c>
      <c r="E326" s="19">
        <v>0</v>
      </c>
      <c r="F326" s="19">
        <v>0</v>
      </c>
      <c r="G326" s="19">
        <v>0</v>
      </c>
      <c r="H326" s="20">
        <v>0.10189768436585678</v>
      </c>
      <c r="I326" s="20">
        <v>0</v>
      </c>
      <c r="J326" s="20">
        <v>0.10189768436585678</v>
      </c>
    </row>
    <row r="327" spans="1:10" ht="11.25" customHeight="1" x14ac:dyDescent="0.2">
      <c r="A327" s="29">
        <v>44562</v>
      </c>
      <c r="B327" s="19">
        <v>1490108.8199999998</v>
      </c>
      <c r="C327" s="19">
        <v>1641947.4582111393</v>
      </c>
      <c r="D327" s="19">
        <v>0</v>
      </c>
      <c r="E327" s="19">
        <v>0</v>
      </c>
      <c r="F327" s="19">
        <v>0</v>
      </c>
      <c r="G327" s="19">
        <v>0</v>
      </c>
      <c r="H327" s="20">
        <v>0.101897684365857</v>
      </c>
      <c r="I327" s="20">
        <v>0</v>
      </c>
      <c r="J327" s="20">
        <v>0.101897684365857</v>
      </c>
    </row>
    <row r="328" spans="1:10" ht="11.25" customHeight="1" x14ac:dyDescent="0.2">
      <c r="A328" s="29">
        <v>44593</v>
      </c>
      <c r="B328" s="19">
        <v>1455760.6199999999</v>
      </c>
      <c r="C328" s="19">
        <v>1604099.2561690039</v>
      </c>
      <c r="D328" s="19">
        <v>0</v>
      </c>
      <c r="E328" s="19">
        <v>0</v>
      </c>
      <c r="F328" s="19">
        <v>0</v>
      </c>
      <c r="G328" s="19">
        <v>0</v>
      </c>
      <c r="H328" s="20">
        <v>0.10189768436585678</v>
      </c>
      <c r="I328" s="20">
        <v>0</v>
      </c>
      <c r="J328" s="20">
        <v>0.10189768436585678</v>
      </c>
    </row>
    <row r="329" spans="1:10" ht="11.25" customHeight="1" x14ac:dyDescent="0.2">
      <c r="A329" s="29">
        <v>44621</v>
      </c>
      <c r="B329" s="19">
        <v>1451434.3199999998</v>
      </c>
      <c r="C329" s="19">
        <v>1599332.116217132</v>
      </c>
      <c r="D329" s="19">
        <v>0</v>
      </c>
      <c r="E329" s="19">
        <v>0</v>
      </c>
      <c r="F329" s="19">
        <v>0</v>
      </c>
      <c r="G329" s="19">
        <v>0</v>
      </c>
      <c r="H329" s="20">
        <v>0.101897684365857</v>
      </c>
      <c r="I329" s="20">
        <v>0</v>
      </c>
      <c r="J329" s="20">
        <v>0.101897684365857</v>
      </c>
    </row>
    <row r="330" spans="1:10" ht="11.25" customHeight="1" x14ac:dyDescent="0.2">
      <c r="A330" s="29">
        <v>44652</v>
      </c>
      <c r="B330" s="19">
        <v>1407542.04</v>
      </c>
      <c r="C330" s="19">
        <v>1550967.3145235942</v>
      </c>
      <c r="D330" s="19">
        <v>0</v>
      </c>
      <c r="E330" s="19">
        <v>0</v>
      </c>
      <c r="F330" s="19">
        <v>0</v>
      </c>
      <c r="G330" s="19">
        <v>0</v>
      </c>
      <c r="H330" s="20">
        <v>0.10189768436585678</v>
      </c>
      <c r="I330" s="20">
        <v>0</v>
      </c>
      <c r="J330" s="20">
        <v>0.10189768436585678</v>
      </c>
    </row>
    <row r="331" spans="1:10" ht="11.25" customHeight="1" x14ac:dyDescent="0.2">
      <c r="A331" s="29">
        <v>44682</v>
      </c>
      <c r="B331" s="19">
        <v>1427154.5999999999</v>
      </c>
      <c r="C331" s="19">
        <v>1572578.3489720805</v>
      </c>
      <c r="D331" s="19">
        <v>0</v>
      </c>
      <c r="E331" s="19">
        <v>0</v>
      </c>
      <c r="F331" s="19">
        <v>0</v>
      </c>
      <c r="G331" s="19">
        <v>0</v>
      </c>
      <c r="H331" s="20">
        <v>0.10189768436585678</v>
      </c>
      <c r="I331" s="20">
        <v>0</v>
      </c>
      <c r="J331" s="20">
        <v>0.10189768436585678</v>
      </c>
    </row>
    <row r="332" spans="1:10" ht="11.25" customHeight="1" x14ac:dyDescent="0.2">
      <c r="A332" s="29">
        <v>44713</v>
      </c>
      <c r="B332" s="19">
        <v>1435518.78</v>
      </c>
      <c r="C332" s="19">
        <v>1581794.8195456997</v>
      </c>
      <c r="D332" s="19">
        <v>0</v>
      </c>
      <c r="E332" s="19">
        <v>0</v>
      </c>
      <c r="F332" s="19">
        <v>0</v>
      </c>
      <c r="G332" s="19">
        <v>0</v>
      </c>
      <c r="H332" s="20">
        <v>0.10189768436585678</v>
      </c>
      <c r="I332" s="20">
        <v>0</v>
      </c>
      <c r="J332" s="20">
        <v>0.10189768436585678</v>
      </c>
    </row>
    <row r="333" spans="1:10" ht="11.25" customHeight="1" x14ac:dyDescent="0.2">
      <c r="A333" s="29">
        <v>44743</v>
      </c>
      <c r="B333" s="19">
        <v>1435518.78</v>
      </c>
      <c r="C333" s="19">
        <v>1581794.8195456997</v>
      </c>
      <c r="D333" s="19">
        <v>0</v>
      </c>
      <c r="E333" s="19">
        <v>0</v>
      </c>
      <c r="F333" s="19">
        <v>0</v>
      </c>
      <c r="G333" s="19">
        <v>0</v>
      </c>
      <c r="H333" s="20">
        <v>0.10189768436585678</v>
      </c>
      <c r="I333" s="20">
        <v>0</v>
      </c>
      <c r="J333" s="20">
        <v>0.10189768436585678</v>
      </c>
    </row>
    <row r="334" spans="1:10" ht="11.25" customHeight="1" x14ac:dyDescent="0.2">
      <c r="A334" s="28" t="s">
        <v>34</v>
      </c>
      <c r="B334" s="19">
        <v>0</v>
      </c>
      <c r="C334" s="19">
        <v>0</v>
      </c>
      <c r="D334" s="19">
        <v>4472436.6482599992</v>
      </c>
      <c r="E334" s="19">
        <v>4946125.3453307478</v>
      </c>
      <c r="F334" s="19">
        <v>1336899.4354800002</v>
      </c>
      <c r="G334" s="19">
        <v>1182409.2424112358</v>
      </c>
      <c r="H334" s="20">
        <v>0.10591289141122551</v>
      </c>
      <c r="I334" s="20">
        <v>-0.11555857454102125</v>
      </c>
      <c r="J334" s="20">
        <v>5.4945780275202249E-2</v>
      </c>
    </row>
    <row r="335" spans="1:10" ht="11.25" customHeight="1" x14ac:dyDescent="0.2">
      <c r="A335" s="29">
        <v>44409</v>
      </c>
      <c r="B335" s="19">
        <v>0</v>
      </c>
      <c r="C335" s="19">
        <v>0</v>
      </c>
      <c r="D335" s="19">
        <v>372155.23744000006</v>
      </c>
      <c r="E335" s="19">
        <v>411571.27469110163</v>
      </c>
      <c r="F335" s="19">
        <v>111244.53311999999</v>
      </c>
      <c r="G335" s="19">
        <v>98389.273447171421</v>
      </c>
      <c r="H335" s="20">
        <v>0.10591289141122551</v>
      </c>
      <c r="I335" s="20">
        <v>-0.11555857454102081</v>
      </c>
      <c r="J335" s="20">
        <v>5.4945780275202472E-2</v>
      </c>
    </row>
    <row r="336" spans="1:10" ht="11.25" customHeight="1" x14ac:dyDescent="0.2">
      <c r="A336" s="29">
        <v>44440</v>
      </c>
      <c r="B336" s="19">
        <v>0</v>
      </c>
      <c r="C336" s="19">
        <v>0</v>
      </c>
      <c r="D336" s="19">
        <v>353330.38855999999</v>
      </c>
      <c r="E336" s="19">
        <v>390752.63163584145</v>
      </c>
      <c r="F336" s="19">
        <v>105617.41488</v>
      </c>
      <c r="G336" s="19">
        <v>93412.416969759579</v>
      </c>
      <c r="H336" s="20">
        <v>0.10591289141122573</v>
      </c>
      <c r="I336" s="20">
        <v>-0.11555857454102103</v>
      </c>
      <c r="J336" s="20">
        <v>5.4945780275202472E-2</v>
      </c>
    </row>
    <row r="337" spans="1:10" ht="11.25" customHeight="1" x14ac:dyDescent="0.2">
      <c r="A337" s="29">
        <v>44470</v>
      </c>
      <c r="B337" s="19">
        <v>0</v>
      </c>
      <c r="C337" s="19">
        <v>0</v>
      </c>
      <c r="D337" s="19">
        <v>342893.71782000002</v>
      </c>
      <c r="E337" s="19">
        <v>379210.58292106114</v>
      </c>
      <c r="F337" s="19">
        <v>102497.68836000001</v>
      </c>
      <c r="G337" s="19">
        <v>90653.201599368622</v>
      </c>
      <c r="H337" s="20">
        <v>0.10591289141122573</v>
      </c>
      <c r="I337" s="20">
        <v>-0.11555857454102092</v>
      </c>
      <c r="J337" s="20">
        <v>5.4945780275202472E-2</v>
      </c>
    </row>
    <row r="338" spans="1:10" ht="11.25" customHeight="1" x14ac:dyDescent="0.2">
      <c r="A338" s="29">
        <v>44501</v>
      </c>
      <c r="B338" s="19">
        <v>0</v>
      </c>
      <c r="C338" s="19">
        <v>0</v>
      </c>
      <c r="D338" s="19">
        <v>334127.76572000002</v>
      </c>
      <c r="E338" s="19">
        <v>369516.20348817779</v>
      </c>
      <c r="F338" s="19">
        <v>99877.372559999989</v>
      </c>
      <c r="G338" s="19">
        <v>88335.685758063933</v>
      </c>
      <c r="H338" s="20">
        <v>0.10591289141122551</v>
      </c>
      <c r="I338" s="20">
        <v>-0.1155585745410207</v>
      </c>
      <c r="J338" s="20">
        <v>5.4945780275202472E-2</v>
      </c>
    </row>
    <row r="339" spans="1:10" ht="11.25" customHeight="1" x14ac:dyDescent="0.2">
      <c r="A339" s="29">
        <v>44531</v>
      </c>
      <c r="B339" s="19">
        <v>0</v>
      </c>
      <c r="C339" s="19">
        <v>0</v>
      </c>
      <c r="D339" s="19">
        <v>382426.96462000004</v>
      </c>
      <c r="E339" s="19">
        <v>422930.91019652266</v>
      </c>
      <c r="F339" s="19">
        <v>114314.95476000001</v>
      </c>
      <c r="G339" s="19">
        <v>101104.88153921311</v>
      </c>
      <c r="H339" s="20">
        <v>0.10591289141122551</v>
      </c>
      <c r="I339" s="20">
        <v>-0.11555857454102092</v>
      </c>
      <c r="J339" s="20">
        <v>5.4945780275202249E-2</v>
      </c>
    </row>
    <row r="340" spans="1:10" ht="11.25" customHeight="1" x14ac:dyDescent="0.2">
      <c r="A340" s="29">
        <v>44562</v>
      </c>
      <c r="B340" s="19">
        <v>0</v>
      </c>
      <c r="C340" s="19">
        <v>0</v>
      </c>
      <c r="D340" s="19">
        <v>374926.02321000001</v>
      </c>
      <c r="E340" s="19">
        <v>414635.52239348332</v>
      </c>
      <c r="F340" s="19">
        <v>112072.77558</v>
      </c>
      <c r="G340" s="19">
        <v>99121.805389119458</v>
      </c>
      <c r="H340" s="20">
        <v>0.10591289141122551</v>
      </c>
      <c r="I340" s="20">
        <v>-0.11555857454102092</v>
      </c>
      <c r="J340" s="20">
        <v>5.4945780275202027E-2</v>
      </c>
    </row>
    <row r="341" spans="1:10" ht="11.25" customHeight="1" x14ac:dyDescent="0.2">
      <c r="A341" s="29">
        <v>44593</v>
      </c>
      <c r="B341" s="19">
        <v>0</v>
      </c>
      <c r="C341" s="19">
        <v>0</v>
      </c>
      <c r="D341" s="19">
        <v>352165.14211999997</v>
      </c>
      <c r="E341" s="19">
        <v>389463.97057617438</v>
      </c>
      <c r="F341" s="19">
        <v>105269.09976000001</v>
      </c>
      <c r="G341" s="19">
        <v>93104.352648517888</v>
      </c>
      <c r="H341" s="20">
        <v>0.10591289141122573</v>
      </c>
      <c r="I341" s="20">
        <v>-0.11555857454102092</v>
      </c>
      <c r="J341" s="20">
        <v>5.4945780275202472E-2</v>
      </c>
    </row>
    <row r="342" spans="1:10" ht="11.25" customHeight="1" x14ac:dyDescent="0.2">
      <c r="A342" s="29">
        <v>44621</v>
      </c>
      <c r="B342" s="19">
        <v>0</v>
      </c>
      <c r="C342" s="19">
        <v>0</v>
      </c>
      <c r="D342" s="19">
        <v>379412.75408000004</v>
      </c>
      <c r="E342" s="19">
        <v>419597.45590290916</v>
      </c>
      <c r="F342" s="19">
        <v>113413.94784000001</v>
      </c>
      <c r="G342" s="19">
        <v>100307.99369453991</v>
      </c>
      <c r="H342" s="20">
        <v>0.10591289141122573</v>
      </c>
      <c r="I342" s="20">
        <v>-0.11555857454102092</v>
      </c>
      <c r="J342" s="20">
        <v>5.4945780275202472E-2</v>
      </c>
    </row>
    <row r="343" spans="1:10" ht="11.25" customHeight="1" x14ac:dyDescent="0.2">
      <c r="A343" s="29">
        <v>44652</v>
      </c>
      <c r="B343" s="19">
        <v>0</v>
      </c>
      <c r="C343" s="19">
        <v>0</v>
      </c>
      <c r="D343" s="19">
        <v>376582.10976000002</v>
      </c>
      <c r="E343" s="19">
        <v>416467.00985842117</v>
      </c>
      <c r="F343" s="19">
        <v>112567.81248000001</v>
      </c>
      <c r="G343" s="19">
        <v>99559.636530610253</v>
      </c>
      <c r="H343" s="20">
        <v>0.10591289141122573</v>
      </c>
      <c r="I343" s="20">
        <v>-0.11555857454102103</v>
      </c>
      <c r="J343" s="20">
        <v>5.4945780275202472E-2</v>
      </c>
    </row>
    <row r="344" spans="1:10" ht="11.25" customHeight="1" x14ac:dyDescent="0.2">
      <c r="A344" s="29">
        <v>44682</v>
      </c>
      <c r="B344" s="19">
        <v>0</v>
      </c>
      <c r="C344" s="19">
        <v>0</v>
      </c>
      <c r="D344" s="19">
        <v>407074.05512999999</v>
      </c>
      <c r="E344" s="19">
        <v>450188.44532731094</v>
      </c>
      <c r="F344" s="19">
        <v>121682.45574</v>
      </c>
      <c r="G344" s="19">
        <v>107621.00460803474</v>
      </c>
      <c r="H344" s="20">
        <v>0.10591289141122551</v>
      </c>
      <c r="I344" s="20">
        <v>-0.11555857454102092</v>
      </c>
      <c r="J344" s="20">
        <v>5.4945780275202472E-2</v>
      </c>
    </row>
    <row r="345" spans="1:10" ht="11.25" customHeight="1" x14ac:dyDescent="0.2">
      <c r="A345" s="29">
        <v>44713</v>
      </c>
      <c r="B345" s="19">
        <v>0</v>
      </c>
      <c r="C345" s="19">
        <v>0</v>
      </c>
      <c r="D345" s="19">
        <v>398671.24489999999</v>
      </c>
      <c r="E345" s="19">
        <v>440895.66916987178</v>
      </c>
      <c r="F345" s="19">
        <v>119170.69019999998</v>
      </c>
      <c r="G345" s="19">
        <v>105399.49511341839</v>
      </c>
      <c r="H345" s="20">
        <v>0.10591289141122551</v>
      </c>
      <c r="I345" s="20">
        <v>-0.1155585745410207</v>
      </c>
      <c r="J345" s="20">
        <v>5.4945780275202249E-2</v>
      </c>
    </row>
    <row r="346" spans="1:10" ht="11.25" customHeight="1" x14ac:dyDescent="0.2">
      <c r="A346" s="29">
        <v>44743</v>
      </c>
      <c r="B346" s="19">
        <v>0</v>
      </c>
      <c r="C346" s="19">
        <v>0</v>
      </c>
      <c r="D346" s="19">
        <v>398671.24489999999</v>
      </c>
      <c r="E346" s="19">
        <v>440895.66916987178</v>
      </c>
      <c r="F346" s="19">
        <v>119170.69019999998</v>
      </c>
      <c r="G346" s="19">
        <v>105399.49511341839</v>
      </c>
      <c r="H346" s="20">
        <v>0.10591289141122551</v>
      </c>
      <c r="I346" s="20">
        <v>-0.1155585745410207</v>
      </c>
      <c r="J346" s="20">
        <v>5.4945780275202249E-2</v>
      </c>
    </row>
    <row r="347" spans="1:10" ht="11.25" customHeight="1" x14ac:dyDescent="0.2">
      <c r="A347" s="24" t="s">
        <v>46</v>
      </c>
      <c r="B347" s="19">
        <v>15404590.859999999</v>
      </c>
      <c r="C347" s="19">
        <v>16974282.99723744</v>
      </c>
      <c r="D347" s="19">
        <v>16359661.065710001</v>
      </c>
      <c r="E347" s="19">
        <v>18691067.179688901</v>
      </c>
      <c r="F347" s="19">
        <v>24949707.953579996</v>
      </c>
      <c r="G347" s="19">
        <v>22941713.386816438</v>
      </c>
      <c r="H347" s="20">
        <v>0.12281410751747579</v>
      </c>
      <c r="I347" s="20">
        <v>-8.0481686218513038E-2</v>
      </c>
      <c r="J347" s="20">
        <v>3.3379853716475782E-2</v>
      </c>
    </row>
    <row r="348" spans="1:10" ht="11.25" customHeight="1" x14ac:dyDescent="0.2">
      <c r="A348" s="25" t="s">
        <v>25</v>
      </c>
      <c r="B348" s="19">
        <v>15404590.859999999</v>
      </c>
      <c r="C348" s="19">
        <v>16974282.99723744</v>
      </c>
      <c r="D348" s="19">
        <v>16359661.065710001</v>
      </c>
      <c r="E348" s="19">
        <v>18691067.179688901</v>
      </c>
      <c r="F348" s="19">
        <v>24949707.953579996</v>
      </c>
      <c r="G348" s="19">
        <v>22941713.386816438</v>
      </c>
      <c r="H348" s="20">
        <v>0.12281410751747579</v>
      </c>
      <c r="I348" s="20">
        <v>-8.0481686218513038E-2</v>
      </c>
      <c r="J348" s="20">
        <v>3.3379853716475782E-2</v>
      </c>
    </row>
    <row r="349" spans="1:10" ht="11.25" customHeight="1" x14ac:dyDescent="0.2">
      <c r="A349" s="26" t="s">
        <v>25</v>
      </c>
      <c r="B349" s="19">
        <v>15404590.859999999</v>
      </c>
      <c r="C349" s="19">
        <v>16974282.99723744</v>
      </c>
      <c r="D349" s="19">
        <v>16359661.065710001</v>
      </c>
      <c r="E349" s="19">
        <v>18691067.179688901</v>
      </c>
      <c r="F349" s="19">
        <v>24949707.953579996</v>
      </c>
      <c r="G349" s="19">
        <v>22941713.386816438</v>
      </c>
      <c r="H349" s="20">
        <v>0.12281410751747579</v>
      </c>
      <c r="I349" s="20">
        <v>-8.0481686218513038E-2</v>
      </c>
      <c r="J349" s="20">
        <v>3.3379853716475782E-2</v>
      </c>
    </row>
    <row r="350" spans="1:10" ht="11.25" customHeight="1" x14ac:dyDescent="0.2">
      <c r="A350" s="27" t="s">
        <v>25</v>
      </c>
      <c r="B350" s="19">
        <v>15404590.859999999</v>
      </c>
      <c r="C350" s="19">
        <v>16974282.99723744</v>
      </c>
      <c r="D350" s="19">
        <v>16359661.065710001</v>
      </c>
      <c r="E350" s="19">
        <v>18691067.179688901</v>
      </c>
      <c r="F350" s="19">
        <v>24949707.953579996</v>
      </c>
      <c r="G350" s="19">
        <v>22941713.386816438</v>
      </c>
      <c r="H350" s="20">
        <v>0.12281410751747579</v>
      </c>
      <c r="I350" s="20">
        <v>-8.0481686218513038E-2</v>
      </c>
      <c r="J350" s="20">
        <v>3.3379853716475782E-2</v>
      </c>
    </row>
    <row r="351" spans="1:10" ht="11.25" customHeight="1" x14ac:dyDescent="0.2">
      <c r="A351" s="28" t="s">
        <v>35</v>
      </c>
      <c r="B351" s="19">
        <v>0</v>
      </c>
      <c r="C351" s="19">
        <v>0</v>
      </c>
      <c r="D351" s="19">
        <v>5600307.514750001</v>
      </c>
      <c r="E351" s="19">
        <v>6792159.3844310883</v>
      </c>
      <c r="F351" s="19">
        <v>21733525.183499999</v>
      </c>
      <c r="G351" s="19">
        <v>20097188.113110274</v>
      </c>
      <c r="H351" s="20">
        <v>0.21281900441038415</v>
      </c>
      <c r="I351" s="20">
        <v>-7.5290918365697013E-2</v>
      </c>
      <c r="J351" s="20">
        <v>-1.6261356598450516E-2</v>
      </c>
    </row>
    <row r="352" spans="1:10" ht="11.25" customHeight="1" x14ac:dyDescent="0.2">
      <c r="A352" s="29">
        <v>44409</v>
      </c>
      <c r="B352" s="19">
        <v>0</v>
      </c>
      <c r="C352" s="19">
        <v>0</v>
      </c>
      <c r="D352" s="19">
        <v>388570.77489</v>
      </c>
      <c r="E352" s="19">
        <v>471266.0203450612</v>
      </c>
      <c r="F352" s="19">
        <v>1507955.1791399997</v>
      </c>
      <c r="G352" s="19">
        <v>1394419.8488482395</v>
      </c>
      <c r="H352" s="20">
        <v>0.21281900441038393</v>
      </c>
      <c r="I352" s="20">
        <v>-7.5290918365697346E-2</v>
      </c>
      <c r="J352" s="20">
        <v>-1.6261356598450849E-2</v>
      </c>
    </row>
    <row r="353" spans="1:10" ht="11.25" customHeight="1" x14ac:dyDescent="0.2">
      <c r="A353" s="29">
        <v>44440</v>
      </c>
      <c r="B353" s="19">
        <v>0</v>
      </c>
      <c r="C353" s="19">
        <v>0</v>
      </c>
      <c r="D353" s="19">
        <v>410210.73452999996</v>
      </c>
      <c r="E353" s="19">
        <v>497511.37465112691</v>
      </c>
      <c r="F353" s="19">
        <v>1591934.9617799998</v>
      </c>
      <c r="G353" s="19">
        <v>1472076.7165291226</v>
      </c>
      <c r="H353" s="20">
        <v>0.21281900441038415</v>
      </c>
      <c r="I353" s="20">
        <v>-7.5290918365697235E-2</v>
      </c>
      <c r="J353" s="20">
        <v>-1.6261356598450627E-2</v>
      </c>
    </row>
    <row r="354" spans="1:10" ht="11.25" customHeight="1" x14ac:dyDescent="0.2">
      <c r="A354" s="29">
        <v>44470</v>
      </c>
      <c r="B354" s="19">
        <v>0</v>
      </c>
      <c r="C354" s="19">
        <v>0</v>
      </c>
      <c r="D354" s="19">
        <v>465519.73631000001</v>
      </c>
      <c r="E354" s="19">
        <v>564591.18312487879</v>
      </c>
      <c r="F354" s="19">
        <v>1806576.6720599998</v>
      </c>
      <c r="G354" s="19">
        <v>1670557.8553225575</v>
      </c>
      <c r="H354" s="20">
        <v>0.21281900441038415</v>
      </c>
      <c r="I354" s="20">
        <v>-7.5290918365697124E-2</v>
      </c>
      <c r="J354" s="20">
        <v>-1.6261356598450627E-2</v>
      </c>
    </row>
    <row r="355" spans="1:10" ht="11.25" customHeight="1" x14ac:dyDescent="0.2">
      <c r="A355" s="29">
        <v>44501</v>
      </c>
      <c r="B355" s="19">
        <v>0</v>
      </c>
      <c r="C355" s="19">
        <v>0</v>
      </c>
      <c r="D355" s="19">
        <v>502123.62430000002</v>
      </c>
      <c r="E355" s="19">
        <v>608985.07411445968</v>
      </c>
      <c r="F355" s="19">
        <v>1948628.0718</v>
      </c>
      <c r="G355" s="19">
        <v>1801914.0747210002</v>
      </c>
      <c r="H355" s="20">
        <v>0.21281900441038393</v>
      </c>
      <c r="I355" s="20">
        <v>-7.5290918365697235E-2</v>
      </c>
      <c r="J355" s="20">
        <v>-1.626135659845096E-2</v>
      </c>
    </row>
    <row r="356" spans="1:10" ht="11.25" customHeight="1" x14ac:dyDescent="0.2">
      <c r="A356" s="29">
        <v>44531</v>
      </c>
      <c r="B356" s="19">
        <v>0</v>
      </c>
      <c r="C356" s="19">
        <v>0</v>
      </c>
      <c r="D356" s="19">
        <v>509445.50313000003</v>
      </c>
      <c r="E356" s="19">
        <v>617865.18790747388</v>
      </c>
      <c r="F356" s="19">
        <v>1977042.6253799999</v>
      </c>
      <c r="G356" s="19">
        <v>1828189.2704670106</v>
      </c>
      <c r="H356" s="20">
        <v>0.21281900441038415</v>
      </c>
      <c r="I356" s="20">
        <v>-7.5290918365697235E-2</v>
      </c>
      <c r="J356" s="20">
        <v>-1.6261356598450627E-2</v>
      </c>
    </row>
    <row r="357" spans="1:10" ht="11.25" customHeight="1" x14ac:dyDescent="0.2">
      <c r="A357" s="29">
        <v>44562</v>
      </c>
      <c r="B357" s="19">
        <v>0</v>
      </c>
      <c r="C357" s="19">
        <v>0</v>
      </c>
      <c r="D357" s="19">
        <v>479632.27467000007</v>
      </c>
      <c r="E357" s="19">
        <v>581707.13784835732</v>
      </c>
      <c r="F357" s="19">
        <v>1861344.2374200001</v>
      </c>
      <c r="G357" s="19">
        <v>1721201.9203899498</v>
      </c>
      <c r="H357" s="20">
        <v>0.21281900441038393</v>
      </c>
      <c r="I357" s="20">
        <v>-7.5290918365697346E-2</v>
      </c>
      <c r="J357" s="20">
        <v>-1.6261356598450849E-2</v>
      </c>
    </row>
    <row r="358" spans="1:10" ht="11.25" customHeight="1" x14ac:dyDescent="0.2">
      <c r="A358" s="29">
        <v>44593</v>
      </c>
      <c r="B358" s="19">
        <v>0</v>
      </c>
      <c r="C358" s="19">
        <v>0</v>
      </c>
      <c r="D358" s="19">
        <v>465745.05088000005</v>
      </c>
      <c r="E358" s="19">
        <v>564864.44891734526</v>
      </c>
      <c r="F358" s="19">
        <v>1807451.0668800001</v>
      </c>
      <c r="G358" s="19">
        <v>1671366.4161535455</v>
      </c>
      <c r="H358" s="20">
        <v>0.21281900441038393</v>
      </c>
      <c r="I358" s="20">
        <v>-7.5290918365697346E-2</v>
      </c>
      <c r="J358" s="20">
        <v>-1.626135659845096E-2</v>
      </c>
    </row>
    <row r="359" spans="1:10" ht="11.25" customHeight="1" x14ac:dyDescent="0.2">
      <c r="A359" s="29">
        <v>44621</v>
      </c>
      <c r="B359" s="19">
        <v>0</v>
      </c>
      <c r="C359" s="19">
        <v>0</v>
      </c>
      <c r="D359" s="19">
        <v>518078.66145000001</v>
      </c>
      <c r="E359" s="19">
        <v>628335.64638605341</v>
      </c>
      <c r="F359" s="19">
        <v>2010545.9576999999</v>
      </c>
      <c r="G359" s="19">
        <v>1859170.1061283266</v>
      </c>
      <c r="H359" s="20">
        <v>0.21281900441038393</v>
      </c>
      <c r="I359" s="20">
        <v>-7.5290918365697235E-2</v>
      </c>
      <c r="J359" s="20">
        <v>-1.6261356598450627E-2</v>
      </c>
    </row>
    <row r="360" spans="1:10" ht="11.25" customHeight="1" x14ac:dyDescent="0.2">
      <c r="A360" s="29">
        <v>44652</v>
      </c>
      <c r="B360" s="19">
        <v>0</v>
      </c>
      <c r="C360" s="19">
        <v>0</v>
      </c>
      <c r="D360" s="19">
        <v>516418.3665</v>
      </c>
      <c r="E360" s="19">
        <v>626322.00911776687</v>
      </c>
      <c r="F360" s="19">
        <v>2004102.7290000001</v>
      </c>
      <c r="G360" s="19">
        <v>1853211.9940343897</v>
      </c>
      <c r="H360" s="20">
        <v>0.21281900441038415</v>
      </c>
      <c r="I360" s="20">
        <v>-7.5290918365697346E-2</v>
      </c>
      <c r="J360" s="20">
        <v>-1.6261356598450738E-2</v>
      </c>
    </row>
    <row r="361" spans="1:10" ht="11.25" customHeight="1" x14ac:dyDescent="0.2">
      <c r="A361" s="29">
        <v>44682</v>
      </c>
      <c r="B361" s="19">
        <v>0</v>
      </c>
      <c r="C361" s="19">
        <v>0</v>
      </c>
      <c r="D361" s="19">
        <v>487287.33875</v>
      </c>
      <c r="E361" s="19">
        <v>590991.3450445605</v>
      </c>
      <c r="F361" s="19">
        <v>1891051.8074999999</v>
      </c>
      <c r="G361" s="19">
        <v>1748672.780236213</v>
      </c>
      <c r="H361" s="20">
        <v>0.21281900441038393</v>
      </c>
      <c r="I361" s="20">
        <v>-7.5290918365697346E-2</v>
      </c>
      <c r="J361" s="20">
        <v>-1.6261356598450849E-2</v>
      </c>
    </row>
    <row r="362" spans="1:10" ht="11.25" customHeight="1" x14ac:dyDescent="0.2">
      <c r="A362" s="29">
        <v>44713</v>
      </c>
      <c r="B362" s="19">
        <v>0</v>
      </c>
      <c r="C362" s="19">
        <v>0</v>
      </c>
      <c r="D362" s="19">
        <v>428637.72467000003</v>
      </c>
      <c r="E362" s="19">
        <v>519859.97848700173</v>
      </c>
      <c r="F362" s="19">
        <v>1663445.9374200001</v>
      </c>
      <c r="G362" s="19">
        <v>1538203.56513996</v>
      </c>
      <c r="H362" s="20">
        <v>0.21281900441038393</v>
      </c>
      <c r="I362" s="20">
        <v>-7.5290918365697346E-2</v>
      </c>
      <c r="J362" s="20">
        <v>-1.6261356598450849E-2</v>
      </c>
    </row>
    <row r="363" spans="1:10" ht="11.25" customHeight="1" x14ac:dyDescent="0.2">
      <c r="A363" s="29">
        <v>44743</v>
      </c>
      <c r="B363" s="19">
        <v>0</v>
      </c>
      <c r="C363" s="19">
        <v>0</v>
      </c>
      <c r="D363" s="19">
        <v>428637.72467000003</v>
      </c>
      <c r="E363" s="19">
        <v>519859.97848700173</v>
      </c>
      <c r="F363" s="19">
        <v>1663445.9374200001</v>
      </c>
      <c r="G363" s="19">
        <v>1538203.56513996</v>
      </c>
      <c r="H363" s="20">
        <v>0.21281900441038393</v>
      </c>
      <c r="I363" s="20">
        <v>-7.5290918365697346E-2</v>
      </c>
      <c r="J363" s="20">
        <v>-1.6261356598450849E-2</v>
      </c>
    </row>
    <row r="364" spans="1:10" ht="11.25" customHeight="1" x14ac:dyDescent="0.2">
      <c r="A364" s="28" t="s">
        <v>25</v>
      </c>
      <c r="B364" s="19">
        <v>15404590.859999999</v>
      </c>
      <c r="C364" s="19">
        <v>16974282.99723744</v>
      </c>
      <c r="D364" s="19">
        <v>0</v>
      </c>
      <c r="E364" s="19">
        <v>0</v>
      </c>
      <c r="F364" s="19">
        <v>0</v>
      </c>
      <c r="G364" s="19">
        <v>0</v>
      </c>
      <c r="H364" s="20">
        <v>0.10189768436585678</v>
      </c>
      <c r="I364" s="20">
        <v>0</v>
      </c>
      <c r="J364" s="20">
        <v>0.10189768436585678</v>
      </c>
    </row>
    <row r="365" spans="1:10" ht="11.25" customHeight="1" x14ac:dyDescent="0.2">
      <c r="A365" s="29">
        <v>44409</v>
      </c>
      <c r="B365" s="19">
        <v>1281450.06</v>
      </c>
      <c r="C365" s="19">
        <v>1412026.8537444882</v>
      </c>
      <c r="D365" s="19">
        <v>0</v>
      </c>
      <c r="E365" s="19">
        <v>0</v>
      </c>
      <c r="F365" s="19">
        <v>0</v>
      </c>
      <c r="G365" s="19">
        <v>0</v>
      </c>
      <c r="H365" s="20">
        <v>0.10189768436585678</v>
      </c>
      <c r="I365" s="20">
        <v>0</v>
      </c>
      <c r="J365" s="20">
        <v>0.10189768436585678</v>
      </c>
    </row>
    <row r="366" spans="1:10" ht="11.25" customHeight="1" x14ac:dyDescent="0.2">
      <c r="A366" s="29">
        <v>44440</v>
      </c>
      <c r="B366" s="19">
        <v>1264092.42</v>
      </c>
      <c r="C366" s="19">
        <v>1392900.5104224319</v>
      </c>
      <c r="D366" s="19">
        <v>0</v>
      </c>
      <c r="E366" s="19">
        <v>0</v>
      </c>
      <c r="F366" s="19">
        <v>0</v>
      </c>
      <c r="G366" s="19">
        <v>0</v>
      </c>
      <c r="H366" s="20">
        <v>0.10189768436585678</v>
      </c>
      <c r="I366" s="20">
        <v>0</v>
      </c>
      <c r="J366" s="20">
        <v>0.10189768436585678</v>
      </c>
    </row>
    <row r="367" spans="1:10" ht="11.25" customHeight="1" x14ac:dyDescent="0.2">
      <c r="A367" s="29">
        <v>44470</v>
      </c>
      <c r="B367" s="19">
        <v>1291099.02</v>
      </c>
      <c r="C367" s="19">
        <v>1422659.020425027</v>
      </c>
      <c r="D367" s="19">
        <v>0</v>
      </c>
      <c r="E367" s="19">
        <v>0</v>
      </c>
      <c r="F367" s="19">
        <v>0</v>
      </c>
      <c r="G367" s="19">
        <v>0</v>
      </c>
      <c r="H367" s="20">
        <v>0.10189768436585678</v>
      </c>
      <c r="I367" s="20">
        <v>0</v>
      </c>
      <c r="J367" s="20">
        <v>0.10189768436585678</v>
      </c>
    </row>
    <row r="368" spans="1:10" ht="11.25" customHeight="1" x14ac:dyDescent="0.2">
      <c r="A368" s="29">
        <v>44501</v>
      </c>
      <c r="B368" s="19">
        <v>1309453.0199999998</v>
      </c>
      <c r="C368" s="19">
        <v>1442883.250523878</v>
      </c>
      <c r="D368" s="19">
        <v>0</v>
      </c>
      <c r="E368" s="19">
        <v>0</v>
      </c>
      <c r="F368" s="19">
        <v>0</v>
      </c>
      <c r="G368" s="19">
        <v>0</v>
      </c>
      <c r="H368" s="20">
        <v>0.101897684365857</v>
      </c>
      <c r="I368" s="20">
        <v>0</v>
      </c>
      <c r="J368" s="20">
        <v>0.101897684365857</v>
      </c>
    </row>
    <row r="369" spans="1:10" ht="11.25" customHeight="1" x14ac:dyDescent="0.2">
      <c r="A369" s="29">
        <v>44531</v>
      </c>
      <c r="B369" s="19">
        <v>1314120.18</v>
      </c>
      <c r="C369" s="19">
        <v>1448025.983320443</v>
      </c>
      <c r="D369" s="19">
        <v>0</v>
      </c>
      <c r="E369" s="19">
        <v>0</v>
      </c>
      <c r="F369" s="19">
        <v>0</v>
      </c>
      <c r="G369" s="19">
        <v>0</v>
      </c>
      <c r="H369" s="20">
        <v>0.10189768436585678</v>
      </c>
      <c r="I369" s="20">
        <v>0</v>
      </c>
      <c r="J369" s="20">
        <v>0.10189768436585678</v>
      </c>
    </row>
    <row r="370" spans="1:10" ht="11.25" customHeight="1" x14ac:dyDescent="0.2">
      <c r="A370" s="29">
        <v>44562</v>
      </c>
      <c r="B370" s="19">
        <v>1293249.0599999998</v>
      </c>
      <c r="C370" s="19">
        <v>1425028.1445223209</v>
      </c>
      <c r="D370" s="19">
        <v>0</v>
      </c>
      <c r="E370" s="19">
        <v>0</v>
      </c>
      <c r="F370" s="19">
        <v>0</v>
      </c>
      <c r="G370" s="19">
        <v>0</v>
      </c>
      <c r="H370" s="20">
        <v>0.101897684365857</v>
      </c>
      <c r="I370" s="20">
        <v>0</v>
      </c>
      <c r="J370" s="20">
        <v>0.101897684365857</v>
      </c>
    </row>
    <row r="371" spans="1:10" ht="11.25" customHeight="1" x14ac:dyDescent="0.2">
      <c r="A371" s="29">
        <v>44593</v>
      </c>
      <c r="B371" s="19">
        <v>1286248.3199999998</v>
      </c>
      <c r="C371" s="19">
        <v>1417314.0453274734</v>
      </c>
      <c r="D371" s="19">
        <v>0</v>
      </c>
      <c r="E371" s="19">
        <v>0</v>
      </c>
      <c r="F371" s="19">
        <v>0</v>
      </c>
      <c r="G371" s="19">
        <v>0</v>
      </c>
      <c r="H371" s="20">
        <v>0.10189768436585678</v>
      </c>
      <c r="I371" s="20">
        <v>0</v>
      </c>
      <c r="J371" s="20">
        <v>0.10189768436585678</v>
      </c>
    </row>
    <row r="372" spans="1:10" ht="11.25" customHeight="1" x14ac:dyDescent="0.2">
      <c r="A372" s="29">
        <v>44621</v>
      </c>
      <c r="B372" s="19">
        <v>1294638.72</v>
      </c>
      <c r="C372" s="19">
        <v>1426559.4076583767</v>
      </c>
      <c r="D372" s="19">
        <v>0</v>
      </c>
      <c r="E372" s="19">
        <v>0</v>
      </c>
      <c r="F372" s="19">
        <v>0</v>
      </c>
      <c r="G372" s="19">
        <v>0</v>
      </c>
      <c r="H372" s="20">
        <v>0.10189768436585678</v>
      </c>
      <c r="I372" s="20">
        <v>0</v>
      </c>
      <c r="J372" s="20">
        <v>0.10189768436585678</v>
      </c>
    </row>
    <row r="373" spans="1:10" ht="11.25" customHeight="1" x14ac:dyDescent="0.2">
      <c r="A373" s="29">
        <v>44652</v>
      </c>
      <c r="B373" s="19">
        <v>1299332.0999999999</v>
      </c>
      <c r="C373" s="19">
        <v>1431731.0322122257</v>
      </c>
      <c r="D373" s="19">
        <v>0</v>
      </c>
      <c r="E373" s="19">
        <v>0</v>
      </c>
      <c r="F373" s="19">
        <v>0</v>
      </c>
      <c r="G373" s="19">
        <v>0</v>
      </c>
      <c r="H373" s="20">
        <v>0.10189768436585678</v>
      </c>
      <c r="I373" s="20">
        <v>0</v>
      </c>
      <c r="J373" s="20">
        <v>0.10189768436585678</v>
      </c>
    </row>
    <row r="374" spans="1:10" ht="11.25" customHeight="1" x14ac:dyDescent="0.2">
      <c r="A374" s="29">
        <v>44682</v>
      </c>
      <c r="B374" s="19">
        <v>1266321.1200000001</v>
      </c>
      <c r="C374" s="19">
        <v>1395356.309791578</v>
      </c>
      <c r="D374" s="19">
        <v>0</v>
      </c>
      <c r="E374" s="19">
        <v>0</v>
      </c>
      <c r="F374" s="19">
        <v>0</v>
      </c>
      <c r="G374" s="19">
        <v>0</v>
      </c>
      <c r="H374" s="20">
        <v>0.10189768436585656</v>
      </c>
      <c r="I374" s="20">
        <v>0</v>
      </c>
      <c r="J374" s="20">
        <v>0.10189768436585656</v>
      </c>
    </row>
    <row r="375" spans="1:10" ht="11.25" customHeight="1" x14ac:dyDescent="0.2">
      <c r="A375" s="29">
        <v>44713</v>
      </c>
      <c r="B375" s="19">
        <v>1252293.42</v>
      </c>
      <c r="C375" s="19">
        <v>1379899.2196445991</v>
      </c>
      <c r="D375" s="19">
        <v>0</v>
      </c>
      <c r="E375" s="19">
        <v>0</v>
      </c>
      <c r="F375" s="19">
        <v>0</v>
      </c>
      <c r="G375" s="19">
        <v>0</v>
      </c>
      <c r="H375" s="20">
        <v>0.10189768436585678</v>
      </c>
      <c r="I375" s="20">
        <v>0</v>
      </c>
      <c r="J375" s="20">
        <v>0.10189768436585678</v>
      </c>
    </row>
    <row r="376" spans="1:10" ht="11.25" customHeight="1" x14ac:dyDescent="0.2">
      <c r="A376" s="29">
        <v>44743</v>
      </c>
      <c r="B376" s="19">
        <v>1252293.42</v>
      </c>
      <c r="C376" s="19">
        <v>1379899.2196445991</v>
      </c>
      <c r="D376" s="19">
        <v>0</v>
      </c>
      <c r="E376" s="19">
        <v>0</v>
      </c>
      <c r="F376" s="19">
        <v>0</v>
      </c>
      <c r="G376" s="19">
        <v>0</v>
      </c>
      <c r="H376" s="20">
        <v>0.10189768436585678</v>
      </c>
      <c r="I376" s="20">
        <v>0</v>
      </c>
      <c r="J376" s="20">
        <v>0.10189768436585678</v>
      </c>
    </row>
    <row r="377" spans="1:10" ht="11.25" customHeight="1" x14ac:dyDescent="0.2">
      <c r="A377" s="28" t="s">
        <v>34</v>
      </c>
      <c r="B377" s="19">
        <v>0</v>
      </c>
      <c r="C377" s="19">
        <v>0</v>
      </c>
      <c r="D377" s="19">
        <v>10759353.550960001</v>
      </c>
      <c r="E377" s="19">
        <v>11898907.795257812</v>
      </c>
      <c r="F377" s="19">
        <v>3216182.7700800002</v>
      </c>
      <c r="G377" s="19">
        <v>2844525.2737061628</v>
      </c>
      <c r="H377" s="20">
        <v>0.10591289141122573</v>
      </c>
      <c r="I377" s="20">
        <v>-0.11555857454102103</v>
      </c>
      <c r="J377" s="20">
        <v>5.4945780275202472E-2</v>
      </c>
    </row>
    <row r="378" spans="1:10" ht="11.25" customHeight="1" x14ac:dyDescent="0.2">
      <c r="A378" s="29">
        <v>44409</v>
      </c>
      <c r="B378" s="19">
        <v>0</v>
      </c>
      <c r="C378" s="19">
        <v>0</v>
      </c>
      <c r="D378" s="19">
        <v>782371.20134999999</v>
      </c>
      <c r="E378" s="19">
        <v>865234.3974418526</v>
      </c>
      <c r="F378" s="19">
        <v>233866.16729999997</v>
      </c>
      <c r="G378" s="19">
        <v>206840.92637344007</v>
      </c>
      <c r="H378" s="20">
        <v>0.10591289141122551</v>
      </c>
      <c r="I378" s="20">
        <v>-0.11555857454102081</v>
      </c>
      <c r="J378" s="20">
        <v>5.4945780275202472E-2</v>
      </c>
    </row>
    <row r="379" spans="1:10" ht="11.25" customHeight="1" x14ac:dyDescent="0.2">
      <c r="A379" s="29">
        <v>44440</v>
      </c>
      <c r="B379" s="19">
        <v>0</v>
      </c>
      <c r="C379" s="19">
        <v>0</v>
      </c>
      <c r="D379" s="19">
        <v>807684.71704999998</v>
      </c>
      <c r="E379" s="19">
        <v>893228.94078142324</v>
      </c>
      <c r="F379" s="19">
        <v>241432.87590000004</v>
      </c>
      <c r="G379" s="19">
        <v>213533.23691365682</v>
      </c>
      <c r="H379" s="20">
        <v>0.10591289141122573</v>
      </c>
      <c r="I379" s="20">
        <v>-0.11555857454102103</v>
      </c>
      <c r="J379" s="20">
        <v>5.4945780275202694E-2</v>
      </c>
    </row>
    <row r="380" spans="1:10" ht="11.25" customHeight="1" x14ac:dyDescent="0.2">
      <c r="A380" s="29">
        <v>44470</v>
      </c>
      <c r="B380" s="19">
        <v>0</v>
      </c>
      <c r="C380" s="19">
        <v>0</v>
      </c>
      <c r="D380" s="19">
        <v>837696.46383000014</v>
      </c>
      <c r="E380" s="19">
        <v>926419.31843919447</v>
      </c>
      <c r="F380" s="19">
        <v>250403.97834000003</v>
      </c>
      <c r="G380" s="19">
        <v>221467.65154362895</v>
      </c>
      <c r="H380" s="20">
        <v>0.10591289141122551</v>
      </c>
      <c r="I380" s="20">
        <v>-0.11555857454102092</v>
      </c>
      <c r="J380" s="20">
        <v>5.4945780275202249E-2</v>
      </c>
    </row>
    <row r="381" spans="1:10" ht="11.25" customHeight="1" x14ac:dyDescent="0.2">
      <c r="A381" s="29">
        <v>44501</v>
      </c>
      <c r="B381" s="19">
        <v>0</v>
      </c>
      <c r="C381" s="19">
        <v>0</v>
      </c>
      <c r="D381" s="19">
        <v>912901.41586000007</v>
      </c>
      <c r="E381" s="19">
        <v>1009589.4443871343</v>
      </c>
      <c r="F381" s="19">
        <v>272884.22028000001</v>
      </c>
      <c r="G381" s="19">
        <v>241350.10876970526</v>
      </c>
      <c r="H381" s="20">
        <v>0.10591289141122551</v>
      </c>
      <c r="I381" s="20">
        <v>-0.11555857454102092</v>
      </c>
      <c r="J381" s="20">
        <v>5.4945780275202249E-2</v>
      </c>
    </row>
    <row r="382" spans="1:10" ht="11.25" customHeight="1" x14ac:dyDescent="0.2">
      <c r="A382" s="29">
        <v>44531</v>
      </c>
      <c r="B382" s="19">
        <v>0</v>
      </c>
      <c r="C382" s="19">
        <v>0</v>
      </c>
      <c r="D382" s="19">
        <v>1010027.8990900001</v>
      </c>
      <c r="E382" s="19">
        <v>1117002.8742886274</v>
      </c>
      <c r="F382" s="19">
        <v>301917.23981999996</v>
      </c>
      <c r="G382" s="19">
        <v>267028.11395704123</v>
      </c>
      <c r="H382" s="20">
        <v>0.10591289141122551</v>
      </c>
      <c r="I382" s="20">
        <v>-0.11555857454102081</v>
      </c>
      <c r="J382" s="20">
        <v>5.4945780275202249E-2</v>
      </c>
    </row>
    <row r="383" spans="1:10" ht="11.25" customHeight="1" x14ac:dyDescent="0.2">
      <c r="A383" s="29">
        <v>44562</v>
      </c>
      <c r="B383" s="19">
        <v>0</v>
      </c>
      <c r="C383" s="19">
        <v>0</v>
      </c>
      <c r="D383" s="19">
        <v>921950.69843000011</v>
      </c>
      <c r="E383" s="19">
        <v>1019597.1626393202</v>
      </c>
      <c r="F383" s="19">
        <v>275589.22914000001</v>
      </c>
      <c r="G383" s="19">
        <v>243742.53066172285</v>
      </c>
      <c r="H383" s="20">
        <v>0.10591289141122551</v>
      </c>
      <c r="I383" s="20">
        <v>-0.11555857454102081</v>
      </c>
      <c r="J383" s="20">
        <v>5.4945780275202249E-2</v>
      </c>
    </row>
    <row r="384" spans="1:10" ht="11.25" customHeight="1" x14ac:dyDescent="0.2">
      <c r="A384" s="29">
        <v>44593</v>
      </c>
      <c r="B384" s="19">
        <v>0</v>
      </c>
      <c r="C384" s="19">
        <v>0</v>
      </c>
      <c r="D384" s="19">
        <v>884838.39743000013</v>
      </c>
      <c r="E384" s="19">
        <v>978554.19053348654</v>
      </c>
      <c r="F384" s="19">
        <v>264495.63114000001</v>
      </c>
      <c r="G384" s="19">
        <v>233930.89303313397</v>
      </c>
      <c r="H384" s="20">
        <v>0.10591289141122551</v>
      </c>
      <c r="I384" s="20">
        <v>-0.11555857454102081</v>
      </c>
      <c r="J384" s="20">
        <v>5.4945780275202472E-2</v>
      </c>
    </row>
    <row r="385" spans="1:10" ht="11.25" customHeight="1" x14ac:dyDescent="0.2">
      <c r="A385" s="29">
        <v>44621</v>
      </c>
      <c r="B385" s="19">
        <v>0</v>
      </c>
      <c r="C385" s="19">
        <v>0</v>
      </c>
      <c r="D385" s="19">
        <v>988313.87753000006</v>
      </c>
      <c r="E385" s="19">
        <v>1092989.0579210424</v>
      </c>
      <c r="F385" s="19">
        <v>295426.49093999999</v>
      </c>
      <c r="G385" s="19">
        <v>261287.4267653178</v>
      </c>
      <c r="H385" s="20">
        <v>0.10591289141122573</v>
      </c>
      <c r="I385" s="20">
        <v>-0.11555857454102081</v>
      </c>
      <c r="J385" s="20">
        <v>5.4945780275202472E-2</v>
      </c>
    </row>
    <row r="386" spans="1:10" ht="11.25" customHeight="1" x14ac:dyDescent="0.2">
      <c r="A386" s="29">
        <v>44652</v>
      </c>
      <c r="B386" s="19">
        <v>0</v>
      </c>
      <c r="C386" s="19">
        <v>0</v>
      </c>
      <c r="D386" s="19">
        <v>931033.23575000011</v>
      </c>
      <c r="E386" s="19">
        <v>1029641.6577482318</v>
      </c>
      <c r="F386" s="19">
        <v>278304.17849999998</v>
      </c>
      <c r="G386" s="19">
        <v>246143.74434373016</v>
      </c>
      <c r="H386" s="20">
        <v>0.10591289141122551</v>
      </c>
      <c r="I386" s="20">
        <v>-0.11555857454102092</v>
      </c>
      <c r="J386" s="20">
        <v>5.4945780275202249E-2</v>
      </c>
    </row>
    <row r="387" spans="1:10" ht="11.25" customHeight="1" x14ac:dyDescent="0.2">
      <c r="A387" s="29">
        <v>44682</v>
      </c>
      <c r="B387" s="19">
        <v>0</v>
      </c>
      <c r="C387" s="19">
        <v>0</v>
      </c>
      <c r="D387" s="19">
        <v>954850.28769999999</v>
      </c>
      <c r="E387" s="19">
        <v>1055981.2425351476</v>
      </c>
      <c r="F387" s="19">
        <v>285423.56459999998</v>
      </c>
      <c r="G387" s="19">
        <v>252440.424334407</v>
      </c>
      <c r="H387" s="20">
        <v>0.10591289141122551</v>
      </c>
      <c r="I387" s="20">
        <v>-0.11555857454102092</v>
      </c>
      <c r="J387" s="20">
        <v>5.4945780275202472E-2</v>
      </c>
    </row>
    <row r="388" spans="1:10" ht="11.25" customHeight="1" x14ac:dyDescent="0.2">
      <c r="A388" s="29">
        <v>44713</v>
      </c>
      <c r="B388" s="19">
        <v>0</v>
      </c>
      <c r="C388" s="19">
        <v>0</v>
      </c>
      <c r="D388" s="19">
        <v>863842.67847000016</v>
      </c>
      <c r="E388" s="19">
        <v>955334.75427117548</v>
      </c>
      <c r="F388" s="19">
        <v>258219.59706000003</v>
      </c>
      <c r="G388" s="19">
        <v>228380.10850518962</v>
      </c>
      <c r="H388" s="20">
        <v>0.10591289141122551</v>
      </c>
      <c r="I388" s="20">
        <v>-0.11555857454102092</v>
      </c>
      <c r="J388" s="20">
        <v>5.4945780275202249E-2</v>
      </c>
    </row>
    <row r="389" spans="1:10" ht="11.25" customHeight="1" x14ac:dyDescent="0.2">
      <c r="A389" s="29">
        <v>44743</v>
      </c>
      <c r="B389" s="19">
        <v>0</v>
      </c>
      <c r="C389" s="19">
        <v>0</v>
      </c>
      <c r="D389" s="19">
        <v>863842.67847000016</v>
      </c>
      <c r="E389" s="19">
        <v>955334.75427117548</v>
      </c>
      <c r="F389" s="19">
        <v>258219.59706000003</v>
      </c>
      <c r="G389" s="19">
        <v>228380.10850518962</v>
      </c>
      <c r="H389" s="20">
        <v>0.10591289141122551</v>
      </c>
      <c r="I389" s="20">
        <v>-0.11555857454102092</v>
      </c>
      <c r="J389" s="20">
        <v>5.4945780275202249E-2</v>
      </c>
    </row>
    <row r="390" spans="1:10" ht="11.25" customHeight="1" x14ac:dyDescent="0.2">
      <c r="A390" s="24" t="s">
        <v>45</v>
      </c>
      <c r="B390" s="19">
        <v>5893735.7951999996</v>
      </c>
      <c r="C390" s="19">
        <v>6494293.8249950409</v>
      </c>
      <c r="D390" s="19">
        <v>4159804.4919921984</v>
      </c>
      <c r="E390" s="19">
        <v>4836560.2912623035</v>
      </c>
      <c r="F390" s="19">
        <v>9156542.4299987964</v>
      </c>
      <c r="G390" s="19">
        <v>8443659.1265044659</v>
      </c>
      <c r="H390" s="20">
        <v>0.12705114741444734</v>
      </c>
      <c r="I390" s="20">
        <v>-7.7855075640644533E-2</v>
      </c>
      <c r="J390" s="20">
        <v>2.9381993502074488E-2</v>
      </c>
    </row>
    <row r="391" spans="1:10" ht="11.25" customHeight="1" x14ac:dyDescent="0.2">
      <c r="A391" s="25" t="s">
        <v>53</v>
      </c>
      <c r="B391" s="19">
        <v>4298133.4271999998</v>
      </c>
      <c r="C391" s="19">
        <v>4736103.2705271635</v>
      </c>
      <c r="D391" s="19">
        <v>2593517.3554257993</v>
      </c>
      <c r="E391" s="19">
        <v>3013492.1132781943</v>
      </c>
      <c r="F391" s="19">
        <v>5643074.1513491962</v>
      </c>
      <c r="G391" s="19">
        <v>5203342.5561312931</v>
      </c>
      <c r="H391" s="20">
        <v>0.12449043462017517</v>
      </c>
      <c r="I391" s="20">
        <v>-7.7924121396272805E-2</v>
      </c>
      <c r="J391" s="20">
        <v>3.3364354476427049E-2</v>
      </c>
    </row>
    <row r="392" spans="1:10" ht="11.25" customHeight="1" x14ac:dyDescent="0.2">
      <c r="A392" s="26" t="s">
        <v>55</v>
      </c>
      <c r="B392" s="19">
        <v>0</v>
      </c>
      <c r="C392" s="19">
        <v>0</v>
      </c>
      <c r="D392" s="19">
        <v>99124.126069000005</v>
      </c>
      <c r="E392" s="19">
        <v>120219.62389205398</v>
      </c>
      <c r="F392" s="19">
        <v>384678.28499399999</v>
      </c>
      <c r="G392" s="19">
        <v>355715.50364146032</v>
      </c>
      <c r="H392" s="20">
        <v>0.21281900441038393</v>
      </c>
      <c r="I392" s="20">
        <v>-7.5290918365696458E-2</v>
      </c>
      <c r="J392" s="20">
        <v>-1.6261356598450183E-2</v>
      </c>
    </row>
    <row r="393" spans="1:10" ht="11.25" customHeight="1" x14ac:dyDescent="0.2">
      <c r="A393" s="27" t="s">
        <v>25</v>
      </c>
      <c r="B393" s="19">
        <v>0</v>
      </c>
      <c r="C393" s="19">
        <v>0</v>
      </c>
      <c r="D393" s="19">
        <v>99124.126069000005</v>
      </c>
      <c r="E393" s="19">
        <v>120219.62389205398</v>
      </c>
      <c r="F393" s="19">
        <v>384678.28499399999</v>
      </c>
      <c r="G393" s="19">
        <v>355715.50364146032</v>
      </c>
      <c r="H393" s="20">
        <v>0.21281900441038393</v>
      </c>
      <c r="I393" s="20">
        <v>-7.5290918365696458E-2</v>
      </c>
      <c r="J393" s="20">
        <v>-1.6261356598450183E-2</v>
      </c>
    </row>
    <row r="394" spans="1:10" ht="11.25" customHeight="1" x14ac:dyDescent="0.2">
      <c r="A394" s="28" t="s">
        <v>35</v>
      </c>
      <c r="B394" s="19">
        <v>0</v>
      </c>
      <c r="C394" s="19">
        <v>0</v>
      </c>
      <c r="D394" s="19">
        <v>99124.126069000005</v>
      </c>
      <c r="E394" s="19">
        <v>120219.62389205398</v>
      </c>
      <c r="F394" s="19">
        <v>384678.28499399999</v>
      </c>
      <c r="G394" s="19">
        <v>355715.50364146032</v>
      </c>
      <c r="H394" s="20">
        <v>0.21281900441038393</v>
      </c>
      <c r="I394" s="20">
        <v>-7.5290918365696458E-2</v>
      </c>
      <c r="J394" s="20">
        <v>-1.6261356598450183E-2</v>
      </c>
    </row>
    <row r="395" spans="1:10" ht="11.25" customHeight="1" x14ac:dyDescent="0.2">
      <c r="A395" s="29">
        <v>44409</v>
      </c>
      <c r="B395" s="19">
        <v>0</v>
      </c>
      <c r="C395" s="19">
        <v>0</v>
      </c>
      <c r="D395" s="19">
        <v>6642.2560040000008</v>
      </c>
      <c r="E395" s="19">
        <v>8055.8543138101759</v>
      </c>
      <c r="F395" s="19">
        <v>25777.091303999998</v>
      </c>
      <c r="G395" s="19">
        <v>23836.310426925411</v>
      </c>
      <c r="H395" s="20">
        <v>0.21281900441038393</v>
      </c>
      <c r="I395" s="20">
        <v>-7.5290918365697235E-2</v>
      </c>
      <c r="J395" s="20">
        <v>-1.6261356598450738E-2</v>
      </c>
    </row>
    <row r="396" spans="1:10" ht="11.25" customHeight="1" x14ac:dyDescent="0.2">
      <c r="A396" s="29">
        <v>44440</v>
      </c>
      <c r="B396" s="19">
        <v>0</v>
      </c>
      <c r="C396" s="19">
        <v>0</v>
      </c>
      <c r="D396" s="19">
        <v>9107.3888639999986</v>
      </c>
      <c r="E396" s="19">
        <v>11045.614294814697</v>
      </c>
      <c r="F396" s="19">
        <v>35343.713663999995</v>
      </c>
      <c r="G396" s="19">
        <v>32682.653003783194</v>
      </c>
      <c r="H396" s="20">
        <v>0.21281900441038415</v>
      </c>
      <c r="I396" s="20">
        <v>-7.5290918365697235E-2</v>
      </c>
      <c r="J396" s="20">
        <v>-1.6261356598450738E-2</v>
      </c>
    </row>
    <row r="397" spans="1:10" ht="11.25" customHeight="1" x14ac:dyDescent="0.2">
      <c r="A397" s="29">
        <v>44470</v>
      </c>
      <c r="B397" s="19">
        <v>0</v>
      </c>
      <c r="C397" s="19">
        <v>0</v>
      </c>
      <c r="D397" s="19">
        <v>9834.5648899999997</v>
      </c>
      <c r="E397" s="19">
        <v>11927.547198699118</v>
      </c>
      <c r="F397" s="19">
        <v>38165.719139999994</v>
      </c>
      <c r="G397" s="19">
        <v>35292.187095862122</v>
      </c>
      <c r="H397" s="20">
        <v>0.21281900441038415</v>
      </c>
      <c r="I397" s="20">
        <v>-7.5290918365697346E-2</v>
      </c>
      <c r="J397" s="20">
        <v>-1.6261356598450849E-2</v>
      </c>
    </row>
    <row r="398" spans="1:10" ht="11.25" customHeight="1" x14ac:dyDescent="0.2">
      <c r="A398" s="29">
        <v>44501</v>
      </c>
      <c r="B398" s="19">
        <v>0</v>
      </c>
      <c r="C398" s="19">
        <v>0</v>
      </c>
      <c r="D398" s="19">
        <v>12282.121836999999</v>
      </c>
      <c r="E398" s="19">
        <v>14895.990778397378</v>
      </c>
      <c r="F398" s="19">
        <v>47664.133361999993</v>
      </c>
      <c r="G398" s="19">
        <v>44075.456988069949</v>
      </c>
      <c r="H398" s="20">
        <v>0.21281900441038415</v>
      </c>
      <c r="I398" s="20">
        <v>-7.5290918365697124E-2</v>
      </c>
      <c r="J398" s="20">
        <v>-1.6261356598450627E-2</v>
      </c>
    </row>
    <row r="399" spans="1:10" ht="11.25" customHeight="1" x14ac:dyDescent="0.2">
      <c r="A399" s="29">
        <v>44531</v>
      </c>
      <c r="B399" s="19">
        <v>0</v>
      </c>
      <c r="C399" s="19">
        <v>0</v>
      </c>
      <c r="D399" s="19">
        <v>13685.610735999999</v>
      </c>
      <c r="E399" s="19">
        <v>16598.168787583581</v>
      </c>
      <c r="F399" s="19">
        <v>53110.755935999994</v>
      </c>
      <c r="G399" s="19">
        <v>49111.998346482149</v>
      </c>
      <c r="H399" s="20">
        <v>0.21281900441038393</v>
      </c>
      <c r="I399" s="20">
        <v>-7.5290918365697235E-2</v>
      </c>
      <c r="J399" s="20">
        <v>-1.6261356598450627E-2</v>
      </c>
    </row>
    <row r="400" spans="1:10" ht="11.25" customHeight="1" x14ac:dyDescent="0.2">
      <c r="A400" s="29">
        <v>44562</v>
      </c>
      <c r="B400" s="19">
        <v>0</v>
      </c>
      <c r="C400" s="19">
        <v>0</v>
      </c>
      <c r="D400" s="19">
        <v>9864.3920090000011</v>
      </c>
      <c r="E400" s="19">
        <v>11963.722095469129</v>
      </c>
      <c r="F400" s="19">
        <v>38281.471434000006</v>
      </c>
      <c r="G400" s="19">
        <v>35399.224293343934</v>
      </c>
      <c r="H400" s="20">
        <v>0.21281900441038393</v>
      </c>
      <c r="I400" s="20">
        <v>-7.5290918365697457E-2</v>
      </c>
      <c r="J400" s="20">
        <v>-1.626135659845096E-2</v>
      </c>
    </row>
    <row r="401" spans="1:10" ht="11.25" customHeight="1" x14ac:dyDescent="0.2">
      <c r="A401" s="29">
        <v>44593</v>
      </c>
      <c r="B401" s="19">
        <v>0</v>
      </c>
      <c r="C401" s="19">
        <v>0</v>
      </c>
      <c r="D401" s="19">
        <v>9364.9394979999997</v>
      </c>
      <c r="E401" s="19">
        <v>11357.976598327843</v>
      </c>
      <c r="F401" s="19">
        <v>36343.209348000004</v>
      </c>
      <c r="G401" s="19">
        <v>33606.895739832289</v>
      </c>
      <c r="H401" s="20">
        <v>0.21281900441038415</v>
      </c>
      <c r="I401" s="20">
        <v>-7.5290918365697235E-2</v>
      </c>
      <c r="J401" s="20">
        <v>-1.6261356598450849E-2</v>
      </c>
    </row>
    <row r="402" spans="1:10" ht="11.25" customHeight="1" x14ac:dyDescent="0.2">
      <c r="A402" s="29">
        <v>44621</v>
      </c>
      <c r="B402" s="19">
        <v>0</v>
      </c>
      <c r="C402" s="19">
        <v>0</v>
      </c>
      <c r="D402" s="19">
        <v>8900.4511029999994</v>
      </c>
      <c r="E402" s="19">
        <v>10794.636245543765</v>
      </c>
      <c r="F402" s="19">
        <v>34540.635077999999</v>
      </c>
      <c r="G402" s="19">
        <v>31940.03894204296</v>
      </c>
      <c r="H402" s="20">
        <v>0.21281900441038415</v>
      </c>
      <c r="I402" s="20">
        <v>-7.5290918365697346E-2</v>
      </c>
      <c r="J402" s="20">
        <v>-1.6261356598450738E-2</v>
      </c>
    </row>
    <row r="403" spans="1:10" ht="11.25" customHeight="1" x14ac:dyDescent="0.2">
      <c r="A403" s="29">
        <v>44652</v>
      </c>
      <c r="B403" s="19">
        <v>0</v>
      </c>
      <c r="C403" s="19">
        <v>0</v>
      </c>
      <c r="D403" s="19">
        <v>8065.3042850000002</v>
      </c>
      <c r="E403" s="19">
        <v>9781.7543132005048</v>
      </c>
      <c r="F403" s="19">
        <v>31299.619409999999</v>
      </c>
      <c r="G403" s="19">
        <v>28943.042320124296</v>
      </c>
      <c r="H403" s="20">
        <v>0.21281900441038415</v>
      </c>
      <c r="I403" s="20">
        <v>-7.5290918365697235E-2</v>
      </c>
      <c r="J403" s="20">
        <v>-1.6261356598450627E-2</v>
      </c>
    </row>
    <row r="404" spans="1:10" ht="11.25" customHeight="1" x14ac:dyDescent="0.2">
      <c r="A404" s="29">
        <v>44682</v>
      </c>
      <c r="B404" s="19">
        <v>0</v>
      </c>
      <c r="C404" s="19">
        <v>0</v>
      </c>
      <c r="D404" s="19">
        <v>5027.2304489999997</v>
      </c>
      <c r="E404" s="19">
        <v>6097.1206280977485</v>
      </c>
      <c r="F404" s="19">
        <v>19509.542874000002</v>
      </c>
      <c r="G404" s="19">
        <v>18040.651474121594</v>
      </c>
      <c r="H404" s="20">
        <v>0.21281900441038415</v>
      </c>
      <c r="I404" s="20">
        <v>-7.5290918365697457E-2</v>
      </c>
      <c r="J404" s="20">
        <v>-1.6261356598450849E-2</v>
      </c>
    </row>
    <row r="405" spans="1:10" ht="11.25" customHeight="1" x14ac:dyDescent="0.2">
      <c r="A405" s="29">
        <v>44713</v>
      </c>
      <c r="B405" s="19">
        <v>0</v>
      </c>
      <c r="C405" s="19">
        <v>0</v>
      </c>
      <c r="D405" s="19">
        <v>3174.9331970000003</v>
      </c>
      <c r="E405" s="19">
        <v>3850.619319055018</v>
      </c>
      <c r="F405" s="19">
        <v>12321.196722000001</v>
      </c>
      <c r="G405" s="19">
        <v>11393.522505436202</v>
      </c>
      <c r="H405" s="20">
        <v>0.21281900441038393</v>
      </c>
      <c r="I405" s="20">
        <v>-7.5290918365697235E-2</v>
      </c>
      <c r="J405" s="20">
        <v>-1.6261356598450738E-2</v>
      </c>
    </row>
    <row r="406" spans="1:10" ht="11.25" customHeight="1" x14ac:dyDescent="0.2">
      <c r="A406" s="29">
        <v>44743</v>
      </c>
      <c r="B406" s="19">
        <v>0</v>
      </c>
      <c r="C406" s="19">
        <v>0</v>
      </c>
      <c r="D406" s="19">
        <v>3174.9331970000003</v>
      </c>
      <c r="E406" s="19">
        <v>3850.619319055018</v>
      </c>
      <c r="F406" s="19">
        <v>12321.196722000001</v>
      </c>
      <c r="G406" s="19">
        <v>11393.522505436202</v>
      </c>
      <c r="H406" s="20">
        <v>0.21281900441038393</v>
      </c>
      <c r="I406" s="20">
        <v>-7.5290918365697235E-2</v>
      </c>
      <c r="J406" s="20">
        <v>-1.6261356598450738E-2</v>
      </c>
    </row>
    <row r="407" spans="1:10" ht="11.25" customHeight="1" x14ac:dyDescent="0.2">
      <c r="A407" s="26" t="s">
        <v>25</v>
      </c>
      <c r="B407" s="19">
        <v>4298133.4271999998</v>
      </c>
      <c r="C407" s="19">
        <v>4736103.2705271635</v>
      </c>
      <c r="D407" s="19">
        <v>2494393.2293567997</v>
      </c>
      <c r="E407" s="19">
        <v>2893272.4893861399</v>
      </c>
      <c r="F407" s="19">
        <v>5258395.8663551966</v>
      </c>
      <c r="G407" s="19">
        <v>4847627.052489832</v>
      </c>
      <c r="H407" s="20">
        <v>0.12320144559884727</v>
      </c>
      <c r="I407" s="20">
        <v>-7.8116753531925487E-2</v>
      </c>
      <c r="J407" s="20">
        <v>3.535665329198201E-2</v>
      </c>
    </row>
    <row r="408" spans="1:10" ht="11.25" customHeight="1" x14ac:dyDescent="0.2">
      <c r="A408" s="27" t="s">
        <v>25</v>
      </c>
      <c r="B408" s="19">
        <v>4298133.4271999998</v>
      </c>
      <c r="C408" s="19">
        <v>4736103.2705271635</v>
      </c>
      <c r="D408" s="19">
        <v>2494393.2293567997</v>
      </c>
      <c r="E408" s="19">
        <v>2893272.4893861399</v>
      </c>
      <c r="F408" s="19">
        <v>5258395.8663551966</v>
      </c>
      <c r="G408" s="19">
        <v>4847627.052489832</v>
      </c>
      <c r="H408" s="20">
        <v>0.12320144559884727</v>
      </c>
      <c r="I408" s="20">
        <v>-7.8116753531925487E-2</v>
      </c>
      <c r="J408" s="20">
        <v>3.535665329198201E-2</v>
      </c>
    </row>
    <row r="409" spans="1:10" ht="11.25" customHeight="1" x14ac:dyDescent="0.2">
      <c r="A409" s="28" t="s">
        <v>35</v>
      </c>
      <c r="B409" s="19">
        <v>0</v>
      </c>
      <c r="C409" s="19">
        <v>0</v>
      </c>
      <c r="D409" s="19">
        <v>1259898.5877696003</v>
      </c>
      <c r="E409" s="19">
        <v>1528028.9508767752</v>
      </c>
      <c r="F409" s="19">
        <v>4889381.0944895996</v>
      </c>
      <c r="G409" s="19">
        <v>4521255.1016456001</v>
      </c>
      <c r="H409" s="20">
        <v>0.21281900441038393</v>
      </c>
      <c r="I409" s="20">
        <v>-7.529091836569668E-2</v>
      </c>
      <c r="J409" s="20">
        <v>-1.6261356598450183E-2</v>
      </c>
    </row>
    <row r="410" spans="1:10" ht="11.25" customHeight="1" x14ac:dyDescent="0.2">
      <c r="A410" s="29">
        <v>44409</v>
      </c>
      <c r="B410" s="19">
        <v>0</v>
      </c>
      <c r="C410" s="19">
        <v>0</v>
      </c>
      <c r="D410" s="19">
        <v>76951.669449599998</v>
      </c>
      <c r="E410" s="19">
        <v>93328.447129580847</v>
      </c>
      <c r="F410" s="19">
        <v>298632.00216959993</v>
      </c>
      <c r="G410" s="19">
        <v>276147.72447286389</v>
      </c>
      <c r="H410" s="20">
        <v>0.21281900441038415</v>
      </c>
      <c r="I410" s="20">
        <v>-7.5290918365697124E-2</v>
      </c>
      <c r="J410" s="20">
        <v>-1.6261356598450627E-2</v>
      </c>
    </row>
    <row r="411" spans="1:10" ht="11.25" customHeight="1" x14ac:dyDescent="0.2">
      <c r="A411" s="29">
        <v>44440</v>
      </c>
      <c r="B411" s="19">
        <v>0</v>
      </c>
      <c r="C411" s="19">
        <v>0</v>
      </c>
      <c r="D411" s="19">
        <v>104190.8832384</v>
      </c>
      <c r="E411" s="19">
        <v>126364.68327783486</v>
      </c>
      <c r="F411" s="19">
        <v>404341.22211839998</v>
      </c>
      <c r="G411" s="19">
        <v>373898.00017199729</v>
      </c>
      <c r="H411" s="20">
        <v>0.21281900441038415</v>
      </c>
      <c r="I411" s="20">
        <v>-7.5290918365697235E-2</v>
      </c>
      <c r="J411" s="20">
        <v>-1.6261356598450738E-2</v>
      </c>
    </row>
    <row r="412" spans="1:10" ht="11.25" customHeight="1" x14ac:dyDescent="0.2">
      <c r="A412" s="29">
        <v>44470</v>
      </c>
      <c r="B412" s="19">
        <v>0</v>
      </c>
      <c r="C412" s="19">
        <v>0</v>
      </c>
      <c r="D412" s="19">
        <v>129929.31803519999</v>
      </c>
      <c r="E412" s="19">
        <v>157580.74614317142</v>
      </c>
      <c r="F412" s="19">
        <v>504226.25867519999</v>
      </c>
      <c r="G412" s="19">
        <v>466262.60059544456</v>
      </c>
      <c r="H412" s="20">
        <v>0.21281900441038415</v>
      </c>
      <c r="I412" s="20">
        <v>-7.5290918365697235E-2</v>
      </c>
      <c r="J412" s="20">
        <v>-1.6261356598450627E-2</v>
      </c>
    </row>
    <row r="413" spans="1:10" ht="11.25" customHeight="1" x14ac:dyDescent="0.2">
      <c r="A413" s="29">
        <v>44501</v>
      </c>
      <c r="B413" s="19">
        <v>0</v>
      </c>
      <c r="C413" s="19">
        <v>0</v>
      </c>
      <c r="D413" s="19">
        <v>164508.32319359996</v>
      </c>
      <c r="E413" s="19">
        <v>199518.82075288368</v>
      </c>
      <c r="F413" s="19">
        <v>638419.54671360005</v>
      </c>
      <c r="G413" s="19">
        <v>590352.35273892083</v>
      </c>
      <c r="H413" s="20">
        <v>0.21281900441038459</v>
      </c>
      <c r="I413" s="20">
        <v>-7.5290918365697457E-2</v>
      </c>
      <c r="J413" s="20">
        <v>-1.6261356598450738E-2</v>
      </c>
    </row>
    <row r="414" spans="1:10" ht="11.25" customHeight="1" x14ac:dyDescent="0.2">
      <c r="A414" s="29">
        <v>44531</v>
      </c>
      <c r="B414" s="19">
        <v>0</v>
      </c>
      <c r="C414" s="19">
        <v>0</v>
      </c>
      <c r="D414" s="19">
        <v>180786.77466240001</v>
      </c>
      <c r="E414" s="19">
        <v>219261.63605661641</v>
      </c>
      <c r="F414" s="19">
        <v>701592.53034239984</v>
      </c>
      <c r="G414" s="19">
        <v>648768.98441440728</v>
      </c>
      <c r="H414" s="20">
        <v>0.21281900441038393</v>
      </c>
      <c r="I414" s="20">
        <v>-7.5290918365697235E-2</v>
      </c>
      <c r="J414" s="20">
        <v>-1.6261356598450738E-2</v>
      </c>
    </row>
    <row r="415" spans="1:10" ht="11.25" customHeight="1" x14ac:dyDescent="0.2">
      <c r="A415" s="29">
        <v>44562</v>
      </c>
      <c r="B415" s="19">
        <v>0</v>
      </c>
      <c r="C415" s="19">
        <v>0</v>
      </c>
      <c r="D415" s="19">
        <v>119792.61763199999</v>
      </c>
      <c r="E415" s="19">
        <v>145286.76325215609</v>
      </c>
      <c r="F415" s="19">
        <v>464888.02003199997</v>
      </c>
      <c r="G415" s="19">
        <v>429886.17406658002</v>
      </c>
      <c r="H415" s="20">
        <v>0.21281900441038437</v>
      </c>
      <c r="I415" s="20">
        <v>-7.5290918365697235E-2</v>
      </c>
      <c r="J415" s="20">
        <v>-1.6261356598450627E-2</v>
      </c>
    </row>
    <row r="416" spans="1:10" ht="11.25" customHeight="1" x14ac:dyDescent="0.2">
      <c r="A416" s="29">
        <v>44593</v>
      </c>
      <c r="B416" s="19">
        <v>0</v>
      </c>
      <c r="C416" s="19">
        <v>0</v>
      </c>
      <c r="D416" s="19">
        <v>116434.0202112</v>
      </c>
      <c r="E416" s="19">
        <v>141213.39247204614</v>
      </c>
      <c r="F416" s="19">
        <v>451854.0640512</v>
      </c>
      <c r="G416" s="19">
        <v>417833.55660151254</v>
      </c>
      <c r="H416" s="20">
        <v>0.21281900441038415</v>
      </c>
      <c r="I416" s="20">
        <v>-7.5290918365697346E-2</v>
      </c>
      <c r="J416" s="20">
        <v>-1.6261356598450627E-2</v>
      </c>
    </row>
    <row r="417" spans="1:10" ht="11.25" customHeight="1" x14ac:dyDescent="0.2">
      <c r="A417" s="29">
        <v>44621</v>
      </c>
      <c r="B417" s="19">
        <v>0</v>
      </c>
      <c r="C417" s="19">
        <v>0</v>
      </c>
      <c r="D417" s="19">
        <v>117974.44355519999</v>
      </c>
      <c r="E417" s="19">
        <v>143081.64717848672</v>
      </c>
      <c r="F417" s="19">
        <v>457832.09819519997</v>
      </c>
      <c r="G417" s="19">
        <v>423361.49906478927</v>
      </c>
      <c r="H417" s="20">
        <v>0.21281900441038415</v>
      </c>
      <c r="I417" s="20">
        <v>-7.5290918365697235E-2</v>
      </c>
      <c r="J417" s="20">
        <v>-1.6261356598450849E-2</v>
      </c>
    </row>
    <row r="418" spans="1:10" ht="11.25" customHeight="1" x14ac:dyDescent="0.2">
      <c r="A418" s="29">
        <v>44652</v>
      </c>
      <c r="B418" s="19">
        <v>0</v>
      </c>
      <c r="C418" s="19">
        <v>0</v>
      </c>
      <c r="D418" s="19">
        <v>101634.18293760001</v>
      </c>
      <c r="E418" s="19">
        <v>123263.86856444288</v>
      </c>
      <c r="F418" s="19">
        <v>394419.24725759996</v>
      </c>
      <c r="G418" s="19">
        <v>364723.05991046829</v>
      </c>
      <c r="H418" s="20">
        <v>0.21281900441038393</v>
      </c>
      <c r="I418" s="20">
        <v>-7.5290918365697124E-2</v>
      </c>
      <c r="J418" s="20">
        <v>-1.6261356598450738E-2</v>
      </c>
    </row>
    <row r="419" spans="1:10" ht="11.25" customHeight="1" x14ac:dyDescent="0.2">
      <c r="A419" s="29">
        <v>44682</v>
      </c>
      <c r="B419" s="19">
        <v>0</v>
      </c>
      <c r="C419" s="19">
        <v>0</v>
      </c>
      <c r="D419" s="19">
        <v>61420.514015999994</v>
      </c>
      <c r="E419" s="19">
        <v>74491.966659259153</v>
      </c>
      <c r="F419" s="19">
        <v>238359.105216</v>
      </c>
      <c r="G419" s="19">
        <v>220412.82928346147</v>
      </c>
      <c r="H419" s="20">
        <v>0.21281900441038415</v>
      </c>
      <c r="I419" s="20">
        <v>-7.5290918365697346E-2</v>
      </c>
      <c r="J419" s="20">
        <v>-1.6261356598450849E-2</v>
      </c>
    </row>
    <row r="420" spans="1:10" ht="11.25" customHeight="1" x14ac:dyDescent="0.2">
      <c r="A420" s="29">
        <v>44713</v>
      </c>
      <c r="B420" s="19">
        <v>0</v>
      </c>
      <c r="C420" s="19">
        <v>0</v>
      </c>
      <c r="D420" s="19">
        <v>43137.920419200003</v>
      </c>
      <c r="E420" s="19">
        <v>52318.489695148521</v>
      </c>
      <c r="F420" s="19">
        <v>167408.4998592</v>
      </c>
      <c r="G420" s="19">
        <v>154804.16016257714</v>
      </c>
      <c r="H420" s="20">
        <v>0.21281900441038393</v>
      </c>
      <c r="I420" s="20">
        <v>-7.5290918365697235E-2</v>
      </c>
      <c r="J420" s="20">
        <v>-1.6261356598450738E-2</v>
      </c>
    </row>
    <row r="421" spans="1:10" ht="11.25" customHeight="1" x14ac:dyDescent="0.2">
      <c r="A421" s="29">
        <v>44743</v>
      </c>
      <c r="B421" s="19">
        <v>0</v>
      </c>
      <c r="C421" s="19">
        <v>0</v>
      </c>
      <c r="D421" s="19">
        <v>43137.920419200003</v>
      </c>
      <c r="E421" s="19">
        <v>52318.489695148521</v>
      </c>
      <c r="F421" s="19">
        <v>167408.4998592</v>
      </c>
      <c r="G421" s="19">
        <v>154804.16016257714</v>
      </c>
      <c r="H421" s="20">
        <v>0.21281900441038393</v>
      </c>
      <c r="I421" s="20">
        <v>-7.5290918365697235E-2</v>
      </c>
      <c r="J421" s="20">
        <v>-1.6261356598450738E-2</v>
      </c>
    </row>
    <row r="422" spans="1:10" ht="11.25" customHeight="1" x14ac:dyDescent="0.2">
      <c r="A422" s="28" t="s">
        <v>25</v>
      </c>
      <c r="B422" s="19">
        <v>4298133.4271999998</v>
      </c>
      <c r="C422" s="19">
        <v>4736103.2705271635</v>
      </c>
      <c r="D422" s="19">
        <v>0</v>
      </c>
      <c r="E422" s="19">
        <v>0</v>
      </c>
      <c r="F422" s="19">
        <v>0</v>
      </c>
      <c r="G422" s="19">
        <v>0</v>
      </c>
      <c r="H422" s="20">
        <v>0.10189768436585678</v>
      </c>
      <c r="I422" s="20">
        <v>0</v>
      </c>
      <c r="J422" s="20">
        <v>0.10189768436585678</v>
      </c>
    </row>
    <row r="423" spans="1:10" ht="11.25" customHeight="1" x14ac:dyDescent="0.2">
      <c r="A423" s="29">
        <v>44409</v>
      </c>
      <c r="B423" s="19">
        <v>329969.26079999999</v>
      </c>
      <c r="C423" s="19">
        <v>363592.36438743339</v>
      </c>
      <c r="D423" s="19">
        <v>0</v>
      </c>
      <c r="E423" s="19">
        <v>0</v>
      </c>
      <c r="F423" s="19">
        <v>0</v>
      </c>
      <c r="G423" s="19">
        <v>0</v>
      </c>
      <c r="H423" s="20">
        <v>0.10189768436585656</v>
      </c>
      <c r="I423" s="20">
        <v>0</v>
      </c>
      <c r="J423" s="20">
        <v>0.10189768436585656</v>
      </c>
    </row>
    <row r="424" spans="1:10" ht="11.25" customHeight="1" x14ac:dyDescent="0.2">
      <c r="A424" s="29">
        <v>44440</v>
      </c>
      <c r="B424" s="19">
        <v>318163.96799999999</v>
      </c>
      <c r="C424" s="19">
        <v>350584.13958785252</v>
      </c>
      <c r="D424" s="19">
        <v>0</v>
      </c>
      <c r="E424" s="19">
        <v>0</v>
      </c>
      <c r="F424" s="19">
        <v>0</v>
      </c>
      <c r="G424" s="19">
        <v>0</v>
      </c>
      <c r="H424" s="20">
        <v>0.10189768436585678</v>
      </c>
      <c r="I424" s="20">
        <v>0</v>
      </c>
      <c r="J424" s="20">
        <v>0.10189768436585678</v>
      </c>
    </row>
    <row r="425" spans="1:10" ht="11.25" customHeight="1" x14ac:dyDescent="0.2">
      <c r="A425" s="29">
        <v>44470</v>
      </c>
      <c r="B425" s="19">
        <v>416407.16159999999</v>
      </c>
      <c r="C425" s="19">
        <v>458838.08712039911</v>
      </c>
      <c r="D425" s="19">
        <v>0</v>
      </c>
      <c r="E425" s="19">
        <v>0</v>
      </c>
      <c r="F425" s="19">
        <v>0</v>
      </c>
      <c r="G425" s="19">
        <v>0</v>
      </c>
      <c r="H425" s="20">
        <v>0.10189768436585678</v>
      </c>
      <c r="I425" s="20">
        <v>0</v>
      </c>
      <c r="J425" s="20">
        <v>0.10189768436585678</v>
      </c>
    </row>
    <row r="426" spans="1:10" ht="11.25" customHeight="1" x14ac:dyDescent="0.2">
      <c r="A426" s="29">
        <v>44501</v>
      </c>
      <c r="B426" s="19">
        <v>414771.03359999997</v>
      </c>
      <c r="C426" s="19">
        <v>457035.24146587297</v>
      </c>
      <c r="D426" s="19">
        <v>0</v>
      </c>
      <c r="E426" s="19">
        <v>0</v>
      </c>
      <c r="F426" s="19">
        <v>0</v>
      </c>
      <c r="G426" s="19">
        <v>0</v>
      </c>
      <c r="H426" s="20">
        <v>0.10189768436585678</v>
      </c>
      <c r="I426" s="20">
        <v>0</v>
      </c>
      <c r="J426" s="20">
        <v>0.10189768436585678</v>
      </c>
    </row>
    <row r="427" spans="1:10" ht="11.25" customHeight="1" x14ac:dyDescent="0.2">
      <c r="A427" s="29">
        <v>44531</v>
      </c>
      <c r="B427" s="19">
        <v>459223.37280000001</v>
      </c>
      <c r="C427" s="19">
        <v>506017.17109499854</v>
      </c>
      <c r="D427" s="19">
        <v>0</v>
      </c>
      <c r="E427" s="19">
        <v>0</v>
      </c>
      <c r="F427" s="19">
        <v>0</v>
      </c>
      <c r="G427" s="19">
        <v>0</v>
      </c>
      <c r="H427" s="20">
        <v>0.10189768436585678</v>
      </c>
      <c r="I427" s="20">
        <v>0</v>
      </c>
      <c r="J427" s="20">
        <v>0.10189768436585678</v>
      </c>
    </row>
    <row r="428" spans="1:10" ht="11.25" customHeight="1" x14ac:dyDescent="0.2">
      <c r="A428" s="29">
        <v>44562</v>
      </c>
      <c r="B428" s="19">
        <v>455800.08959999995</v>
      </c>
      <c r="C428" s="19">
        <v>502245.06326399004</v>
      </c>
      <c r="D428" s="19">
        <v>0</v>
      </c>
      <c r="E428" s="19">
        <v>0</v>
      </c>
      <c r="F428" s="19">
        <v>0</v>
      </c>
      <c r="G428" s="19">
        <v>0</v>
      </c>
      <c r="H428" s="20">
        <v>0.101897684365857</v>
      </c>
      <c r="I428" s="20">
        <v>0</v>
      </c>
      <c r="J428" s="20">
        <v>0.101897684365857</v>
      </c>
    </row>
    <row r="429" spans="1:10" ht="11.25" customHeight="1" x14ac:dyDescent="0.2">
      <c r="A429" s="29">
        <v>44593</v>
      </c>
      <c r="B429" s="19">
        <v>417841.92000000004</v>
      </c>
      <c r="C429" s="19">
        <v>460419.0440789836</v>
      </c>
      <c r="D429" s="19">
        <v>0</v>
      </c>
      <c r="E429" s="19">
        <v>0</v>
      </c>
      <c r="F429" s="19">
        <v>0</v>
      </c>
      <c r="G429" s="19">
        <v>0</v>
      </c>
      <c r="H429" s="20">
        <v>0.10189768436585678</v>
      </c>
      <c r="I429" s="20">
        <v>0</v>
      </c>
      <c r="J429" s="20">
        <v>0.10189768436585678</v>
      </c>
    </row>
    <row r="430" spans="1:10" ht="11.25" customHeight="1" x14ac:dyDescent="0.2">
      <c r="A430" s="29">
        <v>44621</v>
      </c>
      <c r="B430" s="19">
        <v>394810.272</v>
      </c>
      <c r="C430" s="19">
        <v>435040.52448065404</v>
      </c>
      <c r="D430" s="19">
        <v>0</v>
      </c>
      <c r="E430" s="19">
        <v>0</v>
      </c>
      <c r="F430" s="19">
        <v>0</v>
      </c>
      <c r="G430" s="19">
        <v>0</v>
      </c>
      <c r="H430" s="20">
        <v>0.10189768436585678</v>
      </c>
      <c r="I430" s="20">
        <v>0</v>
      </c>
      <c r="J430" s="20">
        <v>0.10189768436585678</v>
      </c>
    </row>
    <row r="431" spans="1:10" ht="11.25" customHeight="1" x14ac:dyDescent="0.2">
      <c r="A431" s="29">
        <v>44652</v>
      </c>
      <c r="B431" s="19">
        <v>371048.65919999999</v>
      </c>
      <c r="C431" s="19">
        <v>408857.65835953591</v>
      </c>
      <c r="D431" s="19">
        <v>0</v>
      </c>
      <c r="E431" s="19">
        <v>0</v>
      </c>
      <c r="F431" s="19">
        <v>0</v>
      </c>
      <c r="G431" s="19">
        <v>0</v>
      </c>
      <c r="H431" s="20">
        <v>0.10189768436585656</v>
      </c>
      <c r="I431" s="20">
        <v>0</v>
      </c>
      <c r="J431" s="20">
        <v>0.10189768436585656</v>
      </c>
    </row>
    <row r="432" spans="1:10" ht="11.25" customHeight="1" x14ac:dyDescent="0.2">
      <c r="A432" s="29">
        <v>44682</v>
      </c>
      <c r="B432" s="19">
        <v>272402.72639999999</v>
      </c>
      <c r="C432" s="19">
        <v>300159.93343510601</v>
      </c>
      <c r="D432" s="19">
        <v>0</v>
      </c>
      <c r="E432" s="19">
        <v>0</v>
      </c>
      <c r="F432" s="19">
        <v>0</v>
      </c>
      <c r="G432" s="19">
        <v>0</v>
      </c>
      <c r="H432" s="20">
        <v>0.10189768436585678</v>
      </c>
      <c r="I432" s="20">
        <v>0</v>
      </c>
      <c r="J432" s="20">
        <v>0.10189768436585678</v>
      </c>
    </row>
    <row r="433" spans="1:10" ht="11.25" customHeight="1" x14ac:dyDescent="0.2">
      <c r="A433" s="29">
        <v>44713</v>
      </c>
      <c r="B433" s="19">
        <v>223847.48160000003</v>
      </c>
      <c r="C433" s="19">
        <v>246657.02162616875</v>
      </c>
      <c r="D433" s="19">
        <v>0</v>
      </c>
      <c r="E433" s="19">
        <v>0</v>
      </c>
      <c r="F433" s="19">
        <v>0</v>
      </c>
      <c r="G433" s="19">
        <v>0</v>
      </c>
      <c r="H433" s="20">
        <v>0.10189768436585678</v>
      </c>
      <c r="I433" s="20">
        <v>0</v>
      </c>
      <c r="J433" s="20">
        <v>0.10189768436585678</v>
      </c>
    </row>
    <row r="434" spans="1:10" ht="11.25" customHeight="1" x14ac:dyDescent="0.2">
      <c r="A434" s="29">
        <v>44743</v>
      </c>
      <c r="B434" s="19">
        <v>223847.48160000003</v>
      </c>
      <c r="C434" s="19">
        <v>246657.02162616875</v>
      </c>
      <c r="D434" s="19">
        <v>0</v>
      </c>
      <c r="E434" s="19">
        <v>0</v>
      </c>
      <c r="F434" s="19">
        <v>0</v>
      </c>
      <c r="G434" s="19">
        <v>0</v>
      </c>
      <c r="H434" s="20">
        <v>0.10189768436585678</v>
      </c>
      <c r="I434" s="20">
        <v>0</v>
      </c>
      <c r="J434" s="20">
        <v>0.10189768436585678</v>
      </c>
    </row>
    <row r="435" spans="1:10" ht="11.25" customHeight="1" x14ac:dyDescent="0.2">
      <c r="A435" s="28" t="s">
        <v>34</v>
      </c>
      <c r="B435" s="19">
        <v>0</v>
      </c>
      <c r="C435" s="19">
        <v>0</v>
      </c>
      <c r="D435" s="19">
        <v>1234494.6415872001</v>
      </c>
      <c r="E435" s="19">
        <v>1365243.5385093652</v>
      </c>
      <c r="F435" s="19">
        <v>369014.77186560002</v>
      </c>
      <c r="G435" s="19">
        <v>326371.95084423135</v>
      </c>
      <c r="H435" s="20">
        <v>0.10591289141122617</v>
      </c>
      <c r="I435" s="20">
        <v>-0.11555857454102081</v>
      </c>
      <c r="J435" s="20">
        <v>5.4945780275202916E-2</v>
      </c>
    </row>
    <row r="436" spans="1:10" ht="11.25" customHeight="1" x14ac:dyDescent="0.2">
      <c r="A436" s="29">
        <v>44409</v>
      </c>
      <c r="B436" s="19">
        <v>0</v>
      </c>
      <c r="C436" s="19">
        <v>0</v>
      </c>
      <c r="D436" s="19">
        <v>60816.286799999994</v>
      </c>
      <c r="E436" s="19">
        <v>67257.51557988234</v>
      </c>
      <c r="F436" s="19">
        <v>18179.186399999999</v>
      </c>
      <c r="G436" s="19">
        <v>16078.425533300488</v>
      </c>
      <c r="H436" s="20">
        <v>0.10591289141122551</v>
      </c>
      <c r="I436" s="20">
        <v>-0.11555857454102081</v>
      </c>
      <c r="J436" s="20">
        <v>5.4945780275202249E-2</v>
      </c>
    </row>
    <row r="437" spans="1:10" ht="11.25" customHeight="1" x14ac:dyDescent="0.2">
      <c r="A437" s="29">
        <v>44440</v>
      </c>
      <c r="B437" s="19">
        <v>0</v>
      </c>
      <c r="C437" s="19">
        <v>0</v>
      </c>
      <c r="D437" s="19">
        <v>68314.727452800013</v>
      </c>
      <c r="E437" s="19">
        <v>75550.13776329589</v>
      </c>
      <c r="F437" s="19">
        <v>20420.618054400002</v>
      </c>
      <c r="G437" s="19">
        <v>18060.840540786903</v>
      </c>
      <c r="H437" s="20">
        <v>0.10591289141122551</v>
      </c>
      <c r="I437" s="20">
        <v>-0.11555857454102081</v>
      </c>
      <c r="J437" s="20">
        <v>5.4945780275202249E-2</v>
      </c>
    </row>
    <row r="438" spans="1:10" ht="11.25" customHeight="1" x14ac:dyDescent="0.2">
      <c r="A438" s="29">
        <v>44470</v>
      </c>
      <c r="B438" s="19">
        <v>0</v>
      </c>
      <c r="C438" s="19">
        <v>0</v>
      </c>
      <c r="D438" s="19">
        <v>105842.686224</v>
      </c>
      <c r="E438" s="19">
        <v>117052.79115671493</v>
      </c>
      <c r="F438" s="19">
        <v>31638.464351999995</v>
      </c>
      <c r="G438" s="19">
        <v>27982.368510815973</v>
      </c>
      <c r="H438" s="20">
        <v>0.10591289141122551</v>
      </c>
      <c r="I438" s="20">
        <v>-0.11555857454102081</v>
      </c>
      <c r="J438" s="20">
        <v>5.4945780275202472E-2</v>
      </c>
    </row>
    <row r="439" spans="1:10" ht="11.25" customHeight="1" x14ac:dyDescent="0.2">
      <c r="A439" s="29">
        <v>44501</v>
      </c>
      <c r="B439" s="19">
        <v>0</v>
      </c>
      <c r="C439" s="19">
        <v>0</v>
      </c>
      <c r="D439" s="19">
        <v>147912.871392</v>
      </c>
      <c r="E439" s="19">
        <v>163578.75127806346</v>
      </c>
      <c r="F439" s="19">
        <v>44214.071616000001</v>
      </c>
      <c r="G439" s="19">
        <v>39104.756525400422</v>
      </c>
      <c r="H439" s="20">
        <v>0.10591289141122551</v>
      </c>
      <c r="I439" s="20">
        <v>-0.11555857454102103</v>
      </c>
      <c r="J439" s="20">
        <v>5.4945780275202249E-2</v>
      </c>
    </row>
    <row r="440" spans="1:10" ht="11.25" customHeight="1" x14ac:dyDescent="0.2">
      <c r="A440" s="29">
        <v>44531</v>
      </c>
      <c r="B440" s="19">
        <v>0</v>
      </c>
      <c r="C440" s="19">
        <v>0</v>
      </c>
      <c r="D440" s="19">
        <v>185231.40504960003</v>
      </c>
      <c r="E440" s="19">
        <v>204849.79873856707</v>
      </c>
      <c r="F440" s="19">
        <v>55369.316620800004</v>
      </c>
      <c r="G440" s="19">
        <v>48970.9173187899</v>
      </c>
      <c r="H440" s="20">
        <v>0.10591289141122573</v>
      </c>
      <c r="I440" s="20">
        <v>-0.11555857454102092</v>
      </c>
      <c r="J440" s="20">
        <v>5.4945780275202472E-2</v>
      </c>
    </row>
    <row r="441" spans="1:10" ht="11.25" customHeight="1" x14ac:dyDescent="0.2">
      <c r="A441" s="29">
        <v>44562</v>
      </c>
      <c r="B441" s="19">
        <v>0</v>
      </c>
      <c r="C441" s="19">
        <v>0</v>
      </c>
      <c r="D441" s="19">
        <v>151862.57795520002</v>
      </c>
      <c r="E441" s="19">
        <v>167946.78268359788</v>
      </c>
      <c r="F441" s="19">
        <v>45394.716729600004</v>
      </c>
      <c r="G441" s="19">
        <v>40148.967972633996</v>
      </c>
      <c r="H441" s="20">
        <v>0.10591289141122551</v>
      </c>
      <c r="I441" s="20">
        <v>-0.11555857454102081</v>
      </c>
      <c r="J441" s="20">
        <v>5.4945780275202249E-2</v>
      </c>
    </row>
    <row r="442" spans="1:10" ht="11.25" customHeight="1" x14ac:dyDescent="0.2">
      <c r="A442" s="29">
        <v>44593</v>
      </c>
      <c r="B442" s="19">
        <v>0</v>
      </c>
      <c r="C442" s="19">
        <v>0</v>
      </c>
      <c r="D442" s="19">
        <v>124324.45249920001</v>
      </c>
      <c r="E442" s="19">
        <v>137492.01473650787</v>
      </c>
      <c r="F442" s="19">
        <v>37163.028441599999</v>
      </c>
      <c r="G442" s="19">
        <v>32868.521849261291</v>
      </c>
      <c r="H442" s="20">
        <v>0.10591289141122573</v>
      </c>
      <c r="I442" s="20">
        <v>-0.11555857454102081</v>
      </c>
      <c r="J442" s="20">
        <v>5.4945780275202472E-2</v>
      </c>
    </row>
    <row r="443" spans="1:10" ht="11.25" customHeight="1" x14ac:dyDescent="0.2">
      <c r="A443" s="29">
        <v>44621</v>
      </c>
      <c r="B443" s="19">
        <v>0</v>
      </c>
      <c r="C443" s="19">
        <v>0</v>
      </c>
      <c r="D443" s="19">
        <v>116266.69355520001</v>
      </c>
      <c r="E443" s="19">
        <v>128580.83524445415</v>
      </c>
      <c r="F443" s="19">
        <v>34754.405529600001</v>
      </c>
      <c r="G443" s="19">
        <v>30738.23596757885</v>
      </c>
      <c r="H443" s="20">
        <v>0.10591289141122573</v>
      </c>
      <c r="I443" s="20">
        <v>-0.11555857454102092</v>
      </c>
      <c r="J443" s="20">
        <v>5.4945780275202694E-2</v>
      </c>
    </row>
    <row r="444" spans="1:10" ht="11.25" customHeight="1" x14ac:dyDescent="0.2">
      <c r="A444" s="29">
        <v>44652</v>
      </c>
      <c r="B444" s="19">
        <v>0</v>
      </c>
      <c r="C444" s="19">
        <v>0</v>
      </c>
      <c r="D444" s="19">
        <v>108747.82118399999</v>
      </c>
      <c r="E444" s="19">
        <v>120265.61736026837</v>
      </c>
      <c r="F444" s="19">
        <v>32506.866431999995</v>
      </c>
      <c r="G444" s="19">
        <v>28750.419284322717</v>
      </c>
      <c r="H444" s="20">
        <v>0.10591289141122573</v>
      </c>
      <c r="I444" s="20">
        <v>-0.11555857454102081</v>
      </c>
      <c r="J444" s="20">
        <v>5.4945780275202472E-2</v>
      </c>
    </row>
    <row r="445" spans="1:10" ht="11.25" customHeight="1" x14ac:dyDescent="0.2">
      <c r="A445" s="29">
        <v>44682</v>
      </c>
      <c r="B445" s="19">
        <v>0</v>
      </c>
      <c r="C445" s="19">
        <v>0</v>
      </c>
      <c r="D445" s="19">
        <v>57660.863289599998</v>
      </c>
      <c r="E445" s="19">
        <v>63767.89204186893</v>
      </c>
      <c r="F445" s="19">
        <v>17235.968140800003</v>
      </c>
      <c r="G445" s="19">
        <v>15244.204231614702</v>
      </c>
      <c r="H445" s="20">
        <v>0.10591289141122573</v>
      </c>
      <c r="I445" s="20">
        <v>-0.11555857454102103</v>
      </c>
      <c r="J445" s="20">
        <v>5.4945780275202472E-2</v>
      </c>
    </row>
    <row r="446" spans="1:10" ht="11.25" customHeight="1" x14ac:dyDescent="0.2">
      <c r="A446" s="29">
        <v>44713</v>
      </c>
      <c r="B446" s="19">
        <v>0</v>
      </c>
      <c r="C446" s="19">
        <v>0</v>
      </c>
      <c r="D446" s="19">
        <v>53757.128092800005</v>
      </c>
      <c r="E446" s="19">
        <v>59450.700963072071</v>
      </c>
      <c r="F446" s="19">
        <v>16069.064774400002</v>
      </c>
      <c r="G446" s="19">
        <v>14212.146554863006</v>
      </c>
      <c r="H446" s="20">
        <v>0.10591289141122551</v>
      </c>
      <c r="I446" s="20">
        <v>-0.11555857454102092</v>
      </c>
      <c r="J446" s="20">
        <v>5.4945780275202249E-2</v>
      </c>
    </row>
    <row r="447" spans="1:10" ht="11.25" customHeight="1" x14ac:dyDescent="0.2">
      <c r="A447" s="29">
        <v>44743</v>
      </c>
      <c r="B447" s="19">
        <v>0</v>
      </c>
      <c r="C447" s="19">
        <v>0</v>
      </c>
      <c r="D447" s="19">
        <v>53757.128092800005</v>
      </c>
      <c r="E447" s="19">
        <v>59450.700963072071</v>
      </c>
      <c r="F447" s="19">
        <v>16069.064774400002</v>
      </c>
      <c r="G447" s="19">
        <v>14212.146554863006</v>
      </c>
      <c r="H447" s="20">
        <v>0.10591289141122551</v>
      </c>
      <c r="I447" s="20">
        <v>-0.11555857454102092</v>
      </c>
      <c r="J447" s="20">
        <v>5.4945780275202249E-2</v>
      </c>
    </row>
    <row r="448" spans="1:10" ht="11.25" customHeight="1" x14ac:dyDescent="0.2">
      <c r="A448" s="25" t="s">
        <v>25</v>
      </c>
      <c r="B448" s="19">
        <v>1595602.3679999998</v>
      </c>
      <c r="C448" s="19">
        <v>1758190.5544678774</v>
      </c>
      <c r="D448" s="19">
        <v>1566287.1365663998</v>
      </c>
      <c r="E448" s="19">
        <v>1823068.1779841098</v>
      </c>
      <c r="F448" s="19">
        <v>3513468.2786496012</v>
      </c>
      <c r="G448" s="19">
        <v>3240316.5703731743</v>
      </c>
      <c r="H448" s="20">
        <v>0.13263247412027956</v>
      </c>
      <c r="I448" s="20">
        <v>-7.7744179429851124E-2</v>
      </c>
      <c r="J448" s="20">
        <v>2.1904072314565814E-2</v>
      </c>
    </row>
    <row r="449" spans="1:10" ht="11.25" customHeight="1" x14ac:dyDescent="0.2">
      <c r="A449" s="26" t="s">
        <v>25</v>
      </c>
      <c r="B449" s="19">
        <v>1595602.3679999998</v>
      </c>
      <c r="C449" s="19">
        <v>1758190.5544678774</v>
      </c>
      <c r="D449" s="19">
        <v>1566287.1365663998</v>
      </c>
      <c r="E449" s="19">
        <v>1823068.1779841098</v>
      </c>
      <c r="F449" s="19">
        <v>3513468.2786496012</v>
      </c>
      <c r="G449" s="19">
        <v>3240316.5703731743</v>
      </c>
      <c r="H449" s="20">
        <v>0.13263247412027956</v>
      </c>
      <c r="I449" s="20">
        <v>-7.7744179429851124E-2</v>
      </c>
      <c r="J449" s="20">
        <v>2.1904072314565814E-2</v>
      </c>
    </row>
    <row r="450" spans="1:10" ht="11.25" customHeight="1" x14ac:dyDescent="0.2">
      <c r="A450" s="27" t="s">
        <v>25</v>
      </c>
      <c r="B450" s="19">
        <v>1595602.3679999998</v>
      </c>
      <c r="C450" s="19">
        <v>1758190.5544678774</v>
      </c>
      <c r="D450" s="19">
        <v>1566287.1365663998</v>
      </c>
      <c r="E450" s="19">
        <v>1823068.1779841098</v>
      </c>
      <c r="F450" s="19">
        <v>3513468.2786496012</v>
      </c>
      <c r="G450" s="19">
        <v>3240316.5703731743</v>
      </c>
      <c r="H450" s="20">
        <v>0.13263247412027956</v>
      </c>
      <c r="I450" s="20">
        <v>-7.7744179429851124E-2</v>
      </c>
      <c r="J450" s="20">
        <v>2.1904072314565814E-2</v>
      </c>
    </row>
    <row r="451" spans="1:10" ht="11.25" customHeight="1" x14ac:dyDescent="0.2">
      <c r="A451" s="28" t="s">
        <v>35</v>
      </c>
      <c r="B451" s="19">
        <v>0</v>
      </c>
      <c r="C451" s="19">
        <v>0</v>
      </c>
      <c r="D451" s="19">
        <v>850194.99310079985</v>
      </c>
      <c r="E451" s="19">
        <v>1031132.6450872058</v>
      </c>
      <c r="F451" s="19">
        <v>3299414.2276608003</v>
      </c>
      <c r="G451" s="19">
        <v>3050998.3003913704</v>
      </c>
      <c r="H451" s="20">
        <v>0.21281900441038393</v>
      </c>
      <c r="I451" s="20">
        <v>-7.5290918365697124E-2</v>
      </c>
      <c r="J451" s="20">
        <v>-1.6261356598450627E-2</v>
      </c>
    </row>
    <row r="452" spans="1:10" ht="11.25" customHeight="1" x14ac:dyDescent="0.2">
      <c r="A452" s="29">
        <v>44409</v>
      </c>
      <c r="B452" s="19">
        <v>0</v>
      </c>
      <c r="C452" s="19">
        <v>0</v>
      </c>
      <c r="D452" s="19">
        <v>76185.392179199989</v>
      </c>
      <c r="E452" s="19">
        <v>92399.091493392014</v>
      </c>
      <c r="F452" s="19">
        <v>295658.25361920003</v>
      </c>
      <c r="G452" s="19">
        <v>273397.87218181218</v>
      </c>
      <c r="H452" s="20">
        <v>0.21281900441038437</v>
      </c>
      <c r="I452" s="20">
        <v>-7.5290918365697346E-2</v>
      </c>
      <c r="J452" s="20">
        <v>-1.6261356598450849E-2</v>
      </c>
    </row>
    <row r="453" spans="1:10" ht="11.25" customHeight="1" x14ac:dyDescent="0.2">
      <c r="A453" s="29">
        <v>44440</v>
      </c>
      <c r="B453" s="19">
        <v>0</v>
      </c>
      <c r="C453" s="19">
        <v>0</v>
      </c>
      <c r="D453" s="19">
        <v>78997.798550399995</v>
      </c>
      <c r="E453" s="19">
        <v>95810.031388508214</v>
      </c>
      <c r="F453" s="19">
        <v>306572.56583040004</v>
      </c>
      <c r="G453" s="19">
        <v>283490.43580330105</v>
      </c>
      <c r="H453" s="20">
        <v>0.21281900441038415</v>
      </c>
      <c r="I453" s="20">
        <v>-7.5290918365697235E-2</v>
      </c>
      <c r="J453" s="20">
        <v>-1.6261356598450738E-2</v>
      </c>
    </row>
    <row r="454" spans="1:10" ht="11.25" customHeight="1" x14ac:dyDescent="0.2">
      <c r="A454" s="29">
        <v>44470</v>
      </c>
      <c r="B454" s="19">
        <v>0</v>
      </c>
      <c r="C454" s="19">
        <v>0</v>
      </c>
      <c r="D454" s="19">
        <v>72980.14632</v>
      </c>
      <c r="E454" s="19">
        <v>88511.708401546552</v>
      </c>
      <c r="F454" s="19">
        <v>283219.42031999998</v>
      </c>
      <c r="G454" s="19">
        <v>261895.57006510679</v>
      </c>
      <c r="H454" s="20">
        <v>0.21281900441038393</v>
      </c>
      <c r="I454" s="20">
        <v>-7.5290918365697124E-2</v>
      </c>
      <c r="J454" s="20">
        <v>-1.6261356598450738E-2</v>
      </c>
    </row>
    <row r="455" spans="1:10" ht="11.25" customHeight="1" x14ac:dyDescent="0.2">
      <c r="A455" s="29">
        <v>44501</v>
      </c>
      <c r="B455" s="19">
        <v>0</v>
      </c>
      <c r="C455" s="19">
        <v>0</v>
      </c>
      <c r="D455" s="19">
        <v>65017.758422400002</v>
      </c>
      <c r="E455" s="19">
        <v>78854.773038850035</v>
      </c>
      <c r="F455" s="19">
        <v>252319.19610239999</v>
      </c>
      <c r="G455" s="19">
        <v>233321.85210655583</v>
      </c>
      <c r="H455" s="20">
        <v>0.21281900441038415</v>
      </c>
      <c r="I455" s="20">
        <v>-7.5290918365697235E-2</v>
      </c>
      <c r="J455" s="20">
        <v>-1.6261356598450738E-2</v>
      </c>
    </row>
    <row r="456" spans="1:10" ht="11.25" customHeight="1" x14ac:dyDescent="0.2">
      <c r="A456" s="29">
        <v>44531</v>
      </c>
      <c r="B456" s="19">
        <v>0</v>
      </c>
      <c r="C456" s="19">
        <v>0</v>
      </c>
      <c r="D456" s="19">
        <v>72417.857260799996</v>
      </c>
      <c r="E456" s="19">
        <v>87829.753544576757</v>
      </c>
      <c r="F456" s="19">
        <v>281037.30382079998</v>
      </c>
      <c r="G456" s="19">
        <v>259877.74712111248</v>
      </c>
      <c r="H456" s="20">
        <v>0.21281900441038415</v>
      </c>
      <c r="I456" s="20">
        <v>-7.5290918365697235E-2</v>
      </c>
      <c r="J456" s="20">
        <v>-1.6261356598450849E-2</v>
      </c>
    </row>
    <row r="457" spans="1:10" ht="11.25" customHeight="1" x14ac:dyDescent="0.2">
      <c r="A457" s="29">
        <v>44562</v>
      </c>
      <c r="B457" s="19">
        <v>0</v>
      </c>
      <c r="C457" s="19">
        <v>0</v>
      </c>
      <c r="D457" s="19">
        <v>77127.366009600009</v>
      </c>
      <c r="E457" s="19">
        <v>93541.535256558374</v>
      </c>
      <c r="F457" s="19">
        <v>299313.84072960005</v>
      </c>
      <c r="G457" s="19">
        <v>276778.2267815044</v>
      </c>
      <c r="H457" s="20">
        <v>0.21281900441038393</v>
      </c>
      <c r="I457" s="20">
        <v>-7.5290918365697346E-2</v>
      </c>
      <c r="J457" s="20">
        <v>-1.6261356598450738E-2</v>
      </c>
    </row>
    <row r="458" spans="1:10" ht="11.25" customHeight="1" x14ac:dyDescent="0.2">
      <c r="A458" s="29">
        <v>44593</v>
      </c>
      <c r="B458" s="19">
        <v>0</v>
      </c>
      <c r="C458" s="19">
        <v>0</v>
      </c>
      <c r="D458" s="19">
        <v>65314.250121600002</v>
      </c>
      <c r="E458" s="19">
        <v>79214.363806289723</v>
      </c>
      <c r="F458" s="19">
        <v>253469.8132416</v>
      </c>
      <c r="G458" s="19">
        <v>234385.83822465816</v>
      </c>
      <c r="H458" s="20">
        <v>0.21281900441038415</v>
      </c>
      <c r="I458" s="20">
        <v>-7.5290918365697235E-2</v>
      </c>
      <c r="J458" s="20">
        <v>-1.6261356598450738E-2</v>
      </c>
    </row>
    <row r="459" spans="1:10" ht="11.25" customHeight="1" x14ac:dyDescent="0.2">
      <c r="A459" s="29">
        <v>44621</v>
      </c>
      <c r="B459" s="19">
        <v>0</v>
      </c>
      <c r="C459" s="19">
        <v>0</v>
      </c>
      <c r="D459" s="19">
        <v>63003.224668800001</v>
      </c>
      <c r="E459" s="19">
        <v>76411.508217457769</v>
      </c>
      <c r="F459" s="19">
        <v>244501.24682880001</v>
      </c>
      <c r="G459" s="19">
        <v>226092.52341350162</v>
      </c>
      <c r="H459" s="20">
        <v>0.21281900441038415</v>
      </c>
      <c r="I459" s="20">
        <v>-7.5290918365697346E-2</v>
      </c>
      <c r="J459" s="20">
        <v>-1.626135659845096E-2</v>
      </c>
    </row>
    <row r="460" spans="1:10" ht="11.25" customHeight="1" x14ac:dyDescent="0.2">
      <c r="A460" s="29">
        <v>44652</v>
      </c>
      <c r="B460" s="19">
        <v>0</v>
      </c>
      <c r="C460" s="19">
        <v>0</v>
      </c>
      <c r="D460" s="19">
        <v>61425.559660799998</v>
      </c>
      <c r="E460" s="19">
        <v>74498.086113162106</v>
      </c>
      <c r="F460" s="19">
        <v>238378.68622079998</v>
      </c>
      <c r="G460" s="19">
        <v>220430.93601642756</v>
      </c>
      <c r="H460" s="20">
        <v>0.21281900441038415</v>
      </c>
      <c r="I460" s="20">
        <v>-7.5290918365697346E-2</v>
      </c>
      <c r="J460" s="20">
        <v>-1.6261356598450627E-2</v>
      </c>
    </row>
    <row r="461" spans="1:10" ht="11.25" customHeight="1" x14ac:dyDescent="0.2">
      <c r="A461" s="29">
        <v>44682</v>
      </c>
      <c r="B461" s="19">
        <v>0</v>
      </c>
      <c r="C461" s="19">
        <v>0</v>
      </c>
      <c r="D461" s="19">
        <v>73660.347292799997</v>
      </c>
      <c r="E461" s="19">
        <v>89336.669068176823</v>
      </c>
      <c r="F461" s="19">
        <v>285859.12625279999</v>
      </c>
      <c r="G461" s="19">
        <v>264336.53011401091</v>
      </c>
      <c r="H461" s="20">
        <v>0.21281900441038415</v>
      </c>
      <c r="I461" s="20">
        <v>-7.5290918365697124E-2</v>
      </c>
      <c r="J461" s="20">
        <v>-1.6261356598450627E-2</v>
      </c>
    </row>
    <row r="462" spans="1:10" ht="11.25" customHeight="1" x14ac:dyDescent="0.2">
      <c r="A462" s="29">
        <v>44713</v>
      </c>
      <c r="B462" s="19">
        <v>0</v>
      </c>
      <c r="C462" s="19">
        <v>0</v>
      </c>
      <c r="D462" s="19">
        <v>72032.646307200004</v>
      </c>
      <c r="E462" s="19">
        <v>87362.562379343639</v>
      </c>
      <c r="F462" s="19">
        <v>279542.38734720001</v>
      </c>
      <c r="G462" s="19">
        <v>258495.38428168985</v>
      </c>
      <c r="H462" s="20">
        <v>0.21281900441038415</v>
      </c>
      <c r="I462" s="20">
        <v>-7.5290918365697235E-2</v>
      </c>
      <c r="J462" s="20">
        <v>-1.6261356598450849E-2</v>
      </c>
    </row>
    <row r="463" spans="1:10" ht="11.25" customHeight="1" x14ac:dyDescent="0.2">
      <c r="A463" s="29">
        <v>44743</v>
      </c>
      <c r="B463" s="19">
        <v>0</v>
      </c>
      <c r="C463" s="19">
        <v>0</v>
      </c>
      <c r="D463" s="19">
        <v>72032.646307200004</v>
      </c>
      <c r="E463" s="19">
        <v>87362.562379343639</v>
      </c>
      <c r="F463" s="19">
        <v>279542.38734720001</v>
      </c>
      <c r="G463" s="19">
        <v>258495.38428168985</v>
      </c>
      <c r="H463" s="20">
        <v>0.21281900441038415</v>
      </c>
      <c r="I463" s="20">
        <v>-7.5290918365697235E-2</v>
      </c>
      <c r="J463" s="20">
        <v>-1.6261356598450849E-2</v>
      </c>
    </row>
    <row r="464" spans="1:10" ht="11.25" customHeight="1" x14ac:dyDescent="0.2">
      <c r="A464" s="28" t="s">
        <v>25</v>
      </c>
      <c r="B464" s="19">
        <v>1595602.3679999998</v>
      </c>
      <c r="C464" s="19">
        <v>1758190.5544678774</v>
      </c>
      <c r="D464" s="19">
        <v>0</v>
      </c>
      <c r="E464" s="19">
        <v>0</v>
      </c>
      <c r="F464" s="19">
        <v>0</v>
      </c>
      <c r="G464" s="19">
        <v>0</v>
      </c>
      <c r="H464" s="20">
        <v>0.10189768436585722</v>
      </c>
      <c r="I464" s="20">
        <v>0</v>
      </c>
      <c r="J464" s="20">
        <v>0.10189768436585722</v>
      </c>
    </row>
    <row r="465" spans="1:10" ht="11.25" customHeight="1" x14ac:dyDescent="0.2">
      <c r="A465" s="29">
        <v>44409</v>
      </c>
      <c r="B465" s="19">
        <v>150423.09119999997</v>
      </c>
      <c r="C465" s="19">
        <v>165750.85586843407</v>
      </c>
      <c r="D465" s="19">
        <v>0</v>
      </c>
      <c r="E465" s="19">
        <v>0</v>
      </c>
      <c r="F465" s="19">
        <v>0</v>
      </c>
      <c r="G465" s="19">
        <v>0</v>
      </c>
      <c r="H465" s="20">
        <v>0.101897684365857</v>
      </c>
      <c r="I465" s="20">
        <v>0</v>
      </c>
      <c r="J465" s="20">
        <v>0.101897684365857</v>
      </c>
    </row>
    <row r="466" spans="1:10" ht="11.25" customHeight="1" x14ac:dyDescent="0.2">
      <c r="A466" s="29">
        <v>44440</v>
      </c>
      <c r="B466" s="19">
        <v>129379.96799999998</v>
      </c>
      <c r="C466" s="19">
        <v>142563.48714252864</v>
      </c>
      <c r="D466" s="19">
        <v>0</v>
      </c>
      <c r="E466" s="19">
        <v>0</v>
      </c>
      <c r="F466" s="19">
        <v>0</v>
      </c>
      <c r="G466" s="19">
        <v>0</v>
      </c>
      <c r="H466" s="20">
        <v>0.10189768436585678</v>
      </c>
      <c r="I466" s="20">
        <v>0</v>
      </c>
      <c r="J466" s="20">
        <v>0.10189768436585678</v>
      </c>
    </row>
    <row r="467" spans="1:10" ht="11.25" customHeight="1" x14ac:dyDescent="0.2">
      <c r="A467" s="29">
        <v>44470</v>
      </c>
      <c r="B467" s="19">
        <v>162178.0416</v>
      </c>
      <c r="C467" s="19">
        <v>178703.60849402961</v>
      </c>
      <c r="D467" s="19">
        <v>0</v>
      </c>
      <c r="E467" s="19">
        <v>0</v>
      </c>
      <c r="F467" s="19">
        <v>0</v>
      </c>
      <c r="G467" s="19">
        <v>0</v>
      </c>
      <c r="H467" s="20">
        <v>0.101897684365857</v>
      </c>
      <c r="I467" s="20">
        <v>0</v>
      </c>
      <c r="J467" s="20">
        <v>0.101897684365857</v>
      </c>
    </row>
    <row r="468" spans="1:10" ht="11.25" customHeight="1" x14ac:dyDescent="0.2">
      <c r="A468" s="29">
        <v>44501</v>
      </c>
      <c r="B468" s="19">
        <v>191124.92159999997</v>
      </c>
      <c r="C468" s="19">
        <v>210600.10853564591</v>
      </c>
      <c r="D468" s="19">
        <v>0</v>
      </c>
      <c r="E468" s="19">
        <v>0</v>
      </c>
      <c r="F468" s="19">
        <v>0</v>
      </c>
      <c r="G468" s="19">
        <v>0</v>
      </c>
      <c r="H468" s="20">
        <v>0.10189768436585678</v>
      </c>
      <c r="I468" s="20">
        <v>0</v>
      </c>
      <c r="J468" s="20">
        <v>0.10189768436585678</v>
      </c>
    </row>
    <row r="469" spans="1:10" ht="11.25" customHeight="1" x14ac:dyDescent="0.2">
      <c r="A469" s="29">
        <v>44531</v>
      </c>
      <c r="B469" s="19">
        <v>145489.53600000002</v>
      </c>
      <c r="C469" s="19">
        <v>160314.58281786297</v>
      </c>
      <c r="D469" s="19">
        <v>0</v>
      </c>
      <c r="E469" s="19">
        <v>0</v>
      </c>
      <c r="F469" s="19">
        <v>0</v>
      </c>
      <c r="G469" s="19">
        <v>0</v>
      </c>
      <c r="H469" s="20">
        <v>0.10189768436585678</v>
      </c>
      <c r="I469" s="20">
        <v>0</v>
      </c>
      <c r="J469" s="20">
        <v>0.10189768436585678</v>
      </c>
    </row>
    <row r="470" spans="1:10" ht="11.25" customHeight="1" x14ac:dyDescent="0.2">
      <c r="A470" s="29">
        <v>44562</v>
      </c>
      <c r="B470" s="19">
        <v>105416.9856</v>
      </c>
      <c r="C470" s="19">
        <v>116158.73232546887</v>
      </c>
      <c r="D470" s="19">
        <v>0</v>
      </c>
      <c r="E470" s="19">
        <v>0</v>
      </c>
      <c r="F470" s="19">
        <v>0</v>
      </c>
      <c r="G470" s="19">
        <v>0</v>
      </c>
      <c r="H470" s="20">
        <v>0.10189768436585678</v>
      </c>
      <c r="I470" s="20">
        <v>0</v>
      </c>
      <c r="J470" s="20">
        <v>0.10189768436585678</v>
      </c>
    </row>
    <row r="471" spans="1:10" ht="11.25" customHeight="1" x14ac:dyDescent="0.2">
      <c r="A471" s="29">
        <v>44593</v>
      </c>
      <c r="B471" s="19">
        <v>117096.4224</v>
      </c>
      <c r="C471" s="19">
        <v>129028.27669008623</v>
      </c>
      <c r="D471" s="19">
        <v>0</v>
      </c>
      <c r="E471" s="19">
        <v>0</v>
      </c>
      <c r="F471" s="19">
        <v>0</v>
      </c>
      <c r="G471" s="19">
        <v>0</v>
      </c>
      <c r="H471" s="20">
        <v>0.10189768436585678</v>
      </c>
      <c r="I471" s="20">
        <v>0</v>
      </c>
      <c r="J471" s="20">
        <v>0.10189768436585678</v>
      </c>
    </row>
    <row r="472" spans="1:10" ht="11.25" customHeight="1" x14ac:dyDescent="0.2">
      <c r="A472" s="29">
        <v>44621</v>
      </c>
      <c r="B472" s="19">
        <v>113572.4544</v>
      </c>
      <c r="C472" s="19">
        <v>125145.22451110686</v>
      </c>
      <c r="D472" s="19">
        <v>0</v>
      </c>
      <c r="E472" s="19">
        <v>0</v>
      </c>
      <c r="F472" s="19">
        <v>0</v>
      </c>
      <c r="G472" s="19">
        <v>0</v>
      </c>
      <c r="H472" s="20">
        <v>0.10189768436585678</v>
      </c>
      <c r="I472" s="20">
        <v>0</v>
      </c>
      <c r="J472" s="20">
        <v>0.10189768436585678</v>
      </c>
    </row>
    <row r="473" spans="1:10" ht="11.25" customHeight="1" x14ac:dyDescent="0.2">
      <c r="A473" s="29">
        <v>44652</v>
      </c>
      <c r="B473" s="19">
        <v>110652.59519999998</v>
      </c>
      <c r="C473" s="19">
        <v>121927.83841995252</v>
      </c>
      <c r="D473" s="19">
        <v>0</v>
      </c>
      <c r="E473" s="19">
        <v>0</v>
      </c>
      <c r="F473" s="19">
        <v>0</v>
      </c>
      <c r="G473" s="19">
        <v>0</v>
      </c>
      <c r="H473" s="20">
        <v>0.101897684365857</v>
      </c>
      <c r="I473" s="20">
        <v>0</v>
      </c>
      <c r="J473" s="20">
        <v>0.101897684365857</v>
      </c>
    </row>
    <row r="474" spans="1:10" ht="11.25" customHeight="1" x14ac:dyDescent="0.2">
      <c r="A474" s="29">
        <v>44682</v>
      </c>
      <c r="B474" s="19">
        <v>121123.81439999999</v>
      </c>
      <c r="C474" s="19">
        <v>133466.05060891982</v>
      </c>
      <c r="D474" s="19">
        <v>0</v>
      </c>
      <c r="E474" s="19">
        <v>0</v>
      </c>
      <c r="F474" s="19">
        <v>0</v>
      </c>
      <c r="G474" s="19">
        <v>0</v>
      </c>
      <c r="H474" s="20">
        <v>0.10189768436585678</v>
      </c>
      <c r="I474" s="20">
        <v>0</v>
      </c>
      <c r="J474" s="20">
        <v>0.10189768436585678</v>
      </c>
    </row>
    <row r="475" spans="1:10" ht="11.25" customHeight="1" x14ac:dyDescent="0.2">
      <c r="A475" s="29">
        <v>44713</v>
      </c>
      <c r="B475" s="19">
        <v>124572.26879999999</v>
      </c>
      <c r="C475" s="19">
        <v>137265.89452692107</v>
      </c>
      <c r="D475" s="19">
        <v>0</v>
      </c>
      <c r="E475" s="19">
        <v>0</v>
      </c>
      <c r="F475" s="19">
        <v>0</v>
      </c>
      <c r="G475" s="19">
        <v>0</v>
      </c>
      <c r="H475" s="20">
        <v>0.10189768436585678</v>
      </c>
      <c r="I475" s="20">
        <v>0</v>
      </c>
      <c r="J475" s="20">
        <v>0.10189768436585678</v>
      </c>
    </row>
    <row r="476" spans="1:10" ht="11.25" customHeight="1" x14ac:dyDescent="0.2">
      <c r="A476" s="29">
        <v>44743</v>
      </c>
      <c r="B476" s="19">
        <v>124572.26879999999</v>
      </c>
      <c r="C476" s="19">
        <v>137265.89452692107</v>
      </c>
      <c r="D476" s="19">
        <v>0</v>
      </c>
      <c r="E476" s="19">
        <v>0</v>
      </c>
      <c r="F476" s="19">
        <v>0</v>
      </c>
      <c r="G476" s="19">
        <v>0</v>
      </c>
      <c r="H476" s="20">
        <v>0.10189768436585678</v>
      </c>
      <c r="I476" s="20">
        <v>0</v>
      </c>
      <c r="J476" s="20">
        <v>0.10189768436585678</v>
      </c>
    </row>
    <row r="477" spans="1:10" ht="11.25" customHeight="1" x14ac:dyDescent="0.2">
      <c r="A477" s="28" t="s">
        <v>34</v>
      </c>
      <c r="B477" s="19">
        <v>0</v>
      </c>
      <c r="C477" s="19">
        <v>0</v>
      </c>
      <c r="D477" s="19">
        <v>716092.14346560009</v>
      </c>
      <c r="E477" s="19">
        <v>791935.53289690404</v>
      </c>
      <c r="F477" s="19">
        <v>214054.05098880004</v>
      </c>
      <c r="G477" s="19">
        <v>189318.26998180326</v>
      </c>
      <c r="H477" s="20">
        <v>0.10591289141122573</v>
      </c>
      <c r="I477" s="20">
        <v>-0.11555857454102114</v>
      </c>
      <c r="J477" s="20">
        <v>5.4945780275202472E-2</v>
      </c>
    </row>
    <row r="478" spans="1:10" ht="11.25" customHeight="1" x14ac:dyDescent="0.2">
      <c r="A478" s="29">
        <v>44409</v>
      </c>
      <c r="B478" s="19">
        <v>0</v>
      </c>
      <c r="C478" s="19">
        <v>0</v>
      </c>
      <c r="D478" s="19">
        <v>86062.228847999999</v>
      </c>
      <c r="E478" s="19">
        <v>95177.328346586277</v>
      </c>
      <c r="F478" s="19">
        <v>25725.695904</v>
      </c>
      <c r="G478" s="19">
        <v>22752.871156257985</v>
      </c>
      <c r="H478" s="20">
        <v>0.10591289141122573</v>
      </c>
      <c r="I478" s="20">
        <v>-0.1155585745410207</v>
      </c>
      <c r="J478" s="20">
        <v>5.4945780275202472E-2</v>
      </c>
    </row>
    <row r="479" spans="1:10" ht="11.25" customHeight="1" x14ac:dyDescent="0.2">
      <c r="A479" s="29">
        <v>44440</v>
      </c>
      <c r="B479" s="19">
        <v>0</v>
      </c>
      <c r="C479" s="19">
        <v>0</v>
      </c>
      <c r="D479" s="19">
        <v>98765.64976320001</v>
      </c>
      <c r="E479" s="19">
        <v>109226.20530172894</v>
      </c>
      <c r="F479" s="19">
        <v>29522.998713600002</v>
      </c>
      <c r="G479" s="19">
        <v>26111.36306607999</v>
      </c>
      <c r="H479" s="20">
        <v>0.10591289141122551</v>
      </c>
      <c r="I479" s="20">
        <v>-0.11555857454102092</v>
      </c>
      <c r="J479" s="20">
        <v>5.4945780275202472E-2</v>
      </c>
    </row>
    <row r="480" spans="1:10" ht="11.25" customHeight="1" x14ac:dyDescent="0.2">
      <c r="A480" s="29">
        <v>44470</v>
      </c>
      <c r="B480" s="19">
        <v>0</v>
      </c>
      <c r="C480" s="19">
        <v>0</v>
      </c>
      <c r="D480" s="19">
        <v>54012.524572800001</v>
      </c>
      <c r="E480" s="19">
        <v>59733.147222725129</v>
      </c>
      <c r="F480" s="19">
        <v>16145.407814400001</v>
      </c>
      <c r="G480" s="19">
        <v>14279.667501984479</v>
      </c>
      <c r="H480" s="20">
        <v>0.10591289141122573</v>
      </c>
      <c r="I480" s="20">
        <v>-0.11555857454102081</v>
      </c>
      <c r="J480" s="20">
        <v>5.4945780275202472E-2</v>
      </c>
    </row>
    <row r="481" spans="1:10" ht="11.25" customHeight="1" x14ac:dyDescent="0.2">
      <c r="A481" s="29">
        <v>44501</v>
      </c>
      <c r="B481" s="19">
        <v>0</v>
      </c>
      <c r="C481" s="19">
        <v>0</v>
      </c>
      <c r="D481" s="19">
        <v>44555.192918400004</v>
      </c>
      <c r="E481" s="19">
        <v>49274.162227772707</v>
      </c>
      <c r="F481" s="19">
        <v>13318.425043200001</v>
      </c>
      <c r="G481" s="19">
        <v>11779.366830076371</v>
      </c>
      <c r="H481" s="20">
        <v>0.10591289141122551</v>
      </c>
      <c r="I481" s="20">
        <v>-0.11555857454102114</v>
      </c>
      <c r="J481" s="20">
        <v>5.4945780275202472E-2</v>
      </c>
    </row>
    <row r="482" spans="1:10" ht="11.25" customHeight="1" x14ac:dyDescent="0.2">
      <c r="A482" s="29">
        <v>44531</v>
      </c>
      <c r="B482" s="19">
        <v>0</v>
      </c>
      <c r="C482" s="19">
        <v>0</v>
      </c>
      <c r="D482" s="19">
        <v>72707.546908799995</v>
      </c>
      <c r="E482" s="19">
        <v>80408.213429328316</v>
      </c>
      <c r="F482" s="19">
        <v>21733.7183424</v>
      </c>
      <c r="G482" s="19">
        <v>19222.200831276219</v>
      </c>
      <c r="H482" s="20">
        <v>0.10591289141122551</v>
      </c>
      <c r="I482" s="20">
        <v>-0.11555857454102081</v>
      </c>
      <c r="J482" s="20">
        <v>5.4945780275202472E-2</v>
      </c>
    </row>
    <row r="483" spans="1:10" ht="11.25" customHeight="1" x14ac:dyDescent="0.2">
      <c r="A483" s="29">
        <v>44562</v>
      </c>
      <c r="B483" s="19">
        <v>0</v>
      </c>
      <c r="C483" s="19">
        <v>0</v>
      </c>
      <c r="D483" s="19">
        <v>62821.149168000004</v>
      </c>
      <c r="E483" s="19">
        <v>69474.718718158794</v>
      </c>
      <c r="F483" s="19">
        <v>18778.479264000001</v>
      </c>
      <c r="G483" s="19">
        <v>16608.46496820404</v>
      </c>
      <c r="H483" s="20">
        <v>0.10591289141122551</v>
      </c>
      <c r="I483" s="20">
        <v>-0.11555857454102103</v>
      </c>
      <c r="J483" s="20">
        <v>5.4945780275202472E-2</v>
      </c>
    </row>
    <row r="484" spans="1:10" ht="11.25" customHeight="1" x14ac:dyDescent="0.2">
      <c r="A484" s="29">
        <v>44593</v>
      </c>
      <c r="B484" s="19">
        <v>0</v>
      </c>
      <c r="C484" s="19">
        <v>0</v>
      </c>
      <c r="D484" s="19">
        <v>48570.025584000003</v>
      </c>
      <c r="E484" s="19">
        <v>53714.217429518641</v>
      </c>
      <c r="F484" s="19">
        <v>14518.537632</v>
      </c>
      <c r="G484" s="19">
        <v>12840.796118825911</v>
      </c>
      <c r="H484" s="20">
        <v>0.10591289141122551</v>
      </c>
      <c r="I484" s="20">
        <v>-0.11555857454102092</v>
      </c>
      <c r="J484" s="20">
        <v>5.4945780275202249E-2</v>
      </c>
    </row>
    <row r="485" spans="1:10" ht="11.25" customHeight="1" x14ac:dyDescent="0.2">
      <c r="A485" s="29">
        <v>44621</v>
      </c>
      <c r="B485" s="19">
        <v>0</v>
      </c>
      <c r="C485" s="19">
        <v>0</v>
      </c>
      <c r="D485" s="19">
        <v>37674.811747200001</v>
      </c>
      <c r="E485" s="19">
        <v>41665.059992719565</v>
      </c>
      <c r="F485" s="19">
        <v>11261.7435456</v>
      </c>
      <c r="G485" s="19">
        <v>9960.3525146239226</v>
      </c>
      <c r="H485" s="20">
        <v>0.10591289141122573</v>
      </c>
      <c r="I485" s="20">
        <v>-0.11555857454102081</v>
      </c>
      <c r="J485" s="20">
        <v>5.4945780275202472E-2</v>
      </c>
    </row>
    <row r="486" spans="1:10" ht="11.25" customHeight="1" x14ac:dyDescent="0.2">
      <c r="A486" s="29">
        <v>44652</v>
      </c>
      <c r="B486" s="19">
        <v>0</v>
      </c>
      <c r="C486" s="19">
        <v>0</v>
      </c>
      <c r="D486" s="19">
        <v>51480.268473600008</v>
      </c>
      <c r="E486" s="19">
        <v>56932.692558265138</v>
      </c>
      <c r="F486" s="19">
        <v>15388.4665728</v>
      </c>
      <c r="G486" s="19">
        <v>13610.197311275084</v>
      </c>
      <c r="H486" s="20">
        <v>0.10591289141122551</v>
      </c>
      <c r="I486" s="20">
        <v>-0.11555857454102081</v>
      </c>
      <c r="J486" s="20">
        <v>5.4945780275202249E-2</v>
      </c>
    </row>
    <row r="487" spans="1:10" ht="11.25" customHeight="1" x14ac:dyDescent="0.2">
      <c r="A487" s="29">
        <v>44682</v>
      </c>
      <c r="B487" s="19">
        <v>0</v>
      </c>
      <c r="C487" s="19">
        <v>0</v>
      </c>
      <c r="D487" s="19">
        <v>59840.672246400005</v>
      </c>
      <c r="E487" s="19">
        <v>66178.570868007708</v>
      </c>
      <c r="F487" s="19">
        <v>17887.555987200001</v>
      </c>
      <c r="G487" s="19">
        <v>15820.495515296465</v>
      </c>
      <c r="H487" s="20">
        <v>0.10591289141122551</v>
      </c>
      <c r="I487" s="20">
        <v>-0.11555857454102092</v>
      </c>
      <c r="J487" s="20">
        <v>5.4945780275202472E-2</v>
      </c>
    </row>
    <row r="488" spans="1:10" ht="11.25" customHeight="1" x14ac:dyDescent="0.2">
      <c r="A488" s="29">
        <v>44713</v>
      </c>
      <c r="B488" s="19">
        <v>0</v>
      </c>
      <c r="C488" s="19">
        <v>0</v>
      </c>
      <c r="D488" s="19">
        <v>49801.036617599995</v>
      </c>
      <c r="E488" s="19">
        <v>55075.608401046338</v>
      </c>
      <c r="F488" s="19">
        <v>14886.511084799999</v>
      </c>
      <c r="G488" s="19">
        <v>13166.247083951406</v>
      </c>
      <c r="H488" s="20">
        <v>0.10591289141122573</v>
      </c>
      <c r="I488" s="20">
        <v>-0.1155585745410207</v>
      </c>
      <c r="J488" s="20">
        <v>5.4945780275202472E-2</v>
      </c>
    </row>
    <row r="489" spans="1:10" ht="11.25" customHeight="1" x14ac:dyDescent="0.2">
      <c r="A489" s="29">
        <v>44743</v>
      </c>
      <c r="B489" s="19">
        <v>0</v>
      </c>
      <c r="C489" s="19">
        <v>0</v>
      </c>
      <c r="D489" s="19">
        <v>49801.036617599995</v>
      </c>
      <c r="E489" s="19">
        <v>55075.608401046338</v>
      </c>
      <c r="F489" s="19">
        <v>14886.511084799999</v>
      </c>
      <c r="G489" s="19">
        <v>13166.247083951406</v>
      </c>
      <c r="H489" s="20">
        <v>0.10591289141122573</v>
      </c>
      <c r="I489" s="20">
        <v>-0.1155585745410207</v>
      </c>
      <c r="J489" s="20">
        <v>5.4945780275202472E-2</v>
      </c>
    </row>
    <row r="490" spans="1:10" ht="11.25" customHeight="1" x14ac:dyDescent="0.2">
      <c r="A490" s="24" t="s">
        <v>50</v>
      </c>
      <c r="B490" s="19">
        <v>2560152.264</v>
      </c>
      <c r="C490" s="19">
        <v>2821025.8513256055</v>
      </c>
      <c r="D490" s="19">
        <v>4568294.9777950002</v>
      </c>
      <c r="E490" s="19">
        <v>5212944.1840690076</v>
      </c>
      <c r="F490" s="19">
        <v>6753367.8988812016</v>
      </c>
      <c r="G490" s="19">
        <v>6208018.7084094444</v>
      </c>
      <c r="H490" s="20">
        <v>0.12702945857415027</v>
      </c>
      <c r="I490" s="20">
        <v>-8.0752181524436528E-2</v>
      </c>
      <c r="J490" s="20">
        <v>2.594571383337918E-2</v>
      </c>
    </row>
    <row r="491" spans="1:10" ht="11.25" customHeight="1" x14ac:dyDescent="0.2">
      <c r="A491" s="25" t="s">
        <v>51</v>
      </c>
      <c r="B491" s="19">
        <v>2560152.264</v>
      </c>
      <c r="C491" s="19">
        <v>2821025.8513256055</v>
      </c>
      <c r="D491" s="19">
        <v>4568294.9777950002</v>
      </c>
      <c r="E491" s="19">
        <v>5212944.1840690076</v>
      </c>
      <c r="F491" s="19">
        <v>6753367.8988812016</v>
      </c>
      <c r="G491" s="19">
        <v>6208018.7084094444</v>
      </c>
      <c r="H491" s="20">
        <v>0.12702945857415027</v>
      </c>
      <c r="I491" s="20">
        <v>-8.0752181524436528E-2</v>
      </c>
      <c r="J491" s="20">
        <v>2.594571383337918E-2</v>
      </c>
    </row>
    <row r="492" spans="1:10" ht="11.25" customHeight="1" x14ac:dyDescent="0.2">
      <c r="A492" s="26" t="s">
        <v>25</v>
      </c>
      <c r="B492" s="19">
        <v>2560152.264</v>
      </c>
      <c r="C492" s="19">
        <v>2821025.8513256055</v>
      </c>
      <c r="D492" s="19">
        <v>4568294.9777950002</v>
      </c>
      <c r="E492" s="19">
        <v>5212944.1840690076</v>
      </c>
      <c r="F492" s="19">
        <v>6753367.8988812016</v>
      </c>
      <c r="G492" s="19">
        <v>6208018.7084094444</v>
      </c>
      <c r="H492" s="20">
        <v>0.12702945857415027</v>
      </c>
      <c r="I492" s="20">
        <v>-8.0752181524436528E-2</v>
      </c>
      <c r="J492" s="20">
        <v>2.594571383337918E-2</v>
      </c>
    </row>
    <row r="493" spans="1:10" ht="11.25" customHeight="1" x14ac:dyDescent="0.2">
      <c r="A493" s="27" t="s">
        <v>25</v>
      </c>
      <c r="B493" s="19">
        <v>2560152.264</v>
      </c>
      <c r="C493" s="19">
        <v>2821025.8513256055</v>
      </c>
      <c r="D493" s="19">
        <v>4568294.9777950002</v>
      </c>
      <c r="E493" s="19">
        <v>5212944.1840690076</v>
      </c>
      <c r="F493" s="19">
        <v>6753367.8988812016</v>
      </c>
      <c r="G493" s="19">
        <v>6208018.7084094444</v>
      </c>
      <c r="H493" s="20">
        <v>0.12702945857415027</v>
      </c>
      <c r="I493" s="20">
        <v>-8.0752181524436528E-2</v>
      </c>
      <c r="J493" s="20">
        <v>2.594571383337918E-2</v>
      </c>
    </row>
    <row r="494" spans="1:10" ht="11.25" customHeight="1" x14ac:dyDescent="0.2">
      <c r="A494" s="28" t="s">
        <v>35</v>
      </c>
      <c r="B494" s="19">
        <v>0</v>
      </c>
      <c r="C494" s="19">
        <v>0</v>
      </c>
      <c r="D494" s="19">
        <v>1504197.2048653997</v>
      </c>
      <c r="E494" s="19">
        <v>1824318.9564417368</v>
      </c>
      <c r="F494" s="19">
        <v>5837448.7020204002</v>
      </c>
      <c r="G494" s="19">
        <v>5397941.8283326356</v>
      </c>
      <c r="H494" s="20">
        <v>0.21281900441038415</v>
      </c>
      <c r="I494" s="20">
        <v>-7.5290918365697457E-2</v>
      </c>
      <c r="J494" s="20">
        <v>-1.626135659845096E-2</v>
      </c>
    </row>
    <row r="495" spans="1:10" ht="11.25" customHeight="1" x14ac:dyDescent="0.2">
      <c r="A495" s="29">
        <v>44409</v>
      </c>
      <c r="B495" s="19">
        <v>0</v>
      </c>
      <c r="C495" s="19">
        <v>0</v>
      </c>
      <c r="D495" s="19">
        <v>125888.80897780001</v>
      </c>
      <c r="E495" s="19">
        <v>152680.33997086441</v>
      </c>
      <c r="F495" s="19">
        <v>488545.9580628</v>
      </c>
      <c r="G495" s="19">
        <v>451762.88421640237</v>
      </c>
      <c r="H495" s="20">
        <v>0.21281900441038393</v>
      </c>
      <c r="I495" s="20">
        <v>-7.5290918365697235E-2</v>
      </c>
      <c r="J495" s="20">
        <v>-1.6261356598450849E-2</v>
      </c>
    </row>
    <row r="496" spans="1:10" ht="11.25" customHeight="1" x14ac:dyDescent="0.2">
      <c r="A496" s="29">
        <v>44440</v>
      </c>
      <c r="B496" s="19">
        <v>0</v>
      </c>
      <c r="C496" s="19">
        <v>0</v>
      </c>
      <c r="D496" s="19">
        <v>117799.22503</v>
      </c>
      <c r="E496" s="19">
        <v>142869.13882119939</v>
      </c>
      <c r="F496" s="19">
        <v>457152.11478</v>
      </c>
      <c r="G496" s="19">
        <v>422732.71222539316</v>
      </c>
      <c r="H496" s="20">
        <v>0.21281900441038393</v>
      </c>
      <c r="I496" s="20">
        <v>-7.5290918365697235E-2</v>
      </c>
      <c r="J496" s="20">
        <v>-1.6261356598450738E-2</v>
      </c>
    </row>
    <row r="497" spans="1:10" ht="11.25" customHeight="1" x14ac:dyDescent="0.2">
      <c r="A497" s="29">
        <v>44470</v>
      </c>
      <c r="B497" s="19">
        <v>0</v>
      </c>
      <c r="C497" s="19">
        <v>0</v>
      </c>
      <c r="D497" s="19">
        <v>123981.353768</v>
      </c>
      <c r="E497" s="19">
        <v>150366.94204235738</v>
      </c>
      <c r="F497" s="19">
        <v>481143.55636799999</v>
      </c>
      <c r="G497" s="19">
        <v>444917.81614331563</v>
      </c>
      <c r="H497" s="20">
        <v>0.21281900441038393</v>
      </c>
      <c r="I497" s="20">
        <v>-7.5290918365697235E-2</v>
      </c>
      <c r="J497" s="20">
        <v>-1.6261356598450738E-2</v>
      </c>
    </row>
    <row r="498" spans="1:10" ht="11.25" customHeight="1" x14ac:dyDescent="0.2">
      <c r="A498" s="29">
        <v>44501</v>
      </c>
      <c r="B498" s="19">
        <v>0</v>
      </c>
      <c r="C498" s="19">
        <v>0</v>
      </c>
      <c r="D498" s="19">
        <v>130528.55217659999</v>
      </c>
      <c r="E498" s="19">
        <v>158307.50869795287</v>
      </c>
      <c r="F498" s="19">
        <v>506551.75067159993</v>
      </c>
      <c r="G498" s="19">
        <v>468413.00416378345</v>
      </c>
      <c r="H498" s="20">
        <v>0.21281900441038415</v>
      </c>
      <c r="I498" s="20">
        <v>-7.5290918365697346E-2</v>
      </c>
      <c r="J498" s="20">
        <v>-1.6261356598450849E-2</v>
      </c>
    </row>
    <row r="499" spans="1:10" ht="11.25" customHeight="1" x14ac:dyDescent="0.2">
      <c r="A499" s="29">
        <v>44531</v>
      </c>
      <c r="B499" s="19">
        <v>0</v>
      </c>
      <c r="C499" s="19">
        <v>0</v>
      </c>
      <c r="D499" s="19">
        <v>120515.80920040001</v>
      </c>
      <c r="E499" s="19">
        <v>146163.86373014093</v>
      </c>
      <c r="F499" s="19">
        <v>467694.56273040001</v>
      </c>
      <c r="G499" s="19">
        <v>432481.40958778496</v>
      </c>
      <c r="H499" s="20">
        <v>0.21281900441038393</v>
      </c>
      <c r="I499" s="20">
        <v>-7.5290918365697346E-2</v>
      </c>
      <c r="J499" s="20">
        <v>-1.6261356598450849E-2</v>
      </c>
    </row>
    <row r="500" spans="1:10" ht="11.25" customHeight="1" x14ac:dyDescent="0.2">
      <c r="A500" s="29">
        <v>44562</v>
      </c>
      <c r="B500" s="19">
        <v>0</v>
      </c>
      <c r="C500" s="19">
        <v>0</v>
      </c>
      <c r="D500" s="19">
        <v>132785.3732384</v>
      </c>
      <c r="E500" s="19">
        <v>161044.62417125754</v>
      </c>
      <c r="F500" s="19">
        <v>515309.96211839997</v>
      </c>
      <c r="G500" s="19">
        <v>476511.80182751297</v>
      </c>
      <c r="H500" s="20">
        <v>0.21281900441038393</v>
      </c>
      <c r="I500" s="20">
        <v>-7.5290918365697235E-2</v>
      </c>
      <c r="J500" s="20">
        <v>-1.6261356598450849E-2</v>
      </c>
    </row>
    <row r="501" spans="1:10" ht="11.25" customHeight="1" x14ac:dyDescent="0.2">
      <c r="A501" s="29">
        <v>44593</v>
      </c>
      <c r="B501" s="19">
        <v>0</v>
      </c>
      <c r="C501" s="19">
        <v>0</v>
      </c>
      <c r="D501" s="19">
        <v>119459.006906</v>
      </c>
      <c r="E501" s="19">
        <v>144882.1538235881</v>
      </c>
      <c r="F501" s="19">
        <v>463593.35235599999</v>
      </c>
      <c r="G501" s="19">
        <v>428688.98310888442</v>
      </c>
      <c r="H501" s="20">
        <v>0.21281900441038393</v>
      </c>
      <c r="I501" s="20">
        <v>-7.5290918365697346E-2</v>
      </c>
      <c r="J501" s="20">
        <v>-1.6261356598450849E-2</v>
      </c>
    </row>
    <row r="502" spans="1:10" ht="11.25" customHeight="1" x14ac:dyDescent="0.2">
      <c r="A502" s="29">
        <v>44621</v>
      </c>
      <c r="B502" s="19">
        <v>0</v>
      </c>
      <c r="C502" s="19">
        <v>0</v>
      </c>
      <c r="D502" s="19">
        <v>116628.37889939999</v>
      </c>
      <c r="E502" s="19">
        <v>141449.11438276735</v>
      </c>
      <c r="F502" s="19">
        <v>452608.32610439998</v>
      </c>
      <c r="G502" s="19">
        <v>418531.02957203874</v>
      </c>
      <c r="H502" s="20">
        <v>0.21281900441038415</v>
      </c>
      <c r="I502" s="20">
        <v>-7.5290918365697235E-2</v>
      </c>
      <c r="J502" s="20">
        <v>-1.6261356598450849E-2</v>
      </c>
    </row>
    <row r="503" spans="1:10" ht="11.25" customHeight="1" x14ac:dyDescent="0.2">
      <c r="A503" s="29">
        <v>44652</v>
      </c>
      <c r="B503" s="19">
        <v>0</v>
      </c>
      <c r="C503" s="19">
        <v>0</v>
      </c>
      <c r="D503" s="19">
        <v>130254.646996</v>
      </c>
      <c r="E503" s="19">
        <v>157975.31128951474</v>
      </c>
      <c r="F503" s="19">
        <v>505488.78669599997</v>
      </c>
      <c r="G503" s="19">
        <v>467430.07172209607</v>
      </c>
      <c r="H503" s="20">
        <v>0.21281900441038415</v>
      </c>
      <c r="I503" s="20">
        <v>-7.5290918365697235E-2</v>
      </c>
      <c r="J503" s="20">
        <v>-1.6261356598450738E-2</v>
      </c>
    </row>
    <row r="504" spans="1:10" ht="11.25" customHeight="1" x14ac:dyDescent="0.2">
      <c r="A504" s="29">
        <v>44682</v>
      </c>
      <c r="B504" s="19">
        <v>0</v>
      </c>
      <c r="C504" s="19">
        <v>0</v>
      </c>
      <c r="D504" s="19">
        <v>125500.3306188</v>
      </c>
      <c r="E504" s="19">
        <v>152209.18603426707</v>
      </c>
      <c r="F504" s="19">
        <v>487038.36152879999</v>
      </c>
      <c r="G504" s="19">
        <v>450368.79600997217</v>
      </c>
      <c r="H504" s="20">
        <v>0.21281900441038415</v>
      </c>
      <c r="I504" s="20">
        <v>-7.5290918365697235E-2</v>
      </c>
      <c r="J504" s="20">
        <v>-1.6261356598450627E-2</v>
      </c>
    </row>
    <row r="505" spans="1:10" ht="11.25" customHeight="1" x14ac:dyDescent="0.2">
      <c r="A505" s="29">
        <v>44713</v>
      </c>
      <c r="B505" s="19">
        <v>0</v>
      </c>
      <c r="C505" s="19">
        <v>0</v>
      </c>
      <c r="D505" s="19">
        <v>130427.85952700001</v>
      </c>
      <c r="E505" s="19">
        <v>158185.38673891357</v>
      </c>
      <c r="F505" s="19">
        <v>506160.98530200002</v>
      </c>
      <c r="G505" s="19">
        <v>468051.65987772623</v>
      </c>
      <c r="H505" s="20">
        <v>0.21281900441038393</v>
      </c>
      <c r="I505" s="20">
        <v>-7.5290918365697346E-2</v>
      </c>
      <c r="J505" s="20">
        <v>-1.6261356598450849E-2</v>
      </c>
    </row>
    <row r="506" spans="1:10" ht="11.25" customHeight="1" x14ac:dyDescent="0.2">
      <c r="A506" s="29">
        <v>44743</v>
      </c>
      <c r="B506" s="19">
        <v>0</v>
      </c>
      <c r="C506" s="19">
        <v>0</v>
      </c>
      <c r="D506" s="19">
        <v>130427.85952700001</v>
      </c>
      <c r="E506" s="19">
        <v>158185.38673891357</v>
      </c>
      <c r="F506" s="19">
        <v>506160.98530200002</v>
      </c>
      <c r="G506" s="19">
        <v>468051.65987772623</v>
      </c>
      <c r="H506" s="20">
        <v>0.21281900441038393</v>
      </c>
      <c r="I506" s="20">
        <v>-7.5290918365697346E-2</v>
      </c>
      <c r="J506" s="20">
        <v>-1.6261356598450849E-2</v>
      </c>
    </row>
    <row r="507" spans="1:10" ht="11.25" customHeight="1" x14ac:dyDescent="0.2">
      <c r="A507" s="28" t="s">
        <v>25</v>
      </c>
      <c r="B507" s="19">
        <v>2560152.264</v>
      </c>
      <c r="C507" s="19">
        <v>2821025.8513256055</v>
      </c>
      <c r="D507" s="19">
        <v>0</v>
      </c>
      <c r="E507" s="19">
        <v>0</v>
      </c>
      <c r="F507" s="19">
        <v>0</v>
      </c>
      <c r="G507" s="19">
        <v>0</v>
      </c>
      <c r="H507" s="20">
        <v>0.10189768436585678</v>
      </c>
      <c r="I507" s="20">
        <v>0</v>
      </c>
      <c r="J507" s="20">
        <v>0.10189768436585678</v>
      </c>
    </row>
    <row r="508" spans="1:10" ht="11.25" customHeight="1" x14ac:dyDescent="0.2">
      <c r="A508" s="29">
        <v>44409</v>
      </c>
      <c r="B508" s="19">
        <v>215827.30799999999</v>
      </c>
      <c r="C508" s="19">
        <v>237819.61090811653</v>
      </c>
      <c r="D508" s="19">
        <v>0</v>
      </c>
      <c r="E508" s="19">
        <v>0</v>
      </c>
      <c r="F508" s="19">
        <v>0</v>
      </c>
      <c r="G508" s="19">
        <v>0</v>
      </c>
      <c r="H508" s="20">
        <v>0.10189768436585678</v>
      </c>
      <c r="I508" s="20">
        <v>0</v>
      </c>
      <c r="J508" s="20">
        <v>0.10189768436585678</v>
      </c>
    </row>
    <row r="509" spans="1:10" ht="11.25" customHeight="1" x14ac:dyDescent="0.2">
      <c r="A509" s="29">
        <v>44440</v>
      </c>
      <c r="B509" s="19">
        <v>211236.18599999999</v>
      </c>
      <c r="C509" s="19">
        <v>232760.66420767541</v>
      </c>
      <c r="D509" s="19">
        <v>0</v>
      </c>
      <c r="E509" s="19">
        <v>0</v>
      </c>
      <c r="F509" s="19">
        <v>0</v>
      </c>
      <c r="G509" s="19">
        <v>0</v>
      </c>
      <c r="H509" s="20">
        <v>0.10189768436585678</v>
      </c>
      <c r="I509" s="20">
        <v>0</v>
      </c>
      <c r="J509" s="20">
        <v>0.10189768436585678</v>
      </c>
    </row>
    <row r="510" spans="1:10" ht="11.25" customHeight="1" x14ac:dyDescent="0.2">
      <c r="A510" s="29">
        <v>44470</v>
      </c>
      <c r="B510" s="19">
        <v>210701.29799999998</v>
      </c>
      <c r="C510" s="19">
        <v>232171.27235908032</v>
      </c>
      <c r="D510" s="19">
        <v>0</v>
      </c>
      <c r="E510" s="19">
        <v>0</v>
      </c>
      <c r="F510" s="19">
        <v>0</v>
      </c>
      <c r="G510" s="19">
        <v>0</v>
      </c>
      <c r="H510" s="20">
        <v>0.10189768436585678</v>
      </c>
      <c r="I510" s="20">
        <v>0</v>
      </c>
      <c r="J510" s="20">
        <v>0.10189768436585678</v>
      </c>
    </row>
    <row r="511" spans="1:10" ht="11.25" customHeight="1" x14ac:dyDescent="0.2">
      <c r="A511" s="29">
        <v>44501</v>
      </c>
      <c r="B511" s="19">
        <v>210478.42799999999</v>
      </c>
      <c r="C511" s="19">
        <v>231925.69242216568</v>
      </c>
      <c r="D511" s="19">
        <v>0</v>
      </c>
      <c r="E511" s="19">
        <v>0</v>
      </c>
      <c r="F511" s="19">
        <v>0</v>
      </c>
      <c r="G511" s="19">
        <v>0</v>
      </c>
      <c r="H511" s="20">
        <v>0.10189768436585678</v>
      </c>
      <c r="I511" s="20">
        <v>0</v>
      </c>
      <c r="J511" s="20">
        <v>0.10189768436585678</v>
      </c>
    </row>
    <row r="512" spans="1:10" ht="11.25" customHeight="1" x14ac:dyDescent="0.2">
      <c r="A512" s="29">
        <v>44531</v>
      </c>
      <c r="B512" s="19">
        <v>211258.47299999997</v>
      </c>
      <c r="C512" s="19">
        <v>232785.22220136685</v>
      </c>
      <c r="D512" s="19">
        <v>0</v>
      </c>
      <c r="E512" s="19">
        <v>0</v>
      </c>
      <c r="F512" s="19">
        <v>0</v>
      </c>
      <c r="G512" s="19">
        <v>0</v>
      </c>
      <c r="H512" s="20">
        <v>0.10189768436585678</v>
      </c>
      <c r="I512" s="20">
        <v>0</v>
      </c>
      <c r="J512" s="20">
        <v>0.10189768436585678</v>
      </c>
    </row>
    <row r="513" spans="1:10" ht="11.25" customHeight="1" x14ac:dyDescent="0.2">
      <c r="A513" s="29">
        <v>44562</v>
      </c>
      <c r="B513" s="19">
        <v>212818.56299999999</v>
      </c>
      <c r="C513" s="19">
        <v>234504.28175976919</v>
      </c>
      <c r="D513" s="19">
        <v>0</v>
      </c>
      <c r="E513" s="19">
        <v>0</v>
      </c>
      <c r="F513" s="19">
        <v>0</v>
      </c>
      <c r="G513" s="19">
        <v>0</v>
      </c>
      <c r="H513" s="20">
        <v>0.10189768436585678</v>
      </c>
      <c r="I513" s="20">
        <v>0</v>
      </c>
      <c r="J513" s="20">
        <v>0.10189768436585678</v>
      </c>
    </row>
    <row r="514" spans="1:10" ht="11.25" customHeight="1" x14ac:dyDescent="0.2">
      <c r="A514" s="29">
        <v>44593</v>
      </c>
      <c r="B514" s="19">
        <v>211057.88999999998</v>
      </c>
      <c r="C514" s="19">
        <v>232564.20025814371</v>
      </c>
      <c r="D514" s="19">
        <v>0</v>
      </c>
      <c r="E514" s="19">
        <v>0</v>
      </c>
      <c r="F514" s="19">
        <v>0</v>
      </c>
      <c r="G514" s="19">
        <v>0</v>
      </c>
      <c r="H514" s="20">
        <v>0.10189768436585678</v>
      </c>
      <c r="I514" s="20">
        <v>0</v>
      </c>
      <c r="J514" s="20">
        <v>0.10189768436585678</v>
      </c>
    </row>
    <row r="515" spans="1:10" ht="11.25" customHeight="1" x14ac:dyDescent="0.2">
      <c r="A515" s="29">
        <v>44621</v>
      </c>
      <c r="B515" s="19">
        <v>210991.02899999998</v>
      </c>
      <c r="C515" s="19">
        <v>232490.52627706932</v>
      </c>
      <c r="D515" s="19">
        <v>0</v>
      </c>
      <c r="E515" s="19">
        <v>0</v>
      </c>
      <c r="F515" s="19">
        <v>0</v>
      </c>
      <c r="G515" s="19">
        <v>0</v>
      </c>
      <c r="H515" s="20">
        <v>0.10189768436585678</v>
      </c>
      <c r="I515" s="20">
        <v>0</v>
      </c>
      <c r="J515" s="20">
        <v>0.10189768436585678</v>
      </c>
    </row>
    <row r="516" spans="1:10" ht="11.25" customHeight="1" x14ac:dyDescent="0.2">
      <c r="A516" s="29">
        <v>44652</v>
      </c>
      <c r="B516" s="19">
        <v>216005.60399999996</v>
      </c>
      <c r="C516" s="19">
        <v>238016.0748576482</v>
      </c>
      <c r="D516" s="19">
        <v>0</v>
      </c>
      <c r="E516" s="19">
        <v>0</v>
      </c>
      <c r="F516" s="19">
        <v>0</v>
      </c>
      <c r="G516" s="19">
        <v>0</v>
      </c>
      <c r="H516" s="20">
        <v>0.10189768436585678</v>
      </c>
      <c r="I516" s="20">
        <v>0</v>
      </c>
      <c r="J516" s="20">
        <v>0.10189768436585678</v>
      </c>
    </row>
    <row r="517" spans="1:10" ht="11.25" customHeight="1" x14ac:dyDescent="0.2">
      <c r="A517" s="29">
        <v>44682</v>
      </c>
      <c r="B517" s="19">
        <v>216696.50099999996</v>
      </c>
      <c r="C517" s="19">
        <v>238777.37266208354</v>
      </c>
      <c r="D517" s="19">
        <v>0</v>
      </c>
      <c r="E517" s="19">
        <v>0</v>
      </c>
      <c r="F517" s="19">
        <v>0</v>
      </c>
      <c r="G517" s="19">
        <v>0</v>
      </c>
      <c r="H517" s="20">
        <v>0.10189768436585678</v>
      </c>
      <c r="I517" s="20">
        <v>0</v>
      </c>
      <c r="J517" s="20">
        <v>0.10189768436585678</v>
      </c>
    </row>
    <row r="518" spans="1:10" ht="11.25" customHeight="1" x14ac:dyDescent="0.2">
      <c r="A518" s="29">
        <v>44713</v>
      </c>
      <c r="B518" s="19">
        <v>216540.492</v>
      </c>
      <c r="C518" s="19">
        <v>238605.46670624334</v>
      </c>
      <c r="D518" s="19">
        <v>0</v>
      </c>
      <c r="E518" s="19">
        <v>0</v>
      </c>
      <c r="F518" s="19">
        <v>0</v>
      </c>
      <c r="G518" s="19">
        <v>0</v>
      </c>
      <c r="H518" s="20">
        <v>0.10189768436585678</v>
      </c>
      <c r="I518" s="20">
        <v>0</v>
      </c>
      <c r="J518" s="20">
        <v>0.10189768436585678</v>
      </c>
    </row>
    <row r="519" spans="1:10" ht="11.25" customHeight="1" x14ac:dyDescent="0.2">
      <c r="A519" s="29">
        <v>44743</v>
      </c>
      <c r="B519" s="19">
        <v>216540.492</v>
      </c>
      <c r="C519" s="19">
        <v>238605.46670624334</v>
      </c>
      <c r="D519" s="19">
        <v>0</v>
      </c>
      <c r="E519" s="19">
        <v>0</v>
      </c>
      <c r="F519" s="19">
        <v>0</v>
      </c>
      <c r="G519" s="19">
        <v>0</v>
      </c>
      <c r="H519" s="20">
        <v>0.10189768436585678</v>
      </c>
      <c r="I519" s="20">
        <v>0</v>
      </c>
      <c r="J519" s="20">
        <v>0.10189768436585678</v>
      </c>
    </row>
    <row r="520" spans="1:10" ht="11.25" customHeight="1" x14ac:dyDescent="0.2">
      <c r="A520" s="28" t="s">
        <v>34</v>
      </c>
      <c r="B520" s="19">
        <v>0</v>
      </c>
      <c r="C520" s="19">
        <v>0</v>
      </c>
      <c r="D520" s="19">
        <v>3064097.7729295995</v>
      </c>
      <c r="E520" s="19">
        <v>3388625.2276272709</v>
      </c>
      <c r="F520" s="19">
        <v>915919.19686079992</v>
      </c>
      <c r="G520" s="19">
        <v>810076.88007680932</v>
      </c>
      <c r="H520" s="20">
        <v>0.10591289141122573</v>
      </c>
      <c r="I520" s="20">
        <v>-0.1155585745410207</v>
      </c>
      <c r="J520" s="20">
        <v>5.4945780275202694E-2</v>
      </c>
    </row>
    <row r="521" spans="1:10" ht="11.25" customHeight="1" x14ac:dyDescent="0.2">
      <c r="A521" s="29">
        <v>44409</v>
      </c>
      <c r="B521" s="19">
        <v>0</v>
      </c>
      <c r="C521" s="19">
        <v>0</v>
      </c>
      <c r="D521" s="19">
        <v>264701.39848420001</v>
      </c>
      <c r="E521" s="19">
        <v>292736.68895825662</v>
      </c>
      <c r="F521" s="19">
        <v>79124.4634716</v>
      </c>
      <c r="G521" s="19">
        <v>69980.953261498827</v>
      </c>
      <c r="H521" s="20">
        <v>0.10591289141122551</v>
      </c>
      <c r="I521" s="20">
        <v>-0.11555857454102092</v>
      </c>
      <c r="J521" s="20">
        <v>5.4945780275202472E-2</v>
      </c>
    </row>
    <row r="522" spans="1:10" ht="11.25" customHeight="1" x14ac:dyDescent="0.2">
      <c r="A522" s="29">
        <v>44440</v>
      </c>
      <c r="B522" s="19">
        <v>0</v>
      </c>
      <c r="C522" s="19">
        <v>0</v>
      </c>
      <c r="D522" s="19">
        <v>245009.18591280002</v>
      </c>
      <c r="E522" s="19">
        <v>270958.8172151352</v>
      </c>
      <c r="F522" s="19">
        <v>73238.073134400009</v>
      </c>
      <c r="G522" s="19">
        <v>64774.785800857702</v>
      </c>
      <c r="H522" s="20">
        <v>0.10591289141122573</v>
      </c>
      <c r="I522" s="20">
        <v>-0.11555857454102092</v>
      </c>
      <c r="J522" s="20">
        <v>5.4945780275202472E-2</v>
      </c>
    </row>
    <row r="523" spans="1:10" ht="11.25" customHeight="1" x14ac:dyDescent="0.2">
      <c r="A523" s="29">
        <v>44470</v>
      </c>
      <c r="B523" s="19">
        <v>0</v>
      </c>
      <c r="C523" s="19">
        <v>0</v>
      </c>
      <c r="D523" s="19">
        <v>243504.98045700003</v>
      </c>
      <c r="E523" s="19">
        <v>269295.29701023491</v>
      </c>
      <c r="F523" s="19">
        <v>72788.436486000006</v>
      </c>
      <c r="G523" s="19">
        <v>64377.108522608207</v>
      </c>
      <c r="H523" s="20">
        <v>0.10591289141122573</v>
      </c>
      <c r="I523" s="20">
        <v>-0.11555857454102092</v>
      </c>
      <c r="J523" s="20">
        <v>5.4945780275202249E-2</v>
      </c>
    </row>
    <row r="524" spans="1:10" ht="11.25" customHeight="1" x14ac:dyDescent="0.2">
      <c r="A524" s="29">
        <v>44501</v>
      </c>
      <c r="B524" s="19">
        <v>0</v>
      </c>
      <c r="C524" s="19">
        <v>0</v>
      </c>
      <c r="D524" s="19">
        <v>251564.92091260001</v>
      </c>
      <c r="E524" s="19">
        <v>278208.88906408974</v>
      </c>
      <c r="F524" s="19">
        <v>75197.711494799994</v>
      </c>
      <c r="G524" s="19">
        <v>66507.971145713978</v>
      </c>
      <c r="H524" s="20">
        <v>0.10591289141122551</v>
      </c>
      <c r="I524" s="20">
        <v>-0.1155585745410207</v>
      </c>
      <c r="J524" s="20">
        <v>5.4945780275202472E-2</v>
      </c>
    </row>
    <row r="525" spans="1:10" ht="11.25" customHeight="1" x14ac:dyDescent="0.2">
      <c r="A525" s="29">
        <v>44531</v>
      </c>
      <c r="B525" s="19">
        <v>0</v>
      </c>
      <c r="C525" s="19">
        <v>0</v>
      </c>
      <c r="D525" s="19">
        <v>255296.050655</v>
      </c>
      <c r="E525" s="19">
        <v>282335.19354573777</v>
      </c>
      <c r="F525" s="19">
        <v>76313.019690000001</v>
      </c>
      <c r="G525" s="19">
        <v>67494.395915702742</v>
      </c>
      <c r="H525" s="20">
        <v>0.10591289141122573</v>
      </c>
      <c r="I525" s="20">
        <v>-0.11555857454102092</v>
      </c>
      <c r="J525" s="20">
        <v>5.4945780275202472E-2</v>
      </c>
    </row>
    <row r="526" spans="1:10" ht="11.25" customHeight="1" x14ac:dyDescent="0.2">
      <c r="A526" s="29">
        <v>44562</v>
      </c>
      <c r="B526" s="19">
        <v>0</v>
      </c>
      <c r="C526" s="19">
        <v>0</v>
      </c>
      <c r="D526" s="19">
        <v>273842.91642880003</v>
      </c>
      <c r="E526" s="19">
        <v>302846.41150025686</v>
      </c>
      <c r="F526" s="19">
        <v>81857.043302400009</v>
      </c>
      <c r="G526" s="19">
        <v>72397.760062232046</v>
      </c>
      <c r="H526" s="20">
        <v>0.10591289141122551</v>
      </c>
      <c r="I526" s="20">
        <v>-0.11555857454102081</v>
      </c>
      <c r="J526" s="20">
        <v>5.4945780275202472E-2</v>
      </c>
    </row>
    <row r="527" spans="1:10" ht="11.25" customHeight="1" x14ac:dyDescent="0.2">
      <c r="A527" s="29">
        <v>44593</v>
      </c>
      <c r="B527" s="19">
        <v>0</v>
      </c>
      <c r="C527" s="19">
        <v>0</v>
      </c>
      <c r="D527" s="19">
        <v>244137.67202860003</v>
      </c>
      <c r="E527" s="19">
        <v>269994.99877555453</v>
      </c>
      <c r="F527" s="19">
        <v>72977.5604628</v>
      </c>
      <c r="G527" s="19">
        <v>64544.37760223767</v>
      </c>
      <c r="H527" s="20">
        <v>0.10591289141122551</v>
      </c>
      <c r="I527" s="20">
        <v>-0.11555857454102081</v>
      </c>
      <c r="J527" s="20">
        <v>5.4945780275202472E-2</v>
      </c>
    </row>
    <row r="528" spans="1:10" ht="11.25" customHeight="1" x14ac:dyDescent="0.2">
      <c r="A528" s="29">
        <v>44621</v>
      </c>
      <c r="B528" s="19">
        <v>0</v>
      </c>
      <c r="C528" s="19">
        <v>0</v>
      </c>
      <c r="D528" s="19">
        <v>240530.32976759999</v>
      </c>
      <c r="E528" s="19">
        <v>266005.59246538213</v>
      </c>
      <c r="F528" s="19">
        <v>71899.254784799996</v>
      </c>
      <c r="G528" s="19">
        <v>63590.67939130684</v>
      </c>
      <c r="H528" s="20">
        <v>0.10591289141122573</v>
      </c>
      <c r="I528" s="20">
        <v>-0.11555857454102081</v>
      </c>
      <c r="J528" s="20">
        <v>5.4945780275202472E-2</v>
      </c>
    </row>
    <row r="529" spans="1:10" ht="11.25" customHeight="1" x14ac:dyDescent="0.2">
      <c r="A529" s="29">
        <v>44652</v>
      </c>
      <c r="B529" s="19">
        <v>0</v>
      </c>
      <c r="C529" s="19">
        <v>0</v>
      </c>
      <c r="D529" s="19">
        <v>246684.6932368</v>
      </c>
      <c r="E529" s="19">
        <v>272811.78236440069</v>
      </c>
      <c r="F529" s="19">
        <v>73738.915286399992</v>
      </c>
      <c r="G529" s="19">
        <v>65217.75134770252</v>
      </c>
      <c r="H529" s="20">
        <v>0.10591289141122551</v>
      </c>
      <c r="I529" s="20">
        <v>-0.11555857454102081</v>
      </c>
      <c r="J529" s="20">
        <v>5.4945780275202472E-2</v>
      </c>
    </row>
    <row r="530" spans="1:10" ht="11.25" customHeight="1" x14ac:dyDescent="0.2">
      <c r="A530" s="29">
        <v>44682</v>
      </c>
      <c r="B530" s="19">
        <v>0</v>
      </c>
      <c r="C530" s="19">
        <v>0</v>
      </c>
      <c r="D530" s="19">
        <v>261585.45501300003</v>
      </c>
      <c r="E530" s="19">
        <v>289290.72690454795</v>
      </c>
      <c r="F530" s="19">
        <v>78193.046574000007</v>
      </c>
      <c r="G530" s="19">
        <v>69157.169572888903</v>
      </c>
      <c r="H530" s="20">
        <v>0.10591289141122573</v>
      </c>
      <c r="I530" s="20">
        <v>-0.11555857454102092</v>
      </c>
      <c r="J530" s="20">
        <v>5.4945780275202472E-2</v>
      </c>
    </row>
    <row r="531" spans="1:10" ht="11.25" customHeight="1" x14ac:dyDescent="0.2">
      <c r="A531" s="29">
        <v>44713</v>
      </c>
      <c r="B531" s="19">
        <v>0</v>
      </c>
      <c r="C531" s="19">
        <v>0</v>
      </c>
      <c r="D531" s="19">
        <v>268620.08501659997</v>
      </c>
      <c r="E531" s="19">
        <v>297070.41491183732</v>
      </c>
      <c r="F531" s="19">
        <v>80295.836086800002</v>
      </c>
      <c r="G531" s="19">
        <v>71016.963727029928</v>
      </c>
      <c r="H531" s="20">
        <v>0.10591289141122551</v>
      </c>
      <c r="I531" s="20">
        <v>-0.11555857454102092</v>
      </c>
      <c r="J531" s="20">
        <v>5.4945780275202472E-2</v>
      </c>
    </row>
    <row r="532" spans="1:10" ht="11.25" customHeight="1" x14ac:dyDescent="0.2">
      <c r="A532" s="29">
        <v>44743</v>
      </c>
      <c r="B532" s="19">
        <v>0</v>
      </c>
      <c r="C532" s="19">
        <v>0</v>
      </c>
      <c r="D532" s="19">
        <v>268620.08501659997</v>
      </c>
      <c r="E532" s="19">
        <v>297070.41491183732</v>
      </c>
      <c r="F532" s="19">
        <v>80295.836086800002</v>
      </c>
      <c r="G532" s="19">
        <v>71016.963727029928</v>
      </c>
      <c r="H532" s="20">
        <v>0.10591289141122551</v>
      </c>
      <c r="I532" s="20">
        <v>-0.11555857454102092</v>
      </c>
      <c r="J532" s="20">
        <v>5.4945780275202472E-2</v>
      </c>
    </row>
    <row r="533" spans="1:10" ht="11.25" customHeight="1" x14ac:dyDescent="0.2">
      <c r="A533" s="22" t="s">
        <v>22</v>
      </c>
      <c r="B533" s="19">
        <v>0</v>
      </c>
      <c r="C533" s="19">
        <v>0</v>
      </c>
      <c r="D533" s="19">
        <v>592277469.14140999</v>
      </c>
      <c r="E533" s="19">
        <v>652067979.69844353</v>
      </c>
      <c r="F533" s="19">
        <v>455870032.87893033</v>
      </c>
      <c r="G533" s="19">
        <v>419169414.99862903</v>
      </c>
      <c r="H533" s="20">
        <v>0.10095016891948982</v>
      </c>
      <c r="I533" s="20">
        <v>-8.0506756823931269E-2</v>
      </c>
      <c r="J533" s="20">
        <v>2.20292398085431E-2</v>
      </c>
    </row>
    <row r="534" spans="1:10" ht="11.25" customHeight="1" x14ac:dyDescent="0.2">
      <c r="A534" s="23" t="s">
        <v>33</v>
      </c>
      <c r="B534" s="19">
        <v>0</v>
      </c>
      <c r="C534" s="19">
        <v>0</v>
      </c>
      <c r="D534" s="19">
        <v>478372.75735999999</v>
      </c>
      <c r="E534" s="19">
        <v>534448.4289224674</v>
      </c>
      <c r="F534" s="19">
        <v>390362.93369999999</v>
      </c>
      <c r="G534" s="19">
        <v>359252.81650347018</v>
      </c>
      <c r="H534" s="20">
        <v>0.11722170775763407</v>
      </c>
      <c r="I534" s="20">
        <v>-7.9695366826089908E-2</v>
      </c>
      <c r="J534" s="20">
        <v>2.8737802098904641E-2</v>
      </c>
    </row>
    <row r="535" spans="1:10" ht="11.25" customHeight="1" x14ac:dyDescent="0.2">
      <c r="A535" s="24" t="s">
        <v>24</v>
      </c>
      <c r="B535" s="19">
        <v>0</v>
      </c>
      <c r="C535" s="19">
        <v>0</v>
      </c>
      <c r="D535" s="19">
        <v>478372.75735999999</v>
      </c>
      <c r="E535" s="19">
        <v>534448.4289224674</v>
      </c>
      <c r="F535" s="19">
        <v>390362.93369999999</v>
      </c>
      <c r="G535" s="19">
        <v>359252.81650347018</v>
      </c>
      <c r="H535" s="20">
        <v>0.11722170775763407</v>
      </c>
      <c r="I535" s="20">
        <v>-7.9695366826089908E-2</v>
      </c>
      <c r="J535" s="20">
        <v>2.8737802098904641E-2</v>
      </c>
    </row>
    <row r="536" spans="1:10" ht="11.25" customHeight="1" x14ac:dyDescent="0.2">
      <c r="A536" s="25" t="s">
        <v>24</v>
      </c>
      <c r="B536" s="19">
        <v>0</v>
      </c>
      <c r="C536" s="19">
        <v>0</v>
      </c>
      <c r="D536" s="19">
        <v>478372.75735999999</v>
      </c>
      <c r="E536" s="19">
        <v>534448.4289224674</v>
      </c>
      <c r="F536" s="19">
        <v>390362.93369999999</v>
      </c>
      <c r="G536" s="19">
        <v>359252.81650347018</v>
      </c>
      <c r="H536" s="20">
        <v>0.11722170775763407</v>
      </c>
      <c r="I536" s="20">
        <v>-7.9695366826089908E-2</v>
      </c>
      <c r="J536" s="20">
        <v>2.8737802098904641E-2</v>
      </c>
    </row>
    <row r="537" spans="1:10" ht="11.25" customHeight="1" x14ac:dyDescent="0.2">
      <c r="A537" s="26" t="s">
        <v>25</v>
      </c>
      <c r="B537" s="19">
        <v>0</v>
      </c>
      <c r="C537" s="19">
        <v>0</v>
      </c>
      <c r="D537" s="19">
        <v>478372.75735999999</v>
      </c>
      <c r="E537" s="19">
        <v>534448.4289224674</v>
      </c>
      <c r="F537" s="19">
        <v>390362.93369999999</v>
      </c>
      <c r="G537" s="19">
        <v>359252.81650347018</v>
      </c>
      <c r="H537" s="20">
        <v>0.11722170775763407</v>
      </c>
      <c r="I537" s="20">
        <v>-7.9695366826089908E-2</v>
      </c>
      <c r="J537" s="20">
        <v>2.8737802098904641E-2</v>
      </c>
    </row>
    <row r="538" spans="1:10" ht="11.25" customHeight="1" x14ac:dyDescent="0.2">
      <c r="A538" s="27" t="s">
        <v>25</v>
      </c>
      <c r="B538" s="19">
        <v>0</v>
      </c>
      <c r="C538" s="19">
        <v>0</v>
      </c>
      <c r="D538" s="19">
        <v>478372.75735999999</v>
      </c>
      <c r="E538" s="19">
        <v>534448.4289224674</v>
      </c>
      <c r="F538" s="19">
        <v>390362.93369999999</v>
      </c>
      <c r="G538" s="19">
        <v>359252.81650347018</v>
      </c>
      <c r="H538" s="20">
        <v>0.11722170775763407</v>
      </c>
      <c r="I538" s="20">
        <v>-7.9695366826089908E-2</v>
      </c>
      <c r="J538" s="20">
        <v>2.8737802098904641E-2</v>
      </c>
    </row>
    <row r="539" spans="1:10" ht="11.25" customHeight="1" x14ac:dyDescent="0.2">
      <c r="A539" s="28" t="s">
        <v>35</v>
      </c>
      <c r="B539" s="19">
        <v>0</v>
      </c>
      <c r="C539" s="19">
        <v>0</v>
      </c>
      <c r="D539" s="19">
        <v>339643.97782999999</v>
      </c>
      <c r="E539" s="19">
        <v>380707.95451642823</v>
      </c>
      <c r="F539" s="19">
        <v>329770.68534000003</v>
      </c>
      <c r="G539" s="19">
        <v>304941.94759066607</v>
      </c>
      <c r="H539" s="20">
        <v>0.12090300245800822</v>
      </c>
      <c r="I539" s="20">
        <v>-7.5290918365697568E-2</v>
      </c>
      <c r="J539" s="20">
        <v>2.4252888127983985E-2</v>
      </c>
    </row>
    <row r="540" spans="1:10" ht="11.25" customHeight="1" x14ac:dyDescent="0.2">
      <c r="A540" s="29">
        <v>44409</v>
      </c>
      <c r="B540" s="19">
        <v>0</v>
      </c>
      <c r="C540" s="19">
        <v>0</v>
      </c>
      <c r="D540" s="19">
        <v>26034.118909999997</v>
      </c>
      <c r="E540" s="19">
        <v>29181.722052567813</v>
      </c>
      <c r="F540" s="19">
        <v>25277.319179999999</v>
      </c>
      <c r="G540" s="19">
        <v>23374.166605114944</v>
      </c>
      <c r="H540" s="20">
        <v>0.12090300245800845</v>
      </c>
      <c r="I540" s="20">
        <v>-7.5290918365697346E-2</v>
      </c>
      <c r="J540" s="20">
        <v>2.4252888127984207E-2</v>
      </c>
    </row>
    <row r="541" spans="1:10" ht="11.25" customHeight="1" x14ac:dyDescent="0.2">
      <c r="A541" s="29">
        <v>44440</v>
      </c>
      <c r="B541" s="19">
        <v>0</v>
      </c>
      <c r="C541" s="19">
        <v>0</v>
      </c>
      <c r="D541" s="19">
        <v>25861.806900000003</v>
      </c>
      <c r="E541" s="19">
        <v>28988.57700319924</v>
      </c>
      <c r="F541" s="19">
        <v>25110.016200000002</v>
      </c>
      <c r="G541" s="19">
        <v>23219.460020124465</v>
      </c>
      <c r="H541" s="20">
        <v>0.12090300245800822</v>
      </c>
      <c r="I541" s="20">
        <v>-7.5290918365697346E-2</v>
      </c>
      <c r="J541" s="20">
        <v>2.4252888127984207E-2</v>
      </c>
    </row>
    <row r="542" spans="1:10" ht="11.25" customHeight="1" x14ac:dyDescent="0.2">
      <c r="A542" s="29">
        <v>44470</v>
      </c>
      <c r="B542" s="19">
        <v>0</v>
      </c>
      <c r="C542" s="19">
        <v>0</v>
      </c>
      <c r="D542" s="19">
        <v>29194.256149999997</v>
      </c>
      <c r="E542" s="19">
        <v>32723.929373063176</v>
      </c>
      <c r="F542" s="19">
        <v>28345.592699999997</v>
      </c>
      <c r="G542" s="19">
        <v>26211.426993996996</v>
      </c>
      <c r="H542" s="20">
        <v>0.12090300245800845</v>
      </c>
      <c r="I542" s="20">
        <v>-7.5290918365697124E-2</v>
      </c>
      <c r="J542" s="20">
        <v>2.4252888127984429E-2</v>
      </c>
    </row>
    <row r="543" spans="1:10" ht="11.25" customHeight="1" x14ac:dyDescent="0.2">
      <c r="A543" s="29">
        <v>44501</v>
      </c>
      <c r="B543" s="19">
        <v>0</v>
      </c>
      <c r="C543" s="19">
        <v>0</v>
      </c>
      <c r="D543" s="19">
        <v>30146.098690000003</v>
      </c>
      <c r="E543" s="19">
        <v>33790.852534016434</v>
      </c>
      <c r="F543" s="19">
        <v>29269.765620000002</v>
      </c>
      <c r="G543" s="19">
        <v>27066.018086121487</v>
      </c>
      <c r="H543" s="20">
        <v>0.12090300245800822</v>
      </c>
      <c r="I543" s="20">
        <v>-7.5290918365697346E-2</v>
      </c>
      <c r="J543" s="20">
        <v>2.4252888127984207E-2</v>
      </c>
    </row>
    <row r="544" spans="1:10" ht="11.25" customHeight="1" x14ac:dyDescent="0.2">
      <c r="A544" s="29">
        <v>44531</v>
      </c>
      <c r="B544" s="19">
        <v>0</v>
      </c>
      <c r="C544" s="19">
        <v>0</v>
      </c>
      <c r="D544" s="19">
        <v>36608.174199999994</v>
      </c>
      <c r="E544" s="19">
        <v>41034.212375285795</v>
      </c>
      <c r="F544" s="19">
        <v>35543.991600000001</v>
      </c>
      <c r="G544" s="19">
        <v>32867.851830053369</v>
      </c>
      <c r="H544" s="20">
        <v>0.12090300245800845</v>
      </c>
      <c r="I544" s="20">
        <v>-7.5290918365697346E-2</v>
      </c>
      <c r="J544" s="20">
        <v>2.4252888127984429E-2</v>
      </c>
    </row>
    <row r="545" spans="1:10" ht="11.25" customHeight="1" x14ac:dyDescent="0.2">
      <c r="A545" s="29">
        <v>44562</v>
      </c>
      <c r="B545" s="19">
        <v>0</v>
      </c>
      <c r="C545" s="19">
        <v>0</v>
      </c>
      <c r="D545" s="19">
        <v>29553.135299999994</v>
      </c>
      <c r="E545" s="19">
        <v>33126.19808981775</v>
      </c>
      <c r="F545" s="19">
        <v>28694.039399999998</v>
      </c>
      <c r="G545" s="19">
        <v>26533.638821952496</v>
      </c>
      <c r="H545" s="20">
        <v>0.12090300245800845</v>
      </c>
      <c r="I545" s="20">
        <v>-7.5290918365697346E-2</v>
      </c>
      <c r="J545" s="20">
        <v>2.4252888127984207E-2</v>
      </c>
    </row>
    <row r="546" spans="1:10" ht="11.25" customHeight="1" x14ac:dyDescent="0.2">
      <c r="A546" s="29">
        <v>44593</v>
      </c>
      <c r="B546" s="19">
        <v>0</v>
      </c>
      <c r="C546" s="19">
        <v>0</v>
      </c>
      <c r="D546" s="19">
        <v>28992.68361</v>
      </c>
      <c r="E546" s="19">
        <v>32497.986107764093</v>
      </c>
      <c r="F546" s="19">
        <v>28149.879779999999</v>
      </c>
      <c r="G546" s="19">
        <v>26030.449479479827</v>
      </c>
      <c r="H546" s="20">
        <v>0.12090300245800845</v>
      </c>
      <c r="I546" s="20">
        <v>-7.5290918365697346E-2</v>
      </c>
      <c r="J546" s="20">
        <v>2.4252888127984429E-2</v>
      </c>
    </row>
    <row r="547" spans="1:10" ht="11.25" customHeight="1" x14ac:dyDescent="0.2">
      <c r="A547" s="29">
        <v>44621</v>
      </c>
      <c r="B547" s="19">
        <v>0</v>
      </c>
      <c r="C547" s="19">
        <v>0</v>
      </c>
      <c r="D547" s="19">
        <v>31535.34864</v>
      </c>
      <c r="E547" s="19">
        <v>35348.066974136069</v>
      </c>
      <c r="F547" s="19">
        <v>30618.630720000001</v>
      </c>
      <c r="G547" s="19">
        <v>28313.325893991045</v>
      </c>
      <c r="H547" s="20">
        <v>0.12090300245800822</v>
      </c>
      <c r="I547" s="20">
        <v>-7.5290918365697457E-2</v>
      </c>
      <c r="J547" s="20">
        <v>2.4252888127984207E-2</v>
      </c>
    </row>
    <row r="548" spans="1:10" ht="11.25" customHeight="1" x14ac:dyDescent="0.2">
      <c r="A548" s="29">
        <v>44652</v>
      </c>
      <c r="B548" s="19">
        <v>0</v>
      </c>
      <c r="C548" s="19">
        <v>0</v>
      </c>
      <c r="D548" s="19">
        <v>28037.83999</v>
      </c>
      <c r="E548" s="19">
        <v>31427.699027228216</v>
      </c>
      <c r="F548" s="19">
        <v>27222.793019999997</v>
      </c>
      <c r="G548" s="19">
        <v>25173.163933044903</v>
      </c>
      <c r="H548" s="20">
        <v>0.12090300245800845</v>
      </c>
      <c r="I548" s="20">
        <v>-7.5290918365697346E-2</v>
      </c>
      <c r="J548" s="20">
        <v>2.4252888127984207E-2</v>
      </c>
    </row>
    <row r="549" spans="1:10" ht="11.25" customHeight="1" x14ac:dyDescent="0.2">
      <c r="A549" s="29">
        <v>44682</v>
      </c>
      <c r="B549" s="19">
        <v>0</v>
      </c>
      <c r="C549" s="19">
        <v>0</v>
      </c>
      <c r="D549" s="19">
        <v>28031.587740000003</v>
      </c>
      <c r="E549" s="19">
        <v>31420.6908614311</v>
      </c>
      <c r="F549" s="19">
        <v>27216.722519999996</v>
      </c>
      <c r="G549" s="19">
        <v>25167.550486564847</v>
      </c>
      <c r="H549" s="20">
        <v>0.12090300245800845</v>
      </c>
      <c r="I549" s="20">
        <v>-7.5290918365697013E-2</v>
      </c>
      <c r="J549" s="20">
        <v>2.4252888127984429E-2</v>
      </c>
    </row>
    <row r="550" spans="1:10" ht="11.25" customHeight="1" x14ac:dyDescent="0.2">
      <c r="A550" s="29">
        <v>44713</v>
      </c>
      <c r="B550" s="19">
        <v>0</v>
      </c>
      <c r="C550" s="19">
        <v>0</v>
      </c>
      <c r="D550" s="19">
        <v>22824.46385</v>
      </c>
      <c r="E550" s="19">
        <v>25584.010058959273</v>
      </c>
      <c r="F550" s="19">
        <v>22160.9673</v>
      </c>
      <c r="G550" s="19">
        <v>20492.447720110813</v>
      </c>
      <c r="H550" s="20">
        <v>0.12090300245800845</v>
      </c>
      <c r="I550" s="20">
        <v>-7.5290918365697346E-2</v>
      </c>
      <c r="J550" s="20">
        <v>2.4252888127984207E-2</v>
      </c>
    </row>
    <row r="551" spans="1:10" ht="11.25" customHeight="1" x14ac:dyDescent="0.2">
      <c r="A551" s="29">
        <v>44743</v>
      </c>
      <c r="B551" s="19">
        <v>0</v>
      </c>
      <c r="C551" s="19">
        <v>0</v>
      </c>
      <c r="D551" s="19">
        <v>22824.46385</v>
      </c>
      <c r="E551" s="19">
        <v>25584.010058959273</v>
      </c>
      <c r="F551" s="19">
        <v>22160.9673</v>
      </c>
      <c r="G551" s="19">
        <v>20492.447720110813</v>
      </c>
      <c r="H551" s="20">
        <v>0.12090300245800845</v>
      </c>
      <c r="I551" s="20">
        <v>-7.5290918365697346E-2</v>
      </c>
      <c r="J551" s="20">
        <v>2.4252888127984207E-2</v>
      </c>
    </row>
    <row r="552" spans="1:10" ht="11.25" customHeight="1" x14ac:dyDescent="0.2">
      <c r="A552" s="28" t="s">
        <v>36</v>
      </c>
      <c r="B552" s="19">
        <v>0</v>
      </c>
      <c r="C552" s="19">
        <v>0</v>
      </c>
      <c r="D552" s="19">
        <v>42303.140849999996</v>
      </c>
      <c r="E552" s="19">
        <v>46967.5032339764</v>
      </c>
      <c r="F552" s="19">
        <v>17894.619899999998</v>
      </c>
      <c r="G552" s="19">
        <v>16547.317533923917</v>
      </c>
      <c r="H552" s="20">
        <v>0.11026042724618113</v>
      </c>
      <c r="I552" s="20">
        <v>-7.5290918365697013E-2</v>
      </c>
      <c r="J552" s="20">
        <v>5.5102714396237706E-2</v>
      </c>
    </row>
    <row r="553" spans="1:10" ht="11.25" customHeight="1" x14ac:dyDescent="0.2">
      <c r="A553" s="29">
        <v>44409</v>
      </c>
      <c r="B553" s="19">
        <v>0</v>
      </c>
      <c r="C553" s="19">
        <v>0</v>
      </c>
      <c r="D553" s="19">
        <v>3470.58538</v>
      </c>
      <c r="E553" s="19">
        <v>3853.2536067931514</v>
      </c>
      <c r="F553" s="19">
        <v>1468.0897199999999</v>
      </c>
      <c r="G553" s="19">
        <v>1357.5558967379607</v>
      </c>
      <c r="H553" s="20">
        <v>0.11026042724618157</v>
      </c>
      <c r="I553" s="20">
        <v>-7.5290918365697235E-2</v>
      </c>
      <c r="J553" s="20">
        <v>5.5102714396237928E-2</v>
      </c>
    </row>
    <row r="554" spans="1:10" ht="11.25" customHeight="1" x14ac:dyDescent="0.2">
      <c r="A554" s="29">
        <v>44440</v>
      </c>
      <c r="B554" s="19">
        <v>0</v>
      </c>
      <c r="C554" s="19">
        <v>0</v>
      </c>
      <c r="D554" s="19">
        <v>3250.1578599999998</v>
      </c>
      <c r="E554" s="19">
        <v>3608.5216542611352</v>
      </c>
      <c r="F554" s="19">
        <v>1374.8468399999999</v>
      </c>
      <c r="G554" s="19">
        <v>1271.3333588042233</v>
      </c>
      <c r="H554" s="20">
        <v>0.11026042724618157</v>
      </c>
      <c r="I554" s="20">
        <v>-7.5290918365697124E-2</v>
      </c>
      <c r="J554" s="20">
        <v>5.510271439623815E-2</v>
      </c>
    </row>
    <row r="555" spans="1:10" ht="11.25" customHeight="1" x14ac:dyDescent="0.2">
      <c r="A555" s="29">
        <v>44470</v>
      </c>
      <c r="B555" s="19">
        <v>0</v>
      </c>
      <c r="C555" s="19">
        <v>0</v>
      </c>
      <c r="D555" s="19">
        <v>3320.1895199999999</v>
      </c>
      <c r="E555" s="19">
        <v>3686.2750350134947</v>
      </c>
      <c r="F555" s="19">
        <v>1404.4708800000001</v>
      </c>
      <c r="G555" s="19">
        <v>1298.7269776269209</v>
      </c>
      <c r="H555" s="20">
        <v>0.11026042724618157</v>
      </c>
      <c r="I555" s="20">
        <v>-7.5290918365697457E-2</v>
      </c>
      <c r="J555" s="20">
        <v>5.510271439623815E-2</v>
      </c>
    </row>
    <row r="556" spans="1:10" ht="11.25" customHeight="1" x14ac:dyDescent="0.2">
      <c r="A556" s="29">
        <v>44501</v>
      </c>
      <c r="B556" s="19">
        <v>0</v>
      </c>
      <c r="C556" s="19">
        <v>0</v>
      </c>
      <c r="D556" s="19">
        <v>3256.4721900000004</v>
      </c>
      <c r="E556" s="19">
        <v>3615.5322049847086</v>
      </c>
      <c r="F556" s="19">
        <v>1377.5178599999999</v>
      </c>
      <c r="G556" s="19">
        <v>1273.80327525545</v>
      </c>
      <c r="H556" s="20">
        <v>0.11026042724618135</v>
      </c>
      <c r="I556" s="20">
        <v>-7.5290918365697235E-2</v>
      </c>
      <c r="J556" s="20">
        <v>5.5102714396237928E-2</v>
      </c>
    </row>
    <row r="557" spans="1:10" ht="11.25" customHeight="1" x14ac:dyDescent="0.2">
      <c r="A557" s="29">
        <v>44531</v>
      </c>
      <c r="B557" s="19">
        <v>0</v>
      </c>
      <c r="C557" s="19">
        <v>0</v>
      </c>
      <c r="D557" s="19">
        <v>4610.6089599999996</v>
      </c>
      <c r="E557" s="19">
        <v>5118.976673794672</v>
      </c>
      <c r="F557" s="19">
        <v>1950.33024</v>
      </c>
      <c r="G557" s="19">
        <v>1803.488085114009</v>
      </c>
      <c r="H557" s="20">
        <v>0.11026042724618157</v>
      </c>
      <c r="I557" s="20">
        <v>-7.5290918365697457E-2</v>
      </c>
      <c r="J557" s="20">
        <v>5.5102714396237706E-2</v>
      </c>
    </row>
    <row r="558" spans="1:10" ht="11.25" customHeight="1" x14ac:dyDescent="0.2">
      <c r="A558" s="29">
        <v>44562</v>
      </c>
      <c r="B558" s="19">
        <v>0</v>
      </c>
      <c r="C558" s="19">
        <v>0</v>
      </c>
      <c r="D558" s="19">
        <v>3334.54027</v>
      </c>
      <c r="E558" s="19">
        <v>3702.2081048397981</v>
      </c>
      <c r="F558" s="19">
        <v>1410.5413800000001</v>
      </c>
      <c r="G558" s="19">
        <v>1304.3404241069823</v>
      </c>
      <c r="H558" s="20">
        <v>0.11026042724618179</v>
      </c>
      <c r="I558" s="20">
        <v>-7.5290918365697235E-2</v>
      </c>
      <c r="J558" s="20">
        <v>5.510271439623815E-2</v>
      </c>
    </row>
    <row r="559" spans="1:10" ht="11.25" customHeight="1" x14ac:dyDescent="0.2">
      <c r="A559" s="29">
        <v>44593</v>
      </c>
      <c r="B559" s="19">
        <v>0</v>
      </c>
      <c r="C559" s="19">
        <v>0</v>
      </c>
      <c r="D559" s="19">
        <v>3624.42542</v>
      </c>
      <c r="E559" s="19">
        <v>4024.056115331121</v>
      </c>
      <c r="F559" s="19">
        <v>1533.1654800000001</v>
      </c>
      <c r="G559" s="19">
        <v>1417.7320430042148</v>
      </c>
      <c r="H559" s="20">
        <v>0.11026042724618157</v>
      </c>
      <c r="I559" s="20">
        <v>-7.5290918365697457E-2</v>
      </c>
      <c r="J559" s="20">
        <v>5.5102714396237928E-2</v>
      </c>
    </row>
    <row r="560" spans="1:10" ht="11.25" customHeight="1" x14ac:dyDescent="0.2">
      <c r="A560" s="29">
        <v>44621</v>
      </c>
      <c r="B560" s="19">
        <v>0</v>
      </c>
      <c r="C560" s="19">
        <v>0</v>
      </c>
      <c r="D560" s="19">
        <v>3938.9938599999996</v>
      </c>
      <c r="E560" s="19">
        <v>4373.3090059236856</v>
      </c>
      <c r="F560" s="19">
        <v>1666.2308399999999</v>
      </c>
      <c r="G560" s="19">
        <v>1540.7787898471527</v>
      </c>
      <c r="H560" s="20">
        <v>0.11026042724618157</v>
      </c>
      <c r="I560" s="20">
        <v>-7.5290918365697346E-2</v>
      </c>
      <c r="J560" s="20">
        <v>5.5102714396237928E-2</v>
      </c>
    </row>
    <row r="561" spans="1:10" ht="11.25" customHeight="1" x14ac:dyDescent="0.2">
      <c r="A561" s="29">
        <v>44652</v>
      </c>
      <c r="B561" s="19">
        <v>0</v>
      </c>
      <c r="C561" s="19">
        <v>0</v>
      </c>
      <c r="D561" s="19">
        <v>3484.3620999999994</v>
      </c>
      <c r="E561" s="19">
        <v>3868.5493538264018</v>
      </c>
      <c r="F561" s="19">
        <v>1473.9173999999998</v>
      </c>
      <c r="G561" s="19">
        <v>1362.9448053588192</v>
      </c>
      <c r="H561" s="20">
        <v>0.11026042724618157</v>
      </c>
      <c r="I561" s="20">
        <v>-7.5290918365697235E-2</v>
      </c>
      <c r="J561" s="20">
        <v>5.510271439623815E-2</v>
      </c>
    </row>
    <row r="562" spans="1:10" ht="11.25" customHeight="1" x14ac:dyDescent="0.2">
      <c r="A562" s="29">
        <v>44682</v>
      </c>
      <c r="B562" s="19">
        <v>0</v>
      </c>
      <c r="C562" s="19">
        <v>0</v>
      </c>
      <c r="D562" s="19">
        <v>3529.71047</v>
      </c>
      <c r="E562" s="19">
        <v>3918.89785447752</v>
      </c>
      <c r="F562" s="19">
        <v>1493.1001799999999</v>
      </c>
      <c r="G562" s="19">
        <v>1380.6832962358119</v>
      </c>
      <c r="H562" s="20">
        <v>0.11026042724618157</v>
      </c>
      <c r="I562" s="20">
        <v>-7.5290918365697346E-2</v>
      </c>
      <c r="J562" s="20">
        <v>5.5102714396237928E-2</v>
      </c>
    </row>
    <row r="563" spans="1:10" ht="11.25" customHeight="1" x14ac:dyDescent="0.2">
      <c r="A563" s="29">
        <v>44713</v>
      </c>
      <c r="B563" s="19">
        <v>0</v>
      </c>
      <c r="C563" s="19">
        <v>0</v>
      </c>
      <c r="D563" s="19">
        <v>3241.5474099999997</v>
      </c>
      <c r="E563" s="19">
        <v>3598.9618123653531</v>
      </c>
      <c r="F563" s="19">
        <v>1371.2045399999997</v>
      </c>
      <c r="G563" s="19">
        <v>1267.9652909161864</v>
      </c>
      <c r="H563" s="20">
        <v>0.11026042724618157</v>
      </c>
      <c r="I563" s="20">
        <v>-7.5290918365697124E-2</v>
      </c>
      <c r="J563" s="20">
        <v>5.5102714396237928E-2</v>
      </c>
    </row>
    <row r="564" spans="1:10" ht="11.25" customHeight="1" x14ac:dyDescent="0.2">
      <c r="A564" s="29">
        <v>44743</v>
      </c>
      <c r="B564" s="19">
        <v>0</v>
      </c>
      <c r="C564" s="19">
        <v>0</v>
      </c>
      <c r="D564" s="19">
        <v>3241.5474099999997</v>
      </c>
      <c r="E564" s="19">
        <v>3598.9618123653531</v>
      </c>
      <c r="F564" s="19">
        <v>1371.2045399999997</v>
      </c>
      <c r="G564" s="19">
        <v>1267.9652909161864</v>
      </c>
      <c r="H564" s="20">
        <v>0.11026042724618157</v>
      </c>
      <c r="I564" s="20">
        <v>-7.5290918365697124E-2</v>
      </c>
      <c r="J564" s="20">
        <v>5.5102714396237928E-2</v>
      </c>
    </row>
    <row r="565" spans="1:10" ht="11.25" customHeight="1" x14ac:dyDescent="0.2">
      <c r="A565" s="28" t="s">
        <v>34</v>
      </c>
      <c r="B565" s="19">
        <v>0</v>
      </c>
      <c r="C565" s="19">
        <v>0</v>
      </c>
      <c r="D565" s="19">
        <v>96425.638680000018</v>
      </c>
      <c r="E565" s="19">
        <v>106772.97117206296</v>
      </c>
      <c r="F565" s="19">
        <v>42697.628460000007</v>
      </c>
      <c r="G565" s="19">
        <v>37763.551378880278</v>
      </c>
      <c r="H565" s="20">
        <v>0.1073089339485922</v>
      </c>
      <c r="I565" s="20">
        <v>-0.11555857454102114</v>
      </c>
      <c r="J565" s="20">
        <v>3.8909777797957013E-2</v>
      </c>
    </row>
    <row r="566" spans="1:10" ht="11.25" customHeight="1" x14ac:dyDescent="0.2">
      <c r="A566" s="29">
        <v>44409</v>
      </c>
      <c r="B566" s="19">
        <v>0</v>
      </c>
      <c r="C566" s="19">
        <v>0</v>
      </c>
      <c r="D566" s="19">
        <v>8351.9259600000005</v>
      </c>
      <c r="E566" s="19">
        <v>9248.1622311851734</v>
      </c>
      <c r="F566" s="19">
        <v>3698.2636200000002</v>
      </c>
      <c r="G566" s="19">
        <v>3270.8975477958847</v>
      </c>
      <c r="H566" s="20">
        <v>0.1073089339485922</v>
      </c>
      <c r="I566" s="20">
        <v>-0.11555857454102081</v>
      </c>
      <c r="J566" s="20">
        <v>3.8909777797957013E-2</v>
      </c>
    </row>
    <row r="567" spans="1:10" ht="11.25" customHeight="1" x14ac:dyDescent="0.2">
      <c r="A567" s="29">
        <v>44440</v>
      </c>
      <c r="B567" s="19">
        <v>0</v>
      </c>
      <c r="C567" s="19">
        <v>0</v>
      </c>
      <c r="D567" s="19">
        <v>15163.850520000002</v>
      </c>
      <c r="E567" s="19">
        <v>16791.067153857006</v>
      </c>
      <c r="F567" s="19">
        <v>6714.6089400000001</v>
      </c>
      <c r="G567" s="19">
        <v>5938.678302293205</v>
      </c>
      <c r="H567" s="20">
        <v>0.1073089339485922</v>
      </c>
      <c r="I567" s="20">
        <v>-0.11555857454102081</v>
      </c>
      <c r="J567" s="20">
        <v>3.890977779795679E-2</v>
      </c>
    </row>
    <row r="568" spans="1:10" ht="11.25" customHeight="1" x14ac:dyDescent="0.2">
      <c r="A568" s="29">
        <v>44470</v>
      </c>
      <c r="B568" s="19">
        <v>0</v>
      </c>
      <c r="C568" s="19">
        <v>0</v>
      </c>
      <c r="D568" s="19">
        <v>4843.5962399999989</v>
      </c>
      <c r="E568" s="19">
        <v>5363.3573889918098</v>
      </c>
      <c r="F568" s="19">
        <v>2144.7622799999995</v>
      </c>
      <c r="G568" s="19">
        <v>1896.9166081938495</v>
      </c>
      <c r="H568" s="20">
        <v>0.10730893394859242</v>
      </c>
      <c r="I568" s="20">
        <v>-0.11555857454102092</v>
      </c>
      <c r="J568" s="20">
        <v>3.8909777797957235E-2</v>
      </c>
    </row>
    <row r="569" spans="1:10" ht="11.25" customHeight="1" x14ac:dyDescent="0.2">
      <c r="A569" s="29">
        <v>44501</v>
      </c>
      <c r="B569" s="19">
        <v>0</v>
      </c>
      <c r="C569" s="19">
        <v>0</v>
      </c>
      <c r="D569" s="19">
        <v>3454.4521199999995</v>
      </c>
      <c r="E569" s="19">
        <v>3825.1456943736548</v>
      </c>
      <c r="F569" s="19">
        <v>1529.6441399999994</v>
      </c>
      <c r="G569" s="19">
        <v>1352.8806436265738</v>
      </c>
      <c r="H569" s="20">
        <v>0.10730893394859242</v>
      </c>
      <c r="I569" s="20">
        <v>-0.11555857454102081</v>
      </c>
      <c r="J569" s="20">
        <v>3.8909777797957457E-2</v>
      </c>
    </row>
    <row r="570" spans="1:10" ht="11.25" customHeight="1" x14ac:dyDescent="0.2">
      <c r="A570" s="29">
        <v>44531</v>
      </c>
      <c r="B570" s="19">
        <v>0</v>
      </c>
      <c r="C570" s="19">
        <v>0</v>
      </c>
      <c r="D570" s="19">
        <v>9190.6206000000002</v>
      </c>
      <c r="E570" s="19">
        <v>10176.856298911973</v>
      </c>
      <c r="F570" s="19">
        <v>4069.6407000000004</v>
      </c>
      <c r="G570" s="19">
        <v>3599.3588218138775</v>
      </c>
      <c r="H570" s="20">
        <v>0.10730893394859242</v>
      </c>
      <c r="I570" s="20">
        <v>-0.11555857454102103</v>
      </c>
      <c r="J570" s="20">
        <v>3.8909777797957235E-2</v>
      </c>
    </row>
    <row r="571" spans="1:10" ht="11.25" customHeight="1" x14ac:dyDescent="0.2">
      <c r="A571" s="29">
        <v>44562</v>
      </c>
      <c r="B571" s="19">
        <v>0</v>
      </c>
      <c r="C571" s="19">
        <v>0</v>
      </c>
      <c r="D571" s="19">
        <v>17769.730439999996</v>
      </c>
      <c r="E571" s="19">
        <v>19676.581270070248</v>
      </c>
      <c r="F571" s="19">
        <v>7868.5021799999995</v>
      </c>
      <c r="G571" s="19">
        <v>6959.2292843062842</v>
      </c>
      <c r="H571" s="20">
        <v>0.10730893394859242</v>
      </c>
      <c r="I571" s="20">
        <v>-0.11555857454102092</v>
      </c>
      <c r="J571" s="20">
        <v>3.8909777797957235E-2</v>
      </c>
    </row>
    <row r="572" spans="1:10" ht="11.25" customHeight="1" x14ac:dyDescent="0.2">
      <c r="A572" s="29">
        <v>44593</v>
      </c>
      <c r="B572" s="19">
        <v>0</v>
      </c>
      <c r="C572" s="19">
        <v>0</v>
      </c>
      <c r="D572" s="19">
        <v>2854.6148399999997</v>
      </c>
      <c r="E572" s="19">
        <v>3160.9405153142297</v>
      </c>
      <c r="F572" s="19">
        <v>1264.0339799999999</v>
      </c>
      <c r="G572" s="19">
        <v>1117.9640150997866</v>
      </c>
      <c r="H572" s="20">
        <v>0.10730893394859176</v>
      </c>
      <c r="I572" s="20">
        <v>-0.11555857454102092</v>
      </c>
      <c r="J572" s="20">
        <v>3.890977779795679E-2</v>
      </c>
    </row>
    <row r="573" spans="1:10" ht="11.25" customHeight="1" x14ac:dyDescent="0.2">
      <c r="A573" s="29">
        <v>44621</v>
      </c>
      <c r="B573" s="19">
        <v>0</v>
      </c>
      <c r="C573" s="19">
        <v>0</v>
      </c>
      <c r="D573" s="19">
        <v>8906.8652399999992</v>
      </c>
      <c r="E573" s="19">
        <v>9862.6514537281746</v>
      </c>
      <c r="F573" s="19">
        <v>3943.99278</v>
      </c>
      <c r="G573" s="19">
        <v>3488.2305963431218</v>
      </c>
      <c r="H573" s="20">
        <v>0.10730893394859264</v>
      </c>
      <c r="I573" s="20">
        <v>-0.11555857454102092</v>
      </c>
      <c r="J573" s="20">
        <v>3.8909777797957235E-2</v>
      </c>
    </row>
    <row r="574" spans="1:10" ht="11.25" customHeight="1" x14ac:dyDescent="0.2">
      <c r="A574" s="29">
        <v>44652</v>
      </c>
      <c r="B574" s="19">
        <v>0</v>
      </c>
      <c r="C574" s="19">
        <v>0</v>
      </c>
      <c r="D574" s="19">
        <v>7250.1290399999998</v>
      </c>
      <c r="E574" s="19">
        <v>8028.1326582721313</v>
      </c>
      <c r="F574" s="19">
        <v>3210.3838799999999</v>
      </c>
      <c r="G574" s="19">
        <v>2839.3964950977279</v>
      </c>
      <c r="H574" s="20">
        <v>0.10730893394859242</v>
      </c>
      <c r="I574" s="20">
        <v>-0.11555857454102092</v>
      </c>
      <c r="J574" s="20">
        <v>3.8909777797957013E-2</v>
      </c>
    </row>
    <row r="575" spans="1:10" ht="11.25" customHeight="1" x14ac:dyDescent="0.2">
      <c r="A575" s="29">
        <v>44682</v>
      </c>
      <c r="B575" s="19">
        <v>0</v>
      </c>
      <c r="C575" s="19">
        <v>0</v>
      </c>
      <c r="D575" s="19">
        <v>4033.6363200000005</v>
      </c>
      <c r="E575" s="19">
        <v>4466.4815334355235</v>
      </c>
      <c r="F575" s="19">
        <v>1786.1090400000003</v>
      </c>
      <c r="G575" s="19">
        <v>1579.7088253627689</v>
      </c>
      <c r="H575" s="20">
        <v>0.1073089339485922</v>
      </c>
      <c r="I575" s="20">
        <v>-0.11555857454102092</v>
      </c>
      <c r="J575" s="20">
        <v>3.8909777797957013E-2</v>
      </c>
    </row>
    <row r="576" spans="1:10" ht="11.25" customHeight="1" x14ac:dyDescent="0.2">
      <c r="A576" s="29">
        <v>44713</v>
      </c>
      <c r="B576" s="19">
        <v>0</v>
      </c>
      <c r="C576" s="19">
        <v>0</v>
      </c>
      <c r="D576" s="19">
        <v>7303.1086800000003</v>
      </c>
      <c r="E576" s="19">
        <v>8086.7974869615118</v>
      </c>
      <c r="F576" s="19">
        <v>3233.8434600000001</v>
      </c>
      <c r="G576" s="19">
        <v>2860.1451194735973</v>
      </c>
      <c r="H576" s="20">
        <v>0.10730893394859242</v>
      </c>
      <c r="I576" s="20">
        <v>-0.11555857454102081</v>
      </c>
      <c r="J576" s="20">
        <v>3.8909777797957013E-2</v>
      </c>
    </row>
    <row r="577" spans="1:10" ht="11.25" customHeight="1" x14ac:dyDescent="0.2">
      <c r="A577" s="29">
        <v>44743</v>
      </c>
      <c r="B577" s="19">
        <v>0</v>
      </c>
      <c r="C577" s="19">
        <v>0</v>
      </c>
      <c r="D577" s="19">
        <v>7303.1086800000003</v>
      </c>
      <c r="E577" s="19">
        <v>8086.7974869615118</v>
      </c>
      <c r="F577" s="19">
        <v>3233.8434600000001</v>
      </c>
      <c r="G577" s="19">
        <v>2860.1451194735973</v>
      </c>
      <c r="H577" s="20">
        <v>0.10730893394859242</v>
      </c>
      <c r="I577" s="20">
        <v>-0.11555857454102081</v>
      </c>
      <c r="J577" s="20">
        <v>3.8909777797957013E-2</v>
      </c>
    </row>
    <row r="578" spans="1:10" ht="11.25" customHeight="1" x14ac:dyDescent="0.2">
      <c r="A578" s="23" t="s">
        <v>23</v>
      </c>
      <c r="B578" s="19">
        <v>0</v>
      </c>
      <c r="C578" s="19">
        <v>0</v>
      </c>
      <c r="D578" s="19">
        <v>591799096.38405001</v>
      </c>
      <c r="E578" s="19">
        <v>651533531.26952112</v>
      </c>
      <c r="F578" s="19">
        <v>455479669.94523036</v>
      </c>
      <c r="G578" s="19">
        <v>418810162.18212551</v>
      </c>
      <c r="H578" s="20">
        <v>0.10093701604219119</v>
      </c>
      <c r="I578" s="20">
        <v>-8.0507452215187514E-2</v>
      </c>
      <c r="J578" s="20">
        <v>2.2023674941113125E-2</v>
      </c>
    </row>
    <row r="579" spans="1:10" ht="11.25" customHeight="1" x14ac:dyDescent="0.2">
      <c r="A579" s="24" t="s">
        <v>24</v>
      </c>
      <c r="B579" s="19">
        <v>0</v>
      </c>
      <c r="C579" s="19">
        <v>0</v>
      </c>
      <c r="D579" s="19">
        <v>591799096.38405001</v>
      </c>
      <c r="E579" s="19">
        <v>651533531.26952112</v>
      </c>
      <c r="F579" s="19">
        <v>455479669.94523036</v>
      </c>
      <c r="G579" s="19">
        <v>418810162.18212551</v>
      </c>
      <c r="H579" s="20">
        <v>0.10093701604219119</v>
      </c>
      <c r="I579" s="20">
        <v>-8.0507452215187514E-2</v>
      </c>
      <c r="J579" s="20">
        <v>2.2023674941113125E-2</v>
      </c>
    </row>
    <row r="580" spans="1:10" ht="11.25" customHeight="1" x14ac:dyDescent="0.2">
      <c r="A580" s="25" t="s">
        <v>24</v>
      </c>
      <c r="B580" s="19">
        <v>0</v>
      </c>
      <c r="C580" s="19">
        <v>0</v>
      </c>
      <c r="D580" s="19">
        <v>477123566.60439992</v>
      </c>
      <c r="E580" s="19">
        <v>532403779.79048651</v>
      </c>
      <c r="F580" s="19">
        <v>357590968.49963999</v>
      </c>
      <c r="G580" s="19">
        <v>328801815.72258985</v>
      </c>
      <c r="H580" s="20">
        <v>0.11586141841516162</v>
      </c>
      <c r="I580" s="20">
        <v>-8.050861266950371E-2</v>
      </c>
      <c r="J580" s="20">
        <v>3.1736670795764255E-2</v>
      </c>
    </row>
    <row r="581" spans="1:10" ht="11.25" customHeight="1" x14ac:dyDescent="0.2">
      <c r="A581" s="26" t="s">
        <v>25</v>
      </c>
      <c r="B581" s="19">
        <v>0</v>
      </c>
      <c r="C581" s="19">
        <v>0</v>
      </c>
      <c r="D581" s="19">
        <v>477123566.60439992</v>
      </c>
      <c r="E581" s="19">
        <v>532403779.79048651</v>
      </c>
      <c r="F581" s="19">
        <v>357590968.49963999</v>
      </c>
      <c r="G581" s="19">
        <v>328801815.72258985</v>
      </c>
      <c r="H581" s="20">
        <v>0.11586141841516162</v>
      </c>
      <c r="I581" s="20">
        <v>-8.050861266950371E-2</v>
      </c>
      <c r="J581" s="20">
        <v>3.1736670795764255E-2</v>
      </c>
    </row>
    <row r="582" spans="1:10" ht="11.25" customHeight="1" x14ac:dyDescent="0.2">
      <c r="A582" s="27" t="s">
        <v>25</v>
      </c>
      <c r="B582" s="19">
        <v>0</v>
      </c>
      <c r="C582" s="19">
        <v>0</v>
      </c>
      <c r="D582" s="19">
        <v>477123566.60439992</v>
      </c>
      <c r="E582" s="19">
        <v>532403779.79048651</v>
      </c>
      <c r="F582" s="19">
        <v>357590968.49963999</v>
      </c>
      <c r="G582" s="19">
        <v>328801815.72258985</v>
      </c>
      <c r="H582" s="20">
        <v>0.11586141841516162</v>
      </c>
      <c r="I582" s="20">
        <v>-8.050861266950371E-2</v>
      </c>
      <c r="J582" s="20">
        <v>3.1736670795764255E-2</v>
      </c>
    </row>
    <row r="583" spans="1:10" ht="11.25" customHeight="1" x14ac:dyDescent="0.2">
      <c r="A583" s="28" t="s">
        <v>25</v>
      </c>
      <c r="B583" s="19">
        <v>0</v>
      </c>
      <c r="C583" s="19">
        <v>0</v>
      </c>
      <c r="D583" s="19">
        <v>477123566.60439992</v>
      </c>
      <c r="E583" s="19">
        <v>532403779.79048651</v>
      </c>
      <c r="F583" s="19">
        <v>357590968.49963999</v>
      </c>
      <c r="G583" s="19">
        <v>328801815.72258985</v>
      </c>
      <c r="H583" s="20">
        <v>0.11586141841516162</v>
      </c>
      <c r="I583" s="20">
        <v>-8.050861266950371E-2</v>
      </c>
      <c r="J583" s="20">
        <v>3.1736670795764255E-2</v>
      </c>
    </row>
    <row r="584" spans="1:10" ht="11.25" customHeight="1" x14ac:dyDescent="0.2">
      <c r="A584" s="29">
        <v>44409</v>
      </c>
      <c r="B584" s="19">
        <v>0</v>
      </c>
      <c r="C584" s="19">
        <v>0</v>
      </c>
      <c r="D584" s="19">
        <v>36919103.463600002</v>
      </c>
      <c r="E584" s="19">
        <v>41196603.157508798</v>
      </c>
      <c r="F584" s="19">
        <v>27669850.931159999</v>
      </c>
      <c r="G584" s="19">
        <v>25442189.619920332</v>
      </c>
      <c r="H584" s="20">
        <v>0.1158614184151614</v>
      </c>
      <c r="I584" s="20">
        <v>-8.050861266950371E-2</v>
      </c>
      <c r="J584" s="20">
        <v>3.1736670795764255E-2</v>
      </c>
    </row>
    <row r="585" spans="1:10" ht="11.25" customHeight="1" x14ac:dyDescent="0.2">
      <c r="A585" s="29">
        <v>44440</v>
      </c>
      <c r="B585" s="19">
        <v>0</v>
      </c>
      <c r="C585" s="19">
        <v>0</v>
      </c>
      <c r="D585" s="19">
        <v>37173527.432399996</v>
      </c>
      <c r="E585" s="19">
        <v>41480505.048212774</v>
      </c>
      <c r="F585" s="19">
        <v>27860534.686439995</v>
      </c>
      <c r="G585" s="19">
        <v>25617521.690604128</v>
      </c>
      <c r="H585" s="20">
        <v>0.1158614184151614</v>
      </c>
      <c r="I585" s="20">
        <v>-8.0508612669503599E-2</v>
      </c>
      <c r="J585" s="20">
        <v>3.1736670795764255E-2</v>
      </c>
    </row>
    <row r="586" spans="1:10" ht="11.25" customHeight="1" x14ac:dyDescent="0.2">
      <c r="A586" s="29">
        <v>44470</v>
      </c>
      <c r="B586" s="19">
        <v>0</v>
      </c>
      <c r="C586" s="19">
        <v>0</v>
      </c>
      <c r="D586" s="19">
        <v>40240390.325599991</v>
      </c>
      <c r="E586" s="19">
        <v>44902699.026303753</v>
      </c>
      <c r="F586" s="19">
        <v>30159063.933359999</v>
      </c>
      <c r="G586" s="19">
        <v>27730999.536674321</v>
      </c>
      <c r="H586" s="20">
        <v>0.11586141841516162</v>
      </c>
      <c r="I586" s="20">
        <v>-8.050861266950371E-2</v>
      </c>
      <c r="J586" s="20">
        <v>3.1736670795764255E-2</v>
      </c>
    </row>
    <row r="587" spans="1:10" ht="11.25" customHeight="1" x14ac:dyDescent="0.2">
      <c r="A587" s="29">
        <v>44501</v>
      </c>
      <c r="B587" s="19">
        <v>0</v>
      </c>
      <c r="C587" s="19">
        <v>0</v>
      </c>
      <c r="D587" s="19">
        <v>40315428.394400001</v>
      </c>
      <c r="E587" s="19">
        <v>44986431.11219006</v>
      </c>
      <c r="F587" s="19">
        <v>30215302.898639999</v>
      </c>
      <c r="G587" s="19">
        <v>27782710.780881662</v>
      </c>
      <c r="H587" s="20">
        <v>0.1158614184151614</v>
      </c>
      <c r="I587" s="20">
        <v>-8.0508612669503599E-2</v>
      </c>
      <c r="J587" s="20">
        <v>3.1736670795764255E-2</v>
      </c>
    </row>
    <row r="588" spans="1:10" ht="11.25" customHeight="1" x14ac:dyDescent="0.2">
      <c r="A588" s="29">
        <v>44531</v>
      </c>
      <c r="B588" s="19">
        <v>0</v>
      </c>
      <c r="C588" s="19">
        <v>0</v>
      </c>
      <c r="D588" s="19">
        <v>44657384.007199995</v>
      </c>
      <c r="E588" s="19">
        <v>49831451.860984735</v>
      </c>
      <c r="F588" s="19">
        <v>33469479.01032</v>
      </c>
      <c r="G588" s="19">
        <v>30774897.688428067</v>
      </c>
      <c r="H588" s="20">
        <v>0.1158614184151614</v>
      </c>
      <c r="I588" s="20">
        <v>-8.0508612669503599E-2</v>
      </c>
      <c r="J588" s="20">
        <v>3.1736670795764255E-2</v>
      </c>
    </row>
    <row r="589" spans="1:10" ht="11.25" customHeight="1" x14ac:dyDescent="0.2">
      <c r="A589" s="29">
        <v>44562</v>
      </c>
      <c r="B589" s="19">
        <v>0</v>
      </c>
      <c r="C589" s="19">
        <v>0</v>
      </c>
      <c r="D589" s="19">
        <v>42110763.766800001</v>
      </c>
      <c r="E589" s="19">
        <v>46989776.587367237</v>
      </c>
      <c r="F589" s="19">
        <v>31560857.299080003</v>
      </c>
      <c r="G589" s="19">
        <v>29019936.463270895</v>
      </c>
      <c r="H589" s="20">
        <v>0.1158614184151614</v>
      </c>
      <c r="I589" s="20">
        <v>-8.0508612669503599E-2</v>
      </c>
      <c r="J589" s="20">
        <v>3.1736670795764477E-2</v>
      </c>
    </row>
    <row r="590" spans="1:10" ht="11.25" customHeight="1" x14ac:dyDescent="0.2">
      <c r="A590" s="29">
        <v>44593</v>
      </c>
      <c r="B590" s="19">
        <v>0</v>
      </c>
      <c r="C590" s="19">
        <v>0</v>
      </c>
      <c r="D590" s="19">
        <v>39084670.179199994</v>
      </c>
      <c r="E590" s="19">
        <v>43613075.504450873</v>
      </c>
      <c r="F590" s="19">
        <v>29292883.523520004</v>
      </c>
      <c r="G590" s="19">
        <v>26934554.109952044</v>
      </c>
      <c r="H590" s="20">
        <v>0.11586141841516162</v>
      </c>
      <c r="I590" s="20">
        <v>-8.050861266950371E-2</v>
      </c>
      <c r="J590" s="20">
        <v>3.1736670795764255E-2</v>
      </c>
    </row>
    <row r="591" spans="1:10" ht="11.25" customHeight="1" x14ac:dyDescent="0.2">
      <c r="A591" s="29">
        <v>44621</v>
      </c>
      <c r="B591" s="19">
        <v>0</v>
      </c>
      <c r="C591" s="19">
        <v>0</v>
      </c>
      <c r="D591" s="19">
        <v>43777980.927600004</v>
      </c>
      <c r="E591" s="19">
        <v>48850159.893223621</v>
      </c>
      <c r="F591" s="19">
        <v>32810390.629560005</v>
      </c>
      <c r="G591" s="19">
        <v>30168871.598829642</v>
      </c>
      <c r="H591" s="20">
        <v>0.1158614184151614</v>
      </c>
      <c r="I591" s="20">
        <v>-8.0508612669503821E-2</v>
      </c>
      <c r="J591" s="20">
        <v>3.1736670795764255E-2</v>
      </c>
    </row>
    <row r="592" spans="1:10" ht="11.25" customHeight="1" x14ac:dyDescent="0.2">
      <c r="A592" s="29">
        <v>44652</v>
      </c>
      <c r="B592" s="19">
        <v>0</v>
      </c>
      <c r="C592" s="19">
        <v>0</v>
      </c>
      <c r="D592" s="19">
        <v>40519289.935199998</v>
      </c>
      <c r="E592" s="19">
        <v>45213912.340267442</v>
      </c>
      <c r="F592" s="19">
        <v>30368091.507120002</v>
      </c>
      <c r="G592" s="19">
        <v>27923198.590461232</v>
      </c>
      <c r="H592" s="20">
        <v>0.1158614184151614</v>
      </c>
      <c r="I592" s="20">
        <v>-8.050861266950371E-2</v>
      </c>
      <c r="J592" s="20">
        <v>3.1736670795764033E-2</v>
      </c>
    </row>
    <row r="593" spans="1:10" ht="11.25" customHeight="1" x14ac:dyDescent="0.2">
      <c r="A593" s="29">
        <v>44682</v>
      </c>
      <c r="B593" s="19">
        <v>0</v>
      </c>
      <c r="C593" s="19">
        <v>0</v>
      </c>
      <c r="D593" s="19">
        <v>40998321.428400002</v>
      </c>
      <c r="E593" s="19">
        <v>45748445.101735123</v>
      </c>
      <c r="F593" s="19">
        <v>30727112.414039999</v>
      </c>
      <c r="G593" s="19">
        <v>28253315.222245757</v>
      </c>
      <c r="H593" s="20">
        <v>0.11586141841516118</v>
      </c>
      <c r="I593" s="20">
        <v>-8.0508612669503599E-2</v>
      </c>
      <c r="J593" s="20">
        <v>3.1736670795764033E-2</v>
      </c>
    </row>
    <row r="594" spans="1:10" ht="11.25" customHeight="1" x14ac:dyDescent="0.2">
      <c r="A594" s="29">
        <v>44713</v>
      </c>
      <c r="B594" s="19">
        <v>0</v>
      </c>
      <c r="C594" s="19">
        <v>0</v>
      </c>
      <c r="D594" s="19">
        <v>35663353.372000001</v>
      </c>
      <c r="E594" s="19">
        <v>39795360.079121053</v>
      </c>
      <c r="F594" s="19">
        <v>26728700.8332</v>
      </c>
      <c r="G594" s="19">
        <v>24576810.210660864</v>
      </c>
      <c r="H594" s="20">
        <v>0.1158614184151614</v>
      </c>
      <c r="I594" s="20">
        <v>-8.0508612669503599E-2</v>
      </c>
      <c r="J594" s="20">
        <v>3.1736670795764255E-2</v>
      </c>
    </row>
    <row r="595" spans="1:10" ht="11.25" customHeight="1" x14ac:dyDescent="0.2">
      <c r="A595" s="29">
        <v>44743</v>
      </c>
      <c r="B595" s="19">
        <v>0</v>
      </c>
      <c r="C595" s="19">
        <v>0</v>
      </c>
      <c r="D595" s="19">
        <v>35663353.372000001</v>
      </c>
      <c r="E595" s="19">
        <v>39795360.079121053</v>
      </c>
      <c r="F595" s="19">
        <v>26728700.8332</v>
      </c>
      <c r="G595" s="19">
        <v>24576810.210660864</v>
      </c>
      <c r="H595" s="20">
        <v>0.1158614184151614</v>
      </c>
      <c r="I595" s="20">
        <v>-8.0508612669503599E-2</v>
      </c>
      <c r="J595" s="20">
        <v>3.1736670795764255E-2</v>
      </c>
    </row>
    <row r="596" spans="1:10" ht="11.25" customHeight="1" x14ac:dyDescent="0.2">
      <c r="A596" s="25" t="s">
        <v>29</v>
      </c>
      <c r="B596" s="19">
        <v>0</v>
      </c>
      <c r="C596" s="19">
        <v>0</v>
      </c>
      <c r="D596" s="19">
        <v>16887216.387149997</v>
      </c>
      <c r="E596" s="19">
        <v>17543146.564314708</v>
      </c>
      <c r="F596" s="19">
        <v>14414934.350500001</v>
      </c>
      <c r="G596" s="19">
        <v>13254704.17210719</v>
      </c>
      <c r="H596" s="20">
        <v>3.8841817510186338E-2</v>
      </c>
      <c r="I596" s="20">
        <v>-8.0488065375932005E-2</v>
      </c>
      <c r="J596" s="20">
        <v>-1.6110714099320078E-2</v>
      </c>
    </row>
    <row r="597" spans="1:10" ht="11.25" customHeight="1" x14ac:dyDescent="0.2">
      <c r="A597" s="26" t="s">
        <v>25</v>
      </c>
      <c r="B597" s="19">
        <v>0</v>
      </c>
      <c r="C597" s="19">
        <v>0</v>
      </c>
      <c r="D597" s="19">
        <v>16887216.387149997</v>
      </c>
      <c r="E597" s="19">
        <v>17543146.564314708</v>
      </c>
      <c r="F597" s="19">
        <v>14414934.350500001</v>
      </c>
      <c r="G597" s="19">
        <v>13254704.17210719</v>
      </c>
      <c r="H597" s="20">
        <v>3.8841817510186338E-2</v>
      </c>
      <c r="I597" s="20">
        <v>-8.0488065375932005E-2</v>
      </c>
      <c r="J597" s="20">
        <v>-1.6110714099320078E-2</v>
      </c>
    </row>
    <row r="598" spans="1:10" ht="11.25" customHeight="1" x14ac:dyDescent="0.2">
      <c r="A598" s="27" t="s">
        <v>25</v>
      </c>
      <c r="B598" s="19">
        <v>0</v>
      </c>
      <c r="C598" s="19">
        <v>0</v>
      </c>
      <c r="D598" s="19">
        <v>16887216.387149997</v>
      </c>
      <c r="E598" s="19">
        <v>17543146.564314708</v>
      </c>
      <c r="F598" s="19">
        <v>14414934.350500001</v>
      </c>
      <c r="G598" s="19">
        <v>13254704.17210719</v>
      </c>
      <c r="H598" s="20">
        <v>3.8841817510186338E-2</v>
      </c>
      <c r="I598" s="20">
        <v>-8.0488065375932005E-2</v>
      </c>
      <c r="J598" s="20">
        <v>-1.6110714099320078E-2</v>
      </c>
    </row>
    <row r="599" spans="1:10" ht="11.25" customHeight="1" x14ac:dyDescent="0.2">
      <c r="A599" s="28" t="s">
        <v>25</v>
      </c>
      <c r="B599" s="19">
        <v>0</v>
      </c>
      <c r="C599" s="19">
        <v>0</v>
      </c>
      <c r="D599" s="19">
        <v>16887216.387149997</v>
      </c>
      <c r="E599" s="19">
        <v>17543146.564314708</v>
      </c>
      <c r="F599" s="19">
        <v>14414934.350500001</v>
      </c>
      <c r="G599" s="19">
        <v>13254704.17210719</v>
      </c>
      <c r="H599" s="20">
        <v>3.8841817510186338E-2</v>
      </c>
      <c r="I599" s="20">
        <v>-8.0488065375932005E-2</v>
      </c>
      <c r="J599" s="20">
        <v>-1.6110714099320078E-2</v>
      </c>
    </row>
    <row r="600" spans="1:10" ht="11.25" customHeight="1" x14ac:dyDescent="0.2">
      <c r="A600" s="29">
        <v>44409</v>
      </c>
      <c r="B600" s="19">
        <v>0</v>
      </c>
      <c r="C600" s="19">
        <v>0</v>
      </c>
      <c r="D600" s="19">
        <v>1369855.2892499999</v>
      </c>
      <c r="E600" s="19">
        <v>1423062.9584104121</v>
      </c>
      <c r="F600" s="19">
        <v>1169308.9975000001</v>
      </c>
      <c r="G600" s="19">
        <v>1075193.5784645546</v>
      </c>
      <c r="H600" s="20">
        <v>3.8841817510186338E-2</v>
      </c>
      <c r="I600" s="20">
        <v>-8.0488065375931894E-2</v>
      </c>
      <c r="J600" s="20">
        <v>-1.6110714099320078E-2</v>
      </c>
    </row>
    <row r="601" spans="1:10" ht="11.25" customHeight="1" x14ac:dyDescent="0.2">
      <c r="A601" s="29">
        <v>44440</v>
      </c>
      <c r="B601" s="19">
        <v>0</v>
      </c>
      <c r="C601" s="19">
        <v>0</v>
      </c>
      <c r="D601" s="19">
        <v>1351682.47755</v>
      </c>
      <c r="E601" s="19">
        <v>1404184.2816747136</v>
      </c>
      <c r="F601" s="19">
        <v>1153796.6784999997</v>
      </c>
      <c r="G601" s="19">
        <v>1060929.8160103587</v>
      </c>
      <c r="H601" s="20">
        <v>3.8841817510186338E-2</v>
      </c>
      <c r="I601" s="20">
        <v>-8.0488065375931783E-2</v>
      </c>
      <c r="J601" s="20">
        <v>-1.6110714099319856E-2</v>
      </c>
    </row>
    <row r="602" spans="1:10" ht="11.25" customHeight="1" x14ac:dyDescent="0.2">
      <c r="A602" s="29">
        <v>44470</v>
      </c>
      <c r="B602" s="19">
        <v>0</v>
      </c>
      <c r="C602" s="19">
        <v>0</v>
      </c>
      <c r="D602" s="19">
        <v>1368512.0559</v>
      </c>
      <c r="E602" s="19">
        <v>1421667.5514357579</v>
      </c>
      <c r="F602" s="19">
        <v>1168162.4130000002</v>
      </c>
      <c r="G602" s="19">
        <v>1074139.2803327495</v>
      </c>
      <c r="H602" s="20">
        <v>3.8841817510186338E-2</v>
      </c>
      <c r="I602" s="20">
        <v>-8.0488065375932227E-2</v>
      </c>
      <c r="J602" s="20">
        <v>-1.61107140993203E-2</v>
      </c>
    </row>
    <row r="603" spans="1:10" ht="11.25" customHeight="1" x14ac:dyDescent="0.2">
      <c r="A603" s="29">
        <v>44501</v>
      </c>
      <c r="B603" s="19">
        <v>0</v>
      </c>
      <c r="C603" s="19">
        <v>0</v>
      </c>
      <c r="D603" s="19">
        <v>1385281.5551999998</v>
      </c>
      <c r="E603" s="19">
        <v>1439088.4085673054</v>
      </c>
      <c r="F603" s="19">
        <v>1182476.8639999998</v>
      </c>
      <c r="G603" s="19">
        <v>1087301.588864841</v>
      </c>
      <c r="H603" s="20">
        <v>3.8841817510186338E-2</v>
      </c>
      <c r="I603" s="20">
        <v>-8.0488065375931783E-2</v>
      </c>
      <c r="J603" s="20">
        <v>-1.6110714099320078E-2</v>
      </c>
    </row>
    <row r="604" spans="1:10" ht="11.25" customHeight="1" x14ac:dyDescent="0.2">
      <c r="A604" s="29">
        <v>44531</v>
      </c>
      <c r="B604" s="19">
        <v>0</v>
      </c>
      <c r="C604" s="19">
        <v>0</v>
      </c>
      <c r="D604" s="19">
        <v>1379082.0892499997</v>
      </c>
      <c r="E604" s="19">
        <v>1432648.144092215</v>
      </c>
      <c r="F604" s="19">
        <v>1177184.9975000001</v>
      </c>
      <c r="G604" s="19">
        <v>1082435.6544616534</v>
      </c>
      <c r="H604" s="20">
        <v>3.884181751018656E-2</v>
      </c>
      <c r="I604" s="20">
        <v>-8.0488065375932227E-2</v>
      </c>
      <c r="J604" s="20">
        <v>-1.61107140993203E-2</v>
      </c>
    </row>
    <row r="605" spans="1:10" ht="11.25" customHeight="1" x14ac:dyDescent="0.2">
      <c r="A605" s="29">
        <v>44562</v>
      </c>
      <c r="B605" s="19">
        <v>0</v>
      </c>
      <c r="C605" s="19">
        <v>0</v>
      </c>
      <c r="D605" s="19">
        <v>1382785.0766999999</v>
      </c>
      <c r="E605" s="19">
        <v>1436494.9623049903</v>
      </c>
      <c r="F605" s="19">
        <v>1180345.8689999999</v>
      </c>
      <c r="G605" s="19">
        <v>1085342.1135297169</v>
      </c>
      <c r="H605" s="20">
        <v>3.8841817510186338E-2</v>
      </c>
      <c r="I605" s="20">
        <v>-8.0488065375931894E-2</v>
      </c>
      <c r="J605" s="20">
        <v>-1.6110714099320078E-2</v>
      </c>
    </row>
    <row r="606" spans="1:10" ht="11.25" customHeight="1" x14ac:dyDescent="0.2">
      <c r="A606" s="29">
        <v>44593</v>
      </c>
      <c r="B606" s="19">
        <v>0</v>
      </c>
      <c r="C606" s="19">
        <v>0</v>
      </c>
      <c r="D606" s="19">
        <v>1411429.1530500001</v>
      </c>
      <c r="E606" s="19">
        <v>1466251.626641325</v>
      </c>
      <c r="F606" s="19">
        <v>1204796.4634999998</v>
      </c>
      <c r="G606" s="19">
        <v>1107824.7269811204</v>
      </c>
      <c r="H606" s="20">
        <v>3.8841817510186338E-2</v>
      </c>
      <c r="I606" s="20">
        <v>-8.0488065375931783E-2</v>
      </c>
      <c r="J606" s="20">
        <v>-1.6110714099320078E-2</v>
      </c>
    </row>
    <row r="607" spans="1:10" ht="11.25" customHeight="1" x14ac:dyDescent="0.2">
      <c r="A607" s="29">
        <v>44621</v>
      </c>
      <c r="B607" s="19">
        <v>0</v>
      </c>
      <c r="C607" s="19">
        <v>0</v>
      </c>
      <c r="D607" s="19">
        <v>1436791.3195499999</v>
      </c>
      <c r="E607" s="19">
        <v>1492598.9057841809</v>
      </c>
      <c r="F607" s="19">
        <v>1226445.6185000001</v>
      </c>
      <c r="G607" s="19">
        <v>1127731.3833781464</v>
      </c>
      <c r="H607" s="20">
        <v>3.8841817510186338E-2</v>
      </c>
      <c r="I607" s="20">
        <v>-8.0488065375932227E-2</v>
      </c>
      <c r="J607" s="20">
        <v>-1.6110714099320189E-2</v>
      </c>
    </row>
    <row r="608" spans="1:10" ht="11.25" customHeight="1" x14ac:dyDescent="0.2">
      <c r="A608" s="29">
        <v>44652</v>
      </c>
      <c r="B608" s="19">
        <v>0</v>
      </c>
      <c r="C608" s="19">
        <v>0</v>
      </c>
      <c r="D608" s="19">
        <v>1452932.8721999999</v>
      </c>
      <c r="E608" s="19">
        <v>1509367.425676543</v>
      </c>
      <c r="F608" s="19">
        <v>1240224.054</v>
      </c>
      <c r="G608" s="19">
        <v>1140400.8192608445</v>
      </c>
      <c r="H608" s="20">
        <v>3.8841817510186338E-2</v>
      </c>
      <c r="I608" s="20">
        <v>-8.0488065375932116E-2</v>
      </c>
      <c r="J608" s="20">
        <v>-1.61107140993203E-2</v>
      </c>
    </row>
    <row r="609" spans="1:10" ht="11.25" customHeight="1" x14ac:dyDescent="0.2">
      <c r="A609" s="29">
        <v>44682</v>
      </c>
      <c r="B609" s="19">
        <v>0</v>
      </c>
      <c r="C609" s="19">
        <v>0</v>
      </c>
      <c r="D609" s="19">
        <v>1440134.0423999997</v>
      </c>
      <c r="E609" s="19">
        <v>1496071.4660651076</v>
      </c>
      <c r="F609" s="19">
        <v>1229298.9679999999</v>
      </c>
      <c r="G609" s="19">
        <v>1130355.0722970502</v>
      </c>
      <c r="H609" s="20">
        <v>3.884181751018656E-2</v>
      </c>
      <c r="I609" s="20">
        <v>-8.0488065375932005E-2</v>
      </c>
      <c r="J609" s="20">
        <v>-1.6110714099320189E-2</v>
      </c>
    </row>
    <row r="610" spans="1:10" ht="11.25" customHeight="1" x14ac:dyDescent="0.2">
      <c r="A610" s="29">
        <v>44713</v>
      </c>
      <c r="B610" s="19">
        <v>0</v>
      </c>
      <c r="C610" s="19">
        <v>0</v>
      </c>
      <c r="D610" s="19">
        <v>1454365.2280499998</v>
      </c>
      <c r="E610" s="19">
        <v>1510855.4168310787</v>
      </c>
      <c r="F610" s="19">
        <v>1241446.7134999998</v>
      </c>
      <c r="G610" s="19">
        <v>1141525.0692630762</v>
      </c>
      <c r="H610" s="20">
        <v>3.884181751018656E-2</v>
      </c>
      <c r="I610" s="20">
        <v>-8.0488065375931783E-2</v>
      </c>
      <c r="J610" s="20">
        <v>-1.6110714099319967E-2</v>
      </c>
    </row>
    <row r="611" spans="1:10" ht="11.25" customHeight="1" x14ac:dyDescent="0.2">
      <c r="A611" s="29">
        <v>44743</v>
      </c>
      <c r="B611" s="19">
        <v>0</v>
      </c>
      <c r="C611" s="19">
        <v>0</v>
      </c>
      <c r="D611" s="19">
        <v>1454365.2280499998</v>
      </c>
      <c r="E611" s="19">
        <v>1510855.4168310787</v>
      </c>
      <c r="F611" s="19">
        <v>1241446.7134999998</v>
      </c>
      <c r="G611" s="19">
        <v>1141525.0692630762</v>
      </c>
      <c r="H611" s="20">
        <v>3.884181751018656E-2</v>
      </c>
      <c r="I611" s="20">
        <v>-8.0488065375931783E-2</v>
      </c>
      <c r="J611" s="20">
        <v>-1.6110714099319967E-2</v>
      </c>
    </row>
    <row r="612" spans="1:10" ht="11.25" customHeight="1" x14ac:dyDescent="0.2">
      <c r="A612" s="25" t="s">
        <v>30</v>
      </c>
      <c r="B612" s="19">
        <v>0</v>
      </c>
      <c r="C612" s="19">
        <v>0</v>
      </c>
      <c r="D612" s="19">
        <v>48017150.604720004</v>
      </c>
      <c r="E612" s="19">
        <v>49883016.93253962</v>
      </c>
      <c r="F612" s="19">
        <v>40988491.25004001</v>
      </c>
      <c r="G612" s="19">
        <v>37689055.96433717</v>
      </c>
      <c r="H612" s="20">
        <v>3.8858330915542139E-2</v>
      </c>
      <c r="I612" s="20">
        <v>-8.0496626859852927E-2</v>
      </c>
      <c r="J612" s="20">
        <v>-1.61064953637714E-2</v>
      </c>
    </row>
    <row r="613" spans="1:10" ht="11.25" customHeight="1" x14ac:dyDescent="0.2">
      <c r="A613" s="26" t="s">
        <v>25</v>
      </c>
      <c r="B613" s="19">
        <v>0</v>
      </c>
      <c r="C613" s="19">
        <v>0</v>
      </c>
      <c r="D613" s="19">
        <v>48017150.604720004</v>
      </c>
      <c r="E613" s="19">
        <v>49883016.93253962</v>
      </c>
      <c r="F613" s="19">
        <v>40988491.25004001</v>
      </c>
      <c r="G613" s="19">
        <v>37689055.96433717</v>
      </c>
      <c r="H613" s="20">
        <v>3.8858330915542139E-2</v>
      </c>
      <c r="I613" s="20">
        <v>-8.0496626859852927E-2</v>
      </c>
      <c r="J613" s="20">
        <v>-1.61064953637714E-2</v>
      </c>
    </row>
    <row r="614" spans="1:10" ht="11.25" customHeight="1" x14ac:dyDescent="0.2">
      <c r="A614" s="27" t="s">
        <v>25</v>
      </c>
      <c r="B614" s="19">
        <v>0</v>
      </c>
      <c r="C614" s="19">
        <v>0</v>
      </c>
      <c r="D614" s="19">
        <v>48017150.604720004</v>
      </c>
      <c r="E614" s="19">
        <v>49883016.93253962</v>
      </c>
      <c r="F614" s="19">
        <v>40988491.25004001</v>
      </c>
      <c r="G614" s="19">
        <v>37689055.96433717</v>
      </c>
      <c r="H614" s="20">
        <v>3.8858330915542139E-2</v>
      </c>
      <c r="I614" s="20">
        <v>-8.0496626859852927E-2</v>
      </c>
      <c r="J614" s="20">
        <v>-1.61064953637714E-2</v>
      </c>
    </row>
    <row r="615" spans="1:10" ht="11.25" customHeight="1" x14ac:dyDescent="0.2">
      <c r="A615" s="28" t="s">
        <v>25</v>
      </c>
      <c r="B615" s="19">
        <v>0</v>
      </c>
      <c r="C615" s="19">
        <v>0</v>
      </c>
      <c r="D615" s="19">
        <v>48017150.604720004</v>
      </c>
      <c r="E615" s="19">
        <v>49883016.93253962</v>
      </c>
      <c r="F615" s="19">
        <v>40988491.25004001</v>
      </c>
      <c r="G615" s="19">
        <v>37689055.96433717</v>
      </c>
      <c r="H615" s="20">
        <v>3.8858330915542139E-2</v>
      </c>
      <c r="I615" s="20">
        <v>-8.0496626859852927E-2</v>
      </c>
      <c r="J615" s="20">
        <v>-1.61064953637714E-2</v>
      </c>
    </row>
    <row r="616" spans="1:10" ht="11.25" customHeight="1" x14ac:dyDescent="0.2">
      <c r="A616" s="29">
        <v>44409</v>
      </c>
      <c r="B616" s="19">
        <v>0</v>
      </c>
      <c r="C616" s="19">
        <v>0</v>
      </c>
      <c r="D616" s="19">
        <v>3788673.1359400004</v>
      </c>
      <c r="E616" s="19">
        <v>3935894.6503871805</v>
      </c>
      <c r="F616" s="19">
        <v>3234094.35433</v>
      </c>
      <c r="G616" s="19">
        <v>2973760.6678599403</v>
      </c>
      <c r="H616" s="20">
        <v>3.8858330915541917E-2</v>
      </c>
      <c r="I616" s="20">
        <v>-8.0496626859853149E-2</v>
      </c>
      <c r="J616" s="20">
        <v>-1.6106495363771511E-2</v>
      </c>
    </row>
    <row r="617" spans="1:10" ht="11.25" customHeight="1" x14ac:dyDescent="0.2">
      <c r="A617" s="29">
        <v>44440</v>
      </c>
      <c r="B617" s="19">
        <v>0</v>
      </c>
      <c r="C617" s="19">
        <v>0</v>
      </c>
      <c r="D617" s="19">
        <v>3727300.1939800004</v>
      </c>
      <c r="E617" s="19">
        <v>3872136.8583392384</v>
      </c>
      <c r="F617" s="19">
        <v>3181705.0671100002</v>
      </c>
      <c r="G617" s="19">
        <v>2925588.5415447424</v>
      </c>
      <c r="H617" s="20">
        <v>3.8858330915541694E-2</v>
      </c>
      <c r="I617" s="20">
        <v>-8.0496626859853149E-2</v>
      </c>
      <c r="J617" s="20">
        <v>-1.6106495363771622E-2</v>
      </c>
    </row>
    <row r="618" spans="1:10" ht="11.25" customHeight="1" x14ac:dyDescent="0.2">
      <c r="A618" s="29">
        <v>44470</v>
      </c>
      <c r="B618" s="19">
        <v>0</v>
      </c>
      <c r="C618" s="19">
        <v>0</v>
      </c>
      <c r="D618" s="19">
        <v>3917903.1403600001</v>
      </c>
      <c r="E618" s="19">
        <v>4070146.3170831501</v>
      </c>
      <c r="F618" s="19">
        <v>3344407.9160200004</v>
      </c>
      <c r="G618" s="19">
        <v>3075194.3599369992</v>
      </c>
      <c r="H618" s="20">
        <v>3.8858330915541917E-2</v>
      </c>
      <c r="I618" s="20">
        <v>-8.0496626859853149E-2</v>
      </c>
      <c r="J618" s="20">
        <v>-1.6106495363771511E-2</v>
      </c>
    </row>
    <row r="619" spans="1:10" ht="11.25" customHeight="1" x14ac:dyDescent="0.2">
      <c r="A619" s="29">
        <v>44501</v>
      </c>
      <c r="B619" s="19">
        <v>0</v>
      </c>
      <c r="C619" s="19">
        <v>0</v>
      </c>
      <c r="D619" s="19">
        <v>3985670.6923000002</v>
      </c>
      <c r="E619" s="19">
        <v>4140547.2029817705</v>
      </c>
      <c r="F619" s="19">
        <v>3402255.7823500005</v>
      </c>
      <c r="G619" s="19">
        <v>3128385.6681563938</v>
      </c>
      <c r="H619" s="20">
        <v>3.8858330915541917E-2</v>
      </c>
      <c r="I619" s="20">
        <v>-8.0496626859853371E-2</v>
      </c>
      <c r="J619" s="20">
        <v>-1.6106495363771733E-2</v>
      </c>
    </row>
    <row r="620" spans="1:10" ht="11.25" customHeight="1" x14ac:dyDescent="0.2">
      <c r="A620" s="29">
        <v>44531</v>
      </c>
      <c r="B620" s="19">
        <v>0</v>
      </c>
      <c r="C620" s="19">
        <v>0</v>
      </c>
      <c r="D620" s="19">
        <v>4180927.8262399998</v>
      </c>
      <c r="E620" s="19">
        <v>4343391.703246031</v>
      </c>
      <c r="F620" s="19">
        <v>3568931.5476800003</v>
      </c>
      <c r="G620" s="19">
        <v>3281644.596598045</v>
      </c>
      <c r="H620" s="20">
        <v>3.8858330915541917E-2</v>
      </c>
      <c r="I620" s="20">
        <v>-8.0496626859853149E-2</v>
      </c>
      <c r="J620" s="20">
        <v>-1.6106495363771622E-2</v>
      </c>
    </row>
    <row r="621" spans="1:10" ht="11.25" customHeight="1" x14ac:dyDescent="0.2">
      <c r="A621" s="29">
        <v>44562</v>
      </c>
      <c r="B621" s="19">
        <v>0</v>
      </c>
      <c r="C621" s="19">
        <v>0</v>
      </c>
      <c r="D621" s="19">
        <v>4048114.5251800008</v>
      </c>
      <c r="E621" s="19">
        <v>4205417.4989834568</v>
      </c>
      <c r="F621" s="19">
        <v>3455559.2055100007</v>
      </c>
      <c r="G621" s="19">
        <v>3177398.3455519308</v>
      </c>
      <c r="H621" s="20">
        <v>3.8858330915541917E-2</v>
      </c>
      <c r="I621" s="20">
        <v>-8.0496626859853371E-2</v>
      </c>
      <c r="J621" s="20">
        <v>-1.6106495363771622E-2</v>
      </c>
    </row>
    <row r="622" spans="1:10" ht="11.25" customHeight="1" x14ac:dyDescent="0.2">
      <c r="A622" s="29">
        <v>44593</v>
      </c>
      <c r="B622" s="19">
        <v>0</v>
      </c>
      <c r="C622" s="19">
        <v>0</v>
      </c>
      <c r="D622" s="19">
        <v>3954773.5660399999</v>
      </c>
      <c r="E622" s="19">
        <v>4108449.4659652198</v>
      </c>
      <c r="F622" s="19">
        <v>3375881.3187799999</v>
      </c>
      <c r="G622" s="19">
        <v>3104134.2599390172</v>
      </c>
      <c r="H622" s="20">
        <v>3.8858330915541917E-2</v>
      </c>
      <c r="I622" s="20">
        <v>-8.0496626859853149E-2</v>
      </c>
      <c r="J622" s="20">
        <v>-1.61064953637714E-2</v>
      </c>
    </row>
    <row r="623" spans="1:10" ht="11.25" customHeight="1" x14ac:dyDescent="0.2">
      <c r="A623" s="29">
        <v>44621</v>
      </c>
      <c r="B623" s="19">
        <v>0</v>
      </c>
      <c r="C623" s="19">
        <v>0</v>
      </c>
      <c r="D623" s="19">
        <v>4318206.7675999999</v>
      </c>
      <c r="E623" s="19">
        <v>4486005.0751371337</v>
      </c>
      <c r="F623" s="19">
        <v>3686115.8582000001</v>
      </c>
      <c r="G623" s="19">
        <v>3389395.965400287</v>
      </c>
      <c r="H623" s="20">
        <v>3.8858330915541917E-2</v>
      </c>
      <c r="I623" s="20">
        <v>-8.049662685985326E-2</v>
      </c>
      <c r="J623" s="20">
        <v>-1.6106495363771622E-2</v>
      </c>
    </row>
    <row r="624" spans="1:10" ht="11.25" customHeight="1" x14ac:dyDescent="0.2">
      <c r="A624" s="29">
        <v>44652</v>
      </c>
      <c r="B624" s="19">
        <v>0</v>
      </c>
      <c r="C624" s="19">
        <v>0</v>
      </c>
      <c r="D624" s="19">
        <v>4194642.5274600005</v>
      </c>
      <c r="E624" s="19">
        <v>4357639.334864446</v>
      </c>
      <c r="F624" s="19">
        <v>3580638.71697</v>
      </c>
      <c r="G624" s="19">
        <v>3292409.3782501221</v>
      </c>
      <c r="H624" s="20">
        <v>3.8858330915541917E-2</v>
      </c>
      <c r="I624" s="20">
        <v>-8.049662685985326E-2</v>
      </c>
      <c r="J624" s="20">
        <v>-1.6106495363771622E-2</v>
      </c>
    </row>
    <row r="625" spans="1:10" ht="11.25" customHeight="1" x14ac:dyDescent="0.2">
      <c r="A625" s="29">
        <v>44682</v>
      </c>
      <c r="B625" s="19">
        <v>0</v>
      </c>
      <c r="C625" s="19">
        <v>0</v>
      </c>
      <c r="D625" s="19">
        <v>4181077.9091400001</v>
      </c>
      <c r="E625" s="19">
        <v>4343547.6181170242</v>
      </c>
      <c r="F625" s="19">
        <v>3569059.6617299998</v>
      </c>
      <c r="G625" s="19">
        <v>3281762.3978991662</v>
      </c>
      <c r="H625" s="20">
        <v>3.8858330915541917E-2</v>
      </c>
      <c r="I625" s="20">
        <v>-8.0496626859853149E-2</v>
      </c>
      <c r="J625" s="20">
        <v>-1.6106495363771511E-2</v>
      </c>
    </row>
    <row r="626" spans="1:10" ht="11.25" customHeight="1" x14ac:dyDescent="0.2">
      <c r="A626" s="29">
        <v>44713</v>
      </c>
      <c r="B626" s="19">
        <v>0</v>
      </c>
      <c r="C626" s="19">
        <v>0</v>
      </c>
      <c r="D626" s="19">
        <v>3859930.1602400001</v>
      </c>
      <c r="E626" s="19">
        <v>4009920.6037174864</v>
      </c>
      <c r="F626" s="19">
        <v>3294920.9106800007</v>
      </c>
      <c r="G626" s="19">
        <v>3029690.8916002642</v>
      </c>
      <c r="H626" s="20">
        <v>3.8858330915541917E-2</v>
      </c>
      <c r="I626" s="20">
        <v>-8.0496626859853371E-2</v>
      </c>
      <c r="J626" s="20">
        <v>-1.6106495363771733E-2</v>
      </c>
    </row>
    <row r="627" spans="1:10" ht="11.25" customHeight="1" x14ac:dyDescent="0.2">
      <c r="A627" s="29">
        <v>44743</v>
      </c>
      <c r="B627" s="19">
        <v>0</v>
      </c>
      <c r="C627" s="19">
        <v>0</v>
      </c>
      <c r="D627" s="19">
        <v>3859930.1602400001</v>
      </c>
      <c r="E627" s="19">
        <v>4009920.6037174864</v>
      </c>
      <c r="F627" s="19">
        <v>3294920.9106800007</v>
      </c>
      <c r="G627" s="19">
        <v>3029690.8916002642</v>
      </c>
      <c r="H627" s="20">
        <v>3.8858330915541917E-2</v>
      </c>
      <c r="I627" s="20">
        <v>-8.0496626859853371E-2</v>
      </c>
      <c r="J627" s="20">
        <v>-1.6106495363771733E-2</v>
      </c>
    </row>
    <row r="628" spans="1:10" ht="11.25" customHeight="1" x14ac:dyDescent="0.2">
      <c r="A628" s="25" t="s">
        <v>31</v>
      </c>
      <c r="B628" s="19">
        <v>0</v>
      </c>
      <c r="C628" s="19">
        <v>0</v>
      </c>
      <c r="D628" s="19">
        <v>37958979.885579996</v>
      </c>
      <c r="E628" s="19">
        <v>39432539.910137855</v>
      </c>
      <c r="F628" s="19">
        <v>32402118.613850005</v>
      </c>
      <c r="G628" s="19">
        <v>29793210.091903746</v>
      </c>
      <c r="H628" s="20">
        <v>3.8819800453005593E-2</v>
      </c>
      <c r="I628" s="20">
        <v>-8.0516603035676537E-2</v>
      </c>
      <c r="J628" s="20">
        <v>-1.6136025752889638E-2</v>
      </c>
    </row>
    <row r="629" spans="1:10" ht="11.25" customHeight="1" x14ac:dyDescent="0.2">
      <c r="A629" s="26" t="s">
        <v>25</v>
      </c>
      <c r="B629" s="19">
        <v>0</v>
      </c>
      <c r="C629" s="19">
        <v>0</v>
      </c>
      <c r="D629" s="19">
        <v>37958979.885579996</v>
      </c>
      <c r="E629" s="19">
        <v>39432539.910137855</v>
      </c>
      <c r="F629" s="19">
        <v>32402118.613850005</v>
      </c>
      <c r="G629" s="19">
        <v>29793210.091903746</v>
      </c>
      <c r="H629" s="20">
        <v>3.8819800453005593E-2</v>
      </c>
      <c r="I629" s="20">
        <v>-8.0516603035676537E-2</v>
      </c>
      <c r="J629" s="20">
        <v>-1.6136025752889638E-2</v>
      </c>
    </row>
    <row r="630" spans="1:10" ht="11.25" customHeight="1" x14ac:dyDescent="0.2">
      <c r="A630" s="27" t="s">
        <v>25</v>
      </c>
      <c r="B630" s="19">
        <v>0</v>
      </c>
      <c r="C630" s="19">
        <v>0</v>
      </c>
      <c r="D630" s="19">
        <v>37958979.885579996</v>
      </c>
      <c r="E630" s="19">
        <v>39432539.910137855</v>
      </c>
      <c r="F630" s="19">
        <v>32402118.613850005</v>
      </c>
      <c r="G630" s="19">
        <v>29793210.091903746</v>
      </c>
      <c r="H630" s="20">
        <v>3.8819800453005593E-2</v>
      </c>
      <c r="I630" s="20">
        <v>-8.0516603035676537E-2</v>
      </c>
      <c r="J630" s="20">
        <v>-1.6136025752889638E-2</v>
      </c>
    </row>
    <row r="631" spans="1:10" ht="11.25" customHeight="1" x14ac:dyDescent="0.2">
      <c r="A631" s="28" t="s">
        <v>25</v>
      </c>
      <c r="B631" s="19">
        <v>0</v>
      </c>
      <c r="C631" s="19">
        <v>0</v>
      </c>
      <c r="D631" s="19">
        <v>37958979.885579996</v>
      </c>
      <c r="E631" s="19">
        <v>39432539.910137855</v>
      </c>
      <c r="F631" s="19">
        <v>32402118.613850005</v>
      </c>
      <c r="G631" s="19">
        <v>29793210.091903746</v>
      </c>
      <c r="H631" s="20">
        <v>3.8819800453005593E-2</v>
      </c>
      <c r="I631" s="20">
        <v>-8.0516603035676537E-2</v>
      </c>
      <c r="J631" s="20">
        <v>-1.6136025752889638E-2</v>
      </c>
    </row>
    <row r="632" spans="1:10" ht="11.25" customHeight="1" x14ac:dyDescent="0.2">
      <c r="A632" s="29">
        <v>44409</v>
      </c>
      <c r="B632" s="19">
        <v>0</v>
      </c>
      <c r="C632" s="19">
        <v>0</v>
      </c>
      <c r="D632" s="19">
        <v>2795278.0702599995</v>
      </c>
      <c r="E632" s="19">
        <v>2903790.2071581539</v>
      </c>
      <c r="F632" s="19">
        <v>2386073.9109499999</v>
      </c>
      <c r="G632" s="19">
        <v>2193955.3450482553</v>
      </c>
      <c r="H632" s="20">
        <v>3.8819800453005149E-2</v>
      </c>
      <c r="I632" s="20">
        <v>-8.0516603035676204E-2</v>
      </c>
      <c r="J632" s="20">
        <v>-1.6136025752889527E-2</v>
      </c>
    </row>
    <row r="633" spans="1:10" ht="11.25" customHeight="1" x14ac:dyDescent="0.2">
      <c r="A633" s="29">
        <v>44440</v>
      </c>
      <c r="B633" s="19">
        <v>0</v>
      </c>
      <c r="C633" s="19">
        <v>0</v>
      </c>
      <c r="D633" s="19">
        <v>2724515.7620200003</v>
      </c>
      <c r="E633" s="19">
        <v>2830280.9202326839</v>
      </c>
      <c r="F633" s="19">
        <v>2325670.5831499998</v>
      </c>
      <c r="G633" s="19">
        <v>2138415.4880147618</v>
      </c>
      <c r="H633" s="20">
        <v>3.8819800453005149E-2</v>
      </c>
      <c r="I633" s="20">
        <v>-8.0516603035676204E-2</v>
      </c>
      <c r="J633" s="20">
        <v>-1.6136025752889638E-2</v>
      </c>
    </row>
    <row r="634" spans="1:10" ht="11.25" customHeight="1" x14ac:dyDescent="0.2">
      <c r="A634" s="29">
        <v>44470</v>
      </c>
      <c r="B634" s="19">
        <v>0</v>
      </c>
      <c r="C634" s="19">
        <v>0</v>
      </c>
      <c r="D634" s="19">
        <v>3119297.9495600001</v>
      </c>
      <c r="E634" s="19">
        <v>3240388.4735153872</v>
      </c>
      <c r="F634" s="19">
        <v>2662660.1257000002</v>
      </c>
      <c r="G634" s="19">
        <v>2448271.777340089</v>
      </c>
      <c r="H634" s="20">
        <v>3.8819800453005149E-2</v>
      </c>
      <c r="I634" s="20">
        <v>-8.0516603035676426E-2</v>
      </c>
      <c r="J634" s="20">
        <v>-1.613602575288986E-2</v>
      </c>
    </row>
    <row r="635" spans="1:10" ht="11.25" customHeight="1" x14ac:dyDescent="0.2">
      <c r="A635" s="29">
        <v>44501</v>
      </c>
      <c r="B635" s="19">
        <v>0</v>
      </c>
      <c r="C635" s="19">
        <v>0</v>
      </c>
      <c r="D635" s="19">
        <v>3148889.0141800004</v>
      </c>
      <c r="E635" s="19">
        <v>3271128.257359128</v>
      </c>
      <c r="F635" s="19">
        <v>2687919.3183500008</v>
      </c>
      <c r="G635" s="19">
        <v>2471497.1856024871</v>
      </c>
      <c r="H635" s="20">
        <v>3.8819800453005149E-2</v>
      </c>
      <c r="I635" s="20">
        <v>-8.0516603035676648E-2</v>
      </c>
      <c r="J635" s="20">
        <v>-1.6136025752889971E-2</v>
      </c>
    </row>
    <row r="636" spans="1:10" ht="11.25" customHeight="1" x14ac:dyDescent="0.2">
      <c r="A636" s="29">
        <v>44531</v>
      </c>
      <c r="B636" s="19">
        <v>0</v>
      </c>
      <c r="C636" s="19">
        <v>0</v>
      </c>
      <c r="D636" s="19">
        <v>3873690.9348800005</v>
      </c>
      <c r="E636" s="19">
        <v>4024066.8439886565</v>
      </c>
      <c r="F636" s="19">
        <v>3306616.6036</v>
      </c>
      <c r="G636" s="19">
        <v>3040379.0671367622</v>
      </c>
      <c r="H636" s="20">
        <v>3.8819800453004927E-2</v>
      </c>
      <c r="I636" s="20">
        <v>-8.0516603035676426E-2</v>
      </c>
      <c r="J636" s="20">
        <v>-1.6136025752889749E-2</v>
      </c>
    </row>
    <row r="637" spans="1:10" ht="11.25" customHeight="1" x14ac:dyDescent="0.2">
      <c r="A637" s="29">
        <v>44562</v>
      </c>
      <c r="B637" s="19">
        <v>0</v>
      </c>
      <c r="C637" s="19">
        <v>0</v>
      </c>
      <c r="D637" s="19">
        <v>3434183.1032599998</v>
      </c>
      <c r="E637" s="19">
        <v>3567497.4060476352</v>
      </c>
      <c r="F637" s="19">
        <v>2931448.8584500006</v>
      </c>
      <c r="G637" s="19">
        <v>2695418.5543947946</v>
      </c>
      <c r="H637" s="20">
        <v>3.8819800453005149E-2</v>
      </c>
      <c r="I637" s="20">
        <v>-8.0516603035676648E-2</v>
      </c>
      <c r="J637" s="20">
        <v>-1.6136025752889749E-2</v>
      </c>
    </row>
    <row r="638" spans="1:10" ht="11.25" customHeight="1" x14ac:dyDescent="0.2">
      <c r="A638" s="29">
        <v>44593</v>
      </c>
      <c r="B638" s="19">
        <v>0</v>
      </c>
      <c r="C638" s="19">
        <v>0</v>
      </c>
      <c r="D638" s="19">
        <v>2996364.4409400006</v>
      </c>
      <c r="E638" s="19">
        <v>3112682.7106217709</v>
      </c>
      <c r="F638" s="19">
        <v>2557723.0030500004</v>
      </c>
      <c r="G638" s="19">
        <v>2351783.8353382051</v>
      </c>
      <c r="H638" s="20">
        <v>3.8819800453004927E-2</v>
      </c>
      <c r="I638" s="20">
        <v>-8.0516603035676537E-2</v>
      </c>
      <c r="J638" s="20">
        <v>-1.6136025752890082E-2</v>
      </c>
    </row>
    <row r="639" spans="1:10" ht="11.25" customHeight="1" x14ac:dyDescent="0.2">
      <c r="A639" s="29">
        <v>44621</v>
      </c>
      <c r="B639" s="19">
        <v>0</v>
      </c>
      <c r="C639" s="19">
        <v>0</v>
      </c>
      <c r="D639" s="19">
        <v>3950395.9375399998</v>
      </c>
      <c r="E639" s="19">
        <v>4103749.519545665</v>
      </c>
      <c r="F639" s="19">
        <v>3372092.6675499999</v>
      </c>
      <c r="G639" s="19">
        <v>3100583.2208373616</v>
      </c>
      <c r="H639" s="20">
        <v>3.8819800453005149E-2</v>
      </c>
      <c r="I639" s="20">
        <v>-8.0516603035676315E-2</v>
      </c>
      <c r="J639" s="20">
        <v>-1.6136025752889527E-2</v>
      </c>
    </row>
    <row r="640" spans="1:10" ht="11.25" customHeight="1" x14ac:dyDescent="0.2">
      <c r="A640" s="29">
        <v>44652</v>
      </c>
      <c r="B640" s="19">
        <v>0</v>
      </c>
      <c r="C640" s="19">
        <v>0</v>
      </c>
      <c r="D640" s="19">
        <v>3442057.6249799998</v>
      </c>
      <c r="E640" s="19">
        <v>3575677.615129468</v>
      </c>
      <c r="F640" s="19">
        <v>2938170.6193499998</v>
      </c>
      <c r="G640" s="19">
        <v>2701599.1019407087</v>
      </c>
      <c r="H640" s="20">
        <v>3.8819800453005149E-2</v>
      </c>
      <c r="I640" s="20">
        <v>-8.0516603035676315E-2</v>
      </c>
      <c r="J640" s="20">
        <v>-1.6136025752889638E-2</v>
      </c>
    </row>
    <row r="641" spans="1:10" ht="11.25" customHeight="1" x14ac:dyDescent="0.2">
      <c r="A641" s="29">
        <v>44682</v>
      </c>
      <c r="B641" s="19">
        <v>0</v>
      </c>
      <c r="C641" s="19">
        <v>0</v>
      </c>
      <c r="D641" s="19">
        <v>3443020.9772400004</v>
      </c>
      <c r="E641" s="19">
        <v>3576678.3645319678</v>
      </c>
      <c r="F641" s="19">
        <v>2938992.9453000003</v>
      </c>
      <c r="G641" s="19">
        <v>2702355.2169986265</v>
      </c>
      <c r="H641" s="20">
        <v>3.8819800453005149E-2</v>
      </c>
      <c r="I641" s="20">
        <v>-8.0516603035676537E-2</v>
      </c>
      <c r="J641" s="20">
        <v>-1.6136025752889749E-2</v>
      </c>
    </row>
    <row r="642" spans="1:10" ht="11.25" customHeight="1" x14ac:dyDescent="0.2">
      <c r="A642" s="29">
        <v>44713</v>
      </c>
      <c r="B642" s="19">
        <v>0</v>
      </c>
      <c r="C642" s="19">
        <v>0</v>
      </c>
      <c r="D642" s="19">
        <v>2515643.0353600001</v>
      </c>
      <c r="E642" s="19">
        <v>2613299.7960036672</v>
      </c>
      <c r="F642" s="19">
        <v>2147374.9891999997</v>
      </c>
      <c r="G642" s="19">
        <v>1974475.6496258436</v>
      </c>
      <c r="H642" s="20">
        <v>3.8819800453004927E-2</v>
      </c>
      <c r="I642" s="20">
        <v>-8.0516603035676315E-2</v>
      </c>
      <c r="J642" s="20">
        <v>-1.6136025752889638E-2</v>
      </c>
    </row>
    <row r="643" spans="1:10" ht="11.25" customHeight="1" x14ac:dyDescent="0.2">
      <c r="A643" s="29">
        <v>44743</v>
      </c>
      <c r="B643" s="19">
        <v>0</v>
      </c>
      <c r="C643" s="19">
        <v>0</v>
      </c>
      <c r="D643" s="19">
        <v>2515643.0353600001</v>
      </c>
      <c r="E643" s="19">
        <v>2613299.7960036672</v>
      </c>
      <c r="F643" s="19">
        <v>2147374.9891999997</v>
      </c>
      <c r="G643" s="19">
        <v>1974475.6496258436</v>
      </c>
      <c r="H643" s="20">
        <v>3.8819800453004927E-2</v>
      </c>
      <c r="I643" s="20">
        <v>-8.0516603035676315E-2</v>
      </c>
      <c r="J643" s="20">
        <v>-1.6136025752889638E-2</v>
      </c>
    </row>
    <row r="644" spans="1:10" ht="11.25" customHeight="1" x14ac:dyDescent="0.2">
      <c r="A644" s="25" t="s">
        <v>32</v>
      </c>
      <c r="B644" s="19">
        <v>0</v>
      </c>
      <c r="C644" s="19">
        <v>0</v>
      </c>
      <c r="D644" s="19">
        <v>11812182.902200002</v>
      </c>
      <c r="E644" s="19">
        <v>12271048.072042385</v>
      </c>
      <c r="F644" s="19">
        <v>10083157.231199998</v>
      </c>
      <c r="G644" s="19">
        <v>9271376.2311876137</v>
      </c>
      <c r="H644" s="20">
        <v>3.8846771476669595E-2</v>
      </c>
      <c r="I644" s="20">
        <v>-8.0508612669503377E-2</v>
      </c>
      <c r="J644" s="20">
        <v>-1.6118307732138959E-2</v>
      </c>
    </row>
    <row r="645" spans="1:10" ht="11.25" customHeight="1" x14ac:dyDescent="0.2">
      <c r="A645" s="26" t="s">
        <v>25</v>
      </c>
      <c r="B645" s="19">
        <v>0</v>
      </c>
      <c r="C645" s="19">
        <v>0</v>
      </c>
      <c r="D645" s="19">
        <v>11812182.902200002</v>
      </c>
      <c r="E645" s="19">
        <v>12271048.072042385</v>
      </c>
      <c r="F645" s="19">
        <v>10083157.231199998</v>
      </c>
      <c r="G645" s="19">
        <v>9271376.2311876137</v>
      </c>
      <c r="H645" s="20">
        <v>3.8846771476669595E-2</v>
      </c>
      <c r="I645" s="20">
        <v>-8.0508612669503377E-2</v>
      </c>
      <c r="J645" s="20">
        <v>-1.6118307732138959E-2</v>
      </c>
    </row>
    <row r="646" spans="1:10" ht="11.25" customHeight="1" x14ac:dyDescent="0.2">
      <c r="A646" s="27" t="s">
        <v>25</v>
      </c>
      <c r="B646" s="19">
        <v>0</v>
      </c>
      <c r="C646" s="19">
        <v>0</v>
      </c>
      <c r="D646" s="19">
        <v>11812182.902200002</v>
      </c>
      <c r="E646" s="19">
        <v>12271048.072042385</v>
      </c>
      <c r="F646" s="19">
        <v>10083157.231199998</v>
      </c>
      <c r="G646" s="19">
        <v>9271376.2311876137</v>
      </c>
      <c r="H646" s="20">
        <v>3.8846771476669595E-2</v>
      </c>
      <c r="I646" s="20">
        <v>-8.0508612669503377E-2</v>
      </c>
      <c r="J646" s="20">
        <v>-1.6118307732138959E-2</v>
      </c>
    </row>
    <row r="647" spans="1:10" ht="11.25" customHeight="1" x14ac:dyDescent="0.2">
      <c r="A647" s="28" t="s">
        <v>25</v>
      </c>
      <c r="B647" s="19">
        <v>0</v>
      </c>
      <c r="C647" s="19">
        <v>0</v>
      </c>
      <c r="D647" s="19">
        <v>11812182.902200002</v>
      </c>
      <c r="E647" s="19">
        <v>12271048.072042385</v>
      </c>
      <c r="F647" s="19">
        <v>10083157.231199998</v>
      </c>
      <c r="G647" s="19">
        <v>9271376.2311876137</v>
      </c>
      <c r="H647" s="20">
        <v>3.8846771476669595E-2</v>
      </c>
      <c r="I647" s="20">
        <v>-8.0508612669503377E-2</v>
      </c>
      <c r="J647" s="20">
        <v>-1.6118307732138959E-2</v>
      </c>
    </row>
    <row r="648" spans="1:10" ht="11.25" customHeight="1" x14ac:dyDescent="0.2">
      <c r="A648" s="29">
        <v>44409</v>
      </c>
      <c r="B648" s="19">
        <v>0</v>
      </c>
      <c r="C648" s="19">
        <v>0</v>
      </c>
      <c r="D648" s="19">
        <v>770447.60664999997</v>
      </c>
      <c r="E648" s="19">
        <v>800377.00876027951</v>
      </c>
      <c r="F648" s="19">
        <v>657672.20340000011</v>
      </c>
      <c r="G648" s="19">
        <v>604723.92671297037</v>
      </c>
      <c r="H648" s="20">
        <v>3.8846771476669595E-2</v>
      </c>
      <c r="I648" s="20">
        <v>-8.0508612669503821E-2</v>
      </c>
      <c r="J648" s="20">
        <v>-1.6118307732139292E-2</v>
      </c>
    </row>
    <row r="649" spans="1:10" ht="11.25" customHeight="1" x14ac:dyDescent="0.2">
      <c r="A649" s="29">
        <v>44440</v>
      </c>
      <c r="B649" s="19">
        <v>0</v>
      </c>
      <c r="C649" s="19">
        <v>0</v>
      </c>
      <c r="D649" s="19">
        <v>781019.73151999991</v>
      </c>
      <c r="E649" s="19">
        <v>811359.826549127</v>
      </c>
      <c r="F649" s="19">
        <v>666696.81791999994</v>
      </c>
      <c r="G649" s="19">
        <v>613021.98203808814</v>
      </c>
      <c r="H649" s="20">
        <v>3.8846771476669373E-2</v>
      </c>
      <c r="I649" s="20">
        <v>-8.0508612669503488E-2</v>
      </c>
      <c r="J649" s="20">
        <v>-1.6118307732139181E-2</v>
      </c>
    </row>
    <row r="650" spans="1:10" ht="11.25" customHeight="1" x14ac:dyDescent="0.2">
      <c r="A650" s="29">
        <v>44470</v>
      </c>
      <c r="B650" s="19">
        <v>0</v>
      </c>
      <c r="C650" s="19">
        <v>0</v>
      </c>
      <c r="D650" s="19">
        <v>1001287.56112</v>
      </c>
      <c r="E650" s="19">
        <v>1040184.3501892603</v>
      </c>
      <c r="F650" s="19">
        <v>854722.61952000018</v>
      </c>
      <c r="G650" s="19">
        <v>785910.08720520092</v>
      </c>
      <c r="H650" s="20">
        <v>3.8846771476669373E-2</v>
      </c>
      <c r="I650" s="20">
        <v>-8.050861266950371E-2</v>
      </c>
      <c r="J650" s="20">
        <v>-1.6118307732139292E-2</v>
      </c>
    </row>
    <row r="651" spans="1:10" ht="11.25" customHeight="1" x14ac:dyDescent="0.2">
      <c r="A651" s="29">
        <v>44501</v>
      </c>
      <c r="B651" s="19">
        <v>0</v>
      </c>
      <c r="C651" s="19">
        <v>0</v>
      </c>
      <c r="D651" s="19">
        <v>974646.20188000007</v>
      </c>
      <c r="E651" s="19">
        <v>1012508.0601550362</v>
      </c>
      <c r="F651" s="19">
        <v>831980.92848</v>
      </c>
      <c r="G651" s="19">
        <v>764999.29816058977</v>
      </c>
      <c r="H651" s="20">
        <v>3.8846771476669373E-2</v>
      </c>
      <c r="I651" s="20">
        <v>-8.0508612669503488E-2</v>
      </c>
      <c r="J651" s="20">
        <v>-1.6118307732139292E-2</v>
      </c>
    </row>
    <row r="652" spans="1:10" ht="11.25" customHeight="1" x14ac:dyDescent="0.2">
      <c r="A652" s="29">
        <v>44531</v>
      </c>
      <c r="B652" s="19">
        <v>0</v>
      </c>
      <c r="C652" s="19">
        <v>0</v>
      </c>
      <c r="D652" s="19">
        <v>1471099.5972800001</v>
      </c>
      <c r="E652" s="19">
        <v>1528247.0671549565</v>
      </c>
      <c r="F652" s="19">
        <v>1255765.2268800002</v>
      </c>
      <c r="G652" s="19">
        <v>1154665.3106252868</v>
      </c>
      <c r="H652" s="20">
        <v>3.8846771476669373E-2</v>
      </c>
      <c r="I652" s="20">
        <v>-8.050861266950371E-2</v>
      </c>
      <c r="J652" s="20">
        <v>-1.6118307732139403E-2</v>
      </c>
    </row>
    <row r="653" spans="1:10" ht="11.25" customHeight="1" x14ac:dyDescent="0.2">
      <c r="A653" s="29">
        <v>44562</v>
      </c>
      <c r="B653" s="19">
        <v>0</v>
      </c>
      <c r="C653" s="19">
        <v>0</v>
      </c>
      <c r="D653" s="19">
        <v>1169700.1232899998</v>
      </c>
      <c r="E653" s="19">
        <v>1215139.1966756785</v>
      </c>
      <c r="F653" s="19">
        <v>998483.54483999999</v>
      </c>
      <c r="G653" s="19">
        <v>918097.01987160346</v>
      </c>
      <c r="H653" s="20">
        <v>3.8846771476669373E-2</v>
      </c>
      <c r="I653" s="20">
        <v>-8.0508612669503599E-2</v>
      </c>
      <c r="J653" s="20">
        <v>-1.6118307732139181E-2</v>
      </c>
    </row>
    <row r="654" spans="1:10" ht="11.25" customHeight="1" x14ac:dyDescent="0.2">
      <c r="A654" s="29">
        <v>44593</v>
      </c>
      <c r="B654" s="19">
        <v>0</v>
      </c>
      <c r="C654" s="19">
        <v>0</v>
      </c>
      <c r="D654" s="19">
        <v>894485.76342999993</v>
      </c>
      <c r="E654" s="19">
        <v>929233.64747109939</v>
      </c>
      <c r="F654" s="19">
        <v>763554.09227999998</v>
      </c>
      <c r="G654" s="19">
        <v>702081.41161241499</v>
      </c>
      <c r="H654" s="20">
        <v>3.8846771476669595E-2</v>
      </c>
      <c r="I654" s="20">
        <v>-8.050861266950371E-2</v>
      </c>
      <c r="J654" s="20">
        <v>-1.6118307732139181E-2</v>
      </c>
    </row>
    <row r="655" spans="1:10" ht="11.25" customHeight="1" x14ac:dyDescent="0.2">
      <c r="A655" s="29">
        <v>44621</v>
      </c>
      <c r="B655" s="19">
        <v>0</v>
      </c>
      <c r="C655" s="19">
        <v>0</v>
      </c>
      <c r="D655" s="19">
        <v>1412357.2155500001</v>
      </c>
      <c r="E655" s="19">
        <v>1467222.7335458959</v>
      </c>
      <c r="F655" s="19">
        <v>1205621.3478000001</v>
      </c>
      <c r="G655" s="19">
        <v>1108558.4456838849</v>
      </c>
      <c r="H655" s="20">
        <v>3.8846771476669373E-2</v>
      </c>
      <c r="I655" s="20">
        <v>-8.050861266950371E-2</v>
      </c>
      <c r="J655" s="20">
        <v>-1.6118307732139403E-2</v>
      </c>
    </row>
    <row r="656" spans="1:10" ht="11.25" customHeight="1" x14ac:dyDescent="0.2">
      <c r="A656" s="29">
        <v>44652</v>
      </c>
      <c r="B656" s="19">
        <v>0</v>
      </c>
      <c r="C656" s="19">
        <v>0</v>
      </c>
      <c r="D656" s="19">
        <v>1101464.6678299999</v>
      </c>
      <c r="E656" s="19">
        <v>1144253.0140708175</v>
      </c>
      <c r="F656" s="19">
        <v>940236.15468000004</v>
      </c>
      <c r="G656" s="19">
        <v>864539.04628500447</v>
      </c>
      <c r="H656" s="20">
        <v>3.8846771476669373E-2</v>
      </c>
      <c r="I656" s="20">
        <v>-8.0508612669503599E-2</v>
      </c>
      <c r="J656" s="20">
        <v>-1.6118307732139181E-2</v>
      </c>
    </row>
    <row r="657" spans="1:10" ht="11.25" customHeight="1" x14ac:dyDescent="0.2">
      <c r="A657" s="29">
        <v>44682</v>
      </c>
      <c r="B657" s="19">
        <v>0</v>
      </c>
      <c r="C657" s="19">
        <v>0</v>
      </c>
      <c r="D657" s="19">
        <v>1035913.35957</v>
      </c>
      <c r="E657" s="19">
        <v>1076155.2491188447</v>
      </c>
      <c r="F657" s="19">
        <v>884280.01572000002</v>
      </c>
      <c r="G657" s="19">
        <v>813087.85844301595</v>
      </c>
      <c r="H657" s="20">
        <v>3.8846771476669595E-2</v>
      </c>
      <c r="I657" s="20">
        <v>-8.0508612669503599E-2</v>
      </c>
      <c r="J657" s="20">
        <v>-1.6118307732139181E-2</v>
      </c>
    </row>
    <row r="658" spans="1:10" ht="11.25" customHeight="1" x14ac:dyDescent="0.2">
      <c r="A658" s="29">
        <v>44713</v>
      </c>
      <c r="B658" s="19">
        <v>0</v>
      </c>
      <c r="C658" s="19">
        <v>0</v>
      </c>
      <c r="D658" s="19">
        <v>599880.53703999997</v>
      </c>
      <c r="E658" s="19">
        <v>623183.9591756945</v>
      </c>
      <c r="F658" s="19">
        <v>512072.13984000002</v>
      </c>
      <c r="G658" s="19">
        <v>470845.92227477755</v>
      </c>
      <c r="H658" s="20">
        <v>3.8846771476669373E-2</v>
      </c>
      <c r="I658" s="20">
        <v>-8.0508612669503599E-2</v>
      </c>
      <c r="J658" s="20">
        <v>-1.6118307732139403E-2</v>
      </c>
    </row>
    <row r="659" spans="1:10" ht="11.25" customHeight="1" x14ac:dyDescent="0.2">
      <c r="A659" s="29">
        <v>44743</v>
      </c>
      <c r="B659" s="19">
        <v>0</v>
      </c>
      <c r="C659" s="19">
        <v>0</v>
      </c>
      <c r="D659" s="19">
        <v>599880.53703999997</v>
      </c>
      <c r="E659" s="19">
        <v>623183.9591756945</v>
      </c>
      <c r="F659" s="19">
        <v>512072.13984000002</v>
      </c>
      <c r="G659" s="19">
        <v>470845.92227477755</v>
      </c>
      <c r="H659" s="20">
        <v>3.8846771476669373E-2</v>
      </c>
      <c r="I659" s="20">
        <v>-8.0508612669503599E-2</v>
      </c>
      <c r="J659" s="20">
        <v>-1.6118307732139403E-2</v>
      </c>
    </row>
    <row r="660" spans="1:10" ht="11.25" customHeight="1" x14ac:dyDescent="0.2">
      <c r="A660" s="22" t="s">
        <v>44</v>
      </c>
      <c r="B660" s="19">
        <v>0</v>
      </c>
      <c r="C660" s="19">
        <v>0</v>
      </c>
      <c r="D660" s="19">
        <v>64882418.33226499</v>
      </c>
      <c r="E660" s="19">
        <v>77335177.283854887</v>
      </c>
      <c r="F660" s="19">
        <v>48631132.132440001</v>
      </c>
      <c r="G660" s="19">
        <v>47763439.781475365</v>
      </c>
      <c r="H660" s="20">
        <v>0.19192809503213737</v>
      </c>
      <c r="I660" s="20">
        <v>-1.7842322662807941E-2</v>
      </c>
      <c r="J660" s="20">
        <v>0.10205888683067288</v>
      </c>
    </row>
    <row r="661" spans="1:10" ht="11.25" customHeight="1" x14ac:dyDescent="0.2">
      <c r="A661" s="23" t="s">
        <v>33</v>
      </c>
      <c r="B661" s="19">
        <v>0</v>
      </c>
      <c r="C661" s="19">
        <v>0</v>
      </c>
      <c r="D661" s="19">
        <v>29472.990890000001</v>
      </c>
      <c r="E661" s="19">
        <v>35200.705086774324</v>
      </c>
      <c r="F661" s="19">
        <v>24901.466940000002</v>
      </c>
      <c r="G661" s="19">
        <v>24536.304091018908</v>
      </c>
      <c r="H661" s="20">
        <v>0.19433773172704027</v>
      </c>
      <c r="I661" s="20">
        <v>-1.4664310735626684E-2</v>
      </c>
      <c r="J661" s="20">
        <v>9.8622617342853935E-2</v>
      </c>
    </row>
    <row r="662" spans="1:10" ht="11.25" customHeight="1" x14ac:dyDescent="0.2">
      <c r="A662" s="24" t="s">
        <v>45</v>
      </c>
      <c r="B662" s="19">
        <v>0</v>
      </c>
      <c r="C662" s="19">
        <v>0</v>
      </c>
      <c r="D662" s="19">
        <v>29472.990890000001</v>
      </c>
      <c r="E662" s="19">
        <v>35200.705086774324</v>
      </c>
      <c r="F662" s="19">
        <v>24901.466940000002</v>
      </c>
      <c r="G662" s="19">
        <v>24536.304091018908</v>
      </c>
      <c r="H662" s="20">
        <v>0.19433773172704027</v>
      </c>
      <c r="I662" s="20">
        <v>-1.4664310735626684E-2</v>
      </c>
      <c r="J662" s="20">
        <v>9.8622617342853935E-2</v>
      </c>
    </row>
    <row r="663" spans="1:10" ht="11.25" customHeight="1" x14ac:dyDescent="0.2">
      <c r="A663" s="25" t="s">
        <v>53</v>
      </c>
      <c r="B663" s="19">
        <v>0</v>
      </c>
      <c r="C663" s="19">
        <v>0</v>
      </c>
      <c r="D663" s="19">
        <v>3548.9046699999994</v>
      </c>
      <c r="E663" s="19">
        <v>4242.0952931691136</v>
      </c>
      <c r="F663" s="19">
        <v>3128.6606000000002</v>
      </c>
      <c r="G663" s="19">
        <v>3087.378418715678</v>
      </c>
      <c r="H663" s="20">
        <v>0.19532523063492557</v>
      </c>
      <c r="I663" s="20">
        <v>-1.3194841678999092E-2</v>
      </c>
      <c r="J663" s="20">
        <v>9.762666713474033E-2</v>
      </c>
    </row>
    <row r="664" spans="1:10" ht="11.25" customHeight="1" x14ac:dyDescent="0.2">
      <c r="A664" s="26" t="s">
        <v>54</v>
      </c>
      <c r="B664" s="19">
        <v>0</v>
      </c>
      <c r="C664" s="19">
        <v>0</v>
      </c>
      <c r="D664" s="19">
        <v>3548.9046699999994</v>
      </c>
      <c r="E664" s="19">
        <v>4242.0952931691136</v>
      </c>
      <c r="F664" s="19">
        <v>3128.6606000000002</v>
      </c>
      <c r="G664" s="19">
        <v>3087.378418715678</v>
      </c>
      <c r="H664" s="20">
        <v>0.19532523063492557</v>
      </c>
      <c r="I664" s="20">
        <v>-1.3194841678999092E-2</v>
      </c>
      <c r="J664" s="20">
        <v>9.762666713474033E-2</v>
      </c>
    </row>
    <row r="665" spans="1:10" ht="11.25" customHeight="1" x14ac:dyDescent="0.2">
      <c r="A665" s="27" t="s">
        <v>25</v>
      </c>
      <c r="B665" s="19">
        <v>0</v>
      </c>
      <c r="C665" s="19">
        <v>0</v>
      </c>
      <c r="D665" s="19">
        <v>3548.9046699999994</v>
      </c>
      <c r="E665" s="19">
        <v>4242.0952931691136</v>
      </c>
      <c r="F665" s="19">
        <v>3128.6606000000002</v>
      </c>
      <c r="G665" s="19">
        <v>3087.378418715678</v>
      </c>
      <c r="H665" s="20">
        <v>0.19532523063492557</v>
      </c>
      <c r="I665" s="20">
        <v>-1.3194841678999092E-2</v>
      </c>
      <c r="J665" s="20">
        <v>9.762666713474033E-2</v>
      </c>
    </row>
    <row r="666" spans="1:10" ht="11.25" customHeight="1" x14ac:dyDescent="0.2">
      <c r="A666" s="28" t="s">
        <v>35</v>
      </c>
      <c r="B666" s="19">
        <v>0</v>
      </c>
      <c r="C666" s="19">
        <v>0</v>
      </c>
      <c r="D666" s="19">
        <v>3140.8527599999998</v>
      </c>
      <c r="E666" s="19">
        <v>3758.7749738351808</v>
      </c>
      <c r="F666" s="19">
        <v>2959.8201899999999</v>
      </c>
      <c r="G666" s="19">
        <v>2923.4694545442344</v>
      </c>
      <c r="H666" s="20">
        <v>0.19673708417811375</v>
      </c>
      <c r="I666" s="20">
        <v>-1.2281399923745218E-2</v>
      </c>
      <c r="J666" s="20">
        <v>9.5329069947835077E-2</v>
      </c>
    </row>
    <row r="667" spans="1:10" ht="11.25" customHeight="1" x14ac:dyDescent="0.2">
      <c r="A667" s="29">
        <v>44440</v>
      </c>
      <c r="B667" s="19">
        <v>0</v>
      </c>
      <c r="C667" s="19">
        <v>0</v>
      </c>
      <c r="D667" s="19">
        <v>1653.0804000000001</v>
      </c>
      <c r="E667" s="19">
        <v>1978.3026178079899</v>
      </c>
      <c r="F667" s="19">
        <v>1557.8000999999999</v>
      </c>
      <c r="G667" s="19">
        <v>1538.6681339706497</v>
      </c>
      <c r="H667" s="20">
        <v>0.19673708417811375</v>
      </c>
      <c r="I667" s="20">
        <v>-1.2281399923745218E-2</v>
      </c>
      <c r="J667" s="20">
        <v>9.5329069947835077E-2</v>
      </c>
    </row>
    <row r="668" spans="1:10" ht="11.25" customHeight="1" x14ac:dyDescent="0.2">
      <c r="A668" s="29">
        <v>44501</v>
      </c>
      <c r="B668" s="19">
        <v>0</v>
      </c>
      <c r="C668" s="19">
        <v>0</v>
      </c>
      <c r="D668" s="19">
        <v>1487.7723599999999</v>
      </c>
      <c r="E668" s="19">
        <v>1780.4723560271909</v>
      </c>
      <c r="F668" s="19">
        <v>1402.02009</v>
      </c>
      <c r="G668" s="19">
        <v>1384.8013205735847</v>
      </c>
      <c r="H668" s="20">
        <v>0.19673708417811375</v>
      </c>
      <c r="I668" s="20">
        <v>-1.2281399923745218E-2</v>
      </c>
      <c r="J668" s="20">
        <v>9.5329069947835077E-2</v>
      </c>
    </row>
    <row r="669" spans="1:10" ht="11.25" customHeight="1" x14ac:dyDescent="0.2">
      <c r="A669" s="28" t="s">
        <v>36</v>
      </c>
      <c r="B669" s="19">
        <v>0</v>
      </c>
      <c r="C669" s="19">
        <v>0</v>
      </c>
      <c r="D669" s="19">
        <v>251.56601000000001</v>
      </c>
      <c r="E669" s="19">
        <v>298.26314247303378</v>
      </c>
      <c r="F669" s="19">
        <v>102.35750999999999</v>
      </c>
      <c r="G669" s="19">
        <v>101.10041648449125</v>
      </c>
      <c r="H669" s="20">
        <v>0.18562576268961672</v>
      </c>
      <c r="I669" s="20">
        <v>-1.2281399923745107E-2</v>
      </c>
      <c r="J669" s="20">
        <v>0.12838942989017799</v>
      </c>
    </row>
    <row r="670" spans="1:10" ht="11.25" customHeight="1" x14ac:dyDescent="0.2">
      <c r="A670" s="29">
        <v>44440</v>
      </c>
      <c r="B670" s="19">
        <v>0</v>
      </c>
      <c r="C670" s="19">
        <v>0</v>
      </c>
      <c r="D670" s="19">
        <v>132.34788</v>
      </c>
      <c r="E670" s="19">
        <v>156.91505616535389</v>
      </c>
      <c r="F670" s="19">
        <v>53.849879999999999</v>
      </c>
      <c r="G670" s="19">
        <v>53.18852808787431</v>
      </c>
      <c r="H670" s="20">
        <v>0.18562576268961672</v>
      </c>
      <c r="I670" s="20">
        <v>-1.2281399923745218E-2</v>
      </c>
      <c r="J670" s="20">
        <v>0.12838942989017799</v>
      </c>
    </row>
    <row r="671" spans="1:10" ht="11.25" customHeight="1" x14ac:dyDescent="0.2">
      <c r="A671" s="29">
        <v>44501</v>
      </c>
      <c r="B671" s="19">
        <v>0</v>
      </c>
      <c r="C671" s="19">
        <v>0</v>
      </c>
      <c r="D671" s="19">
        <v>119.21813000000002</v>
      </c>
      <c r="E671" s="19">
        <v>141.34808630767989</v>
      </c>
      <c r="F671" s="19">
        <v>48.507629999999999</v>
      </c>
      <c r="G671" s="19">
        <v>47.911888396616938</v>
      </c>
      <c r="H671" s="20">
        <v>0.18562576268961672</v>
      </c>
      <c r="I671" s="20">
        <v>-1.2281399923745218E-2</v>
      </c>
      <c r="J671" s="20">
        <v>0.12838942989017799</v>
      </c>
    </row>
    <row r="672" spans="1:10" ht="11.25" customHeight="1" x14ac:dyDescent="0.2">
      <c r="A672" s="28" t="s">
        <v>34</v>
      </c>
      <c r="B672" s="19">
        <v>0</v>
      </c>
      <c r="C672" s="19">
        <v>0</v>
      </c>
      <c r="D672" s="19">
        <v>156.48590000000002</v>
      </c>
      <c r="E672" s="19">
        <v>185.05717686089997</v>
      </c>
      <c r="F672" s="19">
        <v>66.482900000000001</v>
      </c>
      <c r="G672" s="19">
        <v>62.808547686952465</v>
      </c>
      <c r="H672" s="20">
        <v>0.18258051914517504</v>
      </c>
      <c r="I672" s="20">
        <v>-5.5267629917580829E-2</v>
      </c>
      <c r="J672" s="20">
        <v>0.11166102408880718</v>
      </c>
    </row>
    <row r="673" spans="1:10" ht="11.25" customHeight="1" x14ac:dyDescent="0.2">
      <c r="A673" s="29">
        <v>44440</v>
      </c>
      <c r="B673" s="19">
        <v>0</v>
      </c>
      <c r="C673" s="19">
        <v>0</v>
      </c>
      <c r="D673" s="19">
        <v>82.361000000000004</v>
      </c>
      <c r="E673" s="19">
        <v>97.398514137315786</v>
      </c>
      <c r="F673" s="19">
        <v>34.991000000000007</v>
      </c>
      <c r="G673" s="19">
        <v>33.057130361553931</v>
      </c>
      <c r="H673" s="20">
        <v>0.18258051914517526</v>
      </c>
      <c r="I673" s="20">
        <v>-5.526762991758094E-2</v>
      </c>
      <c r="J673" s="20">
        <v>0.1116610240888074</v>
      </c>
    </row>
    <row r="674" spans="1:10" ht="11.25" customHeight="1" x14ac:dyDescent="0.2">
      <c r="A674" s="29">
        <v>44501</v>
      </c>
      <c r="B674" s="19">
        <v>0</v>
      </c>
      <c r="C674" s="19">
        <v>0</v>
      </c>
      <c r="D674" s="19">
        <v>74.124899999999997</v>
      </c>
      <c r="E674" s="19">
        <v>87.6586627235842</v>
      </c>
      <c r="F674" s="19">
        <v>31.491900000000001</v>
      </c>
      <c r="G674" s="19">
        <v>29.751417325398535</v>
      </c>
      <c r="H674" s="20">
        <v>0.18258051914517526</v>
      </c>
      <c r="I674" s="20">
        <v>-5.526762991758094E-2</v>
      </c>
      <c r="J674" s="20">
        <v>0.11166102408880718</v>
      </c>
    </row>
    <row r="675" spans="1:10" ht="11.25" customHeight="1" x14ac:dyDescent="0.2">
      <c r="A675" s="25" t="s">
        <v>25</v>
      </c>
      <c r="B675" s="19">
        <v>0</v>
      </c>
      <c r="C675" s="19">
        <v>0</v>
      </c>
      <c r="D675" s="19">
        <v>25924.086220000001</v>
      </c>
      <c r="E675" s="19">
        <v>30958.609793605207</v>
      </c>
      <c r="F675" s="19">
        <v>21772.806339999999</v>
      </c>
      <c r="G675" s="19">
        <v>21448.92567230323</v>
      </c>
      <c r="H675" s="20">
        <v>0.19420254703987028</v>
      </c>
      <c r="I675" s="20">
        <v>-1.4875467252090102E-2</v>
      </c>
      <c r="J675" s="20">
        <v>9.876205037849628E-2</v>
      </c>
    </row>
    <row r="676" spans="1:10" ht="11.25" customHeight="1" x14ac:dyDescent="0.2">
      <c r="A676" s="26" t="s">
        <v>25</v>
      </c>
      <c r="B676" s="19">
        <v>0</v>
      </c>
      <c r="C676" s="19">
        <v>0</v>
      </c>
      <c r="D676" s="19">
        <v>25924.086220000001</v>
      </c>
      <c r="E676" s="19">
        <v>30958.609793605207</v>
      </c>
      <c r="F676" s="19">
        <v>21772.806339999999</v>
      </c>
      <c r="G676" s="19">
        <v>21448.92567230323</v>
      </c>
      <c r="H676" s="20">
        <v>0.19420254703987028</v>
      </c>
      <c r="I676" s="20">
        <v>-1.4875467252090102E-2</v>
      </c>
      <c r="J676" s="20">
        <v>9.876205037849628E-2</v>
      </c>
    </row>
    <row r="677" spans="1:10" ht="11.25" customHeight="1" x14ac:dyDescent="0.2">
      <c r="A677" s="27" t="s">
        <v>25</v>
      </c>
      <c r="B677" s="19">
        <v>0</v>
      </c>
      <c r="C677" s="19">
        <v>0</v>
      </c>
      <c r="D677" s="19">
        <v>25924.086220000001</v>
      </c>
      <c r="E677" s="19">
        <v>30958.609793605207</v>
      </c>
      <c r="F677" s="19">
        <v>21772.806339999999</v>
      </c>
      <c r="G677" s="19">
        <v>21448.92567230323</v>
      </c>
      <c r="H677" s="20">
        <v>0.19420254703987028</v>
      </c>
      <c r="I677" s="20">
        <v>-1.4875467252090102E-2</v>
      </c>
      <c r="J677" s="20">
        <v>9.876205037849628E-2</v>
      </c>
    </row>
    <row r="678" spans="1:10" ht="11.25" customHeight="1" x14ac:dyDescent="0.2">
      <c r="A678" s="28" t="s">
        <v>35</v>
      </c>
      <c r="B678" s="19">
        <v>0</v>
      </c>
      <c r="C678" s="19">
        <v>0</v>
      </c>
      <c r="D678" s="19">
        <v>20858.291839999998</v>
      </c>
      <c r="E678" s="19">
        <v>24961.891357537752</v>
      </c>
      <c r="F678" s="19">
        <v>19656.060959999999</v>
      </c>
      <c r="G678" s="19">
        <v>19414.657014424723</v>
      </c>
      <c r="H678" s="20">
        <v>0.1967370841781142</v>
      </c>
      <c r="I678" s="20">
        <v>-1.2281399923745218E-2</v>
      </c>
      <c r="J678" s="20">
        <v>9.5329069947835521E-2</v>
      </c>
    </row>
    <row r="679" spans="1:10" ht="11.25" customHeight="1" x14ac:dyDescent="0.2">
      <c r="A679" s="29">
        <v>44409</v>
      </c>
      <c r="B679" s="19">
        <v>0</v>
      </c>
      <c r="C679" s="19">
        <v>0</v>
      </c>
      <c r="D679" s="19">
        <v>2935.6349599999999</v>
      </c>
      <c r="E679" s="19">
        <v>3513.1832222417338</v>
      </c>
      <c r="F679" s="19">
        <v>2766.4307399999998</v>
      </c>
      <c r="G679" s="19">
        <v>2732.4550977207173</v>
      </c>
      <c r="H679" s="20">
        <v>0.19673708417811397</v>
      </c>
      <c r="I679" s="20">
        <v>-1.2281399923745218E-2</v>
      </c>
      <c r="J679" s="20">
        <v>9.5329069947835077E-2</v>
      </c>
    </row>
    <row r="680" spans="1:10" ht="11.25" customHeight="1" x14ac:dyDescent="0.2">
      <c r="A680" s="29">
        <v>44440</v>
      </c>
      <c r="B680" s="19">
        <v>0</v>
      </c>
      <c r="C680" s="19">
        <v>0</v>
      </c>
      <c r="D680" s="19">
        <v>2373.7236800000001</v>
      </c>
      <c r="E680" s="19">
        <v>2840.7231554477421</v>
      </c>
      <c r="F680" s="19">
        <v>2236.9069199999999</v>
      </c>
      <c r="G680" s="19">
        <v>2209.4345715232866</v>
      </c>
      <c r="H680" s="20">
        <v>0.19673708417811375</v>
      </c>
      <c r="I680" s="20">
        <v>-1.2281399923745218E-2</v>
      </c>
      <c r="J680" s="20">
        <v>9.5329069947835077E-2</v>
      </c>
    </row>
    <row r="681" spans="1:10" ht="11.25" customHeight="1" x14ac:dyDescent="0.2">
      <c r="A681" s="29">
        <v>44470</v>
      </c>
      <c r="B681" s="19">
        <v>0</v>
      </c>
      <c r="C681" s="19">
        <v>0</v>
      </c>
      <c r="D681" s="19">
        <v>3330.6508800000001</v>
      </c>
      <c r="E681" s="19">
        <v>3985.9134225464691</v>
      </c>
      <c r="F681" s="19">
        <v>3138.6787199999999</v>
      </c>
      <c r="G681" s="19">
        <v>3100.1313514075314</v>
      </c>
      <c r="H681" s="20">
        <v>0.19673708417811375</v>
      </c>
      <c r="I681" s="20">
        <v>-1.2281399923745107E-2</v>
      </c>
      <c r="J681" s="20">
        <v>9.5329069947835077E-2</v>
      </c>
    </row>
    <row r="682" spans="1:10" ht="11.25" customHeight="1" x14ac:dyDescent="0.2">
      <c r="A682" s="29">
        <v>44501</v>
      </c>
      <c r="B682" s="19">
        <v>0</v>
      </c>
      <c r="C682" s="19">
        <v>0</v>
      </c>
      <c r="D682" s="19">
        <v>2266.0126799999998</v>
      </c>
      <c r="E682" s="19">
        <v>2711.8214073738332</v>
      </c>
      <c r="F682" s="19">
        <v>2135.4041700000002</v>
      </c>
      <c r="G682" s="19">
        <v>2109.1784173893966</v>
      </c>
      <c r="H682" s="20">
        <v>0.19673708417811375</v>
      </c>
      <c r="I682" s="20">
        <v>-1.228139992374544E-2</v>
      </c>
      <c r="J682" s="20">
        <v>9.5329069947835299E-2</v>
      </c>
    </row>
    <row r="683" spans="1:10" ht="11.25" customHeight="1" x14ac:dyDescent="0.2">
      <c r="A683" s="29">
        <v>44531</v>
      </c>
      <c r="B683" s="19">
        <v>0</v>
      </c>
      <c r="C683" s="19">
        <v>0</v>
      </c>
      <c r="D683" s="19">
        <v>2852.8675599999997</v>
      </c>
      <c r="E683" s="19">
        <v>3414.1324053007302</v>
      </c>
      <c r="F683" s="19">
        <v>2688.4338899999998</v>
      </c>
      <c r="G683" s="19">
        <v>2655.4161582283596</v>
      </c>
      <c r="H683" s="20">
        <v>0.19673708417811397</v>
      </c>
      <c r="I683" s="20">
        <v>-1.2281399923745329E-2</v>
      </c>
      <c r="J683" s="20">
        <v>9.5329069947835299E-2</v>
      </c>
    </row>
    <row r="684" spans="1:10" ht="11.25" customHeight="1" x14ac:dyDescent="0.2">
      <c r="A684" s="29">
        <v>44562</v>
      </c>
      <c r="B684" s="19">
        <v>0</v>
      </c>
      <c r="C684" s="19">
        <v>0</v>
      </c>
      <c r="D684" s="19">
        <v>2476.67272</v>
      </c>
      <c r="E684" s="19">
        <v>2963.9260893962783</v>
      </c>
      <c r="F684" s="19">
        <v>2333.92218</v>
      </c>
      <c r="G684" s="19">
        <v>2305.2583483165208</v>
      </c>
      <c r="H684" s="20">
        <v>0.19673708417811375</v>
      </c>
      <c r="I684" s="20">
        <v>-1.2281399923745218E-2</v>
      </c>
      <c r="J684" s="20">
        <v>9.5329069947835077E-2</v>
      </c>
    </row>
    <row r="685" spans="1:10" ht="11.25" customHeight="1" x14ac:dyDescent="0.2">
      <c r="A685" s="29">
        <v>44593</v>
      </c>
      <c r="B685" s="19">
        <v>0</v>
      </c>
      <c r="C685" s="19">
        <v>0</v>
      </c>
      <c r="D685" s="19">
        <v>1448.9963999999998</v>
      </c>
      <c r="E685" s="19">
        <v>1734.0677267205838</v>
      </c>
      <c r="F685" s="19">
        <v>1365.4791</v>
      </c>
      <c r="G685" s="19">
        <v>1348.7091050853842</v>
      </c>
      <c r="H685" s="20">
        <v>0.19673708417811397</v>
      </c>
      <c r="I685" s="20">
        <v>-1.2281399923745329E-2</v>
      </c>
      <c r="J685" s="20">
        <v>9.5329069947835299E-2</v>
      </c>
    </row>
    <row r="686" spans="1:10" ht="11.25" customHeight="1" x14ac:dyDescent="0.2">
      <c r="A686" s="29">
        <v>44621</v>
      </c>
      <c r="B686" s="19">
        <v>0</v>
      </c>
      <c r="C686" s="19">
        <v>0</v>
      </c>
      <c r="D686" s="19">
        <v>699.78135999999995</v>
      </c>
      <c r="E686" s="19">
        <v>837.45430432859496</v>
      </c>
      <c r="F686" s="19">
        <v>659.44733999999994</v>
      </c>
      <c r="G686" s="19">
        <v>651.34840348880994</v>
      </c>
      <c r="H686" s="20">
        <v>0.19673708417811397</v>
      </c>
      <c r="I686" s="20">
        <v>-1.2281399923745218E-2</v>
      </c>
      <c r="J686" s="20">
        <v>9.5329069947835299E-2</v>
      </c>
    </row>
    <row r="687" spans="1:10" ht="11.25" customHeight="1" x14ac:dyDescent="0.2">
      <c r="A687" s="29">
        <v>44652</v>
      </c>
      <c r="B687" s="19">
        <v>0</v>
      </c>
      <c r="C687" s="19">
        <v>0</v>
      </c>
      <c r="D687" s="19">
        <v>579.82531999999992</v>
      </c>
      <c r="E687" s="19">
        <v>693.89846278944174</v>
      </c>
      <c r="F687" s="19">
        <v>546.40532999999994</v>
      </c>
      <c r="G687" s="19">
        <v>539.69470762180401</v>
      </c>
      <c r="H687" s="20">
        <v>0.19673708417811397</v>
      </c>
      <c r="I687" s="20">
        <v>-1.2281399923745107E-2</v>
      </c>
      <c r="J687" s="20">
        <v>9.5329069947835299E-2</v>
      </c>
    </row>
    <row r="688" spans="1:10" ht="11.25" customHeight="1" x14ac:dyDescent="0.2">
      <c r="A688" s="29">
        <v>44682</v>
      </c>
      <c r="B688" s="19">
        <v>0</v>
      </c>
      <c r="C688" s="19">
        <v>0</v>
      </c>
      <c r="D688" s="19">
        <v>751.25588000000005</v>
      </c>
      <c r="E688" s="19">
        <v>899.05577130286304</v>
      </c>
      <c r="F688" s="19">
        <v>707.95497</v>
      </c>
      <c r="G688" s="19">
        <v>699.26029188542691</v>
      </c>
      <c r="H688" s="20">
        <v>0.19673708417811375</v>
      </c>
      <c r="I688" s="20">
        <v>-1.2281399923745329E-2</v>
      </c>
      <c r="J688" s="20">
        <v>9.5329069947835077E-2</v>
      </c>
    </row>
    <row r="689" spans="1:10" ht="11.25" customHeight="1" x14ac:dyDescent="0.2">
      <c r="A689" s="29">
        <v>44713</v>
      </c>
      <c r="B689" s="19">
        <v>0</v>
      </c>
      <c r="C689" s="19">
        <v>0</v>
      </c>
      <c r="D689" s="19">
        <v>571.43520000000001</v>
      </c>
      <c r="E689" s="19">
        <v>683.85769504473728</v>
      </c>
      <c r="F689" s="19">
        <v>538.49879999999996</v>
      </c>
      <c r="G689" s="19">
        <v>531.88528087874306</v>
      </c>
      <c r="H689" s="20">
        <v>0.19673708417811375</v>
      </c>
      <c r="I689" s="20">
        <v>-1.2281399923745218E-2</v>
      </c>
      <c r="J689" s="20">
        <v>9.5329069947835077E-2</v>
      </c>
    </row>
    <row r="690" spans="1:10" ht="11.25" customHeight="1" x14ac:dyDescent="0.2">
      <c r="A690" s="29">
        <v>44743</v>
      </c>
      <c r="B690" s="19">
        <v>0</v>
      </c>
      <c r="C690" s="19">
        <v>0</v>
      </c>
      <c r="D690" s="19">
        <v>571.43520000000001</v>
      </c>
      <c r="E690" s="19">
        <v>683.85769504473728</v>
      </c>
      <c r="F690" s="19">
        <v>538.49879999999996</v>
      </c>
      <c r="G690" s="19">
        <v>531.88528087874306</v>
      </c>
      <c r="H690" s="20">
        <v>0.19673708417811375</v>
      </c>
      <c r="I690" s="20">
        <v>-1.2281399923745218E-2</v>
      </c>
      <c r="J690" s="20">
        <v>9.5329069947835077E-2</v>
      </c>
    </row>
    <row r="691" spans="1:10" ht="11.25" customHeight="1" x14ac:dyDescent="0.2">
      <c r="A691" s="28" t="s">
        <v>36</v>
      </c>
      <c r="B691" s="19">
        <v>0</v>
      </c>
      <c r="C691" s="19">
        <v>0</v>
      </c>
      <c r="D691" s="19">
        <v>1973.1388300000001</v>
      </c>
      <c r="E691" s="19">
        <v>2339.4042302112484</v>
      </c>
      <c r="F691" s="19">
        <v>802.83333000000005</v>
      </c>
      <c r="G691" s="19">
        <v>792.9734128021579</v>
      </c>
      <c r="H691" s="20">
        <v>0.18562576268961695</v>
      </c>
      <c r="I691" s="20">
        <v>-1.2281399923745218E-2</v>
      </c>
      <c r="J691" s="20">
        <v>0.12838942989017799</v>
      </c>
    </row>
    <row r="692" spans="1:10" ht="11.25" customHeight="1" x14ac:dyDescent="0.2">
      <c r="A692" s="29">
        <v>44409</v>
      </c>
      <c r="B692" s="19">
        <v>0</v>
      </c>
      <c r="C692" s="19">
        <v>0</v>
      </c>
      <c r="D692" s="19">
        <v>225.83170000000001</v>
      </c>
      <c r="E692" s="19">
        <v>267.75188155199271</v>
      </c>
      <c r="F692" s="19">
        <v>91.88669999999999</v>
      </c>
      <c r="G692" s="19">
        <v>90.758202689626799</v>
      </c>
      <c r="H692" s="20">
        <v>0.18562576268961672</v>
      </c>
      <c r="I692" s="20">
        <v>-1.2281399923745107E-2</v>
      </c>
      <c r="J692" s="20">
        <v>0.12838942989017799</v>
      </c>
    </row>
    <row r="693" spans="1:10" ht="11.25" customHeight="1" x14ac:dyDescent="0.2">
      <c r="A693" s="29">
        <v>44440</v>
      </c>
      <c r="B693" s="19">
        <v>0</v>
      </c>
      <c r="C693" s="19">
        <v>0</v>
      </c>
      <c r="D693" s="19">
        <v>193.79511000000002</v>
      </c>
      <c r="E693" s="19">
        <v>229.76847509926819</v>
      </c>
      <c r="F693" s="19">
        <v>78.851609999999994</v>
      </c>
      <c r="G693" s="19">
        <v>77.883201842958812</v>
      </c>
      <c r="H693" s="20">
        <v>0.18562576268961672</v>
      </c>
      <c r="I693" s="20">
        <v>-1.2281399923745107E-2</v>
      </c>
      <c r="J693" s="20">
        <v>0.12838942989017799</v>
      </c>
    </row>
    <row r="694" spans="1:10" ht="11.25" customHeight="1" x14ac:dyDescent="0.2">
      <c r="A694" s="29">
        <v>44470</v>
      </c>
      <c r="B694" s="19">
        <v>0</v>
      </c>
      <c r="C694" s="19">
        <v>0</v>
      </c>
      <c r="D694" s="19">
        <v>230.55841000000004</v>
      </c>
      <c r="E694" s="19">
        <v>273.3559907007554</v>
      </c>
      <c r="F694" s="19">
        <v>93.809910000000002</v>
      </c>
      <c r="G694" s="19">
        <v>92.657792978479449</v>
      </c>
      <c r="H694" s="20">
        <v>0.18562576268961672</v>
      </c>
      <c r="I694" s="20">
        <v>-1.2281399923745329E-2</v>
      </c>
      <c r="J694" s="20">
        <v>0.12838942989017799</v>
      </c>
    </row>
    <row r="695" spans="1:10" ht="11.25" customHeight="1" x14ac:dyDescent="0.2">
      <c r="A695" s="29">
        <v>44501</v>
      </c>
      <c r="B695" s="19">
        <v>0</v>
      </c>
      <c r="C695" s="19">
        <v>0</v>
      </c>
      <c r="D695" s="19">
        <v>195.89587000000003</v>
      </c>
      <c r="E695" s="19">
        <v>232.25919027649601</v>
      </c>
      <c r="F695" s="19">
        <v>79.706369999999993</v>
      </c>
      <c r="G695" s="19">
        <v>78.727464193559982</v>
      </c>
      <c r="H695" s="20">
        <v>0.1856257626896165</v>
      </c>
      <c r="I695" s="20">
        <v>-1.2281399923745218E-2</v>
      </c>
      <c r="J695" s="20">
        <v>0.12838942989017776</v>
      </c>
    </row>
    <row r="696" spans="1:10" ht="11.25" customHeight="1" x14ac:dyDescent="0.2">
      <c r="A696" s="29">
        <v>44531</v>
      </c>
      <c r="B696" s="19">
        <v>0</v>
      </c>
      <c r="C696" s="19">
        <v>0</v>
      </c>
      <c r="D696" s="19">
        <v>277.30032000000006</v>
      </c>
      <c r="E696" s="19">
        <v>328.7744033940748</v>
      </c>
      <c r="F696" s="19">
        <v>112.82832000000001</v>
      </c>
      <c r="G696" s="19">
        <v>111.4426302793557</v>
      </c>
      <c r="H696" s="20">
        <v>0.1856257626896165</v>
      </c>
      <c r="I696" s="20">
        <v>-1.2281399923745329E-2</v>
      </c>
      <c r="J696" s="20">
        <v>0.12838942989017776</v>
      </c>
    </row>
    <row r="697" spans="1:10" ht="11.25" customHeight="1" x14ac:dyDescent="0.2">
      <c r="A697" s="29">
        <v>44562</v>
      </c>
      <c r="B697" s="19">
        <v>0</v>
      </c>
      <c r="C697" s="19">
        <v>0</v>
      </c>
      <c r="D697" s="19">
        <v>278.87589000000003</v>
      </c>
      <c r="E697" s="19">
        <v>330.64243977699567</v>
      </c>
      <c r="F697" s="19">
        <v>113.46939</v>
      </c>
      <c r="G697" s="19">
        <v>112.07582704230659</v>
      </c>
      <c r="H697" s="20">
        <v>0.18562576268961672</v>
      </c>
      <c r="I697" s="20">
        <v>-1.2281399923745218E-2</v>
      </c>
      <c r="J697" s="20">
        <v>0.12838942989017799</v>
      </c>
    </row>
    <row r="698" spans="1:10" ht="11.25" customHeight="1" x14ac:dyDescent="0.2">
      <c r="A698" s="29">
        <v>44593</v>
      </c>
      <c r="B698" s="19">
        <v>0</v>
      </c>
      <c r="C698" s="19">
        <v>0</v>
      </c>
      <c r="D698" s="19">
        <v>182.76612</v>
      </c>
      <c r="E698" s="19">
        <v>216.69222041882202</v>
      </c>
      <c r="F698" s="19">
        <v>74.36412</v>
      </c>
      <c r="G698" s="19">
        <v>73.450824502302609</v>
      </c>
      <c r="H698" s="20">
        <v>0.18562576268961672</v>
      </c>
      <c r="I698" s="20">
        <v>-1.2281399923745329E-2</v>
      </c>
      <c r="J698" s="20">
        <v>0.12838942989017776</v>
      </c>
    </row>
    <row r="699" spans="1:10" ht="11.25" customHeight="1" x14ac:dyDescent="0.2">
      <c r="A699" s="29">
        <v>44621</v>
      </c>
      <c r="B699" s="19">
        <v>0</v>
      </c>
      <c r="C699" s="19">
        <v>0</v>
      </c>
      <c r="D699" s="19">
        <v>85.605970000000013</v>
      </c>
      <c r="E699" s="19">
        <v>101.49664347203446</v>
      </c>
      <c r="F699" s="19">
        <v>34.831470000000003</v>
      </c>
      <c r="G699" s="19">
        <v>34.403690786998062</v>
      </c>
      <c r="H699" s="20">
        <v>0.18562576268961672</v>
      </c>
      <c r="I699" s="20">
        <v>-1.228139992374544E-2</v>
      </c>
      <c r="J699" s="20">
        <v>0.12838942989017799</v>
      </c>
    </row>
    <row r="700" spans="1:10" ht="11.25" customHeight="1" x14ac:dyDescent="0.2">
      <c r="A700" s="29">
        <v>44652</v>
      </c>
      <c r="B700" s="19">
        <v>0</v>
      </c>
      <c r="C700" s="19">
        <v>0</v>
      </c>
      <c r="D700" s="19">
        <v>74.576980000000006</v>
      </c>
      <c r="E700" s="19">
        <v>88.420388791588294</v>
      </c>
      <c r="F700" s="19">
        <v>30.343979999999998</v>
      </c>
      <c r="G700" s="19">
        <v>29.97131344634187</v>
      </c>
      <c r="H700" s="20">
        <v>0.18562576268961672</v>
      </c>
      <c r="I700" s="20">
        <v>-1.2281399923745218E-2</v>
      </c>
      <c r="J700" s="20">
        <v>0.12838942989017776</v>
      </c>
    </row>
    <row r="701" spans="1:10" ht="11.25" customHeight="1" x14ac:dyDescent="0.2">
      <c r="A701" s="29">
        <v>44682</v>
      </c>
      <c r="B701" s="19">
        <v>0</v>
      </c>
      <c r="C701" s="19">
        <v>0</v>
      </c>
      <c r="D701" s="19">
        <v>80.879260000000002</v>
      </c>
      <c r="E701" s="19">
        <v>95.892534323271818</v>
      </c>
      <c r="F701" s="19">
        <v>32.908259999999999</v>
      </c>
      <c r="G701" s="19">
        <v>32.504100498145412</v>
      </c>
      <c r="H701" s="20">
        <v>0.18562576268961672</v>
      </c>
      <c r="I701" s="20">
        <v>-1.2281399923745218E-2</v>
      </c>
      <c r="J701" s="20">
        <v>0.12838942989017799</v>
      </c>
    </row>
    <row r="702" spans="1:10" ht="11.25" customHeight="1" x14ac:dyDescent="0.2">
      <c r="A702" s="29">
        <v>44713</v>
      </c>
      <c r="B702" s="19">
        <v>0</v>
      </c>
      <c r="C702" s="19">
        <v>0</v>
      </c>
      <c r="D702" s="19">
        <v>73.526600000000016</v>
      </c>
      <c r="E702" s="19">
        <v>87.175031202974381</v>
      </c>
      <c r="F702" s="19">
        <v>29.916600000000003</v>
      </c>
      <c r="G702" s="19">
        <v>29.549182271041285</v>
      </c>
      <c r="H702" s="20">
        <v>0.1856257626896165</v>
      </c>
      <c r="I702" s="20">
        <v>-1.2281399923745218E-2</v>
      </c>
      <c r="J702" s="20">
        <v>0.12838942989017799</v>
      </c>
    </row>
    <row r="703" spans="1:10" ht="11.25" customHeight="1" x14ac:dyDescent="0.2">
      <c r="A703" s="29">
        <v>44743</v>
      </c>
      <c r="B703" s="19">
        <v>0</v>
      </c>
      <c r="C703" s="19">
        <v>0</v>
      </c>
      <c r="D703" s="19">
        <v>73.526600000000016</v>
      </c>
      <c r="E703" s="19">
        <v>87.175031202974381</v>
      </c>
      <c r="F703" s="19">
        <v>29.916600000000003</v>
      </c>
      <c r="G703" s="19">
        <v>29.549182271041285</v>
      </c>
      <c r="H703" s="20">
        <v>0.1856257626896165</v>
      </c>
      <c r="I703" s="20">
        <v>-1.2281399923745218E-2</v>
      </c>
      <c r="J703" s="20">
        <v>0.12838942989017799</v>
      </c>
    </row>
    <row r="704" spans="1:10" ht="11.25" customHeight="1" x14ac:dyDescent="0.2">
      <c r="A704" s="28" t="s">
        <v>34</v>
      </c>
      <c r="B704" s="19">
        <v>0</v>
      </c>
      <c r="C704" s="19">
        <v>0</v>
      </c>
      <c r="D704" s="19">
        <v>3092.6555500000004</v>
      </c>
      <c r="E704" s="19">
        <v>3657.314205856208</v>
      </c>
      <c r="F704" s="19">
        <v>1313.9120499999999</v>
      </c>
      <c r="G704" s="19">
        <v>1241.2952450763498</v>
      </c>
      <c r="H704" s="20">
        <v>0.18258051914517526</v>
      </c>
      <c r="I704" s="20">
        <v>-5.526762991758094E-2</v>
      </c>
      <c r="J704" s="20">
        <v>0.11166102408880718</v>
      </c>
    </row>
    <row r="705" spans="1:10" ht="11.25" customHeight="1" x14ac:dyDescent="0.2">
      <c r="A705" s="29">
        <v>44409</v>
      </c>
      <c r="B705" s="19">
        <v>0</v>
      </c>
      <c r="C705" s="19">
        <v>0</v>
      </c>
      <c r="D705" s="19">
        <v>304.73570000000001</v>
      </c>
      <c r="E705" s="19">
        <v>360.37450230806837</v>
      </c>
      <c r="F705" s="19">
        <v>129.4667</v>
      </c>
      <c r="G705" s="19">
        <v>122.31138233774954</v>
      </c>
      <c r="H705" s="20">
        <v>0.18258051914517526</v>
      </c>
      <c r="I705" s="20">
        <v>-5.5267629917580829E-2</v>
      </c>
      <c r="J705" s="20">
        <v>0.11166102408880718</v>
      </c>
    </row>
    <row r="706" spans="1:10" ht="11.25" customHeight="1" x14ac:dyDescent="0.2">
      <c r="A706" s="29">
        <v>44440</v>
      </c>
      <c r="B706" s="19">
        <v>0</v>
      </c>
      <c r="C706" s="19">
        <v>0</v>
      </c>
      <c r="D706" s="19">
        <v>250.37744000000001</v>
      </c>
      <c r="E706" s="19">
        <v>296.09148297743997</v>
      </c>
      <c r="F706" s="19">
        <v>106.37264</v>
      </c>
      <c r="G706" s="19">
        <v>100.49367629912395</v>
      </c>
      <c r="H706" s="20">
        <v>0.18258051914517526</v>
      </c>
      <c r="I706" s="20">
        <v>-5.5267629917580829E-2</v>
      </c>
      <c r="J706" s="20">
        <v>0.11166102408880718</v>
      </c>
    </row>
    <row r="707" spans="1:10" ht="11.25" customHeight="1" x14ac:dyDescent="0.2">
      <c r="A707" s="29">
        <v>44470</v>
      </c>
      <c r="B707" s="19">
        <v>0</v>
      </c>
      <c r="C707" s="19">
        <v>0</v>
      </c>
      <c r="D707" s="19">
        <v>303.08848</v>
      </c>
      <c r="E707" s="19">
        <v>358.4265320253221</v>
      </c>
      <c r="F707" s="19">
        <v>128.76688000000001</v>
      </c>
      <c r="G707" s="19">
        <v>121.65023973051846</v>
      </c>
      <c r="H707" s="20">
        <v>0.18258051914517526</v>
      </c>
      <c r="I707" s="20">
        <v>-5.526762991758094E-2</v>
      </c>
      <c r="J707" s="20">
        <v>0.1116610240888074</v>
      </c>
    </row>
    <row r="708" spans="1:10" ht="11.25" customHeight="1" x14ac:dyDescent="0.2">
      <c r="A708" s="29">
        <v>44501</v>
      </c>
      <c r="B708" s="19">
        <v>0</v>
      </c>
      <c r="C708" s="19">
        <v>0</v>
      </c>
      <c r="D708" s="19">
        <v>302.26486999999997</v>
      </c>
      <c r="E708" s="19">
        <v>357.45254688394891</v>
      </c>
      <c r="F708" s="19">
        <v>128.41697000000002</v>
      </c>
      <c r="G708" s="19">
        <v>121.31966842690292</v>
      </c>
      <c r="H708" s="20">
        <v>0.18258051914517526</v>
      </c>
      <c r="I708" s="20">
        <v>-5.526762991758094E-2</v>
      </c>
      <c r="J708" s="20">
        <v>0.1116610240888074</v>
      </c>
    </row>
    <row r="709" spans="1:10" ht="11.25" customHeight="1" x14ac:dyDescent="0.2">
      <c r="A709" s="29">
        <v>44531</v>
      </c>
      <c r="B709" s="19">
        <v>0</v>
      </c>
      <c r="C709" s="19">
        <v>0</v>
      </c>
      <c r="D709" s="19">
        <v>312.14819</v>
      </c>
      <c r="E709" s="19">
        <v>369.14036858042681</v>
      </c>
      <c r="F709" s="19">
        <v>132.61589000000001</v>
      </c>
      <c r="G709" s="19">
        <v>125.2865240702894</v>
      </c>
      <c r="H709" s="20">
        <v>0.18258051914517526</v>
      </c>
      <c r="I709" s="20">
        <v>-5.5267629917580829E-2</v>
      </c>
      <c r="J709" s="20">
        <v>0.11166102408880718</v>
      </c>
    </row>
    <row r="710" spans="1:10" ht="11.25" customHeight="1" x14ac:dyDescent="0.2">
      <c r="A710" s="29">
        <v>44562</v>
      </c>
      <c r="B710" s="19">
        <v>0</v>
      </c>
      <c r="C710" s="19">
        <v>0</v>
      </c>
      <c r="D710" s="19">
        <v>438.98413000000005</v>
      </c>
      <c r="E710" s="19">
        <v>519.1340803518932</v>
      </c>
      <c r="F710" s="19">
        <v>186.50203000000002</v>
      </c>
      <c r="G710" s="19">
        <v>176.19450482708245</v>
      </c>
      <c r="H710" s="20">
        <v>0.18258051914517526</v>
      </c>
      <c r="I710" s="20">
        <v>-5.5267629917580829E-2</v>
      </c>
      <c r="J710" s="20">
        <v>0.1116610240888074</v>
      </c>
    </row>
    <row r="711" spans="1:10" ht="11.25" customHeight="1" x14ac:dyDescent="0.2">
      <c r="A711" s="29">
        <v>44593</v>
      </c>
      <c r="B711" s="19">
        <v>0</v>
      </c>
      <c r="C711" s="19">
        <v>0</v>
      </c>
      <c r="D711" s="19">
        <v>256.96632</v>
      </c>
      <c r="E711" s="19">
        <v>303.88336410842527</v>
      </c>
      <c r="F711" s="19">
        <v>109.17192000000001</v>
      </c>
      <c r="G711" s="19">
        <v>103.13824672804826</v>
      </c>
      <c r="H711" s="20">
        <v>0.18258051914517548</v>
      </c>
      <c r="I711" s="20">
        <v>-5.526762991758094E-2</v>
      </c>
      <c r="J711" s="20">
        <v>0.1116610240888074</v>
      </c>
    </row>
    <row r="712" spans="1:10" ht="11.25" customHeight="1" x14ac:dyDescent="0.2">
      <c r="A712" s="29">
        <v>44621</v>
      </c>
      <c r="B712" s="19">
        <v>0</v>
      </c>
      <c r="C712" s="19">
        <v>0</v>
      </c>
      <c r="D712" s="19">
        <v>193.54835</v>
      </c>
      <c r="E712" s="19">
        <v>228.88650822269207</v>
      </c>
      <c r="F712" s="19">
        <v>82.228849999999994</v>
      </c>
      <c r="G712" s="19">
        <v>77.684256349651733</v>
      </c>
      <c r="H712" s="20">
        <v>0.18258051914517526</v>
      </c>
      <c r="I712" s="20">
        <v>-5.5267629917580718E-2</v>
      </c>
      <c r="J712" s="20">
        <v>0.11166102408880718</v>
      </c>
    </row>
    <row r="713" spans="1:10" ht="11.25" customHeight="1" x14ac:dyDescent="0.2">
      <c r="A713" s="29">
        <v>44652</v>
      </c>
      <c r="B713" s="19">
        <v>0</v>
      </c>
      <c r="C713" s="19">
        <v>0</v>
      </c>
      <c r="D713" s="19">
        <v>177.89976000000001</v>
      </c>
      <c r="E713" s="19">
        <v>210.38079053660209</v>
      </c>
      <c r="F713" s="19">
        <v>75.580560000000006</v>
      </c>
      <c r="G713" s="19">
        <v>71.403401580956483</v>
      </c>
      <c r="H713" s="20">
        <v>0.18258051914517526</v>
      </c>
      <c r="I713" s="20">
        <v>-5.526762991758094E-2</v>
      </c>
      <c r="J713" s="20">
        <v>0.11166102408880718</v>
      </c>
    </row>
    <row r="714" spans="1:10" ht="11.25" customHeight="1" x14ac:dyDescent="0.2">
      <c r="A714" s="29">
        <v>44682</v>
      </c>
      <c r="B714" s="19">
        <v>0</v>
      </c>
      <c r="C714" s="19">
        <v>0</v>
      </c>
      <c r="D714" s="19">
        <v>193.54835</v>
      </c>
      <c r="E714" s="19">
        <v>228.88650822269207</v>
      </c>
      <c r="F714" s="19">
        <v>82.228849999999994</v>
      </c>
      <c r="G714" s="19">
        <v>77.684256349651733</v>
      </c>
      <c r="H714" s="20">
        <v>0.18258051914517526</v>
      </c>
      <c r="I714" s="20">
        <v>-5.5267629917580718E-2</v>
      </c>
      <c r="J714" s="20">
        <v>0.11166102408880718</v>
      </c>
    </row>
    <row r="715" spans="1:10" ht="11.25" customHeight="1" x14ac:dyDescent="0.2">
      <c r="A715" s="29">
        <v>44713</v>
      </c>
      <c r="B715" s="19">
        <v>0</v>
      </c>
      <c r="C715" s="19">
        <v>0</v>
      </c>
      <c r="D715" s="19">
        <v>179.54697999999999</v>
      </c>
      <c r="E715" s="19">
        <v>212.32876081934842</v>
      </c>
      <c r="F715" s="19">
        <v>76.280380000000008</v>
      </c>
      <c r="G715" s="19">
        <v>72.064544188187568</v>
      </c>
      <c r="H715" s="20">
        <v>0.18258051914517548</v>
      </c>
      <c r="I715" s="20">
        <v>-5.526762991758094E-2</v>
      </c>
      <c r="J715" s="20">
        <v>0.1116610240888074</v>
      </c>
    </row>
    <row r="716" spans="1:10" ht="11.25" customHeight="1" x14ac:dyDescent="0.2">
      <c r="A716" s="29">
        <v>44743</v>
      </c>
      <c r="B716" s="19">
        <v>0</v>
      </c>
      <c r="C716" s="19">
        <v>0</v>
      </c>
      <c r="D716" s="19">
        <v>179.54697999999999</v>
      </c>
      <c r="E716" s="19">
        <v>212.32876081934842</v>
      </c>
      <c r="F716" s="19">
        <v>76.280380000000008</v>
      </c>
      <c r="G716" s="19">
        <v>72.064544188187568</v>
      </c>
      <c r="H716" s="20">
        <v>0.18258051914517548</v>
      </c>
      <c r="I716" s="20">
        <v>-5.526762991758094E-2</v>
      </c>
      <c r="J716" s="20">
        <v>0.1116610240888074</v>
      </c>
    </row>
    <row r="717" spans="1:10" ht="11.25" customHeight="1" x14ac:dyDescent="0.2">
      <c r="A717" s="23" t="s">
        <v>23</v>
      </c>
      <c r="B717" s="19">
        <v>0</v>
      </c>
      <c r="C717" s="19">
        <v>0</v>
      </c>
      <c r="D717" s="19">
        <v>64852945.341374993</v>
      </c>
      <c r="E717" s="19">
        <v>77299976.578768119</v>
      </c>
      <c r="F717" s="19">
        <v>48606230.6655</v>
      </c>
      <c r="G717" s="19">
        <v>47738903.477384344</v>
      </c>
      <c r="H717" s="20">
        <v>0.19192699995156759</v>
      </c>
      <c r="I717" s="20">
        <v>-1.7843950790680685E-2</v>
      </c>
      <c r="J717" s="20">
        <v>0.10206053363701306</v>
      </c>
    </row>
    <row r="718" spans="1:10" ht="11.25" customHeight="1" x14ac:dyDescent="0.2">
      <c r="A718" s="24" t="s">
        <v>45</v>
      </c>
      <c r="B718" s="19">
        <v>0</v>
      </c>
      <c r="C718" s="19">
        <v>0</v>
      </c>
      <c r="D718" s="19">
        <v>64852945.341374993</v>
      </c>
      <c r="E718" s="19">
        <v>77299976.578768119</v>
      </c>
      <c r="F718" s="19">
        <v>48606230.6655</v>
      </c>
      <c r="G718" s="19">
        <v>47738903.477384344</v>
      </c>
      <c r="H718" s="20">
        <v>0.19192699995156759</v>
      </c>
      <c r="I718" s="20">
        <v>-1.7843950790680685E-2</v>
      </c>
      <c r="J718" s="20">
        <v>0.10206053363701306</v>
      </c>
    </row>
    <row r="719" spans="1:10" ht="11.25" customHeight="1" x14ac:dyDescent="0.2">
      <c r="A719" s="25" t="s">
        <v>53</v>
      </c>
      <c r="B719" s="19">
        <v>0</v>
      </c>
      <c r="C719" s="19">
        <v>0</v>
      </c>
      <c r="D719" s="19">
        <v>12543456.991687799</v>
      </c>
      <c r="E719" s="19">
        <v>14950885.06112396</v>
      </c>
      <c r="F719" s="19">
        <v>9401117.5694711972</v>
      </c>
      <c r="G719" s="19">
        <v>9233364.4901841525</v>
      </c>
      <c r="H719" s="20">
        <v>0.19192699995156781</v>
      </c>
      <c r="I719" s="20">
        <v>-1.7843950790681129E-2</v>
      </c>
      <c r="J719" s="20">
        <v>0.10206053363701284</v>
      </c>
    </row>
    <row r="720" spans="1:10" ht="11.25" customHeight="1" x14ac:dyDescent="0.2">
      <c r="A720" s="26" t="s">
        <v>54</v>
      </c>
      <c r="B720" s="19">
        <v>0</v>
      </c>
      <c r="C720" s="19">
        <v>0</v>
      </c>
      <c r="D720" s="19">
        <v>8593936.6289999988</v>
      </c>
      <c r="E720" s="19">
        <v>10243345.103977863</v>
      </c>
      <c r="F720" s="19">
        <v>6441016.1160000004</v>
      </c>
      <c r="G720" s="19">
        <v>6326082.9413841171</v>
      </c>
      <c r="H720" s="20">
        <v>0.19192699995156803</v>
      </c>
      <c r="I720" s="20">
        <v>-1.7843950790680241E-2</v>
      </c>
      <c r="J720" s="20">
        <v>0.10206053363701351</v>
      </c>
    </row>
    <row r="721" spans="1:10" ht="11.25" customHeight="1" x14ac:dyDescent="0.2">
      <c r="A721" s="27" t="s">
        <v>25</v>
      </c>
      <c r="B721" s="19">
        <v>0</v>
      </c>
      <c r="C721" s="19">
        <v>0</v>
      </c>
      <c r="D721" s="19">
        <v>8593936.6289999988</v>
      </c>
      <c r="E721" s="19">
        <v>10243345.103977863</v>
      </c>
      <c r="F721" s="19">
        <v>6441016.1160000004</v>
      </c>
      <c r="G721" s="19">
        <v>6326082.9413841171</v>
      </c>
      <c r="H721" s="20">
        <v>0.19192699995156803</v>
      </c>
      <c r="I721" s="20">
        <v>-1.7843950790680241E-2</v>
      </c>
      <c r="J721" s="20">
        <v>0.10206053363701351</v>
      </c>
    </row>
    <row r="722" spans="1:10" ht="11.25" customHeight="1" x14ac:dyDescent="0.2">
      <c r="A722" s="28" t="s">
        <v>25</v>
      </c>
      <c r="B722" s="19">
        <v>0</v>
      </c>
      <c r="C722" s="19">
        <v>0</v>
      </c>
      <c r="D722" s="19">
        <v>8593936.6289999988</v>
      </c>
      <c r="E722" s="19">
        <v>10243345.103977863</v>
      </c>
      <c r="F722" s="19">
        <v>6441016.1160000004</v>
      </c>
      <c r="G722" s="19">
        <v>6326082.9413841171</v>
      </c>
      <c r="H722" s="20">
        <v>0.19192699995156803</v>
      </c>
      <c r="I722" s="20">
        <v>-1.7843950790680241E-2</v>
      </c>
      <c r="J722" s="20">
        <v>0.10206053363701351</v>
      </c>
    </row>
    <row r="723" spans="1:10" ht="11.25" customHeight="1" x14ac:dyDescent="0.2">
      <c r="A723" s="29">
        <v>44409</v>
      </c>
      <c r="B723" s="19">
        <v>0</v>
      </c>
      <c r="C723" s="19">
        <v>0</v>
      </c>
      <c r="D723" s="19">
        <v>773749.00179999985</v>
      </c>
      <c r="E723" s="19">
        <v>922252.32643099444</v>
      </c>
      <c r="F723" s="19">
        <v>579912.32719999994</v>
      </c>
      <c r="G723" s="19">
        <v>569564.40017053427</v>
      </c>
      <c r="H723" s="20">
        <v>0.19192699995156826</v>
      </c>
      <c r="I723" s="20">
        <v>-1.7843950790680241E-2</v>
      </c>
      <c r="J723" s="20">
        <v>0.10206053363701351</v>
      </c>
    </row>
    <row r="724" spans="1:10" ht="11.25" customHeight="1" x14ac:dyDescent="0.2">
      <c r="A724" s="29">
        <v>44440</v>
      </c>
      <c r="B724" s="19">
        <v>0</v>
      </c>
      <c r="C724" s="19">
        <v>0</v>
      </c>
      <c r="D724" s="19">
        <v>813487.81228000007</v>
      </c>
      <c r="E724" s="19">
        <v>969618.08758806484</v>
      </c>
      <c r="F724" s="19">
        <v>609695.92112000007</v>
      </c>
      <c r="G724" s="19">
        <v>598816.53710625612</v>
      </c>
      <c r="H724" s="20">
        <v>0.19192699995156803</v>
      </c>
      <c r="I724" s="20">
        <v>-1.7843950790680574E-2</v>
      </c>
      <c r="J724" s="20">
        <v>0.10206053363701306</v>
      </c>
    </row>
    <row r="725" spans="1:10" ht="11.25" customHeight="1" x14ac:dyDescent="0.2">
      <c r="A725" s="29">
        <v>44470</v>
      </c>
      <c r="B725" s="19">
        <v>0</v>
      </c>
      <c r="C725" s="19">
        <v>0</v>
      </c>
      <c r="D725" s="19">
        <v>879943.75755999994</v>
      </c>
      <c r="E725" s="19">
        <v>1048828.7230746008</v>
      </c>
      <c r="F725" s="19">
        <v>659503.57423999999</v>
      </c>
      <c r="G725" s="19">
        <v>647735.42491498357</v>
      </c>
      <c r="H725" s="20">
        <v>0.19192699995156826</v>
      </c>
      <c r="I725" s="20">
        <v>-1.7843950790680463E-2</v>
      </c>
      <c r="J725" s="20">
        <v>0.10206053363701351</v>
      </c>
    </row>
    <row r="726" spans="1:10" ht="11.25" customHeight="1" x14ac:dyDescent="0.2">
      <c r="A726" s="29">
        <v>44501</v>
      </c>
      <c r="B726" s="19">
        <v>0</v>
      </c>
      <c r="C726" s="19">
        <v>0</v>
      </c>
      <c r="D726" s="19">
        <v>955819.75982000004</v>
      </c>
      <c r="E726" s="19">
        <v>1139267.3788166807</v>
      </c>
      <c r="F726" s="19">
        <v>716371.40727999993</v>
      </c>
      <c r="G726" s="19">
        <v>703588.51114064525</v>
      </c>
      <c r="H726" s="20">
        <v>0.19192699995156781</v>
      </c>
      <c r="I726" s="20">
        <v>-1.7843950790680241E-2</v>
      </c>
      <c r="J726" s="20">
        <v>0.10206053363701328</v>
      </c>
    </row>
    <row r="727" spans="1:10" ht="11.25" customHeight="1" x14ac:dyDescent="0.2">
      <c r="A727" s="29">
        <v>44531</v>
      </c>
      <c r="B727" s="19">
        <v>0</v>
      </c>
      <c r="C727" s="19">
        <v>0</v>
      </c>
      <c r="D727" s="19">
        <v>1047105.4055399999</v>
      </c>
      <c r="E727" s="19">
        <v>1248073.2046583623</v>
      </c>
      <c r="F727" s="19">
        <v>784788.51815999986</v>
      </c>
      <c r="G727" s="19">
        <v>770784.79046086187</v>
      </c>
      <c r="H727" s="20">
        <v>0.19192699995156826</v>
      </c>
      <c r="I727" s="20">
        <v>-1.7843950790680352E-2</v>
      </c>
      <c r="J727" s="20">
        <v>0.10206053363701351</v>
      </c>
    </row>
    <row r="728" spans="1:10" ht="11.25" customHeight="1" x14ac:dyDescent="0.2">
      <c r="A728" s="29">
        <v>44562</v>
      </c>
      <c r="B728" s="19">
        <v>0</v>
      </c>
      <c r="C728" s="19">
        <v>0</v>
      </c>
      <c r="D728" s="19">
        <v>702167.91857999994</v>
      </c>
      <c r="E728" s="19">
        <v>836932.90065529628</v>
      </c>
      <c r="F728" s="19">
        <v>526263.46631999989</v>
      </c>
      <c r="G728" s="19">
        <v>516872.84692405286</v>
      </c>
      <c r="H728" s="20">
        <v>0.19192699995156803</v>
      </c>
      <c r="I728" s="20">
        <v>-1.7843950790680463E-2</v>
      </c>
      <c r="J728" s="20">
        <v>0.10206053363701328</v>
      </c>
    </row>
    <row r="729" spans="1:10" ht="11.25" customHeight="1" x14ac:dyDescent="0.2">
      <c r="A729" s="29">
        <v>44593</v>
      </c>
      <c r="B729" s="19">
        <v>0</v>
      </c>
      <c r="C729" s="19">
        <v>0</v>
      </c>
      <c r="D729" s="19">
        <v>548441.70455999987</v>
      </c>
      <c r="E729" s="19">
        <v>653702.47556452511</v>
      </c>
      <c r="F729" s="19">
        <v>411048.16224000003</v>
      </c>
      <c r="G729" s="19">
        <v>403713.43906038976</v>
      </c>
      <c r="H729" s="20">
        <v>0.19192699995156848</v>
      </c>
      <c r="I729" s="20">
        <v>-1.7843950790680685E-2</v>
      </c>
      <c r="J729" s="20">
        <v>0.10206053363701351</v>
      </c>
    </row>
    <row r="730" spans="1:10" ht="11.25" customHeight="1" x14ac:dyDescent="0.2">
      <c r="A730" s="29">
        <v>44621</v>
      </c>
      <c r="B730" s="19">
        <v>0</v>
      </c>
      <c r="C730" s="19">
        <v>0</v>
      </c>
      <c r="D730" s="19">
        <v>602700.78838000004</v>
      </c>
      <c r="E730" s="19">
        <v>718375.34256221831</v>
      </c>
      <c r="F730" s="19">
        <v>451714.46552000003</v>
      </c>
      <c r="G730" s="19">
        <v>443654.09482582251</v>
      </c>
      <c r="H730" s="20">
        <v>0.19192699995156803</v>
      </c>
      <c r="I730" s="20">
        <v>-1.7843950790680685E-2</v>
      </c>
      <c r="J730" s="20">
        <v>0.10206053363701306</v>
      </c>
    </row>
    <row r="731" spans="1:10" ht="11.25" customHeight="1" x14ac:dyDescent="0.2">
      <c r="A731" s="29">
        <v>44652</v>
      </c>
      <c r="B731" s="19">
        <v>0</v>
      </c>
      <c r="C731" s="19">
        <v>0</v>
      </c>
      <c r="D731" s="19">
        <v>617439.05047999998</v>
      </c>
      <c r="E731" s="19">
        <v>735942.27509157115</v>
      </c>
      <c r="F731" s="19">
        <v>462760.55391999998</v>
      </c>
      <c r="G731" s="19">
        <v>454503.07736798347</v>
      </c>
      <c r="H731" s="20">
        <v>0.19192699995156803</v>
      </c>
      <c r="I731" s="20">
        <v>-1.7843950790680463E-2</v>
      </c>
      <c r="J731" s="20">
        <v>0.10206053363701306</v>
      </c>
    </row>
    <row r="732" spans="1:10" ht="11.25" customHeight="1" x14ac:dyDescent="0.2">
      <c r="A732" s="29">
        <v>44682</v>
      </c>
      <c r="B732" s="19">
        <v>0</v>
      </c>
      <c r="C732" s="19">
        <v>0</v>
      </c>
      <c r="D732" s="19">
        <v>555550.66031999991</v>
      </c>
      <c r="E732" s="19">
        <v>662175.83187633031</v>
      </c>
      <c r="F732" s="19">
        <v>416376.20927999995</v>
      </c>
      <c r="G732" s="19">
        <v>408946.41269119753</v>
      </c>
      <c r="H732" s="20">
        <v>0.19192699995156848</v>
      </c>
      <c r="I732" s="20">
        <v>-1.7843950790680574E-2</v>
      </c>
      <c r="J732" s="20">
        <v>0.10206053363701351</v>
      </c>
    </row>
    <row r="733" spans="1:10" ht="11.25" customHeight="1" x14ac:dyDescent="0.2">
      <c r="A733" s="29">
        <v>44713</v>
      </c>
      <c r="B733" s="19">
        <v>0</v>
      </c>
      <c r="C733" s="19">
        <v>0</v>
      </c>
      <c r="D733" s="19">
        <v>548765.38483999984</v>
      </c>
      <c r="E733" s="19">
        <v>654088.27882960904</v>
      </c>
      <c r="F733" s="19">
        <v>411290.75535999995</v>
      </c>
      <c r="G733" s="19">
        <v>403951.70336069434</v>
      </c>
      <c r="H733" s="20">
        <v>0.1919269999515687</v>
      </c>
      <c r="I733" s="20">
        <v>-1.7843950790680352E-2</v>
      </c>
      <c r="J733" s="20">
        <v>0.10206053363701373</v>
      </c>
    </row>
    <row r="734" spans="1:10" ht="11.25" customHeight="1" x14ac:dyDescent="0.2">
      <c r="A734" s="29">
        <v>44743</v>
      </c>
      <c r="B734" s="19">
        <v>0</v>
      </c>
      <c r="C734" s="19">
        <v>0</v>
      </c>
      <c r="D734" s="19">
        <v>548765.38483999984</v>
      </c>
      <c r="E734" s="19">
        <v>654088.27882960904</v>
      </c>
      <c r="F734" s="19">
        <v>411290.75535999995</v>
      </c>
      <c r="G734" s="19">
        <v>403951.70336069434</v>
      </c>
      <c r="H734" s="20">
        <v>0.1919269999515687</v>
      </c>
      <c r="I734" s="20">
        <v>-1.7843950790680352E-2</v>
      </c>
      <c r="J734" s="20">
        <v>0.10206053363701373</v>
      </c>
    </row>
    <row r="735" spans="1:10" ht="11.25" customHeight="1" x14ac:dyDescent="0.2">
      <c r="A735" s="26" t="s">
        <v>55</v>
      </c>
      <c r="B735" s="19">
        <v>0</v>
      </c>
      <c r="C735" s="19">
        <v>0</v>
      </c>
      <c r="D735" s="19">
        <v>3949520.3626877991</v>
      </c>
      <c r="E735" s="19">
        <v>4707539.9571460988</v>
      </c>
      <c r="F735" s="19">
        <v>2960101.4534711991</v>
      </c>
      <c r="G735" s="19">
        <v>2907281.5488000377</v>
      </c>
      <c r="H735" s="20">
        <v>0.19192699995156848</v>
      </c>
      <c r="I735" s="20">
        <v>-1.7843950790681129E-2</v>
      </c>
      <c r="J735" s="20">
        <v>0.10206053363701328</v>
      </c>
    </row>
    <row r="736" spans="1:10" ht="11.25" customHeight="1" x14ac:dyDescent="0.2">
      <c r="A736" s="27" t="s">
        <v>25</v>
      </c>
      <c r="B736" s="19">
        <v>0</v>
      </c>
      <c r="C736" s="19">
        <v>0</v>
      </c>
      <c r="D736" s="19">
        <v>3949520.3626877991</v>
      </c>
      <c r="E736" s="19">
        <v>4707539.9571460988</v>
      </c>
      <c r="F736" s="19">
        <v>2960101.4534711991</v>
      </c>
      <c r="G736" s="19">
        <v>2907281.5488000377</v>
      </c>
      <c r="H736" s="20">
        <v>0.19192699995156848</v>
      </c>
      <c r="I736" s="20">
        <v>-1.7843950790681129E-2</v>
      </c>
      <c r="J736" s="20">
        <v>0.10206053363701328</v>
      </c>
    </row>
    <row r="737" spans="1:10" ht="11.25" customHeight="1" x14ac:dyDescent="0.2">
      <c r="A737" s="28" t="s">
        <v>25</v>
      </c>
      <c r="B737" s="19">
        <v>0</v>
      </c>
      <c r="C737" s="19">
        <v>0</v>
      </c>
      <c r="D737" s="19">
        <v>3949520.3626877991</v>
      </c>
      <c r="E737" s="19">
        <v>4707539.9571460988</v>
      </c>
      <c r="F737" s="19">
        <v>2960101.4534711991</v>
      </c>
      <c r="G737" s="19">
        <v>2907281.5488000377</v>
      </c>
      <c r="H737" s="20">
        <v>0.19192699995156848</v>
      </c>
      <c r="I737" s="20">
        <v>-1.7843950790681129E-2</v>
      </c>
      <c r="J737" s="20">
        <v>0.10206053363701328</v>
      </c>
    </row>
    <row r="738" spans="1:10" ht="11.25" customHeight="1" x14ac:dyDescent="0.2">
      <c r="A738" s="29">
        <v>44409</v>
      </c>
      <c r="B738" s="19">
        <v>0</v>
      </c>
      <c r="C738" s="19">
        <v>0</v>
      </c>
      <c r="D738" s="19">
        <v>380911.25322719995</v>
      </c>
      <c r="E738" s="19">
        <v>454018.40730688861</v>
      </c>
      <c r="F738" s="19">
        <v>285486.80618880002</v>
      </c>
      <c r="G738" s="19">
        <v>280392.59366777854</v>
      </c>
      <c r="H738" s="20">
        <v>0.19192699995156848</v>
      </c>
      <c r="I738" s="20">
        <v>-1.7843950790680463E-2</v>
      </c>
      <c r="J738" s="20">
        <v>0.10206053363701328</v>
      </c>
    </row>
    <row r="739" spans="1:10" ht="11.25" customHeight="1" x14ac:dyDescent="0.2">
      <c r="A739" s="29">
        <v>44440</v>
      </c>
      <c r="B739" s="19">
        <v>0</v>
      </c>
      <c r="C739" s="19">
        <v>0</v>
      </c>
      <c r="D739" s="19">
        <v>446374.22367420001</v>
      </c>
      <c r="E739" s="19">
        <v>532045.4892796994</v>
      </c>
      <c r="F739" s="19">
        <v>334550.24077680003</v>
      </c>
      <c r="G739" s="19">
        <v>328580.54274336848</v>
      </c>
      <c r="H739" s="20">
        <v>0.19192699995156803</v>
      </c>
      <c r="I739" s="20">
        <v>-1.7843950790680574E-2</v>
      </c>
      <c r="J739" s="20">
        <v>0.10206053363701306</v>
      </c>
    </row>
    <row r="740" spans="1:10" ht="11.25" customHeight="1" x14ac:dyDescent="0.2">
      <c r="A740" s="29">
        <v>44470</v>
      </c>
      <c r="B740" s="19">
        <v>0</v>
      </c>
      <c r="C740" s="19">
        <v>0</v>
      </c>
      <c r="D740" s="19">
        <v>543888.94625279994</v>
      </c>
      <c r="E740" s="19">
        <v>648275.92001391971</v>
      </c>
      <c r="F740" s="19">
        <v>407635.94373120001</v>
      </c>
      <c r="G740" s="19">
        <v>400362.10801074788</v>
      </c>
      <c r="H740" s="20">
        <v>0.19192699995156848</v>
      </c>
      <c r="I740" s="20">
        <v>-1.7843950790680463E-2</v>
      </c>
      <c r="J740" s="20">
        <v>0.10206053363701351</v>
      </c>
    </row>
    <row r="741" spans="1:10" ht="11.25" customHeight="1" x14ac:dyDescent="0.2">
      <c r="A741" s="29">
        <v>44501</v>
      </c>
      <c r="B741" s="19">
        <v>0</v>
      </c>
      <c r="C741" s="19">
        <v>0</v>
      </c>
      <c r="D741" s="19">
        <v>538669.88998740003</v>
      </c>
      <c r="E741" s="19">
        <v>642055.18593692302</v>
      </c>
      <c r="F741" s="19">
        <v>403724.34570959996</v>
      </c>
      <c r="G741" s="19">
        <v>396520.30835175817</v>
      </c>
      <c r="H741" s="20">
        <v>0.19192699995156826</v>
      </c>
      <c r="I741" s="20">
        <v>-1.7843950790680574E-2</v>
      </c>
      <c r="J741" s="20">
        <v>0.10206053363701328</v>
      </c>
    </row>
    <row r="742" spans="1:10" ht="11.25" customHeight="1" x14ac:dyDescent="0.2">
      <c r="A742" s="29">
        <v>44531</v>
      </c>
      <c r="B742" s="19">
        <v>0</v>
      </c>
      <c r="C742" s="19">
        <v>0</v>
      </c>
      <c r="D742" s="19">
        <v>562760.54847899999</v>
      </c>
      <c r="E742" s="19">
        <v>670769.49223967351</v>
      </c>
      <c r="F742" s="19">
        <v>421779.90351599996</v>
      </c>
      <c r="G742" s="19">
        <v>414253.68367316254</v>
      </c>
      <c r="H742" s="20">
        <v>0.19192699995156826</v>
      </c>
      <c r="I742" s="20">
        <v>-1.7843950790680352E-2</v>
      </c>
      <c r="J742" s="20">
        <v>0.10206053363701351</v>
      </c>
    </row>
    <row r="743" spans="1:10" ht="11.25" customHeight="1" x14ac:dyDescent="0.2">
      <c r="A743" s="29">
        <v>44562</v>
      </c>
      <c r="B743" s="19">
        <v>0</v>
      </c>
      <c r="C743" s="19">
        <v>0</v>
      </c>
      <c r="D743" s="19">
        <v>303700.319028</v>
      </c>
      <c r="E743" s="19">
        <v>361988.6101433782</v>
      </c>
      <c r="F743" s="19">
        <v>227618.46331199998</v>
      </c>
      <c r="G743" s="19">
        <v>223556.85065361034</v>
      </c>
      <c r="H743" s="20">
        <v>0.19192699995156826</v>
      </c>
      <c r="I743" s="20">
        <v>-1.7843950790680463E-2</v>
      </c>
      <c r="J743" s="20">
        <v>0.10206053363701351</v>
      </c>
    </row>
    <row r="744" spans="1:10" ht="11.25" customHeight="1" x14ac:dyDescent="0.2">
      <c r="A744" s="29">
        <v>44593</v>
      </c>
      <c r="B744" s="19">
        <v>0</v>
      </c>
      <c r="C744" s="19">
        <v>0</v>
      </c>
      <c r="D744" s="19">
        <v>231410.99453039997</v>
      </c>
      <c r="E744" s="19">
        <v>275825.01246642845</v>
      </c>
      <c r="F744" s="19">
        <v>173438.78708160002</v>
      </c>
      <c r="G744" s="19">
        <v>170343.95389972063</v>
      </c>
      <c r="H744" s="20">
        <v>0.19192699995156848</v>
      </c>
      <c r="I744" s="20">
        <v>-1.7843950790680574E-2</v>
      </c>
      <c r="J744" s="20">
        <v>0.10206053363701351</v>
      </c>
    </row>
    <row r="745" spans="1:10" ht="11.25" customHeight="1" x14ac:dyDescent="0.2">
      <c r="A745" s="29">
        <v>44621</v>
      </c>
      <c r="B745" s="19">
        <v>0</v>
      </c>
      <c r="C745" s="19">
        <v>0</v>
      </c>
      <c r="D745" s="19">
        <v>259175.59234559999</v>
      </c>
      <c r="E745" s="19">
        <v>308918.38624516159</v>
      </c>
      <c r="F745" s="19">
        <v>194247.90282239998</v>
      </c>
      <c r="G745" s="19">
        <v>190781.75280324419</v>
      </c>
      <c r="H745" s="20">
        <v>0.19192699995156803</v>
      </c>
      <c r="I745" s="20">
        <v>-1.7843950790680463E-2</v>
      </c>
      <c r="J745" s="20">
        <v>0.10206053363701328</v>
      </c>
    </row>
    <row r="746" spans="1:10" ht="11.25" customHeight="1" x14ac:dyDescent="0.2">
      <c r="A746" s="29">
        <v>44652</v>
      </c>
      <c r="B746" s="19">
        <v>0</v>
      </c>
      <c r="C746" s="19">
        <v>0</v>
      </c>
      <c r="D746" s="19">
        <v>187959.79943640003</v>
      </c>
      <c r="E746" s="19">
        <v>224034.35985372672</v>
      </c>
      <c r="F746" s="19">
        <v>140872.82110560001</v>
      </c>
      <c r="G746" s="19">
        <v>138359.09341804733</v>
      </c>
      <c r="H746" s="20">
        <v>0.19192699995156803</v>
      </c>
      <c r="I746" s="20">
        <v>-1.7843950790680685E-2</v>
      </c>
      <c r="J746" s="20">
        <v>0.10206053363701328</v>
      </c>
    </row>
    <row r="747" spans="1:10" ht="11.25" customHeight="1" x14ac:dyDescent="0.2">
      <c r="A747" s="29">
        <v>44682</v>
      </c>
      <c r="B747" s="19">
        <v>0</v>
      </c>
      <c r="C747" s="19">
        <v>0</v>
      </c>
      <c r="D747" s="19">
        <v>195966.13024799997</v>
      </c>
      <c r="E747" s="19">
        <v>233577.32171861691</v>
      </c>
      <c r="F747" s="19">
        <v>146873.43619199999</v>
      </c>
      <c r="G747" s="19">
        <v>144252.6338241318</v>
      </c>
      <c r="H747" s="20">
        <v>0.19192699995156848</v>
      </c>
      <c r="I747" s="20">
        <v>-1.7843950790680463E-2</v>
      </c>
      <c r="J747" s="20">
        <v>0.10206053363701351</v>
      </c>
    </row>
    <row r="748" spans="1:10" ht="11.25" customHeight="1" x14ac:dyDescent="0.2">
      <c r="A748" s="29">
        <v>44713</v>
      </c>
      <c r="B748" s="19">
        <v>0</v>
      </c>
      <c r="C748" s="19">
        <v>0</v>
      </c>
      <c r="D748" s="19">
        <v>149351.33273939998</v>
      </c>
      <c r="E748" s="19">
        <v>178015.88597084145</v>
      </c>
      <c r="F748" s="19">
        <v>111936.4015176</v>
      </c>
      <c r="G748" s="19">
        <v>109939.0138772341</v>
      </c>
      <c r="H748" s="20">
        <v>0.19192699995156826</v>
      </c>
      <c r="I748" s="20">
        <v>-1.7843950790680352E-2</v>
      </c>
      <c r="J748" s="20">
        <v>0.10206053363701351</v>
      </c>
    </row>
    <row r="749" spans="1:10" ht="11.25" customHeight="1" x14ac:dyDescent="0.2">
      <c r="A749" s="29">
        <v>44743</v>
      </c>
      <c r="B749" s="19">
        <v>0</v>
      </c>
      <c r="C749" s="19">
        <v>0</v>
      </c>
      <c r="D749" s="19">
        <v>149351.33273939998</v>
      </c>
      <c r="E749" s="19">
        <v>178015.88597084145</v>
      </c>
      <c r="F749" s="19">
        <v>111936.4015176</v>
      </c>
      <c r="G749" s="19">
        <v>109939.0138772341</v>
      </c>
      <c r="H749" s="20">
        <v>0.19192699995156826</v>
      </c>
      <c r="I749" s="20">
        <v>-1.7843950790680352E-2</v>
      </c>
      <c r="J749" s="20">
        <v>0.10206053363701351</v>
      </c>
    </row>
    <row r="750" spans="1:10" ht="11.25" customHeight="1" x14ac:dyDescent="0.2">
      <c r="A750" s="25" t="s">
        <v>56</v>
      </c>
      <c r="B750" s="19">
        <v>0</v>
      </c>
      <c r="C750" s="19">
        <v>0</v>
      </c>
      <c r="D750" s="19">
        <v>45530.741807199993</v>
      </c>
      <c r="E750" s="19">
        <v>54269.320487825345</v>
      </c>
      <c r="F750" s="19">
        <v>34124.552508799999</v>
      </c>
      <c r="G750" s="19">
        <v>33515.635673078985</v>
      </c>
      <c r="H750" s="20">
        <v>0.19192699995156848</v>
      </c>
      <c r="I750" s="20">
        <v>-1.7843950790680352E-2</v>
      </c>
      <c r="J750" s="20">
        <v>0.10206053363701373</v>
      </c>
    </row>
    <row r="751" spans="1:10" ht="11.25" customHeight="1" x14ac:dyDescent="0.2">
      <c r="A751" s="26" t="s">
        <v>54</v>
      </c>
      <c r="B751" s="19">
        <v>0</v>
      </c>
      <c r="C751" s="19">
        <v>0</v>
      </c>
      <c r="D751" s="19">
        <v>25584.554080000002</v>
      </c>
      <c r="E751" s="19">
        <v>30494.920789673059</v>
      </c>
      <c r="F751" s="19">
        <v>19175.208320000002</v>
      </c>
      <c r="G751" s="19">
        <v>18833.046846336874</v>
      </c>
      <c r="H751" s="20">
        <v>0.19192699995156826</v>
      </c>
      <c r="I751" s="20">
        <v>-1.7843950790680463E-2</v>
      </c>
      <c r="J751" s="20">
        <v>0.10206053363701328</v>
      </c>
    </row>
    <row r="752" spans="1:10" ht="11.25" customHeight="1" x14ac:dyDescent="0.2">
      <c r="A752" s="27" t="s">
        <v>25</v>
      </c>
      <c r="B752" s="19">
        <v>0</v>
      </c>
      <c r="C752" s="19">
        <v>0</v>
      </c>
      <c r="D752" s="19">
        <v>25584.554080000002</v>
      </c>
      <c r="E752" s="19">
        <v>30494.920789673059</v>
      </c>
      <c r="F752" s="19">
        <v>19175.208320000002</v>
      </c>
      <c r="G752" s="19">
        <v>18833.046846336874</v>
      </c>
      <c r="H752" s="20">
        <v>0.19192699995156826</v>
      </c>
      <c r="I752" s="20">
        <v>-1.7843950790680463E-2</v>
      </c>
      <c r="J752" s="20">
        <v>0.10206053363701328</v>
      </c>
    </row>
    <row r="753" spans="1:10" ht="11.25" customHeight="1" x14ac:dyDescent="0.2">
      <c r="A753" s="28" t="s">
        <v>25</v>
      </c>
      <c r="B753" s="19">
        <v>0</v>
      </c>
      <c r="C753" s="19">
        <v>0</v>
      </c>
      <c r="D753" s="19">
        <v>25584.554080000002</v>
      </c>
      <c r="E753" s="19">
        <v>30494.920789673059</v>
      </c>
      <c r="F753" s="19">
        <v>19175.208320000002</v>
      </c>
      <c r="G753" s="19">
        <v>18833.046846336874</v>
      </c>
      <c r="H753" s="20">
        <v>0.19192699995156826</v>
      </c>
      <c r="I753" s="20">
        <v>-1.7843950790680463E-2</v>
      </c>
      <c r="J753" s="20">
        <v>0.10206053363701328</v>
      </c>
    </row>
    <row r="754" spans="1:10" ht="11.25" customHeight="1" x14ac:dyDescent="0.2">
      <c r="A754" s="29">
        <v>44409</v>
      </c>
      <c r="B754" s="19">
        <v>0</v>
      </c>
      <c r="C754" s="19">
        <v>0</v>
      </c>
      <c r="D754" s="19">
        <v>2817.6398399999998</v>
      </c>
      <c r="E754" s="19">
        <v>3358.4210014352166</v>
      </c>
      <c r="F754" s="19">
        <v>2111.7753600000001</v>
      </c>
      <c r="G754" s="19">
        <v>2074.0929443951886</v>
      </c>
      <c r="H754" s="20">
        <v>0.19192699995156826</v>
      </c>
      <c r="I754" s="20">
        <v>-1.7843950790680463E-2</v>
      </c>
      <c r="J754" s="20">
        <v>0.10206053363701373</v>
      </c>
    </row>
    <row r="755" spans="1:10" ht="11.25" customHeight="1" x14ac:dyDescent="0.2">
      <c r="A755" s="29">
        <v>44440</v>
      </c>
      <c r="B755" s="19">
        <v>0</v>
      </c>
      <c r="C755" s="19">
        <v>0</v>
      </c>
      <c r="D755" s="19">
        <v>1886.23332</v>
      </c>
      <c r="E755" s="19">
        <v>2248.2524223162864</v>
      </c>
      <c r="F755" s="19">
        <v>1413.70128</v>
      </c>
      <c r="G755" s="19">
        <v>1388.475263926958</v>
      </c>
      <c r="H755" s="20">
        <v>0.19192699995156826</v>
      </c>
      <c r="I755" s="20">
        <v>-1.7843950790680463E-2</v>
      </c>
      <c r="J755" s="20">
        <v>0.10206053363701351</v>
      </c>
    </row>
    <row r="756" spans="1:10" ht="11.25" customHeight="1" x14ac:dyDescent="0.2">
      <c r="A756" s="29">
        <v>44470</v>
      </c>
      <c r="B756" s="19">
        <v>0</v>
      </c>
      <c r="C756" s="19">
        <v>0</v>
      </c>
      <c r="D756" s="19">
        <v>1931.87284</v>
      </c>
      <c r="E756" s="19">
        <v>2302.651398469116</v>
      </c>
      <c r="F756" s="19">
        <v>1447.9073599999999</v>
      </c>
      <c r="G756" s="19">
        <v>1422.0709723186958</v>
      </c>
      <c r="H756" s="20">
        <v>0.19192699995156826</v>
      </c>
      <c r="I756" s="20">
        <v>-1.7843950790680463E-2</v>
      </c>
      <c r="J756" s="20">
        <v>0.10206053363701328</v>
      </c>
    </row>
    <row r="757" spans="1:10" ht="11.25" customHeight="1" x14ac:dyDescent="0.2">
      <c r="A757" s="29">
        <v>44501</v>
      </c>
      <c r="B757" s="19">
        <v>0</v>
      </c>
      <c r="C757" s="19">
        <v>0</v>
      </c>
      <c r="D757" s="19">
        <v>2322.2108399999997</v>
      </c>
      <c r="E757" s="19">
        <v>2767.9057997762111</v>
      </c>
      <c r="F757" s="19">
        <v>1740.4593599999998</v>
      </c>
      <c r="G757" s="19">
        <v>1709.4026888269807</v>
      </c>
      <c r="H757" s="20">
        <v>0.19192699995156826</v>
      </c>
      <c r="I757" s="20">
        <v>-1.7843950790680463E-2</v>
      </c>
      <c r="J757" s="20">
        <v>0.10206053363701351</v>
      </c>
    </row>
    <row r="758" spans="1:10" ht="11.25" customHeight="1" x14ac:dyDescent="0.2">
      <c r="A758" s="29">
        <v>44531</v>
      </c>
      <c r="B758" s="19">
        <v>0</v>
      </c>
      <c r="C758" s="19">
        <v>0</v>
      </c>
      <c r="D758" s="19">
        <v>2260.9578000000001</v>
      </c>
      <c r="E758" s="19">
        <v>2694.8966475710977</v>
      </c>
      <c r="F758" s="19">
        <v>1694.5512000000001</v>
      </c>
      <c r="G758" s="19">
        <v>1664.3137117749113</v>
      </c>
      <c r="H758" s="20">
        <v>0.19192699995156803</v>
      </c>
      <c r="I758" s="20">
        <v>-1.7843950790680574E-2</v>
      </c>
      <c r="J758" s="20">
        <v>0.10206053363701328</v>
      </c>
    </row>
    <row r="759" spans="1:10" ht="11.25" customHeight="1" x14ac:dyDescent="0.2">
      <c r="A759" s="29">
        <v>44562</v>
      </c>
      <c r="B759" s="19">
        <v>0</v>
      </c>
      <c r="C759" s="19">
        <v>0</v>
      </c>
      <c r="D759" s="19">
        <v>1892.5387799999999</v>
      </c>
      <c r="E759" s="19">
        <v>2255.7680703374008</v>
      </c>
      <c r="F759" s="19">
        <v>1418.4271199999998</v>
      </c>
      <c r="G759" s="19">
        <v>1393.1167762705534</v>
      </c>
      <c r="H759" s="20">
        <v>0.19192699995156826</v>
      </c>
      <c r="I759" s="20">
        <v>-1.7843950790680352E-2</v>
      </c>
      <c r="J759" s="20">
        <v>0.10206053363701351</v>
      </c>
    </row>
    <row r="760" spans="1:10" ht="11.25" customHeight="1" x14ac:dyDescent="0.2">
      <c r="A760" s="29">
        <v>44593</v>
      </c>
      <c r="B760" s="19">
        <v>0</v>
      </c>
      <c r="C760" s="19">
        <v>0</v>
      </c>
      <c r="D760" s="19">
        <v>1323.8463399999998</v>
      </c>
      <c r="E760" s="19">
        <v>1577.9281964330637</v>
      </c>
      <c r="F760" s="19">
        <v>992.20135999999991</v>
      </c>
      <c r="G760" s="19">
        <v>974.49656775771371</v>
      </c>
      <c r="H760" s="20">
        <v>0.19192699995156826</v>
      </c>
      <c r="I760" s="20">
        <v>-1.7843950790680463E-2</v>
      </c>
      <c r="J760" s="20">
        <v>0.10206053363701351</v>
      </c>
    </row>
    <row r="761" spans="1:10" ht="11.25" customHeight="1" x14ac:dyDescent="0.2">
      <c r="A761" s="29">
        <v>44621</v>
      </c>
      <c r="B761" s="19">
        <v>0</v>
      </c>
      <c r="C761" s="19">
        <v>0</v>
      </c>
      <c r="D761" s="19">
        <v>1781.7428399999999</v>
      </c>
      <c r="E761" s="19">
        <v>2123.7073979663869</v>
      </c>
      <c r="F761" s="19">
        <v>1335.3873599999999</v>
      </c>
      <c r="G761" s="19">
        <v>1311.5587736616633</v>
      </c>
      <c r="H761" s="20">
        <v>0.19192699995156826</v>
      </c>
      <c r="I761" s="20">
        <v>-1.7843950790680463E-2</v>
      </c>
      <c r="J761" s="20">
        <v>0.10206053363701351</v>
      </c>
    </row>
    <row r="762" spans="1:10" ht="11.25" customHeight="1" x14ac:dyDescent="0.2">
      <c r="A762" s="29">
        <v>44652</v>
      </c>
      <c r="B762" s="19">
        <v>0</v>
      </c>
      <c r="C762" s="19">
        <v>0</v>
      </c>
      <c r="D762" s="19">
        <v>2302.0934199999997</v>
      </c>
      <c r="E762" s="19">
        <v>2743.9273037088451</v>
      </c>
      <c r="F762" s="19">
        <v>1725.38168</v>
      </c>
      <c r="G762" s="19">
        <v>1694.5940542069382</v>
      </c>
      <c r="H762" s="20">
        <v>0.19192699995156826</v>
      </c>
      <c r="I762" s="20">
        <v>-1.7843950790680574E-2</v>
      </c>
      <c r="J762" s="20">
        <v>0.10206053363701328</v>
      </c>
    </row>
    <row r="763" spans="1:10" ht="11.25" customHeight="1" x14ac:dyDescent="0.2">
      <c r="A763" s="29">
        <v>44682</v>
      </c>
      <c r="B763" s="19">
        <v>0</v>
      </c>
      <c r="C763" s="19">
        <v>0</v>
      </c>
      <c r="D763" s="19">
        <v>2359.14282</v>
      </c>
      <c r="E763" s="19">
        <v>2811.9260238998822</v>
      </c>
      <c r="F763" s="19">
        <v>1768.1392799999999</v>
      </c>
      <c r="G763" s="19">
        <v>1736.5886896966108</v>
      </c>
      <c r="H763" s="20">
        <v>0.19192699995156803</v>
      </c>
      <c r="I763" s="20">
        <v>-1.7843950790680352E-2</v>
      </c>
      <c r="J763" s="20">
        <v>0.10206053363701306</v>
      </c>
    </row>
    <row r="764" spans="1:10" ht="11.25" customHeight="1" x14ac:dyDescent="0.2">
      <c r="A764" s="29">
        <v>44713</v>
      </c>
      <c r="B764" s="19">
        <v>0</v>
      </c>
      <c r="C764" s="19">
        <v>0</v>
      </c>
      <c r="D764" s="19">
        <v>2353.13762</v>
      </c>
      <c r="E764" s="19">
        <v>2804.7682638797733</v>
      </c>
      <c r="F764" s="19">
        <v>1763.6384799999998</v>
      </c>
      <c r="G764" s="19">
        <v>1732.1682017503294</v>
      </c>
      <c r="H764" s="20">
        <v>0.19192699995156826</v>
      </c>
      <c r="I764" s="20">
        <v>-1.7843950790680463E-2</v>
      </c>
      <c r="J764" s="20">
        <v>0.10206053363701328</v>
      </c>
    </row>
    <row r="765" spans="1:10" ht="11.25" customHeight="1" x14ac:dyDescent="0.2">
      <c r="A765" s="29">
        <v>44743</v>
      </c>
      <c r="B765" s="19">
        <v>0</v>
      </c>
      <c r="C765" s="19">
        <v>0</v>
      </c>
      <c r="D765" s="19">
        <v>2353.13762</v>
      </c>
      <c r="E765" s="19">
        <v>2804.7682638797733</v>
      </c>
      <c r="F765" s="19">
        <v>1763.6384799999998</v>
      </c>
      <c r="G765" s="19">
        <v>1732.1682017503294</v>
      </c>
      <c r="H765" s="20">
        <v>0.19192699995156826</v>
      </c>
      <c r="I765" s="20">
        <v>-1.7843950790680463E-2</v>
      </c>
      <c r="J765" s="20">
        <v>0.10206053363701328</v>
      </c>
    </row>
    <row r="766" spans="1:10" ht="11.25" customHeight="1" x14ac:dyDescent="0.2">
      <c r="A766" s="26" t="s">
        <v>55</v>
      </c>
      <c r="B766" s="19">
        <v>0</v>
      </c>
      <c r="C766" s="19">
        <v>0</v>
      </c>
      <c r="D766" s="19">
        <v>19946.187727200002</v>
      </c>
      <c r="E766" s="19">
        <v>23774.399698152283</v>
      </c>
      <c r="F766" s="19">
        <v>14949.344188799998</v>
      </c>
      <c r="G766" s="19">
        <v>14682.588826742107</v>
      </c>
      <c r="H766" s="20">
        <v>0.19192699995156803</v>
      </c>
      <c r="I766" s="20">
        <v>-1.7843950790680352E-2</v>
      </c>
      <c r="J766" s="20">
        <v>0.10206053363701328</v>
      </c>
    </row>
    <row r="767" spans="1:10" ht="11.25" customHeight="1" x14ac:dyDescent="0.2">
      <c r="A767" s="27" t="s">
        <v>25</v>
      </c>
      <c r="B767" s="19">
        <v>0</v>
      </c>
      <c r="C767" s="19">
        <v>0</v>
      </c>
      <c r="D767" s="19">
        <v>19946.187727200002</v>
      </c>
      <c r="E767" s="19">
        <v>23774.399698152283</v>
      </c>
      <c r="F767" s="19">
        <v>14949.344188799998</v>
      </c>
      <c r="G767" s="19">
        <v>14682.588826742107</v>
      </c>
      <c r="H767" s="20">
        <v>0.19192699995156803</v>
      </c>
      <c r="I767" s="20">
        <v>-1.7843950790680352E-2</v>
      </c>
      <c r="J767" s="20">
        <v>0.10206053363701328</v>
      </c>
    </row>
    <row r="768" spans="1:10" ht="11.25" customHeight="1" x14ac:dyDescent="0.2">
      <c r="A768" s="28" t="s">
        <v>25</v>
      </c>
      <c r="B768" s="19">
        <v>0</v>
      </c>
      <c r="C768" s="19">
        <v>0</v>
      </c>
      <c r="D768" s="19">
        <v>19946.187727200002</v>
      </c>
      <c r="E768" s="19">
        <v>23774.399698152283</v>
      </c>
      <c r="F768" s="19">
        <v>14949.344188799998</v>
      </c>
      <c r="G768" s="19">
        <v>14682.588826742107</v>
      </c>
      <c r="H768" s="20">
        <v>0.19192699995156803</v>
      </c>
      <c r="I768" s="20">
        <v>-1.7843950790680352E-2</v>
      </c>
      <c r="J768" s="20">
        <v>0.10206053363701328</v>
      </c>
    </row>
    <row r="769" spans="1:10" ht="11.25" customHeight="1" x14ac:dyDescent="0.2">
      <c r="A769" s="29">
        <v>44409</v>
      </c>
      <c r="B769" s="19">
        <v>0</v>
      </c>
      <c r="C769" s="19">
        <v>0</v>
      </c>
      <c r="D769" s="19">
        <v>1968.8708772</v>
      </c>
      <c r="E769" s="19">
        <v>2346.7503579530085</v>
      </c>
      <c r="F769" s="19">
        <v>1475.6367888</v>
      </c>
      <c r="G769" s="19">
        <v>1449.3055985557351</v>
      </c>
      <c r="H769" s="20">
        <v>0.19192699995156826</v>
      </c>
      <c r="I769" s="20">
        <v>-1.7843950790680463E-2</v>
      </c>
      <c r="J769" s="20">
        <v>0.10206053363701328</v>
      </c>
    </row>
    <row r="770" spans="1:10" ht="11.25" customHeight="1" x14ac:dyDescent="0.2">
      <c r="A770" s="29">
        <v>44440</v>
      </c>
      <c r="B770" s="19">
        <v>0</v>
      </c>
      <c r="C770" s="19">
        <v>0</v>
      </c>
      <c r="D770" s="19">
        <v>1482.2064666000001</v>
      </c>
      <c r="E770" s="19">
        <v>1766.6819070433523</v>
      </c>
      <c r="F770" s="19">
        <v>1110.8897064</v>
      </c>
      <c r="G770" s="19">
        <v>1091.0670451451249</v>
      </c>
      <c r="H770" s="20">
        <v>0.19192699995156826</v>
      </c>
      <c r="I770" s="20">
        <v>-1.7843950790680463E-2</v>
      </c>
      <c r="J770" s="20">
        <v>0.10206053363701351</v>
      </c>
    </row>
    <row r="771" spans="1:10" ht="11.25" customHeight="1" x14ac:dyDescent="0.2">
      <c r="A771" s="29">
        <v>44470</v>
      </c>
      <c r="B771" s="19">
        <v>0</v>
      </c>
      <c r="C771" s="19">
        <v>0</v>
      </c>
      <c r="D771" s="19">
        <v>1902.0690324</v>
      </c>
      <c r="E771" s="19">
        <v>2267.1274354893139</v>
      </c>
      <c r="F771" s="19">
        <v>1425.5698895999999</v>
      </c>
      <c r="G771" s="19">
        <v>1400.1320906413018</v>
      </c>
      <c r="H771" s="20">
        <v>0.19192699995156803</v>
      </c>
      <c r="I771" s="20">
        <v>-1.7843950790680352E-2</v>
      </c>
      <c r="J771" s="20">
        <v>0.10206053363701328</v>
      </c>
    </row>
    <row r="772" spans="1:10" ht="11.25" customHeight="1" x14ac:dyDescent="0.2">
      <c r="A772" s="29">
        <v>44501</v>
      </c>
      <c r="B772" s="19">
        <v>0</v>
      </c>
      <c r="C772" s="19">
        <v>0</v>
      </c>
      <c r="D772" s="19">
        <v>1880.5043592</v>
      </c>
      <c r="E772" s="19">
        <v>2241.4239192571022</v>
      </c>
      <c r="F772" s="19">
        <v>1409.4075167999999</v>
      </c>
      <c r="G772" s="19">
        <v>1384.2581184262056</v>
      </c>
      <c r="H772" s="20">
        <v>0.19192699995156826</v>
      </c>
      <c r="I772" s="20">
        <v>-1.7843950790680463E-2</v>
      </c>
      <c r="J772" s="20">
        <v>0.10206053363701328</v>
      </c>
    </row>
    <row r="773" spans="1:10" ht="11.25" customHeight="1" x14ac:dyDescent="0.2">
      <c r="A773" s="29">
        <v>44531</v>
      </c>
      <c r="B773" s="19">
        <v>0</v>
      </c>
      <c r="C773" s="19">
        <v>0</v>
      </c>
      <c r="D773" s="19">
        <v>1676.0453147999999</v>
      </c>
      <c r="E773" s="19">
        <v>1997.7236638524455</v>
      </c>
      <c r="F773" s="19">
        <v>1256.1687791999998</v>
      </c>
      <c r="G773" s="19">
        <v>1233.753765319166</v>
      </c>
      <c r="H773" s="20">
        <v>0.19192699995156803</v>
      </c>
      <c r="I773" s="20">
        <v>-1.7843950790680352E-2</v>
      </c>
      <c r="J773" s="20">
        <v>0.10206053363701328</v>
      </c>
    </row>
    <row r="774" spans="1:10" ht="11.25" customHeight="1" x14ac:dyDescent="0.2">
      <c r="A774" s="29">
        <v>44562</v>
      </c>
      <c r="B774" s="19">
        <v>0</v>
      </c>
      <c r="C774" s="19">
        <v>0</v>
      </c>
      <c r="D774" s="19">
        <v>1768.8706938</v>
      </c>
      <c r="E774" s="19">
        <v>2108.3647393632832</v>
      </c>
      <c r="F774" s="19">
        <v>1325.7398952000001</v>
      </c>
      <c r="G774" s="19">
        <v>1302.0834577488092</v>
      </c>
      <c r="H774" s="20">
        <v>0.19192699995156826</v>
      </c>
      <c r="I774" s="20">
        <v>-1.7843950790680574E-2</v>
      </c>
      <c r="J774" s="20">
        <v>0.10206053363701328</v>
      </c>
    </row>
    <row r="775" spans="1:10" ht="11.25" customHeight="1" x14ac:dyDescent="0.2">
      <c r="A775" s="29">
        <v>44593</v>
      </c>
      <c r="B775" s="19">
        <v>0</v>
      </c>
      <c r="C775" s="19">
        <v>0</v>
      </c>
      <c r="D775" s="19">
        <v>1412.1618137999999</v>
      </c>
      <c r="E775" s="19">
        <v>1683.1937941687988</v>
      </c>
      <c r="F775" s="19">
        <v>1058.3923751999998</v>
      </c>
      <c r="G775" s="19">
        <v>1039.5064737396997</v>
      </c>
      <c r="H775" s="20">
        <v>0.19192699995156803</v>
      </c>
      <c r="I775" s="20">
        <v>-1.7843950790680352E-2</v>
      </c>
      <c r="J775" s="20">
        <v>0.10206053363701351</v>
      </c>
    </row>
    <row r="776" spans="1:10" ht="11.25" customHeight="1" x14ac:dyDescent="0.2">
      <c r="A776" s="29">
        <v>44621</v>
      </c>
      <c r="B776" s="19">
        <v>0</v>
      </c>
      <c r="C776" s="19">
        <v>0</v>
      </c>
      <c r="D776" s="19">
        <v>1489.9892057999998</v>
      </c>
      <c r="E776" s="19">
        <v>1775.9583640294136</v>
      </c>
      <c r="F776" s="19">
        <v>1116.7227432</v>
      </c>
      <c r="G776" s="19">
        <v>1096.7959975235053</v>
      </c>
      <c r="H776" s="20">
        <v>0.19192699995156826</v>
      </c>
      <c r="I776" s="20">
        <v>-1.7843950790680574E-2</v>
      </c>
      <c r="J776" s="20">
        <v>0.10206053363701351</v>
      </c>
    </row>
    <row r="777" spans="1:10" ht="11.25" customHeight="1" x14ac:dyDescent="0.2">
      <c r="A777" s="29">
        <v>44652</v>
      </c>
      <c r="B777" s="19">
        <v>0</v>
      </c>
      <c r="C777" s="19">
        <v>0</v>
      </c>
      <c r="D777" s="19">
        <v>1605.3521003999999</v>
      </c>
      <c r="E777" s="19">
        <v>1913.4625128957207</v>
      </c>
      <c r="F777" s="19">
        <v>1203.1853616000001</v>
      </c>
      <c r="G777" s="19">
        <v>1181.7157812155424</v>
      </c>
      <c r="H777" s="20">
        <v>0.19192699995156826</v>
      </c>
      <c r="I777" s="20">
        <v>-1.7843950790680685E-2</v>
      </c>
      <c r="J777" s="20">
        <v>0.10206053363701328</v>
      </c>
    </row>
    <row r="778" spans="1:10" ht="11.25" customHeight="1" x14ac:dyDescent="0.2">
      <c r="A778" s="29">
        <v>44682</v>
      </c>
      <c r="B778" s="19">
        <v>0</v>
      </c>
      <c r="C778" s="19">
        <v>0</v>
      </c>
      <c r="D778" s="19">
        <v>1744.7928444000001</v>
      </c>
      <c r="E778" s="19">
        <v>2079.6657005626553</v>
      </c>
      <c r="F778" s="19">
        <v>1307.6939376</v>
      </c>
      <c r="G778" s="19">
        <v>1284.3595113281945</v>
      </c>
      <c r="H778" s="20">
        <v>0.19192699995156803</v>
      </c>
      <c r="I778" s="20">
        <v>-1.7843950790680463E-2</v>
      </c>
      <c r="J778" s="20">
        <v>0.10206053363701351</v>
      </c>
    </row>
    <row r="779" spans="1:10" ht="11.25" customHeight="1" x14ac:dyDescent="0.2">
      <c r="A779" s="29">
        <v>44713</v>
      </c>
      <c r="B779" s="19">
        <v>0</v>
      </c>
      <c r="C779" s="19">
        <v>0</v>
      </c>
      <c r="D779" s="19">
        <v>1507.6625093999999</v>
      </c>
      <c r="E779" s="19">
        <v>1797.0236517685948</v>
      </c>
      <c r="F779" s="19">
        <v>1129.9685975999998</v>
      </c>
      <c r="G779" s="19">
        <v>1109.8054935494113</v>
      </c>
      <c r="H779" s="20">
        <v>0.19192699995156826</v>
      </c>
      <c r="I779" s="20">
        <v>-1.7843950790680463E-2</v>
      </c>
      <c r="J779" s="20">
        <v>0.10206053363701351</v>
      </c>
    </row>
    <row r="780" spans="1:10" ht="11.25" customHeight="1" x14ac:dyDescent="0.2">
      <c r="A780" s="29">
        <v>44743</v>
      </c>
      <c r="B780" s="19">
        <v>0</v>
      </c>
      <c r="C780" s="19">
        <v>0</v>
      </c>
      <c r="D780" s="19">
        <v>1507.6625093999999</v>
      </c>
      <c r="E780" s="19">
        <v>1797.0236517685948</v>
      </c>
      <c r="F780" s="19">
        <v>1129.9685975999998</v>
      </c>
      <c r="G780" s="19">
        <v>1109.8054935494113</v>
      </c>
      <c r="H780" s="20">
        <v>0.19192699995156826</v>
      </c>
      <c r="I780" s="20">
        <v>-1.7843950790680463E-2</v>
      </c>
      <c r="J780" s="20">
        <v>0.10206053363701351</v>
      </c>
    </row>
    <row r="781" spans="1:10" ht="11.25" customHeight="1" x14ac:dyDescent="0.2">
      <c r="A781" s="25" t="s">
        <v>25</v>
      </c>
      <c r="B781" s="19">
        <v>0</v>
      </c>
      <c r="C781" s="19">
        <v>0</v>
      </c>
      <c r="D781" s="19">
        <v>52263957.607879996</v>
      </c>
      <c r="E781" s="19">
        <v>62294822.19715634</v>
      </c>
      <c r="F781" s="19">
        <v>39170988.543520004</v>
      </c>
      <c r="G781" s="19">
        <v>38472023.351527117</v>
      </c>
      <c r="H781" s="20">
        <v>0.19192699995156803</v>
      </c>
      <c r="I781" s="20">
        <v>-1.7843950790680241E-2</v>
      </c>
      <c r="J781" s="20">
        <v>0.10206053363701328</v>
      </c>
    </row>
    <row r="782" spans="1:10" ht="11.25" customHeight="1" x14ac:dyDescent="0.2">
      <c r="A782" s="26" t="s">
        <v>25</v>
      </c>
      <c r="B782" s="19">
        <v>0</v>
      </c>
      <c r="C782" s="19">
        <v>0</v>
      </c>
      <c r="D782" s="19">
        <v>52263957.607879996</v>
      </c>
      <c r="E782" s="19">
        <v>62294822.19715634</v>
      </c>
      <c r="F782" s="19">
        <v>39170988.543520004</v>
      </c>
      <c r="G782" s="19">
        <v>38472023.351527117</v>
      </c>
      <c r="H782" s="20">
        <v>0.19192699995156803</v>
      </c>
      <c r="I782" s="20">
        <v>-1.7843950790680241E-2</v>
      </c>
      <c r="J782" s="20">
        <v>0.10206053363701328</v>
      </c>
    </row>
    <row r="783" spans="1:10" ht="11.25" customHeight="1" x14ac:dyDescent="0.2">
      <c r="A783" s="27" t="s">
        <v>25</v>
      </c>
      <c r="B783" s="19">
        <v>0</v>
      </c>
      <c r="C783" s="19">
        <v>0</v>
      </c>
      <c r="D783" s="19">
        <v>52263957.607879996</v>
      </c>
      <c r="E783" s="19">
        <v>62294822.19715634</v>
      </c>
      <c r="F783" s="19">
        <v>39170988.543520004</v>
      </c>
      <c r="G783" s="19">
        <v>38472023.351527117</v>
      </c>
      <c r="H783" s="20">
        <v>0.19192699995156803</v>
      </c>
      <c r="I783" s="20">
        <v>-1.7843950790680241E-2</v>
      </c>
      <c r="J783" s="20">
        <v>0.10206053363701328</v>
      </c>
    </row>
    <row r="784" spans="1:10" ht="11.25" customHeight="1" x14ac:dyDescent="0.2">
      <c r="A784" s="28" t="s">
        <v>25</v>
      </c>
      <c r="B784" s="19">
        <v>0</v>
      </c>
      <c r="C784" s="19">
        <v>0</v>
      </c>
      <c r="D784" s="19">
        <v>52263957.607879996</v>
      </c>
      <c r="E784" s="19">
        <v>62294822.19715634</v>
      </c>
      <c r="F784" s="19">
        <v>39170988.543520004</v>
      </c>
      <c r="G784" s="19">
        <v>38472023.351527117</v>
      </c>
      <c r="H784" s="20">
        <v>0.19192699995156803</v>
      </c>
      <c r="I784" s="20">
        <v>-1.7843950790680241E-2</v>
      </c>
      <c r="J784" s="20">
        <v>0.10206053363701328</v>
      </c>
    </row>
    <row r="785" spans="1:10" ht="11.25" customHeight="1" x14ac:dyDescent="0.2">
      <c r="A785" s="29">
        <v>44409</v>
      </c>
      <c r="B785" s="19">
        <v>0</v>
      </c>
      <c r="C785" s="19">
        <v>0</v>
      </c>
      <c r="D785" s="19">
        <v>4784153.9764600005</v>
      </c>
      <c r="E785" s="19">
        <v>5702362.2964683333</v>
      </c>
      <c r="F785" s="19">
        <v>3585645.8098400002</v>
      </c>
      <c r="G785" s="19">
        <v>3521663.7224564054</v>
      </c>
      <c r="H785" s="20">
        <v>0.19192699995156803</v>
      </c>
      <c r="I785" s="20">
        <v>-1.7843950790680574E-2</v>
      </c>
      <c r="J785" s="20">
        <v>0.10206053363701328</v>
      </c>
    </row>
    <row r="786" spans="1:10" ht="11.25" customHeight="1" x14ac:dyDescent="0.2">
      <c r="A786" s="29">
        <v>44440</v>
      </c>
      <c r="B786" s="19">
        <v>0</v>
      </c>
      <c r="C786" s="19">
        <v>0</v>
      </c>
      <c r="D786" s="19">
        <v>4802062.9841599995</v>
      </c>
      <c r="E786" s="19">
        <v>5723708.5262883026</v>
      </c>
      <c r="F786" s="19">
        <v>3599068.32064</v>
      </c>
      <c r="G786" s="19">
        <v>3534846.7226342023</v>
      </c>
      <c r="H786" s="20">
        <v>0.19192699995156803</v>
      </c>
      <c r="I786" s="20">
        <v>-1.7843950790680574E-2</v>
      </c>
      <c r="J786" s="20">
        <v>0.10206053363701306</v>
      </c>
    </row>
    <row r="787" spans="1:10" ht="11.25" customHeight="1" x14ac:dyDescent="0.2">
      <c r="A787" s="29">
        <v>44470</v>
      </c>
      <c r="B787" s="19">
        <v>0</v>
      </c>
      <c r="C787" s="19">
        <v>0</v>
      </c>
      <c r="D787" s="19">
        <v>5077160.8958999999</v>
      </c>
      <c r="E787" s="19">
        <v>6051605.1549215028</v>
      </c>
      <c r="F787" s="19">
        <v>3805249.7436000002</v>
      </c>
      <c r="G787" s="19">
        <v>3737349.0544289518</v>
      </c>
      <c r="H787" s="20">
        <v>0.19192699995156803</v>
      </c>
      <c r="I787" s="20">
        <v>-1.7843950790680574E-2</v>
      </c>
      <c r="J787" s="20">
        <v>0.10206053363701351</v>
      </c>
    </row>
    <row r="788" spans="1:10" ht="11.25" customHeight="1" x14ac:dyDescent="0.2">
      <c r="A788" s="29">
        <v>44501</v>
      </c>
      <c r="B788" s="19">
        <v>0</v>
      </c>
      <c r="C788" s="19">
        <v>0</v>
      </c>
      <c r="D788" s="19">
        <v>5058316.5782999992</v>
      </c>
      <c r="E788" s="19">
        <v>6029144.1039784001</v>
      </c>
      <c r="F788" s="19">
        <v>3791126.2331999997</v>
      </c>
      <c r="G788" s="19">
        <v>3723477.563253521</v>
      </c>
      <c r="H788" s="20">
        <v>0.19192699995156826</v>
      </c>
      <c r="I788" s="20">
        <v>-1.7843950790680463E-2</v>
      </c>
      <c r="J788" s="20">
        <v>0.10206053363701351</v>
      </c>
    </row>
    <row r="789" spans="1:10" ht="11.25" customHeight="1" x14ac:dyDescent="0.2">
      <c r="A789" s="29">
        <v>44531</v>
      </c>
      <c r="B789" s="19">
        <v>0</v>
      </c>
      <c r="C789" s="19">
        <v>0</v>
      </c>
      <c r="D789" s="19">
        <v>5410208.9876399999</v>
      </c>
      <c r="E789" s="19">
        <v>6448574.1677487558</v>
      </c>
      <c r="F789" s="19">
        <v>4054863.8865599995</v>
      </c>
      <c r="G789" s="19">
        <v>3982509.094905315</v>
      </c>
      <c r="H789" s="20">
        <v>0.19192699995156826</v>
      </c>
      <c r="I789" s="20">
        <v>-1.7843950790680574E-2</v>
      </c>
      <c r="J789" s="20">
        <v>0.10206053363701328</v>
      </c>
    </row>
    <row r="790" spans="1:10" ht="11.25" customHeight="1" x14ac:dyDescent="0.2">
      <c r="A790" s="29">
        <v>44562</v>
      </c>
      <c r="B790" s="19">
        <v>0</v>
      </c>
      <c r="C790" s="19">
        <v>0</v>
      </c>
      <c r="D790" s="19">
        <v>4708246.7471599998</v>
      </c>
      <c r="E790" s="19">
        <v>5611886.4203741485</v>
      </c>
      <c r="F790" s="19">
        <v>3528754.5726399994</v>
      </c>
      <c r="G790" s="19">
        <v>3465787.649693423</v>
      </c>
      <c r="H790" s="20">
        <v>0.19192699995156826</v>
      </c>
      <c r="I790" s="20">
        <v>-1.7843950790680352E-2</v>
      </c>
      <c r="J790" s="20">
        <v>0.10206053363701351</v>
      </c>
    </row>
    <row r="791" spans="1:10" ht="11.25" customHeight="1" x14ac:dyDescent="0.2">
      <c r="A791" s="29">
        <v>44593</v>
      </c>
      <c r="B791" s="19">
        <v>0</v>
      </c>
      <c r="C791" s="19">
        <v>0</v>
      </c>
      <c r="D791" s="19">
        <v>3734289.48178</v>
      </c>
      <c r="E791" s="19">
        <v>4451000.4589687316</v>
      </c>
      <c r="F791" s="19">
        <v>2798789.3991200002</v>
      </c>
      <c r="G791" s="19">
        <v>2748847.9388086246</v>
      </c>
      <c r="H791" s="20">
        <v>0.19192699995156826</v>
      </c>
      <c r="I791" s="20">
        <v>-1.7843950790680463E-2</v>
      </c>
      <c r="J791" s="20">
        <v>0.10206053363701328</v>
      </c>
    </row>
    <row r="792" spans="1:10" ht="11.25" customHeight="1" x14ac:dyDescent="0.2">
      <c r="A792" s="29">
        <v>44621</v>
      </c>
      <c r="B792" s="19">
        <v>0</v>
      </c>
      <c r="C792" s="19">
        <v>0</v>
      </c>
      <c r="D792" s="19">
        <v>4137379.8242400005</v>
      </c>
      <c r="E792" s="19">
        <v>4931454.721566529</v>
      </c>
      <c r="F792" s="19">
        <v>3100899.0729600005</v>
      </c>
      <c r="G792" s="19">
        <v>3045566.7824952351</v>
      </c>
      <c r="H792" s="20">
        <v>0.19192699995156781</v>
      </c>
      <c r="I792" s="20">
        <v>-1.7843950790680574E-2</v>
      </c>
      <c r="J792" s="20">
        <v>0.10206053363701306</v>
      </c>
    </row>
    <row r="793" spans="1:10" ht="11.25" customHeight="1" x14ac:dyDescent="0.2">
      <c r="A793" s="29">
        <v>44652</v>
      </c>
      <c r="B793" s="19">
        <v>0</v>
      </c>
      <c r="C793" s="19">
        <v>0</v>
      </c>
      <c r="D793" s="19">
        <v>3845631.29446</v>
      </c>
      <c r="E793" s="19">
        <v>4583711.7717255736</v>
      </c>
      <c r="F793" s="19">
        <v>2882238.2818400003</v>
      </c>
      <c r="G793" s="19">
        <v>2830807.7637718315</v>
      </c>
      <c r="H793" s="20">
        <v>0.19192699995156826</v>
      </c>
      <c r="I793" s="20">
        <v>-1.7843950790680574E-2</v>
      </c>
      <c r="J793" s="20">
        <v>0.10206053363701328</v>
      </c>
    </row>
    <row r="794" spans="1:10" ht="11.25" customHeight="1" x14ac:dyDescent="0.2">
      <c r="A794" s="29">
        <v>44682</v>
      </c>
      <c r="B794" s="19">
        <v>0</v>
      </c>
      <c r="C794" s="19">
        <v>0</v>
      </c>
      <c r="D794" s="19">
        <v>3836095.6373800002</v>
      </c>
      <c r="E794" s="19">
        <v>4572345.9645896424</v>
      </c>
      <c r="F794" s="19">
        <v>2875091.4615200004</v>
      </c>
      <c r="G794" s="19">
        <v>2823788.4709619316</v>
      </c>
      <c r="H794" s="20">
        <v>0.19192699995156826</v>
      </c>
      <c r="I794" s="20">
        <v>-1.7843950790680574E-2</v>
      </c>
      <c r="J794" s="20">
        <v>0.10206053363701351</v>
      </c>
    </row>
    <row r="795" spans="1:10" ht="11.25" customHeight="1" x14ac:dyDescent="0.2">
      <c r="A795" s="29">
        <v>44713</v>
      </c>
      <c r="B795" s="19">
        <v>0</v>
      </c>
      <c r="C795" s="19">
        <v>0</v>
      </c>
      <c r="D795" s="19">
        <v>3435205.6001999998</v>
      </c>
      <c r="E795" s="19">
        <v>4094514.305263212</v>
      </c>
      <c r="F795" s="19">
        <v>2574630.8807999999</v>
      </c>
      <c r="G795" s="19">
        <v>2528689.2940588379</v>
      </c>
      <c r="H795" s="20">
        <v>0.19192699995156826</v>
      </c>
      <c r="I795" s="20">
        <v>-1.7843950790680685E-2</v>
      </c>
      <c r="J795" s="20">
        <v>0.10206053363701328</v>
      </c>
    </row>
    <row r="796" spans="1:10" ht="11.25" customHeight="1" x14ac:dyDescent="0.2">
      <c r="A796" s="29">
        <v>44743</v>
      </c>
      <c r="B796" s="19">
        <v>0</v>
      </c>
      <c r="C796" s="19">
        <v>0</v>
      </c>
      <c r="D796" s="19">
        <v>3435205.6001999998</v>
      </c>
      <c r="E796" s="19">
        <v>4094514.305263212</v>
      </c>
      <c r="F796" s="19">
        <v>2574630.8807999999</v>
      </c>
      <c r="G796" s="19">
        <v>2528689.2940588379</v>
      </c>
      <c r="H796" s="20">
        <v>0.19192699995156826</v>
      </c>
      <c r="I796" s="20">
        <v>-1.7843950790680685E-2</v>
      </c>
      <c r="J796" s="20">
        <v>0.10206053363701328</v>
      </c>
    </row>
    <row r="797" spans="1:10" ht="11.25" customHeight="1" x14ac:dyDescent="0.2">
      <c r="A797" s="22" t="s">
        <v>37</v>
      </c>
      <c r="B797" s="19">
        <v>0</v>
      </c>
      <c r="C797" s="19">
        <v>0</v>
      </c>
      <c r="D797" s="19">
        <v>221790078.28306794</v>
      </c>
      <c r="E797" s="19">
        <v>247487411.86595449</v>
      </c>
      <c r="F797" s="19">
        <v>166242579.23849288</v>
      </c>
      <c r="G797" s="19">
        <v>152859215.38767412</v>
      </c>
      <c r="H797" s="20">
        <v>0.11586331445399356</v>
      </c>
      <c r="I797" s="20">
        <v>-8.0505030132014266E-2</v>
      </c>
      <c r="J797" s="20">
        <v>3.1734364346341248E-2</v>
      </c>
    </row>
    <row r="798" spans="1:10" ht="11.25" customHeight="1" x14ac:dyDescent="0.2">
      <c r="A798" s="23" t="s">
        <v>33</v>
      </c>
      <c r="B798" s="19">
        <v>0</v>
      </c>
      <c r="C798" s="19">
        <v>0</v>
      </c>
      <c r="D798" s="19">
        <v>353091.67917999992</v>
      </c>
      <c r="E798" s="19">
        <v>394421.90456103702</v>
      </c>
      <c r="F798" s="19">
        <v>281658.32892</v>
      </c>
      <c r="G798" s="19">
        <v>259577.97788426102</v>
      </c>
      <c r="H798" s="20">
        <v>0.11705239125719569</v>
      </c>
      <c r="I798" s="20">
        <v>-7.8394099405489914E-2</v>
      </c>
      <c r="J798" s="20">
        <v>3.032670200811749E-2</v>
      </c>
    </row>
    <row r="799" spans="1:10" ht="11.25" customHeight="1" x14ac:dyDescent="0.2">
      <c r="A799" s="24" t="s">
        <v>43</v>
      </c>
      <c r="B799" s="19">
        <v>0</v>
      </c>
      <c r="C799" s="19">
        <v>0</v>
      </c>
      <c r="D799" s="19">
        <v>339788.61601999996</v>
      </c>
      <c r="E799" s="19">
        <v>379553.78862185468</v>
      </c>
      <c r="F799" s="19">
        <v>270696.7231200001</v>
      </c>
      <c r="G799" s="19">
        <v>249468.6283441355</v>
      </c>
      <c r="H799" s="20">
        <v>0.11702914908577955</v>
      </c>
      <c r="I799" s="20">
        <v>-7.8420213333923017E-2</v>
      </c>
      <c r="J799" s="20">
        <v>3.0364493031240336E-2</v>
      </c>
    </row>
    <row r="800" spans="1:10" ht="11.25" customHeight="1" x14ac:dyDescent="0.2">
      <c r="A800" s="25" t="s">
        <v>25</v>
      </c>
      <c r="B800" s="19">
        <v>0</v>
      </c>
      <c r="C800" s="19">
        <v>0</v>
      </c>
      <c r="D800" s="19">
        <v>339788.61601999996</v>
      </c>
      <c r="E800" s="19">
        <v>379553.78862185468</v>
      </c>
      <c r="F800" s="19">
        <v>270696.7231200001</v>
      </c>
      <c r="G800" s="19">
        <v>249468.6283441355</v>
      </c>
      <c r="H800" s="20">
        <v>0.11702914908577955</v>
      </c>
      <c r="I800" s="20">
        <v>-7.8420213333923017E-2</v>
      </c>
      <c r="J800" s="20">
        <v>3.0364493031240336E-2</v>
      </c>
    </row>
    <row r="801" spans="1:10" ht="11.25" customHeight="1" x14ac:dyDescent="0.2">
      <c r="A801" s="26" t="s">
        <v>25</v>
      </c>
      <c r="B801" s="19">
        <v>0</v>
      </c>
      <c r="C801" s="19">
        <v>0</v>
      </c>
      <c r="D801" s="19">
        <v>339788.61601999996</v>
      </c>
      <c r="E801" s="19">
        <v>379553.78862185468</v>
      </c>
      <c r="F801" s="19">
        <v>270696.7231200001</v>
      </c>
      <c r="G801" s="19">
        <v>249468.6283441355</v>
      </c>
      <c r="H801" s="20">
        <v>0.11702914908577955</v>
      </c>
      <c r="I801" s="20">
        <v>-7.8420213333923017E-2</v>
      </c>
      <c r="J801" s="20">
        <v>3.0364493031240336E-2</v>
      </c>
    </row>
    <row r="802" spans="1:10" ht="11.25" customHeight="1" x14ac:dyDescent="0.2">
      <c r="A802" s="27" t="s">
        <v>25</v>
      </c>
      <c r="B802" s="19">
        <v>0</v>
      </c>
      <c r="C802" s="19">
        <v>0</v>
      </c>
      <c r="D802" s="19">
        <v>339788.61601999996</v>
      </c>
      <c r="E802" s="19">
        <v>379553.78862185468</v>
      </c>
      <c r="F802" s="19">
        <v>270696.7231200001</v>
      </c>
      <c r="G802" s="19">
        <v>249468.6283441355</v>
      </c>
      <c r="H802" s="20">
        <v>0.11702914908577955</v>
      </c>
      <c r="I802" s="20">
        <v>-7.8420213333923017E-2</v>
      </c>
      <c r="J802" s="20">
        <v>3.0364493031240336E-2</v>
      </c>
    </row>
    <row r="803" spans="1:10" ht="11.25" customHeight="1" x14ac:dyDescent="0.2">
      <c r="A803" s="28" t="s">
        <v>35</v>
      </c>
      <c r="B803" s="19">
        <v>0</v>
      </c>
      <c r="C803" s="19">
        <v>0</v>
      </c>
      <c r="D803" s="19">
        <v>250877.32133999999</v>
      </c>
      <c r="E803" s="19">
        <v>281017.60006800602</v>
      </c>
      <c r="F803" s="19">
        <v>234102.03353999997</v>
      </c>
      <c r="G803" s="19">
        <v>216476.27644349611</v>
      </c>
      <c r="H803" s="20">
        <v>0.12013951108461729</v>
      </c>
      <c r="I803" s="20">
        <v>-7.5290918365697346E-2</v>
      </c>
      <c r="J803" s="20">
        <v>2.5804235800096276E-2</v>
      </c>
    </row>
    <row r="804" spans="1:10" ht="11.25" customHeight="1" x14ac:dyDescent="0.2">
      <c r="A804" s="29">
        <v>44409</v>
      </c>
      <c r="B804" s="19">
        <v>0</v>
      </c>
      <c r="C804" s="19">
        <v>0</v>
      </c>
      <c r="D804" s="19">
        <v>17402.993160000002</v>
      </c>
      <c r="E804" s="19">
        <v>19493.780249651336</v>
      </c>
      <c r="F804" s="19">
        <v>16239.31596</v>
      </c>
      <c r="G804" s="19">
        <v>15016.642947740875</v>
      </c>
      <c r="H804" s="20">
        <v>0.12013951108461707</v>
      </c>
      <c r="I804" s="20">
        <v>-7.5290918365697346E-2</v>
      </c>
      <c r="J804" s="20">
        <v>2.5804235800096276E-2</v>
      </c>
    </row>
    <row r="805" spans="1:10" ht="11.25" customHeight="1" x14ac:dyDescent="0.2">
      <c r="A805" s="29">
        <v>44440</v>
      </c>
      <c r="B805" s="19">
        <v>0</v>
      </c>
      <c r="C805" s="19">
        <v>0</v>
      </c>
      <c r="D805" s="19">
        <v>16953.072780000002</v>
      </c>
      <c r="E805" s="19">
        <v>18989.806655171131</v>
      </c>
      <c r="F805" s="19">
        <v>15819.480179999999</v>
      </c>
      <c r="G805" s="19">
        <v>14628.416989179854</v>
      </c>
      <c r="H805" s="20">
        <v>0.12013951108461707</v>
      </c>
      <c r="I805" s="20">
        <v>-7.5290918365697235E-2</v>
      </c>
      <c r="J805" s="20">
        <v>2.5804235800096276E-2</v>
      </c>
    </row>
    <row r="806" spans="1:10" ht="11.25" customHeight="1" x14ac:dyDescent="0.2">
      <c r="A806" s="29">
        <v>44470</v>
      </c>
      <c r="B806" s="19">
        <v>0</v>
      </c>
      <c r="C806" s="19">
        <v>0</v>
      </c>
      <c r="D806" s="19">
        <v>20275.821960000001</v>
      </c>
      <c r="E806" s="19">
        <v>22711.749297113143</v>
      </c>
      <c r="F806" s="19">
        <v>18920.048759999998</v>
      </c>
      <c r="G806" s="19">
        <v>17495.540913335826</v>
      </c>
      <c r="H806" s="20">
        <v>0.12013951108461707</v>
      </c>
      <c r="I806" s="20">
        <v>-7.5290918365697235E-2</v>
      </c>
      <c r="J806" s="20">
        <v>2.5804235800096276E-2</v>
      </c>
    </row>
    <row r="807" spans="1:10" ht="11.25" customHeight="1" x14ac:dyDescent="0.2">
      <c r="A807" s="29">
        <v>44501</v>
      </c>
      <c r="B807" s="19">
        <v>0</v>
      </c>
      <c r="C807" s="19">
        <v>0</v>
      </c>
      <c r="D807" s="19">
        <v>21029.158860000003</v>
      </c>
      <c r="E807" s="19">
        <v>23555.591723961148</v>
      </c>
      <c r="F807" s="19">
        <v>19623.01266</v>
      </c>
      <c r="G807" s="19">
        <v>18145.578015726896</v>
      </c>
      <c r="H807" s="20">
        <v>0.12013951108461707</v>
      </c>
      <c r="I807" s="20">
        <v>-7.5290918365697235E-2</v>
      </c>
      <c r="J807" s="20">
        <v>2.5804235800096498E-2</v>
      </c>
    </row>
    <row r="808" spans="1:10" ht="11.25" customHeight="1" x14ac:dyDescent="0.2">
      <c r="A808" s="29">
        <v>44531</v>
      </c>
      <c r="B808" s="19">
        <v>0</v>
      </c>
      <c r="C808" s="19">
        <v>0</v>
      </c>
      <c r="D808" s="19">
        <v>25423.233780000002</v>
      </c>
      <c r="E808" s="19">
        <v>28477.568656519128</v>
      </c>
      <c r="F808" s="19">
        <v>23723.271179999996</v>
      </c>
      <c r="G808" s="19">
        <v>21937.124306219324</v>
      </c>
      <c r="H808" s="20">
        <v>0.12013951108461729</v>
      </c>
      <c r="I808" s="20">
        <v>-7.5290918365697013E-2</v>
      </c>
      <c r="J808" s="20">
        <v>2.5804235800096498E-2</v>
      </c>
    </row>
    <row r="809" spans="1:10" ht="11.25" customHeight="1" x14ac:dyDescent="0.2">
      <c r="A809" s="29">
        <v>44562</v>
      </c>
      <c r="B809" s="19">
        <v>0</v>
      </c>
      <c r="C809" s="19">
        <v>0</v>
      </c>
      <c r="D809" s="19">
        <v>21536.848080000003</v>
      </c>
      <c r="E809" s="19">
        <v>24124.274478634878</v>
      </c>
      <c r="F809" s="19">
        <v>20096.75448</v>
      </c>
      <c r="G809" s="19">
        <v>18583.65137903086</v>
      </c>
      <c r="H809" s="20">
        <v>0.12013951108461707</v>
      </c>
      <c r="I809" s="20">
        <v>-7.5290918365697235E-2</v>
      </c>
      <c r="J809" s="20">
        <v>2.5804235800096498E-2</v>
      </c>
    </row>
    <row r="810" spans="1:10" ht="11.25" customHeight="1" x14ac:dyDescent="0.2">
      <c r="A810" s="29">
        <v>44593</v>
      </c>
      <c r="B810" s="19">
        <v>0</v>
      </c>
      <c r="C810" s="19">
        <v>0</v>
      </c>
      <c r="D810" s="19">
        <v>21405.176760000002</v>
      </c>
      <c r="E810" s="19">
        <v>23976.784230626206</v>
      </c>
      <c r="F810" s="19">
        <v>19973.887559999996</v>
      </c>
      <c r="G810" s="19">
        <v>18470.035222274422</v>
      </c>
      <c r="H810" s="20">
        <v>0.12013951108461685</v>
      </c>
      <c r="I810" s="20">
        <v>-7.5290918365697124E-2</v>
      </c>
      <c r="J810" s="20">
        <v>2.5804235800096276E-2</v>
      </c>
    </row>
    <row r="811" spans="1:10" ht="11.25" customHeight="1" x14ac:dyDescent="0.2">
      <c r="A811" s="29">
        <v>44621</v>
      </c>
      <c r="B811" s="19">
        <v>0</v>
      </c>
      <c r="C811" s="19">
        <v>0</v>
      </c>
      <c r="D811" s="19">
        <v>24648.298620000001</v>
      </c>
      <c r="E811" s="19">
        <v>27609.533165274446</v>
      </c>
      <c r="F811" s="19">
        <v>23000.15322</v>
      </c>
      <c r="G811" s="19">
        <v>21268.450561514452</v>
      </c>
      <c r="H811" s="20">
        <v>0.12013951108461729</v>
      </c>
      <c r="I811" s="20">
        <v>-7.5290918365697235E-2</v>
      </c>
      <c r="J811" s="20">
        <v>2.5804235800096276E-2</v>
      </c>
    </row>
    <row r="812" spans="1:10" ht="11.25" customHeight="1" x14ac:dyDescent="0.2">
      <c r="A812" s="29">
        <v>44652</v>
      </c>
      <c r="B812" s="19">
        <v>0</v>
      </c>
      <c r="C812" s="19">
        <v>0</v>
      </c>
      <c r="D812" s="19">
        <v>21328.151640000004</v>
      </c>
      <c r="E812" s="19">
        <v>23890.505350368177</v>
      </c>
      <c r="F812" s="19">
        <v>19902.012839999996</v>
      </c>
      <c r="G812" s="19">
        <v>18403.5720159505</v>
      </c>
      <c r="H812" s="20">
        <v>0.12013951108461707</v>
      </c>
      <c r="I812" s="20">
        <v>-7.5290918365697124E-2</v>
      </c>
      <c r="J812" s="20">
        <v>2.5804235800096276E-2</v>
      </c>
    </row>
    <row r="813" spans="1:10" ht="11.25" customHeight="1" x14ac:dyDescent="0.2">
      <c r="A813" s="29">
        <v>44682</v>
      </c>
      <c r="B813" s="19">
        <v>0</v>
      </c>
      <c r="C813" s="19">
        <v>0</v>
      </c>
      <c r="D813" s="19">
        <v>21760.377060000003</v>
      </c>
      <c r="E813" s="19">
        <v>24374.658121005319</v>
      </c>
      <c r="F813" s="19">
        <v>20305.336859999996</v>
      </c>
      <c r="G813" s="19">
        <v>18776.529400085754</v>
      </c>
      <c r="H813" s="20">
        <v>0.12013951108461707</v>
      </c>
      <c r="I813" s="20">
        <v>-7.5290918365697235E-2</v>
      </c>
      <c r="J813" s="20">
        <v>2.5804235800096498E-2</v>
      </c>
    </row>
    <row r="814" spans="1:10" ht="11.25" customHeight="1" x14ac:dyDescent="0.2">
      <c r="A814" s="29">
        <v>44713</v>
      </c>
      <c r="B814" s="19">
        <v>0</v>
      </c>
      <c r="C814" s="19">
        <v>0</v>
      </c>
      <c r="D814" s="19">
        <v>19557.094320000004</v>
      </c>
      <c r="E814" s="19">
        <v>21906.674069840545</v>
      </c>
      <c r="F814" s="19">
        <v>18249.379919999999</v>
      </c>
      <c r="G814" s="19">
        <v>16875.367346218682</v>
      </c>
      <c r="H814" s="20">
        <v>0.12013951108461707</v>
      </c>
      <c r="I814" s="20">
        <v>-7.5290918365697457E-2</v>
      </c>
      <c r="J814" s="20">
        <v>2.5804235800096276E-2</v>
      </c>
    </row>
    <row r="815" spans="1:10" ht="11.25" customHeight="1" x14ac:dyDescent="0.2">
      <c r="A815" s="29">
        <v>44743</v>
      </c>
      <c r="B815" s="19">
        <v>0</v>
      </c>
      <c r="C815" s="19">
        <v>0</v>
      </c>
      <c r="D815" s="19">
        <v>19557.094320000004</v>
      </c>
      <c r="E815" s="19">
        <v>21906.674069840545</v>
      </c>
      <c r="F815" s="19">
        <v>18249.379919999999</v>
      </c>
      <c r="G815" s="19">
        <v>16875.367346218682</v>
      </c>
      <c r="H815" s="20">
        <v>0.12013951108461707</v>
      </c>
      <c r="I815" s="20">
        <v>-7.5290918365697457E-2</v>
      </c>
      <c r="J815" s="20">
        <v>2.5804235800096276E-2</v>
      </c>
    </row>
    <row r="816" spans="1:10" ht="11.25" customHeight="1" x14ac:dyDescent="0.2">
      <c r="A816" s="28" t="s">
        <v>36</v>
      </c>
      <c r="B816" s="19">
        <v>0</v>
      </c>
      <c r="C816" s="19">
        <v>0</v>
      </c>
      <c r="D816" s="19">
        <v>38725.7212</v>
      </c>
      <c r="E816" s="19">
        <v>42979.614427373504</v>
      </c>
      <c r="F816" s="19">
        <v>15558.205859999998</v>
      </c>
      <c r="G816" s="19">
        <v>14386.814252678025</v>
      </c>
      <c r="H816" s="20">
        <v>0.10984671416199476</v>
      </c>
      <c r="I816" s="20">
        <v>-7.5290918365697568E-2</v>
      </c>
      <c r="J816" s="20">
        <v>5.6784794081762735E-2</v>
      </c>
    </row>
    <row r="817" spans="1:10" ht="11.25" customHeight="1" x14ac:dyDescent="0.2">
      <c r="A817" s="29">
        <v>44409</v>
      </c>
      <c r="B817" s="19">
        <v>0</v>
      </c>
      <c r="C817" s="19">
        <v>0</v>
      </c>
      <c r="D817" s="19">
        <v>2556.6120000000001</v>
      </c>
      <c r="E817" s="19">
        <v>2837.4474275871257</v>
      </c>
      <c r="F817" s="19">
        <v>1027.1286</v>
      </c>
      <c r="G817" s="19">
        <v>949.79514442632706</v>
      </c>
      <c r="H817" s="20">
        <v>0.10984671416199476</v>
      </c>
      <c r="I817" s="20">
        <v>-7.5290918365697346E-2</v>
      </c>
      <c r="J817" s="20">
        <v>5.6784794081762735E-2</v>
      </c>
    </row>
    <row r="818" spans="1:10" ht="11.25" customHeight="1" x14ac:dyDescent="0.2">
      <c r="A818" s="29">
        <v>44440</v>
      </c>
      <c r="B818" s="19">
        <v>0</v>
      </c>
      <c r="C818" s="19">
        <v>0</v>
      </c>
      <c r="D818" s="19">
        <v>2643.0412000000001</v>
      </c>
      <c r="E818" s="19">
        <v>2933.3705912147761</v>
      </c>
      <c r="F818" s="19">
        <v>1061.85186</v>
      </c>
      <c r="G818" s="19">
        <v>981.9040582922762</v>
      </c>
      <c r="H818" s="20">
        <v>0.10984671416199498</v>
      </c>
      <c r="I818" s="20">
        <v>-7.5290918365697235E-2</v>
      </c>
      <c r="J818" s="20">
        <v>5.6784794081762735E-2</v>
      </c>
    </row>
    <row r="819" spans="1:10" ht="11.25" customHeight="1" x14ac:dyDescent="0.2">
      <c r="A819" s="29">
        <v>44470</v>
      </c>
      <c r="B819" s="19">
        <v>0</v>
      </c>
      <c r="C819" s="19">
        <v>0</v>
      </c>
      <c r="D819" s="19">
        <v>2918.0431999999996</v>
      </c>
      <c r="E819" s="19">
        <v>3238.5806573027521</v>
      </c>
      <c r="F819" s="19">
        <v>1172.3349599999999</v>
      </c>
      <c r="G819" s="19">
        <v>1084.0687842293869</v>
      </c>
      <c r="H819" s="20">
        <v>0.10984671416199476</v>
      </c>
      <c r="I819" s="20">
        <v>-7.5290918365697346E-2</v>
      </c>
      <c r="J819" s="20">
        <v>5.6784794081762957E-2</v>
      </c>
    </row>
    <row r="820" spans="1:10" ht="11.25" customHeight="1" x14ac:dyDescent="0.2">
      <c r="A820" s="29">
        <v>44501</v>
      </c>
      <c r="B820" s="19">
        <v>0</v>
      </c>
      <c r="C820" s="19">
        <v>0</v>
      </c>
      <c r="D820" s="19">
        <v>3037.1099999999997</v>
      </c>
      <c r="E820" s="19">
        <v>3370.7265540485364</v>
      </c>
      <c r="F820" s="19">
        <v>1220.1704999999999</v>
      </c>
      <c r="G820" s="19">
        <v>1128.302742492268</v>
      </c>
      <c r="H820" s="20">
        <v>0.10984671416199498</v>
      </c>
      <c r="I820" s="20">
        <v>-7.5290918365697235E-2</v>
      </c>
      <c r="J820" s="20">
        <v>5.6784794081762957E-2</v>
      </c>
    </row>
    <row r="821" spans="1:10" ht="11.25" customHeight="1" x14ac:dyDescent="0.2">
      <c r="A821" s="29">
        <v>44531</v>
      </c>
      <c r="B821" s="19">
        <v>0</v>
      </c>
      <c r="C821" s="19">
        <v>0</v>
      </c>
      <c r="D821" s="19">
        <v>3628.2132000000001</v>
      </c>
      <c r="E821" s="19">
        <v>4026.7604982991766</v>
      </c>
      <c r="F821" s="19">
        <v>1457.6484599999999</v>
      </c>
      <c r="G821" s="19">
        <v>1347.9007687922556</v>
      </c>
      <c r="H821" s="20">
        <v>0.10984671416199476</v>
      </c>
      <c r="I821" s="20">
        <v>-7.5290918365697235E-2</v>
      </c>
      <c r="J821" s="20">
        <v>5.6784794081762513E-2</v>
      </c>
    </row>
    <row r="822" spans="1:10" ht="11.25" customHeight="1" x14ac:dyDescent="0.2">
      <c r="A822" s="29">
        <v>44562</v>
      </c>
      <c r="B822" s="19">
        <v>0</v>
      </c>
      <c r="C822" s="19">
        <v>0</v>
      </c>
      <c r="D822" s="19">
        <v>3801.0715999999998</v>
      </c>
      <c r="E822" s="19">
        <v>4218.606825554476</v>
      </c>
      <c r="F822" s="19">
        <v>1527.0949799999999</v>
      </c>
      <c r="G822" s="19">
        <v>1412.1185965241539</v>
      </c>
      <c r="H822" s="20">
        <v>0.10984671416199476</v>
      </c>
      <c r="I822" s="20">
        <v>-7.5290918365697235E-2</v>
      </c>
      <c r="J822" s="20">
        <v>5.6784794081762957E-2</v>
      </c>
    </row>
    <row r="823" spans="1:10" ht="11.25" customHeight="1" x14ac:dyDescent="0.2">
      <c r="A823" s="29">
        <v>44593</v>
      </c>
      <c r="B823" s="19">
        <v>0</v>
      </c>
      <c r="C823" s="19">
        <v>0</v>
      </c>
      <c r="D823" s="19">
        <v>3434.8051999999998</v>
      </c>
      <c r="E823" s="19">
        <v>3812.107265006533</v>
      </c>
      <c r="F823" s="19">
        <v>1379.94606</v>
      </c>
      <c r="G823" s="19">
        <v>1276.0486538474743</v>
      </c>
      <c r="H823" s="20">
        <v>0.10984671416199476</v>
      </c>
      <c r="I823" s="20">
        <v>-7.5290918365697346E-2</v>
      </c>
      <c r="J823" s="20">
        <v>5.6784794081762513E-2</v>
      </c>
    </row>
    <row r="824" spans="1:10" ht="11.25" customHeight="1" x14ac:dyDescent="0.2">
      <c r="A824" s="29">
        <v>44621</v>
      </c>
      <c r="B824" s="19">
        <v>0</v>
      </c>
      <c r="C824" s="19">
        <v>0</v>
      </c>
      <c r="D824" s="19">
        <v>3665.0816</v>
      </c>
      <c r="E824" s="19">
        <v>4067.6787708955867</v>
      </c>
      <c r="F824" s="19">
        <v>1472.46048</v>
      </c>
      <c r="G824" s="19">
        <v>1361.5975782036046</v>
      </c>
      <c r="H824" s="20">
        <v>0.10984671416199476</v>
      </c>
      <c r="I824" s="20">
        <v>-7.5290918365697235E-2</v>
      </c>
      <c r="J824" s="20">
        <v>5.6784794081762735E-2</v>
      </c>
    </row>
    <row r="825" spans="1:10" ht="11.25" customHeight="1" x14ac:dyDescent="0.2">
      <c r="A825" s="29">
        <v>44652</v>
      </c>
      <c r="B825" s="19">
        <v>0</v>
      </c>
      <c r="C825" s="19">
        <v>0</v>
      </c>
      <c r="D825" s="19">
        <v>3510.3551999999995</v>
      </c>
      <c r="E825" s="19">
        <v>3895.9561842614717</v>
      </c>
      <c r="F825" s="19">
        <v>1410.29856</v>
      </c>
      <c r="G825" s="19">
        <v>1304.1158862477796</v>
      </c>
      <c r="H825" s="20">
        <v>0.10984671416199476</v>
      </c>
      <c r="I825" s="20">
        <v>-7.5290918365697235E-2</v>
      </c>
      <c r="J825" s="20">
        <v>5.6784794081762957E-2</v>
      </c>
    </row>
    <row r="826" spans="1:10" ht="11.25" customHeight="1" x14ac:dyDescent="0.2">
      <c r="A826" s="29">
        <v>44682</v>
      </c>
      <c r="B826" s="19">
        <v>0</v>
      </c>
      <c r="C826" s="19">
        <v>0</v>
      </c>
      <c r="D826" s="19">
        <v>3403.9807999999998</v>
      </c>
      <c r="E826" s="19">
        <v>3777.8969059505189</v>
      </c>
      <c r="F826" s="19">
        <v>1367.56224</v>
      </c>
      <c r="G826" s="19">
        <v>1264.5972230281498</v>
      </c>
      <c r="H826" s="20">
        <v>0.10984671416199498</v>
      </c>
      <c r="I826" s="20">
        <v>-7.5290918365697346E-2</v>
      </c>
      <c r="J826" s="20">
        <v>5.6784794081762957E-2</v>
      </c>
    </row>
    <row r="827" spans="1:10" ht="11.25" customHeight="1" x14ac:dyDescent="0.2">
      <c r="A827" s="29">
        <v>44713</v>
      </c>
      <c r="B827" s="19">
        <v>0</v>
      </c>
      <c r="C827" s="19">
        <v>0</v>
      </c>
      <c r="D827" s="19">
        <v>3063.7036000000003</v>
      </c>
      <c r="E827" s="19">
        <v>3400.2413736262743</v>
      </c>
      <c r="F827" s="19">
        <v>1230.8545800000002</v>
      </c>
      <c r="G827" s="19">
        <v>1138.1824082971752</v>
      </c>
      <c r="H827" s="20">
        <v>0.10984671416199454</v>
      </c>
      <c r="I827" s="20">
        <v>-7.5290918365697568E-2</v>
      </c>
      <c r="J827" s="20">
        <v>5.6784794081762735E-2</v>
      </c>
    </row>
    <row r="828" spans="1:10" ht="11.25" customHeight="1" x14ac:dyDescent="0.2">
      <c r="A828" s="29">
        <v>44743</v>
      </c>
      <c r="B828" s="19">
        <v>0</v>
      </c>
      <c r="C828" s="19">
        <v>0</v>
      </c>
      <c r="D828" s="19">
        <v>3063.7036000000003</v>
      </c>
      <c r="E828" s="19">
        <v>3400.2413736262743</v>
      </c>
      <c r="F828" s="19">
        <v>1230.8545800000002</v>
      </c>
      <c r="G828" s="19">
        <v>1138.1824082971752</v>
      </c>
      <c r="H828" s="20">
        <v>0.10984671416199454</v>
      </c>
      <c r="I828" s="20">
        <v>-7.5290918365697568E-2</v>
      </c>
      <c r="J828" s="20">
        <v>5.6784794081762735E-2</v>
      </c>
    </row>
    <row r="829" spans="1:10" ht="11.25" customHeight="1" x14ac:dyDescent="0.2">
      <c r="A829" s="28" t="s">
        <v>34</v>
      </c>
      <c r="B829" s="19">
        <v>0</v>
      </c>
      <c r="C829" s="19">
        <v>0</v>
      </c>
      <c r="D829" s="19">
        <v>50185.573480000014</v>
      </c>
      <c r="E829" s="19">
        <v>55556.574126475243</v>
      </c>
      <c r="F829" s="19">
        <v>21036.48372</v>
      </c>
      <c r="G829" s="19">
        <v>18605.537647961406</v>
      </c>
      <c r="H829" s="20">
        <v>0.10702280105687567</v>
      </c>
      <c r="I829" s="20">
        <v>-0.11555857454102103</v>
      </c>
      <c r="J829" s="20">
        <v>4.1280113072002855E-2</v>
      </c>
    </row>
    <row r="830" spans="1:10" ht="11.25" customHeight="1" x14ac:dyDescent="0.2">
      <c r="A830" s="29">
        <v>44409</v>
      </c>
      <c r="B830" s="19">
        <v>0</v>
      </c>
      <c r="C830" s="19">
        <v>0</v>
      </c>
      <c r="D830" s="19">
        <v>1319.4747800000002</v>
      </c>
      <c r="E830" s="19">
        <v>1460.6886668795046</v>
      </c>
      <c r="F830" s="19">
        <v>553.08941999999979</v>
      </c>
      <c r="G830" s="19">
        <v>489.17519503107997</v>
      </c>
      <c r="H830" s="20">
        <v>0.10702280105687523</v>
      </c>
      <c r="I830" s="20">
        <v>-0.11555857454102059</v>
      </c>
      <c r="J830" s="20">
        <v>4.1280113072002855E-2</v>
      </c>
    </row>
    <row r="831" spans="1:10" ht="11.25" customHeight="1" x14ac:dyDescent="0.2">
      <c r="A831" s="29">
        <v>44440</v>
      </c>
      <c r="B831" s="19">
        <v>0</v>
      </c>
      <c r="C831" s="19">
        <v>0</v>
      </c>
      <c r="D831" s="19">
        <v>3556.22642</v>
      </c>
      <c r="E831" s="19">
        <v>3936.8237326608642</v>
      </c>
      <c r="F831" s="19">
        <v>1490.6773800000001</v>
      </c>
      <c r="G831" s="19">
        <v>1318.4168268666563</v>
      </c>
      <c r="H831" s="20">
        <v>0.10702280105687545</v>
      </c>
      <c r="I831" s="20">
        <v>-0.11555857454102092</v>
      </c>
      <c r="J831" s="20">
        <v>4.1280113072002855E-2</v>
      </c>
    </row>
    <row r="832" spans="1:10" ht="11.25" customHeight="1" x14ac:dyDescent="0.2">
      <c r="A832" s="29">
        <v>44470</v>
      </c>
      <c r="B832" s="19">
        <v>0</v>
      </c>
      <c r="C832" s="19">
        <v>0</v>
      </c>
      <c r="D832" s="19">
        <v>4003.0075999999999</v>
      </c>
      <c r="E832" s="19">
        <v>4431.4206860039603</v>
      </c>
      <c r="F832" s="19">
        <v>1677.9564</v>
      </c>
      <c r="G832" s="19">
        <v>1484.054150274017</v>
      </c>
      <c r="H832" s="20">
        <v>0.10702280105687545</v>
      </c>
      <c r="I832" s="20">
        <v>-0.11555857454102081</v>
      </c>
      <c r="J832" s="20">
        <v>4.1280113072002855E-2</v>
      </c>
    </row>
    <row r="833" spans="1:10" ht="11.25" customHeight="1" x14ac:dyDescent="0.2">
      <c r="A833" s="29">
        <v>44501</v>
      </c>
      <c r="B833" s="19">
        <v>0</v>
      </c>
      <c r="C833" s="19">
        <v>0</v>
      </c>
      <c r="D833" s="19">
        <v>4462.12032</v>
      </c>
      <c r="E833" s="19">
        <v>4939.6689352992016</v>
      </c>
      <c r="F833" s="19">
        <v>1870.4044799999999</v>
      </c>
      <c r="G833" s="19">
        <v>1654.2632044760608</v>
      </c>
      <c r="H833" s="20">
        <v>0.10702280105687545</v>
      </c>
      <c r="I833" s="20">
        <v>-0.11555857454102081</v>
      </c>
      <c r="J833" s="20">
        <v>4.1280113072002855E-2</v>
      </c>
    </row>
    <row r="834" spans="1:10" ht="11.25" customHeight="1" x14ac:dyDescent="0.2">
      <c r="A834" s="29">
        <v>44531</v>
      </c>
      <c r="B834" s="19">
        <v>0</v>
      </c>
      <c r="C834" s="19">
        <v>0</v>
      </c>
      <c r="D834" s="19">
        <v>4747.6428999999998</v>
      </c>
      <c r="E834" s="19">
        <v>5255.7489415757873</v>
      </c>
      <c r="F834" s="19">
        <v>1990.0880999999999</v>
      </c>
      <c r="G834" s="19">
        <v>1760.1163559529514</v>
      </c>
      <c r="H834" s="20">
        <v>0.10702280105687545</v>
      </c>
      <c r="I834" s="20">
        <v>-0.11555857454102081</v>
      </c>
      <c r="J834" s="20">
        <v>4.1280113072002855E-2</v>
      </c>
    </row>
    <row r="835" spans="1:10" ht="11.25" customHeight="1" x14ac:dyDescent="0.2">
      <c r="A835" s="29">
        <v>44562</v>
      </c>
      <c r="B835" s="19">
        <v>0</v>
      </c>
      <c r="C835" s="19">
        <v>0</v>
      </c>
      <c r="D835" s="19">
        <v>4491.5263000000004</v>
      </c>
      <c r="E835" s="19">
        <v>4972.2220256466235</v>
      </c>
      <c r="F835" s="19">
        <v>1882.7307000000001</v>
      </c>
      <c r="G835" s="19">
        <v>1665.1650240633817</v>
      </c>
      <c r="H835" s="20">
        <v>0.10702280105687523</v>
      </c>
      <c r="I835" s="20">
        <v>-0.11555857454102081</v>
      </c>
      <c r="J835" s="20">
        <v>4.1280113072002633E-2</v>
      </c>
    </row>
    <row r="836" spans="1:10" ht="11.25" customHeight="1" x14ac:dyDescent="0.2">
      <c r="A836" s="29">
        <v>44593</v>
      </c>
      <c r="B836" s="19">
        <v>0</v>
      </c>
      <c r="C836" s="19">
        <v>0</v>
      </c>
      <c r="D836" s="19">
        <v>4772.3059800000001</v>
      </c>
      <c r="E836" s="19">
        <v>5283.0515334800766</v>
      </c>
      <c r="F836" s="19">
        <v>2000.4262200000001</v>
      </c>
      <c r="G836" s="19">
        <v>1769.2598175423173</v>
      </c>
      <c r="H836" s="20">
        <v>0.10702280105687545</v>
      </c>
      <c r="I836" s="20">
        <v>-0.11555857454102092</v>
      </c>
      <c r="J836" s="20">
        <v>4.1280113072002633E-2</v>
      </c>
    </row>
    <row r="837" spans="1:10" ht="11.25" customHeight="1" x14ac:dyDescent="0.2">
      <c r="A837" s="29">
        <v>44621</v>
      </c>
      <c r="B837" s="19">
        <v>0</v>
      </c>
      <c r="C837" s="19">
        <v>0</v>
      </c>
      <c r="D837" s="19">
        <v>5927.6764199999998</v>
      </c>
      <c r="E837" s="19">
        <v>6562.072954227192</v>
      </c>
      <c r="F837" s="19">
        <v>2484.7273800000003</v>
      </c>
      <c r="G837" s="19">
        <v>2197.5958258441542</v>
      </c>
      <c r="H837" s="20">
        <v>0.10702280105687545</v>
      </c>
      <c r="I837" s="20">
        <v>-0.11555857454102114</v>
      </c>
      <c r="J837" s="20">
        <v>4.1280113072002855E-2</v>
      </c>
    </row>
    <row r="838" spans="1:10" ht="11.25" customHeight="1" x14ac:dyDescent="0.2">
      <c r="A838" s="29">
        <v>44652</v>
      </c>
      <c r="B838" s="19">
        <v>0</v>
      </c>
      <c r="C838" s="19">
        <v>0</v>
      </c>
      <c r="D838" s="19">
        <v>4635.7104600000002</v>
      </c>
      <c r="E838" s="19">
        <v>5131.8371783178563</v>
      </c>
      <c r="F838" s="19">
        <v>1943.16894</v>
      </c>
      <c r="G838" s="19">
        <v>1718.6191072012136</v>
      </c>
      <c r="H838" s="20">
        <v>0.10702280105687545</v>
      </c>
      <c r="I838" s="20">
        <v>-0.11555857454102081</v>
      </c>
      <c r="J838" s="20">
        <v>4.1280113072002855E-2</v>
      </c>
    </row>
    <row r="839" spans="1:10" ht="11.25" customHeight="1" x14ac:dyDescent="0.2">
      <c r="A839" s="29">
        <v>44682</v>
      </c>
      <c r="B839" s="19">
        <v>0</v>
      </c>
      <c r="C839" s="19">
        <v>0</v>
      </c>
      <c r="D839" s="19">
        <v>4229.7182199999997</v>
      </c>
      <c r="E839" s="19">
        <v>4682.3945115857005</v>
      </c>
      <c r="F839" s="19">
        <v>1772.98758</v>
      </c>
      <c r="G839" s="19">
        <v>1568.1036625762658</v>
      </c>
      <c r="H839" s="20">
        <v>0.10702280105687523</v>
      </c>
      <c r="I839" s="20">
        <v>-0.11555857454102081</v>
      </c>
      <c r="J839" s="20">
        <v>4.1280113072002855E-2</v>
      </c>
    </row>
    <row r="840" spans="1:10" ht="11.25" customHeight="1" x14ac:dyDescent="0.2">
      <c r="A840" s="29">
        <v>44713</v>
      </c>
      <c r="B840" s="19">
        <v>0</v>
      </c>
      <c r="C840" s="19">
        <v>0</v>
      </c>
      <c r="D840" s="19">
        <v>4020.0820400000002</v>
      </c>
      <c r="E840" s="19">
        <v>4450.322480399238</v>
      </c>
      <c r="F840" s="19">
        <v>1685.1135600000002</v>
      </c>
      <c r="G840" s="19">
        <v>1490.3842390666548</v>
      </c>
      <c r="H840" s="20">
        <v>0.10702280105687545</v>
      </c>
      <c r="I840" s="20">
        <v>-0.11555857454102103</v>
      </c>
      <c r="J840" s="20">
        <v>4.1280113072002633E-2</v>
      </c>
    </row>
    <row r="841" spans="1:10" ht="11.25" customHeight="1" x14ac:dyDescent="0.2">
      <c r="A841" s="29">
        <v>44743</v>
      </c>
      <c r="B841" s="19">
        <v>0</v>
      </c>
      <c r="C841" s="19">
        <v>0</v>
      </c>
      <c r="D841" s="19">
        <v>4020.0820400000002</v>
      </c>
      <c r="E841" s="19">
        <v>4450.322480399238</v>
      </c>
      <c r="F841" s="19">
        <v>1685.1135600000002</v>
      </c>
      <c r="G841" s="19">
        <v>1490.3842390666548</v>
      </c>
      <c r="H841" s="20">
        <v>0.10702280105687545</v>
      </c>
      <c r="I841" s="20">
        <v>-0.11555857454102103</v>
      </c>
      <c r="J841" s="20">
        <v>4.1280113072002633E-2</v>
      </c>
    </row>
    <row r="842" spans="1:10" ht="11.25" customHeight="1" x14ac:dyDescent="0.2">
      <c r="A842" s="24" t="s">
        <v>38</v>
      </c>
      <c r="B842" s="19">
        <v>0</v>
      </c>
      <c r="C842" s="19">
        <v>0</v>
      </c>
      <c r="D842" s="19">
        <v>13303.06316</v>
      </c>
      <c r="E842" s="19">
        <v>14868.115939182526</v>
      </c>
      <c r="F842" s="19">
        <v>10961.605799999998</v>
      </c>
      <c r="G842" s="19">
        <v>10109.349540125537</v>
      </c>
      <c r="H842" s="20">
        <v>0.11764604590380112</v>
      </c>
      <c r="I842" s="20">
        <v>-7.7749216257572695E-2</v>
      </c>
      <c r="J842" s="20">
        <v>2.9375901253097414E-2</v>
      </c>
    </row>
    <row r="843" spans="1:10" ht="11.25" customHeight="1" x14ac:dyDescent="0.2">
      <c r="A843" s="25" t="s">
        <v>25</v>
      </c>
      <c r="B843" s="19">
        <v>0</v>
      </c>
      <c r="C843" s="19">
        <v>0</v>
      </c>
      <c r="D843" s="19">
        <v>13303.06316</v>
      </c>
      <c r="E843" s="19">
        <v>14868.115939182526</v>
      </c>
      <c r="F843" s="19">
        <v>10961.605799999998</v>
      </c>
      <c r="G843" s="19">
        <v>10109.349540125537</v>
      </c>
      <c r="H843" s="20">
        <v>0.11764604590380112</v>
      </c>
      <c r="I843" s="20">
        <v>-7.7749216257572695E-2</v>
      </c>
      <c r="J843" s="20">
        <v>2.9375901253097414E-2</v>
      </c>
    </row>
    <row r="844" spans="1:10" ht="11.25" customHeight="1" x14ac:dyDescent="0.2">
      <c r="A844" s="26" t="s">
        <v>25</v>
      </c>
      <c r="B844" s="19">
        <v>0</v>
      </c>
      <c r="C844" s="19">
        <v>0</v>
      </c>
      <c r="D844" s="19">
        <v>13303.06316</v>
      </c>
      <c r="E844" s="19">
        <v>14868.115939182526</v>
      </c>
      <c r="F844" s="19">
        <v>10961.605799999998</v>
      </c>
      <c r="G844" s="19">
        <v>10109.349540125537</v>
      </c>
      <c r="H844" s="20">
        <v>0.11764604590380112</v>
      </c>
      <c r="I844" s="20">
        <v>-7.7749216257572695E-2</v>
      </c>
      <c r="J844" s="20">
        <v>2.9375901253097414E-2</v>
      </c>
    </row>
    <row r="845" spans="1:10" ht="11.25" customHeight="1" x14ac:dyDescent="0.2">
      <c r="A845" s="27" t="s">
        <v>25</v>
      </c>
      <c r="B845" s="19">
        <v>0</v>
      </c>
      <c r="C845" s="19">
        <v>0</v>
      </c>
      <c r="D845" s="19">
        <v>13303.06316</v>
      </c>
      <c r="E845" s="19">
        <v>14868.115939182526</v>
      </c>
      <c r="F845" s="19">
        <v>10961.605799999998</v>
      </c>
      <c r="G845" s="19">
        <v>10109.349540125537</v>
      </c>
      <c r="H845" s="20">
        <v>0.11764604590380112</v>
      </c>
      <c r="I845" s="20">
        <v>-7.7749216257572695E-2</v>
      </c>
      <c r="J845" s="20">
        <v>2.9375901253097414E-2</v>
      </c>
    </row>
    <row r="846" spans="1:10" ht="11.25" customHeight="1" x14ac:dyDescent="0.2">
      <c r="A846" s="28" t="s">
        <v>35</v>
      </c>
      <c r="B846" s="19">
        <v>0</v>
      </c>
      <c r="C846" s="19">
        <v>0</v>
      </c>
      <c r="D846" s="19">
        <v>10518.35262</v>
      </c>
      <c r="E846" s="19">
        <v>11782.022361182402</v>
      </c>
      <c r="F846" s="19">
        <v>9815.0272199999999</v>
      </c>
      <c r="G846" s="19">
        <v>9076.044806821883</v>
      </c>
      <c r="H846" s="20">
        <v>0.12013951108461729</v>
      </c>
      <c r="I846" s="20">
        <v>-7.5290918365697346E-2</v>
      </c>
      <c r="J846" s="20">
        <v>2.5804235800096276E-2</v>
      </c>
    </row>
    <row r="847" spans="1:10" ht="11.25" customHeight="1" x14ac:dyDescent="0.2">
      <c r="A847" s="29">
        <v>44409</v>
      </c>
      <c r="B847" s="19">
        <v>0</v>
      </c>
      <c r="C847" s="19">
        <v>0</v>
      </c>
      <c r="D847" s="19">
        <v>1242.03006</v>
      </c>
      <c r="E847" s="19">
        <v>1391.2469441607977</v>
      </c>
      <c r="F847" s="19">
        <v>1158.9798599999999</v>
      </c>
      <c r="G847" s="19">
        <v>1071.7192019732527</v>
      </c>
      <c r="H847" s="20">
        <v>0.12013951108461707</v>
      </c>
      <c r="I847" s="20">
        <v>-7.5290918365697235E-2</v>
      </c>
      <c r="J847" s="20">
        <v>2.5804235800096276E-2</v>
      </c>
    </row>
    <row r="848" spans="1:10" ht="11.25" customHeight="1" x14ac:dyDescent="0.2">
      <c r="A848" s="29">
        <v>44440</v>
      </c>
      <c r="B848" s="19">
        <v>0</v>
      </c>
      <c r="C848" s="19">
        <v>0</v>
      </c>
      <c r="D848" s="19">
        <v>1216.5285000000001</v>
      </c>
      <c r="E848" s="19">
        <v>1362.6816392105027</v>
      </c>
      <c r="F848" s="19">
        <v>1135.1834999999999</v>
      </c>
      <c r="G848" s="19">
        <v>1049.7144917714133</v>
      </c>
      <c r="H848" s="20">
        <v>0.12013951108461707</v>
      </c>
      <c r="I848" s="20">
        <v>-7.5290918365697235E-2</v>
      </c>
      <c r="J848" s="20">
        <v>2.5804235800096276E-2</v>
      </c>
    </row>
    <row r="849" spans="1:10" ht="11.25" customHeight="1" x14ac:dyDescent="0.2">
      <c r="A849" s="29">
        <v>44470</v>
      </c>
      <c r="B849" s="19">
        <v>0</v>
      </c>
      <c r="C849" s="19">
        <v>0</v>
      </c>
      <c r="D849" s="19">
        <v>1267.01118</v>
      </c>
      <c r="E849" s="19">
        <v>1419.2292837039438</v>
      </c>
      <c r="F849" s="19">
        <v>1182.2905799999999</v>
      </c>
      <c r="G849" s="19">
        <v>1093.2748364566871</v>
      </c>
      <c r="H849" s="20">
        <v>0.12013951108461707</v>
      </c>
      <c r="I849" s="20">
        <v>-7.5290918365697124E-2</v>
      </c>
      <c r="J849" s="20">
        <v>2.5804235800096498E-2</v>
      </c>
    </row>
    <row r="850" spans="1:10" ht="11.25" customHeight="1" x14ac:dyDescent="0.2">
      <c r="A850" s="29">
        <v>44501</v>
      </c>
      <c r="B850" s="19">
        <v>0</v>
      </c>
      <c r="C850" s="19">
        <v>0</v>
      </c>
      <c r="D850" s="19">
        <v>1090.3218000000002</v>
      </c>
      <c r="E850" s="19">
        <v>1221.3125279768999</v>
      </c>
      <c r="F850" s="19">
        <v>1017.4158000000001</v>
      </c>
      <c r="G850" s="19">
        <v>940.81363005822948</v>
      </c>
      <c r="H850" s="20">
        <v>0.12013951108461707</v>
      </c>
      <c r="I850" s="20">
        <v>-7.5290918365697346E-2</v>
      </c>
      <c r="J850" s="20">
        <v>2.5804235800096276E-2</v>
      </c>
    </row>
    <row r="851" spans="1:10" ht="11.25" customHeight="1" x14ac:dyDescent="0.2">
      <c r="A851" s="29">
        <v>44531</v>
      </c>
      <c r="B851" s="19">
        <v>0</v>
      </c>
      <c r="C851" s="19">
        <v>0</v>
      </c>
      <c r="D851" s="19">
        <v>1234.2234600000002</v>
      </c>
      <c r="E851" s="19">
        <v>1382.5024630535647</v>
      </c>
      <c r="F851" s="19">
        <v>1151.69526</v>
      </c>
      <c r="G851" s="19">
        <v>1064.9830661971796</v>
      </c>
      <c r="H851" s="20">
        <v>0.12013951108461707</v>
      </c>
      <c r="I851" s="20">
        <v>-7.5290918365697124E-2</v>
      </c>
      <c r="J851" s="20">
        <v>2.5804235800096498E-2</v>
      </c>
    </row>
    <row r="852" spans="1:10" ht="11.25" customHeight="1" x14ac:dyDescent="0.2">
      <c r="A852" s="29">
        <v>44562</v>
      </c>
      <c r="B852" s="19">
        <v>0</v>
      </c>
      <c r="C852" s="19">
        <v>0</v>
      </c>
      <c r="D852" s="19">
        <v>1012.7762400000001</v>
      </c>
      <c r="E852" s="19">
        <v>1134.4506823117169</v>
      </c>
      <c r="F852" s="19">
        <v>945.05543999999998</v>
      </c>
      <c r="G852" s="19">
        <v>873.90134801590193</v>
      </c>
      <c r="H852" s="20">
        <v>0.12013951108461707</v>
      </c>
      <c r="I852" s="20">
        <v>-7.5290918365697235E-2</v>
      </c>
      <c r="J852" s="20">
        <v>2.5804235800096276E-2</v>
      </c>
    </row>
    <row r="853" spans="1:10" ht="11.25" customHeight="1" x14ac:dyDescent="0.2">
      <c r="A853" s="29">
        <v>44593</v>
      </c>
      <c r="B853" s="19">
        <v>0</v>
      </c>
      <c r="C853" s="19">
        <v>0</v>
      </c>
      <c r="D853" s="19">
        <v>605.27172000000007</v>
      </c>
      <c r="E853" s="19">
        <v>677.98876851414536</v>
      </c>
      <c r="F853" s="19">
        <v>564.79931999999997</v>
      </c>
      <c r="G853" s="19">
        <v>522.27506050487864</v>
      </c>
      <c r="H853" s="20">
        <v>0.12013951108461707</v>
      </c>
      <c r="I853" s="20">
        <v>-7.5290918365697235E-2</v>
      </c>
      <c r="J853" s="20">
        <v>2.5804235800096276E-2</v>
      </c>
    </row>
    <row r="854" spans="1:10" ht="11.25" customHeight="1" x14ac:dyDescent="0.2">
      <c r="A854" s="29">
        <v>44621</v>
      </c>
      <c r="B854" s="19">
        <v>0</v>
      </c>
      <c r="C854" s="19">
        <v>0</v>
      </c>
      <c r="D854" s="19">
        <v>595.64358000000016</v>
      </c>
      <c r="E854" s="19">
        <v>667.20390848189106</v>
      </c>
      <c r="F854" s="19">
        <v>555.81497999999999</v>
      </c>
      <c r="G854" s="19">
        <v>513.96715971438834</v>
      </c>
      <c r="H854" s="20">
        <v>0.12013951108461685</v>
      </c>
      <c r="I854" s="20">
        <v>-7.5290918365697235E-2</v>
      </c>
      <c r="J854" s="20">
        <v>2.5804235800096498E-2</v>
      </c>
    </row>
    <row r="855" spans="1:10" ht="11.25" customHeight="1" x14ac:dyDescent="0.2">
      <c r="A855" s="29">
        <v>44652</v>
      </c>
      <c r="B855" s="19">
        <v>0</v>
      </c>
      <c r="C855" s="19">
        <v>0</v>
      </c>
      <c r="D855" s="19">
        <v>579.77016000000015</v>
      </c>
      <c r="E855" s="19">
        <v>649.42346356385031</v>
      </c>
      <c r="F855" s="19">
        <v>541.00296000000003</v>
      </c>
      <c r="G855" s="19">
        <v>500.27035030303944</v>
      </c>
      <c r="H855" s="20">
        <v>0.12013951108461685</v>
      </c>
      <c r="I855" s="20">
        <v>-7.5290918365697235E-2</v>
      </c>
      <c r="J855" s="20">
        <v>2.5804235800096054E-2</v>
      </c>
    </row>
    <row r="856" spans="1:10" ht="11.25" customHeight="1" x14ac:dyDescent="0.2">
      <c r="A856" s="29">
        <v>44682</v>
      </c>
      <c r="B856" s="19">
        <v>0</v>
      </c>
      <c r="C856" s="19">
        <v>0</v>
      </c>
      <c r="D856" s="19">
        <v>614.6396400000001</v>
      </c>
      <c r="E856" s="19">
        <v>688.48214584282516</v>
      </c>
      <c r="F856" s="19">
        <v>573.54084</v>
      </c>
      <c r="G856" s="19">
        <v>530.35842343616662</v>
      </c>
      <c r="H856" s="20">
        <v>0.12013951108461707</v>
      </c>
      <c r="I856" s="20">
        <v>-7.5290918365697124E-2</v>
      </c>
      <c r="J856" s="20">
        <v>2.5804235800096498E-2</v>
      </c>
    </row>
    <row r="857" spans="1:10" ht="11.25" customHeight="1" x14ac:dyDescent="0.2">
      <c r="A857" s="29">
        <v>44713</v>
      </c>
      <c r="B857" s="19">
        <v>0</v>
      </c>
      <c r="C857" s="19">
        <v>0</v>
      </c>
      <c r="D857" s="19">
        <v>530.06814000000008</v>
      </c>
      <c r="E857" s="19">
        <v>593.75026718113236</v>
      </c>
      <c r="F857" s="19">
        <v>494.62433999999996</v>
      </c>
      <c r="G857" s="19">
        <v>457.38361919537306</v>
      </c>
      <c r="H857" s="20">
        <v>0.12013951108461685</v>
      </c>
      <c r="I857" s="20">
        <v>-7.5290918365697346E-2</v>
      </c>
      <c r="J857" s="20">
        <v>2.5804235800096054E-2</v>
      </c>
    </row>
    <row r="858" spans="1:10" ht="11.25" customHeight="1" x14ac:dyDescent="0.2">
      <c r="A858" s="29">
        <v>44743</v>
      </c>
      <c r="B858" s="19">
        <v>0</v>
      </c>
      <c r="C858" s="19">
        <v>0</v>
      </c>
      <c r="D858" s="19">
        <v>530.06814000000008</v>
      </c>
      <c r="E858" s="19">
        <v>593.75026718113236</v>
      </c>
      <c r="F858" s="19">
        <v>494.62433999999996</v>
      </c>
      <c r="G858" s="19">
        <v>457.38361919537306</v>
      </c>
      <c r="H858" s="20">
        <v>0.12013951108461685</v>
      </c>
      <c r="I858" s="20">
        <v>-7.5290918365697346E-2</v>
      </c>
      <c r="J858" s="20">
        <v>2.5804235800096054E-2</v>
      </c>
    </row>
    <row r="859" spans="1:10" ht="11.25" customHeight="1" x14ac:dyDescent="0.2">
      <c r="A859" s="28" t="s">
        <v>36</v>
      </c>
      <c r="B859" s="19">
        <v>0</v>
      </c>
      <c r="C859" s="19">
        <v>0</v>
      </c>
      <c r="D859" s="19">
        <v>1188.2504000000001</v>
      </c>
      <c r="E859" s="19">
        <v>1318.7758020416761</v>
      </c>
      <c r="F859" s="19">
        <v>477.38411999999994</v>
      </c>
      <c r="G859" s="19">
        <v>441.4414311919997</v>
      </c>
      <c r="H859" s="20">
        <v>0.10984671416199498</v>
      </c>
      <c r="I859" s="20">
        <v>-7.5290918365697346E-2</v>
      </c>
      <c r="J859" s="20">
        <v>5.6784794081762957E-2</v>
      </c>
    </row>
    <row r="860" spans="1:10" ht="11.25" customHeight="1" x14ac:dyDescent="0.2">
      <c r="A860" s="29">
        <v>44409</v>
      </c>
      <c r="B860" s="19">
        <v>0</v>
      </c>
      <c r="C860" s="19">
        <v>0</v>
      </c>
      <c r="D860" s="19">
        <v>109.39639999999999</v>
      </c>
      <c r="E860" s="19">
        <v>121.41323508115124</v>
      </c>
      <c r="F860" s="19">
        <v>43.950419999999994</v>
      </c>
      <c r="G860" s="19">
        <v>40.641352515641891</v>
      </c>
      <c r="H860" s="20">
        <v>0.10984671416199498</v>
      </c>
      <c r="I860" s="20">
        <v>-7.5290918365697124E-2</v>
      </c>
      <c r="J860" s="20">
        <v>5.6784794081762957E-2</v>
      </c>
    </row>
    <row r="861" spans="1:10" ht="11.25" customHeight="1" x14ac:dyDescent="0.2">
      <c r="A861" s="29">
        <v>44440</v>
      </c>
      <c r="B861" s="19">
        <v>0</v>
      </c>
      <c r="C861" s="19">
        <v>0</v>
      </c>
      <c r="D861" s="19">
        <v>105.77</v>
      </c>
      <c r="E861" s="19">
        <v>117.38848695691418</v>
      </c>
      <c r="F861" s="19">
        <v>42.493499999999997</v>
      </c>
      <c r="G861" s="19">
        <v>39.294125360427238</v>
      </c>
      <c r="H861" s="20">
        <v>0.10984671416199476</v>
      </c>
      <c r="I861" s="20">
        <v>-7.5290918365697346E-2</v>
      </c>
      <c r="J861" s="20">
        <v>5.6784794081762735E-2</v>
      </c>
    </row>
    <row r="862" spans="1:10" ht="11.25" customHeight="1" x14ac:dyDescent="0.2">
      <c r="A862" s="29">
        <v>44470</v>
      </c>
      <c r="B862" s="19">
        <v>0</v>
      </c>
      <c r="C862" s="19">
        <v>0</v>
      </c>
      <c r="D862" s="19">
        <v>150.4956</v>
      </c>
      <c r="E862" s="19">
        <v>167.02704715583789</v>
      </c>
      <c r="F862" s="19">
        <v>60.462179999999996</v>
      </c>
      <c r="G862" s="19">
        <v>55.909926941407903</v>
      </c>
      <c r="H862" s="20">
        <v>0.10984671416199476</v>
      </c>
      <c r="I862" s="20">
        <v>-7.5290918365697235E-2</v>
      </c>
      <c r="J862" s="20">
        <v>5.6784794081762735E-2</v>
      </c>
    </row>
    <row r="863" spans="1:10" ht="11.25" customHeight="1" x14ac:dyDescent="0.2">
      <c r="A863" s="29">
        <v>44501</v>
      </c>
      <c r="B863" s="19">
        <v>0</v>
      </c>
      <c r="C863" s="19">
        <v>0</v>
      </c>
      <c r="D863" s="19">
        <v>109.39639999999999</v>
      </c>
      <c r="E863" s="19">
        <v>121.41323508115124</v>
      </c>
      <c r="F863" s="19">
        <v>43.950419999999994</v>
      </c>
      <c r="G863" s="19">
        <v>40.641352515641891</v>
      </c>
      <c r="H863" s="20">
        <v>0.10984671416199498</v>
      </c>
      <c r="I863" s="20">
        <v>-7.5290918365697124E-2</v>
      </c>
      <c r="J863" s="20">
        <v>5.6784794081762957E-2</v>
      </c>
    </row>
    <row r="864" spans="1:10" ht="11.25" customHeight="1" x14ac:dyDescent="0.2">
      <c r="A864" s="29">
        <v>44531</v>
      </c>
      <c r="B864" s="19">
        <v>0</v>
      </c>
      <c r="C864" s="19">
        <v>0</v>
      </c>
      <c r="D864" s="19">
        <v>158.3528</v>
      </c>
      <c r="E864" s="19">
        <v>175.74733475835154</v>
      </c>
      <c r="F864" s="19">
        <v>63.618839999999999</v>
      </c>
      <c r="G864" s="19">
        <v>58.828919111039646</v>
      </c>
      <c r="H864" s="20">
        <v>0.10984671416199476</v>
      </c>
      <c r="I864" s="20">
        <v>-7.5290918365697235E-2</v>
      </c>
      <c r="J864" s="20">
        <v>5.6784794081762735E-2</v>
      </c>
    </row>
    <row r="865" spans="1:10" ht="11.25" customHeight="1" x14ac:dyDescent="0.2">
      <c r="A865" s="29">
        <v>44562</v>
      </c>
      <c r="B865" s="19">
        <v>0</v>
      </c>
      <c r="C865" s="19">
        <v>0</v>
      </c>
      <c r="D865" s="19">
        <v>107.58320000000001</v>
      </c>
      <c r="E865" s="19">
        <v>119.40086101903273</v>
      </c>
      <c r="F865" s="19">
        <v>43.221959999999996</v>
      </c>
      <c r="G865" s="19">
        <v>39.967738938034564</v>
      </c>
      <c r="H865" s="20">
        <v>0.10984671416199476</v>
      </c>
      <c r="I865" s="20">
        <v>-7.5290918365697235E-2</v>
      </c>
      <c r="J865" s="20">
        <v>5.6784794081762735E-2</v>
      </c>
    </row>
    <row r="866" spans="1:10" ht="11.25" customHeight="1" x14ac:dyDescent="0.2">
      <c r="A866" s="29">
        <v>44593</v>
      </c>
      <c r="B866" s="19">
        <v>0</v>
      </c>
      <c r="C866" s="19">
        <v>0</v>
      </c>
      <c r="D866" s="19">
        <v>80.989599999999996</v>
      </c>
      <c r="E866" s="19">
        <v>89.886041441294296</v>
      </c>
      <c r="F866" s="19">
        <v>32.537880000000001</v>
      </c>
      <c r="G866" s="19">
        <v>30.088073133127146</v>
      </c>
      <c r="H866" s="20">
        <v>0.10984671416199498</v>
      </c>
      <c r="I866" s="20">
        <v>-7.5290918365697346E-2</v>
      </c>
      <c r="J866" s="20">
        <v>5.6784794081762735E-2</v>
      </c>
    </row>
    <row r="867" spans="1:10" ht="11.25" customHeight="1" x14ac:dyDescent="0.2">
      <c r="A867" s="29">
        <v>44621</v>
      </c>
      <c r="B867" s="19">
        <v>0</v>
      </c>
      <c r="C867" s="19">
        <v>0</v>
      </c>
      <c r="D867" s="19">
        <v>80.989599999999996</v>
      </c>
      <c r="E867" s="19">
        <v>89.886041441294296</v>
      </c>
      <c r="F867" s="19">
        <v>32.537880000000001</v>
      </c>
      <c r="G867" s="19">
        <v>30.088073133127146</v>
      </c>
      <c r="H867" s="20">
        <v>0.10984671416199498</v>
      </c>
      <c r="I867" s="20">
        <v>-7.5290918365697346E-2</v>
      </c>
      <c r="J867" s="20">
        <v>5.6784794081762735E-2</v>
      </c>
    </row>
    <row r="868" spans="1:10" ht="11.25" customHeight="1" x14ac:dyDescent="0.2">
      <c r="A868" s="29">
        <v>44652</v>
      </c>
      <c r="B868" s="19">
        <v>0</v>
      </c>
      <c r="C868" s="19">
        <v>0</v>
      </c>
      <c r="D868" s="19">
        <v>77.363199999999992</v>
      </c>
      <c r="E868" s="19">
        <v>85.861293317057232</v>
      </c>
      <c r="F868" s="19">
        <v>31.080960000000001</v>
      </c>
      <c r="G868" s="19">
        <v>28.740845977912496</v>
      </c>
      <c r="H868" s="20">
        <v>0.10984671416199476</v>
      </c>
      <c r="I868" s="20">
        <v>-7.5290918365697346E-2</v>
      </c>
      <c r="J868" s="20">
        <v>5.6784794081762735E-2</v>
      </c>
    </row>
    <row r="869" spans="1:10" ht="11.25" customHeight="1" x14ac:dyDescent="0.2">
      <c r="A869" s="29">
        <v>44682</v>
      </c>
      <c r="B869" s="19">
        <v>0</v>
      </c>
      <c r="C869" s="19">
        <v>0</v>
      </c>
      <c r="D869" s="19">
        <v>77.363199999999992</v>
      </c>
      <c r="E869" s="19">
        <v>85.861293317057232</v>
      </c>
      <c r="F869" s="19">
        <v>31.080960000000001</v>
      </c>
      <c r="G869" s="19">
        <v>28.740845977912496</v>
      </c>
      <c r="H869" s="20">
        <v>0.10984671416199476</v>
      </c>
      <c r="I869" s="20">
        <v>-7.5290918365697346E-2</v>
      </c>
      <c r="J869" s="20">
        <v>5.6784794081762735E-2</v>
      </c>
    </row>
    <row r="870" spans="1:10" ht="11.25" customHeight="1" x14ac:dyDescent="0.2">
      <c r="A870" s="29">
        <v>44713</v>
      </c>
      <c r="B870" s="19">
        <v>0</v>
      </c>
      <c r="C870" s="19">
        <v>0</v>
      </c>
      <c r="D870" s="19">
        <v>65.275199999999998</v>
      </c>
      <c r="E870" s="19">
        <v>72.445466236267038</v>
      </c>
      <c r="F870" s="19">
        <v>26.22456</v>
      </c>
      <c r="G870" s="19">
        <v>24.250088793863668</v>
      </c>
      <c r="H870" s="20">
        <v>0.10984671416199476</v>
      </c>
      <c r="I870" s="20">
        <v>-7.5290918365697346E-2</v>
      </c>
      <c r="J870" s="20">
        <v>5.6784794081762735E-2</v>
      </c>
    </row>
    <row r="871" spans="1:10" ht="11.25" customHeight="1" x14ac:dyDescent="0.2">
      <c r="A871" s="29">
        <v>44743</v>
      </c>
      <c r="B871" s="19">
        <v>0</v>
      </c>
      <c r="C871" s="19">
        <v>0</v>
      </c>
      <c r="D871" s="19">
        <v>65.275199999999998</v>
      </c>
      <c r="E871" s="19">
        <v>72.445466236267038</v>
      </c>
      <c r="F871" s="19">
        <v>26.22456</v>
      </c>
      <c r="G871" s="19">
        <v>24.250088793863668</v>
      </c>
      <c r="H871" s="20">
        <v>0.10984671416199476</v>
      </c>
      <c r="I871" s="20">
        <v>-7.5290918365697346E-2</v>
      </c>
      <c r="J871" s="20">
        <v>5.6784794081762735E-2</v>
      </c>
    </row>
    <row r="872" spans="1:10" ht="11.25" customHeight="1" x14ac:dyDescent="0.2">
      <c r="A872" s="28" t="s">
        <v>34</v>
      </c>
      <c r="B872" s="19">
        <v>0</v>
      </c>
      <c r="C872" s="19">
        <v>0</v>
      </c>
      <c r="D872" s="19">
        <v>1596.4601399999999</v>
      </c>
      <c r="E872" s="19">
        <v>1767.3177759584516</v>
      </c>
      <c r="F872" s="19">
        <v>669.19446000000016</v>
      </c>
      <c r="G872" s="19">
        <v>591.86330211165182</v>
      </c>
      <c r="H872" s="20">
        <v>0.10702280105687567</v>
      </c>
      <c r="I872" s="20">
        <v>-0.11555857454102125</v>
      </c>
      <c r="J872" s="20">
        <v>4.1280113072002855E-2</v>
      </c>
    </row>
    <row r="873" spans="1:10" ht="11.25" customHeight="1" x14ac:dyDescent="0.2">
      <c r="A873" s="29">
        <v>44409</v>
      </c>
      <c r="B873" s="19">
        <v>0</v>
      </c>
      <c r="C873" s="19">
        <v>0</v>
      </c>
      <c r="D873" s="19">
        <v>178.33304000000001</v>
      </c>
      <c r="E873" s="19">
        <v>197.41874146178782</v>
      </c>
      <c r="F873" s="19">
        <v>74.752560000000003</v>
      </c>
      <c r="G873" s="19">
        <v>66.114260723107861</v>
      </c>
      <c r="H873" s="20">
        <v>0.10702280105687545</v>
      </c>
      <c r="I873" s="20">
        <v>-0.11555857454102092</v>
      </c>
      <c r="J873" s="20">
        <v>4.1280113072002855E-2</v>
      </c>
    </row>
    <row r="874" spans="1:10" ht="11.25" customHeight="1" x14ac:dyDescent="0.2">
      <c r="A874" s="29">
        <v>44440</v>
      </c>
      <c r="B874" s="19">
        <v>0</v>
      </c>
      <c r="C874" s="19">
        <v>0</v>
      </c>
      <c r="D874" s="19">
        <v>166.95007999999999</v>
      </c>
      <c r="E874" s="19">
        <v>184.81754519826944</v>
      </c>
      <c r="F874" s="19">
        <v>69.98111999999999</v>
      </c>
      <c r="G874" s="19">
        <v>61.89420152801587</v>
      </c>
      <c r="H874" s="20">
        <v>0.10702280105687545</v>
      </c>
      <c r="I874" s="20">
        <v>-0.11555857454102081</v>
      </c>
      <c r="J874" s="20">
        <v>4.1280113072002855E-2</v>
      </c>
    </row>
    <row r="875" spans="1:10" ht="11.25" customHeight="1" x14ac:dyDescent="0.2">
      <c r="A875" s="29">
        <v>44470</v>
      </c>
      <c r="B875" s="19">
        <v>0</v>
      </c>
      <c r="C875" s="19">
        <v>0</v>
      </c>
      <c r="D875" s="19">
        <v>166.00149999999999</v>
      </c>
      <c r="E875" s="19">
        <v>183.7674455096429</v>
      </c>
      <c r="F875" s="19">
        <v>69.583500000000001</v>
      </c>
      <c r="G875" s="19">
        <v>61.542529928424869</v>
      </c>
      <c r="H875" s="20">
        <v>0.10702280105687545</v>
      </c>
      <c r="I875" s="20">
        <v>-0.11555857454102092</v>
      </c>
      <c r="J875" s="20">
        <v>4.1280113072002855E-2</v>
      </c>
    </row>
    <row r="876" spans="1:10" ht="11.25" customHeight="1" x14ac:dyDescent="0.2">
      <c r="A876" s="29">
        <v>44501</v>
      </c>
      <c r="B876" s="19">
        <v>0</v>
      </c>
      <c r="C876" s="19">
        <v>0</v>
      </c>
      <c r="D876" s="19">
        <v>139.44126</v>
      </c>
      <c r="E876" s="19">
        <v>154.36465422810002</v>
      </c>
      <c r="F876" s="19">
        <v>58.450139999999998</v>
      </c>
      <c r="G876" s="19">
        <v>51.695725139876892</v>
      </c>
      <c r="H876" s="20">
        <v>0.10702280105687523</v>
      </c>
      <c r="I876" s="20">
        <v>-0.11555857454102092</v>
      </c>
      <c r="J876" s="20">
        <v>4.1280113072002633E-2</v>
      </c>
    </row>
    <row r="877" spans="1:10" ht="11.25" customHeight="1" x14ac:dyDescent="0.2">
      <c r="A877" s="29">
        <v>44531</v>
      </c>
      <c r="B877" s="19">
        <v>0</v>
      </c>
      <c r="C877" s="19">
        <v>0</v>
      </c>
      <c r="D877" s="19">
        <v>169.79581999999999</v>
      </c>
      <c r="E877" s="19">
        <v>187.96784426414902</v>
      </c>
      <c r="F877" s="19">
        <v>71.17398</v>
      </c>
      <c r="G877" s="19">
        <v>62.949216326788871</v>
      </c>
      <c r="H877" s="20">
        <v>0.10702280105687545</v>
      </c>
      <c r="I877" s="20">
        <v>-0.11555857454102092</v>
      </c>
      <c r="J877" s="20">
        <v>4.1280113072002855E-2</v>
      </c>
    </row>
    <row r="878" spans="1:10" ht="11.25" customHeight="1" x14ac:dyDescent="0.2">
      <c r="A878" s="29">
        <v>44562</v>
      </c>
      <c r="B878" s="19">
        <v>0</v>
      </c>
      <c r="C878" s="19">
        <v>0</v>
      </c>
      <c r="D878" s="19">
        <v>144.18415999999999</v>
      </c>
      <c r="E878" s="19">
        <v>159.61515267123269</v>
      </c>
      <c r="F878" s="19">
        <v>60.438240000000008</v>
      </c>
      <c r="G878" s="19">
        <v>53.454083137831887</v>
      </c>
      <c r="H878" s="20">
        <v>0.10702280105687545</v>
      </c>
      <c r="I878" s="20">
        <v>-0.11555857454102103</v>
      </c>
      <c r="J878" s="20">
        <v>4.1280113072002855E-2</v>
      </c>
    </row>
    <row r="879" spans="1:10" ht="11.25" customHeight="1" x14ac:dyDescent="0.2">
      <c r="A879" s="29">
        <v>44593</v>
      </c>
      <c r="B879" s="19">
        <v>0</v>
      </c>
      <c r="C879" s="19">
        <v>0</v>
      </c>
      <c r="D879" s="19">
        <v>99.600899999999996</v>
      </c>
      <c r="E879" s="19">
        <v>110.26046730578574</v>
      </c>
      <c r="F879" s="19">
        <v>41.750099999999996</v>
      </c>
      <c r="G879" s="19">
        <v>36.925517957054922</v>
      </c>
      <c r="H879" s="20">
        <v>0.10702280105687545</v>
      </c>
      <c r="I879" s="20">
        <v>-0.11555857454102081</v>
      </c>
      <c r="J879" s="20">
        <v>4.1280113072002855E-2</v>
      </c>
    </row>
    <row r="880" spans="1:10" ht="11.25" customHeight="1" x14ac:dyDescent="0.2">
      <c r="A880" s="29">
        <v>44621</v>
      </c>
      <c r="B880" s="19">
        <v>0</v>
      </c>
      <c r="C880" s="19">
        <v>0</v>
      </c>
      <c r="D880" s="19">
        <v>123.31540000000001</v>
      </c>
      <c r="E880" s="19">
        <v>136.51295952144903</v>
      </c>
      <c r="F880" s="19">
        <v>51.690600000000003</v>
      </c>
      <c r="G880" s="19">
        <v>45.717307946829905</v>
      </c>
      <c r="H880" s="20">
        <v>0.10702280105687545</v>
      </c>
      <c r="I880" s="20">
        <v>-0.11555857454102092</v>
      </c>
      <c r="J880" s="20">
        <v>4.1280113072002855E-2</v>
      </c>
    </row>
    <row r="881" spans="1:10" ht="11.25" customHeight="1" x14ac:dyDescent="0.2">
      <c r="A881" s="29">
        <v>44652</v>
      </c>
      <c r="B881" s="19">
        <v>0</v>
      </c>
      <c r="C881" s="19">
        <v>0</v>
      </c>
      <c r="D881" s="19">
        <v>112.88102000000001</v>
      </c>
      <c r="E881" s="19">
        <v>124.96186294655718</v>
      </c>
      <c r="F881" s="19">
        <v>47.316780000000001</v>
      </c>
      <c r="G881" s="19">
        <v>41.848920351328914</v>
      </c>
      <c r="H881" s="20">
        <v>0.10702280105687545</v>
      </c>
      <c r="I881" s="20">
        <v>-0.11555857454102092</v>
      </c>
      <c r="J881" s="20">
        <v>4.1280113072002633E-2</v>
      </c>
    </row>
    <row r="882" spans="1:10" ht="11.25" customHeight="1" x14ac:dyDescent="0.2">
      <c r="A882" s="29">
        <v>44682</v>
      </c>
      <c r="B882" s="19">
        <v>0</v>
      </c>
      <c r="C882" s="19">
        <v>0</v>
      </c>
      <c r="D882" s="19">
        <v>111.93244</v>
      </c>
      <c r="E882" s="19">
        <v>123.91176325793064</v>
      </c>
      <c r="F882" s="19">
        <v>46.919159999999998</v>
      </c>
      <c r="G882" s="19">
        <v>41.497248751737914</v>
      </c>
      <c r="H882" s="20">
        <v>0.10702280105687545</v>
      </c>
      <c r="I882" s="20">
        <v>-0.11555857454102092</v>
      </c>
      <c r="J882" s="20">
        <v>4.1280113072002855E-2</v>
      </c>
    </row>
    <row r="883" spans="1:10" ht="11.25" customHeight="1" x14ac:dyDescent="0.2">
      <c r="A883" s="29">
        <v>44713</v>
      </c>
      <c r="B883" s="19">
        <v>0</v>
      </c>
      <c r="C883" s="19">
        <v>0</v>
      </c>
      <c r="D883" s="19">
        <v>92.012260000000012</v>
      </c>
      <c r="E883" s="19">
        <v>101.8596697967735</v>
      </c>
      <c r="F883" s="19">
        <v>38.569140000000004</v>
      </c>
      <c r="G883" s="19">
        <v>34.112145160326932</v>
      </c>
      <c r="H883" s="20">
        <v>0.10702280105687545</v>
      </c>
      <c r="I883" s="20">
        <v>-0.11555857454102092</v>
      </c>
      <c r="J883" s="20">
        <v>4.1280113072002633E-2</v>
      </c>
    </row>
    <row r="884" spans="1:10" ht="11.25" customHeight="1" x14ac:dyDescent="0.2">
      <c r="A884" s="29">
        <v>44743</v>
      </c>
      <c r="B884" s="19">
        <v>0</v>
      </c>
      <c r="C884" s="19">
        <v>0</v>
      </c>
      <c r="D884" s="19">
        <v>92.012260000000012</v>
      </c>
      <c r="E884" s="19">
        <v>101.8596697967735</v>
      </c>
      <c r="F884" s="19">
        <v>38.569140000000004</v>
      </c>
      <c r="G884" s="19">
        <v>34.112145160326932</v>
      </c>
      <c r="H884" s="20">
        <v>0.10702280105687545</v>
      </c>
      <c r="I884" s="20">
        <v>-0.11555857454102092</v>
      </c>
      <c r="J884" s="20">
        <v>4.1280113072002633E-2</v>
      </c>
    </row>
    <row r="885" spans="1:10" ht="11.25" customHeight="1" x14ac:dyDescent="0.2">
      <c r="A885" s="23" t="s">
        <v>23</v>
      </c>
      <c r="B885" s="19">
        <v>0</v>
      </c>
      <c r="C885" s="19">
        <v>0</v>
      </c>
      <c r="D885" s="19">
        <v>221436986.60388795</v>
      </c>
      <c r="E885" s="19">
        <v>247092989.96139348</v>
      </c>
      <c r="F885" s="19">
        <v>165960920.9095729</v>
      </c>
      <c r="G885" s="19">
        <v>152599637.40978989</v>
      </c>
      <c r="H885" s="20">
        <v>0.11586141841516318</v>
      </c>
      <c r="I885" s="20">
        <v>-8.0508612669503488E-2</v>
      </c>
      <c r="J885" s="20">
        <v>3.1736670795765365E-2</v>
      </c>
    </row>
    <row r="886" spans="1:10" ht="11.25" customHeight="1" x14ac:dyDescent="0.2">
      <c r="A886" s="24" t="s">
        <v>43</v>
      </c>
      <c r="B886" s="19">
        <v>0</v>
      </c>
      <c r="C886" s="19">
        <v>0</v>
      </c>
      <c r="D886" s="19">
        <v>157696136.0456</v>
      </c>
      <c r="E886" s="19">
        <v>175967034.04643348</v>
      </c>
      <c r="F886" s="19">
        <v>118188909.46536002</v>
      </c>
      <c r="G886" s="19">
        <v>108673684.3313823</v>
      </c>
      <c r="H886" s="20">
        <v>0.11586141841516184</v>
      </c>
      <c r="I886" s="20">
        <v>-8.0508612669503488E-2</v>
      </c>
      <c r="J886" s="20">
        <v>3.1736670795764477E-2</v>
      </c>
    </row>
    <row r="887" spans="1:10" ht="11.25" customHeight="1" x14ac:dyDescent="0.2">
      <c r="A887" s="25" t="s">
        <v>25</v>
      </c>
      <c r="B887" s="19">
        <v>0</v>
      </c>
      <c r="C887" s="19">
        <v>0</v>
      </c>
      <c r="D887" s="19">
        <v>157696136.0456</v>
      </c>
      <c r="E887" s="19">
        <v>175967034.04643348</v>
      </c>
      <c r="F887" s="19">
        <v>118188909.46536002</v>
      </c>
      <c r="G887" s="19">
        <v>108673684.3313823</v>
      </c>
      <c r="H887" s="20">
        <v>0.11586141841516184</v>
      </c>
      <c r="I887" s="20">
        <v>-8.0508612669503488E-2</v>
      </c>
      <c r="J887" s="20">
        <v>3.1736670795764477E-2</v>
      </c>
    </row>
    <row r="888" spans="1:10" ht="11.25" customHeight="1" x14ac:dyDescent="0.2">
      <c r="A888" s="26" t="s">
        <v>25</v>
      </c>
      <c r="B888" s="19">
        <v>0</v>
      </c>
      <c r="C888" s="19">
        <v>0</v>
      </c>
      <c r="D888" s="19">
        <v>157696136.0456</v>
      </c>
      <c r="E888" s="19">
        <v>175967034.04643348</v>
      </c>
      <c r="F888" s="19">
        <v>118188909.46536002</v>
      </c>
      <c r="G888" s="19">
        <v>108673684.3313823</v>
      </c>
      <c r="H888" s="20">
        <v>0.11586141841516184</v>
      </c>
      <c r="I888" s="20">
        <v>-8.0508612669503488E-2</v>
      </c>
      <c r="J888" s="20">
        <v>3.1736670795764477E-2</v>
      </c>
    </row>
    <row r="889" spans="1:10" ht="11.25" customHeight="1" x14ac:dyDescent="0.2">
      <c r="A889" s="27" t="s">
        <v>25</v>
      </c>
      <c r="B889" s="19">
        <v>0</v>
      </c>
      <c r="C889" s="19">
        <v>0</v>
      </c>
      <c r="D889" s="19">
        <v>157696136.0456</v>
      </c>
      <c r="E889" s="19">
        <v>175967034.04643348</v>
      </c>
      <c r="F889" s="19">
        <v>118188909.46536002</v>
      </c>
      <c r="G889" s="19">
        <v>108673684.3313823</v>
      </c>
      <c r="H889" s="20">
        <v>0.11586141841516184</v>
      </c>
      <c r="I889" s="20">
        <v>-8.0508612669503488E-2</v>
      </c>
      <c r="J889" s="20">
        <v>3.1736670795764477E-2</v>
      </c>
    </row>
    <row r="890" spans="1:10" ht="11.25" customHeight="1" x14ac:dyDescent="0.2">
      <c r="A890" s="28" t="s">
        <v>25</v>
      </c>
      <c r="B890" s="19">
        <v>0</v>
      </c>
      <c r="C890" s="19">
        <v>0</v>
      </c>
      <c r="D890" s="19">
        <v>157696136.0456</v>
      </c>
      <c r="E890" s="19">
        <v>175967034.04643348</v>
      </c>
      <c r="F890" s="19">
        <v>118188909.46536002</v>
      </c>
      <c r="G890" s="19">
        <v>108673684.3313823</v>
      </c>
      <c r="H890" s="20">
        <v>0.11586141841516184</v>
      </c>
      <c r="I890" s="20">
        <v>-8.0508612669503488E-2</v>
      </c>
      <c r="J890" s="20">
        <v>3.1736670795764477E-2</v>
      </c>
    </row>
    <row r="891" spans="1:10" ht="11.25" customHeight="1" x14ac:dyDescent="0.2">
      <c r="A891" s="29">
        <v>44409</v>
      </c>
      <c r="B891" s="19">
        <v>0</v>
      </c>
      <c r="C891" s="19">
        <v>0</v>
      </c>
      <c r="D891" s="19">
        <v>12448712.025600001</v>
      </c>
      <c r="E891" s="19">
        <v>13891037.458327893</v>
      </c>
      <c r="F891" s="19">
        <v>9329966.7033600006</v>
      </c>
      <c r="G891" s="19">
        <v>8578824.0278198235</v>
      </c>
      <c r="H891" s="20">
        <v>0.1158614184151614</v>
      </c>
      <c r="I891" s="20">
        <v>-8.050861266950371E-2</v>
      </c>
      <c r="J891" s="20">
        <v>3.1736670795764255E-2</v>
      </c>
    </row>
    <row r="892" spans="1:10" ht="11.25" customHeight="1" x14ac:dyDescent="0.2">
      <c r="A892" s="29">
        <v>44440</v>
      </c>
      <c r="B892" s="19">
        <v>0</v>
      </c>
      <c r="C892" s="19">
        <v>0</v>
      </c>
      <c r="D892" s="19">
        <v>12514327.174000001</v>
      </c>
      <c r="E892" s="19">
        <v>13964254.870891038</v>
      </c>
      <c r="F892" s="19">
        <v>9379143.4494000003</v>
      </c>
      <c r="G892" s="19">
        <v>8624041.6222605426</v>
      </c>
      <c r="H892" s="20">
        <v>0.1158614184151614</v>
      </c>
      <c r="I892" s="20">
        <v>-8.050861266950371E-2</v>
      </c>
      <c r="J892" s="20">
        <v>3.1736670795764255E-2</v>
      </c>
    </row>
    <row r="893" spans="1:10" ht="11.25" customHeight="1" x14ac:dyDescent="0.2">
      <c r="A893" s="29">
        <v>44470</v>
      </c>
      <c r="B893" s="19">
        <v>0</v>
      </c>
      <c r="C893" s="19">
        <v>0</v>
      </c>
      <c r="D893" s="19">
        <v>13197509.886799999</v>
      </c>
      <c r="E893" s="19">
        <v>14726592.101832766</v>
      </c>
      <c r="F893" s="19">
        <v>9891170.0710800011</v>
      </c>
      <c r="G893" s="19">
        <v>9094845.6909792311</v>
      </c>
      <c r="H893" s="20">
        <v>0.11586141841516162</v>
      </c>
      <c r="I893" s="20">
        <v>-8.0508612669503932E-2</v>
      </c>
      <c r="J893" s="20">
        <v>3.1736670795764255E-2</v>
      </c>
    </row>
    <row r="894" spans="1:10" ht="11.25" customHeight="1" x14ac:dyDescent="0.2">
      <c r="A894" s="29">
        <v>44501</v>
      </c>
      <c r="B894" s="19">
        <v>0</v>
      </c>
      <c r="C894" s="19">
        <v>0</v>
      </c>
      <c r="D894" s="19">
        <v>13267744.541999999</v>
      </c>
      <c r="E894" s="19">
        <v>14804964.243806137</v>
      </c>
      <c r="F894" s="19">
        <v>9943809.0101999994</v>
      </c>
      <c r="G894" s="19">
        <v>9143246.7421382889</v>
      </c>
      <c r="H894" s="20">
        <v>0.1158614184151614</v>
      </c>
      <c r="I894" s="20">
        <v>-8.0508612669503488E-2</v>
      </c>
      <c r="J894" s="20">
        <v>3.1736670795764477E-2</v>
      </c>
    </row>
    <row r="895" spans="1:10" ht="11.25" customHeight="1" x14ac:dyDescent="0.2">
      <c r="A895" s="29">
        <v>44531</v>
      </c>
      <c r="B895" s="19">
        <v>0</v>
      </c>
      <c r="C895" s="19">
        <v>0</v>
      </c>
      <c r="D895" s="19">
        <v>14781971.7172</v>
      </c>
      <c r="E895" s="19">
        <v>16494631.927327594</v>
      </c>
      <c r="F895" s="19">
        <v>11078680.561320001</v>
      </c>
      <c r="G895" s="19">
        <v>10186751.359119529</v>
      </c>
      <c r="H895" s="20">
        <v>0.11586141841516162</v>
      </c>
      <c r="I895" s="20">
        <v>-8.050861266950371E-2</v>
      </c>
      <c r="J895" s="20">
        <v>3.1736670795764255E-2</v>
      </c>
    </row>
    <row r="896" spans="1:10" ht="11.25" customHeight="1" x14ac:dyDescent="0.2">
      <c r="A896" s="29">
        <v>44562</v>
      </c>
      <c r="B896" s="19">
        <v>0</v>
      </c>
      <c r="C896" s="19">
        <v>0</v>
      </c>
      <c r="D896" s="19">
        <v>13496100.489599999</v>
      </c>
      <c r="E896" s="19">
        <v>15059777.835398611</v>
      </c>
      <c r="F896" s="19">
        <v>10114955.501759999</v>
      </c>
      <c r="G896" s="19">
        <v>9300614.4670995399</v>
      </c>
      <c r="H896" s="20">
        <v>0.11586141841516162</v>
      </c>
      <c r="I896" s="20">
        <v>-8.0508612669503488E-2</v>
      </c>
      <c r="J896" s="20">
        <v>3.1736670795764477E-2</v>
      </c>
    </row>
    <row r="897" spans="1:10" ht="11.25" customHeight="1" x14ac:dyDescent="0.2">
      <c r="A897" s="29">
        <v>44593</v>
      </c>
      <c r="B897" s="19">
        <v>0</v>
      </c>
      <c r="C897" s="19">
        <v>0</v>
      </c>
      <c r="D897" s="19">
        <v>12434541.648399999</v>
      </c>
      <c r="E897" s="19">
        <v>13875225.281126022</v>
      </c>
      <c r="F897" s="19">
        <v>9319346.3960399982</v>
      </c>
      <c r="G897" s="19">
        <v>8569058.7467082813</v>
      </c>
      <c r="H897" s="20">
        <v>0.1158614184151614</v>
      </c>
      <c r="I897" s="20">
        <v>-8.0508612669503377E-2</v>
      </c>
      <c r="J897" s="20">
        <v>3.1736670795764255E-2</v>
      </c>
    </row>
    <row r="898" spans="1:10" ht="11.25" customHeight="1" x14ac:dyDescent="0.2">
      <c r="A898" s="29">
        <v>44621</v>
      </c>
      <c r="B898" s="19">
        <v>0</v>
      </c>
      <c r="C898" s="19">
        <v>0</v>
      </c>
      <c r="D898" s="19">
        <v>14062612.591999998</v>
      </c>
      <c r="E898" s="19">
        <v>15691926.833532028</v>
      </c>
      <c r="F898" s="19">
        <v>10539540.7152</v>
      </c>
      <c r="G898" s="19">
        <v>9691016.9140454996</v>
      </c>
      <c r="H898" s="20">
        <v>0.1158614184151614</v>
      </c>
      <c r="I898" s="20">
        <v>-8.0508612669503599E-2</v>
      </c>
      <c r="J898" s="20">
        <v>3.1736670795764033E-2</v>
      </c>
    </row>
    <row r="899" spans="1:10" ht="11.25" customHeight="1" x14ac:dyDescent="0.2">
      <c r="A899" s="29">
        <v>44652</v>
      </c>
      <c r="B899" s="19">
        <v>0</v>
      </c>
      <c r="C899" s="19">
        <v>0</v>
      </c>
      <c r="D899" s="19">
        <v>13381742.191599999</v>
      </c>
      <c r="E899" s="19">
        <v>14932169.822784787</v>
      </c>
      <c r="F899" s="19">
        <v>10029247.107960001</v>
      </c>
      <c r="G899" s="19">
        <v>9221806.3371785097</v>
      </c>
      <c r="H899" s="20">
        <v>0.11586141841516162</v>
      </c>
      <c r="I899" s="20">
        <v>-8.0508612669503599E-2</v>
      </c>
      <c r="J899" s="20">
        <v>3.1736670795764255E-2</v>
      </c>
    </row>
    <row r="900" spans="1:10" ht="11.25" customHeight="1" x14ac:dyDescent="0.2">
      <c r="A900" s="29">
        <v>44682</v>
      </c>
      <c r="B900" s="19">
        <v>0</v>
      </c>
      <c r="C900" s="19">
        <v>0</v>
      </c>
      <c r="D900" s="19">
        <v>13399794.7424</v>
      </c>
      <c r="E900" s="19">
        <v>14952313.967726488</v>
      </c>
      <c r="F900" s="19">
        <v>10042776.997440001</v>
      </c>
      <c r="G900" s="19">
        <v>9234246.9540269021</v>
      </c>
      <c r="H900" s="20">
        <v>0.11586141841516162</v>
      </c>
      <c r="I900" s="20">
        <v>-8.050861266950371E-2</v>
      </c>
      <c r="J900" s="20">
        <v>3.1736670795764255E-2</v>
      </c>
    </row>
    <row r="901" spans="1:10" ht="11.25" customHeight="1" x14ac:dyDescent="0.2">
      <c r="A901" s="29">
        <v>44713</v>
      </c>
      <c r="B901" s="19">
        <v>0</v>
      </c>
      <c r="C901" s="19">
        <v>0</v>
      </c>
      <c r="D901" s="19">
        <v>12355539.517999999</v>
      </c>
      <c r="E901" s="19">
        <v>13787069.85184006</v>
      </c>
      <c r="F901" s="19">
        <v>9260136.4758000001</v>
      </c>
      <c r="G901" s="19">
        <v>8514615.7350030746</v>
      </c>
      <c r="H901" s="20">
        <v>0.11586141841516162</v>
      </c>
      <c r="I901" s="20">
        <v>-8.050861266950371E-2</v>
      </c>
      <c r="J901" s="20">
        <v>3.1736670795764255E-2</v>
      </c>
    </row>
    <row r="902" spans="1:10" ht="11.25" customHeight="1" x14ac:dyDescent="0.2">
      <c r="A902" s="29">
        <v>44743</v>
      </c>
      <c r="B902" s="19">
        <v>0</v>
      </c>
      <c r="C902" s="19">
        <v>0</v>
      </c>
      <c r="D902" s="19">
        <v>12355539.517999999</v>
      </c>
      <c r="E902" s="19">
        <v>13787069.85184006</v>
      </c>
      <c r="F902" s="19">
        <v>9260136.4758000001</v>
      </c>
      <c r="G902" s="19">
        <v>8514615.7350030746</v>
      </c>
      <c r="H902" s="20">
        <v>0.11586141841516162</v>
      </c>
      <c r="I902" s="20">
        <v>-8.050861266950371E-2</v>
      </c>
      <c r="J902" s="20">
        <v>3.1736670795764255E-2</v>
      </c>
    </row>
    <row r="903" spans="1:10" ht="11.25" customHeight="1" x14ac:dyDescent="0.2">
      <c r="A903" s="24" t="s">
        <v>52</v>
      </c>
      <c r="B903" s="19">
        <v>0</v>
      </c>
      <c r="C903" s="19">
        <v>0</v>
      </c>
      <c r="D903" s="19">
        <v>841842.07759999996</v>
      </c>
      <c r="E903" s="19">
        <v>939379.09479230247</v>
      </c>
      <c r="F903" s="19">
        <v>630937.44455999997</v>
      </c>
      <c r="G903" s="19">
        <v>580141.54621723259</v>
      </c>
      <c r="H903" s="20">
        <v>0.11586141841516162</v>
      </c>
      <c r="I903" s="20">
        <v>-8.0508612669503821E-2</v>
      </c>
      <c r="J903" s="20">
        <v>3.1736670795764255E-2</v>
      </c>
    </row>
    <row r="904" spans="1:10" ht="11.25" customHeight="1" x14ac:dyDescent="0.2">
      <c r="A904" s="25" t="s">
        <v>25</v>
      </c>
      <c r="B904" s="19">
        <v>0</v>
      </c>
      <c r="C904" s="19">
        <v>0</v>
      </c>
      <c r="D904" s="19">
        <v>841842.07759999996</v>
      </c>
      <c r="E904" s="19">
        <v>939379.09479230247</v>
      </c>
      <c r="F904" s="19">
        <v>630937.44455999997</v>
      </c>
      <c r="G904" s="19">
        <v>580141.54621723259</v>
      </c>
      <c r="H904" s="20">
        <v>0.11586141841516162</v>
      </c>
      <c r="I904" s="20">
        <v>-8.0508612669503821E-2</v>
      </c>
      <c r="J904" s="20">
        <v>3.1736670795764255E-2</v>
      </c>
    </row>
    <row r="905" spans="1:10" ht="11.25" customHeight="1" x14ac:dyDescent="0.2">
      <c r="A905" s="26" t="s">
        <v>25</v>
      </c>
      <c r="B905" s="19">
        <v>0</v>
      </c>
      <c r="C905" s="19">
        <v>0</v>
      </c>
      <c r="D905" s="19">
        <v>841842.07759999996</v>
      </c>
      <c r="E905" s="19">
        <v>939379.09479230247</v>
      </c>
      <c r="F905" s="19">
        <v>630937.44455999997</v>
      </c>
      <c r="G905" s="19">
        <v>580141.54621723259</v>
      </c>
      <c r="H905" s="20">
        <v>0.11586141841516162</v>
      </c>
      <c r="I905" s="20">
        <v>-8.0508612669503821E-2</v>
      </c>
      <c r="J905" s="20">
        <v>3.1736670795764255E-2</v>
      </c>
    </row>
    <row r="906" spans="1:10" ht="11.25" customHeight="1" x14ac:dyDescent="0.2">
      <c r="A906" s="27" t="s">
        <v>25</v>
      </c>
      <c r="B906" s="19">
        <v>0</v>
      </c>
      <c r="C906" s="19">
        <v>0</v>
      </c>
      <c r="D906" s="19">
        <v>841842.07759999996</v>
      </c>
      <c r="E906" s="19">
        <v>939379.09479230247</v>
      </c>
      <c r="F906" s="19">
        <v>630937.44455999997</v>
      </c>
      <c r="G906" s="19">
        <v>580141.54621723259</v>
      </c>
      <c r="H906" s="20">
        <v>0.11586141841516162</v>
      </c>
      <c r="I906" s="20">
        <v>-8.0508612669503821E-2</v>
      </c>
      <c r="J906" s="20">
        <v>3.1736670795764255E-2</v>
      </c>
    </row>
    <row r="907" spans="1:10" ht="11.25" customHeight="1" x14ac:dyDescent="0.2">
      <c r="A907" s="28" t="s">
        <v>25</v>
      </c>
      <c r="B907" s="19">
        <v>0</v>
      </c>
      <c r="C907" s="19">
        <v>0</v>
      </c>
      <c r="D907" s="19">
        <v>841842.07759999996</v>
      </c>
      <c r="E907" s="19">
        <v>939379.09479230247</v>
      </c>
      <c r="F907" s="19">
        <v>630937.44455999997</v>
      </c>
      <c r="G907" s="19">
        <v>580141.54621723259</v>
      </c>
      <c r="H907" s="20">
        <v>0.11586141841516162</v>
      </c>
      <c r="I907" s="20">
        <v>-8.0508612669503821E-2</v>
      </c>
      <c r="J907" s="20">
        <v>3.1736670795764255E-2</v>
      </c>
    </row>
    <row r="908" spans="1:10" ht="11.25" customHeight="1" x14ac:dyDescent="0.2">
      <c r="A908" s="29">
        <v>44409</v>
      </c>
      <c r="B908" s="19">
        <v>0</v>
      </c>
      <c r="C908" s="19">
        <v>0</v>
      </c>
      <c r="D908" s="19">
        <v>67809.746799999994</v>
      </c>
      <c r="E908" s="19">
        <v>75666.280246620954</v>
      </c>
      <c r="F908" s="19">
        <v>50821.537080000002</v>
      </c>
      <c r="G908" s="19">
        <v>46729.965635957466</v>
      </c>
      <c r="H908" s="20">
        <v>0.11586141841516162</v>
      </c>
      <c r="I908" s="20">
        <v>-8.0508612669503599E-2</v>
      </c>
      <c r="J908" s="20">
        <v>3.1736670795764255E-2</v>
      </c>
    </row>
    <row r="909" spans="1:10" ht="11.25" customHeight="1" x14ac:dyDescent="0.2">
      <c r="A909" s="29">
        <v>44440</v>
      </c>
      <c r="B909" s="19">
        <v>0</v>
      </c>
      <c r="C909" s="19">
        <v>0</v>
      </c>
      <c r="D909" s="19">
        <v>64170.8488</v>
      </c>
      <c r="E909" s="19">
        <v>71605.774362872864</v>
      </c>
      <c r="F909" s="19">
        <v>48094.283279999996</v>
      </c>
      <c r="G909" s="19">
        <v>44222.279255793095</v>
      </c>
      <c r="H909" s="20">
        <v>0.1158614184151614</v>
      </c>
      <c r="I909" s="20">
        <v>-8.0508612669503599E-2</v>
      </c>
      <c r="J909" s="20">
        <v>3.1736670795764255E-2</v>
      </c>
    </row>
    <row r="910" spans="1:10" ht="11.25" customHeight="1" x14ac:dyDescent="0.2">
      <c r="A910" s="29">
        <v>44470</v>
      </c>
      <c r="B910" s="19">
        <v>0</v>
      </c>
      <c r="C910" s="19">
        <v>0</v>
      </c>
      <c r="D910" s="19">
        <v>70773.751199999999</v>
      </c>
      <c r="E910" s="19">
        <v>78973.698400593727</v>
      </c>
      <c r="F910" s="19">
        <v>53042.976719999999</v>
      </c>
      <c r="G910" s="19">
        <v>48772.560252412019</v>
      </c>
      <c r="H910" s="20">
        <v>0.1158614184151614</v>
      </c>
      <c r="I910" s="20">
        <v>-8.050861266950371E-2</v>
      </c>
      <c r="J910" s="20">
        <v>3.1736670795764255E-2</v>
      </c>
    </row>
    <row r="911" spans="1:10" ht="11.25" customHeight="1" x14ac:dyDescent="0.2">
      <c r="A911" s="29">
        <v>44501</v>
      </c>
      <c r="B911" s="19">
        <v>0</v>
      </c>
      <c r="C911" s="19">
        <v>0</v>
      </c>
      <c r="D911" s="19">
        <v>68873.267200000002</v>
      </c>
      <c r="E911" s="19">
        <v>76853.021628678413</v>
      </c>
      <c r="F911" s="19">
        <v>51618.616320000001</v>
      </c>
      <c r="G911" s="19">
        <v>47462.873132157401</v>
      </c>
      <c r="H911" s="20">
        <v>0.1158614184151614</v>
      </c>
      <c r="I911" s="20">
        <v>-8.0508612669503599E-2</v>
      </c>
      <c r="J911" s="20">
        <v>3.1736670795764255E-2</v>
      </c>
    </row>
    <row r="912" spans="1:10" ht="11.25" customHeight="1" x14ac:dyDescent="0.2">
      <c r="A912" s="29">
        <v>44531</v>
      </c>
      <c r="B912" s="19">
        <v>0</v>
      </c>
      <c r="C912" s="19">
        <v>0</v>
      </c>
      <c r="D912" s="19">
        <v>78028.686799999996</v>
      </c>
      <c r="E912" s="19">
        <v>87069.201129720386</v>
      </c>
      <c r="F912" s="19">
        <v>58480.35108</v>
      </c>
      <c r="G912" s="19">
        <v>53772.179146123686</v>
      </c>
      <c r="H912" s="20">
        <v>0.11586141841516162</v>
      </c>
      <c r="I912" s="20">
        <v>-8.050861266950371E-2</v>
      </c>
      <c r="J912" s="20">
        <v>3.1736670795764255E-2</v>
      </c>
    </row>
    <row r="913" spans="1:10" ht="11.25" customHeight="1" x14ac:dyDescent="0.2">
      <c r="A913" s="29">
        <v>44562</v>
      </c>
      <c r="B913" s="19">
        <v>0</v>
      </c>
      <c r="C913" s="19">
        <v>0</v>
      </c>
      <c r="D913" s="19">
        <v>73502.668799999999</v>
      </c>
      <c r="E913" s="19">
        <v>82018.792264467833</v>
      </c>
      <c r="F913" s="19">
        <v>55088.225279999999</v>
      </c>
      <c r="G913" s="19">
        <v>50653.148688282119</v>
      </c>
      <c r="H913" s="20">
        <v>0.1158614184151614</v>
      </c>
      <c r="I913" s="20">
        <v>-8.050861266950371E-2</v>
      </c>
      <c r="J913" s="20">
        <v>3.1736670795764255E-2</v>
      </c>
    </row>
    <row r="914" spans="1:10" ht="11.25" customHeight="1" x14ac:dyDescent="0.2">
      <c r="A914" s="29">
        <v>44593</v>
      </c>
      <c r="B914" s="19">
        <v>0</v>
      </c>
      <c r="C914" s="19">
        <v>0</v>
      </c>
      <c r="D914" s="19">
        <v>63216.171200000004</v>
      </c>
      <c r="E914" s="19">
        <v>70540.486462007684</v>
      </c>
      <c r="F914" s="19">
        <v>47378.778720000002</v>
      </c>
      <c r="G914" s="19">
        <v>43564.378975277403</v>
      </c>
      <c r="H914" s="20">
        <v>0.1158614184151614</v>
      </c>
      <c r="I914" s="20">
        <v>-8.0508612669503599E-2</v>
      </c>
      <c r="J914" s="20">
        <v>3.1736670795764255E-2</v>
      </c>
    </row>
    <row r="915" spans="1:10" ht="11.25" customHeight="1" x14ac:dyDescent="0.2">
      <c r="A915" s="29">
        <v>44621</v>
      </c>
      <c r="B915" s="19">
        <v>0</v>
      </c>
      <c r="C915" s="19">
        <v>0</v>
      </c>
      <c r="D915" s="19">
        <v>70658.425600000002</v>
      </c>
      <c r="E915" s="19">
        <v>78845.011012998148</v>
      </c>
      <c r="F915" s="19">
        <v>52956.543359999996</v>
      </c>
      <c r="G915" s="19">
        <v>48693.085522313981</v>
      </c>
      <c r="H915" s="20">
        <v>0.1158614184151614</v>
      </c>
      <c r="I915" s="20">
        <v>-8.050861266950371E-2</v>
      </c>
      <c r="J915" s="20">
        <v>3.1736670795764255E-2</v>
      </c>
    </row>
    <row r="916" spans="1:10" ht="11.25" customHeight="1" x14ac:dyDescent="0.2">
      <c r="A916" s="29">
        <v>44652</v>
      </c>
      <c r="B916" s="19">
        <v>0</v>
      </c>
      <c r="C916" s="19">
        <v>0</v>
      </c>
      <c r="D916" s="19">
        <v>79868.09599999999</v>
      </c>
      <c r="E916" s="19">
        <v>89121.726888678269</v>
      </c>
      <c r="F916" s="19">
        <v>59858.937600000005</v>
      </c>
      <c r="G916" s="19">
        <v>55039.77757795361</v>
      </c>
      <c r="H916" s="20">
        <v>0.1158614184151614</v>
      </c>
      <c r="I916" s="20">
        <v>-8.050861266950371E-2</v>
      </c>
      <c r="J916" s="20">
        <v>3.1736670795764255E-2</v>
      </c>
    </row>
    <row r="917" spans="1:10" ht="11.25" customHeight="1" x14ac:dyDescent="0.2">
      <c r="A917" s="29">
        <v>44682</v>
      </c>
      <c r="B917" s="19">
        <v>0</v>
      </c>
      <c r="C917" s="19">
        <v>0</v>
      </c>
      <c r="D917" s="19">
        <v>69495.615999999995</v>
      </c>
      <c r="E917" s="19">
        <v>77547.476643395392</v>
      </c>
      <c r="F917" s="19">
        <v>52085.049600000006</v>
      </c>
      <c r="G917" s="19">
        <v>47891.754515881716</v>
      </c>
      <c r="H917" s="20">
        <v>0.11586141841516162</v>
      </c>
      <c r="I917" s="20">
        <v>-8.050861266950371E-2</v>
      </c>
      <c r="J917" s="20">
        <v>3.1736670795764255E-2</v>
      </c>
    </row>
    <row r="918" spans="1:10" ht="11.25" customHeight="1" x14ac:dyDescent="0.2">
      <c r="A918" s="29">
        <v>44713</v>
      </c>
      <c r="B918" s="19">
        <v>0</v>
      </c>
      <c r="C918" s="19">
        <v>0</v>
      </c>
      <c r="D918" s="19">
        <v>67722.399600000004</v>
      </c>
      <c r="E918" s="19">
        <v>75568.812876134354</v>
      </c>
      <c r="F918" s="19">
        <v>50756.072760000003</v>
      </c>
      <c r="G918" s="19">
        <v>46669.771757540017</v>
      </c>
      <c r="H918" s="20">
        <v>0.11586141841516118</v>
      </c>
      <c r="I918" s="20">
        <v>-8.050861266950371E-2</v>
      </c>
      <c r="J918" s="20">
        <v>3.1736670795764033E-2</v>
      </c>
    </row>
    <row r="919" spans="1:10" ht="11.25" customHeight="1" x14ac:dyDescent="0.2">
      <c r="A919" s="29">
        <v>44743</v>
      </c>
      <c r="B919" s="19">
        <v>0</v>
      </c>
      <c r="C919" s="19">
        <v>0</v>
      </c>
      <c r="D919" s="19">
        <v>67722.399600000004</v>
      </c>
      <c r="E919" s="19">
        <v>75568.812876134354</v>
      </c>
      <c r="F919" s="19">
        <v>50756.072760000003</v>
      </c>
      <c r="G919" s="19">
        <v>46669.771757540017</v>
      </c>
      <c r="H919" s="20">
        <v>0.11586141841516118</v>
      </c>
      <c r="I919" s="20">
        <v>-8.050861266950371E-2</v>
      </c>
      <c r="J919" s="20">
        <v>3.1736670795764033E-2</v>
      </c>
    </row>
    <row r="920" spans="1:10" ht="11.25" customHeight="1" x14ac:dyDescent="0.2">
      <c r="A920" s="24" t="s">
        <v>38</v>
      </c>
      <c r="B920" s="19">
        <v>0</v>
      </c>
      <c r="C920" s="19">
        <v>0</v>
      </c>
      <c r="D920" s="19">
        <v>11943034.177200001</v>
      </c>
      <c r="E920" s="19">
        <v>13326771.057151139</v>
      </c>
      <c r="F920" s="19">
        <v>8950975.0873199999</v>
      </c>
      <c r="G920" s="19">
        <v>8230344.5010005776</v>
      </c>
      <c r="H920" s="20">
        <v>0.11586141841516184</v>
      </c>
      <c r="I920" s="20">
        <v>-8.0508612669503488E-2</v>
      </c>
      <c r="J920" s="20">
        <v>3.1736670795764477E-2</v>
      </c>
    </row>
    <row r="921" spans="1:10" ht="11.25" customHeight="1" x14ac:dyDescent="0.2">
      <c r="A921" s="25" t="s">
        <v>25</v>
      </c>
      <c r="B921" s="19">
        <v>0</v>
      </c>
      <c r="C921" s="19">
        <v>0</v>
      </c>
      <c r="D921" s="19">
        <v>11943034.177200001</v>
      </c>
      <c r="E921" s="19">
        <v>13326771.057151139</v>
      </c>
      <c r="F921" s="19">
        <v>8950975.0873199999</v>
      </c>
      <c r="G921" s="19">
        <v>8230344.5010005776</v>
      </c>
      <c r="H921" s="20">
        <v>0.11586141841516184</v>
      </c>
      <c r="I921" s="20">
        <v>-8.0508612669503488E-2</v>
      </c>
      <c r="J921" s="20">
        <v>3.1736670795764477E-2</v>
      </c>
    </row>
    <row r="922" spans="1:10" ht="11.25" customHeight="1" x14ac:dyDescent="0.2">
      <c r="A922" s="26" t="s">
        <v>25</v>
      </c>
      <c r="B922" s="19">
        <v>0</v>
      </c>
      <c r="C922" s="19">
        <v>0</v>
      </c>
      <c r="D922" s="19">
        <v>11943034.177200001</v>
      </c>
      <c r="E922" s="19">
        <v>13326771.057151139</v>
      </c>
      <c r="F922" s="19">
        <v>8950975.0873199999</v>
      </c>
      <c r="G922" s="19">
        <v>8230344.5010005776</v>
      </c>
      <c r="H922" s="20">
        <v>0.11586141841516184</v>
      </c>
      <c r="I922" s="20">
        <v>-8.0508612669503488E-2</v>
      </c>
      <c r="J922" s="20">
        <v>3.1736670795764477E-2</v>
      </c>
    </row>
    <row r="923" spans="1:10" ht="11.25" customHeight="1" x14ac:dyDescent="0.2">
      <c r="A923" s="27" t="s">
        <v>25</v>
      </c>
      <c r="B923" s="19">
        <v>0</v>
      </c>
      <c r="C923" s="19">
        <v>0</v>
      </c>
      <c r="D923" s="19">
        <v>11943034.177200001</v>
      </c>
      <c r="E923" s="19">
        <v>13326771.057151139</v>
      </c>
      <c r="F923" s="19">
        <v>8950975.0873199999</v>
      </c>
      <c r="G923" s="19">
        <v>8230344.5010005776</v>
      </c>
      <c r="H923" s="20">
        <v>0.11586141841516184</v>
      </c>
      <c r="I923" s="20">
        <v>-8.0508612669503488E-2</v>
      </c>
      <c r="J923" s="20">
        <v>3.1736670795764477E-2</v>
      </c>
    </row>
    <row r="924" spans="1:10" ht="11.25" customHeight="1" x14ac:dyDescent="0.2">
      <c r="A924" s="28" t="s">
        <v>25</v>
      </c>
      <c r="B924" s="19">
        <v>0</v>
      </c>
      <c r="C924" s="19">
        <v>0</v>
      </c>
      <c r="D924" s="19">
        <v>11943034.177200001</v>
      </c>
      <c r="E924" s="19">
        <v>13326771.057151139</v>
      </c>
      <c r="F924" s="19">
        <v>8950975.0873199999</v>
      </c>
      <c r="G924" s="19">
        <v>8230344.5010005776</v>
      </c>
      <c r="H924" s="20">
        <v>0.11586141841516184</v>
      </c>
      <c r="I924" s="20">
        <v>-8.0508612669503488E-2</v>
      </c>
      <c r="J924" s="20">
        <v>3.1736670795764477E-2</v>
      </c>
    </row>
    <row r="925" spans="1:10" ht="11.25" customHeight="1" x14ac:dyDescent="0.2">
      <c r="A925" s="29">
        <v>44409</v>
      </c>
      <c r="B925" s="19">
        <v>0</v>
      </c>
      <c r="C925" s="19">
        <v>0</v>
      </c>
      <c r="D925" s="19">
        <v>1035587.0384</v>
      </c>
      <c r="E925" s="19">
        <v>1155571.6215613801</v>
      </c>
      <c r="F925" s="19">
        <v>776143.95504000003</v>
      </c>
      <c r="G925" s="19">
        <v>713657.68198790797</v>
      </c>
      <c r="H925" s="20">
        <v>0.1158614184151614</v>
      </c>
      <c r="I925" s="20">
        <v>-8.050861266950371E-2</v>
      </c>
      <c r="J925" s="20">
        <v>3.1736670795764255E-2</v>
      </c>
    </row>
    <row r="926" spans="1:10" ht="11.25" customHeight="1" x14ac:dyDescent="0.2">
      <c r="A926" s="29">
        <v>44440</v>
      </c>
      <c r="B926" s="19">
        <v>0</v>
      </c>
      <c r="C926" s="19">
        <v>0</v>
      </c>
      <c r="D926" s="19">
        <v>1022057.4347999999</v>
      </c>
      <c r="E926" s="19">
        <v>1140474.4588976894</v>
      </c>
      <c r="F926" s="19">
        <v>766003.88987999992</v>
      </c>
      <c r="G926" s="19">
        <v>704333.97940631793</v>
      </c>
      <c r="H926" s="20">
        <v>0.1158614184151614</v>
      </c>
      <c r="I926" s="20">
        <v>-8.0508612669503599E-2</v>
      </c>
      <c r="J926" s="20">
        <v>3.1736670795764255E-2</v>
      </c>
    </row>
    <row r="927" spans="1:10" ht="11.25" customHeight="1" x14ac:dyDescent="0.2">
      <c r="A927" s="29">
        <v>44470</v>
      </c>
      <c r="B927" s="19">
        <v>0</v>
      </c>
      <c r="C927" s="19">
        <v>0</v>
      </c>
      <c r="D927" s="19">
        <v>1050121.476</v>
      </c>
      <c r="E927" s="19">
        <v>1171790.039717583</v>
      </c>
      <c r="F927" s="19">
        <v>787037.11560000014</v>
      </c>
      <c r="G927" s="19">
        <v>723673.84930363623</v>
      </c>
      <c r="H927" s="20">
        <v>0.1158614184151614</v>
      </c>
      <c r="I927" s="20">
        <v>-8.0508612669503821E-2</v>
      </c>
      <c r="J927" s="20">
        <v>3.1736670795764255E-2</v>
      </c>
    </row>
    <row r="928" spans="1:10" ht="11.25" customHeight="1" x14ac:dyDescent="0.2">
      <c r="A928" s="29">
        <v>44501</v>
      </c>
      <c r="B928" s="19">
        <v>0</v>
      </c>
      <c r="C928" s="19">
        <v>0</v>
      </c>
      <c r="D928" s="19">
        <v>991909.34400000004</v>
      </c>
      <c r="E928" s="19">
        <v>1106833.3675350924</v>
      </c>
      <c r="F928" s="19">
        <v>743408.72640000004</v>
      </c>
      <c r="G928" s="19">
        <v>683557.92119113356</v>
      </c>
      <c r="H928" s="20">
        <v>0.1158614184151614</v>
      </c>
      <c r="I928" s="20">
        <v>-8.0508612669503488E-2</v>
      </c>
      <c r="J928" s="20">
        <v>3.1736670795764477E-2</v>
      </c>
    </row>
    <row r="929" spans="1:10" ht="11.25" customHeight="1" x14ac:dyDescent="0.2">
      <c r="A929" s="29">
        <v>44531</v>
      </c>
      <c r="B929" s="19">
        <v>0</v>
      </c>
      <c r="C929" s="19">
        <v>0</v>
      </c>
      <c r="D929" s="19">
        <v>1059129.4972000001</v>
      </c>
      <c r="E929" s="19">
        <v>1181841.7430309288</v>
      </c>
      <c r="F929" s="19">
        <v>793788.37931999995</v>
      </c>
      <c r="G929" s="19">
        <v>729881.57814777305</v>
      </c>
      <c r="H929" s="20">
        <v>0.1158614184151614</v>
      </c>
      <c r="I929" s="20">
        <v>-8.0508612669503599E-2</v>
      </c>
      <c r="J929" s="20">
        <v>3.1736670795764255E-2</v>
      </c>
    </row>
    <row r="930" spans="1:10" ht="11.25" customHeight="1" x14ac:dyDescent="0.2">
      <c r="A930" s="29">
        <v>44562</v>
      </c>
      <c r="B930" s="19">
        <v>0</v>
      </c>
      <c r="C930" s="19">
        <v>0</v>
      </c>
      <c r="D930" s="19">
        <v>932582.51159999997</v>
      </c>
      <c r="E930" s="19">
        <v>1040632.8441831496</v>
      </c>
      <c r="F930" s="19">
        <v>698944.89995999995</v>
      </c>
      <c r="G930" s="19">
        <v>642673.81573179527</v>
      </c>
      <c r="H930" s="20">
        <v>0.1158614184151614</v>
      </c>
      <c r="I930" s="20">
        <v>-8.050861266950371E-2</v>
      </c>
      <c r="J930" s="20">
        <v>3.1736670795764033E-2</v>
      </c>
    </row>
    <row r="931" spans="1:10" ht="11.25" customHeight="1" x14ac:dyDescent="0.2">
      <c r="A931" s="29">
        <v>44593</v>
      </c>
      <c r="B931" s="19">
        <v>0</v>
      </c>
      <c r="C931" s="19">
        <v>0</v>
      </c>
      <c r="D931" s="19">
        <v>890105.5</v>
      </c>
      <c r="E931" s="19">
        <v>993234.38576913648</v>
      </c>
      <c r="F931" s="19">
        <v>667109.55000000005</v>
      </c>
      <c r="G931" s="19">
        <v>613401.48563092318</v>
      </c>
      <c r="H931" s="20">
        <v>0.1158614184151614</v>
      </c>
      <c r="I931" s="20">
        <v>-8.0508612669503599E-2</v>
      </c>
      <c r="J931" s="20">
        <v>3.1736670795764255E-2</v>
      </c>
    </row>
    <row r="932" spans="1:10" ht="11.25" customHeight="1" x14ac:dyDescent="0.2">
      <c r="A932" s="29">
        <v>44621</v>
      </c>
      <c r="B932" s="19">
        <v>0</v>
      </c>
      <c r="C932" s="19">
        <v>0</v>
      </c>
      <c r="D932" s="19">
        <v>985976.21719999984</v>
      </c>
      <c r="E932" s="19">
        <v>1100212.8202484071</v>
      </c>
      <c r="F932" s="19">
        <v>738962.01131999993</v>
      </c>
      <c r="G932" s="19">
        <v>679469.20497316064</v>
      </c>
      <c r="H932" s="20">
        <v>0.1158614184151614</v>
      </c>
      <c r="I932" s="20">
        <v>-8.050861266950371E-2</v>
      </c>
      <c r="J932" s="20">
        <v>3.1736670795764033E-2</v>
      </c>
    </row>
    <row r="933" spans="1:10" ht="11.25" customHeight="1" x14ac:dyDescent="0.2">
      <c r="A933" s="29">
        <v>44652</v>
      </c>
      <c r="B933" s="19">
        <v>0</v>
      </c>
      <c r="C933" s="19">
        <v>0</v>
      </c>
      <c r="D933" s="19">
        <v>992503.37320000003</v>
      </c>
      <c r="E933" s="19">
        <v>1107496.2218007843</v>
      </c>
      <c r="F933" s="19">
        <v>743853.93492000003</v>
      </c>
      <c r="G933" s="19">
        <v>683967.28659083962</v>
      </c>
      <c r="H933" s="20">
        <v>0.1158614184151614</v>
      </c>
      <c r="I933" s="20">
        <v>-8.0508612669503599E-2</v>
      </c>
      <c r="J933" s="20">
        <v>3.1736670795764255E-2</v>
      </c>
    </row>
    <row r="934" spans="1:10" ht="11.25" customHeight="1" x14ac:dyDescent="0.2">
      <c r="A934" s="29">
        <v>44682</v>
      </c>
      <c r="B934" s="19">
        <v>0</v>
      </c>
      <c r="C934" s="19">
        <v>0</v>
      </c>
      <c r="D934" s="19">
        <v>1033378.792</v>
      </c>
      <c r="E934" s="19">
        <v>1153107.524601266</v>
      </c>
      <c r="F934" s="19">
        <v>774488.93520000007</v>
      </c>
      <c r="G934" s="19">
        <v>712135.90549916681</v>
      </c>
      <c r="H934" s="20">
        <v>0.1158614184151614</v>
      </c>
      <c r="I934" s="20">
        <v>-8.0508612669503821E-2</v>
      </c>
      <c r="J934" s="20">
        <v>3.1736670795764255E-2</v>
      </c>
    </row>
    <row r="935" spans="1:10" ht="11.25" customHeight="1" x14ac:dyDescent="0.2">
      <c r="A935" s="29">
        <v>44713</v>
      </c>
      <c r="B935" s="19">
        <v>0</v>
      </c>
      <c r="C935" s="19">
        <v>0</v>
      </c>
      <c r="D935" s="19">
        <v>974841.49640000006</v>
      </c>
      <c r="E935" s="19">
        <v>1087788.0149028625</v>
      </c>
      <c r="F935" s="19">
        <v>730616.84484000003</v>
      </c>
      <c r="G935" s="19">
        <v>671795.8962689616</v>
      </c>
      <c r="H935" s="20">
        <v>0.1158614184151614</v>
      </c>
      <c r="I935" s="20">
        <v>-8.050861266950371E-2</v>
      </c>
      <c r="J935" s="20">
        <v>3.1736670795764255E-2</v>
      </c>
    </row>
    <row r="936" spans="1:10" ht="11.25" customHeight="1" x14ac:dyDescent="0.2">
      <c r="A936" s="29">
        <v>44743</v>
      </c>
      <c r="B936" s="19">
        <v>0</v>
      </c>
      <c r="C936" s="19">
        <v>0</v>
      </c>
      <c r="D936" s="19">
        <v>974841.49640000006</v>
      </c>
      <c r="E936" s="19">
        <v>1087788.0149028625</v>
      </c>
      <c r="F936" s="19">
        <v>730616.84484000003</v>
      </c>
      <c r="G936" s="19">
        <v>671795.8962689616</v>
      </c>
      <c r="H936" s="20">
        <v>0.1158614184151614</v>
      </c>
      <c r="I936" s="20">
        <v>-8.050861266950371E-2</v>
      </c>
      <c r="J936" s="20">
        <v>3.1736670795764255E-2</v>
      </c>
    </row>
    <row r="937" spans="1:10" ht="11.25" customHeight="1" x14ac:dyDescent="0.2">
      <c r="A937" s="24" t="s">
        <v>46</v>
      </c>
      <c r="B937" s="19">
        <v>0</v>
      </c>
      <c r="C937" s="19">
        <v>0</v>
      </c>
      <c r="D937" s="19">
        <v>41786586.575999998</v>
      </c>
      <c r="E937" s="19">
        <v>46628039.767423294</v>
      </c>
      <c r="F937" s="19">
        <v>31317895.4256</v>
      </c>
      <c r="G937" s="19">
        <v>28796535.113156352</v>
      </c>
      <c r="H937" s="20">
        <v>0.11586141841516095</v>
      </c>
      <c r="I937" s="20">
        <v>-8.0508612669504043E-2</v>
      </c>
      <c r="J937" s="20">
        <v>3.1736670795763811E-2</v>
      </c>
    </row>
    <row r="938" spans="1:10" ht="11.25" customHeight="1" x14ac:dyDescent="0.2">
      <c r="A938" s="25" t="s">
        <v>25</v>
      </c>
      <c r="B938" s="19">
        <v>0</v>
      </c>
      <c r="C938" s="19">
        <v>0</v>
      </c>
      <c r="D938" s="19">
        <v>41786586.575999998</v>
      </c>
      <c r="E938" s="19">
        <v>46628039.767423294</v>
      </c>
      <c r="F938" s="19">
        <v>31317895.4256</v>
      </c>
      <c r="G938" s="19">
        <v>28796535.113156352</v>
      </c>
      <c r="H938" s="20">
        <v>0.11586141841516095</v>
      </c>
      <c r="I938" s="20">
        <v>-8.0508612669504043E-2</v>
      </c>
      <c r="J938" s="20">
        <v>3.1736670795763811E-2</v>
      </c>
    </row>
    <row r="939" spans="1:10" ht="11.25" customHeight="1" x14ac:dyDescent="0.2">
      <c r="A939" s="26" t="s">
        <v>25</v>
      </c>
      <c r="B939" s="19">
        <v>0</v>
      </c>
      <c r="C939" s="19">
        <v>0</v>
      </c>
      <c r="D939" s="19">
        <v>41786586.575999998</v>
      </c>
      <c r="E939" s="19">
        <v>46628039.767423294</v>
      </c>
      <c r="F939" s="19">
        <v>31317895.4256</v>
      </c>
      <c r="G939" s="19">
        <v>28796535.113156352</v>
      </c>
      <c r="H939" s="20">
        <v>0.11586141841516095</v>
      </c>
      <c r="I939" s="20">
        <v>-8.0508612669504043E-2</v>
      </c>
      <c r="J939" s="20">
        <v>3.1736670795763811E-2</v>
      </c>
    </row>
    <row r="940" spans="1:10" ht="11.25" customHeight="1" x14ac:dyDescent="0.2">
      <c r="A940" s="27" t="s">
        <v>25</v>
      </c>
      <c r="B940" s="19">
        <v>0</v>
      </c>
      <c r="C940" s="19">
        <v>0</v>
      </c>
      <c r="D940" s="19">
        <v>41786586.575999998</v>
      </c>
      <c r="E940" s="19">
        <v>46628039.767423294</v>
      </c>
      <c r="F940" s="19">
        <v>31317895.4256</v>
      </c>
      <c r="G940" s="19">
        <v>28796535.113156352</v>
      </c>
      <c r="H940" s="20">
        <v>0.11586141841516095</v>
      </c>
      <c r="I940" s="20">
        <v>-8.0508612669504043E-2</v>
      </c>
      <c r="J940" s="20">
        <v>3.1736670795763811E-2</v>
      </c>
    </row>
    <row r="941" spans="1:10" ht="11.25" customHeight="1" x14ac:dyDescent="0.2">
      <c r="A941" s="28" t="s">
        <v>25</v>
      </c>
      <c r="B941" s="19">
        <v>0</v>
      </c>
      <c r="C941" s="19">
        <v>0</v>
      </c>
      <c r="D941" s="19">
        <v>41786586.575999998</v>
      </c>
      <c r="E941" s="19">
        <v>46628039.767423294</v>
      </c>
      <c r="F941" s="19">
        <v>31317895.4256</v>
      </c>
      <c r="G941" s="19">
        <v>28796535.113156352</v>
      </c>
      <c r="H941" s="20">
        <v>0.11586141841516095</v>
      </c>
      <c r="I941" s="20">
        <v>-8.0508612669504043E-2</v>
      </c>
      <c r="J941" s="20">
        <v>3.1736670795763811E-2</v>
      </c>
    </row>
    <row r="942" spans="1:10" ht="11.25" customHeight="1" x14ac:dyDescent="0.2">
      <c r="A942" s="29">
        <v>44409</v>
      </c>
      <c r="B942" s="19">
        <v>0</v>
      </c>
      <c r="C942" s="19">
        <v>0</v>
      </c>
      <c r="D942" s="19">
        <v>2894422.4603999997</v>
      </c>
      <c r="E942" s="19">
        <v>3229774.3521546456</v>
      </c>
      <c r="F942" s="19">
        <v>2169289.8932400001</v>
      </c>
      <c r="G942" s="19">
        <v>1994643.3734572718</v>
      </c>
      <c r="H942" s="20">
        <v>0.11586141841516162</v>
      </c>
      <c r="I942" s="20">
        <v>-8.050861266950371E-2</v>
      </c>
      <c r="J942" s="20">
        <v>3.1736670795764477E-2</v>
      </c>
    </row>
    <row r="943" spans="1:10" ht="11.25" customHeight="1" x14ac:dyDescent="0.2">
      <c r="A943" s="29">
        <v>44440</v>
      </c>
      <c r="B943" s="19">
        <v>0</v>
      </c>
      <c r="C943" s="19">
        <v>0</v>
      </c>
      <c r="D943" s="19">
        <v>2993855.3055999996</v>
      </c>
      <c r="E943" s="19">
        <v>3340727.6278365725</v>
      </c>
      <c r="F943" s="19">
        <v>2243812.0713599999</v>
      </c>
      <c r="G943" s="19">
        <v>2063165.874403721</v>
      </c>
      <c r="H943" s="20">
        <v>0.11586141841516162</v>
      </c>
      <c r="I943" s="20">
        <v>-8.050861266950371E-2</v>
      </c>
      <c r="J943" s="20">
        <v>3.1736670795764255E-2</v>
      </c>
    </row>
    <row r="944" spans="1:10" ht="11.25" customHeight="1" x14ac:dyDescent="0.2">
      <c r="A944" s="29">
        <v>44470</v>
      </c>
      <c r="B944" s="19">
        <v>0</v>
      </c>
      <c r="C944" s="19">
        <v>0</v>
      </c>
      <c r="D944" s="19">
        <v>3423625.0251999996</v>
      </c>
      <c r="E944" s="19">
        <v>3820291.0767413145</v>
      </c>
      <c r="F944" s="19">
        <v>2565912.6361200004</v>
      </c>
      <c r="G944" s="19">
        <v>2359334.5695548295</v>
      </c>
      <c r="H944" s="20">
        <v>0.1158614184151614</v>
      </c>
      <c r="I944" s="20">
        <v>-8.0508612669503932E-2</v>
      </c>
      <c r="J944" s="20">
        <v>3.1736670795764033E-2</v>
      </c>
    </row>
    <row r="945" spans="1:10" ht="11.25" customHeight="1" x14ac:dyDescent="0.2">
      <c r="A945" s="29">
        <v>44501</v>
      </c>
      <c r="B945" s="19">
        <v>0</v>
      </c>
      <c r="C945" s="19">
        <v>0</v>
      </c>
      <c r="D945" s="19">
        <v>3538437.4603999997</v>
      </c>
      <c r="E945" s="19">
        <v>3948405.8435352859</v>
      </c>
      <c r="F945" s="19">
        <v>2651961.3932400001</v>
      </c>
      <c r="G945" s="19">
        <v>2438455.6606171639</v>
      </c>
      <c r="H945" s="20">
        <v>0.11586141841516162</v>
      </c>
      <c r="I945" s="20">
        <v>-8.0508612669503599E-2</v>
      </c>
      <c r="J945" s="20">
        <v>3.1736670795764477E-2</v>
      </c>
    </row>
    <row r="946" spans="1:10" ht="11.25" customHeight="1" x14ac:dyDescent="0.2">
      <c r="A946" s="29">
        <v>44531</v>
      </c>
      <c r="B946" s="19">
        <v>0</v>
      </c>
      <c r="C946" s="19">
        <v>0</v>
      </c>
      <c r="D946" s="19">
        <v>4103069.892</v>
      </c>
      <c r="E946" s="19">
        <v>4578457.3895436637</v>
      </c>
      <c r="F946" s="19">
        <v>3075137.8451999999</v>
      </c>
      <c r="G946" s="19">
        <v>2827562.7635154608</v>
      </c>
      <c r="H946" s="20">
        <v>0.11586141841516162</v>
      </c>
      <c r="I946" s="20">
        <v>-8.050861266950371E-2</v>
      </c>
      <c r="J946" s="20">
        <v>3.1736670795764477E-2</v>
      </c>
    </row>
    <row r="947" spans="1:10" ht="11.25" customHeight="1" x14ac:dyDescent="0.2">
      <c r="A947" s="29">
        <v>44562</v>
      </c>
      <c r="B947" s="19">
        <v>0</v>
      </c>
      <c r="C947" s="19">
        <v>0</v>
      </c>
      <c r="D947" s="19">
        <v>3236653.2255999995</v>
      </c>
      <c r="E947" s="19">
        <v>3611656.4592360235</v>
      </c>
      <c r="F947" s="19">
        <v>2425782.4233600004</v>
      </c>
      <c r="G947" s="19">
        <v>2230486.0458172201</v>
      </c>
      <c r="H947" s="20">
        <v>0.11586141841516162</v>
      </c>
      <c r="I947" s="20">
        <v>-8.050861266950371E-2</v>
      </c>
      <c r="J947" s="20">
        <v>3.1736670795764255E-2</v>
      </c>
    </row>
    <row r="948" spans="1:10" ht="11.25" customHeight="1" x14ac:dyDescent="0.2">
      <c r="A948" s="29">
        <v>44593</v>
      </c>
      <c r="B948" s="19">
        <v>0</v>
      </c>
      <c r="C948" s="19">
        <v>0</v>
      </c>
      <c r="D948" s="19">
        <v>3134045.5143999998</v>
      </c>
      <c r="E948" s="19">
        <v>3497160.4730760581</v>
      </c>
      <c r="F948" s="19">
        <v>2348880.7706400002</v>
      </c>
      <c r="G948" s="19">
        <v>2159775.6384696988</v>
      </c>
      <c r="H948" s="20">
        <v>0.1158614184151614</v>
      </c>
      <c r="I948" s="20">
        <v>-8.0508612669503821E-2</v>
      </c>
      <c r="J948" s="20">
        <v>3.1736670795764033E-2</v>
      </c>
    </row>
    <row r="949" spans="1:10" ht="11.25" customHeight="1" x14ac:dyDescent="0.2">
      <c r="A949" s="29">
        <v>44621</v>
      </c>
      <c r="B949" s="19">
        <v>0</v>
      </c>
      <c r="C949" s="19">
        <v>0</v>
      </c>
      <c r="D949" s="19">
        <v>3855084.3671999997</v>
      </c>
      <c r="E949" s="19">
        <v>4301739.9100939063</v>
      </c>
      <c r="F949" s="19">
        <v>2889279.5263200002</v>
      </c>
      <c r="G949" s="19">
        <v>2656667.6400415762</v>
      </c>
      <c r="H949" s="20">
        <v>0.1158614184151614</v>
      </c>
      <c r="I949" s="20">
        <v>-8.050861266950371E-2</v>
      </c>
      <c r="J949" s="20">
        <v>3.1736670795764255E-2</v>
      </c>
    </row>
    <row r="950" spans="1:10" ht="11.25" customHeight="1" x14ac:dyDescent="0.2">
      <c r="A950" s="29">
        <v>44652</v>
      </c>
      <c r="B950" s="19">
        <v>0</v>
      </c>
      <c r="C950" s="19">
        <v>0</v>
      </c>
      <c r="D950" s="19">
        <v>3846861.7884</v>
      </c>
      <c r="E950" s="19">
        <v>4292564.6516511086</v>
      </c>
      <c r="F950" s="19">
        <v>2883116.93004</v>
      </c>
      <c r="G950" s="19">
        <v>2651001.185838521</v>
      </c>
      <c r="H950" s="20">
        <v>0.1158614184151614</v>
      </c>
      <c r="I950" s="20">
        <v>-8.050861266950371E-2</v>
      </c>
      <c r="J950" s="20">
        <v>3.1736670795764255E-2</v>
      </c>
    </row>
    <row r="951" spans="1:10" ht="11.25" customHeight="1" x14ac:dyDescent="0.2">
      <c r="A951" s="29">
        <v>44682</v>
      </c>
      <c r="B951" s="19">
        <v>0</v>
      </c>
      <c r="C951" s="19">
        <v>0</v>
      </c>
      <c r="D951" s="19">
        <v>4011620.7855999996</v>
      </c>
      <c r="E951" s="19">
        <v>4476412.8599633593</v>
      </c>
      <c r="F951" s="19">
        <v>3006599.25936</v>
      </c>
      <c r="G951" s="19">
        <v>2764542.124135769</v>
      </c>
      <c r="H951" s="20">
        <v>0.1158614184151614</v>
      </c>
      <c r="I951" s="20">
        <v>-8.050861266950371E-2</v>
      </c>
      <c r="J951" s="20">
        <v>3.1736670795764255E-2</v>
      </c>
    </row>
    <row r="952" spans="1:10" ht="11.25" customHeight="1" x14ac:dyDescent="0.2">
      <c r="A952" s="29">
        <v>44713</v>
      </c>
      <c r="B952" s="19">
        <v>0</v>
      </c>
      <c r="C952" s="19">
        <v>0</v>
      </c>
      <c r="D952" s="19">
        <v>3374455.3755999994</v>
      </c>
      <c r="E952" s="19">
        <v>3765424.5617956822</v>
      </c>
      <c r="F952" s="19">
        <v>2529061.3383599999</v>
      </c>
      <c r="G952" s="19">
        <v>2325450.1186525584</v>
      </c>
      <c r="H952" s="20">
        <v>0.11586141841516162</v>
      </c>
      <c r="I952" s="20">
        <v>-8.0508612669503599E-2</v>
      </c>
      <c r="J952" s="20">
        <v>3.1736670795764477E-2</v>
      </c>
    </row>
    <row r="953" spans="1:10" ht="11.25" customHeight="1" x14ac:dyDescent="0.2">
      <c r="A953" s="29">
        <v>44743</v>
      </c>
      <c r="B953" s="19">
        <v>0</v>
      </c>
      <c r="C953" s="19">
        <v>0</v>
      </c>
      <c r="D953" s="19">
        <v>3374455.3755999994</v>
      </c>
      <c r="E953" s="19">
        <v>3765424.5617956822</v>
      </c>
      <c r="F953" s="19">
        <v>2529061.3383599999</v>
      </c>
      <c r="G953" s="19">
        <v>2325450.1186525584</v>
      </c>
      <c r="H953" s="20">
        <v>0.11586141841516162</v>
      </c>
      <c r="I953" s="20">
        <v>-8.0508612669503599E-2</v>
      </c>
      <c r="J953" s="20">
        <v>3.1736670795764477E-2</v>
      </c>
    </row>
    <row r="954" spans="1:10" ht="11.25" customHeight="1" x14ac:dyDescent="0.2">
      <c r="A954" s="24" t="s">
        <v>50</v>
      </c>
      <c r="B954" s="19">
        <v>0</v>
      </c>
      <c r="C954" s="19">
        <v>0</v>
      </c>
      <c r="D954" s="19">
        <v>9169387.7274879999</v>
      </c>
      <c r="E954" s="19">
        <v>10231765.995593334</v>
      </c>
      <c r="F954" s="19">
        <v>6872203.4867328014</v>
      </c>
      <c r="G954" s="19">
        <v>6318931.9180334164</v>
      </c>
      <c r="H954" s="20">
        <v>0.1158614184151614</v>
      </c>
      <c r="I954" s="20">
        <v>-8.0508612669503821E-2</v>
      </c>
      <c r="J954" s="20">
        <v>3.1736670795764033E-2</v>
      </c>
    </row>
    <row r="955" spans="1:10" ht="11.25" customHeight="1" x14ac:dyDescent="0.2">
      <c r="A955" s="25" t="s">
        <v>51</v>
      </c>
      <c r="B955" s="19">
        <v>0</v>
      </c>
      <c r="C955" s="19">
        <v>0</v>
      </c>
      <c r="D955" s="19">
        <v>9169387.7274879999</v>
      </c>
      <c r="E955" s="19">
        <v>10231765.995593334</v>
      </c>
      <c r="F955" s="19">
        <v>6872203.4867328014</v>
      </c>
      <c r="G955" s="19">
        <v>6318931.9180334164</v>
      </c>
      <c r="H955" s="20">
        <v>0.1158614184151614</v>
      </c>
      <c r="I955" s="20">
        <v>-8.0508612669503821E-2</v>
      </c>
      <c r="J955" s="20">
        <v>3.1736670795764033E-2</v>
      </c>
    </row>
    <row r="956" spans="1:10" ht="11.25" customHeight="1" x14ac:dyDescent="0.2">
      <c r="A956" s="26" t="s">
        <v>25</v>
      </c>
      <c r="B956" s="19">
        <v>0</v>
      </c>
      <c r="C956" s="19">
        <v>0</v>
      </c>
      <c r="D956" s="19">
        <v>9169387.7274879999</v>
      </c>
      <c r="E956" s="19">
        <v>10231765.995593334</v>
      </c>
      <c r="F956" s="19">
        <v>6872203.4867328014</v>
      </c>
      <c r="G956" s="19">
        <v>6318931.9180334164</v>
      </c>
      <c r="H956" s="20">
        <v>0.1158614184151614</v>
      </c>
      <c r="I956" s="20">
        <v>-8.0508612669503821E-2</v>
      </c>
      <c r="J956" s="20">
        <v>3.1736670795764033E-2</v>
      </c>
    </row>
    <row r="957" spans="1:10" ht="11.25" customHeight="1" x14ac:dyDescent="0.2">
      <c r="A957" s="27" t="s">
        <v>25</v>
      </c>
      <c r="B957" s="19">
        <v>0</v>
      </c>
      <c r="C957" s="19">
        <v>0</v>
      </c>
      <c r="D957" s="19">
        <v>9169387.7274879999</v>
      </c>
      <c r="E957" s="19">
        <v>10231765.995593334</v>
      </c>
      <c r="F957" s="19">
        <v>6872203.4867328014</v>
      </c>
      <c r="G957" s="19">
        <v>6318931.9180334164</v>
      </c>
      <c r="H957" s="20">
        <v>0.1158614184151614</v>
      </c>
      <c r="I957" s="20">
        <v>-8.0508612669503821E-2</v>
      </c>
      <c r="J957" s="20">
        <v>3.1736670795764033E-2</v>
      </c>
    </row>
    <row r="958" spans="1:10" ht="11.25" customHeight="1" x14ac:dyDescent="0.2">
      <c r="A958" s="28" t="s">
        <v>25</v>
      </c>
      <c r="B958" s="19">
        <v>0</v>
      </c>
      <c r="C958" s="19">
        <v>0</v>
      </c>
      <c r="D958" s="19">
        <v>9169387.7274879999</v>
      </c>
      <c r="E958" s="19">
        <v>10231765.995593334</v>
      </c>
      <c r="F958" s="19">
        <v>6872203.4867328014</v>
      </c>
      <c r="G958" s="19">
        <v>6318931.9180334164</v>
      </c>
      <c r="H958" s="20">
        <v>0.1158614184151614</v>
      </c>
      <c r="I958" s="20">
        <v>-8.0508612669503821E-2</v>
      </c>
      <c r="J958" s="20">
        <v>3.1736670795764033E-2</v>
      </c>
    </row>
    <row r="959" spans="1:10" ht="11.25" customHeight="1" x14ac:dyDescent="0.2">
      <c r="A959" s="29">
        <v>44409</v>
      </c>
      <c r="B959" s="19">
        <v>0</v>
      </c>
      <c r="C959" s="19">
        <v>0</v>
      </c>
      <c r="D959" s="19">
        <v>796054.9142</v>
      </c>
      <c r="E959" s="19">
        <v>888286.96569557174</v>
      </c>
      <c r="F959" s="19">
        <v>596621.22701999999</v>
      </c>
      <c r="G959" s="19">
        <v>548588.07974344282</v>
      </c>
      <c r="H959" s="20">
        <v>0.11586141841516162</v>
      </c>
      <c r="I959" s="20">
        <v>-8.0508612669503599E-2</v>
      </c>
      <c r="J959" s="20">
        <v>3.1736670795764255E-2</v>
      </c>
    </row>
    <row r="960" spans="1:10" ht="11.25" customHeight="1" x14ac:dyDescent="0.2">
      <c r="A960" s="29">
        <v>44440</v>
      </c>
      <c r="B960" s="19">
        <v>0</v>
      </c>
      <c r="C960" s="19">
        <v>0</v>
      </c>
      <c r="D960" s="19">
        <v>780425.51803199993</v>
      </c>
      <c r="E960" s="19">
        <v>870846.72551857459</v>
      </c>
      <c r="F960" s="19">
        <v>584907.4251791999</v>
      </c>
      <c r="G960" s="19">
        <v>537817.3398379311</v>
      </c>
      <c r="H960" s="20">
        <v>0.1158614184151614</v>
      </c>
      <c r="I960" s="20">
        <v>-8.0508612669503488E-2</v>
      </c>
      <c r="J960" s="20">
        <v>3.1736670795764255E-2</v>
      </c>
    </row>
    <row r="961" spans="1:10" ht="11.25" customHeight="1" x14ac:dyDescent="0.2">
      <c r="A961" s="29">
        <v>44470</v>
      </c>
      <c r="B961" s="19">
        <v>0</v>
      </c>
      <c r="C961" s="19">
        <v>0</v>
      </c>
      <c r="D961" s="19">
        <v>771976.58032799989</v>
      </c>
      <c r="E961" s="19">
        <v>861418.88190808776</v>
      </c>
      <c r="F961" s="19">
        <v>578575.1791368</v>
      </c>
      <c r="G961" s="19">
        <v>531994.8941394866</v>
      </c>
      <c r="H961" s="20">
        <v>0.1158614184151614</v>
      </c>
      <c r="I961" s="20">
        <v>-8.0508612669503821E-2</v>
      </c>
      <c r="J961" s="20">
        <v>3.1736670795764255E-2</v>
      </c>
    </row>
    <row r="962" spans="1:10" ht="11.25" customHeight="1" x14ac:dyDescent="0.2">
      <c r="A962" s="29">
        <v>44501</v>
      </c>
      <c r="B962" s="19">
        <v>0</v>
      </c>
      <c r="C962" s="19">
        <v>0</v>
      </c>
      <c r="D962" s="19">
        <v>776388.83542400005</v>
      </c>
      <c r="E962" s="19">
        <v>866342.34713791998</v>
      </c>
      <c r="F962" s="19">
        <v>581882.04277440009</v>
      </c>
      <c r="G962" s="19">
        <v>535035.52677333634</v>
      </c>
      <c r="H962" s="20">
        <v>0.1158614184151614</v>
      </c>
      <c r="I962" s="20">
        <v>-8.050861266950371E-2</v>
      </c>
      <c r="J962" s="20">
        <v>3.1736670795764255E-2</v>
      </c>
    </row>
    <row r="963" spans="1:10" ht="11.25" customHeight="1" x14ac:dyDescent="0.2">
      <c r="A963" s="29">
        <v>44531</v>
      </c>
      <c r="B963" s="19">
        <v>0</v>
      </c>
      <c r="C963" s="19">
        <v>0</v>
      </c>
      <c r="D963" s="19">
        <v>852206.68952799996</v>
      </c>
      <c r="E963" s="19">
        <v>950944.56535960315</v>
      </c>
      <c r="F963" s="19">
        <v>638705.43565679993</v>
      </c>
      <c r="G963" s="19">
        <v>587284.14712760004</v>
      </c>
      <c r="H963" s="20">
        <v>0.1158614184151614</v>
      </c>
      <c r="I963" s="20">
        <v>-8.050861266950371E-2</v>
      </c>
      <c r="J963" s="20">
        <v>3.1736670795764033E-2</v>
      </c>
    </row>
    <row r="964" spans="1:10" ht="11.25" customHeight="1" x14ac:dyDescent="0.2">
      <c r="A964" s="29">
        <v>44562</v>
      </c>
      <c r="B964" s="19">
        <v>0</v>
      </c>
      <c r="C964" s="19">
        <v>0</v>
      </c>
      <c r="D964" s="19">
        <v>747692.98053599999</v>
      </c>
      <c r="E964" s="19">
        <v>834321.74979996076</v>
      </c>
      <c r="F964" s="19">
        <v>560375.29010160011</v>
      </c>
      <c r="G964" s="19">
        <v>515260.25292124954</v>
      </c>
      <c r="H964" s="20">
        <v>0.11586141841516162</v>
      </c>
      <c r="I964" s="20">
        <v>-8.0508612669503821E-2</v>
      </c>
      <c r="J964" s="20">
        <v>3.1736670795764033E-2</v>
      </c>
    </row>
    <row r="965" spans="1:10" ht="11.25" customHeight="1" x14ac:dyDescent="0.2">
      <c r="A965" s="29">
        <v>44593</v>
      </c>
      <c r="B965" s="19">
        <v>0</v>
      </c>
      <c r="C965" s="19">
        <v>0</v>
      </c>
      <c r="D965" s="19">
        <v>723681.678816</v>
      </c>
      <c r="E965" s="19">
        <v>807528.46460468706</v>
      </c>
      <c r="F965" s="19">
        <v>542379.48096960003</v>
      </c>
      <c r="G965" s="19">
        <v>498713.2614163321</v>
      </c>
      <c r="H965" s="20">
        <v>0.1158614184151614</v>
      </c>
      <c r="I965" s="20">
        <v>-8.0508612669503599E-2</v>
      </c>
      <c r="J965" s="20">
        <v>3.1736670795764477E-2</v>
      </c>
    </row>
    <row r="966" spans="1:10" ht="11.25" customHeight="1" x14ac:dyDescent="0.2">
      <c r="A966" s="29">
        <v>44621</v>
      </c>
      <c r="B966" s="19">
        <v>0</v>
      </c>
      <c r="C966" s="19">
        <v>0</v>
      </c>
      <c r="D966" s="19">
        <v>775005.21483199997</v>
      </c>
      <c r="E966" s="19">
        <v>864798.41830158234</v>
      </c>
      <c r="F966" s="19">
        <v>580845.05725919991</v>
      </c>
      <c r="G966" s="19">
        <v>534082.02752332331</v>
      </c>
      <c r="H966" s="20">
        <v>0.1158614184151614</v>
      </c>
      <c r="I966" s="20">
        <v>-8.0508612669503599E-2</v>
      </c>
      <c r="J966" s="20">
        <v>3.1736670795764255E-2</v>
      </c>
    </row>
    <row r="967" spans="1:10" ht="11.25" customHeight="1" x14ac:dyDescent="0.2">
      <c r="A967" s="29">
        <v>44652</v>
      </c>
      <c r="B967" s="19">
        <v>0</v>
      </c>
      <c r="C967" s="19">
        <v>0</v>
      </c>
      <c r="D967" s="19">
        <v>750237.63648800005</v>
      </c>
      <c r="E967" s="19">
        <v>837161.23319993797</v>
      </c>
      <c r="F967" s="19">
        <v>562282.43963280006</v>
      </c>
      <c r="G967" s="19">
        <v>517013.86048953934</v>
      </c>
      <c r="H967" s="20">
        <v>0.1158614184151614</v>
      </c>
      <c r="I967" s="20">
        <v>-8.050861266950371E-2</v>
      </c>
      <c r="J967" s="20">
        <v>3.1736670795764255E-2</v>
      </c>
    </row>
    <row r="968" spans="1:10" ht="11.25" customHeight="1" x14ac:dyDescent="0.2">
      <c r="A968" s="29">
        <v>44682</v>
      </c>
      <c r="B968" s="19">
        <v>0</v>
      </c>
      <c r="C968" s="19">
        <v>0</v>
      </c>
      <c r="D968" s="19">
        <v>765435.01203999994</v>
      </c>
      <c r="E968" s="19">
        <v>854119.39823958057</v>
      </c>
      <c r="F968" s="19">
        <v>573672.45392400003</v>
      </c>
      <c r="G968" s="19">
        <v>527486.88053186901</v>
      </c>
      <c r="H968" s="20">
        <v>0.11586141841516162</v>
      </c>
      <c r="I968" s="20">
        <v>-8.050861266950371E-2</v>
      </c>
      <c r="J968" s="20">
        <v>3.1736670795764255E-2</v>
      </c>
    </row>
    <row r="969" spans="1:10" ht="11.25" customHeight="1" x14ac:dyDescent="0.2">
      <c r="A969" s="29">
        <v>44713</v>
      </c>
      <c r="B969" s="19">
        <v>0</v>
      </c>
      <c r="C969" s="19">
        <v>0</v>
      </c>
      <c r="D969" s="19">
        <v>715141.33363199991</v>
      </c>
      <c r="E969" s="19">
        <v>797998.62291391368</v>
      </c>
      <c r="F969" s="19">
        <v>535978.72753919999</v>
      </c>
      <c r="G969" s="19">
        <v>492827.82376465306</v>
      </c>
      <c r="H969" s="20">
        <v>0.11586141841516162</v>
      </c>
      <c r="I969" s="20">
        <v>-8.050861266950371E-2</v>
      </c>
      <c r="J969" s="20">
        <v>3.1736670795764255E-2</v>
      </c>
    </row>
    <row r="970" spans="1:10" ht="11.25" customHeight="1" x14ac:dyDescent="0.2">
      <c r="A970" s="29">
        <v>44743</v>
      </c>
      <c r="B970" s="19">
        <v>0</v>
      </c>
      <c r="C970" s="19">
        <v>0</v>
      </c>
      <c r="D970" s="19">
        <v>715141.33363199991</v>
      </c>
      <c r="E970" s="19">
        <v>797998.62291391368</v>
      </c>
      <c r="F970" s="19">
        <v>535978.72753919999</v>
      </c>
      <c r="G970" s="19">
        <v>492827.82376465306</v>
      </c>
      <c r="H970" s="20">
        <v>0.11586141841516162</v>
      </c>
      <c r="I970" s="20">
        <v>-8.050861266950371E-2</v>
      </c>
      <c r="J970" s="20">
        <v>3.1736670795764255E-2</v>
      </c>
    </row>
    <row r="971" spans="1:10" ht="11.25" customHeight="1" x14ac:dyDescent="0.2">
      <c r="A971" s="22" t="s">
        <v>47</v>
      </c>
      <c r="B971" s="19">
        <v>0</v>
      </c>
      <c r="C971" s="19">
        <v>0</v>
      </c>
      <c r="D971" s="19">
        <v>47322751.025879994</v>
      </c>
      <c r="E971" s="19">
        <v>52805632.083046004</v>
      </c>
      <c r="F971" s="19">
        <v>35468106.8517</v>
      </c>
      <c r="G971" s="19">
        <v>32611691.292118836</v>
      </c>
      <c r="H971" s="20">
        <v>0.1158614184151614</v>
      </c>
      <c r="I971" s="20">
        <v>-8.0534762442339369E-2</v>
      </c>
      <c r="J971" s="20">
        <v>3.1724100521684395E-2</v>
      </c>
    </row>
    <row r="972" spans="1:10" ht="11.25" customHeight="1" x14ac:dyDescent="0.2">
      <c r="A972" s="23" t="s">
        <v>23</v>
      </c>
      <c r="B972" s="19">
        <v>0</v>
      </c>
      <c r="C972" s="19">
        <v>0</v>
      </c>
      <c r="D972" s="19">
        <v>47322751.025879994</v>
      </c>
      <c r="E972" s="19">
        <v>52805632.083046004</v>
      </c>
      <c r="F972" s="19">
        <v>35468106.8517</v>
      </c>
      <c r="G972" s="19">
        <v>32611691.292118836</v>
      </c>
      <c r="H972" s="20">
        <v>0.1158614184151614</v>
      </c>
      <c r="I972" s="20">
        <v>-8.0534762442339369E-2</v>
      </c>
      <c r="J972" s="20">
        <v>3.1724100521684395E-2</v>
      </c>
    </row>
    <row r="973" spans="1:10" ht="11.25" customHeight="1" x14ac:dyDescent="0.2">
      <c r="A973" s="24" t="s">
        <v>48</v>
      </c>
      <c r="B973" s="19">
        <v>0</v>
      </c>
      <c r="C973" s="19">
        <v>0</v>
      </c>
      <c r="D973" s="19">
        <v>47322751.025879994</v>
      </c>
      <c r="E973" s="19">
        <v>52805632.083046004</v>
      </c>
      <c r="F973" s="19">
        <v>35468106.8517</v>
      </c>
      <c r="G973" s="19">
        <v>32611691.292118836</v>
      </c>
      <c r="H973" s="20">
        <v>0.1158614184151614</v>
      </c>
      <c r="I973" s="20">
        <v>-8.0534762442339369E-2</v>
      </c>
      <c r="J973" s="20">
        <v>3.1724100521684395E-2</v>
      </c>
    </row>
    <row r="974" spans="1:10" ht="11.25" customHeight="1" x14ac:dyDescent="0.2">
      <c r="A974" s="25" t="s">
        <v>49</v>
      </c>
      <c r="B974" s="19">
        <v>0</v>
      </c>
      <c r="C974" s="19">
        <v>0</v>
      </c>
      <c r="D974" s="19">
        <v>47322751.025879994</v>
      </c>
      <c r="E974" s="19">
        <v>52805632.083046004</v>
      </c>
      <c r="F974" s="19">
        <v>35468106.8517</v>
      </c>
      <c r="G974" s="19">
        <v>32611691.292118836</v>
      </c>
      <c r="H974" s="20">
        <v>0.1158614184151614</v>
      </c>
      <c r="I974" s="20">
        <v>-8.0534762442339369E-2</v>
      </c>
      <c r="J974" s="20">
        <v>3.1724100521684395E-2</v>
      </c>
    </row>
    <row r="975" spans="1:10" ht="11.25" customHeight="1" x14ac:dyDescent="0.2">
      <c r="A975" s="26" t="s">
        <v>25</v>
      </c>
      <c r="B975" s="19">
        <v>0</v>
      </c>
      <c r="C975" s="19">
        <v>0</v>
      </c>
      <c r="D975" s="19">
        <v>47322751.025879994</v>
      </c>
      <c r="E975" s="19">
        <v>52805632.083046004</v>
      </c>
      <c r="F975" s="19">
        <v>35468106.8517</v>
      </c>
      <c r="G975" s="19">
        <v>32611691.292118836</v>
      </c>
      <c r="H975" s="20">
        <v>0.1158614184151614</v>
      </c>
      <c r="I975" s="20">
        <v>-8.0534762442339369E-2</v>
      </c>
      <c r="J975" s="20">
        <v>3.1724100521684395E-2</v>
      </c>
    </row>
    <row r="976" spans="1:10" ht="11.25" customHeight="1" x14ac:dyDescent="0.2">
      <c r="A976" s="27" t="s">
        <v>25</v>
      </c>
      <c r="B976" s="19">
        <v>0</v>
      </c>
      <c r="C976" s="19">
        <v>0</v>
      </c>
      <c r="D976" s="19">
        <v>47322751.025879994</v>
      </c>
      <c r="E976" s="19">
        <v>52805632.083046004</v>
      </c>
      <c r="F976" s="19">
        <v>35468106.8517</v>
      </c>
      <c r="G976" s="19">
        <v>32611691.292118836</v>
      </c>
      <c r="H976" s="20">
        <v>0.1158614184151614</v>
      </c>
      <c r="I976" s="20">
        <v>-8.0534762442339369E-2</v>
      </c>
      <c r="J976" s="20">
        <v>3.1724100521684395E-2</v>
      </c>
    </row>
    <row r="977" spans="1:10" ht="11.25" customHeight="1" x14ac:dyDescent="0.2">
      <c r="A977" s="28" t="s">
        <v>25</v>
      </c>
      <c r="B977" s="19">
        <v>0</v>
      </c>
      <c r="C977" s="19">
        <v>0</v>
      </c>
      <c r="D977" s="19">
        <v>47322751.025879994</v>
      </c>
      <c r="E977" s="19">
        <v>52805632.083046004</v>
      </c>
      <c r="F977" s="19">
        <v>35468106.8517</v>
      </c>
      <c r="G977" s="19">
        <v>32611691.292118836</v>
      </c>
      <c r="H977" s="20">
        <v>0.1158614184151614</v>
      </c>
      <c r="I977" s="20">
        <v>-8.0534762442339369E-2</v>
      </c>
      <c r="J977" s="20">
        <v>3.1724100521684395E-2</v>
      </c>
    </row>
    <row r="978" spans="1:10" ht="11.25" customHeight="1" x14ac:dyDescent="0.2">
      <c r="A978" s="29">
        <v>44409</v>
      </c>
      <c r="B978" s="19">
        <v>0</v>
      </c>
      <c r="C978" s="19">
        <v>0</v>
      </c>
      <c r="D978" s="19">
        <v>3838030.01406</v>
      </c>
      <c r="E978" s="19">
        <v>4282709.6154089542</v>
      </c>
      <c r="F978" s="19">
        <v>2876579.5666500004</v>
      </c>
      <c r="G978" s="19">
        <v>2644914.9146033553</v>
      </c>
      <c r="H978" s="20">
        <v>0.11586141841516162</v>
      </c>
      <c r="I978" s="20">
        <v>-8.0534762442339258E-2</v>
      </c>
      <c r="J978" s="20">
        <v>3.1724100521684395E-2</v>
      </c>
    </row>
    <row r="979" spans="1:10" ht="11.25" customHeight="1" x14ac:dyDescent="0.2">
      <c r="A979" s="29">
        <v>44440</v>
      </c>
      <c r="B979" s="19">
        <v>0</v>
      </c>
      <c r="C979" s="19">
        <v>0</v>
      </c>
      <c r="D979" s="19">
        <v>3970762.49504</v>
      </c>
      <c r="E979" s="19">
        <v>4430820.6699050609</v>
      </c>
      <c r="F979" s="19">
        <v>2976061.7336000004</v>
      </c>
      <c r="G979" s="19">
        <v>2736385.3088707877</v>
      </c>
      <c r="H979" s="20">
        <v>0.11586141841516162</v>
      </c>
      <c r="I979" s="20">
        <v>-8.0534762442339369E-2</v>
      </c>
      <c r="J979" s="20">
        <v>3.1724100521684395E-2</v>
      </c>
    </row>
    <row r="980" spans="1:10" ht="11.25" customHeight="1" x14ac:dyDescent="0.2">
      <c r="A980" s="29">
        <v>44470</v>
      </c>
      <c r="B980" s="19">
        <v>0</v>
      </c>
      <c r="C980" s="19">
        <v>0</v>
      </c>
      <c r="D980" s="19">
        <v>3993849.7418599995</v>
      </c>
      <c r="E980" s="19">
        <v>4456582.8378889263</v>
      </c>
      <c r="F980" s="19">
        <v>2993365.4811499999</v>
      </c>
      <c r="G980" s="19">
        <v>2752295.503222486</v>
      </c>
      <c r="H980" s="20">
        <v>0.11586141841516162</v>
      </c>
      <c r="I980" s="20">
        <v>-8.0534762442339258E-2</v>
      </c>
      <c r="J980" s="20">
        <v>3.1724100521684395E-2</v>
      </c>
    </row>
    <row r="981" spans="1:10" ht="11.25" customHeight="1" x14ac:dyDescent="0.2">
      <c r="A981" s="29">
        <v>44501</v>
      </c>
      <c r="B981" s="19">
        <v>0</v>
      </c>
      <c r="C981" s="19">
        <v>0</v>
      </c>
      <c r="D981" s="19">
        <v>3872422.8375799996</v>
      </c>
      <c r="E981" s="19">
        <v>4321087.2402452836</v>
      </c>
      <c r="F981" s="19">
        <v>2902356.7734500002</v>
      </c>
      <c r="G981" s="19">
        <v>2668616.16017729</v>
      </c>
      <c r="H981" s="20">
        <v>0.11586141841516162</v>
      </c>
      <c r="I981" s="20">
        <v>-8.0534762442339369E-2</v>
      </c>
      <c r="J981" s="20">
        <v>3.1724100521684395E-2</v>
      </c>
    </row>
    <row r="982" spans="1:10" ht="11.25" customHeight="1" x14ac:dyDescent="0.2">
      <c r="A982" s="29">
        <v>44531</v>
      </c>
      <c r="B982" s="19">
        <v>0</v>
      </c>
      <c r="C982" s="19">
        <v>0</v>
      </c>
      <c r="D982" s="19">
        <v>4380722.8421000009</v>
      </c>
      <c r="E982" s="19">
        <v>4888279.604269404</v>
      </c>
      <c r="F982" s="19">
        <v>3283324.4577500001</v>
      </c>
      <c r="G982" s="19">
        <v>3018902.7025239817</v>
      </c>
      <c r="H982" s="20">
        <v>0.1158614184151614</v>
      </c>
      <c r="I982" s="20">
        <v>-8.0534762442339147E-2</v>
      </c>
      <c r="J982" s="20">
        <v>3.1724100521684395E-2</v>
      </c>
    </row>
    <row r="983" spans="1:10" ht="11.25" customHeight="1" x14ac:dyDescent="0.2">
      <c r="A983" s="29">
        <v>44562</v>
      </c>
      <c r="B983" s="19">
        <v>0</v>
      </c>
      <c r="C983" s="19">
        <v>0</v>
      </c>
      <c r="D983" s="19">
        <v>3973220.2780599999</v>
      </c>
      <c r="E983" s="19">
        <v>4433563.2151519153</v>
      </c>
      <c r="F983" s="19">
        <v>2977903.8266500002</v>
      </c>
      <c r="G983" s="19">
        <v>2738079.0493946094</v>
      </c>
      <c r="H983" s="20">
        <v>0.11586141841516184</v>
      </c>
      <c r="I983" s="20">
        <v>-8.0534762442339258E-2</v>
      </c>
      <c r="J983" s="20">
        <v>3.1724100521684617E-2</v>
      </c>
    </row>
    <row r="984" spans="1:10" ht="11.25" customHeight="1" x14ac:dyDescent="0.2">
      <c r="A984" s="29">
        <v>44593</v>
      </c>
      <c r="B984" s="19">
        <v>0</v>
      </c>
      <c r="C984" s="19">
        <v>0</v>
      </c>
      <c r="D984" s="19">
        <v>3612958.4917799998</v>
      </c>
      <c r="E984" s="19">
        <v>4031560.9873127341</v>
      </c>
      <c r="F984" s="19">
        <v>2707889.8639500001</v>
      </c>
      <c r="G984" s="19">
        <v>2489810.5970367687</v>
      </c>
      <c r="H984" s="20">
        <v>0.11586141841516184</v>
      </c>
      <c r="I984" s="20">
        <v>-8.0534762442339147E-2</v>
      </c>
      <c r="J984" s="20">
        <v>3.1724100521684617E-2</v>
      </c>
    </row>
    <row r="985" spans="1:10" ht="11.25" customHeight="1" x14ac:dyDescent="0.2">
      <c r="A985" s="29">
        <v>44621</v>
      </c>
      <c r="B985" s="19">
        <v>0</v>
      </c>
      <c r="C985" s="19">
        <v>0</v>
      </c>
      <c r="D985" s="19">
        <v>3963225.3187999995</v>
      </c>
      <c r="E985" s="19">
        <v>4422410.2257350497</v>
      </c>
      <c r="F985" s="19">
        <v>2970412.6670000004</v>
      </c>
      <c r="G985" s="19">
        <v>2731191.1885074396</v>
      </c>
      <c r="H985" s="20">
        <v>0.11586141841516184</v>
      </c>
      <c r="I985" s="20">
        <v>-8.0534762442339369E-2</v>
      </c>
      <c r="J985" s="20">
        <v>3.1724100521684617E-2</v>
      </c>
    </row>
    <row r="986" spans="1:10" ht="11.25" customHeight="1" x14ac:dyDescent="0.2">
      <c r="A986" s="29">
        <v>44652</v>
      </c>
      <c r="B986" s="19">
        <v>0</v>
      </c>
      <c r="C986" s="19">
        <v>0</v>
      </c>
      <c r="D986" s="19">
        <v>3881778.4392200001</v>
      </c>
      <c r="E986" s="19">
        <v>4331526.7951614214</v>
      </c>
      <c r="F986" s="19">
        <v>2909368.7385499999</v>
      </c>
      <c r="G986" s="19">
        <v>2675063.4183337074</v>
      </c>
      <c r="H986" s="20">
        <v>0.11586141841516162</v>
      </c>
      <c r="I986" s="20">
        <v>-8.0534762442339258E-2</v>
      </c>
      <c r="J986" s="20">
        <v>3.1724100521684395E-2</v>
      </c>
    </row>
    <row r="987" spans="1:10" ht="11.25" customHeight="1" x14ac:dyDescent="0.2">
      <c r="A987" s="29">
        <v>44682</v>
      </c>
      <c r="B987" s="19">
        <v>0</v>
      </c>
      <c r="C987" s="19">
        <v>0</v>
      </c>
      <c r="D987" s="19">
        <v>4026746.9151800005</v>
      </c>
      <c r="E987" s="19">
        <v>4493291.5243716314</v>
      </c>
      <c r="F987" s="19">
        <v>3018021.7074500001</v>
      </c>
      <c r="G987" s="19">
        <v>2774966.0461946917</v>
      </c>
      <c r="H987" s="20">
        <v>0.11586141841516162</v>
      </c>
      <c r="I987" s="20">
        <v>-8.0534762442339147E-2</v>
      </c>
      <c r="J987" s="20">
        <v>3.1724100521684395E-2</v>
      </c>
    </row>
    <row r="988" spans="1:10" ht="11.25" customHeight="1" x14ac:dyDescent="0.2">
      <c r="A988" s="29">
        <v>44713</v>
      </c>
      <c r="B988" s="19">
        <v>0</v>
      </c>
      <c r="C988" s="19">
        <v>0</v>
      </c>
      <c r="D988" s="19">
        <v>3904516.8260999997</v>
      </c>
      <c r="E988" s="19">
        <v>4356899.6837978112</v>
      </c>
      <c r="F988" s="19">
        <v>2926411.0177500001</v>
      </c>
      <c r="G988" s="19">
        <v>2690733.2016268596</v>
      </c>
      <c r="H988" s="20">
        <v>0.11586141841516184</v>
      </c>
      <c r="I988" s="20">
        <v>-8.0534762442339258E-2</v>
      </c>
      <c r="J988" s="20">
        <v>3.1724100521684395E-2</v>
      </c>
    </row>
    <row r="989" spans="1:10" ht="11.25" customHeight="1" x14ac:dyDescent="0.2">
      <c r="A989" s="29">
        <v>44743</v>
      </c>
      <c r="B989" s="19">
        <v>0</v>
      </c>
      <c r="C989" s="19">
        <v>0</v>
      </c>
      <c r="D989" s="19">
        <v>3904516.8260999997</v>
      </c>
      <c r="E989" s="19">
        <v>4356899.6837978112</v>
      </c>
      <c r="F989" s="19">
        <v>2926411.0177500001</v>
      </c>
      <c r="G989" s="19">
        <v>2690733.2016268596</v>
      </c>
      <c r="H989" s="20">
        <v>0.11586141841516184</v>
      </c>
      <c r="I989" s="20">
        <v>-8.0534762442339258E-2</v>
      </c>
      <c r="J989" s="20">
        <v>3.1724100521684395E-2</v>
      </c>
    </row>
    <row r="990" spans="1:10" ht="11.25" customHeight="1" x14ac:dyDescent="0.2">
      <c r="A990" s="21" t="s">
        <v>64</v>
      </c>
      <c r="B990" s="19">
        <v>16122758.84</v>
      </c>
      <c r="C990" s="19">
        <v>17393901.16806322</v>
      </c>
      <c r="D990" s="19">
        <v>2015899.3698300004</v>
      </c>
      <c r="E990" s="19">
        <v>1828560.8287760383</v>
      </c>
      <c r="F990" s="19">
        <v>0</v>
      </c>
      <c r="G990" s="19">
        <v>0</v>
      </c>
      <c r="H990" s="20">
        <v>5.9751045224607946E-2</v>
      </c>
      <c r="I990" s="20">
        <v>0</v>
      </c>
      <c r="J990" s="20">
        <v>5.9751045224607946E-2</v>
      </c>
    </row>
    <row r="991" spans="1:10" ht="11.25" customHeight="1" x14ac:dyDescent="0.2">
      <c r="A991" s="22" t="s">
        <v>39</v>
      </c>
      <c r="B991" s="19">
        <v>11439354.4</v>
      </c>
      <c r="C991" s="19">
        <v>12321283.636166776</v>
      </c>
      <c r="D991" s="19">
        <v>1003585.1748300001</v>
      </c>
      <c r="E991" s="19">
        <v>910199.84507623757</v>
      </c>
      <c r="F991" s="19">
        <v>0</v>
      </c>
      <c r="G991" s="19">
        <v>0</v>
      </c>
      <c r="H991" s="20">
        <v>6.3372798820634291E-2</v>
      </c>
      <c r="I991" s="20">
        <v>0</v>
      </c>
      <c r="J991" s="20">
        <v>6.3372798820634291E-2</v>
      </c>
    </row>
    <row r="992" spans="1:10" ht="11.25" customHeight="1" x14ac:dyDescent="0.2">
      <c r="A992" s="23" t="s">
        <v>62</v>
      </c>
      <c r="B992" s="19">
        <v>11439354.4</v>
      </c>
      <c r="C992" s="19">
        <v>12321283.636166776</v>
      </c>
      <c r="D992" s="19">
        <v>1003585.1748300001</v>
      </c>
      <c r="E992" s="19">
        <v>910199.84507623757</v>
      </c>
      <c r="F992" s="19">
        <v>0</v>
      </c>
      <c r="G992" s="19">
        <v>0</v>
      </c>
      <c r="H992" s="20">
        <v>6.3372798820634291E-2</v>
      </c>
      <c r="I992" s="20">
        <v>0</v>
      </c>
      <c r="J992" s="20">
        <v>6.3372798820634291E-2</v>
      </c>
    </row>
    <row r="993" spans="1:10" ht="11.25" customHeight="1" x14ac:dyDescent="0.2">
      <c r="A993" s="24" t="s">
        <v>25</v>
      </c>
      <c r="B993" s="19">
        <v>11439354.4</v>
      </c>
      <c r="C993" s="19">
        <v>12321283.636166776</v>
      </c>
      <c r="D993" s="19">
        <v>1003585.1748300001</v>
      </c>
      <c r="E993" s="19">
        <v>910199.84507623757</v>
      </c>
      <c r="F993" s="19">
        <v>0</v>
      </c>
      <c r="G993" s="19">
        <v>0</v>
      </c>
      <c r="H993" s="20">
        <v>6.3372798820634291E-2</v>
      </c>
      <c r="I993" s="20">
        <v>0</v>
      </c>
      <c r="J993" s="20">
        <v>6.3372798820634291E-2</v>
      </c>
    </row>
    <row r="994" spans="1:10" ht="11.25" customHeight="1" x14ac:dyDescent="0.2">
      <c r="A994" s="25" t="s">
        <v>25</v>
      </c>
      <c r="B994" s="19">
        <v>11439354.4</v>
      </c>
      <c r="C994" s="19">
        <v>12321283.636166776</v>
      </c>
      <c r="D994" s="19">
        <v>1003585.1748300001</v>
      </c>
      <c r="E994" s="19">
        <v>910199.84507623757</v>
      </c>
      <c r="F994" s="19">
        <v>0</v>
      </c>
      <c r="G994" s="19">
        <v>0</v>
      </c>
      <c r="H994" s="20">
        <v>6.3372798820634291E-2</v>
      </c>
      <c r="I994" s="20">
        <v>0</v>
      </c>
      <c r="J994" s="20">
        <v>6.3372798820634291E-2</v>
      </c>
    </row>
    <row r="995" spans="1:10" ht="11.25" customHeight="1" x14ac:dyDescent="0.2">
      <c r="A995" s="26" t="s">
        <v>25</v>
      </c>
      <c r="B995" s="19">
        <v>11439354.4</v>
      </c>
      <c r="C995" s="19">
        <v>12321283.636166776</v>
      </c>
      <c r="D995" s="19">
        <v>1003585.1748300001</v>
      </c>
      <c r="E995" s="19">
        <v>910199.84507623757</v>
      </c>
      <c r="F995" s="19">
        <v>0</v>
      </c>
      <c r="G995" s="19">
        <v>0</v>
      </c>
      <c r="H995" s="20">
        <v>6.3372798820634291E-2</v>
      </c>
      <c r="I995" s="20">
        <v>0</v>
      </c>
      <c r="J995" s="20">
        <v>6.3372798820634291E-2</v>
      </c>
    </row>
    <row r="996" spans="1:10" ht="11.25" customHeight="1" x14ac:dyDescent="0.2">
      <c r="A996" s="27" t="s">
        <v>65</v>
      </c>
      <c r="B996" s="19">
        <v>11439354.4</v>
      </c>
      <c r="C996" s="19">
        <v>12321283.636166776</v>
      </c>
      <c r="D996" s="19">
        <v>1003585.1748300001</v>
      </c>
      <c r="E996" s="19">
        <v>910199.84507623757</v>
      </c>
      <c r="F996" s="19">
        <v>0</v>
      </c>
      <c r="G996" s="19">
        <v>0</v>
      </c>
      <c r="H996" s="20">
        <v>6.3372798820634291E-2</v>
      </c>
      <c r="I996" s="20">
        <v>0</v>
      </c>
      <c r="J996" s="20">
        <v>6.3372798820634291E-2</v>
      </c>
    </row>
    <row r="997" spans="1:10" ht="11.25" customHeight="1" x14ac:dyDescent="0.2">
      <c r="A997" s="28" t="s">
        <v>35</v>
      </c>
      <c r="B997" s="19">
        <v>3966048</v>
      </c>
      <c r="C997" s="19">
        <v>4262903.9059251128</v>
      </c>
      <c r="D997" s="19">
        <v>0</v>
      </c>
      <c r="E997" s="19">
        <v>0</v>
      </c>
      <c r="F997" s="19">
        <v>0</v>
      </c>
      <c r="G997" s="19">
        <v>0</v>
      </c>
      <c r="H997" s="20">
        <v>7.4849297316904151E-2</v>
      </c>
      <c r="I997" s="20">
        <v>0</v>
      </c>
      <c r="J997" s="20">
        <v>7.4849297316904151E-2</v>
      </c>
    </row>
    <row r="998" spans="1:10" ht="11.25" customHeight="1" x14ac:dyDescent="0.2">
      <c r="A998" s="29">
        <v>44409</v>
      </c>
      <c r="B998" s="19">
        <v>330504</v>
      </c>
      <c r="C998" s="19">
        <v>355241.99216042605</v>
      </c>
      <c r="D998" s="19">
        <v>0</v>
      </c>
      <c r="E998" s="19">
        <v>0</v>
      </c>
      <c r="F998" s="19">
        <v>0</v>
      </c>
      <c r="G998" s="19">
        <v>0</v>
      </c>
      <c r="H998" s="20">
        <v>7.4849297316903929E-2</v>
      </c>
      <c r="I998" s="20">
        <v>0</v>
      </c>
      <c r="J998" s="20">
        <v>7.4849297316903929E-2</v>
      </c>
    </row>
    <row r="999" spans="1:10" ht="11.25" customHeight="1" x14ac:dyDescent="0.2">
      <c r="A999" s="29">
        <v>44440</v>
      </c>
      <c r="B999" s="19">
        <v>330504</v>
      </c>
      <c r="C999" s="19">
        <v>355241.99216042605</v>
      </c>
      <c r="D999" s="19">
        <v>0</v>
      </c>
      <c r="E999" s="19">
        <v>0</v>
      </c>
      <c r="F999" s="19">
        <v>0</v>
      </c>
      <c r="G999" s="19">
        <v>0</v>
      </c>
      <c r="H999" s="20">
        <v>7.4849297316903929E-2</v>
      </c>
      <c r="I999" s="20">
        <v>0</v>
      </c>
      <c r="J999" s="20">
        <v>7.4849297316903929E-2</v>
      </c>
    </row>
    <row r="1000" spans="1:10" ht="11.25" customHeight="1" x14ac:dyDescent="0.2">
      <c r="A1000" s="29">
        <v>44470</v>
      </c>
      <c r="B1000" s="19">
        <v>330504</v>
      </c>
      <c r="C1000" s="19">
        <v>355241.99216042605</v>
      </c>
      <c r="D1000" s="19">
        <v>0</v>
      </c>
      <c r="E1000" s="19">
        <v>0</v>
      </c>
      <c r="F1000" s="19">
        <v>0</v>
      </c>
      <c r="G1000" s="19">
        <v>0</v>
      </c>
      <c r="H1000" s="20">
        <v>7.4849297316903929E-2</v>
      </c>
      <c r="I1000" s="20">
        <v>0</v>
      </c>
      <c r="J1000" s="20">
        <v>7.4849297316903929E-2</v>
      </c>
    </row>
    <row r="1001" spans="1:10" ht="11.25" customHeight="1" x14ac:dyDescent="0.2">
      <c r="A1001" s="29">
        <v>44501</v>
      </c>
      <c r="B1001" s="19">
        <v>330504</v>
      </c>
      <c r="C1001" s="19">
        <v>355241.99216042605</v>
      </c>
      <c r="D1001" s="19">
        <v>0</v>
      </c>
      <c r="E1001" s="19">
        <v>0</v>
      </c>
      <c r="F1001" s="19">
        <v>0</v>
      </c>
      <c r="G1001" s="19">
        <v>0</v>
      </c>
      <c r="H1001" s="20">
        <v>7.4849297316903929E-2</v>
      </c>
      <c r="I1001" s="20">
        <v>0</v>
      </c>
      <c r="J1001" s="20">
        <v>7.4849297316903929E-2</v>
      </c>
    </row>
    <row r="1002" spans="1:10" ht="11.25" customHeight="1" x14ac:dyDescent="0.2">
      <c r="A1002" s="29">
        <v>44531</v>
      </c>
      <c r="B1002" s="19">
        <v>330504</v>
      </c>
      <c r="C1002" s="19">
        <v>355241.99216042605</v>
      </c>
      <c r="D1002" s="19">
        <v>0</v>
      </c>
      <c r="E1002" s="19">
        <v>0</v>
      </c>
      <c r="F1002" s="19">
        <v>0</v>
      </c>
      <c r="G1002" s="19">
        <v>0</v>
      </c>
      <c r="H1002" s="20">
        <v>7.4849297316903929E-2</v>
      </c>
      <c r="I1002" s="20">
        <v>0</v>
      </c>
      <c r="J1002" s="20">
        <v>7.4849297316903929E-2</v>
      </c>
    </row>
    <row r="1003" spans="1:10" ht="11.25" customHeight="1" x14ac:dyDescent="0.2">
      <c r="A1003" s="29">
        <v>44562</v>
      </c>
      <c r="B1003" s="19">
        <v>330504</v>
      </c>
      <c r="C1003" s="19">
        <v>355241.99216042605</v>
      </c>
      <c r="D1003" s="19">
        <v>0</v>
      </c>
      <c r="E1003" s="19">
        <v>0</v>
      </c>
      <c r="F1003" s="19">
        <v>0</v>
      </c>
      <c r="G1003" s="19">
        <v>0</v>
      </c>
      <c r="H1003" s="20">
        <v>7.4849297316903929E-2</v>
      </c>
      <c r="I1003" s="20">
        <v>0</v>
      </c>
      <c r="J1003" s="20">
        <v>7.4849297316903929E-2</v>
      </c>
    </row>
    <row r="1004" spans="1:10" ht="11.25" customHeight="1" x14ac:dyDescent="0.2">
      <c r="A1004" s="29">
        <v>44593</v>
      </c>
      <c r="B1004" s="19">
        <v>330504</v>
      </c>
      <c r="C1004" s="19">
        <v>355241.99216042605</v>
      </c>
      <c r="D1004" s="19">
        <v>0</v>
      </c>
      <c r="E1004" s="19">
        <v>0</v>
      </c>
      <c r="F1004" s="19">
        <v>0</v>
      </c>
      <c r="G1004" s="19">
        <v>0</v>
      </c>
      <c r="H1004" s="20">
        <v>7.4849297316903929E-2</v>
      </c>
      <c r="I1004" s="20">
        <v>0</v>
      </c>
      <c r="J1004" s="20">
        <v>7.4849297316903929E-2</v>
      </c>
    </row>
    <row r="1005" spans="1:10" ht="11.25" customHeight="1" x14ac:dyDescent="0.2">
      <c r="A1005" s="29">
        <v>44621</v>
      </c>
      <c r="B1005" s="19">
        <v>330504</v>
      </c>
      <c r="C1005" s="19">
        <v>355241.99216042605</v>
      </c>
      <c r="D1005" s="19">
        <v>0</v>
      </c>
      <c r="E1005" s="19">
        <v>0</v>
      </c>
      <c r="F1005" s="19">
        <v>0</v>
      </c>
      <c r="G1005" s="19">
        <v>0</v>
      </c>
      <c r="H1005" s="20">
        <v>7.4849297316903929E-2</v>
      </c>
      <c r="I1005" s="20">
        <v>0</v>
      </c>
      <c r="J1005" s="20">
        <v>7.4849297316903929E-2</v>
      </c>
    </row>
    <row r="1006" spans="1:10" ht="11.25" customHeight="1" x14ac:dyDescent="0.2">
      <c r="A1006" s="29">
        <v>44652</v>
      </c>
      <c r="B1006" s="19">
        <v>330504</v>
      </c>
      <c r="C1006" s="19">
        <v>355241.99216042605</v>
      </c>
      <c r="D1006" s="19">
        <v>0</v>
      </c>
      <c r="E1006" s="19">
        <v>0</v>
      </c>
      <c r="F1006" s="19">
        <v>0</v>
      </c>
      <c r="G1006" s="19">
        <v>0</v>
      </c>
      <c r="H1006" s="20">
        <v>7.4849297316903929E-2</v>
      </c>
      <c r="I1006" s="20">
        <v>0</v>
      </c>
      <c r="J1006" s="20">
        <v>7.4849297316903929E-2</v>
      </c>
    </row>
    <row r="1007" spans="1:10" ht="11.25" customHeight="1" x14ac:dyDescent="0.2">
      <c r="A1007" s="29">
        <v>44682</v>
      </c>
      <c r="B1007" s="19">
        <v>330504</v>
      </c>
      <c r="C1007" s="19">
        <v>355241.99216042605</v>
      </c>
      <c r="D1007" s="19">
        <v>0</v>
      </c>
      <c r="E1007" s="19">
        <v>0</v>
      </c>
      <c r="F1007" s="19">
        <v>0</v>
      </c>
      <c r="G1007" s="19">
        <v>0</v>
      </c>
      <c r="H1007" s="20">
        <v>7.4849297316903929E-2</v>
      </c>
      <c r="I1007" s="20">
        <v>0</v>
      </c>
      <c r="J1007" s="20">
        <v>7.4849297316903929E-2</v>
      </c>
    </row>
    <row r="1008" spans="1:10" ht="11.25" customHeight="1" x14ac:dyDescent="0.2">
      <c r="A1008" s="29">
        <v>44713</v>
      </c>
      <c r="B1008" s="19">
        <v>330504</v>
      </c>
      <c r="C1008" s="19">
        <v>355241.99216042605</v>
      </c>
      <c r="D1008" s="19">
        <v>0</v>
      </c>
      <c r="E1008" s="19">
        <v>0</v>
      </c>
      <c r="F1008" s="19">
        <v>0</v>
      </c>
      <c r="G1008" s="19">
        <v>0</v>
      </c>
      <c r="H1008" s="20">
        <v>7.4849297316903929E-2</v>
      </c>
      <c r="I1008" s="20">
        <v>0</v>
      </c>
      <c r="J1008" s="20">
        <v>7.4849297316903929E-2</v>
      </c>
    </row>
    <row r="1009" spans="1:10" ht="11.25" customHeight="1" x14ac:dyDescent="0.2">
      <c r="A1009" s="29">
        <v>44743</v>
      </c>
      <c r="B1009" s="19">
        <v>330504</v>
      </c>
      <c r="C1009" s="19">
        <v>355241.99216042605</v>
      </c>
      <c r="D1009" s="19">
        <v>0</v>
      </c>
      <c r="E1009" s="19">
        <v>0</v>
      </c>
      <c r="F1009" s="19">
        <v>0</v>
      </c>
      <c r="G1009" s="19">
        <v>0</v>
      </c>
      <c r="H1009" s="20">
        <v>7.4849297316903929E-2</v>
      </c>
      <c r="I1009" s="20">
        <v>0</v>
      </c>
      <c r="J1009" s="20">
        <v>7.4849297316903929E-2</v>
      </c>
    </row>
    <row r="1010" spans="1:10" ht="11.25" customHeight="1" x14ac:dyDescent="0.2">
      <c r="A1010" s="28" t="s">
        <v>25</v>
      </c>
      <c r="B1010" s="19">
        <v>0</v>
      </c>
      <c r="C1010" s="19">
        <v>0</v>
      </c>
      <c r="D1010" s="19">
        <v>1003585.1748300001</v>
      </c>
      <c r="E1010" s="19">
        <v>910199.84507623757</v>
      </c>
      <c r="F1010" s="19">
        <v>0</v>
      </c>
      <c r="G1010" s="19">
        <v>0</v>
      </c>
      <c r="H1010" s="20">
        <v>-9.3051723058365621E-2</v>
      </c>
      <c r="I1010" s="20">
        <v>0</v>
      </c>
      <c r="J1010" s="20">
        <v>-9.3051723058365621E-2</v>
      </c>
    </row>
    <row r="1011" spans="1:10" ht="11.25" customHeight="1" x14ac:dyDescent="0.2">
      <c r="A1011" s="29">
        <v>44409</v>
      </c>
      <c r="B1011" s="19">
        <v>0</v>
      </c>
      <c r="C1011" s="19">
        <v>0</v>
      </c>
      <c r="D1011" s="19">
        <v>79986.702810000003</v>
      </c>
      <c r="E1011" s="19">
        <v>72543.802291772095</v>
      </c>
      <c r="F1011" s="19">
        <v>0</v>
      </c>
      <c r="G1011" s="19">
        <v>0</v>
      </c>
      <c r="H1011" s="20">
        <v>-9.305172305836551E-2</v>
      </c>
      <c r="I1011" s="20">
        <v>0</v>
      </c>
      <c r="J1011" s="20">
        <v>-9.305172305836551E-2</v>
      </c>
    </row>
    <row r="1012" spans="1:10" ht="11.25" customHeight="1" x14ac:dyDescent="0.2">
      <c r="A1012" s="29">
        <v>44440</v>
      </c>
      <c r="B1012" s="19">
        <v>0</v>
      </c>
      <c r="C1012" s="19">
        <v>0</v>
      </c>
      <c r="D1012" s="19">
        <v>77846.665379999991</v>
      </c>
      <c r="E1012" s="19">
        <v>70602.899032042988</v>
      </c>
      <c r="F1012" s="19">
        <v>0</v>
      </c>
      <c r="G1012" s="19">
        <v>0</v>
      </c>
      <c r="H1012" s="20">
        <v>-9.3051723058365399E-2</v>
      </c>
      <c r="I1012" s="20">
        <v>0</v>
      </c>
      <c r="J1012" s="20">
        <v>-9.3051723058365399E-2</v>
      </c>
    </row>
    <row r="1013" spans="1:10" ht="11.25" customHeight="1" x14ac:dyDescent="0.2">
      <c r="A1013" s="29">
        <v>44470</v>
      </c>
      <c r="B1013" s="19">
        <v>0</v>
      </c>
      <c r="C1013" s="19">
        <v>0</v>
      </c>
      <c r="D1013" s="19">
        <v>81116.447580000007</v>
      </c>
      <c r="E1013" s="19">
        <v>73568.422364307422</v>
      </c>
      <c r="F1013" s="19">
        <v>0</v>
      </c>
      <c r="G1013" s="19">
        <v>0</v>
      </c>
      <c r="H1013" s="20">
        <v>-9.305172305836551E-2</v>
      </c>
      <c r="I1013" s="20">
        <v>0</v>
      </c>
      <c r="J1013" s="20">
        <v>-9.305172305836551E-2</v>
      </c>
    </row>
    <row r="1014" spans="1:10" ht="11.25" customHeight="1" x14ac:dyDescent="0.2">
      <c r="A1014" s="29">
        <v>44501</v>
      </c>
      <c r="B1014" s="19">
        <v>0</v>
      </c>
      <c r="C1014" s="19">
        <v>0</v>
      </c>
      <c r="D1014" s="19">
        <v>86666.325840000005</v>
      </c>
      <c r="E1014" s="19">
        <v>78601.87488945025</v>
      </c>
      <c r="F1014" s="19">
        <v>0</v>
      </c>
      <c r="G1014" s="19">
        <v>0</v>
      </c>
      <c r="H1014" s="20">
        <v>-9.3051723058365621E-2</v>
      </c>
      <c r="I1014" s="20">
        <v>0</v>
      </c>
      <c r="J1014" s="20">
        <v>-9.3051723058365621E-2</v>
      </c>
    </row>
    <row r="1015" spans="1:10" ht="11.25" customHeight="1" x14ac:dyDescent="0.2">
      <c r="A1015" s="29">
        <v>44531</v>
      </c>
      <c r="B1015" s="19">
        <v>0</v>
      </c>
      <c r="C1015" s="19">
        <v>0</v>
      </c>
      <c r="D1015" s="19">
        <v>86365.951560000001</v>
      </c>
      <c r="E1015" s="19">
        <v>78329.450953766675</v>
      </c>
      <c r="F1015" s="19">
        <v>0</v>
      </c>
      <c r="G1015" s="19">
        <v>0</v>
      </c>
      <c r="H1015" s="20">
        <v>-9.305172305836551E-2</v>
      </c>
      <c r="I1015" s="20">
        <v>0</v>
      </c>
      <c r="J1015" s="20">
        <v>-9.305172305836551E-2</v>
      </c>
    </row>
    <row r="1016" spans="1:10" ht="11.25" customHeight="1" x14ac:dyDescent="0.2">
      <c r="A1016" s="29">
        <v>44562</v>
      </c>
      <c r="B1016" s="19">
        <v>0</v>
      </c>
      <c r="C1016" s="19">
        <v>0</v>
      </c>
      <c r="D1016" s="19">
        <v>87756.129750000007</v>
      </c>
      <c r="E1016" s="19">
        <v>79590.270667829012</v>
      </c>
      <c r="F1016" s="19">
        <v>0</v>
      </c>
      <c r="G1016" s="19">
        <v>0</v>
      </c>
      <c r="H1016" s="20">
        <v>-9.305172305836551E-2</v>
      </c>
      <c r="I1016" s="20">
        <v>0</v>
      </c>
      <c r="J1016" s="20">
        <v>-9.305172305836551E-2</v>
      </c>
    </row>
    <row r="1017" spans="1:10" ht="11.25" customHeight="1" x14ac:dyDescent="0.2">
      <c r="A1017" s="29">
        <v>44593</v>
      </c>
      <c r="B1017" s="19">
        <v>0</v>
      </c>
      <c r="C1017" s="19">
        <v>0</v>
      </c>
      <c r="D1017" s="19">
        <v>85562.444069999998</v>
      </c>
      <c r="E1017" s="19">
        <v>77600.711220201469</v>
      </c>
      <c r="F1017" s="19">
        <v>0</v>
      </c>
      <c r="G1017" s="19">
        <v>0</v>
      </c>
      <c r="H1017" s="20">
        <v>-9.305172305836551E-2</v>
      </c>
      <c r="I1017" s="20">
        <v>0</v>
      </c>
      <c r="J1017" s="20">
        <v>-9.305172305836551E-2</v>
      </c>
    </row>
    <row r="1018" spans="1:10" ht="11.25" customHeight="1" x14ac:dyDescent="0.2">
      <c r="A1018" s="29">
        <v>44621</v>
      </c>
      <c r="B1018" s="19">
        <v>0</v>
      </c>
      <c r="C1018" s="19">
        <v>0</v>
      </c>
      <c r="D1018" s="19">
        <v>80789.860800000009</v>
      </c>
      <c r="E1018" s="19">
        <v>73272.225046914507</v>
      </c>
      <c r="F1018" s="19">
        <v>0</v>
      </c>
      <c r="G1018" s="19">
        <v>0</v>
      </c>
      <c r="H1018" s="20">
        <v>-9.305172305836551E-2</v>
      </c>
      <c r="I1018" s="20">
        <v>0</v>
      </c>
      <c r="J1018" s="20">
        <v>-9.305172305836551E-2</v>
      </c>
    </row>
    <row r="1019" spans="1:10" ht="11.25" customHeight="1" x14ac:dyDescent="0.2">
      <c r="A1019" s="29">
        <v>44652</v>
      </c>
      <c r="B1019" s="19">
        <v>0</v>
      </c>
      <c r="C1019" s="19">
        <v>0</v>
      </c>
      <c r="D1019" s="19">
        <v>87684.803790000005</v>
      </c>
      <c r="E1019" s="19">
        <v>79525.5817113058</v>
      </c>
      <c r="F1019" s="19">
        <v>0</v>
      </c>
      <c r="G1019" s="19">
        <v>0</v>
      </c>
      <c r="H1019" s="20">
        <v>-9.3051723058365621E-2</v>
      </c>
      <c r="I1019" s="20">
        <v>0</v>
      </c>
      <c r="J1019" s="20">
        <v>-9.3051723058365621E-2</v>
      </c>
    </row>
    <row r="1020" spans="1:10" ht="11.25" customHeight="1" x14ac:dyDescent="0.2">
      <c r="A1020" s="29">
        <v>44682</v>
      </c>
      <c r="B1020" s="19">
        <v>0</v>
      </c>
      <c r="C1020" s="19">
        <v>0</v>
      </c>
      <c r="D1020" s="19">
        <v>83721.571649999998</v>
      </c>
      <c r="E1020" s="19">
        <v>75931.13515081309</v>
      </c>
      <c r="F1020" s="19">
        <v>0</v>
      </c>
      <c r="G1020" s="19">
        <v>0</v>
      </c>
      <c r="H1020" s="20">
        <v>-9.305172305836551E-2</v>
      </c>
      <c r="I1020" s="20">
        <v>0</v>
      </c>
      <c r="J1020" s="20">
        <v>-9.305172305836551E-2</v>
      </c>
    </row>
    <row r="1021" spans="1:10" ht="11.25" customHeight="1" x14ac:dyDescent="0.2">
      <c r="A1021" s="29">
        <v>44713</v>
      </c>
      <c r="B1021" s="19">
        <v>0</v>
      </c>
      <c r="C1021" s="19">
        <v>0</v>
      </c>
      <c r="D1021" s="19">
        <v>83044.135800000004</v>
      </c>
      <c r="E1021" s="19">
        <v>75316.735873917103</v>
      </c>
      <c r="F1021" s="19">
        <v>0</v>
      </c>
      <c r="G1021" s="19">
        <v>0</v>
      </c>
      <c r="H1021" s="20">
        <v>-9.305172305836551E-2</v>
      </c>
      <c r="I1021" s="20">
        <v>0</v>
      </c>
      <c r="J1021" s="20">
        <v>-9.305172305836551E-2</v>
      </c>
    </row>
    <row r="1022" spans="1:10" ht="11.25" customHeight="1" x14ac:dyDescent="0.2">
      <c r="A1022" s="29">
        <v>44743</v>
      </c>
      <c r="B1022" s="19">
        <v>0</v>
      </c>
      <c r="C1022" s="19">
        <v>0</v>
      </c>
      <c r="D1022" s="19">
        <v>83044.135800000004</v>
      </c>
      <c r="E1022" s="19">
        <v>75316.735873917103</v>
      </c>
      <c r="F1022" s="19">
        <v>0</v>
      </c>
      <c r="G1022" s="19">
        <v>0</v>
      </c>
      <c r="H1022" s="20">
        <v>-9.305172305836551E-2</v>
      </c>
      <c r="I1022" s="20">
        <v>0</v>
      </c>
      <c r="J1022" s="20">
        <v>-9.305172305836551E-2</v>
      </c>
    </row>
    <row r="1023" spans="1:10" ht="11.25" customHeight="1" x14ac:dyDescent="0.2">
      <c r="A1023" s="28" t="s">
        <v>34</v>
      </c>
      <c r="B1023" s="19">
        <v>7473306.4000000004</v>
      </c>
      <c r="C1023" s="19">
        <v>8058379.7302416591</v>
      </c>
      <c r="D1023" s="19">
        <v>0</v>
      </c>
      <c r="E1023" s="19">
        <v>0</v>
      </c>
      <c r="F1023" s="19">
        <v>0</v>
      </c>
      <c r="G1023" s="19">
        <v>0</v>
      </c>
      <c r="H1023" s="20">
        <v>7.8288417325115711E-2</v>
      </c>
      <c r="I1023" s="20">
        <v>0</v>
      </c>
      <c r="J1023" s="20">
        <v>7.8288417325115711E-2</v>
      </c>
    </row>
    <row r="1024" spans="1:10" ht="11.25" customHeight="1" x14ac:dyDescent="0.2">
      <c r="A1024" s="29">
        <v>44409</v>
      </c>
      <c r="B1024" s="19">
        <v>620620</v>
      </c>
      <c r="C1024" s="19">
        <v>669207.35756031354</v>
      </c>
      <c r="D1024" s="19">
        <v>0</v>
      </c>
      <c r="E1024" s="19">
        <v>0</v>
      </c>
      <c r="F1024" s="19">
        <v>0</v>
      </c>
      <c r="G1024" s="19">
        <v>0</v>
      </c>
      <c r="H1024" s="20">
        <v>7.8288417325116155E-2</v>
      </c>
      <c r="I1024" s="20">
        <v>0</v>
      </c>
      <c r="J1024" s="20">
        <v>7.8288417325116155E-2</v>
      </c>
    </row>
    <row r="1025" spans="1:10" ht="11.25" customHeight="1" x14ac:dyDescent="0.2">
      <c r="A1025" s="29">
        <v>44440</v>
      </c>
      <c r="B1025" s="19">
        <v>620620</v>
      </c>
      <c r="C1025" s="19">
        <v>669207.35756031354</v>
      </c>
      <c r="D1025" s="19">
        <v>0</v>
      </c>
      <c r="E1025" s="19">
        <v>0</v>
      </c>
      <c r="F1025" s="19">
        <v>0</v>
      </c>
      <c r="G1025" s="19">
        <v>0</v>
      </c>
      <c r="H1025" s="20">
        <v>7.8288417325116155E-2</v>
      </c>
      <c r="I1025" s="20">
        <v>0</v>
      </c>
      <c r="J1025" s="20">
        <v>7.8288417325116155E-2</v>
      </c>
    </row>
    <row r="1026" spans="1:10" ht="11.25" customHeight="1" x14ac:dyDescent="0.2">
      <c r="A1026" s="29">
        <v>44470</v>
      </c>
      <c r="B1026" s="19">
        <v>620620</v>
      </c>
      <c r="C1026" s="19">
        <v>669207.35756031354</v>
      </c>
      <c r="D1026" s="19">
        <v>0</v>
      </c>
      <c r="E1026" s="19">
        <v>0</v>
      </c>
      <c r="F1026" s="19">
        <v>0</v>
      </c>
      <c r="G1026" s="19">
        <v>0</v>
      </c>
      <c r="H1026" s="20">
        <v>7.8288417325116155E-2</v>
      </c>
      <c r="I1026" s="20">
        <v>0</v>
      </c>
      <c r="J1026" s="20">
        <v>7.8288417325116155E-2</v>
      </c>
    </row>
    <row r="1027" spans="1:10" ht="11.25" customHeight="1" x14ac:dyDescent="0.2">
      <c r="A1027" s="29">
        <v>44501</v>
      </c>
      <c r="B1027" s="19">
        <v>620620</v>
      </c>
      <c r="C1027" s="19">
        <v>669207.35756031354</v>
      </c>
      <c r="D1027" s="19">
        <v>0</v>
      </c>
      <c r="E1027" s="19">
        <v>0</v>
      </c>
      <c r="F1027" s="19">
        <v>0</v>
      </c>
      <c r="G1027" s="19">
        <v>0</v>
      </c>
      <c r="H1027" s="20">
        <v>7.8288417325116155E-2</v>
      </c>
      <c r="I1027" s="20">
        <v>0</v>
      </c>
      <c r="J1027" s="20">
        <v>7.8288417325116155E-2</v>
      </c>
    </row>
    <row r="1028" spans="1:10" ht="11.25" customHeight="1" x14ac:dyDescent="0.2">
      <c r="A1028" s="29">
        <v>44531</v>
      </c>
      <c r="B1028" s="19">
        <v>620620</v>
      </c>
      <c r="C1028" s="19">
        <v>669207.35756031354</v>
      </c>
      <c r="D1028" s="19">
        <v>0</v>
      </c>
      <c r="E1028" s="19">
        <v>0</v>
      </c>
      <c r="F1028" s="19">
        <v>0</v>
      </c>
      <c r="G1028" s="19">
        <v>0</v>
      </c>
      <c r="H1028" s="20">
        <v>7.8288417325116155E-2</v>
      </c>
      <c r="I1028" s="20">
        <v>0</v>
      </c>
      <c r="J1028" s="20">
        <v>7.8288417325116155E-2</v>
      </c>
    </row>
    <row r="1029" spans="1:10" ht="11.25" customHeight="1" x14ac:dyDescent="0.2">
      <c r="A1029" s="29">
        <v>44562</v>
      </c>
      <c r="B1029" s="19">
        <v>646486.4</v>
      </c>
      <c r="C1029" s="19">
        <v>697098.79707821202</v>
      </c>
      <c r="D1029" s="19">
        <v>0</v>
      </c>
      <c r="E1029" s="19">
        <v>0</v>
      </c>
      <c r="F1029" s="19">
        <v>0</v>
      </c>
      <c r="G1029" s="19">
        <v>0</v>
      </c>
      <c r="H1029" s="20">
        <v>7.8288417325116155E-2</v>
      </c>
      <c r="I1029" s="20">
        <v>0</v>
      </c>
      <c r="J1029" s="20">
        <v>7.8288417325116155E-2</v>
      </c>
    </row>
    <row r="1030" spans="1:10" ht="11.25" customHeight="1" x14ac:dyDescent="0.2">
      <c r="A1030" s="29">
        <v>44593</v>
      </c>
      <c r="B1030" s="19">
        <v>620620</v>
      </c>
      <c r="C1030" s="19">
        <v>669207.35756031354</v>
      </c>
      <c r="D1030" s="19">
        <v>0</v>
      </c>
      <c r="E1030" s="19">
        <v>0</v>
      </c>
      <c r="F1030" s="19">
        <v>0</v>
      </c>
      <c r="G1030" s="19">
        <v>0</v>
      </c>
      <c r="H1030" s="20">
        <v>7.8288417325116155E-2</v>
      </c>
      <c r="I1030" s="20">
        <v>0</v>
      </c>
      <c r="J1030" s="20">
        <v>7.8288417325116155E-2</v>
      </c>
    </row>
    <row r="1031" spans="1:10" ht="11.25" customHeight="1" x14ac:dyDescent="0.2">
      <c r="A1031" s="29">
        <v>44621</v>
      </c>
      <c r="B1031" s="19">
        <v>620620</v>
      </c>
      <c r="C1031" s="19">
        <v>669207.35756031354</v>
      </c>
      <c r="D1031" s="19">
        <v>0</v>
      </c>
      <c r="E1031" s="19">
        <v>0</v>
      </c>
      <c r="F1031" s="19">
        <v>0</v>
      </c>
      <c r="G1031" s="19">
        <v>0</v>
      </c>
      <c r="H1031" s="20">
        <v>7.8288417325116155E-2</v>
      </c>
      <c r="I1031" s="20">
        <v>0</v>
      </c>
      <c r="J1031" s="20">
        <v>7.8288417325116155E-2</v>
      </c>
    </row>
    <row r="1032" spans="1:10" ht="11.25" customHeight="1" x14ac:dyDescent="0.2">
      <c r="A1032" s="29">
        <v>44652</v>
      </c>
      <c r="B1032" s="19">
        <v>620620</v>
      </c>
      <c r="C1032" s="19">
        <v>669207.35756031354</v>
      </c>
      <c r="D1032" s="19">
        <v>0</v>
      </c>
      <c r="E1032" s="19">
        <v>0</v>
      </c>
      <c r="F1032" s="19">
        <v>0</v>
      </c>
      <c r="G1032" s="19">
        <v>0</v>
      </c>
      <c r="H1032" s="20">
        <v>7.8288417325116155E-2</v>
      </c>
      <c r="I1032" s="20">
        <v>0</v>
      </c>
      <c r="J1032" s="20">
        <v>7.8288417325116155E-2</v>
      </c>
    </row>
    <row r="1033" spans="1:10" ht="11.25" customHeight="1" x14ac:dyDescent="0.2">
      <c r="A1033" s="29">
        <v>44682</v>
      </c>
      <c r="B1033" s="19">
        <v>620620</v>
      </c>
      <c r="C1033" s="19">
        <v>669207.35756031354</v>
      </c>
      <c r="D1033" s="19">
        <v>0</v>
      </c>
      <c r="E1033" s="19">
        <v>0</v>
      </c>
      <c r="F1033" s="19">
        <v>0</v>
      </c>
      <c r="G1033" s="19">
        <v>0</v>
      </c>
      <c r="H1033" s="20">
        <v>7.8288417325116155E-2</v>
      </c>
      <c r="I1033" s="20">
        <v>0</v>
      </c>
      <c r="J1033" s="20">
        <v>7.8288417325116155E-2</v>
      </c>
    </row>
    <row r="1034" spans="1:10" ht="11.25" customHeight="1" x14ac:dyDescent="0.2">
      <c r="A1034" s="29">
        <v>44713</v>
      </c>
      <c r="B1034" s="19">
        <v>620620</v>
      </c>
      <c r="C1034" s="19">
        <v>669207.35756031354</v>
      </c>
      <c r="D1034" s="19">
        <v>0</v>
      </c>
      <c r="E1034" s="19">
        <v>0</v>
      </c>
      <c r="F1034" s="19">
        <v>0</v>
      </c>
      <c r="G1034" s="19">
        <v>0</v>
      </c>
      <c r="H1034" s="20">
        <v>7.8288417325116155E-2</v>
      </c>
      <c r="I1034" s="20">
        <v>0</v>
      </c>
      <c r="J1034" s="20">
        <v>7.8288417325116155E-2</v>
      </c>
    </row>
    <row r="1035" spans="1:10" ht="11.25" customHeight="1" x14ac:dyDescent="0.2">
      <c r="A1035" s="29">
        <v>44743</v>
      </c>
      <c r="B1035" s="19">
        <v>620620</v>
      </c>
      <c r="C1035" s="19">
        <v>669207.35756031354</v>
      </c>
      <c r="D1035" s="19">
        <v>0</v>
      </c>
      <c r="E1035" s="19">
        <v>0</v>
      </c>
      <c r="F1035" s="19">
        <v>0</v>
      </c>
      <c r="G1035" s="19">
        <v>0</v>
      </c>
      <c r="H1035" s="20">
        <v>7.8288417325116155E-2</v>
      </c>
      <c r="I1035" s="20">
        <v>0</v>
      </c>
      <c r="J1035" s="20">
        <v>7.8288417325116155E-2</v>
      </c>
    </row>
    <row r="1036" spans="1:10" ht="11.25" customHeight="1" x14ac:dyDescent="0.2">
      <c r="A1036" s="22" t="s">
        <v>41</v>
      </c>
      <c r="B1036" s="19">
        <v>4683404.4400000041</v>
      </c>
      <c r="C1036" s="19">
        <v>5072617.5318964487</v>
      </c>
      <c r="D1036" s="19">
        <v>1012314.1949999999</v>
      </c>
      <c r="E1036" s="19">
        <v>918360.98369980033</v>
      </c>
      <c r="F1036" s="19">
        <v>0</v>
      </c>
      <c r="G1036" s="19">
        <v>0</v>
      </c>
      <c r="H1036" s="20">
        <v>5.1838916125856782E-2</v>
      </c>
      <c r="I1036" s="20">
        <v>0</v>
      </c>
      <c r="J1036" s="20">
        <v>5.1838916125856782E-2</v>
      </c>
    </row>
    <row r="1037" spans="1:10" ht="11.25" customHeight="1" x14ac:dyDescent="0.2">
      <c r="A1037" s="23" t="s">
        <v>62</v>
      </c>
      <c r="B1037" s="19">
        <v>4683404.4400000041</v>
      </c>
      <c r="C1037" s="19">
        <v>5072617.5318964487</v>
      </c>
      <c r="D1037" s="19">
        <v>1012314.1949999999</v>
      </c>
      <c r="E1037" s="19">
        <v>918360.98369980033</v>
      </c>
      <c r="F1037" s="19">
        <v>0</v>
      </c>
      <c r="G1037" s="19">
        <v>0</v>
      </c>
      <c r="H1037" s="20">
        <v>5.1838916125856782E-2</v>
      </c>
      <c r="I1037" s="20">
        <v>0</v>
      </c>
      <c r="J1037" s="20">
        <v>5.1838916125856782E-2</v>
      </c>
    </row>
    <row r="1038" spans="1:10" ht="11.25" customHeight="1" x14ac:dyDescent="0.2">
      <c r="A1038" s="24" t="s">
        <v>25</v>
      </c>
      <c r="B1038" s="19">
        <v>4683404.4400000041</v>
      </c>
      <c r="C1038" s="19">
        <v>5072617.5318964487</v>
      </c>
      <c r="D1038" s="19">
        <v>1012314.1949999999</v>
      </c>
      <c r="E1038" s="19">
        <v>918360.98369980033</v>
      </c>
      <c r="F1038" s="19">
        <v>0</v>
      </c>
      <c r="G1038" s="19">
        <v>0</v>
      </c>
      <c r="H1038" s="20">
        <v>5.1838916125856782E-2</v>
      </c>
      <c r="I1038" s="20">
        <v>0</v>
      </c>
      <c r="J1038" s="20">
        <v>5.1838916125856782E-2</v>
      </c>
    </row>
    <row r="1039" spans="1:10" ht="11.25" customHeight="1" x14ac:dyDescent="0.2">
      <c r="A1039" s="25" t="s">
        <v>25</v>
      </c>
      <c r="B1039" s="19">
        <v>4683404.4400000041</v>
      </c>
      <c r="C1039" s="19">
        <v>5072617.5318964487</v>
      </c>
      <c r="D1039" s="19">
        <v>1012314.1949999999</v>
      </c>
      <c r="E1039" s="19">
        <v>918360.98369980033</v>
      </c>
      <c r="F1039" s="19">
        <v>0</v>
      </c>
      <c r="G1039" s="19">
        <v>0</v>
      </c>
      <c r="H1039" s="20">
        <v>5.1838916125856782E-2</v>
      </c>
      <c r="I1039" s="20">
        <v>0</v>
      </c>
      <c r="J1039" s="20">
        <v>5.1838916125856782E-2</v>
      </c>
    </row>
    <row r="1040" spans="1:10" ht="11.25" customHeight="1" x14ac:dyDescent="0.2">
      <c r="A1040" s="26" t="s">
        <v>25</v>
      </c>
      <c r="B1040" s="19">
        <v>4683404.4400000041</v>
      </c>
      <c r="C1040" s="19">
        <v>5072617.5318964487</v>
      </c>
      <c r="D1040" s="19">
        <v>1012314.1949999999</v>
      </c>
      <c r="E1040" s="19">
        <v>918360.98369980033</v>
      </c>
      <c r="F1040" s="19">
        <v>0</v>
      </c>
      <c r="G1040" s="19">
        <v>0</v>
      </c>
      <c r="H1040" s="20">
        <v>5.1838916125856782E-2</v>
      </c>
      <c r="I1040" s="20">
        <v>0</v>
      </c>
      <c r="J1040" s="20">
        <v>5.1838916125856782E-2</v>
      </c>
    </row>
    <row r="1041" spans="1:10" ht="11.25" customHeight="1" x14ac:dyDescent="0.2">
      <c r="A1041" s="27" t="s">
        <v>63</v>
      </c>
      <c r="B1041" s="19">
        <v>3308302.8800000008</v>
      </c>
      <c r="C1041" s="19">
        <v>3582985.1376945134</v>
      </c>
      <c r="D1041" s="19">
        <v>658346.14500000002</v>
      </c>
      <c r="E1041" s="19">
        <v>597244.82411033602</v>
      </c>
      <c r="F1041" s="19">
        <v>0</v>
      </c>
      <c r="G1041" s="19">
        <v>0</v>
      </c>
      <c r="H1041" s="20">
        <v>5.3844173119109939E-2</v>
      </c>
      <c r="I1041" s="20">
        <v>0</v>
      </c>
      <c r="J1041" s="20">
        <v>5.3844173119109939E-2</v>
      </c>
    </row>
    <row r="1042" spans="1:10" ht="11.25" customHeight="1" x14ac:dyDescent="0.2">
      <c r="A1042" s="28" t="s">
        <v>35</v>
      </c>
      <c r="B1042" s="19">
        <v>1165516.8</v>
      </c>
      <c r="C1042" s="19">
        <v>1263889.3900856532</v>
      </c>
      <c r="D1042" s="19">
        <v>0</v>
      </c>
      <c r="E1042" s="19">
        <v>0</v>
      </c>
      <c r="F1042" s="19">
        <v>0</v>
      </c>
      <c r="G1042" s="19">
        <v>0</v>
      </c>
      <c r="H1042" s="20">
        <v>8.4402550083922501E-2</v>
      </c>
      <c r="I1042" s="20">
        <v>0</v>
      </c>
      <c r="J1042" s="20">
        <v>8.4402550083922501E-2</v>
      </c>
    </row>
    <row r="1043" spans="1:10" ht="11.25" customHeight="1" x14ac:dyDescent="0.2">
      <c r="A1043" s="29">
        <v>44409</v>
      </c>
      <c r="B1043" s="19">
        <v>97126.400000000009</v>
      </c>
      <c r="C1043" s="19">
        <v>105324.11584047109</v>
      </c>
      <c r="D1043" s="19">
        <v>0</v>
      </c>
      <c r="E1043" s="19">
        <v>0</v>
      </c>
      <c r="F1043" s="19">
        <v>0</v>
      </c>
      <c r="G1043" s="19">
        <v>0</v>
      </c>
      <c r="H1043" s="20">
        <v>8.4402550083922279E-2</v>
      </c>
      <c r="I1043" s="20">
        <v>0</v>
      </c>
      <c r="J1043" s="20">
        <v>8.4402550083922279E-2</v>
      </c>
    </row>
    <row r="1044" spans="1:10" ht="11.25" customHeight="1" x14ac:dyDescent="0.2">
      <c r="A1044" s="29">
        <v>44440</v>
      </c>
      <c r="B1044" s="19">
        <v>97126.400000000009</v>
      </c>
      <c r="C1044" s="19">
        <v>105324.11584047109</v>
      </c>
      <c r="D1044" s="19">
        <v>0</v>
      </c>
      <c r="E1044" s="19">
        <v>0</v>
      </c>
      <c r="F1044" s="19">
        <v>0</v>
      </c>
      <c r="G1044" s="19">
        <v>0</v>
      </c>
      <c r="H1044" s="20">
        <v>8.4402550083922279E-2</v>
      </c>
      <c r="I1044" s="20">
        <v>0</v>
      </c>
      <c r="J1044" s="20">
        <v>8.4402550083922279E-2</v>
      </c>
    </row>
    <row r="1045" spans="1:10" ht="11.25" customHeight="1" x14ac:dyDescent="0.2">
      <c r="A1045" s="29">
        <v>44470</v>
      </c>
      <c r="B1045" s="19">
        <v>97126.400000000009</v>
      </c>
      <c r="C1045" s="19">
        <v>105324.11584047109</v>
      </c>
      <c r="D1045" s="19">
        <v>0</v>
      </c>
      <c r="E1045" s="19">
        <v>0</v>
      </c>
      <c r="F1045" s="19">
        <v>0</v>
      </c>
      <c r="G1045" s="19">
        <v>0</v>
      </c>
      <c r="H1045" s="20">
        <v>8.4402550083922279E-2</v>
      </c>
      <c r="I1045" s="20">
        <v>0</v>
      </c>
      <c r="J1045" s="20">
        <v>8.4402550083922279E-2</v>
      </c>
    </row>
    <row r="1046" spans="1:10" ht="11.25" customHeight="1" x14ac:dyDescent="0.2">
      <c r="A1046" s="29">
        <v>44501</v>
      </c>
      <c r="B1046" s="19">
        <v>97126.400000000009</v>
      </c>
      <c r="C1046" s="19">
        <v>105324.11584047109</v>
      </c>
      <c r="D1046" s="19">
        <v>0</v>
      </c>
      <c r="E1046" s="19">
        <v>0</v>
      </c>
      <c r="F1046" s="19">
        <v>0</v>
      </c>
      <c r="G1046" s="19">
        <v>0</v>
      </c>
      <c r="H1046" s="20">
        <v>8.4402550083922279E-2</v>
      </c>
      <c r="I1046" s="20">
        <v>0</v>
      </c>
      <c r="J1046" s="20">
        <v>8.4402550083922279E-2</v>
      </c>
    </row>
    <row r="1047" spans="1:10" ht="11.25" customHeight="1" x14ac:dyDescent="0.2">
      <c r="A1047" s="29">
        <v>44531</v>
      </c>
      <c r="B1047" s="19">
        <v>97126.400000000009</v>
      </c>
      <c r="C1047" s="19">
        <v>105324.11584047109</v>
      </c>
      <c r="D1047" s="19">
        <v>0</v>
      </c>
      <c r="E1047" s="19">
        <v>0</v>
      </c>
      <c r="F1047" s="19">
        <v>0</v>
      </c>
      <c r="G1047" s="19">
        <v>0</v>
      </c>
      <c r="H1047" s="20">
        <v>8.4402550083922279E-2</v>
      </c>
      <c r="I1047" s="20">
        <v>0</v>
      </c>
      <c r="J1047" s="20">
        <v>8.4402550083922279E-2</v>
      </c>
    </row>
    <row r="1048" spans="1:10" ht="11.25" customHeight="1" x14ac:dyDescent="0.2">
      <c r="A1048" s="29">
        <v>44562</v>
      </c>
      <c r="B1048" s="19">
        <v>97126.400000000009</v>
      </c>
      <c r="C1048" s="19">
        <v>105324.11584047109</v>
      </c>
      <c r="D1048" s="19">
        <v>0</v>
      </c>
      <c r="E1048" s="19">
        <v>0</v>
      </c>
      <c r="F1048" s="19">
        <v>0</v>
      </c>
      <c r="G1048" s="19">
        <v>0</v>
      </c>
      <c r="H1048" s="20">
        <v>8.4402550083922279E-2</v>
      </c>
      <c r="I1048" s="20">
        <v>0</v>
      </c>
      <c r="J1048" s="20">
        <v>8.4402550083922279E-2</v>
      </c>
    </row>
    <row r="1049" spans="1:10" ht="11.25" customHeight="1" x14ac:dyDescent="0.2">
      <c r="A1049" s="29">
        <v>44593</v>
      </c>
      <c r="B1049" s="19">
        <v>97126.400000000009</v>
      </c>
      <c r="C1049" s="19">
        <v>105324.11584047109</v>
      </c>
      <c r="D1049" s="19">
        <v>0</v>
      </c>
      <c r="E1049" s="19">
        <v>0</v>
      </c>
      <c r="F1049" s="19">
        <v>0</v>
      </c>
      <c r="G1049" s="19">
        <v>0</v>
      </c>
      <c r="H1049" s="20">
        <v>8.4402550083922279E-2</v>
      </c>
      <c r="I1049" s="20">
        <v>0</v>
      </c>
      <c r="J1049" s="20">
        <v>8.4402550083922279E-2</v>
      </c>
    </row>
    <row r="1050" spans="1:10" ht="11.25" customHeight="1" x14ac:dyDescent="0.2">
      <c r="A1050" s="29">
        <v>44621</v>
      </c>
      <c r="B1050" s="19">
        <v>97126.400000000009</v>
      </c>
      <c r="C1050" s="19">
        <v>105324.11584047109</v>
      </c>
      <c r="D1050" s="19">
        <v>0</v>
      </c>
      <c r="E1050" s="19">
        <v>0</v>
      </c>
      <c r="F1050" s="19">
        <v>0</v>
      </c>
      <c r="G1050" s="19">
        <v>0</v>
      </c>
      <c r="H1050" s="20">
        <v>8.4402550083922279E-2</v>
      </c>
      <c r="I1050" s="20">
        <v>0</v>
      </c>
      <c r="J1050" s="20">
        <v>8.4402550083922279E-2</v>
      </c>
    </row>
    <row r="1051" spans="1:10" ht="11.25" customHeight="1" x14ac:dyDescent="0.2">
      <c r="A1051" s="29">
        <v>44652</v>
      </c>
      <c r="B1051" s="19">
        <v>97126.400000000009</v>
      </c>
      <c r="C1051" s="19">
        <v>105324.11584047109</v>
      </c>
      <c r="D1051" s="19">
        <v>0</v>
      </c>
      <c r="E1051" s="19">
        <v>0</v>
      </c>
      <c r="F1051" s="19">
        <v>0</v>
      </c>
      <c r="G1051" s="19">
        <v>0</v>
      </c>
      <c r="H1051" s="20">
        <v>8.4402550083922279E-2</v>
      </c>
      <c r="I1051" s="20">
        <v>0</v>
      </c>
      <c r="J1051" s="20">
        <v>8.4402550083922279E-2</v>
      </c>
    </row>
    <row r="1052" spans="1:10" ht="11.25" customHeight="1" x14ac:dyDescent="0.2">
      <c r="A1052" s="29">
        <v>44682</v>
      </c>
      <c r="B1052" s="19">
        <v>97126.400000000009</v>
      </c>
      <c r="C1052" s="19">
        <v>105324.11584047109</v>
      </c>
      <c r="D1052" s="19">
        <v>0</v>
      </c>
      <c r="E1052" s="19">
        <v>0</v>
      </c>
      <c r="F1052" s="19">
        <v>0</v>
      </c>
      <c r="G1052" s="19">
        <v>0</v>
      </c>
      <c r="H1052" s="20">
        <v>8.4402550083922279E-2</v>
      </c>
      <c r="I1052" s="20">
        <v>0</v>
      </c>
      <c r="J1052" s="20">
        <v>8.4402550083922279E-2</v>
      </c>
    </row>
    <row r="1053" spans="1:10" ht="11.25" customHeight="1" x14ac:dyDescent="0.2">
      <c r="A1053" s="29">
        <v>44713</v>
      </c>
      <c r="B1053" s="19">
        <v>97126.400000000009</v>
      </c>
      <c r="C1053" s="19">
        <v>105324.11584047109</v>
      </c>
      <c r="D1053" s="19">
        <v>0</v>
      </c>
      <c r="E1053" s="19">
        <v>0</v>
      </c>
      <c r="F1053" s="19">
        <v>0</v>
      </c>
      <c r="G1053" s="19">
        <v>0</v>
      </c>
      <c r="H1053" s="20">
        <v>8.4402550083922279E-2</v>
      </c>
      <c r="I1053" s="20">
        <v>0</v>
      </c>
      <c r="J1053" s="20">
        <v>8.4402550083922279E-2</v>
      </c>
    </row>
    <row r="1054" spans="1:10" ht="11.25" customHeight="1" x14ac:dyDescent="0.2">
      <c r="A1054" s="29">
        <v>44743</v>
      </c>
      <c r="B1054" s="19">
        <v>97126.400000000009</v>
      </c>
      <c r="C1054" s="19">
        <v>105324.11584047109</v>
      </c>
      <c r="D1054" s="19">
        <v>0</v>
      </c>
      <c r="E1054" s="19">
        <v>0</v>
      </c>
      <c r="F1054" s="19">
        <v>0</v>
      </c>
      <c r="G1054" s="19">
        <v>0</v>
      </c>
      <c r="H1054" s="20">
        <v>8.4402550083922279E-2</v>
      </c>
      <c r="I1054" s="20">
        <v>0</v>
      </c>
      <c r="J1054" s="20">
        <v>8.4402550083922279E-2</v>
      </c>
    </row>
    <row r="1055" spans="1:10" ht="11.25" customHeight="1" x14ac:dyDescent="0.2">
      <c r="A1055" s="28" t="s">
        <v>25</v>
      </c>
      <c r="B1055" s="19">
        <v>0</v>
      </c>
      <c r="C1055" s="19">
        <v>0</v>
      </c>
      <c r="D1055" s="19">
        <v>658346.14500000002</v>
      </c>
      <c r="E1055" s="19">
        <v>597244.82411033602</v>
      </c>
      <c r="F1055" s="19">
        <v>0</v>
      </c>
      <c r="G1055" s="19">
        <v>0</v>
      </c>
      <c r="H1055" s="20">
        <v>-9.2810326837508894E-2</v>
      </c>
      <c r="I1055" s="20">
        <v>0</v>
      </c>
      <c r="J1055" s="20">
        <v>-9.2810326837508894E-2</v>
      </c>
    </row>
    <row r="1056" spans="1:10" ht="11.25" customHeight="1" x14ac:dyDescent="0.2">
      <c r="A1056" s="29">
        <v>44409</v>
      </c>
      <c r="B1056" s="19">
        <v>0</v>
      </c>
      <c r="C1056" s="19">
        <v>0</v>
      </c>
      <c r="D1056" s="19">
        <v>49140.345000000001</v>
      </c>
      <c r="E1056" s="19">
        <v>44579.613519642051</v>
      </c>
      <c r="F1056" s="19">
        <v>0</v>
      </c>
      <c r="G1056" s="19">
        <v>0</v>
      </c>
      <c r="H1056" s="20">
        <v>-9.2810326837509005E-2</v>
      </c>
      <c r="I1056" s="20">
        <v>0</v>
      </c>
      <c r="J1056" s="20">
        <v>-9.2810326837509005E-2</v>
      </c>
    </row>
    <row r="1057" spans="1:10" ht="11.25" customHeight="1" x14ac:dyDescent="0.2">
      <c r="A1057" s="29">
        <v>44440</v>
      </c>
      <c r="B1057" s="19">
        <v>0</v>
      </c>
      <c r="C1057" s="19">
        <v>0</v>
      </c>
      <c r="D1057" s="19">
        <v>48207.87</v>
      </c>
      <c r="E1057" s="19">
        <v>43733.681829159861</v>
      </c>
      <c r="F1057" s="19">
        <v>0</v>
      </c>
      <c r="G1057" s="19">
        <v>0</v>
      </c>
      <c r="H1057" s="20">
        <v>-9.2810326837508894E-2</v>
      </c>
      <c r="I1057" s="20">
        <v>0</v>
      </c>
      <c r="J1057" s="20">
        <v>-9.2810326837508894E-2</v>
      </c>
    </row>
    <row r="1058" spans="1:10" ht="11.25" customHeight="1" x14ac:dyDescent="0.2">
      <c r="A1058" s="29">
        <v>44470</v>
      </c>
      <c r="B1058" s="19">
        <v>0</v>
      </c>
      <c r="C1058" s="19">
        <v>0</v>
      </c>
      <c r="D1058" s="19">
        <v>51473.1</v>
      </c>
      <c r="E1058" s="19">
        <v>46695.864765660219</v>
      </c>
      <c r="F1058" s="19">
        <v>0</v>
      </c>
      <c r="G1058" s="19">
        <v>0</v>
      </c>
      <c r="H1058" s="20">
        <v>-9.2810326837508894E-2</v>
      </c>
      <c r="I1058" s="20">
        <v>0</v>
      </c>
      <c r="J1058" s="20">
        <v>-9.2810326837508894E-2</v>
      </c>
    </row>
    <row r="1059" spans="1:10" ht="11.25" customHeight="1" x14ac:dyDescent="0.2">
      <c r="A1059" s="29">
        <v>44501</v>
      </c>
      <c r="B1059" s="19">
        <v>0</v>
      </c>
      <c r="C1059" s="19">
        <v>0</v>
      </c>
      <c r="D1059" s="19">
        <v>57230.505000000005</v>
      </c>
      <c r="E1059" s="19">
        <v>51918.923125874317</v>
      </c>
      <c r="F1059" s="19">
        <v>0</v>
      </c>
      <c r="G1059" s="19">
        <v>0</v>
      </c>
      <c r="H1059" s="20">
        <v>-9.2810326837508894E-2</v>
      </c>
      <c r="I1059" s="20">
        <v>0</v>
      </c>
      <c r="J1059" s="20">
        <v>-9.2810326837508894E-2</v>
      </c>
    </row>
    <row r="1060" spans="1:10" ht="11.25" customHeight="1" x14ac:dyDescent="0.2">
      <c r="A1060" s="29">
        <v>44531</v>
      </c>
      <c r="B1060" s="19">
        <v>0</v>
      </c>
      <c r="C1060" s="19">
        <v>0</v>
      </c>
      <c r="D1060" s="19">
        <v>58700.37</v>
      </c>
      <c r="E1060" s="19">
        <v>53252.3694748173</v>
      </c>
      <c r="F1060" s="19">
        <v>0</v>
      </c>
      <c r="G1060" s="19">
        <v>0</v>
      </c>
      <c r="H1060" s="20">
        <v>-9.2810326837508894E-2</v>
      </c>
      <c r="I1060" s="20">
        <v>0</v>
      </c>
      <c r="J1060" s="20">
        <v>-9.2810326837508894E-2</v>
      </c>
    </row>
    <row r="1061" spans="1:10" ht="11.25" customHeight="1" x14ac:dyDescent="0.2">
      <c r="A1061" s="29">
        <v>44562</v>
      </c>
      <c r="B1061" s="19">
        <v>0</v>
      </c>
      <c r="C1061" s="19">
        <v>0</v>
      </c>
      <c r="D1061" s="19">
        <v>60209.145000000004</v>
      </c>
      <c r="E1061" s="19">
        <v>54621.114573943036</v>
      </c>
      <c r="F1061" s="19">
        <v>0</v>
      </c>
      <c r="G1061" s="19">
        <v>0</v>
      </c>
      <c r="H1061" s="20">
        <v>-9.2810326837509005E-2</v>
      </c>
      <c r="I1061" s="20">
        <v>0</v>
      </c>
      <c r="J1061" s="20">
        <v>-9.2810326837509005E-2</v>
      </c>
    </row>
    <row r="1062" spans="1:10" ht="11.25" customHeight="1" x14ac:dyDescent="0.2">
      <c r="A1062" s="29">
        <v>44593</v>
      </c>
      <c r="B1062" s="19">
        <v>0</v>
      </c>
      <c r="C1062" s="19">
        <v>0</v>
      </c>
      <c r="D1062" s="19">
        <v>55744.83</v>
      </c>
      <c r="E1062" s="19">
        <v>50571.134108198625</v>
      </c>
      <c r="F1062" s="19">
        <v>0</v>
      </c>
      <c r="G1062" s="19">
        <v>0</v>
      </c>
      <c r="H1062" s="20">
        <v>-9.2810326837509005E-2</v>
      </c>
      <c r="I1062" s="20">
        <v>0</v>
      </c>
      <c r="J1062" s="20">
        <v>-9.2810326837509005E-2</v>
      </c>
    </row>
    <row r="1063" spans="1:10" ht="11.25" customHeight="1" x14ac:dyDescent="0.2">
      <c r="A1063" s="29">
        <v>44621</v>
      </c>
      <c r="B1063" s="19">
        <v>0</v>
      </c>
      <c r="C1063" s="19">
        <v>0</v>
      </c>
      <c r="D1063" s="19">
        <v>52685.16</v>
      </c>
      <c r="E1063" s="19">
        <v>47795.43308091355</v>
      </c>
      <c r="F1063" s="19">
        <v>0</v>
      </c>
      <c r="G1063" s="19">
        <v>0</v>
      </c>
      <c r="H1063" s="20">
        <v>-9.2810326837509005E-2</v>
      </c>
      <c r="I1063" s="20">
        <v>0</v>
      </c>
      <c r="J1063" s="20">
        <v>-9.2810326837509005E-2</v>
      </c>
    </row>
    <row r="1064" spans="1:10" ht="11.25" customHeight="1" x14ac:dyDescent="0.2">
      <c r="A1064" s="29">
        <v>44652</v>
      </c>
      <c r="B1064" s="19">
        <v>0</v>
      </c>
      <c r="C1064" s="19">
        <v>0</v>
      </c>
      <c r="D1064" s="19">
        <v>58413.120000000003</v>
      </c>
      <c r="E1064" s="19">
        <v>52991.779241201373</v>
      </c>
      <c r="F1064" s="19">
        <v>0</v>
      </c>
      <c r="G1064" s="19">
        <v>0</v>
      </c>
      <c r="H1064" s="20">
        <v>-9.2810326837508894E-2</v>
      </c>
      <c r="I1064" s="20">
        <v>0</v>
      </c>
      <c r="J1064" s="20">
        <v>-9.2810326837508894E-2</v>
      </c>
    </row>
    <row r="1065" spans="1:10" ht="11.25" customHeight="1" x14ac:dyDescent="0.2">
      <c r="A1065" s="29">
        <v>44682</v>
      </c>
      <c r="B1065" s="19">
        <v>0</v>
      </c>
      <c r="C1065" s="19">
        <v>0</v>
      </c>
      <c r="D1065" s="19">
        <v>55585.020000000004</v>
      </c>
      <c r="E1065" s="19">
        <v>50426.156126530528</v>
      </c>
      <c r="F1065" s="19">
        <v>0</v>
      </c>
      <c r="G1065" s="19">
        <v>0</v>
      </c>
      <c r="H1065" s="20">
        <v>-9.2810326837509005E-2</v>
      </c>
      <c r="I1065" s="20">
        <v>0</v>
      </c>
      <c r="J1065" s="20">
        <v>-9.2810326837509005E-2</v>
      </c>
    </row>
    <row r="1066" spans="1:10" ht="11.25" customHeight="1" x14ac:dyDescent="0.2">
      <c r="A1066" s="29">
        <v>44713</v>
      </c>
      <c r="B1066" s="19">
        <v>0</v>
      </c>
      <c r="C1066" s="19">
        <v>0</v>
      </c>
      <c r="D1066" s="19">
        <v>55478.340000000004</v>
      </c>
      <c r="E1066" s="19">
        <v>50329.377132197558</v>
      </c>
      <c r="F1066" s="19">
        <v>0</v>
      </c>
      <c r="G1066" s="19">
        <v>0</v>
      </c>
      <c r="H1066" s="20">
        <v>-9.2810326837508894E-2</v>
      </c>
      <c r="I1066" s="20">
        <v>0</v>
      </c>
      <c r="J1066" s="20">
        <v>-9.2810326837508894E-2</v>
      </c>
    </row>
    <row r="1067" spans="1:10" ht="11.25" customHeight="1" x14ac:dyDescent="0.2">
      <c r="A1067" s="29">
        <v>44743</v>
      </c>
      <c r="B1067" s="19">
        <v>0</v>
      </c>
      <c r="C1067" s="19">
        <v>0</v>
      </c>
      <c r="D1067" s="19">
        <v>55478.340000000004</v>
      </c>
      <c r="E1067" s="19">
        <v>50329.377132197558</v>
      </c>
      <c r="F1067" s="19">
        <v>0</v>
      </c>
      <c r="G1067" s="19">
        <v>0</v>
      </c>
      <c r="H1067" s="20">
        <v>-9.2810326837508894E-2</v>
      </c>
      <c r="I1067" s="20">
        <v>0</v>
      </c>
      <c r="J1067" s="20">
        <v>-9.2810326837508894E-2</v>
      </c>
    </row>
    <row r="1068" spans="1:10" ht="11.25" customHeight="1" x14ac:dyDescent="0.2">
      <c r="A1068" s="28" t="s">
        <v>34</v>
      </c>
      <c r="B1068" s="19">
        <v>2142786.0800000005</v>
      </c>
      <c r="C1068" s="19">
        <v>2319095.7476088605</v>
      </c>
      <c r="D1068" s="19">
        <v>0</v>
      </c>
      <c r="E1068" s="19">
        <v>0</v>
      </c>
      <c r="F1068" s="19">
        <v>0</v>
      </c>
      <c r="G1068" s="19">
        <v>0</v>
      </c>
      <c r="H1068" s="20">
        <v>8.2280573527367729E-2</v>
      </c>
      <c r="I1068" s="20">
        <v>0</v>
      </c>
      <c r="J1068" s="20">
        <v>8.2280573527367729E-2</v>
      </c>
    </row>
    <row r="1069" spans="1:10" ht="11.25" customHeight="1" x14ac:dyDescent="0.2">
      <c r="A1069" s="29">
        <v>44409</v>
      </c>
      <c r="B1069" s="19">
        <v>178223.64</v>
      </c>
      <c r="C1069" s="19">
        <v>192887.98331533521</v>
      </c>
      <c r="D1069" s="19">
        <v>0</v>
      </c>
      <c r="E1069" s="19">
        <v>0</v>
      </c>
      <c r="F1069" s="19">
        <v>0</v>
      </c>
      <c r="G1069" s="19">
        <v>0</v>
      </c>
      <c r="H1069" s="20">
        <v>8.2280573527368173E-2</v>
      </c>
      <c r="I1069" s="20">
        <v>0</v>
      </c>
      <c r="J1069" s="20">
        <v>8.2280573527368173E-2</v>
      </c>
    </row>
    <row r="1070" spans="1:10" ht="11.25" customHeight="1" x14ac:dyDescent="0.2">
      <c r="A1070" s="29">
        <v>44440</v>
      </c>
      <c r="B1070" s="19">
        <v>178223.64</v>
      </c>
      <c r="C1070" s="19">
        <v>192887.98331533521</v>
      </c>
      <c r="D1070" s="19">
        <v>0</v>
      </c>
      <c r="E1070" s="19">
        <v>0</v>
      </c>
      <c r="F1070" s="19">
        <v>0</v>
      </c>
      <c r="G1070" s="19">
        <v>0</v>
      </c>
      <c r="H1070" s="20">
        <v>8.2280573527368173E-2</v>
      </c>
      <c r="I1070" s="20">
        <v>0</v>
      </c>
      <c r="J1070" s="20">
        <v>8.2280573527368173E-2</v>
      </c>
    </row>
    <row r="1071" spans="1:10" ht="11.25" customHeight="1" x14ac:dyDescent="0.2">
      <c r="A1071" s="29">
        <v>44470</v>
      </c>
      <c r="B1071" s="19">
        <v>178223.64</v>
      </c>
      <c r="C1071" s="19">
        <v>192887.98331533521</v>
      </c>
      <c r="D1071" s="19">
        <v>0</v>
      </c>
      <c r="E1071" s="19">
        <v>0</v>
      </c>
      <c r="F1071" s="19">
        <v>0</v>
      </c>
      <c r="G1071" s="19">
        <v>0</v>
      </c>
      <c r="H1071" s="20">
        <v>8.2280573527368173E-2</v>
      </c>
      <c r="I1071" s="20">
        <v>0</v>
      </c>
      <c r="J1071" s="20">
        <v>8.2280573527368173E-2</v>
      </c>
    </row>
    <row r="1072" spans="1:10" ht="11.25" customHeight="1" x14ac:dyDescent="0.2">
      <c r="A1072" s="29">
        <v>44501</v>
      </c>
      <c r="B1072" s="19">
        <v>178223.64</v>
      </c>
      <c r="C1072" s="19">
        <v>192887.98331533521</v>
      </c>
      <c r="D1072" s="19">
        <v>0</v>
      </c>
      <c r="E1072" s="19">
        <v>0</v>
      </c>
      <c r="F1072" s="19">
        <v>0</v>
      </c>
      <c r="G1072" s="19">
        <v>0</v>
      </c>
      <c r="H1072" s="20">
        <v>8.2280573527368173E-2</v>
      </c>
      <c r="I1072" s="20">
        <v>0</v>
      </c>
      <c r="J1072" s="20">
        <v>8.2280573527368173E-2</v>
      </c>
    </row>
    <row r="1073" spans="1:10" ht="11.25" customHeight="1" x14ac:dyDescent="0.2">
      <c r="A1073" s="29">
        <v>44531</v>
      </c>
      <c r="B1073" s="19">
        <v>178223.64</v>
      </c>
      <c r="C1073" s="19">
        <v>192887.98331533521</v>
      </c>
      <c r="D1073" s="19">
        <v>0</v>
      </c>
      <c r="E1073" s="19">
        <v>0</v>
      </c>
      <c r="F1073" s="19">
        <v>0</v>
      </c>
      <c r="G1073" s="19">
        <v>0</v>
      </c>
      <c r="H1073" s="20">
        <v>8.2280573527368173E-2</v>
      </c>
      <c r="I1073" s="20">
        <v>0</v>
      </c>
      <c r="J1073" s="20">
        <v>8.2280573527368173E-2</v>
      </c>
    </row>
    <row r="1074" spans="1:10" ht="11.25" customHeight="1" x14ac:dyDescent="0.2">
      <c r="A1074" s="29">
        <v>44562</v>
      </c>
      <c r="B1074" s="19">
        <v>178223.64</v>
      </c>
      <c r="C1074" s="19">
        <v>192887.98331533521</v>
      </c>
      <c r="D1074" s="19">
        <v>0</v>
      </c>
      <c r="E1074" s="19">
        <v>0</v>
      </c>
      <c r="F1074" s="19">
        <v>0</v>
      </c>
      <c r="G1074" s="19">
        <v>0</v>
      </c>
      <c r="H1074" s="20">
        <v>8.2280573527368173E-2</v>
      </c>
      <c r="I1074" s="20">
        <v>0</v>
      </c>
      <c r="J1074" s="20">
        <v>8.2280573527368173E-2</v>
      </c>
    </row>
    <row r="1075" spans="1:10" ht="11.25" customHeight="1" x14ac:dyDescent="0.2">
      <c r="A1075" s="29">
        <v>44593</v>
      </c>
      <c r="B1075" s="19">
        <v>178223.64</v>
      </c>
      <c r="C1075" s="19">
        <v>192887.98331533521</v>
      </c>
      <c r="D1075" s="19">
        <v>0</v>
      </c>
      <c r="E1075" s="19">
        <v>0</v>
      </c>
      <c r="F1075" s="19">
        <v>0</v>
      </c>
      <c r="G1075" s="19">
        <v>0</v>
      </c>
      <c r="H1075" s="20">
        <v>8.2280573527368173E-2</v>
      </c>
      <c r="I1075" s="20">
        <v>0</v>
      </c>
      <c r="J1075" s="20">
        <v>8.2280573527368173E-2</v>
      </c>
    </row>
    <row r="1076" spans="1:10" ht="11.25" customHeight="1" x14ac:dyDescent="0.2">
      <c r="A1076" s="29">
        <v>44621</v>
      </c>
      <c r="B1076" s="19">
        <v>178223.64</v>
      </c>
      <c r="C1076" s="19">
        <v>192887.98331533521</v>
      </c>
      <c r="D1076" s="19">
        <v>0</v>
      </c>
      <c r="E1076" s="19">
        <v>0</v>
      </c>
      <c r="F1076" s="19">
        <v>0</v>
      </c>
      <c r="G1076" s="19">
        <v>0</v>
      </c>
      <c r="H1076" s="20">
        <v>8.2280573527368173E-2</v>
      </c>
      <c r="I1076" s="20">
        <v>0</v>
      </c>
      <c r="J1076" s="20">
        <v>8.2280573527368173E-2</v>
      </c>
    </row>
    <row r="1077" spans="1:10" ht="11.25" customHeight="1" x14ac:dyDescent="0.2">
      <c r="A1077" s="29">
        <v>44652</v>
      </c>
      <c r="B1077" s="19">
        <v>178223.64</v>
      </c>
      <c r="C1077" s="19">
        <v>192887.98331533521</v>
      </c>
      <c r="D1077" s="19">
        <v>0</v>
      </c>
      <c r="E1077" s="19">
        <v>0</v>
      </c>
      <c r="F1077" s="19">
        <v>0</v>
      </c>
      <c r="G1077" s="19">
        <v>0</v>
      </c>
      <c r="H1077" s="20">
        <v>8.2280573527368173E-2</v>
      </c>
      <c r="I1077" s="20">
        <v>0</v>
      </c>
      <c r="J1077" s="20">
        <v>8.2280573527368173E-2</v>
      </c>
    </row>
    <row r="1078" spans="1:10" ht="11.25" customHeight="1" x14ac:dyDescent="0.2">
      <c r="A1078" s="29">
        <v>44682</v>
      </c>
      <c r="B1078" s="19">
        <v>178223.64</v>
      </c>
      <c r="C1078" s="19">
        <v>192887.98331533521</v>
      </c>
      <c r="D1078" s="19">
        <v>0</v>
      </c>
      <c r="E1078" s="19">
        <v>0</v>
      </c>
      <c r="F1078" s="19">
        <v>0</v>
      </c>
      <c r="G1078" s="19">
        <v>0</v>
      </c>
      <c r="H1078" s="20">
        <v>8.2280573527368173E-2</v>
      </c>
      <c r="I1078" s="20">
        <v>0</v>
      </c>
      <c r="J1078" s="20">
        <v>8.2280573527368173E-2</v>
      </c>
    </row>
    <row r="1079" spans="1:10" ht="11.25" customHeight="1" x14ac:dyDescent="0.2">
      <c r="A1079" s="29">
        <v>44713</v>
      </c>
      <c r="B1079" s="19">
        <v>180274.84</v>
      </c>
      <c r="C1079" s="19">
        <v>195107.95722775455</v>
      </c>
      <c r="D1079" s="19">
        <v>0</v>
      </c>
      <c r="E1079" s="19">
        <v>0</v>
      </c>
      <c r="F1079" s="19">
        <v>0</v>
      </c>
      <c r="G1079" s="19">
        <v>0</v>
      </c>
      <c r="H1079" s="20">
        <v>8.2280573527368395E-2</v>
      </c>
      <c r="I1079" s="20">
        <v>0</v>
      </c>
      <c r="J1079" s="20">
        <v>8.2280573527368395E-2</v>
      </c>
    </row>
    <row r="1080" spans="1:10" ht="11.25" customHeight="1" x14ac:dyDescent="0.2">
      <c r="A1080" s="29">
        <v>44743</v>
      </c>
      <c r="B1080" s="19">
        <v>180274.84</v>
      </c>
      <c r="C1080" s="19">
        <v>195107.95722775455</v>
      </c>
      <c r="D1080" s="19">
        <v>0</v>
      </c>
      <c r="E1080" s="19">
        <v>0</v>
      </c>
      <c r="F1080" s="19">
        <v>0</v>
      </c>
      <c r="G1080" s="19">
        <v>0</v>
      </c>
      <c r="H1080" s="20">
        <v>8.2280573527368395E-2</v>
      </c>
      <c r="I1080" s="20">
        <v>0</v>
      </c>
      <c r="J1080" s="20">
        <v>8.2280573527368395E-2</v>
      </c>
    </row>
    <row r="1081" spans="1:10" ht="11.25" customHeight="1" x14ac:dyDescent="0.2">
      <c r="A1081" s="27" t="s">
        <v>65</v>
      </c>
      <c r="B1081" s="19">
        <v>1375101.5599999996</v>
      </c>
      <c r="C1081" s="19">
        <v>1489632.394201935</v>
      </c>
      <c r="D1081" s="19">
        <v>353968.05</v>
      </c>
      <c r="E1081" s="19">
        <v>321116.15958946431</v>
      </c>
      <c r="F1081" s="19">
        <v>0</v>
      </c>
      <c r="G1081" s="19">
        <v>0</v>
      </c>
      <c r="H1081" s="20">
        <v>4.7238667153140179E-2</v>
      </c>
      <c r="I1081" s="20">
        <v>0</v>
      </c>
      <c r="J1081" s="20">
        <v>4.7238667153140179E-2</v>
      </c>
    </row>
    <row r="1082" spans="1:10" ht="11.25" customHeight="1" x14ac:dyDescent="0.2">
      <c r="A1082" s="28" t="s">
        <v>35</v>
      </c>
      <c r="B1082" s="19">
        <v>653489.39999999991</v>
      </c>
      <c r="C1082" s="19">
        <v>708645.57181281259</v>
      </c>
      <c r="D1082" s="19">
        <v>0</v>
      </c>
      <c r="E1082" s="19">
        <v>0</v>
      </c>
      <c r="F1082" s="19">
        <v>0</v>
      </c>
      <c r="G1082" s="19">
        <v>0</v>
      </c>
      <c r="H1082" s="20">
        <v>8.4402550083922945E-2</v>
      </c>
      <c r="I1082" s="20">
        <v>0</v>
      </c>
      <c r="J1082" s="20">
        <v>8.4402550083922945E-2</v>
      </c>
    </row>
    <row r="1083" spans="1:10" ht="11.25" customHeight="1" x14ac:dyDescent="0.2">
      <c r="A1083" s="29">
        <v>44409</v>
      </c>
      <c r="B1083" s="19">
        <v>54457.450000000004</v>
      </c>
      <c r="C1083" s="19">
        <v>59053.797651067704</v>
      </c>
      <c r="D1083" s="19">
        <v>0</v>
      </c>
      <c r="E1083" s="19">
        <v>0</v>
      </c>
      <c r="F1083" s="19">
        <v>0</v>
      </c>
      <c r="G1083" s="19">
        <v>0</v>
      </c>
      <c r="H1083" s="20">
        <v>8.4402550083922279E-2</v>
      </c>
      <c r="I1083" s="20">
        <v>0</v>
      </c>
      <c r="J1083" s="20">
        <v>8.4402550083922279E-2</v>
      </c>
    </row>
    <row r="1084" spans="1:10" ht="11.25" customHeight="1" x14ac:dyDescent="0.2">
      <c r="A1084" s="29">
        <v>44440</v>
      </c>
      <c r="B1084" s="19">
        <v>54457.450000000004</v>
      </c>
      <c r="C1084" s="19">
        <v>59053.797651067704</v>
      </c>
      <c r="D1084" s="19">
        <v>0</v>
      </c>
      <c r="E1084" s="19">
        <v>0</v>
      </c>
      <c r="F1084" s="19">
        <v>0</v>
      </c>
      <c r="G1084" s="19">
        <v>0</v>
      </c>
      <c r="H1084" s="20">
        <v>8.4402550083922279E-2</v>
      </c>
      <c r="I1084" s="20">
        <v>0</v>
      </c>
      <c r="J1084" s="20">
        <v>8.4402550083922279E-2</v>
      </c>
    </row>
    <row r="1085" spans="1:10" ht="11.25" customHeight="1" x14ac:dyDescent="0.2">
      <c r="A1085" s="29">
        <v>44470</v>
      </c>
      <c r="B1085" s="19">
        <v>54457.450000000004</v>
      </c>
      <c r="C1085" s="19">
        <v>59053.797651067704</v>
      </c>
      <c r="D1085" s="19">
        <v>0</v>
      </c>
      <c r="E1085" s="19">
        <v>0</v>
      </c>
      <c r="F1085" s="19">
        <v>0</v>
      </c>
      <c r="G1085" s="19">
        <v>0</v>
      </c>
      <c r="H1085" s="20">
        <v>8.4402550083922279E-2</v>
      </c>
      <c r="I1085" s="20">
        <v>0</v>
      </c>
      <c r="J1085" s="20">
        <v>8.4402550083922279E-2</v>
      </c>
    </row>
    <row r="1086" spans="1:10" ht="11.25" customHeight="1" x14ac:dyDescent="0.2">
      <c r="A1086" s="29">
        <v>44501</v>
      </c>
      <c r="B1086" s="19">
        <v>54457.450000000004</v>
      </c>
      <c r="C1086" s="19">
        <v>59053.797651067704</v>
      </c>
      <c r="D1086" s="19">
        <v>0</v>
      </c>
      <c r="E1086" s="19">
        <v>0</v>
      </c>
      <c r="F1086" s="19">
        <v>0</v>
      </c>
      <c r="G1086" s="19">
        <v>0</v>
      </c>
      <c r="H1086" s="20">
        <v>8.4402550083922279E-2</v>
      </c>
      <c r="I1086" s="20">
        <v>0</v>
      </c>
      <c r="J1086" s="20">
        <v>8.4402550083922279E-2</v>
      </c>
    </row>
    <row r="1087" spans="1:10" ht="11.25" customHeight="1" x14ac:dyDescent="0.2">
      <c r="A1087" s="29">
        <v>44531</v>
      </c>
      <c r="B1087" s="19">
        <v>54457.450000000004</v>
      </c>
      <c r="C1087" s="19">
        <v>59053.797651067704</v>
      </c>
      <c r="D1087" s="19">
        <v>0</v>
      </c>
      <c r="E1087" s="19">
        <v>0</v>
      </c>
      <c r="F1087" s="19">
        <v>0</v>
      </c>
      <c r="G1087" s="19">
        <v>0</v>
      </c>
      <c r="H1087" s="20">
        <v>8.4402550083922279E-2</v>
      </c>
      <c r="I1087" s="20">
        <v>0</v>
      </c>
      <c r="J1087" s="20">
        <v>8.4402550083922279E-2</v>
      </c>
    </row>
    <row r="1088" spans="1:10" ht="11.25" customHeight="1" x14ac:dyDescent="0.2">
      <c r="A1088" s="29">
        <v>44562</v>
      </c>
      <c r="B1088" s="19">
        <v>54457.450000000004</v>
      </c>
      <c r="C1088" s="19">
        <v>59053.797651067704</v>
      </c>
      <c r="D1088" s="19">
        <v>0</v>
      </c>
      <c r="E1088" s="19">
        <v>0</v>
      </c>
      <c r="F1088" s="19">
        <v>0</v>
      </c>
      <c r="G1088" s="19">
        <v>0</v>
      </c>
      <c r="H1088" s="20">
        <v>8.4402550083922279E-2</v>
      </c>
      <c r="I1088" s="20">
        <v>0</v>
      </c>
      <c r="J1088" s="20">
        <v>8.4402550083922279E-2</v>
      </c>
    </row>
    <row r="1089" spans="1:10" ht="11.25" customHeight="1" x14ac:dyDescent="0.2">
      <c r="A1089" s="29">
        <v>44593</v>
      </c>
      <c r="B1089" s="19">
        <v>54457.450000000004</v>
      </c>
      <c r="C1089" s="19">
        <v>59053.797651067704</v>
      </c>
      <c r="D1089" s="19">
        <v>0</v>
      </c>
      <c r="E1089" s="19">
        <v>0</v>
      </c>
      <c r="F1089" s="19">
        <v>0</v>
      </c>
      <c r="G1089" s="19">
        <v>0</v>
      </c>
      <c r="H1089" s="20">
        <v>8.4402550083922279E-2</v>
      </c>
      <c r="I1089" s="20">
        <v>0</v>
      </c>
      <c r="J1089" s="20">
        <v>8.4402550083922279E-2</v>
      </c>
    </row>
    <row r="1090" spans="1:10" ht="11.25" customHeight="1" x14ac:dyDescent="0.2">
      <c r="A1090" s="29">
        <v>44621</v>
      </c>
      <c r="B1090" s="19">
        <v>54457.450000000004</v>
      </c>
      <c r="C1090" s="19">
        <v>59053.797651067704</v>
      </c>
      <c r="D1090" s="19">
        <v>0</v>
      </c>
      <c r="E1090" s="19">
        <v>0</v>
      </c>
      <c r="F1090" s="19">
        <v>0</v>
      </c>
      <c r="G1090" s="19">
        <v>0</v>
      </c>
      <c r="H1090" s="20">
        <v>8.4402550083922279E-2</v>
      </c>
      <c r="I1090" s="20">
        <v>0</v>
      </c>
      <c r="J1090" s="20">
        <v>8.4402550083922279E-2</v>
      </c>
    </row>
    <row r="1091" spans="1:10" ht="11.25" customHeight="1" x14ac:dyDescent="0.2">
      <c r="A1091" s="29">
        <v>44652</v>
      </c>
      <c r="B1091" s="19">
        <v>54457.450000000004</v>
      </c>
      <c r="C1091" s="19">
        <v>59053.797651067704</v>
      </c>
      <c r="D1091" s="19">
        <v>0</v>
      </c>
      <c r="E1091" s="19">
        <v>0</v>
      </c>
      <c r="F1091" s="19">
        <v>0</v>
      </c>
      <c r="G1091" s="19">
        <v>0</v>
      </c>
      <c r="H1091" s="20">
        <v>8.4402550083922279E-2</v>
      </c>
      <c r="I1091" s="20">
        <v>0</v>
      </c>
      <c r="J1091" s="20">
        <v>8.4402550083922279E-2</v>
      </c>
    </row>
    <row r="1092" spans="1:10" ht="11.25" customHeight="1" x14ac:dyDescent="0.2">
      <c r="A1092" s="29">
        <v>44682</v>
      </c>
      <c r="B1092" s="19">
        <v>54457.450000000004</v>
      </c>
      <c r="C1092" s="19">
        <v>59053.797651067704</v>
      </c>
      <c r="D1092" s="19">
        <v>0</v>
      </c>
      <c r="E1092" s="19">
        <v>0</v>
      </c>
      <c r="F1092" s="19">
        <v>0</v>
      </c>
      <c r="G1092" s="19">
        <v>0</v>
      </c>
      <c r="H1092" s="20">
        <v>8.4402550083922279E-2</v>
      </c>
      <c r="I1092" s="20">
        <v>0</v>
      </c>
      <c r="J1092" s="20">
        <v>8.4402550083922279E-2</v>
      </c>
    </row>
    <row r="1093" spans="1:10" ht="11.25" customHeight="1" x14ac:dyDescent="0.2">
      <c r="A1093" s="29">
        <v>44713</v>
      </c>
      <c r="B1093" s="19">
        <v>54457.450000000004</v>
      </c>
      <c r="C1093" s="19">
        <v>59053.797651067704</v>
      </c>
      <c r="D1093" s="19">
        <v>0</v>
      </c>
      <c r="E1093" s="19">
        <v>0</v>
      </c>
      <c r="F1093" s="19">
        <v>0</v>
      </c>
      <c r="G1093" s="19">
        <v>0</v>
      </c>
      <c r="H1093" s="20">
        <v>8.4402550083922279E-2</v>
      </c>
      <c r="I1093" s="20">
        <v>0</v>
      </c>
      <c r="J1093" s="20">
        <v>8.4402550083922279E-2</v>
      </c>
    </row>
    <row r="1094" spans="1:10" ht="11.25" customHeight="1" x14ac:dyDescent="0.2">
      <c r="A1094" s="29">
        <v>44743</v>
      </c>
      <c r="B1094" s="19">
        <v>54457.450000000004</v>
      </c>
      <c r="C1094" s="19">
        <v>59053.797651067704</v>
      </c>
      <c r="D1094" s="19">
        <v>0</v>
      </c>
      <c r="E1094" s="19">
        <v>0</v>
      </c>
      <c r="F1094" s="19">
        <v>0</v>
      </c>
      <c r="G1094" s="19">
        <v>0</v>
      </c>
      <c r="H1094" s="20">
        <v>8.4402550083922279E-2</v>
      </c>
      <c r="I1094" s="20">
        <v>0</v>
      </c>
      <c r="J1094" s="20">
        <v>8.4402550083922279E-2</v>
      </c>
    </row>
    <row r="1095" spans="1:10" ht="11.25" customHeight="1" x14ac:dyDescent="0.2">
      <c r="A1095" s="28" t="s">
        <v>25</v>
      </c>
      <c r="B1095" s="19">
        <v>0</v>
      </c>
      <c r="C1095" s="19">
        <v>0</v>
      </c>
      <c r="D1095" s="19">
        <v>353968.05</v>
      </c>
      <c r="E1095" s="19">
        <v>321116.15958946431</v>
      </c>
      <c r="F1095" s="19">
        <v>0</v>
      </c>
      <c r="G1095" s="19">
        <v>0</v>
      </c>
      <c r="H1095" s="20">
        <v>-9.2810326837508894E-2</v>
      </c>
      <c r="I1095" s="20">
        <v>0</v>
      </c>
      <c r="J1095" s="20">
        <v>-9.2810326837508894E-2</v>
      </c>
    </row>
    <row r="1096" spans="1:10" ht="11.25" customHeight="1" x14ac:dyDescent="0.2">
      <c r="A1096" s="29">
        <v>44409</v>
      </c>
      <c r="B1096" s="19">
        <v>0</v>
      </c>
      <c r="C1096" s="19">
        <v>0</v>
      </c>
      <c r="D1096" s="19">
        <v>28791.014999999999</v>
      </c>
      <c r="E1096" s="19">
        <v>26118.911487866379</v>
      </c>
      <c r="F1096" s="19">
        <v>0</v>
      </c>
      <c r="G1096" s="19">
        <v>0</v>
      </c>
      <c r="H1096" s="20">
        <v>-9.2810326837508894E-2</v>
      </c>
      <c r="I1096" s="20">
        <v>0</v>
      </c>
      <c r="J1096" s="20">
        <v>-9.2810326837508894E-2</v>
      </c>
    </row>
    <row r="1097" spans="1:10" ht="11.25" customHeight="1" x14ac:dyDescent="0.2">
      <c r="A1097" s="29">
        <v>44440</v>
      </c>
      <c r="B1097" s="19">
        <v>0</v>
      </c>
      <c r="C1097" s="19">
        <v>0</v>
      </c>
      <c r="D1097" s="19">
        <v>29955.135000000002</v>
      </c>
      <c r="E1097" s="19">
        <v>27174.989130188296</v>
      </c>
      <c r="F1097" s="19">
        <v>0</v>
      </c>
      <c r="G1097" s="19">
        <v>0</v>
      </c>
      <c r="H1097" s="20">
        <v>-9.2810326837509005E-2</v>
      </c>
      <c r="I1097" s="20">
        <v>0</v>
      </c>
      <c r="J1097" s="20">
        <v>-9.2810326837509005E-2</v>
      </c>
    </row>
    <row r="1098" spans="1:10" ht="11.25" customHeight="1" x14ac:dyDescent="0.2">
      <c r="A1098" s="29">
        <v>44470</v>
      </c>
      <c r="B1098" s="19">
        <v>0</v>
      </c>
      <c r="C1098" s="19">
        <v>0</v>
      </c>
      <c r="D1098" s="19">
        <v>28619.309999999998</v>
      </c>
      <c r="E1098" s="19">
        <v>25963.142485036013</v>
      </c>
      <c r="F1098" s="19">
        <v>0</v>
      </c>
      <c r="G1098" s="19">
        <v>0</v>
      </c>
      <c r="H1098" s="20">
        <v>-9.2810326837508894E-2</v>
      </c>
      <c r="I1098" s="20">
        <v>0</v>
      </c>
      <c r="J1098" s="20">
        <v>-9.2810326837508894E-2</v>
      </c>
    </row>
    <row r="1099" spans="1:10" ht="11.25" customHeight="1" x14ac:dyDescent="0.2">
      <c r="A1099" s="29">
        <v>44501</v>
      </c>
      <c r="B1099" s="19">
        <v>0</v>
      </c>
      <c r="C1099" s="19">
        <v>0</v>
      </c>
      <c r="D1099" s="19">
        <v>30514.35</v>
      </c>
      <c r="E1099" s="19">
        <v>27682.303203265859</v>
      </c>
      <c r="F1099" s="19">
        <v>0</v>
      </c>
      <c r="G1099" s="19">
        <v>0</v>
      </c>
      <c r="H1099" s="20">
        <v>-9.2810326837508894E-2</v>
      </c>
      <c r="I1099" s="20">
        <v>0</v>
      </c>
      <c r="J1099" s="20">
        <v>-9.2810326837508894E-2</v>
      </c>
    </row>
    <row r="1100" spans="1:10" ht="11.25" customHeight="1" x14ac:dyDescent="0.2">
      <c r="A1100" s="29">
        <v>44531</v>
      </c>
      <c r="B1100" s="19">
        <v>0</v>
      </c>
      <c r="C1100" s="19">
        <v>0</v>
      </c>
      <c r="D1100" s="19">
        <v>29359.575000000001</v>
      </c>
      <c r="E1100" s="19">
        <v>26634.703248439644</v>
      </c>
      <c r="F1100" s="19">
        <v>0</v>
      </c>
      <c r="G1100" s="19">
        <v>0</v>
      </c>
      <c r="H1100" s="20">
        <v>-9.2810326837508894E-2</v>
      </c>
      <c r="I1100" s="20">
        <v>0</v>
      </c>
      <c r="J1100" s="20">
        <v>-9.2810326837508894E-2</v>
      </c>
    </row>
    <row r="1101" spans="1:10" ht="11.25" customHeight="1" x14ac:dyDescent="0.2">
      <c r="A1101" s="29">
        <v>44562</v>
      </c>
      <c r="B1101" s="19">
        <v>0</v>
      </c>
      <c r="C1101" s="19">
        <v>0</v>
      </c>
      <c r="D1101" s="19">
        <v>27909.93</v>
      </c>
      <c r="E1101" s="19">
        <v>25319.600274688004</v>
      </c>
      <c r="F1101" s="19">
        <v>0</v>
      </c>
      <c r="G1101" s="19">
        <v>0</v>
      </c>
      <c r="H1101" s="20">
        <v>-9.2810326837509005E-2</v>
      </c>
      <c r="I1101" s="20">
        <v>0</v>
      </c>
      <c r="J1101" s="20">
        <v>-9.2810326837509005E-2</v>
      </c>
    </row>
    <row r="1102" spans="1:10" ht="11.25" customHeight="1" x14ac:dyDescent="0.2">
      <c r="A1102" s="29">
        <v>44593</v>
      </c>
      <c r="B1102" s="19">
        <v>0</v>
      </c>
      <c r="C1102" s="19">
        <v>0</v>
      </c>
      <c r="D1102" s="19">
        <v>28455.825000000001</v>
      </c>
      <c r="E1102" s="19">
        <v>25814.830581319042</v>
      </c>
      <c r="F1102" s="19">
        <v>0</v>
      </c>
      <c r="G1102" s="19">
        <v>0</v>
      </c>
      <c r="H1102" s="20">
        <v>-9.2810326837509005E-2</v>
      </c>
      <c r="I1102" s="20">
        <v>0</v>
      </c>
      <c r="J1102" s="20">
        <v>-9.2810326837509005E-2</v>
      </c>
    </row>
    <row r="1103" spans="1:10" ht="11.25" customHeight="1" x14ac:dyDescent="0.2">
      <c r="A1103" s="29">
        <v>44621</v>
      </c>
      <c r="B1103" s="19">
        <v>0</v>
      </c>
      <c r="C1103" s="19">
        <v>0</v>
      </c>
      <c r="D1103" s="19">
        <v>28105.274999999998</v>
      </c>
      <c r="E1103" s="19">
        <v>25496.815241391931</v>
      </c>
      <c r="F1103" s="19">
        <v>0</v>
      </c>
      <c r="G1103" s="19">
        <v>0</v>
      </c>
      <c r="H1103" s="20">
        <v>-9.2810326837508894E-2</v>
      </c>
      <c r="I1103" s="20">
        <v>0</v>
      </c>
      <c r="J1103" s="20">
        <v>-9.2810326837508894E-2</v>
      </c>
    </row>
    <row r="1104" spans="1:10" ht="11.25" customHeight="1" x14ac:dyDescent="0.2">
      <c r="A1104" s="29">
        <v>44652</v>
      </c>
      <c r="B1104" s="19">
        <v>0</v>
      </c>
      <c r="C1104" s="19">
        <v>0</v>
      </c>
      <c r="D1104" s="19">
        <v>30657.39</v>
      </c>
      <c r="E1104" s="19">
        <v>27812.067614115022</v>
      </c>
      <c r="F1104" s="19">
        <v>0</v>
      </c>
      <c r="G1104" s="19">
        <v>0</v>
      </c>
      <c r="H1104" s="20">
        <v>-9.2810326837508894E-2</v>
      </c>
      <c r="I1104" s="20">
        <v>0</v>
      </c>
      <c r="J1104" s="20">
        <v>-9.2810326837508894E-2</v>
      </c>
    </row>
    <row r="1105" spans="1:10" ht="11.25" customHeight="1" x14ac:dyDescent="0.2">
      <c r="A1105" s="29">
        <v>44682</v>
      </c>
      <c r="B1105" s="19">
        <v>0</v>
      </c>
      <c r="C1105" s="19">
        <v>0</v>
      </c>
      <c r="D1105" s="19">
        <v>31972.724999999999</v>
      </c>
      <c r="E1105" s="19">
        <v>29005.325942864205</v>
      </c>
      <c r="F1105" s="19">
        <v>0</v>
      </c>
      <c r="G1105" s="19">
        <v>0</v>
      </c>
      <c r="H1105" s="20">
        <v>-9.2810326837509005E-2</v>
      </c>
      <c r="I1105" s="20">
        <v>0</v>
      </c>
      <c r="J1105" s="20">
        <v>-9.2810326837509005E-2</v>
      </c>
    </row>
    <row r="1106" spans="1:10" ht="11.25" customHeight="1" x14ac:dyDescent="0.2">
      <c r="A1106" s="29">
        <v>44713</v>
      </c>
      <c r="B1106" s="19">
        <v>0</v>
      </c>
      <c r="C1106" s="19">
        <v>0</v>
      </c>
      <c r="D1106" s="19">
        <v>29813.760000000002</v>
      </c>
      <c r="E1106" s="19">
        <v>27046.735190144951</v>
      </c>
      <c r="F1106" s="19">
        <v>0</v>
      </c>
      <c r="G1106" s="19">
        <v>0</v>
      </c>
      <c r="H1106" s="20">
        <v>-9.2810326837508894E-2</v>
      </c>
      <c r="I1106" s="20">
        <v>0</v>
      </c>
      <c r="J1106" s="20">
        <v>-9.2810326837508894E-2</v>
      </c>
    </row>
    <row r="1107" spans="1:10" ht="11.25" customHeight="1" x14ac:dyDescent="0.2">
      <c r="A1107" s="29">
        <v>44743</v>
      </c>
      <c r="B1107" s="19">
        <v>0</v>
      </c>
      <c r="C1107" s="19">
        <v>0</v>
      </c>
      <c r="D1107" s="19">
        <v>29813.760000000002</v>
      </c>
      <c r="E1107" s="19">
        <v>27046.735190144951</v>
      </c>
      <c r="F1107" s="19">
        <v>0</v>
      </c>
      <c r="G1107" s="19">
        <v>0</v>
      </c>
      <c r="H1107" s="20">
        <v>-9.2810326837508894E-2</v>
      </c>
      <c r="I1107" s="20">
        <v>0</v>
      </c>
      <c r="J1107" s="20">
        <v>-9.2810326837508894E-2</v>
      </c>
    </row>
    <row r="1108" spans="1:10" ht="11.25" customHeight="1" x14ac:dyDescent="0.2">
      <c r="A1108" s="28" t="s">
        <v>34</v>
      </c>
      <c r="B1108" s="19">
        <v>721612.16</v>
      </c>
      <c r="C1108" s="19">
        <v>780986.82238912303</v>
      </c>
      <c r="D1108" s="19">
        <v>0</v>
      </c>
      <c r="E1108" s="19">
        <v>0</v>
      </c>
      <c r="F1108" s="19">
        <v>0</v>
      </c>
      <c r="G1108" s="19">
        <v>0</v>
      </c>
      <c r="H1108" s="20">
        <v>8.2280573527368173E-2</v>
      </c>
      <c r="I1108" s="20">
        <v>0</v>
      </c>
      <c r="J1108" s="20">
        <v>8.2280573527368173E-2</v>
      </c>
    </row>
    <row r="1109" spans="1:10" ht="11.25" customHeight="1" x14ac:dyDescent="0.2">
      <c r="A1109" s="29">
        <v>44409</v>
      </c>
      <c r="B1109" s="19">
        <v>50869.760000000002</v>
      </c>
      <c r="C1109" s="19">
        <v>55055.353027999576</v>
      </c>
      <c r="D1109" s="19">
        <v>0</v>
      </c>
      <c r="E1109" s="19">
        <v>0</v>
      </c>
      <c r="F1109" s="19">
        <v>0</v>
      </c>
      <c r="G1109" s="19">
        <v>0</v>
      </c>
      <c r="H1109" s="20">
        <v>8.2280573527368173E-2</v>
      </c>
      <c r="I1109" s="20">
        <v>0</v>
      </c>
      <c r="J1109" s="20">
        <v>8.2280573527368173E-2</v>
      </c>
    </row>
    <row r="1110" spans="1:10" ht="11.25" customHeight="1" x14ac:dyDescent="0.2">
      <c r="A1110" s="29">
        <v>44440</v>
      </c>
      <c r="B1110" s="19">
        <v>50767.200000000004</v>
      </c>
      <c r="C1110" s="19">
        <v>54944.354332378607</v>
      </c>
      <c r="D1110" s="19">
        <v>0</v>
      </c>
      <c r="E1110" s="19">
        <v>0</v>
      </c>
      <c r="F1110" s="19">
        <v>0</v>
      </c>
      <c r="G1110" s="19">
        <v>0</v>
      </c>
      <c r="H1110" s="20">
        <v>8.2280573527368173E-2</v>
      </c>
      <c r="I1110" s="20">
        <v>0</v>
      </c>
      <c r="J1110" s="20">
        <v>8.2280573527368173E-2</v>
      </c>
    </row>
    <row r="1111" spans="1:10" ht="11.25" customHeight="1" x14ac:dyDescent="0.2">
      <c r="A1111" s="29">
        <v>44470</v>
      </c>
      <c r="B1111" s="19">
        <v>52203.040000000001</v>
      </c>
      <c r="C1111" s="19">
        <v>56498.336071072146</v>
      </c>
      <c r="D1111" s="19">
        <v>0</v>
      </c>
      <c r="E1111" s="19">
        <v>0</v>
      </c>
      <c r="F1111" s="19">
        <v>0</v>
      </c>
      <c r="G1111" s="19">
        <v>0</v>
      </c>
      <c r="H1111" s="20">
        <v>8.2280573527368173E-2</v>
      </c>
      <c r="I1111" s="20">
        <v>0</v>
      </c>
      <c r="J1111" s="20">
        <v>8.2280573527368173E-2</v>
      </c>
    </row>
    <row r="1112" spans="1:10" ht="11.25" customHeight="1" x14ac:dyDescent="0.2">
      <c r="A1112" s="29">
        <v>44501</v>
      </c>
      <c r="B1112" s="19">
        <v>49844.160000000003</v>
      </c>
      <c r="C1112" s="19">
        <v>53945.366071789904</v>
      </c>
      <c r="D1112" s="19">
        <v>0</v>
      </c>
      <c r="E1112" s="19">
        <v>0</v>
      </c>
      <c r="F1112" s="19">
        <v>0</v>
      </c>
      <c r="G1112" s="19">
        <v>0</v>
      </c>
      <c r="H1112" s="20">
        <v>8.2280573527368173E-2</v>
      </c>
      <c r="I1112" s="20">
        <v>0</v>
      </c>
      <c r="J1112" s="20">
        <v>8.2280573527368173E-2</v>
      </c>
    </row>
    <row r="1113" spans="1:10" ht="11.25" customHeight="1" x14ac:dyDescent="0.2">
      <c r="A1113" s="29">
        <v>44531</v>
      </c>
      <c r="B1113" s="19">
        <v>58254.080000000002</v>
      </c>
      <c r="C1113" s="19">
        <v>63047.259112709187</v>
      </c>
      <c r="D1113" s="19">
        <v>0</v>
      </c>
      <c r="E1113" s="19">
        <v>0</v>
      </c>
      <c r="F1113" s="19">
        <v>0</v>
      </c>
      <c r="G1113" s="19">
        <v>0</v>
      </c>
      <c r="H1113" s="20">
        <v>8.2280573527368173E-2</v>
      </c>
      <c r="I1113" s="20">
        <v>0</v>
      </c>
      <c r="J1113" s="20">
        <v>8.2280573527368173E-2</v>
      </c>
    </row>
    <row r="1114" spans="1:10" ht="11.25" customHeight="1" x14ac:dyDescent="0.2">
      <c r="A1114" s="29">
        <v>44562</v>
      </c>
      <c r="B1114" s="19">
        <v>69945.919999999998</v>
      </c>
      <c r="C1114" s="19">
        <v>75701.110413499409</v>
      </c>
      <c r="D1114" s="19">
        <v>0</v>
      </c>
      <c r="E1114" s="19">
        <v>0</v>
      </c>
      <c r="F1114" s="19">
        <v>0</v>
      </c>
      <c r="G1114" s="19">
        <v>0</v>
      </c>
      <c r="H1114" s="20">
        <v>8.2280573527368173E-2</v>
      </c>
      <c r="I1114" s="20">
        <v>0</v>
      </c>
      <c r="J1114" s="20">
        <v>8.2280573527368173E-2</v>
      </c>
    </row>
    <row r="1115" spans="1:10" ht="11.25" customHeight="1" x14ac:dyDescent="0.2">
      <c r="A1115" s="29">
        <v>44593</v>
      </c>
      <c r="B1115" s="19">
        <v>62048.800000000003</v>
      </c>
      <c r="C1115" s="19">
        <v>67154.210850684962</v>
      </c>
      <c r="D1115" s="19">
        <v>0</v>
      </c>
      <c r="E1115" s="19">
        <v>0</v>
      </c>
      <c r="F1115" s="19">
        <v>0</v>
      </c>
      <c r="G1115" s="19">
        <v>0</v>
      </c>
      <c r="H1115" s="20">
        <v>8.2280573527368173E-2</v>
      </c>
      <c r="I1115" s="20">
        <v>0</v>
      </c>
      <c r="J1115" s="20">
        <v>8.2280573527368173E-2</v>
      </c>
    </row>
    <row r="1116" spans="1:10" ht="11.25" customHeight="1" x14ac:dyDescent="0.2">
      <c r="A1116" s="29">
        <v>44621</v>
      </c>
      <c r="B1116" s="19">
        <v>62869.279999999999</v>
      </c>
      <c r="C1116" s="19">
        <v>68042.200415652696</v>
      </c>
      <c r="D1116" s="19">
        <v>0</v>
      </c>
      <c r="E1116" s="19">
        <v>0</v>
      </c>
      <c r="F1116" s="19">
        <v>0</v>
      </c>
      <c r="G1116" s="19">
        <v>0</v>
      </c>
      <c r="H1116" s="20">
        <v>8.2280573527368173E-2</v>
      </c>
      <c r="I1116" s="20">
        <v>0</v>
      </c>
      <c r="J1116" s="20">
        <v>8.2280573527368173E-2</v>
      </c>
    </row>
    <row r="1117" spans="1:10" ht="11.25" customHeight="1" x14ac:dyDescent="0.2">
      <c r="A1117" s="29">
        <v>44652</v>
      </c>
      <c r="B1117" s="19">
        <v>63074.400000000001</v>
      </c>
      <c r="C1117" s="19">
        <v>68264.197806894634</v>
      </c>
      <c r="D1117" s="19">
        <v>0</v>
      </c>
      <c r="E1117" s="19">
        <v>0</v>
      </c>
      <c r="F1117" s="19">
        <v>0</v>
      </c>
      <c r="G1117" s="19">
        <v>0</v>
      </c>
      <c r="H1117" s="20">
        <v>8.2280573527368173E-2</v>
      </c>
      <c r="I1117" s="20">
        <v>0</v>
      </c>
      <c r="J1117" s="20">
        <v>8.2280573527368173E-2</v>
      </c>
    </row>
    <row r="1118" spans="1:10" ht="11.25" customHeight="1" x14ac:dyDescent="0.2">
      <c r="A1118" s="29">
        <v>44682</v>
      </c>
      <c r="B1118" s="19">
        <v>71279.199999999997</v>
      </c>
      <c r="C1118" s="19">
        <v>77144.09345657198</v>
      </c>
      <c r="D1118" s="19">
        <v>0</v>
      </c>
      <c r="E1118" s="19">
        <v>0</v>
      </c>
      <c r="F1118" s="19">
        <v>0</v>
      </c>
      <c r="G1118" s="19">
        <v>0</v>
      </c>
      <c r="H1118" s="20">
        <v>8.2280573527368173E-2</v>
      </c>
      <c r="I1118" s="20">
        <v>0</v>
      </c>
      <c r="J1118" s="20">
        <v>8.2280573527368173E-2</v>
      </c>
    </row>
    <row r="1119" spans="1:10" ht="11.25" customHeight="1" x14ac:dyDescent="0.2">
      <c r="A1119" s="29">
        <v>44713</v>
      </c>
      <c r="B1119" s="19">
        <v>65228.160000000003</v>
      </c>
      <c r="C1119" s="19">
        <v>70595.170414934939</v>
      </c>
      <c r="D1119" s="19">
        <v>0</v>
      </c>
      <c r="E1119" s="19">
        <v>0</v>
      </c>
      <c r="F1119" s="19">
        <v>0</v>
      </c>
      <c r="G1119" s="19">
        <v>0</v>
      </c>
      <c r="H1119" s="20">
        <v>8.2280573527368173E-2</v>
      </c>
      <c r="I1119" s="20">
        <v>0</v>
      </c>
      <c r="J1119" s="20">
        <v>8.2280573527368173E-2</v>
      </c>
    </row>
    <row r="1120" spans="1:10" ht="11.25" customHeight="1" x14ac:dyDescent="0.2">
      <c r="A1120" s="29">
        <v>44743</v>
      </c>
      <c r="B1120" s="19">
        <v>65228.160000000003</v>
      </c>
      <c r="C1120" s="19">
        <v>70595.170414934939</v>
      </c>
      <c r="D1120" s="19">
        <v>0</v>
      </c>
      <c r="E1120" s="19">
        <v>0</v>
      </c>
      <c r="F1120" s="19">
        <v>0</v>
      </c>
      <c r="G1120" s="19">
        <v>0</v>
      </c>
      <c r="H1120" s="20">
        <v>8.2280573527368173E-2</v>
      </c>
      <c r="I1120" s="20">
        <v>0</v>
      </c>
      <c r="J1120" s="20">
        <v>8.2280573527368173E-2</v>
      </c>
    </row>
    <row r="1121" spans="1:10" ht="11.25" customHeight="1" x14ac:dyDescent="0.2">
      <c r="A1121" s="21" t="s">
        <v>68</v>
      </c>
      <c r="B1121" s="19">
        <v>18247032.890000004</v>
      </c>
      <c r="C1121" s="19">
        <v>19942854.281976782</v>
      </c>
      <c r="D1121" s="19">
        <v>0</v>
      </c>
      <c r="E1121" s="19">
        <v>0</v>
      </c>
      <c r="F1121" s="19">
        <v>0</v>
      </c>
      <c r="G1121" s="19">
        <v>0</v>
      </c>
      <c r="H1121" s="20">
        <v>9.2936829905433394E-2</v>
      </c>
      <c r="I1121" s="20">
        <v>0</v>
      </c>
      <c r="J1121" s="20">
        <v>9.2936829905433394E-2</v>
      </c>
    </row>
    <row r="1122" spans="1:10" ht="11.25" customHeight="1" x14ac:dyDescent="0.2">
      <c r="A1122" s="22" t="s">
        <v>39</v>
      </c>
      <c r="B1122" s="19">
        <v>17027961.300000001</v>
      </c>
      <c r="C1122" s="19">
        <v>18592486.584846776</v>
      </c>
      <c r="D1122" s="19">
        <v>0</v>
      </c>
      <c r="E1122" s="19">
        <v>0</v>
      </c>
      <c r="F1122" s="19">
        <v>0</v>
      </c>
      <c r="G1122" s="19">
        <v>0</v>
      </c>
      <c r="H1122" s="20">
        <v>9.187977687304083E-2</v>
      </c>
      <c r="I1122" s="20">
        <v>0</v>
      </c>
      <c r="J1122" s="20">
        <v>9.187977687304083E-2</v>
      </c>
    </row>
    <row r="1123" spans="1:10" ht="11.25" customHeight="1" x14ac:dyDescent="0.2">
      <c r="A1123" s="23" t="s">
        <v>66</v>
      </c>
      <c r="B1123" s="19">
        <v>17027961.300000001</v>
      </c>
      <c r="C1123" s="19">
        <v>18592486.584846776</v>
      </c>
      <c r="D1123" s="19">
        <v>0</v>
      </c>
      <c r="E1123" s="19">
        <v>0</v>
      </c>
      <c r="F1123" s="19">
        <v>0</v>
      </c>
      <c r="G1123" s="19">
        <v>0</v>
      </c>
      <c r="H1123" s="20">
        <v>9.187977687304083E-2</v>
      </c>
      <c r="I1123" s="20">
        <v>0</v>
      </c>
      <c r="J1123" s="20">
        <v>9.187977687304083E-2</v>
      </c>
    </row>
    <row r="1124" spans="1:10" ht="11.25" customHeight="1" x14ac:dyDescent="0.2">
      <c r="A1124" s="24" t="s">
        <v>25</v>
      </c>
      <c r="B1124" s="19">
        <v>17027961.300000001</v>
      </c>
      <c r="C1124" s="19">
        <v>18592486.584846776</v>
      </c>
      <c r="D1124" s="19">
        <v>0</v>
      </c>
      <c r="E1124" s="19">
        <v>0</v>
      </c>
      <c r="F1124" s="19">
        <v>0</v>
      </c>
      <c r="G1124" s="19">
        <v>0</v>
      </c>
      <c r="H1124" s="20">
        <v>9.187977687304083E-2</v>
      </c>
      <c r="I1124" s="20">
        <v>0</v>
      </c>
      <c r="J1124" s="20">
        <v>9.187977687304083E-2</v>
      </c>
    </row>
    <row r="1125" spans="1:10" ht="11.25" customHeight="1" x14ac:dyDescent="0.2">
      <c r="A1125" s="25" t="s">
        <v>25</v>
      </c>
      <c r="B1125" s="19">
        <v>17027961.300000001</v>
      </c>
      <c r="C1125" s="19">
        <v>18592486.584846776</v>
      </c>
      <c r="D1125" s="19">
        <v>0</v>
      </c>
      <c r="E1125" s="19">
        <v>0</v>
      </c>
      <c r="F1125" s="19">
        <v>0</v>
      </c>
      <c r="G1125" s="19">
        <v>0</v>
      </c>
      <c r="H1125" s="20">
        <v>9.187977687304083E-2</v>
      </c>
      <c r="I1125" s="20">
        <v>0</v>
      </c>
      <c r="J1125" s="20">
        <v>9.187977687304083E-2</v>
      </c>
    </row>
    <row r="1126" spans="1:10" ht="11.25" customHeight="1" x14ac:dyDescent="0.2">
      <c r="A1126" s="26" t="s">
        <v>25</v>
      </c>
      <c r="B1126" s="19">
        <v>17027961.300000001</v>
      </c>
      <c r="C1126" s="19">
        <v>18592486.584846776</v>
      </c>
      <c r="D1126" s="19">
        <v>0</v>
      </c>
      <c r="E1126" s="19">
        <v>0</v>
      </c>
      <c r="F1126" s="19">
        <v>0</v>
      </c>
      <c r="G1126" s="19">
        <v>0</v>
      </c>
      <c r="H1126" s="20">
        <v>9.187977687304083E-2</v>
      </c>
      <c r="I1126" s="20">
        <v>0</v>
      </c>
      <c r="J1126" s="20">
        <v>9.187977687304083E-2</v>
      </c>
    </row>
    <row r="1127" spans="1:10" ht="11.25" customHeight="1" x14ac:dyDescent="0.2">
      <c r="A1127" s="27" t="s">
        <v>78</v>
      </c>
      <c r="B1127" s="19">
        <v>2089800</v>
      </c>
      <c r="C1127" s="19">
        <v>2281810.3577092835</v>
      </c>
      <c r="D1127" s="19">
        <v>0</v>
      </c>
      <c r="E1127" s="19">
        <v>0</v>
      </c>
      <c r="F1127" s="19">
        <v>0</v>
      </c>
      <c r="G1127" s="19">
        <v>0</v>
      </c>
      <c r="H1127" s="20">
        <v>9.1879776873042163E-2</v>
      </c>
      <c r="I1127" s="20">
        <v>0</v>
      </c>
      <c r="J1127" s="20">
        <v>9.1879776873042163E-2</v>
      </c>
    </row>
    <row r="1128" spans="1:10" ht="11.25" customHeight="1" x14ac:dyDescent="0.2">
      <c r="A1128" s="28" t="s">
        <v>25</v>
      </c>
      <c r="B1128" s="19">
        <v>2089800</v>
      </c>
      <c r="C1128" s="19">
        <v>2281810.3577092835</v>
      </c>
      <c r="D1128" s="19">
        <v>0</v>
      </c>
      <c r="E1128" s="19">
        <v>0</v>
      </c>
      <c r="F1128" s="19">
        <v>0</v>
      </c>
      <c r="G1128" s="19">
        <v>0</v>
      </c>
      <c r="H1128" s="20">
        <v>9.1879776873042163E-2</v>
      </c>
      <c r="I1128" s="20">
        <v>0</v>
      </c>
      <c r="J1128" s="20">
        <v>9.1879776873042163E-2</v>
      </c>
    </row>
    <row r="1129" spans="1:10" ht="11.25" customHeight="1" x14ac:dyDescent="0.2">
      <c r="A1129" s="29">
        <v>44409</v>
      </c>
      <c r="B1129" s="19">
        <v>174150</v>
      </c>
      <c r="C1129" s="19">
        <v>190150.86314244027</v>
      </c>
      <c r="D1129" s="19">
        <v>0</v>
      </c>
      <c r="E1129" s="19">
        <v>0</v>
      </c>
      <c r="F1129" s="19">
        <v>0</v>
      </c>
      <c r="G1129" s="19">
        <v>0</v>
      </c>
      <c r="H1129" s="20">
        <v>9.1879776873041941E-2</v>
      </c>
      <c r="I1129" s="20">
        <v>0</v>
      </c>
      <c r="J1129" s="20">
        <v>9.1879776873041941E-2</v>
      </c>
    </row>
    <row r="1130" spans="1:10" ht="11.25" customHeight="1" x14ac:dyDescent="0.2">
      <c r="A1130" s="29">
        <v>44440</v>
      </c>
      <c r="B1130" s="19">
        <v>174150</v>
      </c>
      <c r="C1130" s="19">
        <v>190150.86314244027</v>
      </c>
      <c r="D1130" s="19">
        <v>0</v>
      </c>
      <c r="E1130" s="19">
        <v>0</v>
      </c>
      <c r="F1130" s="19">
        <v>0</v>
      </c>
      <c r="G1130" s="19">
        <v>0</v>
      </c>
      <c r="H1130" s="20">
        <v>9.1879776873041941E-2</v>
      </c>
      <c r="I1130" s="20">
        <v>0</v>
      </c>
      <c r="J1130" s="20">
        <v>9.1879776873041941E-2</v>
      </c>
    </row>
    <row r="1131" spans="1:10" ht="11.25" customHeight="1" x14ac:dyDescent="0.2">
      <c r="A1131" s="29">
        <v>44470</v>
      </c>
      <c r="B1131" s="19">
        <v>174150</v>
      </c>
      <c r="C1131" s="19">
        <v>190150.86314244027</v>
      </c>
      <c r="D1131" s="19">
        <v>0</v>
      </c>
      <c r="E1131" s="19">
        <v>0</v>
      </c>
      <c r="F1131" s="19">
        <v>0</v>
      </c>
      <c r="G1131" s="19">
        <v>0</v>
      </c>
      <c r="H1131" s="20">
        <v>9.1879776873041941E-2</v>
      </c>
      <c r="I1131" s="20">
        <v>0</v>
      </c>
      <c r="J1131" s="20">
        <v>9.1879776873041941E-2</v>
      </c>
    </row>
    <row r="1132" spans="1:10" ht="11.25" customHeight="1" x14ac:dyDescent="0.2">
      <c r="A1132" s="29">
        <v>44501</v>
      </c>
      <c r="B1132" s="19">
        <v>174150</v>
      </c>
      <c r="C1132" s="19">
        <v>190150.86314244027</v>
      </c>
      <c r="D1132" s="19">
        <v>0</v>
      </c>
      <c r="E1132" s="19">
        <v>0</v>
      </c>
      <c r="F1132" s="19">
        <v>0</v>
      </c>
      <c r="G1132" s="19">
        <v>0</v>
      </c>
      <c r="H1132" s="20">
        <v>9.1879776873041941E-2</v>
      </c>
      <c r="I1132" s="20">
        <v>0</v>
      </c>
      <c r="J1132" s="20">
        <v>9.1879776873041941E-2</v>
      </c>
    </row>
    <row r="1133" spans="1:10" ht="11.25" customHeight="1" x14ac:dyDescent="0.2">
      <c r="A1133" s="29">
        <v>44531</v>
      </c>
      <c r="B1133" s="19">
        <v>174150</v>
      </c>
      <c r="C1133" s="19">
        <v>190150.86314244027</v>
      </c>
      <c r="D1133" s="19">
        <v>0</v>
      </c>
      <c r="E1133" s="19">
        <v>0</v>
      </c>
      <c r="F1133" s="19">
        <v>0</v>
      </c>
      <c r="G1133" s="19">
        <v>0</v>
      </c>
      <c r="H1133" s="20">
        <v>9.1879776873041941E-2</v>
      </c>
      <c r="I1133" s="20">
        <v>0</v>
      </c>
      <c r="J1133" s="20">
        <v>9.1879776873041941E-2</v>
      </c>
    </row>
    <row r="1134" spans="1:10" ht="11.25" customHeight="1" x14ac:dyDescent="0.2">
      <c r="A1134" s="29">
        <v>44562</v>
      </c>
      <c r="B1134" s="19">
        <v>174150</v>
      </c>
      <c r="C1134" s="19">
        <v>190150.86314244027</v>
      </c>
      <c r="D1134" s="19">
        <v>0</v>
      </c>
      <c r="E1134" s="19">
        <v>0</v>
      </c>
      <c r="F1134" s="19">
        <v>0</v>
      </c>
      <c r="G1134" s="19">
        <v>0</v>
      </c>
      <c r="H1134" s="20">
        <v>9.1879776873041941E-2</v>
      </c>
      <c r="I1134" s="20">
        <v>0</v>
      </c>
      <c r="J1134" s="20">
        <v>9.1879776873041941E-2</v>
      </c>
    </row>
    <row r="1135" spans="1:10" ht="11.25" customHeight="1" x14ac:dyDescent="0.2">
      <c r="A1135" s="29">
        <v>44593</v>
      </c>
      <c r="B1135" s="19">
        <v>174150</v>
      </c>
      <c r="C1135" s="19">
        <v>190150.86314244027</v>
      </c>
      <c r="D1135" s="19">
        <v>0</v>
      </c>
      <c r="E1135" s="19">
        <v>0</v>
      </c>
      <c r="F1135" s="19">
        <v>0</v>
      </c>
      <c r="G1135" s="19">
        <v>0</v>
      </c>
      <c r="H1135" s="20">
        <v>9.1879776873041941E-2</v>
      </c>
      <c r="I1135" s="20">
        <v>0</v>
      </c>
      <c r="J1135" s="20">
        <v>9.1879776873041941E-2</v>
      </c>
    </row>
    <row r="1136" spans="1:10" ht="11.25" customHeight="1" x14ac:dyDescent="0.2">
      <c r="A1136" s="29">
        <v>44621</v>
      </c>
      <c r="B1136" s="19">
        <v>174150</v>
      </c>
      <c r="C1136" s="19">
        <v>190150.86314244027</v>
      </c>
      <c r="D1136" s="19">
        <v>0</v>
      </c>
      <c r="E1136" s="19">
        <v>0</v>
      </c>
      <c r="F1136" s="19">
        <v>0</v>
      </c>
      <c r="G1136" s="19">
        <v>0</v>
      </c>
      <c r="H1136" s="20">
        <v>9.1879776873041941E-2</v>
      </c>
      <c r="I1136" s="20">
        <v>0</v>
      </c>
      <c r="J1136" s="20">
        <v>9.1879776873041941E-2</v>
      </c>
    </row>
    <row r="1137" spans="1:10" ht="11.25" customHeight="1" x14ac:dyDescent="0.2">
      <c r="A1137" s="29">
        <v>44652</v>
      </c>
      <c r="B1137" s="19">
        <v>174150</v>
      </c>
      <c r="C1137" s="19">
        <v>190150.86314244027</v>
      </c>
      <c r="D1137" s="19">
        <v>0</v>
      </c>
      <c r="E1137" s="19">
        <v>0</v>
      </c>
      <c r="F1137" s="19">
        <v>0</v>
      </c>
      <c r="G1137" s="19">
        <v>0</v>
      </c>
      <c r="H1137" s="20">
        <v>9.1879776873041941E-2</v>
      </c>
      <c r="I1137" s="20">
        <v>0</v>
      </c>
      <c r="J1137" s="20">
        <v>9.1879776873041941E-2</v>
      </c>
    </row>
    <row r="1138" spans="1:10" ht="11.25" customHeight="1" x14ac:dyDescent="0.2">
      <c r="A1138" s="29">
        <v>44682</v>
      </c>
      <c r="B1138" s="19">
        <v>174150</v>
      </c>
      <c r="C1138" s="19">
        <v>190150.86314244027</v>
      </c>
      <c r="D1138" s="19">
        <v>0</v>
      </c>
      <c r="E1138" s="19">
        <v>0</v>
      </c>
      <c r="F1138" s="19">
        <v>0</v>
      </c>
      <c r="G1138" s="19">
        <v>0</v>
      </c>
      <c r="H1138" s="20">
        <v>9.1879776873041941E-2</v>
      </c>
      <c r="I1138" s="20">
        <v>0</v>
      </c>
      <c r="J1138" s="20">
        <v>9.1879776873041941E-2</v>
      </c>
    </row>
    <row r="1139" spans="1:10" ht="11.25" customHeight="1" x14ac:dyDescent="0.2">
      <c r="A1139" s="29">
        <v>44713</v>
      </c>
      <c r="B1139" s="19">
        <v>174150</v>
      </c>
      <c r="C1139" s="19">
        <v>190150.86314244027</v>
      </c>
      <c r="D1139" s="19">
        <v>0</v>
      </c>
      <c r="E1139" s="19">
        <v>0</v>
      </c>
      <c r="F1139" s="19">
        <v>0</v>
      </c>
      <c r="G1139" s="19">
        <v>0</v>
      </c>
      <c r="H1139" s="20">
        <v>9.1879776873041941E-2</v>
      </c>
      <c r="I1139" s="20">
        <v>0</v>
      </c>
      <c r="J1139" s="20">
        <v>9.1879776873041941E-2</v>
      </c>
    </row>
    <row r="1140" spans="1:10" ht="11.25" customHeight="1" x14ac:dyDescent="0.2">
      <c r="A1140" s="29">
        <v>44743</v>
      </c>
      <c r="B1140" s="19">
        <v>174150</v>
      </c>
      <c r="C1140" s="19">
        <v>190150.86314244027</v>
      </c>
      <c r="D1140" s="19">
        <v>0</v>
      </c>
      <c r="E1140" s="19">
        <v>0</v>
      </c>
      <c r="F1140" s="19">
        <v>0</v>
      </c>
      <c r="G1140" s="19">
        <v>0</v>
      </c>
      <c r="H1140" s="20">
        <v>9.1879776873041941E-2</v>
      </c>
      <c r="I1140" s="20">
        <v>0</v>
      </c>
      <c r="J1140" s="20">
        <v>9.1879776873041941E-2</v>
      </c>
    </row>
    <row r="1141" spans="1:10" ht="11.25" customHeight="1" x14ac:dyDescent="0.2">
      <c r="A1141" s="27" t="s">
        <v>75</v>
      </c>
      <c r="B1141" s="19">
        <v>2322000</v>
      </c>
      <c r="C1141" s="19">
        <v>2535344.8418992031</v>
      </c>
      <c r="D1141" s="19">
        <v>0</v>
      </c>
      <c r="E1141" s="19">
        <v>0</v>
      </c>
      <c r="F1141" s="19">
        <v>0</v>
      </c>
      <c r="G1141" s="19">
        <v>0</v>
      </c>
      <c r="H1141" s="20">
        <v>9.1879776873041941E-2</v>
      </c>
      <c r="I1141" s="20">
        <v>0</v>
      </c>
      <c r="J1141" s="20">
        <v>9.1879776873041941E-2</v>
      </c>
    </row>
    <row r="1142" spans="1:10" ht="11.25" customHeight="1" x14ac:dyDescent="0.2">
      <c r="A1142" s="28" t="s">
        <v>25</v>
      </c>
      <c r="B1142" s="19">
        <v>2322000</v>
      </c>
      <c r="C1142" s="19">
        <v>2535344.8418992031</v>
      </c>
      <c r="D1142" s="19">
        <v>0</v>
      </c>
      <c r="E1142" s="19">
        <v>0</v>
      </c>
      <c r="F1142" s="19">
        <v>0</v>
      </c>
      <c r="G1142" s="19">
        <v>0</v>
      </c>
      <c r="H1142" s="20">
        <v>9.1879776873041941E-2</v>
      </c>
      <c r="I1142" s="20">
        <v>0</v>
      </c>
      <c r="J1142" s="20">
        <v>9.1879776873041941E-2</v>
      </c>
    </row>
    <row r="1143" spans="1:10" ht="11.25" customHeight="1" x14ac:dyDescent="0.2">
      <c r="A1143" s="29">
        <v>44409</v>
      </c>
      <c r="B1143" s="19">
        <v>193500</v>
      </c>
      <c r="C1143" s="19">
        <v>211278.73682493364</v>
      </c>
      <c r="D1143" s="19">
        <v>0</v>
      </c>
      <c r="E1143" s="19">
        <v>0</v>
      </c>
      <c r="F1143" s="19">
        <v>0</v>
      </c>
      <c r="G1143" s="19">
        <v>0</v>
      </c>
      <c r="H1143" s="20">
        <v>9.1879776873042163E-2</v>
      </c>
      <c r="I1143" s="20">
        <v>0</v>
      </c>
      <c r="J1143" s="20">
        <v>9.1879776873042163E-2</v>
      </c>
    </row>
    <row r="1144" spans="1:10" ht="11.25" customHeight="1" x14ac:dyDescent="0.2">
      <c r="A1144" s="29">
        <v>44440</v>
      </c>
      <c r="B1144" s="19">
        <v>193500</v>
      </c>
      <c r="C1144" s="19">
        <v>211278.73682493364</v>
      </c>
      <c r="D1144" s="19">
        <v>0</v>
      </c>
      <c r="E1144" s="19">
        <v>0</v>
      </c>
      <c r="F1144" s="19">
        <v>0</v>
      </c>
      <c r="G1144" s="19">
        <v>0</v>
      </c>
      <c r="H1144" s="20">
        <v>9.1879776873042163E-2</v>
      </c>
      <c r="I1144" s="20">
        <v>0</v>
      </c>
      <c r="J1144" s="20">
        <v>9.1879776873042163E-2</v>
      </c>
    </row>
    <row r="1145" spans="1:10" ht="11.25" customHeight="1" x14ac:dyDescent="0.2">
      <c r="A1145" s="29">
        <v>44470</v>
      </c>
      <c r="B1145" s="19">
        <v>193500</v>
      </c>
      <c r="C1145" s="19">
        <v>211278.73682493364</v>
      </c>
      <c r="D1145" s="19">
        <v>0</v>
      </c>
      <c r="E1145" s="19">
        <v>0</v>
      </c>
      <c r="F1145" s="19">
        <v>0</v>
      </c>
      <c r="G1145" s="19">
        <v>0</v>
      </c>
      <c r="H1145" s="20">
        <v>9.1879776873042163E-2</v>
      </c>
      <c r="I1145" s="20">
        <v>0</v>
      </c>
      <c r="J1145" s="20">
        <v>9.1879776873042163E-2</v>
      </c>
    </row>
    <row r="1146" spans="1:10" ht="11.25" customHeight="1" x14ac:dyDescent="0.2">
      <c r="A1146" s="29">
        <v>44501</v>
      </c>
      <c r="B1146" s="19">
        <v>193500</v>
      </c>
      <c r="C1146" s="19">
        <v>211278.73682493364</v>
      </c>
      <c r="D1146" s="19">
        <v>0</v>
      </c>
      <c r="E1146" s="19">
        <v>0</v>
      </c>
      <c r="F1146" s="19">
        <v>0</v>
      </c>
      <c r="G1146" s="19">
        <v>0</v>
      </c>
      <c r="H1146" s="20">
        <v>9.1879776873042163E-2</v>
      </c>
      <c r="I1146" s="20">
        <v>0</v>
      </c>
      <c r="J1146" s="20">
        <v>9.1879776873042163E-2</v>
      </c>
    </row>
    <row r="1147" spans="1:10" ht="11.25" customHeight="1" x14ac:dyDescent="0.2">
      <c r="A1147" s="29">
        <v>44531</v>
      </c>
      <c r="B1147" s="19">
        <v>193500</v>
      </c>
      <c r="C1147" s="19">
        <v>211278.73682493364</v>
      </c>
      <c r="D1147" s="19">
        <v>0</v>
      </c>
      <c r="E1147" s="19">
        <v>0</v>
      </c>
      <c r="F1147" s="19">
        <v>0</v>
      </c>
      <c r="G1147" s="19">
        <v>0</v>
      </c>
      <c r="H1147" s="20">
        <v>9.1879776873042163E-2</v>
      </c>
      <c r="I1147" s="20">
        <v>0</v>
      </c>
      <c r="J1147" s="20">
        <v>9.1879776873042163E-2</v>
      </c>
    </row>
    <row r="1148" spans="1:10" ht="11.25" customHeight="1" x14ac:dyDescent="0.2">
      <c r="A1148" s="29">
        <v>44562</v>
      </c>
      <c r="B1148" s="19">
        <v>193500</v>
      </c>
      <c r="C1148" s="19">
        <v>211278.73682493364</v>
      </c>
      <c r="D1148" s="19">
        <v>0</v>
      </c>
      <c r="E1148" s="19">
        <v>0</v>
      </c>
      <c r="F1148" s="19">
        <v>0</v>
      </c>
      <c r="G1148" s="19">
        <v>0</v>
      </c>
      <c r="H1148" s="20">
        <v>9.1879776873042163E-2</v>
      </c>
      <c r="I1148" s="20">
        <v>0</v>
      </c>
      <c r="J1148" s="20">
        <v>9.1879776873042163E-2</v>
      </c>
    </row>
    <row r="1149" spans="1:10" ht="11.25" customHeight="1" x14ac:dyDescent="0.2">
      <c r="A1149" s="29">
        <v>44593</v>
      </c>
      <c r="B1149" s="19">
        <v>193500</v>
      </c>
      <c r="C1149" s="19">
        <v>211278.73682493364</v>
      </c>
      <c r="D1149" s="19">
        <v>0</v>
      </c>
      <c r="E1149" s="19">
        <v>0</v>
      </c>
      <c r="F1149" s="19">
        <v>0</v>
      </c>
      <c r="G1149" s="19">
        <v>0</v>
      </c>
      <c r="H1149" s="20">
        <v>9.1879776873042163E-2</v>
      </c>
      <c r="I1149" s="20">
        <v>0</v>
      </c>
      <c r="J1149" s="20">
        <v>9.1879776873042163E-2</v>
      </c>
    </row>
    <row r="1150" spans="1:10" ht="11.25" customHeight="1" x14ac:dyDescent="0.2">
      <c r="A1150" s="29">
        <v>44621</v>
      </c>
      <c r="B1150" s="19">
        <v>193500</v>
      </c>
      <c r="C1150" s="19">
        <v>211278.73682493364</v>
      </c>
      <c r="D1150" s="19">
        <v>0</v>
      </c>
      <c r="E1150" s="19">
        <v>0</v>
      </c>
      <c r="F1150" s="19">
        <v>0</v>
      </c>
      <c r="G1150" s="19">
        <v>0</v>
      </c>
      <c r="H1150" s="20">
        <v>9.1879776873042163E-2</v>
      </c>
      <c r="I1150" s="20">
        <v>0</v>
      </c>
      <c r="J1150" s="20">
        <v>9.1879776873042163E-2</v>
      </c>
    </row>
    <row r="1151" spans="1:10" ht="11.25" customHeight="1" x14ac:dyDescent="0.2">
      <c r="A1151" s="29">
        <v>44652</v>
      </c>
      <c r="B1151" s="19">
        <v>193500</v>
      </c>
      <c r="C1151" s="19">
        <v>211278.73682493364</v>
      </c>
      <c r="D1151" s="19">
        <v>0</v>
      </c>
      <c r="E1151" s="19">
        <v>0</v>
      </c>
      <c r="F1151" s="19">
        <v>0</v>
      </c>
      <c r="G1151" s="19">
        <v>0</v>
      </c>
      <c r="H1151" s="20">
        <v>9.1879776873042163E-2</v>
      </c>
      <c r="I1151" s="20">
        <v>0</v>
      </c>
      <c r="J1151" s="20">
        <v>9.1879776873042163E-2</v>
      </c>
    </row>
    <row r="1152" spans="1:10" ht="11.25" customHeight="1" x14ac:dyDescent="0.2">
      <c r="A1152" s="29">
        <v>44682</v>
      </c>
      <c r="B1152" s="19">
        <v>193500</v>
      </c>
      <c r="C1152" s="19">
        <v>211278.73682493364</v>
      </c>
      <c r="D1152" s="19">
        <v>0</v>
      </c>
      <c r="E1152" s="19">
        <v>0</v>
      </c>
      <c r="F1152" s="19">
        <v>0</v>
      </c>
      <c r="G1152" s="19">
        <v>0</v>
      </c>
      <c r="H1152" s="20">
        <v>9.1879776873042163E-2</v>
      </c>
      <c r="I1152" s="20">
        <v>0</v>
      </c>
      <c r="J1152" s="20">
        <v>9.1879776873042163E-2</v>
      </c>
    </row>
    <row r="1153" spans="1:10" ht="11.25" customHeight="1" x14ac:dyDescent="0.2">
      <c r="A1153" s="29">
        <v>44713</v>
      </c>
      <c r="B1153" s="19">
        <v>193500</v>
      </c>
      <c r="C1153" s="19">
        <v>211278.73682493364</v>
      </c>
      <c r="D1153" s="19">
        <v>0</v>
      </c>
      <c r="E1153" s="19">
        <v>0</v>
      </c>
      <c r="F1153" s="19">
        <v>0</v>
      </c>
      <c r="G1153" s="19">
        <v>0</v>
      </c>
      <c r="H1153" s="20">
        <v>9.1879776873042163E-2</v>
      </c>
      <c r="I1153" s="20">
        <v>0</v>
      </c>
      <c r="J1153" s="20">
        <v>9.1879776873042163E-2</v>
      </c>
    </row>
    <row r="1154" spans="1:10" ht="11.25" customHeight="1" x14ac:dyDescent="0.2">
      <c r="A1154" s="29">
        <v>44743</v>
      </c>
      <c r="B1154" s="19">
        <v>193500</v>
      </c>
      <c r="C1154" s="19">
        <v>211278.73682493364</v>
      </c>
      <c r="D1154" s="19">
        <v>0</v>
      </c>
      <c r="E1154" s="19">
        <v>0</v>
      </c>
      <c r="F1154" s="19">
        <v>0</v>
      </c>
      <c r="G1154" s="19">
        <v>0</v>
      </c>
      <c r="H1154" s="20">
        <v>9.1879776873042163E-2</v>
      </c>
      <c r="I1154" s="20">
        <v>0</v>
      </c>
      <c r="J1154" s="20">
        <v>9.1879776873042163E-2</v>
      </c>
    </row>
    <row r="1155" spans="1:10" ht="11.25" customHeight="1" x14ac:dyDescent="0.2">
      <c r="A1155" s="27" t="s">
        <v>67</v>
      </c>
      <c r="B1155" s="19">
        <v>541800</v>
      </c>
      <c r="C1155" s="19">
        <v>591580.46310981421</v>
      </c>
      <c r="D1155" s="19">
        <v>0</v>
      </c>
      <c r="E1155" s="19">
        <v>0</v>
      </c>
      <c r="F1155" s="19">
        <v>0</v>
      </c>
      <c r="G1155" s="19">
        <v>0</v>
      </c>
      <c r="H1155" s="20">
        <v>9.1879776873042163E-2</v>
      </c>
      <c r="I1155" s="20">
        <v>0</v>
      </c>
      <c r="J1155" s="20">
        <v>9.1879776873042163E-2</v>
      </c>
    </row>
    <row r="1156" spans="1:10" ht="11.25" customHeight="1" x14ac:dyDescent="0.2">
      <c r="A1156" s="28" t="s">
        <v>25</v>
      </c>
      <c r="B1156" s="19">
        <v>541800</v>
      </c>
      <c r="C1156" s="19">
        <v>591580.46310981421</v>
      </c>
      <c r="D1156" s="19">
        <v>0</v>
      </c>
      <c r="E1156" s="19">
        <v>0</v>
      </c>
      <c r="F1156" s="19">
        <v>0</v>
      </c>
      <c r="G1156" s="19">
        <v>0</v>
      </c>
      <c r="H1156" s="20">
        <v>9.1879776873042163E-2</v>
      </c>
      <c r="I1156" s="20">
        <v>0</v>
      </c>
      <c r="J1156" s="20">
        <v>9.1879776873042163E-2</v>
      </c>
    </row>
    <row r="1157" spans="1:10" ht="11.25" customHeight="1" x14ac:dyDescent="0.2">
      <c r="A1157" s="29">
        <v>44409</v>
      </c>
      <c r="B1157" s="19">
        <v>45150</v>
      </c>
      <c r="C1157" s="19">
        <v>49298.371925817846</v>
      </c>
      <c r="D1157" s="19">
        <v>0</v>
      </c>
      <c r="E1157" s="19">
        <v>0</v>
      </c>
      <c r="F1157" s="19">
        <v>0</v>
      </c>
      <c r="G1157" s="19">
        <v>0</v>
      </c>
      <c r="H1157" s="20">
        <v>9.1879776873041941E-2</v>
      </c>
      <c r="I1157" s="20">
        <v>0</v>
      </c>
      <c r="J1157" s="20">
        <v>9.1879776873041941E-2</v>
      </c>
    </row>
    <row r="1158" spans="1:10" ht="11.25" customHeight="1" x14ac:dyDescent="0.2">
      <c r="A1158" s="29">
        <v>44440</v>
      </c>
      <c r="B1158" s="19">
        <v>45150</v>
      </c>
      <c r="C1158" s="19">
        <v>49298.371925817846</v>
      </c>
      <c r="D1158" s="19">
        <v>0</v>
      </c>
      <c r="E1158" s="19">
        <v>0</v>
      </c>
      <c r="F1158" s="19">
        <v>0</v>
      </c>
      <c r="G1158" s="19">
        <v>0</v>
      </c>
      <c r="H1158" s="20">
        <v>9.1879776873041941E-2</v>
      </c>
      <c r="I1158" s="20">
        <v>0</v>
      </c>
      <c r="J1158" s="20">
        <v>9.1879776873041941E-2</v>
      </c>
    </row>
    <row r="1159" spans="1:10" ht="11.25" customHeight="1" x14ac:dyDescent="0.2">
      <c r="A1159" s="29">
        <v>44470</v>
      </c>
      <c r="B1159" s="19">
        <v>45150</v>
      </c>
      <c r="C1159" s="19">
        <v>49298.371925817846</v>
      </c>
      <c r="D1159" s="19">
        <v>0</v>
      </c>
      <c r="E1159" s="19">
        <v>0</v>
      </c>
      <c r="F1159" s="19">
        <v>0</v>
      </c>
      <c r="G1159" s="19">
        <v>0</v>
      </c>
      <c r="H1159" s="20">
        <v>9.1879776873041941E-2</v>
      </c>
      <c r="I1159" s="20">
        <v>0</v>
      </c>
      <c r="J1159" s="20">
        <v>9.1879776873041941E-2</v>
      </c>
    </row>
    <row r="1160" spans="1:10" ht="11.25" customHeight="1" x14ac:dyDescent="0.2">
      <c r="A1160" s="29">
        <v>44501</v>
      </c>
      <c r="B1160" s="19">
        <v>45150</v>
      </c>
      <c r="C1160" s="19">
        <v>49298.371925817846</v>
      </c>
      <c r="D1160" s="19">
        <v>0</v>
      </c>
      <c r="E1160" s="19">
        <v>0</v>
      </c>
      <c r="F1160" s="19">
        <v>0</v>
      </c>
      <c r="G1160" s="19">
        <v>0</v>
      </c>
      <c r="H1160" s="20">
        <v>9.1879776873041941E-2</v>
      </c>
      <c r="I1160" s="20">
        <v>0</v>
      </c>
      <c r="J1160" s="20">
        <v>9.1879776873041941E-2</v>
      </c>
    </row>
    <row r="1161" spans="1:10" ht="11.25" customHeight="1" x14ac:dyDescent="0.2">
      <c r="A1161" s="29">
        <v>44531</v>
      </c>
      <c r="B1161" s="19">
        <v>45150</v>
      </c>
      <c r="C1161" s="19">
        <v>49298.371925817846</v>
      </c>
      <c r="D1161" s="19">
        <v>0</v>
      </c>
      <c r="E1161" s="19">
        <v>0</v>
      </c>
      <c r="F1161" s="19">
        <v>0</v>
      </c>
      <c r="G1161" s="19">
        <v>0</v>
      </c>
      <c r="H1161" s="20">
        <v>9.1879776873041941E-2</v>
      </c>
      <c r="I1161" s="20">
        <v>0</v>
      </c>
      <c r="J1161" s="20">
        <v>9.1879776873041941E-2</v>
      </c>
    </row>
    <row r="1162" spans="1:10" ht="11.25" customHeight="1" x14ac:dyDescent="0.2">
      <c r="A1162" s="29">
        <v>44562</v>
      </c>
      <c r="B1162" s="19">
        <v>45150</v>
      </c>
      <c r="C1162" s="19">
        <v>49298.371925817846</v>
      </c>
      <c r="D1162" s="19">
        <v>0</v>
      </c>
      <c r="E1162" s="19">
        <v>0</v>
      </c>
      <c r="F1162" s="19">
        <v>0</v>
      </c>
      <c r="G1162" s="19">
        <v>0</v>
      </c>
      <c r="H1162" s="20">
        <v>9.1879776873041941E-2</v>
      </c>
      <c r="I1162" s="20">
        <v>0</v>
      </c>
      <c r="J1162" s="20">
        <v>9.1879776873041941E-2</v>
      </c>
    </row>
    <row r="1163" spans="1:10" ht="11.25" customHeight="1" x14ac:dyDescent="0.2">
      <c r="A1163" s="29">
        <v>44593</v>
      </c>
      <c r="B1163" s="19">
        <v>45150</v>
      </c>
      <c r="C1163" s="19">
        <v>49298.371925817846</v>
      </c>
      <c r="D1163" s="19">
        <v>0</v>
      </c>
      <c r="E1163" s="19">
        <v>0</v>
      </c>
      <c r="F1163" s="19">
        <v>0</v>
      </c>
      <c r="G1163" s="19">
        <v>0</v>
      </c>
      <c r="H1163" s="20">
        <v>9.1879776873041941E-2</v>
      </c>
      <c r="I1163" s="20">
        <v>0</v>
      </c>
      <c r="J1163" s="20">
        <v>9.1879776873041941E-2</v>
      </c>
    </row>
    <row r="1164" spans="1:10" ht="11.25" customHeight="1" x14ac:dyDescent="0.2">
      <c r="A1164" s="29">
        <v>44621</v>
      </c>
      <c r="B1164" s="19">
        <v>45150</v>
      </c>
      <c r="C1164" s="19">
        <v>49298.371925817846</v>
      </c>
      <c r="D1164" s="19">
        <v>0</v>
      </c>
      <c r="E1164" s="19">
        <v>0</v>
      </c>
      <c r="F1164" s="19">
        <v>0</v>
      </c>
      <c r="G1164" s="19">
        <v>0</v>
      </c>
      <c r="H1164" s="20">
        <v>9.1879776873041941E-2</v>
      </c>
      <c r="I1164" s="20">
        <v>0</v>
      </c>
      <c r="J1164" s="20">
        <v>9.1879776873041941E-2</v>
      </c>
    </row>
    <row r="1165" spans="1:10" ht="11.25" customHeight="1" x14ac:dyDescent="0.2">
      <c r="A1165" s="29">
        <v>44652</v>
      </c>
      <c r="B1165" s="19">
        <v>45150</v>
      </c>
      <c r="C1165" s="19">
        <v>49298.371925817846</v>
      </c>
      <c r="D1165" s="19">
        <v>0</v>
      </c>
      <c r="E1165" s="19">
        <v>0</v>
      </c>
      <c r="F1165" s="19">
        <v>0</v>
      </c>
      <c r="G1165" s="19">
        <v>0</v>
      </c>
      <c r="H1165" s="20">
        <v>9.1879776873041941E-2</v>
      </c>
      <c r="I1165" s="20">
        <v>0</v>
      </c>
      <c r="J1165" s="20">
        <v>9.1879776873041941E-2</v>
      </c>
    </row>
    <row r="1166" spans="1:10" ht="11.25" customHeight="1" x14ac:dyDescent="0.2">
      <c r="A1166" s="29">
        <v>44682</v>
      </c>
      <c r="B1166" s="19">
        <v>45150</v>
      </c>
      <c r="C1166" s="19">
        <v>49298.371925817846</v>
      </c>
      <c r="D1166" s="19">
        <v>0</v>
      </c>
      <c r="E1166" s="19">
        <v>0</v>
      </c>
      <c r="F1166" s="19">
        <v>0</v>
      </c>
      <c r="G1166" s="19">
        <v>0</v>
      </c>
      <c r="H1166" s="20">
        <v>9.1879776873041941E-2</v>
      </c>
      <c r="I1166" s="20">
        <v>0</v>
      </c>
      <c r="J1166" s="20">
        <v>9.1879776873041941E-2</v>
      </c>
    </row>
    <row r="1167" spans="1:10" ht="11.25" customHeight="1" x14ac:dyDescent="0.2">
      <c r="A1167" s="29">
        <v>44713</v>
      </c>
      <c r="B1167" s="19">
        <v>45150</v>
      </c>
      <c r="C1167" s="19">
        <v>49298.371925817846</v>
      </c>
      <c r="D1167" s="19">
        <v>0</v>
      </c>
      <c r="E1167" s="19">
        <v>0</v>
      </c>
      <c r="F1167" s="19">
        <v>0</v>
      </c>
      <c r="G1167" s="19">
        <v>0</v>
      </c>
      <c r="H1167" s="20">
        <v>9.1879776873041941E-2</v>
      </c>
      <c r="I1167" s="20">
        <v>0</v>
      </c>
      <c r="J1167" s="20">
        <v>9.1879776873041941E-2</v>
      </c>
    </row>
    <row r="1168" spans="1:10" ht="11.25" customHeight="1" x14ac:dyDescent="0.2">
      <c r="A1168" s="29">
        <v>44743</v>
      </c>
      <c r="B1168" s="19">
        <v>45150</v>
      </c>
      <c r="C1168" s="19">
        <v>49298.371925817846</v>
      </c>
      <c r="D1168" s="19">
        <v>0</v>
      </c>
      <c r="E1168" s="19">
        <v>0</v>
      </c>
      <c r="F1168" s="19">
        <v>0</v>
      </c>
      <c r="G1168" s="19">
        <v>0</v>
      </c>
      <c r="H1168" s="20">
        <v>9.1879776873041941E-2</v>
      </c>
      <c r="I1168" s="20">
        <v>0</v>
      </c>
      <c r="J1168" s="20">
        <v>9.1879776873041941E-2</v>
      </c>
    </row>
    <row r="1169" spans="1:10" ht="11.25" customHeight="1" x14ac:dyDescent="0.2">
      <c r="A1169" s="27" t="s">
        <v>70</v>
      </c>
      <c r="B1169" s="19">
        <v>861229.8</v>
      </c>
      <c r="C1169" s="19">
        <v>940359.40186041489</v>
      </c>
      <c r="D1169" s="19">
        <v>0</v>
      </c>
      <c r="E1169" s="19">
        <v>0</v>
      </c>
      <c r="F1169" s="19">
        <v>0</v>
      </c>
      <c r="G1169" s="19">
        <v>0</v>
      </c>
      <c r="H1169" s="20">
        <v>9.1879776873042385E-2</v>
      </c>
      <c r="I1169" s="20">
        <v>0</v>
      </c>
      <c r="J1169" s="20">
        <v>9.1879776873042385E-2</v>
      </c>
    </row>
    <row r="1170" spans="1:10" ht="11.25" customHeight="1" x14ac:dyDescent="0.2">
      <c r="A1170" s="28" t="s">
        <v>25</v>
      </c>
      <c r="B1170" s="19">
        <v>861229.8</v>
      </c>
      <c r="C1170" s="19">
        <v>940359.40186041489</v>
      </c>
      <c r="D1170" s="19">
        <v>0</v>
      </c>
      <c r="E1170" s="19">
        <v>0</v>
      </c>
      <c r="F1170" s="19">
        <v>0</v>
      </c>
      <c r="G1170" s="19">
        <v>0</v>
      </c>
      <c r="H1170" s="20">
        <v>9.1879776873042385E-2</v>
      </c>
      <c r="I1170" s="20">
        <v>0</v>
      </c>
      <c r="J1170" s="20">
        <v>9.1879776873042385E-2</v>
      </c>
    </row>
    <row r="1171" spans="1:10" ht="11.25" customHeight="1" x14ac:dyDescent="0.2">
      <c r="A1171" s="29">
        <v>44409</v>
      </c>
      <c r="B1171" s="19">
        <v>64035.6</v>
      </c>
      <c r="C1171" s="19">
        <v>69919.176639931378</v>
      </c>
      <c r="D1171" s="19">
        <v>0</v>
      </c>
      <c r="E1171" s="19">
        <v>0</v>
      </c>
      <c r="F1171" s="19">
        <v>0</v>
      </c>
      <c r="G1171" s="19">
        <v>0</v>
      </c>
      <c r="H1171" s="20">
        <v>9.1879776873042163E-2</v>
      </c>
      <c r="I1171" s="20">
        <v>0</v>
      </c>
      <c r="J1171" s="20">
        <v>9.1879776873042163E-2</v>
      </c>
    </row>
    <row r="1172" spans="1:10" ht="11.25" customHeight="1" x14ac:dyDescent="0.2">
      <c r="A1172" s="29">
        <v>44440</v>
      </c>
      <c r="B1172" s="19">
        <v>70950</v>
      </c>
      <c r="C1172" s="19">
        <v>77468.870169142334</v>
      </c>
      <c r="D1172" s="19">
        <v>0</v>
      </c>
      <c r="E1172" s="19">
        <v>0</v>
      </c>
      <c r="F1172" s="19">
        <v>0</v>
      </c>
      <c r="G1172" s="19">
        <v>0</v>
      </c>
      <c r="H1172" s="20">
        <v>9.1879776873042163E-2</v>
      </c>
      <c r="I1172" s="20">
        <v>0</v>
      </c>
      <c r="J1172" s="20">
        <v>9.1879776873042163E-2</v>
      </c>
    </row>
    <row r="1173" spans="1:10" ht="11.25" customHeight="1" x14ac:dyDescent="0.2">
      <c r="A1173" s="29">
        <v>44470</v>
      </c>
      <c r="B1173" s="19">
        <v>70950</v>
      </c>
      <c r="C1173" s="19">
        <v>77468.870169142334</v>
      </c>
      <c r="D1173" s="19">
        <v>0</v>
      </c>
      <c r="E1173" s="19">
        <v>0</v>
      </c>
      <c r="F1173" s="19">
        <v>0</v>
      </c>
      <c r="G1173" s="19">
        <v>0</v>
      </c>
      <c r="H1173" s="20">
        <v>9.1879776873042163E-2</v>
      </c>
      <c r="I1173" s="20">
        <v>0</v>
      </c>
      <c r="J1173" s="20">
        <v>9.1879776873042163E-2</v>
      </c>
    </row>
    <row r="1174" spans="1:10" ht="11.25" customHeight="1" x14ac:dyDescent="0.2">
      <c r="A1174" s="29">
        <v>44501</v>
      </c>
      <c r="B1174" s="19">
        <v>76187.400000000009</v>
      </c>
      <c r="C1174" s="19">
        <v>83187.481312537202</v>
      </c>
      <c r="D1174" s="19">
        <v>0</v>
      </c>
      <c r="E1174" s="19">
        <v>0</v>
      </c>
      <c r="F1174" s="19">
        <v>0</v>
      </c>
      <c r="G1174" s="19">
        <v>0</v>
      </c>
      <c r="H1174" s="20">
        <v>9.1879776873041941E-2</v>
      </c>
      <c r="I1174" s="20">
        <v>0</v>
      </c>
      <c r="J1174" s="20">
        <v>9.1879776873041941E-2</v>
      </c>
    </row>
    <row r="1175" spans="1:10" ht="11.25" customHeight="1" x14ac:dyDescent="0.2">
      <c r="A1175" s="29">
        <v>44531</v>
      </c>
      <c r="B1175" s="19">
        <v>78303</v>
      </c>
      <c r="C1175" s="19">
        <v>85497.462168489816</v>
      </c>
      <c r="D1175" s="19">
        <v>0</v>
      </c>
      <c r="E1175" s="19">
        <v>0</v>
      </c>
      <c r="F1175" s="19">
        <v>0</v>
      </c>
      <c r="G1175" s="19">
        <v>0</v>
      </c>
      <c r="H1175" s="20">
        <v>9.1879776873042163E-2</v>
      </c>
      <c r="I1175" s="20">
        <v>0</v>
      </c>
      <c r="J1175" s="20">
        <v>9.1879776873042163E-2</v>
      </c>
    </row>
    <row r="1176" spans="1:10" ht="11.25" customHeight="1" x14ac:dyDescent="0.2">
      <c r="A1176" s="29">
        <v>44562</v>
      </c>
      <c r="B1176" s="19">
        <v>75103.8</v>
      </c>
      <c r="C1176" s="19">
        <v>82004.320386317573</v>
      </c>
      <c r="D1176" s="19">
        <v>0</v>
      </c>
      <c r="E1176" s="19">
        <v>0</v>
      </c>
      <c r="F1176" s="19">
        <v>0</v>
      </c>
      <c r="G1176" s="19">
        <v>0</v>
      </c>
      <c r="H1176" s="20">
        <v>9.1879776873041941E-2</v>
      </c>
      <c r="I1176" s="20">
        <v>0</v>
      </c>
      <c r="J1176" s="20">
        <v>9.1879776873041941E-2</v>
      </c>
    </row>
    <row r="1177" spans="1:10" ht="11.25" customHeight="1" x14ac:dyDescent="0.2">
      <c r="A1177" s="29">
        <v>44593</v>
      </c>
      <c r="B1177" s="19">
        <v>70950</v>
      </c>
      <c r="C1177" s="19">
        <v>77468.870169142334</v>
      </c>
      <c r="D1177" s="19">
        <v>0</v>
      </c>
      <c r="E1177" s="19">
        <v>0</v>
      </c>
      <c r="F1177" s="19">
        <v>0</v>
      </c>
      <c r="G1177" s="19">
        <v>0</v>
      </c>
      <c r="H1177" s="20">
        <v>9.1879776873042163E-2</v>
      </c>
      <c r="I1177" s="20">
        <v>0</v>
      </c>
      <c r="J1177" s="20">
        <v>9.1879776873042163E-2</v>
      </c>
    </row>
    <row r="1178" spans="1:10" ht="11.25" customHeight="1" x14ac:dyDescent="0.2">
      <c r="A1178" s="29">
        <v>44621</v>
      </c>
      <c r="B1178" s="19">
        <v>70950</v>
      </c>
      <c r="C1178" s="19">
        <v>77468.870169142334</v>
      </c>
      <c r="D1178" s="19">
        <v>0</v>
      </c>
      <c r="E1178" s="19">
        <v>0</v>
      </c>
      <c r="F1178" s="19">
        <v>0</v>
      </c>
      <c r="G1178" s="19">
        <v>0</v>
      </c>
      <c r="H1178" s="20">
        <v>9.1879776873042163E-2</v>
      </c>
      <c r="I1178" s="20">
        <v>0</v>
      </c>
      <c r="J1178" s="20">
        <v>9.1879776873042163E-2</v>
      </c>
    </row>
    <row r="1179" spans="1:10" ht="11.25" customHeight="1" x14ac:dyDescent="0.2">
      <c r="A1179" s="29">
        <v>44652</v>
      </c>
      <c r="B1179" s="19">
        <v>70950</v>
      </c>
      <c r="C1179" s="19">
        <v>77468.870169142334</v>
      </c>
      <c r="D1179" s="19">
        <v>0</v>
      </c>
      <c r="E1179" s="19">
        <v>0</v>
      </c>
      <c r="F1179" s="19">
        <v>0</v>
      </c>
      <c r="G1179" s="19">
        <v>0</v>
      </c>
      <c r="H1179" s="20">
        <v>9.1879776873042163E-2</v>
      </c>
      <c r="I1179" s="20">
        <v>0</v>
      </c>
      <c r="J1179" s="20">
        <v>9.1879776873042163E-2</v>
      </c>
    </row>
    <row r="1180" spans="1:10" ht="11.25" customHeight="1" x14ac:dyDescent="0.2">
      <c r="A1180" s="29">
        <v>44682</v>
      </c>
      <c r="B1180" s="19">
        <v>70950</v>
      </c>
      <c r="C1180" s="19">
        <v>77468.870169142334</v>
      </c>
      <c r="D1180" s="19">
        <v>0</v>
      </c>
      <c r="E1180" s="19">
        <v>0</v>
      </c>
      <c r="F1180" s="19">
        <v>0</v>
      </c>
      <c r="G1180" s="19">
        <v>0</v>
      </c>
      <c r="H1180" s="20">
        <v>9.1879776873042163E-2</v>
      </c>
      <c r="I1180" s="20">
        <v>0</v>
      </c>
      <c r="J1180" s="20">
        <v>9.1879776873042163E-2</v>
      </c>
    </row>
    <row r="1181" spans="1:10" ht="11.25" customHeight="1" x14ac:dyDescent="0.2">
      <c r="A1181" s="29">
        <v>44713</v>
      </c>
      <c r="B1181" s="19">
        <v>70950</v>
      </c>
      <c r="C1181" s="19">
        <v>77468.870169142334</v>
      </c>
      <c r="D1181" s="19">
        <v>0</v>
      </c>
      <c r="E1181" s="19">
        <v>0</v>
      </c>
      <c r="F1181" s="19">
        <v>0</v>
      </c>
      <c r="G1181" s="19">
        <v>0</v>
      </c>
      <c r="H1181" s="20">
        <v>9.1879776873042163E-2</v>
      </c>
      <c r="I1181" s="20">
        <v>0</v>
      </c>
      <c r="J1181" s="20">
        <v>9.1879776873042163E-2</v>
      </c>
    </row>
    <row r="1182" spans="1:10" ht="11.25" customHeight="1" x14ac:dyDescent="0.2">
      <c r="A1182" s="29">
        <v>44743</v>
      </c>
      <c r="B1182" s="19">
        <v>70950</v>
      </c>
      <c r="C1182" s="19">
        <v>77468.870169142334</v>
      </c>
      <c r="D1182" s="19">
        <v>0</v>
      </c>
      <c r="E1182" s="19">
        <v>0</v>
      </c>
      <c r="F1182" s="19">
        <v>0</v>
      </c>
      <c r="G1182" s="19">
        <v>0</v>
      </c>
      <c r="H1182" s="20">
        <v>9.1879776873042163E-2</v>
      </c>
      <c r="I1182" s="20">
        <v>0</v>
      </c>
      <c r="J1182" s="20">
        <v>9.1879776873042163E-2</v>
      </c>
    </row>
    <row r="1183" spans="1:10" ht="11.25" customHeight="1" x14ac:dyDescent="0.2">
      <c r="A1183" s="27" t="s">
        <v>69</v>
      </c>
      <c r="B1183" s="19">
        <v>261031.5</v>
      </c>
      <c r="C1183" s="19">
        <v>285015.01597683545</v>
      </c>
      <c r="D1183" s="19">
        <v>0</v>
      </c>
      <c r="E1183" s="19">
        <v>0</v>
      </c>
      <c r="F1183" s="19">
        <v>0</v>
      </c>
      <c r="G1183" s="19">
        <v>0</v>
      </c>
      <c r="H1183" s="20">
        <v>9.1879776873041941E-2</v>
      </c>
      <c r="I1183" s="20">
        <v>0</v>
      </c>
      <c r="J1183" s="20">
        <v>9.1879776873041941E-2</v>
      </c>
    </row>
    <row r="1184" spans="1:10" ht="11.25" customHeight="1" x14ac:dyDescent="0.2">
      <c r="A1184" s="28" t="s">
        <v>25</v>
      </c>
      <c r="B1184" s="19">
        <v>261031.5</v>
      </c>
      <c r="C1184" s="19">
        <v>285015.01597683545</v>
      </c>
      <c r="D1184" s="19">
        <v>0</v>
      </c>
      <c r="E1184" s="19">
        <v>0</v>
      </c>
      <c r="F1184" s="19">
        <v>0</v>
      </c>
      <c r="G1184" s="19">
        <v>0</v>
      </c>
      <c r="H1184" s="20">
        <v>9.1879776873041941E-2</v>
      </c>
      <c r="I1184" s="20">
        <v>0</v>
      </c>
      <c r="J1184" s="20">
        <v>9.1879776873041941E-2</v>
      </c>
    </row>
    <row r="1185" spans="1:10" ht="11.25" customHeight="1" x14ac:dyDescent="0.2">
      <c r="A1185" s="29">
        <v>44409</v>
      </c>
      <c r="B1185" s="19">
        <v>19350</v>
      </c>
      <c r="C1185" s="19">
        <v>21127.873682493362</v>
      </c>
      <c r="D1185" s="19">
        <v>0</v>
      </c>
      <c r="E1185" s="19">
        <v>0</v>
      </c>
      <c r="F1185" s="19">
        <v>0</v>
      </c>
      <c r="G1185" s="19">
        <v>0</v>
      </c>
      <c r="H1185" s="20">
        <v>9.1879776873041941E-2</v>
      </c>
      <c r="I1185" s="20">
        <v>0</v>
      </c>
      <c r="J1185" s="20">
        <v>9.1879776873041941E-2</v>
      </c>
    </row>
    <row r="1186" spans="1:10" ht="11.25" customHeight="1" x14ac:dyDescent="0.2">
      <c r="A1186" s="29">
        <v>44440</v>
      </c>
      <c r="B1186" s="19">
        <v>19350</v>
      </c>
      <c r="C1186" s="19">
        <v>21127.873682493362</v>
      </c>
      <c r="D1186" s="19">
        <v>0</v>
      </c>
      <c r="E1186" s="19">
        <v>0</v>
      </c>
      <c r="F1186" s="19">
        <v>0</v>
      </c>
      <c r="G1186" s="19">
        <v>0</v>
      </c>
      <c r="H1186" s="20">
        <v>9.1879776873041941E-2</v>
      </c>
      <c r="I1186" s="20">
        <v>0</v>
      </c>
      <c r="J1186" s="20">
        <v>9.1879776873041941E-2</v>
      </c>
    </row>
    <row r="1187" spans="1:10" ht="11.25" customHeight="1" x14ac:dyDescent="0.2">
      <c r="A1187" s="29">
        <v>44470</v>
      </c>
      <c r="B1187" s="19">
        <v>19350</v>
      </c>
      <c r="C1187" s="19">
        <v>21127.873682493362</v>
      </c>
      <c r="D1187" s="19">
        <v>0</v>
      </c>
      <c r="E1187" s="19">
        <v>0</v>
      </c>
      <c r="F1187" s="19">
        <v>0</v>
      </c>
      <c r="G1187" s="19">
        <v>0</v>
      </c>
      <c r="H1187" s="20">
        <v>9.1879776873041941E-2</v>
      </c>
      <c r="I1187" s="20">
        <v>0</v>
      </c>
      <c r="J1187" s="20">
        <v>9.1879776873041941E-2</v>
      </c>
    </row>
    <row r="1188" spans="1:10" ht="11.25" customHeight="1" x14ac:dyDescent="0.2">
      <c r="A1188" s="29">
        <v>44501</v>
      </c>
      <c r="B1188" s="19">
        <v>23955.3</v>
      </c>
      <c r="C1188" s="19">
        <v>26156.307618926785</v>
      </c>
      <c r="D1188" s="19">
        <v>0</v>
      </c>
      <c r="E1188" s="19">
        <v>0</v>
      </c>
      <c r="F1188" s="19">
        <v>0</v>
      </c>
      <c r="G1188" s="19">
        <v>0</v>
      </c>
      <c r="H1188" s="20">
        <v>9.1879776873042163E-2</v>
      </c>
      <c r="I1188" s="20">
        <v>0</v>
      </c>
      <c r="J1188" s="20">
        <v>9.1879776873042163E-2</v>
      </c>
    </row>
    <row r="1189" spans="1:10" ht="11.25" customHeight="1" x14ac:dyDescent="0.2">
      <c r="A1189" s="29">
        <v>44531</v>
      </c>
      <c r="B1189" s="19">
        <v>21426.9</v>
      </c>
      <c r="C1189" s="19">
        <v>23395.598791080985</v>
      </c>
      <c r="D1189" s="19">
        <v>0</v>
      </c>
      <c r="E1189" s="19">
        <v>0</v>
      </c>
      <c r="F1189" s="19">
        <v>0</v>
      </c>
      <c r="G1189" s="19">
        <v>0</v>
      </c>
      <c r="H1189" s="20">
        <v>9.1879776873041941E-2</v>
      </c>
      <c r="I1189" s="20">
        <v>0</v>
      </c>
      <c r="J1189" s="20">
        <v>9.1879776873041941E-2</v>
      </c>
    </row>
    <row r="1190" spans="1:10" ht="11.25" customHeight="1" x14ac:dyDescent="0.2">
      <c r="A1190" s="29">
        <v>44562</v>
      </c>
      <c r="B1190" s="19">
        <v>22149.3</v>
      </c>
      <c r="C1190" s="19">
        <v>24184.372741894069</v>
      </c>
      <c r="D1190" s="19">
        <v>0</v>
      </c>
      <c r="E1190" s="19">
        <v>0</v>
      </c>
      <c r="F1190" s="19">
        <v>0</v>
      </c>
      <c r="G1190" s="19">
        <v>0</v>
      </c>
      <c r="H1190" s="20">
        <v>9.1879776873041941E-2</v>
      </c>
      <c r="I1190" s="20">
        <v>0</v>
      </c>
      <c r="J1190" s="20">
        <v>9.1879776873041941E-2</v>
      </c>
    </row>
    <row r="1191" spans="1:10" ht="11.25" customHeight="1" x14ac:dyDescent="0.2">
      <c r="A1191" s="29">
        <v>44593</v>
      </c>
      <c r="B1191" s="19">
        <v>38700</v>
      </c>
      <c r="C1191" s="19">
        <v>42255.747364986724</v>
      </c>
      <c r="D1191" s="19">
        <v>0</v>
      </c>
      <c r="E1191" s="19">
        <v>0</v>
      </c>
      <c r="F1191" s="19">
        <v>0</v>
      </c>
      <c r="G1191" s="19">
        <v>0</v>
      </c>
      <c r="H1191" s="20">
        <v>9.1879776873041941E-2</v>
      </c>
      <c r="I1191" s="20">
        <v>0</v>
      </c>
      <c r="J1191" s="20">
        <v>9.1879776873041941E-2</v>
      </c>
    </row>
    <row r="1192" spans="1:10" ht="11.25" customHeight="1" x14ac:dyDescent="0.2">
      <c r="A1192" s="29">
        <v>44621</v>
      </c>
      <c r="B1192" s="19">
        <v>19350</v>
      </c>
      <c r="C1192" s="19">
        <v>21127.873682493362</v>
      </c>
      <c r="D1192" s="19">
        <v>0</v>
      </c>
      <c r="E1192" s="19">
        <v>0</v>
      </c>
      <c r="F1192" s="19">
        <v>0</v>
      </c>
      <c r="G1192" s="19">
        <v>0</v>
      </c>
      <c r="H1192" s="20">
        <v>9.1879776873041941E-2</v>
      </c>
      <c r="I1192" s="20">
        <v>0</v>
      </c>
      <c r="J1192" s="20">
        <v>9.1879776873041941E-2</v>
      </c>
    </row>
    <row r="1193" spans="1:10" ht="11.25" customHeight="1" x14ac:dyDescent="0.2">
      <c r="A1193" s="29">
        <v>44652</v>
      </c>
      <c r="B1193" s="19">
        <v>19350</v>
      </c>
      <c r="C1193" s="19">
        <v>21127.873682493362</v>
      </c>
      <c r="D1193" s="19">
        <v>0</v>
      </c>
      <c r="E1193" s="19">
        <v>0</v>
      </c>
      <c r="F1193" s="19">
        <v>0</v>
      </c>
      <c r="G1193" s="19">
        <v>0</v>
      </c>
      <c r="H1193" s="20">
        <v>9.1879776873041941E-2</v>
      </c>
      <c r="I1193" s="20">
        <v>0</v>
      </c>
      <c r="J1193" s="20">
        <v>9.1879776873041941E-2</v>
      </c>
    </row>
    <row r="1194" spans="1:10" ht="11.25" customHeight="1" x14ac:dyDescent="0.2">
      <c r="A1194" s="29">
        <v>44682</v>
      </c>
      <c r="B1194" s="19">
        <v>19350</v>
      </c>
      <c r="C1194" s="19">
        <v>21127.873682493362</v>
      </c>
      <c r="D1194" s="19">
        <v>0</v>
      </c>
      <c r="E1194" s="19">
        <v>0</v>
      </c>
      <c r="F1194" s="19">
        <v>0</v>
      </c>
      <c r="G1194" s="19">
        <v>0</v>
      </c>
      <c r="H1194" s="20">
        <v>9.1879776873041941E-2</v>
      </c>
      <c r="I1194" s="20">
        <v>0</v>
      </c>
      <c r="J1194" s="20">
        <v>9.1879776873041941E-2</v>
      </c>
    </row>
    <row r="1195" spans="1:10" ht="11.25" customHeight="1" x14ac:dyDescent="0.2">
      <c r="A1195" s="29">
        <v>44713</v>
      </c>
      <c r="B1195" s="19">
        <v>19350</v>
      </c>
      <c r="C1195" s="19">
        <v>21127.873682493362</v>
      </c>
      <c r="D1195" s="19">
        <v>0</v>
      </c>
      <c r="E1195" s="19">
        <v>0</v>
      </c>
      <c r="F1195" s="19">
        <v>0</v>
      </c>
      <c r="G1195" s="19">
        <v>0</v>
      </c>
      <c r="H1195" s="20">
        <v>9.1879776873041941E-2</v>
      </c>
      <c r="I1195" s="20">
        <v>0</v>
      </c>
      <c r="J1195" s="20">
        <v>9.1879776873041941E-2</v>
      </c>
    </row>
    <row r="1196" spans="1:10" ht="11.25" customHeight="1" x14ac:dyDescent="0.2">
      <c r="A1196" s="29">
        <v>44743</v>
      </c>
      <c r="B1196" s="19">
        <v>19350</v>
      </c>
      <c r="C1196" s="19">
        <v>21127.873682493362</v>
      </c>
      <c r="D1196" s="19">
        <v>0</v>
      </c>
      <c r="E1196" s="19">
        <v>0</v>
      </c>
      <c r="F1196" s="19">
        <v>0</v>
      </c>
      <c r="G1196" s="19">
        <v>0</v>
      </c>
      <c r="H1196" s="20">
        <v>9.1879776873041941E-2</v>
      </c>
      <c r="I1196" s="20">
        <v>0</v>
      </c>
      <c r="J1196" s="20">
        <v>9.1879776873041941E-2</v>
      </c>
    </row>
    <row r="1197" spans="1:10" ht="11.25" customHeight="1" x14ac:dyDescent="0.2">
      <c r="A1197" s="27" t="s">
        <v>76</v>
      </c>
      <c r="B1197" s="19">
        <v>2322000</v>
      </c>
      <c r="C1197" s="19">
        <v>2535344.8418992031</v>
      </c>
      <c r="D1197" s="19">
        <v>0</v>
      </c>
      <c r="E1197" s="19">
        <v>0</v>
      </c>
      <c r="F1197" s="19">
        <v>0</v>
      </c>
      <c r="G1197" s="19">
        <v>0</v>
      </c>
      <c r="H1197" s="20">
        <v>9.1879776873041941E-2</v>
      </c>
      <c r="I1197" s="20">
        <v>0</v>
      </c>
      <c r="J1197" s="20">
        <v>9.1879776873041941E-2</v>
      </c>
    </row>
    <row r="1198" spans="1:10" ht="11.25" customHeight="1" x14ac:dyDescent="0.2">
      <c r="A1198" s="28" t="s">
        <v>25</v>
      </c>
      <c r="B1198" s="19">
        <v>2322000</v>
      </c>
      <c r="C1198" s="19">
        <v>2535344.8418992031</v>
      </c>
      <c r="D1198" s="19">
        <v>0</v>
      </c>
      <c r="E1198" s="19">
        <v>0</v>
      </c>
      <c r="F1198" s="19">
        <v>0</v>
      </c>
      <c r="G1198" s="19">
        <v>0</v>
      </c>
      <c r="H1198" s="20">
        <v>9.1879776873041941E-2</v>
      </c>
      <c r="I1198" s="20">
        <v>0</v>
      </c>
      <c r="J1198" s="20">
        <v>9.1879776873041941E-2</v>
      </c>
    </row>
    <row r="1199" spans="1:10" ht="11.25" customHeight="1" x14ac:dyDescent="0.2">
      <c r="A1199" s="29">
        <v>44409</v>
      </c>
      <c r="B1199" s="19">
        <v>193500</v>
      </c>
      <c r="C1199" s="19">
        <v>211278.73682493364</v>
      </c>
      <c r="D1199" s="19">
        <v>0</v>
      </c>
      <c r="E1199" s="19">
        <v>0</v>
      </c>
      <c r="F1199" s="19">
        <v>0</v>
      </c>
      <c r="G1199" s="19">
        <v>0</v>
      </c>
      <c r="H1199" s="20">
        <v>9.1879776873042163E-2</v>
      </c>
      <c r="I1199" s="20">
        <v>0</v>
      </c>
      <c r="J1199" s="20">
        <v>9.1879776873042163E-2</v>
      </c>
    </row>
    <row r="1200" spans="1:10" ht="11.25" customHeight="1" x14ac:dyDescent="0.2">
      <c r="A1200" s="29">
        <v>44440</v>
      </c>
      <c r="B1200" s="19">
        <v>193500</v>
      </c>
      <c r="C1200" s="19">
        <v>211278.73682493364</v>
      </c>
      <c r="D1200" s="19">
        <v>0</v>
      </c>
      <c r="E1200" s="19">
        <v>0</v>
      </c>
      <c r="F1200" s="19">
        <v>0</v>
      </c>
      <c r="G1200" s="19">
        <v>0</v>
      </c>
      <c r="H1200" s="20">
        <v>9.1879776873042163E-2</v>
      </c>
      <c r="I1200" s="20">
        <v>0</v>
      </c>
      <c r="J1200" s="20">
        <v>9.1879776873042163E-2</v>
      </c>
    </row>
    <row r="1201" spans="1:10" ht="11.25" customHeight="1" x14ac:dyDescent="0.2">
      <c r="A1201" s="29">
        <v>44470</v>
      </c>
      <c r="B1201" s="19">
        <v>193500</v>
      </c>
      <c r="C1201" s="19">
        <v>211278.73682493364</v>
      </c>
      <c r="D1201" s="19">
        <v>0</v>
      </c>
      <c r="E1201" s="19">
        <v>0</v>
      </c>
      <c r="F1201" s="19">
        <v>0</v>
      </c>
      <c r="G1201" s="19">
        <v>0</v>
      </c>
      <c r="H1201" s="20">
        <v>9.1879776873042163E-2</v>
      </c>
      <c r="I1201" s="20">
        <v>0</v>
      </c>
      <c r="J1201" s="20">
        <v>9.1879776873042163E-2</v>
      </c>
    </row>
    <row r="1202" spans="1:10" ht="11.25" customHeight="1" x14ac:dyDescent="0.2">
      <c r="A1202" s="29">
        <v>44501</v>
      </c>
      <c r="B1202" s="19">
        <v>193500</v>
      </c>
      <c r="C1202" s="19">
        <v>211278.73682493364</v>
      </c>
      <c r="D1202" s="19">
        <v>0</v>
      </c>
      <c r="E1202" s="19">
        <v>0</v>
      </c>
      <c r="F1202" s="19">
        <v>0</v>
      </c>
      <c r="G1202" s="19">
        <v>0</v>
      </c>
      <c r="H1202" s="20">
        <v>9.1879776873042163E-2</v>
      </c>
      <c r="I1202" s="20">
        <v>0</v>
      </c>
      <c r="J1202" s="20">
        <v>9.1879776873042163E-2</v>
      </c>
    </row>
    <row r="1203" spans="1:10" ht="11.25" customHeight="1" x14ac:dyDescent="0.2">
      <c r="A1203" s="29">
        <v>44531</v>
      </c>
      <c r="B1203" s="19">
        <v>193500</v>
      </c>
      <c r="C1203" s="19">
        <v>211278.73682493364</v>
      </c>
      <c r="D1203" s="19">
        <v>0</v>
      </c>
      <c r="E1203" s="19">
        <v>0</v>
      </c>
      <c r="F1203" s="19">
        <v>0</v>
      </c>
      <c r="G1203" s="19">
        <v>0</v>
      </c>
      <c r="H1203" s="20">
        <v>9.1879776873042163E-2</v>
      </c>
      <c r="I1203" s="20">
        <v>0</v>
      </c>
      <c r="J1203" s="20">
        <v>9.1879776873042163E-2</v>
      </c>
    </row>
    <row r="1204" spans="1:10" ht="11.25" customHeight="1" x14ac:dyDescent="0.2">
      <c r="A1204" s="29">
        <v>44562</v>
      </c>
      <c r="B1204" s="19">
        <v>193500</v>
      </c>
      <c r="C1204" s="19">
        <v>211278.73682493364</v>
      </c>
      <c r="D1204" s="19">
        <v>0</v>
      </c>
      <c r="E1204" s="19">
        <v>0</v>
      </c>
      <c r="F1204" s="19">
        <v>0</v>
      </c>
      <c r="G1204" s="19">
        <v>0</v>
      </c>
      <c r="H1204" s="20">
        <v>9.1879776873042163E-2</v>
      </c>
      <c r="I1204" s="20">
        <v>0</v>
      </c>
      <c r="J1204" s="20">
        <v>9.1879776873042163E-2</v>
      </c>
    </row>
    <row r="1205" spans="1:10" ht="11.25" customHeight="1" x14ac:dyDescent="0.2">
      <c r="A1205" s="29">
        <v>44593</v>
      </c>
      <c r="B1205" s="19">
        <v>193500</v>
      </c>
      <c r="C1205" s="19">
        <v>211278.73682493364</v>
      </c>
      <c r="D1205" s="19">
        <v>0</v>
      </c>
      <c r="E1205" s="19">
        <v>0</v>
      </c>
      <c r="F1205" s="19">
        <v>0</v>
      </c>
      <c r="G1205" s="19">
        <v>0</v>
      </c>
      <c r="H1205" s="20">
        <v>9.1879776873042163E-2</v>
      </c>
      <c r="I1205" s="20">
        <v>0</v>
      </c>
      <c r="J1205" s="20">
        <v>9.1879776873042163E-2</v>
      </c>
    </row>
    <row r="1206" spans="1:10" ht="11.25" customHeight="1" x14ac:dyDescent="0.2">
      <c r="A1206" s="29">
        <v>44621</v>
      </c>
      <c r="B1206" s="19">
        <v>193500</v>
      </c>
      <c r="C1206" s="19">
        <v>211278.73682493364</v>
      </c>
      <c r="D1206" s="19">
        <v>0</v>
      </c>
      <c r="E1206" s="19">
        <v>0</v>
      </c>
      <c r="F1206" s="19">
        <v>0</v>
      </c>
      <c r="G1206" s="19">
        <v>0</v>
      </c>
      <c r="H1206" s="20">
        <v>9.1879776873042163E-2</v>
      </c>
      <c r="I1206" s="20">
        <v>0</v>
      </c>
      <c r="J1206" s="20">
        <v>9.1879776873042163E-2</v>
      </c>
    </row>
    <row r="1207" spans="1:10" ht="11.25" customHeight="1" x14ac:dyDescent="0.2">
      <c r="A1207" s="29">
        <v>44652</v>
      </c>
      <c r="B1207" s="19">
        <v>193500</v>
      </c>
      <c r="C1207" s="19">
        <v>211278.73682493364</v>
      </c>
      <c r="D1207" s="19">
        <v>0</v>
      </c>
      <c r="E1207" s="19">
        <v>0</v>
      </c>
      <c r="F1207" s="19">
        <v>0</v>
      </c>
      <c r="G1207" s="19">
        <v>0</v>
      </c>
      <c r="H1207" s="20">
        <v>9.1879776873042163E-2</v>
      </c>
      <c r="I1207" s="20">
        <v>0</v>
      </c>
      <c r="J1207" s="20">
        <v>9.1879776873042163E-2</v>
      </c>
    </row>
    <row r="1208" spans="1:10" ht="11.25" customHeight="1" x14ac:dyDescent="0.2">
      <c r="A1208" s="29">
        <v>44682</v>
      </c>
      <c r="B1208" s="19">
        <v>193500</v>
      </c>
      <c r="C1208" s="19">
        <v>211278.73682493364</v>
      </c>
      <c r="D1208" s="19">
        <v>0</v>
      </c>
      <c r="E1208" s="19">
        <v>0</v>
      </c>
      <c r="F1208" s="19">
        <v>0</v>
      </c>
      <c r="G1208" s="19">
        <v>0</v>
      </c>
      <c r="H1208" s="20">
        <v>9.1879776873042163E-2</v>
      </c>
      <c r="I1208" s="20">
        <v>0</v>
      </c>
      <c r="J1208" s="20">
        <v>9.1879776873042163E-2</v>
      </c>
    </row>
    <row r="1209" spans="1:10" ht="11.25" customHeight="1" x14ac:dyDescent="0.2">
      <c r="A1209" s="29">
        <v>44713</v>
      </c>
      <c r="B1209" s="19">
        <v>193500</v>
      </c>
      <c r="C1209" s="19">
        <v>211278.73682493364</v>
      </c>
      <c r="D1209" s="19">
        <v>0</v>
      </c>
      <c r="E1209" s="19">
        <v>0</v>
      </c>
      <c r="F1209" s="19">
        <v>0</v>
      </c>
      <c r="G1209" s="19">
        <v>0</v>
      </c>
      <c r="H1209" s="20">
        <v>9.1879776873042163E-2</v>
      </c>
      <c r="I1209" s="20">
        <v>0</v>
      </c>
      <c r="J1209" s="20">
        <v>9.1879776873042163E-2</v>
      </c>
    </row>
    <row r="1210" spans="1:10" ht="11.25" customHeight="1" x14ac:dyDescent="0.2">
      <c r="A1210" s="29">
        <v>44743</v>
      </c>
      <c r="B1210" s="19">
        <v>193500</v>
      </c>
      <c r="C1210" s="19">
        <v>211278.73682493364</v>
      </c>
      <c r="D1210" s="19">
        <v>0</v>
      </c>
      <c r="E1210" s="19">
        <v>0</v>
      </c>
      <c r="F1210" s="19">
        <v>0</v>
      </c>
      <c r="G1210" s="19">
        <v>0</v>
      </c>
      <c r="H1210" s="20">
        <v>9.1879776873042163E-2</v>
      </c>
      <c r="I1210" s="20">
        <v>0</v>
      </c>
      <c r="J1210" s="20">
        <v>9.1879776873042163E-2</v>
      </c>
    </row>
    <row r="1211" spans="1:10" ht="11.25" customHeight="1" x14ac:dyDescent="0.2">
      <c r="A1211" s="27" t="s">
        <v>77</v>
      </c>
      <c r="B1211" s="19">
        <v>2322000</v>
      </c>
      <c r="C1211" s="19">
        <v>2535344.8418992031</v>
      </c>
      <c r="D1211" s="19">
        <v>0</v>
      </c>
      <c r="E1211" s="19">
        <v>0</v>
      </c>
      <c r="F1211" s="19">
        <v>0</v>
      </c>
      <c r="G1211" s="19">
        <v>0</v>
      </c>
      <c r="H1211" s="20">
        <v>9.1879776873041941E-2</v>
      </c>
      <c r="I1211" s="20">
        <v>0</v>
      </c>
      <c r="J1211" s="20">
        <v>9.1879776873041941E-2</v>
      </c>
    </row>
    <row r="1212" spans="1:10" ht="11.25" customHeight="1" x14ac:dyDescent="0.2">
      <c r="A1212" s="28" t="s">
        <v>25</v>
      </c>
      <c r="B1212" s="19">
        <v>2322000</v>
      </c>
      <c r="C1212" s="19">
        <v>2535344.8418992031</v>
      </c>
      <c r="D1212" s="19">
        <v>0</v>
      </c>
      <c r="E1212" s="19">
        <v>0</v>
      </c>
      <c r="F1212" s="19">
        <v>0</v>
      </c>
      <c r="G1212" s="19">
        <v>0</v>
      </c>
      <c r="H1212" s="20">
        <v>9.1879776873041941E-2</v>
      </c>
      <c r="I1212" s="20">
        <v>0</v>
      </c>
      <c r="J1212" s="20">
        <v>9.1879776873041941E-2</v>
      </c>
    </row>
    <row r="1213" spans="1:10" ht="11.25" customHeight="1" x14ac:dyDescent="0.2">
      <c r="A1213" s="29">
        <v>44409</v>
      </c>
      <c r="B1213" s="19">
        <v>193500</v>
      </c>
      <c r="C1213" s="19">
        <v>211278.73682493364</v>
      </c>
      <c r="D1213" s="19">
        <v>0</v>
      </c>
      <c r="E1213" s="19">
        <v>0</v>
      </c>
      <c r="F1213" s="19">
        <v>0</v>
      </c>
      <c r="G1213" s="19">
        <v>0</v>
      </c>
      <c r="H1213" s="20">
        <v>9.1879776873042163E-2</v>
      </c>
      <c r="I1213" s="20">
        <v>0</v>
      </c>
      <c r="J1213" s="20">
        <v>9.1879776873042163E-2</v>
      </c>
    </row>
    <row r="1214" spans="1:10" ht="11.25" customHeight="1" x14ac:dyDescent="0.2">
      <c r="A1214" s="29">
        <v>44440</v>
      </c>
      <c r="B1214" s="19">
        <v>193500</v>
      </c>
      <c r="C1214" s="19">
        <v>211278.73682493364</v>
      </c>
      <c r="D1214" s="19">
        <v>0</v>
      </c>
      <c r="E1214" s="19">
        <v>0</v>
      </c>
      <c r="F1214" s="19">
        <v>0</v>
      </c>
      <c r="G1214" s="19">
        <v>0</v>
      </c>
      <c r="H1214" s="20">
        <v>9.1879776873042163E-2</v>
      </c>
      <c r="I1214" s="20">
        <v>0</v>
      </c>
      <c r="J1214" s="20">
        <v>9.1879776873042163E-2</v>
      </c>
    </row>
    <row r="1215" spans="1:10" ht="11.25" customHeight="1" x14ac:dyDescent="0.2">
      <c r="A1215" s="29">
        <v>44470</v>
      </c>
      <c r="B1215" s="19">
        <v>193500</v>
      </c>
      <c r="C1215" s="19">
        <v>211278.73682493364</v>
      </c>
      <c r="D1215" s="19">
        <v>0</v>
      </c>
      <c r="E1215" s="19">
        <v>0</v>
      </c>
      <c r="F1215" s="19">
        <v>0</v>
      </c>
      <c r="G1215" s="19">
        <v>0</v>
      </c>
      <c r="H1215" s="20">
        <v>9.1879776873042163E-2</v>
      </c>
      <c r="I1215" s="20">
        <v>0</v>
      </c>
      <c r="J1215" s="20">
        <v>9.1879776873042163E-2</v>
      </c>
    </row>
    <row r="1216" spans="1:10" ht="11.25" customHeight="1" x14ac:dyDescent="0.2">
      <c r="A1216" s="29">
        <v>44501</v>
      </c>
      <c r="B1216" s="19">
        <v>193500</v>
      </c>
      <c r="C1216" s="19">
        <v>211278.73682493364</v>
      </c>
      <c r="D1216" s="19">
        <v>0</v>
      </c>
      <c r="E1216" s="19">
        <v>0</v>
      </c>
      <c r="F1216" s="19">
        <v>0</v>
      </c>
      <c r="G1216" s="19">
        <v>0</v>
      </c>
      <c r="H1216" s="20">
        <v>9.1879776873042163E-2</v>
      </c>
      <c r="I1216" s="20">
        <v>0</v>
      </c>
      <c r="J1216" s="20">
        <v>9.1879776873042163E-2</v>
      </c>
    </row>
    <row r="1217" spans="1:10" ht="11.25" customHeight="1" x14ac:dyDescent="0.2">
      <c r="A1217" s="29">
        <v>44531</v>
      </c>
      <c r="B1217" s="19">
        <v>193500</v>
      </c>
      <c r="C1217" s="19">
        <v>211278.73682493364</v>
      </c>
      <c r="D1217" s="19">
        <v>0</v>
      </c>
      <c r="E1217" s="19">
        <v>0</v>
      </c>
      <c r="F1217" s="19">
        <v>0</v>
      </c>
      <c r="G1217" s="19">
        <v>0</v>
      </c>
      <c r="H1217" s="20">
        <v>9.1879776873042163E-2</v>
      </c>
      <c r="I1217" s="20">
        <v>0</v>
      </c>
      <c r="J1217" s="20">
        <v>9.1879776873042163E-2</v>
      </c>
    </row>
    <row r="1218" spans="1:10" ht="11.25" customHeight="1" x14ac:dyDescent="0.2">
      <c r="A1218" s="29">
        <v>44562</v>
      </c>
      <c r="B1218" s="19">
        <v>193500</v>
      </c>
      <c r="C1218" s="19">
        <v>211278.73682493364</v>
      </c>
      <c r="D1218" s="19">
        <v>0</v>
      </c>
      <c r="E1218" s="19">
        <v>0</v>
      </c>
      <c r="F1218" s="19">
        <v>0</v>
      </c>
      <c r="G1218" s="19">
        <v>0</v>
      </c>
      <c r="H1218" s="20">
        <v>9.1879776873042163E-2</v>
      </c>
      <c r="I1218" s="20">
        <v>0</v>
      </c>
      <c r="J1218" s="20">
        <v>9.1879776873042163E-2</v>
      </c>
    </row>
    <row r="1219" spans="1:10" ht="11.25" customHeight="1" x14ac:dyDescent="0.2">
      <c r="A1219" s="29">
        <v>44593</v>
      </c>
      <c r="B1219" s="19">
        <v>193500</v>
      </c>
      <c r="C1219" s="19">
        <v>211278.73682493364</v>
      </c>
      <c r="D1219" s="19">
        <v>0</v>
      </c>
      <c r="E1219" s="19">
        <v>0</v>
      </c>
      <c r="F1219" s="19">
        <v>0</v>
      </c>
      <c r="G1219" s="19">
        <v>0</v>
      </c>
      <c r="H1219" s="20">
        <v>9.1879776873042163E-2</v>
      </c>
      <c r="I1219" s="20">
        <v>0</v>
      </c>
      <c r="J1219" s="20">
        <v>9.1879776873042163E-2</v>
      </c>
    </row>
    <row r="1220" spans="1:10" ht="11.25" customHeight="1" x14ac:dyDescent="0.2">
      <c r="A1220" s="29">
        <v>44621</v>
      </c>
      <c r="B1220" s="19">
        <v>193500</v>
      </c>
      <c r="C1220" s="19">
        <v>211278.73682493364</v>
      </c>
      <c r="D1220" s="19">
        <v>0</v>
      </c>
      <c r="E1220" s="19">
        <v>0</v>
      </c>
      <c r="F1220" s="19">
        <v>0</v>
      </c>
      <c r="G1220" s="19">
        <v>0</v>
      </c>
      <c r="H1220" s="20">
        <v>9.1879776873042163E-2</v>
      </c>
      <c r="I1220" s="20">
        <v>0</v>
      </c>
      <c r="J1220" s="20">
        <v>9.1879776873042163E-2</v>
      </c>
    </row>
    <row r="1221" spans="1:10" ht="11.25" customHeight="1" x14ac:dyDescent="0.2">
      <c r="A1221" s="29">
        <v>44652</v>
      </c>
      <c r="B1221" s="19">
        <v>193500</v>
      </c>
      <c r="C1221" s="19">
        <v>211278.73682493364</v>
      </c>
      <c r="D1221" s="19">
        <v>0</v>
      </c>
      <c r="E1221" s="19">
        <v>0</v>
      </c>
      <c r="F1221" s="19">
        <v>0</v>
      </c>
      <c r="G1221" s="19">
        <v>0</v>
      </c>
      <c r="H1221" s="20">
        <v>9.1879776873042163E-2</v>
      </c>
      <c r="I1221" s="20">
        <v>0</v>
      </c>
      <c r="J1221" s="20">
        <v>9.1879776873042163E-2</v>
      </c>
    </row>
    <row r="1222" spans="1:10" ht="11.25" customHeight="1" x14ac:dyDescent="0.2">
      <c r="A1222" s="29">
        <v>44682</v>
      </c>
      <c r="B1222" s="19">
        <v>193500</v>
      </c>
      <c r="C1222" s="19">
        <v>211278.73682493364</v>
      </c>
      <c r="D1222" s="19">
        <v>0</v>
      </c>
      <c r="E1222" s="19">
        <v>0</v>
      </c>
      <c r="F1222" s="19">
        <v>0</v>
      </c>
      <c r="G1222" s="19">
        <v>0</v>
      </c>
      <c r="H1222" s="20">
        <v>9.1879776873042163E-2</v>
      </c>
      <c r="I1222" s="20">
        <v>0</v>
      </c>
      <c r="J1222" s="20">
        <v>9.1879776873042163E-2</v>
      </c>
    </row>
    <row r="1223" spans="1:10" ht="11.25" customHeight="1" x14ac:dyDescent="0.2">
      <c r="A1223" s="29">
        <v>44713</v>
      </c>
      <c r="B1223" s="19">
        <v>193500</v>
      </c>
      <c r="C1223" s="19">
        <v>211278.73682493364</v>
      </c>
      <c r="D1223" s="19">
        <v>0</v>
      </c>
      <c r="E1223" s="19">
        <v>0</v>
      </c>
      <c r="F1223" s="19">
        <v>0</v>
      </c>
      <c r="G1223" s="19">
        <v>0</v>
      </c>
      <c r="H1223" s="20">
        <v>9.1879776873042163E-2</v>
      </c>
      <c r="I1223" s="20">
        <v>0</v>
      </c>
      <c r="J1223" s="20">
        <v>9.1879776873042163E-2</v>
      </c>
    </row>
    <row r="1224" spans="1:10" ht="11.25" customHeight="1" x14ac:dyDescent="0.2">
      <c r="A1224" s="29">
        <v>44743</v>
      </c>
      <c r="B1224" s="19">
        <v>193500</v>
      </c>
      <c r="C1224" s="19">
        <v>211278.73682493364</v>
      </c>
      <c r="D1224" s="19">
        <v>0</v>
      </c>
      <c r="E1224" s="19">
        <v>0</v>
      </c>
      <c r="F1224" s="19">
        <v>0</v>
      </c>
      <c r="G1224" s="19">
        <v>0</v>
      </c>
      <c r="H1224" s="20">
        <v>9.1879776873042163E-2</v>
      </c>
      <c r="I1224" s="20">
        <v>0</v>
      </c>
      <c r="J1224" s="20">
        <v>9.1879776873042163E-2</v>
      </c>
    </row>
    <row r="1225" spans="1:10" ht="11.25" customHeight="1" x14ac:dyDescent="0.2">
      <c r="A1225" s="27" t="s">
        <v>79</v>
      </c>
      <c r="B1225" s="19">
        <v>2089800</v>
      </c>
      <c r="C1225" s="19">
        <v>2281810.3577092835</v>
      </c>
      <c r="D1225" s="19">
        <v>0</v>
      </c>
      <c r="E1225" s="19">
        <v>0</v>
      </c>
      <c r="F1225" s="19">
        <v>0</v>
      </c>
      <c r="G1225" s="19">
        <v>0</v>
      </c>
      <c r="H1225" s="20">
        <v>9.1879776873042163E-2</v>
      </c>
      <c r="I1225" s="20">
        <v>0</v>
      </c>
      <c r="J1225" s="20">
        <v>9.1879776873042163E-2</v>
      </c>
    </row>
    <row r="1226" spans="1:10" ht="11.25" customHeight="1" x14ac:dyDescent="0.2">
      <c r="A1226" s="28" t="s">
        <v>25</v>
      </c>
      <c r="B1226" s="19">
        <v>2089800</v>
      </c>
      <c r="C1226" s="19">
        <v>2281810.3577092835</v>
      </c>
      <c r="D1226" s="19">
        <v>0</v>
      </c>
      <c r="E1226" s="19">
        <v>0</v>
      </c>
      <c r="F1226" s="19">
        <v>0</v>
      </c>
      <c r="G1226" s="19">
        <v>0</v>
      </c>
      <c r="H1226" s="20">
        <v>9.1879776873042163E-2</v>
      </c>
      <c r="I1226" s="20">
        <v>0</v>
      </c>
      <c r="J1226" s="20">
        <v>9.1879776873042163E-2</v>
      </c>
    </row>
    <row r="1227" spans="1:10" ht="11.25" customHeight="1" x14ac:dyDescent="0.2">
      <c r="A1227" s="29">
        <v>44409</v>
      </c>
      <c r="B1227" s="19">
        <v>174150</v>
      </c>
      <c r="C1227" s="19">
        <v>190150.86314244027</v>
      </c>
      <c r="D1227" s="19">
        <v>0</v>
      </c>
      <c r="E1227" s="19">
        <v>0</v>
      </c>
      <c r="F1227" s="19">
        <v>0</v>
      </c>
      <c r="G1227" s="19">
        <v>0</v>
      </c>
      <c r="H1227" s="20">
        <v>9.1879776873041941E-2</v>
      </c>
      <c r="I1227" s="20">
        <v>0</v>
      </c>
      <c r="J1227" s="20">
        <v>9.1879776873041941E-2</v>
      </c>
    </row>
    <row r="1228" spans="1:10" ht="11.25" customHeight="1" x14ac:dyDescent="0.2">
      <c r="A1228" s="29">
        <v>44440</v>
      </c>
      <c r="B1228" s="19">
        <v>174150</v>
      </c>
      <c r="C1228" s="19">
        <v>190150.86314244027</v>
      </c>
      <c r="D1228" s="19">
        <v>0</v>
      </c>
      <c r="E1228" s="19">
        <v>0</v>
      </c>
      <c r="F1228" s="19">
        <v>0</v>
      </c>
      <c r="G1228" s="19">
        <v>0</v>
      </c>
      <c r="H1228" s="20">
        <v>9.1879776873041941E-2</v>
      </c>
      <c r="I1228" s="20">
        <v>0</v>
      </c>
      <c r="J1228" s="20">
        <v>9.1879776873041941E-2</v>
      </c>
    </row>
    <row r="1229" spans="1:10" ht="11.25" customHeight="1" x14ac:dyDescent="0.2">
      <c r="A1229" s="29">
        <v>44470</v>
      </c>
      <c r="B1229" s="19">
        <v>174150</v>
      </c>
      <c r="C1229" s="19">
        <v>190150.86314244027</v>
      </c>
      <c r="D1229" s="19">
        <v>0</v>
      </c>
      <c r="E1229" s="19">
        <v>0</v>
      </c>
      <c r="F1229" s="19">
        <v>0</v>
      </c>
      <c r="G1229" s="19">
        <v>0</v>
      </c>
      <c r="H1229" s="20">
        <v>9.1879776873041941E-2</v>
      </c>
      <c r="I1229" s="20">
        <v>0</v>
      </c>
      <c r="J1229" s="20">
        <v>9.1879776873041941E-2</v>
      </c>
    </row>
    <row r="1230" spans="1:10" ht="11.25" customHeight="1" x14ac:dyDescent="0.2">
      <c r="A1230" s="29">
        <v>44501</v>
      </c>
      <c r="B1230" s="19">
        <v>174150</v>
      </c>
      <c r="C1230" s="19">
        <v>190150.86314244027</v>
      </c>
      <c r="D1230" s="19">
        <v>0</v>
      </c>
      <c r="E1230" s="19">
        <v>0</v>
      </c>
      <c r="F1230" s="19">
        <v>0</v>
      </c>
      <c r="G1230" s="19">
        <v>0</v>
      </c>
      <c r="H1230" s="20">
        <v>9.1879776873041941E-2</v>
      </c>
      <c r="I1230" s="20">
        <v>0</v>
      </c>
      <c r="J1230" s="20">
        <v>9.1879776873041941E-2</v>
      </c>
    </row>
    <row r="1231" spans="1:10" ht="11.25" customHeight="1" x14ac:dyDescent="0.2">
      <c r="A1231" s="29">
        <v>44531</v>
      </c>
      <c r="B1231" s="19">
        <v>174150</v>
      </c>
      <c r="C1231" s="19">
        <v>190150.86314244027</v>
      </c>
      <c r="D1231" s="19">
        <v>0</v>
      </c>
      <c r="E1231" s="19">
        <v>0</v>
      </c>
      <c r="F1231" s="19">
        <v>0</v>
      </c>
      <c r="G1231" s="19">
        <v>0</v>
      </c>
      <c r="H1231" s="20">
        <v>9.1879776873041941E-2</v>
      </c>
      <c r="I1231" s="20">
        <v>0</v>
      </c>
      <c r="J1231" s="20">
        <v>9.1879776873041941E-2</v>
      </c>
    </row>
    <row r="1232" spans="1:10" ht="11.25" customHeight="1" x14ac:dyDescent="0.2">
      <c r="A1232" s="29">
        <v>44562</v>
      </c>
      <c r="B1232" s="19">
        <v>174150</v>
      </c>
      <c r="C1232" s="19">
        <v>190150.86314244027</v>
      </c>
      <c r="D1232" s="19">
        <v>0</v>
      </c>
      <c r="E1232" s="19">
        <v>0</v>
      </c>
      <c r="F1232" s="19">
        <v>0</v>
      </c>
      <c r="G1232" s="19">
        <v>0</v>
      </c>
      <c r="H1232" s="20">
        <v>9.1879776873041941E-2</v>
      </c>
      <c r="I1232" s="20">
        <v>0</v>
      </c>
      <c r="J1232" s="20">
        <v>9.1879776873041941E-2</v>
      </c>
    </row>
    <row r="1233" spans="1:10" ht="11.25" customHeight="1" x14ac:dyDescent="0.2">
      <c r="A1233" s="29">
        <v>44593</v>
      </c>
      <c r="B1233" s="19">
        <v>174150</v>
      </c>
      <c r="C1233" s="19">
        <v>190150.86314244027</v>
      </c>
      <c r="D1233" s="19">
        <v>0</v>
      </c>
      <c r="E1233" s="19">
        <v>0</v>
      </c>
      <c r="F1233" s="19">
        <v>0</v>
      </c>
      <c r="G1233" s="19">
        <v>0</v>
      </c>
      <c r="H1233" s="20">
        <v>9.1879776873041941E-2</v>
      </c>
      <c r="I1233" s="20">
        <v>0</v>
      </c>
      <c r="J1233" s="20">
        <v>9.1879776873041941E-2</v>
      </c>
    </row>
    <row r="1234" spans="1:10" ht="11.25" customHeight="1" x14ac:dyDescent="0.2">
      <c r="A1234" s="29">
        <v>44621</v>
      </c>
      <c r="B1234" s="19">
        <v>174150</v>
      </c>
      <c r="C1234" s="19">
        <v>190150.86314244027</v>
      </c>
      <c r="D1234" s="19">
        <v>0</v>
      </c>
      <c r="E1234" s="19">
        <v>0</v>
      </c>
      <c r="F1234" s="19">
        <v>0</v>
      </c>
      <c r="G1234" s="19">
        <v>0</v>
      </c>
      <c r="H1234" s="20">
        <v>9.1879776873041941E-2</v>
      </c>
      <c r="I1234" s="20">
        <v>0</v>
      </c>
      <c r="J1234" s="20">
        <v>9.1879776873041941E-2</v>
      </c>
    </row>
    <row r="1235" spans="1:10" ht="11.25" customHeight="1" x14ac:dyDescent="0.2">
      <c r="A1235" s="29">
        <v>44652</v>
      </c>
      <c r="B1235" s="19">
        <v>174150</v>
      </c>
      <c r="C1235" s="19">
        <v>190150.86314244027</v>
      </c>
      <c r="D1235" s="19">
        <v>0</v>
      </c>
      <c r="E1235" s="19">
        <v>0</v>
      </c>
      <c r="F1235" s="19">
        <v>0</v>
      </c>
      <c r="G1235" s="19">
        <v>0</v>
      </c>
      <c r="H1235" s="20">
        <v>9.1879776873041941E-2</v>
      </c>
      <c r="I1235" s="20">
        <v>0</v>
      </c>
      <c r="J1235" s="20">
        <v>9.1879776873041941E-2</v>
      </c>
    </row>
    <row r="1236" spans="1:10" ht="11.25" customHeight="1" x14ac:dyDescent="0.2">
      <c r="A1236" s="29">
        <v>44682</v>
      </c>
      <c r="B1236" s="19">
        <v>174150</v>
      </c>
      <c r="C1236" s="19">
        <v>190150.86314244027</v>
      </c>
      <c r="D1236" s="19">
        <v>0</v>
      </c>
      <c r="E1236" s="19">
        <v>0</v>
      </c>
      <c r="F1236" s="19">
        <v>0</v>
      </c>
      <c r="G1236" s="19">
        <v>0</v>
      </c>
      <c r="H1236" s="20">
        <v>9.1879776873041941E-2</v>
      </c>
      <c r="I1236" s="20">
        <v>0</v>
      </c>
      <c r="J1236" s="20">
        <v>9.1879776873041941E-2</v>
      </c>
    </row>
    <row r="1237" spans="1:10" ht="11.25" customHeight="1" x14ac:dyDescent="0.2">
      <c r="A1237" s="29">
        <v>44713</v>
      </c>
      <c r="B1237" s="19">
        <v>174150</v>
      </c>
      <c r="C1237" s="19">
        <v>190150.86314244027</v>
      </c>
      <c r="D1237" s="19">
        <v>0</v>
      </c>
      <c r="E1237" s="19">
        <v>0</v>
      </c>
      <c r="F1237" s="19">
        <v>0</v>
      </c>
      <c r="G1237" s="19">
        <v>0</v>
      </c>
      <c r="H1237" s="20">
        <v>9.1879776873041941E-2</v>
      </c>
      <c r="I1237" s="20">
        <v>0</v>
      </c>
      <c r="J1237" s="20">
        <v>9.1879776873041941E-2</v>
      </c>
    </row>
    <row r="1238" spans="1:10" ht="11.25" customHeight="1" x14ac:dyDescent="0.2">
      <c r="A1238" s="29">
        <v>44743</v>
      </c>
      <c r="B1238" s="19">
        <v>174150</v>
      </c>
      <c r="C1238" s="19">
        <v>190150.86314244027</v>
      </c>
      <c r="D1238" s="19">
        <v>0</v>
      </c>
      <c r="E1238" s="19">
        <v>0</v>
      </c>
      <c r="F1238" s="19">
        <v>0</v>
      </c>
      <c r="G1238" s="19">
        <v>0</v>
      </c>
      <c r="H1238" s="20">
        <v>9.1879776873041941E-2</v>
      </c>
      <c r="I1238" s="20">
        <v>0</v>
      </c>
      <c r="J1238" s="20">
        <v>9.1879776873041941E-2</v>
      </c>
    </row>
    <row r="1239" spans="1:10" ht="11.25" customHeight="1" x14ac:dyDescent="0.2">
      <c r="A1239" s="27" t="s">
        <v>73</v>
      </c>
      <c r="B1239" s="19">
        <v>3440430</v>
      </c>
      <c r="C1239" s="19">
        <v>3756535.9407473193</v>
      </c>
      <c r="D1239" s="19">
        <v>0</v>
      </c>
      <c r="E1239" s="19">
        <v>0</v>
      </c>
      <c r="F1239" s="19">
        <v>0</v>
      </c>
      <c r="G1239" s="19">
        <v>0</v>
      </c>
      <c r="H1239" s="20">
        <v>9.1879776873041719E-2</v>
      </c>
      <c r="I1239" s="20">
        <v>0</v>
      </c>
      <c r="J1239" s="20">
        <v>9.1879776873041719E-2</v>
      </c>
    </row>
    <row r="1240" spans="1:10" ht="11.25" customHeight="1" x14ac:dyDescent="0.2">
      <c r="A1240" s="28" t="s">
        <v>25</v>
      </c>
      <c r="B1240" s="19">
        <v>3440430</v>
      </c>
      <c r="C1240" s="19">
        <v>3756535.9407473193</v>
      </c>
      <c r="D1240" s="19">
        <v>0</v>
      </c>
      <c r="E1240" s="19">
        <v>0</v>
      </c>
      <c r="F1240" s="19">
        <v>0</v>
      </c>
      <c r="G1240" s="19">
        <v>0</v>
      </c>
      <c r="H1240" s="20">
        <v>9.1879776873041719E-2</v>
      </c>
      <c r="I1240" s="20">
        <v>0</v>
      </c>
      <c r="J1240" s="20">
        <v>9.1879776873041719E-2</v>
      </c>
    </row>
    <row r="1241" spans="1:10" ht="11.25" customHeight="1" x14ac:dyDescent="0.2">
      <c r="A1241" s="29">
        <v>44409</v>
      </c>
      <c r="B1241" s="19">
        <v>286702.5</v>
      </c>
      <c r="C1241" s="19">
        <v>313044.66172894335</v>
      </c>
      <c r="D1241" s="19">
        <v>0</v>
      </c>
      <c r="E1241" s="19">
        <v>0</v>
      </c>
      <c r="F1241" s="19">
        <v>0</v>
      </c>
      <c r="G1241" s="19">
        <v>0</v>
      </c>
      <c r="H1241" s="20">
        <v>9.1879776873042163E-2</v>
      </c>
      <c r="I1241" s="20">
        <v>0</v>
      </c>
      <c r="J1241" s="20">
        <v>9.1879776873042163E-2</v>
      </c>
    </row>
    <row r="1242" spans="1:10" ht="11.25" customHeight="1" x14ac:dyDescent="0.2">
      <c r="A1242" s="29">
        <v>44440</v>
      </c>
      <c r="B1242" s="19">
        <v>286702.5</v>
      </c>
      <c r="C1242" s="19">
        <v>313044.66172894335</v>
      </c>
      <c r="D1242" s="19">
        <v>0</v>
      </c>
      <c r="E1242" s="19">
        <v>0</v>
      </c>
      <c r="F1242" s="19">
        <v>0</v>
      </c>
      <c r="G1242" s="19">
        <v>0</v>
      </c>
      <c r="H1242" s="20">
        <v>9.1879776873042163E-2</v>
      </c>
      <c r="I1242" s="20">
        <v>0</v>
      </c>
      <c r="J1242" s="20">
        <v>9.1879776873042163E-2</v>
      </c>
    </row>
    <row r="1243" spans="1:10" ht="11.25" customHeight="1" x14ac:dyDescent="0.2">
      <c r="A1243" s="29">
        <v>44470</v>
      </c>
      <c r="B1243" s="19">
        <v>286702.5</v>
      </c>
      <c r="C1243" s="19">
        <v>313044.66172894335</v>
      </c>
      <c r="D1243" s="19">
        <v>0</v>
      </c>
      <c r="E1243" s="19">
        <v>0</v>
      </c>
      <c r="F1243" s="19">
        <v>0</v>
      </c>
      <c r="G1243" s="19">
        <v>0</v>
      </c>
      <c r="H1243" s="20">
        <v>9.1879776873042163E-2</v>
      </c>
      <c r="I1243" s="20">
        <v>0</v>
      </c>
      <c r="J1243" s="20">
        <v>9.1879776873042163E-2</v>
      </c>
    </row>
    <row r="1244" spans="1:10" ht="11.25" customHeight="1" x14ac:dyDescent="0.2">
      <c r="A1244" s="29">
        <v>44501</v>
      </c>
      <c r="B1244" s="19">
        <v>286702.5</v>
      </c>
      <c r="C1244" s="19">
        <v>313044.66172894335</v>
      </c>
      <c r="D1244" s="19">
        <v>0</v>
      </c>
      <c r="E1244" s="19">
        <v>0</v>
      </c>
      <c r="F1244" s="19">
        <v>0</v>
      </c>
      <c r="G1244" s="19">
        <v>0</v>
      </c>
      <c r="H1244" s="20">
        <v>9.1879776873042163E-2</v>
      </c>
      <c r="I1244" s="20">
        <v>0</v>
      </c>
      <c r="J1244" s="20">
        <v>9.1879776873042163E-2</v>
      </c>
    </row>
    <row r="1245" spans="1:10" ht="11.25" customHeight="1" x14ac:dyDescent="0.2">
      <c r="A1245" s="29">
        <v>44531</v>
      </c>
      <c r="B1245" s="19">
        <v>286702.5</v>
      </c>
      <c r="C1245" s="19">
        <v>313044.66172894335</v>
      </c>
      <c r="D1245" s="19">
        <v>0</v>
      </c>
      <c r="E1245" s="19">
        <v>0</v>
      </c>
      <c r="F1245" s="19">
        <v>0</v>
      </c>
      <c r="G1245" s="19">
        <v>0</v>
      </c>
      <c r="H1245" s="20">
        <v>9.1879776873042163E-2</v>
      </c>
      <c r="I1245" s="20">
        <v>0</v>
      </c>
      <c r="J1245" s="20">
        <v>9.1879776873042163E-2</v>
      </c>
    </row>
    <row r="1246" spans="1:10" ht="11.25" customHeight="1" x14ac:dyDescent="0.2">
      <c r="A1246" s="29">
        <v>44562</v>
      </c>
      <c r="B1246" s="19">
        <v>286702.5</v>
      </c>
      <c r="C1246" s="19">
        <v>313044.66172894335</v>
      </c>
      <c r="D1246" s="19">
        <v>0</v>
      </c>
      <c r="E1246" s="19">
        <v>0</v>
      </c>
      <c r="F1246" s="19">
        <v>0</v>
      </c>
      <c r="G1246" s="19">
        <v>0</v>
      </c>
      <c r="H1246" s="20">
        <v>9.1879776873042163E-2</v>
      </c>
      <c r="I1246" s="20">
        <v>0</v>
      </c>
      <c r="J1246" s="20">
        <v>9.1879776873042163E-2</v>
      </c>
    </row>
    <row r="1247" spans="1:10" ht="11.25" customHeight="1" x14ac:dyDescent="0.2">
      <c r="A1247" s="29">
        <v>44593</v>
      </c>
      <c r="B1247" s="19">
        <v>286702.5</v>
      </c>
      <c r="C1247" s="19">
        <v>313044.66172894335</v>
      </c>
      <c r="D1247" s="19">
        <v>0</v>
      </c>
      <c r="E1247" s="19">
        <v>0</v>
      </c>
      <c r="F1247" s="19">
        <v>0</v>
      </c>
      <c r="G1247" s="19">
        <v>0</v>
      </c>
      <c r="H1247" s="20">
        <v>9.1879776873042163E-2</v>
      </c>
      <c r="I1247" s="20">
        <v>0</v>
      </c>
      <c r="J1247" s="20">
        <v>9.1879776873042163E-2</v>
      </c>
    </row>
    <row r="1248" spans="1:10" ht="11.25" customHeight="1" x14ac:dyDescent="0.2">
      <c r="A1248" s="29">
        <v>44621</v>
      </c>
      <c r="B1248" s="19">
        <v>286702.5</v>
      </c>
      <c r="C1248" s="19">
        <v>313044.66172894335</v>
      </c>
      <c r="D1248" s="19">
        <v>0</v>
      </c>
      <c r="E1248" s="19">
        <v>0</v>
      </c>
      <c r="F1248" s="19">
        <v>0</v>
      </c>
      <c r="G1248" s="19">
        <v>0</v>
      </c>
      <c r="H1248" s="20">
        <v>9.1879776873042163E-2</v>
      </c>
      <c r="I1248" s="20">
        <v>0</v>
      </c>
      <c r="J1248" s="20">
        <v>9.1879776873042163E-2</v>
      </c>
    </row>
    <row r="1249" spans="1:10" ht="11.25" customHeight="1" x14ac:dyDescent="0.2">
      <c r="A1249" s="29">
        <v>44652</v>
      </c>
      <c r="B1249" s="19">
        <v>286702.5</v>
      </c>
      <c r="C1249" s="19">
        <v>313044.66172894335</v>
      </c>
      <c r="D1249" s="19">
        <v>0</v>
      </c>
      <c r="E1249" s="19">
        <v>0</v>
      </c>
      <c r="F1249" s="19">
        <v>0</v>
      </c>
      <c r="G1249" s="19">
        <v>0</v>
      </c>
      <c r="H1249" s="20">
        <v>9.1879776873042163E-2</v>
      </c>
      <c r="I1249" s="20">
        <v>0</v>
      </c>
      <c r="J1249" s="20">
        <v>9.1879776873042163E-2</v>
      </c>
    </row>
    <row r="1250" spans="1:10" ht="11.25" customHeight="1" x14ac:dyDescent="0.2">
      <c r="A1250" s="29">
        <v>44682</v>
      </c>
      <c r="B1250" s="19">
        <v>286702.5</v>
      </c>
      <c r="C1250" s="19">
        <v>313044.66172894335</v>
      </c>
      <c r="D1250" s="19">
        <v>0</v>
      </c>
      <c r="E1250" s="19">
        <v>0</v>
      </c>
      <c r="F1250" s="19">
        <v>0</v>
      </c>
      <c r="G1250" s="19">
        <v>0</v>
      </c>
      <c r="H1250" s="20">
        <v>9.1879776873042163E-2</v>
      </c>
      <c r="I1250" s="20">
        <v>0</v>
      </c>
      <c r="J1250" s="20">
        <v>9.1879776873042163E-2</v>
      </c>
    </row>
    <row r="1251" spans="1:10" ht="11.25" customHeight="1" x14ac:dyDescent="0.2">
      <c r="A1251" s="29">
        <v>44713</v>
      </c>
      <c r="B1251" s="19">
        <v>286702.5</v>
      </c>
      <c r="C1251" s="19">
        <v>313044.66172894335</v>
      </c>
      <c r="D1251" s="19">
        <v>0</v>
      </c>
      <c r="E1251" s="19">
        <v>0</v>
      </c>
      <c r="F1251" s="19">
        <v>0</v>
      </c>
      <c r="G1251" s="19">
        <v>0</v>
      </c>
      <c r="H1251" s="20">
        <v>9.1879776873042163E-2</v>
      </c>
      <c r="I1251" s="20">
        <v>0</v>
      </c>
      <c r="J1251" s="20">
        <v>9.1879776873042163E-2</v>
      </c>
    </row>
    <row r="1252" spans="1:10" ht="11.25" customHeight="1" x14ac:dyDescent="0.2">
      <c r="A1252" s="29">
        <v>44743</v>
      </c>
      <c r="B1252" s="19">
        <v>286702.5</v>
      </c>
      <c r="C1252" s="19">
        <v>313044.66172894335</v>
      </c>
      <c r="D1252" s="19">
        <v>0</v>
      </c>
      <c r="E1252" s="19">
        <v>0</v>
      </c>
      <c r="F1252" s="19">
        <v>0</v>
      </c>
      <c r="G1252" s="19">
        <v>0</v>
      </c>
      <c r="H1252" s="20">
        <v>9.1879776873042163E-2</v>
      </c>
      <c r="I1252" s="20">
        <v>0</v>
      </c>
      <c r="J1252" s="20">
        <v>9.1879776873042163E-2</v>
      </c>
    </row>
    <row r="1253" spans="1:10" ht="11.25" customHeight="1" x14ac:dyDescent="0.2">
      <c r="A1253" s="27" t="s">
        <v>71</v>
      </c>
      <c r="B1253" s="19">
        <v>777870</v>
      </c>
      <c r="C1253" s="19">
        <v>849340.5220362331</v>
      </c>
      <c r="D1253" s="19">
        <v>0</v>
      </c>
      <c r="E1253" s="19">
        <v>0</v>
      </c>
      <c r="F1253" s="19">
        <v>0</v>
      </c>
      <c r="G1253" s="19">
        <v>0</v>
      </c>
      <c r="H1253" s="20">
        <v>9.1879776873041941E-2</v>
      </c>
      <c r="I1253" s="20">
        <v>0</v>
      </c>
      <c r="J1253" s="20">
        <v>9.1879776873041941E-2</v>
      </c>
    </row>
    <row r="1254" spans="1:10" ht="11.25" customHeight="1" x14ac:dyDescent="0.2">
      <c r="A1254" s="28" t="s">
        <v>25</v>
      </c>
      <c r="B1254" s="19">
        <v>777870</v>
      </c>
      <c r="C1254" s="19">
        <v>849340.5220362331</v>
      </c>
      <c r="D1254" s="19">
        <v>0</v>
      </c>
      <c r="E1254" s="19">
        <v>0</v>
      </c>
      <c r="F1254" s="19">
        <v>0</v>
      </c>
      <c r="G1254" s="19">
        <v>0</v>
      </c>
      <c r="H1254" s="20">
        <v>9.1879776873041941E-2</v>
      </c>
      <c r="I1254" s="20">
        <v>0</v>
      </c>
      <c r="J1254" s="20">
        <v>9.1879776873041941E-2</v>
      </c>
    </row>
    <row r="1255" spans="1:10" ht="11.25" customHeight="1" x14ac:dyDescent="0.2">
      <c r="A1255" s="29">
        <v>44409</v>
      </c>
      <c r="B1255" s="19">
        <v>64822.5</v>
      </c>
      <c r="C1255" s="19">
        <v>70778.376836352763</v>
      </c>
      <c r="D1255" s="19">
        <v>0</v>
      </c>
      <c r="E1255" s="19">
        <v>0</v>
      </c>
      <c r="F1255" s="19">
        <v>0</v>
      </c>
      <c r="G1255" s="19">
        <v>0</v>
      </c>
      <c r="H1255" s="20">
        <v>9.1879776873041941E-2</v>
      </c>
      <c r="I1255" s="20">
        <v>0</v>
      </c>
      <c r="J1255" s="20">
        <v>9.1879776873041941E-2</v>
      </c>
    </row>
    <row r="1256" spans="1:10" ht="11.25" customHeight="1" x14ac:dyDescent="0.2">
      <c r="A1256" s="29">
        <v>44440</v>
      </c>
      <c r="B1256" s="19">
        <v>64822.5</v>
      </c>
      <c r="C1256" s="19">
        <v>70778.376836352763</v>
      </c>
      <c r="D1256" s="19">
        <v>0</v>
      </c>
      <c r="E1256" s="19">
        <v>0</v>
      </c>
      <c r="F1256" s="19">
        <v>0</v>
      </c>
      <c r="G1256" s="19">
        <v>0</v>
      </c>
      <c r="H1256" s="20">
        <v>9.1879776873041941E-2</v>
      </c>
      <c r="I1256" s="20">
        <v>0</v>
      </c>
      <c r="J1256" s="20">
        <v>9.1879776873041941E-2</v>
      </c>
    </row>
    <row r="1257" spans="1:10" ht="11.25" customHeight="1" x14ac:dyDescent="0.2">
      <c r="A1257" s="29">
        <v>44470</v>
      </c>
      <c r="B1257" s="19">
        <v>64822.5</v>
      </c>
      <c r="C1257" s="19">
        <v>70778.376836352763</v>
      </c>
      <c r="D1257" s="19">
        <v>0</v>
      </c>
      <c r="E1257" s="19">
        <v>0</v>
      </c>
      <c r="F1257" s="19">
        <v>0</v>
      </c>
      <c r="G1257" s="19">
        <v>0</v>
      </c>
      <c r="H1257" s="20">
        <v>9.1879776873041941E-2</v>
      </c>
      <c r="I1257" s="20">
        <v>0</v>
      </c>
      <c r="J1257" s="20">
        <v>9.1879776873041941E-2</v>
      </c>
    </row>
    <row r="1258" spans="1:10" ht="11.25" customHeight="1" x14ac:dyDescent="0.2">
      <c r="A1258" s="29">
        <v>44501</v>
      </c>
      <c r="B1258" s="19">
        <v>64822.5</v>
      </c>
      <c r="C1258" s="19">
        <v>70778.376836352763</v>
      </c>
      <c r="D1258" s="19">
        <v>0</v>
      </c>
      <c r="E1258" s="19">
        <v>0</v>
      </c>
      <c r="F1258" s="19">
        <v>0</v>
      </c>
      <c r="G1258" s="19">
        <v>0</v>
      </c>
      <c r="H1258" s="20">
        <v>9.1879776873041941E-2</v>
      </c>
      <c r="I1258" s="20">
        <v>0</v>
      </c>
      <c r="J1258" s="20">
        <v>9.1879776873041941E-2</v>
      </c>
    </row>
    <row r="1259" spans="1:10" ht="11.25" customHeight="1" x14ac:dyDescent="0.2">
      <c r="A1259" s="29">
        <v>44531</v>
      </c>
      <c r="B1259" s="19">
        <v>64822.5</v>
      </c>
      <c r="C1259" s="19">
        <v>70778.376836352763</v>
      </c>
      <c r="D1259" s="19">
        <v>0</v>
      </c>
      <c r="E1259" s="19">
        <v>0</v>
      </c>
      <c r="F1259" s="19">
        <v>0</v>
      </c>
      <c r="G1259" s="19">
        <v>0</v>
      </c>
      <c r="H1259" s="20">
        <v>9.1879776873041941E-2</v>
      </c>
      <c r="I1259" s="20">
        <v>0</v>
      </c>
      <c r="J1259" s="20">
        <v>9.1879776873041941E-2</v>
      </c>
    </row>
    <row r="1260" spans="1:10" ht="11.25" customHeight="1" x14ac:dyDescent="0.2">
      <c r="A1260" s="29">
        <v>44562</v>
      </c>
      <c r="B1260" s="19">
        <v>64822.5</v>
      </c>
      <c r="C1260" s="19">
        <v>70778.376836352763</v>
      </c>
      <c r="D1260" s="19">
        <v>0</v>
      </c>
      <c r="E1260" s="19">
        <v>0</v>
      </c>
      <c r="F1260" s="19">
        <v>0</v>
      </c>
      <c r="G1260" s="19">
        <v>0</v>
      </c>
      <c r="H1260" s="20">
        <v>9.1879776873041941E-2</v>
      </c>
      <c r="I1260" s="20">
        <v>0</v>
      </c>
      <c r="J1260" s="20">
        <v>9.1879776873041941E-2</v>
      </c>
    </row>
    <row r="1261" spans="1:10" ht="11.25" customHeight="1" x14ac:dyDescent="0.2">
      <c r="A1261" s="29">
        <v>44593</v>
      </c>
      <c r="B1261" s="19">
        <v>64822.5</v>
      </c>
      <c r="C1261" s="19">
        <v>70778.376836352763</v>
      </c>
      <c r="D1261" s="19">
        <v>0</v>
      </c>
      <c r="E1261" s="19">
        <v>0</v>
      </c>
      <c r="F1261" s="19">
        <v>0</v>
      </c>
      <c r="G1261" s="19">
        <v>0</v>
      </c>
      <c r="H1261" s="20">
        <v>9.1879776873041941E-2</v>
      </c>
      <c r="I1261" s="20">
        <v>0</v>
      </c>
      <c r="J1261" s="20">
        <v>9.1879776873041941E-2</v>
      </c>
    </row>
    <row r="1262" spans="1:10" ht="11.25" customHeight="1" x14ac:dyDescent="0.2">
      <c r="A1262" s="29">
        <v>44621</v>
      </c>
      <c r="B1262" s="19">
        <v>64822.5</v>
      </c>
      <c r="C1262" s="19">
        <v>70778.376836352763</v>
      </c>
      <c r="D1262" s="19">
        <v>0</v>
      </c>
      <c r="E1262" s="19">
        <v>0</v>
      </c>
      <c r="F1262" s="19">
        <v>0</v>
      </c>
      <c r="G1262" s="19">
        <v>0</v>
      </c>
      <c r="H1262" s="20">
        <v>9.1879776873041941E-2</v>
      </c>
      <c r="I1262" s="20">
        <v>0</v>
      </c>
      <c r="J1262" s="20">
        <v>9.1879776873041941E-2</v>
      </c>
    </row>
    <row r="1263" spans="1:10" ht="11.25" customHeight="1" x14ac:dyDescent="0.2">
      <c r="A1263" s="29">
        <v>44652</v>
      </c>
      <c r="B1263" s="19">
        <v>64822.5</v>
      </c>
      <c r="C1263" s="19">
        <v>70778.376836352763</v>
      </c>
      <c r="D1263" s="19">
        <v>0</v>
      </c>
      <c r="E1263" s="19">
        <v>0</v>
      </c>
      <c r="F1263" s="19">
        <v>0</v>
      </c>
      <c r="G1263" s="19">
        <v>0</v>
      </c>
      <c r="H1263" s="20">
        <v>9.1879776873041941E-2</v>
      </c>
      <c r="I1263" s="20">
        <v>0</v>
      </c>
      <c r="J1263" s="20">
        <v>9.1879776873041941E-2</v>
      </c>
    </row>
    <row r="1264" spans="1:10" ht="11.25" customHeight="1" x14ac:dyDescent="0.2">
      <c r="A1264" s="29">
        <v>44682</v>
      </c>
      <c r="B1264" s="19">
        <v>64822.5</v>
      </c>
      <c r="C1264" s="19">
        <v>70778.376836352763</v>
      </c>
      <c r="D1264" s="19">
        <v>0</v>
      </c>
      <c r="E1264" s="19">
        <v>0</v>
      </c>
      <c r="F1264" s="19">
        <v>0</v>
      </c>
      <c r="G1264" s="19">
        <v>0</v>
      </c>
      <c r="H1264" s="20">
        <v>9.1879776873041941E-2</v>
      </c>
      <c r="I1264" s="20">
        <v>0</v>
      </c>
      <c r="J1264" s="20">
        <v>9.1879776873041941E-2</v>
      </c>
    </row>
    <row r="1265" spans="1:10" ht="11.25" customHeight="1" x14ac:dyDescent="0.2">
      <c r="A1265" s="29">
        <v>44713</v>
      </c>
      <c r="B1265" s="19">
        <v>64822.5</v>
      </c>
      <c r="C1265" s="19">
        <v>70778.376836352763</v>
      </c>
      <c r="D1265" s="19">
        <v>0</v>
      </c>
      <c r="E1265" s="19">
        <v>0</v>
      </c>
      <c r="F1265" s="19">
        <v>0</v>
      </c>
      <c r="G1265" s="19">
        <v>0</v>
      </c>
      <c r="H1265" s="20">
        <v>9.1879776873041941E-2</v>
      </c>
      <c r="I1265" s="20">
        <v>0</v>
      </c>
      <c r="J1265" s="20">
        <v>9.1879776873041941E-2</v>
      </c>
    </row>
    <row r="1266" spans="1:10" ht="11.25" customHeight="1" x14ac:dyDescent="0.2">
      <c r="A1266" s="29">
        <v>44743</v>
      </c>
      <c r="B1266" s="19">
        <v>64822.5</v>
      </c>
      <c r="C1266" s="19">
        <v>70778.376836352763</v>
      </c>
      <c r="D1266" s="19">
        <v>0</v>
      </c>
      <c r="E1266" s="19">
        <v>0</v>
      </c>
      <c r="F1266" s="19">
        <v>0</v>
      </c>
      <c r="G1266" s="19">
        <v>0</v>
      </c>
      <c r="H1266" s="20">
        <v>9.1879776873041941E-2</v>
      </c>
      <c r="I1266" s="20">
        <v>0</v>
      </c>
      <c r="J1266" s="20">
        <v>9.1879776873041941E-2</v>
      </c>
    </row>
    <row r="1267" spans="1:10" ht="11.25" customHeight="1" x14ac:dyDescent="0.2">
      <c r="A1267" s="22" t="s">
        <v>41</v>
      </c>
      <c r="B1267" s="19">
        <v>1219071.5900000001</v>
      </c>
      <c r="C1267" s="19">
        <v>1350367.6971299499</v>
      </c>
      <c r="D1267" s="19">
        <v>0</v>
      </c>
      <c r="E1267" s="19">
        <v>0</v>
      </c>
      <c r="F1267" s="19">
        <v>0</v>
      </c>
      <c r="G1267" s="19">
        <v>0</v>
      </c>
      <c r="H1267" s="20">
        <v>0.10770172006875289</v>
      </c>
      <c r="I1267" s="20">
        <v>0</v>
      </c>
      <c r="J1267" s="20">
        <v>0.10770172006875289</v>
      </c>
    </row>
    <row r="1268" spans="1:10" ht="11.25" customHeight="1" x14ac:dyDescent="0.2">
      <c r="A1268" s="23" t="s">
        <v>66</v>
      </c>
      <c r="B1268" s="19">
        <v>1219071.5900000001</v>
      </c>
      <c r="C1268" s="19">
        <v>1350367.6971299499</v>
      </c>
      <c r="D1268" s="19">
        <v>0</v>
      </c>
      <c r="E1268" s="19">
        <v>0</v>
      </c>
      <c r="F1268" s="19">
        <v>0</v>
      </c>
      <c r="G1268" s="19">
        <v>0</v>
      </c>
      <c r="H1268" s="20">
        <v>0.10770172006875289</v>
      </c>
      <c r="I1268" s="20">
        <v>0</v>
      </c>
      <c r="J1268" s="20">
        <v>0.10770172006875289</v>
      </c>
    </row>
    <row r="1269" spans="1:10" ht="11.25" customHeight="1" x14ac:dyDescent="0.2">
      <c r="A1269" s="24" t="s">
        <v>25</v>
      </c>
      <c r="B1269" s="19">
        <v>1219071.5900000001</v>
      </c>
      <c r="C1269" s="19">
        <v>1350367.6971299499</v>
      </c>
      <c r="D1269" s="19">
        <v>0</v>
      </c>
      <c r="E1269" s="19">
        <v>0</v>
      </c>
      <c r="F1269" s="19">
        <v>0</v>
      </c>
      <c r="G1269" s="19">
        <v>0</v>
      </c>
      <c r="H1269" s="20">
        <v>0.10770172006875289</v>
      </c>
      <c r="I1269" s="20">
        <v>0</v>
      </c>
      <c r="J1269" s="20">
        <v>0.10770172006875289</v>
      </c>
    </row>
    <row r="1270" spans="1:10" ht="11.25" customHeight="1" x14ac:dyDescent="0.2">
      <c r="A1270" s="25" t="s">
        <v>25</v>
      </c>
      <c r="B1270" s="19">
        <v>1219071.5900000001</v>
      </c>
      <c r="C1270" s="19">
        <v>1350367.6971299499</v>
      </c>
      <c r="D1270" s="19">
        <v>0</v>
      </c>
      <c r="E1270" s="19">
        <v>0</v>
      </c>
      <c r="F1270" s="19">
        <v>0</v>
      </c>
      <c r="G1270" s="19">
        <v>0</v>
      </c>
      <c r="H1270" s="20">
        <v>0.10770172006875289</v>
      </c>
      <c r="I1270" s="20">
        <v>0</v>
      </c>
      <c r="J1270" s="20">
        <v>0.10770172006875289</v>
      </c>
    </row>
    <row r="1271" spans="1:10" ht="11.25" customHeight="1" x14ac:dyDescent="0.2">
      <c r="A1271" s="26" t="s">
        <v>25</v>
      </c>
      <c r="B1271" s="19">
        <v>1219071.5900000001</v>
      </c>
      <c r="C1271" s="19">
        <v>1350367.6971299499</v>
      </c>
      <c r="D1271" s="19">
        <v>0</v>
      </c>
      <c r="E1271" s="19">
        <v>0</v>
      </c>
      <c r="F1271" s="19">
        <v>0</v>
      </c>
      <c r="G1271" s="19">
        <v>0</v>
      </c>
      <c r="H1271" s="20">
        <v>0.10770172006875289</v>
      </c>
      <c r="I1271" s="20">
        <v>0</v>
      </c>
      <c r="J1271" s="20">
        <v>0.10770172006875289</v>
      </c>
    </row>
    <row r="1272" spans="1:10" ht="11.25" customHeight="1" x14ac:dyDescent="0.2">
      <c r="A1272" s="27" t="s">
        <v>82</v>
      </c>
      <c r="B1272" s="19">
        <v>0</v>
      </c>
      <c r="C1272" s="19">
        <v>0</v>
      </c>
      <c r="D1272" s="19">
        <v>0</v>
      </c>
      <c r="E1272" s="19">
        <v>0</v>
      </c>
      <c r="F1272" s="19">
        <v>0</v>
      </c>
      <c r="G1272" s="19">
        <v>0</v>
      </c>
      <c r="H1272" s="20">
        <v>0</v>
      </c>
      <c r="I1272" s="20">
        <v>0</v>
      </c>
      <c r="J1272" s="20">
        <v>0</v>
      </c>
    </row>
    <row r="1273" spans="1:10" ht="11.25" customHeight="1" x14ac:dyDescent="0.2">
      <c r="A1273" s="28" t="s">
        <v>25</v>
      </c>
      <c r="B1273" s="19">
        <v>0</v>
      </c>
      <c r="C1273" s="19">
        <v>0</v>
      </c>
      <c r="D1273" s="19">
        <v>0</v>
      </c>
      <c r="E1273" s="19">
        <v>0</v>
      </c>
      <c r="F1273" s="19">
        <v>0</v>
      </c>
      <c r="G1273" s="19">
        <v>0</v>
      </c>
      <c r="H1273" s="20">
        <v>0</v>
      </c>
      <c r="I1273" s="20">
        <v>0</v>
      </c>
      <c r="J1273" s="20">
        <v>0</v>
      </c>
    </row>
    <row r="1274" spans="1:10" ht="11.25" customHeight="1" x14ac:dyDescent="0.2">
      <c r="A1274" s="29">
        <v>44409</v>
      </c>
      <c r="B1274" s="19">
        <v>0</v>
      </c>
      <c r="C1274" s="19">
        <v>0</v>
      </c>
      <c r="D1274" s="19">
        <v>0</v>
      </c>
      <c r="E1274" s="19">
        <v>0</v>
      </c>
      <c r="F1274" s="19">
        <v>0</v>
      </c>
      <c r="G1274" s="19">
        <v>0</v>
      </c>
      <c r="H1274" s="20">
        <v>0</v>
      </c>
      <c r="I1274" s="20">
        <v>0</v>
      </c>
      <c r="J1274" s="20">
        <v>0</v>
      </c>
    </row>
    <row r="1275" spans="1:10" ht="11.25" customHeight="1" x14ac:dyDescent="0.2">
      <c r="A1275" s="29">
        <v>44440</v>
      </c>
      <c r="B1275" s="19">
        <v>0</v>
      </c>
      <c r="C1275" s="19">
        <v>0</v>
      </c>
      <c r="D1275" s="19">
        <v>0</v>
      </c>
      <c r="E1275" s="19">
        <v>0</v>
      </c>
      <c r="F1275" s="19">
        <v>0</v>
      </c>
      <c r="G1275" s="19">
        <v>0</v>
      </c>
      <c r="H1275" s="20">
        <v>0</v>
      </c>
      <c r="I1275" s="20">
        <v>0</v>
      </c>
      <c r="J1275" s="20">
        <v>0</v>
      </c>
    </row>
    <row r="1276" spans="1:10" ht="11.25" customHeight="1" x14ac:dyDescent="0.2">
      <c r="A1276" s="29">
        <v>44470</v>
      </c>
      <c r="B1276" s="19">
        <v>0</v>
      </c>
      <c r="C1276" s="19">
        <v>0</v>
      </c>
      <c r="D1276" s="19">
        <v>0</v>
      </c>
      <c r="E1276" s="19">
        <v>0</v>
      </c>
      <c r="F1276" s="19">
        <v>0</v>
      </c>
      <c r="G1276" s="19">
        <v>0</v>
      </c>
      <c r="H1276" s="20">
        <v>0</v>
      </c>
      <c r="I1276" s="20">
        <v>0</v>
      </c>
      <c r="J1276" s="20">
        <v>0</v>
      </c>
    </row>
    <row r="1277" spans="1:10" ht="11.25" customHeight="1" x14ac:dyDescent="0.2">
      <c r="A1277" s="29">
        <v>44501</v>
      </c>
      <c r="B1277" s="19">
        <v>0</v>
      </c>
      <c r="C1277" s="19">
        <v>0</v>
      </c>
      <c r="D1277" s="19">
        <v>0</v>
      </c>
      <c r="E1277" s="19">
        <v>0</v>
      </c>
      <c r="F1277" s="19">
        <v>0</v>
      </c>
      <c r="G1277" s="19">
        <v>0</v>
      </c>
      <c r="H1277" s="20">
        <v>0</v>
      </c>
      <c r="I1277" s="20">
        <v>0</v>
      </c>
      <c r="J1277" s="20">
        <v>0</v>
      </c>
    </row>
    <row r="1278" spans="1:10" ht="11.25" customHeight="1" x14ac:dyDescent="0.2">
      <c r="A1278" s="29">
        <v>44531</v>
      </c>
      <c r="B1278" s="19">
        <v>0</v>
      </c>
      <c r="C1278" s="19">
        <v>0</v>
      </c>
      <c r="D1278" s="19">
        <v>0</v>
      </c>
      <c r="E1278" s="19">
        <v>0</v>
      </c>
      <c r="F1278" s="19">
        <v>0</v>
      </c>
      <c r="G1278" s="19">
        <v>0</v>
      </c>
      <c r="H1278" s="20">
        <v>0</v>
      </c>
      <c r="I1278" s="20">
        <v>0</v>
      </c>
      <c r="J1278" s="20">
        <v>0</v>
      </c>
    </row>
    <row r="1279" spans="1:10" ht="11.25" customHeight="1" x14ac:dyDescent="0.2">
      <c r="A1279" s="29">
        <v>44562</v>
      </c>
      <c r="B1279" s="19">
        <v>0</v>
      </c>
      <c r="C1279" s="19">
        <v>0</v>
      </c>
      <c r="D1279" s="19">
        <v>0</v>
      </c>
      <c r="E1279" s="19">
        <v>0</v>
      </c>
      <c r="F1279" s="19">
        <v>0</v>
      </c>
      <c r="G1279" s="19">
        <v>0</v>
      </c>
      <c r="H1279" s="20">
        <v>0</v>
      </c>
      <c r="I1279" s="20">
        <v>0</v>
      </c>
      <c r="J1279" s="20">
        <v>0</v>
      </c>
    </row>
    <row r="1280" spans="1:10" ht="11.25" customHeight="1" x14ac:dyDescent="0.2">
      <c r="A1280" s="29">
        <v>44593</v>
      </c>
      <c r="B1280" s="19">
        <v>0</v>
      </c>
      <c r="C1280" s="19">
        <v>0</v>
      </c>
      <c r="D1280" s="19">
        <v>0</v>
      </c>
      <c r="E1280" s="19">
        <v>0</v>
      </c>
      <c r="F1280" s="19">
        <v>0</v>
      </c>
      <c r="G1280" s="19">
        <v>0</v>
      </c>
      <c r="H1280" s="20">
        <v>0</v>
      </c>
      <c r="I1280" s="20">
        <v>0</v>
      </c>
      <c r="J1280" s="20">
        <v>0</v>
      </c>
    </row>
    <row r="1281" spans="1:10" ht="11.25" customHeight="1" x14ac:dyDescent="0.2">
      <c r="A1281" s="29">
        <v>44621</v>
      </c>
      <c r="B1281" s="19">
        <v>0</v>
      </c>
      <c r="C1281" s="19">
        <v>0</v>
      </c>
      <c r="D1281" s="19">
        <v>0</v>
      </c>
      <c r="E1281" s="19">
        <v>0</v>
      </c>
      <c r="F1281" s="19">
        <v>0</v>
      </c>
      <c r="G1281" s="19">
        <v>0</v>
      </c>
      <c r="H1281" s="20">
        <v>0</v>
      </c>
      <c r="I1281" s="20">
        <v>0</v>
      </c>
      <c r="J1281" s="20">
        <v>0</v>
      </c>
    </row>
    <row r="1282" spans="1:10" ht="11.25" customHeight="1" x14ac:dyDescent="0.2">
      <c r="A1282" s="29">
        <v>44652</v>
      </c>
      <c r="B1282" s="19">
        <v>0</v>
      </c>
      <c r="C1282" s="19">
        <v>0</v>
      </c>
      <c r="D1282" s="19">
        <v>0</v>
      </c>
      <c r="E1282" s="19">
        <v>0</v>
      </c>
      <c r="F1282" s="19">
        <v>0</v>
      </c>
      <c r="G1282" s="19">
        <v>0</v>
      </c>
      <c r="H1282" s="20">
        <v>0</v>
      </c>
      <c r="I1282" s="20">
        <v>0</v>
      </c>
      <c r="J1282" s="20">
        <v>0</v>
      </c>
    </row>
    <row r="1283" spans="1:10" ht="11.25" customHeight="1" x14ac:dyDescent="0.2">
      <c r="A1283" s="29">
        <v>44682</v>
      </c>
      <c r="B1283" s="19">
        <v>0</v>
      </c>
      <c r="C1283" s="19">
        <v>0</v>
      </c>
      <c r="D1283" s="19">
        <v>0</v>
      </c>
      <c r="E1283" s="19">
        <v>0</v>
      </c>
      <c r="F1283" s="19">
        <v>0</v>
      </c>
      <c r="G1283" s="19">
        <v>0</v>
      </c>
      <c r="H1283" s="20">
        <v>0</v>
      </c>
      <c r="I1283" s="20">
        <v>0</v>
      </c>
      <c r="J1283" s="20">
        <v>0</v>
      </c>
    </row>
    <row r="1284" spans="1:10" ht="11.25" customHeight="1" x14ac:dyDescent="0.2">
      <c r="A1284" s="29">
        <v>44713</v>
      </c>
      <c r="B1284" s="19">
        <v>0</v>
      </c>
      <c r="C1284" s="19">
        <v>0</v>
      </c>
      <c r="D1284" s="19">
        <v>0</v>
      </c>
      <c r="E1284" s="19">
        <v>0</v>
      </c>
      <c r="F1284" s="19">
        <v>0</v>
      </c>
      <c r="G1284" s="19">
        <v>0</v>
      </c>
      <c r="H1284" s="20">
        <v>0</v>
      </c>
      <c r="I1284" s="20">
        <v>0</v>
      </c>
      <c r="J1284" s="20">
        <v>0</v>
      </c>
    </row>
    <row r="1285" spans="1:10" ht="11.25" customHeight="1" x14ac:dyDescent="0.2">
      <c r="A1285" s="29">
        <v>44743</v>
      </c>
      <c r="B1285" s="19">
        <v>0</v>
      </c>
      <c r="C1285" s="19">
        <v>0</v>
      </c>
      <c r="D1285" s="19">
        <v>0</v>
      </c>
      <c r="E1285" s="19">
        <v>0</v>
      </c>
      <c r="F1285" s="19">
        <v>0</v>
      </c>
      <c r="G1285" s="19">
        <v>0</v>
      </c>
      <c r="H1285" s="20">
        <v>0</v>
      </c>
      <c r="I1285" s="20">
        <v>0</v>
      </c>
      <c r="J1285" s="20">
        <v>0</v>
      </c>
    </row>
    <row r="1286" spans="1:10" ht="11.25" customHeight="1" x14ac:dyDescent="0.2">
      <c r="A1286" s="27" t="s">
        <v>83</v>
      </c>
      <c r="B1286" s="19">
        <v>158401.92499999999</v>
      </c>
      <c r="C1286" s="19">
        <v>175462.08478470158</v>
      </c>
      <c r="D1286" s="19">
        <v>0</v>
      </c>
      <c r="E1286" s="19">
        <v>0</v>
      </c>
      <c r="F1286" s="19">
        <v>0</v>
      </c>
      <c r="G1286" s="19">
        <v>0</v>
      </c>
      <c r="H1286" s="20">
        <v>0.10770172006875289</v>
      </c>
      <c r="I1286" s="20">
        <v>0</v>
      </c>
      <c r="J1286" s="20">
        <v>0.10770172006875289</v>
      </c>
    </row>
    <row r="1287" spans="1:10" ht="11.25" customHeight="1" x14ac:dyDescent="0.2">
      <c r="A1287" s="28" t="s">
        <v>25</v>
      </c>
      <c r="B1287" s="19">
        <v>158401.92499999999</v>
      </c>
      <c r="C1287" s="19">
        <v>175462.08478470158</v>
      </c>
      <c r="D1287" s="19">
        <v>0</v>
      </c>
      <c r="E1287" s="19">
        <v>0</v>
      </c>
      <c r="F1287" s="19">
        <v>0</v>
      </c>
      <c r="G1287" s="19">
        <v>0</v>
      </c>
      <c r="H1287" s="20">
        <v>0.10770172006875289</v>
      </c>
      <c r="I1287" s="20">
        <v>0</v>
      </c>
      <c r="J1287" s="20">
        <v>0.10770172006875289</v>
      </c>
    </row>
    <row r="1288" spans="1:10" ht="11.25" customHeight="1" x14ac:dyDescent="0.2">
      <c r="A1288" s="29">
        <v>44409</v>
      </c>
      <c r="B1288" s="19">
        <v>1441</v>
      </c>
      <c r="C1288" s="19">
        <v>1596.1981786190729</v>
      </c>
      <c r="D1288" s="19">
        <v>0</v>
      </c>
      <c r="E1288" s="19">
        <v>0</v>
      </c>
      <c r="F1288" s="19">
        <v>0</v>
      </c>
      <c r="G1288" s="19">
        <v>0</v>
      </c>
      <c r="H1288" s="20">
        <v>0.10770172006875289</v>
      </c>
      <c r="I1288" s="20">
        <v>0</v>
      </c>
      <c r="J1288" s="20">
        <v>0.10770172006875289</v>
      </c>
    </row>
    <row r="1289" spans="1:10" ht="11.25" customHeight="1" x14ac:dyDescent="0.2">
      <c r="A1289" s="29">
        <v>44440</v>
      </c>
      <c r="B1289" s="19">
        <v>1441</v>
      </c>
      <c r="C1289" s="19">
        <v>1596.1981786190729</v>
      </c>
      <c r="D1289" s="19">
        <v>0</v>
      </c>
      <c r="E1289" s="19">
        <v>0</v>
      </c>
      <c r="F1289" s="19">
        <v>0</v>
      </c>
      <c r="G1289" s="19">
        <v>0</v>
      </c>
      <c r="H1289" s="20">
        <v>0.10770172006875289</v>
      </c>
      <c r="I1289" s="20">
        <v>0</v>
      </c>
      <c r="J1289" s="20">
        <v>0.10770172006875289</v>
      </c>
    </row>
    <row r="1290" spans="1:10" ht="11.25" customHeight="1" x14ac:dyDescent="0.2">
      <c r="A1290" s="29">
        <v>44470</v>
      </c>
      <c r="B1290" s="19">
        <v>1441</v>
      </c>
      <c r="C1290" s="19">
        <v>1596.1981786190729</v>
      </c>
      <c r="D1290" s="19">
        <v>0</v>
      </c>
      <c r="E1290" s="19">
        <v>0</v>
      </c>
      <c r="F1290" s="19">
        <v>0</v>
      </c>
      <c r="G1290" s="19">
        <v>0</v>
      </c>
      <c r="H1290" s="20">
        <v>0.10770172006875289</v>
      </c>
      <c r="I1290" s="20">
        <v>0</v>
      </c>
      <c r="J1290" s="20">
        <v>0.10770172006875289</v>
      </c>
    </row>
    <row r="1291" spans="1:10" ht="11.25" customHeight="1" x14ac:dyDescent="0.2">
      <c r="A1291" s="29">
        <v>44501</v>
      </c>
      <c r="B1291" s="19">
        <v>15742.924999999999</v>
      </c>
      <c r="C1291" s="19">
        <v>17438.465101413371</v>
      </c>
      <c r="D1291" s="19">
        <v>0</v>
      </c>
      <c r="E1291" s="19">
        <v>0</v>
      </c>
      <c r="F1291" s="19">
        <v>0</v>
      </c>
      <c r="G1291" s="19">
        <v>0</v>
      </c>
      <c r="H1291" s="20">
        <v>0.10770172006875289</v>
      </c>
      <c r="I1291" s="20">
        <v>0</v>
      </c>
      <c r="J1291" s="20">
        <v>0.10770172006875289</v>
      </c>
    </row>
    <row r="1292" spans="1:10" ht="11.25" customHeight="1" x14ac:dyDescent="0.2">
      <c r="A1292" s="29">
        <v>44531</v>
      </c>
      <c r="B1292" s="19">
        <v>17292</v>
      </c>
      <c r="C1292" s="19">
        <v>19154.378143428872</v>
      </c>
      <c r="D1292" s="19">
        <v>0</v>
      </c>
      <c r="E1292" s="19">
        <v>0</v>
      </c>
      <c r="F1292" s="19">
        <v>0</v>
      </c>
      <c r="G1292" s="19">
        <v>0</v>
      </c>
      <c r="H1292" s="20">
        <v>0.10770172006875267</v>
      </c>
      <c r="I1292" s="20">
        <v>0</v>
      </c>
      <c r="J1292" s="20">
        <v>0.10770172006875267</v>
      </c>
    </row>
    <row r="1293" spans="1:10" ht="11.25" customHeight="1" x14ac:dyDescent="0.2">
      <c r="A1293" s="29">
        <v>44562</v>
      </c>
      <c r="B1293" s="19">
        <v>17292</v>
      </c>
      <c r="C1293" s="19">
        <v>19154.378143428872</v>
      </c>
      <c r="D1293" s="19">
        <v>0</v>
      </c>
      <c r="E1293" s="19">
        <v>0</v>
      </c>
      <c r="F1293" s="19">
        <v>0</v>
      </c>
      <c r="G1293" s="19">
        <v>0</v>
      </c>
      <c r="H1293" s="20">
        <v>0.10770172006875267</v>
      </c>
      <c r="I1293" s="20">
        <v>0</v>
      </c>
      <c r="J1293" s="20">
        <v>0.10770172006875267</v>
      </c>
    </row>
    <row r="1294" spans="1:10" ht="11.25" customHeight="1" x14ac:dyDescent="0.2">
      <c r="A1294" s="29">
        <v>44593</v>
      </c>
      <c r="B1294" s="19">
        <v>17292</v>
      </c>
      <c r="C1294" s="19">
        <v>19154.378143428872</v>
      </c>
      <c r="D1294" s="19">
        <v>0</v>
      </c>
      <c r="E1294" s="19">
        <v>0</v>
      </c>
      <c r="F1294" s="19">
        <v>0</v>
      </c>
      <c r="G1294" s="19">
        <v>0</v>
      </c>
      <c r="H1294" s="20">
        <v>0.10770172006875267</v>
      </c>
      <c r="I1294" s="20">
        <v>0</v>
      </c>
      <c r="J1294" s="20">
        <v>0.10770172006875267</v>
      </c>
    </row>
    <row r="1295" spans="1:10" ht="11.25" customHeight="1" x14ac:dyDescent="0.2">
      <c r="A1295" s="29">
        <v>44621</v>
      </c>
      <c r="B1295" s="19">
        <v>17292</v>
      </c>
      <c r="C1295" s="19">
        <v>19154.378143428872</v>
      </c>
      <c r="D1295" s="19">
        <v>0</v>
      </c>
      <c r="E1295" s="19">
        <v>0</v>
      </c>
      <c r="F1295" s="19">
        <v>0</v>
      </c>
      <c r="G1295" s="19">
        <v>0</v>
      </c>
      <c r="H1295" s="20">
        <v>0.10770172006875267</v>
      </c>
      <c r="I1295" s="20">
        <v>0</v>
      </c>
      <c r="J1295" s="20">
        <v>0.10770172006875267</v>
      </c>
    </row>
    <row r="1296" spans="1:10" ht="11.25" customHeight="1" x14ac:dyDescent="0.2">
      <c r="A1296" s="29">
        <v>44652</v>
      </c>
      <c r="B1296" s="19">
        <v>17292</v>
      </c>
      <c r="C1296" s="19">
        <v>19154.378143428872</v>
      </c>
      <c r="D1296" s="19">
        <v>0</v>
      </c>
      <c r="E1296" s="19">
        <v>0</v>
      </c>
      <c r="F1296" s="19">
        <v>0</v>
      </c>
      <c r="G1296" s="19">
        <v>0</v>
      </c>
      <c r="H1296" s="20">
        <v>0.10770172006875267</v>
      </c>
      <c r="I1296" s="20">
        <v>0</v>
      </c>
      <c r="J1296" s="20">
        <v>0.10770172006875267</v>
      </c>
    </row>
    <row r="1297" spans="1:10" ht="11.25" customHeight="1" x14ac:dyDescent="0.2">
      <c r="A1297" s="29">
        <v>44682</v>
      </c>
      <c r="B1297" s="19">
        <v>17292</v>
      </c>
      <c r="C1297" s="19">
        <v>19154.378143428872</v>
      </c>
      <c r="D1297" s="19">
        <v>0</v>
      </c>
      <c r="E1297" s="19">
        <v>0</v>
      </c>
      <c r="F1297" s="19">
        <v>0</v>
      </c>
      <c r="G1297" s="19">
        <v>0</v>
      </c>
      <c r="H1297" s="20">
        <v>0.10770172006875267</v>
      </c>
      <c r="I1297" s="20">
        <v>0</v>
      </c>
      <c r="J1297" s="20">
        <v>0.10770172006875267</v>
      </c>
    </row>
    <row r="1298" spans="1:10" ht="11.25" customHeight="1" x14ac:dyDescent="0.2">
      <c r="A1298" s="29">
        <v>44713</v>
      </c>
      <c r="B1298" s="19">
        <v>17292</v>
      </c>
      <c r="C1298" s="19">
        <v>19154.378143428872</v>
      </c>
      <c r="D1298" s="19">
        <v>0</v>
      </c>
      <c r="E1298" s="19">
        <v>0</v>
      </c>
      <c r="F1298" s="19">
        <v>0</v>
      </c>
      <c r="G1298" s="19">
        <v>0</v>
      </c>
      <c r="H1298" s="20">
        <v>0.10770172006875267</v>
      </c>
      <c r="I1298" s="20">
        <v>0</v>
      </c>
      <c r="J1298" s="20">
        <v>0.10770172006875267</v>
      </c>
    </row>
    <row r="1299" spans="1:10" ht="11.25" customHeight="1" x14ac:dyDescent="0.2">
      <c r="A1299" s="29">
        <v>44743</v>
      </c>
      <c r="B1299" s="19">
        <v>17292</v>
      </c>
      <c r="C1299" s="19">
        <v>19154.378143428872</v>
      </c>
      <c r="D1299" s="19">
        <v>0</v>
      </c>
      <c r="E1299" s="19">
        <v>0</v>
      </c>
      <c r="F1299" s="19">
        <v>0</v>
      </c>
      <c r="G1299" s="19">
        <v>0</v>
      </c>
      <c r="H1299" s="20">
        <v>0.10770172006875267</v>
      </c>
      <c r="I1299" s="20">
        <v>0</v>
      </c>
      <c r="J1299" s="20">
        <v>0.10770172006875267</v>
      </c>
    </row>
    <row r="1300" spans="1:10" ht="11.25" customHeight="1" x14ac:dyDescent="0.2">
      <c r="A1300" s="27" t="s">
        <v>81</v>
      </c>
      <c r="B1300" s="19">
        <v>65615.934999999998</v>
      </c>
      <c r="C1300" s="19">
        <v>72682.884063419493</v>
      </c>
      <c r="D1300" s="19">
        <v>0</v>
      </c>
      <c r="E1300" s="19">
        <v>0</v>
      </c>
      <c r="F1300" s="19">
        <v>0</v>
      </c>
      <c r="G1300" s="19">
        <v>0</v>
      </c>
      <c r="H1300" s="20">
        <v>0.10770172006875312</v>
      </c>
      <c r="I1300" s="20">
        <v>0</v>
      </c>
      <c r="J1300" s="20">
        <v>0.10770172006875312</v>
      </c>
    </row>
    <row r="1301" spans="1:10" ht="11.25" customHeight="1" x14ac:dyDescent="0.2">
      <c r="A1301" s="28" t="s">
        <v>25</v>
      </c>
      <c r="B1301" s="19">
        <v>65615.934999999998</v>
      </c>
      <c r="C1301" s="19">
        <v>72682.884063419493</v>
      </c>
      <c r="D1301" s="19">
        <v>0</v>
      </c>
      <c r="E1301" s="19">
        <v>0</v>
      </c>
      <c r="F1301" s="19">
        <v>0</v>
      </c>
      <c r="G1301" s="19">
        <v>0</v>
      </c>
      <c r="H1301" s="20">
        <v>0.10770172006875312</v>
      </c>
      <c r="I1301" s="20">
        <v>0</v>
      </c>
      <c r="J1301" s="20">
        <v>0.10770172006875312</v>
      </c>
    </row>
    <row r="1302" spans="1:10" ht="11.25" customHeight="1" x14ac:dyDescent="0.2">
      <c r="A1302" s="29">
        <v>44409</v>
      </c>
      <c r="B1302" s="19">
        <v>4323</v>
      </c>
      <c r="C1302" s="19">
        <v>4788.594535857218</v>
      </c>
      <c r="D1302" s="19">
        <v>0</v>
      </c>
      <c r="E1302" s="19">
        <v>0</v>
      </c>
      <c r="F1302" s="19">
        <v>0</v>
      </c>
      <c r="G1302" s="19">
        <v>0</v>
      </c>
      <c r="H1302" s="20">
        <v>0.10770172006875267</v>
      </c>
      <c r="I1302" s="20">
        <v>0</v>
      </c>
      <c r="J1302" s="20">
        <v>0.10770172006875267</v>
      </c>
    </row>
    <row r="1303" spans="1:10" ht="11.25" customHeight="1" x14ac:dyDescent="0.2">
      <c r="A1303" s="29">
        <v>44440</v>
      </c>
      <c r="B1303" s="19">
        <v>4323</v>
      </c>
      <c r="C1303" s="19">
        <v>4788.594535857218</v>
      </c>
      <c r="D1303" s="19">
        <v>0</v>
      </c>
      <c r="E1303" s="19">
        <v>0</v>
      </c>
      <c r="F1303" s="19">
        <v>0</v>
      </c>
      <c r="G1303" s="19">
        <v>0</v>
      </c>
      <c r="H1303" s="20">
        <v>0.10770172006875267</v>
      </c>
      <c r="I1303" s="20">
        <v>0</v>
      </c>
      <c r="J1303" s="20">
        <v>0.10770172006875267</v>
      </c>
    </row>
    <row r="1304" spans="1:10" ht="11.25" customHeight="1" x14ac:dyDescent="0.2">
      <c r="A1304" s="29">
        <v>44470</v>
      </c>
      <c r="B1304" s="19">
        <v>4323</v>
      </c>
      <c r="C1304" s="19">
        <v>4788.594535857218</v>
      </c>
      <c r="D1304" s="19">
        <v>0</v>
      </c>
      <c r="E1304" s="19">
        <v>0</v>
      </c>
      <c r="F1304" s="19">
        <v>0</v>
      </c>
      <c r="G1304" s="19">
        <v>0</v>
      </c>
      <c r="H1304" s="20">
        <v>0.10770172006875267</v>
      </c>
      <c r="I1304" s="20">
        <v>0</v>
      </c>
      <c r="J1304" s="20">
        <v>0.10770172006875267</v>
      </c>
    </row>
    <row r="1305" spans="1:10" ht="11.25" customHeight="1" x14ac:dyDescent="0.2">
      <c r="A1305" s="29">
        <v>44501</v>
      </c>
      <c r="B1305" s="19">
        <v>11664.895</v>
      </c>
      <c r="C1305" s="19">
        <v>12921.224255921396</v>
      </c>
      <c r="D1305" s="19">
        <v>0</v>
      </c>
      <c r="E1305" s="19">
        <v>0</v>
      </c>
      <c r="F1305" s="19">
        <v>0</v>
      </c>
      <c r="G1305" s="19">
        <v>0</v>
      </c>
      <c r="H1305" s="20">
        <v>0.10770172006875289</v>
      </c>
      <c r="I1305" s="20">
        <v>0</v>
      </c>
      <c r="J1305" s="20">
        <v>0.10770172006875289</v>
      </c>
    </row>
    <row r="1306" spans="1:10" ht="11.25" customHeight="1" x14ac:dyDescent="0.2">
      <c r="A1306" s="29">
        <v>44531</v>
      </c>
      <c r="B1306" s="19">
        <v>7680.5300000000007</v>
      </c>
      <c r="C1306" s="19">
        <v>8507.7362920396572</v>
      </c>
      <c r="D1306" s="19">
        <v>0</v>
      </c>
      <c r="E1306" s="19">
        <v>0</v>
      </c>
      <c r="F1306" s="19">
        <v>0</v>
      </c>
      <c r="G1306" s="19">
        <v>0</v>
      </c>
      <c r="H1306" s="20">
        <v>0.10770172006875267</v>
      </c>
      <c r="I1306" s="20">
        <v>0</v>
      </c>
      <c r="J1306" s="20">
        <v>0.10770172006875267</v>
      </c>
    </row>
    <row r="1307" spans="1:10" ht="11.25" customHeight="1" x14ac:dyDescent="0.2">
      <c r="A1307" s="29">
        <v>44562</v>
      </c>
      <c r="B1307" s="19">
        <v>7363.51</v>
      </c>
      <c r="C1307" s="19">
        <v>8156.5726927434616</v>
      </c>
      <c r="D1307" s="19">
        <v>0</v>
      </c>
      <c r="E1307" s="19">
        <v>0</v>
      </c>
      <c r="F1307" s="19">
        <v>0</v>
      </c>
      <c r="G1307" s="19">
        <v>0</v>
      </c>
      <c r="H1307" s="20">
        <v>0.10770172006875267</v>
      </c>
      <c r="I1307" s="20">
        <v>0</v>
      </c>
      <c r="J1307" s="20">
        <v>0.10770172006875267</v>
      </c>
    </row>
    <row r="1308" spans="1:10" ht="11.25" customHeight="1" x14ac:dyDescent="0.2">
      <c r="A1308" s="29">
        <v>44593</v>
      </c>
      <c r="B1308" s="19">
        <v>4323</v>
      </c>
      <c r="C1308" s="19">
        <v>4788.594535857218</v>
      </c>
      <c r="D1308" s="19">
        <v>0</v>
      </c>
      <c r="E1308" s="19">
        <v>0</v>
      </c>
      <c r="F1308" s="19">
        <v>0</v>
      </c>
      <c r="G1308" s="19">
        <v>0</v>
      </c>
      <c r="H1308" s="20">
        <v>0.10770172006875267</v>
      </c>
      <c r="I1308" s="20">
        <v>0</v>
      </c>
      <c r="J1308" s="20">
        <v>0.10770172006875267</v>
      </c>
    </row>
    <row r="1309" spans="1:10" ht="11.25" customHeight="1" x14ac:dyDescent="0.2">
      <c r="A1309" s="29">
        <v>44621</v>
      </c>
      <c r="B1309" s="19">
        <v>4323</v>
      </c>
      <c r="C1309" s="19">
        <v>4788.594535857218</v>
      </c>
      <c r="D1309" s="19">
        <v>0</v>
      </c>
      <c r="E1309" s="19">
        <v>0</v>
      </c>
      <c r="F1309" s="19">
        <v>0</v>
      </c>
      <c r="G1309" s="19">
        <v>0</v>
      </c>
      <c r="H1309" s="20">
        <v>0.10770172006875267</v>
      </c>
      <c r="I1309" s="20">
        <v>0</v>
      </c>
      <c r="J1309" s="20">
        <v>0.10770172006875267</v>
      </c>
    </row>
    <row r="1310" spans="1:10" ht="11.25" customHeight="1" x14ac:dyDescent="0.2">
      <c r="A1310" s="29">
        <v>44652</v>
      </c>
      <c r="B1310" s="19">
        <v>4323</v>
      </c>
      <c r="C1310" s="19">
        <v>4788.594535857218</v>
      </c>
      <c r="D1310" s="19">
        <v>0</v>
      </c>
      <c r="E1310" s="19">
        <v>0</v>
      </c>
      <c r="F1310" s="19">
        <v>0</v>
      </c>
      <c r="G1310" s="19">
        <v>0</v>
      </c>
      <c r="H1310" s="20">
        <v>0.10770172006875267</v>
      </c>
      <c r="I1310" s="20">
        <v>0</v>
      </c>
      <c r="J1310" s="20">
        <v>0.10770172006875267</v>
      </c>
    </row>
    <row r="1311" spans="1:10" ht="11.25" customHeight="1" x14ac:dyDescent="0.2">
      <c r="A1311" s="29">
        <v>44682</v>
      </c>
      <c r="B1311" s="19">
        <v>4323</v>
      </c>
      <c r="C1311" s="19">
        <v>4788.594535857218</v>
      </c>
      <c r="D1311" s="19">
        <v>0</v>
      </c>
      <c r="E1311" s="19">
        <v>0</v>
      </c>
      <c r="F1311" s="19">
        <v>0</v>
      </c>
      <c r="G1311" s="19">
        <v>0</v>
      </c>
      <c r="H1311" s="20">
        <v>0.10770172006875267</v>
      </c>
      <c r="I1311" s="20">
        <v>0</v>
      </c>
      <c r="J1311" s="20">
        <v>0.10770172006875267</v>
      </c>
    </row>
    <row r="1312" spans="1:10" ht="11.25" customHeight="1" x14ac:dyDescent="0.2">
      <c r="A1312" s="29">
        <v>44713</v>
      </c>
      <c r="B1312" s="19">
        <v>4323</v>
      </c>
      <c r="C1312" s="19">
        <v>4788.594535857218</v>
      </c>
      <c r="D1312" s="19">
        <v>0</v>
      </c>
      <c r="E1312" s="19">
        <v>0</v>
      </c>
      <c r="F1312" s="19">
        <v>0</v>
      </c>
      <c r="G1312" s="19">
        <v>0</v>
      </c>
      <c r="H1312" s="20">
        <v>0.10770172006875267</v>
      </c>
      <c r="I1312" s="20">
        <v>0</v>
      </c>
      <c r="J1312" s="20">
        <v>0.10770172006875267</v>
      </c>
    </row>
    <row r="1313" spans="1:10" ht="11.25" customHeight="1" x14ac:dyDescent="0.2">
      <c r="A1313" s="29">
        <v>44743</v>
      </c>
      <c r="B1313" s="19">
        <v>4323</v>
      </c>
      <c r="C1313" s="19">
        <v>4788.594535857218</v>
      </c>
      <c r="D1313" s="19">
        <v>0</v>
      </c>
      <c r="E1313" s="19">
        <v>0</v>
      </c>
      <c r="F1313" s="19">
        <v>0</v>
      </c>
      <c r="G1313" s="19">
        <v>0</v>
      </c>
      <c r="H1313" s="20">
        <v>0.10770172006875267</v>
      </c>
      <c r="I1313" s="20">
        <v>0</v>
      </c>
      <c r="J1313" s="20">
        <v>0.10770172006875267</v>
      </c>
    </row>
    <row r="1314" spans="1:10" ht="11.25" customHeight="1" x14ac:dyDescent="0.2">
      <c r="A1314" s="27" t="s">
        <v>80</v>
      </c>
      <c r="B1314" s="19">
        <v>302004.78000000003</v>
      </c>
      <c r="C1314" s="19">
        <v>334531.21427498531</v>
      </c>
      <c r="D1314" s="19">
        <v>0</v>
      </c>
      <c r="E1314" s="19">
        <v>0</v>
      </c>
      <c r="F1314" s="19">
        <v>0</v>
      </c>
      <c r="G1314" s="19">
        <v>0</v>
      </c>
      <c r="H1314" s="20">
        <v>0.10770172006875289</v>
      </c>
      <c r="I1314" s="20">
        <v>0</v>
      </c>
      <c r="J1314" s="20">
        <v>0.10770172006875289</v>
      </c>
    </row>
    <row r="1315" spans="1:10" ht="11.25" customHeight="1" x14ac:dyDescent="0.2">
      <c r="A1315" s="28" t="s">
        <v>25</v>
      </c>
      <c r="B1315" s="19">
        <v>302004.78000000003</v>
      </c>
      <c r="C1315" s="19">
        <v>334531.21427498531</v>
      </c>
      <c r="D1315" s="19">
        <v>0</v>
      </c>
      <c r="E1315" s="19">
        <v>0</v>
      </c>
      <c r="F1315" s="19">
        <v>0</v>
      </c>
      <c r="G1315" s="19">
        <v>0</v>
      </c>
      <c r="H1315" s="20">
        <v>0.10770172006875289</v>
      </c>
      <c r="I1315" s="20">
        <v>0</v>
      </c>
      <c r="J1315" s="20">
        <v>0.10770172006875289</v>
      </c>
    </row>
    <row r="1316" spans="1:10" ht="11.25" customHeight="1" x14ac:dyDescent="0.2">
      <c r="A1316" s="29">
        <v>44409</v>
      </c>
      <c r="B1316" s="19">
        <v>21615</v>
      </c>
      <c r="C1316" s="19">
        <v>23942.972679286093</v>
      </c>
      <c r="D1316" s="19">
        <v>0</v>
      </c>
      <c r="E1316" s="19">
        <v>0</v>
      </c>
      <c r="F1316" s="19">
        <v>0</v>
      </c>
      <c r="G1316" s="19">
        <v>0</v>
      </c>
      <c r="H1316" s="20">
        <v>0.10770172006875289</v>
      </c>
      <c r="I1316" s="20">
        <v>0</v>
      </c>
      <c r="J1316" s="20">
        <v>0.10770172006875289</v>
      </c>
    </row>
    <row r="1317" spans="1:10" ht="11.25" customHeight="1" x14ac:dyDescent="0.2">
      <c r="A1317" s="29">
        <v>44440</v>
      </c>
      <c r="B1317" s="19">
        <v>21615</v>
      </c>
      <c r="C1317" s="19">
        <v>23942.972679286093</v>
      </c>
      <c r="D1317" s="19">
        <v>0</v>
      </c>
      <c r="E1317" s="19">
        <v>0</v>
      </c>
      <c r="F1317" s="19">
        <v>0</v>
      </c>
      <c r="G1317" s="19">
        <v>0</v>
      </c>
      <c r="H1317" s="20">
        <v>0.10770172006875289</v>
      </c>
      <c r="I1317" s="20">
        <v>0</v>
      </c>
      <c r="J1317" s="20">
        <v>0.10770172006875289</v>
      </c>
    </row>
    <row r="1318" spans="1:10" ht="11.25" customHeight="1" x14ac:dyDescent="0.2">
      <c r="A1318" s="29">
        <v>44470</v>
      </c>
      <c r="B1318" s="19">
        <v>27984.22</v>
      </c>
      <c r="C1318" s="19">
        <v>30998.168628782394</v>
      </c>
      <c r="D1318" s="19">
        <v>0</v>
      </c>
      <c r="E1318" s="19">
        <v>0</v>
      </c>
      <c r="F1318" s="19">
        <v>0</v>
      </c>
      <c r="G1318" s="19">
        <v>0</v>
      </c>
      <c r="H1318" s="20">
        <v>0.10770172006875267</v>
      </c>
      <c r="I1318" s="20">
        <v>0</v>
      </c>
      <c r="J1318" s="20">
        <v>0.10770172006875267</v>
      </c>
    </row>
    <row r="1319" spans="1:10" ht="11.25" customHeight="1" x14ac:dyDescent="0.2">
      <c r="A1319" s="29">
        <v>44501</v>
      </c>
      <c r="B1319" s="19">
        <v>33438.404999999999</v>
      </c>
      <c r="C1319" s="19">
        <v>37039.778734855587</v>
      </c>
      <c r="D1319" s="19">
        <v>0</v>
      </c>
      <c r="E1319" s="19">
        <v>0</v>
      </c>
      <c r="F1319" s="19">
        <v>0</v>
      </c>
      <c r="G1319" s="19">
        <v>0</v>
      </c>
      <c r="H1319" s="20">
        <v>0.10770172006875289</v>
      </c>
      <c r="I1319" s="20">
        <v>0</v>
      </c>
      <c r="J1319" s="20">
        <v>0.10770172006875289</v>
      </c>
    </row>
    <row r="1320" spans="1:10" ht="11.25" customHeight="1" x14ac:dyDescent="0.2">
      <c r="A1320" s="29">
        <v>44531</v>
      </c>
      <c r="B1320" s="19">
        <v>33877.910000000003</v>
      </c>
      <c r="C1320" s="19">
        <v>37526.619179334404</v>
      </c>
      <c r="D1320" s="19">
        <v>0</v>
      </c>
      <c r="E1320" s="19">
        <v>0</v>
      </c>
      <c r="F1320" s="19">
        <v>0</v>
      </c>
      <c r="G1320" s="19">
        <v>0</v>
      </c>
      <c r="H1320" s="20">
        <v>0.10770172006875267</v>
      </c>
      <c r="I1320" s="20">
        <v>0</v>
      </c>
      <c r="J1320" s="20">
        <v>0.10770172006875267</v>
      </c>
    </row>
    <row r="1321" spans="1:10" ht="11.25" customHeight="1" x14ac:dyDescent="0.2">
      <c r="A1321" s="29">
        <v>44562</v>
      </c>
      <c r="B1321" s="19">
        <v>33784.245000000003</v>
      </c>
      <c r="C1321" s="19">
        <v>37422.866297724162</v>
      </c>
      <c r="D1321" s="19">
        <v>0</v>
      </c>
      <c r="E1321" s="19">
        <v>0</v>
      </c>
      <c r="F1321" s="19">
        <v>0</v>
      </c>
      <c r="G1321" s="19">
        <v>0</v>
      </c>
      <c r="H1321" s="20">
        <v>0.10770172006875267</v>
      </c>
      <c r="I1321" s="20">
        <v>0</v>
      </c>
      <c r="J1321" s="20">
        <v>0.10770172006875267</v>
      </c>
    </row>
    <row r="1322" spans="1:10" ht="11.25" customHeight="1" x14ac:dyDescent="0.2">
      <c r="A1322" s="29">
        <v>44593</v>
      </c>
      <c r="B1322" s="19">
        <v>21615</v>
      </c>
      <c r="C1322" s="19">
        <v>23942.972679286093</v>
      </c>
      <c r="D1322" s="19">
        <v>0</v>
      </c>
      <c r="E1322" s="19">
        <v>0</v>
      </c>
      <c r="F1322" s="19">
        <v>0</v>
      </c>
      <c r="G1322" s="19">
        <v>0</v>
      </c>
      <c r="H1322" s="20">
        <v>0.10770172006875289</v>
      </c>
      <c r="I1322" s="20">
        <v>0</v>
      </c>
      <c r="J1322" s="20">
        <v>0.10770172006875289</v>
      </c>
    </row>
    <row r="1323" spans="1:10" ht="11.25" customHeight="1" x14ac:dyDescent="0.2">
      <c r="A1323" s="29">
        <v>44621</v>
      </c>
      <c r="B1323" s="19">
        <v>21615</v>
      </c>
      <c r="C1323" s="19">
        <v>23942.972679286093</v>
      </c>
      <c r="D1323" s="19">
        <v>0</v>
      </c>
      <c r="E1323" s="19">
        <v>0</v>
      </c>
      <c r="F1323" s="19">
        <v>0</v>
      </c>
      <c r="G1323" s="19">
        <v>0</v>
      </c>
      <c r="H1323" s="20">
        <v>0.10770172006875289</v>
      </c>
      <c r="I1323" s="20">
        <v>0</v>
      </c>
      <c r="J1323" s="20">
        <v>0.10770172006875289</v>
      </c>
    </row>
    <row r="1324" spans="1:10" ht="11.25" customHeight="1" x14ac:dyDescent="0.2">
      <c r="A1324" s="29">
        <v>44652</v>
      </c>
      <c r="B1324" s="19">
        <v>21615</v>
      </c>
      <c r="C1324" s="19">
        <v>23942.972679286093</v>
      </c>
      <c r="D1324" s="19">
        <v>0</v>
      </c>
      <c r="E1324" s="19">
        <v>0</v>
      </c>
      <c r="F1324" s="19">
        <v>0</v>
      </c>
      <c r="G1324" s="19">
        <v>0</v>
      </c>
      <c r="H1324" s="20">
        <v>0.10770172006875289</v>
      </c>
      <c r="I1324" s="20">
        <v>0</v>
      </c>
      <c r="J1324" s="20">
        <v>0.10770172006875289</v>
      </c>
    </row>
    <row r="1325" spans="1:10" ht="11.25" customHeight="1" x14ac:dyDescent="0.2">
      <c r="A1325" s="29">
        <v>44682</v>
      </c>
      <c r="B1325" s="19">
        <v>21615</v>
      </c>
      <c r="C1325" s="19">
        <v>23942.972679286093</v>
      </c>
      <c r="D1325" s="19">
        <v>0</v>
      </c>
      <c r="E1325" s="19">
        <v>0</v>
      </c>
      <c r="F1325" s="19">
        <v>0</v>
      </c>
      <c r="G1325" s="19">
        <v>0</v>
      </c>
      <c r="H1325" s="20">
        <v>0.10770172006875289</v>
      </c>
      <c r="I1325" s="20">
        <v>0</v>
      </c>
      <c r="J1325" s="20">
        <v>0.10770172006875289</v>
      </c>
    </row>
    <row r="1326" spans="1:10" ht="11.25" customHeight="1" x14ac:dyDescent="0.2">
      <c r="A1326" s="29">
        <v>44713</v>
      </c>
      <c r="B1326" s="19">
        <v>21615</v>
      </c>
      <c r="C1326" s="19">
        <v>23942.972679286093</v>
      </c>
      <c r="D1326" s="19">
        <v>0</v>
      </c>
      <c r="E1326" s="19">
        <v>0</v>
      </c>
      <c r="F1326" s="19">
        <v>0</v>
      </c>
      <c r="G1326" s="19">
        <v>0</v>
      </c>
      <c r="H1326" s="20">
        <v>0.10770172006875289</v>
      </c>
      <c r="I1326" s="20">
        <v>0</v>
      </c>
      <c r="J1326" s="20">
        <v>0.10770172006875289</v>
      </c>
    </row>
    <row r="1327" spans="1:10" ht="11.25" customHeight="1" x14ac:dyDescent="0.2">
      <c r="A1327" s="29">
        <v>44743</v>
      </c>
      <c r="B1327" s="19">
        <v>21615</v>
      </c>
      <c r="C1327" s="19">
        <v>23942.972679286093</v>
      </c>
      <c r="D1327" s="19">
        <v>0</v>
      </c>
      <c r="E1327" s="19">
        <v>0</v>
      </c>
      <c r="F1327" s="19">
        <v>0</v>
      </c>
      <c r="G1327" s="19">
        <v>0</v>
      </c>
      <c r="H1327" s="20">
        <v>0.10770172006875289</v>
      </c>
      <c r="I1327" s="20">
        <v>0</v>
      </c>
      <c r="J1327" s="20">
        <v>0.10770172006875289</v>
      </c>
    </row>
    <row r="1328" spans="1:10" ht="11.25" customHeight="1" x14ac:dyDescent="0.2">
      <c r="A1328" s="27" t="s">
        <v>85</v>
      </c>
      <c r="B1328" s="19">
        <v>23027.18</v>
      </c>
      <c r="C1328" s="19">
        <v>25507.246894332791</v>
      </c>
      <c r="D1328" s="19">
        <v>0</v>
      </c>
      <c r="E1328" s="19">
        <v>0</v>
      </c>
      <c r="F1328" s="19">
        <v>0</v>
      </c>
      <c r="G1328" s="19">
        <v>0</v>
      </c>
      <c r="H1328" s="20">
        <v>0.10770172006875312</v>
      </c>
      <c r="I1328" s="20">
        <v>0</v>
      </c>
      <c r="J1328" s="20">
        <v>0.10770172006875312</v>
      </c>
    </row>
    <row r="1329" spans="1:10" ht="11.25" customHeight="1" x14ac:dyDescent="0.2">
      <c r="A1329" s="28" t="s">
        <v>25</v>
      </c>
      <c r="B1329" s="19">
        <v>23027.18</v>
      </c>
      <c r="C1329" s="19">
        <v>25507.246894332791</v>
      </c>
      <c r="D1329" s="19">
        <v>0</v>
      </c>
      <c r="E1329" s="19">
        <v>0</v>
      </c>
      <c r="F1329" s="19">
        <v>0</v>
      </c>
      <c r="G1329" s="19">
        <v>0</v>
      </c>
      <c r="H1329" s="20">
        <v>0.10770172006875312</v>
      </c>
      <c r="I1329" s="20">
        <v>0</v>
      </c>
      <c r="J1329" s="20">
        <v>0.10770172006875312</v>
      </c>
    </row>
    <row r="1330" spans="1:10" ht="11.25" customHeight="1" x14ac:dyDescent="0.2">
      <c r="A1330" s="29">
        <v>44440</v>
      </c>
      <c r="B1330" s="19">
        <v>5014.68</v>
      </c>
      <c r="C1330" s="19">
        <v>5554.7696615943732</v>
      </c>
      <c r="D1330" s="19">
        <v>0</v>
      </c>
      <c r="E1330" s="19">
        <v>0</v>
      </c>
      <c r="F1330" s="19">
        <v>0</v>
      </c>
      <c r="G1330" s="19">
        <v>0</v>
      </c>
      <c r="H1330" s="20">
        <v>0.10770172006875267</v>
      </c>
      <c r="I1330" s="20">
        <v>0</v>
      </c>
      <c r="J1330" s="20">
        <v>0.10770172006875267</v>
      </c>
    </row>
    <row r="1331" spans="1:10" ht="11.25" customHeight="1" x14ac:dyDescent="0.2">
      <c r="A1331" s="29">
        <v>44470</v>
      </c>
      <c r="B1331" s="19">
        <v>1801.25</v>
      </c>
      <c r="C1331" s="19">
        <v>1995.2477232738411</v>
      </c>
      <c r="D1331" s="19">
        <v>0</v>
      </c>
      <c r="E1331" s="19">
        <v>0</v>
      </c>
      <c r="F1331" s="19">
        <v>0</v>
      </c>
      <c r="G1331" s="19">
        <v>0</v>
      </c>
      <c r="H1331" s="20">
        <v>0.10770172006875289</v>
      </c>
      <c r="I1331" s="20">
        <v>0</v>
      </c>
      <c r="J1331" s="20">
        <v>0.10770172006875289</v>
      </c>
    </row>
    <row r="1332" spans="1:10" ht="11.25" customHeight="1" x14ac:dyDescent="0.2">
      <c r="A1332" s="29">
        <v>44501</v>
      </c>
      <c r="B1332" s="19">
        <v>1801.25</v>
      </c>
      <c r="C1332" s="19">
        <v>1995.2477232738411</v>
      </c>
      <c r="D1332" s="19">
        <v>0</v>
      </c>
      <c r="E1332" s="19">
        <v>0</v>
      </c>
      <c r="F1332" s="19">
        <v>0</v>
      </c>
      <c r="G1332" s="19">
        <v>0</v>
      </c>
      <c r="H1332" s="20">
        <v>0.10770172006875289</v>
      </c>
      <c r="I1332" s="20">
        <v>0</v>
      </c>
      <c r="J1332" s="20">
        <v>0.10770172006875289</v>
      </c>
    </row>
    <row r="1333" spans="1:10" ht="11.25" customHeight="1" x14ac:dyDescent="0.2">
      <c r="A1333" s="29">
        <v>44531</v>
      </c>
      <c r="B1333" s="19">
        <v>1801.25</v>
      </c>
      <c r="C1333" s="19">
        <v>1995.2477232738411</v>
      </c>
      <c r="D1333" s="19">
        <v>0</v>
      </c>
      <c r="E1333" s="19">
        <v>0</v>
      </c>
      <c r="F1333" s="19">
        <v>0</v>
      </c>
      <c r="G1333" s="19">
        <v>0</v>
      </c>
      <c r="H1333" s="20">
        <v>0.10770172006875289</v>
      </c>
      <c r="I1333" s="20">
        <v>0</v>
      </c>
      <c r="J1333" s="20">
        <v>0.10770172006875289</v>
      </c>
    </row>
    <row r="1334" spans="1:10" ht="11.25" customHeight="1" x14ac:dyDescent="0.2">
      <c r="A1334" s="29">
        <v>44562</v>
      </c>
      <c r="B1334" s="19">
        <v>1801.25</v>
      </c>
      <c r="C1334" s="19">
        <v>1995.2477232738411</v>
      </c>
      <c r="D1334" s="19">
        <v>0</v>
      </c>
      <c r="E1334" s="19">
        <v>0</v>
      </c>
      <c r="F1334" s="19">
        <v>0</v>
      </c>
      <c r="G1334" s="19">
        <v>0</v>
      </c>
      <c r="H1334" s="20">
        <v>0.10770172006875289</v>
      </c>
      <c r="I1334" s="20">
        <v>0</v>
      </c>
      <c r="J1334" s="20">
        <v>0.10770172006875289</v>
      </c>
    </row>
    <row r="1335" spans="1:10" ht="11.25" customHeight="1" x14ac:dyDescent="0.2">
      <c r="A1335" s="29">
        <v>44593</v>
      </c>
      <c r="B1335" s="19">
        <v>1801.25</v>
      </c>
      <c r="C1335" s="19">
        <v>1995.2477232738411</v>
      </c>
      <c r="D1335" s="19">
        <v>0</v>
      </c>
      <c r="E1335" s="19">
        <v>0</v>
      </c>
      <c r="F1335" s="19">
        <v>0</v>
      </c>
      <c r="G1335" s="19">
        <v>0</v>
      </c>
      <c r="H1335" s="20">
        <v>0.10770172006875289</v>
      </c>
      <c r="I1335" s="20">
        <v>0</v>
      </c>
      <c r="J1335" s="20">
        <v>0.10770172006875289</v>
      </c>
    </row>
    <row r="1336" spans="1:10" ht="11.25" customHeight="1" x14ac:dyDescent="0.2">
      <c r="A1336" s="29">
        <v>44621</v>
      </c>
      <c r="B1336" s="19">
        <v>1801.25</v>
      </c>
      <c r="C1336" s="19">
        <v>1995.2477232738411</v>
      </c>
      <c r="D1336" s="19">
        <v>0</v>
      </c>
      <c r="E1336" s="19">
        <v>0</v>
      </c>
      <c r="F1336" s="19">
        <v>0</v>
      </c>
      <c r="G1336" s="19">
        <v>0</v>
      </c>
      <c r="H1336" s="20">
        <v>0.10770172006875289</v>
      </c>
      <c r="I1336" s="20">
        <v>0</v>
      </c>
      <c r="J1336" s="20">
        <v>0.10770172006875289</v>
      </c>
    </row>
    <row r="1337" spans="1:10" ht="11.25" customHeight="1" x14ac:dyDescent="0.2">
      <c r="A1337" s="29">
        <v>44652</v>
      </c>
      <c r="B1337" s="19">
        <v>1801.25</v>
      </c>
      <c r="C1337" s="19">
        <v>1995.2477232738411</v>
      </c>
      <c r="D1337" s="19">
        <v>0</v>
      </c>
      <c r="E1337" s="19">
        <v>0</v>
      </c>
      <c r="F1337" s="19">
        <v>0</v>
      </c>
      <c r="G1337" s="19">
        <v>0</v>
      </c>
      <c r="H1337" s="20">
        <v>0.10770172006875289</v>
      </c>
      <c r="I1337" s="20">
        <v>0</v>
      </c>
      <c r="J1337" s="20">
        <v>0.10770172006875289</v>
      </c>
    </row>
    <row r="1338" spans="1:10" ht="11.25" customHeight="1" x14ac:dyDescent="0.2">
      <c r="A1338" s="29">
        <v>44682</v>
      </c>
      <c r="B1338" s="19">
        <v>1801.25</v>
      </c>
      <c r="C1338" s="19">
        <v>1995.2477232738411</v>
      </c>
      <c r="D1338" s="19">
        <v>0</v>
      </c>
      <c r="E1338" s="19">
        <v>0</v>
      </c>
      <c r="F1338" s="19">
        <v>0</v>
      </c>
      <c r="G1338" s="19">
        <v>0</v>
      </c>
      <c r="H1338" s="20">
        <v>0.10770172006875289</v>
      </c>
      <c r="I1338" s="20">
        <v>0</v>
      </c>
      <c r="J1338" s="20">
        <v>0.10770172006875289</v>
      </c>
    </row>
    <row r="1339" spans="1:10" ht="11.25" customHeight="1" x14ac:dyDescent="0.2">
      <c r="A1339" s="29">
        <v>44713</v>
      </c>
      <c r="B1339" s="19">
        <v>1801.25</v>
      </c>
      <c r="C1339" s="19">
        <v>1995.2477232738411</v>
      </c>
      <c r="D1339" s="19">
        <v>0</v>
      </c>
      <c r="E1339" s="19">
        <v>0</v>
      </c>
      <c r="F1339" s="19">
        <v>0</v>
      </c>
      <c r="G1339" s="19">
        <v>0</v>
      </c>
      <c r="H1339" s="20">
        <v>0.10770172006875289</v>
      </c>
      <c r="I1339" s="20">
        <v>0</v>
      </c>
      <c r="J1339" s="20">
        <v>0.10770172006875289</v>
      </c>
    </row>
    <row r="1340" spans="1:10" ht="11.25" customHeight="1" x14ac:dyDescent="0.2">
      <c r="A1340" s="29">
        <v>44743</v>
      </c>
      <c r="B1340" s="19">
        <v>1801.25</v>
      </c>
      <c r="C1340" s="19">
        <v>1995.2477232738411</v>
      </c>
      <c r="D1340" s="19">
        <v>0</v>
      </c>
      <c r="E1340" s="19">
        <v>0</v>
      </c>
      <c r="F1340" s="19">
        <v>0</v>
      </c>
      <c r="G1340" s="19">
        <v>0</v>
      </c>
      <c r="H1340" s="20">
        <v>0.10770172006875289</v>
      </c>
      <c r="I1340" s="20">
        <v>0</v>
      </c>
      <c r="J1340" s="20">
        <v>0.10770172006875289</v>
      </c>
    </row>
    <row r="1341" spans="1:10" ht="11.25" customHeight="1" x14ac:dyDescent="0.2">
      <c r="A1341" s="27" t="s">
        <v>84</v>
      </c>
      <c r="B1341" s="19">
        <v>21571.77</v>
      </c>
      <c r="C1341" s="19">
        <v>23895.086733927528</v>
      </c>
      <c r="D1341" s="19">
        <v>0</v>
      </c>
      <c r="E1341" s="19">
        <v>0</v>
      </c>
      <c r="F1341" s="19">
        <v>0</v>
      </c>
      <c r="G1341" s="19">
        <v>0</v>
      </c>
      <c r="H1341" s="20">
        <v>0.10770172006875312</v>
      </c>
      <c r="I1341" s="20">
        <v>0</v>
      </c>
      <c r="J1341" s="20">
        <v>0.10770172006875312</v>
      </c>
    </row>
    <row r="1342" spans="1:10" ht="11.25" customHeight="1" x14ac:dyDescent="0.2">
      <c r="A1342" s="28" t="s">
        <v>25</v>
      </c>
      <c r="B1342" s="19">
        <v>21571.77</v>
      </c>
      <c r="C1342" s="19">
        <v>23895.086733927528</v>
      </c>
      <c r="D1342" s="19">
        <v>0</v>
      </c>
      <c r="E1342" s="19">
        <v>0</v>
      </c>
      <c r="F1342" s="19">
        <v>0</v>
      </c>
      <c r="G1342" s="19">
        <v>0</v>
      </c>
      <c r="H1342" s="20">
        <v>0.10770172006875312</v>
      </c>
      <c r="I1342" s="20">
        <v>0</v>
      </c>
      <c r="J1342" s="20">
        <v>0.10770172006875312</v>
      </c>
    </row>
    <row r="1343" spans="1:10" ht="11.25" customHeight="1" x14ac:dyDescent="0.2">
      <c r="A1343" s="29">
        <v>44440</v>
      </c>
      <c r="B1343" s="19">
        <v>3559.27</v>
      </c>
      <c r="C1343" s="19">
        <v>3942.6095011891102</v>
      </c>
      <c r="D1343" s="19">
        <v>0</v>
      </c>
      <c r="E1343" s="19">
        <v>0</v>
      </c>
      <c r="F1343" s="19">
        <v>0</v>
      </c>
      <c r="G1343" s="19">
        <v>0</v>
      </c>
      <c r="H1343" s="20">
        <v>0.10770172006875289</v>
      </c>
      <c r="I1343" s="20">
        <v>0</v>
      </c>
      <c r="J1343" s="20">
        <v>0.10770172006875289</v>
      </c>
    </row>
    <row r="1344" spans="1:10" ht="11.25" customHeight="1" x14ac:dyDescent="0.2">
      <c r="A1344" s="29">
        <v>44470</v>
      </c>
      <c r="B1344" s="19">
        <v>1801.25</v>
      </c>
      <c r="C1344" s="19">
        <v>1995.2477232738411</v>
      </c>
      <c r="D1344" s="19">
        <v>0</v>
      </c>
      <c r="E1344" s="19">
        <v>0</v>
      </c>
      <c r="F1344" s="19">
        <v>0</v>
      </c>
      <c r="G1344" s="19">
        <v>0</v>
      </c>
      <c r="H1344" s="20">
        <v>0.10770172006875289</v>
      </c>
      <c r="I1344" s="20">
        <v>0</v>
      </c>
      <c r="J1344" s="20">
        <v>0.10770172006875289</v>
      </c>
    </row>
    <row r="1345" spans="1:10" ht="11.25" customHeight="1" x14ac:dyDescent="0.2">
      <c r="A1345" s="29">
        <v>44501</v>
      </c>
      <c r="B1345" s="19">
        <v>1801.25</v>
      </c>
      <c r="C1345" s="19">
        <v>1995.2477232738411</v>
      </c>
      <c r="D1345" s="19">
        <v>0</v>
      </c>
      <c r="E1345" s="19">
        <v>0</v>
      </c>
      <c r="F1345" s="19">
        <v>0</v>
      </c>
      <c r="G1345" s="19">
        <v>0</v>
      </c>
      <c r="H1345" s="20">
        <v>0.10770172006875289</v>
      </c>
      <c r="I1345" s="20">
        <v>0</v>
      </c>
      <c r="J1345" s="20">
        <v>0.10770172006875289</v>
      </c>
    </row>
    <row r="1346" spans="1:10" ht="11.25" customHeight="1" x14ac:dyDescent="0.2">
      <c r="A1346" s="29">
        <v>44531</v>
      </c>
      <c r="B1346" s="19">
        <v>1801.25</v>
      </c>
      <c r="C1346" s="19">
        <v>1995.2477232738411</v>
      </c>
      <c r="D1346" s="19">
        <v>0</v>
      </c>
      <c r="E1346" s="19">
        <v>0</v>
      </c>
      <c r="F1346" s="19">
        <v>0</v>
      </c>
      <c r="G1346" s="19">
        <v>0</v>
      </c>
      <c r="H1346" s="20">
        <v>0.10770172006875289</v>
      </c>
      <c r="I1346" s="20">
        <v>0</v>
      </c>
      <c r="J1346" s="20">
        <v>0.10770172006875289</v>
      </c>
    </row>
    <row r="1347" spans="1:10" ht="11.25" customHeight="1" x14ac:dyDescent="0.2">
      <c r="A1347" s="29">
        <v>44562</v>
      </c>
      <c r="B1347" s="19">
        <v>1801.25</v>
      </c>
      <c r="C1347" s="19">
        <v>1995.2477232738411</v>
      </c>
      <c r="D1347" s="19">
        <v>0</v>
      </c>
      <c r="E1347" s="19">
        <v>0</v>
      </c>
      <c r="F1347" s="19">
        <v>0</v>
      </c>
      <c r="G1347" s="19">
        <v>0</v>
      </c>
      <c r="H1347" s="20">
        <v>0.10770172006875289</v>
      </c>
      <c r="I1347" s="20">
        <v>0</v>
      </c>
      <c r="J1347" s="20">
        <v>0.10770172006875289</v>
      </c>
    </row>
    <row r="1348" spans="1:10" ht="11.25" customHeight="1" x14ac:dyDescent="0.2">
      <c r="A1348" s="29">
        <v>44593</v>
      </c>
      <c r="B1348" s="19">
        <v>1801.25</v>
      </c>
      <c r="C1348" s="19">
        <v>1995.2477232738411</v>
      </c>
      <c r="D1348" s="19">
        <v>0</v>
      </c>
      <c r="E1348" s="19">
        <v>0</v>
      </c>
      <c r="F1348" s="19">
        <v>0</v>
      </c>
      <c r="G1348" s="19">
        <v>0</v>
      </c>
      <c r="H1348" s="20">
        <v>0.10770172006875289</v>
      </c>
      <c r="I1348" s="20">
        <v>0</v>
      </c>
      <c r="J1348" s="20">
        <v>0.10770172006875289</v>
      </c>
    </row>
    <row r="1349" spans="1:10" ht="11.25" customHeight="1" x14ac:dyDescent="0.2">
      <c r="A1349" s="29">
        <v>44621</v>
      </c>
      <c r="B1349" s="19">
        <v>1801.25</v>
      </c>
      <c r="C1349" s="19">
        <v>1995.2477232738411</v>
      </c>
      <c r="D1349" s="19">
        <v>0</v>
      </c>
      <c r="E1349" s="19">
        <v>0</v>
      </c>
      <c r="F1349" s="19">
        <v>0</v>
      </c>
      <c r="G1349" s="19">
        <v>0</v>
      </c>
      <c r="H1349" s="20">
        <v>0.10770172006875289</v>
      </c>
      <c r="I1349" s="20">
        <v>0</v>
      </c>
      <c r="J1349" s="20">
        <v>0.10770172006875289</v>
      </c>
    </row>
    <row r="1350" spans="1:10" ht="11.25" customHeight="1" x14ac:dyDescent="0.2">
      <c r="A1350" s="29">
        <v>44652</v>
      </c>
      <c r="B1350" s="19">
        <v>1801.25</v>
      </c>
      <c r="C1350" s="19">
        <v>1995.2477232738411</v>
      </c>
      <c r="D1350" s="19">
        <v>0</v>
      </c>
      <c r="E1350" s="19">
        <v>0</v>
      </c>
      <c r="F1350" s="19">
        <v>0</v>
      </c>
      <c r="G1350" s="19">
        <v>0</v>
      </c>
      <c r="H1350" s="20">
        <v>0.10770172006875289</v>
      </c>
      <c r="I1350" s="20">
        <v>0</v>
      </c>
      <c r="J1350" s="20">
        <v>0.10770172006875289</v>
      </c>
    </row>
    <row r="1351" spans="1:10" ht="11.25" customHeight="1" x14ac:dyDescent="0.2">
      <c r="A1351" s="29">
        <v>44682</v>
      </c>
      <c r="B1351" s="19">
        <v>1801.25</v>
      </c>
      <c r="C1351" s="19">
        <v>1995.2477232738411</v>
      </c>
      <c r="D1351" s="19">
        <v>0</v>
      </c>
      <c r="E1351" s="19">
        <v>0</v>
      </c>
      <c r="F1351" s="19">
        <v>0</v>
      </c>
      <c r="G1351" s="19">
        <v>0</v>
      </c>
      <c r="H1351" s="20">
        <v>0.10770172006875289</v>
      </c>
      <c r="I1351" s="20">
        <v>0</v>
      </c>
      <c r="J1351" s="20">
        <v>0.10770172006875289</v>
      </c>
    </row>
    <row r="1352" spans="1:10" ht="11.25" customHeight="1" x14ac:dyDescent="0.2">
      <c r="A1352" s="29">
        <v>44713</v>
      </c>
      <c r="B1352" s="19">
        <v>1801.25</v>
      </c>
      <c r="C1352" s="19">
        <v>1995.2477232738411</v>
      </c>
      <c r="D1352" s="19">
        <v>0</v>
      </c>
      <c r="E1352" s="19">
        <v>0</v>
      </c>
      <c r="F1352" s="19">
        <v>0</v>
      </c>
      <c r="G1352" s="19">
        <v>0</v>
      </c>
      <c r="H1352" s="20">
        <v>0.10770172006875289</v>
      </c>
      <c r="I1352" s="20">
        <v>0</v>
      </c>
      <c r="J1352" s="20">
        <v>0.10770172006875289</v>
      </c>
    </row>
    <row r="1353" spans="1:10" ht="11.25" customHeight="1" x14ac:dyDescent="0.2">
      <c r="A1353" s="29">
        <v>44743</v>
      </c>
      <c r="B1353" s="19">
        <v>1801.25</v>
      </c>
      <c r="C1353" s="19">
        <v>1995.2477232738411</v>
      </c>
      <c r="D1353" s="19">
        <v>0</v>
      </c>
      <c r="E1353" s="19">
        <v>0</v>
      </c>
      <c r="F1353" s="19">
        <v>0</v>
      </c>
      <c r="G1353" s="19">
        <v>0</v>
      </c>
      <c r="H1353" s="20">
        <v>0.10770172006875289</v>
      </c>
      <c r="I1353" s="20">
        <v>0</v>
      </c>
      <c r="J1353" s="20">
        <v>0.10770172006875289</v>
      </c>
    </row>
    <row r="1354" spans="1:10" ht="11.25" customHeight="1" x14ac:dyDescent="0.2">
      <c r="A1354" s="27" t="s">
        <v>74</v>
      </c>
      <c r="B1354" s="19">
        <v>259380</v>
      </c>
      <c r="C1354" s="19">
        <v>287315.67215143313</v>
      </c>
      <c r="D1354" s="19">
        <v>0</v>
      </c>
      <c r="E1354" s="19">
        <v>0</v>
      </c>
      <c r="F1354" s="19">
        <v>0</v>
      </c>
      <c r="G1354" s="19">
        <v>0</v>
      </c>
      <c r="H1354" s="20">
        <v>0.10770172006875289</v>
      </c>
      <c r="I1354" s="20">
        <v>0</v>
      </c>
      <c r="J1354" s="20">
        <v>0.10770172006875289</v>
      </c>
    </row>
    <row r="1355" spans="1:10" ht="11.25" customHeight="1" x14ac:dyDescent="0.2">
      <c r="A1355" s="28" t="s">
        <v>25</v>
      </c>
      <c r="B1355" s="19">
        <v>259380</v>
      </c>
      <c r="C1355" s="19">
        <v>287315.67215143313</v>
      </c>
      <c r="D1355" s="19">
        <v>0</v>
      </c>
      <c r="E1355" s="19">
        <v>0</v>
      </c>
      <c r="F1355" s="19">
        <v>0</v>
      </c>
      <c r="G1355" s="19">
        <v>0</v>
      </c>
      <c r="H1355" s="20">
        <v>0.10770172006875289</v>
      </c>
      <c r="I1355" s="20">
        <v>0</v>
      </c>
      <c r="J1355" s="20">
        <v>0.10770172006875289</v>
      </c>
    </row>
    <row r="1356" spans="1:10" ht="11.25" customHeight="1" x14ac:dyDescent="0.2">
      <c r="A1356" s="29">
        <v>44409</v>
      </c>
      <c r="B1356" s="19">
        <v>21615</v>
      </c>
      <c r="C1356" s="19">
        <v>23942.972679286093</v>
      </c>
      <c r="D1356" s="19">
        <v>0</v>
      </c>
      <c r="E1356" s="19">
        <v>0</v>
      </c>
      <c r="F1356" s="19">
        <v>0</v>
      </c>
      <c r="G1356" s="19">
        <v>0</v>
      </c>
      <c r="H1356" s="20">
        <v>0.10770172006875289</v>
      </c>
      <c r="I1356" s="20">
        <v>0</v>
      </c>
      <c r="J1356" s="20">
        <v>0.10770172006875289</v>
      </c>
    </row>
    <row r="1357" spans="1:10" ht="11.25" customHeight="1" x14ac:dyDescent="0.2">
      <c r="A1357" s="29">
        <v>44440</v>
      </c>
      <c r="B1357" s="19">
        <v>21615</v>
      </c>
      <c r="C1357" s="19">
        <v>23942.972679286093</v>
      </c>
      <c r="D1357" s="19">
        <v>0</v>
      </c>
      <c r="E1357" s="19">
        <v>0</v>
      </c>
      <c r="F1357" s="19">
        <v>0</v>
      </c>
      <c r="G1357" s="19">
        <v>0</v>
      </c>
      <c r="H1357" s="20">
        <v>0.10770172006875289</v>
      </c>
      <c r="I1357" s="20">
        <v>0</v>
      </c>
      <c r="J1357" s="20">
        <v>0.10770172006875289</v>
      </c>
    </row>
    <row r="1358" spans="1:10" ht="11.25" customHeight="1" x14ac:dyDescent="0.2">
      <c r="A1358" s="29">
        <v>44470</v>
      </c>
      <c r="B1358" s="19">
        <v>21615</v>
      </c>
      <c r="C1358" s="19">
        <v>23942.972679286093</v>
      </c>
      <c r="D1358" s="19">
        <v>0</v>
      </c>
      <c r="E1358" s="19">
        <v>0</v>
      </c>
      <c r="F1358" s="19">
        <v>0</v>
      </c>
      <c r="G1358" s="19">
        <v>0</v>
      </c>
      <c r="H1358" s="20">
        <v>0.10770172006875289</v>
      </c>
      <c r="I1358" s="20">
        <v>0</v>
      </c>
      <c r="J1358" s="20">
        <v>0.10770172006875289</v>
      </c>
    </row>
    <row r="1359" spans="1:10" ht="11.25" customHeight="1" x14ac:dyDescent="0.2">
      <c r="A1359" s="29">
        <v>44501</v>
      </c>
      <c r="B1359" s="19">
        <v>21615</v>
      </c>
      <c r="C1359" s="19">
        <v>23942.972679286093</v>
      </c>
      <c r="D1359" s="19">
        <v>0</v>
      </c>
      <c r="E1359" s="19">
        <v>0</v>
      </c>
      <c r="F1359" s="19">
        <v>0</v>
      </c>
      <c r="G1359" s="19">
        <v>0</v>
      </c>
      <c r="H1359" s="20">
        <v>0.10770172006875289</v>
      </c>
      <c r="I1359" s="20">
        <v>0</v>
      </c>
      <c r="J1359" s="20">
        <v>0.10770172006875289</v>
      </c>
    </row>
    <row r="1360" spans="1:10" ht="11.25" customHeight="1" x14ac:dyDescent="0.2">
      <c r="A1360" s="29">
        <v>44531</v>
      </c>
      <c r="B1360" s="19">
        <v>21615</v>
      </c>
      <c r="C1360" s="19">
        <v>23942.972679286093</v>
      </c>
      <c r="D1360" s="19">
        <v>0</v>
      </c>
      <c r="E1360" s="19">
        <v>0</v>
      </c>
      <c r="F1360" s="19">
        <v>0</v>
      </c>
      <c r="G1360" s="19">
        <v>0</v>
      </c>
      <c r="H1360" s="20">
        <v>0.10770172006875289</v>
      </c>
      <c r="I1360" s="20">
        <v>0</v>
      </c>
      <c r="J1360" s="20">
        <v>0.10770172006875289</v>
      </c>
    </row>
    <row r="1361" spans="1:10" ht="11.25" customHeight="1" x14ac:dyDescent="0.2">
      <c r="A1361" s="29">
        <v>44562</v>
      </c>
      <c r="B1361" s="19">
        <v>21615</v>
      </c>
      <c r="C1361" s="19">
        <v>23942.972679286093</v>
      </c>
      <c r="D1361" s="19">
        <v>0</v>
      </c>
      <c r="E1361" s="19">
        <v>0</v>
      </c>
      <c r="F1361" s="19">
        <v>0</v>
      </c>
      <c r="G1361" s="19">
        <v>0</v>
      </c>
      <c r="H1361" s="20">
        <v>0.10770172006875289</v>
      </c>
      <c r="I1361" s="20">
        <v>0</v>
      </c>
      <c r="J1361" s="20">
        <v>0.10770172006875289</v>
      </c>
    </row>
    <row r="1362" spans="1:10" ht="11.25" customHeight="1" x14ac:dyDescent="0.2">
      <c r="A1362" s="29">
        <v>44593</v>
      </c>
      <c r="B1362" s="19">
        <v>21615</v>
      </c>
      <c r="C1362" s="19">
        <v>23942.972679286093</v>
      </c>
      <c r="D1362" s="19">
        <v>0</v>
      </c>
      <c r="E1362" s="19">
        <v>0</v>
      </c>
      <c r="F1362" s="19">
        <v>0</v>
      </c>
      <c r="G1362" s="19">
        <v>0</v>
      </c>
      <c r="H1362" s="20">
        <v>0.10770172006875289</v>
      </c>
      <c r="I1362" s="20">
        <v>0</v>
      </c>
      <c r="J1362" s="20">
        <v>0.10770172006875289</v>
      </c>
    </row>
    <row r="1363" spans="1:10" ht="11.25" customHeight="1" x14ac:dyDescent="0.2">
      <c r="A1363" s="29">
        <v>44621</v>
      </c>
      <c r="B1363" s="19">
        <v>21615</v>
      </c>
      <c r="C1363" s="19">
        <v>23942.972679286093</v>
      </c>
      <c r="D1363" s="19">
        <v>0</v>
      </c>
      <c r="E1363" s="19">
        <v>0</v>
      </c>
      <c r="F1363" s="19">
        <v>0</v>
      </c>
      <c r="G1363" s="19">
        <v>0</v>
      </c>
      <c r="H1363" s="20">
        <v>0.10770172006875289</v>
      </c>
      <c r="I1363" s="20">
        <v>0</v>
      </c>
      <c r="J1363" s="20">
        <v>0.10770172006875289</v>
      </c>
    </row>
    <row r="1364" spans="1:10" ht="11.25" customHeight="1" x14ac:dyDescent="0.2">
      <c r="A1364" s="29">
        <v>44652</v>
      </c>
      <c r="B1364" s="19">
        <v>21615</v>
      </c>
      <c r="C1364" s="19">
        <v>23942.972679286093</v>
      </c>
      <c r="D1364" s="19">
        <v>0</v>
      </c>
      <c r="E1364" s="19">
        <v>0</v>
      </c>
      <c r="F1364" s="19">
        <v>0</v>
      </c>
      <c r="G1364" s="19">
        <v>0</v>
      </c>
      <c r="H1364" s="20">
        <v>0.10770172006875289</v>
      </c>
      <c r="I1364" s="20">
        <v>0</v>
      </c>
      <c r="J1364" s="20">
        <v>0.10770172006875289</v>
      </c>
    </row>
    <row r="1365" spans="1:10" ht="11.25" customHeight="1" x14ac:dyDescent="0.2">
      <c r="A1365" s="29">
        <v>44682</v>
      </c>
      <c r="B1365" s="19">
        <v>21615</v>
      </c>
      <c r="C1365" s="19">
        <v>23942.972679286093</v>
      </c>
      <c r="D1365" s="19">
        <v>0</v>
      </c>
      <c r="E1365" s="19">
        <v>0</v>
      </c>
      <c r="F1365" s="19">
        <v>0</v>
      </c>
      <c r="G1365" s="19">
        <v>0</v>
      </c>
      <c r="H1365" s="20">
        <v>0.10770172006875289</v>
      </c>
      <c r="I1365" s="20">
        <v>0</v>
      </c>
      <c r="J1365" s="20">
        <v>0.10770172006875289</v>
      </c>
    </row>
    <row r="1366" spans="1:10" ht="11.25" customHeight="1" x14ac:dyDescent="0.2">
      <c r="A1366" s="29">
        <v>44713</v>
      </c>
      <c r="B1366" s="19">
        <v>21615</v>
      </c>
      <c r="C1366" s="19">
        <v>23942.972679286093</v>
      </c>
      <c r="D1366" s="19">
        <v>0</v>
      </c>
      <c r="E1366" s="19">
        <v>0</v>
      </c>
      <c r="F1366" s="19">
        <v>0</v>
      </c>
      <c r="G1366" s="19">
        <v>0</v>
      </c>
      <c r="H1366" s="20">
        <v>0.10770172006875289</v>
      </c>
      <c r="I1366" s="20">
        <v>0</v>
      </c>
      <c r="J1366" s="20">
        <v>0.10770172006875289</v>
      </c>
    </row>
    <row r="1367" spans="1:10" ht="11.25" customHeight="1" x14ac:dyDescent="0.2">
      <c r="A1367" s="29">
        <v>44743</v>
      </c>
      <c r="B1367" s="19">
        <v>21615</v>
      </c>
      <c r="C1367" s="19">
        <v>23942.972679286093</v>
      </c>
      <c r="D1367" s="19">
        <v>0</v>
      </c>
      <c r="E1367" s="19">
        <v>0</v>
      </c>
      <c r="F1367" s="19">
        <v>0</v>
      </c>
      <c r="G1367" s="19">
        <v>0</v>
      </c>
      <c r="H1367" s="20">
        <v>0.10770172006875289</v>
      </c>
      <c r="I1367" s="20">
        <v>0</v>
      </c>
      <c r="J1367" s="20">
        <v>0.10770172006875289</v>
      </c>
    </row>
    <row r="1368" spans="1:10" ht="11.25" customHeight="1" x14ac:dyDescent="0.2">
      <c r="A1368" s="27" t="s">
        <v>72</v>
      </c>
      <c r="B1368" s="19">
        <v>389070</v>
      </c>
      <c r="C1368" s="19">
        <v>430973.50822714978</v>
      </c>
      <c r="D1368" s="19">
        <v>0</v>
      </c>
      <c r="E1368" s="19">
        <v>0</v>
      </c>
      <c r="F1368" s="19">
        <v>0</v>
      </c>
      <c r="G1368" s="19">
        <v>0</v>
      </c>
      <c r="H1368" s="20">
        <v>0.10770172006875312</v>
      </c>
      <c r="I1368" s="20">
        <v>0</v>
      </c>
      <c r="J1368" s="20">
        <v>0.10770172006875312</v>
      </c>
    </row>
    <row r="1369" spans="1:10" ht="11.25" customHeight="1" x14ac:dyDescent="0.2">
      <c r="A1369" s="28" t="s">
        <v>25</v>
      </c>
      <c r="B1369" s="19">
        <v>389070</v>
      </c>
      <c r="C1369" s="19">
        <v>430973.50822714978</v>
      </c>
      <c r="D1369" s="19">
        <v>0</v>
      </c>
      <c r="E1369" s="19">
        <v>0</v>
      </c>
      <c r="F1369" s="19">
        <v>0</v>
      </c>
      <c r="G1369" s="19">
        <v>0</v>
      </c>
      <c r="H1369" s="20">
        <v>0.10770172006875312</v>
      </c>
      <c r="I1369" s="20">
        <v>0</v>
      </c>
      <c r="J1369" s="20">
        <v>0.10770172006875312</v>
      </c>
    </row>
    <row r="1370" spans="1:10" ht="11.25" customHeight="1" x14ac:dyDescent="0.2">
      <c r="A1370" s="29">
        <v>44409</v>
      </c>
      <c r="B1370" s="19">
        <v>32422.5</v>
      </c>
      <c r="C1370" s="19">
        <v>35914.459018929141</v>
      </c>
      <c r="D1370" s="19">
        <v>0</v>
      </c>
      <c r="E1370" s="19">
        <v>0</v>
      </c>
      <c r="F1370" s="19">
        <v>0</v>
      </c>
      <c r="G1370" s="19">
        <v>0</v>
      </c>
      <c r="H1370" s="20">
        <v>0.10770172006875289</v>
      </c>
      <c r="I1370" s="20">
        <v>0</v>
      </c>
      <c r="J1370" s="20">
        <v>0.10770172006875289</v>
      </c>
    </row>
    <row r="1371" spans="1:10" ht="11.25" customHeight="1" x14ac:dyDescent="0.2">
      <c r="A1371" s="29">
        <v>44440</v>
      </c>
      <c r="B1371" s="19">
        <v>32422.5</v>
      </c>
      <c r="C1371" s="19">
        <v>35914.459018929141</v>
      </c>
      <c r="D1371" s="19">
        <v>0</v>
      </c>
      <c r="E1371" s="19">
        <v>0</v>
      </c>
      <c r="F1371" s="19">
        <v>0</v>
      </c>
      <c r="G1371" s="19">
        <v>0</v>
      </c>
      <c r="H1371" s="20">
        <v>0.10770172006875289</v>
      </c>
      <c r="I1371" s="20">
        <v>0</v>
      </c>
      <c r="J1371" s="20">
        <v>0.10770172006875289</v>
      </c>
    </row>
    <row r="1372" spans="1:10" ht="11.25" customHeight="1" x14ac:dyDescent="0.2">
      <c r="A1372" s="29">
        <v>44470</v>
      </c>
      <c r="B1372" s="19">
        <v>32422.5</v>
      </c>
      <c r="C1372" s="19">
        <v>35914.459018929141</v>
      </c>
      <c r="D1372" s="19">
        <v>0</v>
      </c>
      <c r="E1372" s="19">
        <v>0</v>
      </c>
      <c r="F1372" s="19">
        <v>0</v>
      </c>
      <c r="G1372" s="19">
        <v>0</v>
      </c>
      <c r="H1372" s="20">
        <v>0.10770172006875289</v>
      </c>
      <c r="I1372" s="20">
        <v>0</v>
      </c>
      <c r="J1372" s="20">
        <v>0.10770172006875289</v>
      </c>
    </row>
    <row r="1373" spans="1:10" ht="11.25" customHeight="1" x14ac:dyDescent="0.2">
      <c r="A1373" s="29">
        <v>44501</v>
      </c>
      <c r="B1373" s="19">
        <v>32422.5</v>
      </c>
      <c r="C1373" s="19">
        <v>35914.459018929141</v>
      </c>
      <c r="D1373" s="19">
        <v>0</v>
      </c>
      <c r="E1373" s="19">
        <v>0</v>
      </c>
      <c r="F1373" s="19">
        <v>0</v>
      </c>
      <c r="G1373" s="19">
        <v>0</v>
      </c>
      <c r="H1373" s="20">
        <v>0.10770172006875289</v>
      </c>
      <c r="I1373" s="20">
        <v>0</v>
      </c>
      <c r="J1373" s="20">
        <v>0.10770172006875289</v>
      </c>
    </row>
    <row r="1374" spans="1:10" ht="11.25" customHeight="1" x14ac:dyDescent="0.2">
      <c r="A1374" s="29">
        <v>44531</v>
      </c>
      <c r="B1374" s="19">
        <v>32422.5</v>
      </c>
      <c r="C1374" s="19">
        <v>35914.459018929141</v>
      </c>
      <c r="D1374" s="19">
        <v>0</v>
      </c>
      <c r="E1374" s="19">
        <v>0</v>
      </c>
      <c r="F1374" s="19">
        <v>0</v>
      </c>
      <c r="G1374" s="19">
        <v>0</v>
      </c>
      <c r="H1374" s="20">
        <v>0.10770172006875289</v>
      </c>
      <c r="I1374" s="20">
        <v>0</v>
      </c>
      <c r="J1374" s="20">
        <v>0.10770172006875289</v>
      </c>
    </row>
    <row r="1375" spans="1:10" ht="11.25" customHeight="1" x14ac:dyDescent="0.2">
      <c r="A1375" s="29">
        <v>44562</v>
      </c>
      <c r="B1375" s="19">
        <v>32422.5</v>
      </c>
      <c r="C1375" s="19">
        <v>35914.459018929141</v>
      </c>
      <c r="D1375" s="19">
        <v>0</v>
      </c>
      <c r="E1375" s="19">
        <v>0</v>
      </c>
      <c r="F1375" s="19">
        <v>0</v>
      </c>
      <c r="G1375" s="19">
        <v>0</v>
      </c>
      <c r="H1375" s="20">
        <v>0.10770172006875289</v>
      </c>
      <c r="I1375" s="20">
        <v>0</v>
      </c>
      <c r="J1375" s="20">
        <v>0.10770172006875289</v>
      </c>
    </row>
    <row r="1376" spans="1:10" ht="11.25" customHeight="1" x14ac:dyDescent="0.2">
      <c r="A1376" s="29">
        <v>44593</v>
      </c>
      <c r="B1376" s="19">
        <v>32422.5</v>
      </c>
      <c r="C1376" s="19">
        <v>35914.459018929141</v>
      </c>
      <c r="D1376" s="19">
        <v>0</v>
      </c>
      <c r="E1376" s="19">
        <v>0</v>
      </c>
      <c r="F1376" s="19">
        <v>0</v>
      </c>
      <c r="G1376" s="19">
        <v>0</v>
      </c>
      <c r="H1376" s="20">
        <v>0.10770172006875289</v>
      </c>
      <c r="I1376" s="20">
        <v>0</v>
      </c>
      <c r="J1376" s="20">
        <v>0.10770172006875289</v>
      </c>
    </row>
    <row r="1377" spans="1:10" ht="11.25" customHeight="1" x14ac:dyDescent="0.2">
      <c r="A1377" s="29">
        <v>44621</v>
      </c>
      <c r="B1377" s="19">
        <v>32422.5</v>
      </c>
      <c r="C1377" s="19">
        <v>35914.459018929141</v>
      </c>
      <c r="D1377" s="19">
        <v>0</v>
      </c>
      <c r="E1377" s="19">
        <v>0</v>
      </c>
      <c r="F1377" s="19">
        <v>0</v>
      </c>
      <c r="G1377" s="19">
        <v>0</v>
      </c>
      <c r="H1377" s="20">
        <v>0.10770172006875289</v>
      </c>
      <c r="I1377" s="20">
        <v>0</v>
      </c>
      <c r="J1377" s="20">
        <v>0.10770172006875289</v>
      </c>
    </row>
    <row r="1378" spans="1:10" ht="11.25" customHeight="1" x14ac:dyDescent="0.2">
      <c r="A1378" s="29">
        <v>44652</v>
      </c>
      <c r="B1378" s="19">
        <v>32422.5</v>
      </c>
      <c r="C1378" s="19">
        <v>35914.459018929141</v>
      </c>
      <c r="D1378" s="19">
        <v>0</v>
      </c>
      <c r="E1378" s="19">
        <v>0</v>
      </c>
      <c r="F1378" s="19">
        <v>0</v>
      </c>
      <c r="G1378" s="19">
        <v>0</v>
      </c>
      <c r="H1378" s="20">
        <v>0.10770172006875289</v>
      </c>
      <c r="I1378" s="20">
        <v>0</v>
      </c>
      <c r="J1378" s="20">
        <v>0.10770172006875289</v>
      </c>
    </row>
    <row r="1379" spans="1:10" ht="11.25" customHeight="1" x14ac:dyDescent="0.2">
      <c r="A1379" s="29">
        <v>44682</v>
      </c>
      <c r="B1379" s="19">
        <v>32422.5</v>
      </c>
      <c r="C1379" s="19">
        <v>35914.459018929141</v>
      </c>
      <c r="D1379" s="19">
        <v>0</v>
      </c>
      <c r="E1379" s="19">
        <v>0</v>
      </c>
      <c r="F1379" s="19">
        <v>0</v>
      </c>
      <c r="G1379" s="19">
        <v>0</v>
      </c>
      <c r="H1379" s="20">
        <v>0.10770172006875289</v>
      </c>
      <c r="I1379" s="20">
        <v>0</v>
      </c>
      <c r="J1379" s="20">
        <v>0.10770172006875289</v>
      </c>
    </row>
    <row r="1380" spans="1:10" ht="11.25" customHeight="1" x14ac:dyDescent="0.2">
      <c r="A1380" s="29">
        <v>44713</v>
      </c>
      <c r="B1380" s="19">
        <v>32422.5</v>
      </c>
      <c r="C1380" s="19">
        <v>35914.459018929141</v>
      </c>
      <c r="D1380" s="19">
        <v>0</v>
      </c>
      <c r="E1380" s="19">
        <v>0</v>
      </c>
      <c r="F1380" s="19">
        <v>0</v>
      </c>
      <c r="G1380" s="19">
        <v>0</v>
      </c>
      <c r="H1380" s="20">
        <v>0.10770172006875289</v>
      </c>
      <c r="I1380" s="20">
        <v>0</v>
      </c>
      <c r="J1380" s="20">
        <v>0.10770172006875289</v>
      </c>
    </row>
    <row r="1381" spans="1:10" ht="11.25" customHeight="1" x14ac:dyDescent="0.2">
      <c r="A1381" s="29">
        <v>44743</v>
      </c>
      <c r="B1381" s="19">
        <v>32422.5</v>
      </c>
      <c r="C1381" s="19">
        <v>35914.459018929141</v>
      </c>
      <c r="D1381" s="19">
        <v>0</v>
      </c>
      <c r="E1381" s="19">
        <v>0</v>
      </c>
      <c r="F1381" s="19">
        <v>0</v>
      </c>
      <c r="G1381" s="19">
        <v>0</v>
      </c>
      <c r="H1381" s="20">
        <v>0.10770172006875289</v>
      </c>
      <c r="I1381" s="20">
        <v>0</v>
      </c>
      <c r="J1381" s="20">
        <v>0.10770172006875289</v>
      </c>
    </row>
    <row r="1382" spans="1:10" ht="11.25" customHeight="1" x14ac:dyDescent="0.2">
      <c r="A1382" s="21" t="s">
        <v>58</v>
      </c>
      <c r="B1382" s="19">
        <v>47134348.665099986</v>
      </c>
      <c r="C1382" s="19">
        <v>51485618.022995085</v>
      </c>
      <c r="D1382" s="19">
        <v>43223254.871163391</v>
      </c>
      <c r="E1382" s="19">
        <v>54909777.900363848</v>
      </c>
      <c r="F1382" s="19">
        <v>0</v>
      </c>
      <c r="G1382" s="19">
        <v>0</v>
      </c>
      <c r="H1382" s="20">
        <v>0.1774924495497392</v>
      </c>
      <c r="I1382" s="20">
        <v>0</v>
      </c>
      <c r="J1382" s="20">
        <v>0.1774924495497392</v>
      </c>
    </row>
    <row r="1383" spans="1:10" ht="11.25" customHeight="1" x14ac:dyDescent="0.2">
      <c r="A1383" s="22" t="s">
        <v>39</v>
      </c>
      <c r="B1383" s="19">
        <v>31947623.5108</v>
      </c>
      <c r="C1383" s="19">
        <v>34754379.581043296</v>
      </c>
      <c r="D1383" s="19">
        <v>23100908.036600001</v>
      </c>
      <c r="E1383" s="19">
        <v>31160831.308461506</v>
      </c>
      <c r="F1383" s="19">
        <v>0</v>
      </c>
      <c r="G1383" s="19">
        <v>0</v>
      </c>
      <c r="H1383" s="20">
        <v>0.19740180231234628</v>
      </c>
      <c r="I1383" s="20">
        <v>0</v>
      </c>
      <c r="J1383" s="20">
        <v>0.19740180231234628</v>
      </c>
    </row>
    <row r="1384" spans="1:10" ht="11.25" customHeight="1" x14ac:dyDescent="0.2">
      <c r="A1384" s="23" t="s">
        <v>40</v>
      </c>
      <c r="B1384" s="19">
        <v>31947623.5108</v>
      </c>
      <c r="C1384" s="19">
        <v>34754379.581043296</v>
      </c>
      <c r="D1384" s="19">
        <v>23100908.036600001</v>
      </c>
      <c r="E1384" s="19">
        <v>31160831.308461506</v>
      </c>
      <c r="F1384" s="19">
        <v>0</v>
      </c>
      <c r="G1384" s="19">
        <v>0</v>
      </c>
      <c r="H1384" s="20">
        <v>0.19740180231234628</v>
      </c>
      <c r="I1384" s="20">
        <v>0</v>
      </c>
      <c r="J1384" s="20">
        <v>0.19740180231234628</v>
      </c>
    </row>
    <row r="1385" spans="1:10" ht="11.25" customHeight="1" x14ac:dyDescent="0.2">
      <c r="A1385" s="24" t="s">
        <v>43</v>
      </c>
      <c r="B1385" s="19">
        <v>2678869.84</v>
      </c>
      <c r="C1385" s="19">
        <v>2914319.6250329921</v>
      </c>
      <c r="D1385" s="19">
        <v>1485324.69875</v>
      </c>
      <c r="E1385" s="19">
        <v>2003555.5443409423</v>
      </c>
      <c r="F1385" s="19">
        <v>0</v>
      </c>
      <c r="G1385" s="19">
        <v>0</v>
      </c>
      <c r="H1385" s="20">
        <v>0.18099073508947372</v>
      </c>
      <c r="I1385" s="20">
        <v>0</v>
      </c>
      <c r="J1385" s="20">
        <v>0.18099073508947372</v>
      </c>
    </row>
    <row r="1386" spans="1:10" ht="11.25" customHeight="1" x14ac:dyDescent="0.2">
      <c r="A1386" s="25" t="s">
        <v>25</v>
      </c>
      <c r="B1386" s="19">
        <v>2678869.84</v>
      </c>
      <c r="C1386" s="19">
        <v>2914319.6250329921</v>
      </c>
      <c r="D1386" s="19">
        <v>1485324.69875</v>
      </c>
      <c r="E1386" s="19">
        <v>2003555.5443409423</v>
      </c>
      <c r="F1386" s="19">
        <v>0</v>
      </c>
      <c r="G1386" s="19">
        <v>0</v>
      </c>
      <c r="H1386" s="20">
        <v>0.18099073508947372</v>
      </c>
      <c r="I1386" s="20">
        <v>0</v>
      </c>
      <c r="J1386" s="20">
        <v>0.18099073508947372</v>
      </c>
    </row>
    <row r="1387" spans="1:10" ht="11.25" customHeight="1" x14ac:dyDescent="0.2">
      <c r="A1387" s="26" t="s">
        <v>25</v>
      </c>
      <c r="B1387" s="19">
        <v>2678869.84</v>
      </c>
      <c r="C1387" s="19">
        <v>2914319.6250329921</v>
      </c>
      <c r="D1387" s="19">
        <v>1485324.69875</v>
      </c>
      <c r="E1387" s="19">
        <v>2003555.5443409423</v>
      </c>
      <c r="F1387" s="19">
        <v>0</v>
      </c>
      <c r="G1387" s="19">
        <v>0</v>
      </c>
      <c r="H1387" s="20">
        <v>0.18099073508947372</v>
      </c>
      <c r="I1387" s="20">
        <v>0</v>
      </c>
      <c r="J1387" s="20">
        <v>0.18099073508947372</v>
      </c>
    </row>
    <row r="1388" spans="1:10" ht="11.25" customHeight="1" x14ac:dyDescent="0.2">
      <c r="A1388" s="27" t="s">
        <v>25</v>
      </c>
      <c r="B1388" s="19">
        <v>2678869.84</v>
      </c>
      <c r="C1388" s="19">
        <v>2914319.6250329921</v>
      </c>
      <c r="D1388" s="19">
        <v>1485324.69875</v>
      </c>
      <c r="E1388" s="19">
        <v>2003555.5443409423</v>
      </c>
      <c r="F1388" s="19">
        <v>0</v>
      </c>
      <c r="G1388" s="19">
        <v>0</v>
      </c>
      <c r="H1388" s="20">
        <v>0.18099073508947372</v>
      </c>
      <c r="I1388" s="20">
        <v>0</v>
      </c>
      <c r="J1388" s="20">
        <v>0.18099073508947372</v>
      </c>
    </row>
    <row r="1389" spans="1:10" ht="11.25" customHeight="1" x14ac:dyDescent="0.2">
      <c r="A1389" s="28" t="s">
        <v>35</v>
      </c>
      <c r="B1389" s="19">
        <v>990198.16</v>
      </c>
      <c r="C1389" s="19">
        <v>1074794.9529364316</v>
      </c>
      <c r="D1389" s="19">
        <v>0</v>
      </c>
      <c r="E1389" s="19">
        <v>0</v>
      </c>
      <c r="F1389" s="19">
        <v>0</v>
      </c>
      <c r="G1389" s="19">
        <v>0</v>
      </c>
      <c r="H1389" s="20">
        <v>8.5434205347777681E-2</v>
      </c>
      <c r="I1389" s="20">
        <v>0</v>
      </c>
      <c r="J1389" s="20">
        <v>8.5434205347777681E-2</v>
      </c>
    </row>
    <row r="1390" spans="1:10" ht="11.25" customHeight="1" x14ac:dyDescent="0.2">
      <c r="A1390" s="29">
        <v>44409</v>
      </c>
      <c r="B1390" s="19">
        <v>87126</v>
      </c>
      <c r="C1390" s="19">
        <v>94569.540575130479</v>
      </c>
      <c r="D1390" s="19">
        <v>0</v>
      </c>
      <c r="E1390" s="19">
        <v>0</v>
      </c>
      <c r="F1390" s="19">
        <v>0</v>
      </c>
      <c r="G1390" s="19">
        <v>0</v>
      </c>
      <c r="H1390" s="20">
        <v>8.5434205347777681E-2</v>
      </c>
      <c r="I1390" s="20">
        <v>0</v>
      </c>
      <c r="J1390" s="20">
        <v>8.5434205347777681E-2</v>
      </c>
    </row>
    <row r="1391" spans="1:10" ht="11.25" customHeight="1" x14ac:dyDescent="0.2">
      <c r="A1391" s="29">
        <v>44440</v>
      </c>
      <c r="B1391" s="19">
        <v>81541</v>
      </c>
      <c r="C1391" s="19">
        <v>88507.390538263135</v>
      </c>
      <c r="D1391" s="19">
        <v>0</v>
      </c>
      <c r="E1391" s="19">
        <v>0</v>
      </c>
      <c r="F1391" s="19">
        <v>0</v>
      </c>
      <c r="G1391" s="19">
        <v>0</v>
      </c>
      <c r="H1391" s="20">
        <v>8.5434205347777681E-2</v>
      </c>
      <c r="I1391" s="20">
        <v>0</v>
      </c>
      <c r="J1391" s="20">
        <v>8.5434205347777681E-2</v>
      </c>
    </row>
    <row r="1392" spans="1:10" ht="11.25" customHeight="1" x14ac:dyDescent="0.2">
      <c r="A1392" s="29">
        <v>44470</v>
      </c>
      <c r="B1392" s="19">
        <v>81541</v>
      </c>
      <c r="C1392" s="19">
        <v>88507.390538263135</v>
      </c>
      <c r="D1392" s="19">
        <v>0</v>
      </c>
      <c r="E1392" s="19">
        <v>0</v>
      </c>
      <c r="F1392" s="19">
        <v>0</v>
      </c>
      <c r="G1392" s="19">
        <v>0</v>
      </c>
      <c r="H1392" s="20">
        <v>8.5434205347777681E-2</v>
      </c>
      <c r="I1392" s="20">
        <v>0</v>
      </c>
      <c r="J1392" s="20">
        <v>8.5434205347777681E-2</v>
      </c>
    </row>
    <row r="1393" spans="1:10" ht="11.25" customHeight="1" x14ac:dyDescent="0.2">
      <c r="A1393" s="29">
        <v>44501</v>
      </c>
      <c r="B1393" s="19">
        <v>81541</v>
      </c>
      <c r="C1393" s="19">
        <v>88507.390538263135</v>
      </c>
      <c r="D1393" s="19">
        <v>0</v>
      </c>
      <c r="E1393" s="19">
        <v>0</v>
      </c>
      <c r="F1393" s="19">
        <v>0</v>
      </c>
      <c r="G1393" s="19">
        <v>0</v>
      </c>
      <c r="H1393" s="20">
        <v>8.5434205347777681E-2</v>
      </c>
      <c r="I1393" s="20">
        <v>0</v>
      </c>
      <c r="J1393" s="20">
        <v>8.5434205347777681E-2</v>
      </c>
    </row>
    <row r="1394" spans="1:10" ht="11.25" customHeight="1" x14ac:dyDescent="0.2">
      <c r="A1394" s="29">
        <v>44531</v>
      </c>
      <c r="B1394" s="19">
        <v>84255.31</v>
      </c>
      <c r="C1394" s="19">
        <v>91453.595456180672</v>
      </c>
      <c r="D1394" s="19">
        <v>0</v>
      </c>
      <c r="E1394" s="19">
        <v>0</v>
      </c>
      <c r="F1394" s="19">
        <v>0</v>
      </c>
      <c r="G1394" s="19">
        <v>0</v>
      </c>
      <c r="H1394" s="20">
        <v>8.5434205347777681E-2</v>
      </c>
      <c r="I1394" s="20">
        <v>0</v>
      </c>
      <c r="J1394" s="20">
        <v>8.5434205347777681E-2</v>
      </c>
    </row>
    <row r="1395" spans="1:10" ht="11.25" customHeight="1" x14ac:dyDescent="0.2">
      <c r="A1395" s="29">
        <v>44562</v>
      </c>
      <c r="B1395" s="19">
        <v>82847.89</v>
      </c>
      <c r="C1395" s="19">
        <v>89925.933646890102</v>
      </c>
      <c r="D1395" s="19">
        <v>0</v>
      </c>
      <c r="E1395" s="19">
        <v>0</v>
      </c>
      <c r="F1395" s="19">
        <v>0</v>
      </c>
      <c r="G1395" s="19">
        <v>0</v>
      </c>
      <c r="H1395" s="20">
        <v>8.5434205347777681E-2</v>
      </c>
      <c r="I1395" s="20">
        <v>0</v>
      </c>
      <c r="J1395" s="20">
        <v>8.5434205347777681E-2</v>
      </c>
    </row>
    <row r="1396" spans="1:10" ht="11.25" customHeight="1" x14ac:dyDescent="0.2">
      <c r="A1396" s="29">
        <v>44593</v>
      </c>
      <c r="B1396" s="19">
        <v>81630.36</v>
      </c>
      <c r="C1396" s="19">
        <v>88604.384938853022</v>
      </c>
      <c r="D1396" s="19">
        <v>0</v>
      </c>
      <c r="E1396" s="19">
        <v>0</v>
      </c>
      <c r="F1396" s="19">
        <v>0</v>
      </c>
      <c r="G1396" s="19">
        <v>0</v>
      </c>
      <c r="H1396" s="20">
        <v>8.5434205347777681E-2</v>
      </c>
      <c r="I1396" s="20">
        <v>0</v>
      </c>
      <c r="J1396" s="20">
        <v>8.5434205347777681E-2</v>
      </c>
    </row>
    <row r="1397" spans="1:10" ht="11.25" customHeight="1" x14ac:dyDescent="0.2">
      <c r="A1397" s="29">
        <v>44621</v>
      </c>
      <c r="B1397" s="19">
        <v>81541</v>
      </c>
      <c r="C1397" s="19">
        <v>88507.390538263135</v>
      </c>
      <c r="D1397" s="19">
        <v>0</v>
      </c>
      <c r="E1397" s="19">
        <v>0</v>
      </c>
      <c r="F1397" s="19">
        <v>0</v>
      </c>
      <c r="G1397" s="19">
        <v>0</v>
      </c>
      <c r="H1397" s="20">
        <v>8.5434205347777681E-2</v>
      </c>
      <c r="I1397" s="20">
        <v>0</v>
      </c>
      <c r="J1397" s="20">
        <v>8.5434205347777681E-2</v>
      </c>
    </row>
    <row r="1398" spans="1:10" ht="11.25" customHeight="1" x14ac:dyDescent="0.2">
      <c r="A1398" s="29">
        <v>44652</v>
      </c>
      <c r="B1398" s="19">
        <v>81541</v>
      </c>
      <c r="C1398" s="19">
        <v>88507.390538263135</v>
      </c>
      <c r="D1398" s="19">
        <v>0</v>
      </c>
      <c r="E1398" s="19">
        <v>0</v>
      </c>
      <c r="F1398" s="19">
        <v>0</v>
      </c>
      <c r="G1398" s="19">
        <v>0</v>
      </c>
      <c r="H1398" s="20">
        <v>8.5434205347777681E-2</v>
      </c>
      <c r="I1398" s="20">
        <v>0</v>
      </c>
      <c r="J1398" s="20">
        <v>8.5434205347777681E-2</v>
      </c>
    </row>
    <row r="1399" spans="1:10" ht="11.25" customHeight="1" x14ac:dyDescent="0.2">
      <c r="A1399" s="29">
        <v>44682</v>
      </c>
      <c r="B1399" s="19">
        <v>83551.600000000006</v>
      </c>
      <c r="C1399" s="19">
        <v>90689.76455153538</v>
      </c>
      <c r="D1399" s="19">
        <v>0</v>
      </c>
      <c r="E1399" s="19">
        <v>0</v>
      </c>
      <c r="F1399" s="19">
        <v>0</v>
      </c>
      <c r="G1399" s="19">
        <v>0</v>
      </c>
      <c r="H1399" s="20">
        <v>8.5434205347777681E-2</v>
      </c>
      <c r="I1399" s="20">
        <v>0</v>
      </c>
      <c r="J1399" s="20">
        <v>8.5434205347777681E-2</v>
      </c>
    </row>
    <row r="1400" spans="1:10" ht="11.25" customHeight="1" x14ac:dyDescent="0.2">
      <c r="A1400" s="29">
        <v>44713</v>
      </c>
      <c r="B1400" s="19">
        <v>81541</v>
      </c>
      <c r="C1400" s="19">
        <v>88507.390538263135</v>
      </c>
      <c r="D1400" s="19">
        <v>0</v>
      </c>
      <c r="E1400" s="19">
        <v>0</v>
      </c>
      <c r="F1400" s="19">
        <v>0</v>
      </c>
      <c r="G1400" s="19">
        <v>0</v>
      </c>
      <c r="H1400" s="20">
        <v>8.5434205347777681E-2</v>
      </c>
      <c r="I1400" s="20">
        <v>0</v>
      </c>
      <c r="J1400" s="20">
        <v>8.5434205347777681E-2</v>
      </c>
    </row>
    <row r="1401" spans="1:10" ht="11.25" customHeight="1" x14ac:dyDescent="0.2">
      <c r="A1401" s="29">
        <v>44743</v>
      </c>
      <c r="B1401" s="19">
        <v>81541</v>
      </c>
      <c r="C1401" s="19">
        <v>88507.390538263135</v>
      </c>
      <c r="D1401" s="19">
        <v>0</v>
      </c>
      <c r="E1401" s="19">
        <v>0</v>
      </c>
      <c r="F1401" s="19">
        <v>0</v>
      </c>
      <c r="G1401" s="19">
        <v>0</v>
      </c>
      <c r="H1401" s="20">
        <v>8.5434205347777681E-2</v>
      </c>
      <c r="I1401" s="20">
        <v>0</v>
      </c>
      <c r="J1401" s="20">
        <v>8.5434205347777681E-2</v>
      </c>
    </row>
    <row r="1402" spans="1:10" ht="11.25" customHeight="1" x14ac:dyDescent="0.2">
      <c r="A1402" s="28" t="s">
        <v>25</v>
      </c>
      <c r="B1402" s="19">
        <v>0</v>
      </c>
      <c r="C1402" s="19">
        <v>0</v>
      </c>
      <c r="D1402" s="19">
        <v>1485324.69875</v>
      </c>
      <c r="E1402" s="19">
        <v>2003555.5443409423</v>
      </c>
      <c r="F1402" s="19">
        <v>0</v>
      </c>
      <c r="G1402" s="19">
        <v>0</v>
      </c>
      <c r="H1402" s="20">
        <v>0.34890071243484222</v>
      </c>
      <c r="I1402" s="20">
        <v>0</v>
      </c>
      <c r="J1402" s="20">
        <v>0.34890071243484222</v>
      </c>
    </row>
    <row r="1403" spans="1:10" ht="11.25" customHeight="1" x14ac:dyDescent="0.2">
      <c r="A1403" s="29">
        <v>44409</v>
      </c>
      <c r="B1403" s="19">
        <v>0</v>
      </c>
      <c r="C1403" s="19">
        <v>0</v>
      </c>
      <c r="D1403" s="19">
        <v>115478.40785</v>
      </c>
      <c r="E1403" s="19">
        <v>155768.90661970625</v>
      </c>
      <c r="F1403" s="19">
        <v>0</v>
      </c>
      <c r="G1403" s="19">
        <v>0</v>
      </c>
      <c r="H1403" s="20">
        <v>0.348900712434842</v>
      </c>
      <c r="I1403" s="20">
        <v>0</v>
      </c>
      <c r="J1403" s="20">
        <v>0.348900712434842</v>
      </c>
    </row>
    <row r="1404" spans="1:10" ht="11.25" customHeight="1" x14ac:dyDescent="0.2">
      <c r="A1404" s="29">
        <v>44440</v>
      </c>
      <c r="B1404" s="19">
        <v>0</v>
      </c>
      <c r="C1404" s="19">
        <v>0</v>
      </c>
      <c r="D1404" s="19">
        <v>114368.45280000001</v>
      </c>
      <c r="E1404" s="19">
        <v>154271.6874619906</v>
      </c>
      <c r="F1404" s="19">
        <v>0</v>
      </c>
      <c r="G1404" s="19">
        <v>0</v>
      </c>
      <c r="H1404" s="20">
        <v>0.34890071243484178</v>
      </c>
      <c r="I1404" s="20">
        <v>0</v>
      </c>
      <c r="J1404" s="20">
        <v>0.34890071243484178</v>
      </c>
    </row>
    <row r="1405" spans="1:10" ht="11.25" customHeight="1" x14ac:dyDescent="0.2">
      <c r="A1405" s="29">
        <v>44470</v>
      </c>
      <c r="B1405" s="19">
        <v>0</v>
      </c>
      <c r="C1405" s="19">
        <v>0</v>
      </c>
      <c r="D1405" s="19">
        <v>112960.19130000001</v>
      </c>
      <c r="E1405" s="19">
        <v>152372.08252134602</v>
      </c>
      <c r="F1405" s="19">
        <v>0</v>
      </c>
      <c r="G1405" s="19">
        <v>0</v>
      </c>
      <c r="H1405" s="20">
        <v>0.34890071243484178</v>
      </c>
      <c r="I1405" s="20">
        <v>0</v>
      </c>
      <c r="J1405" s="20">
        <v>0.34890071243484178</v>
      </c>
    </row>
    <row r="1406" spans="1:10" ht="11.25" customHeight="1" x14ac:dyDescent="0.2">
      <c r="A1406" s="29">
        <v>44501</v>
      </c>
      <c r="B1406" s="19">
        <v>0</v>
      </c>
      <c r="C1406" s="19">
        <v>0</v>
      </c>
      <c r="D1406" s="19">
        <v>123680.30405000001</v>
      </c>
      <c r="E1406" s="19">
        <v>166832.45024720285</v>
      </c>
      <c r="F1406" s="19">
        <v>0</v>
      </c>
      <c r="G1406" s="19">
        <v>0</v>
      </c>
      <c r="H1406" s="20">
        <v>0.34890071243484178</v>
      </c>
      <c r="I1406" s="20">
        <v>0</v>
      </c>
      <c r="J1406" s="20">
        <v>0.34890071243484178</v>
      </c>
    </row>
    <row r="1407" spans="1:10" ht="11.25" customHeight="1" x14ac:dyDescent="0.2">
      <c r="A1407" s="29">
        <v>44531</v>
      </c>
      <c r="B1407" s="19">
        <v>0</v>
      </c>
      <c r="C1407" s="19">
        <v>0</v>
      </c>
      <c r="D1407" s="19">
        <v>127345.47555</v>
      </c>
      <c r="E1407" s="19">
        <v>171776.40269474874</v>
      </c>
      <c r="F1407" s="19">
        <v>0</v>
      </c>
      <c r="G1407" s="19">
        <v>0</v>
      </c>
      <c r="H1407" s="20">
        <v>0.348900712434842</v>
      </c>
      <c r="I1407" s="20">
        <v>0</v>
      </c>
      <c r="J1407" s="20">
        <v>0.348900712434842</v>
      </c>
    </row>
    <row r="1408" spans="1:10" ht="11.25" customHeight="1" x14ac:dyDescent="0.2">
      <c r="A1408" s="29">
        <v>44562</v>
      </c>
      <c r="B1408" s="19">
        <v>0</v>
      </c>
      <c r="C1408" s="19">
        <v>0</v>
      </c>
      <c r="D1408" s="19">
        <v>137090.46055000002</v>
      </c>
      <c r="E1408" s="19">
        <v>184921.41990391558</v>
      </c>
      <c r="F1408" s="19">
        <v>0</v>
      </c>
      <c r="G1408" s="19">
        <v>0</v>
      </c>
      <c r="H1408" s="20">
        <v>0.34890071243484155</v>
      </c>
      <c r="I1408" s="20">
        <v>0</v>
      </c>
      <c r="J1408" s="20">
        <v>0.34890071243484155</v>
      </c>
    </row>
    <row r="1409" spans="1:10" ht="11.25" customHeight="1" x14ac:dyDescent="0.2">
      <c r="A1409" s="29">
        <v>44593</v>
      </c>
      <c r="B1409" s="19">
        <v>0</v>
      </c>
      <c r="C1409" s="19">
        <v>0</v>
      </c>
      <c r="D1409" s="19">
        <v>129450.52655000001</v>
      </c>
      <c r="E1409" s="19">
        <v>174615.90748836042</v>
      </c>
      <c r="F1409" s="19">
        <v>0</v>
      </c>
      <c r="G1409" s="19">
        <v>0</v>
      </c>
      <c r="H1409" s="20">
        <v>0.34890071243484178</v>
      </c>
      <c r="I1409" s="20">
        <v>0</v>
      </c>
      <c r="J1409" s="20">
        <v>0.34890071243484178</v>
      </c>
    </row>
    <row r="1410" spans="1:10" ht="11.25" customHeight="1" x14ac:dyDescent="0.2">
      <c r="A1410" s="29">
        <v>44621</v>
      </c>
      <c r="B1410" s="19">
        <v>0</v>
      </c>
      <c r="C1410" s="19">
        <v>0</v>
      </c>
      <c r="D1410" s="19">
        <v>117993.52010000001</v>
      </c>
      <c r="E1410" s="19">
        <v>159161.54332558482</v>
      </c>
      <c r="F1410" s="19">
        <v>0</v>
      </c>
      <c r="G1410" s="19">
        <v>0</v>
      </c>
      <c r="H1410" s="20">
        <v>0.34890071243484155</v>
      </c>
      <c r="I1410" s="20">
        <v>0</v>
      </c>
      <c r="J1410" s="20">
        <v>0.34890071243484155</v>
      </c>
    </row>
    <row r="1411" spans="1:10" ht="11.25" customHeight="1" x14ac:dyDescent="0.2">
      <c r="A1411" s="29">
        <v>44652</v>
      </c>
      <c r="B1411" s="19">
        <v>0</v>
      </c>
      <c r="C1411" s="19">
        <v>0</v>
      </c>
      <c r="D1411" s="19">
        <v>131356.81845000002</v>
      </c>
      <c r="E1411" s="19">
        <v>177187.30599037919</v>
      </c>
      <c r="F1411" s="19">
        <v>0</v>
      </c>
      <c r="G1411" s="19">
        <v>0</v>
      </c>
      <c r="H1411" s="20">
        <v>0.34890071243484178</v>
      </c>
      <c r="I1411" s="20">
        <v>0</v>
      </c>
      <c r="J1411" s="20">
        <v>0.34890071243484178</v>
      </c>
    </row>
    <row r="1412" spans="1:10" ht="11.25" customHeight="1" x14ac:dyDescent="0.2">
      <c r="A1412" s="29">
        <v>44682</v>
      </c>
      <c r="B1412" s="19">
        <v>0</v>
      </c>
      <c r="C1412" s="19">
        <v>0</v>
      </c>
      <c r="D1412" s="19">
        <v>123503.19115</v>
      </c>
      <c r="E1412" s="19">
        <v>166593.54253021145</v>
      </c>
      <c r="F1412" s="19">
        <v>0</v>
      </c>
      <c r="G1412" s="19">
        <v>0</v>
      </c>
      <c r="H1412" s="20">
        <v>0.34890071243484178</v>
      </c>
      <c r="I1412" s="20">
        <v>0</v>
      </c>
      <c r="J1412" s="20">
        <v>0.34890071243484178</v>
      </c>
    </row>
    <row r="1413" spans="1:10" ht="11.25" customHeight="1" x14ac:dyDescent="0.2">
      <c r="A1413" s="29">
        <v>44713</v>
      </c>
      <c r="B1413" s="19">
        <v>0</v>
      </c>
      <c r="C1413" s="19">
        <v>0</v>
      </c>
      <c r="D1413" s="19">
        <v>126048.6752</v>
      </c>
      <c r="E1413" s="19">
        <v>170027.14777874798</v>
      </c>
      <c r="F1413" s="19">
        <v>0</v>
      </c>
      <c r="G1413" s="19">
        <v>0</v>
      </c>
      <c r="H1413" s="20">
        <v>0.34890071243484178</v>
      </c>
      <c r="I1413" s="20">
        <v>0</v>
      </c>
      <c r="J1413" s="20">
        <v>0.34890071243484178</v>
      </c>
    </row>
    <row r="1414" spans="1:10" ht="11.25" customHeight="1" x14ac:dyDescent="0.2">
      <c r="A1414" s="29">
        <v>44743</v>
      </c>
      <c r="B1414" s="19">
        <v>0</v>
      </c>
      <c r="C1414" s="19">
        <v>0</v>
      </c>
      <c r="D1414" s="19">
        <v>126048.6752</v>
      </c>
      <c r="E1414" s="19">
        <v>170027.14777874798</v>
      </c>
      <c r="F1414" s="19">
        <v>0</v>
      </c>
      <c r="G1414" s="19">
        <v>0</v>
      </c>
      <c r="H1414" s="20">
        <v>0.34890071243484178</v>
      </c>
      <c r="I1414" s="20">
        <v>0</v>
      </c>
      <c r="J1414" s="20">
        <v>0.34890071243484178</v>
      </c>
    </row>
    <row r="1415" spans="1:10" ht="11.25" customHeight="1" x14ac:dyDescent="0.2">
      <c r="A1415" s="28" t="s">
        <v>34</v>
      </c>
      <c r="B1415" s="19">
        <v>1688671.6800000002</v>
      </c>
      <c r="C1415" s="19">
        <v>1839524.67209656</v>
      </c>
      <c r="D1415" s="19">
        <v>0</v>
      </c>
      <c r="E1415" s="19">
        <v>0</v>
      </c>
      <c r="F1415" s="19">
        <v>0</v>
      </c>
      <c r="G1415" s="19">
        <v>0</v>
      </c>
      <c r="H1415" s="20">
        <v>8.9332339662710369E-2</v>
      </c>
      <c r="I1415" s="20">
        <v>0</v>
      </c>
      <c r="J1415" s="20">
        <v>8.9332339662710369E-2</v>
      </c>
    </row>
    <row r="1416" spans="1:10" ht="11.25" customHeight="1" x14ac:dyDescent="0.2">
      <c r="A1416" s="29">
        <v>44409</v>
      </c>
      <c r="B1416" s="19">
        <v>139620</v>
      </c>
      <c r="C1416" s="19">
        <v>152092.58126370763</v>
      </c>
      <c r="D1416" s="19">
        <v>0</v>
      </c>
      <c r="E1416" s="19">
        <v>0</v>
      </c>
      <c r="F1416" s="19">
        <v>0</v>
      </c>
      <c r="G1416" s="19">
        <v>0</v>
      </c>
      <c r="H1416" s="20">
        <v>8.9332339662710369E-2</v>
      </c>
      <c r="I1416" s="20">
        <v>0</v>
      </c>
      <c r="J1416" s="20">
        <v>8.9332339662710369E-2</v>
      </c>
    </row>
    <row r="1417" spans="1:10" ht="11.25" customHeight="1" x14ac:dyDescent="0.2">
      <c r="A1417" s="29">
        <v>44440</v>
      </c>
      <c r="B1417" s="19">
        <v>139620</v>
      </c>
      <c r="C1417" s="19">
        <v>152092.58126370763</v>
      </c>
      <c r="D1417" s="19">
        <v>0</v>
      </c>
      <c r="E1417" s="19">
        <v>0</v>
      </c>
      <c r="F1417" s="19">
        <v>0</v>
      </c>
      <c r="G1417" s="19">
        <v>0</v>
      </c>
      <c r="H1417" s="20">
        <v>8.9332339662710369E-2</v>
      </c>
      <c r="I1417" s="20">
        <v>0</v>
      </c>
      <c r="J1417" s="20">
        <v>8.9332339662710369E-2</v>
      </c>
    </row>
    <row r="1418" spans="1:10" ht="11.25" customHeight="1" x14ac:dyDescent="0.2">
      <c r="A1418" s="29">
        <v>44470</v>
      </c>
      <c r="B1418" s="19">
        <v>139620</v>
      </c>
      <c r="C1418" s="19">
        <v>152092.58126370763</v>
      </c>
      <c r="D1418" s="19">
        <v>0</v>
      </c>
      <c r="E1418" s="19">
        <v>0</v>
      </c>
      <c r="F1418" s="19">
        <v>0</v>
      </c>
      <c r="G1418" s="19">
        <v>0</v>
      </c>
      <c r="H1418" s="20">
        <v>8.9332339662710369E-2</v>
      </c>
      <c r="I1418" s="20">
        <v>0</v>
      </c>
      <c r="J1418" s="20">
        <v>8.9332339662710369E-2</v>
      </c>
    </row>
    <row r="1419" spans="1:10" ht="11.25" customHeight="1" x14ac:dyDescent="0.2">
      <c r="A1419" s="29">
        <v>44501</v>
      </c>
      <c r="B1419" s="19">
        <v>139620</v>
      </c>
      <c r="C1419" s="19">
        <v>152092.58126370763</v>
      </c>
      <c r="D1419" s="19">
        <v>0</v>
      </c>
      <c r="E1419" s="19">
        <v>0</v>
      </c>
      <c r="F1419" s="19">
        <v>0</v>
      </c>
      <c r="G1419" s="19">
        <v>0</v>
      </c>
      <c r="H1419" s="20">
        <v>8.9332339662710369E-2</v>
      </c>
      <c r="I1419" s="20">
        <v>0</v>
      </c>
      <c r="J1419" s="20">
        <v>8.9332339662710369E-2</v>
      </c>
    </row>
    <row r="1420" spans="1:10" ht="11.25" customHeight="1" x14ac:dyDescent="0.2">
      <c r="A1420" s="29">
        <v>44531</v>
      </c>
      <c r="B1420" s="19">
        <v>139620</v>
      </c>
      <c r="C1420" s="19">
        <v>152092.58126370763</v>
      </c>
      <c r="D1420" s="19">
        <v>0</v>
      </c>
      <c r="E1420" s="19">
        <v>0</v>
      </c>
      <c r="F1420" s="19">
        <v>0</v>
      </c>
      <c r="G1420" s="19">
        <v>0</v>
      </c>
      <c r="H1420" s="20">
        <v>8.9332339662710369E-2</v>
      </c>
      <c r="I1420" s="20">
        <v>0</v>
      </c>
      <c r="J1420" s="20">
        <v>8.9332339662710369E-2</v>
      </c>
    </row>
    <row r="1421" spans="1:10" ht="11.25" customHeight="1" x14ac:dyDescent="0.2">
      <c r="A1421" s="29">
        <v>44562</v>
      </c>
      <c r="B1421" s="19">
        <v>143830.08000000002</v>
      </c>
      <c r="C1421" s="19">
        <v>156678.75756027483</v>
      </c>
      <c r="D1421" s="19">
        <v>0</v>
      </c>
      <c r="E1421" s="19">
        <v>0</v>
      </c>
      <c r="F1421" s="19">
        <v>0</v>
      </c>
      <c r="G1421" s="19">
        <v>0</v>
      </c>
      <c r="H1421" s="20">
        <v>8.9332339662710369E-2</v>
      </c>
      <c r="I1421" s="20">
        <v>0</v>
      </c>
      <c r="J1421" s="20">
        <v>8.9332339662710369E-2</v>
      </c>
    </row>
    <row r="1422" spans="1:10" ht="11.25" customHeight="1" x14ac:dyDescent="0.2">
      <c r="A1422" s="29">
        <v>44593</v>
      </c>
      <c r="B1422" s="19">
        <v>139877.76000000001</v>
      </c>
      <c r="C1422" s="19">
        <v>152373.36756757909</v>
      </c>
      <c r="D1422" s="19">
        <v>0</v>
      </c>
      <c r="E1422" s="19">
        <v>0</v>
      </c>
      <c r="F1422" s="19">
        <v>0</v>
      </c>
      <c r="G1422" s="19">
        <v>0</v>
      </c>
      <c r="H1422" s="20">
        <v>8.9332339662710369E-2</v>
      </c>
      <c r="I1422" s="20">
        <v>0</v>
      </c>
      <c r="J1422" s="20">
        <v>8.9332339662710369E-2</v>
      </c>
    </row>
    <row r="1423" spans="1:10" ht="11.25" customHeight="1" x14ac:dyDescent="0.2">
      <c r="A1423" s="29">
        <v>44621</v>
      </c>
      <c r="B1423" s="19">
        <v>139620</v>
      </c>
      <c r="C1423" s="19">
        <v>152092.58126370763</v>
      </c>
      <c r="D1423" s="19">
        <v>0</v>
      </c>
      <c r="E1423" s="19">
        <v>0</v>
      </c>
      <c r="F1423" s="19">
        <v>0</v>
      </c>
      <c r="G1423" s="19">
        <v>0</v>
      </c>
      <c r="H1423" s="20">
        <v>8.9332339662710369E-2</v>
      </c>
      <c r="I1423" s="20">
        <v>0</v>
      </c>
      <c r="J1423" s="20">
        <v>8.9332339662710369E-2</v>
      </c>
    </row>
    <row r="1424" spans="1:10" ht="11.25" customHeight="1" x14ac:dyDescent="0.2">
      <c r="A1424" s="29">
        <v>44652</v>
      </c>
      <c r="B1424" s="19">
        <v>139620</v>
      </c>
      <c r="C1424" s="19">
        <v>152092.58126370763</v>
      </c>
      <c r="D1424" s="19">
        <v>0</v>
      </c>
      <c r="E1424" s="19">
        <v>0</v>
      </c>
      <c r="F1424" s="19">
        <v>0</v>
      </c>
      <c r="G1424" s="19">
        <v>0</v>
      </c>
      <c r="H1424" s="20">
        <v>8.9332339662710369E-2</v>
      </c>
      <c r="I1424" s="20">
        <v>0</v>
      </c>
      <c r="J1424" s="20">
        <v>8.9332339662710369E-2</v>
      </c>
    </row>
    <row r="1425" spans="1:10" ht="11.25" customHeight="1" x14ac:dyDescent="0.2">
      <c r="A1425" s="29">
        <v>44682</v>
      </c>
      <c r="B1425" s="19">
        <v>141682.08000000002</v>
      </c>
      <c r="C1425" s="19">
        <v>154338.87169467931</v>
      </c>
      <c r="D1425" s="19">
        <v>0</v>
      </c>
      <c r="E1425" s="19">
        <v>0</v>
      </c>
      <c r="F1425" s="19">
        <v>0</v>
      </c>
      <c r="G1425" s="19">
        <v>0</v>
      </c>
      <c r="H1425" s="20">
        <v>8.9332339662710369E-2</v>
      </c>
      <c r="I1425" s="20">
        <v>0</v>
      </c>
      <c r="J1425" s="20">
        <v>8.9332339662710369E-2</v>
      </c>
    </row>
    <row r="1426" spans="1:10" ht="11.25" customHeight="1" x14ac:dyDescent="0.2">
      <c r="A1426" s="29">
        <v>44713</v>
      </c>
      <c r="B1426" s="19">
        <v>142970.88</v>
      </c>
      <c r="C1426" s="19">
        <v>155742.80321403663</v>
      </c>
      <c r="D1426" s="19">
        <v>0</v>
      </c>
      <c r="E1426" s="19">
        <v>0</v>
      </c>
      <c r="F1426" s="19">
        <v>0</v>
      </c>
      <c r="G1426" s="19">
        <v>0</v>
      </c>
      <c r="H1426" s="20">
        <v>8.9332339662710591E-2</v>
      </c>
      <c r="I1426" s="20">
        <v>0</v>
      </c>
      <c r="J1426" s="20">
        <v>8.9332339662710591E-2</v>
      </c>
    </row>
    <row r="1427" spans="1:10" ht="11.25" customHeight="1" x14ac:dyDescent="0.2">
      <c r="A1427" s="29">
        <v>44743</v>
      </c>
      <c r="B1427" s="19">
        <v>142970.88</v>
      </c>
      <c r="C1427" s="19">
        <v>155742.80321403663</v>
      </c>
      <c r="D1427" s="19">
        <v>0</v>
      </c>
      <c r="E1427" s="19">
        <v>0</v>
      </c>
      <c r="F1427" s="19">
        <v>0</v>
      </c>
      <c r="G1427" s="19">
        <v>0</v>
      </c>
      <c r="H1427" s="20">
        <v>8.9332339662710591E-2</v>
      </c>
      <c r="I1427" s="20">
        <v>0</v>
      </c>
      <c r="J1427" s="20">
        <v>8.9332339662710591E-2</v>
      </c>
    </row>
    <row r="1428" spans="1:10" ht="11.25" customHeight="1" x14ac:dyDescent="0.2">
      <c r="A1428" s="24" t="s">
        <v>38</v>
      </c>
      <c r="B1428" s="19">
        <v>29268753.6708</v>
      </c>
      <c r="C1428" s="19">
        <v>31840059.956010304</v>
      </c>
      <c r="D1428" s="19">
        <v>21615583.337850001</v>
      </c>
      <c r="E1428" s="19">
        <v>29157275.76412056</v>
      </c>
      <c r="F1428" s="19">
        <v>0</v>
      </c>
      <c r="G1428" s="19">
        <v>0</v>
      </c>
      <c r="H1428" s="20">
        <v>0.1987448261291429</v>
      </c>
      <c r="I1428" s="20">
        <v>0</v>
      </c>
      <c r="J1428" s="20">
        <v>0.1987448261291429</v>
      </c>
    </row>
    <row r="1429" spans="1:10" ht="11.25" customHeight="1" x14ac:dyDescent="0.2">
      <c r="A1429" s="25" t="s">
        <v>25</v>
      </c>
      <c r="B1429" s="19">
        <v>29268753.6708</v>
      </c>
      <c r="C1429" s="19">
        <v>31840059.956010304</v>
      </c>
      <c r="D1429" s="19">
        <v>21615583.337850001</v>
      </c>
      <c r="E1429" s="19">
        <v>29157275.76412056</v>
      </c>
      <c r="F1429" s="19">
        <v>0</v>
      </c>
      <c r="G1429" s="19">
        <v>0</v>
      </c>
      <c r="H1429" s="20">
        <v>0.1987448261291429</v>
      </c>
      <c r="I1429" s="20">
        <v>0</v>
      </c>
      <c r="J1429" s="20">
        <v>0.1987448261291429</v>
      </c>
    </row>
    <row r="1430" spans="1:10" ht="11.25" customHeight="1" x14ac:dyDescent="0.2">
      <c r="A1430" s="26" t="s">
        <v>61</v>
      </c>
      <c r="B1430" s="19">
        <v>1050499.6407999999</v>
      </c>
      <c r="C1430" s="19">
        <v>1142850.728190541</v>
      </c>
      <c r="D1430" s="19">
        <v>1000738.3089000002</v>
      </c>
      <c r="E1430" s="19">
        <v>1349896.6178360491</v>
      </c>
      <c r="F1430" s="19">
        <v>0</v>
      </c>
      <c r="G1430" s="19">
        <v>0</v>
      </c>
      <c r="H1430" s="20">
        <v>0.21524045827601901</v>
      </c>
      <c r="I1430" s="20">
        <v>0</v>
      </c>
      <c r="J1430" s="20">
        <v>0.21524045827601901</v>
      </c>
    </row>
    <row r="1431" spans="1:10" ht="11.25" customHeight="1" x14ac:dyDescent="0.2">
      <c r="A1431" s="27" t="s">
        <v>25</v>
      </c>
      <c r="B1431" s="19">
        <v>1050499.6407999999</v>
      </c>
      <c r="C1431" s="19">
        <v>1142850.728190541</v>
      </c>
      <c r="D1431" s="19">
        <v>1000738.3089000002</v>
      </c>
      <c r="E1431" s="19">
        <v>1349896.6178360491</v>
      </c>
      <c r="F1431" s="19">
        <v>0</v>
      </c>
      <c r="G1431" s="19">
        <v>0</v>
      </c>
      <c r="H1431" s="20">
        <v>0.21524045827601901</v>
      </c>
      <c r="I1431" s="20">
        <v>0</v>
      </c>
      <c r="J1431" s="20">
        <v>0.21524045827601901</v>
      </c>
    </row>
    <row r="1432" spans="1:10" ht="11.25" customHeight="1" x14ac:dyDescent="0.2">
      <c r="A1432" s="28" t="s">
        <v>35</v>
      </c>
      <c r="B1432" s="19">
        <v>382876.32399999991</v>
      </c>
      <c r="C1432" s="19">
        <v>415587.05848741822</v>
      </c>
      <c r="D1432" s="19">
        <v>0</v>
      </c>
      <c r="E1432" s="19">
        <v>0</v>
      </c>
      <c r="F1432" s="19">
        <v>0</v>
      </c>
      <c r="G1432" s="19">
        <v>0</v>
      </c>
      <c r="H1432" s="20">
        <v>8.5434205347777903E-2</v>
      </c>
      <c r="I1432" s="20">
        <v>0</v>
      </c>
      <c r="J1432" s="20">
        <v>8.5434205347777903E-2</v>
      </c>
    </row>
    <row r="1433" spans="1:10" ht="11.25" customHeight="1" x14ac:dyDescent="0.2">
      <c r="A1433" s="29">
        <v>44409</v>
      </c>
      <c r="B1433" s="19">
        <v>32933.628000000004</v>
      </c>
      <c r="C1433" s="19">
        <v>35747.286337399324</v>
      </c>
      <c r="D1433" s="19">
        <v>0</v>
      </c>
      <c r="E1433" s="19">
        <v>0</v>
      </c>
      <c r="F1433" s="19">
        <v>0</v>
      </c>
      <c r="G1433" s="19">
        <v>0</v>
      </c>
      <c r="H1433" s="20">
        <v>8.5434205347777681E-2</v>
      </c>
      <c r="I1433" s="20">
        <v>0</v>
      </c>
      <c r="J1433" s="20">
        <v>8.5434205347777681E-2</v>
      </c>
    </row>
    <row r="1434" spans="1:10" ht="11.25" customHeight="1" x14ac:dyDescent="0.2">
      <c r="A1434" s="29">
        <v>44440</v>
      </c>
      <c r="B1434" s="19">
        <v>31713.863999999998</v>
      </c>
      <c r="C1434" s="19">
        <v>34423.312769347489</v>
      </c>
      <c r="D1434" s="19">
        <v>0</v>
      </c>
      <c r="E1434" s="19">
        <v>0</v>
      </c>
      <c r="F1434" s="19">
        <v>0</v>
      </c>
      <c r="G1434" s="19">
        <v>0</v>
      </c>
      <c r="H1434" s="20">
        <v>8.5434205347777681E-2</v>
      </c>
      <c r="I1434" s="20">
        <v>0</v>
      </c>
      <c r="J1434" s="20">
        <v>8.5434205347777681E-2</v>
      </c>
    </row>
    <row r="1435" spans="1:10" ht="11.25" customHeight="1" x14ac:dyDescent="0.2">
      <c r="A1435" s="29">
        <v>44470</v>
      </c>
      <c r="B1435" s="19">
        <v>55499.262000000002</v>
      </c>
      <c r="C1435" s="19">
        <v>60240.797346358122</v>
      </c>
      <c r="D1435" s="19">
        <v>0</v>
      </c>
      <c r="E1435" s="19">
        <v>0</v>
      </c>
      <c r="F1435" s="19">
        <v>0</v>
      </c>
      <c r="G1435" s="19">
        <v>0</v>
      </c>
      <c r="H1435" s="20">
        <v>8.5434205347777681E-2</v>
      </c>
      <c r="I1435" s="20">
        <v>0</v>
      </c>
      <c r="J1435" s="20">
        <v>8.5434205347777681E-2</v>
      </c>
    </row>
    <row r="1436" spans="1:10" ht="11.25" customHeight="1" x14ac:dyDescent="0.2">
      <c r="A1436" s="29">
        <v>44501</v>
      </c>
      <c r="B1436" s="19">
        <v>60181.726000000002</v>
      </c>
      <c r="C1436" s="19">
        <v>65323.303937267694</v>
      </c>
      <c r="D1436" s="19">
        <v>0</v>
      </c>
      <c r="E1436" s="19">
        <v>0</v>
      </c>
      <c r="F1436" s="19">
        <v>0</v>
      </c>
      <c r="G1436" s="19">
        <v>0</v>
      </c>
      <c r="H1436" s="20">
        <v>8.5434205347777681E-2</v>
      </c>
      <c r="I1436" s="20">
        <v>0</v>
      </c>
      <c r="J1436" s="20">
        <v>8.5434205347777681E-2</v>
      </c>
    </row>
    <row r="1437" spans="1:10" ht="11.25" customHeight="1" x14ac:dyDescent="0.2">
      <c r="A1437" s="29">
        <v>44531</v>
      </c>
      <c r="B1437" s="19">
        <v>24951.546000000002</v>
      </c>
      <c r="C1437" s="19">
        <v>27083.261504708524</v>
      </c>
      <c r="D1437" s="19">
        <v>0</v>
      </c>
      <c r="E1437" s="19">
        <v>0</v>
      </c>
      <c r="F1437" s="19">
        <v>0</v>
      </c>
      <c r="G1437" s="19">
        <v>0</v>
      </c>
      <c r="H1437" s="20">
        <v>8.5434205347777681E-2</v>
      </c>
      <c r="I1437" s="20">
        <v>0</v>
      </c>
      <c r="J1437" s="20">
        <v>8.5434205347777681E-2</v>
      </c>
    </row>
    <row r="1438" spans="1:10" ht="11.25" customHeight="1" x14ac:dyDescent="0.2">
      <c r="A1438" s="29">
        <v>44562</v>
      </c>
      <c r="B1438" s="19">
        <v>25685.415000000001</v>
      </c>
      <c r="C1438" s="19">
        <v>27879.82801955289</v>
      </c>
      <c r="D1438" s="19">
        <v>0</v>
      </c>
      <c r="E1438" s="19">
        <v>0</v>
      </c>
      <c r="F1438" s="19">
        <v>0</v>
      </c>
      <c r="G1438" s="19">
        <v>0</v>
      </c>
      <c r="H1438" s="20">
        <v>8.5434205347777681E-2</v>
      </c>
      <c r="I1438" s="20">
        <v>0</v>
      </c>
      <c r="J1438" s="20">
        <v>8.5434205347777681E-2</v>
      </c>
    </row>
    <row r="1439" spans="1:10" ht="11.25" customHeight="1" x14ac:dyDescent="0.2">
      <c r="A1439" s="29">
        <v>44593</v>
      </c>
      <c r="B1439" s="19">
        <v>24951.546000000002</v>
      </c>
      <c r="C1439" s="19">
        <v>27083.261504708524</v>
      </c>
      <c r="D1439" s="19">
        <v>0</v>
      </c>
      <c r="E1439" s="19">
        <v>0</v>
      </c>
      <c r="F1439" s="19">
        <v>0</v>
      </c>
      <c r="G1439" s="19">
        <v>0</v>
      </c>
      <c r="H1439" s="20">
        <v>8.5434205347777681E-2</v>
      </c>
      <c r="I1439" s="20">
        <v>0</v>
      </c>
      <c r="J1439" s="20">
        <v>8.5434205347777681E-2</v>
      </c>
    </row>
    <row r="1440" spans="1:10" ht="11.25" customHeight="1" x14ac:dyDescent="0.2">
      <c r="A1440" s="29">
        <v>44621</v>
      </c>
      <c r="B1440" s="19">
        <v>27153.153000000002</v>
      </c>
      <c r="C1440" s="19">
        <v>29472.961049241629</v>
      </c>
      <c r="D1440" s="19">
        <v>0</v>
      </c>
      <c r="E1440" s="19">
        <v>0</v>
      </c>
      <c r="F1440" s="19">
        <v>0</v>
      </c>
      <c r="G1440" s="19">
        <v>0</v>
      </c>
      <c r="H1440" s="20">
        <v>8.5434205347777681E-2</v>
      </c>
      <c r="I1440" s="20">
        <v>0</v>
      </c>
      <c r="J1440" s="20">
        <v>8.5434205347777681E-2</v>
      </c>
    </row>
    <row r="1441" spans="1:10" ht="11.25" customHeight="1" x14ac:dyDescent="0.2">
      <c r="A1441" s="29">
        <v>44652</v>
      </c>
      <c r="B1441" s="19">
        <v>24951.546000000002</v>
      </c>
      <c r="C1441" s="19">
        <v>27083.261504708524</v>
      </c>
      <c r="D1441" s="19">
        <v>0</v>
      </c>
      <c r="E1441" s="19">
        <v>0</v>
      </c>
      <c r="F1441" s="19">
        <v>0</v>
      </c>
      <c r="G1441" s="19">
        <v>0</v>
      </c>
      <c r="H1441" s="20">
        <v>8.5434205347777681E-2</v>
      </c>
      <c r="I1441" s="20">
        <v>0</v>
      </c>
      <c r="J1441" s="20">
        <v>8.5434205347777681E-2</v>
      </c>
    </row>
    <row r="1442" spans="1:10" ht="11.25" customHeight="1" x14ac:dyDescent="0.2">
      <c r="A1442" s="29">
        <v>44682</v>
      </c>
      <c r="B1442" s="19">
        <v>24951.546000000002</v>
      </c>
      <c r="C1442" s="19">
        <v>27083.261504708524</v>
      </c>
      <c r="D1442" s="19">
        <v>0</v>
      </c>
      <c r="E1442" s="19">
        <v>0</v>
      </c>
      <c r="F1442" s="19">
        <v>0</v>
      </c>
      <c r="G1442" s="19">
        <v>0</v>
      </c>
      <c r="H1442" s="20">
        <v>8.5434205347777681E-2</v>
      </c>
      <c r="I1442" s="20">
        <v>0</v>
      </c>
      <c r="J1442" s="20">
        <v>8.5434205347777681E-2</v>
      </c>
    </row>
    <row r="1443" spans="1:10" ht="11.25" customHeight="1" x14ac:dyDescent="0.2">
      <c r="A1443" s="29">
        <v>44713</v>
      </c>
      <c r="B1443" s="19">
        <v>24951.546000000002</v>
      </c>
      <c r="C1443" s="19">
        <v>27083.261504708524</v>
      </c>
      <c r="D1443" s="19">
        <v>0</v>
      </c>
      <c r="E1443" s="19">
        <v>0</v>
      </c>
      <c r="F1443" s="19">
        <v>0</v>
      </c>
      <c r="G1443" s="19">
        <v>0</v>
      </c>
      <c r="H1443" s="20">
        <v>8.5434205347777681E-2</v>
      </c>
      <c r="I1443" s="20">
        <v>0</v>
      </c>
      <c r="J1443" s="20">
        <v>8.5434205347777681E-2</v>
      </c>
    </row>
    <row r="1444" spans="1:10" ht="11.25" customHeight="1" x14ac:dyDescent="0.2">
      <c r="A1444" s="29">
        <v>44743</v>
      </c>
      <c r="B1444" s="19">
        <v>24951.546000000002</v>
      </c>
      <c r="C1444" s="19">
        <v>27083.261504708524</v>
      </c>
      <c r="D1444" s="19">
        <v>0</v>
      </c>
      <c r="E1444" s="19">
        <v>0</v>
      </c>
      <c r="F1444" s="19">
        <v>0</v>
      </c>
      <c r="G1444" s="19">
        <v>0</v>
      </c>
      <c r="H1444" s="20">
        <v>8.5434205347777681E-2</v>
      </c>
      <c r="I1444" s="20">
        <v>0</v>
      </c>
      <c r="J1444" s="20">
        <v>8.5434205347777681E-2</v>
      </c>
    </row>
    <row r="1445" spans="1:10" ht="11.25" customHeight="1" x14ac:dyDescent="0.2">
      <c r="A1445" s="28" t="s">
        <v>25</v>
      </c>
      <c r="B1445" s="19">
        <v>0</v>
      </c>
      <c r="C1445" s="19">
        <v>0</v>
      </c>
      <c r="D1445" s="19">
        <v>1000738.3089000002</v>
      </c>
      <c r="E1445" s="19">
        <v>1349896.6178360491</v>
      </c>
      <c r="F1445" s="19">
        <v>0</v>
      </c>
      <c r="G1445" s="19">
        <v>0</v>
      </c>
      <c r="H1445" s="20">
        <v>0.34890071243484178</v>
      </c>
      <c r="I1445" s="20">
        <v>0</v>
      </c>
      <c r="J1445" s="20">
        <v>0.34890071243484178</v>
      </c>
    </row>
    <row r="1446" spans="1:10" ht="11.25" customHeight="1" x14ac:dyDescent="0.2">
      <c r="A1446" s="29">
        <v>44409</v>
      </c>
      <c r="B1446" s="19">
        <v>0</v>
      </c>
      <c r="C1446" s="19">
        <v>0</v>
      </c>
      <c r="D1446" s="19">
        <v>55461.675499999998</v>
      </c>
      <c r="E1446" s="19">
        <v>74812.293594780014</v>
      </c>
      <c r="F1446" s="19">
        <v>0</v>
      </c>
      <c r="G1446" s="19">
        <v>0</v>
      </c>
      <c r="H1446" s="20">
        <v>0.348900712434842</v>
      </c>
      <c r="I1446" s="20">
        <v>0</v>
      </c>
      <c r="J1446" s="20">
        <v>0.348900712434842</v>
      </c>
    </row>
    <row r="1447" spans="1:10" ht="11.25" customHeight="1" x14ac:dyDescent="0.2">
      <c r="A1447" s="29">
        <v>44440</v>
      </c>
      <c r="B1447" s="19">
        <v>0</v>
      </c>
      <c r="C1447" s="19">
        <v>0</v>
      </c>
      <c r="D1447" s="19">
        <v>54400.088800000005</v>
      </c>
      <c r="E1447" s="19">
        <v>73380.318538838663</v>
      </c>
      <c r="F1447" s="19">
        <v>0</v>
      </c>
      <c r="G1447" s="19">
        <v>0</v>
      </c>
      <c r="H1447" s="20">
        <v>0.34890071243484178</v>
      </c>
      <c r="I1447" s="20">
        <v>0</v>
      </c>
      <c r="J1447" s="20">
        <v>0.34890071243484178</v>
      </c>
    </row>
    <row r="1448" spans="1:10" ht="11.25" customHeight="1" x14ac:dyDescent="0.2">
      <c r="A1448" s="29">
        <v>44470</v>
      </c>
      <c r="B1448" s="19">
        <v>0</v>
      </c>
      <c r="C1448" s="19">
        <v>0</v>
      </c>
      <c r="D1448" s="19">
        <v>50434.135799999996</v>
      </c>
      <c r="E1448" s="19">
        <v>68030.641711655553</v>
      </c>
      <c r="F1448" s="19">
        <v>0</v>
      </c>
      <c r="G1448" s="19">
        <v>0</v>
      </c>
      <c r="H1448" s="20">
        <v>0.34890071243484178</v>
      </c>
      <c r="I1448" s="20">
        <v>0</v>
      </c>
      <c r="J1448" s="20">
        <v>0.34890071243484178</v>
      </c>
    </row>
    <row r="1449" spans="1:10" ht="11.25" customHeight="1" x14ac:dyDescent="0.2">
      <c r="A1449" s="29">
        <v>44501</v>
      </c>
      <c r="B1449" s="19">
        <v>0</v>
      </c>
      <c r="C1449" s="19">
        <v>0</v>
      </c>
      <c r="D1449" s="19">
        <v>132276.2366</v>
      </c>
      <c r="E1449" s="19">
        <v>178427.50978793972</v>
      </c>
      <c r="F1449" s="19">
        <v>0</v>
      </c>
      <c r="G1449" s="19">
        <v>0</v>
      </c>
      <c r="H1449" s="20">
        <v>0.348900712434842</v>
      </c>
      <c r="I1449" s="20">
        <v>0</v>
      </c>
      <c r="J1449" s="20">
        <v>0.348900712434842</v>
      </c>
    </row>
    <row r="1450" spans="1:10" ht="11.25" customHeight="1" x14ac:dyDescent="0.2">
      <c r="A1450" s="29">
        <v>44531</v>
      </c>
      <c r="B1450" s="19">
        <v>0</v>
      </c>
      <c r="C1450" s="19">
        <v>0</v>
      </c>
      <c r="D1450" s="19">
        <v>96009.077250000017</v>
      </c>
      <c r="E1450" s="19">
        <v>129506.71270273678</v>
      </c>
      <c r="F1450" s="19">
        <v>0</v>
      </c>
      <c r="G1450" s="19">
        <v>0</v>
      </c>
      <c r="H1450" s="20">
        <v>0.34890071243484178</v>
      </c>
      <c r="I1450" s="20">
        <v>0</v>
      </c>
      <c r="J1450" s="20">
        <v>0.34890071243484178</v>
      </c>
    </row>
    <row r="1451" spans="1:10" ht="11.25" customHeight="1" x14ac:dyDescent="0.2">
      <c r="A1451" s="29">
        <v>44562</v>
      </c>
      <c r="B1451" s="19">
        <v>0</v>
      </c>
      <c r="C1451" s="19">
        <v>0</v>
      </c>
      <c r="D1451" s="19">
        <v>91901.417150000008</v>
      </c>
      <c r="E1451" s="19">
        <v>123965.8870674066</v>
      </c>
      <c r="F1451" s="19">
        <v>0</v>
      </c>
      <c r="G1451" s="19">
        <v>0</v>
      </c>
      <c r="H1451" s="20">
        <v>0.34890071243484178</v>
      </c>
      <c r="I1451" s="20">
        <v>0</v>
      </c>
      <c r="J1451" s="20">
        <v>0.34890071243484178</v>
      </c>
    </row>
    <row r="1452" spans="1:10" ht="11.25" customHeight="1" x14ac:dyDescent="0.2">
      <c r="A1452" s="29">
        <v>44593</v>
      </c>
      <c r="B1452" s="19">
        <v>0</v>
      </c>
      <c r="C1452" s="19">
        <v>0</v>
      </c>
      <c r="D1452" s="19">
        <v>83089.526000000013</v>
      </c>
      <c r="E1452" s="19">
        <v>112079.52081727333</v>
      </c>
      <c r="F1452" s="19">
        <v>0</v>
      </c>
      <c r="G1452" s="19">
        <v>0</v>
      </c>
      <c r="H1452" s="20">
        <v>0.34890071243484178</v>
      </c>
      <c r="I1452" s="20">
        <v>0</v>
      </c>
      <c r="J1452" s="20">
        <v>0.34890071243484178</v>
      </c>
    </row>
    <row r="1453" spans="1:10" ht="11.25" customHeight="1" x14ac:dyDescent="0.2">
      <c r="A1453" s="29">
        <v>44621</v>
      </c>
      <c r="B1453" s="19">
        <v>0</v>
      </c>
      <c r="C1453" s="19">
        <v>0</v>
      </c>
      <c r="D1453" s="19">
        <v>68820.233500000002</v>
      </c>
      <c r="E1453" s="19">
        <v>92831.661998082171</v>
      </c>
      <c r="F1453" s="19">
        <v>0</v>
      </c>
      <c r="G1453" s="19">
        <v>0</v>
      </c>
      <c r="H1453" s="20">
        <v>0.34890071243484178</v>
      </c>
      <c r="I1453" s="20">
        <v>0</v>
      </c>
      <c r="J1453" s="20">
        <v>0.34890071243484178</v>
      </c>
    </row>
    <row r="1454" spans="1:10" ht="11.25" customHeight="1" x14ac:dyDescent="0.2">
      <c r="A1454" s="29">
        <v>44652</v>
      </c>
      <c r="B1454" s="19">
        <v>0</v>
      </c>
      <c r="C1454" s="19">
        <v>0</v>
      </c>
      <c r="D1454" s="19">
        <v>94175.484700000001</v>
      </c>
      <c r="E1454" s="19">
        <v>127033.37840572654</v>
      </c>
      <c r="F1454" s="19">
        <v>0</v>
      </c>
      <c r="G1454" s="19">
        <v>0</v>
      </c>
      <c r="H1454" s="20">
        <v>0.34890071243484178</v>
      </c>
      <c r="I1454" s="20">
        <v>0</v>
      </c>
      <c r="J1454" s="20">
        <v>0.34890071243484178</v>
      </c>
    </row>
    <row r="1455" spans="1:10" ht="11.25" customHeight="1" x14ac:dyDescent="0.2">
      <c r="A1455" s="29">
        <v>44682</v>
      </c>
      <c r="B1455" s="19">
        <v>0</v>
      </c>
      <c r="C1455" s="19">
        <v>0</v>
      </c>
      <c r="D1455" s="19">
        <v>92289.412700000001</v>
      </c>
      <c r="E1455" s="19">
        <v>124489.25454122314</v>
      </c>
      <c r="F1455" s="19">
        <v>0</v>
      </c>
      <c r="G1455" s="19">
        <v>0</v>
      </c>
      <c r="H1455" s="20">
        <v>0.34890071243484178</v>
      </c>
      <c r="I1455" s="20">
        <v>0</v>
      </c>
      <c r="J1455" s="20">
        <v>0.34890071243484178</v>
      </c>
    </row>
    <row r="1456" spans="1:10" ht="11.25" customHeight="1" x14ac:dyDescent="0.2">
      <c r="A1456" s="29">
        <v>44713</v>
      </c>
      <c r="B1456" s="19">
        <v>0</v>
      </c>
      <c r="C1456" s="19">
        <v>0</v>
      </c>
      <c r="D1456" s="19">
        <v>90940.510450000016</v>
      </c>
      <c r="E1456" s="19">
        <v>122669.71933519319</v>
      </c>
      <c r="F1456" s="19">
        <v>0</v>
      </c>
      <c r="G1456" s="19">
        <v>0</v>
      </c>
      <c r="H1456" s="20">
        <v>0.34890071243484178</v>
      </c>
      <c r="I1456" s="20">
        <v>0</v>
      </c>
      <c r="J1456" s="20">
        <v>0.34890071243484178</v>
      </c>
    </row>
    <row r="1457" spans="1:10" ht="11.25" customHeight="1" x14ac:dyDescent="0.2">
      <c r="A1457" s="29">
        <v>44743</v>
      </c>
      <c r="B1457" s="19">
        <v>0</v>
      </c>
      <c r="C1457" s="19">
        <v>0</v>
      </c>
      <c r="D1457" s="19">
        <v>90940.510450000016</v>
      </c>
      <c r="E1457" s="19">
        <v>122669.71933519319</v>
      </c>
      <c r="F1457" s="19">
        <v>0</v>
      </c>
      <c r="G1457" s="19">
        <v>0</v>
      </c>
      <c r="H1457" s="20">
        <v>0.34890071243484178</v>
      </c>
      <c r="I1457" s="20">
        <v>0</v>
      </c>
      <c r="J1457" s="20">
        <v>0.34890071243484178</v>
      </c>
    </row>
    <row r="1458" spans="1:10" ht="11.25" customHeight="1" x14ac:dyDescent="0.2">
      <c r="A1458" s="28" t="s">
        <v>34</v>
      </c>
      <c r="B1458" s="19">
        <v>667623.31679999991</v>
      </c>
      <c r="C1458" s="19">
        <v>727263.66970312304</v>
      </c>
      <c r="D1458" s="19">
        <v>0</v>
      </c>
      <c r="E1458" s="19">
        <v>0</v>
      </c>
      <c r="F1458" s="19">
        <v>0</v>
      </c>
      <c r="G1458" s="19">
        <v>0</v>
      </c>
      <c r="H1458" s="20">
        <v>8.9332339662710813E-2</v>
      </c>
      <c r="I1458" s="20">
        <v>0</v>
      </c>
      <c r="J1458" s="20">
        <v>8.9332339662710813E-2</v>
      </c>
    </row>
    <row r="1459" spans="1:10" ht="11.25" customHeight="1" x14ac:dyDescent="0.2">
      <c r="A1459" s="29">
        <v>44409</v>
      </c>
      <c r="B1459" s="19">
        <v>56702.904000000002</v>
      </c>
      <c r="C1459" s="19">
        <v>61768.307079990067</v>
      </c>
      <c r="D1459" s="19">
        <v>0</v>
      </c>
      <c r="E1459" s="19">
        <v>0</v>
      </c>
      <c r="F1459" s="19">
        <v>0</v>
      </c>
      <c r="G1459" s="19">
        <v>0</v>
      </c>
      <c r="H1459" s="20">
        <v>8.9332339662710369E-2</v>
      </c>
      <c r="I1459" s="20">
        <v>0</v>
      </c>
      <c r="J1459" s="20">
        <v>8.9332339662710369E-2</v>
      </c>
    </row>
    <row r="1460" spans="1:10" ht="11.25" customHeight="1" x14ac:dyDescent="0.2">
      <c r="A1460" s="29">
        <v>44440</v>
      </c>
      <c r="B1460" s="19">
        <v>59241.840000000004</v>
      </c>
      <c r="C1460" s="19">
        <v>64534.05217312395</v>
      </c>
      <c r="D1460" s="19">
        <v>0</v>
      </c>
      <c r="E1460" s="19">
        <v>0</v>
      </c>
      <c r="F1460" s="19">
        <v>0</v>
      </c>
      <c r="G1460" s="19">
        <v>0</v>
      </c>
      <c r="H1460" s="20">
        <v>8.9332339662710369E-2</v>
      </c>
      <c r="I1460" s="20">
        <v>0</v>
      </c>
      <c r="J1460" s="20">
        <v>8.9332339662710369E-2</v>
      </c>
    </row>
    <row r="1461" spans="1:10" ht="11.25" customHeight="1" x14ac:dyDescent="0.2">
      <c r="A1461" s="29">
        <v>44470</v>
      </c>
      <c r="B1461" s="19">
        <v>99018.504000000001</v>
      </c>
      <c r="C1461" s="19">
        <v>107864.05863222147</v>
      </c>
      <c r="D1461" s="19">
        <v>0</v>
      </c>
      <c r="E1461" s="19">
        <v>0</v>
      </c>
      <c r="F1461" s="19">
        <v>0</v>
      </c>
      <c r="G1461" s="19">
        <v>0</v>
      </c>
      <c r="H1461" s="20">
        <v>8.9332339662710591E-2</v>
      </c>
      <c r="I1461" s="20">
        <v>0</v>
      </c>
      <c r="J1461" s="20">
        <v>8.9332339662710591E-2</v>
      </c>
    </row>
    <row r="1462" spans="1:10" ht="11.25" customHeight="1" x14ac:dyDescent="0.2">
      <c r="A1462" s="29">
        <v>44501</v>
      </c>
      <c r="B1462" s="19">
        <v>105337.4904</v>
      </c>
      <c r="C1462" s="19">
        <v>114747.5348716303</v>
      </c>
      <c r="D1462" s="19">
        <v>0</v>
      </c>
      <c r="E1462" s="19">
        <v>0</v>
      </c>
      <c r="F1462" s="19">
        <v>0</v>
      </c>
      <c r="G1462" s="19">
        <v>0</v>
      </c>
      <c r="H1462" s="20">
        <v>8.9332339662710369E-2</v>
      </c>
      <c r="I1462" s="20">
        <v>0</v>
      </c>
      <c r="J1462" s="20">
        <v>8.9332339662710369E-2</v>
      </c>
    </row>
    <row r="1463" spans="1:10" ht="11.25" customHeight="1" x14ac:dyDescent="0.2">
      <c r="A1463" s="29">
        <v>44531</v>
      </c>
      <c r="B1463" s="19">
        <v>42431.162400000001</v>
      </c>
      <c r="C1463" s="19">
        <v>46221.637411800431</v>
      </c>
      <c r="D1463" s="19">
        <v>0</v>
      </c>
      <c r="E1463" s="19">
        <v>0</v>
      </c>
      <c r="F1463" s="19">
        <v>0</v>
      </c>
      <c r="G1463" s="19">
        <v>0</v>
      </c>
      <c r="H1463" s="20">
        <v>8.9332339662710591E-2</v>
      </c>
      <c r="I1463" s="20">
        <v>0</v>
      </c>
      <c r="J1463" s="20">
        <v>8.9332339662710591E-2</v>
      </c>
    </row>
    <row r="1464" spans="1:10" ht="11.25" customHeight="1" x14ac:dyDescent="0.2">
      <c r="A1464" s="29">
        <v>44562</v>
      </c>
      <c r="B1464" s="19">
        <v>42735.319199999998</v>
      </c>
      <c r="C1464" s="19">
        <v>46552.965250368754</v>
      </c>
      <c r="D1464" s="19">
        <v>0</v>
      </c>
      <c r="E1464" s="19">
        <v>0</v>
      </c>
      <c r="F1464" s="19">
        <v>0</v>
      </c>
      <c r="G1464" s="19">
        <v>0</v>
      </c>
      <c r="H1464" s="20">
        <v>8.9332339662710591E-2</v>
      </c>
      <c r="I1464" s="20">
        <v>0</v>
      </c>
      <c r="J1464" s="20">
        <v>8.9332339662710591E-2</v>
      </c>
    </row>
    <row r="1465" spans="1:10" ht="11.25" customHeight="1" x14ac:dyDescent="0.2">
      <c r="A1465" s="29">
        <v>44593</v>
      </c>
      <c r="B1465" s="19">
        <v>42996.945599999999</v>
      </c>
      <c r="C1465" s="19">
        <v>46837.963348798286</v>
      </c>
      <c r="D1465" s="19">
        <v>0</v>
      </c>
      <c r="E1465" s="19">
        <v>0</v>
      </c>
      <c r="F1465" s="19">
        <v>0</v>
      </c>
      <c r="G1465" s="19">
        <v>0</v>
      </c>
      <c r="H1465" s="20">
        <v>8.9332339662710591E-2</v>
      </c>
      <c r="I1465" s="20">
        <v>0</v>
      </c>
      <c r="J1465" s="20">
        <v>8.9332339662710591E-2</v>
      </c>
    </row>
    <row r="1466" spans="1:10" ht="11.25" customHeight="1" x14ac:dyDescent="0.2">
      <c r="A1466" s="29">
        <v>44621</v>
      </c>
      <c r="B1466" s="19">
        <v>45461.560799999999</v>
      </c>
      <c r="C1466" s="19">
        <v>49522.748390982561</v>
      </c>
      <c r="D1466" s="19">
        <v>0</v>
      </c>
      <c r="E1466" s="19">
        <v>0</v>
      </c>
      <c r="F1466" s="19">
        <v>0</v>
      </c>
      <c r="G1466" s="19">
        <v>0</v>
      </c>
      <c r="H1466" s="20">
        <v>8.9332339662710369E-2</v>
      </c>
      <c r="I1466" s="20">
        <v>0</v>
      </c>
      <c r="J1466" s="20">
        <v>8.9332339662710369E-2</v>
      </c>
    </row>
    <row r="1467" spans="1:10" ht="11.25" customHeight="1" x14ac:dyDescent="0.2">
      <c r="A1467" s="29">
        <v>44652</v>
      </c>
      <c r="B1467" s="19">
        <v>44115.624000000003</v>
      </c>
      <c r="C1467" s="19">
        <v>48056.575907600425</v>
      </c>
      <c r="D1467" s="19">
        <v>0</v>
      </c>
      <c r="E1467" s="19">
        <v>0</v>
      </c>
      <c r="F1467" s="19">
        <v>0</v>
      </c>
      <c r="G1467" s="19">
        <v>0</v>
      </c>
      <c r="H1467" s="20">
        <v>8.9332339662710369E-2</v>
      </c>
      <c r="I1467" s="20">
        <v>0</v>
      </c>
      <c r="J1467" s="20">
        <v>8.9332339662710369E-2</v>
      </c>
    </row>
    <row r="1468" spans="1:10" ht="11.25" customHeight="1" x14ac:dyDescent="0.2">
      <c r="A1468" s="29">
        <v>44682</v>
      </c>
      <c r="B1468" s="19">
        <v>40863.552000000003</v>
      </c>
      <c r="C1468" s="19">
        <v>44513.988707088836</v>
      </c>
      <c r="D1468" s="19">
        <v>0</v>
      </c>
      <c r="E1468" s="19">
        <v>0</v>
      </c>
      <c r="F1468" s="19">
        <v>0</v>
      </c>
      <c r="G1468" s="19">
        <v>0</v>
      </c>
      <c r="H1468" s="20">
        <v>8.9332339662710591E-2</v>
      </c>
      <c r="I1468" s="20">
        <v>0</v>
      </c>
      <c r="J1468" s="20">
        <v>8.9332339662710591E-2</v>
      </c>
    </row>
    <row r="1469" spans="1:10" ht="11.25" customHeight="1" x14ac:dyDescent="0.2">
      <c r="A1469" s="29">
        <v>44713</v>
      </c>
      <c r="B1469" s="19">
        <v>44359.207199999997</v>
      </c>
      <c r="C1469" s="19">
        <v>48321.918964758952</v>
      </c>
      <c r="D1469" s="19">
        <v>0</v>
      </c>
      <c r="E1469" s="19">
        <v>0</v>
      </c>
      <c r="F1469" s="19">
        <v>0</v>
      </c>
      <c r="G1469" s="19">
        <v>0</v>
      </c>
      <c r="H1469" s="20">
        <v>8.9332339662710591E-2</v>
      </c>
      <c r="I1469" s="20">
        <v>0</v>
      </c>
      <c r="J1469" s="20">
        <v>8.9332339662710591E-2</v>
      </c>
    </row>
    <row r="1470" spans="1:10" ht="11.25" customHeight="1" x14ac:dyDescent="0.2">
      <c r="A1470" s="29">
        <v>44743</v>
      </c>
      <c r="B1470" s="19">
        <v>44359.207199999997</v>
      </c>
      <c r="C1470" s="19">
        <v>48321.918964758952</v>
      </c>
      <c r="D1470" s="19">
        <v>0</v>
      </c>
      <c r="E1470" s="19">
        <v>0</v>
      </c>
      <c r="F1470" s="19">
        <v>0</v>
      </c>
      <c r="G1470" s="19">
        <v>0</v>
      </c>
      <c r="H1470" s="20">
        <v>8.9332339662710591E-2</v>
      </c>
      <c r="I1470" s="20">
        <v>0</v>
      </c>
      <c r="J1470" s="20">
        <v>8.9332339662710591E-2</v>
      </c>
    </row>
    <row r="1471" spans="1:10" ht="11.25" customHeight="1" x14ac:dyDescent="0.2">
      <c r="A1471" s="26" t="s">
        <v>25</v>
      </c>
      <c r="B1471" s="19">
        <v>28218254.030000001</v>
      </c>
      <c r="C1471" s="19">
        <v>30697209.227819763</v>
      </c>
      <c r="D1471" s="19">
        <v>20614845.028949998</v>
      </c>
      <c r="E1471" s="19">
        <v>27807379.146284517</v>
      </c>
      <c r="F1471" s="19">
        <v>0</v>
      </c>
      <c r="G1471" s="19">
        <v>0</v>
      </c>
      <c r="H1471" s="20">
        <v>0.19805192587673193</v>
      </c>
      <c r="I1471" s="20">
        <v>0</v>
      </c>
      <c r="J1471" s="20">
        <v>0.19805192587673193</v>
      </c>
    </row>
    <row r="1472" spans="1:10" ht="11.25" customHeight="1" x14ac:dyDescent="0.2">
      <c r="A1472" s="27" t="s">
        <v>25</v>
      </c>
      <c r="B1472" s="19">
        <v>28218254.030000001</v>
      </c>
      <c r="C1472" s="19">
        <v>30697209.227819763</v>
      </c>
      <c r="D1472" s="19">
        <v>20614845.028949998</v>
      </c>
      <c r="E1472" s="19">
        <v>27807379.146284517</v>
      </c>
      <c r="F1472" s="19">
        <v>0</v>
      </c>
      <c r="G1472" s="19">
        <v>0</v>
      </c>
      <c r="H1472" s="20">
        <v>0.19805192587673193</v>
      </c>
      <c r="I1472" s="20">
        <v>0</v>
      </c>
      <c r="J1472" s="20">
        <v>0.19805192587673193</v>
      </c>
    </row>
    <row r="1473" spans="1:10" ht="11.25" customHeight="1" x14ac:dyDescent="0.2">
      <c r="A1473" s="28" t="s">
        <v>35</v>
      </c>
      <c r="B1473" s="19">
        <v>10735252.430000002</v>
      </c>
      <c r="C1473" s="19">
        <v>11652410.19056485</v>
      </c>
      <c r="D1473" s="19">
        <v>0</v>
      </c>
      <c r="E1473" s="19">
        <v>0</v>
      </c>
      <c r="F1473" s="19">
        <v>0</v>
      </c>
      <c r="G1473" s="19">
        <v>0</v>
      </c>
      <c r="H1473" s="20">
        <v>8.5434205347777681E-2</v>
      </c>
      <c r="I1473" s="20">
        <v>0</v>
      </c>
      <c r="J1473" s="20">
        <v>8.5434205347777681E-2</v>
      </c>
    </row>
    <row r="1474" spans="1:10" ht="11.25" customHeight="1" x14ac:dyDescent="0.2">
      <c r="A1474" s="29">
        <v>44409</v>
      </c>
      <c r="B1474" s="19">
        <v>890003.26</v>
      </c>
      <c r="C1474" s="19">
        <v>966039.98127503158</v>
      </c>
      <c r="D1474" s="19">
        <v>0</v>
      </c>
      <c r="E1474" s="19">
        <v>0</v>
      </c>
      <c r="F1474" s="19">
        <v>0</v>
      </c>
      <c r="G1474" s="19">
        <v>0</v>
      </c>
      <c r="H1474" s="20">
        <v>8.5434205347777681E-2</v>
      </c>
      <c r="I1474" s="20">
        <v>0</v>
      </c>
      <c r="J1474" s="20">
        <v>8.5434205347777681E-2</v>
      </c>
    </row>
    <row r="1475" spans="1:10" ht="11.25" customHeight="1" x14ac:dyDescent="0.2">
      <c r="A1475" s="29">
        <v>44440</v>
      </c>
      <c r="B1475" s="19">
        <v>890885.69</v>
      </c>
      <c r="C1475" s="19">
        <v>966997.80098085664</v>
      </c>
      <c r="D1475" s="19">
        <v>0</v>
      </c>
      <c r="E1475" s="19">
        <v>0</v>
      </c>
      <c r="F1475" s="19">
        <v>0</v>
      </c>
      <c r="G1475" s="19">
        <v>0</v>
      </c>
      <c r="H1475" s="20">
        <v>8.5434205347777681E-2</v>
      </c>
      <c r="I1475" s="20">
        <v>0</v>
      </c>
      <c r="J1475" s="20">
        <v>8.5434205347777681E-2</v>
      </c>
    </row>
    <row r="1476" spans="1:10" ht="11.25" customHeight="1" x14ac:dyDescent="0.2">
      <c r="A1476" s="29">
        <v>44470</v>
      </c>
      <c r="B1476" s="19">
        <v>896816.96</v>
      </c>
      <c r="C1476" s="19">
        <v>973435.80432000977</v>
      </c>
      <c r="D1476" s="19">
        <v>0</v>
      </c>
      <c r="E1476" s="19">
        <v>0</v>
      </c>
      <c r="F1476" s="19">
        <v>0</v>
      </c>
      <c r="G1476" s="19">
        <v>0</v>
      </c>
      <c r="H1476" s="20">
        <v>8.5434205347777681E-2</v>
      </c>
      <c r="I1476" s="20">
        <v>0</v>
      </c>
      <c r="J1476" s="20">
        <v>8.5434205347777681E-2</v>
      </c>
    </row>
    <row r="1477" spans="1:10" ht="11.25" customHeight="1" x14ac:dyDescent="0.2">
      <c r="A1477" s="29">
        <v>44501</v>
      </c>
      <c r="B1477" s="19">
        <v>895778.15</v>
      </c>
      <c r="C1477" s="19">
        <v>972308.24441315245</v>
      </c>
      <c r="D1477" s="19">
        <v>0</v>
      </c>
      <c r="E1477" s="19">
        <v>0</v>
      </c>
      <c r="F1477" s="19">
        <v>0</v>
      </c>
      <c r="G1477" s="19">
        <v>0</v>
      </c>
      <c r="H1477" s="20">
        <v>8.5434205347777681E-2</v>
      </c>
      <c r="I1477" s="20">
        <v>0</v>
      </c>
      <c r="J1477" s="20">
        <v>8.5434205347777681E-2</v>
      </c>
    </row>
    <row r="1478" spans="1:10" ht="11.25" customHeight="1" x14ac:dyDescent="0.2">
      <c r="A1478" s="29">
        <v>44531</v>
      </c>
      <c r="B1478" s="19">
        <v>918643.14</v>
      </c>
      <c r="C1478" s="19">
        <v>997126.68666408735</v>
      </c>
      <c r="D1478" s="19">
        <v>0</v>
      </c>
      <c r="E1478" s="19">
        <v>0</v>
      </c>
      <c r="F1478" s="19">
        <v>0</v>
      </c>
      <c r="G1478" s="19">
        <v>0</v>
      </c>
      <c r="H1478" s="20">
        <v>8.5434205347777681E-2</v>
      </c>
      <c r="I1478" s="20">
        <v>0</v>
      </c>
      <c r="J1478" s="20">
        <v>8.5434205347777681E-2</v>
      </c>
    </row>
    <row r="1479" spans="1:10" ht="11.25" customHeight="1" x14ac:dyDescent="0.2">
      <c r="A1479" s="29">
        <v>44562</v>
      </c>
      <c r="B1479" s="19">
        <v>889791.03</v>
      </c>
      <c r="C1479" s="19">
        <v>965809.61957363063</v>
      </c>
      <c r="D1479" s="19">
        <v>0</v>
      </c>
      <c r="E1479" s="19">
        <v>0</v>
      </c>
      <c r="F1479" s="19">
        <v>0</v>
      </c>
      <c r="G1479" s="19">
        <v>0</v>
      </c>
      <c r="H1479" s="20">
        <v>8.5434205347777681E-2</v>
      </c>
      <c r="I1479" s="20">
        <v>0</v>
      </c>
      <c r="J1479" s="20">
        <v>8.5434205347777681E-2</v>
      </c>
    </row>
    <row r="1480" spans="1:10" ht="11.25" customHeight="1" x14ac:dyDescent="0.2">
      <c r="A1480" s="29">
        <v>44593</v>
      </c>
      <c r="B1480" s="19">
        <v>889779.86</v>
      </c>
      <c r="C1480" s="19">
        <v>965797.49527355691</v>
      </c>
      <c r="D1480" s="19">
        <v>0</v>
      </c>
      <c r="E1480" s="19">
        <v>0</v>
      </c>
      <c r="F1480" s="19">
        <v>0</v>
      </c>
      <c r="G1480" s="19">
        <v>0</v>
      </c>
      <c r="H1480" s="20">
        <v>8.5434205347777681E-2</v>
      </c>
      <c r="I1480" s="20">
        <v>0</v>
      </c>
      <c r="J1480" s="20">
        <v>8.5434205347777681E-2</v>
      </c>
    </row>
    <row r="1481" spans="1:10" ht="11.25" customHeight="1" x14ac:dyDescent="0.2">
      <c r="A1481" s="29">
        <v>44621</v>
      </c>
      <c r="B1481" s="19">
        <v>892170.23999999999</v>
      </c>
      <c r="C1481" s="19">
        <v>968392.09548933606</v>
      </c>
      <c r="D1481" s="19">
        <v>0</v>
      </c>
      <c r="E1481" s="19">
        <v>0</v>
      </c>
      <c r="F1481" s="19">
        <v>0</v>
      </c>
      <c r="G1481" s="19">
        <v>0</v>
      </c>
      <c r="H1481" s="20">
        <v>8.5434205347777681E-2</v>
      </c>
      <c r="I1481" s="20">
        <v>0</v>
      </c>
      <c r="J1481" s="20">
        <v>8.5434205347777681E-2</v>
      </c>
    </row>
    <row r="1482" spans="1:10" ht="11.25" customHeight="1" x14ac:dyDescent="0.2">
      <c r="A1482" s="29">
        <v>44652</v>
      </c>
      <c r="B1482" s="19">
        <v>893912.76</v>
      </c>
      <c r="C1482" s="19">
        <v>970283.48630083876</v>
      </c>
      <c r="D1482" s="19">
        <v>0</v>
      </c>
      <c r="E1482" s="19">
        <v>0</v>
      </c>
      <c r="F1482" s="19">
        <v>0</v>
      </c>
      <c r="G1482" s="19">
        <v>0</v>
      </c>
      <c r="H1482" s="20">
        <v>8.5434205347777681E-2</v>
      </c>
      <c r="I1482" s="20">
        <v>0</v>
      </c>
      <c r="J1482" s="20">
        <v>8.5434205347777681E-2</v>
      </c>
    </row>
    <row r="1483" spans="1:10" ht="11.25" customHeight="1" x14ac:dyDescent="0.2">
      <c r="A1483" s="29">
        <v>44682</v>
      </c>
      <c r="B1483" s="19">
        <v>894270.2</v>
      </c>
      <c r="C1483" s="19">
        <v>970671.46390319825</v>
      </c>
      <c r="D1483" s="19">
        <v>0</v>
      </c>
      <c r="E1483" s="19">
        <v>0</v>
      </c>
      <c r="F1483" s="19">
        <v>0</v>
      </c>
      <c r="G1483" s="19">
        <v>0</v>
      </c>
      <c r="H1483" s="20">
        <v>8.5434205347777681E-2</v>
      </c>
      <c r="I1483" s="20">
        <v>0</v>
      </c>
      <c r="J1483" s="20">
        <v>8.5434205347777681E-2</v>
      </c>
    </row>
    <row r="1484" spans="1:10" ht="11.25" customHeight="1" x14ac:dyDescent="0.2">
      <c r="A1484" s="29">
        <v>44713</v>
      </c>
      <c r="B1484" s="19">
        <v>891600.57</v>
      </c>
      <c r="C1484" s="19">
        <v>967773.75618557562</v>
      </c>
      <c r="D1484" s="19">
        <v>0</v>
      </c>
      <c r="E1484" s="19">
        <v>0</v>
      </c>
      <c r="F1484" s="19">
        <v>0</v>
      </c>
      <c r="G1484" s="19">
        <v>0</v>
      </c>
      <c r="H1484" s="20">
        <v>8.5434205347777681E-2</v>
      </c>
      <c r="I1484" s="20">
        <v>0</v>
      </c>
      <c r="J1484" s="20">
        <v>8.5434205347777681E-2</v>
      </c>
    </row>
    <row r="1485" spans="1:10" ht="11.25" customHeight="1" x14ac:dyDescent="0.2">
      <c r="A1485" s="29">
        <v>44743</v>
      </c>
      <c r="B1485" s="19">
        <v>891600.57</v>
      </c>
      <c r="C1485" s="19">
        <v>967773.75618557562</v>
      </c>
      <c r="D1485" s="19">
        <v>0</v>
      </c>
      <c r="E1485" s="19">
        <v>0</v>
      </c>
      <c r="F1485" s="19">
        <v>0</v>
      </c>
      <c r="G1485" s="19">
        <v>0</v>
      </c>
      <c r="H1485" s="20">
        <v>8.5434205347777681E-2</v>
      </c>
      <c r="I1485" s="20">
        <v>0</v>
      </c>
      <c r="J1485" s="20">
        <v>8.5434205347777681E-2</v>
      </c>
    </row>
    <row r="1486" spans="1:10" ht="11.25" customHeight="1" x14ac:dyDescent="0.2">
      <c r="A1486" s="28" t="s">
        <v>25</v>
      </c>
      <c r="B1486" s="19">
        <v>0</v>
      </c>
      <c r="C1486" s="19">
        <v>0</v>
      </c>
      <c r="D1486" s="19">
        <v>20614845.028949998</v>
      </c>
      <c r="E1486" s="19">
        <v>27807379.146284517</v>
      </c>
      <c r="F1486" s="19">
        <v>0</v>
      </c>
      <c r="G1486" s="19">
        <v>0</v>
      </c>
      <c r="H1486" s="20">
        <v>0.34890071243484222</v>
      </c>
      <c r="I1486" s="20">
        <v>0</v>
      </c>
      <c r="J1486" s="20">
        <v>0.34890071243484222</v>
      </c>
    </row>
    <row r="1487" spans="1:10" ht="11.25" customHeight="1" x14ac:dyDescent="0.2">
      <c r="A1487" s="29">
        <v>44409</v>
      </c>
      <c r="B1487" s="19">
        <v>0</v>
      </c>
      <c r="C1487" s="19">
        <v>0</v>
      </c>
      <c r="D1487" s="19">
        <v>1724235.8637000001</v>
      </c>
      <c r="E1487" s="19">
        <v>2325822.9849506347</v>
      </c>
      <c r="F1487" s="19">
        <v>0</v>
      </c>
      <c r="G1487" s="19">
        <v>0</v>
      </c>
      <c r="H1487" s="20">
        <v>0.34890071243484155</v>
      </c>
      <c r="I1487" s="20">
        <v>0</v>
      </c>
      <c r="J1487" s="20">
        <v>0.34890071243484155</v>
      </c>
    </row>
    <row r="1488" spans="1:10" ht="11.25" customHeight="1" x14ac:dyDescent="0.2">
      <c r="A1488" s="29">
        <v>44440</v>
      </c>
      <c r="B1488" s="19">
        <v>0</v>
      </c>
      <c r="C1488" s="19">
        <v>0</v>
      </c>
      <c r="D1488" s="19">
        <v>1755552.3777000001</v>
      </c>
      <c r="E1488" s="19">
        <v>2368065.8529962106</v>
      </c>
      <c r="F1488" s="19">
        <v>0</v>
      </c>
      <c r="G1488" s="19">
        <v>0</v>
      </c>
      <c r="H1488" s="20">
        <v>0.34890071243484178</v>
      </c>
      <c r="I1488" s="20">
        <v>0</v>
      </c>
      <c r="J1488" s="20">
        <v>0.34890071243484178</v>
      </c>
    </row>
    <row r="1489" spans="1:10" ht="11.25" customHeight="1" x14ac:dyDescent="0.2">
      <c r="A1489" s="29">
        <v>44470</v>
      </c>
      <c r="B1489" s="19">
        <v>0</v>
      </c>
      <c r="C1489" s="19">
        <v>0</v>
      </c>
      <c r="D1489" s="19">
        <v>1836114.5840000003</v>
      </c>
      <c r="E1489" s="19">
        <v>2476736.2704696036</v>
      </c>
      <c r="F1489" s="19">
        <v>0</v>
      </c>
      <c r="G1489" s="19">
        <v>0</v>
      </c>
      <c r="H1489" s="20">
        <v>0.34890071243484178</v>
      </c>
      <c r="I1489" s="20">
        <v>0</v>
      </c>
      <c r="J1489" s="20">
        <v>0.34890071243484178</v>
      </c>
    </row>
    <row r="1490" spans="1:10" ht="11.25" customHeight="1" x14ac:dyDescent="0.2">
      <c r="A1490" s="29">
        <v>44501</v>
      </c>
      <c r="B1490" s="19">
        <v>0</v>
      </c>
      <c r="C1490" s="19">
        <v>0</v>
      </c>
      <c r="D1490" s="19">
        <v>1724796.6093500003</v>
      </c>
      <c r="E1490" s="19">
        <v>2326579.3751574149</v>
      </c>
      <c r="F1490" s="19">
        <v>0</v>
      </c>
      <c r="G1490" s="19">
        <v>0</v>
      </c>
      <c r="H1490" s="20">
        <v>0.34890071243484178</v>
      </c>
      <c r="I1490" s="20">
        <v>0</v>
      </c>
      <c r="J1490" s="20">
        <v>0.34890071243484178</v>
      </c>
    </row>
    <row r="1491" spans="1:10" ht="11.25" customHeight="1" x14ac:dyDescent="0.2">
      <c r="A1491" s="29">
        <v>44531</v>
      </c>
      <c r="B1491" s="19">
        <v>0</v>
      </c>
      <c r="C1491" s="19">
        <v>0</v>
      </c>
      <c r="D1491" s="19">
        <v>1754544.9484500003</v>
      </c>
      <c r="E1491" s="19">
        <v>2366706.9309631581</v>
      </c>
      <c r="F1491" s="19">
        <v>0</v>
      </c>
      <c r="G1491" s="19">
        <v>0</v>
      </c>
      <c r="H1491" s="20">
        <v>0.34890071243484178</v>
      </c>
      <c r="I1491" s="20">
        <v>0</v>
      </c>
      <c r="J1491" s="20">
        <v>0.34890071243484178</v>
      </c>
    </row>
    <row r="1492" spans="1:10" ht="11.25" customHeight="1" x14ac:dyDescent="0.2">
      <c r="A1492" s="29">
        <v>44562</v>
      </c>
      <c r="B1492" s="19">
        <v>0</v>
      </c>
      <c r="C1492" s="19">
        <v>0</v>
      </c>
      <c r="D1492" s="19">
        <v>1530999.1875500001</v>
      </c>
      <c r="E1492" s="19">
        <v>2065165.8948233591</v>
      </c>
      <c r="F1492" s="19">
        <v>0</v>
      </c>
      <c r="G1492" s="19">
        <v>0</v>
      </c>
      <c r="H1492" s="20">
        <v>0.34890071243484178</v>
      </c>
      <c r="I1492" s="20">
        <v>0</v>
      </c>
      <c r="J1492" s="20">
        <v>0.34890071243484178</v>
      </c>
    </row>
    <row r="1493" spans="1:10" ht="11.25" customHeight="1" x14ac:dyDescent="0.2">
      <c r="A1493" s="29">
        <v>44593</v>
      </c>
      <c r="B1493" s="19">
        <v>0</v>
      </c>
      <c r="C1493" s="19">
        <v>0</v>
      </c>
      <c r="D1493" s="19">
        <v>1755330.5041499999</v>
      </c>
      <c r="E1493" s="19">
        <v>2367766.5676065451</v>
      </c>
      <c r="F1493" s="19">
        <v>0</v>
      </c>
      <c r="G1493" s="19">
        <v>0</v>
      </c>
      <c r="H1493" s="20">
        <v>0.34890071243484178</v>
      </c>
      <c r="I1493" s="20">
        <v>0</v>
      </c>
      <c r="J1493" s="20">
        <v>0.34890071243484178</v>
      </c>
    </row>
    <row r="1494" spans="1:10" ht="11.25" customHeight="1" x14ac:dyDescent="0.2">
      <c r="A1494" s="29">
        <v>44621</v>
      </c>
      <c r="B1494" s="19">
        <v>0</v>
      </c>
      <c r="C1494" s="19">
        <v>0</v>
      </c>
      <c r="D1494" s="19">
        <v>1578424.83715</v>
      </c>
      <c r="E1494" s="19">
        <v>2129138.3873564843</v>
      </c>
      <c r="F1494" s="19">
        <v>0</v>
      </c>
      <c r="G1494" s="19">
        <v>0</v>
      </c>
      <c r="H1494" s="20">
        <v>0.34890071243484178</v>
      </c>
      <c r="I1494" s="20">
        <v>0</v>
      </c>
      <c r="J1494" s="20">
        <v>0.34890071243484178</v>
      </c>
    </row>
    <row r="1495" spans="1:10" ht="11.25" customHeight="1" x14ac:dyDescent="0.2">
      <c r="A1495" s="29">
        <v>44652</v>
      </c>
      <c r="B1495" s="19">
        <v>0</v>
      </c>
      <c r="C1495" s="19">
        <v>0</v>
      </c>
      <c r="D1495" s="19">
        <v>1760047.4879999999</v>
      </c>
      <c r="E1495" s="19">
        <v>2374129.3104823534</v>
      </c>
      <c r="F1495" s="19">
        <v>0</v>
      </c>
      <c r="G1495" s="19">
        <v>0</v>
      </c>
      <c r="H1495" s="20">
        <v>0.34890071243484178</v>
      </c>
      <c r="I1495" s="20">
        <v>0</v>
      </c>
      <c r="J1495" s="20">
        <v>0.34890071243484178</v>
      </c>
    </row>
    <row r="1496" spans="1:10" ht="11.25" customHeight="1" x14ac:dyDescent="0.2">
      <c r="A1496" s="29">
        <v>44682</v>
      </c>
      <c r="B1496" s="19">
        <v>0</v>
      </c>
      <c r="C1496" s="19">
        <v>0</v>
      </c>
      <c r="D1496" s="19">
        <v>1716988.9173000001</v>
      </c>
      <c r="E1496" s="19">
        <v>2316047.5737886978</v>
      </c>
      <c r="F1496" s="19">
        <v>0</v>
      </c>
      <c r="G1496" s="19">
        <v>0</v>
      </c>
      <c r="H1496" s="20">
        <v>0.34890071243484178</v>
      </c>
      <c r="I1496" s="20">
        <v>0</v>
      </c>
      <c r="J1496" s="20">
        <v>0.34890071243484178</v>
      </c>
    </row>
    <row r="1497" spans="1:10" ht="11.25" customHeight="1" x14ac:dyDescent="0.2">
      <c r="A1497" s="29">
        <v>44713</v>
      </c>
      <c r="B1497" s="19">
        <v>0</v>
      </c>
      <c r="C1497" s="19">
        <v>0</v>
      </c>
      <c r="D1497" s="19">
        <v>1738904.8558</v>
      </c>
      <c r="E1497" s="19">
        <v>2345609.9988450259</v>
      </c>
      <c r="F1497" s="19">
        <v>0</v>
      </c>
      <c r="G1497" s="19">
        <v>0</v>
      </c>
      <c r="H1497" s="20">
        <v>0.34890071243484178</v>
      </c>
      <c r="I1497" s="20">
        <v>0</v>
      </c>
      <c r="J1497" s="20">
        <v>0.34890071243484178</v>
      </c>
    </row>
    <row r="1498" spans="1:10" ht="11.25" customHeight="1" x14ac:dyDescent="0.2">
      <c r="A1498" s="29">
        <v>44743</v>
      </c>
      <c r="B1498" s="19">
        <v>0</v>
      </c>
      <c r="C1498" s="19">
        <v>0</v>
      </c>
      <c r="D1498" s="19">
        <v>1738904.8558</v>
      </c>
      <c r="E1498" s="19">
        <v>2345609.9988450259</v>
      </c>
      <c r="F1498" s="19">
        <v>0</v>
      </c>
      <c r="G1498" s="19">
        <v>0</v>
      </c>
      <c r="H1498" s="20">
        <v>0.34890071243484178</v>
      </c>
      <c r="I1498" s="20">
        <v>0</v>
      </c>
      <c r="J1498" s="20">
        <v>0.34890071243484178</v>
      </c>
    </row>
    <row r="1499" spans="1:10" ht="11.25" customHeight="1" x14ac:dyDescent="0.2">
      <c r="A1499" s="28" t="s">
        <v>34</v>
      </c>
      <c r="B1499" s="19">
        <v>17483001.600000001</v>
      </c>
      <c r="C1499" s="19">
        <v>19044799.037254911</v>
      </c>
      <c r="D1499" s="19">
        <v>0</v>
      </c>
      <c r="E1499" s="19">
        <v>0</v>
      </c>
      <c r="F1499" s="19">
        <v>0</v>
      </c>
      <c r="G1499" s="19">
        <v>0</v>
      </c>
      <c r="H1499" s="20">
        <v>8.9332339662710369E-2</v>
      </c>
      <c r="I1499" s="20">
        <v>0</v>
      </c>
      <c r="J1499" s="20">
        <v>8.9332339662710369E-2</v>
      </c>
    </row>
    <row r="1500" spans="1:10" ht="11.25" customHeight="1" x14ac:dyDescent="0.2">
      <c r="A1500" s="29">
        <v>44409</v>
      </c>
      <c r="B1500" s="19">
        <v>1449942.96</v>
      </c>
      <c r="C1500" s="19">
        <v>1579469.7569942758</v>
      </c>
      <c r="D1500" s="19">
        <v>0</v>
      </c>
      <c r="E1500" s="19">
        <v>0</v>
      </c>
      <c r="F1500" s="19">
        <v>0</v>
      </c>
      <c r="G1500" s="19">
        <v>0</v>
      </c>
      <c r="H1500" s="20">
        <v>8.9332339662710591E-2</v>
      </c>
      <c r="I1500" s="20">
        <v>0</v>
      </c>
      <c r="J1500" s="20">
        <v>8.9332339662710591E-2</v>
      </c>
    </row>
    <row r="1501" spans="1:10" ht="11.25" customHeight="1" x14ac:dyDescent="0.2">
      <c r="A1501" s="29">
        <v>44440</v>
      </c>
      <c r="B1501" s="19">
        <v>1451596.92</v>
      </c>
      <c r="C1501" s="19">
        <v>1581271.4691107844</v>
      </c>
      <c r="D1501" s="19">
        <v>0</v>
      </c>
      <c r="E1501" s="19">
        <v>0</v>
      </c>
      <c r="F1501" s="19">
        <v>0</v>
      </c>
      <c r="G1501" s="19">
        <v>0</v>
      </c>
      <c r="H1501" s="20">
        <v>8.9332339662710591E-2</v>
      </c>
      <c r="I1501" s="20">
        <v>0</v>
      </c>
      <c r="J1501" s="20">
        <v>8.9332339662710591E-2</v>
      </c>
    </row>
    <row r="1502" spans="1:10" ht="11.25" customHeight="1" x14ac:dyDescent="0.2">
      <c r="A1502" s="29">
        <v>44470</v>
      </c>
      <c r="B1502" s="19">
        <v>1459974.12</v>
      </c>
      <c r="C1502" s="19">
        <v>1590397.0239866069</v>
      </c>
      <c r="D1502" s="19">
        <v>0</v>
      </c>
      <c r="E1502" s="19">
        <v>0</v>
      </c>
      <c r="F1502" s="19">
        <v>0</v>
      </c>
      <c r="G1502" s="19">
        <v>0</v>
      </c>
      <c r="H1502" s="20">
        <v>8.9332339662710369E-2</v>
      </c>
      <c r="I1502" s="20">
        <v>0</v>
      </c>
      <c r="J1502" s="20">
        <v>8.9332339662710369E-2</v>
      </c>
    </row>
    <row r="1503" spans="1:10" ht="11.25" customHeight="1" x14ac:dyDescent="0.2">
      <c r="A1503" s="29">
        <v>44501</v>
      </c>
      <c r="B1503" s="19">
        <v>1463690.16</v>
      </c>
      <c r="C1503" s="19">
        <v>1594445.026534087</v>
      </c>
      <c r="D1503" s="19">
        <v>0</v>
      </c>
      <c r="E1503" s="19">
        <v>0</v>
      </c>
      <c r="F1503" s="19">
        <v>0</v>
      </c>
      <c r="G1503" s="19">
        <v>0</v>
      </c>
      <c r="H1503" s="20">
        <v>8.9332339662710591E-2</v>
      </c>
      <c r="I1503" s="20">
        <v>0</v>
      </c>
      <c r="J1503" s="20">
        <v>8.9332339662710591E-2</v>
      </c>
    </row>
    <row r="1504" spans="1:10" ht="11.25" customHeight="1" x14ac:dyDescent="0.2">
      <c r="A1504" s="29">
        <v>44531</v>
      </c>
      <c r="B1504" s="19">
        <v>1495673.8800000001</v>
      </c>
      <c r="C1504" s="19">
        <v>1629285.927072804</v>
      </c>
      <c r="D1504" s="19">
        <v>0</v>
      </c>
      <c r="E1504" s="19">
        <v>0</v>
      </c>
      <c r="F1504" s="19">
        <v>0</v>
      </c>
      <c r="G1504" s="19">
        <v>0</v>
      </c>
      <c r="H1504" s="20">
        <v>8.9332339662710369E-2</v>
      </c>
      <c r="I1504" s="20">
        <v>0</v>
      </c>
      <c r="J1504" s="20">
        <v>8.9332339662710369E-2</v>
      </c>
    </row>
    <row r="1505" spans="1:10" ht="11.25" customHeight="1" x14ac:dyDescent="0.2">
      <c r="A1505" s="29">
        <v>44562</v>
      </c>
      <c r="B1505" s="19">
        <v>1450931.04</v>
      </c>
      <c r="C1505" s="19">
        <v>1580546.1044924497</v>
      </c>
      <c r="D1505" s="19">
        <v>0</v>
      </c>
      <c r="E1505" s="19">
        <v>0</v>
      </c>
      <c r="F1505" s="19">
        <v>0</v>
      </c>
      <c r="G1505" s="19">
        <v>0</v>
      </c>
      <c r="H1505" s="20">
        <v>8.9332339662710369E-2</v>
      </c>
      <c r="I1505" s="20">
        <v>0</v>
      </c>
      <c r="J1505" s="20">
        <v>8.9332339662710369E-2</v>
      </c>
    </row>
    <row r="1506" spans="1:10" ht="11.25" customHeight="1" x14ac:dyDescent="0.2">
      <c r="A1506" s="29">
        <v>44593</v>
      </c>
      <c r="B1506" s="19">
        <v>1446527.6400000001</v>
      </c>
      <c r="C1506" s="19">
        <v>1575749.3384679789</v>
      </c>
      <c r="D1506" s="19">
        <v>0</v>
      </c>
      <c r="E1506" s="19">
        <v>0</v>
      </c>
      <c r="F1506" s="19">
        <v>0</v>
      </c>
      <c r="G1506" s="19">
        <v>0</v>
      </c>
      <c r="H1506" s="20">
        <v>8.9332339662710369E-2</v>
      </c>
      <c r="I1506" s="20">
        <v>0</v>
      </c>
      <c r="J1506" s="20">
        <v>8.9332339662710369E-2</v>
      </c>
    </row>
    <row r="1507" spans="1:10" ht="11.25" customHeight="1" x14ac:dyDescent="0.2">
      <c r="A1507" s="29">
        <v>44621</v>
      </c>
      <c r="B1507" s="19">
        <v>1441866.48</v>
      </c>
      <c r="C1507" s="19">
        <v>1570671.7861396368</v>
      </c>
      <c r="D1507" s="19">
        <v>0</v>
      </c>
      <c r="E1507" s="19">
        <v>0</v>
      </c>
      <c r="F1507" s="19">
        <v>0</v>
      </c>
      <c r="G1507" s="19">
        <v>0</v>
      </c>
      <c r="H1507" s="20">
        <v>8.9332339662710591E-2</v>
      </c>
      <c r="I1507" s="20">
        <v>0</v>
      </c>
      <c r="J1507" s="20">
        <v>8.9332339662710591E-2</v>
      </c>
    </row>
    <row r="1508" spans="1:10" ht="11.25" customHeight="1" x14ac:dyDescent="0.2">
      <c r="A1508" s="29">
        <v>44652</v>
      </c>
      <c r="B1508" s="19">
        <v>1455506.28</v>
      </c>
      <c r="C1508" s="19">
        <v>1585530.0613861682</v>
      </c>
      <c r="D1508" s="19">
        <v>0</v>
      </c>
      <c r="E1508" s="19">
        <v>0</v>
      </c>
      <c r="F1508" s="19">
        <v>0</v>
      </c>
      <c r="G1508" s="19">
        <v>0</v>
      </c>
      <c r="H1508" s="20">
        <v>8.9332339662710591E-2</v>
      </c>
      <c r="I1508" s="20">
        <v>0</v>
      </c>
      <c r="J1508" s="20">
        <v>8.9332339662710591E-2</v>
      </c>
    </row>
    <row r="1509" spans="1:10" ht="11.25" customHeight="1" x14ac:dyDescent="0.2">
      <c r="A1509" s="29">
        <v>44682</v>
      </c>
      <c r="B1509" s="19">
        <v>1454561.16</v>
      </c>
      <c r="C1509" s="19">
        <v>1584500.5116053061</v>
      </c>
      <c r="D1509" s="19">
        <v>0</v>
      </c>
      <c r="E1509" s="19">
        <v>0</v>
      </c>
      <c r="F1509" s="19">
        <v>0</v>
      </c>
      <c r="G1509" s="19">
        <v>0</v>
      </c>
      <c r="H1509" s="20">
        <v>8.9332339662710369E-2</v>
      </c>
      <c r="I1509" s="20">
        <v>0</v>
      </c>
      <c r="J1509" s="20">
        <v>8.9332339662710369E-2</v>
      </c>
    </row>
    <row r="1510" spans="1:10" ht="11.25" customHeight="1" x14ac:dyDescent="0.2">
      <c r="A1510" s="29">
        <v>44713</v>
      </c>
      <c r="B1510" s="19">
        <v>1456365.48</v>
      </c>
      <c r="C1510" s="19">
        <v>1586466.0157324064</v>
      </c>
      <c r="D1510" s="19">
        <v>0</v>
      </c>
      <c r="E1510" s="19">
        <v>0</v>
      </c>
      <c r="F1510" s="19">
        <v>0</v>
      </c>
      <c r="G1510" s="19">
        <v>0</v>
      </c>
      <c r="H1510" s="20">
        <v>8.9332339662710591E-2</v>
      </c>
      <c r="I1510" s="20">
        <v>0</v>
      </c>
      <c r="J1510" s="20">
        <v>8.9332339662710591E-2</v>
      </c>
    </row>
    <row r="1511" spans="1:10" ht="11.25" customHeight="1" x14ac:dyDescent="0.2">
      <c r="A1511" s="29">
        <v>44743</v>
      </c>
      <c r="B1511" s="19">
        <v>1456365.48</v>
      </c>
      <c r="C1511" s="19">
        <v>1586466.0157324064</v>
      </c>
      <c r="D1511" s="19">
        <v>0</v>
      </c>
      <c r="E1511" s="19">
        <v>0</v>
      </c>
      <c r="F1511" s="19">
        <v>0</v>
      </c>
      <c r="G1511" s="19">
        <v>0</v>
      </c>
      <c r="H1511" s="20">
        <v>8.9332339662710591E-2</v>
      </c>
      <c r="I1511" s="20">
        <v>0</v>
      </c>
      <c r="J1511" s="20">
        <v>8.9332339662710591E-2</v>
      </c>
    </row>
    <row r="1512" spans="1:10" ht="11.25" customHeight="1" x14ac:dyDescent="0.2">
      <c r="A1512" s="22" t="s">
        <v>41</v>
      </c>
      <c r="B1512" s="19">
        <v>15186725.154300006</v>
      </c>
      <c r="C1512" s="19">
        <v>16731238.441951776</v>
      </c>
      <c r="D1512" s="19">
        <v>20122346.834563404</v>
      </c>
      <c r="E1512" s="19">
        <v>23748946.591902357</v>
      </c>
      <c r="F1512" s="19">
        <v>0</v>
      </c>
      <c r="G1512" s="19">
        <v>0</v>
      </c>
      <c r="H1512" s="20">
        <v>0.1464528166195278</v>
      </c>
      <c r="I1512" s="20">
        <v>0</v>
      </c>
      <c r="J1512" s="20">
        <v>0.1464528166195278</v>
      </c>
    </row>
    <row r="1513" spans="1:10" ht="11.25" customHeight="1" x14ac:dyDescent="0.2">
      <c r="A1513" s="23" t="s">
        <v>40</v>
      </c>
      <c r="B1513" s="19">
        <v>9063161.0955000017</v>
      </c>
      <c r="C1513" s="19">
        <v>9983697.3854940645</v>
      </c>
      <c r="D1513" s="19">
        <v>5848496.5504900003</v>
      </c>
      <c r="E1513" s="19">
        <v>7093167.7636628468</v>
      </c>
      <c r="F1513" s="19">
        <v>0</v>
      </c>
      <c r="G1513" s="19">
        <v>0</v>
      </c>
      <c r="H1513" s="20">
        <v>0.14520233461429877</v>
      </c>
      <c r="I1513" s="20">
        <v>0</v>
      </c>
      <c r="J1513" s="20">
        <v>0.14520233461429877</v>
      </c>
    </row>
    <row r="1514" spans="1:10" ht="11.25" customHeight="1" x14ac:dyDescent="0.2">
      <c r="A1514" s="24" t="s">
        <v>43</v>
      </c>
      <c r="B1514" s="19">
        <v>4964.3999999999996</v>
      </c>
      <c r="C1514" s="19">
        <v>5468.6837515485513</v>
      </c>
      <c r="D1514" s="19">
        <v>968.45845999999995</v>
      </c>
      <c r="E1514" s="19">
        <v>1174.5648252700137</v>
      </c>
      <c r="F1514" s="19">
        <v>0</v>
      </c>
      <c r="G1514" s="19">
        <v>0</v>
      </c>
      <c r="H1514" s="20">
        <v>0.11973825460494236</v>
      </c>
      <c r="I1514" s="20">
        <v>0</v>
      </c>
      <c r="J1514" s="20">
        <v>0.11973825460494236</v>
      </c>
    </row>
    <row r="1515" spans="1:10" ht="11.25" customHeight="1" x14ac:dyDescent="0.2">
      <c r="A1515" s="25" t="s">
        <v>25</v>
      </c>
      <c r="B1515" s="19">
        <v>4964.3999999999996</v>
      </c>
      <c r="C1515" s="19">
        <v>5468.6837515485513</v>
      </c>
      <c r="D1515" s="19">
        <v>968.45845999999995</v>
      </c>
      <c r="E1515" s="19">
        <v>1174.5648252700137</v>
      </c>
      <c r="F1515" s="19">
        <v>0</v>
      </c>
      <c r="G1515" s="19">
        <v>0</v>
      </c>
      <c r="H1515" s="20">
        <v>0.11973825460494236</v>
      </c>
      <c r="I1515" s="20">
        <v>0</v>
      </c>
      <c r="J1515" s="20">
        <v>0.11973825460494236</v>
      </c>
    </row>
    <row r="1516" spans="1:10" ht="11.25" customHeight="1" x14ac:dyDescent="0.2">
      <c r="A1516" s="26" t="s">
        <v>25</v>
      </c>
      <c r="B1516" s="19">
        <v>4964.3999999999996</v>
      </c>
      <c r="C1516" s="19">
        <v>5468.6837515485513</v>
      </c>
      <c r="D1516" s="19">
        <v>968.45845999999995</v>
      </c>
      <c r="E1516" s="19">
        <v>1174.5648252700137</v>
      </c>
      <c r="F1516" s="19">
        <v>0</v>
      </c>
      <c r="G1516" s="19">
        <v>0</v>
      </c>
      <c r="H1516" s="20">
        <v>0.11973825460494236</v>
      </c>
      <c r="I1516" s="20">
        <v>0</v>
      </c>
      <c r="J1516" s="20">
        <v>0.11973825460494236</v>
      </c>
    </row>
    <row r="1517" spans="1:10" ht="11.25" customHeight="1" x14ac:dyDescent="0.2">
      <c r="A1517" s="27" t="s">
        <v>25</v>
      </c>
      <c r="B1517" s="19">
        <v>4964.3999999999996</v>
      </c>
      <c r="C1517" s="19">
        <v>5468.6837515485513</v>
      </c>
      <c r="D1517" s="19">
        <v>968.45845999999995</v>
      </c>
      <c r="E1517" s="19">
        <v>1174.5648252700137</v>
      </c>
      <c r="F1517" s="19">
        <v>0</v>
      </c>
      <c r="G1517" s="19">
        <v>0</v>
      </c>
      <c r="H1517" s="20">
        <v>0.11973825460494236</v>
      </c>
      <c r="I1517" s="20">
        <v>0</v>
      </c>
      <c r="J1517" s="20">
        <v>0.11973825460494236</v>
      </c>
    </row>
    <row r="1518" spans="1:10" ht="11.25" customHeight="1" x14ac:dyDescent="0.2">
      <c r="A1518" s="28" t="s">
        <v>35</v>
      </c>
      <c r="B1518" s="19">
        <v>1835.3999999999999</v>
      </c>
      <c r="C1518" s="19">
        <v>2022.4230098850935</v>
      </c>
      <c r="D1518" s="19">
        <v>0</v>
      </c>
      <c r="E1518" s="19">
        <v>0</v>
      </c>
      <c r="F1518" s="19">
        <v>0</v>
      </c>
      <c r="G1518" s="19">
        <v>0</v>
      </c>
      <c r="H1518" s="20">
        <v>0.10189768436585678</v>
      </c>
      <c r="I1518" s="20">
        <v>0</v>
      </c>
      <c r="J1518" s="20">
        <v>0.10189768436585678</v>
      </c>
    </row>
    <row r="1519" spans="1:10" ht="11.25" customHeight="1" x14ac:dyDescent="0.2">
      <c r="A1519" s="29">
        <v>44409</v>
      </c>
      <c r="B1519" s="19">
        <v>1835.3999999999999</v>
      </c>
      <c r="C1519" s="19">
        <v>2022.4230098850935</v>
      </c>
      <c r="D1519" s="19">
        <v>0</v>
      </c>
      <c r="E1519" s="19">
        <v>0</v>
      </c>
      <c r="F1519" s="19">
        <v>0</v>
      </c>
      <c r="G1519" s="19">
        <v>0</v>
      </c>
      <c r="H1519" s="20">
        <v>0.10189768436585678</v>
      </c>
      <c r="I1519" s="20">
        <v>0</v>
      </c>
      <c r="J1519" s="20">
        <v>0.10189768436585678</v>
      </c>
    </row>
    <row r="1520" spans="1:10" ht="11.25" customHeight="1" x14ac:dyDescent="0.2">
      <c r="A1520" s="28" t="s">
        <v>25</v>
      </c>
      <c r="B1520" s="19">
        <v>0</v>
      </c>
      <c r="C1520" s="19">
        <v>0</v>
      </c>
      <c r="D1520" s="19">
        <v>968.45845999999995</v>
      </c>
      <c r="E1520" s="19">
        <v>1174.5648252700137</v>
      </c>
      <c r="F1520" s="19">
        <v>0</v>
      </c>
      <c r="G1520" s="19">
        <v>0</v>
      </c>
      <c r="H1520" s="20">
        <v>0.21281900441038415</v>
      </c>
      <c r="I1520" s="20">
        <v>0</v>
      </c>
      <c r="J1520" s="20">
        <v>0.21281900441038415</v>
      </c>
    </row>
    <row r="1521" spans="1:10" ht="11.25" customHeight="1" x14ac:dyDescent="0.2">
      <c r="A1521" s="29">
        <v>44409</v>
      </c>
      <c r="B1521" s="19">
        <v>0</v>
      </c>
      <c r="C1521" s="19">
        <v>0</v>
      </c>
      <c r="D1521" s="19">
        <v>968.45845999999995</v>
      </c>
      <c r="E1521" s="19">
        <v>1174.5648252700137</v>
      </c>
      <c r="F1521" s="19">
        <v>0</v>
      </c>
      <c r="G1521" s="19">
        <v>0</v>
      </c>
      <c r="H1521" s="20">
        <v>0.21281900441038415</v>
      </c>
      <c r="I1521" s="20">
        <v>0</v>
      </c>
      <c r="J1521" s="20">
        <v>0.21281900441038415</v>
      </c>
    </row>
    <row r="1522" spans="1:10" ht="11.25" customHeight="1" x14ac:dyDescent="0.2">
      <c r="A1522" s="28" t="s">
        <v>34</v>
      </c>
      <c r="B1522" s="19">
        <v>3129</v>
      </c>
      <c r="C1522" s="19">
        <v>3446.2607416634582</v>
      </c>
      <c r="D1522" s="19">
        <v>0</v>
      </c>
      <c r="E1522" s="19">
        <v>0</v>
      </c>
      <c r="F1522" s="19">
        <v>0</v>
      </c>
      <c r="G1522" s="19">
        <v>0</v>
      </c>
      <c r="H1522" s="20">
        <v>0.10139365345588303</v>
      </c>
      <c r="I1522" s="20">
        <v>0</v>
      </c>
      <c r="J1522" s="20">
        <v>0.10139365345588303</v>
      </c>
    </row>
    <row r="1523" spans="1:10" ht="11.25" customHeight="1" x14ac:dyDescent="0.2">
      <c r="A1523" s="29">
        <v>44409</v>
      </c>
      <c r="B1523" s="19">
        <v>3129</v>
      </c>
      <c r="C1523" s="19">
        <v>3446.2607416634582</v>
      </c>
      <c r="D1523" s="19">
        <v>0</v>
      </c>
      <c r="E1523" s="19">
        <v>0</v>
      </c>
      <c r="F1523" s="19">
        <v>0</v>
      </c>
      <c r="G1523" s="19">
        <v>0</v>
      </c>
      <c r="H1523" s="20">
        <v>0.10139365345588303</v>
      </c>
      <c r="I1523" s="20">
        <v>0</v>
      </c>
      <c r="J1523" s="20">
        <v>0.10139365345588303</v>
      </c>
    </row>
    <row r="1524" spans="1:10" ht="11.25" customHeight="1" x14ac:dyDescent="0.2">
      <c r="A1524" s="24" t="s">
        <v>38</v>
      </c>
      <c r="B1524" s="19">
        <v>9058196.6954999994</v>
      </c>
      <c r="C1524" s="19">
        <v>9978228.701742515</v>
      </c>
      <c r="D1524" s="19">
        <v>5847528.0920300009</v>
      </c>
      <c r="E1524" s="19">
        <v>7091993.1988375764</v>
      </c>
      <c r="F1524" s="19">
        <v>0</v>
      </c>
      <c r="G1524" s="19">
        <v>0</v>
      </c>
      <c r="H1524" s="20">
        <v>0.14521246996730341</v>
      </c>
      <c r="I1524" s="20">
        <v>0</v>
      </c>
      <c r="J1524" s="20">
        <v>0.14521246996730341</v>
      </c>
    </row>
    <row r="1525" spans="1:10" ht="11.25" customHeight="1" x14ac:dyDescent="0.2">
      <c r="A1525" s="25" t="s">
        <v>25</v>
      </c>
      <c r="B1525" s="19">
        <v>9058196.6954999994</v>
      </c>
      <c r="C1525" s="19">
        <v>9978228.701742515</v>
      </c>
      <c r="D1525" s="19">
        <v>5847528.0920300009</v>
      </c>
      <c r="E1525" s="19">
        <v>7091993.1988375764</v>
      </c>
      <c r="F1525" s="19">
        <v>0</v>
      </c>
      <c r="G1525" s="19">
        <v>0</v>
      </c>
      <c r="H1525" s="20">
        <v>0.14521246996730341</v>
      </c>
      <c r="I1525" s="20">
        <v>0</v>
      </c>
      <c r="J1525" s="20">
        <v>0.14521246996730341</v>
      </c>
    </row>
    <row r="1526" spans="1:10" ht="11.25" customHeight="1" x14ac:dyDescent="0.2">
      <c r="A1526" s="26" t="s">
        <v>61</v>
      </c>
      <c r="B1526" s="19">
        <v>8256679.3255000003</v>
      </c>
      <c r="C1526" s="19">
        <v>9095307.2814823221</v>
      </c>
      <c r="D1526" s="19">
        <v>5520350.5631500008</v>
      </c>
      <c r="E1526" s="19">
        <v>6695186.0739958854</v>
      </c>
      <c r="F1526" s="19">
        <v>0</v>
      </c>
      <c r="G1526" s="19">
        <v>0</v>
      </c>
      <c r="H1526" s="20">
        <v>0.14614641059078859</v>
      </c>
      <c r="I1526" s="20">
        <v>0</v>
      </c>
      <c r="J1526" s="20">
        <v>0.14614641059078859</v>
      </c>
    </row>
    <row r="1527" spans="1:10" ht="11.25" customHeight="1" x14ac:dyDescent="0.2">
      <c r="A1527" s="27" t="s">
        <v>25</v>
      </c>
      <c r="B1527" s="19">
        <v>8256679.3255000003</v>
      </c>
      <c r="C1527" s="19">
        <v>9095307.2814823221</v>
      </c>
      <c r="D1527" s="19">
        <v>5520350.5631500008</v>
      </c>
      <c r="E1527" s="19">
        <v>6695186.0739958854</v>
      </c>
      <c r="F1527" s="19">
        <v>0</v>
      </c>
      <c r="G1527" s="19">
        <v>0</v>
      </c>
      <c r="H1527" s="20">
        <v>0.14614641059078859</v>
      </c>
      <c r="I1527" s="20">
        <v>0</v>
      </c>
      <c r="J1527" s="20">
        <v>0.14614641059078859</v>
      </c>
    </row>
    <row r="1528" spans="1:10" ht="11.25" customHeight="1" x14ac:dyDescent="0.2">
      <c r="A1528" s="28" t="s">
        <v>35</v>
      </c>
      <c r="B1528" s="19">
        <v>2882906.0429999996</v>
      </c>
      <c r="C1528" s="19">
        <v>3176667.4930260349</v>
      </c>
      <c r="D1528" s="19">
        <v>0</v>
      </c>
      <c r="E1528" s="19">
        <v>0</v>
      </c>
      <c r="F1528" s="19">
        <v>0</v>
      </c>
      <c r="G1528" s="19">
        <v>0</v>
      </c>
      <c r="H1528" s="20">
        <v>0.10189768436585678</v>
      </c>
      <c r="I1528" s="20">
        <v>0</v>
      </c>
      <c r="J1528" s="20">
        <v>0.10189768436585678</v>
      </c>
    </row>
    <row r="1529" spans="1:10" ht="11.25" customHeight="1" x14ac:dyDescent="0.2">
      <c r="A1529" s="29">
        <v>44409</v>
      </c>
      <c r="B1529" s="19">
        <v>192966.09</v>
      </c>
      <c r="C1529" s="19">
        <v>212628.8877321335</v>
      </c>
      <c r="D1529" s="19">
        <v>0</v>
      </c>
      <c r="E1529" s="19">
        <v>0</v>
      </c>
      <c r="F1529" s="19">
        <v>0</v>
      </c>
      <c r="G1529" s="19">
        <v>0</v>
      </c>
      <c r="H1529" s="20">
        <v>0.10189768436585678</v>
      </c>
      <c r="I1529" s="20">
        <v>0</v>
      </c>
      <c r="J1529" s="20">
        <v>0.10189768436585678</v>
      </c>
    </row>
    <row r="1530" spans="1:10" ht="11.25" customHeight="1" x14ac:dyDescent="0.2">
      <c r="A1530" s="29">
        <v>44440</v>
      </c>
      <c r="B1530" s="19">
        <v>192821.88</v>
      </c>
      <c r="C1530" s="19">
        <v>212469.98306707109</v>
      </c>
      <c r="D1530" s="19">
        <v>0</v>
      </c>
      <c r="E1530" s="19">
        <v>0</v>
      </c>
      <c r="F1530" s="19">
        <v>0</v>
      </c>
      <c r="G1530" s="19">
        <v>0</v>
      </c>
      <c r="H1530" s="20">
        <v>0.10189768436585656</v>
      </c>
      <c r="I1530" s="20">
        <v>0</v>
      </c>
      <c r="J1530" s="20">
        <v>0.10189768436585656</v>
      </c>
    </row>
    <row r="1531" spans="1:10" ht="11.25" customHeight="1" x14ac:dyDescent="0.2">
      <c r="A1531" s="29">
        <v>44470</v>
      </c>
      <c r="B1531" s="19">
        <v>230898.56400000001</v>
      </c>
      <c r="C1531" s="19">
        <v>254426.59299500159</v>
      </c>
      <c r="D1531" s="19">
        <v>0</v>
      </c>
      <c r="E1531" s="19">
        <v>0</v>
      </c>
      <c r="F1531" s="19">
        <v>0</v>
      </c>
      <c r="G1531" s="19">
        <v>0</v>
      </c>
      <c r="H1531" s="20">
        <v>0.10189768436585678</v>
      </c>
      <c r="I1531" s="20">
        <v>0</v>
      </c>
      <c r="J1531" s="20">
        <v>0.10189768436585678</v>
      </c>
    </row>
    <row r="1532" spans="1:10" ht="11.25" customHeight="1" x14ac:dyDescent="0.2">
      <c r="A1532" s="29">
        <v>44501</v>
      </c>
      <c r="B1532" s="19">
        <v>242338.34999999998</v>
      </c>
      <c r="C1532" s="19">
        <v>267032.0666980425</v>
      </c>
      <c r="D1532" s="19">
        <v>0</v>
      </c>
      <c r="E1532" s="19">
        <v>0</v>
      </c>
      <c r="F1532" s="19">
        <v>0</v>
      </c>
      <c r="G1532" s="19">
        <v>0</v>
      </c>
      <c r="H1532" s="20">
        <v>0.10189768436585678</v>
      </c>
      <c r="I1532" s="20">
        <v>0</v>
      </c>
      <c r="J1532" s="20">
        <v>0.10189768436585678</v>
      </c>
    </row>
    <row r="1533" spans="1:10" ht="11.25" customHeight="1" x14ac:dyDescent="0.2">
      <c r="A1533" s="29">
        <v>44531</v>
      </c>
      <c r="B1533" s="19">
        <v>242193.87779999999</v>
      </c>
      <c r="C1533" s="19">
        <v>266872.87311540724</v>
      </c>
      <c r="D1533" s="19">
        <v>0</v>
      </c>
      <c r="E1533" s="19">
        <v>0</v>
      </c>
      <c r="F1533" s="19">
        <v>0</v>
      </c>
      <c r="G1533" s="19">
        <v>0</v>
      </c>
      <c r="H1533" s="20">
        <v>0.10189768436585656</v>
      </c>
      <c r="I1533" s="20">
        <v>0</v>
      </c>
      <c r="J1533" s="20">
        <v>0.10189768436585656</v>
      </c>
    </row>
    <row r="1534" spans="1:10" ht="11.25" customHeight="1" x14ac:dyDescent="0.2">
      <c r="A1534" s="29">
        <v>44562</v>
      </c>
      <c r="B1534" s="19">
        <v>241345.92299999998</v>
      </c>
      <c r="C1534" s="19">
        <v>265938.51368484035</v>
      </c>
      <c r="D1534" s="19">
        <v>0</v>
      </c>
      <c r="E1534" s="19">
        <v>0</v>
      </c>
      <c r="F1534" s="19">
        <v>0</v>
      </c>
      <c r="G1534" s="19">
        <v>0</v>
      </c>
      <c r="H1534" s="20">
        <v>0.10189768436585678</v>
      </c>
      <c r="I1534" s="20">
        <v>0</v>
      </c>
      <c r="J1534" s="20">
        <v>0.10189768436585678</v>
      </c>
    </row>
    <row r="1535" spans="1:10" ht="11.25" customHeight="1" x14ac:dyDescent="0.2">
      <c r="A1535" s="29">
        <v>44593</v>
      </c>
      <c r="B1535" s="19">
        <v>242026.85640000002</v>
      </c>
      <c r="C1535" s="19">
        <v>266688.83262150775</v>
      </c>
      <c r="D1535" s="19">
        <v>0</v>
      </c>
      <c r="E1535" s="19">
        <v>0</v>
      </c>
      <c r="F1535" s="19">
        <v>0</v>
      </c>
      <c r="G1535" s="19">
        <v>0</v>
      </c>
      <c r="H1535" s="20">
        <v>0.10189768436585678</v>
      </c>
      <c r="I1535" s="20">
        <v>0</v>
      </c>
      <c r="J1535" s="20">
        <v>0.10189768436585678</v>
      </c>
    </row>
    <row r="1536" spans="1:10" ht="11.25" customHeight="1" x14ac:dyDescent="0.2">
      <c r="A1536" s="29">
        <v>44621</v>
      </c>
      <c r="B1536" s="19">
        <v>242142.4866</v>
      </c>
      <c r="C1536" s="19">
        <v>266816.24527113052</v>
      </c>
      <c r="D1536" s="19">
        <v>0</v>
      </c>
      <c r="E1536" s="19">
        <v>0</v>
      </c>
      <c r="F1536" s="19">
        <v>0</v>
      </c>
      <c r="G1536" s="19">
        <v>0</v>
      </c>
      <c r="H1536" s="20">
        <v>0.10189768436585678</v>
      </c>
      <c r="I1536" s="20">
        <v>0</v>
      </c>
      <c r="J1536" s="20">
        <v>0.10189768436585678</v>
      </c>
    </row>
    <row r="1537" spans="1:10" ht="11.25" customHeight="1" x14ac:dyDescent="0.2">
      <c r="A1537" s="29">
        <v>44652</v>
      </c>
      <c r="B1537" s="19">
        <v>254264.77920000002</v>
      </c>
      <c r="C1537" s="19">
        <v>280173.77141627588</v>
      </c>
      <c r="D1537" s="19">
        <v>0</v>
      </c>
      <c r="E1537" s="19">
        <v>0</v>
      </c>
      <c r="F1537" s="19">
        <v>0</v>
      </c>
      <c r="G1537" s="19">
        <v>0</v>
      </c>
      <c r="H1537" s="20">
        <v>0.10189768436585678</v>
      </c>
      <c r="I1537" s="20">
        <v>0</v>
      </c>
      <c r="J1537" s="20">
        <v>0.10189768436585678</v>
      </c>
    </row>
    <row r="1538" spans="1:10" ht="11.25" customHeight="1" x14ac:dyDescent="0.2">
      <c r="A1538" s="29">
        <v>44682</v>
      </c>
      <c r="B1538" s="19">
        <v>266838.84239999996</v>
      </c>
      <c r="C1538" s="19">
        <v>294029.10253942577</v>
      </c>
      <c r="D1538" s="19">
        <v>0</v>
      </c>
      <c r="E1538" s="19">
        <v>0</v>
      </c>
      <c r="F1538" s="19">
        <v>0</v>
      </c>
      <c r="G1538" s="19">
        <v>0</v>
      </c>
      <c r="H1538" s="20">
        <v>0.10189768436585678</v>
      </c>
      <c r="I1538" s="20">
        <v>0</v>
      </c>
      <c r="J1538" s="20">
        <v>0.10189768436585678</v>
      </c>
    </row>
    <row r="1539" spans="1:10" ht="11.25" customHeight="1" x14ac:dyDescent="0.2">
      <c r="A1539" s="29">
        <v>44713</v>
      </c>
      <c r="B1539" s="19">
        <v>267534.19679999998</v>
      </c>
      <c r="C1539" s="19">
        <v>294795.31194259942</v>
      </c>
      <c r="D1539" s="19">
        <v>0</v>
      </c>
      <c r="E1539" s="19">
        <v>0</v>
      </c>
      <c r="F1539" s="19">
        <v>0</v>
      </c>
      <c r="G1539" s="19">
        <v>0</v>
      </c>
      <c r="H1539" s="20">
        <v>0.101897684365857</v>
      </c>
      <c r="I1539" s="20">
        <v>0</v>
      </c>
      <c r="J1539" s="20">
        <v>0.101897684365857</v>
      </c>
    </row>
    <row r="1540" spans="1:10" ht="11.25" customHeight="1" x14ac:dyDescent="0.2">
      <c r="A1540" s="29">
        <v>44743</v>
      </c>
      <c r="B1540" s="19">
        <v>267534.19679999998</v>
      </c>
      <c r="C1540" s="19">
        <v>294795.31194259942</v>
      </c>
      <c r="D1540" s="19">
        <v>0</v>
      </c>
      <c r="E1540" s="19">
        <v>0</v>
      </c>
      <c r="F1540" s="19">
        <v>0</v>
      </c>
      <c r="G1540" s="19">
        <v>0</v>
      </c>
      <c r="H1540" s="20">
        <v>0.101897684365857</v>
      </c>
      <c r="I1540" s="20">
        <v>0</v>
      </c>
      <c r="J1540" s="20">
        <v>0.101897684365857</v>
      </c>
    </row>
    <row r="1541" spans="1:10" ht="11.25" customHeight="1" x14ac:dyDescent="0.2">
      <c r="A1541" s="28" t="s">
        <v>25</v>
      </c>
      <c r="B1541" s="19">
        <v>0</v>
      </c>
      <c r="C1541" s="19">
        <v>0</v>
      </c>
      <c r="D1541" s="19">
        <v>5520350.5631500008</v>
      </c>
      <c r="E1541" s="19">
        <v>6695186.0739958854</v>
      </c>
      <c r="F1541" s="19">
        <v>0</v>
      </c>
      <c r="G1541" s="19">
        <v>0</v>
      </c>
      <c r="H1541" s="20">
        <v>0.21281900441038371</v>
      </c>
      <c r="I1541" s="20">
        <v>0</v>
      </c>
      <c r="J1541" s="20">
        <v>0.21281900441038371</v>
      </c>
    </row>
    <row r="1542" spans="1:10" ht="11.25" customHeight="1" x14ac:dyDescent="0.2">
      <c r="A1542" s="29">
        <v>44409</v>
      </c>
      <c r="B1542" s="19">
        <v>0</v>
      </c>
      <c r="C1542" s="19">
        <v>0</v>
      </c>
      <c r="D1542" s="19">
        <v>362920.76652</v>
      </c>
      <c r="E1542" s="19">
        <v>440157.20273063984</v>
      </c>
      <c r="F1542" s="19">
        <v>0</v>
      </c>
      <c r="G1542" s="19">
        <v>0</v>
      </c>
      <c r="H1542" s="20">
        <v>0.21281900441038393</v>
      </c>
      <c r="I1542" s="20">
        <v>0</v>
      </c>
      <c r="J1542" s="20">
        <v>0.21281900441038393</v>
      </c>
    </row>
    <row r="1543" spans="1:10" ht="11.25" customHeight="1" x14ac:dyDescent="0.2">
      <c r="A1543" s="29">
        <v>44440</v>
      </c>
      <c r="B1543" s="19">
        <v>0</v>
      </c>
      <c r="C1543" s="19">
        <v>0</v>
      </c>
      <c r="D1543" s="19">
        <v>359332.18930999999</v>
      </c>
      <c r="E1543" s="19">
        <v>435804.90809155785</v>
      </c>
      <c r="F1543" s="19">
        <v>0</v>
      </c>
      <c r="G1543" s="19">
        <v>0</v>
      </c>
      <c r="H1543" s="20">
        <v>0.21281900441038415</v>
      </c>
      <c r="I1543" s="20">
        <v>0</v>
      </c>
      <c r="J1543" s="20">
        <v>0.21281900441038415</v>
      </c>
    </row>
    <row r="1544" spans="1:10" ht="11.25" customHeight="1" x14ac:dyDescent="0.2">
      <c r="A1544" s="29">
        <v>44470</v>
      </c>
      <c r="B1544" s="19">
        <v>0</v>
      </c>
      <c r="C1544" s="19">
        <v>0</v>
      </c>
      <c r="D1544" s="19">
        <v>363376.33869</v>
      </c>
      <c r="E1544" s="19">
        <v>440709.72931629635</v>
      </c>
      <c r="F1544" s="19">
        <v>0</v>
      </c>
      <c r="G1544" s="19">
        <v>0</v>
      </c>
      <c r="H1544" s="20">
        <v>0.21281900441038415</v>
      </c>
      <c r="I1544" s="20">
        <v>0</v>
      </c>
      <c r="J1544" s="20">
        <v>0.21281900441038415</v>
      </c>
    </row>
    <row r="1545" spans="1:10" ht="11.25" customHeight="1" x14ac:dyDescent="0.2">
      <c r="A1545" s="29">
        <v>44501</v>
      </c>
      <c r="B1545" s="19">
        <v>0</v>
      </c>
      <c r="C1545" s="19">
        <v>0</v>
      </c>
      <c r="D1545" s="19">
        <v>487794.78145000001</v>
      </c>
      <c r="E1545" s="19">
        <v>591606.78119476989</v>
      </c>
      <c r="F1545" s="19">
        <v>0</v>
      </c>
      <c r="G1545" s="19">
        <v>0</v>
      </c>
      <c r="H1545" s="20">
        <v>0.21281900441038415</v>
      </c>
      <c r="I1545" s="20">
        <v>0</v>
      </c>
      <c r="J1545" s="20">
        <v>0.21281900441038415</v>
      </c>
    </row>
    <row r="1546" spans="1:10" ht="11.25" customHeight="1" x14ac:dyDescent="0.2">
      <c r="A1546" s="29">
        <v>44531</v>
      </c>
      <c r="B1546" s="19">
        <v>0</v>
      </c>
      <c r="C1546" s="19">
        <v>0</v>
      </c>
      <c r="D1546" s="19">
        <v>500939.67476000002</v>
      </c>
      <c r="E1546" s="19">
        <v>607549.15761208488</v>
      </c>
      <c r="F1546" s="19">
        <v>0</v>
      </c>
      <c r="G1546" s="19">
        <v>0</v>
      </c>
      <c r="H1546" s="20">
        <v>0.21281900441038415</v>
      </c>
      <c r="I1546" s="20">
        <v>0</v>
      </c>
      <c r="J1546" s="20">
        <v>0.21281900441038415</v>
      </c>
    </row>
    <row r="1547" spans="1:10" ht="11.25" customHeight="1" x14ac:dyDescent="0.2">
      <c r="A1547" s="29">
        <v>44562</v>
      </c>
      <c r="B1547" s="19">
        <v>0</v>
      </c>
      <c r="C1547" s="19">
        <v>0</v>
      </c>
      <c r="D1547" s="19">
        <v>530100.0478399999</v>
      </c>
      <c r="E1547" s="19">
        <v>642915.41225920571</v>
      </c>
      <c r="F1547" s="19">
        <v>0</v>
      </c>
      <c r="G1547" s="19">
        <v>0</v>
      </c>
      <c r="H1547" s="20">
        <v>0.21281900441038415</v>
      </c>
      <c r="I1547" s="20">
        <v>0</v>
      </c>
      <c r="J1547" s="20">
        <v>0.21281900441038415</v>
      </c>
    </row>
    <row r="1548" spans="1:10" ht="11.25" customHeight="1" x14ac:dyDescent="0.2">
      <c r="A1548" s="29">
        <v>44593</v>
      </c>
      <c r="B1548" s="19">
        <v>0</v>
      </c>
      <c r="C1548" s="19">
        <v>0</v>
      </c>
      <c r="D1548" s="19">
        <v>477414.73129999998</v>
      </c>
      <c r="E1548" s="19">
        <v>579017.65910611709</v>
      </c>
      <c r="F1548" s="19">
        <v>0</v>
      </c>
      <c r="G1548" s="19">
        <v>0</v>
      </c>
      <c r="H1548" s="20">
        <v>0.21281900441038415</v>
      </c>
      <c r="I1548" s="20">
        <v>0</v>
      </c>
      <c r="J1548" s="20">
        <v>0.21281900441038415</v>
      </c>
    </row>
    <row r="1549" spans="1:10" ht="11.25" customHeight="1" x14ac:dyDescent="0.2">
      <c r="A1549" s="29">
        <v>44621</v>
      </c>
      <c r="B1549" s="19">
        <v>0</v>
      </c>
      <c r="C1549" s="19">
        <v>0</v>
      </c>
      <c r="D1549" s="19">
        <v>450148.53983000002</v>
      </c>
      <c r="E1549" s="19">
        <v>545948.7039134088</v>
      </c>
      <c r="F1549" s="19">
        <v>0</v>
      </c>
      <c r="G1549" s="19">
        <v>0</v>
      </c>
      <c r="H1549" s="20">
        <v>0.21281900441038415</v>
      </c>
      <c r="I1549" s="20">
        <v>0</v>
      </c>
      <c r="J1549" s="20">
        <v>0.21281900441038415</v>
      </c>
    </row>
    <row r="1550" spans="1:10" ht="11.25" customHeight="1" x14ac:dyDescent="0.2">
      <c r="A1550" s="29">
        <v>44652</v>
      </c>
      <c r="B1550" s="19">
        <v>0</v>
      </c>
      <c r="C1550" s="19">
        <v>0</v>
      </c>
      <c r="D1550" s="19">
        <v>514683.36296999996</v>
      </c>
      <c r="E1550" s="19">
        <v>624217.76386386366</v>
      </c>
      <c r="F1550" s="19">
        <v>0</v>
      </c>
      <c r="G1550" s="19">
        <v>0</v>
      </c>
      <c r="H1550" s="20">
        <v>0.21281900441038393</v>
      </c>
      <c r="I1550" s="20">
        <v>0</v>
      </c>
      <c r="J1550" s="20">
        <v>0.21281900441038393</v>
      </c>
    </row>
    <row r="1551" spans="1:10" ht="11.25" customHeight="1" x14ac:dyDescent="0.2">
      <c r="A1551" s="29">
        <v>44682</v>
      </c>
      <c r="B1551" s="19">
        <v>0</v>
      </c>
      <c r="C1551" s="19">
        <v>0</v>
      </c>
      <c r="D1551" s="19">
        <v>475688.55014000001</v>
      </c>
      <c r="E1551" s="19">
        <v>576924.11379021395</v>
      </c>
      <c r="F1551" s="19">
        <v>0</v>
      </c>
      <c r="G1551" s="19">
        <v>0</v>
      </c>
      <c r="H1551" s="20">
        <v>0.21281900441038415</v>
      </c>
      <c r="I1551" s="20">
        <v>0</v>
      </c>
      <c r="J1551" s="20">
        <v>0.21281900441038415</v>
      </c>
    </row>
    <row r="1552" spans="1:10" ht="11.25" customHeight="1" x14ac:dyDescent="0.2">
      <c r="A1552" s="29">
        <v>44713</v>
      </c>
      <c r="B1552" s="19">
        <v>0</v>
      </c>
      <c r="C1552" s="19">
        <v>0</v>
      </c>
      <c r="D1552" s="19">
        <v>498975.79016999999</v>
      </c>
      <c r="E1552" s="19">
        <v>605167.32105886412</v>
      </c>
      <c r="F1552" s="19">
        <v>0</v>
      </c>
      <c r="G1552" s="19">
        <v>0</v>
      </c>
      <c r="H1552" s="20">
        <v>0.21281900441038415</v>
      </c>
      <c r="I1552" s="20">
        <v>0</v>
      </c>
      <c r="J1552" s="20">
        <v>0.21281900441038415</v>
      </c>
    </row>
    <row r="1553" spans="1:10" ht="11.25" customHeight="1" x14ac:dyDescent="0.2">
      <c r="A1553" s="29">
        <v>44743</v>
      </c>
      <c r="B1553" s="19">
        <v>0</v>
      </c>
      <c r="C1553" s="19">
        <v>0</v>
      </c>
      <c r="D1553" s="19">
        <v>498975.79016999999</v>
      </c>
      <c r="E1553" s="19">
        <v>605167.32105886412</v>
      </c>
      <c r="F1553" s="19">
        <v>0</v>
      </c>
      <c r="G1553" s="19">
        <v>0</v>
      </c>
      <c r="H1553" s="20">
        <v>0.21281900441038415</v>
      </c>
      <c r="I1553" s="20">
        <v>0</v>
      </c>
      <c r="J1553" s="20">
        <v>0.21281900441038415</v>
      </c>
    </row>
    <row r="1554" spans="1:10" ht="11.25" customHeight="1" x14ac:dyDescent="0.2">
      <c r="A1554" s="28" t="s">
        <v>34</v>
      </c>
      <c r="B1554" s="19">
        <v>5373773.2825000007</v>
      </c>
      <c r="C1554" s="19">
        <v>5918639.7884562882</v>
      </c>
      <c r="D1554" s="19">
        <v>0</v>
      </c>
      <c r="E1554" s="19">
        <v>0</v>
      </c>
      <c r="F1554" s="19">
        <v>0</v>
      </c>
      <c r="G1554" s="19">
        <v>0</v>
      </c>
      <c r="H1554" s="20">
        <v>0.1013936534558828</v>
      </c>
      <c r="I1554" s="20">
        <v>0</v>
      </c>
      <c r="J1554" s="20">
        <v>0.1013936534558828</v>
      </c>
    </row>
    <row r="1555" spans="1:10" ht="11.25" customHeight="1" x14ac:dyDescent="0.2">
      <c r="A1555" s="29">
        <v>44409</v>
      </c>
      <c r="B1555" s="19">
        <v>340727.76149999996</v>
      </c>
      <c r="C1555" s="19">
        <v>375275.3940723298</v>
      </c>
      <c r="D1555" s="19">
        <v>0</v>
      </c>
      <c r="E1555" s="19">
        <v>0</v>
      </c>
      <c r="F1555" s="19">
        <v>0</v>
      </c>
      <c r="G1555" s="19">
        <v>0</v>
      </c>
      <c r="H1555" s="20">
        <v>0.10139365345588325</v>
      </c>
      <c r="I1555" s="20">
        <v>0</v>
      </c>
      <c r="J1555" s="20">
        <v>0.10139365345588325</v>
      </c>
    </row>
    <row r="1556" spans="1:10" ht="11.25" customHeight="1" x14ac:dyDescent="0.2">
      <c r="A1556" s="29">
        <v>44440</v>
      </c>
      <c r="B1556" s="19">
        <v>462999.69449999998</v>
      </c>
      <c r="C1556" s="19">
        <v>509944.92507431278</v>
      </c>
      <c r="D1556" s="19">
        <v>0</v>
      </c>
      <c r="E1556" s="19">
        <v>0</v>
      </c>
      <c r="F1556" s="19">
        <v>0</v>
      </c>
      <c r="G1556" s="19">
        <v>0</v>
      </c>
      <c r="H1556" s="20">
        <v>0.10139365345588325</v>
      </c>
      <c r="I1556" s="20">
        <v>0</v>
      </c>
      <c r="J1556" s="20">
        <v>0.10139365345588325</v>
      </c>
    </row>
    <row r="1557" spans="1:10" ht="11.25" customHeight="1" x14ac:dyDescent="0.2">
      <c r="A1557" s="29">
        <v>44470</v>
      </c>
      <c r="B1557" s="19">
        <v>434599.84749999997</v>
      </c>
      <c r="C1557" s="19">
        <v>478665.51382939465</v>
      </c>
      <c r="D1557" s="19">
        <v>0</v>
      </c>
      <c r="E1557" s="19">
        <v>0</v>
      </c>
      <c r="F1557" s="19">
        <v>0</v>
      </c>
      <c r="G1557" s="19">
        <v>0</v>
      </c>
      <c r="H1557" s="20">
        <v>0.10139365345588325</v>
      </c>
      <c r="I1557" s="20">
        <v>0</v>
      </c>
      <c r="J1557" s="20">
        <v>0.10139365345588325</v>
      </c>
    </row>
    <row r="1558" spans="1:10" ht="11.25" customHeight="1" x14ac:dyDescent="0.2">
      <c r="A1558" s="29">
        <v>44501</v>
      </c>
      <c r="B1558" s="19">
        <v>391250.16</v>
      </c>
      <c r="C1558" s="19">
        <v>430920.44313759881</v>
      </c>
      <c r="D1558" s="19">
        <v>0</v>
      </c>
      <c r="E1558" s="19">
        <v>0</v>
      </c>
      <c r="F1558" s="19">
        <v>0</v>
      </c>
      <c r="G1558" s="19">
        <v>0</v>
      </c>
      <c r="H1558" s="20">
        <v>0.10139365345588325</v>
      </c>
      <c r="I1558" s="20">
        <v>0</v>
      </c>
      <c r="J1558" s="20">
        <v>0.10139365345588325</v>
      </c>
    </row>
    <row r="1559" spans="1:10" ht="11.25" customHeight="1" x14ac:dyDescent="0.2">
      <c r="A1559" s="29">
        <v>44531</v>
      </c>
      <c r="B1559" s="19">
        <v>432467.43400000001</v>
      </c>
      <c r="C1559" s="19">
        <v>476316.88713395107</v>
      </c>
      <c r="D1559" s="19">
        <v>0</v>
      </c>
      <c r="E1559" s="19">
        <v>0</v>
      </c>
      <c r="F1559" s="19">
        <v>0</v>
      </c>
      <c r="G1559" s="19">
        <v>0</v>
      </c>
      <c r="H1559" s="20">
        <v>0.10139365345588325</v>
      </c>
      <c r="I1559" s="20">
        <v>0</v>
      </c>
      <c r="J1559" s="20">
        <v>0.10139365345588325</v>
      </c>
    </row>
    <row r="1560" spans="1:10" ht="11.25" customHeight="1" x14ac:dyDescent="0.2">
      <c r="A1560" s="29">
        <v>44562</v>
      </c>
      <c r="B1560" s="19">
        <v>436198.24499999994</v>
      </c>
      <c r="C1560" s="19">
        <v>480425.97869159438</v>
      </c>
      <c r="D1560" s="19">
        <v>0</v>
      </c>
      <c r="E1560" s="19">
        <v>0</v>
      </c>
      <c r="F1560" s="19">
        <v>0</v>
      </c>
      <c r="G1560" s="19">
        <v>0</v>
      </c>
      <c r="H1560" s="20">
        <v>0.10139365345588325</v>
      </c>
      <c r="I1560" s="20">
        <v>0</v>
      </c>
      <c r="J1560" s="20">
        <v>0.10139365345588325</v>
      </c>
    </row>
    <row r="1561" spans="1:10" ht="11.25" customHeight="1" x14ac:dyDescent="0.2">
      <c r="A1561" s="29">
        <v>44593</v>
      </c>
      <c r="B1561" s="19">
        <v>437705.90149999992</v>
      </c>
      <c r="C1561" s="19">
        <v>482086.50199228589</v>
      </c>
      <c r="D1561" s="19">
        <v>0</v>
      </c>
      <c r="E1561" s="19">
        <v>0</v>
      </c>
      <c r="F1561" s="19">
        <v>0</v>
      </c>
      <c r="G1561" s="19">
        <v>0</v>
      </c>
      <c r="H1561" s="20">
        <v>0.10139365345588325</v>
      </c>
      <c r="I1561" s="20">
        <v>0</v>
      </c>
      <c r="J1561" s="20">
        <v>0.10139365345588325</v>
      </c>
    </row>
    <row r="1562" spans="1:10" ht="11.25" customHeight="1" x14ac:dyDescent="0.2">
      <c r="A1562" s="29">
        <v>44621</v>
      </c>
      <c r="B1562" s="19">
        <v>437348.15250000003</v>
      </c>
      <c r="C1562" s="19">
        <v>481692.47951415577</v>
      </c>
      <c r="D1562" s="19">
        <v>0</v>
      </c>
      <c r="E1562" s="19">
        <v>0</v>
      </c>
      <c r="F1562" s="19">
        <v>0</v>
      </c>
      <c r="G1562" s="19">
        <v>0</v>
      </c>
      <c r="H1562" s="20">
        <v>0.10139365345588325</v>
      </c>
      <c r="I1562" s="20">
        <v>0</v>
      </c>
      <c r="J1562" s="20">
        <v>0.10139365345588325</v>
      </c>
    </row>
    <row r="1563" spans="1:10" ht="11.25" customHeight="1" x14ac:dyDescent="0.2">
      <c r="A1563" s="29">
        <v>44652</v>
      </c>
      <c r="B1563" s="19">
        <v>542802.23199999996</v>
      </c>
      <c r="C1563" s="19">
        <v>597838.93340648781</v>
      </c>
      <c r="D1563" s="19">
        <v>0</v>
      </c>
      <c r="E1563" s="19">
        <v>0</v>
      </c>
      <c r="F1563" s="19">
        <v>0</v>
      </c>
      <c r="G1563" s="19">
        <v>0</v>
      </c>
      <c r="H1563" s="20">
        <v>0.10139365345588303</v>
      </c>
      <c r="I1563" s="20">
        <v>0</v>
      </c>
      <c r="J1563" s="20">
        <v>0.10139365345588303</v>
      </c>
    </row>
    <row r="1564" spans="1:10" ht="11.25" customHeight="1" x14ac:dyDescent="0.2">
      <c r="A1564" s="29">
        <v>44682</v>
      </c>
      <c r="B1564" s="19">
        <v>481046.20200000005</v>
      </c>
      <c r="C1564" s="19">
        <v>529821.23390185682</v>
      </c>
      <c r="D1564" s="19">
        <v>0</v>
      </c>
      <c r="E1564" s="19">
        <v>0</v>
      </c>
      <c r="F1564" s="19">
        <v>0</v>
      </c>
      <c r="G1564" s="19">
        <v>0</v>
      </c>
      <c r="H1564" s="20">
        <v>0.10139365345588325</v>
      </c>
      <c r="I1564" s="20">
        <v>0</v>
      </c>
      <c r="J1564" s="20">
        <v>0.10139365345588325</v>
      </c>
    </row>
    <row r="1565" spans="1:10" ht="11.25" customHeight="1" x14ac:dyDescent="0.2">
      <c r="A1565" s="29">
        <v>44713</v>
      </c>
      <c r="B1565" s="19">
        <v>488313.82599999994</v>
      </c>
      <c r="C1565" s="19">
        <v>537825.7488511604</v>
      </c>
      <c r="D1565" s="19">
        <v>0</v>
      </c>
      <c r="E1565" s="19">
        <v>0</v>
      </c>
      <c r="F1565" s="19">
        <v>0</v>
      </c>
      <c r="G1565" s="19">
        <v>0</v>
      </c>
      <c r="H1565" s="20">
        <v>0.10139365345588325</v>
      </c>
      <c r="I1565" s="20">
        <v>0</v>
      </c>
      <c r="J1565" s="20">
        <v>0.10139365345588325</v>
      </c>
    </row>
    <row r="1566" spans="1:10" ht="11.25" customHeight="1" x14ac:dyDescent="0.2">
      <c r="A1566" s="29">
        <v>44743</v>
      </c>
      <c r="B1566" s="19">
        <v>488313.82599999994</v>
      </c>
      <c r="C1566" s="19">
        <v>537825.7488511604</v>
      </c>
      <c r="D1566" s="19">
        <v>0</v>
      </c>
      <c r="E1566" s="19">
        <v>0</v>
      </c>
      <c r="F1566" s="19">
        <v>0</v>
      </c>
      <c r="G1566" s="19">
        <v>0</v>
      </c>
      <c r="H1566" s="20">
        <v>0.10139365345588325</v>
      </c>
      <c r="I1566" s="20">
        <v>0</v>
      </c>
      <c r="J1566" s="20">
        <v>0.10139365345588325</v>
      </c>
    </row>
    <row r="1567" spans="1:10" ht="11.25" customHeight="1" x14ac:dyDescent="0.2">
      <c r="A1567" s="26" t="s">
        <v>25</v>
      </c>
      <c r="B1567" s="19">
        <v>801517.36999999988</v>
      </c>
      <c r="C1567" s="19">
        <v>882921.42026019446</v>
      </c>
      <c r="D1567" s="19">
        <v>327177.52888</v>
      </c>
      <c r="E1567" s="19">
        <v>396807.12484169129</v>
      </c>
      <c r="F1567" s="19">
        <v>0</v>
      </c>
      <c r="G1567" s="19">
        <v>0</v>
      </c>
      <c r="H1567" s="20">
        <v>0.13381264181468011</v>
      </c>
      <c r="I1567" s="20">
        <v>0</v>
      </c>
      <c r="J1567" s="20">
        <v>0.13381264181468011</v>
      </c>
    </row>
    <row r="1568" spans="1:10" ht="11.25" customHeight="1" x14ac:dyDescent="0.2">
      <c r="A1568" s="27" t="s">
        <v>25</v>
      </c>
      <c r="B1568" s="19">
        <v>801517.36999999988</v>
      </c>
      <c r="C1568" s="19">
        <v>882921.42026019446</v>
      </c>
      <c r="D1568" s="19">
        <v>327177.52888</v>
      </c>
      <c r="E1568" s="19">
        <v>396807.12484169129</v>
      </c>
      <c r="F1568" s="19">
        <v>0</v>
      </c>
      <c r="G1568" s="19">
        <v>0</v>
      </c>
      <c r="H1568" s="20">
        <v>0.13381264181468011</v>
      </c>
      <c r="I1568" s="20">
        <v>0</v>
      </c>
      <c r="J1568" s="20">
        <v>0.13381264181468011</v>
      </c>
    </row>
    <row r="1569" spans="1:10" ht="11.25" customHeight="1" x14ac:dyDescent="0.2">
      <c r="A1569" s="28" t="s">
        <v>35</v>
      </c>
      <c r="B1569" s="19">
        <v>268387.92</v>
      </c>
      <c r="C1569" s="19">
        <v>295736.02755976882</v>
      </c>
      <c r="D1569" s="19">
        <v>0</v>
      </c>
      <c r="E1569" s="19">
        <v>0</v>
      </c>
      <c r="F1569" s="19">
        <v>0</v>
      </c>
      <c r="G1569" s="19">
        <v>0</v>
      </c>
      <c r="H1569" s="20">
        <v>0.10189768436585678</v>
      </c>
      <c r="I1569" s="20">
        <v>0</v>
      </c>
      <c r="J1569" s="20">
        <v>0.10189768436585678</v>
      </c>
    </row>
    <row r="1570" spans="1:10" ht="11.25" customHeight="1" x14ac:dyDescent="0.2">
      <c r="A1570" s="29">
        <v>44409</v>
      </c>
      <c r="B1570" s="19">
        <v>89488.86</v>
      </c>
      <c r="C1570" s="19">
        <v>98607.56761054034</v>
      </c>
      <c r="D1570" s="19">
        <v>0</v>
      </c>
      <c r="E1570" s="19">
        <v>0</v>
      </c>
      <c r="F1570" s="19">
        <v>0</v>
      </c>
      <c r="G1570" s="19">
        <v>0</v>
      </c>
      <c r="H1570" s="20">
        <v>0.10189768436585678</v>
      </c>
      <c r="I1570" s="20">
        <v>0</v>
      </c>
      <c r="J1570" s="20">
        <v>0.10189768436585678</v>
      </c>
    </row>
    <row r="1571" spans="1:10" ht="11.25" customHeight="1" x14ac:dyDescent="0.2">
      <c r="A1571" s="29">
        <v>44440</v>
      </c>
      <c r="B1571" s="19">
        <v>89148</v>
      </c>
      <c r="C1571" s="19">
        <v>98231.974765847393</v>
      </c>
      <c r="D1571" s="19">
        <v>0</v>
      </c>
      <c r="E1571" s="19">
        <v>0</v>
      </c>
      <c r="F1571" s="19">
        <v>0</v>
      </c>
      <c r="G1571" s="19">
        <v>0</v>
      </c>
      <c r="H1571" s="20">
        <v>0.10189768436585678</v>
      </c>
      <c r="I1571" s="20">
        <v>0</v>
      </c>
      <c r="J1571" s="20">
        <v>0.10189768436585678</v>
      </c>
    </row>
    <row r="1572" spans="1:10" ht="11.25" customHeight="1" x14ac:dyDescent="0.2">
      <c r="A1572" s="29">
        <v>44470</v>
      </c>
      <c r="B1572" s="19">
        <v>89751.06</v>
      </c>
      <c r="C1572" s="19">
        <v>98896.485183381068</v>
      </c>
      <c r="D1572" s="19">
        <v>0</v>
      </c>
      <c r="E1572" s="19">
        <v>0</v>
      </c>
      <c r="F1572" s="19">
        <v>0</v>
      </c>
      <c r="G1572" s="19">
        <v>0</v>
      </c>
      <c r="H1572" s="20">
        <v>0.10189768436585678</v>
      </c>
      <c r="I1572" s="20">
        <v>0</v>
      </c>
      <c r="J1572" s="20">
        <v>0.10189768436585678</v>
      </c>
    </row>
    <row r="1573" spans="1:10" ht="11.25" customHeight="1" x14ac:dyDescent="0.2">
      <c r="A1573" s="28" t="s">
        <v>25</v>
      </c>
      <c r="B1573" s="19">
        <v>0</v>
      </c>
      <c r="C1573" s="19">
        <v>0</v>
      </c>
      <c r="D1573" s="19">
        <v>327177.52888</v>
      </c>
      <c r="E1573" s="19">
        <v>396807.12484169129</v>
      </c>
      <c r="F1573" s="19">
        <v>0</v>
      </c>
      <c r="G1573" s="19">
        <v>0</v>
      </c>
      <c r="H1573" s="20">
        <v>0.21281900441038415</v>
      </c>
      <c r="I1573" s="20">
        <v>0</v>
      </c>
      <c r="J1573" s="20">
        <v>0.21281900441038415</v>
      </c>
    </row>
    <row r="1574" spans="1:10" ht="11.25" customHeight="1" x14ac:dyDescent="0.2">
      <c r="A1574" s="29">
        <v>44409</v>
      </c>
      <c r="B1574" s="19">
        <v>0</v>
      </c>
      <c r="C1574" s="19">
        <v>0</v>
      </c>
      <c r="D1574" s="19">
        <v>112287.87172</v>
      </c>
      <c r="E1574" s="19">
        <v>136184.86478681132</v>
      </c>
      <c r="F1574" s="19">
        <v>0</v>
      </c>
      <c r="G1574" s="19">
        <v>0</v>
      </c>
      <c r="H1574" s="20">
        <v>0.21281900441038415</v>
      </c>
      <c r="I1574" s="20">
        <v>0</v>
      </c>
      <c r="J1574" s="20">
        <v>0.21281900441038415</v>
      </c>
    </row>
    <row r="1575" spans="1:10" ht="11.25" customHeight="1" x14ac:dyDescent="0.2">
      <c r="A1575" s="29">
        <v>44440</v>
      </c>
      <c r="B1575" s="19">
        <v>0</v>
      </c>
      <c r="C1575" s="19">
        <v>0</v>
      </c>
      <c r="D1575" s="19">
        <v>102918.57735000001</v>
      </c>
      <c r="E1575" s="19">
        <v>124821.60651696011</v>
      </c>
      <c r="F1575" s="19">
        <v>0</v>
      </c>
      <c r="G1575" s="19">
        <v>0</v>
      </c>
      <c r="H1575" s="20">
        <v>0.21281900441038393</v>
      </c>
      <c r="I1575" s="20">
        <v>0</v>
      </c>
      <c r="J1575" s="20">
        <v>0.21281900441038393</v>
      </c>
    </row>
    <row r="1576" spans="1:10" ht="11.25" customHeight="1" x14ac:dyDescent="0.2">
      <c r="A1576" s="29">
        <v>44470</v>
      </c>
      <c r="B1576" s="19">
        <v>0</v>
      </c>
      <c r="C1576" s="19">
        <v>0</v>
      </c>
      <c r="D1576" s="19">
        <v>111971.07981</v>
      </c>
      <c r="E1576" s="19">
        <v>135800.65353791986</v>
      </c>
      <c r="F1576" s="19">
        <v>0</v>
      </c>
      <c r="G1576" s="19">
        <v>0</v>
      </c>
      <c r="H1576" s="20">
        <v>0.21281900441038415</v>
      </c>
      <c r="I1576" s="20">
        <v>0</v>
      </c>
      <c r="J1576" s="20">
        <v>0.21281900441038415</v>
      </c>
    </row>
    <row r="1577" spans="1:10" ht="11.25" customHeight="1" x14ac:dyDescent="0.2">
      <c r="A1577" s="28" t="s">
        <v>34</v>
      </c>
      <c r="B1577" s="19">
        <v>533129.44999999995</v>
      </c>
      <c r="C1577" s="19">
        <v>587185.39270042558</v>
      </c>
      <c r="D1577" s="19">
        <v>0</v>
      </c>
      <c r="E1577" s="19">
        <v>0</v>
      </c>
      <c r="F1577" s="19">
        <v>0</v>
      </c>
      <c r="G1577" s="19">
        <v>0</v>
      </c>
      <c r="H1577" s="20">
        <v>0.10139365345588325</v>
      </c>
      <c r="I1577" s="20">
        <v>0</v>
      </c>
      <c r="J1577" s="20">
        <v>0.10139365345588325</v>
      </c>
    </row>
    <row r="1578" spans="1:10" ht="11.25" customHeight="1" x14ac:dyDescent="0.2">
      <c r="A1578" s="29">
        <v>44409</v>
      </c>
      <c r="B1578" s="19">
        <v>177831.5</v>
      </c>
      <c r="C1578" s="19">
        <v>195862.48548453988</v>
      </c>
      <c r="D1578" s="19">
        <v>0</v>
      </c>
      <c r="E1578" s="19">
        <v>0</v>
      </c>
      <c r="F1578" s="19">
        <v>0</v>
      </c>
      <c r="G1578" s="19">
        <v>0</v>
      </c>
      <c r="H1578" s="20">
        <v>0.10139365345588303</v>
      </c>
      <c r="I1578" s="20">
        <v>0</v>
      </c>
      <c r="J1578" s="20">
        <v>0.10139365345588303</v>
      </c>
    </row>
    <row r="1579" spans="1:10" ht="11.25" customHeight="1" x14ac:dyDescent="0.2">
      <c r="A1579" s="29">
        <v>44440</v>
      </c>
      <c r="B1579" s="19">
        <v>177310</v>
      </c>
      <c r="C1579" s="19">
        <v>195288.10869426266</v>
      </c>
      <c r="D1579" s="19">
        <v>0</v>
      </c>
      <c r="E1579" s="19">
        <v>0</v>
      </c>
      <c r="F1579" s="19">
        <v>0</v>
      </c>
      <c r="G1579" s="19">
        <v>0</v>
      </c>
      <c r="H1579" s="20">
        <v>0.10139365345588325</v>
      </c>
      <c r="I1579" s="20">
        <v>0</v>
      </c>
      <c r="J1579" s="20">
        <v>0.10139365345588325</v>
      </c>
    </row>
    <row r="1580" spans="1:10" ht="11.25" customHeight="1" x14ac:dyDescent="0.2">
      <c r="A1580" s="29">
        <v>44470</v>
      </c>
      <c r="B1580" s="19">
        <v>177987.94999999998</v>
      </c>
      <c r="C1580" s="19">
        <v>196034.79852162307</v>
      </c>
      <c r="D1580" s="19">
        <v>0</v>
      </c>
      <c r="E1580" s="19">
        <v>0</v>
      </c>
      <c r="F1580" s="19">
        <v>0</v>
      </c>
      <c r="G1580" s="19">
        <v>0</v>
      </c>
      <c r="H1580" s="20">
        <v>0.10139365345588325</v>
      </c>
      <c r="I1580" s="20">
        <v>0</v>
      </c>
      <c r="J1580" s="20">
        <v>0.10139365345588325</v>
      </c>
    </row>
    <row r="1581" spans="1:10" ht="11.25" customHeight="1" x14ac:dyDescent="0.2">
      <c r="A1581" s="23" t="s">
        <v>42</v>
      </c>
      <c r="B1581" s="19">
        <v>6123564.0588000007</v>
      </c>
      <c r="C1581" s="19">
        <v>6747541.0564577105</v>
      </c>
      <c r="D1581" s="19">
        <v>14273850.284073407</v>
      </c>
      <c r="E1581" s="19">
        <v>16655778.828239491</v>
      </c>
      <c r="F1581" s="19">
        <v>0</v>
      </c>
      <c r="G1581" s="19">
        <v>0</v>
      </c>
      <c r="H1581" s="20">
        <v>0.147366989329901</v>
      </c>
      <c r="I1581" s="20">
        <v>0</v>
      </c>
      <c r="J1581" s="20">
        <v>0.147366989329901</v>
      </c>
    </row>
    <row r="1582" spans="1:10" ht="11.25" customHeight="1" x14ac:dyDescent="0.2">
      <c r="A1582" s="24" t="s">
        <v>43</v>
      </c>
      <c r="B1582" s="19">
        <v>22680.3</v>
      </c>
      <c r="C1582" s="19">
        <v>24991.370050722937</v>
      </c>
      <c r="D1582" s="19">
        <v>17146.601260000003</v>
      </c>
      <c r="E1582" s="19">
        <v>19694.911539166871</v>
      </c>
      <c r="F1582" s="19">
        <v>0</v>
      </c>
      <c r="G1582" s="19">
        <v>0</v>
      </c>
      <c r="H1582" s="20">
        <v>0.12201251355626597</v>
      </c>
      <c r="I1582" s="20">
        <v>0</v>
      </c>
      <c r="J1582" s="20">
        <v>0.12201251355626597</v>
      </c>
    </row>
    <row r="1583" spans="1:10" ht="11.25" customHeight="1" x14ac:dyDescent="0.2">
      <c r="A1583" s="25" t="s">
        <v>25</v>
      </c>
      <c r="B1583" s="19">
        <v>22680.3</v>
      </c>
      <c r="C1583" s="19">
        <v>24991.370050722937</v>
      </c>
      <c r="D1583" s="19">
        <v>17146.601260000003</v>
      </c>
      <c r="E1583" s="19">
        <v>19694.911539166871</v>
      </c>
      <c r="F1583" s="19">
        <v>0</v>
      </c>
      <c r="G1583" s="19">
        <v>0</v>
      </c>
      <c r="H1583" s="20">
        <v>0.12201251355626597</v>
      </c>
      <c r="I1583" s="20">
        <v>0</v>
      </c>
      <c r="J1583" s="20">
        <v>0.12201251355626597</v>
      </c>
    </row>
    <row r="1584" spans="1:10" ht="11.25" customHeight="1" x14ac:dyDescent="0.2">
      <c r="A1584" s="26" t="s">
        <v>25</v>
      </c>
      <c r="B1584" s="19">
        <v>22680.3</v>
      </c>
      <c r="C1584" s="19">
        <v>24991.370050722937</v>
      </c>
      <c r="D1584" s="19">
        <v>17146.601260000003</v>
      </c>
      <c r="E1584" s="19">
        <v>19694.911539166871</v>
      </c>
      <c r="F1584" s="19">
        <v>0</v>
      </c>
      <c r="G1584" s="19">
        <v>0</v>
      </c>
      <c r="H1584" s="20">
        <v>0.12201251355626597</v>
      </c>
      <c r="I1584" s="20">
        <v>0</v>
      </c>
      <c r="J1584" s="20">
        <v>0.12201251355626597</v>
      </c>
    </row>
    <row r="1585" spans="1:10" ht="11.25" customHeight="1" x14ac:dyDescent="0.2">
      <c r="A1585" s="27" t="s">
        <v>25</v>
      </c>
      <c r="B1585" s="19">
        <v>22680.3</v>
      </c>
      <c r="C1585" s="19">
        <v>24991.370050722937</v>
      </c>
      <c r="D1585" s="19">
        <v>17146.601260000003</v>
      </c>
      <c r="E1585" s="19">
        <v>19694.911539166871</v>
      </c>
      <c r="F1585" s="19">
        <v>0</v>
      </c>
      <c r="G1585" s="19">
        <v>0</v>
      </c>
      <c r="H1585" s="20">
        <v>0.12201251355626597</v>
      </c>
      <c r="I1585" s="20">
        <v>0</v>
      </c>
      <c r="J1585" s="20">
        <v>0.12201251355626597</v>
      </c>
    </row>
    <row r="1586" spans="1:10" ht="11.25" customHeight="1" x14ac:dyDescent="0.2">
      <c r="A1586" s="28" t="s">
        <v>35</v>
      </c>
      <c r="B1586" s="19">
        <v>0</v>
      </c>
      <c r="C1586" s="19">
        <v>0</v>
      </c>
      <c r="D1586" s="19">
        <v>6849.6004700000003</v>
      </c>
      <c r="E1586" s="19">
        <v>8307.3256226342983</v>
      </c>
      <c r="F1586" s="19">
        <v>0</v>
      </c>
      <c r="G1586" s="19">
        <v>0</v>
      </c>
      <c r="H1586" s="20">
        <v>0.21281900441038393</v>
      </c>
      <c r="I1586" s="20">
        <v>0</v>
      </c>
      <c r="J1586" s="20">
        <v>0.21281900441038393</v>
      </c>
    </row>
    <row r="1587" spans="1:10" ht="11.25" customHeight="1" x14ac:dyDescent="0.2">
      <c r="A1587" s="29">
        <v>44409</v>
      </c>
      <c r="B1587" s="19">
        <v>0</v>
      </c>
      <c r="C1587" s="19">
        <v>0</v>
      </c>
      <c r="D1587" s="19">
        <v>816.47592999999995</v>
      </c>
      <c r="E1587" s="19">
        <v>990.23752454764247</v>
      </c>
      <c r="F1587" s="19">
        <v>0</v>
      </c>
      <c r="G1587" s="19">
        <v>0</v>
      </c>
      <c r="H1587" s="20">
        <v>0.21281900441038415</v>
      </c>
      <c r="I1587" s="20">
        <v>0</v>
      </c>
      <c r="J1587" s="20">
        <v>0.21281900441038415</v>
      </c>
    </row>
    <row r="1588" spans="1:10" ht="11.25" customHeight="1" x14ac:dyDescent="0.2">
      <c r="A1588" s="29">
        <v>44440</v>
      </c>
      <c r="B1588" s="19">
        <v>0</v>
      </c>
      <c r="C1588" s="19">
        <v>0</v>
      </c>
      <c r="D1588" s="19">
        <v>2296.8821300000004</v>
      </c>
      <c r="E1588" s="19">
        <v>2785.7022981546024</v>
      </c>
      <c r="F1588" s="19">
        <v>0</v>
      </c>
      <c r="G1588" s="19">
        <v>0</v>
      </c>
      <c r="H1588" s="20">
        <v>0.21281900441038393</v>
      </c>
      <c r="I1588" s="20">
        <v>0</v>
      </c>
      <c r="J1588" s="20">
        <v>0.21281900441038393</v>
      </c>
    </row>
    <row r="1589" spans="1:10" ht="11.25" customHeight="1" x14ac:dyDescent="0.2">
      <c r="A1589" s="29">
        <v>44470</v>
      </c>
      <c r="B1589" s="19">
        <v>0</v>
      </c>
      <c r="C1589" s="19">
        <v>0</v>
      </c>
      <c r="D1589" s="19">
        <v>1643.9641800000002</v>
      </c>
      <c r="E1589" s="19">
        <v>1993.8310000739336</v>
      </c>
      <c r="F1589" s="19">
        <v>0</v>
      </c>
      <c r="G1589" s="19">
        <v>0</v>
      </c>
      <c r="H1589" s="20">
        <v>0.21281900441038415</v>
      </c>
      <c r="I1589" s="20">
        <v>0</v>
      </c>
      <c r="J1589" s="20">
        <v>0.21281900441038415</v>
      </c>
    </row>
    <row r="1590" spans="1:10" ht="11.25" customHeight="1" x14ac:dyDescent="0.2">
      <c r="A1590" s="29">
        <v>44501</v>
      </c>
      <c r="B1590" s="19">
        <v>0</v>
      </c>
      <c r="C1590" s="19">
        <v>0</v>
      </c>
      <c r="D1590" s="19">
        <v>1053.8665100000001</v>
      </c>
      <c r="E1590" s="19">
        <v>1278.1493314396462</v>
      </c>
      <c r="F1590" s="19">
        <v>0</v>
      </c>
      <c r="G1590" s="19">
        <v>0</v>
      </c>
      <c r="H1590" s="20">
        <v>0.21281900441038415</v>
      </c>
      <c r="I1590" s="20">
        <v>0</v>
      </c>
      <c r="J1590" s="20">
        <v>0.21281900441038415</v>
      </c>
    </row>
    <row r="1591" spans="1:10" ht="11.25" customHeight="1" x14ac:dyDescent="0.2">
      <c r="A1591" s="29">
        <v>44531</v>
      </c>
      <c r="B1591" s="19">
        <v>0</v>
      </c>
      <c r="C1591" s="19">
        <v>0</v>
      </c>
      <c r="D1591" s="19">
        <v>1038.4117200000001</v>
      </c>
      <c r="E1591" s="19">
        <v>1259.4054684184746</v>
      </c>
      <c r="F1591" s="19">
        <v>0</v>
      </c>
      <c r="G1591" s="19">
        <v>0</v>
      </c>
      <c r="H1591" s="20">
        <v>0.21281900441038415</v>
      </c>
      <c r="I1591" s="20">
        <v>0</v>
      </c>
      <c r="J1591" s="20">
        <v>0.21281900441038415</v>
      </c>
    </row>
    <row r="1592" spans="1:10" ht="11.25" customHeight="1" x14ac:dyDescent="0.2">
      <c r="A1592" s="28" t="s">
        <v>25</v>
      </c>
      <c r="B1592" s="19">
        <v>22680.3</v>
      </c>
      <c r="C1592" s="19">
        <v>24991.370050722937</v>
      </c>
      <c r="D1592" s="19">
        <v>0</v>
      </c>
      <c r="E1592" s="19">
        <v>0</v>
      </c>
      <c r="F1592" s="19">
        <v>0</v>
      </c>
      <c r="G1592" s="19">
        <v>0</v>
      </c>
      <c r="H1592" s="20">
        <v>0.10189768436585656</v>
      </c>
      <c r="I1592" s="20">
        <v>0</v>
      </c>
      <c r="J1592" s="20">
        <v>0.10189768436585656</v>
      </c>
    </row>
    <row r="1593" spans="1:10" ht="11.25" customHeight="1" x14ac:dyDescent="0.2">
      <c r="A1593" s="29">
        <v>44409</v>
      </c>
      <c r="B1593" s="19">
        <v>3015.2999999999997</v>
      </c>
      <c r="C1593" s="19">
        <v>3322.5520876683677</v>
      </c>
      <c r="D1593" s="19">
        <v>0</v>
      </c>
      <c r="E1593" s="19">
        <v>0</v>
      </c>
      <c r="F1593" s="19">
        <v>0</v>
      </c>
      <c r="G1593" s="19">
        <v>0</v>
      </c>
      <c r="H1593" s="20">
        <v>0.10189768436585678</v>
      </c>
      <c r="I1593" s="20">
        <v>0</v>
      </c>
      <c r="J1593" s="20">
        <v>0.10189768436585678</v>
      </c>
    </row>
    <row r="1594" spans="1:10" ht="11.25" customHeight="1" x14ac:dyDescent="0.2">
      <c r="A1594" s="29">
        <v>44440</v>
      </c>
      <c r="B1594" s="19">
        <v>7997.0999999999995</v>
      </c>
      <c r="C1594" s="19">
        <v>8811.9859716421925</v>
      </c>
      <c r="D1594" s="19">
        <v>0</v>
      </c>
      <c r="E1594" s="19">
        <v>0</v>
      </c>
      <c r="F1594" s="19">
        <v>0</v>
      </c>
      <c r="G1594" s="19">
        <v>0</v>
      </c>
      <c r="H1594" s="20">
        <v>0.10189768436585678</v>
      </c>
      <c r="I1594" s="20">
        <v>0</v>
      </c>
      <c r="J1594" s="20">
        <v>0.10189768436585678</v>
      </c>
    </row>
    <row r="1595" spans="1:10" ht="11.25" customHeight="1" x14ac:dyDescent="0.2">
      <c r="A1595" s="29">
        <v>44470</v>
      </c>
      <c r="B1595" s="19">
        <v>5637.3</v>
      </c>
      <c r="C1595" s="19">
        <v>6211.7278160756441</v>
      </c>
      <c r="D1595" s="19">
        <v>0</v>
      </c>
      <c r="E1595" s="19">
        <v>0</v>
      </c>
      <c r="F1595" s="19">
        <v>0</v>
      </c>
      <c r="G1595" s="19">
        <v>0</v>
      </c>
      <c r="H1595" s="20">
        <v>0.10189768436585678</v>
      </c>
      <c r="I1595" s="20">
        <v>0</v>
      </c>
      <c r="J1595" s="20">
        <v>0.10189768436585678</v>
      </c>
    </row>
    <row r="1596" spans="1:10" ht="11.25" customHeight="1" x14ac:dyDescent="0.2">
      <c r="A1596" s="29">
        <v>44501</v>
      </c>
      <c r="B1596" s="19">
        <v>3015.2999999999997</v>
      </c>
      <c r="C1596" s="19">
        <v>3322.5520876683677</v>
      </c>
      <c r="D1596" s="19">
        <v>0</v>
      </c>
      <c r="E1596" s="19">
        <v>0</v>
      </c>
      <c r="F1596" s="19">
        <v>0</v>
      </c>
      <c r="G1596" s="19">
        <v>0</v>
      </c>
      <c r="H1596" s="20">
        <v>0.10189768436585678</v>
      </c>
      <c r="I1596" s="20">
        <v>0</v>
      </c>
      <c r="J1596" s="20">
        <v>0.10189768436585678</v>
      </c>
    </row>
    <row r="1597" spans="1:10" ht="11.25" customHeight="1" x14ac:dyDescent="0.2">
      <c r="A1597" s="29">
        <v>44531</v>
      </c>
      <c r="B1597" s="19">
        <v>3015.2999999999997</v>
      </c>
      <c r="C1597" s="19">
        <v>3322.5520876683677</v>
      </c>
      <c r="D1597" s="19">
        <v>0</v>
      </c>
      <c r="E1597" s="19">
        <v>0</v>
      </c>
      <c r="F1597" s="19">
        <v>0</v>
      </c>
      <c r="G1597" s="19">
        <v>0</v>
      </c>
      <c r="H1597" s="20">
        <v>0.10189768436585678</v>
      </c>
      <c r="I1597" s="20">
        <v>0</v>
      </c>
      <c r="J1597" s="20">
        <v>0.10189768436585678</v>
      </c>
    </row>
    <row r="1598" spans="1:10" ht="11.25" customHeight="1" x14ac:dyDescent="0.2">
      <c r="A1598" s="28" t="s">
        <v>34</v>
      </c>
      <c r="B1598" s="19">
        <v>0</v>
      </c>
      <c r="C1598" s="19">
        <v>0</v>
      </c>
      <c r="D1598" s="19">
        <v>10297.000790000002</v>
      </c>
      <c r="E1598" s="19">
        <v>11387.585916532575</v>
      </c>
      <c r="F1598" s="19">
        <v>0</v>
      </c>
      <c r="G1598" s="19">
        <v>0</v>
      </c>
      <c r="H1598" s="20">
        <v>0.10591289141122551</v>
      </c>
      <c r="I1598" s="20">
        <v>0</v>
      </c>
      <c r="J1598" s="20">
        <v>0.10591289141122551</v>
      </c>
    </row>
    <row r="1599" spans="1:10" ht="11.25" customHeight="1" x14ac:dyDescent="0.2">
      <c r="A1599" s="29">
        <v>44409</v>
      </c>
      <c r="B1599" s="19">
        <v>0</v>
      </c>
      <c r="C1599" s="19">
        <v>0</v>
      </c>
      <c r="D1599" s="19">
        <v>1356.7938000000001</v>
      </c>
      <c r="E1599" s="19">
        <v>1500.4957544068243</v>
      </c>
      <c r="F1599" s="19">
        <v>0</v>
      </c>
      <c r="G1599" s="19">
        <v>0</v>
      </c>
      <c r="H1599" s="20">
        <v>0.10591289141122551</v>
      </c>
      <c r="I1599" s="20">
        <v>0</v>
      </c>
      <c r="J1599" s="20">
        <v>0.10591289141122551</v>
      </c>
    </row>
    <row r="1600" spans="1:10" ht="11.25" customHeight="1" x14ac:dyDescent="0.2">
      <c r="A1600" s="29">
        <v>44440</v>
      </c>
      <c r="B1600" s="19">
        <v>0</v>
      </c>
      <c r="C1600" s="19">
        <v>0</v>
      </c>
      <c r="D1600" s="19">
        <v>3507.7110299999999</v>
      </c>
      <c r="E1600" s="19">
        <v>3879.2228474223484</v>
      </c>
      <c r="F1600" s="19">
        <v>0</v>
      </c>
      <c r="G1600" s="19">
        <v>0</v>
      </c>
      <c r="H1600" s="20">
        <v>0.10591289141122573</v>
      </c>
      <c r="I1600" s="20">
        <v>0</v>
      </c>
      <c r="J1600" s="20">
        <v>0.10591289141122573</v>
      </c>
    </row>
    <row r="1601" spans="1:10" ht="11.25" customHeight="1" x14ac:dyDescent="0.2">
      <c r="A1601" s="29">
        <v>44470</v>
      </c>
      <c r="B1601" s="19">
        <v>0</v>
      </c>
      <c r="C1601" s="19">
        <v>0</v>
      </c>
      <c r="D1601" s="19">
        <v>2440.8986500000001</v>
      </c>
      <c r="E1601" s="19">
        <v>2699.4212836632573</v>
      </c>
      <c r="F1601" s="19">
        <v>0</v>
      </c>
      <c r="G1601" s="19">
        <v>0</v>
      </c>
      <c r="H1601" s="20">
        <v>0.10591289141122573</v>
      </c>
      <c r="I1601" s="20">
        <v>0</v>
      </c>
      <c r="J1601" s="20">
        <v>0.10591289141122573</v>
      </c>
    </row>
    <row r="1602" spans="1:10" ht="11.25" customHeight="1" x14ac:dyDescent="0.2">
      <c r="A1602" s="29">
        <v>44501</v>
      </c>
      <c r="B1602" s="19">
        <v>0</v>
      </c>
      <c r="C1602" s="19">
        <v>0</v>
      </c>
      <c r="D1602" s="19">
        <v>1283.6333500000001</v>
      </c>
      <c r="E1602" s="19">
        <v>1419.5866696103778</v>
      </c>
      <c r="F1602" s="19">
        <v>0</v>
      </c>
      <c r="G1602" s="19">
        <v>0</v>
      </c>
      <c r="H1602" s="20">
        <v>0.10591289141122573</v>
      </c>
      <c r="I1602" s="20">
        <v>0</v>
      </c>
      <c r="J1602" s="20">
        <v>0.10591289141122573</v>
      </c>
    </row>
    <row r="1603" spans="1:10" ht="11.25" customHeight="1" x14ac:dyDescent="0.2">
      <c r="A1603" s="29">
        <v>44531</v>
      </c>
      <c r="B1603" s="19">
        <v>0</v>
      </c>
      <c r="C1603" s="19">
        <v>0</v>
      </c>
      <c r="D1603" s="19">
        <v>1707.96396</v>
      </c>
      <c r="E1603" s="19">
        <v>1888.859361429767</v>
      </c>
      <c r="F1603" s="19">
        <v>0</v>
      </c>
      <c r="G1603" s="19">
        <v>0</v>
      </c>
      <c r="H1603" s="20">
        <v>0.10591289141122573</v>
      </c>
      <c r="I1603" s="20">
        <v>0</v>
      </c>
      <c r="J1603" s="20">
        <v>0.10591289141122573</v>
      </c>
    </row>
    <row r="1604" spans="1:10" ht="11.25" customHeight="1" x14ac:dyDescent="0.2">
      <c r="A1604" s="24" t="s">
        <v>38</v>
      </c>
      <c r="B1604" s="19">
        <v>6100883.7588</v>
      </c>
      <c r="C1604" s="19">
        <v>6722549.6864069877</v>
      </c>
      <c r="D1604" s="19">
        <v>14256703.682813404</v>
      </c>
      <c r="E1604" s="19">
        <v>16636083.916700324</v>
      </c>
      <c r="F1604" s="19">
        <v>0</v>
      </c>
      <c r="G1604" s="19">
        <v>0</v>
      </c>
      <c r="H1604" s="20">
        <v>0.14741659197589407</v>
      </c>
      <c r="I1604" s="20">
        <v>0</v>
      </c>
      <c r="J1604" s="20">
        <v>0.14741659197589407</v>
      </c>
    </row>
    <row r="1605" spans="1:10" ht="11.25" customHeight="1" x14ac:dyDescent="0.2">
      <c r="A1605" s="25" t="s">
        <v>25</v>
      </c>
      <c r="B1605" s="19">
        <v>6100883.7588</v>
      </c>
      <c r="C1605" s="19">
        <v>6722549.6864069877</v>
      </c>
      <c r="D1605" s="19">
        <v>14256703.682813404</v>
      </c>
      <c r="E1605" s="19">
        <v>16636083.916700324</v>
      </c>
      <c r="F1605" s="19">
        <v>0</v>
      </c>
      <c r="G1605" s="19">
        <v>0</v>
      </c>
      <c r="H1605" s="20">
        <v>0.14741659197589407</v>
      </c>
      <c r="I1605" s="20">
        <v>0</v>
      </c>
      <c r="J1605" s="20">
        <v>0.14741659197589407</v>
      </c>
    </row>
    <row r="1606" spans="1:10" ht="11.25" customHeight="1" x14ac:dyDescent="0.2">
      <c r="A1606" s="26" t="s">
        <v>61</v>
      </c>
      <c r="B1606" s="19">
        <v>5183183.7588</v>
      </c>
      <c r="C1606" s="19">
        <v>5711338.1814644365</v>
      </c>
      <c r="D1606" s="19">
        <v>13705368.0605234</v>
      </c>
      <c r="E1606" s="19">
        <v>15978084.408169182</v>
      </c>
      <c r="F1606" s="19">
        <v>0</v>
      </c>
      <c r="G1606" s="19">
        <v>0</v>
      </c>
      <c r="H1606" s="20">
        <v>0.14828403983014038</v>
      </c>
      <c r="I1606" s="20">
        <v>0</v>
      </c>
      <c r="J1606" s="20">
        <v>0.14828403983014038</v>
      </c>
    </row>
    <row r="1607" spans="1:10" ht="11.25" customHeight="1" x14ac:dyDescent="0.2">
      <c r="A1607" s="27" t="s">
        <v>25</v>
      </c>
      <c r="B1607" s="19">
        <v>5183183.7588</v>
      </c>
      <c r="C1607" s="19">
        <v>5711338.1814644365</v>
      </c>
      <c r="D1607" s="19">
        <v>13705368.0605234</v>
      </c>
      <c r="E1607" s="19">
        <v>15978084.408169182</v>
      </c>
      <c r="F1607" s="19">
        <v>0</v>
      </c>
      <c r="G1607" s="19">
        <v>0</v>
      </c>
      <c r="H1607" s="20">
        <v>0.14828403983014038</v>
      </c>
      <c r="I1607" s="20">
        <v>0</v>
      </c>
      <c r="J1607" s="20">
        <v>0.14828403983014038</v>
      </c>
    </row>
    <row r="1608" spans="1:10" ht="11.25" customHeight="1" x14ac:dyDescent="0.2">
      <c r="A1608" s="28" t="s">
        <v>35</v>
      </c>
      <c r="B1608" s="19">
        <v>0</v>
      </c>
      <c r="C1608" s="19">
        <v>0</v>
      </c>
      <c r="D1608" s="19">
        <v>7680956.3594099991</v>
      </c>
      <c r="E1608" s="19">
        <v>9315609.8447392453</v>
      </c>
      <c r="F1608" s="19">
        <v>0</v>
      </c>
      <c r="G1608" s="19">
        <v>0</v>
      </c>
      <c r="H1608" s="20">
        <v>0.21281900441038482</v>
      </c>
      <c r="I1608" s="20">
        <v>0</v>
      </c>
      <c r="J1608" s="20">
        <v>0.21281900441038482</v>
      </c>
    </row>
    <row r="1609" spans="1:10" ht="11.25" customHeight="1" x14ac:dyDescent="0.2">
      <c r="A1609" s="29">
        <v>44409</v>
      </c>
      <c r="B1609" s="19">
        <v>0</v>
      </c>
      <c r="C1609" s="19">
        <v>0</v>
      </c>
      <c r="D1609" s="19">
        <v>566413.73617000005</v>
      </c>
      <c r="E1609" s="19">
        <v>686957.34358606546</v>
      </c>
      <c r="F1609" s="19">
        <v>0</v>
      </c>
      <c r="G1609" s="19">
        <v>0</v>
      </c>
      <c r="H1609" s="20">
        <v>0.21281900441038415</v>
      </c>
      <c r="I1609" s="20">
        <v>0</v>
      </c>
      <c r="J1609" s="20">
        <v>0.21281900441038415</v>
      </c>
    </row>
    <row r="1610" spans="1:10" ht="11.25" customHeight="1" x14ac:dyDescent="0.2">
      <c r="A1610" s="29">
        <v>44440</v>
      </c>
      <c r="B1610" s="19">
        <v>0</v>
      </c>
      <c r="C1610" s="19">
        <v>0</v>
      </c>
      <c r="D1610" s="19">
        <v>571665.61169000005</v>
      </c>
      <c r="E1610" s="19">
        <v>693326.918025519</v>
      </c>
      <c r="F1610" s="19">
        <v>0</v>
      </c>
      <c r="G1610" s="19">
        <v>0</v>
      </c>
      <c r="H1610" s="20">
        <v>0.21281900441038393</v>
      </c>
      <c r="I1610" s="20">
        <v>0</v>
      </c>
      <c r="J1610" s="20">
        <v>0.21281900441038393</v>
      </c>
    </row>
    <row r="1611" spans="1:10" ht="11.25" customHeight="1" x14ac:dyDescent="0.2">
      <c r="A1611" s="29">
        <v>44470</v>
      </c>
      <c r="B1611" s="19">
        <v>0</v>
      </c>
      <c r="C1611" s="19">
        <v>0</v>
      </c>
      <c r="D1611" s="19">
        <v>596385.32929999998</v>
      </c>
      <c r="E1611" s="19">
        <v>723307.46132658515</v>
      </c>
      <c r="F1611" s="19">
        <v>0</v>
      </c>
      <c r="G1611" s="19">
        <v>0</v>
      </c>
      <c r="H1611" s="20">
        <v>0.21281900441038437</v>
      </c>
      <c r="I1611" s="20">
        <v>0</v>
      </c>
      <c r="J1611" s="20">
        <v>0.21281900441038437</v>
      </c>
    </row>
    <row r="1612" spans="1:10" ht="11.25" customHeight="1" x14ac:dyDescent="0.2">
      <c r="A1612" s="29">
        <v>44501</v>
      </c>
      <c r="B1612" s="19">
        <v>0</v>
      </c>
      <c r="C1612" s="19">
        <v>0</v>
      </c>
      <c r="D1612" s="19">
        <v>665328.08380000002</v>
      </c>
      <c r="E1612" s="19">
        <v>806922.54420058464</v>
      </c>
      <c r="F1612" s="19">
        <v>0</v>
      </c>
      <c r="G1612" s="19">
        <v>0</v>
      </c>
      <c r="H1612" s="20">
        <v>0.21281900441038415</v>
      </c>
      <c r="I1612" s="20">
        <v>0</v>
      </c>
      <c r="J1612" s="20">
        <v>0.21281900441038415</v>
      </c>
    </row>
    <row r="1613" spans="1:10" ht="11.25" customHeight="1" x14ac:dyDescent="0.2">
      <c r="A1613" s="29">
        <v>44531</v>
      </c>
      <c r="B1613" s="19">
        <v>0</v>
      </c>
      <c r="C1613" s="19">
        <v>0</v>
      </c>
      <c r="D1613" s="19">
        <v>661666.67510999995</v>
      </c>
      <c r="E1613" s="19">
        <v>802481.91815843922</v>
      </c>
      <c r="F1613" s="19">
        <v>0</v>
      </c>
      <c r="G1613" s="19">
        <v>0</v>
      </c>
      <c r="H1613" s="20">
        <v>0.21281900441038415</v>
      </c>
      <c r="I1613" s="20">
        <v>0</v>
      </c>
      <c r="J1613" s="20">
        <v>0.21281900441038415</v>
      </c>
    </row>
    <row r="1614" spans="1:10" ht="11.25" customHeight="1" x14ac:dyDescent="0.2">
      <c r="A1614" s="29">
        <v>44562</v>
      </c>
      <c r="B1614" s="19">
        <v>0</v>
      </c>
      <c r="C1614" s="19">
        <v>0</v>
      </c>
      <c r="D1614" s="19">
        <v>643315.89523000002</v>
      </c>
      <c r="E1614" s="19">
        <v>780225.7435742236</v>
      </c>
      <c r="F1614" s="19">
        <v>0</v>
      </c>
      <c r="G1614" s="19">
        <v>0</v>
      </c>
      <c r="H1614" s="20">
        <v>0.21281900441038415</v>
      </c>
      <c r="I1614" s="20">
        <v>0</v>
      </c>
      <c r="J1614" s="20">
        <v>0.21281900441038415</v>
      </c>
    </row>
    <row r="1615" spans="1:10" ht="11.25" customHeight="1" x14ac:dyDescent="0.2">
      <c r="A1615" s="29">
        <v>44593</v>
      </c>
      <c r="B1615" s="19">
        <v>0</v>
      </c>
      <c r="C1615" s="19">
        <v>0</v>
      </c>
      <c r="D1615" s="19">
        <v>638529.41536999994</v>
      </c>
      <c r="E1615" s="19">
        <v>774420.60983578803</v>
      </c>
      <c r="F1615" s="19">
        <v>0</v>
      </c>
      <c r="G1615" s="19">
        <v>0</v>
      </c>
      <c r="H1615" s="20">
        <v>0.21281900441038415</v>
      </c>
      <c r="I1615" s="20">
        <v>0</v>
      </c>
      <c r="J1615" s="20">
        <v>0.21281900441038415</v>
      </c>
    </row>
    <row r="1616" spans="1:10" ht="11.25" customHeight="1" x14ac:dyDescent="0.2">
      <c r="A1616" s="29">
        <v>44621</v>
      </c>
      <c r="B1616" s="19">
        <v>0</v>
      </c>
      <c r="C1616" s="19">
        <v>0</v>
      </c>
      <c r="D1616" s="19">
        <v>619534.79018999997</v>
      </c>
      <c r="E1616" s="19">
        <v>751383.56743583188</v>
      </c>
      <c r="F1616" s="19">
        <v>0</v>
      </c>
      <c r="G1616" s="19">
        <v>0</v>
      </c>
      <c r="H1616" s="20">
        <v>0.21281900441038393</v>
      </c>
      <c r="I1616" s="20">
        <v>0</v>
      </c>
      <c r="J1616" s="20">
        <v>0.21281900441038393</v>
      </c>
    </row>
    <row r="1617" spans="1:10" ht="11.25" customHeight="1" x14ac:dyDescent="0.2">
      <c r="A1617" s="29">
        <v>44652</v>
      </c>
      <c r="B1617" s="19">
        <v>0</v>
      </c>
      <c r="C1617" s="19">
        <v>0</v>
      </c>
      <c r="D1617" s="19">
        <v>685770.26593000011</v>
      </c>
      <c r="E1617" s="19">
        <v>831715.21117946703</v>
      </c>
      <c r="F1617" s="19">
        <v>0</v>
      </c>
      <c r="G1617" s="19">
        <v>0</v>
      </c>
      <c r="H1617" s="20">
        <v>0.21281900441038393</v>
      </c>
      <c r="I1617" s="20">
        <v>0</v>
      </c>
      <c r="J1617" s="20">
        <v>0.21281900441038393</v>
      </c>
    </row>
    <row r="1618" spans="1:10" ht="11.25" customHeight="1" x14ac:dyDescent="0.2">
      <c r="A1618" s="29">
        <v>44682</v>
      </c>
      <c r="B1618" s="19">
        <v>0</v>
      </c>
      <c r="C1618" s="19">
        <v>0</v>
      </c>
      <c r="D1618" s="19">
        <v>635446.27861999988</v>
      </c>
      <c r="E1618" s="19">
        <v>770681.32299219188</v>
      </c>
      <c r="F1618" s="19">
        <v>0</v>
      </c>
      <c r="G1618" s="19">
        <v>0</v>
      </c>
      <c r="H1618" s="20">
        <v>0.21281900441038415</v>
      </c>
      <c r="I1618" s="20">
        <v>0</v>
      </c>
      <c r="J1618" s="20">
        <v>0.21281900441038415</v>
      </c>
    </row>
    <row r="1619" spans="1:10" ht="11.25" customHeight="1" x14ac:dyDescent="0.2">
      <c r="A1619" s="29">
        <v>44713</v>
      </c>
      <c r="B1619" s="19">
        <v>0</v>
      </c>
      <c r="C1619" s="19">
        <v>0</v>
      </c>
      <c r="D1619" s="19">
        <v>698450.13899999997</v>
      </c>
      <c r="E1619" s="19">
        <v>847093.60221227445</v>
      </c>
      <c r="F1619" s="19">
        <v>0</v>
      </c>
      <c r="G1619" s="19">
        <v>0</v>
      </c>
      <c r="H1619" s="20">
        <v>0.21281900441038415</v>
      </c>
      <c r="I1619" s="20">
        <v>0</v>
      </c>
      <c r="J1619" s="20">
        <v>0.21281900441038415</v>
      </c>
    </row>
    <row r="1620" spans="1:10" ht="11.25" customHeight="1" x14ac:dyDescent="0.2">
      <c r="A1620" s="29">
        <v>44743</v>
      </c>
      <c r="B1620" s="19">
        <v>0</v>
      </c>
      <c r="C1620" s="19">
        <v>0</v>
      </c>
      <c r="D1620" s="19">
        <v>698450.13899999997</v>
      </c>
      <c r="E1620" s="19">
        <v>847093.60221227445</v>
      </c>
      <c r="F1620" s="19">
        <v>0</v>
      </c>
      <c r="G1620" s="19">
        <v>0</v>
      </c>
      <c r="H1620" s="20">
        <v>0.21281900441038415</v>
      </c>
      <c r="I1620" s="20">
        <v>0</v>
      </c>
      <c r="J1620" s="20">
        <v>0.21281900441038415</v>
      </c>
    </row>
    <row r="1621" spans="1:10" ht="11.25" customHeight="1" x14ac:dyDescent="0.2">
      <c r="A1621" s="28" t="s">
        <v>25</v>
      </c>
      <c r="B1621" s="19">
        <v>5183183.7588</v>
      </c>
      <c r="C1621" s="19">
        <v>5711338.1814644365</v>
      </c>
      <c r="D1621" s="19">
        <v>0</v>
      </c>
      <c r="E1621" s="19">
        <v>0</v>
      </c>
      <c r="F1621" s="19">
        <v>0</v>
      </c>
      <c r="G1621" s="19">
        <v>0</v>
      </c>
      <c r="H1621" s="20">
        <v>0.10189768436585656</v>
      </c>
      <c r="I1621" s="20">
        <v>0</v>
      </c>
      <c r="J1621" s="20">
        <v>0.10189768436585656</v>
      </c>
    </row>
    <row r="1622" spans="1:10" ht="11.25" customHeight="1" x14ac:dyDescent="0.2">
      <c r="A1622" s="29">
        <v>44409</v>
      </c>
      <c r="B1622" s="19">
        <v>382675.65599999996</v>
      </c>
      <c r="C1622" s="19">
        <v>421669.41920958518</v>
      </c>
      <c r="D1622" s="19">
        <v>0</v>
      </c>
      <c r="E1622" s="19">
        <v>0</v>
      </c>
      <c r="F1622" s="19">
        <v>0</v>
      </c>
      <c r="G1622" s="19">
        <v>0</v>
      </c>
      <c r="H1622" s="20">
        <v>0.10189768436585678</v>
      </c>
      <c r="I1622" s="20">
        <v>0</v>
      </c>
      <c r="J1622" s="20">
        <v>0.10189768436585678</v>
      </c>
    </row>
    <row r="1623" spans="1:10" ht="11.25" customHeight="1" x14ac:dyDescent="0.2">
      <c r="A1623" s="29">
        <v>44440</v>
      </c>
      <c r="B1623" s="19">
        <v>366033.55979999999</v>
      </c>
      <c r="C1623" s="19">
        <v>403331.53194381134</v>
      </c>
      <c r="D1623" s="19">
        <v>0</v>
      </c>
      <c r="E1623" s="19">
        <v>0</v>
      </c>
      <c r="F1623" s="19">
        <v>0</v>
      </c>
      <c r="G1623" s="19">
        <v>0</v>
      </c>
      <c r="H1623" s="20">
        <v>0.10189768436585678</v>
      </c>
      <c r="I1623" s="20">
        <v>0</v>
      </c>
      <c r="J1623" s="20">
        <v>0.10189768436585678</v>
      </c>
    </row>
    <row r="1624" spans="1:10" ht="11.25" customHeight="1" x14ac:dyDescent="0.2">
      <c r="A1624" s="29">
        <v>44470</v>
      </c>
      <c r="B1624" s="19">
        <v>460646.07</v>
      </c>
      <c r="C1624" s="19">
        <v>507584.83784523234</v>
      </c>
      <c r="D1624" s="19">
        <v>0</v>
      </c>
      <c r="E1624" s="19">
        <v>0</v>
      </c>
      <c r="F1624" s="19">
        <v>0</v>
      </c>
      <c r="G1624" s="19">
        <v>0</v>
      </c>
      <c r="H1624" s="20">
        <v>0.10189768436585678</v>
      </c>
      <c r="I1624" s="20">
        <v>0</v>
      </c>
      <c r="J1624" s="20">
        <v>0.10189768436585678</v>
      </c>
    </row>
    <row r="1625" spans="1:10" ht="11.25" customHeight="1" x14ac:dyDescent="0.2">
      <c r="A1625" s="29">
        <v>44501</v>
      </c>
      <c r="B1625" s="19">
        <v>437447.66280000005</v>
      </c>
      <c r="C1625" s="19">
        <v>482022.56667057617</v>
      </c>
      <c r="D1625" s="19">
        <v>0</v>
      </c>
      <c r="E1625" s="19">
        <v>0</v>
      </c>
      <c r="F1625" s="19">
        <v>0</v>
      </c>
      <c r="G1625" s="19">
        <v>0</v>
      </c>
      <c r="H1625" s="20">
        <v>0.10189768436585678</v>
      </c>
      <c r="I1625" s="20">
        <v>0</v>
      </c>
      <c r="J1625" s="20">
        <v>0.10189768436585678</v>
      </c>
    </row>
    <row r="1626" spans="1:10" ht="11.25" customHeight="1" x14ac:dyDescent="0.2">
      <c r="A1626" s="29">
        <v>44531</v>
      </c>
      <c r="B1626" s="19">
        <v>459391.70519999997</v>
      </c>
      <c r="C1626" s="19">
        <v>506202.65617676231</v>
      </c>
      <c r="D1626" s="19">
        <v>0</v>
      </c>
      <c r="E1626" s="19">
        <v>0</v>
      </c>
      <c r="F1626" s="19">
        <v>0</v>
      </c>
      <c r="G1626" s="19">
        <v>0</v>
      </c>
      <c r="H1626" s="20">
        <v>0.10189768436585678</v>
      </c>
      <c r="I1626" s="20">
        <v>0</v>
      </c>
      <c r="J1626" s="20">
        <v>0.10189768436585678</v>
      </c>
    </row>
    <row r="1627" spans="1:10" ht="11.25" customHeight="1" x14ac:dyDescent="0.2">
      <c r="A1627" s="29">
        <v>44562</v>
      </c>
      <c r="B1627" s="19">
        <v>467069.18340000004</v>
      </c>
      <c r="C1627" s="19">
        <v>514662.4516271117</v>
      </c>
      <c r="D1627" s="19">
        <v>0</v>
      </c>
      <c r="E1627" s="19">
        <v>0</v>
      </c>
      <c r="F1627" s="19">
        <v>0</v>
      </c>
      <c r="G1627" s="19">
        <v>0</v>
      </c>
      <c r="H1627" s="20">
        <v>0.10189768436585678</v>
      </c>
      <c r="I1627" s="20">
        <v>0</v>
      </c>
      <c r="J1627" s="20">
        <v>0.10189768436585678</v>
      </c>
    </row>
    <row r="1628" spans="1:10" ht="11.25" customHeight="1" x14ac:dyDescent="0.2">
      <c r="A1628" s="29">
        <v>44593</v>
      </c>
      <c r="B1628" s="19">
        <v>455997.78840000002</v>
      </c>
      <c r="C1628" s="19">
        <v>502462.90711391199</v>
      </c>
      <c r="D1628" s="19">
        <v>0</v>
      </c>
      <c r="E1628" s="19">
        <v>0</v>
      </c>
      <c r="F1628" s="19">
        <v>0</v>
      </c>
      <c r="G1628" s="19">
        <v>0</v>
      </c>
      <c r="H1628" s="20">
        <v>0.10189768436585678</v>
      </c>
      <c r="I1628" s="20">
        <v>0</v>
      </c>
      <c r="J1628" s="20">
        <v>0.10189768436585678</v>
      </c>
    </row>
    <row r="1629" spans="1:10" ht="11.25" customHeight="1" x14ac:dyDescent="0.2">
      <c r="A1629" s="29">
        <v>44621</v>
      </c>
      <c r="B1629" s="19">
        <v>455744.50320000004</v>
      </c>
      <c r="C1629" s="19">
        <v>502183.8127385478</v>
      </c>
      <c r="D1629" s="19">
        <v>0</v>
      </c>
      <c r="E1629" s="19">
        <v>0</v>
      </c>
      <c r="F1629" s="19">
        <v>0</v>
      </c>
      <c r="G1629" s="19">
        <v>0</v>
      </c>
      <c r="H1629" s="20">
        <v>0.10189768436585678</v>
      </c>
      <c r="I1629" s="20">
        <v>0</v>
      </c>
      <c r="J1629" s="20">
        <v>0.10189768436585678</v>
      </c>
    </row>
    <row r="1630" spans="1:10" ht="11.25" customHeight="1" x14ac:dyDescent="0.2">
      <c r="A1630" s="29">
        <v>44652</v>
      </c>
      <c r="B1630" s="19">
        <v>420816.31679999997</v>
      </c>
      <c r="C1630" s="19">
        <v>463696.52502528881</v>
      </c>
      <c r="D1630" s="19">
        <v>0</v>
      </c>
      <c r="E1630" s="19">
        <v>0</v>
      </c>
      <c r="F1630" s="19">
        <v>0</v>
      </c>
      <c r="G1630" s="19">
        <v>0</v>
      </c>
      <c r="H1630" s="20">
        <v>0.10189768436585678</v>
      </c>
      <c r="I1630" s="20">
        <v>0</v>
      </c>
      <c r="J1630" s="20">
        <v>0.10189768436585678</v>
      </c>
    </row>
    <row r="1631" spans="1:10" ht="11.25" customHeight="1" x14ac:dyDescent="0.2">
      <c r="A1631" s="29">
        <v>44682</v>
      </c>
      <c r="B1631" s="19">
        <v>419258.84879999998</v>
      </c>
      <c r="C1631" s="19">
        <v>461980.3546426149</v>
      </c>
      <c r="D1631" s="19">
        <v>0</v>
      </c>
      <c r="E1631" s="19">
        <v>0</v>
      </c>
      <c r="F1631" s="19">
        <v>0</v>
      </c>
      <c r="G1631" s="19">
        <v>0</v>
      </c>
      <c r="H1631" s="20">
        <v>0.101897684365857</v>
      </c>
      <c r="I1631" s="20">
        <v>0</v>
      </c>
      <c r="J1631" s="20">
        <v>0.101897684365857</v>
      </c>
    </row>
    <row r="1632" spans="1:10" ht="11.25" customHeight="1" x14ac:dyDescent="0.2">
      <c r="A1632" s="29">
        <v>44713</v>
      </c>
      <c r="B1632" s="19">
        <v>429051.23219999997</v>
      </c>
      <c r="C1632" s="19">
        <v>472770.55923549749</v>
      </c>
      <c r="D1632" s="19">
        <v>0</v>
      </c>
      <c r="E1632" s="19">
        <v>0</v>
      </c>
      <c r="F1632" s="19">
        <v>0</v>
      </c>
      <c r="G1632" s="19">
        <v>0</v>
      </c>
      <c r="H1632" s="20">
        <v>0.10189768436585678</v>
      </c>
      <c r="I1632" s="20">
        <v>0</v>
      </c>
      <c r="J1632" s="20">
        <v>0.10189768436585678</v>
      </c>
    </row>
    <row r="1633" spans="1:10" ht="11.25" customHeight="1" x14ac:dyDescent="0.2">
      <c r="A1633" s="29">
        <v>44743</v>
      </c>
      <c r="B1633" s="19">
        <v>429051.23219999997</v>
      </c>
      <c r="C1633" s="19">
        <v>472770.55923549749</v>
      </c>
      <c r="D1633" s="19">
        <v>0</v>
      </c>
      <c r="E1633" s="19">
        <v>0</v>
      </c>
      <c r="F1633" s="19">
        <v>0</v>
      </c>
      <c r="G1633" s="19">
        <v>0</v>
      </c>
      <c r="H1633" s="20">
        <v>0.10189768436585678</v>
      </c>
      <c r="I1633" s="20">
        <v>0</v>
      </c>
      <c r="J1633" s="20">
        <v>0.10189768436585678</v>
      </c>
    </row>
    <row r="1634" spans="1:10" ht="11.25" customHeight="1" x14ac:dyDescent="0.2">
      <c r="A1634" s="28" t="s">
        <v>34</v>
      </c>
      <c r="B1634" s="19">
        <v>0</v>
      </c>
      <c r="C1634" s="19">
        <v>0</v>
      </c>
      <c r="D1634" s="19">
        <v>6024411.7011133991</v>
      </c>
      <c r="E1634" s="19">
        <v>6662474.5634299405</v>
      </c>
      <c r="F1634" s="19">
        <v>0</v>
      </c>
      <c r="G1634" s="19">
        <v>0</v>
      </c>
      <c r="H1634" s="20">
        <v>0.10591289141122573</v>
      </c>
      <c r="I1634" s="20">
        <v>0</v>
      </c>
      <c r="J1634" s="20">
        <v>0.10591289141122573</v>
      </c>
    </row>
    <row r="1635" spans="1:10" ht="11.25" customHeight="1" x14ac:dyDescent="0.2">
      <c r="A1635" s="29">
        <v>44409</v>
      </c>
      <c r="B1635" s="19">
        <v>0</v>
      </c>
      <c r="C1635" s="19">
        <v>0</v>
      </c>
      <c r="D1635" s="19">
        <v>420584.79496000003</v>
      </c>
      <c r="E1635" s="19">
        <v>465130.14667781111</v>
      </c>
      <c r="F1635" s="19">
        <v>0</v>
      </c>
      <c r="G1635" s="19">
        <v>0</v>
      </c>
      <c r="H1635" s="20">
        <v>0.10591289141122573</v>
      </c>
      <c r="I1635" s="20">
        <v>0</v>
      </c>
      <c r="J1635" s="20">
        <v>0.10591289141122573</v>
      </c>
    </row>
    <row r="1636" spans="1:10" ht="11.25" customHeight="1" x14ac:dyDescent="0.2">
      <c r="A1636" s="29">
        <v>44440</v>
      </c>
      <c r="B1636" s="19">
        <v>0</v>
      </c>
      <c r="C1636" s="19">
        <v>0</v>
      </c>
      <c r="D1636" s="19">
        <v>489380.99798520003</v>
      </c>
      <c r="E1636" s="19">
        <v>541212.75448352366</v>
      </c>
      <c r="F1636" s="19">
        <v>0</v>
      </c>
      <c r="G1636" s="19">
        <v>0</v>
      </c>
      <c r="H1636" s="20">
        <v>0.10591289141122551</v>
      </c>
      <c r="I1636" s="20">
        <v>0</v>
      </c>
      <c r="J1636" s="20">
        <v>0.10591289141122551</v>
      </c>
    </row>
    <row r="1637" spans="1:10" ht="11.25" customHeight="1" x14ac:dyDescent="0.2">
      <c r="A1637" s="29">
        <v>44470</v>
      </c>
      <c r="B1637" s="19">
        <v>0</v>
      </c>
      <c r="C1637" s="19">
        <v>0</v>
      </c>
      <c r="D1637" s="19">
        <v>448052.26072320004</v>
      </c>
      <c r="E1637" s="19">
        <v>495506.77115973044</v>
      </c>
      <c r="F1637" s="19">
        <v>0</v>
      </c>
      <c r="G1637" s="19">
        <v>0</v>
      </c>
      <c r="H1637" s="20">
        <v>0.10591289141122551</v>
      </c>
      <c r="I1637" s="20">
        <v>0</v>
      </c>
      <c r="J1637" s="20">
        <v>0.10591289141122551</v>
      </c>
    </row>
    <row r="1638" spans="1:10" ht="11.25" customHeight="1" x14ac:dyDescent="0.2">
      <c r="A1638" s="29">
        <v>44501</v>
      </c>
      <c r="B1638" s="19">
        <v>0</v>
      </c>
      <c r="C1638" s="19">
        <v>0</v>
      </c>
      <c r="D1638" s="19">
        <v>449157.16974480002</v>
      </c>
      <c r="E1638" s="19">
        <v>496728.70429055445</v>
      </c>
      <c r="F1638" s="19">
        <v>0</v>
      </c>
      <c r="G1638" s="19">
        <v>0</v>
      </c>
      <c r="H1638" s="20">
        <v>0.10591289141122551</v>
      </c>
      <c r="I1638" s="20">
        <v>0</v>
      </c>
      <c r="J1638" s="20">
        <v>0.10591289141122551</v>
      </c>
    </row>
    <row r="1639" spans="1:10" ht="11.25" customHeight="1" x14ac:dyDescent="0.2">
      <c r="A1639" s="29">
        <v>44531</v>
      </c>
      <c r="B1639" s="19">
        <v>0</v>
      </c>
      <c r="C1639" s="19">
        <v>0</v>
      </c>
      <c r="D1639" s="19">
        <v>517525.90291160002</v>
      </c>
      <c r="E1639" s="19">
        <v>572338.56766917277</v>
      </c>
      <c r="F1639" s="19">
        <v>0</v>
      </c>
      <c r="G1639" s="19">
        <v>0</v>
      </c>
      <c r="H1639" s="20">
        <v>0.10591289141122551</v>
      </c>
      <c r="I1639" s="20">
        <v>0</v>
      </c>
      <c r="J1639" s="20">
        <v>0.10591289141122551</v>
      </c>
    </row>
    <row r="1640" spans="1:10" ht="11.25" customHeight="1" x14ac:dyDescent="0.2">
      <c r="A1640" s="29">
        <v>44562</v>
      </c>
      <c r="B1640" s="19">
        <v>0</v>
      </c>
      <c r="C1640" s="19">
        <v>0</v>
      </c>
      <c r="D1640" s="19">
        <v>558824.45816250006</v>
      </c>
      <c r="E1640" s="19">
        <v>618011.17231780186</v>
      </c>
      <c r="F1640" s="19">
        <v>0</v>
      </c>
      <c r="G1640" s="19">
        <v>0</v>
      </c>
      <c r="H1640" s="20">
        <v>0.10591289141122551</v>
      </c>
      <c r="I1640" s="20">
        <v>0</v>
      </c>
      <c r="J1640" s="20">
        <v>0.10591289141122551</v>
      </c>
    </row>
    <row r="1641" spans="1:10" ht="11.25" customHeight="1" x14ac:dyDescent="0.2">
      <c r="A1641" s="29">
        <v>44593</v>
      </c>
      <c r="B1641" s="19">
        <v>0</v>
      </c>
      <c r="C1641" s="19">
        <v>0</v>
      </c>
      <c r="D1641" s="19">
        <v>468243.65369589999</v>
      </c>
      <c r="E1641" s="19">
        <v>517836.69294378941</v>
      </c>
      <c r="F1641" s="19">
        <v>0</v>
      </c>
      <c r="G1641" s="19">
        <v>0</v>
      </c>
      <c r="H1641" s="20">
        <v>0.10591289141122573</v>
      </c>
      <c r="I1641" s="20">
        <v>0</v>
      </c>
      <c r="J1641" s="20">
        <v>0.10591289141122573</v>
      </c>
    </row>
    <row r="1642" spans="1:10" ht="11.25" customHeight="1" x14ac:dyDescent="0.2">
      <c r="A1642" s="29">
        <v>44621</v>
      </c>
      <c r="B1642" s="19">
        <v>0</v>
      </c>
      <c r="C1642" s="19">
        <v>0</v>
      </c>
      <c r="D1642" s="19">
        <v>506071.87625580007</v>
      </c>
      <c r="E1642" s="19">
        <v>559671.41193195584</v>
      </c>
      <c r="F1642" s="19">
        <v>0</v>
      </c>
      <c r="G1642" s="19">
        <v>0</v>
      </c>
      <c r="H1642" s="20">
        <v>0.10591289141122573</v>
      </c>
      <c r="I1642" s="20">
        <v>0</v>
      </c>
      <c r="J1642" s="20">
        <v>0.10591289141122573</v>
      </c>
    </row>
    <row r="1643" spans="1:10" ht="11.25" customHeight="1" x14ac:dyDescent="0.2">
      <c r="A1643" s="29">
        <v>44652</v>
      </c>
      <c r="B1643" s="19">
        <v>0</v>
      </c>
      <c r="C1643" s="19">
        <v>0</v>
      </c>
      <c r="D1643" s="19">
        <v>571014.47894529998</v>
      </c>
      <c r="E1643" s="19">
        <v>631492.27344807121</v>
      </c>
      <c r="F1643" s="19">
        <v>0</v>
      </c>
      <c r="G1643" s="19">
        <v>0</v>
      </c>
      <c r="H1643" s="20">
        <v>0.10591289141122573</v>
      </c>
      <c r="I1643" s="20">
        <v>0</v>
      </c>
      <c r="J1643" s="20">
        <v>0.10591289141122573</v>
      </c>
    </row>
    <row r="1644" spans="1:10" ht="11.25" customHeight="1" x14ac:dyDescent="0.2">
      <c r="A1644" s="29">
        <v>44682</v>
      </c>
      <c r="B1644" s="19">
        <v>0</v>
      </c>
      <c r="C1644" s="19">
        <v>0</v>
      </c>
      <c r="D1644" s="19">
        <v>466640.40229270002</v>
      </c>
      <c r="E1644" s="19">
        <v>516063.63654881733</v>
      </c>
      <c r="F1644" s="19">
        <v>0</v>
      </c>
      <c r="G1644" s="19">
        <v>0</v>
      </c>
      <c r="H1644" s="20">
        <v>0.10591289141122551</v>
      </c>
      <c r="I1644" s="20">
        <v>0</v>
      </c>
      <c r="J1644" s="20">
        <v>0.10591289141122551</v>
      </c>
    </row>
    <row r="1645" spans="1:10" ht="11.25" customHeight="1" x14ac:dyDescent="0.2">
      <c r="A1645" s="29">
        <v>44713</v>
      </c>
      <c r="B1645" s="19">
        <v>0</v>
      </c>
      <c r="C1645" s="19">
        <v>0</v>
      </c>
      <c r="D1645" s="19">
        <v>564457.85271819995</v>
      </c>
      <c r="E1645" s="19">
        <v>624241.21597935632</v>
      </c>
      <c r="F1645" s="19">
        <v>0</v>
      </c>
      <c r="G1645" s="19">
        <v>0</v>
      </c>
      <c r="H1645" s="20">
        <v>0.10591289141122573</v>
      </c>
      <c r="I1645" s="20">
        <v>0</v>
      </c>
      <c r="J1645" s="20">
        <v>0.10591289141122573</v>
      </c>
    </row>
    <row r="1646" spans="1:10" ht="11.25" customHeight="1" x14ac:dyDescent="0.2">
      <c r="A1646" s="29">
        <v>44743</v>
      </c>
      <c r="B1646" s="19">
        <v>0</v>
      </c>
      <c r="C1646" s="19">
        <v>0</v>
      </c>
      <c r="D1646" s="19">
        <v>564457.85271819995</v>
      </c>
      <c r="E1646" s="19">
        <v>624241.21597935632</v>
      </c>
      <c r="F1646" s="19">
        <v>0</v>
      </c>
      <c r="G1646" s="19">
        <v>0</v>
      </c>
      <c r="H1646" s="20">
        <v>0.10591289141122573</v>
      </c>
      <c r="I1646" s="20">
        <v>0</v>
      </c>
      <c r="J1646" s="20">
        <v>0.10591289141122573</v>
      </c>
    </row>
    <row r="1647" spans="1:10" ht="11.25" customHeight="1" x14ac:dyDescent="0.2">
      <c r="A1647" s="26" t="s">
        <v>25</v>
      </c>
      <c r="B1647" s="19">
        <v>917700</v>
      </c>
      <c r="C1647" s="19">
        <v>1011211.5049425467</v>
      </c>
      <c r="D1647" s="19">
        <v>551335.62229000009</v>
      </c>
      <c r="E1647" s="19">
        <v>657999.50853114785</v>
      </c>
      <c r="F1647" s="19">
        <v>0</v>
      </c>
      <c r="G1647" s="19">
        <v>0</v>
      </c>
      <c r="H1647" s="20">
        <v>0.1362631294615253</v>
      </c>
      <c r="I1647" s="20">
        <v>0</v>
      </c>
      <c r="J1647" s="20">
        <v>0.1362631294615253</v>
      </c>
    </row>
    <row r="1648" spans="1:10" ht="11.25" customHeight="1" x14ac:dyDescent="0.2">
      <c r="A1648" s="27" t="s">
        <v>25</v>
      </c>
      <c r="B1648" s="19">
        <v>917700</v>
      </c>
      <c r="C1648" s="19">
        <v>1011211.5049425467</v>
      </c>
      <c r="D1648" s="19">
        <v>551335.62229000009</v>
      </c>
      <c r="E1648" s="19">
        <v>657999.50853114785</v>
      </c>
      <c r="F1648" s="19">
        <v>0</v>
      </c>
      <c r="G1648" s="19">
        <v>0</v>
      </c>
      <c r="H1648" s="20">
        <v>0.1362631294615253</v>
      </c>
      <c r="I1648" s="20">
        <v>0</v>
      </c>
      <c r="J1648" s="20">
        <v>0.1362631294615253</v>
      </c>
    </row>
    <row r="1649" spans="1:10" ht="11.25" customHeight="1" x14ac:dyDescent="0.2">
      <c r="A1649" s="28" t="s">
        <v>35</v>
      </c>
      <c r="B1649" s="19">
        <v>0</v>
      </c>
      <c r="C1649" s="19">
        <v>0</v>
      </c>
      <c r="D1649" s="19">
        <v>451520.82507000002</v>
      </c>
      <c r="E1649" s="19">
        <v>547613.03753195261</v>
      </c>
      <c r="F1649" s="19">
        <v>0</v>
      </c>
      <c r="G1649" s="19">
        <v>0</v>
      </c>
      <c r="H1649" s="20">
        <v>0.21281900441038415</v>
      </c>
      <c r="I1649" s="20">
        <v>0</v>
      </c>
      <c r="J1649" s="20">
        <v>0.21281900441038415</v>
      </c>
    </row>
    <row r="1650" spans="1:10" ht="11.25" customHeight="1" x14ac:dyDescent="0.2">
      <c r="A1650" s="29">
        <v>44409</v>
      </c>
      <c r="B1650" s="19">
        <v>0</v>
      </c>
      <c r="C1650" s="19">
        <v>0</v>
      </c>
      <c r="D1650" s="19">
        <v>39716.057220000002</v>
      </c>
      <c r="E1650" s="19">
        <v>48168.388976666247</v>
      </c>
      <c r="F1650" s="19">
        <v>0</v>
      </c>
      <c r="G1650" s="19">
        <v>0</v>
      </c>
      <c r="H1650" s="20">
        <v>0.21281900441038393</v>
      </c>
      <c r="I1650" s="20">
        <v>0</v>
      </c>
      <c r="J1650" s="20">
        <v>0.21281900441038393</v>
      </c>
    </row>
    <row r="1651" spans="1:10" ht="11.25" customHeight="1" x14ac:dyDescent="0.2">
      <c r="A1651" s="29">
        <v>44440</v>
      </c>
      <c r="B1651" s="19">
        <v>0</v>
      </c>
      <c r="C1651" s="19">
        <v>0</v>
      </c>
      <c r="D1651" s="19">
        <v>39779.127780000003</v>
      </c>
      <c r="E1651" s="19">
        <v>48244.882150453057</v>
      </c>
      <c r="F1651" s="19">
        <v>0</v>
      </c>
      <c r="G1651" s="19">
        <v>0</v>
      </c>
      <c r="H1651" s="20">
        <v>0.21281900441038415</v>
      </c>
      <c r="I1651" s="20">
        <v>0</v>
      </c>
      <c r="J1651" s="20">
        <v>0.21281900441038415</v>
      </c>
    </row>
    <row r="1652" spans="1:10" ht="11.25" customHeight="1" x14ac:dyDescent="0.2">
      <c r="A1652" s="29">
        <v>44470</v>
      </c>
      <c r="B1652" s="19">
        <v>0</v>
      </c>
      <c r="C1652" s="19">
        <v>0</v>
      </c>
      <c r="D1652" s="19">
        <v>46884.013849999996</v>
      </c>
      <c r="E1652" s="19">
        <v>56861.823000319659</v>
      </c>
      <c r="F1652" s="19">
        <v>0</v>
      </c>
      <c r="G1652" s="19">
        <v>0</v>
      </c>
      <c r="H1652" s="20">
        <v>0.21281900441038415</v>
      </c>
      <c r="I1652" s="20">
        <v>0</v>
      </c>
      <c r="J1652" s="20">
        <v>0.21281900441038415</v>
      </c>
    </row>
    <row r="1653" spans="1:10" ht="11.25" customHeight="1" x14ac:dyDescent="0.2">
      <c r="A1653" s="29">
        <v>44501</v>
      </c>
      <c r="B1653" s="19">
        <v>0</v>
      </c>
      <c r="C1653" s="19">
        <v>0</v>
      </c>
      <c r="D1653" s="19">
        <v>54867.132440000001</v>
      </c>
      <c r="E1653" s="19">
        <v>66543.900940733496</v>
      </c>
      <c r="F1653" s="19">
        <v>0</v>
      </c>
      <c r="G1653" s="19">
        <v>0</v>
      </c>
      <c r="H1653" s="20">
        <v>0.21281900441038415</v>
      </c>
      <c r="I1653" s="20">
        <v>0</v>
      </c>
      <c r="J1653" s="20">
        <v>0.21281900441038415</v>
      </c>
    </row>
    <row r="1654" spans="1:10" ht="11.25" customHeight="1" x14ac:dyDescent="0.2">
      <c r="A1654" s="29">
        <v>44531</v>
      </c>
      <c r="B1654" s="19">
        <v>0</v>
      </c>
      <c r="C1654" s="19">
        <v>0</v>
      </c>
      <c r="D1654" s="19">
        <v>54069.427510000001</v>
      </c>
      <c r="E1654" s="19">
        <v>65576.429241717633</v>
      </c>
      <c r="F1654" s="19">
        <v>0</v>
      </c>
      <c r="G1654" s="19">
        <v>0</v>
      </c>
      <c r="H1654" s="20">
        <v>0.21281900441038415</v>
      </c>
      <c r="I1654" s="20">
        <v>0</v>
      </c>
      <c r="J1654" s="20">
        <v>0.21281900441038415</v>
      </c>
    </row>
    <row r="1655" spans="1:10" ht="11.25" customHeight="1" x14ac:dyDescent="0.2">
      <c r="A1655" s="29">
        <v>44562</v>
      </c>
      <c r="B1655" s="19">
        <v>0</v>
      </c>
      <c r="C1655" s="19">
        <v>0</v>
      </c>
      <c r="D1655" s="19">
        <v>57050.387449999995</v>
      </c>
      <c r="E1655" s="19">
        <v>69191.794108335671</v>
      </c>
      <c r="F1655" s="19">
        <v>0</v>
      </c>
      <c r="G1655" s="19">
        <v>0</v>
      </c>
      <c r="H1655" s="20">
        <v>0.21281900441038415</v>
      </c>
      <c r="I1655" s="20">
        <v>0</v>
      </c>
      <c r="J1655" s="20">
        <v>0.21281900441038415</v>
      </c>
    </row>
    <row r="1656" spans="1:10" ht="11.25" customHeight="1" x14ac:dyDescent="0.2">
      <c r="A1656" s="29">
        <v>44593</v>
      </c>
      <c r="B1656" s="19">
        <v>0</v>
      </c>
      <c r="C1656" s="19">
        <v>0</v>
      </c>
      <c r="D1656" s="19">
        <v>60805.963990000004</v>
      </c>
      <c r="E1656" s="19">
        <v>73746.628708565462</v>
      </c>
      <c r="F1656" s="19">
        <v>0</v>
      </c>
      <c r="G1656" s="19">
        <v>0</v>
      </c>
      <c r="H1656" s="20">
        <v>0.21281900441038393</v>
      </c>
      <c r="I1656" s="20">
        <v>0</v>
      </c>
      <c r="J1656" s="20">
        <v>0.21281900441038393</v>
      </c>
    </row>
    <row r="1657" spans="1:10" ht="11.25" customHeight="1" x14ac:dyDescent="0.2">
      <c r="A1657" s="29">
        <v>44621</v>
      </c>
      <c r="B1657" s="19">
        <v>0</v>
      </c>
      <c r="C1657" s="19">
        <v>0</v>
      </c>
      <c r="D1657" s="19">
        <v>44940.714789999998</v>
      </c>
      <c r="E1657" s="19">
        <v>54504.95296909882</v>
      </c>
      <c r="F1657" s="19">
        <v>0</v>
      </c>
      <c r="G1657" s="19">
        <v>0</v>
      </c>
      <c r="H1657" s="20">
        <v>0.21281900441038415</v>
      </c>
      <c r="I1657" s="20">
        <v>0</v>
      </c>
      <c r="J1657" s="20">
        <v>0.21281900441038415</v>
      </c>
    </row>
    <row r="1658" spans="1:10" ht="11.25" customHeight="1" x14ac:dyDescent="0.2">
      <c r="A1658" s="29">
        <v>44652</v>
      </c>
      <c r="B1658" s="19">
        <v>0</v>
      </c>
      <c r="C1658" s="19">
        <v>0</v>
      </c>
      <c r="D1658" s="19">
        <v>18967.907790000001</v>
      </c>
      <c r="E1658" s="19">
        <v>23004.639041615766</v>
      </c>
      <c r="F1658" s="19">
        <v>0</v>
      </c>
      <c r="G1658" s="19">
        <v>0</v>
      </c>
      <c r="H1658" s="20">
        <v>0.21281900441038393</v>
      </c>
      <c r="I1658" s="20">
        <v>0</v>
      </c>
      <c r="J1658" s="20">
        <v>0.21281900441038393</v>
      </c>
    </row>
    <row r="1659" spans="1:10" ht="11.25" customHeight="1" x14ac:dyDescent="0.2">
      <c r="A1659" s="29">
        <v>44682</v>
      </c>
      <c r="B1659" s="19">
        <v>0</v>
      </c>
      <c r="C1659" s="19">
        <v>0</v>
      </c>
      <c r="D1659" s="19">
        <v>34440.092249999994</v>
      </c>
      <c r="E1659" s="19">
        <v>41769.598394446781</v>
      </c>
      <c r="F1659" s="19">
        <v>0</v>
      </c>
      <c r="G1659" s="19">
        <v>0</v>
      </c>
      <c r="H1659" s="20">
        <v>0.21281900441038415</v>
      </c>
      <c r="I1659" s="20">
        <v>0</v>
      </c>
      <c r="J1659" s="20">
        <v>0.21281900441038415</v>
      </c>
    </row>
    <row r="1660" spans="1:10" ht="11.25" customHeight="1" x14ac:dyDescent="0.2">
      <c r="A1660" s="28" t="s">
        <v>25</v>
      </c>
      <c r="B1660" s="19">
        <v>917700</v>
      </c>
      <c r="C1660" s="19">
        <v>1011211.5049425467</v>
      </c>
      <c r="D1660" s="19">
        <v>0</v>
      </c>
      <c r="E1660" s="19">
        <v>0</v>
      </c>
      <c r="F1660" s="19">
        <v>0</v>
      </c>
      <c r="G1660" s="19">
        <v>0</v>
      </c>
      <c r="H1660" s="20">
        <v>0.10189768436585678</v>
      </c>
      <c r="I1660" s="20">
        <v>0</v>
      </c>
      <c r="J1660" s="20">
        <v>0.10189768436585678</v>
      </c>
    </row>
    <row r="1661" spans="1:10" ht="11.25" customHeight="1" x14ac:dyDescent="0.2">
      <c r="A1661" s="29">
        <v>44409</v>
      </c>
      <c r="B1661" s="19">
        <v>91770</v>
      </c>
      <c r="C1661" s="19">
        <v>101121.15049425467</v>
      </c>
      <c r="D1661" s="19">
        <v>0</v>
      </c>
      <c r="E1661" s="19">
        <v>0</v>
      </c>
      <c r="F1661" s="19">
        <v>0</v>
      </c>
      <c r="G1661" s="19">
        <v>0</v>
      </c>
      <c r="H1661" s="20">
        <v>0.10189768436585678</v>
      </c>
      <c r="I1661" s="20">
        <v>0</v>
      </c>
      <c r="J1661" s="20">
        <v>0.10189768436585678</v>
      </c>
    </row>
    <row r="1662" spans="1:10" ht="11.25" customHeight="1" x14ac:dyDescent="0.2">
      <c r="A1662" s="29">
        <v>44440</v>
      </c>
      <c r="B1662" s="19">
        <v>91770</v>
      </c>
      <c r="C1662" s="19">
        <v>101121.15049425467</v>
      </c>
      <c r="D1662" s="19">
        <v>0</v>
      </c>
      <c r="E1662" s="19">
        <v>0</v>
      </c>
      <c r="F1662" s="19">
        <v>0</v>
      </c>
      <c r="G1662" s="19">
        <v>0</v>
      </c>
      <c r="H1662" s="20">
        <v>0.10189768436585678</v>
      </c>
      <c r="I1662" s="20">
        <v>0</v>
      </c>
      <c r="J1662" s="20">
        <v>0.10189768436585678</v>
      </c>
    </row>
    <row r="1663" spans="1:10" ht="11.25" customHeight="1" x14ac:dyDescent="0.2">
      <c r="A1663" s="29">
        <v>44470</v>
      </c>
      <c r="B1663" s="19">
        <v>91770</v>
      </c>
      <c r="C1663" s="19">
        <v>101121.15049425467</v>
      </c>
      <c r="D1663" s="19">
        <v>0</v>
      </c>
      <c r="E1663" s="19">
        <v>0</v>
      </c>
      <c r="F1663" s="19">
        <v>0</v>
      </c>
      <c r="G1663" s="19">
        <v>0</v>
      </c>
      <c r="H1663" s="20">
        <v>0.10189768436585678</v>
      </c>
      <c r="I1663" s="20">
        <v>0</v>
      </c>
      <c r="J1663" s="20">
        <v>0.10189768436585678</v>
      </c>
    </row>
    <row r="1664" spans="1:10" ht="11.25" customHeight="1" x14ac:dyDescent="0.2">
      <c r="A1664" s="29">
        <v>44501</v>
      </c>
      <c r="B1664" s="19">
        <v>91770</v>
      </c>
      <c r="C1664" s="19">
        <v>101121.15049425467</v>
      </c>
      <c r="D1664" s="19">
        <v>0</v>
      </c>
      <c r="E1664" s="19">
        <v>0</v>
      </c>
      <c r="F1664" s="19">
        <v>0</v>
      </c>
      <c r="G1664" s="19">
        <v>0</v>
      </c>
      <c r="H1664" s="20">
        <v>0.10189768436585678</v>
      </c>
      <c r="I1664" s="20">
        <v>0</v>
      </c>
      <c r="J1664" s="20">
        <v>0.10189768436585678</v>
      </c>
    </row>
    <row r="1665" spans="1:10" ht="11.25" customHeight="1" x14ac:dyDescent="0.2">
      <c r="A1665" s="29">
        <v>44531</v>
      </c>
      <c r="B1665" s="19">
        <v>91770</v>
      </c>
      <c r="C1665" s="19">
        <v>101121.15049425467</v>
      </c>
      <c r="D1665" s="19">
        <v>0</v>
      </c>
      <c r="E1665" s="19">
        <v>0</v>
      </c>
      <c r="F1665" s="19">
        <v>0</v>
      </c>
      <c r="G1665" s="19">
        <v>0</v>
      </c>
      <c r="H1665" s="20">
        <v>0.10189768436585678</v>
      </c>
      <c r="I1665" s="20">
        <v>0</v>
      </c>
      <c r="J1665" s="20">
        <v>0.10189768436585678</v>
      </c>
    </row>
    <row r="1666" spans="1:10" ht="11.25" customHeight="1" x14ac:dyDescent="0.2">
      <c r="A1666" s="29">
        <v>44562</v>
      </c>
      <c r="B1666" s="19">
        <v>91770</v>
      </c>
      <c r="C1666" s="19">
        <v>101121.15049425467</v>
      </c>
      <c r="D1666" s="19">
        <v>0</v>
      </c>
      <c r="E1666" s="19">
        <v>0</v>
      </c>
      <c r="F1666" s="19">
        <v>0</v>
      </c>
      <c r="G1666" s="19">
        <v>0</v>
      </c>
      <c r="H1666" s="20">
        <v>0.10189768436585678</v>
      </c>
      <c r="I1666" s="20">
        <v>0</v>
      </c>
      <c r="J1666" s="20">
        <v>0.10189768436585678</v>
      </c>
    </row>
    <row r="1667" spans="1:10" ht="11.25" customHeight="1" x14ac:dyDescent="0.2">
      <c r="A1667" s="29">
        <v>44593</v>
      </c>
      <c r="B1667" s="19">
        <v>91770</v>
      </c>
      <c r="C1667" s="19">
        <v>101121.15049425467</v>
      </c>
      <c r="D1667" s="19">
        <v>0</v>
      </c>
      <c r="E1667" s="19">
        <v>0</v>
      </c>
      <c r="F1667" s="19">
        <v>0</v>
      </c>
      <c r="G1667" s="19">
        <v>0</v>
      </c>
      <c r="H1667" s="20">
        <v>0.10189768436585678</v>
      </c>
      <c r="I1667" s="20">
        <v>0</v>
      </c>
      <c r="J1667" s="20">
        <v>0.10189768436585678</v>
      </c>
    </row>
    <row r="1668" spans="1:10" ht="11.25" customHeight="1" x14ac:dyDescent="0.2">
      <c r="A1668" s="29">
        <v>44621</v>
      </c>
      <c r="B1668" s="19">
        <v>91770</v>
      </c>
      <c r="C1668" s="19">
        <v>101121.15049425467</v>
      </c>
      <c r="D1668" s="19">
        <v>0</v>
      </c>
      <c r="E1668" s="19">
        <v>0</v>
      </c>
      <c r="F1668" s="19">
        <v>0</v>
      </c>
      <c r="G1668" s="19">
        <v>0</v>
      </c>
      <c r="H1668" s="20">
        <v>0.10189768436585678</v>
      </c>
      <c r="I1668" s="20">
        <v>0</v>
      </c>
      <c r="J1668" s="20">
        <v>0.10189768436585678</v>
      </c>
    </row>
    <row r="1669" spans="1:10" ht="11.25" customHeight="1" x14ac:dyDescent="0.2">
      <c r="A1669" s="29">
        <v>44652</v>
      </c>
      <c r="B1669" s="19">
        <v>91770</v>
      </c>
      <c r="C1669" s="19">
        <v>101121.15049425467</v>
      </c>
      <c r="D1669" s="19">
        <v>0</v>
      </c>
      <c r="E1669" s="19">
        <v>0</v>
      </c>
      <c r="F1669" s="19">
        <v>0</v>
      </c>
      <c r="G1669" s="19">
        <v>0</v>
      </c>
      <c r="H1669" s="20">
        <v>0.10189768436585678</v>
      </c>
      <c r="I1669" s="20">
        <v>0</v>
      </c>
      <c r="J1669" s="20">
        <v>0.10189768436585678</v>
      </c>
    </row>
    <row r="1670" spans="1:10" ht="11.25" customHeight="1" x14ac:dyDescent="0.2">
      <c r="A1670" s="29">
        <v>44682</v>
      </c>
      <c r="B1670" s="19">
        <v>91770</v>
      </c>
      <c r="C1670" s="19">
        <v>101121.15049425467</v>
      </c>
      <c r="D1670" s="19">
        <v>0</v>
      </c>
      <c r="E1670" s="19">
        <v>0</v>
      </c>
      <c r="F1670" s="19">
        <v>0</v>
      </c>
      <c r="G1670" s="19">
        <v>0</v>
      </c>
      <c r="H1670" s="20">
        <v>0.10189768436585678</v>
      </c>
      <c r="I1670" s="20">
        <v>0</v>
      </c>
      <c r="J1670" s="20">
        <v>0.10189768436585678</v>
      </c>
    </row>
    <row r="1671" spans="1:10" ht="11.25" customHeight="1" x14ac:dyDescent="0.2">
      <c r="A1671" s="28" t="s">
        <v>34</v>
      </c>
      <c r="B1671" s="19">
        <v>0</v>
      </c>
      <c r="C1671" s="19">
        <v>0</v>
      </c>
      <c r="D1671" s="19">
        <v>99814.797220000022</v>
      </c>
      <c r="E1671" s="19">
        <v>110386.47099919536</v>
      </c>
      <c r="F1671" s="19">
        <v>0</v>
      </c>
      <c r="G1671" s="19">
        <v>0</v>
      </c>
      <c r="H1671" s="20">
        <v>0.10591289141122529</v>
      </c>
      <c r="I1671" s="20">
        <v>0</v>
      </c>
      <c r="J1671" s="20">
        <v>0.10591289141122529</v>
      </c>
    </row>
    <row r="1672" spans="1:10" ht="11.25" customHeight="1" x14ac:dyDescent="0.2">
      <c r="A1672" s="29">
        <v>44409</v>
      </c>
      <c r="B1672" s="19">
        <v>0</v>
      </c>
      <c r="C1672" s="19">
        <v>0</v>
      </c>
      <c r="D1672" s="19">
        <v>1610.8600900000001</v>
      </c>
      <c r="E1672" s="19">
        <v>1781.4709397908473</v>
      </c>
      <c r="F1672" s="19">
        <v>0</v>
      </c>
      <c r="G1672" s="19">
        <v>0</v>
      </c>
      <c r="H1672" s="20">
        <v>0.10591289141122573</v>
      </c>
      <c r="I1672" s="20">
        <v>0</v>
      </c>
      <c r="J1672" s="20">
        <v>0.10591289141122573</v>
      </c>
    </row>
    <row r="1673" spans="1:10" ht="11.25" customHeight="1" x14ac:dyDescent="0.2">
      <c r="A1673" s="29">
        <v>44440</v>
      </c>
      <c r="B1673" s="19">
        <v>0</v>
      </c>
      <c r="C1673" s="19">
        <v>0</v>
      </c>
      <c r="D1673" s="19">
        <v>1054.84067</v>
      </c>
      <c r="E1673" s="19">
        <v>1166.5618953378546</v>
      </c>
      <c r="F1673" s="19">
        <v>0</v>
      </c>
      <c r="G1673" s="19">
        <v>0</v>
      </c>
      <c r="H1673" s="20">
        <v>0.10591289141122573</v>
      </c>
      <c r="I1673" s="20">
        <v>0</v>
      </c>
      <c r="J1673" s="20">
        <v>0.10591289141122573</v>
      </c>
    </row>
    <row r="1674" spans="1:10" ht="11.25" customHeight="1" x14ac:dyDescent="0.2">
      <c r="A1674" s="29">
        <v>44470</v>
      </c>
      <c r="B1674" s="19">
        <v>0</v>
      </c>
      <c r="C1674" s="19">
        <v>0</v>
      </c>
      <c r="D1674" s="19">
        <v>7645.9321200000004</v>
      </c>
      <c r="E1674" s="19">
        <v>8455.7348983631618</v>
      </c>
      <c r="F1674" s="19">
        <v>0</v>
      </c>
      <c r="G1674" s="19">
        <v>0</v>
      </c>
      <c r="H1674" s="20">
        <v>0.10591289141122551</v>
      </c>
      <c r="I1674" s="20">
        <v>0</v>
      </c>
      <c r="J1674" s="20">
        <v>0.10591289141122551</v>
      </c>
    </row>
    <row r="1675" spans="1:10" ht="11.25" customHeight="1" x14ac:dyDescent="0.2">
      <c r="A1675" s="29">
        <v>44501</v>
      </c>
      <c r="B1675" s="19">
        <v>0</v>
      </c>
      <c r="C1675" s="19">
        <v>0</v>
      </c>
      <c r="D1675" s="19">
        <v>7328.0167100000008</v>
      </c>
      <c r="E1675" s="19">
        <v>8104.1481480658776</v>
      </c>
      <c r="F1675" s="19">
        <v>0</v>
      </c>
      <c r="G1675" s="19">
        <v>0</v>
      </c>
      <c r="H1675" s="20">
        <v>0.10591289141122551</v>
      </c>
      <c r="I1675" s="20">
        <v>0</v>
      </c>
      <c r="J1675" s="20">
        <v>0.10591289141122551</v>
      </c>
    </row>
    <row r="1676" spans="1:10" ht="11.25" customHeight="1" x14ac:dyDescent="0.2">
      <c r="A1676" s="29">
        <v>44531</v>
      </c>
      <c r="B1676" s="19">
        <v>0</v>
      </c>
      <c r="C1676" s="19">
        <v>0</v>
      </c>
      <c r="D1676" s="19">
        <v>822.05741999999998</v>
      </c>
      <c r="E1676" s="19">
        <v>909.12389825825232</v>
      </c>
      <c r="F1676" s="19">
        <v>0</v>
      </c>
      <c r="G1676" s="19">
        <v>0</v>
      </c>
      <c r="H1676" s="20">
        <v>0.10591289141122573</v>
      </c>
      <c r="I1676" s="20">
        <v>0</v>
      </c>
      <c r="J1676" s="20">
        <v>0.10591289141122573</v>
      </c>
    </row>
    <row r="1677" spans="1:10" ht="11.25" customHeight="1" x14ac:dyDescent="0.2">
      <c r="A1677" s="29">
        <v>44562</v>
      </c>
      <c r="B1677" s="19">
        <v>0</v>
      </c>
      <c r="C1677" s="19">
        <v>0</v>
      </c>
      <c r="D1677" s="19">
        <v>8091.5457700000006</v>
      </c>
      <c r="E1677" s="19">
        <v>8948.5447784869721</v>
      </c>
      <c r="F1677" s="19">
        <v>0</v>
      </c>
      <c r="G1677" s="19">
        <v>0</v>
      </c>
      <c r="H1677" s="20">
        <v>0.10591289141122551</v>
      </c>
      <c r="I1677" s="20">
        <v>0</v>
      </c>
      <c r="J1677" s="20">
        <v>0.10591289141122551</v>
      </c>
    </row>
    <row r="1678" spans="1:10" ht="11.25" customHeight="1" x14ac:dyDescent="0.2">
      <c r="A1678" s="29">
        <v>44593</v>
      </c>
      <c r="B1678" s="19">
        <v>0</v>
      </c>
      <c r="C1678" s="19">
        <v>0</v>
      </c>
      <c r="D1678" s="19">
        <v>20391.812700000002</v>
      </c>
      <c r="E1678" s="19">
        <v>22551.568544173151</v>
      </c>
      <c r="F1678" s="19">
        <v>0</v>
      </c>
      <c r="G1678" s="19">
        <v>0</v>
      </c>
      <c r="H1678" s="20">
        <v>0.10591289141122551</v>
      </c>
      <c r="I1678" s="20">
        <v>0</v>
      </c>
      <c r="J1678" s="20">
        <v>0.10591289141122551</v>
      </c>
    </row>
    <row r="1679" spans="1:10" ht="11.25" customHeight="1" x14ac:dyDescent="0.2">
      <c r="A1679" s="29">
        <v>44621</v>
      </c>
      <c r="B1679" s="19">
        <v>0</v>
      </c>
      <c r="C1679" s="19">
        <v>0</v>
      </c>
      <c r="D1679" s="19">
        <v>19364.906020000002</v>
      </c>
      <c r="E1679" s="19">
        <v>21415.899208484851</v>
      </c>
      <c r="F1679" s="19">
        <v>0</v>
      </c>
      <c r="G1679" s="19">
        <v>0</v>
      </c>
      <c r="H1679" s="20">
        <v>0.10591289141122551</v>
      </c>
      <c r="I1679" s="20">
        <v>0</v>
      </c>
      <c r="J1679" s="20">
        <v>0.10591289141122551</v>
      </c>
    </row>
    <row r="1680" spans="1:10" ht="11.25" customHeight="1" x14ac:dyDescent="0.2">
      <c r="A1680" s="29">
        <v>44652</v>
      </c>
      <c r="B1680" s="19">
        <v>0</v>
      </c>
      <c r="C1680" s="19">
        <v>0</v>
      </c>
      <c r="D1680" s="19">
        <v>21292.351330000001</v>
      </c>
      <c r="E1680" s="19">
        <v>23547.485824303956</v>
      </c>
      <c r="F1680" s="19">
        <v>0</v>
      </c>
      <c r="G1680" s="19">
        <v>0</v>
      </c>
      <c r="H1680" s="20">
        <v>0.10591289141122551</v>
      </c>
      <c r="I1680" s="20">
        <v>0</v>
      </c>
      <c r="J1680" s="20">
        <v>0.10591289141122551</v>
      </c>
    </row>
    <row r="1681" spans="1:10" ht="11.25" customHeight="1" x14ac:dyDescent="0.2">
      <c r="A1681" s="29">
        <v>44682</v>
      </c>
      <c r="B1681" s="19">
        <v>0</v>
      </c>
      <c r="C1681" s="19">
        <v>0</v>
      </c>
      <c r="D1681" s="19">
        <v>12212.474389999999</v>
      </c>
      <c r="E1681" s="19">
        <v>13505.932863930442</v>
      </c>
      <c r="F1681" s="19">
        <v>0</v>
      </c>
      <c r="G1681" s="19">
        <v>0</v>
      </c>
      <c r="H1681" s="20">
        <v>0.10591289141122551</v>
      </c>
      <c r="I1681" s="20">
        <v>0</v>
      </c>
      <c r="J1681" s="20">
        <v>0.10591289141122551</v>
      </c>
    </row>
    <row r="1682" spans="1:10" ht="11.25" customHeight="1" x14ac:dyDescent="0.2">
      <c r="A1682" s="21" t="s">
        <v>60</v>
      </c>
      <c r="B1682" s="19">
        <v>0</v>
      </c>
      <c r="C1682" s="19">
        <v>0</v>
      </c>
      <c r="D1682" s="19">
        <v>25435.69485</v>
      </c>
      <c r="E1682" s="19">
        <v>14820.029833572553</v>
      </c>
      <c r="F1682" s="19">
        <v>0</v>
      </c>
      <c r="G1682" s="19">
        <v>0</v>
      </c>
      <c r="H1682" s="20">
        <v>-0.41735305754493457</v>
      </c>
      <c r="I1682" s="20">
        <v>0</v>
      </c>
      <c r="J1682" s="20">
        <v>-0.41735305754493457</v>
      </c>
    </row>
    <row r="1683" spans="1:10" ht="11.25" customHeight="1" x14ac:dyDescent="0.2">
      <c r="A1683" s="22" t="s">
        <v>41</v>
      </c>
      <c r="B1683" s="19">
        <v>0</v>
      </c>
      <c r="C1683" s="19">
        <v>0</v>
      </c>
      <c r="D1683" s="19">
        <v>25435.69485</v>
      </c>
      <c r="E1683" s="19">
        <v>14820.029833572553</v>
      </c>
      <c r="F1683" s="19">
        <v>0</v>
      </c>
      <c r="G1683" s="19">
        <v>0</v>
      </c>
      <c r="H1683" s="20">
        <v>-0.41735305754493457</v>
      </c>
      <c r="I1683" s="20">
        <v>0</v>
      </c>
      <c r="J1683" s="20">
        <v>-0.41735305754493457</v>
      </c>
    </row>
    <row r="1684" spans="1:10" ht="11.25" customHeight="1" x14ac:dyDescent="0.2">
      <c r="A1684" s="23" t="s">
        <v>42</v>
      </c>
      <c r="B1684" s="19">
        <v>0</v>
      </c>
      <c r="C1684" s="19">
        <v>0</v>
      </c>
      <c r="D1684" s="19">
        <v>25435.69485</v>
      </c>
      <c r="E1684" s="19">
        <v>14820.029833572553</v>
      </c>
      <c r="F1684" s="19">
        <v>0</v>
      </c>
      <c r="G1684" s="19">
        <v>0</v>
      </c>
      <c r="H1684" s="20">
        <v>-0.41735305754493457</v>
      </c>
      <c r="I1684" s="20">
        <v>0</v>
      </c>
      <c r="J1684" s="20">
        <v>-0.41735305754493457</v>
      </c>
    </row>
    <row r="1685" spans="1:10" ht="11.25" customHeight="1" x14ac:dyDescent="0.2">
      <c r="A1685" s="24" t="s">
        <v>38</v>
      </c>
      <c r="B1685" s="19">
        <v>0</v>
      </c>
      <c r="C1685" s="19">
        <v>0</v>
      </c>
      <c r="D1685" s="19">
        <v>25435.69485</v>
      </c>
      <c r="E1685" s="19">
        <v>14820.029833572553</v>
      </c>
      <c r="F1685" s="19">
        <v>0</v>
      </c>
      <c r="G1685" s="19">
        <v>0</v>
      </c>
      <c r="H1685" s="20">
        <v>-0.41735305754493457</v>
      </c>
      <c r="I1685" s="20">
        <v>0</v>
      </c>
      <c r="J1685" s="20">
        <v>-0.41735305754493457</v>
      </c>
    </row>
    <row r="1686" spans="1:10" ht="11.25" customHeight="1" x14ac:dyDescent="0.2">
      <c r="A1686" s="25" t="s">
        <v>25</v>
      </c>
      <c r="B1686" s="19">
        <v>0</v>
      </c>
      <c r="C1686" s="19">
        <v>0</v>
      </c>
      <c r="D1686" s="19">
        <v>25435.69485</v>
      </c>
      <c r="E1686" s="19">
        <v>14820.029833572553</v>
      </c>
      <c r="F1686" s="19">
        <v>0</v>
      </c>
      <c r="G1686" s="19">
        <v>0</v>
      </c>
      <c r="H1686" s="20">
        <v>-0.41735305754493457</v>
      </c>
      <c r="I1686" s="20">
        <v>0</v>
      </c>
      <c r="J1686" s="20">
        <v>-0.41735305754493457</v>
      </c>
    </row>
    <row r="1687" spans="1:10" ht="11.25" customHeight="1" x14ac:dyDescent="0.2">
      <c r="A1687" s="26" t="s">
        <v>59</v>
      </c>
      <c r="B1687" s="19">
        <v>0</v>
      </c>
      <c r="C1687" s="19">
        <v>0</v>
      </c>
      <c r="D1687" s="19">
        <v>25435.69485</v>
      </c>
      <c r="E1687" s="19">
        <v>14820.029833572553</v>
      </c>
      <c r="F1687" s="19">
        <v>0</v>
      </c>
      <c r="G1687" s="19">
        <v>0</v>
      </c>
      <c r="H1687" s="20">
        <v>-0.41735305754493457</v>
      </c>
      <c r="I1687" s="20">
        <v>0</v>
      </c>
      <c r="J1687" s="20">
        <v>-0.41735305754493457</v>
      </c>
    </row>
    <row r="1688" spans="1:10" ht="11.25" customHeight="1" x14ac:dyDescent="0.2">
      <c r="A1688" s="27" t="s">
        <v>25</v>
      </c>
      <c r="B1688" s="19">
        <v>0</v>
      </c>
      <c r="C1688" s="19">
        <v>0</v>
      </c>
      <c r="D1688" s="19">
        <v>25435.69485</v>
      </c>
      <c r="E1688" s="19">
        <v>14820.029833572553</v>
      </c>
      <c r="F1688" s="19">
        <v>0</v>
      </c>
      <c r="G1688" s="19">
        <v>0</v>
      </c>
      <c r="H1688" s="20">
        <v>-0.41735305754493457</v>
      </c>
      <c r="I1688" s="20">
        <v>0</v>
      </c>
      <c r="J1688" s="20">
        <v>-0.41735305754493457</v>
      </c>
    </row>
    <row r="1689" spans="1:10" ht="11.25" customHeight="1" x14ac:dyDescent="0.2">
      <c r="A1689" s="28" t="s">
        <v>35</v>
      </c>
      <c r="B1689" s="19">
        <v>0</v>
      </c>
      <c r="C1689" s="19">
        <v>0</v>
      </c>
      <c r="D1689" s="19">
        <v>25435.69485</v>
      </c>
      <c r="E1689" s="19">
        <v>14820.029833572553</v>
      </c>
      <c r="F1689" s="19">
        <v>0</v>
      </c>
      <c r="G1689" s="19">
        <v>0</v>
      </c>
      <c r="H1689" s="20">
        <v>-0.41735305754493457</v>
      </c>
      <c r="I1689" s="20">
        <v>0</v>
      </c>
      <c r="J1689" s="20">
        <v>-0.41735305754493457</v>
      </c>
    </row>
    <row r="1690" spans="1:10" ht="11.25" customHeight="1" x14ac:dyDescent="0.2">
      <c r="A1690" s="29">
        <v>44409</v>
      </c>
      <c r="B1690" s="19">
        <v>0</v>
      </c>
      <c r="C1690" s="19">
        <v>0</v>
      </c>
      <c r="D1690" s="19">
        <v>327.27825000000001</v>
      </c>
      <c r="E1690" s="19">
        <v>190.68767169454446</v>
      </c>
      <c r="F1690" s="19">
        <v>0</v>
      </c>
      <c r="G1690" s="19">
        <v>0</v>
      </c>
      <c r="H1690" s="20">
        <v>-0.41735305754493479</v>
      </c>
      <c r="I1690" s="20">
        <v>0</v>
      </c>
      <c r="J1690" s="20">
        <v>-0.41735305754493479</v>
      </c>
    </row>
    <row r="1691" spans="1:10" ht="11.25" customHeight="1" x14ac:dyDescent="0.2">
      <c r="A1691" s="29">
        <v>44440</v>
      </c>
      <c r="B1691" s="19">
        <v>0</v>
      </c>
      <c r="C1691" s="19">
        <v>0</v>
      </c>
      <c r="D1691" s="19">
        <v>164.97930000000002</v>
      </c>
      <c r="E1691" s="19">
        <v>96.124684713376965</v>
      </c>
      <c r="F1691" s="19">
        <v>0</v>
      </c>
      <c r="G1691" s="19">
        <v>0</v>
      </c>
      <c r="H1691" s="20">
        <v>-0.41735305754493468</v>
      </c>
      <c r="I1691" s="20">
        <v>0</v>
      </c>
      <c r="J1691" s="20">
        <v>-0.41735305754493468</v>
      </c>
    </row>
    <row r="1692" spans="1:10" ht="11.25" customHeight="1" x14ac:dyDescent="0.2">
      <c r="A1692" s="29">
        <v>44470</v>
      </c>
      <c r="B1692" s="19">
        <v>0</v>
      </c>
      <c r="C1692" s="19">
        <v>0</v>
      </c>
      <c r="D1692" s="19">
        <v>712.19655</v>
      </c>
      <c r="E1692" s="19">
        <v>414.95914228454603</v>
      </c>
      <c r="F1692" s="19">
        <v>0</v>
      </c>
      <c r="G1692" s="19">
        <v>0</v>
      </c>
      <c r="H1692" s="20">
        <v>-0.41735305754493468</v>
      </c>
      <c r="I1692" s="20">
        <v>0</v>
      </c>
      <c r="J1692" s="20">
        <v>-0.41735305754493468</v>
      </c>
    </row>
    <row r="1693" spans="1:10" ht="11.25" customHeight="1" x14ac:dyDescent="0.2">
      <c r="A1693" s="29">
        <v>44501</v>
      </c>
      <c r="B1693" s="19">
        <v>0</v>
      </c>
      <c r="C1693" s="19">
        <v>0</v>
      </c>
      <c r="D1693" s="19">
        <v>820.73820000000012</v>
      </c>
      <c r="E1693" s="19">
        <v>478.20060278607389</v>
      </c>
      <c r="F1693" s="19">
        <v>0</v>
      </c>
      <c r="G1693" s="19">
        <v>0</v>
      </c>
      <c r="H1693" s="20">
        <v>-0.41735305754493479</v>
      </c>
      <c r="I1693" s="20">
        <v>0</v>
      </c>
      <c r="J1693" s="20">
        <v>-0.41735305754493479</v>
      </c>
    </row>
    <row r="1694" spans="1:10" ht="11.25" customHeight="1" x14ac:dyDescent="0.2">
      <c r="A1694" s="29">
        <v>44531</v>
      </c>
      <c r="B1694" s="19">
        <v>0</v>
      </c>
      <c r="C1694" s="19">
        <v>0</v>
      </c>
      <c r="D1694" s="19">
        <v>3115.2680999999998</v>
      </c>
      <c r="E1694" s="19">
        <v>1815.1014333928006</v>
      </c>
      <c r="F1694" s="19">
        <v>0</v>
      </c>
      <c r="G1694" s="19">
        <v>0</v>
      </c>
      <c r="H1694" s="20">
        <v>-0.41735305754493468</v>
      </c>
      <c r="I1694" s="20">
        <v>0</v>
      </c>
      <c r="J1694" s="20">
        <v>-0.41735305754493468</v>
      </c>
    </row>
    <row r="1695" spans="1:10" ht="11.25" customHeight="1" x14ac:dyDescent="0.2">
      <c r="A1695" s="29">
        <v>44562</v>
      </c>
      <c r="B1695" s="19">
        <v>0</v>
      </c>
      <c r="C1695" s="19">
        <v>0</v>
      </c>
      <c r="D1695" s="19">
        <v>4202.9391000000005</v>
      </c>
      <c r="E1695" s="19">
        <v>2448.8296159398442</v>
      </c>
      <c r="F1695" s="19">
        <v>0</v>
      </c>
      <c r="G1695" s="19">
        <v>0</v>
      </c>
      <c r="H1695" s="20">
        <v>-0.41735305754493468</v>
      </c>
      <c r="I1695" s="20">
        <v>0</v>
      </c>
      <c r="J1695" s="20">
        <v>-0.41735305754493468</v>
      </c>
    </row>
    <row r="1696" spans="1:10" ht="11.25" customHeight="1" x14ac:dyDescent="0.2">
      <c r="A1696" s="29">
        <v>44593</v>
      </c>
      <c r="B1696" s="19">
        <v>0</v>
      </c>
      <c r="C1696" s="19">
        <v>0</v>
      </c>
      <c r="D1696" s="19">
        <v>3763.3617000000004</v>
      </c>
      <c r="E1696" s="19">
        <v>2192.711187857497</v>
      </c>
      <c r="F1696" s="19">
        <v>0</v>
      </c>
      <c r="G1696" s="19">
        <v>0</v>
      </c>
      <c r="H1696" s="20">
        <v>-0.41735305754493468</v>
      </c>
      <c r="I1696" s="20">
        <v>0</v>
      </c>
      <c r="J1696" s="20">
        <v>-0.41735305754493468</v>
      </c>
    </row>
    <row r="1697" spans="1:10" ht="11.25" customHeight="1" x14ac:dyDescent="0.2">
      <c r="A1697" s="29">
        <v>44621</v>
      </c>
      <c r="B1697" s="19">
        <v>0</v>
      </c>
      <c r="C1697" s="19">
        <v>0</v>
      </c>
      <c r="D1697" s="19">
        <v>3810.3555000000006</v>
      </c>
      <c r="E1697" s="19">
        <v>2220.0919817418417</v>
      </c>
      <c r="F1697" s="19">
        <v>0</v>
      </c>
      <c r="G1697" s="19">
        <v>0</v>
      </c>
      <c r="H1697" s="20">
        <v>-0.41735305754493479</v>
      </c>
      <c r="I1697" s="20">
        <v>0</v>
      </c>
      <c r="J1697" s="20">
        <v>-0.41735305754493479</v>
      </c>
    </row>
    <row r="1698" spans="1:10" ht="11.25" customHeight="1" x14ac:dyDescent="0.2">
      <c r="A1698" s="29">
        <v>44652</v>
      </c>
      <c r="B1698" s="19">
        <v>0</v>
      </c>
      <c r="C1698" s="19">
        <v>0</v>
      </c>
      <c r="D1698" s="19">
        <v>3514.1142</v>
      </c>
      <c r="E1698" s="19">
        <v>2047.4878940679278</v>
      </c>
      <c r="F1698" s="19">
        <v>0</v>
      </c>
      <c r="G1698" s="19">
        <v>0</v>
      </c>
      <c r="H1698" s="20">
        <v>-0.41735305754493468</v>
      </c>
      <c r="I1698" s="20">
        <v>0</v>
      </c>
      <c r="J1698" s="20">
        <v>-0.41735305754493468</v>
      </c>
    </row>
    <row r="1699" spans="1:10" ht="11.25" customHeight="1" x14ac:dyDescent="0.2">
      <c r="A1699" s="29">
        <v>44682</v>
      </c>
      <c r="B1699" s="19">
        <v>0</v>
      </c>
      <c r="C1699" s="19">
        <v>0</v>
      </c>
      <c r="D1699" s="19">
        <v>439.70265000000001</v>
      </c>
      <c r="E1699" s="19">
        <v>256.19140461188971</v>
      </c>
      <c r="F1699" s="19">
        <v>0</v>
      </c>
      <c r="G1699" s="19">
        <v>0</v>
      </c>
      <c r="H1699" s="20">
        <v>-0.41735305754493468</v>
      </c>
      <c r="I1699" s="20">
        <v>0</v>
      </c>
      <c r="J1699" s="20">
        <v>-0.41735305754493468</v>
      </c>
    </row>
    <row r="1700" spans="1:10" ht="11.25" customHeight="1" x14ac:dyDescent="0.2">
      <c r="A1700" s="29">
        <v>44713</v>
      </c>
      <c r="B1700" s="19">
        <v>0</v>
      </c>
      <c r="C1700" s="19">
        <v>0</v>
      </c>
      <c r="D1700" s="19">
        <v>2282.3806500000001</v>
      </c>
      <c r="E1700" s="19">
        <v>1329.8221072411045</v>
      </c>
      <c r="F1700" s="19">
        <v>0</v>
      </c>
      <c r="G1700" s="19">
        <v>0</v>
      </c>
      <c r="H1700" s="20">
        <v>-0.41735305754493468</v>
      </c>
      <c r="I1700" s="20">
        <v>0</v>
      </c>
      <c r="J1700" s="20">
        <v>-0.41735305754493468</v>
      </c>
    </row>
    <row r="1701" spans="1:10" ht="11.25" customHeight="1" x14ac:dyDescent="0.2">
      <c r="A1701" s="29">
        <v>44743</v>
      </c>
      <c r="B1701" s="19">
        <v>0</v>
      </c>
      <c r="C1701" s="19">
        <v>0</v>
      </c>
      <c r="D1701" s="19">
        <v>2282.3806500000001</v>
      </c>
      <c r="E1701" s="19">
        <v>1329.8221072411045</v>
      </c>
      <c r="F1701" s="19">
        <v>0</v>
      </c>
      <c r="G1701" s="19">
        <v>0</v>
      </c>
      <c r="H1701" s="20">
        <v>-0.41735305754493468</v>
      </c>
      <c r="I1701" s="20">
        <v>0</v>
      </c>
      <c r="J1701" s="20">
        <v>-0.41735305754493468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DE6F0-E58D-4215-810C-E68F75417EA1}">
  <dimension ref="A1:G884"/>
  <sheetViews>
    <sheetView showGridLines="0" workbookViewId="0"/>
  </sheetViews>
  <sheetFormatPr defaultRowHeight="11.25" customHeight="1" x14ac:dyDescent="0.2"/>
  <cols>
    <col min="1" max="1" width="38.28515625" style="14" bestFit="1" customWidth="1"/>
    <col min="2" max="2" width="20.42578125" style="19" bestFit="1" customWidth="1"/>
    <col min="3" max="3" width="21.85546875" style="19" bestFit="1" customWidth="1"/>
    <col min="4" max="4" width="20.28515625" style="19" bestFit="1" customWidth="1"/>
    <col min="5" max="5" width="21.7109375" style="19" bestFit="1" customWidth="1"/>
    <col min="6" max="6" width="14.85546875" style="19" bestFit="1" customWidth="1"/>
    <col min="7" max="7" width="14.7109375" style="19" bestFit="1" customWidth="1"/>
    <col min="8" max="16384" width="9.140625" style="14"/>
  </cols>
  <sheetData>
    <row r="1" spans="1:7" ht="11.25" customHeight="1" x14ac:dyDescent="0.2">
      <c r="A1" s="18" t="s">
        <v>982</v>
      </c>
      <c r="B1" s="19" t="s">
        <v>1008</v>
      </c>
      <c r="C1" s="19" t="s">
        <v>1009</v>
      </c>
      <c r="D1" s="19" t="s">
        <v>1010</v>
      </c>
      <c r="E1" s="19" t="s">
        <v>1011</v>
      </c>
      <c r="F1" s="19" t="s">
        <v>1012</v>
      </c>
      <c r="G1" s="19" t="s">
        <v>1013</v>
      </c>
    </row>
    <row r="2" spans="1:7" ht="11.25" customHeight="1" x14ac:dyDescent="0.2">
      <c r="A2" s="21" t="s">
        <v>999</v>
      </c>
      <c r="B2" s="19">
        <v>3252121.8254999998</v>
      </c>
      <c r="C2" s="19">
        <v>4810845.5259287991</v>
      </c>
      <c r="D2" s="19">
        <v>3574851.343786967</v>
      </c>
      <c r="E2" s="19">
        <v>4782437.5010158038</v>
      </c>
      <c r="F2" s="19">
        <v>8062967.3514287993</v>
      </c>
      <c r="G2" s="19">
        <v>8357288.8448027708</v>
      </c>
    </row>
    <row r="3" spans="1:7" ht="11.25" customHeight="1" x14ac:dyDescent="0.2">
      <c r="A3" s="22" t="s">
        <v>39</v>
      </c>
      <c r="B3" s="19">
        <v>565740.429</v>
      </c>
      <c r="C3" s="19">
        <v>1313574.0609893997</v>
      </c>
      <c r="D3" s="19">
        <v>615477.80801494559</v>
      </c>
      <c r="E3" s="19">
        <v>1287189.4788592262</v>
      </c>
      <c r="F3" s="19">
        <v>1879314.4899893997</v>
      </c>
      <c r="G3" s="19">
        <v>1902667.2868741718</v>
      </c>
    </row>
    <row r="4" spans="1:7" ht="11.25" customHeight="1" x14ac:dyDescent="0.2">
      <c r="A4" s="23" t="s">
        <v>40</v>
      </c>
      <c r="B4" s="19">
        <v>565740.429</v>
      </c>
      <c r="C4" s="19">
        <v>1313574.0609893997</v>
      </c>
      <c r="D4" s="19">
        <v>615477.80801494559</v>
      </c>
      <c r="E4" s="19">
        <v>1287189.4788592262</v>
      </c>
      <c r="F4" s="19">
        <v>1879314.4899893997</v>
      </c>
      <c r="G4" s="19">
        <v>1902667.2868741718</v>
      </c>
    </row>
    <row r="5" spans="1:7" ht="11.25" customHeight="1" x14ac:dyDescent="0.2">
      <c r="A5" s="24" t="s">
        <v>50</v>
      </c>
      <c r="B5" s="19">
        <v>565740.429</v>
      </c>
      <c r="C5" s="19">
        <v>1313574.0609893997</v>
      </c>
      <c r="D5" s="19">
        <v>615477.80801494559</v>
      </c>
      <c r="E5" s="19">
        <v>1287189.4788592262</v>
      </c>
      <c r="F5" s="19">
        <v>1879314.4899893997</v>
      </c>
      <c r="G5" s="19">
        <v>1902667.2868741718</v>
      </c>
    </row>
    <row r="6" spans="1:7" ht="11.25" customHeight="1" x14ac:dyDescent="0.2">
      <c r="A6" s="25" t="s">
        <v>51</v>
      </c>
      <c r="B6" s="19">
        <v>565740.429</v>
      </c>
      <c r="C6" s="19">
        <v>1313574.0609893997</v>
      </c>
      <c r="D6" s="19">
        <v>615477.80801494559</v>
      </c>
      <c r="E6" s="19">
        <v>1287189.4788592262</v>
      </c>
      <c r="F6" s="19">
        <v>1879314.4899893997</v>
      </c>
      <c r="G6" s="19">
        <v>1902667.2868741718</v>
      </c>
    </row>
    <row r="7" spans="1:7" ht="11.25" customHeight="1" x14ac:dyDescent="0.2">
      <c r="A7" s="26" t="s">
        <v>25</v>
      </c>
      <c r="B7" s="19">
        <v>565740.429</v>
      </c>
      <c r="C7" s="19">
        <v>1313574.0609893997</v>
      </c>
      <c r="D7" s="19">
        <v>615477.80801494559</v>
      </c>
      <c r="E7" s="19">
        <v>1287189.4788592262</v>
      </c>
      <c r="F7" s="19">
        <v>1879314.4899893997</v>
      </c>
      <c r="G7" s="19">
        <v>1902667.2868741718</v>
      </c>
    </row>
    <row r="8" spans="1:7" ht="11.25" customHeight="1" x14ac:dyDescent="0.2">
      <c r="A8" s="27" t="s">
        <v>25</v>
      </c>
      <c r="B8" s="19">
        <v>565740.429</v>
      </c>
      <c r="C8" s="19">
        <v>1313574.0609893997</v>
      </c>
      <c r="D8" s="19">
        <v>615477.80801494559</v>
      </c>
      <c r="E8" s="19">
        <v>1287189.4788592262</v>
      </c>
      <c r="F8" s="19">
        <v>1879314.4899893997</v>
      </c>
      <c r="G8" s="19">
        <v>1902667.2868741718</v>
      </c>
    </row>
    <row r="9" spans="1:7" ht="11.25" customHeight="1" x14ac:dyDescent="0.2">
      <c r="A9" s="28" t="s">
        <v>35</v>
      </c>
      <c r="B9" s="19">
        <v>205620.71100000001</v>
      </c>
      <c r="C9" s="19">
        <v>1149831.6337349997</v>
      </c>
      <c r="D9" s="19">
        <v>223187.75304733013</v>
      </c>
      <c r="E9" s="19">
        <v>1135110.962754037</v>
      </c>
      <c r="F9" s="19">
        <v>1355452.3447349998</v>
      </c>
      <c r="G9" s="19">
        <v>1358298.7158013671</v>
      </c>
    </row>
    <row r="10" spans="1:7" ht="11.25" customHeight="1" x14ac:dyDescent="0.2">
      <c r="A10" s="29">
        <v>44409</v>
      </c>
      <c r="B10" s="19">
        <v>16922.55</v>
      </c>
      <c r="C10" s="19">
        <v>91086.532199999914</v>
      </c>
      <c r="D10" s="19">
        <v>18368.314611708036</v>
      </c>
      <c r="E10" s="19">
        <v>89920.400714333999</v>
      </c>
      <c r="F10" s="19">
        <v>108009.08219999992</v>
      </c>
      <c r="G10" s="19">
        <v>108288.71532604203</v>
      </c>
    </row>
    <row r="11" spans="1:7" ht="11.25" customHeight="1" x14ac:dyDescent="0.2">
      <c r="A11" s="29">
        <v>44440</v>
      </c>
      <c r="B11" s="19">
        <v>16922.55</v>
      </c>
      <c r="C11" s="19">
        <v>91069.446000000054</v>
      </c>
      <c r="D11" s="19">
        <v>18368.314611708036</v>
      </c>
      <c r="E11" s="19">
        <v>89903.533259688804</v>
      </c>
      <c r="F11" s="19">
        <v>107991.99600000006</v>
      </c>
      <c r="G11" s="19">
        <v>108271.84787139684</v>
      </c>
    </row>
    <row r="12" spans="1:7" ht="11.25" customHeight="1" x14ac:dyDescent="0.2">
      <c r="A12" s="29">
        <v>44470</v>
      </c>
      <c r="B12" s="19">
        <v>17056.59</v>
      </c>
      <c r="C12" s="19">
        <v>95118.875400000135</v>
      </c>
      <c r="D12" s="19">
        <v>18513.806212592852</v>
      </c>
      <c r="E12" s="19">
        <v>93901.120010635626</v>
      </c>
      <c r="F12" s="19">
        <v>112175.46540000013</v>
      </c>
      <c r="G12" s="19">
        <v>112414.92622322848</v>
      </c>
    </row>
    <row r="13" spans="1:7" ht="11.25" customHeight="1" x14ac:dyDescent="0.2">
      <c r="A13" s="29">
        <v>44501</v>
      </c>
      <c r="B13" s="19">
        <v>17190.63</v>
      </c>
      <c r="C13" s="19">
        <v>98775.322199999908</v>
      </c>
      <c r="D13" s="19">
        <v>18659.297813477668</v>
      </c>
      <c r="E13" s="19">
        <v>97510.755304739243</v>
      </c>
      <c r="F13" s="19">
        <v>115965.95219999991</v>
      </c>
      <c r="G13" s="19">
        <v>116170.05311821691</v>
      </c>
    </row>
    <row r="14" spans="1:7" ht="11.25" customHeight="1" x14ac:dyDescent="0.2">
      <c r="A14" s="29">
        <v>44531</v>
      </c>
      <c r="B14" s="19">
        <v>17073.345000000001</v>
      </c>
      <c r="C14" s="19">
        <v>102619.7171999999</v>
      </c>
      <c r="D14" s="19">
        <v>18531.992662703455</v>
      </c>
      <c r="E14" s="19">
        <v>101305.93259994187</v>
      </c>
      <c r="F14" s="19">
        <v>119693.0621999999</v>
      </c>
      <c r="G14" s="19">
        <v>119837.92526264532</v>
      </c>
    </row>
    <row r="15" spans="1:7" ht="11.25" customHeight="1" x14ac:dyDescent="0.2">
      <c r="A15" s="29">
        <v>44562</v>
      </c>
      <c r="B15" s="19">
        <v>17178.901500000007</v>
      </c>
      <c r="C15" s="19">
        <v>97819.844809799819</v>
      </c>
      <c r="D15" s="19">
        <v>18646.567298400256</v>
      </c>
      <c r="E15" s="19">
        <v>96567.510373516823</v>
      </c>
      <c r="F15" s="19">
        <v>114998.74630979983</v>
      </c>
      <c r="G15" s="19">
        <v>115214.07767191708</v>
      </c>
    </row>
    <row r="16" spans="1:7" ht="11.25" customHeight="1" x14ac:dyDescent="0.2">
      <c r="A16" s="29">
        <v>44593</v>
      </c>
      <c r="B16" s="19">
        <v>17193.981000000011</v>
      </c>
      <c r="C16" s="19">
        <v>94423.860042600034</v>
      </c>
      <c r="D16" s="19">
        <v>18662.9351034998</v>
      </c>
      <c r="E16" s="19">
        <v>93215.002558026841</v>
      </c>
      <c r="F16" s="19">
        <v>111617.84104260005</v>
      </c>
      <c r="G16" s="19">
        <v>111877.93766152664</v>
      </c>
    </row>
    <row r="17" spans="1:7" ht="11.25" customHeight="1" x14ac:dyDescent="0.2">
      <c r="A17" s="29">
        <v>44621</v>
      </c>
      <c r="B17" s="19">
        <v>17195.656500000008</v>
      </c>
      <c r="C17" s="19">
        <v>99903.848623800004</v>
      </c>
      <c r="D17" s="19">
        <v>18664.753748510859</v>
      </c>
      <c r="E17" s="19">
        <v>98624.833816609724</v>
      </c>
      <c r="F17" s="19">
        <v>117099.50512380002</v>
      </c>
      <c r="G17" s="19">
        <v>117289.58756512059</v>
      </c>
    </row>
    <row r="18" spans="1:7" ht="11.25" customHeight="1" x14ac:dyDescent="0.2">
      <c r="A18" s="29">
        <v>44652</v>
      </c>
      <c r="B18" s="19">
        <v>17924.499000000007</v>
      </c>
      <c r="C18" s="19">
        <v>96119.51161680001</v>
      </c>
      <c r="D18" s="19">
        <v>19455.864328322044</v>
      </c>
      <c r="E18" s="19">
        <v>94888.945624485496</v>
      </c>
      <c r="F18" s="19">
        <v>114044.01061680002</v>
      </c>
      <c r="G18" s="19">
        <v>114344.80995280754</v>
      </c>
    </row>
    <row r="19" spans="1:7" ht="11.25" customHeight="1" x14ac:dyDescent="0.2">
      <c r="A19" s="29">
        <v>44682</v>
      </c>
      <c r="B19" s="19">
        <v>17083.397999999997</v>
      </c>
      <c r="C19" s="19">
        <v>98172.486891600056</v>
      </c>
      <c r="D19" s="19">
        <v>18542.904532769811</v>
      </c>
      <c r="E19" s="19">
        <v>96915.637769942317</v>
      </c>
      <c r="F19" s="19">
        <v>115255.88489160006</v>
      </c>
      <c r="G19" s="19">
        <v>115458.54230271213</v>
      </c>
    </row>
    <row r="20" spans="1:7" ht="11.25" customHeight="1" x14ac:dyDescent="0.2">
      <c r="A20" s="29">
        <v>44713</v>
      </c>
      <c r="B20" s="19">
        <v>16939.305</v>
      </c>
      <c r="C20" s="19">
        <v>92361.094375199973</v>
      </c>
      <c r="D20" s="19">
        <v>18386.501061818639</v>
      </c>
      <c r="E20" s="19">
        <v>91178.64536105821</v>
      </c>
      <c r="F20" s="19">
        <v>109300.39937519998</v>
      </c>
      <c r="G20" s="19">
        <v>109565.14642287685</v>
      </c>
    </row>
    <row r="21" spans="1:7" ht="11.25" customHeight="1" x14ac:dyDescent="0.2">
      <c r="A21" s="29">
        <v>44743</v>
      </c>
      <c r="B21" s="19">
        <v>16939.305</v>
      </c>
      <c r="C21" s="19">
        <v>92361.094375199973</v>
      </c>
      <c r="D21" s="19">
        <v>18386.501061818639</v>
      </c>
      <c r="E21" s="19">
        <v>91178.64536105821</v>
      </c>
      <c r="F21" s="19">
        <v>109300.39937519998</v>
      </c>
      <c r="G21" s="19">
        <v>109565.14642287685</v>
      </c>
    </row>
    <row r="22" spans="1:7" ht="11.25" customHeight="1" x14ac:dyDescent="0.2">
      <c r="A22" s="28" t="s">
        <v>34</v>
      </c>
      <c r="B22" s="19">
        <v>360119.71800000005</v>
      </c>
      <c r="C22" s="19">
        <v>163742.42725440001</v>
      </c>
      <c r="D22" s="19">
        <v>392290.05496761552</v>
      </c>
      <c r="E22" s="19">
        <v>152078.51610518937</v>
      </c>
      <c r="F22" s="19">
        <v>523862.14525440009</v>
      </c>
      <c r="G22" s="19">
        <v>544368.57107280486</v>
      </c>
    </row>
    <row r="23" spans="1:7" ht="11.25" customHeight="1" x14ac:dyDescent="0.2">
      <c r="A23" s="29">
        <v>44409</v>
      </c>
      <c r="B23" s="19">
        <v>29255.760000000002</v>
      </c>
      <c r="C23" s="19">
        <v>13529.964599999988</v>
      </c>
      <c r="D23" s="19">
        <v>31869.24548941074</v>
      </c>
      <c r="E23" s="19">
        <v>12566.180762221775</v>
      </c>
      <c r="F23" s="19">
        <v>42785.724599999987</v>
      </c>
      <c r="G23" s="19">
        <v>44435.426251632511</v>
      </c>
    </row>
    <row r="24" spans="1:7" ht="11.25" customHeight="1" x14ac:dyDescent="0.2">
      <c r="A24" s="29">
        <v>44440</v>
      </c>
      <c r="B24" s="19">
        <v>28998</v>
      </c>
      <c r="C24" s="19">
        <v>13002.480599999994</v>
      </c>
      <c r="D24" s="19">
        <v>31588.459185539279</v>
      </c>
      <c r="E24" s="19">
        <v>12076.271180848611</v>
      </c>
      <c r="F24" s="19">
        <v>42000.480599999995</v>
      </c>
      <c r="G24" s="19">
        <v>43664.730366387892</v>
      </c>
    </row>
    <row r="25" spans="1:7" ht="11.25" customHeight="1" x14ac:dyDescent="0.2">
      <c r="A25" s="29">
        <v>44470</v>
      </c>
      <c r="B25" s="19">
        <v>30737.88</v>
      </c>
      <c r="C25" s="19">
        <v>13318.971000000005</v>
      </c>
      <c r="D25" s="19">
        <v>33483.766736671634</v>
      </c>
      <c r="E25" s="19">
        <v>12370.216929672522</v>
      </c>
      <c r="F25" s="19">
        <v>44056.85100000001</v>
      </c>
      <c r="G25" s="19">
        <v>45853.983666344153</v>
      </c>
    </row>
    <row r="26" spans="1:7" ht="11.25" customHeight="1" x14ac:dyDescent="0.2">
      <c r="A26" s="29">
        <v>44501</v>
      </c>
      <c r="B26" s="19">
        <v>30544.560000000001</v>
      </c>
      <c r="C26" s="19">
        <v>13951.951800000004</v>
      </c>
      <c r="D26" s="19">
        <v>33273.177008768042</v>
      </c>
      <c r="E26" s="19">
        <v>12958.108427320325</v>
      </c>
      <c r="F26" s="19">
        <v>44496.511800000007</v>
      </c>
      <c r="G26" s="19">
        <v>46231.285436088365</v>
      </c>
    </row>
    <row r="27" spans="1:7" ht="11.25" customHeight="1" x14ac:dyDescent="0.2">
      <c r="A27" s="29">
        <v>44531</v>
      </c>
      <c r="B27" s="19">
        <v>32832.18</v>
      </c>
      <c r="C27" s="19">
        <v>15824.52</v>
      </c>
      <c r="D27" s="19">
        <v>35765.155455627246</v>
      </c>
      <c r="E27" s="19">
        <v>14697.287441195072</v>
      </c>
      <c r="F27" s="19">
        <v>48656.7</v>
      </c>
      <c r="G27" s="19">
        <v>50462.442896822322</v>
      </c>
    </row>
    <row r="28" spans="1:7" ht="11.25" customHeight="1" x14ac:dyDescent="0.2">
      <c r="A28" s="29">
        <v>44562</v>
      </c>
      <c r="B28" s="19">
        <v>31263.066000000017</v>
      </c>
      <c r="C28" s="19">
        <v>14044.604364600005</v>
      </c>
      <c r="D28" s="19">
        <v>34055.868830809755</v>
      </c>
      <c r="E28" s="19">
        <v>13044.161045288523</v>
      </c>
      <c r="F28" s="19">
        <v>45307.670364600024</v>
      </c>
      <c r="G28" s="19">
        <v>47100.029876098277</v>
      </c>
    </row>
    <row r="29" spans="1:7" ht="11.25" customHeight="1" x14ac:dyDescent="0.2">
      <c r="A29" s="29">
        <v>44593</v>
      </c>
      <c r="B29" s="19">
        <v>31382.28</v>
      </c>
      <c r="C29" s="19">
        <v>13635.698767800019</v>
      </c>
      <c r="D29" s="19">
        <v>34185.732496350283</v>
      </c>
      <c r="E29" s="19">
        <v>12664.383137808054</v>
      </c>
      <c r="F29" s="19">
        <v>45017.978767800014</v>
      </c>
      <c r="G29" s="19">
        <v>46850.115634158341</v>
      </c>
    </row>
    <row r="30" spans="1:7" ht="11.25" customHeight="1" x14ac:dyDescent="0.2">
      <c r="A30" s="29">
        <v>44621</v>
      </c>
      <c r="B30" s="19">
        <v>29065.662000000011</v>
      </c>
      <c r="C30" s="19">
        <v>14122.434628800023</v>
      </c>
      <c r="D30" s="19">
        <v>31662.165590305551</v>
      </c>
      <c r="E30" s="19">
        <v>13116.447204020151</v>
      </c>
      <c r="F30" s="19">
        <v>43188.096628800035</v>
      </c>
      <c r="G30" s="19">
        <v>44778.612794325702</v>
      </c>
    </row>
    <row r="31" spans="1:7" ht="11.25" customHeight="1" x14ac:dyDescent="0.2">
      <c r="A31" s="29">
        <v>44652</v>
      </c>
      <c r="B31" s="19">
        <v>29478.078000000009</v>
      </c>
      <c r="C31" s="19">
        <v>11944.743308999999</v>
      </c>
      <c r="D31" s="19">
        <v>32111.423676499882</v>
      </c>
      <c r="E31" s="19">
        <v>11093.879992800068</v>
      </c>
      <c r="F31" s="19">
        <v>41422.821309000006</v>
      </c>
      <c r="G31" s="19">
        <v>43205.303669299952</v>
      </c>
    </row>
    <row r="32" spans="1:7" ht="11.25" customHeight="1" x14ac:dyDescent="0.2">
      <c r="A32" s="29">
        <v>44682</v>
      </c>
      <c r="B32" s="19">
        <v>28927.115999999998</v>
      </c>
      <c r="C32" s="19">
        <v>13913.102603400017</v>
      </c>
      <c r="D32" s="19">
        <v>31511.242951974622</v>
      </c>
      <c r="E32" s="19">
        <v>12922.026586652204</v>
      </c>
      <c r="F32" s="19">
        <v>42840.218603400019</v>
      </c>
      <c r="G32" s="19">
        <v>44433.269538626824</v>
      </c>
    </row>
    <row r="33" spans="1:7" ht="11.25" customHeight="1" x14ac:dyDescent="0.2">
      <c r="A33" s="29">
        <v>44713</v>
      </c>
      <c r="B33" s="19">
        <v>28817.568000000007</v>
      </c>
      <c r="C33" s="19">
        <v>13226.977790399989</v>
      </c>
      <c r="D33" s="19">
        <v>31391.908772829265</v>
      </c>
      <c r="E33" s="19">
        <v>12284.776698681027</v>
      </c>
      <c r="F33" s="19">
        <v>42044.545790399992</v>
      </c>
      <c r="G33" s="19">
        <v>43676.685471510296</v>
      </c>
    </row>
    <row r="34" spans="1:7" ht="11.25" customHeight="1" x14ac:dyDescent="0.2">
      <c r="A34" s="29">
        <v>44743</v>
      </c>
      <c r="B34" s="19">
        <v>28817.568000000007</v>
      </c>
      <c r="C34" s="19">
        <v>13226.977790399989</v>
      </c>
      <c r="D34" s="19">
        <v>31391.908772829265</v>
      </c>
      <c r="E34" s="19">
        <v>12284.776698681027</v>
      </c>
      <c r="F34" s="19">
        <v>42044.545790399992</v>
      </c>
      <c r="G34" s="19">
        <v>43676.685471510296</v>
      </c>
    </row>
    <row r="35" spans="1:7" ht="11.25" customHeight="1" x14ac:dyDescent="0.2">
      <c r="A35" s="22" t="s">
        <v>41</v>
      </c>
      <c r="B35" s="19">
        <v>2686381.3964999998</v>
      </c>
      <c r="C35" s="19">
        <v>2473340.1108402004</v>
      </c>
      <c r="D35" s="19">
        <v>2959373.5357720219</v>
      </c>
      <c r="E35" s="19">
        <v>2438820.4957548711</v>
      </c>
      <c r="F35" s="19">
        <v>5159721.5073402002</v>
      </c>
      <c r="G35" s="19">
        <v>5398194.0315268934</v>
      </c>
    </row>
    <row r="36" spans="1:7" ht="11.25" customHeight="1" x14ac:dyDescent="0.2">
      <c r="A36" s="23" t="s">
        <v>40</v>
      </c>
      <c r="B36" s="19">
        <v>2234589.8205000004</v>
      </c>
      <c r="C36" s="19">
        <v>1750680.7782864007</v>
      </c>
      <c r="D36" s="19">
        <v>2461545.4443616206</v>
      </c>
      <c r="E36" s="19">
        <v>1709822.8643200772</v>
      </c>
      <c r="F36" s="19">
        <v>3985270.5987864011</v>
      </c>
      <c r="G36" s="19">
        <v>4171368.3086816976</v>
      </c>
    </row>
    <row r="37" spans="1:7" ht="11.25" customHeight="1" x14ac:dyDescent="0.2">
      <c r="A37" s="24" t="s">
        <v>50</v>
      </c>
      <c r="B37" s="19">
        <v>2234589.8205000004</v>
      </c>
      <c r="C37" s="19">
        <v>1750680.7782864007</v>
      </c>
      <c r="D37" s="19">
        <v>2461545.4443616206</v>
      </c>
      <c r="E37" s="19">
        <v>1709822.8643200772</v>
      </c>
      <c r="F37" s="19">
        <v>3985270.5987864011</v>
      </c>
      <c r="G37" s="19">
        <v>4171368.3086816976</v>
      </c>
    </row>
    <row r="38" spans="1:7" ht="11.25" customHeight="1" x14ac:dyDescent="0.2">
      <c r="A38" s="25" t="s">
        <v>51</v>
      </c>
      <c r="B38" s="19">
        <v>2234589.8205000004</v>
      </c>
      <c r="C38" s="19">
        <v>1750680.7782864007</v>
      </c>
      <c r="D38" s="19">
        <v>2461545.4443616206</v>
      </c>
      <c r="E38" s="19">
        <v>1709822.8643200772</v>
      </c>
      <c r="F38" s="19">
        <v>3985270.5987864011</v>
      </c>
      <c r="G38" s="19">
        <v>4171368.3086816976</v>
      </c>
    </row>
    <row r="39" spans="1:7" ht="11.25" customHeight="1" x14ac:dyDescent="0.2">
      <c r="A39" s="26" t="s">
        <v>25</v>
      </c>
      <c r="B39" s="19">
        <v>2234589.8205000004</v>
      </c>
      <c r="C39" s="19">
        <v>1750680.7782864007</v>
      </c>
      <c r="D39" s="19">
        <v>2461545.4443616206</v>
      </c>
      <c r="E39" s="19">
        <v>1709822.8643200772</v>
      </c>
      <c r="F39" s="19">
        <v>3985270.5987864011</v>
      </c>
      <c r="G39" s="19">
        <v>4171368.3086816976</v>
      </c>
    </row>
    <row r="40" spans="1:7" ht="11.25" customHeight="1" x14ac:dyDescent="0.2">
      <c r="A40" s="27" t="s">
        <v>25</v>
      </c>
      <c r="B40" s="19">
        <v>2234589.8205000004</v>
      </c>
      <c r="C40" s="19">
        <v>1750680.7782864007</v>
      </c>
      <c r="D40" s="19">
        <v>2461545.4443616206</v>
      </c>
      <c r="E40" s="19">
        <v>1709822.8643200772</v>
      </c>
      <c r="F40" s="19">
        <v>3985270.5987864011</v>
      </c>
      <c r="G40" s="19">
        <v>4171368.3086816976</v>
      </c>
    </row>
    <row r="41" spans="1:7" ht="11.25" customHeight="1" x14ac:dyDescent="0.2">
      <c r="A41" s="28" t="s">
        <v>35</v>
      </c>
      <c r="B41" s="19">
        <v>758679.63300000015</v>
      </c>
      <c r="C41" s="19">
        <v>1523971.5801924011</v>
      </c>
      <c r="D41" s="19">
        <v>835987.33077823813</v>
      </c>
      <c r="E41" s="19">
        <v>1499189.734880988</v>
      </c>
      <c r="F41" s="19">
        <v>2282651.2131924015</v>
      </c>
      <c r="G41" s="19">
        <v>2335177.0656592259</v>
      </c>
    </row>
    <row r="42" spans="1:7" ht="11.25" customHeight="1" x14ac:dyDescent="0.2">
      <c r="A42" s="29">
        <v>44409</v>
      </c>
      <c r="B42" s="19">
        <v>62275.12200000001</v>
      </c>
      <c r="C42" s="19">
        <v>123445.09394460017</v>
      </c>
      <c r="D42" s="19">
        <v>68620.812725401236</v>
      </c>
      <c r="E42" s="19">
        <v>121437.70925163777</v>
      </c>
      <c r="F42" s="19">
        <v>185720.21594460018</v>
      </c>
      <c r="G42" s="19">
        <v>190058.521977039</v>
      </c>
    </row>
    <row r="43" spans="1:7" ht="11.25" customHeight="1" x14ac:dyDescent="0.2">
      <c r="A43" s="29">
        <v>44440</v>
      </c>
      <c r="B43" s="19">
        <v>62983.062000000005</v>
      </c>
      <c r="C43" s="19">
        <v>123606.88956659996</v>
      </c>
      <c r="D43" s="19">
        <v>69400.890172071202</v>
      </c>
      <c r="E43" s="19">
        <v>121596.87385733216</v>
      </c>
      <c r="F43" s="19">
        <v>186589.95156659995</v>
      </c>
      <c r="G43" s="19">
        <v>190997.76402940336</v>
      </c>
    </row>
    <row r="44" spans="1:7" ht="11.25" customHeight="1" x14ac:dyDescent="0.2">
      <c r="A44" s="29">
        <v>44470</v>
      </c>
      <c r="B44" s="19">
        <v>63313.434000000016</v>
      </c>
      <c r="C44" s="19">
        <v>133033.06952220021</v>
      </c>
      <c r="D44" s="19">
        <v>69764.926313850519</v>
      </c>
      <c r="E44" s="19">
        <v>130869.77133931321</v>
      </c>
      <c r="F44" s="19">
        <v>196346.50352220022</v>
      </c>
      <c r="G44" s="19">
        <v>200634.69765316375</v>
      </c>
    </row>
    <row r="45" spans="1:7" ht="11.25" customHeight="1" x14ac:dyDescent="0.2">
      <c r="A45" s="29">
        <v>44501</v>
      </c>
      <c r="B45" s="19">
        <v>63234.774000000019</v>
      </c>
      <c r="C45" s="19">
        <v>129969.04889760006</v>
      </c>
      <c r="D45" s="19">
        <v>69678.251041998301</v>
      </c>
      <c r="E45" s="19">
        <v>127855.57584671471</v>
      </c>
      <c r="F45" s="19">
        <v>193203.82289760007</v>
      </c>
      <c r="G45" s="19">
        <v>197533.826888713</v>
      </c>
    </row>
    <row r="46" spans="1:7" ht="11.25" customHeight="1" x14ac:dyDescent="0.2">
      <c r="A46" s="29">
        <v>44531</v>
      </c>
      <c r="B46" s="19">
        <v>63447.156000000025</v>
      </c>
      <c r="C46" s="19">
        <v>131536.98223559992</v>
      </c>
      <c r="D46" s="19">
        <v>69912.274275999298</v>
      </c>
      <c r="E46" s="19">
        <v>129398.01246158275</v>
      </c>
      <c r="F46" s="19">
        <v>194984.13823559994</v>
      </c>
      <c r="G46" s="19">
        <v>199310.28673758206</v>
      </c>
    </row>
    <row r="47" spans="1:7" ht="11.25" customHeight="1" x14ac:dyDescent="0.2">
      <c r="A47" s="29">
        <v>44562</v>
      </c>
      <c r="B47" s="19">
        <v>63293.769000000015</v>
      </c>
      <c r="C47" s="19">
        <v>132249.78081899998</v>
      </c>
      <c r="D47" s="19">
        <v>69743.257495887476</v>
      </c>
      <c r="E47" s="19">
        <v>130099.21997303524</v>
      </c>
      <c r="F47" s="19">
        <v>195543.54981900001</v>
      </c>
      <c r="G47" s="19">
        <v>199842.47746892273</v>
      </c>
    </row>
    <row r="48" spans="1:7" ht="11.25" customHeight="1" x14ac:dyDescent="0.2">
      <c r="A48" s="29">
        <v>44593</v>
      </c>
      <c r="B48" s="19">
        <v>63203.31</v>
      </c>
      <c r="C48" s="19">
        <v>121444.80166020009</v>
      </c>
      <c r="D48" s="19">
        <v>69643.580933257399</v>
      </c>
      <c r="E48" s="19">
        <v>119469.94443337544</v>
      </c>
      <c r="F48" s="19">
        <v>184648.11166020008</v>
      </c>
      <c r="G48" s="19">
        <v>189113.52536663285</v>
      </c>
    </row>
    <row r="49" spans="1:7" ht="11.25" customHeight="1" x14ac:dyDescent="0.2">
      <c r="A49" s="29">
        <v>44621</v>
      </c>
      <c r="B49" s="19">
        <v>63651.672000000006</v>
      </c>
      <c r="C49" s="19">
        <v>131482.1952696002</v>
      </c>
      <c r="D49" s="19">
        <v>70137.629982815051</v>
      </c>
      <c r="E49" s="19">
        <v>129344.1164059741</v>
      </c>
      <c r="F49" s="19">
        <v>195133.86726960022</v>
      </c>
      <c r="G49" s="19">
        <v>199481.74638878915</v>
      </c>
    </row>
    <row r="50" spans="1:7" ht="11.25" customHeight="1" x14ac:dyDescent="0.2">
      <c r="A50" s="29">
        <v>44652</v>
      </c>
      <c r="B50" s="19">
        <v>63325.232999999986</v>
      </c>
      <c r="C50" s="19">
        <v>127458.24836579998</v>
      </c>
      <c r="D50" s="19">
        <v>69777.927604628319</v>
      </c>
      <c r="E50" s="19">
        <v>125385.60433770981</v>
      </c>
      <c r="F50" s="19">
        <v>190783.48136579996</v>
      </c>
      <c r="G50" s="19">
        <v>195163.53194233813</v>
      </c>
    </row>
    <row r="51" spans="1:7" ht="11.25" customHeight="1" x14ac:dyDescent="0.2">
      <c r="A51" s="29">
        <v>44682</v>
      </c>
      <c r="B51" s="19">
        <v>63419.625</v>
      </c>
      <c r="C51" s="19">
        <v>127788.05124240015</v>
      </c>
      <c r="D51" s="19">
        <v>69881.937930850996</v>
      </c>
      <c r="E51" s="19">
        <v>125710.04417212638</v>
      </c>
      <c r="F51" s="19">
        <v>191207.67624240014</v>
      </c>
      <c r="G51" s="19">
        <v>195591.98210297737</v>
      </c>
    </row>
    <row r="52" spans="1:7" ht="11.25" customHeight="1" x14ac:dyDescent="0.2">
      <c r="A52" s="29">
        <v>44713</v>
      </c>
      <c r="B52" s="19">
        <v>63266.23799999999</v>
      </c>
      <c r="C52" s="19">
        <v>120978.70933440016</v>
      </c>
      <c r="D52" s="19">
        <v>69712.921150739159</v>
      </c>
      <c r="E52" s="19">
        <v>119011.43140109317</v>
      </c>
      <c r="F52" s="19">
        <v>184244.94733440015</v>
      </c>
      <c r="G52" s="19">
        <v>188724.35255183233</v>
      </c>
    </row>
    <row r="53" spans="1:7" ht="11.25" customHeight="1" x14ac:dyDescent="0.2">
      <c r="A53" s="29">
        <v>44743</v>
      </c>
      <c r="B53" s="19">
        <v>63266.23799999999</v>
      </c>
      <c r="C53" s="19">
        <v>120978.70933440016</v>
      </c>
      <c r="D53" s="19">
        <v>69712.921150739159</v>
      </c>
      <c r="E53" s="19">
        <v>119011.43140109317</v>
      </c>
      <c r="F53" s="19">
        <v>184244.94733440015</v>
      </c>
      <c r="G53" s="19">
        <v>188724.35255183233</v>
      </c>
    </row>
    <row r="54" spans="1:7" ht="11.25" customHeight="1" x14ac:dyDescent="0.2">
      <c r="A54" s="28" t="s">
        <v>34</v>
      </c>
      <c r="B54" s="19">
        <v>1475910.1875</v>
      </c>
      <c r="C54" s="19">
        <v>226709.19809399999</v>
      </c>
      <c r="D54" s="19">
        <v>1625558.1135833832</v>
      </c>
      <c r="E54" s="19">
        <v>210633.12943908916</v>
      </c>
      <c r="F54" s="19">
        <v>1702619.3855940001</v>
      </c>
      <c r="G54" s="19">
        <v>1836191.2430224724</v>
      </c>
    </row>
    <row r="55" spans="1:7" ht="11.25" customHeight="1" x14ac:dyDescent="0.2">
      <c r="A55" s="29">
        <v>44409</v>
      </c>
      <c r="B55" s="19">
        <v>121428.66750000004</v>
      </c>
      <c r="C55" s="19">
        <v>19098.832991400013</v>
      </c>
      <c r="D55" s="19">
        <v>133740.76373210471</v>
      </c>
      <c r="E55" s="19">
        <v>17744.524683754204</v>
      </c>
      <c r="F55" s="19">
        <v>140527.50049140005</v>
      </c>
      <c r="G55" s="19">
        <v>151485.2884158589</v>
      </c>
    </row>
    <row r="56" spans="1:7" ht="11.25" customHeight="1" x14ac:dyDescent="0.2">
      <c r="A56" s="29">
        <v>44440</v>
      </c>
      <c r="B56" s="19">
        <v>122273.49749999998</v>
      </c>
      <c r="C56" s="19">
        <v>18635.292808199996</v>
      </c>
      <c r="D56" s="19">
        <v>134671.25413235379</v>
      </c>
      <c r="E56" s="19">
        <v>17313.854379112636</v>
      </c>
      <c r="F56" s="19">
        <v>140908.79030819997</v>
      </c>
      <c r="G56" s="19">
        <v>151985.10851146642</v>
      </c>
    </row>
    <row r="57" spans="1:7" ht="11.25" customHeight="1" x14ac:dyDescent="0.2">
      <c r="A57" s="29">
        <v>44470</v>
      </c>
      <c r="B57" s="19">
        <v>122711.55750000005</v>
      </c>
      <c r="C57" s="19">
        <v>18388.419280799979</v>
      </c>
      <c r="D57" s="19">
        <v>135153.73063618675</v>
      </c>
      <c r="E57" s="19">
        <v>17084.486783580094</v>
      </c>
      <c r="F57" s="19">
        <v>141099.97678080003</v>
      </c>
      <c r="G57" s="19">
        <v>152238.21741976685</v>
      </c>
    </row>
    <row r="58" spans="1:7" ht="11.25" customHeight="1" x14ac:dyDescent="0.2">
      <c r="A58" s="29">
        <v>44501</v>
      </c>
      <c r="B58" s="19">
        <v>122946.23250000006</v>
      </c>
      <c r="C58" s="19">
        <v>18237.274477200033</v>
      </c>
      <c r="D58" s="19">
        <v>135412.20019181151</v>
      </c>
      <c r="E58" s="19">
        <v>16944.059737618274</v>
      </c>
      <c r="F58" s="19">
        <v>141183.5069772001</v>
      </c>
      <c r="G58" s="19">
        <v>152356.2599294298</v>
      </c>
    </row>
    <row r="59" spans="1:7" ht="11.25" customHeight="1" x14ac:dyDescent="0.2">
      <c r="A59" s="29">
        <v>44531</v>
      </c>
      <c r="B59" s="19">
        <v>123572.03250000006</v>
      </c>
      <c r="C59" s="19">
        <v>20695.158471000013</v>
      </c>
      <c r="D59" s="19">
        <v>136101.4523401442</v>
      </c>
      <c r="E59" s="19">
        <v>19227.653882738396</v>
      </c>
      <c r="F59" s="19">
        <v>144267.19097100006</v>
      </c>
      <c r="G59" s="19">
        <v>155329.1062228826</v>
      </c>
    </row>
    <row r="60" spans="1:7" ht="11.25" customHeight="1" x14ac:dyDescent="0.2">
      <c r="A60" s="29">
        <v>44562</v>
      </c>
      <c r="B60" s="19">
        <v>123806.70750000005</v>
      </c>
      <c r="C60" s="19">
        <v>19491.108151199984</v>
      </c>
      <c r="D60" s="19">
        <v>136359.92189576896</v>
      </c>
      <c r="E60" s="19">
        <v>18108.983405343559</v>
      </c>
      <c r="F60" s="19">
        <v>143297.81565120004</v>
      </c>
      <c r="G60" s="19">
        <v>154468.90530111251</v>
      </c>
    </row>
    <row r="61" spans="1:7" ht="11.25" customHeight="1" x14ac:dyDescent="0.2">
      <c r="A61" s="29">
        <v>44593</v>
      </c>
      <c r="B61" s="19">
        <v>122828.89500000005</v>
      </c>
      <c r="C61" s="19">
        <v>18649.043285399966</v>
      </c>
      <c r="D61" s="19">
        <v>135282.96541399913</v>
      </c>
      <c r="E61" s="19">
        <v>17326.629802731353</v>
      </c>
      <c r="F61" s="19">
        <v>141477.93828540001</v>
      </c>
      <c r="G61" s="19">
        <v>152609.59521673049</v>
      </c>
    </row>
    <row r="62" spans="1:7" ht="11.25" customHeight="1" x14ac:dyDescent="0.2">
      <c r="A62" s="29">
        <v>44621</v>
      </c>
      <c r="B62" s="19">
        <v>123478.16249999999</v>
      </c>
      <c r="C62" s="19">
        <v>19702.307749800028</v>
      </c>
      <c r="D62" s="19">
        <v>135998.06451789424</v>
      </c>
      <c r="E62" s="19">
        <v>18305.206729158421</v>
      </c>
      <c r="F62" s="19">
        <v>143180.47024980001</v>
      </c>
      <c r="G62" s="19">
        <v>154303.27124705265</v>
      </c>
    </row>
    <row r="63" spans="1:7" ht="11.25" customHeight="1" x14ac:dyDescent="0.2">
      <c r="A63" s="29">
        <v>44652</v>
      </c>
      <c r="B63" s="19">
        <v>123094.85999999997</v>
      </c>
      <c r="C63" s="19">
        <v>17377.345035600021</v>
      </c>
      <c r="D63" s="19">
        <v>135575.89757704042</v>
      </c>
      <c r="E63" s="19">
        <v>16145.10834568614</v>
      </c>
      <c r="F63" s="19">
        <v>140472.2050356</v>
      </c>
      <c r="G63" s="19">
        <v>151721.00592272656</v>
      </c>
    </row>
    <row r="64" spans="1:7" ht="11.25" customHeight="1" x14ac:dyDescent="0.2">
      <c r="A64" s="29">
        <v>44682</v>
      </c>
      <c r="B64" s="19">
        <v>123016.63499999998</v>
      </c>
      <c r="C64" s="19">
        <v>19050.733932599967</v>
      </c>
      <c r="D64" s="19">
        <v>135489.74105849885</v>
      </c>
      <c r="E64" s="19">
        <v>17699.83635454964</v>
      </c>
      <c r="F64" s="19">
        <v>142067.36893259996</v>
      </c>
      <c r="G64" s="19">
        <v>153189.57741304848</v>
      </c>
    </row>
    <row r="65" spans="1:7" ht="11.25" customHeight="1" x14ac:dyDescent="0.2">
      <c r="A65" s="29">
        <v>44713</v>
      </c>
      <c r="B65" s="19">
        <v>123376.47000000006</v>
      </c>
      <c r="C65" s="19">
        <v>18691.840955399999</v>
      </c>
      <c r="D65" s="19">
        <v>135886.06104379022</v>
      </c>
      <c r="E65" s="19">
        <v>17366.392667408203</v>
      </c>
      <c r="F65" s="19">
        <v>142068.31095540005</v>
      </c>
      <c r="G65" s="19">
        <v>153252.45371119841</v>
      </c>
    </row>
    <row r="66" spans="1:7" ht="11.25" customHeight="1" x14ac:dyDescent="0.2">
      <c r="A66" s="29">
        <v>44743</v>
      </c>
      <c r="B66" s="19">
        <v>123376.47000000006</v>
      </c>
      <c r="C66" s="19">
        <v>18691.840955399999</v>
      </c>
      <c r="D66" s="19">
        <v>135886.06104379022</v>
      </c>
      <c r="E66" s="19">
        <v>17366.392667408203</v>
      </c>
      <c r="F66" s="19">
        <v>142068.31095540005</v>
      </c>
      <c r="G66" s="19">
        <v>153252.45371119841</v>
      </c>
    </row>
    <row r="67" spans="1:7" ht="11.25" customHeight="1" x14ac:dyDescent="0.2">
      <c r="A67" s="23" t="s">
        <v>42</v>
      </c>
      <c r="B67" s="19">
        <v>451791.57600000012</v>
      </c>
      <c r="C67" s="19">
        <v>722659.33255379973</v>
      </c>
      <c r="D67" s="19">
        <v>497828.09141040104</v>
      </c>
      <c r="E67" s="19">
        <v>728997.63143479498</v>
      </c>
      <c r="F67" s="19">
        <v>1174450.9085537998</v>
      </c>
      <c r="G67" s="19">
        <v>1226825.722845196</v>
      </c>
    </row>
    <row r="68" spans="1:7" ht="11.25" customHeight="1" x14ac:dyDescent="0.2">
      <c r="A68" s="24" t="s">
        <v>50</v>
      </c>
      <c r="B68" s="19">
        <v>451791.57600000012</v>
      </c>
      <c r="C68" s="19">
        <v>722659.33255379973</v>
      </c>
      <c r="D68" s="19">
        <v>497828.09141040104</v>
      </c>
      <c r="E68" s="19">
        <v>728997.63143479498</v>
      </c>
      <c r="F68" s="19">
        <v>1174450.9085537998</v>
      </c>
      <c r="G68" s="19">
        <v>1226825.722845196</v>
      </c>
    </row>
    <row r="69" spans="1:7" ht="11.25" customHeight="1" x14ac:dyDescent="0.2">
      <c r="A69" s="25" t="s">
        <v>51</v>
      </c>
      <c r="B69" s="19">
        <v>451791.57600000012</v>
      </c>
      <c r="C69" s="19">
        <v>722659.33255379973</v>
      </c>
      <c r="D69" s="19">
        <v>497828.09141040104</v>
      </c>
      <c r="E69" s="19">
        <v>728997.63143479498</v>
      </c>
      <c r="F69" s="19">
        <v>1174450.9085537998</v>
      </c>
      <c r="G69" s="19">
        <v>1226825.722845196</v>
      </c>
    </row>
    <row r="70" spans="1:7" ht="11.25" customHeight="1" x14ac:dyDescent="0.2">
      <c r="A70" s="26" t="s">
        <v>25</v>
      </c>
      <c r="B70" s="19">
        <v>451791.57600000012</v>
      </c>
      <c r="C70" s="19">
        <v>722659.33255379973</v>
      </c>
      <c r="D70" s="19">
        <v>497828.09141040104</v>
      </c>
      <c r="E70" s="19">
        <v>728997.63143479498</v>
      </c>
      <c r="F70" s="19">
        <v>1174450.9085537998</v>
      </c>
      <c r="G70" s="19">
        <v>1226825.722845196</v>
      </c>
    </row>
    <row r="71" spans="1:7" ht="11.25" customHeight="1" x14ac:dyDescent="0.2">
      <c r="A71" s="27" t="s">
        <v>25</v>
      </c>
      <c r="B71" s="19">
        <v>451791.57600000012</v>
      </c>
      <c r="C71" s="19">
        <v>722659.33255379973</v>
      </c>
      <c r="D71" s="19">
        <v>497828.09141040104</v>
      </c>
      <c r="E71" s="19">
        <v>728997.63143479498</v>
      </c>
      <c r="F71" s="19">
        <v>1174450.9085537998</v>
      </c>
      <c r="G71" s="19">
        <v>1226825.722845196</v>
      </c>
    </row>
    <row r="72" spans="1:7" ht="11.25" customHeight="1" x14ac:dyDescent="0.2">
      <c r="A72" s="28" t="s">
        <v>35</v>
      </c>
      <c r="B72" s="19">
        <v>0</v>
      </c>
      <c r="C72" s="19">
        <v>468615.69618419989</v>
      </c>
      <c r="D72" s="19">
        <v>0</v>
      </c>
      <c r="E72" s="19">
        <v>460995.3692409175</v>
      </c>
      <c r="F72" s="19">
        <v>468615.69618419989</v>
      </c>
      <c r="G72" s="19">
        <v>460995.3692409175</v>
      </c>
    </row>
    <row r="73" spans="1:7" ht="11.25" customHeight="1" x14ac:dyDescent="0.2">
      <c r="A73" s="29">
        <v>44409</v>
      </c>
      <c r="B73" s="19">
        <v>0</v>
      </c>
      <c r="C73" s="19">
        <v>39219.240449399993</v>
      </c>
      <c r="D73" s="19">
        <v>0</v>
      </c>
      <c r="E73" s="19">
        <v>38581.482394931911</v>
      </c>
      <c r="F73" s="19">
        <v>39219.240449399993</v>
      </c>
      <c r="G73" s="19">
        <v>38581.482394931911</v>
      </c>
    </row>
    <row r="74" spans="1:7" ht="11.25" customHeight="1" x14ac:dyDescent="0.2">
      <c r="A74" s="29">
        <v>44440</v>
      </c>
      <c r="B74" s="19">
        <v>0</v>
      </c>
      <c r="C74" s="19">
        <v>36699.021689999943</v>
      </c>
      <c r="D74" s="19">
        <v>0</v>
      </c>
      <c r="E74" s="19">
        <v>36102.245811484579</v>
      </c>
      <c r="F74" s="19">
        <v>36699.021689999943</v>
      </c>
      <c r="G74" s="19">
        <v>36102.245811484579</v>
      </c>
    </row>
    <row r="75" spans="1:7" ht="11.25" customHeight="1" x14ac:dyDescent="0.2">
      <c r="A75" s="29">
        <v>44470</v>
      </c>
      <c r="B75" s="19">
        <v>0</v>
      </c>
      <c r="C75" s="19">
        <v>38624.994263999979</v>
      </c>
      <c r="D75" s="19">
        <v>0</v>
      </c>
      <c r="E75" s="19">
        <v>37996.899458659958</v>
      </c>
      <c r="F75" s="19">
        <v>38624.994263999979</v>
      </c>
      <c r="G75" s="19">
        <v>37996.899458659958</v>
      </c>
    </row>
    <row r="76" spans="1:7" ht="11.25" customHeight="1" x14ac:dyDescent="0.2">
      <c r="A76" s="29">
        <v>44501</v>
      </c>
      <c r="B76" s="19">
        <v>0</v>
      </c>
      <c r="C76" s="19">
        <v>40664.700181800057</v>
      </c>
      <c r="D76" s="19">
        <v>0</v>
      </c>
      <c r="E76" s="19">
        <v>40003.43699117472</v>
      </c>
      <c r="F76" s="19">
        <v>40664.700181800057</v>
      </c>
      <c r="G76" s="19">
        <v>40003.43699117472</v>
      </c>
    </row>
    <row r="77" spans="1:7" ht="11.25" customHeight="1" x14ac:dyDescent="0.2">
      <c r="A77" s="29">
        <v>44531</v>
      </c>
      <c r="B77" s="19">
        <v>0</v>
      </c>
      <c r="C77" s="19">
        <v>37545.342889199994</v>
      </c>
      <c r="D77" s="19">
        <v>0</v>
      </c>
      <c r="E77" s="19">
        <v>36934.804679867608</v>
      </c>
      <c r="F77" s="19">
        <v>37545.342889199994</v>
      </c>
      <c r="G77" s="19">
        <v>36934.804679867608</v>
      </c>
    </row>
    <row r="78" spans="1:7" ht="11.25" customHeight="1" x14ac:dyDescent="0.2">
      <c r="A78" s="29">
        <v>44562</v>
      </c>
      <c r="B78" s="19">
        <v>0</v>
      </c>
      <c r="C78" s="19">
        <v>41367.787363200041</v>
      </c>
      <c r="D78" s="19">
        <v>0</v>
      </c>
      <c r="E78" s="19">
        <v>40695.091021198161</v>
      </c>
      <c r="F78" s="19">
        <v>41367.787363200041</v>
      </c>
      <c r="G78" s="19">
        <v>40695.091021198161</v>
      </c>
    </row>
    <row r="79" spans="1:7" ht="11.25" customHeight="1" x14ac:dyDescent="0.2">
      <c r="A79" s="29">
        <v>44593</v>
      </c>
      <c r="B79" s="19">
        <v>0</v>
      </c>
      <c r="C79" s="19">
        <v>37216.108037999991</v>
      </c>
      <c r="D79" s="19">
        <v>0</v>
      </c>
      <c r="E79" s="19">
        <v>36610.923633987608</v>
      </c>
      <c r="F79" s="19">
        <v>37216.108037999991</v>
      </c>
      <c r="G79" s="19">
        <v>36610.923633987608</v>
      </c>
    </row>
    <row r="80" spans="1:7" ht="11.25" customHeight="1" x14ac:dyDescent="0.2">
      <c r="A80" s="29">
        <v>44621</v>
      </c>
      <c r="B80" s="19">
        <v>0</v>
      </c>
      <c r="C80" s="19">
        <v>36334.257766200004</v>
      </c>
      <c r="D80" s="19">
        <v>0</v>
      </c>
      <c r="E80" s="19">
        <v>35743.413443923797</v>
      </c>
      <c r="F80" s="19">
        <v>36334.257766200004</v>
      </c>
      <c r="G80" s="19">
        <v>35743.413443923797</v>
      </c>
    </row>
    <row r="81" spans="1:7" ht="11.25" customHeight="1" x14ac:dyDescent="0.2">
      <c r="A81" s="29">
        <v>44652</v>
      </c>
      <c r="B81" s="19">
        <v>0</v>
      </c>
      <c r="C81" s="19">
        <v>40579.368107999966</v>
      </c>
      <c r="D81" s="19">
        <v>0</v>
      </c>
      <c r="E81" s="19">
        <v>39919.492532655982</v>
      </c>
      <c r="F81" s="19">
        <v>40579.368107999966</v>
      </c>
      <c r="G81" s="19">
        <v>39919.492532655982</v>
      </c>
    </row>
    <row r="82" spans="1:7" ht="11.25" customHeight="1" x14ac:dyDescent="0.2">
      <c r="A82" s="29">
        <v>44682</v>
      </c>
      <c r="B82" s="19">
        <v>0</v>
      </c>
      <c r="C82" s="19">
        <v>39098.214392400027</v>
      </c>
      <c r="D82" s="19">
        <v>0</v>
      </c>
      <c r="E82" s="19">
        <v>38462.424385802529</v>
      </c>
      <c r="F82" s="19">
        <v>39098.214392400027</v>
      </c>
      <c r="G82" s="19">
        <v>38462.424385802529</v>
      </c>
    </row>
    <row r="83" spans="1:7" ht="11.25" customHeight="1" x14ac:dyDescent="0.2">
      <c r="A83" s="29">
        <v>44713</v>
      </c>
      <c r="B83" s="19">
        <v>0</v>
      </c>
      <c r="C83" s="19">
        <v>40633.330520999967</v>
      </c>
      <c r="D83" s="19">
        <v>0</v>
      </c>
      <c r="E83" s="19">
        <v>39972.577443615271</v>
      </c>
      <c r="F83" s="19">
        <v>40633.330520999967</v>
      </c>
      <c r="G83" s="19">
        <v>39972.577443615271</v>
      </c>
    </row>
    <row r="84" spans="1:7" ht="11.25" customHeight="1" x14ac:dyDescent="0.2">
      <c r="A84" s="29">
        <v>44743</v>
      </c>
      <c r="B84" s="19">
        <v>0</v>
      </c>
      <c r="C84" s="19">
        <v>40633.330520999967</v>
      </c>
      <c r="D84" s="19">
        <v>0</v>
      </c>
      <c r="E84" s="19">
        <v>39972.577443615271</v>
      </c>
      <c r="F84" s="19">
        <v>40633.330520999967</v>
      </c>
      <c r="G84" s="19">
        <v>39972.577443615271</v>
      </c>
    </row>
    <row r="85" spans="1:7" ht="11.25" customHeight="1" x14ac:dyDescent="0.2">
      <c r="A85" s="28" t="s">
        <v>25</v>
      </c>
      <c r="B85" s="19">
        <v>451791.57600000012</v>
      </c>
      <c r="C85" s="19">
        <v>0</v>
      </c>
      <c r="D85" s="19">
        <v>497828.09141040104</v>
      </c>
      <c r="E85" s="19">
        <v>0</v>
      </c>
      <c r="F85" s="19">
        <v>451791.57600000012</v>
      </c>
      <c r="G85" s="19">
        <v>497828.09141040104</v>
      </c>
    </row>
    <row r="86" spans="1:7" ht="11.25" customHeight="1" x14ac:dyDescent="0.2">
      <c r="A86" s="29">
        <v>44409</v>
      </c>
      <c r="B86" s="19">
        <v>38087.172000000006</v>
      </c>
      <c r="C86" s="19">
        <v>0</v>
      </c>
      <c r="D86" s="19">
        <v>41968.166630844105</v>
      </c>
      <c r="E86" s="19">
        <v>0</v>
      </c>
      <c r="F86" s="19">
        <v>38087.172000000006</v>
      </c>
      <c r="G86" s="19">
        <v>41968.166630844105</v>
      </c>
    </row>
    <row r="87" spans="1:7" ht="11.25" customHeight="1" x14ac:dyDescent="0.2">
      <c r="A87" s="29">
        <v>44440</v>
      </c>
      <c r="B87" s="19">
        <v>37276.973999999995</v>
      </c>
      <c r="C87" s="19">
        <v>0</v>
      </c>
      <c r="D87" s="19">
        <v>41075.411330766241</v>
      </c>
      <c r="E87" s="19">
        <v>0</v>
      </c>
      <c r="F87" s="19">
        <v>37276.973999999995</v>
      </c>
      <c r="G87" s="19">
        <v>41075.411330766241</v>
      </c>
    </row>
    <row r="88" spans="1:7" ht="11.25" customHeight="1" x14ac:dyDescent="0.2">
      <c r="A88" s="29">
        <v>44470</v>
      </c>
      <c r="B88" s="19">
        <v>37182.582000000009</v>
      </c>
      <c r="C88" s="19">
        <v>0</v>
      </c>
      <c r="D88" s="19">
        <v>40971.401004543593</v>
      </c>
      <c r="E88" s="19">
        <v>0</v>
      </c>
      <c r="F88" s="19">
        <v>37182.582000000009</v>
      </c>
      <c r="G88" s="19">
        <v>40971.401004543593</v>
      </c>
    </row>
    <row r="89" spans="1:7" ht="11.25" customHeight="1" x14ac:dyDescent="0.2">
      <c r="A89" s="29">
        <v>44501</v>
      </c>
      <c r="B89" s="19">
        <v>37143.252000000008</v>
      </c>
      <c r="C89" s="19">
        <v>0</v>
      </c>
      <c r="D89" s="19">
        <v>40928.063368617484</v>
      </c>
      <c r="E89" s="19">
        <v>0</v>
      </c>
      <c r="F89" s="19">
        <v>37143.252000000008</v>
      </c>
      <c r="G89" s="19">
        <v>40928.063368617484</v>
      </c>
    </row>
    <row r="90" spans="1:7" ht="11.25" customHeight="1" x14ac:dyDescent="0.2">
      <c r="A90" s="29">
        <v>44531</v>
      </c>
      <c r="B90" s="19">
        <v>37280.907000000007</v>
      </c>
      <c r="C90" s="19">
        <v>0</v>
      </c>
      <c r="D90" s="19">
        <v>41079.74509435887</v>
      </c>
      <c r="E90" s="19">
        <v>0</v>
      </c>
      <c r="F90" s="19">
        <v>37280.907000000007</v>
      </c>
      <c r="G90" s="19">
        <v>41079.74509435887</v>
      </c>
    </row>
    <row r="91" spans="1:7" ht="11.25" customHeight="1" x14ac:dyDescent="0.2">
      <c r="A91" s="29">
        <v>44562</v>
      </c>
      <c r="B91" s="19">
        <v>37556.217000000011</v>
      </c>
      <c r="C91" s="19">
        <v>0</v>
      </c>
      <c r="D91" s="19">
        <v>41383.108545841635</v>
      </c>
      <c r="E91" s="19">
        <v>0</v>
      </c>
      <c r="F91" s="19">
        <v>37556.217000000011</v>
      </c>
      <c r="G91" s="19">
        <v>41383.108545841635</v>
      </c>
    </row>
    <row r="92" spans="1:7" ht="11.25" customHeight="1" x14ac:dyDescent="0.2">
      <c r="A92" s="29">
        <v>44593</v>
      </c>
      <c r="B92" s="19">
        <v>37245.509999999995</v>
      </c>
      <c r="C92" s="19">
        <v>0</v>
      </c>
      <c r="D92" s="19">
        <v>41040.741222025361</v>
      </c>
      <c r="E92" s="19">
        <v>0</v>
      </c>
      <c r="F92" s="19">
        <v>37245.509999999995</v>
      </c>
      <c r="G92" s="19">
        <v>41040.741222025361</v>
      </c>
    </row>
    <row r="93" spans="1:7" ht="11.25" customHeight="1" x14ac:dyDescent="0.2">
      <c r="A93" s="29">
        <v>44621</v>
      </c>
      <c r="B93" s="19">
        <v>37233.711000000003</v>
      </c>
      <c r="C93" s="19">
        <v>0</v>
      </c>
      <c r="D93" s="19">
        <v>41027.739931247532</v>
      </c>
      <c r="E93" s="19">
        <v>0</v>
      </c>
      <c r="F93" s="19">
        <v>37233.711000000003</v>
      </c>
      <c r="G93" s="19">
        <v>41027.739931247532</v>
      </c>
    </row>
    <row r="94" spans="1:7" ht="11.25" customHeight="1" x14ac:dyDescent="0.2">
      <c r="A94" s="29">
        <v>44652</v>
      </c>
      <c r="B94" s="19">
        <v>38118.636000000028</v>
      </c>
      <c r="C94" s="19">
        <v>0</v>
      </c>
      <c r="D94" s="19">
        <v>42002.836739585015</v>
      </c>
      <c r="E94" s="19">
        <v>0</v>
      </c>
      <c r="F94" s="19">
        <v>38118.636000000028</v>
      </c>
      <c r="G94" s="19">
        <v>42002.836739585015</v>
      </c>
    </row>
    <row r="95" spans="1:7" ht="11.25" customHeight="1" x14ac:dyDescent="0.2">
      <c r="A95" s="29">
        <v>44682</v>
      </c>
      <c r="B95" s="19">
        <v>38240.559000000016</v>
      </c>
      <c r="C95" s="19">
        <v>0</v>
      </c>
      <c r="D95" s="19">
        <v>42137.183410955942</v>
      </c>
      <c r="E95" s="19">
        <v>0</v>
      </c>
      <c r="F95" s="19">
        <v>38240.559000000016</v>
      </c>
      <c r="G95" s="19">
        <v>42137.183410955942</v>
      </c>
    </row>
    <row r="96" spans="1:7" ht="11.25" customHeight="1" x14ac:dyDescent="0.2">
      <c r="A96" s="29">
        <v>44713</v>
      </c>
      <c r="B96" s="19">
        <v>38213.027999999991</v>
      </c>
      <c r="C96" s="19">
        <v>0</v>
      </c>
      <c r="D96" s="19">
        <v>42106.847065807633</v>
      </c>
      <c r="E96" s="19">
        <v>0</v>
      </c>
      <c r="F96" s="19">
        <v>38213.027999999991</v>
      </c>
      <c r="G96" s="19">
        <v>42106.847065807633</v>
      </c>
    </row>
    <row r="97" spans="1:7" ht="11.25" customHeight="1" x14ac:dyDescent="0.2">
      <c r="A97" s="29">
        <v>44743</v>
      </c>
      <c r="B97" s="19">
        <v>38213.027999999991</v>
      </c>
      <c r="C97" s="19">
        <v>0</v>
      </c>
      <c r="D97" s="19">
        <v>42106.847065807633</v>
      </c>
      <c r="E97" s="19">
        <v>0</v>
      </c>
      <c r="F97" s="19">
        <v>38213.027999999991</v>
      </c>
      <c r="G97" s="19">
        <v>42106.847065807633</v>
      </c>
    </row>
    <row r="98" spans="1:7" ht="11.25" customHeight="1" x14ac:dyDescent="0.2">
      <c r="A98" s="28" t="s">
        <v>34</v>
      </c>
      <c r="B98" s="19">
        <v>0</v>
      </c>
      <c r="C98" s="19">
        <v>254043.63636960002</v>
      </c>
      <c r="D98" s="19">
        <v>0</v>
      </c>
      <c r="E98" s="19">
        <v>268002.26219387754</v>
      </c>
      <c r="F98" s="19">
        <v>254043.63636960002</v>
      </c>
      <c r="G98" s="19">
        <v>268002.26219387754</v>
      </c>
    </row>
    <row r="99" spans="1:7" ht="11.25" customHeight="1" x14ac:dyDescent="0.2">
      <c r="A99" s="29">
        <v>44409</v>
      </c>
      <c r="B99" s="19">
        <v>0</v>
      </c>
      <c r="C99" s="19">
        <v>21946.331614199997</v>
      </c>
      <c r="D99" s="19">
        <v>0</v>
      </c>
      <c r="E99" s="19">
        <v>23152.189928920558</v>
      </c>
      <c r="F99" s="19">
        <v>21946.331614199997</v>
      </c>
      <c r="G99" s="19">
        <v>23152.189928920558</v>
      </c>
    </row>
    <row r="100" spans="1:7" ht="11.25" customHeight="1" x14ac:dyDescent="0.2">
      <c r="A100" s="29">
        <v>44440</v>
      </c>
      <c r="B100" s="19">
        <v>0</v>
      </c>
      <c r="C100" s="19">
        <v>20313.654832799992</v>
      </c>
      <c r="D100" s="19">
        <v>0</v>
      </c>
      <c r="E100" s="19">
        <v>21429.804447829323</v>
      </c>
      <c r="F100" s="19">
        <v>20313.654832799992</v>
      </c>
      <c r="G100" s="19">
        <v>21429.804447829323</v>
      </c>
    </row>
    <row r="101" spans="1:7" ht="11.25" customHeight="1" x14ac:dyDescent="0.2">
      <c r="A101" s="29">
        <v>44470</v>
      </c>
      <c r="B101" s="19">
        <v>0</v>
      </c>
      <c r="C101" s="19">
        <v>20188.941506999989</v>
      </c>
      <c r="D101" s="19">
        <v>0</v>
      </c>
      <c r="E101" s="19">
        <v>21298.238651032523</v>
      </c>
      <c r="F101" s="19">
        <v>20188.941506999989</v>
      </c>
      <c r="G101" s="19">
        <v>21298.238651032523</v>
      </c>
    </row>
    <row r="102" spans="1:7" ht="11.25" customHeight="1" x14ac:dyDescent="0.2">
      <c r="A102" s="29">
        <v>44501</v>
      </c>
      <c r="B102" s="19">
        <v>0</v>
      </c>
      <c r="C102" s="19">
        <v>20857.189302600003</v>
      </c>
      <c r="D102" s="19">
        <v>0</v>
      </c>
      <c r="E102" s="19">
        <v>22003.203843178962</v>
      </c>
      <c r="F102" s="19">
        <v>20857.189302600003</v>
      </c>
      <c r="G102" s="19">
        <v>22003.203843178962</v>
      </c>
    </row>
    <row r="103" spans="1:7" ht="11.25" customHeight="1" x14ac:dyDescent="0.2">
      <c r="A103" s="29">
        <v>44531</v>
      </c>
      <c r="B103" s="19">
        <v>0</v>
      </c>
      <c r="C103" s="19">
        <v>21166.536405000028</v>
      </c>
      <c r="D103" s="19">
        <v>0</v>
      </c>
      <c r="E103" s="19">
        <v>22329.548263496235</v>
      </c>
      <c r="F103" s="19">
        <v>21166.536405000028</v>
      </c>
      <c r="G103" s="19">
        <v>22329.548263496235</v>
      </c>
    </row>
    <row r="104" spans="1:7" ht="11.25" customHeight="1" x14ac:dyDescent="0.2">
      <c r="A104" s="29">
        <v>44562</v>
      </c>
      <c r="B104" s="19">
        <v>0</v>
      </c>
      <c r="C104" s="19">
        <v>22704.252748799994</v>
      </c>
      <c r="D104" s="19">
        <v>0</v>
      </c>
      <c r="E104" s="19">
        <v>23951.755631648219</v>
      </c>
      <c r="F104" s="19">
        <v>22704.252748799994</v>
      </c>
      <c r="G104" s="19">
        <v>23951.755631648219</v>
      </c>
    </row>
    <row r="105" spans="1:7" ht="11.25" customHeight="1" x14ac:dyDescent="0.2">
      <c r="A105" s="29">
        <v>44593</v>
      </c>
      <c r="B105" s="19">
        <v>0</v>
      </c>
      <c r="C105" s="19">
        <v>20241.397818599991</v>
      </c>
      <c r="D105" s="19">
        <v>0</v>
      </c>
      <c r="E105" s="19">
        <v>21353.577215603749</v>
      </c>
      <c r="F105" s="19">
        <v>20241.397818599991</v>
      </c>
      <c r="G105" s="19">
        <v>21353.577215603749</v>
      </c>
    </row>
    <row r="106" spans="1:7" ht="11.25" customHeight="1" x14ac:dyDescent="0.2">
      <c r="A106" s="29">
        <v>44621</v>
      </c>
      <c r="B106" s="19">
        <v>0</v>
      </c>
      <c r="C106" s="19">
        <v>19942.31390760003</v>
      </c>
      <c r="D106" s="19">
        <v>0</v>
      </c>
      <c r="E106" s="19">
        <v>21038.059905746137</v>
      </c>
      <c r="F106" s="19">
        <v>19942.31390760003</v>
      </c>
      <c r="G106" s="19">
        <v>21038.059905746137</v>
      </c>
    </row>
    <row r="107" spans="1:7" ht="11.25" customHeight="1" x14ac:dyDescent="0.2">
      <c r="A107" s="29">
        <v>44652</v>
      </c>
      <c r="B107" s="19">
        <v>0</v>
      </c>
      <c r="C107" s="19">
        <v>20452.570756800036</v>
      </c>
      <c r="D107" s="19">
        <v>0</v>
      </c>
      <c r="E107" s="19">
        <v>21576.3532156662</v>
      </c>
      <c r="F107" s="19">
        <v>20452.570756800036</v>
      </c>
      <c r="G107" s="19">
        <v>21576.3532156662</v>
      </c>
    </row>
    <row r="108" spans="1:7" ht="11.25" customHeight="1" x14ac:dyDescent="0.2">
      <c r="A108" s="29">
        <v>44682</v>
      </c>
      <c r="B108" s="19">
        <v>0</v>
      </c>
      <c r="C108" s="19">
        <v>21687.989463000005</v>
      </c>
      <c r="D108" s="19">
        <v>0</v>
      </c>
      <c r="E108" s="19">
        <v>22879.652966644906</v>
      </c>
      <c r="F108" s="19">
        <v>21687.989463000005</v>
      </c>
      <c r="G108" s="19">
        <v>22879.652966644906</v>
      </c>
    </row>
    <row r="109" spans="1:7" ht="11.25" customHeight="1" x14ac:dyDescent="0.2">
      <c r="A109" s="29">
        <v>44713</v>
      </c>
      <c r="B109" s="19">
        <v>0</v>
      </c>
      <c r="C109" s="19">
        <v>22271.229006599999</v>
      </c>
      <c r="D109" s="19">
        <v>0</v>
      </c>
      <c r="E109" s="19">
        <v>23494.939062055357</v>
      </c>
      <c r="F109" s="19">
        <v>22271.229006599999</v>
      </c>
      <c r="G109" s="19">
        <v>23494.939062055357</v>
      </c>
    </row>
    <row r="110" spans="1:7" ht="11.25" customHeight="1" x14ac:dyDescent="0.2">
      <c r="A110" s="29">
        <v>44743</v>
      </c>
      <c r="B110" s="19">
        <v>0</v>
      </c>
      <c r="C110" s="19">
        <v>22271.229006599999</v>
      </c>
      <c r="D110" s="19">
        <v>0</v>
      </c>
      <c r="E110" s="19">
        <v>23494.939062055357</v>
      </c>
      <c r="F110" s="19">
        <v>22271.229006599999</v>
      </c>
      <c r="G110" s="19">
        <v>23494.939062055357</v>
      </c>
    </row>
    <row r="111" spans="1:7" ht="11.25" customHeight="1" x14ac:dyDescent="0.2">
      <c r="A111" s="22" t="s">
        <v>37</v>
      </c>
      <c r="B111" s="19">
        <v>0</v>
      </c>
      <c r="C111" s="19">
        <v>1023931.3540992001</v>
      </c>
      <c r="D111" s="19">
        <v>0</v>
      </c>
      <c r="E111" s="19">
        <v>1056427.5264017074</v>
      </c>
      <c r="F111" s="19">
        <v>1023931.3540992001</v>
      </c>
      <c r="G111" s="19">
        <v>1056427.5264017074</v>
      </c>
    </row>
    <row r="112" spans="1:7" ht="11.25" customHeight="1" x14ac:dyDescent="0.2">
      <c r="A112" s="23" t="s">
        <v>23</v>
      </c>
      <c r="B112" s="19">
        <v>0</v>
      </c>
      <c r="C112" s="19">
        <v>1023931.3540992001</v>
      </c>
      <c r="D112" s="19">
        <v>0</v>
      </c>
      <c r="E112" s="19">
        <v>1056427.5264017074</v>
      </c>
      <c r="F112" s="19">
        <v>1023931.3540992001</v>
      </c>
      <c r="G112" s="19">
        <v>1056427.5264017074</v>
      </c>
    </row>
    <row r="113" spans="1:7" ht="11.25" customHeight="1" x14ac:dyDescent="0.2">
      <c r="A113" s="24" t="s">
        <v>50</v>
      </c>
      <c r="B113" s="19">
        <v>0</v>
      </c>
      <c r="C113" s="19">
        <v>1023931.3540992001</v>
      </c>
      <c r="D113" s="19">
        <v>0</v>
      </c>
      <c r="E113" s="19">
        <v>1056427.5264017074</v>
      </c>
      <c r="F113" s="19">
        <v>1023931.3540992001</v>
      </c>
      <c r="G113" s="19">
        <v>1056427.5264017074</v>
      </c>
    </row>
    <row r="114" spans="1:7" ht="11.25" customHeight="1" x14ac:dyDescent="0.2">
      <c r="A114" s="25" t="s">
        <v>51</v>
      </c>
      <c r="B114" s="19">
        <v>0</v>
      </c>
      <c r="C114" s="19">
        <v>1023931.3540992001</v>
      </c>
      <c r="D114" s="19">
        <v>0</v>
      </c>
      <c r="E114" s="19">
        <v>1056427.5264017074</v>
      </c>
      <c r="F114" s="19">
        <v>1023931.3540992001</v>
      </c>
      <c r="G114" s="19">
        <v>1056427.5264017074</v>
      </c>
    </row>
    <row r="115" spans="1:7" ht="11.25" customHeight="1" x14ac:dyDescent="0.2">
      <c r="A115" s="26" t="s">
        <v>25</v>
      </c>
      <c r="B115" s="19">
        <v>0</v>
      </c>
      <c r="C115" s="19">
        <v>1023931.3540992001</v>
      </c>
      <c r="D115" s="19">
        <v>0</v>
      </c>
      <c r="E115" s="19">
        <v>1056427.5264017074</v>
      </c>
      <c r="F115" s="19">
        <v>1023931.3540992001</v>
      </c>
      <c r="G115" s="19">
        <v>1056427.5264017074</v>
      </c>
    </row>
    <row r="116" spans="1:7" ht="11.25" customHeight="1" x14ac:dyDescent="0.2">
      <c r="A116" s="27" t="s">
        <v>25</v>
      </c>
      <c r="B116" s="19">
        <v>0</v>
      </c>
      <c r="C116" s="19">
        <v>1023931.3540992001</v>
      </c>
      <c r="D116" s="19">
        <v>0</v>
      </c>
      <c r="E116" s="19">
        <v>1056427.5264017074</v>
      </c>
      <c r="F116" s="19">
        <v>1023931.3540992001</v>
      </c>
      <c r="G116" s="19">
        <v>1056427.5264017074</v>
      </c>
    </row>
    <row r="117" spans="1:7" ht="11.25" customHeight="1" x14ac:dyDescent="0.2">
      <c r="A117" s="28" t="s">
        <v>25</v>
      </c>
      <c r="B117" s="19">
        <v>0</v>
      </c>
      <c r="C117" s="19">
        <v>1023931.3540992001</v>
      </c>
      <c r="D117" s="19">
        <v>0</v>
      </c>
      <c r="E117" s="19">
        <v>1056427.5264017074</v>
      </c>
      <c r="F117" s="19">
        <v>1023931.3540992001</v>
      </c>
      <c r="G117" s="19">
        <v>1056427.5264017074</v>
      </c>
    </row>
    <row r="118" spans="1:7" ht="11.25" customHeight="1" x14ac:dyDescent="0.2">
      <c r="A118" s="29">
        <v>44409</v>
      </c>
      <c r="B118" s="19">
        <v>0</v>
      </c>
      <c r="C118" s="19">
        <v>88894.221779999949</v>
      </c>
      <c r="D118" s="19">
        <v>0</v>
      </c>
      <c r="E118" s="19">
        <v>91715.428432277462</v>
      </c>
      <c r="F118" s="19">
        <v>88894.221779999949</v>
      </c>
      <c r="G118" s="19">
        <v>91715.428432277462</v>
      </c>
    </row>
    <row r="119" spans="1:7" ht="11.25" customHeight="1" x14ac:dyDescent="0.2">
      <c r="A119" s="29">
        <v>44440</v>
      </c>
      <c r="B119" s="19">
        <v>0</v>
      </c>
      <c r="C119" s="19">
        <v>87148.911268800031</v>
      </c>
      <c r="D119" s="19">
        <v>0</v>
      </c>
      <c r="E119" s="19">
        <v>89914.72757594721</v>
      </c>
      <c r="F119" s="19">
        <v>87148.911268800031</v>
      </c>
      <c r="G119" s="19">
        <v>89914.72757594721</v>
      </c>
    </row>
    <row r="120" spans="1:7" ht="11.25" customHeight="1" x14ac:dyDescent="0.2">
      <c r="A120" s="29">
        <v>44470</v>
      </c>
      <c r="B120" s="19">
        <v>0</v>
      </c>
      <c r="C120" s="19">
        <v>86205.431455200131</v>
      </c>
      <c r="D120" s="19">
        <v>0</v>
      </c>
      <c r="E120" s="19">
        <v>88941.304854100643</v>
      </c>
      <c r="F120" s="19">
        <v>86205.431455200131</v>
      </c>
      <c r="G120" s="19">
        <v>88941.304854100643</v>
      </c>
    </row>
    <row r="121" spans="1:7" ht="11.25" customHeight="1" x14ac:dyDescent="0.2">
      <c r="A121" s="29">
        <v>44501</v>
      </c>
      <c r="B121" s="19">
        <v>0</v>
      </c>
      <c r="C121" s="19">
        <v>86698.141161599924</v>
      </c>
      <c r="D121" s="19">
        <v>0</v>
      </c>
      <c r="E121" s="19">
        <v>89449.651526250324</v>
      </c>
      <c r="F121" s="19">
        <v>86698.141161599924</v>
      </c>
      <c r="G121" s="19">
        <v>89449.651526250324</v>
      </c>
    </row>
    <row r="122" spans="1:7" ht="11.25" customHeight="1" x14ac:dyDescent="0.2">
      <c r="A122" s="29">
        <v>44531</v>
      </c>
      <c r="B122" s="19">
        <v>0</v>
      </c>
      <c r="C122" s="19">
        <v>95164.603735200129</v>
      </c>
      <c r="D122" s="19">
        <v>0</v>
      </c>
      <c r="E122" s="19">
        <v>98184.811435353535</v>
      </c>
      <c r="F122" s="19">
        <v>95164.603735200129</v>
      </c>
      <c r="G122" s="19">
        <v>98184.811435353535</v>
      </c>
    </row>
    <row r="123" spans="1:7" ht="11.25" customHeight="1" x14ac:dyDescent="0.2">
      <c r="A123" s="29">
        <v>44562</v>
      </c>
      <c r="B123" s="19">
        <v>0</v>
      </c>
      <c r="C123" s="19">
        <v>83493.719402399962</v>
      </c>
      <c r="D123" s="19">
        <v>0</v>
      </c>
      <c r="E123" s="19">
        <v>86143.532088587846</v>
      </c>
      <c r="F123" s="19">
        <v>83493.719402399962</v>
      </c>
      <c r="G123" s="19">
        <v>86143.532088587846</v>
      </c>
    </row>
    <row r="124" spans="1:7" ht="11.25" customHeight="1" x14ac:dyDescent="0.2">
      <c r="A124" s="29">
        <v>44593</v>
      </c>
      <c r="B124" s="19">
        <v>0</v>
      </c>
      <c r="C124" s="19">
        <v>80812.414454399826</v>
      </c>
      <c r="D124" s="19">
        <v>0</v>
      </c>
      <c r="E124" s="19">
        <v>83377.131448149972</v>
      </c>
      <c r="F124" s="19">
        <v>80812.414454399826</v>
      </c>
      <c r="G124" s="19">
        <v>83377.131448149972</v>
      </c>
    </row>
    <row r="125" spans="1:7" ht="11.25" customHeight="1" x14ac:dyDescent="0.2">
      <c r="A125" s="29">
        <v>44621</v>
      </c>
      <c r="B125" s="19">
        <v>0</v>
      </c>
      <c r="C125" s="19">
        <v>86543.634388799954</v>
      </c>
      <c r="D125" s="19">
        <v>0</v>
      </c>
      <c r="E125" s="19">
        <v>89290.241222866287</v>
      </c>
      <c r="F125" s="19">
        <v>86543.634388799954</v>
      </c>
      <c r="G125" s="19">
        <v>89290.241222866287</v>
      </c>
    </row>
    <row r="126" spans="1:7" ht="11.25" customHeight="1" x14ac:dyDescent="0.2">
      <c r="A126" s="29">
        <v>44652</v>
      </c>
      <c r="B126" s="19">
        <v>0</v>
      </c>
      <c r="C126" s="19">
        <v>83777.877199199836</v>
      </c>
      <c r="D126" s="19">
        <v>0</v>
      </c>
      <c r="E126" s="19">
        <v>86436.708107838786</v>
      </c>
      <c r="F126" s="19">
        <v>83777.877199199836</v>
      </c>
      <c r="G126" s="19">
        <v>86436.708107838786</v>
      </c>
    </row>
    <row r="127" spans="1:7" ht="11.25" customHeight="1" x14ac:dyDescent="0.2">
      <c r="A127" s="29">
        <v>44682</v>
      </c>
      <c r="B127" s="19">
        <v>0</v>
      </c>
      <c r="C127" s="19">
        <v>85474.944635999942</v>
      </c>
      <c r="D127" s="19">
        <v>0</v>
      </c>
      <c r="E127" s="19">
        <v>88187.634815198864</v>
      </c>
      <c r="F127" s="19">
        <v>85474.944635999942</v>
      </c>
      <c r="G127" s="19">
        <v>88187.634815198864</v>
      </c>
    </row>
    <row r="128" spans="1:7" ht="11.25" customHeight="1" x14ac:dyDescent="0.2">
      <c r="A128" s="29">
        <v>44713</v>
      </c>
      <c r="B128" s="19">
        <v>0</v>
      </c>
      <c r="C128" s="19">
        <v>79858.727308800182</v>
      </c>
      <c r="D128" s="19">
        <v>0</v>
      </c>
      <c r="E128" s="19">
        <v>82393.177447568276</v>
      </c>
      <c r="F128" s="19">
        <v>79858.727308800182</v>
      </c>
      <c r="G128" s="19">
        <v>82393.177447568276</v>
      </c>
    </row>
    <row r="129" spans="1:7" ht="11.25" customHeight="1" x14ac:dyDescent="0.2">
      <c r="A129" s="29">
        <v>44743</v>
      </c>
      <c r="B129" s="19">
        <v>0</v>
      </c>
      <c r="C129" s="19">
        <v>79858.727308800182</v>
      </c>
      <c r="D129" s="19">
        <v>0</v>
      </c>
      <c r="E129" s="19">
        <v>82393.177447568276</v>
      </c>
      <c r="F129" s="19">
        <v>79858.727308800182</v>
      </c>
      <c r="G129" s="19">
        <v>82393.177447568276</v>
      </c>
    </row>
    <row r="130" spans="1:7" ht="11.25" customHeight="1" x14ac:dyDescent="0.2">
      <c r="A130" s="21" t="s">
        <v>1002</v>
      </c>
      <c r="B130" s="19">
        <v>0</v>
      </c>
      <c r="C130" s="19">
        <v>125288623.43489999</v>
      </c>
      <c r="D130" s="19">
        <v>0</v>
      </c>
      <c r="E130" s="19">
        <v>123269140.44197583</v>
      </c>
      <c r="F130" s="19">
        <v>125288623.43489996</v>
      </c>
      <c r="G130" s="19">
        <v>123269140.4419758</v>
      </c>
    </row>
    <row r="131" spans="1:7" ht="11.25" customHeight="1" x14ac:dyDescent="0.2">
      <c r="A131" s="22" t="s">
        <v>22</v>
      </c>
      <c r="B131" s="19">
        <v>0</v>
      </c>
      <c r="C131" s="19">
        <v>125288623.43489999</v>
      </c>
      <c r="D131" s="19">
        <v>0</v>
      </c>
      <c r="E131" s="19">
        <v>123269140.44197583</v>
      </c>
      <c r="F131" s="19">
        <v>125288623.43489996</v>
      </c>
      <c r="G131" s="19">
        <v>123269140.4419758</v>
      </c>
    </row>
    <row r="132" spans="1:7" ht="11.25" customHeight="1" x14ac:dyDescent="0.2">
      <c r="A132" s="23" t="s">
        <v>23</v>
      </c>
      <c r="B132" s="19">
        <v>0</v>
      </c>
      <c r="C132" s="19">
        <v>125288623.43489999</v>
      </c>
      <c r="D132" s="19">
        <v>0</v>
      </c>
      <c r="E132" s="19">
        <v>123269140.44197583</v>
      </c>
      <c r="F132" s="19">
        <v>125288623.43489996</v>
      </c>
      <c r="G132" s="19">
        <v>123269140.4419758</v>
      </c>
    </row>
    <row r="133" spans="1:7" ht="11.25" customHeight="1" x14ac:dyDescent="0.2">
      <c r="A133" s="24" t="s">
        <v>24</v>
      </c>
      <c r="B133" s="19">
        <v>0</v>
      </c>
      <c r="C133" s="19">
        <v>125288623.43489999</v>
      </c>
      <c r="D133" s="19">
        <v>0</v>
      </c>
      <c r="E133" s="19">
        <v>123269140.44197583</v>
      </c>
      <c r="F133" s="19">
        <v>125288623.43489996</v>
      </c>
      <c r="G133" s="19">
        <v>123269140.4419758</v>
      </c>
    </row>
    <row r="134" spans="1:7" ht="11.25" customHeight="1" x14ac:dyDescent="0.2">
      <c r="A134" s="25" t="s">
        <v>29</v>
      </c>
      <c r="B134" s="19">
        <v>0</v>
      </c>
      <c r="C134" s="19">
        <v>58133255.91585999</v>
      </c>
      <c r="D134" s="19">
        <v>0</v>
      </c>
      <c r="E134" s="19">
        <v>57196008.510497794</v>
      </c>
      <c r="F134" s="19">
        <v>58133255.915860005</v>
      </c>
      <c r="G134" s="19">
        <v>57196008.510497801</v>
      </c>
    </row>
    <row r="135" spans="1:7" ht="11.25" customHeight="1" x14ac:dyDescent="0.2">
      <c r="A135" s="26" t="s">
        <v>25</v>
      </c>
      <c r="B135" s="19">
        <v>0</v>
      </c>
      <c r="C135" s="19">
        <v>58133255.91585999</v>
      </c>
      <c r="D135" s="19">
        <v>0</v>
      </c>
      <c r="E135" s="19">
        <v>57196008.510497794</v>
      </c>
      <c r="F135" s="19">
        <v>58133255.915860005</v>
      </c>
      <c r="G135" s="19">
        <v>57196008.510497801</v>
      </c>
    </row>
    <row r="136" spans="1:7" ht="11.25" customHeight="1" x14ac:dyDescent="0.2">
      <c r="A136" s="27" t="s">
        <v>25</v>
      </c>
      <c r="B136" s="19">
        <v>0</v>
      </c>
      <c r="C136" s="19">
        <v>58133255.91585999</v>
      </c>
      <c r="D136" s="19">
        <v>0</v>
      </c>
      <c r="E136" s="19">
        <v>57196008.510497794</v>
      </c>
      <c r="F136" s="19">
        <v>58133255.915860005</v>
      </c>
      <c r="G136" s="19">
        <v>57196008.510497801</v>
      </c>
    </row>
    <row r="137" spans="1:7" ht="11.25" customHeight="1" x14ac:dyDescent="0.2">
      <c r="A137" s="28" t="s">
        <v>25</v>
      </c>
      <c r="B137" s="19">
        <v>0</v>
      </c>
      <c r="C137" s="19">
        <v>58133255.91585999</v>
      </c>
      <c r="D137" s="19">
        <v>0</v>
      </c>
      <c r="E137" s="19">
        <v>57196008.510497794</v>
      </c>
      <c r="F137" s="19">
        <v>58133255.915860005</v>
      </c>
      <c r="G137" s="19">
        <v>57196008.510497801</v>
      </c>
    </row>
    <row r="138" spans="1:7" ht="11.25" customHeight="1" x14ac:dyDescent="0.2">
      <c r="A138" s="29">
        <v>44409</v>
      </c>
      <c r="B138" s="19">
        <v>0</v>
      </c>
      <c r="C138" s="19">
        <v>4715646.8106999984</v>
      </c>
      <c r="D138" s="19">
        <v>0</v>
      </c>
      <c r="E138" s="19">
        <v>4639619.2827677941</v>
      </c>
      <c r="F138" s="19">
        <v>4715646.8106999984</v>
      </c>
      <c r="G138" s="19">
        <v>4639619.2827677941</v>
      </c>
    </row>
    <row r="139" spans="1:7" ht="11.25" customHeight="1" x14ac:dyDescent="0.2">
      <c r="A139" s="29">
        <v>44440</v>
      </c>
      <c r="B139" s="19">
        <v>0</v>
      </c>
      <c r="C139" s="19">
        <v>4653087.9680199986</v>
      </c>
      <c r="D139" s="19">
        <v>0</v>
      </c>
      <c r="E139" s="19">
        <v>4578069.0385579905</v>
      </c>
      <c r="F139" s="19">
        <v>4653087.9680199986</v>
      </c>
      <c r="G139" s="19">
        <v>4578069.0385579905</v>
      </c>
    </row>
    <row r="140" spans="1:7" ht="11.25" customHeight="1" x14ac:dyDescent="0.2">
      <c r="A140" s="29">
        <v>44470</v>
      </c>
      <c r="B140" s="19">
        <v>0</v>
      </c>
      <c r="C140" s="19">
        <v>4711022.8083599983</v>
      </c>
      <c r="D140" s="19">
        <v>0</v>
      </c>
      <c r="E140" s="19">
        <v>4635069.8304272266</v>
      </c>
      <c r="F140" s="19">
        <v>4711022.8083599983</v>
      </c>
      <c r="G140" s="19">
        <v>4635069.8304272266</v>
      </c>
    </row>
    <row r="141" spans="1:7" ht="11.25" customHeight="1" x14ac:dyDescent="0.2">
      <c r="A141" s="29">
        <v>44501</v>
      </c>
      <c r="B141" s="19">
        <v>0</v>
      </c>
      <c r="C141" s="19">
        <v>4768750.8300799998</v>
      </c>
      <c r="D141" s="19">
        <v>0</v>
      </c>
      <c r="E141" s="19">
        <v>4691867.138088271</v>
      </c>
      <c r="F141" s="19">
        <v>4768750.8300799998</v>
      </c>
      <c r="G141" s="19">
        <v>4691867.138088271</v>
      </c>
    </row>
    <row r="142" spans="1:7" ht="11.25" customHeight="1" x14ac:dyDescent="0.2">
      <c r="A142" s="29">
        <v>44531</v>
      </c>
      <c r="B142" s="19">
        <v>0</v>
      </c>
      <c r="C142" s="19">
        <v>4747409.5306999991</v>
      </c>
      <c r="D142" s="19">
        <v>0</v>
      </c>
      <c r="E142" s="19">
        <v>4670869.9116000412</v>
      </c>
      <c r="F142" s="19">
        <v>4747409.5306999991</v>
      </c>
      <c r="G142" s="19">
        <v>4670869.9116000412</v>
      </c>
    </row>
    <row r="143" spans="1:7" ht="11.25" customHeight="1" x14ac:dyDescent="0.2">
      <c r="A143" s="29">
        <v>44562</v>
      </c>
      <c r="B143" s="19">
        <v>0</v>
      </c>
      <c r="C143" s="19">
        <v>4760156.8486799989</v>
      </c>
      <c r="D143" s="19">
        <v>0</v>
      </c>
      <c r="E143" s="19">
        <v>4683411.7122644559</v>
      </c>
      <c r="F143" s="19">
        <v>4760156.8486799989</v>
      </c>
      <c r="G143" s="19">
        <v>4683411.7122644559</v>
      </c>
    </row>
    <row r="144" spans="1:7" ht="11.25" customHeight="1" x14ac:dyDescent="0.2">
      <c r="A144" s="29">
        <v>44593</v>
      </c>
      <c r="B144" s="19">
        <v>0</v>
      </c>
      <c r="C144" s="19">
        <v>4858762.4082199987</v>
      </c>
      <c r="D144" s="19">
        <v>0</v>
      </c>
      <c r="E144" s="19">
        <v>4780427.5138702542</v>
      </c>
      <c r="F144" s="19">
        <v>4858762.4082199987</v>
      </c>
      <c r="G144" s="19">
        <v>4780427.5138702542</v>
      </c>
    </row>
    <row r="145" spans="1:7" ht="11.25" customHeight="1" x14ac:dyDescent="0.2">
      <c r="A145" s="29">
        <v>44621</v>
      </c>
      <c r="B145" s="19">
        <v>0</v>
      </c>
      <c r="C145" s="19">
        <v>4946070.1848199992</v>
      </c>
      <c r="D145" s="19">
        <v>0</v>
      </c>
      <c r="E145" s="19">
        <v>4866327.6798728937</v>
      </c>
      <c r="F145" s="19">
        <v>4946070.1848199992</v>
      </c>
      <c r="G145" s="19">
        <v>4866327.6798728937</v>
      </c>
    </row>
    <row r="146" spans="1:7" ht="11.25" customHeight="1" x14ac:dyDescent="0.2">
      <c r="A146" s="29">
        <v>44652</v>
      </c>
      <c r="B146" s="19">
        <v>0</v>
      </c>
      <c r="C146" s="19">
        <v>5001636.5368799986</v>
      </c>
      <c r="D146" s="19">
        <v>0</v>
      </c>
      <c r="E146" s="19">
        <v>4920998.1691694343</v>
      </c>
      <c r="F146" s="19">
        <v>5001636.5368799986</v>
      </c>
      <c r="G146" s="19">
        <v>4920998.1691694343</v>
      </c>
    </row>
    <row r="147" spans="1:7" ht="11.25" customHeight="1" x14ac:dyDescent="0.2">
      <c r="A147" s="29">
        <v>44682</v>
      </c>
      <c r="B147" s="19">
        <v>0</v>
      </c>
      <c r="C147" s="19">
        <v>4957577.3129599998</v>
      </c>
      <c r="D147" s="19">
        <v>0</v>
      </c>
      <c r="E147" s="19">
        <v>4877649.2855297215</v>
      </c>
      <c r="F147" s="19">
        <v>4957577.3129599998</v>
      </c>
      <c r="G147" s="19">
        <v>4877649.2855297215</v>
      </c>
    </row>
    <row r="148" spans="1:7" ht="11.25" customHeight="1" x14ac:dyDescent="0.2">
      <c r="A148" s="29">
        <v>44713</v>
      </c>
      <c r="B148" s="19">
        <v>0</v>
      </c>
      <c r="C148" s="19">
        <v>5006567.3382199993</v>
      </c>
      <c r="D148" s="19">
        <v>0</v>
      </c>
      <c r="E148" s="19">
        <v>4925849.4741748581</v>
      </c>
      <c r="F148" s="19">
        <v>5006567.3382199993</v>
      </c>
      <c r="G148" s="19">
        <v>4925849.4741748581</v>
      </c>
    </row>
    <row r="149" spans="1:7" ht="11.25" customHeight="1" x14ac:dyDescent="0.2">
      <c r="A149" s="29">
        <v>44743</v>
      </c>
      <c r="B149" s="19">
        <v>0</v>
      </c>
      <c r="C149" s="19">
        <v>5006567.3382199993</v>
      </c>
      <c r="D149" s="19">
        <v>0</v>
      </c>
      <c r="E149" s="19">
        <v>4925849.4741748581</v>
      </c>
      <c r="F149" s="19">
        <v>5006567.3382199993</v>
      </c>
      <c r="G149" s="19">
        <v>4925849.4741748581</v>
      </c>
    </row>
    <row r="150" spans="1:7" ht="11.25" customHeight="1" x14ac:dyDescent="0.2">
      <c r="A150" s="25" t="s">
        <v>30</v>
      </c>
      <c r="B150" s="19">
        <v>0</v>
      </c>
      <c r="C150" s="19">
        <v>59338875.555359982</v>
      </c>
      <c r="D150" s="19">
        <v>0</v>
      </c>
      <c r="E150" s="19">
        <v>58381381.931251176</v>
      </c>
      <c r="F150" s="19">
        <v>59338875.555359989</v>
      </c>
      <c r="G150" s="19">
        <v>58381381.931251191</v>
      </c>
    </row>
    <row r="151" spans="1:7" ht="11.25" customHeight="1" x14ac:dyDescent="0.2">
      <c r="A151" s="26" t="s">
        <v>25</v>
      </c>
      <c r="B151" s="19">
        <v>0</v>
      </c>
      <c r="C151" s="19">
        <v>59338875.555359982</v>
      </c>
      <c r="D151" s="19">
        <v>0</v>
      </c>
      <c r="E151" s="19">
        <v>58381381.931251176</v>
      </c>
      <c r="F151" s="19">
        <v>59338875.555359989</v>
      </c>
      <c r="G151" s="19">
        <v>58381381.931251191</v>
      </c>
    </row>
    <row r="152" spans="1:7" ht="11.25" customHeight="1" x14ac:dyDescent="0.2">
      <c r="A152" s="27" t="s">
        <v>25</v>
      </c>
      <c r="B152" s="19">
        <v>0</v>
      </c>
      <c r="C152" s="19">
        <v>59338875.555359982</v>
      </c>
      <c r="D152" s="19">
        <v>0</v>
      </c>
      <c r="E152" s="19">
        <v>58381381.931251176</v>
      </c>
      <c r="F152" s="19">
        <v>59338875.555359989</v>
      </c>
      <c r="G152" s="19">
        <v>58381381.931251191</v>
      </c>
    </row>
    <row r="153" spans="1:7" ht="11.25" customHeight="1" x14ac:dyDescent="0.2">
      <c r="A153" s="28" t="s">
        <v>25</v>
      </c>
      <c r="B153" s="19">
        <v>0</v>
      </c>
      <c r="C153" s="19">
        <v>59338875.555359982</v>
      </c>
      <c r="D153" s="19">
        <v>0</v>
      </c>
      <c r="E153" s="19">
        <v>58381381.931251176</v>
      </c>
      <c r="F153" s="19">
        <v>59338875.555359989</v>
      </c>
      <c r="G153" s="19">
        <v>58381381.931251191</v>
      </c>
    </row>
    <row r="154" spans="1:7" ht="11.25" customHeight="1" x14ac:dyDescent="0.2">
      <c r="A154" s="29">
        <v>44409</v>
      </c>
      <c r="B154" s="19">
        <v>0</v>
      </c>
      <c r="C154" s="19">
        <v>4681985.517719999</v>
      </c>
      <c r="D154" s="19">
        <v>0</v>
      </c>
      <c r="E154" s="19">
        <v>4606436.8788314126</v>
      </c>
      <c r="F154" s="19">
        <v>4681985.517719999</v>
      </c>
      <c r="G154" s="19">
        <v>4606436.8788314126</v>
      </c>
    </row>
    <row r="155" spans="1:7" ht="11.25" customHeight="1" x14ac:dyDescent="0.2">
      <c r="A155" s="29">
        <v>44440</v>
      </c>
      <c r="B155" s="19">
        <v>0</v>
      </c>
      <c r="C155" s="19">
        <v>4606141.7552399989</v>
      </c>
      <c r="D155" s="19">
        <v>0</v>
      </c>
      <c r="E155" s="19">
        <v>4531816.9332559863</v>
      </c>
      <c r="F155" s="19">
        <v>4606141.7552399989</v>
      </c>
      <c r="G155" s="19">
        <v>4531816.9332559863</v>
      </c>
    </row>
    <row r="156" spans="1:7" ht="11.25" customHeight="1" x14ac:dyDescent="0.2">
      <c r="A156" s="29">
        <v>44470</v>
      </c>
      <c r="B156" s="19">
        <v>0</v>
      </c>
      <c r="C156" s="19">
        <v>4841686.0216799984</v>
      </c>
      <c r="D156" s="19">
        <v>0</v>
      </c>
      <c r="E156" s="19">
        <v>4763560.4513467643</v>
      </c>
      <c r="F156" s="19">
        <v>4841686.0216799984</v>
      </c>
      <c r="G156" s="19">
        <v>4763560.4513467643</v>
      </c>
    </row>
    <row r="157" spans="1:7" ht="11.25" customHeight="1" x14ac:dyDescent="0.2">
      <c r="A157" s="29">
        <v>44501</v>
      </c>
      <c r="B157" s="19">
        <v>0</v>
      </c>
      <c r="C157" s="19">
        <v>4925432.1473999992</v>
      </c>
      <c r="D157" s="19">
        <v>0</v>
      </c>
      <c r="E157" s="19">
        <v>4845955.2474254426</v>
      </c>
      <c r="F157" s="19">
        <v>4925432.1473999992</v>
      </c>
      <c r="G157" s="19">
        <v>4845955.2474254426</v>
      </c>
    </row>
    <row r="158" spans="1:7" ht="11.25" customHeight="1" x14ac:dyDescent="0.2">
      <c r="A158" s="29">
        <v>44531</v>
      </c>
      <c r="B158" s="19">
        <v>0</v>
      </c>
      <c r="C158" s="19">
        <v>5166727.9891199982</v>
      </c>
      <c r="D158" s="19">
        <v>0</v>
      </c>
      <c r="E158" s="19">
        <v>5083357.5332293818</v>
      </c>
      <c r="F158" s="19">
        <v>5166727.9891199982</v>
      </c>
      <c r="G158" s="19">
        <v>5083357.5332293818</v>
      </c>
    </row>
    <row r="159" spans="1:7" ht="11.25" customHeight="1" x14ac:dyDescent="0.2">
      <c r="A159" s="29">
        <v>44562</v>
      </c>
      <c r="B159" s="19">
        <v>0</v>
      </c>
      <c r="C159" s="19">
        <v>5002599.3008399988</v>
      </c>
      <c r="D159" s="19">
        <v>0</v>
      </c>
      <c r="E159" s="19">
        <v>4921877.2296902565</v>
      </c>
      <c r="F159" s="19">
        <v>5002599.3008399988</v>
      </c>
      <c r="G159" s="19">
        <v>4921877.2296902565</v>
      </c>
    </row>
    <row r="160" spans="1:7" ht="11.25" customHeight="1" x14ac:dyDescent="0.2">
      <c r="A160" s="29">
        <v>44593</v>
      </c>
      <c r="B160" s="19">
        <v>0</v>
      </c>
      <c r="C160" s="19">
        <v>4887249.9415199989</v>
      </c>
      <c r="D160" s="19">
        <v>0</v>
      </c>
      <c r="E160" s="19">
        <v>4808389.1506028241</v>
      </c>
      <c r="F160" s="19">
        <v>4887249.9415199989</v>
      </c>
      <c r="G160" s="19">
        <v>4808389.1506028241</v>
      </c>
    </row>
    <row r="161" spans="1:7" ht="11.25" customHeight="1" x14ac:dyDescent="0.2">
      <c r="A161" s="29">
        <v>44621</v>
      </c>
      <c r="B161" s="19">
        <v>0</v>
      </c>
      <c r="C161" s="19">
        <v>5336375.2487999992</v>
      </c>
      <c r="D161" s="19">
        <v>0</v>
      </c>
      <c r="E161" s="19">
        <v>5250267.3603582792</v>
      </c>
      <c r="F161" s="19">
        <v>5336375.2487999992</v>
      </c>
      <c r="G161" s="19">
        <v>5250267.3603582792</v>
      </c>
    </row>
    <row r="162" spans="1:7" ht="11.25" customHeight="1" x14ac:dyDescent="0.2">
      <c r="A162" s="29">
        <v>44652</v>
      </c>
      <c r="B162" s="19">
        <v>0</v>
      </c>
      <c r="C162" s="19">
        <v>5183676.4114799984</v>
      </c>
      <c r="D162" s="19">
        <v>0</v>
      </c>
      <c r="E162" s="19">
        <v>5100032.4754097108</v>
      </c>
      <c r="F162" s="19">
        <v>5183676.4114799984</v>
      </c>
      <c r="G162" s="19">
        <v>5100032.4754097108</v>
      </c>
    </row>
    <row r="163" spans="1:7" ht="11.25" customHeight="1" x14ac:dyDescent="0.2">
      <c r="A163" s="29">
        <v>44682</v>
      </c>
      <c r="B163" s="19">
        <v>0</v>
      </c>
      <c r="C163" s="19">
        <v>5166913.4593199985</v>
      </c>
      <c r="D163" s="19">
        <v>0</v>
      </c>
      <c r="E163" s="19">
        <v>5083540.0106774587</v>
      </c>
      <c r="F163" s="19">
        <v>5166913.4593199985</v>
      </c>
      <c r="G163" s="19">
        <v>5083540.0106774587</v>
      </c>
    </row>
    <row r="164" spans="1:7" ht="11.25" customHeight="1" x14ac:dyDescent="0.2">
      <c r="A164" s="29">
        <v>44713</v>
      </c>
      <c r="B164" s="19">
        <v>0</v>
      </c>
      <c r="C164" s="19">
        <v>4770043.8811199991</v>
      </c>
      <c r="D164" s="19">
        <v>0</v>
      </c>
      <c r="E164" s="19">
        <v>4693074.3302118331</v>
      </c>
      <c r="F164" s="19">
        <v>4770043.8811199991</v>
      </c>
      <c r="G164" s="19">
        <v>4693074.3302118331</v>
      </c>
    </row>
    <row r="165" spans="1:7" ht="11.25" customHeight="1" x14ac:dyDescent="0.2">
      <c r="A165" s="29">
        <v>44743</v>
      </c>
      <c r="B165" s="19">
        <v>0</v>
      </c>
      <c r="C165" s="19">
        <v>4770043.8811199991</v>
      </c>
      <c r="D165" s="19">
        <v>0</v>
      </c>
      <c r="E165" s="19">
        <v>4693074.3302118331</v>
      </c>
      <c r="F165" s="19">
        <v>4770043.8811199991</v>
      </c>
      <c r="G165" s="19">
        <v>4693074.3302118331</v>
      </c>
    </row>
    <row r="166" spans="1:7" ht="11.25" customHeight="1" x14ac:dyDescent="0.2">
      <c r="A166" s="25" t="s">
        <v>31</v>
      </c>
      <c r="B166" s="19">
        <v>0</v>
      </c>
      <c r="C166" s="19">
        <v>7816491.9636799917</v>
      </c>
      <c r="D166" s="19">
        <v>0</v>
      </c>
      <c r="E166" s="19">
        <v>7691750.0002268376</v>
      </c>
      <c r="F166" s="19">
        <v>7816491.9636799917</v>
      </c>
      <c r="G166" s="19">
        <v>7691750.0002268376</v>
      </c>
    </row>
    <row r="167" spans="1:7" ht="11.25" customHeight="1" x14ac:dyDescent="0.2">
      <c r="A167" s="26" t="s">
        <v>25</v>
      </c>
      <c r="B167" s="19">
        <v>0</v>
      </c>
      <c r="C167" s="19">
        <v>7816491.9636799917</v>
      </c>
      <c r="D167" s="19">
        <v>0</v>
      </c>
      <c r="E167" s="19">
        <v>7691750.0002268376</v>
      </c>
      <c r="F167" s="19">
        <v>7816491.9636799917</v>
      </c>
      <c r="G167" s="19">
        <v>7691750.0002268376</v>
      </c>
    </row>
    <row r="168" spans="1:7" ht="11.25" customHeight="1" x14ac:dyDescent="0.2">
      <c r="A168" s="27" t="s">
        <v>25</v>
      </c>
      <c r="B168" s="19">
        <v>0</v>
      </c>
      <c r="C168" s="19">
        <v>7816491.9636799917</v>
      </c>
      <c r="D168" s="19">
        <v>0</v>
      </c>
      <c r="E168" s="19">
        <v>7691750.0002268376</v>
      </c>
      <c r="F168" s="19">
        <v>7816491.9636799917</v>
      </c>
      <c r="G168" s="19">
        <v>7691750.0002268376</v>
      </c>
    </row>
    <row r="169" spans="1:7" ht="11.25" customHeight="1" x14ac:dyDescent="0.2">
      <c r="A169" s="28" t="s">
        <v>25</v>
      </c>
      <c r="B169" s="19">
        <v>0</v>
      </c>
      <c r="C169" s="19">
        <v>7816491.9636799917</v>
      </c>
      <c r="D169" s="19">
        <v>0</v>
      </c>
      <c r="E169" s="19">
        <v>7691750.0002268376</v>
      </c>
      <c r="F169" s="19">
        <v>7816491.9636799917</v>
      </c>
      <c r="G169" s="19">
        <v>7691750.0002268376</v>
      </c>
    </row>
    <row r="170" spans="1:7" ht="11.25" customHeight="1" x14ac:dyDescent="0.2">
      <c r="A170" s="29">
        <v>44409</v>
      </c>
      <c r="B170" s="19">
        <v>0</v>
      </c>
      <c r="C170" s="19">
        <v>575602.10095999949</v>
      </c>
      <c r="D170" s="19">
        <v>0</v>
      </c>
      <c r="E170" s="19">
        <v>566416.17246737843</v>
      </c>
      <c r="F170" s="19">
        <v>575602.10095999949</v>
      </c>
      <c r="G170" s="19">
        <v>566416.17246737843</v>
      </c>
    </row>
    <row r="171" spans="1:7" ht="11.25" customHeight="1" x14ac:dyDescent="0.2">
      <c r="A171" s="29">
        <v>44440</v>
      </c>
      <c r="B171" s="19">
        <v>0</v>
      </c>
      <c r="C171" s="19">
        <v>561030.76591999945</v>
      </c>
      <c r="D171" s="19">
        <v>0</v>
      </c>
      <c r="E171" s="19">
        <v>552077.37869416014</v>
      </c>
      <c r="F171" s="19">
        <v>561030.76591999945</v>
      </c>
      <c r="G171" s="19">
        <v>552077.37869416014</v>
      </c>
    </row>
    <row r="172" spans="1:7" ht="11.25" customHeight="1" x14ac:dyDescent="0.2">
      <c r="A172" s="29">
        <v>44470</v>
      </c>
      <c r="B172" s="19">
        <v>0</v>
      </c>
      <c r="C172" s="19">
        <v>642324.09375999938</v>
      </c>
      <c r="D172" s="19">
        <v>0</v>
      </c>
      <c r="E172" s="19">
        <v>632073.36120616354</v>
      </c>
      <c r="F172" s="19">
        <v>642324.09375999938</v>
      </c>
      <c r="G172" s="19">
        <v>632073.36120616354</v>
      </c>
    </row>
    <row r="173" spans="1:7" ht="11.25" customHeight="1" x14ac:dyDescent="0.2">
      <c r="A173" s="29">
        <v>44501</v>
      </c>
      <c r="B173" s="19">
        <v>0</v>
      </c>
      <c r="C173" s="19">
        <v>648417.4692799995</v>
      </c>
      <c r="D173" s="19">
        <v>0</v>
      </c>
      <c r="E173" s="19">
        <v>638069.49366240122</v>
      </c>
      <c r="F173" s="19">
        <v>648417.4692799995</v>
      </c>
      <c r="G173" s="19">
        <v>638069.49366240122</v>
      </c>
    </row>
    <row r="174" spans="1:7" ht="11.25" customHeight="1" x14ac:dyDescent="0.2">
      <c r="A174" s="29">
        <v>44531</v>
      </c>
      <c r="B174" s="19">
        <v>0</v>
      </c>
      <c r="C174" s="19">
        <v>797668.2764799993</v>
      </c>
      <c r="D174" s="19">
        <v>0</v>
      </c>
      <c r="E174" s="19">
        <v>784938.43456949049</v>
      </c>
      <c r="F174" s="19">
        <v>797668.2764799993</v>
      </c>
      <c r="G174" s="19">
        <v>784938.43456949049</v>
      </c>
    </row>
    <row r="175" spans="1:7" ht="11.25" customHeight="1" x14ac:dyDescent="0.2">
      <c r="A175" s="29">
        <v>44562</v>
      </c>
      <c r="B175" s="19">
        <v>0</v>
      </c>
      <c r="C175" s="19">
        <v>707165.06895999948</v>
      </c>
      <c r="D175" s="19">
        <v>0</v>
      </c>
      <c r="E175" s="19">
        <v>695879.55116026942</v>
      </c>
      <c r="F175" s="19">
        <v>707165.06895999948</v>
      </c>
      <c r="G175" s="19">
        <v>695879.55116026942</v>
      </c>
    </row>
    <row r="176" spans="1:7" ht="11.25" customHeight="1" x14ac:dyDescent="0.2">
      <c r="A176" s="29">
        <v>44593</v>
      </c>
      <c r="B176" s="19">
        <v>0</v>
      </c>
      <c r="C176" s="19">
        <v>617009.69423999952</v>
      </c>
      <c r="D176" s="19">
        <v>0</v>
      </c>
      <c r="E176" s="19">
        <v>607162.94955110818</v>
      </c>
      <c r="F176" s="19">
        <v>617009.69423999952</v>
      </c>
      <c r="G176" s="19">
        <v>607162.94955110818</v>
      </c>
    </row>
    <row r="177" spans="1:7" ht="11.25" customHeight="1" x14ac:dyDescent="0.2">
      <c r="A177" s="29">
        <v>44621</v>
      </c>
      <c r="B177" s="19">
        <v>0</v>
      </c>
      <c r="C177" s="19">
        <v>813463.32783999934</v>
      </c>
      <c r="D177" s="19">
        <v>0</v>
      </c>
      <c r="E177" s="19">
        <v>800481.41559811344</v>
      </c>
      <c r="F177" s="19">
        <v>813463.32783999934</v>
      </c>
      <c r="G177" s="19">
        <v>800481.41559811344</v>
      </c>
    </row>
    <row r="178" spans="1:7" ht="11.25" customHeight="1" x14ac:dyDescent="0.2">
      <c r="A178" s="29">
        <v>44652</v>
      </c>
      <c r="B178" s="19">
        <v>0</v>
      </c>
      <c r="C178" s="19">
        <v>708786.58607999934</v>
      </c>
      <c r="D178" s="19">
        <v>0</v>
      </c>
      <c r="E178" s="19">
        <v>697475.19078557473</v>
      </c>
      <c r="F178" s="19">
        <v>708786.58607999934</v>
      </c>
      <c r="G178" s="19">
        <v>697475.19078557473</v>
      </c>
    </row>
    <row r="179" spans="1:7" ht="11.25" customHeight="1" x14ac:dyDescent="0.2">
      <c r="A179" s="29">
        <v>44682</v>
      </c>
      <c r="B179" s="19">
        <v>0</v>
      </c>
      <c r="C179" s="19">
        <v>708984.9590399994</v>
      </c>
      <c r="D179" s="19">
        <v>0</v>
      </c>
      <c r="E179" s="19">
        <v>697670.39794784319</v>
      </c>
      <c r="F179" s="19">
        <v>708984.9590399994</v>
      </c>
      <c r="G179" s="19">
        <v>697670.39794784319</v>
      </c>
    </row>
    <row r="180" spans="1:7" ht="11.25" customHeight="1" x14ac:dyDescent="0.2">
      <c r="A180" s="29">
        <v>44713</v>
      </c>
      <c r="B180" s="19">
        <v>0</v>
      </c>
      <c r="C180" s="19">
        <v>518019.81055999955</v>
      </c>
      <c r="D180" s="19">
        <v>0</v>
      </c>
      <c r="E180" s="19">
        <v>509752.82729216747</v>
      </c>
      <c r="F180" s="19">
        <v>518019.81055999955</v>
      </c>
      <c r="G180" s="19">
        <v>509752.82729216747</v>
      </c>
    </row>
    <row r="181" spans="1:7" ht="11.25" customHeight="1" x14ac:dyDescent="0.2">
      <c r="A181" s="29">
        <v>44743</v>
      </c>
      <c r="B181" s="19">
        <v>0</v>
      </c>
      <c r="C181" s="19">
        <v>518019.81055999955</v>
      </c>
      <c r="D181" s="19">
        <v>0</v>
      </c>
      <c r="E181" s="19">
        <v>509752.82729216747</v>
      </c>
      <c r="F181" s="19">
        <v>518019.81055999955</v>
      </c>
      <c r="G181" s="19">
        <v>509752.82729216747</v>
      </c>
    </row>
    <row r="182" spans="1:7" ht="11.25" customHeight="1" x14ac:dyDescent="0.2">
      <c r="A182" s="25" t="s">
        <v>32</v>
      </c>
      <c r="B182" s="19">
        <v>0</v>
      </c>
      <c r="C182" s="19">
        <v>-1.1206810768271682E-9</v>
      </c>
      <c r="D182" s="19">
        <v>0</v>
      </c>
      <c r="E182" s="19">
        <v>-2.2413621536543364E-9</v>
      </c>
      <c r="F182" s="19">
        <v>-1.1206810768271678E-9</v>
      </c>
      <c r="G182" s="19">
        <v>-2.2413621536543355E-9</v>
      </c>
    </row>
    <row r="183" spans="1:7" ht="11.25" customHeight="1" x14ac:dyDescent="0.2">
      <c r="A183" s="26" t="s">
        <v>25</v>
      </c>
      <c r="B183" s="19">
        <v>0</v>
      </c>
      <c r="C183" s="19">
        <v>-1.1206810768271682E-9</v>
      </c>
      <c r="D183" s="19">
        <v>0</v>
      </c>
      <c r="E183" s="19">
        <v>-2.2413621536543364E-9</v>
      </c>
      <c r="F183" s="19">
        <v>-1.1206810768271678E-9</v>
      </c>
      <c r="G183" s="19">
        <v>-2.2413621536543355E-9</v>
      </c>
    </row>
    <row r="184" spans="1:7" ht="11.25" customHeight="1" x14ac:dyDescent="0.2">
      <c r="A184" s="27" t="s">
        <v>25</v>
      </c>
      <c r="B184" s="19">
        <v>0</v>
      </c>
      <c r="C184" s="19">
        <v>-1.1206810768271682E-9</v>
      </c>
      <c r="D184" s="19">
        <v>0</v>
      </c>
      <c r="E184" s="19">
        <v>-2.2413621536543364E-9</v>
      </c>
      <c r="F184" s="19">
        <v>-1.1206810768271678E-9</v>
      </c>
      <c r="G184" s="19">
        <v>-2.2413621536543355E-9</v>
      </c>
    </row>
    <row r="185" spans="1:7" ht="11.25" customHeight="1" x14ac:dyDescent="0.2">
      <c r="A185" s="28" t="s">
        <v>25</v>
      </c>
      <c r="B185" s="19">
        <v>0</v>
      </c>
      <c r="C185" s="19">
        <v>-1.1206810768271682E-9</v>
      </c>
      <c r="D185" s="19">
        <v>0</v>
      </c>
      <c r="E185" s="19">
        <v>-2.2413621536543364E-9</v>
      </c>
      <c r="F185" s="19">
        <v>-1.1206810768271678E-9</v>
      </c>
      <c r="G185" s="19">
        <v>-2.2413621536543355E-9</v>
      </c>
    </row>
    <row r="186" spans="1:7" ht="11.25" customHeight="1" x14ac:dyDescent="0.2">
      <c r="A186" s="29">
        <v>44409</v>
      </c>
      <c r="B186" s="19">
        <v>0</v>
      </c>
      <c r="C186" s="19">
        <v>-7.3096231290037402E-11</v>
      </c>
      <c r="D186" s="19">
        <v>0</v>
      </c>
      <c r="E186" s="19">
        <v>-1.461924625800748E-10</v>
      </c>
      <c r="F186" s="19">
        <v>-7.3096231290037402E-11</v>
      </c>
      <c r="G186" s="19">
        <v>-1.461924625800748E-10</v>
      </c>
    </row>
    <row r="187" spans="1:7" ht="11.25" customHeight="1" x14ac:dyDescent="0.2">
      <c r="A187" s="29">
        <v>44440</v>
      </c>
      <c r="B187" s="19">
        <v>0</v>
      </c>
      <c r="C187" s="19">
        <v>-7.4099261837545781E-11</v>
      </c>
      <c r="D187" s="19">
        <v>0</v>
      </c>
      <c r="E187" s="19">
        <v>-1.4819852367509156E-10</v>
      </c>
      <c r="F187" s="19">
        <v>-7.4099261837545781E-11</v>
      </c>
      <c r="G187" s="19">
        <v>-1.4819852367509156E-10</v>
      </c>
    </row>
    <row r="188" spans="1:7" ht="11.25" customHeight="1" x14ac:dyDescent="0.2">
      <c r="A188" s="29">
        <v>44470</v>
      </c>
      <c r="B188" s="19">
        <v>0</v>
      </c>
      <c r="C188" s="19">
        <v>-9.4997176347533246E-11</v>
      </c>
      <c r="D188" s="19">
        <v>0</v>
      </c>
      <c r="E188" s="19">
        <v>-1.8999435269506649E-10</v>
      </c>
      <c r="F188" s="19">
        <v>-9.4997176347533246E-11</v>
      </c>
      <c r="G188" s="19">
        <v>-1.8999435269506649E-10</v>
      </c>
    </row>
    <row r="189" spans="1:7" ht="11.25" customHeight="1" x14ac:dyDescent="0.2">
      <c r="A189" s="29">
        <v>44501</v>
      </c>
      <c r="B189" s="19">
        <v>0</v>
      </c>
      <c r="C189" s="19">
        <v>-9.246957688446855E-11</v>
      </c>
      <c r="D189" s="19">
        <v>0</v>
      </c>
      <c r="E189" s="19">
        <v>-1.849391537689371E-10</v>
      </c>
      <c r="F189" s="19">
        <v>-9.246957688446855E-11</v>
      </c>
      <c r="G189" s="19">
        <v>-1.849391537689371E-10</v>
      </c>
    </row>
    <row r="190" spans="1:7" ht="11.25" customHeight="1" x14ac:dyDescent="0.2">
      <c r="A190" s="29">
        <v>44531</v>
      </c>
      <c r="B190" s="19">
        <v>0</v>
      </c>
      <c r="C190" s="19">
        <v>-1.395706021867227E-10</v>
      </c>
      <c r="D190" s="19">
        <v>0</v>
      </c>
      <c r="E190" s="19">
        <v>-2.791412043734454E-10</v>
      </c>
      <c r="F190" s="19">
        <v>-1.395706021867227E-10</v>
      </c>
      <c r="G190" s="19">
        <v>-2.791412043734454E-10</v>
      </c>
    </row>
    <row r="191" spans="1:7" ht="11.25" customHeight="1" x14ac:dyDescent="0.2">
      <c r="A191" s="29">
        <v>44562</v>
      </c>
      <c r="B191" s="19">
        <v>0</v>
      </c>
      <c r="C191" s="19">
        <v>-1.1097532137682719E-10</v>
      </c>
      <c r="D191" s="19">
        <v>0</v>
      </c>
      <c r="E191" s="19">
        <v>-2.2195064275365438E-10</v>
      </c>
      <c r="F191" s="19">
        <v>-1.1097532137682719E-10</v>
      </c>
      <c r="G191" s="19">
        <v>-2.2195064275365438E-10</v>
      </c>
    </row>
    <row r="192" spans="1:7" ht="11.25" customHeight="1" x14ac:dyDescent="0.2">
      <c r="A192" s="29">
        <v>44593</v>
      </c>
      <c r="B192" s="19">
        <v>0</v>
      </c>
      <c r="C192" s="19">
        <v>-8.4864353766533905E-11</v>
      </c>
      <c r="D192" s="19">
        <v>0</v>
      </c>
      <c r="E192" s="19">
        <v>-1.6972870753306781E-10</v>
      </c>
      <c r="F192" s="19">
        <v>-8.4864353766533905E-11</v>
      </c>
      <c r="G192" s="19">
        <v>-1.6972870753306781E-10</v>
      </c>
    </row>
    <row r="193" spans="1:7" ht="11.25" customHeight="1" x14ac:dyDescent="0.2">
      <c r="A193" s="29">
        <v>44621</v>
      </c>
      <c r="B193" s="19">
        <v>0</v>
      </c>
      <c r="C193" s="19">
        <v>-1.3399741760622418E-10</v>
      </c>
      <c r="D193" s="19">
        <v>0</v>
      </c>
      <c r="E193" s="19">
        <v>-2.6799483521244837E-10</v>
      </c>
      <c r="F193" s="19">
        <v>-1.3399741760622418E-10</v>
      </c>
      <c r="G193" s="19">
        <v>-2.6799483521244837E-10</v>
      </c>
    </row>
    <row r="194" spans="1:7" ht="11.25" customHeight="1" x14ac:dyDescent="0.2">
      <c r="A194" s="29">
        <v>44652</v>
      </c>
      <c r="B194" s="19">
        <v>0</v>
      </c>
      <c r="C194" s="19">
        <v>-1.0450148124618864E-10</v>
      </c>
      <c r="D194" s="19">
        <v>0</v>
      </c>
      <c r="E194" s="19">
        <v>-2.0900296249237729E-10</v>
      </c>
      <c r="F194" s="19">
        <v>-1.0450148124618864E-10</v>
      </c>
      <c r="G194" s="19">
        <v>-2.0900296249237729E-10</v>
      </c>
    </row>
    <row r="195" spans="1:7" ht="11.25" customHeight="1" x14ac:dyDescent="0.2">
      <c r="A195" s="29">
        <v>44682</v>
      </c>
      <c r="B195" s="19">
        <v>0</v>
      </c>
      <c r="C195" s="19">
        <v>-9.8282299632046494E-11</v>
      </c>
      <c r="D195" s="19">
        <v>0</v>
      </c>
      <c r="E195" s="19">
        <v>-1.9656459926409299E-10</v>
      </c>
      <c r="F195" s="19">
        <v>-9.8282299632046494E-11</v>
      </c>
      <c r="G195" s="19">
        <v>-1.9656459926409299E-10</v>
      </c>
    </row>
    <row r="196" spans="1:7" ht="11.25" customHeight="1" x14ac:dyDescent="0.2">
      <c r="A196" s="29">
        <v>44713</v>
      </c>
      <c r="B196" s="19">
        <v>0</v>
      </c>
      <c r="C196" s="19">
        <v>-5.6913677326519973E-11</v>
      </c>
      <c r="D196" s="19">
        <v>0</v>
      </c>
      <c r="E196" s="19">
        <v>-1.1382735465303995E-10</v>
      </c>
      <c r="F196" s="19">
        <v>-5.6913677326519973E-11</v>
      </c>
      <c r="G196" s="19">
        <v>-1.1382735465303995E-10</v>
      </c>
    </row>
    <row r="197" spans="1:7" ht="11.25" customHeight="1" x14ac:dyDescent="0.2">
      <c r="A197" s="29">
        <v>44743</v>
      </c>
      <c r="B197" s="19">
        <v>0</v>
      </c>
      <c r="C197" s="19">
        <v>-5.6913677326519973E-11</v>
      </c>
      <c r="D197" s="19">
        <v>0</v>
      </c>
      <c r="E197" s="19">
        <v>-1.1382735465303995E-10</v>
      </c>
      <c r="F197" s="19">
        <v>-5.6913677326519973E-11</v>
      </c>
      <c r="G197" s="19">
        <v>-1.1382735465303995E-10</v>
      </c>
    </row>
    <row r="198" spans="1:7" ht="11.25" customHeight="1" x14ac:dyDescent="0.2">
      <c r="A198" s="21" t="s">
        <v>997</v>
      </c>
      <c r="B198" s="19">
        <v>15076612.174899999</v>
      </c>
      <c r="C198" s="19">
        <v>7182557.9593466008</v>
      </c>
      <c r="D198" s="19">
        <v>16595456.654879227</v>
      </c>
      <c r="E198" s="19">
        <v>7943283.4405497108</v>
      </c>
      <c r="F198" s="19">
        <v>22259170.134246599</v>
      </c>
      <c r="G198" s="19">
        <v>24538740.095428936</v>
      </c>
    </row>
    <row r="199" spans="1:7" ht="11.25" customHeight="1" x14ac:dyDescent="0.2">
      <c r="A199" s="22" t="s">
        <v>39</v>
      </c>
      <c r="B199" s="19">
        <v>1042147.3791999999</v>
      </c>
      <c r="C199" s="19">
        <v>0</v>
      </c>
      <c r="D199" s="19">
        <v>1133357.1682903394</v>
      </c>
      <c r="E199" s="19">
        <v>0</v>
      </c>
      <c r="F199" s="19">
        <v>1042147.3791999999</v>
      </c>
      <c r="G199" s="19">
        <v>1133357.1682903394</v>
      </c>
    </row>
    <row r="200" spans="1:7" ht="11.25" customHeight="1" x14ac:dyDescent="0.2">
      <c r="A200" s="23" t="s">
        <v>40</v>
      </c>
      <c r="B200" s="19">
        <v>1042147.3791999999</v>
      </c>
      <c r="C200" s="19">
        <v>0</v>
      </c>
      <c r="D200" s="19">
        <v>1133357.1682903394</v>
      </c>
      <c r="E200" s="19">
        <v>0</v>
      </c>
      <c r="F200" s="19">
        <v>1042147.3791999999</v>
      </c>
      <c r="G200" s="19">
        <v>1133357.1682903394</v>
      </c>
    </row>
    <row r="201" spans="1:7" ht="11.25" customHeight="1" x14ac:dyDescent="0.2">
      <c r="A201" s="24" t="s">
        <v>38</v>
      </c>
      <c r="B201" s="19">
        <v>1042147.3791999999</v>
      </c>
      <c r="C201" s="19">
        <v>0</v>
      </c>
      <c r="D201" s="19">
        <v>1133357.1682903394</v>
      </c>
      <c r="E201" s="19">
        <v>0</v>
      </c>
      <c r="F201" s="19">
        <v>1042147.3791999999</v>
      </c>
      <c r="G201" s="19">
        <v>1133357.1682903394</v>
      </c>
    </row>
    <row r="202" spans="1:7" ht="11.25" customHeight="1" x14ac:dyDescent="0.2">
      <c r="A202" s="25" t="s">
        <v>25</v>
      </c>
      <c r="B202" s="19">
        <v>1042147.3791999999</v>
      </c>
      <c r="C202" s="19">
        <v>0</v>
      </c>
      <c r="D202" s="19">
        <v>1133357.1682903394</v>
      </c>
      <c r="E202" s="19">
        <v>0</v>
      </c>
      <c r="F202" s="19">
        <v>1042147.3791999999</v>
      </c>
      <c r="G202" s="19">
        <v>1133357.1682903394</v>
      </c>
    </row>
    <row r="203" spans="1:7" ht="11.25" customHeight="1" x14ac:dyDescent="0.2">
      <c r="A203" s="26" t="s">
        <v>61</v>
      </c>
      <c r="B203" s="19">
        <v>1042147.3791999999</v>
      </c>
      <c r="C203" s="19">
        <v>0</v>
      </c>
      <c r="D203" s="19">
        <v>1133357.1682903394</v>
      </c>
      <c r="E203" s="19">
        <v>0</v>
      </c>
      <c r="F203" s="19">
        <v>1042147.3791999999</v>
      </c>
      <c r="G203" s="19">
        <v>1133357.1682903394</v>
      </c>
    </row>
    <row r="204" spans="1:7" ht="11.25" customHeight="1" x14ac:dyDescent="0.2">
      <c r="A204" s="27" t="s">
        <v>25</v>
      </c>
      <c r="B204" s="19">
        <v>1042147.3791999999</v>
      </c>
      <c r="C204" s="19">
        <v>0</v>
      </c>
      <c r="D204" s="19">
        <v>1133357.1682903394</v>
      </c>
      <c r="E204" s="19">
        <v>0</v>
      </c>
      <c r="F204" s="19">
        <v>1042147.3791999999</v>
      </c>
      <c r="G204" s="19">
        <v>1133357.1682903394</v>
      </c>
    </row>
    <row r="205" spans="1:7" ht="11.25" customHeight="1" x14ac:dyDescent="0.2">
      <c r="A205" s="28" t="s">
        <v>35</v>
      </c>
      <c r="B205" s="19">
        <v>484250.77599999995</v>
      </c>
      <c r="C205" s="19">
        <v>0</v>
      </c>
      <c r="D205" s="19">
        <v>525622.35623660474</v>
      </c>
      <c r="E205" s="19">
        <v>0</v>
      </c>
      <c r="F205" s="19">
        <v>484250.77599999995</v>
      </c>
      <c r="G205" s="19">
        <v>525622.35623660474</v>
      </c>
    </row>
    <row r="206" spans="1:7" ht="11.25" customHeight="1" x14ac:dyDescent="0.2">
      <c r="A206" s="29">
        <v>44409</v>
      </c>
      <c r="B206" s="19">
        <v>28054.572</v>
      </c>
      <c r="C206" s="19">
        <v>0</v>
      </c>
      <c r="D206" s="19">
        <v>30451.392065192013</v>
      </c>
      <c r="E206" s="19">
        <v>0</v>
      </c>
      <c r="F206" s="19">
        <v>28054.572</v>
      </c>
      <c r="G206" s="19">
        <v>30451.392065192013</v>
      </c>
    </row>
    <row r="207" spans="1:7" ht="11.25" customHeight="1" x14ac:dyDescent="0.2">
      <c r="A207" s="29">
        <v>44440</v>
      </c>
      <c r="B207" s="19">
        <v>29274.336000000003</v>
      </c>
      <c r="C207" s="19">
        <v>0</v>
      </c>
      <c r="D207" s="19">
        <v>31775.365633243844</v>
      </c>
      <c r="E207" s="19">
        <v>0</v>
      </c>
      <c r="F207" s="19">
        <v>29274.336000000003</v>
      </c>
      <c r="G207" s="19">
        <v>31775.365633243844</v>
      </c>
    </row>
    <row r="208" spans="1:7" ht="11.25" customHeight="1" x14ac:dyDescent="0.2">
      <c r="A208" s="29">
        <v>44470</v>
      </c>
      <c r="B208" s="19">
        <v>5488.9379999999956</v>
      </c>
      <c r="C208" s="19">
        <v>0</v>
      </c>
      <c r="D208" s="19">
        <v>5957.8810562332155</v>
      </c>
      <c r="E208" s="19">
        <v>0</v>
      </c>
      <c r="F208" s="19">
        <v>5488.9379999999956</v>
      </c>
      <c r="G208" s="19">
        <v>5957.8810562332155</v>
      </c>
    </row>
    <row r="209" spans="1:7" ht="11.25" customHeight="1" x14ac:dyDescent="0.2">
      <c r="A209" s="29">
        <v>44501</v>
      </c>
      <c r="B209" s="19">
        <v>36885.574000000001</v>
      </c>
      <c r="C209" s="19">
        <v>0</v>
      </c>
      <c r="D209" s="19">
        <v>40036.863703486648</v>
      </c>
      <c r="E209" s="19">
        <v>0</v>
      </c>
      <c r="F209" s="19">
        <v>36885.574000000001</v>
      </c>
      <c r="G209" s="19">
        <v>40036.863703486648</v>
      </c>
    </row>
    <row r="210" spans="1:7" ht="11.25" customHeight="1" x14ac:dyDescent="0.2">
      <c r="A210" s="29">
        <v>44531</v>
      </c>
      <c r="B210" s="19">
        <v>48435.353999999999</v>
      </c>
      <c r="C210" s="19">
        <v>0</v>
      </c>
      <c r="D210" s="19">
        <v>52573.389979728301</v>
      </c>
      <c r="E210" s="19">
        <v>0</v>
      </c>
      <c r="F210" s="19">
        <v>48435.353999999999</v>
      </c>
      <c r="G210" s="19">
        <v>52573.389979728301</v>
      </c>
    </row>
    <row r="211" spans="1:7" ht="11.25" customHeight="1" x14ac:dyDescent="0.2">
      <c r="A211" s="29">
        <v>44562</v>
      </c>
      <c r="B211" s="19">
        <v>47701.485000000001</v>
      </c>
      <c r="C211" s="19">
        <v>0</v>
      </c>
      <c r="D211" s="19">
        <v>51776.823464883935</v>
      </c>
      <c r="E211" s="19">
        <v>0</v>
      </c>
      <c r="F211" s="19">
        <v>47701.485000000001</v>
      </c>
      <c r="G211" s="19">
        <v>51776.823464883935</v>
      </c>
    </row>
    <row r="212" spans="1:7" ht="11.25" customHeight="1" x14ac:dyDescent="0.2">
      <c r="A212" s="29">
        <v>44593</v>
      </c>
      <c r="B212" s="19">
        <v>48435.353999999999</v>
      </c>
      <c r="C212" s="19">
        <v>0</v>
      </c>
      <c r="D212" s="19">
        <v>52573.389979728301</v>
      </c>
      <c r="E212" s="19">
        <v>0</v>
      </c>
      <c r="F212" s="19">
        <v>48435.353999999999</v>
      </c>
      <c r="G212" s="19">
        <v>52573.389979728301</v>
      </c>
    </row>
    <row r="213" spans="1:7" ht="11.25" customHeight="1" x14ac:dyDescent="0.2">
      <c r="A213" s="29">
        <v>44621</v>
      </c>
      <c r="B213" s="19">
        <v>46233.747000000003</v>
      </c>
      <c r="C213" s="19">
        <v>0</v>
      </c>
      <c r="D213" s="19">
        <v>50183.690435195203</v>
      </c>
      <c r="E213" s="19">
        <v>0</v>
      </c>
      <c r="F213" s="19">
        <v>46233.747000000003</v>
      </c>
      <c r="G213" s="19">
        <v>50183.690435195203</v>
      </c>
    </row>
    <row r="214" spans="1:7" ht="11.25" customHeight="1" x14ac:dyDescent="0.2">
      <c r="A214" s="29">
        <v>44652</v>
      </c>
      <c r="B214" s="19">
        <v>48435.353999999999</v>
      </c>
      <c r="C214" s="19">
        <v>0</v>
      </c>
      <c r="D214" s="19">
        <v>52573.389979728301</v>
      </c>
      <c r="E214" s="19">
        <v>0</v>
      </c>
      <c r="F214" s="19">
        <v>48435.353999999999</v>
      </c>
      <c r="G214" s="19">
        <v>52573.389979728301</v>
      </c>
    </row>
    <row r="215" spans="1:7" ht="11.25" customHeight="1" x14ac:dyDescent="0.2">
      <c r="A215" s="29">
        <v>44682</v>
      </c>
      <c r="B215" s="19">
        <v>48435.353999999999</v>
      </c>
      <c r="C215" s="19">
        <v>0</v>
      </c>
      <c r="D215" s="19">
        <v>52573.389979728301</v>
      </c>
      <c r="E215" s="19">
        <v>0</v>
      </c>
      <c r="F215" s="19">
        <v>48435.353999999999</v>
      </c>
      <c r="G215" s="19">
        <v>52573.389979728301</v>
      </c>
    </row>
    <row r="216" spans="1:7" ht="11.25" customHeight="1" x14ac:dyDescent="0.2">
      <c r="A216" s="29">
        <v>44713</v>
      </c>
      <c r="B216" s="19">
        <v>48435.353999999999</v>
      </c>
      <c r="C216" s="19">
        <v>0</v>
      </c>
      <c r="D216" s="19">
        <v>52573.389979728301</v>
      </c>
      <c r="E216" s="19">
        <v>0</v>
      </c>
      <c r="F216" s="19">
        <v>48435.353999999999</v>
      </c>
      <c r="G216" s="19">
        <v>52573.389979728301</v>
      </c>
    </row>
    <row r="217" spans="1:7" ht="11.25" customHeight="1" x14ac:dyDescent="0.2">
      <c r="A217" s="29">
        <v>44743</v>
      </c>
      <c r="B217" s="19">
        <v>48435.353999999999</v>
      </c>
      <c r="C217" s="19">
        <v>0</v>
      </c>
      <c r="D217" s="19">
        <v>52573.389979728301</v>
      </c>
      <c r="E217" s="19">
        <v>0</v>
      </c>
      <c r="F217" s="19">
        <v>48435.353999999999</v>
      </c>
      <c r="G217" s="19">
        <v>52573.389979728301</v>
      </c>
    </row>
    <row r="218" spans="1:7" ht="11.25" customHeight="1" x14ac:dyDescent="0.2">
      <c r="A218" s="28" t="s">
        <v>25</v>
      </c>
      <c r="B218" s="19">
        <v>0</v>
      </c>
      <c r="C218" s="19">
        <v>0</v>
      </c>
      <c r="D218" s="19">
        <v>0</v>
      </c>
      <c r="E218" s="19">
        <v>0</v>
      </c>
      <c r="F218" s="19">
        <v>0</v>
      </c>
      <c r="G218" s="19">
        <v>0</v>
      </c>
    </row>
    <row r="219" spans="1:7" ht="11.25" customHeight="1" x14ac:dyDescent="0.2">
      <c r="A219" s="29">
        <v>44409</v>
      </c>
      <c r="B219" s="19">
        <v>0</v>
      </c>
      <c r="C219" s="19">
        <v>0</v>
      </c>
      <c r="D219" s="19">
        <v>0</v>
      </c>
      <c r="E219" s="19">
        <v>0</v>
      </c>
      <c r="F219" s="19">
        <v>0</v>
      </c>
      <c r="G219" s="19">
        <v>0</v>
      </c>
    </row>
    <row r="220" spans="1:7" ht="11.25" customHeight="1" x14ac:dyDescent="0.2">
      <c r="A220" s="29">
        <v>44440</v>
      </c>
      <c r="B220" s="19">
        <v>0</v>
      </c>
      <c r="C220" s="19">
        <v>0</v>
      </c>
      <c r="D220" s="19">
        <v>0</v>
      </c>
      <c r="E220" s="19">
        <v>0</v>
      </c>
      <c r="F220" s="19">
        <v>0</v>
      </c>
      <c r="G220" s="19">
        <v>0</v>
      </c>
    </row>
    <row r="221" spans="1:7" ht="11.25" customHeight="1" x14ac:dyDescent="0.2">
      <c r="A221" s="29">
        <v>44470</v>
      </c>
      <c r="B221" s="19">
        <v>0</v>
      </c>
      <c r="C221" s="19">
        <v>0</v>
      </c>
      <c r="D221" s="19">
        <v>0</v>
      </c>
      <c r="E221" s="19">
        <v>0</v>
      </c>
      <c r="F221" s="19">
        <v>0</v>
      </c>
      <c r="G221" s="19">
        <v>0</v>
      </c>
    </row>
    <row r="222" spans="1:7" ht="11.25" customHeight="1" x14ac:dyDescent="0.2">
      <c r="A222" s="29">
        <v>44501</v>
      </c>
      <c r="B222" s="19">
        <v>0</v>
      </c>
      <c r="C222" s="19">
        <v>0</v>
      </c>
      <c r="D222" s="19">
        <v>0</v>
      </c>
      <c r="E222" s="19">
        <v>0</v>
      </c>
      <c r="F222" s="19">
        <v>0</v>
      </c>
      <c r="G222" s="19">
        <v>0</v>
      </c>
    </row>
    <row r="223" spans="1:7" ht="11.25" customHeight="1" x14ac:dyDescent="0.2">
      <c r="A223" s="29">
        <v>44531</v>
      </c>
      <c r="B223" s="19">
        <v>0</v>
      </c>
      <c r="C223" s="19">
        <v>0</v>
      </c>
      <c r="D223" s="19">
        <v>0</v>
      </c>
      <c r="E223" s="19">
        <v>0</v>
      </c>
      <c r="F223" s="19">
        <v>0</v>
      </c>
      <c r="G223" s="19">
        <v>0</v>
      </c>
    </row>
    <row r="224" spans="1:7" ht="11.25" customHeight="1" x14ac:dyDescent="0.2">
      <c r="A224" s="29">
        <v>44562</v>
      </c>
      <c r="B224" s="19">
        <v>0</v>
      </c>
      <c r="C224" s="19">
        <v>0</v>
      </c>
      <c r="D224" s="19">
        <v>0</v>
      </c>
      <c r="E224" s="19">
        <v>0</v>
      </c>
      <c r="F224" s="19">
        <v>0</v>
      </c>
      <c r="G224" s="19">
        <v>0</v>
      </c>
    </row>
    <row r="225" spans="1:7" ht="11.25" customHeight="1" x14ac:dyDescent="0.2">
      <c r="A225" s="29">
        <v>44593</v>
      </c>
      <c r="B225" s="19">
        <v>0</v>
      </c>
      <c r="C225" s="19">
        <v>0</v>
      </c>
      <c r="D225" s="19">
        <v>0</v>
      </c>
      <c r="E225" s="19">
        <v>0</v>
      </c>
      <c r="F225" s="19">
        <v>0</v>
      </c>
      <c r="G225" s="19">
        <v>0</v>
      </c>
    </row>
    <row r="226" spans="1:7" ht="11.25" customHeight="1" x14ac:dyDescent="0.2">
      <c r="A226" s="29">
        <v>44621</v>
      </c>
      <c r="B226" s="19">
        <v>0</v>
      </c>
      <c r="C226" s="19">
        <v>0</v>
      </c>
      <c r="D226" s="19">
        <v>0</v>
      </c>
      <c r="E226" s="19">
        <v>0</v>
      </c>
      <c r="F226" s="19">
        <v>0</v>
      </c>
      <c r="G226" s="19">
        <v>0</v>
      </c>
    </row>
    <row r="227" spans="1:7" ht="11.25" customHeight="1" x14ac:dyDescent="0.2">
      <c r="A227" s="29">
        <v>44652</v>
      </c>
      <c r="B227" s="19">
        <v>0</v>
      </c>
      <c r="C227" s="19">
        <v>0</v>
      </c>
      <c r="D227" s="19">
        <v>0</v>
      </c>
      <c r="E227" s="19">
        <v>0</v>
      </c>
      <c r="F227" s="19">
        <v>0</v>
      </c>
      <c r="G227" s="19">
        <v>0</v>
      </c>
    </row>
    <row r="228" spans="1:7" ht="11.25" customHeight="1" x14ac:dyDescent="0.2">
      <c r="A228" s="29">
        <v>44682</v>
      </c>
      <c r="B228" s="19">
        <v>0</v>
      </c>
      <c r="C228" s="19">
        <v>0</v>
      </c>
      <c r="D228" s="19">
        <v>0</v>
      </c>
      <c r="E228" s="19">
        <v>0</v>
      </c>
      <c r="F228" s="19">
        <v>0</v>
      </c>
      <c r="G228" s="19">
        <v>0</v>
      </c>
    </row>
    <row r="229" spans="1:7" ht="11.25" customHeight="1" x14ac:dyDescent="0.2">
      <c r="A229" s="29">
        <v>44713</v>
      </c>
      <c r="B229" s="19">
        <v>0</v>
      </c>
      <c r="C229" s="19">
        <v>0</v>
      </c>
      <c r="D229" s="19">
        <v>0</v>
      </c>
      <c r="E229" s="19">
        <v>0</v>
      </c>
      <c r="F229" s="19">
        <v>0</v>
      </c>
      <c r="G229" s="19">
        <v>0</v>
      </c>
    </row>
    <row r="230" spans="1:7" ht="11.25" customHeight="1" x14ac:dyDescent="0.2">
      <c r="A230" s="29">
        <v>44743</v>
      </c>
      <c r="B230" s="19">
        <v>0</v>
      </c>
      <c r="C230" s="19">
        <v>0</v>
      </c>
      <c r="D230" s="19">
        <v>0</v>
      </c>
      <c r="E230" s="19">
        <v>0</v>
      </c>
      <c r="F230" s="19">
        <v>0</v>
      </c>
      <c r="G230" s="19">
        <v>0</v>
      </c>
    </row>
    <row r="231" spans="1:7" ht="11.25" customHeight="1" x14ac:dyDescent="0.2">
      <c r="A231" s="28" t="s">
        <v>34</v>
      </c>
      <c r="B231" s="19">
        <v>557896.60320000001</v>
      </c>
      <c r="C231" s="19">
        <v>0</v>
      </c>
      <c r="D231" s="19">
        <v>607734.81205373479</v>
      </c>
      <c r="E231" s="19">
        <v>0</v>
      </c>
      <c r="F231" s="19">
        <v>557896.60320000001</v>
      </c>
      <c r="G231" s="19">
        <v>607734.81205373479</v>
      </c>
    </row>
    <row r="232" spans="1:7" ht="11.25" customHeight="1" x14ac:dyDescent="0.2">
      <c r="A232" s="29">
        <v>44409</v>
      </c>
      <c r="B232" s="19">
        <v>27928.295999999998</v>
      </c>
      <c r="C232" s="19">
        <v>0</v>
      </c>
      <c r="D232" s="19">
        <v>30423.196024472712</v>
      </c>
      <c r="E232" s="19">
        <v>0</v>
      </c>
      <c r="F232" s="19">
        <v>27928.295999999998</v>
      </c>
      <c r="G232" s="19">
        <v>30423.196024472712</v>
      </c>
    </row>
    <row r="233" spans="1:7" ht="11.25" customHeight="1" x14ac:dyDescent="0.2">
      <c r="A233" s="29">
        <v>44440</v>
      </c>
      <c r="B233" s="19">
        <v>25389.360000000001</v>
      </c>
      <c r="C233" s="19">
        <v>0</v>
      </c>
      <c r="D233" s="19">
        <v>27657.450931338833</v>
      </c>
      <c r="E233" s="19">
        <v>0</v>
      </c>
      <c r="F233" s="19">
        <v>25389.360000000001</v>
      </c>
      <c r="G233" s="19">
        <v>27657.450931338833</v>
      </c>
    </row>
    <row r="234" spans="1:7" ht="11.25" customHeight="1" x14ac:dyDescent="0.2">
      <c r="A234" s="29">
        <v>44470</v>
      </c>
      <c r="B234" s="19">
        <v>-14387.304000000004</v>
      </c>
      <c r="C234" s="19">
        <v>0</v>
      </c>
      <c r="D234" s="19">
        <v>-15672.555527758677</v>
      </c>
      <c r="E234" s="19">
        <v>0</v>
      </c>
      <c r="F234" s="19">
        <v>-14387.304000000004</v>
      </c>
      <c r="G234" s="19">
        <v>-15672.555527758677</v>
      </c>
    </row>
    <row r="235" spans="1:7" ht="11.25" customHeight="1" x14ac:dyDescent="0.2">
      <c r="A235" s="29">
        <v>44501</v>
      </c>
      <c r="B235" s="19">
        <v>37010.469600000011</v>
      </c>
      <c r="C235" s="19">
        <v>0</v>
      </c>
      <c r="D235" s="19">
        <v>40316.70144138363</v>
      </c>
      <c r="E235" s="19">
        <v>0</v>
      </c>
      <c r="F235" s="19">
        <v>37010.469600000011</v>
      </c>
      <c r="G235" s="19">
        <v>40316.70144138363</v>
      </c>
    </row>
    <row r="236" spans="1:7" ht="11.25" customHeight="1" x14ac:dyDescent="0.2">
      <c r="A236" s="29">
        <v>44531</v>
      </c>
      <c r="B236" s="19">
        <v>61059.477599999998</v>
      </c>
      <c r="C236" s="19">
        <v>0</v>
      </c>
      <c r="D236" s="19">
        <v>66514.063592590857</v>
      </c>
      <c r="E236" s="19">
        <v>0</v>
      </c>
      <c r="F236" s="19">
        <v>61059.477599999998</v>
      </c>
      <c r="G236" s="19">
        <v>66514.063592590857</v>
      </c>
    </row>
    <row r="237" spans="1:7" ht="11.25" customHeight="1" x14ac:dyDescent="0.2">
      <c r="A237" s="29">
        <v>44562</v>
      </c>
      <c r="B237" s="19">
        <v>59015.440800000004</v>
      </c>
      <c r="C237" s="19">
        <v>0</v>
      </c>
      <c r="D237" s="19">
        <v>64287.42820289018</v>
      </c>
      <c r="E237" s="19">
        <v>0</v>
      </c>
      <c r="F237" s="19">
        <v>59015.440800000004</v>
      </c>
      <c r="G237" s="19">
        <v>64287.42820289018</v>
      </c>
    </row>
    <row r="238" spans="1:7" ht="11.25" customHeight="1" x14ac:dyDescent="0.2">
      <c r="A238" s="29">
        <v>44593</v>
      </c>
      <c r="B238" s="19">
        <v>59376.734399999994</v>
      </c>
      <c r="C238" s="19">
        <v>0</v>
      </c>
      <c r="D238" s="19">
        <v>64680.997005483339</v>
      </c>
      <c r="E238" s="19">
        <v>0</v>
      </c>
      <c r="F238" s="19">
        <v>59376.734399999994</v>
      </c>
      <c r="G238" s="19">
        <v>64680.997005483339</v>
      </c>
    </row>
    <row r="239" spans="1:7" ht="11.25" customHeight="1" x14ac:dyDescent="0.2">
      <c r="A239" s="29">
        <v>44621</v>
      </c>
      <c r="B239" s="19">
        <v>60262.999199999998</v>
      </c>
      <c r="C239" s="19">
        <v>0</v>
      </c>
      <c r="D239" s="19">
        <v>65646.433913628047</v>
      </c>
      <c r="E239" s="19">
        <v>0</v>
      </c>
      <c r="F239" s="19">
        <v>60262.999199999998</v>
      </c>
      <c r="G239" s="19">
        <v>65646.433913628047</v>
      </c>
    </row>
    <row r="240" spans="1:7" ht="11.25" customHeight="1" x14ac:dyDescent="0.2">
      <c r="A240" s="29">
        <v>44652</v>
      </c>
      <c r="B240" s="19">
        <v>60921.576000000001</v>
      </c>
      <c r="C240" s="19">
        <v>0</v>
      </c>
      <c r="D240" s="19">
        <v>66363.842920019626</v>
      </c>
      <c r="E240" s="19">
        <v>0</v>
      </c>
      <c r="F240" s="19">
        <v>60921.576000000001</v>
      </c>
      <c r="G240" s="19">
        <v>66363.842920019626</v>
      </c>
    </row>
    <row r="241" spans="1:7" ht="11.25" customHeight="1" x14ac:dyDescent="0.2">
      <c r="A241" s="29">
        <v>44682</v>
      </c>
      <c r="B241" s="19">
        <v>58803.648000000001</v>
      </c>
      <c r="C241" s="19">
        <v>0</v>
      </c>
      <c r="D241" s="19">
        <v>64056.715456542464</v>
      </c>
      <c r="E241" s="19">
        <v>0</v>
      </c>
      <c r="F241" s="19">
        <v>58803.648000000001</v>
      </c>
      <c r="G241" s="19">
        <v>64056.715456542464</v>
      </c>
    </row>
    <row r="242" spans="1:7" ht="11.25" customHeight="1" x14ac:dyDescent="0.2">
      <c r="A242" s="29">
        <v>44713</v>
      </c>
      <c r="B242" s="19">
        <v>61257.952800000006</v>
      </c>
      <c r="C242" s="19">
        <v>0</v>
      </c>
      <c r="D242" s="19">
        <v>66730.269046571892</v>
      </c>
      <c r="E242" s="19">
        <v>0</v>
      </c>
      <c r="F242" s="19">
        <v>61257.952800000006</v>
      </c>
      <c r="G242" s="19">
        <v>66730.269046571892</v>
      </c>
    </row>
    <row r="243" spans="1:7" ht="11.25" customHeight="1" x14ac:dyDescent="0.2">
      <c r="A243" s="29">
        <v>44743</v>
      </c>
      <c r="B243" s="19">
        <v>61257.952800000006</v>
      </c>
      <c r="C243" s="19">
        <v>0</v>
      </c>
      <c r="D243" s="19">
        <v>66730.269046571892</v>
      </c>
      <c r="E243" s="19">
        <v>0</v>
      </c>
      <c r="F243" s="19">
        <v>61257.952800000006</v>
      </c>
      <c r="G243" s="19">
        <v>66730.269046571892</v>
      </c>
    </row>
    <row r="244" spans="1:7" ht="11.25" customHeight="1" x14ac:dyDescent="0.2">
      <c r="A244" s="22" t="s">
        <v>41</v>
      </c>
      <c r="B244" s="19">
        <v>14034464.795699999</v>
      </c>
      <c r="C244" s="19">
        <v>7182557.9593466008</v>
      </c>
      <c r="D244" s="19">
        <v>15462099.486588888</v>
      </c>
      <c r="E244" s="19">
        <v>7943283.4405497108</v>
      </c>
      <c r="F244" s="19">
        <v>21217022.755046599</v>
      </c>
      <c r="G244" s="19">
        <v>23405382.927138597</v>
      </c>
    </row>
    <row r="245" spans="1:7" ht="11.25" customHeight="1" x14ac:dyDescent="0.2">
      <c r="A245" s="23" t="s">
        <v>40</v>
      </c>
      <c r="B245" s="19">
        <v>7627464.6345000006</v>
      </c>
      <c r="C245" s="19">
        <v>0</v>
      </c>
      <c r="D245" s="19">
        <v>8402240.8452309351</v>
      </c>
      <c r="E245" s="19">
        <v>0</v>
      </c>
      <c r="F245" s="19">
        <v>7627464.6345000006</v>
      </c>
      <c r="G245" s="19">
        <v>8402240.8452309351</v>
      </c>
    </row>
    <row r="246" spans="1:7" ht="11.25" customHeight="1" x14ac:dyDescent="0.2">
      <c r="A246" s="24" t="s">
        <v>38</v>
      </c>
      <c r="B246" s="19">
        <v>7627464.6345000006</v>
      </c>
      <c r="C246" s="19">
        <v>0</v>
      </c>
      <c r="D246" s="19">
        <v>8402240.8452309351</v>
      </c>
      <c r="E246" s="19">
        <v>0</v>
      </c>
      <c r="F246" s="19">
        <v>7627464.6345000006</v>
      </c>
      <c r="G246" s="19">
        <v>8402240.8452309351</v>
      </c>
    </row>
    <row r="247" spans="1:7" ht="11.25" customHeight="1" x14ac:dyDescent="0.2">
      <c r="A247" s="25" t="s">
        <v>25</v>
      </c>
      <c r="B247" s="19">
        <v>7627464.6345000006</v>
      </c>
      <c r="C247" s="19">
        <v>0</v>
      </c>
      <c r="D247" s="19">
        <v>8402240.8452309351</v>
      </c>
      <c r="E247" s="19">
        <v>0</v>
      </c>
      <c r="F247" s="19">
        <v>7627464.6345000006</v>
      </c>
      <c r="G247" s="19">
        <v>8402240.8452309351</v>
      </c>
    </row>
    <row r="248" spans="1:7" ht="11.25" customHeight="1" x14ac:dyDescent="0.2">
      <c r="A248" s="26" t="s">
        <v>61</v>
      </c>
      <c r="B248" s="19">
        <v>7627464.6345000006</v>
      </c>
      <c r="C248" s="19">
        <v>0</v>
      </c>
      <c r="D248" s="19">
        <v>8402240.8452309351</v>
      </c>
      <c r="E248" s="19">
        <v>0</v>
      </c>
      <c r="F248" s="19">
        <v>7627464.6345000006</v>
      </c>
      <c r="G248" s="19">
        <v>8402240.8452309351</v>
      </c>
    </row>
    <row r="249" spans="1:7" ht="11.25" customHeight="1" x14ac:dyDescent="0.2">
      <c r="A249" s="27" t="s">
        <v>25</v>
      </c>
      <c r="B249" s="19">
        <v>7627464.6345000006</v>
      </c>
      <c r="C249" s="19">
        <v>0</v>
      </c>
      <c r="D249" s="19">
        <v>8402240.8452309351</v>
      </c>
      <c r="E249" s="19">
        <v>0</v>
      </c>
      <c r="F249" s="19">
        <v>7627464.6345000006</v>
      </c>
      <c r="G249" s="19">
        <v>8402240.8452309351</v>
      </c>
    </row>
    <row r="250" spans="1:7" ht="11.25" customHeight="1" x14ac:dyDescent="0.2">
      <c r="A250" s="28" t="s">
        <v>35</v>
      </c>
      <c r="B250" s="19">
        <v>2777021.8169999993</v>
      </c>
      <c r="C250" s="19">
        <v>0</v>
      </c>
      <c r="D250" s="19">
        <v>3059993.9095857637</v>
      </c>
      <c r="E250" s="19">
        <v>0</v>
      </c>
      <c r="F250" s="19">
        <v>2777021.8169999993</v>
      </c>
      <c r="G250" s="19">
        <v>3059993.9095857637</v>
      </c>
    </row>
    <row r="251" spans="1:7" ht="11.25" customHeight="1" x14ac:dyDescent="0.2">
      <c r="A251" s="29">
        <v>44409</v>
      </c>
      <c r="B251" s="19">
        <v>192966.09</v>
      </c>
      <c r="C251" s="19">
        <v>0</v>
      </c>
      <c r="D251" s="19">
        <v>212628.8877321335</v>
      </c>
      <c r="E251" s="19">
        <v>0</v>
      </c>
      <c r="F251" s="19">
        <v>192966.09</v>
      </c>
      <c r="G251" s="19">
        <v>212628.8877321335</v>
      </c>
    </row>
    <row r="252" spans="1:7" ht="11.25" customHeight="1" x14ac:dyDescent="0.2">
      <c r="A252" s="29">
        <v>44440</v>
      </c>
      <c r="B252" s="19">
        <v>192821.88</v>
      </c>
      <c r="C252" s="19">
        <v>0</v>
      </c>
      <c r="D252" s="19">
        <v>212469.98306707109</v>
      </c>
      <c r="E252" s="19">
        <v>0</v>
      </c>
      <c r="F252" s="19">
        <v>192821.88</v>
      </c>
      <c r="G252" s="19">
        <v>212469.98306707109</v>
      </c>
    </row>
    <row r="253" spans="1:7" ht="11.25" customHeight="1" x14ac:dyDescent="0.2">
      <c r="A253" s="29">
        <v>44470</v>
      </c>
      <c r="B253" s="19">
        <v>153932.37599999996</v>
      </c>
      <c r="C253" s="19">
        <v>0</v>
      </c>
      <c r="D253" s="19">
        <v>169617.72866333436</v>
      </c>
      <c r="E253" s="19">
        <v>0</v>
      </c>
      <c r="F253" s="19">
        <v>153932.37599999996</v>
      </c>
      <c r="G253" s="19">
        <v>169617.72866333436</v>
      </c>
    </row>
    <row r="254" spans="1:7" ht="11.25" customHeight="1" x14ac:dyDescent="0.2">
      <c r="A254" s="29">
        <v>44501</v>
      </c>
      <c r="B254" s="19">
        <v>242338.34999999998</v>
      </c>
      <c r="C254" s="19">
        <v>0</v>
      </c>
      <c r="D254" s="19">
        <v>267032.0666980425</v>
      </c>
      <c r="E254" s="19">
        <v>0</v>
      </c>
      <c r="F254" s="19">
        <v>242338.34999999998</v>
      </c>
      <c r="G254" s="19">
        <v>267032.0666980425</v>
      </c>
    </row>
    <row r="255" spans="1:7" ht="11.25" customHeight="1" x14ac:dyDescent="0.2">
      <c r="A255" s="29">
        <v>44531</v>
      </c>
      <c r="B255" s="19">
        <v>252079.34219999998</v>
      </c>
      <c r="C255" s="19">
        <v>0</v>
      </c>
      <c r="D255" s="19">
        <v>277765.64344664838</v>
      </c>
      <c r="E255" s="19">
        <v>0</v>
      </c>
      <c r="F255" s="19">
        <v>252079.34219999998</v>
      </c>
      <c r="G255" s="19">
        <v>277765.64344664838</v>
      </c>
    </row>
    <row r="256" spans="1:7" ht="11.25" customHeight="1" x14ac:dyDescent="0.2">
      <c r="A256" s="29">
        <v>44562</v>
      </c>
      <c r="B256" s="19">
        <v>251196.777</v>
      </c>
      <c r="C256" s="19">
        <v>0</v>
      </c>
      <c r="D256" s="19">
        <v>276793.1468964665</v>
      </c>
      <c r="E256" s="19">
        <v>0</v>
      </c>
      <c r="F256" s="19">
        <v>251196.777</v>
      </c>
      <c r="G256" s="19">
        <v>276793.1468964665</v>
      </c>
    </row>
    <row r="257" spans="1:7" ht="11.25" customHeight="1" x14ac:dyDescent="0.2">
      <c r="A257" s="29">
        <v>44593</v>
      </c>
      <c r="B257" s="19">
        <v>251905.50359999997</v>
      </c>
      <c r="C257" s="19">
        <v>0</v>
      </c>
      <c r="D257" s="19">
        <v>277574.09109585499</v>
      </c>
      <c r="E257" s="19">
        <v>0</v>
      </c>
      <c r="F257" s="19">
        <v>251905.50359999997</v>
      </c>
      <c r="G257" s="19">
        <v>277574.09109585499</v>
      </c>
    </row>
    <row r="258" spans="1:7" ht="11.25" customHeight="1" x14ac:dyDescent="0.2">
      <c r="A258" s="29">
        <v>44621</v>
      </c>
      <c r="B258" s="19">
        <v>252025.85339999996</v>
      </c>
      <c r="C258" s="19">
        <v>0</v>
      </c>
      <c r="D258" s="19">
        <v>277706.70426178887</v>
      </c>
      <c r="E258" s="19">
        <v>0</v>
      </c>
      <c r="F258" s="19">
        <v>252025.85339999996</v>
      </c>
      <c r="G258" s="19">
        <v>277706.70426178887</v>
      </c>
    </row>
    <row r="259" spans="1:7" ht="11.25" customHeight="1" x14ac:dyDescent="0.2">
      <c r="A259" s="29">
        <v>44652</v>
      </c>
      <c r="B259" s="19">
        <v>247533.58079999997</v>
      </c>
      <c r="C259" s="19">
        <v>0</v>
      </c>
      <c r="D259" s="19">
        <v>272756.67948630865</v>
      </c>
      <c r="E259" s="19">
        <v>0</v>
      </c>
      <c r="F259" s="19">
        <v>247533.58079999997</v>
      </c>
      <c r="G259" s="19">
        <v>272756.67948630865</v>
      </c>
    </row>
    <row r="260" spans="1:7" ht="11.25" customHeight="1" x14ac:dyDescent="0.2">
      <c r="A260" s="29">
        <v>44682</v>
      </c>
      <c r="B260" s="19">
        <v>246312.7776</v>
      </c>
      <c r="C260" s="19">
        <v>0</v>
      </c>
      <c r="D260" s="19">
        <v>271411.47926716227</v>
      </c>
      <c r="E260" s="19">
        <v>0</v>
      </c>
      <c r="F260" s="19">
        <v>246312.7776</v>
      </c>
      <c r="G260" s="19">
        <v>271411.47926716227</v>
      </c>
    </row>
    <row r="261" spans="1:7" ht="11.25" customHeight="1" x14ac:dyDescent="0.2">
      <c r="A261" s="29">
        <v>44713</v>
      </c>
      <c r="B261" s="19">
        <v>246954.64319999996</v>
      </c>
      <c r="C261" s="19">
        <v>0</v>
      </c>
      <c r="D261" s="19">
        <v>272118.74948547635</v>
      </c>
      <c r="E261" s="19">
        <v>0</v>
      </c>
      <c r="F261" s="19">
        <v>246954.64319999996</v>
      </c>
      <c r="G261" s="19">
        <v>272118.74948547635</v>
      </c>
    </row>
    <row r="262" spans="1:7" ht="11.25" customHeight="1" x14ac:dyDescent="0.2">
      <c r="A262" s="29">
        <v>44743</v>
      </c>
      <c r="B262" s="19">
        <v>246954.64319999996</v>
      </c>
      <c r="C262" s="19">
        <v>0</v>
      </c>
      <c r="D262" s="19">
        <v>272118.74948547635</v>
      </c>
      <c r="E262" s="19">
        <v>0</v>
      </c>
      <c r="F262" s="19">
        <v>246954.64319999996</v>
      </c>
      <c r="G262" s="19">
        <v>272118.74948547635</v>
      </c>
    </row>
    <row r="263" spans="1:7" ht="11.25" customHeight="1" x14ac:dyDescent="0.2">
      <c r="A263" s="28" t="s">
        <v>25</v>
      </c>
      <c r="B263" s="19">
        <v>0</v>
      </c>
      <c r="C263" s="19">
        <v>0</v>
      </c>
      <c r="D263" s="19">
        <v>0</v>
      </c>
      <c r="E263" s="19">
        <v>0</v>
      </c>
      <c r="F263" s="19">
        <v>0</v>
      </c>
      <c r="G263" s="19">
        <v>0</v>
      </c>
    </row>
    <row r="264" spans="1:7" ht="11.25" customHeight="1" x14ac:dyDescent="0.2">
      <c r="A264" s="29">
        <v>44409</v>
      </c>
      <c r="B264" s="19">
        <v>0</v>
      </c>
      <c r="C264" s="19">
        <v>0</v>
      </c>
      <c r="D264" s="19">
        <v>0</v>
      </c>
      <c r="E264" s="19">
        <v>0</v>
      </c>
      <c r="F264" s="19">
        <v>0</v>
      </c>
      <c r="G264" s="19">
        <v>0</v>
      </c>
    </row>
    <row r="265" spans="1:7" ht="11.25" customHeight="1" x14ac:dyDescent="0.2">
      <c r="A265" s="29">
        <v>44440</v>
      </c>
      <c r="B265" s="19">
        <v>0</v>
      </c>
      <c r="C265" s="19">
        <v>0</v>
      </c>
      <c r="D265" s="19">
        <v>0</v>
      </c>
      <c r="E265" s="19">
        <v>0</v>
      </c>
      <c r="F265" s="19">
        <v>0</v>
      </c>
      <c r="G265" s="19">
        <v>0</v>
      </c>
    </row>
    <row r="266" spans="1:7" ht="11.25" customHeight="1" x14ac:dyDescent="0.2">
      <c r="A266" s="29">
        <v>44470</v>
      </c>
      <c r="B266" s="19">
        <v>0</v>
      </c>
      <c r="C266" s="19">
        <v>0</v>
      </c>
      <c r="D266" s="19">
        <v>0</v>
      </c>
      <c r="E266" s="19">
        <v>0</v>
      </c>
      <c r="F266" s="19">
        <v>0</v>
      </c>
      <c r="G266" s="19">
        <v>0</v>
      </c>
    </row>
    <row r="267" spans="1:7" ht="11.25" customHeight="1" x14ac:dyDescent="0.2">
      <c r="A267" s="29">
        <v>44501</v>
      </c>
      <c r="B267" s="19">
        <v>0</v>
      </c>
      <c r="C267" s="19">
        <v>0</v>
      </c>
      <c r="D267" s="19">
        <v>0</v>
      </c>
      <c r="E267" s="19">
        <v>0</v>
      </c>
      <c r="F267" s="19">
        <v>0</v>
      </c>
      <c r="G267" s="19">
        <v>0</v>
      </c>
    </row>
    <row r="268" spans="1:7" ht="11.25" customHeight="1" x14ac:dyDescent="0.2">
      <c r="A268" s="29">
        <v>44531</v>
      </c>
      <c r="B268" s="19">
        <v>0</v>
      </c>
      <c r="C268" s="19">
        <v>0</v>
      </c>
      <c r="D268" s="19">
        <v>0</v>
      </c>
      <c r="E268" s="19">
        <v>0</v>
      </c>
      <c r="F268" s="19">
        <v>0</v>
      </c>
      <c r="G268" s="19">
        <v>0</v>
      </c>
    </row>
    <row r="269" spans="1:7" ht="11.25" customHeight="1" x14ac:dyDescent="0.2">
      <c r="A269" s="29">
        <v>44562</v>
      </c>
      <c r="B269" s="19">
        <v>0</v>
      </c>
      <c r="C269" s="19">
        <v>0</v>
      </c>
      <c r="D269" s="19">
        <v>0</v>
      </c>
      <c r="E269" s="19">
        <v>0</v>
      </c>
      <c r="F269" s="19">
        <v>0</v>
      </c>
      <c r="G269" s="19">
        <v>0</v>
      </c>
    </row>
    <row r="270" spans="1:7" ht="11.25" customHeight="1" x14ac:dyDescent="0.2">
      <c r="A270" s="29">
        <v>44593</v>
      </c>
      <c r="B270" s="19">
        <v>0</v>
      </c>
      <c r="C270" s="19">
        <v>0</v>
      </c>
      <c r="D270" s="19">
        <v>0</v>
      </c>
      <c r="E270" s="19">
        <v>0</v>
      </c>
      <c r="F270" s="19">
        <v>0</v>
      </c>
      <c r="G270" s="19">
        <v>0</v>
      </c>
    </row>
    <row r="271" spans="1:7" ht="11.25" customHeight="1" x14ac:dyDescent="0.2">
      <c r="A271" s="29">
        <v>44621</v>
      </c>
      <c r="B271" s="19">
        <v>0</v>
      </c>
      <c r="C271" s="19">
        <v>0</v>
      </c>
      <c r="D271" s="19">
        <v>0</v>
      </c>
      <c r="E271" s="19">
        <v>0</v>
      </c>
      <c r="F271" s="19">
        <v>0</v>
      </c>
      <c r="G271" s="19">
        <v>0</v>
      </c>
    </row>
    <row r="272" spans="1:7" ht="11.25" customHeight="1" x14ac:dyDescent="0.2">
      <c r="A272" s="29">
        <v>44652</v>
      </c>
      <c r="B272" s="19">
        <v>0</v>
      </c>
      <c r="C272" s="19">
        <v>0</v>
      </c>
      <c r="D272" s="19">
        <v>0</v>
      </c>
      <c r="E272" s="19">
        <v>0</v>
      </c>
      <c r="F272" s="19">
        <v>0</v>
      </c>
      <c r="G272" s="19">
        <v>0</v>
      </c>
    </row>
    <row r="273" spans="1:7" ht="11.25" customHeight="1" x14ac:dyDescent="0.2">
      <c r="A273" s="29">
        <v>44682</v>
      </c>
      <c r="B273" s="19">
        <v>0</v>
      </c>
      <c r="C273" s="19">
        <v>0</v>
      </c>
      <c r="D273" s="19">
        <v>0</v>
      </c>
      <c r="E273" s="19">
        <v>0</v>
      </c>
      <c r="F273" s="19">
        <v>0</v>
      </c>
      <c r="G273" s="19">
        <v>0</v>
      </c>
    </row>
    <row r="274" spans="1:7" ht="11.25" customHeight="1" x14ac:dyDescent="0.2">
      <c r="A274" s="29">
        <v>44713</v>
      </c>
      <c r="B274" s="19">
        <v>0</v>
      </c>
      <c r="C274" s="19">
        <v>0</v>
      </c>
      <c r="D274" s="19">
        <v>0</v>
      </c>
      <c r="E274" s="19">
        <v>0</v>
      </c>
      <c r="F274" s="19">
        <v>0</v>
      </c>
      <c r="G274" s="19">
        <v>0</v>
      </c>
    </row>
    <row r="275" spans="1:7" ht="11.25" customHeight="1" x14ac:dyDescent="0.2">
      <c r="A275" s="29">
        <v>44743</v>
      </c>
      <c r="B275" s="19">
        <v>0</v>
      </c>
      <c r="C275" s="19">
        <v>0</v>
      </c>
      <c r="D275" s="19">
        <v>0</v>
      </c>
      <c r="E275" s="19">
        <v>0</v>
      </c>
      <c r="F275" s="19">
        <v>0</v>
      </c>
      <c r="G275" s="19">
        <v>0</v>
      </c>
    </row>
    <row r="276" spans="1:7" ht="11.25" customHeight="1" x14ac:dyDescent="0.2">
      <c r="A276" s="28" t="s">
        <v>34</v>
      </c>
      <c r="B276" s="19">
        <v>4850442.8175000008</v>
      </c>
      <c r="C276" s="19">
        <v>0</v>
      </c>
      <c r="D276" s="19">
        <v>5342246.9356451724</v>
      </c>
      <c r="E276" s="19">
        <v>0</v>
      </c>
      <c r="F276" s="19">
        <v>4850442.8175000008</v>
      </c>
      <c r="G276" s="19">
        <v>5342246.9356451724</v>
      </c>
    </row>
    <row r="277" spans="1:7" ht="11.25" customHeight="1" x14ac:dyDescent="0.2">
      <c r="A277" s="29">
        <v>44409</v>
      </c>
      <c r="B277" s="19">
        <v>327365.8885</v>
      </c>
      <c r="C277" s="19">
        <v>0</v>
      </c>
      <c r="D277" s="19">
        <v>360558.71195184632</v>
      </c>
      <c r="E277" s="19">
        <v>0</v>
      </c>
      <c r="F277" s="19">
        <v>327365.8885</v>
      </c>
      <c r="G277" s="19">
        <v>360558.71195184632</v>
      </c>
    </row>
    <row r="278" spans="1:7" ht="11.25" customHeight="1" x14ac:dyDescent="0.2">
      <c r="A278" s="29">
        <v>44440</v>
      </c>
      <c r="B278" s="19">
        <v>208014.35550000001</v>
      </c>
      <c r="C278" s="19">
        <v>0</v>
      </c>
      <c r="D278" s="19">
        <v>229105.6909754159</v>
      </c>
      <c r="E278" s="19">
        <v>0</v>
      </c>
      <c r="F278" s="19">
        <v>208014.35550000001</v>
      </c>
      <c r="G278" s="19">
        <v>229105.6909754159</v>
      </c>
    </row>
    <row r="279" spans="1:7" ht="11.25" customHeight="1" x14ac:dyDescent="0.2">
      <c r="A279" s="29">
        <v>44470</v>
      </c>
      <c r="B279" s="19">
        <v>234015.30250000002</v>
      </c>
      <c r="C279" s="19">
        <v>0</v>
      </c>
      <c r="D279" s="19">
        <v>257742.96898505869</v>
      </c>
      <c r="E279" s="19">
        <v>0</v>
      </c>
      <c r="F279" s="19">
        <v>234015.30250000002</v>
      </c>
      <c r="G279" s="19">
        <v>257742.96898505869</v>
      </c>
    </row>
    <row r="280" spans="1:7" ht="11.25" customHeight="1" x14ac:dyDescent="0.2">
      <c r="A280" s="29">
        <v>44501</v>
      </c>
      <c r="B280" s="19">
        <v>478194.64</v>
      </c>
      <c r="C280" s="19">
        <v>0</v>
      </c>
      <c r="D280" s="19">
        <v>526680.54161262081</v>
      </c>
      <c r="E280" s="19">
        <v>0</v>
      </c>
      <c r="F280" s="19">
        <v>478194.64</v>
      </c>
      <c r="G280" s="19">
        <v>526680.54161262081</v>
      </c>
    </row>
    <row r="281" spans="1:7" ht="11.25" customHeight="1" x14ac:dyDescent="0.2">
      <c r="A281" s="29">
        <v>44531</v>
      </c>
      <c r="B281" s="19">
        <v>450119.16599999997</v>
      </c>
      <c r="C281" s="19">
        <v>0</v>
      </c>
      <c r="D281" s="19">
        <v>495758.39273125515</v>
      </c>
      <c r="E281" s="19">
        <v>0</v>
      </c>
      <c r="F281" s="19">
        <v>450119.16599999997</v>
      </c>
      <c r="G281" s="19">
        <v>495758.39273125515</v>
      </c>
    </row>
    <row r="282" spans="1:7" ht="11.25" customHeight="1" x14ac:dyDescent="0.2">
      <c r="A282" s="29">
        <v>44562</v>
      </c>
      <c r="B282" s="19">
        <v>454002.255</v>
      </c>
      <c r="C282" s="19">
        <v>0</v>
      </c>
      <c r="D282" s="19">
        <v>500035.20231165952</v>
      </c>
      <c r="E282" s="19">
        <v>0</v>
      </c>
      <c r="F282" s="19">
        <v>454002.255</v>
      </c>
      <c r="G282" s="19">
        <v>500035.20231165952</v>
      </c>
    </row>
    <row r="283" spans="1:7" ht="11.25" customHeight="1" x14ac:dyDescent="0.2">
      <c r="A283" s="29">
        <v>44593</v>
      </c>
      <c r="B283" s="19">
        <v>455571.44850000006</v>
      </c>
      <c r="C283" s="19">
        <v>0</v>
      </c>
      <c r="D283" s="19">
        <v>501763.5020736038</v>
      </c>
      <c r="E283" s="19">
        <v>0</v>
      </c>
      <c r="F283" s="19">
        <v>455571.44850000006</v>
      </c>
      <c r="G283" s="19">
        <v>501763.5020736038</v>
      </c>
    </row>
    <row r="284" spans="1:7" ht="11.25" customHeight="1" x14ac:dyDescent="0.2">
      <c r="A284" s="29">
        <v>44621</v>
      </c>
      <c r="B284" s="19">
        <v>455199.09749999997</v>
      </c>
      <c r="C284" s="19">
        <v>0</v>
      </c>
      <c r="D284" s="19">
        <v>501353.39704534574</v>
      </c>
      <c r="E284" s="19">
        <v>0</v>
      </c>
      <c r="F284" s="19">
        <v>455199.09749999997</v>
      </c>
      <c r="G284" s="19">
        <v>501353.39704534574</v>
      </c>
    </row>
    <row r="285" spans="1:7" ht="11.25" customHeight="1" x14ac:dyDescent="0.2">
      <c r="A285" s="29">
        <v>44652</v>
      </c>
      <c r="B285" s="19">
        <v>442415.56800000003</v>
      </c>
      <c r="C285" s="19">
        <v>0</v>
      </c>
      <c r="D285" s="19">
        <v>487273.69878527976</v>
      </c>
      <c r="E285" s="19">
        <v>0</v>
      </c>
      <c r="F285" s="19">
        <v>442415.56800000003</v>
      </c>
      <c r="G285" s="19">
        <v>487273.69878527976</v>
      </c>
    </row>
    <row r="286" spans="1:7" ht="11.25" customHeight="1" x14ac:dyDescent="0.2">
      <c r="A286" s="29">
        <v>44682</v>
      </c>
      <c r="B286" s="19">
        <v>444042.64799999993</v>
      </c>
      <c r="C286" s="19">
        <v>0</v>
      </c>
      <c r="D286" s="19">
        <v>489065.75437094469</v>
      </c>
      <c r="E286" s="19">
        <v>0</v>
      </c>
      <c r="F286" s="19">
        <v>444042.64799999993</v>
      </c>
      <c r="G286" s="19">
        <v>489065.75437094469</v>
      </c>
    </row>
    <row r="287" spans="1:7" ht="11.25" customHeight="1" x14ac:dyDescent="0.2">
      <c r="A287" s="29">
        <v>44713</v>
      </c>
      <c r="B287" s="19">
        <v>450751.22400000005</v>
      </c>
      <c r="C287" s="19">
        <v>0</v>
      </c>
      <c r="D287" s="19">
        <v>496454.53740107123</v>
      </c>
      <c r="E287" s="19">
        <v>0</v>
      </c>
      <c r="F287" s="19">
        <v>450751.22400000005</v>
      </c>
      <c r="G287" s="19">
        <v>496454.53740107123</v>
      </c>
    </row>
    <row r="288" spans="1:7" ht="11.25" customHeight="1" x14ac:dyDescent="0.2">
      <c r="A288" s="29">
        <v>44743</v>
      </c>
      <c r="B288" s="19">
        <v>450751.22400000005</v>
      </c>
      <c r="C288" s="19">
        <v>0</v>
      </c>
      <c r="D288" s="19">
        <v>496454.53740107123</v>
      </c>
      <c r="E288" s="19">
        <v>0</v>
      </c>
      <c r="F288" s="19">
        <v>450751.22400000005</v>
      </c>
      <c r="G288" s="19">
        <v>496454.53740107123</v>
      </c>
    </row>
    <row r="289" spans="1:7" ht="11.25" customHeight="1" x14ac:dyDescent="0.2">
      <c r="A289" s="23" t="s">
        <v>42</v>
      </c>
      <c r="B289" s="19">
        <v>6407000.1611999981</v>
      </c>
      <c r="C289" s="19">
        <v>7182557.9593466008</v>
      </c>
      <c r="D289" s="19">
        <v>7059858.6413579518</v>
      </c>
      <c r="E289" s="19">
        <v>7943283.4405497108</v>
      </c>
      <c r="F289" s="19">
        <v>13589558.120546598</v>
      </c>
      <c r="G289" s="19">
        <v>15003142.081907663</v>
      </c>
    </row>
    <row r="290" spans="1:7" ht="11.25" customHeight="1" x14ac:dyDescent="0.2">
      <c r="A290" s="24" t="s">
        <v>38</v>
      </c>
      <c r="B290" s="19">
        <v>6407000.1611999981</v>
      </c>
      <c r="C290" s="19">
        <v>7182557.9593466008</v>
      </c>
      <c r="D290" s="19">
        <v>7059858.6413579518</v>
      </c>
      <c r="E290" s="19">
        <v>7943283.4405497108</v>
      </c>
      <c r="F290" s="19">
        <v>13589558.120546598</v>
      </c>
      <c r="G290" s="19">
        <v>15003142.081907663</v>
      </c>
    </row>
    <row r="291" spans="1:7" ht="11.25" customHeight="1" x14ac:dyDescent="0.2">
      <c r="A291" s="25" t="s">
        <v>25</v>
      </c>
      <c r="B291" s="19">
        <v>6407000.1611999981</v>
      </c>
      <c r="C291" s="19">
        <v>7182557.9593466008</v>
      </c>
      <c r="D291" s="19">
        <v>7059858.6413579518</v>
      </c>
      <c r="E291" s="19">
        <v>7943283.4405497108</v>
      </c>
      <c r="F291" s="19">
        <v>13589558.120546598</v>
      </c>
      <c r="G291" s="19">
        <v>15003142.081907663</v>
      </c>
    </row>
    <row r="292" spans="1:7" ht="11.25" customHeight="1" x14ac:dyDescent="0.2">
      <c r="A292" s="26" t="s">
        <v>61</v>
      </c>
      <c r="B292" s="19">
        <v>6407000.1611999981</v>
      </c>
      <c r="C292" s="19">
        <v>7182557.9593466008</v>
      </c>
      <c r="D292" s="19">
        <v>7059858.6413579518</v>
      </c>
      <c r="E292" s="19">
        <v>7943283.4405497108</v>
      </c>
      <c r="F292" s="19">
        <v>13589558.120546598</v>
      </c>
      <c r="G292" s="19">
        <v>15003142.081907663</v>
      </c>
    </row>
    <row r="293" spans="1:7" ht="11.25" customHeight="1" x14ac:dyDescent="0.2">
      <c r="A293" s="27" t="s">
        <v>25</v>
      </c>
      <c r="B293" s="19">
        <v>6407000.1611999981</v>
      </c>
      <c r="C293" s="19">
        <v>7182557.9593466008</v>
      </c>
      <c r="D293" s="19">
        <v>7059858.6413579518</v>
      </c>
      <c r="E293" s="19">
        <v>7943283.4405497108</v>
      </c>
      <c r="F293" s="19">
        <v>13589558.120546598</v>
      </c>
      <c r="G293" s="19">
        <v>15003142.081907663</v>
      </c>
    </row>
    <row r="294" spans="1:7" ht="11.25" customHeight="1" x14ac:dyDescent="0.2">
      <c r="A294" s="28" t="s">
        <v>35</v>
      </c>
      <c r="B294" s="19">
        <v>0</v>
      </c>
      <c r="C294" s="19">
        <v>0</v>
      </c>
      <c r="D294" s="19">
        <v>0</v>
      </c>
      <c r="E294" s="19">
        <v>0</v>
      </c>
      <c r="F294" s="19">
        <v>0</v>
      </c>
      <c r="G294" s="19">
        <v>0</v>
      </c>
    </row>
    <row r="295" spans="1:7" ht="11.25" customHeight="1" x14ac:dyDescent="0.2">
      <c r="A295" s="29">
        <v>44409</v>
      </c>
      <c r="B295" s="19">
        <v>0</v>
      </c>
      <c r="C295" s="19">
        <v>0</v>
      </c>
      <c r="D295" s="19">
        <v>0</v>
      </c>
      <c r="E295" s="19">
        <v>0</v>
      </c>
      <c r="F295" s="19">
        <v>0</v>
      </c>
      <c r="G295" s="19">
        <v>0</v>
      </c>
    </row>
    <row r="296" spans="1:7" ht="11.25" customHeight="1" x14ac:dyDescent="0.2">
      <c r="A296" s="29">
        <v>44440</v>
      </c>
      <c r="B296" s="19">
        <v>0</v>
      </c>
      <c r="C296" s="19">
        <v>0</v>
      </c>
      <c r="D296" s="19">
        <v>0</v>
      </c>
      <c r="E296" s="19">
        <v>0</v>
      </c>
      <c r="F296" s="19">
        <v>0</v>
      </c>
      <c r="G296" s="19">
        <v>0</v>
      </c>
    </row>
    <row r="297" spans="1:7" ht="11.25" customHeight="1" x14ac:dyDescent="0.2">
      <c r="A297" s="29">
        <v>44470</v>
      </c>
      <c r="B297" s="19">
        <v>0</v>
      </c>
      <c r="C297" s="19">
        <v>0</v>
      </c>
      <c r="D297" s="19">
        <v>0</v>
      </c>
      <c r="E297" s="19">
        <v>0</v>
      </c>
      <c r="F297" s="19">
        <v>0</v>
      </c>
      <c r="G297" s="19">
        <v>0</v>
      </c>
    </row>
    <row r="298" spans="1:7" ht="11.25" customHeight="1" x14ac:dyDescent="0.2">
      <c r="A298" s="29">
        <v>44501</v>
      </c>
      <c r="B298" s="19">
        <v>0</v>
      </c>
      <c r="C298" s="19">
        <v>0</v>
      </c>
      <c r="D298" s="19">
        <v>0</v>
      </c>
      <c r="E298" s="19">
        <v>0</v>
      </c>
      <c r="F298" s="19">
        <v>0</v>
      </c>
      <c r="G298" s="19">
        <v>0</v>
      </c>
    </row>
    <row r="299" spans="1:7" ht="11.25" customHeight="1" x14ac:dyDescent="0.2">
      <c r="A299" s="29">
        <v>44531</v>
      </c>
      <c r="B299" s="19">
        <v>0</v>
      </c>
      <c r="C299" s="19">
        <v>0</v>
      </c>
      <c r="D299" s="19">
        <v>0</v>
      </c>
      <c r="E299" s="19">
        <v>0</v>
      </c>
      <c r="F299" s="19">
        <v>0</v>
      </c>
      <c r="G299" s="19">
        <v>0</v>
      </c>
    </row>
    <row r="300" spans="1:7" ht="11.25" customHeight="1" x14ac:dyDescent="0.2">
      <c r="A300" s="29">
        <v>44562</v>
      </c>
      <c r="B300" s="19">
        <v>0</v>
      </c>
      <c r="C300" s="19">
        <v>0</v>
      </c>
      <c r="D300" s="19">
        <v>0</v>
      </c>
      <c r="E300" s="19">
        <v>0</v>
      </c>
      <c r="F300" s="19">
        <v>0</v>
      </c>
      <c r="G300" s="19">
        <v>0</v>
      </c>
    </row>
    <row r="301" spans="1:7" ht="11.25" customHeight="1" x14ac:dyDescent="0.2">
      <c r="A301" s="29">
        <v>44593</v>
      </c>
      <c r="B301" s="19">
        <v>0</v>
      </c>
      <c r="C301" s="19">
        <v>0</v>
      </c>
      <c r="D301" s="19">
        <v>0</v>
      </c>
      <c r="E301" s="19">
        <v>0</v>
      </c>
      <c r="F301" s="19">
        <v>0</v>
      </c>
      <c r="G301" s="19">
        <v>0</v>
      </c>
    </row>
    <row r="302" spans="1:7" ht="11.25" customHeight="1" x14ac:dyDescent="0.2">
      <c r="A302" s="29">
        <v>44621</v>
      </c>
      <c r="B302" s="19">
        <v>0</v>
      </c>
      <c r="C302" s="19">
        <v>0</v>
      </c>
      <c r="D302" s="19">
        <v>0</v>
      </c>
      <c r="E302" s="19">
        <v>0</v>
      </c>
      <c r="F302" s="19">
        <v>0</v>
      </c>
      <c r="G302" s="19">
        <v>0</v>
      </c>
    </row>
    <row r="303" spans="1:7" ht="11.25" customHeight="1" x14ac:dyDescent="0.2">
      <c r="A303" s="29">
        <v>44652</v>
      </c>
      <c r="B303" s="19">
        <v>0</v>
      </c>
      <c r="C303" s="19">
        <v>0</v>
      </c>
      <c r="D303" s="19">
        <v>0</v>
      </c>
      <c r="E303" s="19">
        <v>0</v>
      </c>
      <c r="F303" s="19">
        <v>0</v>
      </c>
      <c r="G303" s="19">
        <v>0</v>
      </c>
    </row>
    <row r="304" spans="1:7" ht="11.25" customHeight="1" x14ac:dyDescent="0.2">
      <c r="A304" s="29">
        <v>44682</v>
      </c>
      <c r="B304" s="19">
        <v>0</v>
      </c>
      <c r="C304" s="19">
        <v>0</v>
      </c>
      <c r="D304" s="19">
        <v>0</v>
      </c>
      <c r="E304" s="19">
        <v>0</v>
      </c>
      <c r="F304" s="19">
        <v>0</v>
      </c>
      <c r="G304" s="19">
        <v>0</v>
      </c>
    </row>
    <row r="305" spans="1:7" ht="11.25" customHeight="1" x14ac:dyDescent="0.2">
      <c r="A305" s="29">
        <v>44713</v>
      </c>
      <c r="B305" s="19">
        <v>0</v>
      </c>
      <c r="C305" s="19">
        <v>0</v>
      </c>
      <c r="D305" s="19">
        <v>0</v>
      </c>
      <c r="E305" s="19">
        <v>0</v>
      </c>
      <c r="F305" s="19">
        <v>0</v>
      </c>
      <c r="G305" s="19">
        <v>0</v>
      </c>
    </row>
    <row r="306" spans="1:7" ht="11.25" customHeight="1" x14ac:dyDescent="0.2">
      <c r="A306" s="29">
        <v>44743</v>
      </c>
      <c r="B306" s="19">
        <v>0</v>
      </c>
      <c r="C306" s="19">
        <v>0</v>
      </c>
      <c r="D306" s="19">
        <v>0</v>
      </c>
      <c r="E306" s="19">
        <v>0</v>
      </c>
      <c r="F306" s="19">
        <v>0</v>
      </c>
      <c r="G306" s="19">
        <v>0</v>
      </c>
    </row>
    <row r="307" spans="1:7" ht="11.25" customHeight="1" x14ac:dyDescent="0.2">
      <c r="A307" s="28" t="s">
        <v>25</v>
      </c>
      <c r="B307" s="19">
        <v>6407000.1611999981</v>
      </c>
      <c r="C307" s="19">
        <v>0</v>
      </c>
      <c r="D307" s="19">
        <v>7059858.6413579518</v>
      </c>
      <c r="E307" s="19">
        <v>0</v>
      </c>
      <c r="F307" s="19">
        <v>6407000.1611999981</v>
      </c>
      <c r="G307" s="19">
        <v>7059858.6413579518</v>
      </c>
    </row>
    <row r="308" spans="1:7" ht="11.25" customHeight="1" x14ac:dyDescent="0.2">
      <c r="A308" s="29">
        <v>44409</v>
      </c>
      <c r="B308" s="19">
        <v>487041.74400000001</v>
      </c>
      <c r="C308" s="19">
        <v>0</v>
      </c>
      <c r="D308" s="19">
        <v>536670.16990310838</v>
      </c>
      <c r="E308" s="19">
        <v>0</v>
      </c>
      <c r="F308" s="19">
        <v>487041.74400000001</v>
      </c>
      <c r="G308" s="19">
        <v>536670.16990310838</v>
      </c>
    </row>
    <row r="309" spans="1:7" ht="11.25" customHeight="1" x14ac:dyDescent="0.2">
      <c r="A309" s="29">
        <v>44440</v>
      </c>
      <c r="B309" s="19">
        <v>526731.22019999998</v>
      </c>
      <c r="C309" s="19">
        <v>0</v>
      </c>
      <c r="D309" s="19">
        <v>580403.91182158212</v>
      </c>
      <c r="E309" s="19">
        <v>0</v>
      </c>
      <c r="F309" s="19">
        <v>526731.22019999998</v>
      </c>
      <c r="G309" s="19">
        <v>580403.91182158212</v>
      </c>
    </row>
    <row r="310" spans="1:7" ht="11.25" customHeight="1" x14ac:dyDescent="0.2">
      <c r="A310" s="29">
        <v>44470</v>
      </c>
      <c r="B310" s="19">
        <v>460646.07</v>
      </c>
      <c r="C310" s="19">
        <v>0</v>
      </c>
      <c r="D310" s="19">
        <v>507584.83784523234</v>
      </c>
      <c r="E310" s="19">
        <v>0</v>
      </c>
      <c r="F310" s="19">
        <v>460646.07</v>
      </c>
      <c r="G310" s="19">
        <v>507584.83784523234</v>
      </c>
    </row>
    <row r="311" spans="1:7" ht="11.25" customHeight="1" x14ac:dyDescent="0.2">
      <c r="A311" s="29">
        <v>44501</v>
      </c>
      <c r="B311" s="19">
        <v>513525.51719999994</v>
      </c>
      <c r="C311" s="19">
        <v>0</v>
      </c>
      <c r="D311" s="19">
        <v>565852.57826545893</v>
      </c>
      <c r="E311" s="19">
        <v>0</v>
      </c>
      <c r="F311" s="19">
        <v>513525.51719999994</v>
      </c>
      <c r="G311" s="19">
        <v>565852.57826545893</v>
      </c>
    </row>
    <row r="312" spans="1:7" ht="11.25" customHeight="1" x14ac:dyDescent="0.2">
      <c r="A312" s="29">
        <v>44531</v>
      </c>
      <c r="B312" s="19">
        <v>518037.45480000001</v>
      </c>
      <c r="C312" s="19">
        <v>0</v>
      </c>
      <c r="D312" s="19">
        <v>570824.27185890218</v>
      </c>
      <c r="E312" s="19">
        <v>0</v>
      </c>
      <c r="F312" s="19">
        <v>518037.45480000001</v>
      </c>
      <c r="G312" s="19">
        <v>570824.27185890218</v>
      </c>
    </row>
    <row r="313" spans="1:7" ht="11.25" customHeight="1" x14ac:dyDescent="0.2">
      <c r="A313" s="29">
        <v>44562</v>
      </c>
      <c r="B313" s="19">
        <v>526695.03659999999</v>
      </c>
      <c r="C313" s="19">
        <v>0</v>
      </c>
      <c r="D313" s="19">
        <v>580364.0411965301</v>
      </c>
      <c r="E313" s="19">
        <v>0</v>
      </c>
      <c r="F313" s="19">
        <v>526695.03659999999</v>
      </c>
      <c r="G313" s="19">
        <v>580364.0411965301</v>
      </c>
    </row>
    <row r="314" spans="1:7" ht="11.25" customHeight="1" x14ac:dyDescent="0.2">
      <c r="A314" s="29">
        <v>44593</v>
      </c>
      <c r="B314" s="19">
        <v>535301.75159999996</v>
      </c>
      <c r="C314" s="19">
        <v>0</v>
      </c>
      <c r="D314" s="19">
        <v>589847.76052502706</v>
      </c>
      <c r="E314" s="19">
        <v>0</v>
      </c>
      <c r="F314" s="19">
        <v>535301.75159999996</v>
      </c>
      <c r="G314" s="19">
        <v>589847.76052502706</v>
      </c>
    </row>
    <row r="315" spans="1:7" ht="11.25" customHeight="1" x14ac:dyDescent="0.2">
      <c r="A315" s="29">
        <v>44621</v>
      </c>
      <c r="B315" s="19">
        <v>535004.41679999989</v>
      </c>
      <c r="C315" s="19">
        <v>0</v>
      </c>
      <c r="D315" s="19">
        <v>589520.12799742562</v>
      </c>
      <c r="E315" s="19">
        <v>0</v>
      </c>
      <c r="F315" s="19">
        <v>535004.41679999989</v>
      </c>
      <c r="G315" s="19">
        <v>589520.12799742562</v>
      </c>
    </row>
    <row r="316" spans="1:7" ht="11.25" customHeight="1" x14ac:dyDescent="0.2">
      <c r="A316" s="29">
        <v>44652</v>
      </c>
      <c r="B316" s="19">
        <v>535584.40319999994</v>
      </c>
      <c r="C316" s="19">
        <v>0</v>
      </c>
      <c r="D316" s="19">
        <v>590159.21366854932</v>
      </c>
      <c r="E316" s="19">
        <v>0</v>
      </c>
      <c r="F316" s="19">
        <v>535584.40319999994</v>
      </c>
      <c r="G316" s="19">
        <v>590159.21366854932</v>
      </c>
    </row>
    <row r="317" spans="1:7" ht="11.25" customHeight="1" x14ac:dyDescent="0.2">
      <c r="A317" s="29">
        <v>44682</v>
      </c>
      <c r="B317" s="19">
        <v>533602.17119999998</v>
      </c>
      <c r="C317" s="19">
        <v>0</v>
      </c>
      <c r="D317" s="19">
        <v>587974.99681787344</v>
      </c>
      <c r="E317" s="19">
        <v>0</v>
      </c>
      <c r="F317" s="19">
        <v>533602.17119999998</v>
      </c>
      <c r="G317" s="19">
        <v>587974.99681787344</v>
      </c>
    </row>
    <row r="318" spans="1:7" ht="11.25" customHeight="1" x14ac:dyDescent="0.2">
      <c r="A318" s="29">
        <v>44713</v>
      </c>
      <c r="B318" s="19">
        <v>617415.18779999996</v>
      </c>
      <c r="C318" s="19">
        <v>0</v>
      </c>
      <c r="D318" s="19">
        <v>680328.36572913046</v>
      </c>
      <c r="E318" s="19">
        <v>0</v>
      </c>
      <c r="F318" s="19">
        <v>617415.18779999996</v>
      </c>
      <c r="G318" s="19">
        <v>680328.36572913046</v>
      </c>
    </row>
    <row r="319" spans="1:7" ht="11.25" customHeight="1" x14ac:dyDescent="0.2">
      <c r="A319" s="29">
        <v>44743</v>
      </c>
      <c r="B319" s="19">
        <v>617415.18779999996</v>
      </c>
      <c r="C319" s="19">
        <v>0</v>
      </c>
      <c r="D319" s="19">
        <v>680328.36572913046</v>
      </c>
      <c r="E319" s="19">
        <v>0</v>
      </c>
      <c r="F319" s="19">
        <v>617415.18779999996</v>
      </c>
      <c r="G319" s="19">
        <v>680328.36572913046</v>
      </c>
    </row>
    <row r="320" spans="1:7" ht="11.25" customHeight="1" x14ac:dyDescent="0.2">
      <c r="A320" s="28" t="s">
        <v>34</v>
      </c>
      <c r="B320" s="19">
        <v>0</v>
      </c>
      <c r="C320" s="19">
        <v>7182557.9593466008</v>
      </c>
      <c r="D320" s="19">
        <v>0</v>
      </c>
      <c r="E320" s="19">
        <v>7943283.4405497108</v>
      </c>
      <c r="F320" s="19">
        <v>7182557.9593466008</v>
      </c>
      <c r="G320" s="19">
        <v>7943283.4405497108</v>
      </c>
    </row>
    <row r="321" spans="1:7" ht="11.25" customHeight="1" x14ac:dyDescent="0.2">
      <c r="A321" s="29">
        <v>44409</v>
      </c>
      <c r="B321" s="19">
        <v>0</v>
      </c>
      <c r="C321" s="19">
        <v>420584.79496000003</v>
      </c>
      <c r="D321" s="19">
        <v>0</v>
      </c>
      <c r="E321" s="19">
        <v>465130.14667781111</v>
      </c>
      <c r="F321" s="19">
        <v>420584.79496000003</v>
      </c>
      <c r="G321" s="19">
        <v>465130.14667781111</v>
      </c>
    </row>
    <row r="322" spans="1:7" ht="11.25" customHeight="1" x14ac:dyDescent="0.2">
      <c r="A322" s="29">
        <v>44440</v>
      </c>
      <c r="B322" s="19">
        <v>0</v>
      </c>
      <c r="C322" s="19">
        <v>369182.15637479996</v>
      </c>
      <c r="D322" s="19">
        <v>0</v>
      </c>
      <c r="E322" s="19">
        <v>408283.30601388629</v>
      </c>
      <c r="F322" s="19">
        <v>369182.15637479996</v>
      </c>
      <c r="G322" s="19">
        <v>408283.30601388629</v>
      </c>
    </row>
    <row r="323" spans="1:7" ht="11.25" customHeight="1" x14ac:dyDescent="0.2">
      <c r="A323" s="29">
        <v>44470</v>
      </c>
      <c r="B323" s="19">
        <v>0</v>
      </c>
      <c r="C323" s="19">
        <v>485389.94911679998</v>
      </c>
      <c r="D323" s="19">
        <v>0</v>
      </c>
      <c r="E323" s="19">
        <v>536799.002089708</v>
      </c>
      <c r="F323" s="19">
        <v>485389.94911679998</v>
      </c>
      <c r="G323" s="19">
        <v>536799.002089708</v>
      </c>
    </row>
    <row r="324" spans="1:7" ht="11.25" customHeight="1" x14ac:dyDescent="0.2">
      <c r="A324" s="29">
        <v>44501</v>
      </c>
      <c r="B324" s="19">
        <v>0</v>
      </c>
      <c r="C324" s="19">
        <v>571654.57967520005</v>
      </c>
      <c r="D324" s="19">
        <v>0</v>
      </c>
      <c r="E324" s="19">
        <v>632200.1690970693</v>
      </c>
      <c r="F324" s="19">
        <v>571654.57967520005</v>
      </c>
      <c r="G324" s="19">
        <v>632200.1690970693</v>
      </c>
    </row>
    <row r="325" spans="1:7" ht="11.25" customHeight="1" x14ac:dyDescent="0.2">
      <c r="A325" s="29">
        <v>44531</v>
      </c>
      <c r="B325" s="19">
        <v>0</v>
      </c>
      <c r="C325" s="19">
        <v>658669.33097839996</v>
      </c>
      <c r="D325" s="19">
        <v>0</v>
      </c>
      <c r="E325" s="19">
        <v>728430.90430621989</v>
      </c>
      <c r="F325" s="19">
        <v>658669.33097839996</v>
      </c>
      <c r="G325" s="19">
        <v>728430.90430621989</v>
      </c>
    </row>
    <row r="326" spans="1:7" ht="11.25" customHeight="1" x14ac:dyDescent="0.2">
      <c r="A326" s="29">
        <v>44562</v>
      </c>
      <c r="B326" s="19">
        <v>0</v>
      </c>
      <c r="C326" s="19">
        <v>683007.67108750006</v>
      </c>
      <c r="D326" s="19">
        <v>0</v>
      </c>
      <c r="E326" s="19">
        <v>755346.98838842462</v>
      </c>
      <c r="F326" s="19">
        <v>683007.67108750006</v>
      </c>
      <c r="G326" s="19">
        <v>755346.98838842462</v>
      </c>
    </row>
    <row r="327" spans="1:7" ht="11.25" customHeight="1" x14ac:dyDescent="0.2">
      <c r="A327" s="29">
        <v>44593</v>
      </c>
      <c r="B327" s="19">
        <v>0</v>
      </c>
      <c r="C327" s="19">
        <v>528019.4392741</v>
      </c>
      <c r="D327" s="19">
        <v>0</v>
      </c>
      <c r="E327" s="19">
        <v>583943.50480895396</v>
      </c>
      <c r="F327" s="19">
        <v>528019.4392741</v>
      </c>
      <c r="G327" s="19">
        <v>583943.50480895396</v>
      </c>
    </row>
    <row r="328" spans="1:7" ht="11.25" customHeight="1" x14ac:dyDescent="0.2">
      <c r="A328" s="29">
        <v>44621</v>
      </c>
      <c r="B328" s="19">
        <v>0</v>
      </c>
      <c r="C328" s="19">
        <v>594084.37647420005</v>
      </c>
      <c r="D328" s="19">
        <v>0</v>
      </c>
      <c r="E328" s="19">
        <v>657005.5705288176</v>
      </c>
      <c r="F328" s="19">
        <v>594084.37647420005</v>
      </c>
      <c r="G328" s="19">
        <v>657005.5705288176</v>
      </c>
    </row>
    <row r="329" spans="1:7" ht="11.25" customHeight="1" x14ac:dyDescent="0.2">
      <c r="A329" s="29">
        <v>44652</v>
      </c>
      <c r="B329" s="19">
        <v>0</v>
      </c>
      <c r="C329" s="19">
        <v>756926.1697647</v>
      </c>
      <c r="D329" s="19">
        <v>0</v>
      </c>
      <c r="E329" s="19">
        <v>837094.40898930351</v>
      </c>
      <c r="F329" s="19">
        <v>756926.1697647</v>
      </c>
      <c r="G329" s="19">
        <v>837094.40898930351</v>
      </c>
    </row>
    <row r="330" spans="1:7" ht="11.25" customHeight="1" x14ac:dyDescent="0.2">
      <c r="A330" s="29">
        <v>44682</v>
      </c>
      <c r="B330" s="19">
        <v>0</v>
      </c>
      <c r="C330" s="19">
        <v>618569.83559730009</v>
      </c>
      <c r="D330" s="19">
        <v>0</v>
      </c>
      <c r="E330" s="19">
        <v>684084.35542517656</v>
      </c>
      <c r="F330" s="19">
        <v>618569.83559730009</v>
      </c>
      <c r="G330" s="19">
        <v>684084.35542517656</v>
      </c>
    </row>
    <row r="331" spans="1:7" ht="11.25" customHeight="1" x14ac:dyDescent="0.2">
      <c r="A331" s="29">
        <v>44713</v>
      </c>
      <c r="B331" s="19">
        <v>0</v>
      </c>
      <c r="C331" s="19">
        <v>748234.82802180015</v>
      </c>
      <c r="D331" s="19">
        <v>0</v>
      </c>
      <c r="E331" s="19">
        <v>827482.54211217014</v>
      </c>
      <c r="F331" s="19">
        <v>748234.82802180015</v>
      </c>
      <c r="G331" s="19">
        <v>827482.54211217014</v>
      </c>
    </row>
    <row r="332" spans="1:7" ht="11.25" customHeight="1" x14ac:dyDescent="0.2">
      <c r="A332" s="29">
        <v>44743</v>
      </c>
      <c r="B332" s="19">
        <v>0</v>
      </c>
      <c r="C332" s="19">
        <v>748234.82802180015</v>
      </c>
      <c r="D332" s="19">
        <v>0</v>
      </c>
      <c r="E332" s="19">
        <v>827482.54211217014</v>
      </c>
      <c r="F332" s="19">
        <v>748234.82802180015</v>
      </c>
      <c r="G332" s="19">
        <v>827482.54211217014</v>
      </c>
    </row>
    <row r="333" spans="1:7" ht="11.25" customHeight="1" x14ac:dyDescent="0.2">
      <c r="A333" s="21" t="s">
        <v>1000</v>
      </c>
      <c r="B333" s="19">
        <v>18483923.330000002</v>
      </c>
      <c r="C333" s="19">
        <v>0</v>
      </c>
      <c r="D333" s="19">
        <v>20214333.468613695</v>
      </c>
      <c r="E333" s="19">
        <v>0</v>
      </c>
      <c r="F333" s="19">
        <v>18483923.330000002</v>
      </c>
      <c r="G333" s="19">
        <v>20214333.468613695</v>
      </c>
    </row>
    <row r="334" spans="1:7" ht="11.25" customHeight="1" x14ac:dyDescent="0.2">
      <c r="A334" s="22" t="s">
        <v>39</v>
      </c>
      <c r="B334" s="19">
        <v>16454375.699999999</v>
      </c>
      <c r="C334" s="19">
        <v>0</v>
      </c>
      <c r="D334" s="19">
        <v>17966200.067901183</v>
      </c>
      <c r="E334" s="19">
        <v>0</v>
      </c>
      <c r="F334" s="19">
        <v>16454375.699999999</v>
      </c>
      <c r="G334" s="19">
        <v>17966200.067901183</v>
      </c>
    </row>
    <row r="335" spans="1:7" ht="11.25" customHeight="1" x14ac:dyDescent="0.2">
      <c r="A335" s="23" t="s">
        <v>66</v>
      </c>
      <c r="B335" s="19">
        <v>16454375.699999999</v>
      </c>
      <c r="C335" s="19">
        <v>0</v>
      </c>
      <c r="D335" s="19">
        <v>17966200.067901183</v>
      </c>
      <c r="E335" s="19">
        <v>0</v>
      </c>
      <c r="F335" s="19">
        <v>16454375.699999999</v>
      </c>
      <c r="G335" s="19">
        <v>17966200.067901183</v>
      </c>
    </row>
    <row r="336" spans="1:7" ht="11.25" customHeight="1" x14ac:dyDescent="0.2">
      <c r="A336" s="24" t="s">
        <v>25</v>
      </c>
      <c r="B336" s="19">
        <v>16454375.699999999</v>
      </c>
      <c r="C336" s="19">
        <v>0</v>
      </c>
      <c r="D336" s="19">
        <v>17966200.067901183</v>
      </c>
      <c r="E336" s="19">
        <v>0</v>
      </c>
      <c r="F336" s="19">
        <v>16454375.699999999</v>
      </c>
      <c r="G336" s="19">
        <v>17966200.067901183</v>
      </c>
    </row>
    <row r="337" spans="1:7" ht="11.25" customHeight="1" x14ac:dyDescent="0.2">
      <c r="A337" s="25" t="s">
        <v>25</v>
      </c>
      <c r="B337" s="19">
        <v>16454375.699999999</v>
      </c>
      <c r="C337" s="19">
        <v>0</v>
      </c>
      <c r="D337" s="19">
        <v>17966200.067901183</v>
      </c>
      <c r="E337" s="19">
        <v>0</v>
      </c>
      <c r="F337" s="19">
        <v>16454375.699999999</v>
      </c>
      <c r="G337" s="19">
        <v>17966200.067901183</v>
      </c>
    </row>
    <row r="338" spans="1:7" ht="11.25" customHeight="1" x14ac:dyDescent="0.2">
      <c r="A338" s="26" t="s">
        <v>25</v>
      </c>
      <c r="B338" s="19">
        <v>16454375.699999999</v>
      </c>
      <c r="C338" s="19">
        <v>0</v>
      </c>
      <c r="D338" s="19">
        <v>17966200.067901183</v>
      </c>
      <c r="E338" s="19">
        <v>0</v>
      </c>
      <c r="F338" s="19">
        <v>16454375.699999999</v>
      </c>
      <c r="G338" s="19">
        <v>17966200.067901183</v>
      </c>
    </row>
    <row r="339" spans="1:7" ht="11.25" customHeight="1" x14ac:dyDescent="0.2">
      <c r="A339" s="27" t="s">
        <v>78</v>
      </c>
      <c r="B339" s="19">
        <v>2089800</v>
      </c>
      <c r="C339" s="19">
        <v>0</v>
      </c>
      <c r="D339" s="19">
        <v>2281810.3577092835</v>
      </c>
      <c r="E339" s="19">
        <v>0</v>
      </c>
      <c r="F339" s="19">
        <v>2089800</v>
      </c>
      <c r="G339" s="19">
        <v>2281810.3577092835</v>
      </c>
    </row>
    <row r="340" spans="1:7" ht="11.25" customHeight="1" x14ac:dyDescent="0.2">
      <c r="A340" s="28" t="s">
        <v>25</v>
      </c>
      <c r="B340" s="19">
        <v>2089800</v>
      </c>
      <c r="C340" s="19">
        <v>0</v>
      </c>
      <c r="D340" s="19">
        <v>2281810.3577092835</v>
      </c>
      <c r="E340" s="19">
        <v>0</v>
      </c>
      <c r="F340" s="19">
        <v>2089800</v>
      </c>
      <c r="G340" s="19">
        <v>2281810.3577092835</v>
      </c>
    </row>
    <row r="341" spans="1:7" ht="11.25" customHeight="1" x14ac:dyDescent="0.2">
      <c r="A341" s="29">
        <v>44409</v>
      </c>
      <c r="B341" s="19">
        <v>174150</v>
      </c>
      <c r="C341" s="19">
        <v>0</v>
      </c>
      <c r="D341" s="19">
        <v>190150.86314244027</v>
      </c>
      <c r="E341" s="19">
        <v>0</v>
      </c>
      <c r="F341" s="19">
        <v>174150</v>
      </c>
      <c r="G341" s="19">
        <v>190150.86314244027</v>
      </c>
    </row>
    <row r="342" spans="1:7" ht="11.25" customHeight="1" x14ac:dyDescent="0.2">
      <c r="A342" s="29">
        <v>44440</v>
      </c>
      <c r="B342" s="19">
        <v>174150</v>
      </c>
      <c r="C342" s="19">
        <v>0</v>
      </c>
      <c r="D342" s="19">
        <v>190150.86314244027</v>
      </c>
      <c r="E342" s="19">
        <v>0</v>
      </c>
      <c r="F342" s="19">
        <v>174150</v>
      </c>
      <c r="G342" s="19">
        <v>190150.86314244027</v>
      </c>
    </row>
    <row r="343" spans="1:7" ht="11.25" customHeight="1" x14ac:dyDescent="0.2">
      <c r="A343" s="29">
        <v>44470</v>
      </c>
      <c r="B343" s="19">
        <v>174150</v>
      </c>
      <c r="C343" s="19">
        <v>0</v>
      </c>
      <c r="D343" s="19">
        <v>190150.86314244027</v>
      </c>
      <c r="E343" s="19">
        <v>0</v>
      </c>
      <c r="F343" s="19">
        <v>174150</v>
      </c>
      <c r="G343" s="19">
        <v>190150.86314244027</v>
      </c>
    </row>
    <row r="344" spans="1:7" ht="11.25" customHeight="1" x14ac:dyDescent="0.2">
      <c r="A344" s="29">
        <v>44501</v>
      </c>
      <c r="B344" s="19">
        <v>174150</v>
      </c>
      <c r="C344" s="19">
        <v>0</v>
      </c>
      <c r="D344" s="19">
        <v>190150.86314244027</v>
      </c>
      <c r="E344" s="19">
        <v>0</v>
      </c>
      <c r="F344" s="19">
        <v>174150</v>
      </c>
      <c r="G344" s="19">
        <v>190150.86314244027</v>
      </c>
    </row>
    <row r="345" spans="1:7" ht="11.25" customHeight="1" x14ac:dyDescent="0.2">
      <c r="A345" s="29">
        <v>44531</v>
      </c>
      <c r="B345" s="19">
        <v>174150</v>
      </c>
      <c r="C345" s="19">
        <v>0</v>
      </c>
      <c r="D345" s="19">
        <v>190150.86314244027</v>
      </c>
      <c r="E345" s="19">
        <v>0</v>
      </c>
      <c r="F345" s="19">
        <v>174150</v>
      </c>
      <c r="G345" s="19">
        <v>190150.86314244027</v>
      </c>
    </row>
    <row r="346" spans="1:7" ht="11.25" customHeight="1" x14ac:dyDescent="0.2">
      <c r="A346" s="29">
        <v>44562</v>
      </c>
      <c r="B346" s="19">
        <v>174150</v>
      </c>
      <c r="C346" s="19">
        <v>0</v>
      </c>
      <c r="D346" s="19">
        <v>190150.86314244027</v>
      </c>
      <c r="E346" s="19">
        <v>0</v>
      </c>
      <c r="F346" s="19">
        <v>174150</v>
      </c>
      <c r="G346" s="19">
        <v>190150.86314244027</v>
      </c>
    </row>
    <row r="347" spans="1:7" ht="11.25" customHeight="1" x14ac:dyDescent="0.2">
      <c r="A347" s="29">
        <v>44593</v>
      </c>
      <c r="B347" s="19">
        <v>174150</v>
      </c>
      <c r="C347" s="19">
        <v>0</v>
      </c>
      <c r="D347" s="19">
        <v>190150.86314244027</v>
      </c>
      <c r="E347" s="19">
        <v>0</v>
      </c>
      <c r="F347" s="19">
        <v>174150</v>
      </c>
      <c r="G347" s="19">
        <v>190150.86314244027</v>
      </c>
    </row>
    <row r="348" spans="1:7" ht="11.25" customHeight="1" x14ac:dyDescent="0.2">
      <c r="A348" s="29">
        <v>44621</v>
      </c>
      <c r="B348" s="19">
        <v>174150</v>
      </c>
      <c r="C348" s="19">
        <v>0</v>
      </c>
      <c r="D348" s="19">
        <v>190150.86314244027</v>
      </c>
      <c r="E348" s="19">
        <v>0</v>
      </c>
      <c r="F348" s="19">
        <v>174150</v>
      </c>
      <c r="G348" s="19">
        <v>190150.86314244027</v>
      </c>
    </row>
    <row r="349" spans="1:7" ht="11.25" customHeight="1" x14ac:dyDescent="0.2">
      <c r="A349" s="29">
        <v>44652</v>
      </c>
      <c r="B349" s="19">
        <v>174150</v>
      </c>
      <c r="C349" s="19">
        <v>0</v>
      </c>
      <c r="D349" s="19">
        <v>190150.86314244027</v>
      </c>
      <c r="E349" s="19">
        <v>0</v>
      </c>
      <c r="F349" s="19">
        <v>174150</v>
      </c>
      <c r="G349" s="19">
        <v>190150.86314244027</v>
      </c>
    </row>
    <row r="350" spans="1:7" ht="11.25" customHeight="1" x14ac:dyDescent="0.2">
      <c r="A350" s="29">
        <v>44682</v>
      </c>
      <c r="B350" s="19">
        <v>174150</v>
      </c>
      <c r="C350" s="19">
        <v>0</v>
      </c>
      <c r="D350" s="19">
        <v>190150.86314244027</v>
      </c>
      <c r="E350" s="19">
        <v>0</v>
      </c>
      <c r="F350" s="19">
        <v>174150</v>
      </c>
      <c r="G350" s="19">
        <v>190150.86314244027</v>
      </c>
    </row>
    <row r="351" spans="1:7" ht="11.25" customHeight="1" x14ac:dyDescent="0.2">
      <c r="A351" s="29">
        <v>44713</v>
      </c>
      <c r="B351" s="19">
        <v>174150</v>
      </c>
      <c r="C351" s="19">
        <v>0</v>
      </c>
      <c r="D351" s="19">
        <v>190150.86314244027</v>
      </c>
      <c r="E351" s="19">
        <v>0</v>
      </c>
      <c r="F351" s="19">
        <v>174150</v>
      </c>
      <c r="G351" s="19">
        <v>190150.86314244027</v>
      </c>
    </row>
    <row r="352" spans="1:7" ht="11.25" customHeight="1" x14ac:dyDescent="0.2">
      <c r="A352" s="29">
        <v>44743</v>
      </c>
      <c r="B352" s="19">
        <v>174150</v>
      </c>
      <c r="C352" s="19">
        <v>0</v>
      </c>
      <c r="D352" s="19">
        <v>190150.86314244027</v>
      </c>
      <c r="E352" s="19">
        <v>0</v>
      </c>
      <c r="F352" s="19">
        <v>174150</v>
      </c>
      <c r="G352" s="19">
        <v>190150.86314244027</v>
      </c>
    </row>
    <row r="353" spans="1:7" ht="11.25" customHeight="1" x14ac:dyDescent="0.2">
      <c r="A353" s="27" t="s">
        <v>75</v>
      </c>
      <c r="B353" s="19">
        <v>2322000</v>
      </c>
      <c r="C353" s="19">
        <v>0</v>
      </c>
      <c r="D353" s="19">
        <v>2535344.8418992031</v>
      </c>
      <c r="E353" s="19">
        <v>0</v>
      </c>
      <c r="F353" s="19">
        <v>2322000</v>
      </c>
      <c r="G353" s="19">
        <v>2535344.8418992031</v>
      </c>
    </row>
    <row r="354" spans="1:7" ht="11.25" customHeight="1" x14ac:dyDescent="0.2">
      <c r="A354" s="28" t="s">
        <v>25</v>
      </c>
      <c r="B354" s="19">
        <v>2322000</v>
      </c>
      <c r="C354" s="19">
        <v>0</v>
      </c>
      <c r="D354" s="19">
        <v>2535344.8418992031</v>
      </c>
      <c r="E354" s="19">
        <v>0</v>
      </c>
      <c r="F354" s="19">
        <v>2322000</v>
      </c>
      <c r="G354" s="19">
        <v>2535344.8418992031</v>
      </c>
    </row>
    <row r="355" spans="1:7" ht="11.25" customHeight="1" x14ac:dyDescent="0.2">
      <c r="A355" s="29">
        <v>44409</v>
      </c>
      <c r="B355" s="19">
        <v>193500</v>
      </c>
      <c r="C355" s="19">
        <v>0</v>
      </c>
      <c r="D355" s="19">
        <v>211278.73682493364</v>
      </c>
      <c r="E355" s="19">
        <v>0</v>
      </c>
      <c r="F355" s="19">
        <v>193500</v>
      </c>
      <c r="G355" s="19">
        <v>211278.73682493364</v>
      </c>
    </row>
    <row r="356" spans="1:7" ht="11.25" customHeight="1" x14ac:dyDescent="0.2">
      <c r="A356" s="29">
        <v>44440</v>
      </c>
      <c r="B356" s="19">
        <v>193500</v>
      </c>
      <c r="C356" s="19">
        <v>0</v>
      </c>
      <c r="D356" s="19">
        <v>211278.73682493364</v>
      </c>
      <c r="E356" s="19">
        <v>0</v>
      </c>
      <c r="F356" s="19">
        <v>193500</v>
      </c>
      <c r="G356" s="19">
        <v>211278.73682493364</v>
      </c>
    </row>
    <row r="357" spans="1:7" ht="11.25" customHeight="1" x14ac:dyDescent="0.2">
      <c r="A357" s="29">
        <v>44470</v>
      </c>
      <c r="B357" s="19">
        <v>193500</v>
      </c>
      <c r="C357" s="19">
        <v>0</v>
      </c>
      <c r="D357" s="19">
        <v>211278.73682493364</v>
      </c>
      <c r="E357" s="19">
        <v>0</v>
      </c>
      <c r="F357" s="19">
        <v>193500</v>
      </c>
      <c r="G357" s="19">
        <v>211278.73682493364</v>
      </c>
    </row>
    <row r="358" spans="1:7" ht="11.25" customHeight="1" x14ac:dyDescent="0.2">
      <c r="A358" s="29">
        <v>44501</v>
      </c>
      <c r="B358" s="19">
        <v>193500</v>
      </c>
      <c r="C358" s="19">
        <v>0</v>
      </c>
      <c r="D358" s="19">
        <v>211278.73682493364</v>
      </c>
      <c r="E358" s="19">
        <v>0</v>
      </c>
      <c r="F358" s="19">
        <v>193500</v>
      </c>
      <c r="G358" s="19">
        <v>211278.73682493364</v>
      </c>
    </row>
    <row r="359" spans="1:7" ht="11.25" customHeight="1" x14ac:dyDescent="0.2">
      <c r="A359" s="29">
        <v>44531</v>
      </c>
      <c r="B359" s="19">
        <v>193500</v>
      </c>
      <c r="C359" s="19">
        <v>0</v>
      </c>
      <c r="D359" s="19">
        <v>211278.73682493364</v>
      </c>
      <c r="E359" s="19">
        <v>0</v>
      </c>
      <c r="F359" s="19">
        <v>193500</v>
      </c>
      <c r="G359" s="19">
        <v>211278.73682493364</v>
      </c>
    </row>
    <row r="360" spans="1:7" ht="11.25" customHeight="1" x14ac:dyDescent="0.2">
      <c r="A360" s="29">
        <v>44562</v>
      </c>
      <c r="B360" s="19">
        <v>193500</v>
      </c>
      <c r="C360" s="19">
        <v>0</v>
      </c>
      <c r="D360" s="19">
        <v>211278.73682493364</v>
      </c>
      <c r="E360" s="19">
        <v>0</v>
      </c>
      <c r="F360" s="19">
        <v>193500</v>
      </c>
      <c r="G360" s="19">
        <v>211278.73682493364</v>
      </c>
    </row>
    <row r="361" spans="1:7" ht="11.25" customHeight="1" x14ac:dyDescent="0.2">
      <c r="A361" s="29">
        <v>44593</v>
      </c>
      <c r="B361" s="19">
        <v>193500</v>
      </c>
      <c r="C361" s="19">
        <v>0</v>
      </c>
      <c r="D361" s="19">
        <v>211278.73682493364</v>
      </c>
      <c r="E361" s="19">
        <v>0</v>
      </c>
      <c r="F361" s="19">
        <v>193500</v>
      </c>
      <c r="G361" s="19">
        <v>211278.73682493364</v>
      </c>
    </row>
    <row r="362" spans="1:7" ht="11.25" customHeight="1" x14ac:dyDescent="0.2">
      <c r="A362" s="29">
        <v>44621</v>
      </c>
      <c r="B362" s="19">
        <v>193500</v>
      </c>
      <c r="C362" s="19">
        <v>0</v>
      </c>
      <c r="D362" s="19">
        <v>211278.73682493364</v>
      </c>
      <c r="E362" s="19">
        <v>0</v>
      </c>
      <c r="F362" s="19">
        <v>193500</v>
      </c>
      <c r="G362" s="19">
        <v>211278.73682493364</v>
      </c>
    </row>
    <row r="363" spans="1:7" ht="11.25" customHeight="1" x14ac:dyDescent="0.2">
      <c r="A363" s="29">
        <v>44652</v>
      </c>
      <c r="B363" s="19">
        <v>193500</v>
      </c>
      <c r="C363" s="19">
        <v>0</v>
      </c>
      <c r="D363" s="19">
        <v>211278.73682493364</v>
      </c>
      <c r="E363" s="19">
        <v>0</v>
      </c>
      <c r="F363" s="19">
        <v>193500</v>
      </c>
      <c r="G363" s="19">
        <v>211278.73682493364</v>
      </c>
    </row>
    <row r="364" spans="1:7" ht="11.25" customHeight="1" x14ac:dyDescent="0.2">
      <c r="A364" s="29">
        <v>44682</v>
      </c>
      <c r="B364" s="19">
        <v>193500</v>
      </c>
      <c r="C364" s="19">
        <v>0</v>
      </c>
      <c r="D364" s="19">
        <v>211278.73682493364</v>
      </c>
      <c r="E364" s="19">
        <v>0</v>
      </c>
      <c r="F364" s="19">
        <v>193500</v>
      </c>
      <c r="G364" s="19">
        <v>211278.73682493364</v>
      </c>
    </row>
    <row r="365" spans="1:7" ht="11.25" customHeight="1" x14ac:dyDescent="0.2">
      <c r="A365" s="29">
        <v>44713</v>
      </c>
      <c r="B365" s="19">
        <v>193500</v>
      </c>
      <c r="C365" s="19">
        <v>0</v>
      </c>
      <c r="D365" s="19">
        <v>211278.73682493364</v>
      </c>
      <c r="E365" s="19">
        <v>0</v>
      </c>
      <c r="F365" s="19">
        <v>193500</v>
      </c>
      <c r="G365" s="19">
        <v>211278.73682493364</v>
      </c>
    </row>
    <row r="366" spans="1:7" ht="11.25" customHeight="1" x14ac:dyDescent="0.2">
      <c r="A366" s="29">
        <v>44743</v>
      </c>
      <c r="B366" s="19">
        <v>193500</v>
      </c>
      <c r="C366" s="19">
        <v>0</v>
      </c>
      <c r="D366" s="19">
        <v>211278.73682493364</v>
      </c>
      <c r="E366" s="19">
        <v>0</v>
      </c>
      <c r="F366" s="19">
        <v>193500</v>
      </c>
      <c r="G366" s="19">
        <v>211278.73682493364</v>
      </c>
    </row>
    <row r="367" spans="1:7" ht="11.25" customHeight="1" x14ac:dyDescent="0.2">
      <c r="A367" s="27" t="s">
        <v>67</v>
      </c>
      <c r="B367" s="19">
        <v>0</v>
      </c>
      <c r="C367" s="19">
        <v>0</v>
      </c>
      <c r="D367" s="19">
        <v>0</v>
      </c>
      <c r="E367" s="19">
        <v>0</v>
      </c>
      <c r="F367" s="19">
        <v>0</v>
      </c>
      <c r="G367" s="19">
        <v>0</v>
      </c>
    </row>
    <row r="368" spans="1:7" ht="11.25" customHeight="1" x14ac:dyDescent="0.2">
      <c r="A368" s="28" t="s">
        <v>25</v>
      </c>
      <c r="B368" s="19">
        <v>0</v>
      </c>
      <c r="C368" s="19">
        <v>0</v>
      </c>
      <c r="D368" s="19">
        <v>0</v>
      </c>
      <c r="E368" s="19">
        <v>0</v>
      </c>
      <c r="F368" s="19">
        <v>0</v>
      </c>
      <c r="G368" s="19">
        <v>0</v>
      </c>
    </row>
    <row r="369" spans="1:7" ht="11.25" customHeight="1" x14ac:dyDescent="0.2">
      <c r="A369" s="29">
        <v>44409</v>
      </c>
      <c r="B369" s="19">
        <v>0</v>
      </c>
      <c r="C369" s="19">
        <v>0</v>
      </c>
      <c r="D369" s="19">
        <v>0</v>
      </c>
      <c r="E369" s="19">
        <v>0</v>
      </c>
      <c r="F369" s="19">
        <v>0</v>
      </c>
      <c r="G369" s="19">
        <v>0</v>
      </c>
    </row>
    <row r="370" spans="1:7" ht="11.25" customHeight="1" x14ac:dyDescent="0.2">
      <c r="A370" s="29">
        <v>44440</v>
      </c>
      <c r="B370" s="19">
        <v>0</v>
      </c>
      <c r="C370" s="19">
        <v>0</v>
      </c>
      <c r="D370" s="19">
        <v>0</v>
      </c>
      <c r="E370" s="19">
        <v>0</v>
      </c>
      <c r="F370" s="19">
        <v>0</v>
      </c>
      <c r="G370" s="19">
        <v>0</v>
      </c>
    </row>
    <row r="371" spans="1:7" ht="11.25" customHeight="1" x14ac:dyDescent="0.2">
      <c r="A371" s="29">
        <v>44470</v>
      </c>
      <c r="B371" s="19">
        <v>0</v>
      </c>
      <c r="C371" s="19">
        <v>0</v>
      </c>
      <c r="D371" s="19">
        <v>0</v>
      </c>
      <c r="E371" s="19">
        <v>0</v>
      </c>
      <c r="F371" s="19">
        <v>0</v>
      </c>
      <c r="G371" s="19">
        <v>0</v>
      </c>
    </row>
    <row r="372" spans="1:7" ht="11.25" customHeight="1" x14ac:dyDescent="0.2">
      <c r="A372" s="29">
        <v>44501</v>
      </c>
      <c r="B372" s="19">
        <v>0</v>
      </c>
      <c r="C372" s="19">
        <v>0</v>
      </c>
      <c r="D372" s="19">
        <v>0</v>
      </c>
      <c r="E372" s="19">
        <v>0</v>
      </c>
      <c r="F372" s="19">
        <v>0</v>
      </c>
      <c r="G372" s="19">
        <v>0</v>
      </c>
    </row>
    <row r="373" spans="1:7" ht="11.25" customHeight="1" x14ac:dyDescent="0.2">
      <c r="A373" s="29">
        <v>44531</v>
      </c>
      <c r="B373" s="19">
        <v>0</v>
      </c>
      <c r="C373" s="19">
        <v>0</v>
      </c>
      <c r="D373" s="19">
        <v>0</v>
      </c>
      <c r="E373" s="19">
        <v>0</v>
      </c>
      <c r="F373" s="19">
        <v>0</v>
      </c>
      <c r="G373" s="19">
        <v>0</v>
      </c>
    </row>
    <row r="374" spans="1:7" ht="11.25" customHeight="1" x14ac:dyDescent="0.2">
      <c r="A374" s="29">
        <v>44562</v>
      </c>
      <c r="B374" s="19">
        <v>0</v>
      </c>
      <c r="C374" s="19">
        <v>0</v>
      </c>
      <c r="D374" s="19">
        <v>0</v>
      </c>
      <c r="E374" s="19">
        <v>0</v>
      </c>
      <c r="F374" s="19">
        <v>0</v>
      </c>
      <c r="G374" s="19">
        <v>0</v>
      </c>
    </row>
    <row r="375" spans="1:7" ht="11.25" customHeight="1" x14ac:dyDescent="0.2">
      <c r="A375" s="29">
        <v>44593</v>
      </c>
      <c r="B375" s="19">
        <v>0</v>
      </c>
      <c r="C375" s="19">
        <v>0</v>
      </c>
      <c r="D375" s="19">
        <v>0</v>
      </c>
      <c r="E375" s="19">
        <v>0</v>
      </c>
      <c r="F375" s="19">
        <v>0</v>
      </c>
      <c r="G375" s="19">
        <v>0</v>
      </c>
    </row>
    <row r="376" spans="1:7" ht="11.25" customHeight="1" x14ac:dyDescent="0.2">
      <c r="A376" s="29">
        <v>44621</v>
      </c>
      <c r="B376" s="19">
        <v>0</v>
      </c>
      <c r="C376" s="19">
        <v>0</v>
      </c>
      <c r="D376" s="19">
        <v>0</v>
      </c>
      <c r="E376" s="19">
        <v>0</v>
      </c>
      <c r="F376" s="19">
        <v>0</v>
      </c>
      <c r="G376" s="19">
        <v>0</v>
      </c>
    </row>
    <row r="377" spans="1:7" ht="11.25" customHeight="1" x14ac:dyDescent="0.2">
      <c r="A377" s="29">
        <v>44652</v>
      </c>
      <c r="B377" s="19">
        <v>0</v>
      </c>
      <c r="C377" s="19">
        <v>0</v>
      </c>
      <c r="D377" s="19">
        <v>0</v>
      </c>
      <c r="E377" s="19">
        <v>0</v>
      </c>
      <c r="F377" s="19">
        <v>0</v>
      </c>
      <c r="G377" s="19">
        <v>0</v>
      </c>
    </row>
    <row r="378" spans="1:7" ht="11.25" customHeight="1" x14ac:dyDescent="0.2">
      <c r="A378" s="29">
        <v>44682</v>
      </c>
      <c r="B378" s="19">
        <v>0</v>
      </c>
      <c r="C378" s="19">
        <v>0</v>
      </c>
      <c r="D378" s="19">
        <v>0</v>
      </c>
      <c r="E378" s="19">
        <v>0</v>
      </c>
      <c r="F378" s="19">
        <v>0</v>
      </c>
      <c r="G378" s="19">
        <v>0</v>
      </c>
    </row>
    <row r="379" spans="1:7" ht="11.25" customHeight="1" x14ac:dyDescent="0.2">
      <c r="A379" s="29">
        <v>44713</v>
      </c>
      <c r="B379" s="19">
        <v>0</v>
      </c>
      <c r="C379" s="19">
        <v>0</v>
      </c>
      <c r="D379" s="19">
        <v>0</v>
      </c>
      <c r="E379" s="19">
        <v>0</v>
      </c>
      <c r="F379" s="19">
        <v>0</v>
      </c>
      <c r="G379" s="19">
        <v>0</v>
      </c>
    </row>
    <row r="380" spans="1:7" ht="11.25" customHeight="1" x14ac:dyDescent="0.2">
      <c r="A380" s="29">
        <v>44743</v>
      </c>
      <c r="B380" s="19">
        <v>0</v>
      </c>
      <c r="C380" s="19">
        <v>0</v>
      </c>
      <c r="D380" s="19">
        <v>0</v>
      </c>
      <c r="E380" s="19">
        <v>0</v>
      </c>
      <c r="F380" s="19">
        <v>0</v>
      </c>
      <c r="G380" s="19">
        <v>0</v>
      </c>
    </row>
    <row r="381" spans="1:7" ht="11.25" customHeight="1" x14ac:dyDescent="0.2">
      <c r="A381" s="27" t="s">
        <v>70</v>
      </c>
      <c r="B381" s="19">
        <v>868144.2</v>
      </c>
      <c r="C381" s="19">
        <v>0</v>
      </c>
      <c r="D381" s="19">
        <v>947909.09538962587</v>
      </c>
      <c r="E381" s="19">
        <v>0</v>
      </c>
      <c r="F381" s="19">
        <v>868144.2</v>
      </c>
      <c r="G381" s="19">
        <v>947909.09538962587</v>
      </c>
    </row>
    <row r="382" spans="1:7" ht="11.25" customHeight="1" x14ac:dyDescent="0.2">
      <c r="A382" s="28" t="s">
        <v>25</v>
      </c>
      <c r="B382" s="19">
        <v>868144.2</v>
      </c>
      <c r="C382" s="19">
        <v>0</v>
      </c>
      <c r="D382" s="19">
        <v>947909.09538962587</v>
      </c>
      <c r="E382" s="19">
        <v>0</v>
      </c>
      <c r="F382" s="19">
        <v>868144.2</v>
      </c>
      <c r="G382" s="19">
        <v>947909.09538962587</v>
      </c>
    </row>
    <row r="383" spans="1:7" ht="11.25" customHeight="1" x14ac:dyDescent="0.2">
      <c r="A383" s="29">
        <v>44409</v>
      </c>
      <c r="B383" s="19">
        <v>70950</v>
      </c>
      <c r="C383" s="19">
        <v>0</v>
      </c>
      <c r="D383" s="19">
        <v>77468.870169142334</v>
      </c>
      <c r="E383" s="19">
        <v>0</v>
      </c>
      <c r="F383" s="19">
        <v>70950</v>
      </c>
      <c r="G383" s="19">
        <v>77468.870169142334</v>
      </c>
    </row>
    <row r="384" spans="1:7" ht="11.25" customHeight="1" x14ac:dyDescent="0.2">
      <c r="A384" s="29">
        <v>44440</v>
      </c>
      <c r="B384" s="19">
        <v>70950</v>
      </c>
      <c r="C384" s="19">
        <v>0</v>
      </c>
      <c r="D384" s="19">
        <v>77468.870169142334</v>
      </c>
      <c r="E384" s="19">
        <v>0</v>
      </c>
      <c r="F384" s="19">
        <v>70950</v>
      </c>
      <c r="G384" s="19">
        <v>77468.870169142334</v>
      </c>
    </row>
    <row r="385" spans="1:7" ht="11.25" customHeight="1" x14ac:dyDescent="0.2">
      <c r="A385" s="29">
        <v>44470</v>
      </c>
      <c r="B385" s="19">
        <v>70950</v>
      </c>
      <c r="C385" s="19">
        <v>0</v>
      </c>
      <c r="D385" s="19">
        <v>77468.870169142334</v>
      </c>
      <c r="E385" s="19">
        <v>0</v>
      </c>
      <c r="F385" s="19">
        <v>70950</v>
      </c>
      <c r="G385" s="19">
        <v>77468.870169142334</v>
      </c>
    </row>
    <row r="386" spans="1:7" ht="11.25" customHeight="1" x14ac:dyDescent="0.2">
      <c r="A386" s="29">
        <v>44501</v>
      </c>
      <c r="B386" s="19">
        <v>76187.400000000009</v>
      </c>
      <c r="C386" s="19">
        <v>0</v>
      </c>
      <c r="D386" s="19">
        <v>83187.481312537202</v>
      </c>
      <c r="E386" s="19">
        <v>0</v>
      </c>
      <c r="F386" s="19">
        <v>76187.400000000009</v>
      </c>
      <c r="G386" s="19">
        <v>83187.481312537202</v>
      </c>
    </row>
    <row r="387" spans="1:7" ht="11.25" customHeight="1" x14ac:dyDescent="0.2">
      <c r="A387" s="29">
        <v>44531</v>
      </c>
      <c r="B387" s="19">
        <v>78303</v>
      </c>
      <c r="C387" s="19">
        <v>0</v>
      </c>
      <c r="D387" s="19">
        <v>85497.462168489816</v>
      </c>
      <c r="E387" s="19">
        <v>0</v>
      </c>
      <c r="F387" s="19">
        <v>78303</v>
      </c>
      <c r="G387" s="19">
        <v>85497.462168489816</v>
      </c>
    </row>
    <row r="388" spans="1:7" ht="11.25" customHeight="1" x14ac:dyDescent="0.2">
      <c r="A388" s="29">
        <v>44562</v>
      </c>
      <c r="B388" s="19">
        <v>75103.8</v>
      </c>
      <c r="C388" s="19">
        <v>0</v>
      </c>
      <c r="D388" s="19">
        <v>82004.320386317573</v>
      </c>
      <c r="E388" s="19">
        <v>0</v>
      </c>
      <c r="F388" s="19">
        <v>75103.8</v>
      </c>
      <c r="G388" s="19">
        <v>82004.320386317573</v>
      </c>
    </row>
    <row r="389" spans="1:7" ht="11.25" customHeight="1" x14ac:dyDescent="0.2">
      <c r="A389" s="29">
        <v>44593</v>
      </c>
      <c r="B389" s="19">
        <v>70950</v>
      </c>
      <c r="C389" s="19">
        <v>0</v>
      </c>
      <c r="D389" s="19">
        <v>77468.870169142334</v>
      </c>
      <c r="E389" s="19">
        <v>0</v>
      </c>
      <c r="F389" s="19">
        <v>70950</v>
      </c>
      <c r="G389" s="19">
        <v>77468.870169142334</v>
      </c>
    </row>
    <row r="390" spans="1:7" ht="11.25" customHeight="1" x14ac:dyDescent="0.2">
      <c r="A390" s="29">
        <v>44621</v>
      </c>
      <c r="B390" s="19">
        <v>70950</v>
      </c>
      <c r="C390" s="19">
        <v>0</v>
      </c>
      <c r="D390" s="19">
        <v>77468.870169142334</v>
      </c>
      <c r="E390" s="19">
        <v>0</v>
      </c>
      <c r="F390" s="19">
        <v>70950</v>
      </c>
      <c r="G390" s="19">
        <v>77468.870169142334</v>
      </c>
    </row>
    <row r="391" spans="1:7" ht="11.25" customHeight="1" x14ac:dyDescent="0.2">
      <c r="A391" s="29">
        <v>44652</v>
      </c>
      <c r="B391" s="19">
        <v>70950</v>
      </c>
      <c r="C391" s="19">
        <v>0</v>
      </c>
      <c r="D391" s="19">
        <v>77468.870169142334</v>
      </c>
      <c r="E391" s="19">
        <v>0</v>
      </c>
      <c r="F391" s="19">
        <v>70950</v>
      </c>
      <c r="G391" s="19">
        <v>77468.870169142334</v>
      </c>
    </row>
    <row r="392" spans="1:7" ht="11.25" customHeight="1" x14ac:dyDescent="0.2">
      <c r="A392" s="29">
        <v>44682</v>
      </c>
      <c r="B392" s="19">
        <v>70950</v>
      </c>
      <c r="C392" s="19">
        <v>0</v>
      </c>
      <c r="D392" s="19">
        <v>77468.870169142334</v>
      </c>
      <c r="E392" s="19">
        <v>0</v>
      </c>
      <c r="F392" s="19">
        <v>70950</v>
      </c>
      <c r="G392" s="19">
        <v>77468.870169142334</v>
      </c>
    </row>
    <row r="393" spans="1:7" ht="11.25" customHeight="1" x14ac:dyDescent="0.2">
      <c r="A393" s="29">
        <v>44713</v>
      </c>
      <c r="B393" s="19">
        <v>70950</v>
      </c>
      <c r="C393" s="19">
        <v>0</v>
      </c>
      <c r="D393" s="19">
        <v>77468.870169142334</v>
      </c>
      <c r="E393" s="19">
        <v>0</v>
      </c>
      <c r="F393" s="19">
        <v>70950</v>
      </c>
      <c r="G393" s="19">
        <v>77468.870169142334</v>
      </c>
    </row>
    <row r="394" spans="1:7" ht="11.25" customHeight="1" x14ac:dyDescent="0.2">
      <c r="A394" s="29">
        <v>44743</v>
      </c>
      <c r="B394" s="19">
        <v>70950</v>
      </c>
      <c r="C394" s="19">
        <v>0</v>
      </c>
      <c r="D394" s="19">
        <v>77468.870169142334</v>
      </c>
      <c r="E394" s="19">
        <v>0</v>
      </c>
      <c r="F394" s="19">
        <v>70950</v>
      </c>
      <c r="G394" s="19">
        <v>77468.870169142334</v>
      </c>
    </row>
    <row r="395" spans="1:7" ht="11.25" customHeight="1" x14ac:dyDescent="0.2">
      <c r="A395" s="27" t="s">
        <v>69</v>
      </c>
      <c r="B395" s="19">
        <v>222331.5</v>
      </c>
      <c r="C395" s="19">
        <v>0</v>
      </c>
      <c r="D395" s="19">
        <v>242759.26861184879</v>
      </c>
      <c r="E395" s="19">
        <v>0</v>
      </c>
      <c r="F395" s="19">
        <v>222331.5</v>
      </c>
      <c r="G395" s="19">
        <v>242759.26861184879</v>
      </c>
    </row>
    <row r="396" spans="1:7" ht="11.25" customHeight="1" x14ac:dyDescent="0.2">
      <c r="A396" s="28" t="s">
        <v>25</v>
      </c>
      <c r="B396" s="19">
        <v>222331.5</v>
      </c>
      <c r="C396" s="19">
        <v>0</v>
      </c>
      <c r="D396" s="19">
        <v>242759.26861184879</v>
      </c>
      <c r="E396" s="19">
        <v>0</v>
      </c>
      <c r="F396" s="19">
        <v>222331.5</v>
      </c>
      <c r="G396" s="19">
        <v>242759.26861184879</v>
      </c>
    </row>
    <row r="397" spans="1:7" ht="11.25" customHeight="1" x14ac:dyDescent="0.2">
      <c r="A397" s="29">
        <v>44409</v>
      </c>
      <c r="B397" s="19">
        <v>19350</v>
      </c>
      <c r="C397" s="19">
        <v>0</v>
      </c>
      <c r="D397" s="19">
        <v>21127.873682493362</v>
      </c>
      <c r="E397" s="19">
        <v>0</v>
      </c>
      <c r="F397" s="19">
        <v>19350</v>
      </c>
      <c r="G397" s="19">
        <v>21127.873682493362</v>
      </c>
    </row>
    <row r="398" spans="1:7" ht="11.25" customHeight="1" x14ac:dyDescent="0.2">
      <c r="A398" s="29">
        <v>44440</v>
      </c>
      <c r="B398" s="19">
        <v>19350</v>
      </c>
      <c r="C398" s="19">
        <v>0</v>
      </c>
      <c r="D398" s="19">
        <v>21127.873682493362</v>
      </c>
      <c r="E398" s="19">
        <v>0</v>
      </c>
      <c r="F398" s="19">
        <v>19350</v>
      </c>
      <c r="G398" s="19">
        <v>21127.873682493362</v>
      </c>
    </row>
    <row r="399" spans="1:7" ht="11.25" customHeight="1" x14ac:dyDescent="0.2">
      <c r="A399" s="29">
        <v>44470</v>
      </c>
      <c r="B399" s="19">
        <v>19350</v>
      </c>
      <c r="C399" s="19">
        <v>0</v>
      </c>
      <c r="D399" s="19">
        <v>21127.873682493362</v>
      </c>
      <c r="E399" s="19">
        <v>0</v>
      </c>
      <c r="F399" s="19">
        <v>19350</v>
      </c>
      <c r="G399" s="19">
        <v>21127.873682493362</v>
      </c>
    </row>
    <row r="400" spans="1:7" ht="11.25" customHeight="1" x14ac:dyDescent="0.2">
      <c r="A400" s="29">
        <v>44501</v>
      </c>
      <c r="B400" s="19">
        <v>23955.3</v>
      </c>
      <c r="C400" s="19">
        <v>0</v>
      </c>
      <c r="D400" s="19">
        <v>26156.307618926785</v>
      </c>
      <c r="E400" s="19">
        <v>0</v>
      </c>
      <c r="F400" s="19">
        <v>23955.3</v>
      </c>
      <c r="G400" s="19">
        <v>26156.307618926785</v>
      </c>
    </row>
    <row r="401" spans="1:7" ht="11.25" customHeight="1" x14ac:dyDescent="0.2">
      <c r="A401" s="29">
        <v>44531</v>
      </c>
      <c r="B401" s="19">
        <v>21426.9</v>
      </c>
      <c r="C401" s="19">
        <v>0</v>
      </c>
      <c r="D401" s="19">
        <v>23395.598791080985</v>
      </c>
      <c r="E401" s="19">
        <v>0</v>
      </c>
      <c r="F401" s="19">
        <v>21426.9</v>
      </c>
      <c r="G401" s="19">
        <v>23395.598791080985</v>
      </c>
    </row>
    <row r="402" spans="1:7" ht="11.25" customHeight="1" x14ac:dyDescent="0.2">
      <c r="A402" s="29">
        <v>44562</v>
      </c>
      <c r="B402" s="19">
        <v>22149.3</v>
      </c>
      <c r="C402" s="19">
        <v>0</v>
      </c>
      <c r="D402" s="19">
        <v>24184.372741894069</v>
      </c>
      <c r="E402" s="19">
        <v>0</v>
      </c>
      <c r="F402" s="19">
        <v>22149.3</v>
      </c>
      <c r="G402" s="19">
        <v>24184.372741894069</v>
      </c>
    </row>
    <row r="403" spans="1:7" ht="11.25" customHeight="1" x14ac:dyDescent="0.2">
      <c r="A403" s="29">
        <v>44593</v>
      </c>
      <c r="B403" s="19">
        <v>0</v>
      </c>
      <c r="C403" s="19">
        <v>0</v>
      </c>
      <c r="D403" s="19">
        <v>0</v>
      </c>
      <c r="E403" s="19">
        <v>0</v>
      </c>
      <c r="F403" s="19">
        <v>0</v>
      </c>
      <c r="G403" s="19">
        <v>0</v>
      </c>
    </row>
    <row r="404" spans="1:7" ht="11.25" customHeight="1" x14ac:dyDescent="0.2">
      <c r="A404" s="29">
        <v>44621</v>
      </c>
      <c r="B404" s="19">
        <v>19350</v>
      </c>
      <c r="C404" s="19">
        <v>0</v>
      </c>
      <c r="D404" s="19">
        <v>21127.873682493362</v>
      </c>
      <c r="E404" s="19">
        <v>0</v>
      </c>
      <c r="F404" s="19">
        <v>19350</v>
      </c>
      <c r="G404" s="19">
        <v>21127.873682493362</v>
      </c>
    </row>
    <row r="405" spans="1:7" ht="11.25" customHeight="1" x14ac:dyDescent="0.2">
      <c r="A405" s="29">
        <v>44652</v>
      </c>
      <c r="B405" s="19">
        <v>19350</v>
      </c>
      <c r="C405" s="19">
        <v>0</v>
      </c>
      <c r="D405" s="19">
        <v>21127.873682493362</v>
      </c>
      <c r="E405" s="19">
        <v>0</v>
      </c>
      <c r="F405" s="19">
        <v>19350</v>
      </c>
      <c r="G405" s="19">
        <v>21127.873682493362</v>
      </c>
    </row>
    <row r="406" spans="1:7" ht="11.25" customHeight="1" x14ac:dyDescent="0.2">
      <c r="A406" s="29">
        <v>44682</v>
      </c>
      <c r="B406" s="19">
        <v>19350</v>
      </c>
      <c r="C406" s="19">
        <v>0</v>
      </c>
      <c r="D406" s="19">
        <v>21127.873682493362</v>
      </c>
      <c r="E406" s="19">
        <v>0</v>
      </c>
      <c r="F406" s="19">
        <v>19350</v>
      </c>
      <c r="G406" s="19">
        <v>21127.873682493362</v>
      </c>
    </row>
    <row r="407" spans="1:7" ht="11.25" customHeight="1" x14ac:dyDescent="0.2">
      <c r="A407" s="29">
        <v>44713</v>
      </c>
      <c r="B407" s="19">
        <v>19350</v>
      </c>
      <c r="C407" s="19">
        <v>0</v>
      </c>
      <c r="D407" s="19">
        <v>21127.873682493362</v>
      </c>
      <c r="E407" s="19">
        <v>0</v>
      </c>
      <c r="F407" s="19">
        <v>19350</v>
      </c>
      <c r="G407" s="19">
        <v>21127.873682493362</v>
      </c>
    </row>
    <row r="408" spans="1:7" ht="11.25" customHeight="1" x14ac:dyDescent="0.2">
      <c r="A408" s="29">
        <v>44743</v>
      </c>
      <c r="B408" s="19">
        <v>19350</v>
      </c>
      <c r="C408" s="19">
        <v>0</v>
      </c>
      <c r="D408" s="19">
        <v>21127.873682493362</v>
      </c>
      <c r="E408" s="19">
        <v>0</v>
      </c>
      <c r="F408" s="19">
        <v>19350</v>
      </c>
      <c r="G408" s="19">
        <v>21127.873682493362</v>
      </c>
    </row>
    <row r="409" spans="1:7" ht="11.25" customHeight="1" x14ac:dyDescent="0.2">
      <c r="A409" s="27" t="s">
        <v>76</v>
      </c>
      <c r="B409" s="19">
        <v>2322000</v>
      </c>
      <c r="C409" s="19">
        <v>0</v>
      </c>
      <c r="D409" s="19">
        <v>2535344.8418992031</v>
      </c>
      <c r="E409" s="19">
        <v>0</v>
      </c>
      <c r="F409" s="19">
        <v>2322000</v>
      </c>
      <c r="G409" s="19">
        <v>2535344.8418992031</v>
      </c>
    </row>
    <row r="410" spans="1:7" ht="11.25" customHeight="1" x14ac:dyDescent="0.2">
      <c r="A410" s="28" t="s">
        <v>25</v>
      </c>
      <c r="B410" s="19">
        <v>2322000</v>
      </c>
      <c r="C410" s="19">
        <v>0</v>
      </c>
      <c r="D410" s="19">
        <v>2535344.8418992031</v>
      </c>
      <c r="E410" s="19">
        <v>0</v>
      </c>
      <c r="F410" s="19">
        <v>2322000</v>
      </c>
      <c r="G410" s="19">
        <v>2535344.8418992031</v>
      </c>
    </row>
    <row r="411" spans="1:7" ht="11.25" customHeight="1" x14ac:dyDescent="0.2">
      <c r="A411" s="29">
        <v>44409</v>
      </c>
      <c r="B411" s="19">
        <v>193500</v>
      </c>
      <c r="C411" s="19">
        <v>0</v>
      </c>
      <c r="D411" s="19">
        <v>211278.73682493364</v>
      </c>
      <c r="E411" s="19">
        <v>0</v>
      </c>
      <c r="F411" s="19">
        <v>193500</v>
      </c>
      <c r="G411" s="19">
        <v>211278.73682493364</v>
      </c>
    </row>
    <row r="412" spans="1:7" ht="11.25" customHeight="1" x14ac:dyDescent="0.2">
      <c r="A412" s="29">
        <v>44440</v>
      </c>
      <c r="B412" s="19">
        <v>193500</v>
      </c>
      <c r="C412" s="19">
        <v>0</v>
      </c>
      <c r="D412" s="19">
        <v>211278.73682493364</v>
      </c>
      <c r="E412" s="19">
        <v>0</v>
      </c>
      <c r="F412" s="19">
        <v>193500</v>
      </c>
      <c r="G412" s="19">
        <v>211278.73682493364</v>
      </c>
    </row>
    <row r="413" spans="1:7" ht="11.25" customHeight="1" x14ac:dyDescent="0.2">
      <c r="A413" s="29">
        <v>44470</v>
      </c>
      <c r="B413" s="19">
        <v>193500</v>
      </c>
      <c r="C413" s="19">
        <v>0</v>
      </c>
      <c r="D413" s="19">
        <v>211278.73682493364</v>
      </c>
      <c r="E413" s="19">
        <v>0</v>
      </c>
      <c r="F413" s="19">
        <v>193500</v>
      </c>
      <c r="G413" s="19">
        <v>211278.73682493364</v>
      </c>
    </row>
    <row r="414" spans="1:7" ht="11.25" customHeight="1" x14ac:dyDescent="0.2">
      <c r="A414" s="29">
        <v>44501</v>
      </c>
      <c r="B414" s="19">
        <v>193500</v>
      </c>
      <c r="C414" s="19">
        <v>0</v>
      </c>
      <c r="D414" s="19">
        <v>211278.73682493364</v>
      </c>
      <c r="E414" s="19">
        <v>0</v>
      </c>
      <c r="F414" s="19">
        <v>193500</v>
      </c>
      <c r="G414" s="19">
        <v>211278.73682493364</v>
      </c>
    </row>
    <row r="415" spans="1:7" ht="11.25" customHeight="1" x14ac:dyDescent="0.2">
      <c r="A415" s="29">
        <v>44531</v>
      </c>
      <c r="B415" s="19">
        <v>193500</v>
      </c>
      <c r="C415" s="19">
        <v>0</v>
      </c>
      <c r="D415" s="19">
        <v>211278.73682493364</v>
      </c>
      <c r="E415" s="19">
        <v>0</v>
      </c>
      <c r="F415" s="19">
        <v>193500</v>
      </c>
      <c r="G415" s="19">
        <v>211278.73682493364</v>
      </c>
    </row>
    <row r="416" spans="1:7" ht="11.25" customHeight="1" x14ac:dyDescent="0.2">
      <c r="A416" s="29">
        <v>44562</v>
      </c>
      <c r="B416" s="19">
        <v>193500</v>
      </c>
      <c r="C416" s="19">
        <v>0</v>
      </c>
      <c r="D416" s="19">
        <v>211278.73682493364</v>
      </c>
      <c r="E416" s="19">
        <v>0</v>
      </c>
      <c r="F416" s="19">
        <v>193500</v>
      </c>
      <c r="G416" s="19">
        <v>211278.73682493364</v>
      </c>
    </row>
    <row r="417" spans="1:7" ht="11.25" customHeight="1" x14ac:dyDescent="0.2">
      <c r="A417" s="29">
        <v>44593</v>
      </c>
      <c r="B417" s="19">
        <v>193500</v>
      </c>
      <c r="C417" s="19">
        <v>0</v>
      </c>
      <c r="D417" s="19">
        <v>211278.73682493364</v>
      </c>
      <c r="E417" s="19">
        <v>0</v>
      </c>
      <c r="F417" s="19">
        <v>193500</v>
      </c>
      <c r="G417" s="19">
        <v>211278.73682493364</v>
      </c>
    </row>
    <row r="418" spans="1:7" ht="11.25" customHeight="1" x14ac:dyDescent="0.2">
      <c r="A418" s="29">
        <v>44621</v>
      </c>
      <c r="B418" s="19">
        <v>193500</v>
      </c>
      <c r="C418" s="19">
        <v>0</v>
      </c>
      <c r="D418" s="19">
        <v>211278.73682493364</v>
      </c>
      <c r="E418" s="19">
        <v>0</v>
      </c>
      <c r="F418" s="19">
        <v>193500</v>
      </c>
      <c r="G418" s="19">
        <v>211278.73682493364</v>
      </c>
    </row>
    <row r="419" spans="1:7" ht="11.25" customHeight="1" x14ac:dyDescent="0.2">
      <c r="A419" s="29">
        <v>44652</v>
      </c>
      <c r="B419" s="19">
        <v>193500</v>
      </c>
      <c r="C419" s="19">
        <v>0</v>
      </c>
      <c r="D419" s="19">
        <v>211278.73682493364</v>
      </c>
      <c r="E419" s="19">
        <v>0</v>
      </c>
      <c r="F419" s="19">
        <v>193500</v>
      </c>
      <c r="G419" s="19">
        <v>211278.73682493364</v>
      </c>
    </row>
    <row r="420" spans="1:7" ht="11.25" customHeight="1" x14ac:dyDescent="0.2">
      <c r="A420" s="29">
        <v>44682</v>
      </c>
      <c r="B420" s="19">
        <v>193500</v>
      </c>
      <c r="C420" s="19">
        <v>0</v>
      </c>
      <c r="D420" s="19">
        <v>211278.73682493364</v>
      </c>
      <c r="E420" s="19">
        <v>0</v>
      </c>
      <c r="F420" s="19">
        <v>193500</v>
      </c>
      <c r="G420" s="19">
        <v>211278.73682493364</v>
      </c>
    </row>
    <row r="421" spans="1:7" ht="11.25" customHeight="1" x14ac:dyDescent="0.2">
      <c r="A421" s="29">
        <v>44713</v>
      </c>
      <c r="B421" s="19">
        <v>193500</v>
      </c>
      <c r="C421" s="19">
        <v>0</v>
      </c>
      <c r="D421" s="19">
        <v>211278.73682493364</v>
      </c>
      <c r="E421" s="19">
        <v>0</v>
      </c>
      <c r="F421" s="19">
        <v>193500</v>
      </c>
      <c r="G421" s="19">
        <v>211278.73682493364</v>
      </c>
    </row>
    <row r="422" spans="1:7" ht="11.25" customHeight="1" x14ac:dyDescent="0.2">
      <c r="A422" s="29">
        <v>44743</v>
      </c>
      <c r="B422" s="19">
        <v>193500</v>
      </c>
      <c r="C422" s="19">
        <v>0</v>
      </c>
      <c r="D422" s="19">
        <v>211278.73682493364</v>
      </c>
      <c r="E422" s="19">
        <v>0</v>
      </c>
      <c r="F422" s="19">
        <v>193500</v>
      </c>
      <c r="G422" s="19">
        <v>211278.73682493364</v>
      </c>
    </row>
    <row r="423" spans="1:7" ht="11.25" customHeight="1" x14ac:dyDescent="0.2">
      <c r="A423" s="27" t="s">
        <v>77</v>
      </c>
      <c r="B423" s="19">
        <v>2322000</v>
      </c>
      <c r="C423" s="19">
        <v>0</v>
      </c>
      <c r="D423" s="19">
        <v>2535344.8418992031</v>
      </c>
      <c r="E423" s="19">
        <v>0</v>
      </c>
      <c r="F423" s="19">
        <v>2322000</v>
      </c>
      <c r="G423" s="19">
        <v>2535344.8418992031</v>
      </c>
    </row>
    <row r="424" spans="1:7" ht="11.25" customHeight="1" x14ac:dyDescent="0.2">
      <c r="A424" s="28" t="s">
        <v>25</v>
      </c>
      <c r="B424" s="19">
        <v>2322000</v>
      </c>
      <c r="C424" s="19">
        <v>0</v>
      </c>
      <c r="D424" s="19">
        <v>2535344.8418992031</v>
      </c>
      <c r="E424" s="19">
        <v>0</v>
      </c>
      <c r="F424" s="19">
        <v>2322000</v>
      </c>
      <c r="G424" s="19">
        <v>2535344.8418992031</v>
      </c>
    </row>
    <row r="425" spans="1:7" ht="11.25" customHeight="1" x14ac:dyDescent="0.2">
      <c r="A425" s="29">
        <v>44409</v>
      </c>
      <c r="B425" s="19">
        <v>193500</v>
      </c>
      <c r="C425" s="19">
        <v>0</v>
      </c>
      <c r="D425" s="19">
        <v>211278.73682493364</v>
      </c>
      <c r="E425" s="19">
        <v>0</v>
      </c>
      <c r="F425" s="19">
        <v>193500</v>
      </c>
      <c r="G425" s="19">
        <v>211278.73682493364</v>
      </c>
    </row>
    <row r="426" spans="1:7" ht="11.25" customHeight="1" x14ac:dyDescent="0.2">
      <c r="A426" s="29">
        <v>44440</v>
      </c>
      <c r="B426" s="19">
        <v>193500</v>
      </c>
      <c r="C426" s="19">
        <v>0</v>
      </c>
      <c r="D426" s="19">
        <v>211278.73682493364</v>
      </c>
      <c r="E426" s="19">
        <v>0</v>
      </c>
      <c r="F426" s="19">
        <v>193500</v>
      </c>
      <c r="G426" s="19">
        <v>211278.73682493364</v>
      </c>
    </row>
    <row r="427" spans="1:7" ht="11.25" customHeight="1" x14ac:dyDescent="0.2">
      <c r="A427" s="29">
        <v>44470</v>
      </c>
      <c r="B427" s="19">
        <v>193500</v>
      </c>
      <c r="C427" s="19">
        <v>0</v>
      </c>
      <c r="D427" s="19">
        <v>211278.73682493364</v>
      </c>
      <c r="E427" s="19">
        <v>0</v>
      </c>
      <c r="F427" s="19">
        <v>193500</v>
      </c>
      <c r="G427" s="19">
        <v>211278.73682493364</v>
      </c>
    </row>
    <row r="428" spans="1:7" ht="11.25" customHeight="1" x14ac:dyDescent="0.2">
      <c r="A428" s="29">
        <v>44501</v>
      </c>
      <c r="B428" s="19">
        <v>193500</v>
      </c>
      <c r="C428" s="19">
        <v>0</v>
      </c>
      <c r="D428" s="19">
        <v>211278.73682493364</v>
      </c>
      <c r="E428" s="19">
        <v>0</v>
      </c>
      <c r="F428" s="19">
        <v>193500</v>
      </c>
      <c r="G428" s="19">
        <v>211278.73682493364</v>
      </c>
    </row>
    <row r="429" spans="1:7" ht="11.25" customHeight="1" x14ac:dyDescent="0.2">
      <c r="A429" s="29">
        <v>44531</v>
      </c>
      <c r="B429" s="19">
        <v>193500</v>
      </c>
      <c r="C429" s="19">
        <v>0</v>
      </c>
      <c r="D429" s="19">
        <v>211278.73682493364</v>
      </c>
      <c r="E429" s="19">
        <v>0</v>
      </c>
      <c r="F429" s="19">
        <v>193500</v>
      </c>
      <c r="G429" s="19">
        <v>211278.73682493364</v>
      </c>
    </row>
    <row r="430" spans="1:7" ht="11.25" customHeight="1" x14ac:dyDescent="0.2">
      <c r="A430" s="29">
        <v>44562</v>
      </c>
      <c r="B430" s="19">
        <v>193500</v>
      </c>
      <c r="C430" s="19">
        <v>0</v>
      </c>
      <c r="D430" s="19">
        <v>211278.73682493364</v>
      </c>
      <c r="E430" s="19">
        <v>0</v>
      </c>
      <c r="F430" s="19">
        <v>193500</v>
      </c>
      <c r="G430" s="19">
        <v>211278.73682493364</v>
      </c>
    </row>
    <row r="431" spans="1:7" ht="11.25" customHeight="1" x14ac:dyDescent="0.2">
      <c r="A431" s="29">
        <v>44593</v>
      </c>
      <c r="B431" s="19">
        <v>193500</v>
      </c>
      <c r="C431" s="19">
        <v>0</v>
      </c>
      <c r="D431" s="19">
        <v>211278.73682493364</v>
      </c>
      <c r="E431" s="19">
        <v>0</v>
      </c>
      <c r="F431" s="19">
        <v>193500</v>
      </c>
      <c r="G431" s="19">
        <v>211278.73682493364</v>
      </c>
    </row>
    <row r="432" spans="1:7" ht="11.25" customHeight="1" x14ac:dyDescent="0.2">
      <c r="A432" s="29">
        <v>44621</v>
      </c>
      <c r="B432" s="19">
        <v>193500</v>
      </c>
      <c r="C432" s="19">
        <v>0</v>
      </c>
      <c r="D432" s="19">
        <v>211278.73682493364</v>
      </c>
      <c r="E432" s="19">
        <v>0</v>
      </c>
      <c r="F432" s="19">
        <v>193500</v>
      </c>
      <c r="G432" s="19">
        <v>211278.73682493364</v>
      </c>
    </row>
    <row r="433" spans="1:7" ht="11.25" customHeight="1" x14ac:dyDescent="0.2">
      <c r="A433" s="29">
        <v>44652</v>
      </c>
      <c r="B433" s="19">
        <v>193500</v>
      </c>
      <c r="C433" s="19">
        <v>0</v>
      </c>
      <c r="D433" s="19">
        <v>211278.73682493364</v>
      </c>
      <c r="E433" s="19">
        <v>0</v>
      </c>
      <c r="F433" s="19">
        <v>193500</v>
      </c>
      <c r="G433" s="19">
        <v>211278.73682493364</v>
      </c>
    </row>
    <row r="434" spans="1:7" ht="11.25" customHeight="1" x14ac:dyDescent="0.2">
      <c r="A434" s="29">
        <v>44682</v>
      </c>
      <c r="B434" s="19">
        <v>193500</v>
      </c>
      <c r="C434" s="19">
        <v>0</v>
      </c>
      <c r="D434" s="19">
        <v>211278.73682493364</v>
      </c>
      <c r="E434" s="19">
        <v>0</v>
      </c>
      <c r="F434" s="19">
        <v>193500</v>
      </c>
      <c r="G434" s="19">
        <v>211278.73682493364</v>
      </c>
    </row>
    <row r="435" spans="1:7" ht="11.25" customHeight="1" x14ac:dyDescent="0.2">
      <c r="A435" s="29">
        <v>44713</v>
      </c>
      <c r="B435" s="19">
        <v>193500</v>
      </c>
      <c r="C435" s="19">
        <v>0</v>
      </c>
      <c r="D435" s="19">
        <v>211278.73682493364</v>
      </c>
      <c r="E435" s="19">
        <v>0</v>
      </c>
      <c r="F435" s="19">
        <v>193500</v>
      </c>
      <c r="G435" s="19">
        <v>211278.73682493364</v>
      </c>
    </row>
    <row r="436" spans="1:7" ht="11.25" customHeight="1" x14ac:dyDescent="0.2">
      <c r="A436" s="29">
        <v>44743</v>
      </c>
      <c r="B436" s="19">
        <v>193500</v>
      </c>
      <c r="C436" s="19">
        <v>0</v>
      </c>
      <c r="D436" s="19">
        <v>211278.73682493364</v>
      </c>
      <c r="E436" s="19">
        <v>0</v>
      </c>
      <c r="F436" s="19">
        <v>193500</v>
      </c>
      <c r="G436" s="19">
        <v>211278.73682493364</v>
      </c>
    </row>
    <row r="437" spans="1:7" ht="11.25" customHeight="1" x14ac:dyDescent="0.2">
      <c r="A437" s="27" t="s">
        <v>79</v>
      </c>
      <c r="B437" s="19">
        <v>2089800</v>
      </c>
      <c r="C437" s="19">
        <v>0</v>
      </c>
      <c r="D437" s="19">
        <v>2281810.3577092835</v>
      </c>
      <c r="E437" s="19">
        <v>0</v>
      </c>
      <c r="F437" s="19">
        <v>2089800</v>
      </c>
      <c r="G437" s="19">
        <v>2281810.3577092835</v>
      </c>
    </row>
    <row r="438" spans="1:7" ht="11.25" customHeight="1" x14ac:dyDescent="0.2">
      <c r="A438" s="28" t="s">
        <v>25</v>
      </c>
      <c r="B438" s="19">
        <v>2089800</v>
      </c>
      <c r="C438" s="19">
        <v>0</v>
      </c>
      <c r="D438" s="19">
        <v>2281810.3577092835</v>
      </c>
      <c r="E438" s="19">
        <v>0</v>
      </c>
      <c r="F438" s="19">
        <v>2089800</v>
      </c>
      <c r="G438" s="19">
        <v>2281810.3577092835</v>
      </c>
    </row>
    <row r="439" spans="1:7" ht="11.25" customHeight="1" x14ac:dyDescent="0.2">
      <c r="A439" s="29">
        <v>44409</v>
      </c>
      <c r="B439" s="19">
        <v>174150</v>
      </c>
      <c r="C439" s="19">
        <v>0</v>
      </c>
      <c r="D439" s="19">
        <v>190150.86314244027</v>
      </c>
      <c r="E439" s="19">
        <v>0</v>
      </c>
      <c r="F439" s="19">
        <v>174150</v>
      </c>
      <c r="G439" s="19">
        <v>190150.86314244027</v>
      </c>
    </row>
    <row r="440" spans="1:7" ht="11.25" customHeight="1" x14ac:dyDescent="0.2">
      <c r="A440" s="29">
        <v>44440</v>
      </c>
      <c r="B440" s="19">
        <v>174150</v>
      </c>
      <c r="C440" s="19">
        <v>0</v>
      </c>
      <c r="D440" s="19">
        <v>190150.86314244027</v>
      </c>
      <c r="E440" s="19">
        <v>0</v>
      </c>
      <c r="F440" s="19">
        <v>174150</v>
      </c>
      <c r="G440" s="19">
        <v>190150.86314244027</v>
      </c>
    </row>
    <row r="441" spans="1:7" ht="11.25" customHeight="1" x14ac:dyDescent="0.2">
      <c r="A441" s="29">
        <v>44470</v>
      </c>
      <c r="B441" s="19">
        <v>174150</v>
      </c>
      <c r="C441" s="19">
        <v>0</v>
      </c>
      <c r="D441" s="19">
        <v>190150.86314244027</v>
      </c>
      <c r="E441" s="19">
        <v>0</v>
      </c>
      <c r="F441" s="19">
        <v>174150</v>
      </c>
      <c r="G441" s="19">
        <v>190150.86314244027</v>
      </c>
    </row>
    <row r="442" spans="1:7" ht="11.25" customHeight="1" x14ac:dyDescent="0.2">
      <c r="A442" s="29">
        <v>44501</v>
      </c>
      <c r="B442" s="19">
        <v>174150</v>
      </c>
      <c r="C442" s="19">
        <v>0</v>
      </c>
      <c r="D442" s="19">
        <v>190150.86314244027</v>
      </c>
      <c r="E442" s="19">
        <v>0</v>
      </c>
      <c r="F442" s="19">
        <v>174150</v>
      </c>
      <c r="G442" s="19">
        <v>190150.86314244027</v>
      </c>
    </row>
    <row r="443" spans="1:7" ht="11.25" customHeight="1" x14ac:dyDescent="0.2">
      <c r="A443" s="29">
        <v>44531</v>
      </c>
      <c r="B443" s="19">
        <v>174150</v>
      </c>
      <c r="C443" s="19">
        <v>0</v>
      </c>
      <c r="D443" s="19">
        <v>190150.86314244027</v>
      </c>
      <c r="E443" s="19">
        <v>0</v>
      </c>
      <c r="F443" s="19">
        <v>174150</v>
      </c>
      <c r="G443" s="19">
        <v>190150.86314244027</v>
      </c>
    </row>
    <row r="444" spans="1:7" ht="11.25" customHeight="1" x14ac:dyDescent="0.2">
      <c r="A444" s="29">
        <v>44562</v>
      </c>
      <c r="B444" s="19">
        <v>174150</v>
      </c>
      <c r="C444" s="19">
        <v>0</v>
      </c>
      <c r="D444" s="19">
        <v>190150.86314244027</v>
      </c>
      <c r="E444" s="19">
        <v>0</v>
      </c>
      <c r="F444" s="19">
        <v>174150</v>
      </c>
      <c r="G444" s="19">
        <v>190150.86314244027</v>
      </c>
    </row>
    <row r="445" spans="1:7" ht="11.25" customHeight="1" x14ac:dyDescent="0.2">
      <c r="A445" s="29">
        <v>44593</v>
      </c>
      <c r="B445" s="19">
        <v>174150</v>
      </c>
      <c r="C445" s="19">
        <v>0</v>
      </c>
      <c r="D445" s="19">
        <v>190150.86314244027</v>
      </c>
      <c r="E445" s="19">
        <v>0</v>
      </c>
      <c r="F445" s="19">
        <v>174150</v>
      </c>
      <c r="G445" s="19">
        <v>190150.86314244027</v>
      </c>
    </row>
    <row r="446" spans="1:7" ht="11.25" customHeight="1" x14ac:dyDescent="0.2">
      <c r="A446" s="29">
        <v>44621</v>
      </c>
      <c r="B446" s="19">
        <v>174150</v>
      </c>
      <c r="C446" s="19">
        <v>0</v>
      </c>
      <c r="D446" s="19">
        <v>190150.86314244027</v>
      </c>
      <c r="E446" s="19">
        <v>0</v>
      </c>
      <c r="F446" s="19">
        <v>174150</v>
      </c>
      <c r="G446" s="19">
        <v>190150.86314244027</v>
      </c>
    </row>
    <row r="447" spans="1:7" ht="11.25" customHeight="1" x14ac:dyDescent="0.2">
      <c r="A447" s="29">
        <v>44652</v>
      </c>
      <c r="B447" s="19">
        <v>174150</v>
      </c>
      <c r="C447" s="19">
        <v>0</v>
      </c>
      <c r="D447" s="19">
        <v>190150.86314244027</v>
      </c>
      <c r="E447" s="19">
        <v>0</v>
      </c>
      <c r="F447" s="19">
        <v>174150</v>
      </c>
      <c r="G447" s="19">
        <v>190150.86314244027</v>
      </c>
    </row>
    <row r="448" spans="1:7" ht="11.25" customHeight="1" x14ac:dyDescent="0.2">
      <c r="A448" s="29">
        <v>44682</v>
      </c>
      <c r="B448" s="19">
        <v>174150</v>
      </c>
      <c r="C448" s="19">
        <v>0</v>
      </c>
      <c r="D448" s="19">
        <v>190150.86314244027</v>
      </c>
      <c r="E448" s="19">
        <v>0</v>
      </c>
      <c r="F448" s="19">
        <v>174150</v>
      </c>
      <c r="G448" s="19">
        <v>190150.86314244027</v>
      </c>
    </row>
    <row r="449" spans="1:7" ht="11.25" customHeight="1" x14ac:dyDescent="0.2">
      <c r="A449" s="29">
        <v>44713</v>
      </c>
      <c r="B449" s="19">
        <v>174150</v>
      </c>
      <c r="C449" s="19">
        <v>0</v>
      </c>
      <c r="D449" s="19">
        <v>190150.86314244027</v>
      </c>
      <c r="E449" s="19">
        <v>0</v>
      </c>
      <c r="F449" s="19">
        <v>174150</v>
      </c>
      <c r="G449" s="19">
        <v>190150.86314244027</v>
      </c>
    </row>
    <row r="450" spans="1:7" ht="11.25" customHeight="1" x14ac:dyDescent="0.2">
      <c r="A450" s="29">
        <v>44743</v>
      </c>
      <c r="B450" s="19">
        <v>174150</v>
      </c>
      <c r="C450" s="19">
        <v>0</v>
      </c>
      <c r="D450" s="19">
        <v>190150.86314244027</v>
      </c>
      <c r="E450" s="19">
        <v>0</v>
      </c>
      <c r="F450" s="19">
        <v>174150</v>
      </c>
      <c r="G450" s="19">
        <v>190150.86314244027</v>
      </c>
    </row>
    <row r="451" spans="1:7" ht="11.25" customHeight="1" x14ac:dyDescent="0.2">
      <c r="A451" s="27" t="s">
        <v>73</v>
      </c>
      <c r="B451" s="19">
        <v>3440430</v>
      </c>
      <c r="C451" s="19">
        <v>0</v>
      </c>
      <c r="D451" s="19">
        <v>3756535.9407473193</v>
      </c>
      <c r="E451" s="19">
        <v>0</v>
      </c>
      <c r="F451" s="19">
        <v>3440430</v>
      </c>
      <c r="G451" s="19">
        <v>3756535.9407473193</v>
      </c>
    </row>
    <row r="452" spans="1:7" ht="11.25" customHeight="1" x14ac:dyDescent="0.2">
      <c r="A452" s="28" t="s">
        <v>25</v>
      </c>
      <c r="B452" s="19">
        <v>3440430</v>
      </c>
      <c r="C452" s="19">
        <v>0</v>
      </c>
      <c r="D452" s="19">
        <v>3756535.9407473193</v>
      </c>
      <c r="E452" s="19">
        <v>0</v>
      </c>
      <c r="F452" s="19">
        <v>3440430</v>
      </c>
      <c r="G452" s="19">
        <v>3756535.9407473193</v>
      </c>
    </row>
    <row r="453" spans="1:7" ht="11.25" customHeight="1" x14ac:dyDescent="0.2">
      <c r="A453" s="29">
        <v>44409</v>
      </c>
      <c r="B453" s="19">
        <v>286702.5</v>
      </c>
      <c r="C453" s="19">
        <v>0</v>
      </c>
      <c r="D453" s="19">
        <v>313044.66172894335</v>
      </c>
      <c r="E453" s="19">
        <v>0</v>
      </c>
      <c r="F453" s="19">
        <v>286702.5</v>
      </c>
      <c r="G453" s="19">
        <v>313044.66172894335</v>
      </c>
    </row>
    <row r="454" spans="1:7" ht="11.25" customHeight="1" x14ac:dyDescent="0.2">
      <c r="A454" s="29">
        <v>44440</v>
      </c>
      <c r="B454" s="19">
        <v>286702.5</v>
      </c>
      <c r="C454" s="19">
        <v>0</v>
      </c>
      <c r="D454" s="19">
        <v>313044.66172894335</v>
      </c>
      <c r="E454" s="19">
        <v>0</v>
      </c>
      <c r="F454" s="19">
        <v>286702.5</v>
      </c>
      <c r="G454" s="19">
        <v>313044.66172894335</v>
      </c>
    </row>
    <row r="455" spans="1:7" ht="11.25" customHeight="1" x14ac:dyDescent="0.2">
      <c r="A455" s="29">
        <v>44470</v>
      </c>
      <c r="B455" s="19">
        <v>286702.5</v>
      </c>
      <c r="C455" s="19">
        <v>0</v>
      </c>
      <c r="D455" s="19">
        <v>313044.66172894335</v>
      </c>
      <c r="E455" s="19">
        <v>0</v>
      </c>
      <c r="F455" s="19">
        <v>286702.5</v>
      </c>
      <c r="G455" s="19">
        <v>313044.66172894335</v>
      </c>
    </row>
    <row r="456" spans="1:7" ht="11.25" customHeight="1" x14ac:dyDescent="0.2">
      <c r="A456" s="29">
        <v>44501</v>
      </c>
      <c r="B456" s="19">
        <v>286702.5</v>
      </c>
      <c r="C456" s="19">
        <v>0</v>
      </c>
      <c r="D456" s="19">
        <v>313044.66172894335</v>
      </c>
      <c r="E456" s="19">
        <v>0</v>
      </c>
      <c r="F456" s="19">
        <v>286702.5</v>
      </c>
      <c r="G456" s="19">
        <v>313044.66172894335</v>
      </c>
    </row>
    <row r="457" spans="1:7" ht="11.25" customHeight="1" x14ac:dyDescent="0.2">
      <c r="A457" s="29">
        <v>44531</v>
      </c>
      <c r="B457" s="19">
        <v>286702.5</v>
      </c>
      <c r="C457" s="19">
        <v>0</v>
      </c>
      <c r="D457" s="19">
        <v>313044.66172894335</v>
      </c>
      <c r="E457" s="19">
        <v>0</v>
      </c>
      <c r="F457" s="19">
        <v>286702.5</v>
      </c>
      <c r="G457" s="19">
        <v>313044.66172894335</v>
      </c>
    </row>
    <row r="458" spans="1:7" ht="11.25" customHeight="1" x14ac:dyDescent="0.2">
      <c r="A458" s="29">
        <v>44562</v>
      </c>
      <c r="B458" s="19">
        <v>286702.5</v>
      </c>
      <c r="C458" s="19">
        <v>0</v>
      </c>
      <c r="D458" s="19">
        <v>313044.66172894335</v>
      </c>
      <c r="E458" s="19">
        <v>0</v>
      </c>
      <c r="F458" s="19">
        <v>286702.5</v>
      </c>
      <c r="G458" s="19">
        <v>313044.66172894335</v>
      </c>
    </row>
    <row r="459" spans="1:7" ht="11.25" customHeight="1" x14ac:dyDescent="0.2">
      <c r="A459" s="29">
        <v>44593</v>
      </c>
      <c r="B459" s="19">
        <v>286702.5</v>
      </c>
      <c r="C459" s="19">
        <v>0</v>
      </c>
      <c r="D459" s="19">
        <v>313044.66172894335</v>
      </c>
      <c r="E459" s="19">
        <v>0</v>
      </c>
      <c r="F459" s="19">
        <v>286702.5</v>
      </c>
      <c r="G459" s="19">
        <v>313044.66172894335</v>
      </c>
    </row>
    <row r="460" spans="1:7" ht="11.25" customHeight="1" x14ac:dyDescent="0.2">
      <c r="A460" s="29">
        <v>44621</v>
      </c>
      <c r="B460" s="19">
        <v>286702.5</v>
      </c>
      <c r="C460" s="19">
        <v>0</v>
      </c>
      <c r="D460" s="19">
        <v>313044.66172894335</v>
      </c>
      <c r="E460" s="19">
        <v>0</v>
      </c>
      <c r="F460" s="19">
        <v>286702.5</v>
      </c>
      <c r="G460" s="19">
        <v>313044.66172894335</v>
      </c>
    </row>
    <row r="461" spans="1:7" ht="11.25" customHeight="1" x14ac:dyDescent="0.2">
      <c r="A461" s="29">
        <v>44652</v>
      </c>
      <c r="B461" s="19">
        <v>286702.5</v>
      </c>
      <c r="C461" s="19">
        <v>0</v>
      </c>
      <c r="D461" s="19">
        <v>313044.66172894335</v>
      </c>
      <c r="E461" s="19">
        <v>0</v>
      </c>
      <c r="F461" s="19">
        <v>286702.5</v>
      </c>
      <c r="G461" s="19">
        <v>313044.66172894335</v>
      </c>
    </row>
    <row r="462" spans="1:7" ht="11.25" customHeight="1" x14ac:dyDescent="0.2">
      <c r="A462" s="29">
        <v>44682</v>
      </c>
      <c r="B462" s="19">
        <v>286702.5</v>
      </c>
      <c r="C462" s="19">
        <v>0</v>
      </c>
      <c r="D462" s="19">
        <v>313044.66172894335</v>
      </c>
      <c r="E462" s="19">
        <v>0</v>
      </c>
      <c r="F462" s="19">
        <v>286702.5</v>
      </c>
      <c r="G462" s="19">
        <v>313044.66172894335</v>
      </c>
    </row>
    <row r="463" spans="1:7" ht="11.25" customHeight="1" x14ac:dyDescent="0.2">
      <c r="A463" s="29">
        <v>44713</v>
      </c>
      <c r="B463" s="19">
        <v>286702.5</v>
      </c>
      <c r="C463" s="19">
        <v>0</v>
      </c>
      <c r="D463" s="19">
        <v>313044.66172894335</v>
      </c>
      <c r="E463" s="19">
        <v>0</v>
      </c>
      <c r="F463" s="19">
        <v>286702.5</v>
      </c>
      <c r="G463" s="19">
        <v>313044.66172894335</v>
      </c>
    </row>
    <row r="464" spans="1:7" ht="11.25" customHeight="1" x14ac:dyDescent="0.2">
      <c r="A464" s="29">
        <v>44743</v>
      </c>
      <c r="B464" s="19">
        <v>286702.5</v>
      </c>
      <c r="C464" s="19">
        <v>0</v>
      </c>
      <c r="D464" s="19">
        <v>313044.66172894335</v>
      </c>
      <c r="E464" s="19">
        <v>0</v>
      </c>
      <c r="F464" s="19">
        <v>286702.5</v>
      </c>
      <c r="G464" s="19">
        <v>313044.66172894335</v>
      </c>
    </row>
    <row r="465" spans="1:7" ht="11.25" customHeight="1" x14ac:dyDescent="0.2">
      <c r="A465" s="27" t="s">
        <v>71</v>
      </c>
      <c r="B465" s="19">
        <v>777870</v>
      </c>
      <c r="C465" s="19">
        <v>0</v>
      </c>
      <c r="D465" s="19">
        <v>849340.5220362331</v>
      </c>
      <c r="E465" s="19">
        <v>0</v>
      </c>
      <c r="F465" s="19">
        <v>777870</v>
      </c>
      <c r="G465" s="19">
        <v>849340.5220362331</v>
      </c>
    </row>
    <row r="466" spans="1:7" ht="11.25" customHeight="1" x14ac:dyDescent="0.2">
      <c r="A466" s="28" t="s">
        <v>25</v>
      </c>
      <c r="B466" s="19">
        <v>777870</v>
      </c>
      <c r="C466" s="19">
        <v>0</v>
      </c>
      <c r="D466" s="19">
        <v>849340.5220362331</v>
      </c>
      <c r="E466" s="19">
        <v>0</v>
      </c>
      <c r="F466" s="19">
        <v>777870</v>
      </c>
      <c r="G466" s="19">
        <v>849340.5220362331</v>
      </c>
    </row>
    <row r="467" spans="1:7" ht="11.25" customHeight="1" x14ac:dyDescent="0.2">
      <c r="A467" s="29">
        <v>44409</v>
      </c>
      <c r="B467" s="19">
        <v>64822.5</v>
      </c>
      <c r="C467" s="19">
        <v>0</v>
      </c>
      <c r="D467" s="19">
        <v>70778.376836352763</v>
      </c>
      <c r="E467" s="19">
        <v>0</v>
      </c>
      <c r="F467" s="19">
        <v>64822.5</v>
      </c>
      <c r="G467" s="19">
        <v>70778.376836352763</v>
      </c>
    </row>
    <row r="468" spans="1:7" ht="11.25" customHeight="1" x14ac:dyDescent="0.2">
      <c r="A468" s="29">
        <v>44440</v>
      </c>
      <c r="B468" s="19">
        <v>64822.5</v>
      </c>
      <c r="C468" s="19">
        <v>0</v>
      </c>
      <c r="D468" s="19">
        <v>70778.376836352763</v>
      </c>
      <c r="E468" s="19">
        <v>0</v>
      </c>
      <c r="F468" s="19">
        <v>64822.5</v>
      </c>
      <c r="G468" s="19">
        <v>70778.376836352763</v>
      </c>
    </row>
    <row r="469" spans="1:7" ht="11.25" customHeight="1" x14ac:dyDescent="0.2">
      <c r="A469" s="29">
        <v>44470</v>
      </c>
      <c r="B469" s="19">
        <v>64822.5</v>
      </c>
      <c r="C469" s="19">
        <v>0</v>
      </c>
      <c r="D469" s="19">
        <v>70778.376836352763</v>
      </c>
      <c r="E469" s="19">
        <v>0</v>
      </c>
      <c r="F469" s="19">
        <v>64822.5</v>
      </c>
      <c r="G469" s="19">
        <v>70778.376836352763</v>
      </c>
    </row>
    <row r="470" spans="1:7" ht="11.25" customHeight="1" x14ac:dyDescent="0.2">
      <c r="A470" s="29">
        <v>44501</v>
      </c>
      <c r="B470" s="19">
        <v>64822.5</v>
      </c>
      <c r="C470" s="19">
        <v>0</v>
      </c>
      <c r="D470" s="19">
        <v>70778.376836352763</v>
      </c>
      <c r="E470" s="19">
        <v>0</v>
      </c>
      <c r="F470" s="19">
        <v>64822.5</v>
      </c>
      <c r="G470" s="19">
        <v>70778.376836352763</v>
      </c>
    </row>
    <row r="471" spans="1:7" ht="11.25" customHeight="1" x14ac:dyDescent="0.2">
      <c r="A471" s="29">
        <v>44531</v>
      </c>
      <c r="B471" s="19">
        <v>64822.5</v>
      </c>
      <c r="C471" s="19">
        <v>0</v>
      </c>
      <c r="D471" s="19">
        <v>70778.376836352763</v>
      </c>
      <c r="E471" s="19">
        <v>0</v>
      </c>
      <c r="F471" s="19">
        <v>64822.5</v>
      </c>
      <c r="G471" s="19">
        <v>70778.376836352763</v>
      </c>
    </row>
    <row r="472" spans="1:7" ht="11.25" customHeight="1" x14ac:dyDescent="0.2">
      <c r="A472" s="29">
        <v>44562</v>
      </c>
      <c r="B472" s="19">
        <v>64822.5</v>
      </c>
      <c r="C472" s="19">
        <v>0</v>
      </c>
      <c r="D472" s="19">
        <v>70778.376836352763</v>
      </c>
      <c r="E472" s="19">
        <v>0</v>
      </c>
      <c r="F472" s="19">
        <v>64822.5</v>
      </c>
      <c r="G472" s="19">
        <v>70778.376836352763</v>
      </c>
    </row>
    <row r="473" spans="1:7" ht="11.25" customHeight="1" x14ac:dyDescent="0.2">
      <c r="A473" s="29">
        <v>44593</v>
      </c>
      <c r="B473" s="19">
        <v>64822.5</v>
      </c>
      <c r="C473" s="19">
        <v>0</v>
      </c>
      <c r="D473" s="19">
        <v>70778.376836352763</v>
      </c>
      <c r="E473" s="19">
        <v>0</v>
      </c>
      <c r="F473" s="19">
        <v>64822.5</v>
      </c>
      <c r="G473" s="19">
        <v>70778.376836352763</v>
      </c>
    </row>
    <row r="474" spans="1:7" ht="11.25" customHeight="1" x14ac:dyDescent="0.2">
      <c r="A474" s="29">
        <v>44621</v>
      </c>
      <c r="B474" s="19">
        <v>64822.5</v>
      </c>
      <c r="C474" s="19">
        <v>0</v>
      </c>
      <c r="D474" s="19">
        <v>70778.376836352763</v>
      </c>
      <c r="E474" s="19">
        <v>0</v>
      </c>
      <c r="F474" s="19">
        <v>64822.5</v>
      </c>
      <c r="G474" s="19">
        <v>70778.376836352763</v>
      </c>
    </row>
    <row r="475" spans="1:7" ht="11.25" customHeight="1" x14ac:dyDescent="0.2">
      <c r="A475" s="29">
        <v>44652</v>
      </c>
      <c r="B475" s="19">
        <v>64822.5</v>
      </c>
      <c r="C475" s="19">
        <v>0</v>
      </c>
      <c r="D475" s="19">
        <v>70778.376836352763</v>
      </c>
      <c r="E475" s="19">
        <v>0</v>
      </c>
      <c r="F475" s="19">
        <v>64822.5</v>
      </c>
      <c r="G475" s="19">
        <v>70778.376836352763</v>
      </c>
    </row>
    <row r="476" spans="1:7" ht="11.25" customHeight="1" x14ac:dyDescent="0.2">
      <c r="A476" s="29">
        <v>44682</v>
      </c>
      <c r="B476" s="19">
        <v>64822.5</v>
      </c>
      <c r="C476" s="19">
        <v>0</v>
      </c>
      <c r="D476" s="19">
        <v>70778.376836352763</v>
      </c>
      <c r="E476" s="19">
        <v>0</v>
      </c>
      <c r="F476" s="19">
        <v>64822.5</v>
      </c>
      <c r="G476" s="19">
        <v>70778.376836352763</v>
      </c>
    </row>
    <row r="477" spans="1:7" ht="11.25" customHeight="1" x14ac:dyDescent="0.2">
      <c r="A477" s="29">
        <v>44713</v>
      </c>
      <c r="B477" s="19">
        <v>64822.5</v>
      </c>
      <c r="C477" s="19">
        <v>0</v>
      </c>
      <c r="D477" s="19">
        <v>70778.376836352763</v>
      </c>
      <c r="E477" s="19">
        <v>0</v>
      </c>
      <c r="F477" s="19">
        <v>64822.5</v>
      </c>
      <c r="G477" s="19">
        <v>70778.376836352763</v>
      </c>
    </row>
    <row r="478" spans="1:7" ht="11.25" customHeight="1" x14ac:dyDescent="0.2">
      <c r="A478" s="29">
        <v>44743</v>
      </c>
      <c r="B478" s="19">
        <v>64822.5</v>
      </c>
      <c r="C478" s="19">
        <v>0</v>
      </c>
      <c r="D478" s="19">
        <v>70778.376836352763</v>
      </c>
      <c r="E478" s="19">
        <v>0</v>
      </c>
      <c r="F478" s="19">
        <v>64822.5</v>
      </c>
      <c r="G478" s="19">
        <v>70778.376836352763</v>
      </c>
    </row>
    <row r="479" spans="1:7" ht="11.25" customHeight="1" x14ac:dyDescent="0.2">
      <c r="A479" s="22" t="s">
        <v>41</v>
      </c>
      <c r="B479" s="19">
        <v>2029547.6300000001</v>
      </c>
      <c r="C479" s="19">
        <v>0</v>
      </c>
      <c r="D479" s="19">
        <v>2248133.4007124603</v>
      </c>
      <c r="E479" s="19">
        <v>0</v>
      </c>
      <c r="F479" s="19">
        <v>2029547.6300000001</v>
      </c>
      <c r="G479" s="19">
        <v>2248133.4007124603</v>
      </c>
    </row>
    <row r="480" spans="1:7" ht="11.25" customHeight="1" x14ac:dyDescent="0.2">
      <c r="A480" s="23" t="s">
        <v>66</v>
      </c>
      <c r="B480" s="19">
        <v>2029547.6300000001</v>
      </c>
      <c r="C480" s="19">
        <v>0</v>
      </c>
      <c r="D480" s="19">
        <v>2248133.4007124603</v>
      </c>
      <c r="E480" s="19">
        <v>0</v>
      </c>
      <c r="F480" s="19">
        <v>2029547.6300000001</v>
      </c>
      <c r="G480" s="19">
        <v>2248133.4007124603</v>
      </c>
    </row>
    <row r="481" spans="1:7" ht="11.25" customHeight="1" x14ac:dyDescent="0.2">
      <c r="A481" s="24" t="s">
        <v>25</v>
      </c>
      <c r="B481" s="19">
        <v>2029547.6300000001</v>
      </c>
      <c r="C481" s="19">
        <v>0</v>
      </c>
      <c r="D481" s="19">
        <v>2248133.4007124603</v>
      </c>
      <c r="E481" s="19">
        <v>0</v>
      </c>
      <c r="F481" s="19">
        <v>2029547.6300000001</v>
      </c>
      <c r="G481" s="19">
        <v>2248133.4007124603</v>
      </c>
    </row>
    <row r="482" spans="1:7" ht="11.25" customHeight="1" x14ac:dyDescent="0.2">
      <c r="A482" s="25" t="s">
        <v>25</v>
      </c>
      <c r="B482" s="19">
        <v>2029547.6300000001</v>
      </c>
      <c r="C482" s="19">
        <v>0</v>
      </c>
      <c r="D482" s="19">
        <v>2248133.4007124603</v>
      </c>
      <c r="E482" s="19">
        <v>0</v>
      </c>
      <c r="F482" s="19">
        <v>2029547.6300000001</v>
      </c>
      <c r="G482" s="19">
        <v>2248133.4007124603</v>
      </c>
    </row>
    <row r="483" spans="1:7" ht="11.25" customHeight="1" x14ac:dyDescent="0.2">
      <c r="A483" s="26" t="s">
        <v>25</v>
      </c>
      <c r="B483" s="19">
        <v>2029547.6300000001</v>
      </c>
      <c r="C483" s="19">
        <v>0</v>
      </c>
      <c r="D483" s="19">
        <v>2248133.4007124603</v>
      </c>
      <c r="E483" s="19">
        <v>0</v>
      </c>
      <c r="F483" s="19">
        <v>2029547.6300000001</v>
      </c>
      <c r="G483" s="19">
        <v>2248133.4007124603</v>
      </c>
    </row>
    <row r="484" spans="1:7" ht="11.25" customHeight="1" x14ac:dyDescent="0.2">
      <c r="A484" s="27" t="s">
        <v>82</v>
      </c>
      <c r="B484" s="19">
        <v>830016</v>
      </c>
      <c r="C484" s="19">
        <v>0</v>
      </c>
      <c r="D484" s="19">
        <v>919410.15088458604</v>
      </c>
      <c r="E484" s="19">
        <v>0</v>
      </c>
      <c r="F484" s="19">
        <v>830016</v>
      </c>
      <c r="G484" s="19">
        <v>919410.15088458604</v>
      </c>
    </row>
    <row r="485" spans="1:7" ht="11.25" customHeight="1" x14ac:dyDescent="0.2">
      <c r="A485" s="28" t="s">
        <v>25</v>
      </c>
      <c r="B485" s="19">
        <v>830016</v>
      </c>
      <c r="C485" s="19">
        <v>0</v>
      </c>
      <c r="D485" s="19">
        <v>919410.15088458604</v>
      </c>
      <c r="E485" s="19">
        <v>0</v>
      </c>
      <c r="F485" s="19">
        <v>830016</v>
      </c>
      <c r="G485" s="19">
        <v>919410.15088458604</v>
      </c>
    </row>
    <row r="486" spans="1:7" ht="11.25" customHeight="1" x14ac:dyDescent="0.2">
      <c r="A486" s="29">
        <v>44409</v>
      </c>
      <c r="B486" s="19">
        <v>69168</v>
      </c>
      <c r="C486" s="19">
        <v>0</v>
      </c>
      <c r="D486" s="19">
        <v>76617.512573715489</v>
      </c>
      <c r="E486" s="19">
        <v>0</v>
      </c>
      <c r="F486" s="19">
        <v>69168</v>
      </c>
      <c r="G486" s="19">
        <v>76617.512573715489</v>
      </c>
    </row>
    <row r="487" spans="1:7" ht="11.25" customHeight="1" x14ac:dyDescent="0.2">
      <c r="A487" s="29">
        <v>44440</v>
      </c>
      <c r="B487" s="19">
        <v>69168</v>
      </c>
      <c r="C487" s="19">
        <v>0</v>
      </c>
      <c r="D487" s="19">
        <v>76617.512573715489</v>
      </c>
      <c r="E487" s="19">
        <v>0</v>
      </c>
      <c r="F487" s="19">
        <v>69168</v>
      </c>
      <c r="G487" s="19">
        <v>76617.512573715489</v>
      </c>
    </row>
    <row r="488" spans="1:7" ht="11.25" customHeight="1" x14ac:dyDescent="0.2">
      <c r="A488" s="29">
        <v>44470</v>
      </c>
      <c r="B488" s="19">
        <v>69168</v>
      </c>
      <c r="C488" s="19">
        <v>0</v>
      </c>
      <c r="D488" s="19">
        <v>76617.512573715489</v>
      </c>
      <c r="E488" s="19">
        <v>0</v>
      </c>
      <c r="F488" s="19">
        <v>69168</v>
      </c>
      <c r="G488" s="19">
        <v>76617.512573715489</v>
      </c>
    </row>
    <row r="489" spans="1:7" ht="11.25" customHeight="1" x14ac:dyDescent="0.2">
      <c r="A489" s="29">
        <v>44501</v>
      </c>
      <c r="B489" s="19">
        <v>69168</v>
      </c>
      <c r="C489" s="19">
        <v>0</v>
      </c>
      <c r="D489" s="19">
        <v>76617.512573715489</v>
      </c>
      <c r="E489" s="19">
        <v>0</v>
      </c>
      <c r="F489" s="19">
        <v>69168</v>
      </c>
      <c r="G489" s="19">
        <v>76617.512573715489</v>
      </c>
    </row>
    <row r="490" spans="1:7" ht="11.25" customHeight="1" x14ac:dyDescent="0.2">
      <c r="A490" s="29">
        <v>44531</v>
      </c>
      <c r="B490" s="19">
        <v>69168</v>
      </c>
      <c r="C490" s="19">
        <v>0</v>
      </c>
      <c r="D490" s="19">
        <v>76617.512573715489</v>
      </c>
      <c r="E490" s="19">
        <v>0</v>
      </c>
      <c r="F490" s="19">
        <v>69168</v>
      </c>
      <c r="G490" s="19">
        <v>76617.512573715489</v>
      </c>
    </row>
    <row r="491" spans="1:7" ht="11.25" customHeight="1" x14ac:dyDescent="0.2">
      <c r="A491" s="29">
        <v>44562</v>
      </c>
      <c r="B491" s="19">
        <v>69168</v>
      </c>
      <c r="C491" s="19">
        <v>0</v>
      </c>
      <c r="D491" s="19">
        <v>76617.512573715489</v>
      </c>
      <c r="E491" s="19">
        <v>0</v>
      </c>
      <c r="F491" s="19">
        <v>69168</v>
      </c>
      <c r="G491" s="19">
        <v>76617.512573715489</v>
      </c>
    </row>
    <row r="492" spans="1:7" ht="11.25" customHeight="1" x14ac:dyDescent="0.2">
      <c r="A492" s="29">
        <v>44593</v>
      </c>
      <c r="B492" s="19">
        <v>69168</v>
      </c>
      <c r="C492" s="19">
        <v>0</v>
      </c>
      <c r="D492" s="19">
        <v>76617.512573715489</v>
      </c>
      <c r="E492" s="19">
        <v>0</v>
      </c>
      <c r="F492" s="19">
        <v>69168</v>
      </c>
      <c r="G492" s="19">
        <v>76617.512573715489</v>
      </c>
    </row>
    <row r="493" spans="1:7" ht="11.25" customHeight="1" x14ac:dyDescent="0.2">
      <c r="A493" s="29">
        <v>44621</v>
      </c>
      <c r="B493" s="19">
        <v>69168</v>
      </c>
      <c r="C493" s="19">
        <v>0</v>
      </c>
      <c r="D493" s="19">
        <v>76617.512573715489</v>
      </c>
      <c r="E493" s="19">
        <v>0</v>
      </c>
      <c r="F493" s="19">
        <v>69168</v>
      </c>
      <c r="G493" s="19">
        <v>76617.512573715489</v>
      </c>
    </row>
    <row r="494" spans="1:7" ht="11.25" customHeight="1" x14ac:dyDescent="0.2">
      <c r="A494" s="29">
        <v>44652</v>
      </c>
      <c r="B494" s="19">
        <v>69168</v>
      </c>
      <c r="C494" s="19">
        <v>0</v>
      </c>
      <c r="D494" s="19">
        <v>76617.512573715489</v>
      </c>
      <c r="E494" s="19">
        <v>0</v>
      </c>
      <c r="F494" s="19">
        <v>69168</v>
      </c>
      <c r="G494" s="19">
        <v>76617.512573715489</v>
      </c>
    </row>
    <row r="495" spans="1:7" ht="11.25" customHeight="1" x14ac:dyDescent="0.2">
      <c r="A495" s="29">
        <v>44682</v>
      </c>
      <c r="B495" s="19">
        <v>69168</v>
      </c>
      <c r="C495" s="19">
        <v>0</v>
      </c>
      <c r="D495" s="19">
        <v>76617.512573715489</v>
      </c>
      <c r="E495" s="19">
        <v>0</v>
      </c>
      <c r="F495" s="19">
        <v>69168</v>
      </c>
      <c r="G495" s="19">
        <v>76617.512573715489</v>
      </c>
    </row>
    <row r="496" spans="1:7" ht="11.25" customHeight="1" x14ac:dyDescent="0.2">
      <c r="A496" s="29">
        <v>44713</v>
      </c>
      <c r="B496" s="19">
        <v>69168</v>
      </c>
      <c r="C496" s="19">
        <v>0</v>
      </c>
      <c r="D496" s="19">
        <v>76617.512573715489</v>
      </c>
      <c r="E496" s="19">
        <v>0</v>
      </c>
      <c r="F496" s="19">
        <v>69168</v>
      </c>
      <c r="G496" s="19">
        <v>76617.512573715489</v>
      </c>
    </row>
    <row r="497" spans="1:7" ht="11.25" customHeight="1" x14ac:dyDescent="0.2">
      <c r="A497" s="29">
        <v>44743</v>
      </c>
      <c r="B497" s="19">
        <v>69168</v>
      </c>
      <c r="C497" s="19">
        <v>0</v>
      </c>
      <c r="D497" s="19">
        <v>76617.512573715489</v>
      </c>
      <c r="E497" s="19">
        <v>0</v>
      </c>
      <c r="F497" s="19">
        <v>69168</v>
      </c>
      <c r="G497" s="19">
        <v>76617.512573715489</v>
      </c>
    </row>
    <row r="498" spans="1:7" ht="11.25" customHeight="1" x14ac:dyDescent="0.2">
      <c r="A498" s="27" t="s">
        <v>83</v>
      </c>
      <c r="B498" s="19">
        <v>154511.22500000001</v>
      </c>
      <c r="C498" s="19">
        <v>0</v>
      </c>
      <c r="D498" s="19">
        <v>171152.34970243007</v>
      </c>
      <c r="E498" s="19">
        <v>0</v>
      </c>
      <c r="F498" s="19">
        <v>154511.22500000001</v>
      </c>
      <c r="G498" s="19">
        <v>171152.34970243007</v>
      </c>
    </row>
    <row r="499" spans="1:7" ht="11.25" customHeight="1" x14ac:dyDescent="0.2">
      <c r="A499" s="28" t="s">
        <v>25</v>
      </c>
      <c r="B499" s="19">
        <v>154511.22500000001</v>
      </c>
      <c r="C499" s="19">
        <v>0</v>
      </c>
      <c r="D499" s="19">
        <v>171152.34970243007</v>
      </c>
      <c r="E499" s="19">
        <v>0</v>
      </c>
      <c r="F499" s="19">
        <v>154511.22500000001</v>
      </c>
      <c r="G499" s="19">
        <v>171152.34970243007</v>
      </c>
    </row>
    <row r="500" spans="1:7" ht="11.25" customHeight="1" x14ac:dyDescent="0.2">
      <c r="A500" s="29">
        <v>44409</v>
      </c>
      <c r="B500" s="19">
        <v>1441</v>
      </c>
      <c r="C500" s="19">
        <v>0</v>
      </c>
      <c r="D500" s="19">
        <v>1596.1981786190729</v>
      </c>
      <c r="E500" s="19">
        <v>0</v>
      </c>
      <c r="F500" s="19">
        <v>1441</v>
      </c>
      <c r="G500" s="19">
        <v>1596.1981786190729</v>
      </c>
    </row>
    <row r="501" spans="1:7" ht="11.25" customHeight="1" x14ac:dyDescent="0.2">
      <c r="A501" s="29">
        <v>44440</v>
      </c>
      <c r="B501" s="19">
        <v>1441</v>
      </c>
      <c r="C501" s="19">
        <v>0</v>
      </c>
      <c r="D501" s="19">
        <v>1596.1981786190729</v>
      </c>
      <c r="E501" s="19">
        <v>0</v>
      </c>
      <c r="F501" s="19">
        <v>1441</v>
      </c>
      <c r="G501" s="19">
        <v>1596.1981786190729</v>
      </c>
    </row>
    <row r="502" spans="1:7" ht="11.25" customHeight="1" x14ac:dyDescent="0.2">
      <c r="A502" s="29">
        <v>44470</v>
      </c>
      <c r="B502" s="19">
        <v>1441</v>
      </c>
      <c r="C502" s="19">
        <v>0</v>
      </c>
      <c r="D502" s="19">
        <v>1596.1981786190729</v>
      </c>
      <c r="E502" s="19">
        <v>0</v>
      </c>
      <c r="F502" s="19">
        <v>1441</v>
      </c>
      <c r="G502" s="19">
        <v>1596.1981786190729</v>
      </c>
    </row>
    <row r="503" spans="1:7" ht="11.25" customHeight="1" x14ac:dyDescent="0.2">
      <c r="A503" s="29">
        <v>44501</v>
      </c>
      <c r="B503" s="19">
        <v>11852.225</v>
      </c>
      <c r="C503" s="19">
        <v>0</v>
      </c>
      <c r="D503" s="19">
        <v>13128.730019141874</v>
      </c>
      <c r="E503" s="19">
        <v>0</v>
      </c>
      <c r="F503" s="19">
        <v>11852.225</v>
      </c>
      <c r="G503" s="19">
        <v>13128.730019141874</v>
      </c>
    </row>
    <row r="504" spans="1:7" ht="11.25" customHeight="1" x14ac:dyDescent="0.2">
      <c r="A504" s="29">
        <v>44531</v>
      </c>
      <c r="B504" s="19">
        <v>17292</v>
      </c>
      <c r="C504" s="19">
        <v>0</v>
      </c>
      <c r="D504" s="19">
        <v>19154.378143428872</v>
      </c>
      <c r="E504" s="19">
        <v>0</v>
      </c>
      <c r="F504" s="19">
        <v>17292</v>
      </c>
      <c r="G504" s="19">
        <v>19154.378143428872</v>
      </c>
    </row>
    <row r="505" spans="1:7" ht="11.25" customHeight="1" x14ac:dyDescent="0.2">
      <c r="A505" s="29">
        <v>44562</v>
      </c>
      <c r="B505" s="19">
        <v>17292</v>
      </c>
      <c r="C505" s="19">
        <v>0</v>
      </c>
      <c r="D505" s="19">
        <v>19154.378143428872</v>
      </c>
      <c r="E505" s="19">
        <v>0</v>
      </c>
      <c r="F505" s="19">
        <v>17292</v>
      </c>
      <c r="G505" s="19">
        <v>19154.378143428872</v>
      </c>
    </row>
    <row r="506" spans="1:7" ht="11.25" customHeight="1" x14ac:dyDescent="0.2">
      <c r="A506" s="29">
        <v>44593</v>
      </c>
      <c r="B506" s="19">
        <v>17292</v>
      </c>
      <c r="C506" s="19">
        <v>0</v>
      </c>
      <c r="D506" s="19">
        <v>19154.378143428872</v>
      </c>
      <c r="E506" s="19">
        <v>0</v>
      </c>
      <c r="F506" s="19">
        <v>17292</v>
      </c>
      <c r="G506" s="19">
        <v>19154.378143428872</v>
      </c>
    </row>
    <row r="507" spans="1:7" ht="11.25" customHeight="1" x14ac:dyDescent="0.2">
      <c r="A507" s="29">
        <v>44621</v>
      </c>
      <c r="B507" s="19">
        <v>17292</v>
      </c>
      <c r="C507" s="19">
        <v>0</v>
      </c>
      <c r="D507" s="19">
        <v>19154.378143428872</v>
      </c>
      <c r="E507" s="19">
        <v>0</v>
      </c>
      <c r="F507" s="19">
        <v>17292</v>
      </c>
      <c r="G507" s="19">
        <v>19154.378143428872</v>
      </c>
    </row>
    <row r="508" spans="1:7" ht="11.25" customHeight="1" x14ac:dyDescent="0.2">
      <c r="A508" s="29">
        <v>44652</v>
      </c>
      <c r="B508" s="19">
        <v>17292</v>
      </c>
      <c r="C508" s="19">
        <v>0</v>
      </c>
      <c r="D508" s="19">
        <v>19154.378143428872</v>
      </c>
      <c r="E508" s="19">
        <v>0</v>
      </c>
      <c r="F508" s="19">
        <v>17292</v>
      </c>
      <c r="G508" s="19">
        <v>19154.378143428872</v>
      </c>
    </row>
    <row r="509" spans="1:7" ht="11.25" customHeight="1" x14ac:dyDescent="0.2">
      <c r="A509" s="29">
        <v>44682</v>
      </c>
      <c r="B509" s="19">
        <v>17292</v>
      </c>
      <c r="C509" s="19">
        <v>0</v>
      </c>
      <c r="D509" s="19">
        <v>19154.378143428872</v>
      </c>
      <c r="E509" s="19">
        <v>0</v>
      </c>
      <c r="F509" s="19">
        <v>17292</v>
      </c>
      <c r="G509" s="19">
        <v>19154.378143428872</v>
      </c>
    </row>
    <row r="510" spans="1:7" ht="11.25" customHeight="1" x14ac:dyDescent="0.2">
      <c r="A510" s="29">
        <v>44713</v>
      </c>
      <c r="B510" s="19">
        <v>17292</v>
      </c>
      <c r="C510" s="19">
        <v>0</v>
      </c>
      <c r="D510" s="19">
        <v>19154.378143428872</v>
      </c>
      <c r="E510" s="19">
        <v>0</v>
      </c>
      <c r="F510" s="19">
        <v>17292</v>
      </c>
      <c r="G510" s="19">
        <v>19154.378143428872</v>
      </c>
    </row>
    <row r="511" spans="1:7" ht="11.25" customHeight="1" x14ac:dyDescent="0.2">
      <c r="A511" s="29">
        <v>44743</v>
      </c>
      <c r="B511" s="19">
        <v>17292</v>
      </c>
      <c r="C511" s="19">
        <v>0</v>
      </c>
      <c r="D511" s="19">
        <v>19154.378143428872</v>
      </c>
      <c r="E511" s="19">
        <v>0</v>
      </c>
      <c r="F511" s="19">
        <v>17292</v>
      </c>
      <c r="G511" s="19">
        <v>19154.378143428872</v>
      </c>
    </row>
    <row r="512" spans="1:7" ht="11.25" customHeight="1" x14ac:dyDescent="0.2">
      <c r="A512" s="27" t="s">
        <v>81</v>
      </c>
      <c r="B512" s="19">
        <v>54938.125</v>
      </c>
      <c r="C512" s="19">
        <v>0</v>
      </c>
      <c r="D512" s="19">
        <v>60855.055559852161</v>
      </c>
      <c r="E512" s="19">
        <v>0</v>
      </c>
      <c r="F512" s="19">
        <v>54938.125</v>
      </c>
      <c r="G512" s="19">
        <v>60855.055559852161</v>
      </c>
    </row>
    <row r="513" spans="1:7" ht="11.25" customHeight="1" x14ac:dyDescent="0.2">
      <c r="A513" s="28" t="s">
        <v>25</v>
      </c>
      <c r="B513" s="19">
        <v>54938.125</v>
      </c>
      <c r="C513" s="19">
        <v>0</v>
      </c>
      <c r="D513" s="19">
        <v>60855.055559852161</v>
      </c>
      <c r="E513" s="19">
        <v>0</v>
      </c>
      <c r="F513" s="19">
        <v>54938.125</v>
      </c>
      <c r="G513" s="19">
        <v>60855.055559852161</v>
      </c>
    </row>
    <row r="514" spans="1:7" ht="11.25" customHeight="1" x14ac:dyDescent="0.2">
      <c r="A514" s="29">
        <v>44409</v>
      </c>
      <c r="B514" s="19">
        <v>4323</v>
      </c>
      <c r="C514" s="19">
        <v>0</v>
      </c>
      <c r="D514" s="19">
        <v>4788.594535857218</v>
      </c>
      <c r="E514" s="19">
        <v>0</v>
      </c>
      <c r="F514" s="19">
        <v>4323</v>
      </c>
      <c r="G514" s="19">
        <v>4788.594535857218</v>
      </c>
    </row>
    <row r="515" spans="1:7" ht="11.25" customHeight="1" x14ac:dyDescent="0.2">
      <c r="A515" s="29">
        <v>44440</v>
      </c>
      <c r="B515" s="19">
        <v>4323</v>
      </c>
      <c r="C515" s="19">
        <v>0</v>
      </c>
      <c r="D515" s="19">
        <v>4788.594535857218</v>
      </c>
      <c r="E515" s="19">
        <v>0</v>
      </c>
      <c r="F515" s="19">
        <v>4323</v>
      </c>
      <c r="G515" s="19">
        <v>4788.594535857218</v>
      </c>
    </row>
    <row r="516" spans="1:7" ht="11.25" customHeight="1" x14ac:dyDescent="0.2">
      <c r="A516" s="29">
        <v>44470</v>
      </c>
      <c r="B516" s="19">
        <v>4323</v>
      </c>
      <c r="C516" s="19">
        <v>0</v>
      </c>
      <c r="D516" s="19">
        <v>4788.594535857218</v>
      </c>
      <c r="E516" s="19">
        <v>0</v>
      </c>
      <c r="F516" s="19">
        <v>4323</v>
      </c>
      <c r="G516" s="19">
        <v>4788.594535857218</v>
      </c>
    </row>
    <row r="517" spans="1:7" ht="11.25" customHeight="1" x14ac:dyDescent="0.2">
      <c r="A517" s="29">
        <v>44501</v>
      </c>
      <c r="B517" s="19">
        <v>7385.125</v>
      </c>
      <c r="C517" s="19">
        <v>0</v>
      </c>
      <c r="D517" s="19">
        <v>8180.5156654227485</v>
      </c>
      <c r="E517" s="19">
        <v>0</v>
      </c>
      <c r="F517" s="19">
        <v>7385.125</v>
      </c>
      <c r="G517" s="19">
        <v>8180.5156654227485</v>
      </c>
    </row>
    <row r="518" spans="1:7" ht="11.25" customHeight="1" x14ac:dyDescent="0.2">
      <c r="A518" s="29">
        <v>44531</v>
      </c>
      <c r="B518" s="19">
        <v>4323</v>
      </c>
      <c r="C518" s="19">
        <v>0</v>
      </c>
      <c r="D518" s="19">
        <v>4788.594535857218</v>
      </c>
      <c r="E518" s="19">
        <v>0</v>
      </c>
      <c r="F518" s="19">
        <v>4323</v>
      </c>
      <c r="G518" s="19">
        <v>4788.594535857218</v>
      </c>
    </row>
    <row r="519" spans="1:7" ht="11.25" customHeight="1" x14ac:dyDescent="0.2">
      <c r="A519" s="29">
        <v>44562</v>
      </c>
      <c r="B519" s="19">
        <v>4323</v>
      </c>
      <c r="C519" s="19">
        <v>0</v>
      </c>
      <c r="D519" s="19">
        <v>4788.594535857218</v>
      </c>
      <c r="E519" s="19">
        <v>0</v>
      </c>
      <c r="F519" s="19">
        <v>4323</v>
      </c>
      <c r="G519" s="19">
        <v>4788.594535857218</v>
      </c>
    </row>
    <row r="520" spans="1:7" ht="11.25" customHeight="1" x14ac:dyDescent="0.2">
      <c r="A520" s="29">
        <v>44593</v>
      </c>
      <c r="B520" s="19">
        <v>4323</v>
      </c>
      <c r="C520" s="19">
        <v>0</v>
      </c>
      <c r="D520" s="19">
        <v>4788.594535857218</v>
      </c>
      <c r="E520" s="19">
        <v>0</v>
      </c>
      <c r="F520" s="19">
        <v>4323</v>
      </c>
      <c r="G520" s="19">
        <v>4788.594535857218</v>
      </c>
    </row>
    <row r="521" spans="1:7" ht="11.25" customHeight="1" x14ac:dyDescent="0.2">
      <c r="A521" s="29">
        <v>44621</v>
      </c>
      <c r="B521" s="19">
        <v>4323</v>
      </c>
      <c r="C521" s="19">
        <v>0</v>
      </c>
      <c r="D521" s="19">
        <v>4788.594535857218</v>
      </c>
      <c r="E521" s="19">
        <v>0</v>
      </c>
      <c r="F521" s="19">
        <v>4323</v>
      </c>
      <c r="G521" s="19">
        <v>4788.594535857218</v>
      </c>
    </row>
    <row r="522" spans="1:7" ht="11.25" customHeight="1" x14ac:dyDescent="0.2">
      <c r="A522" s="29">
        <v>44652</v>
      </c>
      <c r="B522" s="19">
        <v>4323</v>
      </c>
      <c r="C522" s="19">
        <v>0</v>
      </c>
      <c r="D522" s="19">
        <v>4788.594535857218</v>
      </c>
      <c r="E522" s="19">
        <v>0</v>
      </c>
      <c r="F522" s="19">
        <v>4323</v>
      </c>
      <c r="G522" s="19">
        <v>4788.594535857218</v>
      </c>
    </row>
    <row r="523" spans="1:7" ht="11.25" customHeight="1" x14ac:dyDescent="0.2">
      <c r="A523" s="29">
        <v>44682</v>
      </c>
      <c r="B523" s="19">
        <v>4323</v>
      </c>
      <c r="C523" s="19">
        <v>0</v>
      </c>
      <c r="D523" s="19">
        <v>4788.594535857218</v>
      </c>
      <c r="E523" s="19">
        <v>0</v>
      </c>
      <c r="F523" s="19">
        <v>4323</v>
      </c>
      <c r="G523" s="19">
        <v>4788.594535857218</v>
      </c>
    </row>
    <row r="524" spans="1:7" ht="11.25" customHeight="1" x14ac:dyDescent="0.2">
      <c r="A524" s="29">
        <v>44713</v>
      </c>
      <c r="B524" s="19">
        <v>4323</v>
      </c>
      <c r="C524" s="19">
        <v>0</v>
      </c>
      <c r="D524" s="19">
        <v>4788.594535857218</v>
      </c>
      <c r="E524" s="19">
        <v>0</v>
      </c>
      <c r="F524" s="19">
        <v>4323</v>
      </c>
      <c r="G524" s="19">
        <v>4788.594535857218</v>
      </c>
    </row>
    <row r="525" spans="1:7" ht="11.25" customHeight="1" x14ac:dyDescent="0.2">
      <c r="A525" s="29">
        <v>44743</v>
      </c>
      <c r="B525" s="19">
        <v>4323</v>
      </c>
      <c r="C525" s="19">
        <v>0</v>
      </c>
      <c r="D525" s="19">
        <v>4788.594535857218</v>
      </c>
      <c r="E525" s="19">
        <v>0</v>
      </c>
      <c r="F525" s="19">
        <v>4323</v>
      </c>
      <c r="G525" s="19">
        <v>4788.594535857218</v>
      </c>
    </row>
    <row r="526" spans="1:7" ht="11.25" customHeight="1" x14ac:dyDescent="0.2">
      <c r="A526" s="27" t="s">
        <v>80</v>
      </c>
      <c r="B526" s="19">
        <v>302004.78000000003</v>
      </c>
      <c r="C526" s="19">
        <v>0</v>
      </c>
      <c r="D526" s="19">
        <v>334531.21427498531</v>
      </c>
      <c r="E526" s="19">
        <v>0</v>
      </c>
      <c r="F526" s="19">
        <v>302004.78000000003</v>
      </c>
      <c r="G526" s="19">
        <v>334531.21427498531</v>
      </c>
    </row>
    <row r="527" spans="1:7" ht="11.25" customHeight="1" x14ac:dyDescent="0.2">
      <c r="A527" s="28" t="s">
        <v>25</v>
      </c>
      <c r="B527" s="19">
        <v>302004.78000000003</v>
      </c>
      <c r="C527" s="19">
        <v>0</v>
      </c>
      <c r="D527" s="19">
        <v>334531.21427498531</v>
      </c>
      <c r="E527" s="19">
        <v>0</v>
      </c>
      <c r="F527" s="19">
        <v>302004.78000000003</v>
      </c>
      <c r="G527" s="19">
        <v>334531.21427498531</v>
      </c>
    </row>
    <row r="528" spans="1:7" ht="11.25" customHeight="1" x14ac:dyDescent="0.2">
      <c r="A528" s="29">
        <v>44409</v>
      </c>
      <c r="B528" s="19">
        <v>21615</v>
      </c>
      <c r="C528" s="19">
        <v>0</v>
      </c>
      <c r="D528" s="19">
        <v>23942.972679286093</v>
      </c>
      <c r="E528" s="19">
        <v>0</v>
      </c>
      <c r="F528" s="19">
        <v>21615</v>
      </c>
      <c r="G528" s="19">
        <v>23942.972679286093</v>
      </c>
    </row>
    <row r="529" spans="1:7" ht="11.25" customHeight="1" x14ac:dyDescent="0.2">
      <c r="A529" s="29">
        <v>44440</v>
      </c>
      <c r="B529" s="19">
        <v>21615</v>
      </c>
      <c r="C529" s="19">
        <v>0</v>
      </c>
      <c r="D529" s="19">
        <v>23942.972679286093</v>
      </c>
      <c r="E529" s="19">
        <v>0</v>
      </c>
      <c r="F529" s="19">
        <v>21615</v>
      </c>
      <c r="G529" s="19">
        <v>23942.972679286093</v>
      </c>
    </row>
    <row r="530" spans="1:7" ht="11.25" customHeight="1" x14ac:dyDescent="0.2">
      <c r="A530" s="29">
        <v>44470</v>
      </c>
      <c r="B530" s="19">
        <v>27984.22</v>
      </c>
      <c r="C530" s="19">
        <v>0</v>
      </c>
      <c r="D530" s="19">
        <v>30998.168628782394</v>
      </c>
      <c r="E530" s="19">
        <v>0</v>
      </c>
      <c r="F530" s="19">
        <v>27984.22</v>
      </c>
      <c r="G530" s="19">
        <v>30998.168628782394</v>
      </c>
    </row>
    <row r="531" spans="1:7" ht="11.25" customHeight="1" x14ac:dyDescent="0.2">
      <c r="A531" s="29">
        <v>44501</v>
      </c>
      <c r="B531" s="19">
        <v>33438.404999999999</v>
      </c>
      <c r="C531" s="19">
        <v>0</v>
      </c>
      <c r="D531" s="19">
        <v>37039.778734855587</v>
      </c>
      <c r="E531" s="19">
        <v>0</v>
      </c>
      <c r="F531" s="19">
        <v>33438.404999999999</v>
      </c>
      <c r="G531" s="19">
        <v>37039.778734855587</v>
      </c>
    </row>
    <row r="532" spans="1:7" ht="11.25" customHeight="1" x14ac:dyDescent="0.2">
      <c r="A532" s="29">
        <v>44531</v>
      </c>
      <c r="B532" s="19">
        <v>33877.910000000003</v>
      </c>
      <c r="C532" s="19">
        <v>0</v>
      </c>
      <c r="D532" s="19">
        <v>37526.619179334404</v>
      </c>
      <c r="E532" s="19">
        <v>0</v>
      </c>
      <c r="F532" s="19">
        <v>33877.910000000003</v>
      </c>
      <c r="G532" s="19">
        <v>37526.619179334404</v>
      </c>
    </row>
    <row r="533" spans="1:7" ht="11.25" customHeight="1" x14ac:dyDescent="0.2">
      <c r="A533" s="29">
        <v>44562</v>
      </c>
      <c r="B533" s="19">
        <v>33784.245000000003</v>
      </c>
      <c r="C533" s="19">
        <v>0</v>
      </c>
      <c r="D533" s="19">
        <v>37422.866297724162</v>
      </c>
      <c r="E533" s="19">
        <v>0</v>
      </c>
      <c r="F533" s="19">
        <v>33784.245000000003</v>
      </c>
      <c r="G533" s="19">
        <v>37422.866297724162</v>
      </c>
    </row>
    <row r="534" spans="1:7" ht="11.25" customHeight="1" x14ac:dyDescent="0.2">
      <c r="A534" s="29">
        <v>44593</v>
      </c>
      <c r="B534" s="19">
        <v>21615</v>
      </c>
      <c r="C534" s="19">
        <v>0</v>
      </c>
      <c r="D534" s="19">
        <v>23942.972679286093</v>
      </c>
      <c r="E534" s="19">
        <v>0</v>
      </c>
      <c r="F534" s="19">
        <v>21615</v>
      </c>
      <c r="G534" s="19">
        <v>23942.972679286093</v>
      </c>
    </row>
    <row r="535" spans="1:7" ht="11.25" customHeight="1" x14ac:dyDescent="0.2">
      <c r="A535" s="29">
        <v>44621</v>
      </c>
      <c r="B535" s="19">
        <v>21615</v>
      </c>
      <c r="C535" s="19">
        <v>0</v>
      </c>
      <c r="D535" s="19">
        <v>23942.972679286093</v>
      </c>
      <c r="E535" s="19">
        <v>0</v>
      </c>
      <c r="F535" s="19">
        <v>21615</v>
      </c>
      <c r="G535" s="19">
        <v>23942.972679286093</v>
      </c>
    </row>
    <row r="536" spans="1:7" ht="11.25" customHeight="1" x14ac:dyDescent="0.2">
      <c r="A536" s="29">
        <v>44652</v>
      </c>
      <c r="B536" s="19">
        <v>21615</v>
      </c>
      <c r="C536" s="19">
        <v>0</v>
      </c>
      <c r="D536" s="19">
        <v>23942.972679286093</v>
      </c>
      <c r="E536" s="19">
        <v>0</v>
      </c>
      <c r="F536" s="19">
        <v>21615</v>
      </c>
      <c r="G536" s="19">
        <v>23942.972679286093</v>
      </c>
    </row>
    <row r="537" spans="1:7" ht="11.25" customHeight="1" x14ac:dyDescent="0.2">
      <c r="A537" s="29">
        <v>44682</v>
      </c>
      <c r="B537" s="19">
        <v>21615</v>
      </c>
      <c r="C537" s="19">
        <v>0</v>
      </c>
      <c r="D537" s="19">
        <v>23942.972679286093</v>
      </c>
      <c r="E537" s="19">
        <v>0</v>
      </c>
      <c r="F537" s="19">
        <v>21615</v>
      </c>
      <c r="G537" s="19">
        <v>23942.972679286093</v>
      </c>
    </row>
    <row r="538" spans="1:7" ht="11.25" customHeight="1" x14ac:dyDescent="0.2">
      <c r="A538" s="29">
        <v>44713</v>
      </c>
      <c r="B538" s="19">
        <v>21615</v>
      </c>
      <c r="C538" s="19">
        <v>0</v>
      </c>
      <c r="D538" s="19">
        <v>23942.972679286093</v>
      </c>
      <c r="E538" s="19">
        <v>0</v>
      </c>
      <c r="F538" s="19">
        <v>21615</v>
      </c>
      <c r="G538" s="19">
        <v>23942.972679286093</v>
      </c>
    </row>
    <row r="539" spans="1:7" ht="11.25" customHeight="1" x14ac:dyDescent="0.2">
      <c r="A539" s="29">
        <v>44743</v>
      </c>
      <c r="B539" s="19">
        <v>21615</v>
      </c>
      <c r="C539" s="19">
        <v>0</v>
      </c>
      <c r="D539" s="19">
        <v>23942.972679286093</v>
      </c>
      <c r="E539" s="19">
        <v>0</v>
      </c>
      <c r="F539" s="19">
        <v>21615</v>
      </c>
      <c r="G539" s="19">
        <v>23942.972679286093</v>
      </c>
    </row>
    <row r="540" spans="1:7" ht="11.25" customHeight="1" x14ac:dyDescent="0.2">
      <c r="A540" s="27" t="s">
        <v>85</v>
      </c>
      <c r="B540" s="19">
        <v>19813.75</v>
      </c>
      <c r="C540" s="19">
        <v>0</v>
      </c>
      <c r="D540" s="19">
        <v>21947.724956012258</v>
      </c>
      <c r="E540" s="19">
        <v>0</v>
      </c>
      <c r="F540" s="19">
        <v>19813.75</v>
      </c>
      <c r="G540" s="19">
        <v>21947.724956012258</v>
      </c>
    </row>
    <row r="541" spans="1:7" ht="11.25" customHeight="1" x14ac:dyDescent="0.2">
      <c r="A541" s="28" t="s">
        <v>25</v>
      </c>
      <c r="B541" s="19">
        <v>19813.75</v>
      </c>
      <c r="C541" s="19">
        <v>0</v>
      </c>
      <c r="D541" s="19">
        <v>21947.724956012258</v>
      </c>
      <c r="E541" s="19">
        <v>0</v>
      </c>
      <c r="F541" s="19">
        <v>19813.75</v>
      </c>
      <c r="G541" s="19">
        <v>21947.724956012258</v>
      </c>
    </row>
    <row r="542" spans="1:7" ht="11.25" customHeight="1" x14ac:dyDescent="0.2">
      <c r="A542" s="29">
        <v>44440</v>
      </c>
      <c r="B542" s="19">
        <v>1801.25</v>
      </c>
      <c r="C542" s="19">
        <v>0</v>
      </c>
      <c r="D542" s="19">
        <v>1995.2477232738411</v>
      </c>
      <c r="E542" s="19">
        <v>0</v>
      </c>
      <c r="F542" s="19">
        <v>1801.25</v>
      </c>
      <c r="G542" s="19">
        <v>1995.2477232738411</v>
      </c>
    </row>
    <row r="543" spans="1:7" ht="11.25" customHeight="1" x14ac:dyDescent="0.2">
      <c r="A543" s="29">
        <v>44470</v>
      </c>
      <c r="B543" s="19">
        <v>1801.25</v>
      </c>
      <c r="C543" s="19">
        <v>0</v>
      </c>
      <c r="D543" s="19">
        <v>1995.2477232738411</v>
      </c>
      <c r="E543" s="19">
        <v>0</v>
      </c>
      <c r="F543" s="19">
        <v>1801.25</v>
      </c>
      <c r="G543" s="19">
        <v>1995.2477232738411</v>
      </c>
    </row>
    <row r="544" spans="1:7" ht="11.25" customHeight="1" x14ac:dyDescent="0.2">
      <c r="A544" s="29">
        <v>44501</v>
      </c>
      <c r="B544" s="19">
        <v>1801.25</v>
      </c>
      <c r="C544" s="19">
        <v>0</v>
      </c>
      <c r="D544" s="19">
        <v>1995.2477232738411</v>
      </c>
      <c r="E544" s="19">
        <v>0</v>
      </c>
      <c r="F544" s="19">
        <v>1801.25</v>
      </c>
      <c r="G544" s="19">
        <v>1995.2477232738411</v>
      </c>
    </row>
    <row r="545" spans="1:7" ht="11.25" customHeight="1" x14ac:dyDescent="0.2">
      <c r="A545" s="29">
        <v>44531</v>
      </c>
      <c r="B545" s="19">
        <v>1801.25</v>
      </c>
      <c r="C545" s="19">
        <v>0</v>
      </c>
      <c r="D545" s="19">
        <v>1995.2477232738411</v>
      </c>
      <c r="E545" s="19">
        <v>0</v>
      </c>
      <c r="F545" s="19">
        <v>1801.25</v>
      </c>
      <c r="G545" s="19">
        <v>1995.2477232738411</v>
      </c>
    </row>
    <row r="546" spans="1:7" ht="11.25" customHeight="1" x14ac:dyDescent="0.2">
      <c r="A546" s="29">
        <v>44562</v>
      </c>
      <c r="B546" s="19">
        <v>1801.25</v>
      </c>
      <c r="C546" s="19">
        <v>0</v>
      </c>
      <c r="D546" s="19">
        <v>1995.2477232738411</v>
      </c>
      <c r="E546" s="19">
        <v>0</v>
      </c>
      <c r="F546" s="19">
        <v>1801.25</v>
      </c>
      <c r="G546" s="19">
        <v>1995.2477232738411</v>
      </c>
    </row>
    <row r="547" spans="1:7" ht="11.25" customHeight="1" x14ac:dyDescent="0.2">
      <c r="A547" s="29">
        <v>44593</v>
      </c>
      <c r="B547" s="19">
        <v>1801.25</v>
      </c>
      <c r="C547" s="19">
        <v>0</v>
      </c>
      <c r="D547" s="19">
        <v>1995.2477232738411</v>
      </c>
      <c r="E547" s="19">
        <v>0</v>
      </c>
      <c r="F547" s="19">
        <v>1801.25</v>
      </c>
      <c r="G547" s="19">
        <v>1995.2477232738411</v>
      </c>
    </row>
    <row r="548" spans="1:7" ht="11.25" customHeight="1" x14ac:dyDescent="0.2">
      <c r="A548" s="29">
        <v>44621</v>
      </c>
      <c r="B548" s="19">
        <v>1801.25</v>
      </c>
      <c r="C548" s="19">
        <v>0</v>
      </c>
      <c r="D548" s="19">
        <v>1995.2477232738411</v>
      </c>
      <c r="E548" s="19">
        <v>0</v>
      </c>
      <c r="F548" s="19">
        <v>1801.25</v>
      </c>
      <c r="G548" s="19">
        <v>1995.2477232738411</v>
      </c>
    </row>
    <row r="549" spans="1:7" ht="11.25" customHeight="1" x14ac:dyDescent="0.2">
      <c r="A549" s="29">
        <v>44652</v>
      </c>
      <c r="B549" s="19">
        <v>1801.25</v>
      </c>
      <c r="C549" s="19">
        <v>0</v>
      </c>
      <c r="D549" s="19">
        <v>1995.2477232738411</v>
      </c>
      <c r="E549" s="19">
        <v>0</v>
      </c>
      <c r="F549" s="19">
        <v>1801.25</v>
      </c>
      <c r="G549" s="19">
        <v>1995.2477232738411</v>
      </c>
    </row>
    <row r="550" spans="1:7" ht="11.25" customHeight="1" x14ac:dyDescent="0.2">
      <c r="A550" s="29">
        <v>44682</v>
      </c>
      <c r="B550" s="19">
        <v>1801.25</v>
      </c>
      <c r="C550" s="19">
        <v>0</v>
      </c>
      <c r="D550" s="19">
        <v>1995.2477232738411</v>
      </c>
      <c r="E550" s="19">
        <v>0</v>
      </c>
      <c r="F550" s="19">
        <v>1801.25</v>
      </c>
      <c r="G550" s="19">
        <v>1995.2477232738411</v>
      </c>
    </row>
    <row r="551" spans="1:7" ht="11.25" customHeight="1" x14ac:dyDescent="0.2">
      <c r="A551" s="29">
        <v>44713</v>
      </c>
      <c r="B551" s="19">
        <v>1801.25</v>
      </c>
      <c r="C551" s="19">
        <v>0</v>
      </c>
      <c r="D551" s="19">
        <v>1995.2477232738411</v>
      </c>
      <c r="E551" s="19">
        <v>0</v>
      </c>
      <c r="F551" s="19">
        <v>1801.25</v>
      </c>
      <c r="G551" s="19">
        <v>1995.2477232738411</v>
      </c>
    </row>
    <row r="552" spans="1:7" ht="11.25" customHeight="1" x14ac:dyDescent="0.2">
      <c r="A552" s="29">
        <v>44743</v>
      </c>
      <c r="B552" s="19">
        <v>1801.25</v>
      </c>
      <c r="C552" s="19">
        <v>0</v>
      </c>
      <c r="D552" s="19">
        <v>1995.2477232738411</v>
      </c>
      <c r="E552" s="19">
        <v>0</v>
      </c>
      <c r="F552" s="19">
        <v>1801.25</v>
      </c>
      <c r="G552" s="19">
        <v>1995.2477232738411</v>
      </c>
    </row>
    <row r="553" spans="1:7" ht="11.25" customHeight="1" x14ac:dyDescent="0.2">
      <c r="A553" s="27" t="s">
        <v>84</v>
      </c>
      <c r="B553" s="19">
        <v>19813.75</v>
      </c>
      <c r="C553" s="19">
        <v>0</v>
      </c>
      <c r="D553" s="19">
        <v>21947.724956012258</v>
      </c>
      <c r="E553" s="19">
        <v>0</v>
      </c>
      <c r="F553" s="19">
        <v>19813.75</v>
      </c>
      <c r="G553" s="19">
        <v>21947.724956012258</v>
      </c>
    </row>
    <row r="554" spans="1:7" ht="11.25" customHeight="1" x14ac:dyDescent="0.2">
      <c r="A554" s="28" t="s">
        <v>25</v>
      </c>
      <c r="B554" s="19">
        <v>19813.75</v>
      </c>
      <c r="C554" s="19">
        <v>0</v>
      </c>
      <c r="D554" s="19">
        <v>21947.724956012258</v>
      </c>
      <c r="E554" s="19">
        <v>0</v>
      </c>
      <c r="F554" s="19">
        <v>19813.75</v>
      </c>
      <c r="G554" s="19">
        <v>21947.724956012258</v>
      </c>
    </row>
    <row r="555" spans="1:7" ht="11.25" customHeight="1" x14ac:dyDescent="0.2">
      <c r="A555" s="29">
        <v>44440</v>
      </c>
      <c r="B555" s="19">
        <v>1801.25</v>
      </c>
      <c r="C555" s="19">
        <v>0</v>
      </c>
      <c r="D555" s="19">
        <v>1995.2477232738411</v>
      </c>
      <c r="E555" s="19">
        <v>0</v>
      </c>
      <c r="F555" s="19">
        <v>1801.25</v>
      </c>
      <c r="G555" s="19">
        <v>1995.2477232738411</v>
      </c>
    </row>
    <row r="556" spans="1:7" ht="11.25" customHeight="1" x14ac:dyDescent="0.2">
      <c r="A556" s="29">
        <v>44470</v>
      </c>
      <c r="B556" s="19">
        <v>1801.25</v>
      </c>
      <c r="C556" s="19">
        <v>0</v>
      </c>
      <c r="D556" s="19">
        <v>1995.2477232738411</v>
      </c>
      <c r="E556" s="19">
        <v>0</v>
      </c>
      <c r="F556" s="19">
        <v>1801.25</v>
      </c>
      <c r="G556" s="19">
        <v>1995.2477232738411</v>
      </c>
    </row>
    <row r="557" spans="1:7" ht="11.25" customHeight="1" x14ac:dyDescent="0.2">
      <c r="A557" s="29">
        <v>44501</v>
      </c>
      <c r="B557" s="19">
        <v>1801.25</v>
      </c>
      <c r="C557" s="19">
        <v>0</v>
      </c>
      <c r="D557" s="19">
        <v>1995.2477232738411</v>
      </c>
      <c r="E557" s="19">
        <v>0</v>
      </c>
      <c r="F557" s="19">
        <v>1801.25</v>
      </c>
      <c r="G557" s="19">
        <v>1995.2477232738411</v>
      </c>
    </row>
    <row r="558" spans="1:7" ht="11.25" customHeight="1" x14ac:dyDescent="0.2">
      <c r="A558" s="29">
        <v>44531</v>
      </c>
      <c r="B558" s="19">
        <v>1801.25</v>
      </c>
      <c r="C558" s="19">
        <v>0</v>
      </c>
      <c r="D558" s="19">
        <v>1995.2477232738411</v>
      </c>
      <c r="E558" s="19">
        <v>0</v>
      </c>
      <c r="F558" s="19">
        <v>1801.25</v>
      </c>
      <c r="G558" s="19">
        <v>1995.2477232738411</v>
      </c>
    </row>
    <row r="559" spans="1:7" ht="11.25" customHeight="1" x14ac:dyDescent="0.2">
      <c r="A559" s="29">
        <v>44562</v>
      </c>
      <c r="B559" s="19">
        <v>1801.25</v>
      </c>
      <c r="C559" s="19">
        <v>0</v>
      </c>
      <c r="D559" s="19">
        <v>1995.2477232738411</v>
      </c>
      <c r="E559" s="19">
        <v>0</v>
      </c>
      <c r="F559" s="19">
        <v>1801.25</v>
      </c>
      <c r="G559" s="19">
        <v>1995.2477232738411</v>
      </c>
    </row>
    <row r="560" spans="1:7" ht="11.25" customHeight="1" x14ac:dyDescent="0.2">
      <c r="A560" s="29">
        <v>44593</v>
      </c>
      <c r="B560" s="19">
        <v>1801.25</v>
      </c>
      <c r="C560" s="19">
        <v>0</v>
      </c>
      <c r="D560" s="19">
        <v>1995.2477232738411</v>
      </c>
      <c r="E560" s="19">
        <v>0</v>
      </c>
      <c r="F560" s="19">
        <v>1801.25</v>
      </c>
      <c r="G560" s="19">
        <v>1995.2477232738411</v>
      </c>
    </row>
    <row r="561" spans="1:7" ht="11.25" customHeight="1" x14ac:dyDescent="0.2">
      <c r="A561" s="29">
        <v>44621</v>
      </c>
      <c r="B561" s="19">
        <v>1801.25</v>
      </c>
      <c r="C561" s="19">
        <v>0</v>
      </c>
      <c r="D561" s="19">
        <v>1995.2477232738411</v>
      </c>
      <c r="E561" s="19">
        <v>0</v>
      </c>
      <c r="F561" s="19">
        <v>1801.25</v>
      </c>
      <c r="G561" s="19">
        <v>1995.2477232738411</v>
      </c>
    </row>
    <row r="562" spans="1:7" ht="11.25" customHeight="1" x14ac:dyDescent="0.2">
      <c r="A562" s="29">
        <v>44652</v>
      </c>
      <c r="B562" s="19">
        <v>1801.25</v>
      </c>
      <c r="C562" s="19">
        <v>0</v>
      </c>
      <c r="D562" s="19">
        <v>1995.2477232738411</v>
      </c>
      <c r="E562" s="19">
        <v>0</v>
      </c>
      <c r="F562" s="19">
        <v>1801.25</v>
      </c>
      <c r="G562" s="19">
        <v>1995.2477232738411</v>
      </c>
    </row>
    <row r="563" spans="1:7" ht="11.25" customHeight="1" x14ac:dyDescent="0.2">
      <c r="A563" s="29">
        <v>44682</v>
      </c>
      <c r="B563" s="19">
        <v>1801.25</v>
      </c>
      <c r="C563" s="19">
        <v>0</v>
      </c>
      <c r="D563" s="19">
        <v>1995.2477232738411</v>
      </c>
      <c r="E563" s="19">
        <v>0</v>
      </c>
      <c r="F563" s="19">
        <v>1801.25</v>
      </c>
      <c r="G563" s="19">
        <v>1995.2477232738411</v>
      </c>
    </row>
    <row r="564" spans="1:7" ht="11.25" customHeight="1" x14ac:dyDescent="0.2">
      <c r="A564" s="29">
        <v>44713</v>
      </c>
      <c r="B564" s="19">
        <v>1801.25</v>
      </c>
      <c r="C564" s="19">
        <v>0</v>
      </c>
      <c r="D564" s="19">
        <v>1995.2477232738411</v>
      </c>
      <c r="E564" s="19">
        <v>0</v>
      </c>
      <c r="F564" s="19">
        <v>1801.25</v>
      </c>
      <c r="G564" s="19">
        <v>1995.2477232738411</v>
      </c>
    </row>
    <row r="565" spans="1:7" ht="11.25" customHeight="1" x14ac:dyDescent="0.2">
      <c r="A565" s="29">
        <v>44743</v>
      </c>
      <c r="B565" s="19">
        <v>1801.25</v>
      </c>
      <c r="C565" s="19">
        <v>0</v>
      </c>
      <c r="D565" s="19">
        <v>1995.2477232738411</v>
      </c>
      <c r="E565" s="19">
        <v>0</v>
      </c>
      <c r="F565" s="19">
        <v>1801.25</v>
      </c>
      <c r="G565" s="19">
        <v>1995.2477232738411</v>
      </c>
    </row>
    <row r="566" spans="1:7" ht="11.25" customHeight="1" x14ac:dyDescent="0.2">
      <c r="A566" s="27" t="s">
        <v>74</v>
      </c>
      <c r="B566" s="19">
        <v>259380</v>
      </c>
      <c r="C566" s="19">
        <v>0</v>
      </c>
      <c r="D566" s="19">
        <v>287315.67215143313</v>
      </c>
      <c r="E566" s="19">
        <v>0</v>
      </c>
      <c r="F566" s="19">
        <v>259380</v>
      </c>
      <c r="G566" s="19">
        <v>287315.67215143313</v>
      </c>
    </row>
    <row r="567" spans="1:7" ht="11.25" customHeight="1" x14ac:dyDescent="0.2">
      <c r="A567" s="28" t="s">
        <v>25</v>
      </c>
      <c r="B567" s="19">
        <v>259380</v>
      </c>
      <c r="C567" s="19">
        <v>0</v>
      </c>
      <c r="D567" s="19">
        <v>287315.67215143313</v>
      </c>
      <c r="E567" s="19">
        <v>0</v>
      </c>
      <c r="F567" s="19">
        <v>259380</v>
      </c>
      <c r="G567" s="19">
        <v>287315.67215143313</v>
      </c>
    </row>
    <row r="568" spans="1:7" ht="11.25" customHeight="1" x14ac:dyDescent="0.2">
      <c r="A568" s="29">
        <v>44409</v>
      </c>
      <c r="B568" s="19">
        <v>21615</v>
      </c>
      <c r="C568" s="19">
        <v>0</v>
      </c>
      <c r="D568" s="19">
        <v>23942.972679286093</v>
      </c>
      <c r="E568" s="19">
        <v>0</v>
      </c>
      <c r="F568" s="19">
        <v>21615</v>
      </c>
      <c r="G568" s="19">
        <v>23942.972679286093</v>
      </c>
    </row>
    <row r="569" spans="1:7" ht="11.25" customHeight="1" x14ac:dyDescent="0.2">
      <c r="A569" s="29">
        <v>44440</v>
      </c>
      <c r="B569" s="19">
        <v>21615</v>
      </c>
      <c r="C569" s="19">
        <v>0</v>
      </c>
      <c r="D569" s="19">
        <v>23942.972679286093</v>
      </c>
      <c r="E569" s="19">
        <v>0</v>
      </c>
      <c r="F569" s="19">
        <v>21615</v>
      </c>
      <c r="G569" s="19">
        <v>23942.972679286093</v>
      </c>
    </row>
    <row r="570" spans="1:7" ht="11.25" customHeight="1" x14ac:dyDescent="0.2">
      <c r="A570" s="29">
        <v>44470</v>
      </c>
      <c r="B570" s="19">
        <v>21615</v>
      </c>
      <c r="C570" s="19">
        <v>0</v>
      </c>
      <c r="D570" s="19">
        <v>23942.972679286093</v>
      </c>
      <c r="E570" s="19">
        <v>0</v>
      </c>
      <c r="F570" s="19">
        <v>21615</v>
      </c>
      <c r="G570" s="19">
        <v>23942.972679286093</v>
      </c>
    </row>
    <row r="571" spans="1:7" ht="11.25" customHeight="1" x14ac:dyDescent="0.2">
      <c r="A571" s="29">
        <v>44501</v>
      </c>
      <c r="B571" s="19">
        <v>21615</v>
      </c>
      <c r="C571" s="19">
        <v>0</v>
      </c>
      <c r="D571" s="19">
        <v>23942.972679286093</v>
      </c>
      <c r="E571" s="19">
        <v>0</v>
      </c>
      <c r="F571" s="19">
        <v>21615</v>
      </c>
      <c r="G571" s="19">
        <v>23942.972679286093</v>
      </c>
    </row>
    <row r="572" spans="1:7" ht="11.25" customHeight="1" x14ac:dyDescent="0.2">
      <c r="A572" s="29">
        <v>44531</v>
      </c>
      <c r="B572" s="19">
        <v>21615</v>
      </c>
      <c r="C572" s="19">
        <v>0</v>
      </c>
      <c r="D572" s="19">
        <v>23942.972679286093</v>
      </c>
      <c r="E572" s="19">
        <v>0</v>
      </c>
      <c r="F572" s="19">
        <v>21615</v>
      </c>
      <c r="G572" s="19">
        <v>23942.972679286093</v>
      </c>
    </row>
    <row r="573" spans="1:7" ht="11.25" customHeight="1" x14ac:dyDescent="0.2">
      <c r="A573" s="29">
        <v>44562</v>
      </c>
      <c r="B573" s="19">
        <v>21615</v>
      </c>
      <c r="C573" s="19">
        <v>0</v>
      </c>
      <c r="D573" s="19">
        <v>23942.972679286093</v>
      </c>
      <c r="E573" s="19">
        <v>0</v>
      </c>
      <c r="F573" s="19">
        <v>21615</v>
      </c>
      <c r="G573" s="19">
        <v>23942.972679286093</v>
      </c>
    </row>
    <row r="574" spans="1:7" ht="11.25" customHeight="1" x14ac:dyDescent="0.2">
      <c r="A574" s="29">
        <v>44593</v>
      </c>
      <c r="B574" s="19">
        <v>21615</v>
      </c>
      <c r="C574" s="19">
        <v>0</v>
      </c>
      <c r="D574" s="19">
        <v>23942.972679286093</v>
      </c>
      <c r="E574" s="19">
        <v>0</v>
      </c>
      <c r="F574" s="19">
        <v>21615</v>
      </c>
      <c r="G574" s="19">
        <v>23942.972679286093</v>
      </c>
    </row>
    <row r="575" spans="1:7" ht="11.25" customHeight="1" x14ac:dyDescent="0.2">
      <c r="A575" s="29">
        <v>44621</v>
      </c>
      <c r="B575" s="19">
        <v>21615</v>
      </c>
      <c r="C575" s="19">
        <v>0</v>
      </c>
      <c r="D575" s="19">
        <v>23942.972679286093</v>
      </c>
      <c r="E575" s="19">
        <v>0</v>
      </c>
      <c r="F575" s="19">
        <v>21615</v>
      </c>
      <c r="G575" s="19">
        <v>23942.972679286093</v>
      </c>
    </row>
    <row r="576" spans="1:7" ht="11.25" customHeight="1" x14ac:dyDescent="0.2">
      <c r="A576" s="29">
        <v>44652</v>
      </c>
      <c r="B576" s="19">
        <v>21615</v>
      </c>
      <c r="C576" s="19">
        <v>0</v>
      </c>
      <c r="D576" s="19">
        <v>23942.972679286093</v>
      </c>
      <c r="E576" s="19">
        <v>0</v>
      </c>
      <c r="F576" s="19">
        <v>21615</v>
      </c>
      <c r="G576" s="19">
        <v>23942.972679286093</v>
      </c>
    </row>
    <row r="577" spans="1:7" ht="11.25" customHeight="1" x14ac:dyDescent="0.2">
      <c r="A577" s="29">
        <v>44682</v>
      </c>
      <c r="B577" s="19">
        <v>21615</v>
      </c>
      <c r="C577" s="19">
        <v>0</v>
      </c>
      <c r="D577" s="19">
        <v>23942.972679286093</v>
      </c>
      <c r="E577" s="19">
        <v>0</v>
      </c>
      <c r="F577" s="19">
        <v>21615</v>
      </c>
      <c r="G577" s="19">
        <v>23942.972679286093</v>
      </c>
    </row>
    <row r="578" spans="1:7" ht="11.25" customHeight="1" x14ac:dyDescent="0.2">
      <c r="A578" s="29">
        <v>44713</v>
      </c>
      <c r="B578" s="19">
        <v>21615</v>
      </c>
      <c r="C578" s="19">
        <v>0</v>
      </c>
      <c r="D578" s="19">
        <v>23942.972679286093</v>
      </c>
      <c r="E578" s="19">
        <v>0</v>
      </c>
      <c r="F578" s="19">
        <v>21615</v>
      </c>
      <c r="G578" s="19">
        <v>23942.972679286093</v>
      </c>
    </row>
    <row r="579" spans="1:7" ht="11.25" customHeight="1" x14ac:dyDescent="0.2">
      <c r="A579" s="29">
        <v>44743</v>
      </c>
      <c r="B579" s="19">
        <v>21615</v>
      </c>
      <c r="C579" s="19">
        <v>0</v>
      </c>
      <c r="D579" s="19">
        <v>23942.972679286093</v>
      </c>
      <c r="E579" s="19">
        <v>0</v>
      </c>
      <c r="F579" s="19">
        <v>21615</v>
      </c>
      <c r="G579" s="19">
        <v>23942.972679286093</v>
      </c>
    </row>
    <row r="580" spans="1:7" ht="11.25" customHeight="1" x14ac:dyDescent="0.2">
      <c r="A580" s="27" t="s">
        <v>72</v>
      </c>
      <c r="B580" s="19">
        <v>389070</v>
      </c>
      <c r="C580" s="19">
        <v>0</v>
      </c>
      <c r="D580" s="19">
        <v>430973.50822714978</v>
      </c>
      <c r="E580" s="19">
        <v>0</v>
      </c>
      <c r="F580" s="19">
        <v>389070</v>
      </c>
      <c r="G580" s="19">
        <v>430973.50822714978</v>
      </c>
    </row>
    <row r="581" spans="1:7" ht="11.25" customHeight="1" x14ac:dyDescent="0.2">
      <c r="A581" s="28" t="s">
        <v>25</v>
      </c>
      <c r="B581" s="19">
        <v>389070</v>
      </c>
      <c r="C581" s="19">
        <v>0</v>
      </c>
      <c r="D581" s="19">
        <v>430973.50822714978</v>
      </c>
      <c r="E581" s="19">
        <v>0</v>
      </c>
      <c r="F581" s="19">
        <v>389070</v>
      </c>
      <c r="G581" s="19">
        <v>430973.50822714978</v>
      </c>
    </row>
    <row r="582" spans="1:7" ht="11.25" customHeight="1" x14ac:dyDescent="0.2">
      <c r="A582" s="29">
        <v>44409</v>
      </c>
      <c r="B582" s="19">
        <v>32422.5</v>
      </c>
      <c r="C582" s="19">
        <v>0</v>
      </c>
      <c r="D582" s="19">
        <v>35914.459018929141</v>
      </c>
      <c r="E582" s="19">
        <v>0</v>
      </c>
      <c r="F582" s="19">
        <v>32422.5</v>
      </c>
      <c r="G582" s="19">
        <v>35914.459018929141</v>
      </c>
    </row>
    <row r="583" spans="1:7" ht="11.25" customHeight="1" x14ac:dyDescent="0.2">
      <c r="A583" s="29">
        <v>44440</v>
      </c>
      <c r="B583" s="19">
        <v>32422.5</v>
      </c>
      <c r="C583" s="19">
        <v>0</v>
      </c>
      <c r="D583" s="19">
        <v>35914.459018929141</v>
      </c>
      <c r="E583" s="19">
        <v>0</v>
      </c>
      <c r="F583" s="19">
        <v>32422.5</v>
      </c>
      <c r="G583" s="19">
        <v>35914.459018929141</v>
      </c>
    </row>
    <row r="584" spans="1:7" ht="11.25" customHeight="1" x14ac:dyDescent="0.2">
      <c r="A584" s="29">
        <v>44470</v>
      </c>
      <c r="B584" s="19">
        <v>32422.5</v>
      </c>
      <c r="C584" s="19">
        <v>0</v>
      </c>
      <c r="D584" s="19">
        <v>35914.459018929141</v>
      </c>
      <c r="E584" s="19">
        <v>0</v>
      </c>
      <c r="F584" s="19">
        <v>32422.5</v>
      </c>
      <c r="G584" s="19">
        <v>35914.459018929141</v>
      </c>
    </row>
    <row r="585" spans="1:7" ht="11.25" customHeight="1" x14ac:dyDescent="0.2">
      <c r="A585" s="29">
        <v>44501</v>
      </c>
      <c r="B585" s="19">
        <v>32422.5</v>
      </c>
      <c r="C585" s="19">
        <v>0</v>
      </c>
      <c r="D585" s="19">
        <v>35914.459018929141</v>
      </c>
      <c r="E585" s="19">
        <v>0</v>
      </c>
      <c r="F585" s="19">
        <v>32422.5</v>
      </c>
      <c r="G585" s="19">
        <v>35914.459018929141</v>
      </c>
    </row>
    <row r="586" spans="1:7" ht="11.25" customHeight="1" x14ac:dyDescent="0.2">
      <c r="A586" s="29">
        <v>44531</v>
      </c>
      <c r="B586" s="19">
        <v>32422.5</v>
      </c>
      <c r="C586" s="19">
        <v>0</v>
      </c>
      <c r="D586" s="19">
        <v>35914.459018929141</v>
      </c>
      <c r="E586" s="19">
        <v>0</v>
      </c>
      <c r="F586" s="19">
        <v>32422.5</v>
      </c>
      <c r="G586" s="19">
        <v>35914.459018929141</v>
      </c>
    </row>
    <row r="587" spans="1:7" ht="11.25" customHeight="1" x14ac:dyDescent="0.2">
      <c r="A587" s="29">
        <v>44562</v>
      </c>
      <c r="B587" s="19">
        <v>32422.5</v>
      </c>
      <c r="C587" s="19">
        <v>0</v>
      </c>
      <c r="D587" s="19">
        <v>35914.459018929141</v>
      </c>
      <c r="E587" s="19">
        <v>0</v>
      </c>
      <c r="F587" s="19">
        <v>32422.5</v>
      </c>
      <c r="G587" s="19">
        <v>35914.459018929141</v>
      </c>
    </row>
    <row r="588" spans="1:7" ht="11.25" customHeight="1" x14ac:dyDescent="0.2">
      <c r="A588" s="29">
        <v>44593</v>
      </c>
      <c r="B588" s="19">
        <v>32422.5</v>
      </c>
      <c r="C588" s="19">
        <v>0</v>
      </c>
      <c r="D588" s="19">
        <v>35914.459018929141</v>
      </c>
      <c r="E588" s="19">
        <v>0</v>
      </c>
      <c r="F588" s="19">
        <v>32422.5</v>
      </c>
      <c r="G588" s="19">
        <v>35914.459018929141</v>
      </c>
    </row>
    <row r="589" spans="1:7" ht="11.25" customHeight="1" x14ac:dyDescent="0.2">
      <c r="A589" s="29">
        <v>44621</v>
      </c>
      <c r="B589" s="19">
        <v>32422.5</v>
      </c>
      <c r="C589" s="19">
        <v>0</v>
      </c>
      <c r="D589" s="19">
        <v>35914.459018929141</v>
      </c>
      <c r="E589" s="19">
        <v>0</v>
      </c>
      <c r="F589" s="19">
        <v>32422.5</v>
      </c>
      <c r="G589" s="19">
        <v>35914.459018929141</v>
      </c>
    </row>
    <row r="590" spans="1:7" ht="11.25" customHeight="1" x14ac:dyDescent="0.2">
      <c r="A590" s="29">
        <v>44652</v>
      </c>
      <c r="B590" s="19">
        <v>32422.5</v>
      </c>
      <c r="C590" s="19">
        <v>0</v>
      </c>
      <c r="D590" s="19">
        <v>35914.459018929141</v>
      </c>
      <c r="E590" s="19">
        <v>0</v>
      </c>
      <c r="F590" s="19">
        <v>32422.5</v>
      </c>
      <c r="G590" s="19">
        <v>35914.459018929141</v>
      </c>
    </row>
    <row r="591" spans="1:7" ht="11.25" customHeight="1" x14ac:dyDescent="0.2">
      <c r="A591" s="29">
        <v>44682</v>
      </c>
      <c r="B591" s="19">
        <v>32422.5</v>
      </c>
      <c r="C591" s="19">
        <v>0</v>
      </c>
      <c r="D591" s="19">
        <v>35914.459018929141</v>
      </c>
      <c r="E591" s="19">
        <v>0</v>
      </c>
      <c r="F591" s="19">
        <v>32422.5</v>
      </c>
      <c r="G591" s="19">
        <v>35914.459018929141</v>
      </c>
    </row>
    <row r="592" spans="1:7" ht="11.25" customHeight="1" x14ac:dyDescent="0.2">
      <c r="A592" s="29">
        <v>44713</v>
      </c>
      <c r="B592" s="19">
        <v>32422.5</v>
      </c>
      <c r="C592" s="19">
        <v>0</v>
      </c>
      <c r="D592" s="19">
        <v>35914.459018929141</v>
      </c>
      <c r="E592" s="19">
        <v>0</v>
      </c>
      <c r="F592" s="19">
        <v>32422.5</v>
      </c>
      <c r="G592" s="19">
        <v>35914.459018929141</v>
      </c>
    </row>
    <row r="593" spans="1:7" ht="11.25" customHeight="1" x14ac:dyDescent="0.2">
      <c r="A593" s="29">
        <v>44743</v>
      </c>
      <c r="B593" s="19">
        <v>32422.5</v>
      </c>
      <c r="C593" s="19">
        <v>0</v>
      </c>
      <c r="D593" s="19">
        <v>35914.459018929141</v>
      </c>
      <c r="E593" s="19">
        <v>0</v>
      </c>
      <c r="F593" s="19">
        <v>32422.5</v>
      </c>
      <c r="G593" s="19">
        <v>35914.459018929141</v>
      </c>
    </row>
    <row r="594" spans="1:7" ht="11.25" customHeight="1" x14ac:dyDescent="0.2">
      <c r="A594" s="21" t="s">
        <v>1001</v>
      </c>
      <c r="B594" s="19">
        <v>0</v>
      </c>
      <c r="C594" s="19">
        <v>26636892.310491994</v>
      </c>
      <c r="D594" s="19">
        <v>0</v>
      </c>
      <c r="E594" s="19">
        <v>26784899.254871301</v>
      </c>
      <c r="F594" s="19">
        <v>26636892.310491983</v>
      </c>
      <c r="G594" s="19">
        <v>26784899.254871298</v>
      </c>
    </row>
    <row r="595" spans="1:7" ht="11.25" customHeight="1" x14ac:dyDescent="0.2">
      <c r="A595" s="22" t="s">
        <v>41</v>
      </c>
      <c r="B595" s="19">
        <v>0</v>
      </c>
      <c r="C595" s="19">
        <v>4354221.6995669995</v>
      </c>
      <c r="D595" s="19">
        <v>0</v>
      </c>
      <c r="E595" s="19">
        <v>4283416.1478016283</v>
      </c>
      <c r="F595" s="19">
        <v>4354221.6995669976</v>
      </c>
      <c r="G595" s="19">
        <v>4283416.1478016293</v>
      </c>
    </row>
    <row r="596" spans="1:7" ht="11.25" customHeight="1" x14ac:dyDescent="0.2">
      <c r="A596" s="23" t="s">
        <v>42</v>
      </c>
      <c r="B596" s="19">
        <v>0</v>
      </c>
      <c r="C596" s="19">
        <v>4354221.6995669995</v>
      </c>
      <c r="D596" s="19">
        <v>0</v>
      </c>
      <c r="E596" s="19">
        <v>4283416.1478016283</v>
      </c>
      <c r="F596" s="19">
        <v>4354221.6995669976</v>
      </c>
      <c r="G596" s="19">
        <v>4283416.1478016293</v>
      </c>
    </row>
    <row r="597" spans="1:7" ht="11.25" customHeight="1" x14ac:dyDescent="0.2">
      <c r="A597" s="24" t="s">
        <v>45</v>
      </c>
      <c r="B597" s="19">
        <v>0</v>
      </c>
      <c r="C597" s="19">
        <v>4354221.6995669995</v>
      </c>
      <c r="D597" s="19">
        <v>0</v>
      </c>
      <c r="E597" s="19">
        <v>4283416.1478016283</v>
      </c>
      <c r="F597" s="19">
        <v>4354221.6995669976</v>
      </c>
      <c r="G597" s="19">
        <v>4283416.1478016293</v>
      </c>
    </row>
    <row r="598" spans="1:7" ht="11.25" customHeight="1" x14ac:dyDescent="0.2">
      <c r="A598" s="25" t="s">
        <v>53</v>
      </c>
      <c r="B598" s="19">
        <v>0</v>
      </c>
      <c r="C598" s="19">
        <v>4354221.6995669995</v>
      </c>
      <c r="D598" s="19">
        <v>0</v>
      </c>
      <c r="E598" s="19">
        <v>4283416.1478016283</v>
      </c>
      <c r="F598" s="19">
        <v>4354221.6995669976</v>
      </c>
      <c r="G598" s="19">
        <v>4283416.1478016293</v>
      </c>
    </row>
    <row r="599" spans="1:7" ht="11.25" customHeight="1" x14ac:dyDescent="0.2">
      <c r="A599" s="26" t="s">
        <v>55</v>
      </c>
      <c r="B599" s="19">
        <v>0</v>
      </c>
      <c r="C599" s="19">
        <v>4354221.6995669995</v>
      </c>
      <c r="D599" s="19">
        <v>0</v>
      </c>
      <c r="E599" s="19">
        <v>4283416.1478016283</v>
      </c>
      <c r="F599" s="19">
        <v>4354221.6995669976</v>
      </c>
      <c r="G599" s="19">
        <v>4283416.1478016293</v>
      </c>
    </row>
    <row r="600" spans="1:7" ht="11.25" customHeight="1" x14ac:dyDescent="0.2">
      <c r="A600" s="27" t="s">
        <v>25</v>
      </c>
      <c r="B600" s="19">
        <v>0</v>
      </c>
      <c r="C600" s="19">
        <v>4354221.6995669995</v>
      </c>
      <c r="D600" s="19">
        <v>0</v>
      </c>
      <c r="E600" s="19">
        <v>4283416.1478016283</v>
      </c>
      <c r="F600" s="19">
        <v>4354221.6995669976</v>
      </c>
      <c r="G600" s="19">
        <v>4283416.1478016293</v>
      </c>
    </row>
    <row r="601" spans="1:7" ht="11.25" customHeight="1" x14ac:dyDescent="0.2">
      <c r="A601" s="28" t="s">
        <v>35</v>
      </c>
      <c r="B601" s="19">
        <v>0</v>
      </c>
      <c r="C601" s="19">
        <v>4354221.6995669995</v>
      </c>
      <c r="D601" s="19">
        <v>0</v>
      </c>
      <c r="E601" s="19">
        <v>4283416.1478016283</v>
      </c>
      <c r="F601" s="19">
        <v>4354221.6995669976</v>
      </c>
      <c r="G601" s="19">
        <v>4283416.1478016293</v>
      </c>
    </row>
    <row r="602" spans="1:7" ht="11.25" customHeight="1" x14ac:dyDescent="0.2">
      <c r="A602" s="29">
        <v>44409</v>
      </c>
      <c r="B602" s="19">
        <v>0</v>
      </c>
      <c r="C602" s="19">
        <v>291774.125772</v>
      </c>
      <c r="D602" s="19">
        <v>0</v>
      </c>
      <c r="E602" s="19">
        <v>287029.48266662034</v>
      </c>
      <c r="F602" s="19">
        <v>291774.125772</v>
      </c>
      <c r="G602" s="19">
        <v>287029.48266662034</v>
      </c>
    </row>
    <row r="603" spans="1:7" ht="11.25" customHeight="1" x14ac:dyDescent="0.2">
      <c r="A603" s="29">
        <v>44440</v>
      </c>
      <c r="B603" s="19">
        <v>0</v>
      </c>
      <c r="C603" s="19">
        <v>400059.92275199998</v>
      </c>
      <c r="D603" s="19">
        <v>0</v>
      </c>
      <c r="E603" s="19">
        <v>393554.40568738105</v>
      </c>
      <c r="F603" s="19">
        <v>400059.92275199998</v>
      </c>
      <c r="G603" s="19">
        <v>393554.40568738105</v>
      </c>
    </row>
    <row r="604" spans="1:7" ht="11.25" customHeight="1" x14ac:dyDescent="0.2">
      <c r="A604" s="29">
        <v>44470</v>
      </c>
      <c r="B604" s="19">
        <v>0</v>
      </c>
      <c r="C604" s="19">
        <v>432002.55627</v>
      </c>
      <c r="D604" s="19">
        <v>0</v>
      </c>
      <c r="E604" s="19">
        <v>424977.60865105124</v>
      </c>
      <c r="F604" s="19">
        <v>432002.55627</v>
      </c>
      <c r="G604" s="19">
        <v>424977.60865105124</v>
      </c>
    </row>
    <row r="605" spans="1:7" ht="11.25" customHeight="1" x14ac:dyDescent="0.2">
      <c r="A605" s="29">
        <v>44501</v>
      </c>
      <c r="B605" s="19">
        <v>0</v>
      </c>
      <c r="C605" s="19">
        <v>539516.29679100006</v>
      </c>
      <c r="D605" s="19">
        <v>0</v>
      </c>
      <c r="E605" s="19">
        <v>530743.029898206</v>
      </c>
      <c r="F605" s="19">
        <v>539516.29679100006</v>
      </c>
      <c r="G605" s="19">
        <v>530743.029898206</v>
      </c>
    </row>
    <row r="606" spans="1:7" ht="11.25" customHeight="1" x14ac:dyDescent="0.2">
      <c r="A606" s="29">
        <v>44531</v>
      </c>
      <c r="B606" s="19">
        <v>0</v>
      </c>
      <c r="C606" s="19">
        <v>601167.30004799995</v>
      </c>
      <c r="D606" s="19">
        <v>0</v>
      </c>
      <c r="E606" s="19">
        <v>591391.50420659164</v>
      </c>
      <c r="F606" s="19">
        <v>601167.30004799995</v>
      </c>
      <c r="G606" s="19">
        <v>591391.50420659164</v>
      </c>
    </row>
    <row r="607" spans="1:7" ht="11.25" customHeight="1" x14ac:dyDescent="0.2">
      <c r="A607" s="29">
        <v>44562</v>
      </c>
      <c r="B607" s="19">
        <v>0</v>
      </c>
      <c r="C607" s="19">
        <v>433312.77098699997</v>
      </c>
      <c r="D607" s="19">
        <v>0</v>
      </c>
      <c r="E607" s="19">
        <v>426266.51749931753</v>
      </c>
      <c r="F607" s="19">
        <v>433312.77098699997</v>
      </c>
      <c r="G607" s="19">
        <v>426266.51749931753</v>
      </c>
    </row>
    <row r="608" spans="1:7" ht="11.25" customHeight="1" x14ac:dyDescent="0.2">
      <c r="A608" s="29">
        <v>44593</v>
      </c>
      <c r="B608" s="19">
        <v>0</v>
      </c>
      <c r="C608" s="19">
        <v>411373.339614</v>
      </c>
      <c r="D608" s="19">
        <v>0</v>
      </c>
      <c r="E608" s="19">
        <v>404683.8510434411</v>
      </c>
      <c r="F608" s="19">
        <v>411373.339614</v>
      </c>
      <c r="G608" s="19">
        <v>404683.8510434411</v>
      </c>
    </row>
    <row r="609" spans="1:7" ht="11.25" customHeight="1" x14ac:dyDescent="0.2">
      <c r="A609" s="29">
        <v>44621</v>
      </c>
      <c r="B609" s="19">
        <v>0</v>
      </c>
      <c r="C609" s="19">
        <v>390969.77562899998</v>
      </c>
      <c r="D609" s="19">
        <v>0</v>
      </c>
      <c r="E609" s="19">
        <v>384612.0766882805</v>
      </c>
      <c r="F609" s="19">
        <v>390969.77562899998</v>
      </c>
      <c r="G609" s="19">
        <v>384612.0766882805</v>
      </c>
    </row>
    <row r="610" spans="1:7" ht="11.25" customHeight="1" x14ac:dyDescent="0.2">
      <c r="A610" s="29">
        <v>44652</v>
      </c>
      <c r="B610" s="19">
        <v>0</v>
      </c>
      <c r="C610" s="19">
        <v>354284.31325499999</v>
      </c>
      <c r="D610" s="19">
        <v>0</v>
      </c>
      <c r="E610" s="19">
        <v>348523.16969992325</v>
      </c>
      <c r="F610" s="19">
        <v>354284.31325499999</v>
      </c>
      <c r="G610" s="19">
        <v>348523.16969992325</v>
      </c>
    </row>
    <row r="611" spans="1:7" ht="11.25" customHeight="1" x14ac:dyDescent="0.2">
      <c r="A611" s="29">
        <v>44682</v>
      </c>
      <c r="B611" s="19">
        <v>0</v>
      </c>
      <c r="C611" s="19">
        <v>220830.95990699998</v>
      </c>
      <c r="D611" s="19">
        <v>0</v>
      </c>
      <c r="E611" s="19">
        <v>217239.94891997406</v>
      </c>
      <c r="F611" s="19">
        <v>220830.95990699998</v>
      </c>
      <c r="G611" s="19">
        <v>217239.94891997406</v>
      </c>
    </row>
    <row r="612" spans="1:7" ht="11.25" customHeight="1" x14ac:dyDescent="0.2">
      <c r="A612" s="29">
        <v>44713</v>
      </c>
      <c r="B612" s="19">
        <v>0</v>
      </c>
      <c r="C612" s="19">
        <v>139465.16927099999</v>
      </c>
      <c r="D612" s="19">
        <v>0</v>
      </c>
      <c r="E612" s="19">
        <v>137197.27642042097</v>
      </c>
      <c r="F612" s="19">
        <v>139465.16927099999</v>
      </c>
      <c r="G612" s="19">
        <v>137197.27642042097</v>
      </c>
    </row>
    <row r="613" spans="1:7" ht="11.25" customHeight="1" x14ac:dyDescent="0.2">
      <c r="A613" s="29">
        <v>44743</v>
      </c>
      <c r="B613" s="19">
        <v>0</v>
      </c>
      <c r="C613" s="19">
        <v>139465.16927099999</v>
      </c>
      <c r="D613" s="19">
        <v>0</v>
      </c>
      <c r="E613" s="19">
        <v>137197.27642042097</v>
      </c>
      <c r="F613" s="19">
        <v>139465.16927099999</v>
      </c>
      <c r="G613" s="19">
        <v>137197.27642042097</v>
      </c>
    </row>
    <row r="614" spans="1:7" ht="11.25" customHeight="1" x14ac:dyDescent="0.2">
      <c r="A614" s="22" t="s">
        <v>44</v>
      </c>
      <c r="B614" s="19">
        <v>0</v>
      </c>
      <c r="C614" s="19">
        <v>22282670.610924993</v>
      </c>
      <c r="D614" s="19">
        <v>0</v>
      </c>
      <c r="E614" s="19">
        <v>22501483.107069671</v>
      </c>
      <c r="F614" s="19">
        <v>22282670.610924989</v>
      </c>
      <c r="G614" s="19">
        <v>22501483.107069667</v>
      </c>
    </row>
    <row r="615" spans="1:7" ht="11.25" customHeight="1" x14ac:dyDescent="0.2">
      <c r="A615" s="23" t="s">
        <v>23</v>
      </c>
      <c r="B615" s="19">
        <v>0</v>
      </c>
      <c r="C615" s="19">
        <v>22282670.610924993</v>
      </c>
      <c r="D615" s="19">
        <v>0</v>
      </c>
      <c r="E615" s="19">
        <v>22501483.107069671</v>
      </c>
      <c r="F615" s="19">
        <v>22282670.610924989</v>
      </c>
      <c r="G615" s="19">
        <v>22501483.107069667</v>
      </c>
    </row>
    <row r="616" spans="1:7" ht="11.25" customHeight="1" x14ac:dyDescent="0.2">
      <c r="A616" s="24" t="s">
        <v>45</v>
      </c>
      <c r="B616" s="19">
        <v>0</v>
      </c>
      <c r="C616" s="19">
        <v>22282670.610924993</v>
      </c>
      <c r="D616" s="19">
        <v>0</v>
      </c>
      <c r="E616" s="19">
        <v>22501483.107069671</v>
      </c>
      <c r="F616" s="19">
        <v>22282670.610924989</v>
      </c>
      <c r="G616" s="19">
        <v>22501483.107069667</v>
      </c>
    </row>
    <row r="617" spans="1:7" ht="11.25" customHeight="1" x14ac:dyDescent="0.2">
      <c r="A617" s="25" t="s">
        <v>53</v>
      </c>
      <c r="B617" s="19">
        <v>0</v>
      </c>
      <c r="C617" s="19">
        <v>22170702.333720997</v>
      </c>
      <c r="D617" s="19">
        <v>0</v>
      </c>
      <c r="E617" s="19">
        <v>22388415.318112716</v>
      </c>
      <c r="F617" s="19">
        <v>22170702.333720993</v>
      </c>
      <c r="G617" s="19">
        <v>22388415.318112712</v>
      </c>
    </row>
    <row r="618" spans="1:7" ht="11.25" customHeight="1" x14ac:dyDescent="0.2">
      <c r="A618" s="26" t="s">
        <v>55</v>
      </c>
      <c r="B618" s="19">
        <v>0</v>
      </c>
      <c r="C618" s="19">
        <v>22170702.333720997</v>
      </c>
      <c r="D618" s="19">
        <v>0</v>
      </c>
      <c r="E618" s="19">
        <v>22388415.318112716</v>
      </c>
      <c r="F618" s="19">
        <v>22170702.333720993</v>
      </c>
      <c r="G618" s="19">
        <v>22388415.318112712</v>
      </c>
    </row>
    <row r="619" spans="1:7" ht="11.25" customHeight="1" x14ac:dyDescent="0.2">
      <c r="A619" s="27" t="s">
        <v>25</v>
      </c>
      <c r="B619" s="19">
        <v>0</v>
      </c>
      <c r="C619" s="19">
        <v>22170702.333720997</v>
      </c>
      <c r="D619" s="19">
        <v>0</v>
      </c>
      <c r="E619" s="19">
        <v>22388415.318112716</v>
      </c>
      <c r="F619" s="19">
        <v>22170702.333720993</v>
      </c>
      <c r="G619" s="19">
        <v>22388415.318112712</v>
      </c>
    </row>
    <row r="620" spans="1:7" ht="11.25" customHeight="1" x14ac:dyDescent="0.2">
      <c r="A620" s="28" t="s">
        <v>25</v>
      </c>
      <c r="B620" s="19">
        <v>0</v>
      </c>
      <c r="C620" s="19">
        <v>22170702.333720997</v>
      </c>
      <c r="D620" s="19">
        <v>0</v>
      </c>
      <c r="E620" s="19">
        <v>22388415.318112716</v>
      </c>
      <c r="F620" s="19">
        <v>22170702.333720993</v>
      </c>
      <c r="G620" s="19">
        <v>22388415.318112712</v>
      </c>
    </row>
    <row r="621" spans="1:7" ht="11.25" customHeight="1" x14ac:dyDescent="0.2">
      <c r="A621" s="29">
        <v>44409</v>
      </c>
      <c r="B621" s="19">
        <v>0</v>
      </c>
      <c r="C621" s="19">
        <v>2138252.0497039999</v>
      </c>
      <c r="D621" s="19">
        <v>0</v>
      </c>
      <c r="E621" s="19">
        <v>2159249.365355779</v>
      </c>
      <c r="F621" s="19">
        <v>2138252.0497039999</v>
      </c>
      <c r="G621" s="19">
        <v>2159249.365355779</v>
      </c>
    </row>
    <row r="622" spans="1:7" ht="11.25" customHeight="1" x14ac:dyDescent="0.2">
      <c r="A622" s="29">
        <v>44440</v>
      </c>
      <c r="B622" s="19">
        <v>0</v>
      </c>
      <c r="C622" s="19">
        <v>2505729.5908689988</v>
      </c>
      <c r="D622" s="19">
        <v>0</v>
      </c>
      <c r="E622" s="19">
        <v>2530335.4810701865</v>
      </c>
      <c r="F622" s="19">
        <v>2505729.5908689988</v>
      </c>
      <c r="G622" s="19">
        <v>2530335.4810701865</v>
      </c>
    </row>
    <row r="623" spans="1:7" ht="11.25" customHeight="1" x14ac:dyDescent="0.2">
      <c r="A623" s="29">
        <v>44470</v>
      </c>
      <c r="B623" s="19">
        <v>0</v>
      </c>
      <c r="C623" s="19">
        <v>3053130.2088959995</v>
      </c>
      <c r="D623" s="19">
        <v>0</v>
      </c>
      <c r="E623" s="19">
        <v>3083111.4913790664</v>
      </c>
      <c r="F623" s="19">
        <v>3053130.2088959995</v>
      </c>
      <c r="G623" s="19">
        <v>3083111.4913790664</v>
      </c>
    </row>
    <row r="624" spans="1:7" ht="11.25" customHeight="1" x14ac:dyDescent="0.2">
      <c r="A624" s="29">
        <v>44501</v>
      </c>
      <c r="B624" s="19">
        <v>0</v>
      </c>
      <c r="C624" s="19">
        <v>3023832.9443429997</v>
      </c>
      <c r="D624" s="19">
        <v>0</v>
      </c>
      <c r="E624" s="19">
        <v>3053526.5320654614</v>
      </c>
      <c r="F624" s="19">
        <v>3023832.9443429997</v>
      </c>
      <c r="G624" s="19">
        <v>3053526.5320654614</v>
      </c>
    </row>
    <row r="625" spans="1:7" ht="11.25" customHeight="1" x14ac:dyDescent="0.2">
      <c r="A625" s="29">
        <v>44531</v>
      </c>
      <c r="B625" s="19">
        <v>0</v>
      </c>
      <c r="C625" s="19">
        <v>3159066.281405</v>
      </c>
      <c r="D625" s="19">
        <v>0</v>
      </c>
      <c r="E625" s="19">
        <v>3190087.8402921921</v>
      </c>
      <c r="F625" s="19">
        <v>3159066.281405</v>
      </c>
      <c r="G625" s="19">
        <v>3190087.8402921921</v>
      </c>
    </row>
    <row r="626" spans="1:7" ht="11.25" customHeight="1" x14ac:dyDescent="0.2">
      <c r="A626" s="29">
        <v>44562</v>
      </c>
      <c r="B626" s="19">
        <v>0</v>
      </c>
      <c r="C626" s="19">
        <v>1704827.1064599997</v>
      </c>
      <c r="D626" s="19">
        <v>0</v>
      </c>
      <c r="E626" s="19">
        <v>1721568.2539271589</v>
      </c>
      <c r="F626" s="19">
        <v>1704827.1064599997</v>
      </c>
      <c r="G626" s="19">
        <v>1721568.2539271589</v>
      </c>
    </row>
    <row r="627" spans="1:7" ht="11.25" customHeight="1" x14ac:dyDescent="0.2">
      <c r="A627" s="29">
        <v>44593</v>
      </c>
      <c r="B627" s="19">
        <v>0</v>
      </c>
      <c r="C627" s="19">
        <v>1299029.7062279996</v>
      </c>
      <c r="D627" s="19">
        <v>0</v>
      </c>
      <c r="E627" s="19">
        <v>1311785.9838550847</v>
      </c>
      <c r="F627" s="19">
        <v>1299029.7062279996</v>
      </c>
      <c r="G627" s="19">
        <v>1311785.9838550847</v>
      </c>
    </row>
    <row r="628" spans="1:7" ht="11.25" customHeight="1" x14ac:dyDescent="0.2">
      <c r="A628" s="29">
        <v>44621</v>
      </c>
      <c r="B628" s="19">
        <v>0</v>
      </c>
      <c r="C628" s="19">
        <v>1454886.7665919997</v>
      </c>
      <c r="D628" s="19">
        <v>0</v>
      </c>
      <c r="E628" s="19">
        <v>1469173.5372652502</v>
      </c>
      <c r="F628" s="19">
        <v>1454886.7665919997</v>
      </c>
      <c r="G628" s="19">
        <v>1469173.5372652502</v>
      </c>
    </row>
    <row r="629" spans="1:7" ht="11.25" customHeight="1" x14ac:dyDescent="0.2">
      <c r="A629" s="29">
        <v>44652</v>
      </c>
      <c r="B629" s="19">
        <v>0</v>
      </c>
      <c r="C629" s="19">
        <v>1055115.6548979997</v>
      </c>
      <c r="D629" s="19">
        <v>0</v>
      </c>
      <c r="E629" s="19">
        <v>1065476.7329842311</v>
      </c>
      <c r="F629" s="19">
        <v>1055115.6548979997</v>
      </c>
      <c r="G629" s="19">
        <v>1065476.7329842311</v>
      </c>
    </row>
    <row r="630" spans="1:7" ht="11.25" customHeight="1" x14ac:dyDescent="0.2">
      <c r="A630" s="29">
        <v>44682</v>
      </c>
      <c r="B630" s="19">
        <v>0</v>
      </c>
      <c r="C630" s="19">
        <v>1100059.3343599997</v>
      </c>
      <c r="D630" s="19">
        <v>0</v>
      </c>
      <c r="E630" s="19">
        <v>1110861.7526635111</v>
      </c>
      <c r="F630" s="19">
        <v>1100059.3343599997</v>
      </c>
      <c r="G630" s="19">
        <v>1110861.7526635111</v>
      </c>
    </row>
    <row r="631" spans="1:7" ht="11.25" customHeight="1" x14ac:dyDescent="0.2">
      <c r="A631" s="29">
        <v>44713</v>
      </c>
      <c r="B631" s="19">
        <v>0</v>
      </c>
      <c r="C631" s="19">
        <v>838386.34498299984</v>
      </c>
      <c r="D631" s="19">
        <v>0</v>
      </c>
      <c r="E631" s="19">
        <v>846619.17362739961</v>
      </c>
      <c r="F631" s="19">
        <v>838386.34498299984</v>
      </c>
      <c r="G631" s="19">
        <v>846619.17362739961</v>
      </c>
    </row>
    <row r="632" spans="1:7" ht="11.25" customHeight="1" x14ac:dyDescent="0.2">
      <c r="A632" s="29">
        <v>44743</v>
      </c>
      <c r="B632" s="19">
        <v>0</v>
      </c>
      <c r="C632" s="19">
        <v>838386.34498299984</v>
      </c>
      <c r="D632" s="19">
        <v>0</v>
      </c>
      <c r="E632" s="19">
        <v>846619.17362739961</v>
      </c>
      <c r="F632" s="19">
        <v>838386.34498299984</v>
      </c>
      <c r="G632" s="19">
        <v>846619.17362739961</v>
      </c>
    </row>
    <row r="633" spans="1:7" ht="11.25" customHeight="1" x14ac:dyDescent="0.2">
      <c r="A633" s="25" t="s">
        <v>56</v>
      </c>
      <c r="B633" s="19">
        <v>0</v>
      </c>
      <c r="C633" s="19">
        <v>111968.277204</v>
      </c>
      <c r="D633" s="19">
        <v>0</v>
      </c>
      <c r="E633" s="19">
        <v>113067.78895695903</v>
      </c>
      <c r="F633" s="19">
        <v>111968.277204</v>
      </c>
      <c r="G633" s="19">
        <v>113067.78895695903</v>
      </c>
    </row>
    <row r="634" spans="1:7" ht="11.25" customHeight="1" x14ac:dyDescent="0.2">
      <c r="A634" s="26" t="s">
        <v>55</v>
      </c>
      <c r="B634" s="19">
        <v>0</v>
      </c>
      <c r="C634" s="19">
        <v>111968.277204</v>
      </c>
      <c r="D634" s="19">
        <v>0</v>
      </c>
      <c r="E634" s="19">
        <v>113067.78895695903</v>
      </c>
      <c r="F634" s="19">
        <v>111968.277204</v>
      </c>
      <c r="G634" s="19">
        <v>113067.78895695903</v>
      </c>
    </row>
    <row r="635" spans="1:7" ht="11.25" customHeight="1" x14ac:dyDescent="0.2">
      <c r="A635" s="27" t="s">
        <v>25</v>
      </c>
      <c r="B635" s="19">
        <v>0</v>
      </c>
      <c r="C635" s="19">
        <v>111968.277204</v>
      </c>
      <c r="D635" s="19">
        <v>0</v>
      </c>
      <c r="E635" s="19">
        <v>113067.78895695903</v>
      </c>
      <c r="F635" s="19">
        <v>111968.277204</v>
      </c>
      <c r="G635" s="19">
        <v>113067.78895695903</v>
      </c>
    </row>
    <row r="636" spans="1:7" ht="11.25" customHeight="1" x14ac:dyDescent="0.2">
      <c r="A636" s="28" t="s">
        <v>25</v>
      </c>
      <c r="B636" s="19">
        <v>0</v>
      </c>
      <c r="C636" s="19">
        <v>111968.277204</v>
      </c>
      <c r="D636" s="19">
        <v>0</v>
      </c>
      <c r="E636" s="19">
        <v>113067.78895695903</v>
      </c>
      <c r="F636" s="19">
        <v>111968.277204</v>
      </c>
      <c r="G636" s="19">
        <v>113067.78895695903</v>
      </c>
    </row>
    <row r="637" spans="1:7" ht="11.25" customHeight="1" x14ac:dyDescent="0.2">
      <c r="A637" s="29">
        <v>44409</v>
      </c>
      <c r="B637" s="19">
        <v>0</v>
      </c>
      <c r="C637" s="19">
        <v>11052.291453999998</v>
      </c>
      <c r="D637" s="19">
        <v>0</v>
      </c>
      <c r="E637" s="19">
        <v>11160.823304755022</v>
      </c>
      <c r="F637" s="19">
        <v>11052.291453999998</v>
      </c>
      <c r="G637" s="19">
        <v>11160.823304755022</v>
      </c>
    </row>
    <row r="638" spans="1:7" ht="11.25" customHeight="1" x14ac:dyDescent="0.2">
      <c r="A638" s="29">
        <v>44440</v>
      </c>
      <c r="B638" s="19">
        <v>0</v>
      </c>
      <c r="C638" s="19">
        <v>8320.3921869999995</v>
      </c>
      <c r="D638" s="19">
        <v>0</v>
      </c>
      <c r="E638" s="19">
        <v>8402.0971951262491</v>
      </c>
      <c r="F638" s="19">
        <v>8320.3921869999995</v>
      </c>
      <c r="G638" s="19">
        <v>8402.0971951262491</v>
      </c>
    </row>
    <row r="639" spans="1:7" ht="11.25" customHeight="1" x14ac:dyDescent="0.2">
      <c r="A639" s="29">
        <v>44470</v>
      </c>
      <c r="B639" s="19">
        <v>0</v>
      </c>
      <c r="C639" s="19">
        <v>10677.298117999999</v>
      </c>
      <c r="D639" s="19">
        <v>0</v>
      </c>
      <c r="E639" s="19">
        <v>10782.147590223271</v>
      </c>
      <c r="F639" s="19">
        <v>10677.298117999999</v>
      </c>
      <c r="G639" s="19">
        <v>10782.147590223271</v>
      </c>
    </row>
    <row r="640" spans="1:7" ht="11.25" customHeight="1" x14ac:dyDescent="0.2">
      <c r="A640" s="29">
        <v>44501</v>
      </c>
      <c r="B640" s="19">
        <v>0</v>
      </c>
      <c r="C640" s="19">
        <v>10556.244444</v>
      </c>
      <c r="D640" s="19">
        <v>0</v>
      </c>
      <c r="E640" s="19">
        <v>10659.905187231225</v>
      </c>
      <c r="F640" s="19">
        <v>10556.244444</v>
      </c>
      <c r="G640" s="19">
        <v>10659.905187231225</v>
      </c>
    </row>
    <row r="641" spans="1:7" ht="11.25" customHeight="1" x14ac:dyDescent="0.2">
      <c r="A641" s="29">
        <v>44531</v>
      </c>
      <c r="B641" s="19">
        <v>0</v>
      </c>
      <c r="C641" s="19">
        <v>9408.5099859999991</v>
      </c>
      <c r="D641" s="19">
        <v>0</v>
      </c>
      <c r="E641" s="19">
        <v>9500.9001483367101</v>
      </c>
      <c r="F641" s="19">
        <v>9408.5099859999991</v>
      </c>
      <c r="G641" s="19">
        <v>9500.9001483367101</v>
      </c>
    </row>
    <row r="642" spans="1:7" ht="11.25" customHeight="1" x14ac:dyDescent="0.2">
      <c r="A642" s="29">
        <v>44562</v>
      </c>
      <c r="B642" s="19">
        <v>0</v>
      </c>
      <c r="C642" s="19">
        <v>9929.586890999999</v>
      </c>
      <c r="D642" s="19">
        <v>0</v>
      </c>
      <c r="E642" s="19">
        <v>10027.09395068969</v>
      </c>
      <c r="F642" s="19">
        <v>9929.586890999999</v>
      </c>
      <c r="G642" s="19">
        <v>10027.09395068969</v>
      </c>
    </row>
    <row r="643" spans="1:7" ht="11.25" customHeight="1" x14ac:dyDescent="0.2">
      <c r="A643" s="29">
        <v>44593</v>
      </c>
      <c r="B643" s="19">
        <v>0</v>
      </c>
      <c r="C643" s="19">
        <v>7927.195291</v>
      </c>
      <c r="D643" s="19">
        <v>0</v>
      </c>
      <c r="E643" s="19">
        <v>8005.0391643550911</v>
      </c>
      <c r="F643" s="19">
        <v>7927.195291</v>
      </c>
      <c r="G643" s="19">
        <v>8005.0391643550911</v>
      </c>
    </row>
    <row r="644" spans="1:7" ht="11.25" customHeight="1" x14ac:dyDescent="0.2">
      <c r="A644" s="29">
        <v>44621</v>
      </c>
      <c r="B644" s="19">
        <v>0</v>
      </c>
      <c r="C644" s="19">
        <v>8364.080731</v>
      </c>
      <c r="D644" s="19">
        <v>0</v>
      </c>
      <c r="E644" s="19">
        <v>8446.2147541008235</v>
      </c>
      <c r="F644" s="19">
        <v>8364.080731</v>
      </c>
      <c r="G644" s="19">
        <v>8446.2147541008235</v>
      </c>
    </row>
    <row r="645" spans="1:7" ht="11.25" customHeight="1" x14ac:dyDescent="0.2">
      <c r="A645" s="29">
        <v>44652</v>
      </c>
      <c r="B645" s="19">
        <v>0</v>
      </c>
      <c r="C645" s="19">
        <v>9011.6723779999993</v>
      </c>
      <c r="D645" s="19">
        <v>0</v>
      </c>
      <c r="E645" s="19">
        <v>9100.1656543176705</v>
      </c>
      <c r="F645" s="19">
        <v>9011.6723779999993</v>
      </c>
      <c r="G645" s="19">
        <v>9100.1656543176705</v>
      </c>
    </row>
    <row r="646" spans="1:7" ht="11.25" customHeight="1" x14ac:dyDescent="0.2">
      <c r="A646" s="29">
        <v>44682</v>
      </c>
      <c r="B646" s="19">
        <v>0</v>
      </c>
      <c r="C646" s="19">
        <v>9794.4254579999979</v>
      </c>
      <c r="D646" s="19">
        <v>0</v>
      </c>
      <c r="E646" s="19">
        <v>9890.6052526121039</v>
      </c>
      <c r="F646" s="19">
        <v>9794.4254579999979</v>
      </c>
      <c r="G646" s="19">
        <v>9890.6052526121039</v>
      </c>
    </row>
    <row r="647" spans="1:7" ht="11.25" customHeight="1" x14ac:dyDescent="0.2">
      <c r="A647" s="29">
        <v>44713</v>
      </c>
      <c r="B647" s="19">
        <v>0</v>
      </c>
      <c r="C647" s="19">
        <v>8463.2901329999986</v>
      </c>
      <c r="D647" s="19">
        <v>0</v>
      </c>
      <c r="E647" s="19">
        <v>8546.3983776055811</v>
      </c>
      <c r="F647" s="19">
        <v>8463.2901329999986</v>
      </c>
      <c r="G647" s="19">
        <v>8546.3983776055811</v>
      </c>
    </row>
    <row r="648" spans="1:7" ht="11.25" customHeight="1" x14ac:dyDescent="0.2">
      <c r="A648" s="29">
        <v>44743</v>
      </c>
      <c r="B648" s="19">
        <v>0</v>
      </c>
      <c r="C648" s="19">
        <v>8463.2901329999986</v>
      </c>
      <c r="D648" s="19">
        <v>0</v>
      </c>
      <c r="E648" s="19">
        <v>8546.3983776055811</v>
      </c>
      <c r="F648" s="19">
        <v>8463.2901329999986</v>
      </c>
      <c r="G648" s="19">
        <v>8546.3983776055811</v>
      </c>
    </row>
    <row r="649" spans="1:7" ht="11.25" customHeight="1" x14ac:dyDescent="0.2">
      <c r="A649" s="21" t="s">
        <v>998</v>
      </c>
      <c r="B649" s="19">
        <v>254397.80919999999</v>
      </c>
      <c r="C649" s="19">
        <v>15112091.331254251</v>
      </c>
      <c r="D649" s="19">
        <v>280180.81609515205</v>
      </c>
      <c r="E649" s="19">
        <v>8080955.469936965</v>
      </c>
      <c r="F649" s="19">
        <v>15366489.140454248</v>
      </c>
      <c r="G649" s="19">
        <v>8361136.2860321142</v>
      </c>
    </row>
    <row r="650" spans="1:7" ht="11.25" customHeight="1" x14ac:dyDescent="0.2">
      <c r="A650" s="22" t="s">
        <v>39</v>
      </c>
      <c r="B650" s="19">
        <v>8825.4843999999975</v>
      </c>
      <c r="C650" s="19">
        <v>51601.449038000006</v>
      </c>
      <c r="D650" s="19">
        <v>9585.2400536920359</v>
      </c>
      <c r="E650" s="19">
        <v>50932.651902532816</v>
      </c>
      <c r="F650" s="19">
        <v>60426.933438000007</v>
      </c>
      <c r="G650" s="19">
        <v>60517.891956224848</v>
      </c>
    </row>
    <row r="651" spans="1:7" ht="11.25" customHeight="1" x14ac:dyDescent="0.2">
      <c r="A651" s="23" t="s">
        <v>40</v>
      </c>
      <c r="B651" s="19">
        <v>8825.4843999999975</v>
      </c>
      <c r="C651" s="19">
        <v>51601.449038000006</v>
      </c>
      <c r="D651" s="19">
        <v>9585.2400536920359</v>
      </c>
      <c r="E651" s="19">
        <v>50932.651902532816</v>
      </c>
      <c r="F651" s="19">
        <v>60426.933438000007</v>
      </c>
      <c r="G651" s="19">
        <v>60517.891956224848</v>
      </c>
    </row>
    <row r="652" spans="1:7" ht="11.25" customHeight="1" x14ac:dyDescent="0.2">
      <c r="A652" s="24" t="s">
        <v>45</v>
      </c>
      <c r="B652" s="19">
        <v>8825.4843999999975</v>
      </c>
      <c r="C652" s="19">
        <v>51601.449038000006</v>
      </c>
      <c r="D652" s="19">
        <v>9585.2400536920359</v>
      </c>
      <c r="E652" s="19">
        <v>50932.651902532816</v>
      </c>
      <c r="F652" s="19">
        <v>60426.933438000007</v>
      </c>
      <c r="G652" s="19">
        <v>60517.891956224848</v>
      </c>
    </row>
    <row r="653" spans="1:7" ht="11.25" customHeight="1" x14ac:dyDescent="0.2">
      <c r="A653" s="25" t="s">
        <v>25</v>
      </c>
      <c r="B653" s="19">
        <v>8825.4843999999975</v>
      </c>
      <c r="C653" s="19">
        <v>51601.449038000006</v>
      </c>
      <c r="D653" s="19">
        <v>9585.2400536920359</v>
      </c>
      <c r="E653" s="19">
        <v>50932.651902532816</v>
      </c>
      <c r="F653" s="19">
        <v>60426.933438000007</v>
      </c>
      <c r="G653" s="19">
        <v>60517.891956224848</v>
      </c>
    </row>
    <row r="654" spans="1:7" ht="11.25" customHeight="1" x14ac:dyDescent="0.2">
      <c r="A654" s="26" t="s">
        <v>25</v>
      </c>
      <c r="B654" s="19">
        <v>8825.4843999999975</v>
      </c>
      <c r="C654" s="19">
        <v>51601.449038000006</v>
      </c>
      <c r="D654" s="19">
        <v>9585.2400536920359</v>
      </c>
      <c r="E654" s="19">
        <v>50932.651902532816</v>
      </c>
      <c r="F654" s="19">
        <v>60426.933438000007</v>
      </c>
      <c r="G654" s="19">
        <v>60517.891956224848</v>
      </c>
    </row>
    <row r="655" spans="1:7" ht="11.25" customHeight="1" x14ac:dyDescent="0.2">
      <c r="A655" s="27" t="s">
        <v>25</v>
      </c>
      <c r="B655" s="19">
        <v>8825.4843999999975</v>
      </c>
      <c r="C655" s="19">
        <v>51601.449038000006</v>
      </c>
      <c r="D655" s="19">
        <v>9585.2400536920359</v>
      </c>
      <c r="E655" s="19">
        <v>50932.651902532816</v>
      </c>
      <c r="F655" s="19">
        <v>60426.933438000007</v>
      </c>
      <c r="G655" s="19">
        <v>60517.891956224848</v>
      </c>
    </row>
    <row r="656" spans="1:7" ht="11.25" customHeight="1" x14ac:dyDescent="0.2">
      <c r="A656" s="28" t="s">
        <v>35</v>
      </c>
      <c r="B656" s="19">
        <v>7348.5195999999996</v>
      </c>
      <c r="C656" s="19">
        <v>51461.595446800013</v>
      </c>
      <c r="D656" s="19">
        <v>7976.3345325085684</v>
      </c>
      <c r="E656" s="19">
        <v>50802.760542191412</v>
      </c>
      <c r="F656" s="19">
        <v>58810.115046800012</v>
      </c>
      <c r="G656" s="19">
        <v>58779.095074699981</v>
      </c>
    </row>
    <row r="657" spans="1:7" ht="11.25" customHeight="1" x14ac:dyDescent="0.2">
      <c r="A657" s="29">
        <v>44409</v>
      </c>
      <c r="B657" s="19">
        <v>609.88199999999892</v>
      </c>
      <c r="C657" s="19">
        <v>5382.152999999993</v>
      </c>
      <c r="D657" s="19">
        <v>661.98678402591224</v>
      </c>
      <c r="E657" s="19">
        <v>5313.2482132836622</v>
      </c>
      <c r="F657" s="19">
        <v>5992.0349999999917</v>
      </c>
      <c r="G657" s="19">
        <v>5975.2349973095743</v>
      </c>
    </row>
    <row r="658" spans="1:7" ht="11.25" customHeight="1" x14ac:dyDescent="0.2">
      <c r="A658" s="29">
        <v>44440</v>
      </c>
      <c r="B658" s="19">
        <v>625.52</v>
      </c>
      <c r="C658" s="19">
        <v>7056.6005999999916</v>
      </c>
      <c r="D658" s="19">
        <v>678.96080412914193</v>
      </c>
      <c r="E658" s="19">
        <v>6966.2587685274693</v>
      </c>
      <c r="F658" s="19">
        <v>7682.1205999999911</v>
      </c>
      <c r="G658" s="19">
        <v>7645.2195726566115</v>
      </c>
    </row>
    <row r="659" spans="1:7" ht="11.25" customHeight="1" x14ac:dyDescent="0.2">
      <c r="A659" s="29">
        <v>44470</v>
      </c>
      <c r="B659" s="19">
        <v>609.88199999999892</v>
      </c>
      <c r="C659" s="19">
        <v>7694.485399999995</v>
      </c>
      <c r="D659" s="19">
        <v>661.98678402591224</v>
      </c>
      <c r="E659" s="19">
        <v>7595.9770752870181</v>
      </c>
      <c r="F659" s="19">
        <v>8304.3673999999937</v>
      </c>
      <c r="G659" s="19">
        <v>8257.9638593129312</v>
      </c>
    </row>
    <row r="660" spans="1:7" ht="11.25" customHeight="1" x14ac:dyDescent="0.2">
      <c r="A660" s="29">
        <v>44501</v>
      </c>
      <c r="B660" s="19">
        <v>609.88199999999892</v>
      </c>
      <c r="C660" s="19">
        <v>7614.7498000000023</v>
      </c>
      <c r="D660" s="19">
        <v>661.98678402591224</v>
      </c>
      <c r="E660" s="19">
        <v>7517.2622869420811</v>
      </c>
      <c r="F660" s="19">
        <v>8224.631800000001</v>
      </c>
      <c r="G660" s="19">
        <v>8179.2490709679932</v>
      </c>
    </row>
    <row r="661" spans="1:7" ht="11.25" customHeight="1" x14ac:dyDescent="0.2">
      <c r="A661" s="29">
        <v>44531</v>
      </c>
      <c r="B661" s="19">
        <v>609.88199999999892</v>
      </c>
      <c r="C661" s="19">
        <v>6538.3192000000099</v>
      </c>
      <c r="D661" s="19">
        <v>661.98678402591224</v>
      </c>
      <c r="E661" s="19">
        <v>6454.6126442853565</v>
      </c>
      <c r="F661" s="19">
        <v>7148.2012000000086</v>
      </c>
      <c r="G661" s="19">
        <v>7116.5994283112686</v>
      </c>
    </row>
    <row r="662" spans="1:7" ht="11.25" customHeight="1" x14ac:dyDescent="0.2">
      <c r="A662" s="29">
        <v>44562</v>
      </c>
      <c r="B662" s="19">
        <v>613.00960000000123</v>
      </c>
      <c r="C662" s="19">
        <v>1751.1418564000048</v>
      </c>
      <c r="D662" s="19">
        <v>665.38158804656041</v>
      </c>
      <c r="E662" s="19">
        <v>1728.7229366618847</v>
      </c>
      <c r="F662" s="19">
        <v>2364.1514564000063</v>
      </c>
      <c r="G662" s="19">
        <v>2394.1045247084448</v>
      </c>
    </row>
    <row r="663" spans="1:7" ht="11.25" customHeight="1" x14ac:dyDescent="0.2">
      <c r="A663" s="29">
        <v>44593</v>
      </c>
      <c r="B663" s="19">
        <v>616.58400000000051</v>
      </c>
      <c r="C663" s="19">
        <v>3462.8032000000071</v>
      </c>
      <c r="D663" s="19">
        <v>669.26136407015474</v>
      </c>
      <c r="E663" s="19">
        <v>3418.4708081232566</v>
      </c>
      <c r="F663" s="19">
        <v>4079.3872000000074</v>
      </c>
      <c r="G663" s="19">
        <v>4087.7321721934113</v>
      </c>
    </row>
    <row r="664" spans="1:7" ht="11.25" customHeight="1" x14ac:dyDescent="0.2">
      <c r="A664" s="29">
        <v>44621</v>
      </c>
      <c r="B664" s="19">
        <v>613.00960000000123</v>
      </c>
      <c r="C664" s="19">
        <v>2487.3178695999977</v>
      </c>
      <c r="D664" s="19">
        <v>665.38158804656041</v>
      </c>
      <c r="E664" s="19">
        <v>2455.4740875112111</v>
      </c>
      <c r="F664" s="19">
        <v>3100.3274695999989</v>
      </c>
      <c r="G664" s="19">
        <v>3120.8556755577715</v>
      </c>
    </row>
    <row r="665" spans="1:7" ht="11.25" customHeight="1" x14ac:dyDescent="0.2">
      <c r="A665" s="29">
        <v>44652</v>
      </c>
      <c r="B665" s="19">
        <v>608.98839999999984</v>
      </c>
      <c r="C665" s="19">
        <v>2057.1556984000058</v>
      </c>
      <c r="D665" s="19">
        <v>661.01684002001434</v>
      </c>
      <c r="E665" s="19">
        <v>2030.8190493600143</v>
      </c>
      <c r="F665" s="19">
        <v>2666.1440984000055</v>
      </c>
      <c r="G665" s="19">
        <v>2691.8358893800287</v>
      </c>
    </row>
    <row r="666" spans="1:7" ht="11.25" customHeight="1" x14ac:dyDescent="0.2">
      <c r="A666" s="29">
        <v>44682</v>
      </c>
      <c r="B666" s="19">
        <v>613.90320000000042</v>
      </c>
      <c r="C666" s="19">
        <v>2892.7620047999935</v>
      </c>
      <c r="D666" s="19">
        <v>666.35153205245831</v>
      </c>
      <c r="E666" s="19">
        <v>2855.7275412754802</v>
      </c>
      <c r="F666" s="19">
        <v>3506.6652047999942</v>
      </c>
      <c r="G666" s="19">
        <v>3522.0790733279387</v>
      </c>
    </row>
    <row r="667" spans="1:7" ht="11.25" customHeight="1" x14ac:dyDescent="0.2">
      <c r="A667" s="29">
        <v>44713</v>
      </c>
      <c r="B667" s="19">
        <v>608.98839999999984</v>
      </c>
      <c r="C667" s="19">
        <v>2262.0534088000027</v>
      </c>
      <c r="D667" s="19">
        <v>661.01684002001434</v>
      </c>
      <c r="E667" s="19">
        <v>2233.0935654669884</v>
      </c>
      <c r="F667" s="19">
        <v>2871.0418088000024</v>
      </c>
      <c r="G667" s="19">
        <v>2894.1104054870029</v>
      </c>
    </row>
    <row r="668" spans="1:7" ht="11.25" customHeight="1" x14ac:dyDescent="0.2">
      <c r="A668" s="29">
        <v>44743</v>
      </c>
      <c r="B668" s="19">
        <v>608.98839999999984</v>
      </c>
      <c r="C668" s="19">
        <v>2262.0534088000027</v>
      </c>
      <c r="D668" s="19">
        <v>661.01684002001434</v>
      </c>
      <c r="E668" s="19">
        <v>2233.0935654669884</v>
      </c>
      <c r="F668" s="19">
        <v>2871.0418088000024</v>
      </c>
      <c r="G668" s="19">
        <v>2894.1104054870029</v>
      </c>
    </row>
    <row r="669" spans="1:7" ht="11.25" customHeight="1" x14ac:dyDescent="0.2">
      <c r="A669" s="28" t="s">
        <v>34</v>
      </c>
      <c r="B669" s="19">
        <v>1476.9647999999997</v>
      </c>
      <c r="C669" s="19">
        <v>139.85359119999995</v>
      </c>
      <c r="D669" s="19">
        <v>1608.905521183467</v>
      </c>
      <c r="E669" s="19">
        <v>129.8913603414062</v>
      </c>
      <c r="F669" s="19">
        <v>1616.8183911999997</v>
      </c>
      <c r="G669" s="19">
        <v>1738.7968815248732</v>
      </c>
    </row>
    <row r="670" spans="1:7" ht="11.25" customHeight="1" x14ac:dyDescent="0.2">
      <c r="A670" s="29">
        <v>44409</v>
      </c>
      <c r="B670" s="19">
        <v>20.62080000000002</v>
      </c>
      <c r="C670" s="19">
        <v>0</v>
      </c>
      <c r="D670" s="19">
        <v>22.462904309716841</v>
      </c>
      <c r="E670" s="19">
        <v>0</v>
      </c>
      <c r="F670" s="19">
        <v>20.62080000000002</v>
      </c>
      <c r="G670" s="19">
        <v>22.462904309716841</v>
      </c>
    </row>
    <row r="671" spans="1:7" ht="11.25" customHeight="1" x14ac:dyDescent="0.2">
      <c r="A671" s="29">
        <v>44440</v>
      </c>
      <c r="B671" s="19">
        <v>30.071999999999971</v>
      </c>
      <c r="C671" s="19">
        <v>61.539800000000056</v>
      </c>
      <c r="D671" s="19">
        <v>32.758402118336996</v>
      </c>
      <c r="E671" s="19">
        <v>57.156117826869782</v>
      </c>
      <c r="F671" s="19">
        <v>91.611800000000031</v>
      </c>
      <c r="G671" s="19">
        <v>89.914519945206777</v>
      </c>
    </row>
    <row r="672" spans="1:7" ht="11.25" customHeight="1" x14ac:dyDescent="0.2">
      <c r="A672" s="29">
        <v>44470</v>
      </c>
      <c r="B672" s="19">
        <v>90.216000000000065</v>
      </c>
      <c r="C672" s="19">
        <v>0</v>
      </c>
      <c r="D672" s="19">
        <v>98.27520635501115</v>
      </c>
      <c r="E672" s="19">
        <v>0</v>
      </c>
      <c r="F672" s="19">
        <v>90.216000000000065</v>
      </c>
      <c r="G672" s="19">
        <v>98.27520635501115</v>
      </c>
    </row>
    <row r="673" spans="1:7" ht="11.25" customHeight="1" x14ac:dyDescent="0.2">
      <c r="A673" s="29">
        <v>44501</v>
      </c>
      <c r="B673" s="19">
        <v>120.28799999999988</v>
      </c>
      <c r="C673" s="19">
        <v>0</v>
      </c>
      <c r="D673" s="19">
        <v>131.03360847334798</v>
      </c>
      <c r="E673" s="19">
        <v>0</v>
      </c>
      <c r="F673" s="19">
        <v>120.28799999999988</v>
      </c>
      <c r="G673" s="19">
        <v>131.03360847334798</v>
      </c>
    </row>
    <row r="674" spans="1:7" ht="11.25" customHeight="1" x14ac:dyDescent="0.2">
      <c r="A674" s="29">
        <v>44531</v>
      </c>
      <c r="B674" s="19">
        <v>180.43200000000013</v>
      </c>
      <c r="C674" s="19">
        <v>0</v>
      </c>
      <c r="D674" s="19">
        <v>196.5504127100223</v>
      </c>
      <c r="E674" s="19">
        <v>0</v>
      </c>
      <c r="F674" s="19">
        <v>180.43200000000013</v>
      </c>
      <c r="G674" s="19">
        <v>196.5504127100223</v>
      </c>
    </row>
    <row r="675" spans="1:7" ht="11.25" customHeight="1" x14ac:dyDescent="0.2">
      <c r="A675" s="29">
        <v>44562</v>
      </c>
      <c r="B675" s="19">
        <v>18.043199999999999</v>
      </c>
      <c r="C675" s="19">
        <v>17.846541999999936</v>
      </c>
      <c r="D675" s="19">
        <v>19.655041271002215</v>
      </c>
      <c r="E675" s="19">
        <v>16.575274169792163</v>
      </c>
      <c r="F675" s="19">
        <v>35.889741999999934</v>
      </c>
      <c r="G675" s="19">
        <v>36.230315440794378</v>
      </c>
    </row>
    <row r="676" spans="1:7" ht="11.25" customHeight="1" x14ac:dyDescent="0.2">
      <c r="A676" s="29">
        <v>44593</v>
      </c>
      <c r="B676" s="19">
        <v>18.043199999999999</v>
      </c>
      <c r="C676" s="19">
        <v>8.017756800000015</v>
      </c>
      <c r="D676" s="19">
        <v>19.655041271002215</v>
      </c>
      <c r="E676" s="19">
        <v>7.4466256368721844</v>
      </c>
      <c r="F676" s="19">
        <v>26.060956800000014</v>
      </c>
      <c r="G676" s="19">
        <v>27.101666907874399</v>
      </c>
    </row>
    <row r="677" spans="1:7" ht="11.25" customHeight="1" x14ac:dyDescent="0.2">
      <c r="A677" s="29">
        <v>44621</v>
      </c>
      <c r="B677" s="19">
        <v>165.82559999999998</v>
      </c>
      <c r="C677" s="19">
        <v>9.8815336000000258</v>
      </c>
      <c r="D677" s="19">
        <v>180.63918882397275</v>
      </c>
      <c r="E677" s="19">
        <v>9.1776394910573895</v>
      </c>
      <c r="F677" s="19">
        <v>175.70713360000002</v>
      </c>
      <c r="G677" s="19">
        <v>189.81682831503014</v>
      </c>
    </row>
    <row r="678" spans="1:7" ht="11.25" customHeight="1" x14ac:dyDescent="0.2">
      <c r="A678" s="29">
        <v>44652</v>
      </c>
      <c r="B678" s="19">
        <v>163.24799999999988</v>
      </c>
      <c r="C678" s="19">
        <v>8.4045783999999859</v>
      </c>
      <c r="D678" s="19">
        <v>177.83132578525803</v>
      </c>
      <c r="E678" s="19">
        <v>7.8058926632124823</v>
      </c>
      <c r="F678" s="19">
        <v>171.65257839999987</v>
      </c>
      <c r="G678" s="19">
        <v>185.63721844847052</v>
      </c>
    </row>
    <row r="679" spans="1:7" ht="11.25" customHeight="1" x14ac:dyDescent="0.2">
      <c r="A679" s="29">
        <v>44682</v>
      </c>
      <c r="B679" s="19">
        <v>324.77760000000012</v>
      </c>
      <c r="C679" s="19">
        <v>14.294816399999998</v>
      </c>
      <c r="D679" s="19">
        <v>353.79074287804002</v>
      </c>
      <c r="E679" s="19">
        <v>13.276549655212879</v>
      </c>
      <c r="F679" s="19">
        <v>339.07241640000012</v>
      </c>
      <c r="G679" s="19">
        <v>367.0672925332529</v>
      </c>
    </row>
    <row r="680" spans="1:7" ht="11.25" customHeight="1" x14ac:dyDescent="0.2">
      <c r="A680" s="29">
        <v>44713</v>
      </c>
      <c r="B680" s="19">
        <v>172.69919999999982</v>
      </c>
      <c r="C680" s="19">
        <v>9.9342819999999801</v>
      </c>
      <c r="D680" s="19">
        <v>188.12682359387819</v>
      </c>
      <c r="E680" s="19">
        <v>9.2266304491946656</v>
      </c>
      <c r="F680" s="19">
        <v>182.63348199999979</v>
      </c>
      <c r="G680" s="19">
        <v>197.35345404307284</v>
      </c>
    </row>
    <row r="681" spans="1:7" ht="11.25" customHeight="1" x14ac:dyDescent="0.2">
      <c r="A681" s="29">
        <v>44743</v>
      </c>
      <c r="B681" s="19">
        <v>172.69919999999982</v>
      </c>
      <c r="C681" s="19">
        <v>9.9342819999999801</v>
      </c>
      <c r="D681" s="19">
        <v>188.12682359387819</v>
      </c>
      <c r="E681" s="19">
        <v>9.2266304491946656</v>
      </c>
      <c r="F681" s="19">
        <v>182.63348199999979</v>
      </c>
      <c r="G681" s="19">
        <v>197.35345404307284</v>
      </c>
    </row>
    <row r="682" spans="1:7" ht="11.25" customHeight="1" x14ac:dyDescent="0.2">
      <c r="A682" s="22" t="s">
        <v>41</v>
      </c>
      <c r="B682" s="19">
        <v>245572.32479999997</v>
      </c>
      <c r="C682" s="19">
        <v>534689.35462200013</v>
      </c>
      <c r="D682" s="19">
        <v>270595.5760414601</v>
      </c>
      <c r="E682" s="19">
        <v>533511.84542638552</v>
      </c>
      <c r="F682" s="19">
        <v>780261.67942200019</v>
      </c>
      <c r="G682" s="19">
        <v>804107.42146784568</v>
      </c>
    </row>
    <row r="683" spans="1:7" ht="11.25" customHeight="1" x14ac:dyDescent="0.2">
      <c r="A683" s="23" t="s">
        <v>42</v>
      </c>
      <c r="B683" s="19">
        <v>245572.32479999997</v>
      </c>
      <c r="C683" s="19">
        <v>534689.35462200013</v>
      </c>
      <c r="D683" s="19">
        <v>270595.5760414601</v>
      </c>
      <c r="E683" s="19">
        <v>533511.84542638552</v>
      </c>
      <c r="F683" s="19">
        <v>780261.67942200019</v>
      </c>
      <c r="G683" s="19">
        <v>804107.42146784568</v>
      </c>
    </row>
    <row r="684" spans="1:7" ht="11.25" customHeight="1" x14ac:dyDescent="0.2">
      <c r="A684" s="24" t="s">
        <v>45</v>
      </c>
      <c r="B684" s="19">
        <v>245572.32479999997</v>
      </c>
      <c r="C684" s="19">
        <v>534689.35462200013</v>
      </c>
      <c r="D684" s="19">
        <v>270595.5760414601</v>
      </c>
      <c r="E684" s="19">
        <v>533511.84542638552</v>
      </c>
      <c r="F684" s="19">
        <v>780261.67942200019</v>
      </c>
      <c r="G684" s="19">
        <v>804107.42146784568</v>
      </c>
    </row>
    <row r="685" spans="1:7" ht="11.25" customHeight="1" x14ac:dyDescent="0.2">
      <c r="A685" s="25" t="s">
        <v>53</v>
      </c>
      <c r="B685" s="19">
        <v>179088.89279999997</v>
      </c>
      <c r="C685" s="19">
        <v>323032.8789880001</v>
      </c>
      <c r="D685" s="19">
        <v>197337.63627196517</v>
      </c>
      <c r="E685" s="19">
        <v>322537.48091149895</v>
      </c>
      <c r="F685" s="19">
        <v>502121.77178800001</v>
      </c>
      <c r="G685" s="19">
        <v>519875.11718346411</v>
      </c>
    </row>
    <row r="686" spans="1:7" ht="11.25" customHeight="1" x14ac:dyDescent="0.2">
      <c r="A686" s="26" t="s">
        <v>25</v>
      </c>
      <c r="B686" s="19">
        <v>179088.89279999997</v>
      </c>
      <c r="C686" s="19">
        <v>323032.8789880001</v>
      </c>
      <c r="D686" s="19">
        <v>197337.63627196517</v>
      </c>
      <c r="E686" s="19">
        <v>322537.48091149895</v>
      </c>
      <c r="F686" s="19">
        <v>502121.77178800001</v>
      </c>
      <c r="G686" s="19">
        <v>519875.11718346411</v>
      </c>
    </row>
    <row r="687" spans="1:7" ht="11.25" customHeight="1" x14ac:dyDescent="0.2">
      <c r="A687" s="27" t="s">
        <v>25</v>
      </c>
      <c r="B687" s="19">
        <v>179088.89279999997</v>
      </c>
      <c r="C687" s="19">
        <v>323032.8789880001</v>
      </c>
      <c r="D687" s="19">
        <v>197337.63627196517</v>
      </c>
      <c r="E687" s="19">
        <v>322537.48091149895</v>
      </c>
      <c r="F687" s="19">
        <v>502121.77178800001</v>
      </c>
      <c r="G687" s="19">
        <v>519875.11718346411</v>
      </c>
    </row>
    <row r="688" spans="1:7" ht="11.25" customHeight="1" x14ac:dyDescent="0.2">
      <c r="A688" s="28" t="s">
        <v>35</v>
      </c>
      <c r="B688" s="19">
        <v>0</v>
      </c>
      <c r="C688" s="19">
        <v>256219.98676080012</v>
      </c>
      <c r="D688" s="19">
        <v>0</v>
      </c>
      <c r="E688" s="19">
        <v>252053.50218843241</v>
      </c>
      <c r="F688" s="19">
        <v>256219.98676080012</v>
      </c>
      <c r="G688" s="19">
        <v>252053.50218843247</v>
      </c>
    </row>
    <row r="689" spans="1:7" ht="11.25" customHeight="1" x14ac:dyDescent="0.2">
      <c r="A689" s="29">
        <v>44409</v>
      </c>
      <c r="B689" s="19">
        <v>0</v>
      </c>
      <c r="C689" s="19">
        <v>15649.319650800046</v>
      </c>
      <c r="D689" s="19">
        <v>0</v>
      </c>
      <c r="E689" s="19">
        <v>15394.840483435244</v>
      </c>
      <c r="F689" s="19">
        <v>15649.319650800046</v>
      </c>
      <c r="G689" s="19">
        <v>15394.840483435244</v>
      </c>
    </row>
    <row r="690" spans="1:7" ht="11.25" customHeight="1" x14ac:dyDescent="0.2">
      <c r="A690" s="29">
        <v>44440</v>
      </c>
      <c r="B690" s="19">
        <v>0</v>
      </c>
      <c r="C690" s="19">
        <v>21188.837723199966</v>
      </c>
      <c r="D690" s="19">
        <v>0</v>
      </c>
      <c r="E690" s="19">
        <v>20844.278477076306</v>
      </c>
      <c r="F690" s="19">
        <v>21188.837723199966</v>
      </c>
      <c r="G690" s="19">
        <v>20844.278477076306</v>
      </c>
    </row>
    <row r="691" spans="1:7" ht="11.25" customHeight="1" x14ac:dyDescent="0.2">
      <c r="A691" s="29">
        <v>44470</v>
      </c>
      <c r="B691" s="19">
        <v>0</v>
      </c>
      <c r="C691" s="19">
        <v>26423.149029599961</v>
      </c>
      <c r="D691" s="19">
        <v>0</v>
      </c>
      <c r="E691" s="19">
        <v>25993.472780775632</v>
      </c>
      <c r="F691" s="19">
        <v>26423.149029599961</v>
      </c>
      <c r="G691" s="19">
        <v>25993.472780775632</v>
      </c>
    </row>
    <row r="692" spans="1:7" ht="11.25" customHeight="1" x14ac:dyDescent="0.2">
      <c r="A692" s="29">
        <v>44501</v>
      </c>
      <c r="B692" s="19">
        <v>0</v>
      </c>
      <c r="C692" s="19">
        <v>33455.327912800065</v>
      </c>
      <c r="D692" s="19">
        <v>0</v>
      </c>
      <c r="E692" s="19">
        <v>32911.29889549192</v>
      </c>
      <c r="F692" s="19">
        <v>33455.327912800065</v>
      </c>
      <c r="G692" s="19">
        <v>32911.29889549192</v>
      </c>
    </row>
    <row r="693" spans="1:7" ht="11.25" customHeight="1" x14ac:dyDescent="0.2">
      <c r="A693" s="29">
        <v>44531</v>
      </c>
      <c r="B693" s="19">
        <v>0</v>
      </c>
      <c r="C693" s="19">
        <v>36765.804375200023</v>
      </c>
      <c r="D693" s="19">
        <v>0</v>
      </c>
      <c r="E693" s="19">
        <v>36167.942519626027</v>
      </c>
      <c r="F693" s="19">
        <v>36765.804375200023</v>
      </c>
      <c r="G693" s="19">
        <v>36167.942519626027</v>
      </c>
    </row>
    <row r="694" spans="1:7" ht="11.25" customHeight="1" x14ac:dyDescent="0.2">
      <c r="A694" s="29">
        <v>44562</v>
      </c>
      <c r="B694" s="19">
        <v>0</v>
      </c>
      <c r="C694" s="19">
        <v>24361.69323600005</v>
      </c>
      <c r="D694" s="19">
        <v>0</v>
      </c>
      <c r="E694" s="19">
        <v>23965.539054947392</v>
      </c>
      <c r="F694" s="19">
        <v>24361.69323600005</v>
      </c>
      <c r="G694" s="19">
        <v>23965.539054947392</v>
      </c>
    </row>
    <row r="695" spans="1:7" ht="11.25" customHeight="1" x14ac:dyDescent="0.2">
      <c r="A695" s="29">
        <v>44593</v>
      </c>
      <c r="B695" s="19">
        <v>0</v>
      </c>
      <c r="C695" s="19">
        <v>23678.670177600023</v>
      </c>
      <c r="D695" s="19">
        <v>0</v>
      </c>
      <c r="E695" s="19">
        <v>23293.622878064965</v>
      </c>
      <c r="F695" s="19">
        <v>23678.670177600023</v>
      </c>
      <c r="G695" s="19">
        <v>23293.622878064965</v>
      </c>
    </row>
    <row r="696" spans="1:7" ht="11.25" customHeight="1" x14ac:dyDescent="0.2">
      <c r="A696" s="29">
        <v>44621</v>
      </c>
      <c r="B696" s="19">
        <v>0</v>
      </c>
      <c r="C696" s="19">
        <v>23991.939239600026</v>
      </c>
      <c r="D696" s="19">
        <v>0</v>
      </c>
      <c r="E696" s="19">
        <v>23601.797760136524</v>
      </c>
      <c r="F696" s="19">
        <v>23991.939239600026</v>
      </c>
      <c r="G696" s="19">
        <v>23601.797760136524</v>
      </c>
    </row>
    <row r="697" spans="1:7" ht="11.25" customHeight="1" x14ac:dyDescent="0.2">
      <c r="A697" s="29">
        <v>44652</v>
      </c>
      <c r="B697" s="19">
        <v>0</v>
      </c>
      <c r="C697" s="19">
        <v>20668.892924799988</v>
      </c>
      <c r="D697" s="19">
        <v>0</v>
      </c>
      <c r="E697" s="19">
        <v>20332.788686454613</v>
      </c>
      <c r="F697" s="19">
        <v>20668.892924799988</v>
      </c>
      <c r="G697" s="19">
        <v>20332.788686454613</v>
      </c>
    </row>
    <row r="698" spans="1:7" ht="11.25" customHeight="1" x14ac:dyDescent="0.2">
      <c r="A698" s="29">
        <v>44682</v>
      </c>
      <c r="B698" s="19">
        <v>0</v>
      </c>
      <c r="C698" s="19">
        <v>12490.817468000008</v>
      </c>
      <c r="D698" s="19">
        <v>0</v>
      </c>
      <c r="E698" s="19">
        <v>12287.6998309467</v>
      </c>
      <c r="F698" s="19">
        <v>12490.817468000008</v>
      </c>
      <c r="G698" s="19">
        <v>12287.6998309467</v>
      </c>
    </row>
    <row r="699" spans="1:7" ht="11.25" customHeight="1" x14ac:dyDescent="0.2">
      <c r="A699" s="29">
        <v>44713</v>
      </c>
      <c r="B699" s="19">
        <v>0</v>
      </c>
      <c r="C699" s="19">
        <v>8772.76751159999</v>
      </c>
      <c r="D699" s="19">
        <v>0</v>
      </c>
      <c r="E699" s="19">
        <v>8630.1104107385581</v>
      </c>
      <c r="F699" s="19">
        <v>8772.76751159999</v>
      </c>
      <c r="G699" s="19">
        <v>8630.1104107385581</v>
      </c>
    </row>
    <row r="700" spans="1:7" ht="11.25" customHeight="1" x14ac:dyDescent="0.2">
      <c r="A700" s="29">
        <v>44743</v>
      </c>
      <c r="B700" s="19">
        <v>0</v>
      </c>
      <c r="C700" s="19">
        <v>8772.76751159999</v>
      </c>
      <c r="D700" s="19">
        <v>0</v>
      </c>
      <c r="E700" s="19">
        <v>8630.1104107385581</v>
      </c>
      <c r="F700" s="19">
        <v>8772.76751159999</v>
      </c>
      <c r="G700" s="19">
        <v>8630.1104107385581</v>
      </c>
    </row>
    <row r="701" spans="1:7" ht="11.25" customHeight="1" x14ac:dyDescent="0.2">
      <c r="A701" s="28" t="s">
        <v>25</v>
      </c>
      <c r="B701" s="19">
        <v>179088.89279999997</v>
      </c>
      <c r="C701" s="19">
        <v>0</v>
      </c>
      <c r="D701" s="19">
        <v>197337.63627196517</v>
      </c>
      <c r="E701" s="19">
        <v>0</v>
      </c>
      <c r="F701" s="19">
        <v>179088.89279999997</v>
      </c>
      <c r="G701" s="19">
        <v>197337.63627196514</v>
      </c>
    </row>
    <row r="702" spans="1:7" ht="11.25" customHeight="1" x14ac:dyDescent="0.2">
      <c r="A702" s="29">
        <v>44409</v>
      </c>
      <c r="B702" s="19">
        <v>13748.719200000003</v>
      </c>
      <c r="C702" s="19">
        <v>0</v>
      </c>
      <c r="D702" s="19">
        <v>15149.681849476396</v>
      </c>
      <c r="E702" s="19">
        <v>0</v>
      </c>
      <c r="F702" s="19">
        <v>13748.719200000003</v>
      </c>
      <c r="G702" s="19">
        <v>15149.681849476396</v>
      </c>
    </row>
    <row r="703" spans="1:7" ht="11.25" customHeight="1" x14ac:dyDescent="0.2">
      <c r="A703" s="29">
        <v>44440</v>
      </c>
      <c r="B703" s="19">
        <v>13256.832000000022</v>
      </c>
      <c r="C703" s="19">
        <v>0</v>
      </c>
      <c r="D703" s="19">
        <v>14607.672482827213</v>
      </c>
      <c r="E703" s="19">
        <v>0</v>
      </c>
      <c r="F703" s="19">
        <v>13256.832000000022</v>
      </c>
      <c r="G703" s="19">
        <v>14607.672482827213</v>
      </c>
    </row>
    <row r="704" spans="1:7" ht="11.25" customHeight="1" x14ac:dyDescent="0.2">
      <c r="A704" s="29">
        <v>44470</v>
      </c>
      <c r="B704" s="19">
        <v>17350.298399999996</v>
      </c>
      <c r="C704" s="19">
        <v>0</v>
      </c>
      <c r="D704" s="19">
        <v>19118.253630016628</v>
      </c>
      <c r="E704" s="19">
        <v>0</v>
      </c>
      <c r="F704" s="19">
        <v>17350.298399999996</v>
      </c>
      <c r="G704" s="19">
        <v>19118.253630016628</v>
      </c>
    </row>
    <row r="705" spans="1:7" ht="11.25" customHeight="1" x14ac:dyDescent="0.2">
      <c r="A705" s="29">
        <v>44501</v>
      </c>
      <c r="B705" s="19">
        <v>17282.126400000005</v>
      </c>
      <c r="C705" s="19">
        <v>0</v>
      </c>
      <c r="D705" s="19">
        <v>19043.13506107805</v>
      </c>
      <c r="E705" s="19">
        <v>0</v>
      </c>
      <c r="F705" s="19">
        <v>17282.126400000005</v>
      </c>
      <c r="G705" s="19">
        <v>19043.13506107805</v>
      </c>
    </row>
    <row r="706" spans="1:7" ht="11.25" customHeight="1" x14ac:dyDescent="0.2">
      <c r="A706" s="29">
        <v>44531</v>
      </c>
      <c r="B706" s="19">
        <v>19134.307199999956</v>
      </c>
      <c r="C706" s="19">
        <v>0</v>
      </c>
      <c r="D706" s="19">
        <v>21084.048795624894</v>
      </c>
      <c r="E706" s="19">
        <v>0</v>
      </c>
      <c r="F706" s="19">
        <v>19134.307199999956</v>
      </c>
      <c r="G706" s="19">
        <v>21084.048795624894</v>
      </c>
    </row>
    <row r="707" spans="1:7" ht="11.25" customHeight="1" x14ac:dyDescent="0.2">
      <c r="A707" s="29">
        <v>44562</v>
      </c>
      <c r="B707" s="19">
        <v>18991.670400000025</v>
      </c>
      <c r="C707" s="19">
        <v>0</v>
      </c>
      <c r="D707" s="19">
        <v>20926.877635999612</v>
      </c>
      <c r="E707" s="19">
        <v>0</v>
      </c>
      <c r="F707" s="19">
        <v>18991.670400000025</v>
      </c>
      <c r="G707" s="19">
        <v>20926.877635999612</v>
      </c>
    </row>
    <row r="708" spans="1:7" ht="11.25" customHeight="1" x14ac:dyDescent="0.2">
      <c r="A708" s="29">
        <v>44593</v>
      </c>
      <c r="B708" s="19">
        <v>17410.07999999998</v>
      </c>
      <c r="C708" s="19">
        <v>0</v>
      </c>
      <c r="D708" s="19">
        <v>19184.126836624295</v>
      </c>
      <c r="E708" s="19">
        <v>0</v>
      </c>
      <c r="F708" s="19">
        <v>17410.07999999998</v>
      </c>
      <c r="G708" s="19">
        <v>19184.126836624295</v>
      </c>
    </row>
    <row r="709" spans="1:7" ht="11.25" customHeight="1" x14ac:dyDescent="0.2">
      <c r="A709" s="29">
        <v>44621</v>
      </c>
      <c r="B709" s="19">
        <v>16450.428000000004</v>
      </c>
      <c r="C709" s="19">
        <v>0</v>
      </c>
      <c r="D709" s="19">
        <v>18126.688520027255</v>
      </c>
      <c r="E709" s="19">
        <v>0</v>
      </c>
      <c r="F709" s="19">
        <v>16450.428000000004</v>
      </c>
      <c r="G709" s="19">
        <v>18126.688520027255</v>
      </c>
    </row>
    <row r="710" spans="1:7" ht="11.25" customHeight="1" x14ac:dyDescent="0.2">
      <c r="A710" s="29">
        <v>44652</v>
      </c>
      <c r="B710" s="19">
        <v>15460.360800000022</v>
      </c>
      <c r="C710" s="19">
        <v>0</v>
      </c>
      <c r="D710" s="19">
        <v>17035.735764980691</v>
      </c>
      <c r="E710" s="19">
        <v>0</v>
      </c>
      <c r="F710" s="19">
        <v>15460.360800000022</v>
      </c>
      <c r="G710" s="19">
        <v>17035.735764980691</v>
      </c>
    </row>
    <row r="711" spans="1:7" ht="11.25" customHeight="1" x14ac:dyDescent="0.2">
      <c r="A711" s="29">
        <v>44682</v>
      </c>
      <c r="B711" s="19">
        <v>11350.113600000017</v>
      </c>
      <c r="C711" s="19">
        <v>0</v>
      </c>
      <c r="D711" s="19">
        <v>12506.663893129436</v>
      </c>
      <c r="E711" s="19">
        <v>0</v>
      </c>
      <c r="F711" s="19">
        <v>11350.113600000017</v>
      </c>
      <c r="G711" s="19">
        <v>12506.663893129436</v>
      </c>
    </row>
    <row r="712" spans="1:7" ht="11.25" customHeight="1" x14ac:dyDescent="0.2">
      <c r="A712" s="29">
        <v>44713</v>
      </c>
      <c r="B712" s="19">
        <v>9326.9783999999781</v>
      </c>
      <c r="C712" s="19">
        <v>0</v>
      </c>
      <c r="D712" s="19">
        <v>10277.375901090338</v>
      </c>
      <c r="E712" s="19">
        <v>0</v>
      </c>
      <c r="F712" s="19">
        <v>9326.9783999999781</v>
      </c>
      <c r="G712" s="19">
        <v>10277.375901090338</v>
      </c>
    </row>
    <row r="713" spans="1:7" ht="11.25" customHeight="1" x14ac:dyDescent="0.2">
      <c r="A713" s="29">
        <v>44743</v>
      </c>
      <c r="B713" s="19">
        <v>9326.9783999999781</v>
      </c>
      <c r="C713" s="19">
        <v>0</v>
      </c>
      <c r="D713" s="19">
        <v>10277.375901090338</v>
      </c>
      <c r="E713" s="19">
        <v>0</v>
      </c>
      <c r="F713" s="19">
        <v>9326.9783999999781</v>
      </c>
      <c r="G713" s="19">
        <v>10277.375901090338</v>
      </c>
    </row>
    <row r="714" spans="1:7" ht="11.25" customHeight="1" x14ac:dyDescent="0.2">
      <c r="A714" s="28" t="s">
        <v>34</v>
      </c>
      <c r="B714" s="19">
        <v>0</v>
      </c>
      <c r="C714" s="19">
        <v>66812.892227200005</v>
      </c>
      <c r="D714" s="19">
        <v>0</v>
      </c>
      <c r="E714" s="19">
        <v>70483.97872306651</v>
      </c>
      <c r="F714" s="19">
        <v>66812.892227200005</v>
      </c>
      <c r="G714" s="19">
        <v>70483.97872306651</v>
      </c>
    </row>
    <row r="715" spans="1:7" ht="11.25" customHeight="1" x14ac:dyDescent="0.2">
      <c r="A715" s="29">
        <v>44409</v>
      </c>
      <c r="B715" s="19">
        <v>0</v>
      </c>
      <c r="C715" s="19">
        <v>3291.4780500000006</v>
      </c>
      <c r="D715" s="19">
        <v>0</v>
      </c>
      <c r="E715" s="19">
        <v>3472.3308797159521</v>
      </c>
      <c r="F715" s="19">
        <v>3291.4780500000006</v>
      </c>
      <c r="G715" s="19">
        <v>3472.3308797159521</v>
      </c>
    </row>
    <row r="716" spans="1:7" ht="11.25" customHeight="1" x14ac:dyDescent="0.2">
      <c r="A716" s="29">
        <v>44440</v>
      </c>
      <c r="B716" s="19">
        <v>0</v>
      </c>
      <c r="C716" s="19">
        <v>3697.3060627999967</v>
      </c>
      <c r="D716" s="19">
        <v>0</v>
      </c>
      <c r="E716" s="19">
        <v>3900.4574293367787</v>
      </c>
      <c r="F716" s="19">
        <v>3697.3060627999967</v>
      </c>
      <c r="G716" s="19">
        <v>3900.4574293367787</v>
      </c>
    </row>
    <row r="717" spans="1:7" ht="11.25" customHeight="1" x14ac:dyDescent="0.2">
      <c r="A717" s="29">
        <v>44470</v>
      </c>
      <c r="B717" s="19">
        <v>0</v>
      </c>
      <c r="C717" s="19">
        <v>5728.3812740000085</v>
      </c>
      <c r="D717" s="19">
        <v>0</v>
      </c>
      <c r="E717" s="19">
        <v>6043.1316528137968</v>
      </c>
      <c r="F717" s="19">
        <v>5728.3812740000085</v>
      </c>
      <c r="G717" s="19">
        <v>6043.1316528137968</v>
      </c>
    </row>
    <row r="718" spans="1:7" ht="11.25" customHeight="1" x14ac:dyDescent="0.2">
      <c r="A718" s="29">
        <v>44501</v>
      </c>
      <c r="B718" s="19">
        <v>0</v>
      </c>
      <c r="C718" s="19">
        <v>8005.2892920000177</v>
      </c>
      <c r="D718" s="19">
        <v>0</v>
      </c>
      <c r="E718" s="19">
        <v>8445.1461584776807</v>
      </c>
      <c r="F718" s="19">
        <v>8005.2892920000177</v>
      </c>
      <c r="G718" s="19">
        <v>8445.1461584776807</v>
      </c>
    </row>
    <row r="719" spans="1:7" ht="11.25" customHeight="1" x14ac:dyDescent="0.2">
      <c r="A719" s="29">
        <v>44531</v>
      </c>
      <c r="B719" s="19">
        <v>0</v>
      </c>
      <c r="C719" s="19">
        <v>10025.030069599994</v>
      </c>
      <c r="D719" s="19">
        <v>0</v>
      </c>
      <c r="E719" s="19">
        <v>10575.863169056531</v>
      </c>
      <c r="F719" s="19">
        <v>10025.030069599994</v>
      </c>
      <c r="G719" s="19">
        <v>10575.863169056531</v>
      </c>
    </row>
    <row r="720" spans="1:7" ht="11.25" customHeight="1" x14ac:dyDescent="0.2">
      <c r="A720" s="29">
        <v>44562</v>
      </c>
      <c r="B720" s="19">
        <v>0</v>
      </c>
      <c r="C720" s="19">
        <v>8219.0539452000066</v>
      </c>
      <c r="D720" s="19">
        <v>0</v>
      </c>
      <c r="E720" s="19">
        <v>8670.6562773430014</v>
      </c>
      <c r="F720" s="19">
        <v>8219.0539452000066</v>
      </c>
      <c r="G720" s="19">
        <v>8670.6562773430014</v>
      </c>
    </row>
    <row r="721" spans="1:7" ht="11.25" customHeight="1" x14ac:dyDescent="0.2">
      <c r="A721" s="29">
        <v>44593</v>
      </c>
      <c r="B721" s="19">
        <v>0</v>
      </c>
      <c r="C721" s="19">
        <v>6728.645039199987</v>
      </c>
      <c r="D721" s="19">
        <v>0</v>
      </c>
      <c r="E721" s="19">
        <v>7098.3556910737016</v>
      </c>
      <c r="F721" s="19">
        <v>6728.645039199987</v>
      </c>
      <c r="G721" s="19">
        <v>7098.3556910737016</v>
      </c>
    </row>
    <row r="722" spans="1:7" ht="11.25" customHeight="1" x14ac:dyDescent="0.2">
      <c r="A722" s="29">
        <v>44621</v>
      </c>
      <c r="B722" s="19">
        <v>0</v>
      </c>
      <c r="C722" s="19">
        <v>6292.5457951999979</v>
      </c>
      <c r="D722" s="19">
        <v>0</v>
      </c>
      <c r="E722" s="19">
        <v>6638.2946338347065</v>
      </c>
      <c r="F722" s="19">
        <v>6292.5457951999979</v>
      </c>
      <c r="G722" s="19">
        <v>6638.2946338347065</v>
      </c>
    </row>
    <row r="723" spans="1:7" ht="11.25" customHeight="1" x14ac:dyDescent="0.2">
      <c r="A723" s="29">
        <v>44652</v>
      </c>
      <c r="B723" s="19">
        <v>0</v>
      </c>
      <c r="C723" s="19">
        <v>5885.6119839999965</v>
      </c>
      <c r="D723" s="19">
        <v>0</v>
      </c>
      <c r="E723" s="19">
        <v>6209.0015268579591</v>
      </c>
      <c r="F723" s="19">
        <v>5885.6119839999965</v>
      </c>
      <c r="G723" s="19">
        <v>6209.0015268579591</v>
      </c>
    </row>
    <row r="724" spans="1:7" ht="11.25" customHeight="1" x14ac:dyDescent="0.2">
      <c r="A724" s="29">
        <v>44682</v>
      </c>
      <c r="B724" s="19">
        <v>0</v>
      </c>
      <c r="C724" s="19">
        <v>3120.7013096000014</v>
      </c>
      <c r="D724" s="19">
        <v>0</v>
      </c>
      <c r="E724" s="19">
        <v>3292.1706780618188</v>
      </c>
      <c r="F724" s="19">
        <v>3120.7013096000014</v>
      </c>
      <c r="G724" s="19">
        <v>3292.1706780618188</v>
      </c>
    </row>
    <row r="725" spans="1:7" ht="11.25" customHeight="1" x14ac:dyDescent="0.2">
      <c r="A725" s="29">
        <v>44713</v>
      </c>
      <c r="B725" s="19">
        <v>0</v>
      </c>
      <c r="C725" s="19">
        <v>2909.4247027999995</v>
      </c>
      <c r="D725" s="19">
        <v>0</v>
      </c>
      <c r="E725" s="19">
        <v>3069.2853132472937</v>
      </c>
      <c r="F725" s="19">
        <v>2909.4247027999995</v>
      </c>
      <c r="G725" s="19">
        <v>3069.2853132472937</v>
      </c>
    </row>
    <row r="726" spans="1:7" ht="11.25" customHeight="1" x14ac:dyDescent="0.2">
      <c r="A726" s="29">
        <v>44743</v>
      </c>
      <c r="B726" s="19">
        <v>0</v>
      </c>
      <c r="C726" s="19">
        <v>2909.4247027999995</v>
      </c>
      <c r="D726" s="19">
        <v>0</v>
      </c>
      <c r="E726" s="19">
        <v>3069.2853132472937</v>
      </c>
      <c r="F726" s="19">
        <v>2909.4247027999995</v>
      </c>
      <c r="G726" s="19">
        <v>3069.2853132472937</v>
      </c>
    </row>
    <row r="727" spans="1:7" ht="11.25" customHeight="1" x14ac:dyDescent="0.2">
      <c r="A727" s="25" t="s">
        <v>25</v>
      </c>
      <c r="B727" s="19">
        <v>66483.432000000001</v>
      </c>
      <c r="C727" s="19">
        <v>211656.47563399991</v>
      </c>
      <c r="D727" s="19">
        <v>73257.9397694949</v>
      </c>
      <c r="E727" s="19">
        <v>210974.36451488675</v>
      </c>
      <c r="F727" s="19">
        <v>278139.90763399983</v>
      </c>
      <c r="G727" s="19">
        <v>284232.30428438168</v>
      </c>
    </row>
    <row r="728" spans="1:7" ht="11.25" customHeight="1" x14ac:dyDescent="0.2">
      <c r="A728" s="26" t="s">
        <v>25</v>
      </c>
      <c r="B728" s="19">
        <v>66483.432000000001</v>
      </c>
      <c r="C728" s="19">
        <v>211656.47563399991</v>
      </c>
      <c r="D728" s="19">
        <v>73257.9397694949</v>
      </c>
      <c r="E728" s="19">
        <v>210974.36451488675</v>
      </c>
      <c r="F728" s="19">
        <v>278139.90763399983</v>
      </c>
      <c r="G728" s="19">
        <v>284232.30428438168</v>
      </c>
    </row>
    <row r="729" spans="1:7" ht="11.25" customHeight="1" x14ac:dyDescent="0.2">
      <c r="A729" s="27" t="s">
        <v>25</v>
      </c>
      <c r="B729" s="19">
        <v>66483.432000000001</v>
      </c>
      <c r="C729" s="19">
        <v>211656.47563399991</v>
      </c>
      <c r="D729" s="19">
        <v>73257.9397694949</v>
      </c>
      <c r="E729" s="19">
        <v>210974.36451488675</v>
      </c>
      <c r="F729" s="19">
        <v>278139.90763399983</v>
      </c>
      <c r="G729" s="19">
        <v>284232.30428438168</v>
      </c>
    </row>
    <row r="730" spans="1:7" ht="11.25" customHeight="1" x14ac:dyDescent="0.2">
      <c r="A730" s="28" t="s">
        <v>35</v>
      </c>
      <c r="B730" s="19">
        <v>0</v>
      </c>
      <c r="C730" s="19">
        <v>172900.38419839996</v>
      </c>
      <c r="D730" s="19">
        <v>0</v>
      </c>
      <c r="E730" s="19">
        <v>170088.78939494063</v>
      </c>
      <c r="F730" s="19">
        <v>172900.38419839996</v>
      </c>
      <c r="G730" s="19">
        <v>170088.78939494066</v>
      </c>
    </row>
    <row r="731" spans="1:7" ht="11.25" customHeight="1" x14ac:dyDescent="0.2">
      <c r="A731" s="29">
        <v>44409</v>
      </c>
      <c r="B731" s="19">
        <v>0</v>
      </c>
      <c r="C731" s="19">
        <v>15493.485241600016</v>
      </c>
      <c r="D731" s="19">
        <v>0</v>
      </c>
      <c r="E731" s="19">
        <v>15241.540153133525</v>
      </c>
      <c r="F731" s="19">
        <v>15493.485241600016</v>
      </c>
      <c r="G731" s="19">
        <v>15241.540153133525</v>
      </c>
    </row>
    <row r="732" spans="1:7" ht="11.25" customHeight="1" x14ac:dyDescent="0.2">
      <c r="A732" s="29">
        <v>44440</v>
      </c>
      <c r="B732" s="19">
        <v>0</v>
      </c>
      <c r="C732" s="19">
        <v>16065.4318492</v>
      </c>
      <c r="D732" s="19">
        <v>0</v>
      </c>
      <c r="E732" s="19">
        <v>15804.186132992052</v>
      </c>
      <c r="F732" s="19">
        <v>16065.4318492</v>
      </c>
      <c r="G732" s="19">
        <v>15804.186132992052</v>
      </c>
    </row>
    <row r="733" spans="1:7" ht="11.25" customHeight="1" x14ac:dyDescent="0.2">
      <c r="A733" s="29">
        <v>44470</v>
      </c>
      <c r="B733" s="19">
        <v>0</v>
      </c>
      <c r="C733" s="19">
        <v>14841.648609999984</v>
      </c>
      <c r="D733" s="19">
        <v>0</v>
      </c>
      <c r="E733" s="19">
        <v>14600.303269443873</v>
      </c>
      <c r="F733" s="19">
        <v>14841.648609999984</v>
      </c>
      <c r="G733" s="19">
        <v>14600.303269443873</v>
      </c>
    </row>
    <row r="734" spans="1:7" ht="11.25" customHeight="1" x14ac:dyDescent="0.2">
      <c r="A734" s="29">
        <v>44501</v>
      </c>
      <c r="B734" s="19">
        <v>0</v>
      </c>
      <c r="C734" s="19">
        <v>13222.373105200037</v>
      </c>
      <c r="D734" s="19">
        <v>0</v>
      </c>
      <c r="E734" s="19">
        <v>13007.359381058617</v>
      </c>
      <c r="F734" s="19">
        <v>13222.373105200037</v>
      </c>
      <c r="G734" s="19">
        <v>13007.359381058617</v>
      </c>
    </row>
    <row r="735" spans="1:7" ht="11.25" customHeight="1" x14ac:dyDescent="0.2">
      <c r="A735" s="29">
        <v>44531</v>
      </c>
      <c r="B735" s="19">
        <v>0</v>
      </c>
      <c r="C735" s="19">
        <v>14727.29837840001</v>
      </c>
      <c r="D735" s="19">
        <v>0</v>
      </c>
      <c r="E735" s="19">
        <v>14487.812527737062</v>
      </c>
      <c r="F735" s="19">
        <v>14727.29837840001</v>
      </c>
      <c r="G735" s="19">
        <v>14487.812527737062</v>
      </c>
    </row>
    <row r="736" spans="1:7" ht="11.25" customHeight="1" x14ac:dyDescent="0.2">
      <c r="A736" s="29">
        <v>44562</v>
      </c>
      <c r="B736" s="19">
        <v>0</v>
      </c>
      <c r="C736" s="19">
        <v>15685.050280799995</v>
      </c>
      <c r="D736" s="19">
        <v>0</v>
      </c>
      <c r="E736" s="19">
        <v>15429.990084919276</v>
      </c>
      <c r="F736" s="19">
        <v>15685.050280799995</v>
      </c>
      <c r="G736" s="19">
        <v>15429.990084919276</v>
      </c>
    </row>
    <row r="737" spans="1:7" ht="11.25" customHeight="1" x14ac:dyDescent="0.2">
      <c r="A737" s="29">
        <v>44593</v>
      </c>
      <c r="B737" s="19">
        <v>0</v>
      </c>
      <c r="C737" s="19">
        <v>13282.669306799986</v>
      </c>
      <c r="D737" s="19">
        <v>0</v>
      </c>
      <c r="E737" s="19">
        <v>13066.675084622817</v>
      </c>
      <c r="F737" s="19">
        <v>13282.669306799986</v>
      </c>
      <c r="G737" s="19">
        <v>13066.675084622817</v>
      </c>
    </row>
    <row r="738" spans="1:7" ht="11.25" customHeight="1" x14ac:dyDescent="0.2">
      <c r="A738" s="29">
        <v>44621</v>
      </c>
      <c r="B738" s="19">
        <v>0</v>
      </c>
      <c r="C738" s="19">
        <v>12812.686312399952</v>
      </c>
      <c r="D738" s="19">
        <v>0</v>
      </c>
      <c r="E738" s="19">
        <v>12604.334651289926</v>
      </c>
      <c r="F738" s="19">
        <v>12812.686312399952</v>
      </c>
      <c r="G738" s="19">
        <v>12604.334651289926</v>
      </c>
    </row>
    <row r="739" spans="1:7" ht="11.25" customHeight="1" x14ac:dyDescent="0.2">
      <c r="A739" s="29">
        <v>44652</v>
      </c>
      <c r="B739" s="19">
        <v>0</v>
      </c>
      <c r="C739" s="19">
        <v>12491.843578399999</v>
      </c>
      <c r="D739" s="19">
        <v>0</v>
      </c>
      <c r="E739" s="19">
        <v>12288.709255399568</v>
      </c>
      <c r="F739" s="19">
        <v>12491.843578399999</v>
      </c>
      <c r="G739" s="19">
        <v>12288.709255399568</v>
      </c>
    </row>
    <row r="740" spans="1:7" ht="11.25" customHeight="1" x14ac:dyDescent="0.2">
      <c r="A740" s="29">
        <v>44682</v>
      </c>
      <c r="B740" s="19">
        <v>0</v>
      </c>
      <c r="C740" s="19">
        <v>14979.978064400018</v>
      </c>
      <c r="D740" s="19">
        <v>0</v>
      </c>
      <c r="E740" s="19">
        <v>14736.383299257839</v>
      </c>
      <c r="F740" s="19">
        <v>14979.978064400018</v>
      </c>
      <c r="G740" s="19">
        <v>14736.383299257839</v>
      </c>
    </row>
    <row r="741" spans="1:7" ht="11.25" customHeight="1" x14ac:dyDescent="0.2">
      <c r="A741" s="29">
        <v>44713</v>
      </c>
      <c r="B741" s="19">
        <v>0</v>
      </c>
      <c r="C741" s="19">
        <v>14648.959735599981</v>
      </c>
      <c r="D741" s="19">
        <v>0</v>
      </c>
      <c r="E741" s="19">
        <v>14410.747777543043</v>
      </c>
      <c r="F741" s="19">
        <v>14648.959735599981</v>
      </c>
      <c r="G741" s="19">
        <v>14410.747777543043</v>
      </c>
    </row>
    <row r="742" spans="1:7" ht="11.25" customHeight="1" x14ac:dyDescent="0.2">
      <c r="A742" s="29">
        <v>44743</v>
      </c>
      <c r="B742" s="19">
        <v>0</v>
      </c>
      <c r="C742" s="19">
        <v>14648.959735599981</v>
      </c>
      <c r="D742" s="19">
        <v>0</v>
      </c>
      <c r="E742" s="19">
        <v>14410.747777543043</v>
      </c>
      <c r="F742" s="19">
        <v>14648.959735599981</v>
      </c>
      <c r="G742" s="19">
        <v>14410.747777543043</v>
      </c>
    </row>
    <row r="743" spans="1:7" ht="11.25" customHeight="1" x14ac:dyDescent="0.2">
      <c r="A743" s="28" t="s">
        <v>25</v>
      </c>
      <c r="B743" s="19">
        <v>66483.432000000001</v>
      </c>
      <c r="C743" s="19">
        <v>0</v>
      </c>
      <c r="D743" s="19">
        <v>73257.9397694949</v>
      </c>
      <c r="E743" s="19">
        <v>0</v>
      </c>
      <c r="F743" s="19">
        <v>66483.431999999986</v>
      </c>
      <c r="G743" s="19">
        <v>73257.939769494886</v>
      </c>
    </row>
    <row r="744" spans="1:7" ht="11.25" customHeight="1" x14ac:dyDescent="0.2">
      <c r="A744" s="29">
        <v>44409</v>
      </c>
      <c r="B744" s="19">
        <v>6267.628799999995</v>
      </c>
      <c r="C744" s="19">
        <v>0</v>
      </c>
      <c r="D744" s="19">
        <v>6906.2856611847483</v>
      </c>
      <c r="E744" s="19">
        <v>0</v>
      </c>
      <c r="F744" s="19">
        <v>6267.628799999995</v>
      </c>
      <c r="G744" s="19">
        <v>6906.2856611847483</v>
      </c>
    </row>
    <row r="745" spans="1:7" ht="11.25" customHeight="1" x14ac:dyDescent="0.2">
      <c r="A745" s="29">
        <v>44440</v>
      </c>
      <c r="B745" s="19">
        <v>5390.8320000000094</v>
      </c>
      <c r="C745" s="19">
        <v>0</v>
      </c>
      <c r="D745" s="19">
        <v>5940.1452976053706</v>
      </c>
      <c r="E745" s="19">
        <v>0</v>
      </c>
      <c r="F745" s="19">
        <v>5390.8320000000094</v>
      </c>
      <c r="G745" s="19">
        <v>5940.1452976053706</v>
      </c>
    </row>
    <row r="746" spans="1:7" ht="11.25" customHeight="1" x14ac:dyDescent="0.2">
      <c r="A746" s="29">
        <v>44470</v>
      </c>
      <c r="B746" s="19">
        <v>6757.4183999999905</v>
      </c>
      <c r="C746" s="19">
        <v>0</v>
      </c>
      <c r="D746" s="19">
        <v>7445.9836872512215</v>
      </c>
      <c r="E746" s="19">
        <v>0</v>
      </c>
      <c r="F746" s="19">
        <v>6757.4183999999905</v>
      </c>
      <c r="G746" s="19">
        <v>7445.9836872512215</v>
      </c>
    </row>
    <row r="747" spans="1:7" ht="11.25" customHeight="1" x14ac:dyDescent="0.2">
      <c r="A747" s="29">
        <v>44501</v>
      </c>
      <c r="B747" s="19">
        <v>7963.5384000000013</v>
      </c>
      <c r="C747" s="19">
        <v>0</v>
      </c>
      <c r="D747" s="19">
        <v>8775.0045223185825</v>
      </c>
      <c r="E747" s="19">
        <v>0</v>
      </c>
      <c r="F747" s="19">
        <v>7963.5384000000013</v>
      </c>
      <c r="G747" s="19">
        <v>8775.0045223185825</v>
      </c>
    </row>
    <row r="748" spans="1:7" ht="11.25" customHeight="1" x14ac:dyDescent="0.2">
      <c r="A748" s="29">
        <v>44531</v>
      </c>
      <c r="B748" s="19">
        <v>6062.0640000000003</v>
      </c>
      <c r="C748" s="19">
        <v>0</v>
      </c>
      <c r="D748" s="19">
        <v>6679.7742840776236</v>
      </c>
      <c r="E748" s="19">
        <v>0</v>
      </c>
      <c r="F748" s="19">
        <v>6062.0640000000003</v>
      </c>
      <c r="G748" s="19">
        <v>6679.7742840776236</v>
      </c>
    </row>
    <row r="749" spans="1:7" ht="11.25" customHeight="1" x14ac:dyDescent="0.2">
      <c r="A749" s="29">
        <v>44562</v>
      </c>
      <c r="B749" s="19">
        <v>4392.3743999999988</v>
      </c>
      <c r="C749" s="19">
        <v>0</v>
      </c>
      <c r="D749" s="19">
        <v>4839.9471802278676</v>
      </c>
      <c r="E749" s="19">
        <v>0</v>
      </c>
      <c r="F749" s="19">
        <v>4392.3743999999988</v>
      </c>
      <c r="G749" s="19">
        <v>4839.9471802278676</v>
      </c>
    </row>
    <row r="750" spans="1:7" ht="11.25" customHeight="1" x14ac:dyDescent="0.2">
      <c r="A750" s="29">
        <v>44593</v>
      </c>
      <c r="B750" s="19">
        <v>4879.0176000000019</v>
      </c>
      <c r="C750" s="19">
        <v>0</v>
      </c>
      <c r="D750" s="19">
        <v>5376.1781954202625</v>
      </c>
      <c r="E750" s="19">
        <v>0</v>
      </c>
      <c r="F750" s="19">
        <v>4879.0176000000019</v>
      </c>
      <c r="G750" s="19">
        <v>5376.1781954202625</v>
      </c>
    </row>
    <row r="751" spans="1:7" ht="11.25" customHeight="1" x14ac:dyDescent="0.2">
      <c r="A751" s="29">
        <v>44621</v>
      </c>
      <c r="B751" s="19">
        <v>4732.1855999999952</v>
      </c>
      <c r="C751" s="19">
        <v>0</v>
      </c>
      <c r="D751" s="19">
        <v>5214.3843546294484</v>
      </c>
      <c r="E751" s="19">
        <v>0</v>
      </c>
      <c r="F751" s="19">
        <v>4732.1855999999952</v>
      </c>
      <c r="G751" s="19">
        <v>5214.3843546294484</v>
      </c>
    </row>
    <row r="752" spans="1:7" ht="11.25" customHeight="1" x14ac:dyDescent="0.2">
      <c r="A752" s="29">
        <v>44652</v>
      </c>
      <c r="B752" s="19">
        <v>4610.5247999999929</v>
      </c>
      <c r="C752" s="19">
        <v>0</v>
      </c>
      <c r="D752" s="19">
        <v>5080.3266008313476</v>
      </c>
      <c r="E752" s="19">
        <v>0</v>
      </c>
      <c r="F752" s="19">
        <v>4610.5247999999929</v>
      </c>
      <c r="G752" s="19">
        <v>5080.3266008313476</v>
      </c>
    </row>
    <row r="753" spans="1:7" ht="11.25" customHeight="1" x14ac:dyDescent="0.2">
      <c r="A753" s="29">
        <v>44682</v>
      </c>
      <c r="B753" s="19">
        <v>5046.825600000001</v>
      </c>
      <c r="C753" s="19">
        <v>0</v>
      </c>
      <c r="D753" s="19">
        <v>5561.0854420383275</v>
      </c>
      <c r="E753" s="19">
        <v>0</v>
      </c>
      <c r="F753" s="19">
        <v>5046.825600000001</v>
      </c>
      <c r="G753" s="19">
        <v>5561.0854420383275</v>
      </c>
    </row>
    <row r="754" spans="1:7" ht="11.25" customHeight="1" x14ac:dyDescent="0.2">
      <c r="A754" s="29">
        <v>44713</v>
      </c>
      <c r="B754" s="19">
        <v>5190.5112000000045</v>
      </c>
      <c r="C754" s="19">
        <v>0</v>
      </c>
      <c r="D754" s="19">
        <v>5719.4122719550496</v>
      </c>
      <c r="E754" s="19">
        <v>0</v>
      </c>
      <c r="F754" s="19">
        <v>5190.5112000000045</v>
      </c>
      <c r="G754" s="19">
        <v>5719.4122719550496</v>
      </c>
    </row>
    <row r="755" spans="1:7" ht="11.25" customHeight="1" x14ac:dyDescent="0.2">
      <c r="A755" s="29">
        <v>44743</v>
      </c>
      <c r="B755" s="19">
        <v>5190.5112000000045</v>
      </c>
      <c r="C755" s="19">
        <v>0</v>
      </c>
      <c r="D755" s="19">
        <v>5719.4122719550496</v>
      </c>
      <c r="E755" s="19">
        <v>0</v>
      </c>
      <c r="F755" s="19">
        <v>5190.5112000000045</v>
      </c>
      <c r="G755" s="19">
        <v>5719.4122719550496</v>
      </c>
    </row>
    <row r="756" spans="1:7" ht="11.25" customHeight="1" x14ac:dyDescent="0.2">
      <c r="A756" s="28" t="s">
        <v>34</v>
      </c>
      <c r="B756" s="19">
        <v>0</v>
      </c>
      <c r="C756" s="19">
        <v>38756.091435599985</v>
      </c>
      <c r="D756" s="19">
        <v>0</v>
      </c>
      <c r="E756" s="19">
        <v>40885.575119946101</v>
      </c>
      <c r="F756" s="19">
        <v>38756.091435599985</v>
      </c>
      <c r="G756" s="19">
        <v>40885.575119946116</v>
      </c>
    </row>
    <row r="757" spans="1:7" ht="11.25" customHeight="1" x14ac:dyDescent="0.2">
      <c r="A757" s="29">
        <v>44409</v>
      </c>
      <c r="B757" s="19">
        <v>0</v>
      </c>
      <c r="C757" s="19">
        <v>4657.8301979999915</v>
      </c>
      <c r="D757" s="19">
        <v>0</v>
      </c>
      <c r="E757" s="19">
        <v>4913.7583126185009</v>
      </c>
      <c r="F757" s="19">
        <v>4657.8301979999915</v>
      </c>
      <c r="G757" s="19">
        <v>4913.7583126185009</v>
      </c>
    </row>
    <row r="758" spans="1:7" ht="11.25" customHeight="1" x14ac:dyDescent="0.2">
      <c r="A758" s="29">
        <v>44440</v>
      </c>
      <c r="B758" s="19">
        <v>0</v>
      </c>
      <c r="C758" s="19">
        <v>5345.3603531999961</v>
      </c>
      <c r="D758" s="19">
        <v>0</v>
      </c>
      <c r="E758" s="19">
        <v>5639.0653486587016</v>
      </c>
      <c r="F758" s="19">
        <v>5345.3603531999961</v>
      </c>
      <c r="G758" s="19">
        <v>5639.0653486587016</v>
      </c>
    </row>
    <row r="759" spans="1:7" ht="11.25" customHeight="1" x14ac:dyDescent="0.2">
      <c r="A759" s="29">
        <v>44470</v>
      </c>
      <c r="B759" s="19">
        <v>0</v>
      </c>
      <c r="C759" s="19">
        <v>2923.2471827999962</v>
      </c>
      <c r="D759" s="19">
        <v>0</v>
      </c>
      <c r="E759" s="19">
        <v>3083.8672801962289</v>
      </c>
      <c r="F759" s="19">
        <v>2923.2471827999962</v>
      </c>
      <c r="G759" s="19">
        <v>3083.8672801962289</v>
      </c>
    </row>
    <row r="760" spans="1:7" ht="11.25" customHeight="1" x14ac:dyDescent="0.2">
      <c r="A760" s="29">
        <v>44501</v>
      </c>
      <c r="B760" s="19">
        <v>0</v>
      </c>
      <c r="C760" s="19">
        <v>2411.4007484000044</v>
      </c>
      <c r="D760" s="19">
        <v>0</v>
      </c>
      <c r="E760" s="19">
        <v>2543.8970440770499</v>
      </c>
      <c r="F760" s="19">
        <v>2411.4007484000044</v>
      </c>
      <c r="G760" s="19">
        <v>2543.8970440770499</v>
      </c>
    </row>
    <row r="761" spans="1:7" ht="11.25" customHeight="1" x14ac:dyDescent="0.2">
      <c r="A761" s="29">
        <v>44531</v>
      </c>
      <c r="B761" s="19">
        <v>0</v>
      </c>
      <c r="C761" s="19">
        <v>3935.0527187999996</v>
      </c>
      <c r="D761" s="19">
        <v>0</v>
      </c>
      <c r="E761" s="19">
        <v>4151.2672608585226</v>
      </c>
      <c r="F761" s="19">
        <v>3935.0527187999996</v>
      </c>
      <c r="G761" s="19">
        <v>4151.2672608585226</v>
      </c>
    </row>
    <row r="762" spans="1:7" ht="11.25" customHeight="1" x14ac:dyDescent="0.2">
      <c r="A762" s="29">
        <v>44562</v>
      </c>
      <c r="B762" s="19">
        <v>0</v>
      </c>
      <c r="C762" s="19">
        <v>3399.9845180000007</v>
      </c>
      <c r="D762" s="19">
        <v>0</v>
      </c>
      <c r="E762" s="19">
        <v>3586.7993202651191</v>
      </c>
      <c r="F762" s="19">
        <v>3399.9845180000007</v>
      </c>
      <c r="G762" s="19">
        <v>3586.7993202651191</v>
      </c>
    </row>
    <row r="763" spans="1:7" ht="11.25" customHeight="1" x14ac:dyDescent="0.2">
      <c r="A763" s="29">
        <v>44593</v>
      </c>
      <c r="B763" s="19">
        <v>0</v>
      </c>
      <c r="C763" s="19">
        <v>2628.6901340000031</v>
      </c>
      <c r="D763" s="19">
        <v>0</v>
      </c>
      <c r="E763" s="19">
        <v>2773.1255645143597</v>
      </c>
      <c r="F763" s="19">
        <v>2628.6901340000031</v>
      </c>
      <c r="G763" s="19">
        <v>2773.1255645143597</v>
      </c>
    </row>
    <row r="764" spans="1:7" ht="11.25" customHeight="1" x14ac:dyDescent="0.2">
      <c r="A764" s="29">
        <v>44621</v>
      </c>
      <c r="B764" s="19">
        <v>0</v>
      </c>
      <c r="C764" s="19">
        <v>2039.0231371999967</v>
      </c>
      <c r="D764" s="19">
        <v>0</v>
      </c>
      <c r="E764" s="19">
        <v>2151.0588544726415</v>
      </c>
      <c r="F764" s="19">
        <v>2039.0231371999967</v>
      </c>
      <c r="G764" s="19">
        <v>2151.0588544726415</v>
      </c>
    </row>
    <row r="765" spans="1:7" ht="11.25" customHeight="1" x14ac:dyDescent="0.2">
      <c r="A765" s="29">
        <v>44652</v>
      </c>
      <c r="B765" s="19">
        <v>0</v>
      </c>
      <c r="C765" s="19">
        <v>2786.1972935999947</v>
      </c>
      <c r="D765" s="19">
        <v>0</v>
      </c>
      <c r="E765" s="19">
        <v>2939.2870778975034</v>
      </c>
      <c r="F765" s="19">
        <v>2786.1972935999947</v>
      </c>
      <c r="G765" s="19">
        <v>2939.2870778975034</v>
      </c>
    </row>
    <row r="766" spans="1:7" ht="11.25" customHeight="1" x14ac:dyDescent="0.2">
      <c r="A766" s="29">
        <v>44682</v>
      </c>
      <c r="B766" s="19">
        <v>0</v>
      </c>
      <c r="C766" s="19">
        <v>3238.6761763999966</v>
      </c>
      <c r="D766" s="19">
        <v>0</v>
      </c>
      <c r="E766" s="19">
        <v>3416.627765971004</v>
      </c>
      <c r="F766" s="19">
        <v>3238.6761763999966</v>
      </c>
      <c r="G766" s="19">
        <v>3416.627765971004</v>
      </c>
    </row>
    <row r="767" spans="1:7" ht="11.25" customHeight="1" x14ac:dyDescent="0.2">
      <c r="A767" s="29">
        <v>44713</v>
      </c>
      <c r="B767" s="19">
        <v>0</v>
      </c>
      <c r="C767" s="19">
        <v>2695.3144875999978</v>
      </c>
      <c r="D767" s="19">
        <v>0</v>
      </c>
      <c r="E767" s="19">
        <v>2843.4106452082365</v>
      </c>
      <c r="F767" s="19">
        <v>2695.3144875999978</v>
      </c>
      <c r="G767" s="19">
        <v>2843.4106452082365</v>
      </c>
    </row>
    <row r="768" spans="1:7" ht="11.25" customHeight="1" x14ac:dyDescent="0.2">
      <c r="A768" s="29">
        <v>44743</v>
      </c>
      <c r="B768" s="19">
        <v>0</v>
      </c>
      <c r="C768" s="19">
        <v>2695.3144875999978</v>
      </c>
      <c r="D768" s="19">
        <v>0</v>
      </c>
      <c r="E768" s="19">
        <v>2843.4106452082365</v>
      </c>
      <c r="F768" s="19">
        <v>2695.3144875999978</v>
      </c>
      <c r="G768" s="19">
        <v>2843.4106452082365</v>
      </c>
    </row>
    <row r="769" spans="1:7" ht="11.25" customHeight="1" x14ac:dyDescent="0.2">
      <c r="A769" s="22" t="s">
        <v>44</v>
      </c>
      <c r="B769" s="19">
        <v>0</v>
      </c>
      <c r="C769" s="19">
        <v>14525800.52759425</v>
      </c>
      <c r="D769" s="19">
        <v>0</v>
      </c>
      <c r="E769" s="19">
        <v>7496510.9726080457</v>
      </c>
      <c r="F769" s="19">
        <v>14525800.527594248</v>
      </c>
      <c r="G769" s="19">
        <v>7496510.9726080438</v>
      </c>
    </row>
    <row r="770" spans="1:7" ht="11.25" customHeight="1" x14ac:dyDescent="0.2">
      <c r="A770" s="23" t="s">
        <v>33</v>
      </c>
      <c r="B770" s="19">
        <v>0</v>
      </c>
      <c r="C770" s="19">
        <v>3470.7100742553193</v>
      </c>
      <c r="D770" s="19">
        <v>0</v>
      </c>
      <c r="E770" s="19">
        <v>3813.0005858165887</v>
      </c>
      <c r="F770" s="19">
        <v>3470.7100742553193</v>
      </c>
      <c r="G770" s="19">
        <v>3813.0005858165887</v>
      </c>
    </row>
    <row r="771" spans="1:7" ht="11.25" customHeight="1" x14ac:dyDescent="0.2">
      <c r="A771" s="24" t="s">
        <v>45</v>
      </c>
      <c r="B771" s="19">
        <v>0</v>
      </c>
      <c r="C771" s="19">
        <v>3470.7100742553193</v>
      </c>
      <c r="D771" s="19">
        <v>0</v>
      </c>
      <c r="E771" s="19">
        <v>3813.0005858165887</v>
      </c>
      <c r="F771" s="19">
        <v>3470.7100742553193</v>
      </c>
      <c r="G771" s="19">
        <v>3813.0005858165887</v>
      </c>
    </row>
    <row r="772" spans="1:7" ht="11.25" customHeight="1" x14ac:dyDescent="0.2">
      <c r="A772" s="25" t="s">
        <v>53</v>
      </c>
      <c r="B772" s="19">
        <v>0</v>
      </c>
      <c r="C772" s="19">
        <v>426.22757042553189</v>
      </c>
      <c r="D772" s="19">
        <v>0</v>
      </c>
      <c r="E772" s="19">
        <v>467.83874756711447</v>
      </c>
      <c r="F772" s="19">
        <v>426.22757042553189</v>
      </c>
      <c r="G772" s="19">
        <v>467.83874756711447</v>
      </c>
    </row>
    <row r="773" spans="1:7" ht="11.25" customHeight="1" x14ac:dyDescent="0.2">
      <c r="A773" s="26" t="s">
        <v>54</v>
      </c>
      <c r="B773" s="19">
        <v>0</v>
      </c>
      <c r="C773" s="19">
        <v>426.22757042553189</v>
      </c>
      <c r="D773" s="19">
        <v>0</v>
      </c>
      <c r="E773" s="19">
        <v>467.83874756711447</v>
      </c>
      <c r="F773" s="19">
        <v>426.22757042553189</v>
      </c>
      <c r="G773" s="19">
        <v>467.83874756711447</v>
      </c>
    </row>
    <row r="774" spans="1:7" ht="11.25" customHeight="1" x14ac:dyDescent="0.2">
      <c r="A774" s="27" t="s">
        <v>25</v>
      </c>
      <c r="B774" s="19">
        <v>0</v>
      </c>
      <c r="C774" s="19">
        <v>426.22757042553189</v>
      </c>
      <c r="D774" s="19">
        <v>0</v>
      </c>
      <c r="E774" s="19">
        <v>467.83874756711447</v>
      </c>
      <c r="F774" s="19">
        <v>426.22757042553189</v>
      </c>
      <c r="G774" s="19">
        <v>467.83874756711447</v>
      </c>
    </row>
    <row r="775" spans="1:7" ht="11.25" customHeight="1" x14ac:dyDescent="0.2">
      <c r="A775" s="28" t="s">
        <v>35</v>
      </c>
      <c r="B775" s="19">
        <v>0</v>
      </c>
      <c r="C775" s="19">
        <v>389.40465638297871</v>
      </c>
      <c r="D775" s="19">
        <v>0</v>
      </c>
      <c r="E775" s="19">
        <v>426.52624010932436</v>
      </c>
      <c r="F775" s="19">
        <v>389.40465638297871</v>
      </c>
      <c r="G775" s="19">
        <v>426.52624010932436</v>
      </c>
    </row>
    <row r="776" spans="1:7" ht="11.25" customHeight="1" x14ac:dyDescent="0.2">
      <c r="A776" s="29">
        <v>44440</v>
      </c>
      <c r="B776" s="19">
        <v>0</v>
      </c>
      <c r="C776" s="19">
        <v>204.9498191489362</v>
      </c>
      <c r="D776" s="19">
        <v>0</v>
      </c>
      <c r="E776" s="19">
        <v>224.48749479438123</v>
      </c>
      <c r="F776" s="19">
        <v>204.9498191489362</v>
      </c>
      <c r="G776" s="19">
        <v>224.48749479438123</v>
      </c>
    </row>
    <row r="777" spans="1:7" ht="11.25" customHeight="1" x14ac:dyDescent="0.2">
      <c r="A777" s="29">
        <v>44501</v>
      </c>
      <c r="B777" s="19">
        <v>0</v>
      </c>
      <c r="C777" s="19">
        <v>184.45483723404254</v>
      </c>
      <c r="D777" s="19">
        <v>0</v>
      </c>
      <c r="E777" s="19">
        <v>202.03874531494313</v>
      </c>
      <c r="F777" s="19">
        <v>184.45483723404254</v>
      </c>
      <c r="G777" s="19">
        <v>202.03874531494313</v>
      </c>
    </row>
    <row r="778" spans="1:7" ht="11.25" customHeight="1" x14ac:dyDescent="0.2">
      <c r="A778" s="28" t="s">
        <v>36</v>
      </c>
      <c r="B778" s="19">
        <v>0</v>
      </c>
      <c r="C778" s="19">
        <v>22.590862978723408</v>
      </c>
      <c r="D778" s="19">
        <v>0</v>
      </c>
      <c r="E778" s="19">
        <v>25.491290997288832</v>
      </c>
      <c r="F778" s="19">
        <v>22.590862978723408</v>
      </c>
      <c r="G778" s="19">
        <v>25.491290997288832</v>
      </c>
    </row>
    <row r="779" spans="1:7" ht="11.25" customHeight="1" x14ac:dyDescent="0.2">
      <c r="A779" s="29">
        <v>44440</v>
      </c>
      <c r="B779" s="19">
        <v>0</v>
      </c>
      <c r="C779" s="19">
        <v>11.88496340425532</v>
      </c>
      <c r="D779" s="19">
        <v>0</v>
      </c>
      <c r="E779" s="19">
        <v>13.41086707999329</v>
      </c>
      <c r="F779" s="19">
        <v>11.88496340425532</v>
      </c>
      <c r="G779" s="19">
        <v>13.41086707999329</v>
      </c>
    </row>
    <row r="780" spans="1:7" ht="11.25" customHeight="1" x14ac:dyDescent="0.2">
      <c r="A780" s="29">
        <v>44501</v>
      </c>
      <c r="B780" s="19">
        <v>0</v>
      </c>
      <c r="C780" s="19">
        <v>10.705899574468086</v>
      </c>
      <c r="D780" s="19">
        <v>0</v>
      </c>
      <c r="E780" s="19">
        <v>12.080423917295542</v>
      </c>
      <c r="F780" s="19">
        <v>10.705899574468086</v>
      </c>
      <c r="G780" s="19">
        <v>12.080423917295542</v>
      </c>
    </row>
    <row r="781" spans="1:7" ht="11.25" customHeight="1" x14ac:dyDescent="0.2">
      <c r="A781" s="28" t="s">
        <v>34</v>
      </c>
      <c r="B781" s="19">
        <v>0</v>
      </c>
      <c r="C781" s="19">
        <v>14.232051063829788</v>
      </c>
      <c r="D781" s="19">
        <v>0</v>
      </c>
      <c r="E781" s="19">
        <v>15.821216460501223</v>
      </c>
      <c r="F781" s="19">
        <v>14.232051063829788</v>
      </c>
      <c r="G781" s="19">
        <v>15.821216460501223</v>
      </c>
    </row>
    <row r="782" spans="1:7" ht="11.25" customHeight="1" x14ac:dyDescent="0.2">
      <c r="A782" s="29">
        <v>44440</v>
      </c>
      <c r="B782" s="19">
        <v>0</v>
      </c>
      <c r="C782" s="19">
        <v>7.4905531914893624</v>
      </c>
      <c r="D782" s="19">
        <v>0</v>
      </c>
      <c r="E782" s="19">
        <v>8.3269560318427498</v>
      </c>
      <c r="F782" s="19">
        <v>7.4905531914893624</v>
      </c>
      <c r="G782" s="19">
        <v>8.3269560318427498</v>
      </c>
    </row>
    <row r="783" spans="1:7" ht="11.25" customHeight="1" x14ac:dyDescent="0.2">
      <c r="A783" s="29">
        <v>44501</v>
      </c>
      <c r="B783" s="19">
        <v>0</v>
      </c>
      <c r="C783" s="19">
        <v>6.7414978723404255</v>
      </c>
      <c r="D783" s="19">
        <v>0</v>
      </c>
      <c r="E783" s="19">
        <v>7.4942604286584729</v>
      </c>
      <c r="F783" s="19">
        <v>6.7414978723404255</v>
      </c>
      <c r="G783" s="19">
        <v>7.4942604286584729</v>
      </c>
    </row>
    <row r="784" spans="1:7" ht="11.25" customHeight="1" x14ac:dyDescent="0.2">
      <c r="A784" s="25" t="s">
        <v>25</v>
      </c>
      <c r="B784" s="19">
        <v>0</v>
      </c>
      <c r="C784" s="19">
        <v>3044.4825038297872</v>
      </c>
      <c r="D784" s="19">
        <v>0</v>
      </c>
      <c r="E784" s="19">
        <v>3345.1618382494744</v>
      </c>
      <c r="F784" s="19">
        <v>3044.4825038297872</v>
      </c>
      <c r="G784" s="19">
        <v>3345.1618382494744</v>
      </c>
    </row>
    <row r="785" spans="1:7" ht="11.25" customHeight="1" x14ac:dyDescent="0.2">
      <c r="A785" s="26" t="s">
        <v>25</v>
      </c>
      <c r="B785" s="19">
        <v>0</v>
      </c>
      <c r="C785" s="19">
        <v>3044.4825038297872</v>
      </c>
      <c r="D785" s="19">
        <v>0</v>
      </c>
      <c r="E785" s="19">
        <v>3345.1618382494744</v>
      </c>
      <c r="F785" s="19">
        <v>3044.4825038297872</v>
      </c>
      <c r="G785" s="19">
        <v>3345.1618382494744</v>
      </c>
    </row>
    <row r="786" spans="1:7" ht="11.25" customHeight="1" x14ac:dyDescent="0.2">
      <c r="A786" s="27" t="s">
        <v>25</v>
      </c>
      <c r="B786" s="19">
        <v>0</v>
      </c>
      <c r="C786" s="19">
        <v>3044.4825038297872</v>
      </c>
      <c r="D786" s="19">
        <v>0</v>
      </c>
      <c r="E786" s="19">
        <v>3345.1618382494744</v>
      </c>
      <c r="F786" s="19">
        <v>3044.4825038297872</v>
      </c>
      <c r="G786" s="19">
        <v>3345.1618382494744</v>
      </c>
    </row>
    <row r="787" spans="1:7" ht="11.25" customHeight="1" x14ac:dyDescent="0.2">
      <c r="A787" s="28" t="s">
        <v>35</v>
      </c>
      <c r="B787" s="19">
        <v>0</v>
      </c>
      <c r="C787" s="19">
        <v>2586.0225191489367</v>
      </c>
      <c r="D787" s="19">
        <v>0</v>
      </c>
      <c r="E787" s="19">
        <v>2832.5456407635629</v>
      </c>
      <c r="F787" s="19">
        <v>2586.0225191489367</v>
      </c>
      <c r="G787" s="19">
        <v>2832.5456407635629</v>
      </c>
    </row>
    <row r="788" spans="1:7" ht="11.25" customHeight="1" x14ac:dyDescent="0.2">
      <c r="A788" s="29">
        <v>44409</v>
      </c>
      <c r="B788" s="19">
        <v>0</v>
      </c>
      <c r="C788" s="19">
        <v>363.96164042553187</v>
      </c>
      <c r="D788" s="19">
        <v>0</v>
      </c>
      <c r="E788" s="19">
        <v>398.65776510398626</v>
      </c>
      <c r="F788" s="19">
        <v>363.96164042553187</v>
      </c>
      <c r="G788" s="19">
        <v>398.65776510398626</v>
      </c>
    </row>
    <row r="789" spans="1:7" ht="11.25" customHeight="1" x14ac:dyDescent="0.2">
      <c r="A789" s="29">
        <v>44440</v>
      </c>
      <c r="B789" s="19">
        <v>0</v>
      </c>
      <c r="C789" s="19">
        <v>294.29557021276599</v>
      </c>
      <c r="D789" s="19">
        <v>0</v>
      </c>
      <c r="E789" s="19">
        <v>322.35049321091674</v>
      </c>
      <c r="F789" s="19">
        <v>294.29557021276599</v>
      </c>
      <c r="G789" s="19">
        <v>322.35049321091674</v>
      </c>
    </row>
    <row r="790" spans="1:7" ht="11.25" customHeight="1" x14ac:dyDescent="0.2">
      <c r="A790" s="29">
        <v>44470</v>
      </c>
      <c r="B790" s="19">
        <v>0</v>
      </c>
      <c r="C790" s="19">
        <v>412.93593191489367</v>
      </c>
      <c r="D790" s="19">
        <v>0</v>
      </c>
      <c r="E790" s="19">
        <v>452.30073025238306</v>
      </c>
      <c r="F790" s="19">
        <v>412.93593191489367</v>
      </c>
      <c r="G790" s="19">
        <v>452.30073025238306</v>
      </c>
    </row>
    <row r="791" spans="1:7" ht="11.25" customHeight="1" x14ac:dyDescent="0.2">
      <c r="A791" s="29">
        <v>44501</v>
      </c>
      <c r="B791" s="19">
        <v>0</v>
      </c>
      <c r="C791" s="19">
        <v>280.94150106382978</v>
      </c>
      <c r="D791" s="19">
        <v>0</v>
      </c>
      <c r="E791" s="19">
        <v>307.72339306999345</v>
      </c>
      <c r="F791" s="19">
        <v>280.94150106382978</v>
      </c>
      <c r="G791" s="19">
        <v>307.72339306999345</v>
      </c>
    </row>
    <row r="792" spans="1:7" ht="11.25" customHeight="1" x14ac:dyDescent="0.2">
      <c r="A792" s="29">
        <v>44531</v>
      </c>
      <c r="B792" s="19">
        <v>0</v>
      </c>
      <c r="C792" s="19">
        <v>353.70009255319144</v>
      </c>
      <c r="D792" s="19">
        <v>0</v>
      </c>
      <c r="E792" s="19">
        <v>387.41799341675039</v>
      </c>
      <c r="F792" s="19">
        <v>353.70009255319144</v>
      </c>
      <c r="G792" s="19">
        <v>387.41799341675039</v>
      </c>
    </row>
    <row r="793" spans="1:7" ht="11.25" customHeight="1" x14ac:dyDescent="0.2">
      <c r="A793" s="29">
        <v>44562</v>
      </c>
      <c r="B793" s="19">
        <v>0</v>
      </c>
      <c r="C793" s="19">
        <v>307.05924893617021</v>
      </c>
      <c r="D793" s="19">
        <v>0</v>
      </c>
      <c r="E793" s="19">
        <v>336.33092155613616</v>
      </c>
      <c r="F793" s="19">
        <v>307.05924893617021</v>
      </c>
      <c r="G793" s="19">
        <v>336.33092155613616</v>
      </c>
    </row>
    <row r="794" spans="1:7" ht="11.25" customHeight="1" x14ac:dyDescent="0.2">
      <c r="A794" s="29">
        <v>44593</v>
      </c>
      <c r="B794" s="19">
        <v>0</v>
      </c>
      <c r="C794" s="19">
        <v>179.64737234042551</v>
      </c>
      <c r="D794" s="19">
        <v>0</v>
      </c>
      <c r="E794" s="19">
        <v>196.77298926421074</v>
      </c>
      <c r="F794" s="19">
        <v>179.64737234042551</v>
      </c>
      <c r="G794" s="19">
        <v>196.77298926421074</v>
      </c>
    </row>
    <row r="795" spans="1:7" ht="11.25" customHeight="1" x14ac:dyDescent="0.2">
      <c r="A795" s="29">
        <v>44621</v>
      </c>
      <c r="B795" s="19">
        <v>0</v>
      </c>
      <c r="C795" s="19">
        <v>86.75927872340425</v>
      </c>
      <c r="D795" s="19">
        <v>0</v>
      </c>
      <c r="E795" s="19">
        <v>95.029960073451392</v>
      </c>
      <c r="F795" s="19">
        <v>86.75927872340425</v>
      </c>
      <c r="G795" s="19">
        <v>95.029960073451392</v>
      </c>
    </row>
    <row r="796" spans="1:7" ht="11.25" customHeight="1" x14ac:dyDescent="0.2">
      <c r="A796" s="29">
        <v>44652</v>
      </c>
      <c r="B796" s="19">
        <v>0</v>
      </c>
      <c r="C796" s="19">
        <v>71.887062765957452</v>
      </c>
      <c r="D796" s="19">
        <v>0</v>
      </c>
      <c r="E796" s="19">
        <v>78.739989600717834</v>
      </c>
      <c r="F796" s="19">
        <v>71.887062765957452</v>
      </c>
      <c r="G796" s="19">
        <v>78.739989600717834</v>
      </c>
    </row>
    <row r="797" spans="1:7" ht="11.25" customHeight="1" x14ac:dyDescent="0.2">
      <c r="A797" s="29">
        <v>44682</v>
      </c>
      <c r="B797" s="19">
        <v>0</v>
      </c>
      <c r="C797" s="19">
        <v>93.141118085106385</v>
      </c>
      <c r="D797" s="19">
        <v>0</v>
      </c>
      <c r="E797" s="19">
        <v>102.02017424606106</v>
      </c>
      <c r="F797" s="19">
        <v>93.141118085106385</v>
      </c>
      <c r="G797" s="19">
        <v>102.02017424606106</v>
      </c>
    </row>
    <row r="798" spans="1:7" ht="11.25" customHeight="1" x14ac:dyDescent="0.2">
      <c r="A798" s="29">
        <v>44713</v>
      </c>
      <c r="B798" s="19">
        <v>0</v>
      </c>
      <c r="C798" s="19">
        <v>70.846851063829789</v>
      </c>
      <c r="D798" s="19">
        <v>0</v>
      </c>
      <c r="E798" s="19">
        <v>77.600615484477458</v>
      </c>
      <c r="F798" s="19">
        <v>70.846851063829789</v>
      </c>
      <c r="G798" s="19">
        <v>77.600615484477458</v>
      </c>
    </row>
    <row r="799" spans="1:7" ht="11.25" customHeight="1" x14ac:dyDescent="0.2">
      <c r="A799" s="29">
        <v>44743</v>
      </c>
      <c r="B799" s="19">
        <v>0</v>
      </c>
      <c r="C799" s="19">
        <v>70.846851063829789</v>
      </c>
      <c r="D799" s="19">
        <v>0</v>
      </c>
      <c r="E799" s="19">
        <v>77.600615484477458</v>
      </c>
      <c r="F799" s="19">
        <v>70.846851063829789</v>
      </c>
      <c r="G799" s="19">
        <v>77.600615484477458</v>
      </c>
    </row>
    <row r="800" spans="1:7" ht="11.25" customHeight="1" x14ac:dyDescent="0.2">
      <c r="A800" s="28" t="s">
        <v>36</v>
      </c>
      <c r="B800" s="19">
        <v>0</v>
      </c>
      <c r="C800" s="19">
        <v>177.18971234042556</v>
      </c>
      <c r="D800" s="19">
        <v>0</v>
      </c>
      <c r="E800" s="19">
        <v>199.93899849021744</v>
      </c>
      <c r="F800" s="19">
        <v>177.18971234042556</v>
      </c>
      <c r="G800" s="19">
        <v>199.93899849021744</v>
      </c>
    </row>
    <row r="801" spans="1:7" ht="11.25" customHeight="1" x14ac:dyDescent="0.2">
      <c r="A801" s="29">
        <v>44409</v>
      </c>
      <c r="B801" s="19">
        <v>0</v>
      </c>
      <c r="C801" s="19">
        <v>20.279897872340424</v>
      </c>
      <c r="D801" s="19">
        <v>0</v>
      </c>
      <c r="E801" s="19">
        <v>22.883622398401243</v>
      </c>
      <c r="F801" s="19">
        <v>20.279897872340424</v>
      </c>
      <c r="G801" s="19">
        <v>22.883622398401243</v>
      </c>
    </row>
    <row r="802" spans="1:7" ht="11.25" customHeight="1" x14ac:dyDescent="0.2">
      <c r="A802" s="29">
        <v>44440</v>
      </c>
      <c r="B802" s="19">
        <v>0</v>
      </c>
      <c r="C802" s="19">
        <v>17.402982127659577</v>
      </c>
      <c r="D802" s="19">
        <v>0</v>
      </c>
      <c r="E802" s="19">
        <v>19.637341081418747</v>
      </c>
      <c r="F802" s="19">
        <v>17.402982127659577</v>
      </c>
      <c r="G802" s="19">
        <v>19.637341081418747</v>
      </c>
    </row>
    <row r="803" spans="1:7" ht="11.25" customHeight="1" x14ac:dyDescent="0.2">
      <c r="A803" s="29">
        <v>44470</v>
      </c>
      <c r="B803" s="19">
        <v>0</v>
      </c>
      <c r="C803" s="19">
        <v>20.704360851063832</v>
      </c>
      <c r="D803" s="19">
        <v>0</v>
      </c>
      <c r="E803" s="19">
        <v>23.362581936972436</v>
      </c>
      <c r="F803" s="19">
        <v>20.704360851063832</v>
      </c>
      <c r="G803" s="19">
        <v>23.362581936972436</v>
      </c>
    </row>
    <row r="804" spans="1:7" ht="11.25" customHeight="1" x14ac:dyDescent="0.2">
      <c r="A804" s="29">
        <v>44501</v>
      </c>
      <c r="B804" s="19">
        <v>0</v>
      </c>
      <c r="C804" s="19">
        <v>17.591632340425537</v>
      </c>
      <c r="D804" s="19">
        <v>0</v>
      </c>
      <c r="E804" s="19">
        <v>19.850211987450383</v>
      </c>
      <c r="F804" s="19">
        <v>17.591632340425537</v>
      </c>
      <c r="G804" s="19">
        <v>19.850211987450383</v>
      </c>
    </row>
    <row r="805" spans="1:7" ht="11.25" customHeight="1" x14ac:dyDescent="0.2">
      <c r="A805" s="29">
        <v>44531</v>
      </c>
      <c r="B805" s="19">
        <v>0</v>
      </c>
      <c r="C805" s="19">
        <v>24.901828085106388</v>
      </c>
      <c r="D805" s="19">
        <v>0</v>
      </c>
      <c r="E805" s="19">
        <v>28.098959596176414</v>
      </c>
      <c r="F805" s="19">
        <v>24.901828085106388</v>
      </c>
      <c r="G805" s="19">
        <v>28.098959596176414</v>
      </c>
    </row>
    <row r="806" spans="1:7" ht="11.25" customHeight="1" x14ac:dyDescent="0.2">
      <c r="A806" s="29">
        <v>44562</v>
      </c>
      <c r="B806" s="19">
        <v>0</v>
      </c>
      <c r="C806" s="19">
        <v>25.04331574468085</v>
      </c>
      <c r="D806" s="19">
        <v>0</v>
      </c>
      <c r="E806" s="19">
        <v>28.258612775700144</v>
      </c>
      <c r="F806" s="19">
        <v>25.04331574468085</v>
      </c>
      <c r="G806" s="19">
        <v>28.258612775700144</v>
      </c>
    </row>
    <row r="807" spans="1:7" ht="11.25" customHeight="1" x14ac:dyDescent="0.2">
      <c r="A807" s="29">
        <v>44593</v>
      </c>
      <c r="B807" s="19">
        <v>0</v>
      </c>
      <c r="C807" s="19">
        <v>16.412568510638298</v>
      </c>
      <c r="D807" s="19">
        <v>0</v>
      </c>
      <c r="E807" s="19">
        <v>18.519768824752635</v>
      </c>
      <c r="F807" s="19">
        <v>16.412568510638298</v>
      </c>
      <c r="G807" s="19">
        <v>18.519768824752635</v>
      </c>
    </row>
    <row r="808" spans="1:7" ht="11.25" customHeight="1" x14ac:dyDescent="0.2">
      <c r="A808" s="29">
        <v>44621</v>
      </c>
      <c r="B808" s="19">
        <v>0</v>
      </c>
      <c r="C808" s="19">
        <v>7.687496170212766</v>
      </c>
      <c r="D808" s="19">
        <v>0</v>
      </c>
      <c r="E808" s="19">
        <v>8.6744894207893104</v>
      </c>
      <c r="F808" s="19">
        <v>7.687496170212766</v>
      </c>
      <c r="G808" s="19">
        <v>8.6744894207893104</v>
      </c>
    </row>
    <row r="809" spans="1:7" ht="11.25" customHeight="1" x14ac:dyDescent="0.2">
      <c r="A809" s="29">
        <v>44652</v>
      </c>
      <c r="B809" s="19">
        <v>0</v>
      </c>
      <c r="C809" s="19">
        <v>6.6970825531914899</v>
      </c>
      <c r="D809" s="19">
        <v>0</v>
      </c>
      <c r="E809" s="19">
        <v>7.5569171641232016</v>
      </c>
      <c r="F809" s="19">
        <v>6.6970825531914899</v>
      </c>
      <c r="G809" s="19">
        <v>7.5569171641232016</v>
      </c>
    </row>
    <row r="810" spans="1:7" ht="11.25" customHeight="1" x14ac:dyDescent="0.2">
      <c r="A810" s="29">
        <v>44682</v>
      </c>
      <c r="B810" s="19">
        <v>0</v>
      </c>
      <c r="C810" s="19">
        <v>7.2630331914893622</v>
      </c>
      <c r="D810" s="19">
        <v>0</v>
      </c>
      <c r="E810" s="19">
        <v>8.1955298822181213</v>
      </c>
      <c r="F810" s="19">
        <v>7.2630331914893622</v>
      </c>
      <c r="G810" s="19">
        <v>8.1955298822181213</v>
      </c>
    </row>
    <row r="811" spans="1:7" ht="11.25" customHeight="1" x14ac:dyDescent="0.2">
      <c r="A811" s="29">
        <v>44713</v>
      </c>
      <c r="B811" s="19">
        <v>0</v>
      </c>
      <c r="C811" s="19">
        <v>6.6027574468085124</v>
      </c>
      <c r="D811" s="19">
        <v>0</v>
      </c>
      <c r="E811" s="19">
        <v>7.4504817111073827</v>
      </c>
      <c r="F811" s="19">
        <v>6.6027574468085124</v>
      </c>
      <c r="G811" s="19">
        <v>7.4504817111073827</v>
      </c>
    </row>
    <row r="812" spans="1:7" ht="11.25" customHeight="1" x14ac:dyDescent="0.2">
      <c r="A812" s="29">
        <v>44743</v>
      </c>
      <c r="B812" s="19">
        <v>0</v>
      </c>
      <c r="C812" s="19">
        <v>6.6027574468085124</v>
      </c>
      <c r="D812" s="19">
        <v>0</v>
      </c>
      <c r="E812" s="19">
        <v>7.4504817111073827</v>
      </c>
      <c r="F812" s="19">
        <v>6.6027574468085124</v>
      </c>
      <c r="G812" s="19">
        <v>7.4504817111073827</v>
      </c>
    </row>
    <row r="813" spans="1:7" ht="11.25" customHeight="1" x14ac:dyDescent="0.2">
      <c r="A813" s="28" t="s">
        <v>34</v>
      </c>
      <c r="B813" s="19">
        <v>0</v>
      </c>
      <c r="C813" s="19">
        <v>281.27027234042549</v>
      </c>
      <c r="D813" s="19">
        <v>0</v>
      </c>
      <c r="E813" s="19">
        <v>312.67719899569516</v>
      </c>
      <c r="F813" s="19">
        <v>281.27027234042549</v>
      </c>
      <c r="G813" s="19">
        <v>312.67719899569516</v>
      </c>
    </row>
    <row r="814" spans="1:7" ht="11.25" customHeight="1" x14ac:dyDescent="0.2">
      <c r="A814" s="29">
        <v>44409</v>
      </c>
      <c r="B814" s="19">
        <v>0</v>
      </c>
      <c r="C814" s="19">
        <v>27.715046808510643</v>
      </c>
      <c r="D814" s="19">
        <v>0</v>
      </c>
      <c r="E814" s="19">
        <v>30.809737317818168</v>
      </c>
      <c r="F814" s="19">
        <v>27.715046808510643</v>
      </c>
      <c r="G814" s="19">
        <v>30.809737317818168</v>
      </c>
    </row>
    <row r="815" spans="1:7" ht="11.25" customHeight="1" x14ac:dyDescent="0.2">
      <c r="A815" s="29">
        <v>44440</v>
      </c>
      <c r="B815" s="19">
        <v>0</v>
      </c>
      <c r="C815" s="19">
        <v>22.771281702127663</v>
      </c>
      <c r="D815" s="19">
        <v>0</v>
      </c>
      <c r="E815" s="19">
        <v>25.313946336801951</v>
      </c>
      <c r="F815" s="19">
        <v>22.771281702127663</v>
      </c>
      <c r="G815" s="19">
        <v>25.313946336801951</v>
      </c>
    </row>
    <row r="816" spans="1:7" ht="11.25" customHeight="1" x14ac:dyDescent="0.2">
      <c r="A816" s="29">
        <v>44470</v>
      </c>
      <c r="B816" s="19">
        <v>0</v>
      </c>
      <c r="C816" s="19">
        <v>27.565235744680852</v>
      </c>
      <c r="D816" s="19">
        <v>0</v>
      </c>
      <c r="E816" s="19">
        <v>30.643198197181313</v>
      </c>
      <c r="F816" s="19">
        <v>27.565235744680852</v>
      </c>
      <c r="G816" s="19">
        <v>30.643198197181313</v>
      </c>
    </row>
    <row r="817" spans="1:7" ht="11.25" customHeight="1" x14ac:dyDescent="0.2">
      <c r="A817" s="29">
        <v>44501</v>
      </c>
      <c r="B817" s="19">
        <v>0</v>
      </c>
      <c r="C817" s="19">
        <v>27.490330212765954</v>
      </c>
      <c r="D817" s="19">
        <v>0</v>
      </c>
      <c r="E817" s="19">
        <v>30.559928636862885</v>
      </c>
      <c r="F817" s="19">
        <v>27.490330212765954</v>
      </c>
      <c r="G817" s="19">
        <v>30.559928636862885</v>
      </c>
    </row>
    <row r="818" spans="1:7" ht="11.25" customHeight="1" x14ac:dyDescent="0.2">
      <c r="A818" s="29">
        <v>44531</v>
      </c>
      <c r="B818" s="19">
        <v>0</v>
      </c>
      <c r="C818" s="19">
        <v>28.389196595744682</v>
      </c>
      <c r="D818" s="19">
        <v>0</v>
      </c>
      <c r="E818" s="19">
        <v>31.559163360684014</v>
      </c>
      <c r="F818" s="19">
        <v>28.389196595744682</v>
      </c>
      <c r="G818" s="19">
        <v>31.559163360684014</v>
      </c>
    </row>
    <row r="819" spans="1:7" ht="11.25" customHeight="1" x14ac:dyDescent="0.2">
      <c r="A819" s="29">
        <v>44562</v>
      </c>
      <c r="B819" s="19">
        <v>0</v>
      </c>
      <c r="C819" s="19">
        <v>39.924648510638299</v>
      </c>
      <c r="D819" s="19">
        <v>0</v>
      </c>
      <c r="E819" s="19">
        <v>44.382675649721854</v>
      </c>
      <c r="F819" s="19">
        <v>39.924648510638299</v>
      </c>
      <c r="G819" s="19">
        <v>44.382675649721854</v>
      </c>
    </row>
    <row r="820" spans="1:7" ht="11.25" customHeight="1" x14ac:dyDescent="0.2">
      <c r="A820" s="29">
        <v>44593</v>
      </c>
      <c r="B820" s="19">
        <v>0</v>
      </c>
      <c r="C820" s="19">
        <v>23.370525957446809</v>
      </c>
      <c r="D820" s="19">
        <v>0</v>
      </c>
      <c r="E820" s="19">
        <v>25.980102819349373</v>
      </c>
      <c r="F820" s="19">
        <v>23.370525957446809</v>
      </c>
      <c r="G820" s="19">
        <v>25.980102819349373</v>
      </c>
    </row>
    <row r="821" spans="1:7" ht="11.25" customHeight="1" x14ac:dyDescent="0.2">
      <c r="A821" s="29">
        <v>44621</v>
      </c>
      <c r="B821" s="19">
        <v>0</v>
      </c>
      <c r="C821" s="19">
        <v>17.602799999999998</v>
      </c>
      <c r="D821" s="19">
        <v>0</v>
      </c>
      <c r="E821" s="19">
        <v>19.568346674830458</v>
      </c>
      <c r="F821" s="19">
        <v>17.602799999999998</v>
      </c>
      <c r="G821" s="19">
        <v>19.568346674830458</v>
      </c>
    </row>
    <row r="822" spans="1:7" ht="11.25" customHeight="1" x14ac:dyDescent="0.2">
      <c r="A822" s="29">
        <v>44652</v>
      </c>
      <c r="B822" s="19">
        <v>0</v>
      </c>
      <c r="C822" s="19">
        <v>16.179594893617022</v>
      </c>
      <c r="D822" s="19">
        <v>0</v>
      </c>
      <c r="E822" s="19">
        <v>17.986225028780332</v>
      </c>
      <c r="F822" s="19">
        <v>16.179594893617022</v>
      </c>
      <c r="G822" s="19">
        <v>17.986225028780332</v>
      </c>
    </row>
    <row r="823" spans="1:7" ht="11.25" customHeight="1" x14ac:dyDescent="0.2">
      <c r="A823" s="29">
        <v>44682</v>
      </c>
      <c r="B823" s="19">
        <v>0</v>
      </c>
      <c r="C823" s="19">
        <v>17.602799999999998</v>
      </c>
      <c r="D823" s="19">
        <v>0</v>
      </c>
      <c r="E823" s="19">
        <v>19.568346674830458</v>
      </c>
      <c r="F823" s="19">
        <v>17.602799999999998</v>
      </c>
      <c r="G823" s="19">
        <v>19.568346674830458</v>
      </c>
    </row>
    <row r="824" spans="1:7" ht="11.25" customHeight="1" x14ac:dyDescent="0.2">
      <c r="A824" s="29">
        <v>44713</v>
      </c>
      <c r="B824" s="19">
        <v>0</v>
      </c>
      <c r="C824" s="19">
        <v>16.329405957446809</v>
      </c>
      <c r="D824" s="19">
        <v>0</v>
      </c>
      <c r="E824" s="19">
        <v>18.152764149417195</v>
      </c>
      <c r="F824" s="19">
        <v>16.329405957446809</v>
      </c>
      <c r="G824" s="19">
        <v>18.152764149417195</v>
      </c>
    </row>
    <row r="825" spans="1:7" ht="11.25" customHeight="1" x14ac:dyDescent="0.2">
      <c r="A825" s="29">
        <v>44743</v>
      </c>
      <c r="B825" s="19">
        <v>0</v>
      </c>
      <c r="C825" s="19">
        <v>16.329405957446809</v>
      </c>
      <c r="D825" s="19">
        <v>0</v>
      </c>
      <c r="E825" s="19">
        <v>18.152764149417195</v>
      </c>
      <c r="F825" s="19">
        <v>16.329405957446809</v>
      </c>
      <c r="G825" s="19">
        <v>18.152764149417195</v>
      </c>
    </row>
    <row r="826" spans="1:7" ht="11.25" customHeight="1" x14ac:dyDescent="0.2">
      <c r="A826" s="23" t="s">
        <v>23</v>
      </c>
      <c r="B826" s="19">
        <v>0</v>
      </c>
      <c r="C826" s="19">
        <v>14522329.817519996</v>
      </c>
      <c r="D826" s="19">
        <v>0</v>
      </c>
      <c r="E826" s="19">
        <v>7492697.9720222298</v>
      </c>
      <c r="F826" s="19">
        <v>14522329.817519993</v>
      </c>
      <c r="G826" s="19">
        <v>7492697.972022227</v>
      </c>
    </row>
    <row r="827" spans="1:7" ht="11.25" customHeight="1" x14ac:dyDescent="0.2">
      <c r="A827" s="24" t="s">
        <v>45</v>
      </c>
      <c r="B827" s="19">
        <v>0</v>
      </c>
      <c r="C827" s="19">
        <v>14522329.817519996</v>
      </c>
      <c r="D827" s="19">
        <v>0</v>
      </c>
      <c r="E827" s="19">
        <v>7492697.9720222298</v>
      </c>
      <c r="F827" s="19">
        <v>14522329.817519993</v>
      </c>
      <c r="G827" s="19">
        <v>7492697.972022227</v>
      </c>
    </row>
    <row r="828" spans="1:7" ht="11.25" customHeight="1" x14ac:dyDescent="0.2">
      <c r="A828" s="25" t="s">
        <v>53</v>
      </c>
      <c r="B828" s="19">
        <v>0</v>
      </c>
      <c r="C828" s="19">
        <v>2049882.5729999992</v>
      </c>
      <c r="D828" s="19">
        <v>0</v>
      </c>
      <c r="E828" s="19">
        <v>1057623.0667252338</v>
      </c>
      <c r="F828" s="19">
        <v>2049882.5729999992</v>
      </c>
      <c r="G828" s="19">
        <v>1057623.0667252338</v>
      </c>
    </row>
    <row r="829" spans="1:7" ht="11.25" customHeight="1" x14ac:dyDescent="0.2">
      <c r="A829" s="26" t="s">
        <v>54</v>
      </c>
      <c r="B829" s="19">
        <v>0</v>
      </c>
      <c r="C829" s="19">
        <v>2049882.5729999992</v>
      </c>
      <c r="D829" s="19">
        <v>0</v>
      </c>
      <c r="E829" s="19">
        <v>1057623.0667252338</v>
      </c>
      <c r="F829" s="19">
        <v>2049882.5729999992</v>
      </c>
      <c r="G829" s="19">
        <v>1057623.0667252338</v>
      </c>
    </row>
    <row r="830" spans="1:7" ht="11.25" customHeight="1" x14ac:dyDescent="0.2">
      <c r="A830" s="27" t="s">
        <v>25</v>
      </c>
      <c r="B830" s="19">
        <v>0</v>
      </c>
      <c r="C830" s="19">
        <v>2049882.5729999992</v>
      </c>
      <c r="D830" s="19">
        <v>0</v>
      </c>
      <c r="E830" s="19">
        <v>1057623.0667252338</v>
      </c>
      <c r="F830" s="19">
        <v>2049882.5729999992</v>
      </c>
      <c r="G830" s="19">
        <v>1057623.0667252338</v>
      </c>
    </row>
    <row r="831" spans="1:7" ht="11.25" customHeight="1" x14ac:dyDescent="0.2">
      <c r="A831" s="28" t="s">
        <v>25</v>
      </c>
      <c r="B831" s="19">
        <v>0</v>
      </c>
      <c r="C831" s="19">
        <v>2049882.5729999992</v>
      </c>
      <c r="D831" s="19">
        <v>0</v>
      </c>
      <c r="E831" s="19">
        <v>1057623.0667252338</v>
      </c>
      <c r="F831" s="19">
        <v>2049882.5729999992</v>
      </c>
      <c r="G831" s="19">
        <v>1057623.0667252338</v>
      </c>
    </row>
    <row r="832" spans="1:7" ht="11.25" customHeight="1" x14ac:dyDescent="0.2">
      <c r="A832" s="29">
        <v>44409</v>
      </c>
      <c r="B832" s="19">
        <v>0</v>
      </c>
      <c r="C832" s="19">
        <v>184559.72659999991</v>
      </c>
      <c r="D832" s="19">
        <v>0</v>
      </c>
      <c r="E832" s="19">
        <v>95222.344251161499</v>
      </c>
      <c r="F832" s="19">
        <v>184559.72659999991</v>
      </c>
      <c r="G832" s="19">
        <v>95222.344251161499</v>
      </c>
    </row>
    <row r="833" spans="1:7" ht="11.25" customHeight="1" x14ac:dyDescent="0.2">
      <c r="A833" s="29">
        <v>44440</v>
      </c>
      <c r="B833" s="19">
        <v>0</v>
      </c>
      <c r="C833" s="19">
        <v>194038.49035999994</v>
      </c>
      <c r="D833" s="19">
        <v>0</v>
      </c>
      <c r="E833" s="19">
        <v>100112.84838474399</v>
      </c>
      <c r="F833" s="19">
        <v>194038.49035999994</v>
      </c>
      <c r="G833" s="19">
        <v>100112.84838474399</v>
      </c>
    </row>
    <row r="834" spans="1:7" ht="11.25" customHeight="1" x14ac:dyDescent="0.2">
      <c r="A834" s="29">
        <v>44470</v>
      </c>
      <c r="B834" s="19">
        <v>0</v>
      </c>
      <c r="C834" s="19">
        <v>209890.00171999991</v>
      </c>
      <c r="D834" s="19">
        <v>0</v>
      </c>
      <c r="E834" s="19">
        <v>108291.32859507996</v>
      </c>
      <c r="F834" s="19">
        <v>209890.00171999991</v>
      </c>
      <c r="G834" s="19">
        <v>108291.32859507996</v>
      </c>
    </row>
    <row r="835" spans="1:7" ht="11.25" customHeight="1" x14ac:dyDescent="0.2">
      <c r="A835" s="29">
        <v>44501</v>
      </c>
      <c r="B835" s="19">
        <v>0</v>
      </c>
      <c r="C835" s="19">
        <v>227988.44733999993</v>
      </c>
      <c r="D835" s="19">
        <v>0</v>
      </c>
      <c r="E835" s="19">
        <v>117629.09935897839</v>
      </c>
      <c r="F835" s="19">
        <v>227988.44733999993</v>
      </c>
      <c r="G835" s="19">
        <v>117629.09935897839</v>
      </c>
    </row>
    <row r="836" spans="1:7" ht="11.25" customHeight="1" x14ac:dyDescent="0.2">
      <c r="A836" s="29">
        <v>44531</v>
      </c>
      <c r="B836" s="19">
        <v>0</v>
      </c>
      <c r="C836" s="19">
        <v>249762.50297999993</v>
      </c>
      <c r="D836" s="19">
        <v>0</v>
      </c>
      <c r="E836" s="19">
        <v>128863.27628420593</v>
      </c>
      <c r="F836" s="19">
        <v>249762.50297999993</v>
      </c>
      <c r="G836" s="19">
        <v>128863.27628420593</v>
      </c>
    </row>
    <row r="837" spans="1:7" ht="11.25" customHeight="1" x14ac:dyDescent="0.2">
      <c r="A837" s="29">
        <v>44562</v>
      </c>
      <c r="B837" s="19">
        <v>0</v>
      </c>
      <c r="C837" s="19">
        <v>167485.7334599999</v>
      </c>
      <c r="D837" s="19">
        <v>0</v>
      </c>
      <c r="E837" s="19">
        <v>86413.132824213855</v>
      </c>
      <c r="F837" s="19">
        <v>167485.7334599999</v>
      </c>
      <c r="G837" s="19">
        <v>86413.132824213855</v>
      </c>
    </row>
    <row r="838" spans="1:7" ht="11.25" customHeight="1" x14ac:dyDescent="0.2">
      <c r="A838" s="29">
        <v>44593</v>
      </c>
      <c r="B838" s="19">
        <v>0</v>
      </c>
      <c r="C838" s="19">
        <v>130817.94071999996</v>
      </c>
      <c r="D838" s="19">
        <v>0</v>
      </c>
      <c r="E838" s="19">
        <v>67494.632848398891</v>
      </c>
      <c r="F838" s="19">
        <v>130817.94071999996</v>
      </c>
      <c r="G838" s="19">
        <v>67494.632848398891</v>
      </c>
    </row>
    <row r="839" spans="1:7" ht="11.25" customHeight="1" x14ac:dyDescent="0.2">
      <c r="A839" s="29">
        <v>44621</v>
      </c>
      <c r="B839" s="19">
        <v>0</v>
      </c>
      <c r="C839" s="19">
        <v>143760.17605999991</v>
      </c>
      <c r="D839" s="19">
        <v>0</v>
      </c>
      <c r="E839" s="19">
        <v>74172.091748172897</v>
      </c>
      <c r="F839" s="19">
        <v>143760.17605999991</v>
      </c>
      <c r="G839" s="19">
        <v>74172.091748172897</v>
      </c>
    </row>
    <row r="840" spans="1:7" ht="11.25" customHeight="1" x14ac:dyDescent="0.2">
      <c r="A840" s="29">
        <v>44652</v>
      </c>
      <c r="B840" s="19">
        <v>0</v>
      </c>
      <c r="C840" s="19">
        <v>147275.64375999995</v>
      </c>
      <c r="D840" s="19">
        <v>0</v>
      </c>
      <c r="E840" s="19">
        <v>75985.873561248241</v>
      </c>
      <c r="F840" s="19">
        <v>147275.64375999995</v>
      </c>
      <c r="G840" s="19">
        <v>75985.873561248241</v>
      </c>
    </row>
    <row r="841" spans="1:7" ht="11.25" customHeight="1" x14ac:dyDescent="0.2">
      <c r="A841" s="29">
        <v>44682</v>
      </c>
      <c r="B841" s="19">
        <v>0</v>
      </c>
      <c r="C841" s="19">
        <v>132513.61583999995</v>
      </c>
      <c r="D841" s="19">
        <v>0</v>
      </c>
      <c r="E841" s="19">
        <v>68369.504972395473</v>
      </c>
      <c r="F841" s="19">
        <v>132513.61583999995</v>
      </c>
      <c r="G841" s="19">
        <v>68369.504972395473</v>
      </c>
    </row>
    <row r="842" spans="1:7" ht="11.25" customHeight="1" x14ac:dyDescent="0.2">
      <c r="A842" s="29">
        <v>44713</v>
      </c>
      <c r="B842" s="19">
        <v>0</v>
      </c>
      <c r="C842" s="19">
        <v>130895.14707999995</v>
      </c>
      <c r="D842" s="19">
        <v>0</v>
      </c>
      <c r="E842" s="19">
        <v>67534.466948317306</v>
      </c>
      <c r="F842" s="19">
        <v>130895.14707999995</v>
      </c>
      <c r="G842" s="19">
        <v>67534.466948317306</v>
      </c>
    </row>
    <row r="843" spans="1:7" ht="11.25" customHeight="1" x14ac:dyDescent="0.2">
      <c r="A843" s="29">
        <v>44743</v>
      </c>
      <c r="B843" s="19">
        <v>0</v>
      </c>
      <c r="C843" s="19">
        <v>130895.14707999995</v>
      </c>
      <c r="D843" s="19">
        <v>0</v>
      </c>
      <c r="E843" s="19">
        <v>67534.466948317306</v>
      </c>
      <c r="F843" s="19">
        <v>130895.14707999995</v>
      </c>
      <c r="G843" s="19">
        <v>67534.466948317306</v>
      </c>
    </row>
    <row r="844" spans="1:7" ht="11.25" customHeight="1" x14ac:dyDescent="0.2">
      <c r="A844" s="25" t="s">
        <v>56</v>
      </c>
      <c r="B844" s="19">
        <v>0</v>
      </c>
      <c r="C844" s="19">
        <v>6102.5969599999971</v>
      </c>
      <c r="D844" s="19">
        <v>0</v>
      </c>
      <c r="E844" s="19">
        <v>3148.5936788942536</v>
      </c>
      <c r="F844" s="19">
        <v>6102.5969599999971</v>
      </c>
      <c r="G844" s="19">
        <v>3148.5936788942536</v>
      </c>
    </row>
    <row r="845" spans="1:7" ht="11.25" customHeight="1" x14ac:dyDescent="0.2">
      <c r="A845" s="26" t="s">
        <v>54</v>
      </c>
      <c r="B845" s="19">
        <v>0</v>
      </c>
      <c r="C845" s="19">
        <v>6102.5969599999971</v>
      </c>
      <c r="D845" s="19">
        <v>0</v>
      </c>
      <c r="E845" s="19">
        <v>3148.5936788942536</v>
      </c>
      <c r="F845" s="19">
        <v>6102.5969599999971</v>
      </c>
      <c r="G845" s="19">
        <v>3148.5936788942536</v>
      </c>
    </row>
    <row r="846" spans="1:7" ht="11.25" customHeight="1" x14ac:dyDescent="0.2">
      <c r="A846" s="27" t="s">
        <v>25</v>
      </c>
      <c r="B846" s="19">
        <v>0</v>
      </c>
      <c r="C846" s="19">
        <v>6102.5969599999971</v>
      </c>
      <c r="D846" s="19">
        <v>0</v>
      </c>
      <c r="E846" s="19">
        <v>3148.5936788942536</v>
      </c>
      <c r="F846" s="19">
        <v>6102.5969599999971</v>
      </c>
      <c r="G846" s="19">
        <v>3148.5936788942536</v>
      </c>
    </row>
    <row r="847" spans="1:7" ht="11.25" customHeight="1" x14ac:dyDescent="0.2">
      <c r="A847" s="28" t="s">
        <v>25</v>
      </c>
      <c r="B847" s="19">
        <v>0</v>
      </c>
      <c r="C847" s="19">
        <v>6102.5969599999971</v>
      </c>
      <c r="D847" s="19">
        <v>0</v>
      </c>
      <c r="E847" s="19">
        <v>3148.5936788942536</v>
      </c>
      <c r="F847" s="19">
        <v>6102.5969599999971</v>
      </c>
      <c r="G847" s="19">
        <v>3148.5936788942536</v>
      </c>
    </row>
    <row r="848" spans="1:7" ht="11.25" customHeight="1" x14ac:dyDescent="0.2">
      <c r="A848" s="29">
        <v>44409</v>
      </c>
      <c r="B848" s="19">
        <v>0</v>
      </c>
      <c r="C848" s="19">
        <v>672.08207999999979</v>
      </c>
      <c r="D848" s="19">
        <v>0</v>
      </c>
      <c r="E848" s="19">
        <v>346.75620930832412</v>
      </c>
      <c r="F848" s="19">
        <v>672.08207999999979</v>
      </c>
      <c r="G848" s="19">
        <v>346.75620930832412</v>
      </c>
    </row>
    <row r="849" spans="1:7" ht="11.25" customHeight="1" x14ac:dyDescent="0.2">
      <c r="A849" s="29">
        <v>44440</v>
      </c>
      <c r="B849" s="19">
        <v>0</v>
      </c>
      <c r="C849" s="19">
        <v>449.91683999999987</v>
      </c>
      <c r="D849" s="19">
        <v>0</v>
      </c>
      <c r="E849" s="19">
        <v>232.13155444105837</v>
      </c>
      <c r="F849" s="19">
        <v>449.91683999999987</v>
      </c>
      <c r="G849" s="19">
        <v>232.13155444105837</v>
      </c>
    </row>
    <row r="850" spans="1:7" ht="11.25" customHeight="1" x14ac:dyDescent="0.2">
      <c r="A850" s="29">
        <v>44470</v>
      </c>
      <c r="B850" s="19">
        <v>0</v>
      </c>
      <c r="C850" s="19">
        <v>460.80307999999985</v>
      </c>
      <c r="D850" s="19">
        <v>0</v>
      </c>
      <c r="E850" s="19">
        <v>237.74823643326482</v>
      </c>
      <c r="F850" s="19">
        <v>460.80307999999985</v>
      </c>
      <c r="G850" s="19">
        <v>237.74823643326482</v>
      </c>
    </row>
    <row r="851" spans="1:7" ht="11.25" customHeight="1" x14ac:dyDescent="0.2">
      <c r="A851" s="29">
        <v>44501</v>
      </c>
      <c r="B851" s="19">
        <v>0</v>
      </c>
      <c r="C851" s="19">
        <v>553.90907999999979</v>
      </c>
      <c r="D851" s="19">
        <v>0</v>
      </c>
      <c r="E851" s="19">
        <v>285.78564820871469</v>
      </c>
      <c r="F851" s="19">
        <v>553.90907999999979</v>
      </c>
      <c r="G851" s="19">
        <v>285.78564820871469</v>
      </c>
    </row>
    <row r="852" spans="1:7" ht="11.25" customHeight="1" x14ac:dyDescent="0.2">
      <c r="A852" s="29">
        <v>44531</v>
      </c>
      <c r="B852" s="19">
        <v>0</v>
      </c>
      <c r="C852" s="19">
        <v>539.29859999999985</v>
      </c>
      <c r="D852" s="19">
        <v>0</v>
      </c>
      <c r="E852" s="19">
        <v>278.24746974549026</v>
      </c>
      <c r="F852" s="19">
        <v>539.29859999999985</v>
      </c>
      <c r="G852" s="19">
        <v>278.24746974549026</v>
      </c>
    </row>
    <row r="853" spans="1:7" ht="11.25" customHeight="1" x14ac:dyDescent="0.2">
      <c r="A853" s="29">
        <v>44562</v>
      </c>
      <c r="B853" s="19">
        <v>0</v>
      </c>
      <c r="C853" s="19">
        <v>451.42085999999983</v>
      </c>
      <c r="D853" s="19">
        <v>0</v>
      </c>
      <c r="E853" s="19">
        <v>232.90754340050796</v>
      </c>
      <c r="F853" s="19">
        <v>451.42085999999983</v>
      </c>
      <c r="G853" s="19">
        <v>232.90754340050796</v>
      </c>
    </row>
    <row r="854" spans="1:7" ht="11.25" customHeight="1" x14ac:dyDescent="0.2">
      <c r="A854" s="29">
        <v>44593</v>
      </c>
      <c r="B854" s="19">
        <v>0</v>
      </c>
      <c r="C854" s="19">
        <v>315.77257999999989</v>
      </c>
      <c r="D854" s="19">
        <v>0</v>
      </c>
      <c r="E854" s="19">
        <v>162.92072962919872</v>
      </c>
      <c r="F854" s="19">
        <v>315.77257999999989</v>
      </c>
      <c r="G854" s="19">
        <v>162.92072962919872</v>
      </c>
    </row>
    <row r="855" spans="1:7" ht="11.25" customHeight="1" x14ac:dyDescent="0.2">
      <c r="A855" s="29">
        <v>44621</v>
      </c>
      <c r="B855" s="19">
        <v>0</v>
      </c>
      <c r="C855" s="19">
        <v>424.99307999999985</v>
      </c>
      <c r="D855" s="19">
        <v>0</v>
      </c>
      <c r="E855" s="19">
        <v>219.27230882732258</v>
      </c>
      <c r="F855" s="19">
        <v>424.99307999999985</v>
      </c>
      <c r="G855" s="19">
        <v>219.27230882732258</v>
      </c>
    </row>
    <row r="856" spans="1:7" ht="11.25" customHeight="1" x14ac:dyDescent="0.2">
      <c r="A856" s="29">
        <v>44652</v>
      </c>
      <c r="B856" s="19">
        <v>0</v>
      </c>
      <c r="C856" s="19">
        <v>549.11053999999979</v>
      </c>
      <c r="D856" s="19">
        <v>0</v>
      </c>
      <c r="E856" s="19">
        <v>283.30987390951839</v>
      </c>
      <c r="F856" s="19">
        <v>549.11053999999979</v>
      </c>
      <c r="G856" s="19">
        <v>283.30987390951839</v>
      </c>
    </row>
    <row r="857" spans="1:7" ht="11.25" customHeight="1" x14ac:dyDescent="0.2">
      <c r="A857" s="29">
        <v>44682</v>
      </c>
      <c r="B857" s="19">
        <v>0</v>
      </c>
      <c r="C857" s="19">
        <v>562.71833999999978</v>
      </c>
      <c r="D857" s="19">
        <v>0</v>
      </c>
      <c r="E857" s="19">
        <v>290.33072639977644</v>
      </c>
      <c r="F857" s="19">
        <v>562.71833999999978</v>
      </c>
      <c r="G857" s="19">
        <v>290.33072639977644</v>
      </c>
    </row>
    <row r="858" spans="1:7" ht="11.25" customHeight="1" x14ac:dyDescent="0.2">
      <c r="A858" s="29">
        <v>44713</v>
      </c>
      <c r="B858" s="19">
        <v>0</v>
      </c>
      <c r="C858" s="19">
        <v>561.28593999999975</v>
      </c>
      <c r="D858" s="19">
        <v>0</v>
      </c>
      <c r="E858" s="19">
        <v>289.59168929553874</v>
      </c>
      <c r="F858" s="19">
        <v>561.28593999999975</v>
      </c>
      <c r="G858" s="19">
        <v>289.59168929553874</v>
      </c>
    </row>
    <row r="859" spans="1:7" ht="11.25" customHeight="1" x14ac:dyDescent="0.2">
      <c r="A859" s="29">
        <v>44743</v>
      </c>
      <c r="B859" s="19">
        <v>0</v>
      </c>
      <c r="C859" s="19">
        <v>561.28593999999975</v>
      </c>
      <c r="D859" s="19">
        <v>0</v>
      </c>
      <c r="E859" s="19">
        <v>289.59168929553874</v>
      </c>
      <c r="F859" s="19">
        <v>561.28593999999975</v>
      </c>
      <c r="G859" s="19">
        <v>289.59168929553874</v>
      </c>
    </row>
    <row r="860" spans="1:7" ht="11.25" customHeight="1" x14ac:dyDescent="0.2">
      <c r="A860" s="25" t="s">
        <v>25</v>
      </c>
      <c r="B860" s="19">
        <v>0</v>
      </c>
      <c r="C860" s="19">
        <v>12466344.647559995</v>
      </c>
      <c r="D860" s="19">
        <v>0</v>
      </c>
      <c r="E860" s="19">
        <v>6431926.3116180999</v>
      </c>
      <c r="F860" s="19">
        <v>12466344.647559993</v>
      </c>
      <c r="G860" s="19">
        <v>6431926.311618099</v>
      </c>
    </row>
    <row r="861" spans="1:7" ht="11.25" customHeight="1" x14ac:dyDescent="0.2">
      <c r="A861" s="26" t="s">
        <v>25</v>
      </c>
      <c r="B861" s="19">
        <v>0</v>
      </c>
      <c r="C861" s="19">
        <v>12466344.647559995</v>
      </c>
      <c r="D861" s="19">
        <v>0</v>
      </c>
      <c r="E861" s="19">
        <v>6431926.3116180999</v>
      </c>
      <c r="F861" s="19">
        <v>12466344.647559993</v>
      </c>
      <c r="G861" s="19">
        <v>6431926.311618099</v>
      </c>
    </row>
    <row r="862" spans="1:7" ht="11.25" customHeight="1" x14ac:dyDescent="0.2">
      <c r="A862" s="27" t="s">
        <v>25</v>
      </c>
      <c r="B862" s="19">
        <v>0</v>
      </c>
      <c r="C862" s="19">
        <v>12466344.647559995</v>
      </c>
      <c r="D862" s="19">
        <v>0</v>
      </c>
      <c r="E862" s="19">
        <v>6431926.3116180999</v>
      </c>
      <c r="F862" s="19">
        <v>12466344.647559993</v>
      </c>
      <c r="G862" s="19">
        <v>6431926.311618099</v>
      </c>
    </row>
    <row r="863" spans="1:7" ht="11.25" customHeight="1" x14ac:dyDescent="0.2">
      <c r="A863" s="28" t="s">
        <v>25</v>
      </c>
      <c r="B863" s="19">
        <v>0</v>
      </c>
      <c r="C863" s="19">
        <v>12466344.647559995</v>
      </c>
      <c r="D863" s="19">
        <v>0</v>
      </c>
      <c r="E863" s="19">
        <v>6431926.3116180999</v>
      </c>
      <c r="F863" s="19">
        <v>12466344.647559993</v>
      </c>
      <c r="G863" s="19">
        <v>6431926.311618099</v>
      </c>
    </row>
    <row r="864" spans="1:7" ht="11.25" customHeight="1" x14ac:dyDescent="0.2">
      <c r="A864" s="29">
        <v>44409</v>
      </c>
      <c r="B864" s="19">
        <v>0</v>
      </c>
      <c r="C864" s="19">
        <v>1141148.0310199996</v>
      </c>
      <c r="D864" s="19">
        <v>0</v>
      </c>
      <c r="E864" s="19">
        <v>588767.61822923925</v>
      </c>
      <c r="F864" s="19">
        <v>1141148.0310199996</v>
      </c>
      <c r="G864" s="19">
        <v>588767.61822923925</v>
      </c>
    </row>
    <row r="865" spans="1:7" ht="11.25" customHeight="1" x14ac:dyDescent="0.2">
      <c r="A865" s="29">
        <v>44440</v>
      </c>
      <c r="B865" s="19">
        <v>0</v>
      </c>
      <c r="C865" s="19">
        <v>1145419.8059199995</v>
      </c>
      <c r="D865" s="19">
        <v>0</v>
      </c>
      <c r="E865" s="19">
        <v>590971.611633352</v>
      </c>
      <c r="F865" s="19">
        <v>1145419.8059199995</v>
      </c>
      <c r="G865" s="19">
        <v>590971.611633352</v>
      </c>
    </row>
    <row r="866" spans="1:7" ht="11.25" customHeight="1" x14ac:dyDescent="0.2">
      <c r="A866" s="29">
        <v>44470</v>
      </c>
      <c r="B866" s="19">
        <v>0</v>
      </c>
      <c r="C866" s="19">
        <v>1211037.9782999996</v>
      </c>
      <c r="D866" s="19">
        <v>0</v>
      </c>
      <c r="E866" s="19">
        <v>624826.86442662554</v>
      </c>
      <c r="F866" s="19">
        <v>1211037.9782999996</v>
      </c>
      <c r="G866" s="19">
        <v>624826.86442662554</v>
      </c>
    </row>
    <row r="867" spans="1:7" ht="11.25" customHeight="1" x14ac:dyDescent="0.2">
      <c r="A867" s="29">
        <v>44501</v>
      </c>
      <c r="B867" s="19">
        <v>0</v>
      </c>
      <c r="C867" s="19">
        <v>1206543.1070999994</v>
      </c>
      <c r="D867" s="19">
        <v>0</v>
      </c>
      <c r="E867" s="19">
        <v>622507.76599352749</v>
      </c>
      <c r="F867" s="19">
        <v>1206543.1070999994</v>
      </c>
      <c r="G867" s="19">
        <v>622507.76599352749</v>
      </c>
    </row>
    <row r="868" spans="1:7" ht="11.25" customHeight="1" x14ac:dyDescent="0.2">
      <c r="A868" s="29">
        <v>44531</v>
      </c>
      <c r="B868" s="19">
        <v>0</v>
      </c>
      <c r="C868" s="19">
        <v>1290478.8106799994</v>
      </c>
      <c r="D868" s="19">
        <v>0</v>
      </c>
      <c r="E868" s="19">
        <v>665813.82527579239</v>
      </c>
      <c r="F868" s="19">
        <v>1290478.8106799994</v>
      </c>
      <c r="G868" s="19">
        <v>665813.82527579239</v>
      </c>
    </row>
    <row r="869" spans="1:7" ht="11.25" customHeight="1" x14ac:dyDescent="0.2">
      <c r="A869" s="29">
        <v>44562</v>
      </c>
      <c r="B869" s="19">
        <v>0</v>
      </c>
      <c r="C869" s="19">
        <v>1123042.1369199995</v>
      </c>
      <c r="D869" s="19">
        <v>0</v>
      </c>
      <c r="E869" s="19">
        <v>579426.0044723989</v>
      </c>
      <c r="F869" s="19">
        <v>1123042.1369199995</v>
      </c>
      <c r="G869" s="19">
        <v>579426.0044723989</v>
      </c>
    </row>
    <row r="870" spans="1:7" ht="11.25" customHeight="1" x14ac:dyDescent="0.2">
      <c r="A870" s="29">
        <v>44593</v>
      </c>
      <c r="B870" s="19">
        <v>0</v>
      </c>
      <c r="C870" s="19">
        <v>890727.41185999976</v>
      </c>
      <c r="D870" s="19">
        <v>0</v>
      </c>
      <c r="E870" s="19">
        <v>459564.79134749126</v>
      </c>
      <c r="F870" s="19">
        <v>890727.41185999976</v>
      </c>
      <c r="G870" s="19">
        <v>459564.79134749126</v>
      </c>
    </row>
    <row r="871" spans="1:7" ht="11.25" customHeight="1" x14ac:dyDescent="0.2">
      <c r="A871" s="29">
        <v>44621</v>
      </c>
      <c r="B871" s="19">
        <v>0</v>
      </c>
      <c r="C871" s="19">
        <v>986875.18487999972</v>
      </c>
      <c r="D871" s="19">
        <v>0</v>
      </c>
      <c r="E871" s="19">
        <v>509171.58536564518</v>
      </c>
      <c r="F871" s="19">
        <v>986875.18487999972</v>
      </c>
      <c r="G871" s="19">
        <v>509171.58536564518</v>
      </c>
    </row>
    <row r="872" spans="1:7" ht="11.25" customHeight="1" x14ac:dyDescent="0.2">
      <c r="A872" s="29">
        <v>44652</v>
      </c>
      <c r="B872" s="19">
        <v>0</v>
      </c>
      <c r="C872" s="19">
        <v>917285.39701999957</v>
      </c>
      <c r="D872" s="19">
        <v>0</v>
      </c>
      <c r="E872" s="19">
        <v>473267.20439345186</v>
      </c>
      <c r="F872" s="19">
        <v>917285.39701999957</v>
      </c>
      <c r="G872" s="19">
        <v>473267.20439345186</v>
      </c>
    </row>
    <row r="873" spans="1:7" ht="11.25" customHeight="1" x14ac:dyDescent="0.2">
      <c r="A873" s="29">
        <v>44682</v>
      </c>
      <c r="B873" s="19">
        <v>0</v>
      </c>
      <c r="C873" s="19">
        <v>915010.88905999972</v>
      </c>
      <c r="D873" s="19">
        <v>0</v>
      </c>
      <c r="E873" s="19">
        <v>472093.68737563281</v>
      </c>
      <c r="F873" s="19">
        <v>915010.88905999972</v>
      </c>
      <c r="G873" s="19">
        <v>472093.68737563281</v>
      </c>
    </row>
    <row r="874" spans="1:7" ht="11.25" customHeight="1" x14ac:dyDescent="0.2">
      <c r="A874" s="29">
        <v>44713</v>
      </c>
      <c r="B874" s="19">
        <v>0</v>
      </c>
      <c r="C874" s="19">
        <v>819387.94739999971</v>
      </c>
      <c r="D874" s="19">
        <v>0</v>
      </c>
      <c r="E874" s="19">
        <v>422757.67655247176</v>
      </c>
      <c r="F874" s="19">
        <v>819387.94739999971</v>
      </c>
      <c r="G874" s="19">
        <v>422757.67655247176</v>
      </c>
    </row>
    <row r="875" spans="1:7" ht="11.25" customHeight="1" x14ac:dyDescent="0.2">
      <c r="A875" s="29">
        <v>44743</v>
      </c>
      <c r="B875" s="19">
        <v>0</v>
      </c>
      <c r="C875" s="19">
        <v>819387.94739999971</v>
      </c>
      <c r="D875" s="19">
        <v>0</v>
      </c>
      <c r="E875" s="19">
        <v>422757.67655247176</v>
      </c>
      <c r="F875" s="19">
        <v>819387.94739999971</v>
      </c>
      <c r="G875" s="19">
        <v>422757.67655247176</v>
      </c>
    </row>
    <row r="876" spans="1:7" ht="11.25" customHeight="1" x14ac:dyDescent="0.2">
      <c r="A876" s="21" t="s">
        <v>1007</v>
      </c>
      <c r="B876" s="19">
        <v>0</v>
      </c>
      <c r="C876" s="19">
        <v>0</v>
      </c>
      <c r="D876" s="19">
        <v>0</v>
      </c>
      <c r="E876" s="19">
        <v>0</v>
      </c>
      <c r="F876" s="19">
        <v>0</v>
      </c>
      <c r="G876" s="19">
        <v>0</v>
      </c>
    </row>
    <row r="877" spans="1:7" ht="11.25" customHeight="1" x14ac:dyDescent="0.2">
      <c r="A877" s="22" t="s">
        <v>22</v>
      </c>
      <c r="B877" s="19">
        <v>0</v>
      </c>
      <c r="C877" s="19">
        <v>0</v>
      </c>
      <c r="D877" s="19">
        <v>0</v>
      </c>
      <c r="E877" s="19">
        <v>0</v>
      </c>
      <c r="F877" s="19">
        <v>0</v>
      </c>
      <c r="G877" s="19">
        <v>0</v>
      </c>
    </row>
    <row r="878" spans="1:7" ht="11.25" customHeight="1" x14ac:dyDescent="0.2">
      <c r="A878" s="23" t="s">
        <v>23</v>
      </c>
      <c r="B878" s="19">
        <v>0</v>
      </c>
      <c r="C878" s="19">
        <v>0</v>
      </c>
      <c r="D878" s="19">
        <v>0</v>
      </c>
      <c r="E878" s="19">
        <v>0</v>
      </c>
      <c r="F878" s="19">
        <v>0</v>
      </c>
      <c r="G878" s="19">
        <v>0</v>
      </c>
    </row>
    <row r="879" spans="1:7" ht="11.25" customHeight="1" x14ac:dyDescent="0.2">
      <c r="A879" s="24" t="s">
        <v>24</v>
      </c>
      <c r="B879" s="19">
        <v>0</v>
      </c>
      <c r="C879" s="19">
        <v>0</v>
      </c>
      <c r="D879" s="19">
        <v>0</v>
      </c>
      <c r="E879" s="19">
        <v>0</v>
      </c>
      <c r="F879" s="19">
        <v>0</v>
      </c>
      <c r="G879" s="19">
        <v>0</v>
      </c>
    </row>
    <row r="880" spans="1:7" ht="11.25" customHeight="1" x14ac:dyDescent="0.2">
      <c r="A880" s="25" t="s">
        <v>24</v>
      </c>
      <c r="B880" s="19">
        <v>0</v>
      </c>
      <c r="C880" s="19">
        <v>0</v>
      </c>
      <c r="D880" s="19">
        <v>0</v>
      </c>
      <c r="E880" s="19">
        <v>0</v>
      </c>
      <c r="F880" s="19">
        <v>0</v>
      </c>
      <c r="G880" s="19">
        <v>0</v>
      </c>
    </row>
    <row r="881" spans="1:7" ht="11.25" customHeight="1" x14ac:dyDescent="0.2">
      <c r="A881" s="26" t="s">
        <v>25</v>
      </c>
      <c r="B881" s="19">
        <v>0</v>
      </c>
      <c r="C881" s="19">
        <v>0</v>
      </c>
      <c r="D881" s="19">
        <v>0</v>
      </c>
      <c r="E881" s="19">
        <v>0</v>
      </c>
      <c r="F881" s="19">
        <v>0</v>
      </c>
      <c r="G881" s="19">
        <v>0</v>
      </c>
    </row>
    <row r="882" spans="1:7" ht="11.25" customHeight="1" x14ac:dyDescent="0.2">
      <c r="A882" s="27" t="s">
        <v>25</v>
      </c>
      <c r="B882" s="19">
        <v>0</v>
      </c>
      <c r="C882" s="19">
        <v>0</v>
      </c>
      <c r="D882" s="19">
        <v>0</v>
      </c>
      <c r="E882" s="19">
        <v>0</v>
      </c>
      <c r="F882" s="19">
        <v>0</v>
      </c>
      <c r="G882" s="19">
        <v>0</v>
      </c>
    </row>
    <row r="883" spans="1:7" ht="11.25" customHeight="1" x14ac:dyDescent="0.2">
      <c r="A883" s="28" t="s">
        <v>25</v>
      </c>
      <c r="B883" s="19">
        <v>0</v>
      </c>
      <c r="C883" s="19">
        <v>0</v>
      </c>
      <c r="D883" s="19">
        <v>0</v>
      </c>
      <c r="E883" s="19">
        <v>0</v>
      </c>
      <c r="F883" s="19">
        <v>0</v>
      </c>
      <c r="G883" s="19">
        <v>0</v>
      </c>
    </row>
    <row r="884" spans="1:7" ht="11.25" customHeight="1" x14ac:dyDescent="0.2">
      <c r="A884" s="29">
        <v>44409</v>
      </c>
      <c r="B884" s="19">
        <v>0</v>
      </c>
      <c r="C884" s="19">
        <v>0</v>
      </c>
      <c r="D884" s="19">
        <v>0</v>
      </c>
      <c r="E884" s="19">
        <v>0</v>
      </c>
      <c r="F884" s="19">
        <v>0</v>
      </c>
      <c r="G884" s="19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9803F-8F43-40BD-BE49-8416388F1F9B}">
  <dimension ref="A1:V35"/>
  <sheetViews>
    <sheetView showGridLines="0" topLeftCell="A7" workbookViewId="0">
      <selection activeCell="I34" sqref="I34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93" t="s">
        <v>1110</v>
      </c>
      <c r="B1" s="109"/>
      <c r="C1" s="109"/>
      <c r="D1" s="109"/>
      <c r="E1" s="109"/>
      <c r="F1" s="109"/>
      <c r="G1" s="109"/>
      <c r="H1" s="109"/>
      <c r="I1" s="109"/>
      <c r="J1" s="109"/>
      <c r="L1" s="93" t="s">
        <v>1120</v>
      </c>
      <c r="M1" s="94"/>
      <c r="N1" s="94"/>
      <c r="O1" s="94"/>
      <c r="P1" s="94"/>
      <c r="Q1" s="94"/>
      <c r="R1" s="94"/>
      <c r="S1" s="94"/>
      <c r="T1" s="94"/>
      <c r="U1" s="94"/>
      <c r="V1" s="94"/>
    </row>
    <row r="2" spans="1:22" ht="11.25" customHeight="1" x14ac:dyDescent="0.25">
      <c r="A2" s="107" t="s">
        <v>92</v>
      </c>
      <c r="B2" s="107" t="s">
        <v>93</v>
      </c>
      <c r="C2" s="107" t="s">
        <v>1111</v>
      </c>
      <c r="D2" s="107" t="s">
        <v>98</v>
      </c>
      <c r="E2" s="107" t="s">
        <v>1112</v>
      </c>
      <c r="F2" s="110"/>
      <c r="G2" s="110"/>
      <c r="H2" s="107" t="s">
        <v>876</v>
      </c>
      <c r="I2" s="110"/>
      <c r="J2" s="110"/>
      <c r="L2" s="107" t="s">
        <v>92</v>
      </c>
      <c r="M2" s="107" t="s">
        <v>93</v>
      </c>
      <c r="N2" s="107" t="s">
        <v>94</v>
      </c>
      <c r="O2" s="107" t="s">
        <v>95</v>
      </c>
      <c r="P2" s="107" t="s">
        <v>98</v>
      </c>
      <c r="Q2" s="107" t="s">
        <v>1112</v>
      </c>
      <c r="R2" s="112"/>
      <c r="S2" s="112"/>
      <c r="T2" s="107" t="s">
        <v>876</v>
      </c>
      <c r="U2" s="112"/>
      <c r="V2" s="112"/>
    </row>
    <row r="3" spans="1:22" ht="11.25" customHeight="1" x14ac:dyDescent="0.25">
      <c r="A3" s="110"/>
      <c r="B3" s="110"/>
      <c r="C3" s="110"/>
      <c r="D3" s="110"/>
      <c r="E3" s="107" t="s">
        <v>834</v>
      </c>
      <c r="F3" s="110"/>
      <c r="G3" s="50" t="s">
        <v>862</v>
      </c>
      <c r="H3" s="107" t="s">
        <v>834</v>
      </c>
      <c r="I3" s="110"/>
      <c r="J3" s="50" t="s">
        <v>862</v>
      </c>
      <c r="L3" s="112"/>
      <c r="M3" s="112"/>
      <c r="N3" s="112"/>
      <c r="O3" s="112"/>
      <c r="P3" s="112"/>
      <c r="Q3" s="107" t="s">
        <v>834</v>
      </c>
      <c r="R3" s="112"/>
      <c r="S3" s="50" t="s">
        <v>862</v>
      </c>
      <c r="T3" s="107" t="s">
        <v>834</v>
      </c>
      <c r="U3" s="112"/>
      <c r="V3" s="50" t="s">
        <v>862</v>
      </c>
    </row>
    <row r="4" spans="1:22" ht="11.25" customHeight="1" x14ac:dyDescent="0.25">
      <c r="A4" s="110"/>
      <c r="B4" s="110"/>
      <c r="C4" s="110"/>
      <c r="D4" s="110"/>
      <c r="E4" s="50" t="s">
        <v>1113</v>
      </c>
      <c r="F4" s="50" t="s">
        <v>1114</v>
      </c>
      <c r="G4" s="50" t="s">
        <v>1114</v>
      </c>
      <c r="H4" s="50" t="s">
        <v>1113</v>
      </c>
      <c r="I4" s="50" t="s">
        <v>1114</v>
      </c>
      <c r="J4" s="50" t="s">
        <v>1114</v>
      </c>
      <c r="L4" s="112"/>
      <c r="M4" s="112"/>
      <c r="N4" s="112"/>
      <c r="O4" s="112"/>
      <c r="P4" s="112"/>
      <c r="Q4" s="50" t="s">
        <v>1113</v>
      </c>
      <c r="R4" s="50" t="s">
        <v>1114</v>
      </c>
      <c r="S4" s="50" t="s">
        <v>1114</v>
      </c>
      <c r="T4" s="50" t="s">
        <v>1113</v>
      </c>
      <c r="U4" s="50" t="s">
        <v>1114</v>
      </c>
      <c r="V4" s="50" t="s">
        <v>1114</v>
      </c>
    </row>
    <row r="5" spans="1:22" ht="11.25" customHeight="1" x14ac:dyDescent="0.25">
      <c r="A5" s="111" t="s">
        <v>39</v>
      </c>
      <c r="B5" s="111" t="s">
        <v>40</v>
      </c>
      <c r="C5" s="111" t="s">
        <v>25</v>
      </c>
      <c r="D5" s="51" t="s">
        <v>1115</v>
      </c>
      <c r="E5" s="49">
        <f ca="1">ROUND('TUSD BE'!$AM$5+'TUSD BF'!$AM$5+'TUSD CVA'!$AM$5,2)</f>
        <v>21.31</v>
      </c>
      <c r="F5" s="49">
        <f ca="1">ROUND('TUSD BE'!$AM$7+'TUSD BF'!$AM$7+'TUSD CVA'!$AM$7,2)</f>
        <v>55.31</v>
      </c>
      <c r="G5" s="49">
        <f>ROUND('TE BE'!$AB$5+'TE BF'!$AB$5+'TE CVA'!$AB$5,2)</f>
        <v>360.26</v>
      </c>
      <c r="H5" s="49">
        <f ca="1">ROUND('TUSD BE'!$AM$5,2)</f>
        <v>22.83</v>
      </c>
      <c r="I5" s="49">
        <f ca="1">ROUND('TUSD BE'!$AM$7,2)</f>
        <v>51.3</v>
      </c>
      <c r="J5" s="49">
        <f>ROUND('TE BE'!$AB$5,2)</f>
        <v>386.07</v>
      </c>
      <c r="L5" s="113" t="s">
        <v>22</v>
      </c>
      <c r="M5" s="113" t="s">
        <v>1121</v>
      </c>
      <c r="N5" s="113" t="s">
        <v>1122</v>
      </c>
      <c r="O5" s="113" t="s">
        <v>1122</v>
      </c>
      <c r="P5" s="51" t="s">
        <v>1115</v>
      </c>
      <c r="Q5" s="49">
        <v>0</v>
      </c>
      <c r="R5" s="49">
        <f ca="1">ROUND('TUSD BE'!$AM$31+'TUSD BF'!$AM$31+'TUSD CVA'!$AM$31,2)</f>
        <v>914.23</v>
      </c>
      <c r="S5" s="49">
        <f>ROUND('TE BE'!$AB$10+'TE BF'!$AB$10+'TE CVA'!$AB$10,2)</f>
        <v>360.26</v>
      </c>
      <c r="T5" s="49">
        <v>0</v>
      </c>
      <c r="U5" s="49">
        <f ca="1">ROUND('TUSD BE'!$AM$31,2)</f>
        <v>987.51</v>
      </c>
      <c r="V5" s="49">
        <f>ROUND('TE BE'!$AB$10,2)</f>
        <v>386.07</v>
      </c>
    </row>
    <row r="6" spans="1:22" ht="11.25" customHeight="1" x14ac:dyDescent="0.25">
      <c r="A6" s="110"/>
      <c r="B6" s="110"/>
      <c r="C6" s="110"/>
      <c r="D6" s="51" t="s">
        <v>1116</v>
      </c>
      <c r="E6" s="49">
        <f ca="1">ROUND('TUSD BE'!$AM$6+'TUSD BF'!$AM$6+'TUSD CVA'!$AM$6,2)</f>
        <v>11.06</v>
      </c>
      <c r="F6" s="49">
        <f ca="1">ROUND('TUSD BE'!$AM$7+'TUSD BF'!$AM$7+'TUSD CVA'!$AM$7,2)</f>
        <v>55.31</v>
      </c>
      <c r="G6" s="49">
        <f>ROUND('TE BE'!$AB$6+'TE BF'!$AB$6+'TE CVA'!$AB$6,2)</f>
        <v>231.76</v>
      </c>
      <c r="H6" s="49">
        <f ca="1">ROUND('TUSD BE'!$AM$6,2)</f>
        <v>11.66</v>
      </c>
      <c r="I6" s="49">
        <f ca="1">ROUND('TUSD BE'!$AM$7,2)</f>
        <v>51.3</v>
      </c>
      <c r="J6" s="49">
        <f>ROUND('TE BE'!$AB$6,2)</f>
        <v>233.89</v>
      </c>
      <c r="L6" s="114"/>
      <c r="M6" s="114"/>
      <c r="N6" s="114"/>
      <c r="O6" s="114"/>
      <c r="P6" s="51" t="s">
        <v>1123</v>
      </c>
      <c r="Q6" s="49">
        <v>0</v>
      </c>
      <c r="R6" s="49">
        <f ca="1">ROUND('TUSD BE'!$AM$32+'TUSD BF'!$AM$32+'TUSD CVA'!$AM$32,2)</f>
        <v>589.79</v>
      </c>
      <c r="S6" s="49">
        <f>ROUND('TE BE'!$AB$11+'TE BF'!$AB$11+'TE CVA'!$AB$11,2)</f>
        <v>231.76</v>
      </c>
      <c r="T6" s="49">
        <v>0</v>
      </c>
      <c r="U6" s="49">
        <f ca="1">ROUND('TUSD BE'!$AM$32,2)</f>
        <v>633.52</v>
      </c>
      <c r="V6" s="49">
        <f>ROUND('TE BE'!$AB$11,2)</f>
        <v>233.89</v>
      </c>
    </row>
    <row r="7" spans="1:22" ht="11.25" customHeight="1" x14ac:dyDescent="0.25">
      <c r="A7" s="110"/>
      <c r="B7" s="111" t="s">
        <v>1117</v>
      </c>
      <c r="C7" s="111" t="s">
        <v>25</v>
      </c>
      <c r="D7" s="51" t="s">
        <v>1115</v>
      </c>
      <c r="E7" s="49">
        <f ca="1">ROUND('TUSD BE'!$AM$5+'TUSD BF'!$AM$5+'TUSD CVA'!$AM$5,2)</f>
        <v>21.31</v>
      </c>
      <c r="F7" s="49">
        <f ca="1">ROUND('TUSD BE'!$AM$8+'TUSD BF'!$AM$8+'TUSD CVA'!$AM$8,2)</f>
        <v>9.0500000000000007</v>
      </c>
      <c r="G7" s="49">
        <v>0</v>
      </c>
      <c r="H7" s="49">
        <f ca="1">ROUND('TUSD BE'!$AM$5,2)</f>
        <v>22.83</v>
      </c>
      <c r="I7" s="49">
        <f ca="1">ROUND('TUSD BE'!$AM$8,2)</f>
        <v>10.71</v>
      </c>
      <c r="J7" s="49">
        <v>0</v>
      </c>
      <c r="L7" s="114"/>
      <c r="M7" s="115"/>
      <c r="N7" s="115"/>
      <c r="O7" s="115"/>
      <c r="P7" s="51" t="s">
        <v>1116</v>
      </c>
      <c r="Q7" s="49">
        <v>0</v>
      </c>
      <c r="R7" s="49">
        <f ca="1">ROUND('TUSD BE'!$AM$33+'TUSD BF'!$AM$33+'TUSD CVA'!$AM$33,2)</f>
        <v>265.36</v>
      </c>
      <c r="S7" s="49">
        <f>ROUND('TE BE'!$AB$12+'TE BF'!$AB$12+'TE CVA'!$AB$12,2)</f>
        <v>231.76</v>
      </c>
      <c r="T7" s="49">
        <v>0</v>
      </c>
      <c r="U7" s="49">
        <f ca="1">ROUND('TUSD BE'!$AM$33,2)</f>
        <v>279.52999999999997</v>
      </c>
      <c r="V7" s="49">
        <f>ROUND('TE BE'!$AB$12,2)</f>
        <v>233.89</v>
      </c>
    </row>
    <row r="8" spans="1:22" ht="11.25" customHeight="1" x14ac:dyDescent="0.25">
      <c r="A8" s="110"/>
      <c r="B8" s="110"/>
      <c r="C8" s="110"/>
      <c r="D8" s="51" t="s">
        <v>1116</v>
      </c>
      <c r="E8" s="49">
        <f ca="1">ROUND('TUSD BE'!$AM$6+'TUSD BF'!$AM$6+'TUSD CVA'!$AM$6,2)</f>
        <v>11.06</v>
      </c>
      <c r="F8" s="49">
        <f ca="1">ROUND('TUSD BE'!$AM$8+'TUSD BF'!$AM$8+'TUSD CVA'!$AM$8,2)</f>
        <v>9.0500000000000007</v>
      </c>
      <c r="G8" s="49">
        <v>0</v>
      </c>
      <c r="H8" s="49">
        <f ca="1">ROUND('TUSD BE'!$AM$6,2)</f>
        <v>11.66</v>
      </c>
      <c r="I8" s="49">
        <f ca="1">ROUND('TUSD BE'!$AM$8,2)</f>
        <v>10.71</v>
      </c>
      <c r="J8" s="49">
        <v>0</v>
      </c>
      <c r="L8" s="114"/>
      <c r="M8" s="51" t="s">
        <v>1124</v>
      </c>
      <c r="N8" s="51" t="s">
        <v>1122</v>
      </c>
      <c r="O8" s="51" t="s">
        <v>1122</v>
      </c>
      <c r="P8" s="51" t="s">
        <v>1118</v>
      </c>
      <c r="Q8" s="49">
        <v>0</v>
      </c>
      <c r="R8" s="49">
        <f ca="1">ROUND('TUSD BE'!$AM$39+'TUSD BF'!$AM$39+'TUSD CVA'!$AM$39,2)</f>
        <v>356.61</v>
      </c>
      <c r="S8" s="49">
        <f>ROUND('TE BE'!$AB$18+'TE BF'!$AB$18+'TE CVA'!$AB$18,2)</f>
        <v>242.47</v>
      </c>
      <c r="T8" s="49">
        <v>0</v>
      </c>
      <c r="U8" s="49">
        <f ca="1">ROUND('TUSD BE'!$AM$39,2)</f>
        <v>379.09</v>
      </c>
      <c r="V8" s="49">
        <f>ROUND('TE BE'!$AB$18,2)</f>
        <v>246.58</v>
      </c>
    </row>
    <row r="9" spans="1:22" ht="11.25" customHeight="1" x14ac:dyDescent="0.25">
      <c r="A9" s="110"/>
      <c r="B9" s="111" t="s">
        <v>62</v>
      </c>
      <c r="C9" s="111" t="s">
        <v>65</v>
      </c>
      <c r="D9" s="51" t="s">
        <v>1115</v>
      </c>
      <c r="E9" s="49">
        <f ca="1">ROUND('TUSD BE'!$AM$9+'TUSD BF'!$AM$9+'TUSD CVA'!$AM$9-0*('TUSD BE'!$AC$9+'TUSD BF'!$AC$9+'TUSD CVA'!$AC$9),2)</f>
        <v>23.4</v>
      </c>
      <c r="F9" s="49">
        <f ca="1">ROUND('TUSD BE'!$AM$11+'TUSD BF'!$AM$11+'TUSD CVA'!$AM$11,2)</f>
        <v>6.4</v>
      </c>
      <c r="G9" s="49">
        <v>0</v>
      </c>
      <c r="H9" s="49">
        <f ca="1">ROUND('TUSD BE'!$AM$9-0*('TUSD BE'!$AC$9),2)</f>
        <v>22.83</v>
      </c>
      <c r="I9" s="49">
        <f ca="1">ROUND('TUSD BE'!$AM$11,2)</f>
        <v>6.85</v>
      </c>
      <c r="J9" s="49">
        <v>0</v>
      </c>
      <c r="L9" s="114"/>
      <c r="M9" s="51" t="s">
        <v>1126</v>
      </c>
      <c r="N9" s="51" t="s">
        <v>1122</v>
      </c>
      <c r="O9" s="51" t="s">
        <v>1122</v>
      </c>
      <c r="P9" s="51" t="s">
        <v>1118</v>
      </c>
      <c r="Q9" s="49">
        <v>0</v>
      </c>
      <c r="R9" s="49">
        <f ca="1">ROUND('TUSD BE'!$AM$34+'TUSD BF'!$AM$34+'TUSD CVA'!$AM$34,2)</f>
        <v>356.61</v>
      </c>
      <c r="S9" s="49">
        <f>ROUND('TE BE'!$AB$13+'TE BF'!$AB$13+'TE CVA'!$AB$13,2)</f>
        <v>242.47</v>
      </c>
      <c r="T9" s="49">
        <v>0</v>
      </c>
      <c r="U9" s="49">
        <f ca="1">ROUND('TUSD BE'!$AM$34,2)</f>
        <v>379.09</v>
      </c>
      <c r="V9" s="49">
        <f>ROUND('TE BE'!$AB$13,2)</f>
        <v>246.58</v>
      </c>
    </row>
    <row r="10" spans="1:22" ht="11.25" customHeight="1" x14ac:dyDescent="0.25">
      <c r="A10" s="110"/>
      <c r="B10" s="110"/>
      <c r="C10" s="110"/>
      <c r="D10" s="51" t="s">
        <v>1116</v>
      </c>
      <c r="E10" s="49">
        <f ca="1">ROUND('TUSD BE'!$AM$10+'TUSD BF'!$AM$10+'TUSD CVA'!$AM$10-0*('TUSD BE'!$AC$10+'TUSD BF'!$AC$10+'TUSD CVA'!$AC$10),2)</f>
        <v>12.12</v>
      </c>
      <c r="F10" s="49">
        <f ca="1">ROUND('TUSD BE'!$AM$11+'TUSD BF'!$AM$11+'TUSD CVA'!$AM$11,2)</f>
        <v>6.4</v>
      </c>
      <c r="G10" s="49">
        <v>0</v>
      </c>
      <c r="H10" s="49">
        <f ca="1">ROUND('TUSD BE'!$AM$10-0*('TUSD BE'!$AC$10),2)</f>
        <v>11.66</v>
      </c>
      <c r="I10" s="49">
        <f ca="1">ROUND('TUSD BE'!$AM$11,2)</f>
        <v>6.85</v>
      </c>
      <c r="J10" s="49">
        <v>0</v>
      </c>
      <c r="L10" s="114"/>
      <c r="M10" s="51" t="s">
        <v>1124</v>
      </c>
      <c r="N10" s="51" t="s">
        <v>1122</v>
      </c>
      <c r="O10" s="51" t="s">
        <v>1125</v>
      </c>
      <c r="P10" s="51" t="s">
        <v>1118</v>
      </c>
      <c r="Q10" s="49">
        <v>0</v>
      </c>
      <c r="R10" s="49">
        <f ca="1">ROUND('TUSD BE'!$AM$40+'TUSD BF'!$AM$40+'TUSD CVA'!$AM$40,2)</f>
        <v>292.26</v>
      </c>
      <c r="S10" s="49">
        <f>ROUND('TE BE'!$AB$19+'TE BF'!$AB$19+'TE CVA'!$AB$19,2)</f>
        <v>242.47</v>
      </c>
      <c r="T10" s="49">
        <v>0</v>
      </c>
      <c r="U10" s="49">
        <f ca="1">ROUND('TUSD BE'!$AM$40,2)</f>
        <v>322.45</v>
      </c>
      <c r="V10" s="49">
        <f>ROUND('TE BE'!$AB$19,2)</f>
        <v>246.58</v>
      </c>
    </row>
    <row r="11" spans="1:22" ht="11.25" customHeight="1" x14ac:dyDescent="0.25">
      <c r="A11" s="110"/>
      <c r="B11" s="110"/>
      <c r="C11" s="110"/>
      <c r="D11" s="51" t="s">
        <v>1118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L11" s="115"/>
      <c r="M11" s="51" t="s">
        <v>1126</v>
      </c>
      <c r="N11" s="51" t="s">
        <v>1122</v>
      </c>
      <c r="O11" s="51" t="s">
        <v>1125</v>
      </c>
      <c r="P11" s="51" t="s">
        <v>1118</v>
      </c>
      <c r="Q11" s="49">
        <v>0</v>
      </c>
      <c r="R11" s="49">
        <f ca="1">ROUND('TUSD BE'!$AM$35+'TUSD BF'!$AM$35+'TUSD CVA'!$AM$35,2)</f>
        <v>292.26</v>
      </c>
      <c r="S11" s="49">
        <f>ROUND('TE BE'!$AB$14+'TE BF'!$AB$14+'TE CVA'!$AB$14,2)</f>
        <v>242.47</v>
      </c>
      <c r="T11" s="49">
        <v>0</v>
      </c>
      <c r="U11" s="49">
        <f ca="1">ROUND('TUSD BE'!$AM$35,2)</f>
        <v>322.45</v>
      </c>
      <c r="V11" s="49">
        <f>ROUND('TE BE'!$AB$14,2)</f>
        <v>246.58</v>
      </c>
    </row>
    <row r="12" spans="1:22" ht="11.25" customHeight="1" x14ac:dyDescent="0.25">
      <c r="A12" s="110"/>
      <c r="B12" s="51" t="s">
        <v>66</v>
      </c>
      <c r="C12" s="51" t="s">
        <v>25</v>
      </c>
      <c r="D12" s="51" t="s">
        <v>1118</v>
      </c>
      <c r="E12" s="49">
        <f ca="1">ROUND('TUSD BE'!$AM$12+'TUSD BF'!$AM$12+'TUSD CVA'!$AM$12,2)</f>
        <v>12.8</v>
      </c>
      <c r="F12" s="49">
        <v>0</v>
      </c>
      <c r="G12" s="49">
        <v>0</v>
      </c>
      <c r="H12" s="49">
        <f>ROUND('TUSD BE'!$AM$12,2)</f>
        <v>14.23</v>
      </c>
      <c r="I12" s="49">
        <v>0</v>
      </c>
      <c r="J12" s="49">
        <v>0</v>
      </c>
      <c r="L12" s="113" t="s">
        <v>44</v>
      </c>
      <c r="M12" s="113" t="s">
        <v>1121</v>
      </c>
      <c r="N12" s="113" t="s">
        <v>1127</v>
      </c>
      <c r="O12" s="113" t="s">
        <v>1128</v>
      </c>
      <c r="P12" s="51" t="s">
        <v>1115</v>
      </c>
      <c r="Q12" s="49">
        <v>0</v>
      </c>
      <c r="R12" s="49">
        <f ca="1">ROUND(('TUSD BE'!$AM$44+'TUSD BF'!$AM$44+'TUSD CVA'!$AM$44)*(1-CUSTOS!$M$38),2)</f>
        <v>895.11</v>
      </c>
      <c r="S12" s="49">
        <f>ROUND(('TE BE'!$AB$23+'TE BF'!$AB$23+'TE CVA'!$AB$23)*(1-CUSTOS!$M$38),2)</f>
        <v>338.64</v>
      </c>
      <c r="T12" s="49">
        <v>0</v>
      </c>
      <c r="U12" s="49">
        <f ca="1">ROUND('TUSD BE'!$AM$44*(1-CUSTOS!$M$38),2)</f>
        <v>967.26</v>
      </c>
      <c r="V12" s="49">
        <f>ROUND('TE BE'!$AB$23*(1-CUSTOS!$M$38),2)</f>
        <v>362.9</v>
      </c>
    </row>
    <row r="13" spans="1:22" ht="11.25" customHeight="1" x14ac:dyDescent="0.25">
      <c r="A13" s="111" t="s">
        <v>41</v>
      </c>
      <c r="B13" s="111" t="s">
        <v>40</v>
      </c>
      <c r="C13" s="111" t="s">
        <v>25</v>
      </c>
      <c r="D13" s="51" t="s">
        <v>1115</v>
      </c>
      <c r="E13" s="49">
        <f ca="1">ROUND('TUSD BE'!$AM$13+'TUSD BF'!$AM$13+'TUSD CVA'!$AM$13,2)</f>
        <v>52.23</v>
      </c>
      <c r="F13" s="49">
        <f ca="1">ROUND('TUSD BE'!$AM$15+'TUSD BF'!$AM$15+'TUSD CVA'!$AM$15,2)</f>
        <v>77.88</v>
      </c>
      <c r="G13" s="49">
        <f>ROUND('TE BE'!$AB$7+'TE BF'!$AB$7+'TE CVA'!$AB$7,2)</f>
        <v>360.26</v>
      </c>
      <c r="H13" s="49">
        <f ca="1">ROUND('TUSD BE'!$AM$13,2)</f>
        <v>56.96</v>
      </c>
      <c r="I13" s="49">
        <f ca="1">ROUND('TUSD BE'!$AM$15,2)</f>
        <v>74.88</v>
      </c>
      <c r="J13" s="49">
        <f>ROUND('TE BE'!$AB$7,2)</f>
        <v>386.07</v>
      </c>
      <c r="L13" s="114"/>
      <c r="M13" s="114"/>
      <c r="N13" s="114"/>
      <c r="O13" s="114"/>
      <c r="P13" s="51" t="s">
        <v>1123</v>
      </c>
      <c r="Q13" s="49">
        <v>0</v>
      </c>
      <c r="R13" s="49">
        <f ca="1">ROUND(('TUSD BE'!$AM$45+'TUSD BF'!$AM$45+'TUSD CVA'!$AM$45)*(1-CUSTOS!$M$38),2)</f>
        <v>575.85</v>
      </c>
      <c r="S13" s="49">
        <f>ROUND(('TE BE'!$AB$24+'TE BF'!$AB$24+'TE CVA'!$AB$24)*(1-CUSTOS!$M$38),2)</f>
        <v>217.86</v>
      </c>
      <c r="T13" s="49">
        <v>0</v>
      </c>
      <c r="U13" s="49">
        <f ca="1">ROUND('TUSD BE'!$AM$45*(1-CUSTOS!$M$38),2)</f>
        <v>618.91</v>
      </c>
      <c r="V13" s="49">
        <f>ROUND('TE BE'!$AB$24*(1-CUSTOS!$M$38),2)</f>
        <v>219.86</v>
      </c>
    </row>
    <row r="14" spans="1:22" ht="11.25" customHeight="1" x14ac:dyDescent="0.25">
      <c r="A14" s="110"/>
      <c r="B14" s="110"/>
      <c r="C14" s="110"/>
      <c r="D14" s="51" t="s">
        <v>1116</v>
      </c>
      <c r="E14" s="49">
        <f ca="1">ROUND('TUSD BE'!$AM$14+'TUSD BF'!$AM$14+'TUSD CVA'!$AM$14,2)</f>
        <v>26.28</v>
      </c>
      <c r="F14" s="49">
        <f ca="1">ROUND('TUSD BE'!$AM$15+'TUSD BF'!$AM$15+'TUSD CVA'!$AM$15,2)</f>
        <v>77.88</v>
      </c>
      <c r="G14" s="49">
        <f>ROUND('TE BE'!$AB$8+'TE BF'!$AB$8+'TE CVA'!$AB$8,2)</f>
        <v>231.76</v>
      </c>
      <c r="H14" s="49">
        <f ca="1">ROUND('TUSD BE'!$AM$14,2)</f>
        <v>28.58</v>
      </c>
      <c r="I14" s="49">
        <f ca="1">ROUND('TUSD BE'!$AM$15,2)</f>
        <v>74.88</v>
      </c>
      <c r="J14" s="49">
        <f>ROUND('TE BE'!$AB$8,2)</f>
        <v>233.89</v>
      </c>
      <c r="L14" s="114"/>
      <c r="M14" s="115"/>
      <c r="N14" s="115"/>
      <c r="O14" s="115"/>
      <c r="P14" s="51" t="s">
        <v>1116</v>
      </c>
      <c r="Q14" s="49">
        <v>0</v>
      </c>
      <c r="R14" s="49">
        <f ca="1">ROUND(('TUSD BE'!$AM$46+'TUSD BF'!$AM$46+'TUSD CVA'!$AM$46)*(1-CUSTOS!$M$38),2)</f>
        <v>256.58999999999997</v>
      </c>
      <c r="S14" s="49">
        <f>ROUND(('TE BE'!$AB$25+'TE BF'!$AB$25+'TE CVA'!$AB$25)*(1-CUSTOS!$M$38),2)</f>
        <v>217.86</v>
      </c>
      <c r="T14" s="49">
        <v>0</v>
      </c>
      <c r="U14" s="49">
        <f ca="1">ROUND('TUSD BE'!$AM$46*(1-CUSTOS!$M$38),2)</f>
        <v>270.55</v>
      </c>
      <c r="V14" s="49">
        <f>ROUND('TE BE'!$AB$25*(1-CUSTOS!$M$38),2)</f>
        <v>219.86</v>
      </c>
    </row>
    <row r="15" spans="1:22" ht="11.25" customHeight="1" x14ac:dyDescent="0.25">
      <c r="A15" s="110"/>
      <c r="B15" s="111" t="s">
        <v>1117</v>
      </c>
      <c r="C15" s="111" t="s">
        <v>25</v>
      </c>
      <c r="D15" s="51" t="s">
        <v>1115</v>
      </c>
      <c r="E15" s="49">
        <f ca="1">ROUND('TUSD BE'!$AM$13+'TUSD BF'!$AM$13+'TUSD CVA'!$AM$13,2)</f>
        <v>52.23</v>
      </c>
      <c r="F15" s="49">
        <f ca="1">ROUND('TUSD BE'!$AM$16+'TUSD BF'!$AM$16+'TUSD CVA'!$AM$16,2)</f>
        <v>21.14</v>
      </c>
      <c r="G15" s="49">
        <v>0</v>
      </c>
      <c r="H15" s="49">
        <f ca="1">ROUND('TUSD BE'!$AM$13,2)</f>
        <v>56.96</v>
      </c>
      <c r="I15" s="49">
        <f ca="1">ROUND('TUSD BE'!$AM$16,2)</f>
        <v>25</v>
      </c>
      <c r="J15" s="49">
        <v>0</v>
      </c>
      <c r="L15" s="114"/>
      <c r="M15" s="51" t="s">
        <v>1124</v>
      </c>
      <c r="N15" s="51" t="s">
        <v>1127</v>
      </c>
      <c r="O15" s="51" t="s">
        <v>1128</v>
      </c>
      <c r="P15" s="51" t="s">
        <v>1118</v>
      </c>
      <c r="Q15" s="49">
        <v>0</v>
      </c>
      <c r="R15" s="49">
        <f ca="1">ROUND(('TUSD BE'!$AM$56+'TUSD BF'!$AM$56+'TUSD CVA'!$AM$56)*(1-CUSTOS!$M$38),2)</f>
        <v>335.21</v>
      </c>
      <c r="S15" s="49">
        <f>ROUND(('TE BE'!$AB$35+'TE BF'!$AB$35+'TE CVA'!$AB$35)*(1-CUSTOS!$M$38),2)</f>
        <v>227.92</v>
      </c>
      <c r="T15" s="49">
        <v>0</v>
      </c>
      <c r="U15" s="49">
        <f ca="1">ROUND(('TUSD BE'!$AM$56)*(1-CUSTOS!$M$38),2)</f>
        <v>356.34</v>
      </c>
      <c r="V15" s="49">
        <f>ROUND(('TE BE'!$AB$35)*(1-CUSTOS!$M$38),2)</f>
        <v>231.78</v>
      </c>
    </row>
    <row r="16" spans="1:22" ht="11.25" customHeight="1" x14ac:dyDescent="0.25">
      <c r="A16" s="110"/>
      <c r="B16" s="110"/>
      <c r="C16" s="110"/>
      <c r="D16" s="51" t="s">
        <v>1116</v>
      </c>
      <c r="E16" s="49">
        <f ca="1">ROUND('TUSD BE'!$AM$14+'TUSD BF'!$AM$14+'TUSD CVA'!$AM$14,2)</f>
        <v>26.28</v>
      </c>
      <c r="F16" s="49">
        <f ca="1">ROUND('TUSD BE'!$AM$16+'TUSD BF'!$AM$16+'TUSD CVA'!$AM$16,2)</f>
        <v>21.14</v>
      </c>
      <c r="G16" s="49">
        <v>0</v>
      </c>
      <c r="H16" s="49">
        <f ca="1">ROUND('TUSD BE'!$AM$14,2)</f>
        <v>28.58</v>
      </c>
      <c r="I16" s="49">
        <f ca="1">ROUND('TUSD BE'!$AM$16,2)</f>
        <v>25</v>
      </c>
      <c r="J16" s="49">
        <v>0</v>
      </c>
      <c r="L16" s="114"/>
      <c r="M16" s="51" t="s">
        <v>1126</v>
      </c>
      <c r="N16" s="51" t="s">
        <v>1127</v>
      </c>
      <c r="O16" s="51" t="s">
        <v>1128</v>
      </c>
      <c r="P16" s="51" t="s">
        <v>1118</v>
      </c>
      <c r="Q16" s="49">
        <v>0</v>
      </c>
      <c r="R16" s="49">
        <f ca="1">ROUND(('TUSD BE'!$AM$47+'TUSD BF'!$AM$47+'TUSD CVA'!$AM$47)*(1-CUSTOS!$M$38),2)</f>
        <v>335.21</v>
      </c>
      <c r="S16" s="49">
        <f>ROUND(('TE BE'!$AB$26+'TE BF'!$AB$26+'TE CVA'!$AB$26)*(1-CUSTOS!$M$38),2)</f>
        <v>227.92</v>
      </c>
      <c r="T16" s="49">
        <v>0</v>
      </c>
      <c r="U16" s="49">
        <f ca="1">ROUND(('TUSD BE'!$AM$47)*(1-CUSTOS!$M$38),2)</f>
        <v>356.34</v>
      </c>
      <c r="V16" s="49">
        <f>ROUND(('TE BE'!$AB$26)*(1-CUSTOS!$M$38),2)</f>
        <v>231.78</v>
      </c>
    </row>
    <row r="17" spans="1:22" ht="11.25" customHeight="1" x14ac:dyDescent="0.25">
      <c r="A17" s="110"/>
      <c r="B17" s="111" t="s">
        <v>42</v>
      </c>
      <c r="C17" s="111" t="s">
        <v>25</v>
      </c>
      <c r="D17" s="51" t="s">
        <v>1118</v>
      </c>
      <c r="E17" s="49">
        <f ca="1">ROUND('TUSD BE'!$AM$24+'TUSD BF'!$AM$24+'TUSD CVA'!$AM$24,2)</f>
        <v>26.28</v>
      </c>
      <c r="F17" s="49">
        <v>0</v>
      </c>
      <c r="G17" s="49">
        <v>0</v>
      </c>
      <c r="H17" s="49">
        <f ca="1">ROUND('TUSD BE'!$AM$24,2)</f>
        <v>28.58</v>
      </c>
      <c r="I17" s="49">
        <v>0</v>
      </c>
      <c r="J17" s="49">
        <v>0</v>
      </c>
      <c r="L17" s="114"/>
      <c r="M17" s="113" t="s">
        <v>1121</v>
      </c>
      <c r="N17" s="113" t="s">
        <v>1127</v>
      </c>
      <c r="O17" s="113" t="s">
        <v>1129</v>
      </c>
      <c r="P17" s="51" t="s">
        <v>1115</v>
      </c>
      <c r="Q17" s="49">
        <v>0</v>
      </c>
      <c r="R17" s="49">
        <f ca="1">ROUND(('TUSD BE'!$AM$48+'TUSD BF'!$AM$48+'TUSD CVA'!$AM$48)*(1-CUSTOS!$M$39),2)</f>
        <v>895.11</v>
      </c>
      <c r="S17" s="49">
        <f>ROUND(('TE BE'!$AB$27+'TE BF'!$AB$27+'TE CVA'!$AB$27)*(1-CUSTOS!$M$39),2)</f>
        <v>338.64</v>
      </c>
      <c r="T17" s="49">
        <v>0</v>
      </c>
      <c r="U17" s="49">
        <f ca="1">ROUND('TUSD BE'!$AM$48*(1-CUSTOS!$M$39),2)</f>
        <v>967.26</v>
      </c>
      <c r="V17" s="49">
        <f>ROUND('TE BE'!$AB$27*(1-CUSTOS!$M$39),2)</f>
        <v>362.9</v>
      </c>
    </row>
    <row r="18" spans="1:22" ht="11.25" customHeight="1" x14ac:dyDescent="0.25">
      <c r="A18" s="110"/>
      <c r="B18" s="110"/>
      <c r="C18" s="110"/>
      <c r="D18" s="51" t="s">
        <v>1115</v>
      </c>
      <c r="E18" s="49">
        <v>0</v>
      </c>
      <c r="F18" s="49">
        <f ca="1">ROUND('TUSD BE'!$AM$25+'TUSD BF'!$AM$25+'TUSD CVA'!$AM$25,2)</f>
        <v>1345.86</v>
      </c>
      <c r="G18" s="49">
        <f>ROUND('TE BE'!$AB$7+'TE BF'!$AB$7+'TE CVA'!$AB$7,2)</f>
        <v>360.26</v>
      </c>
      <c r="H18" s="49">
        <v>0</v>
      </c>
      <c r="I18" s="49">
        <f ca="1">ROUND('TUSD BE'!$AM$25,2)</f>
        <v>1457.64</v>
      </c>
      <c r="J18" s="49">
        <f>ROUND('TE BE'!$AB$7,2)</f>
        <v>386.07</v>
      </c>
      <c r="L18" s="114"/>
      <c r="M18" s="114"/>
      <c r="N18" s="114"/>
      <c r="O18" s="114"/>
      <c r="P18" s="51" t="s">
        <v>1123</v>
      </c>
      <c r="Q18" s="49">
        <v>0</v>
      </c>
      <c r="R18" s="49">
        <f ca="1">ROUND(('TUSD BE'!$AM$49+'TUSD BF'!$AM$49+'TUSD CVA'!$AM$49)*(1-CUSTOS!$M$39),2)</f>
        <v>575.85</v>
      </c>
      <c r="S18" s="49">
        <f>ROUND(('TE BE'!$AB$28+'TE BF'!$AB$28+'TE CVA'!$AB$28)*(1-CUSTOS!$M$39),2)</f>
        <v>217.86</v>
      </c>
      <c r="T18" s="49">
        <v>0</v>
      </c>
      <c r="U18" s="49">
        <f ca="1">ROUND('TUSD BE'!$AM$49*(1-CUSTOS!$M$39),2)</f>
        <v>618.91</v>
      </c>
      <c r="V18" s="49">
        <f>ROUND('TE BE'!$AB$28*(1-CUSTOS!$M$39),2)</f>
        <v>219.86</v>
      </c>
    </row>
    <row r="19" spans="1:22" ht="11.25" customHeight="1" x14ac:dyDescent="0.25">
      <c r="A19" s="110"/>
      <c r="B19" s="110"/>
      <c r="C19" s="110"/>
      <c r="D19" s="51" t="s">
        <v>1116</v>
      </c>
      <c r="E19" s="49">
        <v>0</v>
      </c>
      <c r="F19" s="49">
        <f ca="1">ROUND('TUSD BE'!$AM$26+'TUSD BF'!$AM$26+'TUSD CVA'!$AM$26,2)</f>
        <v>77.88</v>
      </c>
      <c r="G19" s="49">
        <f>ROUND('TE BE'!$AB$8+'TE BF'!$AB$8+'TE CVA'!$AB$8,2)</f>
        <v>231.76</v>
      </c>
      <c r="H19" s="49">
        <v>0</v>
      </c>
      <c r="I19" s="49">
        <f ca="1">ROUND('TUSD BE'!$AM$26,2)</f>
        <v>74.88</v>
      </c>
      <c r="J19" s="49">
        <f>ROUND('TE BE'!$AB$8,2)</f>
        <v>233.89</v>
      </c>
      <c r="L19" s="114"/>
      <c r="M19" s="115"/>
      <c r="N19" s="115"/>
      <c r="O19" s="115"/>
      <c r="P19" s="51" t="s">
        <v>1116</v>
      </c>
      <c r="Q19" s="49">
        <v>0</v>
      </c>
      <c r="R19" s="49">
        <f ca="1">ROUND(('TUSD BE'!$AM$50+'TUSD BF'!$AM$50+'TUSD CVA'!$AM$50)*(1-CUSTOS!$M$39),2)</f>
        <v>256.58999999999997</v>
      </c>
      <c r="S19" s="49">
        <f>ROUND(('TE BE'!$AB$29+'TE BF'!$AB$29+'TE CVA'!$AB$29)*(1-CUSTOS!$M$39),2)</f>
        <v>217.86</v>
      </c>
      <c r="T19" s="49">
        <v>0</v>
      </c>
      <c r="U19" s="49">
        <f ca="1">ROUND('TUSD BE'!$AM$50*(1-CUSTOS!$M$39),2)</f>
        <v>270.55</v>
      </c>
      <c r="V19" s="49">
        <f>ROUND('TE BE'!$AB$29*(1-CUSTOS!$M$39),2)</f>
        <v>219.86</v>
      </c>
    </row>
    <row r="20" spans="1:22" ht="11.25" customHeight="1" x14ac:dyDescent="0.25">
      <c r="A20" s="110"/>
      <c r="B20" s="111" t="s">
        <v>1119</v>
      </c>
      <c r="C20" s="111" t="s">
        <v>25</v>
      </c>
      <c r="D20" s="51" t="s">
        <v>1118</v>
      </c>
      <c r="E20" s="49">
        <f ca="1">ROUND('TUSD BE'!$AM$24+'TUSD BF'!$AM$24+'TUSD CVA'!$AM$24,2)</f>
        <v>26.28</v>
      </c>
      <c r="F20" s="49">
        <v>0</v>
      </c>
      <c r="G20" s="49">
        <v>0</v>
      </c>
      <c r="H20" s="49">
        <f ca="1">ROUND('TUSD BE'!$AM$24,2)</f>
        <v>28.58</v>
      </c>
      <c r="I20" s="49">
        <v>0</v>
      </c>
      <c r="J20" s="49">
        <v>0</v>
      </c>
      <c r="L20" s="114"/>
      <c r="M20" s="51" t="s">
        <v>1124</v>
      </c>
      <c r="N20" s="51" t="s">
        <v>1127</v>
      </c>
      <c r="O20" s="51" t="s">
        <v>1129</v>
      </c>
      <c r="P20" s="51" t="s">
        <v>1118</v>
      </c>
      <c r="Q20" s="49">
        <v>0</v>
      </c>
      <c r="R20" s="49">
        <f ca="1">ROUND(('TUSD BE'!$AM$56+'TUSD BF'!$AM$56+'TUSD CVA'!$AM$56)*(1-CUSTOS!$M$39),2)</f>
        <v>335.21</v>
      </c>
      <c r="S20" s="49">
        <f>ROUND(('TE BE'!$AB$35+'TE BF'!$AB$35+'TE CVA'!$AB$35)*(1-CUSTOS!$M$39),2)</f>
        <v>227.92</v>
      </c>
      <c r="T20" s="49">
        <v>0</v>
      </c>
      <c r="U20" s="49">
        <f ca="1">ROUND(('TUSD BE'!$AM$56)*(1-CUSTOS!$M$39),2)</f>
        <v>356.34</v>
      </c>
      <c r="V20" s="49">
        <f>ROUND(('TE BE'!$AB$35)*(1-CUSTOS!$M$39),2)</f>
        <v>231.78</v>
      </c>
    </row>
    <row r="21" spans="1:22" ht="11.25" customHeight="1" x14ac:dyDescent="0.25">
      <c r="A21" s="110"/>
      <c r="B21" s="110"/>
      <c r="C21" s="110"/>
      <c r="D21" s="51" t="s">
        <v>1115</v>
      </c>
      <c r="E21" s="49">
        <v>0</v>
      </c>
      <c r="F21" s="49">
        <f ca="1">ROUND('TUSD BE'!$AM$27+'TUSD BF'!$AM$27+'TUSD CVA'!$AM$27,2)</f>
        <v>1289.1300000000001</v>
      </c>
      <c r="G21" s="49">
        <v>0</v>
      </c>
      <c r="H21" s="49">
        <v>0</v>
      </c>
      <c r="I21" s="49">
        <f ca="1">ROUND('TUSD BE'!$AM$27,2)</f>
        <v>1407.76</v>
      </c>
      <c r="J21" s="49">
        <v>0</v>
      </c>
      <c r="L21" s="114"/>
      <c r="M21" s="51" t="s">
        <v>1126</v>
      </c>
      <c r="N21" s="51" t="s">
        <v>1127</v>
      </c>
      <c r="O21" s="51" t="s">
        <v>1129</v>
      </c>
      <c r="P21" s="51" t="s">
        <v>1118</v>
      </c>
      <c r="Q21" s="49">
        <v>0</v>
      </c>
      <c r="R21" s="49">
        <f ca="1">ROUND(('TUSD BE'!$AM$47+'TUSD BF'!$AM$47+'TUSD CVA'!$AM$47)*(1-CUSTOS!$M$39),2)</f>
        <v>335.21</v>
      </c>
      <c r="S21" s="49">
        <f>ROUND(('TE BE'!$AB$26+'TE BF'!$AB$26+'TE CVA'!$AB$26)*(1-CUSTOS!$M$39),2)</f>
        <v>227.92</v>
      </c>
      <c r="T21" s="49">
        <v>0</v>
      </c>
      <c r="U21" s="49">
        <f ca="1">ROUND(('TUSD BE'!$AM$47)*(1-CUSTOS!$M$39),2)</f>
        <v>356.34</v>
      </c>
      <c r="V21" s="49">
        <f>ROUND(('TE BE'!$AB$26)*(1-CUSTOS!$M$39),2)</f>
        <v>231.78</v>
      </c>
    </row>
    <row r="22" spans="1:22" ht="11.25" customHeight="1" x14ac:dyDescent="0.25">
      <c r="A22" s="110"/>
      <c r="B22" s="110"/>
      <c r="C22" s="110"/>
      <c r="D22" s="51" t="s">
        <v>1116</v>
      </c>
      <c r="E22" s="49">
        <v>0</v>
      </c>
      <c r="F22" s="49">
        <f ca="1">ROUND('TUSD BE'!$AM$28+'TUSD BF'!$AM$28+'TUSD CVA'!$AM$28,2)</f>
        <v>21.14</v>
      </c>
      <c r="G22" s="49">
        <v>0</v>
      </c>
      <c r="H22" s="49">
        <v>0</v>
      </c>
      <c r="I22" s="49">
        <f ca="1">ROUND('TUSD BE'!$AM$28,2)</f>
        <v>25</v>
      </c>
      <c r="J22" s="49">
        <v>0</v>
      </c>
      <c r="L22" s="114"/>
      <c r="M22" s="113" t="s">
        <v>1121</v>
      </c>
      <c r="N22" s="113" t="s">
        <v>1127</v>
      </c>
      <c r="O22" s="113" t="s">
        <v>1130</v>
      </c>
      <c r="P22" s="51" t="s">
        <v>1115</v>
      </c>
      <c r="Q22" s="49">
        <v>0</v>
      </c>
      <c r="R22" s="49">
        <f ca="1">ROUND(('TUSD BE'!$AM$52+'TUSD BF'!$AM$52+'TUSD CVA'!$AM$52)*(1-CUSTOS!$M$40),2)</f>
        <v>876.06</v>
      </c>
      <c r="S22" s="49">
        <f>ROUND(('TE BE'!$AB$31+'TE BF'!$AB$31+'TE CVA'!$AB$31)*(1-CUSTOS!$M$40),2)</f>
        <v>331.44</v>
      </c>
      <c r="T22" s="49">
        <v>0</v>
      </c>
      <c r="U22" s="49">
        <f ca="1">ROUND('TUSD BE'!$AM$52*(1-CUSTOS!$M$40),2)</f>
        <v>946.68</v>
      </c>
      <c r="V22" s="49">
        <f>ROUND('TE BE'!$AB$31*(1-CUSTOS!$M$40),2)</f>
        <v>355.18</v>
      </c>
    </row>
    <row r="23" spans="1:22" ht="11.25" customHeight="1" x14ac:dyDescent="0.25">
      <c r="A23" s="110"/>
      <c r="B23" s="111" t="s">
        <v>62</v>
      </c>
      <c r="C23" s="111" t="s">
        <v>63</v>
      </c>
      <c r="D23" s="51" t="s">
        <v>1115</v>
      </c>
      <c r="E23" s="49">
        <f ca="1">ROUND('TUSD BE'!$AM$17+'TUSD BF'!$AM$17+'TUSD CVA'!$AM$17-0*('TUSD BE'!$AC$17+'TUSD BF'!$AC$17+'TUSD CVA'!$AC$17),2)</f>
        <v>27.75</v>
      </c>
      <c r="F23" s="49">
        <f ca="1">ROUND('TUSD BE'!$AM$19+'TUSD BF'!$AM$19+'TUSD CVA'!$AM$19,2)</f>
        <v>13.74</v>
      </c>
      <c r="G23" s="49">
        <v>0</v>
      </c>
      <c r="H23" s="49">
        <f ca="1">ROUND('TUSD BE'!$AM$17-0*('TUSD BE'!$AC$17),2)</f>
        <v>27.27</v>
      </c>
      <c r="I23" s="49">
        <f ca="1">ROUND('TUSD BE'!$AM$19,2)</f>
        <v>14.7</v>
      </c>
      <c r="J23" s="49">
        <v>0</v>
      </c>
      <c r="L23" s="114"/>
      <c r="M23" s="114"/>
      <c r="N23" s="114"/>
      <c r="O23" s="114"/>
      <c r="P23" s="51" t="s">
        <v>1123</v>
      </c>
      <c r="Q23" s="49">
        <v>0</v>
      </c>
      <c r="R23" s="49">
        <f ca="1">ROUND(('TUSD BE'!$AM$53+'TUSD BF'!$AM$53+'TUSD CVA'!$AM$53)*(1-CUSTOS!$M$40),2)</f>
        <v>563.6</v>
      </c>
      <c r="S23" s="49">
        <f>ROUND(('TE BE'!$AB$32+'TE BF'!$AB$32+'TE CVA'!$AB$32)*(1-CUSTOS!$M$40),2)</f>
        <v>213.22</v>
      </c>
      <c r="T23" s="49">
        <v>0</v>
      </c>
      <c r="U23" s="49">
        <f ca="1">ROUND('TUSD BE'!$AM$53*(1-CUSTOS!$M$40),2)</f>
        <v>605.74</v>
      </c>
      <c r="V23" s="49">
        <f>ROUND('TE BE'!$AB$32*(1-CUSTOS!$M$40),2)</f>
        <v>215.18</v>
      </c>
    </row>
    <row r="24" spans="1:22" ht="11.25" customHeight="1" x14ac:dyDescent="0.25">
      <c r="A24" s="110"/>
      <c r="B24" s="110"/>
      <c r="C24" s="110"/>
      <c r="D24" s="51" t="s">
        <v>1116</v>
      </c>
      <c r="E24" s="49">
        <f ca="1">ROUND('TUSD BE'!$AM$18+'TUSD BF'!$AM$18+'TUSD CVA'!$AM$18-0*('TUSD BE'!$AC$18+'TUSD BF'!$AC$18+'TUSD CVA'!$AC$18),2)</f>
        <v>14.69</v>
      </c>
      <c r="F24" s="49">
        <f ca="1">ROUND('TUSD BE'!$AM$19+'TUSD BF'!$AM$19+'TUSD CVA'!$AM$19,2)</f>
        <v>13.74</v>
      </c>
      <c r="G24" s="49">
        <v>0</v>
      </c>
      <c r="H24" s="49">
        <f ca="1">ROUND('TUSD BE'!$AM$18-0*('TUSD BE'!$AC$18),2)</f>
        <v>14.39</v>
      </c>
      <c r="I24" s="49">
        <f ca="1">ROUND('TUSD BE'!$AM$19,2)</f>
        <v>14.7</v>
      </c>
      <c r="J24" s="49">
        <v>0</v>
      </c>
      <c r="L24" s="114"/>
      <c r="M24" s="115"/>
      <c r="N24" s="115"/>
      <c r="O24" s="115"/>
      <c r="P24" s="51" t="s">
        <v>1116</v>
      </c>
      <c r="Q24" s="49">
        <v>0</v>
      </c>
      <c r="R24" s="49">
        <f ca="1">ROUND(('TUSD BE'!$AM$54+'TUSD BF'!$AM$54+'TUSD CVA'!$AM$54)*(1-CUSTOS!$M$40),2)</f>
        <v>251.13</v>
      </c>
      <c r="S24" s="49">
        <f>ROUND(('TE BE'!$AB$33+'TE BF'!$AB$33+'TE CVA'!$AB$33)*(1-CUSTOS!$M$40),2)</f>
        <v>213.22</v>
      </c>
      <c r="T24" s="49">
        <v>0</v>
      </c>
      <c r="U24" s="49">
        <f ca="1">ROUND('TUSD BE'!$AM$54*(1-CUSTOS!$M$40),2)</f>
        <v>264.8</v>
      </c>
      <c r="V24" s="49">
        <f>ROUND('TE BE'!$AB$33*(1-CUSTOS!$M$40),2)</f>
        <v>215.18</v>
      </c>
    </row>
    <row r="25" spans="1:22" ht="11.25" customHeight="1" x14ac:dyDescent="0.25">
      <c r="A25" s="110"/>
      <c r="B25" s="110"/>
      <c r="C25" s="110"/>
      <c r="D25" s="51" t="s">
        <v>1118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L25" s="114"/>
      <c r="M25" s="51" t="s">
        <v>1124</v>
      </c>
      <c r="N25" s="51" t="s">
        <v>1127</v>
      </c>
      <c r="O25" s="51" t="s">
        <v>1130</v>
      </c>
      <c r="P25" s="51" t="s">
        <v>1118</v>
      </c>
      <c r="Q25" s="49">
        <v>0</v>
      </c>
      <c r="R25" s="49">
        <f ca="1">ROUND(('TUSD BE'!$AM$56+'TUSD BF'!$AM$56+'TUSD CVA'!$AM$56)*(1-CUSTOS!$M$40),2)</f>
        <v>328.08</v>
      </c>
      <c r="S25" s="49">
        <f>ROUND(('TE BE'!$AB$35+'TE BF'!$AB$35+'TE CVA'!$AB$35)*(1-CUSTOS!$M$40),2)</f>
        <v>223.07</v>
      </c>
      <c r="T25" s="49">
        <v>0</v>
      </c>
      <c r="U25" s="49">
        <f ca="1">ROUND(('TUSD BE'!$AM$56)*(1-CUSTOS!$M$40),2)</f>
        <v>348.76</v>
      </c>
      <c r="V25" s="49">
        <f>ROUND(('TE BE'!$AB$35)*(1-CUSTOS!$M$40),2)</f>
        <v>226.85</v>
      </c>
    </row>
    <row r="26" spans="1:22" ht="11.25" customHeight="1" x14ac:dyDescent="0.25">
      <c r="A26" s="110"/>
      <c r="B26" s="110"/>
      <c r="C26" s="111" t="s">
        <v>65</v>
      </c>
      <c r="D26" s="51" t="s">
        <v>1115</v>
      </c>
      <c r="E26" s="49">
        <f ca="1">ROUND('TUSD BE'!$AM$20+'TUSD BF'!$AM$20+'TUSD CVA'!$AM$20-0*('TUSD BE'!$AC$20+'TUSD BF'!$AC$20+'TUSD CVA'!$AC$20),2)</f>
        <v>27.75</v>
      </c>
      <c r="F26" s="49">
        <f ca="1">ROUND('TUSD BE'!$AM$22+'TUSD BF'!$AM$22+'TUSD CVA'!$AM$22,2)</f>
        <v>13.74</v>
      </c>
      <c r="G26" s="49">
        <v>0</v>
      </c>
      <c r="H26" s="49">
        <f ca="1">ROUND('TUSD BE'!$AM$20-0*('TUSD BE'!$AC$20),2)</f>
        <v>27.27</v>
      </c>
      <c r="I26" s="49">
        <f ca="1">ROUND('TUSD BE'!$AM$22,2)</f>
        <v>14.7</v>
      </c>
      <c r="J26" s="49">
        <v>0</v>
      </c>
      <c r="L26" s="115"/>
      <c r="M26" s="51" t="s">
        <v>1126</v>
      </c>
      <c r="N26" s="51" t="s">
        <v>1127</v>
      </c>
      <c r="O26" s="51" t="s">
        <v>1130</v>
      </c>
      <c r="P26" s="51" t="s">
        <v>1118</v>
      </c>
      <c r="Q26" s="49">
        <v>0</v>
      </c>
      <c r="R26" s="49">
        <f ca="1">ROUND(('TUSD BE'!$AM$47+'TUSD BF'!$AM$47+'TUSD CVA'!$AM$47)*(1-CUSTOS!$M$40),2)</f>
        <v>328.08</v>
      </c>
      <c r="S26" s="49">
        <f>ROUND(('TE BE'!$AB$26+'TE BF'!$AB$26+'TE CVA'!$AB$26)*(1-CUSTOS!$M$40),2)</f>
        <v>223.07</v>
      </c>
      <c r="T26" s="49">
        <v>0</v>
      </c>
      <c r="U26" s="49">
        <f ca="1">ROUND(('TUSD BE'!$AM$47)*(1-CUSTOS!$M$40),2)</f>
        <v>348.76</v>
      </c>
      <c r="V26" s="49">
        <f>ROUND(('TE BE'!$AB$26)*(1-CUSTOS!$M$40),2)</f>
        <v>226.85</v>
      </c>
    </row>
    <row r="27" spans="1:22" ht="11.25" customHeight="1" x14ac:dyDescent="0.25">
      <c r="A27" s="110"/>
      <c r="B27" s="110"/>
      <c r="C27" s="110"/>
      <c r="D27" s="51" t="s">
        <v>1116</v>
      </c>
      <c r="E27" s="49">
        <f ca="1">ROUND('TUSD BE'!$AM$21+'TUSD BF'!$AM$21+'TUSD CVA'!$AM$21-0*('TUSD BE'!$AC$21+'TUSD BF'!$AC$21+'TUSD CVA'!$AC$21),2)</f>
        <v>14.69</v>
      </c>
      <c r="F27" s="49">
        <f ca="1">ROUND('TUSD BE'!$AM$22+'TUSD BF'!$AM$22+'TUSD CVA'!$AM$22,2)</f>
        <v>13.74</v>
      </c>
      <c r="G27" s="49">
        <v>0</v>
      </c>
      <c r="H27" s="49">
        <f ca="1">ROUND('TUSD BE'!$AM$21-0*('TUSD BE'!$AC$21),2)</f>
        <v>14.39</v>
      </c>
      <c r="I27" s="49">
        <f ca="1">ROUND('TUSD BE'!$AM$22,2)</f>
        <v>14.7</v>
      </c>
      <c r="J27" s="49">
        <v>0</v>
      </c>
      <c r="L27" s="113" t="s">
        <v>37</v>
      </c>
      <c r="M27" s="113" t="s">
        <v>1121</v>
      </c>
      <c r="N27" s="113" t="s">
        <v>1118</v>
      </c>
      <c r="O27" s="113" t="s">
        <v>1118</v>
      </c>
      <c r="P27" s="51" t="s">
        <v>1115</v>
      </c>
      <c r="Q27" s="49">
        <v>0</v>
      </c>
      <c r="R27" s="49">
        <f ca="1">ROUND(('TUSD BE'!$AM$59+'TUSD BF'!$AM$59+'TUSD CVA'!$AM$59)*(1-CUSTOS!$M$31),2)</f>
        <v>964.92</v>
      </c>
      <c r="S27" s="49">
        <f>ROUND(('TE BE'!$AB$38+'TE BF'!$AB$38+'TE CVA'!$AB$38)*(1-CUSTOS!$M$31),2)</f>
        <v>360.26</v>
      </c>
      <c r="T27" s="49">
        <v>0</v>
      </c>
      <c r="U27" s="49">
        <f ca="1">ROUND('TUSD BE'!$AM$59*(1-CUSTOS!$M$31),2)</f>
        <v>1042.82</v>
      </c>
      <c r="V27" s="49">
        <f>ROUND('TE BE'!$AB$38*(1-CUSTOS!$M$31),2)</f>
        <v>386.07</v>
      </c>
    </row>
    <row r="28" spans="1:22" ht="11.25" customHeight="1" x14ac:dyDescent="0.25">
      <c r="A28" s="110"/>
      <c r="B28" s="110"/>
      <c r="C28" s="110"/>
      <c r="D28" s="51" t="s">
        <v>1118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L28" s="114"/>
      <c r="M28" s="114"/>
      <c r="N28" s="114"/>
      <c r="O28" s="114"/>
      <c r="P28" s="51" t="s">
        <v>1123</v>
      </c>
      <c r="Q28" s="49">
        <v>0</v>
      </c>
      <c r="R28" s="49">
        <f ca="1">ROUND(('TUSD BE'!$AM$60+'TUSD BF'!$AM$60+'TUSD CVA'!$AM$60)*(1-CUSTOS!$M$31),2)</f>
        <v>620.21</v>
      </c>
      <c r="S28" s="49">
        <f>ROUND(('TE BE'!$AB$39+'TE BF'!$AB$39+'TE CVA'!$AB$39)*(1-CUSTOS!$M$31),2)</f>
        <v>231.76</v>
      </c>
      <c r="T28" s="49">
        <v>0</v>
      </c>
      <c r="U28" s="49">
        <f ca="1">ROUND('TUSD BE'!$AM$60*(1-CUSTOS!$M$31),2)</f>
        <v>666.71</v>
      </c>
      <c r="V28" s="49">
        <f>ROUND('TE BE'!$AB$39*(1-CUSTOS!$M$31),2)</f>
        <v>233.89</v>
      </c>
    </row>
    <row r="29" spans="1:22" ht="11.25" customHeight="1" x14ac:dyDescent="0.25">
      <c r="A29" s="110"/>
      <c r="B29" s="51" t="s">
        <v>66</v>
      </c>
      <c r="C29" s="51" t="s">
        <v>25</v>
      </c>
      <c r="D29" s="51" t="s">
        <v>1118</v>
      </c>
      <c r="E29" s="49">
        <f ca="1">ROUND('TUSD BE'!$AM$23+'TUSD BF'!$AM$23+'TUSD CVA'!$AM$23,2)</f>
        <v>14.49</v>
      </c>
      <c r="F29" s="49">
        <v>0</v>
      </c>
      <c r="G29" s="49">
        <v>0</v>
      </c>
      <c r="H29" s="49">
        <f ca="1">ROUND('TUSD BE'!$AM$23,2)</f>
        <v>15.95</v>
      </c>
      <c r="I29" s="49">
        <v>0</v>
      </c>
      <c r="J29" s="49">
        <v>0</v>
      </c>
      <c r="L29" s="114"/>
      <c r="M29" s="115"/>
      <c r="N29" s="115"/>
      <c r="O29" s="115"/>
      <c r="P29" s="51" t="s">
        <v>1116</v>
      </c>
      <c r="Q29" s="49">
        <v>0</v>
      </c>
      <c r="R29" s="49">
        <f ca="1">ROUND(('TUSD BE'!$AM$61+'TUSD BF'!$AM$61+'TUSD CVA'!$AM$61)*(1-CUSTOS!$M$31),2)</f>
        <v>275.5</v>
      </c>
      <c r="S29" s="49">
        <f>ROUND(('TE BE'!$AB$40+'TE BF'!$AB$40+'TE CVA'!$AB$40)*(1-CUSTOS!$M$31),2)</f>
        <v>231.76</v>
      </c>
      <c r="T29" s="49">
        <v>0</v>
      </c>
      <c r="U29" s="49">
        <f ca="1">ROUND('TUSD BE'!$AM$61*(1-CUSTOS!$M$31),2)</f>
        <v>290.58999999999997</v>
      </c>
      <c r="V29" s="49">
        <f>ROUND('TE BE'!$AB$40*(1-CUSTOS!$M$31),2)</f>
        <v>233.89</v>
      </c>
    </row>
    <row r="30" spans="1:22" ht="11.25" customHeight="1" x14ac:dyDescent="0.25">
      <c r="L30" s="114"/>
      <c r="M30" s="51" t="s">
        <v>1124</v>
      </c>
      <c r="N30" s="51" t="s">
        <v>1118</v>
      </c>
      <c r="O30" s="51" t="s">
        <v>1118</v>
      </c>
      <c r="P30" s="51" t="s">
        <v>1118</v>
      </c>
      <c r="Q30" s="49">
        <v>0</v>
      </c>
      <c r="R30" s="49">
        <f ca="1">ROUND(('TUSD BE'!$AM$63+'TUSD BF'!$AM$63+'TUSD CVA'!$AM$63)*(1-CUSTOS!$M$31),2)</f>
        <v>356.61</v>
      </c>
      <c r="S30" s="49">
        <f>ROUND(('TE BE'!$AB$42+'TE BF'!$AB$42+'TE CVA'!$AB$42)*(1-CUSTOS!$M$31),2)</f>
        <v>242.47</v>
      </c>
      <c r="T30" s="49">
        <v>0</v>
      </c>
      <c r="U30" s="49">
        <f ca="1">ROUND(('TUSD BE'!$AM$63)*(1-CUSTOS!$M$31),2)</f>
        <v>379.09</v>
      </c>
      <c r="V30" s="49">
        <f>ROUND(('TE BE'!$AB$42)*(1-CUSTOS!$M$31),2)</f>
        <v>246.58</v>
      </c>
    </row>
    <row r="31" spans="1:22" ht="11.25" customHeight="1" x14ac:dyDescent="0.25">
      <c r="L31" s="115"/>
      <c r="M31" s="51" t="s">
        <v>1126</v>
      </c>
      <c r="N31" s="51" t="s">
        <v>1118</v>
      </c>
      <c r="O31" s="51" t="s">
        <v>1118</v>
      </c>
      <c r="P31" s="51" t="s">
        <v>1118</v>
      </c>
      <c r="Q31" s="49">
        <v>0</v>
      </c>
      <c r="R31" s="49">
        <f ca="1">ROUND(('TUSD BE'!$AM$62+'TUSD BF'!$AM$62+'TUSD CVA'!$AM$62)*(1-CUSTOS!$M$31),2)</f>
        <v>356.61</v>
      </c>
      <c r="S31" s="49">
        <f>ROUND(('TE BE'!$AB$41+'TE BF'!$AB$41+'TE CVA'!$AB$41)*(1-CUSTOS!$M$31),2)</f>
        <v>242.47</v>
      </c>
      <c r="T31" s="49">
        <v>0</v>
      </c>
      <c r="U31" s="49">
        <f ca="1">ROUND(('TUSD BE'!$AM$62)*(1-CUSTOS!$M$31),2)</f>
        <v>379.09</v>
      </c>
      <c r="V31" s="49">
        <f>ROUND(('TE BE'!$AB$41)*(1-CUSTOS!$M$31),2)</f>
        <v>246.58</v>
      </c>
    </row>
    <row r="32" spans="1:22" ht="11.25" customHeight="1" x14ac:dyDescent="0.25">
      <c r="L32" s="113" t="s">
        <v>47</v>
      </c>
      <c r="M32" s="113" t="s">
        <v>1126</v>
      </c>
      <c r="N32" s="113" t="s">
        <v>1131</v>
      </c>
      <c r="O32" s="51" t="s">
        <v>1132</v>
      </c>
      <c r="P32" s="51" t="s">
        <v>1118</v>
      </c>
      <c r="Q32" s="49">
        <v>0</v>
      </c>
      <c r="R32" s="49">
        <f ca="1">ROUND(('TUSD BE'!$AM$64+'TUSD BF'!$AM$64+'TUSD CVA'!$AM$64),2)</f>
        <v>196.14</v>
      </c>
      <c r="S32" s="49">
        <f>ROUND(('TE BE'!$AB$43+'TE BF'!$AB$43+'TE CVA'!$AB$43),2)</f>
        <v>133.36000000000001</v>
      </c>
      <c r="T32" s="49">
        <v>0</v>
      </c>
      <c r="U32" s="49">
        <f ca="1">ROUND(('TUSD BE'!$AM$64),2)</f>
        <v>208.5</v>
      </c>
      <c r="V32" s="49">
        <f>ROUND(('TE BE'!$AB$43),2)</f>
        <v>135.62</v>
      </c>
    </row>
    <row r="33" spans="12:22" ht="11.25" customHeight="1" x14ac:dyDescent="0.25">
      <c r="L33" s="115"/>
      <c r="M33" s="115"/>
      <c r="N33" s="115"/>
      <c r="O33" s="51" t="s">
        <v>1133</v>
      </c>
      <c r="P33" s="51" t="s">
        <v>1118</v>
      </c>
      <c r="Q33" s="49">
        <v>0</v>
      </c>
      <c r="R33" s="49">
        <f ca="1">ROUND(('TUSD BE'!$AM$65+'TUSD BF'!$AM$65+'TUSD CVA'!$AM$65),2)</f>
        <v>213.97</v>
      </c>
      <c r="S33" s="49">
        <f>ROUND(('TE BE'!$AB$44+'TE BF'!$AB$44+'TE CVA'!$AB$44),2)</f>
        <v>145.47999999999999</v>
      </c>
      <c r="T33" s="49">
        <v>0</v>
      </c>
      <c r="U33" s="49">
        <f ca="1">ROUND(('TUSD BE'!$AM$65),2)</f>
        <v>227.45</v>
      </c>
      <c r="V33" s="49">
        <f>ROUND(('TE BE'!$AB$44),2)</f>
        <v>147.94999999999999</v>
      </c>
    </row>
    <row r="34" spans="12:22" ht="11.25" customHeight="1" x14ac:dyDescent="0.25">
      <c r="L34" s="113" t="s">
        <v>110</v>
      </c>
      <c r="M34" s="113" t="s">
        <v>68</v>
      </c>
      <c r="N34" s="51" t="s">
        <v>111</v>
      </c>
      <c r="O34" s="51" t="s">
        <v>1118</v>
      </c>
      <c r="P34" s="51" t="s">
        <v>1118</v>
      </c>
      <c r="Q34" s="49">
        <f ca="1">ROUND(('TUSD BE'!$AM$29+'TUSD BF'!$AM$29+'TUSD CVA'!$AM$29),2)</f>
        <v>6.08</v>
      </c>
      <c r="R34" s="49">
        <v>0</v>
      </c>
      <c r="S34" s="49">
        <v>0</v>
      </c>
      <c r="T34" s="49">
        <f ca="1">ROUND(('TUSD BE'!$AM$29),2)</f>
        <v>6.69</v>
      </c>
      <c r="U34" s="49">
        <v>0</v>
      </c>
      <c r="V34" s="49">
        <v>0</v>
      </c>
    </row>
    <row r="35" spans="12:22" ht="11.25" customHeight="1" x14ac:dyDescent="0.25">
      <c r="L35" s="115"/>
      <c r="M35" s="115"/>
      <c r="N35" s="51" t="s">
        <v>112</v>
      </c>
      <c r="O35" s="51" t="s">
        <v>1118</v>
      </c>
      <c r="P35" s="51" t="s">
        <v>1118</v>
      </c>
      <c r="Q35" s="49">
        <f ca="1">ROUND(('TUSD BE'!$AM$30+'TUSD BF'!$AM$30+'TUSD CVA'!$AM$30),2)</f>
        <v>16.91</v>
      </c>
      <c r="R35" s="49">
        <v>0</v>
      </c>
      <c r="S35" s="49">
        <v>0</v>
      </c>
      <c r="T35" s="49">
        <f ca="1">ROUND(('TUSD BE'!$AM$30),2)</f>
        <v>18.61</v>
      </c>
      <c r="U35" s="49">
        <v>0</v>
      </c>
      <c r="V35" s="49">
        <v>0</v>
      </c>
    </row>
  </sheetData>
  <mergeCells count="61">
    <mergeCell ref="N27:N29"/>
    <mergeCell ref="N32:N33"/>
    <mergeCell ref="O5:O7"/>
    <mergeCell ref="O12:O14"/>
    <mergeCell ref="O17:O19"/>
    <mergeCell ref="O22:O24"/>
    <mergeCell ref="O27:O29"/>
    <mergeCell ref="L32:L33"/>
    <mergeCell ref="L34:L35"/>
    <mergeCell ref="M5:M7"/>
    <mergeCell ref="M12:M14"/>
    <mergeCell ref="M17:M19"/>
    <mergeCell ref="M22:M24"/>
    <mergeCell ref="M27:M29"/>
    <mergeCell ref="M32:M33"/>
    <mergeCell ref="M34:M35"/>
    <mergeCell ref="L27:L31"/>
    <mergeCell ref="Q3:R3"/>
    <mergeCell ref="T2:V2"/>
    <mergeCell ref="T3:U3"/>
    <mergeCell ref="L5:L11"/>
    <mergeCell ref="L12:L26"/>
    <mergeCell ref="N5:N7"/>
    <mergeCell ref="N12:N14"/>
    <mergeCell ref="N17:N19"/>
    <mergeCell ref="N22:N24"/>
    <mergeCell ref="C20:C22"/>
    <mergeCell ref="C23:C25"/>
    <mergeCell ref="C26:C28"/>
    <mergeCell ref="L1:V1"/>
    <mergeCell ref="L2:L4"/>
    <mergeCell ref="M2:M4"/>
    <mergeCell ref="N2:N4"/>
    <mergeCell ref="O2:O4"/>
    <mergeCell ref="P2:P4"/>
    <mergeCell ref="Q2:S2"/>
    <mergeCell ref="C5:C6"/>
    <mergeCell ref="C7:C8"/>
    <mergeCell ref="C9:C11"/>
    <mergeCell ref="C13:C14"/>
    <mergeCell ref="C15:C16"/>
    <mergeCell ref="C17:C19"/>
    <mergeCell ref="A5:A12"/>
    <mergeCell ref="A13:A29"/>
    <mergeCell ref="B5:B6"/>
    <mergeCell ref="B7:B8"/>
    <mergeCell ref="B9:B11"/>
    <mergeCell ref="B13:B14"/>
    <mergeCell ref="B15:B16"/>
    <mergeCell ref="B17:B19"/>
    <mergeCell ref="B20:B22"/>
    <mergeCell ref="B23:B28"/>
    <mergeCell ref="A1:J1"/>
    <mergeCell ref="A2:A4"/>
    <mergeCell ref="B2:B4"/>
    <mergeCell ref="C2:C4"/>
    <mergeCell ref="D2:D4"/>
    <mergeCell ref="E2:G2"/>
    <mergeCell ref="E3:F3"/>
    <mergeCell ref="H2:J2"/>
    <mergeCell ref="H3:I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3AE83-22D5-41DD-B1FF-EB087919AC48}">
  <dimension ref="A1:AN2216"/>
  <sheetViews>
    <sheetView showGridLines="0" workbookViewId="0">
      <selection sqref="A1:O2216 Q1:AJ13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25" style="4" bestFit="1" customWidth="1"/>
    <col min="8" max="8" width="10.28515625" style="4" bestFit="1" customWidth="1"/>
    <col min="9" max="9" width="8.7109375" style="5" bestFit="1" customWidth="1"/>
    <col min="10" max="10" width="10.140625" style="6" bestFit="1" customWidth="1"/>
    <col min="11" max="12" width="10.85546875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8.71093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62" t="s">
        <v>8</v>
      </c>
      <c r="J1" s="50" t="s">
        <v>1081</v>
      </c>
      <c r="K1" s="50" t="s">
        <v>1082</v>
      </c>
      <c r="L1" s="50" t="s">
        <v>1083</v>
      </c>
      <c r="M1" s="50" t="s">
        <v>1084</v>
      </c>
      <c r="N1" s="50" t="s">
        <v>1085</v>
      </c>
      <c r="O1" s="50" t="s">
        <v>1086</v>
      </c>
      <c r="P1" s="7"/>
      <c r="Q1" s="107" t="s">
        <v>1087</v>
      </c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L1" s="54" t="s">
        <v>1108</v>
      </c>
      <c r="AM1" s="54" t="s">
        <v>89</v>
      </c>
      <c r="AN1" s="54" t="s">
        <v>1109</v>
      </c>
    </row>
    <row r="2" spans="1:40" ht="11.25" customHeight="1" x14ac:dyDescent="0.2">
      <c r="A2" s="55" t="s">
        <v>21</v>
      </c>
      <c r="B2" s="55" t="s">
        <v>39</v>
      </c>
      <c r="C2" s="55" t="s">
        <v>40</v>
      </c>
      <c r="D2" s="55" t="s">
        <v>43</v>
      </c>
      <c r="E2" s="55" t="s">
        <v>25</v>
      </c>
      <c r="F2" s="55" t="s">
        <v>25</v>
      </c>
      <c r="G2" s="55" t="s">
        <v>25</v>
      </c>
      <c r="H2" s="55" t="s">
        <v>35</v>
      </c>
      <c r="I2" s="63">
        <v>44409</v>
      </c>
      <c r="J2" s="64">
        <f ca="1">EFEITO!$J$2*EFEITO!$Y$2</f>
        <v>86260.53917504198</v>
      </c>
      <c r="K2" s="64">
        <f ca="1">EFEITO!$L$2*EFEITO!$Z$2</f>
        <v>0</v>
      </c>
      <c r="L2" s="64">
        <f>EFEITO!$N$2*EFEITO!$AA$2</f>
        <v>0</v>
      </c>
      <c r="M2" s="64">
        <f ca="1">$J$2-EFEITO!$K$2*EFEITO!$Y$2</f>
        <v>0</v>
      </c>
      <c r="N2" s="64">
        <f ca="1">$K$2-EFEITO!$M$2*EFEITO!$Z$2</f>
        <v>0</v>
      </c>
      <c r="O2" s="64">
        <f>$L$2-EFEITO!$O$2*EFEITO!$AA$2</f>
        <v>0</v>
      </c>
      <c r="P2" s="19"/>
      <c r="Q2" s="48" t="s">
        <v>92</v>
      </c>
      <c r="R2" s="48" t="s">
        <v>1089</v>
      </c>
      <c r="S2" s="48" t="s">
        <v>1090</v>
      </c>
      <c r="T2" s="48" t="s">
        <v>1091</v>
      </c>
      <c r="U2" s="48" t="s">
        <v>1092</v>
      </c>
      <c r="V2" s="48" t="s">
        <v>1093</v>
      </c>
      <c r="W2" s="48" t="s">
        <v>1094</v>
      </c>
      <c r="X2" s="65" t="s">
        <v>1095</v>
      </c>
      <c r="Y2" s="65" t="s">
        <v>1096</v>
      </c>
      <c r="Z2" s="65" t="s">
        <v>1097</v>
      </c>
      <c r="AA2" s="65" t="s">
        <v>1098</v>
      </c>
      <c r="AB2" s="65" t="s">
        <v>1099</v>
      </c>
      <c r="AC2" s="65" t="s">
        <v>1100</v>
      </c>
      <c r="AD2" s="65" t="s">
        <v>1101</v>
      </c>
      <c r="AE2" s="65" t="s">
        <v>1102</v>
      </c>
      <c r="AF2" s="65" t="s">
        <v>1103</v>
      </c>
      <c r="AG2" s="65" t="s">
        <v>1104</v>
      </c>
      <c r="AH2" s="65" t="s">
        <v>1105</v>
      </c>
      <c r="AI2" s="65" t="s">
        <v>1106</v>
      </c>
      <c r="AJ2" s="65" t="s">
        <v>1107</v>
      </c>
      <c r="AL2" s="55"/>
      <c r="AM2" s="55"/>
      <c r="AN2" s="55"/>
    </row>
    <row r="3" spans="1:40" ht="11.25" customHeight="1" x14ac:dyDescent="0.2">
      <c r="A3" s="55" t="s">
        <v>21</v>
      </c>
      <c r="B3" s="55" t="s">
        <v>39</v>
      </c>
      <c r="C3" s="55" t="s">
        <v>40</v>
      </c>
      <c r="D3" s="55" t="s">
        <v>43</v>
      </c>
      <c r="E3" s="55" t="s">
        <v>25</v>
      </c>
      <c r="F3" s="55" t="s">
        <v>25</v>
      </c>
      <c r="G3" s="55" t="s">
        <v>25</v>
      </c>
      <c r="H3" s="55" t="s">
        <v>35</v>
      </c>
      <c r="I3" s="63">
        <v>44440</v>
      </c>
      <c r="J3" s="64">
        <f ca="1">EFEITO!$J$3*EFEITO!$Y$3</f>
        <v>80731.017433052111</v>
      </c>
      <c r="K3" s="64">
        <f ca="1">EFEITO!$L$3*EFEITO!$Z$3</f>
        <v>0</v>
      </c>
      <c r="L3" s="64">
        <f>EFEITO!$N$3*EFEITO!$AA$3</f>
        <v>0</v>
      </c>
      <c r="M3" s="64">
        <f ca="1">$J$3-EFEITO!$K$3*EFEITO!$Y$3</f>
        <v>0</v>
      </c>
      <c r="N3" s="64">
        <f ca="1">$K$3-EFEITO!$M$3*EFEITO!$Z$3</f>
        <v>0</v>
      </c>
      <c r="O3" s="64">
        <f>$L$3-EFEITO!$O$3*EFEITO!$AA$3</f>
        <v>0</v>
      </c>
      <c r="P3" s="19"/>
      <c r="Q3" s="64" t="s">
        <v>1088</v>
      </c>
      <c r="R3" s="64">
        <f>SUMIF($B$2:$B$2216,$Q$3,$J$2:$J$2216)</f>
        <v>0</v>
      </c>
      <c r="S3" s="64">
        <f>SUMIF($B$2:$B$2216,$Q$3,$K$2:$K$2216)</f>
        <v>0</v>
      </c>
      <c r="T3" s="64">
        <f>SUMIF($B$2:$B$2216,$Q$3,$L$2:$L$2216)</f>
        <v>0</v>
      </c>
      <c r="U3" s="64">
        <f>SUMIF($B$2:$B$2216,$Q$3,$M$2:$M$2216)</f>
        <v>0</v>
      </c>
      <c r="V3" s="64">
        <f>SUMIF($B$2:$B$2216,$Q$3,$N$2:$N$2216)</f>
        <v>0</v>
      </c>
      <c r="W3" s="64">
        <f>SUMIF($B$2:$B$2216,$Q$3,$O$2:$O$2216)</f>
        <v>0</v>
      </c>
      <c r="X3" s="56">
        <f>$R$3-$U$3</f>
        <v>0</v>
      </c>
      <c r="Y3" s="56">
        <f>$S$3-$V$3</f>
        <v>0</v>
      </c>
      <c r="Z3" s="56">
        <f>$T$3-$W$3</f>
        <v>0</v>
      </c>
      <c r="AA3" s="56">
        <f>SUMIF(EFEITO!$B$2:$B$2216,$Q$3,EFEITO!$AE$2:$AE$2216)</f>
        <v>0</v>
      </c>
      <c r="AB3" s="56">
        <f>SUMIF(EFEITO!$B$2:$B$2216,$Q$3,EFEITO!$AF$2:$AF$2216)</f>
        <v>0</v>
      </c>
      <c r="AC3" s="56">
        <f>SUMIF(EFEITO!$B$2:$B$2216,$Q$3,EFEITO!$AG$2:$AH$2216)</f>
        <v>0</v>
      </c>
      <c r="AD3" s="56">
        <f>SUMIF(SUBSIDIO!$B$2:$B$2216,$Q$3,SUBSIDIO!$AD$2:$AD$2216)</f>
        <v>0</v>
      </c>
      <c r="AE3" s="56">
        <f>SUMIF(SUBSIDIO!$B$2:$B$2216,$Q$3,SUBSIDIO!$AE$2:$AE$2216)</f>
        <v>0</v>
      </c>
      <c r="AF3" s="56" t="str">
        <f>IF(ABS($X$3-$AA$3)&lt;0.01,"OK","ERRO")</f>
        <v>OK</v>
      </c>
      <c r="AG3" s="56" t="str">
        <f>IF(ABS($Y$3-$AB$3)&lt;0.01,"OK","ERRO")</f>
        <v>OK</v>
      </c>
      <c r="AH3" s="56" t="str">
        <f>IF(ABS($Z$3-$AC$3)&lt;0.01,"OK","ERRO")</f>
        <v>OK</v>
      </c>
      <c r="AI3" s="56" t="str">
        <f>IF(ABS($U$3-$AD$3)&lt;0.01,"OK","ERRO")</f>
        <v>OK</v>
      </c>
      <c r="AJ3" s="56" t="str">
        <f>IF(ABS(($V$3+$W$3)-$AE$3)&lt;0.01,"OK","ERRO")</f>
        <v>OK</v>
      </c>
    </row>
    <row r="4" spans="1:40" ht="11.25" customHeight="1" x14ac:dyDescent="0.2">
      <c r="A4" s="55" t="s">
        <v>21</v>
      </c>
      <c r="B4" s="55" t="s">
        <v>39</v>
      </c>
      <c r="C4" s="55" t="s">
        <v>40</v>
      </c>
      <c r="D4" s="55" t="s">
        <v>43</v>
      </c>
      <c r="E4" s="55" t="s">
        <v>25</v>
      </c>
      <c r="F4" s="55" t="s">
        <v>25</v>
      </c>
      <c r="G4" s="55" t="s">
        <v>25</v>
      </c>
      <c r="H4" s="55" t="s">
        <v>35</v>
      </c>
      <c r="I4" s="63">
        <v>44470</v>
      </c>
      <c r="J4" s="64">
        <f ca="1">EFEITO!$J$4*EFEITO!$Y$4</f>
        <v>80731.017433052111</v>
      </c>
      <c r="K4" s="64">
        <f ca="1">EFEITO!$L$4*EFEITO!$Z$4</f>
        <v>0</v>
      </c>
      <c r="L4" s="64">
        <f>EFEITO!$N$4*EFEITO!$AA$4</f>
        <v>0</v>
      </c>
      <c r="M4" s="64">
        <f ca="1">$J$4-EFEITO!$K$4*EFEITO!$Y$4</f>
        <v>0</v>
      </c>
      <c r="N4" s="64">
        <f ca="1">$K$4-EFEITO!$M$4*EFEITO!$Z$4</f>
        <v>0</v>
      </c>
      <c r="O4" s="64">
        <f>$L$4-EFEITO!$O$4*EFEITO!$AA$4</f>
        <v>0</v>
      </c>
      <c r="P4" s="19"/>
      <c r="Q4" s="64" t="s">
        <v>1064</v>
      </c>
      <c r="R4" s="64">
        <f>SUMIF($B$2:$B$2216,$Q$4,$J$2:$J$2216)</f>
        <v>0</v>
      </c>
      <c r="S4" s="64">
        <f>SUMIF($B$2:$B$2216,$Q$4,$K$2:$K$2216)</f>
        <v>0</v>
      </c>
      <c r="T4" s="64">
        <f>SUMIF($B$2:$B$2216,$Q$4,$L$2:$L$2216)</f>
        <v>0</v>
      </c>
      <c r="U4" s="64">
        <f>SUMIF($B$2:$B$2216,$Q$4,$M$2:$M$2216)</f>
        <v>0</v>
      </c>
      <c r="V4" s="64">
        <f>SUMIF($B$2:$B$2216,$Q$4,$N$2:$N$2216)</f>
        <v>0</v>
      </c>
      <c r="W4" s="64">
        <f>SUMIF($B$2:$B$2216,$Q$4,$O$2:$O$2216)</f>
        <v>0</v>
      </c>
      <c r="X4" s="56">
        <f>$R$4-$U$4</f>
        <v>0</v>
      </c>
      <c r="Y4" s="56">
        <f>$S$4-$V$4</f>
        <v>0</v>
      </c>
      <c r="Z4" s="56">
        <f>$T$4-$W$4</f>
        <v>0</v>
      </c>
      <c r="AA4" s="56">
        <f>SUMIF(EFEITO!$B$2:$B$2216,$Q$4,EFEITO!$AE$2:$AE$2216)</f>
        <v>0</v>
      </c>
      <c r="AB4" s="56">
        <f>SUMIF(EFEITO!$B$2:$B$2216,$Q$4,EFEITO!$AF$2:$AF$2216)</f>
        <v>0</v>
      </c>
      <c r="AC4" s="56">
        <f>SUMIF(EFEITO!$B$2:$B$2216,$Q$4,EFEITO!$AG$2:$AH$2216)</f>
        <v>0</v>
      </c>
      <c r="AD4" s="56">
        <f>SUMIF(SUBSIDIO!$B$2:$B$2216,$Q$4,SUBSIDIO!$AD$2:$AD$2216)</f>
        <v>0</v>
      </c>
      <c r="AE4" s="56">
        <f>SUMIF(SUBSIDIO!$B$2:$B$2216,$Q$4,SUBSIDIO!$AE$2:$AE$2216)</f>
        <v>0</v>
      </c>
      <c r="AF4" s="56" t="str">
        <f>IF(ABS($X$4-$AA$4)&lt;0.01,"OK","ERRO")</f>
        <v>OK</v>
      </c>
      <c r="AG4" s="56" t="str">
        <f>IF(ABS($Y$4-$AB$4)&lt;0.01,"OK","ERRO")</f>
        <v>OK</v>
      </c>
      <c r="AH4" s="56" t="str">
        <f>IF(ABS($Z$4-$AC$4)&lt;0.01,"OK","ERRO")</f>
        <v>OK</v>
      </c>
      <c r="AI4" s="56" t="str">
        <f>IF(ABS($U$4-$AD$4)&lt;0.01,"OK","ERRO")</f>
        <v>OK</v>
      </c>
      <c r="AJ4" s="56" t="str">
        <f>IF(ABS(($V$4+$W$4)-$AE$4)&lt;0.01,"OK","ERRO")</f>
        <v>OK</v>
      </c>
    </row>
    <row r="5" spans="1:40" ht="11.25" customHeight="1" x14ac:dyDescent="0.2">
      <c r="A5" s="55" t="s">
        <v>21</v>
      </c>
      <c r="B5" s="55" t="s">
        <v>39</v>
      </c>
      <c r="C5" s="55" t="s">
        <v>40</v>
      </c>
      <c r="D5" s="55" t="s">
        <v>43</v>
      </c>
      <c r="E5" s="55" t="s">
        <v>25</v>
      </c>
      <c r="F5" s="55" t="s">
        <v>25</v>
      </c>
      <c r="G5" s="55" t="s">
        <v>25</v>
      </c>
      <c r="H5" s="55" t="s">
        <v>35</v>
      </c>
      <c r="I5" s="63">
        <v>44501</v>
      </c>
      <c r="J5" s="64">
        <f ca="1">EFEITO!$J$5*EFEITO!$Y$5</f>
        <v>80731.017433052111</v>
      </c>
      <c r="K5" s="64">
        <f ca="1">EFEITO!$L$5*EFEITO!$Z$5</f>
        <v>0</v>
      </c>
      <c r="L5" s="64">
        <f>EFEITO!$N$5*EFEITO!$AA$5</f>
        <v>0</v>
      </c>
      <c r="M5" s="64">
        <f ca="1">$J$5-EFEITO!$K$5*EFEITO!$Y$5</f>
        <v>0</v>
      </c>
      <c r="N5" s="64">
        <f ca="1">$K$5-EFEITO!$M$5*EFEITO!$Z$5</f>
        <v>0</v>
      </c>
      <c r="O5" s="64">
        <f>$L$5-EFEITO!$O$5*EFEITO!$AA$5</f>
        <v>0</v>
      </c>
      <c r="P5" s="19"/>
      <c r="Q5" s="64" t="s">
        <v>39</v>
      </c>
      <c r="R5" s="64">
        <f ca="1">SUMIF($B$2:$B$2216,$Q$5,$J$2:$J$2216)</f>
        <v>83617405.572222158</v>
      </c>
      <c r="S5" s="64">
        <f ca="1">SUMIF($B$2:$B$2216,$Q$5,$K$2:$K$2216)</f>
        <v>36557239.808003046</v>
      </c>
      <c r="T5" s="64">
        <f>SUMIF($B$2:$B$2216,$Q$5,$L$2:$L$2216)</f>
        <v>22662008.02869118</v>
      </c>
      <c r="U5" s="64">
        <f ca="1">SUMIF($B$2:$B$2216,$Q$5,$M$2:$M$2216)</f>
        <v>17472253.767439462</v>
      </c>
      <c r="V5" s="64">
        <f ca="1">SUMIF($B$2:$B$2216,$Q$5,$N$2:$N$2216)</f>
        <v>126967.80529899849</v>
      </c>
      <c r="W5" s="64">
        <f>SUMIF($B$2:$B$2216,$Q$5,$O$2:$O$2216)</f>
        <v>555998.39601702197</v>
      </c>
      <c r="X5" s="56">
        <f ca="1">$R$5-$U$5</f>
        <v>66145151.804782696</v>
      </c>
      <c r="Y5" s="56">
        <f ca="1">$S$5-$V$5</f>
        <v>36430272.002704047</v>
      </c>
      <c r="Z5" s="56">
        <f>$T$5-$W$5</f>
        <v>22106009.632674158</v>
      </c>
      <c r="AA5" s="56">
        <f ca="1">SUMIF(EFEITO!$B$2:$B$2216,$Q$5,EFEITO!$AE$2:$AE$2216)</f>
        <v>66145151.804782651</v>
      </c>
      <c r="AB5" s="56">
        <f ca="1">SUMIF(EFEITO!$B$2:$B$2216,$Q$5,EFEITO!$AF$2:$AF$2216)</f>
        <v>36430272.002704054</v>
      </c>
      <c r="AC5" s="56">
        <f>SUMIF(EFEITO!$B$2:$B$2216,$Q$5,EFEITO!$AG$2:$AH$2216)</f>
        <v>22106009.632674165</v>
      </c>
      <c r="AD5" s="56">
        <f ca="1">SUMIF(SUBSIDIO!$B$2:$B$2216,$Q$5,SUBSIDIO!$AD$2:$AD$2216)</f>
        <v>17472253.767439462</v>
      </c>
      <c r="AE5" s="56">
        <f ca="1">SUMIF(SUBSIDIO!$B$2:$B$2216,$Q$5,SUBSIDIO!$AE$2:$AE$2216)</f>
        <v>682966.20131601999</v>
      </c>
      <c r="AF5" s="56" t="str">
        <f ca="1">IF(ABS($X$5-$AA$5)&lt;0.01,"OK","ERRO")</f>
        <v>OK</v>
      </c>
      <c r="AG5" s="56" t="str">
        <f ca="1">IF(ABS($Y$5-$AB$5)&lt;0.01,"OK","ERRO")</f>
        <v>OK</v>
      </c>
      <c r="AH5" s="56" t="str">
        <f>IF(ABS($Z$5-$AC$5)&lt;0.01,"OK","ERRO")</f>
        <v>OK</v>
      </c>
      <c r="AI5" s="56" t="str">
        <f ca="1">IF(ABS($U$5-$AD$5)&lt;0.01,"OK","ERRO")</f>
        <v>OK</v>
      </c>
      <c r="AJ5" s="56" t="str">
        <f ca="1">IF(ABS(($V$5+$W$5)-$AE$5)&lt;0.01,"OK","ERRO")</f>
        <v>OK</v>
      </c>
    </row>
    <row r="6" spans="1:40" ht="11.25" customHeight="1" x14ac:dyDescent="0.2">
      <c r="A6" s="55" t="s">
        <v>21</v>
      </c>
      <c r="B6" s="55" t="s">
        <v>39</v>
      </c>
      <c r="C6" s="55" t="s">
        <v>40</v>
      </c>
      <c r="D6" s="55" t="s">
        <v>43</v>
      </c>
      <c r="E6" s="55" t="s">
        <v>25</v>
      </c>
      <c r="F6" s="55" t="s">
        <v>25</v>
      </c>
      <c r="G6" s="55" t="s">
        <v>25</v>
      </c>
      <c r="H6" s="55" t="s">
        <v>35</v>
      </c>
      <c r="I6" s="63">
        <v>44531</v>
      </c>
      <c r="J6" s="64">
        <f ca="1">EFEITO!$J$6*EFEITO!$Y$6</f>
        <v>83418.364999659185</v>
      </c>
      <c r="K6" s="64">
        <f ca="1">EFEITO!$L$6*EFEITO!$Z$6</f>
        <v>0</v>
      </c>
      <c r="L6" s="64">
        <f>EFEITO!$N$6*EFEITO!$AA$6</f>
        <v>0</v>
      </c>
      <c r="M6" s="64">
        <f ca="1">$J$6-EFEITO!$K$6*EFEITO!$Y$6</f>
        <v>0</v>
      </c>
      <c r="N6" s="64">
        <f ca="1">$K$6-EFEITO!$M$6*EFEITO!$Z$6</f>
        <v>0</v>
      </c>
      <c r="O6" s="64">
        <f>$L$6-EFEITO!$O$6*EFEITO!$AA$6</f>
        <v>0</v>
      </c>
      <c r="P6" s="19"/>
      <c r="Q6" s="64" t="s">
        <v>1065</v>
      </c>
      <c r="R6" s="64">
        <f>SUMIF($B$2:$B$2216,$Q$6,$J$2:$J$2216)</f>
        <v>0</v>
      </c>
      <c r="S6" s="64">
        <f>SUMIF($B$2:$B$2216,$Q$6,$K$2:$K$2216)</f>
        <v>0</v>
      </c>
      <c r="T6" s="64">
        <f>SUMIF($B$2:$B$2216,$Q$6,$L$2:$L$2216)</f>
        <v>0</v>
      </c>
      <c r="U6" s="64">
        <f>SUMIF($B$2:$B$2216,$Q$6,$M$2:$M$2216)</f>
        <v>0</v>
      </c>
      <c r="V6" s="64">
        <f>SUMIF($B$2:$B$2216,$Q$6,$N$2:$N$2216)</f>
        <v>0</v>
      </c>
      <c r="W6" s="64">
        <f>SUMIF($B$2:$B$2216,$Q$6,$O$2:$O$2216)</f>
        <v>0</v>
      </c>
      <c r="X6" s="56">
        <f>$R$6-$U$6</f>
        <v>0</v>
      </c>
      <c r="Y6" s="56">
        <f>$S$6-$V$6</f>
        <v>0</v>
      </c>
      <c r="Z6" s="56">
        <f>$T$6-$W$6</f>
        <v>0</v>
      </c>
      <c r="AA6" s="56">
        <f>SUMIF(EFEITO!$B$2:$B$2216,$Q$6,EFEITO!$AE$2:$AE$2216)</f>
        <v>0</v>
      </c>
      <c r="AB6" s="56">
        <f>SUMIF(EFEITO!$B$2:$B$2216,$Q$6,EFEITO!$AF$2:$AF$2216)</f>
        <v>0</v>
      </c>
      <c r="AC6" s="56">
        <f>SUMIF(EFEITO!$B$2:$B$2216,$Q$6,EFEITO!$AG$2:$AH$2216)</f>
        <v>0</v>
      </c>
      <c r="AD6" s="56">
        <f>SUMIF(SUBSIDIO!$B$2:$B$2216,$Q$6,SUBSIDIO!$AD$2:$AD$2216)</f>
        <v>0</v>
      </c>
      <c r="AE6" s="56">
        <f>SUMIF(SUBSIDIO!$B$2:$B$2216,$Q$6,SUBSIDIO!$AE$2:$AE$2216)</f>
        <v>0</v>
      </c>
      <c r="AF6" s="56" t="str">
        <f>IF(ABS($X$6-$AA$6)&lt;0.01,"OK","ERRO")</f>
        <v>OK</v>
      </c>
      <c r="AG6" s="56" t="str">
        <f>IF(ABS($Y$6-$AB$6)&lt;0.01,"OK","ERRO")</f>
        <v>OK</v>
      </c>
      <c r="AH6" s="56" t="str">
        <f>IF(ABS($Z$6-$AC$6)&lt;0.01,"OK","ERRO")</f>
        <v>OK</v>
      </c>
      <c r="AI6" s="56" t="str">
        <f>IF(ABS($U$6-$AD$6)&lt;0.01,"OK","ERRO")</f>
        <v>OK</v>
      </c>
      <c r="AJ6" s="56" t="str">
        <f>IF(ABS(($V$6+$W$6)-$AE$6)&lt;0.01,"OK","ERRO")</f>
        <v>OK</v>
      </c>
    </row>
    <row r="7" spans="1:40" ht="11.25" customHeight="1" x14ac:dyDescent="0.2">
      <c r="A7" s="55" t="s">
        <v>21</v>
      </c>
      <c r="B7" s="55" t="s">
        <v>39</v>
      </c>
      <c r="C7" s="55" t="s">
        <v>40</v>
      </c>
      <c r="D7" s="55" t="s">
        <v>43</v>
      </c>
      <c r="E7" s="55" t="s">
        <v>25</v>
      </c>
      <c r="F7" s="55" t="s">
        <v>25</v>
      </c>
      <c r="G7" s="55" t="s">
        <v>25</v>
      </c>
      <c r="H7" s="55" t="s">
        <v>35</v>
      </c>
      <c r="I7" s="63">
        <v>44562</v>
      </c>
      <c r="J7" s="64">
        <f ca="1">EFEITO!$J$7*EFEITO!$Y$7</f>
        <v>82024.925520677731</v>
      </c>
      <c r="K7" s="64">
        <f ca="1">EFEITO!$L$7*EFEITO!$Z$7</f>
        <v>0</v>
      </c>
      <c r="L7" s="64">
        <f>EFEITO!$N$7*EFEITO!$AA$7</f>
        <v>0</v>
      </c>
      <c r="M7" s="64">
        <f ca="1">$J$7-EFEITO!$K$7*EFEITO!$Y$7</f>
        <v>0</v>
      </c>
      <c r="N7" s="64">
        <f ca="1">$K$7-EFEITO!$M$7*EFEITO!$Z$7</f>
        <v>0</v>
      </c>
      <c r="O7" s="64">
        <f>$L$7-EFEITO!$O$7*EFEITO!$AA$7</f>
        <v>0</v>
      </c>
      <c r="P7" s="19"/>
      <c r="Q7" s="64" t="s">
        <v>41</v>
      </c>
      <c r="R7" s="64">
        <f ca="1">SUMIF($B$2:$B$2216,$Q$7,$J$2:$J$2216)</f>
        <v>130755787.7714628</v>
      </c>
      <c r="S7" s="64">
        <f ca="1">SUMIF($B$2:$B$2216,$Q$7,$K$2:$K$2216)</f>
        <v>110743298.11065546</v>
      </c>
      <c r="T7" s="64">
        <f>SUMIF($B$2:$B$2216,$Q$7,$L$2:$L$2216)</f>
        <v>141920059.59539539</v>
      </c>
      <c r="U7" s="64">
        <f ca="1">SUMIF($B$2:$B$2216,$Q$7,$M$2:$M$2216)</f>
        <v>16766112.87768783</v>
      </c>
      <c r="V7" s="64">
        <f ca="1">SUMIF($B$2:$B$2216,$Q$7,$N$2:$N$2216)</f>
        <v>8845525.0734004043</v>
      </c>
      <c r="W7" s="64">
        <f>SUMIF($B$2:$B$2216,$Q$7,$O$2:$O$2216)</f>
        <v>4349604.7725497345</v>
      </c>
      <c r="X7" s="56">
        <f ca="1">$R$7-$U$7</f>
        <v>113989674.89377497</v>
      </c>
      <c r="Y7" s="56">
        <f ca="1">$S$7-$V$7</f>
        <v>101897773.03725505</v>
      </c>
      <c r="Z7" s="56">
        <f>$T$7-$W$7</f>
        <v>137570454.82284564</v>
      </c>
      <c r="AA7" s="56">
        <f ca="1">SUMIF(EFEITO!$B$2:$B$2216,$Q$7,EFEITO!$AE$2:$AE$2216)</f>
        <v>113989674.89377452</v>
      </c>
      <c r="AB7" s="56">
        <f ca="1">SUMIF(EFEITO!$B$2:$B$2216,$Q$7,EFEITO!$AF$2:$AF$2216)</f>
        <v>101897773.03725508</v>
      </c>
      <c r="AC7" s="56">
        <f>SUMIF(EFEITO!$B$2:$B$2216,$Q$7,EFEITO!$AG$2:$AH$2216)</f>
        <v>137570454.82284561</v>
      </c>
      <c r="AD7" s="56">
        <f ca="1">SUMIF(SUBSIDIO!$B$2:$B$2216,$Q$7,SUBSIDIO!$AD$2:$AD$2216)</f>
        <v>16766112.877687832</v>
      </c>
      <c r="AE7" s="56">
        <f ca="1">SUMIF(SUBSIDIO!$B$2:$B$2216,$Q$7,SUBSIDIO!$AE$2:$AE$2216)</f>
        <v>13195129.845950134</v>
      </c>
      <c r="AF7" s="56" t="str">
        <f ca="1">IF(ABS($X$7-$AA$7)&lt;0.01,"OK","ERRO")</f>
        <v>OK</v>
      </c>
      <c r="AG7" s="56" t="str">
        <f ca="1">IF(ABS($Y$7-$AB$7)&lt;0.01,"OK","ERRO")</f>
        <v>OK</v>
      </c>
      <c r="AH7" s="56" t="str">
        <f>IF(ABS($Z$7-$AC$7)&lt;0.01,"OK","ERRO")</f>
        <v>OK</v>
      </c>
      <c r="AI7" s="56" t="str">
        <f ca="1">IF(ABS($U$7-$AD$7)&lt;0.01,"OK","ERRO")</f>
        <v>OK</v>
      </c>
      <c r="AJ7" s="56" t="str">
        <f ca="1">IF(ABS(($V$7+$W$7)-$AE$7)&lt;0.01,"OK","ERRO")</f>
        <v>OK</v>
      </c>
    </row>
    <row r="8" spans="1:40" ht="11.25" customHeight="1" x14ac:dyDescent="0.2">
      <c r="A8" s="55" t="s">
        <v>21</v>
      </c>
      <c r="B8" s="55" t="s">
        <v>39</v>
      </c>
      <c r="C8" s="55" t="s">
        <v>40</v>
      </c>
      <c r="D8" s="55" t="s">
        <v>43</v>
      </c>
      <c r="E8" s="55" t="s">
        <v>25</v>
      </c>
      <c r="F8" s="55" t="s">
        <v>25</v>
      </c>
      <c r="G8" s="55" t="s">
        <v>25</v>
      </c>
      <c r="H8" s="55" t="s">
        <v>35</v>
      </c>
      <c r="I8" s="63">
        <v>44593</v>
      </c>
      <c r="J8" s="64">
        <f ca="1">EFEITO!$J$8*EFEITO!$Y$8</f>
        <v>80819.489780923948</v>
      </c>
      <c r="K8" s="64">
        <f ca="1">EFEITO!$L$8*EFEITO!$Z$8</f>
        <v>0</v>
      </c>
      <c r="L8" s="64">
        <f>EFEITO!$N$8*EFEITO!$AA$8</f>
        <v>0</v>
      </c>
      <c r="M8" s="64">
        <f ca="1">$J$8-EFEITO!$K$8*EFEITO!$Y$8</f>
        <v>0</v>
      </c>
      <c r="N8" s="64">
        <f ca="1">$K$8-EFEITO!$M$8*EFEITO!$Z$8</f>
        <v>0</v>
      </c>
      <c r="O8" s="64">
        <f>$L$8-EFEITO!$O$8*EFEITO!$AA$8</f>
        <v>0</v>
      </c>
      <c r="P8" s="19"/>
      <c r="Q8" s="64" t="s">
        <v>1066</v>
      </c>
      <c r="R8" s="64">
        <f>SUMIF($B$2:$B$2216,$Q$8,$J$2:$J$2216)</f>
        <v>0</v>
      </c>
      <c r="S8" s="64">
        <f>SUMIF($B$2:$B$2216,$Q$8,$K$2:$K$2216)</f>
        <v>0</v>
      </c>
      <c r="T8" s="64">
        <f>SUMIF($B$2:$B$2216,$Q$8,$L$2:$L$2216)</f>
        <v>0</v>
      </c>
      <c r="U8" s="64">
        <f>SUMIF($B$2:$B$2216,$Q$8,$M$2:$M$2216)</f>
        <v>0</v>
      </c>
      <c r="V8" s="64">
        <f>SUMIF($B$2:$B$2216,$Q$8,$N$2:$N$2216)</f>
        <v>0</v>
      </c>
      <c r="W8" s="64">
        <f>SUMIF($B$2:$B$2216,$Q$8,$O$2:$O$2216)</f>
        <v>0</v>
      </c>
      <c r="X8" s="56">
        <f>$R$8-$U$8</f>
        <v>0</v>
      </c>
      <c r="Y8" s="56">
        <f>$S$8-$V$8</f>
        <v>0</v>
      </c>
      <c r="Z8" s="56">
        <f>$T$8-$W$8</f>
        <v>0</v>
      </c>
      <c r="AA8" s="56">
        <f>SUMIF(EFEITO!$B$2:$B$2216,$Q$8,EFEITO!$AE$2:$AE$2216)</f>
        <v>0</v>
      </c>
      <c r="AB8" s="56">
        <f>SUMIF(EFEITO!$B$2:$B$2216,$Q$8,EFEITO!$AF$2:$AF$2216)</f>
        <v>0</v>
      </c>
      <c r="AC8" s="56">
        <f>SUMIF(EFEITO!$B$2:$B$2216,$Q$8,EFEITO!$AG$2:$AH$2216)</f>
        <v>0</v>
      </c>
      <c r="AD8" s="56">
        <f>SUMIF(SUBSIDIO!$B$2:$B$2216,$Q$8,SUBSIDIO!$AD$2:$AD$2216)</f>
        <v>0</v>
      </c>
      <c r="AE8" s="56">
        <f>SUMIF(SUBSIDIO!$B$2:$B$2216,$Q$8,SUBSIDIO!$AE$2:$AE$2216)</f>
        <v>0</v>
      </c>
      <c r="AF8" s="56" t="str">
        <f>IF(ABS($X$8-$AA$8)&lt;0.01,"OK","ERRO")</f>
        <v>OK</v>
      </c>
      <c r="AG8" s="56" t="str">
        <f>IF(ABS($Y$8-$AB$8)&lt;0.01,"OK","ERRO")</f>
        <v>OK</v>
      </c>
      <c r="AH8" s="56" t="str">
        <f>IF(ABS($Z$8-$AC$8)&lt;0.01,"OK","ERRO")</f>
        <v>OK</v>
      </c>
      <c r="AI8" s="56" t="str">
        <f>IF(ABS($U$8-$AD$8)&lt;0.01,"OK","ERRO")</f>
        <v>OK</v>
      </c>
      <c r="AJ8" s="56" t="str">
        <f>IF(ABS(($V$8+$W$8)-$AE$8)&lt;0.01,"OK","ERRO")</f>
        <v>OK</v>
      </c>
    </row>
    <row r="9" spans="1:40" ht="11.25" customHeight="1" x14ac:dyDescent="0.2">
      <c r="A9" s="55" t="s">
        <v>21</v>
      </c>
      <c r="B9" s="55" t="s">
        <v>39</v>
      </c>
      <c r="C9" s="55" t="s">
        <v>40</v>
      </c>
      <c r="D9" s="55" t="s">
        <v>43</v>
      </c>
      <c r="E9" s="55" t="s">
        <v>25</v>
      </c>
      <c r="F9" s="55" t="s">
        <v>25</v>
      </c>
      <c r="G9" s="55" t="s">
        <v>25</v>
      </c>
      <c r="H9" s="55" t="s">
        <v>35</v>
      </c>
      <c r="I9" s="63">
        <v>44621</v>
      </c>
      <c r="J9" s="64">
        <f ca="1">EFEITO!$J$9*EFEITO!$Y$9</f>
        <v>80731.017433052111</v>
      </c>
      <c r="K9" s="64">
        <f ca="1">EFEITO!$L$9*EFEITO!$Z$9</f>
        <v>0</v>
      </c>
      <c r="L9" s="64">
        <f>EFEITO!$N$9*EFEITO!$AA$9</f>
        <v>0</v>
      </c>
      <c r="M9" s="64">
        <f ca="1">$J$9-EFEITO!$K$9*EFEITO!$Y$9</f>
        <v>0</v>
      </c>
      <c r="N9" s="64">
        <f ca="1">$K$9-EFEITO!$M$9*EFEITO!$Z$9</f>
        <v>0</v>
      </c>
      <c r="O9" s="64">
        <f>$L$9-EFEITO!$O$9*EFEITO!$AA$9</f>
        <v>0</v>
      </c>
      <c r="P9" s="19"/>
      <c r="Q9" s="64" t="s">
        <v>22</v>
      </c>
      <c r="R9" s="64">
        <f>SUMIF($B$2:$B$2216,$Q$9,$J$2:$J$2216)</f>
        <v>0</v>
      </c>
      <c r="S9" s="64">
        <f ca="1">SUMIF($B$2:$B$2216,$Q$9,$K$2:$K$2216)</f>
        <v>676993461.63125014</v>
      </c>
      <c r="T9" s="64">
        <f>SUMIF($B$2:$B$2216,$Q$9,$L$2:$L$2216)</f>
        <v>486959578.95791435</v>
      </c>
      <c r="U9" s="64">
        <f>SUMIF($B$2:$B$2216,$Q$9,$M$2:$M$2216)</f>
        <v>0</v>
      </c>
      <c r="V9" s="64">
        <f ca="1">SUMIF($B$2:$B$2216,$Q$9,$N$2:$N$2216)</f>
        <v>65941976.527208</v>
      </c>
      <c r="W9" s="64">
        <f>SUMIF($B$2:$B$2216,$Q$9,$O$2:$O$2216)</f>
        <v>54708011.86292351</v>
      </c>
      <c r="X9" s="56">
        <f>$R$9-$U$9</f>
        <v>0</v>
      </c>
      <c r="Y9" s="56">
        <f ca="1">$S$9-$V$9</f>
        <v>611051485.10404217</v>
      </c>
      <c r="Z9" s="56">
        <f>$T$9-$W$9</f>
        <v>432251567.09499085</v>
      </c>
      <c r="AA9" s="56">
        <f>SUMIF(EFEITO!$B$2:$B$2216,$Q$9,EFEITO!$AE$2:$AE$2216)</f>
        <v>0</v>
      </c>
      <c r="AB9" s="56">
        <f ca="1">SUMIF(EFEITO!$B$2:$B$2216,$Q$9,EFEITO!$AF$2:$AF$2216)</f>
        <v>611051485.10404122</v>
      </c>
      <c r="AC9" s="56">
        <f>SUMIF(EFEITO!$B$2:$B$2216,$Q$9,EFEITO!$AG$2:$AH$2216)</f>
        <v>432251567.09499037</v>
      </c>
      <c r="AD9" s="56">
        <f>SUMIF(SUBSIDIO!$B$2:$B$2216,$Q$9,SUBSIDIO!$AD$2:$AD$2216)</f>
        <v>0</v>
      </c>
      <c r="AE9" s="56">
        <f ca="1">SUMIF(SUBSIDIO!$B$2:$B$2216,$Q$9,SUBSIDIO!$AE$2:$AE$2216)</f>
        <v>120649988.3901315</v>
      </c>
      <c r="AF9" s="56" t="str">
        <f>IF(ABS($X$9-$AA$9)&lt;0.01,"OK","ERRO")</f>
        <v>OK</v>
      </c>
      <c r="AG9" s="56" t="str">
        <f ca="1">IF(ABS($Y$9-$AB$9)&lt;0.01,"OK","ERRO")</f>
        <v>OK</v>
      </c>
      <c r="AH9" s="56" t="str">
        <f>IF(ABS($Z$9-$AC$9)&lt;0.01,"OK","ERRO")</f>
        <v>OK</v>
      </c>
      <c r="AI9" s="56" t="str">
        <f>IF(ABS($U$9-$AD$9)&lt;0.01,"OK","ERRO")</f>
        <v>OK</v>
      </c>
      <c r="AJ9" s="56" t="str">
        <f ca="1">IF(ABS(($V$9+$W$9)-$AE$9)&lt;0.01,"OK","ERRO")</f>
        <v>OK</v>
      </c>
    </row>
    <row r="10" spans="1:40" ht="11.25" customHeight="1" x14ac:dyDescent="0.2">
      <c r="A10" s="55" t="s">
        <v>21</v>
      </c>
      <c r="B10" s="55" t="s">
        <v>39</v>
      </c>
      <c r="C10" s="55" t="s">
        <v>40</v>
      </c>
      <c r="D10" s="55" t="s">
        <v>43</v>
      </c>
      <c r="E10" s="55" t="s">
        <v>25</v>
      </c>
      <c r="F10" s="55" t="s">
        <v>25</v>
      </c>
      <c r="G10" s="55" t="s">
        <v>25</v>
      </c>
      <c r="H10" s="55" t="s">
        <v>35</v>
      </c>
      <c r="I10" s="63">
        <v>44652</v>
      </c>
      <c r="J10" s="64">
        <f ca="1">EFEITO!$J$10*EFEITO!$Y$10</f>
        <v>80731.017433052111</v>
      </c>
      <c r="K10" s="64">
        <f ca="1">EFEITO!$L$10*EFEITO!$Z$10</f>
        <v>0</v>
      </c>
      <c r="L10" s="64">
        <f>EFEITO!$N$10*EFEITO!$AA$10</f>
        <v>0</v>
      </c>
      <c r="M10" s="64">
        <f ca="1">$J$10-EFEITO!$K$10*EFEITO!$Y$10</f>
        <v>0</v>
      </c>
      <c r="N10" s="64">
        <f ca="1">$K$10-EFEITO!$M$10*EFEITO!$Z$10</f>
        <v>0</v>
      </c>
      <c r="O10" s="64">
        <f>$L$10-EFEITO!$O$10*EFEITO!$AA$10</f>
        <v>0</v>
      </c>
      <c r="P10" s="19"/>
      <c r="Q10" s="64" t="s">
        <v>44</v>
      </c>
      <c r="R10" s="64">
        <f>SUMIF($B$2:$B$2216,$Q$10,$J$2:$J$2216)</f>
        <v>0</v>
      </c>
      <c r="S10" s="64">
        <f ca="1">SUMIF($B$2:$B$2216,$Q$10,$K$2:$K$2216)</f>
        <v>89805582.991734847</v>
      </c>
      <c r="T10" s="64">
        <f>SUMIF($B$2:$B$2216,$Q$10,$L$2:$L$2216)</f>
        <v>61064696.427397512</v>
      </c>
      <c r="U10" s="64">
        <f>SUMIF($B$2:$B$2216,$Q$10,$M$2:$M$2216)</f>
        <v>0</v>
      </c>
      <c r="V10" s="64">
        <f ca="1">SUMIF($B$2:$B$2216,$Q$10,$N$2:$N$2216)</f>
        <v>17369944.719560128</v>
      </c>
      <c r="W10" s="64">
        <f>SUMIF($B$2:$B$2216,$Q$10,$O$2:$O$2216)</f>
        <v>11810566.568919383</v>
      </c>
      <c r="X10" s="56">
        <f>$R$10-$U$10</f>
        <v>0</v>
      </c>
      <c r="Y10" s="56">
        <f ca="1">$S$10-$V$10</f>
        <v>72435638.272174716</v>
      </c>
      <c r="Z10" s="56">
        <f>$T$10-$W$10</f>
        <v>49254129.858478129</v>
      </c>
      <c r="AA10" s="56">
        <f>SUMIF(EFEITO!$B$2:$B$2216,$Q$10,EFEITO!$AE$2:$AE$2216)</f>
        <v>0</v>
      </c>
      <c r="AB10" s="56">
        <f ca="1">SUMIF(EFEITO!$B$2:$B$2216,$Q$10,EFEITO!$AF$2:$AF$2216)</f>
        <v>72435638.272174716</v>
      </c>
      <c r="AC10" s="56">
        <f>SUMIF(EFEITO!$B$2:$B$2216,$Q$10,EFEITO!$AG$2:$AH$2216)</f>
        <v>49254129.858478159</v>
      </c>
      <c r="AD10" s="56">
        <f>SUMIF(SUBSIDIO!$B$2:$B$2216,$Q$10,SUBSIDIO!$AD$2:$AD$2216)</f>
        <v>0</v>
      </c>
      <c r="AE10" s="56">
        <f ca="1">SUMIF(SUBSIDIO!$B$2:$B$2216,$Q$10,SUBSIDIO!$AE$2:$AE$2216)</f>
        <v>29180511.288479526</v>
      </c>
      <c r="AF10" s="56" t="str">
        <f>IF(ABS($X$10-$AA$10)&lt;0.01,"OK","ERRO")</f>
        <v>OK</v>
      </c>
      <c r="AG10" s="56" t="str">
        <f ca="1">IF(ABS($Y$10-$AB$10)&lt;0.01,"OK","ERRO")</f>
        <v>OK</v>
      </c>
      <c r="AH10" s="56" t="str">
        <f>IF(ABS($Z$10-$AC$10)&lt;0.01,"OK","ERRO")</f>
        <v>OK</v>
      </c>
      <c r="AI10" s="56" t="str">
        <f>IF(ABS($U$10-$AD$10)&lt;0.01,"OK","ERRO")</f>
        <v>OK</v>
      </c>
      <c r="AJ10" s="56" t="str">
        <f ca="1">IF(ABS(($V$10+$W$10)-$AE$10)&lt;0.01,"OK","ERRO")</f>
        <v>OK</v>
      </c>
    </row>
    <row r="11" spans="1:40" ht="11.25" customHeight="1" x14ac:dyDescent="0.2">
      <c r="A11" s="55" t="s">
        <v>21</v>
      </c>
      <c r="B11" s="55" t="s">
        <v>39</v>
      </c>
      <c r="C11" s="55" t="s">
        <v>40</v>
      </c>
      <c r="D11" s="55" t="s">
        <v>43</v>
      </c>
      <c r="E11" s="55" t="s">
        <v>25</v>
      </c>
      <c r="F11" s="55" t="s">
        <v>25</v>
      </c>
      <c r="G11" s="55" t="s">
        <v>25</v>
      </c>
      <c r="H11" s="55" t="s">
        <v>35</v>
      </c>
      <c r="I11" s="63">
        <v>44682</v>
      </c>
      <c r="J11" s="64">
        <f ca="1">EFEITO!$J$11*EFEITO!$Y$11</f>
        <v>82721.645260168458</v>
      </c>
      <c r="K11" s="64">
        <f ca="1">EFEITO!$L$11*EFEITO!$Z$11</f>
        <v>0</v>
      </c>
      <c r="L11" s="64">
        <f>EFEITO!$N$11*EFEITO!$AA$11</f>
        <v>0</v>
      </c>
      <c r="M11" s="64">
        <f ca="1">$J$11-EFEITO!$K$11*EFEITO!$Y$11</f>
        <v>0</v>
      </c>
      <c r="N11" s="64">
        <f ca="1">$K$11-EFEITO!$M$11*EFEITO!$Z$11</f>
        <v>0</v>
      </c>
      <c r="O11" s="64">
        <f>$L$11-EFEITO!$O$11*EFEITO!$AA$11</f>
        <v>0</v>
      </c>
      <c r="P11" s="19"/>
      <c r="Q11" s="64" t="s">
        <v>37</v>
      </c>
      <c r="R11" s="64">
        <f>SUMIF($B$2:$B$2216,$Q$11,$J$2:$J$2216)</f>
        <v>0</v>
      </c>
      <c r="S11" s="64">
        <f ca="1">SUMIF($B$2:$B$2216,$Q$11,$K$2:$K$2216)</f>
        <v>232420106.79792249</v>
      </c>
      <c r="T11" s="64">
        <f>SUMIF($B$2:$B$2216,$Q$11,$L$2:$L$2216)</f>
        <v>158045911.98840386</v>
      </c>
      <c r="U11" s="64">
        <f>SUMIF($B$2:$B$2216,$Q$11,$M$2:$M$2216)</f>
        <v>0</v>
      </c>
      <c r="V11" s="64">
        <f ca="1">SUMIF($B$2:$B$2216,$Q$11,$N$2:$N$2216)</f>
        <v>305856.89109275286</v>
      </c>
      <c r="W11" s="64">
        <f>SUMIF($B$2:$B$2216,$Q$11,$O$2:$O$2216)</f>
        <v>207962.0130002356</v>
      </c>
      <c r="X11" s="56">
        <f>$R$11-$U$11</f>
        <v>0</v>
      </c>
      <c r="Y11" s="56">
        <f ca="1">$S$11-$V$11</f>
        <v>232114249.90682974</v>
      </c>
      <c r="Z11" s="56">
        <f>$T$11-$W$11</f>
        <v>157837949.97540361</v>
      </c>
      <c r="AA11" s="56">
        <f>SUMIF(EFEITO!$B$2:$B$2216,$Q$11,EFEITO!$AE$2:$AE$2216)</f>
        <v>0</v>
      </c>
      <c r="AB11" s="56">
        <f ca="1">SUMIF(EFEITO!$B$2:$B$2216,$Q$11,EFEITO!$AF$2:$AF$2216)</f>
        <v>232114249.90682977</v>
      </c>
      <c r="AC11" s="56">
        <f>SUMIF(EFEITO!$B$2:$B$2216,$Q$11,EFEITO!$AG$2:$AH$2216)</f>
        <v>157837949.97540358</v>
      </c>
      <c r="AD11" s="56">
        <f>SUMIF(SUBSIDIO!$B$2:$B$2216,$Q$11,SUBSIDIO!$AD$2:$AD$2216)</f>
        <v>0</v>
      </c>
      <c r="AE11" s="56">
        <f ca="1">SUMIF(SUBSIDIO!$B$2:$B$2216,$Q$11,SUBSIDIO!$AE$2:$AE$2216)</f>
        <v>513818.90409298829</v>
      </c>
      <c r="AF11" s="56" t="str">
        <f>IF(ABS($X$11-$AA$11)&lt;0.01,"OK","ERRO")</f>
        <v>OK</v>
      </c>
      <c r="AG11" s="56" t="str">
        <f ca="1">IF(ABS($Y$11-$AB$11)&lt;0.01,"OK","ERRO")</f>
        <v>OK</v>
      </c>
      <c r="AH11" s="56" t="str">
        <f>IF(ABS($Z$11-$AC$11)&lt;0.01,"OK","ERRO")</f>
        <v>OK</v>
      </c>
      <c r="AI11" s="56" t="str">
        <f>IF(ABS($U$11-$AD$11)&lt;0.01,"OK","ERRO")</f>
        <v>OK</v>
      </c>
      <c r="AJ11" s="56" t="str">
        <f ca="1">IF(ABS(($V$11+$W$11)-$AE$11)&lt;0.01,"OK","ERRO")</f>
        <v>OK</v>
      </c>
    </row>
    <row r="12" spans="1:40" ht="11.25" customHeight="1" x14ac:dyDescent="0.2">
      <c r="A12" s="55" t="s">
        <v>21</v>
      </c>
      <c r="B12" s="55" t="s">
        <v>39</v>
      </c>
      <c r="C12" s="55" t="s">
        <v>40</v>
      </c>
      <c r="D12" s="55" t="s">
        <v>43</v>
      </c>
      <c r="E12" s="55" t="s">
        <v>25</v>
      </c>
      <c r="F12" s="55" t="s">
        <v>25</v>
      </c>
      <c r="G12" s="55" t="s">
        <v>25</v>
      </c>
      <c r="H12" s="55" t="s">
        <v>35</v>
      </c>
      <c r="I12" s="63">
        <v>44713</v>
      </c>
      <c r="J12" s="64">
        <f ca="1">EFEITO!$J$12*EFEITO!$Y$12</f>
        <v>80731.017433052111</v>
      </c>
      <c r="K12" s="64">
        <f ca="1">EFEITO!$L$12*EFEITO!$Z$12</f>
        <v>0</v>
      </c>
      <c r="L12" s="64">
        <f>EFEITO!$N$12*EFEITO!$AA$12</f>
        <v>0</v>
      </c>
      <c r="M12" s="64">
        <f ca="1">$J$12-EFEITO!$K$12*EFEITO!$Y$12</f>
        <v>0</v>
      </c>
      <c r="N12" s="64">
        <f ca="1">$K$12-EFEITO!$M$12*EFEITO!$Z$12</f>
        <v>0</v>
      </c>
      <c r="O12" s="64">
        <f>$L$12-EFEITO!$O$12*EFEITO!$AA$12</f>
        <v>0</v>
      </c>
      <c r="P12" s="19"/>
      <c r="Q12" s="64" t="s">
        <v>47</v>
      </c>
      <c r="R12" s="64">
        <f>SUMIF($B$2:$B$2216,$Q$12,$J$2:$J$2216)</f>
        <v>0</v>
      </c>
      <c r="S12" s="64">
        <f ca="1">SUMIF($B$2:$B$2216,$Q$12,$K$2:$K$2216)</f>
        <v>49460045.900125407</v>
      </c>
      <c r="T12" s="64">
        <f>SUMIF($B$2:$B$2216,$Q$12,$L$2:$L$2216)</f>
        <v>33629488.195363015</v>
      </c>
      <c r="U12" s="64">
        <f>SUMIF($B$2:$B$2216,$Q$12,$M$2:$M$2216)</f>
        <v>0</v>
      </c>
      <c r="V12" s="64">
        <f ca="1">SUMIF($B$2:$B$2216,$Q$12,$N$2:$N$2216)</f>
        <v>0</v>
      </c>
      <c r="W12" s="64">
        <f>SUMIF($B$2:$B$2216,$Q$12,$O$2:$O$2216)</f>
        <v>0</v>
      </c>
      <c r="X12" s="56">
        <f>$R$12-$U$12</f>
        <v>0</v>
      </c>
      <c r="Y12" s="56">
        <f ca="1">$S$12-$V$12</f>
        <v>49460045.900125407</v>
      </c>
      <c r="Z12" s="56">
        <f>$T$12-$W$12</f>
        <v>33629488.195363015</v>
      </c>
      <c r="AA12" s="56">
        <f>SUMIF(EFEITO!$B$2:$B$2216,$Q$12,EFEITO!$AE$2:$AE$2216)</f>
        <v>0</v>
      </c>
      <c r="AB12" s="56">
        <f ca="1">SUMIF(EFEITO!$B$2:$B$2216,$Q$12,EFEITO!$AF$2:$AF$2216)</f>
        <v>49460045.900125407</v>
      </c>
      <c r="AC12" s="56">
        <f>SUMIF(EFEITO!$B$2:$B$2216,$Q$12,EFEITO!$AG$2:$AH$2216)</f>
        <v>33629488.195363015</v>
      </c>
      <c r="AD12" s="56">
        <f>SUMIF(SUBSIDIO!$B$2:$B$2216,$Q$12,SUBSIDIO!$AD$2:$AD$2216)</f>
        <v>0</v>
      </c>
      <c r="AE12" s="56">
        <f>SUMIF(SUBSIDIO!$B$2:$B$2216,$Q$12,SUBSIDIO!$AE$2:$AE$2216)</f>
        <v>0</v>
      </c>
      <c r="AF12" s="56" t="str">
        <f>IF(ABS($X$12-$AA$12)&lt;0.01,"OK","ERRO")</f>
        <v>OK</v>
      </c>
      <c r="AG12" s="56" t="str">
        <f ca="1">IF(ABS($Y$12-$AB$12)&lt;0.01,"OK","ERRO")</f>
        <v>OK</v>
      </c>
      <c r="AH12" s="56" t="str">
        <f>IF(ABS($Z$12-$AC$12)&lt;0.01,"OK","ERRO")</f>
        <v>OK</v>
      </c>
      <c r="AI12" s="56" t="str">
        <f>IF(ABS($U$12-$AD$12)&lt;0.01,"OK","ERRO")</f>
        <v>OK</v>
      </c>
      <c r="AJ12" s="56" t="str">
        <f ca="1">IF(ABS(($V$12+$W$12)-$AE$12)&lt;0.01,"OK","ERRO")</f>
        <v>OK</v>
      </c>
    </row>
    <row r="13" spans="1:40" ht="11.25" customHeight="1" x14ac:dyDescent="0.2">
      <c r="A13" s="55" t="s">
        <v>57</v>
      </c>
      <c r="B13" s="55" t="s">
        <v>39</v>
      </c>
      <c r="C13" s="55" t="s">
        <v>40</v>
      </c>
      <c r="D13" s="55" t="s">
        <v>43</v>
      </c>
      <c r="E13" s="55" t="s">
        <v>25</v>
      </c>
      <c r="F13" s="55" t="s">
        <v>25</v>
      </c>
      <c r="G13" s="55" t="s">
        <v>25</v>
      </c>
      <c r="H13" s="55" t="s">
        <v>35</v>
      </c>
      <c r="I13" s="63">
        <v>44743</v>
      </c>
      <c r="J13" s="64">
        <f ca="1">EFEITO!$J$13*EFEITO!$Y$13</f>
        <v>80731.017433052111</v>
      </c>
      <c r="K13" s="64">
        <f ca="1">EFEITO!$L$13*EFEITO!$Z$13</f>
        <v>0</v>
      </c>
      <c r="L13" s="64">
        <f>EFEITO!$N$13*EFEITO!$AA$13</f>
        <v>0</v>
      </c>
      <c r="M13" s="64">
        <f ca="1">$J$13-EFEITO!$K$13*EFEITO!$Y$13</f>
        <v>0</v>
      </c>
      <c r="N13" s="64">
        <f ca="1">$K$13-EFEITO!$M$13*EFEITO!$Z$13</f>
        <v>0</v>
      </c>
      <c r="O13" s="64">
        <f>$L$13-EFEITO!$O$13*EFEITO!$AA$13</f>
        <v>0</v>
      </c>
      <c r="P13" s="19"/>
      <c r="Q13" s="64" t="s">
        <v>110</v>
      </c>
      <c r="R13" s="64">
        <f>SUMIF($B$2:$B$2216,$Q$13,$J$2:$J$2216)</f>
        <v>0</v>
      </c>
      <c r="S13" s="64">
        <f>SUMIF($B$2:$B$2216,$Q$13,$K$2:$K$2216)</f>
        <v>0</v>
      </c>
      <c r="T13" s="64">
        <f>SUMIF($B$2:$B$2216,$Q$13,$L$2:$L$2216)</f>
        <v>0</v>
      </c>
      <c r="U13" s="64">
        <f>SUMIF($B$2:$B$2216,$Q$13,$M$2:$M$2216)</f>
        <v>0</v>
      </c>
      <c r="V13" s="64">
        <f>SUMIF($B$2:$B$2216,$Q$13,$N$2:$N$2216)</f>
        <v>0</v>
      </c>
      <c r="W13" s="64">
        <f>SUMIF($B$2:$B$2216,$Q$13,$O$2:$O$2216)</f>
        <v>0</v>
      </c>
      <c r="X13" s="56">
        <f>$R$13-$U$13</f>
        <v>0</v>
      </c>
      <c r="Y13" s="56">
        <f>$S$13-$V$13</f>
        <v>0</v>
      </c>
      <c r="Z13" s="56">
        <f>$T$13-$W$13</f>
        <v>0</v>
      </c>
      <c r="AA13" s="56">
        <f>SUMIF(EFEITO!$B$2:$B$2216,$Q$13,EFEITO!$AE$2:$AE$2216)</f>
        <v>0</v>
      </c>
      <c r="AB13" s="56">
        <f>SUMIF(EFEITO!$B$2:$B$2216,$Q$13,EFEITO!$AF$2:$AF$2216)</f>
        <v>0</v>
      </c>
      <c r="AC13" s="56">
        <f>SUMIF(EFEITO!$B$2:$B$2216,$Q$13,EFEITO!$AG$2:$AH$2216)</f>
        <v>0</v>
      </c>
      <c r="AD13" s="56">
        <f>SUMIF(SUBSIDIO!$B$2:$B$2216,$Q$13,SUBSIDIO!$AD$2:$AD$2216)</f>
        <v>0</v>
      </c>
      <c r="AE13" s="56">
        <f>SUMIF(SUBSIDIO!$B$2:$B$2216,$Q$13,SUBSIDIO!$AE$2:$AE$2216)</f>
        <v>0</v>
      </c>
      <c r="AF13" s="56" t="str">
        <f>IF(ABS($X$13-$AA$13)&lt;0.01,"OK","ERRO")</f>
        <v>OK</v>
      </c>
      <c r="AG13" s="56" t="str">
        <f>IF(ABS($Y$13-$AB$13)&lt;0.01,"OK","ERRO")</f>
        <v>OK</v>
      </c>
      <c r="AH13" s="56" t="str">
        <f>IF(ABS($Z$13-$AC$13)&lt;0.01,"OK","ERRO")</f>
        <v>OK</v>
      </c>
      <c r="AI13" s="56" t="str">
        <f>IF(ABS($U$13-$AD$13)&lt;0.01,"OK","ERRO")</f>
        <v>OK</v>
      </c>
      <c r="AJ13" s="56" t="str">
        <f>IF(ABS(($V$13+$W$13)-$AE$13)&lt;0.01,"OK","ERRO")</f>
        <v>OK</v>
      </c>
    </row>
    <row r="14" spans="1:40" ht="11.25" customHeight="1" x14ac:dyDescent="0.2">
      <c r="A14" s="55" t="s">
        <v>21</v>
      </c>
      <c r="B14" s="55" t="s">
        <v>39</v>
      </c>
      <c r="C14" s="55" t="s">
        <v>40</v>
      </c>
      <c r="D14" s="55" t="s">
        <v>43</v>
      </c>
      <c r="E14" s="55" t="s">
        <v>25</v>
      </c>
      <c r="F14" s="55" t="s">
        <v>25</v>
      </c>
      <c r="G14" s="55" t="s">
        <v>25</v>
      </c>
      <c r="H14" s="55" t="s">
        <v>25</v>
      </c>
      <c r="I14" s="63">
        <v>44409</v>
      </c>
      <c r="J14" s="64">
        <f>EFEITO!$J$14*EFEITO!$Y$14</f>
        <v>0</v>
      </c>
      <c r="K14" s="64">
        <f ca="1">EFEITO!$L$14*EFEITO!$Z$14</f>
        <v>152250.06148411971</v>
      </c>
      <c r="L14" s="64">
        <f>EFEITO!$N$14*EFEITO!$AA$14</f>
        <v>0</v>
      </c>
      <c r="M14" s="64">
        <f>$J$14-EFEITO!$K$14*EFEITO!$Y$14</f>
        <v>0</v>
      </c>
      <c r="N14" s="64">
        <f ca="1">$K$14-EFEITO!$M$14*EFEITO!$Z$14</f>
        <v>0</v>
      </c>
      <c r="O14" s="64">
        <f>$L$14-EFEITO!$O$14*EFEITO!$AA$14</f>
        <v>0</v>
      </c>
      <c r="P14" s="19"/>
      <c r="Q14" s="19"/>
      <c r="R14" s="19"/>
      <c r="S14" s="19"/>
      <c r="T14" s="19"/>
      <c r="U14" s="19"/>
      <c r="V14" s="19"/>
      <c r="W14" s="19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55" t="s">
        <v>21</v>
      </c>
      <c r="B15" s="55" t="s">
        <v>39</v>
      </c>
      <c r="C15" s="55" t="s">
        <v>40</v>
      </c>
      <c r="D15" s="55" t="s">
        <v>43</v>
      </c>
      <c r="E15" s="55" t="s">
        <v>25</v>
      </c>
      <c r="F15" s="55" t="s">
        <v>25</v>
      </c>
      <c r="G15" s="55" t="s">
        <v>25</v>
      </c>
      <c r="H15" s="55" t="s">
        <v>25</v>
      </c>
      <c r="I15" s="63">
        <v>44440</v>
      </c>
      <c r="J15" s="64">
        <f>EFEITO!$J$15*EFEITO!$Y$15</f>
        <v>0</v>
      </c>
      <c r="K15" s="64">
        <f ca="1">EFEITO!$L$15*EFEITO!$Z$15</f>
        <v>150786.66475261457</v>
      </c>
      <c r="L15" s="64">
        <f>EFEITO!$N$15*EFEITO!$AA$15</f>
        <v>0</v>
      </c>
      <c r="M15" s="64">
        <f>$J$15-EFEITO!$K$15*EFEITO!$Y$15</f>
        <v>0</v>
      </c>
      <c r="N15" s="64">
        <f ca="1">$K$15-EFEITO!$M$15*EFEITO!$Z$15</f>
        <v>0</v>
      </c>
      <c r="O15" s="64">
        <f>$L$15-EFEITO!$O$15*EFEITO!$AA$15</f>
        <v>0</v>
      </c>
      <c r="P15" s="19"/>
      <c r="Q15" s="19"/>
      <c r="R15" s="19"/>
      <c r="S15" s="19"/>
      <c r="T15" s="19"/>
      <c r="U15" s="19"/>
      <c r="V15" s="19"/>
      <c r="W15" s="19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55" t="s">
        <v>21</v>
      </c>
      <c r="B16" s="55" t="s">
        <v>39</v>
      </c>
      <c r="C16" s="55" t="s">
        <v>40</v>
      </c>
      <c r="D16" s="55" t="s">
        <v>43</v>
      </c>
      <c r="E16" s="55" t="s">
        <v>25</v>
      </c>
      <c r="F16" s="55" t="s">
        <v>25</v>
      </c>
      <c r="G16" s="55" t="s">
        <v>25</v>
      </c>
      <c r="H16" s="55" t="s">
        <v>25</v>
      </c>
      <c r="I16" s="63">
        <v>44470</v>
      </c>
      <c r="J16" s="64">
        <f>EFEITO!$J$16*EFEITO!$Y$16</f>
        <v>0</v>
      </c>
      <c r="K16" s="64">
        <f ca="1">EFEITO!$L$16*EFEITO!$Z$16</f>
        <v>148929.97219897958</v>
      </c>
      <c r="L16" s="64">
        <f>EFEITO!$N$16*EFEITO!$AA$16</f>
        <v>0</v>
      </c>
      <c r="M16" s="64">
        <f>$J$16-EFEITO!$K$16*EFEITO!$Y$16</f>
        <v>0</v>
      </c>
      <c r="N16" s="64">
        <f ca="1">$K$16-EFEITO!$M$16*EFEITO!$Z$16</f>
        <v>0</v>
      </c>
      <c r="O16" s="64">
        <f>$L$16-EFEITO!$O$16*EFEITO!$AA$16</f>
        <v>0</v>
      </c>
      <c r="P16" s="19"/>
      <c r="Q16" s="19"/>
      <c r="R16" s="19"/>
      <c r="S16" s="19"/>
      <c r="T16" s="19"/>
      <c r="U16" s="19"/>
      <c r="V16" s="19"/>
      <c r="W16" s="19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55" t="s">
        <v>21</v>
      </c>
      <c r="B17" s="55" t="s">
        <v>39</v>
      </c>
      <c r="C17" s="55" t="s">
        <v>40</v>
      </c>
      <c r="D17" s="55" t="s">
        <v>43</v>
      </c>
      <c r="E17" s="55" t="s">
        <v>25</v>
      </c>
      <c r="F17" s="55" t="s">
        <v>25</v>
      </c>
      <c r="G17" s="55" t="s">
        <v>25</v>
      </c>
      <c r="H17" s="55" t="s">
        <v>25</v>
      </c>
      <c r="I17" s="63">
        <v>44501</v>
      </c>
      <c r="J17" s="64">
        <f>EFEITO!$J$17*EFEITO!$Y$17</f>
        <v>0</v>
      </c>
      <c r="K17" s="64">
        <f ca="1">EFEITO!$L$17*EFEITO!$Z$17</f>
        <v>163063.67784743512</v>
      </c>
      <c r="L17" s="64">
        <f>EFEITO!$N$17*EFEITO!$AA$17</f>
        <v>0</v>
      </c>
      <c r="M17" s="64">
        <f>$J$17-EFEITO!$K$17*EFEITO!$Y$17</f>
        <v>0</v>
      </c>
      <c r="N17" s="64">
        <f ca="1">$K$17-EFEITO!$M$17*EFEITO!$Z$17</f>
        <v>0</v>
      </c>
      <c r="O17" s="64">
        <f>$L$17-EFEITO!$O$17*EFEITO!$AA$17</f>
        <v>0</v>
      </c>
      <c r="P17" s="19"/>
      <c r="Q17" s="19"/>
      <c r="R17" s="19"/>
      <c r="S17" s="19"/>
      <c r="T17" s="19"/>
      <c r="U17" s="19"/>
      <c r="V17" s="19"/>
      <c r="W17" s="19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55" t="s">
        <v>21</v>
      </c>
      <c r="B18" s="55" t="s">
        <v>39</v>
      </c>
      <c r="C18" s="55" t="s">
        <v>40</v>
      </c>
      <c r="D18" s="55" t="s">
        <v>43</v>
      </c>
      <c r="E18" s="55" t="s">
        <v>25</v>
      </c>
      <c r="F18" s="55" t="s">
        <v>25</v>
      </c>
      <c r="G18" s="55" t="s">
        <v>25</v>
      </c>
      <c r="H18" s="55" t="s">
        <v>25</v>
      </c>
      <c r="I18" s="63">
        <v>44531</v>
      </c>
      <c r="J18" s="64">
        <f>EFEITO!$J$18*EFEITO!$Y$18</f>
        <v>0</v>
      </c>
      <c r="K18" s="64">
        <f ca="1">EFEITO!$L$18*EFEITO!$Z$18</f>
        <v>167895.94559873352</v>
      </c>
      <c r="L18" s="64">
        <f>EFEITO!$N$18*EFEITO!$AA$18</f>
        <v>0</v>
      </c>
      <c r="M18" s="64">
        <f>$J$18-EFEITO!$K$18*EFEITO!$Y$18</f>
        <v>0</v>
      </c>
      <c r="N18" s="64">
        <f ca="1">$K$18-EFEITO!$M$18*EFEITO!$Z$18</f>
        <v>0</v>
      </c>
      <c r="O18" s="64">
        <f>$L$18-EFEITO!$O$18*EFEITO!$AA$18</f>
        <v>0</v>
      </c>
      <c r="P18" s="19"/>
      <c r="Q18" s="19"/>
      <c r="R18" s="19"/>
      <c r="S18" s="19"/>
      <c r="T18" s="19"/>
      <c r="U18" s="19"/>
      <c r="V18" s="19"/>
      <c r="W18" s="19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55" t="s">
        <v>21</v>
      </c>
      <c r="B19" s="55" t="s">
        <v>39</v>
      </c>
      <c r="C19" s="55" t="s">
        <v>40</v>
      </c>
      <c r="D19" s="55" t="s">
        <v>43</v>
      </c>
      <c r="E19" s="55" t="s">
        <v>25</v>
      </c>
      <c r="F19" s="55" t="s">
        <v>25</v>
      </c>
      <c r="G19" s="55" t="s">
        <v>25</v>
      </c>
      <c r="H19" s="55" t="s">
        <v>25</v>
      </c>
      <c r="I19" s="63">
        <v>44562</v>
      </c>
      <c r="J19" s="64">
        <f>EFEITO!$J$19*EFEITO!$Y$19</f>
        <v>0</v>
      </c>
      <c r="K19" s="64">
        <f ca="1">EFEITO!$L$19*EFEITO!$Z$19</f>
        <v>180744.01471429525</v>
      </c>
      <c r="L19" s="64">
        <f>EFEITO!$N$19*EFEITO!$AA$19</f>
        <v>0</v>
      </c>
      <c r="M19" s="64">
        <f>$J$19-EFEITO!$K$19*EFEITO!$Y$19</f>
        <v>0</v>
      </c>
      <c r="N19" s="64">
        <f ca="1">$K$19-EFEITO!$M$19*EFEITO!$Z$19</f>
        <v>0</v>
      </c>
      <c r="O19" s="64">
        <f>$L$19-EFEITO!$O$19*EFEITO!$AA$19</f>
        <v>0</v>
      </c>
      <c r="P19" s="19"/>
      <c r="Q19" s="19"/>
      <c r="R19" s="19"/>
      <c r="S19" s="19"/>
      <c r="T19" s="19"/>
      <c r="U19" s="19"/>
      <c r="V19" s="19"/>
      <c r="W19" s="19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55" t="s">
        <v>21</v>
      </c>
      <c r="B20" s="55" t="s">
        <v>39</v>
      </c>
      <c r="C20" s="55" t="s">
        <v>40</v>
      </c>
      <c r="D20" s="55" t="s">
        <v>43</v>
      </c>
      <c r="E20" s="55" t="s">
        <v>25</v>
      </c>
      <c r="F20" s="55" t="s">
        <v>25</v>
      </c>
      <c r="G20" s="55" t="s">
        <v>25</v>
      </c>
      <c r="H20" s="55" t="s">
        <v>25</v>
      </c>
      <c r="I20" s="63">
        <v>44593</v>
      </c>
      <c r="J20" s="64">
        <f>EFEITO!$J$20*EFEITO!$Y$20</f>
        <v>0</v>
      </c>
      <c r="K20" s="64">
        <f ca="1">EFEITO!$L$20*EFEITO!$Z$20</f>
        <v>170671.30551358024</v>
      </c>
      <c r="L20" s="64">
        <f>EFEITO!$N$20*EFEITO!$AA$20</f>
        <v>0</v>
      </c>
      <c r="M20" s="64">
        <f>$J$20-EFEITO!$K$20*EFEITO!$Y$20</f>
        <v>0</v>
      </c>
      <c r="N20" s="64">
        <f ca="1">$K$20-EFEITO!$M$20*EFEITO!$Z$20</f>
        <v>0</v>
      </c>
      <c r="O20" s="64">
        <f>$L$20-EFEITO!$O$20*EFEITO!$AA$20</f>
        <v>0</v>
      </c>
      <c r="P20" s="19"/>
      <c r="Q20" s="19"/>
      <c r="R20" s="19"/>
      <c r="S20" s="19"/>
      <c r="T20" s="19"/>
      <c r="U20" s="19"/>
      <c r="V20" s="19"/>
      <c r="W20" s="19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55" t="s">
        <v>21</v>
      </c>
      <c r="B21" s="55" t="s">
        <v>39</v>
      </c>
      <c r="C21" s="55" t="s">
        <v>40</v>
      </c>
      <c r="D21" s="55" t="s">
        <v>43</v>
      </c>
      <c r="E21" s="55" t="s">
        <v>25</v>
      </c>
      <c r="F21" s="55" t="s">
        <v>25</v>
      </c>
      <c r="G21" s="55" t="s">
        <v>25</v>
      </c>
      <c r="H21" s="55" t="s">
        <v>25</v>
      </c>
      <c r="I21" s="63">
        <v>44621</v>
      </c>
      <c r="J21" s="64">
        <f>EFEITO!$J$21*EFEITO!$Y$21</f>
        <v>0</v>
      </c>
      <c r="K21" s="64">
        <f ca="1">EFEITO!$L$21*EFEITO!$Z$21</f>
        <v>155566.05797066083</v>
      </c>
      <c r="L21" s="64">
        <f>EFEITO!$N$21*EFEITO!$AA$21</f>
        <v>0</v>
      </c>
      <c r="M21" s="64">
        <f>$J$21-EFEITO!$K$21*EFEITO!$Y$21</f>
        <v>0</v>
      </c>
      <c r="N21" s="64">
        <f ca="1">$K$21-EFEITO!$M$21*EFEITO!$Z$21</f>
        <v>0</v>
      </c>
      <c r="O21" s="64">
        <f>$L$21-EFEITO!$O$21*EFEITO!$AA$21</f>
        <v>0</v>
      </c>
      <c r="P21" s="19"/>
      <c r="Q21" s="19"/>
      <c r="R21" s="19"/>
      <c r="S21" s="19"/>
      <c r="T21" s="19"/>
      <c r="U21" s="19"/>
      <c r="V21" s="19"/>
      <c r="W21" s="19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55" t="s">
        <v>21</v>
      </c>
      <c r="B22" s="55" t="s">
        <v>39</v>
      </c>
      <c r="C22" s="55" t="s">
        <v>40</v>
      </c>
      <c r="D22" s="55" t="s">
        <v>43</v>
      </c>
      <c r="E22" s="55" t="s">
        <v>25</v>
      </c>
      <c r="F22" s="55" t="s">
        <v>25</v>
      </c>
      <c r="G22" s="55" t="s">
        <v>25</v>
      </c>
      <c r="H22" s="55" t="s">
        <v>25</v>
      </c>
      <c r="I22" s="63">
        <v>44652</v>
      </c>
      <c r="J22" s="64">
        <f>EFEITO!$J$22*EFEITO!$Y$22</f>
        <v>0</v>
      </c>
      <c r="K22" s="64">
        <f ca="1">EFEITO!$L$22*EFEITO!$Z$22</f>
        <v>173184.61570191151</v>
      </c>
      <c r="L22" s="64">
        <f>EFEITO!$N$22*EFEITO!$AA$22</f>
        <v>0</v>
      </c>
      <c r="M22" s="64">
        <f>$J$22-EFEITO!$K$22*EFEITO!$Y$22</f>
        <v>0</v>
      </c>
      <c r="N22" s="64">
        <f ca="1">$K$22-EFEITO!$M$22*EFEITO!$Z$22</f>
        <v>0</v>
      </c>
      <c r="O22" s="64">
        <f>$L$22-EFEITO!$O$22*EFEITO!$AA$22</f>
        <v>0</v>
      </c>
      <c r="P22" s="19"/>
      <c r="Q22" s="19"/>
      <c r="R22" s="19"/>
      <c r="S22" s="19"/>
      <c r="T22" s="19"/>
      <c r="U22" s="19"/>
      <c r="V22" s="19"/>
      <c r="W22" s="19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55" t="s">
        <v>21</v>
      </c>
      <c r="B23" s="55" t="s">
        <v>39</v>
      </c>
      <c r="C23" s="55" t="s">
        <v>40</v>
      </c>
      <c r="D23" s="55" t="s">
        <v>43</v>
      </c>
      <c r="E23" s="55" t="s">
        <v>25</v>
      </c>
      <c r="F23" s="55" t="s">
        <v>25</v>
      </c>
      <c r="G23" s="55" t="s">
        <v>25</v>
      </c>
      <c r="H23" s="55" t="s">
        <v>25</v>
      </c>
      <c r="I23" s="63">
        <v>44682</v>
      </c>
      <c r="J23" s="64">
        <f>EFEITO!$J$23*EFEITO!$Y$23</f>
        <v>0</v>
      </c>
      <c r="K23" s="64">
        <f ca="1">EFEITO!$L$23*EFEITO!$Z$23</f>
        <v>162830.16709493444</v>
      </c>
      <c r="L23" s="64">
        <f>EFEITO!$N$23*EFEITO!$AA$23</f>
        <v>0</v>
      </c>
      <c r="M23" s="64">
        <f>$J$23-EFEITO!$K$23*EFEITO!$Y$23</f>
        <v>0</v>
      </c>
      <c r="N23" s="64">
        <f ca="1">$K$23-EFEITO!$M$23*EFEITO!$Z$23</f>
        <v>0</v>
      </c>
      <c r="O23" s="64">
        <f>$L$23-EFEITO!$O$23*EFEITO!$AA$23</f>
        <v>0</v>
      </c>
      <c r="P23" s="19"/>
      <c r="Q23" s="19"/>
      <c r="R23" s="19"/>
      <c r="S23" s="19"/>
      <c r="T23" s="19"/>
      <c r="U23" s="19"/>
      <c r="V23" s="19"/>
      <c r="W23" s="19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55" t="s">
        <v>21</v>
      </c>
      <c r="B24" s="55" t="s">
        <v>39</v>
      </c>
      <c r="C24" s="55" t="s">
        <v>40</v>
      </c>
      <c r="D24" s="55" t="s">
        <v>43</v>
      </c>
      <c r="E24" s="55" t="s">
        <v>25</v>
      </c>
      <c r="F24" s="55" t="s">
        <v>25</v>
      </c>
      <c r="G24" s="55" t="s">
        <v>25</v>
      </c>
      <c r="H24" s="55" t="s">
        <v>25</v>
      </c>
      <c r="I24" s="63">
        <v>44713</v>
      </c>
      <c r="J24" s="64">
        <f>EFEITO!$J$24*EFEITO!$Y$24</f>
        <v>0</v>
      </c>
      <c r="K24" s="64">
        <f ca="1">EFEITO!$L$24*EFEITO!$Z$24</f>
        <v>166186.20663803892</v>
      </c>
      <c r="L24" s="64">
        <f>EFEITO!$N$24*EFEITO!$AA$24</f>
        <v>0</v>
      </c>
      <c r="M24" s="64">
        <f>$J$24-EFEITO!$K$24*EFEITO!$Y$24</f>
        <v>0</v>
      </c>
      <c r="N24" s="64">
        <f ca="1">$K$24-EFEITO!$M$24*EFEITO!$Z$24</f>
        <v>0</v>
      </c>
      <c r="O24" s="64">
        <f>$L$24-EFEITO!$O$24*EFEITO!$AA$24</f>
        <v>0</v>
      </c>
      <c r="P24" s="19"/>
      <c r="Q24" s="19"/>
      <c r="R24" s="19"/>
      <c r="S24" s="19"/>
      <c r="T24" s="19"/>
      <c r="U24" s="19"/>
      <c r="V24" s="19"/>
      <c r="W24" s="19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55" t="s">
        <v>57</v>
      </c>
      <c r="B25" s="55" t="s">
        <v>39</v>
      </c>
      <c r="C25" s="55" t="s">
        <v>40</v>
      </c>
      <c r="D25" s="55" t="s">
        <v>43</v>
      </c>
      <c r="E25" s="55" t="s">
        <v>25</v>
      </c>
      <c r="F25" s="55" t="s">
        <v>25</v>
      </c>
      <c r="G25" s="55" t="s">
        <v>25</v>
      </c>
      <c r="H25" s="55" t="s">
        <v>25</v>
      </c>
      <c r="I25" s="63">
        <v>44743</v>
      </c>
      <c r="J25" s="64">
        <f>EFEITO!$J$25*EFEITO!$Y$25</f>
        <v>0</v>
      </c>
      <c r="K25" s="64">
        <f ca="1">EFEITO!$L$25*EFEITO!$Z$25</f>
        <v>166186.20663803892</v>
      </c>
      <c r="L25" s="64">
        <f>EFEITO!$N$25*EFEITO!$AA$25</f>
        <v>0</v>
      </c>
      <c r="M25" s="64">
        <f>$J$25-EFEITO!$K$25*EFEITO!$Y$25</f>
        <v>0</v>
      </c>
      <c r="N25" s="64">
        <f ca="1">$K$25-EFEITO!$M$25*EFEITO!$Z$25</f>
        <v>0</v>
      </c>
      <c r="O25" s="64">
        <f>$L$25-EFEITO!$O$25*EFEITO!$AA$25</f>
        <v>0</v>
      </c>
      <c r="P25" s="19"/>
      <c r="Q25" s="19"/>
      <c r="R25" s="19"/>
      <c r="S25" s="19"/>
      <c r="T25" s="19"/>
      <c r="U25" s="19"/>
      <c r="V25" s="19"/>
      <c r="W25" s="19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55" t="s">
        <v>21</v>
      </c>
      <c r="B26" s="55" t="s">
        <v>39</v>
      </c>
      <c r="C26" s="55" t="s">
        <v>40</v>
      </c>
      <c r="D26" s="55" t="s">
        <v>43</v>
      </c>
      <c r="E26" s="55" t="s">
        <v>25</v>
      </c>
      <c r="F26" s="55" t="s">
        <v>25</v>
      </c>
      <c r="G26" s="55" t="s">
        <v>25</v>
      </c>
      <c r="H26" s="55" t="s">
        <v>34</v>
      </c>
      <c r="I26" s="63">
        <v>44409</v>
      </c>
      <c r="J26" s="64">
        <f ca="1">EFEITO!$J$26*EFEITO!$Y$26</f>
        <v>138533.50783816405</v>
      </c>
      <c r="K26" s="64">
        <f ca="1">EFEITO!$L$26*EFEITO!$Z$26</f>
        <v>0</v>
      </c>
      <c r="L26" s="64">
        <f>EFEITO!$N$26*EFEITO!$AA$26</f>
        <v>0</v>
      </c>
      <c r="M26" s="64">
        <f ca="1">$J$26-EFEITO!$K$26*EFEITO!$Y$26</f>
        <v>0</v>
      </c>
      <c r="N26" s="64">
        <f ca="1">$K$26-EFEITO!$M$26*EFEITO!$Z$26</f>
        <v>0</v>
      </c>
      <c r="O26" s="64">
        <f>$L$26-EFEITO!$O$26*EFEITO!$AA$26</f>
        <v>0</v>
      </c>
      <c r="P26" s="19"/>
      <c r="Q26" s="19"/>
      <c r="R26" s="19"/>
      <c r="S26" s="19"/>
      <c r="T26" s="19"/>
      <c r="U26" s="19"/>
      <c r="V26" s="19"/>
      <c r="W26" s="19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55" t="s">
        <v>21</v>
      </c>
      <c r="B27" s="55" t="s">
        <v>39</v>
      </c>
      <c r="C27" s="55" t="s">
        <v>40</v>
      </c>
      <c r="D27" s="55" t="s">
        <v>43</v>
      </c>
      <c r="E27" s="55" t="s">
        <v>25</v>
      </c>
      <c r="F27" s="55" t="s">
        <v>25</v>
      </c>
      <c r="G27" s="55" t="s">
        <v>25</v>
      </c>
      <c r="H27" s="55" t="s">
        <v>34</v>
      </c>
      <c r="I27" s="63">
        <v>44440</v>
      </c>
      <c r="J27" s="64">
        <f ca="1">EFEITO!$J$27*EFEITO!$Y$27</f>
        <v>138533.50783816405</v>
      </c>
      <c r="K27" s="64">
        <f ca="1">EFEITO!$L$27*EFEITO!$Z$27</f>
        <v>0</v>
      </c>
      <c r="L27" s="64">
        <f>EFEITO!$N$27*EFEITO!$AA$27</f>
        <v>0</v>
      </c>
      <c r="M27" s="64">
        <f ca="1">$J$27-EFEITO!$K$27*EFEITO!$Y$27</f>
        <v>0</v>
      </c>
      <c r="N27" s="64">
        <f ca="1">$K$27-EFEITO!$M$27*EFEITO!$Z$27</f>
        <v>0</v>
      </c>
      <c r="O27" s="64">
        <f>$L$27-EFEITO!$O$27*EFEITO!$AA$27</f>
        <v>0</v>
      </c>
      <c r="P27" s="19"/>
      <c r="Q27" s="19"/>
      <c r="R27" s="19"/>
      <c r="S27" s="19"/>
      <c r="T27" s="19"/>
      <c r="U27" s="19"/>
      <c r="V27" s="19"/>
      <c r="W27" s="19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55" t="s">
        <v>21</v>
      </c>
      <c r="B28" s="55" t="s">
        <v>39</v>
      </c>
      <c r="C28" s="55" t="s">
        <v>40</v>
      </c>
      <c r="D28" s="55" t="s">
        <v>43</v>
      </c>
      <c r="E28" s="55" t="s">
        <v>25</v>
      </c>
      <c r="F28" s="55" t="s">
        <v>25</v>
      </c>
      <c r="G28" s="55" t="s">
        <v>25</v>
      </c>
      <c r="H28" s="55" t="s">
        <v>34</v>
      </c>
      <c r="I28" s="63">
        <v>44470</v>
      </c>
      <c r="J28" s="64">
        <f ca="1">EFEITO!$J$28*EFEITO!$Y$28</f>
        <v>138533.50783816405</v>
      </c>
      <c r="K28" s="64">
        <f ca="1">EFEITO!$L$28*EFEITO!$Z$28</f>
        <v>0</v>
      </c>
      <c r="L28" s="64">
        <f>EFEITO!$N$28*EFEITO!$AA$28</f>
        <v>0</v>
      </c>
      <c r="M28" s="64">
        <f ca="1">$J$28-EFEITO!$K$28*EFEITO!$Y$28</f>
        <v>0</v>
      </c>
      <c r="N28" s="64">
        <f ca="1">$K$28-EFEITO!$M$28*EFEITO!$Z$28</f>
        <v>0</v>
      </c>
      <c r="O28" s="64">
        <f>$L$28-EFEITO!$O$28*EFEITO!$AA$28</f>
        <v>0</v>
      </c>
      <c r="P28" s="19"/>
      <c r="Q28" s="19"/>
      <c r="R28" s="19"/>
      <c r="S28" s="19"/>
      <c r="T28" s="19"/>
      <c r="U28" s="19"/>
      <c r="V28" s="19"/>
      <c r="W28" s="19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55" t="s">
        <v>21</v>
      </c>
      <c r="B29" s="55" t="s">
        <v>39</v>
      </c>
      <c r="C29" s="55" t="s">
        <v>40</v>
      </c>
      <c r="D29" s="55" t="s">
        <v>43</v>
      </c>
      <c r="E29" s="55" t="s">
        <v>25</v>
      </c>
      <c r="F29" s="55" t="s">
        <v>25</v>
      </c>
      <c r="G29" s="55" t="s">
        <v>25</v>
      </c>
      <c r="H29" s="55" t="s">
        <v>34</v>
      </c>
      <c r="I29" s="63">
        <v>44501</v>
      </c>
      <c r="J29" s="64">
        <f ca="1">EFEITO!$J$29*EFEITO!$Y$29</f>
        <v>138533.50783816405</v>
      </c>
      <c r="K29" s="64">
        <f ca="1">EFEITO!$L$29*EFEITO!$Z$29</f>
        <v>0</v>
      </c>
      <c r="L29" s="64">
        <f>EFEITO!$N$29*EFEITO!$AA$29</f>
        <v>0</v>
      </c>
      <c r="M29" s="64">
        <f ca="1">$J$29-EFEITO!$K$29*EFEITO!$Y$29</f>
        <v>0</v>
      </c>
      <c r="N29" s="64">
        <f ca="1">$K$29-EFEITO!$M$29*EFEITO!$Z$29</f>
        <v>0</v>
      </c>
      <c r="O29" s="64">
        <f>$L$29-EFEITO!$O$29*EFEITO!$AA$29</f>
        <v>0</v>
      </c>
      <c r="P29" s="19"/>
      <c r="Q29" s="19"/>
      <c r="R29" s="19"/>
      <c r="S29" s="19"/>
      <c r="T29" s="19"/>
      <c r="U29" s="19"/>
      <c r="V29" s="19"/>
      <c r="W29" s="19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55" t="s">
        <v>21</v>
      </c>
      <c r="B30" s="55" t="s">
        <v>39</v>
      </c>
      <c r="C30" s="55" t="s">
        <v>40</v>
      </c>
      <c r="D30" s="55" t="s">
        <v>43</v>
      </c>
      <c r="E30" s="55" t="s">
        <v>25</v>
      </c>
      <c r="F30" s="55" t="s">
        <v>25</v>
      </c>
      <c r="G30" s="55" t="s">
        <v>25</v>
      </c>
      <c r="H30" s="55" t="s">
        <v>34</v>
      </c>
      <c r="I30" s="63">
        <v>44531</v>
      </c>
      <c r="J30" s="64">
        <f ca="1">EFEITO!$J$30*EFEITO!$Y$30</f>
        <v>138533.50783816405</v>
      </c>
      <c r="K30" s="64">
        <f ca="1">EFEITO!$L$30*EFEITO!$Z$30</f>
        <v>0</v>
      </c>
      <c r="L30" s="64">
        <f>EFEITO!$N$30*EFEITO!$AA$30</f>
        <v>0</v>
      </c>
      <c r="M30" s="64">
        <f ca="1">$J$30-EFEITO!$K$30*EFEITO!$Y$30</f>
        <v>0</v>
      </c>
      <c r="N30" s="64">
        <f ca="1">$K$30-EFEITO!$M$30*EFEITO!$Z$30</f>
        <v>0</v>
      </c>
      <c r="O30" s="64">
        <f>$L$30-EFEITO!$O$30*EFEITO!$AA$30</f>
        <v>0</v>
      </c>
      <c r="P30" s="19"/>
      <c r="Q30" s="19"/>
      <c r="R30" s="19"/>
      <c r="S30" s="19"/>
      <c r="T30" s="19"/>
      <c r="U30" s="19"/>
      <c r="V30" s="19"/>
      <c r="W30" s="19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55" t="s">
        <v>21</v>
      </c>
      <c r="B31" s="55" t="s">
        <v>39</v>
      </c>
      <c r="C31" s="55" t="s">
        <v>40</v>
      </c>
      <c r="D31" s="55" t="s">
        <v>43</v>
      </c>
      <c r="E31" s="55" t="s">
        <v>25</v>
      </c>
      <c r="F31" s="55" t="s">
        <v>25</v>
      </c>
      <c r="G31" s="55" t="s">
        <v>25</v>
      </c>
      <c r="H31" s="55" t="s">
        <v>34</v>
      </c>
      <c r="I31" s="63">
        <v>44562</v>
      </c>
      <c r="J31" s="64">
        <f ca="1">EFEITO!$J$31*EFEITO!$Y$31</f>
        <v>142710.82592066869</v>
      </c>
      <c r="K31" s="64">
        <f ca="1">EFEITO!$L$31*EFEITO!$Z$31</f>
        <v>0</v>
      </c>
      <c r="L31" s="64">
        <f>EFEITO!$N$31*EFEITO!$AA$31</f>
        <v>0</v>
      </c>
      <c r="M31" s="64">
        <f ca="1">$J$31-EFEITO!$K$31*EFEITO!$Y$31</f>
        <v>0</v>
      </c>
      <c r="N31" s="64">
        <f ca="1">$K$31-EFEITO!$M$31*EFEITO!$Z$31</f>
        <v>0</v>
      </c>
      <c r="O31" s="64">
        <f>$L$31-EFEITO!$O$31*EFEITO!$AA$31</f>
        <v>0</v>
      </c>
      <c r="P31" s="19"/>
      <c r="Q31" s="19"/>
      <c r="R31" s="19"/>
      <c r="S31" s="19"/>
      <c r="T31" s="19"/>
      <c r="U31" s="19"/>
      <c r="V31" s="19"/>
      <c r="W31" s="19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55" t="s">
        <v>21</v>
      </c>
      <c r="B32" s="55" t="s">
        <v>39</v>
      </c>
      <c r="C32" s="55" t="s">
        <v>40</v>
      </c>
      <c r="D32" s="55" t="s">
        <v>43</v>
      </c>
      <c r="E32" s="55" t="s">
        <v>25</v>
      </c>
      <c r="F32" s="55" t="s">
        <v>25</v>
      </c>
      <c r="G32" s="55" t="s">
        <v>25</v>
      </c>
      <c r="H32" s="55" t="s">
        <v>34</v>
      </c>
      <c r="I32" s="63">
        <v>44593</v>
      </c>
      <c r="J32" s="64">
        <f ca="1">EFEITO!$J$32*EFEITO!$Y$32</f>
        <v>138789.26200648068</v>
      </c>
      <c r="K32" s="64">
        <f ca="1">EFEITO!$L$32*EFEITO!$Z$32</f>
        <v>0</v>
      </c>
      <c r="L32" s="64">
        <f>EFEITO!$N$32*EFEITO!$AA$32</f>
        <v>0</v>
      </c>
      <c r="M32" s="64">
        <f ca="1">$J$32-EFEITO!$K$32*EFEITO!$Y$32</f>
        <v>0</v>
      </c>
      <c r="N32" s="64">
        <f ca="1">$K$32-EFEITO!$M$32*EFEITO!$Z$32</f>
        <v>0</v>
      </c>
      <c r="O32" s="64">
        <f>$L$32-EFEITO!$O$32*EFEITO!$AA$32</f>
        <v>0</v>
      </c>
      <c r="P32" s="19"/>
      <c r="Q32" s="19"/>
      <c r="R32" s="19"/>
      <c r="S32" s="19"/>
      <c r="T32" s="19"/>
      <c r="U32" s="19"/>
      <c r="V32" s="19"/>
      <c r="W32" s="19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55" t="s">
        <v>21</v>
      </c>
      <c r="B33" s="55" t="s">
        <v>39</v>
      </c>
      <c r="C33" s="55" t="s">
        <v>40</v>
      </c>
      <c r="D33" s="55" t="s">
        <v>43</v>
      </c>
      <c r="E33" s="55" t="s">
        <v>25</v>
      </c>
      <c r="F33" s="55" t="s">
        <v>25</v>
      </c>
      <c r="G33" s="55" t="s">
        <v>25</v>
      </c>
      <c r="H33" s="55" t="s">
        <v>34</v>
      </c>
      <c r="I33" s="63">
        <v>44621</v>
      </c>
      <c r="J33" s="64">
        <f ca="1">EFEITO!$J$33*EFEITO!$Y$33</f>
        <v>138533.50783816405</v>
      </c>
      <c r="K33" s="64">
        <f ca="1">EFEITO!$L$33*EFEITO!$Z$33</f>
        <v>0</v>
      </c>
      <c r="L33" s="64">
        <f>EFEITO!$N$33*EFEITO!$AA$33</f>
        <v>0</v>
      </c>
      <c r="M33" s="64">
        <f ca="1">$J$33-EFEITO!$K$33*EFEITO!$Y$33</f>
        <v>0</v>
      </c>
      <c r="N33" s="64">
        <f ca="1">$K$33-EFEITO!$M$33*EFEITO!$Z$33</f>
        <v>0</v>
      </c>
      <c r="O33" s="64">
        <f>$L$33-EFEITO!$O$33*EFEITO!$AA$33</f>
        <v>0</v>
      </c>
      <c r="P33" s="19"/>
      <c r="Q33" s="19"/>
      <c r="R33" s="19"/>
      <c r="S33" s="19"/>
      <c r="T33" s="19"/>
      <c r="U33" s="19"/>
      <c r="V33" s="19"/>
      <c r="W33" s="19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55" t="s">
        <v>21</v>
      </c>
      <c r="B34" s="55" t="s">
        <v>39</v>
      </c>
      <c r="C34" s="55" t="s">
        <v>40</v>
      </c>
      <c r="D34" s="55" t="s">
        <v>43</v>
      </c>
      <c r="E34" s="55" t="s">
        <v>25</v>
      </c>
      <c r="F34" s="55" t="s">
        <v>25</v>
      </c>
      <c r="G34" s="55" t="s">
        <v>25</v>
      </c>
      <c r="H34" s="55" t="s">
        <v>34</v>
      </c>
      <c r="I34" s="63">
        <v>44652</v>
      </c>
      <c r="J34" s="64">
        <f ca="1">EFEITO!$J$34*EFEITO!$Y$34</f>
        <v>138533.50783816405</v>
      </c>
      <c r="K34" s="64">
        <f ca="1">EFEITO!$L$34*EFEITO!$Z$34</f>
        <v>0</v>
      </c>
      <c r="L34" s="64">
        <f>EFEITO!$N$34*EFEITO!$AA$34</f>
        <v>0</v>
      </c>
      <c r="M34" s="64">
        <f ca="1">$J$34-EFEITO!$K$34*EFEITO!$Y$34</f>
        <v>0</v>
      </c>
      <c r="N34" s="64">
        <f ca="1">$K$34-EFEITO!$M$34*EFEITO!$Z$34</f>
        <v>0</v>
      </c>
      <c r="O34" s="64">
        <f>$L$34-EFEITO!$O$34*EFEITO!$AA$34</f>
        <v>0</v>
      </c>
      <c r="P34" s="19"/>
      <c r="Q34" s="19"/>
      <c r="R34" s="19"/>
      <c r="S34" s="19"/>
      <c r="T34" s="19"/>
      <c r="U34" s="19"/>
      <c r="V34" s="19"/>
      <c r="W34" s="19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55" t="s">
        <v>21</v>
      </c>
      <c r="B35" s="55" t="s">
        <v>39</v>
      </c>
      <c r="C35" s="55" t="s">
        <v>40</v>
      </c>
      <c r="D35" s="55" t="s">
        <v>43</v>
      </c>
      <c r="E35" s="55" t="s">
        <v>25</v>
      </c>
      <c r="F35" s="55" t="s">
        <v>25</v>
      </c>
      <c r="G35" s="55" t="s">
        <v>25</v>
      </c>
      <c r="H35" s="55" t="s">
        <v>34</v>
      </c>
      <c r="I35" s="63">
        <v>44682</v>
      </c>
      <c r="J35" s="64">
        <f ca="1">EFEITO!$J$35*EFEITO!$Y$35</f>
        <v>140579.54118469695</v>
      </c>
      <c r="K35" s="64">
        <f ca="1">EFEITO!$L$35*EFEITO!$Z$35</f>
        <v>0</v>
      </c>
      <c r="L35" s="64">
        <f>EFEITO!$N$35*EFEITO!$AA$35</f>
        <v>0</v>
      </c>
      <c r="M35" s="64">
        <f ca="1">$J$35-EFEITO!$K$35*EFEITO!$Y$35</f>
        <v>0</v>
      </c>
      <c r="N35" s="64">
        <f ca="1">$K$35-EFEITO!$M$35*EFEITO!$Z$35</f>
        <v>0</v>
      </c>
      <c r="O35" s="64">
        <f>$L$35-EFEITO!$O$35*EFEITO!$AA$35</f>
        <v>0</v>
      </c>
      <c r="P35" s="19"/>
      <c r="Q35" s="19"/>
      <c r="R35" s="19"/>
      <c r="S35" s="19"/>
      <c r="T35" s="19"/>
      <c r="U35" s="19"/>
      <c r="V35" s="19"/>
      <c r="W35" s="19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55" t="s">
        <v>21</v>
      </c>
      <c r="B36" s="55" t="s">
        <v>39</v>
      </c>
      <c r="C36" s="55" t="s">
        <v>40</v>
      </c>
      <c r="D36" s="55" t="s">
        <v>43</v>
      </c>
      <c r="E36" s="55" t="s">
        <v>25</v>
      </c>
      <c r="F36" s="55" t="s">
        <v>25</v>
      </c>
      <c r="G36" s="55" t="s">
        <v>25</v>
      </c>
      <c r="H36" s="55" t="s">
        <v>34</v>
      </c>
      <c r="I36" s="63">
        <v>44713</v>
      </c>
      <c r="J36" s="64">
        <f ca="1">EFEITO!$J$36*EFEITO!$Y$36</f>
        <v>141858.31202628001</v>
      </c>
      <c r="K36" s="64">
        <f ca="1">EFEITO!$L$36*EFEITO!$Z$36</f>
        <v>0</v>
      </c>
      <c r="L36" s="64">
        <f>EFEITO!$N$36*EFEITO!$AA$36</f>
        <v>0</v>
      </c>
      <c r="M36" s="64">
        <f ca="1">$J$36-EFEITO!$K$36*EFEITO!$Y$36</f>
        <v>0</v>
      </c>
      <c r="N36" s="64">
        <f ca="1">$K$36-EFEITO!$M$36*EFEITO!$Z$36</f>
        <v>0</v>
      </c>
      <c r="O36" s="64">
        <f>$L$36-EFEITO!$O$36*EFEITO!$AA$36</f>
        <v>0</v>
      </c>
      <c r="P36" s="19"/>
      <c r="Q36" s="19"/>
      <c r="R36" s="19"/>
      <c r="S36" s="19"/>
      <c r="T36" s="19"/>
      <c r="U36" s="19"/>
      <c r="V36" s="19"/>
      <c r="W36" s="19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55" t="s">
        <v>57</v>
      </c>
      <c r="B37" s="55" t="s">
        <v>39</v>
      </c>
      <c r="C37" s="55" t="s">
        <v>40</v>
      </c>
      <c r="D37" s="55" t="s">
        <v>43</v>
      </c>
      <c r="E37" s="55" t="s">
        <v>25</v>
      </c>
      <c r="F37" s="55" t="s">
        <v>25</v>
      </c>
      <c r="G37" s="55" t="s">
        <v>25</v>
      </c>
      <c r="H37" s="55" t="s">
        <v>34</v>
      </c>
      <c r="I37" s="63">
        <v>44743</v>
      </c>
      <c r="J37" s="64">
        <f ca="1">EFEITO!$J$37*EFEITO!$Y$37</f>
        <v>141858.31202628001</v>
      </c>
      <c r="K37" s="64">
        <f ca="1">EFEITO!$L$37*EFEITO!$Z$37</f>
        <v>0</v>
      </c>
      <c r="L37" s="64">
        <f>EFEITO!$N$37*EFEITO!$AA$37</f>
        <v>0</v>
      </c>
      <c r="M37" s="64">
        <f ca="1">$J$37-EFEITO!$K$37*EFEITO!$Y$37</f>
        <v>0</v>
      </c>
      <c r="N37" s="64">
        <f ca="1">$K$37-EFEITO!$M$37*EFEITO!$Z$37</f>
        <v>0</v>
      </c>
      <c r="O37" s="64">
        <f>$L$37-EFEITO!$O$37*EFEITO!$AA$37</f>
        <v>0</v>
      </c>
      <c r="P37" s="19"/>
      <c r="Q37" s="19"/>
      <c r="R37" s="19"/>
      <c r="S37" s="19"/>
      <c r="T37" s="19"/>
      <c r="U37" s="19"/>
      <c r="V37" s="19"/>
      <c r="W37" s="19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55" t="s">
        <v>21</v>
      </c>
      <c r="B38" s="55" t="s">
        <v>39</v>
      </c>
      <c r="C38" s="55" t="s">
        <v>40</v>
      </c>
      <c r="D38" s="55" t="s">
        <v>38</v>
      </c>
      <c r="E38" s="55" t="s">
        <v>25</v>
      </c>
      <c r="F38" s="55" t="s">
        <v>61</v>
      </c>
      <c r="G38" s="55" t="s">
        <v>25</v>
      </c>
      <c r="H38" s="55" t="s">
        <v>35</v>
      </c>
      <c r="I38" s="63">
        <v>44409</v>
      </c>
      <c r="J38" s="64">
        <f ca="1">EFEITO!$J$38*EFEITO!$Y$38</f>
        <v>60382.377422529382</v>
      </c>
      <c r="K38" s="64">
        <f ca="1">EFEITO!$L$38*EFEITO!$Z$38</f>
        <v>0</v>
      </c>
      <c r="L38" s="64">
        <f>EFEITO!$N$38*EFEITO!$AA$38</f>
        <v>0</v>
      </c>
      <c r="M38" s="64">
        <f ca="1">$J$38-EFEITO!$K$38*EFEITO!$Y$38</f>
        <v>27775.893614363515</v>
      </c>
      <c r="N38" s="64">
        <f ca="1">$K$38-EFEITO!$M$38*EFEITO!$Z$38</f>
        <v>0</v>
      </c>
      <c r="O38" s="64">
        <f>$L$38-EFEITO!$O$38*EFEITO!$AA$38</f>
        <v>0</v>
      </c>
      <c r="P38" s="19"/>
      <c r="Q38" s="19"/>
      <c r="R38" s="19"/>
      <c r="S38" s="19"/>
      <c r="T38" s="19"/>
      <c r="U38" s="19"/>
      <c r="V38" s="19"/>
      <c r="W38" s="19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55" t="s">
        <v>21</v>
      </c>
      <c r="B39" s="55" t="s">
        <v>39</v>
      </c>
      <c r="C39" s="55" t="s">
        <v>40</v>
      </c>
      <c r="D39" s="55" t="s">
        <v>38</v>
      </c>
      <c r="E39" s="55" t="s">
        <v>25</v>
      </c>
      <c r="F39" s="55" t="s">
        <v>61</v>
      </c>
      <c r="G39" s="55" t="s">
        <v>25</v>
      </c>
      <c r="H39" s="55" t="s">
        <v>35</v>
      </c>
      <c r="I39" s="63">
        <v>44440</v>
      </c>
      <c r="J39" s="64">
        <f ca="1">EFEITO!$J$39*EFEITO!$Y$39</f>
        <v>60382.377422529382</v>
      </c>
      <c r="K39" s="64">
        <f ca="1">EFEITO!$L$39*EFEITO!$Z$39</f>
        <v>0</v>
      </c>
      <c r="L39" s="64">
        <f>EFEITO!$N$39*EFEITO!$AA$39</f>
        <v>0</v>
      </c>
      <c r="M39" s="64">
        <f ca="1">$J$39-EFEITO!$K$39*EFEITO!$Y$39</f>
        <v>28983.541162814105</v>
      </c>
      <c r="N39" s="64">
        <f ca="1">$K$39-EFEITO!$M$39*EFEITO!$Z$39</f>
        <v>0</v>
      </c>
      <c r="O39" s="64">
        <f>$L$39-EFEITO!$O$39*EFEITO!$AA$39</f>
        <v>0</v>
      </c>
      <c r="P39" s="19"/>
      <c r="Q39" s="19"/>
      <c r="R39" s="19"/>
      <c r="S39" s="19"/>
      <c r="T39" s="19"/>
      <c r="U39" s="19"/>
      <c r="V39" s="19"/>
      <c r="W39" s="19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55" t="s">
        <v>21</v>
      </c>
      <c r="B40" s="55" t="s">
        <v>39</v>
      </c>
      <c r="C40" s="55" t="s">
        <v>40</v>
      </c>
      <c r="D40" s="55" t="s">
        <v>38</v>
      </c>
      <c r="E40" s="55" t="s">
        <v>25</v>
      </c>
      <c r="F40" s="55" t="s">
        <v>61</v>
      </c>
      <c r="G40" s="55" t="s">
        <v>25</v>
      </c>
      <c r="H40" s="55" t="s">
        <v>35</v>
      </c>
      <c r="I40" s="63">
        <v>44470</v>
      </c>
      <c r="J40" s="64">
        <f ca="1">EFEITO!$J$40*EFEITO!$Y$40</f>
        <v>60382.377422529382</v>
      </c>
      <c r="K40" s="64">
        <f ca="1">EFEITO!$L$40*EFEITO!$Z$40</f>
        <v>0</v>
      </c>
      <c r="L40" s="64">
        <f>EFEITO!$N$40*EFEITO!$AA$40</f>
        <v>0</v>
      </c>
      <c r="M40" s="64">
        <f ca="1">$J$40-EFEITO!$K$40*EFEITO!$Y$40</f>
        <v>5434.4139680276348</v>
      </c>
      <c r="N40" s="64">
        <f ca="1">$K$40-EFEITO!$M$40*EFEITO!$Z$40</f>
        <v>0</v>
      </c>
      <c r="O40" s="64">
        <f>$L$40-EFEITO!$O$40*EFEITO!$AA$40</f>
        <v>0</v>
      </c>
      <c r="P40" s="19"/>
      <c r="Q40" s="19"/>
      <c r="R40" s="19"/>
      <c r="S40" s="19"/>
      <c r="T40" s="19"/>
      <c r="U40" s="19"/>
      <c r="V40" s="19"/>
      <c r="W40" s="19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55" t="s">
        <v>21</v>
      </c>
      <c r="B41" s="55" t="s">
        <v>39</v>
      </c>
      <c r="C41" s="55" t="s">
        <v>40</v>
      </c>
      <c r="D41" s="55" t="s">
        <v>38</v>
      </c>
      <c r="E41" s="55" t="s">
        <v>25</v>
      </c>
      <c r="F41" s="55" t="s">
        <v>61</v>
      </c>
      <c r="G41" s="55" t="s">
        <v>25</v>
      </c>
      <c r="H41" s="55" t="s">
        <v>35</v>
      </c>
      <c r="I41" s="63">
        <v>44501</v>
      </c>
      <c r="J41" s="64">
        <f ca="1">EFEITO!$J$41*EFEITO!$Y$41</f>
        <v>96103.087875783953</v>
      </c>
      <c r="K41" s="64">
        <f ca="1">EFEITO!$L$41*EFEITO!$Z$41</f>
        <v>0</v>
      </c>
      <c r="L41" s="64">
        <f>EFEITO!$N$41*EFEITO!$AA$41</f>
        <v>0</v>
      </c>
      <c r="M41" s="64">
        <f ca="1">$J$41-EFEITO!$K$41*EFEITO!$Y$41</f>
        <v>36519.1733927979</v>
      </c>
      <c r="N41" s="64">
        <f ca="1">$K$41-EFEITO!$M$41*EFEITO!$Z$41</f>
        <v>0</v>
      </c>
      <c r="O41" s="64">
        <f>$L$41-EFEITO!$O$41*EFEITO!$AA$41</f>
        <v>0</v>
      </c>
      <c r="P41" s="19"/>
      <c r="Q41" s="19"/>
      <c r="R41" s="19"/>
      <c r="S41" s="19"/>
      <c r="T41" s="19"/>
      <c r="U41" s="19"/>
      <c r="V41" s="19"/>
      <c r="W41" s="19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55" t="s">
        <v>21</v>
      </c>
      <c r="B42" s="55" t="s">
        <v>39</v>
      </c>
      <c r="C42" s="55" t="s">
        <v>40</v>
      </c>
      <c r="D42" s="55" t="s">
        <v>38</v>
      </c>
      <c r="E42" s="55" t="s">
        <v>25</v>
      </c>
      <c r="F42" s="55" t="s">
        <v>61</v>
      </c>
      <c r="G42" s="55" t="s">
        <v>25</v>
      </c>
      <c r="H42" s="55" t="s">
        <v>35</v>
      </c>
      <c r="I42" s="63">
        <v>44531</v>
      </c>
      <c r="J42" s="64">
        <f ca="1">EFEITO!$J$42*EFEITO!$Y$42</f>
        <v>72657.915689746893</v>
      </c>
      <c r="K42" s="64">
        <f ca="1">EFEITO!$L$42*EFEITO!$Z$42</f>
        <v>0</v>
      </c>
      <c r="L42" s="64">
        <f>EFEITO!$N$42*EFEITO!$AA$42</f>
        <v>0</v>
      </c>
      <c r="M42" s="64">
        <f ca="1">$J$42-EFEITO!$K$42*EFEITO!$Y$42</f>
        <v>47954.224355232946</v>
      </c>
      <c r="N42" s="64">
        <f ca="1">$K$42-EFEITO!$M$42*EFEITO!$Z$42</f>
        <v>0</v>
      </c>
      <c r="O42" s="64">
        <f>$L$42-EFEITO!$O$42*EFEITO!$AA$42</f>
        <v>0</v>
      </c>
      <c r="P42" s="19"/>
      <c r="Q42" s="19"/>
      <c r="R42" s="19"/>
      <c r="S42" s="19"/>
      <c r="T42" s="19"/>
      <c r="U42" s="19"/>
      <c r="V42" s="19"/>
      <c r="W42" s="19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55" t="s">
        <v>21</v>
      </c>
      <c r="B43" s="55" t="s">
        <v>39</v>
      </c>
      <c r="C43" s="55" t="s">
        <v>40</v>
      </c>
      <c r="D43" s="55" t="s">
        <v>38</v>
      </c>
      <c r="E43" s="55" t="s">
        <v>25</v>
      </c>
      <c r="F43" s="55" t="s">
        <v>61</v>
      </c>
      <c r="G43" s="55" t="s">
        <v>25</v>
      </c>
      <c r="H43" s="55" t="s">
        <v>35</v>
      </c>
      <c r="I43" s="63">
        <v>44562</v>
      </c>
      <c r="J43" s="64">
        <f ca="1">EFEITO!$J$43*EFEITO!$Y$43</f>
        <v>72657.915689746893</v>
      </c>
      <c r="K43" s="64">
        <f ca="1">EFEITO!$L$43*EFEITO!$Z$43</f>
        <v>0</v>
      </c>
      <c r="L43" s="64">
        <f>EFEITO!$N$43*EFEITO!$AA$43</f>
        <v>0</v>
      </c>
      <c r="M43" s="64">
        <f ca="1">$J$43-EFEITO!$K$43*EFEITO!$Y$43</f>
        <v>47227.645198335478</v>
      </c>
      <c r="N43" s="64">
        <f ca="1">$K$43-EFEITO!$M$43*EFEITO!$Z$43</f>
        <v>0</v>
      </c>
      <c r="O43" s="64">
        <f>$L$43-EFEITO!$O$43*EFEITO!$AA$43</f>
        <v>0</v>
      </c>
      <c r="P43" s="19"/>
      <c r="Q43" s="19"/>
      <c r="R43" s="19"/>
      <c r="S43" s="19"/>
      <c r="T43" s="19"/>
      <c r="U43" s="19"/>
      <c r="V43" s="19"/>
      <c r="W43" s="19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55" t="s">
        <v>21</v>
      </c>
      <c r="B44" s="55" t="s">
        <v>39</v>
      </c>
      <c r="C44" s="55" t="s">
        <v>40</v>
      </c>
      <c r="D44" s="55" t="s">
        <v>38</v>
      </c>
      <c r="E44" s="55" t="s">
        <v>25</v>
      </c>
      <c r="F44" s="55" t="s">
        <v>61</v>
      </c>
      <c r="G44" s="55" t="s">
        <v>25</v>
      </c>
      <c r="H44" s="55" t="s">
        <v>35</v>
      </c>
      <c r="I44" s="63">
        <v>44593</v>
      </c>
      <c r="J44" s="64">
        <f ca="1">EFEITO!$J$44*EFEITO!$Y$44</f>
        <v>72657.915689746893</v>
      </c>
      <c r="K44" s="64">
        <f ca="1">EFEITO!$L$44*EFEITO!$Z$44</f>
        <v>0</v>
      </c>
      <c r="L44" s="64">
        <f>EFEITO!$N$44*EFEITO!$AA$44</f>
        <v>0</v>
      </c>
      <c r="M44" s="64">
        <f ca="1">$J$44-EFEITO!$K$44*EFEITO!$Y$44</f>
        <v>47954.224355232946</v>
      </c>
      <c r="N44" s="64">
        <f ca="1">$K$44-EFEITO!$M$44*EFEITO!$Z$44</f>
        <v>0</v>
      </c>
      <c r="O44" s="64">
        <f>$L$44-EFEITO!$O$44*EFEITO!$AA$44</f>
        <v>0</v>
      </c>
      <c r="P44" s="19"/>
      <c r="Q44" s="19"/>
      <c r="R44" s="19"/>
      <c r="S44" s="19"/>
      <c r="T44" s="19"/>
      <c r="U44" s="19"/>
      <c r="V44" s="19"/>
      <c r="W44" s="19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55" t="s">
        <v>21</v>
      </c>
      <c r="B45" s="55" t="s">
        <v>39</v>
      </c>
      <c r="C45" s="55" t="s">
        <v>40</v>
      </c>
      <c r="D45" s="55" t="s">
        <v>38</v>
      </c>
      <c r="E45" s="55" t="s">
        <v>25</v>
      </c>
      <c r="F45" s="55" t="s">
        <v>61</v>
      </c>
      <c r="G45" s="55" t="s">
        <v>25</v>
      </c>
      <c r="H45" s="55" t="s">
        <v>35</v>
      </c>
      <c r="I45" s="63">
        <v>44621</v>
      </c>
      <c r="J45" s="64">
        <f ca="1">EFEITO!$J$45*EFEITO!$Y$45</f>
        <v>72657.915689746893</v>
      </c>
      <c r="K45" s="64">
        <f ca="1">EFEITO!$L$45*EFEITO!$Z$45</f>
        <v>0</v>
      </c>
      <c r="L45" s="64">
        <f>EFEITO!$N$45*EFEITO!$AA$45</f>
        <v>0</v>
      </c>
      <c r="M45" s="64">
        <f ca="1">$J$45-EFEITO!$K$45*EFEITO!$Y$45</f>
        <v>45774.486884540544</v>
      </c>
      <c r="N45" s="64">
        <f ca="1">$K$45-EFEITO!$M$45*EFEITO!$Z$45</f>
        <v>0</v>
      </c>
      <c r="O45" s="64">
        <f>$L$45-EFEITO!$O$45*EFEITO!$AA$45</f>
        <v>0</v>
      </c>
      <c r="P45" s="19"/>
      <c r="Q45" s="19"/>
      <c r="R45" s="19"/>
      <c r="S45" s="19"/>
      <c r="T45" s="19"/>
      <c r="U45" s="19"/>
      <c r="V45" s="19"/>
      <c r="W45" s="19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55" t="s">
        <v>21</v>
      </c>
      <c r="B46" s="55" t="s">
        <v>39</v>
      </c>
      <c r="C46" s="55" t="s">
        <v>40</v>
      </c>
      <c r="D46" s="55" t="s">
        <v>38</v>
      </c>
      <c r="E46" s="55" t="s">
        <v>25</v>
      </c>
      <c r="F46" s="55" t="s">
        <v>61</v>
      </c>
      <c r="G46" s="55" t="s">
        <v>25</v>
      </c>
      <c r="H46" s="55" t="s">
        <v>35</v>
      </c>
      <c r="I46" s="63">
        <v>44652</v>
      </c>
      <c r="J46" s="64">
        <f ca="1">EFEITO!$J$46*EFEITO!$Y$46</f>
        <v>72657.915689746893</v>
      </c>
      <c r="K46" s="64">
        <f ca="1">EFEITO!$L$46*EFEITO!$Z$46</f>
        <v>0</v>
      </c>
      <c r="L46" s="64">
        <f>EFEITO!$N$46*EFEITO!$AA$46</f>
        <v>0</v>
      </c>
      <c r="M46" s="64">
        <f ca="1">$J$46-EFEITO!$K$46*EFEITO!$Y$46</f>
        <v>47954.224355232946</v>
      </c>
      <c r="N46" s="64">
        <f ca="1">$K$46-EFEITO!$M$46*EFEITO!$Z$46</f>
        <v>0</v>
      </c>
      <c r="O46" s="64">
        <f>$L$46-EFEITO!$O$46*EFEITO!$AA$46</f>
        <v>0</v>
      </c>
      <c r="P46" s="19"/>
      <c r="Q46" s="19"/>
      <c r="R46" s="19"/>
      <c r="S46" s="19"/>
      <c r="T46" s="19"/>
      <c r="U46" s="19"/>
      <c r="V46" s="19"/>
      <c r="W46" s="19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55" t="s">
        <v>21</v>
      </c>
      <c r="B47" s="55" t="s">
        <v>39</v>
      </c>
      <c r="C47" s="55" t="s">
        <v>40</v>
      </c>
      <c r="D47" s="55" t="s">
        <v>38</v>
      </c>
      <c r="E47" s="55" t="s">
        <v>25</v>
      </c>
      <c r="F47" s="55" t="s">
        <v>61</v>
      </c>
      <c r="G47" s="55" t="s">
        <v>25</v>
      </c>
      <c r="H47" s="55" t="s">
        <v>35</v>
      </c>
      <c r="I47" s="63">
        <v>44682</v>
      </c>
      <c r="J47" s="64">
        <f ca="1">EFEITO!$J$47*EFEITO!$Y$47</f>
        <v>72657.915689746893</v>
      </c>
      <c r="K47" s="64">
        <f ca="1">EFEITO!$L$47*EFEITO!$Z$47</f>
        <v>0</v>
      </c>
      <c r="L47" s="64">
        <f>EFEITO!$N$47*EFEITO!$AA$47</f>
        <v>0</v>
      </c>
      <c r="M47" s="64">
        <f ca="1">$J$47-EFEITO!$K$47*EFEITO!$Y$47</f>
        <v>47954.224355232946</v>
      </c>
      <c r="N47" s="64">
        <f ca="1">$K$47-EFEITO!$M$47*EFEITO!$Z$47</f>
        <v>0</v>
      </c>
      <c r="O47" s="64">
        <f>$L$47-EFEITO!$O$47*EFEITO!$AA$47</f>
        <v>0</v>
      </c>
      <c r="P47" s="19"/>
      <c r="Q47" s="19"/>
      <c r="R47" s="19"/>
      <c r="S47" s="19"/>
      <c r="T47" s="19"/>
      <c r="U47" s="19"/>
      <c r="V47" s="19"/>
      <c r="W47" s="19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55" t="s">
        <v>21</v>
      </c>
      <c r="B48" s="55" t="s">
        <v>39</v>
      </c>
      <c r="C48" s="55" t="s">
        <v>40</v>
      </c>
      <c r="D48" s="55" t="s">
        <v>38</v>
      </c>
      <c r="E48" s="55" t="s">
        <v>25</v>
      </c>
      <c r="F48" s="55" t="s">
        <v>61</v>
      </c>
      <c r="G48" s="55" t="s">
        <v>25</v>
      </c>
      <c r="H48" s="55" t="s">
        <v>35</v>
      </c>
      <c r="I48" s="63">
        <v>44713</v>
      </c>
      <c r="J48" s="64">
        <f ca="1">EFEITO!$J$48*EFEITO!$Y$48</f>
        <v>72657.915689746893</v>
      </c>
      <c r="K48" s="64">
        <f ca="1">EFEITO!$L$48*EFEITO!$Z$48</f>
        <v>0</v>
      </c>
      <c r="L48" s="64">
        <f>EFEITO!$N$48*EFEITO!$AA$48</f>
        <v>0</v>
      </c>
      <c r="M48" s="64">
        <f ca="1">$J$48-EFEITO!$K$48*EFEITO!$Y$48</f>
        <v>47954.224355232946</v>
      </c>
      <c r="N48" s="64">
        <f ca="1">$K$48-EFEITO!$M$48*EFEITO!$Z$48</f>
        <v>0</v>
      </c>
      <c r="O48" s="64">
        <f>$L$48-EFEITO!$O$48*EFEITO!$AA$48</f>
        <v>0</v>
      </c>
      <c r="P48" s="19"/>
      <c r="Q48" s="19"/>
      <c r="R48" s="19"/>
      <c r="S48" s="19"/>
      <c r="T48" s="19"/>
      <c r="U48" s="19"/>
      <c r="V48" s="19"/>
      <c r="W48" s="19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55" t="s">
        <v>57</v>
      </c>
      <c r="B49" s="55" t="s">
        <v>39</v>
      </c>
      <c r="C49" s="55" t="s">
        <v>40</v>
      </c>
      <c r="D49" s="55" t="s">
        <v>38</v>
      </c>
      <c r="E49" s="55" t="s">
        <v>25</v>
      </c>
      <c r="F49" s="55" t="s">
        <v>61</v>
      </c>
      <c r="G49" s="55" t="s">
        <v>25</v>
      </c>
      <c r="H49" s="55" t="s">
        <v>35</v>
      </c>
      <c r="I49" s="63">
        <v>44743</v>
      </c>
      <c r="J49" s="64">
        <f ca="1">EFEITO!$J$49*EFEITO!$Y$49</f>
        <v>72657.915689746893</v>
      </c>
      <c r="K49" s="64">
        <f ca="1">EFEITO!$L$49*EFEITO!$Z$49</f>
        <v>0</v>
      </c>
      <c r="L49" s="64">
        <f>EFEITO!$N$49*EFEITO!$AA$49</f>
        <v>0</v>
      </c>
      <c r="M49" s="64">
        <f ca="1">$J$49-EFEITO!$K$49*EFEITO!$Y$49</f>
        <v>47954.224355232946</v>
      </c>
      <c r="N49" s="64">
        <f ca="1">$K$49-EFEITO!$M$49*EFEITO!$Z$49</f>
        <v>0</v>
      </c>
      <c r="O49" s="64">
        <f>$L$49-EFEITO!$O$49*EFEITO!$AA$49</f>
        <v>0</v>
      </c>
      <c r="P49" s="19"/>
      <c r="Q49" s="19"/>
      <c r="R49" s="19"/>
      <c r="S49" s="19"/>
      <c r="T49" s="19"/>
      <c r="U49" s="19"/>
      <c r="V49" s="19"/>
      <c r="W49" s="19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55" t="s">
        <v>21</v>
      </c>
      <c r="B50" s="55" t="s">
        <v>39</v>
      </c>
      <c r="C50" s="55" t="s">
        <v>40</v>
      </c>
      <c r="D50" s="55" t="s">
        <v>38</v>
      </c>
      <c r="E50" s="55" t="s">
        <v>25</v>
      </c>
      <c r="F50" s="55" t="s">
        <v>61</v>
      </c>
      <c r="G50" s="55" t="s">
        <v>25</v>
      </c>
      <c r="H50" s="55" t="s">
        <v>25</v>
      </c>
      <c r="I50" s="63">
        <v>44409</v>
      </c>
      <c r="J50" s="64">
        <f>EFEITO!$J$50*EFEITO!$Y$50</f>
        <v>0</v>
      </c>
      <c r="K50" s="64">
        <f ca="1">EFEITO!$L$50*EFEITO!$Z$50</f>
        <v>73122.271618566447</v>
      </c>
      <c r="L50" s="64">
        <f>EFEITO!$N$50*EFEITO!$AA$50</f>
        <v>0</v>
      </c>
      <c r="M50" s="64">
        <f>$J$50-EFEITO!$K$50*EFEITO!$Y$50</f>
        <v>0</v>
      </c>
      <c r="N50" s="64">
        <f ca="1">$K$50-EFEITO!$M$50*EFEITO!$Z$50</f>
        <v>0</v>
      </c>
      <c r="O50" s="64">
        <f>$L$50-EFEITO!$O$50*EFEITO!$AA$50</f>
        <v>0</v>
      </c>
      <c r="P50" s="19"/>
      <c r="Q50" s="19"/>
      <c r="R50" s="19"/>
      <c r="S50" s="19"/>
      <c r="T50" s="19"/>
      <c r="U50" s="19"/>
      <c r="V50" s="19"/>
      <c r="W50" s="19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55" t="s">
        <v>21</v>
      </c>
      <c r="B51" s="55" t="s">
        <v>39</v>
      </c>
      <c r="C51" s="55" t="s">
        <v>40</v>
      </c>
      <c r="D51" s="55" t="s">
        <v>38</v>
      </c>
      <c r="E51" s="55" t="s">
        <v>25</v>
      </c>
      <c r="F51" s="55" t="s">
        <v>61</v>
      </c>
      <c r="G51" s="55" t="s">
        <v>25</v>
      </c>
      <c r="H51" s="55" t="s">
        <v>25</v>
      </c>
      <c r="I51" s="63">
        <v>44440</v>
      </c>
      <c r="J51" s="64">
        <f>EFEITO!$J$51*EFEITO!$Y$51</f>
        <v>0</v>
      </c>
      <c r="K51" s="64">
        <f ca="1">EFEITO!$L$51*EFEITO!$Z$51</f>
        <v>71722.64511388111</v>
      </c>
      <c r="L51" s="64">
        <f>EFEITO!$N$51*EFEITO!$AA$51</f>
        <v>0</v>
      </c>
      <c r="M51" s="64">
        <f>$J$51-EFEITO!$K$51*EFEITO!$Y$51</f>
        <v>0</v>
      </c>
      <c r="N51" s="64">
        <f ca="1">$K$51-EFEITO!$M$51*EFEITO!$Z$51</f>
        <v>0</v>
      </c>
      <c r="O51" s="64">
        <f>$L$51-EFEITO!$O$51*EFEITO!$AA$51</f>
        <v>0</v>
      </c>
      <c r="P51" s="19"/>
      <c r="Q51" s="19"/>
      <c r="R51" s="19"/>
      <c r="S51" s="19"/>
      <c r="T51" s="19"/>
      <c r="U51" s="19"/>
      <c r="V51" s="19"/>
      <c r="W51" s="19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55" t="s">
        <v>21</v>
      </c>
      <c r="B52" s="55" t="s">
        <v>39</v>
      </c>
      <c r="C52" s="55" t="s">
        <v>40</v>
      </c>
      <c r="D52" s="55" t="s">
        <v>38</v>
      </c>
      <c r="E52" s="55" t="s">
        <v>25</v>
      </c>
      <c r="F52" s="55" t="s">
        <v>61</v>
      </c>
      <c r="G52" s="55" t="s">
        <v>25</v>
      </c>
      <c r="H52" s="55" t="s">
        <v>25</v>
      </c>
      <c r="I52" s="63">
        <v>44470</v>
      </c>
      <c r="J52" s="64">
        <f>EFEITO!$J$52*EFEITO!$Y$52</f>
        <v>0</v>
      </c>
      <c r="K52" s="64">
        <f ca="1">EFEITO!$L$52*EFEITO!$Z$52</f>
        <v>66493.818363191458</v>
      </c>
      <c r="L52" s="64">
        <f>EFEITO!$N$52*EFEITO!$AA$52</f>
        <v>0</v>
      </c>
      <c r="M52" s="64">
        <f>$J$52-EFEITO!$K$52*EFEITO!$Y$52</f>
        <v>0</v>
      </c>
      <c r="N52" s="64">
        <f ca="1">$K$52-EFEITO!$M$52*EFEITO!$Z$52</f>
        <v>0</v>
      </c>
      <c r="O52" s="64">
        <f>$L$52-EFEITO!$O$52*EFEITO!$AA$52</f>
        <v>0</v>
      </c>
      <c r="P52" s="19"/>
      <c r="Q52" s="19"/>
      <c r="R52" s="19"/>
      <c r="S52" s="19"/>
      <c r="T52" s="19"/>
      <c r="U52" s="19"/>
      <c r="V52" s="19"/>
      <c r="W52" s="19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55" t="s">
        <v>21</v>
      </c>
      <c r="B53" s="55" t="s">
        <v>39</v>
      </c>
      <c r="C53" s="55" t="s">
        <v>40</v>
      </c>
      <c r="D53" s="55" t="s">
        <v>38</v>
      </c>
      <c r="E53" s="55" t="s">
        <v>25</v>
      </c>
      <c r="F53" s="55" t="s">
        <v>61</v>
      </c>
      <c r="G53" s="55" t="s">
        <v>25</v>
      </c>
      <c r="H53" s="55" t="s">
        <v>25</v>
      </c>
      <c r="I53" s="63">
        <v>44501</v>
      </c>
      <c r="J53" s="64">
        <f>EFEITO!$J$53*EFEITO!$Y$53</f>
        <v>0</v>
      </c>
      <c r="K53" s="64">
        <f ca="1">EFEITO!$L$53*EFEITO!$Z$53</f>
        <v>174396.80309237973</v>
      </c>
      <c r="L53" s="64">
        <f>EFEITO!$N$53*EFEITO!$AA$53</f>
        <v>0</v>
      </c>
      <c r="M53" s="64">
        <f>$J$53-EFEITO!$K$53*EFEITO!$Y$53</f>
        <v>0</v>
      </c>
      <c r="N53" s="64">
        <f ca="1">$K$53-EFEITO!$M$53*EFEITO!$Z$53</f>
        <v>0</v>
      </c>
      <c r="O53" s="64">
        <f>$L$53-EFEITO!$O$53*EFEITO!$AA$53</f>
        <v>0</v>
      </c>
      <c r="P53" s="19"/>
      <c r="Q53" s="19"/>
      <c r="R53" s="19"/>
      <c r="S53" s="19"/>
      <c r="T53" s="19"/>
      <c r="U53" s="19"/>
      <c r="V53" s="19"/>
      <c r="W53" s="19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55" t="s">
        <v>21</v>
      </c>
      <c r="B54" s="55" t="s">
        <v>39</v>
      </c>
      <c r="C54" s="55" t="s">
        <v>40</v>
      </c>
      <c r="D54" s="55" t="s">
        <v>38</v>
      </c>
      <c r="E54" s="55" t="s">
        <v>25</v>
      </c>
      <c r="F54" s="55" t="s">
        <v>61</v>
      </c>
      <c r="G54" s="55" t="s">
        <v>25</v>
      </c>
      <c r="H54" s="55" t="s">
        <v>25</v>
      </c>
      <c r="I54" s="63">
        <v>44531</v>
      </c>
      <c r="J54" s="64">
        <f>EFEITO!$J$54*EFEITO!$Y$54</f>
        <v>0</v>
      </c>
      <c r="K54" s="64">
        <f ca="1">EFEITO!$L$54*EFEITO!$Z$54</f>
        <v>126581.13483287084</v>
      </c>
      <c r="L54" s="64">
        <f>EFEITO!$N$54*EFEITO!$AA$54</f>
        <v>0</v>
      </c>
      <c r="M54" s="64">
        <f>$J$54-EFEITO!$K$54*EFEITO!$Y$54</f>
        <v>0</v>
      </c>
      <c r="N54" s="64">
        <f ca="1">$K$54-EFEITO!$M$54*EFEITO!$Z$54</f>
        <v>0</v>
      </c>
      <c r="O54" s="64">
        <f>$L$54-EFEITO!$O$54*EFEITO!$AA$54</f>
        <v>0</v>
      </c>
      <c r="P54" s="19"/>
      <c r="Q54" s="19"/>
      <c r="R54" s="19"/>
      <c r="S54" s="19"/>
      <c r="T54" s="19"/>
      <c r="U54" s="19"/>
      <c r="V54" s="19"/>
      <c r="W54" s="19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55" t="s">
        <v>21</v>
      </c>
      <c r="B55" s="55" t="s">
        <v>39</v>
      </c>
      <c r="C55" s="55" t="s">
        <v>40</v>
      </c>
      <c r="D55" s="55" t="s">
        <v>38</v>
      </c>
      <c r="E55" s="55" t="s">
        <v>25</v>
      </c>
      <c r="F55" s="55" t="s">
        <v>61</v>
      </c>
      <c r="G55" s="55" t="s">
        <v>25</v>
      </c>
      <c r="H55" s="55" t="s">
        <v>25</v>
      </c>
      <c r="I55" s="63">
        <v>44562</v>
      </c>
      <c r="J55" s="64">
        <f>EFEITO!$J$55*EFEITO!$Y$55</f>
        <v>0</v>
      </c>
      <c r="K55" s="64">
        <f ca="1">EFEITO!$L$55*EFEITO!$Z$55</f>
        <v>121165.477356945</v>
      </c>
      <c r="L55" s="64">
        <f>EFEITO!$N$55*EFEITO!$AA$55</f>
        <v>0</v>
      </c>
      <c r="M55" s="64">
        <f>$J$55-EFEITO!$K$55*EFEITO!$Y$55</f>
        <v>0</v>
      </c>
      <c r="N55" s="64">
        <f ca="1">$K$55-EFEITO!$M$55*EFEITO!$Z$55</f>
        <v>0</v>
      </c>
      <c r="O55" s="64">
        <f>$L$55-EFEITO!$O$55*EFEITO!$AA$55</f>
        <v>0</v>
      </c>
      <c r="P55" s="19"/>
      <c r="Q55" s="19"/>
      <c r="R55" s="19"/>
      <c r="S55" s="19"/>
      <c r="T55" s="19"/>
      <c r="U55" s="19"/>
      <c r="V55" s="19"/>
      <c r="W55" s="19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55" t="s">
        <v>21</v>
      </c>
      <c r="B56" s="55" t="s">
        <v>39</v>
      </c>
      <c r="C56" s="55" t="s">
        <v>40</v>
      </c>
      <c r="D56" s="55" t="s">
        <v>38</v>
      </c>
      <c r="E56" s="55" t="s">
        <v>25</v>
      </c>
      <c r="F56" s="55" t="s">
        <v>61</v>
      </c>
      <c r="G56" s="55" t="s">
        <v>25</v>
      </c>
      <c r="H56" s="55" t="s">
        <v>25</v>
      </c>
      <c r="I56" s="63">
        <v>44593</v>
      </c>
      <c r="J56" s="64">
        <f>EFEITO!$J$56*EFEITO!$Y$56</f>
        <v>0</v>
      </c>
      <c r="K56" s="64">
        <f ca="1">EFEITO!$L$56*EFEITO!$Z$56</f>
        <v>109547.62606892284</v>
      </c>
      <c r="L56" s="64">
        <f>EFEITO!$N$56*EFEITO!$AA$56</f>
        <v>0</v>
      </c>
      <c r="M56" s="64">
        <f>$J$56-EFEITO!$K$56*EFEITO!$Y$56</f>
        <v>0</v>
      </c>
      <c r="N56" s="64">
        <f ca="1">$K$56-EFEITO!$M$56*EFEITO!$Z$56</f>
        <v>0</v>
      </c>
      <c r="O56" s="64">
        <f>$L$56-EFEITO!$O$56*EFEITO!$AA$56</f>
        <v>0</v>
      </c>
      <c r="P56" s="19"/>
      <c r="Q56" s="19"/>
      <c r="R56" s="19"/>
      <c r="S56" s="19"/>
      <c r="T56" s="19"/>
      <c r="U56" s="19"/>
      <c r="V56" s="19"/>
      <c r="W56" s="19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55" t="s">
        <v>21</v>
      </c>
      <c r="B57" s="55" t="s">
        <v>39</v>
      </c>
      <c r="C57" s="55" t="s">
        <v>40</v>
      </c>
      <c r="D57" s="55" t="s">
        <v>38</v>
      </c>
      <c r="E57" s="55" t="s">
        <v>25</v>
      </c>
      <c r="F57" s="55" t="s">
        <v>61</v>
      </c>
      <c r="G57" s="55" t="s">
        <v>25</v>
      </c>
      <c r="H57" s="55" t="s">
        <v>25</v>
      </c>
      <c r="I57" s="63">
        <v>44621</v>
      </c>
      <c r="J57" s="64">
        <f>EFEITO!$J$57*EFEITO!$Y$57</f>
        <v>0</v>
      </c>
      <c r="K57" s="64">
        <f ca="1">EFEITO!$L$57*EFEITO!$Z$57</f>
        <v>90734.579535740238</v>
      </c>
      <c r="L57" s="64">
        <f>EFEITO!$N$57*EFEITO!$AA$57</f>
        <v>0</v>
      </c>
      <c r="M57" s="64">
        <f>$J$57-EFEITO!$K$57*EFEITO!$Y$57</f>
        <v>0</v>
      </c>
      <c r="N57" s="64">
        <f ca="1">$K$57-EFEITO!$M$57*EFEITO!$Z$57</f>
        <v>0</v>
      </c>
      <c r="O57" s="64">
        <f>$L$57-EFEITO!$O$57*EFEITO!$AA$57</f>
        <v>0</v>
      </c>
      <c r="P57" s="19"/>
      <c r="Q57" s="19"/>
      <c r="R57" s="19"/>
      <c r="S57" s="19"/>
      <c r="T57" s="19"/>
      <c r="U57" s="19"/>
      <c r="V57" s="19"/>
      <c r="W57" s="1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55" t="s">
        <v>21</v>
      </c>
      <c r="B58" s="55" t="s">
        <v>39</v>
      </c>
      <c r="C58" s="55" t="s">
        <v>40</v>
      </c>
      <c r="D58" s="55" t="s">
        <v>38</v>
      </c>
      <c r="E58" s="55" t="s">
        <v>25</v>
      </c>
      <c r="F58" s="55" t="s">
        <v>61</v>
      </c>
      <c r="G58" s="55" t="s">
        <v>25</v>
      </c>
      <c r="H58" s="55" t="s">
        <v>25</v>
      </c>
      <c r="I58" s="63">
        <v>44652</v>
      </c>
      <c r="J58" s="64">
        <f>EFEITO!$J$58*EFEITO!$Y$58</f>
        <v>0</v>
      </c>
      <c r="K58" s="64">
        <f ca="1">EFEITO!$L$58*EFEITO!$Z$58</f>
        <v>124163.67356308139</v>
      </c>
      <c r="L58" s="64">
        <f>EFEITO!$N$58*EFEITO!$AA$58</f>
        <v>0</v>
      </c>
      <c r="M58" s="64">
        <f>$J$58-EFEITO!$K$58*EFEITO!$Y$58</f>
        <v>0</v>
      </c>
      <c r="N58" s="64">
        <f ca="1">$K$58-EFEITO!$M$58*EFEITO!$Z$58</f>
        <v>0</v>
      </c>
      <c r="O58" s="64">
        <f>$L$58-EFEITO!$O$58*EFEITO!$AA$58</f>
        <v>0</v>
      </c>
      <c r="P58" s="19"/>
      <c r="Q58" s="19"/>
      <c r="R58" s="19"/>
      <c r="S58" s="19"/>
      <c r="T58" s="19"/>
      <c r="U58" s="19"/>
      <c r="V58" s="19"/>
      <c r="W58" s="19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55" t="s">
        <v>21</v>
      </c>
      <c r="B59" s="55" t="s">
        <v>39</v>
      </c>
      <c r="C59" s="55" t="s">
        <v>40</v>
      </c>
      <c r="D59" s="55" t="s">
        <v>38</v>
      </c>
      <c r="E59" s="55" t="s">
        <v>25</v>
      </c>
      <c r="F59" s="55" t="s">
        <v>61</v>
      </c>
      <c r="G59" s="55" t="s">
        <v>25</v>
      </c>
      <c r="H59" s="55" t="s">
        <v>25</v>
      </c>
      <c r="I59" s="63">
        <v>44682</v>
      </c>
      <c r="J59" s="64">
        <f>EFEITO!$J$59*EFEITO!$Y$59</f>
        <v>0</v>
      </c>
      <c r="K59" s="64">
        <f ca="1">EFEITO!$L$59*EFEITO!$Z$59</f>
        <v>121677.0218737329</v>
      </c>
      <c r="L59" s="64">
        <f>EFEITO!$N$59*EFEITO!$AA$59</f>
        <v>0</v>
      </c>
      <c r="M59" s="64">
        <f>$J$59-EFEITO!$K$59*EFEITO!$Y$59</f>
        <v>0</v>
      </c>
      <c r="N59" s="64">
        <f ca="1">$K$59-EFEITO!$M$59*EFEITO!$Z$59</f>
        <v>0</v>
      </c>
      <c r="O59" s="64">
        <f>$L$59-EFEITO!$O$59*EFEITO!$AA$59</f>
        <v>0</v>
      </c>
      <c r="P59" s="19"/>
      <c r="Q59" s="19"/>
      <c r="R59" s="19"/>
      <c r="S59" s="19"/>
      <c r="T59" s="19"/>
      <c r="U59" s="19"/>
      <c r="V59" s="19"/>
      <c r="W59" s="19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55" t="s">
        <v>21</v>
      </c>
      <c r="B60" s="55" t="s">
        <v>39</v>
      </c>
      <c r="C60" s="55" t="s">
        <v>40</v>
      </c>
      <c r="D60" s="55" t="s">
        <v>38</v>
      </c>
      <c r="E60" s="55" t="s">
        <v>25</v>
      </c>
      <c r="F60" s="55" t="s">
        <v>61</v>
      </c>
      <c r="G60" s="55" t="s">
        <v>25</v>
      </c>
      <c r="H60" s="55" t="s">
        <v>25</v>
      </c>
      <c r="I60" s="63">
        <v>44713</v>
      </c>
      <c r="J60" s="64">
        <f>EFEITO!$J$60*EFEITO!$Y$60</f>
        <v>0</v>
      </c>
      <c r="K60" s="64">
        <f ca="1">EFEITO!$L$60*EFEITO!$Z$60</f>
        <v>119898.59026628183</v>
      </c>
      <c r="L60" s="64">
        <f>EFEITO!$N$60*EFEITO!$AA$60</f>
        <v>0</v>
      </c>
      <c r="M60" s="64">
        <f>$J$60-EFEITO!$K$60*EFEITO!$Y$60</f>
        <v>0</v>
      </c>
      <c r="N60" s="64">
        <f ca="1">$K$60-EFEITO!$M$60*EFEITO!$Z$60</f>
        <v>0</v>
      </c>
      <c r="O60" s="64">
        <f>$L$60-EFEITO!$O$60*EFEITO!$AA$60</f>
        <v>0</v>
      </c>
      <c r="P60" s="19"/>
      <c r="Q60" s="19"/>
      <c r="R60" s="19"/>
      <c r="S60" s="19"/>
      <c r="T60" s="19"/>
      <c r="U60" s="19"/>
      <c r="V60" s="19"/>
      <c r="W60" s="19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55" t="s">
        <v>57</v>
      </c>
      <c r="B61" s="55" t="s">
        <v>39</v>
      </c>
      <c r="C61" s="55" t="s">
        <v>40</v>
      </c>
      <c r="D61" s="55" t="s">
        <v>38</v>
      </c>
      <c r="E61" s="55" t="s">
        <v>25</v>
      </c>
      <c r="F61" s="55" t="s">
        <v>61</v>
      </c>
      <c r="G61" s="55" t="s">
        <v>25</v>
      </c>
      <c r="H61" s="55" t="s">
        <v>25</v>
      </c>
      <c r="I61" s="63">
        <v>44743</v>
      </c>
      <c r="J61" s="64">
        <f>EFEITO!$J$61*EFEITO!$Y$61</f>
        <v>0</v>
      </c>
      <c r="K61" s="64">
        <f ca="1">EFEITO!$L$61*EFEITO!$Z$61</f>
        <v>119898.59026628183</v>
      </c>
      <c r="L61" s="64">
        <f>EFEITO!$N$61*EFEITO!$AA$61</f>
        <v>0</v>
      </c>
      <c r="M61" s="64">
        <f>$J$61-EFEITO!$K$61*EFEITO!$Y$61</f>
        <v>0</v>
      </c>
      <c r="N61" s="64">
        <f ca="1">$K$61-EFEITO!$M$61*EFEITO!$Z$61</f>
        <v>0</v>
      </c>
      <c r="O61" s="64">
        <f>$L$61-EFEITO!$O$61*EFEITO!$AA$61</f>
        <v>0</v>
      </c>
      <c r="P61" s="19"/>
      <c r="Q61" s="19"/>
      <c r="R61" s="19"/>
      <c r="S61" s="19"/>
      <c r="T61" s="19"/>
      <c r="U61" s="19"/>
      <c r="V61" s="19"/>
      <c r="W61" s="19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55" t="s">
        <v>21</v>
      </c>
      <c r="B62" s="55" t="s">
        <v>39</v>
      </c>
      <c r="C62" s="55" t="s">
        <v>40</v>
      </c>
      <c r="D62" s="55" t="s">
        <v>38</v>
      </c>
      <c r="E62" s="55" t="s">
        <v>25</v>
      </c>
      <c r="F62" s="55" t="s">
        <v>61</v>
      </c>
      <c r="G62" s="55" t="s">
        <v>25</v>
      </c>
      <c r="H62" s="55" t="s">
        <v>34</v>
      </c>
      <c r="I62" s="63">
        <v>44409</v>
      </c>
      <c r="J62" s="64">
        <f ca="1">EFEITO!$J$62*EFEITO!$Y$62</f>
        <v>83972.618597287132</v>
      </c>
      <c r="K62" s="64">
        <f ca="1">EFEITO!$L$62*EFEITO!$Z$62</f>
        <v>0</v>
      </c>
      <c r="L62" s="64">
        <f>EFEITO!$N$62*EFEITO!$AA$62</f>
        <v>0</v>
      </c>
      <c r="M62" s="64">
        <f ca="1">$J$62-EFEITO!$K$62*EFEITO!$Y$62</f>
        <v>27710.964137104747</v>
      </c>
      <c r="N62" s="64">
        <f ca="1">$K$62-EFEITO!$M$62*EFEITO!$Z$62</f>
        <v>0</v>
      </c>
      <c r="O62" s="64">
        <f>$L$62-EFEITO!$O$62*EFEITO!$AA$62</f>
        <v>0</v>
      </c>
      <c r="P62" s="19"/>
      <c r="Q62" s="19"/>
      <c r="R62" s="19"/>
      <c r="S62" s="19"/>
      <c r="T62" s="19"/>
      <c r="U62" s="19"/>
      <c r="V62" s="19"/>
      <c r="W62" s="19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55" t="s">
        <v>21</v>
      </c>
      <c r="B63" s="55" t="s">
        <v>39</v>
      </c>
      <c r="C63" s="55" t="s">
        <v>40</v>
      </c>
      <c r="D63" s="55" t="s">
        <v>38</v>
      </c>
      <c r="E63" s="55" t="s">
        <v>25</v>
      </c>
      <c r="F63" s="55" t="s">
        <v>61</v>
      </c>
      <c r="G63" s="55" t="s">
        <v>25</v>
      </c>
      <c r="H63" s="55" t="s">
        <v>34</v>
      </c>
      <c r="I63" s="63">
        <v>44440</v>
      </c>
      <c r="J63" s="64">
        <f ca="1">EFEITO!$J$63*EFEITO!$Y$63</f>
        <v>83972.618597287132</v>
      </c>
      <c r="K63" s="64">
        <f ca="1">EFEITO!$L$63*EFEITO!$Z$63</f>
        <v>0</v>
      </c>
      <c r="L63" s="64">
        <f>EFEITO!$N$63*EFEITO!$AA$63</f>
        <v>0</v>
      </c>
      <c r="M63" s="64">
        <f ca="1">$J$63-EFEITO!$K$63*EFEITO!$Y$63</f>
        <v>25191.785579186137</v>
      </c>
      <c r="N63" s="64">
        <f ca="1">$K$63-EFEITO!$M$63*EFEITO!$Z$63</f>
        <v>0</v>
      </c>
      <c r="O63" s="64">
        <f>$L$63-EFEITO!$O$63*EFEITO!$AA$63</f>
        <v>0</v>
      </c>
      <c r="P63" s="19"/>
      <c r="Q63" s="19"/>
      <c r="R63" s="19"/>
      <c r="S63" s="19"/>
      <c r="T63" s="19"/>
      <c r="U63" s="19"/>
      <c r="V63" s="19"/>
      <c r="W63" s="19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55" t="s">
        <v>21</v>
      </c>
      <c r="B64" s="55" t="s">
        <v>39</v>
      </c>
      <c r="C64" s="55" t="s">
        <v>40</v>
      </c>
      <c r="D64" s="55" t="s">
        <v>38</v>
      </c>
      <c r="E64" s="55" t="s">
        <v>25</v>
      </c>
      <c r="F64" s="55" t="s">
        <v>61</v>
      </c>
      <c r="G64" s="55" t="s">
        <v>25</v>
      </c>
      <c r="H64" s="55" t="s">
        <v>34</v>
      </c>
      <c r="I64" s="63">
        <v>44470</v>
      </c>
      <c r="J64" s="64">
        <f ca="1">EFEITO!$J$64*EFEITO!$Y$64</f>
        <v>83972.618597287132</v>
      </c>
      <c r="K64" s="64">
        <f ca="1">EFEITO!$L$64*EFEITO!$Z$64</f>
        <v>0</v>
      </c>
      <c r="L64" s="64">
        <f>EFEITO!$N$64*EFEITO!$AA$64</f>
        <v>0</v>
      </c>
      <c r="M64" s="64">
        <f ca="1">$J$64-EFEITO!$K$64*EFEITO!$Y$64</f>
        <v>-14275.345161538819</v>
      </c>
      <c r="N64" s="64">
        <f ca="1">$K$64-EFEITO!$M$64*EFEITO!$Z$64</f>
        <v>0</v>
      </c>
      <c r="O64" s="64">
        <f>$L$64-EFEITO!$O$64*EFEITO!$AA$64</f>
        <v>0</v>
      </c>
      <c r="P64" s="19"/>
      <c r="Q64" s="19"/>
      <c r="R64" s="19"/>
      <c r="S64" s="19"/>
      <c r="T64" s="19"/>
      <c r="U64" s="19"/>
      <c r="V64" s="19"/>
      <c r="W64" s="19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55" t="s">
        <v>21</v>
      </c>
      <c r="B65" s="55" t="s">
        <v>39</v>
      </c>
      <c r="C65" s="55" t="s">
        <v>40</v>
      </c>
      <c r="D65" s="55" t="s">
        <v>38</v>
      </c>
      <c r="E65" s="55" t="s">
        <v>25</v>
      </c>
      <c r="F65" s="55" t="s">
        <v>61</v>
      </c>
      <c r="G65" s="55" t="s">
        <v>25</v>
      </c>
      <c r="H65" s="55" t="s">
        <v>34</v>
      </c>
      <c r="I65" s="63">
        <v>44501</v>
      </c>
      <c r="J65" s="64">
        <f ca="1">EFEITO!$J$65*EFEITO!$Y$65</f>
        <v>141240.23945284818</v>
      </c>
      <c r="K65" s="64">
        <f ca="1">EFEITO!$L$65*EFEITO!$Z$65</f>
        <v>0</v>
      </c>
      <c r="L65" s="64">
        <f>EFEITO!$N$65*EFEITO!$AA$65</f>
        <v>0</v>
      </c>
      <c r="M65" s="64">
        <f ca="1">$J$65-EFEITO!$K$65*EFEITO!$Y$65</f>
        <v>36722.462257740524</v>
      </c>
      <c r="N65" s="64">
        <f ca="1">$K$65-EFEITO!$M$65*EFEITO!$Z$65</f>
        <v>0</v>
      </c>
      <c r="O65" s="64">
        <f>$L$65-EFEITO!$O$65*EFEITO!$AA$65</f>
        <v>0</v>
      </c>
      <c r="P65" s="19"/>
      <c r="Q65" s="19"/>
      <c r="R65" s="19"/>
      <c r="S65" s="19"/>
      <c r="T65" s="19"/>
      <c r="U65" s="19"/>
      <c r="V65" s="19"/>
      <c r="W65" s="19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55" t="s">
        <v>21</v>
      </c>
      <c r="B66" s="55" t="s">
        <v>39</v>
      </c>
      <c r="C66" s="55" t="s">
        <v>40</v>
      </c>
      <c r="D66" s="55" t="s">
        <v>38</v>
      </c>
      <c r="E66" s="55" t="s">
        <v>25</v>
      </c>
      <c r="F66" s="55" t="s">
        <v>61</v>
      </c>
      <c r="G66" s="55" t="s">
        <v>25</v>
      </c>
      <c r="H66" s="55" t="s">
        <v>34</v>
      </c>
      <c r="I66" s="63">
        <v>44531</v>
      </c>
      <c r="J66" s="64">
        <f ca="1">EFEITO!$J$66*EFEITO!$Y$66</f>
        <v>102685.29857911915</v>
      </c>
      <c r="K66" s="64">
        <f ca="1">EFEITO!$L$66*EFEITO!$Z$66</f>
        <v>0</v>
      </c>
      <c r="L66" s="64">
        <f>EFEITO!$N$66*EFEITO!$AA$66</f>
        <v>0</v>
      </c>
      <c r="M66" s="64">
        <f ca="1">$J$66-EFEITO!$K$66*EFEITO!$Y$66</f>
        <v>60584.326161680292</v>
      </c>
      <c r="N66" s="64">
        <f ca="1">$K$66-EFEITO!$M$66*EFEITO!$Z$66</f>
        <v>0</v>
      </c>
      <c r="O66" s="64">
        <f>$L$66-EFEITO!$O$66*EFEITO!$AA$66</f>
        <v>0</v>
      </c>
      <c r="P66" s="19"/>
      <c r="Q66" s="19"/>
      <c r="R66" s="19"/>
      <c r="S66" s="19"/>
      <c r="T66" s="19"/>
      <c r="U66" s="19"/>
      <c r="V66" s="19"/>
      <c r="W66" s="19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55" t="s">
        <v>21</v>
      </c>
      <c r="B67" s="55" t="s">
        <v>39</v>
      </c>
      <c r="C67" s="55" t="s">
        <v>40</v>
      </c>
      <c r="D67" s="55" t="s">
        <v>38</v>
      </c>
      <c r="E67" s="55" t="s">
        <v>25</v>
      </c>
      <c r="F67" s="55" t="s">
        <v>61</v>
      </c>
      <c r="G67" s="55" t="s">
        <v>25</v>
      </c>
      <c r="H67" s="55" t="s">
        <v>34</v>
      </c>
      <c r="I67" s="63">
        <v>44562</v>
      </c>
      <c r="J67" s="64">
        <f ca="1">EFEITO!$J$67*EFEITO!$Y$67</f>
        <v>100958.95794298203</v>
      </c>
      <c r="K67" s="64">
        <f ca="1">EFEITO!$L$67*EFEITO!$Z$67</f>
        <v>0</v>
      </c>
      <c r="L67" s="64">
        <f>EFEITO!$N$67*EFEITO!$AA$67</f>
        <v>0</v>
      </c>
      <c r="M67" s="64">
        <f ca="1">$J$67-EFEITO!$K$67*EFEITO!$Y$67</f>
        <v>58556.195606929577</v>
      </c>
      <c r="N67" s="64">
        <f ca="1">$K$67-EFEITO!$M$67*EFEITO!$Z$67</f>
        <v>0</v>
      </c>
      <c r="O67" s="64">
        <f>$L$67-EFEITO!$O$67*EFEITO!$AA$67</f>
        <v>0</v>
      </c>
      <c r="P67" s="19"/>
      <c r="Q67" s="19"/>
      <c r="R67" s="19"/>
      <c r="S67" s="19"/>
      <c r="T67" s="19"/>
      <c r="U67" s="19"/>
      <c r="V67" s="19"/>
      <c r="W67" s="19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55" t="s">
        <v>21</v>
      </c>
      <c r="B68" s="55" t="s">
        <v>39</v>
      </c>
      <c r="C68" s="55" t="s">
        <v>40</v>
      </c>
      <c r="D68" s="55" t="s">
        <v>38</v>
      </c>
      <c r="E68" s="55" t="s">
        <v>25</v>
      </c>
      <c r="F68" s="55" t="s">
        <v>61</v>
      </c>
      <c r="G68" s="55" t="s">
        <v>25</v>
      </c>
      <c r="H68" s="55" t="s">
        <v>34</v>
      </c>
      <c r="I68" s="63">
        <v>44593</v>
      </c>
      <c r="J68" s="64">
        <f ca="1">EFEITO!$J$68*EFEITO!$Y$68</f>
        <v>101577.03051641383</v>
      </c>
      <c r="K68" s="64">
        <f ca="1">EFEITO!$L$68*EFEITO!$Z$68</f>
        <v>0</v>
      </c>
      <c r="L68" s="64">
        <f>EFEITO!$N$68*EFEITO!$AA$68</f>
        <v>0</v>
      </c>
      <c r="M68" s="64">
        <f ca="1">$J$68-EFEITO!$K$68*EFEITO!$Y$68</f>
        <v>58914.677699520013</v>
      </c>
      <c r="N68" s="64">
        <f ca="1">$K$68-EFEITO!$M$68*EFEITO!$Z$68</f>
        <v>0</v>
      </c>
      <c r="O68" s="64">
        <f>$L$68-EFEITO!$O$68*EFEITO!$AA$68</f>
        <v>0</v>
      </c>
      <c r="P68" s="19"/>
      <c r="Q68" s="19"/>
      <c r="R68" s="19"/>
      <c r="S68" s="19"/>
      <c r="T68" s="19"/>
      <c r="U68" s="19"/>
      <c r="V68" s="19"/>
      <c r="W68" s="19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55" t="s">
        <v>21</v>
      </c>
      <c r="B69" s="55" t="s">
        <v>39</v>
      </c>
      <c r="C69" s="55" t="s">
        <v>40</v>
      </c>
      <c r="D69" s="55" t="s">
        <v>38</v>
      </c>
      <c r="E69" s="55" t="s">
        <v>25</v>
      </c>
      <c r="F69" s="55" t="s">
        <v>61</v>
      </c>
      <c r="G69" s="55" t="s">
        <v>25</v>
      </c>
      <c r="H69" s="55" t="s">
        <v>34</v>
      </c>
      <c r="I69" s="63">
        <v>44621</v>
      </c>
      <c r="J69" s="64">
        <f ca="1">EFEITO!$J$69*EFEITO!$Y$69</f>
        <v>104901.83470452977</v>
      </c>
      <c r="K69" s="64">
        <f ca="1">EFEITO!$L$69*EFEITO!$Z$69</f>
        <v>0</v>
      </c>
      <c r="L69" s="64">
        <f>EFEITO!$N$69*EFEITO!$AA$69</f>
        <v>0</v>
      </c>
      <c r="M69" s="64">
        <f ca="1">$J$69-EFEITO!$K$69*EFEITO!$Y$69</f>
        <v>59794.045781581968</v>
      </c>
      <c r="N69" s="64">
        <f ca="1">$K$69-EFEITO!$M$69*EFEITO!$Z$69</f>
        <v>0</v>
      </c>
      <c r="O69" s="64">
        <f>$L$69-EFEITO!$O$69*EFEITO!$AA$69</f>
        <v>0</v>
      </c>
      <c r="P69" s="19"/>
      <c r="Q69" s="19"/>
      <c r="R69" s="19"/>
      <c r="S69" s="19"/>
      <c r="T69" s="19"/>
      <c r="U69" s="19"/>
      <c r="V69" s="19"/>
      <c r="W69" s="19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55" t="s">
        <v>21</v>
      </c>
      <c r="B70" s="55" t="s">
        <v>39</v>
      </c>
      <c r="C70" s="55" t="s">
        <v>40</v>
      </c>
      <c r="D70" s="55" t="s">
        <v>38</v>
      </c>
      <c r="E70" s="55" t="s">
        <v>25</v>
      </c>
      <c r="F70" s="55" t="s">
        <v>61</v>
      </c>
      <c r="G70" s="55" t="s">
        <v>25</v>
      </c>
      <c r="H70" s="55" t="s">
        <v>34</v>
      </c>
      <c r="I70" s="63">
        <v>44652</v>
      </c>
      <c r="J70" s="64">
        <f ca="1">EFEITO!$J$70*EFEITO!$Y$70</f>
        <v>104219.82358901881</v>
      </c>
      <c r="K70" s="64">
        <f ca="1">EFEITO!$L$70*EFEITO!$Z$70</f>
        <v>0</v>
      </c>
      <c r="L70" s="64">
        <f>EFEITO!$N$70*EFEITO!$AA$70</f>
        <v>0</v>
      </c>
      <c r="M70" s="64">
        <f ca="1">$J$70-EFEITO!$K$70*EFEITO!$Y$70</f>
        <v>60447.497681630906</v>
      </c>
      <c r="N70" s="64">
        <f ca="1">$K$70-EFEITO!$M$70*EFEITO!$Z$70</f>
        <v>0</v>
      </c>
      <c r="O70" s="64">
        <f>$L$70-EFEITO!$O$70*EFEITO!$AA$70</f>
        <v>0</v>
      </c>
      <c r="P70" s="19"/>
      <c r="Q70" s="19"/>
      <c r="R70" s="19"/>
      <c r="S70" s="19"/>
      <c r="T70" s="19"/>
      <c r="U70" s="19"/>
      <c r="V70" s="19"/>
      <c r="W70" s="19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55" t="s">
        <v>21</v>
      </c>
      <c r="B71" s="55" t="s">
        <v>39</v>
      </c>
      <c r="C71" s="55" t="s">
        <v>40</v>
      </c>
      <c r="D71" s="55" t="s">
        <v>38</v>
      </c>
      <c r="E71" s="55" t="s">
        <v>25</v>
      </c>
      <c r="F71" s="55" t="s">
        <v>61</v>
      </c>
      <c r="G71" s="55" t="s">
        <v>25</v>
      </c>
      <c r="H71" s="55" t="s">
        <v>34</v>
      </c>
      <c r="I71" s="63">
        <v>44682</v>
      </c>
      <c r="J71" s="64">
        <f ca="1">EFEITO!$J$71*EFEITO!$Y$71</f>
        <v>98891.611749089425</v>
      </c>
      <c r="K71" s="64">
        <f ca="1">EFEITO!$L$71*EFEITO!$Z$71</f>
        <v>0</v>
      </c>
      <c r="L71" s="64">
        <f>EFEITO!$N$71*EFEITO!$AA$71</f>
        <v>0</v>
      </c>
      <c r="M71" s="64">
        <f ca="1">$J$71-EFEITO!$K$71*EFEITO!$Y$71</f>
        <v>58346.05093196276</v>
      </c>
      <c r="N71" s="64">
        <f ca="1">$K$71-EFEITO!$M$71*EFEITO!$Z$71</f>
        <v>0</v>
      </c>
      <c r="O71" s="64">
        <f>$L$71-EFEITO!$O$71*EFEITO!$AA$71</f>
        <v>0</v>
      </c>
      <c r="P71" s="19"/>
      <c r="Q71" s="19"/>
      <c r="R71" s="19"/>
      <c r="S71" s="19"/>
      <c r="T71" s="19"/>
      <c r="U71" s="19"/>
      <c r="V71" s="19"/>
      <c r="W71" s="19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55" t="s">
        <v>21</v>
      </c>
      <c r="B72" s="55" t="s">
        <v>39</v>
      </c>
      <c r="C72" s="55" t="s">
        <v>40</v>
      </c>
      <c r="D72" s="55" t="s">
        <v>38</v>
      </c>
      <c r="E72" s="55" t="s">
        <v>25</v>
      </c>
      <c r="F72" s="55" t="s">
        <v>61</v>
      </c>
      <c r="G72" s="55" t="s">
        <v>25</v>
      </c>
      <c r="H72" s="55" t="s">
        <v>34</v>
      </c>
      <c r="I72" s="63">
        <v>44713</v>
      </c>
      <c r="J72" s="64">
        <f ca="1">EFEITO!$J$72*EFEITO!$Y$72</f>
        <v>104795.27046773118</v>
      </c>
      <c r="K72" s="64">
        <f ca="1">EFEITO!$L$72*EFEITO!$Z$72</f>
        <v>0</v>
      </c>
      <c r="L72" s="64">
        <f>EFEITO!$N$72*EFEITO!$AA$72</f>
        <v>0</v>
      </c>
      <c r="M72" s="64">
        <f ca="1">$J$72-EFEITO!$K$72*EFEITO!$Y$72</f>
        <v>60781.256871284088</v>
      </c>
      <c r="N72" s="64">
        <f ca="1">$K$72-EFEITO!$M$72*EFEITO!$Z$72</f>
        <v>0</v>
      </c>
      <c r="O72" s="64">
        <f>$L$72-EFEITO!$O$72*EFEITO!$AA$72</f>
        <v>0</v>
      </c>
      <c r="P72" s="19"/>
      <c r="Q72" s="19"/>
      <c r="R72" s="19"/>
      <c r="S72" s="19"/>
      <c r="T72" s="19"/>
      <c r="U72" s="19"/>
      <c r="V72" s="19"/>
      <c r="W72" s="19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55" t="s">
        <v>57</v>
      </c>
      <c r="B73" s="55" t="s">
        <v>39</v>
      </c>
      <c r="C73" s="55" t="s">
        <v>40</v>
      </c>
      <c r="D73" s="55" t="s">
        <v>38</v>
      </c>
      <c r="E73" s="55" t="s">
        <v>25</v>
      </c>
      <c r="F73" s="55" t="s">
        <v>61</v>
      </c>
      <c r="G73" s="55" t="s">
        <v>25</v>
      </c>
      <c r="H73" s="55" t="s">
        <v>34</v>
      </c>
      <c r="I73" s="63">
        <v>44743</v>
      </c>
      <c r="J73" s="64">
        <f ca="1">EFEITO!$J$73*EFEITO!$Y$73</f>
        <v>104795.27046773118</v>
      </c>
      <c r="K73" s="64">
        <f ca="1">EFEITO!$L$73*EFEITO!$Z$73</f>
        <v>0</v>
      </c>
      <c r="L73" s="64">
        <f>EFEITO!$N$73*EFEITO!$AA$73</f>
        <v>0</v>
      </c>
      <c r="M73" s="64">
        <f ca="1">$J$73-EFEITO!$K$73*EFEITO!$Y$73</f>
        <v>60781.256871284088</v>
      </c>
      <c r="N73" s="64">
        <f ca="1">$K$73-EFEITO!$M$73*EFEITO!$Z$73</f>
        <v>0</v>
      </c>
      <c r="O73" s="64">
        <f>$L$73-EFEITO!$O$73*EFEITO!$AA$73</f>
        <v>0</v>
      </c>
      <c r="P73" s="19"/>
      <c r="Q73" s="19"/>
      <c r="R73" s="19"/>
      <c r="S73" s="19"/>
      <c r="T73" s="19"/>
      <c r="U73" s="19"/>
      <c r="V73" s="19"/>
      <c r="W73" s="19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55" t="s">
        <v>21</v>
      </c>
      <c r="B74" s="55" t="s">
        <v>39</v>
      </c>
      <c r="C74" s="55" t="s">
        <v>40</v>
      </c>
      <c r="D74" s="55" t="s">
        <v>38</v>
      </c>
      <c r="E74" s="55" t="s">
        <v>25</v>
      </c>
      <c r="F74" s="55" t="s">
        <v>25</v>
      </c>
      <c r="G74" s="55" t="s">
        <v>25</v>
      </c>
      <c r="H74" s="55" t="s">
        <v>35</v>
      </c>
      <c r="I74" s="63">
        <v>44409</v>
      </c>
      <c r="J74" s="64">
        <f ca="1">EFEITO!$J$74*EFEITO!$Y$74</f>
        <v>110535.13962237751</v>
      </c>
      <c r="K74" s="64">
        <f ca="1">EFEITO!$L$74*EFEITO!$Z$74</f>
        <v>122671.24008475889</v>
      </c>
      <c r="L74" s="64">
        <f>EFEITO!$N$74*EFEITO!$AA$74</f>
        <v>514040.58180668153</v>
      </c>
      <c r="M74" s="64">
        <f ca="1">$J$74-EFEITO!$K$74*EFEITO!$Y$74</f>
        <v>0</v>
      </c>
      <c r="N74" s="64">
        <f ca="1">$K$74-EFEITO!$M$74*EFEITO!$Z$74</f>
        <v>0</v>
      </c>
      <c r="O74" s="64">
        <f>$L$74-EFEITO!$O$74*EFEITO!$AA$74</f>
        <v>0</v>
      </c>
      <c r="P74" s="19"/>
      <c r="Q74" s="19"/>
      <c r="R74" s="19"/>
      <c r="S74" s="19"/>
      <c r="T74" s="19"/>
      <c r="U74" s="19"/>
      <c r="V74" s="19"/>
      <c r="W74" s="19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55" t="s">
        <v>21</v>
      </c>
      <c r="B75" s="55" t="s">
        <v>39</v>
      </c>
      <c r="C75" s="55" t="s">
        <v>40</v>
      </c>
      <c r="D75" s="55" t="s">
        <v>38</v>
      </c>
      <c r="E75" s="55" t="s">
        <v>25</v>
      </c>
      <c r="F75" s="55" t="s">
        <v>25</v>
      </c>
      <c r="G75" s="55" t="s">
        <v>25</v>
      </c>
      <c r="H75" s="55" t="s">
        <v>35</v>
      </c>
      <c r="I75" s="63">
        <v>44409</v>
      </c>
      <c r="J75" s="64">
        <f ca="1">EFEITO!$J$75*EFEITO!$Y$75</f>
        <v>881162.46671653783</v>
      </c>
      <c r="K75" s="64">
        <f ca="1">EFEITO!$L$75*EFEITO!$Z$75</f>
        <v>0</v>
      </c>
      <c r="L75" s="64">
        <f>EFEITO!$N$75*EFEITO!$AA$75</f>
        <v>0</v>
      </c>
      <c r="M75" s="64">
        <f ca="1">$J$75-EFEITO!$K$75*EFEITO!$Y$75</f>
        <v>0</v>
      </c>
      <c r="N75" s="64">
        <f ca="1">$K$75-EFEITO!$M$75*EFEITO!$Z$75</f>
        <v>0</v>
      </c>
      <c r="O75" s="64">
        <f>$L$75-EFEITO!$O$75*EFEITO!$AA$75</f>
        <v>0</v>
      </c>
      <c r="P75" s="19"/>
      <c r="Q75" s="19"/>
      <c r="R75" s="19"/>
      <c r="S75" s="19"/>
      <c r="T75" s="19"/>
      <c r="U75" s="19"/>
      <c r="V75" s="19"/>
      <c r="W75" s="19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55" t="s">
        <v>21</v>
      </c>
      <c r="B76" s="55" t="s">
        <v>39</v>
      </c>
      <c r="C76" s="55" t="s">
        <v>40</v>
      </c>
      <c r="D76" s="55" t="s">
        <v>38</v>
      </c>
      <c r="E76" s="55" t="s">
        <v>25</v>
      </c>
      <c r="F76" s="55" t="s">
        <v>25</v>
      </c>
      <c r="G76" s="55" t="s">
        <v>25</v>
      </c>
      <c r="H76" s="55" t="s">
        <v>35</v>
      </c>
      <c r="I76" s="63">
        <v>44440</v>
      </c>
      <c r="J76" s="64">
        <f ca="1">EFEITO!$J$76*EFEITO!$Y$76</f>
        <v>106509.64779420888</v>
      </c>
      <c r="K76" s="64">
        <f ca="1">EFEITO!$L$76*EFEITO!$Z$76</f>
        <v>101600.01957861344</v>
      </c>
      <c r="L76" s="64">
        <f>EFEITO!$N$76*EFEITO!$AA$76</f>
        <v>425743.90818642662</v>
      </c>
      <c r="M76" s="64">
        <f ca="1">$J$76-EFEITO!$K$76*EFEITO!$Y$76</f>
        <v>0</v>
      </c>
      <c r="N76" s="64">
        <f ca="1">$K$76-EFEITO!$M$76*EFEITO!$Z$76</f>
        <v>0</v>
      </c>
      <c r="O76" s="64">
        <f>$L$76-EFEITO!$O$76*EFEITO!$AA$76</f>
        <v>0</v>
      </c>
      <c r="P76" s="19"/>
      <c r="Q76" s="19"/>
      <c r="R76" s="19"/>
      <c r="S76" s="19"/>
      <c r="T76" s="19"/>
      <c r="U76" s="19"/>
      <c r="V76" s="19"/>
      <c r="W76" s="19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55" t="s">
        <v>21</v>
      </c>
      <c r="B77" s="55" t="s">
        <v>39</v>
      </c>
      <c r="C77" s="55" t="s">
        <v>40</v>
      </c>
      <c r="D77" s="55" t="s">
        <v>38</v>
      </c>
      <c r="E77" s="55" t="s">
        <v>25</v>
      </c>
      <c r="F77" s="55" t="s">
        <v>25</v>
      </c>
      <c r="G77" s="55" t="s">
        <v>25</v>
      </c>
      <c r="H77" s="55" t="s">
        <v>35</v>
      </c>
      <c r="I77" s="63">
        <v>44440</v>
      </c>
      <c r="J77" s="64">
        <f ca="1">EFEITO!$J$77*EFEITO!$Y$77</f>
        <v>882036.13115177222</v>
      </c>
      <c r="K77" s="64">
        <f ca="1">EFEITO!$L$77*EFEITO!$Z$77</f>
        <v>0</v>
      </c>
      <c r="L77" s="64">
        <f>EFEITO!$N$77*EFEITO!$AA$77</f>
        <v>0</v>
      </c>
      <c r="M77" s="64">
        <f ca="1">$J$77-EFEITO!$K$77*EFEITO!$Y$77</f>
        <v>0</v>
      </c>
      <c r="N77" s="64">
        <f ca="1">$K$77-EFEITO!$M$77*EFEITO!$Z$77</f>
        <v>0</v>
      </c>
      <c r="O77" s="64">
        <f>$L$77-EFEITO!$O$77*EFEITO!$AA$77</f>
        <v>0</v>
      </c>
      <c r="P77" s="19"/>
      <c r="Q77" s="19"/>
      <c r="R77" s="19"/>
      <c r="S77" s="19"/>
      <c r="T77" s="19"/>
      <c r="U77" s="19"/>
      <c r="V77" s="19"/>
      <c r="W77" s="19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55" t="s">
        <v>21</v>
      </c>
      <c r="B78" s="55" t="s">
        <v>39</v>
      </c>
      <c r="C78" s="55" t="s">
        <v>40</v>
      </c>
      <c r="D78" s="55" t="s">
        <v>38</v>
      </c>
      <c r="E78" s="55" t="s">
        <v>25</v>
      </c>
      <c r="F78" s="55" t="s">
        <v>25</v>
      </c>
      <c r="G78" s="55" t="s">
        <v>25</v>
      </c>
      <c r="H78" s="55" t="s">
        <v>35</v>
      </c>
      <c r="I78" s="63">
        <v>44470</v>
      </c>
      <c r="J78" s="64">
        <f ca="1">EFEITO!$J$78*EFEITO!$Y$78</f>
        <v>50694.655330563131</v>
      </c>
      <c r="K78" s="64">
        <f ca="1">EFEITO!$L$78*EFEITO!$Z$78</f>
        <v>24525.321291358785</v>
      </c>
      <c r="L78" s="64">
        <f>EFEITO!$N$78*EFEITO!$AA$78</f>
        <v>102770.709881918</v>
      </c>
      <c r="M78" s="64">
        <f ca="1">$J$78-EFEITO!$K$78*EFEITO!$Y$78</f>
        <v>0</v>
      </c>
      <c r="N78" s="64">
        <f ca="1">$K$78-EFEITO!$M$78*EFEITO!$Z$78</f>
        <v>0</v>
      </c>
      <c r="O78" s="64">
        <f>$L$78-EFEITO!$O$78*EFEITO!$AA$78</f>
        <v>0</v>
      </c>
      <c r="P78" s="19"/>
      <c r="Q78" s="19"/>
      <c r="R78" s="19"/>
      <c r="S78" s="19"/>
      <c r="T78" s="19"/>
      <c r="U78" s="19"/>
      <c r="V78" s="19"/>
      <c r="W78" s="19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55" t="s">
        <v>21</v>
      </c>
      <c r="B79" s="55" t="s">
        <v>39</v>
      </c>
      <c r="C79" s="55" t="s">
        <v>40</v>
      </c>
      <c r="D79" s="55" t="s">
        <v>38</v>
      </c>
      <c r="E79" s="55" t="s">
        <v>25</v>
      </c>
      <c r="F79" s="55" t="s">
        <v>25</v>
      </c>
      <c r="G79" s="55" t="s">
        <v>25</v>
      </c>
      <c r="H79" s="55" t="s">
        <v>35</v>
      </c>
      <c r="I79" s="63">
        <v>44470</v>
      </c>
      <c r="J79" s="64">
        <f ca="1">EFEITO!$J$79*EFEITO!$Y$79</f>
        <v>887908.48324176541</v>
      </c>
      <c r="K79" s="64">
        <f ca="1">EFEITO!$L$79*EFEITO!$Z$79</f>
        <v>0</v>
      </c>
      <c r="L79" s="64">
        <f>EFEITO!$N$79*EFEITO!$AA$79</f>
        <v>0</v>
      </c>
      <c r="M79" s="64">
        <f ca="1">$J$79-EFEITO!$K$79*EFEITO!$Y$79</f>
        <v>0</v>
      </c>
      <c r="N79" s="64">
        <f ca="1">$K$79-EFEITO!$M$79*EFEITO!$Z$79</f>
        <v>0</v>
      </c>
      <c r="O79" s="64">
        <f>$L$79-EFEITO!$O$79*EFEITO!$AA$79</f>
        <v>0</v>
      </c>
      <c r="P79" s="19"/>
      <c r="Q79" s="19"/>
      <c r="R79" s="19"/>
      <c r="S79" s="19"/>
      <c r="T79" s="19"/>
      <c r="U79" s="19"/>
      <c r="V79" s="19"/>
      <c r="W79" s="19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55" t="s">
        <v>21</v>
      </c>
      <c r="B80" s="55" t="s">
        <v>39</v>
      </c>
      <c r="C80" s="55" t="s">
        <v>40</v>
      </c>
      <c r="D80" s="55" t="s">
        <v>38</v>
      </c>
      <c r="E80" s="55" t="s">
        <v>25</v>
      </c>
      <c r="F80" s="55" t="s">
        <v>25</v>
      </c>
      <c r="G80" s="55" t="s">
        <v>25</v>
      </c>
      <c r="H80" s="55" t="s">
        <v>35</v>
      </c>
      <c r="I80" s="63">
        <v>44501</v>
      </c>
      <c r="J80" s="64">
        <f ca="1">EFEITO!$J$80*EFEITO!$Y$80</f>
        <v>68278.534470090919</v>
      </c>
      <c r="K80" s="64">
        <f ca="1">EFEITO!$L$80*EFEITO!$Z$80</f>
        <v>97944.486732621459</v>
      </c>
      <c r="L80" s="64">
        <f>EFEITO!$N$80*EFEITO!$AA$80</f>
        <v>410425.79263082612</v>
      </c>
      <c r="M80" s="64">
        <f ca="1">$J$80-EFEITO!$K$80*EFEITO!$Y$80</f>
        <v>0</v>
      </c>
      <c r="N80" s="64">
        <f ca="1">$K$80-EFEITO!$M$80*EFEITO!$Z$80</f>
        <v>0</v>
      </c>
      <c r="O80" s="64">
        <f>$L$80-EFEITO!$O$80*EFEITO!$AA$80</f>
        <v>0</v>
      </c>
      <c r="P80" s="19"/>
      <c r="Q80" s="19"/>
      <c r="R80" s="19"/>
      <c r="S80" s="19"/>
      <c r="T80" s="19"/>
      <c r="U80" s="19"/>
      <c r="V80" s="19"/>
      <c r="W80" s="19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55" t="s">
        <v>21</v>
      </c>
      <c r="B81" s="55" t="s">
        <v>39</v>
      </c>
      <c r="C81" s="55" t="s">
        <v>40</v>
      </c>
      <c r="D81" s="55" t="s">
        <v>38</v>
      </c>
      <c r="E81" s="55" t="s">
        <v>25</v>
      </c>
      <c r="F81" s="55" t="s">
        <v>25</v>
      </c>
      <c r="G81" s="55" t="s">
        <v>25</v>
      </c>
      <c r="H81" s="55" t="s">
        <v>35</v>
      </c>
      <c r="I81" s="63">
        <v>44501</v>
      </c>
      <c r="J81" s="64">
        <f ca="1">EFEITO!$J$81*EFEITO!$Y$81</f>
        <v>886879.99219775526</v>
      </c>
      <c r="K81" s="64">
        <f ca="1">EFEITO!$L$81*EFEITO!$Z$81</f>
        <v>0</v>
      </c>
      <c r="L81" s="64">
        <f>EFEITO!$N$81*EFEITO!$AA$81</f>
        <v>0</v>
      </c>
      <c r="M81" s="64">
        <f ca="1">$J$81-EFEITO!$K$81*EFEITO!$Y$81</f>
        <v>0</v>
      </c>
      <c r="N81" s="64">
        <f ca="1">$K$81-EFEITO!$M$81*EFEITO!$Z$81</f>
        <v>0</v>
      </c>
      <c r="O81" s="64">
        <f>$L$81-EFEITO!$O$81*EFEITO!$AA$81</f>
        <v>0</v>
      </c>
      <c r="P81" s="19"/>
      <c r="Q81" s="19"/>
      <c r="R81" s="19"/>
      <c r="S81" s="19"/>
      <c r="T81" s="19"/>
      <c r="U81" s="19"/>
      <c r="V81" s="19"/>
      <c r="W81" s="19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55" t="s">
        <v>21</v>
      </c>
      <c r="B82" s="55" t="s">
        <v>39</v>
      </c>
      <c r="C82" s="55" t="s">
        <v>40</v>
      </c>
      <c r="D82" s="55" t="s">
        <v>38</v>
      </c>
      <c r="E82" s="55" t="s">
        <v>25</v>
      </c>
      <c r="F82" s="55" t="s">
        <v>25</v>
      </c>
      <c r="G82" s="55" t="s">
        <v>25</v>
      </c>
      <c r="H82" s="55" t="s">
        <v>35</v>
      </c>
      <c r="I82" s="63">
        <v>44531</v>
      </c>
      <c r="J82" s="64">
        <f ca="1">EFEITO!$J$82*EFEITO!$Y$82</f>
        <v>84668.0369133489</v>
      </c>
      <c r="K82" s="64">
        <f ca="1">EFEITO!$L$82*EFEITO!$Z$82</f>
        <v>41967.114369603281</v>
      </c>
      <c r="L82" s="64">
        <f>EFEITO!$N$82*EFEITO!$AA$82</f>
        <v>175858.6598814264</v>
      </c>
      <c r="M82" s="64">
        <f ca="1">$J$82-EFEITO!$K$82*EFEITO!$Y$82</f>
        <v>0</v>
      </c>
      <c r="N82" s="64">
        <f ca="1">$K$82-EFEITO!$M$82*EFEITO!$Z$82</f>
        <v>0</v>
      </c>
      <c r="O82" s="64">
        <f>$L$82-EFEITO!$O$82*EFEITO!$AA$82</f>
        <v>0</v>
      </c>
      <c r="P82" s="19"/>
      <c r="Q82" s="19"/>
      <c r="R82" s="19"/>
      <c r="S82" s="19"/>
      <c r="T82" s="19"/>
      <c r="U82" s="19"/>
      <c r="V82" s="19"/>
      <c r="W82" s="19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55" t="s">
        <v>21</v>
      </c>
      <c r="B83" s="55" t="s">
        <v>39</v>
      </c>
      <c r="C83" s="55" t="s">
        <v>40</v>
      </c>
      <c r="D83" s="55" t="s">
        <v>38</v>
      </c>
      <c r="E83" s="55" t="s">
        <v>25</v>
      </c>
      <c r="F83" s="55" t="s">
        <v>25</v>
      </c>
      <c r="G83" s="55" t="s">
        <v>25</v>
      </c>
      <c r="H83" s="55" t="s">
        <v>35</v>
      </c>
      <c r="I83" s="63">
        <v>44531</v>
      </c>
      <c r="J83" s="64">
        <f ca="1">EFEITO!$J$83*EFEITO!$Y$83</f>
        <v>909517.85420946183</v>
      </c>
      <c r="K83" s="64">
        <f ca="1">EFEITO!$L$83*EFEITO!$Z$83</f>
        <v>0</v>
      </c>
      <c r="L83" s="64">
        <f>EFEITO!$N$83*EFEITO!$AA$83</f>
        <v>0</v>
      </c>
      <c r="M83" s="64">
        <f ca="1">$J$83-EFEITO!$K$83*EFEITO!$Y$83</f>
        <v>0</v>
      </c>
      <c r="N83" s="64">
        <f ca="1">$K$83-EFEITO!$M$83*EFEITO!$Z$83</f>
        <v>0</v>
      </c>
      <c r="O83" s="64">
        <f>$L$83-EFEITO!$O$83*EFEITO!$AA$83</f>
        <v>0</v>
      </c>
      <c r="P83" s="19"/>
      <c r="Q83" s="19"/>
      <c r="R83" s="19"/>
      <c r="S83" s="19"/>
      <c r="T83" s="19"/>
      <c r="U83" s="19"/>
      <c r="V83" s="19"/>
      <c r="W83" s="19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55" t="s">
        <v>21</v>
      </c>
      <c r="B84" s="55" t="s">
        <v>39</v>
      </c>
      <c r="C84" s="55" t="s">
        <v>40</v>
      </c>
      <c r="D84" s="55" t="s">
        <v>38</v>
      </c>
      <c r="E84" s="55" t="s">
        <v>25</v>
      </c>
      <c r="F84" s="55" t="s">
        <v>25</v>
      </c>
      <c r="G84" s="55" t="s">
        <v>25</v>
      </c>
      <c r="H84" s="55" t="s">
        <v>35</v>
      </c>
      <c r="I84" s="63">
        <v>44562</v>
      </c>
      <c r="J84" s="64">
        <f ca="1">EFEITO!$J$84*EFEITO!$Y$84</f>
        <v>56810.306377203931</v>
      </c>
      <c r="K84" s="64">
        <f ca="1">EFEITO!$L$84*EFEITO!$Z$84</f>
        <v>50368.191883065876</v>
      </c>
      <c r="L84" s="64">
        <f>EFEITO!$N$84*EFEITO!$AA$84</f>
        <v>211062.46779793157</v>
      </c>
      <c r="M84" s="64">
        <f ca="1">$J$84-EFEITO!$K$84*EFEITO!$Y$84</f>
        <v>0</v>
      </c>
      <c r="N84" s="64">
        <f ca="1">$K$84-EFEITO!$M$84*EFEITO!$Z$84</f>
        <v>0</v>
      </c>
      <c r="O84" s="64">
        <f>$L$84-EFEITO!$O$84*EFEITO!$AA$84</f>
        <v>0</v>
      </c>
      <c r="P84" s="19"/>
      <c r="Q84" s="19"/>
      <c r="R84" s="19"/>
      <c r="S84" s="19"/>
      <c r="T84" s="19"/>
      <c r="U84" s="19"/>
      <c r="V84" s="19"/>
      <c r="W84" s="19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55" t="s">
        <v>27</v>
      </c>
      <c r="B85" s="55" t="s">
        <v>39</v>
      </c>
      <c r="C85" s="55" t="s">
        <v>40</v>
      </c>
      <c r="D85" s="55" t="s">
        <v>38</v>
      </c>
      <c r="E85" s="55" t="s">
        <v>25</v>
      </c>
      <c r="F85" s="55" t="s">
        <v>25</v>
      </c>
      <c r="G85" s="55" t="s">
        <v>25</v>
      </c>
      <c r="H85" s="55" t="s">
        <v>35</v>
      </c>
      <c r="I85" s="63">
        <v>44562</v>
      </c>
      <c r="J85" s="64">
        <f ca="1">EFEITO!$J$85*EFEITO!$Y$85</f>
        <v>0</v>
      </c>
      <c r="K85" s="64">
        <f ca="1">EFEITO!$L$85*EFEITO!$Z$85</f>
        <v>531.56604506958092</v>
      </c>
      <c r="L85" s="64">
        <f>EFEITO!$N$85*EFEITO!$AA$85</f>
        <v>2227.470097208165</v>
      </c>
      <c r="M85" s="64">
        <f ca="1">$J$85-EFEITO!$K$85*EFEITO!$Y$85</f>
        <v>0</v>
      </c>
      <c r="N85" s="64">
        <f ca="1">$K$85-EFEITO!$M$85*EFEITO!$Z$85</f>
        <v>0</v>
      </c>
      <c r="O85" s="64">
        <f>$L$85-EFEITO!$O$85*EFEITO!$AA$85</f>
        <v>0</v>
      </c>
      <c r="P85" s="19"/>
      <c r="Q85" s="19"/>
      <c r="R85" s="19"/>
      <c r="S85" s="19"/>
      <c r="T85" s="19"/>
      <c r="U85" s="19"/>
      <c r="V85" s="19"/>
      <c r="W85" s="19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55" t="s">
        <v>21</v>
      </c>
      <c r="B86" s="55" t="s">
        <v>39</v>
      </c>
      <c r="C86" s="55" t="s">
        <v>40</v>
      </c>
      <c r="D86" s="55" t="s">
        <v>38</v>
      </c>
      <c r="E86" s="55" t="s">
        <v>25</v>
      </c>
      <c r="F86" s="55" t="s">
        <v>25</v>
      </c>
      <c r="G86" s="55" t="s">
        <v>25</v>
      </c>
      <c r="H86" s="55" t="s">
        <v>35</v>
      </c>
      <c r="I86" s="63">
        <v>44562</v>
      </c>
      <c r="J86" s="64">
        <f ca="1">EFEITO!$J$86*EFEITO!$Y$86</f>
        <v>880952.34489034221</v>
      </c>
      <c r="K86" s="64">
        <f ca="1">EFEITO!$L$86*EFEITO!$Z$86</f>
        <v>0</v>
      </c>
      <c r="L86" s="64">
        <f>EFEITO!$N$86*EFEITO!$AA$86</f>
        <v>0</v>
      </c>
      <c r="M86" s="64">
        <f ca="1">$J$86-EFEITO!$K$86*EFEITO!$Y$86</f>
        <v>0</v>
      </c>
      <c r="N86" s="64">
        <f ca="1">$K$86-EFEITO!$M$86*EFEITO!$Z$86</f>
        <v>0</v>
      </c>
      <c r="O86" s="64">
        <f>$L$86-EFEITO!$O$86*EFEITO!$AA$86</f>
        <v>0</v>
      </c>
      <c r="P86" s="19"/>
      <c r="Q86" s="19"/>
      <c r="R86" s="19"/>
      <c r="S86" s="19"/>
      <c r="T86" s="19"/>
      <c r="U86" s="19"/>
      <c r="V86" s="19"/>
      <c r="W86" s="19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55" t="s">
        <v>21</v>
      </c>
      <c r="B87" s="55" t="s">
        <v>39</v>
      </c>
      <c r="C87" s="55" t="s">
        <v>40</v>
      </c>
      <c r="D87" s="55" t="s">
        <v>38</v>
      </c>
      <c r="E87" s="55" t="s">
        <v>25</v>
      </c>
      <c r="F87" s="55" t="s">
        <v>25</v>
      </c>
      <c r="G87" s="55" t="s">
        <v>25</v>
      </c>
      <c r="H87" s="55" t="s">
        <v>35</v>
      </c>
      <c r="I87" s="63">
        <v>44593</v>
      </c>
      <c r="J87" s="64">
        <f ca="1">EFEITO!$J$87*EFEITO!$Y$87</f>
        <v>33343.016104198919</v>
      </c>
      <c r="K87" s="64">
        <f ca="1">EFEITO!$L$87*EFEITO!$Z$87</f>
        <v>53015.292339113657</v>
      </c>
      <c r="L87" s="64">
        <f>EFEITO!$N$87*EFEITO!$AA$87</f>
        <v>222154.8563446468</v>
      </c>
      <c r="M87" s="64">
        <f ca="1">$J$87-EFEITO!$K$87*EFEITO!$Y$87</f>
        <v>0</v>
      </c>
      <c r="N87" s="64">
        <f ca="1">$K$87-EFEITO!$M$87*EFEITO!$Z$87</f>
        <v>0</v>
      </c>
      <c r="O87" s="64">
        <f>$L$87-EFEITO!$O$87*EFEITO!$AA$87</f>
        <v>0</v>
      </c>
      <c r="P87" s="19"/>
      <c r="Q87" s="19"/>
      <c r="R87" s="19"/>
      <c r="S87" s="19"/>
      <c r="T87" s="19"/>
      <c r="U87" s="19"/>
      <c r="V87" s="19"/>
      <c r="W87" s="19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55" t="s">
        <v>21</v>
      </c>
      <c r="B88" s="55" t="s">
        <v>39</v>
      </c>
      <c r="C88" s="55" t="s">
        <v>40</v>
      </c>
      <c r="D88" s="55" t="s">
        <v>38</v>
      </c>
      <c r="E88" s="55" t="s">
        <v>25</v>
      </c>
      <c r="F88" s="55" t="s">
        <v>25</v>
      </c>
      <c r="G88" s="55" t="s">
        <v>25</v>
      </c>
      <c r="H88" s="55" t="s">
        <v>35</v>
      </c>
      <c r="I88" s="63">
        <v>44593</v>
      </c>
      <c r="J88" s="64">
        <f ca="1">EFEITO!$J$88*EFEITO!$Y$88</f>
        <v>880941.28584685817</v>
      </c>
      <c r="K88" s="64">
        <f ca="1">EFEITO!$L$88*EFEITO!$Z$88</f>
        <v>0</v>
      </c>
      <c r="L88" s="64">
        <f>EFEITO!$N$88*EFEITO!$AA$88</f>
        <v>0</v>
      </c>
      <c r="M88" s="64">
        <f ca="1">$J$88-EFEITO!$K$88*EFEITO!$Y$88</f>
        <v>0</v>
      </c>
      <c r="N88" s="64">
        <f ca="1">$K$88-EFEITO!$M$88*EFEITO!$Z$88</f>
        <v>0</v>
      </c>
      <c r="O88" s="64">
        <f>$L$88-EFEITO!$O$88*EFEITO!$AA$88</f>
        <v>0</v>
      </c>
      <c r="P88" s="19"/>
      <c r="Q88" s="19"/>
      <c r="R88" s="19"/>
      <c r="S88" s="19"/>
      <c r="T88" s="19"/>
      <c r="U88" s="19"/>
      <c r="V88" s="19"/>
      <c r="W88" s="19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55" t="s">
        <v>21</v>
      </c>
      <c r="B89" s="55" t="s">
        <v>39</v>
      </c>
      <c r="C89" s="55" t="s">
        <v>40</v>
      </c>
      <c r="D89" s="55" t="s">
        <v>38</v>
      </c>
      <c r="E89" s="55" t="s">
        <v>25</v>
      </c>
      <c r="F89" s="55" t="s">
        <v>25</v>
      </c>
      <c r="G89" s="55" t="s">
        <v>25</v>
      </c>
      <c r="H89" s="55" t="s">
        <v>35</v>
      </c>
      <c r="I89" s="63">
        <v>44621</v>
      </c>
      <c r="J89" s="64">
        <f ca="1">EFEITO!$J$89*EFEITO!$Y$89</f>
        <v>34294.093843821174</v>
      </c>
      <c r="K89" s="64">
        <f ca="1">EFEITO!$L$89*EFEITO!$Z$89</f>
        <v>44391.931615253117</v>
      </c>
      <c r="L89" s="64">
        <f>EFEITO!$N$89*EFEITO!$AA$89</f>
        <v>186019.5946438653</v>
      </c>
      <c r="M89" s="64">
        <f ca="1">$J$89-EFEITO!$K$89*EFEITO!$Y$89</f>
        <v>0</v>
      </c>
      <c r="N89" s="64">
        <f ca="1">$K$89-EFEITO!$M$89*EFEITO!$Z$89</f>
        <v>0</v>
      </c>
      <c r="O89" s="64">
        <f>$L$89-EFEITO!$O$89*EFEITO!$AA$89</f>
        <v>0</v>
      </c>
      <c r="P89" s="19"/>
      <c r="Q89" s="19"/>
      <c r="R89" s="19"/>
      <c r="S89" s="19"/>
      <c r="T89" s="19"/>
      <c r="U89" s="19"/>
      <c r="V89" s="19"/>
      <c r="W89" s="19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55" t="s">
        <v>21</v>
      </c>
      <c r="B90" s="55" t="s">
        <v>39</v>
      </c>
      <c r="C90" s="55" t="s">
        <v>40</v>
      </c>
      <c r="D90" s="55" t="s">
        <v>38</v>
      </c>
      <c r="E90" s="55" t="s">
        <v>25</v>
      </c>
      <c r="F90" s="55" t="s">
        <v>25</v>
      </c>
      <c r="G90" s="55" t="s">
        <v>25</v>
      </c>
      <c r="H90" s="55" t="s">
        <v>35</v>
      </c>
      <c r="I90" s="63">
        <v>44621</v>
      </c>
      <c r="J90" s="64">
        <f ca="1">EFEITO!$J$90*EFEITO!$Y$90</f>
        <v>883307.92115242989</v>
      </c>
      <c r="K90" s="64">
        <f ca="1">EFEITO!$L$90*EFEITO!$Z$90</f>
        <v>0</v>
      </c>
      <c r="L90" s="64">
        <f>EFEITO!$N$90*EFEITO!$AA$90</f>
        <v>0</v>
      </c>
      <c r="M90" s="64">
        <f ca="1">$J$90-EFEITO!$K$90*EFEITO!$Y$90</f>
        <v>0</v>
      </c>
      <c r="N90" s="64">
        <f ca="1">$K$90-EFEITO!$M$90*EFEITO!$Z$90</f>
        <v>0</v>
      </c>
      <c r="O90" s="64">
        <f>$L$90-EFEITO!$O$90*EFEITO!$AA$90</f>
        <v>0</v>
      </c>
      <c r="P90" s="19"/>
      <c r="Q90" s="19"/>
      <c r="R90" s="19"/>
      <c r="S90" s="19"/>
      <c r="T90" s="19"/>
      <c r="U90" s="19"/>
      <c r="V90" s="19"/>
      <c r="W90" s="19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55" t="s">
        <v>21</v>
      </c>
      <c r="B91" s="55" t="s">
        <v>39</v>
      </c>
      <c r="C91" s="55" t="s">
        <v>40</v>
      </c>
      <c r="D91" s="55" t="s">
        <v>38</v>
      </c>
      <c r="E91" s="55" t="s">
        <v>25</v>
      </c>
      <c r="F91" s="55" t="s">
        <v>25</v>
      </c>
      <c r="G91" s="55" t="s">
        <v>25</v>
      </c>
      <c r="H91" s="55" t="s">
        <v>35</v>
      </c>
      <c r="I91" s="63">
        <v>44652</v>
      </c>
      <c r="J91" s="64">
        <f ca="1">EFEITO!$J$91*EFEITO!$Y$91</f>
        <v>33973.381582785762</v>
      </c>
      <c r="K91" s="64">
        <f ca="1">EFEITO!$L$91*EFEITO!$Z$91</f>
        <v>56493.618067386044</v>
      </c>
      <c r="L91" s="64">
        <f>EFEITO!$N$91*EFEITO!$AA$91</f>
        <v>236730.40461365331</v>
      </c>
      <c r="M91" s="64">
        <f ca="1">$J$91-EFEITO!$K$91*EFEITO!$Y$91</f>
        <v>0</v>
      </c>
      <c r="N91" s="64">
        <f ca="1">$K$91-EFEITO!$M$91*EFEITO!$Z$91</f>
        <v>0</v>
      </c>
      <c r="O91" s="64">
        <f>$L$91-EFEITO!$O$91*EFEITO!$AA$91</f>
        <v>0</v>
      </c>
      <c r="P91" s="19"/>
      <c r="Q91" s="19"/>
      <c r="R91" s="19"/>
      <c r="S91" s="19"/>
      <c r="T91" s="19"/>
      <c r="U91" s="19"/>
      <c r="V91" s="19"/>
      <c r="W91" s="19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55" t="s">
        <v>21</v>
      </c>
      <c r="B92" s="55" t="s">
        <v>39</v>
      </c>
      <c r="C92" s="55" t="s">
        <v>40</v>
      </c>
      <c r="D92" s="55" t="s">
        <v>38</v>
      </c>
      <c r="E92" s="55" t="s">
        <v>25</v>
      </c>
      <c r="F92" s="55" t="s">
        <v>25</v>
      </c>
      <c r="G92" s="55" t="s">
        <v>25</v>
      </c>
      <c r="H92" s="55" t="s">
        <v>35</v>
      </c>
      <c r="I92" s="63">
        <v>44652</v>
      </c>
      <c r="J92" s="64">
        <f ca="1">EFEITO!$J$92*EFEITO!$Y$92</f>
        <v>885033.13193593069</v>
      </c>
      <c r="K92" s="64">
        <f ca="1">EFEITO!$L$92*EFEITO!$Z$92</f>
        <v>0</v>
      </c>
      <c r="L92" s="64">
        <f>EFEITO!$N$92*EFEITO!$AA$92</f>
        <v>0</v>
      </c>
      <c r="M92" s="64">
        <f ca="1">$J$92-EFEITO!$K$92*EFEITO!$Y$92</f>
        <v>0</v>
      </c>
      <c r="N92" s="64">
        <f ca="1">$K$92-EFEITO!$M$92*EFEITO!$Z$92</f>
        <v>0</v>
      </c>
      <c r="O92" s="64">
        <f>$L$92-EFEITO!$O$92*EFEITO!$AA$92</f>
        <v>0</v>
      </c>
      <c r="P92" s="19"/>
      <c r="Q92" s="19"/>
      <c r="R92" s="19"/>
      <c r="S92" s="19"/>
      <c r="T92" s="19"/>
      <c r="U92" s="19"/>
      <c r="V92" s="19"/>
      <c r="W92" s="19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55" t="s">
        <v>21</v>
      </c>
      <c r="B93" s="55" t="s">
        <v>39</v>
      </c>
      <c r="C93" s="55" t="s">
        <v>40</v>
      </c>
      <c r="D93" s="55" t="s">
        <v>38</v>
      </c>
      <c r="E93" s="55" t="s">
        <v>25</v>
      </c>
      <c r="F93" s="55" t="s">
        <v>25</v>
      </c>
      <c r="G93" s="55" t="s">
        <v>25</v>
      </c>
      <c r="H93" s="55" t="s">
        <v>35</v>
      </c>
      <c r="I93" s="63">
        <v>44682</v>
      </c>
      <c r="J93" s="64">
        <f ca="1">EFEITO!$J$93*EFEITO!$Y$93</f>
        <v>34504.215670016791</v>
      </c>
      <c r="K93" s="64">
        <f ca="1">EFEITO!$L$93*EFEITO!$Z$93</f>
        <v>63792.903136375535</v>
      </c>
      <c r="L93" s="64">
        <f>EFEITO!$N$93*EFEITO!$AA$93</f>
        <v>267317.27029662573</v>
      </c>
      <c r="M93" s="64">
        <f ca="1">$J$93-EFEITO!$K$93*EFEITO!$Y$93</f>
        <v>0</v>
      </c>
      <c r="N93" s="64">
        <f ca="1">$K$93-EFEITO!$M$93*EFEITO!$Z$93</f>
        <v>0</v>
      </c>
      <c r="O93" s="64">
        <f>$L$93-EFEITO!$O$93*EFEITO!$AA$93</f>
        <v>0</v>
      </c>
      <c r="P93" s="19"/>
      <c r="Q93" s="19"/>
      <c r="R93" s="19"/>
      <c r="S93" s="19"/>
      <c r="T93" s="19"/>
      <c r="U93" s="19"/>
      <c r="V93" s="19"/>
      <c r="W93" s="19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55" t="s">
        <v>21</v>
      </c>
      <c r="B94" s="55" t="s">
        <v>39</v>
      </c>
      <c r="C94" s="55" t="s">
        <v>40</v>
      </c>
      <c r="D94" s="55" t="s">
        <v>38</v>
      </c>
      <c r="E94" s="55" t="s">
        <v>25</v>
      </c>
      <c r="F94" s="55" t="s">
        <v>25</v>
      </c>
      <c r="G94" s="55" t="s">
        <v>25</v>
      </c>
      <c r="H94" s="55" t="s">
        <v>35</v>
      </c>
      <c r="I94" s="63">
        <v>44682</v>
      </c>
      <c r="J94" s="64">
        <f ca="1">EFEITO!$J$94*EFEITO!$Y$94</f>
        <v>885387.02132741804</v>
      </c>
      <c r="K94" s="64">
        <f ca="1">EFEITO!$L$94*EFEITO!$Z$94</f>
        <v>0</v>
      </c>
      <c r="L94" s="64">
        <f>EFEITO!$N$94*EFEITO!$AA$94</f>
        <v>0</v>
      </c>
      <c r="M94" s="64">
        <f ca="1">$J$94-EFEITO!$K$94*EFEITO!$Y$94</f>
        <v>0</v>
      </c>
      <c r="N94" s="64">
        <f ca="1">$K$94-EFEITO!$M$94*EFEITO!$Z$94</f>
        <v>0</v>
      </c>
      <c r="O94" s="64">
        <f>$L$94-EFEITO!$O$94*EFEITO!$AA$94</f>
        <v>0</v>
      </c>
      <c r="P94" s="19"/>
      <c r="Q94" s="19"/>
      <c r="R94" s="19"/>
      <c r="S94" s="19"/>
      <c r="T94" s="19"/>
      <c r="U94" s="19"/>
      <c r="V94" s="19"/>
      <c r="W94" s="19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55" t="s">
        <v>21</v>
      </c>
      <c r="B95" s="55" t="s">
        <v>39</v>
      </c>
      <c r="C95" s="55" t="s">
        <v>40</v>
      </c>
      <c r="D95" s="55" t="s">
        <v>38</v>
      </c>
      <c r="E95" s="55" t="s">
        <v>25</v>
      </c>
      <c r="F95" s="55" t="s">
        <v>25</v>
      </c>
      <c r="G95" s="55" t="s">
        <v>25</v>
      </c>
      <c r="H95" s="55" t="s">
        <v>35</v>
      </c>
      <c r="I95" s="63">
        <v>44713</v>
      </c>
      <c r="J95" s="64">
        <f ca="1">EFEITO!$J$95*EFEITO!$Y$95</f>
        <v>34072.912974141582</v>
      </c>
      <c r="K95" s="64">
        <f ca="1">EFEITO!$L$95*EFEITO!$Z$95</f>
        <v>71585.812901259924</v>
      </c>
      <c r="L95" s="64">
        <f>EFEITO!$N$95*EFEITO!$AA$95</f>
        <v>299972.61695114971</v>
      </c>
      <c r="M95" s="64">
        <f ca="1">$J$95-EFEITO!$K$95*EFEITO!$Y$95</f>
        <v>0</v>
      </c>
      <c r="N95" s="64">
        <f ca="1">$K$95-EFEITO!$M$95*EFEITO!$Z$95</f>
        <v>0</v>
      </c>
      <c r="O95" s="64">
        <f>$L$95-EFEITO!$O$95*EFEITO!$AA$95</f>
        <v>0</v>
      </c>
      <c r="P95" s="19"/>
      <c r="Q95" s="19"/>
      <c r="R95" s="19"/>
      <c r="S95" s="19"/>
      <c r="T95" s="19"/>
      <c r="U95" s="19"/>
      <c r="V95" s="19"/>
      <c r="W95" s="19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55" t="s">
        <v>21</v>
      </c>
      <c r="B96" s="55" t="s">
        <v>39</v>
      </c>
      <c r="C96" s="55" t="s">
        <v>40</v>
      </c>
      <c r="D96" s="55" t="s">
        <v>38</v>
      </c>
      <c r="E96" s="55" t="s">
        <v>25</v>
      </c>
      <c r="F96" s="55" t="s">
        <v>25</v>
      </c>
      <c r="G96" s="55" t="s">
        <v>25</v>
      </c>
      <c r="H96" s="55" t="s">
        <v>35</v>
      </c>
      <c r="I96" s="63">
        <v>44713</v>
      </c>
      <c r="J96" s="64">
        <f ca="1">EFEITO!$J$96*EFEITO!$Y$96</f>
        <v>882743.90993474692</v>
      </c>
      <c r="K96" s="64">
        <f ca="1">EFEITO!$L$96*EFEITO!$Z$96</f>
        <v>0</v>
      </c>
      <c r="L96" s="64">
        <f>EFEITO!$N$96*EFEITO!$AA$96</f>
        <v>0</v>
      </c>
      <c r="M96" s="64">
        <f ca="1">$J$96-EFEITO!$K$96*EFEITO!$Y$96</f>
        <v>0</v>
      </c>
      <c r="N96" s="64">
        <f ca="1">$K$96-EFEITO!$M$96*EFEITO!$Z$96</f>
        <v>0</v>
      </c>
      <c r="O96" s="64">
        <f>$L$96-EFEITO!$O$96*EFEITO!$AA$96</f>
        <v>0</v>
      </c>
      <c r="P96" s="19"/>
      <c r="Q96" s="19"/>
      <c r="R96" s="19"/>
      <c r="S96" s="19"/>
      <c r="T96" s="19"/>
      <c r="U96" s="19"/>
      <c r="V96" s="19"/>
      <c r="W96" s="19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55" t="s">
        <v>57</v>
      </c>
      <c r="B97" s="55" t="s">
        <v>39</v>
      </c>
      <c r="C97" s="55" t="s">
        <v>40</v>
      </c>
      <c r="D97" s="55" t="s">
        <v>38</v>
      </c>
      <c r="E97" s="55" t="s">
        <v>25</v>
      </c>
      <c r="F97" s="55" t="s">
        <v>25</v>
      </c>
      <c r="G97" s="55" t="s">
        <v>25</v>
      </c>
      <c r="H97" s="55" t="s">
        <v>35</v>
      </c>
      <c r="I97" s="63">
        <v>44743</v>
      </c>
      <c r="J97" s="64">
        <f ca="1">EFEITO!$J$97*EFEITO!$Y$97</f>
        <v>34072.912974141582</v>
      </c>
      <c r="K97" s="64">
        <f ca="1">EFEITO!$L$97*EFEITO!$Z$97</f>
        <v>71585.812901259924</v>
      </c>
      <c r="L97" s="64">
        <f>EFEITO!$N$97*EFEITO!$AA$97</f>
        <v>299972.61695114971</v>
      </c>
      <c r="M97" s="64">
        <f ca="1">$J$97-EFEITO!$K$97*EFEITO!$Y$97</f>
        <v>0</v>
      </c>
      <c r="N97" s="64">
        <f ca="1">$K$97-EFEITO!$M$97*EFEITO!$Z$97</f>
        <v>0</v>
      </c>
      <c r="O97" s="64">
        <f>$L$97-EFEITO!$O$97*EFEITO!$AA$97</f>
        <v>0</v>
      </c>
      <c r="P97" s="19"/>
      <c r="Q97" s="19"/>
      <c r="R97" s="19"/>
      <c r="S97" s="19"/>
      <c r="T97" s="19"/>
      <c r="U97" s="19"/>
      <c r="V97" s="19"/>
      <c r="W97" s="19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55" t="s">
        <v>57</v>
      </c>
      <c r="B98" s="55" t="s">
        <v>39</v>
      </c>
      <c r="C98" s="55" t="s">
        <v>40</v>
      </c>
      <c r="D98" s="55" t="s">
        <v>38</v>
      </c>
      <c r="E98" s="55" t="s">
        <v>25</v>
      </c>
      <c r="F98" s="55" t="s">
        <v>25</v>
      </c>
      <c r="G98" s="55" t="s">
        <v>25</v>
      </c>
      <c r="H98" s="55" t="s">
        <v>35</v>
      </c>
      <c r="I98" s="63">
        <v>44743</v>
      </c>
      <c r="J98" s="64">
        <f ca="1">EFEITO!$J$98*EFEITO!$Y$98</f>
        <v>882743.90993474692</v>
      </c>
      <c r="K98" s="64">
        <f ca="1">EFEITO!$L$98*EFEITO!$Z$98</f>
        <v>0</v>
      </c>
      <c r="L98" s="64">
        <f>EFEITO!$N$98*EFEITO!$AA$98</f>
        <v>0</v>
      </c>
      <c r="M98" s="64">
        <f ca="1">$J$98-EFEITO!$K$98*EFEITO!$Y$98</f>
        <v>0</v>
      </c>
      <c r="N98" s="64">
        <f ca="1">$K$98-EFEITO!$M$98*EFEITO!$Z$98</f>
        <v>0</v>
      </c>
      <c r="O98" s="64">
        <f>$L$98-EFEITO!$O$98*EFEITO!$AA$98</f>
        <v>0</v>
      </c>
      <c r="P98" s="19"/>
      <c r="Q98" s="19"/>
      <c r="R98" s="19"/>
      <c r="S98" s="19"/>
      <c r="T98" s="19"/>
      <c r="U98" s="19"/>
      <c r="V98" s="19"/>
      <c r="W98" s="19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55" t="s">
        <v>21</v>
      </c>
      <c r="B99" s="55" t="s">
        <v>39</v>
      </c>
      <c r="C99" s="55" t="s">
        <v>40</v>
      </c>
      <c r="D99" s="55" t="s">
        <v>38</v>
      </c>
      <c r="E99" s="55" t="s">
        <v>25</v>
      </c>
      <c r="F99" s="55" t="s">
        <v>25</v>
      </c>
      <c r="G99" s="55" t="s">
        <v>25</v>
      </c>
      <c r="H99" s="55" t="s">
        <v>25</v>
      </c>
      <c r="I99" s="63">
        <v>44409</v>
      </c>
      <c r="J99" s="64">
        <f>EFEITO!$J$99*EFEITO!$Y$99</f>
        <v>0</v>
      </c>
      <c r="K99" s="64">
        <f ca="1">EFEITO!$L$99*EFEITO!$Z$99</f>
        <v>2273282.2624506704</v>
      </c>
      <c r="L99" s="64">
        <f>EFEITO!$N$99*EFEITO!$AA$99</f>
        <v>0</v>
      </c>
      <c r="M99" s="64">
        <f>$J$99-EFEITO!$K$99*EFEITO!$Y$99</f>
        <v>0</v>
      </c>
      <c r="N99" s="64">
        <f ca="1">$K$99-EFEITO!$M$99*EFEITO!$Z$99</f>
        <v>0</v>
      </c>
      <c r="O99" s="64">
        <f>$L$99-EFEITO!$O$99*EFEITO!$AA$99</f>
        <v>0</v>
      </c>
      <c r="P99" s="19"/>
      <c r="Q99" s="19"/>
      <c r="R99" s="19"/>
      <c r="S99" s="19"/>
      <c r="T99" s="19"/>
      <c r="U99" s="19"/>
      <c r="V99" s="19"/>
      <c r="W99" s="19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55" t="s">
        <v>21</v>
      </c>
      <c r="B100" s="55" t="s">
        <v>39</v>
      </c>
      <c r="C100" s="55" t="s">
        <v>40</v>
      </c>
      <c r="D100" s="55" t="s">
        <v>38</v>
      </c>
      <c r="E100" s="55" t="s">
        <v>25</v>
      </c>
      <c r="F100" s="55" t="s">
        <v>25</v>
      </c>
      <c r="G100" s="55" t="s">
        <v>25</v>
      </c>
      <c r="H100" s="55" t="s">
        <v>25</v>
      </c>
      <c r="I100" s="63">
        <v>44440</v>
      </c>
      <c r="J100" s="64">
        <f>EFEITO!$J$100*EFEITO!$Y$100</f>
        <v>0</v>
      </c>
      <c r="K100" s="64">
        <f ca="1">EFEITO!$L$100*EFEITO!$Z$100</f>
        <v>2314570.8571822639</v>
      </c>
      <c r="L100" s="64">
        <f>EFEITO!$N$100*EFEITO!$AA$100</f>
        <v>0</v>
      </c>
      <c r="M100" s="64">
        <f>$J$100-EFEITO!$K$100*EFEITO!$Y$100</f>
        <v>0</v>
      </c>
      <c r="N100" s="64">
        <f ca="1">$K$100-EFEITO!$M$100*EFEITO!$Z$100</f>
        <v>0</v>
      </c>
      <c r="O100" s="64">
        <f>$L$100-EFEITO!$O$100*EFEITO!$AA$100</f>
        <v>0</v>
      </c>
      <c r="P100" s="19"/>
      <c r="Q100" s="19"/>
      <c r="R100" s="19"/>
      <c r="S100" s="19"/>
      <c r="T100" s="19"/>
      <c r="U100" s="19"/>
      <c r="V100" s="19"/>
      <c r="W100" s="19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55" t="s">
        <v>21</v>
      </c>
      <c r="B101" s="55" t="s">
        <v>39</v>
      </c>
      <c r="C101" s="55" t="s">
        <v>40</v>
      </c>
      <c r="D101" s="55" t="s">
        <v>38</v>
      </c>
      <c r="E101" s="55" t="s">
        <v>25</v>
      </c>
      <c r="F101" s="55" t="s">
        <v>25</v>
      </c>
      <c r="G101" s="55" t="s">
        <v>25</v>
      </c>
      <c r="H101" s="55" t="s">
        <v>25</v>
      </c>
      <c r="I101" s="63">
        <v>44470</v>
      </c>
      <c r="J101" s="64">
        <f>EFEITO!$J$101*EFEITO!$Y$101</f>
        <v>0</v>
      </c>
      <c r="K101" s="64">
        <f ca="1">EFEITO!$L$101*EFEITO!$Z$101</f>
        <v>2420786.3921106956</v>
      </c>
      <c r="L101" s="64">
        <f>EFEITO!$N$101*EFEITO!$AA$101</f>
        <v>0</v>
      </c>
      <c r="M101" s="64">
        <f>$J$101-EFEITO!$K$101*EFEITO!$Y$101</f>
        <v>0</v>
      </c>
      <c r="N101" s="64">
        <f ca="1">$K$101-EFEITO!$M$101*EFEITO!$Z$101</f>
        <v>0</v>
      </c>
      <c r="O101" s="64">
        <f>$L$101-EFEITO!$O$101*EFEITO!$AA$101</f>
        <v>0</v>
      </c>
      <c r="P101" s="19"/>
      <c r="Q101" s="19"/>
      <c r="R101" s="19"/>
      <c r="S101" s="19"/>
      <c r="T101" s="19"/>
      <c r="U101" s="19"/>
      <c r="V101" s="19"/>
      <c r="W101" s="19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55" t="s">
        <v>21</v>
      </c>
      <c r="B102" s="55" t="s">
        <v>39</v>
      </c>
      <c r="C102" s="55" t="s">
        <v>40</v>
      </c>
      <c r="D102" s="55" t="s">
        <v>38</v>
      </c>
      <c r="E102" s="55" t="s">
        <v>25</v>
      </c>
      <c r="F102" s="55" t="s">
        <v>25</v>
      </c>
      <c r="G102" s="55" t="s">
        <v>25</v>
      </c>
      <c r="H102" s="55" t="s">
        <v>25</v>
      </c>
      <c r="I102" s="63">
        <v>44501</v>
      </c>
      <c r="J102" s="64">
        <f>EFEITO!$J$102*EFEITO!$Y$102</f>
        <v>0</v>
      </c>
      <c r="K102" s="64">
        <f ca="1">EFEITO!$L$102*EFEITO!$Z$102</f>
        <v>2274021.565678685</v>
      </c>
      <c r="L102" s="64">
        <f>EFEITO!$N$102*EFEITO!$AA$102</f>
        <v>0</v>
      </c>
      <c r="M102" s="64">
        <f>$J$102-EFEITO!$K$102*EFEITO!$Y$102</f>
        <v>0</v>
      </c>
      <c r="N102" s="64">
        <f ca="1">$K$102-EFEITO!$M$102*EFEITO!$Z$102</f>
        <v>0</v>
      </c>
      <c r="O102" s="64">
        <f>$L$102-EFEITO!$O$102*EFEITO!$AA$102</f>
        <v>0</v>
      </c>
      <c r="P102" s="19"/>
      <c r="Q102" s="19"/>
      <c r="R102" s="19"/>
      <c r="S102" s="19"/>
      <c r="T102" s="19"/>
      <c r="U102" s="19"/>
      <c r="V102" s="19"/>
      <c r="W102" s="19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55" t="s">
        <v>21</v>
      </c>
      <c r="B103" s="55" t="s">
        <v>39</v>
      </c>
      <c r="C103" s="55" t="s">
        <v>40</v>
      </c>
      <c r="D103" s="55" t="s">
        <v>38</v>
      </c>
      <c r="E103" s="55" t="s">
        <v>25</v>
      </c>
      <c r="F103" s="55" t="s">
        <v>25</v>
      </c>
      <c r="G103" s="55" t="s">
        <v>25</v>
      </c>
      <c r="H103" s="55" t="s">
        <v>25</v>
      </c>
      <c r="I103" s="63">
        <v>44531</v>
      </c>
      <c r="J103" s="64">
        <f>EFEITO!$J$103*EFEITO!$Y$103</f>
        <v>0</v>
      </c>
      <c r="K103" s="64">
        <f ca="1">EFEITO!$L$103*EFEITO!$Z$103</f>
        <v>2313242.6334207049</v>
      </c>
      <c r="L103" s="64">
        <f>EFEITO!$N$103*EFEITO!$AA$103</f>
        <v>0</v>
      </c>
      <c r="M103" s="64">
        <f>$J$103-EFEITO!$K$103*EFEITO!$Y$103</f>
        <v>0</v>
      </c>
      <c r="N103" s="64">
        <f ca="1">$K$103-EFEITO!$M$103*EFEITO!$Z$103</f>
        <v>0</v>
      </c>
      <c r="O103" s="64">
        <f>$L$103-EFEITO!$O$103*EFEITO!$AA$103</f>
        <v>0</v>
      </c>
      <c r="P103" s="19"/>
      <c r="Q103" s="19"/>
      <c r="R103" s="19"/>
      <c r="S103" s="19"/>
      <c r="T103" s="19"/>
      <c r="U103" s="19"/>
      <c r="V103" s="19"/>
      <c r="W103" s="19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55" t="s">
        <v>21</v>
      </c>
      <c r="B104" s="55" t="s">
        <v>39</v>
      </c>
      <c r="C104" s="55" t="s">
        <v>40</v>
      </c>
      <c r="D104" s="55" t="s">
        <v>38</v>
      </c>
      <c r="E104" s="55" t="s">
        <v>25</v>
      </c>
      <c r="F104" s="55" t="s">
        <v>25</v>
      </c>
      <c r="G104" s="55" t="s">
        <v>25</v>
      </c>
      <c r="H104" s="55" t="s">
        <v>25</v>
      </c>
      <c r="I104" s="63">
        <v>44562</v>
      </c>
      <c r="J104" s="64">
        <f>EFEITO!$J$104*EFEITO!$Y$104</f>
        <v>0</v>
      </c>
      <c r="K104" s="64">
        <f ca="1">EFEITO!$L$104*EFEITO!$Z$104</f>
        <v>2018513.4587186365</v>
      </c>
      <c r="L104" s="64">
        <f>EFEITO!$N$104*EFEITO!$AA$104</f>
        <v>0</v>
      </c>
      <c r="M104" s="64">
        <f>$J$104-EFEITO!$K$104*EFEITO!$Y$104</f>
        <v>0</v>
      </c>
      <c r="N104" s="64">
        <f ca="1">$K$104-EFEITO!$M$104*EFEITO!$Z$104</f>
        <v>0</v>
      </c>
      <c r="O104" s="64">
        <f>$L$104-EFEITO!$O$104*EFEITO!$AA$104</f>
        <v>0</v>
      </c>
      <c r="P104" s="19"/>
      <c r="Q104" s="19"/>
      <c r="R104" s="19"/>
      <c r="S104" s="19"/>
      <c r="T104" s="19"/>
      <c r="U104" s="19"/>
      <c r="V104" s="19"/>
      <c r="W104" s="19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55" t="s">
        <v>21</v>
      </c>
      <c r="B105" s="55" t="s">
        <v>39</v>
      </c>
      <c r="C105" s="55" t="s">
        <v>40</v>
      </c>
      <c r="D105" s="55" t="s">
        <v>38</v>
      </c>
      <c r="E105" s="55" t="s">
        <v>25</v>
      </c>
      <c r="F105" s="55" t="s">
        <v>25</v>
      </c>
      <c r="G105" s="55" t="s">
        <v>25</v>
      </c>
      <c r="H105" s="55" t="s">
        <v>25</v>
      </c>
      <c r="I105" s="63">
        <v>44593</v>
      </c>
      <c r="J105" s="64">
        <f>EFEITO!$J$105*EFEITO!$Y$105</f>
        <v>0</v>
      </c>
      <c r="K105" s="64">
        <f ca="1">EFEITO!$L$105*EFEITO!$Z$105</f>
        <v>2314278.3326986125</v>
      </c>
      <c r="L105" s="64">
        <f>EFEITO!$N$105*EFEITO!$AA$105</f>
        <v>0</v>
      </c>
      <c r="M105" s="64">
        <f>$J$105-EFEITO!$K$105*EFEITO!$Y$105</f>
        <v>0</v>
      </c>
      <c r="N105" s="64">
        <f ca="1">$K$105-EFEITO!$M$105*EFEITO!$Z$105</f>
        <v>0</v>
      </c>
      <c r="O105" s="64">
        <f>$L$105-EFEITO!$O$105*EFEITO!$AA$105</f>
        <v>0</v>
      </c>
      <c r="P105" s="19"/>
      <c r="Q105" s="19"/>
      <c r="R105" s="19"/>
      <c r="S105" s="19"/>
      <c r="T105" s="19"/>
      <c r="U105" s="19"/>
      <c r="V105" s="19"/>
      <c r="W105" s="19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55" t="s">
        <v>21</v>
      </c>
      <c r="B106" s="55" t="s">
        <v>39</v>
      </c>
      <c r="C106" s="55" t="s">
        <v>40</v>
      </c>
      <c r="D106" s="55" t="s">
        <v>38</v>
      </c>
      <c r="E106" s="55" t="s">
        <v>25</v>
      </c>
      <c r="F106" s="55" t="s">
        <v>25</v>
      </c>
      <c r="G106" s="55" t="s">
        <v>25</v>
      </c>
      <c r="H106" s="55" t="s">
        <v>25</v>
      </c>
      <c r="I106" s="63">
        <v>44621</v>
      </c>
      <c r="J106" s="64">
        <f>EFEITO!$J$106*EFEITO!$Y$106</f>
        <v>0</v>
      </c>
      <c r="K106" s="64">
        <f ca="1">EFEITO!$L$106*EFEITO!$Z$106</f>
        <v>2081040.8021584889</v>
      </c>
      <c r="L106" s="64">
        <f>EFEITO!$N$106*EFEITO!$AA$106</f>
        <v>0</v>
      </c>
      <c r="M106" s="64">
        <f>$J$106-EFEITO!$K$106*EFEITO!$Y$106</f>
        <v>0</v>
      </c>
      <c r="N106" s="64">
        <f ca="1">$K$106-EFEITO!$M$106*EFEITO!$Z$106</f>
        <v>0</v>
      </c>
      <c r="O106" s="64">
        <f>$L$106-EFEITO!$O$106*EFEITO!$AA$106</f>
        <v>0</v>
      </c>
      <c r="P106" s="19"/>
      <c r="Q106" s="19"/>
      <c r="R106" s="19"/>
      <c r="S106" s="19"/>
      <c r="T106" s="19"/>
      <c r="U106" s="19"/>
      <c r="V106" s="19"/>
      <c r="W106" s="19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55" t="s">
        <v>21</v>
      </c>
      <c r="B107" s="55" t="s">
        <v>39</v>
      </c>
      <c r="C107" s="55" t="s">
        <v>40</v>
      </c>
      <c r="D107" s="55" t="s">
        <v>38</v>
      </c>
      <c r="E107" s="55" t="s">
        <v>25</v>
      </c>
      <c r="F107" s="55" t="s">
        <v>25</v>
      </c>
      <c r="G107" s="55" t="s">
        <v>25</v>
      </c>
      <c r="H107" s="55" t="s">
        <v>25</v>
      </c>
      <c r="I107" s="63">
        <v>44652</v>
      </c>
      <c r="J107" s="64">
        <f>EFEITO!$J$107*EFEITO!$Y$107</f>
        <v>0</v>
      </c>
      <c r="K107" s="64">
        <f ca="1">EFEITO!$L$107*EFEITO!$Z$107</f>
        <v>2320497.3401698181</v>
      </c>
      <c r="L107" s="64">
        <f>EFEITO!$N$107*EFEITO!$AA$107</f>
        <v>0</v>
      </c>
      <c r="M107" s="64">
        <f>$J$107-EFEITO!$K$107*EFEITO!$Y$107</f>
        <v>0</v>
      </c>
      <c r="N107" s="64">
        <f ca="1">$K$107-EFEITO!$M$107*EFEITO!$Z$107</f>
        <v>0</v>
      </c>
      <c r="O107" s="64">
        <f>$L$107-EFEITO!$O$107*EFEITO!$AA$107</f>
        <v>0</v>
      </c>
      <c r="P107" s="19"/>
      <c r="Q107" s="19"/>
      <c r="R107" s="19"/>
      <c r="S107" s="19"/>
      <c r="T107" s="19"/>
      <c r="U107" s="19"/>
      <c r="V107" s="19"/>
      <c r="W107" s="19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55" t="s">
        <v>21</v>
      </c>
      <c r="B108" s="55" t="s">
        <v>39</v>
      </c>
      <c r="C108" s="55" t="s">
        <v>40</v>
      </c>
      <c r="D108" s="55" t="s">
        <v>38</v>
      </c>
      <c r="E108" s="55" t="s">
        <v>25</v>
      </c>
      <c r="F108" s="55" t="s">
        <v>25</v>
      </c>
      <c r="G108" s="55" t="s">
        <v>25</v>
      </c>
      <c r="H108" s="55" t="s">
        <v>25</v>
      </c>
      <c r="I108" s="63">
        <v>44682</v>
      </c>
      <c r="J108" s="64">
        <f>EFEITO!$J$108*EFEITO!$Y$108</f>
        <v>0</v>
      </c>
      <c r="K108" s="64">
        <f ca="1">EFEITO!$L$108*EFEITO!$Z$108</f>
        <v>2263727.6794293551</v>
      </c>
      <c r="L108" s="64">
        <f>EFEITO!$N$108*EFEITO!$AA$108</f>
        <v>0</v>
      </c>
      <c r="M108" s="64">
        <f>$J$108-EFEITO!$K$108*EFEITO!$Y$108</f>
        <v>0</v>
      </c>
      <c r="N108" s="64">
        <f ca="1">$K$108-EFEITO!$M$108*EFEITO!$Z$108</f>
        <v>0</v>
      </c>
      <c r="O108" s="64">
        <f>$L$108-EFEITO!$O$108*EFEITO!$AA$108</f>
        <v>0</v>
      </c>
      <c r="P108" s="19"/>
      <c r="Q108" s="19"/>
      <c r="R108" s="19"/>
      <c r="S108" s="19"/>
      <c r="T108" s="19"/>
      <c r="U108" s="19"/>
      <c r="V108" s="19"/>
      <c r="W108" s="19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55" t="s">
        <v>21</v>
      </c>
      <c r="B109" s="55" t="s">
        <v>39</v>
      </c>
      <c r="C109" s="55" t="s">
        <v>40</v>
      </c>
      <c r="D109" s="55" t="s">
        <v>38</v>
      </c>
      <c r="E109" s="55" t="s">
        <v>25</v>
      </c>
      <c r="F109" s="55" t="s">
        <v>25</v>
      </c>
      <c r="G109" s="55" t="s">
        <v>25</v>
      </c>
      <c r="H109" s="55" t="s">
        <v>25</v>
      </c>
      <c r="I109" s="63">
        <v>44713</v>
      </c>
      <c r="J109" s="64">
        <f>EFEITO!$J$109*EFEITO!$Y$109</f>
        <v>0</v>
      </c>
      <c r="K109" s="64">
        <f ca="1">EFEITO!$L$109*EFEITO!$Z$109</f>
        <v>2292622.284457521</v>
      </c>
      <c r="L109" s="64">
        <f>EFEITO!$N$109*EFEITO!$AA$109</f>
        <v>0</v>
      </c>
      <c r="M109" s="64">
        <f>$J$109-EFEITO!$K$109*EFEITO!$Y$109</f>
        <v>0</v>
      </c>
      <c r="N109" s="64">
        <f ca="1">$K$109-EFEITO!$M$109*EFEITO!$Z$109</f>
        <v>0</v>
      </c>
      <c r="O109" s="64">
        <f>$L$109-EFEITO!$O$109*EFEITO!$AA$109</f>
        <v>0</v>
      </c>
      <c r="P109" s="19"/>
      <c r="Q109" s="19"/>
      <c r="R109" s="19"/>
      <c r="S109" s="19"/>
      <c r="T109" s="19"/>
      <c r="U109" s="19"/>
      <c r="V109" s="19"/>
      <c r="W109" s="19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55" t="s">
        <v>57</v>
      </c>
      <c r="B110" s="55" t="s">
        <v>39</v>
      </c>
      <c r="C110" s="55" t="s">
        <v>40</v>
      </c>
      <c r="D110" s="55" t="s">
        <v>38</v>
      </c>
      <c r="E110" s="55" t="s">
        <v>25</v>
      </c>
      <c r="F110" s="55" t="s">
        <v>25</v>
      </c>
      <c r="G110" s="55" t="s">
        <v>25</v>
      </c>
      <c r="H110" s="55" t="s">
        <v>25</v>
      </c>
      <c r="I110" s="63">
        <v>44743</v>
      </c>
      <c r="J110" s="64">
        <f>EFEITO!$J$110*EFEITO!$Y$110</f>
        <v>0</v>
      </c>
      <c r="K110" s="64">
        <f ca="1">EFEITO!$L$110*EFEITO!$Z$110</f>
        <v>2292622.284457521</v>
      </c>
      <c r="L110" s="64">
        <f>EFEITO!$N$110*EFEITO!$AA$110</f>
        <v>0</v>
      </c>
      <c r="M110" s="64">
        <f>$J$110-EFEITO!$K$110*EFEITO!$Y$110</f>
        <v>0</v>
      </c>
      <c r="N110" s="64">
        <f ca="1">$K$110-EFEITO!$M$110*EFEITO!$Z$110</f>
        <v>0</v>
      </c>
      <c r="O110" s="64">
        <f>$L$110-EFEITO!$O$110*EFEITO!$AA$110</f>
        <v>0</v>
      </c>
      <c r="P110" s="19"/>
      <c r="Q110" s="19"/>
      <c r="R110" s="19"/>
      <c r="S110" s="19"/>
      <c r="T110" s="19"/>
      <c r="U110" s="19"/>
      <c r="V110" s="19"/>
      <c r="W110" s="19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55" t="s">
        <v>21</v>
      </c>
      <c r="B111" s="55" t="s">
        <v>39</v>
      </c>
      <c r="C111" s="55" t="s">
        <v>40</v>
      </c>
      <c r="D111" s="55" t="s">
        <v>38</v>
      </c>
      <c r="E111" s="55" t="s">
        <v>25</v>
      </c>
      <c r="F111" s="55" t="s">
        <v>25</v>
      </c>
      <c r="G111" s="55" t="s">
        <v>25</v>
      </c>
      <c r="H111" s="55" t="s">
        <v>34</v>
      </c>
      <c r="I111" s="63">
        <v>44409</v>
      </c>
      <c r="J111" s="64">
        <f ca="1">EFEITO!$J$111*EFEITO!$Y$111</f>
        <v>155882.16558897414</v>
      </c>
      <c r="K111" s="64">
        <f ca="1">EFEITO!$L$111*EFEITO!$Z$111</f>
        <v>10080.286408932119</v>
      </c>
      <c r="L111" s="64">
        <f>EFEITO!$N$111*EFEITO!$AA$111</f>
        <v>65659.960016384197</v>
      </c>
      <c r="M111" s="64">
        <f ca="1">$J$111-EFEITO!$K$111*EFEITO!$Y$111</f>
        <v>0</v>
      </c>
      <c r="N111" s="64">
        <f ca="1">$K$111-EFEITO!$M$111*EFEITO!$Z$111</f>
        <v>0</v>
      </c>
      <c r="O111" s="64">
        <f>$L$111-EFEITO!$O$111*EFEITO!$AA$111</f>
        <v>0</v>
      </c>
      <c r="P111" s="19"/>
      <c r="Q111" s="19"/>
      <c r="R111" s="19"/>
      <c r="S111" s="19"/>
      <c r="T111" s="19"/>
      <c r="U111" s="19"/>
      <c r="V111" s="19"/>
      <c r="W111" s="19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55" t="s">
        <v>21</v>
      </c>
      <c r="B112" s="55" t="s">
        <v>39</v>
      </c>
      <c r="C112" s="55" t="s">
        <v>40</v>
      </c>
      <c r="D112" s="55" t="s">
        <v>38</v>
      </c>
      <c r="E112" s="55" t="s">
        <v>25</v>
      </c>
      <c r="F112" s="55" t="s">
        <v>25</v>
      </c>
      <c r="G112" s="55" t="s">
        <v>25</v>
      </c>
      <c r="H112" s="55" t="s">
        <v>34</v>
      </c>
      <c r="I112" s="63">
        <v>44409</v>
      </c>
      <c r="J112" s="64">
        <f ca="1">EFEITO!$J$112*EFEITO!$Y$112</f>
        <v>1438659.8224756538</v>
      </c>
      <c r="K112" s="64">
        <f ca="1">EFEITO!$L$112*EFEITO!$Z$112</f>
        <v>0</v>
      </c>
      <c r="L112" s="64">
        <f>EFEITO!$N$112*EFEITO!$AA$112</f>
        <v>0</v>
      </c>
      <c r="M112" s="64">
        <f ca="1">$J$112-EFEITO!$K$112*EFEITO!$Y$112</f>
        <v>0</v>
      </c>
      <c r="N112" s="64">
        <f ca="1">$K$112-EFEITO!$M$112*EFEITO!$Z$112</f>
        <v>0</v>
      </c>
      <c r="O112" s="64">
        <f>$L$112-EFEITO!$O$112*EFEITO!$AA$112</f>
        <v>0</v>
      </c>
      <c r="P112" s="19"/>
      <c r="Q112" s="19"/>
      <c r="R112" s="19"/>
      <c r="S112" s="19"/>
      <c r="T112" s="19"/>
      <c r="U112" s="19"/>
      <c r="V112" s="19"/>
      <c r="W112" s="19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55" t="s">
        <v>21</v>
      </c>
      <c r="B113" s="55" t="s">
        <v>39</v>
      </c>
      <c r="C113" s="55" t="s">
        <v>40</v>
      </c>
      <c r="D113" s="55" t="s">
        <v>38</v>
      </c>
      <c r="E113" s="55" t="s">
        <v>25</v>
      </c>
      <c r="F113" s="55" t="s">
        <v>25</v>
      </c>
      <c r="G113" s="55" t="s">
        <v>25</v>
      </c>
      <c r="H113" s="55" t="s">
        <v>34</v>
      </c>
      <c r="I113" s="63">
        <v>44440</v>
      </c>
      <c r="J113" s="64">
        <f ca="1">EFEITO!$J$113*EFEITO!$Y$113</f>
        <v>136743.22865994778</v>
      </c>
      <c r="K113" s="64">
        <f ca="1">EFEITO!$L$113*EFEITO!$Z$113</f>
        <v>7909.9416815806026</v>
      </c>
      <c r="L113" s="64">
        <f>EFEITO!$N$113*EFEITO!$AA$113</f>
        <v>51522.985902890985</v>
      </c>
      <c r="M113" s="64">
        <f ca="1">$J$113-EFEITO!$K$113*EFEITO!$Y$113</f>
        <v>0</v>
      </c>
      <c r="N113" s="64">
        <f ca="1">$K$113-EFEITO!$M$113*EFEITO!$Z$113</f>
        <v>0</v>
      </c>
      <c r="O113" s="64">
        <f>$L$113-EFEITO!$O$113*EFEITO!$AA$113</f>
        <v>0</v>
      </c>
      <c r="P113" s="19"/>
      <c r="Q113" s="19"/>
      <c r="R113" s="19"/>
      <c r="S113" s="19"/>
      <c r="T113" s="19"/>
      <c r="U113" s="19"/>
      <c r="V113" s="19"/>
      <c r="W113" s="19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55" t="s">
        <v>21</v>
      </c>
      <c r="B114" s="55" t="s">
        <v>39</v>
      </c>
      <c r="C114" s="55" t="s">
        <v>40</v>
      </c>
      <c r="D114" s="55" t="s">
        <v>38</v>
      </c>
      <c r="E114" s="55" t="s">
        <v>25</v>
      </c>
      <c r="F114" s="55" t="s">
        <v>25</v>
      </c>
      <c r="G114" s="55" t="s">
        <v>25</v>
      </c>
      <c r="H114" s="55" t="s">
        <v>34</v>
      </c>
      <c r="I114" s="63">
        <v>44440</v>
      </c>
      <c r="J114" s="64">
        <f ca="1">EFEITO!$J$114*EFEITO!$Y$114</f>
        <v>1440300.9117223523</v>
      </c>
      <c r="K114" s="64">
        <f ca="1">EFEITO!$L$114*EFEITO!$Z$114</f>
        <v>0</v>
      </c>
      <c r="L114" s="64">
        <f>EFEITO!$N$114*EFEITO!$AA$114</f>
        <v>0</v>
      </c>
      <c r="M114" s="64">
        <f ca="1">$J$114-EFEITO!$K$114*EFEITO!$Y$114</f>
        <v>0</v>
      </c>
      <c r="N114" s="64">
        <f ca="1">$K$114-EFEITO!$M$114*EFEITO!$Z$114</f>
        <v>0</v>
      </c>
      <c r="O114" s="64">
        <f>$L$114-EFEITO!$O$114*EFEITO!$AA$114</f>
        <v>0</v>
      </c>
      <c r="P114" s="19"/>
      <c r="Q114" s="19"/>
      <c r="R114" s="19"/>
      <c r="S114" s="19"/>
      <c r="T114" s="19"/>
      <c r="U114" s="19"/>
      <c r="V114" s="19"/>
      <c r="W114" s="19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55" t="s">
        <v>21</v>
      </c>
      <c r="B115" s="55" t="s">
        <v>39</v>
      </c>
      <c r="C115" s="55" t="s">
        <v>40</v>
      </c>
      <c r="D115" s="55" t="s">
        <v>38</v>
      </c>
      <c r="E115" s="55" t="s">
        <v>25</v>
      </c>
      <c r="F115" s="55" t="s">
        <v>25</v>
      </c>
      <c r="G115" s="55" t="s">
        <v>25</v>
      </c>
      <c r="H115" s="55" t="s">
        <v>34</v>
      </c>
      <c r="I115" s="63">
        <v>44470</v>
      </c>
      <c r="J115" s="64">
        <f ca="1">EFEITO!$J$115*EFEITO!$Y$115</f>
        <v>37254.857184786277</v>
      </c>
      <c r="K115" s="64">
        <f ca="1">EFEITO!$L$115*EFEITO!$Z$115</f>
        <v>1656.3113465506958</v>
      </c>
      <c r="L115" s="64">
        <f>EFEITO!$N$115*EFEITO!$AA$115</f>
        <v>10788.714960800724</v>
      </c>
      <c r="M115" s="64">
        <f ca="1">$J$115-EFEITO!$K$115*EFEITO!$Y$115</f>
        <v>0</v>
      </c>
      <c r="N115" s="64">
        <f ca="1">$K$115-EFEITO!$M$115*EFEITO!$Z$115</f>
        <v>0</v>
      </c>
      <c r="O115" s="64">
        <f>$L$115-EFEITO!$O$115*EFEITO!$AA$115</f>
        <v>0</v>
      </c>
      <c r="P115" s="19"/>
      <c r="Q115" s="19"/>
      <c r="R115" s="19"/>
      <c r="S115" s="19"/>
      <c r="T115" s="19"/>
      <c r="U115" s="19"/>
      <c r="V115" s="19"/>
      <c r="W115" s="19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55" t="s">
        <v>21</v>
      </c>
      <c r="B116" s="55" t="s">
        <v>39</v>
      </c>
      <c r="C116" s="55" t="s">
        <v>40</v>
      </c>
      <c r="D116" s="55" t="s">
        <v>38</v>
      </c>
      <c r="E116" s="55" t="s">
        <v>25</v>
      </c>
      <c r="F116" s="55" t="s">
        <v>25</v>
      </c>
      <c r="G116" s="55" t="s">
        <v>25</v>
      </c>
      <c r="H116" s="55" t="s">
        <v>34</v>
      </c>
      <c r="I116" s="63">
        <v>44470</v>
      </c>
      <c r="J116" s="64">
        <f ca="1">EFEITO!$J$116*EFEITO!$Y$116</f>
        <v>1448612.922192642</v>
      </c>
      <c r="K116" s="64">
        <f ca="1">EFEITO!$L$116*EFEITO!$Z$116</f>
        <v>0</v>
      </c>
      <c r="L116" s="64">
        <f>EFEITO!$N$116*EFEITO!$AA$116</f>
        <v>0</v>
      </c>
      <c r="M116" s="64">
        <f ca="1">$J$116-EFEITO!$K$116*EFEITO!$Y$116</f>
        <v>0</v>
      </c>
      <c r="N116" s="64">
        <f ca="1">$K$116-EFEITO!$M$116*EFEITO!$Z$116</f>
        <v>0</v>
      </c>
      <c r="O116" s="64">
        <f>$L$116-EFEITO!$O$116*EFEITO!$AA$116</f>
        <v>0</v>
      </c>
      <c r="P116" s="19"/>
      <c r="Q116" s="19"/>
      <c r="R116" s="19"/>
      <c r="S116" s="19"/>
      <c r="T116" s="19"/>
      <c r="U116" s="19"/>
      <c r="V116" s="19"/>
      <c r="W116" s="19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55" t="s">
        <v>21</v>
      </c>
      <c r="B117" s="55" t="s">
        <v>39</v>
      </c>
      <c r="C117" s="55" t="s">
        <v>40</v>
      </c>
      <c r="D117" s="55" t="s">
        <v>38</v>
      </c>
      <c r="E117" s="55" t="s">
        <v>25</v>
      </c>
      <c r="F117" s="55" t="s">
        <v>25</v>
      </c>
      <c r="G117" s="55" t="s">
        <v>25</v>
      </c>
      <c r="H117" s="55" t="s">
        <v>34</v>
      </c>
      <c r="I117" s="63">
        <v>44501</v>
      </c>
      <c r="J117" s="64">
        <f ca="1">EFEITO!$J$117*EFEITO!$Y$117</f>
        <v>37254.857184786277</v>
      </c>
      <c r="K117" s="64">
        <f ca="1">EFEITO!$L$117*EFEITO!$Z$117</f>
        <v>8875.2890700567732</v>
      </c>
      <c r="L117" s="64">
        <f>EFEITO!$N$117*EFEITO!$AA$117</f>
        <v>57810.969037288953</v>
      </c>
      <c r="M117" s="64">
        <f ca="1">$J$117-EFEITO!$K$117*EFEITO!$Y$117</f>
        <v>0</v>
      </c>
      <c r="N117" s="64">
        <f ca="1">$K$117-EFEITO!$M$117*EFEITO!$Z$117</f>
        <v>0</v>
      </c>
      <c r="O117" s="64">
        <f>$L$117-EFEITO!$O$117*EFEITO!$AA$117</f>
        <v>0</v>
      </c>
      <c r="P117" s="19"/>
      <c r="Q117" s="19"/>
      <c r="R117" s="19"/>
      <c r="S117" s="19"/>
      <c r="T117" s="19"/>
      <c r="U117" s="19"/>
      <c r="V117" s="19"/>
      <c r="W117" s="19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55" t="s">
        <v>21</v>
      </c>
      <c r="B118" s="55" t="s">
        <v>39</v>
      </c>
      <c r="C118" s="55" t="s">
        <v>40</v>
      </c>
      <c r="D118" s="55" t="s">
        <v>38</v>
      </c>
      <c r="E118" s="55" t="s">
        <v>25</v>
      </c>
      <c r="F118" s="55" t="s">
        <v>25</v>
      </c>
      <c r="G118" s="55" t="s">
        <v>25</v>
      </c>
      <c r="H118" s="55" t="s">
        <v>34</v>
      </c>
      <c r="I118" s="63">
        <v>44501</v>
      </c>
      <c r="J118" s="64">
        <f ca="1">EFEITO!$J$118*EFEITO!$Y$118</f>
        <v>1452300.044785873</v>
      </c>
      <c r="K118" s="64">
        <f ca="1">EFEITO!$L$118*EFEITO!$Z$118</f>
        <v>0</v>
      </c>
      <c r="L118" s="64">
        <f>EFEITO!$N$118*EFEITO!$AA$118</f>
        <v>0</v>
      </c>
      <c r="M118" s="64">
        <f ca="1">$J$118-EFEITO!$K$118*EFEITO!$Y$118</f>
        <v>0</v>
      </c>
      <c r="N118" s="64">
        <f ca="1">$K$118-EFEITO!$M$118*EFEITO!$Z$118</f>
        <v>0</v>
      </c>
      <c r="O118" s="64">
        <f>$L$118-EFEITO!$O$118*EFEITO!$AA$118</f>
        <v>0</v>
      </c>
      <c r="P118" s="19"/>
      <c r="Q118" s="19"/>
      <c r="R118" s="19"/>
      <c r="S118" s="19"/>
      <c r="T118" s="19"/>
      <c r="U118" s="19"/>
      <c r="V118" s="19"/>
      <c r="W118" s="19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55" t="s">
        <v>21</v>
      </c>
      <c r="B119" s="55" t="s">
        <v>39</v>
      </c>
      <c r="C119" s="55" t="s">
        <v>40</v>
      </c>
      <c r="D119" s="55" t="s">
        <v>38</v>
      </c>
      <c r="E119" s="55" t="s">
        <v>25</v>
      </c>
      <c r="F119" s="55" t="s">
        <v>25</v>
      </c>
      <c r="G119" s="55" t="s">
        <v>25</v>
      </c>
      <c r="H119" s="55" t="s">
        <v>34</v>
      </c>
      <c r="I119" s="63">
        <v>44531</v>
      </c>
      <c r="J119" s="64">
        <f ca="1">EFEITO!$J$119*EFEITO!$Y$119</f>
        <v>36892.538779671078</v>
      </c>
      <c r="K119" s="64">
        <f ca="1">EFEITO!$L$119*EFEITO!$Z$119</f>
        <v>2965.2878930767356</v>
      </c>
      <c r="L119" s="64">
        <f>EFEITO!$N$119*EFEITO!$AA$119</f>
        <v>19314.995288622231</v>
      </c>
      <c r="M119" s="64">
        <f ca="1">$J$119-EFEITO!$K$119*EFEITO!$Y$119</f>
        <v>0</v>
      </c>
      <c r="N119" s="64">
        <f ca="1">$K$119-EFEITO!$M$119*EFEITO!$Z$119</f>
        <v>0</v>
      </c>
      <c r="O119" s="64">
        <f>$L$119-EFEITO!$O$119*EFEITO!$AA$119</f>
        <v>0</v>
      </c>
      <c r="P119" s="19"/>
      <c r="Q119" s="19"/>
      <c r="R119" s="19"/>
      <c r="S119" s="19"/>
      <c r="T119" s="19"/>
      <c r="U119" s="19"/>
      <c r="V119" s="19"/>
      <c r="W119" s="19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55" t="s">
        <v>21</v>
      </c>
      <c r="B120" s="55" t="s">
        <v>39</v>
      </c>
      <c r="C120" s="55" t="s">
        <v>40</v>
      </c>
      <c r="D120" s="55" t="s">
        <v>38</v>
      </c>
      <c r="E120" s="55" t="s">
        <v>25</v>
      </c>
      <c r="F120" s="55" t="s">
        <v>25</v>
      </c>
      <c r="G120" s="55" t="s">
        <v>25</v>
      </c>
      <c r="H120" s="55" t="s">
        <v>34</v>
      </c>
      <c r="I120" s="63">
        <v>44531</v>
      </c>
      <c r="J120" s="64">
        <f ca="1">EFEITO!$J$120*EFEITO!$Y$120</f>
        <v>1484034.8745044926</v>
      </c>
      <c r="K120" s="64">
        <f ca="1">EFEITO!$L$120*EFEITO!$Z$120</f>
        <v>0</v>
      </c>
      <c r="L120" s="64">
        <f>EFEITO!$N$120*EFEITO!$AA$120</f>
        <v>0</v>
      </c>
      <c r="M120" s="64">
        <f ca="1">$J$120-EFEITO!$K$120*EFEITO!$Y$120</f>
        <v>0</v>
      </c>
      <c r="N120" s="64">
        <f ca="1">$K$120-EFEITO!$M$120*EFEITO!$Z$120</f>
        <v>0</v>
      </c>
      <c r="O120" s="64">
        <f>$L$120-EFEITO!$O$120*EFEITO!$AA$120</f>
        <v>0</v>
      </c>
      <c r="P120" s="19"/>
      <c r="Q120" s="19"/>
      <c r="R120" s="19"/>
      <c r="S120" s="19"/>
      <c r="T120" s="19"/>
      <c r="U120" s="19"/>
      <c r="V120" s="19"/>
      <c r="W120" s="19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55" t="s">
        <v>21</v>
      </c>
      <c r="B121" s="55" t="s">
        <v>39</v>
      </c>
      <c r="C121" s="55" t="s">
        <v>40</v>
      </c>
      <c r="D121" s="55" t="s">
        <v>38</v>
      </c>
      <c r="E121" s="55" t="s">
        <v>25</v>
      </c>
      <c r="F121" s="55" t="s">
        <v>25</v>
      </c>
      <c r="G121" s="55" t="s">
        <v>25</v>
      </c>
      <c r="H121" s="55" t="s">
        <v>34</v>
      </c>
      <c r="I121" s="63">
        <v>44562</v>
      </c>
      <c r="J121" s="64">
        <f ca="1">EFEITO!$J$121*EFEITO!$Y$121</f>
        <v>53580.498262329915</v>
      </c>
      <c r="K121" s="64">
        <f ca="1">EFEITO!$L$121*EFEITO!$Z$121</f>
        <v>4348.2113548309544</v>
      </c>
      <c r="L121" s="64">
        <f>EFEITO!$N$121*EFEITO!$AA$121</f>
        <v>28322.943626681514</v>
      </c>
      <c r="M121" s="64">
        <f ca="1">$J$121-EFEITO!$K$121*EFEITO!$Y$121</f>
        <v>0</v>
      </c>
      <c r="N121" s="64">
        <f ca="1">$K$121-EFEITO!$M$121*EFEITO!$Z$121</f>
        <v>0</v>
      </c>
      <c r="O121" s="64">
        <f>$L$121-EFEITO!$O$121*EFEITO!$AA$121</f>
        <v>0</v>
      </c>
      <c r="P121" s="19"/>
      <c r="Q121" s="19"/>
      <c r="R121" s="19"/>
      <c r="S121" s="19"/>
      <c r="T121" s="19"/>
      <c r="U121" s="19"/>
      <c r="V121" s="19"/>
      <c r="W121" s="19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55" t="s">
        <v>27</v>
      </c>
      <c r="B122" s="55" t="s">
        <v>39</v>
      </c>
      <c r="C122" s="55" t="s">
        <v>40</v>
      </c>
      <c r="D122" s="55" t="s">
        <v>38</v>
      </c>
      <c r="E122" s="55" t="s">
        <v>25</v>
      </c>
      <c r="F122" s="55" t="s">
        <v>25</v>
      </c>
      <c r="G122" s="55" t="s">
        <v>25</v>
      </c>
      <c r="H122" s="55" t="s">
        <v>34</v>
      </c>
      <c r="I122" s="63">
        <v>44562</v>
      </c>
      <c r="J122" s="64">
        <f ca="1">EFEITO!$J$122*EFEITO!$Y$122</f>
        <v>0</v>
      </c>
      <c r="K122" s="64">
        <f ca="1">EFEITO!$L$122*EFEITO!$Z$122</f>
        <v>53.870078857327201</v>
      </c>
      <c r="L122" s="64">
        <f>EFEITO!$N$122*EFEITO!$AA$122</f>
        <v>350.8935242869037</v>
      </c>
      <c r="M122" s="64">
        <f ca="1">$J$122-EFEITO!$K$122*EFEITO!$Y$122</f>
        <v>0</v>
      </c>
      <c r="N122" s="64">
        <f ca="1">$K$122-EFEITO!$M$122*EFEITO!$Z$122</f>
        <v>0</v>
      </c>
      <c r="O122" s="64">
        <f>$L$122-EFEITO!$O$122*EFEITO!$AA$122</f>
        <v>0</v>
      </c>
      <c r="P122" s="19"/>
      <c r="Q122" s="19"/>
      <c r="R122" s="19"/>
      <c r="S122" s="19"/>
      <c r="T122" s="19"/>
      <c r="U122" s="19"/>
      <c r="V122" s="19"/>
      <c r="W122" s="19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55" t="s">
        <v>21</v>
      </c>
      <c r="B123" s="55" t="s">
        <v>39</v>
      </c>
      <c r="C123" s="55" t="s">
        <v>40</v>
      </c>
      <c r="D123" s="55" t="s">
        <v>38</v>
      </c>
      <c r="E123" s="55" t="s">
        <v>25</v>
      </c>
      <c r="F123" s="55" t="s">
        <v>25</v>
      </c>
      <c r="G123" s="55" t="s">
        <v>25</v>
      </c>
      <c r="H123" s="55" t="s">
        <v>34</v>
      </c>
      <c r="I123" s="63">
        <v>44562</v>
      </c>
      <c r="J123" s="64">
        <f ca="1">EFEITO!$J$123*EFEITO!$Y$123</f>
        <v>1439640.2134542009</v>
      </c>
      <c r="K123" s="64">
        <f ca="1">EFEITO!$L$123*EFEITO!$Z$123</f>
        <v>0</v>
      </c>
      <c r="L123" s="64">
        <f>EFEITO!$N$123*EFEITO!$AA$123</f>
        <v>0</v>
      </c>
      <c r="M123" s="64">
        <f ca="1">$J$123-EFEITO!$K$123*EFEITO!$Y$123</f>
        <v>0</v>
      </c>
      <c r="N123" s="64">
        <f ca="1">$K$123-EFEITO!$M$123*EFEITO!$Z$123</f>
        <v>0</v>
      </c>
      <c r="O123" s="64">
        <f>$L$123-EFEITO!$O$123*EFEITO!$AA$123</f>
        <v>0</v>
      </c>
      <c r="P123" s="19"/>
      <c r="Q123" s="19"/>
      <c r="R123" s="19"/>
      <c r="S123" s="19"/>
      <c r="T123" s="19"/>
      <c r="U123" s="19"/>
      <c r="V123" s="19"/>
      <c r="W123" s="19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55" t="s">
        <v>21</v>
      </c>
      <c r="B124" s="55" t="s">
        <v>39</v>
      </c>
      <c r="C124" s="55" t="s">
        <v>40</v>
      </c>
      <c r="D124" s="55" t="s">
        <v>38</v>
      </c>
      <c r="E124" s="55" t="s">
        <v>25</v>
      </c>
      <c r="F124" s="55" t="s">
        <v>25</v>
      </c>
      <c r="G124" s="55" t="s">
        <v>25</v>
      </c>
      <c r="H124" s="55" t="s">
        <v>34</v>
      </c>
      <c r="I124" s="63">
        <v>44593</v>
      </c>
      <c r="J124" s="64">
        <f ca="1">EFEITO!$J$124*EFEITO!$Y$124</f>
        <v>47421.085375371542</v>
      </c>
      <c r="K124" s="64">
        <f ca="1">EFEITO!$L$124*EFEITO!$Z$124</f>
        <v>4104.7451462786403</v>
      </c>
      <c r="L124" s="64">
        <f>EFEITO!$N$124*EFEITO!$AA$124</f>
        <v>26737.077821844807</v>
      </c>
      <c r="M124" s="64">
        <f ca="1">$J$124-EFEITO!$K$124*EFEITO!$Y$124</f>
        <v>0</v>
      </c>
      <c r="N124" s="64">
        <f ca="1">$K$124-EFEITO!$M$124*EFEITO!$Z$124</f>
        <v>0</v>
      </c>
      <c r="O124" s="64">
        <f>$L$124-EFEITO!$O$124*EFEITO!$AA$124</f>
        <v>0</v>
      </c>
      <c r="P124" s="19"/>
      <c r="Q124" s="19"/>
      <c r="R124" s="19"/>
      <c r="S124" s="19"/>
      <c r="T124" s="19"/>
      <c r="U124" s="19"/>
      <c r="V124" s="19"/>
      <c r="W124" s="19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55" t="s">
        <v>21</v>
      </c>
      <c r="B125" s="55" t="s">
        <v>39</v>
      </c>
      <c r="C125" s="55" t="s">
        <v>40</v>
      </c>
      <c r="D125" s="55" t="s">
        <v>38</v>
      </c>
      <c r="E125" s="55" t="s">
        <v>25</v>
      </c>
      <c r="F125" s="55" t="s">
        <v>25</v>
      </c>
      <c r="G125" s="55" t="s">
        <v>25</v>
      </c>
      <c r="H125" s="55" t="s">
        <v>34</v>
      </c>
      <c r="I125" s="63">
        <v>44593</v>
      </c>
      <c r="J125" s="64">
        <f ca="1">EFEITO!$J$125*EFEITO!$Y$125</f>
        <v>1435271.0797454589</v>
      </c>
      <c r="K125" s="64">
        <f ca="1">EFEITO!$L$125*EFEITO!$Z$125</f>
        <v>0</v>
      </c>
      <c r="L125" s="64">
        <f>EFEITO!$N$125*EFEITO!$AA$125</f>
        <v>0</v>
      </c>
      <c r="M125" s="64">
        <f ca="1">$J$125-EFEITO!$K$125*EFEITO!$Y$125</f>
        <v>0</v>
      </c>
      <c r="N125" s="64">
        <f ca="1">$K$125-EFEITO!$M$125*EFEITO!$Z$125</f>
        <v>0</v>
      </c>
      <c r="O125" s="64">
        <f>$L$125-EFEITO!$O$125*EFEITO!$AA$125</f>
        <v>0</v>
      </c>
      <c r="P125" s="19"/>
      <c r="Q125" s="19"/>
      <c r="R125" s="19"/>
      <c r="S125" s="19"/>
      <c r="T125" s="19"/>
      <c r="U125" s="19"/>
      <c r="V125" s="19"/>
      <c r="W125" s="19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55" t="s">
        <v>21</v>
      </c>
      <c r="B126" s="55" t="s">
        <v>39</v>
      </c>
      <c r="C126" s="55" t="s">
        <v>40</v>
      </c>
      <c r="D126" s="55" t="s">
        <v>38</v>
      </c>
      <c r="E126" s="55" t="s">
        <v>25</v>
      </c>
      <c r="F126" s="55" t="s">
        <v>25</v>
      </c>
      <c r="G126" s="55" t="s">
        <v>25</v>
      </c>
      <c r="H126" s="55" t="s">
        <v>34</v>
      </c>
      <c r="I126" s="63">
        <v>44621</v>
      </c>
      <c r="J126" s="64">
        <f ca="1">EFEITO!$J$126*EFEITO!$Y$126</f>
        <v>39087.762057721986</v>
      </c>
      <c r="K126" s="64">
        <f ca="1">EFEITO!$L$126*EFEITO!$Z$126</f>
        <v>3447.906279225645</v>
      </c>
      <c r="L126" s="64">
        <f>EFEITO!$N$126*EFEITO!$AA$126</f>
        <v>22458.626595529342</v>
      </c>
      <c r="M126" s="64">
        <f ca="1">$J$126-EFEITO!$K$126*EFEITO!$Y$126</f>
        <v>0</v>
      </c>
      <c r="N126" s="64">
        <f ca="1">$K$126-EFEITO!$M$126*EFEITO!$Z$126</f>
        <v>0</v>
      </c>
      <c r="O126" s="64">
        <f>$L$126-EFEITO!$O$126*EFEITO!$AA$126</f>
        <v>0</v>
      </c>
      <c r="P126" s="19"/>
      <c r="Q126" s="19"/>
      <c r="R126" s="19"/>
      <c r="S126" s="19"/>
      <c r="T126" s="19"/>
      <c r="U126" s="19"/>
      <c r="V126" s="19"/>
      <c r="W126" s="19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55" t="s">
        <v>21</v>
      </c>
      <c r="B127" s="55" t="s">
        <v>39</v>
      </c>
      <c r="C127" s="55" t="s">
        <v>40</v>
      </c>
      <c r="D127" s="55" t="s">
        <v>38</v>
      </c>
      <c r="E127" s="55" t="s">
        <v>25</v>
      </c>
      <c r="F127" s="55" t="s">
        <v>25</v>
      </c>
      <c r="G127" s="55" t="s">
        <v>25</v>
      </c>
      <c r="H127" s="55" t="s">
        <v>34</v>
      </c>
      <c r="I127" s="63">
        <v>44621</v>
      </c>
      <c r="J127" s="64">
        <f ca="1">EFEITO!$J$127*EFEITO!$Y$127</f>
        <v>1430646.1918684002</v>
      </c>
      <c r="K127" s="64">
        <f ca="1">EFEITO!$L$127*EFEITO!$Z$127</f>
        <v>0</v>
      </c>
      <c r="L127" s="64">
        <f>EFEITO!$N$127*EFEITO!$AA$127</f>
        <v>0</v>
      </c>
      <c r="M127" s="64">
        <f ca="1">$J$127-EFEITO!$K$127*EFEITO!$Y$127</f>
        <v>0</v>
      </c>
      <c r="N127" s="64">
        <f ca="1">$K$127-EFEITO!$M$127*EFEITO!$Z$127</f>
        <v>0</v>
      </c>
      <c r="O127" s="64">
        <f>$L$127-EFEITO!$O$127*EFEITO!$AA$127</f>
        <v>0</v>
      </c>
      <c r="P127" s="19"/>
      <c r="Q127" s="19"/>
      <c r="R127" s="19"/>
      <c r="S127" s="19"/>
      <c r="T127" s="19"/>
      <c r="U127" s="19"/>
      <c r="V127" s="19"/>
      <c r="W127" s="19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55" t="s">
        <v>21</v>
      </c>
      <c r="B128" s="55" t="s">
        <v>39</v>
      </c>
      <c r="C128" s="55" t="s">
        <v>40</v>
      </c>
      <c r="D128" s="55" t="s">
        <v>38</v>
      </c>
      <c r="E128" s="55" t="s">
        <v>25</v>
      </c>
      <c r="F128" s="55" t="s">
        <v>25</v>
      </c>
      <c r="G128" s="55" t="s">
        <v>25</v>
      </c>
      <c r="H128" s="55" t="s">
        <v>34</v>
      </c>
      <c r="I128" s="63">
        <v>44652</v>
      </c>
      <c r="J128" s="64">
        <f ca="1">EFEITO!$J$128*EFEITO!$Y$128</f>
        <v>38320.499552772148</v>
      </c>
      <c r="K128" s="64">
        <f ca="1">EFEITO!$L$128*EFEITO!$Z$128</f>
        <v>4636.0899589915171</v>
      </c>
      <c r="L128" s="64">
        <f>EFEITO!$N$128*EFEITO!$AA$128</f>
        <v>30198.098445894382</v>
      </c>
      <c r="M128" s="64">
        <f ca="1">$J$128-EFEITO!$K$128*EFEITO!$Y$128</f>
        <v>0</v>
      </c>
      <c r="N128" s="64">
        <f ca="1">$K$128-EFEITO!$M$128*EFEITO!$Z$128</f>
        <v>0</v>
      </c>
      <c r="O128" s="64">
        <f>$L$128-EFEITO!$O$128*EFEITO!$AA$128</f>
        <v>0</v>
      </c>
      <c r="P128" s="19"/>
      <c r="Q128" s="19"/>
      <c r="R128" s="19"/>
      <c r="S128" s="19"/>
      <c r="T128" s="19"/>
      <c r="U128" s="19"/>
      <c r="V128" s="19"/>
      <c r="W128" s="19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55" t="s">
        <v>21</v>
      </c>
      <c r="B129" s="55" t="s">
        <v>39</v>
      </c>
      <c r="C129" s="55" t="s">
        <v>40</v>
      </c>
      <c r="D129" s="55" t="s">
        <v>38</v>
      </c>
      <c r="E129" s="55" t="s">
        <v>25</v>
      </c>
      <c r="F129" s="55" t="s">
        <v>25</v>
      </c>
      <c r="G129" s="55" t="s">
        <v>25</v>
      </c>
      <c r="H129" s="55" t="s">
        <v>34</v>
      </c>
      <c r="I129" s="63">
        <v>44652</v>
      </c>
      <c r="J129" s="64">
        <f ca="1">EFEITO!$J$129*EFEITO!$Y$129</f>
        <v>1444179.8499418208</v>
      </c>
      <c r="K129" s="64">
        <f ca="1">EFEITO!$L$129*EFEITO!$Z$129</f>
        <v>0</v>
      </c>
      <c r="L129" s="64">
        <f>EFEITO!$N$129*EFEITO!$AA$129</f>
        <v>0</v>
      </c>
      <c r="M129" s="64">
        <f ca="1">$J$129-EFEITO!$K$129*EFEITO!$Y$129</f>
        <v>0</v>
      </c>
      <c r="N129" s="64">
        <f ca="1">$K$129-EFEITO!$M$129*EFEITO!$Z$129</f>
        <v>0</v>
      </c>
      <c r="O129" s="64">
        <f>$L$129-EFEITO!$O$129*EFEITO!$AA$129</f>
        <v>0</v>
      </c>
      <c r="P129" s="19"/>
      <c r="Q129" s="19"/>
      <c r="R129" s="19"/>
      <c r="S129" s="19"/>
      <c r="T129" s="19"/>
      <c r="U129" s="19"/>
      <c r="V129" s="19"/>
      <c r="W129" s="19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55" t="s">
        <v>21</v>
      </c>
      <c r="B130" s="55" t="s">
        <v>39</v>
      </c>
      <c r="C130" s="55" t="s">
        <v>40</v>
      </c>
      <c r="D130" s="55" t="s">
        <v>38</v>
      </c>
      <c r="E130" s="55" t="s">
        <v>25</v>
      </c>
      <c r="F130" s="55" t="s">
        <v>25</v>
      </c>
      <c r="G130" s="55" t="s">
        <v>25</v>
      </c>
      <c r="H130" s="55" t="s">
        <v>34</v>
      </c>
      <c r="I130" s="63">
        <v>44682</v>
      </c>
      <c r="J130" s="64">
        <f ca="1">EFEITO!$J$130*EFEITO!$Y$130</f>
        <v>55946.224319258567</v>
      </c>
      <c r="K130" s="64">
        <f ca="1">EFEITO!$L$130*EFEITO!$Z$130</f>
        <v>4694.4399930720929</v>
      </c>
      <c r="L130" s="64">
        <f>EFEITO!$N$130*EFEITO!$AA$130</f>
        <v>30578.173053823215</v>
      </c>
      <c r="M130" s="64">
        <f ca="1">$J$130-EFEITO!$K$130*EFEITO!$Y$130</f>
        <v>0</v>
      </c>
      <c r="N130" s="64">
        <f ca="1">$K$130-EFEITO!$M$130*EFEITO!$Z$130</f>
        <v>0</v>
      </c>
      <c r="O130" s="64">
        <f>$L$130-EFEITO!$O$130*EFEITO!$AA$130</f>
        <v>0</v>
      </c>
      <c r="P130" s="19"/>
      <c r="Q130" s="19"/>
      <c r="R130" s="19"/>
      <c r="S130" s="19"/>
      <c r="T130" s="19"/>
      <c r="U130" s="19"/>
      <c r="V130" s="19"/>
      <c r="W130" s="19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55" t="s">
        <v>21</v>
      </c>
      <c r="B131" s="55" t="s">
        <v>39</v>
      </c>
      <c r="C131" s="55" t="s">
        <v>40</v>
      </c>
      <c r="D131" s="55" t="s">
        <v>38</v>
      </c>
      <c r="E131" s="55" t="s">
        <v>25</v>
      </c>
      <c r="F131" s="55" t="s">
        <v>25</v>
      </c>
      <c r="G131" s="55" t="s">
        <v>25</v>
      </c>
      <c r="H131" s="55" t="s">
        <v>34</v>
      </c>
      <c r="I131" s="63">
        <v>44682</v>
      </c>
      <c r="J131" s="64">
        <f ca="1">EFEITO!$J$131*EFEITO!$Y$131</f>
        <v>1443242.0846579932</v>
      </c>
      <c r="K131" s="64">
        <f ca="1">EFEITO!$L$131*EFEITO!$Z$131</f>
        <v>0</v>
      </c>
      <c r="L131" s="64">
        <f>EFEITO!$N$131*EFEITO!$AA$131</f>
        <v>0</v>
      </c>
      <c r="M131" s="64">
        <f ca="1">$J$131-EFEITO!$K$131*EFEITO!$Y$131</f>
        <v>0</v>
      </c>
      <c r="N131" s="64">
        <f ca="1">$K$131-EFEITO!$M$131*EFEITO!$Z$131</f>
        <v>0</v>
      </c>
      <c r="O131" s="64">
        <f>$L$131-EFEITO!$O$131*EFEITO!$AA$131</f>
        <v>0</v>
      </c>
      <c r="P131" s="19"/>
      <c r="Q131" s="19"/>
      <c r="R131" s="19"/>
      <c r="S131" s="19"/>
      <c r="T131" s="19"/>
      <c r="U131" s="19"/>
      <c r="V131" s="19"/>
      <c r="W131" s="19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55" t="s">
        <v>21</v>
      </c>
      <c r="B132" s="55" t="s">
        <v>39</v>
      </c>
      <c r="C132" s="55" t="s">
        <v>40</v>
      </c>
      <c r="D132" s="55" t="s">
        <v>38</v>
      </c>
      <c r="E132" s="55" t="s">
        <v>25</v>
      </c>
      <c r="F132" s="55" t="s">
        <v>25</v>
      </c>
      <c r="G132" s="55" t="s">
        <v>25</v>
      </c>
      <c r="H132" s="55" t="s">
        <v>34</v>
      </c>
      <c r="I132" s="63">
        <v>44713</v>
      </c>
      <c r="J132" s="64">
        <f ca="1">EFEITO!$J$132*EFEITO!$Y$132</f>
        <v>48891.671843192053</v>
      </c>
      <c r="K132" s="64">
        <f ca="1">EFEITO!$L$132*EFEITO!$Z$132</f>
        <v>6195.5568413952114</v>
      </c>
      <c r="L132" s="64">
        <f>EFEITO!$N$132*EFEITO!$AA$132</f>
        <v>40355.997635620806</v>
      </c>
      <c r="M132" s="64">
        <f ca="1">$J$132-EFEITO!$K$132*EFEITO!$Y$132</f>
        <v>0</v>
      </c>
      <c r="N132" s="64">
        <f ca="1">$K$132-EFEITO!$M$132*EFEITO!$Z$132</f>
        <v>0</v>
      </c>
      <c r="O132" s="64">
        <f>$L$132-EFEITO!$O$132*EFEITO!$AA$132</f>
        <v>0</v>
      </c>
      <c r="P132" s="19"/>
      <c r="Q132" s="19"/>
      <c r="R132" s="19"/>
      <c r="S132" s="19"/>
      <c r="T132" s="19"/>
      <c r="U132" s="19"/>
      <c r="V132" s="19"/>
      <c r="W132" s="19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55" t="s">
        <v>21</v>
      </c>
      <c r="B133" s="55" t="s">
        <v>39</v>
      </c>
      <c r="C133" s="55" t="s">
        <v>40</v>
      </c>
      <c r="D133" s="55" t="s">
        <v>38</v>
      </c>
      <c r="E133" s="55" t="s">
        <v>25</v>
      </c>
      <c r="F133" s="55" t="s">
        <v>25</v>
      </c>
      <c r="G133" s="55" t="s">
        <v>25</v>
      </c>
      <c r="H133" s="55" t="s">
        <v>34</v>
      </c>
      <c r="I133" s="63">
        <v>44713</v>
      </c>
      <c r="J133" s="64">
        <f ca="1">EFEITO!$J$133*EFEITO!$Y$133</f>
        <v>1445032.3638362095</v>
      </c>
      <c r="K133" s="64">
        <f ca="1">EFEITO!$L$133*EFEITO!$Z$133</f>
        <v>0</v>
      </c>
      <c r="L133" s="64">
        <f>EFEITO!$N$133*EFEITO!$AA$133</f>
        <v>0</v>
      </c>
      <c r="M133" s="64">
        <f ca="1">$J$133-EFEITO!$K$133*EFEITO!$Y$133</f>
        <v>0</v>
      </c>
      <c r="N133" s="64">
        <f ca="1">$K$133-EFEITO!$M$133*EFEITO!$Z$133</f>
        <v>0</v>
      </c>
      <c r="O133" s="64">
        <f>$L$133-EFEITO!$O$133*EFEITO!$AA$133</f>
        <v>0</v>
      </c>
      <c r="P133" s="19"/>
      <c r="Q133" s="19"/>
      <c r="R133" s="19"/>
      <c r="S133" s="19"/>
      <c r="T133" s="19"/>
      <c r="U133" s="19"/>
      <c r="V133" s="19"/>
      <c r="W133" s="19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55" t="s">
        <v>57</v>
      </c>
      <c r="B134" s="55" t="s">
        <v>39</v>
      </c>
      <c r="C134" s="55" t="s">
        <v>40</v>
      </c>
      <c r="D134" s="55" t="s">
        <v>38</v>
      </c>
      <c r="E134" s="55" t="s">
        <v>25</v>
      </c>
      <c r="F134" s="55" t="s">
        <v>25</v>
      </c>
      <c r="G134" s="55" t="s">
        <v>25</v>
      </c>
      <c r="H134" s="55" t="s">
        <v>34</v>
      </c>
      <c r="I134" s="63">
        <v>44743</v>
      </c>
      <c r="J134" s="64">
        <f ca="1">EFEITO!$J$134*EFEITO!$Y$134</f>
        <v>48891.671843192053</v>
      </c>
      <c r="K134" s="64">
        <f ca="1">EFEITO!$L$134*EFEITO!$Z$134</f>
        <v>6195.5568413952114</v>
      </c>
      <c r="L134" s="64">
        <f>EFEITO!$N$134*EFEITO!$AA$134</f>
        <v>40355.997635620806</v>
      </c>
      <c r="M134" s="64">
        <f ca="1">$J$134-EFEITO!$K$134*EFEITO!$Y$134</f>
        <v>0</v>
      </c>
      <c r="N134" s="64">
        <f ca="1">$K$134-EFEITO!$M$134*EFEITO!$Z$134</f>
        <v>0</v>
      </c>
      <c r="O134" s="64">
        <f>$L$134-EFEITO!$O$134*EFEITO!$AA$134</f>
        <v>0</v>
      </c>
      <c r="P134" s="19"/>
      <c r="Q134" s="19"/>
      <c r="R134" s="19"/>
      <c r="S134" s="19"/>
      <c r="T134" s="19"/>
      <c r="U134" s="19"/>
      <c r="V134" s="19"/>
      <c r="W134" s="19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55" t="s">
        <v>57</v>
      </c>
      <c r="B135" s="55" t="s">
        <v>39</v>
      </c>
      <c r="C135" s="55" t="s">
        <v>40</v>
      </c>
      <c r="D135" s="55" t="s">
        <v>38</v>
      </c>
      <c r="E135" s="55" t="s">
        <v>25</v>
      </c>
      <c r="F135" s="55" t="s">
        <v>25</v>
      </c>
      <c r="G135" s="55" t="s">
        <v>25</v>
      </c>
      <c r="H135" s="55" t="s">
        <v>34</v>
      </c>
      <c r="I135" s="63">
        <v>44743</v>
      </c>
      <c r="J135" s="64">
        <f ca="1">EFEITO!$J$135*EFEITO!$Y$135</f>
        <v>1445032.3638362095</v>
      </c>
      <c r="K135" s="64">
        <f ca="1">EFEITO!$L$135*EFEITO!$Z$135</f>
        <v>0</v>
      </c>
      <c r="L135" s="64">
        <f>EFEITO!$N$135*EFEITO!$AA$135</f>
        <v>0</v>
      </c>
      <c r="M135" s="64">
        <f ca="1">$J$135-EFEITO!$K$135*EFEITO!$Y$135</f>
        <v>0</v>
      </c>
      <c r="N135" s="64">
        <f ca="1">$K$135-EFEITO!$M$135*EFEITO!$Z$135</f>
        <v>0</v>
      </c>
      <c r="O135" s="64">
        <f>$L$135-EFEITO!$O$135*EFEITO!$AA$135</f>
        <v>0</v>
      </c>
      <c r="P135" s="19"/>
      <c r="Q135" s="19"/>
      <c r="R135" s="19"/>
      <c r="S135" s="19"/>
      <c r="T135" s="19"/>
      <c r="U135" s="19"/>
      <c r="V135" s="19"/>
      <c r="W135" s="19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55" t="s">
        <v>21</v>
      </c>
      <c r="B136" s="55" t="s">
        <v>39</v>
      </c>
      <c r="C136" s="55" t="s">
        <v>40</v>
      </c>
      <c r="D136" s="55" t="s">
        <v>45</v>
      </c>
      <c r="E136" s="55" t="s">
        <v>25</v>
      </c>
      <c r="F136" s="55" t="s">
        <v>25</v>
      </c>
      <c r="G136" s="55" t="s">
        <v>25</v>
      </c>
      <c r="H136" s="55" t="s">
        <v>35</v>
      </c>
      <c r="I136" s="63">
        <v>44409</v>
      </c>
      <c r="J136" s="64">
        <f ca="1">EFEITO!$J$136*EFEITO!$Y$97</f>
        <v>15095.594355632345</v>
      </c>
      <c r="K136" s="64">
        <f ca="1">EFEITO!$L$136*EFEITO!$Z$97</f>
        <v>26133.072135613042</v>
      </c>
      <c r="L136" s="64">
        <f>EFEITO!$N$136*EFEITO!$AA$97</f>
        <v>109507.81614096952</v>
      </c>
      <c r="M136" s="64">
        <f ca="1">$J$136-EFEITO!$K$136*EFEITO!$Y$136</f>
        <v>301.91188711264658</v>
      </c>
      <c r="N136" s="64">
        <f ca="1">$K$136-EFEITO!$M$136*EFEITO!$Z$136</f>
        <v>522.66144271225858</v>
      </c>
      <c r="O136" s="64">
        <f>$L$136-EFEITO!$O$136*EFEITO!$AA$136</f>
        <v>2190.1563228193991</v>
      </c>
      <c r="P136" s="19"/>
      <c r="Q136" s="19"/>
      <c r="R136" s="19"/>
      <c r="S136" s="19"/>
      <c r="T136" s="19"/>
      <c r="U136" s="19"/>
      <c r="V136" s="19"/>
      <c r="W136" s="19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55" t="s">
        <v>21</v>
      </c>
      <c r="B137" s="55" t="s">
        <v>39</v>
      </c>
      <c r="C137" s="55" t="s">
        <v>40</v>
      </c>
      <c r="D137" s="55" t="s">
        <v>45</v>
      </c>
      <c r="E137" s="55" t="s">
        <v>25</v>
      </c>
      <c r="F137" s="55" t="s">
        <v>25</v>
      </c>
      <c r="G137" s="55" t="s">
        <v>25</v>
      </c>
      <c r="H137" s="55" t="s">
        <v>35</v>
      </c>
      <c r="I137" s="63">
        <v>44440</v>
      </c>
      <c r="J137" s="64">
        <f ca="1">EFEITO!$J$137*EFEITO!$Y$97</f>
        <v>15482.660877571638</v>
      </c>
      <c r="K137" s="64">
        <f ca="1">EFEITO!$L$137*EFEITO!$Z$97</f>
        <v>34263.361244470434</v>
      </c>
      <c r="L137" s="64">
        <f>EFEITO!$N$137*EFEITO!$AA$97</f>
        <v>143576.91449593782</v>
      </c>
      <c r="M137" s="64">
        <f ca="1">$J$137-EFEITO!$K$137*EFEITO!$Y$137</f>
        <v>309.65321755143304</v>
      </c>
      <c r="N137" s="64">
        <f ca="1">$K$137-EFEITO!$M$137*EFEITO!$Z$137</f>
        <v>685.26722488940868</v>
      </c>
      <c r="O137" s="64">
        <f>$L$137-EFEITO!$O$137*EFEITO!$AA$137</f>
        <v>2871.538289918768</v>
      </c>
      <c r="P137" s="19"/>
      <c r="Q137" s="19"/>
      <c r="R137" s="19"/>
      <c r="S137" s="19"/>
      <c r="T137" s="19"/>
      <c r="U137" s="19"/>
      <c r="V137" s="19"/>
      <c r="W137" s="19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55" t="s">
        <v>21</v>
      </c>
      <c r="B138" s="55" t="s">
        <v>39</v>
      </c>
      <c r="C138" s="55" t="s">
        <v>40</v>
      </c>
      <c r="D138" s="55" t="s">
        <v>45</v>
      </c>
      <c r="E138" s="55" t="s">
        <v>25</v>
      </c>
      <c r="F138" s="55" t="s">
        <v>25</v>
      </c>
      <c r="G138" s="55" t="s">
        <v>25</v>
      </c>
      <c r="H138" s="55" t="s">
        <v>35</v>
      </c>
      <c r="I138" s="63">
        <v>44470</v>
      </c>
      <c r="J138" s="64">
        <f ca="1">EFEITO!$J$138*EFEITO!$Y$97</f>
        <v>15095.594355632345</v>
      </c>
      <c r="K138" s="64">
        <f ca="1">EFEITO!$L$138*EFEITO!$Z$97</f>
        <v>37360.614238320872</v>
      </c>
      <c r="L138" s="64">
        <f>EFEITO!$N$138*EFEITO!$AA$97</f>
        <v>156555.61863116382</v>
      </c>
      <c r="M138" s="64">
        <f ca="1">$J$138-EFEITO!$K$138*EFEITO!$Y$138</f>
        <v>301.91188711264658</v>
      </c>
      <c r="N138" s="64">
        <f ca="1">$K$138-EFEITO!$M$138*EFEITO!$Z$138</f>
        <v>747.21228476642136</v>
      </c>
      <c r="O138" s="64">
        <f>$L$138-EFEITO!$O$138*EFEITO!$AA$138</f>
        <v>3131.1123726232909</v>
      </c>
      <c r="P138" s="19"/>
      <c r="Q138" s="19"/>
      <c r="R138" s="19"/>
      <c r="S138" s="19"/>
      <c r="T138" s="19"/>
      <c r="U138" s="19"/>
      <c r="V138" s="19"/>
      <c r="W138" s="19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55" t="s">
        <v>21</v>
      </c>
      <c r="B139" s="55" t="s">
        <v>39</v>
      </c>
      <c r="C139" s="55" t="s">
        <v>40</v>
      </c>
      <c r="D139" s="55" t="s">
        <v>45</v>
      </c>
      <c r="E139" s="55" t="s">
        <v>25</v>
      </c>
      <c r="F139" s="55" t="s">
        <v>25</v>
      </c>
      <c r="G139" s="55" t="s">
        <v>25</v>
      </c>
      <c r="H139" s="55" t="s">
        <v>35</v>
      </c>
      <c r="I139" s="63">
        <v>44501</v>
      </c>
      <c r="J139" s="64">
        <f ca="1">EFEITO!$J$139*EFEITO!$Y$97</f>
        <v>15095.594355632345</v>
      </c>
      <c r="K139" s="64">
        <f ca="1">EFEITO!$L$139*EFEITO!$Z$97</f>
        <v>36973.457614089566</v>
      </c>
      <c r="L139" s="64">
        <f>EFEITO!$N$139*EFEITO!$AA$97</f>
        <v>154933.28061426056</v>
      </c>
      <c r="M139" s="64">
        <f ca="1">$J$139-EFEITO!$K$139*EFEITO!$Y$139</f>
        <v>301.91188711264658</v>
      </c>
      <c r="N139" s="64">
        <f ca="1">$K$139-EFEITO!$M$139*EFEITO!$Z$139</f>
        <v>739.46915228179569</v>
      </c>
      <c r="O139" s="64">
        <f>$L$139-EFEITO!$O$139*EFEITO!$AA$139</f>
        <v>3098.6656122852</v>
      </c>
      <c r="P139" s="19"/>
      <c r="Q139" s="19"/>
      <c r="R139" s="19"/>
      <c r="S139" s="19"/>
      <c r="T139" s="19"/>
      <c r="U139" s="19"/>
      <c r="V139" s="19"/>
      <c r="W139" s="19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55" t="s">
        <v>21</v>
      </c>
      <c r="B140" s="55" t="s">
        <v>39</v>
      </c>
      <c r="C140" s="55" t="s">
        <v>40</v>
      </c>
      <c r="D140" s="55" t="s">
        <v>45</v>
      </c>
      <c r="E140" s="55" t="s">
        <v>25</v>
      </c>
      <c r="F140" s="55" t="s">
        <v>25</v>
      </c>
      <c r="G140" s="55" t="s">
        <v>25</v>
      </c>
      <c r="H140" s="55" t="s">
        <v>35</v>
      </c>
      <c r="I140" s="63">
        <v>44531</v>
      </c>
      <c r="J140" s="64">
        <f ca="1">EFEITO!$J$140*EFEITO!$Y$97</f>
        <v>15095.594355632345</v>
      </c>
      <c r="K140" s="64">
        <f ca="1">EFEITO!$L$140*EFEITO!$Z$97</f>
        <v>31746.843186966955</v>
      </c>
      <c r="L140" s="64">
        <f>EFEITO!$N$140*EFEITO!$AA$97</f>
        <v>133031.71738606665</v>
      </c>
      <c r="M140" s="64">
        <f ca="1">$J$140-EFEITO!$K$140*EFEITO!$Y$140</f>
        <v>301.91188711264658</v>
      </c>
      <c r="N140" s="64">
        <f ca="1">$K$140-EFEITO!$M$140*EFEITO!$Z$140</f>
        <v>634.93686373933815</v>
      </c>
      <c r="O140" s="64">
        <f>$L$140-EFEITO!$O$140*EFEITO!$AA$140</f>
        <v>2660.6343477213231</v>
      </c>
      <c r="P140" s="19"/>
      <c r="Q140" s="19"/>
      <c r="R140" s="19"/>
      <c r="S140" s="19"/>
      <c r="T140" s="19"/>
      <c r="U140" s="19"/>
      <c r="V140" s="19"/>
      <c r="W140" s="19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55" t="s">
        <v>21</v>
      </c>
      <c r="B141" s="55" t="s">
        <v>39</v>
      </c>
      <c r="C141" s="55" t="s">
        <v>40</v>
      </c>
      <c r="D141" s="55" t="s">
        <v>45</v>
      </c>
      <c r="E141" s="55" t="s">
        <v>25</v>
      </c>
      <c r="F141" s="55" t="s">
        <v>25</v>
      </c>
      <c r="G141" s="55" t="s">
        <v>25</v>
      </c>
      <c r="H141" s="55" t="s">
        <v>35</v>
      </c>
      <c r="I141" s="63">
        <v>44562</v>
      </c>
      <c r="J141" s="64">
        <f ca="1">EFEITO!$J$141*EFEITO!$Y$97</f>
        <v>15173.007660020205</v>
      </c>
      <c r="K141" s="64">
        <f ca="1">EFEITO!$L$141*EFEITO!$Z$97</f>
        <v>8502.678473278731</v>
      </c>
      <c r="L141" s="64">
        <f>EFEITO!$N$141*EFEITO!$AA$97</f>
        <v>35629.555764655379</v>
      </c>
      <c r="M141" s="64">
        <f ca="1">$J$141-EFEITO!$K$141*EFEITO!$Y$141</f>
        <v>303.46015320040351</v>
      </c>
      <c r="N141" s="64">
        <f ca="1">$K$141-EFEITO!$M$141*EFEITO!$Z$141</f>
        <v>170.05356946557549</v>
      </c>
      <c r="O141" s="64">
        <f>$L$141-EFEITO!$O$141*EFEITO!$AA$141</f>
        <v>712.59111529310758</v>
      </c>
      <c r="P141" s="19"/>
      <c r="Q141" s="19"/>
      <c r="R141" s="19"/>
      <c r="S141" s="19"/>
      <c r="T141" s="19"/>
      <c r="U141" s="19"/>
      <c r="V141" s="19"/>
      <c r="W141" s="19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55" t="s">
        <v>21</v>
      </c>
      <c r="B142" s="55" t="s">
        <v>39</v>
      </c>
      <c r="C142" s="55" t="s">
        <v>40</v>
      </c>
      <c r="D142" s="55" t="s">
        <v>45</v>
      </c>
      <c r="E142" s="55" t="s">
        <v>25</v>
      </c>
      <c r="F142" s="55" t="s">
        <v>25</v>
      </c>
      <c r="G142" s="55" t="s">
        <v>25</v>
      </c>
      <c r="H142" s="55" t="s">
        <v>35</v>
      </c>
      <c r="I142" s="63">
        <v>44593</v>
      </c>
      <c r="J142" s="64">
        <f ca="1">EFEITO!$J$142*EFEITO!$Y$97</f>
        <v>15261.480007892042</v>
      </c>
      <c r="K142" s="64">
        <f ca="1">EFEITO!$L$142*EFEITO!$Z$97</f>
        <v>16813.659109473789</v>
      </c>
      <c r="L142" s="64">
        <f>EFEITO!$N$142*EFEITO!$AA$97</f>
        <v>70455.8224483698</v>
      </c>
      <c r="M142" s="64">
        <f ca="1">$J$142-EFEITO!$K$142*EFEITO!$Y$142</f>
        <v>305.22960015783974</v>
      </c>
      <c r="N142" s="64">
        <f ca="1">$K$142-EFEITO!$M$142*EFEITO!$Z$142</f>
        <v>336.27318218947767</v>
      </c>
      <c r="O142" s="64">
        <f>$L$142-EFEITO!$O$142*EFEITO!$AA$142</f>
        <v>1409.1164489673974</v>
      </c>
      <c r="P142" s="19"/>
      <c r="Q142" s="19"/>
      <c r="R142" s="19"/>
      <c r="S142" s="19"/>
      <c r="T142" s="19"/>
      <c r="U142" s="19"/>
      <c r="V142" s="19"/>
      <c r="W142" s="19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55" t="s">
        <v>21</v>
      </c>
      <c r="B143" s="55" t="s">
        <v>39</v>
      </c>
      <c r="C143" s="55" t="s">
        <v>40</v>
      </c>
      <c r="D143" s="55" t="s">
        <v>45</v>
      </c>
      <c r="E143" s="55" t="s">
        <v>25</v>
      </c>
      <c r="F143" s="55" t="s">
        <v>25</v>
      </c>
      <c r="G143" s="55" t="s">
        <v>25</v>
      </c>
      <c r="H143" s="55" t="s">
        <v>35</v>
      </c>
      <c r="I143" s="63">
        <v>44621</v>
      </c>
      <c r="J143" s="64">
        <f ca="1">EFEITO!$J$143*EFEITO!$Y$97</f>
        <v>15173.007660020205</v>
      </c>
      <c r="K143" s="64">
        <f ca="1">EFEITO!$L$143*EFEITO!$Z$97</f>
        <v>12077.184968628011</v>
      </c>
      <c r="L143" s="64">
        <f>EFEITO!$N$143*EFEITO!$AA$97</f>
        <v>50608.139149575414</v>
      </c>
      <c r="M143" s="64">
        <f ca="1">$J$143-EFEITO!$K$143*EFEITO!$Y$143</f>
        <v>303.46015320040351</v>
      </c>
      <c r="N143" s="64">
        <f ca="1">$K$143-EFEITO!$M$143*EFEITO!$Z$143</f>
        <v>241.54369937255979</v>
      </c>
      <c r="O143" s="64">
        <f>$L$143-EFEITO!$O$143*EFEITO!$AA$143</f>
        <v>1012.1627829915087</v>
      </c>
      <c r="P143" s="19"/>
      <c r="Q143" s="19"/>
      <c r="R143" s="19"/>
      <c r="S143" s="19"/>
      <c r="T143" s="19"/>
      <c r="U143" s="19"/>
      <c r="V143" s="19"/>
      <c r="W143" s="19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55" t="s">
        <v>21</v>
      </c>
      <c r="B144" s="55" t="s">
        <v>39</v>
      </c>
      <c r="C144" s="55" t="s">
        <v>40</v>
      </c>
      <c r="D144" s="55" t="s">
        <v>45</v>
      </c>
      <c r="E144" s="55" t="s">
        <v>25</v>
      </c>
      <c r="F144" s="55" t="s">
        <v>25</v>
      </c>
      <c r="G144" s="55" t="s">
        <v>25</v>
      </c>
      <c r="H144" s="55" t="s">
        <v>35</v>
      </c>
      <c r="I144" s="63">
        <v>44652</v>
      </c>
      <c r="J144" s="64">
        <f ca="1">EFEITO!$J$144*EFEITO!$Y$97</f>
        <v>15073.476268664386</v>
      </c>
      <c r="K144" s="64">
        <f ca="1">EFEITO!$L$144*EFEITO!$Z$97</f>
        <v>9988.530288989301</v>
      </c>
      <c r="L144" s="64">
        <f>EFEITO!$N$144*EFEITO!$AA$97</f>
        <v>41855.85731095622</v>
      </c>
      <c r="M144" s="64">
        <f ca="1">$J$144-EFEITO!$K$144*EFEITO!$Y$144</f>
        <v>301.46952537328616</v>
      </c>
      <c r="N144" s="64">
        <f ca="1">$K$144-EFEITO!$M$144*EFEITO!$Z$144</f>
        <v>199.77060577978591</v>
      </c>
      <c r="O144" s="64">
        <f>$L$144-EFEITO!$O$144*EFEITO!$AA$144</f>
        <v>837.11714621912688</v>
      </c>
      <c r="P144" s="19"/>
      <c r="Q144" s="19"/>
      <c r="R144" s="19"/>
      <c r="S144" s="19"/>
      <c r="T144" s="19"/>
      <c r="U144" s="19"/>
      <c r="V144" s="19"/>
      <c r="W144" s="19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55" t="s">
        <v>21</v>
      </c>
      <c r="B145" s="55" t="s">
        <v>39</v>
      </c>
      <c r="C145" s="55" t="s">
        <v>40</v>
      </c>
      <c r="D145" s="55" t="s">
        <v>45</v>
      </c>
      <c r="E145" s="55" t="s">
        <v>25</v>
      </c>
      <c r="F145" s="55" t="s">
        <v>25</v>
      </c>
      <c r="G145" s="55" t="s">
        <v>25</v>
      </c>
      <c r="H145" s="55" t="s">
        <v>35</v>
      </c>
      <c r="I145" s="63">
        <v>44682</v>
      </c>
      <c r="J145" s="64">
        <f ca="1">EFEITO!$J$145*EFEITO!$Y$97</f>
        <v>15195.125746988164</v>
      </c>
      <c r="K145" s="64">
        <f ca="1">EFEITO!$L$145*EFEITO!$Z$97</f>
        <v>14045.821094755018</v>
      </c>
      <c r="L145" s="64">
        <f>EFEITO!$N$145*EFEITO!$AA$97</f>
        <v>58857.496202954608</v>
      </c>
      <c r="M145" s="64">
        <f ca="1">$J$145-EFEITO!$K$145*EFEITO!$Y$145</f>
        <v>303.90251493976211</v>
      </c>
      <c r="N145" s="64">
        <f ca="1">$K$145-EFEITO!$M$145*EFEITO!$Z$145</f>
        <v>280.91642189510094</v>
      </c>
      <c r="O145" s="64">
        <f>$L$145-EFEITO!$O$145*EFEITO!$AA$145</f>
        <v>1177.1499240590929</v>
      </c>
      <c r="P145" s="19"/>
      <c r="Q145" s="19"/>
      <c r="R145" s="19"/>
      <c r="S145" s="19"/>
      <c r="T145" s="19"/>
      <c r="U145" s="19"/>
      <c r="V145" s="19"/>
      <c r="W145" s="19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55" t="s">
        <v>21</v>
      </c>
      <c r="B146" s="55" t="s">
        <v>39</v>
      </c>
      <c r="C146" s="55" t="s">
        <v>40</v>
      </c>
      <c r="D146" s="55" t="s">
        <v>45</v>
      </c>
      <c r="E146" s="55" t="s">
        <v>25</v>
      </c>
      <c r="F146" s="55" t="s">
        <v>25</v>
      </c>
      <c r="G146" s="55" t="s">
        <v>25</v>
      </c>
      <c r="H146" s="55" t="s">
        <v>35</v>
      </c>
      <c r="I146" s="63">
        <v>44713</v>
      </c>
      <c r="J146" s="64">
        <f ca="1">EFEITO!$J$146*EFEITO!$Y$97</f>
        <v>15073.476268664386</v>
      </c>
      <c r="K146" s="64">
        <f ca="1">EFEITO!$L$146*EFEITO!$Z$97</f>
        <v>10983.412197085401</v>
      </c>
      <c r="L146" s="64">
        <f>EFEITO!$N$146*EFEITO!$AA$97</f>
        <v>46024.802489249887</v>
      </c>
      <c r="M146" s="64">
        <f ca="1">$J$146-EFEITO!$K$146*EFEITO!$Y$146</f>
        <v>301.46952537328616</v>
      </c>
      <c r="N146" s="64">
        <f ca="1">$K$146-EFEITO!$M$146*EFEITO!$Z$146</f>
        <v>219.66824394170726</v>
      </c>
      <c r="O146" s="64">
        <f>$L$146-EFEITO!$O$146*EFEITO!$AA$146</f>
        <v>920.49604978499701</v>
      </c>
      <c r="P146" s="19"/>
      <c r="Q146" s="19"/>
      <c r="R146" s="19"/>
      <c r="S146" s="19"/>
      <c r="T146" s="19"/>
      <c r="U146" s="19"/>
      <c r="V146" s="19"/>
      <c r="W146" s="19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55" t="s">
        <v>57</v>
      </c>
      <c r="B147" s="55" t="s">
        <v>39</v>
      </c>
      <c r="C147" s="55" t="s">
        <v>40</v>
      </c>
      <c r="D147" s="55" t="s">
        <v>45</v>
      </c>
      <c r="E147" s="55" t="s">
        <v>25</v>
      </c>
      <c r="F147" s="55" t="s">
        <v>25</v>
      </c>
      <c r="G147" s="55" t="s">
        <v>25</v>
      </c>
      <c r="H147" s="55" t="s">
        <v>35</v>
      </c>
      <c r="I147" s="63">
        <v>44743</v>
      </c>
      <c r="J147" s="64">
        <f ca="1">EFEITO!$J$147*EFEITO!$Y$97</f>
        <v>15073.476268664386</v>
      </c>
      <c r="K147" s="64">
        <f ca="1">EFEITO!$L$147*EFEITO!$Z$97</f>
        <v>10983.412197085401</v>
      </c>
      <c r="L147" s="64">
        <f>EFEITO!$N$147*EFEITO!$AA$97</f>
        <v>46024.802489249887</v>
      </c>
      <c r="M147" s="64">
        <f ca="1">$J$147-EFEITO!$K$147*EFEITO!$Y$147</f>
        <v>301.46952537328616</v>
      </c>
      <c r="N147" s="64">
        <f ca="1">$K$147-EFEITO!$M$147*EFEITO!$Z$147</f>
        <v>219.66824394170726</v>
      </c>
      <c r="O147" s="64">
        <f>$L$147-EFEITO!$O$147*EFEITO!$AA$147</f>
        <v>920.49604978499701</v>
      </c>
      <c r="P147" s="19"/>
      <c r="Q147" s="19"/>
      <c r="R147" s="19"/>
      <c r="S147" s="19"/>
      <c r="T147" s="19"/>
      <c r="U147" s="19"/>
      <c r="V147" s="19"/>
      <c r="W147" s="19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55" t="s">
        <v>21</v>
      </c>
      <c r="B148" s="55" t="s">
        <v>39</v>
      </c>
      <c r="C148" s="55" t="s">
        <v>40</v>
      </c>
      <c r="D148" s="55" t="s">
        <v>45</v>
      </c>
      <c r="E148" s="55" t="s">
        <v>25</v>
      </c>
      <c r="F148" s="55" t="s">
        <v>25</v>
      </c>
      <c r="G148" s="55" t="s">
        <v>25</v>
      </c>
      <c r="H148" s="55" t="s">
        <v>34</v>
      </c>
      <c r="I148" s="63">
        <v>44409</v>
      </c>
      <c r="J148" s="64">
        <f ca="1">EFEITO!$J$148*EFEITO!$Y$134</f>
        <v>511.50833663322112</v>
      </c>
      <c r="K148" s="64">
        <f ca="1">EFEITO!$L$148*EFEITO!$Z$134</f>
        <v>0</v>
      </c>
      <c r="L148" s="64">
        <f>EFEITO!$N$148*EFEITO!$AA$134</f>
        <v>0</v>
      </c>
      <c r="M148" s="64">
        <f ca="1">$J$148-EFEITO!$K$148*EFEITO!$Y$148</f>
        <v>10.230166732664372</v>
      </c>
      <c r="N148" s="64">
        <f ca="1">$K$148-EFEITO!$M$148*EFEITO!$Z$148</f>
        <v>0</v>
      </c>
      <c r="O148" s="64">
        <f>$L$148-EFEITO!$O$148*EFEITO!$AA$148</f>
        <v>0</v>
      </c>
      <c r="P148" s="19"/>
      <c r="Q148" s="19"/>
      <c r="R148" s="19"/>
      <c r="S148" s="19"/>
      <c r="T148" s="19"/>
      <c r="U148" s="19"/>
      <c r="V148" s="19"/>
      <c r="W148" s="19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55" t="s">
        <v>21</v>
      </c>
      <c r="B149" s="55" t="s">
        <v>39</v>
      </c>
      <c r="C149" s="55" t="s">
        <v>40</v>
      </c>
      <c r="D149" s="55" t="s">
        <v>45</v>
      </c>
      <c r="E149" s="55" t="s">
        <v>25</v>
      </c>
      <c r="F149" s="55" t="s">
        <v>25</v>
      </c>
      <c r="G149" s="55" t="s">
        <v>25</v>
      </c>
      <c r="H149" s="55" t="s">
        <v>34</v>
      </c>
      <c r="I149" s="63">
        <v>44440</v>
      </c>
      <c r="J149" s="64">
        <f ca="1">EFEITO!$J$149*EFEITO!$Y$134</f>
        <v>745.94965759011416</v>
      </c>
      <c r="K149" s="64">
        <f ca="1">EFEITO!$L$149*EFEITO!$Z$134</f>
        <v>193.57831211565218</v>
      </c>
      <c r="L149" s="64">
        <f>EFEITO!$N$149*EFEITO!$AA$134</f>
        <v>1260.9110215648491</v>
      </c>
      <c r="M149" s="64">
        <f ca="1">$J$149-EFEITO!$K$149*EFEITO!$Y$149</f>
        <v>14.918993151802283</v>
      </c>
      <c r="N149" s="64">
        <f ca="1">$K$149-EFEITO!$M$149*EFEITO!$Z$149</f>
        <v>3.8715662423130652</v>
      </c>
      <c r="O149" s="64">
        <f>$L$149-EFEITO!$O$149*EFEITO!$AA$149</f>
        <v>25.218220431296913</v>
      </c>
      <c r="P149" s="19"/>
      <c r="Q149" s="19"/>
      <c r="R149" s="19"/>
      <c r="S149" s="19"/>
      <c r="T149" s="19"/>
      <c r="U149" s="19"/>
      <c r="V149" s="19"/>
      <c r="W149" s="19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55" t="s">
        <v>21</v>
      </c>
      <c r="B150" s="55" t="s">
        <v>39</v>
      </c>
      <c r="C150" s="55" t="s">
        <v>40</v>
      </c>
      <c r="D150" s="55" t="s">
        <v>45</v>
      </c>
      <c r="E150" s="55" t="s">
        <v>25</v>
      </c>
      <c r="F150" s="55" t="s">
        <v>25</v>
      </c>
      <c r="G150" s="55" t="s">
        <v>25</v>
      </c>
      <c r="H150" s="55" t="s">
        <v>34</v>
      </c>
      <c r="I150" s="63">
        <v>44470</v>
      </c>
      <c r="J150" s="64">
        <f ca="1">EFEITO!$J$150*EFEITO!$Y$134</f>
        <v>2237.8489727703427</v>
      </c>
      <c r="K150" s="64">
        <f ca="1">EFEITO!$L$150*EFEITO!$Z$134</f>
        <v>0</v>
      </c>
      <c r="L150" s="64">
        <f>EFEITO!$N$150*EFEITO!$AA$134</f>
        <v>0</v>
      </c>
      <c r="M150" s="64">
        <f ca="1">$J$150-EFEITO!$K$150*EFEITO!$Y$150</f>
        <v>44.756979455406963</v>
      </c>
      <c r="N150" s="64">
        <f ca="1">$K$150-EFEITO!$M$150*EFEITO!$Z$150</f>
        <v>0</v>
      </c>
      <c r="O150" s="64">
        <f>$L$150-EFEITO!$O$150*EFEITO!$AA$150</f>
        <v>0</v>
      </c>
      <c r="P150" s="19"/>
      <c r="Q150" s="19"/>
      <c r="R150" s="19"/>
      <c r="S150" s="19"/>
      <c r="T150" s="19"/>
      <c r="U150" s="19"/>
      <c r="V150" s="19"/>
      <c r="W150" s="19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55" t="s">
        <v>21</v>
      </c>
      <c r="B151" s="55" t="s">
        <v>39</v>
      </c>
      <c r="C151" s="55" t="s">
        <v>40</v>
      </c>
      <c r="D151" s="55" t="s">
        <v>45</v>
      </c>
      <c r="E151" s="55" t="s">
        <v>25</v>
      </c>
      <c r="F151" s="55" t="s">
        <v>25</v>
      </c>
      <c r="G151" s="55" t="s">
        <v>25</v>
      </c>
      <c r="H151" s="55" t="s">
        <v>34</v>
      </c>
      <c r="I151" s="63">
        <v>44501</v>
      </c>
      <c r="J151" s="64">
        <f ca="1">EFEITO!$J$151*EFEITO!$Y$134</f>
        <v>2983.7986303604566</v>
      </c>
      <c r="K151" s="64">
        <f ca="1">EFEITO!$L$151*EFEITO!$Z$134</f>
        <v>0</v>
      </c>
      <c r="L151" s="64">
        <f>EFEITO!$N$151*EFEITO!$AA$134</f>
        <v>0</v>
      </c>
      <c r="M151" s="64">
        <f ca="1">$J$151-EFEITO!$K$151*EFEITO!$Y$151</f>
        <v>59.675972607209133</v>
      </c>
      <c r="N151" s="64">
        <f ca="1">$K$151-EFEITO!$M$151*EFEITO!$Z$151</f>
        <v>0</v>
      </c>
      <c r="O151" s="64">
        <f>$L$151-EFEITO!$O$151*EFEITO!$AA$151</f>
        <v>0</v>
      </c>
      <c r="P151" s="19"/>
      <c r="Q151" s="19"/>
      <c r="R151" s="19"/>
      <c r="S151" s="19"/>
      <c r="T151" s="19"/>
      <c r="U151" s="19"/>
      <c r="V151" s="19"/>
      <c r="W151" s="19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55" t="s">
        <v>21</v>
      </c>
      <c r="B152" s="55" t="s">
        <v>39</v>
      </c>
      <c r="C152" s="55" t="s">
        <v>40</v>
      </c>
      <c r="D152" s="55" t="s">
        <v>45</v>
      </c>
      <c r="E152" s="55" t="s">
        <v>25</v>
      </c>
      <c r="F152" s="55" t="s">
        <v>25</v>
      </c>
      <c r="G152" s="55" t="s">
        <v>25</v>
      </c>
      <c r="H152" s="55" t="s">
        <v>34</v>
      </c>
      <c r="I152" s="63">
        <v>44531</v>
      </c>
      <c r="J152" s="64">
        <f ca="1">EFEITO!$J$152*EFEITO!$Y$134</f>
        <v>4475.6979455406854</v>
      </c>
      <c r="K152" s="64">
        <f ca="1">EFEITO!$L$152*EFEITO!$Z$134</f>
        <v>0</v>
      </c>
      <c r="L152" s="64">
        <f>EFEITO!$N$152*EFEITO!$AA$134</f>
        <v>0</v>
      </c>
      <c r="M152" s="64">
        <f ca="1">$J$152-EFEITO!$K$152*EFEITO!$Y$152</f>
        <v>89.513958910813926</v>
      </c>
      <c r="N152" s="64">
        <f ca="1">$K$152-EFEITO!$M$152*EFEITO!$Z$152</f>
        <v>0</v>
      </c>
      <c r="O152" s="64">
        <f>$L$152-EFEITO!$O$152*EFEITO!$AA$152</f>
        <v>0</v>
      </c>
      <c r="P152" s="19"/>
      <c r="Q152" s="19"/>
      <c r="R152" s="19"/>
      <c r="S152" s="19"/>
      <c r="T152" s="19"/>
      <c r="U152" s="19"/>
      <c r="V152" s="19"/>
      <c r="W152" s="19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55" t="s">
        <v>21</v>
      </c>
      <c r="B153" s="55" t="s">
        <v>39</v>
      </c>
      <c r="C153" s="55" t="s">
        <v>40</v>
      </c>
      <c r="D153" s="55" t="s">
        <v>45</v>
      </c>
      <c r="E153" s="55" t="s">
        <v>25</v>
      </c>
      <c r="F153" s="55" t="s">
        <v>25</v>
      </c>
      <c r="G153" s="55" t="s">
        <v>25</v>
      </c>
      <c r="H153" s="55" t="s">
        <v>34</v>
      </c>
      <c r="I153" s="63">
        <v>44562</v>
      </c>
      <c r="J153" s="64">
        <f ca="1">EFEITO!$J$153*EFEITO!$Y$134</f>
        <v>447.56979455406849</v>
      </c>
      <c r="K153" s="64">
        <f ca="1">EFEITO!$L$153*EFEITO!$Z$134</f>
        <v>56.137710513539126</v>
      </c>
      <c r="L153" s="64">
        <f>EFEITO!$N$153*EFEITO!$AA$134</f>
        <v>365.66419625380621</v>
      </c>
      <c r="M153" s="64">
        <f ca="1">$J$153-EFEITO!$K$153*EFEITO!$Y$153</f>
        <v>8.9513958910813471</v>
      </c>
      <c r="N153" s="64">
        <f ca="1">$K$153-EFEITO!$M$153*EFEITO!$Z$153</f>
        <v>1.1227542102707844</v>
      </c>
      <c r="O153" s="64">
        <f>$L$153-EFEITO!$O$153*EFEITO!$AA$153</f>
        <v>7.3132839250761208</v>
      </c>
      <c r="P153" s="19"/>
      <c r="Q153" s="19"/>
      <c r="R153" s="19"/>
      <c r="S153" s="19"/>
      <c r="T153" s="19"/>
      <c r="U153" s="19"/>
      <c r="V153" s="19"/>
      <c r="W153" s="19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55" t="s">
        <v>21</v>
      </c>
      <c r="B154" s="55" t="s">
        <v>39</v>
      </c>
      <c r="C154" s="55" t="s">
        <v>40</v>
      </c>
      <c r="D154" s="55" t="s">
        <v>45</v>
      </c>
      <c r="E154" s="55" t="s">
        <v>25</v>
      </c>
      <c r="F154" s="55" t="s">
        <v>25</v>
      </c>
      <c r="G154" s="55" t="s">
        <v>25</v>
      </c>
      <c r="H154" s="55" t="s">
        <v>34</v>
      </c>
      <c r="I154" s="63">
        <v>44593</v>
      </c>
      <c r="J154" s="64">
        <f ca="1">EFEITO!$J$154*EFEITO!$Y$134</f>
        <v>447.56979455406849</v>
      </c>
      <c r="K154" s="64">
        <f ca="1">EFEITO!$L$154*EFEITO!$Z$134</f>
        <v>25.220488664210684</v>
      </c>
      <c r="L154" s="64">
        <f>EFEITO!$N$154*EFEITO!$AA$134</f>
        <v>164.27869309530607</v>
      </c>
      <c r="M154" s="64">
        <f ca="1">$J$154-EFEITO!$K$154*EFEITO!$Y$154</f>
        <v>8.9513958910813471</v>
      </c>
      <c r="N154" s="64">
        <f ca="1">$K$154-EFEITO!$M$154*EFEITO!$Z$154</f>
        <v>0.50440977328421255</v>
      </c>
      <c r="O154" s="64">
        <f>$L$154-EFEITO!$O$154*EFEITO!$AA$154</f>
        <v>3.2855738619061299</v>
      </c>
      <c r="P154" s="19"/>
      <c r="Q154" s="19"/>
      <c r="R154" s="19"/>
      <c r="S154" s="19"/>
      <c r="T154" s="19"/>
      <c r="U154" s="19"/>
      <c r="V154" s="19"/>
      <c r="W154" s="19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55" t="s">
        <v>21</v>
      </c>
      <c r="B155" s="55" t="s">
        <v>39</v>
      </c>
      <c r="C155" s="55" t="s">
        <v>40</v>
      </c>
      <c r="D155" s="55" t="s">
        <v>45</v>
      </c>
      <c r="E155" s="55" t="s">
        <v>25</v>
      </c>
      <c r="F155" s="55" t="s">
        <v>25</v>
      </c>
      <c r="G155" s="55" t="s">
        <v>25</v>
      </c>
      <c r="H155" s="55" t="s">
        <v>34</v>
      </c>
      <c r="I155" s="63">
        <v>44621</v>
      </c>
      <c r="J155" s="64">
        <f ca="1">EFEITO!$J$155*EFEITO!$Y$134</f>
        <v>4113.379540425487</v>
      </c>
      <c r="K155" s="64">
        <f ca="1">EFEITO!$L$155*EFEITO!$Z$134</f>
        <v>31.083146116856152</v>
      </c>
      <c r="L155" s="64">
        <f>EFEITO!$N$155*EFEITO!$AA$134</f>
        <v>202.4662840341272</v>
      </c>
      <c r="M155" s="64">
        <f ca="1">$J$155-EFEITO!$K$155*EFEITO!$Y$155</f>
        <v>82.267590808509794</v>
      </c>
      <c r="N155" s="64">
        <f ca="1">$K$155-EFEITO!$M$155*EFEITO!$Z$155</f>
        <v>0.62166292233712284</v>
      </c>
      <c r="O155" s="64">
        <f>$L$155-EFEITO!$O$155*EFEITO!$AA$155</f>
        <v>4.0493256806825286</v>
      </c>
      <c r="P155" s="19"/>
      <c r="Q155" s="19"/>
      <c r="R155" s="19"/>
      <c r="S155" s="19"/>
      <c r="T155" s="19"/>
      <c r="U155" s="19"/>
      <c r="V155" s="19"/>
      <c r="W155" s="19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55" t="s">
        <v>21</v>
      </c>
      <c r="B156" s="55" t="s">
        <v>39</v>
      </c>
      <c r="C156" s="55" t="s">
        <v>40</v>
      </c>
      <c r="D156" s="55" t="s">
        <v>45</v>
      </c>
      <c r="E156" s="55" t="s">
        <v>25</v>
      </c>
      <c r="F156" s="55" t="s">
        <v>25</v>
      </c>
      <c r="G156" s="55" t="s">
        <v>25</v>
      </c>
      <c r="H156" s="55" t="s">
        <v>34</v>
      </c>
      <c r="I156" s="63">
        <v>44652</v>
      </c>
      <c r="J156" s="64">
        <f ca="1">EFEITO!$J$156*EFEITO!$Y$134</f>
        <v>4049.4409983463343</v>
      </c>
      <c r="K156" s="64">
        <f ca="1">EFEITO!$L$156*EFEITO!$Z$134</f>
        <v>26.437266626080493</v>
      </c>
      <c r="L156" s="64">
        <f>EFEITO!$N$156*EFEITO!$AA$134</f>
        <v>172.20441951657079</v>
      </c>
      <c r="M156" s="64">
        <f ca="1">$J$156-EFEITO!$K$156*EFEITO!$Y$156</f>
        <v>80.988819966926712</v>
      </c>
      <c r="N156" s="64">
        <f ca="1">$K$156-EFEITO!$M$156*EFEITO!$Z$156</f>
        <v>0.52874533252160916</v>
      </c>
      <c r="O156" s="64">
        <f>$L$156-EFEITO!$O$156*EFEITO!$AA$156</f>
        <v>3.4440883903313875</v>
      </c>
      <c r="P156" s="19"/>
      <c r="Q156" s="19"/>
      <c r="R156" s="19"/>
      <c r="S156" s="19"/>
      <c r="T156" s="19"/>
      <c r="U156" s="19"/>
      <c r="V156" s="19"/>
      <c r="W156" s="19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55" t="s">
        <v>21</v>
      </c>
      <c r="B157" s="55" t="s">
        <v>39</v>
      </c>
      <c r="C157" s="55" t="s">
        <v>40</v>
      </c>
      <c r="D157" s="55" t="s">
        <v>45</v>
      </c>
      <c r="E157" s="55" t="s">
        <v>25</v>
      </c>
      <c r="F157" s="55" t="s">
        <v>25</v>
      </c>
      <c r="G157" s="55" t="s">
        <v>25</v>
      </c>
      <c r="H157" s="55" t="s">
        <v>34</v>
      </c>
      <c r="I157" s="63">
        <v>44682</v>
      </c>
      <c r="J157" s="64">
        <f ca="1">EFEITO!$J$157*EFEITO!$Y$134</f>
        <v>8056.2563019732333</v>
      </c>
      <c r="K157" s="64">
        <f ca="1">EFEITO!$L$157*EFEITO!$Z$134</f>
        <v>44.965476500007199</v>
      </c>
      <c r="L157" s="64">
        <f>EFEITO!$N$157*EFEITO!$AA$134</f>
        <v>292.89161729492065</v>
      </c>
      <c r="M157" s="64">
        <f ca="1">$J$157-EFEITO!$K$157*EFEITO!$Y$157</f>
        <v>161.1251260394647</v>
      </c>
      <c r="N157" s="64">
        <f ca="1">$K$157-EFEITO!$M$157*EFEITO!$Z$157</f>
        <v>0.89930953000013858</v>
      </c>
      <c r="O157" s="64">
        <f>$L$157-EFEITO!$O$157*EFEITO!$AA$157</f>
        <v>5.85783234589843</v>
      </c>
      <c r="P157" s="19"/>
      <c r="Q157" s="19"/>
      <c r="R157" s="19"/>
      <c r="S157" s="19"/>
      <c r="T157" s="19"/>
      <c r="U157" s="19"/>
      <c r="V157" s="19"/>
      <c r="W157" s="19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55" t="s">
        <v>21</v>
      </c>
      <c r="B158" s="55" t="s">
        <v>39</v>
      </c>
      <c r="C158" s="55" t="s">
        <v>40</v>
      </c>
      <c r="D158" s="55" t="s">
        <v>45</v>
      </c>
      <c r="E158" s="55" t="s">
        <v>25</v>
      </c>
      <c r="F158" s="55" t="s">
        <v>25</v>
      </c>
      <c r="G158" s="55" t="s">
        <v>25</v>
      </c>
      <c r="H158" s="55" t="s">
        <v>34</v>
      </c>
      <c r="I158" s="63">
        <v>44713</v>
      </c>
      <c r="J158" s="64">
        <f ca="1">EFEITO!$J$158*EFEITO!$Y$134</f>
        <v>4283.8823193032267</v>
      </c>
      <c r="K158" s="64">
        <f ca="1">EFEITO!$L$158*EFEITO!$Z$134</f>
        <v>31.249070384383845</v>
      </c>
      <c r="L158" s="64">
        <f>EFEITO!$N$158*EFEITO!$AA$134</f>
        <v>203.5470649097542</v>
      </c>
      <c r="M158" s="64">
        <f ca="1">$J$158-EFEITO!$K$158*EFEITO!$Y$158</f>
        <v>85.677646386064225</v>
      </c>
      <c r="N158" s="64">
        <f ca="1">$K$158-EFEITO!$M$158*EFEITO!$Z$158</f>
        <v>0.62498140768767385</v>
      </c>
      <c r="O158" s="64">
        <f>$L$158-EFEITO!$O$158*EFEITO!$AA$158</f>
        <v>4.0709412981950948</v>
      </c>
      <c r="P158" s="19"/>
      <c r="Q158" s="19"/>
      <c r="R158" s="19"/>
      <c r="S158" s="19"/>
      <c r="T158" s="19"/>
      <c r="U158" s="19"/>
      <c r="V158" s="19"/>
      <c r="W158" s="19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55" t="s">
        <v>57</v>
      </c>
      <c r="B159" s="55" t="s">
        <v>39</v>
      </c>
      <c r="C159" s="55" t="s">
        <v>40</v>
      </c>
      <c r="D159" s="55" t="s">
        <v>45</v>
      </c>
      <c r="E159" s="55" t="s">
        <v>25</v>
      </c>
      <c r="F159" s="55" t="s">
        <v>25</v>
      </c>
      <c r="G159" s="55" t="s">
        <v>25</v>
      </c>
      <c r="H159" s="55" t="s">
        <v>34</v>
      </c>
      <c r="I159" s="63">
        <v>44743</v>
      </c>
      <c r="J159" s="64">
        <f ca="1">EFEITO!$J$159*EFEITO!$Y$134</f>
        <v>4283.8823193032267</v>
      </c>
      <c r="K159" s="64">
        <f ca="1">EFEITO!$L$159*EFEITO!$Z$134</f>
        <v>31.249070384383845</v>
      </c>
      <c r="L159" s="64">
        <f>EFEITO!$N$159*EFEITO!$AA$134</f>
        <v>203.5470649097542</v>
      </c>
      <c r="M159" s="64">
        <f ca="1">$J$159-EFEITO!$K$159*EFEITO!$Y$159</f>
        <v>85.677646386064225</v>
      </c>
      <c r="N159" s="64">
        <f ca="1">$K$159-EFEITO!$M$159*EFEITO!$Z$159</f>
        <v>0.62498140768767385</v>
      </c>
      <c r="O159" s="64">
        <f>$L$159-EFEITO!$O$159*EFEITO!$AA$159</f>
        <v>4.0709412981950948</v>
      </c>
      <c r="P159" s="19"/>
      <c r="Q159" s="19"/>
      <c r="R159" s="19"/>
      <c r="S159" s="19"/>
      <c r="T159" s="19"/>
      <c r="U159" s="19"/>
      <c r="V159" s="19"/>
      <c r="W159" s="19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55" t="s">
        <v>21</v>
      </c>
      <c r="B160" s="55" t="s">
        <v>39</v>
      </c>
      <c r="C160" s="55" t="s">
        <v>40</v>
      </c>
      <c r="D160" s="55" t="s">
        <v>50</v>
      </c>
      <c r="E160" s="55" t="s">
        <v>51</v>
      </c>
      <c r="F160" s="55" t="s">
        <v>25</v>
      </c>
      <c r="G160" s="55" t="s">
        <v>25</v>
      </c>
      <c r="H160" s="55" t="s">
        <v>35</v>
      </c>
      <c r="I160" s="63">
        <v>44409</v>
      </c>
      <c r="J160" s="64">
        <f ca="1">EFEITO!$J$160*EFEITO!$Y$97</f>
        <v>111696.33918819539</v>
      </c>
      <c r="K160" s="64">
        <f ca="1">EFEITO!$L$160*EFEITO!$Z$97</f>
        <v>294847.4233967262</v>
      </c>
      <c r="L160" s="64">
        <f>EFEITO!$N$160*EFEITO!$AA$97</f>
        <v>1235526.2811587481</v>
      </c>
      <c r="M160" s="64">
        <f ca="1">$J$160-EFEITO!$K$160*EFEITO!$Y$160</f>
        <v>3350.8901756458654</v>
      </c>
      <c r="N160" s="64">
        <f ca="1">$K$160-EFEITO!$M$160*EFEITO!$Z$160</f>
        <v>8845.4227019018144</v>
      </c>
      <c r="O160" s="64">
        <f>$L$160-EFEITO!$O$160*EFEITO!$AA$160</f>
        <v>37065.788434762508</v>
      </c>
      <c r="P160" s="19"/>
      <c r="Q160" s="19"/>
      <c r="R160" s="19"/>
      <c r="S160" s="19"/>
      <c r="T160" s="19"/>
      <c r="U160" s="19"/>
      <c r="V160" s="19"/>
      <c r="W160" s="19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55" t="s">
        <v>21</v>
      </c>
      <c r="B161" s="55" t="s">
        <v>39</v>
      </c>
      <c r="C161" s="55" t="s">
        <v>40</v>
      </c>
      <c r="D161" s="55" t="s">
        <v>50</v>
      </c>
      <c r="E161" s="55" t="s">
        <v>51</v>
      </c>
      <c r="F161" s="55" t="s">
        <v>25</v>
      </c>
      <c r="G161" s="55" t="s">
        <v>25</v>
      </c>
      <c r="H161" s="55" t="s">
        <v>35</v>
      </c>
      <c r="I161" s="63">
        <v>44440</v>
      </c>
      <c r="J161" s="64">
        <f ca="1">EFEITO!$J$161*EFEITO!$Y$97</f>
        <v>111696.33918819539</v>
      </c>
      <c r="K161" s="64">
        <f ca="1">EFEITO!$L$161*EFEITO!$Z$97</f>
        <v>294792.1153075503</v>
      </c>
      <c r="L161" s="64">
        <f>EFEITO!$N$161*EFEITO!$AA$97</f>
        <v>1235294.5185849047</v>
      </c>
      <c r="M161" s="64">
        <f ca="1">$J$161-EFEITO!$K$161*EFEITO!$Y$161</f>
        <v>3350.8901756458654</v>
      </c>
      <c r="N161" s="64">
        <f ca="1">$K$161-EFEITO!$M$161*EFEITO!$Z$161</f>
        <v>8843.763459226524</v>
      </c>
      <c r="O161" s="64">
        <f>$L$161-EFEITO!$O$161*EFEITO!$AA$161</f>
        <v>37058.835557547165</v>
      </c>
      <c r="P161" s="19"/>
      <c r="Q161" s="19"/>
      <c r="R161" s="19"/>
      <c r="S161" s="19"/>
      <c r="T161" s="19"/>
      <c r="U161" s="19"/>
      <c r="V161" s="19"/>
      <c r="W161" s="19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55" t="s">
        <v>21</v>
      </c>
      <c r="B162" s="55" t="s">
        <v>39</v>
      </c>
      <c r="C162" s="55" t="s">
        <v>40</v>
      </c>
      <c r="D162" s="55" t="s">
        <v>50</v>
      </c>
      <c r="E162" s="55" t="s">
        <v>51</v>
      </c>
      <c r="F162" s="55" t="s">
        <v>25</v>
      </c>
      <c r="G162" s="55" t="s">
        <v>25</v>
      </c>
      <c r="H162" s="55" t="s">
        <v>35</v>
      </c>
      <c r="I162" s="63">
        <v>44470</v>
      </c>
      <c r="J162" s="64">
        <f ca="1">EFEITO!$J$162*EFEITO!$Y$97</f>
        <v>112581.06266691376</v>
      </c>
      <c r="K162" s="64">
        <f ca="1">EFEITO!$L$162*EFEITO!$Z$97</f>
        <v>307900.13244223874</v>
      </c>
      <c r="L162" s="64">
        <f>EFEITO!$N$162*EFEITO!$AA$97</f>
        <v>1290222.248585772</v>
      </c>
      <c r="M162" s="64">
        <f ca="1">$J$162-EFEITO!$K$162*EFEITO!$Y$162</f>
        <v>3377.4318800074107</v>
      </c>
      <c r="N162" s="64">
        <f ca="1">$K$162-EFEITO!$M$162*EFEITO!$Z$162</f>
        <v>9237.0039732671576</v>
      </c>
      <c r="O162" s="64">
        <f>$L$162-EFEITO!$O$162*EFEITO!$AA$162</f>
        <v>38706.667457573116</v>
      </c>
      <c r="P162" s="19"/>
      <c r="Q162" s="19"/>
      <c r="R162" s="19"/>
      <c r="S162" s="19"/>
      <c r="T162" s="19"/>
      <c r="U162" s="19"/>
      <c r="V162" s="19"/>
      <c r="W162" s="19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55" t="s">
        <v>21</v>
      </c>
      <c r="B163" s="55" t="s">
        <v>39</v>
      </c>
      <c r="C163" s="55" t="s">
        <v>40</v>
      </c>
      <c r="D163" s="55" t="s">
        <v>50</v>
      </c>
      <c r="E163" s="55" t="s">
        <v>51</v>
      </c>
      <c r="F163" s="55" t="s">
        <v>25</v>
      </c>
      <c r="G163" s="55" t="s">
        <v>25</v>
      </c>
      <c r="H163" s="55" t="s">
        <v>35</v>
      </c>
      <c r="I163" s="63">
        <v>44501</v>
      </c>
      <c r="J163" s="64">
        <f ca="1">EFEITO!$J$163*EFEITO!$Y$97</f>
        <v>113465.78614563214</v>
      </c>
      <c r="K163" s="64">
        <f ca="1">EFEITO!$L$163*EFEITO!$Z$97</f>
        <v>319736.0635258815</v>
      </c>
      <c r="L163" s="64">
        <f>EFEITO!$N$163*EFEITO!$AA$97</f>
        <v>1339819.4393882428</v>
      </c>
      <c r="M163" s="64">
        <f ca="1">$J$163-EFEITO!$K$163*EFEITO!$Y$163</f>
        <v>3403.9735843689705</v>
      </c>
      <c r="N163" s="64">
        <f ca="1">$K$163-EFEITO!$M$163*EFEITO!$Z$163</f>
        <v>9592.0819057764602</v>
      </c>
      <c r="O163" s="64">
        <f>$L$163-EFEITO!$O$163*EFEITO!$AA$163</f>
        <v>40194.583181647118</v>
      </c>
      <c r="P163" s="19"/>
      <c r="Q163" s="19"/>
      <c r="R163" s="19"/>
      <c r="S163" s="19"/>
      <c r="T163" s="19"/>
      <c r="U163" s="19"/>
      <c r="V163" s="19"/>
      <c r="W163" s="19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55" t="s">
        <v>21</v>
      </c>
      <c r="B164" s="55" t="s">
        <v>39</v>
      </c>
      <c r="C164" s="55" t="s">
        <v>40</v>
      </c>
      <c r="D164" s="55" t="s">
        <v>50</v>
      </c>
      <c r="E164" s="55" t="s">
        <v>51</v>
      </c>
      <c r="F164" s="55" t="s">
        <v>25</v>
      </c>
      <c r="G164" s="55" t="s">
        <v>25</v>
      </c>
      <c r="H164" s="55" t="s">
        <v>35</v>
      </c>
      <c r="I164" s="63">
        <v>44531</v>
      </c>
      <c r="J164" s="64">
        <f ca="1">EFEITO!$J$164*EFEITO!$Y$97</f>
        <v>112691.65310175356</v>
      </c>
      <c r="K164" s="64">
        <f ca="1">EFEITO!$L$164*EFEITO!$Z$97</f>
        <v>332180.38359045913</v>
      </c>
      <c r="L164" s="64">
        <f>EFEITO!$N$164*EFEITO!$AA$97</f>
        <v>1391966.0185029902</v>
      </c>
      <c r="M164" s="64">
        <f ca="1">$J$164-EFEITO!$K$164*EFEITO!$Y$164</f>
        <v>3380.7495930526202</v>
      </c>
      <c r="N164" s="64">
        <f ca="1">$K$164-EFEITO!$M$164*EFEITO!$Z$164</f>
        <v>9965.4115077137831</v>
      </c>
      <c r="O164" s="64">
        <f>$L$164-EFEITO!$O$164*EFEITO!$AA$164</f>
        <v>41758.980555089656</v>
      </c>
      <c r="P164" s="19"/>
      <c r="Q164" s="19"/>
      <c r="R164" s="19"/>
      <c r="S164" s="19"/>
      <c r="T164" s="19"/>
      <c r="U164" s="19"/>
      <c r="V164" s="19"/>
      <c r="W164" s="19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55" t="s">
        <v>21</v>
      </c>
      <c r="B165" s="55" t="s">
        <v>39</v>
      </c>
      <c r="C165" s="55" t="s">
        <v>40</v>
      </c>
      <c r="D165" s="55" t="s">
        <v>50</v>
      </c>
      <c r="E165" s="55" t="s">
        <v>51</v>
      </c>
      <c r="F165" s="55" t="s">
        <v>25</v>
      </c>
      <c r="G165" s="55" t="s">
        <v>25</v>
      </c>
      <c r="H165" s="55" t="s">
        <v>35</v>
      </c>
      <c r="I165" s="63">
        <v>44562</v>
      </c>
      <c r="J165" s="64">
        <f ca="1">EFEITO!$J$165*EFEITO!$Y$97</f>
        <v>113388.37284124429</v>
      </c>
      <c r="K165" s="64">
        <f ca="1">EFEITO!$L$165*EFEITO!$Z$97</f>
        <v>316643.1798710759</v>
      </c>
      <c r="L165" s="64">
        <f>EFEITO!$N$165*EFEITO!$AA$97</f>
        <v>1326859.0444963505</v>
      </c>
      <c r="M165" s="64">
        <f ca="1">$J$165-EFEITO!$K$165*EFEITO!$Y$165</f>
        <v>3401.6511852373369</v>
      </c>
      <c r="N165" s="64">
        <f ca="1">$K$165-EFEITO!$M$165*EFEITO!$Z$165</f>
        <v>9499.2953961322783</v>
      </c>
      <c r="O165" s="64">
        <f>$L$165-EFEITO!$O$165*EFEITO!$AA$165</f>
        <v>39805.771334890509</v>
      </c>
      <c r="P165" s="19"/>
      <c r="Q165" s="19"/>
      <c r="R165" s="19"/>
      <c r="S165" s="19"/>
      <c r="T165" s="19"/>
      <c r="U165" s="19"/>
      <c r="V165" s="19"/>
      <c r="W165" s="19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55" t="s">
        <v>21</v>
      </c>
      <c r="B166" s="55" t="s">
        <v>39</v>
      </c>
      <c r="C166" s="55" t="s">
        <v>40</v>
      </c>
      <c r="D166" s="55" t="s">
        <v>50</v>
      </c>
      <c r="E166" s="55" t="s">
        <v>51</v>
      </c>
      <c r="F166" s="55" t="s">
        <v>25</v>
      </c>
      <c r="G166" s="55" t="s">
        <v>25</v>
      </c>
      <c r="H166" s="55" t="s">
        <v>35</v>
      </c>
      <c r="I166" s="63">
        <v>44593</v>
      </c>
      <c r="J166" s="64">
        <f ca="1">EFEITO!$J$166*EFEITO!$Y$97</f>
        <v>113487.90423260009</v>
      </c>
      <c r="K166" s="64">
        <f ca="1">EFEITO!$L$166*EFEITO!$Z$97</f>
        <v>305650.36529883067</v>
      </c>
      <c r="L166" s="64">
        <f>EFEITO!$N$166*EFEITO!$AA$97</f>
        <v>1280794.8423695473</v>
      </c>
      <c r="M166" s="64">
        <f ca="1">$J$166-EFEITO!$K$166*EFEITO!$Y$166</f>
        <v>3404.6371269780066</v>
      </c>
      <c r="N166" s="64">
        <f ca="1">$K$166-EFEITO!$M$166*EFEITO!$Z$166</f>
        <v>9169.5109589649364</v>
      </c>
      <c r="O166" s="64">
        <f>$L$166-EFEITO!$O$166*EFEITO!$AA$166</f>
        <v>38423.845271086553</v>
      </c>
      <c r="P166" s="19"/>
      <c r="Q166" s="19"/>
      <c r="R166" s="19"/>
      <c r="S166" s="19"/>
      <c r="T166" s="19"/>
      <c r="U166" s="19"/>
      <c r="V166" s="19"/>
      <c r="W166" s="19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55" t="s">
        <v>21</v>
      </c>
      <c r="B167" s="55" t="s">
        <v>39</v>
      </c>
      <c r="C167" s="55" t="s">
        <v>40</v>
      </c>
      <c r="D167" s="55" t="s">
        <v>50</v>
      </c>
      <c r="E167" s="55" t="s">
        <v>51</v>
      </c>
      <c r="F167" s="55" t="s">
        <v>25</v>
      </c>
      <c r="G167" s="55" t="s">
        <v>25</v>
      </c>
      <c r="H167" s="55" t="s">
        <v>35</v>
      </c>
      <c r="I167" s="63">
        <v>44621</v>
      </c>
      <c r="J167" s="64">
        <f ca="1">EFEITO!$J$167*EFEITO!$Y$97</f>
        <v>113498.96327608408</v>
      </c>
      <c r="K167" s="64">
        <f ca="1">EFEITO!$L$167*EFEITO!$Z$97</f>
        <v>323389.10750786052</v>
      </c>
      <c r="L167" s="64">
        <f>EFEITO!$N$167*EFEITO!$AA$97</f>
        <v>1355127.1256280204</v>
      </c>
      <c r="M167" s="64">
        <f ca="1">$J$167-EFEITO!$K$167*EFEITO!$Y$167</f>
        <v>3404.9688982825173</v>
      </c>
      <c r="N167" s="64">
        <f ca="1">$K$167-EFEITO!$M$167*EFEITO!$Z$167</f>
        <v>9701.6732252358343</v>
      </c>
      <c r="O167" s="64">
        <f>$L$167-EFEITO!$O$167*EFEITO!$AA$167</f>
        <v>40653.813768840628</v>
      </c>
      <c r="P167" s="19"/>
      <c r="Q167" s="19"/>
      <c r="R167" s="19"/>
      <c r="S167" s="19"/>
      <c r="T167" s="19"/>
      <c r="U167" s="19"/>
      <c r="V167" s="19"/>
      <c r="W167" s="19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55" t="s">
        <v>21</v>
      </c>
      <c r="B168" s="55" t="s">
        <v>39</v>
      </c>
      <c r="C168" s="55" t="s">
        <v>40</v>
      </c>
      <c r="D168" s="55" t="s">
        <v>50</v>
      </c>
      <c r="E168" s="55" t="s">
        <v>51</v>
      </c>
      <c r="F168" s="55" t="s">
        <v>25</v>
      </c>
      <c r="G168" s="55" t="s">
        <v>25</v>
      </c>
      <c r="H168" s="55" t="s">
        <v>35</v>
      </c>
      <c r="I168" s="63">
        <v>44652</v>
      </c>
      <c r="J168" s="64">
        <f ca="1">EFEITO!$J$168*EFEITO!$Y$97</f>
        <v>118309.64719161527</v>
      </c>
      <c r="K168" s="64">
        <f ca="1">EFEITO!$L$168*EFEITO!$Z$97</f>
        <v>311139.19537673623</v>
      </c>
      <c r="L168" s="64">
        <f>EFEITO!$N$168*EFEITO!$AA$97</f>
        <v>1303795.1919603324</v>
      </c>
      <c r="M168" s="64">
        <f ca="1">$J$168-EFEITO!$K$168*EFEITO!$Y$168</f>
        <v>3549.2894157484552</v>
      </c>
      <c r="N168" s="64">
        <f ca="1">$K$168-EFEITO!$M$168*EFEITO!$Z$168</f>
        <v>9334.1758613021229</v>
      </c>
      <c r="O168" s="64">
        <f>$L$168-EFEITO!$O$168*EFEITO!$AA$168</f>
        <v>39113.85575880995</v>
      </c>
      <c r="P168" s="19"/>
      <c r="Q168" s="19"/>
      <c r="R168" s="19"/>
      <c r="S168" s="19"/>
      <c r="T168" s="19"/>
      <c r="U168" s="19"/>
      <c r="V168" s="19"/>
      <c r="W168" s="19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55" t="s">
        <v>21</v>
      </c>
      <c r="B169" s="55" t="s">
        <v>39</v>
      </c>
      <c r="C169" s="55" t="s">
        <v>40</v>
      </c>
      <c r="D169" s="55" t="s">
        <v>50</v>
      </c>
      <c r="E169" s="55" t="s">
        <v>51</v>
      </c>
      <c r="F169" s="55" t="s">
        <v>25</v>
      </c>
      <c r="G169" s="55" t="s">
        <v>25</v>
      </c>
      <c r="H169" s="55" t="s">
        <v>35</v>
      </c>
      <c r="I169" s="63">
        <v>44682</v>
      </c>
      <c r="J169" s="64">
        <f ca="1">EFEITO!$J$169*EFEITO!$Y$97</f>
        <v>112758.00736265743</v>
      </c>
      <c r="K169" s="64">
        <f ca="1">EFEITO!$L$169*EFEITO!$Z$97</f>
        <v>317784.68352357735</v>
      </c>
      <c r="L169" s="64">
        <f>EFEITO!$N$169*EFEITO!$AA$97</f>
        <v>1331642.3922579028</v>
      </c>
      <c r="M169" s="64">
        <f ca="1">$J$169-EFEITO!$K$169*EFEITO!$Y$169</f>
        <v>3382.7402208797284</v>
      </c>
      <c r="N169" s="64">
        <f ca="1">$K$169-EFEITO!$M$169*EFEITO!$Z$169</f>
        <v>9533.5405057073222</v>
      </c>
      <c r="O169" s="64">
        <f>$L$169-EFEITO!$O$169*EFEITO!$AA$169</f>
        <v>39949.271767737111</v>
      </c>
      <c r="P169" s="19"/>
      <c r="Q169" s="19"/>
      <c r="R169" s="19"/>
      <c r="S169" s="19"/>
      <c r="T169" s="19"/>
      <c r="U169" s="19"/>
      <c r="V169" s="19"/>
      <c r="W169" s="19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55" t="s">
        <v>21</v>
      </c>
      <c r="B170" s="55" t="s">
        <v>39</v>
      </c>
      <c r="C170" s="55" t="s">
        <v>40</v>
      </c>
      <c r="D170" s="55" t="s">
        <v>50</v>
      </c>
      <c r="E170" s="55" t="s">
        <v>51</v>
      </c>
      <c r="F170" s="55" t="s">
        <v>25</v>
      </c>
      <c r="G170" s="55" t="s">
        <v>25</v>
      </c>
      <c r="H170" s="55" t="s">
        <v>35</v>
      </c>
      <c r="I170" s="63">
        <v>44713</v>
      </c>
      <c r="J170" s="64">
        <f ca="1">EFEITO!$J$170*EFEITO!$Y$97</f>
        <v>111806.92962303518</v>
      </c>
      <c r="K170" s="64">
        <f ca="1">EFEITO!$L$170*EFEITO!$Z$97</f>
        <v>298973.18561689166</v>
      </c>
      <c r="L170" s="64">
        <f>EFEITO!$N$170*EFEITO!$AA$97</f>
        <v>1252814.8421171645</v>
      </c>
      <c r="M170" s="64">
        <f ca="1">$J$170-EFEITO!$K$170*EFEITO!$Y$170</f>
        <v>3354.2078886910604</v>
      </c>
      <c r="N170" s="64">
        <f ca="1">$K$170-EFEITO!$M$170*EFEITO!$Z$170</f>
        <v>8969.1955685067805</v>
      </c>
      <c r="O170" s="64">
        <f>$L$170-EFEITO!$O$170*EFEITO!$AA$170</f>
        <v>37584.445263514994</v>
      </c>
      <c r="P170" s="19"/>
      <c r="Q170" s="19"/>
      <c r="R170" s="19"/>
      <c r="S170" s="19"/>
      <c r="T170" s="19"/>
      <c r="U170" s="19"/>
      <c r="V170" s="19"/>
      <c r="W170" s="19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55" t="s">
        <v>57</v>
      </c>
      <c r="B171" s="55" t="s">
        <v>39</v>
      </c>
      <c r="C171" s="55" t="s">
        <v>40</v>
      </c>
      <c r="D171" s="55" t="s">
        <v>50</v>
      </c>
      <c r="E171" s="55" t="s">
        <v>51</v>
      </c>
      <c r="F171" s="55" t="s">
        <v>25</v>
      </c>
      <c r="G171" s="55" t="s">
        <v>25</v>
      </c>
      <c r="H171" s="55" t="s">
        <v>35</v>
      </c>
      <c r="I171" s="63">
        <v>44743</v>
      </c>
      <c r="J171" s="64">
        <f ca="1">EFEITO!$J$171*EFEITO!$Y$97</f>
        <v>111806.92962303518</v>
      </c>
      <c r="K171" s="64">
        <f ca="1">EFEITO!$L$171*EFEITO!$Z$97</f>
        <v>298973.18561689166</v>
      </c>
      <c r="L171" s="64">
        <f>EFEITO!$N$171*EFEITO!$AA$97</f>
        <v>1252814.8421171645</v>
      </c>
      <c r="M171" s="64">
        <f ca="1">$J$171-EFEITO!$K$171*EFEITO!$Y$171</f>
        <v>3354.2078886910604</v>
      </c>
      <c r="N171" s="64">
        <f ca="1">$K$171-EFEITO!$M$171*EFEITO!$Z$171</f>
        <v>8969.1955685067805</v>
      </c>
      <c r="O171" s="64">
        <f>$L$171-EFEITO!$O$171*EFEITO!$AA$171</f>
        <v>37584.445263514994</v>
      </c>
      <c r="P171" s="19"/>
      <c r="Q171" s="19"/>
      <c r="R171" s="19"/>
      <c r="S171" s="19"/>
      <c r="T171" s="19"/>
      <c r="U171" s="19"/>
      <c r="V171" s="19"/>
      <c r="W171" s="19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55" t="s">
        <v>21</v>
      </c>
      <c r="B172" s="55" t="s">
        <v>39</v>
      </c>
      <c r="C172" s="55" t="s">
        <v>40</v>
      </c>
      <c r="D172" s="55" t="s">
        <v>50</v>
      </c>
      <c r="E172" s="55" t="s">
        <v>51</v>
      </c>
      <c r="F172" s="55" t="s">
        <v>25</v>
      </c>
      <c r="G172" s="55" t="s">
        <v>25</v>
      </c>
      <c r="H172" s="55" t="s">
        <v>34</v>
      </c>
      <c r="I172" s="63">
        <v>44409</v>
      </c>
      <c r="J172" s="64">
        <f ca="1">EFEITO!$J$172*EFEITO!$Y$134</f>
        <v>193520.65402623534</v>
      </c>
      <c r="K172" s="64">
        <f ca="1">EFEITO!$L$172*EFEITO!$Z$134</f>
        <v>28373.049747237019</v>
      </c>
      <c r="L172" s="64">
        <f>EFEITO!$N$172*EFEITO!$AA$134</f>
        <v>184813.52973221929</v>
      </c>
      <c r="M172" s="64">
        <f ca="1">$J$172-EFEITO!$K$172*EFEITO!$Y$172</f>
        <v>5805.6196207870671</v>
      </c>
      <c r="N172" s="64">
        <f ca="1">$K$172-EFEITO!$M$172*EFEITO!$Z$172</f>
        <v>851.1914924171142</v>
      </c>
      <c r="O172" s="64">
        <f>$L$172-EFEITO!$O$172*EFEITO!$AA$172</f>
        <v>5544.4058919665695</v>
      </c>
      <c r="P172" s="19"/>
      <c r="Q172" s="19"/>
      <c r="R172" s="19"/>
      <c r="S172" s="19"/>
      <c r="T172" s="19"/>
      <c r="U172" s="19"/>
      <c r="V172" s="19"/>
      <c r="W172" s="19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55" t="s">
        <v>21</v>
      </c>
      <c r="B173" s="55" t="s">
        <v>39</v>
      </c>
      <c r="C173" s="55" t="s">
        <v>40</v>
      </c>
      <c r="D173" s="55" t="s">
        <v>50</v>
      </c>
      <c r="E173" s="55" t="s">
        <v>51</v>
      </c>
      <c r="F173" s="55" t="s">
        <v>25</v>
      </c>
      <c r="G173" s="55" t="s">
        <v>25</v>
      </c>
      <c r="H173" s="55" t="s">
        <v>34</v>
      </c>
      <c r="I173" s="63">
        <v>44440</v>
      </c>
      <c r="J173" s="64">
        <f ca="1">EFEITO!$J$173*EFEITO!$Y$134</f>
        <v>191815.62623745794</v>
      </c>
      <c r="K173" s="64">
        <f ca="1">EFEITO!$L$173*EFEITO!$Z$134</f>
        <v>27266.887963719004</v>
      </c>
      <c r="L173" s="64">
        <f>EFEITO!$N$173*EFEITO!$AA$134</f>
        <v>177608.32389470589</v>
      </c>
      <c r="M173" s="64">
        <f ca="1">$J$173-EFEITO!$K$173*EFEITO!$Y$173</f>
        <v>5754.4687871237402</v>
      </c>
      <c r="N173" s="64">
        <f ca="1">$K$173-EFEITO!$M$173*EFEITO!$Z$173</f>
        <v>818.00663891157092</v>
      </c>
      <c r="O173" s="64">
        <f>$L$173-EFEITO!$O$173*EFEITO!$AA$173</f>
        <v>5328.2497168412083</v>
      </c>
      <c r="P173" s="19"/>
      <c r="Q173" s="19"/>
      <c r="R173" s="19"/>
      <c r="S173" s="19"/>
      <c r="T173" s="19"/>
      <c r="U173" s="19"/>
      <c r="V173" s="19"/>
      <c r="W173" s="19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55" t="s">
        <v>21</v>
      </c>
      <c r="B174" s="55" t="s">
        <v>39</v>
      </c>
      <c r="C174" s="55" t="s">
        <v>40</v>
      </c>
      <c r="D174" s="55" t="s">
        <v>50</v>
      </c>
      <c r="E174" s="55" t="s">
        <v>51</v>
      </c>
      <c r="F174" s="55" t="s">
        <v>25</v>
      </c>
      <c r="G174" s="55" t="s">
        <v>25</v>
      </c>
      <c r="H174" s="55" t="s">
        <v>34</v>
      </c>
      <c r="I174" s="63">
        <v>44470</v>
      </c>
      <c r="J174" s="64">
        <f ca="1">EFEITO!$J$174*EFEITO!$Y$134</f>
        <v>203324.56381170542</v>
      </c>
      <c r="K174" s="64">
        <f ca="1">EFEITO!$L$174*EFEITO!$Z$134</f>
        <v>27930.585033829811</v>
      </c>
      <c r="L174" s="64">
        <f>EFEITO!$N$174*EFEITO!$AA$134</f>
        <v>181931.44739721392</v>
      </c>
      <c r="M174" s="64">
        <f ca="1">$J$174-EFEITO!$K$174*EFEITO!$Y$174</f>
        <v>6099.7369143511751</v>
      </c>
      <c r="N174" s="64">
        <f ca="1">$K$174-EFEITO!$M$174*EFEITO!$Z$174</f>
        <v>837.91755101489252</v>
      </c>
      <c r="O174" s="64">
        <f>$L$174-EFEITO!$O$174*EFEITO!$AA$174</f>
        <v>5457.943421916425</v>
      </c>
      <c r="P174" s="19"/>
      <c r="Q174" s="19"/>
      <c r="R174" s="19"/>
      <c r="S174" s="19"/>
      <c r="T174" s="19"/>
      <c r="U174" s="19"/>
      <c r="V174" s="19"/>
      <c r="W174" s="19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55" t="s">
        <v>21</v>
      </c>
      <c r="B175" s="55" t="s">
        <v>39</v>
      </c>
      <c r="C175" s="55" t="s">
        <v>40</v>
      </c>
      <c r="D175" s="55" t="s">
        <v>50</v>
      </c>
      <c r="E175" s="55" t="s">
        <v>51</v>
      </c>
      <c r="F175" s="55" t="s">
        <v>25</v>
      </c>
      <c r="G175" s="55" t="s">
        <v>25</v>
      </c>
      <c r="H175" s="55" t="s">
        <v>34</v>
      </c>
      <c r="I175" s="63">
        <v>44501</v>
      </c>
      <c r="J175" s="64">
        <f ca="1">EFEITO!$J$175*EFEITO!$Y$134</f>
        <v>202045.79297012236</v>
      </c>
      <c r="K175" s="64">
        <f ca="1">EFEITO!$L$175*EFEITO!$Z$134</f>
        <v>29257.979174051427</v>
      </c>
      <c r="L175" s="64">
        <f>EFEITO!$N$175*EFEITO!$AA$134</f>
        <v>190577.69440223003</v>
      </c>
      <c r="M175" s="64">
        <f ca="1">$J$175-EFEITO!$K$175*EFEITO!$Y$175</f>
        <v>6061.3737891036726</v>
      </c>
      <c r="N175" s="64">
        <f ca="1">$K$175-EFEITO!$M$175*EFEITO!$Z$175</f>
        <v>877.73937522154301</v>
      </c>
      <c r="O175" s="64">
        <f>$L$175-EFEITO!$O$175*EFEITO!$AA$175</f>
        <v>5717.3308320669166</v>
      </c>
      <c r="P175" s="19"/>
      <c r="Q175" s="19"/>
      <c r="R175" s="19"/>
      <c r="S175" s="19"/>
      <c r="T175" s="19"/>
      <c r="U175" s="19"/>
      <c r="V175" s="19"/>
      <c r="W175" s="19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55" t="s">
        <v>21</v>
      </c>
      <c r="B176" s="55" t="s">
        <v>39</v>
      </c>
      <c r="C176" s="55" t="s">
        <v>40</v>
      </c>
      <c r="D176" s="55" t="s">
        <v>50</v>
      </c>
      <c r="E176" s="55" t="s">
        <v>51</v>
      </c>
      <c r="F176" s="55" t="s">
        <v>25</v>
      </c>
      <c r="G176" s="55" t="s">
        <v>25</v>
      </c>
      <c r="H176" s="55" t="s">
        <v>34</v>
      </c>
      <c r="I176" s="63">
        <v>44531</v>
      </c>
      <c r="J176" s="64">
        <f ca="1">EFEITO!$J$176*EFEITO!$Y$134</f>
        <v>217177.91459552181</v>
      </c>
      <c r="K176" s="64">
        <f ca="1">EFEITO!$L$176*EFEITO!$Z$134</f>
        <v>33184.85350554037</v>
      </c>
      <c r="L176" s="64">
        <f>EFEITO!$N$176*EFEITO!$AA$134</f>
        <v>216156.17512540269</v>
      </c>
      <c r="M176" s="64">
        <f ca="1">$J$176-EFEITO!$K$176*EFEITO!$Y$176</f>
        <v>6515.3374378656445</v>
      </c>
      <c r="N176" s="64">
        <f ca="1">$K$176-EFEITO!$M$176*EFEITO!$Z$176</f>
        <v>995.54560516621132</v>
      </c>
      <c r="O176" s="64">
        <f>$L$176-EFEITO!$O$176*EFEITO!$AA$176</f>
        <v>6484.6852537620871</v>
      </c>
      <c r="P176" s="19"/>
      <c r="Q176" s="19"/>
      <c r="R176" s="19"/>
      <c r="S176" s="19"/>
      <c r="T176" s="19"/>
      <c r="U176" s="19"/>
      <c r="V176" s="19"/>
      <c r="W176" s="19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55" t="s">
        <v>21</v>
      </c>
      <c r="B177" s="55" t="s">
        <v>39</v>
      </c>
      <c r="C177" s="55" t="s">
        <v>40</v>
      </c>
      <c r="D177" s="55" t="s">
        <v>50</v>
      </c>
      <c r="E177" s="55" t="s">
        <v>51</v>
      </c>
      <c r="F177" s="55" t="s">
        <v>25</v>
      </c>
      <c r="G177" s="55" t="s">
        <v>25</v>
      </c>
      <c r="H177" s="55" t="s">
        <v>34</v>
      </c>
      <c r="I177" s="63">
        <v>44562</v>
      </c>
      <c r="J177" s="64">
        <f ca="1">EFEITO!$J$177*EFEITO!$Y$134</f>
        <v>206798.55793133937</v>
      </c>
      <c r="K177" s="64">
        <f ca="1">EFEITO!$L$177*EFEITO!$Z$134</f>
        <v>29452.276491326367</v>
      </c>
      <c r="L177" s="64">
        <f>EFEITO!$N$177*EFEITO!$AA$134</f>
        <v>191843.2888075893</v>
      </c>
      <c r="M177" s="64">
        <f ca="1">$J$177-EFEITO!$K$177*EFEITO!$Y$177</f>
        <v>6203.9567379401997</v>
      </c>
      <c r="N177" s="64">
        <f ca="1">$K$177-EFEITO!$M$177*EFEITO!$Z$177</f>
        <v>883.56829473979087</v>
      </c>
      <c r="O177" s="64">
        <f>$L$177-EFEITO!$O$177*EFEITO!$AA$177</f>
        <v>5755.2986642277101</v>
      </c>
      <c r="P177" s="19"/>
      <c r="Q177" s="19"/>
      <c r="R177" s="19"/>
      <c r="S177" s="19"/>
      <c r="T177" s="19"/>
      <c r="U177" s="19"/>
      <c r="V177" s="19"/>
      <c r="W177" s="19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55" t="s">
        <v>21</v>
      </c>
      <c r="B178" s="55" t="s">
        <v>39</v>
      </c>
      <c r="C178" s="55" t="s">
        <v>40</v>
      </c>
      <c r="D178" s="55" t="s">
        <v>50</v>
      </c>
      <c r="E178" s="55" t="s">
        <v>51</v>
      </c>
      <c r="F178" s="55" t="s">
        <v>25</v>
      </c>
      <c r="G178" s="55" t="s">
        <v>25</v>
      </c>
      <c r="H178" s="55" t="s">
        <v>34</v>
      </c>
      <c r="I178" s="63">
        <v>44593</v>
      </c>
      <c r="J178" s="64">
        <f ca="1">EFEITO!$J$178*EFEITO!$Y$134</f>
        <v>207587.1332836489</v>
      </c>
      <c r="K178" s="64">
        <f ca="1">EFEITO!$L$178*EFEITO!$Z$134</f>
        <v>28594.779876743203</v>
      </c>
      <c r="L178" s="64">
        <f>EFEITO!$N$178*EFEITO!$AA$134</f>
        <v>186257.81324234887</v>
      </c>
      <c r="M178" s="64">
        <f ca="1">$J$178-EFEITO!$K$178*EFEITO!$Y$178</f>
        <v>6227.6139985094487</v>
      </c>
      <c r="N178" s="64">
        <f ca="1">$K$178-EFEITO!$M$178*EFEITO!$Z$178</f>
        <v>857.84339630229806</v>
      </c>
      <c r="O178" s="64">
        <f>$L$178-EFEITO!$O$178*EFEITO!$AA$178</f>
        <v>5587.7343972704839</v>
      </c>
      <c r="P178" s="19"/>
      <c r="Q178" s="19"/>
      <c r="R178" s="19"/>
      <c r="S178" s="19"/>
      <c r="T178" s="19"/>
      <c r="U178" s="19"/>
      <c r="V178" s="19"/>
      <c r="W178" s="19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55" t="s">
        <v>21</v>
      </c>
      <c r="B179" s="55" t="s">
        <v>39</v>
      </c>
      <c r="C179" s="55" t="s">
        <v>40</v>
      </c>
      <c r="D179" s="55" t="s">
        <v>50</v>
      </c>
      <c r="E179" s="55" t="s">
        <v>51</v>
      </c>
      <c r="F179" s="55" t="s">
        <v>25</v>
      </c>
      <c r="G179" s="55" t="s">
        <v>25</v>
      </c>
      <c r="H179" s="55" t="s">
        <v>34</v>
      </c>
      <c r="I179" s="63">
        <v>44621</v>
      </c>
      <c r="J179" s="64">
        <f ca="1">EFEITO!$J$179*EFEITO!$Y$134</f>
        <v>192263.196032012</v>
      </c>
      <c r="K179" s="64">
        <f ca="1">EFEITO!$L$179*EFEITO!$Z$134</f>
        <v>29615.490662484452</v>
      </c>
      <c r="L179" s="64">
        <f>EFEITO!$N$179*EFEITO!$AA$134</f>
        <v>192906.4169289144</v>
      </c>
      <c r="M179" s="64">
        <f ca="1">$J$179-EFEITO!$K$179*EFEITO!$Y$179</f>
        <v>5767.8958809603646</v>
      </c>
      <c r="N179" s="64">
        <f ca="1">$K$179-EFEITO!$M$179*EFEITO!$Z$179</f>
        <v>888.46471987453333</v>
      </c>
      <c r="O179" s="64">
        <f>$L$179-EFEITO!$O$179*EFEITO!$AA$179</f>
        <v>5787.1925078674394</v>
      </c>
      <c r="P179" s="19"/>
      <c r="Q179" s="19"/>
      <c r="R179" s="19"/>
      <c r="S179" s="19"/>
      <c r="T179" s="19"/>
      <c r="U179" s="19"/>
      <c r="V179" s="19"/>
      <c r="W179" s="19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55" t="s">
        <v>21</v>
      </c>
      <c r="B180" s="55" t="s">
        <v>39</v>
      </c>
      <c r="C180" s="55" t="s">
        <v>40</v>
      </c>
      <c r="D180" s="55" t="s">
        <v>50</v>
      </c>
      <c r="E180" s="55" t="s">
        <v>51</v>
      </c>
      <c r="F180" s="55" t="s">
        <v>25</v>
      </c>
      <c r="G180" s="55" t="s">
        <v>25</v>
      </c>
      <c r="H180" s="55" t="s">
        <v>34</v>
      </c>
      <c r="I180" s="63">
        <v>44652</v>
      </c>
      <c r="J180" s="64">
        <f ca="1">EFEITO!$J$180*EFEITO!$Y$134</f>
        <v>194991.24049405585</v>
      </c>
      <c r="K180" s="64">
        <f ca="1">EFEITO!$L$180*EFEITO!$Z$134</f>
        <v>25048.757047319508</v>
      </c>
      <c r="L180" s="64">
        <f>EFEITO!$N$180*EFEITO!$AA$134</f>
        <v>163160.08488903209</v>
      </c>
      <c r="M180" s="64">
        <f ca="1">$J$180-EFEITO!$K$180*EFEITO!$Y$180</f>
        <v>5849.7372148216818</v>
      </c>
      <c r="N180" s="64">
        <f ca="1">$K$180-EFEITO!$M$180*EFEITO!$Z$180</f>
        <v>751.46271141958641</v>
      </c>
      <c r="O180" s="64">
        <f>$L$180-EFEITO!$O$180*EFEITO!$AA$180</f>
        <v>4894.8025466709805</v>
      </c>
      <c r="P180" s="19"/>
      <c r="Q180" s="19"/>
      <c r="R180" s="19"/>
      <c r="S180" s="19"/>
      <c r="T180" s="19"/>
      <c r="U180" s="19"/>
      <c r="V180" s="19"/>
      <c r="W180" s="19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55" t="s">
        <v>21</v>
      </c>
      <c r="B181" s="55" t="s">
        <v>39</v>
      </c>
      <c r="C181" s="55" t="s">
        <v>40</v>
      </c>
      <c r="D181" s="55" t="s">
        <v>50</v>
      </c>
      <c r="E181" s="55" t="s">
        <v>51</v>
      </c>
      <c r="F181" s="55" t="s">
        <v>25</v>
      </c>
      <c r="G181" s="55" t="s">
        <v>25</v>
      </c>
      <c r="H181" s="55" t="s">
        <v>34</v>
      </c>
      <c r="I181" s="63">
        <v>44682</v>
      </c>
      <c r="J181" s="64">
        <f ca="1">EFEITO!$J$181*EFEITO!$Y$134</f>
        <v>191346.74359554413</v>
      </c>
      <c r="K181" s="64">
        <f ca="1">EFEITO!$L$181*EFEITO!$Z$134</f>
        <v>29176.51035869533</v>
      </c>
      <c r="L181" s="64">
        <f>EFEITO!$N$181*EFEITO!$AA$134</f>
        <v>190047.03099229719</v>
      </c>
      <c r="M181" s="64">
        <f ca="1">$J$181-EFEITO!$K$181*EFEITO!$Y$181</f>
        <v>5740.4023078663158</v>
      </c>
      <c r="N181" s="64">
        <f ca="1">$K$181-EFEITO!$M$181*EFEITO!$Z$181</f>
        <v>875.29531076086278</v>
      </c>
      <c r="O181" s="64">
        <f>$L$181-EFEITO!$O$181*EFEITO!$AA$181</f>
        <v>5701.4109297689283</v>
      </c>
      <c r="P181" s="19"/>
      <c r="Q181" s="19"/>
      <c r="R181" s="19"/>
      <c r="S181" s="19"/>
      <c r="T181" s="19"/>
      <c r="U181" s="19"/>
      <c r="V181" s="19"/>
      <c r="W181" s="19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55" t="s">
        <v>21</v>
      </c>
      <c r="B182" s="55" t="s">
        <v>39</v>
      </c>
      <c r="C182" s="55" t="s">
        <v>40</v>
      </c>
      <c r="D182" s="55" t="s">
        <v>50</v>
      </c>
      <c r="E182" s="55" t="s">
        <v>51</v>
      </c>
      <c r="F182" s="55" t="s">
        <v>25</v>
      </c>
      <c r="G182" s="55" t="s">
        <v>25</v>
      </c>
      <c r="H182" s="55" t="s">
        <v>34</v>
      </c>
      <c r="I182" s="63">
        <v>44713</v>
      </c>
      <c r="J182" s="64">
        <f ca="1">EFEITO!$J$182*EFEITO!$Y$134</f>
        <v>190622.10678531375</v>
      </c>
      <c r="K182" s="64">
        <f ca="1">EFEITO!$L$182*EFEITO!$Z$134</f>
        <v>27737.67041878427</v>
      </c>
      <c r="L182" s="64">
        <f>EFEITO!$N$182*EFEITO!$AA$134</f>
        <v>180674.85949915159</v>
      </c>
      <c r="M182" s="64">
        <f ca="1">$J$182-EFEITO!$K$182*EFEITO!$Y$182</f>
        <v>5718.6632035594084</v>
      </c>
      <c r="N182" s="64">
        <f ca="1">$K$182-EFEITO!$M$182*EFEITO!$Z$182</f>
        <v>832.13011256352911</v>
      </c>
      <c r="O182" s="64">
        <f>$L$182-EFEITO!$O$182*EFEITO!$AA$182</f>
        <v>5420.2457849745406</v>
      </c>
      <c r="P182" s="19"/>
      <c r="Q182" s="19"/>
      <c r="R182" s="19"/>
      <c r="S182" s="19"/>
      <c r="T182" s="19"/>
      <c r="U182" s="19"/>
      <c r="V182" s="19"/>
      <c r="W182" s="19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55" t="s">
        <v>57</v>
      </c>
      <c r="B183" s="55" t="s">
        <v>39</v>
      </c>
      <c r="C183" s="55" t="s">
        <v>40</v>
      </c>
      <c r="D183" s="55" t="s">
        <v>50</v>
      </c>
      <c r="E183" s="55" t="s">
        <v>51</v>
      </c>
      <c r="F183" s="55" t="s">
        <v>25</v>
      </c>
      <c r="G183" s="55" t="s">
        <v>25</v>
      </c>
      <c r="H183" s="55" t="s">
        <v>34</v>
      </c>
      <c r="I183" s="63">
        <v>44743</v>
      </c>
      <c r="J183" s="64">
        <f ca="1">EFEITO!$J$183*EFEITO!$Y$134</f>
        <v>190622.10678531375</v>
      </c>
      <c r="K183" s="64">
        <f ca="1">EFEITO!$L$183*EFEITO!$Z$134</f>
        <v>27737.67041878427</v>
      </c>
      <c r="L183" s="64">
        <f>EFEITO!$N$183*EFEITO!$AA$134</f>
        <v>180674.85949915159</v>
      </c>
      <c r="M183" s="64">
        <f ca="1">$J$183-EFEITO!$K$183*EFEITO!$Y$183</f>
        <v>5718.6632035594084</v>
      </c>
      <c r="N183" s="64">
        <f ca="1">$K$183-EFEITO!$M$183*EFEITO!$Z$183</f>
        <v>832.13011256352911</v>
      </c>
      <c r="O183" s="64">
        <f>$L$183-EFEITO!$O$183*EFEITO!$AA$183</f>
        <v>5420.2457849745406</v>
      </c>
      <c r="P183" s="19"/>
      <c r="Q183" s="19"/>
      <c r="R183" s="19"/>
      <c r="S183" s="19"/>
      <c r="T183" s="19"/>
      <c r="U183" s="19"/>
      <c r="V183" s="19"/>
      <c r="W183" s="19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55" t="s">
        <v>21</v>
      </c>
      <c r="B184" s="55" t="s">
        <v>39</v>
      </c>
      <c r="C184" s="55" t="s">
        <v>62</v>
      </c>
      <c r="D184" s="55" t="s">
        <v>25</v>
      </c>
      <c r="E184" s="55" t="s">
        <v>25</v>
      </c>
      <c r="F184" s="55" t="s">
        <v>25</v>
      </c>
      <c r="G184" s="55" t="s">
        <v>65</v>
      </c>
      <c r="H184" s="55" t="s">
        <v>35</v>
      </c>
      <c r="I184" s="63">
        <v>44409</v>
      </c>
      <c r="J184" s="64">
        <f ca="1">EFEITO!$J$184*EFEITO!$Y$184</f>
        <v>355241.99216042605</v>
      </c>
      <c r="K184" s="64">
        <f ca="1">EFEITO!$L$184*EFEITO!$Z$184</f>
        <v>0</v>
      </c>
      <c r="L184" s="64">
        <f>EFEITO!$N$184*EFEITO!$AA$184</f>
        <v>0</v>
      </c>
      <c r="M184" s="64">
        <f ca="1">$J$184-EFEITO!$K$184*EFEITO!$Y$184</f>
        <v>0</v>
      </c>
      <c r="N184" s="64">
        <f ca="1">$K$184-EFEITO!$M$184*EFEITO!$Z$184</f>
        <v>0</v>
      </c>
      <c r="O184" s="64">
        <f>$L$184-EFEITO!$O$184*EFEITO!$AA$184</f>
        <v>0</v>
      </c>
      <c r="P184" s="19"/>
      <c r="Q184" s="19"/>
      <c r="R184" s="19"/>
      <c r="S184" s="19"/>
      <c r="T184" s="19"/>
      <c r="U184" s="19"/>
      <c r="V184" s="19"/>
      <c r="W184" s="19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55" t="s">
        <v>21</v>
      </c>
      <c r="B185" s="55" t="s">
        <v>39</v>
      </c>
      <c r="C185" s="55" t="s">
        <v>62</v>
      </c>
      <c r="D185" s="55" t="s">
        <v>25</v>
      </c>
      <c r="E185" s="55" t="s">
        <v>25</v>
      </c>
      <c r="F185" s="55" t="s">
        <v>25</v>
      </c>
      <c r="G185" s="55" t="s">
        <v>65</v>
      </c>
      <c r="H185" s="55" t="s">
        <v>35</v>
      </c>
      <c r="I185" s="63">
        <v>44440</v>
      </c>
      <c r="J185" s="64">
        <f ca="1">EFEITO!$J$185*EFEITO!$Y$185</f>
        <v>355241.99216042605</v>
      </c>
      <c r="K185" s="64">
        <f ca="1">EFEITO!$L$185*EFEITO!$Z$185</f>
        <v>0</v>
      </c>
      <c r="L185" s="64">
        <f>EFEITO!$N$185*EFEITO!$AA$185</f>
        <v>0</v>
      </c>
      <c r="M185" s="64">
        <f ca="1">$J$185-EFEITO!$K$185*EFEITO!$Y$185</f>
        <v>0</v>
      </c>
      <c r="N185" s="64">
        <f ca="1">$K$185-EFEITO!$M$185*EFEITO!$Z$185</f>
        <v>0</v>
      </c>
      <c r="O185" s="64">
        <f>$L$185-EFEITO!$O$185*EFEITO!$AA$185</f>
        <v>0</v>
      </c>
      <c r="P185" s="19"/>
      <c r="Q185" s="19"/>
      <c r="R185" s="19"/>
      <c r="S185" s="19"/>
      <c r="T185" s="19"/>
      <c r="U185" s="19"/>
      <c r="V185" s="19"/>
      <c r="W185" s="19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55" t="s">
        <v>21</v>
      </c>
      <c r="B186" s="55" t="s">
        <v>39</v>
      </c>
      <c r="C186" s="55" t="s">
        <v>62</v>
      </c>
      <c r="D186" s="55" t="s">
        <v>25</v>
      </c>
      <c r="E186" s="55" t="s">
        <v>25</v>
      </c>
      <c r="F186" s="55" t="s">
        <v>25</v>
      </c>
      <c r="G186" s="55" t="s">
        <v>65</v>
      </c>
      <c r="H186" s="55" t="s">
        <v>35</v>
      </c>
      <c r="I186" s="63">
        <v>44470</v>
      </c>
      <c r="J186" s="64">
        <f ca="1">EFEITO!$J$186*EFEITO!$Y$186</f>
        <v>355241.99216042605</v>
      </c>
      <c r="K186" s="64">
        <f ca="1">EFEITO!$L$186*EFEITO!$Z$186</f>
        <v>0</v>
      </c>
      <c r="L186" s="64">
        <f>EFEITO!$N$186*EFEITO!$AA$186</f>
        <v>0</v>
      </c>
      <c r="M186" s="64">
        <f ca="1">$J$186-EFEITO!$K$186*EFEITO!$Y$186</f>
        <v>0</v>
      </c>
      <c r="N186" s="64">
        <f ca="1">$K$186-EFEITO!$M$186*EFEITO!$Z$186</f>
        <v>0</v>
      </c>
      <c r="O186" s="64">
        <f>$L$186-EFEITO!$O$186*EFEITO!$AA$186</f>
        <v>0</v>
      </c>
      <c r="P186" s="19"/>
      <c r="Q186" s="19"/>
      <c r="R186" s="19"/>
      <c r="S186" s="19"/>
      <c r="T186" s="19"/>
      <c r="U186" s="19"/>
      <c r="V186" s="19"/>
      <c r="W186" s="19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55" t="s">
        <v>21</v>
      </c>
      <c r="B187" s="55" t="s">
        <v>39</v>
      </c>
      <c r="C187" s="55" t="s">
        <v>62</v>
      </c>
      <c r="D187" s="55" t="s">
        <v>25</v>
      </c>
      <c r="E187" s="55" t="s">
        <v>25</v>
      </c>
      <c r="F187" s="55" t="s">
        <v>25</v>
      </c>
      <c r="G187" s="55" t="s">
        <v>65</v>
      </c>
      <c r="H187" s="55" t="s">
        <v>35</v>
      </c>
      <c r="I187" s="63">
        <v>44501</v>
      </c>
      <c r="J187" s="64">
        <f ca="1">EFEITO!$J$187*EFEITO!$Y$187</f>
        <v>355241.99216042605</v>
      </c>
      <c r="K187" s="64">
        <f ca="1">EFEITO!$L$187*EFEITO!$Z$187</f>
        <v>0</v>
      </c>
      <c r="L187" s="64">
        <f>EFEITO!$N$187*EFEITO!$AA$187</f>
        <v>0</v>
      </c>
      <c r="M187" s="64">
        <f ca="1">$J$187-EFEITO!$K$187*EFEITO!$Y$187</f>
        <v>0</v>
      </c>
      <c r="N187" s="64">
        <f ca="1">$K$187-EFEITO!$M$187*EFEITO!$Z$187</f>
        <v>0</v>
      </c>
      <c r="O187" s="64">
        <f>$L$187-EFEITO!$O$187*EFEITO!$AA$187</f>
        <v>0</v>
      </c>
      <c r="P187" s="19"/>
      <c r="Q187" s="19"/>
      <c r="R187" s="19"/>
      <c r="S187" s="19"/>
      <c r="T187" s="19"/>
      <c r="U187" s="19"/>
      <c r="V187" s="19"/>
      <c r="W187" s="19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55" t="s">
        <v>21</v>
      </c>
      <c r="B188" s="55" t="s">
        <v>39</v>
      </c>
      <c r="C188" s="55" t="s">
        <v>62</v>
      </c>
      <c r="D188" s="55" t="s">
        <v>25</v>
      </c>
      <c r="E188" s="55" t="s">
        <v>25</v>
      </c>
      <c r="F188" s="55" t="s">
        <v>25</v>
      </c>
      <c r="G188" s="55" t="s">
        <v>65</v>
      </c>
      <c r="H188" s="55" t="s">
        <v>35</v>
      </c>
      <c r="I188" s="63">
        <v>44531</v>
      </c>
      <c r="J188" s="64">
        <f ca="1">EFEITO!$J$188*EFEITO!$Y$188</f>
        <v>355241.99216042605</v>
      </c>
      <c r="K188" s="64">
        <f ca="1">EFEITO!$L$188*EFEITO!$Z$188</f>
        <v>0</v>
      </c>
      <c r="L188" s="64">
        <f>EFEITO!$N$188*EFEITO!$AA$188</f>
        <v>0</v>
      </c>
      <c r="M188" s="64">
        <f ca="1">$J$188-EFEITO!$K$188*EFEITO!$Y$188</f>
        <v>0</v>
      </c>
      <c r="N188" s="64">
        <f ca="1">$K$188-EFEITO!$M$188*EFEITO!$Z$188</f>
        <v>0</v>
      </c>
      <c r="O188" s="64">
        <f>$L$188-EFEITO!$O$188*EFEITO!$AA$188</f>
        <v>0</v>
      </c>
      <c r="P188" s="19"/>
      <c r="Q188" s="19"/>
      <c r="R188" s="19"/>
      <c r="S188" s="19"/>
      <c r="T188" s="19"/>
      <c r="U188" s="19"/>
      <c r="V188" s="19"/>
      <c r="W188" s="19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55" t="s">
        <v>21</v>
      </c>
      <c r="B189" s="55" t="s">
        <v>39</v>
      </c>
      <c r="C189" s="55" t="s">
        <v>62</v>
      </c>
      <c r="D189" s="55" t="s">
        <v>25</v>
      </c>
      <c r="E189" s="55" t="s">
        <v>25</v>
      </c>
      <c r="F189" s="55" t="s">
        <v>25</v>
      </c>
      <c r="G189" s="55" t="s">
        <v>65</v>
      </c>
      <c r="H189" s="55" t="s">
        <v>35</v>
      </c>
      <c r="I189" s="63">
        <v>44562</v>
      </c>
      <c r="J189" s="64">
        <f ca="1">EFEITO!$J$189*EFEITO!$Y$189</f>
        <v>355241.99216042605</v>
      </c>
      <c r="K189" s="64">
        <f ca="1">EFEITO!$L$189*EFEITO!$Z$189</f>
        <v>0</v>
      </c>
      <c r="L189" s="64">
        <f>EFEITO!$N$189*EFEITO!$AA$189</f>
        <v>0</v>
      </c>
      <c r="M189" s="64">
        <f ca="1">$J$189-EFEITO!$K$189*EFEITO!$Y$189</f>
        <v>0</v>
      </c>
      <c r="N189" s="64">
        <f ca="1">$K$189-EFEITO!$M$189*EFEITO!$Z$189</f>
        <v>0</v>
      </c>
      <c r="O189" s="64">
        <f>$L$189-EFEITO!$O$189*EFEITO!$AA$189</f>
        <v>0</v>
      </c>
      <c r="P189" s="19"/>
      <c r="Q189" s="19"/>
      <c r="R189" s="19"/>
      <c r="S189" s="19"/>
      <c r="T189" s="19"/>
      <c r="U189" s="19"/>
      <c r="V189" s="19"/>
      <c r="W189" s="19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55" t="s">
        <v>21</v>
      </c>
      <c r="B190" s="55" t="s">
        <v>39</v>
      </c>
      <c r="C190" s="55" t="s">
        <v>62</v>
      </c>
      <c r="D190" s="55" t="s">
        <v>25</v>
      </c>
      <c r="E190" s="55" t="s">
        <v>25</v>
      </c>
      <c r="F190" s="55" t="s">
        <v>25</v>
      </c>
      <c r="G190" s="55" t="s">
        <v>65</v>
      </c>
      <c r="H190" s="55" t="s">
        <v>35</v>
      </c>
      <c r="I190" s="63">
        <v>44593</v>
      </c>
      <c r="J190" s="64">
        <f ca="1">EFEITO!$J$190*EFEITO!$Y$190</f>
        <v>355241.99216042605</v>
      </c>
      <c r="K190" s="64">
        <f ca="1">EFEITO!$L$190*EFEITO!$Z$190</f>
        <v>0</v>
      </c>
      <c r="L190" s="64">
        <f>EFEITO!$N$190*EFEITO!$AA$190</f>
        <v>0</v>
      </c>
      <c r="M190" s="64">
        <f ca="1">$J$190-EFEITO!$K$190*EFEITO!$Y$190</f>
        <v>0</v>
      </c>
      <c r="N190" s="64">
        <f ca="1">$K$190-EFEITO!$M$190*EFEITO!$Z$190</f>
        <v>0</v>
      </c>
      <c r="O190" s="64">
        <f>$L$190-EFEITO!$O$190*EFEITO!$AA$190</f>
        <v>0</v>
      </c>
      <c r="P190" s="19"/>
      <c r="Q190" s="19"/>
      <c r="R190" s="19"/>
      <c r="S190" s="19"/>
      <c r="T190" s="19"/>
      <c r="U190" s="19"/>
      <c r="V190" s="19"/>
      <c r="W190" s="19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55" t="s">
        <v>21</v>
      </c>
      <c r="B191" s="55" t="s">
        <v>39</v>
      </c>
      <c r="C191" s="55" t="s">
        <v>62</v>
      </c>
      <c r="D191" s="55" t="s">
        <v>25</v>
      </c>
      <c r="E191" s="55" t="s">
        <v>25</v>
      </c>
      <c r="F191" s="55" t="s">
        <v>25</v>
      </c>
      <c r="G191" s="55" t="s">
        <v>65</v>
      </c>
      <c r="H191" s="55" t="s">
        <v>35</v>
      </c>
      <c r="I191" s="63">
        <v>44621</v>
      </c>
      <c r="J191" s="64">
        <f ca="1">EFEITO!$J$191*EFEITO!$Y$191</f>
        <v>355241.99216042605</v>
      </c>
      <c r="K191" s="64">
        <f ca="1">EFEITO!$L$191*EFEITO!$Z$191</f>
        <v>0</v>
      </c>
      <c r="L191" s="64">
        <f>EFEITO!$N$191*EFEITO!$AA$191</f>
        <v>0</v>
      </c>
      <c r="M191" s="64">
        <f ca="1">$J$191-EFEITO!$K$191*EFEITO!$Y$191</f>
        <v>0</v>
      </c>
      <c r="N191" s="64">
        <f ca="1">$K$191-EFEITO!$M$191*EFEITO!$Z$191</f>
        <v>0</v>
      </c>
      <c r="O191" s="64">
        <f>$L$191-EFEITO!$O$191*EFEITO!$AA$191</f>
        <v>0</v>
      </c>
      <c r="P191" s="19"/>
      <c r="Q191" s="19"/>
      <c r="R191" s="19"/>
      <c r="S191" s="19"/>
      <c r="T191" s="19"/>
      <c r="U191" s="19"/>
      <c r="V191" s="19"/>
      <c r="W191" s="19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55" t="s">
        <v>21</v>
      </c>
      <c r="B192" s="55" t="s">
        <v>39</v>
      </c>
      <c r="C192" s="55" t="s">
        <v>62</v>
      </c>
      <c r="D192" s="55" t="s">
        <v>25</v>
      </c>
      <c r="E192" s="55" t="s">
        <v>25</v>
      </c>
      <c r="F192" s="55" t="s">
        <v>25</v>
      </c>
      <c r="G192" s="55" t="s">
        <v>65</v>
      </c>
      <c r="H192" s="55" t="s">
        <v>35</v>
      </c>
      <c r="I192" s="63">
        <v>44652</v>
      </c>
      <c r="J192" s="64">
        <f ca="1">EFEITO!$J$192*EFEITO!$Y$192</f>
        <v>355241.99216042605</v>
      </c>
      <c r="K192" s="64">
        <f ca="1">EFEITO!$L$192*EFEITO!$Z$192</f>
        <v>0</v>
      </c>
      <c r="L192" s="64">
        <f>EFEITO!$N$192*EFEITO!$AA$192</f>
        <v>0</v>
      </c>
      <c r="M192" s="64">
        <f ca="1">$J$192-EFEITO!$K$192*EFEITO!$Y$192</f>
        <v>0</v>
      </c>
      <c r="N192" s="64">
        <f ca="1">$K$192-EFEITO!$M$192*EFEITO!$Z$192</f>
        <v>0</v>
      </c>
      <c r="O192" s="64">
        <f>$L$192-EFEITO!$O$192*EFEITO!$AA$192</f>
        <v>0</v>
      </c>
      <c r="P192" s="19"/>
      <c r="Q192" s="19"/>
      <c r="R192" s="19"/>
      <c r="S192" s="19"/>
      <c r="T192" s="19"/>
      <c r="U192" s="19"/>
      <c r="V192" s="19"/>
      <c r="W192" s="19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55" t="s">
        <v>21</v>
      </c>
      <c r="B193" s="55" t="s">
        <v>39</v>
      </c>
      <c r="C193" s="55" t="s">
        <v>62</v>
      </c>
      <c r="D193" s="55" t="s">
        <v>25</v>
      </c>
      <c r="E193" s="55" t="s">
        <v>25</v>
      </c>
      <c r="F193" s="55" t="s">
        <v>25</v>
      </c>
      <c r="G193" s="55" t="s">
        <v>65</v>
      </c>
      <c r="H193" s="55" t="s">
        <v>35</v>
      </c>
      <c r="I193" s="63">
        <v>44682</v>
      </c>
      <c r="J193" s="64">
        <f ca="1">EFEITO!$J$193*EFEITO!$Y$193</f>
        <v>355241.99216042605</v>
      </c>
      <c r="K193" s="64">
        <f ca="1">EFEITO!$L$193*EFEITO!$Z$193</f>
        <v>0</v>
      </c>
      <c r="L193" s="64">
        <f>EFEITO!$N$193*EFEITO!$AA$193</f>
        <v>0</v>
      </c>
      <c r="M193" s="64">
        <f ca="1">$J$193-EFEITO!$K$193*EFEITO!$Y$193</f>
        <v>0</v>
      </c>
      <c r="N193" s="64">
        <f ca="1">$K$193-EFEITO!$M$193*EFEITO!$Z$193</f>
        <v>0</v>
      </c>
      <c r="O193" s="64">
        <f>$L$193-EFEITO!$O$193*EFEITO!$AA$193</f>
        <v>0</v>
      </c>
      <c r="P193" s="19"/>
      <c r="Q193" s="19"/>
      <c r="R193" s="19"/>
      <c r="S193" s="19"/>
      <c r="T193" s="19"/>
      <c r="U193" s="19"/>
      <c r="V193" s="19"/>
      <c r="W193" s="19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55" t="s">
        <v>21</v>
      </c>
      <c r="B194" s="55" t="s">
        <v>39</v>
      </c>
      <c r="C194" s="55" t="s">
        <v>62</v>
      </c>
      <c r="D194" s="55" t="s">
        <v>25</v>
      </c>
      <c r="E194" s="55" t="s">
        <v>25</v>
      </c>
      <c r="F194" s="55" t="s">
        <v>25</v>
      </c>
      <c r="G194" s="55" t="s">
        <v>65</v>
      </c>
      <c r="H194" s="55" t="s">
        <v>35</v>
      </c>
      <c r="I194" s="63">
        <v>44713</v>
      </c>
      <c r="J194" s="64">
        <f ca="1">EFEITO!$J$194*EFEITO!$Y$194</f>
        <v>355241.99216042605</v>
      </c>
      <c r="K194" s="64">
        <f ca="1">EFEITO!$L$194*EFEITO!$Z$194</f>
        <v>0</v>
      </c>
      <c r="L194" s="64">
        <f>EFEITO!$N$194*EFEITO!$AA$194</f>
        <v>0</v>
      </c>
      <c r="M194" s="64">
        <f ca="1">$J$194-EFEITO!$K$194*EFEITO!$Y$194</f>
        <v>0</v>
      </c>
      <c r="N194" s="64">
        <f ca="1">$K$194-EFEITO!$M$194*EFEITO!$Z$194</f>
        <v>0</v>
      </c>
      <c r="O194" s="64">
        <f>$L$194-EFEITO!$O$194*EFEITO!$AA$194</f>
        <v>0</v>
      </c>
      <c r="P194" s="19"/>
      <c r="Q194" s="19"/>
      <c r="R194" s="19"/>
      <c r="S194" s="19"/>
      <c r="T194" s="19"/>
      <c r="U194" s="19"/>
      <c r="V194" s="19"/>
      <c r="W194" s="19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55" t="s">
        <v>57</v>
      </c>
      <c r="B195" s="55" t="s">
        <v>39</v>
      </c>
      <c r="C195" s="55" t="s">
        <v>62</v>
      </c>
      <c r="D195" s="55" t="s">
        <v>25</v>
      </c>
      <c r="E195" s="55" t="s">
        <v>25</v>
      </c>
      <c r="F195" s="55" t="s">
        <v>25</v>
      </c>
      <c r="G195" s="55" t="s">
        <v>65</v>
      </c>
      <c r="H195" s="55" t="s">
        <v>35</v>
      </c>
      <c r="I195" s="63">
        <v>44743</v>
      </c>
      <c r="J195" s="64">
        <f ca="1">EFEITO!$J$195*EFEITO!$Y$195</f>
        <v>355241.99216042605</v>
      </c>
      <c r="K195" s="64">
        <f ca="1">EFEITO!$L$195*EFEITO!$Z$195</f>
        <v>0</v>
      </c>
      <c r="L195" s="64">
        <f>EFEITO!$N$195*EFEITO!$AA$195</f>
        <v>0</v>
      </c>
      <c r="M195" s="64">
        <f ca="1">$J$195-EFEITO!$K$195*EFEITO!$Y$195</f>
        <v>0</v>
      </c>
      <c r="N195" s="64">
        <f ca="1">$K$195-EFEITO!$M$195*EFEITO!$Z$195</f>
        <v>0</v>
      </c>
      <c r="O195" s="64">
        <f>$L$195-EFEITO!$O$195*EFEITO!$AA$195</f>
        <v>0</v>
      </c>
      <c r="P195" s="19"/>
      <c r="Q195" s="19"/>
      <c r="R195" s="19"/>
      <c r="S195" s="19"/>
      <c r="T195" s="19"/>
      <c r="U195" s="19"/>
      <c r="V195" s="19"/>
      <c r="W195" s="19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55" t="s">
        <v>21</v>
      </c>
      <c r="B196" s="55" t="s">
        <v>39</v>
      </c>
      <c r="C196" s="55" t="s">
        <v>62</v>
      </c>
      <c r="D196" s="55" t="s">
        <v>25</v>
      </c>
      <c r="E196" s="55" t="s">
        <v>25</v>
      </c>
      <c r="F196" s="55" t="s">
        <v>25</v>
      </c>
      <c r="G196" s="55" t="s">
        <v>65</v>
      </c>
      <c r="H196" s="55" t="s">
        <v>25</v>
      </c>
      <c r="I196" s="63">
        <v>44409</v>
      </c>
      <c r="J196" s="64">
        <f ca="1">EFEITO!$J$196*EFEITO!$Y$196</f>
        <v>0</v>
      </c>
      <c r="K196" s="64">
        <f ca="1">EFEITO!$L$196*EFEITO!$Z$196</f>
        <v>73245.381077633356</v>
      </c>
      <c r="L196" s="64">
        <f>EFEITO!$N$196*EFEITO!$AA$196</f>
        <v>0</v>
      </c>
      <c r="M196" s="64">
        <f ca="1">$J$196-EFEITO!$K$196*EFEITO!$Y$196</f>
        <v>0</v>
      </c>
      <c r="N196" s="64">
        <f ca="1">$K$196-EFEITO!$M$196*EFEITO!$Z$196</f>
        <v>0</v>
      </c>
      <c r="O196" s="64">
        <f>$L$196-EFEITO!$O$196*EFEITO!$AA$196</f>
        <v>0</v>
      </c>
      <c r="P196" s="19"/>
      <c r="Q196" s="19"/>
      <c r="R196" s="19"/>
      <c r="S196" s="19"/>
      <c r="T196" s="19"/>
      <c r="U196" s="19"/>
      <c r="V196" s="19"/>
      <c r="W196" s="19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55" t="s">
        <v>21</v>
      </c>
      <c r="B197" s="55" t="s">
        <v>39</v>
      </c>
      <c r="C197" s="55" t="s">
        <v>62</v>
      </c>
      <c r="D197" s="55" t="s">
        <v>25</v>
      </c>
      <c r="E197" s="55" t="s">
        <v>25</v>
      </c>
      <c r="F197" s="55" t="s">
        <v>25</v>
      </c>
      <c r="G197" s="55" t="s">
        <v>65</v>
      </c>
      <c r="H197" s="55" t="s">
        <v>25</v>
      </c>
      <c r="I197" s="63">
        <v>44440</v>
      </c>
      <c r="J197" s="64">
        <f ca="1">EFEITO!$J$197*EFEITO!$Y$197</f>
        <v>0</v>
      </c>
      <c r="K197" s="64">
        <f ca="1">EFEITO!$L$197*EFEITO!$Z$197</f>
        <v>71285.707137164936</v>
      </c>
      <c r="L197" s="64">
        <f>EFEITO!$N$197*EFEITO!$AA$197</f>
        <v>0</v>
      </c>
      <c r="M197" s="64">
        <f ca="1">$J$197-EFEITO!$K$197*EFEITO!$Y$197</f>
        <v>0</v>
      </c>
      <c r="N197" s="64">
        <f ca="1">$K$197-EFEITO!$M$197*EFEITO!$Z$197</f>
        <v>0</v>
      </c>
      <c r="O197" s="64">
        <f>$L$197-EFEITO!$O$197*EFEITO!$AA$197</f>
        <v>0</v>
      </c>
      <c r="P197" s="19"/>
      <c r="Q197" s="19"/>
      <c r="R197" s="19"/>
      <c r="S197" s="19"/>
      <c r="T197" s="19"/>
      <c r="U197" s="19"/>
      <c r="V197" s="19"/>
      <c r="W197" s="19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55" t="s">
        <v>21</v>
      </c>
      <c r="B198" s="55" t="s">
        <v>39</v>
      </c>
      <c r="C198" s="55" t="s">
        <v>62</v>
      </c>
      <c r="D198" s="55" t="s">
        <v>25</v>
      </c>
      <c r="E198" s="55" t="s">
        <v>25</v>
      </c>
      <c r="F198" s="55" t="s">
        <v>25</v>
      </c>
      <c r="G198" s="55" t="s">
        <v>65</v>
      </c>
      <c r="H198" s="55" t="s">
        <v>25</v>
      </c>
      <c r="I198" s="63">
        <v>44470</v>
      </c>
      <c r="J198" s="64">
        <f ca="1">EFEITO!$J$198*EFEITO!$Y$198</f>
        <v>0</v>
      </c>
      <c r="K198" s="64">
        <f ca="1">EFEITO!$L$198*EFEITO!$Z$198</f>
        <v>74279.910359277506</v>
      </c>
      <c r="L198" s="64">
        <f>EFEITO!$N$198*EFEITO!$AA$198</f>
        <v>0</v>
      </c>
      <c r="M198" s="64">
        <f ca="1">$J$198-EFEITO!$K$198*EFEITO!$Y$198</f>
        <v>0</v>
      </c>
      <c r="N198" s="64">
        <f ca="1">$K$198-EFEITO!$M$198*EFEITO!$Z$198</f>
        <v>0</v>
      </c>
      <c r="O198" s="64">
        <f>$L$198-EFEITO!$O$198*EFEITO!$AA$198</f>
        <v>0</v>
      </c>
      <c r="P198" s="19"/>
      <c r="Q198" s="19"/>
      <c r="R198" s="19"/>
      <c r="S198" s="19"/>
      <c r="T198" s="19"/>
      <c r="U198" s="19"/>
      <c r="V198" s="19"/>
      <c r="W198" s="19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55" t="s">
        <v>21</v>
      </c>
      <c r="B199" s="55" t="s">
        <v>39</v>
      </c>
      <c r="C199" s="55" t="s">
        <v>62</v>
      </c>
      <c r="D199" s="55" t="s">
        <v>25</v>
      </c>
      <c r="E199" s="55" t="s">
        <v>25</v>
      </c>
      <c r="F199" s="55" t="s">
        <v>25</v>
      </c>
      <c r="G199" s="55" t="s">
        <v>65</v>
      </c>
      <c r="H199" s="55" t="s">
        <v>25</v>
      </c>
      <c r="I199" s="63">
        <v>44501</v>
      </c>
      <c r="J199" s="64">
        <f ca="1">EFEITO!$J$199*EFEITO!$Y$199</f>
        <v>0</v>
      </c>
      <c r="K199" s="64">
        <f ca="1">EFEITO!$L$199*EFEITO!$Z$199</f>
        <v>79362.041936244466</v>
      </c>
      <c r="L199" s="64">
        <f>EFEITO!$N$199*EFEITO!$AA$199</f>
        <v>0</v>
      </c>
      <c r="M199" s="64">
        <f ca="1">$J$199-EFEITO!$K$199*EFEITO!$Y$199</f>
        <v>0</v>
      </c>
      <c r="N199" s="64">
        <f ca="1">$K$199-EFEITO!$M$199*EFEITO!$Z$199</f>
        <v>0</v>
      </c>
      <c r="O199" s="64">
        <f>$L$199-EFEITO!$O$199*EFEITO!$AA$199</f>
        <v>0</v>
      </c>
      <c r="P199" s="19"/>
      <c r="Q199" s="19"/>
      <c r="R199" s="19"/>
      <c r="S199" s="19"/>
      <c r="T199" s="19"/>
      <c r="U199" s="19"/>
      <c r="V199" s="19"/>
      <c r="W199" s="19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55" t="s">
        <v>21</v>
      </c>
      <c r="B200" s="55" t="s">
        <v>39</v>
      </c>
      <c r="C200" s="55" t="s">
        <v>62</v>
      </c>
      <c r="D200" s="55" t="s">
        <v>25</v>
      </c>
      <c r="E200" s="55" t="s">
        <v>25</v>
      </c>
      <c r="F200" s="55" t="s">
        <v>25</v>
      </c>
      <c r="G200" s="55" t="s">
        <v>65</v>
      </c>
      <c r="H200" s="55" t="s">
        <v>25</v>
      </c>
      <c r="I200" s="63">
        <v>44531</v>
      </c>
      <c r="J200" s="64">
        <f ca="1">EFEITO!$J$200*EFEITO!$Y$200</f>
        <v>0</v>
      </c>
      <c r="K200" s="64">
        <f ca="1">EFEITO!$L$200*EFEITO!$Z$200</f>
        <v>79086.983359861071</v>
      </c>
      <c r="L200" s="64">
        <f>EFEITO!$N$200*EFEITO!$AA$200</f>
        <v>0</v>
      </c>
      <c r="M200" s="64">
        <f ca="1">$J$200-EFEITO!$K$200*EFEITO!$Y$200</f>
        <v>0</v>
      </c>
      <c r="N200" s="64">
        <f ca="1">$K$200-EFEITO!$M$200*EFEITO!$Z$200</f>
        <v>0</v>
      </c>
      <c r="O200" s="64">
        <f>$L$200-EFEITO!$O$200*EFEITO!$AA$200</f>
        <v>0</v>
      </c>
      <c r="P200" s="19"/>
      <c r="Q200" s="19"/>
      <c r="R200" s="19"/>
      <c r="S200" s="19"/>
      <c r="T200" s="19"/>
      <c r="U200" s="19"/>
      <c r="V200" s="19"/>
      <c r="W200" s="19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55" t="s">
        <v>21</v>
      </c>
      <c r="B201" s="55" t="s">
        <v>39</v>
      </c>
      <c r="C201" s="55" t="s">
        <v>62</v>
      </c>
      <c r="D201" s="55" t="s">
        <v>25</v>
      </c>
      <c r="E201" s="55" t="s">
        <v>25</v>
      </c>
      <c r="F201" s="55" t="s">
        <v>25</v>
      </c>
      <c r="G201" s="55" t="s">
        <v>65</v>
      </c>
      <c r="H201" s="55" t="s">
        <v>25</v>
      </c>
      <c r="I201" s="63">
        <v>44562</v>
      </c>
      <c r="J201" s="64">
        <f ca="1">EFEITO!$J$201*EFEITO!$Y$201</f>
        <v>0</v>
      </c>
      <c r="K201" s="64">
        <f ca="1">EFEITO!$L$201*EFEITO!$Z$201</f>
        <v>80359.996594751341</v>
      </c>
      <c r="L201" s="64">
        <f>EFEITO!$N$201*EFEITO!$AA$201</f>
        <v>0</v>
      </c>
      <c r="M201" s="64">
        <f ca="1">$J$201-EFEITO!$K$201*EFEITO!$Y$201</f>
        <v>0</v>
      </c>
      <c r="N201" s="64">
        <f ca="1">$K$201-EFEITO!$M$201*EFEITO!$Z$201</f>
        <v>0</v>
      </c>
      <c r="O201" s="64">
        <f>$L$201-EFEITO!$O$201*EFEITO!$AA$201</f>
        <v>0</v>
      </c>
      <c r="P201" s="19"/>
      <c r="Q201" s="19"/>
      <c r="R201" s="19"/>
      <c r="S201" s="19"/>
      <c r="T201" s="19"/>
      <c r="U201" s="19"/>
      <c r="V201" s="19"/>
      <c r="W201" s="19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55" t="s">
        <v>21</v>
      </c>
      <c r="B202" s="55" t="s">
        <v>39</v>
      </c>
      <c r="C202" s="55" t="s">
        <v>62</v>
      </c>
      <c r="D202" s="55" t="s">
        <v>25</v>
      </c>
      <c r="E202" s="55" t="s">
        <v>25</v>
      </c>
      <c r="F202" s="55" t="s">
        <v>25</v>
      </c>
      <c r="G202" s="55" t="s">
        <v>65</v>
      </c>
      <c r="H202" s="55" t="s">
        <v>25</v>
      </c>
      <c r="I202" s="63">
        <v>44593</v>
      </c>
      <c r="J202" s="64">
        <f ca="1">EFEITO!$J$202*EFEITO!$Y$202</f>
        <v>0</v>
      </c>
      <c r="K202" s="64">
        <f ca="1">EFEITO!$L$202*EFEITO!$Z$202</f>
        <v>78351.195907244328</v>
      </c>
      <c r="L202" s="64">
        <f>EFEITO!$N$202*EFEITO!$AA$202</f>
        <v>0</v>
      </c>
      <c r="M202" s="64">
        <f ca="1">$J$202-EFEITO!$K$202*EFEITO!$Y$202</f>
        <v>0</v>
      </c>
      <c r="N202" s="64">
        <f ca="1">$K$202-EFEITO!$M$202*EFEITO!$Z$202</f>
        <v>0</v>
      </c>
      <c r="O202" s="64">
        <f>$L$202-EFEITO!$O$202*EFEITO!$AA$202</f>
        <v>0</v>
      </c>
      <c r="P202" s="19"/>
      <c r="Q202" s="19"/>
      <c r="R202" s="19"/>
      <c r="S202" s="19"/>
      <c r="T202" s="19"/>
      <c r="U202" s="19"/>
      <c r="V202" s="19"/>
      <c r="W202" s="19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55" t="s">
        <v>21</v>
      </c>
      <c r="B203" s="55" t="s">
        <v>39</v>
      </c>
      <c r="C203" s="55" t="s">
        <v>62</v>
      </c>
      <c r="D203" s="55" t="s">
        <v>25</v>
      </c>
      <c r="E203" s="55" t="s">
        <v>25</v>
      </c>
      <c r="F203" s="55" t="s">
        <v>25</v>
      </c>
      <c r="G203" s="55" t="s">
        <v>65</v>
      </c>
      <c r="H203" s="55" t="s">
        <v>25</v>
      </c>
      <c r="I203" s="63">
        <v>44621</v>
      </c>
      <c r="J203" s="64">
        <f ca="1">EFEITO!$J$203*EFEITO!$Y$203</f>
        <v>0</v>
      </c>
      <c r="K203" s="64">
        <f ca="1">EFEITO!$L$203*EFEITO!$Z$203</f>
        <v>73980.84848629545</v>
      </c>
      <c r="L203" s="64">
        <f>EFEITO!$N$203*EFEITO!$AA$203</f>
        <v>0</v>
      </c>
      <c r="M203" s="64">
        <f ca="1">$J$203-EFEITO!$K$203*EFEITO!$Y$203</f>
        <v>0</v>
      </c>
      <c r="N203" s="64">
        <f ca="1">$K$203-EFEITO!$M$203*EFEITO!$Z$203</f>
        <v>0</v>
      </c>
      <c r="O203" s="64">
        <f>$L$203-EFEITO!$O$203*EFEITO!$AA$203</f>
        <v>0</v>
      </c>
      <c r="P203" s="19"/>
      <c r="Q203" s="19"/>
      <c r="R203" s="19"/>
      <c r="S203" s="19"/>
      <c r="T203" s="19"/>
      <c r="U203" s="19"/>
      <c r="V203" s="19"/>
      <c r="W203" s="19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55" t="s">
        <v>21</v>
      </c>
      <c r="B204" s="55" t="s">
        <v>39</v>
      </c>
      <c r="C204" s="55" t="s">
        <v>62</v>
      </c>
      <c r="D204" s="55" t="s">
        <v>25</v>
      </c>
      <c r="E204" s="55" t="s">
        <v>25</v>
      </c>
      <c r="F204" s="55" t="s">
        <v>25</v>
      </c>
      <c r="G204" s="55" t="s">
        <v>65</v>
      </c>
      <c r="H204" s="55" t="s">
        <v>25</v>
      </c>
      <c r="I204" s="63">
        <v>44652</v>
      </c>
      <c r="J204" s="64">
        <f ca="1">EFEITO!$J$204*EFEITO!$Y$204</f>
        <v>0</v>
      </c>
      <c r="K204" s="64">
        <f ca="1">EFEITO!$L$204*EFEITO!$Z$204</f>
        <v>80294.68202448661</v>
      </c>
      <c r="L204" s="64">
        <f>EFEITO!$N$204*EFEITO!$AA$204</f>
        <v>0</v>
      </c>
      <c r="M204" s="64">
        <f ca="1">$J$204-EFEITO!$K$204*EFEITO!$Y$204</f>
        <v>0</v>
      </c>
      <c r="N204" s="64">
        <f ca="1">$K$204-EFEITO!$M$204*EFEITO!$Z$204</f>
        <v>0</v>
      </c>
      <c r="O204" s="64">
        <f>$L$204-EFEITO!$O$204*EFEITO!$AA$204</f>
        <v>0</v>
      </c>
      <c r="P204" s="19"/>
      <c r="Q204" s="19"/>
      <c r="R204" s="19"/>
      <c r="S204" s="19"/>
      <c r="T204" s="19"/>
      <c r="U204" s="19"/>
      <c r="V204" s="19"/>
      <c r="W204" s="19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55" t="s">
        <v>21</v>
      </c>
      <c r="B205" s="55" t="s">
        <v>39</v>
      </c>
      <c r="C205" s="55" t="s">
        <v>62</v>
      </c>
      <c r="D205" s="55" t="s">
        <v>25</v>
      </c>
      <c r="E205" s="55" t="s">
        <v>25</v>
      </c>
      <c r="F205" s="55" t="s">
        <v>25</v>
      </c>
      <c r="G205" s="55" t="s">
        <v>65</v>
      </c>
      <c r="H205" s="55" t="s">
        <v>25</v>
      </c>
      <c r="I205" s="63">
        <v>44682</v>
      </c>
      <c r="J205" s="64">
        <f ca="1">EFEITO!$J$205*EFEITO!$Y$205</f>
        <v>0</v>
      </c>
      <c r="K205" s="64">
        <f ca="1">EFEITO!$L$205*EFEITO!$Z$205</f>
        <v>76665.473191076206</v>
      </c>
      <c r="L205" s="64">
        <f>EFEITO!$N$205*EFEITO!$AA$205</f>
        <v>0</v>
      </c>
      <c r="M205" s="64">
        <f ca="1">$J$205-EFEITO!$K$205*EFEITO!$Y$205</f>
        <v>0</v>
      </c>
      <c r="N205" s="64">
        <f ca="1">$K$205-EFEITO!$M$205*EFEITO!$Z$205</f>
        <v>0</v>
      </c>
      <c r="O205" s="64">
        <f>$L$205-EFEITO!$O$205*EFEITO!$AA$205</f>
        <v>0</v>
      </c>
      <c r="P205" s="19"/>
      <c r="Q205" s="19"/>
      <c r="R205" s="19"/>
      <c r="S205" s="19"/>
      <c r="T205" s="19"/>
      <c r="U205" s="19"/>
      <c r="V205" s="19"/>
      <c r="W205" s="19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55" t="s">
        <v>21</v>
      </c>
      <c r="B206" s="55" t="s">
        <v>39</v>
      </c>
      <c r="C206" s="55" t="s">
        <v>62</v>
      </c>
      <c r="D206" s="55" t="s">
        <v>25</v>
      </c>
      <c r="E206" s="55" t="s">
        <v>25</v>
      </c>
      <c r="F206" s="55" t="s">
        <v>25</v>
      </c>
      <c r="G206" s="55" t="s">
        <v>65</v>
      </c>
      <c r="H206" s="55" t="s">
        <v>25</v>
      </c>
      <c r="I206" s="63">
        <v>44713</v>
      </c>
      <c r="J206" s="64">
        <f ca="1">EFEITO!$J$206*EFEITO!$Y$206</f>
        <v>0</v>
      </c>
      <c r="K206" s="64">
        <f ca="1">EFEITO!$L$206*EFEITO!$Z$206</f>
        <v>76045.131993780393</v>
      </c>
      <c r="L206" s="64">
        <f>EFEITO!$N$206*EFEITO!$AA$206</f>
        <v>0</v>
      </c>
      <c r="M206" s="64">
        <f ca="1">$J$206-EFEITO!$K$206*EFEITO!$Y$206</f>
        <v>0</v>
      </c>
      <c r="N206" s="64">
        <f ca="1">$K$206-EFEITO!$M$206*EFEITO!$Z$206</f>
        <v>0</v>
      </c>
      <c r="O206" s="64">
        <f>$L$206-EFEITO!$O$206*EFEITO!$AA$206</f>
        <v>0</v>
      </c>
      <c r="P206" s="19"/>
      <c r="Q206" s="19"/>
      <c r="R206" s="19"/>
      <c r="S206" s="19"/>
      <c r="T206" s="19"/>
      <c r="U206" s="19"/>
      <c r="V206" s="19"/>
      <c r="W206" s="19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55" t="s">
        <v>57</v>
      </c>
      <c r="B207" s="55" t="s">
        <v>39</v>
      </c>
      <c r="C207" s="55" t="s">
        <v>62</v>
      </c>
      <c r="D207" s="55" t="s">
        <v>25</v>
      </c>
      <c r="E207" s="55" t="s">
        <v>25</v>
      </c>
      <c r="F207" s="55" t="s">
        <v>25</v>
      </c>
      <c r="G207" s="55" t="s">
        <v>65</v>
      </c>
      <c r="H207" s="55" t="s">
        <v>25</v>
      </c>
      <c r="I207" s="63">
        <v>44743</v>
      </c>
      <c r="J207" s="64">
        <f ca="1">EFEITO!$J$207*EFEITO!$Y$207</f>
        <v>0</v>
      </c>
      <c r="K207" s="64">
        <f ca="1">EFEITO!$L$207*EFEITO!$Z$207</f>
        <v>76045.131993780393</v>
      </c>
      <c r="L207" s="64">
        <f>EFEITO!$N$207*EFEITO!$AA$207</f>
        <v>0</v>
      </c>
      <c r="M207" s="64">
        <f ca="1">$J$207-EFEITO!$K$207*EFEITO!$Y$207</f>
        <v>0</v>
      </c>
      <c r="N207" s="64">
        <f ca="1">$K$207-EFEITO!$M$207*EFEITO!$Z$207</f>
        <v>0</v>
      </c>
      <c r="O207" s="64">
        <f>$L$207-EFEITO!$O$207*EFEITO!$AA$207</f>
        <v>0</v>
      </c>
      <c r="P207" s="19"/>
      <c r="Q207" s="19"/>
      <c r="R207" s="19"/>
      <c r="S207" s="19"/>
      <c r="T207" s="19"/>
      <c r="U207" s="19"/>
      <c r="V207" s="19"/>
      <c r="W207" s="19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55" t="s">
        <v>21</v>
      </c>
      <c r="B208" s="55" t="s">
        <v>39</v>
      </c>
      <c r="C208" s="55" t="s">
        <v>62</v>
      </c>
      <c r="D208" s="55" t="s">
        <v>25</v>
      </c>
      <c r="E208" s="55" t="s">
        <v>25</v>
      </c>
      <c r="F208" s="55" t="s">
        <v>25</v>
      </c>
      <c r="G208" s="55" t="s">
        <v>65</v>
      </c>
      <c r="H208" s="55" t="s">
        <v>34</v>
      </c>
      <c r="I208" s="63">
        <v>44409</v>
      </c>
      <c r="J208" s="64">
        <f ca="1">EFEITO!$J$208*EFEITO!$Y$208</f>
        <v>669207.35756031354</v>
      </c>
      <c r="K208" s="64">
        <f ca="1">EFEITO!$L$208*EFEITO!$Z$208</f>
        <v>0</v>
      </c>
      <c r="L208" s="64">
        <f>EFEITO!$N$208*EFEITO!$AA$208</f>
        <v>0</v>
      </c>
      <c r="M208" s="64">
        <f ca="1">$J$208-EFEITO!$K$208*EFEITO!$Y$208</f>
        <v>0</v>
      </c>
      <c r="N208" s="64">
        <f ca="1">$K$208-EFEITO!$M$208*EFEITO!$Z$208</f>
        <v>0</v>
      </c>
      <c r="O208" s="64">
        <f>$L$208-EFEITO!$O$208*EFEITO!$AA$208</f>
        <v>0</v>
      </c>
      <c r="P208" s="19"/>
      <c r="Q208" s="19"/>
      <c r="R208" s="19"/>
      <c r="S208" s="19"/>
      <c r="T208" s="19"/>
      <c r="U208" s="19"/>
      <c r="V208" s="19"/>
      <c r="W208" s="19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55" t="s">
        <v>21</v>
      </c>
      <c r="B209" s="55" t="s">
        <v>39</v>
      </c>
      <c r="C209" s="55" t="s">
        <v>62</v>
      </c>
      <c r="D209" s="55" t="s">
        <v>25</v>
      </c>
      <c r="E209" s="55" t="s">
        <v>25</v>
      </c>
      <c r="F209" s="55" t="s">
        <v>25</v>
      </c>
      <c r="G209" s="55" t="s">
        <v>65</v>
      </c>
      <c r="H209" s="55" t="s">
        <v>34</v>
      </c>
      <c r="I209" s="63">
        <v>44440</v>
      </c>
      <c r="J209" s="64">
        <f ca="1">EFEITO!$J$209*EFEITO!$Y$209</f>
        <v>669207.35756031354</v>
      </c>
      <c r="K209" s="64">
        <f ca="1">EFEITO!$L$209*EFEITO!$Z$209</f>
        <v>0</v>
      </c>
      <c r="L209" s="64">
        <f>EFEITO!$N$209*EFEITO!$AA$209</f>
        <v>0</v>
      </c>
      <c r="M209" s="64">
        <f ca="1">$J$209-EFEITO!$K$209*EFEITO!$Y$209</f>
        <v>0</v>
      </c>
      <c r="N209" s="64">
        <f ca="1">$K$209-EFEITO!$M$209*EFEITO!$Z$209</f>
        <v>0</v>
      </c>
      <c r="O209" s="64">
        <f>$L$209-EFEITO!$O$209*EFEITO!$AA$209</f>
        <v>0</v>
      </c>
      <c r="P209" s="19"/>
      <c r="Q209" s="19"/>
      <c r="R209" s="19"/>
      <c r="S209" s="19"/>
      <c r="T209" s="19"/>
      <c r="U209" s="19"/>
      <c r="V209" s="19"/>
      <c r="W209" s="19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55" t="s">
        <v>21</v>
      </c>
      <c r="B210" s="55" t="s">
        <v>39</v>
      </c>
      <c r="C210" s="55" t="s">
        <v>62</v>
      </c>
      <c r="D210" s="55" t="s">
        <v>25</v>
      </c>
      <c r="E210" s="55" t="s">
        <v>25</v>
      </c>
      <c r="F210" s="55" t="s">
        <v>25</v>
      </c>
      <c r="G210" s="55" t="s">
        <v>65</v>
      </c>
      <c r="H210" s="55" t="s">
        <v>34</v>
      </c>
      <c r="I210" s="63">
        <v>44470</v>
      </c>
      <c r="J210" s="64">
        <f ca="1">EFEITO!$J$210*EFEITO!$Y$210</f>
        <v>669207.35756031354</v>
      </c>
      <c r="K210" s="64">
        <f ca="1">EFEITO!$L$210*EFEITO!$Z$210</f>
        <v>0</v>
      </c>
      <c r="L210" s="64">
        <f>EFEITO!$N$210*EFEITO!$AA$210</f>
        <v>0</v>
      </c>
      <c r="M210" s="64">
        <f ca="1">$J$210-EFEITO!$K$210*EFEITO!$Y$210</f>
        <v>0</v>
      </c>
      <c r="N210" s="64">
        <f ca="1">$K$210-EFEITO!$M$210*EFEITO!$Z$210</f>
        <v>0</v>
      </c>
      <c r="O210" s="64">
        <f>$L$210-EFEITO!$O$210*EFEITO!$AA$210</f>
        <v>0</v>
      </c>
      <c r="P210" s="19"/>
      <c r="Q210" s="19"/>
      <c r="R210" s="19"/>
      <c r="S210" s="19"/>
      <c r="T210" s="19"/>
      <c r="U210" s="19"/>
      <c r="V210" s="19"/>
      <c r="W210" s="19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55" t="s">
        <v>21</v>
      </c>
      <c r="B211" s="55" t="s">
        <v>39</v>
      </c>
      <c r="C211" s="55" t="s">
        <v>62</v>
      </c>
      <c r="D211" s="55" t="s">
        <v>25</v>
      </c>
      <c r="E211" s="55" t="s">
        <v>25</v>
      </c>
      <c r="F211" s="55" t="s">
        <v>25</v>
      </c>
      <c r="G211" s="55" t="s">
        <v>65</v>
      </c>
      <c r="H211" s="55" t="s">
        <v>34</v>
      </c>
      <c r="I211" s="63">
        <v>44501</v>
      </c>
      <c r="J211" s="64">
        <f ca="1">EFEITO!$J$211*EFEITO!$Y$211</f>
        <v>669207.35756031354</v>
      </c>
      <c r="K211" s="64">
        <f ca="1">EFEITO!$L$211*EFEITO!$Z$211</f>
        <v>0</v>
      </c>
      <c r="L211" s="64">
        <f>EFEITO!$N$211*EFEITO!$AA$211</f>
        <v>0</v>
      </c>
      <c r="M211" s="64">
        <f ca="1">$J$211-EFEITO!$K$211*EFEITO!$Y$211</f>
        <v>0</v>
      </c>
      <c r="N211" s="64">
        <f ca="1">$K$211-EFEITO!$M$211*EFEITO!$Z$211</f>
        <v>0</v>
      </c>
      <c r="O211" s="64">
        <f>$L$211-EFEITO!$O$211*EFEITO!$AA$211</f>
        <v>0</v>
      </c>
      <c r="P211" s="19"/>
      <c r="Q211" s="19"/>
      <c r="R211" s="19"/>
      <c r="S211" s="19"/>
      <c r="T211" s="19"/>
      <c r="U211" s="19"/>
      <c r="V211" s="19"/>
      <c r="W211" s="19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55" t="s">
        <v>21</v>
      </c>
      <c r="B212" s="55" t="s">
        <v>39</v>
      </c>
      <c r="C212" s="55" t="s">
        <v>62</v>
      </c>
      <c r="D212" s="55" t="s">
        <v>25</v>
      </c>
      <c r="E212" s="55" t="s">
        <v>25</v>
      </c>
      <c r="F212" s="55" t="s">
        <v>25</v>
      </c>
      <c r="G212" s="55" t="s">
        <v>65</v>
      </c>
      <c r="H212" s="55" t="s">
        <v>34</v>
      </c>
      <c r="I212" s="63">
        <v>44531</v>
      </c>
      <c r="J212" s="64">
        <f ca="1">EFEITO!$J$212*EFEITO!$Y$212</f>
        <v>669207.35756031354</v>
      </c>
      <c r="K212" s="64">
        <f ca="1">EFEITO!$L$212*EFEITO!$Z$212</f>
        <v>0</v>
      </c>
      <c r="L212" s="64">
        <f>EFEITO!$N$212*EFEITO!$AA$212</f>
        <v>0</v>
      </c>
      <c r="M212" s="64">
        <f ca="1">$J$212-EFEITO!$K$212*EFEITO!$Y$212</f>
        <v>0</v>
      </c>
      <c r="N212" s="64">
        <f ca="1">$K$212-EFEITO!$M$212*EFEITO!$Z$212</f>
        <v>0</v>
      </c>
      <c r="O212" s="64">
        <f>$L$212-EFEITO!$O$212*EFEITO!$AA$212</f>
        <v>0</v>
      </c>
      <c r="P212" s="19"/>
      <c r="Q212" s="19"/>
      <c r="R212" s="19"/>
      <c r="S212" s="19"/>
      <c r="T212" s="19"/>
      <c r="U212" s="19"/>
      <c r="V212" s="19"/>
      <c r="W212" s="19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55" t="s">
        <v>21</v>
      </c>
      <c r="B213" s="55" t="s">
        <v>39</v>
      </c>
      <c r="C213" s="55" t="s">
        <v>62</v>
      </c>
      <c r="D213" s="55" t="s">
        <v>25</v>
      </c>
      <c r="E213" s="55" t="s">
        <v>25</v>
      </c>
      <c r="F213" s="55" t="s">
        <v>25</v>
      </c>
      <c r="G213" s="55" t="s">
        <v>65</v>
      </c>
      <c r="H213" s="55" t="s">
        <v>34</v>
      </c>
      <c r="I213" s="63">
        <v>44562</v>
      </c>
      <c r="J213" s="64">
        <f ca="1">EFEITO!$J$213*EFEITO!$Y$213</f>
        <v>697098.79707821202</v>
      </c>
      <c r="K213" s="64">
        <f ca="1">EFEITO!$L$213*EFEITO!$Z$213</f>
        <v>0</v>
      </c>
      <c r="L213" s="64">
        <f>EFEITO!$N$213*EFEITO!$AA$213</f>
        <v>0</v>
      </c>
      <c r="M213" s="64">
        <f ca="1">$J$213-EFEITO!$K$213*EFEITO!$Y$213</f>
        <v>0</v>
      </c>
      <c r="N213" s="64">
        <f ca="1">$K$213-EFEITO!$M$213*EFEITO!$Z$213</f>
        <v>0</v>
      </c>
      <c r="O213" s="64">
        <f>$L$213-EFEITO!$O$213*EFEITO!$AA$213</f>
        <v>0</v>
      </c>
      <c r="P213" s="19"/>
      <c r="Q213" s="19"/>
      <c r="R213" s="19"/>
      <c r="S213" s="19"/>
      <c r="T213" s="19"/>
      <c r="U213" s="19"/>
      <c r="V213" s="19"/>
      <c r="W213" s="19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55" t="s">
        <v>21</v>
      </c>
      <c r="B214" s="55" t="s">
        <v>39</v>
      </c>
      <c r="C214" s="55" t="s">
        <v>62</v>
      </c>
      <c r="D214" s="55" t="s">
        <v>25</v>
      </c>
      <c r="E214" s="55" t="s">
        <v>25</v>
      </c>
      <c r="F214" s="55" t="s">
        <v>25</v>
      </c>
      <c r="G214" s="55" t="s">
        <v>65</v>
      </c>
      <c r="H214" s="55" t="s">
        <v>34</v>
      </c>
      <c r="I214" s="63">
        <v>44593</v>
      </c>
      <c r="J214" s="64">
        <f ca="1">EFEITO!$J$214*EFEITO!$Y$214</f>
        <v>669207.35756031354</v>
      </c>
      <c r="K214" s="64">
        <f ca="1">EFEITO!$L$214*EFEITO!$Z$214</f>
        <v>0</v>
      </c>
      <c r="L214" s="64">
        <f>EFEITO!$N$214*EFEITO!$AA$214</f>
        <v>0</v>
      </c>
      <c r="M214" s="64">
        <f ca="1">$J$214-EFEITO!$K$214*EFEITO!$Y$214</f>
        <v>0</v>
      </c>
      <c r="N214" s="64">
        <f ca="1">$K$214-EFEITO!$M$214*EFEITO!$Z$214</f>
        <v>0</v>
      </c>
      <c r="O214" s="64">
        <f>$L$214-EFEITO!$O$214*EFEITO!$AA$214</f>
        <v>0</v>
      </c>
      <c r="P214" s="19"/>
      <c r="Q214" s="19"/>
      <c r="R214" s="19"/>
      <c r="S214" s="19"/>
      <c r="T214" s="19"/>
      <c r="U214" s="19"/>
      <c r="V214" s="19"/>
      <c r="W214" s="19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55" t="s">
        <v>21</v>
      </c>
      <c r="B215" s="55" t="s">
        <v>39</v>
      </c>
      <c r="C215" s="55" t="s">
        <v>62</v>
      </c>
      <c r="D215" s="55" t="s">
        <v>25</v>
      </c>
      <c r="E215" s="55" t="s">
        <v>25</v>
      </c>
      <c r="F215" s="55" t="s">
        <v>25</v>
      </c>
      <c r="G215" s="55" t="s">
        <v>65</v>
      </c>
      <c r="H215" s="55" t="s">
        <v>34</v>
      </c>
      <c r="I215" s="63">
        <v>44621</v>
      </c>
      <c r="J215" s="64">
        <f ca="1">EFEITO!$J$215*EFEITO!$Y$215</f>
        <v>669207.35756031354</v>
      </c>
      <c r="K215" s="64">
        <f ca="1">EFEITO!$L$215*EFEITO!$Z$215</f>
        <v>0</v>
      </c>
      <c r="L215" s="64">
        <f>EFEITO!$N$215*EFEITO!$AA$215</f>
        <v>0</v>
      </c>
      <c r="M215" s="64">
        <f ca="1">$J$215-EFEITO!$K$215*EFEITO!$Y$215</f>
        <v>0</v>
      </c>
      <c r="N215" s="64">
        <f ca="1">$K$215-EFEITO!$M$215*EFEITO!$Z$215</f>
        <v>0</v>
      </c>
      <c r="O215" s="64">
        <f>$L$215-EFEITO!$O$215*EFEITO!$AA$215</f>
        <v>0</v>
      </c>
      <c r="P215" s="19"/>
      <c r="Q215" s="19"/>
      <c r="R215" s="19"/>
      <c r="S215" s="19"/>
      <c r="T215" s="19"/>
      <c r="U215" s="19"/>
      <c r="V215" s="19"/>
      <c r="W215" s="19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55" t="s">
        <v>21</v>
      </c>
      <c r="B216" s="55" t="s">
        <v>39</v>
      </c>
      <c r="C216" s="55" t="s">
        <v>62</v>
      </c>
      <c r="D216" s="55" t="s">
        <v>25</v>
      </c>
      <c r="E216" s="55" t="s">
        <v>25</v>
      </c>
      <c r="F216" s="55" t="s">
        <v>25</v>
      </c>
      <c r="G216" s="55" t="s">
        <v>65</v>
      </c>
      <c r="H216" s="55" t="s">
        <v>34</v>
      </c>
      <c r="I216" s="63">
        <v>44652</v>
      </c>
      <c r="J216" s="64">
        <f ca="1">EFEITO!$J$216*EFEITO!$Y$216</f>
        <v>669207.35756031354</v>
      </c>
      <c r="K216" s="64">
        <f ca="1">EFEITO!$L$216*EFEITO!$Z$216</f>
        <v>0</v>
      </c>
      <c r="L216" s="64">
        <f>EFEITO!$N$216*EFEITO!$AA$216</f>
        <v>0</v>
      </c>
      <c r="M216" s="64">
        <f ca="1">$J$216-EFEITO!$K$216*EFEITO!$Y$216</f>
        <v>0</v>
      </c>
      <c r="N216" s="64">
        <f ca="1">$K$216-EFEITO!$M$216*EFEITO!$Z$216</f>
        <v>0</v>
      </c>
      <c r="O216" s="64">
        <f>$L$216-EFEITO!$O$216*EFEITO!$AA$216</f>
        <v>0</v>
      </c>
      <c r="P216" s="19"/>
      <c r="Q216" s="19"/>
      <c r="R216" s="19"/>
      <c r="S216" s="19"/>
      <c r="T216" s="19"/>
      <c r="U216" s="19"/>
      <c r="V216" s="19"/>
      <c r="W216" s="19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55" t="s">
        <v>21</v>
      </c>
      <c r="B217" s="55" t="s">
        <v>39</v>
      </c>
      <c r="C217" s="55" t="s">
        <v>62</v>
      </c>
      <c r="D217" s="55" t="s">
        <v>25</v>
      </c>
      <c r="E217" s="55" t="s">
        <v>25</v>
      </c>
      <c r="F217" s="55" t="s">
        <v>25</v>
      </c>
      <c r="G217" s="55" t="s">
        <v>65</v>
      </c>
      <c r="H217" s="55" t="s">
        <v>34</v>
      </c>
      <c r="I217" s="63">
        <v>44682</v>
      </c>
      <c r="J217" s="64">
        <f ca="1">EFEITO!$J$217*EFEITO!$Y$217</f>
        <v>669207.35756031354</v>
      </c>
      <c r="K217" s="64">
        <f ca="1">EFEITO!$L$217*EFEITO!$Z$217</f>
        <v>0</v>
      </c>
      <c r="L217" s="64">
        <f>EFEITO!$N$217*EFEITO!$AA$217</f>
        <v>0</v>
      </c>
      <c r="M217" s="64">
        <f ca="1">$J$217-EFEITO!$K$217*EFEITO!$Y$217</f>
        <v>0</v>
      </c>
      <c r="N217" s="64">
        <f ca="1">$K$217-EFEITO!$M$217*EFEITO!$Z$217</f>
        <v>0</v>
      </c>
      <c r="O217" s="64">
        <f>$L$217-EFEITO!$O$217*EFEITO!$AA$217</f>
        <v>0</v>
      </c>
      <c r="P217" s="19"/>
      <c r="Q217" s="19"/>
      <c r="R217" s="19"/>
      <c r="S217" s="19"/>
      <c r="T217" s="19"/>
      <c r="U217" s="19"/>
      <c r="V217" s="19"/>
      <c r="W217" s="19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55" t="s">
        <v>21</v>
      </c>
      <c r="B218" s="55" t="s">
        <v>39</v>
      </c>
      <c r="C218" s="55" t="s">
        <v>62</v>
      </c>
      <c r="D218" s="55" t="s">
        <v>25</v>
      </c>
      <c r="E218" s="55" t="s">
        <v>25</v>
      </c>
      <c r="F218" s="55" t="s">
        <v>25</v>
      </c>
      <c r="G218" s="55" t="s">
        <v>65</v>
      </c>
      <c r="H218" s="55" t="s">
        <v>34</v>
      </c>
      <c r="I218" s="63">
        <v>44713</v>
      </c>
      <c r="J218" s="64">
        <f ca="1">EFEITO!$J$218*EFEITO!$Y$218</f>
        <v>669207.35756031354</v>
      </c>
      <c r="K218" s="64">
        <f ca="1">EFEITO!$L$218*EFEITO!$Z$218</f>
        <v>0</v>
      </c>
      <c r="L218" s="64">
        <f>EFEITO!$N$218*EFEITO!$AA$218</f>
        <v>0</v>
      </c>
      <c r="M218" s="64">
        <f ca="1">$J$218-EFEITO!$K$218*EFEITO!$Y$218</f>
        <v>0</v>
      </c>
      <c r="N218" s="64">
        <f ca="1">$K$218-EFEITO!$M$218*EFEITO!$Z$218</f>
        <v>0</v>
      </c>
      <c r="O218" s="64">
        <f>$L$218-EFEITO!$O$218*EFEITO!$AA$218</f>
        <v>0</v>
      </c>
      <c r="P218" s="19"/>
      <c r="Q218" s="19"/>
      <c r="R218" s="19"/>
      <c r="S218" s="19"/>
      <c r="T218" s="19"/>
      <c r="U218" s="19"/>
      <c r="V218" s="19"/>
      <c r="W218" s="19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55" t="s">
        <v>57</v>
      </c>
      <c r="B219" s="55" t="s">
        <v>39</v>
      </c>
      <c r="C219" s="55" t="s">
        <v>62</v>
      </c>
      <c r="D219" s="55" t="s">
        <v>25</v>
      </c>
      <c r="E219" s="55" t="s">
        <v>25</v>
      </c>
      <c r="F219" s="55" t="s">
        <v>25</v>
      </c>
      <c r="G219" s="55" t="s">
        <v>65</v>
      </c>
      <c r="H219" s="55" t="s">
        <v>34</v>
      </c>
      <c r="I219" s="63">
        <v>44743</v>
      </c>
      <c r="J219" s="64">
        <f ca="1">EFEITO!$J$219*EFEITO!$Y$219</f>
        <v>669207.35756031354</v>
      </c>
      <c r="K219" s="64">
        <f ca="1">EFEITO!$L$219*EFEITO!$Z$219</f>
        <v>0</v>
      </c>
      <c r="L219" s="64">
        <f>EFEITO!$N$219*EFEITO!$AA$219</f>
        <v>0</v>
      </c>
      <c r="M219" s="64">
        <f ca="1">$J$219-EFEITO!$K$219*EFEITO!$Y$219</f>
        <v>0</v>
      </c>
      <c r="N219" s="64">
        <f ca="1">$K$219-EFEITO!$M$219*EFEITO!$Z$219</f>
        <v>0</v>
      </c>
      <c r="O219" s="64">
        <f>$L$219-EFEITO!$O$219*EFEITO!$AA$219</f>
        <v>0</v>
      </c>
      <c r="P219" s="19"/>
      <c r="Q219" s="19"/>
      <c r="R219" s="19"/>
      <c r="S219" s="19"/>
      <c r="T219" s="19"/>
      <c r="U219" s="19"/>
      <c r="V219" s="19"/>
      <c r="W219" s="19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55" t="s">
        <v>21</v>
      </c>
      <c r="B220" s="55" t="s">
        <v>39</v>
      </c>
      <c r="C220" s="55" t="s">
        <v>66</v>
      </c>
      <c r="D220" s="55" t="s">
        <v>25</v>
      </c>
      <c r="E220" s="55" t="s">
        <v>25</v>
      </c>
      <c r="F220" s="55" t="s">
        <v>25</v>
      </c>
      <c r="G220" s="55" t="s">
        <v>67</v>
      </c>
      <c r="H220" s="55" t="s">
        <v>25</v>
      </c>
      <c r="I220" s="63">
        <v>44409</v>
      </c>
      <c r="J220" s="64">
        <f ca="1">EFEITO!$J$220*EFEITO!$Y$220</f>
        <v>44788.711627446406</v>
      </c>
      <c r="K220" s="64">
        <f>EFEITO!$L$220*EFEITO!$Z$220</f>
        <v>0</v>
      </c>
      <c r="L220" s="64">
        <f>EFEITO!$N$220*EFEITO!$AA$220</f>
        <v>0</v>
      </c>
      <c r="M220" s="64">
        <f ca="1">$J$220-EFEITO!$K$220*EFEITO!$Y$220</f>
        <v>0</v>
      </c>
      <c r="N220" s="64">
        <f>$K$220-EFEITO!$M$220*EFEITO!$Z$220</f>
        <v>0</v>
      </c>
      <c r="O220" s="64">
        <f>$L$220-EFEITO!$O$220*EFEITO!$AA$220</f>
        <v>0</v>
      </c>
      <c r="P220" s="19"/>
      <c r="Q220" s="19"/>
      <c r="R220" s="19"/>
      <c r="S220" s="19"/>
      <c r="T220" s="19"/>
      <c r="U220" s="19"/>
      <c r="V220" s="19"/>
      <c r="W220" s="19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55" t="s">
        <v>21</v>
      </c>
      <c r="B221" s="55" t="s">
        <v>39</v>
      </c>
      <c r="C221" s="55" t="s">
        <v>66</v>
      </c>
      <c r="D221" s="55" t="s">
        <v>25</v>
      </c>
      <c r="E221" s="55" t="s">
        <v>25</v>
      </c>
      <c r="F221" s="55" t="s">
        <v>25</v>
      </c>
      <c r="G221" s="55" t="s">
        <v>69</v>
      </c>
      <c r="H221" s="55" t="s">
        <v>25</v>
      </c>
      <c r="I221" s="63">
        <v>44409</v>
      </c>
      <c r="J221" s="64">
        <f ca="1">EFEITO!$J$221*EFEITO!$Y$221</f>
        <v>38390.324252096922</v>
      </c>
      <c r="K221" s="64">
        <f>EFEITO!$L$221*EFEITO!$Z$221</f>
        <v>0</v>
      </c>
      <c r="L221" s="64">
        <f>EFEITO!$N$221*EFEITO!$AA$221</f>
        <v>0</v>
      </c>
      <c r="M221" s="64">
        <f ca="1">$J$221-EFEITO!$K$221*EFEITO!$Y$221</f>
        <v>19195.162126048461</v>
      </c>
      <c r="N221" s="64">
        <f>$K$221-EFEITO!$M$221*EFEITO!$Z$221</f>
        <v>0</v>
      </c>
      <c r="O221" s="64">
        <f>$L$221-EFEITO!$O$221*EFEITO!$AA$221</f>
        <v>0</v>
      </c>
      <c r="P221" s="19"/>
      <c r="Q221" s="19"/>
      <c r="R221" s="19"/>
      <c r="S221" s="19"/>
      <c r="T221" s="19"/>
      <c r="U221" s="19"/>
      <c r="V221" s="19"/>
      <c r="W221" s="19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55" t="s">
        <v>21</v>
      </c>
      <c r="B222" s="55" t="s">
        <v>39</v>
      </c>
      <c r="C222" s="55" t="s">
        <v>66</v>
      </c>
      <c r="D222" s="55" t="s">
        <v>25</v>
      </c>
      <c r="E222" s="55" t="s">
        <v>25</v>
      </c>
      <c r="F222" s="55" t="s">
        <v>25</v>
      </c>
      <c r="G222" s="55" t="s">
        <v>70</v>
      </c>
      <c r="H222" s="55" t="s">
        <v>25</v>
      </c>
      <c r="I222" s="63">
        <v>44409</v>
      </c>
      <c r="J222" s="64">
        <f ca="1">EFEITO!$J$222*EFEITO!$Y$222</f>
        <v>140764.52225768872</v>
      </c>
      <c r="K222" s="64">
        <f>EFEITO!$L$222*EFEITO!$Z$222</f>
        <v>0</v>
      </c>
      <c r="L222" s="64">
        <f>EFEITO!$N$222*EFEITO!$AA$222</f>
        <v>0</v>
      </c>
      <c r="M222" s="64">
        <f ca="1">$J$222-EFEITO!$K$222*EFEITO!$Y$222</f>
        <v>70382.261128844359</v>
      </c>
      <c r="N222" s="64">
        <f>$K$222-EFEITO!$M$222*EFEITO!$Z$222</f>
        <v>0</v>
      </c>
      <c r="O222" s="64">
        <f>$L$222-EFEITO!$O$222*EFEITO!$AA$222</f>
        <v>0</v>
      </c>
      <c r="P222" s="19"/>
      <c r="Q222" s="19"/>
      <c r="R222" s="19"/>
      <c r="S222" s="19"/>
      <c r="T222" s="19"/>
      <c r="U222" s="19"/>
      <c r="V222" s="19"/>
      <c r="W222" s="19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55" t="s">
        <v>27</v>
      </c>
      <c r="B223" s="55" t="s">
        <v>39</v>
      </c>
      <c r="C223" s="55" t="s">
        <v>66</v>
      </c>
      <c r="D223" s="55" t="s">
        <v>25</v>
      </c>
      <c r="E223" s="55" t="s">
        <v>25</v>
      </c>
      <c r="F223" s="55" t="s">
        <v>25</v>
      </c>
      <c r="G223" s="55" t="s">
        <v>70</v>
      </c>
      <c r="H223" s="55" t="s">
        <v>25</v>
      </c>
      <c r="I223" s="63">
        <v>44409</v>
      </c>
      <c r="J223" s="64">
        <f ca="1">EFEITO!$J$223*EFEITO!$Y$223</f>
        <v>-6859.0712663746499</v>
      </c>
      <c r="K223" s="64">
        <f>EFEITO!$L$223*EFEITO!$Z$223</f>
        <v>0</v>
      </c>
      <c r="L223" s="64">
        <f>EFEITO!$N$223*EFEITO!$AA$223</f>
        <v>0</v>
      </c>
      <c r="M223" s="64">
        <f ca="1">$J$223-EFEITO!$K$223*EFEITO!$Y$223</f>
        <v>0</v>
      </c>
      <c r="N223" s="64">
        <f>$K$223-EFEITO!$M$223*EFEITO!$Z$223</f>
        <v>0</v>
      </c>
      <c r="O223" s="64">
        <f>$L$223-EFEITO!$O$223*EFEITO!$AA$223</f>
        <v>0</v>
      </c>
      <c r="P223" s="19"/>
      <c r="Q223" s="19"/>
      <c r="R223" s="19"/>
      <c r="S223" s="19"/>
      <c r="T223" s="19"/>
      <c r="U223" s="19"/>
      <c r="V223" s="19"/>
      <c r="W223" s="19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55" t="s">
        <v>21</v>
      </c>
      <c r="B224" s="55" t="s">
        <v>39</v>
      </c>
      <c r="C224" s="55" t="s">
        <v>66</v>
      </c>
      <c r="D224" s="55" t="s">
        <v>25</v>
      </c>
      <c r="E224" s="55" t="s">
        <v>25</v>
      </c>
      <c r="F224" s="55" t="s">
        <v>25</v>
      </c>
      <c r="G224" s="55" t="s">
        <v>71</v>
      </c>
      <c r="H224" s="55" t="s">
        <v>25</v>
      </c>
      <c r="I224" s="63">
        <v>44409</v>
      </c>
      <c r="J224" s="64">
        <f ca="1">EFEITO!$J$224*EFEITO!$Y$224</f>
        <v>128607.58624452469</v>
      </c>
      <c r="K224" s="64">
        <f>EFEITO!$L$224*EFEITO!$Z$224</f>
        <v>0</v>
      </c>
      <c r="L224" s="64">
        <f>EFEITO!$N$224*EFEITO!$AA$224</f>
        <v>0</v>
      </c>
      <c r="M224" s="64">
        <f ca="1">$J$224-EFEITO!$K$224*EFEITO!$Y$224</f>
        <v>64303.793122262345</v>
      </c>
      <c r="N224" s="64">
        <f>$K$224-EFEITO!$M$224*EFEITO!$Z$224</f>
        <v>0</v>
      </c>
      <c r="O224" s="64">
        <f>$L$224-EFEITO!$O$224*EFEITO!$AA$224</f>
        <v>0</v>
      </c>
      <c r="P224" s="19"/>
      <c r="Q224" s="19"/>
      <c r="R224" s="19"/>
      <c r="S224" s="19"/>
      <c r="T224" s="19"/>
      <c r="U224" s="19"/>
      <c r="V224" s="19"/>
      <c r="W224" s="19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55" t="s">
        <v>21</v>
      </c>
      <c r="B225" s="55" t="s">
        <v>39</v>
      </c>
      <c r="C225" s="55" t="s">
        <v>66</v>
      </c>
      <c r="D225" s="55" t="s">
        <v>25</v>
      </c>
      <c r="E225" s="55" t="s">
        <v>25</v>
      </c>
      <c r="F225" s="55" t="s">
        <v>25</v>
      </c>
      <c r="G225" s="55" t="s">
        <v>73</v>
      </c>
      <c r="H225" s="55" t="s">
        <v>25</v>
      </c>
      <c r="I225" s="63">
        <v>44409</v>
      </c>
      <c r="J225" s="64">
        <f ca="1">EFEITO!$J$225*EFEITO!$Y$225</f>
        <v>568816.63766856946</v>
      </c>
      <c r="K225" s="64">
        <f>EFEITO!$L$225*EFEITO!$Z$225</f>
        <v>0</v>
      </c>
      <c r="L225" s="64">
        <f>EFEITO!$N$225*EFEITO!$AA$225</f>
        <v>0</v>
      </c>
      <c r="M225" s="64">
        <f ca="1">$J$225-EFEITO!$K$225*EFEITO!$Y$225</f>
        <v>284408.31883428473</v>
      </c>
      <c r="N225" s="64">
        <f>$K$225-EFEITO!$M$225*EFEITO!$Z$225</f>
        <v>0</v>
      </c>
      <c r="O225" s="64">
        <f>$L$225-EFEITO!$O$225*EFEITO!$AA$225</f>
        <v>0</v>
      </c>
      <c r="P225" s="19"/>
      <c r="Q225" s="19"/>
      <c r="R225" s="19"/>
      <c r="S225" s="19"/>
      <c r="T225" s="19"/>
      <c r="U225" s="19"/>
      <c r="V225" s="19"/>
      <c r="W225" s="19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55" t="s">
        <v>21</v>
      </c>
      <c r="B226" s="55" t="s">
        <v>39</v>
      </c>
      <c r="C226" s="55" t="s">
        <v>66</v>
      </c>
      <c r="D226" s="55" t="s">
        <v>25</v>
      </c>
      <c r="E226" s="55" t="s">
        <v>25</v>
      </c>
      <c r="F226" s="55" t="s">
        <v>25</v>
      </c>
      <c r="G226" s="55" t="s">
        <v>75</v>
      </c>
      <c r="H226" s="55" t="s">
        <v>25</v>
      </c>
      <c r="I226" s="63">
        <v>44409</v>
      </c>
      <c r="J226" s="64">
        <f ca="1">EFEITO!$J$226*EFEITO!$Y$226</f>
        <v>383903.24252096924</v>
      </c>
      <c r="K226" s="64">
        <f>EFEITO!$L$226*EFEITO!$Z$226</f>
        <v>0</v>
      </c>
      <c r="L226" s="64">
        <f>EFEITO!$N$226*EFEITO!$AA$226</f>
        <v>0</v>
      </c>
      <c r="M226" s="64">
        <f ca="1">$J$226-EFEITO!$K$226*EFEITO!$Y$226</f>
        <v>191951.62126048462</v>
      </c>
      <c r="N226" s="64">
        <f>$K$226-EFEITO!$M$226*EFEITO!$Z$226</f>
        <v>0</v>
      </c>
      <c r="O226" s="64">
        <f>$L$226-EFEITO!$O$226*EFEITO!$AA$226</f>
        <v>0</v>
      </c>
      <c r="P226" s="19"/>
      <c r="Q226" s="19"/>
      <c r="R226" s="19"/>
      <c r="S226" s="19"/>
      <c r="T226" s="19"/>
      <c r="U226" s="19"/>
      <c r="V226" s="19"/>
      <c r="W226" s="19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55" t="s">
        <v>21</v>
      </c>
      <c r="B227" s="55" t="s">
        <v>39</v>
      </c>
      <c r="C227" s="55" t="s">
        <v>66</v>
      </c>
      <c r="D227" s="55" t="s">
        <v>25</v>
      </c>
      <c r="E227" s="55" t="s">
        <v>25</v>
      </c>
      <c r="F227" s="55" t="s">
        <v>25</v>
      </c>
      <c r="G227" s="55" t="s">
        <v>76</v>
      </c>
      <c r="H227" s="55" t="s">
        <v>25</v>
      </c>
      <c r="I227" s="63">
        <v>44409</v>
      </c>
      <c r="J227" s="64">
        <f ca="1">EFEITO!$J$227*EFEITO!$Y$227</f>
        <v>383903.24252096924</v>
      </c>
      <c r="K227" s="64">
        <f>EFEITO!$L$227*EFEITO!$Z$227</f>
        <v>0</v>
      </c>
      <c r="L227" s="64">
        <f>EFEITO!$N$227*EFEITO!$AA$227</f>
        <v>0</v>
      </c>
      <c r="M227" s="64">
        <f ca="1">$J$227-EFEITO!$K$227*EFEITO!$Y$227</f>
        <v>191951.62126048462</v>
      </c>
      <c r="N227" s="64">
        <f>$K$227-EFEITO!$M$227*EFEITO!$Z$227</f>
        <v>0</v>
      </c>
      <c r="O227" s="64">
        <f>$L$227-EFEITO!$O$227*EFEITO!$AA$227</f>
        <v>0</v>
      </c>
      <c r="P227" s="19"/>
      <c r="Q227" s="19"/>
      <c r="R227" s="19"/>
      <c r="S227" s="19"/>
      <c r="T227" s="19"/>
      <c r="U227" s="19"/>
      <c r="V227" s="19"/>
      <c r="W227" s="19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55" t="s">
        <v>21</v>
      </c>
      <c r="B228" s="55" t="s">
        <v>39</v>
      </c>
      <c r="C228" s="55" t="s">
        <v>66</v>
      </c>
      <c r="D228" s="55" t="s">
        <v>25</v>
      </c>
      <c r="E228" s="55" t="s">
        <v>25</v>
      </c>
      <c r="F228" s="55" t="s">
        <v>25</v>
      </c>
      <c r="G228" s="55" t="s">
        <v>77</v>
      </c>
      <c r="H228" s="55" t="s">
        <v>25</v>
      </c>
      <c r="I228" s="63">
        <v>44409</v>
      </c>
      <c r="J228" s="64">
        <f ca="1">EFEITO!$J$228*EFEITO!$Y$228</f>
        <v>383903.24252096924</v>
      </c>
      <c r="K228" s="64">
        <f>EFEITO!$L$228*EFEITO!$Z$228</f>
        <v>0</v>
      </c>
      <c r="L228" s="64">
        <f>EFEITO!$N$228*EFEITO!$AA$228</f>
        <v>0</v>
      </c>
      <c r="M228" s="64">
        <f ca="1">$J$228-EFEITO!$K$228*EFEITO!$Y$228</f>
        <v>191951.62126048462</v>
      </c>
      <c r="N228" s="64">
        <f>$K$228-EFEITO!$M$228*EFEITO!$Z$228</f>
        <v>0</v>
      </c>
      <c r="O228" s="64">
        <f>$L$228-EFEITO!$O$228*EFEITO!$AA$228</f>
        <v>0</v>
      </c>
      <c r="P228" s="19"/>
      <c r="Q228" s="19"/>
      <c r="R228" s="19"/>
      <c r="S228" s="19"/>
      <c r="T228" s="19"/>
      <c r="U228" s="19"/>
      <c r="V228" s="19"/>
      <c r="W228" s="19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55" t="s">
        <v>21</v>
      </c>
      <c r="B229" s="55" t="s">
        <v>39</v>
      </c>
      <c r="C229" s="55" t="s">
        <v>66</v>
      </c>
      <c r="D229" s="55" t="s">
        <v>25</v>
      </c>
      <c r="E229" s="55" t="s">
        <v>25</v>
      </c>
      <c r="F229" s="55" t="s">
        <v>25</v>
      </c>
      <c r="G229" s="55" t="s">
        <v>78</v>
      </c>
      <c r="H229" s="55" t="s">
        <v>25</v>
      </c>
      <c r="I229" s="63">
        <v>44409</v>
      </c>
      <c r="J229" s="64">
        <f ca="1">EFEITO!$J$229*EFEITO!$Y$229</f>
        <v>345512.91826887231</v>
      </c>
      <c r="K229" s="64">
        <f>EFEITO!$L$229*EFEITO!$Z$229</f>
        <v>0</v>
      </c>
      <c r="L229" s="64">
        <f>EFEITO!$N$229*EFEITO!$AA$229</f>
        <v>0</v>
      </c>
      <c r="M229" s="64">
        <f ca="1">$J$229-EFEITO!$K$229*EFEITO!$Y$229</f>
        <v>172756.45913443615</v>
      </c>
      <c r="N229" s="64">
        <f>$K$229-EFEITO!$M$229*EFEITO!$Z$229</f>
        <v>0</v>
      </c>
      <c r="O229" s="64">
        <f>$L$229-EFEITO!$O$229*EFEITO!$AA$229</f>
        <v>0</v>
      </c>
      <c r="P229" s="19"/>
      <c r="Q229" s="19"/>
      <c r="R229" s="19"/>
      <c r="S229" s="19"/>
      <c r="T229" s="19"/>
      <c r="U229" s="19"/>
      <c r="V229" s="19"/>
      <c r="W229" s="19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55" t="s">
        <v>21</v>
      </c>
      <c r="B230" s="55" t="s">
        <v>39</v>
      </c>
      <c r="C230" s="55" t="s">
        <v>66</v>
      </c>
      <c r="D230" s="55" t="s">
        <v>25</v>
      </c>
      <c r="E230" s="55" t="s">
        <v>25</v>
      </c>
      <c r="F230" s="55" t="s">
        <v>25</v>
      </c>
      <c r="G230" s="55" t="s">
        <v>79</v>
      </c>
      <c r="H230" s="55" t="s">
        <v>25</v>
      </c>
      <c r="I230" s="63">
        <v>44409</v>
      </c>
      <c r="J230" s="64">
        <f ca="1">EFEITO!$J$230*EFEITO!$Y$230</f>
        <v>345512.91826887231</v>
      </c>
      <c r="K230" s="64">
        <f>EFEITO!$L$230*EFEITO!$Z$230</f>
        <v>0</v>
      </c>
      <c r="L230" s="64">
        <f>EFEITO!$N$230*EFEITO!$AA$230</f>
        <v>0</v>
      </c>
      <c r="M230" s="64">
        <f ca="1">$J$230-EFEITO!$K$230*EFEITO!$Y$230</f>
        <v>172756.45913443615</v>
      </c>
      <c r="N230" s="64">
        <f>$K$230-EFEITO!$M$230*EFEITO!$Z$230</f>
        <v>0</v>
      </c>
      <c r="O230" s="64">
        <f>$L$230-EFEITO!$O$230*EFEITO!$AA$230</f>
        <v>0</v>
      </c>
      <c r="P230" s="19"/>
      <c r="Q230" s="19"/>
      <c r="R230" s="19"/>
      <c r="S230" s="19"/>
      <c r="T230" s="19"/>
      <c r="U230" s="19"/>
      <c r="V230" s="19"/>
      <c r="W230" s="19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55" t="s">
        <v>21</v>
      </c>
      <c r="B231" s="55" t="s">
        <v>39</v>
      </c>
      <c r="C231" s="55" t="s">
        <v>66</v>
      </c>
      <c r="D231" s="55" t="s">
        <v>25</v>
      </c>
      <c r="E231" s="55" t="s">
        <v>25</v>
      </c>
      <c r="F231" s="55" t="s">
        <v>25</v>
      </c>
      <c r="G231" s="55" t="s">
        <v>67</v>
      </c>
      <c r="H231" s="55" t="s">
        <v>25</v>
      </c>
      <c r="I231" s="63">
        <v>44440</v>
      </c>
      <c r="J231" s="64">
        <f ca="1">EFEITO!$J$231*EFEITO!$Y$231</f>
        <v>44788.711627446406</v>
      </c>
      <c r="K231" s="64">
        <f>EFEITO!$L$231*EFEITO!$Z$231</f>
        <v>0</v>
      </c>
      <c r="L231" s="64">
        <f>EFEITO!$N$231*EFEITO!$AA$231</f>
        <v>0</v>
      </c>
      <c r="M231" s="64">
        <f ca="1">$J$231-EFEITO!$K$231*EFEITO!$Y$231</f>
        <v>0</v>
      </c>
      <c r="N231" s="64">
        <f>$K$231-EFEITO!$M$231*EFEITO!$Z$231</f>
        <v>0</v>
      </c>
      <c r="O231" s="64">
        <f>$L$231-EFEITO!$O$231*EFEITO!$AA$231</f>
        <v>0</v>
      </c>
      <c r="P231" s="19"/>
      <c r="Q231" s="19"/>
      <c r="R231" s="19"/>
      <c r="S231" s="19"/>
      <c r="T231" s="19"/>
      <c r="U231" s="19"/>
      <c r="V231" s="19"/>
      <c r="W231" s="19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55" t="s">
        <v>21</v>
      </c>
      <c r="B232" s="55" t="s">
        <v>39</v>
      </c>
      <c r="C232" s="55" t="s">
        <v>66</v>
      </c>
      <c r="D232" s="55" t="s">
        <v>25</v>
      </c>
      <c r="E232" s="55" t="s">
        <v>25</v>
      </c>
      <c r="F232" s="55" t="s">
        <v>25</v>
      </c>
      <c r="G232" s="55" t="s">
        <v>69</v>
      </c>
      <c r="H232" s="55" t="s">
        <v>25</v>
      </c>
      <c r="I232" s="63">
        <v>44440</v>
      </c>
      <c r="J232" s="64">
        <f ca="1">EFEITO!$J$232*EFEITO!$Y$232</f>
        <v>38390.324252096922</v>
      </c>
      <c r="K232" s="64">
        <f>EFEITO!$L$232*EFEITO!$Z$232</f>
        <v>0</v>
      </c>
      <c r="L232" s="64">
        <f>EFEITO!$N$232*EFEITO!$AA$232</f>
        <v>0</v>
      </c>
      <c r="M232" s="64">
        <f ca="1">$J$232-EFEITO!$K$232*EFEITO!$Y$232</f>
        <v>19195.162126048461</v>
      </c>
      <c r="N232" s="64">
        <f>$K$232-EFEITO!$M$232*EFEITO!$Z$232</f>
        <v>0</v>
      </c>
      <c r="O232" s="64">
        <f>$L$232-EFEITO!$O$232*EFEITO!$AA$232</f>
        <v>0</v>
      </c>
      <c r="P232" s="19"/>
      <c r="Q232" s="19"/>
      <c r="R232" s="19"/>
      <c r="S232" s="19"/>
      <c r="T232" s="19"/>
      <c r="U232" s="19"/>
      <c r="V232" s="19"/>
      <c r="W232" s="19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55" t="s">
        <v>21</v>
      </c>
      <c r="B233" s="55" t="s">
        <v>39</v>
      </c>
      <c r="C233" s="55" t="s">
        <v>66</v>
      </c>
      <c r="D233" s="55" t="s">
        <v>25</v>
      </c>
      <c r="E233" s="55" t="s">
        <v>25</v>
      </c>
      <c r="F233" s="55" t="s">
        <v>25</v>
      </c>
      <c r="G233" s="55" t="s">
        <v>70</v>
      </c>
      <c r="H233" s="55" t="s">
        <v>25</v>
      </c>
      <c r="I233" s="63">
        <v>44440</v>
      </c>
      <c r="J233" s="64">
        <f ca="1">EFEITO!$J$233*EFEITO!$Y$233</f>
        <v>140764.52225768872</v>
      </c>
      <c r="K233" s="64">
        <f>EFEITO!$L$233*EFEITO!$Z$233</f>
        <v>0</v>
      </c>
      <c r="L233" s="64">
        <f>EFEITO!$N$233*EFEITO!$AA$233</f>
        <v>0</v>
      </c>
      <c r="M233" s="64">
        <f ca="1">$J$233-EFEITO!$K$233*EFEITO!$Y$233</f>
        <v>70382.261128844359</v>
      </c>
      <c r="N233" s="64">
        <f>$K$233-EFEITO!$M$233*EFEITO!$Z$233</f>
        <v>0</v>
      </c>
      <c r="O233" s="64">
        <f>$L$233-EFEITO!$O$233*EFEITO!$AA$233</f>
        <v>0</v>
      </c>
      <c r="P233" s="19"/>
      <c r="Q233" s="19"/>
      <c r="R233" s="19"/>
      <c r="S233" s="19"/>
      <c r="T233" s="19"/>
      <c r="U233" s="19"/>
      <c r="V233" s="19"/>
      <c r="W233" s="19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55" t="s">
        <v>21</v>
      </c>
      <c r="B234" s="55" t="s">
        <v>39</v>
      </c>
      <c r="C234" s="55" t="s">
        <v>66</v>
      </c>
      <c r="D234" s="55" t="s">
        <v>25</v>
      </c>
      <c r="E234" s="55" t="s">
        <v>25</v>
      </c>
      <c r="F234" s="55" t="s">
        <v>25</v>
      </c>
      <c r="G234" s="55" t="s">
        <v>71</v>
      </c>
      <c r="H234" s="55" t="s">
        <v>25</v>
      </c>
      <c r="I234" s="63">
        <v>44440</v>
      </c>
      <c r="J234" s="64">
        <f ca="1">EFEITO!$J$234*EFEITO!$Y$234</f>
        <v>128607.58624452469</v>
      </c>
      <c r="K234" s="64">
        <f>EFEITO!$L$234*EFEITO!$Z$234</f>
        <v>0</v>
      </c>
      <c r="L234" s="64">
        <f>EFEITO!$N$234*EFEITO!$AA$234</f>
        <v>0</v>
      </c>
      <c r="M234" s="64">
        <f ca="1">$J$234-EFEITO!$K$234*EFEITO!$Y$234</f>
        <v>64303.793122262345</v>
      </c>
      <c r="N234" s="64">
        <f>$K$234-EFEITO!$M$234*EFEITO!$Z$234</f>
        <v>0</v>
      </c>
      <c r="O234" s="64">
        <f>$L$234-EFEITO!$O$234*EFEITO!$AA$234</f>
        <v>0</v>
      </c>
      <c r="P234" s="19"/>
      <c r="Q234" s="19"/>
      <c r="R234" s="19"/>
      <c r="S234" s="19"/>
      <c r="T234" s="19"/>
      <c r="U234" s="19"/>
      <c r="V234" s="19"/>
      <c r="W234" s="19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55" t="s">
        <v>21</v>
      </c>
      <c r="B235" s="55" t="s">
        <v>39</v>
      </c>
      <c r="C235" s="55" t="s">
        <v>66</v>
      </c>
      <c r="D235" s="55" t="s">
        <v>25</v>
      </c>
      <c r="E235" s="55" t="s">
        <v>25</v>
      </c>
      <c r="F235" s="55" t="s">
        <v>25</v>
      </c>
      <c r="G235" s="55" t="s">
        <v>73</v>
      </c>
      <c r="H235" s="55" t="s">
        <v>25</v>
      </c>
      <c r="I235" s="63">
        <v>44440</v>
      </c>
      <c r="J235" s="64">
        <f ca="1">EFEITO!$J$235*EFEITO!$Y$235</f>
        <v>568816.63766856946</v>
      </c>
      <c r="K235" s="64">
        <f>EFEITO!$L$235*EFEITO!$Z$235</f>
        <v>0</v>
      </c>
      <c r="L235" s="64">
        <f>EFEITO!$N$235*EFEITO!$AA$235</f>
        <v>0</v>
      </c>
      <c r="M235" s="64">
        <f ca="1">$J$235-EFEITO!$K$235*EFEITO!$Y$235</f>
        <v>284408.31883428473</v>
      </c>
      <c r="N235" s="64">
        <f>$K$235-EFEITO!$M$235*EFEITO!$Z$235</f>
        <v>0</v>
      </c>
      <c r="O235" s="64">
        <f>$L$235-EFEITO!$O$235*EFEITO!$AA$235</f>
        <v>0</v>
      </c>
      <c r="P235" s="19"/>
      <c r="Q235" s="19"/>
      <c r="R235" s="19"/>
      <c r="S235" s="19"/>
      <c r="T235" s="19"/>
      <c r="U235" s="19"/>
      <c r="V235" s="19"/>
      <c r="W235" s="19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55" t="s">
        <v>21</v>
      </c>
      <c r="B236" s="55" t="s">
        <v>39</v>
      </c>
      <c r="C236" s="55" t="s">
        <v>66</v>
      </c>
      <c r="D236" s="55" t="s">
        <v>25</v>
      </c>
      <c r="E236" s="55" t="s">
        <v>25</v>
      </c>
      <c r="F236" s="55" t="s">
        <v>25</v>
      </c>
      <c r="G236" s="55" t="s">
        <v>75</v>
      </c>
      <c r="H236" s="55" t="s">
        <v>25</v>
      </c>
      <c r="I236" s="63">
        <v>44440</v>
      </c>
      <c r="J236" s="64">
        <f ca="1">EFEITO!$J$236*EFEITO!$Y$236</f>
        <v>383903.24252096924</v>
      </c>
      <c r="K236" s="64">
        <f>EFEITO!$L$236*EFEITO!$Z$236</f>
        <v>0</v>
      </c>
      <c r="L236" s="64">
        <f>EFEITO!$N$236*EFEITO!$AA$236</f>
        <v>0</v>
      </c>
      <c r="M236" s="64">
        <f ca="1">$J$236-EFEITO!$K$236*EFEITO!$Y$236</f>
        <v>191951.62126048462</v>
      </c>
      <c r="N236" s="64">
        <f>$K$236-EFEITO!$M$236*EFEITO!$Z$236</f>
        <v>0</v>
      </c>
      <c r="O236" s="64">
        <f>$L$236-EFEITO!$O$236*EFEITO!$AA$236</f>
        <v>0</v>
      </c>
      <c r="P236" s="19"/>
      <c r="Q236" s="19"/>
      <c r="R236" s="19"/>
      <c r="S236" s="19"/>
      <c r="T236" s="19"/>
      <c r="U236" s="19"/>
      <c r="V236" s="19"/>
      <c r="W236" s="19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55" t="s">
        <v>21</v>
      </c>
      <c r="B237" s="55" t="s">
        <v>39</v>
      </c>
      <c r="C237" s="55" t="s">
        <v>66</v>
      </c>
      <c r="D237" s="55" t="s">
        <v>25</v>
      </c>
      <c r="E237" s="55" t="s">
        <v>25</v>
      </c>
      <c r="F237" s="55" t="s">
        <v>25</v>
      </c>
      <c r="G237" s="55" t="s">
        <v>76</v>
      </c>
      <c r="H237" s="55" t="s">
        <v>25</v>
      </c>
      <c r="I237" s="63">
        <v>44440</v>
      </c>
      <c r="J237" s="64">
        <f ca="1">EFEITO!$J$237*EFEITO!$Y$237</f>
        <v>383903.24252096924</v>
      </c>
      <c r="K237" s="64">
        <f>EFEITO!$L$237*EFEITO!$Z$237</f>
        <v>0</v>
      </c>
      <c r="L237" s="64">
        <f>EFEITO!$N$237*EFEITO!$AA$237</f>
        <v>0</v>
      </c>
      <c r="M237" s="64">
        <f ca="1">$J$237-EFEITO!$K$237*EFEITO!$Y$237</f>
        <v>191951.62126048462</v>
      </c>
      <c r="N237" s="64">
        <f>$K$237-EFEITO!$M$237*EFEITO!$Z$237</f>
        <v>0</v>
      </c>
      <c r="O237" s="64">
        <f>$L$237-EFEITO!$O$237*EFEITO!$AA$237</f>
        <v>0</v>
      </c>
      <c r="P237" s="19"/>
      <c r="Q237" s="19"/>
      <c r="R237" s="19"/>
      <c r="S237" s="19"/>
      <c r="T237" s="19"/>
      <c r="U237" s="19"/>
      <c r="V237" s="19"/>
      <c r="W237" s="19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55" t="s">
        <v>21</v>
      </c>
      <c r="B238" s="55" t="s">
        <v>39</v>
      </c>
      <c r="C238" s="55" t="s">
        <v>66</v>
      </c>
      <c r="D238" s="55" t="s">
        <v>25</v>
      </c>
      <c r="E238" s="55" t="s">
        <v>25</v>
      </c>
      <c r="F238" s="55" t="s">
        <v>25</v>
      </c>
      <c r="G238" s="55" t="s">
        <v>77</v>
      </c>
      <c r="H238" s="55" t="s">
        <v>25</v>
      </c>
      <c r="I238" s="63">
        <v>44440</v>
      </c>
      <c r="J238" s="64">
        <f ca="1">EFEITO!$J$238*EFEITO!$Y$238</f>
        <v>383903.24252096924</v>
      </c>
      <c r="K238" s="64">
        <f>EFEITO!$L$238*EFEITO!$Z$238</f>
        <v>0</v>
      </c>
      <c r="L238" s="64">
        <f>EFEITO!$N$238*EFEITO!$AA$238</f>
        <v>0</v>
      </c>
      <c r="M238" s="64">
        <f ca="1">$J$238-EFEITO!$K$238*EFEITO!$Y$238</f>
        <v>191951.62126048462</v>
      </c>
      <c r="N238" s="64">
        <f>$K$238-EFEITO!$M$238*EFEITO!$Z$238</f>
        <v>0</v>
      </c>
      <c r="O238" s="64">
        <f>$L$238-EFEITO!$O$238*EFEITO!$AA$238</f>
        <v>0</v>
      </c>
      <c r="P238" s="19"/>
      <c r="Q238" s="19"/>
      <c r="R238" s="19"/>
      <c r="S238" s="19"/>
      <c r="T238" s="19"/>
      <c r="U238" s="19"/>
      <c r="V238" s="19"/>
      <c r="W238" s="19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55" t="s">
        <v>21</v>
      </c>
      <c r="B239" s="55" t="s">
        <v>39</v>
      </c>
      <c r="C239" s="55" t="s">
        <v>66</v>
      </c>
      <c r="D239" s="55" t="s">
        <v>25</v>
      </c>
      <c r="E239" s="55" t="s">
        <v>25</v>
      </c>
      <c r="F239" s="55" t="s">
        <v>25</v>
      </c>
      <c r="G239" s="55" t="s">
        <v>78</v>
      </c>
      <c r="H239" s="55" t="s">
        <v>25</v>
      </c>
      <c r="I239" s="63">
        <v>44440</v>
      </c>
      <c r="J239" s="64">
        <f ca="1">EFEITO!$J$239*EFEITO!$Y$239</f>
        <v>345512.91826887231</v>
      </c>
      <c r="K239" s="64">
        <f>EFEITO!$L$239*EFEITO!$Z$239</f>
        <v>0</v>
      </c>
      <c r="L239" s="64">
        <f>EFEITO!$N$239*EFEITO!$AA$239</f>
        <v>0</v>
      </c>
      <c r="M239" s="64">
        <f ca="1">$J$239-EFEITO!$K$239*EFEITO!$Y$239</f>
        <v>172756.45913443615</v>
      </c>
      <c r="N239" s="64">
        <f>$K$239-EFEITO!$M$239*EFEITO!$Z$239</f>
        <v>0</v>
      </c>
      <c r="O239" s="64">
        <f>$L$239-EFEITO!$O$239*EFEITO!$AA$239</f>
        <v>0</v>
      </c>
      <c r="P239" s="19"/>
      <c r="Q239" s="19"/>
      <c r="R239" s="19"/>
      <c r="S239" s="19"/>
      <c r="T239" s="19"/>
      <c r="U239" s="19"/>
      <c r="V239" s="19"/>
      <c r="W239" s="19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55" t="s">
        <v>21</v>
      </c>
      <c r="B240" s="55" t="s">
        <v>39</v>
      </c>
      <c r="C240" s="55" t="s">
        <v>66</v>
      </c>
      <c r="D240" s="55" t="s">
        <v>25</v>
      </c>
      <c r="E240" s="55" t="s">
        <v>25</v>
      </c>
      <c r="F240" s="55" t="s">
        <v>25</v>
      </c>
      <c r="G240" s="55" t="s">
        <v>79</v>
      </c>
      <c r="H240" s="55" t="s">
        <v>25</v>
      </c>
      <c r="I240" s="63">
        <v>44440</v>
      </c>
      <c r="J240" s="64">
        <f ca="1">EFEITO!$J$240*EFEITO!$Y$240</f>
        <v>345512.91826887231</v>
      </c>
      <c r="K240" s="64">
        <f>EFEITO!$L$240*EFEITO!$Z$240</f>
        <v>0</v>
      </c>
      <c r="L240" s="64">
        <f>EFEITO!$N$240*EFEITO!$AA$240</f>
        <v>0</v>
      </c>
      <c r="M240" s="64">
        <f ca="1">$J$240-EFEITO!$K$240*EFEITO!$Y$240</f>
        <v>172756.45913443615</v>
      </c>
      <c r="N240" s="64">
        <f>$K$240-EFEITO!$M$240*EFEITO!$Z$240</f>
        <v>0</v>
      </c>
      <c r="O240" s="64">
        <f>$L$240-EFEITO!$O$240*EFEITO!$AA$240</f>
        <v>0</v>
      </c>
      <c r="P240" s="19"/>
      <c r="Q240" s="19"/>
      <c r="R240" s="19"/>
      <c r="S240" s="19"/>
      <c r="T240" s="19"/>
      <c r="U240" s="19"/>
      <c r="V240" s="19"/>
      <c r="W240" s="19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55" t="s">
        <v>21</v>
      </c>
      <c r="B241" s="55" t="s">
        <v>39</v>
      </c>
      <c r="C241" s="55" t="s">
        <v>66</v>
      </c>
      <c r="D241" s="55" t="s">
        <v>25</v>
      </c>
      <c r="E241" s="55" t="s">
        <v>25</v>
      </c>
      <c r="F241" s="55" t="s">
        <v>25</v>
      </c>
      <c r="G241" s="55" t="s">
        <v>67</v>
      </c>
      <c r="H241" s="55" t="s">
        <v>25</v>
      </c>
      <c r="I241" s="63">
        <v>44470</v>
      </c>
      <c r="J241" s="64">
        <f ca="1">EFEITO!$J$241*EFEITO!$Y$241</f>
        <v>44788.711627446406</v>
      </c>
      <c r="K241" s="64">
        <f>EFEITO!$L$241*EFEITO!$Z$241</f>
        <v>0</v>
      </c>
      <c r="L241" s="64">
        <f>EFEITO!$N$241*EFEITO!$AA$241</f>
        <v>0</v>
      </c>
      <c r="M241" s="64">
        <f ca="1">$J$241-EFEITO!$K$241*EFEITO!$Y$241</f>
        <v>0</v>
      </c>
      <c r="N241" s="64">
        <f>$K$241-EFEITO!$M$241*EFEITO!$Z$241</f>
        <v>0</v>
      </c>
      <c r="O241" s="64">
        <f>$L$241-EFEITO!$O$241*EFEITO!$AA$241</f>
        <v>0</v>
      </c>
      <c r="P241" s="19"/>
      <c r="Q241" s="19"/>
      <c r="R241" s="19"/>
      <c r="S241" s="19"/>
      <c r="T241" s="19"/>
      <c r="U241" s="19"/>
      <c r="V241" s="19"/>
      <c r="W241" s="19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55" t="s">
        <v>21</v>
      </c>
      <c r="B242" s="55" t="s">
        <v>39</v>
      </c>
      <c r="C242" s="55" t="s">
        <v>66</v>
      </c>
      <c r="D242" s="55" t="s">
        <v>25</v>
      </c>
      <c r="E242" s="55" t="s">
        <v>25</v>
      </c>
      <c r="F242" s="55" t="s">
        <v>25</v>
      </c>
      <c r="G242" s="55" t="s">
        <v>69</v>
      </c>
      <c r="H242" s="55" t="s">
        <v>25</v>
      </c>
      <c r="I242" s="63">
        <v>44470</v>
      </c>
      <c r="J242" s="64">
        <f ca="1">EFEITO!$J$242*EFEITO!$Y$242</f>
        <v>38390.324252096922</v>
      </c>
      <c r="K242" s="64">
        <f>EFEITO!$L$242*EFEITO!$Z$242</f>
        <v>0</v>
      </c>
      <c r="L242" s="64">
        <f>EFEITO!$N$242*EFEITO!$AA$242</f>
        <v>0</v>
      </c>
      <c r="M242" s="64">
        <f ca="1">$J$242-EFEITO!$K$242*EFEITO!$Y$242</f>
        <v>19195.162126048461</v>
      </c>
      <c r="N242" s="64">
        <f>$K$242-EFEITO!$M$242*EFEITO!$Z$242</f>
        <v>0</v>
      </c>
      <c r="O242" s="64">
        <f>$L$242-EFEITO!$O$242*EFEITO!$AA$242</f>
        <v>0</v>
      </c>
      <c r="P242" s="19"/>
      <c r="Q242" s="19"/>
      <c r="R242" s="19"/>
      <c r="S242" s="19"/>
      <c r="T242" s="19"/>
      <c r="U242" s="19"/>
      <c r="V242" s="19"/>
      <c r="W242" s="19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55" t="s">
        <v>21</v>
      </c>
      <c r="B243" s="55" t="s">
        <v>39</v>
      </c>
      <c r="C243" s="55" t="s">
        <v>66</v>
      </c>
      <c r="D243" s="55" t="s">
        <v>25</v>
      </c>
      <c r="E243" s="55" t="s">
        <v>25</v>
      </c>
      <c r="F243" s="55" t="s">
        <v>25</v>
      </c>
      <c r="G243" s="55" t="s">
        <v>70</v>
      </c>
      <c r="H243" s="55" t="s">
        <v>25</v>
      </c>
      <c r="I243" s="63">
        <v>44470</v>
      </c>
      <c r="J243" s="64">
        <f ca="1">EFEITO!$J$243*EFEITO!$Y$243</f>
        <v>140764.52225768872</v>
      </c>
      <c r="K243" s="64">
        <f>EFEITO!$L$243*EFEITO!$Z$243</f>
        <v>0</v>
      </c>
      <c r="L243" s="64">
        <f>EFEITO!$N$243*EFEITO!$AA$243</f>
        <v>0</v>
      </c>
      <c r="M243" s="64">
        <f ca="1">$J$243-EFEITO!$K$243*EFEITO!$Y$243</f>
        <v>70382.261128844359</v>
      </c>
      <c r="N243" s="64">
        <f>$K$243-EFEITO!$M$243*EFEITO!$Z$243</f>
        <v>0</v>
      </c>
      <c r="O243" s="64">
        <f>$L$243-EFEITO!$O$243*EFEITO!$AA$243</f>
        <v>0</v>
      </c>
      <c r="P243" s="19"/>
      <c r="Q243" s="19"/>
      <c r="R243" s="19"/>
      <c r="S243" s="19"/>
      <c r="T243" s="19"/>
      <c r="U243" s="19"/>
      <c r="V243" s="19"/>
      <c r="W243" s="19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55" t="s">
        <v>21</v>
      </c>
      <c r="B244" s="55" t="s">
        <v>39</v>
      </c>
      <c r="C244" s="55" t="s">
        <v>66</v>
      </c>
      <c r="D244" s="55" t="s">
        <v>25</v>
      </c>
      <c r="E244" s="55" t="s">
        <v>25</v>
      </c>
      <c r="F244" s="55" t="s">
        <v>25</v>
      </c>
      <c r="G244" s="55" t="s">
        <v>71</v>
      </c>
      <c r="H244" s="55" t="s">
        <v>25</v>
      </c>
      <c r="I244" s="63">
        <v>44470</v>
      </c>
      <c r="J244" s="64">
        <f ca="1">EFEITO!$J$244*EFEITO!$Y$244</f>
        <v>128607.58624452469</v>
      </c>
      <c r="K244" s="64">
        <f>EFEITO!$L$244*EFEITO!$Z$244</f>
        <v>0</v>
      </c>
      <c r="L244" s="64">
        <f>EFEITO!$N$244*EFEITO!$AA$244</f>
        <v>0</v>
      </c>
      <c r="M244" s="64">
        <f ca="1">$J$244-EFEITO!$K$244*EFEITO!$Y$244</f>
        <v>64303.793122262345</v>
      </c>
      <c r="N244" s="64">
        <f>$K$244-EFEITO!$M$244*EFEITO!$Z$244</f>
        <v>0</v>
      </c>
      <c r="O244" s="64">
        <f>$L$244-EFEITO!$O$244*EFEITO!$AA$244</f>
        <v>0</v>
      </c>
      <c r="P244" s="19"/>
      <c r="Q244" s="19"/>
      <c r="R244" s="19"/>
      <c r="S244" s="19"/>
      <c r="T244" s="19"/>
      <c r="U244" s="19"/>
      <c r="V244" s="19"/>
      <c r="W244" s="19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55" t="s">
        <v>21</v>
      </c>
      <c r="B245" s="55" t="s">
        <v>39</v>
      </c>
      <c r="C245" s="55" t="s">
        <v>66</v>
      </c>
      <c r="D245" s="55" t="s">
        <v>25</v>
      </c>
      <c r="E245" s="55" t="s">
        <v>25</v>
      </c>
      <c r="F245" s="55" t="s">
        <v>25</v>
      </c>
      <c r="G245" s="55" t="s">
        <v>73</v>
      </c>
      <c r="H245" s="55" t="s">
        <v>25</v>
      </c>
      <c r="I245" s="63">
        <v>44470</v>
      </c>
      <c r="J245" s="64">
        <f ca="1">EFEITO!$J$245*EFEITO!$Y$245</f>
        <v>568816.63766856946</v>
      </c>
      <c r="K245" s="64">
        <f>EFEITO!$L$245*EFEITO!$Z$245</f>
        <v>0</v>
      </c>
      <c r="L245" s="64">
        <f>EFEITO!$N$245*EFEITO!$AA$245</f>
        <v>0</v>
      </c>
      <c r="M245" s="64">
        <f ca="1">$J$245-EFEITO!$K$245*EFEITO!$Y$245</f>
        <v>284408.31883428473</v>
      </c>
      <c r="N245" s="64">
        <f>$K$245-EFEITO!$M$245*EFEITO!$Z$245</f>
        <v>0</v>
      </c>
      <c r="O245" s="64">
        <f>$L$245-EFEITO!$O$245*EFEITO!$AA$245</f>
        <v>0</v>
      </c>
      <c r="P245" s="19"/>
      <c r="Q245" s="19"/>
      <c r="R245" s="19"/>
      <c r="S245" s="19"/>
      <c r="T245" s="19"/>
      <c r="U245" s="19"/>
      <c r="V245" s="19"/>
      <c r="W245" s="19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55" t="s">
        <v>21</v>
      </c>
      <c r="B246" s="55" t="s">
        <v>39</v>
      </c>
      <c r="C246" s="55" t="s">
        <v>66</v>
      </c>
      <c r="D246" s="55" t="s">
        <v>25</v>
      </c>
      <c r="E246" s="55" t="s">
        <v>25</v>
      </c>
      <c r="F246" s="55" t="s">
        <v>25</v>
      </c>
      <c r="G246" s="55" t="s">
        <v>75</v>
      </c>
      <c r="H246" s="55" t="s">
        <v>25</v>
      </c>
      <c r="I246" s="63">
        <v>44470</v>
      </c>
      <c r="J246" s="64">
        <f ca="1">EFEITO!$J$246*EFEITO!$Y$246</f>
        <v>383903.24252096924</v>
      </c>
      <c r="K246" s="64">
        <f>EFEITO!$L$246*EFEITO!$Z$246</f>
        <v>0</v>
      </c>
      <c r="L246" s="64">
        <f>EFEITO!$N$246*EFEITO!$AA$246</f>
        <v>0</v>
      </c>
      <c r="M246" s="64">
        <f ca="1">$J$246-EFEITO!$K$246*EFEITO!$Y$246</f>
        <v>191951.62126048462</v>
      </c>
      <c r="N246" s="64">
        <f>$K$246-EFEITO!$M$246*EFEITO!$Z$246</f>
        <v>0</v>
      </c>
      <c r="O246" s="64">
        <f>$L$246-EFEITO!$O$246*EFEITO!$AA$246</f>
        <v>0</v>
      </c>
      <c r="P246" s="19"/>
      <c r="Q246" s="19"/>
      <c r="R246" s="19"/>
      <c r="S246" s="19"/>
      <c r="T246" s="19"/>
      <c r="U246" s="19"/>
      <c r="V246" s="19"/>
      <c r="W246" s="19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55" t="s">
        <v>21</v>
      </c>
      <c r="B247" s="55" t="s">
        <v>39</v>
      </c>
      <c r="C247" s="55" t="s">
        <v>66</v>
      </c>
      <c r="D247" s="55" t="s">
        <v>25</v>
      </c>
      <c r="E247" s="55" t="s">
        <v>25</v>
      </c>
      <c r="F247" s="55" t="s">
        <v>25</v>
      </c>
      <c r="G247" s="55" t="s">
        <v>76</v>
      </c>
      <c r="H247" s="55" t="s">
        <v>25</v>
      </c>
      <c r="I247" s="63">
        <v>44470</v>
      </c>
      <c r="J247" s="64">
        <f ca="1">EFEITO!$J$247*EFEITO!$Y$247</f>
        <v>383903.24252096924</v>
      </c>
      <c r="K247" s="64">
        <f>EFEITO!$L$247*EFEITO!$Z$247</f>
        <v>0</v>
      </c>
      <c r="L247" s="64">
        <f>EFEITO!$N$247*EFEITO!$AA$247</f>
        <v>0</v>
      </c>
      <c r="M247" s="64">
        <f ca="1">$J$247-EFEITO!$K$247*EFEITO!$Y$247</f>
        <v>191951.62126048462</v>
      </c>
      <c r="N247" s="64">
        <f>$K$247-EFEITO!$M$247*EFEITO!$Z$247</f>
        <v>0</v>
      </c>
      <c r="O247" s="64">
        <f>$L$247-EFEITO!$O$247*EFEITO!$AA$247</f>
        <v>0</v>
      </c>
      <c r="P247" s="19"/>
      <c r="Q247" s="19"/>
      <c r="R247" s="19"/>
      <c r="S247" s="19"/>
      <c r="T247" s="19"/>
      <c r="U247" s="19"/>
      <c r="V247" s="19"/>
      <c r="W247" s="19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55" t="s">
        <v>21</v>
      </c>
      <c r="B248" s="55" t="s">
        <v>39</v>
      </c>
      <c r="C248" s="55" t="s">
        <v>66</v>
      </c>
      <c r="D248" s="55" t="s">
        <v>25</v>
      </c>
      <c r="E248" s="55" t="s">
        <v>25</v>
      </c>
      <c r="F248" s="55" t="s">
        <v>25</v>
      </c>
      <c r="G248" s="55" t="s">
        <v>77</v>
      </c>
      <c r="H248" s="55" t="s">
        <v>25</v>
      </c>
      <c r="I248" s="63">
        <v>44470</v>
      </c>
      <c r="J248" s="64">
        <f ca="1">EFEITO!$J$248*EFEITO!$Y$248</f>
        <v>383903.24252096924</v>
      </c>
      <c r="K248" s="64">
        <f>EFEITO!$L$248*EFEITO!$Z$248</f>
        <v>0</v>
      </c>
      <c r="L248" s="64">
        <f>EFEITO!$N$248*EFEITO!$AA$248</f>
        <v>0</v>
      </c>
      <c r="M248" s="64">
        <f ca="1">$J$248-EFEITO!$K$248*EFEITO!$Y$248</f>
        <v>191951.62126048462</v>
      </c>
      <c r="N248" s="64">
        <f>$K$248-EFEITO!$M$248*EFEITO!$Z$248</f>
        <v>0</v>
      </c>
      <c r="O248" s="64">
        <f>$L$248-EFEITO!$O$248*EFEITO!$AA$248</f>
        <v>0</v>
      </c>
      <c r="P248" s="19"/>
      <c r="Q248" s="19"/>
      <c r="R248" s="19"/>
      <c r="S248" s="19"/>
      <c r="T248" s="19"/>
      <c r="U248" s="19"/>
      <c r="V248" s="19"/>
      <c r="W248" s="19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55" t="s">
        <v>21</v>
      </c>
      <c r="B249" s="55" t="s">
        <v>39</v>
      </c>
      <c r="C249" s="55" t="s">
        <v>66</v>
      </c>
      <c r="D249" s="55" t="s">
        <v>25</v>
      </c>
      <c r="E249" s="55" t="s">
        <v>25</v>
      </c>
      <c r="F249" s="55" t="s">
        <v>25</v>
      </c>
      <c r="G249" s="55" t="s">
        <v>78</v>
      </c>
      <c r="H249" s="55" t="s">
        <v>25</v>
      </c>
      <c r="I249" s="63">
        <v>44470</v>
      </c>
      <c r="J249" s="64">
        <f ca="1">EFEITO!$J$249*EFEITO!$Y$249</f>
        <v>345512.91826887231</v>
      </c>
      <c r="K249" s="64">
        <f>EFEITO!$L$249*EFEITO!$Z$249</f>
        <v>0</v>
      </c>
      <c r="L249" s="64">
        <f>EFEITO!$N$249*EFEITO!$AA$249</f>
        <v>0</v>
      </c>
      <c r="M249" s="64">
        <f ca="1">$J$249-EFEITO!$K$249*EFEITO!$Y$249</f>
        <v>172756.45913443615</v>
      </c>
      <c r="N249" s="64">
        <f>$K$249-EFEITO!$M$249*EFEITO!$Z$249</f>
        <v>0</v>
      </c>
      <c r="O249" s="64">
        <f>$L$249-EFEITO!$O$249*EFEITO!$AA$249</f>
        <v>0</v>
      </c>
      <c r="P249" s="19"/>
      <c r="Q249" s="19"/>
      <c r="R249" s="19"/>
      <c r="S249" s="19"/>
      <c r="T249" s="19"/>
      <c r="U249" s="19"/>
      <c r="V249" s="19"/>
      <c r="W249" s="19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55" t="s">
        <v>21</v>
      </c>
      <c r="B250" s="55" t="s">
        <v>39</v>
      </c>
      <c r="C250" s="55" t="s">
        <v>66</v>
      </c>
      <c r="D250" s="55" t="s">
        <v>25</v>
      </c>
      <c r="E250" s="55" t="s">
        <v>25</v>
      </c>
      <c r="F250" s="55" t="s">
        <v>25</v>
      </c>
      <c r="G250" s="55" t="s">
        <v>79</v>
      </c>
      <c r="H250" s="55" t="s">
        <v>25</v>
      </c>
      <c r="I250" s="63">
        <v>44470</v>
      </c>
      <c r="J250" s="64">
        <f ca="1">EFEITO!$J$250*EFEITO!$Y$250</f>
        <v>345512.91826887231</v>
      </c>
      <c r="K250" s="64">
        <f>EFEITO!$L$250*EFEITO!$Z$250</f>
        <v>0</v>
      </c>
      <c r="L250" s="64">
        <f>EFEITO!$N$250*EFEITO!$AA$250</f>
        <v>0</v>
      </c>
      <c r="M250" s="64">
        <f ca="1">$J$250-EFEITO!$K$250*EFEITO!$Y$250</f>
        <v>172756.45913443615</v>
      </c>
      <c r="N250" s="64">
        <f>$K$250-EFEITO!$M$250*EFEITO!$Z$250</f>
        <v>0</v>
      </c>
      <c r="O250" s="64">
        <f>$L$250-EFEITO!$O$250*EFEITO!$AA$250</f>
        <v>0</v>
      </c>
      <c r="P250" s="19"/>
      <c r="Q250" s="19"/>
      <c r="R250" s="19"/>
      <c r="S250" s="19"/>
      <c r="T250" s="19"/>
      <c r="U250" s="19"/>
      <c r="V250" s="19"/>
      <c r="W250" s="19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55" t="s">
        <v>21</v>
      </c>
      <c r="B251" s="55" t="s">
        <v>39</v>
      </c>
      <c r="C251" s="55" t="s">
        <v>66</v>
      </c>
      <c r="D251" s="55" t="s">
        <v>25</v>
      </c>
      <c r="E251" s="55" t="s">
        <v>25</v>
      </c>
      <c r="F251" s="55" t="s">
        <v>25</v>
      </c>
      <c r="G251" s="55" t="s">
        <v>67</v>
      </c>
      <c r="H251" s="55" t="s">
        <v>25</v>
      </c>
      <c r="I251" s="63">
        <v>44501</v>
      </c>
      <c r="J251" s="64">
        <f ca="1">EFEITO!$J$251*EFEITO!$Y$251</f>
        <v>44788.711627446406</v>
      </c>
      <c r="K251" s="64">
        <f>EFEITO!$L$251*EFEITO!$Z$251</f>
        <v>0</v>
      </c>
      <c r="L251" s="64">
        <f>EFEITO!$N$251*EFEITO!$AA$251</f>
        <v>0</v>
      </c>
      <c r="M251" s="64">
        <f ca="1">$J$251-EFEITO!$K$251*EFEITO!$Y$251</f>
        <v>0</v>
      </c>
      <c r="N251" s="64">
        <f>$K$251-EFEITO!$M$251*EFEITO!$Z$251</f>
        <v>0</v>
      </c>
      <c r="O251" s="64">
        <f>$L$251-EFEITO!$O$251*EFEITO!$AA$251</f>
        <v>0</v>
      </c>
      <c r="P251" s="19"/>
      <c r="Q251" s="19"/>
      <c r="R251" s="19"/>
      <c r="S251" s="19"/>
      <c r="T251" s="19"/>
      <c r="U251" s="19"/>
      <c r="V251" s="19"/>
      <c r="W251" s="19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55" t="s">
        <v>21</v>
      </c>
      <c r="B252" s="55" t="s">
        <v>39</v>
      </c>
      <c r="C252" s="55" t="s">
        <v>66</v>
      </c>
      <c r="D252" s="55" t="s">
        <v>25</v>
      </c>
      <c r="E252" s="55" t="s">
        <v>25</v>
      </c>
      <c r="F252" s="55" t="s">
        <v>25</v>
      </c>
      <c r="G252" s="55" t="s">
        <v>69</v>
      </c>
      <c r="H252" s="55" t="s">
        <v>25</v>
      </c>
      <c r="I252" s="63">
        <v>44501</v>
      </c>
      <c r="J252" s="64">
        <f ca="1">EFEITO!$J$252*EFEITO!$Y$252</f>
        <v>47527.221424095987</v>
      </c>
      <c r="K252" s="64">
        <f>EFEITO!$L$252*EFEITO!$Z$252</f>
        <v>0</v>
      </c>
      <c r="L252" s="64">
        <f>EFEITO!$N$252*EFEITO!$AA$252</f>
        <v>0</v>
      </c>
      <c r="M252" s="64">
        <f ca="1">$J$252-EFEITO!$K$252*EFEITO!$Y$252</f>
        <v>23763.610712047994</v>
      </c>
      <c r="N252" s="64">
        <f>$K$252-EFEITO!$M$252*EFEITO!$Z$252</f>
        <v>0</v>
      </c>
      <c r="O252" s="64">
        <f>$L$252-EFEITO!$O$252*EFEITO!$AA$252</f>
        <v>0</v>
      </c>
      <c r="P252" s="19"/>
      <c r="Q252" s="19"/>
      <c r="R252" s="19"/>
      <c r="S252" s="19"/>
      <c r="T252" s="19"/>
      <c r="U252" s="19"/>
      <c r="V252" s="19"/>
      <c r="W252" s="19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55" t="s">
        <v>21</v>
      </c>
      <c r="B253" s="55" t="s">
        <v>39</v>
      </c>
      <c r="C253" s="55" t="s">
        <v>66</v>
      </c>
      <c r="D253" s="55" t="s">
        <v>25</v>
      </c>
      <c r="E253" s="55" t="s">
        <v>25</v>
      </c>
      <c r="F253" s="55" t="s">
        <v>25</v>
      </c>
      <c r="G253" s="55" t="s">
        <v>70</v>
      </c>
      <c r="H253" s="55" t="s">
        <v>25</v>
      </c>
      <c r="I253" s="63">
        <v>44501</v>
      </c>
      <c r="J253" s="64">
        <f ca="1">EFEITO!$J$253*EFEITO!$Y$253</f>
        <v>151155.50335525628</v>
      </c>
      <c r="K253" s="64">
        <f>EFEITO!$L$253*EFEITO!$Z$253</f>
        <v>0</v>
      </c>
      <c r="L253" s="64">
        <f>EFEITO!$N$253*EFEITO!$AA$253</f>
        <v>0</v>
      </c>
      <c r="M253" s="64">
        <f ca="1">$J$253-EFEITO!$K$253*EFEITO!$Y$253</f>
        <v>75577.751677628141</v>
      </c>
      <c r="N253" s="64">
        <f>$K$253-EFEITO!$M$253*EFEITO!$Z$253</f>
        <v>0</v>
      </c>
      <c r="O253" s="64">
        <f>$L$253-EFEITO!$O$253*EFEITO!$AA$253</f>
        <v>0</v>
      </c>
      <c r="P253" s="19"/>
      <c r="Q253" s="19"/>
      <c r="R253" s="19"/>
      <c r="S253" s="19"/>
      <c r="T253" s="19"/>
      <c r="U253" s="19"/>
      <c r="V253" s="19"/>
      <c r="W253" s="19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55" t="s">
        <v>21</v>
      </c>
      <c r="B254" s="55" t="s">
        <v>39</v>
      </c>
      <c r="C254" s="55" t="s">
        <v>66</v>
      </c>
      <c r="D254" s="55" t="s">
        <v>25</v>
      </c>
      <c r="E254" s="55" t="s">
        <v>25</v>
      </c>
      <c r="F254" s="55" t="s">
        <v>25</v>
      </c>
      <c r="G254" s="55" t="s">
        <v>71</v>
      </c>
      <c r="H254" s="55" t="s">
        <v>25</v>
      </c>
      <c r="I254" s="63">
        <v>44501</v>
      </c>
      <c r="J254" s="64">
        <f ca="1">EFEITO!$J$254*EFEITO!$Y$254</f>
        <v>128607.58624452469</v>
      </c>
      <c r="K254" s="64">
        <f>EFEITO!$L$254*EFEITO!$Z$254</f>
        <v>0</v>
      </c>
      <c r="L254" s="64">
        <f>EFEITO!$N$254*EFEITO!$AA$254</f>
        <v>0</v>
      </c>
      <c r="M254" s="64">
        <f ca="1">$J$254-EFEITO!$K$254*EFEITO!$Y$254</f>
        <v>64303.793122262345</v>
      </c>
      <c r="N254" s="64">
        <f>$K$254-EFEITO!$M$254*EFEITO!$Z$254</f>
        <v>0</v>
      </c>
      <c r="O254" s="64">
        <f>$L$254-EFEITO!$O$254*EFEITO!$AA$254</f>
        <v>0</v>
      </c>
      <c r="P254" s="19"/>
      <c r="Q254" s="19"/>
      <c r="R254" s="19"/>
      <c r="S254" s="19"/>
      <c r="T254" s="19"/>
      <c r="U254" s="19"/>
      <c r="V254" s="19"/>
      <c r="W254" s="19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55" t="s">
        <v>21</v>
      </c>
      <c r="B255" s="55" t="s">
        <v>39</v>
      </c>
      <c r="C255" s="55" t="s">
        <v>66</v>
      </c>
      <c r="D255" s="55" t="s">
        <v>25</v>
      </c>
      <c r="E255" s="55" t="s">
        <v>25</v>
      </c>
      <c r="F255" s="55" t="s">
        <v>25</v>
      </c>
      <c r="G255" s="55" t="s">
        <v>73</v>
      </c>
      <c r="H255" s="55" t="s">
        <v>25</v>
      </c>
      <c r="I255" s="63">
        <v>44501</v>
      </c>
      <c r="J255" s="64">
        <f ca="1">EFEITO!$J$255*EFEITO!$Y$255</f>
        <v>568816.63766856946</v>
      </c>
      <c r="K255" s="64">
        <f>EFEITO!$L$255*EFEITO!$Z$255</f>
        <v>0</v>
      </c>
      <c r="L255" s="64">
        <f>EFEITO!$N$255*EFEITO!$AA$255</f>
        <v>0</v>
      </c>
      <c r="M255" s="64">
        <f ca="1">$J$255-EFEITO!$K$255*EFEITO!$Y$255</f>
        <v>284408.31883428473</v>
      </c>
      <c r="N255" s="64">
        <f>$K$255-EFEITO!$M$255*EFEITO!$Z$255</f>
        <v>0</v>
      </c>
      <c r="O255" s="64">
        <f>$L$255-EFEITO!$O$255*EFEITO!$AA$255</f>
        <v>0</v>
      </c>
      <c r="P255" s="19"/>
      <c r="Q255" s="19"/>
      <c r="R255" s="19"/>
      <c r="S255" s="19"/>
      <c r="T255" s="19"/>
      <c r="U255" s="19"/>
      <c r="V255" s="19"/>
      <c r="W255" s="19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55" t="s">
        <v>21</v>
      </c>
      <c r="B256" s="55" t="s">
        <v>39</v>
      </c>
      <c r="C256" s="55" t="s">
        <v>66</v>
      </c>
      <c r="D256" s="55" t="s">
        <v>25</v>
      </c>
      <c r="E256" s="55" t="s">
        <v>25</v>
      </c>
      <c r="F256" s="55" t="s">
        <v>25</v>
      </c>
      <c r="G256" s="55" t="s">
        <v>75</v>
      </c>
      <c r="H256" s="55" t="s">
        <v>25</v>
      </c>
      <c r="I256" s="63">
        <v>44501</v>
      </c>
      <c r="J256" s="64">
        <f ca="1">EFEITO!$J$256*EFEITO!$Y$256</f>
        <v>383903.24252096924</v>
      </c>
      <c r="K256" s="64">
        <f>EFEITO!$L$256*EFEITO!$Z$256</f>
        <v>0</v>
      </c>
      <c r="L256" s="64">
        <f>EFEITO!$N$256*EFEITO!$AA$256</f>
        <v>0</v>
      </c>
      <c r="M256" s="64">
        <f ca="1">$J$256-EFEITO!$K$256*EFEITO!$Y$256</f>
        <v>191951.62126048462</v>
      </c>
      <c r="N256" s="64">
        <f>$K$256-EFEITO!$M$256*EFEITO!$Z$256</f>
        <v>0</v>
      </c>
      <c r="O256" s="64">
        <f>$L$256-EFEITO!$O$256*EFEITO!$AA$256</f>
        <v>0</v>
      </c>
      <c r="P256" s="19"/>
      <c r="Q256" s="19"/>
      <c r="R256" s="19"/>
      <c r="S256" s="19"/>
      <c r="T256" s="19"/>
      <c r="U256" s="19"/>
      <c r="V256" s="19"/>
      <c r="W256" s="19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55" t="s">
        <v>21</v>
      </c>
      <c r="B257" s="55" t="s">
        <v>39</v>
      </c>
      <c r="C257" s="55" t="s">
        <v>66</v>
      </c>
      <c r="D257" s="55" t="s">
        <v>25</v>
      </c>
      <c r="E257" s="55" t="s">
        <v>25</v>
      </c>
      <c r="F257" s="55" t="s">
        <v>25</v>
      </c>
      <c r="G257" s="55" t="s">
        <v>76</v>
      </c>
      <c r="H257" s="55" t="s">
        <v>25</v>
      </c>
      <c r="I257" s="63">
        <v>44501</v>
      </c>
      <c r="J257" s="64">
        <f ca="1">EFEITO!$J$257*EFEITO!$Y$257</f>
        <v>383903.24252096924</v>
      </c>
      <c r="K257" s="64">
        <f>EFEITO!$L$257*EFEITO!$Z$257</f>
        <v>0</v>
      </c>
      <c r="L257" s="64">
        <f>EFEITO!$N$257*EFEITO!$AA$257</f>
        <v>0</v>
      </c>
      <c r="M257" s="64">
        <f ca="1">$J$257-EFEITO!$K$257*EFEITO!$Y$257</f>
        <v>191951.62126048462</v>
      </c>
      <c r="N257" s="64">
        <f>$K$257-EFEITO!$M$257*EFEITO!$Z$257</f>
        <v>0</v>
      </c>
      <c r="O257" s="64">
        <f>$L$257-EFEITO!$O$257*EFEITO!$AA$257</f>
        <v>0</v>
      </c>
      <c r="P257" s="19"/>
      <c r="Q257" s="19"/>
      <c r="R257" s="19"/>
      <c r="S257" s="19"/>
      <c r="T257" s="19"/>
      <c r="U257" s="19"/>
      <c r="V257" s="19"/>
      <c r="W257" s="19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55" t="s">
        <v>21</v>
      </c>
      <c r="B258" s="55" t="s">
        <v>39</v>
      </c>
      <c r="C258" s="55" t="s">
        <v>66</v>
      </c>
      <c r="D258" s="55" t="s">
        <v>25</v>
      </c>
      <c r="E258" s="55" t="s">
        <v>25</v>
      </c>
      <c r="F258" s="55" t="s">
        <v>25</v>
      </c>
      <c r="G258" s="55" t="s">
        <v>77</v>
      </c>
      <c r="H258" s="55" t="s">
        <v>25</v>
      </c>
      <c r="I258" s="63">
        <v>44501</v>
      </c>
      <c r="J258" s="64">
        <f ca="1">EFEITO!$J$258*EFEITO!$Y$258</f>
        <v>383903.24252096924</v>
      </c>
      <c r="K258" s="64">
        <f>EFEITO!$L$258*EFEITO!$Z$258</f>
        <v>0</v>
      </c>
      <c r="L258" s="64">
        <f>EFEITO!$N$258*EFEITO!$AA$258</f>
        <v>0</v>
      </c>
      <c r="M258" s="64">
        <f ca="1">$J$258-EFEITO!$K$258*EFEITO!$Y$258</f>
        <v>191951.62126048462</v>
      </c>
      <c r="N258" s="64">
        <f>$K$258-EFEITO!$M$258*EFEITO!$Z$258</f>
        <v>0</v>
      </c>
      <c r="O258" s="64">
        <f>$L$258-EFEITO!$O$258*EFEITO!$AA$258</f>
        <v>0</v>
      </c>
      <c r="P258" s="19"/>
      <c r="Q258" s="19"/>
      <c r="R258" s="19"/>
      <c r="S258" s="19"/>
      <c r="T258" s="19"/>
      <c r="U258" s="19"/>
      <c r="V258" s="19"/>
      <c r="W258" s="19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55" t="s">
        <v>21</v>
      </c>
      <c r="B259" s="55" t="s">
        <v>39</v>
      </c>
      <c r="C259" s="55" t="s">
        <v>66</v>
      </c>
      <c r="D259" s="55" t="s">
        <v>25</v>
      </c>
      <c r="E259" s="55" t="s">
        <v>25</v>
      </c>
      <c r="F259" s="55" t="s">
        <v>25</v>
      </c>
      <c r="G259" s="55" t="s">
        <v>78</v>
      </c>
      <c r="H259" s="55" t="s">
        <v>25</v>
      </c>
      <c r="I259" s="63">
        <v>44501</v>
      </c>
      <c r="J259" s="64">
        <f ca="1">EFEITO!$J$259*EFEITO!$Y$259</f>
        <v>345512.91826887231</v>
      </c>
      <c r="K259" s="64">
        <f>EFEITO!$L$259*EFEITO!$Z$259</f>
        <v>0</v>
      </c>
      <c r="L259" s="64">
        <f>EFEITO!$N$259*EFEITO!$AA$259</f>
        <v>0</v>
      </c>
      <c r="M259" s="64">
        <f ca="1">$J$259-EFEITO!$K$259*EFEITO!$Y$259</f>
        <v>172756.45913443615</v>
      </c>
      <c r="N259" s="64">
        <f>$K$259-EFEITO!$M$259*EFEITO!$Z$259</f>
        <v>0</v>
      </c>
      <c r="O259" s="64">
        <f>$L$259-EFEITO!$O$259*EFEITO!$AA$259</f>
        <v>0</v>
      </c>
      <c r="P259" s="19"/>
      <c r="Q259" s="19"/>
      <c r="R259" s="19"/>
      <c r="S259" s="19"/>
      <c r="T259" s="19"/>
      <c r="U259" s="19"/>
      <c r="V259" s="19"/>
      <c r="W259" s="19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55" t="s">
        <v>21</v>
      </c>
      <c r="B260" s="55" t="s">
        <v>39</v>
      </c>
      <c r="C260" s="55" t="s">
        <v>66</v>
      </c>
      <c r="D260" s="55" t="s">
        <v>25</v>
      </c>
      <c r="E260" s="55" t="s">
        <v>25</v>
      </c>
      <c r="F260" s="55" t="s">
        <v>25</v>
      </c>
      <c r="G260" s="55" t="s">
        <v>79</v>
      </c>
      <c r="H260" s="55" t="s">
        <v>25</v>
      </c>
      <c r="I260" s="63">
        <v>44501</v>
      </c>
      <c r="J260" s="64">
        <f ca="1">EFEITO!$J$260*EFEITO!$Y$260</f>
        <v>345512.91826887231</v>
      </c>
      <c r="K260" s="64">
        <f>EFEITO!$L$260*EFEITO!$Z$260</f>
        <v>0</v>
      </c>
      <c r="L260" s="64">
        <f>EFEITO!$N$260*EFEITO!$AA$260</f>
        <v>0</v>
      </c>
      <c r="M260" s="64">
        <f ca="1">$J$260-EFEITO!$K$260*EFEITO!$Y$260</f>
        <v>172756.45913443615</v>
      </c>
      <c r="N260" s="64">
        <f>$K$260-EFEITO!$M$260*EFEITO!$Z$260</f>
        <v>0</v>
      </c>
      <c r="O260" s="64">
        <f>$L$260-EFEITO!$O$260*EFEITO!$AA$260</f>
        <v>0</v>
      </c>
      <c r="P260" s="19"/>
      <c r="Q260" s="19"/>
      <c r="R260" s="19"/>
      <c r="S260" s="19"/>
      <c r="T260" s="19"/>
      <c r="U260" s="19"/>
      <c r="V260" s="19"/>
      <c r="W260" s="19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55" t="s">
        <v>21</v>
      </c>
      <c r="B261" s="55" t="s">
        <v>39</v>
      </c>
      <c r="C261" s="55" t="s">
        <v>66</v>
      </c>
      <c r="D261" s="55" t="s">
        <v>25</v>
      </c>
      <c r="E261" s="55" t="s">
        <v>25</v>
      </c>
      <c r="F261" s="55" t="s">
        <v>25</v>
      </c>
      <c r="G261" s="55" t="s">
        <v>67</v>
      </c>
      <c r="H261" s="55" t="s">
        <v>25</v>
      </c>
      <c r="I261" s="63">
        <v>44531</v>
      </c>
      <c r="J261" s="64">
        <f ca="1">EFEITO!$J$261*EFEITO!$Y$261</f>
        <v>44788.711627446406</v>
      </c>
      <c r="K261" s="64">
        <f>EFEITO!$L$261*EFEITO!$Z$261</f>
        <v>0</v>
      </c>
      <c r="L261" s="64">
        <f>EFEITO!$N$261*EFEITO!$AA$261</f>
        <v>0</v>
      </c>
      <c r="M261" s="64">
        <f ca="1">$J$261-EFEITO!$K$261*EFEITO!$Y$261</f>
        <v>0</v>
      </c>
      <c r="N261" s="64">
        <f>$K$261-EFEITO!$M$261*EFEITO!$Z$261</f>
        <v>0</v>
      </c>
      <c r="O261" s="64">
        <f>$L$261-EFEITO!$O$261*EFEITO!$AA$261</f>
        <v>0</v>
      </c>
      <c r="P261" s="19"/>
      <c r="Q261" s="19"/>
      <c r="R261" s="19"/>
      <c r="S261" s="19"/>
      <c r="T261" s="19"/>
      <c r="U261" s="19"/>
      <c r="V261" s="19"/>
      <c r="W261" s="19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55" t="s">
        <v>21</v>
      </c>
      <c r="B262" s="55" t="s">
        <v>39</v>
      </c>
      <c r="C262" s="55" t="s">
        <v>66</v>
      </c>
      <c r="D262" s="55" t="s">
        <v>25</v>
      </c>
      <c r="E262" s="55" t="s">
        <v>25</v>
      </c>
      <c r="F262" s="55" t="s">
        <v>25</v>
      </c>
      <c r="G262" s="55" t="s">
        <v>69</v>
      </c>
      <c r="H262" s="55" t="s">
        <v>25</v>
      </c>
      <c r="I262" s="63">
        <v>44531</v>
      </c>
      <c r="J262" s="64">
        <f ca="1">EFEITO!$J$262*EFEITO!$Y$262</f>
        <v>42510.885721821993</v>
      </c>
      <c r="K262" s="64">
        <f>EFEITO!$L$262*EFEITO!$Z$262</f>
        <v>0</v>
      </c>
      <c r="L262" s="64">
        <f>EFEITO!$N$262*EFEITO!$AA$262</f>
        <v>0</v>
      </c>
      <c r="M262" s="64">
        <f ca="1">$J$262-EFEITO!$K$262*EFEITO!$Y$262</f>
        <v>21255.442860910996</v>
      </c>
      <c r="N262" s="64">
        <f>$K$262-EFEITO!$M$262*EFEITO!$Z$262</f>
        <v>0</v>
      </c>
      <c r="O262" s="64">
        <f>$L$262-EFEITO!$O$262*EFEITO!$AA$262</f>
        <v>0</v>
      </c>
      <c r="P262" s="19"/>
      <c r="Q262" s="19"/>
      <c r="R262" s="19"/>
      <c r="S262" s="19"/>
      <c r="T262" s="19"/>
      <c r="U262" s="19"/>
      <c r="V262" s="19"/>
      <c r="W262" s="19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55" t="s">
        <v>21</v>
      </c>
      <c r="B263" s="55" t="s">
        <v>39</v>
      </c>
      <c r="C263" s="55" t="s">
        <v>66</v>
      </c>
      <c r="D263" s="55" t="s">
        <v>25</v>
      </c>
      <c r="E263" s="55" t="s">
        <v>25</v>
      </c>
      <c r="F263" s="55" t="s">
        <v>25</v>
      </c>
      <c r="G263" s="55" t="s">
        <v>70</v>
      </c>
      <c r="H263" s="55" t="s">
        <v>25</v>
      </c>
      <c r="I263" s="63">
        <v>44531</v>
      </c>
      <c r="J263" s="64">
        <f ca="1">EFEITO!$J$263*EFEITO!$Y$263</f>
        <v>155352.84547348553</v>
      </c>
      <c r="K263" s="64">
        <f>EFEITO!$L$263*EFEITO!$Z$263</f>
        <v>0</v>
      </c>
      <c r="L263" s="64">
        <f>EFEITO!$N$263*EFEITO!$AA$263</f>
        <v>0</v>
      </c>
      <c r="M263" s="64">
        <f ca="1">$J$263-EFEITO!$K$263*EFEITO!$Y$263</f>
        <v>77676.422736742767</v>
      </c>
      <c r="N263" s="64">
        <f>$K$263-EFEITO!$M$263*EFEITO!$Z$263</f>
        <v>0</v>
      </c>
      <c r="O263" s="64">
        <f>$L$263-EFEITO!$O$263*EFEITO!$AA$263</f>
        <v>0</v>
      </c>
      <c r="P263" s="19"/>
      <c r="Q263" s="19"/>
      <c r="R263" s="19"/>
      <c r="S263" s="19"/>
      <c r="T263" s="19"/>
      <c r="U263" s="19"/>
      <c r="V263" s="19"/>
      <c r="W263" s="19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55" t="s">
        <v>21</v>
      </c>
      <c r="B264" s="55" t="s">
        <v>39</v>
      </c>
      <c r="C264" s="55" t="s">
        <v>66</v>
      </c>
      <c r="D264" s="55" t="s">
        <v>25</v>
      </c>
      <c r="E264" s="55" t="s">
        <v>25</v>
      </c>
      <c r="F264" s="55" t="s">
        <v>25</v>
      </c>
      <c r="G264" s="55" t="s">
        <v>71</v>
      </c>
      <c r="H264" s="55" t="s">
        <v>25</v>
      </c>
      <c r="I264" s="63">
        <v>44531</v>
      </c>
      <c r="J264" s="64">
        <f ca="1">EFEITO!$J$264*EFEITO!$Y$264</f>
        <v>128607.58624452469</v>
      </c>
      <c r="K264" s="64">
        <f>EFEITO!$L$264*EFEITO!$Z$264</f>
        <v>0</v>
      </c>
      <c r="L264" s="64">
        <f>EFEITO!$N$264*EFEITO!$AA$264</f>
        <v>0</v>
      </c>
      <c r="M264" s="64">
        <f ca="1">$J$264-EFEITO!$K$264*EFEITO!$Y$264</f>
        <v>64303.793122262345</v>
      </c>
      <c r="N264" s="64">
        <f>$K$264-EFEITO!$M$264*EFEITO!$Z$264</f>
        <v>0</v>
      </c>
      <c r="O264" s="64">
        <f>$L$264-EFEITO!$O$264*EFEITO!$AA$264</f>
        <v>0</v>
      </c>
      <c r="P264" s="19"/>
      <c r="Q264" s="19"/>
      <c r="R264" s="19"/>
      <c r="S264" s="19"/>
      <c r="T264" s="19"/>
      <c r="U264" s="19"/>
      <c r="V264" s="19"/>
      <c r="W264" s="19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55" t="s">
        <v>21</v>
      </c>
      <c r="B265" s="55" t="s">
        <v>39</v>
      </c>
      <c r="C265" s="55" t="s">
        <v>66</v>
      </c>
      <c r="D265" s="55" t="s">
        <v>25</v>
      </c>
      <c r="E265" s="55" t="s">
        <v>25</v>
      </c>
      <c r="F265" s="55" t="s">
        <v>25</v>
      </c>
      <c r="G265" s="55" t="s">
        <v>73</v>
      </c>
      <c r="H265" s="55" t="s">
        <v>25</v>
      </c>
      <c r="I265" s="63">
        <v>44531</v>
      </c>
      <c r="J265" s="64">
        <f ca="1">EFEITO!$J$265*EFEITO!$Y$265</f>
        <v>568816.63766856946</v>
      </c>
      <c r="K265" s="64">
        <f>EFEITO!$L$265*EFEITO!$Z$265</f>
        <v>0</v>
      </c>
      <c r="L265" s="64">
        <f>EFEITO!$N$265*EFEITO!$AA$265</f>
        <v>0</v>
      </c>
      <c r="M265" s="64">
        <f ca="1">$J$265-EFEITO!$K$265*EFEITO!$Y$265</f>
        <v>284408.31883428473</v>
      </c>
      <c r="N265" s="64">
        <f>$K$265-EFEITO!$M$265*EFEITO!$Z$265</f>
        <v>0</v>
      </c>
      <c r="O265" s="64">
        <f>$L$265-EFEITO!$O$265*EFEITO!$AA$265</f>
        <v>0</v>
      </c>
      <c r="P265" s="19"/>
      <c r="Q265" s="19"/>
      <c r="R265" s="19"/>
      <c r="S265" s="19"/>
      <c r="T265" s="19"/>
      <c r="U265" s="19"/>
      <c r="V265" s="19"/>
      <c r="W265" s="19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55" t="s">
        <v>21</v>
      </c>
      <c r="B266" s="55" t="s">
        <v>39</v>
      </c>
      <c r="C266" s="55" t="s">
        <v>66</v>
      </c>
      <c r="D266" s="55" t="s">
        <v>25</v>
      </c>
      <c r="E266" s="55" t="s">
        <v>25</v>
      </c>
      <c r="F266" s="55" t="s">
        <v>25</v>
      </c>
      <c r="G266" s="55" t="s">
        <v>75</v>
      </c>
      <c r="H266" s="55" t="s">
        <v>25</v>
      </c>
      <c r="I266" s="63">
        <v>44531</v>
      </c>
      <c r="J266" s="64">
        <f ca="1">EFEITO!$J$266*EFEITO!$Y$266</f>
        <v>383903.24252096924</v>
      </c>
      <c r="K266" s="64">
        <f>EFEITO!$L$266*EFEITO!$Z$266</f>
        <v>0</v>
      </c>
      <c r="L266" s="64">
        <f>EFEITO!$N$266*EFEITO!$AA$266</f>
        <v>0</v>
      </c>
      <c r="M266" s="64">
        <f ca="1">$J$266-EFEITO!$K$266*EFEITO!$Y$266</f>
        <v>191951.62126048462</v>
      </c>
      <c r="N266" s="64">
        <f>$K$266-EFEITO!$M$266*EFEITO!$Z$266</f>
        <v>0</v>
      </c>
      <c r="O266" s="64">
        <f>$L$266-EFEITO!$O$266*EFEITO!$AA$266</f>
        <v>0</v>
      </c>
      <c r="P266" s="19"/>
      <c r="Q266" s="19"/>
      <c r="R266" s="19"/>
      <c r="S266" s="19"/>
      <c r="T266" s="19"/>
      <c r="U266" s="19"/>
      <c r="V266" s="19"/>
      <c r="W266" s="19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55" t="s">
        <v>21</v>
      </c>
      <c r="B267" s="55" t="s">
        <v>39</v>
      </c>
      <c r="C267" s="55" t="s">
        <v>66</v>
      </c>
      <c r="D267" s="55" t="s">
        <v>25</v>
      </c>
      <c r="E267" s="55" t="s">
        <v>25</v>
      </c>
      <c r="F267" s="55" t="s">
        <v>25</v>
      </c>
      <c r="G267" s="55" t="s">
        <v>76</v>
      </c>
      <c r="H267" s="55" t="s">
        <v>25</v>
      </c>
      <c r="I267" s="63">
        <v>44531</v>
      </c>
      <c r="J267" s="64">
        <f ca="1">EFEITO!$J$267*EFEITO!$Y$267</f>
        <v>383903.24252096924</v>
      </c>
      <c r="K267" s="64">
        <f>EFEITO!$L$267*EFEITO!$Z$267</f>
        <v>0</v>
      </c>
      <c r="L267" s="64">
        <f>EFEITO!$N$267*EFEITO!$AA$267</f>
        <v>0</v>
      </c>
      <c r="M267" s="64">
        <f ca="1">$J$267-EFEITO!$K$267*EFEITO!$Y$267</f>
        <v>191951.62126048462</v>
      </c>
      <c r="N267" s="64">
        <f>$K$267-EFEITO!$M$267*EFEITO!$Z$267</f>
        <v>0</v>
      </c>
      <c r="O267" s="64">
        <f>$L$267-EFEITO!$O$267*EFEITO!$AA$267</f>
        <v>0</v>
      </c>
      <c r="P267" s="19"/>
      <c r="Q267" s="19"/>
      <c r="R267" s="19"/>
      <c r="S267" s="19"/>
      <c r="T267" s="19"/>
      <c r="U267" s="19"/>
      <c r="V267" s="19"/>
      <c r="W267" s="19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55" t="s">
        <v>21</v>
      </c>
      <c r="B268" s="55" t="s">
        <v>39</v>
      </c>
      <c r="C268" s="55" t="s">
        <v>66</v>
      </c>
      <c r="D268" s="55" t="s">
        <v>25</v>
      </c>
      <c r="E268" s="55" t="s">
        <v>25</v>
      </c>
      <c r="F268" s="55" t="s">
        <v>25</v>
      </c>
      <c r="G268" s="55" t="s">
        <v>77</v>
      </c>
      <c r="H268" s="55" t="s">
        <v>25</v>
      </c>
      <c r="I268" s="63">
        <v>44531</v>
      </c>
      <c r="J268" s="64">
        <f ca="1">EFEITO!$J$268*EFEITO!$Y$268</f>
        <v>383903.24252096924</v>
      </c>
      <c r="K268" s="64">
        <f>EFEITO!$L$268*EFEITO!$Z$268</f>
        <v>0</v>
      </c>
      <c r="L268" s="64">
        <f>EFEITO!$N$268*EFEITO!$AA$268</f>
        <v>0</v>
      </c>
      <c r="M268" s="64">
        <f ca="1">$J$268-EFEITO!$K$268*EFEITO!$Y$268</f>
        <v>191951.62126048462</v>
      </c>
      <c r="N268" s="64">
        <f>$K$268-EFEITO!$M$268*EFEITO!$Z$268</f>
        <v>0</v>
      </c>
      <c r="O268" s="64">
        <f>$L$268-EFEITO!$O$268*EFEITO!$AA$268</f>
        <v>0</v>
      </c>
      <c r="P268" s="19"/>
      <c r="Q268" s="19"/>
      <c r="R268" s="19"/>
      <c r="S268" s="19"/>
      <c r="T268" s="19"/>
      <c r="U268" s="19"/>
      <c r="V268" s="19"/>
      <c r="W268" s="19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55" t="s">
        <v>21</v>
      </c>
      <c r="B269" s="55" t="s">
        <v>39</v>
      </c>
      <c r="C269" s="55" t="s">
        <v>66</v>
      </c>
      <c r="D269" s="55" t="s">
        <v>25</v>
      </c>
      <c r="E269" s="55" t="s">
        <v>25</v>
      </c>
      <c r="F269" s="55" t="s">
        <v>25</v>
      </c>
      <c r="G269" s="55" t="s">
        <v>78</v>
      </c>
      <c r="H269" s="55" t="s">
        <v>25</v>
      </c>
      <c r="I269" s="63">
        <v>44531</v>
      </c>
      <c r="J269" s="64">
        <f ca="1">EFEITO!$J$269*EFEITO!$Y$269</f>
        <v>345512.91826887231</v>
      </c>
      <c r="K269" s="64">
        <f>EFEITO!$L$269*EFEITO!$Z$269</f>
        <v>0</v>
      </c>
      <c r="L269" s="64">
        <f>EFEITO!$N$269*EFEITO!$AA$269</f>
        <v>0</v>
      </c>
      <c r="M269" s="64">
        <f ca="1">$J$269-EFEITO!$K$269*EFEITO!$Y$269</f>
        <v>172756.45913443615</v>
      </c>
      <c r="N269" s="64">
        <f>$K$269-EFEITO!$M$269*EFEITO!$Z$269</f>
        <v>0</v>
      </c>
      <c r="O269" s="64">
        <f>$L$269-EFEITO!$O$269*EFEITO!$AA$269</f>
        <v>0</v>
      </c>
      <c r="P269" s="19"/>
      <c r="Q269" s="19"/>
      <c r="R269" s="19"/>
      <c r="S269" s="19"/>
      <c r="T269" s="19"/>
      <c r="U269" s="19"/>
      <c r="V269" s="19"/>
      <c r="W269" s="19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55" t="s">
        <v>21</v>
      </c>
      <c r="B270" s="55" t="s">
        <v>39</v>
      </c>
      <c r="C270" s="55" t="s">
        <v>66</v>
      </c>
      <c r="D270" s="55" t="s">
        <v>25</v>
      </c>
      <c r="E270" s="55" t="s">
        <v>25</v>
      </c>
      <c r="F270" s="55" t="s">
        <v>25</v>
      </c>
      <c r="G270" s="55" t="s">
        <v>79</v>
      </c>
      <c r="H270" s="55" t="s">
        <v>25</v>
      </c>
      <c r="I270" s="63">
        <v>44531</v>
      </c>
      <c r="J270" s="64">
        <f ca="1">EFEITO!$J$270*EFEITO!$Y$270</f>
        <v>345512.91826887231</v>
      </c>
      <c r="K270" s="64">
        <f>EFEITO!$L$270*EFEITO!$Z$270</f>
        <v>0</v>
      </c>
      <c r="L270" s="64">
        <f>EFEITO!$N$270*EFEITO!$AA$270</f>
        <v>0</v>
      </c>
      <c r="M270" s="64">
        <f ca="1">$J$270-EFEITO!$K$270*EFEITO!$Y$270</f>
        <v>172756.45913443615</v>
      </c>
      <c r="N270" s="64">
        <f>$K$270-EFEITO!$M$270*EFEITO!$Z$270</f>
        <v>0</v>
      </c>
      <c r="O270" s="64">
        <f>$L$270-EFEITO!$O$270*EFEITO!$AA$270</f>
        <v>0</v>
      </c>
      <c r="P270" s="19"/>
      <c r="Q270" s="19"/>
      <c r="R270" s="19"/>
      <c r="S270" s="19"/>
      <c r="T270" s="19"/>
      <c r="U270" s="19"/>
      <c r="V270" s="19"/>
      <c r="W270" s="19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55" t="s">
        <v>21</v>
      </c>
      <c r="B271" s="55" t="s">
        <v>39</v>
      </c>
      <c r="C271" s="55" t="s">
        <v>66</v>
      </c>
      <c r="D271" s="55" t="s">
        <v>25</v>
      </c>
      <c r="E271" s="55" t="s">
        <v>25</v>
      </c>
      <c r="F271" s="55" t="s">
        <v>25</v>
      </c>
      <c r="G271" s="55" t="s">
        <v>67</v>
      </c>
      <c r="H271" s="55" t="s">
        <v>25</v>
      </c>
      <c r="I271" s="63">
        <v>44562</v>
      </c>
      <c r="J271" s="64">
        <f ca="1">EFEITO!$J$271*EFEITO!$Y$271</f>
        <v>44788.711627446406</v>
      </c>
      <c r="K271" s="64">
        <f>EFEITO!$L$271*EFEITO!$Z$271</f>
        <v>0</v>
      </c>
      <c r="L271" s="64">
        <f>EFEITO!$N$271*EFEITO!$AA$271</f>
        <v>0</v>
      </c>
      <c r="M271" s="64">
        <f ca="1">$J$271-EFEITO!$K$271*EFEITO!$Y$271</f>
        <v>0</v>
      </c>
      <c r="N271" s="64">
        <f>$K$271-EFEITO!$M$271*EFEITO!$Z$271</f>
        <v>0</v>
      </c>
      <c r="O271" s="64">
        <f>$L$271-EFEITO!$O$271*EFEITO!$AA$271</f>
        <v>0</v>
      </c>
      <c r="P271" s="19"/>
      <c r="Q271" s="19"/>
      <c r="R271" s="19"/>
      <c r="S271" s="19"/>
      <c r="T271" s="19"/>
      <c r="U271" s="19"/>
      <c r="V271" s="19"/>
      <c r="W271" s="19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55" t="s">
        <v>21</v>
      </c>
      <c r="B272" s="55" t="s">
        <v>39</v>
      </c>
      <c r="C272" s="55" t="s">
        <v>66</v>
      </c>
      <c r="D272" s="55" t="s">
        <v>25</v>
      </c>
      <c r="E272" s="55" t="s">
        <v>25</v>
      </c>
      <c r="F272" s="55" t="s">
        <v>25</v>
      </c>
      <c r="G272" s="55" t="s">
        <v>69</v>
      </c>
      <c r="H272" s="55" t="s">
        <v>25</v>
      </c>
      <c r="I272" s="63">
        <v>44562</v>
      </c>
      <c r="J272" s="64">
        <f ca="1">EFEITO!$J$272*EFEITO!$Y$272</f>
        <v>43944.124493900279</v>
      </c>
      <c r="K272" s="64">
        <f>EFEITO!$L$272*EFEITO!$Z$272</f>
        <v>0</v>
      </c>
      <c r="L272" s="64">
        <f>EFEITO!$N$272*EFEITO!$AA$272</f>
        <v>0</v>
      </c>
      <c r="M272" s="64">
        <f ca="1">$J$272-EFEITO!$K$272*EFEITO!$Y$272</f>
        <v>21972.06224695014</v>
      </c>
      <c r="N272" s="64">
        <f>$K$272-EFEITO!$M$272*EFEITO!$Z$272</f>
        <v>0</v>
      </c>
      <c r="O272" s="64">
        <f>$L$272-EFEITO!$O$272*EFEITO!$AA$272</f>
        <v>0</v>
      </c>
      <c r="P272" s="19"/>
      <c r="Q272" s="19"/>
      <c r="R272" s="19"/>
      <c r="S272" s="19"/>
      <c r="T272" s="19"/>
      <c r="U272" s="19"/>
      <c r="V272" s="19"/>
      <c r="W272" s="19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55" t="s">
        <v>21</v>
      </c>
      <c r="B273" s="55" t="s">
        <v>39</v>
      </c>
      <c r="C273" s="55" t="s">
        <v>66</v>
      </c>
      <c r="D273" s="55" t="s">
        <v>25</v>
      </c>
      <c r="E273" s="55" t="s">
        <v>25</v>
      </c>
      <c r="F273" s="55" t="s">
        <v>25</v>
      </c>
      <c r="G273" s="55" t="s">
        <v>70</v>
      </c>
      <c r="H273" s="55" t="s">
        <v>25</v>
      </c>
      <c r="I273" s="63">
        <v>44562</v>
      </c>
      <c r="J273" s="64">
        <f ca="1">EFEITO!$J$273*EFEITO!$Y$273</f>
        <v>149005.64519713886</v>
      </c>
      <c r="K273" s="64">
        <f>EFEITO!$L$273*EFEITO!$Z$273</f>
        <v>0</v>
      </c>
      <c r="L273" s="64">
        <f>EFEITO!$N$273*EFEITO!$AA$273</f>
        <v>0</v>
      </c>
      <c r="M273" s="64">
        <f ca="1">$J$273-EFEITO!$K$273*EFEITO!$Y$273</f>
        <v>74502.82259856943</v>
      </c>
      <c r="N273" s="64">
        <f>$K$273-EFEITO!$M$273*EFEITO!$Z$273</f>
        <v>0</v>
      </c>
      <c r="O273" s="64">
        <f>$L$273-EFEITO!$O$273*EFEITO!$AA$273</f>
        <v>0</v>
      </c>
      <c r="P273" s="19"/>
      <c r="Q273" s="19"/>
      <c r="R273" s="19"/>
      <c r="S273" s="19"/>
      <c r="T273" s="19"/>
      <c r="U273" s="19"/>
      <c r="V273" s="19"/>
      <c r="W273" s="19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55" t="s">
        <v>21</v>
      </c>
      <c r="B274" s="55" t="s">
        <v>39</v>
      </c>
      <c r="C274" s="55" t="s">
        <v>66</v>
      </c>
      <c r="D274" s="55" t="s">
        <v>25</v>
      </c>
      <c r="E274" s="55" t="s">
        <v>25</v>
      </c>
      <c r="F274" s="55" t="s">
        <v>25</v>
      </c>
      <c r="G274" s="55" t="s">
        <v>71</v>
      </c>
      <c r="H274" s="55" t="s">
        <v>25</v>
      </c>
      <c r="I274" s="63">
        <v>44562</v>
      </c>
      <c r="J274" s="64">
        <f ca="1">EFEITO!$J$274*EFEITO!$Y$274</f>
        <v>128607.58624452469</v>
      </c>
      <c r="K274" s="64">
        <f>EFEITO!$L$274*EFEITO!$Z$274</f>
        <v>0</v>
      </c>
      <c r="L274" s="64">
        <f>EFEITO!$N$274*EFEITO!$AA$274</f>
        <v>0</v>
      </c>
      <c r="M274" s="64">
        <f ca="1">$J$274-EFEITO!$K$274*EFEITO!$Y$274</f>
        <v>64303.793122262345</v>
      </c>
      <c r="N274" s="64">
        <f>$K$274-EFEITO!$M$274*EFEITO!$Z$274</f>
        <v>0</v>
      </c>
      <c r="O274" s="64">
        <f>$L$274-EFEITO!$O$274*EFEITO!$AA$274</f>
        <v>0</v>
      </c>
      <c r="P274" s="19"/>
      <c r="Q274" s="19"/>
      <c r="R274" s="19"/>
      <c r="S274" s="19"/>
      <c r="T274" s="19"/>
      <c r="U274" s="19"/>
      <c r="V274" s="19"/>
      <c r="W274" s="19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55" t="s">
        <v>21</v>
      </c>
      <c r="B275" s="55" t="s">
        <v>39</v>
      </c>
      <c r="C275" s="55" t="s">
        <v>66</v>
      </c>
      <c r="D275" s="55" t="s">
        <v>25</v>
      </c>
      <c r="E275" s="55" t="s">
        <v>25</v>
      </c>
      <c r="F275" s="55" t="s">
        <v>25</v>
      </c>
      <c r="G275" s="55" t="s">
        <v>73</v>
      </c>
      <c r="H275" s="55" t="s">
        <v>25</v>
      </c>
      <c r="I275" s="63">
        <v>44562</v>
      </c>
      <c r="J275" s="64">
        <f ca="1">EFEITO!$J$275*EFEITO!$Y$275</f>
        <v>568816.63766856946</v>
      </c>
      <c r="K275" s="64">
        <f>EFEITO!$L$275*EFEITO!$Z$275</f>
        <v>0</v>
      </c>
      <c r="L275" s="64">
        <f>EFEITO!$N$275*EFEITO!$AA$275</f>
        <v>0</v>
      </c>
      <c r="M275" s="64">
        <f ca="1">$J$275-EFEITO!$K$275*EFEITO!$Y$275</f>
        <v>284408.31883428473</v>
      </c>
      <c r="N275" s="64">
        <f>$K$275-EFEITO!$M$275*EFEITO!$Z$275</f>
        <v>0</v>
      </c>
      <c r="O275" s="64">
        <f>$L$275-EFEITO!$O$275*EFEITO!$AA$275</f>
        <v>0</v>
      </c>
      <c r="P275" s="19"/>
      <c r="Q275" s="19"/>
      <c r="R275" s="19"/>
      <c r="S275" s="19"/>
      <c r="T275" s="19"/>
      <c r="U275" s="19"/>
      <c r="V275" s="19"/>
      <c r="W275" s="19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55" t="s">
        <v>21</v>
      </c>
      <c r="B276" s="55" t="s">
        <v>39</v>
      </c>
      <c r="C276" s="55" t="s">
        <v>66</v>
      </c>
      <c r="D276" s="55" t="s">
        <v>25</v>
      </c>
      <c r="E276" s="55" t="s">
        <v>25</v>
      </c>
      <c r="F276" s="55" t="s">
        <v>25</v>
      </c>
      <c r="G276" s="55" t="s">
        <v>75</v>
      </c>
      <c r="H276" s="55" t="s">
        <v>25</v>
      </c>
      <c r="I276" s="63">
        <v>44562</v>
      </c>
      <c r="J276" s="64">
        <f ca="1">EFEITO!$J$276*EFEITO!$Y$276</f>
        <v>383903.24252096924</v>
      </c>
      <c r="K276" s="64">
        <f>EFEITO!$L$276*EFEITO!$Z$276</f>
        <v>0</v>
      </c>
      <c r="L276" s="64">
        <f>EFEITO!$N$276*EFEITO!$AA$276</f>
        <v>0</v>
      </c>
      <c r="M276" s="64">
        <f ca="1">$J$276-EFEITO!$K$276*EFEITO!$Y$276</f>
        <v>191951.62126048462</v>
      </c>
      <c r="N276" s="64">
        <f>$K$276-EFEITO!$M$276*EFEITO!$Z$276</f>
        <v>0</v>
      </c>
      <c r="O276" s="64">
        <f>$L$276-EFEITO!$O$276*EFEITO!$AA$276</f>
        <v>0</v>
      </c>
      <c r="P276" s="19"/>
      <c r="Q276" s="19"/>
      <c r="R276" s="19"/>
      <c r="S276" s="19"/>
      <c r="T276" s="19"/>
      <c r="U276" s="19"/>
      <c r="V276" s="19"/>
      <c r="W276" s="19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55" t="s">
        <v>21</v>
      </c>
      <c r="B277" s="55" t="s">
        <v>39</v>
      </c>
      <c r="C277" s="55" t="s">
        <v>66</v>
      </c>
      <c r="D277" s="55" t="s">
        <v>25</v>
      </c>
      <c r="E277" s="55" t="s">
        <v>25</v>
      </c>
      <c r="F277" s="55" t="s">
        <v>25</v>
      </c>
      <c r="G277" s="55" t="s">
        <v>76</v>
      </c>
      <c r="H277" s="55" t="s">
        <v>25</v>
      </c>
      <c r="I277" s="63">
        <v>44562</v>
      </c>
      <c r="J277" s="64">
        <f ca="1">EFEITO!$J$277*EFEITO!$Y$277</f>
        <v>383903.24252096924</v>
      </c>
      <c r="K277" s="64">
        <f>EFEITO!$L$277*EFEITO!$Z$277</f>
        <v>0</v>
      </c>
      <c r="L277" s="64">
        <f>EFEITO!$N$277*EFEITO!$AA$277</f>
        <v>0</v>
      </c>
      <c r="M277" s="64">
        <f ca="1">$J$277-EFEITO!$K$277*EFEITO!$Y$277</f>
        <v>191951.62126048462</v>
      </c>
      <c r="N277" s="64">
        <f>$K$277-EFEITO!$M$277*EFEITO!$Z$277</f>
        <v>0</v>
      </c>
      <c r="O277" s="64">
        <f>$L$277-EFEITO!$O$277*EFEITO!$AA$277</f>
        <v>0</v>
      </c>
      <c r="P277" s="19"/>
      <c r="Q277" s="19"/>
      <c r="R277" s="19"/>
      <c r="S277" s="19"/>
      <c r="T277" s="19"/>
      <c r="U277" s="19"/>
      <c r="V277" s="19"/>
      <c r="W277" s="19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55" t="s">
        <v>21</v>
      </c>
      <c r="B278" s="55" t="s">
        <v>39</v>
      </c>
      <c r="C278" s="55" t="s">
        <v>66</v>
      </c>
      <c r="D278" s="55" t="s">
        <v>25</v>
      </c>
      <c r="E278" s="55" t="s">
        <v>25</v>
      </c>
      <c r="F278" s="55" t="s">
        <v>25</v>
      </c>
      <c r="G278" s="55" t="s">
        <v>77</v>
      </c>
      <c r="H278" s="55" t="s">
        <v>25</v>
      </c>
      <c r="I278" s="63">
        <v>44562</v>
      </c>
      <c r="J278" s="64">
        <f ca="1">EFEITO!$J$278*EFEITO!$Y$278</f>
        <v>383903.24252096924</v>
      </c>
      <c r="K278" s="64">
        <f>EFEITO!$L$278*EFEITO!$Z$278</f>
        <v>0</v>
      </c>
      <c r="L278" s="64">
        <f>EFEITO!$N$278*EFEITO!$AA$278</f>
        <v>0</v>
      </c>
      <c r="M278" s="64">
        <f ca="1">$J$278-EFEITO!$K$278*EFEITO!$Y$278</f>
        <v>191951.62126048462</v>
      </c>
      <c r="N278" s="64">
        <f>$K$278-EFEITO!$M$278*EFEITO!$Z$278</f>
        <v>0</v>
      </c>
      <c r="O278" s="64">
        <f>$L$278-EFEITO!$O$278*EFEITO!$AA$278</f>
        <v>0</v>
      </c>
      <c r="P278" s="19"/>
      <c r="Q278" s="19"/>
      <c r="R278" s="19"/>
      <c r="S278" s="19"/>
      <c r="T278" s="19"/>
      <c r="U278" s="19"/>
      <c r="V278" s="19"/>
      <c r="W278" s="19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55" t="s">
        <v>21</v>
      </c>
      <c r="B279" s="55" t="s">
        <v>39</v>
      </c>
      <c r="C279" s="55" t="s">
        <v>66</v>
      </c>
      <c r="D279" s="55" t="s">
        <v>25</v>
      </c>
      <c r="E279" s="55" t="s">
        <v>25</v>
      </c>
      <c r="F279" s="55" t="s">
        <v>25</v>
      </c>
      <c r="G279" s="55" t="s">
        <v>78</v>
      </c>
      <c r="H279" s="55" t="s">
        <v>25</v>
      </c>
      <c r="I279" s="63">
        <v>44562</v>
      </c>
      <c r="J279" s="64">
        <f ca="1">EFEITO!$J$279*EFEITO!$Y$279</f>
        <v>345512.91826887231</v>
      </c>
      <c r="K279" s="64">
        <f>EFEITO!$L$279*EFEITO!$Z$279</f>
        <v>0</v>
      </c>
      <c r="L279" s="64">
        <f>EFEITO!$N$279*EFEITO!$AA$279</f>
        <v>0</v>
      </c>
      <c r="M279" s="64">
        <f ca="1">$J$279-EFEITO!$K$279*EFEITO!$Y$279</f>
        <v>172756.45913443615</v>
      </c>
      <c r="N279" s="64">
        <f>$K$279-EFEITO!$M$279*EFEITO!$Z$279</f>
        <v>0</v>
      </c>
      <c r="O279" s="64">
        <f>$L$279-EFEITO!$O$279*EFEITO!$AA$279</f>
        <v>0</v>
      </c>
      <c r="P279" s="19"/>
      <c r="Q279" s="19"/>
      <c r="R279" s="19"/>
      <c r="S279" s="19"/>
      <c r="T279" s="19"/>
      <c r="U279" s="19"/>
      <c r="V279" s="19"/>
      <c r="W279" s="19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55" t="s">
        <v>21</v>
      </c>
      <c r="B280" s="55" t="s">
        <v>39</v>
      </c>
      <c r="C280" s="55" t="s">
        <v>66</v>
      </c>
      <c r="D280" s="55" t="s">
        <v>25</v>
      </c>
      <c r="E280" s="55" t="s">
        <v>25</v>
      </c>
      <c r="F280" s="55" t="s">
        <v>25</v>
      </c>
      <c r="G280" s="55" t="s">
        <v>79</v>
      </c>
      <c r="H280" s="55" t="s">
        <v>25</v>
      </c>
      <c r="I280" s="63">
        <v>44562</v>
      </c>
      <c r="J280" s="64">
        <f ca="1">EFEITO!$J$280*EFEITO!$Y$280</f>
        <v>345512.91826887231</v>
      </c>
      <c r="K280" s="64">
        <f>EFEITO!$L$280*EFEITO!$Z$280</f>
        <v>0</v>
      </c>
      <c r="L280" s="64">
        <f>EFEITO!$N$280*EFEITO!$AA$280</f>
        <v>0</v>
      </c>
      <c r="M280" s="64">
        <f ca="1">$J$280-EFEITO!$K$280*EFEITO!$Y$280</f>
        <v>172756.45913443615</v>
      </c>
      <c r="N280" s="64">
        <f>$K$280-EFEITO!$M$280*EFEITO!$Z$280</f>
        <v>0</v>
      </c>
      <c r="O280" s="64">
        <f>$L$280-EFEITO!$O$280*EFEITO!$AA$280</f>
        <v>0</v>
      </c>
      <c r="P280" s="19"/>
      <c r="Q280" s="19"/>
      <c r="R280" s="19"/>
      <c r="S280" s="19"/>
      <c r="T280" s="19"/>
      <c r="U280" s="19"/>
      <c r="V280" s="19"/>
      <c r="W280" s="19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55" t="s">
        <v>21</v>
      </c>
      <c r="B281" s="55" t="s">
        <v>39</v>
      </c>
      <c r="C281" s="55" t="s">
        <v>66</v>
      </c>
      <c r="D281" s="55" t="s">
        <v>25</v>
      </c>
      <c r="E281" s="55" t="s">
        <v>25</v>
      </c>
      <c r="F281" s="55" t="s">
        <v>25</v>
      </c>
      <c r="G281" s="55" t="s">
        <v>67</v>
      </c>
      <c r="H281" s="55" t="s">
        <v>25</v>
      </c>
      <c r="I281" s="63">
        <v>44593</v>
      </c>
      <c r="J281" s="64">
        <f ca="1">EFEITO!$J$281*EFEITO!$Y$281</f>
        <v>44788.711627446406</v>
      </c>
      <c r="K281" s="64">
        <f>EFEITO!$L$281*EFEITO!$Z$281</f>
        <v>0</v>
      </c>
      <c r="L281" s="64">
        <f>EFEITO!$N$281*EFEITO!$AA$281</f>
        <v>0</v>
      </c>
      <c r="M281" s="64">
        <f ca="1">$J$281-EFEITO!$K$281*EFEITO!$Y$281</f>
        <v>0</v>
      </c>
      <c r="N281" s="64">
        <f>$K$281-EFEITO!$M$281*EFEITO!$Z$281</f>
        <v>0</v>
      </c>
      <c r="O281" s="64">
        <f>$L$281-EFEITO!$O$281*EFEITO!$AA$281</f>
        <v>0</v>
      </c>
      <c r="P281" s="19"/>
      <c r="Q281" s="19"/>
      <c r="R281" s="19"/>
      <c r="S281" s="19"/>
      <c r="T281" s="19"/>
      <c r="U281" s="19"/>
      <c r="V281" s="19"/>
      <c r="W281" s="19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55" t="s">
        <v>21</v>
      </c>
      <c r="B282" s="55" t="s">
        <v>39</v>
      </c>
      <c r="C282" s="55" t="s">
        <v>66</v>
      </c>
      <c r="D282" s="55" t="s">
        <v>25</v>
      </c>
      <c r="E282" s="55" t="s">
        <v>25</v>
      </c>
      <c r="F282" s="55" t="s">
        <v>25</v>
      </c>
      <c r="G282" s="55" t="s">
        <v>69</v>
      </c>
      <c r="H282" s="55" t="s">
        <v>25</v>
      </c>
      <c r="I282" s="63">
        <v>44593</v>
      </c>
      <c r="J282" s="64">
        <f ca="1">EFEITO!$J$282*EFEITO!$Y$282</f>
        <v>38390.324252096922</v>
      </c>
      <c r="K282" s="64">
        <f>EFEITO!$L$282*EFEITO!$Z$282</f>
        <v>0</v>
      </c>
      <c r="L282" s="64">
        <f>EFEITO!$N$282*EFEITO!$AA$282</f>
        <v>0</v>
      </c>
      <c r="M282" s="64">
        <f ca="1">$J$282-EFEITO!$K$282*EFEITO!$Y$282</f>
        <v>0</v>
      </c>
      <c r="N282" s="64">
        <f>$K$282-EFEITO!$M$282*EFEITO!$Z$282</f>
        <v>0</v>
      </c>
      <c r="O282" s="64">
        <f>$L$282-EFEITO!$O$282*EFEITO!$AA$282</f>
        <v>0</v>
      </c>
      <c r="P282" s="19"/>
      <c r="Q282" s="19"/>
      <c r="R282" s="19"/>
      <c r="S282" s="19"/>
      <c r="T282" s="19"/>
      <c r="U282" s="19"/>
      <c r="V282" s="19"/>
      <c r="W282" s="19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55" t="s">
        <v>21</v>
      </c>
      <c r="B283" s="55" t="s">
        <v>39</v>
      </c>
      <c r="C283" s="55" t="s">
        <v>66</v>
      </c>
      <c r="D283" s="55" t="s">
        <v>25</v>
      </c>
      <c r="E283" s="55" t="s">
        <v>25</v>
      </c>
      <c r="F283" s="55" t="s">
        <v>25</v>
      </c>
      <c r="G283" s="55" t="s">
        <v>70</v>
      </c>
      <c r="H283" s="55" t="s">
        <v>25</v>
      </c>
      <c r="I283" s="63">
        <v>44593</v>
      </c>
      <c r="J283" s="64">
        <f ca="1">EFEITO!$J$283*EFEITO!$Y$283</f>
        <v>140764.52225768872</v>
      </c>
      <c r="K283" s="64">
        <f>EFEITO!$L$283*EFEITO!$Z$283</f>
        <v>0</v>
      </c>
      <c r="L283" s="64">
        <f>EFEITO!$N$283*EFEITO!$AA$283</f>
        <v>0</v>
      </c>
      <c r="M283" s="64">
        <f ca="1">$J$283-EFEITO!$K$283*EFEITO!$Y$283</f>
        <v>70382.261128844359</v>
      </c>
      <c r="N283" s="64">
        <f>$K$283-EFEITO!$M$283*EFEITO!$Z$283</f>
        <v>0</v>
      </c>
      <c r="O283" s="64">
        <f>$L$283-EFEITO!$O$283*EFEITO!$AA$283</f>
        <v>0</v>
      </c>
      <c r="P283" s="19"/>
      <c r="Q283" s="19"/>
      <c r="R283" s="19"/>
      <c r="S283" s="19"/>
      <c r="T283" s="19"/>
      <c r="U283" s="19"/>
      <c r="V283" s="19"/>
      <c r="W283" s="19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55" t="s">
        <v>21</v>
      </c>
      <c r="B284" s="55" t="s">
        <v>39</v>
      </c>
      <c r="C284" s="55" t="s">
        <v>66</v>
      </c>
      <c r="D284" s="55" t="s">
        <v>25</v>
      </c>
      <c r="E284" s="55" t="s">
        <v>25</v>
      </c>
      <c r="F284" s="55" t="s">
        <v>25</v>
      </c>
      <c r="G284" s="55" t="s">
        <v>71</v>
      </c>
      <c r="H284" s="55" t="s">
        <v>25</v>
      </c>
      <c r="I284" s="63">
        <v>44593</v>
      </c>
      <c r="J284" s="64">
        <f ca="1">EFEITO!$J$284*EFEITO!$Y$284</f>
        <v>128607.58624452469</v>
      </c>
      <c r="K284" s="64">
        <f>EFEITO!$L$284*EFEITO!$Z$284</f>
        <v>0</v>
      </c>
      <c r="L284" s="64">
        <f>EFEITO!$N$284*EFEITO!$AA$284</f>
        <v>0</v>
      </c>
      <c r="M284" s="64">
        <f ca="1">$J$284-EFEITO!$K$284*EFEITO!$Y$284</f>
        <v>64303.793122262345</v>
      </c>
      <c r="N284" s="64">
        <f>$K$284-EFEITO!$M$284*EFEITO!$Z$284</f>
        <v>0</v>
      </c>
      <c r="O284" s="64">
        <f>$L$284-EFEITO!$O$284*EFEITO!$AA$284</f>
        <v>0</v>
      </c>
      <c r="P284" s="19"/>
      <c r="Q284" s="19"/>
      <c r="R284" s="19"/>
      <c r="S284" s="19"/>
      <c r="T284" s="19"/>
      <c r="U284" s="19"/>
      <c r="V284" s="19"/>
      <c r="W284" s="19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55" t="s">
        <v>21</v>
      </c>
      <c r="B285" s="55" t="s">
        <v>39</v>
      </c>
      <c r="C285" s="55" t="s">
        <v>66</v>
      </c>
      <c r="D285" s="55" t="s">
        <v>25</v>
      </c>
      <c r="E285" s="55" t="s">
        <v>25</v>
      </c>
      <c r="F285" s="55" t="s">
        <v>25</v>
      </c>
      <c r="G285" s="55" t="s">
        <v>73</v>
      </c>
      <c r="H285" s="55" t="s">
        <v>25</v>
      </c>
      <c r="I285" s="63">
        <v>44593</v>
      </c>
      <c r="J285" s="64">
        <f ca="1">EFEITO!$J$285*EFEITO!$Y$285</f>
        <v>568816.63766856946</v>
      </c>
      <c r="K285" s="64">
        <f>EFEITO!$L$285*EFEITO!$Z$285</f>
        <v>0</v>
      </c>
      <c r="L285" s="64">
        <f>EFEITO!$N$285*EFEITO!$AA$285</f>
        <v>0</v>
      </c>
      <c r="M285" s="64">
        <f ca="1">$J$285-EFEITO!$K$285*EFEITO!$Y$285</f>
        <v>284408.31883428473</v>
      </c>
      <c r="N285" s="64">
        <f>$K$285-EFEITO!$M$285*EFEITO!$Z$285</f>
        <v>0</v>
      </c>
      <c r="O285" s="64">
        <f>$L$285-EFEITO!$O$285*EFEITO!$AA$285</f>
        <v>0</v>
      </c>
      <c r="P285" s="19"/>
      <c r="Q285" s="19"/>
      <c r="R285" s="19"/>
      <c r="S285" s="19"/>
      <c r="T285" s="19"/>
      <c r="U285" s="19"/>
      <c r="V285" s="19"/>
      <c r="W285" s="19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55" t="s">
        <v>21</v>
      </c>
      <c r="B286" s="55" t="s">
        <v>39</v>
      </c>
      <c r="C286" s="55" t="s">
        <v>66</v>
      </c>
      <c r="D286" s="55" t="s">
        <v>25</v>
      </c>
      <c r="E286" s="55" t="s">
        <v>25</v>
      </c>
      <c r="F286" s="55" t="s">
        <v>25</v>
      </c>
      <c r="G286" s="55" t="s">
        <v>75</v>
      </c>
      <c r="H286" s="55" t="s">
        <v>25</v>
      </c>
      <c r="I286" s="63">
        <v>44593</v>
      </c>
      <c r="J286" s="64">
        <f ca="1">EFEITO!$J$286*EFEITO!$Y$286</f>
        <v>383903.24252096924</v>
      </c>
      <c r="K286" s="64">
        <f>EFEITO!$L$286*EFEITO!$Z$286</f>
        <v>0</v>
      </c>
      <c r="L286" s="64">
        <f>EFEITO!$N$286*EFEITO!$AA$286</f>
        <v>0</v>
      </c>
      <c r="M286" s="64">
        <f ca="1">$J$286-EFEITO!$K$286*EFEITO!$Y$286</f>
        <v>191951.62126048462</v>
      </c>
      <c r="N286" s="64">
        <f>$K$286-EFEITO!$M$286*EFEITO!$Z$286</f>
        <v>0</v>
      </c>
      <c r="O286" s="64">
        <f>$L$286-EFEITO!$O$286*EFEITO!$AA$286</f>
        <v>0</v>
      </c>
      <c r="P286" s="19"/>
      <c r="Q286" s="19"/>
      <c r="R286" s="19"/>
      <c r="S286" s="19"/>
      <c r="T286" s="19"/>
      <c r="U286" s="19"/>
      <c r="V286" s="19"/>
      <c r="W286" s="19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55" t="s">
        <v>21</v>
      </c>
      <c r="B287" s="55" t="s">
        <v>39</v>
      </c>
      <c r="C287" s="55" t="s">
        <v>66</v>
      </c>
      <c r="D287" s="55" t="s">
        <v>25</v>
      </c>
      <c r="E287" s="55" t="s">
        <v>25</v>
      </c>
      <c r="F287" s="55" t="s">
        <v>25</v>
      </c>
      <c r="G287" s="55" t="s">
        <v>76</v>
      </c>
      <c r="H287" s="55" t="s">
        <v>25</v>
      </c>
      <c r="I287" s="63">
        <v>44593</v>
      </c>
      <c r="J287" s="64">
        <f ca="1">EFEITO!$J$287*EFEITO!$Y$287</f>
        <v>383903.24252096924</v>
      </c>
      <c r="K287" s="64">
        <f>EFEITO!$L$287*EFEITO!$Z$287</f>
        <v>0</v>
      </c>
      <c r="L287" s="64">
        <f>EFEITO!$N$287*EFEITO!$AA$287</f>
        <v>0</v>
      </c>
      <c r="M287" s="64">
        <f ca="1">$J$287-EFEITO!$K$287*EFEITO!$Y$287</f>
        <v>191951.62126048462</v>
      </c>
      <c r="N287" s="64">
        <f>$K$287-EFEITO!$M$287*EFEITO!$Z$287</f>
        <v>0</v>
      </c>
      <c r="O287" s="64">
        <f>$L$287-EFEITO!$O$287*EFEITO!$AA$287</f>
        <v>0</v>
      </c>
      <c r="P287" s="19"/>
      <c r="Q287" s="19"/>
      <c r="R287" s="19"/>
      <c r="S287" s="19"/>
      <c r="T287" s="19"/>
      <c r="U287" s="19"/>
      <c r="V287" s="19"/>
      <c r="W287" s="19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55" t="s">
        <v>21</v>
      </c>
      <c r="B288" s="55" t="s">
        <v>39</v>
      </c>
      <c r="C288" s="55" t="s">
        <v>66</v>
      </c>
      <c r="D288" s="55" t="s">
        <v>25</v>
      </c>
      <c r="E288" s="55" t="s">
        <v>25</v>
      </c>
      <c r="F288" s="55" t="s">
        <v>25</v>
      </c>
      <c r="G288" s="55" t="s">
        <v>77</v>
      </c>
      <c r="H288" s="55" t="s">
        <v>25</v>
      </c>
      <c r="I288" s="63">
        <v>44593</v>
      </c>
      <c r="J288" s="64">
        <f ca="1">EFEITO!$J$288*EFEITO!$Y$288</f>
        <v>383903.24252096924</v>
      </c>
      <c r="K288" s="64">
        <f>EFEITO!$L$288*EFEITO!$Z$288</f>
        <v>0</v>
      </c>
      <c r="L288" s="64">
        <f>EFEITO!$N$288*EFEITO!$AA$288</f>
        <v>0</v>
      </c>
      <c r="M288" s="64">
        <f ca="1">$J$288-EFEITO!$K$288*EFEITO!$Y$288</f>
        <v>191951.62126048462</v>
      </c>
      <c r="N288" s="64">
        <f>$K$288-EFEITO!$M$288*EFEITO!$Z$288</f>
        <v>0</v>
      </c>
      <c r="O288" s="64">
        <f>$L$288-EFEITO!$O$288*EFEITO!$AA$288</f>
        <v>0</v>
      </c>
      <c r="P288" s="19"/>
      <c r="Q288" s="19"/>
      <c r="R288" s="19"/>
      <c r="S288" s="19"/>
      <c r="T288" s="19"/>
      <c r="U288" s="19"/>
      <c r="V288" s="19"/>
      <c r="W288" s="19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55" t="s">
        <v>21</v>
      </c>
      <c r="B289" s="55" t="s">
        <v>39</v>
      </c>
      <c r="C289" s="55" t="s">
        <v>66</v>
      </c>
      <c r="D289" s="55" t="s">
        <v>25</v>
      </c>
      <c r="E289" s="55" t="s">
        <v>25</v>
      </c>
      <c r="F289" s="55" t="s">
        <v>25</v>
      </c>
      <c r="G289" s="55" t="s">
        <v>78</v>
      </c>
      <c r="H289" s="55" t="s">
        <v>25</v>
      </c>
      <c r="I289" s="63">
        <v>44593</v>
      </c>
      <c r="J289" s="64">
        <f ca="1">EFEITO!$J$289*EFEITO!$Y$289</f>
        <v>345512.91826887231</v>
      </c>
      <c r="K289" s="64">
        <f>EFEITO!$L$289*EFEITO!$Z$289</f>
        <v>0</v>
      </c>
      <c r="L289" s="64">
        <f>EFEITO!$N$289*EFEITO!$AA$289</f>
        <v>0</v>
      </c>
      <c r="M289" s="64">
        <f ca="1">$J$289-EFEITO!$K$289*EFEITO!$Y$289</f>
        <v>172756.45913443615</v>
      </c>
      <c r="N289" s="64">
        <f>$K$289-EFEITO!$M$289*EFEITO!$Z$289</f>
        <v>0</v>
      </c>
      <c r="O289" s="64">
        <f>$L$289-EFEITO!$O$289*EFEITO!$AA$289</f>
        <v>0</v>
      </c>
      <c r="P289" s="19"/>
      <c r="Q289" s="19"/>
      <c r="R289" s="19"/>
      <c r="S289" s="19"/>
      <c r="T289" s="19"/>
      <c r="U289" s="19"/>
      <c r="V289" s="19"/>
      <c r="W289" s="19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55" t="s">
        <v>21</v>
      </c>
      <c r="B290" s="55" t="s">
        <v>39</v>
      </c>
      <c r="C290" s="55" t="s">
        <v>66</v>
      </c>
      <c r="D290" s="55" t="s">
        <v>25</v>
      </c>
      <c r="E290" s="55" t="s">
        <v>25</v>
      </c>
      <c r="F290" s="55" t="s">
        <v>25</v>
      </c>
      <c r="G290" s="55" t="s">
        <v>79</v>
      </c>
      <c r="H290" s="55" t="s">
        <v>25</v>
      </c>
      <c r="I290" s="63">
        <v>44593</v>
      </c>
      <c r="J290" s="64">
        <f ca="1">EFEITO!$J$290*EFEITO!$Y$290</f>
        <v>345512.91826887231</v>
      </c>
      <c r="K290" s="64">
        <f>EFEITO!$L$290*EFEITO!$Z$290</f>
        <v>0</v>
      </c>
      <c r="L290" s="64">
        <f>EFEITO!$N$290*EFEITO!$AA$290</f>
        <v>0</v>
      </c>
      <c r="M290" s="64">
        <f ca="1">$J$290-EFEITO!$K$290*EFEITO!$Y$290</f>
        <v>172756.45913443615</v>
      </c>
      <c r="N290" s="64">
        <f>$K$290-EFEITO!$M$290*EFEITO!$Z$290</f>
        <v>0</v>
      </c>
      <c r="O290" s="64">
        <f>$L$290-EFEITO!$O$290*EFEITO!$AA$290</f>
        <v>0</v>
      </c>
      <c r="P290" s="19"/>
      <c r="Q290" s="19"/>
      <c r="R290" s="19"/>
      <c r="S290" s="19"/>
      <c r="T290" s="19"/>
      <c r="U290" s="19"/>
      <c r="V290" s="19"/>
      <c r="W290" s="19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55" t="s">
        <v>21</v>
      </c>
      <c r="B291" s="55" t="s">
        <v>39</v>
      </c>
      <c r="C291" s="55" t="s">
        <v>66</v>
      </c>
      <c r="D291" s="55" t="s">
        <v>25</v>
      </c>
      <c r="E291" s="55" t="s">
        <v>25</v>
      </c>
      <c r="F291" s="55" t="s">
        <v>25</v>
      </c>
      <c r="G291" s="55" t="s">
        <v>67</v>
      </c>
      <c r="H291" s="55" t="s">
        <v>25</v>
      </c>
      <c r="I291" s="63">
        <v>44621</v>
      </c>
      <c r="J291" s="64">
        <f ca="1">EFEITO!$J$291*EFEITO!$Y$291</f>
        <v>44788.711627446406</v>
      </c>
      <c r="K291" s="64">
        <f>EFEITO!$L$291*EFEITO!$Z$291</f>
        <v>0</v>
      </c>
      <c r="L291" s="64">
        <f>EFEITO!$N$291*EFEITO!$AA$291</f>
        <v>0</v>
      </c>
      <c r="M291" s="64">
        <f ca="1">$J$291-EFEITO!$K$291*EFEITO!$Y$291</f>
        <v>0</v>
      </c>
      <c r="N291" s="64">
        <f>$K$291-EFEITO!$M$291*EFEITO!$Z$291</f>
        <v>0</v>
      </c>
      <c r="O291" s="64">
        <f>$L$291-EFEITO!$O$291*EFEITO!$AA$291</f>
        <v>0</v>
      </c>
      <c r="P291" s="19"/>
      <c r="Q291" s="19"/>
      <c r="R291" s="19"/>
      <c r="S291" s="19"/>
      <c r="T291" s="19"/>
      <c r="U291" s="19"/>
      <c r="V291" s="19"/>
      <c r="W291" s="19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55" t="s">
        <v>21</v>
      </c>
      <c r="B292" s="55" t="s">
        <v>39</v>
      </c>
      <c r="C292" s="55" t="s">
        <v>66</v>
      </c>
      <c r="D292" s="55" t="s">
        <v>25</v>
      </c>
      <c r="E292" s="55" t="s">
        <v>25</v>
      </c>
      <c r="F292" s="55" t="s">
        <v>25</v>
      </c>
      <c r="G292" s="55" t="s">
        <v>69</v>
      </c>
      <c r="H292" s="55" t="s">
        <v>25</v>
      </c>
      <c r="I292" s="63">
        <v>44621</v>
      </c>
      <c r="J292" s="64">
        <f ca="1">EFEITO!$J$292*EFEITO!$Y$292</f>
        <v>38390.324252096922</v>
      </c>
      <c r="K292" s="64">
        <f>EFEITO!$L$292*EFEITO!$Z$292</f>
        <v>0</v>
      </c>
      <c r="L292" s="64">
        <f>EFEITO!$N$292*EFEITO!$AA$292</f>
        <v>0</v>
      </c>
      <c r="M292" s="64">
        <f ca="1">$J$292-EFEITO!$K$292*EFEITO!$Y$292</f>
        <v>19195.162126048461</v>
      </c>
      <c r="N292" s="64">
        <f>$K$292-EFEITO!$M$292*EFEITO!$Z$292</f>
        <v>0</v>
      </c>
      <c r="O292" s="64">
        <f>$L$292-EFEITO!$O$292*EFEITO!$AA$292</f>
        <v>0</v>
      </c>
      <c r="P292" s="19"/>
      <c r="Q292" s="19"/>
      <c r="R292" s="19"/>
      <c r="S292" s="19"/>
      <c r="T292" s="19"/>
      <c r="U292" s="19"/>
      <c r="V292" s="19"/>
      <c r="W292" s="19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55" t="s">
        <v>21</v>
      </c>
      <c r="B293" s="55" t="s">
        <v>39</v>
      </c>
      <c r="C293" s="55" t="s">
        <v>66</v>
      </c>
      <c r="D293" s="55" t="s">
        <v>25</v>
      </c>
      <c r="E293" s="55" t="s">
        <v>25</v>
      </c>
      <c r="F293" s="55" t="s">
        <v>25</v>
      </c>
      <c r="G293" s="55" t="s">
        <v>70</v>
      </c>
      <c r="H293" s="55" t="s">
        <v>25</v>
      </c>
      <c r="I293" s="63">
        <v>44621</v>
      </c>
      <c r="J293" s="64">
        <f ca="1">EFEITO!$J$293*EFEITO!$Y$293</f>
        <v>140764.52225768872</v>
      </c>
      <c r="K293" s="64">
        <f>EFEITO!$L$293*EFEITO!$Z$293</f>
        <v>0</v>
      </c>
      <c r="L293" s="64">
        <f>EFEITO!$N$293*EFEITO!$AA$293</f>
        <v>0</v>
      </c>
      <c r="M293" s="64">
        <f ca="1">$J$293-EFEITO!$K$293*EFEITO!$Y$293</f>
        <v>70382.261128844359</v>
      </c>
      <c r="N293" s="64">
        <f>$K$293-EFEITO!$M$293*EFEITO!$Z$293</f>
        <v>0</v>
      </c>
      <c r="O293" s="64">
        <f>$L$293-EFEITO!$O$293*EFEITO!$AA$293</f>
        <v>0</v>
      </c>
      <c r="P293" s="19"/>
      <c r="Q293" s="19"/>
      <c r="R293" s="19"/>
      <c r="S293" s="19"/>
      <c r="T293" s="19"/>
      <c r="U293" s="19"/>
      <c r="V293" s="19"/>
      <c r="W293" s="19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55" t="s">
        <v>21</v>
      </c>
      <c r="B294" s="55" t="s">
        <v>39</v>
      </c>
      <c r="C294" s="55" t="s">
        <v>66</v>
      </c>
      <c r="D294" s="55" t="s">
        <v>25</v>
      </c>
      <c r="E294" s="55" t="s">
        <v>25</v>
      </c>
      <c r="F294" s="55" t="s">
        <v>25</v>
      </c>
      <c r="G294" s="55" t="s">
        <v>71</v>
      </c>
      <c r="H294" s="55" t="s">
        <v>25</v>
      </c>
      <c r="I294" s="63">
        <v>44621</v>
      </c>
      <c r="J294" s="64">
        <f ca="1">EFEITO!$J$294*EFEITO!$Y$294</f>
        <v>128607.58624452469</v>
      </c>
      <c r="K294" s="64">
        <f>EFEITO!$L$294*EFEITO!$Z$294</f>
        <v>0</v>
      </c>
      <c r="L294" s="64">
        <f>EFEITO!$N$294*EFEITO!$AA$294</f>
        <v>0</v>
      </c>
      <c r="M294" s="64">
        <f ca="1">$J$294-EFEITO!$K$294*EFEITO!$Y$294</f>
        <v>64303.793122262345</v>
      </c>
      <c r="N294" s="64">
        <f>$K$294-EFEITO!$M$294*EFEITO!$Z$294</f>
        <v>0</v>
      </c>
      <c r="O294" s="64">
        <f>$L$294-EFEITO!$O$294*EFEITO!$AA$294</f>
        <v>0</v>
      </c>
      <c r="P294" s="19"/>
      <c r="Q294" s="19"/>
      <c r="R294" s="19"/>
      <c r="S294" s="19"/>
      <c r="T294" s="19"/>
      <c r="U294" s="19"/>
      <c r="V294" s="19"/>
      <c r="W294" s="19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55" t="s">
        <v>21</v>
      </c>
      <c r="B295" s="55" t="s">
        <v>39</v>
      </c>
      <c r="C295" s="55" t="s">
        <v>66</v>
      </c>
      <c r="D295" s="55" t="s">
        <v>25</v>
      </c>
      <c r="E295" s="55" t="s">
        <v>25</v>
      </c>
      <c r="F295" s="55" t="s">
        <v>25</v>
      </c>
      <c r="G295" s="55" t="s">
        <v>73</v>
      </c>
      <c r="H295" s="55" t="s">
        <v>25</v>
      </c>
      <c r="I295" s="63">
        <v>44621</v>
      </c>
      <c r="J295" s="64">
        <f ca="1">EFEITO!$J$295*EFEITO!$Y$295</f>
        <v>568816.63766856946</v>
      </c>
      <c r="K295" s="64">
        <f>EFEITO!$L$295*EFEITO!$Z$295</f>
        <v>0</v>
      </c>
      <c r="L295" s="64">
        <f>EFEITO!$N$295*EFEITO!$AA$295</f>
        <v>0</v>
      </c>
      <c r="M295" s="64">
        <f ca="1">$J$295-EFEITO!$K$295*EFEITO!$Y$295</f>
        <v>284408.31883428473</v>
      </c>
      <c r="N295" s="64">
        <f>$K$295-EFEITO!$M$295*EFEITO!$Z$295</f>
        <v>0</v>
      </c>
      <c r="O295" s="64">
        <f>$L$295-EFEITO!$O$295*EFEITO!$AA$295</f>
        <v>0</v>
      </c>
      <c r="P295" s="19"/>
      <c r="Q295" s="19"/>
      <c r="R295" s="19"/>
      <c r="S295" s="19"/>
      <c r="T295" s="19"/>
      <c r="U295" s="19"/>
      <c r="V295" s="19"/>
      <c r="W295" s="19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55" t="s">
        <v>21</v>
      </c>
      <c r="B296" s="55" t="s">
        <v>39</v>
      </c>
      <c r="C296" s="55" t="s">
        <v>66</v>
      </c>
      <c r="D296" s="55" t="s">
        <v>25</v>
      </c>
      <c r="E296" s="55" t="s">
        <v>25</v>
      </c>
      <c r="F296" s="55" t="s">
        <v>25</v>
      </c>
      <c r="G296" s="55" t="s">
        <v>75</v>
      </c>
      <c r="H296" s="55" t="s">
        <v>25</v>
      </c>
      <c r="I296" s="63">
        <v>44621</v>
      </c>
      <c r="J296" s="64">
        <f ca="1">EFEITO!$J$296*EFEITO!$Y$296</f>
        <v>383903.24252096924</v>
      </c>
      <c r="K296" s="64">
        <f>EFEITO!$L$296*EFEITO!$Z$296</f>
        <v>0</v>
      </c>
      <c r="L296" s="64">
        <f>EFEITO!$N$296*EFEITO!$AA$296</f>
        <v>0</v>
      </c>
      <c r="M296" s="64">
        <f ca="1">$J$296-EFEITO!$K$296*EFEITO!$Y$296</f>
        <v>191951.62126048462</v>
      </c>
      <c r="N296" s="64">
        <f>$K$296-EFEITO!$M$296*EFEITO!$Z$296</f>
        <v>0</v>
      </c>
      <c r="O296" s="64">
        <f>$L$296-EFEITO!$O$296*EFEITO!$AA$296</f>
        <v>0</v>
      </c>
      <c r="P296" s="19"/>
      <c r="Q296" s="19"/>
      <c r="R296" s="19"/>
      <c r="S296" s="19"/>
      <c r="T296" s="19"/>
      <c r="U296" s="19"/>
      <c r="V296" s="19"/>
      <c r="W296" s="19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55" t="s">
        <v>21</v>
      </c>
      <c r="B297" s="55" t="s">
        <v>39</v>
      </c>
      <c r="C297" s="55" t="s">
        <v>66</v>
      </c>
      <c r="D297" s="55" t="s">
        <v>25</v>
      </c>
      <c r="E297" s="55" t="s">
        <v>25</v>
      </c>
      <c r="F297" s="55" t="s">
        <v>25</v>
      </c>
      <c r="G297" s="55" t="s">
        <v>76</v>
      </c>
      <c r="H297" s="55" t="s">
        <v>25</v>
      </c>
      <c r="I297" s="63">
        <v>44621</v>
      </c>
      <c r="J297" s="64">
        <f ca="1">EFEITO!$J$297*EFEITO!$Y$297</f>
        <v>383903.24252096924</v>
      </c>
      <c r="K297" s="64">
        <f>EFEITO!$L$297*EFEITO!$Z$297</f>
        <v>0</v>
      </c>
      <c r="L297" s="64">
        <f>EFEITO!$N$297*EFEITO!$AA$297</f>
        <v>0</v>
      </c>
      <c r="M297" s="64">
        <f ca="1">$J$297-EFEITO!$K$297*EFEITO!$Y$297</f>
        <v>191951.62126048462</v>
      </c>
      <c r="N297" s="64">
        <f>$K$297-EFEITO!$M$297*EFEITO!$Z$297</f>
        <v>0</v>
      </c>
      <c r="O297" s="64">
        <f>$L$297-EFEITO!$O$297*EFEITO!$AA$297</f>
        <v>0</v>
      </c>
      <c r="P297" s="19"/>
      <c r="Q297" s="19"/>
      <c r="R297" s="19"/>
      <c r="S297" s="19"/>
      <c r="T297" s="19"/>
      <c r="U297" s="19"/>
      <c r="V297" s="19"/>
      <c r="W297" s="19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55" t="s">
        <v>21</v>
      </c>
      <c r="B298" s="55" t="s">
        <v>39</v>
      </c>
      <c r="C298" s="55" t="s">
        <v>66</v>
      </c>
      <c r="D298" s="55" t="s">
        <v>25</v>
      </c>
      <c r="E298" s="55" t="s">
        <v>25</v>
      </c>
      <c r="F298" s="55" t="s">
        <v>25</v>
      </c>
      <c r="G298" s="55" t="s">
        <v>77</v>
      </c>
      <c r="H298" s="55" t="s">
        <v>25</v>
      </c>
      <c r="I298" s="63">
        <v>44621</v>
      </c>
      <c r="J298" s="64">
        <f ca="1">EFEITO!$J$298*EFEITO!$Y$298</f>
        <v>383903.24252096924</v>
      </c>
      <c r="K298" s="64">
        <f>EFEITO!$L$298*EFEITO!$Z$298</f>
        <v>0</v>
      </c>
      <c r="L298" s="64">
        <f>EFEITO!$N$298*EFEITO!$AA$298</f>
        <v>0</v>
      </c>
      <c r="M298" s="64">
        <f ca="1">$J$298-EFEITO!$K$298*EFEITO!$Y$298</f>
        <v>191951.62126048462</v>
      </c>
      <c r="N298" s="64">
        <f>$K$298-EFEITO!$M$298*EFEITO!$Z$298</f>
        <v>0</v>
      </c>
      <c r="O298" s="64">
        <f>$L$298-EFEITO!$O$298*EFEITO!$AA$298</f>
        <v>0</v>
      </c>
      <c r="P298" s="19"/>
      <c r="Q298" s="19"/>
      <c r="R298" s="19"/>
      <c r="S298" s="19"/>
      <c r="T298" s="19"/>
      <c r="U298" s="19"/>
      <c r="V298" s="19"/>
      <c r="W298" s="19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55" t="s">
        <v>21</v>
      </c>
      <c r="B299" s="55" t="s">
        <v>39</v>
      </c>
      <c r="C299" s="55" t="s">
        <v>66</v>
      </c>
      <c r="D299" s="55" t="s">
        <v>25</v>
      </c>
      <c r="E299" s="55" t="s">
        <v>25</v>
      </c>
      <c r="F299" s="55" t="s">
        <v>25</v>
      </c>
      <c r="G299" s="55" t="s">
        <v>78</v>
      </c>
      <c r="H299" s="55" t="s">
        <v>25</v>
      </c>
      <c r="I299" s="63">
        <v>44621</v>
      </c>
      <c r="J299" s="64">
        <f ca="1">EFEITO!$J$299*EFEITO!$Y$299</f>
        <v>345512.91826887231</v>
      </c>
      <c r="K299" s="64">
        <f>EFEITO!$L$299*EFEITO!$Z$299</f>
        <v>0</v>
      </c>
      <c r="L299" s="64">
        <f>EFEITO!$N$299*EFEITO!$AA$299</f>
        <v>0</v>
      </c>
      <c r="M299" s="64">
        <f ca="1">$J$299-EFEITO!$K$299*EFEITO!$Y$299</f>
        <v>172756.45913443615</v>
      </c>
      <c r="N299" s="64">
        <f>$K$299-EFEITO!$M$299*EFEITO!$Z$299</f>
        <v>0</v>
      </c>
      <c r="O299" s="64">
        <f>$L$299-EFEITO!$O$299*EFEITO!$AA$299</f>
        <v>0</v>
      </c>
      <c r="P299" s="19"/>
      <c r="Q299" s="19"/>
      <c r="R299" s="19"/>
      <c r="S299" s="19"/>
      <c r="T299" s="19"/>
      <c r="U299" s="19"/>
      <c r="V299" s="19"/>
      <c r="W299" s="19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55" t="s">
        <v>21</v>
      </c>
      <c r="B300" s="55" t="s">
        <v>39</v>
      </c>
      <c r="C300" s="55" t="s">
        <v>66</v>
      </c>
      <c r="D300" s="55" t="s">
        <v>25</v>
      </c>
      <c r="E300" s="55" t="s">
        <v>25</v>
      </c>
      <c r="F300" s="55" t="s">
        <v>25</v>
      </c>
      <c r="G300" s="55" t="s">
        <v>79</v>
      </c>
      <c r="H300" s="55" t="s">
        <v>25</v>
      </c>
      <c r="I300" s="63">
        <v>44621</v>
      </c>
      <c r="J300" s="64">
        <f ca="1">EFEITO!$J$300*EFEITO!$Y$300</f>
        <v>345512.91826887231</v>
      </c>
      <c r="K300" s="64">
        <f>EFEITO!$L$300*EFEITO!$Z$300</f>
        <v>0</v>
      </c>
      <c r="L300" s="64">
        <f>EFEITO!$N$300*EFEITO!$AA$300</f>
        <v>0</v>
      </c>
      <c r="M300" s="64">
        <f ca="1">$J$300-EFEITO!$K$300*EFEITO!$Y$300</f>
        <v>172756.45913443615</v>
      </c>
      <c r="N300" s="64">
        <f>$K$300-EFEITO!$M$300*EFEITO!$Z$300</f>
        <v>0</v>
      </c>
      <c r="O300" s="64">
        <f>$L$300-EFEITO!$O$300*EFEITO!$AA$300</f>
        <v>0</v>
      </c>
      <c r="P300" s="19"/>
      <c r="Q300" s="19"/>
      <c r="R300" s="19"/>
      <c r="S300" s="19"/>
      <c r="T300" s="19"/>
      <c r="U300" s="19"/>
      <c r="V300" s="19"/>
      <c r="W300" s="19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55" t="s">
        <v>21</v>
      </c>
      <c r="B301" s="55" t="s">
        <v>39</v>
      </c>
      <c r="C301" s="55" t="s">
        <v>66</v>
      </c>
      <c r="D301" s="55" t="s">
        <v>25</v>
      </c>
      <c r="E301" s="55" t="s">
        <v>25</v>
      </c>
      <c r="F301" s="55" t="s">
        <v>25</v>
      </c>
      <c r="G301" s="55" t="s">
        <v>67</v>
      </c>
      <c r="H301" s="55" t="s">
        <v>25</v>
      </c>
      <c r="I301" s="63">
        <v>44652</v>
      </c>
      <c r="J301" s="64">
        <f ca="1">EFEITO!$J$301*EFEITO!$Y$301</f>
        <v>44788.711627446406</v>
      </c>
      <c r="K301" s="64">
        <f>EFEITO!$L$301*EFEITO!$Z$301</f>
        <v>0</v>
      </c>
      <c r="L301" s="64">
        <f>EFEITO!$N$301*EFEITO!$AA$301</f>
        <v>0</v>
      </c>
      <c r="M301" s="64">
        <f ca="1">$J$301-EFEITO!$K$301*EFEITO!$Y$301</f>
        <v>0</v>
      </c>
      <c r="N301" s="64">
        <f>$K$301-EFEITO!$M$301*EFEITO!$Z$301</f>
        <v>0</v>
      </c>
      <c r="O301" s="64">
        <f>$L$301-EFEITO!$O$301*EFEITO!$AA$301</f>
        <v>0</v>
      </c>
      <c r="P301" s="19"/>
      <c r="Q301" s="19"/>
      <c r="R301" s="19"/>
      <c r="S301" s="19"/>
      <c r="T301" s="19"/>
      <c r="U301" s="19"/>
      <c r="V301" s="19"/>
      <c r="W301" s="19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55" t="s">
        <v>21</v>
      </c>
      <c r="B302" s="55" t="s">
        <v>39</v>
      </c>
      <c r="C302" s="55" t="s">
        <v>66</v>
      </c>
      <c r="D302" s="55" t="s">
        <v>25</v>
      </c>
      <c r="E302" s="55" t="s">
        <v>25</v>
      </c>
      <c r="F302" s="55" t="s">
        <v>25</v>
      </c>
      <c r="G302" s="55" t="s">
        <v>69</v>
      </c>
      <c r="H302" s="55" t="s">
        <v>25</v>
      </c>
      <c r="I302" s="63">
        <v>44652</v>
      </c>
      <c r="J302" s="64">
        <f ca="1">EFEITO!$J$302*EFEITO!$Y$302</f>
        <v>38390.324252096922</v>
      </c>
      <c r="K302" s="64">
        <f>EFEITO!$L$302*EFEITO!$Z$302</f>
        <v>0</v>
      </c>
      <c r="L302" s="64">
        <f>EFEITO!$N$302*EFEITO!$AA$302</f>
        <v>0</v>
      </c>
      <c r="M302" s="64">
        <f ca="1">$J$302-EFEITO!$K$302*EFEITO!$Y$302</f>
        <v>19195.162126048461</v>
      </c>
      <c r="N302" s="64">
        <f>$K$302-EFEITO!$M$302*EFEITO!$Z$302</f>
        <v>0</v>
      </c>
      <c r="O302" s="64">
        <f>$L$302-EFEITO!$O$302*EFEITO!$AA$302</f>
        <v>0</v>
      </c>
      <c r="P302" s="19"/>
      <c r="Q302" s="19"/>
      <c r="R302" s="19"/>
      <c r="S302" s="19"/>
      <c r="T302" s="19"/>
      <c r="U302" s="19"/>
      <c r="V302" s="19"/>
      <c r="W302" s="19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55" t="s">
        <v>21</v>
      </c>
      <c r="B303" s="55" t="s">
        <v>39</v>
      </c>
      <c r="C303" s="55" t="s">
        <v>66</v>
      </c>
      <c r="D303" s="55" t="s">
        <v>25</v>
      </c>
      <c r="E303" s="55" t="s">
        <v>25</v>
      </c>
      <c r="F303" s="55" t="s">
        <v>25</v>
      </c>
      <c r="G303" s="55" t="s">
        <v>70</v>
      </c>
      <c r="H303" s="55" t="s">
        <v>25</v>
      </c>
      <c r="I303" s="63">
        <v>44652</v>
      </c>
      <c r="J303" s="64">
        <f ca="1">EFEITO!$J$303*EFEITO!$Y$303</f>
        <v>140764.52225768872</v>
      </c>
      <c r="K303" s="64">
        <f>EFEITO!$L$303*EFEITO!$Z$303</f>
        <v>0</v>
      </c>
      <c r="L303" s="64">
        <f>EFEITO!$N$303*EFEITO!$AA$303</f>
        <v>0</v>
      </c>
      <c r="M303" s="64">
        <f ca="1">$J$303-EFEITO!$K$303*EFEITO!$Y$303</f>
        <v>70382.261128844359</v>
      </c>
      <c r="N303" s="64">
        <f>$K$303-EFEITO!$M$303*EFEITO!$Z$303</f>
        <v>0</v>
      </c>
      <c r="O303" s="64">
        <f>$L$303-EFEITO!$O$303*EFEITO!$AA$303</f>
        <v>0</v>
      </c>
      <c r="P303" s="19"/>
      <c r="Q303" s="19"/>
      <c r="R303" s="19"/>
      <c r="S303" s="19"/>
      <c r="T303" s="19"/>
      <c r="U303" s="19"/>
      <c r="V303" s="19"/>
      <c r="W303" s="19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55" t="s">
        <v>21</v>
      </c>
      <c r="B304" s="55" t="s">
        <v>39</v>
      </c>
      <c r="C304" s="55" t="s">
        <v>66</v>
      </c>
      <c r="D304" s="55" t="s">
        <v>25</v>
      </c>
      <c r="E304" s="55" t="s">
        <v>25</v>
      </c>
      <c r="F304" s="55" t="s">
        <v>25</v>
      </c>
      <c r="G304" s="55" t="s">
        <v>71</v>
      </c>
      <c r="H304" s="55" t="s">
        <v>25</v>
      </c>
      <c r="I304" s="63">
        <v>44652</v>
      </c>
      <c r="J304" s="64">
        <f ca="1">EFEITO!$J$304*EFEITO!$Y$304</f>
        <v>128607.58624452469</v>
      </c>
      <c r="K304" s="64">
        <f>EFEITO!$L$304*EFEITO!$Z$304</f>
        <v>0</v>
      </c>
      <c r="L304" s="64">
        <f>EFEITO!$N$304*EFEITO!$AA$304</f>
        <v>0</v>
      </c>
      <c r="M304" s="64">
        <f ca="1">$J$304-EFEITO!$K$304*EFEITO!$Y$304</f>
        <v>64303.793122262345</v>
      </c>
      <c r="N304" s="64">
        <f>$K$304-EFEITO!$M$304*EFEITO!$Z$304</f>
        <v>0</v>
      </c>
      <c r="O304" s="64">
        <f>$L$304-EFEITO!$O$304*EFEITO!$AA$304</f>
        <v>0</v>
      </c>
      <c r="P304" s="19"/>
      <c r="Q304" s="19"/>
      <c r="R304" s="19"/>
      <c r="S304" s="19"/>
      <c r="T304" s="19"/>
      <c r="U304" s="19"/>
      <c r="V304" s="19"/>
      <c r="W304" s="19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55" t="s">
        <v>21</v>
      </c>
      <c r="B305" s="55" t="s">
        <v>39</v>
      </c>
      <c r="C305" s="55" t="s">
        <v>66</v>
      </c>
      <c r="D305" s="55" t="s">
        <v>25</v>
      </c>
      <c r="E305" s="55" t="s">
        <v>25</v>
      </c>
      <c r="F305" s="55" t="s">
        <v>25</v>
      </c>
      <c r="G305" s="55" t="s">
        <v>73</v>
      </c>
      <c r="H305" s="55" t="s">
        <v>25</v>
      </c>
      <c r="I305" s="63">
        <v>44652</v>
      </c>
      <c r="J305" s="64">
        <f ca="1">EFEITO!$J$305*EFEITO!$Y$305</f>
        <v>568816.63766856946</v>
      </c>
      <c r="K305" s="64">
        <f>EFEITO!$L$305*EFEITO!$Z$305</f>
        <v>0</v>
      </c>
      <c r="L305" s="64">
        <f>EFEITO!$N$305*EFEITO!$AA$305</f>
        <v>0</v>
      </c>
      <c r="M305" s="64">
        <f ca="1">$J$305-EFEITO!$K$305*EFEITO!$Y$305</f>
        <v>284408.31883428473</v>
      </c>
      <c r="N305" s="64">
        <f>$K$305-EFEITO!$M$305*EFEITO!$Z$305</f>
        <v>0</v>
      </c>
      <c r="O305" s="64">
        <f>$L$305-EFEITO!$O$305*EFEITO!$AA$305</f>
        <v>0</v>
      </c>
      <c r="P305" s="19"/>
      <c r="Q305" s="19"/>
      <c r="R305" s="19"/>
      <c r="S305" s="19"/>
      <c r="T305" s="19"/>
      <c r="U305" s="19"/>
      <c r="V305" s="19"/>
      <c r="W305" s="19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55" t="s">
        <v>21</v>
      </c>
      <c r="B306" s="55" t="s">
        <v>39</v>
      </c>
      <c r="C306" s="55" t="s">
        <v>66</v>
      </c>
      <c r="D306" s="55" t="s">
        <v>25</v>
      </c>
      <c r="E306" s="55" t="s">
        <v>25</v>
      </c>
      <c r="F306" s="55" t="s">
        <v>25</v>
      </c>
      <c r="G306" s="55" t="s">
        <v>75</v>
      </c>
      <c r="H306" s="55" t="s">
        <v>25</v>
      </c>
      <c r="I306" s="63">
        <v>44652</v>
      </c>
      <c r="J306" s="64">
        <f ca="1">EFEITO!$J$306*EFEITO!$Y$306</f>
        <v>383903.24252096924</v>
      </c>
      <c r="K306" s="64">
        <f>EFEITO!$L$306*EFEITO!$Z$306</f>
        <v>0</v>
      </c>
      <c r="L306" s="64">
        <f>EFEITO!$N$306*EFEITO!$AA$306</f>
        <v>0</v>
      </c>
      <c r="M306" s="64">
        <f ca="1">$J$306-EFEITO!$K$306*EFEITO!$Y$306</f>
        <v>191951.62126048462</v>
      </c>
      <c r="N306" s="64">
        <f>$K$306-EFEITO!$M$306*EFEITO!$Z$306</f>
        <v>0</v>
      </c>
      <c r="O306" s="64">
        <f>$L$306-EFEITO!$O$306*EFEITO!$AA$306</f>
        <v>0</v>
      </c>
      <c r="P306" s="19"/>
      <c r="Q306" s="19"/>
      <c r="R306" s="19"/>
      <c r="S306" s="19"/>
      <c r="T306" s="19"/>
      <c r="U306" s="19"/>
      <c r="V306" s="19"/>
      <c r="W306" s="19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55" t="s">
        <v>21</v>
      </c>
      <c r="B307" s="55" t="s">
        <v>39</v>
      </c>
      <c r="C307" s="55" t="s">
        <v>66</v>
      </c>
      <c r="D307" s="55" t="s">
        <v>25</v>
      </c>
      <c r="E307" s="55" t="s">
        <v>25</v>
      </c>
      <c r="F307" s="55" t="s">
        <v>25</v>
      </c>
      <c r="G307" s="55" t="s">
        <v>76</v>
      </c>
      <c r="H307" s="55" t="s">
        <v>25</v>
      </c>
      <c r="I307" s="63">
        <v>44652</v>
      </c>
      <c r="J307" s="64">
        <f ca="1">EFEITO!$J$307*EFEITO!$Y$307</f>
        <v>383903.24252096924</v>
      </c>
      <c r="K307" s="64">
        <f>EFEITO!$L$307*EFEITO!$Z$307</f>
        <v>0</v>
      </c>
      <c r="L307" s="64">
        <f>EFEITO!$N$307*EFEITO!$AA$307</f>
        <v>0</v>
      </c>
      <c r="M307" s="64">
        <f ca="1">$J$307-EFEITO!$K$307*EFEITO!$Y$307</f>
        <v>191951.62126048462</v>
      </c>
      <c r="N307" s="64">
        <f>$K$307-EFEITO!$M$307*EFEITO!$Z$307</f>
        <v>0</v>
      </c>
      <c r="O307" s="64">
        <f>$L$307-EFEITO!$O$307*EFEITO!$AA$307</f>
        <v>0</v>
      </c>
      <c r="P307" s="19"/>
      <c r="Q307" s="19"/>
      <c r="R307" s="19"/>
      <c r="S307" s="19"/>
      <c r="T307" s="19"/>
      <c r="U307" s="19"/>
      <c r="V307" s="19"/>
      <c r="W307" s="19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55" t="s">
        <v>21</v>
      </c>
      <c r="B308" s="55" t="s">
        <v>39</v>
      </c>
      <c r="C308" s="55" t="s">
        <v>66</v>
      </c>
      <c r="D308" s="55" t="s">
        <v>25</v>
      </c>
      <c r="E308" s="55" t="s">
        <v>25</v>
      </c>
      <c r="F308" s="55" t="s">
        <v>25</v>
      </c>
      <c r="G308" s="55" t="s">
        <v>77</v>
      </c>
      <c r="H308" s="55" t="s">
        <v>25</v>
      </c>
      <c r="I308" s="63">
        <v>44652</v>
      </c>
      <c r="J308" s="64">
        <f ca="1">EFEITO!$J$308*EFEITO!$Y$308</f>
        <v>383903.24252096924</v>
      </c>
      <c r="K308" s="64">
        <f>EFEITO!$L$308*EFEITO!$Z$308</f>
        <v>0</v>
      </c>
      <c r="L308" s="64">
        <f>EFEITO!$N$308*EFEITO!$AA$308</f>
        <v>0</v>
      </c>
      <c r="M308" s="64">
        <f ca="1">$J$308-EFEITO!$K$308*EFEITO!$Y$308</f>
        <v>191951.62126048462</v>
      </c>
      <c r="N308" s="64">
        <f>$K$308-EFEITO!$M$308*EFEITO!$Z$308</f>
        <v>0</v>
      </c>
      <c r="O308" s="64">
        <f>$L$308-EFEITO!$O$308*EFEITO!$AA$308</f>
        <v>0</v>
      </c>
      <c r="P308" s="19"/>
      <c r="Q308" s="19"/>
      <c r="R308" s="19"/>
      <c r="S308" s="19"/>
      <c r="T308" s="19"/>
      <c r="U308" s="19"/>
      <c r="V308" s="19"/>
      <c r="W308" s="19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55" t="s">
        <v>21</v>
      </c>
      <c r="B309" s="55" t="s">
        <v>39</v>
      </c>
      <c r="C309" s="55" t="s">
        <v>66</v>
      </c>
      <c r="D309" s="55" t="s">
        <v>25</v>
      </c>
      <c r="E309" s="55" t="s">
        <v>25</v>
      </c>
      <c r="F309" s="55" t="s">
        <v>25</v>
      </c>
      <c r="G309" s="55" t="s">
        <v>78</v>
      </c>
      <c r="H309" s="55" t="s">
        <v>25</v>
      </c>
      <c r="I309" s="63">
        <v>44652</v>
      </c>
      <c r="J309" s="64">
        <f ca="1">EFEITO!$J$309*EFEITO!$Y$309</f>
        <v>345512.91826887231</v>
      </c>
      <c r="K309" s="64">
        <f>EFEITO!$L$309*EFEITO!$Z$309</f>
        <v>0</v>
      </c>
      <c r="L309" s="64">
        <f>EFEITO!$N$309*EFEITO!$AA$309</f>
        <v>0</v>
      </c>
      <c r="M309" s="64">
        <f ca="1">$J$309-EFEITO!$K$309*EFEITO!$Y$309</f>
        <v>172756.45913443615</v>
      </c>
      <c r="N309" s="64">
        <f>$K$309-EFEITO!$M$309*EFEITO!$Z$309</f>
        <v>0</v>
      </c>
      <c r="O309" s="64">
        <f>$L$309-EFEITO!$O$309*EFEITO!$AA$309</f>
        <v>0</v>
      </c>
      <c r="P309" s="19"/>
      <c r="Q309" s="19"/>
      <c r="R309" s="19"/>
      <c r="S309" s="19"/>
      <c r="T309" s="19"/>
      <c r="U309" s="19"/>
      <c r="V309" s="19"/>
      <c r="W309" s="19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55" t="s">
        <v>21</v>
      </c>
      <c r="B310" s="55" t="s">
        <v>39</v>
      </c>
      <c r="C310" s="55" t="s">
        <v>66</v>
      </c>
      <c r="D310" s="55" t="s">
        <v>25</v>
      </c>
      <c r="E310" s="55" t="s">
        <v>25</v>
      </c>
      <c r="F310" s="55" t="s">
        <v>25</v>
      </c>
      <c r="G310" s="55" t="s">
        <v>79</v>
      </c>
      <c r="H310" s="55" t="s">
        <v>25</v>
      </c>
      <c r="I310" s="63">
        <v>44652</v>
      </c>
      <c r="J310" s="64">
        <f ca="1">EFEITO!$J$310*EFEITO!$Y$310</f>
        <v>345512.91826887231</v>
      </c>
      <c r="K310" s="64">
        <f>EFEITO!$L$310*EFEITO!$Z$310</f>
        <v>0</v>
      </c>
      <c r="L310" s="64">
        <f>EFEITO!$N$310*EFEITO!$AA$310</f>
        <v>0</v>
      </c>
      <c r="M310" s="64">
        <f ca="1">$J$310-EFEITO!$K$310*EFEITO!$Y$310</f>
        <v>172756.45913443615</v>
      </c>
      <c r="N310" s="64">
        <f>$K$310-EFEITO!$M$310*EFEITO!$Z$310</f>
        <v>0</v>
      </c>
      <c r="O310" s="64">
        <f>$L$310-EFEITO!$O$310*EFEITO!$AA$310</f>
        <v>0</v>
      </c>
      <c r="P310" s="19"/>
      <c r="Q310" s="19"/>
      <c r="R310" s="19"/>
      <c r="S310" s="19"/>
      <c r="T310" s="19"/>
      <c r="U310" s="19"/>
      <c r="V310" s="19"/>
      <c r="W310" s="19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55" t="s">
        <v>21</v>
      </c>
      <c r="B311" s="55" t="s">
        <v>39</v>
      </c>
      <c r="C311" s="55" t="s">
        <v>66</v>
      </c>
      <c r="D311" s="55" t="s">
        <v>25</v>
      </c>
      <c r="E311" s="55" t="s">
        <v>25</v>
      </c>
      <c r="F311" s="55" t="s">
        <v>25</v>
      </c>
      <c r="G311" s="55" t="s">
        <v>67</v>
      </c>
      <c r="H311" s="55" t="s">
        <v>25</v>
      </c>
      <c r="I311" s="63">
        <v>44682</v>
      </c>
      <c r="J311" s="64">
        <f ca="1">EFEITO!$J$311*EFEITO!$Y$311</f>
        <v>44788.711627446406</v>
      </c>
      <c r="K311" s="64">
        <f>EFEITO!$L$311*EFEITO!$Z$311</f>
        <v>0</v>
      </c>
      <c r="L311" s="64">
        <f>EFEITO!$N$311*EFEITO!$AA$311</f>
        <v>0</v>
      </c>
      <c r="M311" s="64">
        <f ca="1">$J$311-EFEITO!$K$311*EFEITO!$Y$311</f>
        <v>0</v>
      </c>
      <c r="N311" s="64">
        <f>$K$311-EFEITO!$M$311*EFEITO!$Z$311</f>
        <v>0</v>
      </c>
      <c r="O311" s="64">
        <f>$L$311-EFEITO!$O$311*EFEITO!$AA$311</f>
        <v>0</v>
      </c>
      <c r="P311" s="19"/>
      <c r="Q311" s="19"/>
      <c r="R311" s="19"/>
      <c r="S311" s="19"/>
      <c r="T311" s="19"/>
      <c r="U311" s="19"/>
      <c r="V311" s="19"/>
      <c r="W311" s="19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55" t="s">
        <v>21</v>
      </c>
      <c r="B312" s="55" t="s">
        <v>39</v>
      </c>
      <c r="C312" s="55" t="s">
        <v>66</v>
      </c>
      <c r="D312" s="55" t="s">
        <v>25</v>
      </c>
      <c r="E312" s="55" t="s">
        <v>25</v>
      </c>
      <c r="F312" s="55" t="s">
        <v>25</v>
      </c>
      <c r="G312" s="55" t="s">
        <v>69</v>
      </c>
      <c r="H312" s="55" t="s">
        <v>25</v>
      </c>
      <c r="I312" s="63">
        <v>44682</v>
      </c>
      <c r="J312" s="64">
        <f ca="1">EFEITO!$J$312*EFEITO!$Y$312</f>
        <v>38390.324252096922</v>
      </c>
      <c r="K312" s="64">
        <f>EFEITO!$L$312*EFEITO!$Z$312</f>
        <v>0</v>
      </c>
      <c r="L312" s="64">
        <f>EFEITO!$N$312*EFEITO!$AA$312</f>
        <v>0</v>
      </c>
      <c r="M312" s="64">
        <f ca="1">$J$312-EFEITO!$K$312*EFEITO!$Y$312</f>
        <v>19195.162126048461</v>
      </c>
      <c r="N312" s="64">
        <f>$K$312-EFEITO!$M$312*EFEITO!$Z$312</f>
        <v>0</v>
      </c>
      <c r="O312" s="64">
        <f>$L$312-EFEITO!$O$312*EFEITO!$AA$312</f>
        <v>0</v>
      </c>
      <c r="P312" s="19"/>
      <c r="Q312" s="19"/>
      <c r="R312" s="19"/>
      <c r="S312" s="19"/>
      <c r="T312" s="19"/>
      <c r="U312" s="19"/>
      <c r="V312" s="19"/>
      <c r="W312" s="19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55" t="s">
        <v>21</v>
      </c>
      <c r="B313" s="55" t="s">
        <v>39</v>
      </c>
      <c r="C313" s="55" t="s">
        <v>66</v>
      </c>
      <c r="D313" s="55" t="s">
        <v>25</v>
      </c>
      <c r="E313" s="55" t="s">
        <v>25</v>
      </c>
      <c r="F313" s="55" t="s">
        <v>25</v>
      </c>
      <c r="G313" s="55" t="s">
        <v>70</v>
      </c>
      <c r="H313" s="55" t="s">
        <v>25</v>
      </c>
      <c r="I313" s="63">
        <v>44682</v>
      </c>
      <c r="J313" s="64">
        <f ca="1">EFEITO!$J$313*EFEITO!$Y$313</f>
        <v>140764.52225768872</v>
      </c>
      <c r="K313" s="64">
        <f>EFEITO!$L$313*EFEITO!$Z$313</f>
        <v>0</v>
      </c>
      <c r="L313" s="64">
        <f>EFEITO!$N$313*EFEITO!$AA$313</f>
        <v>0</v>
      </c>
      <c r="M313" s="64">
        <f ca="1">$J$313-EFEITO!$K$313*EFEITO!$Y$313</f>
        <v>70382.261128844359</v>
      </c>
      <c r="N313" s="64">
        <f>$K$313-EFEITO!$M$313*EFEITO!$Z$313</f>
        <v>0</v>
      </c>
      <c r="O313" s="64">
        <f>$L$313-EFEITO!$O$313*EFEITO!$AA$313</f>
        <v>0</v>
      </c>
      <c r="P313" s="19"/>
      <c r="Q313" s="19"/>
      <c r="R313" s="19"/>
      <c r="S313" s="19"/>
      <c r="T313" s="19"/>
      <c r="U313" s="19"/>
      <c r="V313" s="19"/>
      <c r="W313" s="19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55" t="s">
        <v>21</v>
      </c>
      <c r="B314" s="55" t="s">
        <v>39</v>
      </c>
      <c r="C314" s="55" t="s">
        <v>66</v>
      </c>
      <c r="D314" s="55" t="s">
        <v>25</v>
      </c>
      <c r="E314" s="55" t="s">
        <v>25</v>
      </c>
      <c r="F314" s="55" t="s">
        <v>25</v>
      </c>
      <c r="G314" s="55" t="s">
        <v>71</v>
      </c>
      <c r="H314" s="55" t="s">
        <v>25</v>
      </c>
      <c r="I314" s="63">
        <v>44682</v>
      </c>
      <c r="J314" s="64">
        <f ca="1">EFEITO!$J$314*EFEITO!$Y$314</f>
        <v>128607.58624452469</v>
      </c>
      <c r="K314" s="64">
        <f>EFEITO!$L$314*EFEITO!$Z$314</f>
        <v>0</v>
      </c>
      <c r="L314" s="64">
        <f>EFEITO!$N$314*EFEITO!$AA$314</f>
        <v>0</v>
      </c>
      <c r="M314" s="64">
        <f ca="1">$J$314-EFEITO!$K$314*EFEITO!$Y$314</f>
        <v>64303.793122262345</v>
      </c>
      <c r="N314" s="64">
        <f>$K$314-EFEITO!$M$314*EFEITO!$Z$314</f>
        <v>0</v>
      </c>
      <c r="O314" s="64">
        <f>$L$314-EFEITO!$O$314*EFEITO!$AA$314</f>
        <v>0</v>
      </c>
      <c r="P314" s="19"/>
      <c r="Q314" s="19"/>
      <c r="R314" s="19"/>
      <c r="S314" s="19"/>
      <c r="T314" s="19"/>
      <c r="U314" s="19"/>
      <c r="V314" s="19"/>
      <c r="W314" s="19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55" t="s">
        <v>21</v>
      </c>
      <c r="B315" s="55" t="s">
        <v>39</v>
      </c>
      <c r="C315" s="55" t="s">
        <v>66</v>
      </c>
      <c r="D315" s="55" t="s">
        <v>25</v>
      </c>
      <c r="E315" s="55" t="s">
        <v>25</v>
      </c>
      <c r="F315" s="55" t="s">
        <v>25</v>
      </c>
      <c r="G315" s="55" t="s">
        <v>73</v>
      </c>
      <c r="H315" s="55" t="s">
        <v>25</v>
      </c>
      <c r="I315" s="63">
        <v>44682</v>
      </c>
      <c r="J315" s="64">
        <f ca="1">EFEITO!$J$315*EFEITO!$Y$315</f>
        <v>568816.63766856946</v>
      </c>
      <c r="K315" s="64">
        <f>EFEITO!$L$315*EFEITO!$Z$315</f>
        <v>0</v>
      </c>
      <c r="L315" s="64">
        <f>EFEITO!$N$315*EFEITO!$AA$315</f>
        <v>0</v>
      </c>
      <c r="M315" s="64">
        <f ca="1">$J$315-EFEITO!$K$315*EFEITO!$Y$315</f>
        <v>284408.31883428473</v>
      </c>
      <c r="N315" s="64">
        <f>$K$315-EFEITO!$M$315*EFEITO!$Z$315</f>
        <v>0</v>
      </c>
      <c r="O315" s="64">
        <f>$L$315-EFEITO!$O$315*EFEITO!$AA$315</f>
        <v>0</v>
      </c>
      <c r="P315" s="19"/>
      <c r="Q315" s="19"/>
      <c r="R315" s="19"/>
      <c r="S315" s="19"/>
      <c r="T315" s="19"/>
      <c r="U315" s="19"/>
      <c r="V315" s="19"/>
      <c r="W315" s="19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55" t="s">
        <v>21</v>
      </c>
      <c r="B316" s="55" t="s">
        <v>39</v>
      </c>
      <c r="C316" s="55" t="s">
        <v>66</v>
      </c>
      <c r="D316" s="55" t="s">
        <v>25</v>
      </c>
      <c r="E316" s="55" t="s">
        <v>25</v>
      </c>
      <c r="F316" s="55" t="s">
        <v>25</v>
      </c>
      <c r="G316" s="55" t="s">
        <v>75</v>
      </c>
      <c r="H316" s="55" t="s">
        <v>25</v>
      </c>
      <c r="I316" s="63">
        <v>44682</v>
      </c>
      <c r="J316" s="64">
        <f ca="1">EFEITO!$J$316*EFEITO!$Y$316</f>
        <v>383903.24252096924</v>
      </c>
      <c r="K316" s="64">
        <f>EFEITO!$L$316*EFEITO!$Z$316</f>
        <v>0</v>
      </c>
      <c r="L316" s="64">
        <f>EFEITO!$N$316*EFEITO!$AA$316</f>
        <v>0</v>
      </c>
      <c r="M316" s="64">
        <f ca="1">$J$316-EFEITO!$K$316*EFEITO!$Y$316</f>
        <v>191951.62126048462</v>
      </c>
      <c r="N316" s="64">
        <f>$K$316-EFEITO!$M$316*EFEITO!$Z$316</f>
        <v>0</v>
      </c>
      <c r="O316" s="64">
        <f>$L$316-EFEITO!$O$316*EFEITO!$AA$316</f>
        <v>0</v>
      </c>
      <c r="P316" s="19"/>
      <c r="Q316" s="19"/>
      <c r="R316" s="19"/>
      <c r="S316" s="19"/>
      <c r="T316" s="19"/>
      <c r="U316" s="19"/>
      <c r="V316" s="19"/>
      <c r="W316" s="19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55" t="s">
        <v>21</v>
      </c>
      <c r="B317" s="55" t="s">
        <v>39</v>
      </c>
      <c r="C317" s="55" t="s">
        <v>66</v>
      </c>
      <c r="D317" s="55" t="s">
        <v>25</v>
      </c>
      <c r="E317" s="55" t="s">
        <v>25</v>
      </c>
      <c r="F317" s="55" t="s">
        <v>25</v>
      </c>
      <c r="G317" s="55" t="s">
        <v>76</v>
      </c>
      <c r="H317" s="55" t="s">
        <v>25</v>
      </c>
      <c r="I317" s="63">
        <v>44682</v>
      </c>
      <c r="J317" s="64">
        <f ca="1">EFEITO!$J$317*EFEITO!$Y$317</f>
        <v>383903.24252096924</v>
      </c>
      <c r="K317" s="64">
        <f>EFEITO!$L$317*EFEITO!$Z$317</f>
        <v>0</v>
      </c>
      <c r="L317" s="64">
        <f>EFEITO!$N$317*EFEITO!$AA$317</f>
        <v>0</v>
      </c>
      <c r="M317" s="64">
        <f ca="1">$J$317-EFEITO!$K$317*EFEITO!$Y$317</f>
        <v>191951.62126048462</v>
      </c>
      <c r="N317" s="64">
        <f>$K$317-EFEITO!$M$317*EFEITO!$Z$317</f>
        <v>0</v>
      </c>
      <c r="O317" s="64">
        <f>$L$317-EFEITO!$O$317*EFEITO!$AA$317</f>
        <v>0</v>
      </c>
      <c r="P317" s="19"/>
      <c r="Q317" s="19"/>
      <c r="R317" s="19"/>
      <c r="S317" s="19"/>
      <c r="T317" s="19"/>
      <c r="U317" s="19"/>
      <c r="V317" s="19"/>
      <c r="W317" s="19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55" t="s">
        <v>21</v>
      </c>
      <c r="B318" s="55" t="s">
        <v>39</v>
      </c>
      <c r="C318" s="55" t="s">
        <v>66</v>
      </c>
      <c r="D318" s="55" t="s">
        <v>25</v>
      </c>
      <c r="E318" s="55" t="s">
        <v>25</v>
      </c>
      <c r="F318" s="55" t="s">
        <v>25</v>
      </c>
      <c r="G318" s="55" t="s">
        <v>77</v>
      </c>
      <c r="H318" s="55" t="s">
        <v>25</v>
      </c>
      <c r="I318" s="63">
        <v>44682</v>
      </c>
      <c r="J318" s="64">
        <f ca="1">EFEITO!$J$318*EFEITO!$Y$318</f>
        <v>383903.24252096924</v>
      </c>
      <c r="K318" s="64">
        <f>EFEITO!$L$318*EFEITO!$Z$318</f>
        <v>0</v>
      </c>
      <c r="L318" s="64">
        <f>EFEITO!$N$318*EFEITO!$AA$318</f>
        <v>0</v>
      </c>
      <c r="M318" s="64">
        <f ca="1">$J$318-EFEITO!$K$318*EFEITO!$Y$318</f>
        <v>191951.62126048462</v>
      </c>
      <c r="N318" s="64">
        <f>$K$318-EFEITO!$M$318*EFEITO!$Z$318</f>
        <v>0</v>
      </c>
      <c r="O318" s="64">
        <f>$L$318-EFEITO!$O$318*EFEITO!$AA$318</f>
        <v>0</v>
      </c>
      <c r="P318" s="19"/>
      <c r="Q318" s="19"/>
      <c r="R318" s="19"/>
      <c r="S318" s="19"/>
      <c r="T318" s="19"/>
      <c r="U318" s="19"/>
      <c r="V318" s="19"/>
      <c r="W318" s="19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55" t="s">
        <v>21</v>
      </c>
      <c r="B319" s="55" t="s">
        <v>39</v>
      </c>
      <c r="C319" s="55" t="s">
        <v>66</v>
      </c>
      <c r="D319" s="55" t="s">
        <v>25</v>
      </c>
      <c r="E319" s="55" t="s">
        <v>25</v>
      </c>
      <c r="F319" s="55" t="s">
        <v>25</v>
      </c>
      <c r="G319" s="55" t="s">
        <v>78</v>
      </c>
      <c r="H319" s="55" t="s">
        <v>25</v>
      </c>
      <c r="I319" s="63">
        <v>44682</v>
      </c>
      <c r="J319" s="64">
        <f ca="1">EFEITO!$J$319*EFEITO!$Y$319</f>
        <v>345512.91826887231</v>
      </c>
      <c r="K319" s="64">
        <f>EFEITO!$L$319*EFEITO!$Z$319</f>
        <v>0</v>
      </c>
      <c r="L319" s="64">
        <f>EFEITO!$N$319*EFEITO!$AA$319</f>
        <v>0</v>
      </c>
      <c r="M319" s="64">
        <f ca="1">$J$319-EFEITO!$K$319*EFEITO!$Y$319</f>
        <v>172756.45913443615</v>
      </c>
      <c r="N319" s="64">
        <f>$K$319-EFEITO!$M$319*EFEITO!$Z$319</f>
        <v>0</v>
      </c>
      <c r="O319" s="64">
        <f>$L$319-EFEITO!$O$319*EFEITO!$AA$319</f>
        <v>0</v>
      </c>
      <c r="P319" s="19"/>
      <c r="Q319" s="19"/>
      <c r="R319" s="19"/>
      <c r="S319" s="19"/>
      <c r="T319" s="19"/>
      <c r="U319" s="19"/>
      <c r="V319" s="19"/>
      <c r="W319" s="19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55" t="s">
        <v>21</v>
      </c>
      <c r="B320" s="55" t="s">
        <v>39</v>
      </c>
      <c r="C320" s="55" t="s">
        <v>66</v>
      </c>
      <c r="D320" s="55" t="s">
        <v>25</v>
      </c>
      <c r="E320" s="55" t="s">
        <v>25</v>
      </c>
      <c r="F320" s="55" t="s">
        <v>25</v>
      </c>
      <c r="G320" s="55" t="s">
        <v>79</v>
      </c>
      <c r="H320" s="55" t="s">
        <v>25</v>
      </c>
      <c r="I320" s="63">
        <v>44682</v>
      </c>
      <c r="J320" s="64">
        <f ca="1">EFEITO!$J$320*EFEITO!$Y$320</f>
        <v>345512.91826887231</v>
      </c>
      <c r="K320" s="64">
        <f>EFEITO!$L$320*EFEITO!$Z$320</f>
        <v>0</v>
      </c>
      <c r="L320" s="64">
        <f>EFEITO!$N$320*EFEITO!$AA$320</f>
        <v>0</v>
      </c>
      <c r="M320" s="64">
        <f ca="1">$J$320-EFEITO!$K$320*EFEITO!$Y$320</f>
        <v>172756.45913443615</v>
      </c>
      <c r="N320" s="64">
        <f>$K$320-EFEITO!$M$320*EFEITO!$Z$320</f>
        <v>0</v>
      </c>
      <c r="O320" s="64">
        <f>$L$320-EFEITO!$O$320*EFEITO!$AA$320</f>
        <v>0</v>
      </c>
      <c r="P320" s="19"/>
      <c r="Q320" s="19"/>
      <c r="R320" s="19"/>
      <c r="S320" s="19"/>
      <c r="T320" s="19"/>
      <c r="U320" s="19"/>
      <c r="V320" s="19"/>
      <c r="W320" s="19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55" t="s">
        <v>21</v>
      </c>
      <c r="B321" s="55" t="s">
        <v>39</v>
      </c>
      <c r="C321" s="55" t="s">
        <v>66</v>
      </c>
      <c r="D321" s="55" t="s">
        <v>25</v>
      </c>
      <c r="E321" s="55" t="s">
        <v>25</v>
      </c>
      <c r="F321" s="55" t="s">
        <v>25</v>
      </c>
      <c r="G321" s="55" t="s">
        <v>67</v>
      </c>
      <c r="H321" s="55" t="s">
        <v>25</v>
      </c>
      <c r="I321" s="63">
        <v>44713</v>
      </c>
      <c r="J321" s="64">
        <f ca="1">EFEITO!$J$321*EFEITO!$Y$321</f>
        <v>44788.711627446406</v>
      </c>
      <c r="K321" s="64">
        <f>EFEITO!$L$321*EFEITO!$Z$321</f>
        <v>0</v>
      </c>
      <c r="L321" s="64">
        <f>EFEITO!$N$321*EFEITO!$AA$321</f>
        <v>0</v>
      </c>
      <c r="M321" s="64">
        <f ca="1">$J$321-EFEITO!$K$321*EFEITO!$Y$321</f>
        <v>0</v>
      </c>
      <c r="N321" s="64">
        <f>$K$321-EFEITO!$M$321*EFEITO!$Z$321</f>
        <v>0</v>
      </c>
      <c r="O321" s="64">
        <f>$L$321-EFEITO!$O$321*EFEITO!$AA$321</f>
        <v>0</v>
      </c>
      <c r="P321" s="19"/>
      <c r="Q321" s="19"/>
      <c r="R321" s="19"/>
      <c r="S321" s="19"/>
      <c r="T321" s="19"/>
      <c r="U321" s="19"/>
      <c r="V321" s="19"/>
      <c r="W321" s="19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55" t="s">
        <v>21</v>
      </c>
      <c r="B322" s="55" t="s">
        <v>39</v>
      </c>
      <c r="C322" s="55" t="s">
        <v>66</v>
      </c>
      <c r="D322" s="55" t="s">
        <v>25</v>
      </c>
      <c r="E322" s="55" t="s">
        <v>25</v>
      </c>
      <c r="F322" s="55" t="s">
        <v>25</v>
      </c>
      <c r="G322" s="55" t="s">
        <v>69</v>
      </c>
      <c r="H322" s="55" t="s">
        <v>25</v>
      </c>
      <c r="I322" s="63">
        <v>44713</v>
      </c>
      <c r="J322" s="64">
        <f ca="1">EFEITO!$J$322*EFEITO!$Y$322</f>
        <v>38390.324252096922</v>
      </c>
      <c r="K322" s="64">
        <f>EFEITO!$L$322*EFEITO!$Z$322</f>
        <v>0</v>
      </c>
      <c r="L322" s="64">
        <f>EFEITO!$N$322*EFEITO!$AA$322</f>
        <v>0</v>
      </c>
      <c r="M322" s="64">
        <f ca="1">$J$322-EFEITO!$K$322*EFEITO!$Y$322</f>
        <v>19195.162126048461</v>
      </c>
      <c r="N322" s="64">
        <f>$K$322-EFEITO!$M$322*EFEITO!$Z$322</f>
        <v>0</v>
      </c>
      <c r="O322" s="64">
        <f>$L$322-EFEITO!$O$322*EFEITO!$AA$322</f>
        <v>0</v>
      </c>
      <c r="P322" s="19"/>
      <c r="Q322" s="19"/>
      <c r="R322" s="19"/>
      <c r="S322" s="19"/>
      <c r="T322" s="19"/>
      <c r="U322" s="19"/>
      <c r="V322" s="19"/>
      <c r="W322" s="19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55" t="s">
        <v>21</v>
      </c>
      <c r="B323" s="55" t="s">
        <v>39</v>
      </c>
      <c r="C323" s="55" t="s">
        <v>66</v>
      </c>
      <c r="D323" s="55" t="s">
        <v>25</v>
      </c>
      <c r="E323" s="55" t="s">
        <v>25</v>
      </c>
      <c r="F323" s="55" t="s">
        <v>25</v>
      </c>
      <c r="G323" s="55" t="s">
        <v>70</v>
      </c>
      <c r="H323" s="55" t="s">
        <v>25</v>
      </c>
      <c r="I323" s="63">
        <v>44713</v>
      </c>
      <c r="J323" s="64">
        <f ca="1">EFEITO!$J$323*EFEITO!$Y$323</f>
        <v>140764.52225768872</v>
      </c>
      <c r="K323" s="64">
        <f>EFEITO!$L$323*EFEITO!$Z$323</f>
        <v>0</v>
      </c>
      <c r="L323" s="64">
        <f>EFEITO!$N$323*EFEITO!$AA$323</f>
        <v>0</v>
      </c>
      <c r="M323" s="64">
        <f ca="1">$J$323-EFEITO!$K$323*EFEITO!$Y$323</f>
        <v>70382.261128844359</v>
      </c>
      <c r="N323" s="64">
        <f>$K$323-EFEITO!$M$323*EFEITO!$Z$323</f>
        <v>0</v>
      </c>
      <c r="O323" s="64">
        <f>$L$323-EFEITO!$O$323*EFEITO!$AA$323</f>
        <v>0</v>
      </c>
      <c r="P323" s="19"/>
      <c r="Q323" s="19"/>
      <c r="R323" s="19"/>
      <c r="S323" s="19"/>
      <c r="T323" s="19"/>
      <c r="U323" s="19"/>
      <c r="V323" s="19"/>
      <c r="W323" s="19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55" t="s">
        <v>21</v>
      </c>
      <c r="B324" s="55" t="s">
        <v>39</v>
      </c>
      <c r="C324" s="55" t="s">
        <v>66</v>
      </c>
      <c r="D324" s="55" t="s">
        <v>25</v>
      </c>
      <c r="E324" s="55" t="s">
        <v>25</v>
      </c>
      <c r="F324" s="55" t="s">
        <v>25</v>
      </c>
      <c r="G324" s="55" t="s">
        <v>71</v>
      </c>
      <c r="H324" s="55" t="s">
        <v>25</v>
      </c>
      <c r="I324" s="63">
        <v>44713</v>
      </c>
      <c r="J324" s="64">
        <f ca="1">EFEITO!$J$324*EFEITO!$Y$324</f>
        <v>128607.58624452469</v>
      </c>
      <c r="K324" s="64">
        <f>EFEITO!$L$324*EFEITO!$Z$324</f>
        <v>0</v>
      </c>
      <c r="L324" s="64">
        <f>EFEITO!$N$324*EFEITO!$AA$324</f>
        <v>0</v>
      </c>
      <c r="M324" s="64">
        <f ca="1">$J$324-EFEITO!$K$324*EFEITO!$Y$324</f>
        <v>64303.793122262345</v>
      </c>
      <c r="N324" s="64">
        <f>$K$324-EFEITO!$M$324*EFEITO!$Z$324</f>
        <v>0</v>
      </c>
      <c r="O324" s="64">
        <f>$L$324-EFEITO!$O$324*EFEITO!$AA$324</f>
        <v>0</v>
      </c>
      <c r="P324" s="19"/>
      <c r="Q324" s="19"/>
      <c r="R324" s="19"/>
      <c r="S324" s="19"/>
      <c r="T324" s="19"/>
      <c r="U324" s="19"/>
      <c r="V324" s="19"/>
      <c r="W324" s="19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55" t="s">
        <v>21</v>
      </c>
      <c r="B325" s="55" t="s">
        <v>39</v>
      </c>
      <c r="C325" s="55" t="s">
        <v>66</v>
      </c>
      <c r="D325" s="55" t="s">
        <v>25</v>
      </c>
      <c r="E325" s="55" t="s">
        <v>25</v>
      </c>
      <c r="F325" s="55" t="s">
        <v>25</v>
      </c>
      <c r="G325" s="55" t="s">
        <v>73</v>
      </c>
      <c r="H325" s="55" t="s">
        <v>25</v>
      </c>
      <c r="I325" s="63">
        <v>44713</v>
      </c>
      <c r="J325" s="64">
        <f ca="1">EFEITO!$J$325*EFEITO!$Y$325</f>
        <v>568816.63766856946</v>
      </c>
      <c r="K325" s="64">
        <f>EFEITO!$L$325*EFEITO!$Z$325</f>
        <v>0</v>
      </c>
      <c r="L325" s="64">
        <f>EFEITO!$N$325*EFEITO!$AA$325</f>
        <v>0</v>
      </c>
      <c r="M325" s="64">
        <f ca="1">$J$325-EFEITO!$K$325*EFEITO!$Y$325</f>
        <v>284408.31883428473</v>
      </c>
      <c r="N325" s="64">
        <f>$K$325-EFEITO!$M$325*EFEITO!$Z$325</f>
        <v>0</v>
      </c>
      <c r="O325" s="64">
        <f>$L$325-EFEITO!$O$325*EFEITO!$AA$325</f>
        <v>0</v>
      </c>
      <c r="P325" s="19"/>
      <c r="Q325" s="19"/>
      <c r="R325" s="19"/>
      <c r="S325" s="19"/>
      <c r="T325" s="19"/>
      <c r="U325" s="19"/>
      <c r="V325" s="19"/>
      <c r="W325" s="19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55" t="s">
        <v>21</v>
      </c>
      <c r="B326" s="55" t="s">
        <v>39</v>
      </c>
      <c r="C326" s="55" t="s">
        <v>66</v>
      </c>
      <c r="D326" s="55" t="s">
        <v>25</v>
      </c>
      <c r="E326" s="55" t="s">
        <v>25</v>
      </c>
      <c r="F326" s="55" t="s">
        <v>25</v>
      </c>
      <c r="G326" s="55" t="s">
        <v>75</v>
      </c>
      <c r="H326" s="55" t="s">
        <v>25</v>
      </c>
      <c r="I326" s="63">
        <v>44713</v>
      </c>
      <c r="J326" s="64">
        <f ca="1">EFEITO!$J$326*EFEITO!$Y$326</f>
        <v>383903.24252096924</v>
      </c>
      <c r="K326" s="64">
        <f>EFEITO!$L$326*EFEITO!$Z$326</f>
        <v>0</v>
      </c>
      <c r="L326" s="64">
        <f>EFEITO!$N$326*EFEITO!$AA$326</f>
        <v>0</v>
      </c>
      <c r="M326" s="64">
        <f ca="1">$J$326-EFEITO!$K$326*EFEITO!$Y$326</f>
        <v>191951.62126048462</v>
      </c>
      <c r="N326" s="64">
        <f>$K$326-EFEITO!$M$326*EFEITO!$Z$326</f>
        <v>0</v>
      </c>
      <c r="O326" s="64">
        <f>$L$326-EFEITO!$O$326*EFEITO!$AA$326</f>
        <v>0</v>
      </c>
      <c r="P326" s="19"/>
      <c r="Q326" s="19"/>
      <c r="R326" s="19"/>
      <c r="S326" s="19"/>
      <c r="T326" s="19"/>
      <c r="U326" s="19"/>
      <c r="V326" s="19"/>
      <c r="W326" s="19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55" t="s">
        <v>21</v>
      </c>
      <c r="B327" s="55" t="s">
        <v>39</v>
      </c>
      <c r="C327" s="55" t="s">
        <v>66</v>
      </c>
      <c r="D327" s="55" t="s">
        <v>25</v>
      </c>
      <c r="E327" s="55" t="s">
        <v>25</v>
      </c>
      <c r="F327" s="55" t="s">
        <v>25</v>
      </c>
      <c r="G327" s="55" t="s">
        <v>76</v>
      </c>
      <c r="H327" s="55" t="s">
        <v>25</v>
      </c>
      <c r="I327" s="63">
        <v>44713</v>
      </c>
      <c r="J327" s="64">
        <f ca="1">EFEITO!$J$327*EFEITO!$Y$327</f>
        <v>383903.24252096924</v>
      </c>
      <c r="K327" s="64">
        <f>EFEITO!$L$327*EFEITO!$Z$327</f>
        <v>0</v>
      </c>
      <c r="L327" s="64">
        <f>EFEITO!$N$327*EFEITO!$AA$327</f>
        <v>0</v>
      </c>
      <c r="M327" s="64">
        <f ca="1">$J$327-EFEITO!$K$327*EFEITO!$Y$327</f>
        <v>191951.62126048462</v>
      </c>
      <c r="N327" s="64">
        <f>$K$327-EFEITO!$M$327*EFEITO!$Z$327</f>
        <v>0</v>
      </c>
      <c r="O327" s="64">
        <f>$L$327-EFEITO!$O$327*EFEITO!$AA$327</f>
        <v>0</v>
      </c>
      <c r="P327" s="19"/>
      <c r="Q327" s="19"/>
      <c r="R327" s="19"/>
      <c r="S327" s="19"/>
      <c r="T327" s="19"/>
      <c r="U327" s="19"/>
      <c r="V327" s="19"/>
      <c r="W327" s="19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55" t="s">
        <v>21</v>
      </c>
      <c r="B328" s="55" t="s">
        <v>39</v>
      </c>
      <c r="C328" s="55" t="s">
        <v>66</v>
      </c>
      <c r="D328" s="55" t="s">
        <v>25</v>
      </c>
      <c r="E328" s="55" t="s">
        <v>25</v>
      </c>
      <c r="F328" s="55" t="s">
        <v>25</v>
      </c>
      <c r="G328" s="55" t="s">
        <v>77</v>
      </c>
      <c r="H328" s="55" t="s">
        <v>25</v>
      </c>
      <c r="I328" s="63">
        <v>44713</v>
      </c>
      <c r="J328" s="64">
        <f ca="1">EFEITO!$J$328*EFEITO!$Y$328</f>
        <v>383903.24252096924</v>
      </c>
      <c r="K328" s="64">
        <f>EFEITO!$L$328*EFEITO!$Z$328</f>
        <v>0</v>
      </c>
      <c r="L328" s="64">
        <f>EFEITO!$N$328*EFEITO!$AA$328</f>
        <v>0</v>
      </c>
      <c r="M328" s="64">
        <f ca="1">$J$328-EFEITO!$K$328*EFEITO!$Y$328</f>
        <v>191951.62126048462</v>
      </c>
      <c r="N328" s="64">
        <f>$K$328-EFEITO!$M$328*EFEITO!$Z$328</f>
        <v>0</v>
      </c>
      <c r="O328" s="64">
        <f>$L$328-EFEITO!$O$328*EFEITO!$AA$328</f>
        <v>0</v>
      </c>
      <c r="P328" s="19"/>
      <c r="Q328" s="19"/>
      <c r="R328" s="19"/>
      <c r="S328" s="19"/>
      <c r="T328" s="19"/>
      <c r="U328" s="19"/>
      <c r="V328" s="19"/>
      <c r="W328" s="19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55" t="s">
        <v>21</v>
      </c>
      <c r="B329" s="55" t="s">
        <v>39</v>
      </c>
      <c r="C329" s="55" t="s">
        <v>66</v>
      </c>
      <c r="D329" s="55" t="s">
        <v>25</v>
      </c>
      <c r="E329" s="55" t="s">
        <v>25</v>
      </c>
      <c r="F329" s="55" t="s">
        <v>25</v>
      </c>
      <c r="G329" s="55" t="s">
        <v>78</v>
      </c>
      <c r="H329" s="55" t="s">
        <v>25</v>
      </c>
      <c r="I329" s="63">
        <v>44713</v>
      </c>
      <c r="J329" s="64">
        <f ca="1">EFEITO!$J$329*EFEITO!$Y$329</f>
        <v>345512.91826887231</v>
      </c>
      <c r="K329" s="64">
        <f>EFEITO!$L$329*EFEITO!$Z$329</f>
        <v>0</v>
      </c>
      <c r="L329" s="64">
        <f>EFEITO!$N$329*EFEITO!$AA$329</f>
        <v>0</v>
      </c>
      <c r="M329" s="64">
        <f ca="1">$J$329-EFEITO!$K$329*EFEITO!$Y$329</f>
        <v>172756.45913443615</v>
      </c>
      <c r="N329" s="64">
        <f>$K$329-EFEITO!$M$329*EFEITO!$Z$329</f>
        <v>0</v>
      </c>
      <c r="O329" s="64">
        <f>$L$329-EFEITO!$O$329*EFEITO!$AA$329</f>
        <v>0</v>
      </c>
      <c r="P329" s="19"/>
      <c r="Q329" s="19"/>
      <c r="R329" s="19"/>
      <c r="S329" s="19"/>
      <c r="T329" s="19"/>
      <c r="U329" s="19"/>
      <c r="V329" s="19"/>
      <c r="W329" s="19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55" t="s">
        <v>21</v>
      </c>
      <c r="B330" s="55" t="s">
        <v>39</v>
      </c>
      <c r="C330" s="55" t="s">
        <v>66</v>
      </c>
      <c r="D330" s="55" t="s">
        <v>25</v>
      </c>
      <c r="E330" s="55" t="s">
        <v>25</v>
      </c>
      <c r="F330" s="55" t="s">
        <v>25</v>
      </c>
      <c r="G330" s="55" t="s">
        <v>79</v>
      </c>
      <c r="H330" s="55" t="s">
        <v>25</v>
      </c>
      <c r="I330" s="63">
        <v>44713</v>
      </c>
      <c r="J330" s="64">
        <f ca="1">EFEITO!$J$330*EFEITO!$Y$330</f>
        <v>345512.91826887231</v>
      </c>
      <c r="K330" s="64">
        <f>EFEITO!$L$330*EFEITO!$Z$330</f>
        <v>0</v>
      </c>
      <c r="L330" s="64">
        <f>EFEITO!$N$330*EFEITO!$AA$330</f>
        <v>0</v>
      </c>
      <c r="M330" s="64">
        <f ca="1">$J$330-EFEITO!$K$330*EFEITO!$Y$330</f>
        <v>172756.45913443615</v>
      </c>
      <c r="N330" s="64">
        <f>$K$330-EFEITO!$M$330*EFEITO!$Z$330</f>
        <v>0</v>
      </c>
      <c r="O330" s="64">
        <f>$L$330-EFEITO!$O$330*EFEITO!$AA$330</f>
        <v>0</v>
      </c>
      <c r="P330" s="19"/>
      <c r="Q330" s="19"/>
      <c r="R330" s="19"/>
      <c r="S330" s="19"/>
      <c r="T330" s="19"/>
      <c r="U330" s="19"/>
      <c r="V330" s="19"/>
      <c r="W330" s="19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55" t="s">
        <v>57</v>
      </c>
      <c r="B331" s="55" t="s">
        <v>39</v>
      </c>
      <c r="C331" s="55" t="s">
        <v>66</v>
      </c>
      <c r="D331" s="55" t="s">
        <v>25</v>
      </c>
      <c r="E331" s="55" t="s">
        <v>25</v>
      </c>
      <c r="F331" s="55" t="s">
        <v>25</v>
      </c>
      <c r="G331" s="55" t="s">
        <v>67</v>
      </c>
      <c r="H331" s="55" t="s">
        <v>25</v>
      </c>
      <c r="I331" s="63">
        <v>44743</v>
      </c>
      <c r="J331" s="64">
        <f ca="1">EFEITO!$J$331*EFEITO!$Y$331</f>
        <v>44788.711627446406</v>
      </c>
      <c r="K331" s="64">
        <f>EFEITO!$L$331*EFEITO!$Z$331</f>
        <v>0</v>
      </c>
      <c r="L331" s="64">
        <f>EFEITO!$N$331*EFEITO!$AA$331</f>
        <v>0</v>
      </c>
      <c r="M331" s="64">
        <f ca="1">$J$331-EFEITO!$K$331*EFEITO!$Y$331</f>
        <v>0</v>
      </c>
      <c r="N331" s="64">
        <f>$K$331-EFEITO!$M$331*EFEITO!$Z$331</f>
        <v>0</v>
      </c>
      <c r="O331" s="64">
        <f>$L$331-EFEITO!$O$331*EFEITO!$AA$331</f>
        <v>0</v>
      </c>
      <c r="P331" s="19"/>
      <c r="Q331" s="19"/>
      <c r="R331" s="19"/>
      <c r="S331" s="19"/>
      <c r="T331" s="19"/>
      <c r="U331" s="19"/>
      <c r="V331" s="19"/>
      <c r="W331" s="19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55" t="s">
        <v>57</v>
      </c>
      <c r="B332" s="55" t="s">
        <v>39</v>
      </c>
      <c r="C332" s="55" t="s">
        <v>66</v>
      </c>
      <c r="D332" s="55" t="s">
        <v>25</v>
      </c>
      <c r="E332" s="55" t="s">
        <v>25</v>
      </c>
      <c r="F332" s="55" t="s">
        <v>25</v>
      </c>
      <c r="G332" s="55" t="s">
        <v>69</v>
      </c>
      <c r="H332" s="55" t="s">
        <v>25</v>
      </c>
      <c r="I332" s="63">
        <v>44743</v>
      </c>
      <c r="J332" s="64">
        <f ca="1">EFEITO!$J$332*EFEITO!$Y$332</f>
        <v>38390.324252096922</v>
      </c>
      <c r="K332" s="64">
        <f>EFEITO!$L$332*EFEITO!$Z$332</f>
        <v>0</v>
      </c>
      <c r="L332" s="64">
        <f>EFEITO!$N$332*EFEITO!$AA$332</f>
        <v>0</v>
      </c>
      <c r="M332" s="64">
        <f ca="1">$J$332-EFEITO!$K$332*EFEITO!$Y$332</f>
        <v>19195.162126048461</v>
      </c>
      <c r="N332" s="64">
        <f>$K$332-EFEITO!$M$332*EFEITO!$Z$332</f>
        <v>0</v>
      </c>
      <c r="O332" s="64">
        <f>$L$332-EFEITO!$O$332*EFEITO!$AA$332</f>
        <v>0</v>
      </c>
      <c r="P332" s="19"/>
      <c r="Q332" s="19"/>
      <c r="R332" s="19"/>
      <c r="S332" s="19"/>
      <c r="T332" s="19"/>
      <c r="U332" s="19"/>
      <c r="V332" s="19"/>
      <c r="W332" s="19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55" t="s">
        <v>57</v>
      </c>
      <c r="B333" s="55" t="s">
        <v>39</v>
      </c>
      <c r="C333" s="55" t="s">
        <v>66</v>
      </c>
      <c r="D333" s="55" t="s">
        <v>25</v>
      </c>
      <c r="E333" s="55" t="s">
        <v>25</v>
      </c>
      <c r="F333" s="55" t="s">
        <v>25</v>
      </c>
      <c r="G333" s="55" t="s">
        <v>70</v>
      </c>
      <c r="H333" s="55" t="s">
        <v>25</v>
      </c>
      <c r="I333" s="63">
        <v>44743</v>
      </c>
      <c r="J333" s="64">
        <f ca="1">EFEITO!$J$333*EFEITO!$Y$333</f>
        <v>140764.52225768872</v>
      </c>
      <c r="K333" s="64">
        <f>EFEITO!$L$333*EFEITO!$Z$333</f>
        <v>0</v>
      </c>
      <c r="L333" s="64">
        <f>EFEITO!$N$333*EFEITO!$AA$333</f>
        <v>0</v>
      </c>
      <c r="M333" s="64">
        <f ca="1">$J$333-EFEITO!$K$333*EFEITO!$Y$333</f>
        <v>70382.261128844359</v>
      </c>
      <c r="N333" s="64">
        <f>$K$333-EFEITO!$M$333*EFEITO!$Z$333</f>
        <v>0</v>
      </c>
      <c r="O333" s="64">
        <f>$L$333-EFEITO!$O$333*EFEITO!$AA$333</f>
        <v>0</v>
      </c>
      <c r="P333" s="19"/>
      <c r="Q333" s="19"/>
      <c r="R333" s="19"/>
      <c r="S333" s="19"/>
      <c r="T333" s="19"/>
      <c r="U333" s="19"/>
      <c r="V333" s="19"/>
      <c r="W333" s="19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55" t="s">
        <v>57</v>
      </c>
      <c r="B334" s="55" t="s">
        <v>39</v>
      </c>
      <c r="C334" s="55" t="s">
        <v>66</v>
      </c>
      <c r="D334" s="55" t="s">
        <v>25</v>
      </c>
      <c r="E334" s="55" t="s">
        <v>25</v>
      </c>
      <c r="F334" s="55" t="s">
        <v>25</v>
      </c>
      <c r="G334" s="55" t="s">
        <v>71</v>
      </c>
      <c r="H334" s="55" t="s">
        <v>25</v>
      </c>
      <c r="I334" s="63">
        <v>44743</v>
      </c>
      <c r="J334" s="64">
        <f ca="1">EFEITO!$J$334*EFEITO!$Y$334</f>
        <v>128607.58624452469</v>
      </c>
      <c r="K334" s="64">
        <f>EFEITO!$L$334*EFEITO!$Z$334</f>
        <v>0</v>
      </c>
      <c r="L334" s="64">
        <f>EFEITO!$N$334*EFEITO!$AA$334</f>
        <v>0</v>
      </c>
      <c r="M334" s="64">
        <f ca="1">$J$334-EFEITO!$K$334*EFEITO!$Y$334</f>
        <v>64303.793122262345</v>
      </c>
      <c r="N334" s="64">
        <f>$K$334-EFEITO!$M$334*EFEITO!$Z$334</f>
        <v>0</v>
      </c>
      <c r="O334" s="64">
        <f>$L$334-EFEITO!$O$334*EFEITO!$AA$334</f>
        <v>0</v>
      </c>
      <c r="P334" s="19"/>
      <c r="Q334" s="19"/>
      <c r="R334" s="19"/>
      <c r="S334" s="19"/>
      <c r="T334" s="19"/>
      <c r="U334" s="19"/>
      <c r="V334" s="19"/>
      <c r="W334" s="19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55" t="s">
        <v>57</v>
      </c>
      <c r="B335" s="55" t="s">
        <v>39</v>
      </c>
      <c r="C335" s="55" t="s">
        <v>66</v>
      </c>
      <c r="D335" s="55" t="s">
        <v>25</v>
      </c>
      <c r="E335" s="55" t="s">
        <v>25</v>
      </c>
      <c r="F335" s="55" t="s">
        <v>25</v>
      </c>
      <c r="G335" s="55" t="s">
        <v>73</v>
      </c>
      <c r="H335" s="55" t="s">
        <v>25</v>
      </c>
      <c r="I335" s="63">
        <v>44743</v>
      </c>
      <c r="J335" s="64">
        <f ca="1">EFEITO!$J$335*EFEITO!$Y$335</f>
        <v>568816.63766856946</v>
      </c>
      <c r="K335" s="64">
        <f>EFEITO!$L$335*EFEITO!$Z$335</f>
        <v>0</v>
      </c>
      <c r="L335" s="64">
        <f>EFEITO!$N$335*EFEITO!$AA$335</f>
        <v>0</v>
      </c>
      <c r="M335" s="64">
        <f ca="1">$J$335-EFEITO!$K$335*EFEITO!$Y$335</f>
        <v>284408.31883428473</v>
      </c>
      <c r="N335" s="64">
        <f>$K$335-EFEITO!$M$335*EFEITO!$Z$335</f>
        <v>0</v>
      </c>
      <c r="O335" s="64">
        <f>$L$335-EFEITO!$O$335*EFEITO!$AA$335</f>
        <v>0</v>
      </c>
      <c r="P335" s="19"/>
      <c r="Q335" s="19"/>
      <c r="R335" s="19"/>
      <c r="S335" s="19"/>
      <c r="T335" s="19"/>
      <c r="U335" s="19"/>
      <c r="V335" s="19"/>
      <c r="W335" s="19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55" t="s">
        <v>57</v>
      </c>
      <c r="B336" s="55" t="s">
        <v>39</v>
      </c>
      <c r="C336" s="55" t="s">
        <v>66</v>
      </c>
      <c r="D336" s="55" t="s">
        <v>25</v>
      </c>
      <c r="E336" s="55" t="s">
        <v>25</v>
      </c>
      <c r="F336" s="55" t="s">
        <v>25</v>
      </c>
      <c r="G336" s="55" t="s">
        <v>75</v>
      </c>
      <c r="H336" s="55" t="s">
        <v>25</v>
      </c>
      <c r="I336" s="63">
        <v>44743</v>
      </c>
      <c r="J336" s="64">
        <f ca="1">EFEITO!$J$336*EFEITO!$Y$336</f>
        <v>383903.24252096924</v>
      </c>
      <c r="K336" s="64">
        <f>EFEITO!$L$336*EFEITO!$Z$336</f>
        <v>0</v>
      </c>
      <c r="L336" s="64">
        <f>EFEITO!$N$336*EFEITO!$AA$336</f>
        <v>0</v>
      </c>
      <c r="M336" s="64">
        <f ca="1">$J$336-EFEITO!$K$336*EFEITO!$Y$336</f>
        <v>191951.62126048462</v>
      </c>
      <c r="N336" s="64">
        <f>$K$336-EFEITO!$M$336*EFEITO!$Z$336</f>
        <v>0</v>
      </c>
      <c r="O336" s="64">
        <f>$L$336-EFEITO!$O$336*EFEITO!$AA$336</f>
        <v>0</v>
      </c>
      <c r="P336" s="19"/>
      <c r="Q336" s="19"/>
      <c r="R336" s="19"/>
      <c r="S336" s="19"/>
      <c r="T336" s="19"/>
      <c r="U336" s="19"/>
      <c r="V336" s="19"/>
      <c r="W336" s="19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55" t="s">
        <v>57</v>
      </c>
      <c r="B337" s="55" t="s">
        <v>39</v>
      </c>
      <c r="C337" s="55" t="s">
        <v>66</v>
      </c>
      <c r="D337" s="55" t="s">
        <v>25</v>
      </c>
      <c r="E337" s="55" t="s">
        <v>25</v>
      </c>
      <c r="F337" s="55" t="s">
        <v>25</v>
      </c>
      <c r="G337" s="55" t="s">
        <v>76</v>
      </c>
      <c r="H337" s="55" t="s">
        <v>25</v>
      </c>
      <c r="I337" s="63">
        <v>44743</v>
      </c>
      <c r="J337" s="64">
        <f ca="1">EFEITO!$J$337*EFEITO!$Y$337</f>
        <v>383903.24252096924</v>
      </c>
      <c r="K337" s="64">
        <f>EFEITO!$L$337*EFEITO!$Z$337</f>
        <v>0</v>
      </c>
      <c r="L337" s="64">
        <f>EFEITO!$N$337*EFEITO!$AA$337</f>
        <v>0</v>
      </c>
      <c r="M337" s="64">
        <f ca="1">$J$337-EFEITO!$K$337*EFEITO!$Y$337</f>
        <v>191951.62126048462</v>
      </c>
      <c r="N337" s="64">
        <f>$K$337-EFEITO!$M$337*EFEITO!$Z$337</f>
        <v>0</v>
      </c>
      <c r="O337" s="64">
        <f>$L$337-EFEITO!$O$337*EFEITO!$AA$337</f>
        <v>0</v>
      </c>
      <c r="P337" s="19"/>
      <c r="Q337" s="19"/>
      <c r="R337" s="19"/>
      <c r="S337" s="19"/>
      <c r="T337" s="19"/>
      <c r="U337" s="19"/>
      <c r="V337" s="19"/>
      <c r="W337" s="19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55" t="s">
        <v>57</v>
      </c>
      <c r="B338" s="55" t="s">
        <v>39</v>
      </c>
      <c r="C338" s="55" t="s">
        <v>66</v>
      </c>
      <c r="D338" s="55" t="s">
        <v>25</v>
      </c>
      <c r="E338" s="55" t="s">
        <v>25</v>
      </c>
      <c r="F338" s="55" t="s">
        <v>25</v>
      </c>
      <c r="G338" s="55" t="s">
        <v>77</v>
      </c>
      <c r="H338" s="55" t="s">
        <v>25</v>
      </c>
      <c r="I338" s="63">
        <v>44743</v>
      </c>
      <c r="J338" s="64">
        <f ca="1">EFEITO!$J$338*EFEITO!$Y$338</f>
        <v>383903.24252096924</v>
      </c>
      <c r="K338" s="64">
        <f>EFEITO!$L$338*EFEITO!$Z$338</f>
        <v>0</v>
      </c>
      <c r="L338" s="64">
        <f>EFEITO!$N$338*EFEITO!$AA$338</f>
        <v>0</v>
      </c>
      <c r="M338" s="64">
        <f ca="1">$J$338-EFEITO!$K$338*EFEITO!$Y$338</f>
        <v>191951.62126048462</v>
      </c>
      <c r="N338" s="64">
        <f>$K$338-EFEITO!$M$338*EFEITO!$Z$338</f>
        <v>0</v>
      </c>
      <c r="O338" s="64">
        <f>$L$338-EFEITO!$O$338*EFEITO!$AA$338</f>
        <v>0</v>
      </c>
      <c r="P338" s="19"/>
      <c r="Q338" s="19"/>
      <c r="R338" s="19"/>
      <c r="S338" s="19"/>
      <c r="T338" s="19"/>
      <c r="U338" s="19"/>
      <c r="V338" s="19"/>
      <c r="W338" s="19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55" t="s">
        <v>57</v>
      </c>
      <c r="B339" s="55" t="s">
        <v>39</v>
      </c>
      <c r="C339" s="55" t="s">
        <v>66</v>
      </c>
      <c r="D339" s="55" t="s">
        <v>25</v>
      </c>
      <c r="E339" s="55" t="s">
        <v>25</v>
      </c>
      <c r="F339" s="55" t="s">
        <v>25</v>
      </c>
      <c r="G339" s="55" t="s">
        <v>78</v>
      </c>
      <c r="H339" s="55" t="s">
        <v>25</v>
      </c>
      <c r="I339" s="63">
        <v>44743</v>
      </c>
      <c r="J339" s="64">
        <f ca="1">EFEITO!$J$339*EFEITO!$Y$339</f>
        <v>345512.91826887231</v>
      </c>
      <c r="K339" s="64">
        <f>EFEITO!$L$339*EFEITO!$Z$339</f>
        <v>0</v>
      </c>
      <c r="L339" s="64">
        <f>EFEITO!$N$339*EFEITO!$AA$339</f>
        <v>0</v>
      </c>
      <c r="M339" s="64">
        <f ca="1">$J$339-EFEITO!$K$339*EFEITO!$Y$339</f>
        <v>172756.45913443615</v>
      </c>
      <c r="N339" s="64">
        <f>$K$339-EFEITO!$M$339*EFEITO!$Z$339</f>
        <v>0</v>
      </c>
      <c r="O339" s="64">
        <f>$L$339-EFEITO!$O$339*EFEITO!$AA$339</f>
        <v>0</v>
      </c>
      <c r="P339" s="19"/>
      <c r="Q339" s="19"/>
      <c r="R339" s="19"/>
      <c r="S339" s="19"/>
      <c r="T339" s="19"/>
      <c r="U339" s="19"/>
      <c r="V339" s="19"/>
      <c r="W339" s="19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55" t="s">
        <v>57</v>
      </c>
      <c r="B340" s="55" t="s">
        <v>39</v>
      </c>
      <c r="C340" s="55" t="s">
        <v>66</v>
      </c>
      <c r="D340" s="55" t="s">
        <v>25</v>
      </c>
      <c r="E340" s="55" t="s">
        <v>25</v>
      </c>
      <c r="F340" s="55" t="s">
        <v>25</v>
      </c>
      <c r="G340" s="55" t="s">
        <v>79</v>
      </c>
      <c r="H340" s="55" t="s">
        <v>25</v>
      </c>
      <c r="I340" s="63">
        <v>44743</v>
      </c>
      <c r="J340" s="64">
        <f ca="1">EFEITO!$J$340*EFEITO!$Y$340</f>
        <v>345512.91826887231</v>
      </c>
      <c r="K340" s="64">
        <f>EFEITO!$L$340*EFEITO!$Z$340</f>
        <v>0</v>
      </c>
      <c r="L340" s="64">
        <f>EFEITO!$N$340*EFEITO!$AA$340</f>
        <v>0</v>
      </c>
      <c r="M340" s="64">
        <f ca="1">$J$340-EFEITO!$K$340*EFEITO!$Y$340</f>
        <v>172756.45913443615</v>
      </c>
      <c r="N340" s="64">
        <f>$K$340-EFEITO!$M$340*EFEITO!$Z$340</f>
        <v>0</v>
      </c>
      <c r="O340" s="64">
        <f>$L$340-EFEITO!$O$340*EFEITO!$AA$340</f>
        <v>0</v>
      </c>
      <c r="P340" s="19"/>
      <c r="Q340" s="19"/>
      <c r="R340" s="19"/>
      <c r="S340" s="19"/>
      <c r="T340" s="19"/>
      <c r="U340" s="19"/>
      <c r="V340" s="19"/>
      <c r="W340" s="19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55" t="s">
        <v>21</v>
      </c>
      <c r="B341" s="55" t="s">
        <v>41</v>
      </c>
      <c r="C341" s="55" t="s">
        <v>40</v>
      </c>
      <c r="D341" s="55" t="s">
        <v>43</v>
      </c>
      <c r="E341" s="55" t="s">
        <v>25</v>
      </c>
      <c r="F341" s="55" t="s">
        <v>25</v>
      </c>
      <c r="G341" s="55" t="s">
        <v>25</v>
      </c>
      <c r="H341" s="55" t="s">
        <v>35</v>
      </c>
      <c r="I341" s="63">
        <v>44409</v>
      </c>
      <c r="J341" s="64">
        <f ca="1">EFEITO!$J$341*EFEITO!$Y$341</f>
        <v>173711.88588406116</v>
      </c>
      <c r="K341" s="64">
        <f ca="1">EFEITO!$L$341*EFEITO!$Z$341</f>
        <v>176003.4093561749</v>
      </c>
      <c r="L341" s="64">
        <f>EFEITO!$N$341*EFEITO!$AA$341</f>
        <v>523792.91915143467</v>
      </c>
      <c r="M341" s="64">
        <f ca="1">$J$341-EFEITO!$K$341*EFEITO!$Y$341</f>
        <v>0</v>
      </c>
      <c r="N341" s="64">
        <f ca="1">$K$341-EFEITO!$M$341*EFEITO!$Z$341</f>
        <v>0</v>
      </c>
      <c r="O341" s="64">
        <f>$L$341-EFEITO!$O$341*EFEITO!$AA$341</f>
        <v>0</v>
      </c>
      <c r="P341" s="19"/>
      <c r="Q341" s="19"/>
      <c r="R341" s="19"/>
      <c r="S341" s="19"/>
      <c r="T341" s="19"/>
      <c r="U341" s="19"/>
      <c r="V341" s="19"/>
      <c r="W341" s="19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55" t="s">
        <v>28</v>
      </c>
      <c r="B342" s="55" t="s">
        <v>41</v>
      </c>
      <c r="C342" s="55" t="s">
        <v>40</v>
      </c>
      <c r="D342" s="55" t="s">
        <v>43</v>
      </c>
      <c r="E342" s="55" t="s">
        <v>25</v>
      </c>
      <c r="F342" s="55" t="s">
        <v>25</v>
      </c>
      <c r="G342" s="55" t="s">
        <v>25</v>
      </c>
      <c r="H342" s="55" t="s">
        <v>35</v>
      </c>
      <c r="I342" s="63">
        <v>44409</v>
      </c>
      <c r="J342" s="64">
        <f ca="1">EFEITO!$J$342*EFEITO!$Y$342</f>
        <v>3285.0205348725635</v>
      </c>
      <c r="K342" s="64">
        <f ca="1">EFEITO!$L$342*EFEITO!$Z$342</f>
        <v>1183.0173839897827</v>
      </c>
      <c r="L342" s="64">
        <f>EFEITO!$N$342*EFEITO!$AA$342</f>
        <v>3520.7052592539003</v>
      </c>
      <c r="M342" s="64">
        <f ca="1">$J$342-EFEITO!$K$342*EFEITO!$Y$342</f>
        <v>0</v>
      </c>
      <c r="N342" s="64">
        <f ca="1">$K$342-EFEITO!$M$342*EFEITO!$Z$342</f>
        <v>0</v>
      </c>
      <c r="O342" s="64">
        <f>$L$342-EFEITO!$O$342*EFEITO!$AA$342</f>
        <v>0</v>
      </c>
      <c r="P342" s="19"/>
      <c r="Q342" s="19"/>
      <c r="R342" s="19"/>
      <c r="S342" s="19"/>
      <c r="T342" s="19"/>
      <c r="U342" s="19"/>
      <c r="V342" s="19"/>
      <c r="W342" s="19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55" t="s">
        <v>28</v>
      </c>
      <c r="B343" s="55" t="s">
        <v>41</v>
      </c>
      <c r="C343" s="55" t="s">
        <v>40</v>
      </c>
      <c r="D343" s="55" t="s">
        <v>43</v>
      </c>
      <c r="E343" s="55" t="s">
        <v>25</v>
      </c>
      <c r="F343" s="55" t="s">
        <v>25</v>
      </c>
      <c r="G343" s="55" t="s">
        <v>25</v>
      </c>
      <c r="H343" s="55" t="s">
        <v>35</v>
      </c>
      <c r="I343" s="63">
        <v>44409</v>
      </c>
      <c r="J343" s="64">
        <f ca="1">EFEITO!$J$343*EFEITO!$Y$343</f>
        <v>-4204.8262846368816</v>
      </c>
      <c r="K343" s="64">
        <f ca="1">EFEITO!$L$343*EFEITO!$Z$343</f>
        <v>166.81082460049467</v>
      </c>
      <c r="L343" s="64">
        <f>EFEITO!$N$343*EFEITO!$AA$343</f>
        <v>496.43543317239511</v>
      </c>
      <c r="M343" s="64">
        <f ca="1">$J$343-EFEITO!$K$343*EFEITO!$Y$343</f>
        <v>0</v>
      </c>
      <c r="N343" s="64">
        <f ca="1">$K$343-EFEITO!$M$343*EFEITO!$Z$343</f>
        <v>0</v>
      </c>
      <c r="O343" s="64">
        <f>$L$343-EFEITO!$O$343*EFEITO!$AA$343</f>
        <v>0</v>
      </c>
      <c r="P343" s="19"/>
      <c r="Q343" s="19"/>
      <c r="R343" s="19"/>
      <c r="S343" s="19"/>
      <c r="T343" s="19"/>
      <c r="U343" s="19"/>
      <c r="V343" s="19"/>
      <c r="W343" s="19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55" t="s">
        <v>21</v>
      </c>
      <c r="B344" s="55" t="s">
        <v>41</v>
      </c>
      <c r="C344" s="55" t="s">
        <v>40</v>
      </c>
      <c r="D344" s="55" t="s">
        <v>43</v>
      </c>
      <c r="E344" s="55" t="s">
        <v>25</v>
      </c>
      <c r="F344" s="55" t="s">
        <v>25</v>
      </c>
      <c r="G344" s="55" t="s">
        <v>25</v>
      </c>
      <c r="H344" s="55" t="s">
        <v>35</v>
      </c>
      <c r="I344" s="63">
        <v>44409</v>
      </c>
      <c r="J344" s="64">
        <f ca="1">EFEITO!$J$344*EFEITO!$Y$344</f>
        <v>1839.6114995286355</v>
      </c>
      <c r="K344" s="64">
        <f ca="1">EFEITO!$L$344*EFEITO!$Z$344</f>
        <v>0</v>
      </c>
      <c r="L344" s="64">
        <f>EFEITO!$N$344*EFEITO!$AA$344</f>
        <v>0</v>
      </c>
      <c r="M344" s="64">
        <f ca="1">$J$344-EFEITO!$K$344*EFEITO!$Y$344</f>
        <v>0</v>
      </c>
      <c r="N344" s="64">
        <f ca="1">$K$344-EFEITO!$M$344*EFEITO!$Z$344</f>
        <v>0</v>
      </c>
      <c r="O344" s="64">
        <f>$L$344-EFEITO!$O$344*EFEITO!$AA$344</f>
        <v>0</v>
      </c>
      <c r="P344" s="19"/>
      <c r="Q344" s="19"/>
      <c r="R344" s="19"/>
      <c r="S344" s="19"/>
      <c r="T344" s="19"/>
      <c r="U344" s="19"/>
      <c r="V344" s="19"/>
      <c r="W344" s="19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55" t="s">
        <v>21</v>
      </c>
      <c r="B345" s="55" t="s">
        <v>41</v>
      </c>
      <c r="C345" s="55" t="s">
        <v>40</v>
      </c>
      <c r="D345" s="55" t="s">
        <v>43</v>
      </c>
      <c r="E345" s="55" t="s">
        <v>25</v>
      </c>
      <c r="F345" s="55" t="s">
        <v>25</v>
      </c>
      <c r="G345" s="55" t="s">
        <v>25</v>
      </c>
      <c r="H345" s="55" t="s">
        <v>35</v>
      </c>
      <c r="I345" s="63">
        <v>44440</v>
      </c>
      <c r="J345" s="64">
        <f ca="1">EFEITO!$J$345*EFEITO!$Y$345</f>
        <v>178941.63857557828</v>
      </c>
      <c r="K345" s="64">
        <f ca="1">EFEITO!$L$345*EFEITO!$Z$345</f>
        <v>182334.12156598974</v>
      </c>
      <c r="L345" s="64">
        <f>EFEITO!$N$345*EFEITO!$AA$345</f>
        <v>542633.36230430601</v>
      </c>
      <c r="M345" s="64">
        <f ca="1">$J$345-EFEITO!$K$345*EFEITO!$Y$345</f>
        <v>0</v>
      </c>
      <c r="N345" s="64">
        <f ca="1">$K$345-EFEITO!$M$345*EFEITO!$Z$345</f>
        <v>0</v>
      </c>
      <c r="O345" s="64">
        <f>$L$345-EFEITO!$O$345*EFEITO!$AA$345</f>
        <v>0</v>
      </c>
      <c r="P345" s="19"/>
      <c r="Q345" s="19"/>
      <c r="R345" s="19"/>
      <c r="S345" s="19"/>
      <c r="T345" s="19"/>
      <c r="U345" s="19"/>
      <c r="V345" s="19"/>
      <c r="W345" s="19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55" t="s">
        <v>28</v>
      </c>
      <c r="B346" s="55" t="s">
        <v>41</v>
      </c>
      <c r="C346" s="55" t="s">
        <v>40</v>
      </c>
      <c r="D346" s="55" t="s">
        <v>43</v>
      </c>
      <c r="E346" s="55" t="s">
        <v>25</v>
      </c>
      <c r="F346" s="55" t="s">
        <v>25</v>
      </c>
      <c r="G346" s="55" t="s">
        <v>25</v>
      </c>
      <c r="H346" s="55" t="s">
        <v>35</v>
      </c>
      <c r="I346" s="63">
        <v>44440</v>
      </c>
      <c r="J346" s="64">
        <f ca="1">EFEITO!$J$346*EFEITO!$Y$346</f>
        <v>3285.0205348725635</v>
      </c>
      <c r="K346" s="64">
        <f ca="1">EFEITO!$L$346*EFEITO!$Z$346</f>
        <v>1133.4881195425771</v>
      </c>
      <c r="L346" s="64">
        <f>EFEITO!$N$346*EFEITO!$AA$346</f>
        <v>3373.3042622895478</v>
      </c>
      <c r="M346" s="64">
        <f ca="1">$J$346-EFEITO!$K$346*EFEITO!$Y$346</f>
        <v>0</v>
      </c>
      <c r="N346" s="64">
        <f ca="1">$K$346-EFEITO!$M$346*EFEITO!$Z$346</f>
        <v>0</v>
      </c>
      <c r="O346" s="64">
        <f>$L$346-EFEITO!$O$346*EFEITO!$AA$346</f>
        <v>0</v>
      </c>
      <c r="P346" s="19"/>
      <c r="Q346" s="19"/>
      <c r="R346" s="19"/>
      <c r="S346" s="19"/>
      <c r="T346" s="19"/>
      <c r="U346" s="19"/>
      <c r="V346" s="19"/>
      <c r="W346" s="19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55" t="s">
        <v>21</v>
      </c>
      <c r="B347" s="55" t="s">
        <v>41</v>
      </c>
      <c r="C347" s="55" t="s">
        <v>40</v>
      </c>
      <c r="D347" s="55" t="s">
        <v>43</v>
      </c>
      <c r="E347" s="55" t="s">
        <v>25</v>
      </c>
      <c r="F347" s="55" t="s">
        <v>25</v>
      </c>
      <c r="G347" s="55" t="s">
        <v>25</v>
      </c>
      <c r="H347" s="55" t="s">
        <v>35</v>
      </c>
      <c r="I347" s="63">
        <v>44470</v>
      </c>
      <c r="J347" s="64">
        <f ca="1">EFEITO!$J$347*EFEITO!$Y$347</f>
        <v>173265.12309131847</v>
      </c>
      <c r="K347" s="64">
        <f ca="1">EFEITO!$L$347*EFEITO!$Z$347</f>
        <v>186644.72509693584</v>
      </c>
      <c r="L347" s="64">
        <f>EFEITO!$N$347*EFEITO!$AA$347</f>
        <v>555461.88429168146</v>
      </c>
      <c r="M347" s="64">
        <f ca="1">$J$347-EFEITO!$K$347*EFEITO!$Y$347</f>
        <v>0</v>
      </c>
      <c r="N347" s="64">
        <f ca="1">$K$347-EFEITO!$M$347*EFEITO!$Z$347</f>
        <v>0</v>
      </c>
      <c r="O347" s="64">
        <f>$L$347-EFEITO!$O$347*EFEITO!$AA$347</f>
        <v>0</v>
      </c>
      <c r="P347" s="19"/>
      <c r="Q347" s="19"/>
      <c r="R347" s="19"/>
      <c r="S347" s="19"/>
      <c r="T347" s="19"/>
      <c r="U347" s="19"/>
      <c r="V347" s="19"/>
      <c r="W347" s="19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55" t="s">
        <v>28</v>
      </c>
      <c r="B348" s="55" t="s">
        <v>41</v>
      </c>
      <c r="C348" s="55" t="s">
        <v>40</v>
      </c>
      <c r="D348" s="55" t="s">
        <v>43</v>
      </c>
      <c r="E348" s="55" t="s">
        <v>25</v>
      </c>
      <c r="F348" s="55" t="s">
        <v>25</v>
      </c>
      <c r="G348" s="55" t="s">
        <v>25</v>
      </c>
      <c r="H348" s="55" t="s">
        <v>35</v>
      </c>
      <c r="I348" s="63">
        <v>44470</v>
      </c>
      <c r="J348" s="64">
        <f ca="1">EFEITO!$J$348*EFEITO!$Y$348</f>
        <v>4073.4254632419788</v>
      </c>
      <c r="K348" s="64">
        <f ca="1">EFEITO!$L$348*EFEITO!$Z$348</f>
        <v>1791.6977785170782</v>
      </c>
      <c r="L348" s="64">
        <f>EFEITO!$N$348*EFEITO!$AA$348</f>
        <v>5332.1615364133031</v>
      </c>
      <c r="M348" s="64">
        <f ca="1">$J$348-EFEITO!$K$348*EFEITO!$Y$348</f>
        <v>0</v>
      </c>
      <c r="N348" s="64">
        <f ca="1">$K$348-EFEITO!$M$348*EFEITO!$Z$348</f>
        <v>0</v>
      </c>
      <c r="O348" s="64">
        <f>$L$348-EFEITO!$O$348*EFEITO!$AA$348</f>
        <v>0</v>
      </c>
      <c r="P348" s="19"/>
      <c r="Q348" s="19"/>
      <c r="R348" s="19"/>
      <c r="S348" s="19"/>
      <c r="T348" s="19"/>
      <c r="U348" s="19"/>
      <c r="V348" s="19"/>
      <c r="W348" s="19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55" t="s">
        <v>21</v>
      </c>
      <c r="B349" s="55" t="s">
        <v>41</v>
      </c>
      <c r="C349" s="55" t="s">
        <v>40</v>
      </c>
      <c r="D349" s="55" t="s">
        <v>43</v>
      </c>
      <c r="E349" s="55" t="s">
        <v>25</v>
      </c>
      <c r="F349" s="55" t="s">
        <v>25</v>
      </c>
      <c r="G349" s="55" t="s">
        <v>25</v>
      </c>
      <c r="H349" s="55" t="s">
        <v>35</v>
      </c>
      <c r="I349" s="63">
        <v>44501</v>
      </c>
      <c r="J349" s="64">
        <f ca="1">EFEITO!$J$349*EFEITO!$Y$349</f>
        <v>187193.61015917815</v>
      </c>
      <c r="K349" s="64">
        <f ca="1">EFEITO!$L$349*EFEITO!$Z$349</f>
        <v>192017.40427022631</v>
      </c>
      <c r="L349" s="64">
        <f>EFEITO!$N$349*EFEITO!$AA$349</f>
        <v>571451.18426113226</v>
      </c>
      <c r="M349" s="64">
        <f ca="1">$J$349-EFEITO!$K$349*EFEITO!$Y$349</f>
        <v>0</v>
      </c>
      <c r="N349" s="64">
        <f ca="1">$K$349-EFEITO!$M$349*EFEITO!$Z$349</f>
        <v>0</v>
      </c>
      <c r="O349" s="64">
        <f>$L$349-EFEITO!$O$349*EFEITO!$AA$349</f>
        <v>0</v>
      </c>
      <c r="P349" s="19"/>
      <c r="Q349" s="19"/>
      <c r="R349" s="19"/>
      <c r="S349" s="19"/>
      <c r="T349" s="19"/>
      <c r="U349" s="19"/>
      <c r="V349" s="19"/>
      <c r="W349" s="19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55" t="s">
        <v>27</v>
      </c>
      <c r="B350" s="55" t="s">
        <v>41</v>
      </c>
      <c r="C350" s="55" t="s">
        <v>40</v>
      </c>
      <c r="D350" s="55" t="s">
        <v>43</v>
      </c>
      <c r="E350" s="55" t="s">
        <v>25</v>
      </c>
      <c r="F350" s="55" t="s">
        <v>25</v>
      </c>
      <c r="G350" s="55" t="s">
        <v>25</v>
      </c>
      <c r="H350" s="55" t="s">
        <v>35</v>
      </c>
      <c r="I350" s="63">
        <v>44501</v>
      </c>
      <c r="J350" s="64">
        <f ca="1">EFEITO!$J$350*EFEITO!$Y$350</f>
        <v>788.40492836941519</v>
      </c>
      <c r="K350" s="64">
        <f ca="1">EFEITO!$L$350*EFEITO!$Z$350</f>
        <v>0</v>
      </c>
      <c r="L350" s="64">
        <f>EFEITO!$N$350*EFEITO!$AA$350</f>
        <v>0</v>
      </c>
      <c r="M350" s="64">
        <f ca="1">$J$350-EFEITO!$K$350*EFEITO!$Y$350</f>
        <v>0</v>
      </c>
      <c r="N350" s="64">
        <f ca="1">$K$350-EFEITO!$M$350*EFEITO!$Z$350</f>
        <v>0</v>
      </c>
      <c r="O350" s="64">
        <f>$L$350-EFEITO!$O$350*EFEITO!$AA$350</f>
        <v>0</v>
      </c>
      <c r="P350" s="19"/>
      <c r="Q350" s="19"/>
      <c r="R350" s="19"/>
      <c r="S350" s="19"/>
      <c r="T350" s="19"/>
      <c r="U350" s="19"/>
      <c r="V350" s="19"/>
      <c r="W350" s="19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55" t="s">
        <v>28</v>
      </c>
      <c r="B351" s="55" t="s">
        <v>41</v>
      </c>
      <c r="C351" s="55" t="s">
        <v>40</v>
      </c>
      <c r="D351" s="55" t="s">
        <v>43</v>
      </c>
      <c r="E351" s="55" t="s">
        <v>25</v>
      </c>
      <c r="F351" s="55" t="s">
        <v>25</v>
      </c>
      <c r="G351" s="55" t="s">
        <v>25</v>
      </c>
      <c r="H351" s="55" t="s">
        <v>35</v>
      </c>
      <c r="I351" s="63">
        <v>44501</v>
      </c>
      <c r="J351" s="64">
        <f ca="1">EFEITO!$J$351*EFEITO!$Y$351</f>
        <v>4073.4254632419788</v>
      </c>
      <c r="K351" s="64">
        <f ca="1">EFEITO!$L$351*EFEITO!$Z$351</f>
        <v>2866.4672417810493</v>
      </c>
      <c r="L351" s="64">
        <f>EFEITO!$N$351*EFEITO!$AA$351</f>
        <v>8530.7168180249864</v>
      </c>
      <c r="M351" s="64">
        <f ca="1">$J$351-EFEITO!$K$351*EFEITO!$Y$351</f>
        <v>0</v>
      </c>
      <c r="N351" s="64">
        <f ca="1">$K$351-EFEITO!$M$351*EFEITO!$Z$351</f>
        <v>0</v>
      </c>
      <c r="O351" s="64">
        <f>$L$351-EFEITO!$O$351*EFEITO!$AA$351</f>
        <v>0</v>
      </c>
      <c r="P351" s="19"/>
      <c r="Q351" s="19"/>
      <c r="R351" s="19"/>
      <c r="S351" s="19"/>
      <c r="T351" s="19"/>
      <c r="U351" s="19"/>
      <c r="V351" s="19"/>
      <c r="W351" s="19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55" t="s">
        <v>21</v>
      </c>
      <c r="B352" s="55" t="s">
        <v>41</v>
      </c>
      <c r="C352" s="55" t="s">
        <v>40</v>
      </c>
      <c r="D352" s="55" t="s">
        <v>43</v>
      </c>
      <c r="E352" s="55" t="s">
        <v>25</v>
      </c>
      <c r="F352" s="55" t="s">
        <v>25</v>
      </c>
      <c r="G352" s="55" t="s">
        <v>25</v>
      </c>
      <c r="H352" s="55" t="s">
        <v>35</v>
      </c>
      <c r="I352" s="63">
        <v>44531</v>
      </c>
      <c r="J352" s="64">
        <f ca="1">EFEITO!$J$352*EFEITO!$Y$352</f>
        <v>193947.61237887613</v>
      </c>
      <c r="K352" s="64">
        <f ca="1">EFEITO!$L$352*EFEITO!$Z$352</f>
        <v>206265.55630481167</v>
      </c>
      <c r="L352" s="64">
        <f>EFEITO!$N$352*EFEITO!$AA$352</f>
        <v>613854.23300893256</v>
      </c>
      <c r="M352" s="64">
        <f ca="1">$J$352-EFEITO!$K$352*EFEITO!$Y$352</f>
        <v>0</v>
      </c>
      <c r="N352" s="64">
        <f ca="1">$K$352-EFEITO!$M$352*EFEITO!$Z$352</f>
        <v>0</v>
      </c>
      <c r="O352" s="64">
        <f>$L$352-EFEITO!$O$352*EFEITO!$AA$352</f>
        <v>0</v>
      </c>
      <c r="P352" s="19"/>
      <c r="Q352" s="19"/>
      <c r="R352" s="19"/>
      <c r="S352" s="19"/>
      <c r="T352" s="19"/>
      <c r="U352" s="19"/>
      <c r="V352" s="19"/>
      <c r="W352" s="19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55" t="s">
        <v>28</v>
      </c>
      <c r="B353" s="55" t="s">
        <v>41</v>
      </c>
      <c r="C353" s="55" t="s">
        <v>40</v>
      </c>
      <c r="D353" s="55" t="s">
        <v>43</v>
      </c>
      <c r="E353" s="55" t="s">
        <v>25</v>
      </c>
      <c r="F353" s="55" t="s">
        <v>25</v>
      </c>
      <c r="G353" s="55" t="s">
        <v>25</v>
      </c>
      <c r="H353" s="55" t="s">
        <v>35</v>
      </c>
      <c r="I353" s="63">
        <v>44531</v>
      </c>
      <c r="J353" s="64">
        <f ca="1">EFEITO!$J$353*EFEITO!$Y$353</f>
        <v>4073.4254632419788</v>
      </c>
      <c r="K353" s="64">
        <f ca="1">EFEITO!$L$353*EFEITO!$Z$353</f>
        <v>2582.8421142390316</v>
      </c>
      <c r="L353" s="64">
        <f>EFEITO!$N$353*EFEITO!$AA$353</f>
        <v>7686.6375240876077</v>
      </c>
      <c r="M353" s="64">
        <f ca="1">$J$353-EFEITO!$K$353*EFEITO!$Y$353</f>
        <v>0</v>
      </c>
      <c r="N353" s="64">
        <f ca="1">$K$353-EFEITO!$M$353*EFEITO!$Z$353</f>
        <v>0</v>
      </c>
      <c r="O353" s="64">
        <f>$L$353-EFEITO!$O$353*EFEITO!$AA$353</f>
        <v>0</v>
      </c>
      <c r="P353" s="19"/>
      <c r="Q353" s="19"/>
      <c r="R353" s="19"/>
      <c r="S353" s="19"/>
      <c r="T353" s="19"/>
      <c r="U353" s="19"/>
      <c r="V353" s="19"/>
      <c r="W353" s="19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55" t="s">
        <v>21</v>
      </c>
      <c r="B354" s="55" t="s">
        <v>41</v>
      </c>
      <c r="C354" s="55" t="s">
        <v>40</v>
      </c>
      <c r="D354" s="55" t="s">
        <v>43</v>
      </c>
      <c r="E354" s="55" t="s">
        <v>25</v>
      </c>
      <c r="F354" s="55" t="s">
        <v>25</v>
      </c>
      <c r="G354" s="55" t="s">
        <v>25</v>
      </c>
      <c r="H354" s="55" t="s">
        <v>35</v>
      </c>
      <c r="I354" s="63">
        <v>44562</v>
      </c>
      <c r="J354" s="64">
        <f ca="1">EFEITO!$J$354*EFEITO!$Y$354</f>
        <v>212422.56786699945</v>
      </c>
      <c r="K354" s="64">
        <f ca="1">EFEITO!$L$354*EFEITO!$Z$354</f>
        <v>209642.50205044716</v>
      </c>
      <c r="L354" s="64">
        <f>EFEITO!$N$354*EFEITO!$AA$354</f>
        <v>623904.15349850047</v>
      </c>
      <c r="M354" s="64">
        <f ca="1">$J$354-EFEITO!$K$354*EFEITO!$Y$354</f>
        <v>0</v>
      </c>
      <c r="N354" s="64">
        <f ca="1">$K$354-EFEITO!$M$354*EFEITO!$Z$354</f>
        <v>0</v>
      </c>
      <c r="O354" s="64">
        <f>$L$354-EFEITO!$O$354*EFEITO!$AA$354</f>
        <v>0</v>
      </c>
      <c r="P354" s="19"/>
      <c r="Q354" s="19"/>
      <c r="R354" s="19"/>
      <c r="S354" s="19"/>
      <c r="T354" s="19"/>
      <c r="U354" s="19"/>
      <c r="V354" s="19"/>
      <c r="W354" s="19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55" t="s">
        <v>27</v>
      </c>
      <c r="B355" s="55" t="s">
        <v>41</v>
      </c>
      <c r="C355" s="55" t="s">
        <v>40</v>
      </c>
      <c r="D355" s="55" t="s">
        <v>43</v>
      </c>
      <c r="E355" s="55" t="s">
        <v>25</v>
      </c>
      <c r="F355" s="55" t="s">
        <v>25</v>
      </c>
      <c r="G355" s="55" t="s">
        <v>25</v>
      </c>
      <c r="H355" s="55" t="s">
        <v>35</v>
      </c>
      <c r="I355" s="63">
        <v>44562</v>
      </c>
      <c r="J355" s="64">
        <f ca="1">EFEITO!$J$355*EFEITO!$Y$355</f>
        <v>788.40492836941519</v>
      </c>
      <c r="K355" s="64">
        <f ca="1">EFEITO!$L$355*EFEITO!$Z$355</f>
        <v>0</v>
      </c>
      <c r="L355" s="64">
        <f>EFEITO!$N$355*EFEITO!$AA$355</f>
        <v>0</v>
      </c>
      <c r="M355" s="64">
        <f ca="1">$J$355-EFEITO!$K$355*EFEITO!$Y$355</f>
        <v>0</v>
      </c>
      <c r="N355" s="64">
        <f ca="1">$K$355-EFEITO!$M$355*EFEITO!$Z$355</f>
        <v>0</v>
      </c>
      <c r="O355" s="64">
        <f>$L$355-EFEITO!$O$355*EFEITO!$AA$355</f>
        <v>0</v>
      </c>
      <c r="P355" s="19"/>
      <c r="Q355" s="19"/>
      <c r="R355" s="19"/>
      <c r="S355" s="19"/>
      <c r="T355" s="19"/>
      <c r="U355" s="19"/>
      <c r="V355" s="19"/>
      <c r="W355" s="19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55" t="s">
        <v>28</v>
      </c>
      <c r="B356" s="55" t="s">
        <v>41</v>
      </c>
      <c r="C356" s="55" t="s">
        <v>40</v>
      </c>
      <c r="D356" s="55" t="s">
        <v>43</v>
      </c>
      <c r="E356" s="55" t="s">
        <v>25</v>
      </c>
      <c r="F356" s="55" t="s">
        <v>25</v>
      </c>
      <c r="G356" s="55" t="s">
        <v>25</v>
      </c>
      <c r="H356" s="55" t="s">
        <v>35</v>
      </c>
      <c r="I356" s="63">
        <v>44562</v>
      </c>
      <c r="J356" s="64">
        <f ca="1">EFEITO!$J$356*EFEITO!$Y$356</f>
        <v>32272.041734588063</v>
      </c>
      <c r="K356" s="64">
        <f ca="1">EFEITO!$L$356*EFEITO!$Z$356</f>
        <v>6350.1812603051058</v>
      </c>
      <c r="L356" s="64">
        <f>EFEITO!$N$356*EFEITO!$AA$356</f>
        <v>18898.383796332138</v>
      </c>
      <c r="M356" s="64">
        <f ca="1">$J$356-EFEITO!$K$356*EFEITO!$Y$356</f>
        <v>0</v>
      </c>
      <c r="N356" s="64">
        <f ca="1">$K$356-EFEITO!$M$356*EFEITO!$Z$356</f>
        <v>0</v>
      </c>
      <c r="O356" s="64">
        <f>$L$356-EFEITO!$O$356*EFEITO!$AA$356</f>
        <v>0</v>
      </c>
      <c r="P356" s="19"/>
      <c r="Q356" s="19"/>
      <c r="R356" s="19"/>
      <c r="S356" s="19"/>
      <c r="T356" s="19"/>
      <c r="U356" s="19"/>
      <c r="V356" s="19"/>
      <c r="W356" s="19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55" t="s">
        <v>28</v>
      </c>
      <c r="B357" s="55" t="s">
        <v>41</v>
      </c>
      <c r="C357" s="55" t="s">
        <v>40</v>
      </c>
      <c r="D357" s="55" t="s">
        <v>43</v>
      </c>
      <c r="E357" s="55" t="s">
        <v>25</v>
      </c>
      <c r="F357" s="55" t="s">
        <v>25</v>
      </c>
      <c r="G357" s="55" t="s">
        <v>25</v>
      </c>
      <c r="H357" s="55" t="s">
        <v>35</v>
      </c>
      <c r="I357" s="63">
        <v>44562</v>
      </c>
      <c r="J357" s="64">
        <f ca="1">EFEITO!$J$357*EFEITO!$Y$357</f>
        <v>0</v>
      </c>
      <c r="K357" s="64">
        <f ca="1">EFEITO!$L$357*EFEITO!$Z$357</f>
        <v>149.21080295730522</v>
      </c>
      <c r="L357" s="64">
        <f>EFEITO!$N$357*EFEITO!$AA$357</f>
        <v>444.05709148380441</v>
      </c>
      <c r="M357" s="64">
        <f ca="1">$J$357-EFEITO!$K$357*EFEITO!$Y$357</f>
        <v>0</v>
      </c>
      <c r="N357" s="64">
        <f ca="1">$K$357-EFEITO!$M$357*EFEITO!$Z$357</f>
        <v>0</v>
      </c>
      <c r="O357" s="64">
        <f>$L$357-EFEITO!$O$357*EFEITO!$AA$357</f>
        <v>0</v>
      </c>
      <c r="P357" s="19"/>
      <c r="Q357" s="19"/>
      <c r="R357" s="19"/>
      <c r="S357" s="19"/>
      <c r="T357" s="19"/>
      <c r="U357" s="19"/>
      <c r="V357" s="19"/>
      <c r="W357" s="19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55" t="s">
        <v>21</v>
      </c>
      <c r="B358" s="55" t="s">
        <v>41</v>
      </c>
      <c r="C358" s="55" t="s">
        <v>40</v>
      </c>
      <c r="D358" s="55" t="s">
        <v>43</v>
      </c>
      <c r="E358" s="55" t="s">
        <v>25</v>
      </c>
      <c r="F358" s="55" t="s">
        <v>25</v>
      </c>
      <c r="G358" s="55" t="s">
        <v>25</v>
      </c>
      <c r="H358" s="55" t="s">
        <v>35</v>
      </c>
      <c r="I358" s="63">
        <v>44593</v>
      </c>
      <c r="J358" s="64">
        <f ca="1">EFEITO!$J$358*EFEITO!$Y$358</f>
        <v>206903.73336841352</v>
      </c>
      <c r="K358" s="64">
        <f ca="1">EFEITO!$L$358*EFEITO!$Z$358</f>
        <v>196185.02709437197</v>
      </c>
      <c r="L358" s="64">
        <f>EFEITO!$N$358*EFEITO!$AA$358</f>
        <v>583854.19016293145</v>
      </c>
      <c r="M358" s="64">
        <f ca="1">$J$358-EFEITO!$K$358*EFEITO!$Y$358</f>
        <v>0</v>
      </c>
      <c r="N358" s="64">
        <f ca="1">$K$358-EFEITO!$M$358*EFEITO!$Z$358</f>
        <v>0</v>
      </c>
      <c r="O358" s="64">
        <f>$L$358-EFEITO!$O$358*EFEITO!$AA$358</f>
        <v>0</v>
      </c>
      <c r="P358" s="19"/>
      <c r="Q358" s="19"/>
      <c r="R358" s="19"/>
      <c r="S358" s="19"/>
      <c r="T358" s="19"/>
      <c r="U358" s="19"/>
      <c r="V358" s="19"/>
      <c r="W358" s="19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55" t="s">
        <v>27</v>
      </c>
      <c r="B359" s="55" t="s">
        <v>41</v>
      </c>
      <c r="C359" s="55" t="s">
        <v>40</v>
      </c>
      <c r="D359" s="55" t="s">
        <v>43</v>
      </c>
      <c r="E359" s="55" t="s">
        <v>25</v>
      </c>
      <c r="F359" s="55" t="s">
        <v>25</v>
      </c>
      <c r="G359" s="55" t="s">
        <v>25</v>
      </c>
      <c r="H359" s="55" t="s">
        <v>35</v>
      </c>
      <c r="I359" s="63">
        <v>44593</v>
      </c>
      <c r="J359" s="64">
        <f ca="1">EFEITO!$J$359*EFEITO!$Y$359</f>
        <v>-8803.8550334584706</v>
      </c>
      <c r="K359" s="64">
        <f ca="1">EFEITO!$L$359*EFEITO!$Z$359</f>
        <v>0</v>
      </c>
      <c r="L359" s="64">
        <f>EFEITO!$N$359*EFEITO!$AA$359</f>
        <v>0</v>
      </c>
      <c r="M359" s="64">
        <f ca="1">$J$359-EFEITO!$K$359*EFEITO!$Y$359</f>
        <v>0</v>
      </c>
      <c r="N359" s="64">
        <f ca="1">$K$359-EFEITO!$M$359*EFEITO!$Z$359</f>
        <v>0</v>
      </c>
      <c r="O359" s="64">
        <f>$L$359-EFEITO!$O$359*EFEITO!$AA$359</f>
        <v>0</v>
      </c>
      <c r="P359" s="19"/>
      <c r="Q359" s="19"/>
      <c r="R359" s="19"/>
      <c r="S359" s="19"/>
      <c r="T359" s="19"/>
      <c r="U359" s="19"/>
      <c r="V359" s="19"/>
      <c r="W359" s="19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55" t="s">
        <v>28</v>
      </c>
      <c r="B360" s="55" t="s">
        <v>41</v>
      </c>
      <c r="C360" s="55" t="s">
        <v>40</v>
      </c>
      <c r="D360" s="55" t="s">
        <v>43</v>
      </c>
      <c r="E360" s="55" t="s">
        <v>25</v>
      </c>
      <c r="F360" s="55" t="s">
        <v>25</v>
      </c>
      <c r="G360" s="55" t="s">
        <v>25</v>
      </c>
      <c r="H360" s="55" t="s">
        <v>35</v>
      </c>
      <c r="I360" s="63">
        <v>44593</v>
      </c>
      <c r="J360" s="64">
        <f ca="1">EFEITO!$J$360*EFEITO!$Y$360</f>
        <v>31904.119434682336</v>
      </c>
      <c r="K360" s="64">
        <f ca="1">EFEITO!$L$360*EFEITO!$Z$360</f>
        <v>5946.3931531372418</v>
      </c>
      <c r="L360" s="64">
        <f>EFEITO!$N$360*EFEITO!$AA$360</f>
        <v>17696.694850954515</v>
      </c>
      <c r="M360" s="64">
        <f ca="1">$J$360-EFEITO!$K$360*EFEITO!$Y$360</f>
        <v>0</v>
      </c>
      <c r="N360" s="64">
        <f ca="1">$K$360-EFEITO!$M$360*EFEITO!$Z$360</f>
        <v>0</v>
      </c>
      <c r="O360" s="64">
        <f>$L$360-EFEITO!$O$360*EFEITO!$AA$360</f>
        <v>0</v>
      </c>
      <c r="P360" s="19"/>
      <c r="Q360" s="19"/>
      <c r="R360" s="19"/>
      <c r="S360" s="19"/>
      <c r="T360" s="19"/>
      <c r="U360" s="19"/>
      <c r="V360" s="19"/>
      <c r="W360" s="19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55" t="s">
        <v>21</v>
      </c>
      <c r="B361" s="55" t="s">
        <v>41</v>
      </c>
      <c r="C361" s="55" t="s">
        <v>40</v>
      </c>
      <c r="D361" s="55" t="s">
        <v>43</v>
      </c>
      <c r="E361" s="55" t="s">
        <v>25</v>
      </c>
      <c r="F361" s="55" t="s">
        <v>25</v>
      </c>
      <c r="G361" s="55" t="s">
        <v>25</v>
      </c>
      <c r="H361" s="55" t="s">
        <v>35</v>
      </c>
      <c r="I361" s="63">
        <v>44621</v>
      </c>
      <c r="J361" s="64">
        <f ca="1">EFEITO!$J$361*EFEITO!$Y$361</f>
        <v>203828.95414777281</v>
      </c>
      <c r="K361" s="64">
        <f ca="1">EFEITO!$L$361*EFEITO!$Z$361</f>
        <v>206171.24822423689</v>
      </c>
      <c r="L361" s="64">
        <f>EFEITO!$N$361*EFEITO!$AA$361</f>
        <v>613573.56853200821</v>
      </c>
      <c r="M361" s="64">
        <f ca="1">$J$361-EFEITO!$K$361*EFEITO!$Y$361</f>
        <v>0</v>
      </c>
      <c r="N361" s="64">
        <f ca="1">$K$361-EFEITO!$M$361*EFEITO!$Z$361</f>
        <v>0</v>
      </c>
      <c r="O361" s="64">
        <f>$L$361-EFEITO!$O$361*EFEITO!$AA$361</f>
        <v>0</v>
      </c>
      <c r="P361" s="19"/>
      <c r="Q361" s="19"/>
      <c r="R361" s="19"/>
      <c r="S361" s="19"/>
      <c r="T361" s="19"/>
      <c r="U361" s="19"/>
      <c r="V361" s="19"/>
      <c r="W361" s="19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55" t="s">
        <v>28</v>
      </c>
      <c r="B362" s="55" t="s">
        <v>41</v>
      </c>
      <c r="C362" s="55" t="s">
        <v>40</v>
      </c>
      <c r="D362" s="55" t="s">
        <v>43</v>
      </c>
      <c r="E362" s="55" t="s">
        <v>25</v>
      </c>
      <c r="F362" s="55" t="s">
        <v>25</v>
      </c>
      <c r="G362" s="55" t="s">
        <v>25</v>
      </c>
      <c r="H362" s="55" t="s">
        <v>35</v>
      </c>
      <c r="I362" s="63">
        <v>44621</v>
      </c>
      <c r="J362" s="64">
        <f ca="1">EFEITO!$J$362*EFEITO!$Y$362</f>
        <v>30379.869906501466</v>
      </c>
      <c r="K362" s="64">
        <f ca="1">EFEITO!$L$362*EFEITO!$Z$362</f>
        <v>5006.0380144579822</v>
      </c>
      <c r="L362" s="64">
        <f>EFEITO!$N$362*EFEITO!$AA$362</f>
        <v>14898.161771796405</v>
      </c>
      <c r="M362" s="64">
        <f ca="1">$J$362-EFEITO!$K$362*EFEITO!$Y$362</f>
        <v>0</v>
      </c>
      <c r="N362" s="64">
        <f ca="1">$K$362-EFEITO!$M$362*EFEITO!$Z$362</f>
        <v>0</v>
      </c>
      <c r="O362" s="64">
        <f>$L$362-EFEITO!$O$362*EFEITO!$AA$362</f>
        <v>0</v>
      </c>
      <c r="P362" s="19"/>
      <c r="Q362" s="19"/>
      <c r="R362" s="19"/>
      <c r="S362" s="19"/>
      <c r="T362" s="19"/>
      <c r="U362" s="19"/>
      <c r="V362" s="19"/>
      <c r="W362" s="19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55" t="s">
        <v>21</v>
      </c>
      <c r="B363" s="55" t="s">
        <v>41</v>
      </c>
      <c r="C363" s="55" t="s">
        <v>40</v>
      </c>
      <c r="D363" s="55" t="s">
        <v>43</v>
      </c>
      <c r="E363" s="55" t="s">
        <v>25</v>
      </c>
      <c r="F363" s="55" t="s">
        <v>25</v>
      </c>
      <c r="G363" s="55" t="s">
        <v>25</v>
      </c>
      <c r="H363" s="55" t="s">
        <v>35</v>
      </c>
      <c r="I363" s="63">
        <v>44652</v>
      </c>
      <c r="J363" s="64">
        <f ca="1">EFEITO!$J$363*EFEITO!$Y$363</f>
        <v>207797.25895389888</v>
      </c>
      <c r="K363" s="64">
        <f ca="1">EFEITO!$L$363*EFEITO!$Z$363</f>
        <v>205089.23627419054</v>
      </c>
      <c r="L363" s="64">
        <f>EFEITO!$N$363*EFEITO!$AA$363</f>
        <v>610353.45933102921</v>
      </c>
      <c r="M363" s="64">
        <f ca="1">$J$363-EFEITO!$K$363*EFEITO!$Y$363</f>
        <v>0</v>
      </c>
      <c r="N363" s="64">
        <f ca="1">$K$363-EFEITO!$M$363*EFEITO!$Z$363</f>
        <v>0</v>
      </c>
      <c r="O363" s="64">
        <f>$L$363-EFEITO!$O$363*EFEITO!$AA$363</f>
        <v>0</v>
      </c>
      <c r="P363" s="19"/>
      <c r="Q363" s="19"/>
      <c r="R363" s="19"/>
      <c r="S363" s="19"/>
      <c r="T363" s="19"/>
      <c r="U363" s="19"/>
      <c r="V363" s="19"/>
      <c r="W363" s="19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55" t="s">
        <v>27</v>
      </c>
      <c r="B364" s="55" t="s">
        <v>41</v>
      </c>
      <c r="C364" s="55" t="s">
        <v>40</v>
      </c>
      <c r="D364" s="55" t="s">
        <v>43</v>
      </c>
      <c r="E364" s="55" t="s">
        <v>25</v>
      </c>
      <c r="F364" s="55" t="s">
        <v>25</v>
      </c>
      <c r="G364" s="55" t="s">
        <v>25</v>
      </c>
      <c r="H364" s="55" t="s">
        <v>35</v>
      </c>
      <c r="I364" s="63">
        <v>44652</v>
      </c>
      <c r="J364" s="64">
        <f ca="1">EFEITO!$J$364*EFEITO!$Y$364</f>
        <v>0</v>
      </c>
      <c r="K364" s="64">
        <f ca="1">EFEITO!$L$364*EFEITO!$Z$364</f>
        <v>-391.1721624501796</v>
      </c>
      <c r="L364" s="64">
        <f>EFEITO!$N$364*EFEITO!$AA$364</f>
        <v>-1164.1434084150048</v>
      </c>
      <c r="M364" s="64">
        <f ca="1">$J$364-EFEITO!$K$364*EFEITO!$Y$364</f>
        <v>0</v>
      </c>
      <c r="N364" s="64">
        <f ca="1">$K$364-EFEITO!$M$364*EFEITO!$Z$364</f>
        <v>0</v>
      </c>
      <c r="O364" s="64">
        <f>$L$364-EFEITO!$O$364*EFEITO!$AA$364</f>
        <v>0</v>
      </c>
      <c r="P364" s="19"/>
      <c r="Q364" s="19"/>
      <c r="R364" s="19"/>
      <c r="S364" s="19"/>
      <c r="T364" s="19"/>
      <c r="U364" s="19"/>
      <c r="V364" s="19"/>
      <c r="W364" s="19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55" t="s">
        <v>28</v>
      </c>
      <c r="B365" s="55" t="s">
        <v>41</v>
      </c>
      <c r="C365" s="55" t="s">
        <v>40</v>
      </c>
      <c r="D365" s="55" t="s">
        <v>43</v>
      </c>
      <c r="E365" s="55" t="s">
        <v>25</v>
      </c>
      <c r="F365" s="55" t="s">
        <v>25</v>
      </c>
      <c r="G365" s="55" t="s">
        <v>25</v>
      </c>
      <c r="H365" s="55" t="s">
        <v>35</v>
      </c>
      <c r="I365" s="63">
        <v>44652</v>
      </c>
      <c r="J365" s="64">
        <f ca="1">EFEITO!$J$365*EFEITO!$Y$365</f>
        <v>30090.788099432681</v>
      </c>
      <c r="K365" s="64">
        <f ca="1">EFEITO!$L$365*EFEITO!$Z$365</f>
        <v>5724.8353585581535</v>
      </c>
      <c r="L365" s="64">
        <f>EFEITO!$N$365*EFEITO!$AA$365</f>
        <v>17037.330328370266</v>
      </c>
      <c r="M365" s="64">
        <f ca="1">$J$365-EFEITO!$K$365*EFEITO!$Y$365</f>
        <v>0</v>
      </c>
      <c r="N365" s="64">
        <f ca="1">$K$365-EFEITO!$M$365*EFEITO!$Z$365</f>
        <v>0</v>
      </c>
      <c r="O365" s="64">
        <f>$L$365-EFEITO!$O$365*EFEITO!$AA$365</f>
        <v>0</v>
      </c>
      <c r="P365" s="19"/>
      <c r="Q365" s="19"/>
      <c r="R365" s="19"/>
      <c r="S365" s="19"/>
      <c r="T365" s="19"/>
      <c r="U365" s="19"/>
      <c r="V365" s="19"/>
      <c r="W365" s="19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55" t="s">
        <v>21</v>
      </c>
      <c r="B366" s="55" t="s">
        <v>41</v>
      </c>
      <c r="C366" s="55" t="s">
        <v>40</v>
      </c>
      <c r="D366" s="55" t="s">
        <v>43</v>
      </c>
      <c r="E366" s="55" t="s">
        <v>25</v>
      </c>
      <c r="F366" s="55" t="s">
        <v>25</v>
      </c>
      <c r="G366" s="55" t="s">
        <v>25</v>
      </c>
      <c r="H366" s="55" t="s">
        <v>35</v>
      </c>
      <c r="I366" s="63">
        <v>44682</v>
      </c>
      <c r="J366" s="64">
        <f ca="1">EFEITO!$J$366*EFEITO!$Y$366</f>
        <v>199676.68819169389</v>
      </c>
      <c r="K366" s="64">
        <f ca="1">EFEITO!$L$366*EFEITO!$Z$366</f>
        <v>197393.50999640301</v>
      </c>
      <c r="L366" s="64">
        <f>EFEITO!$N$366*EFEITO!$AA$366</f>
        <v>587450.68178383214</v>
      </c>
      <c r="M366" s="64">
        <f ca="1">$J$366-EFEITO!$K$366*EFEITO!$Y$366</f>
        <v>0</v>
      </c>
      <c r="N366" s="64">
        <f ca="1">$K$366-EFEITO!$M$366*EFEITO!$Z$366</f>
        <v>0</v>
      </c>
      <c r="O366" s="64">
        <f>$L$366-EFEITO!$O$366*EFEITO!$AA$366</f>
        <v>0</v>
      </c>
      <c r="P366" s="19"/>
      <c r="Q366" s="19"/>
      <c r="R366" s="19"/>
      <c r="S366" s="19"/>
      <c r="T366" s="19"/>
      <c r="U366" s="19"/>
      <c r="V366" s="19"/>
      <c r="W366" s="19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55" t="s">
        <v>27</v>
      </c>
      <c r="B367" s="55" t="s">
        <v>41</v>
      </c>
      <c r="C367" s="55" t="s">
        <v>40</v>
      </c>
      <c r="D367" s="55" t="s">
        <v>43</v>
      </c>
      <c r="E367" s="55" t="s">
        <v>25</v>
      </c>
      <c r="F367" s="55" t="s">
        <v>25</v>
      </c>
      <c r="G367" s="55" t="s">
        <v>25</v>
      </c>
      <c r="H367" s="55" t="s">
        <v>35</v>
      </c>
      <c r="I367" s="63">
        <v>44682</v>
      </c>
      <c r="J367" s="64">
        <f ca="1">EFEITO!$J$367*EFEITO!$Y$367</f>
        <v>-1576.8098567388304</v>
      </c>
      <c r="K367" s="64">
        <f ca="1">EFEITO!$L$367*EFEITO!$Z$367</f>
        <v>-574.10336085660447</v>
      </c>
      <c r="L367" s="64">
        <f>EFEITO!$N$367*EFEITO!$AA$367</f>
        <v>-1708.5536943729676</v>
      </c>
      <c r="M367" s="64">
        <f ca="1">$J$367-EFEITO!$K$367*EFEITO!$Y$367</f>
        <v>0</v>
      </c>
      <c r="N367" s="64">
        <f ca="1">$K$367-EFEITO!$M$367*EFEITO!$Z$367</f>
        <v>0</v>
      </c>
      <c r="O367" s="64">
        <f>$L$367-EFEITO!$O$367*EFEITO!$AA$367</f>
        <v>0</v>
      </c>
      <c r="P367" s="19"/>
      <c r="Q367" s="19"/>
      <c r="R367" s="19"/>
      <c r="S367" s="19"/>
      <c r="T367" s="19"/>
      <c r="U367" s="19"/>
      <c r="V367" s="19"/>
      <c r="W367" s="19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55" t="s">
        <v>28</v>
      </c>
      <c r="B368" s="55" t="s">
        <v>41</v>
      </c>
      <c r="C368" s="55" t="s">
        <v>40</v>
      </c>
      <c r="D368" s="55" t="s">
        <v>43</v>
      </c>
      <c r="E368" s="55" t="s">
        <v>25</v>
      </c>
      <c r="F368" s="55" t="s">
        <v>25</v>
      </c>
      <c r="G368" s="55" t="s">
        <v>25</v>
      </c>
      <c r="H368" s="55" t="s">
        <v>35</v>
      </c>
      <c r="I368" s="63">
        <v>44682</v>
      </c>
      <c r="J368" s="64">
        <f ca="1">EFEITO!$J$368*EFEITO!$Y$368</f>
        <v>36792.229990572712</v>
      </c>
      <c r="K368" s="64">
        <f ca="1">EFEITO!$L$368*EFEITO!$Z$368</f>
        <v>6716.3551619257996</v>
      </c>
      <c r="L368" s="64">
        <f>EFEITO!$N$368*EFEITO!$AA$368</f>
        <v>19988.131418543438</v>
      </c>
      <c r="M368" s="64">
        <f ca="1">$J$368-EFEITO!$K$368*EFEITO!$Y$368</f>
        <v>0</v>
      </c>
      <c r="N368" s="64">
        <f ca="1">$K$368-EFEITO!$M$368*EFEITO!$Z$368</f>
        <v>0</v>
      </c>
      <c r="O368" s="64">
        <f>$L$368-EFEITO!$O$368*EFEITO!$AA$368</f>
        <v>0</v>
      </c>
      <c r="P368" s="19"/>
      <c r="Q368" s="19"/>
      <c r="R368" s="19"/>
      <c r="S368" s="19"/>
      <c r="T368" s="19"/>
      <c r="U368" s="19"/>
      <c r="V368" s="19"/>
      <c r="W368" s="19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55" t="s">
        <v>21</v>
      </c>
      <c r="B369" s="55" t="s">
        <v>41</v>
      </c>
      <c r="C369" s="55" t="s">
        <v>40</v>
      </c>
      <c r="D369" s="55" t="s">
        <v>43</v>
      </c>
      <c r="E369" s="55" t="s">
        <v>25</v>
      </c>
      <c r="F369" s="55" t="s">
        <v>25</v>
      </c>
      <c r="G369" s="55" t="s">
        <v>25</v>
      </c>
      <c r="H369" s="55" t="s">
        <v>35</v>
      </c>
      <c r="I369" s="63">
        <v>44713</v>
      </c>
      <c r="J369" s="64">
        <f ca="1">EFEITO!$J$369*EFEITO!$Y$369</f>
        <v>191713.7984151628</v>
      </c>
      <c r="K369" s="64">
        <f ca="1">EFEITO!$L$369*EFEITO!$Z$369</f>
        <v>176796.4227207439</v>
      </c>
      <c r="L369" s="64">
        <f>EFEITO!$N$369*EFEITO!$AA$369</f>
        <v>526152.95744088129</v>
      </c>
      <c r="M369" s="64">
        <f ca="1">$J$369-EFEITO!$K$369*EFEITO!$Y$369</f>
        <v>0</v>
      </c>
      <c r="N369" s="64">
        <f ca="1">$K$369-EFEITO!$M$369*EFEITO!$Z$369</f>
        <v>0</v>
      </c>
      <c r="O369" s="64">
        <f>$L$369-EFEITO!$O$369*EFEITO!$AA$369</f>
        <v>0</v>
      </c>
      <c r="P369" s="19"/>
      <c r="Q369" s="19"/>
      <c r="R369" s="19"/>
      <c r="S369" s="19"/>
      <c r="T369" s="19"/>
      <c r="U369" s="19"/>
      <c r="V369" s="19"/>
      <c r="W369" s="19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55" t="s">
        <v>28</v>
      </c>
      <c r="B370" s="55" t="s">
        <v>41</v>
      </c>
      <c r="C370" s="55" t="s">
        <v>40</v>
      </c>
      <c r="D370" s="55" t="s">
        <v>43</v>
      </c>
      <c r="E370" s="55" t="s">
        <v>25</v>
      </c>
      <c r="F370" s="55" t="s">
        <v>25</v>
      </c>
      <c r="G370" s="55" t="s">
        <v>25</v>
      </c>
      <c r="H370" s="55" t="s">
        <v>35</v>
      </c>
      <c r="I370" s="63">
        <v>44713</v>
      </c>
      <c r="J370" s="64">
        <f ca="1">EFEITO!$J$370*EFEITO!$Y$370</f>
        <v>37633.195247500087</v>
      </c>
      <c r="K370" s="64">
        <f ca="1">EFEITO!$L$370*EFEITO!$Z$370</f>
        <v>4740.0129085591543</v>
      </c>
      <c r="L370" s="64">
        <f>EFEITO!$N$370*EFEITO!$AA$370</f>
        <v>14106.460819547619</v>
      </c>
      <c r="M370" s="64">
        <f ca="1">$J$370-EFEITO!$K$370*EFEITO!$Y$370</f>
        <v>0</v>
      </c>
      <c r="N370" s="64">
        <f ca="1">$K$370-EFEITO!$M$370*EFEITO!$Z$370</f>
        <v>0</v>
      </c>
      <c r="O370" s="64">
        <f>$L$370-EFEITO!$O$370*EFEITO!$AA$370</f>
        <v>0</v>
      </c>
      <c r="P370" s="19"/>
      <c r="Q370" s="19"/>
      <c r="R370" s="19"/>
      <c r="S370" s="19"/>
      <c r="T370" s="19"/>
      <c r="U370" s="19"/>
      <c r="V370" s="19"/>
      <c r="W370" s="19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55" t="s">
        <v>57</v>
      </c>
      <c r="B371" s="55" t="s">
        <v>41</v>
      </c>
      <c r="C371" s="55" t="s">
        <v>40</v>
      </c>
      <c r="D371" s="55" t="s">
        <v>43</v>
      </c>
      <c r="E371" s="55" t="s">
        <v>25</v>
      </c>
      <c r="F371" s="55" t="s">
        <v>25</v>
      </c>
      <c r="G371" s="55" t="s">
        <v>25</v>
      </c>
      <c r="H371" s="55" t="s">
        <v>35</v>
      </c>
      <c r="I371" s="63">
        <v>44743</v>
      </c>
      <c r="J371" s="64">
        <f ca="1">EFEITO!$J$371*EFEITO!$Y$371</f>
        <v>191713.7984151628</v>
      </c>
      <c r="K371" s="64">
        <f ca="1">EFEITO!$L$371*EFEITO!$Z$371</f>
        <v>176796.4227207439</v>
      </c>
      <c r="L371" s="64">
        <f>EFEITO!$N$371*EFEITO!$AA$371</f>
        <v>526152.95744088129</v>
      </c>
      <c r="M371" s="64">
        <f ca="1">$J$371-EFEITO!$K$371*EFEITO!$Y$371</f>
        <v>0</v>
      </c>
      <c r="N371" s="64">
        <f ca="1">$K$371-EFEITO!$M$371*EFEITO!$Z$371</f>
        <v>0</v>
      </c>
      <c r="O371" s="64">
        <f>$L$371-EFEITO!$O$371*EFEITO!$AA$371</f>
        <v>0</v>
      </c>
      <c r="P371" s="19"/>
      <c r="Q371" s="19"/>
      <c r="R371" s="19"/>
      <c r="S371" s="19"/>
      <c r="T371" s="19"/>
      <c r="U371" s="19"/>
      <c r="V371" s="19"/>
      <c r="W371" s="19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55" t="s">
        <v>57</v>
      </c>
      <c r="B372" s="55" t="s">
        <v>41</v>
      </c>
      <c r="C372" s="55" t="s">
        <v>40</v>
      </c>
      <c r="D372" s="55" t="s">
        <v>43</v>
      </c>
      <c r="E372" s="55" t="s">
        <v>25</v>
      </c>
      <c r="F372" s="55" t="s">
        <v>25</v>
      </c>
      <c r="G372" s="55" t="s">
        <v>25</v>
      </c>
      <c r="H372" s="55" t="s">
        <v>35</v>
      </c>
      <c r="I372" s="63">
        <v>44743</v>
      </c>
      <c r="J372" s="64">
        <f ca="1">EFEITO!$J$372*EFEITO!$Y$372</f>
        <v>37633.195247500087</v>
      </c>
      <c r="K372" s="64">
        <f ca="1">EFEITO!$L$372*EFEITO!$Z$372</f>
        <v>4740.0129085591543</v>
      </c>
      <c r="L372" s="64">
        <f>EFEITO!$N$372*EFEITO!$AA$372</f>
        <v>14106.460819547619</v>
      </c>
      <c r="M372" s="64">
        <f ca="1">$J$372-EFEITO!$K$372*EFEITO!$Y$372</f>
        <v>0</v>
      </c>
      <c r="N372" s="64">
        <f ca="1">$K$372-EFEITO!$M$372*EFEITO!$Z$372</f>
        <v>0</v>
      </c>
      <c r="O372" s="64">
        <f>$L$372-EFEITO!$O$372*EFEITO!$AA$372</f>
        <v>0</v>
      </c>
      <c r="P372" s="19"/>
      <c r="Q372" s="19"/>
      <c r="R372" s="19"/>
      <c r="S372" s="19"/>
      <c r="T372" s="19"/>
      <c r="U372" s="19"/>
      <c r="V372" s="19"/>
      <c r="W372" s="19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55" t="s">
        <v>21</v>
      </c>
      <c r="B373" s="55" t="s">
        <v>41</v>
      </c>
      <c r="C373" s="55" t="s">
        <v>40</v>
      </c>
      <c r="D373" s="55" t="s">
        <v>43</v>
      </c>
      <c r="E373" s="55" t="s">
        <v>25</v>
      </c>
      <c r="F373" s="55" t="s">
        <v>25</v>
      </c>
      <c r="G373" s="55" t="s">
        <v>25</v>
      </c>
      <c r="H373" s="55" t="s">
        <v>25</v>
      </c>
      <c r="I373" s="63">
        <v>44409</v>
      </c>
      <c r="J373" s="64">
        <f>EFEITO!$J$373*EFEITO!$Y$373</f>
        <v>0</v>
      </c>
      <c r="K373" s="64">
        <f ca="1">EFEITO!$L$373*EFEITO!$Z$373</f>
        <v>1205.367853952594</v>
      </c>
      <c r="L373" s="64">
        <f>EFEITO!$N$373*EFEITO!$AA$373</f>
        <v>0</v>
      </c>
      <c r="M373" s="64">
        <f>$J$373-EFEITO!$K$373*EFEITO!$Y$373</f>
        <v>0</v>
      </c>
      <c r="N373" s="64">
        <f ca="1">$K$373-EFEITO!$M$373*EFEITO!$Z$373</f>
        <v>0</v>
      </c>
      <c r="O373" s="64">
        <f>$L$373-EFEITO!$O$373*EFEITO!$AA$373</f>
        <v>0</v>
      </c>
      <c r="P373" s="19"/>
      <c r="Q373" s="19"/>
      <c r="R373" s="19"/>
      <c r="S373" s="19"/>
      <c r="T373" s="19"/>
      <c r="U373" s="19"/>
      <c r="V373" s="19"/>
      <c r="W373" s="19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55" t="s">
        <v>21</v>
      </c>
      <c r="B374" s="55" t="s">
        <v>41</v>
      </c>
      <c r="C374" s="55" t="s">
        <v>40</v>
      </c>
      <c r="D374" s="55" t="s">
        <v>43</v>
      </c>
      <c r="E374" s="55" t="s">
        <v>25</v>
      </c>
      <c r="F374" s="55" t="s">
        <v>25</v>
      </c>
      <c r="G374" s="55" t="s">
        <v>25</v>
      </c>
      <c r="H374" s="55" t="s">
        <v>34</v>
      </c>
      <c r="I374" s="63">
        <v>44409</v>
      </c>
      <c r="J374" s="64">
        <f ca="1">EFEITO!$J$374*EFEITO!$Y$374</f>
        <v>307238.46673889685</v>
      </c>
      <c r="K374" s="64">
        <f ca="1">EFEITO!$L$374*EFEITO!$Z$374</f>
        <v>19343.280424086774</v>
      </c>
      <c r="L374" s="64">
        <f>EFEITO!$N$374*EFEITO!$AA$374</f>
        <v>89483.25259753858</v>
      </c>
      <c r="M374" s="64">
        <f ca="1">$J$374-EFEITO!$K$374*EFEITO!$Y$374</f>
        <v>0</v>
      </c>
      <c r="N374" s="64">
        <f ca="1">$K$374-EFEITO!$M$374*EFEITO!$Z$374</f>
        <v>0</v>
      </c>
      <c r="O374" s="64">
        <f>$L$374-EFEITO!$O$374*EFEITO!$AA$374</f>
        <v>0</v>
      </c>
      <c r="P374" s="19"/>
      <c r="Q374" s="19"/>
      <c r="R374" s="19"/>
      <c r="S374" s="19"/>
      <c r="T374" s="19"/>
      <c r="U374" s="19"/>
      <c r="V374" s="19"/>
      <c r="W374" s="19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55" t="s">
        <v>28</v>
      </c>
      <c r="B375" s="55" t="s">
        <v>41</v>
      </c>
      <c r="C375" s="55" t="s">
        <v>40</v>
      </c>
      <c r="D375" s="55" t="s">
        <v>43</v>
      </c>
      <c r="E375" s="55" t="s">
        <v>25</v>
      </c>
      <c r="F375" s="55" t="s">
        <v>25</v>
      </c>
      <c r="G375" s="55" t="s">
        <v>25</v>
      </c>
      <c r="H375" s="55" t="s">
        <v>34</v>
      </c>
      <c r="I375" s="63">
        <v>44409</v>
      </c>
      <c r="J375" s="64">
        <f ca="1">EFEITO!$J$375*EFEITO!$Y$375</f>
        <v>6006.8724370916598</v>
      </c>
      <c r="K375" s="64">
        <f ca="1">EFEITO!$L$375*EFEITO!$Z$375</f>
        <v>196.24802894175843</v>
      </c>
      <c r="L375" s="64">
        <f>EFEITO!$N$375*EFEITO!$AA$375</f>
        <v>907.85593552669127</v>
      </c>
      <c r="M375" s="64">
        <f ca="1">$J$375-EFEITO!$K$375*EFEITO!$Y$375</f>
        <v>0</v>
      </c>
      <c r="N375" s="64">
        <f ca="1">$K$375-EFEITO!$M$375*EFEITO!$Z$375</f>
        <v>0</v>
      </c>
      <c r="O375" s="64">
        <f>$L$375-EFEITO!$O$375*EFEITO!$AA$375</f>
        <v>0</v>
      </c>
      <c r="P375" s="19"/>
      <c r="Q375" s="19"/>
      <c r="R375" s="19"/>
      <c r="S375" s="19"/>
      <c r="T375" s="19"/>
      <c r="U375" s="19"/>
      <c r="V375" s="19"/>
      <c r="W375" s="19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55" t="s">
        <v>28</v>
      </c>
      <c r="B376" s="55" t="s">
        <v>41</v>
      </c>
      <c r="C376" s="55" t="s">
        <v>40</v>
      </c>
      <c r="D376" s="55" t="s">
        <v>43</v>
      </c>
      <c r="E376" s="55" t="s">
        <v>25</v>
      </c>
      <c r="F376" s="55" t="s">
        <v>25</v>
      </c>
      <c r="G376" s="55" t="s">
        <v>25</v>
      </c>
      <c r="H376" s="55" t="s">
        <v>34</v>
      </c>
      <c r="I376" s="63">
        <v>44409</v>
      </c>
      <c r="J376" s="64">
        <f ca="1">EFEITO!$J$376*EFEITO!$Y$376</f>
        <v>-8357.3877385623091</v>
      </c>
      <c r="K376" s="64">
        <f ca="1">EFEITO!$L$376*EFEITO!$Z$376</f>
        <v>-370.37921652658855</v>
      </c>
      <c r="L376" s="64">
        <f>EFEITO!$N$376*EFEITO!$AA$376</f>
        <v>-1713.3979481606921</v>
      </c>
      <c r="M376" s="64">
        <f ca="1">$J$376-EFEITO!$K$376*EFEITO!$Y$376</f>
        <v>0</v>
      </c>
      <c r="N376" s="64">
        <f ca="1">$K$376-EFEITO!$M$376*EFEITO!$Z$376</f>
        <v>0</v>
      </c>
      <c r="O376" s="64">
        <f>$L$376-EFEITO!$O$376*EFEITO!$AA$376</f>
        <v>0</v>
      </c>
      <c r="P376" s="19"/>
      <c r="Q376" s="19"/>
      <c r="R376" s="19"/>
      <c r="S376" s="19"/>
      <c r="T376" s="19"/>
      <c r="U376" s="19"/>
      <c r="V376" s="19"/>
      <c r="W376" s="19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55" t="s">
        <v>21</v>
      </c>
      <c r="B377" s="55" t="s">
        <v>41</v>
      </c>
      <c r="C377" s="55" t="s">
        <v>40</v>
      </c>
      <c r="D377" s="55" t="s">
        <v>43</v>
      </c>
      <c r="E377" s="55" t="s">
        <v>25</v>
      </c>
      <c r="F377" s="55" t="s">
        <v>25</v>
      </c>
      <c r="G377" s="55" t="s">
        <v>25</v>
      </c>
      <c r="H377" s="55" t="s">
        <v>34</v>
      </c>
      <c r="I377" s="63">
        <v>44409</v>
      </c>
      <c r="J377" s="64">
        <f ca="1">EFEITO!$J$377*EFEITO!$Y$377</f>
        <v>3134.0204019608659</v>
      </c>
      <c r="K377" s="64">
        <f ca="1">EFEITO!$L$377*EFEITO!$Z$377</f>
        <v>0</v>
      </c>
      <c r="L377" s="64">
        <f>EFEITO!$N$377*EFEITO!$AA$377</f>
        <v>0</v>
      </c>
      <c r="M377" s="64">
        <f ca="1">$J$377-EFEITO!$K$377*EFEITO!$Y$377</f>
        <v>0</v>
      </c>
      <c r="N377" s="64">
        <f ca="1">$K$377-EFEITO!$M$377*EFEITO!$Z$377</f>
        <v>0</v>
      </c>
      <c r="O377" s="64">
        <f>$L$377-EFEITO!$O$377*EFEITO!$AA$377</f>
        <v>0</v>
      </c>
      <c r="P377" s="19"/>
      <c r="Q377" s="19"/>
      <c r="R377" s="19"/>
      <c r="S377" s="19"/>
      <c r="T377" s="19"/>
      <c r="U377" s="19"/>
      <c r="V377" s="19"/>
      <c r="W377" s="19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55" t="s">
        <v>21</v>
      </c>
      <c r="B378" s="55" t="s">
        <v>41</v>
      </c>
      <c r="C378" s="55" t="s">
        <v>40</v>
      </c>
      <c r="D378" s="55" t="s">
        <v>43</v>
      </c>
      <c r="E378" s="55" t="s">
        <v>25</v>
      </c>
      <c r="F378" s="55" t="s">
        <v>25</v>
      </c>
      <c r="G378" s="55" t="s">
        <v>25</v>
      </c>
      <c r="H378" s="55" t="s">
        <v>34</v>
      </c>
      <c r="I378" s="63">
        <v>44440</v>
      </c>
      <c r="J378" s="64">
        <f ca="1">EFEITO!$J$378*EFEITO!$Y$378</f>
        <v>317789.6687588318</v>
      </c>
      <c r="K378" s="64">
        <f ca="1">EFEITO!$L$378*EFEITO!$Z$378</f>
        <v>19849.31998442945</v>
      </c>
      <c r="L378" s="64">
        <f>EFEITO!$N$378*EFEITO!$AA$378</f>
        <v>91824.223974146691</v>
      </c>
      <c r="M378" s="64">
        <f ca="1">$J$378-EFEITO!$K$378*EFEITO!$Y$378</f>
        <v>0</v>
      </c>
      <c r="N378" s="64">
        <f ca="1">$K$378-EFEITO!$M$378*EFEITO!$Z$378</f>
        <v>0</v>
      </c>
      <c r="O378" s="64">
        <f>$L$378-EFEITO!$O$378*EFEITO!$AA$378</f>
        <v>0</v>
      </c>
      <c r="P378" s="19"/>
      <c r="Q378" s="19"/>
      <c r="R378" s="19"/>
      <c r="S378" s="19"/>
      <c r="T378" s="19"/>
      <c r="U378" s="19"/>
      <c r="V378" s="19"/>
      <c r="W378" s="19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55" t="s">
        <v>28</v>
      </c>
      <c r="B379" s="55" t="s">
        <v>41</v>
      </c>
      <c r="C379" s="55" t="s">
        <v>40</v>
      </c>
      <c r="D379" s="55" t="s">
        <v>43</v>
      </c>
      <c r="E379" s="55" t="s">
        <v>25</v>
      </c>
      <c r="F379" s="55" t="s">
        <v>25</v>
      </c>
      <c r="G379" s="55" t="s">
        <v>25</v>
      </c>
      <c r="H379" s="55" t="s">
        <v>34</v>
      </c>
      <c r="I379" s="63">
        <v>44440</v>
      </c>
      <c r="J379" s="64">
        <f ca="1">EFEITO!$J$379*EFEITO!$Y$379</f>
        <v>6006.8724370916598</v>
      </c>
      <c r="K379" s="64">
        <f ca="1">EFEITO!$L$379*EFEITO!$Z$379</f>
        <v>198.74006740451094</v>
      </c>
      <c r="L379" s="64">
        <f>EFEITO!$N$379*EFEITO!$AA$379</f>
        <v>919.38426486671278</v>
      </c>
      <c r="M379" s="64">
        <f ca="1">$J$379-EFEITO!$K$379*EFEITO!$Y$379</f>
        <v>0</v>
      </c>
      <c r="N379" s="64">
        <f ca="1">$K$379-EFEITO!$M$379*EFEITO!$Z$379</f>
        <v>0</v>
      </c>
      <c r="O379" s="64">
        <f>$L$379-EFEITO!$O$379*EFEITO!$AA$379</f>
        <v>0</v>
      </c>
      <c r="P379" s="19"/>
      <c r="Q379" s="19"/>
      <c r="R379" s="19"/>
      <c r="S379" s="19"/>
      <c r="T379" s="19"/>
      <c r="U379" s="19"/>
      <c r="V379" s="19"/>
      <c r="W379" s="19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55" t="s">
        <v>21</v>
      </c>
      <c r="B380" s="55" t="s">
        <v>41</v>
      </c>
      <c r="C380" s="55" t="s">
        <v>40</v>
      </c>
      <c r="D380" s="55" t="s">
        <v>43</v>
      </c>
      <c r="E380" s="55" t="s">
        <v>25</v>
      </c>
      <c r="F380" s="55" t="s">
        <v>25</v>
      </c>
      <c r="G380" s="55" t="s">
        <v>25</v>
      </c>
      <c r="H380" s="55" t="s">
        <v>34</v>
      </c>
      <c r="I380" s="63">
        <v>44470</v>
      </c>
      <c r="J380" s="64">
        <f ca="1">EFEITO!$J$380*EFEITO!$Y$380</f>
        <v>302224.0340957595</v>
      </c>
      <c r="K380" s="64">
        <f ca="1">EFEITO!$L$380*EFEITO!$Z$380</f>
        <v>19212.370528590309</v>
      </c>
      <c r="L380" s="64">
        <f>EFEITO!$N$380*EFEITO!$AA$380</f>
        <v>88877.655046895583</v>
      </c>
      <c r="M380" s="64">
        <f ca="1">$J$380-EFEITO!$K$380*EFEITO!$Y$380</f>
        <v>0</v>
      </c>
      <c r="N380" s="64">
        <f ca="1">$K$380-EFEITO!$M$380*EFEITO!$Z$380</f>
        <v>0</v>
      </c>
      <c r="O380" s="64">
        <f>$L$380-EFEITO!$O$380*EFEITO!$AA$380</f>
        <v>0</v>
      </c>
      <c r="P380" s="19"/>
      <c r="Q380" s="19"/>
      <c r="R380" s="19"/>
      <c r="S380" s="19"/>
      <c r="T380" s="19"/>
      <c r="U380" s="19"/>
      <c r="V380" s="19"/>
      <c r="W380" s="19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55" t="s">
        <v>28</v>
      </c>
      <c r="B381" s="55" t="s">
        <v>41</v>
      </c>
      <c r="C381" s="55" t="s">
        <v>40</v>
      </c>
      <c r="D381" s="55" t="s">
        <v>43</v>
      </c>
      <c r="E381" s="55" t="s">
        <v>25</v>
      </c>
      <c r="F381" s="55" t="s">
        <v>25</v>
      </c>
      <c r="G381" s="55" t="s">
        <v>25</v>
      </c>
      <c r="H381" s="55" t="s">
        <v>34</v>
      </c>
      <c r="I381" s="63">
        <v>44470</v>
      </c>
      <c r="J381" s="64">
        <f ca="1">EFEITO!$J$381*EFEITO!$Y$381</f>
        <v>6372.5081506537599</v>
      </c>
      <c r="K381" s="64">
        <f ca="1">EFEITO!$L$381*EFEITO!$Z$381</f>
        <v>284.09238475378368</v>
      </c>
      <c r="L381" s="64">
        <f>EFEITO!$N$381*EFEITO!$AA$381</f>
        <v>1314.2295447624485</v>
      </c>
      <c r="M381" s="64">
        <f ca="1">$J$381-EFEITO!$K$381*EFEITO!$Y$381</f>
        <v>0</v>
      </c>
      <c r="N381" s="64">
        <f ca="1">$K$381-EFEITO!$M$381*EFEITO!$Z$381</f>
        <v>0</v>
      </c>
      <c r="O381" s="64">
        <f>$L$381-EFEITO!$O$381*EFEITO!$AA$381</f>
        <v>0</v>
      </c>
      <c r="P381" s="19"/>
      <c r="Q381" s="19"/>
      <c r="R381" s="19"/>
      <c r="S381" s="19"/>
      <c r="T381" s="19"/>
      <c r="U381" s="19"/>
      <c r="V381" s="19"/>
      <c r="W381" s="19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55" t="s">
        <v>21</v>
      </c>
      <c r="B382" s="55" t="s">
        <v>41</v>
      </c>
      <c r="C382" s="55" t="s">
        <v>40</v>
      </c>
      <c r="D382" s="55" t="s">
        <v>43</v>
      </c>
      <c r="E382" s="55" t="s">
        <v>25</v>
      </c>
      <c r="F382" s="55" t="s">
        <v>25</v>
      </c>
      <c r="G382" s="55" t="s">
        <v>25</v>
      </c>
      <c r="H382" s="55" t="s">
        <v>34</v>
      </c>
      <c r="I382" s="63">
        <v>44501</v>
      </c>
      <c r="J382" s="64">
        <f ca="1">EFEITO!$J$382*EFEITO!$Y$382</f>
        <v>319095.51059298217</v>
      </c>
      <c r="K382" s="64">
        <f ca="1">EFEITO!$L$382*EFEITO!$Z$382</f>
        <v>20010.601598690715</v>
      </c>
      <c r="L382" s="64">
        <f>EFEITO!$N$382*EFEITO!$AA$382</f>
        <v>92570.323038621209</v>
      </c>
      <c r="M382" s="64">
        <f ca="1">$J$382-EFEITO!$K$382*EFEITO!$Y$382</f>
        <v>0</v>
      </c>
      <c r="N382" s="64">
        <f ca="1">$K$382-EFEITO!$M$382*EFEITO!$Z$382</f>
        <v>0</v>
      </c>
      <c r="O382" s="64">
        <f>$L$382-EFEITO!$O$382*EFEITO!$AA$382</f>
        <v>0</v>
      </c>
      <c r="P382" s="19"/>
      <c r="Q382" s="19"/>
      <c r="R382" s="19"/>
      <c r="S382" s="19"/>
      <c r="T382" s="19"/>
      <c r="U382" s="19"/>
      <c r="V382" s="19"/>
      <c r="W382" s="19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55" t="s">
        <v>28</v>
      </c>
      <c r="B383" s="55" t="s">
        <v>41</v>
      </c>
      <c r="C383" s="55" t="s">
        <v>40</v>
      </c>
      <c r="D383" s="55" t="s">
        <v>43</v>
      </c>
      <c r="E383" s="55" t="s">
        <v>25</v>
      </c>
      <c r="F383" s="55" t="s">
        <v>25</v>
      </c>
      <c r="G383" s="55" t="s">
        <v>25</v>
      </c>
      <c r="H383" s="55" t="s">
        <v>34</v>
      </c>
      <c r="I383" s="63">
        <v>44501</v>
      </c>
      <c r="J383" s="64">
        <f ca="1">EFEITO!$J$383*EFEITO!$Y$383</f>
        <v>6738.143864215861</v>
      </c>
      <c r="K383" s="64">
        <f ca="1">EFEITO!$L$383*EFEITO!$Z$383</f>
        <v>371.15797854619871</v>
      </c>
      <c r="L383" s="64">
        <f>EFEITO!$N$383*EFEITO!$AA$383</f>
        <v>1717.0005510794488</v>
      </c>
      <c r="M383" s="64">
        <f ca="1">$J$383-EFEITO!$K$383*EFEITO!$Y$383</f>
        <v>0</v>
      </c>
      <c r="N383" s="64">
        <f ca="1">$K$383-EFEITO!$M$383*EFEITO!$Z$383</f>
        <v>0</v>
      </c>
      <c r="O383" s="64">
        <f>$L$383-EFEITO!$O$383*EFEITO!$AA$383</f>
        <v>0</v>
      </c>
      <c r="P383" s="19"/>
      <c r="Q383" s="19"/>
      <c r="R383" s="19"/>
      <c r="S383" s="19"/>
      <c r="T383" s="19"/>
      <c r="U383" s="19"/>
      <c r="V383" s="19"/>
      <c r="W383" s="19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55" t="s">
        <v>21</v>
      </c>
      <c r="B384" s="55" t="s">
        <v>41</v>
      </c>
      <c r="C384" s="55" t="s">
        <v>40</v>
      </c>
      <c r="D384" s="55" t="s">
        <v>43</v>
      </c>
      <c r="E384" s="55" t="s">
        <v>25</v>
      </c>
      <c r="F384" s="55" t="s">
        <v>25</v>
      </c>
      <c r="G384" s="55" t="s">
        <v>25</v>
      </c>
      <c r="H384" s="55" t="s">
        <v>34</v>
      </c>
      <c r="I384" s="63">
        <v>44531</v>
      </c>
      <c r="J384" s="64">
        <f ca="1">EFEITO!$J$384*EFEITO!$Y$384</f>
        <v>343227.4676880808</v>
      </c>
      <c r="K384" s="64">
        <f ca="1">EFEITO!$L$384*EFEITO!$Z$384</f>
        <v>23269.798526961164</v>
      </c>
      <c r="L384" s="64">
        <f>EFEITO!$N$384*EFEITO!$AA$384</f>
        <v>107647.57651390992</v>
      </c>
      <c r="M384" s="64">
        <f ca="1">$J$384-EFEITO!$K$384*EFEITO!$Y$384</f>
        <v>0</v>
      </c>
      <c r="N384" s="64">
        <f ca="1">$K$384-EFEITO!$M$384*EFEITO!$Z$384</f>
        <v>0</v>
      </c>
      <c r="O384" s="64">
        <f>$L$384-EFEITO!$O$384*EFEITO!$AA$384</f>
        <v>0</v>
      </c>
      <c r="P384" s="19"/>
      <c r="Q384" s="19"/>
      <c r="R384" s="19"/>
      <c r="S384" s="19"/>
      <c r="T384" s="19"/>
      <c r="U384" s="19"/>
      <c r="V384" s="19"/>
      <c r="W384" s="19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55" t="s">
        <v>28</v>
      </c>
      <c r="B385" s="55" t="s">
        <v>41</v>
      </c>
      <c r="C385" s="55" t="s">
        <v>40</v>
      </c>
      <c r="D385" s="55" t="s">
        <v>43</v>
      </c>
      <c r="E385" s="55" t="s">
        <v>25</v>
      </c>
      <c r="F385" s="55" t="s">
        <v>25</v>
      </c>
      <c r="G385" s="55" t="s">
        <v>25</v>
      </c>
      <c r="H385" s="55" t="s">
        <v>34</v>
      </c>
      <c r="I385" s="63">
        <v>44531</v>
      </c>
      <c r="J385" s="64">
        <f ca="1">EFEITO!$J$385*EFEITO!$Y$385</f>
        <v>7051.545904411948</v>
      </c>
      <c r="K385" s="64">
        <f ca="1">EFEITO!$L$385*EFEITO!$Z$385</f>
        <v>325.44464799508279</v>
      </c>
      <c r="L385" s="64">
        <f>EFEITO!$N$385*EFEITO!$AA$385</f>
        <v>1505.5277597484298</v>
      </c>
      <c r="M385" s="64">
        <f ca="1">$J$385-EFEITO!$K$385*EFEITO!$Y$385</f>
        <v>0</v>
      </c>
      <c r="N385" s="64">
        <f ca="1">$K$385-EFEITO!$M$385*EFEITO!$Z$385</f>
        <v>0</v>
      </c>
      <c r="O385" s="64">
        <f>$L$385-EFEITO!$O$385*EFEITO!$AA$385</f>
        <v>0</v>
      </c>
      <c r="P385" s="19"/>
      <c r="Q385" s="19"/>
      <c r="R385" s="19"/>
      <c r="S385" s="19"/>
      <c r="T385" s="19"/>
      <c r="U385" s="19"/>
      <c r="V385" s="19"/>
      <c r="W385" s="19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55" t="s">
        <v>21</v>
      </c>
      <c r="B386" s="55" t="s">
        <v>41</v>
      </c>
      <c r="C386" s="55" t="s">
        <v>40</v>
      </c>
      <c r="D386" s="55" t="s">
        <v>43</v>
      </c>
      <c r="E386" s="55" t="s">
        <v>25</v>
      </c>
      <c r="F386" s="55" t="s">
        <v>25</v>
      </c>
      <c r="G386" s="55" t="s">
        <v>25</v>
      </c>
      <c r="H386" s="55" t="s">
        <v>34</v>
      </c>
      <c r="I386" s="63">
        <v>44562</v>
      </c>
      <c r="J386" s="64">
        <f ca="1">EFEITO!$J$386*EFEITO!$Y$386</f>
        <v>341869.39218056446</v>
      </c>
      <c r="K386" s="64">
        <f ca="1">EFEITO!$L$386*EFEITO!$Z$386</f>
        <v>21406.065261630145</v>
      </c>
      <c r="L386" s="64">
        <f>EFEITO!$N$386*EFEITO!$AA$386</f>
        <v>99025.82720874135</v>
      </c>
      <c r="M386" s="64">
        <f ca="1">$J$386-EFEITO!$K$386*EFEITO!$Y$386</f>
        <v>0</v>
      </c>
      <c r="N386" s="64">
        <f ca="1">$K$386-EFEITO!$M$386*EFEITO!$Z$386</f>
        <v>0</v>
      </c>
      <c r="O386" s="64">
        <f>$L$386-EFEITO!$O$386*EFEITO!$AA$386</f>
        <v>0</v>
      </c>
      <c r="P386" s="19"/>
      <c r="Q386" s="19"/>
      <c r="R386" s="19"/>
      <c r="S386" s="19"/>
      <c r="T386" s="19"/>
      <c r="U386" s="19"/>
      <c r="V386" s="19"/>
      <c r="W386" s="19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55" t="s">
        <v>27</v>
      </c>
      <c r="B387" s="55" t="s">
        <v>41</v>
      </c>
      <c r="C387" s="55" t="s">
        <v>40</v>
      </c>
      <c r="D387" s="55" t="s">
        <v>43</v>
      </c>
      <c r="E387" s="55" t="s">
        <v>25</v>
      </c>
      <c r="F387" s="55" t="s">
        <v>25</v>
      </c>
      <c r="G387" s="55" t="s">
        <v>25</v>
      </c>
      <c r="H387" s="55" t="s">
        <v>34</v>
      </c>
      <c r="I387" s="63">
        <v>44562</v>
      </c>
      <c r="J387" s="64">
        <f ca="1">EFEITO!$J$387*EFEITO!$Y$387</f>
        <v>365.63571356210099</v>
      </c>
      <c r="K387" s="64">
        <f ca="1">EFEITO!$L$387*EFEITO!$Z$387</f>
        <v>0</v>
      </c>
      <c r="L387" s="64">
        <f>EFEITO!$N$387*EFEITO!$AA$387</f>
        <v>0</v>
      </c>
      <c r="M387" s="64">
        <f ca="1">$J$387-EFEITO!$K$387*EFEITO!$Y$387</f>
        <v>0</v>
      </c>
      <c r="N387" s="64">
        <f ca="1">$K$387-EFEITO!$M$387*EFEITO!$Z$387</f>
        <v>0</v>
      </c>
      <c r="O387" s="64">
        <f>$L$387-EFEITO!$O$387*EFEITO!$AA$387</f>
        <v>0</v>
      </c>
      <c r="P387" s="19"/>
      <c r="Q387" s="19"/>
      <c r="R387" s="19"/>
      <c r="S387" s="19"/>
      <c r="T387" s="19"/>
      <c r="U387" s="19"/>
      <c r="V387" s="19"/>
      <c r="W387" s="19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55" t="s">
        <v>28</v>
      </c>
      <c r="B388" s="55" t="s">
        <v>41</v>
      </c>
      <c r="C388" s="55" t="s">
        <v>40</v>
      </c>
      <c r="D388" s="55" t="s">
        <v>43</v>
      </c>
      <c r="E388" s="55" t="s">
        <v>25</v>
      </c>
      <c r="F388" s="55" t="s">
        <v>25</v>
      </c>
      <c r="G388" s="55" t="s">
        <v>25</v>
      </c>
      <c r="H388" s="55" t="s">
        <v>34</v>
      </c>
      <c r="I388" s="63">
        <v>44562</v>
      </c>
      <c r="J388" s="64">
        <f ca="1">EFEITO!$J$388*EFEITO!$Y$388</f>
        <v>17654.981597712878</v>
      </c>
      <c r="K388" s="64">
        <f ca="1">EFEITO!$L$388*EFEITO!$Z$388</f>
        <v>1136.0580342072906</v>
      </c>
      <c r="L388" s="64">
        <f>EFEITO!$N$388*EFEITO!$AA$388</f>
        <v>5255.4771378822907</v>
      </c>
      <c r="M388" s="64">
        <f ca="1">$J$388-EFEITO!$K$388*EFEITO!$Y$388</f>
        <v>0</v>
      </c>
      <c r="N388" s="64">
        <f ca="1">$K$388-EFEITO!$M$388*EFEITO!$Z$388</f>
        <v>0</v>
      </c>
      <c r="O388" s="64">
        <f>$L$388-EFEITO!$O$388*EFEITO!$AA$388</f>
        <v>0</v>
      </c>
      <c r="P388" s="19"/>
      <c r="Q388" s="19"/>
      <c r="R388" s="19"/>
      <c r="S388" s="19"/>
      <c r="T388" s="19"/>
      <c r="U388" s="19"/>
      <c r="V388" s="19"/>
      <c r="W388" s="19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55" t="s">
        <v>21</v>
      </c>
      <c r="B389" s="55" t="s">
        <v>41</v>
      </c>
      <c r="C389" s="55" t="s">
        <v>40</v>
      </c>
      <c r="D389" s="55" t="s">
        <v>43</v>
      </c>
      <c r="E389" s="55" t="s">
        <v>25</v>
      </c>
      <c r="F389" s="55" t="s">
        <v>25</v>
      </c>
      <c r="G389" s="55" t="s">
        <v>25</v>
      </c>
      <c r="H389" s="55" t="s">
        <v>34</v>
      </c>
      <c r="I389" s="63">
        <v>44593</v>
      </c>
      <c r="J389" s="64">
        <f ca="1">EFEITO!$J$389*EFEITO!$Y$389</f>
        <v>353569.73501455167</v>
      </c>
      <c r="K389" s="64">
        <f ca="1">EFEITO!$L$389*EFEITO!$Z$389</f>
        <v>21095.884349219421</v>
      </c>
      <c r="L389" s="64">
        <f>EFEITO!$N$389*EFEITO!$AA$389</f>
        <v>97590.910466200556</v>
      </c>
      <c r="M389" s="64">
        <f ca="1">$J$389-EFEITO!$K$389*EFEITO!$Y$389</f>
        <v>0</v>
      </c>
      <c r="N389" s="64">
        <f ca="1">$K$389-EFEITO!$M$389*EFEITO!$Z$389</f>
        <v>0</v>
      </c>
      <c r="O389" s="64">
        <f>$L$389-EFEITO!$O$389*EFEITO!$AA$389</f>
        <v>0</v>
      </c>
      <c r="P389" s="19"/>
      <c r="Q389" s="19"/>
      <c r="R389" s="19"/>
      <c r="S389" s="19"/>
      <c r="T389" s="19"/>
      <c r="U389" s="19"/>
      <c r="V389" s="19"/>
      <c r="W389" s="19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55" t="s">
        <v>28</v>
      </c>
      <c r="B390" s="55" t="s">
        <v>41</v>
      </c>
      <c r="C390" s="55" t="s">
        <v>40</v>
      </c>
      <c r="D390" s="55" t="s">
        <v>43</v>
      </c>
      <c r="E390" s="55" t="s">
        <v>25</v>
      </c>
      <c r="F390" s="55" t="s">
        <v>25</v>
      </c>
      <c r="G390" s="55" t="s">
        <v>25</v>
      </c>
      <c r="H390" s="55" t="s">
        <v>34</v>
      </c>
      <c r="I390" s="63">
        <v>44593</v>
      </c>
      <c r="J390" s="64">
        <f ca="1">EFEITO!$J$390*EFEITO!$Y$390</f>
        <v>17341.57955751679</v>
      </c>
      <c r="K390" s="64">
        <f ca="1">EFEITO!$L$390*EFEITO!$Z$390</f>
        <v>1029.4455137226605</v>
      </c>
      <c r="L390" s="64">
        <f>EFEITO!$N$390*EFEITO!$AA$390</f>
        <v>4762.2807983044968</v>
      </c>
      <c r="M390" s="64">
        <f ca="1">$J$390-EFEITO!$K$390*EFEITO!$Y$390</f>
        <v>0</v>
      </c>
      <c r="N390" s="64">
        <f ca="1">$K$390-EFEITO!$M$390*EFEITO!$Z$390</f>
        <v>0</v>
      </c>
      <c r="O390" s="64">
        <f>$L$390-EFEITO!$O$390*EFEITO!$AA$390</f>
        <v>0</v>
      </c>
      <c r="P390" s="19"/>
      <c r="Q390" s="19"/>
      <c r="R390" s="19"/>
      <c r="S390" s="19"/>
      <c r="T390" s="19"/>
      <c r="U390" s="19"/>
      <c r="V390" s="19"/>
      <c r="W390" s="19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55" t="s">
        <v>21</v>
      </c>
      <c r="B391" s="55" t="s">
        <v>41</v>
      </c>
      <c r="C391" s="55" t="s">
        <v>40</v>
      </c>
      <c r="D391" s="55" t="s">
        <v>43</v>
      </c>
      <c r="E391" s="55" t="s">
        <v>25</v>
      </c>
      <c r="F391" s="55" t="s">
        <v>25</v>
      </c>
      <c r="G391" s="55" t="s">
        <v>25</v>
      </c>
      <c r="H391" s="55" t="s">
        <v>34</v>
      </c>
      <c r="I391" s="63">
        <v>44621</v>
      </c>
      <c r="J391" s="64">
        <f ca="1">EFEITO!$J$391*EFEITO!$Y$391</f>
        <v>356808.22276324459</v>
      </c>
      <c r="K391" s="64">
        <f ca="1">EFEITO!$L$391*EFEITO!$Z$391</f>
        <v>23007.355726352544</v>
      </c>
      <c r="L391" s="64">
        <f>EFEITO!$N$391*EFEITO!$AA$391</f>
        <v>106433.49933028891</v>
      </c>
      <c r="M391" s="64">
        <f ca="1">$J$391-EFEITO!$K$391*EFEITO!$Y$391</f>
        <v>0</v>
      </c>
      <c r="N391" s="64">
        <f ca="1">$K$391-EFEITO!$M$391*EFEITO!$Z$391</f>
        <v>0</v>
      </c>
      <c r="O391" s="64">
        <f>$L$391-EFEITO!$O$391*EFEITO!$AA$391</f>
        <v>0</v>
      </c>
      <c r="P391" s="19"/>
      <c r="Q391" s="19"/>
      <c r="R391" s="19"/>
      <c r="S391" s="19"/>
      <c r="T391" s="19"/>
      <c r="U391" s="19"/>
      <c r="V391" s="19"/>
      <c r="W391" s="19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55" t="s">
        <v>28</v>
      </c>
      <c r="B392" s="55" t="s">
        <v>41</v>
      </c>
      <c r="C392" s="55" t="s">
        <v>40</v>
      </c>
      <c r="D392" s="55" t="s">
        <v>43</v>
      </c>
      <c r="E392" s="55" t="s">
        <v>25</v>
      </c>
      <c r="F392" s="55" t="s">
        <v>25</v>
      </c>
      <c r="G392" s="55" t="s">
        <v>25</v>
      </c>
      <c r="H392" s="55" t="s">
        <v>34</v>
      </c>
      <c r="I392" s="63">
        <v>44621</v>
      </c>
      <c r="J392" s="64">
        <f ca="1">EFEITO!$J$392*EFEITO!$Y$392</f>
        <v>13580.755075163752</v>
      </c>
      <c r="K392" s="64">
        <f ca="1">EFEITO!$L$392*EFEITO!$Z$392</f>
        <v>916.05776366742248</v>
      </c>
      <c r="L392" s="64">
        <f>EFEITO!$N$392*EFEITO!$AA$392</f>
        <v>4237.7418133335195</v>
      </c>
      <c r="M392" s="64">
        <f ca="1">$J$392-EFEITO!$K$392*EFEITO!$Y$392</f>
        <v>0</v>
      </c>
      <c r="N392" s="64">
        <f ca="1">$K$392-EFEITO!$M$392*EFEITO!$Z$392</f>
        <v>0</v>
      </c>
      <c r="O392" s="64">
        <f>$L$392-EFEITO!$O$392*EFEITO!$AA$392</f>
        <v>0</v>
      </c>
      <c r="P392" s="19"/>
      <c r="Q392" s="19"/>
      <c r="R392" s="19"/>
      <c r="S392" s="19"/>
      <c r="T392" s="19"/>
      <c r="U392" s="19"/>
      <c r="V392" s="19"/>
      <c r="W392" s="19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55" t="s">
        <v>21</v>
      </c>
      <c r="B393" s="55" t="s">
        <v>41</v>
      </c>
      <c r="C393" s="55" t="s">
        <v>40</v>
      </c>
      <c r="D393" s="55" t="s">
        <v>43</v>
      </c>
      <c r="E393" s="55" t="s">
        <v>25</v>
      </c>
      <c r="F393" s="55" t="s">
        <v>25</v>
      </c>
      <c r="G393" s="55" t="s">
        <v>25</v>
      </c>
      <c r="H393" s="55" t="s">
        <v>34</v>
      </c>
      <c r="I393" s="63">
        <v>44652</v>
      </c>
      <c r="J393" s="64">
        <f ca="1">EFEITO!$J$393*EFEITO!$Y$393</f>
        <v>365270.07784853893</v>
      </c>
      <c r="K393" s="64">
        <f ca="1">EFEITO!$L$393*EFEITO!$Z$393</f>
        <v>20600.981085757172</v>
      </c>
      <c r="L393" s="64">
        <f>EFEITO!$N$393*EFEITO!$AA$393</f>
        <v>95301.456311330679</v>
      </c>
      <c r="M393" s="64">
        <f ca="1">$J$393-EFEITO!$K$393*EFEITO!$Y$393</f>
        <v>0</v>
      </c>
      <c r="N393" s="64">
        <f ca="1">$K$393-EFEITO!$M$393*EFEITO!$Z$393</f>
        <v>0</v>
      </c>
      <c r="O393" s="64">
        <f>$L$393-EFEITO!$O$393*EFEITO!$AA$393</f>
        <v>0</v>
      </c>
      <c r="P393" s="19"/>
      <c r="Q393" s="19"/>
      <c r="R393" s="19"/>
      <c r="S393" s="19"/>
      <c r="T393" s="19"/>
      <c r="U393" s="19"/>
      <c r="V393" s="19"/>
      <c r="W393" s="19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55" t="s">
        <v>27</v>
      </c>
      <c r="B394" s="55" t="s">
        <v>41</v>
      </c>
      <c r="C394" s="55" t="s">
        <v>40</v>
      </c>
      <c r="D394" s="55" t="s">
        <v>43</v>
      </c>
      <c r="E394" s="55" t="s">
        <v>25</v>
      </c>
      <c r="F394" s="55" t="s">
        <v>25</v>
      </c>
      <c r="G394" s="55" t="s">
        <v>25</v>
      </c>
      <c r="H394" s="55" t="s">
        <v>34</v>
      </c>
      <c r="I394" s="63">
        <v>44652</v>
      </c>
      <c r="J394" s="64">
        <f ca="1">EFEITO!$J$394*EFEITO!$Y$394</f>
        <v>0</v>
      </c>
      <c r="K394" s="64">
        <f ca="1">EFEITO!$L$394*EFEITO!$Z$394</f>
        <v>-39.638986798156765</v>
      </c>
      <c r="L394" s="64">
        <f>EFEITO!$N$394*EFEITO!$AA$394</f>
        <v>-183.37248856471663</v>
      </c>
      <c r="M394" s="64">
        <f ca="1">$J$394-EFEITO!$K$394*EFEITO!$Y$394</f>
        <v>0</v>
      </c>
      <c r="N394" s="64">
        <f ca="1">$K$394-EFEITO!$M$394*EFEITO!$Z$394</f>
        <v>0</v>
      </c>
      <c r="O394" s="64">
        <f>$L$394-EFEITO!$O$394*EFEITO!$AA$394</f>
        <v>0</v>
      </c>
      <c r="P394" s="19"/>
      <c r="Q394" s="19"/>
      <c r="R394" s="19"/>
      <c r="S394" s="19"/>
      <c r="T394" s="19"/>
      <c r="U394" s="19"/>
      <c r="V394" s="19"/>
      <c r="W394" s="19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55" t="s">
        <v>28</v>
      </c>
      <c r="B395" s="55" t="s">
        <v>41</v>
      </c>
      <c r="C395" s="55" t="s">
        <v>40</v>
      </c>
      <c r="D395" s="55" t="s">
        <v>43</v>
      </c>
      <c r="E395" s="55" t="s">
        <v>25</v>
      </c>
      <c r="F395" s="55" t="s">
        <v>25</v>
      </c>
      <c r="G395" s="55" t="s">
        <v>25</v>
      </c>
      <c r="H395" s="55" t="s">
        <v>34</v>
      </c>
      <c r="I395" s="63">
        <v>44652</v>
      </c>
      <c r="J395" s="64">
        <f ca="1">EFEITO!$J$395*EFEITO!$Y$395</f>
        <v>13319.58670833368</v>
      </c>
      <c r="K395" s="64">
        <f ca="1">EFEITO!$L$395*EFEITO!$Z$395</f>
        <v>792.46823115529128</v>
      </c>
      <c r="L395" s="64">
        <f>EFEITO!$N$395*EFEITO!$AA$395</f>
        <v>3666.00873012683</v>
      </c>
      <c r="M395" s="64">
        <f ca="1">$J$395-EFEITO!$K$395*EFEITO!$Y$395</f>
        <v>0</v>
      </c>
      <c r="N395" s="64">
        <f ca="1">$K$395-EFEITO!$M$395*EFEITO!$Z$395</f>
        <v>0</v>
      </c>
      <c r="O395" s="64">
        <f>$L$395-EFEITO!$O$395*EFEITO!$AA$395</f>
        <v>0</v>
      </c>
      <c r="P395" s="19"/>
      <c r="Q395" s="19"/>
      <c r="R395" s="19"/>
      <c r="S395" s="19"/>
      <c r="T395" s="19"/>
      <c r="U395" s="19"/>
      <c r="V395" s="19"/>
      <c r="W395" s="19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55" t="s">
        <v>21</v>
      </c>
      <c r="B396" s="55" t="s">
        <v>41</v>
      </c>
      <c r="C396" s="55" t="s">
        <v>40</v>
      </c>
      <c r="D396" s="55" t="s">
        <v>43</v>
      </c>
      <c r="E396" s="55" t="s">
        <v>25</v>
      </c>
      <c r="F396" s="55" t="s">
        <v>25</v>
      </c>
      <c r="G396" s="55" t="s">
        <v>25</v>
      </c>
      <c r="H396" s="55" t="s">
        <v>34</v>
      </c>
      <c r="I396" s="63">
        <v>44682</v>
      </c>
      <c r="J396" s="64">
        <f ca="1">EFEITO!$J$396*EFEITO!$Y$396</f>
        <v>352681.76256732945</v>
      </c>
      <c r="K396" s="64">
        <f ca="1">EFEITO!$L$396*EFEITO!$Z$396</f>
        <v>21665.548766564247</v>
      </c>
      <c r="L396" s="64">
        <f>EFEITO!$N$396*EFEITO!$AA$396</f>
        <v>100226.21450127108</v>
      </c>
      <c r="M396" s="64">
        <f ca="1">$J$396-EFEITO!$K$396*EFEITO!$Y$396</f>
        <v>0</v>
      </c>
      <c r="N396" s="64">
        <f ca="1">$K$396-EFEITO!$M$396*EFEITO!$Z$396</f>
        <v>0</v>
      </c>
      <c r="O396" s="64">
        <f>$L$396-EFEITO!$O$396*EFEITO!$AA$396</f>
        <v>0</v>
      </c>
      <c r="P396" s="19"/>
      <c r="Q396" s="19"/>
      <c r="R396" s="19"/>
      <c r="S396" s="19"/>
      <c r="T396" s="19"/>
      <c r="U396" s="19"/>
      <c r="V396" s="19"/>
      <c r="W396" s="19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55" t="s">
        <v>27</v>
      </c>
      <c r="B397" s="55" t="s">
        <v>41</v>
      </c>
      <c r="C397" s="55" t="s">
        <v>40</v>
      </c>
      <c r="D397" s="55" t="s">
        <v>43</v>
      </c>
      <c r="E397" s="55" t="s">
        <v>25</v>
      </c>
      <c r="F397" s="55" t="s">
        <v>25</v>
      </c>
      <c r="G397" s="55" t="s">
        <v>25</v>
      </c>
      <c r="H397" s="55" t="s">
        <v>34</v>
      </c>
      <c r="I397" s="63">
        <v>44682</v>
      </c>
      <c r="J397" s="64">
        <f ca="1">EFEITO!$J$397*EFEITO!$Y$397</f>
        <v>-2507.2163215686924</v>
      </c>
      <c r="K397" s="64">
        <f ca="1">EFEITO!$L$397*EFEITO!$Z$397</f>
        <v>-99.837290914021565</v>
      </c>
      <c r="L397" s="64">
        <f>EFEITO!$N$397*EFEITO!$AA$397</f>
        <v>-461.85369418461045</v>
      </c>
      <c r="M397" s="64">
        <f ca="1">$J$397-EFEITO!$K$397*EFEITO!$Y$397</f>
        <v>0</v>
      </c>
      <c r="N397" s="64">
        <f ca="1">$K$397-EFEITO!$M$397*EFEITO!$Z$397</f>
        <v>0</v>
      </c>
      <c r="O397" s="64">
        <f>$L$397-EFEITO!$O$397*EFEITO!$AA$397</f>
        <v>0</v>
      </c>
      <c r="P397" s="19"/>
      <c r="Q397" s="19"/>
      <c r="R397" s="19"/>
      <c r="S397" s="19"/>
      <c r="T397" s="19"/>
      <c r="U397" s="19"/>
      <c r="V397" s="19"/>
      <c r="W397" s="19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55" t="s">
        <v>28</v>
      </c>
      <c r="B398" s="55" t="s">
        <v>41</v>
      </c>
      <c r="C398" s="55" t="s">
        <v>40</v>
      </c>
      <c r="D398" s="55" t="s">
        <v>43</v>
      </c>
      <c r="E398" s="55" t="s">
        <v>25</v>
      </c>
      <c r="F398" s="55" t="s">
        <v>25</v>
      </c>
      <c r="G398" s="55" t="s">
        <v>25</v>
      </c>
      <c r="H398" s="55" t="s">
        <v>34</v>
      </c>
      <c r="I398" s="63">
        <v>44682</v>
      </c>
      <c r="J398" s="64">
        <f ca="1">EFEITO!$J$398*EFEITO!$Y$398</f>
        <v>26848.108110131416</v>
      </c>
      <c r="K398" s="64">
        <f ca="1">EFEITO!$L$398*EFEITO!$Z$398</f>
        <v>1266.5785486939521</v>
      </c>
      <c r="L398" s="64">
        <f>EFEITO!$N$398*EFEITO!$AA$398</f>
        <v>5859.2733870659158</v>
      </c>
      <c r="M398" s="64">
        <f ca="1">$J$398-EFEITO!$K$398*EFEITO!$Y$398</f>
        <v>0</v>
      </c>
      <c r="N398" s="64">
        <f ca="1">$K$398-EFEITO!$M$398*EFEITO!$Z$398</f>
        <v>0</v>
      </c>
      <c r="O398" s="64">
        <f>$L$398-EFEITO!$O$398*EFEITO!$AA$398</f>
        <v>0</v>
      </c>
      <c r="P398" s="19"/>
      <c r="Q398" s="19"/>
      <c r="R398" s="19"/>
      <c r="S398" s="19"/>
      <c r="T398" s="19"/>
      <c r="U398" s="19"/>
      <c r="V398" s="19"/>
      <c r="W398" s="19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55" t="s">
        <v>21</v>
      </c>
      <c r="B399" s="55" t="s">
        <v>41</v>
      </c>
      <c r="C399" s="55" t="s">
        <v>40</v>
      </c>
      <c r="D399" s="55" t="s">
        <v>43</v>
      </c>
      <c r="E399" s="55" t="s">
        <v>25</v>
      </c>
      <c r="F399" s="55" t="s">
        <v>25</v>
      </c>
      <c r="G399" s="55" t="s">
        <v>25</v>
      </c>
      <c r="H399" s="55" t="s">
        <v>34</v>
      </c>
      <c r="I399" s="63">
        <v>44713</v>
      </c>
      <c r="J399" s="64">
        <f ca="1">EFEITO!$J$399*EFEITO!$Y$399</f>
        <v>337638.46463791729</v>
      </c>
      <c r="K399" s="64">
        <f ca="1">EFEITO!$L$399*EFEITO!$Z$399</f>
        <v>19342.19015725932</v>
      </c>
      <c r="L399" s="64">
        <f>EFEITO!$N$399*EFEITO!$AA$399</f>
        <v>89478.208953452326</v>
      </c>
      <c r="M399" s="64">
        <f ca="1">$J$399-EFEITO!$K$399*EFEITO!$Y$399</f>
        <v>0</v>
      </c>
      <c r="N399" s="64">
        <f ca="1">$K$399-EFEITO!$M$399*EFEITO!$Z$399</f>
        <v>0</v>
      </c>
      <c r="O399" s="64">
        <f>$L$399-EFEITO!$O$399*EFEITO!$AA$399</f>
        <v>0</v>
      </c>
      <c r="P399" s="19"/>
      <c r="Q399" s="19"/>
      <c r="R399" s="19"/>
      <c r="S399" s="19"/>
      <c r="T399" s="19"/>
      <c r="U399" s="19"/>
      <c r="V399" s="19"/>
      <c r="W399" s="19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55" t="s">
        <v>28</v>
      </c>
      <c r="B400" s="55" t="s">
        <v>41</v>
      </c>
      <c r="C400" s="55" t="s">
        <v>40</v>
      </c>
      <c r="D400" s="55" t="s">
        <v>43</v>
      </c>
      <c r="E400" s="55" t="s">
        <v>25</v>
      </c>
      <c r="F400" s="55" t="s">
        <v>25</v>
      </c>
      <c r="G400" s="55" t="s">
        <v>25</v>
      </c>
      <c r="H400" s="55" t="s">
        <v>34</v>
      </c>
      <c r="I400" s="63">
        <v>44713</v>
      </c>
      <c r="J400" s="64">
        <f ca="1">EFEITO!$J$400*EFEITO!$Y$400</f>
        <v>29094.156064870036</v>
      </c>
      <c r="K400" s="64">
        <f ca="1">EFEITO!$L$400*EFEITO!$Z$400</f>
        <v>1089.1765606267595</v>
      </c>
      <c r="L400" s="64">
        <f>EFEITO!$N$400*EFEITO!$AA$400</f>
        <v>5038.6004421731368</v>
      </c>
      <c r="M400" s="64">
        <f ca="1">$J$400-EFEITO!$K$400*EFEITO!$Y$400</f>
        <v>0</v>
      </c>
      <c r="N400" s="64">
        <f ca="1">$K$400-EFEITO!$M$400*EFEITO!$Z$400</f>
        <v>0</v>
      </c>
      <c r="O400" s="64">
        <f>$L$400-EFEITO!$O$400*EFEITO!$AA$400</f>
        <v>0</v>
      </c>
      <c r="P400" s="19"/>
      <c r="Q400" s="19"/>
      <c r="R400" s="19"/>
      <c r="S400" s="19"/>
      <c r="T400" s="19"/>
      <c r="U400" s="19"/>
      <c r="V400" s="19"/>
      <c r="W400" s="19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55" t="s">
        <v>57</v>
      </c>
      <c r="B401" s="55" t="s">
        <v>41</v>
      </c>
      <c r="C401" s="55" t="s">
        <v>40</v>
      </c>
      <c r="D401" s="55" t="s">
        <v>43</v>
      </c>
      <c r="E401" s="55" t="s">
        <v>25</v>
      </c>
      <c r="F401" s="55" t="s">
        <v>25</v>
      </c>
      <c r="G401" s="55" t="s">
        <v>25</v>
      </c>
      <c r="H401" s="55" t="s">
        <v>34</v>
      </c>
      <c r="I401" s="63">
        <v>44743</v>
      </c>
      <c r="J401" s="64">
        <f ca="1">EFEITO!$J$401*EFEITO!$Y$401</f>
        <v>337638.46463791729</v>
      </c>
      <c r="K401" s="64">
        <f ca="1">EFEITO!$L$401*EFEITO!$Z$401</f>
        <v>19342.19015725932</v>
      </c>
      <c r="L401" s="64">
        <f>EFEITO!$N$401*EFEITO!$AA$401</f>
        <v>89478.208953452326</v>
      </c>
      <c r="M401" s="64">
        <f ca="1">$J$401-EFEITO!$K$401*EFEITO!$Y$401</f>
        <v>0</v>
      </c>
      <c r="N401" s="64">
        <f ca="1">$K$401-EFEITO!$M$401*EFEITO!$Z$401</f>
        <v>0</v>
      </c>
      <c r="O401" s="64">
        <f>$L$401-EFEITO!$O$401*EFEITO!$AA$401</f>
        <v>0</v>
      </c>
      <c r="P401" s="19"/>
      <c r="Q401" s="19"/>
      <c r="R401" s="19"/>
      <c r="S401" s="19"/>
      <c r="T401" s="19"/>
      <c r="U401" s="19"/>
      <c r="V401" s="19"/>
      <c r="W401" s="19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55" t="s">
        <v>57</v>
      </c>
      <c r="B402" s="55" t="s">
        <v>41</v>
      </c>
      <c r="C402" s="55" t="s">
        <v>40</v>
      </c>
      <c r="D402" s="55" t="s">
        <v>43</v>
      </c>
      <c r="E402" s="55" t="s">
        <v>25</v>
      </c>
      <c r="F402" s="55" t="s">
        <v>25</v>
      </c>
      <c r="G402" s="55" t="s">
        <v>25</v>
      </c>
      <c r="H402" s="55" t="s">
        <v>34</v>
      </c>
      <c r="I402" s="63">
        <v>44743</v>
      </c>
      <c r="J402" s="64">
        <f ca="1">EFEITO!$J$402*EFEITO!$Y$402</f>
        <v>29094.156064870036</v>
      </c>
      <c r="K402" s="64">
        <f ca="1">EFEITO!$L$402*EFEITO!$Z$402</f>
        <v>1089.1765606267595</v>
      </c>
      <c r="L402" s="64">
        <f>EFEITO!$N$402*EFEITO!$AA$402</f>
        <v>5038.6004421731368</v>
      </c>
      <c r="M402" s="64">
        <f ca="1">$J$402-EFEITO!$K$402*EFEITO!$Y$402</f>
        <v>0</v>
      </c>
      <c r="N402" s="64">
        <f ca="1">$K$402-EFEITO!$M$402*EFEITO!$Z$402</f>
        <v>0</v>
      </c>
      <c r="O402" s="64">
        <f>$L$402-EFEITO!$O$402*EFEITO!$AA$402</f>
        <v>0</v>
      </c>
      <c r="P402" s="19"/>
      <c r="Q402" s="19"/>
      <c r="R402" s="19"/>
      <c r="S402" s="19"/>
      <c r="T402" s="19"/>
      <c r="U402" s="19"/>
      <c r="V402" s="19"/>
      <c r="W402" s="19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55" t="s">
        <v>21</v>
      </c>
      <c r="B403" s="55" t="s">
        <v>41</v>
      </c>
      <c r="C403" s="55" t="s">
        <v>40</v>
      </c>
      <c r="D403" s="55" t="s">
        <v>38</v>
      </c>
      <c r="E403" s="55" t="s">
        <v>25</v>
      </c>
      <c r="F403" s="55" t="s">
        <v>61</v>
      </c>
      <c r="G403" s="55" t="s">
        <v>25</v>
      </c>
      <c r="H403" s="55" t="s">
        <v>35</v>
      </c>
      <c r="I403" s="63">
        <v>44409</v>
      </c>
      <c r="J403" s="64">
        <f ca="1">EFEITO!$J$403*EFEITO!$Y$403</f>
        <v>386817.73802231409</v>
      </c>
      <c r="K403" s="64">
        <f ca="1">EFEITO!$L$403*EFEITO!$Z$403</f>
        <v>0</v>
      </c>
      <c r="L403" s="64">
        <f>EFEITO!$N$403*EFEITO!$AA$403</f>
        <v>0</v>
      </c>
      <c r="M403" s="64">
        <f ca="1">$J$403-EFEITO!$K$403*EFEITO!$Y$403</f>
        <v>193408.86901115705</v>
      </c>
      <c r="N403" s="64">
        <f ca="1">$K$403-EFEITO!$M$403*EFEITO!$Z$403</f>
        <v>0</v>
      </c>
      <c r="O403" s="64">
        <f>$L$403-EFEITO!$O$403*EFEITO!$AA$403</f>
        <v>0</v>
      </c>
      <c r="P403" s="19"/>
      <c r="Q403" s="19"/>
      <c r="R403" s="19"/>
      <c r="S403" s="19"/>
      <c r="T403" s="19"/>
      <c r="U403" s="19"/>
      <c r="V403" s="19"/>
      <c r="W403" s="19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55" t="s">
        <v>21</v>
      </c>
      <c r="B404" s="55" t="s">
        <v>41</v>
      </c>
      <c r="C404" s="55" t="s">
        <v>40</v>
      </c>
      <c r="D404" s="55" t="s">
        <v>38</v>
      </c>
      <c r="E404" s="55" t="s">
        <v>25</v>
      </c>
      <c r="F404" s="55" t="s">
        <v>61</v>
      </c>
      <c r="G404" s="55" t="s">
        <v>25</v>
      </c>
      <c r="H404" s="55" t="s">
        <v>35</v>
      </c>
      <c r="I404" s="63">
        <v>44440</v>
      </c>
      <c r="J404" s="64">
        <f ca="1">EFEITO!$J$404*EFEITO!$Y$404</f>
        <v>386528.65621524531</v>
      </c>
      <c r="K404" s="64">
        <f ca="1">EFEITO!$L$404*EFEITO!$Z$404</f>
        <v>0</v>
      </c>
      <c r="L404" s="64">
        <f>EFEITO!$N$404*EFEITO!$AA$404</f>
        <v>0</v>
      </c>
      <c r="M404" s="64">
        <f ca="1">$J$404-EFEITO!$K$404*EFEITO!$Y$404</f>
        <v>193264.32810762266</v>
      </c>
      <c r="N404" s="64">
        <f ca="1">$K$404-EFEITO!$M$404*EFEITO!$Z$404</f>
        <v>0</v>
      </c>
      <c r="O404" s="64">
        <f>$L$404-EFEITO!$O$404*EFEITO!$AA$404</f>
        <v>0</v>
      </c>
      <c r="P404" s="19"/>
      <c r="Q404" s="19"/>
      <c r="R404" s="19"/>
      <c r="S404" s="19"/>
      <c r="T404" s="19"/>
      <c r="U404" s="19"/>
      <c r="V404" s="19"/>
      <c r="W404" s="19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55" t="s">
        <v>21</v>
      </c>
      <c r="B405" s="55" t="s">
        <v>41</v>
      </c>
      <c r="C405" s="55" t="s">
        <v>40</v>
      </c>
      <c r="D405" s="55" t="s">
        <v>38</v>
      </c>
      <c r="E405" s="55" t="s">
        <v>25</v>
      </c>
      <c r="F405" s="55" t="s">
        <v>61</v>
      </c>
      <c r="G405" s="55" t="s">
        <v>25</v>
      </c>
      <c r="H405" s="55" t="s">
        <v>35</v>
      </c>
      <c r="I405" s="63">
        <v>44470</v>
      </c>
      <c r="J405" s="64">
        <f ca="1">EFEITO!$J$405*EFEITO!$Y$405</f>
        <v>385713.97112259688</v>
      </c>
      <c r="K405" s="64">
        <f ca="1">EFEITO!$L$405*EFEITO!$Z$405</f>
        <v>0</v>
      </c>
      <c r="L405" s="64">
        <f>EFEITO!$N$405*EFEITO!$AA$405</f>
        <v>0</v>
      </c>
      <c r="M405" s="64">
        <f ca="1">$J$405-EFEITO!$K$405*EFEITO!$Y$405</f>
        <v>154285.58844903871</v>
      </c>
      <c r="N405" s="64">
        <f ca="1">$K$405-EFEITO!$M$405*EFEITO!$Z$405</f>
        <v>0</v>
      </c>
      <c r="O405" s="64">
        <f>$L$405-EFEITO!$O$405*EFEITO!$AA$405</f>
        <v>0</v>
      </c>
      <c r="P405" s="19"/>
      <c r="Q405" s="19"/>
      <c r="R405" s="19"/>
      <c r="S405" s="19"/>
      <c r="T405" s="19"/>
      <c r="U405" s="19"/>
      <c r="V405" s="19"/>
      <c r="W405" s="19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55" t="s">
        <v>21</v>
      </c>
      <c r="B406" s="55" t="s">
        <v>41</v>
      </c>
      <c r="C406" s="55" t="s">
        <v>40</v>
      </c>
      <c r="D406" s="55" t="s">
        <v>38</v>
      </c>
      <c r="E406" s="55" t="s">
        <v>25</v>
      </c>
      <c r="F406" s="55" t="s">
        <v>61</v>
      </c>
      <c r="G406" s="55" t="s">
        <v>25</v>
      </c>
      <c r="H406" s="55" t="s">
        <v>35</v>
      </c>
      <c r="I406" s="63">
        <v>44501</v>
      </c>
      <c r="J406" s="64">
        <f ca="1">EFEITO!$J$406*EFEITO!$Y$406</f>
        <v>485788.83669695468</v>
      </c>
      <c r="K406" s="64">
        <f ca="1">EFEITO!$L$406*EFEITO!$Z$406</f>
        <v>0</v>
      </c>
      <c r="L406" s="64">
        <f>EFEITO!$N$406*EFEITO!$AA$406</f>
        <v>0</v>
      </c>
      <c r="M406" s="64">
        <f ca="1">$J$406-EFEITO!$K$406*EFEITO!$Y$406</f>
        <v>242894.41834847734</v>
      </c>
      <c r="N406" s="64">
        <f ca="1">$K$406-EFEITO!$M$406*EFEITO!$Z$406</f>
        <v>0</v>
      </c>
      <c r="O406" s="64">
        <f>$L$406-EFEITO!$O$406*EFEITO!$AA$406</f>
        <v>0</v>
      </c>
      <c r="P406" s="19"/>
      <c r="Q406" s="19"/>
      <c r="R406" s="19"/>
      <c r="S406" s="19"/>
      <c r="T406" s="19"/>
      <c r="U406" s="19"/>
      <c r="V406" s="19"/>
      <c r="W406" s="19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55" t="s">
        <v>21</v>
      </c>
      <c r="B407" s="55" t="s">
        <v>41</v>
      </c>
      <c r="C407" s="55" t="s">
        <v>40</v>
      </c>
      <c r="D407" s="55" t="s">
        <v>38</v>
      </c>
      <c r="E407" s="55" t="s">
        <v>25</v>
      </c>
      <c r="F407" s="55" t="s">
        <v>61</v>
      </c>
      <c r="G407" s="55" t="s">
        <v>25</v>
      </c>
      <c r="H407" s="55" t="s">
        <v>35</v>
      </c>
      <c r="I407" s="63">
        <v>44531</v>
      </c>
      <c r="J407" s="64">
        <f ca="1">EFEITO!$J$407*EFEITO!$Y$407</f>
        <v>495407.37682306155</v>
      </c>
      <c r="K407" s="64">
        <f ca="1">EFEITO!$L$407*EFEITO!$Z$407</f>
        <v>0</v>
      </c>
      <c r="L407" s="64">
        <f>EFEITO!$N$407*EFEITO!$AA$407</f>
        <v>0</v>
      </c>
      <c r="M407" s="64">
        <f ca="1">$J$407-EFEITO!$K$407*EFEITO!$Y$407</f>
        <v>252657.7621797614</v>
      </c>
      <c r="N407" s="64">
        <f ca="1">$K$407-EFEITO!$M$407*EFEITO!$Z$407</f>
        <v>0</v>
      </c>
      <c r="O407" s="64">
        <f>$L$407-EFEITO!$O$407*EFEITO!$AA$407</f>
        <v>0</v>
      </c>
      <c r="P407" s="19"/>
      <c r="Q407" s="19"/>
      <c r="R407" s="19"/>
      <c r="S407" s="19"/>
      <c r="T407" s="19"/>
      <c r="U407" s="19"/>
      <c r="V407" s="19"/>
      <c r="W407" s="19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55" t="s">
        <v>21</v>
      </c>
      <c r="B408" s="55" t="s">
        <v>41</v>
      </c>
      <c r="C408" s="55" t="s">
        <v>40</v>
      </c>
      <c r="D408" s="55" t="s">
        <v>38</v>
      </c>
      <c r="E408" s="55" t="s">
        <v>25</v>
      </c>
      <c r="F408" s="55" t="s">
        <v>61</v>
      </c>
      <c r="G408" s="55" t="s">
        <v>25</v>
      </c>
      <c r="H408" s="55" t="s">
        <v>35</v>
      </c>
      <c r="I408" s="63">
        <v>44562</v>
      </c>
      <c r="J408" s="64">
        <f ca="1">EFEITO!$J$408*EFEITO!$Y$408</f>
        <v>493672.8859806488</v>
      </c>
      <c r="K408" s="64">
        <f ca="1">EFEITO!$L$408*EFEITO!$Z$408</f>
        <v>0</v>
      </c>
      <c r="L408" s="64">
        <f>EFEITO!$N$408*EFEITO!$AA$408</f>
        <v>0</v>
      </c>
      <c r="M408" s="64">
        <f ca="1">$J$408-EFEITO!$K$408*EFEITO!$Y$408</f>
        <v>251773.17185013089</v>
      </c>
      <c r="N408" s="64">
        <f ca="1">$K$408-EFEITO!$M$408*EFEITO!$Z$408</f>
        <v>0</v>
      </c>
      <c r="O408" s="64">
        <f>$L$408-EFEITO!$O$408*EFEITO!$AA$408</f>
        <v>0</v>
      </c>
      <c r="P408" s="19"/>
      <c r="Q408" s="19"/>
      <c r="R408" s="19"/>
      <c r="S408" s="19"/>
      <c r="T408" s="19"/>
      <c r="U408" s="19"/>
      <c r="V408" s="19"/>
      <c r="W408" s="19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55" t="s">
        <v>21</v>
      </c>
      <c r="B409" s="55" t="s">
        <v>41</v>
      </c>
      <c r="C409" s="55" t="s">
        <v>40</v>
      </c>
      <c r="D409" s="55" t="s">
        <v>38</v>
      </c>
      <c r="E409" s="55" t="s">
        <v>25</v>
      </c>
      <c r="F409" s="55" t="s">
        <v>61</v>
      </c>
      <c r="G409" s="55" t="s">
        <v>25</v>
      </c>
      <c r="H409" s="55" t="s">
        <v>35</v>
      </c>
      <c r="I409" s="63">
        <v>44593</v>
      </c>
      <c r="J409" s="64">
        <f ca="1">EFEITO!$J$409*EFEITO!$Y$409</f>
        <v>495065.7346874348</v>
      </c>
      <c r="K409" s="64">
        <f ca="1">EFEITO!$L$409*EFEITO!$Z$409</f>
        <v>0</v>
      </c>
      <c r="L409" s="64">
        <f>EFEITO!$N$409*EFEITO!$AA$409</f>
        <v>0</v>
      </c>
      <c r="M409" s="64">
        <f ca="1">$J$409-EFEITO!$K$409*EFEITO!$Y$409</f>
        <v>252483.52469059173</v>
      </c>
      <c r="N409" s="64">
        <f ca="1">$K$409-EFEITO!$M$409*EFEITO!$Z$409</f>
        <v>0</v>
      </c>
      <c r="O409" s="64">
        <f>$L$409-EFEITO!$O$409*EFEITO!$AA$409</f>
        <v>0</v>
      </c>
      <c r="P409" s="19"/>
      <c r="Q409" s="19"/>
      <c r="R409" s="19"/>
      <c r="S409" s="19"/>
      <c r="T409" s="19"/>
      <c r="U409" s="19"/>
      <c r="V409" s="19"/>
      <c r="W409" s="19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55" t="s">
        <v>21</v>
      </c>
      <c r="B410" s="55" t="s">
        <v>41</v>
      </c>
      <c r="C410" s="55" t="s">
        <v>40</v>
      </c>
      <c r="D410" s="55" t="s">
        <v>38</v>
      </c>
      <c r="E410" s="55" t="s">
        <v>25</v>
      </c>
      <c r="F410" s="55" t="s">
        <v>61</v>
      </c>
      <c r="G410" s="55" t="s">
        <v>25</v>
      </c>
      <c r="H410" s="55" t="s">
        <v>35</v>
      </c>
      <c r="I410" s="63">
        <v>44621</v>
      </c>
      <c r="J410" s="64">
        <f ca="1">EFEITO!$J$410*EFEITO!$Y$410</f>
        <v>495302.25616594561</v>
      </c>
      <c r="K410" s="64">
        <f ca="1">EFEITO!$L$410*EFEITO!$Z$410</f>
        <v>0</v>
      </c>
      <c r="L410" s="64">
        <f>EFEITO!$N$410*EFEITO!$AA$410</f>
        <v>0</v>
      </c>
      <c r="M410" s="64">
        <f ca="1">$J$410-EFEITO!$K$410*EFEITO!$Y$410</f>
        <v>252604.15064463223</v>
      </c>
      <c r="N410" s="64">
        <f ca="1">$K$410-EFEITO!$M$410*EFEITO!$Z$410</f>
        <v>0</v>
      </c>
      <c r="O410" s="64">
        <f>$L$410-EFEITO!$O$410*EFEITO!$AA$410</f>
        <v>0</v>
      </c>
      <c r="P410" s="19"/>
      <c r="Q410" s="19"/>
      <c r="R410" s="19"/>
      <c r="S410" s="19"/>
      <c r="T410" s="19"/>
      <c r="U410" s="19"/>
      <c r="V410" s="19"/>
      <c r="W410" s="19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55" t="s">
        <v>21</v>
      </c>
      <c r="B411" s="55" t="s">
        <v>41</v>
      </c>
      <c r="C411" s="55" t="s">
        <v>40</v>
      </c>
      <c r="D411" s="55" t="s">
        <v>38</v>
      </c>
      <c r="E411" s="55" t="s">
        <v>25</v>
      </c>
      <c r="F411" s="55" t="s">
        <v>61</v>
      </c>
      <c r="G411" s="55" t="s">
        <v>25</v>
      </c>
      <c r="H411" s="55" t="s">
        <v>35</v>
      </c>
      <c r="I411" s="63">
        <v>44652</v>
      </c>
      <c r="J411" s="64">
        <f ca="1">EFEITO!$J$411*EFEITO!$Y$411</f>
        <v>516878.27103898861</v>
      </c>
      <c r="K411" s="64">
        <f ca="1">EFEITO!$L$411*EFEITO!$Z$411</f>
        <v>0</v>
      </c>
      <c r="L411" s="64">
        <f>EFEITO!$N$411*EFEITO!$AA$411</f>
        <v>0</v>
      </c>
      <c r="M411" s="64">
        <f ca="1">$J$411-EFEITO!$K$411*EFEITO!$Y$411</f>
        <v>248101.5700987145</v>
      </c>
      <c r="N411" s="64">
        <f ca="1">$K$411-EFEITO!$M$411*EFEITO!$Z$411</f>
        <v>0</v>
      </c>
      <c r="O411" s="64">
        <f>$L$411-EFEITO!$O$411*EFEITO!$AA$411</f>
        <v>0</v>
      </c>
      <c r="P411" s="19"/>
      <c r="Q411" s="19"/>
      <c r="R411" s="19"/>
      <c r="S411" s="19"/>
      <c r="T411" s="19"/>
      <c r="U411" s="19"/>
      <c r="V411" s="19"/>
      <c r="W411" s="19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55" t="s">
        <v>27</v>
      </c>
      <c r="B412" s="55" t="s">
        <v>41</v>
      </c>
      <c r="C412" s="55" t="s">
        <v>40</v>
      </c>
      <c r="D412" s="55" t="s">
        <v>38</v>
      </c>
      <c r="E412" s="55" t="s">
        <v>25</v>
      </c>
      <c r="F412" s="55" t="s">
        <v>61</v>
      </c>
      <c r="G412" s="55" t="s">
        <v>25</v>
      </c>
      <c r="H412" s="55" t="s">
        <v>35</v>
      </c>
      <c r="I412" s="63">
        <v>44652</v>
      </c>
      <c r="J412" s="64">
        <f ca="1">EFEITO!$J$412*EFEITO!$Y$412</f>
        <v>-13928.487067859669</v>
      </c>
      <c r="K412" s="64">
        <f ca="1">EFEITO!$L$412*EFEITO!$Z$412</f>
        <v>0</v>
      </c>
      <c r="L412" s="64">
        <f>EFEITO!$N$412*EFEITO!$AA$412</f>
        <v>0</v>
      </c>
      <c r="M412" s="64">
        <f ca="1">$J$412-EFEITO!$K$412*EFEITO!$Y$412</f>
        <v>0</v>
      </c>
      <c r="N412" s="64">
        <f ca="1">$K$412-EFEITO!$M$412*EFEITO!$Z$412</f>
        <v>0</v>
      </c>
      <c r="O412" s="64">
        <f>$L$412-EFEITO!$O$412*EFEITO!$AA$412</f>
        <v>0</v>
      </c>
      <c r="P412" s="19"/>
      <c r="Q412" s="19"/>
      <c r="R412" s="19"/>
      <c r="S412" s="19"/>
      <c r="T412" s="19"/>
      <c r="U412" s="19"/>
      <c r="V412" s="19"/>
      <c r="W412" s="19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55" t="s">
        <v>21</v>
      </c>
      <c r="B413" s="55" t="s">
        <v>41</v>
      </c>
      <c r="C413" s="55" t="s">
        <v>40</v>
      </c>
      <c r="D413" s="55" t="s">
        <v>38</v>
      </c>
      <c r="E413" s="55" t="s">
        <v>25</v>
      </c>
      <c r="F413" s="55" t="s">
        <v>61</v>
      </c>
      <c r="G413" s="55" t="s">
        <v>25</v>
      </c>
      <c r="H413" s="55" t="s">
        <v>35</v>
      </c>
      <c r="I413" s="63">
        <v>44682</v>
      </c>
      <c r="J413" s="64">
        <f ca="1">EFEITO!$J$413*EFEITO!$Y$413</f>
        <v>514329.09510392748</v>
      </c>
      <c r="K413" s="64">
        <f ca="1">EFEITO!$L$413*EFEITO!$Z$413</f>
        <v>0</v>
      </c>
      <c r="L413" s="64">
        <f>EFEITO!$N$413*EFEITO!$AA$413</f>
        <v>0</v>
      </c>
      <c r="M413" s="64">
        <f ca="1">$J$413-EFEITO!$K$413*EFEITO!$Y$413</f>
        <v>246877.96564988518</v>
      </c>
      <c r="N413" s="64">
        <f ca="1">$K$413-EFEITO!$M$413*EFEITO!$Z$413</f>
        <v>0</v>
      </c>
      <c r="O413" s="64">
        <f>$L$413-EFEITO!$O$413*EFEITO!$AA$413</f>
        <v>0</v>
      </c>
      <c r="P413" s="19"/>
      <c r="Q413" s="19"/>
      <c r="R413" s="19"/>
      <c r="S413" s="19"/>
      <c r="T413" s="19"/>
      <c r="U413" s="19"/>
      <c r="V413" s="19"/>
      <c r="W413" s="19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55" t="s">
        <v>21</v>
      </c>
      <c r="B414" s="55" t="s">
        <v>41</v>
      </c>
      <c r="C414" s="55" t="s">
        <v>40</v>
      </c>
      <c r="D414" s="55" t="s">
        <v>38</v>
      </c>
      <c r="E414" s="55" t="s">
        <v>25</v>
      </c>
      <c r="F414" s="55" t="s">
        <v>61</v>
      </c>
      <c r="G414" s="55" t="s">
        <v>25</v>
      </c>
      <c r="H414" s="55" t="s">
        <v>35</v>
      </c>
      <c r="I414" s="63">
        <v>44713</v>
      </c>
      <c r="J414" s="64">
        <f ca="1">EFEITO!$J$414*EFEITO!$Y$414</f>
        <v>515669.38348215551</v>
      </c>
      <c r="K414" s="64">
        <f ca="1">EFEITO!$L$414*EFEITO!$Z$414</f>
        <v>0</v>
      </c>
      <c r="L414" s="64">
        <f>EFEITO!$N$414*EFEITO!$AA$414</f>
        <v>0</v>
      </c>
      <c r="M414" s="64">
        <f ca="1">$J$414-EFEITO!$K$414*EFEITO!$Y$414</f>
        <v>247521.3040714346</v>
      </c>
      <c r="N414" s="64">
        <f ca="1">$K$414-EFEITO!$M$414*EFEITO!$Z$414</f>
        <v>0</v>
      </c>
      <c r="O414" s="64">
        <f>$L$414-EFEITO!$O$414*EFEITO!$AA$414</f>
        <v>0</v>
      </c>
      <c r="P414" s="19"/>
      <c r="Q414" s="19"/>
      <c r="R414" s="19"/>
      <c r="S414" s="19"/>
      <c r="T414" s="19"/>
      <c r="U414" s="19"/>
      <c r="V414" s="19"/>
      <c r="W414" s="19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55" t="s">
        <v>57</v>
      </c>
      <c r="B415" s="55" t="s">
        <v>41</v>
      </c>
      <c r="C415" s="55" t="s">
        <v>40</v>
      </c>
      <c r="D415" s="55" t="s">
        <v>38</v>
      </c>
      <c r="E415" s="55" t="s">
        <v>25</v>
      </c>
      <c r="F415" s="55" t="s">
        <v>61</v>
      </c>
      <c r="G415" s="55" t="s">
        <v>25</v>
      </c>
      <c r="H415" s="55" t="s">
        <v>35</v>
      </c>
      <c r="I415" s="63">
        <v>44743</v>
      </c>
      <c r="J415" s="64">
        <f ca="1">EFEITO!$J$415*EFEITO!$Y$415</f>
        <v>515669.38348215551</v>
      </c>
      <c r="K415" s="64">
        <f ca="1">EFEITO!$L$415*EFEITO!$Z$415</f>
        <v>0</v>
      </c>
      <c r="L415" s="64">
        <f>EFEITO!$N$415*EFEITO!$AA$415</f>
        <v>0</v>
      </c>
      <c r="M415" s="64">
        <f ca="1">$J$415-EFEITO!$K$415*EFEITO!$Y$415</f>
        <v>247521.3040714346</v>
      </c>
      <c r="N415" s="64">
        <f ca="1">$K$415-EFEITO!$M$415*EFEITO!$Z$415</f>
        <v>0</v>
      </c>
      <c r="O415" s="64">
        <f>$L$415-EFEITO!$O$415*EFEITO!$AA$415</f>
        <v>0</v>
      </c>
      <c r="P415" s="19"/>
      <c r="Q415" s="19"/>
      <c r="R415" s="19"/>
      <c r="S415" s="19"/>
      <c r="T415" s="19"/>
      <c r="U415" s="19"/>
      <c r="V415" s="19"/>
      <c r="W415" s="19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55" t="s">
        <v>21</v>
      </c>
      <c r="B416" s="55" t="s">
        <v>41</v>
      </c>
      <c r="C416" s="55" t="s">
        <v>40</v>
      </c>
      <c r="D416" s="55" t="s">
        <v>38</v>
      </c>
      <c r="E416" s="55" t="s">
        <v>25</v>
      </c>
      <c r="F416" s="55" t="s">
        <v>61</v>
      </c>
      <c r="G416" s="55" t="s">
        <v>25</v>
      </c>
      <c r="H416" s="55" t="s">
        <v>25</v>
      </c>
      <c r="I416" s="63">
        <v>44409</v>
      </c>
      <c r="J416" s="64">
        <f>EFEITO!$J$416*EFEITO!$Y$416</f>
        <v>0</v>
      </c>
      <c r="K416" s="64">
        <f ca="1">EFEITO!$L$416*EFEITO!$Z$416</f>
        <v>451700.35015755129</v>
      </c>
      <c r="L416" s="64">
        <f>EFEITO!$N$416*EFEITO!$AA$416</f>
        <v>0</v>
      </c>
      <c r="M416" s="64">
        <f>$J$416-EFEITO!$K$416*EFEITO!$Y$416</f>
        <v>0</v>
      </c>
      <c r="N416" s="64">
        <f ca="1">$K$416-EFEITO!$M$416*EFEITO!$Z$416</f>
        <v>0</v>
      </c>
      <c r="O416" s="64">
        <f>$L$416-EFEITO!$O$416*EFEITO!$AA$416</f>
        <v>0</v>
      </c>
      <c r="P416" s="19"/>
      <c r="Q416" s="19"/>
      <c r="R416" s="19"/>
      <c r="S416" s="19"/>
      <c r="T416" s="19"/>
      <c r="U416" s="19"/>
      <c r="V416" s="19"/>
      <c r="W416" s="19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55" t="s">
        <v>21</v>
      </c>
      <c r="B417" s="55" t="s">
        <v>41</v>
      </c>
      <c r="C417" s="55" t="s">
        <v>40</v>
      </c>
      <c r="D417" s="55" t="s">
        <v>38</v>
      </c>
      <c r="E417" s="55" t="s">
        <v>25</v>
      </c>
      <c r="F417" s="55" t="s">
        <v>61</v>
      </c>
      <c r="G417" s="55" t="s">
        <v>25</v>
      </c>
      <c r="H417" s="55" t="s">
        <v>25</v>
      </c>
      <c r="I417" s="63">
        <v>44440</v>
      </c>
      <c r="J417" s="64">
        <f>EFEITO!$J$417*EFEITO!$Y$417</f>
        <v>0</v>
      </c>
      <c r="K417" s="64">
        <f ca="1">EFEITO!$L$417*EFEITO!$Z$417</f>
        <v>447233.91634648113</v>
      </c>
      <c r="L417" s="64">
        <f>EFEITO!$N$417*EFEITO!$AA$417</f>
        <v>0</v>
      </c>
      <c r="M417" s="64">
        <f>$J$417-EFEITO!$K$417*EFEITO!$Y$417</f>
        <v>0</v>
      </c>
      <c r="N417" s="64">
        <f ca="1">$K$417-EFEITO!$M$417*EFEITO!$Z$417</f>
        <v>0</v>
      </c>
      <c r="O417" s="64">
        <f>$L$417-EFEITO!$O$417*EFEITO!$AA$417</f>
        <v>0</v>
      </c>
      <c r="P417" s="19"/>
      <c r="Q417" s="19"/>
      <c r="R417" s="19"/>
      <c r="S417" s="19"/>
      <c r="T417" s="19"/>
      <c r="U417" s="19"/>
      <c r="V417" s="19"/>
      <c r="W417" s="19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55" t="s">
        <v>21</v>
      </c>
      <c r="B418" s="55" t="s">
        <v>41</v>
      </c>
      <c r="C418" s="55" t="s">
        <v>40</v>
      </c>
      <c r="D418" s="55" t="s">
        <v>38</v>
      </c>
      <c r="E418" s="55" t="s">
        <v>25</v>
      </c>
      <c r="F418" s="55" t="s">
        <v>61</v>
      </c>
      <c r="G418" s="55" t="s">
        <v>25</v>
      </c>
      <c r="H418" s="55" t="s">
        <v>25</v>
      </c>
      <c r="I418" s="63">
        <v>44470</v>
      </c>
      <c r="J418" s="64">
        <f>EFEITO!$J$418*EFEITO!$Y$418</f>
        <v>0</v>
      </c>
      <c r="K418" s="64">
        <f ca="1">EFEITO!$L$418*EFEITO!$Z$418</f>
        <v>452267.36678402941</v>
      </c>
      <c r="L418" s="64">
        <f>EFEITO!$N$418*EFEITO!$AA$418</f>
        <v>0</v>
      </c>
      <c r="M418" s="64">
        <f>$J$418-EFEITO!$K$418*EFEITO!$Y$418</f>
        <v>0</v>
      </c>
      <c r="N418" s="64">
        <f ca="1">$K$418-EFEITO!$M$418*EFEITO!$Z$418</f>
        <v>0</v>
      </c>
      <c r="O418" s="64">
        <f>$L$418-EFEITO!$O$418*EFEITO!$AA$418</f>
        <v>0</v>
      </c>
      <c r="P418" s="19"/>
      <c r="Q418" s="19"/>
      <c r="R418" s="19"/>
      <c r="S418" s="19"/>
      <c r="T418" s="19"/>
      <c r="U418" s="19"/>
      <c r="V418" s="19"/>
      <c r="W418" s="19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55" t="s">
        <v>21</v>
      </c>
      <c r="B419" s="55" t="s">
        <v>41</v>
      </c>
      <c r="C419" s="55" t="s">
        <v>40</v>
      </c>
      <c r="D419" s="55" t="s">
        <v>38</v>
      </c>
      <c r="E419" s="55" t="s">
        <v>25</v>
      </c>
      <c r="F419" s="55" t="s">
        <v>61</v>
      </c>
      <c r="G419" s="55" t="s">
        <v>25</v>
      </c>
      <c r="H419" s="55" t="s">
        <v>25</v>
      </c>
      <c r="I419" s="63">
        <v>44501</v>
      </c>
      <c r="J419" s="64">
        <f>EFEITO!$J$419*EFEITO!$Y$419</f>
        <v>0</v>
      </c>
      <c r="K419" s="64">
        <f ca="1">EFEITO!$L$419*EFEITO!$Z$419</f>
        <v>607121.70234504552</v>
      </c>
      <c r="L419" s="64">
        <f>EFEITO!$N$419*EFEITO!$AA$419</f>
        <v>0</v>
      </c>
      <c r="M419" s="64">
        <f>$J$419-EFEITO!$K$419*EFEITO!$Y$419</f>
        <v>0</v>
      </c>
      <c r="N419" s="64">
        <f ca="1">$K$419-EFEITO!$M$419*EFEITO!$Z$419</f>
        <v>0</v>
      </c>
      <c r="O419" s="64">
        <f>$L$419-EFEITO!$O$419*EFEITO!$AA$419</f>
        <v>0</v>
      </c>
      <c r="P419" s="19"/>
      <c r="Q419" s="19"/>
      <c r="R419" s="19"/>
      <c r="S419" s="19"/>
      <c r="T419" s="19"/>
      <c r="U419" s="19"/>
      <c r="V419" s="19"/>
      <c r="W419" s="19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55" t="s">
        <v>21</v>
      </c>
      <c r="B420" s="55" t="s">
        <v>41</v>
      </c>
      <c r="C420" s="55" t="s">
        <v>40</v>
      </c>
      <c r="D420" s="55" t="s">
        <v>38</v>
      </c>
      <c r="E420" s="55" t="s">
        <v>25</v>
      </c>
      <c r="F420" s="55" t="s">
        <v>61</v>
      </c>
      <c r="G420" s="55" t="s">
        <v>25</v>
      </c>
      <c r="H420" s="55" t="s">
        <v>25</v>
      </c>
      <c r="I420" s="63">
        <v>44531</v>
      </c>
      <c r="J420" s="64">
        <f>EFEITO!$J$420*EFEITO!$Y$420</f>
        <v>0</v>
      </c>
      <c r="K420" s="64">
        <f ca="1">EFEITO!$L$420*EFEITO!$Z$420</f>
        <v>623482.16848162154</v>
      </c>
      <c r="L420" s="64">
        <f>EFEITO!$N$420*EFEITO!$AA$420</f>
        <v>0</v>
      </c>
      <c r="M420" s="64">
        <f>$J$420-EFEITO!$K$420*EFEITO!$Y$420</f>
        <v>0</v>
      </c>
      <c r="N420" s="64">
        <f ca="1">$K$420-EFEITO!$M$420*EFEITO!$Z$420</f>
        <v>0</v>
      </c>
      <c r="O420" s="64">
        <f>$L$420-EFEITO!$O$420*EFEITO!$AA$420</f>
        <v>0</v>
      </c>
      <c r="P420" s="19"/>
      <c r="Q420" s="19"/>
      <c r="R420" s="19"/>
      <c r="S420" s="19"/>
      <c r="T420" s="19"/>
      <c r="U420" s="19"/>
      <c r="V420" s="19"/>
      <c r="W420" s="19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55" t="s">
        <v>21</v>
      </c>
      <c r="B421" s="55" t="s">
        <v>41</v>
      </c>
      <c r="C421" s="55" t="s">
        <v>40</v>
      </c>
      <c r="D421" s="55" t="s">
        <v>38</v>
      </c>
      <c r="E421" s="55" t="s">
        <v>25</v>
      </c>
      <c r="F421" s="55" t="s">
        <v>61</v>
      </c>
      <c r="G421" s="55" t="s">
        <v>25</v>
      </c>
      <c r="H421" s="55" t="s">
        <v>25</v>
      </c>
      <c r="I421" s="63">
        <v>44562</v>
      </c>
      <c r="J421" s="64">
        <f>EFEITO!$J$421*EFEITO!$Y$421</f>
        <v>0</v>
      </c>
      <c r="K421" s="64">
        <f ca="1">EFEITO!$L$421*EFEITO!$Z$421</f>
        <v>659775.90514834085</v>
      </c>
      <c r="L421" s="64">
        <f>EFEITO!$N$421*EFEITO!$AA$421</f>
        <v>0</v>
      </c>
      <c r="M421" s="64">
        <f>$J$421-EFEITO!$K$421*EFEITO!$Y$421</f>
        <v>0</v>
      </c>
      <c r="N421" s="64">
        <f ca="1">$K$421-EFEITO!$M$421*EFEITO!$Z$421</f>
        <v>0</v>
      </c>
      <c r="O421" s="64">
        <f>$L$421-EFEITO!$O$421*EFEITO!$AA$421</f>
        <v>0</v>
      </c>
      <c r="P421" s="19"/>
      <c r="Q421" s="19"/>
      <c r="R421" s="19"/>
      <c r="S421" s="19"/>
      <c r="T421" s="19"/>
      <c r="U421" s="19"/>
      <c r="V421" s="19"/>
      <c r="W421" s="19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55" t="s">
        <v>21</v>
      </c>
      <c r="B422" s="55" t="s">
        <v>41</v>
      </c>
      <c r="C422" s="55" t="s">
        <v>40</v>
      </c>
      <c r="D422" s="55" t="s">
        <v>38</v>
      </c>
      <c r="E422" s="55" t="s">
        <v>25</v>
      </c>
      <c r="F422" s="55" t="s">
        <v>61</v>
      </c>
      <c r="G422" s="55" t="s">
        <v>25</v>
      </c>
      <c r="H422" s="55" t="s">
        <v>25</v>
      </c>
      <c r="I422" s="63">
        <v>44593</v>
      </c>
      <c r="J422" s="64">
        <f>EFEITO!$J$422*EFEITO!$Y$422</f>
        <v>0</v>
      </c>
      <c r="K422" s="64">
        <f ca="1">EFEITO!$L$422*EFEITO!$Z$422</f>
        <v>594202.4298207229</v>
      </c>
      <c r="L422" s="64">
        <f>EFEITO!$N$422*EFEITO!$AA$422</f>
        <v>0</v>
      </c>
      <c r="M422" s="64">
        <f>$J$422-EFEITO!$K$422*EFEITO!$Y$422</f>
        <v>0</v>
      </c>
      <c r="N422" s="64">
        <f ca="1">$K$422-EFEITO!$M$422*EFEITO!$Z$422</f>
        <v>0</v>
      </c>
      <c r="O422" s="64">
        <f>$L$422-EFEITO!$O$422*EFEITO!$AA$422</f>
        <v>0</v>
      </c>
      <c r="P422" s="19"/>
      <c r="Q422" s="19"/>
      <c r="R422" s="19"/>
      <c r="S422" s="19"/>
      <c r="T422" s="19"/>
      <c r="U422" s="19"/>
      <c r="V422" s="19"/>
      <c r="W422" s="19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55" t="s">
        <v>21</v>
      </c>
      <c r="B423" s="55" t="s">
        <v>41</v>
      </c>
      <c r="C423" s="55" t="s">
        <v>40</v>
      </c>
      <c r="D423" s="55" t="s">
        <v>38</v>
      </c>
      <c r="E423" s="55" t="s">
        <v>25</v>
      </c>
      <c r="F423" s="55" t="s">
        <v>61</v>
      </c>
      <c r="G423" s="55" t="s">
        <v>25</v>
      </c>
      <c r="H423" s="55" t="s">
        <v>25</v>
      </c>
      <c r="I423" s="63">
        <v>44621</v>
      </c>
      <c r="J423" s="64">
        <f>EFEITO!$J$423*EFEITO!$Y$423</f>
        <v>0</v>
      </c>
      <c r="K423" s="64">
        <f ca="1">EFEITO!$L$423*EFEITO!$Z$423</f>
        <v>560266.23941596935</v>
      </c>
      <c r="L423" s="64">
        <f>EFEITO!$N$423*EFEITO!$AA$423</f>
        <v>0</v>
      </c>
      <c r="M423" s="64">
        <f>$J$423-EFEITO!$K$423*EFEITO!$Y$423</f>
        <v>0</v>
      </c>
      <c r="N423" s="64">
        <f ca="1">$K$423-EFEITO!$M$423*EFEITO!$Z$423</f>
        <v>0</v>
      </c>
      <c r="O423" s="64">
        <f>$L$423-EFEITO!$O$423*EFEITO!$AA$423</f>
        <v>0</v>
      </c>
      <c r="P423" s="19"/>
      <c r="Q423" s="19"/>
      <c r="R423" s="19"/>
      <c r="S423" s="19"/>
      <c r="T423" s="19"/>
      <c r="U423" s="19"/>
      <c r="V423" s="19"/>
      <c r="W423" s="19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55" t="s">
        <v>21</v>
      </c>
      <c r="B424" s="55" t="s">
        <v>41</v>
      </c>
      <c r="C424" s="55" t="s">
        <v>40</v>
      </c>
      <c r="D424" s="55" t="s">
        <v>38</v>
      </c>
      <c r="E424" s="55" t="s">
        <v>25</v>
      </c>
      <c r="F424" s="55" t="s">
        <v>61</v>
      </c>
      <c r="G424" s="55" t="s">
        <v>25</v>
      </c>
      <c r="H424" s="55" t="s">
        <v>25</v>
      </c>
      <c r="I424" s="63">
        <v>44652</v>
      </c>
      <c r="J424" s="64">
        <f>EFEITO!$J$424*EFEITO!$Y$424</f>
        <v>0</v>
      </c>
      <c r="K424" s="64">
        <f ca="1">EFEITO!$L$424*EFEITO!$Z$424</f>
        <v>640587.90987096436</v>
      </c>
      <c r="L424" s="64">
        <f>EFEITO!$N$424*EFEITO!$AA$424</f>
        <v>0</v>
      </c>
      <c r="M424" s="64">
        <f>$J$424-EFEITO!$K$424*EFEITO!$Y$424</f>
        <v>0</v>
      </c>
      <c r="N424" s="64">
        <f ca="1">$K$424-EFEITO!$M$424*EFEITO!$Z$424</f>
        <v>0</v>
      </c>
      <c r="O424" s="64">
        <f>$L$424-EFEITO!$O$424*EFEITO!$AA$424</f>
        <v>0</v>
      </c>
      <c r="P424" s="19"/>
      <c r="Q424" s="19"/>
      <c r="R424" s="19"/>
      <c r="S424" s="19"/>
      <c r="T424" s="19"/>
      <c r="U424" s="19"/>
      <c r="V424" s="19"/>
      <c r="W424" s="19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55" t="s">
        <v>21</v>
      </c>
      <c r="B425" s="55" t="s">
        <v>41</v>
      </c>
      <c r="C425" s="55" t="s">
        <v>40</v>
      </c>
      <c r="D425" s="55" t="s">
        <v>38</v>
      </c>
      <c r="E425" s="55" t="s">
        <v>25</v>
      </c>
      <c r="F425" s="55" t="s">
        <v>61</v>
      </c>
      <c r="G425" s="55" t="s">
        <v>25</v>
      </c>
      <c r="H425" s="55" t="s">
        <v>25</v>
      </c>
      <c r="I425" s="63">
        <v>44682</v>
      </c>
      <c r="J425" s="64">
        <f>EFEITO!$J$425*EFEITO!$Y$425</f>
        <v>0</v>
      </c>
      <c r="K425" s="64">
        <f ca="1">EFEITO!$L$425*EFEITO!$Z$425</f>
        <v>592053.98116102244</v>
      </c>
      <c r="L425" s="64">
        <f>EFEITO!$N$425*EFEITO!$AA$425</f>
        <v>0</v>
      </c>
      <c r="M425" s="64">
        <f>$J$425-EFEITO!$K$425*EFEITO!$Y$425</f>
        <v>0</v>
      </c>
      <c r="N425" s="64">
        <f ca="1">$K$425-EFEITO!$M$425*EFEITO!$Z$425</f>
        <v>0</v>
      </c>
      <c r="O425" s="64">
        <f>$L$425-EFEITO!$O$425*EFEITO!$AA$425</f>
        <v>0</v>
      </c>
      <c r="P425" s="19"/>
      <c r="Q425" s="19"/>
      <c r="R425" s="19"/>
      <c r="S425" s="19"/>
      <c r="T425" s="19"/>
      <c r="U425" s="19"/>
      <c r="V425" s="19"/>
      <c r="W425" s="19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55" t="s">
        <v>21</v>
      </c>
      <c r="B426" s="55" t="s">
        <v>41</v>
      </c>
      <c r="C426" s="55" t="s">
        <v>40</v>
      </c>
      <c r="D426" s="55" t="s">
        <v>38</v>
      </c>
      <c r="E426" s="55" t="s">
        <v>25</v>
      </c>
      <c r="F426" s="55" t="s">
        <v>61</v>
      </c>
      <c r="G426" s="55" t="s">
        <v>25</v>
      </c>
      <c r="H426" s="55" t="s">
        <v>25</v>
      </c>
      <c r="I426" s="63">
        <v>44713</v>
      </c>
      <c r="J426" s="64">
        <f>EFEITO!$J$426*EFEITO!$Y$426</f>
        <v>0</v>
      </c>
      <c r="K426" s="64">
        <f ca="1">EFEITO!$L$426*EFEITO!$Z$426</f>
        <v>621037.86813067109</v>
      </c>
      <c r="L426" s="64">
        <f>EFEITO!$N$426*EFEITO!$AA$426</f>
        <v>0</v>
      </c>
      <c r="M426" s="64">
        <f>$J$426-EFEITO!$K$426*EFEITO!$Y$426</f>
        <v>0</v>
      </c>
      <c r="N426" s="64">
        <f ca="1">$K$426-EFEITO!$M$426*EFEITO!$Z$426</f>
        <v>0</v>
      </c>
      <c r="O426" s="64">
        <f>$L$426-EFEITO!$O$426*EFEITO!$AA$426</f>
        <v>0</v>
      </c>
      <c r="P426" s="19"/>
      <c r="Q426" s="19"/>
      <c r="R426" s="19"/>
      <c r="S426" s="19"/>
      <c r="T426" s="19"/>
      <c r="U426" s="19"/>
      <c r="V426" s="19"/>
      <c r="W426" s="19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55" t="s">
        <v>57</v>
      </c>
      <c r="B427" s="55" t="s">
        <v>41</v>
      </c>
      <c r="C427" s="55" t="s">
        <v>40</v>
      </c>
      <c r="D427" s="55" t="s">
        <v>38</v>
      </c>
      <c r="E427" s="55" t="s">
        <v>25</v>
      </c>
      <c r="F427" s="55" t="s">
        <v>61</v>
      </c>
      <c r="G427" s="55" t="s">
        <v>25</v>
      </c>
      <c r="H427" s="55" t="s">
        <v>25</v>
      </c>
      <c r="I427" s="63">
        <v>44743</v>
      </c>
      <c r="J427" s="64">
        <f>EFEITO!$J$427*EFEITO!$Y$427</f>
        <v>0</v>
      </c>
      <c r="K427" s="64">
        <f ca="1">EFEITO!$L$427*EFEITO!$Z$427</f>
        <v>621037.86813067109</v>
      </c>
      <c r="L427" s="64">
        <f>EFEITO!$N$427*EFEITO!$AA$427</f>
        <v>0</v>
      </c>
      <c r="M427" s="64">
        <f>$J$427-EFEITO!$K$427*EFEITO!$Y$427</f>
        <v>0</v>
      </c>
      <c r="N427" s="64">
        <f ca="1">$K$427-EFEITO!$M$427*EFEITO!$Z$427</f>
        <v>0</v>
      </c>
      <c r="O427" s="64">
        <f>$L$427-EFEITO!$O$427*EFEITO!$AA$427</f>
        <v>0</v>
      </c>
      <c r="P427" s="19"/>
      <c r="Q427" s="19"/>
      <c r="R427" s="19"/>
      <c r="S427" s="19"/>
      <c r="T427" s="19"/>
      <c r="U427" s="19"/>
      <c r="V427" s="19"/>
      <c r="W427" s="19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55" t="s">
        <v>21</v>
      </c>
      <c r="B428" s="55" t="s">
        <v>41</v>
      </c>
      <c r="C428" s="55" t="s">
        <v>40</v>
      </c>
      <c r="D428" s="55" t="s">
        <v>38</v>
      </c>
      <c r="E428" s="55" t="s">
        <v>25</v>
      </c>
      <c r="F428" s="55" t="s">
        <v>61</v>
      </c>
      <c r="G428" s="55" t="s">
        <v>25</v>
      </c>
      <c r="H428" s="55" t="s">
        <v>34</v>
      </c>
      <c r="I428" s="63">
        <v>44409</v>
      </c>
      <c r="J428" s="64">
        <f ca="1">EFEITO!$J$428*EFEITO!$Y$428</f>
        <v>669165.58949201088</v>
      </c>
      <c r="K428" s="64">
        <f ca="1">EFEITO!$L$428*EFEITO!$Z$428</f>
        <v>0</v>
      </c>
      <c r="L428" s="64">
        <f>EFEITO!$N$428*EFEITO!$AA$428</f>
        <v>0</v>
      </c>
      <c r="M428" s="64">
        <f ca="1">$J$428-EFEITO!$K$428*EFEITO!$Y$428</f>
        <v>327891.13885108539</v>
      </c>
      <c r="N428" s="64">
        <f ca="1">$K$428-EFEITO!$M$428*EFEITO!$Z$428</f>
        <v>0</v>
      </c>
      <c r="O428" s="64">
        <f>$L$428-EFEITO!$O$428*EFEITO!$AA$428</f>
        <v>0</v>
      </c>
      <c r="P428" s="19"/>
      <c r="Q428" s="19"/>
      <c r="R428" s="19"/>
      <c r="S428" s="19"/>
      <c r="T428" s="19"/>
      <c r="U428" s="19"/>
      <c r="V428" s="19"/>
      <c r="W428" s="19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55" t="s">
        <v>21</v>
      </c>
      <c r="B429" s="55" t="s">
        <v>41</v>
      </c>
      <c r="C429" s="55" t="s">
        <v>40</v>
      </c>
      <c r="D429" s="55" t="s">
        <v>38</v>
      </c>
      <c r="E429" s="55" t="s">
        <v>25</v>
      </c>
      <c r="F429" s="55" t="s">
        <v>61</v>
      </c>
      <c r="G429" s="55" t="s">
        <v>25</v>
      </c>
      <c r="H429" s="55" t="s">
        <v>34</v>
      </c>
      <c r="I429" s="63">
        <v>44440</v>
      </c>
      <c r="J429" s="64">
        <f ca="1">EFEITO!$J$429*EFEITO!$Y$429</f>
        <v>672090.67520050763</v>
      </c>
      <c r="K429" s="64">
        <f ca="1">EFEITO!$L$429*EFEITO!$Z$429</f>
        <v>0</v>
      </c>
      <c r="L429" s="64">
        <f>EFEITO!$N$429*EFEITO!$AA$429</f>
        <v>0</v>
      </c>
      <c r="M429" s="64">
        <f ca="1">$J$429-EFEITO!$K$429*EFEITO!$Y$429</f>
        <v>208348.10931215738</v>
      </c>
      <c r="N429" s="64">
        <f ca="1">$K$429-EFEITO!$M$429*EFEITO!$Z$429</f>
        <v>0</v>
      </c>
      <c r="O429" s="64">
        <f>$L$429-EFEITO!$O$429*EFEITO!$AA$429</f>
        <v>0</v>
      </c>
      <c r="P429" s="19"/>
      <c r="Q429" s="19"/>
      <c r="R429" s="19"/>
      <c r="S429" s="19"/>
      <c r="T429" s="19"/>
      <c r="U429" s="19"/>
      <c r="V429" s="19"/>
      <c r="W429" s="19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55" t="s">
        <v>21</v>
      </c>
      <c r="B430" s="55" t="s">
        <v>41</v>
      </c>
      <c r="C430" s="55" t="s">
        <v>40</v>
      </c>
      <c r="D430" s="55" t="s">
        <v>38</v>
      </c>
      <c r="E430" s="55" t="s">
        <v>25</v>
      </c>
      <c r="F430" s="55" t="s">
        <v>61</v>
      </c>
      <c r="G430" s="55" t="s">
        <v>25</v>
      </c>
      <c r="H430" s="55" t="s">
        <v>34</v>
      </c>
      <c r="I430" s="63">
        <v>44470</v>
      </c>
      <c r="J430" s="64">
        <f ca="1">EFEITO!$J$430*EFEITO!$Y$430</f>
        <v>669687.92622567096</v>
      </c>
      <c r="K430" s="64">
        <f ca="1">EFEITO!$L$430*EFEITO!$Z$430</f>
        <v>0</v>
      </c>
      <c r="L430" s="64">
        <f>EFEITO!$N$430*EFEITO!$AA$430</f>
        <v>0</v>
      </c>
      <c r="M430" s="64">
        <f ca="1">$J$430-EFEITO!$K$430*EFEITO!$Y$430</f>
        <v>234390.77417898481</v>
      </c>
      <c r="N430" s="64">
        <f ca="1">$K$430-EFEITO!$M$430*EFEITO!$Z$430</f>
        <v>0</v>
      </c>
      <c r="O430" s="64">
        <f>$L$430-EFEITO!$O$430*EFEITO!$AA$430</f>
        <v>0</v>
      </c>
      <c r="P430" s="19"/>
      <c r="Q430" s="19"/>
      <c r="R430" s="19"/>
      <c r="S430" s="19"/>
      <c r="T430" s="19"/>
      <c r="U430" s="19"/>
      <c r="V430" s="19"/>
      <c r="W430" s="19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55" t="s">
        <v>21</v>
      </c>
      <c r="B431" s="55" t="s">
        <v>41</v>
      </c>
      <c r="C431" s="55" t="s">
        <v>40</v>
      </c>
      <c r="D431" s="55" t="s">
        <v>38</v>
      </c>
      <c r="E431" s="55" t="s">
        <v>25</v>
      </c>
      <c r="F431" s="55" t="s">
        <v>61</v>
      </c>
      <c r="G431" s="55" t="s">
        <v>25</v>
      </c>
      <c r="H431" s="55" t="s">
        <v>34</v>
      </c>
      <c r="I431" s="63">
        <v>44501</v>
      </c>
      <c r="J431" s="64">
        <f ca="1">EFEITO!$J$431*EFEITO!$Y$431</f>
        <v>870839.80235819251</v>
      </c>
      <c r="K431" s="64">
        <f ca="1">EFEITO!$L$431*EFEITO!$Z$431</f>
        <v>0</v>
      </c>
      <c r="L431" s="64">
        <f>EFEITO!$N$431*EFEITO!$AA$431</f>
        <v>0</v>
      </c>
      <c r="M431" s="64">
        <f ca="1">$J$431-EFEITO!$K$431*EFEITO!$Y$431</f>
        <v>478961.89129700587</v>
      </c>
      <c r="N431" s="64">
        <f ca="1">$K$431-EFEITO!$M$431*EFEITO!$Z$431</f>
        <v>0</v>
      </c>
      <c r="O431" s="64">
        <f>$L$431-EFEITO!$O$431*EFEITO!$AA$431</f>
        <v>0</v>
      </c>
      <c r="P431" s="19"/>
      <c r="Q431" s="19"/>
      <c r="R431" s="19"/>
      <c r="S431" s="19"/>
      <c r="T431" s="19"/>
      <c r="U431" s="19"/>
      <c r="V431" s="19"/>
      <c r="W431" s="19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55" t="s">
        <v>21</v>
      </c>
      <c r="B432" s="55" t="s">
        <v>41</v>
      </c>
      <c r="C432" s="55" t="s">
        <v>40</v>
      </c>
      <c r="D432" s="55" t="s">
        <v>38</v>
      </c>
      <c r="E432" s="55" t="s">
        <v>25</v>
      </c>
      <c r="F432" s="55" t="s">
        <v>61</v>
      </c>
      <c r="G432" s="55" t="s">
        <v>25</v>
      </c>
      <c r="H432" s="55" t="s">
        <v>34</v>
      </c>
      <c r="I432" s="63">
        <v>44531</v>
      </c>
      <c r="J432" s="64">
        <f ca="1">EFEITO!$J$432*EFEITO!$Y$432</f>
        <v>884002.68804642814</v>
      </c>
      <c r="K432" s="64">
        <f ca="1">EFEITO!$L$432*EFEITO!$Z$432</f>
        <v>0</v>
      </c>
      <c r="L432" s="64">
        <f>EFEITO!$N$432*EFEITO!$AA$432</f>
        <v>0</v>
      </c>
      <c r="M432" s="64">
        <f ca="1">$J$432-EFEITO!$K$432*EFEITO!$Y$432</f>
        <v>450841.3709036783</v>
      </c>
      <c r="N432" s="64">
        <f ca="1">$K$432-EFEITO!$M$432*EFEITO!$Z$432</f>
        <v>0</v>
      </c>
      <c r="O432" s="64">
        <f>$L$432-EFEITO!$O$432*EFEITO!$AA$432</f>
        <v>0</v>
      </c>
      <c r="P432" s="19"/>
      <c r="Q432" s="19"/>
      <c r="R432" s="19"/>
      <c r="S432" s="19"/>
      <c r="T432" s="19"/>
      <c r="U432" s="19"/>
      <c r="V432" s="19"/>
      <c r="W432" s="19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55" t="s">
        <v>21</v>
      </c>
      <c r="B433" s="55" t="s">
        <v>41</v>
      </c>
      <c r="C433" s="55" t="s">
        <v>40</v>
      </c>
      <c r="D433" s="55" t="s">
        <v>38</v>
      </c>
      <c r="E433" s="55" t="s">
        <v>25</v>
      </c>
      <c r="F433" s="55" t="s">
        <v>61</v>
      </c>
      <c r="G433" s="55" t="s">
        <v>25</v>
      </c>
      <c r="H433" s="55" t="s">
        <v>34</v>
      </c>
      <c r="I433" s="63">
        <v>44562</v>
      </c>
      <c r="J433" s="64">
        <f ca="1">EFEITO!$J$433*EFEITO!$Y$433</f>
        <v>891628.80435786629</v>
      </c>
      <c r="K433" s="64">
        <f ca="1">EFEITO!$L$433*EFEITO!$Z$433</f>
        <v>0</v>
      </c>
      <c r="L433" s="64">
        <f>EFEITO!$N$433*EFEITO!$AA$433</f>
        <v>0</v>
      </c>
      <c r="M433" s="64">
        <f ca="1">$J$433-EFEITO!$K$433*EFEITO!$Y$433</f>
        <v>454730.69022251182</v>
      </c>
      <c r="N433" s="64">
        <f ca="1">$K$433-EFEITO!$M$433*EFEITO!$Z$433</f>
        <v>0</v>
      </c>
      <c r="O433" s="64">
        <f>$L$433-EFEITO!$O$433*EFEITO!$AA$433</f>
        <v>0</v>
      </c>
      <c r="P433" s="19"/>
      <c r="Q433" s="19"/>
      <c r="R433" s="19"/>
      <c r="S433" s="19"/>
      <c r="T433" s="19"/>
      <c r="U433" s="19"/>
      <c r="V433" s="19"/>
      <c r="W433" s="19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55" t="s">
        <v>21</v>
      </c>
      <c r="B434" s="55" t="s">
        <v>41</v>
      </c>
      <c r="C434" s="55" t="s">
        <v>40</v>
      </c>
      <c r="D434" s="55" t="s">
        <v>38</v>
      </c>
      <c r="E434" s="55" t="s">
        <v>25</v>
      </c>
      <c r="F434" s="55" t="s">
        <v>61</v>
      </c>
      <c r="G434" s="55" t="s">
        <v>25</v>
      </c>
      <c r="H434" s="55" t="s">
        <v>34</v>
      </c>
      <c r="I434" s="63">
        <v>44593</v>
      </c>
      <c r="J434" s="64">
        <f ca="1">EFEITO!$J$434*EFEITO!$Y$434</f>
        <v>894710.59108646121</v>
      </c>
      <c r="K434" s="64">
        <f ca="1">EFEITO!$L$434*EFEITO!$Z$434</f>
        <v>0</v>
      </c>
      <c r="L434" s="64">
        <f>EFEITO!$N$434*EFEITO!$AA$434</f>
        <v>0</v>
      </c>
      <c r="M434" s="64">
        <f ca="1">$J$434-EFEITO!$K$434*EFEITO!$Y$434</f>
        <v>456302.40145409526</v>
      </c>
      <c r="N434" s="64">
        <f ca="1">$K$434-EFEITO!$M$434*EFEITO!$Z$434</f>
        <v>0</v>
      </c>
      <c r="O434" s="64">
        <f>$L$434-EFEITO!$O$434*EFEITO!$AA$434</f>
        <v>0</v>
      </c>
      <c r="P434" s="19"/>
      <c r="Q434" s="19"/>
      <c r="R434" s="19"/>
      <c r="S434" s="19"/>
      <c r="T434" s="19"/>
      <c r="U434" s="19"/>
      <c r="V434" s="19"/>
      <c r="W434" s="19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55" t="s">
        <v>21</v>
      </c>
      <c r="B435" s="55" t="s">
        <v>41</v>
      </c>
      <c r="C435" s="55" t="s">
        <v>40</v>
      </c>
      <c r="D435" s="55" t="s">
        <v>38</v>
      </c>
      <c r="E435" s="55" t="s">
        <v>25</v>
      </c>
      <c r="F435" s="55" t="s">
        <v>61</v>
      </c>
      <c r="G435" s="55" t="s">
        <v>25</v>
      </c>
      <c r="H435" s="55" t="s">
        <v>34</v>
      </c>
      <c r="I435" s="63">
        <v>44621</v>
      </c>
      <c r="J435" s="64">
        <f ca="1">EFEITO!$J$435*EFEITO!$Y$435</f>
        <v>893979.31965933694</v>
      </c>
      <c r="K435" s="64">
        <f ca="1">EFEITO!$L$435*EFEITO!$Z$435</f>
        <v>0</v>
      </c>
      <c r="L435" s="64">
        <f>EFEITO!$N$435*EFEITO!$AA$435</f>
        <v>0</v>
      </c>
      <c r="M435" s="64">
        <f ca="1">$J$435-EFEITO!$K$435*EFEITO!$Y$435</f>
        <v>455929.45302626182</v>
      </c>
      <c r="N435" s="64">
        <f ca="1">$K$435-EFEITO!$M$435*EFEITO!$Z$435</f>
        <v>0</v>
      </c>
      <c r="O435" s="64">
        <f>$L$435-EFEITO!$O$435*EFEITO!$AA$435</f>
        <v>0</v>
      </c>
      <c r="P435" s="19"/>
      <c r="Q435" s="19"/>
      <c r="R435" s="19"/>
      <c r="S435" s="19"/>
      <c r="T435" s="19"/>
      <c r="U435" s="19"/>
      <c r="V435" s="19"/>
      <c r="W435" s="19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55" t="s">
        <v>21</v>
      </c>
      <c r="B436" s="55" t="s">
        <v>41</v>
      </c>
      <c r="C436" s="55" t="s">
        <v>40</v>
      </c>
      <c r="D436" s="55" t="s">
        <v>38</v>
      </c>
      <c r="E436" s="55" t="s">
        <v>25</v>
      </c>
      <c r="F436" s="55" t="s">
        <v>61</v>
      </c>
      <c r="G436" s="55" t="s">
        <v>25</v>
      </c>
      <c r="H436" s="55" t="s">
        <v>34</v>
      </c>
      <c r="I436" s="63">
        <v>44652</v>
      </c>
      <c r="J436" s="64">
        <f ca="1">EFEITO!$J$436*EFEITO!$Y$436</f>
        <v>923177.94307093904</v>
      </c>
      <c r="K436" s="64">
        <f ca="1">EFEITO!$L$436*EFEITO!$Z$436</f>
        <v>0</v>
      </c>
      <c r="L436" s="64">
        <f>EFEITO!$N$436*EFEITO!$AA$436</f>
        <v>0</v>
      </c>
      <c r="M436" s="64">
        <f ca="1">$J$436-EFEITO!$K$436*EFEITO!$Y$436</f>
        <v>443125.41267405078</v>
      </c>
      <c r="N436" s="64">
        <f ca="1">$K$436-EFEITO!$M$436*EFEITO!$Z$436</f>
        <v>0</v>
      </c>
      <c r="O436" s="64">
        <f>$L$436-EFEITO!$O$436*EFEITO!$AA$436</f>
        <v>0</v>
      </c>
      <c r="P436" s="19"/>
      <c r="Q436" s="19"/>
      <c r="R436" s="19"/>
      <c r="S436" s="19"/>
      <c r="T436" s="19"/>
      <c r="U436" s="19"/>
      <c r="V436" s="19"/>
      <c r="W436" s="19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55" t="s">
        <v>27</v>
      </c>
      <c r="B437" s="55" t="s">
        <v>41</v>
      </c>
      <c r="C437" s="55" t="s">
        <v>40</v>
      </c>
      <c r="D437" s="55" t="s">
        <v>38</v>
      </c>
      <c r="E437" s="55" t="s">
        <v>25</v>
      </c>
      <c r="F437" s="55" t="s">
        <v>61</v>
      </c>
      <c r="G437" s="55" t="s">
        <v>25</v>
      </c>
      <c r="H437" s="55" t="s">
        <v>34</v>
      </c>
      <c r="I437" s="63">
        <v>44652</v>
      </c>
      <c r="J437" s="64">
        <f ca="1">EFEITO!$J$437*EFEITO!$Y$437</f>
        <v>63620.614159805576</v>
      </c>
      <c r="K437" s="64">
        <f ca="1">EFEITO!$L$437*EFEITO!$Z$437</f>
        <v>0</v>
      </c>
      <c r="L437" s="64">
        <f>EFEITO!$N$437*EFEITO!$AA$437</f>
        <v>0</v>
      </c>
      <c r="M437" s="64">
        <f ca="1">$J$437-EFEITO!$K$437*EFEITO!$Y$437</f>
        <v>0</v>
      </c>
      <c r="N437" s="64">
        <f ca="1">$K$437-EFEITO!$M$437*EFEITO!$Z$437</f>
        <v>0</v>
      </c>
      <c r="O437" s="64">
        <f>$L$437-EFEITO!$O$437*EFEITO!$AA$437</f>
        <v>0</v>
      </c>
      <c r="P437" s="19"/>
      <c r="Q437" s="19"/>
      <c r="R437" s="19"/>
      <c r="S437" s="19"/>
      <c r="T437" s="19"/>
      <c r="U437" s="19"/>
      <c r="V437" s="19"/>
      <c r="W437" s="19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55" t="s">
        <v>21</v>
      </c>
      <c r="B438" s="55" t="s">
        <v>41</v>
      </c>
      <c r="C438" s="55" t="s">
        <v>40</v>
      </c>
      <c r="D438" s="55" t="s">
        <v>38</v>
      </c>
      <c r="E438" s="55" t="s">
        <v>25</v>
      </c>
      <c r="F438" s="55" t="s">
        <v>61</v>
      </c>
      <c r="G438" s="55" t="s">
        <v>25</v>
      </c>
      <c r="H438" s="55" t="s">
        <v>34</v>
      </c>
      <c r="I438" s="63">
        <v>44682</v>
      </c>
      <c r="J438" s="64">
        <f ca="1">EFEITO!$J$438*EFEITO!$Y$438</f>
        <v>926573.13183972996</v>
      </c>
      <c r="K438" s="64">
        <f ca="1">EFEITO!$L$438*EFEITO!$Z$438</f>
        <v>0</v>
      </c>
      <c r="L438" s="64">
        <f>EFEITO!$N$438*EFEITO!$AA$438</f>
        <v>0</v>
      </c>
      <c r="M438" s="64">
        <f ca="1">$J$438-EFEITO!$K$438*EFEITO!$Y$438</f>
        <v>444755.10328307038</v>
      </c>
      <c r="N438" s="64">
        <f ca="1">$K$438-EFEITO!$M$438*EFEITO!$Z$438</f>
        <v>0</v>
      </c>
      <c r="O438" s="64">
        <f>$L$438-EFEITO!$O$438*EFEITO!$AA$438</f>
        <v>0</v>
      </c>
      <c r="P438" s="19"/>
      <c r="Q438" s="19"/>
      <c r="R438" s="19"/>
      <c r="S438" s="19"/>
      <c r="T438" s="19"/>
      <c r="U438" s="19"/>
      <c r="V438" s="19"/>
      <c r="W438" s="19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55" t="s">
        <v>21</v>
      </c>
      <c r="B439" s="55" t="s">
        <v>41</v>
      </c>
      <c r="C439" s="55" t="s">
        <v>40</v>
      </c>
      <c r="D439" s="55" t="s">
        <v>38</v>
      </c>
      <c r="E439" s="55" t="s">
        <v>25</v>
      </c>
      <c r="F439" s="55" t="s">
        <v>61</v>
      </c>
      <c r="G439" s="55" t="s">
        <v>25</v>
      </c>
      <c r="H439" s="55" t="s">
        <v>34</v>
      </c>
      <c r="I439" s="63">
        <v>44713</v>
      </c>
      <c r="J439" s="64">
        <f ca="1">EFEITO!$J$439*EFEITO!$Y$439</f>
        <v>940571.75630182179</v>
      </c>
      <c r="K439" s="64">
        <f ca="1">EFEITO!$L$439*EFEITO!$Z$439</f>
        <v>0</v>
      </c>
      <c r="L439" s="64">
        <f>EFEITO!$N$439*EFEITO!$AA$439</f>
        <v>0</v>
      </c>
      <c r="M439" s="64">
        <f ca="1">$J$439-EFEITO!$K$439*EFEITO!$Y$439</f>
        <v>451474.44302487449</v>
      </c>
      <c r="N439" s="64">
        <f ca="1">$K$439-EFEITO!$M$439*EFEITO!$Z$439</f>
        <v>0</v>
      </c>
      <c r="O439" s="64">
        <f>$L$439-EFEITO!$O$439*EFEITO!$AA$439</f>
        <v>0</v>
      </c>
      <c r="P439" s="19"/>
      <c r="Q439" s="19"/>
      <c r="R439" s="19"/>
      <c r="S439" s="19"/>
      <c r="T439" s="19"/>
      <c r="U439" s="19"/>
      <c r="V439" s="19"/>
      <c r="W439" s="19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55" t="s">
        <v>57</v>
      </c>
      <c r="B440" s="55" t="s">
        <v>41</v>
      </c>
      <c r="C440" s="55" t="s">
        <v>40</v>
      </c>
      <c r="D440" s="55" t="s">
        <v>38</v>
      </c>
      <c r="E440" s="55" t="s">
        <v>25</v>
      </c>
      <c r="F440" s="55" t="s">
        <v>61</v>
      </c>
      <c r="G440" s="55" t="s">
        <v>25</v>
      </c>
      <c r="H440" s="55" t="s">
        <v>34</v>
      </c>
      <c r="I440" s="63">
        <v>44743</v>
      </c>
      <c r="J440" s="64">
        <f ca="1">EFEITO!$J$440*EFEITO!$Y$440</f>
        <v>940571.75630182179</v>
      </c>
      <c r="K440" s="64">
        <f ca="1">EFEITO!$L$440*EFEITO!$Z$440</f>
        <v>0</v>
      </c>
      <c r="L440" s="64">
        <f>EFEITO!$N$440*EFEITO!$AA$440</f>
        <v>0</v>
      </c>
      <c r="M440" s="64">
        <f ca="1">$J$440-EFEITO!$K$440*EFEITO!$Y$440</f>
        <v>451474.44302487449</v>
      </c>
      <c r="N440" s="64">
        <f ca="1">$K$440-EFEITO!$M$440*EFEITO!$Z$440</f>
        <v>0</v>
      </c>
      <c r="O440" s="64">
        <f>$L$440-EFEITO!$O$440*EFEITO!$AA$440</f>
        <v>0</v>
      </c>
      <c r="P440" s="19"/>
      <c r="Q440" s="19"/>
      <c r="R440" s="19"/>
      <c r="S440" s="19"/>
      <c r="T440" s="19"/>
      <c r="U440" s="19"/>
      <c r="V440" s="19"/>
      <c r="W440" s="19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55" t="s">
        <v>21</v>
      </c>
      <c r="B441" s="55" t="s">
        <v>41</v>
      </c>
      <c r="C441" s="55" t="s">
        <v>40</v>
      </c>
      <c r="D441" s="55" t="s">
        <v>38</v>
      </c>
      <c r="E441" s="55" t="s">
        <v>25</v>
      </c>
      <c r="F441" s="55" t="s">
        <v>25</v>
      </c>
      <c r="G441" s="55" t="s">
        <v>25</v>
      </c>
      <c r="H441" s="55" t="s">
        <v>35</v>
      </c>
      <c r="I441" s="63">
        <v>44409</v>
      </c>
      <c r="J441" s="64">
        <f ca="1">EFEITO!$J$441*EFEITO!$Y$441</f>
        <v>31930.399598961318</v>
      </c>
      <c r="K441" s="64">
        <f ca="1">EFEITO!$L$441*EFEITO!$Z$441</f>
        <v>12835.711359618457</v>
      </c>
      <c r="L441" s="64">
        <f>EFEITO!$N$441*EFEITO!$AA$441</f>
        <v>38199.570946003972</v>
      </c>
      <c r="M441" s="64">
        <f ca="1">$J$441-EFEITO!$K$441*EFEITO!$Y$441</f>
        <v>0</v>
      </c>
      <c r="N441" s="64">
        <f ca="1">$K$441-EFEITO!$M$441*EFEITO!$Z$441</f>
        <v>0</v>
      </c>
      <c r="O441" s="64">
        <f>$L$441-EFEITO!$O$441*EFEITO!$AA$441</f>
        <v>0</v>
      </c>
      <c r="P441" s="19"/>
      <c r="Q441" s="19"/>
      <c r="R441" s="19"/>
      <c r="S441" s="19"/>
      <c r="T441" s="19"/>
      <c r="U441" s="19"/>
      <c r="V441" s="19"/>
      <c r="W441" s="19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55" t="s">
        <v>28</v>
      </c>
      <c r="B442" s="55" t="s">
        <v>41</v>
      </c>
      <c r="C442" s="55" t="s">
        <v>40</v>
      </c>
      <c r="D442" s="55" t="s">
        <v>38</v>
      </c>
      <c r="E442" s="55" t="s">
        <v>25</v>
      </c>
      <c r="F442" s="55" t="s">
        <v>25</v>
      </c>
      <c r="G442" s="55" t="s">
        <v>25</v>
      </c>
      <c r="H442" s="55" t="s">
        <v>35</v>
      </c>
      <c r="I442" s="63">
        <v>44409</v>
      </c>
      <c r="J442" s="64">
        <f ca="1">EFEITO!$J$442*EFEITO!$Y$442</f>
        <v>6044.4377841655169</v>
      </c>
      <c r="K442" s="64">
        <f ca="1">EFEITO!$L$442*EFEITO!$Z$442</f>
        <v>112.14173082386196</v>
      </c>
      <c r="L442" s="64">
        <f>EFEITO!$N$442*EFEITO!$AA$442</f>
        <v>333.73810633438325</v>
      </c>
      <c r="M442" s="64">
        <f ca="1">$J$442-EFEITO!$K$442*EFEITO!$Y$442</f>
        <v>0</v>
      </c>
      <c r="N442" s="64">
        <f ca="1">$K$442-EFEITO!$M$442*EFEITO!$Z$442</f>
        <v>0</v>
      </c>
      <c r="O442" s="64">
        <f>$L$442-EFEITO!$O$442*EFEITO!$AA$442</f>
        <v>0</v>
      </c>
      <c r="P442" s="19"/>
      <c r="Q442" s="19"/>
      <c r="R442" s="19"/>
      <c r="S442" s="19"/>
      <c r="T442" s="19"/>
      <c r="U442" s="19"/>
      <c r="V442" s="19"/>
      <c r="W442" s="19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55" t="s">
        <v>21</v>
      </c>
      <c r="B443" s="55" t="s">
        <v>41</v>
      </c>
      <c r="C443" s="55" t="s">
        <v>40</v>
      </c>
      <c r="D443" s="55" t="s">
        <v>38</v>
      </c>
      <c r="E443" s="55" t="s">
        <v>25</v>
      </c>
      <c r="F443" s="55" t="s">
        <v>25</v>
      </c>
      <c r="G443" s="55" t="s">
        <v>25</v>
      </c>
      <c r="H443" s="55" t="s">
        <v>35</v>
      </c>
      <c r="I443" s="63">
        <v>44409</v>
      </c>
      <c r="J443" s="64">
        <f ca="1">EFEITO!$J$443*EFEITO!$Y$443</f>
        <v>89694.200684160474</v>
      </c>
      <c r="K443" s="64">
        <f ca="1">EFEITO!$L$443*EFEITO!$Z$443</f>
        <v>0</v>
      </c>
      <c r="L443" s="64">
        <f>EFEITO!$N$443*EFEITO!$AA$443</f>
        <v>0</v>
      </c>
      <c r="M443" s="64">
        <f ca="1">$J$443-EFEITO!$K$443*EFEITO!$Y$443</f>
        <v>0</v>
      </c>
      <c r="N443" s="64">
        <f ca="1">$K$443-EFEITO!$M$443*EFEITO!$Z$443</f>
        <v>0</v>
      </c>
      <c r="O443" s="64">
        <f>$L$443-EFEITO!$O$443*EFEITO!$AA$443</f>
        <v>0</v>
      </c>
      <c r="P443" s="19"/>
      <c r="Q443" s="19"/>
      <c r="R443" s="19"/>
      <c r="S443" s="19"/>
      <c r="T443" s="19"/>
      <c r="U443" s="19"/>
      <c r="V443" s="19"/>
      <c r="W443" s="19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55" t="s">
        <v>21</v>
      </c>
      <c r="B444" s="55" t="s">
        <v>41</v>
      </c>
      <c r="C444" s="55" t="s">
        <v>40</v>
      </c>
      <c r="D444" s="55" t="s">
        <v>38</v>
      </c>
      <c r="E444" s="55" t="s">
        <v>25</v>
      </c>
      <c r="F444" s="55" t="s">
        <v>25</v>
      </c>
      <c r="G444" s="55" t="s">
        <v>25</v>
      </c>
      <c r="H444" s="55" t="s">
        <v>35</v>
      </c>
      <c r="I444" s="63">
        <v>44440</v>
      </c>
      <c r="J444" s="64">
        <f ca="1">EFEITO!$J$444*EFEITO!$Y$444</f>
        <v>33244.407812910344</v>
      </c>
      <c r="K444" s="64">
        <f ca="1">EFEITO!$L$444*EFEITO!$Z$444</f>
        <v>16130.809216992933</v>
      </c>
      <c r="L444" s="64">
        <f>EFEITO!$N$444*EFEITO!$AA$444</f>
        <v>48005.908970462595</v>
      </c>
      <c r="M444" s="64">
        <f ca="1">$J$444-EFEITO!$K$444*EFEITO!$Y$444</f>
        <v>0</v>
      </c>
      <c r="N444" s="64">
        <f ca="1">$K$444-EFEITO!$M$444*EFEITO!$Z$444</f>
        <v>0</v>
      </c>
      <c r="O444" s="64">
        <f>$L$444-EFEITO!$O$444*EFEITO!$AA$444</f>
        <v>0</v>
      </c>
      <c r="P444" s="19"/>
      <c r="Q444" s="19"/>
      <c r="R444" s="19"/>
      <c r="S444" s="19"/>
      <c r="T444" s="19"/>
      <c r="U444" s="19"/>
      <c r="V444" s="19"/>
      <c r="W444" s="19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55" t="s">
        <v>28</v>
      </c>
      <c r="B445" s="55" t="s">
        <v>41</v>
      </c>
      <c r="C445" s="55" t="s">
        <v>40</v>
      </c>
      <c r="D445" s="55" t="s">
        <v>38</v>
      </c>
      <c r="E445" s="55" t="s">
        <v>25</v>
      </c>
      <c r="F445" s="55" t="s">
        <v>25</v>
      </c>
      <c r="G445" s="55" t="s">
        <v>25</v>
      </c>
      <c r="H445" s="55" t="s">
        <v>35</v>
      </c>
      <c r="I445" s="63">
        <v>44440</v>
      </c>
      <c r="J445" s="64">
        <f ca="1">EFEITO!$J$445*EFEITO!$Y$445</f>
        <v>6044.4377841655169</v>
      </c>
      <c r="K445" s="64">
        <f ca="1">EFEITO!$L$445*EFEITO!$Z$445</f>
        <v>1009.2755774147578</v>
      </c>
      <c r="L445" s="64">
        <f>EFEITO!$N$445*EFEITO!$AA$445</f>
        <v>3003.6429570094497</v>
      </c>
      <c r="M445" s="64">
        <f ca="1">$J$445-EFEITO!$K$445*EFEITO!$Y$445</f>
        <v>0</v>
      </c>
      <c r="N445" s="64">
        <f ca="1">$K$445-EFEITO!$M$445*EFEITO!$Z$445</f>
        <v>0</v>
      </c>
      <c r="O445" s="64">
        <f>$L$445-EFEITO!$O$445*EFEITO!$AA$445</f>
        <v>0</v>
      </c>
      <c r="P445" s="19"/>
      <c r="Q445" s="19"/>
      <c r="R445" s="19"/>
      <c r="S445" s="19"/>
      <c r="T445" s="19"/>
      <c r="U445" s="19"/>
      <c r="V445" s="19"/>
      <c r="W445" s="19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55" t="s">
        <v>21</v>
      </c>
      <c r="B446" s="55" t="s">
        <v>41</v>
      </c>
      <c r="C446" s="55" t="s">
        <v>40</v>
      </c>
      <c r="D446" s="55" t="s">
        <v>38</v>
      </c>
      <c r="E446" s="55" t="s">
        <v>25</v>
      </c>
      <c r="F446" s="55" t="s">
        <v>25</v>
      </c>
      <c r="G446" s="55" t="s">
        <v>25</v>
      </c>
      <c r="H446" s="55" t="s">
        <v>35</v>
      </c>
      <c r="I446" s="63">
        <v>44440</v>
      </c>
      <c r="J446" s="64">
        <f ca="1">EFEITO!$J$446*EFEITO!$Y$446</f>
        <v>89352.558548533721</v>
      </c>
      <c r="K446" s="64">
        <f ca="1">EFEITO!$L$446*EFEITO!$Z$446</f>
        <v>0</v>
      </c>
      <c r="L446" s="64">
        <f>EFEITO!$N$446*EFEITO!$AA$446</f>
        <v>0</v>
      </c>
      <c r="M446" s="64">
        <f ca="1">$J$446-EFEITO!$K$446*EFEITO!$Y$446</f>
        <v>0</v>
      </c>
      <c r="N446" s="64">
        <f ca="1">$K$446-EFEITO!$M$446*EFEITO!$Z$446</f>
        <v>0</v>
      </c>
      <c r="O446" s="64">
        <f>$L$446-EFEITO!$O$446*EFEITO!$AA$446</f>
        <v>0</v>
      </c>
      <c r="P446" s="19"/>
      <c r="Q446" s="19"/>
      <c r="R446" s="19"/>
      <c r="S446" s="19"/>
      <c r="T446" s="19"/>
      <c r="U446" s="19"/>
      <c r="V446" s="19"/>
      <c r="W446" s="19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55" t="s">
        <v>21</v>
      </c>
      <c r="B447" s="55" t="s">
        <v>41</v>
      </c>
      <c r="C447" s="55" t="s">
        <v>40</v>
      </c>
      <c r="D447" s="55" t="s">
        <v>38</v>
      </c>
      <c r="E447" s="55" t="s">
        <v>25</v>
      </c>
      <c r="F447" s="55" t="s">
        <v>25</v>
      </c>
      <c r="G447" s="55" t="s">
        <v>25</v>
      </c>
      <c r="H447" s="55" t="s">
        <v>35</v>
      </c>
      <c r="I447" s="63">
        <v>44470</v>
      </c>
      <c r="J447" s="64">
        <f ca="1">EFEITO!$J$447*EFEITO!$Y$447</f>
        <v>33244.407812910344</v>
      </c>
      <c r="K447" s="64">
        <f ca="1">EFEITO!$L$447*EFEITO!$Z$447</f>
        <v>15617.215665060037</v>
      </c>
      <c r="L447" s="64">
        <f>EFEITO!$N$447*EFEITO!$AA$447</f>
        <v>46477.434795965892</v>
      </c>
      <c r="M447" s="64">
        <f ca="1">$J$447-EFEITO!$K$447*EFEITO!$Y$447</f>
        <v>0</v>
      </c>
      <c r="N447" s="64">
        <f ca="1">$K$447-EFEITO!$M$447*EFEITO!$Z$447</f>
        <v>0</v>
      </c>
      <c r="O447" s="64">
        <f>$L$447-EFEITO!$O$447*EFEITO!$AA$447</f>
        <v>0</v>
      </c>
      <c r="P447" s="19"/>
      <c r="Q447" s="19"/>
      <c r="R447" s="19"/>
      <c r="S447" s="19"/>
      <c r="T447" s="19"/>
      <c r="U447" s="19"/>
      <c r="V447" s="19"/>
      <c r="W447" s="19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55" t="s">
        <v>28</v>
      </c>
      <c r="B448" s="55" t="s">
        <v>41</v>
      </c>
      <c r="C448" s="55" t="s">
        <v>40</v>
      </c>
      <c r="D448" s="55" t="s">
        <v>38</v>
      </c>
      <c r="E448" s="55" t="s">
        <v>25</v>
      </c>
      <c r="F448" s="55" t="s">
        <v>25</v>
      </c>
      <c r="G448" s="55" t="s">
        <v>25</v>
      </c>
      <c r="H448" s="55" t="s">
        <v>35</v>
      </c>
      <c r="I448" s="63">
        <v>44470</v>
      </c>
      <c r="J448" s="64">
        <f ca="1">EFEITO!$J$448*EFEITO!$Y$448</f>
        <v>6044.4377841655169</v>
      </c>
      <c r="K448" s="64">
        <f ca="1">EFEITO!$L$448*EFEITO!$Z$448</f>
        <v>1009.2755774147578</v>
      </c>
      <c r="L448" s="64">
        <f>EFEITO!$N$448*EFEITO!$AA$448</f>
        <v>3003.6429570094497</v>
      </c>
      <c r="M448" s="64">
        <f ca="1">$J$448-EFEITO!$K$448*EFEITO!$Y$448</f>
        <v>0</v>
      </c>
      <c r="N448" s="64">
        <f ca="1">$K$448-EFEITO!$M$448*EFEITO!$Z$448</f>
        <v>0</v>
      </c>
      <c r="O448" s="64">
        <f>$L$448-EFEITO!$O$448*EFEITO!$AA$448</f>
        <v>0</v>
      </c>
      <c r="P448" s="19"/>
      <c r="Q448" s="19"/>
      <c r="R448" s="19"/>
      <c r="S448" s="19"/>
      <c r="T448" s="19"/>
      <c r="U448" s="19"/>
      <c r="V448" s="19"/>
      <c r="W448" s="19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55" t="s">
        <v>21</v>
      </c>
      <c r="B449" s="55" t="s">
        <v>41</v>
      </c>
      <c r="C449" s="55" t="s">
        <v>40</v>
      </c>
      <c r="D449" s="55" t="s">
        <v>38</v>
      </c>
      <c r="E449" s="55" t="s">
        <v>25</v>
      </c>
      <c r="F449" s="55" t="s">
        <v>25</v>
      </c>
      <c r="G449" s="55" t="s">
        <v>25</v>
      </c>
      <c r="H449" s="55" t="s">
        <v>35</v>
      </c>
      <c r="I449" s="63">
        <v>44470</v>
      </c>
      <c r="J449" s="64">
        <f ca="1">EFEITO!$J$449*EFEITO!$Y$449</f>
        <v>89957.002326950271</v>
      </c>
      <c r="K449" s="64">
        <f ca="1">EFEITO!$L$449*EFEITO!$Z$449</f>
        <v>0</v>
      </c>
      <c r="L449" s="64">
        <f>EFEITO!$N$449*EFEITO!$AA$449</f>
        <v>0</v>
      </c>
      <c r="M449" s="64">
        <f ca="1">$J$449-EFEITO!$K$449*EFEITO!$Y$449</f>
        <v>0</v>
      </c>
      <c r="N449" s="64">
        <f ca="1">$K$449-EFEITO!$M$449*EFEITO!$Z$449</f>
        <v>0</v>
      </c>
      <c r="O449" s="64">
        <f>$L$449-EFEITO!$O$449*EFEITO!$AA$449</f>
        <v>0</v>
      </c>
      <c r="P449" s="19"/>
      <c r="Q449" s="19"/>
      <c r="R449" s="19"/>
      <c r="S449" s="19"/>
      <c r="T449" s="19"/>
      <c r="U449" s="19"/>
      <c r="V449" s="19"/>
      <c r="W449" s="19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55" t="s">
        <v>21</v>
      </c>
      <c r="B450" s="55" t="s">
        <v>41</v>
      </c>
      <c r="C450" s="55" t="s">
        <v>40</v>
      </c>
      <c r="D450" s="55" t="s">
        <v>38</v>
      </c>
      <c r="E450" s="55" t="s">
        <v>25</v>
      </c>
      <c r="F450" s="55" t="s">
        <v>25</v>
      </c>
      <c r="G450" s="55" t="s">
        <v>25</v>
      </c>
      <c r="H450" s="55" t="s">
        <v>35</v>
      </c>
      <c r="I450" s="63">
        <v>44501</v>
      </c>
      <c r="J450" s="64">
        <f ca="1">EFEITO!$J$450*EFEITO!$Y$450</f>
        <v>33244.407812910344</v>
      </c>
      <c r="K450" s="64">
        <f ca="1">EFEITO!$L$450*EFEITO!$Z$450</f>
        <v>15451.183602479154</v>
      </c>
      <c r="L450" s="64">
        <f>EFEITO!$N$450*EFEITO!$AA$450</f>
        <v>45983.316988531937</v>
      </c>
      <c r="M450" s="64">
        <f ca="1">$J$450-EFEITO!$K$450*EFEITO!$Y$450</f>
        <v>0</v>
      </c>
      <c r="N450" s="64">
        <f ca="1">$K$450-EFEITO!$M$450*EFEITO!$Z$450</f>
        <v>0</v>
      </c>
      <c r="O450" s="64">
        <f>$L$450-EFEITO!$O$450*EFEITO!$AA$450</f>
        <v>0</v>
      </c>
      <c r="P450" s="19"/>
      <c r="Q450" s="19"/>
      <c r="R450" s="19"/>
      <c r="S450" s="19"/>
      <c r="T450" s="19"/>
      <c r="U450" s="19"/>
      <c r="V450" s="19"/>
      <c r="W450" s="19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55" t="s">
        <v>28</v>
      </c>
      <c r="B451" s="55" t="s">
        <v>41</v>
      </c>
      <c r="C451" s="55" t="s">
        <v>40</v>
      </c>
      <c r="D451" s="55" t="s">
        <v>38</v>
      </c>
      <c r="E451" s="55" t="s">
        <v>25</v>
      </c>
      <c r="F451" s="55" t="s">
        <v>25</v>
      </c>
      <c r="G451" s="55" t="s">
        <v>25</v>
      </c>
      <c r="H451" s="55" t="s">
        <v>35</v>
      </c>
      <c r="I451" s="63">
        <v>44501</v>
      </c>
      <c r="J451" s="64">
        <f ca="1">EFEITO!$J$451*EFEITO!$Y$451</f>
        <v>6044.4377841655169</v>
      </c>
      <c r="K451" s="64">
        <f ca="1">EFEITO!$L$451*EFEITO!$Z$451</f>
        <v>1719.5065392992167</v>
      </c>
      <c r="L451" s="64">
        <f>EFEITO!$N$451*EFEITO!$AA$451</f>
        <v>5117.3176304605431</v>
      </c>
      <c r="M451" s="64">
        <f ca="1">$J$451-EFEITO!$K$451*EFEITO!$Y$451</f>
        <v>0</v>
      </c>
      <c r="N451" s="64">
        <f ca="1">$K$451-EFEITO!$M$451*EFEITO!$Z$451</f>
        <v>0</v>
      </c>
      <c r="O451" s="64">
        <f>$L$451-EFEITO!$O$451*EFEITO!$AA$451</f>
        <v>0</v>
      </c>
      <c r="P451" s="19"/>
      <c r="Q451" s="19"/>
      <c r="R451" s="19"/>
      <c r="S451" s="19"/>
      <c r="T451" s="19"/>
      <c r="U451" s="19"/>
      <c r="V451" s="19"/>
      <c r="W451" s="19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55" t="s">
        <v>21</v>
      </c>
      <c r="B452" s="55" t="s">
        <v>41</v>
      </c>
      <c r="C452" s="55" t="s">
        <v>40</v>
      </c>
      <c r="D452" s="55" t="s">
        <v>38</v>
      </c>
      <c r="E452" s="55" t="s">
        <v>25</v>
      </c>
      <c r="F452" s="55" t="s">
        <v>25</v>
      </c>
      <c r="G452" s="55" t="s">
        <v>25</v>
      </c>
      <c r="H452" s="55" t="s">
        <v>35</v>
      </c>
      <c r="I452" s="63">
        <v>44531</v>
      </c>
      <c r="J452" s="64">
        <f ca="1">EFEITO!$J$452*EFEITO!$Y$452</f>
        <v>33244.407812910344</v>
      </c>
      <c r="K452" s="64">
        <f ca="1">EFEITO!$L$452*EFEITO!$Z$452</f>
        <v>15894.922201253017</v>
      </c>
      <c r="L452" s="64">
        <f>EFEITO!$N$452*EFEITO!$AA$452</f>
        <v>47303.90013429118</v>
      </c>
      <c r="M452" s="64">
        <f ca="1">$J$452-EFEITO!$K$452*EFEITO!$Y$452</f>
        <v>0</v>
      </c>
      <c r="N452" s="64">
        <f ca="1">$K$452-EFEITO!$M$452*EFEITO!$Z$452</f>
        <v>0</v>
      </c>
      <c r="O452" s="64">
        <f>$L$452-EFEITO!$O$452*EFEITO!$AA$452</f>
        <v>0</v>
      </c>
      <c r="P452" s="19"/>
      <c r="Q452" s="19"/>
      <c r="R452" s="19"/>
      <c r="S452" s="19"/>
      <c r="T452" s="19"/>
      <c r="U452" s="19"/>
      <c r="V452" s="19"/>
      <c r="W452" s="19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55" t="s">
        <v>28</v>
      </c>
      <c r="B453" s="55" t="s">
        <v>41</v>
      </c>
      <c r="C453" s="55" t="s">
        <v>40</v>
      </c>
      <c r="D453" s="55" t="s">
        <v>38</v>
      </c>
      <c r="E453" s="55" t="s">
        <v>25</v>
      </c>
      <c r="F453" s="55" t="s">
        <v>25</v>
      </c>
      <c r="G453" s="55" t="s">
        <v>25</v>
      </c>
      <c r="H453" s="55" t="s">
        <v>35</v>
      </c>
      <c r="I453" s="63">
        <v>44531</v>
      </c>
      <c r="J453" s="64">
        <f ca="1">EFEITO!$J$453*EFEITO!$Y$453</f>
        <v>6044.4377841655169</v>
      </c>
      <c r="K453" s="64">
        <f ca="1">EFEITO!$L$453*EFEITO!$Z$453</f>
        <v>672.85038494317189</v>
      </c>
      <c r="L453" s="64">
        <f>EFEITO!$N$453*EFEITO!$AA$453</f>
        <v>2002.4286380062997</v>
      </c>
      <c r="M453" s="64">
        <f ca="1">$J$453-EFEITO!$K$453*EFEITO!$Y$453</f>
        <v>0</v>
      </c>
      <c r="N453" s="64">
        <f ca="1">$K$453-EFEITO!$M$453*EFEITO!$Z$453</f>
        <v>0</v>
      </c>
      <c r="O453" s="64">
        <f>$L$453-EFEITO!$O$453*EFEITO!$AA$453</f>
        <v>0</v>
      </c>
      <c r="P453" s="19"/>
      <c r="Q453" s="19"/>
      <c r="R453" s="19"/>
      <c r="S453" s="19"/>
      <c r="T453" s="19"/>
      <c r="U453" s="19"/>
      <c r="V453" s="19"/>
      <c r="W453" s="19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55" t="s">
        <v>21</v>
      </c>
      <c r="B454" s="55" t="s">
        <v>41</v>
      </c>
      <c r="C454" s="55" t="s">
        <v>40</v>
      </c>
      <c r="D454" s="55" t="s">
        <v>38</v>
      </c>
      <c r="E454" s="55" t="s">
        <v>25</v>
      </c>
      <c r="F454" s="55" t="s">
        <v>25</v>
      </c>
      <c r="G454" s="55" t="s">
        <v>25</v>
      </c>
      <c r="H454" s="55" t="s">
        <v>35</v>
      </c>
      <c r="I454" s="63">
        <v>44562</v>
      </c>
      <c r="J454" s="64">
        <f ca="1">EFEITO!$J$454*EFEITO!$Y$454</f>
        <v>20577.368630441739</v>
      </c>
      <c r="K454" s="64">
        <f ca="1">EFEITO!$L$454*EFEITO!$Z$454</f>
        <v>6663.8666018040749</v>
      </c>
      <c r="L454" s="64">
        <f>EFEITO!$N$454*EFEITO!$AA$454</f>
        <v>19831.923443773037</v>
      </c>
      <c r="M454" s="64">
        <f ca="1">$J$454-EFEITO!$K$454*EFEITO!$Y$454</f>
        <v>0</v>
      </c>
      <c r="N454" s="64">
        <f ca="1">$K$454-EFEITO!$M$454*EFEITO!$Z$454</f>
        <v>0</v>
      </c>
      <c r="O454" s="64">
        <f>$L$454-EFEITO!$O$454*EFEITO!$AA$454</f>
        <v>0</v>
      </c>
      <c r="P454" s="19"/>
      <c r="Q454" s="19"/>
      <c r="R454" s="19"/>
      <c r="S454" s="19"/>
      <c r="T454" s="19"/>
      <c r="U454" s="19"/>
      <c r="V454" s="19"/>
      <c r="W454" s="19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55" t="s">
        <v>28</v>
      </c>
      <c r="B455" s="55" t="s">
        <v>41</v>
      </c>
      <c r="C455" s="55" t="s">
        <v>40</v>
      </c>
      <c r="D455" s="55" t="s">
        <v>38</v>
      </c>
      <c r="E455" s="55" t="s">
        <v>25</v>
      </c>
      <c r="F455" s="55" t="s">
        <v>25</v>
      </c>
      <c r="G455" s="55" t="s">
        <v>25</v>
      </c>
      <c r="H455" s="55" t="s">
        <v>35</v>
      </c>
      <c r="I455" s="63">
        <v>44562</v>
      </c>
      <c r="J455" s="64">
        <f ca="1">EFEITO!$J$455*EFEITO!$Y$455</f>
        <v>6044.4377841655169</v>
      </c>
      <c r="K455" s="64">
        <f ca="1">EFEITO!$L$455*EFEITO!$Z$455</f>
        <v>283.70300374397857</v>
      </c>
      <c r="L455" s="64">
        <f>EFEITO!$N$455*EFEITO!$AA$455</f>
        <v>844.31105651122095</v>
      </c>
      <c r="M455" s="64">
        <f ca="1">$J$455-EFEITO!$K$455*EFEITO!$Y$455</f>
        <v>0</v>
      </c>
      <c r="N455" s="64">
        <f ca="1">$K$455-EFEITO!$M$455*EFEITO!$Z$455</f>
        <v>0</v>
      </c>
      <c r="O455" s="64">
        <f>$L$455-EFEITO!$O$455*EFEITO!$AA$455</f>
        <v>0</v>
      </c>
      <c r="P455" s="19"/>
      <c r="Q455" s="19"/>
      <c r="R455" s="19"/>
      <c r="S455" s="19"/>
      <c r="T455" s="19"/>
      <c r="U455" s="19"/>
      <c r="V455" s="19"/>
      <c r="W455" s="19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55" t="s">
        <v>21</v>
      </c>
      <c r="B456" s="55" t="s">
        <v>41</v>
      </c>
      <c r="C456" s="55" t="s">
        <v>40</v>
      </c>
      <c r="D456" s="55" t="s">
        <v>38</v>
      </c>
      <c r="E456" s="55" t="s">
        <v>25</v>
      </c>
      <c r="F456" s="55" t="s">
        <v>25</v>
      </c>
      <c r="G456" s="55" t="s">
        <v>25</v>
      </c>
      <c r="H456" s="55" t="s">
        <v>35</v>
      </c>
      <c r="I456" s="63">
        <v>44593</v>
      </c>
      <c r="J456" s="64">
        <f ca="1">EFEITO!$J$456*EFEITO!$Y$456</f>
        <v>20997.851258905426</v>
      </c>
      <c r="K456" s="64">
        <f ca="1">EFEITO!$L$456*EFEITO!$Z$456</f>
        <v>9530.3338435851256</v>
      </c>
      <c r="L456" s="64">
        <f>EFEITO!$N$456*EFEITO!$AA$456</f>
        <v>28362.640261798024</v>
      </c>
      <c r="M456" s="64">
        <f ca="1">$J$456-EFEITO!$K$456*EFEITO!$Y$456</f>
        <v>0</v>
      </c>
      <c r="N456" s="64">
        <f ca="1">$K$456-EFEITO!$M$456*EFEITO!$Z$456</f>
        <v>0</v>
      </c>
      <c r="O456" s="64">
        <f>$L$456-EFEITO!$O$456*EFEITO!$AA$456</f>
        <v>0</v>
      </c>
      <c r="P456" s="19"/>
      <c r="Q456" s="19"/>
      <c r="R456" s="19"/>
      <c r="S456" s="19"/>
      <c r="T456" s="19"/>
      <c r="U456" s="19"/>
      <c r="V456" s="19"/>
      <c r="W456" s="19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55" t="s">
        <v>28</v>
      </c>
      <c r="B457" s="55" t="s">
        <v>41</v>
      </c>
      <c r="C457" s="55" t="s">
        <v>40</v>
      </c>
      <c r="D457" s="55" t="s">
        <v>38</v>
      </c>
      <c r="E457" s="55" t="s">
        <v>25</v>
      </c>
      <c r="F457" s="55" t="s">
        <v>25</v>
      </c>
      <c r="G457" s="55" t="s">
        <v>25</v>
      </c>
      <c r="H457" s="55" t="s">
        <v>35</v>
      </c>
      <c r="I457" s="63">
        <v>44593</v>
      </c>
      <c r="J457" s="64">
        <f ca="1">EFEITO!$J$457*EFEITO!$Y$457</f>
        <v>6044.4377841655169</v>
      </c>
      <c r="K457" s="64">
        <f ca="1">EFEITO!$L$457*EFEITO!$Z$457</f>
        <v>593.9617923566633</v>
      </c>
      <c r="L457" s="64">
        <f>EFEITO!$N$457*EFEITO!$AA$457</f>
        <v>1767.6531507030147</v>
      </c>
      <c r="M457" s="64">
        <f ca="1">$J$457-EFEITO!$K$457*EFEITO!$Y$457</f>
        <v>0</v>
      </c>
      <c r="N457" s="64">
        <f ca="1">$K$457-EFEITO!$M$457*EFEITO!$Z$457</f>
        <v>0</v>
      </c>
      <c r="O457" s="64">
        <f>$L$457-EFEITO!$O$457*EFEITO!$AA$457</f>
        <v>0</v>
      </c>
      <c r="P457" s="19"/>
      <c r="Q457" s="19"/>
      <c r="R457" s="19"/>
      <c r="S457" s="19"/>
      <c r="T457" s="19"/>
      <c r="U457" s="19"/>
      <c r="V457" s="19"/>
      <c r="W457" s="19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55" t="s">
        <v>21</v>
      </c>
      <c r="B458" s="55" t="s">
        <v>41</v>
      </c>
      <c r="C458" s="55" t="s">
        <v>40</v>
      </c>
      <c r="D458" s="55" t="s">
        <v>38</v>
      </c>
      <c r="E458" s="55" t="s">
        <v>25</v>
      </c>
      <c r="F458" s="55" t="s">
        <v>25</v>
      </c>
      <c r="G458" s="55" t="s">
        <v>25</v>
      </c>
      <c r="H458" s="55" t="s">
        <v>35</v>
      </c>
      <c r="I458" s="63">
        <v>44621</v>
      </c>
      <c r="J458" s="64">
        <f ca="1">EFEITO!$J$458*EFEITO!$Y$458</f>
        <v>20156.886001978048</v>
      </c>
      <c r="K458" s="64">
        <f ca="1">EFEITO!$L$458*EFEITO!$Z$458</f>
        <v>7554.3809712282846</v>
      </c>
      <c r="L458" s="64">
        <f>EFEITO!$N$458*EFEITO!$AA$458</f>
        <v>22482.128475671423</v>
      </c>
      <c r="M458" s="64">
        <f ca="1">$J$458-EFEITO!$K$458*EFEITO!$Y$458</f>
        <v>0</v>
      </c>
      <c r="N458" s="64">
        <f ca="1">$K$458-EFEITO!$M$458*EFEITO!$Z$458</f>
        <v>0</v>
      </c>
      <c r="O458" s="64">
        <f>$L$458-EFEITO!$O$458*EFEITO!$AA$458</f>
        <v>0</v>
      </c>
      <c r="P458" s="19"/>
      <c r="Q458" s="19"/>
      <c r="R458" s="19"/>
      <c r="S458" s="19"/>
      <c r="T458" s="19"/>
      <c r="U458" s="19"/>
      <c r="V458" s="19"/>
      <c r="W458" s="19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55" t="s">
        <v>28</v>
      </c>
      <c r="B459" s="55" t="s">
        <v>41</v>
      </c>
      <c r="C459" s="55" t="s">
        <v>40</v>
      </c>
      <c r="D459" s="55" t="s">
        <v>38</v>
      </c>
      <c r="E459" s="55" t="s">
        <v>25</v>
      </c>
      <c r="F459" s="55" t="s">
        <v>25</v>
      </c>
      <c r="G459" s="55" t="s">
        <v>25</v>
      </c>
      <c r="H459" s="55" t="s">
        <v>35</v>
      </c>
      <c r="I459" s="63">
        <v>44621</v>
      </c>
      <c r="J459" s="64">
        <f ca="1">EFEITO!$J$459*EFEITO!$Y$459</f>
        <v>6044.4377841655169</v>
      </c>
      <c r="K459" s="64">
        <f ca="1">EFEITO!$L$459*EFEITO!$Z$459</f>
        <v>1053.6650125325364</v>
      </c>
      <c r="L459" s="64">
        <f>EFEITO!$N$459*EFEITO!$AA$459</f>
        <v>3135.7476241001427</v>
      </c>
      <c r="M459" s="64">
        <f ca="1">$J$459-EFEITO!$K$459*EFEITO!$Y$459</f>
        <v>0</v>
      </c>
      <c r="N459" s="64">
        <f ca="1">$K$459-EFEITO!$M$459*EFEITO!$Z$459</f>
        <v>0</v>
      </c>
      <c r="O459" s="64">
        <f>$L$459-EFEITO!$O$459*EFEITO!$AA$459</f>
        <v>0</v>
      </c>
      <c r="P459" s="19"/>
      <c r="Q459" s="19"/>
      <c r="R459" s="19"/>
      <c r="S459" s="19"/>
      <c r="T459" s="19"/>
      <c r="U459" s="19"/>
      <c r="V459" s="19"/>
      <c r="W459" s="19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55" t="s">
        <v>21</v>
      </c>
      <c r="B460" s="55" t="s">
        <v>41</v>
      </c>
      <c r="C460" s="55" t="s">
        <v>40</v>
      </c>
      <c r="D460" s="55" t="s">
        <v>38</v>
      </c>
      <c r="E460" s="55" t="s">
        <v>25</v>
      </c>
      <c r="F460" s="55" t="s">
        <v>25</v>
      </c>
      <c r="G460" s="55" t="s">
        <v>25</v>
      </c>
      <c r="H460" s="55" t="s">
        <v>35</v>
      </c>
      <c r="I460" s="63">
        <v>44652</v>
      </c>
      <c r="J460" s="64">
        <f ca="1">EFEITO!$J$460*EFEITO!$Y$460</f>
        <v>20104.325673420088</v>
      </c>
      <c r="K460" s="64">
        <f ca="1">EFEITO!$L$460*EFEITO!$Z$460</f>
        <v>7915.1035387117072</v>
      </c>
      <c r="L460" s="64">
        <f>EFEITO!$N$460*EFEITO!$AA$460</f>
        <v>23555.652717713689</v>
      </c>
      <c r="M460" s="64">
        <f ca="1">$J$460-EFEITO!$K$460*EFEITO!$Y$460</f>
        <v>0</v>
      </c>
      <c r="N460" s="64">
        <f ca="1">$K$460-EFEITO!$M$460*EFEITO!$Z$460</f>
        <v>0</v>
      </c>
      <c r="O460" s="64">
        <f>$L$460-EFEITO!$O$460*EFEITO!$AA$460</f>
        <v>0</v>
      </c>
      <c r="P460" s="19"/>
      <c r="Q460" s="19"/>
      <c r="R460" s="19"/>
      <c r="S460" s="19"/>
      <c r="T460" s="19"/>
      <c r="U460" s="19"/>
      <c r="V460" s="19"/>
      <c r="W460" s="19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55" t="s">
        <v>28</v>
      </c>
      <c r="B461" s="55" t="s">
        <v>41</v>
      </c>
      <c r="C461" s="55" t="s">
        <v>40</v>
      </c>
      <c r="D461" s="55" t="s">
        <v>38</v>
      </c>
      <c r="E461" s="55" t="s">
        <v>25</v>
      </c>
      <c r="F461" s="55" t="s">
        <v>25</v>
      </c>
      <c r="G461" s="55" t="s">
        <v>25</v>
      </c>
      <c r="H461" s="55" t="s">
        <v>35</v>
      </c>
      <c r="I461" s="63">
        <v>44652</v>
      </c>
      <c r="J461" s="64">
        <f ca="1">EFEITO!$J$461*EFEITO!$Y$461</f>
        <v>6044.4377841655169</v>
      </c>
      <c r="K461" s="64">
        <f ca="1">EFEITO!$L$461*EFEITO!$Z$461</f>
        <v>1290.3307902920617</v>
      </c>
      <c r="L461" s="64">
        <f>EFEITO!$N$461*EFEITO!$AA$461</f>
        <v>3840.0740860099972</v>
      </c>
      <c r="M461" s="64">
        <f ca="1">$J$461-EFEITO!$K$461*EFEITO!$Y$461</f>
        <v>0</v>
      </c>
      <c r="N461" s="64">
        <f ca="1">$K$461-EFEITO!$M$461*EFEITO!$Z$461</f>
        <v>0</v>
      </c>
      <c r="O461" s="64">
        <f>$L$461-EFEITO!$O$461*EFEITO!$AA$461</f>
        <v>0</v>
      </c>
      <c r="P461" s="19"/>
      <c r="Q461" s="19"/>
      <c r="R461" s="19"/>
      <c r="S461" s="19"/>
      <c r="T461" s="19"/>
      <c r="U461" s="19"/>
      <c r="V461" s="19"/>
      <c r="W461" s="19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55" t="s">
        <v>21</v>
      </c>
      <c r="B462" s="55" t="s">
        <v>41</v>
      </c>
      <c r="C462" s="55" t="s">
        <v>40</v>
      </c>
      <c r="D462" s="55" t="s">
        <v>38</v>
      </c>
      <c r="E462" s="55" t="s">
        <v>25</v>
      </c>
      <c r="F462" s="55" t="s">
        <v>25</v>
      </c>
      <c r="G462" s="55" t="s">
        <v>25</v>
      </c>
      <c r="H462" s="55" t="s">
        <v>35</v>
      </c>
      <c r="I462" s="63">
        <v>44682</v>
      </c>
      <c r="J462" s="64">
        <f ca="1">EFEITO!$J$462*EFEITO!$Y$462</f>
        <v>20156.886001978048</v>
      </c>
      <c r="K462" s="64">
        <f ca="1">EFEITO!$L$462*EFEITO!$Z$462</f>
        <v>8427.1395666053832</v>
      </c>
      <c r="L462" s="64">
        <f>EFEITO!$N$462*EFEITO!$AA$462</f>
        <v>25079.491640733529</v>
      </c>
      <c r="M462" s="64">
        <f ca="1">$J$462-EFEITO!$K$462*EFEITO!$Y$462</f>
        <v>0</v>
      </c>
      <c r="N462" s="64">
        <f ca="1">$K$462-EFEITO!$M$462*EFEITO!$Z$462</f>
        <v>0</v>
      </c>
      <c r="O462" s="64">
        <f>$L$462-EFEITO!$O$462*EFEITO!$AA$462</f>
        <v>0</v>
      </c>
      <c r="P462" s="19"/>
      <c r="Q462" s="19"/>
      <c r="R462" s="19"/>
      <c r="S462" s="19"/>
      <c r="T462" s="19"/>
      <c r="U462" s="19"/>
      <c r="V462" s="19"/>
      <c r="W462" s="19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55" t="s">
        <v>28</v>
      </c>
      <c r="B463" s="55" t="s">
        <v>41</v>
      </c>
      <c r="C463" s="55" t="s">
        <v>40</v>
      </c>
      <c r="D463" s="55" t="s">
        <v>38</v>
      </c>
      <c r="E463" s="55" t="s">
        <v>25</v>
      </c>
      <c r="F463" s="55" t="s">
        <v>25</v>
      </c>
      <c r="G463" s="55" t="s">
        <v>25</v>
      </c>
      <c r="H463" s="55" t="s">
        <v>35</v>
      </c>
      <c r="I463" s="63">
        <v>44682</v>
      </c>
      <c r="J463" s="64">
        <f ca="1">EFEITO!$J$463*EFEITO!$Y$463</f>
        <v>6044.4377841655169</v>
      </c>
      <c r="K463" s="64">
        <f ca="1">EFEITO!$L$463*EFEITO!$Z$463</f>
        <v>2163.5566428809257</v>
      </c>
      <c r="L463" s="64">
        <f>EFEITO!$N$463*EFEITO!$AA$463</f>
        <v>6438.8278265151639</v>
      </c>
      <c r="M463" s="64">
        <f ca="1">$J$463-EFEITO!$K$463*EFEITO!$Y$463</f>
        <v>0</v>
      </c>
      <c r="N463" s="64">
        <f ca="1">$K$463-EFEITO!$M$463*EFEITO!$Z$463</f>
        <v>0</v>
      </c>
      <c r="O463" s="64">
        <f>$L$463-EFEITO!$O$463*EFEITO!$AA$463</f>
        <v>0</v>
      </c>
      <c r="P463" s="19"/>
      <c r="Q463" s="19"/>
      <c r="R463" s="19"/>
      <c r="S463" s="19"/>
      <c r="T463" s="19"/>
      <c r="U463" s="19"/>
      <c r="V463" s="19"/>
      <c r="W463" s="19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55" t="s">
        <v>21</v>
      </c>
      <c r="B464" s="55" t="s">
        <v>41</v>
      </c>
      <c r="C464" s="55" t="s">
        <v>40</v>
      </c>
      <c r="D464" s="55" t="s">
        <v>38</v>
      </c>
      <c r="E464" s="55" t="s">
        <v>25</v>
      </c>
      <c r="F464" s="55" t="s">
        <v>25</v>
      </c>
      <c r="G464" s="55" t="s">
        <v>25</v>
      </c>
      <c r="H464" s="55" t="s">
        <v>35</v>
      </c>
      <c r="I464" s="63">
        <v>44713</v>
      </c>
      <c r="J464" s="64">
        <f ca="1">EFEITO!$J$464*EFEITO!$Y$464</f>
        <v>20104.325673420088</v>
      </c>
      <c r="K464" s="64">
        <f ca="1">EFEITO!$L$464*EFEITO!$Z$464</f>
        <v>7972.7319281628588</v>
      </c>
      <c r="L464" s="64">
        <f>EFEITO!$N$464*EFEITO!$AA$464</f>
        <v>23727.157022357747</v>
      </c>
      <c r="M464" s="64">
        <f ca="1">$J$464-EFEITO!$K$464*EFEITO!$Y$464</f>
        <v>0</v>
      </c>
      <c r="N464" s="64">
        <f ca="1">$K$464-EFEITO!$M$464*EFEITO!$Z$464</f>
        <v>0</v>
      </c>
      <c r="O464" s="64">
        <f>$L$464-EFEITO!$O$464*EFEITO!$AA$464</f>
        <v>0</v>
      </c>
      <c r="P464" s="19"/>
      <c r="Q464" s="19"/>
      <c r="R464" s="19"/>
      <c r="S464" s="19"/>
      <c r="T464" s="19"/>
      <c r="U464" s="19"/>
      <c r="V464" s="19"/>
      <c r="W464" s="19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55" t="s">
        <v>28</v>
      </c>
      <c r="B465" s="55" t="s">
        <v>41</v>
      </c>
      <c r="C465" s="55" t="s">
        <v>40</v>
      </c>
      <c r="D465" s="55" t="s">
        <v>38</v>
      </c>
      <c r="E465" s="55" t="s">
        <v>25</v>
      </c>
      <c r="F465" s="55" t="s">
        <v>25</v>
      </c>
      <c r="G465" s="55" t="s">
        <v>25</v>
      </c>
      <c r="H465" s="55" t="s">
        <v>35</v>
      </c>
      <c r="I465" s="63">
        <v>44713</v>
      </c>
      <c r="J465" s="64">
        <f ca="1">EFEITO!$J$465*EFEITO!$Y$465</f>
        <v>6044.4377841655169</v>
      </c>
      <c r="K465" s="64">
        <f ca="1">EFEITO!$L$465*EFEITO!$Z$465</f>
        <v>1926.5793603135564</v>
      </c>
      <c r="L465" s="64">
        <f>EFEITO!$N$465*EFEITO!$AA$465</f>
        <v>5733.5743143099362</v>
      </c>
      <c r="M465" s="64">
        <f ca="1">$J$465-EFEITO!$K$465*EFEITO!$Y$465</f>
        <v>0</v>
      </c>
      <c r="N465" s="64">
        <f ca="1">$K$465-EFEITO!$M$465*EFEITO!$Z$465</f>
        <v>0</v>
      </c>
      <c r="O465" s="64">
        <f>$L$465-EFEITO!$O$465*EFEITO!$AA$465</f>
        <v>0</v>
      </c>
      <c r="P465" s="19"/>
      <c r="Q465" s="19"/>
      <c r="R465" s="19"/>
      <c r="S465" s="19"/>
      <c r="T465" s="19"/>
      <c r="U465" s="19"/>
      <c r="V465" s="19"/>
      <c r="W465" s="19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55" t="s">
        <v>57</v>
      </c>
      <c r="B466" s="55" t="s">
        <v>41</v>
      </c>
      <c r="C466" s="55" t="s">
        <v>40</v>
      </c>
      <c r="D466" s="55" t="s">
        <v>38</v>
      </c>
      <c r="E466" s="55" t="s">
        <v>25</v>
      </c>
      <c r="F466" s="55" t="s">
        <v>25</v>
      </c>
      <c r="G466" s="55" t="s">
        <v>25</v>
      </c>
      <c r="H466" s="55" t="s">
        <v>35</v>
      </c>
      <c r="I466" s="63">
        <v>44743</v>
      </c>
      <c r="J466" s="64">
        <f ca="1">EFEITO!$J$466*EFEITO!$Y$466</f>
        <v>20104.325673420088</v>
      </c>
      <c r="K466" s="64">
        <f ca="1">EFEITO!$L$466*EFEITO!$Z$466</f>
        <v>7972.7319281628588</v>
      </c>
      <c r="L466" s="64">
        <f>EFEITO!$N$466*EFEITO!$AA$466</f>
        <v>23727.157022357747</v>
      </c>
      <c r="M466" s="64">
        <f ca="1">$J$466-EFEITO!$K$466*EFEITO!$Y$466</f>
        <v>0</v>
      </c>
      <c r="N466" s="64">
        <f ca="1">$K$466-EFEITO!$M$466*EFEITO!$Z$466</f>
        <v>0</v>
      </c>
      <c r="O466" s="64">
        <f>$L$466-EFEITO!$O$466*EFEITO!$AA$466</f>
        <v>0</v>
      </c>
      <c r="P466" s="19"/>
      <c r="Q466" s="19"/>
      <c r="R466" s="19"/>
      <c r="S466" s="19"/>
      <c r="T466" s="19"/>
      <c r="U466" s="19"/>
      <c r="V466" s="19"/>
      <c r="W466" s="19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55" t="s">
        <v>57</v>
      </c>
      <c r="B467" s="55" t="s">
        <v>41</v>
      </c>
      <c r="C467" s="55" t="s">
        <v>40</v>
      </c>
      <c r="D467" s="55" t="s">
        <v>38</v>
      </c>
      <c r="E467" s="55" t="s">
        <v>25</v>
      </c>
      <c r="F467" s="55" t="s">
        <v>25</v>
      </c>
      <c r="G467" s="55" t="s">
        <v>25</v>
      </c>
      <c r="H467" s="55" t="s">
        <v>35</v>
      </c>
      <c r="I467" s="63">
        <v>44743</v>
      </c>
      <c r="J467" s="64">
        <f ca="1">EFEITO!$J$467*EFEITO!$Y$467</f>
        <v>6044.4377841655169</v>
      </c>
      <c r="K467" s="64">
        <f ca="1">EFEITO!$L$467*EFEITO!$Z$467</f>
        <v>1926.5793603135564</v>
      </c>
      <c r="L467" s="64">
        <f>EFEITO!$N$467*EFEITO!$AA$467</f>
        <v>5733.5743143099362</v>
      </c>
      <c r="M467" s="64">
        <f ca="1">$J$467-EFEITO!$K$467*EFEITO!$Y$467</f>
        <v>0</v>
      </c>
      <c r="N467" s="64">
        <f ca="1">$K$467-EFEITO!$M$467*EFEITO!$Z$467</f>
        <v>0</v>
      </c>
      <c r="O467" s="64">
        <f>$L$467-EFEITO!$O$467*EFEITO!$AA$467</f>
        <v>0</v>
      </c>
      <c r="P467" s="19"/>
      <c r="Q467" s="19"/>
      <c r="R467" s="19"/>
      <c r="S467" s="19"/>
      <c r="T467" s="19"/>
      <c r="U467" s="19"/>
      <c r="V467" s="19"/>
      <c r="W467" s="19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55" t="s">
        <v>21</v>
      </c>
      <c r="B468" s="55" t="s">
        <v>41</v>
      </c>
      <c r="C468" s="55" t="s">
        <v>40</v>
      </c>
      <c r="D468" s="55" t="s">
        <v>38</v>
      </c>
      <c r="E468" s="55" t="s">
        <v>25</v>
      </c>
      <c r="F468" s="55" t="s">
        <v>25</v>
      </c>
      <c r="G468" s="55" t="s">
        <v>25</v>
      </c>
      <c r="H468" s="55" t="s">
        <v>25</v>
      </c>
      <c r="I468" s="63">
        <v>44409</v>
      </c>
      <c r="J468" s="64">
        <f>EFEITO!$J$468*EFEITO!$Y$468</f>
        <v>0</v>
      </c>
      <c r="K468" s="64">
        <f ca="1">EFEITO!$L$468*EFEITO!$Z$468</f>
        <v>139756.32053443012</v>
      </c>
      <c r="L468" s="64">
        <f>EFEITO!$N$468*EFEITO!$AA$468</f>
        <v>0</v>
      </c>
      <c r="M468" s="64">
        <f>$J$468-EFEITO!$K$468*EFEITO!$Y$468</f>
        <v>0</v>
      </c>
      <c r="N468" s="64">
        <f ca="1">$K$468-EFEITO!$M$468*EFEITO!$Z$468</f>
        <v>0</v>
      </c>
      <c r="O468" s="64">
        <f>$L$468-EFEITO!$O$468*EFEITO!$AA$468</f>
        <v>0</v>
      </c>
      <c r="P468" s="19"/>
      <c r="Q468" s="19"/>
      <c r="R468" s="19"/>
      <c r="S468" s="19"/>
      <c r="T468" s="19"/>
      <c r="U468" s="19"/>
      <c r="V468" s="19"/>
      <c r="W468" s="19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55" t="s">
        <v>21</v>
      </c>
      <c r="B469" s="55" t="s">
        <v>41</v>
      </c>
      <c r="C469" s="55" t="s">
        <v>40</v>
      </c>
      <c r="D469" s="55" t="s">
        <v>38</v>
      </c>
      <c r="E469" s="55" t="s">
        <v>25</v>
      </c>
      <c r="F469" s="55" t="s">
        <v>25</v>
      </c>
      <c r="G469" s="55" t="s">
        <v>25</v>
      </c>
      <c r="H469" s="55" t="s">
        <v>25</v>
      </c>
      <c r="I469" s="63">
        <v>44440</v>
      </c>
      <c r="J469" s="64">
        <f>EFEITO!$J$469*EFEITO!$Y$469</f>
        <v>0</v>
      </c>
      <c r="K469" s="64">
        <f ca="1">EFEITO!$L$469*EFEITO!$Z$469</f>
        <v>128095.06017658574</v>
      </c>
      <c r="L469" s="64">
        <f>EFEITO!$N$469*EFEITO!$AA$469</f>
        <v>0</v>
      </c>
      <c r="M469" s="64">
        <f>$J$469-EFEITO!$K$469*EFEITO!$Y$469</f>
        <v>0</v>
      </c>
      <c r="N469" s="64">
        <f ca="1">$K$469-EFEITO!$M$469*EFEITO!$Z$469</f>
        <v>0</v>
      </c>
      <c r="O469" s="64">
        <f>$L$469-EFEITO!$O$469*EFEITO!$AA$469</f>
        <v>0</v>
      </c>
      <c r="P469" s="19"/>
      <c r="Q469" s="19"/>
      <c r="R469" s="19"/>
      <c r="S469" s="19"/>
      <c r="T469" s="19"/>
      <c r="U469" s="19"/>
      <c r="V469" s="19"/>
      <c r="W469" s="19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55" t="s">
        <v>21</v>
      </c>
      <c r="B470" s="55" t="s">
        <v>41</v>
      </c>
      <c r="C470" s="55" t="s">
        <v>40</v>
      </c>
      <c r="D470" s="55" t="s">
        <v>38</v>
      </c>
      <c r="E470" s="55" t="s">
        <v>25</v>
      </c>
      <c r="F470" s="55" t="s">
        <v>25</v>
      </c>
      <c r="G470" s="55" t="s">
        <v>25</v>
      </c>
      <c r="H470" s="55" t="s">
        <v>25</v>
      </c>
      <c r="I470" s="63">
        <v>44470</v>
      </c>
      <c r="J470" s="64">
        <f>EFEITO!$J$470*EFEITO!$Y$470</f>
        <v>0</v>
      </c>
      <c r="K470" s="64">
        <f ca="1">EFEITO!$L$470*EFEITO!$Z$470</f>
        <v>139362.0333239015</v>
      </c>
      <c r="L470" s="64">
        <f>EFEITO!$N$470*EFEITO!$AA$470</f>
        <v>0</v>
      </c>
      <c r="M470" s="64">
        <f>$J$470-EFEITO!$K$470*EFEITO!$Y$470</f>
        <v>0</v>
      </c>
      <c r="N470" s="64">
        <f ca="1">$K$470-EFEITO!$M$470*EFEITO!$Z$470</f>
        <v>0</v>
      </c>
      <c r="O470" s="64">
        <f>$L$470-EFEITO!$O$470*EFEITO!$AA$470</f>
        <v>0</v>
      </c>
      <c r="P470" s="19"/>
      <c r="Q470" s="19"/>
      <c r="R470" s="19"/>
      <c r="S470" s="19"/>
      <c r="T470" s="19"/>
      <c r="U470" s="19"/>
      <c r="V470" s="19"/>
      <c r="W470" s="19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55" t="s">
        <v>21</v>
      </c>
      <c r="B471" s="55" t="s">
        <v>41</v>
      </c>
      <c r="C471" s="55" t="s">
        <v>40</v>
      </c>
      <c r="D471" s="55" t="s">
        <v>38</v>
      </c>
      <c r="E471" s="55" t="s">
        <v>25</v>
      </c>
      <c r="F471" s="55" t="s">
        <v>25</v>
      </c>
      <c r="G471" s="55" t="s">
        <v>25</v>
      </c>
      <c r="H471" s="55" t="s">
        <v>34</v>
      </c>
      <c r="I471" s="63">
        <v>44409</v>
      </c>
      <c r="J471" s="64">
        <f ca="1">EFEITO!$J$471*EFEITO!$Y$471</f>
        <v>35414.430542157781</v>
      </c>
      <c r="K471" s="64">
        <f ca="1">EFEITO!$L$471*EFEITO!$Z$471</f>
        <v>1202.8758154898417</v>
      </c>
      <c r="L471" s="64">
        <f>EFEITO!$N$471*EFEITO!$AA$471</f>
        <v>5564.5804683116166</v>
      </c>
      <c r="M471" s="64">
        <f ca="1">$J$471-EFEITO!$K$471*EFEITO!$Y$471</f>
        <v>0</v>
      </c>
      <c r="N471" s="64">
        <f ca="1">$K$471-EFEITO!$M$471*EFEITO!$Z$471</f>
        <v>0</v>
      </c>
      <c r="O471" s="64">
        <f>$L$471-EFEITO!$O$471*EFEITO!$AA$471</f>
        <v>0</v>
      </c>
      <c r="P471" s="19"/>
      <c r="Q471" s="19"/>
      <c r="R471" s="19"/>
      <c r="S471" s="19"/>
      <c r="T471" s="19"/>
      <c r="U471" s="19"/>
      <c r="V471" s="19"/>
      <c r="W471" s="19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55" t="s">
        <v>28</v>
      </c>
      <c r="B472" s="55" t="s">
        <v>41</v>
      </c>
      <c r="C472" s="55" t="s">
        <v>40</v>
      </c>
      <c r="D472" s="55" t="s">
        <v>38</v>
      </c>
      <c r="E472" s="55" t="s">
        <v>25</v>
      </c>
      <c r="F472" s="55" t="s">
        <v>25</v>
      </c>
      <c r="G472" s="55" t="s">
        <v>25</v>
      </c>
      <c r="H472" s="55" t="s">
        <v>34</v>
      </c>
      <c r="I472" s="63">
        <v>44409</v>
      </c>
      <c r="J472" s="64">
        <f ca="1">EFEITO!$J$472*EFEITO!$Y$472</f>
        <v>417.86938692811543</v>
      </c>
      <c r="K472" s="64">
        <f ca="1">EFEITO!$L$472*EFEITO!$Z$472</f>
        <v>37.380576941287323</v>
      </c>
      <c r="L472" s="64">
        <f>EFEITO!$N$472*EFEITO!$AA$472</f>
        <v>172.92494010032215</v>
      </c>
      <c r="M472" s="64">
        <f ca="1">$J$472-EFEITO!$K$472*EFEITO!$Y$472</f>
        <v>0</v>
      </c>
      <c r="N472" s="64">
        <f ca="1">$K$472-EFEITO!$M$472*EFEITO!$Z$472</f>
        <v>0</v>
      </c>
      <c r="O472" s="64">
        <f>$L$472-EFEITO!$O$472*EFEITO!$AA$472</f>
        <v>0</v>
      </c>
      <c r="P472" s="19"/>
      <c r="Q472" s="19"/>
      <c r="R472" s="19"/>
      <c r="S472" s="19"/>
      <c r="T472" s="19"/>
      <c r="U472" s="19"/>
      <c r="V472" s="19"/>
      <c r="W472" s="19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55" t="s">
        <v>21</v>
      </c>
      <c r="B473" s="55" t="s">
        <v>41</v>
      </c>
      <c r="C473" s="55" t="s">
        <v>40</v>
      </c>
      <c r="D473" s="55" t="s">
        <v>38</v>
      </c>
      <c r="E473" s="55" t="s">
        <v>25</v>
      </c>
      <c r="F473" s="55" t="s">
        <v>25</v>
      </c>
      <c r="G473" s="55" t="s">
        <v>25</v>
      </c>
      <c r="H473" s="55" t="s">
        <v>34</v>
      </c>
      <c r="I473" s="63">
        <v>44409</v>
      </c>
      <c r="J473" s="64">
        <f ca="1">EFEITO!$J$473*EFEITO!$Y$473</f>
        <v>178116.82617810922</v>
      </c>
      <c r="K473" s="64">
        <f ca="1">EFEITO!$L$473*EFEITO!$Z$473</f>
        <v>0</v>
      </c>
      <c r="L473" s="64">
        <f>EFEITO!$N$473*EFEITO!$AA$473</f>
        <v>0</v>
      </c>
      <c r="M473" s="64">
        <f ca="1">$J$473-EFEITO!$K$473*EFEITO!$Y$473</f>
        <v>0</v>
      </c>
      <c r="N473" s="64">
        <f ca="1">$K$473-EFEITO!$M$473*EFEITO!$Z$473</f>
        <v>0</v>
      </c>
      <c r="O473" s="64">
        <f>$L$473-EFEITO!$O$473*EFEITO!$AA$473</f>
        <v>0</v>
      </c>
      <c r="P473" s="19"/>
      <c r="Q473" s="19"/>
      <c r="R473" s="19"/>
      <c r="S473" s="19"/>
      <c r="T473" s="19"/>
      <c r="U473" s="19"/>
      <c r="V473" s="19"/>
      <c r="W473" s="19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55" t="s">
        <v>21</v>
      </c>
      <c r="B474" s="55" t="s">
        <v>41</v>
      </c>
      <c r="C474" s="55" t="s">
        <v>40</v>
      </c>
      <c r="D474" s="55" t="s">
        <v>38</v>
      </c>
      <c r="E474" s="55" t="s">
        <v>25</v>
      </c>
      <c r="F474" s="55" t="s">
        <v>25</v>
      </c>
      <c r="G474" s="55" t="s">
        <v>25</v>
      </c>
      <c r="H474" s="55" t="s">
        <v>34</v>
      </c>
      <c r="I474" s="63">
        <v>44440</v>
      </c>
      <c r="J474" s="64">
        <f ca="1">EFEITO!$J$474*EFEITO!$Y$474</f>
        <v>38026.114210458501</v>
      </c>
      <c r="K474" s="64">
        <f ca="1">EFEITO!$L$474*EFEITO!$Z$474</f>
        <v>1307.9308119352513</v>
      </c>
      <c r="L474" s="64">
        <f>EFEITO!$N$474*EFEITO!$AA$474</f>
        <v>6050.5716020518976</v>
      </c>
      <c r="M474" s="64">
        <f ca="1">$J$474-EFEITO!$K$474*EFEITO!$Y$474</f>
        <v>0</v>
      </c>
      <c r="N474" s="64">
        <f ca="1">$K$474-EFEITO!$M$474*EFEITO!$Z$474</f>
        <v>0</v>
      </c>
      <c r="O474" s="64">
        <f>$L$474-EFEITO!$O$474*EFEITO!$AA$474</f>
        <v>0</v>
      </c>
      <c r="P474" s="19"/>
      <c r="Q474" s="19"/>
      <c r="R474" s="19"/>
      <c r="S474" s="19"/>
      <c r="T474" s="19"/>
      <c r="U474" s="19"/>
      <c r="V474" s="19"/>
      <c r="W474" s="19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55" t="s">
        <v>28</v>
      </c>
      <c r="B475" s="55" t="s">
        <v>41</v>
      </c>
      <c r="C475" s="55" t="s">
        <v>40</v>
      </c>
      <c r="D475" s="55" t="s">
        <v>38</v>
      </c>
      <c r="E475" s="55" t="s">
        <v>25</v>
      </c>
      <c r="F475" s="55" t="s">
        <v>25</v>
      </c>
      <c r="G475" s="55" t="s">
        <v>25</v>
      </c>
      <c r="H475" s="55" t="s">
        <v>34</v>
      </c>
      <c r="I475" s="63">
        <v>44440</v>
      </c>
      <c r="J475" s="64">
        <f ca="1">EFEITO!$J$475*EFEITO!$Y$475</f>
        <v>417.86938692811543</v>
      </c>
      <c r="K475" s="64">
        <f ca="1">EFEITO!$L$475*EFEITO!$Z$475</f>
        <v>0</v>
      </c>
      <c r="L475" s="64">
        <f>EFEITO!$N$475*EFEITO!$AA$475</f>
        <v>0</v>
      </c>
      <c r="M475" s="64">
        <f ca="1">$J$475-EFEITO!$K$475*EFEITO!$Y$475</f>
        <v>0</v>
      </c>
      <c r="N475" s="64">
        <f ca="1">$K$475-EFEITO!$M$475*EFEITO!$Z$475</f>
        <v>0</v>
      </c>
      <c r="O475" s="64">
        <f>$L$475-EFEITO!$O$475*EFEITO!$AA$475</f>
        <v>0</v>
      </c>
      <c r="P475" s="19"/>
      <c r="Q475" s="19"/>
      <c r="R475" s="19"/>
      <c r="S475" s="19"/>
      <c r="T475" s="19"/>
      <c r="U475" s="19"/>
      <c r="V475" s="19"/>
      <c r="W475" s="19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55" t="s">
        <v>21</v>
      </c>
      <c r="B476" s="55" t="s">
        <v>41</v>
      </c>
      <c r="C476" s="55" t="s">
        <v>40</v>
      </c>
      <c r="D476" s="55" t="s">
        <v>38</v>
      </c>
      <c r="E476" s="55" t="s">
        <v>25</v>
      </c>
      <c r="F476" s="55" t="s">
        <v>25</v>
      </c>
      <c r="G476" s="55" t="s">
        <v>25</v>
      </c>
      <c r="H476" s="55" t="s">
        <v>34</v>
      </c>
      <c r="I476" s="63">
        <v>44440</v>
      </c>
      <c r="J476" s="64">
        <f ca="1">EFEITO!$J$476*EFEITO!$Y$476</f>
        <v>177594.48944444905</v>
      </c>
      <c r="K476" s="64">
        <f ca="1">EFEITO!$L$476*EFEITO!$Z$476</f>
        <v>0</v>
      </c>
      <c r="L476" s="64">
        <f>EFEITO!$N$476*EFEITO!$AA$476</f>
        <v>0</v>
      </c>
      <c r="M476" s="64">
        <f ca="1">$J$476-EFEITO!$K$476*EFEITO!$Y$476</f>
        <v>0</v>
      </c>
      <c r="N476" s="64">
        <f ca="1">$K$476-EFEITO!$M$476*EFEITO!$Z$476</f>
        <v>0</v>
      </c>
      <c r="O476" s="64">
        <f>$L$476-EFEITO!$O$476*EFEITO!$AA$476</f>
        <v>0</v>
      </c>
      <c r="P476" s="19"/>
      <c r="Q476" s="19"/>
      <c r="R476" s="19"/>
      <c r="S476" s="19"/>
      <c r="T476" s="19"/>
      <c r="U476" s="19"/>
      <c r="V476" s="19"/>
      <c r="W476" s="19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55" t="s">
        <v>21</v>
      </c>
      <c r="B477" s="55" t="s">
        <v>41</v>
      </c>
      <c r="C477" s="55" t="s">
        <v>40</v>
      </c>
      <c r="D477" s="55" t="s">
        <v>38</v>
      </c>
      <c r="E477" s="55" t="s">
        <v>25</v>
      </c>
      <c r="F477" s="55" t="s">
        <v>25</v>
      </c>
      <c r="G477" s="55" t="s">
        <v>25</v>
      </c>
      <c r="H477" s="55" t="s">
        <v>34</v>
      </c>
      <c r="I477" s="63">
        <v>44470</v>
      </c>
      <c r="J477" s="64">
        <f ca="1">EFEITO!$J$477*EFEITO!$Y$477</f>
        <v>38026.114210458501</v>
      </c>
      <c r="K477" s="64">
        <f ca="1">EFEITO!$L$477*EFEITO!$Z$477</f>
        <v>1247.0316220017373</v>
      </c>
      <c r="L477" s="64">
        <f>EFEITO!$N$477*EFEITO!$AA$477</f>
        <v>5768.8480538051226</v>
      </c>
      <c r="M477" s="64">
        <f ca="1">$J$477-EFEITO!$K$477*EFEITO!$Y$477</f>
        <v>0</v>
      </c>
      <c r="N477" s="64">
        <f ca="1">$K$477-EFEITO!$M$477*EFEITO!$Z$477</f>
        <v>0</v>
      </c>
      <c r="O477" s="64">
        <f>$L$477-EFEITO!$O$477*EFEITO!$AA$477</f>
        <v>0</v>
      </c>
      <c r="P477" s="19"/>
      <c r="Q477" s="19"/>
      <c r="R477" s="19"/>
      <c r="S477" s="19"/>
      <c r="T477" s="19"/>
      <c r="U477" s="19"/>
      <c r="V477" s="19"/>
      <c r="W477" s="19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55" t="s">
        <v>28</v>
      </c>
      <c r="B478" s="55" t="s">
        <v>41</v>
      </c>
      <c r="C478" s="55" t="s">
        <v>40</v>
      </c>
      <c r="D478" s="55" t="s">
        <v>38</v>
      </c>
      <c r="E478" s="55" t="s">
        <v>25</v>
      </c>
      <c r="F478" s="55" t="s">
        <v>25</v>
      </c>
      <c r="G478" s="55" t="s">
        <v>25</v>
      </c>
      <c r="H478" s="55" t="s">
        <v>34</v>
      </c>
      <c r="I478" s="63">
        <v>44470</v>
      </c>
      <c r="J478" s="64">
        <f ca="1">EFEITO!$J$478*EFEITO!$Y$478</f>
        <v>417.86938692811543</v>
      </c>
      <c r="K478" s="64">
        <f ca="1">EFEITO!$L$478*EFEITO!$Z$478</f>
        <v>0</v>
      </c>
      <c r="L478" s="64">
        <f>EFEITO!$N$478*EFEITO!$AA$478</f>
        <v>0</v>
      </c>
      <c r="M478" s="64">
        <f ca="1">$J$478-EFEITO!$K$478*EFEITO!$Y$478</f>
        <v>0</v>
      </c>
      <c r="N478" s="64">
        <f ca="1">$K$478-EFEITO!$M$478*EFEITO!$Z$478</f>
        <v>0</v>
      </c>
      <c r="O478" s="64">
        <f>$L$478-EFEITO!$O$478*EFEITO!$AA$478</f>
        <v>0</v>
      </c>
      <c r="P478" s="19"/>
      <c r="Q478" s="19"/>
      <c r="R478" s="19"/>
      <c r="S478" s="19"/>
      <c r="T478" s="19"/>
      <c r="U478" s="19"/>
      <c r="V478" s="19"/>
      <c r="W478" s="19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55" t="s">
        <v>21</v>
      </c>
      <c r="B479" s="55" t="s">
        <v>41</v>
      </c>
      <c r="C479" s="55" t="s">
        <v>40</v>
      </c>
      <c r="D479" s="55" t="s">
        <v>38</v>
      </c>
      <c r="E479" s="55" t="s">
        <v>25</v>
      </c>
      <c r="F479" s="55" t="s">
        <v>25</v>
      </c>
      <c r="G479" s="55" t="s">
        <v>25</v>
      </c>
      <c r="H479" s="55" t="s">
        <v>34</v>
      </c>
      <c r="I479" s="63">
        <v>44470</v>
      </c>
      <c r="J479" s="64">
        <f ca="1">EFEITO!$J$479*EFEITO!$Y$479</f>
        <v>178273.52719820724</v>
      </c>
      <c r="K479" s="64">
        <f ca="1">EFEITO!$L$479*EFEITO!$Z$479</f>
        <v>0</v>
      </c>
      <c r="L479" s="64">
        <f>EFEITO!$N$479*EFEITO!$AA$479</f>
        <v>0</v>
      </c>
      <c r="M479" s="64">
        <f ca="1">$J$479-EFEITO!$K$479*EFEITO!$Y$479</f>
        <v>0</v>
      </c>
      <c r="N479" s="64">
        <f ca="1">$K$479-EFEITO!$M$479*EFEITO!$Z$479</f>
        <v>0</v>
      </c>
      <c r="O479" s="64">
        <f>$L$479-EFEITO!$O$479*EFEITO!$AA$479</f>
        <v>0</v>
      </c>
      <c r="P479" s="19"/>
      <c r="Q479" s="19"/>
      <c r="R479" s="19"/>
      <c r="S479" s="19"/>
      <c r="T479" s="19"/>
      <c r="U479" s="19"/>
      <c r="V479" s="19"/>
      <c r="W479" s="19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55" t="s">
        <v>21</v>
      </c>
      <c r="B480" s="55" t="s">
        <v>41</v>
      </c>
      <c r="C480" s="55" t="s">
        <v>40</v>
      </c>
      <c r="D480" s="55" t="s">
        <v>38</v>
      </c>
      <c r="E480" s="55" t="s">
        <v>25</v>
      </c>
      <c r="F480" s="55" t="s">
        <v>25</v>
      </c>
      <c r="G480" s="55" t="s">
        <v>25</v>
      </c>
      <c r="H480" s="55" t="s">
        <v>34</v>
      </c>
      <c r="I480" s="63">
        <v>44501</v>
      </c>
      <c r="J480" s="64">
        <f ca="1">EFEITO!$J$480*EFEITO!$Y$480</f>
        <v>38026.114210458501</v>
      </c>
      <c r="K480" s="64">
        <f ca="1">EFEITO!$L$480*EFEITO!$Z$480</f>
        <v>1351.6193612353809</v>
      </c>
      <c r="L480" s="64">
        <f>EFEITO!$N$480*EFEITO!$AA$480</f>
        <v>6252.6776257941492</v>
      </c>
      <c r="M480" s="64">
        <f ca="1">$J$480-EFEITO!$K$480*EFEITO!$Y$480</f>
        <v>0</v>
      </c>
      <c r="N480" s="64">
        <f ca="1">$K$480-EFEITO!$M$480*EFEITO!$Z$480</f>
        <v>0</v>
      </c>
      <c r="O480" s="64">
        <f>$L$480-EFEITO!$O$480*EFEITO!$AA$480</f>
        <v>0</v>
      </c>
      <c r="P480" s="19"/>
      <c r="Q480" s="19"/>
      <c r="R480" s="19"/>
      <c r="S480" s="19"/>
      <c r="T480" s="19"/>
      <c r="U480" s="19"/>
      <c r="V480" s="19"/>
      <c r="W480" s="19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55" t="s">
        <v>28</v>
      </c>
      <c r="B481" s="55" t="s">
        <v>41</v>
      </c>
      <c r="C481" s="55" t="s">
        <v>40</v>
      </c>
      <c r="D481" s="55" t="s">
        <v>38</v>
      </c>
      <c r="E481" s="55" t="s">
        <v>25</v>
      </c>
      <c r="F481" s="55" t="s">
        <v>25</v>
      </c>
      <c r="G481" s="55" t="s">
        <v>25</v>
      </c>
      <c r="H481" s="55" t="s">
        <v>34</v>
      </c>
      <c r="I481" s="63">
        <v>44501</v>
      </c>
      <c r="J481" s="64">
        <f ca="1">EFEITO!$J$481*EFEITO!$Y$481</f>
        <v>417.86938692811543</v>
      </c>
      <c r="K481" s="64">
        <f ca="1">EFEITO!$L$481*EFEITO!$Z$481</f>
        <v>37.380576941287323</v>
      </c>
      <c r="L481" s="64">
        <f>EFEITO!$N$481*EFEITO!$AA$481</f>
        <v>172.92494010032215</v>
      </c>
      <c r="M481" s="64">
        <f ca="1">$J$481-EFEITO!$K$481*EFEITO!$Y$481</f>
        <v>0</v>
      </c>
      <c r="N481" s="64">
        <f ca="1">$K$481-EFEITO!$M$481*EFEITO!$Z$481</f>
        <v>0</v>
      </c>
      <c r="O481" s="64">
        <f>$L$481-EFEITO!$O$481*EFEITO!$AA$481</f>
        <v>0</v>
      </c>
      <c r="P481" s="19"/>
      <c r="Q481" s="19"/>
      <c r="R481" s="19"/>
      <c r="S481" s="19"/>
      <c r="T481" s="19"/>
      <c r="U481" s="19"/>
      <c r="V481" s="19"/>
      <c r="W481" s="19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55" t="s">
        <v>21</v>
      </c>
      <c r="B482" s="55" t="s">
        <v>41</v>
      </c>
      <c r="C482" s="55" t="s">
        <v>40</v>
      </c>
      <c r="D482" s="55" t="s">
        <v>38</v>
      </c>
      <c r="E482" s="55" t="s">
        <v>25</v>
      </c>
      <c r="F482" s="55" t="s">
        <v>25</v>
      </c>
      <c r="G482" s="55" t="s">
        <v>25</v>
      </c>
      <c r="H482" s="55" t="s">
        <v>34</v>
      </c>
      <c r="I482" s="63">
        <v>44531</v>
      </c>
      <c r="J482" s="64">
        <f ca="1">EFEITO!$J$482*EFEITO!$Y$482</f>
        <v>45704.464195262626</v>
      </c>
      <c r="K482" s="64">
        <f ca="1">EFEITO!$L$482*EFEITO!$Z$482</f>
        <v>1419.5274093453861</v>
      </c>
      <c r="L482" s="64">
        <f>EFEITO!$N$482*EFEITO!$AA$482</f>
        <v>6566.8246003097347</v>
      </c>
      <c r="M482" s="64">
        <f ca="1">$J$482-EFEITO!$K$482*EFEITO!$Y$482</f>
        <v>0</v>
      </c>
      <c r="N482" s="64">
        <f ca="1">$K$482-EFEITO!$M$482*EFEITO!$Z$482</f>
        <v>0</v>
      </c>
      <c r="O482" s="64">
        <f>$L$482-EFEITO!$O$482*EFEITO!$AA$482</f>
        <v>0</v>
      </c>
      <c r="P482" s="19"/>
      <c r="Q482" s="19"/>
      <c r="R482" s="19"/>
      <c r="S482" s="19"/>
      <c r="T482" s="19"/>
      <c r="U482" s="19"/>
      <c r="V482" s="19"/>
      <c r="W482" s="19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55" t="s">
        <v>28</v>
      </c>
      <c r="B483" s="55" t="s">
        <v>41</v>
      </c>
      <c r="C483" s="55" t="s">
        <v>40</v>
      </c>
      <c r="D483" s="55" t="s">
        <v>38</v>
      </c>
      <c r="E483" s="55" t="s">
        <v>25</v>
      </c>
      <c r="F483" s="55" t="s">
        <v>25</v>
      </c>
      <c r="G483" s="55" t="s">
        <v>25</v>
      </c>
      <c r="H483" s="55" t="s">
        <v>34</v>
      </c>
      <c r="I483" s="63">
        <v>44531</v>
      </c>
      <c r="J483" s="64">
        <f ca="1">EFEITO!$J$483*EFEITO!$Y$483</f>
        <v>470.10306029412988</v>
      </c>
      <c r="K483" s="64">
        <f ca="1">EFEITO!$L$483*EFEITO!$Z$483</f>
        <v>0</v>
      </c>
      <c r="L483" s="64">
        <f>EFEITO!$N$483*EFEITO!$AA$483</f>
        <v>0</v>
      </c>
      <c r="M483" s="64">
        <f ca="1">$J$483-EFEITO!$K$483*EFEITO!$Y$483</f>
        <v>0</v>
      </c>
      <c r="N483" s="64">
        <f ca="1">$K$483-EFEITO!$M$483*EFEITO!$Z$483</f>
        <v>0</v>
      </c>
      <c r="O483" s="64">
        <f>$L$483-EFEITO!$O$483*EFEITO!$AA$483</f>
        <v>0</v>
      </c>
      <c r="P483" s="19"/>
      <c r="Q483" s="19"/>
      <c r="R483" s="19"/>
      <c r="S483" s="19"/>
      <c r="T483" s="19"/>
      <c r="U483" s="19"/>
      <c r="V483" s="19"/>
      <c r="W483" s="19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55" t="s">
        <v>21</v>
      </c>
      <c r="B484" s="55" t="s">
        <v>41</v>
      </c>
      <c r="C484" s="55" t="s">
        <v>40</v>
      </c>
      <c r="D484" s="55" t="s">
        <v>38</v>
      </c>
      <c r="E484" s="55" t="s">
        <v>25</v>
      </c>
      <c r="F484" s="55" t="s">
        <v>25</v>
      </c>
      <c r="G484" s="55" t="s">
        <v>25</v>
      </c>
      <c r="H484" s="55" t="s">
        <v>34</v>
      </c>
      <c r="I484" s="63">
        <v>44562</v>
      </c>
      <c r="J484" s="64">
        <f ca="1">EFEITO!$J$484*EFEITO!$Y$484</f>
        <v>17863.916291176934</v>
      </c>
      <c r="K484" s="64">
        <f ca="1">EFEITO!$L$484*EFEITO!$Z$484</f>
        <v>881.94798720849769</v>
      </c>
      <c r="L484" s="64">
        <f>EFEITO!$N$484*EFEITO!$AA$484</f>
        <v>4079.9478054919755</v>
      </c>
      <c r="M484" s="64">
        <f ca="1">$J$484-EFEITO!$K$484*EFEITO!$Y$484</f>
        <v>0</v>
      </c>
      <c r="N484" s="64">
        <f ca="1">$K$484-EFEITO!$M$484*EFEITO!$Z$484</f>
        <v>0</v>
      </c>
      <c r="O484" s="64">
        <f>$L$484-EFEITO!$O$484*EFEITO!$AA$484</f>
        <v>0</v>
      </c>
      <c r="P484" s="19"/>
      <c r="Q484" s="19"/>
      <c r="R484" s="19"/>
      <c r="S484" s="19"/>
      <c r="T484" s="19"/>
      <c r="U484" s="19"/>
      <c r="V484" s="19"/>
      <c r="W484" s="19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55" t="s">
        <v>28</v>
      </c>
      <c r="B485" s="55" t="s">
        <v>41</v>
      </c>
      <c r="C485" s="55" t="s">
        <v>40</v>
      </c>
      <c r="D485" s="55" t="s">
        <v>38</v>
      </c>
      <c r="E485" s="55" t="s">
        <v>25</v>
      </c>
      <c r="F485" s="55" t="s">
        <v>25</v>
      </c>
      <c r="G485" s="55" t="s">
        <v>25</v>
      </c>
      <c r="H485" s="55" t="s">
        <v>34</v>
      </c>
      <c r="I485" s="63">
        <v>44562</v>
      </c>
      <c r="J485" s="64">
        <f ca="1">EFEITO!$J$485*EFEITO!$Y$485</f>
        <v>417.86938692811543</v>
      </c>
      <c r="K485" s="64">
        <f ca="1">EFEITO!$L$485*EFEITO!$Z$485</f>
        <v>5.684962743154113</v>
      </c>
      <c r="L485" s="64">
        <f>EFEITO!$N$485*EFEITO!$AA$485</f>
        <v>26.299001306923994</v>
      </c>
      <c r="M485" s="64">
        <f ca="1">$J$485-EFEITO!$K$485*EFEITO!$Y$485</f>
        <v>0</v>
      </c>
      <c r="N485" s="64">
        <f ca="1">$K$485-EFEITO!$M$485*EFEITO!$Z$485</f>
        <v>0</v>
      </c>
      <c r="O485" s="64">
        <f>$L$485-EFEITO!$O$485*EFEITO!$AA$485</f>
        <v>0</v>
      </c>
      <c r="P485" s="19"/>
      <c r="Q485" s="19"/>
      <c r="R485" s="19"/>
      <c r="S485" s="19"/>
      <c r="T485" s="19"/>
      <c r="U485" s="19"/>
      <c r="V485" s="19"/>
      <c r="W485" s="19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55" t="s">
        <v>21</v>
      </c>
      <c r="B486" s="55" t="s">
        <v>41</v>
      </c>
      <c r="C486" s="55" t="s">
        <v>40</v>
      </c>
      <c r="D486" s="55" t="s">
        <v>38</v>
      </c>
      <c r="E486" s="55" t="s">
        <v>25</v>
      </c>
      <c r="F486" s="55" t="s">
        <v>25</v>
      </c>
      <c r="G486" s="55" t="s">
        <v>25</v>
      </c>
      <c r="H486" s="55" t="s">
        <v>34</v>
      </c>
      <c r="I486" s="63">
        <v>44593</v>
      </c>
      <c r="J486" s="64">
        <f ca="1">EFEITO!$J$486*EFEITO!$Y$486</f>
        <v>21102.404039869831</v>
      </c>
      <c r="K486" s="64">
        <f ca="1">EFEITO!$L$486*EFEITO!$Z$486</f>
        <v>995.02423245589182</v>
      </c>
      <c r="L486" s="64">
        <f>EFEITO!$N$486*EFEITO!$AA$486</f>
        <v>4603.0457492954502</v>
      </c>
      <c r="M486" s="64">
        <f ca="1">$J$486-EFEITO!$K$486*EFEITO!$Y$486</f>
        <v>0</v>
      </c>
      <c r="N486" s="64">
        <f ca="1">$K$486-EFEITO!$M$486*EFEITO!$Z$486</f>
        <v>0</v>
      </c>
      <c r="O486" s="64">
        <f>$L$486-EFEITO!$O$486*EFEITO!$AA$486</f>
        <v>0</v>
      </c>
      <c r="P486" s="19"/>
      <c r="Q486" s="19"/>
      <c r="R486" s="19"/>
      <c r="S486" s="19"/>
      <c r="T486" s="19"/>
      <c r="U486" s="19"/>
      <c r="V486" s="19"/>
      <c r="W486" s="19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55" t="s">
        <v>28</v>
      </c>
      <c r="B487" s="55" t="s">
        <v>41</v>
      </c>
      <c r="C487" s="55" t="s">
        <v>40</v>
      </c>
      <c r="D487" s="55" t="s">
        <v>38</v>
      </c>
      <c r="E487" s="55" t="s">
        <v>25</v>
      </c>
      <c r="F487" s="55" t="s">
        <v>25</v>
      </c>
      <c r="G487" s="55" t="s">
        <v>25</v>
      </c>
      <c r="H487" s="55" t="s">
        <v>34</v>
      </c>
      <c r="I487" s="63">
        <v>44593</v>
      </c>
      <c r="J487" s="64">
        <f ca="1">EFEITO!$J$487*EFEITO!$Y$487</f>
        <v>1044.6734673202886</v>
      </c>
      <c r="K487" s="64">
        <f ca="1">EFEITO!$L$487*EFEITO!$Z$487</f>
        <v>11.136296880425181</v>
      </c>
      <c r="L487" s="64">
        <f>EFEITO!$N$487*EFEITO!$AA$487</f>
        <v>51.517221738220968</v>
      </c>
      <c r="M487" s="64">
        <f ca="1">$J$487-EFEITO!$K$487*EFEITO!$Y$487</f>
        <v>0</v>
      </c>
      <c r="N487" s="64">
        <f ca="1">$K$487-EFEITO!$M$487*EFEITO!$Z$487</f>
        <v>0</v>
      </c>
      <c r="O487" s="64">
        <f>$L$487-EFEITO!$O$487*EFEITO!$AA$487</f>
        <v>0</v>
      </c>
      <c r="P487" s="19"/>
      <c r="Q487" s="19"/>
      <c r="R487" s="19"/>
      <c r="S487" s="19"/>
      <c r="T487" s="19"/>
      <c r="U487" s="19"/>
      <c r="V487" s="19"/>
      <c r="W487" s="19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55" t="s">
        <v>21</v>
      </c>
      <c r="B488" s="55" t="s">
        <v>41</v>
      </c>
      <c r="C488" s="55" t="s">
        <v>40</v>
      </c>
      <c r="D488" s="55" t="s">
        <v>38</v>
      </c>
      <c r="E488" s="55" t="s">
        <v>25</v>
      </c>
      <c r="F488" s="55" t="s">
        <v>25</v>
      </c>
      <c r="G488" s="55" t="s">
        <v>25</v>
      </c>
      <c r="H488" s="55" t="s">
        <v>34</v>
      </c>
      <c r="I488" s="63">
        <v>44621</v>
      </c>
      <c r="J488" s="64">
        <f ca="1">EFEITO!$J$488*EFEITO!$Y$488</f>
        <v>17132.644864052734</v>
      </c>
      <c r="K488" s="64">
        <f ca="1">EFEITO!$L$488*EFEITO!$Z$488</f>
        <v>867.46301364374892</v>
      </c>
      <c r="L488" s="64">
        <f>EFEITO!$N$488*EFEITO!$AA$488</f>
        <v>4012.939391203101</v>
      </c>
      <c r="M488" s="64">
        <f ca="1">$J$488-EFEITO!$K$488*EFEITO!$Y$488</f>
        <v>0</v>
      </c>
      <c r="N488" s="64">
        <f ca="1">$K$488-EFEITO!$M$488*EFEITO!$Z$488</f>
        <v>0</v>
      </c>
      <c r="O488" s="64">
        <f>$L$488-EFEITO!$O$488*EFEITO!$AA$488</f>
        <v>0</v>
      </c>
      <c r="P488" s="19"/>
      <c r="Q488" s="19"/>
      <c r="R488" s="19"/>
      <c r="S488" s="19"/>
      <c r="T488" s="19"/>
      <c r="U488" s="19"/>
      <c r="V488" s="19"/>
      <c r="W488" s="19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55" t="s">
        <v>28</v>
      </c>
      <c r="B489" s="55" t="s">
        <v>41</v>
      </c>
      <c r="C489" s="55" t="s">
        <v>40</v>
      </c>
      <c r="D489" s="55" t="s">
        <v>38</v>
      </c>
      <c r="E489" s="55" t="s">
        <v>25</v>
      </c>
      <c r="F489" s="55" t="s">
        <v>25</v>
      </c>
      <c r="G489" s="55" t="s">
        <v>25</v>
      </c>
      <c r="H489" s="55" t="s">
        <v>34</v>
      </c>
      <c r="I489" s="63">
        <v>44621</v>
      </c>
      <c r="J489" s="64">
        <f ca="1">EFEITO!$J$489*EFEITO!$Y$489</f>
        <v>417.86938692811543</v>
      </c>
      <c r="K489" s="64">
        <f ca="1">EFEITO!$L$489*EFEITO!$Z$489</f>
        <v>12.460192313762441</v>
      </c>
      <c r="L489" s="64">
        <f>EFEITO!$N$489*EFEITO!$AA$489</f>
        <v>57.641646700107387</v>
      </c>
      <c r="M489" s="64">
        <f ca="1">$J$489-EFEITO!$K$489*EFEITO!$Y$489</f>
        <v>0</v>
      </c>
      <c r="N489" s="64">
        <f ca="1">$K$489-EFEITO!$M$489*EFEITO!$Z$489</f>
        <v>0</v>
      </c>
      <c r="O489" s="64">
        <f>$L$489-EFEITO!$O$489*EFEITO!$AA$489</f>
        <v>0</v>
      </c>
      <c r="P489" s="19"/>
      <c r="Q489" s="19"/>
      <c r="R489" s="19"/>
      <c r="S489" s="19"/>
      <c r="T489" s="19"/>
      <c r="U489" s="19"/>
      <c r="V489" s="19"/>
      <c r="W489" s="19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55" t="s">
        <v>21</v>
      </c>
      <c r="B490" s="55" t="s">
        <v>41</v>
      </c>
      <c r="C490" s="55" t="s">
        <v>40</v>
      </c>
      <c r="D490" s="55" t="s">
        <v>38</v>
      </c>
      <c r="E490" s="55" t="s">
        <v>25</v>
      </c>
      <c r="F490" s="55" t="s">
        <v>25</v>
      </c>
      <c r="G490" s="55" t="s">
        <v>25</v>
      </c>
      <c r="H490" s="55" t="s">
        <v>34</v>
      </c>
      <c r="I490" s="63">
        <v>44652</v>
      </c>
      <c r="J490" s="64">
        <f ca="1">EFEITO!$J$490*EFEITO!$Y$490</f>
        <v>17132.644864052734</v>
      </c>
      <c r="K490" s="64">
        <f ca="1">EFEITO!$L$490*EFEITO!$Z$490</f>
        <v>776.19210494543904</v>
      </c>
      <c r="L490" s="64">
        <f>EFEITO!$N$490*EFEITO!$AA$490</f>
        <v>3590.7143291248144</v>
      </c>
      <c r="M490" s="64">
        <f ca="1">$J$490-EFEITO!$K$490*EFEITO!$Y$490</f>
        <v>0</v>
      </c>
      <c r="N490" s="64">
        <f ca="1">$K$490-EFEITO!$M$490*EFEITO!$Z$490</f>
        <v>0</v>
      </c>
      <c r="O490" s="64">
        <f>$L$490-EFEITO!$O$490*EFEITO!$AA$490</f>
        <v>0</v>
      </c>
      <c r="P490" s="19"/>
      <c r="Q490" s="19"/>
      <c r="R490" s="19"/>
      <c r="S490" s="19"/>
      <c r="T490" s="19"/>
      <c r="U490" s="19"/>
      <c r="V490" s="19"/>
      <c r="W490" s="19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55" t="s">
        <v>28</v>
      </c>
      <c r="B491" s="55" t="s">
        <v>41</v>
      </c>
      <c r="C491" s="55" t="s">
        <v>40</v>
      </c>
      <c r="D491" s="55" t="s">
        <v>38</v>
      </c>
      <c r="E491" s="55" t="s">
        <v>25</v>
      </c>
      <c r="F491" s="55" t="s">
        <v>25</v>
      </c>
      <c r="G491" s="55" t="s">
        <v>25</v>
      </c>
      <c r="H491" s="55" t="s">
        <v>34</v>
      </c>
      <c r="I491" s="63">
        <v>44652</v>
      </c>
      <c r="J491" s="64">
        <f ca="1">EFEITO!$J$491*EFEITO!$Y$491</f>
        <v>417.86938692811543</v>
      </c>
      <c r="K491" s="64">
        <f ca="1">EFEITO!$L$491*EFEITO!$Z$491</f>
        <v>10.902668274542137</v>
      </c>
      <c r="L491" s="64">
        <f>EFEITO!$N$491*EFEITO!$AA$491</f>
        <v>50.436440862593969</v>
      </c>
      <c r="M491" s="64">
        <f ca="1">$J$491-EFEITO!$K$491*EFEITO!$Y$491</f>
        <v>0</v>
      </c>
      <c r="N491" s="64">
        <f ca="1">$K$491-EFEITO!$M$491*EFEITO!$Z$491</f>
        <v>0</v>
      </c>
      <c r="O491" s="64">
        <f>$L$491-EFEITO!$O$491*EFEITO!$AA$491</f>
        <v>0</v>
      </c>
      <c r="P491" s="19"/>
      <c r="Q491" s="19"/>
      <c r="R491" s="19"/>
      <c r="S491" s="19"/>
      <c r="T491" s="19"/>
      <c r="U491" s="19"/>
      <c r="V491" s="19"/>
      <c r="W491" s="19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55" t="s">
        <v>21</v>
      </c>
      <c r="B492" s="55" t="s">
        <v>41</v>
      </c>
      <c r="C492" s="55" t="s">
        <v>40</v>
      </c>
      <c r="D492" s="55" t="s">
        <v>38</v>
      </c>
      <c r="E492" s="55" t="s">
        <v>25</v>
      </c>
      <c r="F492" s="55" t="s">
        <v>25</v>
      </c>
      <c r="G492" s="55" t="s">
        <v>25</v>
      </c>
      <c r="H492" s="55" t="s">
        <v>34</v>
      </c>
      <c r="I492" s="63">
        <v>44682</v>
      </c>
      <c r="J492" s="64">
        <f ca="1">EFEITO!$J$492*EFEITO!$Y$492</f>
        <v>17132.644864052734</v>
      </c>
      <c r="K492" s="64">
        <f ca="1">EFEITO!$L$492*EFEITO!$Z$492</f>
        <v>811.00276722201284</v>
      </c>
      <c r="L492" s="64">
        <f>EFEITO!$N$492*EFEITO!$AA$492</f>
        <v>3751.7506795932395</v>
      </c>
      <c r="M492" s="64">
        <f ca="1">$J$492-EFEITO!$K$492*EFEITO!$Y$492</f>
        <v>0</v>
      </c>
      <c r="N492" s="64">
        <f ca="1">$K$492-EFEITO!$M$492*EFEITO!$Z$492</f>
        <v>0</v>
      </c>
      <c r="O492" s="64">
        <f>$L$492-EFEITO!$O$492*EFEITO!$AA$492</f>
        <v>0</v>
      </c>
      <c r="P492" s="19"/>
      <c r="Q492" s="19"/>
      <c r="R492" s="19"/>
      <c r="S492" s="19"/>
      <c r="T492" s="19"/>
      <c r="U492" s="19"/>
      <c r="V492" s="19"/>
      <c r="W492" s="19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55" t="s">
        <v>28</v>
      </c>
      <c r="B493" s="55" t="s">
        <v>41</v>
      </c>
      <c r="C493" s="55" t="s">
        <v>40</v>
      </c>
      <c r="D493" s="55" t="s">
        <v>38</v>
      </c>
      <c r="E493" s="55" t="s">
        <v>25</v>
      </c>
      <c r="F493" s="55" t="s">
        <v>25</v>
      </c>
      <c r="G493" s="55" t="s">
        <v>25</v>
      </c>
      <c r="H493" s="55" t="s">
        <v>34</v>
      </c>
      <c r="I493" s="63">
        <v>44682</v>
      </c>
      <c r="J493" s="64">
        <f ca="1">EFEITO!$J$493*EFEITO!$Y$493</f>
        <v>835.73877385623086</v>
      </c>
      <c r="K493" s="64">
        <f ca="1">EFEITO!$L$493*EFEITO!$Z$493</f>
        <v>14.017716352982745</v>
      </c>
      <c r="L493" s="64">
        <f>EFEITO!$N$493*EFEITO!$AA$493</f>
        <v>64.846852537620805</v>
      </c>
      <c r="M493" s="64">
        <f ca="1">$J$493-EFEITO!$K$493*EFEITO!$Y$493</f>
        <v>0</v>
      </c>
      <c r="N493" s="64">
        <f ca="1">$K$493-EFEITO!$M$493*EFEITO!$Z$493</f>
        <v>0</v>
      </c>
      <c r="O493" s="64">
        <f>$L$493-EFEITO!$O$493*EFEITO!$AA$493</f>
        <v>0</v>
      </c>
      <c r="P493" s="19"/>
      <c r="Q493" s="19"/>
      <c r="R493" s="19"/>
      <c r="S493" s="19"/>
      <c r="T493" s="19"/>
      <c r="U493" s="19"/>
      <c r="V493" s="19"/>
      <c r="W493" s="19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55" t="s">
        <v>21</v>
      </c>
      <c r="B494" s="55" t="s">
        <v>41</v>
      </c>
      <c r="C494" s="55" t="s">
        <v>40</v>
      </c>
      <c r="D494" s="55" t="s">
        <v>38</v>
      </c>
      <c r="E494" s="55" t="s">
        <v>25</v>
      </c>
      <c r="F494" s="55" t="s">
        <v>25</v>
      </c>
      <c r="G494" s="55" t="s">
        <v>25</v>
      </c>
      <c r="H494" s="55" t="s">
        <v>34</v>
      </c>
      <c r="I494" s="63">
        <v>44713</v>
      </c>
      <c r="J494" s="64">
        <f ca="1">EFEITO!$J$494*EFEITO!$Y$494</f>
        <v>17968.383637908963</v>
      </c>
      <c r="K494" s="64">
        <f ca="1">EFEITO!$L$494*EFEITO!$Z$494</f>
        <v>765.44518907481904</v>
      </c>
      <c r="L494" s="64">
        <f>EFEITO!$N$494*EFEITO!$AA$494</f>
        <v>3540.9984088459719</v>
      </c>
      <c r="M494" s="64">
        <f ca="1">$J$494-EFEITO!$K$494*EFEITO!$Y$494</f>
        <v>0</v>
      </c>
      <c r="N494" s="64">
        <f ca="1">$K$494-EFEITO!$M$494*EFEITO!$Z$494</f>
        <v>0</v>
      </c>
      <c r="O494" s="64">
        <f>$L$494-EFEITO!$O$494*EFEITO!$AA$494</f>
        <v>0</v>
      </c>
      <c r="P494" s="19"/>
      <c r="Q494" s="19"/>
      <c r="R494" s="19"/>
      <c r="S494" s="19"/>
      <c r="T494" s="19"/>
      <c r="U494" s="19"/>
      <c r="V494" s="19"/>
      <c r="W494" s="19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55" t="s">
        <v>28</v>
      </c>
      <c r="B495" s="55" t="s">
        <v>41</v>
      </c>
      <c r="C495" s="55" t="s">
        <v>40</v>
      </c>
      <c r="D495" s="55" t="s">
        <v>38</v>
      </c>
      <c r="E495" s="55" t="s">
        <v>25</v>
      </c>
      <c r="F495" s="55" t="s">
        <v>25</v>
      </c>
      <c r="G495" s="55" t="s">
        <v>25</v>
      </c>
      <c r="H495" s="55" t="s">
        <v>34</v>
      </c>
      <c r="I495" s="63">
        <v>44713</v>
      </c>
      <c r="J495" s="64">
        <f ca="1">EFEITO!$J$495*EFEITO!$Y$495</f>
        <v>470.10306029412988</v>
      </c>
      <c r="K495" s="64">
        <f ca="1">EFEITO!$L$495*EFEITO!$Z$495</f>
        <v>13.550459141216653</v>
      </c>
      <c r="L495" s="64">
        <f>EFEITO!$N$495*EFEITO!$AA$495</f>
        <v>62.685290786366778</v>
      </c>
      <c r="M495" s="64">
        <f ca="1">$J$495-EFEITO!$K$495*EFEITO!$Y$495</f>
        <v>0</v>
      </c>
      <c r="N495" s="64">
        <f ca="1">$K$495-EFEITO!$M$495*EFEITO!$Z$495</f>
        <v>0</v>
      </c>
      <c r="O495" s="64">
        <f>$L$495-EFEITO!$O$495*EFEITO!$AA$495</f>
        <v>0</v>
      </c>
      <c r="P495" s="19"/>
      <c r="Q495" s="19"/>
      <c r="R495" s="19"/>
      <c r="S495" s="19"/>
      <c r="T495" s="19"/>
      <c r="U495" s="19"/>
      <c r="V495" s="19"/>
      <c r="W495" s="19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55" t="s">
        <v>57</v>
      </c>
      <c r="B496" s="55" t="s">
        <v>41</v>
      </c>
      <c r="C496" s="55" t="s">
        <v>40</v>
      </c>
      <c r="D496" s="55" t="s">
        <v>38</v>
      </c>
      <c r="E496" s="55" t="s">
        <v>25</v>
      </c>
      <c r="F496" s="55" t="s">
        <v>25</v>
      </c>
      <c r="G496" s="55" t="s">
        <v>25</v>
      </c>
      <c r="H496" s="55" t="s">
        <v>34</v>
      </c>
      <c r="I496" s="63">
        <v>44743</v>
      </c>
      <c r="J496" s="64">
        <f ca="1">EFEITO!$J$496*EFEITO!$Y$496</f>
        <v>17968.383637908963</v>
      </c>
      <c r="K496" s="64">
        <f ca="1">EFEITO!$L$496*EFEITO!$Z$496</f>
        <v>765.44518907481904</v>
      </c>
      <c r="L496" s="64">
        <f>EFEITO!$N$496*EFEITO!$AA$496</f>
        <v>3540.9984088459719</v>
      </c>
      <c r="M496" s="64">
        <f ca="1">$J$496-EFEITO!$K$496*EFEITO!$Y$496</f>
        <v>0</v>
      </c>
      <c r="N496" s="64">
        <f ca="1">$K$496-EFEITO!$M$496*EFEITO!$Z$496</f>
        <v>0</v>
      </c>
      <c r="O496" s="64">
        <f>$L$496-EFEITO!$O$496*EFEITO!$AA$496</f>
        <v>0</v>
      </c>
      <c r="P496" s="19"/>
      <c r="Q496" s="19"/>
      <c r="R496" s="19"/>
      <c r="S496" s="19"/>
      <c r="T496" s="19"/>
      <c r="U496" s="19"/>
      <c r="V496" s="19"/>
      <c r="W496" s="19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55" t="s">
        <v>57</v>
      </c>
      <c r="B497" s="55" t="s">
        <v>41</v>
      </c>
      <c r="C497" s="55" t="s">
        <v>40</v>
      </c>
      <c r="D497" s="55" t="s">
        <v>38</v>
      </c>
      <c r="E497" s="55" t="s">
        <v>25</v>
      </c>
      <c r="F497" s="55" t="s">
        <v>25</v>
      </c>
      <c r="G497" s="55" t="s">
        <v>25</v>
      </c>
      <c r="H497" s="55" t="s">
        <v>34</v>
      </c>
      <c r="I497" s="63">
        <v>44743</v>
      </c>
      <c r="J497" s="64">
        <f ca="1">EFEITO!$J$497*EFEITO!$Y$497</f>
        <v>470.10306029412988</v>
      </c>
      <c r="K497" s="64">
        <f ca="1">EFEITO!$L$497*EFEITO!$Z$497</f>
        <v>13.550459141216653</v>
      </c>
      <c r="L497" s="64">
        <f>EFEITO!$N$497*EFEITO!$AA$497</f>
        <v>62.685290786366778</v>
      </c>
      <c r="M497" s="64">
        <f ca="1">$J$497-EFEITO!$K$497*EFEITO!$Y$497</f>
        <v>0</v>
      </c>
      <c r="N497" s="64">
        <f ca="1">$K$497-EFEITO!$M$497*EFEITO!$Z$497</f>
        <v>0</v>
      </c>
      <c r="O497" s="64">
        <f>$L$497-EFEITO!$O$497*EFEITO!$AA$497</f>
        <v>0</v>
      </c>
      <c r="P497" s="19"/>
      <c r="Q497" s="19"/>
      <c r="R497" s="19"/>
      <c r="S497" s="19"/>
      <c r="T497" s="19"/>
      <c r="U497" s="19"/>
      <c r="V497" s="19"/>
      <c r="W497" s="19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55" t="s">
        <v>21</v>
      </c>
      <c r="B498" s="55" t="s">
        <v>41</v>
      </c>
      <c r="C498" s="55" t="s">
        <v>40</v>
      </c>
      <c r="D498" s="55" t="s">
        <v>46</v>
      </c>
      <c r="E498" s="55" t="s">
        <v>25</v>
      </c>
      <c r="F498" s="55" t="s">
        <v>25</v>
      </c>
      <c r="G498" s="55" t="s">
        <v>25</v>
      </c>
      <c r="H498" s="55" t="s">
        <v>35</v>
      </c>
      <c r="I498" s="63">
        <v>44409</v>
      </c>
      <c r="J498" s="64">
        <f ca="1">EFEITO!$J$498*EFEITO!$Y$498</f>
        <v>217126.71727293695</v>
      </c>
      <c r="K498" s="64">
        <f ca="1">EFEITO!$L$498*EFEITO!$Z$498</f>
        <v>112866.21313070531</v>
      </c>
      <c r="L498" s="64">
        <f>EFEITO!$N$498*EFEITO!$AA$498</f>
        <v>335894.19355884771</v>
      </c>
      <c r="M498" s="64">
        <f ca="1">$J$498-EFEITO!$K$498*EFEITO!$Y$498</f>
        <v>0</v>
      </c>
      <c r="N498" s="64">
        <f ca="1">$K$498-EFEITO!$M$498*EFEITO!$Z$498</f>
        <v>0</v>
      </c>
      <c r="O498" s="64">
        <f>$L$498-EFEITO!$O$498*EFEITO!$AA$498</f>
        <v>0</v>
      </c>
      <c r="P498" s="19"/>
      <c r="Q498" s="19"/>
      <c r="R498" s="19"/>
      <c r="S498" s="19"/>
      <c r="T498" s="19"/>
      <c r="U498" s="19"/>
      <c r="V498" s="19"/>
      <c r="W498" s="19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55" t="s">
        <v>28</v>
      </c>
      <c r="B499" s="55" t="s">
        <v>41</v>
      </c>
      <c r="C499" s="55" t="s">
        <v>40</v>
      </c>
      <c r="D499" s="55" t="s">
        <v>46</v>
      </c>
      <c r="E499" s="55" t="s">
        <v>25</v>
      </c>
      <c r="F499" s="55" t="s">
        <v>25</v>
      </c>
      <c r="G499" s="55" t="s">
        <v>25</v>
      </c>
      <c r="H499" s="55" t="s">
        <v>35</v>
      </c>
      <c r="I499" s="63">
        <v>44409</v>
      </c>
      <c r="J499" s="64">
        <f ca="1">EFEITO!$J$499*EFEITO!$Y$499</f>
        <v>19605.002552119458</v>
      </c>
      <c r="K499" s="64">
        <f ca="1">EFEITO!$L$499*EFEITO!$Z$499</f>
        <v>3117.6958693072847</v>
      </c>
      <c r="L499" s="64">
        <f>EFEITO!$N$499*EFEITO!$AA$499</f>
        <v>9278.3828812435422</v>
      </c>
      <c r="M499" s="64">
        <f ca="1">$J$499-EFEITO!$K$499*EFEITO!$Y$499</f>
        <v>0</v>
      </c>
      <c r="N499" s="64">
        <f ca="1">$K$499-EFEITO!$M$499*EFEITO!$Z$499</f>
        <v>0</v>
      </c>
      <c r="O499" s="64">
        <f>$L$499-EFEITO!$O$499*EFEITO!$AA$499</f>
        <v>0</v>
      </c>
      <c r="P499" s="19"/>
      <c r="Q499" s="19"/>
      <c r="R499" s="19"/>
      <c r="S499" s="19"/>
      <c r="T499" s="19"/>
      <c r="U499" s="19"/>
      <c r="V499" s="19"/>
      <c r="W499" s="19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55" t="s">
        <v>21</v>
      </c>
      <c r="B500" s="55" t="s">
        <v>41</v>
      </c>
      <c r="C500" s="55" t="s">
        <v>40</v>
      </c>
      <c r="D500" s="55" t="s">
        <v>46</v>
      </c>
      <c r="E500" s="55" t="s">
        <v>25</v>
      </c>
      <c r="F500" s="55" t="s">
        <v>25</v>
      </c>
      <c r="G500" s="55" t="s">
        <v>25</v>
      </c>
      <c r="H500" s="55" t="s">
        <v>35</v>
      </c>
      <c r="I500" s="63">
        <v>44440</v>
      </c>
      <c r="J500" s="64">
        <f ca="1">EFEITO!$J$500*EFEITO!$Y$500</f>
        <v>105041.81662308509</v>
      </c>
      <c r="K500" s="64">
        <f ca="1">EFEITO!$L$500*EFEITO!$Z$500</f>
        <v>78783.148209053237</v>
      </c>
      <c r="L500" s="64">
        <f>EFEITO!$N$500*EFEITO!$AA$500</f>
        <v>234461.68077830103</v>
      </c>
      <c r="M500" s="64">
        <f ca="1">$J$500-EFEITO!$K$500*EFEITO!$Y$500</f>
        <v>0</v>
      </c>
      <c r="N500" s="64">
        <f ca="1">$K$500-EFEITO!$M$500*EFEITO!$Z$500</f>
        <v>0</v>
      </c>
      <c r="O500" s="64">
        <f>$L$500-EFEITO!$O$500*EFEITO!$AA$500</f>
        <v>0</v>
      </c>
      <c r="P500" s="19"/>
      <c r="Q500" s="19"/>
      <c r="R500" s="19"/>
      <c r="S500" s="19"/>
      <c r="T500" s="19"/>
      <c r="U500" s="19"/>
      <c r="V500" s="19"/>
      <c r="W500" s="19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55" t="s">
        <v>27</v>
      </c>
      <c r="B501" s="55" t="s">
        <v>41</v>
      </c>
      <c r="C501" s="55" t="s">
        <v>40</v>
      </c>
      <c r="D501" s="55" t="s">
        <v>46</v>
      </c>
      <c r="E501" s="55" t="s">
        <v>25</v>
      </c>
      <c r="F501" s="55" t="s">
        <v>25</v>
      </c>
      <c r="G501" s="55" t="s">
        <v>25</v>
      </c>
      <c r="H501" s="55" t="s">
        <v>35</v>
      </c>
      <c r="I501" s="63">
        <v>44440</v>
      </c>
      <c r="J501" s="64">
        <f ca="1">EFEITO!$J$501*EFEITO!$Y$501</f>
        <v>9145.4971690852162</v>
      </c>
      <c r="K501" s="64">
        <f ca="1">EFEITO!$L$501*EFEITO!$Z$501</f>
        <v>9485.3213988516582</v>
      </c>
      <c r="L501" s="64">
        <f>EFEITO!$N$501*EFEITO!$AA$501</f>
        <v>28228.681494116583</v>
      </c>
      <c r="M501" s="64">
        <f ca="1">$J$501-EFEITO!$K$501*EFEITO!$Y$501</f>
        <v>0</v>
      </c>
      <c r="N501" s="64">
        <f ca="1">$K$501-EFEITO!$M$501*EFEITO!$Z$501</f>
        <v>0</v>
      </c>
      <c r="O501" s="64">
        <f>$L$501-EFEITO!$O$501*EFEITO!$AA$501</f>
        <v>0</v>
      </c>
      <c r="P501" s="19"/>
      <c r="Q501" s="19"/>
      <c r="R501" s="19"/>
      <c r="S501" s="19"/>
      <c r="T501" s="19"/>
      <c r="U501" s="19"/>
      <c r="V501" s="19"/>
      <c r="W501" s="19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55" t="s">
        <v>28</v>
      </c>
      <c r="B502" s="55" t="s">
        <v>41</v>
      </c>
      <c r="C502" s="55" t="s">
        <v>40</v>
      </c>
      <c r="D502" s="55" t="s">
        <v>46</v>
      </c>
      <c r="E502" s="55" t="s">
        <v>25</v>
      </c>
      <c r="F502" s="55" t="s">
        <v>25</v>
      </c>
      <c r="G502" s="55" t="s">
        <v>25</v>
      </c>
      <c r="H502" s="55" t="s">
        <v>35</v>
      </c>
      <c r="I502" s="63">
        <v>44440</v>
      </c>
      <c r="J502" s="64">
        <f ca="1">EFEITO!$J$502*EFEITO!$Y$502</f>
        <v>132346.90730894584</v>
      </c>
      <c r="K502" s="64">
        <f ca="1">EFEITO!$L$502*EFEITO!$Z$502</f>
        <v>49724.266456916084</v>
      </c>
      <c r="L502" s="64">
        <f>EFEITO!$N$502*EFEITO!$AA$502</f>
        <v>147981.33044925629</v>
      </c>
      <c r="M502" s="64">
        <f ca="1">$J$502-EFEITO!$K$502*EFEITO!$Y$502</f>
        <v>0</v>
      </c>
      <c r="N502" s="64">
        <f ca="1">$K$502-EFEITO!$M$502*EFEITO!$Z$502</f>
        <v>0</v>
      </c>
      <c r="O502" s="64">
        <f>$L$502-EFEITO!$O$502*EFEITO!$AA$502</f>
        <v>0</v>
      </c>
      <c r="P502" s="19"/>
      <c r="Q502" s="19"/>
      <c r="R502" s="19"/>
      <c r="S502" s="19"/>
      <c r="T502" s="19"/>
      <c r="U502" s="19"/>
      <c r="V502" s="19"/>
      <c r="W502" s="19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55" t="s">
        <v>21</v>
      </c>
      <c r="B503" s="55" t="s">
        <v>41</v>
      </c>
      <c r="C503" s="55" t="s">
        <v>40</v>
      </c>
      <c r="D503" s="55" t="s">
        <v>46</v>
      </c>
      <c r="E503" s="55" t="s">
        <v>25</v>
      </c>
      <c r="F503" s="55" t="s">
        <v>25</v>
      </c>
      <c r="G503" s="55" t="s">
        <v>25</v>
      </c>
      <c r="H503" s="55" t="s">
        <v>35</v>
      </c>
      <c r="I503" s="63">
        <v>44470</v>
      </c>
      <c r="J503" s="64">
        <f ca="1">EFEITO!$J$503*EFEITO!$Y$503</f>
        <v>110219.00898604425</v>
      </c>
      <c r="K503" s="64">
        <f ca="1">EFEITO!$L$503*EFEITO!$Z$503</f>
        <v>90572.826423931343</v>
      </c>
      <c r="L503" s="64">
        <f>EFEITO!$N$503*EFEITO!$AA$503</f>
        <v>269548.21683244151</v>
      </c>
      <c r="M503" s="64">
        <f ca="1">$J$503-EFEITO!$K$503*EFEITO!$Y$503</f>
        <v>0</v>
      </c>
      <c r="N503" s="64">
        <f ca="1">$K$503-EFEITO!$M$503*EFEITO!$Z$503</f>
        <v>0</v>
      </c>
      <c r="O503" s="64">
        <f>$L$503-EFEITO!$O$503*EFEITO!$AA$503</f>
        <v>0</v>
      </c>
      <c r="P503" s="19"/>
      <c r="Q503" s="19"/>
      <c r="R503" s="19"/>
      <c r="S503" s="19"/>
      <c r="T503" s="19"/>
      <c r="U503" s="19"/>
      <c r="V503" s="19"/>
      <c r="W503" s="19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55" t="s">
        <v>28</v>
      </c>
      <c r="B504" s="55" t="s">
        <v>41</v>
      </c>
      <c r="C504" s="55" t="s">
        <v>40</v>
      </c>
      <c r="D504" s="55" t="s">
        <v>46</v>
      </c>
      <c r="E504" s="55" t="s">
        <v>25</v>
      </c>
      <c r="F504" s="55" t="s">
        <v>25</v>
      </c>
      <c r="G504" s="55" t="s">
        <v>25</v>
      </c>
      <c r="H504" s="55" t="s">
        <v>35</v>
      </c>
      <c r="I504" s="63">
        <v>44470</v>
      </c>
      <c r="J504" s="64">
        <f ca="1">EFEITO!$J$504*EFEITO!$Y$504</f>
        <v>132346.90730894584</v>
      </c>
      <c r="K504" s="64">
        <f ca="1">EFEITO!$L$504*EFEITO!$Z$504</f>
        <v>44592.536252493017</v>
      </c>
      <c r="L504" s="64">
        <f>EFEITO!$N$504*EFEITO!$AA$504</f>
        <v>132709.10388327675</v>
      </c>
      <c r="M504" s="64">
        <f ca="1">$J$504-EFEITO!$K$504*EFEITO!$Y$504</f>
        <v>0</v>
      </c>
      <c r="N504" s="64">
        <f ca="1">$K$504-EFEITO!$M$504*EFEITO!$Z$504</f>
        <v>0</v>
      </c>
      <c r="O504" s="64">
        <f>$L$504-EFEITO!$O$504*EFEITO!$AA$504</f>
        <v>0</v>
      </c>
      <c r="P504" s="19"/>
      <c r="Q504" s="19"/>
      <c r="R504" s="19"/>
      <c r="S504" s="19"/>
      <c r="T504" s="19"/>
      <c r="U504" s="19"/>
      <c r="V504" s="19"/>
      <c r="W504" s="19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55" t="s">
        <v>21</v>
      </c>
      <c r="B505" s="55" t="s">
        <v>41</v>
      </c>
      <c r="C505" s="55" t="s">
        <v>40</v>
      </c>
      <c r="D505" s="55" t="s">
        <v>46</v>
      </c>
      <c r="E505" s="55" t="s">
        <v>25</v>
      </c>
      <c r="F505" s="55" t="s">
        <v>25</v>
      </c>
      <c r="G505" s="55" t="s">
        <v>25</v>
      </c>
      <c r="H505" s="55" t="s">
        <v>35</v>
      </c>
      <c r="I505" s="63">
        <v>44501</v>
      </c>
      <c r="J505" s="64">
        <f ca="1">EFEITO!$J$505*EFEITO!$Y$505</f>
        <v>103543.8472591832</v>
      </c>
      <c r="K505" s="64">
        <f ca="1">EFEITO!$L$505*EFEITO!$Z$505</f>
        <v>81373.466438680523</v>
      </c>
      <c r="L505" s="64">
        <f>EFEITO!$N$505*EFEITO!$AA$505</f>
        <v>242170.56750947758</v>
      </c>
      <c r="M505" s="64">
        <f ca="1">$J$505-EFEITO!$K$505*EFEITO!$Y$505</f>
        <v>0</v>
      </c>
      <c r="N505" s="64">
        <f ca="1">$K$505-EFEITO!$M$505*EFEITO!$Z$505</f>
        <v>0</v>
      </c>
      <c r="O505" s="64">
        <f>$L$505-EFEITO!$O$505*EFEITO!$AA$505</f>
        <v>0</v>
      </c>
      <c r="P505" s="19"/>
      <c r="Q505" s="19"/>
      <c r="R505" s="19"/>
      <c r="S505" s="19"/>
      <c r="T505" s="19"/>
      <c r="U505" s="19"/>
      <c r="V505" s="19"/>
      <c r="W505" s="19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55" t="s">
        <v>28</v>
      </c>
      <c r="B506" s="55" t="s">
        <v>41</v>
      </c>
      <c r="C506" s="55" t="s">
        <v>40</v>
      </c>
      <c r="D506" s="55" t="s">
        <v>46</v>
      </c>
      <c r="E506" s="55" t="s">
        <v>25</v>
      </c>
      <c r="F506" s="55" t="s">
        <v>25</v>
      </c>
      <c r="G506" s="55" t="s">
        <v>25</v>
      </c>
      <c r="H506" s="55" t="s">
        <v>35</v>
      </c>
      <c r="I506" s="63">
        <v>44501</v>
      </c>
      <c r="J506" s="64">
        <f ca="1">EFEITO!$J$506*EFEITO!$Y$506</f>
        <v>132346.90730894584</v>
      </c>
      <c r="K506" s="64">
        <f ca="1">EFEITO!$L$506*EFEITO!$Z$506</f>
        <v>52616.121340536425</v>
      </c>
      <c r="L506" s="64">
        <f>EFEITO!$N$506*EFEITO!$AA$506</f>
        <v>156587.60186635421</v>
      </c>
      <c r="M506" s="64">
        <f ca="1">$J$506-EFEITO!$K$506*EFEITO!$Y$506</f>
        <v>0</v>
      </c>
      <c r="N506" s="64">
        <f ca="1">$K$506-EFEITO!$M$506*EFEITO!$Z$506</f>
        <v>0</v>
      </c>
      <c r="O506" s="64">
        <f>$L$506-EFEITO!$O$506*EFEITO!$AA$506</f>
        <v>0</v>
      </c>
      <c r="P506" s="19"/>
      <c r="Q506" s="19"/>
      <c r="R506" s="19"/>
      <c r="S506" s="19"/>
      <c r="T506" s="19"/>
      <c r="U506" s="19"/>
      <c r="V506" s="19"/>
      <c r="W506" s="19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55" t="s">
        <v>21</v>
      </c>
      <c r="B507" s="55" t="s">
        <v>41</v>
      </c>
      <c r="C507" s="55" t="s">
        <v>40</v>
      </c>
      <c r="D507" s="55" t="s">
        <v>46</v>
      </c>
      <c r="E507" s="55" t="s">
        <v>25</v>
      </c>
      <c r="F507" s="55" t="s">
        <v>25</v>
      </c>
      <c r="G507" s="55" t="s">
        <v>25</v>
      </c>
      <c r="H507" s="55" t="s">
        <v>35</v>
      </c>
      <c r="I507" s="63">
        <v>44531</v>
      </c>
      <c r="J507" s="64">
        <f ca="1">EFEITO!$J$507*EFEITO!$Y$507</f>
        <v>104673.89432317937</v>
      </c>
      <c r="K507" s="64">
        <f ca="1">EFEITO!$L$507*EFEITO!$Z$507</f>
        <v>84419.827706991535</v>
      </c>
      <c r="L507" s="64">
        <f>EFEITO!$N$507*EFEITO!$AA$507</f>
        <v>251236.65587308069</v>
      </c>
      <c r="M507" s="64">
        <f ca="1">$J$507-EFEITO!$K$507*EFEITO!$Y$507</f>
        <v>0</v>
      </c>
      <c r="N507" s="64">
        <f ca="1">$K$507-EFEITO!$M$507*EFEITO!$Z$507</f>
        <v>0</v>
      </c>
      <c r="O507" s="64">
        <f>$L$507-EFEITO!$O$507*EFEITO!$AA$507</f>
        <v>0</v>
      </c>
      <c r="P507" s="19"/>
      <c r="Q507" s="19"/>
      <c r="R507" s="19"/>
      <c r="S507" s="19"/>
      <c r="T507" s="19"/>
      <c r="U507" s="19"/>
      <c r="V507" s="19"/>
      <c r="W507" s="19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55" t="s">
        <v>28</v>
      </c>
      <c r="B508" s="55" t="s">
        <v>41</v>
      </c>
      <c r="C508" s="55" t="s">
        <v>40</v>
      </c>
      <c r="D508" s="55" t="s">
        <v>46</v>
      </c>
      <c r="E508" s="55" t="s">
        <v>25</v>
      </c>
      <c r="F508" s="55" t="s">
        <v>25</v>
      </c>
      <c r="G508" s="55" t="s">
        <v>25</v>
      </c>
      <c r="H508" s="55" t="s">
        <v>35</v>
      </c>
      <c r="I508" s="63">
        <v>44531</v>
      </c>
      <c r="J508" s="64">
        <f ca="1">EFEITO!$J$508*EFEITO!$Y$508</f>
        <v>132346.90730894584</v>
      </c>
      <c r="K508" s="64">
        <f ca="1">EFEITO!$L$508*EFEITO!$Z$508</f>
        <v>52044.198513334726</v>
      </c>
      <c r="L508" s="64">
        <f>EFEITO!$N$508*EFEITO!$AA$508</f>
        <v>154885.53752404885</v>
      </c>
      <c r="M508" s="64">
        <f ca="1">$J$508-EFEITO!$K$508*EFEITO!$Y$508</f>
        <v>0</v>
      </c>
      <c r="N508" s="64">
        <f ca="1">$K$508-EFEITO!$M$508*EFEITO!$Z$508</f>
        <v>0</v>
      </c>
      <c r="O508" s="64">
        <f>$L$508-EFEITO!$O$508*EFEITO!$AA$508</f>
        <v>0</v>
      </c>
      <c r="P508" s="19"/>
      <c r="Q508" s="19"/>
      <c r="R508" s="19"/>
      <c r="S508" s="19"/>
      <c r="T508" s="19"/>
      <c r="U508" s="19"/>
      <c r="V508" s="19"/>
      <c r="W508" s="19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55" t="s">
        <v>21</v>
      </c>
      <c r="B509" s="55" t="s">
        <v>41</v>
      </c>
      <c r="C509" s="55" t="s">
        <v>40</v>
      </c>
      <c r="D509" s="55" t="s">
        <v>46</v>
      </c>
      <c r="E509" s="55" t="s">
        <v>25</v>
      </c>
      <c r="F509" s="55" t="s">
        <v>25</v>
      </c>
      <c r="G509" s="55" t="s">
        <v>25</v>
      </c>
      <c r="H509" s="55" t="s">
        <v>35</v>
      </c>
      <c r="I509" s="63">
        <v>44562</v>
      </c>
      <c r="J509" s="64">
        <f ca="1">EFEITO!$J$509*EFEITO!$Y$509</f>
        <v>102676.60183797684</v>
      </c>
      <c r="K509" s="64">
        <f ca="1">EFEITO!$L$509*EFEITO!$Z$509</f>
        <v>79022.77328248728</v>
      </c>
      <c r="L509" s="64">
        <f>EFEITO!$N$509*EFEITO!$AA$509</f>
        <v>235174.81421801692</v>
      </c>
      <c r="M509" s="64">
        <f ca="1">$J$509-EFEITO!$K$509*EFEITO!$Y$509</f>
        <v>0</v>
      </c>
      <c r="N509" s="64">
        <f ca="1">$K$509-EFEITO!$M$509*EFEITO!$Z$509</f>
        <v>0</v>
      </c>
      <c r="O509" s="64">
        <f>$L$509-EFEITO!$O$509*EFEITO!$AA$509</f>
        <v>0</v>
      </c>
      <c r="P509" s="19"/>
      <c r="Q509" s="19"/>
      <c r="R509" s="19"/>
      <c r="S509" s="19"/>
      <c r="T509" s="19"/>
      <c r="U509" s="19"/>
      <c r="V509" s="19"/>
      <c r="W509" s="19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55" t="s">
        <v>28</v>
      </c>
      <c r="B510" s="55" t="s">
        <v>41</v>
      </c>
      <c r="C510" s="55" t="s">
        <v>40</v>
      </c>
      <c r="D510" s="55" t="s">
        <v>46</v>
      </c>
      <c r="E510" s="55" t="s">
        <v>25</v>
      </c>
      <c r="F510" s="55" t="s">
        <v>25</v>
      </c>
      <c r="G510" s="55" t="s">
        <v>25</v>
      </c>
      <c r="H510" s="55" t="s">
        <v>35</v>
      </c>
      <c r="I510" s="63">
        <v>44562</v>
      </c>
      <c r="J510" s="64">
        <f ca="1">EFEITO!$J$510*EFEITO!$Y$510</f>
        <v>132346.90730894584</v>
      </c>
      <c r="K510" s="64">
        <f ca="1">EFEITO!$L$510*EFEITO!$Z$510</f>
        <v>43929.965526208704</v>
      </c>
      <c r="L510" s="64">
        <f>EFEITO!$N$510*EFEITO!$AA$510</f>
        <v>130737.26790501778</v>
      </c>
      <c r="M510" s="64">
        <f ca="1">$J$510-EFEITO!$K$510*EFEITO!$Y$510</f>
        <v>0</v>
      </c>
      <c r="N510" s="64">
        <f ca="1">$K$510-EFEITO!$M$510*EFEITO!$Z$510</f>
        <v>0</v>
      </c>
      <c r="O510" s="64">
        <f>$L$510-EFEITO!$O$510*EFEITO!$AA$510</f>
        <v>0</v>
      </c>
      <c r="P510" s="19"/>
      <c r="Q510" s="19"/>
      <c r="R510" s="19"/>
      <c r="S510" s="19"/>
      <c r="T510" s="19"/>
      <c r="U510" s="19"/>
      <c r="V510" s="19"/>
      <c r="W510" s="19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55" t="s">
        <v>21</v>
      </c>
      <c r="B511" s="55" t="s">
        <v>41</v>
      </c>
      <c r="C511" s="55" t="s">
        <v>40</v>
      </c>
      <c r="D511" s="55" t="s">
        <v>46</v>
      </c>
      <c r="E511" s="55" t="s">
        <v>25</v>
      </c>
      <c r="F511" s="55" t="s">
        <v>25</v>
      </c>
      <c r="G511" s="55" t="s">
        <v>25</v>
      </c>
      <c r="H511" s="55" t="s">
        <v>35</v>
      </c>
      <c r="I511" s="63">
        <v>44593</v>
      </c>
      <c r="J511" s="64">
        <f ca="1">EFEITO!$J$511*EFEITO!$Y$511</f>
        <v>114581.51625635501</v>
      </c>
      <c r="K511" s="64">
        <f ca="1">EFEITO!$L$511*EFEITO!$Z$511</f>
        <v>82154.019610935793</v>
      </c>
      <c r="L511" s="64">
        <f>EFEITO!$N$511*EFEITO!$AA$511</f>
        <v>244493.52378710924</v>
      </c>
      <c r="M511" s="64">
        <f ca="1">$J$511-EFEITO!$K$511*EFEITO!$Y$511</f>
        <v>0</v>
      </c>
      <c r="N511" s="64">
        <f ca="1">$K$511-EFEITO!$M$511*EFEITO!$Z$511</f>
        <v>0</v>
      </c>
      <c r="O511" s="64">
        <f>$L$511-EFEITO!$O$511*EFEITO!$AA$511</f>
        <v>0</v>
      </c>
      <c r="P511" s="19"/>
      <c r="Q511" s="19"/>
      <c r="R511" s="19"/>
      <c r="S511" s="19"/>
      <c r="T511" s="19"/>
      <c r="U511" s="19"/>
      <c r="V511" s="19"/>
      <c r="W511" s="19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55" t="s">
        <v>28</v>
      </c>
      <c r="B512" s="55" t="s">
        <v>41</v>
      </c>
      <c r="C512" s="55" t="s">
        <v>40</v>
      </c>
      <c r="D512" s="55" t="s">
        <v>46</v>
      </c>
      <c r="E512" s="55" t="s">
        <v>25</v>
      </c>
      <c r="F512" s="55" t="s">
        <v>25</v>
      </c>
      <c r="G512" s="55" t="s">
        <v>25</v>
      </c>
      <c r="H512" s="55" t="s">
        <v>35</v>
      </c>
      <c r="I512" s="63">
        <v>44593</v>
      </c>
      <c r="J512" s="64">
        <f ca="1">EFEITO!$J$512*EFEITO!$Y$512</f>
        <v>132346.90730894584</v>
      </c>
      <c r="K512" s="64">
        <f ca="1">EFEITO!$L$512*EFEITO!$Z$512</f>
        <v>49989.357048391379</v>
      </c>
      <c r="L512" s="64">
        <f>EFEITO!$N$512*EFEITO!$AA$512</f>
        <v>148770.25025061896</v>
      </c>
      <c r="M512" s="64">
        <f ca="1">$J$512-EFEITO!$K$512*EFEITO!$Y$512</f>
        <v>0</v>
      </c>
      <c r="N512" s="64">
        <f ca="1">$K$512-EFEITO!$M$512*EFEITO!$Z$512</f>
        <v>0</v>
      </c>
      <c r="O512" s="64">
        <f>$L$512-EFEITO!$O$512*EFEITO!$AA$512</f>
        <v>0</v>
      </c>
      <c r="P512" s="19"/>
      <c r="Q512" s="19"/>
      <c r="R512" s="19"/>
      <c r="S512" s="19"/>
      <c r="T512" s="19"/>
      <c r="U512" s="19"/>
      <c r="V512" s="19"/>
      <c r="W512" s="19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55" t="s">
        <v>21</v>
      </c>
      <c r="B513" s="55" t="s">
        <v>41</v>
      </c>
      <c r="C513" s="55" t="s">
        <v>40</v>
      </c>
      <c r="D513" s="55" t="s">
        <v>46</v>
      </c>
      <c r="E513" s="55" t="s">
        <v>25</v>
      </c>
      <c r="F513" s="55" t="s">
        <v>25</v>
      </c>
      <c r="G513" s="55" t="s">
        <v>25</v>
      </c>
      <c r="H513" s="55" t="s">
        <v>35</v>
      </c>
      <c r="I513" s="63">
        <v>44621</v>
      </c>
      <c r="J513" s="64">
        <f ca="1">EFEITO!$J$513*EFEITO!$Y$513</f>
        <v>103911.76955908892</v>
      </c>
      <c r="K513" s="64">
        <f ca="1">EFEITO!$L$513*EFEITO!$Z$513</f>
        <v>82110.798318847417</v>
      </c>
      <c r="L513" s="64">
        <f>EFEITO!$N$513*EFEITO!$AA$513</f>
        <v>244364.89555862619</v>
      </c>
      <c r="M513" s="64">
        <f ca="1">$J$513-EFEITO!$K$513*EFEITO!$Y$513</f>
        <v>0</v>
      </c>
      <c r="N513" s="64">
        <f ca="1">$K$513-EFEITO!$M$513*EFEITO!$Z$513</f>
        <v>0</v>
      </c>
      <c r="O513" s="64">
        <f>$L$513-EFEITO!$O$513*EFEITO!$AA$513</f>
        <v>0</v>
      </c>
      <c r="P513" s="19"/>
      <c r="Q513" s="19"/>
      <c r="R513" s="19"/>
      <c r="S513" s="19"/>
      <c r="T513" s="19"/>
      <c r="U513" s="19"/>
      <c r="V513" s="19"/>
      <c r="W513" s="19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55" t="s">
        <v>28</v>
      </c>
      <c r="B514" s="55" t="s">
        <v>41</v>
      </c>
      <c r="C514" s="55" t="s">
        <v>40</v>
      </c>
      <c r="D514" s="55" t="s">
        <v>46</v>
      </c>
      <c r="E514" s="55" t="s">
        <v>25</v>
      </c>
      <c r="F514" s="55" t="s">
        <v>25</v>
      </c>
      <c r="G514" s="55" t="s">
        <v>25</v>
      </c>
      <c r="H514" s="55" t="s">
        <v>35</v>
      </c>
      <c r="I514" s="63">
        <v>44621</v>
      </c>
      <c r="J514" s="64">
        <f ca="1">EFEITO!$J$514*EFEITO!$Y$514</f>
        <v>132346.90730894584</v>
      </c>
      <c r="K514" s="64">
        <f ca="1">EFEITO!$L$514*EFEITO!$Z$514</f>
        <v>66239.550482990555</v>
      </c>
      <c r="L514" s="64">
        <f>EFEITO!$N$514*EFEITO!$AA$514</f>
        <v>197131.45124678337</v>
      </c>
      <c r="M514" s="64">
        <f ca="1">$J$514-EFEITO!$K$514*EFEITO!$Y$514</f>
        <v>0</v>
      </c>
      <c r="N514" s="64">
        <f ca="1">$K$514-EFEITO!$M$514*EFEITO!$Z$514</f>
        <v>0</v>
      </c>
      <c r="O514" s="64">
        <f>$L$514-EFEITO!$O$514*EFEITO!$AA$514</f>
        <v>0</v>
      </c>
      <c r="P514" s="19"/>
      <c r="Q514" s="19"/>
      <c r="R514" s="19"/>
      <c r="S514" s="19"/>
      <c r="T514" s="19"/>
      <c r="U514" s="19"/>
      <c r="V514" s="19"/>
      <c r="W514" s="19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55" t="s">
        <v>21</v>
      </c>
      <c r="B515" s="55" t="s">
        <v>41</v>
      </c>
      <c r="C515" s="55" t="s">
        <v>40</v>
      </c>
      <c r="D515" s="55" t="s">
        <v>46</v>
      </c>
      <c r="E515" s="55" t="s">
        <v>25</v>
      </c>
      <c r="F515" s="55" t="s">
        <v>25</v>
      </c>
      <c r="G515" s="55" t="s">
        <v>25</v>
      </c>
      <c r="H515" s="55" t="s">
        <v>35</v>
      </c>
      <c r="I515" s="63">
        <v>44652</v>
      </c>
      <c r="J515" s="64">
        <f ca="1">EFEITO!$J$515*EFEITO!$Y$515</f>
        <v>104043.17038048383</v>
      </c>
      <c r="K515" s="64">
        <f ca="1">EFEITO!$L$515*EFEITO!$Z$515</f>
        <v>78846.461561247546</v>
      </c>
      <c r="L515" s="64">
        <f>EFEITO!$N$515*EFEITO!$AA$515</f>
        <v>234650.10375083564</v>
      </c>
      <c r="M515" s="64">
        <f ca="1">$J$515-EFEITO!$K$515*EFEITO!$Y$515</f>
        <v>0</v>
      </c>
      <c r="N515" s="64">
        <f ca="1">$K$515-EFEITO!$M$515*EFEITO!$Z$515</f>
        <v>0</v>
      </c>
      <c r="O515" s="64">
        <f>$L$515-EFEITO!$O$515*EFEITO!$AA$515</f>
        <v>0</v>
      </c>
      <c r="P515" s="19"/>
      <c r="Q515" s="19"/>
      <c r="R515" s="19"/>
      <c r="S515" s="19"/>
      <c r="T515" s="19"/>
      <c r="U515" s="19"/>
      <c r="V515" s="19"/>
      <c r="W515" s="19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55" t="s">
        <v>28</v>
      </c>
      <c r="B516" s="55" t="s">
        <v>41</v>
      </c>
      <c r="C516" s="55" t="s">
        <v>40</v>
      </c>
      <c r="D516" s="55" t="s">
        <v>46</v>
      </c>
      <c r="E516" s="55" t="s">
        <v>25</v>
      </c>
      <c r="F516" s="55" t="s">
        <v>25</v>
      </c>
      <c r="G516" s="55" t="s">
        <v>25</v>
      </c>
      <c r="H516" s="55" t="s">
        <v>35</v>
      </c>
      <c r="I516" s="63">
        <v>44652</v>
      </c>
      <c r="J516" s="64">
        <f ca="1">EFEITO!$J$516*EFEITO!$Y$516</f>
        <v>132346.90730894584</v>
      </c>
      <c r="K516" s="64">
        <f ca="1">EFEITO!$L$516*EFEITO!$Z$516</f>
        <v>65499.492935755021</v>
      </c>
      <c r="L516" s="64">
        <f>EFEITO!$N$516*EFEITO!$AA$516</f>
        <v>194929.01150755028</v>
      </c>
      <c r="M516" s="64">
        <f ca="1">$J$516-EFEITO!$K$516*EFEITO!$Y$516</f>
        <v>0</v>
      </c>
      <c r="N516" s="64">
        <f ca="1">$K$516-EFEITO!$M$516*EFEITO!$Z$516</f>
        <v>0</v>
      </c>
      <c r="O516" s="64">
        <f>$L$516-EFEITO!$O$516*EFEITO!$AA$516</f>
        <v>0</v>
      </c>
      <c r="P516" s="19"/>
      <c r="Q516" s="19"/>
      <c r="R516" s="19"/>
      <c r="S516" s="19"/>
      <c r="T516" s="19"/>
      <c r="U516" s="19"/>
      <c r="V516" s="19"/>
      <c r="W516" s="19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55" t="s">
        <v>21</v>
      </c>
      <c r="B517" s="55" t="s">
        <v>41</v>
      </c>
      <c r="C517" s="55" t="s">
        <v>40</v>
      </c>
      <c r="D517" s="55" t="s">
        <v>46</v>
      </c>
      <c r="E517" s="55" t="s">
        <v>25</v>
      </c>
      <c r="F517" s="55" t="s">
        <v>25</v>
      </c>
      <c r="G517" s="55" t="s">
        <v>25</v>
      </c>
      <c r="H517" s="55" t="s">
        <v>35</v>
      </c>
      <c r="I517" s="63">
        <v>44682</v>
      </c>
      <c r="J517" s="64">
        <f ca="1">EFEITO!$J$517*EFEITO!$Y$517</f>
        <v>103859.20923053096</v>
      </c>
      <c r="K517" s="64">
        <f ca="1">EFEITO!$L$517*EFEITO!$Z$517</f>
        <v>79226.964684029066</v>
      </c>
      <c r="L517" s="64">
        <f>EFEITO!$N$517*EFEITO!$AA$517</f>
        <v>235782.49568663415</v>
      </c>
      <c r="M517" s="64">
        <f ca="1">$J$517-EFEITO!$K$517*EFEITO!$Y$517</f>
        <v>0</v>
      </c>
      <c r="N517" s="64">
        <f ca="1">$K$517-EFEITO!$M$517*EFEITO!$Z$517</f>
        <v>0</v>
      </c>
      <c r="O517" s="64">
        <f>$L$517-EFEITO!$O$517*EFEITO!$AA$517</f>
        <v>0</v>
      </c>
      <c r="P517" s="19"/>
      <c r="Q517" s="19"/>
      <c r="R517" s="19"/>
      <c r="S517" s="19"/>
      <c r="T517" s="19"/>
      <c r="U517" s="19"/>
      <c r="V517" s="19"/>
      <c r="W517" s="19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55" t="s">
        <v>28</v>
      </c>
      <c r="B518" s="55" t="s">
        <v>41</v>
      </c>
      <c r="C518" s="55" t="s">
        <v>40</v>
      </c>
      <c r="D518" s="55" t="s">
        <v>46</v>
      </c>
      <c r="E518" s="55" t="s">
        <v>25</v>
      </c>
      <c r="F518" s="55" t="s">
        <v>25</v>
      </c>
      <c r="G518" s="55" t="s">
        <v>25</v>
      </c>
      <c r="H518" s="55" t="s">
        <v>35</v>
      </c>
      <c r="I518" s="63">
        <v>44682</v>
      </c>
      <c r="J518" s="64">
        <f ca="1">EFEITO!$J$518*EFEITO!$Y$518</f>
        <v>132346.90730894584</v>
      </c>
      <c r="K518" s="64">
        <f ca="1">EFEITO!$L$518*EFEITO!$Z$518</f>
        <v>71215.138902481776</v>
      </c>
      <c r="L518" s="64">
        <f>EFEITO!$N$518*EFEITO!$AA$518</f>
        <v>211938.99385220703</v>
      </c>
      <c r="M518" s="64">
        <f ca="1">$J$518-EFEITO!$K$518*EFEITO!$Y$518</f>
        <v>0</v>
      </c>
      <c r="N518" s="64">
        <f ca="1">$K$518-EFEITO!$M$518*EFEITO!$Z$518</f>
        <v>0</v>
      </c>
      <c r="O518" s="64">
        <f>$L$518-EFEITO!$O$518*EFEITO!$AA$518</f>
        <v>0</v>
      </c>
      <c r="P518" s="19"/>
      <c r="Q518" s="19"/>
      <c r="R518" s="19"/>
      <c r="S518" s="19"/>
      <c r="T518" s="19"/>
      <c r="U518" s="19"/>
      <c r="V518" s="19"/>
      <c r="W518" s="19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55" t="s">
        <v>21</v>
      </c>
      <c r="B519" s="55" t="s">
        <v>41</v>
      </c>
      <c r="C519" s="55" t="s">
        <v>40</v>
      </c>
      <c r="D519" s="55" t="s">
        <v>46</v>
      </c>
      <c r="E519" s="55" t="s">
        <v>25</v>
      </c>
      <c r="F519" s="55" t="s">
        <v>25</v>
      </c>
      <c r="G519" s="55" t="s">
        <v>25</v>
      </c>
      <c r="H519" s="55" t="s">
        <v>35</v>
      </c>
      <c r="I519" s="63">
        <v>44713</v>
      </c>
      <c r="J519" s="64">
        <f ca="1">EFEITO!$J$519*EFEITO!$Y$519</f>
        <v>101993.31756672334</v>
      </c>
      <c r="K519" s="64">
        <f ca="1">EFEITO!$L$519*EFEITO!$Z$519</f>
        <v>69834.315965511021</v>
      </c>
      <c r="L519" s="64">
        <f>EFEITO!$N$519*EFEITO!$AA$519</f>
        <v>207829.61165539111</v>
      </c>
      <c r="M519" s="64">
        <f ca="1">$J$519-EFEITO!$K$519*EFEITO!$Y$519</f>
        <v>0</v>
      </c>
      <c r="N519" s="64">
        <f ca="1">$K$519-EFEITO!$M$519*EFEITO!$Z$519</f>
        <v>0</v>
      </c>
      <c r="O519" s="64">
        <f>$L$519-EFEITO!$O$519*EFEITO!$AA$519</f>
        <v>0</v>
      </c>
      <c r="P519" s="19"/>
      <c r="Q519" s="19"/>
      <c r="R519" s="19"/>
      <c r="S519" s="19"/>
      <c r="T519" s="19"/>
      <c r="U519" s="19"/>
      <c r="V519" s="19"/>
      <c r="W519" s="19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55" t="s">
        <v>28</v>
      </c>
      <c r="B520" s="55" t="s">
        <v>41</v>
      </c>
      <c r="C520" s="55" t="s">
        <v>40</v>
      </c>
      <c r="D520" s="55" t="s">
        <v>46</v>
      </c>
      <c r="E520" s="55" t="s">
        <v>25</v>
      </c>
      <c r="F520" s="55" t="s">
        <v>25</v>
      </c>
      <c r="G520" s="55" t="s">
        <v>25</v>
      </c>
      <c r="H520" s="55" t="s">
        <v>35</v>
      </c>
      <c r="I520" s="63">
        <v>44713</v>
      </c>
      <c r="J520" s="64">
        <f ca="1">EFEITO!$J$520*EFEITO!$Y$520</f>
        <v>132346.90730894584</v>
      </c>
      <c r="K520" s="64">
        <f ca="1">EFEITO!$L$520*EFEITO!$Z$520</f>
        <v>55269.597169954097</v>
      </c>
      <c r="L520" s="64">
        <f>EFEITO!$N$520*EFEITO!$AA$520</f>
        <v>164484.44804491769</v>
      </c>
      <c r="M520" s="64">
        <f ca="1">$J$520-EFEITO!$K$520*EFEITO!$Y$520</f>
        <v>0</v>
      </c>
      <c r="N520" s="64">
        <f ca="1">$K$520-EFEITO!$M$520*EFEITO!$Z$520</f>
        <v>0</v>
      </c>
      <c r="O520" s="64">
        <f>$L$520-EFEITO!$O$520*EFEITO!$AA$520</f>
        <v>0</v>
      </c>
      <c r="P520" s="19"/>
      <c r="Q520" s="19"/>
      <c r="R520" s="19"/>
      <c r="S520" s="19"/>
      <c r="T520" s="19"/>
      <c r="U520" s="19"/>
      <c r="V520" s="19"/>
      <c r="W520" s="19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55" t="s">
        <v>57</v>
      </c>
      <c r="B521" s="55" t="s">
        <v>41</v>
      </c>
      <c r="C521" s="55" t="s">
        <v>40</v>
      </c>
      <c r="D521" s="55" t="s">
        <v>46</v>
      </c>
      <c r="E521" s="55" t="s">
        <v>25</v>
      </c>
      <c r="F521" s="55" t="s">
        <v>25</v>
      </c>
      <c r="G521" s="55" t="s">
        <v>25</v>
      </c>
      <c r="H521" s="55" t="s">
        <v>35</v>
      </c>
      <c r="I521" s="63">
        <v>44743</v>
      </c>
      <c r="J521" s="64">
        <f ca="1">EFEITO!$J$521*EFEITO!$Y$521</f>
        <v>101993.31756672334</v>
      </c>
      <c r="K521" s="64">
        <f ca="1">EFEITO!$L$521*EFEITO!$Z$521</f>
        <v>69834.315965511021</v>
      </c>
      <c r="L521" s="64">
        <f>EFEITO!$N$521*EFEITO!$AA$521</f>
        <v>207829.61165539111</v>
      </c>
      <c r="M521" s="64">
        <f ca="1">$J$521-EFEITO!$K$521*EFEITO!$Y$521</f>
        <v>0</v>
      </c>
      <c r="N521" s="64">
        <f ca="1">$K$521-EFEITO!$M$521*EFEITO!$Z$521</f>
        <v>0</v>
      </c>
      <c r="O521" s="64">
        <f>$L$521-EFEITO!$O$521*EFEITO!$AA$521</f>
        <v>0</v>
      </c>
      <c r="P521" s="19"/>
      <c r="Q521" s="19"/>
      <c r="R521" s="19"/>
      <c r="S521" s="19"/>
      <c r="T521" s="19"/>
      <c r="U521" s="19"/>
      <c r="V521" s="19"/>
      <c r="W521" s="19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55" t="s">
        <v>57</v>
      </c>
      <c r="B522" s="55" t="s">
        <v>41</v>
      </c>
      <c r="C522" s="55" t="s">
        <v>40</v>
      </c>
      <c r="D522" s="55" t="s">
        <v>46</v>
      </c>
      <c r="E522" s="55" t="s">
        <v>25</v>
      </c>
      <c r="F522" s="55" t="s">
        <v>25</v>
      </c>
      <c r="G522" s="55" t="s">
        <v>25</v>
      </c>
      <c r="H522" s="55" t="s">
        <v>35</v>
      </c>
      <c r="I522" s="63">
        <v>44743</v>
      </c>
      <c r="J522" s="64">
        <f ca="1">EFEITO!$J$522*EFEITO!$Y$522</f>
        <v>132346.90730894584</v>
      </c>
      <c r="K522" s="64">
        <f ca="1">EFEITO!$L$522*EFEITO!$Z$522</f>
        <v>55269.597169954097</v>
      </c>
      <c r="L522" s="64">
        <f>EFEITO!$N$522*EFEITO!$AA$522</f>
        <v>164484.44804491769</v>
      </c>
      <c r="M522" s="64">
        <f ca="1">$J$522-EFEITO!$K$522*EFEITO!$Y$522</f>
        <v>0</v>
      </c>
      <c r="N522" s="64">
        <f ca="1">$K$522-EFEITO!$M$522*EFEITO!$Z$522</f>
        <v>0</v>
      </c>
      <c r="O522" s="64">
        <f>$L$522-EFEITO!$O$522*EFEITO!$AA$522</f>
        <v>0</v>
      </c>
      <c r="P522" s="19"/>
      <c r="Q522" s="19"/>
      <c r="R522" s="19"/>
      <c r="S522" s="19"/>
      <c r="T522" s="19"/>
      <c r="U522" s="19"/>
      <c r="V522" s="19"/>
      <c r="W522" s="19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55" t="s">
        <v>21</v>
      </c>
      <c r="B523" s="55" t="s">
        <v>41</v>
      </c>
      <c r="C523" s="55" t="s">
        <v>40</v>
      </c>
      <c r="D523" s="55" t="s">
        <v>46</v>
      </c>
      <c r="E523" s="55" t="s">
        <v>25</v>
      </c>
      <c r="F523" s="55" t="s">
        <v>25</v>
      </c>
      <c r="G523" s="55" t="s">
        <v>25</v>
      </c>
      <c r="H523" s="55" t="s">
        <v>34</v>
      </c>
      <c r="I523" s="63">
        <v>44409</v>
      </c>
      <c r="J523" s="64">
        <f ca="1">EFEITO!$J$523*EFEITO!$Y$523</f>
        <v>303634.34327664186</v>
      </c>
      <c r="K523" s="64">
        <f ca="1">EFEITO!$L$523*EFEITO!$Z$523</f>
        <v>11433.706095714298</v>
      </c>
      <c r="L523" s="64">
        <f>EFEITO!$N$523*EFEITO!$AA$523</f>
        <v>52893.055792894156</v>
      </c>
      <c r="M523" s="64">
        <f ca="1">$J$523-EFEITO!$K$523*EFEITO!$Y$523</f>
        <v>0</v>
      </c>
      <c r="N523" s="64">
        <f ca="1">$K$523-EFEITO!$M$523*EFEITO!$Z$523</f>
        <v>0</v>
      </c>
      <c r="O523" s="64">
        <f>$L$523-EFEITO!$O$523*EFEITO!$AA$523</f>
        <v>0</v>
      </c>
      <c r="P523" s="19"/>
      <c r="Q523" s="19"/>
      <c r="R523" s="19"/>
      <c r="S523" s="19"/>
      <c r="T523" s="19"/>
      <c r="U523" s="19"/>
      <c r="V523" s="19"/>
      <c r="W523" s="19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55" t="s">
        <v>28</v>
      </c>
      <c r="B524" s="55" t="s">
        <v>41</v>
      </c>
      <c r="C524" s="55" t="s">
        <v>40</v>
      </c>
      <c r="D524" s="55" t="s">
        <v>46</v>
      </c>
      <c r="E524" s="55" t="s">
        <v>25</v>
      </c>
      <c r="F524" s="55" t="s">
        <v>25</v>
      </c>
      <c r="G524" s="55" t="s">
        <v>25</v>
      </c>
      <c r="H524" s="55" t="s">
        <v>34</v>
      </c>
      <c r="I524" s="63">
        <v>44409</v>
      </c>
      <c r="J524" s="64">
        <f ca="1">EFEITO!$J$524*EFEITO!$Y$524</f>
        <v>28362.884637745836</v>
      </c>
      <c r="K524" s="64">
        <f ca="1">EFEITO!$L$524*EFEITO!$Z$524</f>
        <v>556.50333921341496</v>
      </c>
      <c r="L524" s="64">
        <f>EFEITO!$N$524*EFEITO!$AA$524</f>
        <v>2574.4200457435459</v>
      </c>
      <c r="M524" s="64">
        <f ca="1">$J$524-EFEITO!$K$524*EFEITO!$Y$524</f>
        <v>0</v>
      </c>
      <c r="N524" s="64">
        <f ca="1">$K$524-EFEITO!$M$524*EFEITO!$Z$524</f>
        <v>0</v>
      </c>
      <c r="O524" s="64">
        <f>$L$524-EFEITO!$O$524*EFEITO!$AA$524</f>
        <v>0</v>
      </c>
      <c r="P524" s="19"/>
      <c r="Q524" s="19"/>
      <c r="R524" s="19"/>
      <c r="S524" s="19"/>
      <c r="T524" s="19"/>
      <c r="U524" s="19"/>
      <c r="V524" s="19"/>
      <c r="W524" s="19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55" t="s">
        <v>21</v>
      </c>
      <c r="B525" s="55" t="s">
        <v>41</v>
      </c>
      <c r="C525" s="55" t="s">
        <v>40</v>
      </c>
      <c r="D525" s="55" t="s">
        <v>46</v>
      </c>
      <c r="E525" s="55" t="s">
        <v>25</v>
      </c>
      <c r="F525" s="55" t="s">
        <v>25</v>
      </c>
      <c r="G525" s="55" t="s">
        <v>25</v>
      </c>
      <c r="H525" s="55" t="s">
        <v>34</v>
      </c>
      <c r="I525" s="63">
        <v>44440</v>
      </c>
      <c r="J525" s="64">
        <f ca="1">EFEITO!$J$525*EFEITO!$Y$525</f>
        <v>158894.8343794159</v>
      </c>
      <c r="K525" s="64">
        <f ca="1">EFEITO!$L$525*EFEITO!$Z$525</f>
        <v>8021.7939353982983</v>
      </c>
      <c r="L525" s="64">
        <f>EFEITO!$N$525*EFEITO!$AA$525</f>
        <v>37109.331885237261</v>
      </c>
      <c r="M525" s="64">
        <f ca="1">$J$525-EFEITO!$K$525*EFEITO!$Y$525</f>
        <v>0</v>
      </c>
      <c r="N525" s="64">
        <f ca="1">$K$525-EFEITO!$M$525*EFEITO!$Z$525</f>
        <v>0</v>
      </c>
      <c r="O525" s="64">
        <f>$L$525-EFEITO!$O$525*EFEITO!$AA$525</f>
        <v>0</v>
      </c>
      <c r="P525" s="19"/>
      <c r="Q525" s="19"/>
      <c r="R525" s="19"/>
      <c r="S525" s="19"/>
      <c r="T525" s="19"/>
      <c r="U525" s="19"/>
      <c r="V525" s="19"/>
      <c r="W525" s="19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55" t="s">
        <v>27</v>
      </c>
      <c r="B526" s="55" t="s">
        <v>41</v>
      </c>
      <c r="C526" s="55" t="s">
        <v>40</v>
      </c>
      <c r="D526" s="55" t="s">
        <v>46</v>
      </c>
      <c r="E526" s="55" t="s">
        <v>25</v>
      </c>
      <c r="F526" s="55" t="s">
        <v>25</v>
      </c>
      <c r="G526" s="55" t="s">
        <v>25</v>
      </c>
      <c r="H526" s="55" t="s">
        <v>34</v>
      </c>
      <c r="I526" s="63">
        <v>44440</v>
      </c>
      <c r="J526" s="64">
        <f ca="1">EFEITO!$J$526*EFEITO!$Y$526</f>
        <v>16610.30813039259</v>
      </c>
      <c r="K526" s="64">
        <f ca="1">EFEITO!$L$526*EFEITO!$Z$526</f>
        <v>1027.9658658854014</v>
      </c>
      <c r="L526" s="64">
        <f>EFEITO!$N$526*EFEITO!$AA$526</f>
        <v>4755.4358527588593</v>
      </c>
      <c r="M526" s="64">
        <f ca="1">$J$526-EFEITO!$K$526*EFEITO!$Y$526</f>
        <v>0</v>
      </c>
      <c r="N526" s="64">
        <f ca="1">$K$526-EFEITO!$M$526*EFEITO!$Z$526</f>
        <v>0</v>
      </c>
      <c r="O526" s="64">
        <f>$L$526-EFEITO!$O$526*EFEITO!$AA$526</f>
        <v>0</v>
      </c>
      <c r="P526" s="19"/>
      <c r="Q526" s="19"/>
      <c r="R526" s="19"/>
      <c r="S526" s="19"/>
      <c r="T526" s="19"/>
      <c r="U526" s="19"/>
      <c r="V526" s="19"/>
      <c r="W526" s="19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55" t="s">
        <v>28</v>
      </c>
      <c r="B527" s="55" t="s">
        <v>41</v>
      </c>
      <c r="C527" s="55" t="s">
        <v>40</v>
      </c>
      <c r="D527" s="55" t="s">
        <v>46</v>
      </c>
      <c r="E527" s="55" t="s">
        <v>25</v>
      </c>
      <c r="F527" s="55" t="s">
        <v>25</v>
      </c>
      <c r="G527" s="55" t="s">
        <v>25</v>
      </c>
      <c r="H527" s="55" t="s">
        <v>34</v>
      </c>
      <c r="I527" s="63">
        <v>44440</v>
      </c>
      <c r="J527" s="64">
        <f ca="1">EFEITO!$J$527*EFEITO!$Y$527</f>
        <v>177385.554750985</v>
      </c>
      <c r="K527" s="64">
        <f ca="1">EFEITO!$L$527*EFEITO!$Z$527</f>
        <v>5222.0665986978383</v>
      </c>
      <c r="L527" s="64">
        <f>EFEITO!$N$527*EFEITO!$AA$527</f>
        <v>24157.614132015005</v>
      </c>
      <c r="M527" s="64">
        <f ca="1">$J$527-EFEITO!$K$527*EFEITO!$Y$527</f>
        <v>0</v>
      </c>
      <c r="N527" s="64">
        <f ca="1">$K$527-EFEITO!$M$527*EFEITO!$Z$527</f>
        <v>0</v>
      </c>
      <c r="O527" s="64">
        <f>$L$527-EFEITO!$O$527*EFEITO!$AA$527</f>
        <v>0</v>
      </c>
      <c r="P527" s="19"/>
      <c r="Q527" s="19"/>
      <c r="R527" s="19"/>
      <c r="S527" s="19"/>
      <c r="T527" s="19"/>
      <c r="U527" s="19"/>
      <c r="V527" s="19"/>
      <c r="W527" s="19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55" t="s">
        <v>21</v>
      </c>
      <c r="B528" s="55" t="s">
        <v>41</v>
      </c>
      <c r="C528" s="55" t="s">
        <v>40</v>
      </c>
      <c r="D528" s="55" t="s">
        <v>46</v>
      </c>
      <c r="E528" s="55" t="s">
        <v>25</v>
      </c>
      <c r="F528" s="55" t="s">
        <v>25</v>
      </c>
      <c r="G528" s="55" t="s">
        <v>25</v>
      </c>
      <c r="H528" s="55" t="s">
        <v>34</v>
      </c>
      <c r="I528" s="63">
        <v>44470</v>
      </c>
      <c r="J528" s="64">
        <f ca="1">EFEITO!$J$528*EFEITO!$Y$528</f>
        <v>165528.51089689974</v>
      </c>
      <c r="K528" s="64">
        <f ca="1">EFEITO!$L$528*EFEITO!$Z$528</f>
        <v>8494.1131002918555</v>
      </c>
      <c r="L528" s="64">
        <f>EFEITO!$N$528*EFEITO!$AA$528</f>
        <v>39294.310555463206</v>
      </c>
      <c r="M528" s="64">
        <f ca="1">$J$528-EFEITO!$K$528*EFEITO!$Y$528</f>
        <v>0</v>
      </c>
      <c r="N528" s="64">
        <f ca="1">$K$528-EFEITO!$M$528*EFEITO!$Z$528</f>
        <v>0</v>
      </c>
      <c r="O528" s="64">
        <f>$L$528-EFEITO!$O$528*EFEITO!$AA$528</f>
        <v>0</v>
      </c>
      <c r="P528" s="19"/>
      <c r="Q528" s="19"/>
      <c r="R528" s="19"/>
      <c r="S528" s="19"/>
      <c r="T528" s="19"/>
      <c r="U528" s="19"/>
      <c r="V528" s="19"/>
      <c r="W528" s="19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55" t="s">
        <v>28</v>
      </c>
      <c r="B529" s="55" t="s">
        <v>41</v>
      </c>
      <c r="C529" s="55" t="s">
        <v>40</v>
      </c>
      <c r="D529" s="55" t="s">
        <v>46</v>
      </c>
      <c r="E529" s="55" t="s">
        <v>25</v>
      </c>
      <c r="F529" s="55" t="s">
        <v>25</v>
      </c>
      <c r="G529" s="55" t="s">
        <v>25</v>
      </c>
      <c r="H529" s="55" t="s">
        <v>34</v>
      </c>
      <c r="I529" s="63">
        <v>44470</v>
      </c>
      <c r="J529" s="64">
        <f ca="1">EFEITO!$J$529*EFEITO!$Y$529</f>
        <v>177385.554750985</v>
      </c>
      <c r="K529" s="64">
        <f ca="1">EFEITO!$L$529*EFEITO!$Z$529</f>
        <v>4369.0106824168779</v>
      </c>
      <c r="L529" s="64">
        <f>EFEITO!$N$529*EFEITO!$AA$529</f>
        <v>20211.322894808902</v>
      </c>
      <c r="M529" s="64">
        <f ca="1">$J$529-EFEITO!$K$529*EFEITO!$Y$529</f>
        <v>0</v>
      </c>
      <c r="N529" s="64">
        <f ca="1">$K$529-EFEITO!$M$529*EFEITO!$Z$529</f>
        <v>0</v>
      </c>
      <c r="O529" s="64">
        <f>$L$529-EFEITO!$O$529*EFEITO!$AA$529</f>
        <v>0</v>
      </c>
      <c r="P529" s="19"/>
      <c r="Q529" s="19"/>
      <c r="R529" s="19"/>
      <c r="S529" s="19"/>
      <c r="T529" s="19"/>
      <c r="U529" s="19"/>
      <c r="V529" s="19"/>
      <c r="W529" s="19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55" t="s">
        <v>21</v>
      </c>
      <c r="B530" s="55" t="s">
        <v>41</v>
      </c>
      <c r="C530" s="55" t="s">
        <v>40</v>
      </c>
      <c r="D530" s="55" t="s">
        <v>46</v>
      </c>
      <c r="E530" s="55" t="s">
        <v>25</v>
      </c>
      <c r="F530" s="55" t="s">
        <v>25</v>
      </c>
      <c r="G530" s="55" t="s">
        <v>25</v>
      </c>
      <c r="H530" s="55" t="s">
        <v>34</v>
      </c>
      <c r="I530" s="63">
        <v>44501</v>
      </c>
      <c r="J530" s="64">
        <f ca="1">EFEITO!$J$530*EFEITO!$Y$530</f>
        <v>158685.89968595182</v>
      </c>
      <c r="K530" s="64">
        <f ca="1">EFEITO!$L$530*EFEITO!$Z$530</f>
        <v>7496.8304579790947</v>
      </c>
      <c r="L530" s="64">
        <f>EFEITO!$N$530*EFEITO!$AA$530</f>
        <v>34680.817257703362</v>
      </c>
      <c r="M530" s="64">
        <f ca="1">$J$530-EFEITO!$K$530*EFEITO!$Y$530</f>
        <v>0</v>
      </c>
      <c r="N530" s="64">
        <f ca="1">$K$530-EFEITO!$M$530*EFEITO!$Z$530</f>
        <v>0</v>
      </c>
      <c r="O530" s="64">
        <f>$L$530-EFEITO!$O$530*EFEITO!$AA$530</f>
        <v>0</v>
      </c>
      <c r="P530" s="19"/>
      <c r="Q530" s="19"/>
      <c r="R530" s="19"/>
      <c r="S530" s="19"/>
      <c r="T530" s="19"/>
      <c r="U530" s="19"/>
      <c r="V530" s="19"/>
      <c r="W530" s="19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55" t="s">
        <v>28</v>
      </c>
      <c r="B531" s="55" t="s">
        <v>41</v>
      </c>
      <c r="C531" s="55" t="s">
        <v>40</v>
      </c>
      <c r="D531" s="55" t="s">
        <v>46</v>
      </c>
      <c r="E531" s="55" t="s">
        <v>25</v>
      </c>
      <c r="F531" s="55" t="s">
        <v>25</v>
      </c>
      <c r="G531" s="55" t="s">
        <v>25</v>
      </c>
      <c r="H531" s="55" t="s">
        <v>34</v>
      </c>
      <c r="I531" s="63">
        <v>44501</v>
      </c>
      <c r="J531" s="64">
        <f ca="1">EFEITO!$J$531*EFEITO!$Y$531</f>
        <v>177385.554750985</v>
      </c>
      <c r="K531" s="64">
        <f ca="1">EFEITO!$L$531*EFEITO!$Z$531</f>
        <v>4738.2996321160126</v>
      </c>
      <c r="L531" s="64">
        <f>EFEITO!$N$531*EFEITO!$AA$531</f>
        <v>21919.677198883335</v>
      </c>
      <c r="M531" s="64">
        <f ca="1">$J$531-EFEITO!$K$531*EFEITO!$Y$531</f>
        <v>0</v>
      </c>
      <c r="N531" s="64">
        <f ca="1">$K$531-EFEITO!$M$531*EFEITO!$Z$531</f>
        <v>0</v>
      </c>
      <c r="O531" s="64">
        <f>$L$531-EFEITO!$O$531*EFEITO!$AA$531</f>
        <v>0</v>
      </c>
      <c r="P531" s="19"/>
      <c r="Q531" s="19"/>
      <c r="R531" s="19"/>
      <c r="S531" s="19"/>
      <c r="T531" s="19"/>
      <c r="U531" s="19"/>
      <c r="V531" s="19"/>
      <c r="W531" s="19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55" t="s">
        <v>21</v>
      </c>
      <c r="B532" s="55" t="s">
        <v>41</v>
      </c>
      <c r="C532" s="55" t="s">
        <v>40</v>
      </c>
      <c r="D532" s="55" t="s">
        <v>46</v>
      </c>
      <c r="E532" s="55" t="s">
        <v>25</v>
      </c>
      <c r="F532" s="55" t="s">
        <v>25</v>
      </c>
      <c r="G532" s="55" t="s">
        <v>25</v>
      </c>
      <c r="H532" s="55" t="s">
        <v>34</v>
      </c>
      <c r="I532" s="63">
        <v>44531</v>
      </c>
      <c r="J532" s="64">
        <f ca="1">EFEITO!$J$532*EFEITO!$Y$532</f>
        <v>155969.74867091907</v>
      </c>
      <c r="K532" s="64">
        <f ca="1">EFEITO!$L$532*EFEITO!$Z$532</f>
        <v>8514.5945414076032</v>
      </c>
      <c r="L532" s="64">
        <f>EFEITO!$N$532*EFEITO!$AA$532</f>
        <v>39389.059012226506</v>
      </c>
      <c r="M532" s="64">
        <f ca="1">$J$532-EFEITO!$K$532*EFEITO!$Y$532</f>
        <v>0</v>
      </c>
      <c r="N532" s="64">
        <f ca="1">$K$532-EFEITO!$M$532*EFEITO!$Z$532</f>
        <v>0</v>
      </c>
      <c r="O532" s="64">
        <f>$L$532-EFEITO!$O$532*EFEITO!$AA$532</f>
        <v>0</v>
      </c>
      <c r="P532" s="19"/>
      <c r="Q532" s="19"/>
      <c r="R532" s="19"/>
      <c r="S532" s="19"/>
      <c r="T532" s="19"/>
      <c r="U532" s="19"/>
      <c r="V532" s="19"/>
      <c r="W532" s="19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55" t="s">
        <v>28</v>
      </c>
      <c r="B533" s="55" t="s">
        <v>41</v>
      </c>
      <c r="C533" s="55" t="s">
        <v>40</v>
      </c>
      <c r="D533" s="55" t="s">
        <v>46</v>
      </c>
      <c r="E533" s="55" t="s">
        <v>25</v>
      </c>
      <c r="F533" s="55" t="s">
        <v>25</v>
      </c>
      <c r="G533" s="55" t="s">
        <v>25</v>
      </c>
      <c r="H533" s="55" t="s">
        <v>34</v>
      </c>
      <c r="I533" s="63">
        <v>44531</v>
      </c>
      <c r="J533" s="64">
        <f ca="1">EFEITO!$J$533*EFEITO!$Y$533</f>
        <v>177385.554750985</v>
      </c>
      <c r="K533" s="64">
        <f ca="1">EFEITO!$L$533*EFEITO!$Z$533</f>
        <v>5324.2401756706904</v>
      </c>
      <c r="L533" s="64">
        <f>EFEITO!$N$533*EFEITO!$AA$533</f>
        <v>24630.275634955884</v>
      </c>
      <c r="M533" s="64">
        <f ca="1">$J$533-EFEITO!$K$533*EFEITO!$Y$533</f>
        <v>0</v>
      </c>
      <c r="N533" s="64">
        <f ca="1">$K$533-EFEITO!$M$533*EFEITO!$Z$533</f>
        <v>0</v>
      </c>
      <c r="O533" s="64">
        <f>$L$533-EFEITO!$O$533*EFEITO!$AA$533</f>
        <v>0</v>
      </c>
      <c r="P533" s="19"/>
      <c r="Q533" s="19"/>
      <c r="R533" s="19"/>
      <c r="S533" s="19"/>
      <c r="T533" s="19"/>
      <c r="U533" s="19"/>
      <c r="V533" s="19"/>
      <c r="W533" s="19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55" t="s">
        <v>21</v>
      </c>
      <c r="B534" s="55" t="s">
        <v>41</v>
      </c>
      <c r="C534" s="55" t="s">
        <v>40</v>
      </c>
      <c r="D534" s="55" t="s">
        <v>46</v>
      </c>
      <c r="E534" s="55" t="s">
        <v>25</v>
      </c>
      <c r="F534" s="55" t="s">
        <v>25</v>
      </c>
      <c r="G534" s="55" t="s">
        <v>25</v>
      </c>
      <c r="H534" s="55" t="s">
        <v>34</v>
      </c>
      <c r="I534" s="63">
        <v>44562</v>
      </c>
      <c r="J534" s="64">
        <f ca="1">EFEITO!$J$534*EFEITO!$Y$534</f>
        <v>152940.19561569026</v>
      </c>
      <c r="K534" s="64">
        <f ca="1">EFEITO!$L$534*EFEITO!$Z$534</f>
        <v>7665.7439400325366</v>
      </c>
      <c r="L534" s="64">
        <f>EFEITO!$N$534*EFEITO!$AA$534</f>
        <v>35462.221830781695</v>
      </c>
      <c r="M534" s="64">
        <f ca="1">$J$534-EFEITO!$K$534*EFEITO!$Y$534</f>
        <v>0</v>
      </c>
      <c r="N534" s="64">
        <f ca="1">$K$534-EFEITO!$M$534*EFEITO!$Z$534</f>
        <v>0</v>
      </c>
      <c r="O534" s="64">
        <f>$L$534-EFEITO!$O$534*EFEITO!$AA$534</f>
        <v>0</v>
      </c>
      <c r="P534" s="19"/>
      <c r="Q534" s="19"/>
      <c r="R534" s="19"/>
      <c r="S534" s="19"/>
      <c r="T534" s="19"/>
      <c r="U534" s="19"/>
      <c r="V534" s="19"/>
      <c r="W534" s="19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55" t="s">
        <v>28</v>
      </c>
      <c r="B535" s="55" t="s">
        <v>41</v>
      </c>
      <c r="C535" s="55" t="s">
        <v>40</v>
      </c>
      <c r="D535" s="55" t="s">
        <v>46</v>
      </c>
      <c r="E535" s="55" t="s">
        <v>25</v>
      </c>
      <c r="F535" s="55" t="s">
        <v>25</v>
      </c>
      <c r="G535" s="55" t="s">
        <v>25</v>
      </c>
      <c r="H535" s="55" t="s">
        <v>34</v>
      </c>
      <c r="I535" s="63">
        <v>44562</v>
      </c>
      <c r="J535" s="64">
        <f ca="1">EFEITO!$J$535*EFEITO!$Y$535</f>
        <v>177385.554750985</v>
      </c>
      <c r="K535" s="64">
        <f ca="1">EFEITO!$L$535*EFEITO!$Z$535</f>
        <v>4325.8672665304757</v>
      </c>
      <c r="L535" s="64">
        <f>EFEITO!$N$535*EFEITO!$AA$535</f>
        <v>20011.738693109783</v>
      </c>
      <c r="M535" s="64">
        <f ca="1">$J$535-EFEITO!$K$535*EFEITO!$Y$535</f>
        <v>0</v>
      </c>
      <c r="N535" s="64">
        <f ca="1">$K$535-EFEITO!$M$535*EFEITO!$Z$535</f>
        <v>0</v>
      </c>
      <c r="O535" s="64">
        <f>$L$535-EFEITO!$O$535*EFEITO!$AA$535</f>
        <v>0</v>
      </c>
      <c r="P535" s="19"/>
      <c r="Q535" s="19"/>
      <c r="R535" s="19"/>
      <c r="S535" s="19"/>
      <c r="T535" s="19"/>
      <c r="U535" s="19"/>
      <c r="V535" s="19"/>
      <c r="W535" s="19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55" t="s">
        <v>21</v>
      </c>
      <c r="B536" s="55" t="s">
        <v>41</v>
      </c>
      <c r="C536" s="55" t="s">
        <v>40</v>
      </c>
      <c r="D536" s="55" t="s">
        <v>46</v>
      </c>
      <c r="E536" s="55" t="s">
        <v>25</v>
      </c>
      <c r="F536" s="55" t="s">
        <v>25</v>
      </c>
      <c r="G536" s="55" t="s">
        <v>25</v>
      </c>
      <c r="H536" s="55" t="s">
        <v>34</v>
      </c>
      <c r="I536" s="63">
        <v>44593</v>
      </c>
      <c r="J536" s="64">
        <f ca="1">EFEITO!$J$536*EFEITO!$Y$536</f>
        <v>177019.91903742289</v>
      </c>
      <c r="K536" s="64">
        <f ca="1">EFEITO!$L$536*EFEITO!$Z$536</f>
        <v>9296.3158566922739</v>
      </c>
      <c r="L536" s="64">
        <f>EFEITO!$N$536*EFEITO!$AA$536</f>
        <v>43005.351822074495</v>
      </c>
      <c r="M536" s="64">
        <f ca="1">$J$536-EFEITO!$K$536*EFEITO!$Y$536</f>
        <v>0</v>
      </c>
      <c r="N536" s="64">
        <f ca="1">$K$536-EFEITO!$M$536*EFEITO!$Z$536</f>
        <v>0</v>
      </c>
      <c r="O536" s="64">
        <f>$L$536-EFEITO!$O$536*EFEITO!$AA$536</f>
        <v>0</v>
      </c>
      <c r="P536" s="19"/>
      <c r="Q536" s="19"/>
      <c r="R536" s="19"/>
      <c r="S536" s="19"/>
      <c r="T536" s="19"/>
      <c r="U536" s="19"/>
      <c r="V536" s="19"/>
      <c r="W536" s="19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55" t="s">
        <v>28</v>
      </c>
      <c r="B537" s="55" t="s">
        <v>41</v>
      </c>
      <c r="C537" s="55" t="s">
        <v>40</v>
      </c>
      <c r="D537" s="55" t="s">
        <v>46</v>
      </c>
      <c r="E537" s="55" t="s">
        <v>25</v>
      </c>
      <c r="F537" s="55" t="s">
        <v>25</v>
      </c>
      <c r="G537" s="55" t="s">
        <v>25</v>
      </c>
      <c r="H537" s="55" t="s">
        <v>34</v>
      </c>
      <c r="I537" s="63">
        <v>44593</v>
      </c>
      <c r="J537" s="64">
        <f ca="1">EFEITO!$J$537*EFEITO!$Y$537</f>
        <v>177385.554750985</v>
      </c>
      <c r="K537" s="64">
        <f ca="1">EFEITO!$L$537*EFEITO!$Z$537</f>
        <v>4748.2677859670221</v>
      </c>
      <c r="L537" s="64">
        <f>EFEITO!$N$537*EFEITO!$AA$537</f>
        <v>21965.790516243422</v>
      </c>
      <c r="M537" s="64">
        <f ca="1">$J$537-EFEITO!$K$537*EFEITO!$Y$537</f>
        <v>0</v>
      </c>
      <c r="N537" s="64">
        <f ca="1">$K$537-EFEITO!$M$537*EFEITO!$Z$537</f>
        <v>0</v>
      </c>
      <c r="O537" s="64">
        <f>$L$537-EFEITO!$O$537*EFEITO!$AA$537</f>
        <v>0</v>
      </c>
      <c r="P537" s="19"/>
      <c r="Q537" s="19"/>
      <c r="R537" s="19"/>
      <c r="S537" s="19"/>
      <c r="T537" s="19"/>
      <c r="U537" s="19"/>
      <c r="V537" s="19"/>
      <c r="W537" s="19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55" t="s">
        <v>21</v>
      </c>
      <c r="B538" s="55" t="s">
        <v>41</v>
      </c>
      <c r="C538" s="55" t="s">
        <v>40</v>
      </c>
      <c r="D538" s="55" t="s">
        <v>46</v>
      </c>
      <c r="E538" s="55" t="s">
        <v>25</v>
      </c>
      <c r="F538" s="55" t="s">
        <v>25</v>
      </c>
      <c r="G538" s="55" t="s">
        <v>25</v>
      </c>
      <c r="H538" s="55" t="s">
        <v>34</v>
      </c>
      <c r="I538" s="63">
        <v>44621</v>
      </c>
      <c r="J538" s="64">
        <f ca="1">EFEITO!$J$538*EFEITO!$Y$538</f>
        <v>154977.30887696482</v>
      </c>
      <c r="K538" s="64">
        <f ca="1">EFEITO!$L$538*EFEITO!$Z$538</f>
        <v>8168.8242047006952</v>
      </c>
      <c r="L538" s="64">
        <f>EFEITO!$N$538*EFEITO!$AA$538</f>
        <v>37789.503316298527</v>
      </c>
      <c r="M538" s="64">
        <f ca="1">$J$538-EFEITO!$K$538*EFEITO!$Y$538</f>
        <v>0</v>
      </c>
      <c r="N538" s="64">
        <f ca="1">$K$538-EFEITO!$M$538*EFEITO!$Z$538</f>
        <v>0</v>
      </c>
      <c r="O538" s="64">
        <f>$L$538-EFEITO!$O$538*EFEITO!$AA$538</f>
        <v>0</v>
      </c>
      <c r="P538" s="19"/>
      <c r="Q538" s="19"/>
      <c r="R538" s="19"/>
      <c r="S538" s="19"/>
      <c r="T538" s="19"/>
      <c r="U538" s="19"/>
      <c r="V538" s="19"/>
      <c r="W538" s="19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55" t="s">
        <v>28</v>
      </c>
      <c r="B539" s="55" t="s">
        <v>41</v>
      </c>
      <c r="C539" s="55" t="s">
        <v>40</v>
      </c>
      <c r="D539" s="55" t="s">
        <v>46</v>
      </c>
      <c r="E539" s="55" t="s">
        <v>25</v>
      </c>
      <c r="F539" s="55" t="s">
        <v>25</v>
      </c>
      <c r="G539" s="55" t="s">
        <v>25</v>
      </c>
      <c r="H539" s="55" t="s">
        <v>34</v>
      </c>
      <c r="I539" s="63">
        <v>44621</v>
      </c>
      <c r="J539" s="64">
        <f ca="1">EFEITO!$J$539*EFEITO!$Y$539</f>
        <v>177385.554750985</v>
      </c>
      <c r="K539" s="64">
        <f ca="1">EFEITO!$L$539*EFEITO!$Z$539</f>
        <v>6741.2755465533237</v>
      </c>
      <c r="L539" s="64">
        <f>EFEITO!$N$539*EFEITO!$AA$539</f>
        <v>31185.571905925597</v>
      </c>
      <c r="M539" s="64">
        <f ca="1">$J$539-EFEITO!$K$539*EFEITO!$Y$539</f>
        <v>0</v>
      </c>
      <c r="N539" s="64">
        <f ca="1">$K$539-EFEITO!$M$539*EFEITO!$Z$539</f>
        <v>0</v>
      </c>
      <c r="O539" s="64">
        <f>$L$539-EFEITO!$O$539*EFEITO!$AA$539</f>
        <v>0</v>
      </c>
      <c r="P539" s="19"/>
      <c r="Q539" s="19"/>
      <c r="R539" s="19"/>
      <c r="S539" s="19"/>
      <c r="T539" s="19"/>
      <c r="U539" s="19"/>
      <c r="V539" s="19"/>
      <c r="W539" s="19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55" t="s">
        <v>21</v>
      </c>
      <c r="B540" s="55" t="s">
        <v>41</v>
      </c>
      <c r="C540" s="55" t="s">
        <v>40</v>
      </c>
      <c r="D540" s="55" t="s">
        <v>46</v>
      </c>
      <c r="E540" s="55" t="s">
        <v>25</v>
      </c>
      <c r="F540" s="55" t="s">
        <v>25</v>
      </c>
      <c r="G540" s="55" t="s">
        <v>25</v>
      </c>
      <c r="H540" s="55" t="s">
        <v>34</v>
      </c>
      <c r="I540" s="63">
        <v>44652</v>
      </c>
      <c r="J540" s="64">
        <f ca="1">EFEITO!$J$540*EFEITO!$Y$540</f>
        <v>155186.24357042887</v>
      </c>
      <c r="K540" s="64">
        <f ca="1">EFEITO!$L$540*EFEITO!$Z$540</f>
        <v>7104.9574097112654</v>
      </c>
      <c r="L540" s="64">
        <f>EFEITO!$N$540*EFEITO!$AA$540</f>
        <v>32867.987468984982</v>
      </c>
      <c r="M540" s="64">
        <f ca="1">$J$540-EFEITO!$K$540*EFEITO!$Y$540</f>
        <v>0</v>
      </c>
      <c r="N540" s="64">
        <f ca="1">$K$540-EFEITO!$M$540*EFEITO!$Z$540</f>
        <v>0</v>
      </c>
      <c r="O540" s="64">
        <f>$L$540-EFEITO!$O$540*EFEITO!$AA$540</f>
        <v>0</v>
      </c>
      <c r="P540" s="19"/>
      <c r="Q540" s="19"/>
      <c r="R540" s="19"/>
      <c r="S540" s="19"/>
      <c r="T540" s="19"/>
      <c r="U540" s="19"/>
      <c r="V540" s="19"/>
      <c r="W540" s="19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55" t="s">
        <v>28</v>
      </c>
      <c r="B541" s="55" t="s">
        <v>41</v>
      </c>
      <c r="C541" s="55" t="s">
        <v>40</v>
      </c>
      <c r="D541" s="55" t="s">
        <v>46</v>
      </c>
      <c r="E541" s="55" t="s">
        <v>25</v>
      </c>
      <c r="F541" s="55" t="s">
        <v>25</v>
      </c>
      <c r="G541" s="55" t="s">
        <v>25</v>
      </c>
      <c r="H541" s="55" t="s">
        <v>34</v>
      </c>
      <c r="I541" s="63">
        <v>44652</v>
      </c>
      <c r="J541" s="64">
        <f ca="1">EFEITO!$J$541*EFEITO!$Y$541</f>
        <v>177542.25577108303</v>
      </c>
      <c r="K541" s="64">
        <f ca="1">EFEITO!$L$541*EFEITO!$Z$541</f>
        <v>6831.5340646261411</v>
      </c>
      <c r="L541" s="64">
        <f>EFEITO!$N$541*EFEITO!$AA$541</f>
        <v>31603.113584209499</v>
      </c>
      <c r="M541" s="64">
        <f ca="1">$J$541-EFEITO!$K$541*EFEITO!$Y$541</f>
        <v>0</v>
      </c>
      <c r="N541" s="64">
        <f ca="1">$K$541-EFEITO!$M$541*EFEITO!$Z$541</f>
        <v>0</v>
      </c>
      <c r="O541" s="64">
        <f>$L$541-EFEITO!$O$541*EFEITO!$AA$541</f>
        <v>0</v>
      </c>
      <c r="P541" s="19"/>
      <c r="Q541" s="19"/>
      <c r="R541" s="19"/>
      <c r="S541" s="19"/>
      <c r="T541" s="19"/>
      <c r="U541" s="19"/>
      <c r="V541" s="19"/>
      <c r="W541" s="19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55" t="s">
        <v>21</v>
      </c>
      <c r="B542" s="55" t="s">
        <v>41</v>
      </c>
      <c r="C542" s="55" t="s">
        <v>40</v>
      </c>
      <c r="D542" s="55" t="s">
        <v>46</v>
      </c>
      <c r="E542" s="55" t="s">
        <v>25</v>
      </c>
      <c r="F542" s="55" t="s">
        <v>25</v>
      </c>
      <c r="G542" s="55" t="s">
        <v>25</v>
      </c>
      <c r="H542" s="55" t="s">
        <v>34</v>
      </c>
      <c r="I542" s="63">
        <v>44682</v>
      </c>
      <c r="J542" s="64">
        <f ca="1">EFEITO!$J$542*EFEITO!$Y$542</f>
        <v>154089.33642974257</v>
      </c>
      <c r="K542" s="64">
        <f ca="1">EFEITO!$L$542*EFEITO!$Z$542</f>
        <v>8150.9126782496623</v>
      </c>
      <c r="L542" s="64">
        <f>EFEITO!$N$542*EFEITO!$AA$542</f>
        <v>37706.643449167124</v>
      </c>
      <c r="M542" s="64">
        <f ca="1">$J$542-EFEITO!$K$542*EFEITO!$Y$542</f>
        <v>0</v>
      </c>
      <c r="N542" s="64">
        <f ca="1">$K$542-EFEITO!$M$542*EFEITO!$Z$542</f>
        <v>0</v>
      </c>
      <c r="O542" s="64">
        <f>$L$542-EFEITO!$O$542*EFEITO!$AA$542</f>
        <v>0</v>
      </c>
      <c r="P542" s="19"/>
      <c r="Q542" s="19"/>
      <c r="R542" s="19"/>
      <c r="S542" s="19"/>
      <c r="T542" s="19"/>
      <c r="U542" s="19"/>
      <c r="V542" s="19"/>
      <c r="W542" s="19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55" t="s">
        <v>28</v>
      </c>
      <c r="B543" s="55" t="s">
        <v>41</v>
      </c>
      <c r="C543" s="55" t="s">
        <v>40</v>
      </c>
      <c r="D543" s="55" t="s">
        <v>46</v>
      </c>
      <c r="E543" s="55" t="s">
        <v>25</v>
      </c>
      <c r="F543" s="55" t="s">
        <v>25</v>
      </c>
      <c r="G543" s="55" t="s">
        <v>25</v>
      </c>
      <c r="H543" s="55" t="s">
        <v>34</v>
      </c>
      <c r="I543" s="63">
        <v>44682</v>
      </c>
      <c r="J543" s="64">
        <f ca="1">EFEITO!$J$543*EFEITO!$Y$543</f>
        <v>177542.25577108303</v>
      </c>
      <c r="K543" s="64">
        <f ca="1">EFEITO!$L$543*EFEITO!$Z$543</f>
        <v>7881.6167718684701</v>
      </c>
      <c r="L543" s="64">
        <f>EFEITO!$N$543*EFEITO!$AA$543</f>
        <v>36460.863359861047</v>
      </c>
      <c r="M543" s="64">
        <f ca="1">$J$543-EFEITO!$K$543*EFEITO!$Y$543</f>
        <v>0</v>
      </c>
      <c r="N543" s="64">
        <f ca="1">$K$543-EFEITO!$M$543*EFEITO!$Z$543</f>
        <v>0</v>
      </c>
      <c r="O543" s="64">
        <f>$L$543-EFEITO!$O$543*EFEITO!$AA$543</f>
        <v>0</v>
      </c>
      <c r="P543" s="19"/>
      <c r="Q543" s="19"/>
      <c r="R543" s="19"/>
      <c r="S543" s="19"/>
      <c r="T543" s="19"/>
      <c r="U543" s="19"/>
      <c r="V543" s="19"/>
      <c r="W543" s="19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55" t="s">
        <v>21</v>
      </c>
      <c r="B544" s="55" t="s">
        <v>41</v>
      </c>
      <c r="C544" s="55" t="s">
        <v>40</v>
      </c>
      <c r="D544" s="55" t="s">
        <v>46</v>
      </c>
      <c r="E544" s="55" t="s">
        <v>25</v>
      </c>
      <c r="F544" s="55" t="s">
        <v>25</v>
      </c>
      <c r="G544" s="55" t="s">
        <v>25</v>
      </c>
      <c r="H544" s="55" t="s">
        <v>34</v>
      </c>
      <c r="I544" s="63">
        <v>44713</v>
      </c>
      <c r="J544" s="64">
        <f ca="1">EFEITO!$J$544*EFEITO!$Y$544</f>
        <v>150380.74562075554</v>
      </c>
      <c r="K544" s="64">
        <f ca="1">EFEITO!$L$544*EFEITO!$Z$544</f>
        <v>6915.484610340116</v>
      </c>
      <c r="L544" s="64">
        <f>EFEITO!$N$544*EFEITO!$AA$544</f>
        <v>31991.474178851477</v>
      </c>
      <c r="M544" s="64">
        <f ca="1">$J$544-EFEITO!$K$544*EFEITO!$Y$544</f>
        <v>0</v>
      </c>
      <c r="N544" s="64">
        <f ca="1">$K$544-EFEITO!$M$544*EFEITO!$Z$544</f>
        <v>0</v>
      </c>
      <c r="O544" s="64">
        <f>$L$544-EFEITO!$O$544*EFEITO!$AA$544</f>
        <v>0</v>
      </c>
      <c r="P544" s="19"/>
      <c r="Q544" s="19"/>
      <c r="R544" s="19"/>
      <c r="S544" s="19"/>
      <c r="T544" s="19"/>
      <c r="U544" s="19"/>
      <c r="V544" s="19"/>
      <c r="W544" s="19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55" t="s">
        <v>28</v>
      </c>
      <c r="B545" s="55" t="s">
        <v>41</v>
      </c>
      <c r="C545" s="55" t="s">
        <v>40</v>
      </c>
      <c r="D545" s="55" t="s">
        <v>46</v>
      </c>
      <c r="E545" s="55" t="s">
        <v>25</v>
      </c>
      <c r="F545" s="55" t="s">
        <v>25</v>
      </c>
      <c r="G545" s="55" t="s">
        <v>25</v>
      </c>
      <c r="H545" s="55" t="s">
        <v>34</v>
      </c>
      <c r="I545" s="63">
        <v>44713</v>
      </c>
      <c r="J545" s="64">
        <f ca="1">EFEITO!$J$545*EFEITO!$Y$545</f>
        <v>177385.554750985</v>
      </c>
      <c r="K545" s="64">
        <f ca="1">EFEITO!$L$545*EFEITO!$Z$545</f>
        <v>6233.5227097675051</v>
      </c>
      <c r="L545" s="64">
        <f>EFEITO!$N$545*EFEITO!$AA$545</f>
        <v>28836.674802896221</v>
      </c>
      <c r="M545" s="64">
        <f ca="1">$J$545-EFEITO!$K$545*EFEITO!$Y$545</f>
        <v>0</v>
      </c>
      <c r="N545" s="64">
        <f ca="1">$K$545-EFEITO!$M$545*EFEITO!$Z$545</f>
        <v>0</v>
      </c>
      <c r="O545" s="64">
        <f>$L$545-EFEITO!$O$545*EFEITO!$AA$545</f>
        <v>0</v>
      </c>
      <c r="P545" s="19"/>
      <c r="Q545" s="19"/>
      <c r="R545" s="19"/>
      <c r="S545" s="19"/>
      <c r="T545" s="19"/>
      <c r="U545" s="19"/>
      <c r="V545" s="19"/>
      <c r="W545" s="19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55" t="s">
        <v>57</v>
      </c>
      <c r="B546" s="55" t="s">
        <v>41</v>
      </c>
      <c r="C546" s="55" t="s">
        <v>40</v>
      </c>
      <c r="D546" s="55" t="s">
        <v>46</v>
      </c>
      <c r="E546" s="55" t="s">
        <v>25</v>
      </c>
      <c r="F546" s="55" t="s">
        <v>25</v>
      </c>
      <c r="G546" s="55" t="s">
        <v>25</v>
      </c>
      <c r="H546" s="55" t="s">
        <v>34</v>
      </c>
      <c r="I546" s="63">
        <v>44743</v>
      </c>
      <c r="J546" s="64">
        <f ca="1">EFEITO!$J$546*EFEITO!$Y$546</f>
        <v>150380.74562075554</v>
      </c>
      <c r="K546" s="64">
        <f ca="1">EFEITO!$L$546*EFEITO!$Z$546</f>
        <v>6915.484610340116</v>
      </c>
      <c r="L546" s="64">
        <f>EFEITO!$N$546*EFEITO!$AA$546</f>
        <v>31991.474178851477</v>
      </c>
      <c r="M546" s="64">
        <f ca="1">$J$546-EFEITO!$K$546*EFEITO!$Y$546</f>
        <v>0</v>
      </c>
      <c r="N546" s="64">
        <f ca="1">$K$546-EFEITO!$M$546*EFEITO!$Z$546</f>
        <v>0</v>
      </c>
      <c r="O546" s="64">
        <f>$L$546-EFEITO!$O$546*EFEITO!$AA$546</f>
        <v>0</v>
      </c>
      <c r="P546" s="19"/>
      <c r="Q546" s="19"/>
      <c r="R546" s="19"/>
      <c r="S546" s="19"/>
      <c r="T546" s="19"/>
      <c r="U546" s="19"/>
      <c r="V546" s="19"/>
      <c r="W546" s="19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55" t="s">
        <v>57</v>
      </c>
      <c r="B547" s="55" t="s">
        <v>41</v>
      </c>
      <c r="C547" s="55" t="s">
        <v>40</v>
      </c>
      <c r="D547" s="55" t="s">
        <v>46</v>
      </c>
      <c r="E547" s="55" t="s">
        <v>25</v>
      </c>
      <c r="F547" s="55" t="s">
        <v>25</v>
      </c>
      <c r="G547" s="55" t="s">
        <v>25</v>
      </c>
      <c r="H547" s="55" t="s">
        <v>34</v>
      </c>
      <c r="I547" s="63">
        <v>44743</v>
      </c>
      <c r="J547" s="64">
        <f ca="1">EFEITO!$J$547*EFEITO!$Y$547</f>
        <v>177385.554750985</v>
      </c>
      <c r="K547" s="64">
        <f ca="1">EFEITO!$L$547*EFEITO!$Z$547</f>
        <v>6233.5227097675051</v>
      </c>
      <c r="L547" s="64">
        <f>EFEITO!$N$547*EFEITO!$AA$547</f>
        <v>28836.674802896221</v>
      </c>
      <c r="M547" s="64">
        <f ca="1">$J$547-EFEITO!$K$547*EFEITO!$Y$547</f>
        <v>0</v>
      </c>
      <c r="N547" s="64">
        <f ca="1">$K$547-EFEITO!$M$547*EFEITO!$Z$547</f>
        <v>0</v>
      </c>
      <c r="O547" s="64">
        <f>$L$547-EFEITO!$O$547*EFEITO!$AA$547</f>
        <v>0</v>
      </c>
      <c r="P547" s="19"/>
      <c r="Q547" s="19"/>
      <c r="R547" s="19"/>
      <c r="S547" s="19"/>
      <c r="T547" s="19"/>
      <c r="U547" s="19"/>
      <c r="V547" s="19"/>
      <c r="W547" s="19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55" t="s">
        <v>21</v>
      </c>
      <c r="B548" s="55" t="s">
        <v>41</v>
      </c>
      <c r="C548" s="55" t="s">
        <v>40</v>
      </c>
      <c r="D548" s="55" t="s">
        <v>50</v>
      </c>
      <c r="E548" s="55" t="s">
        <v>51</v>
      </c>
      <c r="F548" s="55" t="s">
        <v>25</v>
      </c>
      <c r="G548" s="55" t="s">
        <v>25</v>
      </c>
      <c r="H548" s="55" t="s">
        <v>35</v>
      </c>
      <c r="I548" s="63">
        <v>44409</v>
      </c>
      <c r="J548" s="64">
        <f ca="1">EFEITO!$J$548*EFEITO!$Y$522</f>
        <v>416120.12119337736</v>
      </c>
      <c r="K548" s="64">
        <f ca="1">EFEITO!$L$548*EFEITO!$Z$522</f>
        <v>524653.45225919702</v>
      </c>
      <c r="L548" s="64">
        <f>EFEITO!$N$548*EFEITO!$AA$522</f>
        <v>1561388.8634713616</v>
      </c>
      <c r="M548" s="64">
        <f ca="1">$J$548-EFEITO!$K$548*EFEITO!$Y$548</f>
        <v>12483.603635801352</v>
      </c>
      <c r="N548" s="64">
        <f ca="1">$K$548-EFEITO!$M$548*EFEITO!$Z$548</f>
        <v>15739.603567775863</v>
      </c>
      <c r="O548" s="64">
        <f>$L$548-EFEITO!$O$548*EFEITO!$AA$548</f>
        <v>46841.665904141031</v>
      </c>
      <c r="P548" s="19"/>
      <c r="Q548" s="19"/>
      <c r="R548" s="19"/>
      <c r="S548" s="19"/>
      <c r="T548" s="19"/>
      <c r="U548" s="19"/>
      <c r="V548" s="19"/>
      <c r="W548" s="19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55" t="s">
        <v>21</v>
      </c>
      <c r="B549" s="55" t="s">
        <v>41</v>
      </c>
      <c r="C549" s="55" t="s">
        <v>40</v>
      </c>
      <c r="D549" s="55" t="s">
        <v>50</v>
      </c>
      <c r="E549" s="55" t="s">
        <v>51</v>
      </c>
      <c r="F549" s="55" t="s">
        <v>25</v>
      </c>
      <c r="G549" s="55" t="s">
        <v>25</v>
      </c>
      <c r="H549" s="55" t="s">
        <v>35</v>
      </c>
      <c r="I549" s="63">
        <v>44440</v>
      </c>
      <c r="J549" s="64">
        <f ca="1">EFEITO!$J$549*EFEITO!$Y$522</f>
        <v>420850.55076359387</v>
      </c>
      <c r="K549" s="64">
        <f ca="1">EFEITO!$L$549*EFEITO!$Z$522</f>
        <v>525341.09912251285</v>
      </c>
      <c r="L549" s="64">
        <f>EFEITO!$N$549*EFEITO!$AA$522</f>
        <v>1563435.3269983979</v>
      </c>
      <c r="M549" s="64">
        <f ca="1">$J$549-EFEITO!$K$549*EFEITO!$Y$549</f>
        <v>12625.516522907885</v>
      </c>
      <c r="N549" s="64">
        <f ca="1">$K$549-EFEITO!$M$549*EFEITO!$Z$549</f>
        <v>15760.232973675418</v>
      </c>
      <c r="O549" s="64">
        <f>$L$549-EFEITO!$O$549*EFEITO!$AA$549</f>
        <v>46903.05980995181</v>
      </c>
      <c r="P549" s="19"/>
      <c r="Q549" s="19"/>
      <c r="R549" s="19"/>
      <c r="S549" s="19"/>
      <c r="T549" s="19"/>
      <c r="U549" s="19"/>
      <c r="V549" s="19"/>
      <c r="W549" s="19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55" t="s">
        <v>21</v>
      </c>
      <c r="B550" s="55" t="s">
        <v>41</v>
      </c>
      <c r="C550" s="55" t="s">
        <v>40</v>
      </c>
      <c r="D550" s="55" t="s">
        <v>50</v>
      </c>
      <c r="E550" s="55" t="s">
        <v>51</v>
      </c>
      <c r="F550" s="55" t="s">
        <v>25</v>
      </c>
      <c r="G550" s="55" t="s">
        <v>25</v>
      </c>
      <c r="H550" s="55" t="s">
        <v>35</v>
      </c>
      <c r="I550" s="63">
        <v>44470</v>
      </c>
      <c r="J550" s="64">
        <f ca="1">EFEITO!$J$550*EFEITO!$Y$522</f>
        <v>423058.08456302818</v>
      </c>
      <c r="K550" s="64">
        <f ca="1">EFEITO!$L$550*EFEITO!$Z$522</f>
        <v>565403.26520212577</v>
      </c>
      <c r="L550" s="64">
        <f>EFEITO!$N$550*EFEITO!$AA$522</f>
        <v>1682661.8749109134</v>
      </c>
      <c r="M550" s="64">
        <f ca="1">$J$550-EFEITO!$K$550*EFEITO!$Y$550</f>
        <v>12691.742536890844</v>
      </c>
      <c r="N550" s="64">
        <f ca="1">$K$550-EFEITO!$M$550*EFEITO!$Z$550</f>
        <v>16962.097956063808</v>
      </c>
      <c r="O550" s="64">
        <f>$L$550-EFEITO!$O$550*EFEITO!$AA$550</f>
        <v>50479.85624732729</v>
      </c>
      <c r="P550" s="19"/>
      <c r="Q550" s="19"/>
      <c r="R550" s="19"/>
      <c r="S550" s="19"/>
      <c r="T550" s="19"/>
      <c r="U550" s="19"/>
      <c r="V550" s="19"/>
      <c r="W550" s="19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55" t="s">
        <v>21</v>
      </c>
      <c r="B551" s="55" t="s">
        <v>41</v>
      </c>
      <c r="C551" s="55" t="s">
        <v>40</v>
      </c>
      <c r="D551" s="55" t="s">
        <v>50</v>
      </c>
      <c r="E551" s="55" t="s">
        <v>51</v>
      </c>
      <c r="F551" s="55" t="s">
        <v>25</v>
      </c>
      <c r="G551" s="55" t="s">
        <v>25</v>
      </c>
      <c r="H551" s="55" t="s">
        <v>35</v>
      </c>
      <c r="I551" s="63">
        <v>44501</v>
      </c>
      <c r="J551" s="64">
        <f ca="1">EFEITO!$J$551*EFEITO!$Y$522</f>
        <v>422532.48127744859</v>
      </c>
      <c r="K551" s="64">
        <f ca="1">EFEITO!$L$551*EFEITO!$Z$522</f>
        <v>552380.88458640676</v>
      </c>
      <c r="L551" s="64">
        <f>EFEITO!$N$551*EFEITO!$AA$522</f>
        <v>1643906.7690754069</v>
      </c>
      <c r="M551" s="64">
        <f ca="1">$J$551-EFEITO!$K$551*EFEITO!$Y$551</f>
        <v>12675.974438323465</v>
      </c>
      <c r="N551" s="64">
        <f ca="1">$K$551-EFEITO!$M$551*EFEITO!$Z$551</f>
        <v>16571.426537592197</v>
      </c>
      <c r="O551" s="64">
        <f>$L$551-EFEITO!$O$551*EFEITO!$AA$551</f>
        <v>49317.203072262229</v>
      </c>
      <c r="P551" s="19"/>
      <c r="Q551" s="19"/>
      <c r="R551" s="19"/>
      <c r="S551" s="19"/>
      <c r="T551" s="19"/>
      <c r="U551" s="19"/>
      <c r="V551" s="19"/>
      <c r="W551" s="19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55" t="s">
        <v>21</v>
      </c>
      <c r="B552" s="55" t="s">
        <v>41</v>
      </c>
      <c r="C552" s="55" t="s">
        <v>40</v>
      </c>
      <c r="D552" s="55" t="s">
        <v>50</v>
      </c>
      <c r="E552" s="55" t="s">
        <v>51</v>
      </c>
      <c r="F552" s="55" t="s">
        <v>25</v>
      </c>
      <c r="G552" s="55" t="s">
        <v>25</v>
      </c>
      <c r="H552" s="55" t="s">
        <v>35</v>
      </c>
      <c r="I552" s="63">
        <v>44531</v>
      </c>
      <c r="J552" s="64">
        <f ca="1">EFEITO!$J$552*EFEITO!$Y$522</f>
        <v>423951.61014851352</v>
      </c>
      <c r="K552" s="64">
        <f ca="1">EFEITO!$L$552*EFEITO!$Z$522</f>
        <v>559044.75118821079</v>
      </c>
      <c r="L552" s="64">
        <f>EFEITO!$N$552*EFEITO!$AA$522</f>
        <v>1663738.69251918</v>
      </c>
      <c r="M552" s="64">
        <f ca="1">$J$552-EFEITO!$K$552*EFEITO!$Y$552</f>
        <v>12718.548304455413</v>
      </c>
      <c r="N552" s="64">
        <f ca="1">$K$552-EFEITO!$M$552*EFEITO!$Z$552</f>
        <v>16771.342535646283</v>
      </c>
      <c r="O552" s="64">
        <f>$L$552-EFEITO!$O$552*EFEITO!$AA$552</f>
        <v>49912.160775575554</v>
      </c>
      <c r="P552" s="19"/>
      <c r="Q552" s="19"/>
      <c r="R552" s="19"/>
      <c r="S552" s="19"/>
      <c r="T552" s="19"/>
      <c r="U552" s="19"/>
      <c r="V552" s="19"/>
      <c r="W552" s="19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55" t="s">
        <v>21</v>
      </c>
      <c r="B553" s="55" t="s">
        <v>41</v>
      </c>
      <c r="C553" s="55" t="s">
        <v>40</v>
      </c>
      <c r="D553" s="55" t="s">
        <v>50</v>
      </c>
      <c r="E553" s="55" t="s">
        <v>51</v>
      </c>
      <c r="F553" s="55" t="s">
        <v>25</v>
      </c>
      <c r="G553" s="55" t="s">
        <v>25</v>
      </c>
      <c r="H553" s="55" t="s">
        <v>35</v>
      </c>
      <c r="I553" s="63">
        <v>44562</v>
      </c>
      <c r="J553" s="64">
        <f ca="1">EFEITO!$J$553*EFEITO!$Y$522</f>
        <v>422926.68374163331</v>
      </c>
      <c r="K553" s="64">
        <f ca="1">EFEITO!$L$553*EFEITO!$Z$522</f>
        <v>562074.21332069626</v>
      </c>
      <c r="L553" s="64">
        <f>EFEITO!$N$553*EFEITO!$AA$522</f>
        <v>1672754.4884042591</v>
      </c>
      <c r="M553" s="64">
        <f ca="1">$J$553-EFEITO!$K$553*EFEITO!$Y$553</f>
        <v>12687.800512249058</v>
      </c>
      <c r="N553" s="64">
        <f ca="1">$K$553-EFEITO!$M$553*EFEITO!$Z$553</f>
        <v>16862.226399620879</v>
      </c>
      <c r="O553" s="64">
        <f>$L$553-EFEITO!$O$553*EFEITO!$AA$553</f>
        <v>50182.634652127977</v>
      </c>
      <c r="P553" s="19"/>
      <c r="Q553" s="19"/>
      <c r="R553" s="19"/>
      <c r="S553" s="19"/>
      <c r="T553" s="19"/>
      <c r="U553" s="19"/>
      <c r="V553" s="19"/>
      <c r="W553" s="19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55" t="s">
        <v>21</v>
      </c>
      <c r="B554" s="55" t="s">
        <v>41</v>
      </c>
      <c r="C554" s="55" t="s">
        <v>40</v>
      </c>
      <c r="D554" s="55" t="s">
        <v>50</v>
      </c>
      <c r="E554" s="55" t="s">
        <v>51</v>
      </c>
      <c r="F554" s="55" t="s">
        <v>25</v>
      </c>
      <c r="G554" s="55" t="s">
        <v>25</v>
      </c>
      <c r="H554" s="55" t="s">
        <v>35</v>
      </c>
      <c r="I554" s="63">
        <v>44593</v>
      </c>
      <c r="J554" s="64">
        <f ca="1">EFEITO!$J$554*EFEITO!$Y$522</f>
        <v>422322.23996321677</v>
      </c>
      <c r="K554" s="64">
        <f ca="1">EFEITO!$L$554*EFEITO!$Z$522</f>
        <v>516152.01879592083</v>
      </c>
      <c r="L554" s="64">
        <f>EFEITO!$N$554*EFEITO!$AA$522</f>
        <v>1536088.2703351814</v>
      </c>
      <c r="M554" s="64">
        <f ca="1">$J$554-EFEITO!$K$554*EFEITO!$Y$554</f>
        <v>12669.667198896524</v>
      </c>
      <c r="N554" s="64">
        <f ca="1">$K$554-EFEITO!$M$554*EFEITO!$Z$554</f>
        <v>15484.560563877574</v>
      </c>
      <c r="O554" s="64">
        <f>$L$554-EFEITO!$O$554*EFEITO!$AA$554</f>
        <v>46082.648110055365</v>
      </c>
      <c r="P554" s="19"/>
      <c r="Q554" s="19"/>
      <c r="R554" s="19"/>
      <c r="S554" s="19"/>
      <c r="T554" s="19"/>
      <c r="U554" s="19"/>
      <c r="V554" s="19"/>
      <c r="W554" s="19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55" t="s">
        <v>21</v>
      </c>
      <c r="B555" s="55" t="s">
        <v>41</v>
      </c>
      <c r="C555" s="55" t="s">
        <v>40</v>
      </c>
      <c r="D555" s="55" t="s">
        <v>50</v>
      </c>
      <c r="E555" s="55" t="s">
        <v>51</v>
      </c>
      <c r="F555" s="55" t="s">
        <v>25</v>
      </c>
      <c r="G555" s="55" t="s">
        <v>25</v>
      </c>
      <c r="H555" s="55" t="s">
        <v>35</v>
      </c>
      <c r="I555" s="63">
        <v>44621</v>
      </c>
      <c r="J555" s="64">
        <f ca="1">EFEITO!$J$555*EFEITO!$Y$522</f>
        <v>425318.17869102053</v>
      </c>
      <c r="K555" s="64">
        <f ca="1">EFEITO!$L$555*EFEITO!$Z$522</f>
        <v>558811.9013443474</v>
      </c>
      <c r="L555" s="64">
        <f>EFEITO!$N$555*EFEITO!$AA$522</f>
        <v>1663045.7224233884</v>
      </c>
      <c r="M555" s="64">
        <f ca="1">$J$555-EFEITO!$K$555*EFEITO!$Y$555</f>
        <v>12759.545360730612</v>
      </c>
      <c r="N555" s="64">
        <f ca="1">$K$555-EFEITO!$M$555*EFEITO!$Z$555</f>
        <v>16764.357040330418</v>
      </c>
      <c r="O555" s="64">
        <f>$L$555-EFEITO!$O$555*EFEITO!$AA$555</f>
        <v>49891.371672701556</v>
      </c>
      <c r="P555" s="19"/>
      <c r="Q555" s="19"/>
      <c r="R555" s="19"/>
      <c r="S555" s="19"/>
      <c r="T555" s="19"/>
      <c r="U555" s="19"/>
      <c r="V555" s="19"/>
      <c r="W555" s="19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55" t="s">
        <v>21</v>
      </c>
      <c r="B556" s="55" t="s">
        <v>41</v>
      </c>
      <c r="C556" s="55" t="s">
        <v>40</v>
      </c>
      <c r="D556" s="55" t="s">
        <v>50</v>
      </c>
      <c r="E556" s="55" t="s">
        <v>51</v>
      </c>
      <c r="F556" s="55" t="s">
        <v>25</v>
      </c>
      <c r="G556" s="55" t="s">
        <v>25</v>
      </c>
      <c r="H556" s="55" t="s">
        <v>35</v>
      </c>
      <c r="I556" s="63">
        <v>44652</v>
      </c>
      <c r="J556" s="64">
        <f ca="1">EFEITO!$J$556*EFEITO!$Y$522</f>
        <v>423136.92505586514</v>
      </c>
      <c r="K556" s="64">
        <f ca="1">EFEITO!$L$556*EFEITO!$Z$522</f>
        <v>541709.74226029473</v>
      </c>
      <c r="L556" s="64">
        <f>EFEITO!$N$556*EFEITO!$AA$522</f>
        <v>1612149.0388693782</v>
      </c>
      <c r="M556" s="64">
        <f ca="1">$J$556-EFEITO!$K$556*EFEITO!$Y$556</f>
        <v>12694.107751675998</v>
      </c>
      <c r="N556" s="64">
        <f ca="1">$K$556-EFEITO!$M$556*EFEITO!$Z$556</f>
        <v>16251.292267808807</v>
      </c>
      <c r="O556" s="64">
        <f>$L$556-EFEITO!$O$556*EFEITO!$AA$556</f>
        <v>48364.471166081261</v>
      </c>
      <c r="P556" s="19"/>
      <c r="Q556" s="19"/>
      <c r="R556" s="19"/>
      <c r="S556" s="19"/>
      <c r="T556" s="19"/>
      <c r="U556" s="19"/>
      <c r="V556" s="19"/>
      <c r="W556" s="19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55" t="s">
        <v>21</v>
      </c>
      <c r="B557" s="55" t="s">
        <v>41</v>
      </c>
      <c r="C557" s="55" t="s">
        <v>40</v>
      </c>
      <c r="D557" s="55" t="s">
        <v>50</v>
      </c>
      <c r="E557" s="55" t="s">
        <v>51</v>
      </c>
      <c r="F557" s="55" t="s">
        <v>25</v>
      </c>
      <c r="G557" s="55" t="s">
        <v>25</v>
      </c>
      <c r="H557" s="55" t="s">
        <v>35</v>
      </c>
      <c r="I557" s="63">
        <v>44682</v>
      </c>
      <c r="J557" s="64">
        <f ca="1">EFEITO!$J$557*EFEITO!$Y$522</f>
        <v>423767.64899856067</v>
      </c>
      <c r="K557" s="64">
        <f ca="1">EFEITO!$L$557*EFEITO!$Z$522</f>
        <v>543111.43601939094</v>
      </c>
      <c r="L557" s="64">
        <f>EFEITO!$N$557*EFEITO!$AA$522</f>
        <v>1616320.533435984</v>
      </c>
      <c r="M557" s="64">
        <f ca="1">$J$557-EFEITO!$K$557*EFEITO!$Y$557</f>
        <v>12713.029469956819</v>
      </c>
      <c r="N557" s="64">
        <f ca="1">$K$557-EFEITO!$M$557*EFEITO!$Z$557</f>
        <v>16293.343080581632</v>
      </c>
      <c r="O557" s="64">
        <f>$L$557-EFEITO!$O$557*EFEITO!$AA$557</f>
        <v>48489.616003079573</v>
      </c>
      <c r="P557" s="19"/>
      <c r="Q557" s="19"/>
      <c r="R557" s="19"/>
      <c r="S557" s="19"/>
      <c r="T557" s="19"/>
      <c r="U557" s="19"/>
      <c r="V557" s="19"/>
      <c r="W557" s="19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55" t="s">
        <v>21</v>
      </c>
      <c r="B558" s="55" t="s">
        <v>41</v>
      </c>
      <c r="C558" s="55" t="s">
        <v>40</v>
      </c>
      <c r="D558" s="55" t="s">
        <v>50</v>
      </c>
      <c r="E558" s="55" t="s">
        <v>51</v>
      </c>
      <c r="F558" s="55" t="s">
        <v>25</v>
      </c>
      <c r="G558" s="55" t="s">
        <v>25</v>
      </c>
      <c r="H558" s="55" t="s">
        <v>35</v>
      </c>
      <c r="I558" s="63">
        <v>44713</v>
      </c>
      <c r="J558" s="64">
        <f ca="1">EFEITO!$J$558*EFEITO!$Y$522</f>
        <v>422742.72259168042</v>
      </c>
      <c r="K558" s="64">
        <f ca="1">EFEITO!$L$558*EFEITO!$Z$522</f>
        <v>514171.08184663852</v>
      </c>
      <c r="L558" s="64">
        <f>EFEITO!$N$558*EFEITO!$AA$522</f>
        <v>1530192.9257443289</v>
      </c>
      <c r="M558" s="64">
        <f ca="1">$J$558-EFEITO!$K$558*EFEITO!$Y$558</f>
        <v>12682.281677750405</v>
      </c>
      <c r="N558" s="64">
        <f ca="1">$K$558-EFEITO!$M$558*EFEITO!$Z$558</f>
        <v>15425.132455399144</v>
      </c>
      <c r="O558" s="64">
        <f>$L$558-EFEITO!$O$558*EFEITO!$AA$558</f>
        <v>45905.78777232999</v>
      </c>
      <c r="P558" s="19"/>
      <c r="Q558" s="19"/>
      <c r="R558" s="19"/>
      <c r="S558" s="19"/>
      <c r="T558" s="19"/>
      <c r="U558" s="19"/>
      <c r="V558" s="19"/>
      <c r="W558" s="19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55" t="s">
        <v>57</v>
      </c>
      <c r="B559" s="55" t="s">
        <v>41</v>
      </c>
      <c r="C559" s="55" t="s">
        <v>40</v>
      </c>
      <c r="D559" s="55" t="s">
        <v>50</v>
      </c>
      <c r="E559" s="55" t="s">
        <v>51</v>
      </c>
      <c r="F559" s="55" t="s">
        <v>25</v>
      </c>
      <c r="G559" s="55" t="s">
        <v>25</v>
      </c>
      <c r="H559" s="55" t="s">
        <v>35</v>
      </c>
      <c r="I559" s="63">
        <v>44743</v>
      </c>
      <c r="J559" s="64">
        <f ca="1">EFEITO!$J$559*EFEITO!$Y$522</f>
        <v>422742.72259168042</v>
      </c>
      <c r="K559" s="64">
        <f ca="1">EFEITO!$L$559*EFEITO!$Z$522</f>
        <v>514171.08184663852</v>
      </c>
      <c r="L559" s="64">
        <f>EFEITO!$N$559*EFEITO!$AA$522</f>
        <v>1530192.9257443289</v>
      </c>
      <c r="M559" s="64">
        <f ca="1">$J$559-EFEITO!$K$559*EFEITO!$Y$559</f>
        <v>12682.281677750405</v>
      </c>
      <c r="N559" s="64">
        <f ca="1">$K$559-EFEITO!$M$559*EFEITO!$Z$559</f>
        <v>15425.132455399144</v>
      </c>
      <c r="O559" s="64">
        <f>$L$559-EFEITO!$O$559*EFEITO!$AA$559</f>
        <v>45905.78777232999</v>
      </c>
      <c r="P559" s="19"/>
      <c r="Q559" s="19"/>
      <c r="R559" s="19"/>
      <c r="S559" s="19"/>
      <c r="T559" s="19"/>
      <c r="U559" s="19"/>
      <c r="V559" s="19"/>
      <c r="W559" s="19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55" t="s">
        <v>21</v>
      </c>
      <c r="B560" s="55" t="s">
        <v>41</v>
      </c>
      <c r="C560" s="55" t="s">
        <v>40</v>
      </c>
      <c r="D560" s="55" t="s">
        <v>50</v>
      </c>
      <c r="E560" s="55" t="s">
        <v>51</v>
      </c>
      <c r="F560" s="55" t="s">
        <v>25</v>
      </c>
      <c r="G560" s="55" t="s">
        <v>25</v>
      </c>
      <c r="H560" s="55" t="s">
        <v>34</v>
      </c>
      <c r="I560" s="63">
        <v>44409</v>
      </c>
      <c r="J560" s="64">
        <f ca="1">EFEITO!$J$560*EFEITO!$Y$547</f>
        <v>810823.31166064204</v>
      </c>
      <c r="K560" s="64">
        <f ca="1">EFEITO!$L$560*EFEITO!$Z$547</f>
        <v>53867.046772636211</v>
      </c>
      <c r="L560" s="64">
        <f>EFEITO!$N$560*EFEITO!$AA$547</f>
        <v>249192.40415069362</v>
      </c>
      <c r="M560" s="64">
        <f ca="1">$J$560-EFEITO!$K$560*EFEITO!$Y$560</f>
        <v>24324.699349819333</v>
      </c>
      <c r="N560" s="64">
        <f ca="1">$K$560-EFEITO!$M$560*EFEITO!$Z$560</f>
        <v>1616.0114031790799</v>
      </c>
      <c r="O560" s="64">
        <f>$L$560-EFEITO!$O$560*EFEITO!$AA$560</f>
        <v>7475.7721245208231</v>
      </c>
      <c r="P560" s="19"/>
      <c r="Q560" s="19"/>
      <c r="R560" s="19"/>
      <c r="S560" s="19"/>
      <c r="T560" s="19"/>
      <c r="U560" s="19"/>
      <c r="V560" s="19"/>
      <c r="W560" s="19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55" t="s">
        <v>21</v>
      </c>
      <c r="B561" s="55" t="s">
        <v>41</v>
      </c>
      <c r="C561" s="55" t="s">
        <v>40</v>
      </c>
      <c r="D561" s="55" t="s">
        <v>50</v>
      </c>
      <c r="E561" s="55" t="s">
        <v>51</v>
      </c>
      <c r="F561" s="55" t="s">
        <v>25</v>
      </c>
      <c r="G561" s="55" t="s">
        <v>25</v>
      </c>
      <c r="H561" s="55" t="s">
        <v>34</v>
      </c>
      <c r="I561" s="63">
        <v>44440</v>
      </c>
      <c r="J561" s="64">
        <f ca="1">EFEITO!$J$561*EFEITO!$Y$547</f>
        <v>816464.54838417156</v>
      </c>
      <c r="K561" s="64">
        <f ca="1">EFEITO!$L$561*EFEITO!$Z$547</f>
        <v>52559.661094114686</v>
      </c>
      <c r="L561" s="64">
        <f>EFEITO!$N$561*EFEITO!$AA$547</f>
        <v>243144.35437068486</v>
      </c>
      <c r="M561" s="64">
        <f ca="1">$J$561-EFEITO!$K$561*EFEITO!$Y$561</f>
        <v>24493.936451525195</v>
      </c>
      <c r="N561" s="64">
        <f ca="1">$K$561-EFEITO!$M$561*EFEITO!$Z$561</f>
        <v>1576.7898328234369</v>
      </c>
      <c r="O561" s="64">
        <f>$L$561-EFEITO!$O$561*EFEITO!$AA$561</f>
        <v>7294.330631120567</v>
      </c>
      <c r="P561" s="19"/>
      <c r="Q561" s="19"/>
      <c r="R561" s="19"/>
      <c r="S561" s="19"/>
      <c r="T561" s="19"/>
      <c r="U561" s="19"/>
      <c r="V561" s="19"/>
      <c r="W561" s="19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55" t="s">
        <v>21</v>
      </c>
      <c r="B562" s="55" t="s">
        <v>41</v>
      </c>
      <c r="C562" s="55" t="s">
        <v>40</v>
      </c>
      <c r="D562" s="55" t="s">
        <v>50</v>
      </c>
      <c r="E562" s="55" t="s">
        <v>51</v>
      </c>
      <c r="F562" s="55" t="s">
        <v>25</v>
      </c>
      <c r="G562" s="55" t="s">
        <v>25</v>
      </c>
      <c r="H562" s="55" t="s">
        <v>34</v>
      </c>
      <c r="I562" s="63">
        <v>44470</v>
      </c>
      <c r="J562" s="64">
        <f ca="1">EFEITO!$J$562*EFEITO!$Y$547</f>
        <v>819389.6340926683</v>
      </c>
      <c r="K562" s="64">
        <f ca="1">EFEITO!$L$562*EFEITO!$Z$547</f>
        <v>51863.369972381253</v>
      </c>
      <c r="L562" s="64">
        <f>EFEITO!$N$562*EFEITO!$AA$547</f>
        <v>239923.26710102445</v>
      </c>
      <c r="M562" s="64">
        <f ca="1">$J$562-EFEITO!$K$562*EFEITO!$Y$562</f>
        <v>24581.689022780047</v>
      </c>
      <c r="N562" s="64">
        <f ca="1">$K$562-EFEITO!$M$562*EFEITO!$Z$562</f>
        <v>1555.9010991714385</v>
      </c>
      <c r="O562" s="64">
        <f>$L$562-EFEITO!$O$562*EFEITO!$AA$562</f>
        <v>7197.6980130307493</v>
      </c>
      <c r="P562" s="19"/>
      <c r="Q562" s="19"/>
      <c r="R562" s="19"/>
      <c r="S562" s="19"/>
      <c r="T562" s="19"/>
      <c r="U562" s="19"/>
      <c r="V562" s="19"/>
      <c r="W562" s="19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55" t="s">
        <v>21</v>
      </c>
      <c r="B563" s="55" t="s">
        <v>41</v>
      </c>
      <c r="C563" s="55" t="s">
        <v>40</v>
      </c>
      <c r="D563" s="55" t="s">
        <v>50</v>
      </c>
      <c r="E563" s="55" t="s">
        <v>51</v>
      </c>
      <c r="F563" s="55" t="s">
        <v>25</v>
      </c>
      <c r="G563" s="55" t="s">
        <v>25</v>
      </c>
      <c r="H563" s="55" t="s">
        <v>34</v>
      </c>
      <c r="I563" s="63">
        <v>44501</v>
      </c>
      <c r="J563" s="64">
        <f ca="1">EFEITO!$J$563*EFEITO!$Y$547</f>
        <v>820956.64429364877</v>
      </c>
      <c r="K563" s="64">
        <f ca="1">EFEITO!$L$563*EFEITO!$Z$547</f>
        <v>51437.075642846656</v>
      </c>
      <c r="L563" s="64">
        <f>EFEITO!$N$563*EFEITO!$AA$547</f>
        <v>237951.20226329708</v>
      </c>
      <c r="M563" s="64">
        <f ca="1">$J$563-EFEITO!$K$563*EFEITO!$Y$563</f>
        <v>24628.699328809511</v>
      </c>
      <c r="N563" s="64">
        <f ca="1">$K$563-EFEITO!$M$563*EFEITO!$Z$563</f>
        <v>1543.1122692853969</v>
      </c>
      <c r="O563" s="64">
        <f>$L$563-EFEITO!$O$563*EFEITO!$AA$563</f>
        <v>7138.5360678989382</v>
      </c>
      <c r="P563" s="19"/>
      <c r="Q563" s="19"/>
      <c r="R563" s="19"/>
      <c r="S563" s="19"/>
      <c r="T563" s="19"/>
      <c r="U563" s="19"/>
      <c r="V563" s="19"/>
      <c r="W563" s="19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55" t="s">
        <v>21</v>
      </c>
      <c r="B564" s="55" t="s">
        <v>41</v>
      </c>
      <c r="C564" s="55" t="s">
        <v>40</v>
      </c>
      <c r="D564" s="55" t="s">
        <v>50</v>
      </c>
      <c r="E564" s="55" t="s">
        <v>51</v>
      </c>
      <c r="F564" s="55" t="s">
        <v>25</v>
      </c>
      <c r="G564" s="55" t="s">
        <v>25</v>
      </c>
      <c r="H564" s="55" t="s">
        <v>34</v>
      </c>
      <c r="I564" s="63">
        <v>44531</v>
      </c>
      <c r="J564" s="64">
        <f ca="1">EFEITO!$J$564*EFEITO!$Y$547</f>
        <v>825135.33816292998</v>
      </c>
      <c r="K564" s="64">
        <f ca="1">EFEITO!$L$564*EFEITO!$Z$547</f>
        <v>58369.381512810345</v>
      </c>
      <c r="L564" s="64">
        <f>EFEITO!$N$564*EFEITO!$AA$547</f>
        <v>270020.49266519368</v>
      </c>
      <c r="M564" s="64">
        <f ca="1">$J$564-EFEITO!$K$564*EFEITO!$Y$564</f>
        <v>24754.060144888004</v>
      </c>
      <c r="N564" s="64">
        <f ca="1">$K$564-EFEITO!$M$564*EFEITO!$Z$564</f>
        <v>1751.081445384305</v>
      </c>
      <c r="O564" s="64">
        <f>$L$564-EFEITO!$O$564*EFEITO!$AA$564</f>
        <v>8100.614779955853</v>
      </c>
      <c r="P564" s="19"/>
      <c r="Q564" s="19"/>
      <c r="R564" s="19"/>
      <c r="S564" s="19"/>
      <c r="T564" s="19"/>
      <c r="U564" s="19"/>
      <c r="V564" s="19"/>
      <c r="W564" s="19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55" t="s">
        <v>21</v>
      </c>
      <c r="B565" s="55" t="s">
        <v>41</v>
      </c>
      <c r="C565" s="55" t="s">
        <v>40</v>
      </c>
      <c r="D565" s="55" t="s">
        <v>50</v>
      </c>
      <c r="E565" s="55" t="s">
        <v>51</v>
      </c>
      <c r="F565" s="55" t="s">
        <v>25</v>
      </c>
      <c r="G565" s="55" t="s">
        <v>25</v>
      </c>
      <c r="H565" s="55" t="s">
        <v>34</v>
      </c>
      <c r="I565" s="63">
        <v>44562</v>
      </c>
      <c r="J565" s="64">
        <f ca="1">EFEITO!$J$565*EFEITO!$Y$547</f>
        <v>826702.34836391034</v>
      </c>
      <c r="K565" s="64">
        <f ca="1">EFEITO!$L$565*EFEITO!$Z$547</f>
        <v>54973.433973896361</v>
      </c>
      <c r="L565" s="64">
        <f>EFEITO!$N$565*EFEITO!$AA$547</f>
        <v>254310.62211737127</v>
      </c>
      <c r="M565" s="64">
        <f ca="1">$J$565-EFEITO!$K$565*EFEITO!$Y$565</f>
        <v>24801.070450917352</v>
      </c>
      <c r="N565" s="64">
        <f ca="1">$K$565-EFEITO!$M$565*EFEITO!$Z$565</f>
        <v>1649.2030192168895</v>
      </c>
      <c r="O565" s="64">
        <f>$L$565-EFEITO!$O$565*EFEITO!$AA$565</f>
        <v>7629.3186635211459</v>
      </c>
      <c r="P565" s="19"/>
      <c r="Q565" s="19"/>
      <c r="R565" s="19"/>
      <c r="S565" s="19"/>
      <c r="T565" s="19"/>
      <c r="U565" s="19"/>
      <c r="V565" s="19"/>
      <c r="W565" s="19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55" t="s">
        <v>21</v>
      </c>
      <c r="B566" s="55" t="s">
        <v>41</v>
      </c>
      <c r="C566" s="55" t="s">
        <v>40</v>
      </c>
      <c r="D566" s="55" t="s">
        <v>50</v>
      </c>
      <c r="E566" s="55" t="s">
        <v>51</v>
      </c>
      <c r="F566" s="55" t="s">
        <v>25</v>
      </c>
      <c r="G566" s="55" t="s">
        <v>25</v>
      </c>
      <c r="H566" s="55" t="s">
        <v>34</v>
      </c>
      <c r="I566" s="63">
        <v>44593</v>
      </c>
      <c r="J566" s="64">
        <f ca="1">EFEITO!$J$566*EFEITO!$Y$547</f>
        <v>820173.1391931586</v>
      </c>
      <c r="K566" s="64">
        <f ca="1">EFEITO!$L$566*EFEITO!$Z$547</f>
        <v>52598.44344269127</v>
      </c>
      <c r="L566" s="64">
        <f>EFEITO!$N$566*EFEITO!$AA$547</f>
        <v>243323.76399603891</v>
      </c>
      <c r="M566" s="64">
        <f ca="1">$J$566-EFEITO!$K$566*EFEITO!$Y$566</f>
        <v>24605.194175794837</v>
      </c>
      <c r="N566" s="64">
        <f ca="1">$K$566-EFEITO!$M$566*EFEITO!$Z$566</f>
        <v>1577.9533032807376</v>
      </c>
      <c r="O566" s="64">
        <f>$L$566-EFEITO!$O$566*EFEITO!$AA$566</f>
        <v>7299.712919881189</v>
      </c>
      <c r="P566" s="19"/>
      <c r="Q566" s="19"/>
      <c r="R566" s="19"/>
      <c r="S566" s="19"/>
      <c r="T566" s="19"/>
      <c r="U566" s="19"/>
      <c r="V566" s="19"/>
      <c r="W566" s="19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55" t="s">
        <v>21</v>
      </c>
      <c r="B567" s="55" t="s">
        <v>41</v>
      </c>
      <c r="C567" s="55" t="s">
        <v>40</v>
      </c>
      <c r="D567" s="55" t="s">
        <v>50</v>
      </c>
      <c r="E567" s="55" t="s">
        <v>51</v>
      </c>
      <c r="F567" s="55" t="s">
        <v>25</v>
      </c>
      <c r="G567" s="55" t="s">
        <v>25</v>
      </c>
      <c r="H567" s="55" t="s">
        <v>34</v>
      </c>
      <c r="I567" s="63">
        <v>44621</v>
      </c>
      <c r="J567" s="64">
        <f ca="1">EFEITO!$J$567*EFEITO!$Y$547</f>
        <v>824508.53408253775</v>
      </c>
      <c r="K567" s="64">
        <f ca="1">EFEITO!$L$567*EFEITO!$Z$547</f>
        <v>55569.10904269616</v>
      </c>
      <c r="L567" s="64">
        <f>EFEITO!$N$567*EFEITO!$AA$547</f>
        <v>257066.2530899283</v>
      </c>
      <c r="M567" s="64">
        <f ca="1">$J$567-EFEITO!$K$567*EFEITO!$Y$567</f>
        <v>24735.256022476126</v>
      </c>
      <c r="N567" s="64">
        <f ca="1">$K$567-EFEITO!$M$567*EFEITO!$Z$567</f>
        <v>1667.0732712808749</v>
      </c>
      <c r="O567" s="64">
        <f>$L$567-EFEITO!$O$567*EFEITO!$AA$567</f>
        <v>7711.9875926978712</v>
      </c>
      <c r="P567" s="19"/>
      <c r="Q567" s="19"/>
      <c r="R567" s="19"/>
      <c r="S567" s="19"/>
      <c r="T567" s="19"/>
      <c r="U567" s="19"/>
      <c r="V567" s="19"/>
      <c r="W567" s="19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55" t="s">
        <v>21</v>
      </c>
      <c r="B568" s="55" t="s">
        <v>41</v>
      </c>
      <c r="C568" s="55" t="s">
        <v>40</v>
      </c>
      <c r="D568" s="55" t="s">
        <v>50</v>
      </c>
      <c r="E568" s="55" t="s">
        <v>51</v>
      </c>
      <c r="F568" s="55" t="s">
        <v>25</v>
      </c>
      <c r="G568" s="55" t="s">
        <v>25</v>
      </c>
      <c r="H568" s="55" t="s">
        <v>34</v>
      </c>
      <c r="I568" s="63">
        <v>44652</v>
      </c>
      <c r="J568" s="64">
        <f ca="1">EFEITO!$J$568*EFEITO!$Y$547</f>
        <v>821949.08408760303</v>
      </c>
      <c r="K568" s="64">
        <f ca="1">EFEITO!$L$568*EFEITO!$Z$547</f>
        <v>49011.699208972801</v>
      </c>
      <c r="L568" s="64">
        <f>EFEITO!$N$568*EFEITO!$AA$547</f>
        <v>226731.25573312116</v>
      </c>
      <c r="M568" s="64">
        <f ca="1">$J$568-EFEITO!$K$568*EFEITO!$Y$568</f>
        <v>24658.472522628028</v>
      </c>
      <c r="N568" s="64">
        <f ca="1">$K$568-EFEITO!$M$568*EFEITO!$Z$568</f>
        <v>1470.3509762691829</v>
      </c>
      <c r="O568" s="64">
        <f>$L$568-EFEITO!$O$568*EFEITO!$AA$568</f>
        <v>6801.9376719936554</v>
      </c>
      <c r="P568" s="19"/>
      <c r="Q568" s="19"/>
      <c r="R568" s="19"/>
      <c r="S568" s="19"/>
      <c r="T568" s="19"/>
      <c r="U568" s="19"/>
      <c r="V568" s="19"/>
      <c r="W568" s="19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55" t="s">
        <v>21</v>
      </c>
      <c r="B569" s="55" t="s">
        <v>41</v>
      </c>
      <c r="C569" s="55" t="s">
        <v>40</v>
      </c>
      <c r="D569" s="55" t="s">
        <v>50</v>
      </c>
      <c r="E569" s="55" t="s">
        <v>51</v>
      </c>
      <c r="F569" s="55" t="s">
        <v>25</v>
      </c>
      <c r="G569" s="55" t="s">
        <v>25</v>
      </c>
      <c r="H569" s="55" t="s">
        <v>34</v>
      </c>
      <c r="I569" s="63">
        <v>44682</v>
      </c>
      <c r="J569" s="64">
        <f ca="1">EFEITO!$J$569*EFEITO!$Y$547</f>
        <v>821426.74735394295</v>
      </c>
      <c r="K569" s="64">
        <f ca="1">EFEITO!$L$569*EFEITO!$Z$547</f>
        <v>53731.386428820122</v>
      </c>
      <c r="L569" s="64">
        <f>EFEITO!$N$569*EFEITO!$AA$547</f>
        <v>248564.83072224617</v>
      </c>
      <c r="M569" s="64">
        <f ca="1">$J$569-EFEITO!$K$569*EFEITO!$Y$569</f>
        <v>24642.802420618362</v>
      </c>
      <c r="N569" s="64">
        <f ca="1">$K$569-EFEITO!$M$569*EFEITO!$Z$569</f>
        <v>1611.9415928646049</v>
      </c>
      <c r="O569" s="64">
        <f>$L$569-EFEITO!$O$569*EFEITO!$AA$569</f>
        <v>7456.9449216673966</v>
      </c>
      <c r="P569" s="19"/>
      <c r="Q569" s="19"/>
      <c r="R569" s="19"/>
      <c r="S569" s="19"/>
      <c r="T569" s="19"/>
      <c r="U569" s="19"/>
      <c r="V569" s="19"/>
      <c r="W569" s="19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55" t="s">
        <v>21</v>
      </c>
      <c r="B570" s="55" t="s">
        <v>41</v>
      </c>
      <c r="C570" s="55" t="s">
        <v>40</v>
      </c>
      <c r="D570" s="55" t="s">
        <v>50</v>
      </c>
      <c r="E570" s="55" t="s">
        <v>51</v>
      </c>
      <c r="F570" s="55" t="s">
        <v>25</v>
      </c>
      <c r="G570" s="55" t="s">
        <v>25</v>
      </c>
      <c r="H570" s="55" t="s">
        <v>34</v>
      </c>
      <c r="I570" s="63">
        <v>44713</v>
      </c>
      <c r="J570" s="64">
        <f ca="1">EFEITO!$J$570*EFEITO!$Y$547</f>
        <v>823829.49632877961</v>
      </c>
      <c r="K570" s="64">
        <f ca="1">EFEITO!$L$570*EFEITO!$Z$547</f>
        <v>52719.151555730852</v>
      </c>
      <c r="L570" s="64">
        <f>EFEITO!$N$570*EFEITO!$AA$547</f>
        <v>243882.16744844621</v>
      </c>
      <c r="M570" s="64">
        <f ca="1">$J$570-EFEITO!$K$570*EFEITO!$Y$570</f>
        <v>24714.884889863431</v>
      </c>
      <c r="N570" s="64">
        <f ca="1">$K$570-EFEITO!$M$570*EFEITO!$Z$570</f>
        <v>1581.5745466719236</v>
      </c>
      <c r="O570" s="64">
        <f>$L$570-EFEITO!$O$570*EFEITO!$AA$570</f>
        <v>7316.4650234534056</v>
      </c>
      <c r="P570" s="19"/>
      <c r="Q570" s="19"/>
      <c r="R570" s="19"/>
      <c r="S570" s="19"/>
      <c r="T570" s="19"/>
      <c r="U570" s="19"/>
      <c r="V570" s="19"/>
      <c r="W570" s="19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55" t="s">
        <v>57</v>
      </c>
      <c r="B571" s="55" t="s">
        <v>41</v>
      </c>
      <c r="C571" s="55" t="s">
        <v>40</v>
      </c>
      <c r="D571" s="55" t="s">
        <v>50</v>
      </c>
      <c r="E571" s="55" t="s">
        <v>51</v>
      </c>
      <c r="F571" s="55" t="s">
        <v>25</v>
      </c>
      <c r="G571" s="55" t="s">
        <v>25</v>
      </c>
      <c r="H571" s="55" t="s">
        <v>34</v>
      </c>
      <c r="I571" s="63">
        <v>44743</v>
      </c>
      <c r="J571" s="64">
        <f ca="1">EFEITO!$J$571*EFEITO!$Y$547</f>
        <v>823829.49632877961</v>
      </c>
      <c r="K571" s="64">
        <f ca="1">EFEITO!$L$571*EFEITO!$Z$547</f>
        <v>52719.151555730852</v>
      </c>
      <c r="L571" s="64">
        <f>EFEITO!$N$571*EFEITO!$AA$547</f>
        <v>243882.16744844621</v>
      </c>
      <c r="M571" s="64">
        <f ca="1">$J$571-EFEITO!$K$571*EFEITO!$Y$571</f>
        <v>24714.884889863431</v>
      </c>
      <c r="N571" s="64">
        <f ca="1">$K$571-EFEITO!$M$571*EFEITO!$Z$571</f>
        <v>1581.5745466719236</v>
      </c>
      <c r="O571" s="64">
        <f>$L$571-EFEITO!$O$571*EFEITO!$AA$571</f>
        <v>7316.4650234534056</v>
      </c>
      <c r="P571" s="19"/>
      <c r="Q571" s="19"/>
      <c r="R571" s="19"/>
      <c r="S571" s="19"/>
      <c r="T571" s="19"/>
      <c r="U571" s="19"/>
      <c r="V571" s="19"/>
      <c r="W571" s="19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55" t="s">
        <v>21</v>
      </c>
      <c r="B572" s="55" t="s">
        <v>41</v>
      </c>
      <c r="C572" s="55" t="s">
        <v>62</v>
      </c>
      <c r="D572" s="55" t="s">
        <v>25</v>
      </c>
      <c r="E572" s="55" t="s">
        <v>25</v>
      </c>
      <c r="F572" s="55" t="s">
        <v>25</v>
      </c>
      <c r="G572" s="55" t="s">
        <v>63</v>
      </c>
      <c r="H572" s="55" t="s">
        <v>35</v>
      </c>
      <c r="I572" s="63">
        <v>44409</v>
      </c>
      <c r="J572" s="64">
        <f ca="1">EFEITO!$J$572*EFEITO!$Y$572</f>
        <v>105324.11584047109</v>
      </c>
      <c r="K572" s="64">
        <f ca="1">EFEITO!$L$572*EFEITO!$Z$572</f>
        <v>0</v>
      </c>
      <c r="L572" s="64">
        <f>EFEITO!$N$572*EFEITO!$AA$572</f>
        <v>0</v>
      </c>
      <c r="M572" s="64">
        <f ca="1">$J$572-EFEITO!$K$572*EFEITO!$Y$572</f>
        <v>0</v>
      </c>
      <c r="N572" s="64">
        <f ca="1">$K$572-EFEITO!$M$572*EFEITO!$Z$572</f>
        <v>0</v>
      </c>
      <c r="O572" s="64">
        <f>$L$572-EFEITO!$O$572*EFEITO!$AA$572</f>
        <v>0</v>
      </c>
      <c r="P572" s="19"/>
      <c r="Q572" s="19"/>
      <c r="R572" s="19"/>
      <c r="S572" s="19"/>
      <c r="T572" s="19"/>
      <c r="U572" s="19"/>
      <c r="V572" s="19"/>
      <c r="W572" s="19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55" t="s">
        <v>21</v>
      </c>
      <c r="B573" s="55" t="s">
        <v>41</v>
      </c>
      <c r="C573" s="55" t="s">
        <v>62</v>
      </c>
      <c r="D573" s="55" t="s">
        <v>25</v>
      </c>
      <c r="E573" s="55" t="s">
        <v>25</v>
      </c>
      <c r="F573" s="55" t="s">
        <v>25</v>
      </c>
      <c r="G573" s="55" t="s">
        <v>65</v>
      </c>
      <c r="H573" s="55" t="s">
        <v>35</v>
      </c>
      <c r="I573" s="63">
        <v>44409</v>
      </c>
      <c r="J573" s="64">
        <f ca="1">EFEITO!$J$573*EFEITO!$Y$573</f>
        <v>59053.797651067704</v>
      </c>
      <c r="K573" s="64">
        <f ca="1">EFEITO!$L$573*EFEITO!$Z$573</f>
        <v>0</v>
      </c>
      <c r="L573" s="64">
        <f>EFEITO!$N$573*EFEITO!$AA$573</f>
        <v>0</v>
      </c>
      <c r="M573" s="64">
        <f ca="1">$J$573-EFEITO!$K$573*EFEITO!$Y$573</f>
        <v>0</v>
      </c>
      <c r="N573" s="64">
        <f ca="1">$K$573-EFEITO!$M$573*EFEITO!$Z$573</f>
        <v>0</v>
      </c>
      <c r="O573" s="64">
        <f>$L$573-EFEITO!$O$573*EFEITO!$AA$573</f>
        <v>0</v>
      </c>
      <c r="P573" s="19"/>
      <c r="Q573" s="19"/>
      <c r="R573" s="19"/>
      <c r="S573" s="19"/>
      <c r="T573" s="19"/>
      <c r="U573" s="19"/>
      <c r="V573" s="19"/>
      <c r="W573" s="19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55" t="s">
        <v>21</v>
      </c>
      <c r="B574" s="55" t="s">
        <v>41</v>
      </c>
      <c r="C574" s="55" t="s">
        <v>62</v>
      </c>
      <c r="D574" s="55" t="s">
        <v>25</v>
      </c>
      <c r="E574" s="55" t="s">
        <v>25</v>
      </c>
      <c r="F574" s="55" t="s">
        <v>25</v>
      </c>
      <c r="G574" s="55" t="s">
        <v>63</v>
      </c>
      <c r="H574" s="55" t="s">
        <v>35</v>
      </c>
      <c r="I574" s="63">
        <v>44440</v>
      </c>
      <c r="J574" s="64">
        <f ca="1">EFEITO!$J$574*EFEITO!$Y$574</f>
        <v>105324.11584047109</v>
      </c>
      <c r="K574" s="64">
        <f ca="1">EFEITO!$L$574*EFEITO!$Z$574</f>
        <v>0</v>
      </c>
      <c r="L574" s="64">
        <f>EFEITO!$N$574*EFEITO!$AA$574</f>
        <v>0</v>
      </c>
      <c r="M574" s="64">
        <f ca="1">$J$574-EFEITO!$K$574*EFEITO!$Y$574</f>
        <v>0</v>
      </c>
      <c r="N574" s="64">
        <f ca="1">$K$574-EFEITO!$M$574*EFEITO!$Z$574</f>
        <v>0</v>
      </c>
      <c r="O574" s="64">
        <f>$L$574-EFEITO!$O$574*EFEITO!$AA$574</f>
        <v>0</v>
      </c>
      <c r="P574" s="19"/>
      <c r="Q574" s="19"/>
      <c r="R574" s="19"/>
      <c r="S574" s="19"/>
      <c r="T574" s="19"/>
      <c r="U574" s="19"/>
      <c r="V574" s="19"/>
      <c r="W574" s="19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55" t="s">
        <v>21</v>
      </c>
      <c r="B575" s="55" t="s">
        <v>41</v>
      </c>
      <c r="C575" s="55" t="s">
        <v>62</v>
      </c>
      <c r="D575" s="55" t="s">
        <v>25</v>
      </c>
      <c r="E575" s="55" t="s">
        <v>25</v>
      </c>
      <c r="F575" s="55" t="s">
        <v>25</v>
      </c>
      <c r="G575" s="55" t="s">
        <v>65</v>
      </c>
      <c r="H575" s="55" t="s">
        <v>35</v>
      </c>
      <c r="I575" s="63">
        <v>44440</v>
      </c>
      <c r="J575" s="64">
        <f ca="1">EFEITO!$J$575*EFEITO!$Y$575</f>
        <v>59053.797651067704</v>
      </c>
      <c r="K575" s="64">
        <f ca="1">EFEITO!$L$575*EFEITO!$Z$575</f>
        <v>0</v>
      </c>
      <c r="L575" s="64">
        <f>EFEITO!$N$575*EFEITO!$AA$575</f>
        <v>0</v>
      </c>
      <c r="M575" s="64">
        <f ca="1">$J$575-EFEITO!$K$575*EFEITO!$Y$575</f>
        <v>0</v>
      </c>
      <c r="N575" s="64">
        <f ca="1">$K$575-EFEITO!$M$575*EFEITO!$Z$575</f>
        <v>0</v>
      </c>
      <c r="O575" s="64">
        <f>$L$575-EFEITO!$O$575*EFEITO!$AA$575</f>
        <v>0</v>
      </c>
      <c r="P575" s="19"/>
      <c r="Q575" s="19"/>
      <c r="R575" s="19"/>
      <c r="S575" s="19"/>
      <c r="T575" s="19"/>
      <c r="U575" s="19"/>
      <c r="V575" s="19"/>
      <c r="W575" s="19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55" t="s">
        <v>21</v>
      </c>
      <c r="B576" s="55" t="s">
        <v>41</v>
      </c>
      <c r="C576" s="55" t="s">
        <v>62</v>
      </c>
      <c r="D576" s="55" t="s">
        <v>25</v>
      </c>
      <c r="E576" s="55" t="s">
        <v>25</v>
      </c>
      <c r="F576" s="55" t="s">
        <v>25</v>
      </c>
      <c r="G576" s="55" t="s">
        <v>63</v>
      </c>
      <c r="H576" s="55" t="s">
        <v>35</v>
      </c>
      <c r="I576" s="63">
        <v>44470</v>
      </c>
      <c r="J576" s="64">
        <f ca="1">EFEITO!$J$576*EFEITO!$Y$576</f>
        <v>105324.11584047109</v>
      </c>
      <c r="K576" s="64">
        <f ca="1">EFEITO!$L$576*EFEITO!$Z$576</f>
        <v>0</v>
      </c>
      <c r="L576" s="64">
        <f>EFEITO!$N$576*EFEITO!$AA$576</f>
        <v>0</v>
      </c>
      <c r="M576" s="64">
        <f ca="1">$J$576-EFEITO!$K$576*EFEITO!$Y$576</f>
        <v>0</v>
      </c>
      <c r="N576" s="64">
        <f ca="1">$K$576-EFEITO!$M$576*EFEITO!$Z$576</f>
        <v>0</v>
      </c>
      <c r="O576" s="64">
        <f>$L$576-EFEITO!$O$576*EFEITO!$AA$576</f>
        <v>0</v>
      </c>
      <c r="P576" s="19"/>
      <c r="Q576" s="19"/>
      <c r="R576" s="19"/>
      <c r="S576" s="19"/>
      <c r="T576" s="19"/>
      <c r="U576" s="19"/>
      <c r="V576" s="19"/>
      <c r="W576" s="19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55" t="s">
        <v>21</v>
      </c>
      <c r="B577" s="55" t="s">
        <v>41</v>
      </c>
      <c r="C577" s="55" t="s">
        <v>62</v>
      </c>
      <c r="D577" s="55" t="s">
        <v>25</v>
      </c>
      <c r="E577" s="55" t="s">
        <v>25</v>
      </c>
      <c r="F577" s="55" t="s">
        <v>25</v>
      </c>
      <c r="G577" s="55" t="s">
        <v>65</v>
      </c>
      <c r="H577" s="55" t="s">
        <v>35</v>
      </c>
      <c r="I577" s="63">
        <v>44470</v>
      </c>
      <c r="J577" s="64">
        <f ca="1">EFEITO!$J$577*EFEITO!$Y$577</f>
        <v>59053.797651067704</v>
      </c>
      <c r="K577" s="64">
        <f ca="1">EFEITO!$L$577*EFEITO!$Z$577</f>
        <v>0</v>
      </c>
      <c r="L577" s="64">
        <f>EFEITO!$N$577*EFEITO!$AA$577</f>
        <v>0</v>
      </c>
      <c r="M577" s="64">
        <f ca="1">$J$577-EFEITO!$K$577*EFEITO!$Y$577</f>
        <v>0</v>
      </c>
      <c r="N577" s="64">
        <f ca="1">$K$577-EFEITO!$M$577*EFEITO!$Z$577</f>
        <v>0</v>
      </c>
      <c r="O577" s="64">
        <f>$L$577-EFEITO!$O$577*EFEITO!$AA$577</f>
        <v>0</v>
      </c>
      <c r="P577" s="19"/>
      <c r="Q577" s="19"/>
      <c r="R577" s="19"/>
      <c r="S577" s="19"/>
      <c r="T577" s="19"/>
      <c r="U577" s="19"/>
      <c r="V577" s="19"/>
      <c r="W577" s="19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55" t="s">
        <v>21</v>
      </c>
      <c r="B578" s="55" t="s">
        <v>41</v>
      </c>
      <c r="C578" s="55" t="s">
        <v>62</v>
      </c>
      <c r="D578" s="55" t="s">
        <v>25</v>
      </c>
      <c r="E578" s="55" t="s">
        <v>25</v>
      </c>
      <c r="F578" s="55" t="s">
        <v>25</v>
      </c>
      <c r="G578" s="55" t="s">
        <v>63</v>
      </c>
      <c r="H578" s="55" t="s">
        <v>35</v>
      </c>
      <c r="I578" s="63">
        <v>44501</v>
      </c>
      <c r="J578" s="64">
        <f ca="1">EFEITO!$J$578*EFEITO!$Y$578</f>
        <v>105324.11584047109</v>
      </c>
      <c r="K578" s="64">
        <f ca="1">EFEITO!$L$578*EFEITO!$Z$578</f>
        <v>0</v>
      </c>
      <c r="L578" s="64">
        <f>EFEITO!$N$578*EFEITO!$AA$578</f>
        <v>0</v>
      </c>
      <c r="M578" s="64">
        <f ca="1">$J$578-EFEITO!$K$578*EFEITO!$Y$578</f>
        <v>0</v>
      </c>
      <c r="N578" s="64">
        <f ca="1">$K$578-EFEITO!$M$578*EFEITO!$Z$578</f>
        <v>0</v>
      </c>
      <c r="O578" s="64">
        <f>$L$578-EFEITO!$O$578*EFEITO!$AA$578</f>
        <v>0</v>
      </c>
      <c r="P578" s="19"/>
      <c r="Q578" s="19"/>
      <c r="R578" s="19"/>
      <c r="S578" s="19"/>
      <c r="T578" s="19"/>
      <c r="U578" s="19"/>
      <c r="V578" s="19"/>
      <c r="W578" s="19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55" t="s">
        <v>21</v>
      </c>
      <c r="B579" s="55" t="s">
        <v>41</v>
      </c>
      <c r="C579" s="55" t="s">
        <v>62</v>
      </c>
      <c r="D579" s="55" t="s">
        <v>25</v>
      </c>
      <c r="E579" s="55" t="s">
        <v>25</v>
      </c>
      <c r="F579" s="55" t="s">
        <v>25</v>
      </c>
      <c r="G579" s="55" t="s">
        <v>65</v>
      </c>
      <c r="H579" s="55" t="s">
        <v>35</v>
      </c>
      <c r="I579" s="63">
        <v>44501</v>
      </c>
      <c r="J579" s="64">
        <f ca="1">EFEITO!$J$579*EFEITO!$Y$579</f>
        <v>59053.797651067704</v>
      </c>
      <c r="K579" s="64">
        <f ca="1">EFEITO!$L$579*EFEITO!$Z$579</f>
        <v>0</v>
      </c>
      <c r="L579" s="64">
        <f>EFEITO!$N$579*EFEITO!$AA$579</f>
        <v>0</v>
      </c>
      <c r="M579" s="64">
        <f ca="1">$J$579-EFEITO!$K$579*EFEITO!$Y$579</f>
        <v>0</v>
      </c>
      <c r="N579" s="64">
        <f ca="1">$K$579-EFEITO!$M$579*EFEITO!$Z$579</f>
        <v>0</v>
      </c>
      <c r="O579" s="64">
        <f>$L$579-EFEITO!$O$579*EFEITO!$AA$579</f>
        <v>0</v>
      </c>
      <c r="P579" s="19"/>
      <c r="Q579" s="19"/>
      <c r="R579" s="19"/>
      <c r="S579" s="19"/>
      <c r="T579" s="19"/>
      <c r="U579" s="19"/>
      <c r="V579" s="19"/>
      <c r="W579" s="19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55" t="s">
        <v>21</v>
      </c>
      <c r="B580" s="55" t="s">
        <v>41</v>
      </c>
      <c r="C580" s="55" t="s">
        <v>62</v>
      </c>
      <c r="D580" s="55" t="s">
        <v>25</v>
      </c>
      <c r="E580" s="55" t="s">
        <v>25</v>
      </c>
      <c r="F580" s="55" t="s">
        <v>25</v>
      </c>
      <c r="G580" s="55" t="s">
        <v>63</v>
      </c>
      <c r="H580" s="55" t="s">
        <v>35</v>
      </c>
      <c r="I580" s="63">
        <v>44531</v>
      </c>
      <c r="J580" s="64">
        <f ca="1">EFEITO!$J$580*EFEITO!$Y$580</f>
        <v>105324.11584047109</v>
      </c>
      <c r="K580" s="64">
        <f ca="1">EFEITO!$L$580*EFEITO!$Z$580</f>
        <v>0</v>
      </c>
      <c r="L580" s="64">
        <f>EFEITO!$N$580*EFEITO!$AA$580</f>
        <v>0</v>
      </c>
      <c r="M580" s="64">
        <f ca="1">$J$580-EFEITO!$K$580*EFEITO!$Y$580</f>
        <v>0</v>
      </c>
      <c r="N580" s="64">
        <f ca="1">$K$580-EFEITO!$M$580*EFEITO!$Z$580</f>
        <v>0</v>
      </c>
      <c r="O580" s="64">
        <f>$L$580-EFEITO!$O$580*EFEITO!$AA$580</f>
        <v>0</v>
      </c>
      <c r="P580" s="19"/>
      <c r="Q580" s="19"/>
      <c r="R580" s="19"/>
      <c r="S580" s="19"/>
      <c r="T580" s="19"/>
      <c r="U580" s="19"/>
      <c r="V580" s="19"/>
      <c r="W580" s="19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55" t="s">
        <v>21</v>
      </c>
      <c r="B581" s="55" t="s">
        <v>41</v>
      </c>
      <c r="C581" s="55" t="s">
        <v>62</v>
      </c>
      <c r="D581" s="55" t="s">
        <v>25</v>
      </c>
      <c r="E581" s="55" t="s">
        <v>25</v>
      </c>
      <c r="F581" s="55" t="s">
        <v>25</v>
      </c>
      <c r="G581" s="55" t="s">
        <v>65</v>
      </c>
      <c r="H581" s="55" t="s">
        <v>35</v>
      </c>
      <c r="I581" s="63">
        <v>44531</v>
      </c>
      <c r="J581" s="64">
        <f ca="1">EFEITO!$J$581*EFEITO!$Y$581</f>
        <v>59053.797651067704</v>
      </c>
      <c r="K581" s="64">
        <f ca="1">EFEITO!$L$581*EFEITO!$Z$581</f>
        <v>0</v>
      </c>
      <c r="L581" s="64">
        <f>EFEITO!$N$581*EFEITO!$AA$581</f>
        <v>0</v>
      </c>
      <c r="M581" s="64">
        <f ca="1">$J$581-EFEITO!$K$581*EFEITO!$Y$581</f>
        <v>0</v>
      </c>
      <c r="N581" s="64">
        <f ca="1">$K$581-EFEITO!$M$581*EFEITO!$Z$581</f>
        <v>0</v>
      </c>
      <c r="O581" s="64">
        <f>$L$581-EFEITO!$O$581*EFEITO!$AA$581</f>
        <v>0</v>
      </c>
      <c r="P581" s="19"/>
      <c r="Q581" s="19"/>
      <c r="R581" s="19"/>
      <c r="S581" s="19"/>
      <c r="T581" s="19"/>
      <c r="U581" s="19"/>
      <c r="V581" s="19"/>
      <c r="W581" s="19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55" t="s">
        <v>21</v>
      </c>
      <c r="B582" s="55" t="s">
        <v>41</v>
      </c>
      <c r="C582" s="55" t="s">
        <v>62</v>
      </c>
      <c r="D582" s="55" t="s">
        <v>25</v>
      </c>
      <c r="E582" s="55" t="s">
        <v>25</v>
      </c>
      <c r="F582" s="55" t="s">
        <v>25</v>
      </c>
      <c r="G582" s="55" t="s">
        <v>63</v>
      </c>
      <c r="H582" s="55" t="s">
        <v>35</v>
      </c>
      <c r="I582" s="63">
        <v>44562</v>
      </c>
      <c r="J582" s="64">
        <f ca="1">EFEITO!$J$582*EFEITO!$Y$582</f>
        <v>105324.11584047109</v>
      </c>
      <c r="K582" s="64">
        <f ca="1">EFEITO!$L$582*EFEITO!$Z$582</f>
        <v>0</v>
      </c>
      <c r="L582" s="64">
        <f>EFEITO!$N$582*EFEITO!$AA$582</f>
        <v>0</v>
      </c>
      <c r="M582" s="64">
        <f ca="1">$J$582-EFEITO!$K$582*EFEITO!$Y$582</f>
        <v>0</v>
      </c>
      <c r="N582" s="64">
        <f ca="1">$K$582-EFEITO!$M$582*EFEITO!$Z$582</f>
        <v>0</v>
      </c>
      <c r="O582" s="64">
        <f>$L$582-EFEITO!$O$582*EFEITO!$AA$582</f>
        <v>0</v>
      </c>
      <c r="P582" s="19"/>
      <c r="Q582" s="19"/>
      <c r="R582" s="19"/>
      <c r="S582" s="19"/>
      <c r="T582" s="19"/>
      <c r="U582" s="19"/>
      <c r="V582" s="19"/>
      <c r="W582" s="19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55" t="s">
        <v>21</v>
      </c>
      <c r="B583" s="55" t="s">
        <v>41</v>
      </c>
      <c r="C583" s="55" t="s">
        <v>62</v>
      </c>
      <c r="D583" s="55" t="s">
        <v>25</v>
      </c>
      <c r="E583" s="55" t="s">
        <v>25</v>
      </c>
      <c r="F583" s="55" t="s">
        <v>25</v>
      </c>
      <c r="G583" s="55" t="s">
        <v>65</v>
      </c>
      <c r="H583" s="55" t="s">
        <v>35</v>
      </c>
      <c r="I583" s="63">
        <v>44562</v>
      </c>
      <c r="J583" s="64">
        <f ca="1">EFEITO!$J$583*EFEITO!$Y$583</f>
        <v>59053.797651067704</v>
      </c>
      <c r="K583" s="64">
        <f ca="1">EFEITO!$L$583*EFEITO!$Z$583</f>
        <v>0</v>
      </c>
      <c r="L583" s="64">
        <f>EFEITO!$N$583*EFEITO!$AA$583</f>
        <v>0</v>
      </c>
      <c r="M583" s="64">
        <f ca="1">$J$583-EFEITO!$K$583*EFEITO!$Y$583</f>
        <v>0</v>
      </c>
      <c r="N583" s="64">
        <f ca="1">$K$583-EFEITO!$M$583*EFEITO!$Z$583</f>
        <v>0</v>
      </c>
      <c r="O583" s="64">
        <f>$L$583-EFEITO!$O$583*EFEITO!$AA$583</f>
        <v>0</v>
      </c>
      <c r="P583" s="19"/>
      <c r="Q583" s="19"/>
      <c r="R583" s="19"/>
      <c r="S583" s="19"/>
      <c r="T583" s="19"/>
      <c r="U583" s="19"/>
      <c r="V583" s="19"/>
      <c r="W583" s="19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55" t="s">
        <v>21</v>
      </c>
      <c r="B584" s="55" t="s">
        <v>41</v>
      </c>
      <c r="C584" s="55" t="s">
        <v>62</v>
      </c>
      <c r="D584" s="55" t="s">
        <v>25</v>
      </c>
      <c r="E584" s="55" t="s">
        <v>25</v>
      </c>
      <c r="F584" s="55" t="s">
        <v>25</v>
      </c>
      <c r="G584" s="55" t="s">
        <v>63</v>
      </c>
      <c r="H584" s="55" t="s">
        <v>35</v>
      </c>
      <c r="I584" s="63">
        <v>44593</v>
      </c>
      <c r="J584" s="64">
        <f ca="1">EFEITO!$J$584*EFEITO!$Y$584</f>
        <v>105324.11584047109</v>
      </c>
      <c r="K584" s="64">
        <f ca="1">EFEITO!$L$584*EFEITO!$Z$584</f>
        <v>0</v>
      </c>
      <c r="L584" s="64">
        <f>EFEITO!$N$584*EFEITO!$AA$584</f>
        <v>0</v>
      </c>
      <c r="M584" s="64">
        <f ca="1">$J$584-EFEITO!$K$584*EFEITO!$Y$584</f>
        <v>0</v>
      </c>
      <c r="N584" s="64">
        <f ca="1">$K$584-EFEITO!$M$584*EFEITO!$Z$584</f>
        <v>0</v>
      </c>
      <c r="O584" s="64">
        <f>$L$584-EFEITO!$O$584*EFEITO!$AA$584</f>
        <v>0</v>
      </c>
      <c r="P584" s="19"/>
      <c r="Q584" s="19"/>
      <c r="R584" s="19"/>
      <c r="S584" s="19"/>
      <c r="T584" s="19"/>
      <c r="U584" s="19"/>
      <c r="V584" s="19"/>
      <c r="W584" s="19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55" t="s">
        <v>21</v>
      </c>
      <c r="B585" s="55" t="s">
        <v>41</v>
      </c>
      <c r="C585" s="55" t="s">
        <v>62</v>
      </c>
      <c r="D585" s="55" t="s">
        <v>25</v>
      </c>
      <c r="E585" s="55" t="s">
        <v>25</v>
      </c>
      <c r="F585" s="55" t="s">
        <v>25</v>
      </c>
      <c r="G585" s="55" t="s">
        <v>65</v>
      </c>
      <c r="H585" s="55" t="s">
        <v>35</v>
      </c>
      <c r="I585" s="63">
        <v>44593</v>
      </c>
      <c r="J585" s="64">
        <f ca="1">EFEITO!$J$585*EFEITO!$Y$585</f>
        <v>59053.797651067704</v>
      </c>
      <c r="K585" s="64">
        <f ca="1">EFEITO!$L$585*EFEITO!$Z$585</f>
        <v>0</v>
      </c>
      <c r="L585" s="64">
        <f>EFEITO!$N$585*EFEITO!$AA$585</f>
        <v>0</v>
      </c>
      <c r="M585" s="64">
        <f ca="1">$J$585-EFEITO!$K$585*EFEITO!$Y$585</f>
        <v>0</v>
      </c>
      <c r="N585" s="64">
        <f ca="1">$K$585-EFEITO!$M$585*EFEITO!$Z$585</f>
        <v>0</v>
      </c>
      <c r="O585" s="64">
        <f>$L$585-EFEITO!$O$585*EFEITO!$AA$585</f>
        <v>0</v>
      </c>
      <c r="P585" s="19"/>
      <c r="Q585" s="19"/>
      <c r="R585" s="19"/>
      <c r="S585" s="19"/>
      <c r="T585" s="19"/>
      <c r="U585" s="19"/>
      <c r="V585" s="19"/>
      <c r="W585" s="19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55" t="s">
        <v>21</v>
      </c>
      <c r="B586" s="55" t="s">
        <v>41</v>
      </c>
      <c r="C586" s="55" t="s">
        <v>62</v>
      </c>
      <c r="D586" s="55" t="s">
        <v>25</v>
      </c>
      <c r="E586" s="55" t="s">
        <v>25</v>
      </c>
      <c r="F586" s="55" t="s">
        <v>25</v>
      </c>
      <c r="G586" s="55" t="s">
        <v>63</v>
      </c>
      <c r="H586" s="55" t="s">
        <v>35</v>
      </c>
      <c r="I586" s="63">
        <v>44621</v>
      </c>
      <c r="J586" s="64">
        <f ca="1">EFEITO!$J$586*EFEITO!$Y$586</f>
        <v>105324.11584047109</v>
      </c>
      <c r="K586" s="64">
        <f ca="1">EFEITO!$L$586*EFEITO!$Z$586</f>
        <v>0</v>
      </c>
      <c r="L586" s="64">
        <f>EFEITO!$N$586*EFEITO!$AA$586</f>
        <v>0</v>
      </c>
      <c r="M586" s="64">
        <f ca="1">$J$586-EFEITO!$K$586*EFEITO!$Y$586</f>
        <v>0</v>
      </c>
      <c r="N586" s="64">
        <f ca="1">$K$586-EFEITO!$M$586*EFEITO!$Z$586</f>
        <v>0</v>
      </c>
      <c r="O586" s="64">
        <f>$L$586-EFEITO!$O$586*EFEITO!$AA$586</f>
        <v>0</v>
      </c>
      <c r="P586" s="19"/>
      <c r="Q586" s="19"/>
      <c r="R586" s="19"/>
      <c r="S586" s="19"/>
      <c r="T586" s="19"/>
      <c r="U586" s="19"/>
      <c r="V586" s="19"/>
      <c r="W586" s="19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55" t="s">
        <v>21</v>
      </c>
      <c r="B587" s="55" t="s">
        <v>41</v>
      </c>
      <c r="C587" s="55" t="s">
        <v>62</v>
      </c>
      <c r="D587" s="55" t="s">
        <v>25</v>
      </c>
      <c r="E587" s="55" t="s">
        <v>25</v>
      </c>
      <c r="F587" s="55" t="s">
        <v>25</v>
      </c>
      <c r="G587" s="55" t="s">
        <v>65</v>
      </c>
      <c r="H587" s="55" t="s">
        <v>35</v>
      </c>
      <c r="I587" s="63">
        <v>44621</v>
      </c>
      <c r="J587" s="64">
        <f ca="1">EFEITO!$J$587*EFEITO!$Y$587</f>
        <v>59053.797651067704</v>
      </c>
      <c r="K587" s="64">
        <f ca="1">EFEITO!$L$587*EFEITO!$Z$587</f>
        <v>0</v>
      </c>
      <c r="L587" s="64">
        <f>EFEITO!$N$587*EFEITO!$AA$587</f>
        <v>0</v>
      </c>
      <c r="M587" s="64">
        <f ca="1">$J$587-EFEITO!$K$587*EFEITO!$Y$587</f>
        <v>0</v>
      </c>
      <c r="N587" s="64">
        <f ca="1">$K$587-EFEITO!$M$587*EFEITO!$Z$587</f>
        <v>0</v>
      </c>
      <c r="O587" s="64">
        <f>$L$587-EFEITO!$O$587*EFEITO!$AA$587</f>
        <v>0</v>
      </c>
      <c r="P587" s="19"/>
      <c r="Q587" s="19"/>
      <c r="R587" s="19"/>
      <c r="S587" s="19"/>
      <c r="T587" s="19"/>
      <c r="U587" s="19"/>
      <c r="V587" s="19"/>
      <c r="W587" s="19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55" t="s">
        <v>21</v>
      </c>
      <c r="B588" s="55" t="s">
        <v>41</v>
      </c>
      <c r="C588" s="55" t="s">
        <v>62</v>
      </c>
      <c r="D588" s="55" t="s">
        <v>25</v>
      </c>
      <c r="E588" s="55" t="s">
        <v>25</v>
      </c>
      <c r="F588" s="55" t="s">
        <v>25</v>
      </c>
      <c r="G588" s="55" t="s">
        <v>63</v>
      </c>
      <c r="H588" s="55" t="s">
        <v>35</v>
      </c>
      <c r="I588" s="63">
        <v>44652</v>
      </c>
      <c r="J588" s="64">
        <f ca="1">EFEITO!$J$588*EFEITO!$Y$588</f>
        <v>105324.11584047109</v>
      </c>
      <c r="K588" s="64">
        <f ca="1">EFEITO!$L$588*EFEITO!$Z$588</f>
        <v>0</v>
      </c>
      <c r="L588" s="64">
        <f>EFEITO!$N$588*EFEITO!$AA$588</f>
        <v>0</v>
      </c>
      <c r="M588" s="64">
        <f ca="1">$J$588-EFEITO!$K$588*EFEITO!$Y$588</f>
        <v>0</v>
      </c>
      <c r="N588" s="64">
        <f ca="1">$K$588-EFEITO!$M$588*EFEITO!$Z$588</f>
        <v>0</v>
      </c>
      <c r="O588" s="64">
        <f>$L$588-EFEITO!$O$588*EFEITO!$AA$588</f>
        <v>0</v>
      </c>
      <c r="P588" s="19"/>
      <c r="Q588" s="19"/>
      <c r="R588" s="19"/>
      <c r="S588" s="19"/>
      <c r="T588" s="19"/>
      <c r="U588" s="19"/>
      <c r="V588" s="19"/>
      <c r="W588" s="19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55" t="s">
        <v>21</v>
      </c>
      <c r="B589" s="55" t="s">
        <v>41</v>
      </c>
      <c r="C589" s="55" t="s">
        <v>62</v>
      </c>
      <c r="D589" s="55" t="s">
        <v>25</v>
      </c>
      <c r="E589" s="55" t="s">
        <v>25</v>
      </c>
      <c r="F589" s="55" t="s">
        <v>25</v>
      </c>
      <c r="G589" s="55" t="s">
        <v>65</v>
      </c>
      <c r="H589" s="55" t="s">
        <v>35</v>
      </c>
      <c r="I589" s="63">
        <v>44652</v>
      </c>
      <c r="J589" s="64">
        <f ca="1">EFEITO!$J$589*EFEITO!$Y$589</f>
        <v>59053.797651067704</v>
      </c>
      <c r="K589" s="64">
        <f ca="1">EFEITO!$L$589*EFEITO!$Z$589</f>
        <v>0</v>
      </c>
      <c r="L589" s="64">
        <f>EFEITO!$N$589*EFEITO!$AA$589</f>
        <v>0</v>
      </c>
      <c r="M589" s="64">
        <f ca="1">$J$589-EFEITO!$K$589*EFEITO!$Y$589</f>
        <v>0</v>
      </c>
      <c r="N589" s="64">
        <f ca="1">$K$589-EFEITO!$M$589*EFEITO!$Z$589</f>
        <v>0</v>
      </c>
      <c r="O589" s="64">
        <f>$L$589-EFEITO!$O$589*EFEITO!$AA$589</f>
        <v>0</v>
      </c>
      <c r="P589" s="19"/>
      <c r="Q589" s="19"/>
      <c r="R589" s="19"/>
      <c r="S589" s="19"/>
      <c r="T589" s="19"/>
      <c r="U589" s="19"/>
      <c r="V589" s="19"/>
      <c r="W589" s="19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55" t="s">
        <v>21</v>
      </c>
      <c r="B590" s="55" t="s">
        <v>41</v>
      </c>
      <c r="C590" s="55" t="s">
        <v>62</v>
      </c>
      <c r="D590" s="55" t="s">
        <v>25</v>
      </c>
      <c r="E590" s="55" t="s">
        <v>25</v>
      </c>
      <c r="F590" s="55" t="s">
        <v>25</v>
      </c>
      <c r="G590" s="55" t="s">
        <v>63</v>
      </c>
      <c r="H590" s="55" t="s">
        <v>35</v>
      </c>
      <c r="I590" s="63">
        <v>44682</v>
      </c>
      <c r="J590" s="64">
        <f ca="1">EFEITO!$J$590*EFEITO!$Y$590</f>
        <v>105324.11584047109</v>
      </c>
      <c r="K590" s="64">
        <f ca="1">EFEITO!$L$590*EFEITO!$Z$590</f>
        <v>0</v>
      </c>
      <c r="L590" s="64">
        <f>EFEITO!$N$590*EFEITO!$AA$590</f>
        <v>0</v>
      </c>
      <c r="M590" s="64">
        <f ca="1">$J$590-EFEITO!$K$590*EFEITO!$Y$590</f>
        <v>0</v>
      </c>
      <c r="N590" s="64">
        <f ca="1">$K$590-EFEITO!$M$590*EFEITO!$Z$590</f>
        <v>0</v>
      </c>
      <c r="O590" s="64">
        <f>$L$590-EFEITO!$O$590*EFEITO!$AA$590</f>
        <v>0</v>
      </c>
      <c r="P590" s="19"/>
      <c r="Q590" s="19"/>
      <c r="R590" s="19"/>
      <c r="S590" s="19"/>
      <c r="T590" s="19"/>
      <c r="U590" s="19"/>
      <c r="V590" s="19"/>
      <c r="W590" s="19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55" t="s">
        <v>21</v>
      </c>
      <c r="B591" s="55" t="s">
        <v>41</v>
      </c>
      <c r="C591" s="55" t="s">
        <v>62</v>
      </c>
      <c r="D591" s="55" t="s">
        <v>25</v>
      </c>
      <c r="E591" s="55" t="s">
        <v>25</v>
      </c>
      <c r="F591" s="55" t="s">
        <v>25</v>
      </c>
      <c r="G591" s="55" t="s">
        <v>65</v>
      </c>
      <c r="H591" s="55" t="s">
        <v>35</v>
      </c>
      <c r="I591" s="63">
        <v>44682</v>
      </c>
      <c r="J591" s="64">
        <f ca="1">EFEITO!$J$591*EFEITO!$Y$591</f>
        <v>59053.797651067704</v>
      </c>
      <c r="K591" s="64">
        <f ca="1">EFEITO!$L$591*EFEITO!$Z$591</f>
        <v>0</v>
      </c>
      <c r="L591" s="64">
        <f>EFEITO!$N$591*EFEITO!$AA$591</f>
        <v>0</v>
      </c>
      <c r="M591" s="64">
        <f ca="1">$J$591-EFEITO!$K$591*EFEITO!$Y$591</f>
        <v>0</v>
      </c>
      <c r="N591" s="64">
        <f ca="1">$K$591-EFEITO!$M$591*EFEITO!$Z$591</f>
        <v>0</v>
      </c>
      <c r="O591" s="64">
        <f>$L$591-EFEITO!$O$591*EFEITO!$AA$591</f>
        <v>0</v>
      </c>
      <c r="P591" s="19"/>
      <c r="Q591" s="19"/>
      <c r="R591" s="19"/>
      <c r="S591" s="19"/>
      <c r="T591" s="19"/>
      <c r="U591" s="19"/>
      <c r="V591" s="19"/>
      <c r="W591" s="19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55" t="s">
        <v>21</v>
      </c>
      <c r="B592" s="55" t="s">
        <v>41</v>
      </c>
      <c r="C592" s="55" t="s">
        <v>62</v>
      </c>
      <c r="D592" s="55" t="s">
        <v>25</v>
      </c>
      <c r="E592" s="55" t="s">
        <v>25</v>
      </c>
      <c r="F592" s="55" t="s">
        <v>25</v>
      </c>
      <c r="G592" s="55" t="s">
        <v>63</v>
      </c>
      <c r="H592" s="55" t="s">
        <v>35</v>
      </c>
      <c r="I592" s="63">
        <v>44713</v>
      </c>
      <c r="J592" s="64">
        <f ca="1">EFEITO!$J$592*EFEITO!$Y$592</f>
        <v>105324.11584047109</v>
      </c>
      <c r="K592" s="64">
        <f ca="1">EFEITO!$L$592*EFEITO!$Z$592</f>
        <v>0</v>
      </c>
      <c r="L592" s="64">
        <f>EFEITO!$N$592*EFEITO!$AA$592</f>
        <v>0</v>
      </c>
      <c r="M592" s="64">
        <f ca="1">$J$592-EFEITO!$K$592*EFEITO!$Y$592</f>
        <v>0</v>
      </c>
      <c r="N592" s="64">
        <f ca="1">$K$592-EFEITO!$M$592*EFEITO!$Z$592</f>
        <v>0</v>
      </c>
      <c r="O592" s="64">
        <f>$L$592-EFEITO!$O$592*EFEITO!$AA$592</f>
        <v>0</v>
      </c>
      <c r="P592" s="19"/>
      <c r="Q592" s="19"/>
      <c r="R592" s="19"/>
      <c r="S592" s="19"/>
      <c r="T592" s="19"/>
      <c r="U592" s="19"/>
      <c r="V592" s="19"/>
      <c r="W592" s="19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55" t="s">
        <v>21</v>
      </c>
      <c r="B593" s="55" t="s">
        <v>41</v>
      </c>
      <c r="C593" s="55" t="s">
        <v>62</v>
      </c>
      <c r="D593" s="55" t="s">
        <v>25</v>
      </c>
      <c r="E593" s="55" t="s">
        <v>25</v>
      </c>
      <c r="F593" s="55" t="s">
        <v>25</v>
      </c>
      <c r="G593" s="55" t="s">
        <v>65</v>
      </c>
      <c r="H593" s="55" t="s">
        <v>35</v>
      </c>
      <c r="I593" s="63">
        <v>44713</v>
      </c>
      <c r="J593" s="64">
        <f ca="1">EFEITO!$J$593*EFEITO!$Y$593</f>
        <v>59053.797651067704</v>
      </c>
      <c r="K593" s="64">
        <f ca="1">EFEITO!$L$593*EFEITO!$Z$593</f>
        <v>0</v>
      </c>
      <c r="L593" s="64">
        <f>EFEITO!$N$593*EFEITO!$AA$593</f>
        <v>0</v>
      </c>
      <c r="M593" s="64">
        <f ca="1">$J$593-EFEITO!$K$593*EFEITO!$Y$593</f>
        <v>0</v>
      </c>
      <c r="N593" s="64">
        <f ca="1">$K$593-EFEITO!$M$593*EFEITO!$Z$593</f>
        <v>0</v>
      </c>
      <c r="O593" s="64">
        <f>$L$593-EFEITO!$O$593*EFEITO!$AA$593</f>
        <v>0</v>
      </c>
      <c r="P593" s="19"/>
      <c r="Q593" s="19"/>
      <c r="R593" s="19"/>
      <c r="S593" s="19"/>
      <c r="T593" s="19"/>
      <c r="U593" s="19"/>
      <c r="V593" s="19"/>
      <c r="W593" s="19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55" t="s">
        <v>57</v>
      </c>
      <c r="B594" s="55" t="s">
        <v>41</v>
      </c>
      <c r="C594" s="55" t="s">
        <v>62</v>
      </c>
      <c r="D594" s="55" t="s">
        <v>25</v>
      </c>
      <c r="E594" s="55" t="s">
        <v>25</v>
      </c>
      <c r="F594" s="55" t="s">
        <v>25</v>
      </c>
      <c r="G594" s="55" t="s">
        <v>63</v>
      </c>
      <c r="H594" s="55" t="s">
        <v>35</v>
      </c>
      <c r="I594" s="63">
        <v>44743</v>
      </c>
      <c r="J594" s="64">
        <f ca="1">EFEITO!$J$594*EFEITO!$Y$594</f>
        <v>105324.11584047109</v>
      </c>
      <c r="K594" s="64">
        <f ca="1">EFEITO!$L$594*EFEITO!$Z$594</f>
        <v>0</v>
      </c>
      <c r="L594" s="64">
        <f>EFEITO!$N$594*EFEITO!$AA$594</f>
        <v>0</v>
      </c>
      <c r="M594" s="64">
        <f ca="1">$J$594-EFEITO!$K$594*EFEITO!$Y$594</f>
        <v>0</v>
      </c>
      <c r="N594" s="64">
        <f ca="1">$K$594-EFEITO!$M$594*EFEITO!$Z$594</f>
        <v>0</v>
      </c>
      <c r="O594" s="64">
        <f>$L$594-EFEITO!$O$594*EFEITO!$AA$594</f>
        <v>0</v>
      </c>
      <c r="P594" s="19"/>
      <c r="Q594" s="19"/>
      <c r="R594" s="19"/>
      <c r="S594" s="19"/>
      <c r="T594" s="19"/>
      <c r="U594" s="19"/>
      <c r="V594" s="19"/>
      <c r="W594" s="19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55" t="s">
        <v>57</v>
      </c>
      <c r="B595" s="55" t="s">
        <v>41</v>
      </c>
      <c r="C595" s="55" t="s">
        <v>62</v>
      </c>
      <c r="D595" s="55" t="s">
        <v>25</v>
      </c>
      <c r="E595" s="55" t="s">
        <v>25</v>
      </c>
      <c r="F595" s="55" t="s">
        <v>25</v>
      </c>
      <c r="G595" s="55" t="s">
        <v>65</v>
      </c>
      <c r="H595" s="55" t="s">
        <v>35</v>
      </c>
      <c r="I595" s="63">
        <v>44743</v>
      </c>
      <c r="J595" s="64">
        <f ca="1">EFEITO!$J$595*EFEITO!$Y$595</f>
        <v>59053.797651067704</v>
      </c>
      <c r="K595" s="64">
        <f ca="1">EFEITO!$L$595*EFEITO!$Z$595</f>
        <v>0</v>
      </c>
      <c r="L595" s="64">
        <f>EFEITO!$N$595*EFEITO!$AA$595</f>
        <v>0</v>
      </c>
      <c r="M595" s="64">
        <f ca="1">$J$595-EFEITO!$K$595*EFEITO!$Y$595</f>
        <v>0</v>
      </c>
      <c r="N595" s="64">
        <f ca="1">$K$595-EFEITO!$M$595*EFEITO!$Z$595</f>
        <v>0</v>
      </c>
      <c r="O595" s="64">
        <f>$L$595-EFEITO!$O$595*EFEITO!$AA$595</f>
        <v>0</v>
      </c>
      <c r="P595" s="19"/>
      <c r="Q595" s="19"/>
      <c r="R595" s="19"/>
      <c r="S595" s="19"/>
      <c r="T595" s="19"/>
      <c r="U595" s="19"/>
      <c r="V595" s="19"/>
      <c r="W595" s="19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55" t="s">
        <v>21</v>
      </c>
      <c r="B596" s="55" t="s">
        <v>41</v>
      </c>
      <c r="C596" s="55" t="s">
        <v>62</v>
      </c>
      <c r="D596" s="55" t="s">
        <v>25</v>
      </c>
      <c r="E596" s="55" t="s">
        <v>25</v>
      </c>
      <c r="F596" s="55" t="s">
        <v>25</v>
      </c>
      <c r="G596" s="55" t="s">
        <v>63</v>
      </c>
      <c r="H596" s="55" t="s">
        <v>25</v>
      </c>
      <c r="I596" s="63">
        <v>44409</v>
      </c>
      <c r="J596" s="64">
        <f ca="1">EFEITO!$J$596*EFEITO!$Y$596</f>
        <v>0</v>
      </c>
      <c r="K596" s="64">
        <f ca="1">EFEITO!$L$596*EFEITO!$Z$596</f>
        <v>45010.747677753621</v>
      </c>
      <c r="L596" s="64">
        <f>EFEITO!$N$596*EFEITO!$AA$596</f>
        <v>0</v>
      </c>
      <c r="M596" s="64">
        <f ca="1">$J$596-EFEITO!$K$596*EFEITO!$Y$596</f>
        <v>0</v>
      </c>
      <c r="N596" s="64">
        <f ca="1">$K$596-EFEITO!$M$596*EFEITO!$Z$596</f>
        <v>0</v>
      </c>
      <c r="O596" s="64">
        <f>$L$596-EFEITO!$O$596*EFEITO!$AA$596</f>
        <v>0</v>
      </c>
      <c r="P596" s="19"/>
      <c r="Q596" s="19"/>
      <c r="R596" s="19"/>
      <c r="S596" s="19"/>
      <c r="T596" s="19"/>
      <c r="U596" s="19"/>
      <c r="V596" s="19"/>
      <c r="W596" s="19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55" t="s">
        <v>21</v>
      </c>
      <c r="B597" s="55" t="s">
        <v>41</v>
      </c>
      <c r="C597" s="55" t="s">
        <v>62</v>
      </c>
      <c r="D597" s="55" t="s">
        <v>25</v>
      </c>
      <c r="E597" s="55" t="s">
        <v>25</v>
      </c>
      <c r="F597" s="55" t="s">
        <v>25</v>
      </c>
      <c r="G597" s="55" t="s">
        <v>65</v>
      </c>
      <c r="H597" s="55" t="s">
        <v>25</v>
      </c>
      <c r="I597" s="63">
        <v>44409</v>
      </c>
      <c r="J597" s="64">
        <f ca="1">EFEITO!$J$597*EFEITO!$Y$597</f>
        <v>0</v>
      </c>
      <c r="K597" s="64">
        <f ca="1">EFEITO!$L$597*EFEITO!$Z$597</f>
        <v>26371.510243801087</v>
      </c>
      <c r="L597" s="64">
        <f>EFEITO!$N$597*EFEITO!$AA$597</f>
        <v>0</v>
      </c>
      <c r="M597" s="64">
        <f ca="1">$J$597-EFEITO!$K$597*EFEITO!$Y$597</f>
        <v>0</v>
      </c>
      <c r="N597" s="64">
        <f ca="1">$K$597-EFEITO!$M$597*EFEITO!$Z$597</f>
        <v>0</v>
      </c>
      <c r="O597" s="64">
        <f>$L$597-EFEITO!$O$597*EFEITO!$AA$597</f>
        <v>0</v>
      </c>
      <c r="P597" s="19"/>
      <c r="Q597" s="19"/>
      <c r="R597" s="19"/>
      <c r="S597" s="19"/>
      <c r="T597" s="19"/>
      <c r="U597" s="19"/>
      <c r="V597" s="19"/>
      <c r="W597" s="19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55" t="s">
        <v>21</v>
      </c>
      <c r="B598" s="55" t="s">
        <v>41</v>
      </c>
      <c r="C598" s="55" t="s">
        <v>62</v>
      </c>
      <c r="D598" s="55" t="s">
        <v>25</v>
      </c>
      <c r="E598" s="55" t="s">
        <v>25</v>
      </c>
      <c r="F598" s="55" t="s">
        <v>25</v>
      </c>
      <c r="G598" s="55" t="s">
        <v>63</v>
      </c>
      <c r="H598" s="55" t="s">
        <v>25</v>
      </c>
      <c r="I598" s="63">
        <v>44440</v>
      </c>
      <c r="J598" s="64">
        <f ca="1">EFEITO!$J$598*EFEITO!$Y$598</f>
        <v>0</v>
      </c>
      <c r="K598" s="64">
        <f ca="1">EFEITO!$L$598*EFEITO!$Z$598</f>
        <v>44156.634892407623</v>
      </c>
      <c r="L598" s="64">
        <f>EFEITO!$N$598*EFEITO!$AA$598</f>
        <v>0</v>
      </c>
      <c r="M598" s="64">
        <f ca="1">$J$598-EFEITO!$K$598*EFEITO!$Y$598</f>
        <v>0</v>
      </c>
      <c r="N598" s="64">
        <f ca="1">$K$598-EFEITO!$M$598*EFEITO!$Z$598</f>
        <v>0</v>
      </c>
      <c r="O598" s="64">
        <f>$L$598-EFEITO!$O$598*EFEITO!$AA$598</f>
        <v>0</v>
      </c>
      <c r="P598" s="19"/>
      <c r="Q598" s="19"/>
      <c r="R598" s="19"/>
      <c r="S598" s="19"/>
      <c r="T598" s="19"/>
      <c r="U598" s="19"/>
      <c r="V598" s="19"/>
      <c r="W598" s="19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55" t="s">
        <v>21</v>
      </c>
      <c r="B599" s="55" t="s">
        <v>41</v>
      </c>
      <c r="C599" s="55" t="s">
        <v>62</v>
      </c>
      <c r="D599" s="55" t="s">
        <v>25</v>
      </c>
      <c r="E599" s="55" t="s">
        <v>25</v>
      </c>
      <c r="F599" s="55" t="s">
        <v>25</v>
      </c>
      <c r="G599" s="55" t="s">
        <v>65</v>
      </c>
      <c r="H599" s="55" t="s">
        <v>25</v>
      </c>
      <c r="I599" s="63">
        <v>44440</v>
      </c>
      <c r="J599" s="64">
        <f ca="1">EFEITO!$J$599*EFEITO!$Y$599</f>
        <v>0</v>
      </c>
      <c r="K599" s="64">
        <f ca="1">EFEITO!$L$599*EFEITO!$Z$599</f>
        <v>27437.801324716911</v>
      </c>
      <c r="L599" s="64">
        <f>EFEITO!$N$599*EFEITO!$AA$599</f>
        <v>0</v>
      </c>
      <c r="M599" s="64">
        <f ca="1">$J$599-EFEITO!$K$599*EFEITO!$Y$599</f>
        <v>0</v>
      </c>
      <c r="N599" s="64">
        <f ca="1">$K$599-EFEITO!$M$599*EFEITO!$Z$599</f>
        <v>0</v>
      </c>
      <c r="O599" s="64">
        <f>$L$599-EFEITO!$O$599*EFEITO!$AA$599</f>
        <v>0</v>
      </c>
      <c r="P599" s="19"/>
      <c r="Q599" s="19"/>
      <c r="R599" s="19"/>
      <c r="S599" s="19"/>
      <c r="T599" s="19"/>
      <c r="U599" s="19"/>
      <c r="V599" s="19"/>
      <c r="W599" s="19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55" t="s">
        <v>21</v>
      </c>
      <c r="B600" s="55" t="s">
        <v>41</v>
      </c>
      <c r="C600" s="55" t="s">
        <v>62</v>
      </c>
      <c r="D600" s="55" t="s">
        <v>25</v>
      </c>
      <c r="E600" s="55" t="s">
        <v>25</v>
      </c>
      <c r="F600" s="55" t="s">
        <v>25</v>
      </c>
      <c r="G600" s="55" t="s">
        <v>63</v>
      </c>
      <c r="H600" s="55" t="s">
        <v>25</v>
      </c>
      <c r="I600" s="63">
        <v>44470</v>
      </c>
      <c r="J600" s="64">
        <f ca="1">EFEITO!$J$600*EFEITO!$Y$600</f>
        <v>0</v>
      </c>
      <c r="K600" s="64">
        <f ca="1">EFEITO!$L$600*EFEITO!$Z$600</f>
        <v>47147.465413435326</v>
      </c>
      <c r="L600" s="64">
        <f>EFEITO!$N$600*EFEITO!$AA$600</f>
        <v>0</v>
      </c>
      <c r="M600" s="64">
        <f ca="1">$J$600-EFEITO!$K$600*EFEITO!$Y$600</f>
        <v>0</v>
      </c>
      <c r="N600" s="64">
        <f ca="1">$K$600-EFEITO!$M$600*EFEITO!$Z$600</f>
        <v>0</v>
      </c>
      <c r="O600" s="64">
        <f>$L$600-EFEITO!$O$600*EFEITO!$AA$600</f>
        <v>0</v>
      </c>
      <c r="P600" s="19"/>
      <c r="Q600" s="19"/>
      <c r="R600" s="19"/>
      <c r="S600" s="19"/>
      <c r="T600" s="19"/>
      <c r="U600" s="19"/>
      <c r="V600" s="19"/>
      <c r="W600" s="19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55" t="s">
        <v>21</v>
      </c>
      <c r="B601" s="55" t="s">
        <v>41</v>
      </c>
      <c r="C601" s="55" t="s">
        <v>62</v>
      </c>
      <c r="D601" s="55" t="s">
        <v>25</v>
      </c>
      <c r="E601" s="55" t="s">
        <v>25</v>
      </c>
      <c r="F601" s="55" t="s">
        <v>25</v>
      </c>
      <c r="G601" s="55" t="s">
        <v>65</v>
      </c>
      <c r="H601" s="55" t="s">
        <v>25</v>
      </c>
      <c r="I601" s="63">
        <v>44470</v>
      </c>
      <c r="J601" s="64">
        <f ca="1">EFEITO!$J$601*EFEITO!$Y$601</f>
        <v>0</v>
      </c>
      <c r="K601" s="64">
        <f ca="1">EFEITO!$L$601*EFEITO!$Z$601</f>
        <v>26214.234782466643</v>
      </c>
      <c r="L601" s="64">
        <f>EFEITO!$N$601*EFEITO!$AA$601</f>
        <v>0</v>
      </c>
      <c r="M601" s="64">
        <f ca="1">$J$601-EFEITO!$K$601*EFEITO!$Y$601</f>
        <v>0</v>
      </c>
      <c r="N601" s="64">
        <f ca="1">$K$601-EFEITO!$M$601*EFEITO!$Z$601</f>
        <v>0</v>
      </c>
      <c r="O601" s="64">
        <f>$L$601-EFEITO!$O$601*EFEITO!$AA$601</f>
        <v>0</v>
      </c>
      <c r="P601" s="19"/>
      <c r="Q601" s="19"/>
      <c r="R601" s="19"/>
      <c r="S601" s="19"/>
      <c r="T601" s="19"/>
      <c r="U601" s="19"/>
      <c r="V601" s="19"/>
      <c r="W601" s="19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55" t="s">
        <v>21</v>
      </c>
      <c r="B602" s="55" t="s">
        <v>41</v>
      </c>
      <c r="C602" s="55" t="s">
        <v>62</v>
      </c>
      <c r="D602" s="55" t="s">
        <v>25</v>
      </c>
      <c r="E602" s="55" t="s">
        <v>25</v>
      </c>
      <c r="F602" s="55" t="s">
        <v>25</v>
      </c>
      <c r="G602" s="55" t="s">
        <v>63</v>
      </c>
      <c r="H602" s="55" t="s">
        <v>25</v>
      </c>
      <c r="I602" s="63">
        <v>44501</v>
      </c>
      <c r="J602" s="64">
        <f ca="1">EFEITO!$J$602*EFEITO!$Y$602</f>
        <v>0</v>
      </c>
      <c r="K602" s="64">
        <f ca="1">EFEITO!$L$602*EFEITO!$Z$602</f>
        <v>52421.036523561583</v>
      </c>
      <c r="L602" s="64">
        <f>EFEITO!$N$602*EFEITO!$AA$602</f>
        <v>0</v>
      </c>
      <c r="M602" s="64">
        <f ca="1">$J$602-EFEITO!$K$602*EFEITO!$Y$602</f>
        <v>0</v>
      </c>
      <c r="N602" s="64">
        <f ca="1">$K$602-EFEITO!$M$602*EFEITO!$Z$602</f>
        <v>0</v>
      </c>
      <c r="O602" s="64">
        <f>$L$602-EFEITO!$O$602*EFEITO!$AA$602</f>
        <v>0</v>
      </c>
      <c r="P602" s="19"/>
      <c r="Q602" s="19"/>
      <c r="R602" s="19"/>
      <c r="S602" s="19"/>
      <c r="T602" s="19"/>
      <c r="U602" s="19"/>
      <c r="V602" s="19"/>
      <c r="W602" s="19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55" t="s">
        <v>21</v>
      </c>
      <c r="B603" s="55" t="s">
        <v>41</v>
      </c>
      <c r="C603" s="55" t="s">
        <v>62</v>
      </c>
      <c r="D603" s="55" t="s">
        <v>25</v>
      </c>
      <c r="E603" s="55" t="s">
        <v>25</v>
      </c>
      <c r="F603" s="55" t="s">
        <v>25</v>
      </c>
      <c r="G603" s="55" t="s">
        <v>65</v>
      </c>
      <c r="H603" s="55" t="s">
        <v>25</v>
      </c>
      <c r="I603" s="63">
        <v>44501</v>
      </c>
      <c r="J603" s="64">
        <f ca="1">EFEITO!$J$603*EFEITO!$Y$603</f>
        <v>0</v>
      </c>
      <c r="K603" s="64">
        <f ca="1">EFEITO!$L$603*EFEITO!$Z$603</f>
        <v>27950.021685860389</v>
      </c>
      <c r="L603" s="64">
        <f>EFEITO!$N$603*EFEITO!$AA$603</f>
        <v>0</v>
      </c>
      <c r="M603" s="64">
        <f ca="1">$J$603-EFEITO!$K$603*EFEITO!$Y$603</f>
        <v>0</v>
      </c>
      <c r="N603" s="64">
        <f ca="1">$K$603-EFEITO!$M$603*EFEITO!$Z$603</f>
        <v>0</v>
      </c>
      <c r="O603" s="64">
        <f>$L$603-EFEITO!$O$603*EFEITO!$AA$603</f>
        <v>0</v>
      </c>
      <c r="P603" s="19"/>
      <c r="Q603" s="19"/>
      <c r="R603" s="19"/>
      <c r="S603" s="19"/>
      <c r="T603" s="19"/>
      <c r="U603" s="19"/>
      <c r="V603" s="19"/>
      <c r="W603" s="19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55" t="s">
        <v>21</v>
      </c>
      <c r="B604" s="55" t="s">
        <v>41</v>
      </c>
      <c r="C604" s="55" t="s">
        <v>62</v>
      </c>
      <c r="D604" s="55" t="s">
        <v>25</v>
      </c>
      <c r="E604" s="55" t="s">
        <v>25</v>
      </c>
      <c r="F604" s="55" t="s">
        <v>25</v>
      </c>
      <c r="G604" s="55" t="s">
        <v>63</v>
      </c>
      <c r="H604" s="55" t="s">
        <v>25</v>
      </c>
      <c r="I604" s="63">
        <v>44531</v>
      </c>
      <c r="J604" s="64">
        <f ca="1">EFEITO!$J$604*EFEITO!$Y$604</f>
        <v>0</v>
      </c>
      <c r="K604" s="64">
        <f ca="1">EFEITO!$L$604*EFEITO!$Z$604</f>
        <v>53767.37877320109</v>
      </c>
      <c r="L604" s="64">
        <f>EFEITO!$N$604*EFEITO!$AA$604</f>
        <v>0</v>
      </c>
      <c r="M604" s="64">
        <f ca="1">$J$604-EFEITO!$K$604*EFEITO!$Y$604</f>
        <v>0</v>
      </c>
      <c r="N604" s="64">
        <f ca="1">$K$604-EFEITO!$M$604*EFEITO!$Z$604</f>
        <v>0</v>
      </c>
      <c r="O604" s="64">
        <f>$L$604-EFEITO!$O$604*EFEITO!$AA$604</f>
        <v>0</v>
      </c>
      <c r="P604" s="19"/>
      <c r="Q604" s="19"/>
      <c r="R604" s="19"/>
      <c r="S604" s="19"/>
      <c r="T604" s="19"/>
      <c r="U604" s="19"/>
      <c r="V604" s="19"/>
      <c r="W604" s="19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55" t="s">
        <v>21</v>
      </c>
      <c r="B605" s="55" t="s">
        <v>41</v>
      </c>
      <c r="C605" s="55" t="s">
        <v>62</v>
      </c>
      <c r="D605" s="55" t="s">
        <v>25</v>
      </c>
      <c r="E605" s="55" t="s">
        <v>25</v>
      </c>
      <c r="F605" s="55" t="s">
        <v>25</v>
      </c>
      <c r="G605" s="55" t="s">
        <v>65</v>
      </c>
      <c r="H605" s="55" t="s">
        <v>25</v>
      </c>
      <c r="I605" s="63">
        <v>44531</v>
      </c>
      <c r="J605" s="64">
        <f ca="1">EFEITO!$J$605*EFEITO!$Y$605</f>
        <v>0</v>
      </c>
      <c r="K605" s="64">
        <f ca="1">EFEITO!$L$605*EFEITO!$Z$605</f>
        <v>26892.290281052832</v>
      </c>
      <c r="L605" s="64">
        <f>EFEITO!$N$605*EFEITO!$AA$605</f>
        <v>0</v>
      </c>
      <c r="M605" s="64">
        <f ca="1">$J$605-EFEITO!$K$605*EFEITO!$Y$605</f>
        <v>0</v>
      </c>
      <c r="N605" s="64">
        <f ca="1">$K$605-EFEITO!$M$605*EFEITO!$Z$605</f>
        <v>0</v>
      </c>
      <c r="O605" s="64">
        <f>$L$605-EFEITO!$O$605*EFEITO!$AA$605</f>
        <v>0</v>
      </c>
      <c r="P605" s="19"/>
      <c r="Q605" s="19"/>
      <c r="R605" s="19"/>
      <c r="S605" s="19"/>
      <c r="T605" s="19"/>
      <c r="U605" s="19"/>
      <c r="V605" s="19"/>
      <c r="W605" s="19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55" t="s">
        <v>21</v>
      </c>
      <c r="B606" s="55" t="s">
        <v>41</v>
      </c>
      <c r="C606" s="55" t="s">
        <v>62</v>
      </c>
      <c r="D606" s="55" t="s">
        <v>25</v>
      </c>
      <c r="E606" s="55" t="s">
        <v>25</v>
      </c>
      <c r="F606" s="55" t="s">
        <v>25</v>
      </c>
      <c r="G606" s="55" t="s">
        <v>63</v>
      </c>
      <c r="H606" s="55" t="s">
        <v>25</v>
      </c>
      <c r="I606" s="63">
        <v>44562</v>
      </c>
      <c r="J606" s="64">
        <f ca="1">EFEITO!$J$606*EFEITO!$Y$606</f>
        <v>0</v>
      </c>
      <c r="K606" s="64">
        <f ca="1">EFEITO!$L$606*EFEITO!$Z$606</f>
        <v>55149.36115097037</v>
      </c>
      <c r="L606" s="64">
        <f>EFEITO!$N$606*EFEITO!$AA$606</f>
        <v>0</v>
      </c>
      <c r="M606" s="64">
        <f ca="1">$J$606-EFEITO!$K$606*EFEITO!$Y$606</f>
        <v>0</v>
      </c>
      <c r="N606" s="64">
        <f ca="1">$K$606-EFEITO!$M$606*EFEITO!$Z$606</f>
        <v>0</v>
      </c>
      <c r="O606" s="64">
        <f>$L$606-EFEITO!$O$606*EFEITO!$AA$606</f>
        <v>0</v>
      </c>
      <c r="P606" s="19"/>
      <c r="Q606" s="19"/>
      <c r="R606" s="19"/>
      <c r="S606" s="19"/>
      <c r="T606" s="19"/>
      <c r="U606" s="19"/>
      <c r="V606" s="19"/>
      <c r="W606" s="19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55" t="s">
        <v>21</v>
      </c>
      <c r="B607" s="55" t="s">
        <v>41</v>
      </c>
      <c r="C607" s="55" t="s">
        <v>62</v>
      </c>
      <c r="D607" s="55" t="s">
        <v>25</v>
      </c>
      <c r="E607" s="55" t="s">
        <v>25</v>
      </c>
      <c r="F607" s="55" t="s">
        <v>25</v>
      </c>
      <c r="G607" s="55" t="s">
        <v>65</v>
      </c>
      <c r="H607" s="55" t="s">
        <v>25</v>
      </c>
      <c r="I607" s="63">
        <v>44562</v>
      </c>
      <c r="J607" s="64">
        <f ca="1">EFEITO!$J$607*EFEITO!$Y$607</f>
        <v>0</v>
      </c>
      <c r="K607" s="64">
        <f ca="1">EFEITO!$L$607*EFEITO!$Z$607</f>
        <v>25564.468807326568</v>
      </c>
      <c r="L607" s="64">
        <f>EFEITO!$N$607*EFEITO!$AA$607</f>
        <v>0</v>
      </c>
      <c r="M607" s="64">
        <f ca="1">$J$607-EFEITO!$K$607*EFEITO!$Y$607</f>
        <v>0</v>
      </c>
      <c r="N607" s="64">
        <f ca="1">$K$607-EFEITO!$M$607*EFEITO!$Z$607</f>
        <v>0</v>
      </c>
      <c r="O607" s="64">
        <f>$L$607-EFEITO!$O$607*EFEITO!$AA$607</f>
        <v>0</v>
      </c>
      <c r="P607" s="19"/>
      <c r="Q607" s="19"/>
      <c r="R607" s="19"/>
      <c r="S607" s="19"/>
      <c r="T607" s="19"/>
      <c r="U607" s="19"/>
      <c r="V607" s="19"/>
      <c r="W607" s="19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55" t="s">
        <v>21</v>
      </c>
      <c r="B608" s="55" t="s">
        <v>41</v>
      </c>
      <c r="C608" s="55" t="s">
        <v>62</v>
      </c>
      <c r="D608" s="55" t="s">
        <v>25</v>
      </c>
      <c r="E608" s="55" t="s">
        <v>25</v>
      </c>
      <c r="F608" s="55" t="s">
        <v>25</v>
      </c>
      <c r="G608" s="55" t="s">
        <v>63</v>
      </c>
      <c r="H608" s="55" t="s">
        <v>25</v>
      </c>
      <c r="I608" s="63">
        <v>44593</v>
      </c>
      <c r="J608" s="64">
        <f ca="1">EFEITO!$J$608*EFEITO!$Y$608</f>
        <v>0</v>
      </c>
      <c r="K608" s="64">
        <f ca="1">EFEITO!$L$608*EFEITO!$Z$608</f>
        <v>51060.212895722856</v>
      </c>
      <c r="L608" s="64">
        <f>EFEITO!$N$608*EFEITO!$AA$608</f>
        <v>0</v>
      </c>
      <c r="M608" s="64">
        <f ca="1">$J$608-EFEITO!$K$608*EFEITO!$Y$608</f>
        <v>0</v>
      </c>
      <c r="N608" s="64">
        <f ca="1">$K$608-EFEITO!$M$608*EFEITO!$Z$608</f>
        <v>0</v>
      </c>
      <c r="O608" s="64">
        <f>$L$608-EFEITO!$O$608*EFEITO!$AA$608</f>
        <v>0</v>
      </c>
      <c r="P608" s="19"/>
      <c r="Q608" s="19"/>
      <c r="R608" s="19"/>
      <c r="S608" s="19"/>
      <c r="T608" s="19"/>
      <c r="U608" s="19"/>
      <c r="V608" s="19"/>
      <c r="W608" s="19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55" t="s">
        <v>21</v>
      </c>
      <c r="B609" s="55" t="s">
        <v>41</v>
      </c>
      <c r="C609" s="55" t="s">
        <v>62</v>
      </c>
      <c r="D609" s="55" t="s">
        <v>25</v>
      </c>
      <c r="E609" s="55" t="s">
        <v>25</v>
      </c>
      <c r="F609" s="55" t="s">
        <v>25</v>
      </c>
      <c r="G609" s="55" t="s">
        <v>65</v>
      </c>
      <c r="H609" s="55" t="s">
        <v>25</v>
      </c>
      <c r="I609" s="63">
        <v>44593</v>
      </c>
      <c r="J609" s="64">
        <f ca="1">EFEITO!$J$609*EFEITO!$Y$609</f>
        <v>0</v>
      </c>
      <c r="K609" s="64">
        <f ca="1">EFEITO!$L$609*EFEITO!$Z$609</f>
        <v>26064.488538639958</v>
      </c>
      <c r="L609" s="64">
        <f>EFEITO!$N$609*EFEITO!$AA$609</f>
        <v>0</v>
      </c>
      <c r="M609" s="64">
        <f ca="1">$J$609-EFEITO!$K$609*EFEITO!$Y$609</f>
        <v>0</v>
      </c>
      <c r="N609" s="64">
        <f ca="1">$K$609-EFEITO!$M$609*EFEITO!$Z$609</f>
        <v>0</v>
      </c>
      <c r="O609" s="64">
        <f>$L$609-EFEITO!$O$609*EFEITO!$AA$609</f>
        <v>0</v>
      </c>
      <c r="P609" s="19"/>
      <c r="Q609" s="19"/>
      <c r="R609" s="19"/>
      <c r="S609" s="19"/>
      <c r="T609" s="19"/>
      <c r="U609" s="19"/>
      <c r="V609" s="19"/>
      <c r="W609" s="19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55" t="s">
        <v>21</v>
      </c>
      <c r="B610" s="55" t="s">
        <v>41</v>
      </c>
      <c r="C610" s="55" t="s">
        <v>62</v>
      </c>
      <c r="D610" s="55" t="s">
        <v>25</v>
      </c>
      <c r="E610" s="55" t="s">
        <v>25</v>
      </c>
      <c r="F610" s="55" t="s">
        <v>25</v>
      </c>
      <c r="G610" s="55" t="s">
        <v>63</v>
      </c>
      <c r="H610" s="55" t="s">
        <v>25</v>
      </c>
      <c r="I610" s="63">
        <v>44621</v>
      </c>
      <c r="J610" s="64">
        <f ca="1">EFEITO!$J$610*EFEITO!$Y$610</f>
        <v>0</v>
      </c>
      <c r="K610" s="64">
        <f ca="1">EFEITO!$L$610*EFEITO!$Z$610</f>
        <v>48257.667770181055</v>
      </c>
      <c r="L610" s="64">
        <f>EFEITO!$N$610*EFEITO!$AA$610</f>
        <v>0</v>
      </c>
      <c r="M610" s="64">
        <f ca="1">$J$610-EFEITO!$K$610*EFEITO!$Y$610</f>
        <v>0</v>
      </c>
      <c r="N610" s="64">
        <f ca="1">$K$610-EFEITO!$M$610*EFEITO!$Z$610</f>
        <v>0</v>
      </c>
      <c r="O610" s="64">
        <f>$L$610-EFEITO!$O$610*EFEITO!$AA$610</f>
        <v>0</v>
      </c>
      <c r="P610" s="19"/>
      <c r="Q610" s="19"/>
      <c r="R610" s="19"/>
      <c r="S610" s="19"/>
      <c r="T610" s="19"/>
      <c r="U610" s="19"/>
      <c r="V610" s="19"/>
      <c r="W610" s="19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55" t="s">
        <v>21</v>
      </c>
      <c r="B611" s="55" t="s">
        <v>41</v>
      </c>
      <c r="C611" s="55" t="s">
        <v>62</v>
      </c>
      <c r="D611" s="55" t="s">
        <v>25</v>
      </c>
      <c r="E611" s="55" t="s">
        <v>25</v>
      </c>
      <c r="F611" s="55" t="s">
        <v>25</v>
      </c>
      <c r="G611" s="55" t="s">
        <v>65</v>
      </c>
      <c r="H611" s="55" t="s">
        <v>25</v>
      </c>
      <c r="I611" s="63">
        <v>44621</v>
      </c>
      <c r="J611" s="64">
        <f ca="1">EFEITO!$J$611*EFEITO!$Y$611</f>
        <v>0</v>
      </c>
      <c r="K611" s="64">
        <f ca="1">EFEITO!$L$611*EFEITO!$Z$611</f>
        <v>25743.397638719809</v>
      </c>
      <c r="L611" s="64">
        <f>EFEITO!$N$611*EFEITO!$AA$611</f>
        <v>0</v>
      </c>
      <c r="M611" s="64">
        <f ca="1">$J$611-EFEITO!$K$611*EFEITO!$Y$611</f>
        <v>0</v>
      </c>
      <c r="N611" s="64">
        <f ca="1">$K$611-EFEITO!$M$611*EFEITO!$Z$611</f>
        <v>0</v>
      </c>
      <c r="O611" s="64">
        <f>$L$611-EFEITO!$O$611*EFEITO!$AA$611</f>
        <v>0</v>
      </c>
      <c r="P611" s="19"/>
      <c r="Q611" s="19"/>
      <c r="R611" s="19"/>
      <c r="S611" s="19"/>
      <c r="T611" s="19"/>
      <c r="U611" s="19"/>
      <c r="V611" s="19"/>
      <c r="W611" s="19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55" t="s">
        <v>21</v>
      </c>
      <c r="B612" s="55" t="s">
        <v>41</v>
      </c>
      <c r="C612" s="55" t="s">
        <v>62</v>
      </c>
      <c r="D612" s="55" t="s">
        <v>25</v>
      </c>
      <c r="E612" s="55" t="s">
        <v>25</v>
      </c>
      <c r="F612" s="55" t="s">
        <v>25</v>
      </c>
      <c r="G612" s="55" t="s">
        <v>63</v>
      </c>
      <c r="H612" s="55" t="s">
        <v>25</v>
      </c>
      <c r="I612" s="63">
        <v>44652</v>
      </c>
      <c r="J612" s="64">
        <f ca="1">EFEITO!$J$612*EFEITO!$Y$612</f>
        <v>0</v>
      </c>
      <c r="K612" s="64">
        <f ca="1">EFEITO!$L$612*EFEITO!$Z$612</f>
        <v>53504.268343869859</v>
      </c>
      <c r="L612" s="64">
        <f>EFEITO!$N$612*EFEITO!$AA$612</f>
        <v>0</v>
      </c>
      <c r="M612" s="64">
        <f ca="1">$J$612-EFEITO!$K$612*EFEITO!$Y$612</f>
        <v>0</v>
      </c>
      <c r="N612" s="64">
        <f ca="1">$K$612-EFEITO!$M$612*EFEITO!$Z$612</f>
        <v>0</v>
      </c>
      <c r="O612" s="64">
        <f>$L$612-EFEITO!$O$612*EFEITO!$AA$612</f>
        <v>0</v>
      </c>
      <c r="P612" s="19"/>
      <c r="Q612" s="19"/>
      <c r="R612" s="19"/>
      <c r="S612" s="19"/>
      <c r="T612" s="19"/>
      <c r="U612" s="19"/>
      <c r="V612" s="19"/>
      <c r="W612" s="19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55" t="s">
        <v>21</v>
      </c>
      <c r="B613" s="55" t="s">
        <v>41</v>
      </c>
      <c r="C613" s="55" t="s">
        <v>62</v>
      </c>
      <c r="D613" s="55" t="s">
        <v>25</v>
      </c>
      <c r="E613" s="55" t="s">
        <v>25</v>
      </c>
      <c r="F613" s="55" t="s">
        <v>25</v>
      </c>
      <c r="G613" s="55" t="s">
        <v>65</v>
      </c>
      <c r="H613" s="55" t="s">
        <v>25</v>
      </c>
      <c r="I613" s="63">
        <v>44652</v>
      </c>
      <c r="J613" s="64">
        <f ca="1">EFEITO!$J$613*EFEITO!$Y$613</f>
        <v>0</v>
      </c>
      <c r="K613" s="64">
        <f ca="1">EFEITO!$L$613*EFEITO!$Z$613</f>
        <v>28081.041062053737</v>
      </c>
      <c r="L613" s="64">
        <f>EFEITO!$N$613*EFEITO!$AA$613</f>
        <v>0</v>
      </c>
      <c r="M613" s="64">
        <f ca="1">$J$613-EFEITO!$K$613*EFEITO!$Y$613</f>
        <v>0</v>
      </c>
      <c r="N613" s="64">
        <f ca="1">$K$613-EFEITO!$M$613*EFEITO!$Z$613</f>
        <v>0</v>
      </c>
      <c r="O613" s="64">
        <f>$L$613-EFEITO!$O$613*EFEITO!$AA$613</f>
        <v>0</v>
      </c>
      <c r="P613" s="19"/>
      <c r="Q613" s="19"/>
      <c r="R613" s="19"/>
      <c r="S613" s="19"/>
      <c r="T613" s="19"/>
      <c r="U613" s="19"/>
      <c r="V613" s="19"/>
      <c r="W613" s="19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55" t="s">
        <v>21</v>
      </c>
      <c r="B614" s="55" t="s">
        <v>41</v>
      </c>
      <c r="C614" s="55" t="s">
        <v>62</v>
      </c>
      <c r="D614" s="55" t="s">
        <v>25</v>
      </c>
      <c r="E614" s="55" t="s">
        <v>25</v>
      </c>
      <c r="F614" s="55" t="s">
        <v>25</v>
      </c>
      <c r="G614" s="55" t="s">
        <v>63</v>
      </c>
      <c r="H614" s="55" t="s">
        <v>25</v>
      </c>
      <c r="I614" s="63">
        <v>44682</v>
      </c>
      <c r="J614" s="64">
        <f ca="1">EFEITO!$J$614*EFEITO!$Y$614</f>
        <v>0</v>
      </c>
      <c r="K614" s="64">
        <f ca="1">EFEITO!$L$614*EFEITO!$Z$614</f>
        <v>50913.83281665785</v>
      </c>
      <c r="L614" s="64">
        <f>EFEITO!$N$614*EFEITO!$AA$614</f>
        <v>0</v>
      </c>
      <c r="M614" s="64">
        <f ca="1">$J$614-EFEITO!$K$614*EFEITO!$Y$614</f>
        <v>0</v>
      </c>
      <c r="N614" s="64">
        <f ca="1">$K$614-EFEITO!$M$614*EFEITO!$Z$614</f>
        <v>0</v>
      </c>
      <c r="O614" s="64">
        <f>$L$614-EFEITO!$O$614*EFEITO!$AA$614</f>
        <v>0</v>
      </c>
      <c r="P614" s="19"/>
      <c r="Q614" s="19"/>
      <c r="R614" s="19"/>
      <c r="S614" s="19"/>
      <c r="T614" s="19"/>
      <c r="U614" s="19"/>
      <c r="V614" s="19"/>
      <c r="W614" s="19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55" t="s">
        <v>21</v>
      </c>
      <c r="B615" s="55" t="s">
        <v>41</v>
      </c>
      <c r="C615" s="55" t="s">
        <v>62</v>
      </c>
      <c r="D615" s="55" t="s">
        <v>25</v>
      </c>
      <c r="E615" s="55" t="s">
        <v>25</v>
      </c>
      <c r="F615" s="55" t="s">
        <v>25</v>
      </c>
      <c r="G615" s="55" t="s">
        <v>65</v>
      </c>
      <c r="H615" s="55" t="s">
        <v>25</v>
      </c>
      <c r="I615" s="63">
        <v>44682</v>
      </c>
      <c r="J615" s="64">
        <f ca="1">EFEITO!$J$615*EFEITO!$Y$615</f>
        <v>0</v>
      </c>
      <c r="K615" s="64">
        <f ca="1">EFEITO!$L$615*EFEITO!$Z$615</f>
        <v>29285.83951832664</v>
      </c>
      <c r="L615" s="64">
        <f>EFEITO!$N$615*EFEITO!$AA$615</f>
        <v>0</v>
      </c>
      <c r="M615" s="64">
        <f ca="1">$J$615-EFEITO!$K$615*EFEITO!$Y$615</f>
        <v>0</v>
      </c>
      <c r="N615" s="64">
        <f ca="1">$K$615-EFEITO!$M$615*EFEITO!$Z$615</f>
        <v>0</v>
      </c>
      <c r="O615" s="64">
        <f>$L$615-EFEITO!$O$615*EFEITO!$AA$615</f>
        <v>0</v>
      </c>
      <c r="P615" s="19"/>
      <c r="Q615" s="19"/>
      <c r="R615" s="19"/>
      <c r="S615" s="19"/>
      <c r="T615" s="19"/>
      <c r="U615" s="19"/>
      <c r="V615" s="19"/>
      <c r="W615" s="19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55" t="s">
        <v>21</v>
      </c>
      <c r="B616" s="55" t="s">
        <v>41</v>
      </c>
      <c r="C616" s="55" t="s">
        <v>62</v>
      </c>
      <c r="D616" s="55" t="s">
        <v>25</v>
      </c>
      <c r="E616" s="55" t="s">
        <v>25</v>
      </c>
      <c r="F616" s="55" t="s">
        <v>25</v>
      </c>
      <c r="G616" s="55" t="s">
        <v>63</v>
      </c>
      <c r="H616" s="55" t="s">
        <v>25</v>
      </c>
      <c r="I616" s="63">
        <v>44713</v>
      </c>
      <c r="J616" s="64">
        <f ca="1">EFEITO!$J$616*EFEITO!$Y$616</f>
        <v>0</v>
      </c>
      <c r="K616" s="64">
        <f ca="1">EFEITO!$L$616*EFEITO!$Z$616</f>
        <v>50816.117862433115</v>
      </c>
      <c r="L616" s="64">
        <f>EFEITO!$N$616*EFEITO!$AA$616</f>
        <v>0</v>
      </c>
      <c r="M616" s="64">
        <f ca="1">$J$616-EFEITO!$K$616*EFEITO!$Y$616</f>
        <v>0</v>
      </c>
      <c r="N616" s="64">
        <f ca="1">$K$616-EFEITO!$M$616*EFEITO!$Z$616</f>
        <v>0</v>
      </c>
      <c r="O616" s="64">
        <f>$L$616-EFEITO!$O$616*EFEITO!$AA$616</f>
        <v>0</v>
      </c>
      <c r="P616" s="19"/>
      <c r="Q616" s="19"/>
      <c r="R616" s="19"/>
      <c r="S616" s="19"/>
      <c r="T616" s="19"/>
      <c r="U616" s="19"/>
      <c r="V616" s="19"/>
      <c r="W616" s="19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55" t="s">
        <v>21</v>
      </c>
      <c r="B617" s="55" t="s">
        <v>41</v>
      </c>
      <c r="C617" s="55" t="s">
        <v>62</v>
      </c>
      <c r="D617" s="55" t="s">
        <v>25</v>
      </c>
      <c r="E617" s="55" t="s">
        <v>25</v>
      </c>
      <c r="F617" s="55" t="s">
        <v>25</v>
      </c>
      <c r="G617" s="55" t="s">
        <v>65</v>
      </c>
      <c r="H617" s="55" t="s">
        <v>25</v>
      </c>
      <c r="I617" s="63">
        <v>44713</v>
      </c>
      <c r="J617" s="64">
        <f ca="1">EFEITO!$J$617*EFEITO!$Y$617</f>
        <v>0</v>
      </c>
      <c r="K617" s="64">
        <f ca="1">EFEITO!$L$617*EFEITO!$Z$617</f>
        <v>27308.307027252325</v>
      </c>
      <c r="L617" s="64">
        <f>EFEITO!$N$617*EFEITO!$AA$617</f>
        <v>0</v>
      </c>
      <c r="M617" s="64">
        <f ca="1">$J$617-EFEITO!$K$617*EFEITO!$Y$617</f>
        <v>0</v>
      </c>
      <c r="N617" s="64">
        <f ca="1">$K$617-EFEITO!$M$617*EFEITO!$Z$617</f>
        <v>0</v>
      </c>
      <c r="O617" s="64">
        <f>$L$617-EFEITO!$O$617*EFEITO!$AA$617</f>
        <v>0</v>
      </c>
      <c r="P617" s="19"/>
      <c r="Q617" s="19"/>
      <c r="R617" s="19"/>
      <c r="S617" s="19"/>
      <c r="T617" s="19"/>
      <c r="U617" s="19"/>
      <c r="V617" s="19"/>
      <c r="W617" s="19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55" t="s">
        <v>57</v>
      </c>
      <c r="B618" s="55" t="s">
        <v>41</v>
      </c>
      <c r="C618" s="55" t="s">
        <v>62</v>
      </c>
      <c r="D618" s="55" t="s">
        <v>25</v>
      </c>
      <c r="E618" s="55" t="s">
        <v>25</v>
      </c>
      <c r="F618" s="55" t="s">
        <v>25</v>
      </c>
      <c r="G618" s="55" t="s">
        <v>63</v>
      </c>
      <c r="H618" s="55" t="s">
        <v>25</v>
      </c>
      <c r="I618" s="63">
        <v>44743</v>
      </c>
      <c r="J618" s="64">
        <f ca="1">EFEITO!$J$618*EFEITO!$Y$618</f>
        <v>0</v>
      </c>
      <c r="K618" s="64">
        <f ca="1">EFEITO!$L$618*EFEITO!$Z$618</f>
        <v>50816.117862433115</v>
      </c>
      <c r="L618" s="64">
        <f>EFEITO!$N$618*EFEITO!$AA$618</f>
        <v>0</v>
      </c>
      <c r="M618" s="64">
        <f ca="1">$J$618-EFEITO!$K$618*EFEITO!$Y$618</f>
        <v>0</v>
      </c>
      <c r="N618" s="64">
        <f ca="1">$K$618-EFEITO!$M$618*EFEITO!$Z$618</f>
        <v>0</v>
      </c>
      <c r="O618" s="64">
        <f>$L$618-EFEITO!$O$618*EFEITO!$AA$618</f>
        <v>0</v>
      </c>
      <c r="P618" s="19"/>
      <c r="Q618" s="19"/>
      <c r="R618" s="19"/>
      <c r="S618" s="19"/>
      <c r="T618" s="19"/>
      <c r="U618" s="19"/>
      <c r="V618" s="19"/>
      <c r="W618" s="19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55" t="s">
        <v>57</v>
      </c>
      <c r="B619" s="55" t="s">
        <v>41</v>
      </c>
      <c r="C619" s="55" t="s">
        <v>62</v>
      </c>
      <c r="D619" s="55" t="s">
        <v>25</v>
      </c>
      <c r="E619" s="55" t="s">
        <v>25</v>
      </c>
      <c r="F619" s="55" t="s">
        <v>25</v>
      </c>
      <c r="G619" s="55" t="s">
        <v>65</v>
      </c>
      <c r="H619" s="55" t="s">
        <v>25</v>
      </c>
      <c r="I619" s="63">
        <v>44743</v>
      </c>
      <c r="J619" s="64">
        <f ca="1">EFEITO!$J$619*EFEITO!$Y$619</f>
        <v>0</v>
      </c>
      <c r="K619" s="64">
        <f ca="1">EFEITO!$L$619*EFEITO!$Z$619</f>
        <v>27308.307027252325</v>
      </c>
      <c r="L619" s="64">
        <f>EFEITO!$N$619*EFEITO!$AA$619</f>
        <v>0</v>
      </c>
      <c r="M619" s="64">
        <f ca="1">$J$619-EFEITO!$K$619*EFEITO!$Y$619</f>
        <v>0</v>
      </c>
      <c r="N619" s="64">
        <f ca="1">$K$619-EFEITO!$M$619*EFEITO!$Z$619</f>
        <v>0</v>
      </c>
      <c r="O619" s="64">
        <f>$L$619-EFEITO!$O$619*EFEITO!$AA$619</f>
        <v>0</v>
      </c>
      <c r="P619" s="19"/>
      <c r="Q619" s="19"/>
      <c r="R619" s="19"/>
      <c r="S619" s="19"/>
      <c r="T619" s="19"/>
      <c r="U619" s="19"/>
      <c r="V619" s="19"/>
      <c r="W619" s="19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55" t="s">
        <v>21</v>
      </c>
      <c r="B620" s="55" t="s">
        <v>41</v>
      </c>
      <c r="C620" s="55" t="s">
        <v>62</v>
      </c>
      <c r="D620" s="55" t="s">
        <v>25</v>
      </c>
      <c r="E620" s="55" t="s">
        <v>25</v>
      </c>
      <c r="F620" s="55" t="s">
        <v>25</v>
      </c>
      <c r="G620" s="55" t="s">
        <v>63</v>
      </c>
      <c r="H620" s="55" t="s">
        <v>34</v>
      </c>
      <c r="I620" s="63">
        <v>44409</v>
      </c>
      <c r="J620" s="64">
        <f ca="1">EFEITO!$J$620*EFEITO!$Y$620</f>
        <v>192887.98331533521</v>
      </c>
      <c r="K620" s="64">
        <f ca="1">EFEITO!$L$620*EFEITO!$Z$620</f>
        <v>0</v>
      </c>
      <c r="L620" s="64">
        <f>EFEITO!$N$620*EFEITO!$AA$620</f>
        <v>0</v>
      </c>
      <c r="M620" s="64">
        <f ca="1">$J$620-EFEITO!$K$620*EFEITO!$Y$620</f>
        <v>0</v>
      </c>
      <c r="N620" s="64">
        <f ca="1">$K$620-EFEITO!$M$620*EFEITO!$Z$620</f>
        <v>0</v>
      </c>
      <c r="O620" s="64">
        <f>$L$620-EFEITO!$O$620*EFEITO!$AA$620</f>
        <v>0</v>
      </c>
      <c r="P620" s="19"/>
      <c r="Q620" s="19"/>
      <c r="R620" s="19"/>
      <c r="S620" s="19"/>
      <c r="T620" s="19"/>
      <c r="U620" s="19"/>
      <c r="V620" s="19"/>
      <c r="W620" s="19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55" t="s">
        <v>21</v>
      </c>
      <c r="B621" s="55" t="s">
        <v>41</v>
      </c>
      <c r="C621" s="55" t="s">
        <v>62</v>
      </c>
      <c r="D621" s="55" t="s">
        <v>25</v>
      </c>
      <c r="E621" s="55" t="s">
        <v>25</v>
      </c>
      <c r="F621" s="55" t="s">
        <v>25</v>
      </c>
      <c r="G621" s="55" t="s">
        <v>65</v>
      </c>
      <c r="H621" s="55" t="s">
        <v>34</v>
      </c>
      <c r="I621" s="63">
        <v>44409</v>
      </c>
      <c r="J621" s="64">
        <f ca="1">EFEITO!$J$621*EFEITO!$Y$621</f>
        <v>55055.353027999576</v>
      </c>
      <c r="K621" s="64">
        <f ca="1">EFEITO!$L$621*EFEITO!$Z$621</f>
        <v>0</v>
      </c>
      <c r="L621" s="64">
        <f>EFEITO!$N$621*EFEITO!$AA$621</f>
        <v>0</v>
      </c>
      <c r="M621" s="64">
        <f ca="1">$J$621-EFEITO!$K$621*EFEITO!$Y$621</f>
        <v>0</v>
      </c>
      <c r="N621" s="64">
        <f ca="1">$K$621-EFEITO!$M$621*EFEITO!$Z$621</f>
        <v>0</v>
      </c>
      <c r="O621" s="64">
        <f>$L$621-EFEITO!$O$621*EFEITO!$AA$621</f>
        <v>0</v>
      </c>
      <c r="P621" s="19"/>
      <c r="Q621" s="19"/>
      <c r="R621" s="19"/>
      <c r="S621" s="19"/>
      <c r="T621" s="19"/>
      <c r="U621" s="19"/>
      <c r="V621" s="19"/>
      <c r="W621" s="19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55" t="s">
        <v>21</v>
      </c>
      <c r="B622" s="55" t="s">
        <v>41</v>
      </c>
      <c r="C622" s="55" t="s">
        <v>62</v>
      </c>
      <c r="D622" s="55" t="s">
        <v>25</v>
      </c>
      <c r="E622" s="55" t="s">
        <v>25</v>
      </c>
      <c r="F622" s="55" t="s">
        <v>25</v>
      </c>
      <c r="G622" s="55" t="s">
        <v>63</v>
      </c>
      <c r="H622" s="55" t="s">
        <v>34</v>
      </c>
      <c r="I622" s="63">
        <v>44440</v>
      </c>
      <c r="J622" s="64">
        <f ca="1">EFEITO!$J$622*EFEITO!$Y$622</f>
        <v>192887.98331533521</v>
      </c>
      <c r="K622" s="64">
        <f ca="1">EFEITO!$L$622*EFEITO!$Z$622</f>
        <v>0</v>
      </c>
      <c r="L622" s="64">
        <f>EFEITO!$N$622*EFEITO!$AA$622</f>
        <v>0</v>
      </c>
      <c r="M622" s="64">
        <f ca="1">$J$622-EFEITO!$K$622*EFEITO!$Y$622</f>
        <v>0</v>
      </c>
      <c r="N622" s="64">
        <f ca="1">$K$622-EFEITO!$M$622*EFEITO!$Z$622</f>
        <v>0</v>
      </c>
      <c r="O622" s="64">
        <f>$L$622-EFEITO!$O$622*EFEITO!$AA$622</f>
        <v>0</v>
      </c>
      <c r="P622" s="19"/>
      <c r="Q622" s="19"/>
      <c r="R622" s="19"/>
      <c r="S622" s="19"/>
      <c r="T622" s="19"/>
      <c r="U622" s="19"/>
      <c r="V622" s="19"/>
      <c r="W622" s="19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55" t="s">
        <v>21</v>
      </c>
      <c r="B623" s="55" t="s">
        <v>41</v>
      </c>
      <c r="C623" s="55" t="s">
        <v>62</v>
      </c>
      <c r="D623" s="55" t="s">
        <v>25</v>
      </c>
      <c r="E623" s="55" t="s">
        <v>25</v>
      </c>
      <c r="F623" s="55" t="s">
        <v>25</v>
      </c>
      <c r="G623" s="55" t="s">
        <v>65</v>
      </c>
      <c r="H623" s="55" t="s">
        <v>34</v>
      </c>
      <c r="I623" s="63">
        <v>44440</v>
      </c>
      <c r="J623" s="64">
        <f ca="1">EFEITO!$J$623*EFEITO!$Y$623</f>
        <v>54944.354332378607</v>
      </c>
      <c r="K623" s="64">
        <f ca="1">EFEITO!$L$623*EFEITO!$Z$623</f>
        <v>0</v>
      </c>
      <c r="L623" s="64">
        <f>EFEITO!$N$623*EFEITO!$AA$623</f>
        <v>0</v>
      </c>
      <c r="M623" s="64">
        <f ca="1">$J$623-EFEITO!$K$623*EFEITO!$Y$623</f>
        <v>0</v>
      </c>
      <c r="N623" s="64">
        <f ca="1">$K$623-EFEITO!$M$623*EFEITO!$Z$623</f>
        <v>0</v>
      </c>
      <c r="O623" s="64">
        <f>$L$623-EFEITO!$O$623*EFEITO!$AA$623</f>
        <v>0</v>
      </c>
      <c r="P623" s="19"/>
      <c r="Q623" s="19"/>
      <c r="R623" s="19"/>
      <c r="S623" s="19"/>
      <c r="T623" s="19"/>
      <c r="U623" s="19"/>
      <c r="V623" s="19"/>
      <c r="W623" s="19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55" t="s">
        <v>21</v>
      </c>
      <c r="B624" s="55" t="s">
        <v>41</v>
      </c>
      <c r="C624" s="55" t="s">
        <v>62</v>
      </c>
      <c r="D624" s="55" t="s">
        <v>25</v>
      </c>
      <c r="E624" s="55" t="s">
        <v>25</v>
      </c>
      <c r="F624" s="55" t="s">
        <v>25</v>
      </c>
      <c r="G624" s="55" t="s">
        <v>63</v>
      </c>
      <c r="H624" s="55" t="s">
        <v>34</v>
      </c>
      <c r="I624" s="63">
        <v>44470</v>
      </c>
      <c r="J624" s="64">
        <f ca="1">EFEITO!$J$624*EFEITO!$Y$624</f>
        <v>192887.98331533521</v>
      </c>
      <c r="K624" s="64">
        <f ca="1">EFEITO!$L$624*EFEITO!$Z$624</f>
        <v>0</v>
      </c>
      <c r="L624" s="64">
        <f>EFEITO!$N$624*EFEITO!$AA$624</f>
        <v>0</v>
      </c>
      <c r="M624" s="64">
        <f ca="1">$J$624-EFEITO!$K$624*EFEITO!$Y$624</f>
        <v>0</v>
      </c>
      <c r="N624" s="64">
        <f ca="1">$K$624-EFEITO!$M$624*EFEITO!$Z$624</f>
        <v>0</v>
      </c>
      <c r="O624" s="64">
        <f>$L$624-EFEITO!$O$624*EFEITO!$AA$624</f>
        <v>0</v>
      </c>
      <c r="P624" s="19"/>
      <c r="Q624" s="19"/>
      <c r="R624" s="19"/>
      <c r="S624" s="19"/>
      <c r="T624" s="19"/>
      <c r="U624" s="19"/>
      <c r="V624" s="19"/>
      <c r="W624" s="19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55" t="s">
        <v>21</v>
      </c>
      <c r="B625" s="55" t="s">
        <v>41</v>
      </c>
      <c r="C625" s="55" t="s">
        <v>62</v>
      </c>
      <c r="D625" s="55" t="s">
        <v>25</v>
      </c>
      <c r="E625" s="55" t="s">
        <v>25</v>
      </c>
      <c r="F625" s="55" t="s">
        <v>25</v>
      </c>
      <c r="G625" s="55" t="s">
        <v>65</v>
      </c>
      <c r="H625" s="55" t="s">
        <v>34</v>
      </c>
      <c r="I625" s="63">
        <v>44470</v>
      </c>
      <c r="J625" s="64">
        <f ca="1">EFEITO!$J$625*EFEITO!$Y$625</f>
        <v>56498.336071072146</v>
      </c>
      <c r="K625" s="64">
        <f ca="1">EFEITO!$L$625*EFEITO!$Z$625</f>
        <v>0</v>
      </c>
      <c r="L625" s="64">
        <f>EFEITO!$N$625*EFEITO!$AA$625</f>
        <v>0</v>
      </c>
      <c r="M625" s="64">
        <f ca="1">$J$625-EFEITO!$K$625*EFEITO!$Y$625</f>
        <v>0</v>
      </c>
      <c r="N625" s="64">
        <f ca="1">$K$625-EFEITO!$M$625*EFEITO!$Z$625</f>
        <v>0</v>
      </c>
      <c r="O625" s="64">
        <f>$L$625-EFEITO!$O$625*EFEITO!$AA$625</f>
        <v>0</v>
      </c>
      <c r="P625" s="19"/>
      <c r="Q625" s="19"/>
      <c r="R625" s="19"/>
      <c r="S625" s="19"/>
      <c r="T625" s="19"/>
      <c r="U625" s="19"/>
      <c r="V625" s="19"/>
      <c r="W625" s="19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55" t="s">
        <v>21</v>
      </c>
      <c r="B626" s="55" t="s">
        <v>41</v>
      </c>
      <c r="C626" s="55" t="s">
        <v>62</v>
      </c>
      <c r="D626" s="55" t="s">
        <v>25</v>
      </c>
      <c r="E626" s="55" t="s">
        <v>25</v>
      </c>
      <c r="F626" s="55" t="s">
        <v>25</v>
      </c>
      <c r="G626" s="55" t="s">
        <v>63</v>
      </c>
      <c r="H626" s="55" t="s">
        <v>34</v>
      </c>
      <c r="I626" s="63">
        <v>44501</v>
      </c>
      <c r="J626" s="64">
        <f ca="1">EFEITO!$J$626*EFEITO!$Y$626</f>
        <v>192887.98331533521</v>
      </c>
      <c r="K626" s="64">
        <f ca="1">EFEITO!$L$626*EFEITO!$Z$626</f>
        <v>0</v>
      </c>
      <c r="L626" s="64">
        <f>EFEITO!$N$626*EFEITO!$AA$626</f>
        <v>0</v>
      </c>
      <c r="M626" s="64">
        <f ca="1">$J$626-EFEITO!$K$626*EFEITO!$Y$626</f>
        <v>0</v>
      </c>
      <c r="N626" s="64">
        <f ca="1">$K$626-EFEITO!$M$626*EFEITO!$Z$626</f>
        <v>0</v>
      </c>
      <c r="O626" s="64">
        <f>$L$626-EFEITO!$O$626*EFEITO!$AA$626</f>
        <v>0</v>
      </c>
      <c r="P626" s="19"/>
      <c r="Q626" s="19"/>
      <c r="R626" s="19"/>
      <c r="S626" s="19"/>
      <c r="T626" s="19"/>
      <c r="U626" s="19"/>
      <c r="V626" s="19"/>
      <c r="W626" s="19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55" t="s">
        <v>21</v>
      </c>
      <c r="B627" s="55" t="s">
        <v>41</v>
      </c>
      <c r="C627" s="55" t="s">
        <v>62</v>
      </c>
      <c r="D627" s="55" t="s">
        <v>25</v>
      </c>
      <c r="E627" s="55" t="s">
        <v>25</v>
      </c>
      <c r="F627" s="55" t="s">
        <v>25</v>
      </c>
      <c r="G627" s="55" t="s">
        <v>65</v>
      </c>
      <c r="H627" s="55" t="s">
        <v>34</v>
      </c>
      <c r="I627" s="63">
        <v>44501</v>
      </c>
      <c r="J627" s="64">
        <f ca="1">EFEITO!$J$627*EFEITO!$Y$627</f>
        <v>53945.366071789904</v>
      </c>
      <c r="K627" s="64">
        <f ca="1">EFEITO!$L$627*EFEITO!$Z$627</f>
        <v>0</v>
      </c>
      <c r="L627" s="64">
        <f>EFEITO!$N$627*EFEITO!$AA$627</f>
        <v>0</v>
      </c>
      <c r="M627" s="64">
        <f ca="1">$J$627-EFEITO!$K$627*EFEITO!$Y$627</f>
        <v>0</v>
      </c>
      <c r="N627" s="64">
        <f ca="1">$K$627-EFEITO!$M$627*EFEITO!$Z$627</f>
        <v>0</v>
      </c>
      <c r="O627" s="64">
        <f>$L$627-EFEITO!$O$627*EFEITO!$AA$627</f>
        <v>0</v>
      </c>
      <c r="P627" s="19"/>
      <c r="Q627" s="19"/>
      <c r="R627" s="19"/>
      <c r="S627" s="19"/>
      <c r="T627" s="19"/>
      <c r="U627" s="19"/>
      <c r="V627" s="19"/>
      <c r="W627" s="19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55" t="s">
        <v>21</v>
      </c>
      <c r="B628" s="55" t="s">
        <v>41</v>
      </c>
      <c r="C628" s="55" t="s">
        <v>62</v>
      </c>
      <c r="D628" s="55" t="s">
        <v>25</v>
      </c>
      <c r="E628" s="55" t="s">
        <v>25</v>
      </c>
      <c r="F628" s="55" t="s">
        <v>25</v>
      </c>
      <c r="G628" s="55" t="s">
        <v>63</v>
      </c>
      <c r="H628" s="55" t="s">
        <v>34</v>
      </c>
      <c r="I628" s="63">
        <v>44531</v>
      </c>
      <c r="J628" s="64">
        <f ca="1">EFEITO!$J$628*EFEITO!$Y$628</f>
        <v>192887.98331533521</v>
      </c>
      <c r="K628" s="64">
        <f ca="1">EFEITO!$L$628*EFEITO!$Z$628</f>
        <v>0</v>
      </c>
      <c r="L628" s="64">
        <f>EFEITO!$N$628*EFEITO!$AA$628</f>
        <v>0</v>
      </c>
      <c r="M628" s="64">
        <f ca="1">$J$628-EFEITO!$K$628*EFEITO!$Y$628</f>
        <v>0</v>
      </c>
      <c r="N628" s="64">
        <f ca="1">$K$628-EFEITO!$M$628*EFEITO!$Z$628</f>
        <v>0</v>
      </c>
      <c r="O628" s="64">
        <f>$L$628-EFEITO!$O$628*EFEITO!$AA$628</f>
        <v>0</v>
      </c>
      <c r="P628" s="19"/>
      <c r="Q628" s="19"/>
      <c r="R628" s="19"/>
      <c r="S628" s="19"/>
      <c r="T628" s="19"/>
      <c r="U628" s="19"/>
      <c r="V628" s="19"/>
      <c r="W628" s="19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55" t="s">
        <v>21</v>
      </c>
      <c r="B629" s="55" t="s">
        <v>41</v>
      </c>
      <c r="C629" s="55" t="s">
        <v>62</v>
      </c>
      <c r="D629" s="55" t="s">
        <v>25</v>
      </c>
      <c r="E629" s="55" t="s">
        <v>25</v>
      </c>
      <c r="F629" s="55" t="s">
        <v>25</v>
      </c>
      <c r="G629" s="55" t="s">
        <v>65</v>
      </c>
      <c r="H629" s="55" t="s">
        <v>34</v>
      </c>
      <c r="I629" s="63">
        <v>44531</v>
      </c>
      <c r="J629" s="64">
        <f ca="1">EFEITO!$J$629*EFEITO!$Y$629</f>
        <v>63047.259112709187</v>
      </c>
      <c r="K629" s="64">
        <f ca="1">EFEITO!$L$629*EFEITO!$Z$629</f>
        <v>0</v>
      </c>
      <c r="L629" s="64">
        <f>EFEITO!$N$629*EFEITO!$AA$629</f>
        <v>0</v>
      </c>
      <c r="M629" s="64">
        <f ca="1">$J$629-EFEITO!$K$629*EFEITO!$Y$629</f>
        <v>0</v>
      </c>
      <c r="N629" s="64">
        <f ca="1">$K$629-EFEITO!$M$629*EFEITO!$Z$629</f>
        <v>0</v>
      </c>
      <c r="O629" s="64">
        <f>$L$629-EFEITO!$O$629*EFEITO!$AA$629</f>
        <v>0</v>
      </c>
      <c r="P629" s="19"/>
      <c r="Q629" s="19"/>
      <c r="R629" s="19"/>
      <c r="S629" s="19"/>
      <c r="T629" s="19"/>
      <c r="U629" s="19"/>
      <c r="V629" s="19"/>
      <c r="W629" s="19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55" t="s">
        <v>21</v>
      </c>
      <c r="B630" s="55" t="s">
        <v>41</v>
      </c>
      <c r="C630" s="55" t="s">
        <v>62</v>
      </c>
      <c r="D630" s="55" t="s">
        <v>25</v>
      </c>
      <c r="E630" s="55" t="s">
        <v>25</v>
      </c>
      <c r="F630" s="55" t="s">
        <v>25</v>
      </c>
      <c r="G630" s="55" t="s">
        <v>63</v>
      </c>
      <c r="H630" s="55" t="s">
        <v>34</v>
      </c>
      <c r="I630" s="63">
        <v>44562</v>
      </c>
      <c r="J630" s="64">
        <f ca="1">EFEITO!$J$630*EFEITO!$Y$630</f>
        <v>192887.98331533521</v>
      </c>
      <c r="K630" s="64">
        <f ca="1">EFEITO!$L$630*EFEITO!$Z$630</f>
        <v>0</v>
      </c>
      <c r="L630" s="64">
        <f>EFEITO!$N$630*EFEITO!$AA$630</f>
        <v>0</v>
      </c>
      <c r="M630" s="64">
        <f ca="1">$J$630-EFEITO!$K$630*EFEITO!$Y$630</f>
        <v>0</v>
      </c>
      <c r="N630" s="64">
        <f ca="1">$K$630-EFEITO!$M$630*EFEITO!$Z$630</f>
        <v>0</v>
      </c>
      <c r="O630" s="64">
        <f>$L$630-EFEITO!$O$630*EFEITO!$AA$630</f>
        <v>0</v>
      </c>
      <c r="P630" s="19"/>
      <c r="Q630" s="19"/>
      <c r="R630" s="19"/>
      <c r="S630" s="19"/>
      <c r="T630" s="19"/>
      <c r="U630" s="19"/>
      <c r="V630" s="19"/>
      <c r="W630" s="19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55" t="s">
        <v>21</v>
      </c>
      <c r="B631" s="55" t="s">
        <v>41</v>
      </c>
      <c r="C631" s="55" t="s">
        <v>62</v>
      </c>
      <c r="D631" s="55" t="s">
        <v>25</v>
      </c>
      <c r="E631" s="55" t="s">
        <v>25</v>
      </c>
      <c r="F631" s="55" t="s">
        <v>25</v>
      </c>
      <c r="G631" s="55" t="s">
        <v>65</v>
      </c>
      <c r="H631" s="55" t="s">
        <v>34</v>
      </c>
      <c r="I631" s="63">
        <v>44562</v>
      </c>
      <c r="J631" s="64">
        <f ca="1">EFEITO!$J$631*EFEITO!$Y$631</f>
        <v>75701.110413499409</v>
      </c>
      <c r="K631" s="64">
        <f ca="1">EFEITO!$L$631*EFEITO!$Z$631</f>
        <v>0</v>
      </c>
      <c r="L631" s="64">
        <f>EFEITO!$N$631*EFEITO!$AA$631</f>
        <v>0</v>
      </c>
      <c r="M631" s="64">
        <f ca="1">$J$631-EFEITO!$K$631*EFEITO!$Y$631</f>
        <v>0</v>
      </c>
      <c r="N631" s="64">
        <f ca="1">$K$631-EFEITO!$M$631*EFEITO!$Z$631</f>
        <v>0</v>
      </c>
      <c r="O631" s="64">
        <f>$L$631-EFEITO!$O$631*EFEITO!$AA$631</f>
        <v>0</v>
      </c>
      <c r="P631" s="19"/>
      <c r="Q631" s="19"/>
      <c r="R631" s="19"/>
      <c r="S631" s="19"/>
      <c r="T631" s="19"/>
      <c r="U631" s="19"/>
      <c r="V631" s="19"/>
      <c r="W631" s="19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55" t="s">
        <v>21</v>
      </c>
      <c r="B632" s="55" t="s">
        <v>41</v>
      </c>
      <c r="C632" s="55" t="s">
        <v>62</v>
      </c>
      <c r="D632" s="55" t="s">
        <v>25</v>
      </c>
      <c r="E632" s="55" t="s">
        <v>25</v>
      </c>
      <c r="F632" s="55" t="s">
        <v>25</v>
      </c>
      <c r="G632" s="55" t="s">
        <v>63</v>
      </c>
      <c r="H632" s="55" t="s">
        <v>34</v>
      </c>
      <c r="I632" s="63">
        <v>44593</v>
      </c>
      <c r="J632" s="64">
        <f ca="1">EFEITO!$J$632*EFEITO!$Y$632</f>
        <v>192887.98331533521</v>
      </c>
      <c r="K632" s="64">
        <f ca="1">EFEITO!$L$632*EFEITO!$Z$632</f>
        <v>0</v>
      </c>
      <c r="L632" s="64">
        <f>EFEITO!$N$632*EFEITO!$AA$632</f>
        <v>0</v>
      </c>
      <c r="M632" s="64">
        <f ca="1">$J$632-EFEITO!$K$632*EFEITO!$Y$632</f>
        <v>0</v>
      </c>
      <c r="N632" s="64">
        <f ca="1">$K$632-EFEITO!$M$632*EFEITO!$Z$632</f>
        <v>0</v>
      </c>
      <c r="O632" s="64">
        <f>$L$632-EFEITO!$O$632*EFEITO!$AA$632</f>
        <v>0</v>
      </c>
      <c r="P632" s="19"/>
      <c r="Q632" s="19"/>
      <c r="R632" s="19"/>
      <c r="S632" s="19"/>
      <c r="T632" s="19"/>
      <c r="U632" s="19"/>
      <c r="V632" s="19"/>
      <c r="W632" s="19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55" t="s">
        <v>21</v>
      </c>
      <c r="B633" s="55" t="s">
        <v>41</v>
      </c>
      <c r="C633" s="55" t="s">
        <v>62</v>
      </c>
      <c r="D633" s="55" t="s">
        <v>25</v>
      </c>
      <c r="E633" s="55" t="s">
        <v>25</v>
      </c>
      <c r="F633" s="55" t="s">
        <v>25</v>
      </c>
      <c r="G633" s="55" t="s">
        <v>65</v>
      </c>
      <c r="H633" s="55" t="s">
        <v>34</v>
      </c>
      <c r="I633" s="63">
        <v>44593</v>
      </c>
      <c r="J633" s="64">
        <f ca="1">EFEITO!$J$633*EFEITO!$Y$633</f>
        <v>67154.210850684962</v>
      </c>
      <c r="K633" s="64">
        <f ca="1">EFEITO!$L$633*EFEITO!$Z$633</f>
        <v>0</v>
      </c>
      <c r="L633" s="64">
        <f>EFEITO!$N$633*EFEITO!$AA$633</f>
        <v>0</v>
      </c>
      <c r="M633" s="64">
        <f ca="1">$J$633-EFEITO!$K$633*EFEITO!$Y$633</f>
        <v>0</v>
      </c>
      <c r="N633" s="64">
        <f ca="1">$K$633-EFEITO!$M$633*EFEITO!$Z$633</f>
        <v>0</v>
      </c>
      <c r="O633" s="64">
        <f>$L$633-EFEITO!$O$633*EFEITO!$AA$633</f>
        <v>0</v>
      </c>
      <c r="P633" s="19"/>
      <c r="Q633" s="19"/>
      <c r="R633" s="19"/>
      <c r="S633" s="19"/>
      <c r="T633" s="19"/>
      <c r="U633" s="19"/>
      <c r="V633" s="19"/>
      <c r="W633" s="19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55" t="s">
        <v>21</v>
      </c>
      <c r="B634" s="55" t="s">
        <v>41</v>
      </c>
      <c r="C634" s="55" t="s">
        <v>62</v>
      </c>
      <c r="D634" s="55" t="s">
        <v>25</v>
      </c>
      <c r="E634" s="55" t="s">
        <v>25</v>
      </c>
      <c r="F634" s="55" t="s">
        <v>25</v>
      </c>
      <c r="G634" s="55" t="s">
        <v>63</v>
      </c>
      <c r="H634" s="55" t="s">
        <v>34</v>
      </c>
      <c r="I634" s="63">
        <v>44621</v>
      </c>
      <c r="J634" s="64">
        <f ca="1">EFEITO!$J$634*EFEITO!$Y$634</f>
        <v>192887.98331533521</v>
      </c>
      <c r="K634" s="64">
        <f ca="1">EFEITO!$L$634*EFEITO!$Z$634</f>
        <v>0</v>
      </c>
      <c r="L634" s="64">
        <f>EFEITO!$N$634*EFEITO!$AA$634</f>
        <v>0</v>
      </c>
      <c r="M634" s="64">
        <f ca="1">$J$634-EFEITO!$K$634*EFEITO!$Y$634</f>
        <v>0</v>
      </c>
      <c r="N634" s="64">
        <f ca="1">$K$634-EFEITO!$M$634*EFEITO!$Z$634</f>
        <v>0</v>
      </c>
      <c r="O634" s="64">
        <f>$L$634-EFEITO!$O$634*EFEITO!$AA$634</f>
        <v>0</v>
      </c>
      <c r="P634" s="19"/>
      <c r="Q634" s="19"/>
      <c r="R634" s="19"/>
      <c r="S634" s="19"/>
      <c r="T634" s="19"/>
      <c r="U634" s="19"/>
      <c r="V634" s="19"/>
      <c r="W634" s="19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55" t="s">
        <v>21</v>
      </c>
      <c r="B635" s="55" t="s">
        <v>41</v>
      </c>
      <c r="C635" s="55" t="s">
        <v>62</v>
      </c>
      <c r="D635" s="55" t="s">
        <v>25</v>
      </c>
      <c r="E635" s="55" t="s">
        <v>25</v>
      </c>
      <c r="F635" s="55" t="s">
        <v>25</v>
      </c>
      <c r="G635" s="55" t="s">
        <v>65</v>
      </c>
      <c r="H635" s="55" t="s">
        <v>34</v>
      </c>
      <c r="I635" s="63">
        <v>44621</v>
      </c>
      <c r="J635" s="64">
        <f ca="1">EFEITO!$J$635*EFEITO!$Y$635</f>
        <v>68042.200415652696</v>
      </c>
      <c r="K635" s="64">
        <f ca="1">EFEITO!$L$635*EFEITO!$Z$635</f>
        <v>0</v>
      </c>
      <c r="L635" s="64">
        <f>EFEITO!$N$635*EFEITO!$AA$635</f>
        <v>0</v>
      </c>
      <c r="M635" s="64">
        <f ca="1">$J$635-EFEITO!$K$635*EFEITO!$Y$635</f>
        <v>0</v>
      </c>
      <c r="N635" s="64">
        <f ca="1">$K$635-EFEITO!$M$635*EFEITO!$Z$635</f>
        <v>0</v>
      </c>
      <c r="O635" s="64">
        <f>$L$635-EFEITO!$O$635*EFEITO!$AA$635</f>
        <v>0</v>
      </c>
      <c r="P635" s="19"/>
      <c r="Q635" s="19"/>
      <c r="R635" s="19"/>
      <c r="S635" s="19"/>
      <c r="T635" s="19"/>
      <c r="U635" s="19"/>
      <c r="V635" s="19"/>
      <c r="W635" s="19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55" t="s">
        <v>21</v>
      </c>
      <c r="B636" s="55" t="s">
        <v>41</v>
      </c>
      <c r="C636" s="55" t="s">
        <v>62</v>
      </c>
      <c r="D636" s="55" t="s">
        <v>25</v>
      </c>
      <c r="E636" s="55" t="s">
        <v>25</v>
      </c>
      <c r="F636" s="55" t="s">
        <v>25</v>
      </c>
      <c r="G636" s="55" t="s">
        <v>63</v>
      </c>
      <c r="H636" s="55" t="s">
        <v>34</v>
      </c>
      <c r="I636" s="63">
        <v>44652</v>
      </c>
      <c r="J636" s="64">
        <f ca="1">EFEITO!$J$636*EFEITO!$Y$636</f>
        <v>192887.98331533521</v>
      </c>
      <c r="K636" s="64">
        <f ca="1">EFEITO!$L$636*EFEITO!$Z$636</f>
        <v>0</v>
      </c>
      <c r="L636" s="64">
        <f>EFEITO!$N$636*EFEITO!$AA$636</f>
        <v>0</v>
      </c>
      <c r="M636" s="64">
        <f ca="1">$J$636-EFEITO!$K$636*EFEITO!$Y$636</f>
        <v>0</v>
      </c>
      <c r="N636" s="64">
        <f ca="1">$K$636-EFEITO!$M$636*EFEITO!$Z$636</f>
        <v>0</v>
      </c>
      <c r="O636" s="64">
        <f>$L$636-EFEITO!$O$636*EFEITO!$AA$636</f>
        <v>0</v>
      </c>
      <c r="P636" s="19"/>
      <c r="Q636" s="19"/>
      <c r="R636" s="19"/>
      <c r="S636" s="19"/>
      <c r="T636" s="19"/>
      <c r="U636" s="19"/>
      <c r="V636" s="19"/>
      <c r="W636" s="19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55" t="s">
        <v>21</v>
      </c>
      <c r="B637" s="55" t="s">
        <v>41</v>
      </c>
      <c r="C637" s="55" t="s">
        <v>62</v>
      </c>
      <c r="D637" s="55" t="s">
        <v>25</v>
      </c>
      <c r="E637" s="55" t="s">
        <v>25</v>
      </c>
      <c r="F637" s="55" t="s">
        <v>25</v>
      </c>
      <c r="G637" s="55" t="s">
        <v>65</v>
      </c>
      <c r="H637" s="55" t="s">
        <v>34</v>
      </c>
      <c r="I637" s="63">
        <v>44652</v>
      </c>
      <c r="J637" s="64">
        <f ca="1">EFEITO!$J$637*EFEITO!$Y$637</f>
        <v>68264.197806894634</v>
      </c>
      <c r="K637" s="64">
        <f ca="1">EFEITO!$L$637*EFEITO!$Z$637</f>
        <v>0</v>
      </c>
      <c r="L637" s="64">
        <f>EFEITO!$N$637*EFEITO!$AA$637</f>
        <v>0</v>
      </c>
      <c r="M637" s="64">
        <f ca="1">$J$637-EFEITO!$K$637*EFEITO!$Y$637</f>
        <v>0</v>
      </c>
      <c r="N637" s="64">
        <f ca="1">$K$637-EFEITO!$M$637*EFEITO!$Z$637</f>
        <v>0</v>
      </c>
      <c r="O637" s="64">
        <f>$L$637-EFEITO!$O$637*EFEITO!$AA$637</f>
        <v>0</v>
      </c>
      <c r="P637" s="19"/>
      <c r="Q637" s="19"/>
      <c r="R637" s="19"/>
      <c r="S637" s="19"/>
      <c r="T637" s="19"/>
      <c r="U637" s="19"/>
      <c r="V637" s="19"/>
      <c r="W637" s="19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55" t="s">
        <v>21</v>
      </c>
      <c r="B638" s="55" t="s">
        <v>41</v>
      </c>
      <c r="C638" s="55" t="s">
        <v>62</v>
      </c>
      <c r="D638" s="55" t="s">
        <v>25</v>
      </c>
      <c r="E638" s="55" t="s">
        <v>25</v>
      </c>
      <c r="F638" s="55" t="s">
        <v>25</v>
      </c>
      <c r="G638" s="55" t="s">
        <v>63</v>
      </c>
      <c r="H638" s="55" t="s">
        <v>34</v>
      </c>
      <c r="I638" s="63">
        <v>44682</v>
      </c>
      <c r="J638" s="64">
        <f ca="1">EFEITO!$J$638*EFEITO!$Y$638</f>
        <v>192887.98331533521</v>
      </c>
      <c r="K638" s="64">
        <f ca="1">EFEITO!$L$638*EFEITO!$Z$638</f>
        <v>0</v>
      </c>
      <c r="L638" s="64">
        <f>EFEITO!$N$638*EFEITO!$AA$638</f>
        <v>0</v>
      </c>
      <c r="M638" s="64">
        <f ca="1">$J$638-EFEITO!$K$638*EFEITO!$Y$638</f>
        <v>0</v>
      </c>
      <c r="N638" s="64">
        <f ca="1">$K$638-EFEITO!$M$638*EFEITO!$Z$638</f>
        <v>0</v>
      </c>
      <c r="O638" s="64">
        <f>$L$638-EFEITO!$O$638*EFEITO!$AA$638</f>
        <v>0</v>
      </c>
      <c r="P638" s="19"/>
      <c r="Q638" s="19"/>
      <c r="R638" s="19"/>
      <c r="S638" s="19"/>
      <c r="T638" s="19"/>
      <c r="U638" s="19"/>
      <c r="V638" s="19"/>
      <c r="W638" s="19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55" t="s">
        <v>21</v>
      </c>
      <c r="B639" s="55" t="s">
        <v>41</v>
      </c>
      <c r="C639" s="55" t="s">
        <v>62</v>
      </c>
      <c r="D639" s="55" t="s">
        <v>25</v>
      </c>
      <c r="E639" s="55" t="s">
        <v>25</v>
      </c>
      <c r="F639" s="55" t="s">
        <v>25</v>
      </c>
      <c r="G639" s="55" t="s">
        <v>65</v>
      </c>
      <c r="H639" s="55" t="s">
        <v>34</v>
      </c>
      <c r="I639" s="63">
        <v>44682</v>
      </c>
      <c r="J639" s="64">
        <f ca="1">EFEITO!$J$639*EFEITO!$Y$639</f>
        <v>77144.09345657198</v>
      </c>
      <c r="K639" s="64">
        <f ca="1">EFEITO!$L$639*EFEITO!$Z$639</f>
        <v>0</v>
      </c>
      <c r="L639" s="64">
        <f>EFEITO!$N$639*EFEITO!$AA$639</f>
        <v>0</v>
      </c>
      <c r="M639" s="64">
        <f ca="1">$J$639-EFEITO!$K$639*EFEITO!$Y$639</f>
        <v>0</v>
      </c>
      <c r="N639" s="64">
        <f ca="1">$K$639-EFEITO!$M$639*EFEITO!$Z$639</f>
        <v>0</v>
      </c>
      <c r="O639" s="64">
        <f>$L$639-EFEITO!$O$639*EFEITO!$AA$639</f>
        <v>0</v>
      </c>
      <c r="P639" s="19"/>
      <c r="Q639" s="19"/>
      <c r="R639" s="19"/>
      <c r="S639" s="19"/>
      <c r="T639" s="19"/>
      <c r="U639" s="19"/>
      <c r="V639" s="19"/>
      <c r="W639" s="19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55" t="s">
        <v>21</v>
      </c>
      <c r="B640" s="55" t="s">
        <v>41</v>
      </c>
      <c r="C640" s="55" t="s">
        <v>62</v>
      </c>
      <c r="D640" s="55" t="s">
        <v>25</v>
      </c>
      <c r="E640" s="55" t="s">
        <v>25</v>
      </c>
      <c r="F640" s="55" t="s">
        <v>25</v>
      </c>
      <c r="G640" s="55" t="s">
        <v>63</v>
      </c>
      <c r="H640" s="55" t="s">
        <v>34</v>
      </c>
      <c r="I640" s="63">
        <v>44713</v>
      </c>
      <c r="J640" s="64">
        <f ca="1">EFEITO!$J$640*EFEITO!$Y$640</f>
        <v>195107.95722775455</v>
      </c>
      <c r="K640" s="64">
        <f ca="1">EFEITO!$L$640*EFEITO!$Z$640</f>
        <v>0</v>
      </c>
      <c r="L640" s="64">
        <f>EFEITO!$N$640*EFEITO!$AA$640</f>
        <v>0</v>
      </c>
      <c r="M640" s="64">
        <f ca="1">$J$640-EFEITO!$K$640*EFEITO!$Y$640</f>
        <v>0</v>
      </c>
      <c r="N640" s="64">
        <f ca="1">$K$640-EFEITO!$M$640*EFEITO!$Z$640</f>
        <v>0</v>
      </c>
      <c r="O640" s="64">
        <f>$L$640-EFEITO!$O$640*EFEITO!$AA$640</f>
        <v>0</v>
      </c>
      <c r="P640" s="19"/>
      <c r="Q640" s="19"/>
      <c r="R640" s="19"/>
      <c r="S640" s="19"/>
      <c r="T640" s="19"/>
      <c r="U640" s="19"/>
      <c r="V640" s="19"/>
      <c r="W640" s="19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55" t="s">
        <v>21</v>
      </c>
      <c r="B641" s="55" t="s">
        <v>41</v>
      </c>
      <c r="C641" s="55" t="s">
        <v>62</v>
      </c>
      <c r="D641" s="55" t="s">
        <v>25</v>
      </c>
      <c r="E641" s="55" t="s">
        <v>25</v>
      </c>
      <c r="F641" s="55" t="s">
        <v>25</v>
      </c>
      <c r="G641" s="55" t="s">
        <v>65</v>
      </c>
      <c r="H641" s="55" t="s">
        <v>34</v>
      </c>
      <c r="I641" s="63">
        <v>44713</v>
      </c>
      <c r="J641" s="64">
        <f ca="1">EFEITO!$J$641*EFEITO!$Y$641</f>
        <v>70595.170414934939</v>
      </c>
      <c r="K641" s="64">
        <f ca="1">EFEITO!$L$641*EFEITO!$Z$641</f>
        <v>0</v>
      </c>
      <c r="L641" s="64">
        <f>EFEITO!$N$641*EFEITO!$AA$641</f>
        <v>0</v>
      </c>
      <c r="M641" s="64">
        <f ca="1">$J$641-EFEITO!$K$641*EFEITO!$Y$641</f>
        <v>0</v>
      </c>
      <c r="N641" s="64">
        <f ca="1">$K$641-EFEITO!$M$641*EFEITO!$Z$641</f>
        <v>0</v>
      </c>
      <c r="O641" s="64">
        <f>$L$641-EFEITO!$O$641*EFEITO!$AA$641</f>
        <v>0</v>
      </c>
      <c r="P641" s="19"/>
      <c r="Q641" s="19"/>
      <c r="R641" s="19"/>
      <c r="S641" s="19"/>
      <c r="T641" s="19"/>
      <c r="U641" s="19"/>
      <c r="V641" s="19"/>
      <c r="W641" s="19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55" t="s">
        <v>57</v>
      </c>
      <c r="B642" s="55" t="s">
        <v>41</v>
      </c>
      <c r="C642" s="55" t="s">
        <v>62</v>
      </c>
      <c r="D642" s="55" t="s">
        <v>25</v>
      </c>
      <c r="E642" s="55" t="s">
        <v>25</v>
      </c>
      <c r="F642" s="55" t="s">
        <v>25</v>
      </c>
      <c r="G642" s="55" t="s">
        <v>63</v>
      </c>
      <c r="H642" s="55" t="s">
        <v>34</v>
      </c>
      <c r="I642" s="63">
        <v>44743</v>
      </c>
      <c r="J642" s="64">
        <f ca="1">EFEITO!$J$642*EFEITO!$Y$642</f>
        <v>195107.95722775455</v>
      </c>
      <c r="K642" s="64">
        <f ca="1">EFEITO!$L$642*EFEITO!$Z$642</f>
        <v>0</v>
      </c>
      <c r="L642" s="64">
        <f>EFEITO!$N$642*EFEITO!$AA$642</f>
        <v>0</v>
      </c>
      <c r="M642" s="64">
        <f ca="1">$J$642-EFEITO!$K$642*EFEITO!$Y$642</f>
        <v>0</v>
      </c>
      <c r="N642" s="64">
        <f ca="1">$K$642-EFEITO!$M$642*EFEITO!$Z$642</f>
        <v>0</v>
      </c>
      <c r="O642" s="64">
        <f>$L$642-EFEITO!$O$642*EFEITO!$AA$642</f>
        <v>0</v>
      </c>
      <c r="P642" s="19"/>
      <c r="Q642" s="19"/>
      <c r="R642" s="19"/>
      <c r="S642" s="19"/>
      <c r="T642" s="19"/>
      <c r="U642" s="19"/>
      <c r="V642" s="19"/>
      <c r="W642" s="19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55" t="s">
        <v>57</v>
      </c>
      <c r="B643" s="55" t="s">
        <v>41</v>
      </c>
      <c r="C643" s="55" t="s">
        <v>62</v>
      </c>
      <c r="D643" s="55" t="s">
        <v>25</v>
      </c>
      <c r="E643" s="55" t="s">
        <v>25</v>
      </c>
      <c r="F643" s="55" t="s">
        <v>25</v>
      </c>
      <c r="G643" s="55" t="s">
        <v>65</v>
      </c>
      <c r="H643" s="55" t="s">
        <v>34</v>
      </c>
      <c r="I643" s="63">
        <v>44743</v>
      </c>
      <c r="J643" s="64">
        <f ca="1">EFEITO!$J$643*EFEITO!$Y$643</f>
        <v>70595.170414934939</v>
      </c>
      <c r="K643" s="64">
        <f ca="1">EFEITO!$L$643*EFEITO!$Z$643</f>
        <v>0</v>
      </c>
      <c r="L643" s="64">
        <f>EFEITO!$N$643*EFEITO!$AA$643</f>
        <v>0</v>
      </c>
      <c r="M643" s="64">
        <f ca="1">$J$643-EFEITO!$K$643*EFEITO!$Y$643</f>
        <v>0</v>
      </c>
      <c r="N643" s="64">
        <f ca="1">$K$643-EFEITO!$M$643*EFEITO!$Z$643</f>
        <v>0</v>
      </c>
      <c r="O643" s="64">
        <f>$L$643-EFEITO!$O$643*EFEITO!$AA$643</f>
        <v>0</v>
      </c>
      <c r="P643" s="19"/>
      <c r="Q643" s="19"/>
      <c r="R643" s="19"/>
      <c r="S643" s="19"/>
      <c r="T643" s="19"/>
      <c r="U643" s="19"/>
      <c r="V643" s="19"/>
      <c r="W643" s="19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55" t="s">
        <v>21</v>
      </c>
      <c r="B644" s="55" t="s">
        <v>41</v>
      </c>
      <c r="C644" s="55" t="s">
        <v>66</v>
      </c>
      <c r="D644" s="55" t="s">
        <v>25</v>
      </c>
      <c r="E644" s="55" t="s">
        <v>25</v>
      </c>
      <c r="F644" s="55" t="s">
        <v>25</v>
      </c>
      <c r="G644" s="55" t="s">
        <v>72</v>
      </c>
      <c r="H644" s="55" t="s">
        <v>25</v>
      </c>
      <c r="I644" s="63">
        <v>44409</v>
      </c>
      <c r="J644" s="64">
        <f ca="1">EFEITO!$J$644*EFEITO!$Y$644</f>
        <v>65224.287904330369</v>
      </c>
      <c r="K644" s="64">
        <f>EFEITO!$L$644*EFEITO!$Z$644</f>
        <v>0</v>
      </c>
      <c r="L644" s="64">
        <f>EFEITO!$N$644*EFEITO!$AA$644</f>
        <v>0</v>
      </c>
      <c r="M644" s="64">
        <f ca="1">$J$644-EFEITO!$K$644*EFEITO!$Y$644</f>
        <v>32612.143952165185</v>
      </c>
      <c r="N644" s="64">
        <f>$K$644-EFEITO!$M$644*EFEITO!$Z$644</f>
        <v>0</v>
      </c>
      <c r="O644" s="64">
        <f>$L$644-EFEITO!$O$644*EFEITO!$AA$644</f>
        <v>0</v>
      </c>
      <c r="P644" s="19"/>
      <c r="Q644" s="19"/>
      <c r="R644" s="19"/>
      <c r="S644" s="19"/>
      <c r="T644" s="19"/>
      <c r="U644" s="19"/>
      <c r="V644" s="19"/>
      <c r="W644" s="19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55" t="s">
        <v>21</v>
      </c>
      <c r="B645" s="55" t="s">
        <v>41</v>
      </c>
      <c r="C645" s="55" t="s">
        <v>66</v>
      </c>
      <c r="D645" s="55" t="s">
        <v>25</v>
      </c>
      <c r="E645" s="55" t="s">
        <v>25</v>
      </c>
      <c r="F645" s="55" t="s">
        <v>25</v>
      </c>
      <c r="G645" s="55" t="s">
        <v>74</v>
      </c>
      <c r="H645" s="55" t="s">
        <v>25</v>
      </c>
      <c r="I645" s="63">
        <v>44409</v>
      </c>
      <c r="J645" s="64">
        <f ca="1">EFEITO!$J$645*EFEITO!$Y$645</f>
        <v>43482.85860288691</v>
      </c>
      <c r="K645" s="64">
        <f>EFEITO!$L$645*EFEITO!$Z$645</f>
        <v>0</v>
      </c>
      <c r="L645" s="64">
        <f>EFEITO!$N$645*EFEITO!$AA$645</f>
        <v>0</v>
      </c>
      <c r="M645" s="64">
        <f ca="1">$J$645-EFEITO!$K$645*EFEITO!$Y$645</f>
        <v>21741.429301443455</v>
      </c>
      <c r="N645" s="64">
        <f>$K$645-EFEITO!$M$645*EFEITO!$Z$645</f>
        <v>0</v>
      </c>
      <c r="O645" s="64">
        <f>$L$645-EFEITO!$O$645*EFEITO!$AA$645</f>
        <v>0</v>
      </c>
      <c r="P645" s="19"/>
      <c r="Q645" s="19"/>
      <c r="R645" s="19"/>
      <c r="S645" s="19"/>
      <c r="T645" s="19"/>
      <c r="U645" s="19"/>
      <c r="V645" s="19"/>
      <c r="W645" s="19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55" t="s">
        <v>21</v>
      </c>
      <c r="B646" s="55" t="s">
        <v>41</v>
      </c>
      <c r="C646" s="55" t="s">
        <v>66</v>
      </c>
      <c r="D646" s="55" t="s">
        <v>25</v>
      </c>
      <c r="E646" s="55" t="s">
        <v>25</v>
      </c>
      <c r="F646" s="55" t="s">
        <v>25</v>
      </c>
      <c r="G646" s="55" t="s">
        <v>80</v>
      </c>
      <c r="H646" s="55" t="s">
        <v>25</v>
      </c>
      <c r="I646" s="63">
        <v>44409</v>
      </c>
      <c r="J646" s="64">
        <f ca="1">EFEITO!$J$646*EFEITO!$Y$646</f>
        <v>43482.85860288691</v>
      </c>
      <c r="K646" s="64">
        <f>EFEITO!$L$646*EFEITO!$Z$646</f>
        <v>0</v>
      </c>
      <c r="L646" s="64">
        <f>EFEITO!$N$646*EFEITO!$AA$646</f>
        <v>0</v>
      </c>
      <c r="M646" s="64">
        <f ca="1">$J$646-EFEITO!$K$646*EFEITO!$Y$646</f>
        <v>21741.429301443455</v>
      </c>
      <c r="N646" s="64">
        <f>$K$646-EFEITO!$M$646*EFEITO!$Z$646</f>
        <v>0</v>
      </c>
      <c r="O646" s="64">
        <f>$L$646-EFEITO!$O$646*EFEITO!$AA$646</f>
        <v>0</v>
      </c>
      <c r="P646" s="19"/>
      <c r="Q646" s="19"/>
      <c r="R646" s="19"/>
      <c r="S646" s="19"/>
      <c r="T646" s="19"/>
      <c r="U646" s="19"/>
      <c r="V646" s="19"/>
      <c r="W646" s="19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55" t="s">
        <v>21</v>
      </c>
      <c r="B647" s="55" t="s">
        <v>41</v>
      </c>
      <c r="C647" s="55" t="s">
        <v>66</v>
      </c>
      <c r="D647" s="55" t="s">
        <v>25</v>
      </c>
      <c r="E647" s="55" t="s">
        <v>25</v>
      </c>
      <c r="F647" s="55" t="s">
        <v>25</v>
      </c>
      <c r="G647" s="55" t="s">
        <v>81</v>
      </c>
      <c r="H647" s="55" t="s">
        <v>25</v>
      </c>
      <c r="I647" s="63">
        <v>44409</v>
      </c>
      <c r="J647" s="64">
        <f ca="1">EFEITO!$J$647*EFEITO!$Y$647</f>
        <v>8696.5717205773817</v>
      </c>
      <c r="K647" s="64">
        <f>EFEITO!$L$647*EFEITO!$Z$647</f>
        <v>0</v>
      </c>
      <c r="L647" s="64">
        <f>EFEITO!$N$647*EFEITO!$AA$647</f>
        <v>0</v>
      </c>
      <c r="M647" s="64">
        <f ca="1">$J$647-EFEITO!$K$647*EFEITO!$Y$647</f>
        <v>4348.2858602886909</v>
      </c>
      <c r="N647" s="64">
        <f>$K$647-EFEITO!$M$647*EFEITO!$Z$647</f>
        <v>0</v>
      </c>
      <c r="O647" s="64">
        <f>$L$647-EFEITO!$O$647*EFEITO!$AA$647</f>
        <v>0</v>
      </c>
      <c r="P647" s="19"/>
      <c r="Q647" s="19"/>
      <c r="R647" s="19"/>
      <c r="S647" s="19"/>
      <c r="T647" s="19"/>
      <c r="U647" s="19"/>
      <c r="V647" s="19"/>
      <c r="W647" s="19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55" t="s">
        <v>21</v>
      </c>
      <c r="B648" s="55" t="s">
        <v>41</v>
      </c>
      <c r="C648" s="55" t="s">
        <v>66</v>
      </c>
      <c r="D648" s="55" t="s">
        <v>25</v>
      </c>
      <c r="E648" s="55" t="s">
        <v>25</v>
      </c>
      <c r="F648" s="55" t="s">
        <v>25</v>
      </c>
      <c r="G648" s="55" t="s">
        <v>82</v>
      </c>
      <c r="H648" s="55" t="s">
        <v>25</v>
      </c>
      <c r="I648" s="63">
        <v>44409</v>
      </c>
      <c r="J648" s="64">
        <f ca="1">EFEITO!$J$648*EFEITO!$Y$648</f>
        <v>69572.573764619054</v>
      </c>
      <c r="K648" s="64">
        <f>EFEITO!$L$648*EFEITO!$Z$648</f>
        <v>0</v>
      </c>
      <c r="L648" s="64">
        <f>EFEITO!$N$648*EFEITO!$AA$648</f>
        <v>0</v>
      </c>
      <c r="M648" s="64">
        <f ca="1">$J$648-EFEITO!$K$648*EFEITO!$Y$648</f>
        <v>69572.573764619054</v>
      </c>
      <c r="N648" s="64">
        <f>$K$648-EFEITO!$M$648*EFEITO!$Z$648</f>
        <v>0</v>
      </c>
      <c r="O648" s="64">
        <f>$L$648-EFEITO!$O$648*EFEITO!$AA$648</f>
        <v>0</v>
      </c>
      <c r="P648" s="19"/>
      <c r="Q648" s="19"/>
      <c r="R648" s="19"/>
      <c r="S648" s="19"/>
      <c r="T648" s="19"/>
      <c r="U648" s="19"/>
      <c r="V648" s="19"/>
      <c r="W648" s="19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55" t="s">
        <v>21</v>
      </c>
      <c r="B649" s="55" t="s">
        <v>41</v>
      </c>
      <c r="C649" s="55" t="s">
        <v>66</v>
      </c>
      <c r="D649" s="55" t="s">
        <v>25</v>
      </c>
      <c r="E649" s="55" t="s">
        <v>25</v>
      </c>
      <c r="F649" s="55" t="s">
        <v>25</v>
      </c>
      <c r="G649" s="55" t="s">
        <v>83</v>
      </c>
      <c r="H649" s="55" t="s">
        <v>25</v>
      </c>
      <c r="I649" s="63">
        <v>44409</v>
      </c>
      <c r="J649" s="64">
        <f ca="1">EFEITO!$J$649*EFEITO!$Y$649</f>
        <v>2898.8572401924607</v>
      </c>
      <c r="K649" s="64">
        <f>EFEITO!$L$649*EFEITO!$Z$649</f>
        <v>0</v>
      </c>
      <c r="L649" s="64">
        <f>EFEITO!$N$649*EFEITO!$AA$649</f>
        <v>0</v>
      </c>
      <c r="M649" s="64">
        <f ca="1">$J$649-EFEITO!$K$649*EFEITO!$Y$649</f>
        <v>1449.4286200962304</v>
      </c>
      <c r="N649" s="64">
        <f>$K$649-EFEITO!$M$649*EFEITO!$Z$649</f>
        <v>0</v>
      </c>
      <c r="O649" s="64">
        <f>$L$649-EFEITO!$O$649*EFEITO!$AA$649</f>
        <v>0</v>
      </c>
      <c r="P649" s="19"/>
      <c r="Q649" s="19"/>
      <c r="R649" s="19"/>
      <c r="S649" s="19"/>
      <c r="T649" s="19"/>
      <c r="U649" s="19"/>
      <c r="V649" s="19"/>
      <c r="W649" s="19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55" t="s">
        <v>21</v>
      </c>
      <c r="B650" s="55" t="s">
        <v>41</v>
      </c>
      <c r="C650" s="55" t="s">
        <v>66</v>
      </c>
      <c r="D650" s="55" t="s">
        <v>25</v>
      </c>
      <c r="E650" s="55" t="s">
        <v>25</v>
      </c>
      <c r="F650" s="55" t="s">
        <v>25</v>
      </c>
      <c r="G650" s="55" t="s">
        <v>72</v>
      </c>
      <c r="H650" s="55" t="s">
        <v>25</v>
      </c>
      <c r="I650" s="63">
        <v>44440</v>
      </c>
      <c r="J650" s="64">
        <f ca="1">EFEITO!$J$650*EFEITO!$Y$650</f>
        <v>65224.287904330369</v>
      </c>
      <c r="K650" s="64">
        <f>EFEITO!$L$650*EFEITO!$Z$650</f>
        <v>0</v>
      </c>
      <c r="L650" s="64">
        <f>EFEITO!$N$650*EFEITO!$AA$650</f>
        <v>0</v>
      </c>
      <c r="M650" s="64">
        <f ca="1">$J$650-EFEITO!$K$650*EFEITO!$Y$650</f>
        <v>32612.143952165185</v>
      </c>
      <c r="N650" s="64">
        <f>$K$650-EFEITO!$M$650*EFEITO!$Z$650</f>
        <v>0</v>
      </c>
      <c r="O650" s="64">
        <f>$L$650-EFEITO!$O$650*EFEITO!$AA$650</f>
        <v>0</v>
      </c>
      <c r="P650" s="19"/>
      <c r="Q650" s="19"/>
      <c r="R650" s="19"/>
      <c r="S650" s="19"/>
      <c r="T650" s="19"/>
      <c r="U650" s="19"/>
      <c r="V650" s="19"/>
      <c r="W650" s="19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55" t="s">
        <v>21</v>
      </c>
      <c r="B651" s="55" t="s">
        <v>41</v>
      </c>
      <c r="C651" s="55" t="s">
        <v>66</v>
      </c>
      <c r="D651" s="55" t="s">
        <v>25</v>
      </c>
      <c r="E651" s="55" t="s">
        <v>25</v>
      </c>
      <c r="F651" s="55" t="s">
        <v>25</v>
      </c>
      <c r="G651" s="55" t="s">
        <v>74</v>
      </c>
      <c r="H651" s="55" t="s">
        <v>25</v>
      </c>
      <c r="I651" s="63">
        <v>44440</v>
      </c>
      <c r="J651" s="64">
        <f ca="1">EFEITO!$J$651*EFEITO!$Y$651</f>
        <v>43482.85860288691</v>
      </c>
      <c r="K651" s="64">
        <f>EFEITO!$L$651*EFEITO!$Z$651</f>
        <v>0</v>
      </c>
      <c r="L651" s="64">
        <f>EFEITO!$N$651*EFEITO!$AA$651</f>
        <v>0</v>
      </c>
      <c r="M651" s="64">
        <f ca="1">$J$651-EFEITO!$K$651*EFEITO!$Y$651</f>
        <v>21741.429301443455</v>
      </c>
      <c r="N651" s="64">
        <f>$K$651-EFEITO!$M$651*EFEITO!$Z$651</f>
        <v>0</v>
      </c>
      <c r="O651" s="64">
        <f>$L$651-EFEITO!$O$651*EFEITO!$AA$651</f>
        <v>0</v>
      </c>
      <c r="P651" s="19"/>
      <c r="Q651" s="19"/>
      <c r="R651" s="19"/>
      <c r="S651" s="19"/>
      <c r="T651" s="19"/>
      <c r="U651" s="19"/>
      <c r="V651" s="19"/>
      <c r="W651" s="19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55" t="s">
        <v>21</v>
      </c>
      <c r="B652" s="55" t="s">
        <v>41</v>
      </c>
      <c r="C652" s="55" t="s">
        <v>66</v>
      </c>
      <c r="D652" s="55" t="s">
        <v>25</v>
      </c>
      <c r="E652" s="55" t="s">
        <v>25</v>
      </c>
      <c r="F652" s="55" t="s">
        <v>25</v>
      </c>
      <c r="G652" s="55" t="s">
        <v>80</v>
      </c>
      <c r="H652" s="55" t="s">
        <v>25</v>
      </c>
      <c r="I652" s="63">
        <v>44440</v>
      </c>
      <c r="J652" s="64">
        <f ca="1">EFEITO!$J$652*EFEITO!$Y$652</f>
        <v>43482.85860288691</v>
      </c>
      <c r="K652" s="64">
        <f>EFEITO!$L$652*EFEITO!$Z$652</f>
        <v>0</v>
      </c>
      <c r="L652" s="64">
        <f>EFEITO!$N$652*EFEITO!$AA$652</f>
        <v>0</v>
      </c>
      <c r="M652" s="64">
        <f ca="1">$J$652-EFEITO!$K$652*EFEITO!$Y$652</f>
        <v>21741.429301443455</v>
      </c>
      <c r="N652" s="64">
        <f>$K$652-EFEITO!$M$652*EFEITO!$Z$652</f>
        <v>0</v>
      </c>
      <c r="O652" s="64">
        <f>$L$652-EFEITO!$O$652*EFEITO!$AA$652</f>
        <v>0</v>
      </c>
      <c r="P652" s="19"/>
      <c r="Q652" s="19"/>
      <c r="R652" s="19"/>
      <c r="S652" s="19"/>
      <c r="T652" s="19"/>
      <c r="U652" s="19"/>
      <c r="V652" s="19"/>
      <c r="W652" s="19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55" t="s">
        <v>21</v>
      </c>
      <c r="B653" s="55" t="s">
        <v>41</v>
      </c>
      <c r="C653" s="55" t="s">
        <v>66</v>
      </c>
      <c r="D653" s="55" t="s">
        <v>25</v>
      </c>
      <c r="E653" s="55" t="s">
        <v>25</v>
      </c>
      <c r="F653" s="55" t="s">
        <v>25</v>
      </c>
      <c r="G653" s="55" t="s">
        <v>81</v>
      </c>
      <c r="H653" s="55" t="s">
        <v>25</v>
      </c>
      <c r="I653" s="63">
        <v>44440</v>
      </c>
      <c r="J653" s="64">
        <f ca="1">EFEITO!$J$653*EFEITO!$Y$653</f>
        <v>8696.5717205773817</v>
      </c>
      <c r="K653" s="64">
        <f>EFEITO!$L$653*EFEITO!$Z$653</f>
        <v>0</v>
      </c>
      <c r="L653" s="64">
        <f>EFEITO!$N$653*EFEITO!$AA$653</f>
        <v>0</v>
      </c>
      <c r="M653" s="64">
        <f ca="1">$J$653-EFEITO!$K$653*EFEITO!$Y$653</f>
        <v>4348.2858602886909</v>
      </c>
      <c r="N653" s="64">
        <f>$K$653-EFEITO!$M$653*EFEITO!$Z$653</f>
        <v>0</v>
      </c>
      <c r="O653" s="64">
        <f>$L$653-EFEITO!$O$653*EFEITO!$AA$653</f>
        <v>0</v>
      </c>
      <c r="P653" s="19"/>
      <c r="Q653" s="19"/>
      <c r="R653" s="19"/>
      <c r="S653" s="19"/>
      <c r="T653" s="19"/>
      <c r="U653" s="19"/>
      <c r="V653" s="19"/>
      <c r="W653" s="19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55" t="s">
        <v>21</v>
      </c>
      <c r="B654" s="55" t="s">
        <v>41</v>
      </c>
      <c r="C654" s="55" t="s">
        <v>66</v>
      </c>
      <c r="D654" s="55" t="s">
        <v>25</v>
      </c>
      <c r="E654" s="55" t="s">
        <v>25</v>
      </c>
      <c r="F654" s="55" t="s">
        <v>25</v>
      </c>
      <c r="G654" s="55" t="s">
        <v>82</v>
      </c>
      <c r="H654" s="55" t="s">
        <v>25</v>
      </c>
      <c r="I654" s="63">
        <v>44440</v>
      </c>
      <c r="J654" s="64">
        <f ca="1">EFEITO!$J$654*EFEITO!$Y$654</f>
        <v>69572.573764619054</v>
      </c>
      <c r="K654" s="64">
        <f>EFEITO!$L$654*EFEITO!$Z$654</f>
        <v>0</v>
      </c>
      <c r="L654" s="64">
        <f>EFEITO!$N$654*EFEITO!$AA$654</f>
        <v>0</v>
      </c>
      <c r="M654" s="64">
        <f ca="1">$J$654-EFEITO!$K$654*EFEITO!$Y$654</f>
        <v>69572.573764619054</v>
      </c>
      <c r="N654" s="64">
        <f>$K$654-EFEITO!$M$654*EFEITO!$Z$654</f>
        <v>0</v>
      </c>
      <c r="O654" s="64">
        <f>$L$654-EFEITO!$O$654*EFEITO!$AA$654</f>
        <v>0</v>
      </c>
      <c r="P654" s="19"/>
      <c r="Q654" s="19"/>
      <c r="R654" s="19"/>
      <c r="S654" s="19"/>
      <c r="T654" s="19"/>
      <c r="U654" s="19"/>
      <c r="V654" s="19"/>
      <c r="W654" s="19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55" t="s">
        <v>21</v>
      </c>
      <c r="B655" s="55" t="s">
        <v>41</v>
      </c>
      <c r="C655" s="55" t="s">
        <v>66</v>
      </c>
      <c r="D655" s="55" t="s">
        <v>25</v>
      </c>
      <c r="E655" s="55" t="s">
        <v>25</v>
      </c>
      <c r="F655" s="55" t="s">
        <v>25</v>
      </c>
      <c r="G655" s="55" t="s">
        <v>83</v>
      </c>
      <c r="H655" s="55" t="s">
        <v>25</v>
      </c>
      <c r="I655" s="63">
        <v>44440</v>
      </c>
      <c r="J655" s="64">
        <f ca="1">EFEITO!$J$655*EFEITO!$Y$655</f>
        <v>2898.8572401924607</v>
      </c>
      <c r="K655" s="64">
        <f>EFEITO!$L$655*EFEITO!$Z$655</f>
        <v>0</v>
      </c>
      <c r="L655" s="64">
        <f>EFEITO!$N$655*EFEITO!$AA$655</f>
        <v>0</v>
      </c>
      <c r="M655" s="64">
        <f ca="1">$J$655-EFEITO!$K$655*EFEITO!$Y$655</f>
        <v>1449.4286200962304</v>
      </c>
      <c r="N655" s="64">
        <f>$K$655-EFEITO!$M$655*EFEITO!$Z$655</f>
        <v>0</v>
      </c>
      <c r="O655" s="64">
        <f>$L$655-EFEITO!$O$655*EFEITO!$AA$655</f>
        <v>0</v>
      </c>
      <c r="P655" s="19"/>
      <c r="Q655" s="19"/>
      <c r="R655" s="19"/>
      <c r="S655" s="19"/>
      <c r="T655" s="19"/>
      <c r="U655" s="19"/>
      <c r="V655" s="19"/>
      <c r="W655" s="19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55" t="s">
        <v>21</v>
      </c>
      <c r="B656" s="55" t="s">
        <v>41</v>
      </c>
      <c r="C656" s="55" t="s">
        <v>66</v>
      </c>
      <c r="D656" s="55" t="s">
        <v>25</v>
      </c>
      <c r="E656" s="55" t="s">
        <v>25</v>
      </c>
      <c r="F656" s="55" t="s">
        <v>25</v>
      </c>
      <c r="G656" s="55" t="s">
        <v>84</v>
      </c>
      <c r="H656" s="55" t="s">
        <v>25</v>
      </c>
      <c r="I656" s="63">
        <v>44440</v>
      </c>
      <c r="J656" s="64">
        <f ca="1">EFEITO!$J$656*EFEITO!$Y$656</f>
        <v>3623.571550240576</v>
      </c>
      <c r="K656" s="64">
        <f>EFEITO!$L$656*EFEITO!$Z$656</f>
        <v>0</v>
      </c>
      <c r="L656" s="64">
        <f>EFEITO!$N$656*EFEITO!$AA$656</f>
        <v>0</v>
      </c>
      <c r="M656" s="64">
        <f ca="1">$J$656-EFEITO!$K$656*EFEITO!$Y$656</f>
        <v>1811.785775120288</v>
      </c>
      <c r="N656" s="64">
        <f>$K$656-EFEITO!$M$656*EFEITO!$Z$656</f>
        <v>0</v>
      </c>
      <c r="O656" s="64">
        <f>$L$656-EFEITO!$O$656*EFEITO!$AA$656</f>
        <v>0</v>
      </c>
      <c r="P656" s="19"/>
      <c r="Q656" s="19"/>
      <c r="R656" s="19"/>
      <c r="S656" s="19"/>
      <c r="T656" s="19"/>
      <c r="U656" s="19"/>
      <c r="V656" s="19"/>
      <c r="W656" s="19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55" t="s">
        <v>27</v>
      </c>
      <c r="B657" s="55" t="s">
        <v>41</v>
      </c>
      <c r="C657" s="55" t="s">
        <v>66</v>
      </c>
      <c r="D657" s="55" t="s">
        <v>25</v>
      </c>
      <c r="E657" s="55" t="s">
        <v>25</v>
      </c>
      <c r="F657" s="55" t="s">
        <v>25</v>
      </c>
      <c r="G657" s="55" t="s">
        <v>84</v>
      </c>
      <c r="H657" s="55" t="s">
        <v>25</v>
      </c>
      <c r="I657" s="63">
        <v>44440</v>
      </c>
      <c r="J657" s="64">
        <f ca="1">EFEITO!$J$657*EFEITO!$Y$657</f>
        <v>1768.3029165174009</v>
      </c>
      <c r="K657" s="64">
        <f>EFEITO!$L$657*EFEITO!$Z$657</f>
        <v>0</v>
      </c>
      <c r="L657" s="64">
        <f>EFEITO!$N$657*EFEITO!$AA$657</f>
        <v>0</v>
      </c>
      <c r="M657" s="64">
        <f ca="1">$J$657-EFEITO!$K$657*EFEITO!$Y$657</f>
        <v>0</v>
      </c>
      <c r="N657" s="64">
        <f>$K$657-EFEITO!$M$657*EFEITO!$Z$657</f>
        <v>0</v>
      </c>
      <c r="O657" s="64">
        <f>$L$657-EFEITO!$O$657*EFEITO!$AA$657</f>
        <v>0</v>
      </c>
      <c r="P657" s="19"/>
      <c r="Q657" s="19"/>
      <c r="R657" s="19"/>
      <c r="S657" s="19"/>
      <c r="T657" s="19"/>
      <c r="U657" s="19"/>
      <c r="V657" s="19"/>
      <c r="W657" s="19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55" t="s">
        <v>21</v>
      </c>
      <c r="B658" s="55" t="s">
        <v>41</v>
      </c>
      <c r="C658" s="55" t="s">
        <v>66</v>
      </c>
      <c r="D658" s="55" t="s">
        <v>25</v>
      </c>
      <c r="E658" s="55" t="s">
        <v>25</v>
      </c>
      <c r="F658" s="55" t="s">
        <v>25</v>
      </c>
      <c r="G658" s="55" t="s">
        <v>85</v>
      </c>
      <c r="H658" s="55" t="s">
        <v>25</v>
      </c>
      <c r="I658" s="63">
        <v>44440</v>
      </c>
      <c r="J658" s="64">
        <f ca="1">EFEITO!$J$658*EFEITO!$Y$658</f>
        <v>3623.571550240576</v>
      </c>
      <c r="K658" s="64">
        <f>EFEITO!$L$658*EFEITO!$Z$658</f>
        <v>0</v>
      </c>
      <c r="L658" s="64">
        <f>EFEITO!$N$658*EFEITO!$AA$658</f>
        <v>0</v>
      </c>
      <c r="M658" s="64">
        <f ca="1">$J$658-EFEITO!$K$658*EFEITO!$Y$658</f>
        <v>1811.785775120288</v>
      </c>
      <c r="N658" s="64">
        <f>$K$658-EFEITO!$M$658*EFEITO!$Z$658</f>
        <v>0</v>
      </c>
      <c r="O658" s="64">
        <f>$L$658-EFEITO!$O$658*EFEITO!$AA$658</f>
        <v>0</v>
      </c>
      <c r="P658" s="19"/>
      <c r="Q658" s="19"/>
      <c r="R658" s="19"/>
      <c r="S658" s="19"/>
      <c r="T658" s="19"/>
      <c r="U658" s="19"/>
      <c r="V658" s="19"/>
      <c r="W658" s="19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55" t="s">
        <v>27</v>
      </c>
      <c r="B659" s="55" t="s">
        <v>41</v>
      </c>
      <c r="C659" s="55" t="s">
        <v>66</v>
      </c>
      <c r="D659" s="55" t="s">
        <v>25</v>
      </c>
      <c r="E659" s="55" t="s">
        <v>25</v>
      </c>
      <c r="F659" s="55" t="s">
        <v>25</v>
      </c>
      <c r="G659" s="55" t="s">
        <v>85</v>
      </c>
      <c r="H659" s="55" t="s">
        <v>25</v>
      </c>
      <c r="I659" s="63">
        <v>44440</v>
      </c>
      <c r="J659" s="64">
        <f ca="1">EFEITO!$J$659*EFEITO!$Y$659</f>
        <v>3232.2258228145938</v>
      </c>
      <c r="K659" s="64">
        <f>EFEITO!$L$659*EFEITO!$Z$659</f>
        <v>0</v>
      </c>
      <c r="L659" s="64">
        <f>EFEITO!$N$659*EFEITO!$AA$659</f>
        <v>0</v>
      </c>
      <c r="M659" s="64">
        <f ca="1">$J$659-EFEITO!$K$659*EFEITO!$Y$659</f>
        <v>0</v>
      </c>
      <c r="N659" s="64">
        <f>$K$659-EFEITO!$M$659*EFEITO!$Z$659</f>
        <v>0</v>
      </c>
      <c r="O659" s="64">
        <f>$L$659-EFEITO!$O$659*EFEITO!$AA$659</f>
        <v>0</v>
      </c>
      <c r="P659" s="19"/>
      <c r="Q659" s="19"/>
      <c r="R659" s="19"/>
      <c r="S659" s="19"/>
      <c r="T659" s="19"/>
      <c r="U659" s="19"/>
      <c r="V659" s="19"/>
      <c r="W659" s="19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55" t="s">
        <v>21</v>
      </c>
      <c r="B660" s="55" t="s">
        <v>41</v>
      </c>
      <c r="C660" s="55" t="s">
        <v>66</v>
      </c>
      <c r="D660" s="55" t="s">
        <v>25</v>
      </c>
      <c r="E660" s="55" t="s">
        <v>25</v>
      </c>
      <c r="F660" s="55" t="s">
        <v>25</v>
      </c>
      <c r="G660" s="55" t="s">
        <v>72</v>
      </c>
      <c r="H660" s="55" t="s">
        <v>25</v>
      </c>
      <c r="I660" s="63">
        <v>44470</v>
      </c>
      <c r="J660" s="64">
        <f ca="1">EFEITO!$J$660*EFEITO!$Y$660</f>
        <v>65224.287904330369</v>
      </c>
      <c r="K660" s="64">
        <f>EFEITO!$L$660*EFEITO!$Z$660</f>
        <v>0</v>
      </c>
      <c r="L660" s="64">
        <f>EFEITO!$N$660*EFEITO!$AA$660</f>
        <v>0</v>
      </c>
      <c r="M660" s="64">
        <f ca="1">$J$660-EFEITO!$K$660*EFEITO!$Y$660</f>
        <v>32612.143952165185</v>
      </c>
      <c r="N660" s="64">
        <f>$K$660-EFEITO!$M$660*EFEITO!$Z$660</f>
        <v>0</v>
      </c>
      <c r="O660" s="64">
        <f>$L$660-EFEITO!$O$660*EFEITO!$AA$660</f>
        <v>0</v>
      </c>
      <c r="P660" s="19"/>
      <c r="Q660" s="19"/>
      <c r="R660" s="19"/>
      <c r="S660" s="19"/>
      <c r="T660" s="19"/>
      <c r="U660" s="19"/>
      <c r="V660" s="19"/>
      <c r="W660" s="19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55" t="s">
        <v>21</v>
      </c>
      <c r="B661" s="55" t="s">
        <v>41</v>
      </c>
      <c r="C661" s="55" t="s">
        <v>66</v>
      </c>
      <c r="D661" s="55" t="s">
        <v>25</v>
      </c>
      <c r="E661" s="55" t="s">
        <v>25</v>
      </c>
      <c r="F661" s="55" t="s">
        <v>25</v>
      </c>
      <c r="G661" s="55" t="s">
        <v>74</v>
      </c>
      <c r="H661" s="55" t="s">
        <v>25</v>
      </c>
      <c r="I661" s="63">
        <v>44470</v>
      </c>
      <c r="J661" s="64">
        <f ca="1">EFEITO!$J$661*EFEITO!$Y$661</f>
        <v>43482.85860288691</v>
      </c>
      <c r="K661" s="64">
        <f>EFEITO!$L$661*EFEITO!$Z$661</f>
        <v>0</v>
      </c>
      <c r="L661" s="64">
        <f>EFEITO!$N$661*EFEITO!$AA$661</f>
        <v>0</v>
      </c>
      <c r="M661" s="64">
        <f ca="1">$J$661-EFEITO!$K$661*EFEITO!$Y$661</f>
        <v>21741.429301443455</v>
      </c>
      <c r="N661" s="64">
        <f>$K$661-EFEITO!$M$661*EFEITO!$Z$661</f>
        <v>0</v>
      </c>
      <c r="O661" s="64">
        <f>$L$661-EFEITO!$O$661*EFEITO!$AA$661</f>
        <v>0</v>
      </c>
      <c r="P661" s="19"/>
      <c r="Q661" s="19"/>
      <c r="R661" s="19"/>
      <c r="S661" s="19"/>
      <c r="T661" s="19"/>
      <c r="U661" s="19"/>
      <c r="V661" s="19"/>
      <c r="W661" s="19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55" t="s">
        <v>21</v>
      </c>
      <c r="B662" s="55" t="s">
        <v>41</v>
      </c>
      <c r="C662" s="55" t="s">
        <v>66</v>
      </c>
      <c r="D662" s="55" t="s">
        <v>25</v>
      </c>
      <c r="E662" s="55" t="s">
        <v>25</v>
      </c>
      <c r="F662" s="55" t="s">
        <v>25</v>
      </c>
      <c r="G662" s="55" t="s">
        <v>80</v>
      </c>
      <c r="H662" s="55" t="s">
        <v>25</v>
      </c>
      <c r="I662" s="63">
        <v>44470</v>
      </c>
      <c r="J662" s="64">
        <f ca="1">EFEITO!$J$662*EFEITO!$Y$662</f>
        <v>56295.807604537586</v>
      </c>
      <c r="K662" s="64">
        <f>EFEITO!$L$662*EFEITO!$Z$662</f>
        <v>0</v>
      </c>
      <c r="L662" s="64">
        <f>EFEITO!$N$662*EFEITO!$AA$662</f>
        <v>0</v>
      </c>
      <c r="M662" s="64">
        <f ca="1">$J$662-EFEITO!$K$662*EFEITO!$Y$662</f>
        <v>28147.903802268793</v>
      </c>
      <c r="N662" s="64">
        <f>$K$662-EFEITO!$M$662*EFEITO!$Z$662</f>
        <v>0</v>
      </c>
      <c r="O662" s="64">
        <f>$L$662-EFEITO!$O$662*EFEITO!$AA$662</f>
        <v>0</v>
      </c>
      <c r="P662" s="19"/>
      <c r="Q662" s="19"/>
      <c r="R662" s="19"/>
      <c r="S662" s="19"/>
      <c r="T662" s="19"/>
      <c r="U662" s="19"/>
      <c r="V662" s="19"/>
      <c r="W662" s="19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55" t="s">
        <v>21</v>
      </c>
      <c r="B663" s="55" t="s">
        <v>41</v>
      </c>
      <c r="C663" s="55" t="s">
        <v>66</v>
      </c>
      <c r="D663" s="55" t="s">
        <v>25</v>
      </c>
      <c r="E663" s="55" t="s">
        <v>25</v>
      </c>
      <c r="F663" s="55" t="s">
        <v>25</v>
      </c>
      <c r="G663" s="55" t="s">
        <v>81</v>
      </c>
      <c r="H663" s="55" t="s">
        <v>25</v>
      </c>
      <c r="I663" s="63">
        <v>44470</v>
      </c>
      <c r="J663" s="64">
        <f ca="1">EFEITO!$J$663*EFEITO!$Y$663</f>
        <v>8696.5717205773817</v>
      </c>
      <c r="K663" s="64">
        <f>EFEITO!$L$663*EFEITO!$Z$663</f>
        <v>0</v>
      </c>
      <c r="L663" s="64">
        <f>EFEITO!$N$663*EFEITO!$AA$663</f>
        <v>0</v>
      </c>
      <c r="M663" s="64">
        <f ca="1">$J$663-EFEITO!$K$663*EFEITO!$Y$663</f>
        <v>4348.2858602886909</v>
      </c>
      <c r="N663" s="64">
        <f>$K$663-EFEITO!$M$663*EFEITO!$Z$663</f>
        <v>0</v>
      </c>
      <c r="O663" s="64">
        <f>$L$663-EFEITO!$O$663*EFEITO!$AA$663</f>
        <v>0</v>
      </c>
      <c r="P663" s="19"/>
      <c r="Q663" s="19"/>
      <c r="R663" s="19"/>
      <c r="S663" s="19"/>
      <c r="T663" s="19"/>
      <c r="U663" s="19"/>
      <c r="V663" s="19"/>
      <c r="W663" s="19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55" t="s">
        <v>21</v>
      </c>
      <c r="B664" s="55" t="s">
        <v>41</v>
      </c>
      <c r="C664" s="55" t="s">
        <v>66</v>
      </c>
      <c r="D664" s="55" t="s">
        <v>25</v>
      </c>
      <c r="E664" s="55" t="s">
        <v>25</v>
      </c>
      <c r="F664" s="55" t="s">
        <v>25</v>
      </c>
      <c r="G664" s="55" t="s">
        <v>82</v>
      </c>
      <c r="H664" s="55" t="s">
        <v>25</v>
      </c>
      <c r="I664" s="63">
        <v>44470</v>
      </c>
      <c r="J664" s="64">
        <f ca="1">EFEITO!$J$664*EFEITO!$Y$664</f>
        <v>69572.573764619054</v>
      </c>
      <c r="K664" s="64">
        <f>EFEITO!$L$664*EFEITO!$Z$664</f>
        <v>0</v>
      </c>
      <c r="L664" s="64">
        <f>EFEITO!$N$664*EFEITO!$AA$664</f>
        <v>0</v>
      </c>
      <c r="M664" s="64">
        <f ca="1">$J$664-EFEITO!$K$664*EFEITO!$Y$664</f>
        <v>69572.573764619054</v>
      </c>
      <c r="N664" s="64">
        <f>$K$664-EFEITO!$M$664*EFEITO!$Z$664</f>
        <v>0</v>
      </c>
      <c r="O664" s="64">
        <f>$L$664-EFEITO!$O$664*EFEITO!$AA$664</f>
        <v>0</v>
      </c>
      <c r="P664" s="19"/>
      <c r="Q664" s="19"/>
      <c r="R664" s="19"/>
      <c r="S664" s="19"/>
      <c r="T664" s="19"/>
      <c r="U664" s="19"/>
      <c r="V664" s="19"/>
      <c r="W664" s="19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55" t="s">
        <v>21</v>
      </c>
      <c r="B665" s="55" t="s">
        <v>41</v>
      </c>
      <c r="C665" s="55" t="s">
        <v>66</v>
      </c>
      <c r="D665" s="55" t="s">
        <v>25</v>
      </c>
      <c r="E665" s="55" t="s">
        <v>25</v>
      </c>
      <c r="F665" s="55" t="s">
        <v>25</v>
      </c>
      <c r="G665" s="55" t="s">
        <v>83</v>
      </c>
      <c r="H665" s="55" t="s">
        <v>25</v>
      </c>
      <c r="I665" s="63">
        <v>44470</v>
      </c>
      <c r="J665" s="64">
        <f ca="1">EFEITO!$J$665*EFEITO!$Y$665</f>
        <v>2898.8572401924607</v>
      </c>
      <c r="K665" s="64">
        <f>EFEITO!$L$665*EFEITO!$Z$665</f>
        <v>0</v>
      </c>
      <c r="L665" s="64">
        <f>EFEITO!$N$665*EFEITO!$AA$665</f>
        <v>0</v>
      </c>
      <c r="M665" s="64">
        <f ca="1">$J$665-EFEITO!$K$665*EFEITO!$Y$665</f>
        <v>1449.4286200962304</v>
      </c>
      <c r="N665" s="64">
        <f>$K$665-EFEITO!$M$665*EFEITO!$Z$665</f>
        <v>0</v>
      </c>
      <c r="O665" s="64">
        <f>$L$665-EFEITO!$O$665*EFEITO!$AA$665</f>
        <v>0</v>
      </c>
      <c r="P665" s="19"/>
      <c r="Q665" s="19"/>
      <c r="R665" s="19"/>
      <c r="S665" s="19"/>
      <c r="T665" s="19"/>
      <c r="U665" s="19"/>
      <c r="V665" s="19"/>
      <c r="W665" s="19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55" t="s">
        <v>21</v>
      </c>
      <c r="B666" s="55" t="s">
        <v>41</v>
      </c>
      <c r="C666" s="55" t="s">
        <v>66</v>
      </c>
      <c r="D666" s="55" t="s">
        <v>25</v>
      </c>
      <c r="E666" s="55" t="s">
        <v>25</v>
      </c>
      <c r="F666" s="55" t="s">
        <v>25</v>
      </c>
      <c r="G666" s="55" t="s">
        <v>84</v>
      </c>
      <c r="H666" s="55" t="s">
        <v>25</v>
      </c>
      <c r="I666" s="63">
        <v>44470</v>
      </c>
      <c r="J666" s="64">
        <f ca="1">EFEITO!$J$666*EFEITO!$Y$666</f>
        <v>3623.571550240576</v>
      </c>
      <c r="K666" s="64">
        <f>EFEITO!$L$666*EFEITO!$Z$666</f>
        <v>0</v>
      </c>
      <c r="L666" s="64">
        <f>EFEITO!$N$666*EFEITO!$AA$666</f>
        <v>0</v>
      </c>
      <c r="M666" s="64">
        <f ca="1">$J$666-EFEITO!$K$666*EFEITO!$Y$666</f>
        <v>1811.785775120288</v>
      </c>
      <c r="N666" s="64">
        <f>$K$666-EFEITO!$M$666*EFEITO!$Z$666</f>
        <v>0</v>
      </c>
      <c r="O666" s="64">
        <f>$L$666-EFEITO!$O$666*EFEITO!$AA$666</f>
        <v>0</v>
      </c>
      <c r="P666" s="19"/>
      <c r="Q666" s="19"/>
      <c r="R666" s="19"/>
      <c r="S666" s="19"/>
      <c r="T666" s="19"/>
      <c r="U666" s="19"/>
      <c r="V666" s="19"/>
      <c r="W666" s="19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55" t="s">
        <v>21</v>
      </c>
      <c r="B667" s="55" t="s">
        <v>41</v>
      </c>
      <c r="C667" s="55" t="s">
        <v>66</v>
      </c>
      <c r="D667" s="55" t="s">
        <v>25</v>
      </c>
      <c r="E667" s="55" t="s">
        <v>25</v>
      </c>
      <c r="F667" s="55" t="s">
        <v>25</v>
      </c>
      <c r="G667" s="55" t="s">
        <v>85</v>
      </c>
      <c r="H667" s="55" t="s">
        <v>25</v>
      </c>
      <c r="I667" s="63">
        <v>44470</v>
      </c>
      <c r="J667" s="64">
        <f ca="1">EFEITO!$J$667*EFEITO!$Y$667</f>
        <v>3623.571550240576</v>
      </c>
      <c r="K667" s="64">
        <f>EFEITO!$L$667*EFEITO!$Z$667</f>
        <v>0</v>
      </c>
      <c r="L667" s="64">
        <f>EFEITO!$N$667*EFEITO!$AA$667</f>
        <v>0</v>
      </c>
      <c r="M667" s="64">
        <f ca="1">$J$667-EFEITO!$K$667*EFEITO!$Y$667</f>
        <v>1811.785775120288</v>
      </c>
      <c r="N667" s="64">
        <f>$K$667-EFEITO!$M$667*EFEITO!$Z$667</f>
        <v>0</v>
      </c>
      <c r="O667" s="64">
        <f>$L$667-EFEITO!$O$667*EFEITO!$AA$667</f>
        <v>0</v>
      </c>
      <c r="P667" s="19"/>
      <c r="Q667" s="19"/>
      <c r="R667" s="19"/>
      <c r="S667" s="19"/>
      <c r="T667" s="19"/>
      <c r="U667" s="19"/>
      <c r="V667" s="19"/>
      <c r="W667" s="19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55" t="s">
        <v>21</v>
      </c>
      <c r="B668" s="55" t="s">
        <v>41</v>
      </c>
      <c r="C668" s="55" t="s">
        <v>66</v>
      </c>
      <c r="D668" s="55" t="s">
        <v>25</v>
      </c>
      <c r="E668" s="55" t="s">
        <v>25</v>
      </c>
      <c r="F668" s="55" t="s">
        <v>25</v>
      </c>
      <c r="G668" s="55" t="s">
        <v>72</v>
      </c>
      <c r="H668" s="55" t="s">
        <v>25</v>
      </c>
      <c r="I668" s="63">
        <v>44501</v>
      </c>
      <c r="J668" s="64">
        <f ca="1">EFEITO!$J$668*EFEITO!$Y$668</f>
        <v>65224.287904330369</v>
      </c>
      <c r="K668" s="64">
        <f>EFEITO!$L$668*EFEITO!$Z$668</f>
        <v>0</v>
      </c>
      <c r="L668" s="64">
        <f>EFEITO!$N$668*EFEITO!$AA$668</f>
        <v>0</v>
      </c>
      <c r="M668" s="64">
        <f ca="1">$J$668-EFEITO!$K$668*EFEITO!$Y$668</f>
        <v>32612.143952165185</v>
      </c>
      <c r="N668" s="64">
        <f>$K$668-EFEITO!$M$668*EFEITO!$Z$668</f>
        <v>0</v>
      </c>
      <c r="O668" s="64">
        <f>$L$668-EFEITO!$O$668*EFEITO!$AA$668</f>
        <v>0</v>
      </c>
      <c r="P668" s="19"/>
      <c r="Q668" s="19"/>
      <c r="R668" s="19"/>
      <c r="S668" s="19"/>
      <c r="T668" s="19"/>
      <c r="U668" s="19"/>
      <c r="V668" s="19"/>
      <c r="W668" s="19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55" t="s">
        <v>21</v>
      </c>
      <c r="B669" s="55" t="s">
        <v>41</v>
      </c>
      <c r="C669" s="55" t="s">
        <v>66</v>
      </c>
      <c r="D669" s="55" t="s">
        <v>25</v>
      </c>
      <c r="E669" s="55" t="s">
        <v>25</v>
      </c>
      <c r="F669" s="55" t="s">
        <v>25</v>
      </c>
      <c r="G669" s="55" t="s">
        <v>74</v>
      </c>
      <c r="H669" s="55" t="s">
        <v>25</v>
      </c>
      <c r="I669" s="63">
        <v>44501</v>
      </c>
      <c r="J669" s="64">
        <f ca="1">EFEITO!$J$669*EFEITO!$Y$669</f>
        <v>43482.85860288691</v>
      </c>
      <c r="K669" s="64">
        <f>EFEITO!$L$669*EFEITO!$Z$669</f>
        <v>0</v>
      </c>
      <c r="L669" s="64">
        <f>EFEITO!$N$669*EFEITO!$AA$669</f>
        <v>0</v>
      </c>
      <c r="M669" s="64">
        <f ca="1">$J$669-EFEITO!$K$669*EFEITO!$Y$669</f>
        <v>21741.429301443455</v>
      </c>
      <c r="N669" s="64">
        <f>$K$669-EFEITO!$M$669*EFEITO!$Z$669</f>
        <v>0</v>
      </c>
      <c r="O669" s="64">
        <f>$L$669-EFEITO!$O$669*EFEITO!$AA$669</f>
        <v>0</v>
      </c>
      <c r="P669" s="19"/>
      <c r="Q669" s="19"/>
      <c r="R669" s="19"/>
      <c r="S669" s="19"/>
      <c r="T669" s="19"/>
      <c r="U669" s="19"/>
      <c r="V669" s="19"/>
      <c r="W669" s="19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55" t="s">
        <v>21</v>
      </c>
      <c r="B670" s="55" t="s">
        <v>41</v>
      </c>
      <c r="C670" s="55" t="s">
        <v>66</v>
      </c>
      <c r="D670" s="55" t="s">
        <v>25</v>
      </c>
      <c r="E670" s="55" t="s">
        <v>25</v>
      </c>
      <c r="F670" s="55" t="s">
        <v>25</v>
      </c>
      <c r="G670" s="55" t="s">
        <v>80</v>
      </c>
      <c r="H670" s="55" t="s">
        <v>25</v>
      </c>
      <c r="I670" s="63">
        <v>44501</v>
      </c>
      <c r="J670" s="64">
        <f ca="1">EFEITO!$J$670*EFEITO!$Y$670</f>
        <v>67267.982258666045</v>
      </c>
      <c r="K670" s="64">
        <f>EFEITO!$L$670*EFEITO!$Z$670</f>
        <v>0</v>
      </c>
      <c r="L670" s="64">
        <f>EFEITO!$N$670*EFEITO!$AA$670</f>
        <v>0</v>
      </c>
      <c r="M670" s="64">
        <f ca="1">$J$670-EFEITO!$K$670*EFEITO!$Y$670</f>
        <v>33633.991129333022</v>
      </c>
      <c r="N670" s="64">
        <f>$K$670-EFEITO!$M$670*EFEITO!$Z$670</f>
        <v>0</v>
      </c>
      <c r="O670" s="64">
        <f>$L$670-EFEITO!$O$670*EFEITO!$AA$670</f>
        <v>0</v>
      </c>
      <c r="P670" s="19"/>
      <c r="Q670" s="19"/>
      <c r="R670" s="19"/>
      <c r="S670" s="19"/>
      <c r="T670" s="19"/>
      <c r="U670" s="19"/>
      <c r="V670" s="19"/>
      <c r="W670" s="19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55" t="s">
        <v>21</v>
      </c>
      <c r="B671" s="55" t="s">
        <v>41</v>
      </c>
      <c r="C671" s="55" t="s">
        <v>66</v>
      </c>
      <c r="D671" s="55" t="s">
        <v>25</v>
      </c>
      <c r="E671" s="55" t="s">
        <v>25</v>
      </c>
      <c r="F671" s="55" t="s">
        <v>25</v>
      </c>
      <c r="G671" s="55" t="s">
        <v>81</v>
      </c>
      <c r="H671" s="55" t="s">
        <v>25</v>
      </c>
      <c r="I671" s="63">
        <v>44501</v>
      </c>
      <c r="J671" s="64">
        <f ca="1">EFEITO!$J$671*EFEITO!$Y$671</f>
        <v>14856.643355986362</v>
      </c>
      <c r="K671" s="64">
        <f>EFEITO!$L$671*EFEITO!$Z$671</f>
        <v>0</v>
      </c>
      <c r="L671" s="64">
        <f>EFEITO!$N$671*EFEITO!$AA$671</f>
        <v>0</v>
      </c>
      <c r="M671" s="64">
        <f ca="1">$J$671-EFEITO!$K$671*EFEITO!$Y$671</f>
        <v>7428.3216779931809</v>
      </c>
      <c r="N671" s="64">
        <f>$K$671-EFEITO!$M$671*EFEITO!$Z$671</f>
        <v>0</v>
      </c>
      <c r="O671" s="64">
        <f>$L$671-EFEITO!$O$671*EFEITO!$AA$671</f>
        <v>0</v>
      </c>
      <c r="P671" s="19"/>
      <c r="Q671" s="19"/>
      <c r="R671" s="19"/>
      <c r="S671" s="19"/>
      <c r="T671" s="19"/>
      <c r="U671" s="19"/>
      <c r="V671" s="19"/>
      <c r="W671" s="19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55" t="s">
        <v>27</v>
      </c>
      <c r="B672" s="55" t="s">
        <v>41</v>
      </c>
      <c r="C672" s="55" t="s">
        <v>66</v>
      </c>
      <c r="D672" s="55" t="s">
        <v>25</v>
      </c>
      <c r="E672" s="55" t="s">
        <v>25</v>
      </c>
      <c r="F672" s="55" t="s">
        <v>25</v>
      </c>
      <c r="G672" s="55" t="s">
        <v>81</v>
      </c>
      <c r="H672" s="55" t="s">
        <v>25</v>
      </c>
      <c r="I672" s="63">
        <v>44501</v>
      </c>
      <c r="J672" s="64">
        <f ca="1">EFEITO!$J$672*EFEITO!$Y$672</f>
        <v>4304.8030016858038</v>
      </c>
      <c r="K672" s="64">
        <f>EFEITO!$L$672*EFEITO!$Z$672</f>
        <v>0</v>
      </c>
      <c r="L672" s="64">
        <f>EFEITO!$N$672*EFEITO!$AA$672</f>
        <v>0</v>
      </c>
      <c r="M672" s="64">
        <f ca="1">$J$672-EFEITO!$K$672*EFEITO!$Y$672</f>
        <v>0</v>
      </c>
      <c r="N672" s="64">
        <f>$K$672-EFEITO!$M$672*EFEITO!$Z$672</f>
        <v>0</v>
      </c>
      <c r="O672" s="64">
        <f>$L$672-EFEITO!$O$672*EFEITO!$AA$672</f>
        <v>0</v>
      </c>
      <c r="P672" s="19"/>
      <c r="Q672" s="19"/>
      <c r="R672" s="19"/>
      <c r="S672" s="19"/>
      <c r="T672" s="19"/>
      <c r="U672" s="19"/>
      <c r="V672" s="19"/>
      <c r="W672" s="19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55" t="s">
        <v>21</v>
      </c>
      <c r="B673" s="55" t="s">
        <v>41</v>
      </c>
      <c r="C673" s="55" t="s">
        <v>66</v>
      </c>
      <c r="D673" s="55" t="s">
        <v>25</v>
      </c>
      <c r="E673" s="55" t="s">
        <v>25</v>
      </c>
      <c r="F673" s="55" t="s">
        <v>25</v>
      </c>
      <c r="G673" s="55" t="s">
        <v>82</v>
      </c>
      <c r="H673" s="55" t="s">
        <v>25</v>
      </c>
      <c r="I673" s="63">
        <v>44501</v>
      </c>
      <c r="J673" s="64">
        <f ca="1">EFEITO!$J$673*EFEITO!$Y$673</f>
        <v>69572.573764619054</v>
      </c>
      <c r="K673" s="64">
        <f>EFEITO!$L$673*EFEITO!$Z$673</f>
        <v>0</v>
      </c>
      <c r="L673" s="64">
        <f>EFEITO!$N$673*EFEITO!$AA$673</f>
        <v>0</v>
      </c>
      <c r="M673" s="64">
        <f ca="1">$J$673-EFEITO!$K$673*EFEITO!$Y$673</f>
        <v>69572.573764619054</v>
      </c>
      <c r="N673" s="64">
        <f>$K$673-EFEITO!$M$673*EFEITO!$Z$673</f>
        <v>0</v>
      </c>
      <c r="O673" s="64">
        <f>$L$673-EFEITO!$O$673*EFEITO!$AA$673</f>
        <v>0</v>
      </c>
      <c r="P673" s="19"/>
      <c r="Q673" s="19"/>
      <c r="R673" s="19"/>
      <c r="S673" s="19"/>
      <c r="T673" s="19"/>
      <c r="U673" s="19"/>
      <c r="V673" s="19"/>
      <c r="W673" s="19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55" t="s">
        <v>21</v>
      </c>
      <c r="B674" s="55" t="s">
        <v>41</v>
      </c>
      <c r="C674" s="55" t="s">
        <v>66</v>
      </c>
      <c r="D674" s="55" t="s">
        <v>25</v>
      </c>
      <c r="E674" s="55" t="s">
        <v>25</v>
      </c>
      <c r="F674" s="55" t="s">
        <v>25</v>
      </c>
      <c r="G674" s="55" t="s">
        <v>83</v>
      </c>
      <c r="H674" s="55" t="s">
        <v>25</v>
      </c>
      <c r="I674" s="63">
        <v>44501</v>
      </c>
      <c r="J674" s="64">
        <f ca="1">EFEITO!$J$674*EFEITO!$Y$674</f>
        <v>23843.10080058299</v>
      </c>
      <c r="K674" s="64">
        <f>EFEITO!$L$674*EFEITO!$Z$674</f>
        <v>0</v>
      </c>
      <c r="L674" s="64">
        <f>EFEITO!$N$674*EFEITO!$AA$674</f>
        <v>0</v>
      </c>
      <c r="M674" s="64">
        <f ca="1">$J$674-EFEITO!$K$674*EFEITO!$Y$674</f>
        <v>11921.550400291495</v>
      </c>
      <c r="N674" s="64">
        <f>$K$674-EFEITO!$M$674*EFEITO!$Z$674</f>
        <v>0</v>
      </c>
      <c r="O674" s="64">
        <f>$L$674-EFEITO!$O$674*EFEITO!$AA$674</f>
        <v>0</v>
      </c>
      <c r="P674" s="19"/>
      <c r="Q674" s="19"/>
      <c r="R674" s="19"/>
      <c r="S674" s="19"/>
      <c r="T674" s="19"/>
      <c r="U674" s="19"/>
      <c r="V674" s="19"/>
      <c r="W674" s="19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55" t="s">
        <v>27</v>
      </c>
      <c r="B675" s="55" t="s">
        <v>41</v>
      </c>
      <c r="C675" s="55" t="s">
        <v>66</v>
      </c>
      <c r="D675" s="55" t="s">
        <v>25</v>
      </c>
      <c r="E675" s="55" t="s">
        <v>25</v>
      </c>
      <c r="F675" s="55" t="s">
        <v>25</v>
      </c>
      <c r="G675" s="55" t="s">
        <v>83</v>
      </c>
      <c r="H675" s="55" t="s">
        <v>25</v>
      </c>
      <c r="I675" s="63">
        <v>44501</v>
      </c>
      <c r="J675" s="64">
        <f ca="1">EFEITO!$J$675*EFEITO!$Y$675</f>
        <v>3913.457274259822</v>
      </c>
      <c r="K675" s="64">
        <f>EFEITO!$L$675*EFEITO!$Z$675</f>
        <v>0</v>
      </c>
      <c r="L675" s="64">
        <f>EFEITO!$N$675*EFEITO!$AA$675</f>
        <v>0</v>
      </c>
      <c r="M675" s="64">
        <f ca="1">$J$675-EFEITO!$K$675*EFEITO!$Y$675</f>
        <v>0</v>
      </c>
      <c r="N675" s="64">
        <f>$K$675-EFEITO!$M$675*EFEITO!$Z$675</f>
        <v>0</v>
      </c>
      <c r="O675" s="64">
        <f>$L$675-EFEITO!$O$675*EFEITO!$AA$675</f>
        <v>0</v>
      </c>
      <c r="P675" s="19"/>
      <c r="Q675" s="19"/>
      <c r="R675" s="19"/>
      <c r="S675" s="19"/>
      <c r="T675" s="19"/>
      <c r="U675" s="19"/>
      <c r="V675" s="19"/>
      <c r="W675" s="19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55" t="s">
        <v>21</v>
      </c>
      <c r="B676" s="55" t="s">
        <v>41</v>
      </c>
      <c r="C676" s="55" t="s">
        <v>66</v>
      </c>
      <c r="D676" s="55" t="s">
        <v>25</v>
      </c>
      <c r="E676" s="55" t="s">
        <v>25</v>
      </c>
      <c r="F676" s="55" t="s">
        <v>25</v>
      </c>
      <c r="G676" s="55" t="s">
        <v>84</v>
      </c>
      <c r="H676" s="55" t="s">
        <v>25</v>
      </c>
      <c r="I676" s="63">
        <v>44501</v>
      </c>
      <c r="J676" s="64">
        <f ca="1">EFEITO!$J$676*EFEITO!$Y$676</f>
        <v>3623.571550240576</v>
      </c>
      <c r="K676" s="64">
        <f>EFEITO!$L$676*EFEITO!$Z$676</f>
        <v>0</v>
      </c>
      <c r="L676" s="64">
        <f>EFEITO!$N$676*EFEITO!$AA$676</f>
        <v>0</v>
      </c>
      <c r="M676" s="64">
        <f ca="1">$J$676-EFEITO!$K$676*EFEITO!$Y$676</f>
        <v>1811.785775120288</v>
      </c>
      <c r="N676" s="64">
        <f>$K$676-EFEITO!$M$676*EFEITO!$Z$676</f>
        <v>0</v>
      </c>
      <c r="O676" s="64">
        <f>$L$676-EFEITO!$O$676*EFEITO!$AA$676</f>
        <v>0</v>
      </c>
      <c r="P676" s="19"/>
      <c r="Q676" s="19"/>
      <c r="R676" s="19"/>
      <c r="S676" s="19"/>
      <c r="T676" s="19"/>
      <c r="U676" s="19"/>
      <c r="V676" s="19"/>
      <c r="W676" s="19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55" t="s">
        <v>21</v>
      </c>
      <c r="B677" s="55" t="s">
        <v>41</v>
      </c>
      <c r="C677" s="55" t="s">
        <v>66</v>
      </c>
      <c r="D677" s="55" t="s">
        <v>25</v>
      </c>
      <c r="E677" s="55" t="s">
        <v>25</v>
      </c>
      <c r="F677" s="55" t="s">
        <v>25</v>
      </c>
      <c r="G677" s="55" t="s">
        <v>85</v>
      </c>
      <c r="H677" s="55" t="s">
        <v>25</v>
      </c>
      <c r="I677" s="63">
        <v>44501</v>
      </c>
      <c r="J677" s="64">
        <f ca="1">EFEITO!$J$677*EFEITO!$Y$677</f>
        <v>3623.571550240576</v>
      </c>
      <c r="K677" s="64">
        <f>EFEITO!$L$677*EFEITO!$Z$677</f>
        <v>0</v>
      </c>
      <c r="L677" s="64">
        <f>EFEITO!$N$677*EFEITO!$AA$677</f>
        <v>0</v>
      </c>
      <c r="M677" s="64">
        <f ca="1">$J$677-EFEITO!$K$677*EFEITO!$Y$677</f>
        <v>1811.785775120288</v>
      </c>
      <c r="N677" s="64">
        <f>$K$677-EFEITO!$M$677*EFEITO!$Z$677</f>
        <v>0</v>
      </c>
      <c r="O677" s="64">
        <f>$L$677-EFEITO!$O$677*EFEITO!$AA$677</f>
        <v>0</v>
      </c>
      <c r="P677" s="19"/>
      <c r="Q677" s="19"/>
      <c r="R677" s="19"/>
      <c r="S677" s="19"/>
      <c r="T677" s="19"/>
      <c r="U677" s="19"/>
      <c r="V677" s="19"/>
      <c r="W677" s="19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55" t="s">
        <v>21</v>
      </c>
      <c r="B678" s="55" t="s">
        <v>41</v>
      </c>
      <c r="C678" s="55" t="s">
        <v>66</v>
      </c>
      <c r="D678" s="55" t="s">
        <v>25</v>
      </c>
      <c r="E678" s="55" t="s">
        <v>25</v>
      </c>
      <c r="F678" s="55" t="s">
        <v>25</v>
      </c>
      <c r="G678" s="55" t="s">
        <v>72</v>
      </c>
      <c r="H678" s="55" t="s">
        <v>25</v>
      </c>
      <c r="I678" s="63">
        <v>44531</v>
      </c>
      <c r="J678" s="64">
        <f ca="1">EFEITO!$J$678*EFEITO!$Y$678</f>
        <v>65224.287904330369</v>
      </c>
      <c r="K678" s="64">
        <f>EFEITO!$L$678*EFEITO!$Z$678</f>
        <v>0</v>
      </c>
      <c r="L678" s="64">
        <f>EFEITO!$N$678*EFEITO!$AA$678</f>
        <v>0</v>
      </c>
      <c r="M678" s="64">
        <f ca="1">$J$678-EFEITO!$K$678*EFEITO!$Y$678</f>
        <v>32612.143952165185</v>
      </c>
      <c r="N678" s="64">
        <f>$K$678-EFEITO!$M$678*EFEITO!$Z$678</f>
        <v>0</v>
      </c>
      <c r="O678" s="64">
        <f>$L$678-EFEITO!$O$678*EFEITO!$AA$678</f>
        <v>0</v>
      </c>
      <c r="P678" s="19"/>
      <c r="Q678" s="19"/>
      <c r="R678" s="19"/>
      <c r="S678" s="19"/>
      <c r="T678" s="19"/>
      <c r="U678" s="19"/>
      <c r="V678" s="19"/>
      <c r="W678" s="19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55" t="s">
        <v>21</v>
      </c>
      <c r="B679" s="55" t="s">
        <v>41</v>
      </c>
      <c r="C679" s="55" t="s">
        <v>66</v>
      </c>
      <c r="D679" s="55" t="s">
        <v>25</v>
      </c>
      <c r="E679" s="55" t="s">
        <v>25</v>
      </c>
      <c r="F679" s="55" t="s">
        <v>25</v>
      </c>
      <c r="G679" s="55" t="s">
        <v>74</v>
      </c>
      <c r="H679" s="55" t="s">
        <v>25</v>
      </c>
      <c r="I679" s="63">
        <v>44531</v>
      </c>
      <c r="J679" s="64">
        <f ca="1">EFEITO!$J$679*EFEITO!$Y$679</f>
        <v>43482.85860288691</v>
      </c>
      <c r="K679" s="64">
        <f>EFEITO!$L$679*EFEITO!$Z$679</f>
        <v>0</v>
      </c>
      <c r="L679" s="64">
        <f>EFEITO!$N$679*EFEITO!$AA$679</f>
        <v>0</v>
      </c>
      <c r="M679" s="64">
        <f ca="1">$J$679-EFEITO!$K$679*EFEITO!$Y$679</f>
        <v>21741.429301443455</v>
      </c>
      <c r="N679" s="64">
        <f>$K$679-EFEITO!$M$679*EFEITO!$Z$679</f>
        <v>0</v>
      </c>
      <c r="O679" s="64">
        <f>$L$679-EFEITO!$O$679*EFEITO!$AA$679</f>
        <v>0</v>
      </c>
      <c r="P679" s="19"/>
      <c r="Q679" s="19"/>
      <c r="R679" s="19"/>
      <c r="S679" s="19"/>
      <c r="T679" s="19"/>
      <c r="U679" s="19"/>
      <c r="V679" s="19"/>
      <c r="W679" s="19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55" t="s">
        <v>21</v>
      </c>
      <c r="B680" s="55" t="s">
        <v>41</v>
      </c>
      <c r="C680" s="55" t="s">
        <v>66</v>
      </c>
      <c r="D680" s="55" t="s">
        <v>25</v>
      </c>
      <c r="E680" s="55" t="s">
        <v>25</v>
      </c>
      <c r="F680" s="55" t="s">
        <v>25</v>
      </c>
      <c r="G680" s="55" t="s">
        <v>80</v>
      </c>
      <c r="H680" s="55" t="s">
        <v>25</v>
      </c>
      <c r="I680" s="63">
        <v>44531</v>
      </c>
      <c r="J680" s="64">
        <f ca="1">EFEITO!$J$680*EFEITO!$Y$680</f>
        <v>68152.133716924756</v>
      </c>
      <c r="K680" s="64">
        <f>EFEITO!$L$680*EFEITO!$Z$680</f>
        <v>0</v>
      </c>
      <c r="L680" s="64">
        <f>EFEITO!$N$680*EFEITO!$AA$680</f>
        <v>0</v>
      </c>
      <c r="M680" s="64">
        <f ca="1">$J$680-EFEITO!$K$680*EFEITO!$Y$680</f>
        <v>34076.066858462378</v>
      </c>
      <c r="N680" s="64">
        <f>$K$680-EFEITO!$M$680*EFEITO!$Z$680</f>
        <v>0</v>
      </c>
      <c r="O680" s="64">
        <f>$L$680-EFEITO!$O$680*EFEITO!$AA$680</f>
        <v>0</v>
      </c>
      <c r="P680" s="19"/>
      <c r="Q680" s="19"/>
      <c r="R680" s="19"/>
      <c r="S680" s="19"/>
      <c r="T680" s="19"/>
      <c r="U680" s="19"/>
      <c r="V680" s="19"/>
      <c r="W680" s="19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55" t="s">
        <v>21</v>
      </c>
      <c r="B681" s="55" t="s">
        <v>41</v>
      </c>
      <c r="C681" s="55" t="s">
        <v>66</v>
      </c>
      <c r="D681" s="55" t="s">
        <v>25</v>
      </c>
      <c r="E681" s="55" t="s">
        <v>25</v>
      </c>
      <c r="F681" s="55" t="s">
        <v>25</v>
      </c>
      <c r="G681" s="55" t="s">
        <v>81</v>
      </c>
      <c r="H681" s="55" t="s">
        <v>25</v>
      </c>
      <c r="I681" s="63">
        <v>44531</v>
      </c>
      <c r="J681" s="64">
        <f ca="1">EFEITO!$J$681*EFEITO!$Y$681</f>
        <v>8696.5717205773817</v>
      </c>
      <c r="K681" s="64">
        <f>EFEITO!$L$681*EFEITO!$Z$681</f>
        <v>0</v>
      </c>
      <c r="L681" s="64">
        <f>EFEITO!$N$681*EFEITO!$AA$681</f>
        <v>0</v>
      </c>
      <c r="M681" s="64">
        <f ca="1">$J$681-EFEITO!$K$681*EFEITO!$Y$681</f>
        <v>4348.2858602886909</v>
      </c>
      <c r="N681" s="64">
        <f>$K$681-EFEITO!$M$681*EFEITO!$Z$681</f>
        <v>0</v>
      </c>
      <c r="O681" s="64">
        <f>$L$681-EFEITO!$O$681*EFEITO!$AA$681</f>
        <v>0</v>
      </c>
      <c r="P681" s="19"/>
      <c r="Q681" s="19"/>
      <c r="R681" s="19"/>
      <c r="S681" s="19"/>
      <c r="T681" s="19"/>
      <c r="U681" s="19"/>
      <c r="V681" s="19"/>
      <c r="W681" s="19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55" t="s">
        <v>27</v>
      </c>
      <c r="B682" s="55" t="s">
        <v>41</v>
      </c>
      <c r="C682" s="55" t="s">
        <v>66</v>
      </c>
      <c r="D682" s="55" t="s">
        <v>25</v>
      </c>
      <c r="E682" s="55" t="s">
        <v>25</v>
      </c>
      <c r="F682" s="55" t="s">
        <v>25</v>
      </c>
      <c r="G682" s="55" t="s">
        <v>81</v>
      </c>
      <c r="H682" s="55" t="s">
        <v>25</v>
      </c>
      <c r="I682" s="63">
        <v>44531</v>
      </c>
      <c r="J682" s="64">
        <f ca="1">EFEITO!$J$682*EFEITO!$Y$682</f>
        <v>3377.1686848242166</v>
      </c>
      <c r="K682" s="64">
        <f>EFEITO!$L$682*EFEITO!$Z$682</f>
        <v>0</v>
      </c>
      <c r="L682" s="64">
        <f>EFEITO!$N$682*EFEITO!$AA$682</f>
        <v>0</v>
      </c>
      <c r="M682" s="64">
        <f ca="1">$J$682-EFEITO!$K$682*EFEITO!$Y$682</f>
        <v>0</v>
      </c>
      <c r="N682" s="64">
        <f>$K$682-EFEITO!$M$682*EFEITO!$Z$682</f>
        <v>0</v>
      </c>
      <c r="O682" s="64">
        <f>$L$682-EFEITO!$O$682*EFEITO!$AA$682</f>
        <v>0</v>
      </c>
      <c r="P682" s="19"/>
      <c r="Q682" s="19"/>
      <c r="R682" s="19"/>
      <c r="S682" s="19"/>
      <c r="T682" s="19"/>
      <c r="U682" s="19"/>
      <c r="V682" s="19"/>
      <c r="W682" s="19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55" t="s">
        <v>21</v>
      </c>
      <c r="B683" s="55" t="s">
        <v>41</v>
      </c>
      <c r="C683" s="55" t="s">
        <v>66</v>
      </c>
      <c r="D683" s="55" t="s">
        <v>25</v>
      </c>
      <c r="E683" s="55" t="s">
        <v>25</v>
      </c>
      <c r="F683" s="55" t="s">
        <v>25</v>
      </c>
      <c r="G683" s="55" t="s">
        <v>82</v>
      </c>
      <c r="H683" s="55" t="s">
        <v>25</v>
      </c>
      <c r="I683" s="63">
        <v>44531</v>
      </c>
      <c r="J683" s="64">
        <f ca="1">EFEITO!$J$683*EFEITO!$Y$683</f>
        <v>69572.573764619054</v>
      </c>
      <c r="K683" s="64">
        <f>EFEITO!$L$683*EFEITO!$Z$683</f>
        <v>0</v>
      </c>
      <c r="L683" s="64">
        <f>EFEITO!$N$683*EFEITO!$AA$683</f>
        <v>0</v>
      </c>
      <c r="M683" s="64">
        <f ca="1">$J$683-EFEITO!$K$683*EFEITO!$Y$683</f>
        <v>69572.573764619054</v>
      </c>
      <c r="N683" s="64">
        <f>$K$683-EFEITO!$M$683*EFEITO!$Z$683</f>
        <v>0</v>
      </c>
      <c r="O683" s="64">
        <f>$L$683-EFEITO!$O$683*EFEITO!$AA$683</f>
        <v>0</v>
      </c>
      <c r="P683" s="19"/>
      <c r="Q683" s="19"/>
      <c r="R683" s="19"/>
      <c r="S683" s="19"/>
      <c r="T683" s="19"/>
      <c r="U683" s="19"/>
      <c r="V683" s="19"/>
      <c r="W683" s="19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55" t="s">
        <v>21</v>
      </c>
      <c r="B684" s="55" t="s">
        <v>41</v>
      </c>
      <c r="C684" s="55" t="s">
        <v>66</v>
      </c>
      <c r="D684" s="55" t="s">
        <v>25</v>
      </c>
      <c r="E684" s="55" t="s">
        <v>25</v>
      </c>
      <c r="F684" s="55" t="s">
        <v>25</v>
      </c>
      <c r="G684" s="55" t="s">
        <v>83</v>
      </c>
      <c r="H684" s="55" t="s">
        <v>25</v>
      </c>
      <c r="I684" s="63">
        <v>44531</v>
      </c>
      <c r="J684" s="64">
        <f ca="1">EFEITO!$J$684*EFEITO!$Y$684</f>
        <v>34786.286882309527</v>
      </c>
      <c r="K684" s="64">
        <f>EFEITO!$L$684*EFEITO!$Z$684</f>
        <v>0</v>
      </c>
      <c r="L684" s="64">
        <f>EFEITO!$N$684*EFEITO!$AA$684</f>
        <v>0</v>
      </c>
      <c r="M684" s="64">
        <f ca="1">$J$684-EFEITO!$K$684*EFEITO!$Y$684</f>
        <v>17393.143441154763</v>
      </c>
      <c r="N684" s="64">
        <f>$K$684-EFEITO!$M$684*EFEITO!$Z$684</f>
        <v>0</v>
      </c>
      <c r="O684" s="64">
        <f>$L$684-EFEITO!$O$684*EFEITO!$AA$684</f>
        <v>0</v>
      </c>
      <c r="P684" s="19"/>
      <c r="Q684" s="19"/>
      <c r="R684" s="19"/>
      <c r="S684" s="19"/>
      <c r="T684" s="19"/>
      <c r="U684" s="19"/>
      <c r="V684" s="19"/>
      <c r="W684" s="19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55" t="s">
        <v>21</v>
      </c>
      <c r="B685" s="55" t="s">
        <v>41</v>
      </c>
      <c r="C685" s="55" t="s">
        <v>66</v>
      </c>
      <c r="D685" s="55" t="s">
        <v>25</v>
      </c>
      <c r="E685" s="55" t="s">
        <v>25</v>
      </c>
      <c r="F685" s="55" t="s">
        <v>25</v>
      </c>
      <c r="G685" s="55" t="s">
        <v>84</v>
      </c>
      <c r="H685" s="55" t="s">
        <v>25</v>
      </c>
      <c r="I685" s="63">
        <v>44531</v>
      </c>
      <c r="J685" s="64">
        <f ca="1">EFEITO!$J$685*EFEITO!$Y$685</f>
        <v>3623.571550240576</v>
      </c>
      <c r="K685" s="64">
        <f>EFEITO!$L$685*EFEITO!$Z$685</f>
        <v>0</v>
      </c>
      <c r="L685" s="64">
        <f>EFEITO!$N$685*EFEITO!$AA$685</f>
        <v>0</v>
      </c>
      <c r="M685" s="64">
        <f ca="1">$J$685-EFEITO!$K$685*EFEITO!$Y$685</f>
        <v>1811.785775120288</v>
      </c>
      <c r="N685" s="64">
        <f>$K$685-EFEITO!$M$685*EFEITO!$Z$685</f>
        <v>0</v>
      </c>
      <c r="O685" s="64">
        <f>$L$685-EFEITO!$O$685*EFEITO!$AA$685</f>
        <v>0</v>
      </c>
      <c r="P685" s="19"/>
      <c r="Q685" s="19"/>
      <c r="R685" s="19"/>
      <c r="S685" s="19"/>
      <c r="T685" s="19"/>
      <c r="U685" s="19"/>
      <c r="V685" s="19"/>
      <c r="W685" s="19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55" t="s">
        <v>21</v>
      </c>
      <c r="B686" s="55" t="s">
        <v>41</v>
      </c>
      <c r="C686" s="55" t="s">
        <v>66</v>
      </c>
      <c r="D686" s="55" t="s">
        <v>25</v>
      </c>
      <c r="E686" s="55" t="s">
        <v>25</v>
      </c>
      <c r="F686" s="55" t="s">
        <v>25</v>
      </c>
      <c r="G686" s="55" t="s">
        <v>85</v>
      </c>
      <c r="H686" s="55" t="s">
        <v>25</v>
      </c>
      <c r="I686" s="63">
        <v>44531</v>
      </c>
      <c r="J686" s="64">
        <f ca="1">EFEITO!$J$686*EFEITO!$Y$686</f>
        <v>3623.571550240576</v>
      </c>
      <c r="K686" s="64">
        <f>EFEITO!$L$686*EFEITO!$Z$686</f>
        <v>0</v>
      </c>
      <c r="L686" s="64">
        <f>EFEITO!$N$686*EFEITO!$AA$686</f>
        <v>0</v>
      </c>
      <c r="M686" s="64">
        <f ca="1">$J$686-EFEITO!$K$686*EFEITO!$Y$686</f>
        <v>1811.785775120288</v>
      </c>
      <c r="N686" s="64">
        <f>$K$686-EFEITO!$M$686*EFEITO!$Z$686</f>
        <v>0</v>
      </c>
      <c r="O686" s="64">
        <f>$L$686-EFEITO!$O$686*EFEITO!$AA$686</f>
        <v>0</v>
      </c>
      <c r="P686" s="19"/>
      <c r="Q686" s="19"/>
      <c r="R686" s="19"/>
      <c r="S686" s="19"/>
      <c r="T686" s="19"/>
      <c r="U686" s="19"/>
      <c r="V686" s="19"/>
      <c r="W686" s="19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55" t="s">
        <v>21</v>
      </c>
      <c r="B687" s="55" t="s">
        <v>41</v>
      </c>
      <c r="C687" s="55" t="s">
        <v>66</v>
      </c>
      <c r="D687" s="55" t="s">
        <v>25</v>
      </c>
      <c r="E687" s="55" t="s">
        <v>25</v>
      </c>
      <c r="F687" s="55" t="s">
        <v>25</v>
      </c>
      <c r="G687" s="55" t="s">
        <v>72</v>
      </c>
      <c r="H687" s="55" t="s">
        <v>25</v>
      </c>
      <c r="I687" s="63">
        <v>44562</v>
      </c>
      <c r="J687" s="64">
        <f ca="1">EFEITO!$J$687*EFEITO!$Y$687</f>
        <v>65224.287904330369</v>
      </c>
      <c r="K687" s="64">
        <f>EFEITO!$L$687*EFEITO!$Z$687</f>
        <v>0</v>
      </c>
      <c r="L687" s="64">
        <f>EFEITO!$N$687*EFEITO!$AA$687</f>
        <v>0</v>
      </c>
      <c r="M687" s="64">
        <f ca="1">$J$687-EFEITO!$K$687*EFEITO!$Y$687</f>
        <v>32612.143952165185</v>
      </c>
      <c r="N687" s="64">
        <f>$K$687-EFEITO!$M$687*EFEITO!$Z$687</f>
        <v>0</v>
      </c>
      <c r="O687" s="64">
        <f>$L$687-EFEITO!$O$687*EFEITO!$AA$687</f>
        <v>0</v>
      </c>
      <c r="P687" s="19"/>
      <c r="Q687" s="19"/>
      <c r="R687" s="19"/>
      <c r="S687" s="19"/>
      <c r="T687" s="19"/>
      <c r="U687" s="19"/>
      <c r="V687" s="19"/>
      <c r="W687" s="19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55" t="s">
        <v>21</v>
      </c>
      <c r="B688" s="55" t="s">
        <v>41</v>
      </c>
      <c r="C688" s="55" t="s">
        <v>66</v>
      </c>
      <c r="D688" s="55" t="s">
        <v>25</v>
      </c>
      <c r="E688" s="55" t="s">
        <v>25</v>
      </c>
      <c r="F688" s="55" t="s">
        <v>25</v>
      </c>
      <c r="G688" s="55" t="s">
        <v>74</v>
      </c>
      <c r="H688" s="55" t="s">
        <v>25</v>
      </c>
      <c r="I688" s="63">
        <v>44562</v>
      </c>
      <c r="J688" s="64">
        <f ca="1">EFEITO!$J$688*EFEITO!$Y$688</f>
        <v>43482.85860288691</v>
      </c>
      <c r="K688" s="64">
        <f>EFEITO!$L$688*EFEITO!$Z$688</f>
        <v>0</v>
      </c>
      <c r="L688" s="64">
        <f>EFEITO!$N$688*EFEITO!$AA$688</f>
        <v>0</v>
      </c>
      <c r="M688" s="64">
        <f ca="1">$J$688-EFEITO!$K$688*EFEITO!$Y$688</f>
        <v>21741.429301443455</v>
      </c>
      <c r="N688" s="64">
        <f>$K$688-EFEITO!$M$688*EFEITO!$Z$688</f>
        <v>0</v>
      </c>
      <c r="O688" s="64">
        <f>$L$688-EFEITO!$O$688*EFEITO!$AA$688</f>
        <v>0</v>
      </c>
      <c r="P688" s="19"/>
      <c r="Q688" s="19"/>
      <c r="R688" s="19"/>
      <c r="S688" s="19"/>
      <c r="T688" s="19"/>
      <c r="U688" s="19"/>
      <c r="V688" s="19"/>
      <c r="W688" s="19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55" t="s">
        <v>21</v>
      </c>
      <c r="B689" s="55" t="s">
        <v>41</v>
      </c>
      <c r="C689" s="55" t="s">
        <v>66</v>
      </c>
      <c r="D689" s="55" t="s">
        <v>25</v>
      </c>
      <c r="E689" s="55" t="s">
        <v>25</v>
      </c>
      <c r="F689" s="55" t="s">
        <v>25</v>
      </c>
      <c r="G689" s="55" t="s">
        <v>80</v>
      </c>
      <c r="H689" s="55" t="s">
        <v>25</v>
      </c>
      <c r="I689" s="63">
        <v>44562</v>
      </c>
      <c r="J689" s="64">
        <f ca="1">EFEITO!$J$689*EFEITO!$Y$689</f>
        <v>67963.707996312238</v>
      </c>
      <c r="K689" s="64">
        <f>EFEITO!$L$689*EFEITO!$Z$689</f>
        <v>0</v>
      </c>
      <c r="L689" s="64">
        <f>EFEITO!$N$689*EFEITO!$AA$689</f>
        <v>0</v>
      </c>
      <c r="M689" s="64">
        <f ca="1">$J$689-EFEITO!$K$689*EFEITO!$Y$689</f>
        <v>33981.853998156119</v>
      </c>
      <c r="N689" s="64">
        <f>$K$689-EFEITO!$M$689*EFEITO!$Z$689</f>
        <v>0</v>
      </c>
      <c r="O689" s="64">
        <f>$L$689-EFEITO!$O$689*EFEITO!$AA$689</f>
        <v>0</v>
      </c>
      <c r="P689" s="19"/>
      <c r="Q689" s="19"/>
      <c r="R689" s="19"/>
      <c r="S689" s="19"/>
      <c r="T689" s="19"/>
      <c r="U689" s="19"/>
      <c r="V689" s="19"/>
      <c r="W689" s="19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55" t="s">
        <v>21</v>
      </c>
      <c r="B690" s="55" t="s">
        <v>41</v>
      </c>
      <c r="C690" s="55" t="s">
        <v>66</v>
      </c>
      <c r="D690" s="55" t="s">
        <v>25</v>
      </c>
      <c r="E690" s="55" t="s">
        <v>25</v>
      </c>
      <c r="F690" s="55" t="s">
        <v>25</v>
      </c>
      <c r="G690" s="55" t="s">
        <v>81</v>
      </c>
      <c r="H690" s="55" t="s">
        <v>25</v>
      </c>
      <c r="I690" s="63">
        <v>44562</v>
      </c>
      <c r="J690" s="64">
        <f ca="1">EFEITO!$J$690*EFEITO!$Y$690</f>
        <v>8696.5717205773817</v>
      </c>
      <c r="K690" s="64">
        <f>EFEITO!$L$690*EFEITO!$Z$690</f>
        <v>0</v>
      </c>
      <c r="L690" s="64">
        <f>EFEITO!$N$690*EFEITO!$AA$690</f>
        <v>0</v>
      </c>
      <c r="M690" s="64">
        <f ca="1">$J$690-EFEITO!$K$690*EFEITO!$Y$690</f>
        <v>4348.2858602886909</v>
      </c>
      <c r="N690" s="64">
        <f>$K$690-EFEITO!$M$690*EFEITO!$Z$690</f>
        <v>0</v>
      </c>
      <c r="O690" s="64">
        <f>$L$690-EFEITO!$O$690*EFEITO!$AA$690</f>
        <v>0</v>
      </c>
      <c r="P690" s="19"/>
      <c r="Q690" s="19"/>
      <c r="R690" s="19"/>
      <c r="S690" s="19"/>
      <c r="T690" s="19"/>
      <c r="U690" s="19"/>
      <c r="V690" s="19"/>
      <c r="W690" s="19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55" t="s">
        <v>27</v>
      </c>
      <c r="B691" s="55" t="s">
        <v>41</v>
      </c>
      <c r="C691" s="55" t="s">
        <v>66</v>
      </c>
      <c r="D691" s="55" t="s">
        <v>25</v>
      </c>
      <c r="E691" s="55" t="s">
        <v>25</v>
      </c>
      <c r="F691" s="55" t="s">
        <v>25</v>
      </c>
      <c r="G691" s="55" t="s">
        <v>81</v>
      </c>
      <c r="H691" s="55" t="s">
        <v>25</v>
      </c>
      <c r="I691" s="63">
        <v>44562</v>
      </c>
      <c r="J691" s="64">
        <f ca="1">EFEITO!$J$691*EFEITO!$Y$691</f>
        <v>3058.294388403046</v>
      </c>
      <c r="K691" s="64">
        <f>EFEITO!$L$691*EFEITO!$Z$691</f>
        <v>0</v>
      </c>
      <c r="L691" s="64">
        <f>EFEITO!$N$691*EFEITO!$AA$691</f>
        <v>0</v>
      </c>
      <c r="M691" s="64">
        <f ca="1">$J$691-EFEITO!$K$691*EFEITO!$Y$691</f>
        <v>0</v>
      </c>
      <c r="N691" s="64">
        <f>$K$691-EFEITO!$M$691*EFEITO!$Z$691</f>
        <v>0</v>
      </c>
      <c r="O691" s="64">
        <f>$L$691-EFEITO!$O$691*EFEITO!$AA$691</f>
        <v>0</v>
      </c>
      <c r="P691" s="19"/>
      <c r="Q691" s="19"/>
      <c r="R691" s="19"/>
      <c r="S691" s="19"/>
      <c r="T691" s="19"/>
      <c r="U691" s="19"/>
      <c r="V691" s="19"/>
      <c r="W691" s="19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55" t="s">
        <v>21</v>
      </c>
      <c r="B692" s="55" t="s">
        <v>41</v>
      </c>
      <c r="C692" s="55" t="s">
        <v>66</v>
      </c>
      <c r="D692" s="55" t="s">
        <v>25</v>
      </c>
      <c r="E692" s="55" t="s">
        <v>25</v>
      </c>
      <c r="F692" s="55" t="s">
        <v>25</v>
      </c>
      <c r="G692" s="55" t="s">
        <v>82</v>
      </c>
      <c r="H692" s="55" t="s">
        <v>25</v>
      </c>
      <c r="I692" s="63">
        <v>44562</v>
      </c>
      <c r="J692" s="64">
        <f ca="1">EFEITO!$J$692*EFEITO!$Y$692</f>
        <v>69572.573764619054</v>
      </c>
      <c r="K692" s="64">
        <f>EFEITO!$L$692*EFEITO!$Z$692</f>
        <v>0</v>
      </c>
      <c r="L692" s="64">
        <f>EFEITO!$N$692*EFEITO!$AA$692</f>
        <v>0</v>
      </c>
      <c r="M692" s="64">
        <f ca="1">$J$692-EFEITO!$K$692*EFEITO!$Y$692</f>
        <v>69572.573764619054</v>
      </c>
      <c r="N692" s="64">
        <f>$K$692-EFEITO!$M$692*EFEITO!$Z$692</f>
        <v>0</v>
      </c>
      <c r="O692" s="64">
        <f>$L$692-EFEITO!$O$692*EFEITO!$AA$692</f>
        <v>0</v>
      </c>
      <c r="P692" s="19"/>
      <c r="Q692" s="19"/>
      <c r="R692" s="19"/>
      <c r="S692" s="19"/>
      <c r="T692" s="19"/>
      <c r="U692" s="19"/>
      <c r="V692" s="19"/>
      <c r="W692" s="19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55" t="s">
        <v>21</v>
      </c>
      <c r="B693" s="55" t="s">
        <v>41</v>
      </c>
      <c r="C693" s="55" t="s">
        <v>66</v>
      </c>
      <c r="D693" s="55" t="s">
        <v>25</v>
      </c>
      <c r="E693" s="55" t="s">
        <v>25</v>
      </c>
      <c r="F693" s="55" t="s">
        <v>25</v>
      </c>
      <c r="G693" s="55" t="s">
        <v>83</v>
      </c>
      <c r="H693" s="55" t="s">
        <v>25</v>
      </c>
      <c r="I693" s="63">
        <v>44562</v>
      </c>
      <c r="J693" s="64">
        <f ca="1">EFEITO!$J$693*EFEITO!$Y$693</f>
        <v>34786.286882309527</v>
      </c>
      <c r="K693" s="64">
        <f>EFEITO!$L$693*EFEITO!$Z$693</f>
        <v>0</v>
      </c>
      <c r="L693" s="64">
        <f>EFEITO!$N$693*EFEITO!$AA$693</f>
        <v>0</v>
      </c>
      <c r="M693" s="64">
        <f ca="1">$J$693-EFEITO!$K$693*EFEITO!$Y$693</f>
        <v>17393.143441154763</v>
      </c>
      <c r="N693" s="64">
        <f>$K$693-EFEITO!$M$693*EFEITO!$Z$693</f>
        <v>0</v>
      </c>
      <c r="O693" s="64">
        <f>$L$693-EFEITO!$O$693*EFEITO!$AA$693</f>
        <v>0</v>
      </c>
      <c r="P693" s="19"/>
      <c r="Q693" s="19"/>
      <c r="R693" s="19"/>
      <c r="S693" s="19"/>
      <c r="T693" s="19"/>
      <c r="U693" s="19"/>
      <c r="V693" s="19"/>
      <c r="W693" s="19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55" t="s">
        <v>21</v>
      </c>
      <c r="B694" s="55" t="s">
        <v>41</v>
      </c>
      <c r="C694" s="55" t="s">
        <v>66</v>
      </c>
      <c r="D694" s="55" t="s">
        <v>25</v>
      </c>
      <c r="E694" s="55" t="s">
        <v>25</v>
      </c>
      <c r="F694" s="55" t="s">
        <v>25</v>
      </c>
      <c r="G694" s="55" t="s">
        <v>84</v>
      </c>
      <c r="H694" s="55" t="s">
        <v>25</v>
      </c>
      <c r="I694" s="63">
        <v>44562</v>
      </c>
      <c r="J694" s="64">
        <f ca="1">EFEITO!$J$694*EFEITO!$Y$694</f>
        <v>3623.571550240576</v>
      </c>
      <c r="K694" s="64">
        <f>EFEITO!$L$694*EFEITO!$Z$694</f>
        <v>0</v>
      </c>
      <c r="L694" s="64">
        <f>EFEITO!$N$694*EFEITO!$AA$694</f>
        <v>0</v>
      </c>
      <c r="M694" s="64">
        <f ca="1">$J$694-EFEITO!$K$694*EFEITO!$Y$694</f>
        <v>1811.785775120288</v>
      </c>
      <c r="N694" s="64">
        <f>$K$694-EFEITO!$M$694*EFEITO!$Z$694</f>
        <v>0</v>
      </c>
      <c r="O694" s="64">
        <f>$L$694-EFEITO!$O$694*EFEITO!$AA$694</f>
        <v>0</v>
      </c>
      <c r="P694" s="19"/>
      <c r="Q694" s="19"/>
      <c r="R694" s="19"/>
      <c r="S694" s="19"/>
      <c r="T694" s="19"/>
      <c r="U694" s="19"/>
      <c r="V694" s="19"/>
      <c r="W694" s="19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55" t="s">
        <v>21</v>
      </c>
      <c r="B695" s="55" t="s">
        <v>41</v>
      </c>
      <c r="C695" s="55" t="s">
        <v>66</v>
      </c>
      <c r="D695" s="55" t="s">
        <v>25</v>
      </c>
      <c r="E695" s="55" t="s">
        <v>25</v>
      </c>
      <c r="F695" s="55" t="s">
        <v>25</v>
      </c>
      <c r="G695" s="55" t="s">
        <v>85</v>
      </c>
      <c r="H695" s="55" t="s">
        <v>25</v>
      </c>
      <c r="I695" s="63">
        <v>44562</v>
      </c>
      <c r="J695" s="64">
        <f ca="1">EFEITO!$J$695*EFEITO!$Y$695</f>
        <v>3623.571550240576</v>
      </c>
      <c r="K695" s="64">
        <f>EFEITO!$L$695*EFEITO!$Z$695</f>
        <v>0</v>
      </c>
      <c r="L695" s="64">
        <f>EFEITO!$N$695*EFEITO!$AA$695</f>
        <v>0</v>
      </c>
      <c r="M695" s="64">
        <f ca="1">$J$695-EFEITO!$K$695*EFEITO!$Y$695</f>
        <v>1811.785775120288</v>
      </c>
      <c r="N695" s="64">
        <f>$K$695-EFEITO!$M$695*EFEITO!$Z$695</f>
        <v>0</v>
      </c>
      <c r="O695" s="64">
        <f>$L$695-EFEITO!$O$695*EFEITO!$AA$695</f>
        <v>0</v>
      </c>
      <c r="P695" s="19"/>
      <c r="Q695" s="19"/>
      <c r="R695" s="19"/>
      <c r="S695" s="19"/>
      <c r="T695" s="19"/>
      <c r="U695" s="19"/>
      <c r="V695" s="19"/>
      <c r="W695" s="19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55" t="s">
        <v>21</v>
      </c>
      <c r="B696" s="55" t="s">
        <v>41</v>
      </c>
      <c r="C696" s="55" t="s">
        <v>66</v>
      </c>
      <c r="D696" s="55" t="s">
        <v>25</v>
      </c>
      <c r="E696" s="55" t="s">
        <v>25</v>
      </c>
      <c r="F696" s="55" t="s">
        <v>25</v>
      </c>
      <c r="G696" s="55" t="s">
        <v>72</v>
      </c>
      <c r="H696" s="55" t="s">
        <v>25</v>
      </c>
      <c r="I696" s="63">
        <v>44593</v>
      </c>
      <c r="J696" s="64">
        <f ca="1">EFEITO!$J$696*EFEITO!$Y$696</f>
        <v>65224.287904330369</v>
      </c>
      <c r="K696" s="64">
        <f>EFEITO!$L$696*EFEITO!$Z$696</f>
        <v>0</v>
      </c>
      <c r="L696" s="64">
        <f>EFEITO!$N$696*EFEITO!$AA$696</f>
        <v>0</v>
      </c>
      <c r="M696" s="64">
        <f ca="1">$J$696-EFEITO!$K$696*EFEITO!$Y$696</f>
        <v>32612.143952165185</v>
      </c>
      <c r="N696" s="64">
        <f>$K$696-EFEITO!$M$696*EFEITO!$Z$696</f>
        <v>0</v>
      </c>
      <c r="O696" s="64">
        <f>$L$696-EFEITO!$O$696*EFEITO!$AA$696</f>
        <v>0</v>
      </c>
      <c r="P696" s="19"/>
      <c r="Q696" s="19"/>
      <c r="R696" s="19"/>
      <c r="S696" s="19"/>
      <c r="T696" s="19"/>
      <c r="U696" s="19"/>
      <c r="V696" s="19"/>
      <c r="W696" s="19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55" t="s">
        <v>21</v>
      </c>
      <c r="B697" s="55" t="s">
        <v>41</v>
      </c>
      <c r="C697" s="55" t="s">
        <v>66</v>
      </c>
      <c r="D697" s="55" t="s">
        <v>25</v>
      </c>
      <c r="E697" s="55" t="s">
        <v>25</v>
      </c>
      <c r="F697" s="55" t="s">
        <v>25</v>
      </c>
      <c r="G697" s="55" t="s">
        <v>74</v>
      </c>
      <c r="H697" s="55" t="s">
        <v>25</v>
      </c>
      <c r="I697" s="63">
        <v>44593</v>
      </c>
      <c r="J697" s="64">
        <f ca="1">EFEITO!$J$697*EFEITO!$Y$697</f>
        <v>43482.85860288691</v>
      </c>
      <c r="K697" s="64">
        <f>EFEITO!$L$697*EFEITO!$Z$697</f>
        <v>0</v>
      </c>
      <c r="L697" s="64">
        <f>EFEITO!$N$697*EFEITO!$AA$697</f>
        <v>0</v>
      </c>
      <c r="M697" s="64">
        <f ca="1">$J$697-EFEITO!$K$697*EFEITO!$Y$697</f>
        <v>21741.429301443455</v>
      </c>
      <c r="N697" s="64">
        <f>$K$697-EFEITO!$M$697*EFEITO!$Z$697</f>
        <v>0</v>
      </c>
      <c r="O697" s="64">
        <f>$L$697-EFEITO!$O$697*EFEITO!$AA$697</f>
        <v>0</v>
      </c>
      <c r="P697" s="19"/>
      <c r="Q697" s="19"/>
      <c r="R697" s="19"/>
      <c r="S697" s="19"/>
      <c r="T697" s="19"/>
      <c r="U697" s="19"/>
      <c r="V697" s="19"/>
      <c r="W697" s="19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55" t="s">
        <v>21</v>
      </c>
      <c r="B698" s="55" t="s">
        <v>41</v>
      </c>
      <c r="C698" s="55" t="s">
        <v>66</v>
      </c>
      <c r="D698" s="55" t="s">
        <v>25</v>
      </c>
      <c r="E698" s="55" t="s">
        <v>25</v>
      </c>
      <c r="F698" s="55" t="s">
        <v>25</v>
      </c>
      <c r="G698" s="55" t="s">
        <v>80</v>
      </c>
      <c r="H698" s="55" t="s">
        <v>25</v>
      </c>
      <c r="I698" s="63">
        <v>44593</v>
      </c>
      <c r="J698" s="64">
        <f ca="1">EFEITO!$J$698*EFEITO!$Y$698</f>
        <v>43482.85860288691</v>
      </c>
      <c r="K698" s="64">
        <f>EFEITO!$L$698*EFEITO!$Z$698</f>
        <v>0</v>
      </c>
      <c r="L698" s="64">
        <f>EFEITO!$N$698*EFEITO!$AA$698</f>
        <v>0</v>
      </c>
      <c r="M698" s="64">
        <f ca="1">$J$698-EFEITO!$K$698*EFEITO!$Y$698</f>
        <v>21741.429301443455</v>
      </c>
      <c r="N698" s="64">
        <f>$K$698-EFEITO!$M$698*EFEITO!$Z$698</f>
        <v>0</v>
      </c>
      <c r="O698" s="64">
        <f>$L$698-EFEITO!$O$698*EFEITO!$AA$698</f>
        <v>0</v>
      </c>
      <c r="P698" s="19"/>
      <c r="Q698" s="19"/>
      <c r="R698" s="19"/>
      <c r="S698" s="19"/>
      <c r="T698" s="19"/>
      <c r="U698" s="19"/>
      <c r="V698" s="19"/>
      <c r="W698" s="19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55" t="s">
        <v>21</v>
      </c>
      <c r="B699" s="55" t="s">
        <v>41</v>
      </c>
      <c r="C699" s="55" t="s">
        <v>66</v>
      </c>
      <c r="D699" s="55" t="s">
        <v>25</v>
      </c>
      <c r="E699" s="55" t="s">
        <v>25</v>
      </c>
      <c r="F699" s="55" t="s">
        <v>25</v>
      </c>
      <c r="G699" s="55" t="s">
        <v>81</v>
      </c>
      <c r="H699" s="55" t="s">
        <v>25</v>
      </c>
      <c r="I699" s="63">
        <v>44593</v>
      </c>
      <c r="J699" s="64">
        <f ca="1">EFEITO!$J$699*EFEITO!$Y$699</f>
        <v>8696.5717205773817</v>
      </c>
      <c r="K699" s="64">
        <f>EFEITO!$L$699*EFEITO!$Z$699</f>
        <v>0</v>
      </c>
      <c r="L699" s="64">
        <f>EFEITO!$N$699*EFEITO!$AA$699</f>
        <v>0</v>
      </c>
      <c r="M699" s="64">
        <f ca="1">$J$699-EFEITO!$K$699*EFEITO!$Y$699</f>
        <v>4348.2858602886909</v>
      </c>
      <c r="N699" s="64">
        <f>$K$699-EFEITO!$M$699*EFEITO!$Z$699</f>
        <v>0</v>
      </c>
      <c r="O699" s="64">
        <f>$L$699-EFEITO!$O$699*EFEITO!$AA$699</f>
        <v>0</v>
      </c>
      <c r="P699" s="19"/>
      <c r="Q699" s="19"/>
      <c r="R699" s="19"/>
      <c r="S699" s="19"/>
      <c r="T699" s="19"/>
      <c r="U699" s="19"/>
      <c r="V699" s="19"/>
      <c r="W699" s="19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55" t="s">
        <v>21</v>
      </c>
      <c r="B700" s="55" t="s">
        <v>41</v>
      </c>
      <c r="C700" s="55" t="s">
        <v>66</v>
      </c>
      <c r="D700" s="55" t="s">
        <v>25</v>
      </c>
      <c r="E700" s="55" t="s">
        <v>25</v>
      </c>
      <c r="F700" s="55" t="s">
        <v>25</v>
      </c>
      <c r="G700" s="55" t="s">
        <v>82</v>
      </c>
      <c r="H700" s="55" t="s">
        <v>25</v>
      </c>
      <c r="I700" s="63">
        <v>44593</v>
      </c>
      <c r="J700" s="64">
        <f ca="1">EFEITO!$J$700*EFEITO!$Y$700</f>
        <v>69572.573764619054</v>
      </c>
      <c r="K700" s="64">
        <f>EFEITO!$L$700*EFEITO!$Z$700</f>
        <v>0</v>
      </c>
      <c r="L700" s="64">
        <f>EFEITO!$N$700*EFEITO!$AA$700</f>
        <v>0</v>
      </c>
      <c r="M700" s="64">
        <f ca="1">$J$700-EFEITO!$K$700*EFEITO!$Y$700</f>
        <v>69572.573764619054</v>
      </c>
      <c r="N700" s="64">
        <f>$K$700-EFEITO!$M$700*EFEITO!$Z$700</f>
        <v>0</v>
      </c>
      <c r="O700" s="64">
        <f>$L$700-EFEITO!$O$700*EFEITO!$AA$700</f>
        <v>0</v>
      </c>
      <c r="P700" s="19"/>
      <c r="Q700" s="19"/>
      <c r="R700" s="19"/>
      <c r="S700" s="19"/>
      <c r="T700" s="19"/>
      <c r="U700" s="19"/>
      <c r="V700" s="19"/>
      <c r="W700" s="19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55" t="s">
        <v>21</v>
      </c>
      <c r="B701" s="55" t="s">
        <v>41</v>
      </c>
      <c r="C701" s="55" t="s">
        <v>66</v>
      </c>
      <c r="D701" s="55" t="s">
        <v>25</v>
      </c>
      <c r="E701" s="55" t="s">
        <v>25</v>
      </c>
      <c r="F701" s="55" t="s">
        <v>25</v>
      </c>
      <c r="G701" s="55" t="s">
        <v>83</v>
      </c>
      <c r="H701" s="55" t="s">
        <v>25</v>
      </c>
      <c r="I701" s="63">
        <v>44593</v>
      </c>
      <c r="J701" s="64">
        <f ca="1">EFEITO!$J$701*EFEITO!$Y$701</f>
        <v>34786.286882309527</v>
      </c>
      <c r="K701" s="64">
        <f>EFEITO!$L$701*EFEITO!$Z$701</f>
        <v>0</v>
      </c>
      <c r="L701" s="64">
        <f>EFEITO!$N$701*EFEITO!$AA$701</f>
        <v>0</v>
      </c>
      <c r="M701" s="64">
        <f ca="1">$J$701-EFEITO!$K$701*EFEITO!$Y$701</f>
        <v>17393.143441154763</v>
      </c>
      <c r="N701" s="64">
        <f>$K$701-EFEITO!$M$701*EFEITO!$Z$701</f>
        <v>0</v>
      </c>
      <c r="O701" s="64">
        <f>$L$701-EFEITO!$O$701*EFEITO!$AA$701</f>
        <v>0</v>
      </c>
      <c r="P701" s="19"/>
      <c r="Q701" s="19"/>
      <c r="R701" s="19"/>
      <c r="S701" s="19"/>
      <c r="T701" s="19"/>
      <c r="U701" s="19"/>
      <c r="V701" s="19"/>
      <c r="W701" s="19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55" t="s">
        <v>21</v>
      </c>
      <c r="B702" s="55" t="s">
        <v>41</v>
      </c>
      <c r="C702" s="55" t="s">
        <v>66</v>
      </c>
      <c r="D702" s="55" t="s">
        <v>25</v>
      </c>
      <c r="E702" s="55" t="s">
        <v>25</v>
      </c>
      <c r="F702" s="55" t="s">
        <v>25</v>
      </c>
      <c r="G702" s="55" t="s">
        <v>84</v>
      </c>
      <c r="H702" s="55" t="s">
        <v>25</v>
      </c>
      <c r="I702" s="63">
        <v>44593</v>
      </c>
      <c r="J702" s="64">
        <f ca="1">EFEITO!$J$702*EFEITO!$Y$702</f>
        <v>3623.571550240576</v>
      </c>
      <c r="K702" s="64">
        <f>EFEITO!$L$702*EFEITO!$Z$702</f>
        <v>0</v>
      </c>
      <c r="L702" s="64">
        <f>EFEITO!$N$702*EFEITO!$AA$702</f>
        <v>0</v>
      </c>
      <c r="M702" s="64">
        <f ca="1">$J$702-EFEITO!$K$702*EFEITO!$Y$702</f>
        <v>1811.785775120288</v>
      </c>
      <c r="N702" s="64">
        <f>$K$702-EFEITO!$M$702*EFEITO!$Z$702</f>
        <v>0</v>
      </c>
      <c r="O702" s="64">
        <f>$L$702-EFEITO!$O$702*EFEITO!$AA$702</f>
        <v>0</v>
      </c>
      <c r="P702" s="19"/>
      <c r="Q702" s="19"/>
      <c r="R702" s="19"/>
      <c r="S702" s="19"/>
      <c r="T702" s="19"/>
      <c r="U702" s="19"/>
      <c r="V702" s="19"/>
      <c r="W702" s="19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55" t="s">
        <v>21</v>
      </c>
      <c r="B703" s="55" t="s">
        <v>41</v>
      </c>
      <c r="C703" s="55" t="s">
        <v>66</v>
      </c>
      <c r="D703" s="55" t="s">
        <v>25</v>
      </c>
      <c r="E703" s="55" t="s">
        <v>25</v>
      </c>
      <c r="F703" s="55" t="s">
        <v>25</v>
      </c>
      <c r="G703" s="55" t="s">
        <v>85</v>
      </c>
      <c r="H703" s="55" t="s">
        <v>25</v>
      </c>
      <c r="I703" s="63">
        <v>44593</v>
      </c>
      <c r="J703" s="64">
        <f ca="1">EFEITO!$J$703*EFEITO!$Y$703</f>
        <v>3623.571550240576</v>
      </c>
      <c r="K703" s="64">
        <f>EFEITO!$L$703*EFEITO!$Z$703</f>
        <v>0</v>
      </c>
      <c r="L703" s="64">
        <f>EFEITO!$N$703*EFEITO!$AA$703</f>
        <v>0</v>
      </c>
      <c r="M703" s="64">
        <f ca="1">$J$703-EFEITO!$K$703*EFEITO!$Y$703</f>
        <v>1811.785775120288</v>
      </c>
      <c r="N703" s="64">
        <f>$K$703-EFEITO!$M$703*EFEITO!$Z$703</f>
        <v>0</v>
      </c>
      <c r="O703" s="64">
        <f>$L$703-EFEITO!$O$703*EFEITO!$AA$703</f>
        <v>0</v>
      </c>
      <c r="P703" s="19"/>
      <c r="Q703" s="19"/>
      <c r="R703" s="19"/>
      <c r="S703" s="19"/>
      <c r="T703" s="19"/>
      <c r="U703" s="19"/>
      <c r="V703" s="19"/>
      <c r="W703" s="19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55" t="s">
        <v>21</v>
      </c>
      <c r="B704" s="55" t="s">
        <v>41</v>
      </c>
      <c r="C704" s="55" t="s">
        <v>66</v>
      </c>
      <c r="D704" s="55" t="s">
        <v>25</v>
      </c>
      <c r="E704" s="55" t="s">
        <v>25</v>
      </c>
      <c r="F704" s="55" t="s">
        <v>25</v>
      </c>
      <c r="G704" s="55" t="s">
        <v>72</v>
      </c>
      <c r="H704" s="55" t="s">
        <v>25</v>
      </c>
      <c r="I704" s="63">
        <v>44621</v>
      </c>
      <c r="J704" s="64">
        <f ca="1">EFEITO!$J$704*EFEITO!$Y$704</f>
        <v>65224.287904330369</v>
      </c>
      <c r="K704" s="64">
        <f>EFEITO!$L$704*EFEITO!$Z$704</f>
        <v>0</v>
      </c>
      <c r="L704" s="64">
        <f>EFEITO!$N$704*EFEITO!$AA$704</f>
        <v>0</v>
      </c>
      <c r="M704" s="64">
        <f ca="1">$J$704-EFEITO!$K$704*EFEITO!$Y$704</f>
        <v>32612.143952165185</v>
      </c>
      <c r="N704" s="64">
        <f>$K$704-EFEITO!$M$704*EFEITO!$Z$704</f>
        <v>0</v>
      </c>
      <c r="O704" s="64">
        <f>$L$704-EFEITO!$O$704*EFEITO!$AA$704</f>
        <v>0</v>
      </c>
      <c r="P704" s="19"/>
      <c r="Q704" s="19"/>
      <c r="R704" s="19"/>
      <c r="S704" s="19"/>
      <c r="T704" s="19"/>
      <c r="U704" s="19"/>
      <c r="V704" s="19"/>
      <c r="W704" s="19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55" t="s">
        <v>21</v>
      </c>
      <c r="B705" s="55" t="s">
        <v>41</v>
      </c>
      <c r="C705" s="55" t="s">
        <v>66</v>
      </c>
      <c r="D705" s="55" t="s">
        <v>25</v>
      </c>
      <c r="E705" s="55" t="s">
        <v>25</v>
      </c>
      <c r="F705" s="55" t="s">
        <v>25</v>
      </c>
      <c r="G705" s="55" t="s">
        <v>74</v>
      </c>
      <c r="H705" s="55" t="s">
        <v>25</v>
      </c>
      <c r="I705" s="63">
        <v>44621</v>
      </c>
      <c r="J705" s="64">
        <f ca="1">EFEITO!$J$705*EFEITO!$Y$705</f>
        <v>43482.85860288691</v>
      </c>
      <c r="K705" s="64">
        <f>EFEITO!$L$705*EFEITO!$Z$705</f>
        <v>0</v>
      </c>
      <c r="L705" s="64">
        <f>EFEITO!$N$705*EFEITO!$AA$705</f>
        <v>0</v>
      </c>
      <c r="M705" s="64">
        <f ca="1">$J$705-EFEITO!$K$705*EFEITO!$Y$705</f>
        <v>21741.429301443455</v>
      </c>
      <c r="N705" s="64">
        <f>$K$705-EFEITO!$M$705*EFEITO!$Z$705</f>
        <v>0</v>
      </c>
      <c r="O705" s="64">
        <f>$L$705-EFEITO!$O$705*EFEITO!$AA$705</f>
        <v>0</v>
      </c>
      <c r="P705" s="19"/>
      <c r="Q705" s="19"/>
      <c r="R705" s="19"/>
      <c r="S705" s="19"/>
      <c r="T705" s="19"/>
      <c r="U705" s="19"/>
      <c r="V705" s="19"/>
      <c r="W705" s="19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55" t="s">
        <v>21</v>
      </c>
      <c r="B706" s="55" t="s">
        <v>41</v>
      </c>
      <c r="C706" s="55" t="s">
        <v>66</v>
      </c>
      <c r="D706" s="55" t="s">
        <v>25</v>
      </c>
      <c r="E706" s="55" t="s">
        <v>25</v>
      </c>
      <c r="F706" s="55" t="s">
        <v>25</v>
      </c>
      <c r="G706" s="55" t="s">
        <v>80</v>
      </c>
      <c r="H706" s="55" t="s">
        <v>25</v>
      </c>
      <c r="I706" s="63">
        <v>44621</v>
      </c>
      <c r="J706" s="64">
        <f ca="1">EFEITO!$J$706*EFEITO!$Y$706</f>
        <v>43482.85860288691</v>
      </c>
      <c r="K706" s="64">
        <f>EFEITO!$L$706*EFEITO!$Z$706</f>
        <v>0</v>
      </c>
      <c r="L706" s="64">
        <f>EFEITO!$N$706*EFEITO!$AA$706</f>
        <v>0</v>
      </c>
      <c r="M706" s="64">
        <f ca="1">$J$706-EFEITO!$K$706*EFEITO!$Y$706</f>
        <v>21741.429301443455</v>
      </c>
      <c r="N706" s="64">
        <f>$K$706-EFEITO!$M$706*EFEITO!$Z$706</f>
        <v>0</v>
      </c>
      <c r="O706" s="64">
        <f>$L$706-EFEITO!$O$706*EFEITO!$AA$706</f>
        <v>0</v>
      </c>
      <c r="P706" s="19"/>
      <c r="Q706" s="19"/>
      <c r="R706" s="19"/>
      <c r="S706" s="19"/>
      <c r="T706" s="19"/>
      <c r="U706" s="19"/>
      <c r="V706" s="19"/>
      <c r="W706" s="19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55" t="s">
        <v>21</v>
      </c>
      <c r="B707" s="55" t="s">
        <v>41</v>
      </c>
      <c r="C707" s="55" t="s">
        <v>66</v>
      </c>
      <c r="D707" s="55" t="s">
        <v>25</v>
      </c>
      <c r="E707" s="55" t="s">
        <v>25</v>
      </c>
      <c r="F707" s="55" t="s">
        <v>25</v>
      </c>
      <c r="G707" s="55" t="s">
        <v>81</v>
      </c>
      <c r="H707" s="55" t="s">
        <v>25</v>
      </c>
      <c r="I707" s="63">
        <v>44621</v>
      </c>
      <c r="J707" s="64">
        <f ca="1">EFEITO!$J$707*EFEITO!$Y$707</f>
        <v>8696.5717205773817</v>
      </c>
      <c r="K707" s="64">
        <f>EFEITO!$L$707*EFEITO!$Z$707</f>
        <v>0</v>
      </c>
      <c r="L707" s="64">
        <f>EFEITO!$N$707*EFEITO!$AA$707</f>
        <v>0</v>
      </c>
      <c r="M707" s="64">
        <f ca="1">$J$707-EFEITO!$K$707*EFEITO!$Y$707</f>
        <v>4348.2858602886909</v>
      </c>
      <c r="N707" s="64">
        <f>$K$707-EFEITO!$M$707*EFEITO!$Z$707</f>
        <v>0</v>
      </c>
      <c r="O707" s="64">
        <f>$L$707-EFEITO!$O$707*EFEITO!$AA$707</f>
        <v>0</v>
      </c>
      <c r="P707" s="19"/>
      <c r="Q707" s="19"/>
      <c r="R707" s="19"/>
      <c r="S707" s="19"/>
      <c r="T707" s="19"/>
      <c r="U707" s="19"/>
      <c r="V707" s="19"/>
      <c r="W707" s="19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55" t="s">
        <v>21</v>
      </c>
      <c r="B708" s="55" t="s">
        <v>41</v>
      </c>
      <c r="C708" s="55" t="s">
        <v>66</v>
      </c>
      <c r="D708" s="55" t="s">
        <v>25</v>
      </c>
      <c r="E708" s="55" t="s">
        <v>25</v>
      </c>
      <c r="F708" s="55" t="s">
        <v>25</v>
      </c>
      <c r="G708" s="55" t="s">
        <v>82</v>
      </c>
      <c r="H708" s="55" t="s">
        <v>25</v>
      </c>
      <c r="I708" s="63">
        <v>44621</v>
      </c>
      <c r="J708" s="64">
        <f ca="1">EFEITO!$J$708*EFEITO!$Y$708</f>
        <v>69572.573764619054</v>
      </c>
      <c r="K708" s="64">
        <f>EFEITO!$L$708*EFEITO!$Z$708</f>
        <v>0</v>
      </c>
      <c r="L708" s="64">
        <f>EFEITO!$N$708*EFEITO!$AA$708</f>
        <v>0</v>
      </c>
      <c r="M708" s="64">
        <f ca="1">$J$708-EFEITO!$K$708*EFEITO!$Y$708</f>
        <v>69572.573764619054</v>
      </c>
      <c r="N708" s="64">
        <f>$K$708-EFEITO!$M$708*EFEITO!$Z$708</f>
        <v>0</v>
      </c>
      <c r="O708" s="64">
        <f>$L$708-EFEITO!$O$708*EFEITO!$AA$708</f>
        <v>0</v>
      </c>
      <c r="P708" s="19"/>
      <c r="Q708" s="19"/>
      <c r="R708" s="19"/>
      <c r="S708" s="19"/>
      <c r="T708" s="19"/>
      <c r="U708" s="19"/>
      <c r="V708" s="19"/>
      <c r="W708" s="19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55" t="s">
        <v>21</v>
      </c>
      <c r="B709" s="55" t="s">
        <v>41</v>
      </c>
      <c r="C709" s="55" t="s">
        <v>66</v>
      </c>
      <c r="D709" s="55" t="s">
        <v>25</v>
      </c>
      <c r="E709" s="55" t="s">
        <v>25</v>
      </c>
      <c r="F709" s="55" t="s">
        <v>25</v>
      </c>
      <c r="G709" s="55" t="s">
        <v>83</v>
      </c>
      <c r="H709" s="55" t="s">
        <v>25</v>
      </c>
      <c r="I709" s="63">
        <v>44621</v>
      </c>
      <c r="J709" s="64">
        <f ca="1">EFEITO!$J$709*EFEITO!$Y$709</f>
        <v>34786.286882309527</v>
      </c>
      <c r="K709" s="64">
        <f>EFEITO!$L$709*EFEITO!$Z$709</f>
        <v>0</v>
      </c>
      <c r="L709" s="64">
        <f>EFEITO!$N$709*EFEITO!$AA$709</f>
        <v>0</v>
      </c>
      <c r="M709" s="64">
        <f ca="1">$J$709-EFEITO!$K$709*EFEITO!$Y$709</f>
        <v>17393.143441154763</v>
      </c>
      <c r="N709" s="64">
        <f>$K$709-EFEITO!$M$709*EFEITO!$Z$709</f>
        <v>0</v>
      </c>
      <c r="O709" s="64">
        <f>$L$709-EFEITO!$O$709*EFEITO!$AA$709</f>
        <v>0</v>
      </c>
      <c r="P709" s="19"/>
      <c r="Q709" s="19"/>
      <c r="R709" s="19"/>
      <c r="S709" s="19"/>
      <c r="T709" s="19"/>
      <c r="U709" s="19"/>
      <c r="V709" s="19"/>
      <c r="W709" s="19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55" t="s">
        <v>21</v>
      </c>
      <c r="B710" s="55" t="s">
        <v>41</v>
      </c>
      <c r="C710" s="55" t="s">
        <v>66</v>
      </c>
      <c r="D710" s="55" t="s">
        <v>25</v>
      </c>
      <c r="E710" s="55" t="s">
        <v>25</v>
      </c>
      <c r="F710" s="55" t="s">
        <v>25</v>
      </c>
      <c r="G710" s="55" t="s">
        <v>84</v>
      </c>
      <c r="H710" s="55" t="s">
        <v>25</v>
      </c>
      <c r="I710" s="63">
        <v>44621</v>
      </c>
      <c r="J710" s="64">
        <f ca="1">EFEITO!$J$710*EFEITO!$Y$710</f>
        <v>3623.571550240576</v>
      </c>
      <c r="K710" s="64">
        <f>EFEITO!$L$710*EFEITO!$Z$710</f>
        <v>0</v>
      </c>
      <c r="L710" s="64">
        <f>EFEITO!$N$710*EFEITO!$AA$710</f>
        <v>0</v>
      </c>
      <c r="M710" s="64">
        <f ca="1">$J$710-EFEITO!$K$710*EFEITO!$Y$710</f>
        <v>1811.785775120288</v>
      </c>
      <c r="N710" s="64">
        <f>$K$710-EFEITO!$M$710*EFEITO!$Z$710</f>
        <v>0</v>
      </c>
      <c r="O710" s="64">
        <f>$L$710-EFEITO!$O$710*EFEITO!$AA$710</f>
        <v>0</v>
      </c>
      <c r="P710" s="19"/>
      <c r="Q710" s="19"/>
      <c r="R710" s="19"/>
      <c r="S710" s="19"/>
      <c r="T710" s="19"/>
      <c r="U710" s="19"/>
      <c r="V710" s="19"/>
      <c r="W710" s="19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55" t="s">
        <v>21</v>
      </c>
      <c r="B711" s="55" t="s">
        <v>41</v>
      </c>
      <c r="C711" s="55" t="s">
        <v>66</v>
      </c>
      <c r="D711" s="55" t="s">
        <v>25</v>
      </c>
      <c r="E711" s="55" t="s">
        <v>25</v>
      </c>
      <c r="F711" s="55" t="s">
        <v>25</v>
      </c>
      <c r="G711" s="55" t="s">
        <v>85</v>
      </c>
      <c r="H711" s="55" t="s">
        <v>25</v>
      </c>
      <c r="I711" s="63">
        <v>44621</v>
      </c>
      <c r="J711" s="64">
        <f ca="1">EFEITO!$J$711*EFEITO!$Y$711</f>
        <v>3623.571550240576</v>
      </c>
      <c r="K711" s="64">
        <f>EFEITO!$L$711*EFEITO!$Z$711</f>
        <v>0</v>
      </c>
      <c r="L711" s="64">
        <f>EFEITO!$N$711*EFEITO!$AA$711</f>
        <v>0</v>
      </c>
      <c r="M711" s="64">
        <f ca="1">$J$711-EFEITO!$K$711*EFEITO!$Y$711</f>
        <v>1811.785775120288</v>
      </c>
      <c r="N711" s="64">
        <f>$K$711-EFEITO!$M$711*EFEITO!$Z$711</f>
        <v>0</v>
      </c>
      <c r="O711" s="64">
        <f>$L$711-EFEITO!$O$711*EFEITO!$AA$711</f>
        <v>0</v>
      </c>
      <c r="P711" s="19"/>
      <c r="Q711" s="19"/>
      <c r="R711" s="19"/>
      <c r="S711" s="19"/>
      <c r="T711" s="19"/>
      <c r="U711" s="19"/>
      <c r="V711" s="19"/>
      <c r="W711" s="19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55" t="s">
        <v>21</v>
      </c>
      <c r="B712" s="55" t="s">
        <v>41</v>
      </c>
      <c r="C712" s="55" t="s">
        <v>66</v>
      </c>
      <c r="D712" s="55" t="s">
        <v>25</v>
      </c>
      <c r="E712" s="55" t="s">
        <v>25</v>
      </c>
      <c r="F712" s="55" t="s">
        <v>25</v>
      </c>
      <c r="G712" s="55" t="s">
        <v>72</v>
      </c>
      <c r="H712" s="55" t="s">
        <v>25</v>
      </c>
      <c r="I712" s="63">
        <v>44652</v>
      </c>
      <c r="J712" s="64">
        <f ca="1">EFEITO!$J$712*EFEITO!$Y$712</f>
        <v>65224.287904330369</v>
      </c>
      <c r="K712" s="64">
        <f>EFEITO!$L$712*EFEITO!$Z$712</f>
        <v>0</v>
      </c>
      <c r="L712" s="64">
        <f>EFEITO!$N$712*EFEITO!$AA$712</f>
        <v>0</v>
      </c>
      <c r="M712" s="64">
        <f ca="1">$J$712-EFEITO!$K$712*EFEITO!$Y$712</f>
        <v>32612.143952165185</v>
      </c>
      <c r="N712" s="64">
        <f>$K$712-EFEITO!$M$712*EFEITO!$Z$712</f>
        <v>0</v>
      </c>
      <c r="O712" s="64">
        <f>$L$712-EFEITO!$O$712*EFEITO!$AA$712</f>
        <v>0</v>
      </c>
      <c r="P712" s="19"/>
      <c r="Q712" s="19"/>
      <c r="R712" s="19"/>
      <c r="S712" s="19"/>
      <c r="T712" s="19"/>
      <c r="U712" s="19"/>
      <c r="V712" s="19"/>
      <c r="W712" s="19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55" t="s">
        <v>21</v>
      </c>
      <c r="B713" s="55" t="s">
        <v>41</v>
      </c>
      <c r="C713" s="55" t="s">
        <v>66</v>
      </c>
      <c r="D713" s="55" t="s">
        <v>25</v>
      </c>
      <c r="E713" s="55" t="s">
        <v>25</v>
      </c>
      <c r="F713" s="55" t="s">
        <v>25</v>
      </c>
      <c r="G713" s="55" t="s">
        <v>74</v>
      </c>
      <c r="H713" s="55" t="s">
        <v>25</v>
      </c>
      <c r="I713" s="63">
        <v>44652</v>
      </c>
      <c r="J713" s="64">
        <f ca="1">EFEITO!$J$713*EFEITO!$Y$713</f>
        <v>43482.85860288691</v>
      </c>
      <c r="K713" s="64">
        <f>EFEITO!$L$713*EFEITO!$Z$713</f>
        <v>0</v>
      </c>
      <c r="L713" s="64">
        <f>EFEITO!$N$713*EFEITO!$AA$713</f>
        <v>0</v>
      </c>
      <c r="M713" s="64">
        <f ca="1">$J$713-EFEITO!$K$713*EFEITO!$Y$713</f>
        <v>21741.429301443455</v>
      </c>
      <c r="N713" s="64">
        <f>$K$713-EFEITO!$M$713*EFEITO!$Z$713</f>
        <v>0</v>
      </c>
      <c r="O713" s="64">
        <f>$L$713-EFEITO!$O$713*EFEITO!$AA$713</f>
        <v>0</v>
      </c>
      <c r="P713" s="19"/>
      <c r="Q713" s="19"/>
      <c r="R713" s="19"/>
      <c r="S713" s="19"/>
      <c r="T713" s="19"/>
      <c r="U713" s="19"/>
      <c r="V713" s="19"/>
      <c r="W713" s="19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55" t="s">
        <v>21</v>
      </c>
      <c r="B714" s="55" t="s">
        <v>41</v>
      </c>
      <c r="C714" s="55" t="s">
        <v>66</v>
      </c>
      <c r="D714" s="55" t="s">
        <v>25</v>
      </c>
      <c r="E714" s="55" t="s">
        <v>25</v>
      </c>
      <c r="F714" s="55" t="s">
        <v>25</v>
      </c>
      <c r="G714" s="55" t="s">
        <v>80</v>
      </c>
      <c r="H714" s="55" t="s">
        <v>25</v>
      </c>
      <c r="I714" s="63">
        <v>44652</v>
      </c>
      <c r="J714" s="64">
        <f ca="1">EFEITO!$J$714*EFEITO!$Y$714</f>
        <v>43482.85860288691</v>
      </c>
      <c r="K714" s="64">
        <f>EFEITO!$L$714*EFEITO!$Z$714</f>
        <v>0</v>
      </c>
      <c r="L714" s="64">
        <f>EFEITO!$N$714*EFEITO!$AA$714</f>
        <v>0</v>
      </c>
      <c r="M714" s="64">
        <f ca="1">$J$714-EFEITO!$K$714*EFEITO!$Y$714</f>
        <v>21741.429301443455</v>
      </c>
      <c r="N714" s="64">
        <f>$K$714-EFEITO!$M$714*EFEITO!$Z$714</f>
        <v>0</v>
      </c>
      <c r="O714" s="64">
        <f>$L$714-EFEITO!$O$714*EFEITO!$AA$714</f>
        <v>0</v>
      </c>
      <c r="P714" s="19"/>
      <c r="Q714" s="19"/>
      <c r="R714" s="19"/>
      <c r="S714" s="19"/>
      <c r="T714" s="19"/>
      <c r="U714" s="19"/>
      <c r="V714" s="19"/>
      <c r="W714" s="19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55" t="s">
        <v>21</v>
      </c>
      <c r="B715" s="55" t="s">
        <v>41</v>
      </c>
      <c r="C715" s="55" t="s">
        <v>66</v>
      </c>
      <c r="D715" s="55" t="s">
        <v>25</v>
      </c>
      <c r="E715" s="55" t="s">
        <v>25</v>
      </c>
      <c r="F715" s="55" t="s">
        <v>25</v>
      </c>
      <c r="G715" s="55" t="s">
        <v>81</v>
      </c>
      <c r="H715" s="55" t="s">
        <v>25</v>
      </c>
      <c r="I715" s="63">
        <v>44652</v>
      </c>
      <c r="J715" s="64">
        <f ca="1">EFEITO!$J$715*EFEITO!$Y$715</f>
        <v>8696.5717205773817</v>
      </c>
      <c r="K715" s="64">
        <f>EFEITO!$L$715*EFEITO!$Z$715</f>
        <v>0</v>
      </c>
      <c r="L715" s="64">
        <f>EFEITO!$N$715*EFEITO!$AA$715</f>
        <v>0</v>
      </c>
      <c r="M715" s="64">
        <f ca="1">$J$715-EFEITO!$K$715*EFEITO!$Y$715</f>
        <v>4348.2858602886909</v>
      </c>
      <c r="N715" s="64">
        <f>$K$715-EFEITO!$M$715*EFEITO!$Z$715</f>
        <v>0</v>
      </c>
      <c r="O715" s="64">
        <f>$L$715-EFEITO!$O$715*EFEITO!$AA$715</f>
        <v>0</v>
      </c>
      <c r="P715" s="19"/>
      <c r="Q715" s="19"/>
      <c r="R715" s="19"/>
      <c r="S715" s="19"/>
      <c r="T715" s="19"/>
      <c r="U715" s="19"/>
      <c r="V715" s="19"/>
      <c r="W715" s="19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55" t="s">
        <v>21</v>
      </c>
      <c r="B716" s="55" t="s">
        <v>41</v>
      </c>
      <c r="C716" s="55" t="s">
        <v>66</v>
      </c>
      <c r="D716" s="55" t="s">
        <v>25</v>
      </c>
      <c r="E716" s="55" t="s">
        <v>25</v>
      </c>
      <c r="F716" s="55" t="s">
        <v>25</v>
      </c>
      <c r="G716" s="55" t="s">
        <v>82</v>
      </c>
      <c r="H716" s="55" t="s">
        <v>25</v>
      </c>
      <c r="I716" s="63">
        <v>44652</v>
      </c>
      <c r="J716" s="64">
        <f ca="1">EFEITO!$J$716*EFEITO!$Y$716</f>
        <v>69572.573764619054</v>
      </c>
      <c r="K716" s="64">
        <f>EFEITO!$L$716*EFEITO!$Z$716</f>
        <v>0</v>
      </c>
      <c r="L716" s="64">
        <f>EFEITO!$N$716*EFEITO!$AA$716</f>
        <v>0</v>
      </c>
      <c r="M716" s="64">
        <f ca="1">$J$716-EFEITO!$K$716*EFEITO!$Y$716</f>
        <v>69572.573764619054</v>
      </c>
      <c r="N716" s="64">
        <f>$K$716-EFEITO!$M$716*EFEITO!$Z$716</f>
        <v>0</v>
      </c>
      <c r="O716" s="64">
        <f>$L$716-EFEITO!$O$716*EFEITO!$AA$716</f>
        <v>0</v>
      </c>
      <c r="P716" s="19"/>
      <c r="Q716" s="19"/>
      <c r="R716" s="19"/>
      <c r="S716" s="19"/>
      <c r="T716" s="19"/>
      <c r="U716" s="19"/>
      <c r="V716" s="19"/>
      <c r="W716" s="19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55" t="s">
        <v>21</v>
      </c>
      <c r="B717" s="55" t="s">
        <v>41</v>
      </c>
      <c r="C717" s="55" t="s">
        <v>66</v>
      </c>
      <c r="D717" s="55" t="s">
        <v>25</v>
      </c>
      <c r="E717" s="55" t="s">
        <v>25</v>
      </c>
      <c r="F717" s="55" t="s">
        <v>25</v>
      </c>
      <c r="G717" s="55" t="s">
        <v>83</v>
      </c>
      <c r="H717" s="55" t="s">
        <v>25</v>
      </c>
      <c r="I717" s="63">
        <v>44652</v>
      </c>
      <c r="J717" s="64">
        <f ca="1">EFEITO!$J$717*EFEITO!$Y$717</f>
        <v>34786.286882309527</v>
      </c>
      <c r="K717" s="64">
        <f>EFEITO!$L$717*EFEITO!$Z$717</f>
        <v>0</v>
      </c>
      <c r="L717" s="64">
        <f>EFEITO!$N$717*EFEITO!$AA$717</f>
        <v>0</v>
      </c>
      <c r="M717" s="64">
        <f ca="1">$J$717-EFEITO!$K$717*EFEITO!$Y$717</f>
        <v>17393.143441154763</v>
      </c>
      <c r="N717" s="64">
        <f>$K$717-EFEITO!$M$717*EFEITO!$Z$717</f>
        <v>0</v>
      </c>
      <c r="O717" s="64">
        <f>$L$717-EFEITO!$O$717*EFEITO!$AA$717</f>
        <v>0</v>
      </c>
      <c r="P717" s="19"/>
      <c r="Q717" s="19"/>
      <c r="R717" s="19"/>
      <c r="S717" s="19"/>
      <c r="T717" s="19"/>
      <c r="U717" s="19"/>
      <c r="V717" s="19"/>
      <c r="W717" s="19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55" t="s">
        <v>21</v>
      </c>
      <c r="B718" s="55" t="s">
        <v>41</v>
      </c>
      <c r="C718" s="55" t="s">
        <v>66</v>
      </c>
      <c r="D718" s="55" t="s">
        <v>25</v>
      </c>
      <c r="E718" s="55" t="s">
        <v>25</v>
      </c>
      <c r="F718" s="55" t="s">
        <v>25</v>
      </c>
      <c r="G718" s="55" t="s">
        <v>84</v>
      </c>
      <c r="H718" s="55" t="s">
        <v>25</v>
      </c>
      <c r="I718" s="63">
        <v>44652</v>
      </c>
      <c r="J718" s="64">
        <f ca="1">EFEITO!$J$718*EFEITO!$Y$718</f>
        <v>3623.571550240576</v>
      </c>
      <c r="K718" s="64">
        <f>EFEITO!$L$718*EFEITO!$Z$718</f>
        <v>0</v>
      </c>
      <c r="L718" s="64">
        <f>EFEITO!$N$718*EFEITO!$AA$718</f>
        <v>0</v>
      </c>
      <c r="M718" s="64">
        <f ca="1">$J$718-EFEITO!$K$718*EFEITO!$Y$718</f>
        <v>1811.785775120288</v>
      </c>
      <c r="N718" s="64">
        <f>$K$718-EFEITO!$M$718*EFEITO!$Z$718</f>
        <v>0</v>
      </c>
      <c r="O718" s="64">
        <f>$L$718-EFEITO!$O$718*EFEITO!$AA$718</f>
        <v>0</v>
      </c>
      <c r="P718" s="19"/>
      <c r="Q718" s="19"/>
      <c r="R718" s="19"/>
      <c r="S718" s="19"/>
      <c r="T718" s="19"/>
      <c r="U718" s="19"/>
      <c r="V718" s="19"/>
      <c r="W718" s="19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55" t="s">
        <v>21</v>
      </c>
      <c r="B719" s="55" t="s">
        <v>41</v>
      </c>
      <c r="C719" s="55" t="s">
        <v>66</v>
      </c>
      <c r="D719" s="55" t="s">
        <v>25</v>
      </c>
      <c r="E719" s="55" t="s">
        <v>25</v>
      </c>
      <c r="F719" s="55" t="s">
        <v>25</v>
      </c>
      <c r="G719" s="55" t="s">
        <v>85</v>
      </c>
      <c r="H719" s="55" t="s">
        <v>25</v>
      </c>
      <c r="I719" s="63">
        <v>44652</v>
      </c>
      <c r="J719" s="64">
        <f ca="1">EFEITO!$J$719*EFEITO!$Y$719</f>
        <v>3623.571550240576</v>
      </c>
      <c r="K719" s="64">
        <f>EFEITO!$L$719*EFEITO!$Z$719</f>
        <v>0</v>
      </c>
      <c r="L719" s="64">
        <f>EFEITO!$N$719*EFEITO!$AA$719</f>
        <v>0</v>
      </c>
      <c r="M719" s="64">
        <f ca="1">$J$719-EFEITO!$K$719*EFEITO!$Y$719</f>
        <v>1811.785775120288</v>
      </c>
      <c r="N719" s="64">
        <f>$K$719-EFEITO!$M$719*EFEITO!$Z$719</f>
        <v>0</v>
      </c>
      <c r="O719" s="64">
        <f>$L$719-EFEITO!$O$719*EFEITO!$AA$719</f>
        <v>0</v>
      </c>
      <c r="P719" s="19"/>
      <c r="Q719" s="19"/>
      <c r="R719" s="19"/>
      <c r="S719" s="19"/>
      <c r="T719" s="19"/>
      <c r="U719" s="19"/>
      <c r="V719" s="19"/>
      <c r="W719" s="19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55" t="s">
        <v>21</v>
      </c>
      <c r="B720" s="55" t="s">
        <v>41</v>
      </c>
      <c r="C720" s="55" t="s">
        <v>66</v>
      </c>
      <c r="D720" s="55" t="s">
        <v>25</v>
      </c>
      <c r="E720" s="55" t="s">
        <v>25</v>
      </c>
      <c r="F720" s="55" t="s">
        <v>25</v>
      </c>
      <c r="G720" s="55" t="s">
        <v>72</v>
      </c>
      <c r="H720" s="55" t="s">
        <v>25</v>
      </c>
      <c r="I720" s="63">
        <v>44682</v>
      </c>
      <c r="J720" s="64">
        <f ca="1">EFEITO!$J$720*EFEITO!$Y$720</f>
        <v>65224.287904330369</v>
      </c>
      <c r="K720" s="64">
        <f>EFEITO!$L$720*EFEITO!$Z$720</f>
        <v>0</v>
      </c>
      <c r="L720" s="64">
        <f>EFEITO!$N$720*EFEITO!$AA$720</f>
        <v>0</v>
      </c>
      <c r="M720" s="64">
        <f ca="1">$J$720-EFEITO!$K$720*EFEITO!$Y$720</f>
        <v>32612.143952165185</v>
      </c>
      <c r="N720" s="64">
        <f>$K$720-EFEITO!$M$720*EFEITO!$Z$720</f>
        <v>0</v>
      </c>
      <c r="O720" s="64">
        <f>$L$720-EFEITO!$O$720*EFEITO!$AA$720</f>
        <v>0</v>
      </c>
      <c r="P720" s="19"/>
      <c r="Q720" s="19"/>
      <c r="R720" s="19"/>
      <c r="S720" s="19"/>
      <c r="T720" s="19"/>
      <c r="U720" s="19"/>
      <c r="V720" s="19"/>
      <c r="W720" s="19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55" t="s">
        <v>21</v>
      </c>
      <c r="B721" s="55" t="s">
        <v>41</v>
      </c>
      <c r="C721" s="55" t="s">
        <v>66</v>
      </c>
      <c r="D721" s="55" t="s">
        <v>25</v>
      </c>
      <c r="E721" s="55" t="s">
        <v>25</v>
      </c>
      <c r="F721" s="55" t="s">
        <v>25</v>
      </c>
      <c r="G721" s="55" t="s">
        <v>74</v>
      </c>
      <c r="H721" s="55" t="s">
        <v>25</v>
      </c>
      <c r="I721" s="63">
        <v>44682</v>
      </c>
      <c r="J721" s="64">
        <f ca="1">EFEITO!$J$721*EFEITO!$Y$721</f>
        <v>43482.85860288691</v>
      </c>
      <c r="K721" s="64">
        <f>EFEITO!$L$721*EFEITO!$Z$721</f>
        <v>0</v>
      </c>
      <c r="L721" s="64">
        <f>EFEITO!$N$721*EFEITO!$AA$721</f>
        <v>0</v>
      </c>
      <c r="M721" s="64">
        <f ca="1">$J$721-EFEITO!$K$721*EFEITO!$Y$721</f>
        <v>21741.429301443455</v>
      </c>
      <c r="N721" s="64">
        <f>$K$721-EFEITO!$M$721*EFEITO!$Z$721</f>
        <v>0</v>
      </c>
      <c r="O721" s="64">
        <f>$L$721-EFEITO!$O$721*EFEITO!$AA$721</f>
        <v>0</v>
      </c>
      <c r="P721" s="19"/>
      <c r="Q721" s="19"/>
      <c r="R721" s="19"/>
      <c r="S721" s="19"/>
      <c r="T721" s="19"/>
      <c r="U721" s="19"/>
      <c r="V721" s="19"/>
      <c r="W721" s="19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55" t="s">
        <v>21</v>
      </c>
      <c r="B722" s="55" t="s">
        <v>41</v>
      </c>
      <c r="C722" s="55" t="s">
        <v>66</v>
      </c>
      <c r="D722" s="55" t="s">
        <v>25</v>
      </c>
      <c r="E722" s="55" t="s">
        <v>25</v>
      </c>
      <c r="F722" s="55" t="s">
        <v>25</v>
      </c>
      <c r="G722" s="55" t="s">
        <v>80</v>
      </c>
      <c r="H722" s="55" t="s">
        <v>25</v>
      </c>
      <c r="I722" s="63">
        <v>44682</v>
      </c>
      <c r="J722" s="64">
        <f ca="1">EFEITO!$J$722*EFEITO!$Y$722</f>
        <v>43482.85860288691</v>
      </c>
      <c r="K722" s="64">
        <f>EFEITO!$L$722*EFEITO!$Z$722</f>
        <v>0</v>
      </c>
      <c r="L722" s="64">
        <f>EFEITO!$N$722*EFEITO!$AA$722</f>
        <v>0</v>
      </c>
      <c r="M722" s="64">
        <f ca="1">$J$722-EFEITO!$K$722*EFEITO!$Y$722</f>
        <v>21741.429301443455</v>
      </c>
      <c r="N722" s="64">
        <f>$K$722-EFEITO!$M$722*EFEITO!$Z$722</f>
        <v>0</v>
      </c>
      <c r="O722" s="64">
        <f>$L$722-EFEITO!$O$722*EFEITO!$AA$722</f>
        <v>0</v>
      </c>
      <c r="P722" s="19"/>
      <c r="Q722" s="19"/>
      <c r="R722" s="19"/>
      <c r="S722" s="19"/>
      <c r="T722" s="19"/>
      <c r="U722" s="19"/>
      <c r="V722" s="19"/>
      <c r="W722" s="19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55" t="s">
        <v>21</v>
      </c>
      <c r="B723" s="55" t="s">
        <v>41</v>
      </c>
      <c r="C723" s="55" t="s">
        <v>66</v>
      </c>
      <c r="D723" s="55" t="s">
        <v>25</v>
      </c>
      <c r="E723" s="55" t="s">
        <v>25</v>
      </c>
      <c r="F723" s="55" t="s">
        <v>25</v>
      </c>
      <c r="G723" s="55" t="s">
        <v>81</v>
      </c>
      <c r="H723" s="55" t="s">
        <v>25</v>
      </c>
      <c r="I723" s="63">
        <v>44682</v>
      </c>
      <c r="J723" s="64">
        <f ca="1">EFEITO!$J$723*EFEITO!$Y$723</f>
        <v>8696.5717205773817</v>
      </c>
      <c r="K723" s="64">
        <f>EFEITO!$L$723*EFEITO!$Z$723</f>
        <v>0</v>
      </c>
      <c r="L723" s="64">
        <f>EFEITO!$N$723*EFEITO!$AA$723</f>
        <v>0</v>
      </c>
      <c r="M723" s="64">
        <f ca="1">$J$723-EFEITO!$K$723*EFEITO!$Y$723</f>
        <v>4348.2858602886909</v>
      </c>
      <c r="N723" s="64">
        <f>$K$723-EFEITO!$M$723*EFEITO!$Z$723</f>
        <v>0</v>
      </c>
      <c r="O723" s="64">
        <f>$L$723-EFEITO!$O$723*EFEITO!$AA$723</f>
        <v>0</v>
      </c>
      <c r="P723" s="19"/>
      <c r="Q723" s="19"/>
      <c r="R723" s="19"/>
      <c r="S723" s="19"/>
      <c r="T723" s="19"/>
      <c r="U723" s="19"/>
      <c r="V723" s="19"/>
      <c r="W723" s="19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55" t="s">
        <v>21</v>
      </c>
      <c r="B724" s="55" t="s">
        <v>41</v>
      </c>
      <c r="C724" s="55" t="s">
        <v>66</v>
      </c>
      <c r="D724" s="55" t="s">
        <v>25</v>
      </c>
      <c r="E724" s="55" t="s">
        <v>25</v>
      </c>
      <c r="F724" s="55" t="s">
        <v>25</v>
      </c>
      <c r="G724" s="55" t="s">
        <v>82</v>
      </c>
      <c r="H724" s="55" t="s">
        <v>25</v>
      </c>
      <c r="I724" s="63">
        <v>44682</v>
      </c>
      <c r="J724" s="64">
        <f ca="1">EFEITO!$J$724*EFEITO!$Y$724</f>
        <v>69572.573764619054</v>
      </c>
      <c r="K724" s="64">
        <f>EFEITO!$L$724*EFEITO!$Z$724</f>
        <v>0</v>
      </c>
      <c r="L724" s="64">
        <f>EFEITO!$N$724*EFEITO!$AA$724</f>
        <v>0</v>
      </c>
      <c r="M724" s="64">
        <f ca="1">$J$724-EFEITO!$K$724*EFEITO!$Y$724</f>
        <v>69572.573764619054</v>
      </c>
      <c r="N724" s="64">
        <f>$K$724-EFEITO!$M$724*EFEITO!$Z$724</f>
        <v>0</v>
      </c>
      <c r="O724" s="64">
        <f>$L$724-EFEITO!$O$724*EFEITO!$AA$724</f>
        <v>0</v>
      </c>
      <c r="P724" s="19"/>
      <c r="Q724" s="19"/>
      <c r="R724" s="19"/>
      <c r="S724" s="19"/>
      <c r="T724" s="19"/>
      <c r="U724" s="19"/>
      <c r="V724" s="19"/>
      <c r="W724" s="19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55" t="s">
        <v>21</v>
      </c>
      <c r="B725" s="55" t="s">
        <v>41</v>
      </c>
      <c r="C725" s="55" t="s">
        <v>66</v>
      </c>
      <c r="D725" s="55" t="s">
        <v>25</v>
      </c>
      <c r="E725" s="55" t="s">
        <v>25</v>
      </c>
      <c r="F725" s="55" t="s">
        <v>25</v>
      </c>
      <c r="G725" s="55" t="s">
        <v>83</v>
      </c>
      <c r="H725" s="55" t="s">
        <v>25</v>
      </c>
      <c r="I725" s="63">
        <v>44682</v>
      </c>
      <c r="J725" s="64">
        <f ca="1">EFEITO!$J$725*EFEITO!$Y$725</f>
        <v>34786.286882309527</v>
      </c>
      <c r="K725" s="64">
        <f>EFEITO!$L$725*EFEITO!$Z$725</f>
        <v>0</v>
      </c>
      <c r="L725" s="64">
        <f>EFEITO!$N$725*EFEITO!$AA$725</f>
        <v>0</v>
      </c>
      <c r="M725" s="64">
        <f ca="1">$J$725-EFEITO!$K$725*EFEITO!$Y$725</f>
        <v>17393.143441154763</v>
      </c>
      <c r="N725" s="64">
        <f>$K$725-EFEITO!$M$725*EFEITO!$Z$725</f>
        <v>0</v>
      </c>
      <c r="O725" s="64">
        <f>$L$725-EFEITO!$O$725*EFEITO!$AA$725</f>
        <v>0</v>
      </c>
      <c r="P725" s="19"/>
      <c r="Q725" s="19"/>
      <c r="R725" s="19"/>
      <c r="S725" s="19"/>
      <c r="T725" s="19"/>
      <c r="U725" s="19"/>
      <c r="V725" s="19"/>
      <c r="W725" s="19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55" t="s">
        <v>21</v>
      </c>
      <c r="B726" s="55" t="s">
        <v>41</v>
      </c>
      <c r="C726" s="55" t="s">
        <v>66</v>
      </c>
      <c r="D726" s="55" t="s">
        <v>25</v>
      </c>
      <c r="E726" s="55" t="s">
        <v>25</v>
      </c>
      <c r="F726" s="55" t="s">
        <v>25</v>
      </c>
      <c r="G726" s="55" t="s">
        <v>84</v>
      </c>
      <c r="H726" s="55" t="s">
        <v>25</v>
      </c>
      <c r="I726" s="63">
        <v>44682</v>
      </c>
      <c r="J726" s="64">
        <f ca="1">EFEITO!$J$726*EFEITO!$Y$726</f>
        <v>3623.571550240576</v>
      </c>
      <c r="K726" s="64">
        <f>EFEITO!$L$726*EFEITO!$Z$726</f>
        <v>0</v>
      </c>
      <c r="L726" s="64">
        <f>EFEITO!$N$726*EFEITO!$AA$726</f>
        <v>0</v>
      </c>
      <c r="M726" s="64">
        <f ca="1">$J$726-EFEITO!$K$726*EFEITO!$Y$726</f>
        <v>1811.785775120288</v>
      </c>
      <c r="N726" s="64">
        <f>$K$726-EFEITO!$M$726*EFEITO!$Z$726</f>
        <v>0</v>
      </c>
      <c r="O726" s="64">
        <f>$L$726-EFEITO!$O$726*EFEITO!$AA$726</f>
        <v>0</v>
      </c>
      <c r="P726" s="19"/>
      <c r="Q726" s="19"/>
      <c r="R726" s="19"/>
      <c r="S726" s="19"/>
      <c r="T726" s="19"/>
      <c r="U726" s="19"/>
      <c r="V726" s="19"/>
      <c r="W726" s="19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55" t="s">
        <v>21</v>
      </c>
      <c r="B727" s="55" t="s">
        <v>41</v>
      </c>
      <c r="C727" s="55" t="s">
        <v>66</v>
      </c>
      <c r="D727" s="55" t="s">
        <v>25</v>
      </c>
      <c r="E727" s="55" t="s">
        <v>25</v>
      </c>
      <c r="F727" s="55" t="s">
        <v>25</v>
      </c>
      <c r="G727" s="55" t="s">
        <v>85</v>
      </c>
      <c r="H727" s="55" t="s">
        <v>25</v>
      </c>
      <c r="I727" s="63">
        <v>44682</v>
      </c>
      <c r="J727" s="64">
        <f ca="1">EFEITO!$J$727*EFEITO!$Y$727</f>
        <v>3623.571550240576</v>
      </c>
      <c r="K727" s="64">
        <f>EFEITO!$L$727*EFEITO!$Z$727</f>
        <v>0</v>
      </c>
      <c r="L727" s="64">
        <f>EFEITO!$N$727*EFEITO!$AA$727</f>
        <v>0</v>
      </c>
      <c r="M727" s="64">
        <f ca="1">$J$727-EFEITO!$K$727*EFEITO!$Y$727</f>
        <v>1811.785775120288</v>
      </c>
      <c r="N727" s="64">
        <f>$K$727-EFEITO!$M$727*EFEITO!$Z$727</f>
        <v>0</v>
      </c>
      <c r="O727" s="64">
        <f>$L$727-EFEITO!$O$727*EFEITO!$AA$727</f>
        <v>0</v>
      </c>
      <c r="P727" s="19"/>
      <c r="Q727" s="19"/>
      <c r="R727" s="19"/>
      <c r="S727" s="19"/>
      <c r="T727" s="19"/>
      <c r="U727" s="19"/>
      <c r="V727" s="19"/>
      <c r="W727" s="19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55" t="s">
        <v>21</v>
      </c>
      <c r="B728" s="55" t="s">
        <v>41</v>
      </c>
      <c r="C728" s="55" t="s">
        <v>66</v>
      </c>
      <c r="D728" s="55" t="s">
        <v>25</v>
      </c>
      <c r="E728" s="55" t="s">
        <v>25</v>
      </c>
      <c r="F728" s="55" t="s">
        <v>25</v>
      </c>
      <c r="G728" s="55" t="s">
        <v>72</v>
      </c>
      <c r="H728" s="55" t="s">
        <v>25</v>
      </c>
      <c r="I728" s="63">
        <v>44713</v>
      </c>
      <c r="J728" s="64">
        <f ca="1">EFEITO!$J$728*EFEITO!$Y$728</f>
        <v>65224.287904330369</v>
      </c>
      <c r="K728" s="64">
        <f>EFEITO!$L$728*EFEITO!$Z$728</f>
        <v>0</v>
      </c>
      <c r="L728" s="64">
        <f>EFEITO!$N$728*EFEITO!$AA$728</f>
        <v>0</v>
      </c>
      <c r="M728" s="64">
        <f ca="1">$J$728-EFEITO!$K$728*EFEITO!$Y$728</f>
        <v>32612.143952165185</v>
      </c>
      <c r="N728" s="64">
        <f>$K$728-EFEITO!$M$728*EFEITO!$Z$728</f>
        <v>0</v>
      </c>
      <c r="O728" s="64">
        <f>$L$728-EFEITO!$O$728*EFEITO!$AA$728</f>
        <v>0</v>
      </c>
      <c r="P728" s="19"/>
      <c r="Q728" s="19"/>
      <c r="R728" s="19"/>
      <c r="S728" s="19"/>
      <c r="T728" s="19"/>
      <c r="U728" s="19"/>
      <c r="V728" s="19"/>
      <c r="W728" s="19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55" t="s">
        <v>21</v>
      </c>
      <c r="B729" s="55" t="s">
        <v>41</v>
      </c>
      <c r="C729" s="55" t="s">
        <v>66</v>
      </c>
      <c r="D729" s="55" t="s">
        <v>25</v>
      </c>
      <c r="E729" s="55" t="s">
        <v>25</v>
      </c>
      <c r="F729" s="55" t="s">
        <v>25</v>
      </c>
      <c r="G729" s="55" t="s">
        <v>74</v>
      </c>
      <c r="H729" s="55" t="s">
        <v>25</v>
      </c>
      <c r="I729" s="63">
        <v>44713</v>
      </c>
      <c r="J729" s="64">
        <f ca="1">EFEITO!$J$729*EFEITO!$Y$729</f>
        <v>43482.85860288691</v>
      </c>
      <c r="K729" s="64">
        <f>EFEITO!$L$729*EFEITO!$Z$729</f>
        <v>0</v>
      </c>
      <c r="L729" s="64">
        <f>EFEITO!$N$729*EFEITO!$AA$729</f>
        <v>0</v>
      </c>
      <c r="M729" s="64">
        <f ca="1">$J$729-EFEITO!$K$729*EFEITO!$Y$729</f>
        <v>21741.429301443455</v>
      </c>
      <c r="N729" s="64">
        <f>$K$729-EFEITO!$M$729*EFEITO!$Z$729</f>
        <v>0</v>
      </c>
      <c r="O729" s="64">
        <f>$L$729-EFEITO!$O$729*EFEITO!$AA$729</f>
        <v>0</v>
      </c>
      <c r="P729" s="19"/>
      <c r="Q729" s="19"/>
      <c r="R729" s="19"/>
      <c r="S729" s="19"/>
      <c r="T729" s="19"/>
      <c r="U729" s="19"/>
      <c r="V729" s="19"/>
      <c r="W729" s="19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55" t="s">
        <v>21</v>
      </c>
      <c r="B730" s="55" t="s">
        <v>41</v>
      </c>
      <c r="C730" s="55" t="s">
        <v>66</v>
      </c>
      <c r="D730" s="55" t="s">
        <v>25</v>
      </c>
      <c r="E730" s="55" t="s">
        <v>25</v>
      </c>
      <c r="F730" s="55" t="s">
        <v>25</v>
      </c>
      <c r="G730" s="55" t="s">
        <v>80</v>
      </c>
      <c r="H730" s="55" t="s">
        <v>25</v>
      </c>
      <c r="I730" s="63">
        <v>44713</v>
      </c>
      <c r="J730" s="64">
        <f ca="1">EFEITO!$J$730*EFEITO!$Y$730</f>
        <v>43482.85860288691</v>
      </c>
      <c r="K730" s="64">
        <f>EFEITO!$L$730*EFEITO!$Z$730</f>
        <v>0</v>
      </c>
      <c r="L730" s="64">
        <f>EFEITO!$N$730*EFEITO!$AA$730</f>
        <v>0</v>
      </c>
      <c r="M730" s="64">
        <f ca="1">$J$730-EFEITO!$K$730*EFEITO!$Y$730</f>
        <v>21741.429301443455</v>
      </c>
      <c r="N730" s="64">
        <f>$K$730-EFEITO!$M$730*EFEITO!$Z$730</f>
        <v>0</v>
      </c>
      <c r="O730" s="64">
        <f>$L$730-EFEITO!$O$730*EFEITO!$AA$730</f>
        <v>0</v>
      </c>
      <c r="P730" s="19"/>
      <c r="Q730" s="19"/>
      <c r="R730" s="19"/>
      <c r="S730" s="19"/>
      <c r="T730" s="19"/>
      <c r="U730" s="19"/>
      <c r="V730" s="19"/>
      <c r="W730" s="19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55" t="s">
        <v>21</v>
      </c>
      <c r="B731" s="55" t="s">
        <v>41</v>
      </c>
      <c r="C731" s="55" t="s">
        <v>66</v>
      </c>
      <c r="D731" s="55" t="s">
        <v>25</v>
      </c>
      <c r="E731" s="55" t="s">
        <v>25</v>
      </c>
      <c r="F731" s="55" t="s">
        <v>25</v>
      </c>
      <c r="G731" s="55" t="s">
        <v>81</v>
      </c>
      <c r="H731" s="55" t="s">
        <v>25</v>
      </c>
      <c r="I731" s="63">
        <v>44713</v>
      </c>
      <c r="J731" s="64">
        <f ca="1">EFEITO!$J$731*EFEITO!$Y$731</f>
        <v>8696.5717205773817</v>
      </c>
      <c r="K731" s="64">
        <f>EFEITO!$L$731*EFEITO!$Z$731</f>
        <v>0</v>
      </c>
      <c r="L731" s="64">
        <f>EFEITO!$N$731*EFEITO!$AA$731</f>
        <v>0</v>
      </c>
      <c r="M731" s="64">
        <f ca="1">$J$731-EFEITO!$K$731*EFEITO!$Y$731</f>
        <v>4348.2858602886909</v>
      </c>
      <c r="N731" s="64">
        <f>$K$731-EFEITO!$M$731*EFEITO!$Z$731</f>
        <v>0</v>
      </c>
      <c r="O731" s="64">
        <f>$L$731-EFEITO!$O$731*EFEITO!$AA$731</f>
        <v>0</v>
      </c>
      <c r="P731" s="19"/>
      <c r="Q731" s="19"/>
      <c r="R731" s="19"/>
      <c r="S731" s="19"/>
      <c r="T731" s="19"/>
      <c r="U731" s="19"/>
      <c r="V731" s="19"/>
      <c r="W731" s="19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55" t="s">
        <v>21</v>
      </c>
      <c r="B732" s="55" t="s">
        <v>41</v>
      </c>
      <c r="C732" s="55" t="s">
        <v>66</v>
      </c>
      <c r="D732" s="55" t="s">
        <v>25</v>
      </c>
      <c r="E732" s="55" t="s">
        <v>25</v>
      </c>
      <c r="F732" s="55" t="s">
        <v>25</v>
      </c>
      <c r="G732" s="55" t="s">
        <v>82</v>
      </c>
      <c r="H732" s="55" t="s">
        <v>25</v>
      </c>
      <c r="I732" s="63">
        <v>44713</v>
      </c>
      <c r="J732" s="64">
        <f ca="1">EFEITO!$J$732*EFEITO!$Y$732</f>
        <v>69572.573764619054</v>
      </c>
      <c r="K732" s="64">
        <f>EFEITO!$L$732*EFEITO!$Z$732</f>
        <v>0</v>
      </c>
      <c r="L732" s="64">
        <f>EFEITO!$N$732*EFEITO!$AA$732</f>
        <v>0</v>
      </c>
      <c r="M732" s="64">
        <f ca="1">$J$732-EFEITO!$K$732*EFEITO!$Y$732</f>
        <v>69572.573764619054</v>
      </c>
      <c r="N732" s="64">
        <f>$K$732-EFEITO!$M$732*EFEITO!$Z$732</f>
        <v>0</v>
      </c>
      <c r="O732" s="64">
        <f>$L$732-EFEITO!$O$732*EFEITO!$AA$732</f>
        <v>0</v>
      </c>
      <c r="P732" s="19"/>
      <c r="Q732" s="19"/>
      <c r="R732" s="19"/>
      <c r="S732" s="19"/>
      <c r="T732" s="19"/>
      <c r="U732" s="19"/>
      <c r="V732" s="19"/>
      <c r="W732" s="19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55" t="s">
        <v>21</v>
      </c>
      <c r="B733" s="55" t="s">
        <v>41</v>
      </c>
      <c r="C733" s="55" t="s">
        <v>66</v>
      </c>
      <c r="D733" s="55" t="s">
        <v>25</v>
      </c>
      <c r="E733" s="55" t="s">
        <v>25</v>
      </c>
      <c r="F733" s="55" t="s">
        <v>25</v>
      </c>
      <c r="G733" s="55" t="s">
        <v>83</v>
      </c>
      <c r="H733" s="55" t="s">
        <v>25</v>
      </c>
      <c r="I733" s="63">
        <v>44713</v>
      </c>
      <c r="J733" s="64">
        <f ca="1">EFEITO!$J$733*EFEITO!$Y$733</f>
        <v>34786.286882309527</v>
      </c>
      <c r="K733" s="64">
        <f>EFEITO!$L$733*EFEITO!$Z$733</f>
        <v>0</v>
      </c>
      <c r="L733" s="64">
        <f>EFEITO!$N$733*EFEITO!$AA$733</f>
        <v>0</v>
      </c>
      <c r="M733" s="64">
        <f ca="1">$J$733-EFEITO!$K$733*EFEITO!$Y$733</f>
        <v>17393.143441154763</v>
      </c>
      <c r="N733" s="64">
        <f>$K$733-EFEITO!$M$733*EFEITO!$Z$733</f>
        <v>0</v>
      </c>
      <c r="O733" s="64">
        <f>$L$733-EFEITO!$O$733*EFEITO!$AA$733</f>
        <v>0</v>
      </c>
      <c r="P733" s="19"/>
      <c r="Q733" s="19"/>
      <c r="R733" s="19"/>
      <c r="S733" s="19"/>
      <c r="T733" s="19"/>
      <c r="U733" s="19"/>
      <c r="V733" s="19"/>
      <c r="W733" s="19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55" t="s">
        <v>21</v>
      </c>
      <c r="B734" s="55" t="s">
        <v>41</v>
      </c>
      <c r="C734" s="55" t="s">
        <v>66</v>
      </c>
      <c r="D734" s="55" t="s">
        <v>25</v>
      </c>
      <c r="E734" s="55" t="s">
        <v>25</v>
      </c>
      <c r="F734" s="55" t="s">
        <v>25</v>
      </c>
      <c r="G734" s="55" t="s">
        <v>84</v>
      </c>
      <c r="H734" s="55" t="s">
        <v>25</v>
      </c>
      <c r="I734" s="63">
        <v>44713</v>
      </c>
      <c r="J734" s="64">
        <f ca="1">EFEITO!$J$734*EFEITO!$Y$734</f>
        <v>3623.571550240576</v>
      </c>
      <c r="K734" s="64">
        <f>EFEITO!$L$734*EFEITO!$Z$734</f>
        <v>0</v>
      </c>
      <c r="L734" s="64">
        <f>EFEITO!$N$734*EFEITO!$AA$734</f>
        <v>0</v>
      </c>
      <c r="M734" s="64">
        <f ca="1">$J$734-EFEITO!$K$734*EFEITO!$Y$734</f>
        <v>1811.785775120288</v>
      </c>
      <c r="N734" s="64">
        <f>$K$734-EFEITO!$M$734*EFEITO!$Z$734</f>
        <v>0</v>
      </c>
      <c r="O734" s="64">
        <f>$L$734-EFEITO!$O$734*EFEITO!$AA$734</f>
        <v>0</v>
      </c>
      <c r="P734" s="19"/>
      <c r="Q734" s="19"/>
      <c r="R734" s="19"/>
      <c r="S734" s="19"/>
      <c r="T734" s="19"/>
      <c r="U734" s="19"/>
      <c r="V734" s="19"/>
      <c r="W734" s="19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55" t="s">
        <v>21</v>
      </c>
      <c r="B735" s="55" t="s">
        <v>41</v>
      </c>
      <c r="C735" s="55" t="s">
        <v>66</v>
      </c>
      <c r="D735" s="55" t="s">
        <v>25</v>
      </c>
      <c r="E735" s="55" t="s">
        <v>25</v>
      </c>
      <c r="F735" s="55" t="s">
        <v>25</v>
      </c>
      <c r="G735" s="55" t="s">
        <v>85</v>
      </c>
      <c r="H735" s="55" t="s">
        <v>25</v>
      </c>
      <c r="I735" s="63">
        <v>44713</v>
      </c>
      <c r="J735" s="64">
        <f ca="1">EFEITO!$J$735*EFEITO!$Y$735</f>
        <v>3623.571550240576</v>
      </c>
      <c r="K735" s="64">
        <f>EFEITO!$L$735*EFEITO!$Z$735</f>
        <v>0</v>
      </c>
      <c r="L735" s="64">
        <f>EFEITO!$N$735*EFEITO!$AA$735</f>
        <v>0</v>
      </c>
      <c r="M735" s="64">
        <f ca="1">$J$735-EFEITO!$K$735*EFEITO!$Y$735</f>
        <v>1811.785775120288</v>
      </c>
      <c r="N735" s="64">
        <f>$K$735-EFEITO!$M$735*EFEITO!$Z$735</f>
        <v>0</v>
      </c>
      <c r="O735" s="64">
        <f>$L$735-EFEITO!$O$735*EFEITO!$AA$735</f>
        <v>0</v>
      </c>
      <c r="P735" s="19"/>
      <c r="Q735" s="19"/>
      <c r="R735" s="19"/>
      <c r="S735" s="19"/>
      <c r="T735" s="19"/>
      <c r="U735" s="19"/>
      <c r="V735" s="19"/>
      <c r="W735" s="19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55" t="s">
        <v>57</v>
      </c>
      <c r="B736" s="55" t="s">
        <v>41</v>
      </c>
      <c r="C736" s="55" t="s">
        <v>66</v>
      </c>
      <c r="D736" s="55" t="s">
        <v>25</v>
      </c>
      <c r="E736" s="55" t="s">
        <v>25</v>
      </c>
      <c r="F736" s="55" t="s">
        <v>25</v>
      </c>
      <c r="G736" s="55" t="s">
        <v>72</v>
      </c>
      <c r="H736" s="55" t="s">
        <v>25</v>
      </c>
      <c r="I736" s="63">
        <v>44743</v>
      </c>
      <c r="J736" s="64">
        <f ca="1">EFEITO!$J$736*EFEITO!$Y$736</f>
        <v>65224.287904330369</v>
      </c>
      <c r="K736" s="64">
        <f>EFEITO!$L$736*EFEITO!$Z$736</f>
        <v>0</v>
      </c>
      <c r="L736" s="64">
        <f>EFEITO!$N$736*EFEITO!$AA$736</f>
        <v>0</v>
      </c>
      <c r="M736" s="64">
        <f ca="1">$J$736-EFEITO!$K$736*EFEITO!$Y$736</f>
        <v>32612.143952165185</v>
      </c>
      <c r="N736" s="64">
        <f>$K$736-EFEITO!$M$736*EFEITO!$Z$736</f>
        <v>0</v>
      </c>
      <c r="O736" s="64">
        <f>$L$736-EFEITO!$O$736*EFEITO!$AA$736</f>
        <v>0</v>
      </c>
      <c r="P736" s="19"/>
      <c r="Q736" s="19"/>
      <c r="R736" s="19"/>
      <c r="S736" s="19"/>
      <c r="T736" s="19"/>
      <c r="U736" s="19"/>
      <c r="V736" s="19"/>
      <c r="W736" s="19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55" t="s">
        <v>57</v>
      </c>
      <c r="B737" s="55" t="s">
        <v>41</v>
      </c>
      <c r="C737" s="55" t="s">
        <v>66</v>
      </c>
      <c r="D737" s="55" t="s">
        <v>25</v>
      </c>
      <c r="E737" s="55" t="s">
        <v>25</v>
      </c>
      <c r="F737" s="55" t="s">
        <v>25</v>
      </c>
      <c r="G737" s="55" t="s">
        <v>74</v>
      </c>
      <c r="H737" s="55" t="s">
        <v>25</v>
      </c>
      <c r="I737" s="63">
        <v>44743</v>
      </c>
      <c r="J737" s="64">
        <f ca="1">EFEITO!$J$737*EFEITO!$Y$737</f>
        <v>43482.85860288691</v>
      </c>
      <c r="K737" s="64">
        <f>EFEITO!$L$737*EFEITO!$Z$737</f>
        <v>0</v>
      </c>
      <c r="L737" s="64">
        <f>EFEITO!$N$737*EFEITO!$AA$737</f>
        <v>0</v>
      </c>
      <c r="M737" s="64">
        <f ca="1">$J$737-EFEITO!$K$737*EFEITO!$Y$737</f>
        <v>21741.429301443455</v>
      </c>
      <c r="N737" s="64">
        <f>$K$737-EFEITO!$M$737*EFEITO!$Z$737</f>
        <v>0</v>
      </c>
      <c r="O737" s="64">
        <f>$L$737-EFEITO!$O$737*EFEITO!$AA$737</f>
        <v>0</v>
      </c>
      <c r="P737" s="19"/>
      <c r="Q737" s="19"/>
      <c r="R737" s="19"/>
      <c r="S737" s="19"/>
      <c r="T737" s="19"/>
      <c r="U737" s="19"/>
      <c r="V737" s="19"/>
      <c r="W737" s="19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55" t="s">
        <v>57</v>
      </c>
      <c r="B738" s="55" t="s">
        <v>41</v>
      </c>
      <c r="C738" s="55" t="s">
        <v>66</v>
      </c>
      <c r="D738" s="55" t="s">
        <v>25</v>
      </c>
      <c r="E738" s="55" t="s">
        <v>25</v>
      </c>
      <c r="F738" s="55" t="s">
        <v>25</v>
      </c>
      <c r="G738" s="55" t="s">
        <v>80</v>
      </c>
      <c r="H738" s="55" t="s">
        <v>25</v>
      </c>
      <c r="I738" s="63">
        <v>44743</v>
      </c>
      <c r="J738" s="64">
        <f ca="1">EFEITO!$J$738*EFEITO!$Y$738</f>
        <v>43482.85860288691</v>
      </c>
      <c r="K738" s="64">
        <f>EFEITO!$L$738*EFEITO!$Z$738</f>
        <v>0</v>
      </c>
      <c r="L738" s="64">
        <f>EFEITO!$N$738*EFEITO!$AA$738</f>
        <v>0</v>
      </c>
      <c r="M738" s="64">
        <f ca="1">$J$738-EFEITO!$K$738*EFEITO!$Y$738</f>
        <v>21741.429301443455</v>
      </c>
      <c r="N738" s="64">
        <f>$K$738-EFEITO!$M$738*EFEITO!$Z$738</f>
        <v>0</v>
      </c>
      <c r="O738" s="64">
        <f>$L$738-EFEITO!$O$738*EFEITO!$AA$738</f>
        <v>0</v>
      </c>
      <c r="P738" s="19"/>
      <c r="Q738" s="19"/>
      <c r="R738" s="19"/>
      <c r="S738" s="19"/>
      <c r="T738" s="19"/>
      <c r="U738" s="19"/>
      <c r="V738" s="19"/>
      <c r="W738" s="19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55" t="s">
        <v>57</v>
      </c>
      <c r="B739" s="55" t="s">
        <v>41</v>
      </c>
      <c r="C739" s="55" t="s">
        <v>66</v>
      </c>
      <c r="D739" s="55" t="s">
        <v>25</v>
      </c>
      <c r="E739" s="55" t="s">
        <v>25</v>
      </c>
      <c r="F739" s="55" t="s">
        <v>25</v>
      </c>
      <c r="G739" s="55" t="s">
        <v>81</v>
      </c>
      <c r="H739" s="55" t="s">
        <v>25</v>
      </c>
      <c r="I739" s="63">
        <v>44743</v>
      </c>
      <c r="J739" s="64">
        <f ca="1">EFEITO!$J$739*EFEITO!$Y$739</f>
        <v>8696.5717205773817</v>
      </c>
      <c r="K739" s="64">
        <f>EFEITO!$L$739*EFEITO!$Z$739</f>
        <v>0</v>
      </c>
      <c r="L739" s="64">
        <f>EFEITO!$N$739*EFEITO!$AA$739</f>
        <v>0</v>
      </c>
      <c r="M739" s="64">
        <f ca="1">$J$739-EFEITO!$K$739*EFEITO!$Y$739</f>
        <v>4348.2858602886909</v>
      </c>
      <c r="N739" s="64">
        <f>$K$739-EFEITO!$M$739*EFEITO!$Z$739</f>
        <v>0</v>
      </c>
      <c r="O739" s="64">
        <f>$L$739-EFEITO!$O$739*EFEITO!$AA$739</f>
        <v>0</v>
      </c>
      <c r="P739" s="19"/>
      <c r="Q739" s="19"/>
      <c r="R739" s="19"/>
      <c r="S739" s="19"/>
      <c r="T739" s="19"/>
      <c r="U739" s="19"/>
      <c r="V739" s="19"/>
      <c r="W739" s="19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55" t="s">
        <v>57</v>
      </c>
      <c r="B740" s="55" t="s">
        <v>41</v>
      </c>
      <c r="C740" s="55" t="s">
        <v>66</v>
      </c>
      <c r="D740" s="55" t="s">
        <v>25</v>
      </c>
      <c r="E740" s="55" t="s">
        <v>25</v>
      </c>
      <c r="F740" s="55" t="s">
        <v>25</v>
      </c>
      <c r="G740" s="55" t="s">
        <v>82</v>
      </c>
      <c r="H740" s="55" t="s">
        <v>25</v>
      </c>
      <c r="I740" s="63">
        <v>44743</v>
      </c>
      <c r="J740" s="64">
        <f ca="1">EFEITO!$J$740*EFEITO!$Y$740</f>
        <v>69572.573764619054</v>
      </c>
      <c r="K740" s="64">
        <f>EFEITO!$L$740*EFEITO!$Z$740</f>
        <v>0</v>
      </c>
      <c r="L740" s="64">
        <f>EFEITO!$N$740*EFEITO!$AA$740</f>
        <v>0</v>
      </c>
      <c r="M740" s="64">
        <f ca="1">$J$740-EFEITO!$K$740*EFEITO!$Y$740</f>
        <v>69572.573764619054</v>
      </c>
      <c r="N740" s="64">
        <f>$K$740-EFEITO!$M$740*EFEITO!$Z$740</f>
        <v>0</v>
      </c>
      <c r="O740" s="64">
        <f>$L$740-EFEITO!$O$740*EFEITO!$AA$740</f>
        <v>0</v>
      </c>
      <c r="P740" s="19"/>
      <c r="Q740" s="19"/>
      <c r="R740" s="19"/>
      <c r="S740" s="19"/>
      <c r="T740" s="19"/>
      <c r="U740" s="19"/>
      <c r="V740" s="19"/>
      <c r="W740" s="19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55" t="s">
        <v>57</v>
      </c>
      <c r="B741" s="55" t="s">
        <v>41</v>
      </c>
      <c r="C741" s="55" t="s">
        <v>66</v>
      </c>
      <c r="D741" s="55" t="s">
        <v>25</v>
      </c>
      <c r="E741" s="55" t="s">
        <v>25</v>
      </c>
      <c r="F741" s="55" t="s">
        <v>25</v>
      </c>
      <c r="G741" s="55" t="s">
        <v>83</v>
      </c>
      <c r="H741" s="55" t="s">
        <v>25</v>
      </c>
      <c r="I741" s="63">
        <v>44743</v>
      </c>
      <c r="J741" s="64">
        <f ca="1">EFEITO!$J$741*EFEITO!$Y$741</f>
        <v>34786.286882309527</v>
      </c>
      <c r="K741" s="64">
        <f>EFEITO!$L$741*EFEITO!$Z$741</f>
        <v>0</v>
      </c>
      <c r="L741" s="64">
        <f>EFEITO!$N$741*EFEITO!$AA$741</f>
        <v>0</v>
      </c>
      <c r="M741" s="64">
        <f ca="1">$J$741-EFEITO!$K$741*EFEITO!$Y$741</f>
        <v>17393.143441154763</v>
      </c>
      <c r="N741" s="64">
        <f>$K$741-EFEITO!$M$741*EFEITO!$Z$741</f>
        <v>0</v>
      </c>
      <c r="O741" s="64">
        <f>$L$741-EFEITO!$O$741*EFEITO!$AA$741</f>
        <v>0</v>
      </c>
      <c r="P741" s="19"/>
      <c r="Q741" s="19"/>
      <c r="R741" s="19"/>
      <c r="S741" s="19"/>
      <c r="T741" s="19"/>
      <c r="U741" s="19"/>
      <c r="V741" s="19"/>
      <c r="W741" s="19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55" t="s">
        <v>57</v>
      </c>
      <c r="B742" s="55" t="s">
        <v>41</v>
      </c>
      <c r="C742" s="55" t="s">
        <v>66</v>
      </c>
      <c r="D742" s="55" t="s">
        <v>25</v>
      </c>
      <c r="E742" s="55" t="s">
        <v>25</v>
      </c>
      <c r="F742" s="55" t="s">
        <v>25</v>
      </c>
      <c r="G742" s="55" t="s">
        <v>84</v>
      </c>
      <c r="H742" s="55" t="s">
        <v>25</v>
      </c>
      <c r="I742" s="63">
        <v>44743</v>
      </c>
      <c r="J742" s="64">
        <f ca="1">EFEITO!$J$742*EFEITO!$Y$742</f>
        <v>3623.571550240576</v>
      </c>
      <c r="K742" s="64">
        <f>EFEITO!$L$742*EFEITO!$Z$742</f>
        <v>0</v>
      </c>
      <c r="L742" s="64">
        <f>EFEITO!$N$742*EFEITO!$AA$742</f>
        <v>0</v>
      </c>
      <c r="M742" s="64">
        <f ca="1">$J$742-EFEITO!$K$742*EFEITO!$Y$742</f>
        <v>1811.785775120288</v>
      </c>
      <c r="N742" s="64">
        <f>$K$742-EFEITO!$M$742*EFEITO!$Z$742</f>
        <v>0</v>
      </c>
      <c r="O742" s="64">
        <f>$L$742-EFEITO!$O$742*EFEITO!$AA$742</f>
        <v>0</v>
      </c>
      <c r="P742" s="19"/>
      <c r="Q742" s="19"/>
      <c r="R742" s="19"/>
      <c r="S742" s="19"/>
      <c r="T742" s="19"/>
      <c r="U742" s="19"/>
      <c r="V742" s="19"/>
      <c r="W742" s="19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55" t="s">
        <v>57</v>
      </c>
      <c r="B743" s="55" t="s">
        <v>41</v>
      </c>
      <c r="C743" s="55" t="s">
        <v>66</v>
      </c>
      <c r="D743" s="55" t="s">
        <v>25</v>
      </c>
      <c r="E743" s="55" t="s">
        <v>25</v>
      </c>
      <c r="F743" s="55" t="s">
        <v>25</v>
      </c>
      <c r="G743" s="55" t="s">
        <v>85</v>
      </c>
      <c r="H743" s="55" t="s">
        <v>25</v>
      </c>
      <c r="I743" s="63">
        <v>44743</v>
      </c>
      <c r="J743" s="64">
        <f ca="1">EFEITO!$J$743*EFEITO!$Y$743</f>
        <v>3623.571550240576</v>
      </c>
      <c r="K743" s="64">
        <f>EFEITO!$L$743*EFEITO!$Z$743</f>
        <v>0</v>
      </c>
      <c r="L743" s="64">
        <f>EFEITO!$N$743*EFEITO!$AA$743</f>
        <v>0</v>
      </c>
      <c r="M743" s="64">
        <f ca="1">$J$743-EFEITO!$K$743*EFEITO!$Y$743</f>
        <v>1811.785775120288</v>
      </c>
      <c r="N743" s="64">
        <f>$K$743-EFEITO!$M$743*EFEITO!$Z$743</f>
        <v>0</v>
      </c>
      <c r="O743" s="64">
        <f>$L$743-EFEITO!$O$743*EFEITO!$AA$743</f>
        <v>0</v>
      </c>
      <c r="P743" s="19"/>
      <c r="Q743" s="19"/>
      <c r="R743" s="19"/>
      <c r="S743" s="19"/>
      <c r="T743" s="19"/>
      <c r="U743" s="19"/>
      <c r="V743" s="19"/>
      <c r="W743" s="19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55" t="s">
        <v>21</v>
      </c>
      <c r="B744" s="55" t="s">
        <v>41</v>
      </c>
      <c r="C744" s="55" t="s">
        <v>42</v>
      </c>
      <c r="D744" s="55" t="s">
        <v>43</v>
      </c>
      <c r="E744" s="55" t="s">
        <v>25</v>
      </c>
      <c r="F744" s="55" t="s">
        <v>25</v>
      </c>
      <c r="G744" s="55" t="s">
        <v>25</v>
      </c>
      <c r="H744" s="55" t="s">
        <v>35</v>
      </c>
      <c r="I744" s="63">
        <v>44409</v>
      </c>
      <c r="J744" s="64">
        <f>EFEITO!$J$744*EFEITO!$Y$744</f>
        <v>0</v>
      </c>
      <c r="K744" s="64">
        <f ca="1">EFEITO!$L$744*EFEITO!$Z$744</f>
        <v>792731.29696551559</v>
      </c>
      <c r="L744" s="64">
        <f>EFEITO!$N$744*EFEITO!$AA$744</f>
        <v>2359198.8454040848</v>
      </c>
      <c r="M744" s="64">
        <f>$J$744-EFEITO!$K$744*EFEITO!$Y$744</f>
        <v>0</v>
      </c>
      <c r="N744" s="64">
        <f ca="1">$K$744-EFEITO!$M$744*EFEITO!$Z$744</f>
        <v>0</v>
      </c>
      <c r="O744" s="64">
        <f>$L$744-EFEITO!$O$744*EFEITO!$AA$744</f>
        <v>0</v>
      </c>
      <c r="P744" s="19"/>
      <c r="Q744" s="19"/>
      <c r="R744" s="19"/>
      <c r="S744" s="19"/>
      <c r="T744" s="19"/>
      <c r="U744" s="19"/>
      <c r="V744" s="19"/>
      <c r="W744" s="19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55" t="s">
        <v>28</v>
      </c>
      <c r="B745" s="55" t="s">
        <v>41</v>
      </c>
      <c r="C745" s="55" t="s">
        <v>42</v>
      </c>
      <c r="D745" s="55" t="s">
        <v>43</v>
      </c>
      <c r="E745" s="55" t="s">
        <v>25</v>
      </c>
      <c r="F745" s="55" t="s">
        <v>25</v>
      </c>
      <c r="G745" s="55" t="s">
        <v>25</v>
      </c>
      <c r="H745" s="55" t="s">
        <v>35</v>
      </c>
      <c r="I745" s="63">
        <v>44409</v>
      </c>
      <c r="J745" s="64">
        <f>EFEITO!$J$745*EFEITO!$Y$745</f>
        <v>0</v>
      </c>
      <c r="K745" s="64">
        <f ca="1">EFEITO!$L$745*EFEITO!$Z$745</f>
        <v>27595.19853627987</v>
      </c>
      <c r="L745" s="64">
        <f>EFEITO!$N$745*EFEITO!$AA$745</f>
        <v>82124.372753659511</v>
      </c>
      <c r="M745" s="64">
        <f>$J$745-EFEITO!$K$745*EFEITO!$Y$745</f>
        <v>0</v>
      </c>
      <c r="N745" s="64">
        <f ca="1">$K$745-EFEITO!$M$745*EFEITO!$Z$745</f>
        <v>0</v>
      </c>
      <c r="O745" s="64">
        <f>$L$745-EFEITO!$O$745*EFEITO!$AA$745</f>
        <v>0</v>
      </c>
      <c r="P745" s="19"/>
      <c r="Q745" s="19"/>
      <c r="R745" s="19"/>
      <c r="S745" s="19"/>
      <c r="T745" s="19"/>
      <c r="U745" s="19"/>
      <c r="V745" s="19"/>
      <c r="W745" s="19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55" t="s">
        <v>28</v>
      </c>
      <c r="B746" s="55" t="s">
        <v>41</v>
      </c>
      <c r="C746" s="55" t="s">
        <v>42</v>
      </c>
      <c r="D746" s="55" t="s">
        <v>43</v>
      </c>
      <c r="E746" s="55" t="s">
        <v>25</v>
      </c>
      <c r="F746" s="55" t="s">
        <v>25</v>
      </c>
      <c r="G746" s="55" t="s">
        <v>25</v>
      </c>
      <c r="H746" s="55" t="s">
        <v>35</v>
      </c>
      <c r="I746" s="63">
        <v>44409</v>
      </c>
      <c r="J746" s="64">
        <f>EFEITO!$J$746*EFEITO!$Y$746</f>
        <v>0</v>
      </c>
      <c r="K746" s="64">
        <f ca="1">EFEITO!$L$746*EFEITO!$Z$746</f>
        <v>-182.7754460025028</v>
      </c>
      <c r="L746" s="64">
        <f>EFEITO!$N$746*EFEITO!$AA$746</f>
        <v>-543.94676081027603</v>
      </c>
      <c r="M746" s="64">
        <f>$J$746-EFEITO!$K$746*EFEITO!$Y$746</f>
        <v>0</v>
      </c>
      <c r="N746" s="64">
        <f ca="1">$K$746-EFEITO!$M$746*EFEITO!$Z$746</f>
        <v>0</v>
      </c>
      <c r="O746" s="64">
        <f>$L$746-EFEITO!$O$746*EFEITO!$AA$746</f>
        <v>0</v>
      </c>
      <c r="P746" s="19"/>
      <c r="Q746" s="19"/>
      <c r="R746" s="19"/>
      <c r="S746" s="19"/>
      <c r="T746" s="19"/>
      <c r="U746" s="19"/>
      <c r="V746" s="19"/>
      <c r="W746" s="19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55" t="s">
        <v>21</v>
      </c>
      <c r="B747" s="55" t="s">
        <v>41</v>
      </c>
      <c r="C747" s="55" t="s">
        <v>42</v>
      </c>
      <c r="D747" s="55" t="s">
        <v>43</v>
      </c>
      <c r="E747" s="55" t="s">
        <v>25</v>
      </c>
      <c r="F747" s="55" t="s">
        <v>25</v>
      </c>
      <c r="G747" s="55" t="s">
        <v>25</v>
      </c>
      <c r="H747" s="55" t="s">
        <v>35</v>
      </c>
      <c r="I747" s="63">
        <v>44409</v>
      </c>
      <c r="J747" s="64">
        <f>EFEITO!$J$747*EFEITO!$Y$747</f>
        <v>0</v>
      </c>
      <c r="K747" s="64">
        <f ca="1">EFEITO!$L$747*EFEITO!$Z$747</f>
        <v>1016.206559389288</v>
      </c>
      <c r="L747" s="64">
        <f>EFEITO!$N$747*EFEITO!$AA$747</f>
        <v>0</v>
      </c>
      <c r="M747" s="64">
        <f>$J$747-EFEITO!$K$747*EFEITO!$Y$747</f>
        <v>0</v>
      </c>
      <c r="N747" s="64">
        <f ca="1">$K$747-EFEITO!$M$747*EFEITO!$Z$747</f>
        <v>0</v>
      </c>
      <c r="O747" s="64">
        <f>$L$747-EFEITO!$O$747*EFEITO!$AA$747</f>
        <v>0</v>
      </c>
      <c r="P747" s="19"/>
      <c r="Q747" s="19"/>
      <c r="R747" s="19"/>
      <c r="S747" s="19"/>
      <c r="T747" s="19"/>
      <c r="U747" s="19"/>
      <c r="V747" s="19"/>
      <c r="W747" s="19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55" t="s">
        <v>21</v>
      </c>
      <c r="B748" s="55" t="s">
        <v>41</v>
      </c>
      <c r="C748" s="55" t="s">
        <v>42</v>
      </c>
      <c r="D748" s="55" t="s">
        <v>43</v>
      </c>
      <c r="E748" s="55" t="s">
        <v>25</v>
      </c>
      <c r="F748" s="55" t="s">
        <v>25</v>
      </c>
      <c r="G748" s="55" t="s">
        <v>25</v>
      </c>
      <c r="H748" s="55" t="s">
        <v>35</v>
      </c>
      <c r="I748" s="63">
        <v>44440</v>
      </c>
      <c r="J748" s="64">
        <f>EFEITO!$J$748*EFEITO!$Y$748</f>
        <v>0</v>
      </c>
      <c r="K748" s="64">
        <f ca="1">EFEITO!$L$748*EFEITO!$Z$748</f>
        <v>822222.6252671422</v>
      </c>
      <c r="L748" s="64">
        <f>EFEITO!$N$748*EFEITO!$AA$748</f>
        <v>2446966.1733056814</v>
      </c>
      <c r="M748" s="64">
        <f>$J$748-EFEITO!$K$748*EFEITO!$Y$748</f>
        <v>0</v>
      </c>
      <c r="N748" s="64">
        <f ca="1">$K$748-EFEITO!$M$748*EFEITO!$Z$748</f>
        <v>0</v>
      </c>
      <c r="O748" s="64">
        <f>$L$748-EFEITO!$O$748*EFEITO!$AA$748</f>
        <v>0</v>
      </c>
      <c r="P748" s="19"/>
      <c r="Q748" s="19"/>
      <c r="R748" s="19"/>
      <c r="S748" s="19"/>
      <c r="T748" s="19"/>
      <c r="U748" s="19"/>
      <c r="V748" s="19"/>
      <c r="W748" s="19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55" t="s">
        <v>28</v>
      </c>
      <c r="B749" s="55" t="s">
        <v>41</v>
      </c>
      <c r="C749" s="55" t="s">
        <v>42</v>
      </c>
      <c r="D749" s="55" t="s">
        <v>43</v>
      </c>
      <c r="E749" s="55" t="s">
        <v>25</v>
      </c>
      <c r="F749" s="55" t="s">
        <v>25</v>
      </c>
      <c r="G749" s="55" t="s">
        <v>25</v>
      </c>
      <c r="H749" s="55" t="s">
        <v>35</v>
      </c>
      <c r="I749" s="63">
        <v>44440</v>
      </c>
      <c r="J749" s="64">
        <f>EFEITO!$J$749*EFEITO!$Y$749</f>
        <v>0</v>
      </c>
      <c r="K749" s="64">
        <f ca="1">EFEITO!$L$749*EFEITO!$Z$749</f>
        <v>34631.235507255638</v>
      </c>
      <c r="L749" s="64">
        <f>EFEITO!$N$749*EFEITO!$AA$749</f>
        <v>103063.8895378298</v>
      </c>
      <c r="M749" s="64">
        <f>$J$749-EFEITO!$K$749*EFEITO!$Y$749</f>
        <v>0</v>
      </c>
      <c r="N749" s="64">
        <f ca="1">$K$749-EFEITO!$M$749*EFEITO!$Z$749</f>
        <v>0</v>
      </c>
      <c r="O749" s="64">
        <f>$L$749-EFEITO!$O$749*EFEITO!$AA$749</f>
        <v>0</v>
      </c>
      <c r="P749" s="19"/>
      <c r="Q749" s="19"/>
      <c r="R749" s="19"/>
      <c r="S749" s="19"/>
      <c r="T749" s="19"/>
      <c r="U749" s="19"/>
      <c r="V749" s="19"/>
      <c r="W749" s="19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55" t="s">
        <v>28</v>
      </c>
      <c r="B750" s="55" t="s">
        <v>41</v>
      </c>
      <c r="C750" s="55" t="s">
        <v>42</v>
      </c>
      <c r="D750" s="55" t="s">
        <v>43</v>
      </c>
      <c r="E750" s="55" t="s">
        <v>25</v>
      </c>
      <c r="F750" s="55" t="s">
        <v>25</v>
      </c>
      <c r="G750" s="55" t="s">
        <v>25</v>
      </c>
      <c r="H750" s="55" t="s">
        <v>35</v>
      </c>
      <c r="I750" s="63">
        <v>44440</v>
      </c>
      <c r="J750" s="64">
        <f>EFEITO!$J$750*EFEITO!$Y$750</f>
        <v>0</v>
      </c>
      <c r="K750" s="64">
        <f ca="1">EFEITO!$L$750*EFEITO!$Z$750</f>
        <v>42.208901462870273</v>
      </c>
      <c r="L750" s="64">
        <f>EFEITO!$N$750*EFEITO!$AA$750</f>
        <v>125.61531502308038</v>
      </c>
      <c r="M750" s="64">
        <f>$J$750-EFEITO!$K$750*EFEITO!$Y$750</f>
        <v>0</v>
      </c>
      <c r="N750" s="64">
        <f ca="1">$K$750-EFEITO!$M$750*EFEITO!$Z$750</f>
        <v>0</v>
      </c>
      <c r="O750" s="64">
        <f>$L$750-EFEITO!$O$750*EFEITO!$AA$750</f>
        <v>0</v>
      </c>
      <c r="P750" s="19"/>
      <c r="Q750" s="19"/>
      <c r="R750" s="19"/>
      <c r="S750" s="19"/>
      <c r="T750" s="19"/>
      <c r="U750" s="19"/>
      <c r="V750" s="19"/>
      <c r="W750" s="19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55" t="s">
        <v>21</v>
      </c>
      <c r="B751" s="55" t="s">
        <v>41</v>
      </c>
      <c r="C751" s="55" t="s">
        <v>42</v>
      </c>
      <c r="D751" s="55" t="s">
        <v>43</v>
      </c>
      <c r="E751" s="55" t="s">
        <v>25</v>
      </c>
      <c r="F751" s="55" t="s">
        <v>25</v>
      </c>
      <c r="G751" s="55" t="s">
        <v>25</v>
      </c>
      <c r="H751" s="55" t="s">
        <v>35</v>
      </c>
      <c r="I751" s="63">
        <v>44440</v>
      </c>
      <c r="J751" s="64">
        <f>EFEITO!$J$751*EFEITO!$Y$751</f>
        <v>0</v>
      </c>
      <c r="K751" s="64">
        <f ca="1">EFEITO!$L$751*EFEITO!$Z$751</f>
        <v>2858.7574977869094</v>
      </c>
      <c r="L751" s="64">
        <f>EFEITO!$N$751*EFEITO!$AA$751</f>
        <v>0</v>
      </c>
      <c r="M751" s="64">
        <f>$J$751-EFEITO!$K$751*EFEITO!$Y$751</f>
        <v>0</v>
      </c>
      <c r="N751" s="64">
        <f ca="1">$K$751-EFEITO!$M$751*EFEITO!$Z$751</f>
        <v>0</v>
      </c>
      <c r="O751" s="64">
        <f>$L$751-EFEITO!$O$751*EFEITO!$AA$751</f>
        <v>0</v>
      </c>
      <c r="P751" s="19"/>
      <c r="Q751" s="19"/>
      <c r="R751" s="19"/>
      <c r="S751" s="19"/>
      <c r="T751" s="19"/>
      <c r="U751" s="19"/>
      <c r="V751" s="19"/>
      <c r="W751" s="19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55" t="s">
        <v>21</v>
      </c>
      <c r="B752" s="55" t="s">
        <v>41</v>
      </c>
      <c r="C752" s="55" t="s">
        <v>42</v>
      </c>
      <c r="D752" s="55" t="s">
        <v>43</v>
      </c>
      <c r="E752" s="55" t="s">
        <v>25</v>
      </c>
      <c r="F752" s="55" t="s">
        <v>25</v>
      </c>
      <c r="G752" s="55" t="s">
        <v>25</v>
      </c>
      <c r="H752" s="55" t="s">
        <v>35</v>
      </c>
      <c r="I752" s="63">
        <v>44470</v>
      </c>
      <c r="J752" s="64">
        <f>EFEITO!$J$752*EFEITO!$Y$752</f>
        <v>0</v>
      </c>
      <c r="K752" s="64">
        <f ca="1">EFEITO!$L$752*EFEITO!$Z$752</f>
        <v>907001.92952238582</v>
      </c>
      <c r="L752" s="64">
        <f>EFEITO!$N$752*EFEITO!$AA$752</f>
        <v>2699272.6452196226</v>
      </c>
      <c r="M752" s="64">
        <f>$J$752-EFEITO!$K$752*EFEITO!$Y$752</f>
        <v>0</v>
      </c>
      <c r="N752" s="64">
        <f ca="1">$K$752-EFEITO!$M$752*EFEITO!$Z$752</f>
        <v>0</v>
      </c>
      <c r="O752" s="64">
        <f>$L$752-EFEITO!$O$752*EFEITO!$AA$752</f>
        <v>0</v>
      </c>
      <c r="P752" s="19"/>
      <c r="Q752" s="19"/>
      <c r="R752" s="19"/>
      <c r="S752" s="19"/>
      <c r="T752" s="19"/>
      <c r="U752" s="19"/>
      <c r="V752" s="19"/>
      <c r="W752" s="19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55" t="s">
        <v>27</v>
      </c>
      <c r="B753" s="55" t="s">
        <v>41</v>
      </c>
      <c r="C753" s="55" t="s">
        <v>42</v>
      </c>
      <c r="D753" s="55" t="s">
        <v>43</v>
      </c>
      <c r="E753" s="55" t="s">
        <v>25</v>
      </c>
      <c r="F753" s="55" t="s">
        <v>25</v>
      </c>
      <c r="G753" s="55" t="s">
        <v>25</v>
      </c>
      <c r="H753" s="55" t="s">
        <v>35</v>
      </c>
      <c r="I753" s="63">
        <v>44470</v>
      </c>
      <c r="J753" s="64">
        <f>EFEITO!$J$753*EFEITO!$Y$753</f>
        <v>0</v>
      </c>
      <c r="K753" s="64">
        <f ca="1">EFEITO!$L$753*EFEITO!$Z$753</f>
        <v>-1988.1794360647195</v>
      </c>
      <c r="L753" s="64">
        <f>EFEITO!$N$753*EFEITO!$AA$753</f>
        <v>-5916.898510220004</v>
      </c>
      <c r="M753" s="64">
        <f>$J$753-EFEITO!$K$753*EFEITO!$Y$753</f>
        <v>0</v>
      </c>
      <c r="N753" s="64">
        <f ca="1">$K$753-EFEITO!$M$753*EFEITO!$Z$753</f>
        <v>0</v>
      </c>
      <c r="O753" s="64">
        <f>$L$753-EFEITO!$O$753*EFEITO!$AA$753</f>
        <v>0</v>
      </c>
      <c r="P753" s="19"/>
      <c r="Q753" s="19"/>
      <c r="R753" s="19"/>
      <c r="S753" s="19"/>
      <c r="T753" s="19"/>
      <c r="U753" s="19"/>
      <c r="V753" s="19"/>
      <c r="W753" s="19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55" t="s">
        <v>28</v>
      </c>
      <c r="B754" s="55" t="s">
        <v>41</v>
      </c>
      <c r="C754" s="55" t="s">
        <v>42</v>
      </c>
      <c r="D754" s="55" t="s">
        <v>43</v>
      </c>
      <c r="E754" s="55" t="s">
        <v>25</v>
      </c>
      <c r="F754" s="55" t="s">
        <v>25</v>
      </c>
      <c r="G754" s="55" t="s">
        <v>25</v>
      </c>
      <c r="H754" s="55" t="s">
        <v>35</v>
      </c>
      <c r="I754" s="63">
        <v>44470</v>
      </c>
      <c r="J754" s="64">
        <f>EFEITO!$J$754*EFEITO!$Y$754</f>
        <v>0</v>
      </c>
      <c r="K754" s="64">
        <f ca="1">EFEITO!$L$754*EFEITO!$Z$754</f>
        <v>49259.501283612743</v>
      </c>
      <c r="L754" s="64">
        <f>EFEITO!$N$754*EFEITO!$AA$754</f>
        <v>146598.17140855934</v>
      </c>
      <c r="M754" s="64">
        <f>$J$754-EFEITO!$K$754*EFEITO!$Y$754</f>
        <v>0</v>
      </c>
      <c r="N754" s="64">
        <f ca="1">$K$754-EFEITO!$M$754*EFEITO!$Z$754</f>
        <v>0</v>
      </c>
      <c r="O754" s="64">
        <f>$L$754-EFEITO!$O$754*EFEITO!$AA$754</f>
        <v>0</v>
      </c>
      <c r="P754" s="19"/>
      <c r="Q754" s="19"/>
      <c r="R754" s="19"/>
      <c r="S754" s="19"/>
      <c r="T754" s="19"/>
      <c r="U754" s="19"/>
      <c r="V754" s="19"/>
      <c r="W754" s="19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55" t="s">
        <v>21</v>
      </c>
      <c r="B755" s="55" t="s">
        <v>41</v>
      </c>
      <c r="C755" s="55" t="s">
        <v>42</v>
      </c>
      <c r="D755" s="55" t="s">
        <v>43</v>
      </c>
      <c r="E755" s="55" t="s">
        <v>25</v>
      </c>
      <c r="F755" s="55" t="s">
        <v>25</v>
      </c>
      <c r="G755" s="55" t="s">
        <v>25</v>
      </c>
      <c r="H755" s="55" t="s">
        <v>35</v>
      </c>
      <c r="I755" s="63">
        <v>44470</v>
      </c>
      <c r="J755" s="64">
        <f>EFEITO!$J$755*EFEITO!$Y$755</f>
        <v>0</v>
      </c>
      <c r="K755" s="64">
        <f ca="1">EFEITO!$L$755*EFEITO!$Z$755</f>
        <v>2046.1193303237148</v>
      </c>
      <c r="L755" s="64">
        <f>EFEITO!$N$755*EFEITO!$AA$755</f>
        <v>0</v>
      </c>
      <c r="M755" s="64">
        <f>$J$755-EFEITO!$K$755*EFEITO!$Y$755</f>
        <v>0</v>
      </c>
      <c r="N755" s="64">
        <f ca="1">$K$755-EFEITO!$M$755*EFEITO!$Z$755</f>
        <v>0</v>
      </c>
      <c r="O755" s="64">
        <f>$L$755-EFEITO!$O$755*EFEITO!$AA$755</f>
        <v>0</v>
      </c>
      <c r="P755" s="19"/>
      <c r="Q755" s="19"/>
      <c r="R755" s="19"/>
      <c r="S755" s="19"/>
      <c r="T755" s="19"/>
      <c r="U755" s="19"/>
      <c r="V755" s="19"/>
      <c r="W755" s="19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55" t="s">
        <v>21</v>
      </c>
      <c r="B756" s="55" t="s">
        <v>41</v>
      </c>
      <c r="C756" s="55" t="s">
        <v>42</v>
      </c>
      <c r="D756" s="55" t="s">
        <v>43</v>
      </c>
      <c r="E756" s="55" t="s">
        <v>25</v>
      </c>
      <c r="F756" s="55" t="s">
        <v>25</v>
      </c>
      <c r="G756" s="55" t="s">
        <v>25</v>
      </c>
      <c r="H756" s="55" t="s">
        <v>35</v>
      </c>
      <c r="I756" s="63">
        <v>44501</v>
      </c>
      <c r="J756" s="64">
        <f>EFEITO!$J$756*EFEITO!$Y$756</f>
        <v>0</v>
      </c>
      <c r="K756" s="64">
        <f ca="1">EFEITO!$L$756*EFEITO!$Z$756</f>
        <v>918343.0408139684</v>
      </c>
      <c r="L756" s="64">
        <f>EFEITO!$N$756*EFEITO!$AA$756</f>
        <v>2733024.2288484257</v>
      </c>
      <c r="M756" s="64">
        <f>$J$756-EFEITO!$K$756*EFEITO!$Y$756</f>
        <v>0</v>
      </c>
      <c r="N756" s="64">
        <f ca="1">$K$756-EFEITO!$M$756*EFEITO!$Z$756</f>
        <v>0</v>
      </c>
      <c r="O756" s="64">
        <f>$L$756-EFEITO!$O$756*EFEITO!$AA$756</f>
        <v>0</v>
      </c>
      <c r="P756" s="19"/>
      <c r="Q756" s="19"/>
      <c r="R756" s="19"/>
      <c r="S756" s="19"/>
      <c r="T756" s="19"/>
      <c r="U756" s="19"/>
      <c r="V756" s="19"/>
      <c r="W756" s="19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55" t="s">
        <v>27</v>
      </c>
      <c r="B757" s="55" t="s">
        <v>41</v>
      </c>
      <c r="C757" s="55" t="s">
        <v>42</v>
      </c>
      <c r="D757" s="55" t="s">
        <v>43</v>
      </c>
      <c r="E757" s="55" t="s">
        <v>25</v>
      </c>
      <c r="F757" s="55" t="s">
        <v>25</v>
      </c>
      <c r="G757" s="55" t="s">
        <v>25</v>
      </c>
      <c r="H757" s="55" t="s">
        <v>35</v>
      </c>
      <c r="I757" s="63">
        <v>44501</v>
      </c>
      <c r="J757" s="64">
        <f>EFEITO!$J$757*EFEITO!$Y$757</f>
        <v>0</v>
      </c>
      <c r="K757" s="64">
        <f ca="1">EFEITO!$L$757*EFEITO!$Z$757</f>
        <v>-9949.9308197510763</v>
      </c>
      <c r="L757" s="64">
        <f>EFEITO!$N$757*EFEITO!$AA$757</f>
        <v>-29611.377009665845</v>
      </c>
      <c r="M757" s="64">
        <f>$J$757-EFEITO!$K$757*EFEITO!$Y$757</f>
        <v>0</v>
      </c>
      <c r="N757" s="64">
        <f ca="1">$K$757-EFEITO!$M$757*EFEITO!$Z$757</f>
        <v>0</v>
      </c>
      <c r="O757" s="64">
        <f>$L$757-EFEITO!$O$757*EFEITO!$AA$757</f>
        <v>0</v>
      </c>
      <c r="P757" s="19"/>
      <c r="Q757" s="19"/>
      <c r="R757" s="19"/>
      <c r="S757" s="19"/>
      <c r="T757" s="19"/>
      <c r="U757" s="19"/>
      <c r="V757" s="19"/>
      <c r="W757" s="19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55" t="s">
        <v>28</v>
      </c>
      <c r="B758" s="55" t="s">
        <v>41</v>
      </c>
      <c r="C758" s="55" t="s">
        <v>42</v>
      </c>
      <c r="D758" s="55" t="s">
        <v>43</v>
      </c>
      <c r="E758" s="55" t="s">
        <v>25</v>
      </c>
      <c r="F758" s="55" t="s">
        <v>25</v>
      </c>
      <c r="G758" s="55" t="s">
        <v>25</v>
      </c>
      <c r="H758" s="55" t="s">
        <v>35</v>
      </c>
      <c r="I758" s="63">
        <v>44501</v>
      </c>
      <c r="J758" s="64">
        <f>EFEITO!$J$758*EFEITO!$Y$758</f>
        <v>0</v>
      </c>
      <c r="K758" s="64">
        <f ca="1">EFEITO!$L$758*EFEITO!$Z$758</f>
        <v>43831.062749718221</v>
      </c>
      <c r="L758" s="64">
        <f>EFEITO!$N$758*EFEITO!$AA$758</f>
        <v>130442.92943623677</v>
      </c>
      <c r="M758" s="64">
        <f>$J$758-EFEITO!$K$758*EFEITO!$Y$758</f>
        <v>0</v>
      </c>
      <c r="N758" s="64">
        <f ca="1">$K$758-EFEITO!$M$758*EFEITO!$Z$758</f>
        <v>0</v>
      </c>
      <c r="O758" s="64">
        <f>$L$758-EFEITO!$O$758*EFEITO!$AA$758</f>
        <v>0</v>
      </c>
      <c r="P758" s="19"/>
      <c r="Q758" s="19"/>
      <c r="R758" s="19"/>
      <c r="S758" s="19"/>
      <c r="T758" s="19"/>
      <c r="U758" s="19"/>
      <c r="V758" s="19"/>
      <c r="W758" s="19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55" t="s">
        <v>21</v>
      </c>
      <c r="B759" s="55" t="s">
        <v>41</v>
      </c>
      <c r="C759" s="55" t="s">
        <v>42</v>
      </c>
      <c r="D759" s="55" t="s">
        <v>43</v>
      </c>
      <c r="E759" s="55" t="s">
        <v>25</v>
      </c>
      <c r="F759" s="55" t="s">
        <v>25</v>
      </c>
      <c r="G759" s="55" t="s">
        <v>25</v>
      </c>
      <c r="H759" s="55" t="s">
        <v>35</v>
      </c>
      <c r="I759" s="63">
        <v>44501</v>
      </c>
      <c r="J759" s="64">
        <f>EFEITO!$J$759*EFEITO!$Y$759</f>
        <v>0</v>
      </c>
      <c r="K759" s="64">
        <f ca="1">EFEITO!$L$759*EFEITO!$Z$759</f>
        <v>1311.66886962938</v>
      </c>
      <c r="L759" s="64">
        <f>EFEITO!$N$759*EFEITO!$AA$759</f>
        <v>0</v>
      </c>
      <c r="M759" s="64">
        <f>$J$759-EFEITO!$K$759*EFEITO!$Y$759</f>
        <v>0</v>
      </c>
      <c r="N759" s="64">
        <f ca="1">$K$759-EFEITO!$M$759*EFEITO!$Z$759</f>
        <v>0</v>
      </c>
      <c r="O759" s="64">
        <f>$L$759-EFEITO!$O$759*EFEITO!$AA$759</f>
        <v>0</v>
      </c>
      <c r="P759" s="19"/>
      <c r="Q759" s="19"/>
      <c r="R759" s="19"/>
      <c r="S759" s="19"/>
      <c r="T759" s="19"/>
      <c r="U759" s="19"/>
      <c r="V759" s="19"/>
      <c r="W759" s="19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55" t="s">
        <v>21</v>
      </c>
      <c r="B760" s="55" t="s">
        <v>41</v>
      </c>
      <c r="C760" s="55" t="s">
        <v>42</v>
      </c>
      <c r="D760" s="55" t="s">
        <v>43</v>
      </c>
      <c r="E760" s="55" t="s">
        <v>25</v>
      </c>
      <c r="F760" s="55" t="s">
        <v>25</v>
      </c>
      <c r="G760" s="55" t="s">
        <v>25</v>
      </c>
      <c r="H760" s="55" t="s">
        <v>35</v>
      </c>
      <c r="I760" s="63">
        <v>44531</v>
      </c>
      <c r="J760" s="64">
        <f>EFEITO!$J$760*EFEITO!$Y$760</f>
        <v>0</v>
      </c>
      <c r="K760" s="64">
        <f ca="1">EFEITO!$L$760*EFEITO!$Z$760</f>
        <v>939640.46877386305</v>
      </c>
      <c r="L760" s="64">
        <f>EFEITO!$N$760*EFEITO!$AA$760</f>
        <v>2796406.1940179495</v>
      </c>
      <c r="M760" s="64">
        <f>$J$760-EFEITO!$K$760*EFEITO!$Y$760</f>
        <v>0</v>
      </c>
      <c r="N760" s="64">
        <f ca="1">$K$760-EFEITO!$M$760*EFEITO!$Z$760</f>
        <v>0</v>
      </c>
      <c r="O760" s="64">
        <f>$L$760-EFEITO!$O$760*EFEITO!$AA$760</f>
        <v>0</v>
      </c>
      <c r="P760" s="19"/>
      <c r="Q760" s="19"/>
      <c r="R760" s="19"/>
      <c r="S760" s="19"/>
      <c r="T760" s="19"/>
      <c r="U760" s="19"/>
      <c r="V760" s="19"/>
      <c r="W760" s="19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55" t="s">
        <v>27</v>
      </c>
      <c r="B761" s="55" t="s">
        <v>41</v>
      </c>
      <c r="C761" s="55" t="s">
        <v>42</v>
      </c>
      <c r="D761" s="55" t="s">
        <v>43</v>
      </c>
      <c r="E761" s="55" t="s">
        <v>25</v>
      </c>
      <c r="F761" s="55" t="s">
        <v>25</v>
      </c>
      <c r="G761" s="55" t="s">
        <v>25</v>
      </c>
      <c r="H761" s="55" t="s">
        <v>35</v>
      </c>
      <c r="I761" s="63">
        <v>44531</v>
      </c>
      <c r="J761" s="64">
        <f>EFEITO!$J$761*EFEITO!$Y$761</f>
        <v>0</v>
      </c>
      <c r="K761" s="64">
        <f ca="1">EFEITO!$L$761*EFEITO!$Z$761</f>
        <v>-2954.4673499969967</v>
      </c>
      <c r="L761" s="64">
        <f>EFEITO!$N$761*EFEITO!$AA$761</f>
        <v>-8792.6085264679405</v>
      </c>
      <c r="M761" s="64">
        <f>$J$761-EFEITO!$K$761*EFEITO!$Y$761</f>
        <v>0</v>
      </c>
      <c r="N761" s="64">
        <f ca="1">$K$761-EFEITO!$M$761*EFEITO!$Z$761</f>
        <v>0</v>
      </c>
      <c r="O761" s="64">
        <f>$L$761-EFEITO!$O$761*EFEITO!$AA$761</f>
        <v>0</v>
      </c>
      <c r="P761" s="19"/>
      <c r="Q761" s="19"/>
      <c r="R761" s="19"/>
      <c r="S761" s="19"/>
      <c r="T761" s="19"/>
      <c r="U761" s="19"/>
      <c r="V761" s="19"/>
      <c r="W761" s="19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55" t="s">
        <v>28</v>
      </c>
      <c r="B762" s="55" t="s">
        <v>41</v>
      </c>
      <c r="C762" s="55" t="s">
        <v>42</v>
      </c>
      <c r="D762" s="55" t="s">
        <v>43</v>
      </c>
      <c r="E762" s="55" t="s">
        <v>25</v>
      </c>
      <c r="F762" s="55" t="s">
        <v>25</v>
      </c>
      <c r="G762" s="55" t="s">
        <v>25</v>
      </c>
      <c r="H762" s="55" t="s">
        <v>35</v>
      </c>
      <c r="I762" s="63">
        <v>44531</v>
      </c>
      <c r="J762" s="64">
        <f>EFEITO!$J$762*EFEITO!$Y$762</f>
        <v>0</v>
      </c>
      <c r="K762" s="64">
        <f ca="1">EFEITO!$L$762*EFEITO!$Z$762</f>
        <v>52880.12166518427</v>
      </c>
      <c r="L762" s="64">
        <f>EFEITO!$N$762*EFEITO!$AA$762</f>
        <v>157373.27699168306</v>
      </c>
      <c r="M762" s="64">
        <f>$J$762-EFEITO!$K$762*EFEITO!$Y$762</f>
        <v>0</v>
      </c>
      <c r="N762" s="64">
        <f ca="1">$K$762-EFEITO!$M$762*EFEITO!$Z$762</f>
        <v>0</v>
      </c>
      <c r="O762" s="64">
        <f>$L$762-EFEITO!$O$762*EFEITO!$AA$762</f>
        <v>0</v>
      </c>
      <c r="P762" s="19"/>
      <c r="Q762" s="19"/>
      <c r="R762" s="19"/>
      <c r="S762" s="19"/>
      <c r="T762" s="19"/>
      <c r="U762" s="19"/>
      <c r="V762" s="19"/>
      <c r="W762" s="19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55" t="s">
        <v>21</v>
      </c>
      <c r="B763" s="55" t="s">
        <v>41</v>
      </c>
      <c r="C763" s="55" t="s">
        <v>42</v>
      </c>
      <c r="D763" s="55" t="s">
        <v>43</v>
      </c>
      <c r="E763" s="55" t="s">
        <v>25</v>
      </c>
      <c r="F763" s="55" t="s">
        <v>25</v>
      </c>
      <c r="G763" s="55" t="s">
        <v>25</v>
      </c>
      <c r="H763" s="55" t="s">
        <v>35</v>
      </c>
      <c r="I763" s="63">
        <v>44531</v>
      </c>
      <c r="J763" s="64">
        <f>EFEITO!$J$763*EFEITO!$Y$763</f>
        <v>0</v>
      </c>
      <c r="K763" s="64">
        <f ca="1">EFEITO!$L$763*EFEITO!$Z$763</f>
        <v>1292.4334477450093</v>
      </c>
      <c r="L763" s="64">
        <f>EFEITO!$N$763*EFEITO!$AA$763</f>
        <v>0</v>
      </c>
      <c r="M763" s="64">
        <f>$J$763-EFEITO!$K$763*EFEITO!$Y$763</f>
        <v>0</v>
      </c>
      <c r="N763" s="64">
        <f ca="1">$K$763-EFEITO!$M$763*EFEITO!$Z$763</f>
        <v>0</v>
      </c>
      <c r="O763" s="64">
        <f>$L$763-EFEITO!$O$763*EFEITO!$AA$763</f>
        <v>0</v>
      </c>
      <c r="P763" s="19"/>
      <c r="Q763" s="19"/>
      <c r="R763" s="19"/>
      <c r="S763" s="19"/>
      <c r="T763" s="19"/>
      <c r="U763" s="19"/>
      <c r="V763" s="19"/>
      <c r="W763" s="19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55" t="s">
        <v>21</v>
      </c>
      <c r="B764" s="55" t="s">
        <v>41</v>
      </c>
      <c r="C764" s="55" t="s">
        <v>42</v>
      </c>
      <c r="D764" s="55" t="s">
        <v>43</v>
      </c>
      <c r="E764" s="55" t="s">
        <v>25</v>
      </c>
      <c r="F764" s="55" t="s">
        <v>25</v>
      </c>
      <c r="G764" s="55" t="s">
        <v>25</v>
      </c>
      <c r="H764" s="55" t="s">
        <v>35</v>
      </c>
      <c r="I764" s="63">
        <v>44562</v>
      </c>
      <c r="J764" s="64">
        <f>EFEITO!$J$764*EFEITO!$Y$764</f>
        <v>0</v>
      </c>
      <c r="K764" s="64">
        <f ca="1">EFEITO!$L$764*EFEITO!$Z$764</f>
        <v>899975.47132425115</v>
      </c>
      <c r="L764" s="64">
        <f>EFEITO!$N$764*EFEITO!$AA$764</f>
        <v>2678361.6352320351</v>
      </c>
      <c r="M764" s="64">
        <f>$J$764-EFEITO!$K$764*EFEITO!$Y$764</f>
        <v>0</v>
      </c>
      <c r="N764" s="64">
        <f ca="1">$K$764-EFEITO!$M$764*EFEITO!$Z$764</f>
        <v>0</v>
      </c>
      <c r="O764" s="64">
        <f>$L$764-EFEITO!$O$764*EFEITO!$AA$764</f>
        <v>0</v>
      </c>
      <c r="P764" s="19"/>
      <c r="Q764" s="19"/>
      <c r="R764" s="19"/>
      <c r="S764" s="19"/>
      <c r="T764" s="19"/>
      <c r="U764" s="19"/>
      <c r="V764" s="19"/>
      <c r="W764" s="19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55" t="s">
        <v>28</v>
      </c>
      <c r="B765" s="55" t="s">
        <v>41</v>
      </c>
      <c r="C765" s="55" t="s">
        <v>42</v>
      </c>
      <c r="D765" s="55" t="s">
        <v>43</v>
      </c>
      <c r="E765" s="55" t="s">
        <v>25</v>
      </c>
      <c r="F765" s="55" t="s">
        <v>25</v>
      </c>
      <c r="G765" s="55" t="s">
        <v>25</v>
      </c>
      <c r="H765" s="55" t="s">
        <v>35</v>
      </c>
      <c r="I765" s="63">
        <v>44562</v>
      </c>
      <c r="J765" s="64">
        <f>EFEITO!$J$765*EFEITO!$Y$765</f>
        <v>0</v>
      </c>
      <c r="K765" s="64">
        <f ca="1">EFEITO!$L$765*EFEITO!$Z$765</f>
        <v>41202.507304928069</v>
      </c>
      <c r="L765" s="64">
        <f>EFEITO!$N$765*EFEITO!$AA$765</f>
        <v>122620.24728130312</v>
      </c>
      <c r="M765" s="64">
        <f>$J$765-EFEITO!$K$765*EFEITO!$Y$765</f>
        <v>0</v>
      </c>
      <c r="N765" s="64">
        <f ca="1">$K$765-EFEITO!$M$765*EFEITO!$Z$765</f>
        <v>0</v>
      </c>
      <c r="O765" s="64">
        <f>$L$765-EFEITO!$O$765*EFEITO!$AA$765</f>
        <v>0</v>
      </c>
      <c r="P765" s="19"/>
      <c r="Q765" s="19"/>
      <c r="R765" s="19"/>
      <c r="S765" s="19"/>
      <c r="T765" s="19"/>
      <c r="U765" s="19"/>
      <c r="V765" s="19"/>
      <c r="W765" s="19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55" t="s">
        <v>28</v>
      </c>
      <c r="B766" s="55" t="s">
        <v>41</v>
      </c>
      <c r="C766" s="55" t="s">
        <v>42</v>
      </c>
      <c r="D766" s="55" t="s">
        <v>43</v>
      </c>
      <c r="E766" s="55" t="s">
        <v>25</v>
      </c>
      <c r="F766" s="55" t="s">
        <v>25</v>
      </c>
      <c r="G766" s="55" t="s">
        <v>25</v>
      </c>
      <c r="H766" s="55" t="s">
        <v>35</v>
      </c>
      <c r="I766" s="63">
        <v>44562</v>
      </c>
      <c r="J766" s="64">
        <f>EFEITO!$J$766*EFEITO!$Y$766</f>
        <v>0</v>
      </c>
      <c r="K766" s="64">
        <f ca="1">EFEITO!$L$766*EFEITO!$Z$766</f>
        <v>-3044.1807346560868</v>
      </c>
      <c r="L766" s="64">
        <f>EFEITO!$N$766*EFEITO!$AA$766</f>
        <v>-9059.5990115354471</v>
      </c>
      <c r="M766" s="64">
        <f>$J$766-EFEITO!$K$766*EFEITO!$Y$766</f>
        <v>0</v>
      </c>
      <c r="N766" s="64">
        <f ca="1">$K$766-EFEITO!$M$766*EFEITO!$Z$766</f>
        <v>0</v>
      </c>
      <c r="O766" s="64">
        <f>$L$766-EFEITO!$O$766*EFEITO!$AA$766</f>
        <v>0</v>
      </c>
      <c r="P766" s="19"/>
      <c r="Q766" s="19"/>
      <c r="R766" s="19"/>
      <c r="S766" s="19"/>
      <c r="T766" s="19"/>
      <c r="U766" s="19"/>
      <c r="V766" s="19"/>
      <c r="W766" s="19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55" t="s">
        <v>21</v>
      </c>
      <c r="B767" s="55" t="s">
        <v>41</v>
      </c>
      <c r="C767" s="55" t="s">
        <v>42</v>
      </c>
      <c r="D767" s="55" t="s">
        <v>43</v>
      </c>
      <c r="E767" s="55" t="s">
        <v>25</v>
      </c>
      <c r="F767" s="55" t="s">
        <v>25</v>
      </c>
      <c r="G767" s="55" t="s">
        <v>25</v>
      </c>
      <c r="H767" s="55" t="s">
        <v>35</v>
      </c>
      <c r="I767" s="63">
        <v>44593</v>
      </c>
      <c r="J767" s="64">
        <f>EFEITO!$J$767*EFEITO!$Y$767</f>
        <v>0</v>
      </c>
      <c r="K767" s="64">
        <f ca="1">EFEITO!$L$767*EFEITO!$Z$767</f>
        <v>856758.22879838967</v>
      </c>
      <c r="L767" s="64">
        <f>EFEITO!$N$767*EFEITO!$AA$767</f>
        <v>2549745.4584028311</v>
      </c>
      <c r="M767" s="64">
        <f>$J$767-EFEITO!$K$767*EFEITO!$Y$767</f>
        <v>0</v>
      </c>
      <c r="N767" s="64">
        <f ca="1">$K$767-EFEITO!$M$767*EFEITO!$Z$767</f>
        <v>0</v>
      </c>
      <c r="O767" s="64">
        <f>$L$767-EFEITO!$O$767*EFEITO!$AA$767</f>
        <v>0</v>
      </c>
      <c r="P767" s="19"/>
      <c r="Q767" s="19"/>
      <c r="R767" s="19"/>
      <c r="S767" s="19"/>
      <c r="T767" s="19"/>
      <c r="U767" s="19"/>
      <c r="V767" s="19"/>
      <c r="W767" s="19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55" t="s">
        <v>27</v>
      </c>
      <c r="B768" s="55" t="s">
        <v>41</v>
      </c>
      <c r="C768" s="55" t="s">
        <v>42</v>
      </c>
      <c r="D768" s="55" t="s">
        <v>43</v>
      </c>
      <c r="E768" s="55" t="s">
        <v>25</v>
      </c>
      <c r="F768" s="55" t="s">
        <v>25</v>
      </c>
      <c r="G768" s="55" t="s">
        <v>25</v>
      </c>
      <c r="H768" s="55" t="s">
        <v>35</v>
      </c>
      <c r="I768" s="63">
        <v>44593</v>
      </c>
      <c r="J768" s="64">
        <f>EFEITO!$J$768*EFEITO!$Y$768</f>
        <v>0</v>
      </c>
      <c r="K768" s="64">
        <f ca="1">EFEITO!$L$768*EFEITO!$Z$768</f>
        <v>-3786.3409393445613</v>
      </c>
      <c r="L768" s="64">
        <f>EFEITO!$N$768*EFEITO!$AA$768</f>
        <v>-11268.296340262301</v>
      </c>
      <c r="M768" s="64">
        <f>$J$768-EFEITO!$K$768*EFEITO!$Y$768</f>
        <v>0</v>
      </c>
      <c r="N768" s="64">
        <f ca="1">$K$768-EFEITO!$M$768*EFEITO!$Z$768</f>
        <v>0</v>
      </c>
      <c r="O768" s="64">
        <f>$L$768-EFEITO!$O$768*EFEITO!$AA$768</f>
        <v>0</v>
      </c>
      <c r="P768" s="19"/>
      <c r="Q768" s="19"/>
      <c r="R768" s="19"/>
      <c r="S768" s="19"/>
      <c r="T768" s="19"/>
      <c r="U768" s="19"/>
      <c r="V768" s="19"/>
      <c r="W768" s="19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55" t="s">
        <v>28</v>
      </c>
      <c r="B769" s="55" t="s">
        <v>41</v>
      </c>
      <c r="C769" s="55" t="s">
        <v>42</v>
      </c>
      <c r="D769" s="55" t="s">
        <v>43</v>
      </c>
      <c r="E769" s="55" t="s">
        <v>25</v>
      </c>
      <c r="F769" s="55" t="s">
        <v>25</v>
      </c>
      <c r="G769" s="55" t="s">
        <v>25</v>
      </c>
      <c r="H769" s="55" t="s">
        <v>35</v>
      </c>
      <c r="I769" s="63">
        <v>44593</v>
      </c>
      <c r="J769" s="64">
        <f>EFEITO!$J$769*EFEITO!$Y$769</f>
        <v>0</v>
      </c>
      <c r="K769" s="64">
        <f ca="1">EFEITO!$L$769*EFEITO!$Z$769</f>
        <v>45643.164093149084</v>
      </c>
      <c r="L769" s="64">
        <f>EFEITO!$N$769*EFEITO!$AA$769</f>
        <v>135835.81276699703</v>
      </c>
      <c r="M769" s="64">
        <f>$J$769-EFEITO!$K$769*EFEITO!$Y$769</f>
        <v>0</v>
      </c>
      <c r="N769" s="64">
        <f ca="1">$K$769-EFEITO!$M$769*EFEITO!$Z$769</f>
        <v>0</v>
      </c>
      <c r="O769" s="64">
        <f>$L$769-EFEITO!$O$769*EFEITO!$AA$769</f>
        <v>0</v>
      </c>
      <c r="P769" s="19"/>
      <c r="Q769" s="19"/>
      <c r="R769" s="19"/>
      <c r="S769" s="19"/>
      <c r="T769" s="19"/>
      <c r="U769" s="19"/>
      <c r="V769" s="19"/>
      <c r="W769" s="19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55" t="s">
        <v>28</v>
      </c>
      <c r="B770" s="55" t="s">
        <v>41</v>
      </c>
      <c r="C770" s="55" t="s">
        <v>42</v>
      </c>
      <c r="D770" s="55" t="s">
        <v>43</v>
      </c>
      <c r="E770" s="55" t="s">
        <v>25</v>
      </c>
      <c r="F770" s="55" t="s">
        <v>25</v>
      </c>
      <c r="G770" s="55" t="s">
        <v>25</v>
      </c>
      <c r="H770" s="55" t="s">
        <v>35</v>
      </c>
      <c r="I770" s="63">
        <v>44593</v>
      </c>
      <c r="J770" s="64">
        <f>EFEITO!$J$770*EFEITO!$Y$770</f>
        <v>0</v>
      </c>
      <c r="K770" s="64">
        <f ca="1">EFEITO!$L$770*EFEITO!$Z$770</f>
        <v>-1063.1659091717802</v>
      </c>
      <c r="L770" s="64">
        <f>EFEITO!$N$770*EFEITO!$AA$770</f>
        <v>-3164.0226581090278</v>
      </c>
      <c r="M770" s="64">
        <f>$J$770-EFEITO!$K$770*EFEITO!$Y$770</f>
        <v>0</v>
      </c>
      <c r="N770" s="64">
        <f ca="1">$K$770-EFEITO!$M$770*EFEITO!$Z$770</f>
        <v>0</v>
      </c>
      <c r="O770" s="64">
        <f>$L$770-EFEITO!$O$770*EFEITO!$AA$770</f>
        <v>0</v>
      </c>
      <c r="P770" s="19"/>
      <c r="Q770" s="19"/>
      <c r="R770" s="19"/>
      <c r="S770" s="19"/>
      <c r="T770" s="19"/>
      <c r="U770" s="19"/>
      <c r="V770" s="19"/>
      <c r="W770" s="19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55" t="s">
        <v>21</v>
      </c>
      <c r="B771" s="55" t="s">
        <v>41</v>
      </c>
      <c r="C771" s="55" t="s">
        <v>42</v>
      </c>
      <c r="D771" s="55" t="s">
        <v>43</v>
      </c>
      <c r="E771" s="55" t="s">
        <v>25</v>
      </c>
      <c r="F771" s="55" t="s">
        <v>25</v>
      </c>
      <c r="G771" s="55" t="s">
        <v>25</v>
      </c>
      <c r="H771" s="55" t="s">
        <v>35</v>
      </c>
      <c r="I771" s="63">
        <v>44621</v>
      </c>
      <c r="J771" s="64">
        <f>EFEITO!$J$771*EFEITO!$Y$771</f>
        <v>0</v>
      </c>
      <c r="K771" s="64">
        <f ca="1">EFEITO!$L$771*EFEITO!$Z$771</f>
        <v>903084.83443994867</v>
      </c>
      <c r="L771" s="64">
        <f>EFEITO!$N$771*EFEITO!$AA$771</f>
        <v>2687615.2195178773</v>
      </c>
      <c r="M771" s="64">
        <f>$J$771-EFEITO!$K$771*EFEITO!$Y$771</f>
        <v>0</v>
      </c>
      <c r="N771" s="64">
        <f ca="1">$K$771-EFEITO!$M$771*EFEITO!$Z$771</f>
        <v>0</v>
      </c>
      <c r="O771" s="64">
        <f>$L$771-EFEITO!$O$771*EFEITO!$AA$771</f>
        <v>0</v>
      </c>
      <c r="P771" s="19"/>
      <c r="Q771" s="19"/>
      <c r="R771" s="19"/>
      <c r="S771" s="19"/>
      <c r="T771" s="19"/>
      <c r="U771" s="19"/>
      <c r="V771" s="19"/>
      <c r="W771" s="19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55" t="s">
        <v>28</v>
      </c>
      <c r="B772" s="55" t="s">
        <v>41</v>
      </c>
      <c r="C772" s="55" t="s">
        <v>42</v>
      </c>
      <c r="D772" s="55" t="s">
        <v>43</v>
      </c>
      <c r="E772" s="55" t="s">
        <v>25</v>
      </c>
      <c r="F772" s="55" t="s">
        <v>25</v>
      </c>
      <c r="G772" s="55" t="s">
        <v>25</v>
      </c>
      <c r="H772" s="55" t="s">
        <v>35</v>
      </c>
      <c r="I772" s="63">
        <v>44621</v>
      </c>
      <c r="J772" s="64">
        <f>EFEITO!$J$772*EFEITO!$Y$772</f>
        <v>0</v>
      </c>
      <c r="K772" s="64">
        <f ca="1">EFEITO!$L$772*EFEITO!$Z$772</f>
        <v>62078.702888415464</v>
      </c>
      <c r="L772" s="64">
        <f>EFEITO!$N$772*EFEITO!$AA$772</f>
        <v>184748.60868890851</v>
      </c>
      <c r="M772" s="64">
        <f>$J$772-EFEITO!$K$772*EFEITO!$Y$772</f>
        <v>0</v>
      </c>
      <c r="N772" s="64">
        <f ca="1">$K$772-EFEITO!$M$772*EFEITO!$Z$772</f>
        <v>0</v>
      </c>
      <c r="O772" s="64">
        <f>$L$772-EFEITO!$O$772*EFEITO!$AA$772</f>
        <v>0</v>
      </c>
      <c r="P772" s="19"/>
      <c r="Q772" s="19"/>
      <c r="R772" s="19"/>
      <c r="S772" s="19"/>
      <c r="T772" s="19"/>
      <c r="U772" s="19"/>
      <c r="V772" s="19"/>
      <c r="W772" s="19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55" t="s">
        <v>21</v>
      </c>
      <c r="B773" s="55" t="s">
        <v>41</v>
      </c>
      <c r="C773" s="55" t="s">
        <v>42</v>
      </c>
      <c r="D773" s="55" t="s">
        <v>43</v>
      </c>
      <c r="E773" s="55" t="s">
        <v>25</v>
      </c>
      <c r="F773" s="55" t="s">
        <v>25</v>
      </c>
      <c r="G773" s="55" t="s">
        <v>25</v>
      </c>
      <c r="H773" s="55" t="s">
        <v>35</v>
      </c>
      <c r="I773" s="63">
        <v>44652</v>
      </c>
      <c r="J773" s="64">
        <f>EFEITO!$J$773*EFEITO!$Y$773</f>
        <v>0</v>
      </c>
      <c r="K773" s="64">
        <f ca="1">EFEITO!$L$773*EFEITO!$Z$773</f>
        <v>890098.9777629493</v>
      </c>
      <c r="L773" s="64">
        <f>EFEITO!$N$773*EFEITO!$AA$773</f>
        <v>2648968.8103295034</v>
      </c>
      <c r="M773" s="64">
        <f>$J$773-EFEITO!$K$773*EFEITO!$Y$773</f>
        <v>0</v>
      </c>
      <c r="N773" s="64">
        <f ca="1">$K$773-EFEITO!$M$773*EFEITO!$Z$773</f>
        <v>0</v>
      </c>
      <c r="O773" s="64">
        <f>$L$773-EFEITO!$O$773*EFEITO!$AA$773</f>
        <v>0</v>
      </c>
      <c r="P773" s="19"/>
      <c r="Q773" s="19"/>
      <c r="R773" s="19"/>
      <c r="S773" s="19"/>
      <c r="T773" s="19"/>
      <c r="U773" s="19"/>
      <c r="V773" s="19"/>
      <c r="W773" s="19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55" t="s">
        <v>27</v>
      </c>
      <c r="B774" s="55" t="s">
        <v>41</v>
      </c>
      <c r="C774" s="55" t="s">
        <v>42</v>
      </c>
      <c r="D774" s="55" t="s">
        <v>43</v>
      </c>
      <c r="E774" s="55" t="s">
        <v>25</v>
      </c>
      <c r="F774" s="55" t="s">
        <v>25</v>
      </c>
      <c r="G774" s="55" t="s">
        <v>25</v>
      </c>
      <c r="H774" s="55" t="s">
        <v>35</v>
      </c>
      <c r="I774" s="63">
        <v>44652</v>
      </c>
      <c r="J774" s="64">
        <f>EFEITO!$J$774*EFEITO!$Y$774</f>
        <v>0</v>
      </c>
      <c r="K774" s="64">
        <f ca="1">EFEITO!$L$774*EFEITO!$Z$774</f>
        <v>2456.6047908602263</v>
      </c>
      <c r="L774" s="64">
        <f>EFEITO!$N$774*EFEITO!$AA$774</f>
        <v>7310.9503918875844</v>
      </c>
      <c r="M774" s="64">
        <f>$J$774-EFEITO!$K$774*EFEITO!$Y$774</f>
        <v>0</v>
      </c>
      <c r="N774" s="64">
        <f ca="1">$K$774-EFEITO!$M$774*EFEITO!$Z$774</f>
        <v>0</v>
      </c>
      <c r="O774" s="64">
        <f>$L$774-EFEITO!$O$774*EFEITO!$AA$774</f>
        <v>0</v>
      </c>
      <c r="P774" s="19"/>
      <c r="Q774" s="19"/>
      <c r="R774" s="19"/>
      <c r="S774" s="19"/>
      <c r="T774" s="19"/>
      <c r="U774" s="19"/>
      <c r="V774" s="19"/>
      <c r="W774" s="19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55" t="s">
        <v>28</v>
      </c>
      <c r="B775" s="55" t="s">
        <v>41</v>
      </c>
      <c r="C775" s="55" t="s">
        <v>42</v>
      </c>
      <c r="D775" s="55" t="s">
        <v>43</v>
      </c>
      <c r="E775" s="55" t="s">
        <v>25</v>
      </c>
      <c r="F775" s="55" t="s">
        <v>25</v>
      </c>
      <c r="G775" s="55" t="s">
        <v>25</v>
      </c>
      <c r="H775" s="55" t="s">
        <v>35</v>
      </c>
      <c r="I775" s="63">
        <v>44652</v>
      </c>
      <c r="J775" s="64">
        <f>EFEITO!$J$775*EFEITO!$Y$775</f>
        <v>0</v>
      </c>
      <c r="K775" s="64">
        <f ca="1">EFEITO!$L$775*EFEITO!$Z$775</f>
        <v>54888.548913758852</v>
      </c>
      <c r="L775" s="64">
        <f>EFEITO!$N$775*EFEITO!$AA$775</f>
        <v>163350.43377110231</v>
      </c>
      <c r="M775" s="64">
        <f>$J$775-EFEITO!$K$775*EFEITO!$Y$775</f>
        <v>0</v>
      </c>
      <c r="N775" s="64">
        <f ca="1">$K$775-EFEITO!$M$775*EFEITO!$Z$775</f>
        <v>0</v>
      </c>
      <c r="O775" s="64">
        <f>$L$775-EFEITO!$O$775*EFEITO!$AA$775</f>
        <v>0</v>
      </c>
      <c r="P775" s="19"/>
      <c r="Q775" s="19"/>
      <c r="R775" s="19"/>
      <c r="S775" s="19"/>
      <c r="T775" s="19"/>
      <c r="U775" s="19"/>
      <c r="V775" s="19"/>
      <c r="W775" s="19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55" t="s">
        <v>28</v>
      </c>
      <c r="B776" s="55" t="s">
        <v>41</v>
      </c>
      <c r="C776" s="55" t="s">
        <v>42</v>
      </c>
      <c r="D776" s="55" t="s">
        <v>43</v>
      </c>
      <c r="E776" s="55" t="s">
        <v>25</v>
      </c>
      <c r="F776" s="55" t="s">
        <v>25</v>
      </c>
      <c r="G776" s="55" t="s">
        <v>25</v>
      </c>
      <c r="H776" s="55" t="s">
        <v>35</v>
      </c>
      <c r="I776" s="63">
        <v>44652</v>
      </c>
      <c r="J776" s="64">
        <f>EFEITO!$J$776*EFEITO!$Y$776</f>
        <v>0</v>
      </c>
      <c r="K776" s="64">
        <f ca="1">EFEITO!$L$776*EFEITO!$Z$776</f>
        <v>99.993043317943588</v>
      </c>
      <c r="L776" s="64">
        <f>EFEITO!$N$776*EFEITO!$AA$776</f>
        <v>297.58314481482512</v>
      </c>
      <c r="M776" s="64">
        <f>$J$776-EFEITO!$K$776*EFEITO!$Y$776</f>
        <v>0</v>
      </c>
      <c r="N776" s="64">
        <f ca="1">$K$776-EFEITO!$M$776*EFEITO!$Z$776</f>
        <v>0</v>
      </c>
      <c r="O776" s="64">
        <f>$L$776-EFEITO!$O$776*EFEITO!$AA$776</f>
        <v>0</v>
      </c>
      <c r="P776" s="19"/>
      <c r="Q776" s="19"/>
      <c r="R776" s="19"/>
      <c r="S776" s="19"/>
      <c r="T776" s="19"/>
      <c r="U776" s="19"/>
      <c r="V776" s="19"/>
      <c r="W776" s="19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55" t="s">
        <v>21</v>
      </c>
      <c r="B777" s="55" t="s">
        <v>41</v>
      </c>
      <c r="C777" s="55" t="s">
        <v>42</v>
      </c>
      <c r="D777" s="55" t="s">
        <v>43</v>
      </c>
      <c r="E777" s="55" t="s">
        <v>25</v>
      </c>
      <c r="F777" s="55" t="s">
        <v>25</v>
      </c>
      <c r="G777" s="55" t="s">
        <v>25</v>
      </c>
      <c r="H777" s="55" t="s">
        <v>35</v>
      </c>
      <c r="I777" s="63">
        <v>44682</v>
      </c>
      <c r="J777" s="64">
        <f>EFEITO!$J$777*EFEITO!$Y$777</f>
        <v>0</v>
      </c>
      <c r="K777" s="64">
        <f ca="1">EFEITO!$L$777*EFEITO!$Z$777</f>
        <v>881913.41017482709</v>
      </c>
      <c r="L777" s="64">
        <f>EFEITO!$N$777*EFEITO!$AA$777</f>
        <v>2624608.246192832</v>
      </c>
      <c r="M777" s="64">
        <f>$J$777-EFEITO!$K$777*EFEITO!$Y$777</f>
        <v>0</v>
      </c>
      <c r="N777" s="64">
        <f ca="1">$K$777-EFEITO!$M$777*EFEITO!$Z$777</f>
        <v>0</v>
      </c>
      <c r="O777" s="64">
        <f>$L$777-EFEITO!$O$777*EFEITO!$AA$777</f>
        <v>0</v>
      </c>
      <c r="P777" s="19"/>
      <c r="Q777" s="19"/>
      <c r="R777" s="19"/>
      <c r="S777" s="19"/>
      <c r="T777" s="19"/>
      <c r="U777" s="19"/>
      <c r="V777" s="19"/>
      <c r="W777" s="19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55" t="s">
        <v>27</v>
      </c>
      <c r="B778" s="55" t="s">
        <v>41</v>
      </c>
      <c r="C778" s="55" t="s">
        <v>42</v>
      </c>
      <c r="D778" s="55" t="s">
        <v>43</v>
      </c>
      <c r="E778" s="55" t="s">
        <v>25</v>
      </c>
      <c r="F778" s="55" t="s">
        <v>25</v>
      </c>
      <c r="G778" s="55" t="s">
        <v>25</v>
      </c>
      <c r="H778" s="55" t="s">
        <v>35</v>
      </c>
      <c r="I778" s="63">
        <v>44682</v>
      </c>
      <c r="J778" s="64">
        <f>EFEITO!$J$778*EFEITO!$Y$778</f>
        <v>0</v>
      </c>
      <c r="K778" s="64">
        <f ca="1">EFEITO!$L$778*EFEITO!$Z$778</f>
        <v>269.52953498707376</v>
      </c>
      <c r="L778" s="64">
        <f>EFEITO!$N$778*EFEITO!$AA$778</f>
        <v>802.1302680717364</v>
      </c>
      <c r="M778" s="64">
        <f>$J$778-EFEITO!$K$778*EFEITO!$Y$778</f>
        <v>0</v>
      </c>
      <c r="N778" s="64">
        <f ca="1">$K$778-EFEITO!$M$778*EFEITO!$Z$778</f>
        <v>0</v>
      </c>
      <c r="O778" s="64">
        <f>$L$778-EFEITO!$O$778*EFEITO!$AA$778</f>
        <v>0</v>
      </c>
      <c r="P778" s="19"/>
      <c r="Q778" s="19"/>
      <c r="R778" s="19"/>
      <c r="S778" s="19"/>
      <c r="T778" s="19"/>
      <c r="U778" s="19"/>
      <c r="V778" s="19"/>
      <c r="W778" s="19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55" t="s">
        <v>28</v>
      </c>
      <c r="B779" s="55" t="s">
        <v>41</v>
      </c>
      <c r="C779" s="55" t="s">
        <v>42</v>
      </c>
      <c r="D779" s="55" t="s">
        <v>43</v>
      </c>
      <c r="E779" s="55" t="s">
        <v>25</v>
      </c>
      <c r="F779" s="55" t="s">
        <v>25</v>
      </c>
      <c r="G779" s="55" t="s">
        <v>25</v>
      </c>
      <c r="H779" s="55" t="s">
        <v>35</v>
      </c>
      <c r="I779" s="63">
        <v>44682</v>
      </c>
      <c r="J779" s="64">
        <f>EFEITO!$J$779*EFEITO!$Y$779</f>
        <v>0</v>
      </c>
      <c r="K779" s="64">
        <f ca="1">EFEITO!$L$779*EFEITO!$Z$779</f>
        <v>64033.629186242833</v>
      </c>
      <c r="L779" s="64">
        <f>EFEITO!$N$779*EFEITO!$AA$779</f>
        <v>190566.54458009746</v>
      </c>
      <c r="M779" s="64">
        <f>$J$779-EFEITO!$K$779*EFEITO!$Y$779</f>
        <v>0</v>
      </c>
      <c r="N779" s="64">
        <f ca="1">$K$779-EFEITO!$M$779*EFEITO!$Z$779</f>
        <v>0</v>
      </c>
      <c r="O779" s="64">
        <f>$L$779-EFEITO!$O$779*EFEITO!$AA$779</f>
        <v>0</v>
      </c>
      <c r="P779" s="19"/>
      <c r="Q779" s="19"/>
      <c r="R779" s="19"/>
      <c r="S779" s="19"/>
      <c r="T779" s="19"/>
      <c r="U779" s="19"/>
      <c r="V779" s="19"/>
      <c r="W779" s="19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55" t="s">
        <v>21</v>
      </c>
      <c r="B780" s="55" t="s">
        <v>41</v>
      </c>
      <c r="C780" s="55" t="s">
        <v>42</v>
      </c>
      <c r="D780" s="55" t="s">
        <v>43</v>
      </c>
      <c r="E780" s="55" t="s">
        <v>25</v>
      </c>
      <c r="F780" s="55" t="s">
        <v>25</v>
      </c>
      <c r="G780" s="55" t="s">
        <v>25</v>
      </c>
      <c r="H780" s="55" t="s">
        <v>35</v>
      </c>
      <c r="I780" s="63">
        <v>44713</v>
      </c>
      <c r="J780" s="64">
        <f>EFEITO!$J$780*EFEITO!$Y$780</f>
        <v>0</v>
      </c>
      <c r="K780" s="64">
        <f ca="1">EFEITO!$L$780*EFEITO!$Z$780</f>
        <v>794058.07381832541</v>
      </c>
      <c r="L780" s="64">
        <f>EFEITO!$N$780*EFEITO!$AA$780</f>
        <v>2363147.3843746535</v>
      </c>
      <c r="M780" s="64">
        <f>$J$780-EFEITO!$K$780*EFEITO!$Y$780</f>
        <v>0</v>
      </c>
      <c r="N780" s="64">
        <f ca="1">$K$780-EFEITO!$M$780*EFEITO!$Z$780</f>
        <v>0</v>
      </c>
      <c r="O780" s="64">
        <f>$L$780-EFEITO!$O$780*EFEITO!$AA$780</f>
        <v>0</v>
      </c>
      <c r="P780" s="19"/>
      <c r="Q780" s="19"/>
      <c r="R780" s="19"/>
      <c r="S780" s="19"/>
      <c r="T780" s="19"/>
      <c r="U780" s="19"/>
      <c r="V780" s="19"/>
      <c r="W780" s="19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55" t="s">
        <v>27</v>
      </c>
      <c r="B781" s="55" t="s">
        <v>41</v>
      </c>
      <c r="C781" s="55" t="s">
        <v>42</v>
      </c>
      <c r="D781" s="55" t="s">
        <v>43</v>
      </c>
      <c r="E781" s="55" t="s">
        <v>25</v>
      </c>
      <c r="F781" s="55" t="s">
        <v>25</v>
      </c>
      <c r="G781" s="55" t="s">
        <v>25</v>
      </c>
      <c r="H781" s="55" t="s">
        <v>35</v>
      </c>
      <c r="I781" s="63">
        <v>44713</v>
      </c>
      <c r="J781" s="64">
        <f>EFEITO!$J$781*EFEITO!$Y$781</f>
        <v>0</v>
      </c>
      <c r="K781" s="64">
        <f ca="1">EFEITO!$L$781*EFEITO!$Z$781</f>
        <v>189.86218038095521</v>
      </c>
      <c r="L781" s="64">
        <f>EFEITO!$N$781*EFEITO!$AA$781</f>
        <v>565.03715503001843</v>
      </c>
      <c r="M781" s="64">
        <f>$J$781-EFEITO!$K$781*EFEITO!$Y$781</f>
        <v>0</v>
      </c>
      <c r="N781" s="64">
        <f ca="1">$K$781-EFEITO!$M$781*EFEITO!$Z$781</f>
        <v>0</v>
      </c>
      <c r="O781" s="64">
        <f>$L$781-EFEITO!$O$781*EFEITO!$AA$781</f>
        <v>0</v>
      </c>
      <c r="P781" s="19"/>
      <c r="Q781" s="19"/>
      <c r="R781" s="19"/>
      <c r="S781" s="19"/>
      <c r="T781" s="19"/>
      <c r="U781" s="19"/>
      <c r="V781" s="19"/>
      <c r="W781" s="19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55" t="s">
        <v>28</v>
      </c>
      <c r="B782" s="55" t="s">
        <v>41</v>
      </c>
      <c r="C782" s="55" t="s">
        <v>42</v>
      </c>
      <c r="D782" s="55" t="s">
        <v>43</v>
      </c>
      <c r="E782" s="55" t="s">
        <v>25</v>
      </c>
      <c r="F782" s="55" t="s">
        <v>25</v>
      </c>
      <c r="G782" s="55" t="s">
        <v>25</v>
      </c>
      <c r="H782" s="55" t="s">
        <v>35</v>
      </c>
      <c r="I782" s="63">
        <v>44713</v>
      </c>
      <c r="J782" s="64">
        <f>EFEITO!$J$782*EFEITO!$Y$782</f>
        <v>0</v>
      </c>
      <c r="K782" s="64">
        <f ca="1">EFEITO!$L$782*EFEITO!$Z$782</f>
        <v>54044.44876070341</v>
      </c>
      <c r="L782" s="64">
        <f>EFEITO!$N$782*EFEITO!$AA$782</f>
        <v>160838.35923321458</v>
      </c>
      <c r="M782" s="64">
        <f>$J$782-EFEITO!$K$782*EFEITO!$Y$782</f>
        <v>0</v>
      </c>
      <c r="N782" s="64">
        <f ca="1">$K$782-EFEITO!$M$782*EFEITO!$Z$782</f>
        <v>0</v>
      </c>
      <c r="O782" s="64">
        <f>$L$782-EFEITO!$O$782*EFEITO!$AA$782</f>
        <v>0</v>
      </c>
      <c r="P782" s="19"/>
      <c r="Q782" s="19"/>
      <c r="R782" s="19"/>
      <c r="S782" s="19"/>
      <c r="T782" s="19"/>
      <c r="U782" s="19"/>
      <c r="V782" s="19"/>
      <c r="W782" s="19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55" t="s">
        <v>28</v>
      </c>
      <c r="B783" s="55" t="s">
        <v>41</v>
      </c>
      <c r="C783" s="55" t="s">
        <v>42</v>
      </c>
      <c r="D783" s="55" t="s">
        <v>43</v>
      </c>
      <c r="E783" s="55" t="s">
        <v>25</v>
      </c>
      <c r="F783" s="55" t="s">
        <v>25</v>
      </c>
      <c r="G783" s="55" t="s">
        <v>25</v>
      </c>
      <c r="H783" s="55" t="s">
        <v>35</v>
      </c>
      <c r="I783" s="63">
        <v>44713</v>
      </c>
      <c r="J783" s="64">
        <f>EFEITO!$J$783*EFEITO!$Y$783</f>
        <v>0</v>
      </c>
      <c r="K783" s="64">
        <f ca="1">EFEITO!$L$783*EFEITO!$Z$783</f>
        <v>-789.19743067292859</v>
      </c>
      <c r="L783" s="64">
        <f>EFEITO!$N$783*EFEITO!$AA$783</f>
        <v>-2348.6819233282222</v>
      </c>
      <c r="M783" s="64">
        <f>$J$783-EFEITO!$K$783*EFEITO!$Y$783</f>
        <v>0</v>
      </c>
      <c r="N783" s="64">
        <f ca="1">$K$783-EFEITO!$M$783*EFEITO!$Z$783</f>
        <v>0</v>
      </c>
      <c r="O783" s="64">
        <f>$L$783-EFEITO!$O$783*EFEITO!$AA$783</f>
        <v>0</v>
      </c>
      <c r="P783" s="19"/>
      <c r="Q783" s="19"/>
      <c r="R783" s="19"/>
      <c r="S783" s="19"/>
      <c r="T783" s="19"/>
      <c r="U783" s="19"/>
      <c r="V783" s="19"/>
      <c r="W783" s="19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55" t="s">
        <v>57</v>
      </c>
      <c r="B784" s="55" t="s">
        <v>41</v>
      </c>
      <c r="C784" s="55" t="s">
        <v>42</v>
      </c>
      <c r="D784" s="55" t="s">
        <v>43</v>
      </c>
      <c r="E784" s="55" t="s">
        <v>25</v>
      </c>
      <c r="F784" s="55" t="s">
        <v>25</v>
      </c>
      <c r="G784" s="55" t="s">
        <v>25</v>
      </c>
      <c r="H784" s="55" t="s">
        <v>35</v>
      </c>
      <c r="I784" s="63">
        <v>44743</v>
      </c>
      <c r="J784" s="64">
        <f>EFEITO!$J$784*EFEITO!$Y$784</f>
        <v>0</v>
      </c>
      <c r="K784" s="64">
        <f ca="1">EFEITO!$L$784*EFEITO!$Z$784</f>
        <v>794058.07381832541</v>
      </c>
      <c r="L784" s="64">
        <f>EFEITO!$N$784*EFEITO!$AA$784</f>
        <v>2363147.3843746535</v>
      </c>
      <c r="M784" s="64">
        <f>$J$784-EFEITO!$K$784*EFEITO!$Y$784</f>
        <v>0</v>
      </c>
      <c r="N784" s="64">
        <f ca="1">$K$784-EFEITO!$M$784*EFEITO!$Z$784</f>
        <v>0</v>
      </c>
      <c r="O784" s="64">
        <f>$L$784-EFEITO!$O$784*EFEITO!$AA$784</f>
        <v>0</v>
      </c>
      <c r="P784" s="19"/>
      <c r="Q784" s="19"/>
      <c r="R784" s="19"/>
      <c r="S784" s="19"/>
      <c r="T784" s="19"/>
      <c r="U784" s="19"/>
      <c r="V784" s="19"/>
      <c r="W784" s="19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55" t="s">
        <v>57</v>
      </c>
      <c r="B785" s="55" t="s">
        <v>41</v>
      </c>
      <c r="C785" s="55" t="s">
        <v>42</v>
      </c>
      <c r="D785" s="55" t="s">
        <v>43</v>
      </c>
      <c r="E785" s="55" t="s">
        <v>25</v>
      </c>
      <c r="F785" s="55" t="s">
        <v>25</v>
      </c>
      <c r="G785" s="55" t="s">
        <v>25</v>
      </c>
      <c r="H785" s="55" t="s">
        <v>35</v>
      </c>
      <c r="I785" s="63">
        <v>44743</v>
      </c>
      <c r="J785" s="64">
        <f>EFEITO!$J$785*EFEITO!$Y$785</f>
        <v>0</v>
      </c>
      <c r="K785" s="64">
        <f ca="1">EFEITO!$L$785*EFEITO!$Z$785</f>
        <v>189.86218038095521</v>
      </c>
      <c r="L785" s="64">
        <f>EFEITO!$N$785*EFEITO!$AA$785</f>
        <v>565.03715503001843</v>
      </c>
      <c r="M785" s="64">
        <f>$J$785-EFEITO!$K$785*EFEITO!$Y$785</f>
        <v>0</v>
      </c>
      <c r="N785" s="64">
        <f ca="1">$K$785-EFEITO!$M$785*EFEITO!$Z$785</f>
        <v>0</v>
      </c>
      <c r="O785" s="64">
        <f>$L$785-EFEITO!$O$785*EFEITO!$AA$785</f>
        <v>0</v>
      </c>
      <c r="P785" s="19"/>
      <c r="Q785" s="19"/>
      <c r="R785" s="19"/>
      <c r="S785" s="19"/>
      <c r="T785" s="19"/>
      <c r="U785" s="19"/>
      <c r="V785" s="19"/>
      <c r="W785" s="19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55" t="s">
        <v>57</v>
      </c>
      <c r="B786" s="55" t="s">
        <v>41</v>
      </c>
      <c r="C786" s="55" t="s">
        <v>42</v>
      </c>
      <c r="D786" s="55" t="s">
        <v>43</v>
      </c>
      <c r="E786" s="55" t="s">
        <v>25</v>
      </c>
      <c r="F786" s="55" t="s">
        <v>25</v>
      </c>
      <c r="G786" s="55" t="s">
        <v>25</v>
      </c>
      <c r="H786" s="55" t="s">
        <v>35</v>
      </c>
      <c r="I786" s="63">
        <v>44743</v>
      </c>
      <c r="J786" s="64">
        <f>EFEITO!$J$786*EFEITO!$Y$786</f>
        <v>0</v>
      </c>
      <c r="K786" s="64">
        <f ca="1">EFEITO!$L$786*EFEITO!$Z$786</f>
        <v>54044.44876070341</v>
      </c>
      <c r="L786" s="64">
        <f>EFEITO!$N$786*EFEITO!$AA$786</f>
        <v>160838.35923321458</v>
      </c>
      <c r="M786" s="64">
        <f>$J$786-EFEITO!$K$786*EFEITO!$Y$786</f>
        <v>0</v>
      </c>
      <c r="N786" s="64">
        <f ca="1">$K$786-EFEITO!$M$786*EFEITO!$Z$786</f>
        <v>0</v>
      </c>
      <c r="O786" s="64">
        <f>$L$786-EFEITO!$O$786*EFEITO!$AA$786</f>
        <v>0</v>
      </c>
      <c r="P786" s="19"/>
      <c r="Q786" s="19"/>
      <c r="R786" s="19"/>
      <c r="S786" s="19"/>
      <c r="T786" s="19"/>
      <c r="U786" s="19"/>
      <c r="V786" s="19"/>
      <c r="W786" s="19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55" t="s">
        <v>57</v>
      </c>
      <c r="B787" s="55" t="s">
        <v>41</v>
      </c>
      <c r="C787" s="55" t="s">
        <v>42</v>
      </c>
      <c r="D787" s="55" t="s">
        <v>43</v>
      </c>
      <c r="E787" s="55" t="s">
        <v>25</v>
      </c>
      <c r="F787" s="55" t="s">
        <v>25</v>
      </c>
      <c r="G787" s="55" t="s">
        <v>25</v>
      </c>
      <c r="H787" s="55" t="s">
        <v>35</v>
      </c>
      <c r="I787" s="63">
        <v>44743</v>
      </c>
      <c r="J787" s="64">
        <f>EFEITO!$J$787*EFEITO!$Y$787</f>
        <v>0</v>
      </c>
      <c r="K787" s="64">
        <f ca="1">EFEITO!$L$787*EFEITO!$Z$787</f>
        <v>-789.19743067292859</v>
      </c>
      <c r="L787" s="64">
        <f>EFEITO!$N$787*EFEITO!$AA$787</f>
        <v>-2348.6819233282222</v>
      </c>
      <c r="M787" s="64">
        <f>$J$787-EFEITO!$K$787*EFEITO!$Y$787</f>
        <v>0</v>
      </c>
      <c r="N787" s="64">
        <f ca="1">$K$787-EFEITO!$M$787*EFEITO!$Z$787</f>
        <v>0</v>
      </c>
      <c r="O787" s="64">
        <f>$L$787-EFEITO!$O$787*EFEITO!$AA$787</f>
        <v>0</v>
      </c>
      <c r="P787" s="19"/>
      <c r="Q787" s="19"/>
      <c r="R787" s="19"/>
      <c r="S787" s="19"/>
      <c r="T787" s="19"/>
      <c r="U787" s="19"/>
      <c r="V787" s="19"/>
      <c r="W787" s="19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55" t="s">
        <v>21</v>
      </c>
      <c r="B788" s="55" t="s">
        <v>41</v>
      </c>
      <c r="C788" s="55" t="s">
        <v>42</v>
      </c>
      <c r="D788" s="55" t="s">
        <v>43</v>
      </c>
      <c r="E788" s="55" t="s">
        <v>25</v>
      </c>
      <c r="F788" s="55" t="s">
        <v>25</v>
      </c>
      <c r="G788" s="55" t="s">
        <v>25</v>
      </c>
      <c r="H788" s="55" t="s">
        <v>25</v>
      </c>
      <c r="I788" s="63">
        <v>44409</v>
      </c>
      <c r="J788" s="64">
        <f ca="1">EFEITO!$J$788*EFEITO!$Y$788</f>
        <v>1391718.6597219708</v>
      </c>
      <c r="K788" s="64">
        <f>EFEITO!$L$788*EFEITO!$Z$788</f>
        <v>0</v>
      </c>
      <c r="L788" s="64">
        <f>EFEITO!$N$788*EFEITO!$AA$788</f>
        <v>0</v>
      </c>
      <c r="M788" s="64">
        <f ca="1">$J$788-EFEITO!$K$788*EFEITO!$Y$788</f>
        <v>0</v>
      </c>
      <c r="N788" s="64">
        <f>$K$788-EFEITO!$M$788*EFEITO!$Z$788</f>
        <v>0</v>
      </c>
      <c r="O788" s="64">
        <f>$L$788-EFEITO!$O$788*EFEITO!$AA$788</f>
        <v>0</v>
      </c>
      <c r="P788" s="19"/>
      <c r="Q788" s="19"/>
      <c r="R788" s="19"/>
      <c r="S788" s="19"/>
      <c r="T788" s="19"/>
      <c r="U788" s="19"/>
      <c r="V788" s="19"/>
      <c r="W788" s="19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55" t="s">
        <v>28</v>
      </c>
      <c r="B789" s="55" t="s">
        <v>41</v>
      </c>
      <c r="C789" s="55" t="s">
        <v>42</v>
      </c>
      <c r="D789" s="55" t="s">
        <v>43</v>
      </c>
      <c r="E789" s="55" t="s">
        <v>25</v>
      </c>
      <c r="F789" s="55" t="s">
        <v>25</v>
      </c>
      <c r="G789" s="55" t="s">
        <v>25</v>
      </c>
      <c r="H789" s="55" t="s">
        <v>25</v>
      </c>
      <c r="I789" s="63">
        <v>44409</v>
      </c>
      <c r="J789" s="64">
        <f ca="1">EFEITO!$J$789*EFEITO!$Y$789</f>
        <v>311945.54999149864</v>
      </c>
      <c r="K789" s="64">
        <f>EFEITO!$L$789*EFEITO!$Z$789</f>
        <v>0</v>
      </c>
      <c r="L789" s="64">
        <f>EFEITO!$N$789*EFEITO!$AA$789</f>
        <v>0</v>
      </c>
      <c r="M789" s="64">
        <f ca="1">$J$789-EFEITO!$K$789*EFEITO!$Y$789</f>
        <v>0</v>
      </c>
      <c r="N789" s="64">
        <f>$K$789-EFEITO!$M$789*EFEITO!$Z$789</f>
        <v>0</v>
      </c>
      <c r="O789" s="64">
        <f>$L$789-EFEITO!$O$789*EFEITO!$AA$789</f>
        <v>0</v>
      </c>
      <c r="P789" s="19"/>
      <c r="Q789" s="19"/>
      <c r="R789" s="19"/>
      <c r="S789" s="19"/>
      <c r="T789" s="19"/>
      <c r="U789" s="19"/>
      <c r="V789" s="19"/>
      <c r="W789" s="19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55" t="s">
        <v>28</v>
      </c>
      <c r="B790" s="55" t="s">
        <v>41</v>
      </c>
      <c r="C790" s="55" t="s">
        <v>42</v>
      </c>
      <c r="D790" s="55" t="s">
        <v>43</v>
      </c>
      <c r="E790" s="55" t="s">
        <v>25</v>
      </c>
      <c r="F790" s="55" t="s">
        <v>25</v>
      </c>
      <c r="G790" s="55" t="s">
        <v>25</v>
      </c>
      <c r="H790" s="55" t="s">
        <v>25</v>
      </c>
      <c r="I790" s="63">
        <v>44409</v>
      </c>
      <c r="J790" s="64">
        <f ca="1">EFEITO!$J$790*EFEITO!$Y$790</f>
        <v>4204.8262846368816</v>
      </c>
      <c r="K790" s="64">
        <f>EFEITO!$L$790*EFEITO!$Z$790</f>
        <v>0</v>
      </c>
      <c r="L790" s="64">
        <f>EFEITO!$N$790*EFEITO!$AA$790</f>
        <v>0</v>
      </c>
      <c r="M790" s="64">
        <f ca="1">$J$790-EFEITO!$K$790*EFEITO!$Y$790</f>
        <v>0</v>
      </c>
      <c r="N790" s="64">
        <f>$K$790-EFEITO!$M$790*EFEITO!$Z$790</f>
        <v>0</v>
      </c>
      <c r="O790" s="64">
        <f>$L$790-EFEITO!$O$790*EFEITO!$AA$790</f>
        <v>0</v>
      </c>
      <c r="P790" s="19"/>
      <c r="Q790" s="19"/>
      <c r="R790" s="19"/>
      <c r="S790" s="19"/>
      <c r="T790" s="19"/>
      <c r="U790" s="19"/>
      <c r="V790" s="19"/>
      <c r="W790" s="19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55" t="s">
        <v>21</v>
      </c>
      <c r="B791" s="55" t="s">
        <v>41</v>
      </c>
      <c r="C791" s="55" t="s">
        <v>42</v>
      </c>
      <c r="D791" s="55" t="s">
        <v>43</v>
      </c>
      <c r="E791" s="55" t="s">
        <v>25</v>
      </c>
      <c r="F791" s="55" t="s">
        <v>25</v>
      </c>
      <c r="G791" s="55" t="s">
        <v>25</v>
      </c>
      <c r="H791" s="55" t="s">
        <v>25</v>
      </c>
      <c r="I791" s="63">
        <v>44409</v>
      </c>
      <c r="J791" s="64">
        <f ca="1">EFEITO!$J$791*EFEITO!$Y$791</f>
        <v>3022.2188920827584</v>
      </c>
      <c r="K791" s="64">
        <f>EFEITO!$L$791*EFEITO!$Z$791</f>
        <v>0</v>
      </c>
      <c r="L791" s="64">
        <f>EFEITO!$N$791*EFEITO!$AA$791</f>
        <v>0</v>
      </c>
      <c r="M791" s="64">
        <f ca="1">$J$791-EFEITO!$K$791*EFEITO!$Y$791</f>
        <v>0</v>
      </c>
      <c r="N791" s="64">
        <f>$K$791-EFEITO!$M$791*EFEITO!$Z$791</f>
        <v>0</v>
      </c>
      <c r="O791" s="64">
        <f>$L$791-EFEITO!$O$791*EFEITO!$AA$791</f>
        <v>0</v>
      </c>
      <c r="P791" s="19"/>
      <c r="Q791" s="19"/>
      <c r="R791" s="19"/>
      <c r="S791" s="19"/>
      <c r="T791" s="19"/>
      <c r="U791" s="19"/>
      <c r="V791" s="19"/>
      <c r="W791" s="19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55" t="s">
        <v>21</v>
      </c>
      <c r="B792" s="55" t="s">
        <v>41</v>
      </c>
      <c r="C792" s="55" t="s">
        <v>42</v>
      </c>
      <c r="D792" s="55" t="s">
        <v>43</v>
      </c>
      <c r="E792" s="55" t="s">
        <v>25</v>
      </c>
      <c r="F792" s="55" t="s">
        <v>25</v>
      </c>
      <c r="G792" s="55" t="s">
        <v>25</v>
      </c>
      <c r="H792" s="55" t="s">
        <v>25</v>
      </c>
      <c r="I792" s="63">
        <v>44440</v>
      </c>
      <c r="J792" s="64">
        <f ca="1">EFEITO!$J$792*EFEITO!$Y$792</f>
        <v>1397710.5371775783</v>
      </c>
      <c r="K792" s="64">
        <f>EFEITO!$L$792*EFEITO!$Z$792</f>
        <v>0</v>
      </c>
      <c r="L792" s="64">
        <f>EFEITO!$N$792*EFEITO!$AA$792</f>
        <v>0</v>
      </c>
      <c r="M792" s="64">
        <f ca="1">$J$792-EFEITO!$K$792*EFEITO!$Y$792</f>
        <v>0</v>
      </c>
      <c r="N792" s="64">
        <f>$K$792-EFEITO!$M$792*EFEITO!$Z$792</f>
        <v>0</v>
      </c>
      <c r="O792" s="64">
        <f>$L$792-EFEITO!$O$792*EFEITO!$AA$792</f>
        <v>0</v>
      </c>
      <c r="P792" s="19"/>
      <c r="Q792" s="19"/>
      <c r="R792" s="19"/>
      <c r="S792" s="19"/>
      <c r="T792" s="19"/>
      <c r="U792" s="19"/>
      <c r="V792" s="19"/>
      <c r="W792" s="19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55" t="s">
        <v>28</v>
      </c>
      <c r="B793" s="55" t="s">
        <v>41</v>
      </c>
      <c r="C793" s="55" t="s">
        <v>42</v>
      </c>
      <c r="D793" s="55" t="s">
        <v>43</v>
      </c>
      <c r="E793" s="55" t="s">
        <v>25</v>
      </c>
      <c r="F793" s="55" t="s">
        <v>25</v>
      </c>
      <c r="G793" s="55" t="s">
        <v>25</v>
      </c>
      <c r="H793" s="55" t="s">
        <v>25</v>
      </c>
      <c r="I793" s="63">
        <v>44440</v>
      </c>
      <c r="J793" s="64">
        <f ca="1">EFEITO!$J$793*EFEITO!$Y$793</f>
        <v>329894.90219404228</v>
      </c>
      <c r="K793" s="64">
        <f>EFEITO!$L$793*EFEITO!$Z$793</f>
        <v>0</v>
      </c>
      <c r="L793" s="64">
        <f>EFEITO!$N$793*EFEITO!$AA$793</f>
        <v>0</v>
      </c>
      <c r="M793" s="64">
        <f ca="1">$J$793-EFEITO!$K$793*EFEITO!$Y$793</f>
        <v>0</v>
      </c>
      <c r="N793" s="64">
        <f>$K$793-EFEITO!$M$793*EFEITO!$Z$793</f>
        <v>0</v>
      </c>
      <c r="O793" s="64">
        <f>$L$793-EFEITO!$O$793*EFEITO!$AA$793</f>
        <v>0</v>
      </c>
      <c r="P793" s="19"/>
      <c r="Q793" s="19"/>
      <c r="R793" s="19"/>
      <c r="S793" s="19"/>
      <c r="T793" s="19"/>
      <c r="U793" s="19"/>
      <c r="V793" s="19"/>
      <c r="W793" s="19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55" t="s">
        <v>21</v>
      </c>
      <c r="B794" s="55" t="s">
        <v>41</v>
      </c>
      <c r="C794" s="55" t="s">
        <v>42</v>
      </c>
      <c r="D794" s="55" t="s">
        <v>43</v>
      </c>
      <c r="E794" s="55" t="s">
        <v>25</v>
      </c>
      <c r="F794" s="55" t="s">
        <v>25</v>
      </c>
      <c r="G794" s="55" t="s">
        <v>25</v>
      </c>
      <c r="H794" s="55" t="s">
        <v>25</v>
      </c>
      <c r="I794" s="63">
        <v>44440</v>
      </c>
      <c r="J794" s="64">
        <f ca="1">EFEITO!$J$794*EFEITO!$Y$794</f>
        <v>8015.4501050890549</v>
      </c>
      <c r="K794" s="64">
        <f>EFEITO!$L$794*EFEITO!$Z$794</f>
        <v>0</v>
      </c>
      <c r="L794" s="64">
        <f>EFEITO!$N$794*EFEITO!$AA$794</f>
        <v>0</v>
      </c>
      <c r="M794" s="64">
        <f ca="1">$J$794-EFEITO!$K$794*EFEITO!$Y$794</f>
        <v>0</v>
      </c>
      <c r="N794" s="64">
        <f>$K$794-EFEITO!$M$794*EFEITO!$Z$794</f>
        <v>0</v>
      </c>
      <c r="O794" s="64">
        <f>$L$794-EFEITO!$O$794*EFEITO!$AA$794</f>
        <v>0</v>
      </c>
      <c r="P794" s="19"/>
      <c r="Q794" s="19"/>
      <c r="R794" s="19"/>
      <c r="S794" s="19"/>
      <c r="T794" s="19"/>
      <c r="U794" s="19"/>
      <c r="V794" s="19"/>
      <c r="W794" s="19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55" t="s">
        <v>21</v>
      </c>
      <c r="B795" s="55" t="s">
        <v>41</v>
      </c>
      <c r="C795" s="55" t="s">
        <v>42</v>
      </c>
      <c r="D795" s="55" t="s">
        <v>43</v>
      </c>
      <c r="E795" s="55" t="s">
        <v>25</v>
      </c>
      <c r="F795" s="55" t="s">
        <v>25</v>
      </c>
      <c r="G795" s="55" t="s">
        <v>25</v>
      </c>
      <c r="H795" s="55" t="s">
        <v>25</v>
      </c>
      <c r="I795" s="63">
        <v>44470</v>
      </c>
      <c r="J795" s="64">
        <f ca="1">EFEITO!$J$795*EFEITO!$Y$795</f>
        <v>1413583.7564020825</v>
      </c>
      <c r="K795" s="64">
        <f>EFEITO!$L$795*EFEITO!$Z$795</f>
        <v>0</v>
      </c>
      <c r="L795" s="64">
        <f>EFEITO!$N$795*EFEITO!$AA$795</f>
        <v>0</v>
      </c>
      <c r="M795" s="64">
        <f ca="1">$J$795-EFEITO!$K$795*EFEITO!$Y$795</f>
        <v>0</v>
      </c>
      <c r="N795" s="64">
        <f>$K$795-EFEITO!$M$795*EFEITO!$Z$795</f>
        <v>0</v>
      </c>
      <c r="O795" s="64">
        <f>$L$795-EFEITO!$O$795*EFEITO!$AA$795</f>
        <v>0</v>
      </c>
      <c r="P795" s="19"/>
      <c r="Q795" s="19"/>
      <c r="R795" s="19"/>
      <c r="S795" s="19"/>
      <c r="T795" s="19"/>
      <c r="U795" s="19"/>
      <c r="V795" s="19"/>
      <c r="W795" s="19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55" t="s">
        <v>27</v>
      </c>
      <c r="B796" s="55" t="s">
        <v>41</v>
      </c>
      <c r="C796" s="55" t="s">
        <v>42</v>
      </c>
      <c r="D796" s="55" t="s">
        <v>43</v>
      </c>
      <c r="E796" s="55" t="s">
        <v>25</v>
      </c>
      <c r="F796" s="55" t="s">
        <v>25</v>
      </c>
      <c r="G796" s="55" t="s">
        <v>25</v>
      </c>
      <c r="H796" s="55" t="s">
        <v>25</v>
      </c>
      <c r="I796" s="63">
        <v>44470</v>
      </c>
      <c r="J796" s="64">
        <f ca="1">EFEITO!$J$796*EFEITO!$Y$796</f>
        <v>-15715.538238830344</v>
      </c>
      <c r="K796" s="64">
        <f>EFEITO!$L$796*EFEITO!$Z$796</f>
        <v>0</v>
      </c>
      <c r="L796" s="64">
        <f>EFEITO!$N$796*EFEITO!$AA$796</f>
        <v>0</v>
      </c>
      <c r="M796" s="64">
        <f ca="1">$J$796-EFEITO!$K$796*EFEITO!$Y$796</f>
        <v>0</v>
      </c>
      <c r="N796" s="64">
        <f>$K$796-EFEITO!$M$796*EFEITO!$Z$796</f>
        <v>0</v>
      </c>
      <c r="O796" s="64">
        <f>$L$796-EFEITO!$O$796*EFEITO!$AA$796</f>
        <v>0</v>
      </c>
      <c r="P796" s="19"/>
      <c r="Q796" s="19"/>
      <c r="R796" s="19"/>
      <c r="S796" s="19"/>
      <c r="T796" s="19"/>
      <c r="U796" s="19"/>
      <c r="V796" s="19"/>
      <c r="W796" s="19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55" t="s">
        <v>28</v>
      </c>
      <c r="B797" s="55" t="s">
        <v>41</v>
      </c>
      <c r="C797" s="55" t="s">
        <v>42</v>
      </c>
      <c r="D797" s="55" t="s">
        <v>43</v>
      </c>
      <c r="E797" s="55" t="s">
        <v>25</v>
      </c>
      <c r="F797" s="55" t="s">
        <v>25</v>
      </c>
      <c r="G797" s="55" t="s">
        <v>25</v>
      </c>
      <c r="H797" s="55" t="s">
        <v>25</v>
      </c>
      <c r="I797" s="63">
        <v>44470</v>
      </c>
      <c r="J797" s="64">
        <f ca="1">EFEITO!$J$797*EFEITO!$Y$797</f>
        <v>328528.33365153533</v>
      </c>
      <c r="K797" s="64">
        <f>EFEITO!$L$797*EFEITO!$Z$797</f>
        <v>0</v>
      </c>
      <c r="L797" s="64">
        <f>EFEITO!$N$797*EFEITO!$AA$797</f>
        <v>0</v>
      </c>
      <c r="M797" s="64">
        <f ca="1">$J$797-EFEITO!$K$797*EFEITO!$Y$797</f>
        <v>0</v>
      </c>
      <c r="N797" s="64">
        <f>$K$797-EFEITO!$M$797*EFEITO!$Z$797</f>
        <v>0</v>
      </c>
      <c r="O797" s="64">
        <f>$L$797-EFEITO!$O$797*EFEITO!$AA$797</f>
        <v>0</v>
      </c>
      <c r="P797" s="19"/>
      <c r="Q797" s="19"/>
      <c r="R797" s="19"/>
      <c r="S797" s="19"/>
      <c r="T797" s="19"/>
      <c r="U797" s="19"/>
      <c r="V797" s="19"/>
      <c r="W797" s="19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55" t="s">
        <v>21</v>
      </c>
      <c r="B798" s="55" t="s">
        <v>41</v>
      </c>
      <c r="C798" s="55" t="s">
        <v>42</v>
      </c>
      <c r="D798" s="55" t="s">
        <v>43</v>
      </c>
      <c r="E798" s="55" t="s">
        <v>25</v>
      </c>
      <c r="F798" s="55" t="s">
        <v>25</v>
      </c>
      <c r="G798" s="55" t="s">
        <v>25</v>
      </c>
      <c r="H798" s="55" t="s">
        <v>25</v>
      </c>
      <c r="I798" s="63">
        <v>44470</v>
      </c>
      <c r="J798" s="64">
        <f ca="1">EFEITO!$J$798*EFEITO!$Y$798</f>
        <v>5650.2353199808094</v>
      </c>
      <c r="K798" s="64">
        <f>EFEITO!$L$798*EFEITO!$Z$798</f>
        <v>0</v>
      </c>
      <c r="L798" s="64">
        <f>EFEITO!$N$798*EFEITO!$AA$798</f>
        <v>0</v>
      </c>
      <c r="M798" s="64">
        <f ca="1">$J$798-EFEITO!$K$798*EFEITO!$Y$798</f>
        <v>0</v>
      </c>
      <c r="N798" s="64">
        <f>$K$798-EFEITO!$M$798*EFEITO!$Z$798</f>
        <v>0</v>
      </c>
      <c r="O798" s="64">
        <f>$L$798-EFEITO!$O$798*EFEITO!$AA$798</f>
        <v>0</v>
      </c>
      <c r="P798" s="19"/>
      <c r="Q798" s="19"/>
      <c r="R798" s="19"/>
      <c r="S798" s="19"/>
      <c r="T798" s="19"/>
      <c r="U798" s="19"/>
      <c r="V798" s="19"/>
      <c r="W798" s="19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55" t="s">
        <v>21</v>
      </c>
      <c r="B799" s="55" t="s">
        <v>41</v>
      </c>
      <c r="C799" s="55" t="s">
        <v>42</v>
      </c>
      <c r="D799" s="55" t="s">
        <v>43</v>
      </c>
      <c r="E799" s="55" t="s">
        <v>25</v>
      </c>
      <c r="F799" s="55" t="s">
        <v>25</v>
      </c>
      <c r="G799" s="55" t="s">
        <v>25</v>
      </c>
      <c r="H799" s="55" t="s">
        <v>25</v>
      </c>
      <c r="I799" s="63">
        <v>44501</v>
      </c>
      <c r="J799" s="64">
        <f ca="1">EFEITO!$J$799*EFEITO!$Y$799</f>
        <v>1408774.4863390292</v>
      </c>
      <c r="K799" s="64">
        <f>EFEITO!$L$799*EFEITO!$Z$799</f>
        <v>0</v>
      </c>
      <c r="L799" s="64">
        <f>EFEITO!$N$799*EFEITO!$AA$799</f>
        <v>0</v>
      </c>
      <c r="M799" s="64">
        <f ca="1">$J$799-EFEITO!$K$799*EFEITO!$Y$799</f>
        <v>0</v>
      </c>
      <c r="N799" s="64">
        <f>$K$799-EFEITO!$M$799*EFEITO!$Z$799</f>
        <v>0</v>
      </c>
      <c r="O799" s="64">
        <f>$L$799-EFEITO!$O$799*EFEITO!$AA$799</f>
        <v>0</v>
      </c>
      <c r="P799" s="19"/>
      <c r="Q799" s="19"/>
      <c r="R799" s="19"/>
      <c r="S799" s="19"/>
      <c r="T799" s="19"/>
      <c r="U799" s="19"/>
      <c r="V799" s="19"/>
      <c r="W799" s="19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55" t="s">
        <v>27</v>
      </c>
      <c r="B800" s="55" t="s">
        <v>41</v>
      </c>
      <c r="C800" s="55" t="s">
        <v>42</v>
      </c>
      <c r="D800" s="55" t="s">
        <v>43</v>
      </c>
      <c r="E800" s="55" t="s">
        <v>25</v>
      </c>
      <c r="F800" s="55" t="s">
        <v>25</v>
      </c>
      <c r="G800" s="55" t="s">
        <v>25</v>
      </c>
      <c r="H800" s="55" t="s">
        <v>25</v>
      </c>
      <c r="I800" s="63">
        <v>44501</v>
      </c>
      <c r="J800" s="64">
        <f ca="1">EFEITO!$J$800*EFEITO!$Y$800</f>
        <v>-16346.262181525875</v>
      </c>
      <c r="K800" s="64">
        <f>EFEITO!$L$800*EFEITO!$Z$800</f>
        <v>0</v>
      </c>
      <c r="L800" s="64">
        <f>EFEITO!$N$800*EFEITO!$AA$800</f>
        <v>0</v>
      </c>
      <c r="M800" s="64">
        <f ca="1">$J$800-EFEITO!$K$800*EFEITO!$Y$800</f>
        <v>0</v>
      </c>
      <c r="N800" s="64">
        <f>$K$800-EFEITO!$M$800*EFEITO!$Z$800</f>
        <v>0</v>
      </c>
      <c r="O800" s="64">
        <f>$L$800-EFEITO!$O$800*EFEITO!$AA$800</f>
        <v>0</v>
      </c>
      <c r="P800" s="19"/>
      <c r="Q800" s="19"/>
      <c r="R800" s="19"/>
      <c r="S800" s="19"/>
      <c r="T800" s="19"/>
      <c r="U800" s="19"/>
      <c r="V800" s="19"/>
      <c r="W800" s="19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55" t="s">
        <v>28</v>
      </c>
      <c r="B801" s="55" t="s">
        <v>41</v>
      </c>
      <c r="C801" s="55" t="s">
        <v>42</v>
      </c>
      <c r="D801" s="55" t="s">
        <v>43</v>
      </c>
      <c r="E801" s="55" t="s">
        <v>25</v>
      </c>
      <c r="F801" s="55" t="s">
        <v>25</v>
      </c>
      <c r="G801" s="55" t="s">
        <v>25</v>
      </c>
      <c r="H801" s="55" t="s">
        <v>25</v>
      </c>
      <c r="I801" s="63">
        <v>44501</v>
      </c>
      <c r="J801" s="64">
        <f ca="1">EFEITO!$J$801*EFEITO!$Y$801</f>
        <v>335650.25817113905</v>
      </c>
      <c r="K801" s="64">
        <f>EFEITO!$L$801*EFEITO!$Z$801</f>
        <v>0</v>
      </c>
      <c r="L801" s="64">
        <f>EFEITO!$N$801*EFEITO!$AA$801</f>
        <v>0</v>
      </c>
      <c r="M801" s="64">
        <f ca="1">$J$801-EFEITO!$K$801*EFEITO!$Y$801</f>
        <v>0</v>
      </c>
      <c r="N801" s="64">
        <f>$K$801-EFEITO!$M$801*EFEITO!$Z$801</f>
        <v>0</v>
      </c>
      <c r="O801" s="64">
        <f>$L$801-EFEITO!$O$801*EFEITO!$AA$801</f>
        <v>0</v>
      </c>
      <c r="P801" s="19"/>
      <c r="Q801" s="19"/>
      <c r="R801" s="19"/>
      <c r="S801" s="19"/>
      <c r="T801" s="19"/>
      <c r="U801" s="19"/>
      <c r="V801" s="19"/>
      <c r="W801" s="19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55" t="s">
        <v>21</v>
      </c>
      <c r="B802" s="55" t="s">
        <v>41</v>
      </c>
      <c r="C802" s="55" t="s">
        <v>42</v>
      </c>
      <c r="D802" s="55" t="s">
        <v>43</v>
      </c>
      <c r="E802" s="55" t="s">
        <v>25</v>
      </c>
      <c r="F802" s="55" t="s">
        <v>25</v>
      </c>
      <c r="G802" s="55" t="s">
        <v>25</v>
      </c>
      <c r="H802" s="55" t="s">
        <v>25</v>
      </c>
      <c r="I802" s="63">
        <v>44501</v>
      </c>
      <c r="J802" s="64">
        <f ca="1">EFEITO!$J$802*EFEITO!$Y$802</f>
        <v>3022.2188920827584</v>
      </c>
      <c r="K802" s="64">
        <f>EFEITO!$L$802*EFEITO!$Z$802</f>
        <v>0</v>
      </c>
      <c r="L802" s="64">
        <f>EFEITO!$N$802*EFEITO!$AA$802</f>
        <v>0</v>
      </c>
      <c r="M802" s="64">
        <f ca="1">$J$802-EFEITO!$K$802*EFEITO!$Y$802</f>
        <v>0</v>
      </c>
      <c r="N802" s="64">
        <f>$K$802-EFEITO!$M$802*EFEITO!$Z$802</f>
        <v>0</v>
      </c>
      <c r="O802" s="64">
        <f>$L$802-EFEITO!$O$802*EFEITO!$AA$802</f>
        <v>0</v>
      </c>
      <c r="P802" s="19"/>
      <c r="Q802" s="19"/>
      <c r="R802" s="19"/>
      <c r="S802" s="19"/>
      <c r="T802" s="19"/>
      <c r="U802" s="19"/>
      <c r="V802" s="19"/>
      <c r="W802" s="19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55" t="s">
        <v>21</v>
      </c>
      <c r="B803" s="55" t="s">
        <v>41</v>
      </c>
      <c r="C803" s="55" t="s">
        <v>42</v>
      </c>
      <c r="D803" s="55" t="s">
        <v>43</v>
      </c>
      <c r="E803" s="55" t="s">
        <v>25</v>
      </c>
      <c r="F803" s="55" t="s">
        <v>25</v>
      </c>
      <c r="G803" s="55" t="s">
        <v>25</v>
      </c>
      <c r="H803" s="55" t="s">
        <v>25</v>
      </c>
      <c r="I803" s="63">
        <v>44531</v>
      </c>
      <c r="J803" s="64">
        <f ca="1">EFEITO!$J$803*EFEITO!$Y$803</f>
        <v>1441414.4503735229</v>
      </c>
      <c r="K803" s="64">
        <f>EFEITO!$L$803*EFEITO!$Z$803</f>
        <v>0</v>
      </c>
      <c r="L803" s="64">
        <f>EFEITO!$N$803*EFEITO!$AA$803</f>
        <v>0</v>
      </c>
      <c r="M803" s="64">
        <f ca="1">$J$803-EFEITO!$K$803*EFEITO!$Y$803</f>
        <v>0</v>
      </c>
      <c r="N803" s="64">
        <f>$K$803-EFEITO!$M$803*EFEITO!$Z$803</f>
        <v>0</v>
      </c>
      <c r="O803" s="64">
        <f>$L$803-EFEITO!$O$803*EFEITO!$AA$803</f>
        <v>0</v>
      </c>
      <c r="P803" s="19"/>
      <c r="Q803" s="19"/>
      <c r="R803" s="19"/>
      <c r="S803" s="19"/>
      <c r="T803" s="19"/>
      <c r="U803" s="19"/>
      <c r="V803" s="19"/>
      <c r="W803" s="19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55" t="s">
        <v>27</v>
      </c>
      <c r="B804" s="55" t="s">
        <v>41</v>
      </c>
      <c r="C804" s="55" t="s">
        <v>42</v>
      </c>
      <c r="D804" s="55" t="s">
        <v>43</v>
      </c>
      <c r="E804" s="55" t="s">
        <v>25</v>
      </c>
      <c r="F804" s="55" t="s">
        <v>25</v>
      </c>
      <c r="G804" s="55" t="s">
        <v>25</v>
      </c>
      <c r="H804" s="55" t="s">
        <v>25</v>
      </c>
      <c r="I804" s="63">
        <v>44531</v>
      </c>
      <c r="J804" s="64">
        <f ca="1">EFEITO!$J$804*EFEITO!$Y$804</f>
        <v>-893.52558548533727</v>
      </c>
      <c r="K804" s="64">
        <f>EFEITO!$L$804*EFEITO!$Z$804</f>
        <v>0</v>
      </c>
      <c r="L804" s="64">
        <f>EFEITO!$N$804*EFEITO!$AA$804</f>
        <v>0</v>
      </c>
      <c r="M804" s="64">
        <f ca="1">$J$804-EFEITO!$K$804*EFEITO!$Y$804</f>
        <v>0</v>
      </c>
      <c r="N804" s="64">
        <f>$K$804-EFEITO!$M$804*EFEITO!$Z$804</f>
        <v>0</v>
      </c>
      <c r="O804" s="64">
        <f>$L$804-EFEITO!$O$804*EFEITO!$AA$804</f>
        <v>0</v>
      </c>
      <c r="P804" s="19"/>
      <c r="Q804" s="19"/>
      <c r="R804" s="19"/>
      <c r="S804" s="19"/>
      <c r="T804" s="19"/>
      <c r="U804" s="19"/>
      <c r="V804" s="19"/>
      <c r="W804" s="19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55" t="s">
        <v>28</v>
      </c>
      <c r="B805" s="55" t="s">
        <v>41</v>
      </c>
      <c r="C805" s="55" t="s">
        <v>42</v>
      </c>
      <c r="D805" s="55" t="s">
        <v>43</v>
      </c>
      <c r="E805" s="55" t="s">
        <v>25</v>
      </c>
      <c r="F805" s="55" t="s">
        <v>25</v>
      </c>
      <c r="G805" s="55" t="s">
        <v>25</v>
      </c>
      <c r="H805" s="55" t="s">
        <v>25</v>
      </c>
      <c r="I805" s="63">
        <v>44531</v>
      </c>
      <c r="J805" s="64">
        <f ca="1">EFEITO!$J$805*EFEITO!$Y$805</f>
        <v>343849.66942618095</v>
      </c>
      <c r="K805" s="64">
        <f>EFEITO!$L$805*EFEITO!$Z$805</f>
        <v>0</v>
      </c>
      <c r="L805" s="64">
        <f>EFEITO!$N$805*EFEITO!$AA$805</f>
        <v>0</v>
      </c>
      <c r="M805" s="64">
        <f ca="1">$J$805-EFEITO!$K$805*EFEITO!$Y$805</f>
        <v>0</v>
      </c>
      <c r="N805" s="64">
        <f>$K$805-EFEITO!$M$805*EFEITO!$Z$805</f>
        <v>0</v>
      </c>
      <c r="O805" s="64">
        <f>$L$805-EFEITO!$O$805*EFEITO!$AA$805</f>
        <v>0</v>
      </c>
      <c r="P805" s="19"/>
      <c r="Q805" s="19"/>
      <c r="R805" s="19"/>
      <c r="S805" s="19"/>
      <c r="T805" s="19"/>
      <c r="U805" s="19"/>
      <c r="V805" s="19"/>
      <c r="W805" s="19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55" t="s">
        <v>21</v>
      </c>
      <c r="B806" s="55" t="s">
        <v>41</v>
      </c>
      <c r="C806" s="55" t="s">
        <v>42</v>
      </c>
      <c r="D806" s="55" t="s">
        <v>43</v>
      </c>
      <c r="E806" s="55" t="s">
        <v>25</v>
      </c>
      <c r="F806" s="55" t="s">
        <v>25</v>
      </c>
      <c r="G806" s="55" t="s">
        <v>25</v>
      </c>
      <c r="H806" s="55" t="s">
        <v>25</v>
      </c>
      <c r="I806" s="63">
        <v>44531</v>
      </c>
      <c r="J806" s="64">
        <f ca="1">EFEITO!$J$806*EFEITO!$Y$806</f>
        <v>3022.2188920827584</v>
      </c>
      <c r="K806" s="64">
        <f>EFEITO!$L$806*EFEITO!$Z$806</f>
        <v>0</v>
      </c>
      <c r="L806" s="64">
        <f>EFEITO!$N$806*EFEITO!$AA$806</f>
        <v>0</v>
      </c>
      <c r="M806" s="64">
        <f ca="1">$J$806-EFEITO!$K$806*EFEITO!$Y$806</f>
        <v>0</v>
      </c>
      <c r="N806" s="64">
        <f>$K$806-EFEITO!$M$806*EFEITO!$Z$806</f>
        <v>0</v>
      </c>
      <c r="O806" s="64">
        <f>$L$806-EFEITO!$O$806*EFEITO!$AA$806</f>
        <v>0</v>
      </c>
      <c r="P806" s="19"/>
      <c r="Q806" s="19"/>
      <c r="R806" s="19"/>
      <c r="S806" s="19"/>
      <c r="T806" s="19"/>
      <c r="U806" s="19"/>
      <c r="V806" s="19"/>
      <c r="W806" s="19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55" t="s">
        <v>21</v>
      </c>
      <c r="B807" s="55" t="s">
        <v>41</v>
      </c>
      <c r="C807" s="55" t="s">
        <v>42</v>
      </c>
      <c r="D807" s="55" t="s">
        <v>43</v>
      </c>
      <c r="E807" s="55" t="s">
        <v>25</v>
      </c>
      <c r="F807" s="55" t="s">
        <v>25</v>
      </c>
      <c r="G807" s="55" t="s">
        <v>25</v>
      </c>
      <c r="H807" s="55" t="s">
        <v>25</v>
      </c>
      <c r="I807" s="63">
        <v>44562</v>
      </c>
      <c r="J807" s="64">
        <f ca="1">EFEITO!$J$807*EFEITO!$Y$807</f>
        <v>1406882.3145109424</v>
      </c>
      <c r="K807" s="64">
        <f>EFEITO!$L$807*EFEITO!$Z$807</f>
        <v>0</v>
      </c>
      <c r="L807" s="64">
        <f>EFEITO!$N$807*EFEITO!$AA$807</f>
        <v>0</v>
      </c>
      <c r="M807" s="64">
        <f ca="1">$J$807-EFEITO!$K$807*EFEITO!$Y$807</f>
        <v>0</v>
      </c>
      <c r="N807" s="64">
        <f>$K$807-EFEITO!$M$807*EFEITO!$Z$807</f>
        <v>0</v>
      </c>
      <c r="O807" s="64">
        <f>$L$807-EFEITO!$O$807*EFEITO!$AA$807</f>
        <v>0</v>
      </c>
      <c r="P807" s="19"/>
      <c r="Q807" s="19"/>
      <c r="R807" s="19"/>
      <c r="S807" s="19"/>
      <c r="T807" s="19"/>
      <c r="U807" s="19"/>
      <c r="V807" s="19"/>
      <c r="W807" s="19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55" t="s">
        <v>27</v>
      </c>
      <c r="B808" s="55" t="s">
        <v>41</v>
      </c>
      <c r="C808" s="55" t="s">
        <v>42</v>
      </c>
      <c r="D808" s="55" t="s">
        <v>43</v>
      </c>
      <c r="E808" s="55" t="s">
        <v>25</v>
      </c>
      <c r="F808" s="55" t="s">
        <v>25</v>
      </c>
      <c r="G808" s="55" t="s">
        <v>25</v>
      </c>
      <c r="H808" s="55" t="s">
        <v>25</v>
      </c>
      <c r="I808" s="63">
        <v>44562</v>
      </c>
      <c r="J808" s="64">
        <f ca="1">EFEITO!$J$808*EFEITO!$Y$808</f>
        <v>-18580.076145239218</v>
      </c>
      <c r="K808" s="64">
        <f>EFEITO!$L$808*EFEITO!$Z$808</f>
        <v>0</v>
      </c>
      <c r="L808" s="64">
        <f>EFEITO!$N$808*EFEITO!$AA$808</f>
        <v>0</v>
      </c>
      <c r="M808" s="64">
        <f ca="1">$J$808-EFEITO!$K$808*EFEITO!$Y$808</f>
        <v>0</v>
      </c>
      <c r="N808" s="64">
        <f>$K$808-EFEITO!$M$808*EFEITO!$Z$808</f>
        <v>0</v>
      </c>
      <c r="O808" s="64">
        <f>$L$808-EFEITO!$O$808*EFEITO!$AA$808</f>
        <v>0</v>
      </c>
      <c r="P808" s="19"/>
      <c r="Q808" s="19"/>
      <c r="R808" s="19"/>
      <c r="S808" s="19"/>
      <c r="T808" s="19"/>
      <c r="U808" s="19"/>
      <c r="V808" s="19"/>
      <c r="W808" s="19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55" t="s">
        <v>28</v>
      </c>
      <c r="B809" s="55" t="s">
        <v>41</v>
      </c>
      <c r="C809" s="55" t="s">
        <v>42</v>
      </c>
      <c r="D809" s="55" t="s">
        <v>43</v>
      </c>
      <c r="E809" s="55" t="s">
        <v>25</v>
      </c>
      <c r="F809" s="55" t="s">
        <v>25</v>
      </c>
      <c r="G809" s="55" t="s">
        <v>25</v>
      </c>
      <c r="H809" s="55" t="s">
        <v>25</v>
      </c>
      <c r="I809" s="63">
        <v>44562</v>
      </c>
      <c r="J809" s="64">
        <f ca="1">EFEITO!$J$809*EFEITO!$Y$809</f>
        <v>347502.61226095923</v>
      </c>
      <c r="K809" s="64">
        <f>EFEITO!$L$809*EFEITO!$Z$809</f>
        <v>0</v>
      </c>
      <c r="L809" s="64">
        <f>EFEITO!$N$809*EFEITO!$AA$809</f>
        <v>0</v>
      </c>
      <c r="M809" s="64">
        <f ca="1">$J$809-EFEITO!$K$809*EFEITO!$Y$809</f>
        <v>0</v>
      </c>
      <c r="N809" s="64">
        <f>$K$809-EFEITO!$M$809*EFEITO!$Z$809</f>
        <v>0</v>
      </c>
      <c r="O809" s="64">
        <f>$L$809-EFEITO!$O$809*EFEITO!$AA$809</f>
        <v>0</v>
      </c>
      <c r="P809" s="19"/>
      <c r="Q809" s="19"/>
      <c r="R809" s="19"/>
      <c r="S809" s="19"/>
      <c r="T809" s="19"/>
      <c r="U809" s="19"/>
      <c r="V809" s="19"/>
      <c r="W809" s="19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55" t="s">
        <v>21</v>
      </c>
      <c r="B810" s="55" t="s">
        <v>41</v>
      </c>
      <c r="C810" s="55" t="s">
        <v>42</v>
      </c>
      <c r="D810" s="55" t="s">
        <v>43</v>
      </c>
      <c r="E810" s="55" t="s">
        <v>25</v>
      </c>
      <c r="F810" s="55" t="s">
        <v>25</v>
      </c>
      <c r="G810" s="55" t="s">
        <v>25</v>
      </c>
      <c r="H810" s="55" t="s">
        <v>25</v>
      </c>
      <c r="I810" s="63">
        <v>44593</v>
      </c>
      <c r="J810" s="64">
        <f ca="1">EFEITO!$J$810*EFEITO!$Y$810</f>
        <v>1421993.4089713562</v>
      </c>
      <c r="K810" s="64">
        <f>EFEITO!$L$810*EFEITO!$Z$810</f>
        <v>0</v>
      </c>
      <c r="L810" s="64">
        <f>EFEITO!$N$810*EFEITO!$AA$810</f>
        <v>0</v>
      </c>
      <c r="M810" s="64">
        <f ca="1">$J$810-EFEITO!$K$810*EFEITO!$Y$810</f>
        <v>0</v>
      </c>
      <c r="N810" s="64">
        <f>$K$810-EFEITO!$M$810*EFEITO!$Z$810</f>
        <v>0</v>
      </c>
      <c r="O810" s="64">
        <f>$L$810-EFEITO!$O$810*EFEITO!$AA$810</f>
        <v>0</v>
      </c>
      <c r="P810" s="19"/>
      <c r="Q810" s="19"/>
      <c r="R810" s="19"/>
      <c r="S810" s="19"/>
      <c r="T810" s="19"/>
      <c r="U810" s="19"/>
      <c r="V810" s="19"/>
      <c r="W810" s="19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55" t="s">
        <v>27</v>
      </c>
      <c r="B811" s="55" t="s">
        <v>41</v>
      </c>
      <c r="C811" s="55" t="s">
        <v>42</v>
      </c>
      <c r="D811" s="55" t="s">
        <v>43</v>
      </c>
      <c r="E811" s="55" t="s">
        <v>25</v>
      </c>
      <c r="F811" s="55" t="s">
        <v>25</v>
      </c>
      <c r="G811" s="55" t="s">
        <v>25</v>
      </c>
      <c r="H811" s="55" t="s">
        <v>25</v>
      </c>
      <c r="I811" s="63">
        <v>44593</v>
      </c>
      <c r="J811" s="64">
        <f ca="1">EFEITO!$J$811*EFEITO!$Y$811</f>
        <v>-12456.797868236761</v>
      </c>
      <c r="K811" s="64">
        <f>EFEITO!$L$811*EFEITO!$Z$811</f>
        <v>0</v>
      </c>
      <c r="L811" s="64">
        <f>EFEITO!$N$811*EFEITO!$AA$811</f>
        <v>0</v>
      </c>
      <c r="M811" s="64">
        <f ca="1">$J$811-EFEITO!$K$811*EFEITO!$Y$811</f>
        <v>0</v>
      </c>
      <c r="N811" s="64">
        <f>$K$811-EFEITO!$M$811*EFEITO!$Z$811</f>
        <v>0</v>
      </c>
      <c r="O811" s="64">
        <f>$L$811-EFEITO!$O$811*EFEITO!$AA$811</f>
        <v>0</v>
      </c>
      <c r="P811" s="19"/>
      <c r="Q811" s="19"/>
      <c r="R811" s="19"/>
      <c r="S811" s="19"/>
      <c r="T811" s="19"/>
      <c r="U811" s="19"/>
      <c r="V811" s="19"/>
      <c r="W811" s="19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55" t="s">
        <v>28</v>
      </c>
      <c r="B812" s="55" t="s">
        <v>41</v>
      </c>
      <c r="C812" s="55" t="s">
        <v>42</v>
      </c>
      <c r="D812" s="55" t="s">
        <v>43</v>
      </c>
      <c r="E812" s="55" t="s">
        <v>25</v>
      </c>
      <c r="F812" s="55" t="s">
        <v>25</v>
      </c>
      <c r="G812" s="55" t="s">
        <v>25</v>
      </c>
      <c r="H812" s="55" t="s">
        <v>25</v>
      </c>
      <c r="I812" s="63">
        <v>44593</v>
      </c>
      <c r="J812" s="64">
        <f ca="1">EFEITO!$J$812*EFEITO!$Y$812</f>
        <v>370524.03616934619</v>
      </c>
      <c r="K812" s="64">
        <f>EFEITO!$L$812*EFEITO!$Z$812</f>
        <v>0</v>
      </c>
      <c r="L812" s="64">
        <f>EFEITO!$N$812*EFEITO!$AA$812</f>
        <v>0</v>
      </c>
      <c r="M812" s="64">
        <f ca="1">$J$812-EFEITO!$K$812*EFEITO!$Y$812</f>
        <v>0</v>
      </c>
      <c r="N812" s="64">
        <f>$K$812-EFEITO!$M$812*EFEITO!$Z$812</f>
        <v>0</v>
      </c>
      <c r="O812" s="64">
        <f>$L$812-EFEITO!$O$812*EFEITO!$AA$812</f>
        <v>0</v>
      </c>
      <c r="P812" s="19"/>
      <c r="Q812" s="19"/>
      <c r="R812" s="19"/>
      <c r="S812" s="19"/>
      <c r="T812" s="19"/>
      <c r="U812" s="19"/>
      <c r="V812" s="19"/>
      <c r="W812" s="19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55" t="s">
        <v>21</v>
      </c>
      <c r="B813" s="55" t="s">
        <v>41</v>
      </c>
      <c r="C813" s="55" t="s">
        <v>42</v>
      </c>
      <c r="D813" s="55" t="s">
        <v>43</v>
      </c>
      <c r="E813" s="55" t="s">
        <v>25</v>
      </c>
      <c r="F813" s="55" t="s">
        <v>25</v>
      </c>
      <c r="G813" s="55" t="s">
        <v>25</v>
      </c>
      <c r="H813" s="55" t="s">
        <v>25</v>
      </c>
      <c r="I813" s="63">
        <v>44621</v>
      </c>
      <c r="J813" s="64">
        <f ca="1">EFEITO!$J$813*EFEITO!$Y$813</f>
        <v>1428432.0492197066</v>
      </c>
      <c r="K813" s="64">
        <f>EFEITO!$L$813*EFEITO!$Z$813</f>
        <v>0</v>
      </c>
      <c r="L813" s="64">
        <f>EFEITO!$N$813*EFEITO!$AA$813</f>
        <v>0</v>
      </c>
      <c r="M813" s="64">
        <f ca="1">$J$813-EFEITO!$K$813*EFEITO!$Y$813</f>
        <v>0</v>
      </c>
      <c r="N813" s="64">
        <f>$K$813-EFEITO!$M$813*EFEITO!$Z$813</f>
        <v>0</v>
      </c>
      <c r="O813" s="64">
        <f>$L$813-EFEITO!$O$813*EFEITO!$AA$813</f>
        <v>0</v>
      </c>
      <c r="P813" s="19"/>
      <c r="Q813" s="19"/>
      <c r="R813" s="19"/>
      <c r="S813" s="19"/>
      <c r="T813" s="19"/>
      <c r="U813" s="19"/>
      <c r="V813" s="19"/>
      <c r="W813" s="19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55" t="s">
        <v>28</v>
      </c>
      <c r="B814" s="55" t="s">
        <v>41</v>
      </c>
      <c r="C814" s="55" t="s">
        <v>42</v>
      </c>
      <c r="D814" s="55" t="s">
        <v>43</v>
      </c>
      <c r="E814" s="55" t="s">
        <v>25</v>
      </c>
      <c r="F814" s="55" t="s">
        <v>25</v>
      </c>
      <c r="G814" s="55" t="s">
        <v>25</v>
      </c>
      <c r="H814" s="55" t="s">
        <v>25</v>
      </c>
      <c r="I814" s="63">
        <v>44621</v>
      </c>
      <c r="J814" s="64">
        <f ca="1">EFEITO!$J$814*EFEITO!$Y$814</f>
        <v>412020.41556585638</v>
      </c>
      <c r="K814" s="64">
        <f>EFEITO!$L$814*EFEITO!$Z$814</f>
        <v>0</v>
      </c>
      <c r="L814" s="64">
        <f>EFEITO!$N$814*EFEITO!$AA$814</f>
        <v>0</v>
      </c>
      <c r="M814" s="64">
        <f ca="1">$J$814-EFEITO!$K$814*EFEITO!$Y$814</f>
        <v>0</v>
      </c>
      <c r="N814" s="64">
        <f>$K$814-EFEITO!$M$814*EFEITO!$Z$814</f>
        <v>0</v>
      </c>
      <c r="O814" s="64">
        <f>$L$814-EFEITO!$O$814*EFEITO!$AA$814</f>
        <v>0</v>
      </c>
      <c r="P814" s="19"/>
      <c r="Q814" s="19"/>
      <c r="R814" s="19"/>
      <c r="S814" s="19"/>
      <c r="T814" s="19"/>
      <c r="U814" s="19"/>
      <c r="V814" s="19"/>
      <c r="W814" s="19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55" t="s">
        <v>21</v>
      </c>
      <c r="B815" s="55" t="s">
        <v>41</v>
      </c>
      <c r="C815" s="55" t="s">
        <v>42</v>
      </c>
      <c r="D815" s="55" t="s">
        <v>43</v>
      </c>
      <c r="E815" s="55" t="s">
        <v>25</v>
      </c>
      <c r="F815" s="55" t="s">
        <v>25</v>
      </c>
      <c r="G815" s="55" t="s">
        <v>25</v>
      </c>
      <c r="H815" s="55" t="s">
        <v>25</v>
      </c>
      <c r="I815" s="63">
        <v>44652</v>
      </c>
      <c r="J815" s="64">
        <f ca="1">EFEITO!$J$815*EFEITO!$Y$815</f>
        <v>1428405.7690554275</v>
      </c>
      <c r="K815" s="64">
        <f>EFEITO!$L$815*EFEITO!$Z$815</f>
        <v>0</v>
      </c>
      <c r="L815" s="64">
        <f>EFEITO!$N$815*EFEITO!$AA$815</f>
        <v>0</v>
      </c>
      <c r="M815" s="64">
        <f ca="1">$J$815-EFEITO!$K$815*EFEITO!$Y$815</f>
        <v>0</v>
      </c>
      <c r="N815" s="64">
        <f>$K$815-EFEITO!$M$815*EFEITO!$Z$815</f>
        <v>0</v>
      </c>
      <c r="O815" s="64">
        <f>$L$815-EFEITO!$O$815*EFEITO!$AA$815</f>
        <v>0</v>
      </c>
      <c r="P815" s="19"/>
      <c r="Q815" s="19"/>
      <c r="R815" s="19"/>
      <c r="S815" s="19"/>
      <c r="T815" s="19"/>
      <c r="U815" s="19"/>
      <c r="V815" s="19"/>
      <c r="W815" s="19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55" t="s">
        <v>27</v>
      </c>
      <c r="B816" s="55" t="s">
        <v>41</v>
      </c>
      <c r="C816" s="55" t="s">
        <v>42</v>
      </c>
      <c r="D816" s="55" t="s">
        <v>43</v>
      </c>
      <c r="E816" s="55" t="s">
        <v>25</v>
      </c>
      <c r="F816" s="55" t="s">
        <v>25</v>
      </c>
      <c r="G816" s="55" t="s">
        <v>25</v>
      </c>
      <c r="H816" s="55" t="s">
        <v>25</v>
      </c>
      <c r="I816" s="63">
        <v>44652</v>
      </c>
      <c r="J816" s="64">
        <f ca="1">EFEITO!$J$816*EFEITO!$Y$816</f>
        <v>-998.64624260125925</v>
      </c>
      <c r="K816" s="64">
        <f>EFEITO!$L$816*EFEITO!$Z$816</f>
        <v>0</v>
      </c>
      <c r="L816" s="64">
        <f>EFEITO!$N$816*EFEITO!$AA$816</f>
        <v>0</v>
      </c>
      <c r="M816" s="64">
        <f ca="1">$J$816-EFEITO!$K$816*EFEITO!$Y$816</f>
        <v>0</v>
      </c>
      <c r="N816" s="64">
        <f>$K$816-EFEITO!$M$816*EFEITO!$Z$816</f>
        <v>0</v>
      </c>
      <c r="O816" s="64">
        <f>$L$816-EFEITO!$O$816*EFEITO!$AA$816</f>
        <v>0</v>
      </c>
      <c r="P816" s="19"/>
      <c r="Q816" s="19"/>
      <c r="R816" s="19"/>
      <c r="S816" s="19"/>
      <c r="T816" s="19"/>
      <c r="U816" s="19"/>
      <c r="V816" s="19"/>
      <c r="W816" s="19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55" t="s">
        <v>28</v>
      </c>
      <c r="B817" s="55" t="s">
        <v>41</v>
      </c>
      <c r="C817" s="55" t="s">
        <v>42</v>
      </c>
      <c r="D817" s="55" t="s">
        <v>43</v>
      </c>
      <c r="E817" s="55" t="s">
        <v>25</v>
      </c>
      <c r="F817" s="55" t="s">
        <v>25</v>
      </c>
      <c r="G817" s="55" t="s">
        <v>25</v>
      </c>
      <c r="H817" s="55" t="s">
        <v>25</v>
      </c>
      <c r="I817" s="63">
        <v>44652</v>
      </c>
      <c r="J817" s="64">
        <f ca="1">EFEITO!$J$817*EFEITO!$Y$817</f>
        <v>452386.74789837043</v>
      </c>
      <c r="K817" s="64">
        <f>EFEITO!$L$817*EFEITO!$Z$817</f>
        <v>0</v>
      </c>
      <c r="L817" s="64">
        <f>EFEITO!$N$817*EFEITO!$AA$817</f>
        <v>0</v>
      </c>
      <c r="M817" s="64">
        <f ca="1">$J$817-EFEITO!$K$817*EFEITO!$Y$817</f>
        <v>0</v>
      </c>
      <c r="N817" s="64">
        <f>$K$817-EFEITO!$M$817*EFEITO!$Z$817</f>
        <v>0</v>
      </c>
      <c r="O817" s="64">
        <f>$L$817-EFEITO!$O$817*EFEITO!$AA$817</f>
        <v>0</v>
      </c>
      <c r="P817" s="19"/>
      <c r="Q817" s="19"/>
      <c r="R817" s="19"/>
      <c r="S817" s="19"/>
      <c r="T817" s="19"/>
      <c r="U817" s="19"/>
      <c r="V817" s="19"/>
      <c r="W817" s="19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55" t="s">
        <v>28</v>
      </c>
      <c r="B818" s="55" t="s">
        <v>41</v>
      </c>
      <c r="C818" s="55" t="s">
        <v>42</v>
      </c>
      <c r="D818" s="55" t="s">
        <v>43</v>
      </c>
      <c r="E818" s="55" t="s">
        <v>25</v>
      </c>
      <c r="F818" s="55" t="s">
        <v>25</v>
      </c>
      <c r="G818" s="55" t="s">
        <v>25</v>
      </c>
      <c r="H818" s="55" t="s">
        <v>25</v>
      </c>
      <c r="I818" s="63">
        <v>44652</v>
      </c>
      <c r="J818" s="64">
        <f ca="1">EFEITO!$J$818*EFEITO!$Y$818</f>
        <v>-762.12476409043472</v>
      </c>
      <c r="K818" s="64">
        <f>EFEITO!$L$818*EFEITO!$Z$818</f>
        <v>0</v>
      </c>
      <c r="L818" s="64">
        <f>EFEITO!$N$818*EFEITO!$AA$818</f>
        <v>0</v>
      </c>
      <c r="M818" s="64">
        <f ca="1">$J$818-EFEITO!$K$818*EFEITO!$Y$818</f>
        <v>0</v>
      </c>
      <c r="N818" s="64">
        <f>$K$818-EFEITO!$M$818*EFEITO!$Z$818</f>
        <v>0</v>
      </c>
      <c r="O818" s="64">
        <f>$L$818-EFEITO!$O$818*EFEITO!$AA$818</f>
        <v>0</v>
      </c>
      <c r="P818" s="19"/>
      <c r="Q818" s="19"/>
      <c r="R818" s="19"/>
      <c r="S818" s="19"/>
      <c r="T818" s="19"/>
      <c r="U818" s="19"/>
      <c r="V818" s="19"/>
      <c r="W818" s="19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55" t="s">
        <v>21</v>
      </c>
      <c r="B819" s="55" t="s">
        <v>41</v>
      </c>
      <c r="C819" s="55" t="s">
        <v>42</v>
      </c>
      <c r="D819" s="55" t="s">
        <v>43</v>
      </c>
      <c r="E819" s="55" t="s">
        <v>25</v>
      </c>
      <c r="F819" s="55" t="s">
        <v>25</v>
      </c>
      <c r="G819" s="55" t="s">
        <v>25</v>
      </c>
      <c r="H819" s="55" t="s">
        <v>25</v>
      </c>
      <c r="I819" s="63">
        <v>44682</v>
      </c>
      <c r="J819" s="64">
        <f ca="1">EFEITO!$J$819*EFEITO!$Y$819</f>
        <v>1441099.0884021751</v>
      </c>
      <c r="K819" s="64">
        <f>EFEITO!$L$819*EFEITO!$Z$819</f>
        <v>0</v>
      </c>
      <c r="L819" s="64">
        <f>EFEITO!$N$819*EFEITO!$AA$819</f>
        <v>0</v>
      </c>
      <c r="M819" s="64">
        <f ca="1">$J$819-EFEITO!$K$819*EFEITO!$Y$819</f>
        <v>0</v>
      </c>
      <c r="N819" s="64">
        <f>$K$819-EFEITO!$M$819*EFEITO!$Z$819</f>
        <v>0</v>
      </c>
      <c r="O819" s="64">
        <f>$L$819-EFEITO!$O$819*EFEITO!$AA$819</f>
        <v>0</v>
      </c>
      <c r="P819" s="19"/>
      <c r="Q819" s="19"/>
      <c r="R819" s="19"/>
      <c r="S819" s="19"/>
      <c r="T819" s="19"/>
      <c r="U819" s="19"/>
      <c r="V819" s="19"/>
      <c r="W819" s="19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55" t="s">
        <v>27</v>
      </c>
      <c r="B820" s="55" t="s">
        <v>41</v>
      </c>
      <c r="C820" s="55" t="s">
        <v>42</v>
      </c>
      <c r="D820" s="55" t="s">
        <v>43</v>
      </c>
      <c r="E820" s="55" t="s">
        <v>25</v>
      </c>
      <c r="F820" s="55" t="s">
        <v>25</v>
      </c>
      <c r="G820" s="55" t="s">
        <v>25</v>
      </c>
      <c r="H820" s="55" t="s">
        <v>25</v>
      </c>
      <c r="I820" s="63">
        <v>44682</v>
      </c>
      <c r="J820" s="64">
        <f ca="1">EFEITO!$J$820*EFEITO!$Y$820</f>
        <v>-788.40492836941519</v>
      </c>
      <c r="K820" s="64">
        <f>EFEITO!$L$820*EFEITO!$Z$820</f>
        <v>0</v>
      </c>
      <c r="L820" s="64">
        <f>EFEITO!$N$820*EFEITO!$AA$820</f>
        <v>0</v>
      </c>
      <c r="M820" s="64">
        <f ca="1">$J$820-EFEITO!$K$820*EFEITO!$Y$820</f>
        <v>0</v>
      </c>
      <c r="N820" s="64">
        <f>$K$820-EFEITO!$M$820*EFEITO!$Z$820</f>
        <v>0</v>
      </c>
      <c r="O820" s="64">
        <f>$L$820-EFEITO!$O$820*EFEITO!$AA$820</f>
        <v>0</v>
      </c>
      <c r="P820" s="19"/>
      <c r="Q820" s="19"/>
      <c r="R820" s="19"/>
      <c r="S820" s="19"/>
      <c r="T820" s="19"/>
      <c r="U820" s="19"/>
      <c r="V820" s="19"/>
      <c r="W820" s="19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55" t="s">
        <v>28</v>
      </c>
      <c r="B821" s="55" t="s">
        <v>41</v>
      </c>
      <c r="C821" s="55" t="s">
        <v>42</v>
      </c>
      <c r="D821" s="55" t="s">
        <v>43</v>
      </c>
      <c r="E821" s="55" t="s">
        <v>25</v>
      </c>
      <c r="F821" s="55" t="s">
        <v>25</v>
      </c>
      <c r="G821" s="55" t="s">
        <v>25</v>
      </c>
      <c r="H821" s="55" t="s">
        <v>25</v>
      </c>
      <c r="I821" s="63">
        <v>44682</v>
      </c>
      <c r="J821" s="64">
        <f ca="1">EFEITO!$J$821*EFEITO!$Y$821</f>
        <v>464843.54576660722</v>
      </c>
      <c r="K821" s="64">
        <f>EFEITO!$L$821*EFEITO!$Z$821</f>
        <v>0</v>
      </c>
      <c r="L821" s="64">
        <f>EFEITO!$N$821*EFEITO!$AA$821</f>
        <v>0</v>
      </c>
      <c r="M821" s="64">
        <f ca="1">$J$821-EFEITO!$K$821*EFEITO!$Y$821</f>
        <v>0</v>
      </c>
      <c r="N821" s="64">
        <f>$K$821-EFEITO!$M$821*EFEITO!$Z$821</f>
        <v>0</v>
      </c>
      <c r="O821" s="64">
        <f>$L$821-EFEITO!$O$821*EFEITO!$AA$821</f>
        <v>0</v>
      </c>
      <c r="P821" s="19"/>
      <c r="Q821" s="19"/>
      <c r="R821" s="19"/>
      <c r="S821" s="19"/>
      <c r="T821" s="19"/>
      <c r="U821" s="19"/>
      <c r="V821" s="19"/>
      <c r="W821" s="19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55" t="s">
        <v>21</v>
      </c>
      <c r="B822" s="55" t="s">
        <v>41</v>
      </c>
      <c r="C822" s="55" t="s">
        <v>42</v>
      </c>
      <c r="D822" s="55" t="s">
        <v>43</v>
      </c>
      <c r="E822" s="55" t="s">
        <v>25</v>
      </c>
      <c r="F822" s="55" t="s">
        <v>25</v>
      </c>
      <c r="G822" s="55" t="s">
        <v>25</v>
      </c>
      <c r="H822" s="55" t="s">
        <v>25</v>
      </c>
      <c r="I822" s="63">
        <v>44713</v>
      </c>
      <c r="J822" s="64">
        <f ca="1">EFEITO!$J$822*EFEITO!$Y$822</f>
        <v>1409405.2102817246</v>
      </c>
      <c r="K822" s="64">
        <f>EFEITO!$L$822*EFEITO!$Z$822</f>
        <v>0</v>
      </c>
      <c r="L822" s="64">
        <f>EFEITO!$N$822*EFEITO!$AA$822</f>
        <v>0</v>
      </c>
      <c r="M822" s="64">
        <f ca="1">$J$822-EFEITO!$K$822*EFEITO!$Y$822</f>
        <v>0</v>
      </c>
      <c r="N822" s="64">
        <f>$K$822-EFEITO!$M$822*EFEITO!$Z$822</f>
        <v>0</v>
      </c>
      <c r="O822" s="64">
        <f>$L$822-EFEITO!$O$822*EFEITO!$AA$822</f>
        <v>0</v>
      </c>
      <c r="P822" s="19"/>
      <c r="Q822" s="19"/>
      <c r="R822" s="19"/>
      <c r="S822" s="19"/>
      <c r="T822" s="19"/>
      <c r="U822" s="19"/>
      <c r="V822" s="19"/>
      <c r="W822" s="19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55" t="s">
        <v>28</v>
      </c>
      <c r="B823" s="55" t="s">
        <v>41</v>
      </c>
      <c r="C823" s="55" t="s">
        <v>42</v>
      </c>
      <c r="D823" s="55" t="s">
        <v>43</v>
      </c>
      <c r="E823" s="55" t="s">
        <v>25</v>
      </c>
      <c r="F823" s="55" t="s">
        <v>25</v>
      </c>
      <c r="G823" s="55" t="s">
        <v>25</v>
      </c>
      <c r="H823" s="55" t="s">
        <v>25</v>
      </c>
      <c r="I823" s="63">
        <v>44713</v>
      </c>
      <c r="J823" s="64">
        <f ca="1">EFEITO!$J$823*EFEITO!$Y$823</f>
        <v>473621.12063578668</v>
      </c>
      <c r="K823" s="64">
        <f>EFEITO!$L$823*EFEITO!$Z$823</f>
        <v>0</v>
      </c>
      <c r="L823" s="64">
        <f>EFEITO!$N$823*EFEITO!$AA$823</f>
        <v>0</v>
      </c>
      <c r="M823" s="64">
        <f ca="1">$J$823-EFEITO!$K$823*EFEITO!$Y$823</f>
        <v>0</v>
      </c>
      <c r="N823" s="64">
        <f>$K$823-EFEITO!$M$823*EFEITO!$Z$823</f>
        <v>0</v>
      </c>
      <c r="O823" s="64">
        <f>$L$823-EFEITO!$O$823*EFEITO!$AA$823</f>
        <v>0</v>
      </c>
      <c r="P823" s="19"/>
      <c r="Q823" s="19"/>
      <c r="R823" s="19"/>
      <c r="S823" s="19"/>
      <c r="T823" s="19"/>
      <c r="U823" s="19"/>
      <c r="V823" s="19"/>
      <c r="W823" s="19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55" t="s">
        <v>28</v>
      </c>
      <c r="B824" s="55" t="s">
        <v>41</v>
      </c>
      <c r="C824" s="55" t="s">
        <v>42</v>
      </c>
      <c r="D824" s="55" t="s">
        <v>43</v>
      </c>
      <c r="E824" s="55" t="s">
        <v>25</v>
      </c>
      <c r="F824" s="55" t="s">
        <v>25</v>
      </c>
      <c r="G824" s="55" t="s">
        <v>25</v>
      </c>
      <c r="H824" s="55" t="s">
        <v>25</v>
      </c>
      <c r="I824" s="63">
        <v>44713</v>
      </c>
      <c r="J824" s="64">
        <f ca="1">EFEITO!$J$824*EFEITO!$Y$824</f>
        <v>-998.64624260125925</v>
      </c>
      <c r="K824" s="64">
        <f>EFEITO!$L$824*EFEITO!$Z$824</f>
        <v>0</v>
      </c>
      <c r="L824" s="64">
        <f>EFEITO!$N$824*EFEITO!$AA$824</f>
        <v>0</v>
      </c>
      <c r="M824" s="64">
        <f ca="1">$J$824-EFEITO!$K$824*EFEITO!$Y$824</f>
        <v>0</v>
      </c>
      <c r="N824" s="64">
        <f>$K$824-EFEITO!$M$824*EFEITO!$Z$824</f>
        <v>0</v>
      </c>
      <c r="O824" s="64">
        <f>$L$824-EFEITO!$O$824*EFEITO!$AA$824</f>
        <v>0</v>
      </c>
      <c r="P824" s="19"/>
      <c r="Q824" s="19"/>
      <c r="R824" s="19"/>
      <c r="S824" s="19"/>
      <c r="T824" s="19"/>
      <c r="U824" s="19"/>
      <c r="V824" s="19"/>
      <c r="W824" s="19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55" t="s">
        <v>57</v>
      </c>
      <c r="B825" s="55" t="s">
        <v>41</v>
      </c>
      <c r="C825" s="55" t="s">
        <v>42</v>
      </c>
      <c r="D825" s="55" t="s">
        <v>43</v>
      </c>
      <c r="E825" s="55" t="s">
        <v>25</v>
      </c>
      <c r="F825" s="55" t="s">
        <v>25</v>
      </c>
      <c r="G825" s="55" t="s">
        <v>25</v>
      </c>
      <c r="H825" s="55" t="s">
        <v>25</v>
      </c>
      <c r="I825" s="63">
        <v>44743</v>
      </c>
      <c r="J825" s="64">
        <f ca="1">EFEITO!$J$825*EFEITO!$Y$825</f>
        <v>1409405.2102817246</v>
      </c>
      <c r="K825" s="64">
        <f>EFEITO!$L$825*EFEITO!$Z$825</f>
        <v>0</v>
      </c>
      <c r="L825" s="64">
        <f>EFEITO!$N$825*EFEITO!$AA$825</f>
        <v>0</v>
      </c>
      <c r="M825" s="64">
        <f ca="1">$J$825-EFEITO!$K$825*EFEITO!$Y$825</f>
        <v>0</v>
      </c>
      <c r="N825" s="64">
        <f>$K$825-EFEITO!$M$825*EFEITO!$Z$825</f>
        <v>0</v>
      </c>
      <c r="O825" s="64">
        <f>$L$825-EFEITO!$O$825*EFEITO!$AA$825</f>
        <v>0</v>
      </c>
      <c r="P825" s="19"/>
      <c r="Q825" s="19"/>
      <c r="R825" s="19"/>
      <c r="S825" s="19"/>
      <c r="T825" s="19"/>
      <c r="U825" s="19"/>
      <c r="V825" s="19"/>
      <c r="W825" s="19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55" t="s">
        <v>57</v>
      </c>
      <c r="B826" s="55" t="s">
        <v>41</v>
      </c>
      <c r="C826" s="55" t="s">
        <v>42</v>
      </c>
      <c r="D826" s="55" t="s">
        <v>43</v>
      </c>
      <c r="E826" s="55" t="s">
        <v>25</v>
      </c>
      <c r="F826" s="55" t="s">
        <v>25</v>
      </c>
      <c r="G826" s="55" t="s">
        <v>25</v>
      </c>
      <c r="H826" s="55" t="s">
        <v>25</v>
      </c>
      <c r="I826" s="63">
        <v>44743</v>
      </c>
      <c r="J826" s="64">
        <f ca="1">EFEITO!$J$826*EFEITO!$Y$826</f>
        <v>473621.12063578668</v>
      </c>
      <c r="K826" s="64">
        <f>EFEITO!$L$826*EFEITO!$Z$826</f>
        <v>0</v>
      </c>
      <c r="L826" s="64">
        <f>EFEITO!$N$826*EFEITO!$AA$826</f>
        <v>0</v>
      </c>
      <c r="M826" s="64">
        <f ca="1">$J$826-EFEITO!$K$826*EFEITO!$Y$826</f>
        <v>0</v>
      </c>
      <c r="N826" s="64">
        <f>$K$826-EFEITO!$M$826*EFEITO!$Z$826</f>
        <v>0</v>
      </c>
      <c r="O826" s="64">
        <f>$L$826-EFEITO!$O$826*EFEITO!$AA$826</f>
        <v>0</v>
      </c>
      <c r="P826" s="19"/>
      <c r="Q826" s="19"/>
      <c r="R826" s="19"/>
      <c r="S826" s="19"/>
      <c r="T826" s="19"/>
      <c r="U826" s="19"/>
      <c r="V826" s="19"/>
      <c r="W826" s="19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55" t="s">
        <v>57</v>
      </c>
      <c r="B827" s="55" t="s">
        <v>41</v>
      </c>
      <c r="C827" s="55" t="s">
        <v>42</v>
      </c>
      <c r="D827" s="55" t="s">
        <v>43</v>
      </c>
      <c r="E827" s="55" t="s">
        <v>25</v>
      </c>
      <c r="F827" s="55" t="s">
        <v>25</v>
      </c>
      <c r="G827" s="55" t="s">
        <v>25</v>
      </c>
      <c r="H827" s="55" t="s">
        <v>25</v>
      </c>
      <c r="I827" s="63">
        <v>44743</v>
      </c>
      <c r="J827" s="64">
        <f ca="1">EFEITO!$J$827*EFEITO!$Y$827</f>
        <v>-998.64624260125925</v>
      </c>
      <c r="K827" s="64">
        <f>EFEITO!$L$827*EFEITO!$Z$827</f>
        <v>0</v>
      </c>
      <c r="L827" s="64">
        <f>EFEITO!$N$827*EFEITO!$AA$827</f>
        <v>0</v>
      </c>
      <c r="M827" s="64">
        <f ca="1">$J$827-EFEITO!$K$827*EFEITO!$Y$827</f>
        <v>0</v>
      </c>
      <c r="N827" s="64">
        <f>$K$827-EFEITO!$M$827*EFEITO!$Z$827</f>
        <v>0</v>
      </c>
      <c r="O827" s="64">
        <f>$L$827-EFEITO!$O$827*EFEITO!$AA$827</f>
        <v>0</v>
      </c>
      <c r="P827" s="19"/>
      <c r="Q827" s="19"/>
      <c r="R827" s="19"/>
      <c r="S827" s="19"/>
      <c r="T827" s="19"/>
      <c r="U827" s="19"/>
      <c r="V827" s="19"/>
      <c r="W827" s="19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55" t="s">
        <v>21</v>
      </c>
      <c r="B828" s="55" t="s">
        <v>41</v>
      </c>
      <c r="C828" s="55" t="s">
        <v>42</v>
      </c>
      <c r="D828" s="55" t="s">
        <v>43</v>
      </c>
      <c r="E828" s="55" t="s">
        <v>25</v>
      </c>
      <c r="F828" s="55" t="s">
        <v>25</v>
      </c>
      <c r="G828" s="55" t="s">
        <v>25</v>
      </c>
      <c r="H828" s="55" t="s">
        <v>34</v>
      </c>
      <c r="I828" s="63">
        <v>44409</v>
      </c>
      <c r="J828" s="64">
        <f>EFEITO!$J$828*EFEITO!$Y$828</f>
        <v>0</v>
      </c>
      <c r="K828" s="64">
        <f ca="1">EFEITO!$L$828*EFEITO!$Z$828</f>
        <v>875975.73799783364</v>
      </c>
      <c r="L828" s="64">
        <f>EFEITO!$N$828*EFEITO!$AA$828</f>
        <v>234481.89565253435</v>
      </c>
      <c r="M828" s="64">
        <f>$J$828-EFEITO!$K$828*EFEITO!$Y$828</f>
        <v>0</v>
      </c>
      <c r="N828" s="64">
        <f ca="1">$K$828-EFEITO!$M$828*EFEITO!$Z$828</f>
        <v>0</v>
      </c>
      <c r="O828" s="64">
        <f>$L$828-EFEITO!$O$828*EFEITO!$AA$828</f>
        <v>0</v>
      </c>
      <c r="P828" s="19"/>
      <c r="Q828" s="19"/>
      <c r="R828" s="19"/>
      <c r="S828" s="19"/>
      <c r="T828" s="19"/>
      <c r="U828" s="19"/>
      <c r="V828" s="19"/>
      <c r="W828" s="19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55" t="s">
        <v>28</v>
      </c>
      <c r="B829" s="55" t="s">
        <v>41</v>
      </c>
      <c r="C829" s="55" t="s">
        <v>42</v>
      </c>
      <c r="D829" s="55" t="s">
        <v>43</v>
      </c>
      <c r="E829" s="55" t="s">
        <v>25</v>
      </c>
      <c r="F829" s="55" t="s">
        <v>25</v>
      </c>
      <c r="G829" s="55" t="s">
        <v>25</v>
      </c>
      <c r="H829" s="55" t="s">
        <v>34</v>
      </c>
      <c r="I829" s="63">
        <v>44409</v>
      </c>
      <c r="J829" s="64">
        <f>EFEITO!$J$829*EFEITO!$Y$829</f>
        <v>0</v>
      </c>
      <c r="K829" s="64">
        <f ca="1">EFEITO!$L$829*EFEITO!$Z$829</f>
        <v>65886.465848196473</v>
      </c>
      <c r="L829" s="64">
        <f>EFEITO!$N$829*EFEITO!$AA$829</f>
        <v>17636.542588773482</v>
      </c>
      <c r="M829" s="64">
        <f>$J$829-EFEITO!$K$829*EFEITO!$Y$829</f>
        <v>0</v>
      </c>
      <c r="N829" s="64">
        <f ca="1">$K$829-EFEITO!$M$829*EFEITO!$Z$829</f>
        <v>0</v>
      </c>
      <c r="O829" s="64">
        <f>$L$829-EFEITO!$O$829*EFEITO!$AA$829</f>
        <v>0</v>
      </c>
      <c r="P829" s="19"/>
      <c r="Q829" s="19"/>
      <c r="R829" s="19"/>
      <c r="S829" s="19"/>
      <c r="T829" s="19"/>
      <c r="U829" s="19"/>
      <c r="V829" s="19"/>
      <c r="W829" s="19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55" t="s">
        <v>28</v>
      </c>
      <c r="B830" s="55" t="s">
        <v>41</v>
      </c>
      <c r="C830" s="55" t="s">
        <v>42</v>
      </c>
      <c r="D830" s="55" t="s">
        <v>43</v>
      </c>
      <c r="E830" s="55" t="s">
        <v>25</v>
      </c>
      <c r="F830" s="55" t="s">
        <v>25</v>
      </c>
      <c r="G830" s="55" t="s">
        <v>25</v>
      </c>
      <c r="H830" s="55" t="s">
        <v>34</v>
      </c>
      <c r="I830" s="63">
        <v>44409</v>
      </c>
      <c r="J830" s="64">
        <f>EFEITO!$J$830*EFEITO!$Y$830</f>
        <v>0</v>
      </c>
      <c r="K830" s="64">
        <f ca="1">EFEITO!$L$830*EFEITO!$Z$830</f>
        <v>6400.8994295582152</v>
      </c>
      <c r="L830" s="64">
        <f>EFEITO!$N$830*EFEITO!$AA$830</f>
        <v>1713.3979481606921</v>
      </c>
      <c r="M830" s="64">
        <f>$J$830-EFEITO!$K$830*EFEITO!$Y$830</f>
        <v>0</v>
      </c>
      <c r="N830" s="64">
        <f ca="1">$K$830-EFEITO!$M$830*EFEITO!$Z$830</f>
        <v>0</v>
      </c>
      <c r="O830" s="64">
        <f>$L$830-EFEITO!$O$830*EFEITO!$AA$830</f>
        <v>0</v>
      </c>
      <c r="P830" s="19"/>
      <c r="Q830" s="19"/>
      <c r="R830" s="19"/>
      <c r="S830" s="19"/>
      <c r="T830" s="19"/>
      <c r="U830" s="19"/>
      <c r="V830" s="19"/>
      <c r="W830" s="19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55" t="s">
        <v>21</v>
      </c>
      <c r="B831" s="55" t="s">
        <v>41</v>
      </c>
      <c r="C831" s="55" t="s">
        <v>42</v>
      </c>
      <c r="D831" s="55" t="s">
        <v>43</v>
      </c>
      <c r="E831" s="55" t="s">
        <v>25</v>
      </c>
      <c r="F831" s="55" t="s">
        <v>25</v>
      </c>
      <c r="G831" s="55" t="s">
        <v>25</v>
      </c>
      <c r="H831" s="55" t="s">
        <v>34</v>
      </c>
      <c r="I831" s="63">
        <v>44409</v>
      </c>
      <c r="J831" s="64">
        <f>EFEITO!$J$831*EFEITO!$Y$831</f>
        <v>0</v>
      </c>
      <c r="K831" s="64">
        <f ca="1">EFEITO!$L$831*EFEITO!$Z$831</f>
        <v>1372.77489868574</v>
      </c>
      <c r="L831" s="64">
        <f>EFEITO!$N$831*EFEITO!$AA$831</f>
        <v>0</v>
      </c>
      <c r="M831" s="64">
        <f>$J$831-EFEITO!$K$831*EFEITO!$Y$831</f>
        <v>0</v>
      </c>
      <c r="N831" s="64">
        <f ca="1">$K$831-EFEITO!$M$831*EFEITO!$Z$831</f>
        <v>0</v>
      </c>
      <c r="O831" s="64">
        <f>$L$831-EFEITO!$O$831*EFEITO!$AA$831</f>
        <v>0</v>
      </c>
      <c r="P831" s="19"/>
      <c r="Q831" s="19"/>
      <c r="R831" s="19"/>
      <c r="S831" s="19"/>
      <c r="T831" s="19"/>
      <c r="U831" s="19"/>
      <c r="V831" s="19"/>
      <c r="W831" s="19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55" t="s">
        <v>21</v>
      </c>
      <c r="B832" s="55" t="s">
        <v>41</v>
      </c>
      <c r="C832" s="55" t="s">
        <v>42</v>
      </c>
      <c r="D832" s="55" t="s">
        <v>43</v>
      </c>
      <c r="E832" s="55" t="s">
        <v>25</v>
      </c>
      <c r="F832" s="55" t="s">
        <v>25</v>
      </c>
      <c r="G832" s="55" t="s">
        <v>25</v>
      </c>
      <c r="H832" s="55" t="s">
        <v>34</v>
      </c>
      <c r="I832" s="63">
        <v>44440</v>
      </c>
      <c r="J832" s="64">
        <f>EFEITO!$J$832*EFEITO!$Y$832</f>
        <v>0</v>
      </c>
      <c r="K832" s="64">
        <f ca="1">EFEITO!$L$832*EFEITO!$Z$832</f>
        <v>882702.33500139369</v>
      </c>
      <c r="L832" s="64">
        <f>EFEITO!$N$832*EFEITO!$AA$832</f>
        <v>236282.47659132894</v>
      </c>
      <c r="M832" s="64">
        <f>$J$832-EFEITO!$K$832*EFEITO!$Y$832</f>
        <v>0</v>
      </c>
      <c r="N832" s="64">
        <f ca="1">$K$832-EFEITO!$M$832*EFEITO!$Z$832</f>
        <v>0</v>
      </c>
      <c r="O832" s="64">
        <f>$L$832-EFEITO!$O$832*EFEITO!$AA$832</f>
        <v>0</v>
      </c>
      <c r="P832" s="19"/>
      <c r="Q832" s="19"/>
      <c r="R832" s="19"/>
      <c r="S832" s="19"/>
      <c r="T832" s="19"/>
      <c r="U832" s="19"/>
      <c r="V832" s="19"/>
      <c r="W832" s="19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55" t="s">
        <v>28</v>
      </c>
      <c r="B833" s="55" t="s">
        <v>41</v>
      </c>
      <c r="C833" s="55" t="s">
        <v>42</v>
      </c>
      <c r="D833" s="55" t="s">
        <v>43</v>
      </c>
      <c r="E833" s="55" t="s">
        <v>25</v>
      </c>
      <c r="F833" s="55" t="s">
        <v>25</v>
      </c>
      <c r="G833" s="55" t="s">
        <v>25</v>
      </c>
      <c r="H833" s="55" t="s">
        <v>34</v>
      </c>
      <c r="I833" s="63">
        <v>44440</v>
      </c>
      <c r="J833" s="64">
        <f>EFEITO!$J$833*EFEITO!$Y$833</f>
        <v>0</v>
      </c>
      <c r="K833" s="64">
        <f ca="1">EFEITO!$L$833*EFEITO!$Z$833</f>
        <v>84774.233424819671</v>
      </c>
      <c r="L833" s="64">
        <f>EFEITO!$N$833*EFEITO!$AA$833</f>
        <v>22692.435524956651</v>
      </c>
      <c r="M833" s="64">
        <f>$J$833-EFEITO!$K$833*EFEITO!$Y$833</f>
        <v>0</v>
      </c>
      <c r="N833" s="64">
        <f ca="1">$K$833-EFEITO!$M$833*EFEITO!$Z$833</f>
        <v>0</v>
      </c>
      <c r="O833" s="64">
        <f>$L$833-EFEITO!$O$833*EFEITO!$AA$833</f>
        <v>0</v>
      </c>
      <c r="P833" s="19"/>
      <c r="Q833" s="19"/>
      <c r="R833" s="19"/>
      <c r="S833" s="19"/>
      <c r="T833" s="19"/>
      <c r="U833" s="19"/>
      <c r="V833" s="19"/>
      <c r="W833" s="19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55" t="s">
        <v>21</v>
      </c>
      <c r="B834" s="55" t="s">
        <v>41</v>
      </c>
      <c r="C834" s="55" t="s">
        <v>42</v>
      </c>
      <c r="D834" s="55" t="s">
        <v>43</v>
      </c>
      <c r="E834" s="55" t="s">
        <v>25</v>
      </c>
      <c r="F834" s="55" t="s">
        <v>25</v>
      </c>
      <c r="G834" s="55" t="s">
        <v>25</v>
      </c>
      <c r="H834" s="55" t="s">
        <v>34</v>
      </c>
      <c r="I834" s="63">
        <v>44440</v>
      </c>
      <c r="J834" s="64">
        <f>EFEITO!$J$834*EFEITO!$Y$834</f>
        <v>0</v>
      </c>
      <c r="K834" s="64">
        <f ca="1">EFEITO!$L$834*EFEITO!$Z$834</f>
        <v>3549.0268704257805</v>
      </c>
      <c r="L834" s="64">
        <f>EFEITO!$N$834*EFEITO!$AA$834</f>
        <v>0</v>
      </c>
      <c r="M834" s="64">
        <f>$J$834-EFEITO!$K$834*EFEITO!$Y$834</f>
        <v>0</v>
      </c>
      <c r="N834" s="64">
        <f ca="1">$K$834-EFEITO!$M$834*EFEITO!$Z$834</f>
        <v>0</v>
      </c>
      <c r="O834" s="64">
        <f>$L$834-EFEITO!$O$834*EFEITO!$AA$834</f>
        <v>0</v>
      </c>
      <c r="P834" s="19"/>
      <c r="Q834" s="19"/>
      <c r="R834" s="19"/>
      <c r="S834" s="19"/>
      <c r="T834" s="19"/>
      <c r="U834" s="19"/>
      <c r="V834" s="19"/>
      <c r="W834" s="19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55" t="s">
        <v>21</v>
      </c>
      <c r="B835" s="55" t="s">
        <v>41</v>
      </c>
      <c r="C835" s="55" t="s">
        <v>42</v>
      </c>
      <c r="D835" s="55" t="s">
        <v>43</v>
      </c>
      <c r="E835" s="55" t="s">
        <v>25</v>
      </c>
      <c r="F835" s="55" t="s">
        <v>25</v>
      </c>
      <c r="G835" s="55" t="s">
        <v>25</v>
      </c>
      <c r="H835" s="55" t="s">
        <v>34</v>
      </c>
      <c r="I835" s="63">
        <v>44470</v>
      </c>
      <c r="J835" s="64">
        <f>EFEITO!$J$835*EFEITO!$Y$835</f>
        <v>0</v>
      </c>
      <c r="K835" s="64">
        <f ca="1">EFEITO!$L$835*EFEITO!$Z$835</f>
        <v>1001369.3039885692</v>
      </c>
      <c r="L835" s="64">
        <f>EFEITO!$N$835*EFEITO!$AA$835</f>
        <v>268047.34704659064</v>
      </c>
      <c r="M835" s="64">
        <f>$J$835-EFEITO!$K$835*EFEITO!$Y$835</f>
        <v>0</v>
      </c>
      <c r="N835" s="64">
        <f ca="1">$K$835-EFEITO!$M$835*EFEITO!$Z$835</f>
        <v>0</v>
      </c>
      <c r="O835" s="64">
        <f>$L$835-EFEITO!$O$835*EFEITO!$AA$835</f>
        <v>0</v>
      </c>
      <c r="P835" s="19"/>
      <c r="Q835" s="19"/>
      <c r="R835" s="19"/>
      <c r="S835" s="19"/>
      <c r="T835" s="19"/>
      <c r="U835" s="19"/>
      <c r="V835" s="19"/>
      <c r="W835" s="19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55" t="s">
        <v>27</v>
      </c>
      <c r="B836" s="55" t="s">
        <v>41</v>
      </c>
      <c r="C836" s="55" t="s">
        <v>42</v>
      </c>
      <c r="D836" s="55" t="s">
        <v>43</v>
      </c>
      <c r="E836" s="55" t="s">
        <v>25</v>
      </c>
      <c r="F836" s="55" t="s">
        <v>25</v>
      </c>
      <c r="G836" s="55" t="s">
        <v>25</v>
      </c>
      <c r="H836" s="55" t="s">
        <v>34</v>
      </c>
      <c r="I836" s="63">
        <v>44470</v>
      </c>
      <c r="J836" s="64">
        <f>EFEITO!$J$836*EFEITO!$Y$836</f>
        <v>0</v>
      </c>
      <c r="K836" s="64">
        <f ca="1">EFEITO!$L$836*EFEITO!$Z$836</f>
        <v>-994.58887267525665</v>
      </c>
      <c r="L836" s="64">
        <f>EFEITO!$N$836*EFEITO!$AA$836</f>
        <v>-266.23235569612098</v>
      </c>
      <c r="M836" s="64">
        <f>$J$836-EFEITO!$K$836*EFEITO!$Y$836</f>
        <v>0</v>
      </c>
      <c r="N836" s="64">
        <f ca="1">$K$836-EFEITO!$M$836*EFEITO!$Z$836</f>
        <v>0</v>
      </c>
      <c r="O836" s="64">
        <f>$L$836-EFEITO!$O$836*EFEITO!$AA$836</f>
        <v>0</v>
      </c>
      <c r="P836" s="19"/>
      <c r="Q836" s="19"/>
      <c r="R836" s="19"/>
      <c r="S836" s="19"/>
      <c r="T836" s="19"/>
      <c r="U836" s="19"/>
      <c r="V836" s="19"/>
      <c r="W836" s="19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55" t="s">
        <v>28</v>
      </c>
      <c r="B837" s="55" t="s">
        <v>41</v>
      </c>
      <c r="C837" s="55" t="s">
        <v>42</v>
      </c>
      <c r="D837" s="55" t="s">
        <v>43</v>
      </c>
      <c r="E837" s="55" t="s">
        <v>25</v>
      </c>
      <c r="F837" s="55" t="s">
        <v>25</v>
      </c>
      <c r="G837" s="55" t="s">
        <v>25</v>
      </c>
      <c r="H837" s="55" t="s">
        <v>34</v>
      </c>
      <c r="I837" s="63">
        <v>44470</v>
      </c>
      <c r="J837" s="64">
        <f>EFEITO!$J$837*EFEITO!$Y$837</f>
        <v>0</v>
      </c>
      <c r="K837" s="64">
        <f ca="1">EFEITO!$L$837*EFEITO!$Z$837</f>
        <v>98775.191533670411</v>
      </c>
      <c r="L837" s="64">
        <f>EFEITO!$N$837*EFEITO!$AA$837</f>
        <v>26440.223341339257</v>
      </c>
      <c r="M837" s="64">
        <f>$J$837-EFEITO!$K$837*EFEITO!$Y$837</f>
        <v>0</v>
      </c>
      <c r="N837" s="64">
        <f ca="1">$K$837-EFEITO!$M$837*EFEITO!$Z$837</f>
        <v>0</v>
      </c>
      <c r="O837" s="64">
        <f>$L$837-EFEITO!$O$837*EFEITO!$AA$837</f>
        <v>0</v>
      </c>
      <c r="P837" s="19"/>
      <c r="Q837" s="19"/>
      <c r="R837" s="19"/>
      <c r="S837" s="19"/>
      <c r="T837" s="19"/>
      <c r="U837" s="19"/>
      <c r="V837" s="19"/>
      <c r="W837" s="19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55" t="s">
        <v>21</v>
      </c>
      <c r="B838" s="55" t="s">
        <v>41</v>
      </c>
      <c r="C838" s="55" t="s">
        <v>42</v>
      </c>
      <c r="D838" s="55" t="s">
        <v>43</v>
      </c>
      <c r="E838" s="55" t="s">
        <v>25</v>
      </c>
      <c r="F838" s="55" t="s">
        <v>25</v>
      </c>
      <c r="G838" s="55" t="s">
        <v>25</v>
      </c>
      <c r="H838" s="55" t="s">
        <v>34</v>
      </c>
      <c r="I838" s="63">
        <v>44470</v>
      </c>
      <c r="J838" s="64">
        <f>EFEITO!$J$838*EFEITO!$Y$838</f>
        <v>0</v>
      </c>
      <c r="K838" s="64">
        <f ca="1">EFEITO!$L$838*EFEITO!$Z$838</f>
        <v>2469.6489598905223</v>
      </c>
      <c r="L838" s="64">
        <f>EFEITO!$N$838*EFEITO!$AA$838</f>
        <v>0</v>
      </c>
      <c r="M838" s="64">
        <f>$J$838-EFEITO!$K$838*EFEITO!$Y$838</f>
        <v>0</v>
      </c>
      <c r="N838" s="64">
        <f ca="1">$K$838-EFEITO!$M$838*EFEITO!$Z$838</f>
        <v>0</v>
      </c>
      <c r="O838" s="64">
        <f>$L$838-EFEITO!$O$838*EFEITO!$AA$838</f>
        <v>0</v>
      </c>
      <c r="P838" s="19"/>
      <c r="Q838" s="19"/>
      <c r="R838" s="19"/>
      <c r="S838" s="19"/>
      <c r="T838" s="19"/>
      <c r="U838" s="19"/>
      <c r="V838" s="19"/>
      <c r="W838" s="19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55" t="s">
        <v>21</v>
      </c>
      <c r="B839" s="55" t="s">
        <v>41</v>
      </c>
      <c r="C839" s="55" t="s">
        <v>42</v>
      </c>
      <c r="D839" s="55" t="s">
        <v>43</v>
      </c>
      <c r="E839" s="55" t="s">
        <v>25</v>
      </c>
      <c r="F839" s="55" t="s">
        <v>25</v>
      </c>
      <c r="G839" s="55" t="s">
        <v>25</v>
      </c>
      <c r="H839" s="55" t="s">
        <v>34</v>
      </c>
      <c r="I839" s="63">
        <v>44501</v>
      </c>
      <c r="J839" s="64">
        <f>EFEITO!$J$839*EFEITO!$Y$839</f>
        <v>0</v>
      </c>
      <c r="K839" s="64">
        <f ca="1">EFEITO!$L$839*EFEITO!$Z$839</f>
        <v>973574.64986341435</v>
      </c>
      <c r="L839" s="64">
        <f>EFEITO!$N$839*EFEITO!$AA$839</f>
        <v>260607.25149877425</v>
      </c>
      <c r="M839" s="64">
        <f>$J$839-EFEITO!$K$839*EFEITO!$Y$839</f>
        <v>0</v>
      </c>
      <c r="N839" s="64">
        <f ca="1">$K$839-EFEITO!$M$839*EFEITO!$Z$839</f>
        <v>0</v>
      </c>
      <c r="O839" s="64">
        <f>$L$839-EFEITO!$O$839*EFEITO!$AA$839</f>
        <v>0</v>
      </c>
      <c r="P839" s="19"/>
      <c r="Q839" s="19"/>
      <c r="R839" s="19"/>
      <c r="S839" s="19"/>
      <c r="T839" s="19"/>
      <c r="U839" s="19"/>
      <c r="V839" s="19"/>
      <c r="W839" s="19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55" t="s">
        <v>27</v>
      </c>
      <c r="B840" s="55" t="s">
        <v>41</v>
      </c>
      <c r="C840" s="55" t="s">
        <v>42</v>
      </c>
      <c r="D840" s="55" t="s">
        <v>43</v>
      </c>
      <c r="E840" s="55" t="s">
        <v>25</v>
      </c>
      <c r="F840" s="55" t="s">
        <v>25</v>
      </c>
      <c r="G840" s="55" t="s">
        <v>25</v>
      </c>
      <c r="H840" s="55" t="s">
        <v>34</v>
      </c>
      <c r="I840" s="63">
        <v>44501</v>
      </c>
      <c r="J840" s="64">
        <f>EFEITO!$J$840*EFEITO!$Y$840</f>
        <v>0</v>
      </c>
      <c r="K840" s="64">
        <f ca="1">EFEITO!$L$840*EFEITO!$Z$840</f>
        <v>-34876.557573080652</v>
      </c>
      <c r="L840" s="64">
        <f>EFEITO!$N$840*EFEITO!$AA$840</f>
        <v>-9335.7852036661425</v>
      </c>
      <c r="M840" s="64">
        <f>$J$840-EFEITO!$K$840*EFEITO!$Y$840</f>
        <v>0</v>
      </c>
      <c r="N840" s="64">
        <f ca="1">$K$840-EFEITO!$M$840*EFEITO!$Z$840</f>
        <v>0</v>
      </c>
      <c r="O840" s="64">
        <f>$L$840-EFEITO!$O$840*EFEITO!$AA$840</f>
        <v>0</v>
      </c>
      <c r="P840" s="19"/>
      <c r="Q840" s="19"/>
      <c r="R840" s="19"/>
      <c r="S840" s="19"/>
      <c r="T840" s="19"/>
      <c r="U840" s="19"/>
      <c r="V840" s="19"/>
      <c r="W840" s="19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55" t="s">
        <v>28</v>
      </c>
      <c r="B841" s="55" t="s">
        <v>41</v>
      </c>
      <c r="C841" s="55" t="s">
        <v>42</v>
      </c>
      <c r="D841" s="55" t="s">
        <v>43</v>
      </c>
      <c r="E841" s="55" t="s">
        <v>25</v>
      </c>
      <c r="F841" s="55" t="s">
        <v>25</v>
      </c>
      <c r="G841" s="55" t="s">
        <v>25</v>
      </c>
      <c r="H841" s="55" t="s">
        <v>34</v>
      </c>
      <c r="I841" s="63">
        <v>44501</v>
      </c>
      <c r="J841" s="64">
        <f>EFEITO!$J$841*EFEITO!$Y$841</f>
        <v>0</v>
      </c>
      <c r="K841" s="64">
        <f ca="1">EFEITO!$L$841*EFEITO!$Z$841</f>
        <v>94495.363908356056</v>
      </c>
      <c r="L841" s="64">
        <f>EFEITO!$N$841*EFEITO!$AA$841</f>
        <v>25294.595613174624</v>
      </c>
      <c r="M841" s="64">
        <f>$J$841-EFEITO!$K$841*EFEITO!$Y$841</f>
        <v>0</v>
      </c>
      <c r="N841" s="64">
        <f ca="1">$K$841-EFEITO!$M$841*EFEITO!$Z$841</f>
        <v>0</v>
      </c>
      <c r="O841" s="64">
        <f>$L$841-EFEITO!$O$841*EFEITO!$AA$841</f>
        <v>0</v>
      </c>
      <c r="P841" s="19"/>
      <c r="Q841" s="19"/>
      <c r="R841" s="19"/>
      <c r="S841" s="19"/>
      <c r="T841" s="19"/>
      <c r="U841" s="19"/>
      <c r="V841" s="19"/>
      <c r="W841" s="19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55" t="s">
        <v>21</v>
      </c>
      <c r="B842" s="55" t="s">
        <v>41</v>
      </c>
      <c r="C842" s="55" t="s">
        <v>42</v>
      </c>
      <c r="D842" s="55" t="s">
        <v>43</v>
      </c>
      <c r="E842" s="55" t="s">
        <v>25</v>
      </c>
      <c r="F842" s="55" t="s">
        <v>25</v>
      </c>
      <c r="G842" s="55" t="s">
        <v>25</v>
      </c>
      <c r="H842" s="55" t="s">
        <v>34</v>
      </c>
      <c r="I842" s="63">
        <v>44501</v>
      </c>
      <c r="J842" s="64">
        <f>EFEITO!$J$842*EFEITO!$Y$842</f>
        <v>0</v>
      </c>
      <c r="K842" s="64">
        <f ca="1">EFEITO!$L$842*EFEITO!$Z$842</f>
        <v>1298.7527227762148</v>
      </c>
      <c r="L842" s="64">
        <f>EFEITO!$N$842*EFEITO!$AA$842</f>
        <v>0</v>
      </c>
      <c r="M842" s="64">
        <f>$J$842-EFEITO!$K$842*EFEITO!$Y$842</f>
        <v>0</v>
      </c>
      <c r="N842" s="64">
        <f ca="1">$K$842-EFEITO!$M$842*EFEITO!$Z$842</f>
        <v>0</v>
      </c>
      <c r="O842" s="64">
        <f>$L$842-EFEITO!$O$842*EFEITO!$AA$842</f>
        <v>0</v>
      </c>
      <c r="P842" s="19"/>
      <c r="Q842" s="19"/>
      <c r="R842" s="19"/>
      <c r="S842" s="19"/>
      <c r="T842" s="19"/>
      <c r="U842" s="19"/>
      <c r="V842" s="19"/>
      <c r="W842" s="19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55" t="s">
        <v>21</v>
      </c>
      <c r="B843" s="55" t="s">
        <v>41</v>
      </c>
      <c r="C843" s="55" t="s">
        <v>42</v>
      </c>
      <c r="D843" s="55" t="s">
        <v>43</v>
      </c>
      <c r="E843" s="55" t="s">
        <v>25</v>
      </c>
      <c r="F843" s="55" t="s">
        <v>25</v>
      </c>
      <c r="G843" s="55" t="s">
        <v>25</v>
      </c>
      <c r="H843" s="55" t="s">
        <v>34</v>
      </c>
      <c r="I843" s="63">
        <v>44531</v>
      </c>
      <c r="J843" s="64">
        <f>EFEITO!$J$843*EFEITO!$Y$843</f>
        <v>0</v>
      </c>
      <c r="K843" s="64">
        <f ca="1">EFEITO!$L$843*EFEITO!$Z$843</f>
        <v>1137327.8532682098</v>
      </c>
      <c r="L843" s="64">
        <f>EFEITO!$N$843*EFEITO!$AA$843</f>
        <v>304440.8417318709</v>
      </c>
      <c r="M843" s="64">
        <f>$J$843-EFEITO!$K$843*EFEITO!$Y$843</f>
        <v>0</v>
      </c>
      <c r="N843" s="64">
        <f ca="1">$K$843-EFEITO!$M$843*EFEITO!$Z$843</f>
        <v>0</v>
      </c>
      <c r="O843" s="64">
        <f>$L$843-EFEITO!$O$843*EFEITO!$AA$843</f>
        <v>0</v>
      </c>
      <c r="P843" s="19"/>
      <c r="Q843" s="19"/>
      <c r="R843" s="19"/>
      <c r="S843" s="19"/>
      <c r="T843" s="19"/>
      <c r="U843" s="19"/>
      <c r="V843" s="19"/>
      <c r="W843" s="19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55" t="s">
        <v>27</v>
      </c>
      <c r="B844" s="55" t="s">
        <v>41</v>
      </c>
      <c r="C844" s="55" t="s">
        <v>42</v>
      </c>
      <c r="D844" s="55" t="s">
        <v>43</v>
      </c>
      <c r="E844" s="55" t="s">
        <v>25</v>
      </c>
      <c r="F844" s="55" t="s">
        <v>25</v>
      </c>
      <c r="G844" s="55" t="s">
        <v>25</v>
      </c>
      <c r="H844" s="55" t="s">
        <v>34</v>
      </c>
      <c r="I844" s="63">
        <v>44531</v>
      </c>
      <c r="J844" s="64">
        <f>EFEITO!$J$844*EFEITO!$Y$844</f>
        <v>0</v>
      </c>
      <c r="K844" s="64">
        <f ca="1">EFEITO!$L$844*EFEITO!$Z$844</f>
        <v>-11733.187810531648</v>
      </c>
      <c r="L844" s="64">
        <f>EFEITO!$N$844*EFEITO!$AA$844</f>
        <v>-3140.749224572101</v>
      </c>
      <c r="M844" s="64">
        <f>$J$844-EFEITO!$K$844*EFEITO!$Y$844</f>
        <v>0</v>
      </c>
      <c r="N844" s="64">
        <f ca="1">$K$844-EFEITO!$M$844*EFEITO!$Z$844</f>
        <v>0</v>
      </c>
      <c r="O844" s="64">
        <f>$L$844-EFEITO!$O$844*EFEITO!$AA$844</f>
        <v>0</v>
      </c>
      <c r="P844" s="19"/>
      <c r="Q844" s="19"/>
      <c r="R844" s="19"/>
      <c r="S844" s="19"/>
      <c r="T844" s="19"/>
      <c r="U844" s="19"/>
      <c r="V844" s="19"/>
      <c r="W844" s="19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55" t="s">
        <v>28</v>
      </c>
      <c r="B845" s="55" t="s">
        <v>41</v>
      </c>
      <c r="C845" s="55" t="s">
        <v>42</v>
      </c>
      <c r="D845" s="55" t="s">
        <v>43</v>
      </c>
      <c r="E845" s="55" t="s">
        <v>25</v>
      </c>
      <c r="F845" s="55" t="s">
        <v>25</v>
      </c>
      <c r="G845" s="55" t="s">
        <v>25</v>
      </c>
      <c r="H845" s="55" t="s">
        <v>34</v>
      </c>
      <c r="I845" s="63">
        <v>44531</v>
      </c>
      <c r="J845" s="64">
        <f>EFEITO!$J$845*EFEITO!$Y$845</f>
        <v>0</v>
      </c>
      <c r="K845" s="64">
        <f ca="1">EFEITO!$L$845*EFEITO!$Z$845</f>
        <v>119806.91049618224</v>
      </c>
      <c r="L845" s="64">
        <f>EFEITO!$N$845*EFEITO!$AA$845</f>
        <v>32070.010922480371</v>
      </c>
      <c r="M845" s="64">
        <f>$J$845-EFEITO!$K$845*EFEITO!$Y$845</f>
        <v>0</v>
      </c>
      <c r="N845" s="64">
        <f ca="1">$K$845-EFEITO!$M$845*EFEITO!$Z$845</f>
        <v>0</v>
      </c>
      <c r="O845" s="64">
        <f>$L$845-EFEITO!$O$845*EFEITO!$AA$845</f>
        <v>0</v>
      </c>
      <c r="P845" s="19"/>
      <c r="Q845" s="19"/>
      <c r="R845" s="19"/>
      <c r="S845" s="19"/>
      <c r="T845" s="19"/>
      <c r="U845" s="19"/>
      <c r="V845" s="19"/>
      <c r="W845" s="19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55" t="s">
        <v>21</v>
      </c>
      <c r="B846" s="55" t="s">
        <v>41</v>
      </c>
      <c r="C846" s="55" t="s">
        <v>42</v>
      </c>
      <c r="D846" s="55" t="s">
        <v>43</v>
      </c>
      <c r="E846" s="55" t="s">
        <v>25</v>
      </c>
      <c r="F846" s="55" t="s">
        <v>25</v>
      </c>
      <c r="G846" s="55" t="s">
        <v>25</v>
      </c>
      <c r="H846" s="55" t="s">
        <v>34</v>
      </c>
      <c r="I846" s="63">
        <v>44531</v>
      </c>
      <c r="J846" s="64">
        <f>EFEITO!$J$846*EFEITO!$Y$846</f>
        <v>0</v>
      </c>
      <c r="K846" s="64">
        <f ca="1">EFEITO!$L$846*EFEITO!$Z$846</f>
        <v>1728.0813430514609</v>
      </c>
      <c r="L846" s="64">
        <f>EFEITO!$N$846*EFEITO!$AA$846</f>
        <v>0</v>
      </c>
      <c r="M846" s="64">
        <f>$J$846-EFEITO!$K$846*EFEITO!$Y$846</f>
        <v>0</v>
      </c>
      <c r="N846" s="64">
        <f ca="1">$K$846-EFEITO!$M$846*EFEITO!$Z$846</f>
        <v>0</v>
      </c>
      <c r="O846" s="64">
        <f>$L$846-EFEITO!$O$846*EFEITO!$AA$846</f>
        <v>0</v>
      </c>
      <c r="P846" s="19"/>
      <c r="Q846" s="19"/>
      <c r="R846" s="19"/>
      <c r="S846" s="19"/>
      <c r="T846" s="19"/>
      <c r="U846" s="19"/>
      <c r="V846" s="19"/>
      <c r="W846" s="19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55" t="s">
        <v>21</v>
      </c>
      <c r="B847" s="55" t="s">
        <v>41</v>
      </c>
      <c r="C847" s="55" t="s">
        <v>42</v>
      </c>
      <c r="D847" s="55" t="s">
        <v>43</v>
      </c>
      <c r="E847" s="55" t="s">
        <v>25</v>
      </c>
      <c r="F847" s="55" t="s">
        <v>25</v>
      </c>
      <c r="G847" s="55" t="s">
        <v>25</v>
      </c>
      <c r="H847" s="55" t="s">
        <v>34</v>
      </c>
      <c r="I847" s="63">
        <v>44562</v>
      </c>
      <c r="J847" s="64">
        <f>EFEITO!$J$847*EFEITO!$Y$847</f>
        <v>0</v>
      </c>
      <c r="K847" s="64">
        <f ca="1">EFEITO!$L$847*EFEITO!$Z$847</f>
        <v>1148210.4589846539</v>
      </c>
      <c r="L847" s="64">
        <f>EFEITO!$N$847*EFEITO!$AA$847</f>
        <v>307353.90645197761</v>
      </c>
      <c r="M847" s="64">
        <f>$J$847-EFEITO!$K$847*EFEITO!$Y$847</f>
        <v>0</v>
      </c>
      <c r="N847" s="64">
        <f ca="1">$K$847-EFEITO!$M$847*EFEITO!$Z$847</f>
        <v>0</v>
      </c>
      <c r="O847" s="64">
        <f>$L$847-EFEITO!$O$847*EFEITO!$AA$847</f>
        <v>0</v>
      </c>
      <c r="P847" s="19"/>
      <c r="Q847" s="19"/>
      <c r="R847" s="19"/>
      <c r="S847" s="19"/>
      <c r="T847" s="19"/>
      <c r="U847" s="19"/>
      <c r="V847" s="19"/>
      <c r="W847" s="19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55" t="s">
        <v>28</v>
      </c>
      <c r="B848" s="55" t="s">
        <v>41</v>
      </c>
      <c r="C848" s="55" t="s">
        <v>42</v>
      </c>
      <c r="D848" s="55" t="s">
        <v>43</v>
      </c>
      <c r="E848" s="55" t="s">
        <v>25</v>
      </c>
      <c r="F848" s="55" t="s">
        <v>25</v>
      </c>
      <c r="G848" s="55" t="s">
        <v>25</v>
      </c>
      <c r="H848" s="55" t="s">
        <v>34</v>
      </c>
      <c r="I848" s="63">
        <v>44562</v>
      </c>
      <c r="J848" s="64">
        <f>EFEITO!$J$848*EFEITO!$Y$848</f>
        <v>0</v>
      </c>
      <c r="K848" s="64">
        <f ca="1">EFEITO!$L$848*EFEITO!$Z$848</f>
        <v>95886.980815455114</v>
      </c>
      <c r="L848" s="64">
        <f>EFEITO!$N$848*EFEITO!$AA$848</f>
        <v>25667.104754974065</v>
      </c>
      <c r="M848" s="64">
        <f>$J$848-EFEITO!$K$848*EFEITO!$Y$848</f>
        <v>0</v>
      </c>
      <c r="N848" s="64">
        <f ca="1">$K$848-EFEITO!$M$848*EFEITO!$Z$848</f>
        <v>0</v>
      </c>
      <c r="O848" s="64">
        <f>$L$848-EFEITO!$O$848*EFEITO!$AA$848</f>
        <v>0</v>
      </c>
      <c r="P848" s="19"/>
      <c r="Q848" s="19"/>
      <c r="R848" s="19"/>
      <c r="S848" s="19"/>
      <c r="T848" s="19"/>
      <c r="U848" s="19"/>
      <c r="V848" s="19"/>
      <c r="W848" s="19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55" t="s">
        <v>21</v>
      </c>
      <c r="B849" s="55" t="s">
        <v>41</v>
      </c>
      <c r="C849" s="55" t="s">
        <v>42</v>
      </c>
      <c r="D849" s="55" t="s">
        <v>43</v>
      </c>
      <c r="E849" s="55" t="s">
        <v>25</v>
      </c>
      <c r="F849" s="55" t="s">
        <v>25</v>
      </c>
      <c r="G849" s="55" t="s">
        <v>25</v>
      </c>
      <c r="H849" s="55" t="s">
        <v>34</v>
      </c>
      <c r="I849" s="63">
        <v>44593</v>
      </c>
      <c r="J849" s="64">
        <f>EFEITO!$J$849*EFEITO!$Y$849</f>
        <v>0</v>
      </c>
      <c r="K849" s="64">
        <f ca="1">EFEITO!$L$849*EFEITO!$Z$849</f>
        <v>1058849.5423689312</v>
      </c>
      <c r="L849" s="64">
        <f>EFEITO!$N$849*EFEITO!$AA$849</f>
        <v>283433.70385230862</v>
      </c>
      <c r="M849" s="64">
        <f>$J$849-EFEITO!$K$849*EFEITO!$Y$849</f>
        <v>0</v>
      </c>
      <c r="N849" s="64">
        <f ca="1">$K$849-EFEITO!$M$849*EFEITO!$Z$849</f>
        <v>0</v>
      </c>
      <c r="O849" s="64">
        <f>$L$849-EFEITO!$O$849*EFEITO!$AA$849</f>
        <v>0</v>
      </c>
      <c r="P849" s="19"/>
      <c r="Q849" s="19"/>
      <c r="R849" s="19"/>
      <c r="S849" s="19"/>
      <c r="T849" s="19"/>
      <c r="U849" s="19"/>
      <c r="V849" s="19"/>
      <c r="W849" s="19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55" t="s">
        <v>27</v>
      </c>
      <c r="B850" s="55" t="s">
        <v>41</v>
      </c>
      <c r="C850" s="55" t="s">
        <v>42</v>
      </c>
      <c r="D850" s="55" t="s">
        <v>43</v>
      </c>
      <c r="E850" s="55" t="s">
        <v>25</v>
      </c>
      <c r="F850" s="55" t="s">
        <v>25</v>
      </c>
      <c r="G850" s="55" t="s">
        <v>25</v>
      </c>
      <c r="H850" s="55" t="s">
        <v>34</v>
      </c>
      <c r="I850" s="63">
        <v>44593</v>
      </c>
      <c r="J850" s="64">
        <f>EFEITO!$J$850*EFEITO!$Y$850</f>
        <v>0</v>
      </c>
      <c r="K850" s="64">
        <f ca="1">EFEITO!$L$850*EFEITO!$Z$850</f>
        <v>-6909.6336567182252</v>
      </c>
      <c r="L850" s="64">
        <f>EFEITO!$N$850*EFEITO!$AA$850</f>
        <v>-1849.5763384896959</v>
      </c>
      <c r="M850" s="64">
        <f>$J$850-EFEITO!$K$850*EFEITO!$Y$850</f>
        <v>0</v>
      </c>
      <c r="N850" s="64">
        <f ca="1">$K$850-EFEITO!$M$850*EFEITO!$Z$850</f>
        <v>0</v>
      </c>
      <c r="O850" s="64">
        <f>$L$850-EFEITO!$O$850*EFEITO!$AA$850</f>
        <v>0</v>
      </c>
      <c r="P850" s="19"/>
      <c r="Q850" s="19"/>
      <c r="R850" s="19"/>
      <c r="S850" s="19"/>
      <c r="T850" s="19"/>
      <c r="U850" s="19"/>
      <c r="V850" s="19"/>
      <c r="W850" s="19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55" t="s">
        <v>28</v>
      </c>
      <c r="B851" s="55" t="s">
        <v>41</v>
      </c>
      <c r="C851" s="55" t="s">
        <v>42</v>
      </c>
      <c r="D851" s="55" t="s">
        <v>43</v>
      </c>
      <c r="E851" s="55" t="s">
        <v>25</v>
      </c>
      <c r="F851" s="55" t="s">
        <v>25</v>
      </c>
      <c r="G851" s="55" t="s">
        <v>25</v>
      </c>
      <c r="H851" s="55" t="s">
        <v>34</v>
      </c>
      <c r="I851" s="63">
        <v>44593</v>
      </c>
      <c r="J851" s="64">
        <f>EFEITO!$J$851*EFEITO!$Y$851</f>
        <v>0</v>
      </c>
      <c r="K851" s="64">
        <f ca="1">EFEITO!$L$851*EFEITO!$Z$851</f>
        <v>93878.961061691283</v>
      </c>
      <c r="L851" s="64">
        <f>EFEITO!$N$851*EFEITO!$AA$851</f>
        <v>25129.596399495567</v>
      </c>
      <c r="M851" s="64">
        <f>$J$851-EFEITO!$K$851*EFEITO!$Y$851</f>
        <v>0</v>
      </c>
      <c r="N851" s="64">
        <f ca="1">$K$851-EFEITO!$M$851*EFEITO!$Z$851</f>
        <v>0</v>
      </c>
      <c r="O851" s="64">
        <f>$L$851-EFEITO!$O$851*EFEITO!$AA$851</f>
        <v>0</v>
      </c>
      <c r="P851" s="19"/>
      <c r="Q851" s="19"/>
      <c r="R851" s="19"/>
      <c r="S851" s="19"/>
      <c r="T851" s="19"/>
      <c r="U851" s="19"/>
      <c r="V851" s="19"/>
      <c r="W851" s="19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55" t="s">
        <v>28</v>
      </c>
      <c r="B852" s="55" t="s">
        <v>41</v>
      </c>
      <c r="C852" s="55" t="s">
        <v>42</v>
      </c>
      <c r="D852" s="55" t="s">
        <v>43</v>
      </c>
      <c r="E852" s="55" t="s">
        <v>25</v>
      </c>
      <c r="F852" s="55" t="s">
        <v>25</v>
      </c>
      <c r="G852" s="55" t="s">
        <v>25</v>
      </c>
      <c r="H852" s="55" t="s">
        <v>34</v>
      </c>
      <c r="I852" s="63">
        <v>44593</v>
      </c>
      <c r="J852" s="64">
        <f>EFEITO!$J$852*EFEITO!$Y$852</f>
        <v>0</v>
      </c>
      <c r="K852" s="64">
        <f ca="1">EFEITO!$L$852*EFEITO!$Z$852</f>
        <v>-28556.409608151011</v>
      </c>
      <c r="L852" s="64">
        <f>EFEITO!$N$852*EFEITO!$AA$852</f>
        <v>-7644.0028730179902</v>
      </c>
      <c r="M852" s="64">
        <f>$J$852-EFEITO!$K$852*EFEITO!$Y$852</f>
        <v>0</v>
      </c>
      <c r="N852" s="64">
        <f ca="1">$K$852-EFEITO!$M$852*EFEITO!$Z$852</f>
        <v>0</v>
      </c>
      <c r="O852" s="64">
        <f>$L$852-EFEITO!$O$852*EFEITO!$AA$852</f>
        <v>0</v>
      </c>
      <c r="P852" s="19"/>
      <c r="Q852" s="19"/>
      <c r="R852" s="19"/>
      <c r="S852" s="19"/>
      <c r="T852" s="19"/>
      <c r="U852" s="19"/>
      <c r="V852" s="19"/>
      <c r="W852" s="19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55" t="s">
        <v>21</v>
      </c>
      <c r="B853" s="55" t="s">
        <v>41</v>
      </c>
      <c r="C853" s="55" t="s">
        <v>42</v>
      </c>
      <c r="D853" s="55" t="s">
        <v>43</v>
      </c>
      <c r="E853" s="55" t="s">
        <v>25</v>
      </c>
      <c r="F853" s="55" t="s">
        <v>25</v>
      </c>
      <c r="G853" s="55" t="s">
        <v>25</v>
      </c>
      <c r="H853" s="55" t="s">
        <v>34</v>
      </c>
      <c r="I853" s="63">
        <v>44621</v>
      </c>
      <c r="J853" s="64">
        <f>EFEITO!$J$853*EFEITO!$Y$853</f>
        <v>0</v>
      </c>
      <c r="K853" s="64">
        <f ca="1">EFEITO!$L$853*EFEITO!$Z$853</f>
        <v>1138020.9700062717</v>
      </c>
      <c r="L853" s="64">
        <f>EFEITO!$N$853*EFEITO!$AA$853</f>
        <v>304626.37578218686</v>
      </c>
      <c r="M853" s="64">
        <f>$J$853-EFEITO!$K$853*EFEITO!$Y$853</f>
        <v>0</v>
      </c>
      <c r="N853" s="64">
        <f ca="1">$K$853-EFEITO!$M$853*EFEITO!$Z$853</f>
        <v>0</v>
      </c>
      <c r="O853" s="64">
        <f>$L$853-EFEITO!$O$853*EFEITO!$AA$853</f>
        <v>0</v>
      </c>
      <c r="P853" s="19"/>
      <c r="Q853" s="19"/>
      <c r="R853" s="19"/>
      <c r="S853" s="19"/>
      <c r="T853" s="19"/>
      <c r="U853" s="19"/>
      <c r="V853" s="19"/>
      <c r="W853" s="19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55" t="s">
        <v>28</v>
      </c>
      <c r="B854" s="55" t="s">
        <v>41</v>
      </c>
      <c r="C854" s="55" t="s">
        <v>42</v>
      </c>
      <c r="D854" s="55" t="s">
        <v>43</v>
      </c>
      <c r="E854" s="55" t="s">
        <v>25</v>
      </c>
      <c r="F854" s="55" t="s">
        <v>25</v>
      </c>
      <c r="G854" s="55" t="s">
        <v>25</v>
      </c>
      <c r="H854" s="55" t="s">
        <v>34</v>
      </c>
      <c r="I854" s="63">
        <v>44621</v>
      </c>
      <c r="J854" s="64">
        <f>EFEITO!$J$854*EFEITO!$Y$854</f>
        <v>0</v>
      </c>
      <c r="K854" s="64">
        <f ca="1">EFEITO!$L$854*EFEITO!$Z$854</f>
        <v>159965.95971371539</v>
      </c>
      <c r="L854" s="64">
        <f>EFEITO!$N$854*EFEITO!$AA$854</f>
        <v>42819.81777175852</v>
      </c>
      <c r="M854" s="64">
        <f>$J$854-EFEITO!$K$854*EFEITO!$Y$854</f>
        <v>0</v>
      </c>
      <c r="N854" s="64">
        <f ca="1">$K$854-EFEITO!$M$854*EFEITO!$Z$854</f>
        <v>0</v>
      </c>
      <c r="O854" s="64">
        <f>$L$854-EFEITO!$O$854*EFEITO!$AA$854</f>
        <v>0</v>
      </c>
      <c r="P854" s="19"/>
      <c r="Q854" s="19"/>
      <c r="R854" s="19"/>
      <c r="S854" s="19"/>
      <c r="T854" s="19"/>
      <c r="U854" s="19"/>
      <c r="V854" s="19"/>
      <c r="W854" s="19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55" t="s">
        <v>21</v>
      </c>
      <c r="B855" s="55" t="s">
        <v>41</v>
      </c>
      <c r="C855" s="55" t="s">
        <v>42</v>
      </c>
      <c r="D855" s="55" t="s">
        <v>43</v>
      </c>
      <c r="E855" s="55" t="s">
        <v>25</v>
      </c>
      <c r="F855" s="55" t="s">
        <v>25</v>
      </c>
      <c r="G855" s="55" t="s">
        <v>25</v>
      </c>
      <c r="H855" s="55" t="s">
        <v>34</v>
      </c>
      <c r="I855" s="63">
        <v>44652</v>
      </c>
      <c r="J855" s="64">
        <f>EFEITO!$J$855*EFEITO!$Y$855</f>
        <v>0</v>
      </c>
      <c r="K855" s="64">
        <f ca="1">EFEITO!$L$855*EFEITO!$Z$855</f>
        <v>1087687.2362455383</v>
      </c>
      <c r="L855" s="64">
        <f>EFEITO!$N$855*EFEITO!$AA$855</f>
        <v>291153.00112632866</v>
      </c>
      <c r="M855" s="64">
        <f>$J$855-EFEITO!$K$855*EFEITO!$Y$855</f>
        <v>0</v>
      </c>
      <c r="N855" s="64">
        <f ca="1">$K$855-EFEITO!$M$855*EFEITO!$Z$855</f>
        <v>0</v>
      </c>
      <c r="O855" s="64">
        <f>$L$855-EFEITO!$O$855*EFEITO!$AA$855</f>
        <v>0</v>
      </c>
      <c r="P855" s="19"/>
      <c r="Q855" s="19"/>
      <c r="R855" s="19"/>
      <c r="S855" s="19"/>
      <c r="T855" s="19"/>
      <c r="U855" s="19"/>
      <c r="V855" s="19"/>
      <c r="W855" s="19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55" t="s">
        <v>27</v>
      </c>
      <c r="B856" s="55" t="s">
        <v>41</v>
      </c>
      <c r="C856" s="55" t="s">
        <v>42</v>
      </c>
      <c r="D856" s="55" t="s">
        <v>43</v>
      </c>
      <c r="E856" s="55" t="s">
        <v>25</v>
      </c>
      <c r="F856" s="55" t="s">
        <v>25</v>
      </c>
      <c r="G856" s="55" t="s">
        <v>25</v>
      </c>
      <c r="H856" s="55" t="s">
        <v>34</v>
      </c>
      <c r="I856" s="63">
        <v>44652</v>
      </c>
      <c r="J856" s="64">
        <f>EFEITO!$J$856*EFEITO!$Y$856</f>
        <v>0</v>
      </c>
      <c r="K856" s="64">
        <f ca="1">EFEITO!$L$856*EFEITO!$Z$856</f>
        <v>7702.3438678220491</v>
      </c>
      <c r="L856" s="64">
        <f>EFEITO!$N$856*EFEITO!$AA$856</f>
        <v>2061.7696504044661</v>
      </c>
      <c r="M856" s="64">
        <f>$J$856-EFEITO!$K$856*EFEITO!$Y$856</f>
        <v>0</v>
      </c>
      <c r="N856" s="64">
        <f ca="1">$K$856-EFEITO!$M$856*EFEITO!$Z$856</f>
        <v>0</v>
      </c>
      <c r="O856" s="64">
        <f>$L$856-EFEITO!$O$856*EFEITO!$AA$856</f>
        <v>0</v>
      </c>
      <c r="P856" s="19"/>
      <c r="Q856" s="19"/>
      <c r="R856" s="19"/>
      <c r="S856" s="19"/>
      <c r="T856" s="19"/>
      <c r="U856" s="19"/>
      <c r="V856" s="19"/>
      <c r="W856" s="19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55" t="s">
        <v>28</v>
      </c>
      <c r="B857" s="55" t="s">
        <v>41</v>
      </c>
      <c r="C857" s="55" t="s">
        <v>42</v>
      </c>
      <c r="D857" s="55" t="s">
        <v>43</v>
      </c>
      <c r="E857" s="55" t="s">
        <v>25</v>
      </c>
      <c r="F857" s="55" t="s">
        <v>25</v>
      </c>
      <c r="G857" s="55" t="s">
        <v>25</v>
      </c>
      <c r="H857" s="55" t="s">
        <v>34</v>
      </c>
      <c r="I857" s="63">
        <v>44652</v>
      </c>
      <c r="J857" s="64">
        <f>EFEITO!$J$857*EFEITO!$Y$857</f>
        <v>0</v>
      </c>
      <c r="K857" s="64">
        <f ca="1">EFEITO!$L$857*EFEITO!$Z$857</f>
        <v>126989.7532748938</v>
      </c>
      <c r="L857" s="64">
        <f>EFEITO!$N$857*EFEITO!$AA$857</f>
        <v>33992.720100220824</v>
      </c>
      <c r="M857" s="64">
        <f>$J$857-EFEITO!$K$857*EFEITO!$Y$857</f>
        <v>0</v>
      </c>
      <c r="N857" s="64">
        <f ca="1">$K$857-EFEITO!$M$857*EFEITO!$Z$857</f>
        <v>0</v>
      </c>
      <c r="O857" s="64">
        <f>$L$857-EFEITO!$O$857*EFEITO!$AA$857</f>
        <v>0</v>
      </c>
      <c r="P857" s="19"/>
      <c r="Q857" s="19"/>
      <c r="R857" s="19"/>
      <c r="S857" s="19"/>
      <c r="T857" s="19"/>
      <c r="U857" s="19"/>
      <c r="V857" s="19"/>
      <c r="W857" s="19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55" t="s">
        <v>28</v>
      </c>
      <c r="B858" s="55" t="s">
        <v>41</v>
      </c>
      <c r="C858" s="55" t="s">
        <v>42</v>
      </c>
      <c r="D858" s="55" t="s">
        <v>43</v>
      </c>
      <c r="E858" s="55" t="s">
        <v>25</v>
      </c>
      <c r="F858" s="55" t="s">
        <v>25</v>
      </c>
      <c r="G858" s="55" t="s">
        <v>25</v>
      </c>
      <c r="H858" s="55" t="s">
        <v>34</v>
      </c>
      <c r="I858" s="63">
        <v>44652</v>
      </c>
      <c r="J858" s="64">
        <f>EFEITO!$J$858*EFEITO!$Y$858</f>
        <v>0</v>
      </c>
      <c r="K858" s="64">
        <f ca="1">EFEITO!$L$858*EFEITO!$Z$858</f>
        <v>-2.6917154876190978</v>
      </c>
      <c r="L858" s="64">
        <f>EFEITO!$N$858*EFEITO!$AA$858</f>
        <v>-0.72052058375134231</v>
      </c>
      <c r="M858" s="64">
        <f>$J$858-EFEITO!$K$858*EFEITO!$Y$858</f>
        <v>0</v>
      </c>
      <c r="N858" s="64">
        <f ca="1">$K$858-EFEITO!$M$858*EFEITO!$Z$858</f>
        <v>0</v>
      </c>
      <c r="O858" s="64">
        <f>$L$858-EFEITO!$O$858*EFEITO!$AA$858</f>
        <v>0</v>
      </c>
      <c r="P858" s="19"/>
      <c r="Q858" s="19"/>
      <c r="R858" s="19"/>
      <c r="S858" s="19"/>
      <c r="T858" s="19"/>
      <c r="U858" s="19"/>
      <c r="V858" s="19"/>
      <c r="W858" s="19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55" t="s">
        <v>21</v>
      </c>
      <c r="B859" s="55" t="s">
        <v>41</v>
      </c>
      <c r="C859" s="55" t="s">
        <v>42</v>
      </c>
      <c r="D859" s="55" t="s">
        <v>43</v>
      </c>
      <c r="E859" s="55" t="s">
        <v>25</v>
      </c>
      <c r="F859" s="55" t="s">
        <v>25</v>
      </c>
      <c r="G859" s="55" t="s">
        <v>25</v>
      </c>
      <c r="H859" s="55" t="s">
        <v>34</v>
      </c>
      <c r="I859" s="63">
        <v>44682</v>
      </c>
      <c r="J859" s="64">
        <f>EFEITO!$J$859*EFEITO!$Y$859</f>
        <v>0</v>
      </c>
      <c r="K859" s="64">
        <f ca="1">EFEITO!$L$859*EFEITO!$Z$859</f>
        <v>1133824.5855610736</v>
      </c>
      <c r="L859" s="64">
        <f>EFEITO!$N$859*EFEITO!$AA$859</f>
        <v>303503.08419211855</v>
      </c>
      <c r="M859" s="64">
        <f>$J$859-EFEITO!$K$859*EFEITO!$Y$859</f>
        <v>0</v>
      </c>
      <c r="N859" s="64">
        <f ca="1">$K$859-EFEITO!$M$859*EFEITO!$Z$859</f>
        <v>0</v>
      </c>
      <c r="O859" s="64">
        <f>$L$859-EFEITO!$O$859*EFEITO!$AA$859</f>
        <v>0</v>
      </c>
      <c r="P859" s="19"/>
      <c r="Q859" s="19"/>
      <c r="R859" s="19"/>
      <c r="S859" s="19"/>
      <c r="T859" s="19"/>
      <c r="U859" s="19"/>
      <c r="V859" s="19"/>
      <c r="W859" s="19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55" t="s">
        <v>27</v>
      </c>
      <c r="B860" s="55" t="s">
        <v>41</v>
      </c>
      <c r="C860" s="55" t="s">
        <v>42</v>
      </c>
      <c r="D860" s="55" t="s">
        <v>43</v>
      </c>
      <c r="E860" s="55" t="s">
        <v>25</v>
      </c>
      <c r="F860" s="55" t="s">
        <v>25</v>
      </c>
      <c r="G860" s="55" t="s">
        <v>25</v>
      </c>
      <c r="H860" s="55" t="s">
        <v>34</v>
      </c>
      <c r="I860" s="63">
        <v>44682</v>
      </c>
      <c r="J860" s="64">
        <f>EFEITO!$J$860*EFEITO!$Y$860</f>
        <v>0</v>
      </c>
      <c r="K860" s="64">
        <f ca="1">EFEITO!$L$860*EFEITO!$Z$860</f>
        <v>-177.65322218286047</v>
      </c>
      <c r="L860" s="64">
        <f>EFEITO!$N$860*EFEITO!$AA$860</f>
        <v>-47.554358527588597</v>
      </c>
      <c r="M860" s="64">
        <f>$J$860-EFEITO!$K$860*EFEITO!$Y$860</f>
        <v>0</v>
      </c>
      <c r="N860" s="64">
        <f ca="1">$K$860-EFEITO!$M$860*EFEITO!$Z$860</f>
        <v>0</v>
      </c>
      <c r="O860" s="64">
        <f>$L$860-EFEITO!$O$860*EFEITO!$AA$860</f>
        <v>0</v>
      </c>
      <c r="P860" s="19"/>
      <c r="Q860" s="19"/>
      <c r="R860" s="19"/>
      <c r="S860" s="19"/>
      <c r="T860" s="19"/>
      <c r="U860" s="19"/>
      <c r="V860" s="19"/>
      <c r="W860" s="19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55" t="s">
        <v>28</v>
      </c>
      <c r="B861" s="55" t="s">
        <v>41</v>
      </c>
      <c r="C861" s="55" t="s">
        <v>42</v>
      </c>
      <c r="D861" s="55" t="s">
        <v>43</v>
      </c>
      <c r="E861" s="55" t="s">
        <v>25</v>
      </c>
      <c r="F861" s="55" t="s">
        <v>25</v>
      </c>
      <c r="G861" s="55" t="s">
        <v>25</v>
      </c>
      <c r="H861" s="55" t="s">
        <v>34</v>
      </c>
      <c r="I861" s="63">
        <v>44682</v>
      </c>
      <c r="J861" s="64">
        <f>EFEITO!$J$861*EFEITO!$Y$861</f>
        <v>0</v>
      </c>
      <c r="K861" s="64">
        <f ca="1">EFEITO!$L$861*EFEITO!$Z$861</f>
        <v>151142.51634529998</v>
      </c>
      <c r="L861" s="64">
        <f>EFEITO!$N$861*EFEITO!$AA$861</f>
        <v>40457.951298221626</v>
      </c>
      <c r="M861" s="64">
        <f>$J$861-EFEITO!$K$861*EFEITO!$Y$861</f>
        <v>0</v>
      </c>
      <c r="N861" s="64">
        <f ca="1">$K$861-EFEITO!$M$861*EFEITO!$Z$861</f>
        <v>0</v>
      </c>
      <c r="O861" s="64">
        <f>$L$861-EFEITO!$O$861*EFEITO!$AA$861</f>
        <v>0</v>
      </c>
      <c r="P861" s="19"/>
      <c r="Q861" s="19"/>
      <c r="R861" s="19"/>
      <c r="S861" s="19"/>
      <c r="T861" s="19"/>
      <c r="U861" s="19"/>
      <c r="V861" s="19"/>
      <c r="W861" s="19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55" t="s">
        <v>21</v>
      </c>
      <c r="B862" s="55" t="s">
        <v>41</v>
      </c>
      <c r="C862" s="55" t="s">
        <v>42</v>
      </c>
      <c r="D862" s="55" t="s">
        <v>43</v>
      </c>
      <c r="E862" s="55" t="s">
        <v>25</v>
      </c>
      <c r="F862" s="55" t="s">
        <v>25</v>
      </c>
      <c r="G862" s="55" t="s">
        <v>25</v>
      </c>
      <c r="H862" s="55" t="s">
        <v>34</v>
      </c>
      <c r="I862" s="63">
        <v>44713</v>
      </c>
      <c r="J862" s="64">
        <f>EFEITO!$J$862*EFEITO!$Y$862</f>
        <v>0</v>
      </c>
      <c r="K862" s="64">
        <f ca="1">EFEITO!$L$862*EFEITO!$Z$862</f>
        <v>1128936.4302355573</v>
      </c>
      <c r="L862" s="64">
        <f>EFEITO!$N$862*EFEITO!$AA$862</f>
        <v>302194.61881202611</v>
      </c>
      <c r="M862" s="64">
        <f>$J$862-EFEITO!$K$862*EFEITO!$Y$862</f>
        <v>0</v>
      </c>
      <c r="N862" s="64">
        <f ca="1">$K$862-EFEITO!$M$862*EFEITO!$Z$862</f>
        <v>0</v>
      </c>
      <c r="O862" s="64">
        <f>$L$862-EFEITO!$O$862*EFEITO!$AA$862</f>
        <v>0</v>
      </c>
      <c r="P862" s="19"/>
      <c r="Q862" s="19"/>
      <c r="R862" s="19"/>
      <c r="S862" s="19"/>
      <c r="T862" s="19"/>
      <c r="U862" s="19"/>
      <c r="V862" s="19"/>
      <c r="W862" s="19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55" t="s">
        <v>27</v>
      </c>
      <c r="B863" s="55" t="s">
        <v>41</v>
      </c>
      <c r="C863" s="55" t="s">
        <v>42</v>
      </c>
      <c r="D863" s="55" t="s">
        <v>43</v>
      </c>
      <c r="E863" s="55" t="s">
        <v>25</v>
      </c>
      <c r="F863" s="55" t="s">
        <v>25</v>
      </c>
      <c r="G863" s="55" t="s">
        <v>25</v>
      </c>
      <c r="H863" s="55" t="s">
        <v>34</v>
      </c>
      <c r="I863" s="63">
        <v>44713</v>
      </c>
      <c r="J863" s="64">
        <f>EFEITO!$J$863*EFEITO!$Y$863</f>
        <v>0</v>
      </c>
      <c r="K863" s="64">
        <f ca="1">EFEITO!$L$863*EFEITO!$Z$863</f>
        <v>519.50108911048596</v>
      </c>
      <c r="L863" s="64">
        <f>EFEITO!$N$863*EFEITO!$AA$863</f>
        <v>139.06047266400907</v>
      </c>
      <c r="M863" s="64">
        <f>$J$863-EFEITO!$K$863*EFEITO!$Y$863</f>
        <v>0</v>
      </c>
      <c r="N863" s="64">
        <f ca="1">$K$863-EFEITO!$M$863*EFEITO!$Z$863</f>
        <v>0</v>
      </c>
      <c r="O863" s="64">
        <f>$L$863-EFEITO!$O$863*EFEITO!$AA$863</f>
        <v>0</v>
      </c>
      <c r="P863" s="19"/>
      <c r="Q863" s="19"/>
      <c r="R863" s="19"/>
      <c r="S863" s="19"/>
      <c r="T863" s="19"/>
      <c r="U863" s="19"/>
      <c r="V863" s="19"/>
      <c r="W863" s="19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55" t="s">
        <v>28</v>
      </c>
      <c r="B864" s="55" t="s">
        <v>41</v>
      </c>
      <c r="C864" s="55" t="s">
        <v>42</v>
      </c>
      <c r="D864" s="55" t="s">
        <v>43</v>
      </c>
      <c r="E864" s="55" t="s">
        <v>25</v>
      </c>
      <c r="F864" s="55" t="s">
        <v>25</v>
      </c>
      <c r="G864" s="55" t="s">
        <v>25</v>
      </c>
      <c r="H864" s="55" t="s">
        <v>34</v>
      </c>
      <c r="I864" s="63">
        <v>44713</v>
      </c>
      <c r="J864" s="64">
        <f>EFEITO!$J$864*EFEITO!$Y$864</f>
        <v>0</v>
      </c>
      <c r="K864" s="64">
        <f ca="1">EFEITO!$L$864*EFEITO!$Z$864</f>
        <v>132326.07922909866</v>
      </c>
      <c r="L864" s="64">
        <f>EFEITO!$N$864*EFEITO!$AA$864</f>
        <v>35421.152157507866</v>
      </c>
      <c r="M864" s="64">
        <f>$J$864-EFEITO!$K$864*EFEITO!$Y$864</f>
        <v>0</v>
      </c>
      <c r="N864" s="64">
        <f ca="1">$K$864-EFEITO!$M$864*EFEITO!$Z$864</f>
        <v>0</v>
      </c>
      <c r="O864" s="64">
        <f>$L$864-EFEITO!$O$864*EFEITO!$AA$864</f>
        <v>0</v>
      </c>
      <c r="P864" s="19"/>
      <c r="Q864" s="19"/>
      <c r="R864" s="19"/>
      <c r="S864" s="19"/>
      <c r="T864" s="19"/>
      <c r="U864" s="19"/>
      <c r="V864" s="19"/>
      <c r="W864" s="19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55" t="s">
        <v>28</v>
      </c>
      <c r="B865" s="55" t="s">
        <v>41</v>
      </c>
      <c r="C865" s="55" t="s">
        <v>42</v>
      </c>
      <c r="D865" s="55" t="s">
        <v>43</v>
      </c>
      <c r="E865" s="55" t="s">
        <v>25</v>
      </c>
      <c r="F865" s="55" t="s">
        <v>25</v>
      </c>
      <c r="G865" s="55" t="s">
        <v>25</v>
      </c>
      <c r="H865" s="55" t="s">
        <v>34</v>
      </c>
      <c r="I865" s="63">
        <v>44713</v>
      </c>
      <c r="J865" s="64">
        <f>EFEITO!$J$865*EFEITO!$Y$865</f>
        <v>0</v>
      </c>
      <c r="K865" s="64">
        <f ca="1">EFEITO!$L$865*EFEITO!$Z$865</f>
        <v>-681.00401836763183</v>
      </c>
      <c r="L865" s="64">
        <f>EFEITO!$N$865*EFEITO!$AA$865</f>
        <v>-182.29170768908961</v>
      </c>
      <c r="M865" s="64">
        <f>$J$865-EFEITO!$K$865*EFEITO!$Y$865</f>
        <v>0</v>
      </c>
      <c r="N865" s="64">
        <f ca="1">$K$865-EFEITO!$M$865*EFEITO!$Z$865</f>
        <v>0</v>
      </c>
      <c r="O865" s="64">
        <f>$L$865-EFEITO!$O$865*EFEITO!$AA$865</f>
        <v>0</v>
      </c>
      <c r="P865" s="19"/>
      <c r="Q865" s="19"/>
      <c r="R865" s="19"/>
      <c r="S865" s="19"/>
      <c r="T865" s="19"/>
      <c r="U865" s="19"/>
      <c r="V865" s="19"/>
      <c r="W865" s="19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55" t="s">
        <v>57</v>
      </c>
      <c r="B866" s="55" t="s">
        <v>41</v>
      </c>
      <c r="C866" s="55" t="s">
        <v>42</v>
      </c>
      <c r="D866" s="55" t="s">
        <v>43</v>
      </c>
      <c r="E866" s="55" t="s">
        <v>25</v>
      </c>
      <c r="F866" s="55" t="s">
        <v>25</v>
      </c>
      <c r="G866" s="55" t="s">
        <v>25</v>
      </c>
      <c r="H866" s="55" t="s">
        <v>34</v>
      </c>
      <c r="I866" s="63">
        <v>44743</v>
      </c>
      <c r="J866" s="64">
        <f>EFEITO!$J$866*EFEITO!$Y$866</f>
        <v>0</v>
      </c>
      <c r="K866" s="64">
        <f ca="1">EFEITO!$L$866*EFEITO!$Z$866</f>
        <v>1128936.4302355573</v>
      </c>
      <c r="L866" s="64">
        <f>EFEITO!$N$866*EFEITO!$AA$866</f>
        <v>302194.61881202611</v>
      </c>
      <c r="M866" s="64">
        <f>$J$866-EFEITO!$K$866*EFEITO!$Y$866</f>
        <v>0</v>
      </c>
      <c r="N866" s="64">
        <f ca="1">$K$866-EFEITO!$M$866*EFEITO!$Z$866</f>
        <v>0</v>
      </c>
      <c r="O866" s="64">
        <f>$L$866-EFEITO!$O$866*EFEITO!$AA$866</f>
        <v>0</v>
      </c>
      <c r="P866" s="19"/>
      <c r="Q866" s="19"/>
      <c r="R866" s="19"/>
      <c r="S866" s="19"/>
      <c r="T866" s="19"/>
      <c r="U866" s="19"/>
      <c r="V866" s="19"/>
      <c r="W866" s="19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55" t="s">
        <v>57</v>
      </c>
      <c r="B867" s="55" t="s">
        <v>41</v>
      </c>
      <c r="C867" s="55" t="s">
        <v>42</v>
      </c>
      <c r="D867" s="55" t="s">
        <v>43</v>
      </c>
      <c r="E867" s="55" t="s">
        <v>25</v>
      </c>
      <c r="F867" s="55" t="s">
        <v>25</v>
      </c>
      <c r="G867" s="55" t="s">
        <v>25</v>
      </c>
      <c r="H867" s="55" t="s">
        <v>34</v>
      </c>
      <c r="I867" s="63">
        <v>44743</v>
      </c>
      <c r="J867" s="64">
        <f>EFEITO!$J$867*EFEITO!$Y$867</f>
        <v>0</v>
      </c>
      <c r="K867" s="64">
        <f ca="1">EFEITO!$L$867*EFEITO!$Z$867</f>
        <v>519.50108911048596</v>
      </c>
      <c r="L867" s="64">
        <f>EFEITO!$N$867*EFEITO!$AA$867</f>
        <v>139.06047266400907</v>
      </c>
      <c r="M867" s="64">
        <f>$J$867-EFEITO!$K$867*EFEITO!$Y$867</f>
        <v>0</v>
      </c>
      <c r="N867" s="64">
        <f ca="1">$K$867-EFEITO!$M$867*EFEITO!$Z$867</f>
        <v>0</v>
      </c>
      <c r="O867" s="64">
        <f>$L$867-EFEITO!$O$867*EFEITO!$AA$867</f>
        <v>0</v>
      </c>
      <c r="P867" s="19"/>
      <c r="Q867" s="19"/>
      <c r="R867" s="19"/>
      <c r="S867" s="19"/>
      <c r="T867" s="19"/>
      <c r="U867" s="19"/>
      <c r="V867" s="19"/>
      <c r="W867" s="19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55" t="s">
        <v>57</v>
      </c>
      <c r="B868" s="55" t="s">
        <v>41</v>
      </c>
      <c r="C868" s="55" t="s">
        <v>42</v>
      </c>
      <c r="D868" s="55" t="s">
        <v>43</v>
      </c>
      <c r="E868" s="55" t="s">
        <v>25</v>
      </c>
      <c r="F868" s="55" t="s">
        <v>25</v>
      </c>
      <c r="G868" s="55" t="s">
        <v>25</v>
      </c>
      <c r="H868" s="55" t="s">
        <v>34</v>
      </c>
      <c r="I868" s="63">
        <v>44743</v>
      </c>
      <c r="J868" s="64">
        <f>EFEITO!$J$868*EFEITO!$Y$868</f>
        <v>0</v>
      </c>
      <c r="K868" s="64">
        <f ca="1">EFEITO!$L$868*EFEITO!$Z$868</f>
        <v>132326.07922909866</v>
      </c>
      <c r="L868" s="64">
        <f>EFEITO!$N$868*EFEITO!$AA$868</f>
        <v>35421.152157507866</v>
      </c>
      <c r="M868" s="64">
        <f>$J$868-EFEITO!$K$868*EFEITO!$Y$868</f>
        <v>0</v>
      </c>
      <c r="N868" s="64">
        <f ca="1">$K$868-EFEITO!$M$868*EFEITO!$Z$868</f>
        <v>0</v>
      </c>
      <c r="O868" s="64">
        <f>$L$868-EFEITO!$O$868*EFEITO!$AA$868</f>
        <v>0</v>
      </c>
      <c r="P868" s="19"/>
      <c r="Q868" s="19"/>
      <c r="R868" s="19"/>
      <c r="S868" s="19"/>
      <c r="T868" s="19"/>
      <c r="U868" s="19"/>
      <c r="V868" s="19"/>
      <c r="W868" s="19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55" t="s">
        <v>57</v>
      </c>
      <c r="B869" s="55" t="s">
        <v>41</v>
      </c>
      <c r="C869" s="55" t="s">
        <v>42</v>
      </c>
      <c r="D869" s="55" t="s">
        <v>43</v>
      </c>
      <c r="E869" s="55" t="s">
        <v>25</v>
      </c>
      <c r="F869" s="55" t="s">
        <v>25</v>
      </c>
      <c r="G869" s="55" t="s">
        <v>25</v>
      </c>
      <c r="H869" s="55" t="s">
        <v>34</v>
      </c>
      <c r="I869" s="63">
        <v>44743</v>
      </c>
      <c r="J869" s="64">
        <f>EFEITO!$J$869*EFEITO!$Y$869</f>
        <v>0</v>
      </c>
      <c r="K869" s="64">
        <f ca="1">EFEITO!$L$869*EFEITO!$Z$869</f>
        <v>-681.00401836763183</v>
      </c>
      <c r="L869" s="64">
        <f>EFEITO!$N$869*EFEITO!$AA$869</f>
        <v>-182.29170768908961</v>
      </c>
      <c r="M869" s="64">
        <f>$J$869-EFEITO!$K$869*EFEITO!$Y$869</f>
        <v>0</v>
      </c>
      <c r="N869" s="64">
        <f ca="1">$K$869-EFEITO!$M$869*EFEITO!$Z$869</f>
        <v>0</v>
      </c>
      <c r="O869" s="64">
        <f>$L$869-EFEITO!$O$869*EFEITO!$AA$869</f>
        <v>0</v>
      </c>
      <c r="P869" s="19"/>
      <c r="Q869" s="19"/>
      <c r="R869" s="19"/>
      <c r="S869" s="19"/>
      <c r="T869" s="19"/>
      <c r="U869" s="19"/>
      <c r="V869" s="19"/>
      <c r="W869" s="19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55" t="s">
        <v>21</v>
      </c>
      <c r="B870" s="55" t="s">
        <v>41</v>
      </c>
      <c r="C870" s="55" t="s">
        <v>42</v>
      </c>
      <c r="D870" s="55" t="s">
        <v>52</v>
      </c>
      <c r="E870" s="55" t="s">
        <v>25</v>
      </c>
      <c r="F870" s="55" t="s">
        <v>25</v>
      </c>
      <c r="G870" s="55" t="s">
        <v>25</v>
      </c>
      <c r="H870" s="55" t="s">
        <v>35</v>
      </c>
      <c r="I870" s="63">
        <v>44409</v>
      </c>
      <c r="J870" s="64">
        <f>EFEITO!$J$870*EFEITO!$Y$870</f>
        <v>0</v>
      </c>
      <c r="K870" s="64">
        <f ca="1">EFEITO!$L$870*EFEITO!$Z$870</f>
        <v>10694.349434296419</v>
      </c>
      <c r="L870" s="64">
        <f>EFEITO!$N$870*EFEITO!$AA$870</f>
        <v>31826.795453034152</v>
      </c>
      <c r="M870" s="64">
        <f>$J$870-EFEITO!$K$870*EFEITO!$Y$870</f>
        <v>0</v>
      </c>
      <c r="N870" s="64">
        <f ca="1">$K$870-EFEITO!$M$870*EFEITO!$Z$870</f>
        <v>0</v>
      </c>
      <c r="O870" s="64">
        <f>$L$870-EFEITO!$O$870*EFEITO!$AA$870</f>
        <v>0</v>
      </c>
      <c r="P870" s="19"/>
      <c r="Q870" s="19"/>
      <c r="R870" s="19"/>
      <c r="S870" s="19"/>
      <c r="T870" s="19"/>
      <c r="U870" s="19"/>
      <c r="V870" s="19"/>
      <c r="W870" s="19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55" t="s">
        <v>21</v>
      </c>
      <c r="B871" s="55" t="s">
        <v>41</v>
      </c>
      <c r="C871" s="55" t="s">
        <v>42</v>
      </c>
      <c r="D871" s="55" t="s">
        <v>52</v>
      </c>
      <c r="E871" s="55" t="s">
        <v>25</v>
      </c>
      <c r="F871" s="55" t="s">
        <v>25</v>
      </c>
      <c r="G871" s="55" t="s">
        <v>25</v>
      </c>
      <c r="H871" s="55" t="s">
        <v>35</v>
      </c>
      <c r="I871" s="63">
        <v>44440</v>
      </c>
      <c r="J871" s="64">
        <f>EFEITO!$J$871*EFEITO!$Y$871</f>
        <v>0</v>
      </c>
      <c r="K871" s="64">
        <f ca="1">EFEITO!$L$871*EFEITO!$Z$871</f>
        <v>11229.592570374478</v>
      </c>
      <c r="L871" s="64">
        <f>EFEITO!$N$871*EFEITO!$AA$871</f>
        <v>33419.699623059307</v>
      </c>
      <c r="M871" s="64">
        <f>$J$871-EFEITO!$K$871*EFEITO!$Y$871</f>
        <v>0</v>
      </c>
      <c r="N871" s="64">
        <f ca="1">$K$871-EFEITO!$M$871*EFEITO!$Z$871</f>
        <v>0</v>
      </c>
      <c r="O871" s="64">
        <f>$L$871-EFEITO!$O$871*EFEITO!$AA$871</f>
        <v>0</v>
      </c>
      <c r="P871" s="19"/>
      <c r="Q871" s="19"/>
      <c r="R871" s="19"/>
      <c r="S871" s="19"/>
      <c r="T871" s="19"/>
      <c r="U871" s="19"/>
      <c r="V871" s="19"/>
      <c r="W871" s="19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55" t="s">
        <v>21</v>
      </c>
      <c r="B872" s="55" t="s">
        <v>41</v>
      </c>
      <c r="C872" s="55" t="s">
        <v>42</v>
      </c>
      <c r="D872" s="55" t="s">
        <v>52</v>
      </c>
      <c r="E872" s="55" t="s">
        <v>25</v>
      </c>
      <c r="F872" s="55" t="s">
        <v>25</v>
      </c>
      <c r="G872" s="55" t="s">
        <v>25</v>
      </c>
      <c r="H872" s="55" t="s">
        <v>35</v>
      </c>
      <c r="I872" s="63">
        <v>44470</v>
      </c>
      <c r="J872" s="64">
        <f>EFEITO!$J$872*EFEITO!$Y$872</f>
        <v>0</v>
      </c>
      <c r="K872" s="64">
        <f ca="1">EFEITO!$L$872*EFEITO!$Z$872</f>
        <v>11622.244380661918</v>
      </c>
      <c r="L872" s="64">
        <f>EFEITO!$N$872*EFEITO!$AA$872</f>
        <v>34588.246520377332</v>
      </c>
      <c r="M872" s="64">
        <f>$J$872-EFEITO!$K$872*EFEITO!$Y$872</f>
        <v>0</v>
      </c>
      <c r="N872" s="64">
        <f ca="1">$K$872-EFEITO!$M$872*EFEITO!$Z$872</f>
        <v>0</v>
      </c>
      <c r="O872" s="64">
        <f>$L$872-EFEITO!$O$872*EFEITO!$AA$872</f>
        <v>0</v>
      </c>
      <c r="P872" s="19"/>
      <c r="Q872" s="19"/>
      <c r="R872" s="19"/>
      <c r="S872" s="19"/>
      <c r="T872" s="19"/>
      <c r="U872" s="19"/>
      <c r="V872" s="19"/>
      <c r="W872" s="19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55" t="s">
        <v>21</v>
      </c>
      <c r="B873" s="55" t="s">
        <v>41</v>
      </c>
      <c r="C873" s="55" t="s">
        <v>42</v>
      </c>
      <c r="D873" s="55" t="s">
        <v>52</v>
      </c>
      <c r="E873" s="55" t="s">
        <v>25</v>
      </c>
      <c r="F873" s="55" t="s">
        <v>25</v>
      </c>
      <c r="G873" s="55" t="s">
        <v>25</v>
      </c>
      <c r="H873" s="55" t="s">
        <v>35</v>
      </c>
      <c r="I873" s="63">
        <v>44501</v>
      </c>
      <c r="J873" s="64">
        <f>EFEITO!$J$873*EFEITO!$Y$873</f>
        <v>0</v>
      </c>
      <c r="K873" s="64">
        <f ca="1">EFEITO!$L$873*EFEITO!$Z$873</f>
        <v>12101.1051465202</v>
      </c>
      <c r="L873" s="64">
        <f>EFEITO!$N$873*EFEITO!$AA$873</f>
        <v>36013.354586939924</v>
      </c>
      <c r="M873" s="64">
        <f>$J$873-EFEITO!$K$873*EFEITO!$Y$873</f>
        <v>0</v>
      </c>
      <c r="N873" s="64">
        <f ca="1">$K$873-EFEITO!$M$873*EFEITO!$Z$873</f>
        <v>0</v>
      </c>
      <c r="O873" s="64">
        <f>$L$873-EFEITO!$O$873*EFEITO!$AA$873</f>
        <v>0</v>
      </c>
      <c r="P873" s="19"/>
      <c r="Q873" s="19"/>
      <c r="R873" s="19"/>
      <c r="S873" s="19"/>
      <c r="T873" s="19"/>
      <c r="U873" s="19"/>
      <c r="V873" s="19"/>
      <c r="W873" s="19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55" t="s">
        <v>21</v>
      </c>
      <c r="B874" s="55" t="s">
        <v>41</v>
      </c>
      <c r="C874" s="55" t="s">
        <v>42</v>
      </c>
      <c r="D874" s="55" t="s">
        <v>52</v>
      </c>
      <c r="E874" s="55" t="s">
        <v>25</v>
      </c>
      <c r="F874" s="55" t="s">
        <v>25</v>
      </c>
      <c r="G874" s="55" t="s">
        <v>25</v>
      </c>
      <c r="H874" s="55" t="s">
        <v>35</v>
      </c>
      <c r="I874" s="63">
        <v>44531</v>
      </c>
      <c r="J874" s="64">
        <f>EFEITO!$J$874*EFEITO!$Y$874</f>
        <v>0</v>
      </c>
      <c r="K874" s="64">
        <f ca="1">EFEITO!$L$874*EFEITO!$Z$874</f>
        <v>12602.160629937373</v>
      </c>
      <c r="L874" s="64">
        <f>EFEITO!$N$874*EFEITO!$AA$874</f>
        <v>37504.514987047849</v>
      </c>
      <c r="M874" s="64">
        <f>$J$874-EFEITO!$K$874*EFEITO!$Y$874</f>
        <v>0</v>
      </c>
      <c r="N874" s="64">
        <f ca="1">$K$874-EFEITO!$M$874*EFEITO!$Z$874</f>
        <v>0</v>
      </c>
      <c r="O874" s="64">
        <f>$L$874-EFEITO!$O$874*EFEITO!$AA$874</f>
        <v>0</v>
      </c>
      <c r="P874" s="19"/>
      <c r="Q874" s="19"/>
      <c r="R874" s="19"/>
      <c r="S874" s="19"/>
      <c r="T874" s="19"/>
      <c r="U874" s="19"/>
      <c r="V874" s="19"/>
      <c r="W874" s="19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55" t="s">
        <v>21</v>
      </c>
      <c r="B875" s="55" t="s">
        <v>41</v>
      </c>
      <c r="C875" s="55" t="s">
        <v>42</v>
      </c>
      <c r="D875" s="55" t="s">
        <v>52</v>
      </c>
      <c r="E875" s="55" t="s">
        <v>25</v>
      </c>
      <c r="F875" s="55" t="s">
        <v>25</v>
      </c>
      <c r="G875" s="55" t="s">
        <v>25</v>
      </c>
      <c r="H875" s="55" t="s">
        <v>35</v>
      </c>
      <c r="I875" s="63">
        <v>44562</v>
      </c>
      <c r="J875" s="64">
        <f>EFEITO!$J$875*EFEITO!$Y$875</f>
        <v>0</v>
      </c>
      <c r="K875" s="64">
        <f ca="1">EFEITO!$L$875*EFEITO!$Z$875</f>
        <v>11467.815872173223</v>
      </c>
      <c r="L875" s="64">
        <f>EFEITO!$N$875*EFEITO!$AA$875</f>
        <v>34128.661336446028</v>
      </c>
      <c r="M875" s="64">
        <f>$J$875-EFEITO!$K$875*EFEITO!$Y$875</f>
        <v>0</v>
      </c>
      <c r="N875" s="64">
        <f ca="1">$K$875-EFEITO!$M$875*EFEITO!$Z$875</f>
        <v>0</v>
      </c>
      <c r="O875" s="64">
        <f>$L$875-EFEITO!$O$875*EFEITO!$AA$875</f>
        <v>0</v>
      </c>
      <c r="P875" s="19"/>
      <c r="Q875" s="19"/>
      <c r="R875" s="19"/>
      <c r="S875" s="19"/>
      <c r="T875" s="19"/>
      <c r="U875" s="19"/>
      <c r="V875" s="19"/>
      <c r="W875" s="19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55" t="s">
        <v>21</v>
      </c>
      <c r="B876" s="55" t="s">
        <v>41</v>
      </c>
      <c r="C876" s="55" t="s">
        <v>42</v>
      </c>
      <c r="D876" s="55" t="s">
        <v>52</v>
      </c>
      <c r="E876" s="55" t="s">
        <v>25</v>
      </c>
      <c r="F876" s="55" t="s">
        <v>25</v>
      </c>
      <c r="G876" s="55" t="s">
        <v>25</v>
      </c>
      <c r="H876" s="55" t="s">
        <v>35</v>
      </c>
      <c r="I876" s="63">
        <v>44593</v>
      </c>
      <c r="J876" s="64">
        <f>EFEITO!$J$876*EFEITO!$Y$876</f>
        <v>0</v>
      </c>
      <c r="K876" s="64">
        <f ca="1">EFEITO!$L$876*EFEITO!$Z$876</f>
        <v>11220.558930947</v>
      </c>
      <c r="L876" s="64">
        <f>EFEITO!$N$876*EFEITO!$AA$876</f>
        <v>33392.815164493477</v>
      </c>
      <c r="M876" s="64">
        <f>$J$876-EFEITO!$K$876*EFEITO!$Y$876</f>
        <v>0</v>
      </c>
      <c r="N876" s="64">
        <f ca="1">$K$876-EFEITO!$M$876*EFEITO!$Z$876</f>
        <v>0</v>
      </c>
      <c r="O876" s="64">
        <f>$L$876-EFEITO!$O$876*EFEITO!$AA$876</f>
        <v>0</v>
      </c>
      <c r="P876" s="19"/>
      <c r="Q876" s="19"/>
      <c r="R876" s="19"/>
      <c r="S876" s="19"/>
      <c r="T876" s="19"/>
      <c r="U876" s="19"/>
      <c r="V876" s="19"/>
      <c r="W876" s="19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55" t="s">
        <v>21</v>
      </c>
      <c r="B877" s="55" t="s">
        <v>41</v>
      </c>
      <c r="C877" s="55" t="s">
        <v>42</v>
      </c>
      <c r="D877" s="55" t="s">
        <v>52</v>
      </c>
      <c r="E877" s="55" t="s">
        <v>25</v>
      </c>
      <c r="F877" s="55" t="s">
        <v>25</v>
      </c>
      <c r="G877" s="55" t="s">
        <v>25</v>
      </c>
      <c r="H877" s="55" t="s">
        <v>35</v>
      </c>
      <c r="I877" s="63">
        <v>44621</v>
      </c>
      <c r="J877" s="64">
        <f>EFEITO!$J$877*EFEITO!$Y$877</f>
        <v>0</v>
      </c>
      <c r="K877" s="64">
        <f ca="1">EFEITO!$L$877*EFEITO!$Z$877</f>
        <v>12844.822875247895</v>
      </c>
      <c r="L877" s="64">
        <f>EFEITO!$N$877*EFEITO!$AA$877</f>
        <v>38226.687167143638</v>
      </c>
      <c r="M877" s="64">
        <f>$J$877-EFEITO!$K$877*EFEITO!$Y$877</f>
        <v>0</v>
      </c>
      <c r="N877" s="64">
        <f ca="1">$K$877-EFEITO!$M$877*EFEITO!$Z$877</f>
        <v>0</v>
      </c>
      <c r="O877" s="64">
        <f>$L$877-EFEITO!$O$877*EFEITO!$AA$877</f>
        <v>0</v>
      </c>
      <c r="P877" s="19"/>
      <c r="Q877" s="19"/>
      <c r="R877" s="19"/>
      <c r="S877" s="19"/>
      <c r="T877" s="19"/>
      <c r="U877" s="19"/>
      <c r="V877" s="19"/>
      <c r="W877" s="19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55" t="s">
        <v>21</v>
      </c>
      <c r="B878" s="55" t="s">
        <v>41</v>
      </c>
      <c r="C878" s="55" t="s">
        <v>42</v>
      </c>
      <c r="D878" s="55" t="s">
        <v>52</v>
      </c>
      <c r="E878" s="55" t="s">
        <v>25</v>
      </c>
      <c r="F878" s="55" t="s">
        <v>25</v>
      </c>
      <c r="G878" s="55" t="s">
        <v>25</v>
      </c>
      <c r="H878" s="55" t="s">
        <v>35</v>
      </c>
      <c r="I878" s="63">
        <v>44652</v>
      </c>
      <c r="J878" s="64">
        <f>EFEITO!$J$878*EFEITO!$Y$878</f>
        <v>0</v>
      </c>
      <c r="K878" s="64">
        <f ca="1">EFEITO!$L$878*EFEITO!$Z$878</f>
        <v>11746.14541798189</v>
      </c>
      <c r="L878" s="64">
        <f>EFEITO!$N$878*EFEITO!$AA$878</f>
        <v>34956.980775362055</v>
      </c>
      <c r="M878" s="64">
        <f>$J$878-EFEITO!$K$878*EFEITO!$Y$878</f>
        <v>0</v>
      </c>
      <c r="N878" s="64">
        <f ca="1">$K$878-EFEITO!$M$878*EFEITO!$Z$878</f>
        <v>0</v>
      </c>
      <c r="O878" s="64">
        <f>$L$878-EFEITO!$O$878*EFEITO!$AA$878</f>
        <v>0</v>
      </c>
      <c r="P878" s="19"/>
      <c r="Q878" s="19"/>
      <c r="R878" s="19"/>
      <c r="S878" s="19"/>
      <c r="T878" s="19"/>
      <c r="U878" s="19"/>
      <c r="V878" s="19"/>
      <c r="W878" s="19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55" t="s">
        <v>21</v>
      </c>
      <c r="B879" s="55" t="s">
        <v>41</v>
      </c>
      <c r="C879" s="55" t="s">
        <v>42</v>
      </c>
      <c r="D879" s="55" t="s">
        <v>52</v>
      </c>
      <c r="E879" s="55" t="s">
        <v>25</v>
      </c>
      <c r="F879" s="55" t="s">
        <v>25</v>
      </c>
      <c r="G879" s="55" t="s">
        <v>25</v>
      </c>
      <c r="H879" s="55" t="s">
        <v>35</v>
      </c>
      <c r="I879" s="63">
        <v>44682</v>
      </c>
      <c r="J879" s="64">
        <f>EFEITO!$J$879*EFEITO!$Y$879</f>
        <v>0</v>
      </c>
      <c r="K879" s="64">
        <f ca="1">EFEITO!$L$879*EFEITO!$Z$879</f>
        <v>12233.183185046082</v>
      </c>
      <c r="L879" s="64">
        <f>EFEITO!$N$879*EFEITO!$AA$879</f>
        <v>36406.423912178194</v>
      </c>
      <c r="M879" s="64">
        <f>$J$879-EFEITO!$K$879*EFEITO!$Y$879</f>
        <v>0</v>
      </c>
      <c r="N879" s="64">
        <f ca="1">$K$879-EFEITO!$M$879*EFEITO!$Z$879</f>
        <v>0</v>
      </c>
      <c r="O879" s="64">
        <f>$L$879-EFEITO!$O$879*EFEITO!$AA$879</f>
        <v>0</v>
      </c>
      <c r="P879" s="19"/>
      <c r="Q879" s="19"/>
      <c r="R879" s="19"/>
      <c r="S879" s="19"/>
      <c r="T879" s="19"/>
      <c r="U879" s="19"/>
      <c r="V879" s="19"/>
      <c r="W879" s="19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55" t="s">
        <v>21</v>
      </c>
      <c r="B880" s="55" t="s">
        <v>41</v>
      </c>
      <c r="C880" s="55" t="s">
        <v>42</v>
      </c>
      <c r="D880" s="55" t="s">
        <v>52</v>
      </c>
      <c r="E880" s="55" t="s">
        <v>25</v>
      </c>
      <c r="F880" s="55" t="s">
        <v>25</v>
      </c>
      <c r="G880" s="55" t="s">
        <v>25</v>
      </c>
      <c r="H880" s="55" t="s">
        <v>35</v>
      </c>
      <c r="I880" s="63">
        <v>44713</v>
      </c>
      <c r="J880" s="64">
        <f>EFEITO!$J$880*EFEITO!$Y$880</f>
        <v>0</v>
      </c>
      <c r="K880" s="64">
        <f ca="1">EFEITO!$L$880*EFEITO!$Z$880</f>
        <v>10732.508773257317</v>
      </c>
      <c r="L880" s="64">
        <f>EFEITO!$N$880*EFEITO!$AA$880</f>
        <v>31940.359114217383</v>
      </c>
      <c r="M880" s="64">
        <f>$J$880-EFEITO!$K$880*EFEITO!$Y$880</f>
        <v>0</v>
      </c>
      <c r="N880" s="64">
        <f ca="1">$K$880-EFEITO!$M$880*EFEITO!$Z$880</f>
        <v>0</v>
      </c>
      <c r="O880" s="64">
        <f>$L$880-EFEITO!$O$880*EFEITO!$AA$880</f>
        <v>0</v>
      </c>
      <c r="P880" s="19"/>
      <c r="Q880" s="19"/>
      <c r="R880" s="19"/>
      <c r="S880" s="19"/>
      <c r="T880" s="19"/>
      <c r="U880" s="19"/>
      <c r="V880" s="19"/>
      <c r="W880" s="19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55" t="s">
        <v>57</v>
      </c>
      <c r="B881" s="55" t="s">
        <v>41</v>
      </c>
      <c r="C881" s="55" t="s">
        <v>42</v>
      </c>
      <c r="D881" s="55" t="s">
        <v>52</v>
      </c>
      <c r="E881" s="55" t="s">
        <v>25</v>
      </c>
      <c r="F881" s="55" t="s">
        <v>25</v>
      </c>
      <c r="G881" s="55" t="s">
        <v>25</v>
      </c>
      <c r="H881" s="55" t="s">
        <v>35</v>
      </c>
      <c r="I881" s="63">
        <v>44743</v>
      </c>
      <c r="J881" s="64">
        <f>EFEITO!$J$881*EFEITO!$Y$881</f>
        <v>0</v>
      </c>
      <c r="K881" s="64">
        <f ca="1">EFEITO!$L$881*EFEITO!$Z$881</f>
        <v>10732.508773257317</v>
      </c>
      <c r="L881" s="64">
        <f>EFEITO!$N$881*EFEITO!$AA$881</f>
        <v>31940.359114217383</v>
      </c>
      <c r="M881" s="64">
        <f>$J$881-EFEITO!$K$881*EFEITO!$Y$881</f>
        <v>0</v>
      </c>
      <c r="N881" s="64">
        <f ca="1">$K$881-EFEITO!$M$881*EFEITO!$Z$881</f>
        <v>0</v>
      </c>
      <c r="O881" s="64">
        <f>$L$881-EFEITO!$O$881*EFEITO!$AA$881</f>
        <v>0</v>
      </c>
      <c r="P881" s="19"/>
      <c r="Q881" s="19"/>
      <c r="R881" s="19"/>
      <c r="S881" s="19"/>
      <c r="T881" s="19"/>
      <c r="U881" s="19"/>
      <c r="V881" s="19"/>
      <c r="W881" s="19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55" t="s">
        <v>21</v>
      </c>
      <c r="B882" s="55" t="s">
        <v>41</v>
      </c>
      <c r="C882" s="55" t="s">
        <v>42</v>
      </c>
      <c r="D882" s="55" t="s">
        <v>52</v>
      </c>
      <c r="E882" s="55" t="s">
        <v>25</v>
      </c>
      <c r="F882" s="55" t="s">
        <v>25</v>
      </c>
      <c r="G882" s="55" t="s">
        <v>25</v>
      </c>
      <c r="H882" s="55" t="s">
        <v>25</v>
      </c>
      <c r="I882" s="63">
        <v>44409</v>
      </c>
      <c r="J882" s="64">
        <f ca="1">EFEITO!$J$882*EFEITO!$Y$882</f>
        <v>18290.994338170432</v>
      </c>
      <c r="K882" s="64">
        <f>EFEITO!$L$882*EFEITO!$Z$882</f>
        <v>0</v>
      </c>
      <c r="L882" s="64">
        <f>EFEITO!$N$882*EFEITO!$AA$882</f>
        <v>0</v>
      </c>
      <c r="M882" s="64">
        <f ca="1">$J$882-EFEITO!$K$882*EFEITO!$Y$882</f>
        <v>0</v>
      </c>
      <c r="N882" s="64">
        <f>$K$882-EFEITO!$M$882*EFEITO!$Z$882</f>
        <v>0</v>
      </c>
      <c r="O882" s="64">
        <f>$L$882-EFEITO!$O$882*EFEITO!$AA$882</f>
        <v>0</v>
      </c>
      <c r="P882" s="19"/>
      <c r="Q882" s="19"/>
      <c r="R882" s="19"/>
      <c r="S882" s="19"/>
      <c r="T882" s="19"/>
      <c r="U882" s="19"/>
      <c r="V882" s="19"/>
      <c r="W882" s="19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55" t="s">
        <v>21</v>
      </c>
      <c r="B883" s="55" t="s">
        <v>41</v>
      </c>
      <c r="C883" s="55" t="s">
        <v>42</v>
      </c>
      <c r="D883" s="55" t="s">
        <v>52</v>
      </c>
      <c r="E883" s="55" t="s">
        <v>25</v>
      </c>
      <c r="F883" s="55" t="s">
        <v>25</v>
      </c>
      <c r="G883" s="55" t="s">
        <v>25</v>
      </c>
      <c r="H883" s="55" t="s">
        <v>25</v>
      </c>
      <c r="I883" s="63">
        <v>44440</v>
      </c>
      <c r="J883" s="64">
        <f ca="1">EFEITO!$J$883*EFEITO!$Y$883</f>
        <v>18369.834831007374</v>
      </c>
      <c r="K883" s="64">
        <f>EFEITO!$L$883*EFEITO!$Z$883</f>
        <v>0</v>
      </c>
      <c r="L883" s="64">
        <f>EFEITO!$N$883*EFEITO!$AA$883</f>
        <v>0</v>
      </c>
      <c r="M883" s="64">
        <f ca="1">$J$883-EFEITO!$K$883*EFEITO!$Y$883</f>
        <v>0</v>
      </c>
      <c r="N883" s="64">
        <f>$K$883-EFEITO!$M$883*EFEITO!$Z$883</f>
        <v>0</v>
      </c>
      <c r="O883" s="64">
        <f>$L$883-EFEITO!$O$883*EFEITO!$AA$883</f>
        <v>0</v>
      </c>
      <c r="P883" s="19"/>
      <c r="Q883" s="19"/>
      <c r="R883" s="19"/>
      <c r="S883" s="19"/>
      <c r="T883" s="19"/>
      <c r="U883" s="19"/>
      <c r="V883" s="19"/>
      <c r="W883" s="19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55" t="s">
        <v>21</v>
      </c>
      <c r="B884" s="55" t="s">
        <v>41</v>
      </c>
      <c r="C884" s="55" t="s">
        <v>42</v>
      </c>
      <c r="D884" s="55" t="s">
        <v>52</v>
      </c>
      <c r="E884" s="55" t="s">
        <v>25</v>
      </c>
      <c r="F884" s="55" t="s">
        <v>25</v>
      </c>
      <c r="G884" s="55" t="s">
        <v>25</v>
      </c>
      <c r="H884" s="55" t="s">
        <v>25</v>
      </c>
      <c r="I884" s="63">
        <v>44470</v>
      </c>
      <c r="J884" s="64">
        <f ca="1">EFEITO!$J$884*EFEITO!$Y$884</f>
        <v>18369.834831007374</v>
      </c>
      <c r="K884" s="64">
        <f>EFEITO!$L$884*EFEITO!$Z$884</f>
        <v>0</v>
      </c>
      <c r="L884" s="64">
        <f>EFEITO!$N$884*EFEITO!$AA$884</f>
        <v>0</v>
      </c>
      <c r="M884" s="64">
        <f ca="1">$J$884-EFEITO!$K$884*EFEITO!$Y$884</f>
        <v>0</v>
      </c>
      <c r="N884" s="64">
        <f>$K$884-EFEITO!$M$884*EFEITO!$Z$884</f>
        <v>0</v>
      </c>
      <c r="O884" s="64">
        <f>$L$884-EFEITO!$O$884*EFEITO!$AA$884</f>
        <v>0</v>
      </c>
      <c r="P884" s="19"/>
      <c r="Q884" s="19"/>
      <c r="R884" s="19"/>
      <c r="S884" s="19"/>
      <c r="T884" s="19"/>
      <c r="U884" s="19"/>
      <c r="V884" s="19"/>
      <c r="W884" s="19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55" t="s">
        <v>21</v>
      </c>
      <c r="B885" s="55" t="s">
        <v>41</v>
      </c>
      <c r="C885" s="55" t="s">
        <v>42</v>
      </c>
      <c r="D885" s="55" t="s">
        <v>52</v>
      </c>
      <c r="E885" s="55" t="s">
        <v>25</v>
      </c>
      <c r="F885" s="55" t="s">
        <v>25</v>
      </c>
      <c r="G885" s="55" t="s">
        <v>25</v>
      </c>
      <c r="H885" s="55" t="s">
        <v>25</v>
      </c>
      <c r="I885" s="63">
        <v>44501</v>
      </c>
      <c r="J885" s="64">
        <f ca="1">EFEITO!$J$885*EFEITO!$Y$885</f>
        <v>18343.554666728392</v>
      </c>
      <c r="K885" s="64">
        <f>EFEITO!$L$885*EFEITO!$Z$885</f>
        <v>0</v>
      </c>
      <c r="L885" s="64">
        <f>EFEITO!$N$885*EFEITO!$AA$885</f>
        <v>0</v>
      </c>
      <c r="M885" s="64">
        <f ca="1">$J$885-EFEITO!$K$885*EFEITO!$Y$885</f>
        <v>0</v>
      </c>
      <c r="N885" s="64">
        <f>$K$885-EFEITO!$M$885*EFEITO!$Z$885</f>
        <v>0</v>
      </c>
      <c r="O885" s="64">
        <f>$L$885-EFEITO!$O$885*EFEITO!$AA$885</f>
        <v>0</v>
      </c>
      <c r="P885" s="19"/>
      <c r="Q885" s="19"/>
      <c r="R885" s="19"/>
      <c r="S885" s="19"/>
      <c r="T885" s="19"/>
      <c r="U885" s="19"/>
      <c r="V885" s="19"/>
      <c r="W885" s="19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55" t="s">
        <v>21</v>
      </c>
      <c r="B886" s="55" t="s">
        <v>41</v>
      </c>
      <c r="C886" s="55" t="s">
        <v>42</v>
      </c>
      <c r="D886" s="55" t="s">
        <v>52</v>
      </c>
      <c r="E886" s="55" t="s">
        <v>25</v>
      </c>
      <c r="F886" s="55" t="s">
        <v>25</v>
      </c>
      <c r="G886" s="55" t="s">
        <v>25</v>
      </c>
      <c r="H886" s="55" t="s">
        <v>25</v>
      </c>
      <c r="I886" s="63">
        <v>44531</v>
      </c>
      <c r="J886" s="64">
        <f ca="1">EFEITO!$J$886*EFEITO!$Y$886</f>
        <v>18343.554666728392</v>
      </c>
      <c r="K886" s="64">
        <f>EFEITO!$L$886*EFEITO!$Z$886</f>
        <v>0</v>
      </c>
      <c r="L886" s="64">
        <f>EFEITO!$N$886*EFEITO!$AA$886</f>
        <v>0</v>
      </c>
      <c r="M886" s="64">
        <f ca="1">$J$886-EFEITO!$K$886*EFEITO!$Y$886</f>
        <v>0</v>
      </c>
      <c r="N886" s="64">
        <f>$K$886-EFEITO!$M$886*EFEITO!$Z$886</f>
        <v>0</v>
      </c>
      <c r="O886" s="64">
        <f>$L$886-EFEITO!$O$886*EFEITO!$AA$886</f>
        <v>0</v>
      </c>
      <c r="P886" s="19"/>
      <c r="Q886" s="19"/>
      <c r="R886" s="19"/>
      <c r="S886" s="19"/>
      <c r="T886" s="19"/>
      <c r="U886" s="19"/>
      <c r="V886" s="19"/>
      <c r="W886" s="19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55" t="s">
        <v>21</v>
      </c>
      <c r="B887" s="55" t="s">
        <v>41</v>
      </c>
      <c r="C887" s="55" t="s">
        <v>42</v>
      </c>
      <c r="D887" s="55" t="s">
        <v>52</v>
      </c>
      <c r="E887" s="55" t="s">
        <v>25</v>
      </c>
      <c r="F887" s="55" t="s">
        <v>25</v>
      </c>
      <c r="G887" s="55" t="s">
        <v>25</v>
      </c>
      <c r="H887" s="55" t="s">
        <v>25</v>
      </c>
      <c r="I887" s="63">
        <v>44562</v>
      </c>
      <c r="J887" s="64">
        <f ca="1">EFEITO!$J$887*EFEITO!$Y$887</f>
        <v>18264.714173891454</v>
      </c>
      <c r="K887" s="64">
        <f>EFEITO!$L$887*EFEITO!$Z$887</f>
        <v>0</v>
      </c>
      <c r="L887" s="64">
        <f>EFEITO!$N$887*EFEITO!$AA$887</f>
        <v>0</v>
      </c>
      <c r="M887" s="64">
        <f ca="1">$J$887-EFEITO!$K$887*EFEITO!$Y$887</f>
        <v>0</v>
      </c>
      <c r="N887" s="64">
        <f>$K$887-EFEITO!$M$887*EFEITO!$Z$887</f>
        <v>0</v>
      </c>
      <c r="O887" s="64">
        <f>$L$887-EFEITO!$O$887*EFEITO!$AA$887</f>
        <v>0</v>
      </c>
      <c r="P887" s="19"/>
      <c r="Q887" s="19"/>
      <c r="R887" s="19"/>
      <c r="S887" s="19"/>
      <c r="T887" s="19"/>
      <c r="U887" s="19"/>
      <c r="V887" s="19"/>
      <c r="W887" s="19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55" t="s">
        <v>21</v>
      </c>
      <c r="B888" s="55" t="s">
        <v>41</v>
      </c>
      <c r="C888" s="55" t="s">
        <v>42</v>
      </c>
      <c r="D888" s="55" t="s">
        <v>52</v>
      </c>
      <c r="E888" s="55" t="s">
        <v>25</v>
      </c>
      <c r="F888" s="55" t="s">
        <v>25</v>
      </c>
      <c r="G888" s="55" t="s">
        <v>25</v>
      </c>
      <c r="H888" s="55" t="s">
        <v>25</v>
      </c>
      <c r="I888" s="63">
        <v>44593</v>
      </c>
      <c r="J888" s="64">
        <f ca="1">EFEITO!$J$888*EFEITO!$Y$888</f>
        <v>18264.714173891454</v>
      </c>
      <c r="K888" s="64">
        <f>EFEITO!$L$888*EFEITO!$Z$888</f>
        <v>0</v>
      </c>
      <c r="L888" s="64">
        <f>EFEITO!$N$888*EFEITO!$AA$888</f>
        <v>0</v>
      </c>
      <c r="M888" s="64">
        <f ca="1">$J$888-EFEITO!$K$888*EFEITO!$Y$888</f>
        <v>0</v>
      </c>
      <c r="N888" s="64">
        <f>$K$888-EFEITO!$M$888*EFEITO!$Z$888</f>
        <v>0</v>
      </c>
      <c r="O888" s="64">
        <f>$L$888-EFEITO!$O$888*EFEITO!$AA$888</f>
        <v>0</v>
      </c>
      <c r="P888" s="19"/>
      <c r="Q888" s="19"/>
      <c r="R888" s="19"/>
      <c r="S888" s="19"/>
      <c r="T888" s="19"/>
      <c r="U888" s="19"/>
      <c r="V888" s="19"/>
      <c r="W888" s="19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55" t="s">
        <v>21</v>
      </c>
      <c r="B889" s="55" t="s">
        <v>41</v>
      </c>
      <c r="C889" s="55" t="s">
        <v>42</v>
      </c>
      <c r="D889" s="55" t="s">
        <v>52</v>
      </c>
      <c r="E889" s="55" t="s">
        <v>25</v>
      </c>
      <c r="F889" s="55" t="s">
        <v>25</v>
      </c>
      <c r="G889" s="55" t="s">
        <v>25</v>
      </c>
      <c r="H889" s="55" t="s">
        <v>25</v>
      </c>
      <c r="I889" s="63">
        <v>44621</v>
      </c>
      <c r="J889" s="64">
        <f ca="1">EFEITO!$J$889*EFEITO!$Y$889</f>
        <v>18264.714173891454</v>
      </c>
      <c r="K889" s="64">
        <f>EFEITO!$L$889*EFEITO!$Z$889</f>
        <v>0</v>
      </c>
      <c r="L889" s="64">
        <f>EFEITO!$N$889*EFEITO!$AA$889</f>
        <v>0</v>
      </c>
      <c r="M889" s="64">
        <f ca="1">$J$889-EFEITO!$K$889*EFEITO!$Y$889</f>
        <v>0</v>
      </c>
      <c r="N889" s="64">
        <f>$K$889-EFEITO!$M$889*EFEITO!$Z$889</f>
        <v>0</v>
      </c>
      <c r="O889" s="64">
        <f>$L$889-EFEITO!$O$889*EFEITO!$AA$889</f>
        <v>0</v>
      </c>
      <c r="P889" s="19"/>
      <c r="Q889" s="19"/>
      <c r="R889" s="19"/>
      <c r="S889" s="19"/>
      <c r="T889" s="19"/>
      <c r="U889" s="19"/>
      <c r="V889" s="19"/>
      <c r="W889" s="19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55" t="s">
        <v>21</v>
      </c>
      <c r="B890" s="55" t="s">
        <v>41</v>
      </c>
      <c r="C890" s="55" t="s">
        <v>42</v>
      </c>
      <c r="D890" s="55" t="s">
        <v>52</v>
      </c>
      <c r="E890" s="55" t="s">
        <v>25</v>
      </c>
      <c r="F890" s="55" t="s">
        <v>25</v>
      </c>
      <c r="G890" s="55" t="s">
        <v>25</v>
      </c>
      <c r="H890" s="55" t="s">
        <v>25</v>
      </c>
      <c r="I890" s="63">
        <v>44652</v>
      </c>
      <c r="J890" s="64">
        <f ca="1">EFEITO!$J$890*EFEITO!$Y$890</f>
        <v>18264.714173891454</v>
      </c>
      <c r="K890" s="64">
        <f>EFEITO!$L$890*EFEITO!$Z$890</f>
        <v>0</v>
      </c>
      <c r="L890" s="64">
        <f>EFEITO!$N$890*EFEITO!$AA$890</f>
        <v>0</v>
      </c>
      <c r="M890" s="64">
        <f ca="1">$J$890-EFEITO!$K$890*EFEITO!$Y$890</f>
        <v>0</v>
      </c>
      <c r="N890" s="64">
        <f>$K$890-EFEITO!$M$890*EFEITO!$Z$890</f>
        <v>0</v>
      </c>
      <c r="O890" s="64">
        <f>$L$890-EFEITO!$O$890*EFEITO!$AA$890</f>
        <v>0</v>
      </c>
      <c r="P890" s="19"/>
      <c r="Q890" s="19"/>
      <c r="R890" s="19"/>
      <c r="S890" s="19"/>
      <c r="T890" s="19"/>
      <c r="U890" s="19"/>
      <c r="V890" s="19"/>
      <c r="W890" s="19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55" t="s">
        <v>21</v>
      </c>
      <c r="B891" s="55" t="s">
        <v>41</v>
      </c>
      <c r="C891" s="55" t="s">
        <v>42</v>
      </c>
      <c r="D891" s="55" t="s">
        <v>52</v>
      </c>
      <c r="E891" s="55" t="s">
        <v>25</v>
      </c>
      <c r="F891" s="55" t="s">
        <v>25</v>
      </c>
      <c r="G891" s="55" t="s">
        <v>25</v>
      </c>
      <c r="H891" s="55" t="s">
        <v>25</v>
      </c>
      <c r="I891" s="63">
        <v>44682</v>
      </c>
      <c r="J891" s="64">
        <f ca="1">EFEITO!$J$891*EFEITO!$Y$891</f>
        <v>18264.714173891454</v>
      </c>
      <c r="K891" s="64">
        <f>EFEITO!$L$891*EFEITO!$Z$891</f>
        <v>0</v>
      </c>
      <c r="L891" s="64">
        <f>EFEITO!$N$891*EFEITO!$AA$891</f>
        <v>0</v>
      </c>
      <c r="M891" s="64">
        <f ca="1">$J$891-EFEITO!$K$891*EFEITO!$Y$891</f>
        <v>0</v>
      </c>
      <c r="N891" s="64">
        <f>$K$891-EFEITO!$M$891*EFEITO!$Z$891</f>
        <v>0</v>
      </c>
      <c r="O891" s="64">
        <f>$L$891-EFEITO!$O$891*EFEITO!$AA$891</f>
        <v>0</v>
      </c>
      <c r="P891" s="19"/>
      <c r="Q891" s="19"/>
      <c r="R891" s="19"/>
      <c r="S891" s="19"/>
      <c r="T891" s="19"/>
      <c r="U891" s="19"/>
      <c r="V891" s="19"/>
      <c r="W891" s="19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55" t="s">
        <v>21</v>
      </c>
      <c r="B892" s="55" t="s">
        <v>41</v>
      </c>
      <c r="C892" s="55" t="s">
        <v>42</v>
      </c>
      <c r="D892" s="55" t="s">
        <v>52</v>
      </c>
      <c r="E892" s="55" t="s">
        <v>25</v>
      </c>
      <c r="F892" s="55" t="s">
        <v>25</v>
      </c>
      <c r="G892" s="55" t="s">
        <v>25</v>
      </c>
      <c r="H892" s="55" t="s">
        <v>25</v>
      </c>
      <c r="I892" s="63">
        <v>44713</v>
      </c>
      <c r="J892" s="64">
        <f ca="1">EFEITO!$J$892*EFEITO!$Y$892</f>
        <v>18264.714173891454</v>
      </c>
      <c r="K892" s="64">
        <f>EFEITO!$L$892*EFEITO!$Z$892</f>
        <v>0</v>
      </c>
      <c r="L892" s="64">
        <f>EFEITO!$N$892*EFEITO!$AA$892</f>
        <v>0</v>
      </c>
      <c r="M892" s="64">
        <f ca="1">$J$892-EFEITO!$K$892*EFEITO!$Y$892</f>
        <v>0</v>
      </c>
      <c r="N892" s="64">
        <f>$K$892-EFEITO!$M$892*EFEITO!$Z$892</f>
        <v>0</v>
      </c>
      <c r="O892" s="64">
        <f>$L$892-EFEITO!$O$892*EFEITO!$AA$892</f>
        <v>0</v>
      </c>
      <c r="P892" s="19"/>
      <c r="Q892" s="19"/>
      <c r="R892" s="19"/>
      <c r="S892" s="19"/>
      <c r="T892" s="19"/>
      <c r="U892" s="19"/>
      <c r="V892" s="19"/>
      <c r="W892" s="19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55" t="s">
        <v>57</v>
      </c>
      <c r="B893" s="55" t="s">
        <v>41</v>
      </c>
      <c r="C893" s="55" t="s">
        <v>42</v>
      </c>
      <c r="D893" s="55" t="s">
        <v>52</v>
      </c>
      <c r="E893" s="55" t="s">
        <v>25</v>
      </c>
      <c r="F893" s="55" t="s">
        <v>25</v>
      </c>
      <c r="G893" s="55" t="s">
        <v>25</v>
      </c>
      <c r="H893" s="55" t="s">
        <v>25</v>
      </c>
      <c r="I893" s="63">
        <v>44743</v>
      </c>
      <c r="J893" s="64">
        <f ca="1">EFEITO!$J$893*EFEITO!$Y$893</f>
        <v>18264.714173891454</v>
      </c>
      <c r="K893" s="64">
        <f>EFEITO!$L$893*EFEITO!$Z$893</f>
        <v>0</v>
      </c>
      <c r="L893" s="64">
        <f>EFEITO!$N$893*EFEITO!$AA$893</f>
        <v>0</v>
      </c>
      <c r="M893" s="64">
        <f ca="1">$J$893-EFEITO!$K$893*EFEITO!$Y$893</f>
        <v>0</v>
      </c>
      <c r="N893" s="64">
        <f>$K$893-EFEITO!$M$893*EFEITO!$Z$893</f>
        <v>0</v>
      </c>
      <c r="O893" s="64">
        <f>$L$893-EFEITO!$O$893*EFEITO!$AA$893</f>
        <v>0</v>
      </c>
      <c r="P893" s="19"/>
      <c r="Q893" s="19"/>
      <c r="R893" s="19"/>
      <c r="S893" s="19"/>
      <c r="T893" s="19"/>
      <c r="U893" s="19"/>
      <c r="V893" s="19"/>
      <c r="W893" s="19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55" t="s">
        <v>21</v>
      </c>
      <c r="B894" s="55" t="s">
        <v>41</v>
      </c>
      <c r="C894" s="55" t="s">
        <v>42</v>
      </c>
      <c r="D894" s="55" t="s">
        <v>52</v>
      </c>
      <c r="E894" s="55" t="s">
        <v>25</v>
      </c>
      <c r="F894" s="55" t="s">
        <v>25</v>
      </c>
      <c r="G894" s="55" t="s">
        <v>25</v>
      </c>
      <c r="H894" s="55" t="s">
        <v>34</v>
      </c>
      <c r="I894" s="63">
        <v>44409</v>
      </c>
      <c r="J894" s="64">
        <f>EFEITO!$J$894*EFEITO!$Y$894</f>
        <v>0</v>
      </c>
      <c r="K894" s="64">
        <f ca="1">EFEITO!$L$894*EFEITO!$Z$894</f>
        <v>17882.41184199748</v>
      </c>
      <c r="L894" s="64">
        <f>EFEITO!$N$894*EFEITO!$AA$894</f>
        <v>4786.7784981520426</v>
      </c>
      <c r="M894" s="64">
        <f>$J$894-EFEITO!$K$894*EFEITO!$Y$894</f>
        <v>0</v>
      </c>
      <c r="N894" s="64">
        <f ca="1">$K$894-EFEITO!$M$894*EFEITO!$Z$894</f>
        <v>0</v>
      </c>
      <c r="O894" s="64">
        <f>$L$894-EFEITO!$O$894*EFEITO!$AA$894</f>
        <v>0</v>
      </c>
      <c r="P894" s="19"/>
      <c r="Q894" s="19"/>
      <c r="R894" s="19"/>
      <c r="S894" s="19"/>
      <c r="T894" s="19"/>
      <c r="U894" s="19"/>
      <c r="V894" s="19"/>
      <c r="W894" s="19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55" t="s">
        <v>21</v>
      </c>
      <c r="B895" s="55" t="s">
        <v>41</v>
      </c>
      <c r="C895" s="55" t="s">
        <v>42</v>
      </c>
      <c r="D895" s="55" t="s">
        <v>52</v>
      </c>
      <c r="E895" s="55" t="s">
        <v>25</v>
      </c>
      <c r="F895" s="55" t="s">
        <v>25</v>
      </c>
      <c r="G895" s="55" t="s">
        <v>25</v>
      </c>
      <c r="H895" s="55" t="s">
        <v>34</v>
      </c>
      <c r="I895" s="63">
        <v>44440</v>
      </c>
      <c r="J895" s="64">
        <f>EFEITO!$J$895*EFEITO!$Y$895</f>
        <v>0</v>
      </c>
      <c r="K895" s="64">
        <f ca="1">EFEITO!$L$895*EFEITO!$Z$895</f>
        <v>17459.812510441279</v>
      </c>
      <c r="L895" s="64">
        <f>EFEITO!$N$895*EFEITO!$AA$895</f>
        <v>4673.6567665030825</v>
      </c>
      <c r="M895" s="64">
        <f>$J$895-EFEITO!$K$895*EFEITO!$Y$895</f>
        <v>0</v>
      </c>
      <c r="N895" s="64">
        <f ca="1">$K$895-EFEITO!$M$895*EFEITO!$Z$895</f>
        <v>0</v>
      </c>
      <c r="O895" s="64">
        <f>$L$895-EFEITO!$O$895*EFEITO!$AA$895</f>
        <v>0</v>
      </c>
      <c r="P895" s="19"/>
      <c r="Q895" s="19"/>
      <c r="R895" s="19"/>
      <c r="S895" s="19"/>
      <c r="T895" s="19"/>
      <c r="U895" s="19"/>
      <c r="V895" s="19"/>
      <c r="W895" s="19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55" t="s">
        <v>21</v>
      </c>
      <c r="B896" s="55" t="s">
        <v>41</v>
      </c>
      <c r="C896" s="55" t="s">
        <v>42</v>
      </c>
      <c r="D896" s="55" t="s">
        <v>52</v>
      </c>
      <c r="E896" s="55" t="s">
        <v>25</v>
      </c>
      <c r="F896" s="55" t="s">
        <v>25</v>
      </c>
      <c r="G896" s="55" t="s">
        <v>25</v>
      </c>
      <c r="H896" s="55" t="s">
        <v>34</v>
      </c>
      <c r="I896" s="63">
        <v>44470</v>
      </c>
      <c r="J896" s="64">
        <f>EFEITO!$J$896*EFEITO!$Y$896</f>
        <v>0</v>
      </c>
      <c r="K896" s="64">
        <f ca="1">EFEITO!$L$896*EFEITO!$Z$896</f>
        <v>17201.407823629845</v>
      </c>
      <c r="L896" s="64">
        <f>EFEITO!$N$896*EFEITO!$AA$896</f>
        <v>4604.4867904629536</v>
      </c>
      <c r="M896" s="64">
        <f>$J$896-EFEITO!$K$896*EFEITO!$Y$896</f>
        <v>0</v>
      </c>
      <c r="N896" s="64">
        <f ca="1">$K$896-EFEITO!$M$896*EFEITO!$Z$896</f>
        <v>0</v>
      </c>
      <c r="O896" s="64">
        <f>$L$896-EFEITO!$O$896*EFEITO!$AA$896</f>
        <v>0</v>
      </c>
      <c r="P896" s="19"/>
      <c r="Q896" s="19"/>
      <c r="R896" s="19"/>
      <c r="S896" s="19"/>
      <c r="T896" s="19"/>
      <c r="U896" s="19"/>
      <c r="V896" s="19"/>
      <c r="W896" s="19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55" t="s">
        <v>21</v>
      </c>
      <c r="B897" s="55" t="s">
        <v>41</v>
      </c>
      <c r="C897" s="55" t="s">
        <v>42</v>
      </c>
      <c r="D897" s="55" t="s">
        <v>52</v>
      </c>
      <c r="E897" s="55" t="s">
        <v>25</v>
      </c>
      <c r="F897" s="55" t="s">
        <v>25</v>
      </c>
      <c r="G897" s="55" t="s">
        <v>25</v>
      </c>
      <c r="H897" s="55" t="s">
        <v>34</v>
      </c>
      <c r="I897" s="63">
        <v>44501</v>
      </c>
      <c r="J897" s="64">
        <f>EFEITO!$J$897*EFEITO!$Y$897</f>
        <v>0</v>
      </c>
      <c r="K897" s="64">
        <f ca="1">EFEITO!$L$897*EFEITO!$Z$897</f>
        <v>17200.061965886034</v>
      </c>
      <c r="L897" s="64">
        <f>EFEITO!$N$897*EFEITO!$AA$897</f>
        <v>4604.1265301710773</v>
      </c>
      <c r="M897" s="64">
        <f>$J$897-EFEITO!$K$897*EFEITO!$Y$897</f>
        <v>0</v>
      </c>
      <c r="N897" s="64">
        <f ca="1">$K$897-EFEITO!$M$897*EFEITO!$Z$897</f>
        <v>0</v>
      </c>
      <c r="O897" s="64">
        <f>$L$897-EFEITO!$O$897*EFEITO!$AA$897</f>
        <v>0</v>
      </c>
      <c r="P897" s="19"/>
      <c r="Q897" s="19"/>
      <c r="R897" s="19"/>
      <c r="S897" s="19"/>
      <c r="T897" s="19"/>
      <c r="U897" s="19"/>
      <c r="V897" s="19"/>
      <c r="W897" s="19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55" t="s">
        <v>21</v>
      </c>
      <c r="B898" s="55" t="s">
        <v>41</v>
      </c>
      <c r="C898" s="55" t="s">
        <v>42</v>
      </c>
      <c r="D898" s="55" t="s">
        <v>52</v>
      </c>
      <c r="E898" s="55" t="s">
        <v>25</v>
      </c>
      <c r="F898" s="55" t="s">
        <v>25</v>
      </c>
      <c r="G898" s="55" t="s">
        <v>25</v>
      </c>
      <c r="H898" s="55" t="s">
        <v>34</v>
      </c>
      <c r="I898" s="63">
        <v>44531</v>
      </c>
      <c r="J898" s="64">
        <f>EFEITO!$J$898*EFEITO!$Y$898</f>
        <v>0</v>
      </c>
      <c r="K898" s="64">
        <f ca="1">EFEITO!$L$898*EFEITO!$Z$898</f>
        <v>19346.705067262268</v>
      </c>
      <c r="L898" s="64">
        <f>EFEITO!$N$898*EFEITO!$AA$898</f>
        <v>5178.7416957127725</v>
      </c>
      <c r="M898" s="64">
        <f>$J$898-EFEITO!$K$898*EFEITO!$Y$898</f>
        <v>0</v>
      </c>
      <c r="N898" s="64">
        <f ca="1">$K$898-EFEITO!$M$898*EFEITO!$Z$898</f>
        <v>0</v>
      </c>
      <c r="O898" s="64">
        <f>$L$898-EFEITO!$O$898*EFEITO!$AA$898</f>
        <v>0</v>
      </c>
      <c r="P898" s="19"/>
      <c r="Q898" s="19"/>
      <c r="R898" s="19"/>
      <c r="S898" s="19"/>
      <c r="T898" s="19"/>
      <c r="U898" s="19"/>
      <c r="V898" s="19"/>
      <c r="W898" s="19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55" t="s">
        <v>21</v>
      </c>
      <c r="B899" s="55" t="s">
        <v>41</v>
      </c>
      <c r="C899" s="55" t="s">
        <v>42</v>
      </c>
      <c r="D899" s="55" t="s">
        <v>52</v>
      </c>
      <c r="E899" s="55" t="s">
        <v>25</v>
      </c>
      <c r="F899" s="55" t="s">
        <v>25</v>
      </c>
      <c r="G899" s="55" t="s">
        <v>25</v>
      </c>
      <c r="H899" s="55" t="s">
        <v>34</v>
      </c>
      <c r="I899" s="63">
        <v>44562</v>
      </c>
      <c r="J899" s="64">
        <f>EFEITO!$J$899*EFEITO!$Y$899</f>
        <v>0</v>
      </c>
      <c r="K899" s="64">
        <f ca="1">EFEITO!$L$899*EFEITO!$Z$899</f>
        <v>16921.46941291746</v>
      </c>
      <c r="L899" s="64">
        <f>EFEITO!$N$899*EFEITO!$AA$899</f>
        <v>4529.5526497528135</v>
      </c>
      <c r="M899" s="64">
        <f>$J$899-EFEITO!$K$899*EFEITO!$Y$899</f>
        <v>0</v>
      </c>
      <c r="N899" s="64">
        <f ca="1">$K$899-EFEITO!$M$899*EFEITO!$Z$899</f>
        <v>0</v>
      </c>
      <c r="O899" s="64">
        <f>$L$899-EFEITO!$O$899*EFEITO!$AA$899</f>
        <v>0</v>
      </c>
      <c r="P899" s="19"/>
      <c r="Q899" s="19"/>
      <c r="R899" s="19"/>
      <c r="S899" s="19"/>
      <c r="T899" s="19"/>
      <c r="U899" s="19"/>
      <c r="V899" s="19"/>
      <c r="W899" s="19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55" t="s">
        <v>21</v>
      </c>
      <c r="B900" s="55" t="s">
        <v>41</v>
      </c>
      <c r="C900" s="55" t="s">
        <v>42</v>
      </c>
      <c r="D900" s="55" t="s">
        <v>52</v>
      </c>
      <c r="E900" s="55" t="s">
        <v>25</v>
      </c>
      <c r="F900" s="55" t="s">
        <v>25</v>
      </c>
      <c r="G900" s="55" t="s">
        <v>25</v>
      </c>
      <c r="H900" s="55" t="s">
        <v>34</v>
      </c>
      <c r="I900" s="63">
        <v>44593</v>
      </c>
      <c r="J900" s="64">
        <f>EFEITO!$J$900*EFEITO!$Y$900</f>
        <v>0</v>
      </c>
      <c r="K900" s="64">
        <f ca="1">EFEITO!$L$900*EFEITO!$Z$900</f>
        <v>17680.533180426046</v>
      </c>
      <c r="L900" s="64">
        <f>EFEITO!$N$900*EFEITO!$AA$900</f>
        <v>4732.7394543706923</v>
      </c>
      <c r="M900" s="64">
        <f>$J$900-EFEITO!$K$900*EFEITO!$Y$900</f>
        <v>0</v>
      </c>
      <c r="N900" s="64">
        <f ca="1">$K$900-EFEITO!$M$900*EFEITO!$Z$900</f>
        <v>0</v>
      </c>
      <c r="O900" s="64">
        <f>$L$900-EFEITO!$O$900*EFEITO!$AA$900</f>
        <v>0</v>
      </c>
      <c r="P900" s="19"/>
      <c r="Q900" s="19"/>
      <c r="R900" s="19"/>
      <c r="S900" s="19"/>
      <c r="T900" s="19"/>
      <c r="U900" s="19"/>
      <c r="V900" s="19"/>
      <c r="W900" s="19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55" t="s">
        <v>21</v>
      </c>
      <c r="B901" s="55" t="s">
        <v>41</v>
      </c>
      <c r="C901" s="55" t="s">
        <v>42</v>
      </c>
      <c r="D901" s="55" t="s">
        <v>52</v>
      </c>
      <c r="E901" s="55" t="s">
        <v>25</v>
      </c>
      <c r="F901" s="55" t="s">
        <v>25</v>
      </c>
      <c r="G901" s="55" t="s">
        <v>25</v>
      </c>
      <c r="H901" s="55" t="s">
        <v>34</v>
      </c>
      <c r="I901" s="63">
        <v>44621</v>
      </c>
      <c r="J901" s="64">
        <f>EFEITO!$J$901*EFEITO!$Y$901</f>
        <v>0</v>
      </c>
      <c r="K901" s="64">
        <f ca="1">EFEITO!$L$901*EFEITO!$Z$901</f>
        <v>20222.858458482282</v>
      </c>
      <c r="L901" s="64">
        <f>EFEITO!$N$901*EFEITO!$AA$901</f>
        <v>5413.2711457238347</v>
      </c>
      <c r="M901" s="64">
        <f>$J$901-EFEITO!$K$901*EFEITO!$Y$901</f>
        <v>0</v>
      </c>
      <c r="N901" s="64">
        <f ca="1">$K$901-EFEITO!$M$901*EFEITO!$Z$901</f>
        <v>0</v>
      </c>
      <c r="O901" s="64">
        <f>$L$901-EFEITO!$O$901*EFEITO!$AA$901</f>
        <v>0</v>
      </c>
      <c r="P901" s="19"/>
      <c r="Q901" s="19"/>
      <c r="R901" s="19"/>
      <c r="S901" s="19"/>
      <c r="T901" s="19"/>
      <c r="U901" s="19"/>
      <c r="V901" s="19"/>
      <c r="W901" s="19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55" t="s">
        <v>21</v>
      </c>
      <c r="B902" s="55" t="s">
        <v>41</v>
      </c>
      <c r="C902" s="55" t="s">
        <v>42</v>
      </c>
      <c r="D902" s="55" t="s">
        <v>52</v>
      </c>
      <c r="E902" s="55" t="s">
        <v>25</v>
      </c>
      <c r="F902" s="55" t="s">
        <v>25</v>
      </c>
      <c r="G902" s="55" t="s">
        <v>25</v>
      </c>
      <c r="H902" s="55" t="s">
        <v>34</v>
      </c>
      <c r="I902" s="63">
        <v>44652</v>
      </c>
      <c r="J902" s="64">
        <f>EFEITO!$J$902*EFEITO!$Y$902</f>
        <v>0</v>
      </c>
      <c r="K902" s="64">
        <f ca="1">EFEITO!$L$902*EFEITO!$Z$902</f>
        <v>16745.162048478407</v>
      </c>
      <c r="L902" s="64">
        <f>EFEITO!$N$902*EFEITO!$AA$902</f>
        <v>4482.3585515171008</v>
      </c>
      <c r="M902" s="64">
        <f>$J$902-EFEITO!$K$902*EFEITO!$Y$902</f>
        <v>0</v>
      </c>
      <c r="N902" s="64">
        <f ca="1">$K$902-EFEITO!$M$902*EFEITO!$Z$902</f>
        <v>0</v>
      </c>
      <c r="O902" s="64">
        <f>$L$902-EFEITO!$O$902*EFEITO!$AA$902</f>
        <v>0</v>
      </c>
      <c r="P902" s="19"/>
      <c r="Q902" s="19"/>
      <c r="R902" s="19"/>
      <c r="S902" s="19"/>
      <c r="T902" s="19"/>
      <c r="U902" s="19"/>
      <c r="V902" s="19"/>
      <c r="W902" s="19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55" t="s">
        <v>21</v>
      </c>
      <c r="B903" s="55" t="s">
        <v>41</v>
      </c>
      <c r="C903" s="55" t="s">
        <v>42</v>
      </c>
      <c r="D903" s="55" t="s">
        <v>52</v>
      </c>
      <c r="E903" s="55" t="s">
        <v>25</v>
      </c>
      <c r="F903" s="55" t="s">
        <v>25</v>
      </c>
      <c r="G903" s="55" t="s">
        <v>25</v>
      </c>
      <c r="H903" s="55" t="s">
        <v>34</v>
      </c>
      <c r="I903" s="63">
        <v>44682</v>
      </c>
      <c r="J903" s="64">
        <f>EFEITO!$J$903*EFEITO!$Y$903</f>
        <v>0</v>
      </c>
      <c r="K903" s="64">
        <f ca="1">EFEITO!$L$903*EFEITO!$Z$903</f>
        <v>18977.94004545845</v>
      </c>
      <c r="L903" s="64">
        <f>EFEITO!$N$903*EFEITO!$AA$903</f>
        <v>5080.0303757388392</v>
      </c>
      <c r="M903" s="64">
        <f>$J$903-EFEITO!$K$903*EFEITO!$Y$903</f>
        <v>0</v>
      </c>
      <c r="N903" s="64">
        <f ca="1">$K$903-EFEITO!$M$903*EFEITO!$Z$903</f>
        <v>0</v>
      </c>
      <c r="O903" s="64">
        <f>$L$903-EFEITO!$O$903*EFEITO!$AA$903</f>
        <v>0</v>
      </c>
      <c r="P903" s="19"/>
      <c r="Q903" s="19"/>
      <c r="R903" s="19"/>
      <c r="S903" s="19"/>
      <c r="T903" s="19"/>
      <c r="U903" s="19"/>
      <c r="V903" s="19"/>
      <c r="W903" s="19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55" t="s">
        <v>21</v>
      </c>
      <c r="B904" s="55" t="s">
        <v>41</v>
      </c>
      <c r="C904" s="55" t="s">
        <v>42</v>
      </c>
      <c r="D904" s="55" t="s">
        <v>52</v>
      </c>
      <c r="E904" s="55" t="s">
        <v>25</v>
      </c>
      <c r="F904" s="55" t="s">
        <v>25</v>
      </c>
      <c r="G904" s="55" t="s">
        <v>25</v>
      </c>
      <c r="H904" s="55" t="s">
        <v>34</v>
      </c>
      <c r="I904" s="63">
        <v>44713</v>
      </c>
      <c r="J904" s="64">
        <f>EFEITO!$J$904*EFEITO!$Y$904</f>
        <v>0</v>
      </c>
      <c r="K904" s="64">
        <f ca="1">EFEITO!$L$904*EFEITO!$Z$904</f>
        <v>17430.20364007747</v>
      </c>
      <c r="L904" s="64">
        <f>EFEITO!$N$904*EFEITO!$AA$904</f>
        <v>4665.7310400818169</v>
      </c>
      <c r="M904" s="64">
        <f>$J$904-EFEITO!$K$904*EFEITO!$Y$904</f>
        <v>0</v>
      </c>
      <c r="N904" s="64">
        <f ca="1">$K$904-EFEITO!$M$904*EFEITO!$Z$904</f>
        <v>0</v>
      </c>
      <c r="O904" s="64">
        <f>$L$904-EFEITO!$O$904*EFEITO!$AA$904</f>
        <v>0</v>
      </c>
      <c r="P904" s="19"/>
      <c r="Q904" s="19"/>
      <c r="R904" s="19"/>
      <c r="S904" s="19"/>
      <c r="T904" s="19"/>
      <c r="U904" s="19"/>
      <c r="V904" s="19"/>
      <c r="W904" s="19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55" t="s">
        <v>57</v>
      </c>
      <c r="B905" s="55" t="s">
        <v>41</v>
      </c>
      <c r="C905" s="55" t="s">
        <v>42</v>
      </c>
      <c r="D905" s="55" t="s">
        <v>52</v>
      </c>
      <c r="E905" s="55" t="s">
        <v>25</v>
      </c>
      <c r="F905" s="55" t="s">
        <v>25</v>
      </c>
      <c r="G905" s="55" t="s">
        <v>25</v>
      </c>
      <c r="H905" s="55" t="s">
        <v>34</v>
      </c>
      <c r="I905" s="63">
        <v>44743</v>
      </c>
      <c r="J905" s="64">
        <f>EFEITO!$J$905*EFEITO!$Y$905</f>
        <v>0</v>
      </c>
      <c r="K905" s="64">
        <f ca="1">EFEITO!$L$905*EFEITO!$Z$905</f>
        <v>17430.20364007747</v>
      </c>
      <c r="L905" s="64">
        <f>EFEITO!$N$905*EFEITO!$AA$905</f>
        <v>4665.7310400818169</v>
      </c>
      <c r="M905" s="64">
        <f>$J$905-EFEITO!$K$905*EFEITO!$Y$905</f>
        <v>0</v>
      </c>
      <c r="N905" s="64">
        <f ca="1">$K$905-EFEITO!$M$905*EFEITO!$Z$905</f>
        <v>0</v>
      </c>
      <c r="O905" s="64">
        <f>$L$905-EFEITO!$O$905*EFEITO!$AA$905</f>
        <v>0</v>
      </c>
      <c r="P905" s="19"/>
      <c r="Q905" s="19"/>
      <c r="R905" s="19"/>
      <c r="S905" s="19"/>
      <c r="T905" s="19"/>
      <c r="U905" s="19"/>
      <c r="V905" s="19"/>
      <c r="W905" s="19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55" t="s">
        <v>27</v>
      </c>
      <c r="B906" s="55" t="s">
        <v>41</v>
      </c>
      <c r="C906" s="55" t="s">
        <v>42</v>
      </c>
      <c r="D906" s="55" t="s">
        <v>38</v>
      </c>
      <c r="E906" s="55" t="s">
        <v>25</v>
      </c>
      <c r="F906" s="55" t="s">
        <v>59</v>
      </c>
      <c r="G906" s="55" t="s">
        <v>25</v>
      </c>
      <c r="H906" s="55" t="s">
        <v>35</v>
      </c>
      <c r="I906" s="63">
        <v>44409</v>
      </c>
      <c r="J906" s="64">
        <f>EFEITO!$J$906*EFEITO!$Y$906</f>
        <v>0</v>
      </c>
      <c r="K906" s="64">
        <f ca="1">EFEITO!$L$906*EFEITO!$Z$906</f>
        <v>276.24080649803864</v>
      </c>
      <c r="L906" s="64">
        <f>EFEITO!$N$906*EFEITO!$AA$906</f>
        <v>0</v>
      </c>
      <c r="M906" s="64">
        <f>$J$906-EFEITO!$K$906*EFEITO!$Y$906</f>
        <v>0</v>
      </c>
      <c r="N906" s="64">
        <f ca="1">$K$906-EFEITO!$M$906*EFEITO!$Z$906</f>
        <v>0</v>
      </c>
      <c r="O906" s="64">
        <f>$L$906-EFEITO!$O$906*EFEITO!$AA$906</f>
        <v>0</v>
      </c>
      <c r="P906" s="19"/>
      <c r="Q906" s="19"/>
      <c r="R906" s="19"/>
      <c r="S906" s="19"/>
      <c r="T906" s="19"/>
      <c r="U906" s="19"/>
      <c r="V906" s="19"/>
      <c r="W906" s="19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55" t="s">
        <v>27</v>
      </c>
      <c r="B907" s="55" t="s">
        <v>41</v>
      </c>
      <c r="C907" s="55" t="s">
        <v>42</v>
      </c>
      <c r="D907" s="55" t="s">
        <v>38</v>
      </c>
      <c r="E907" s="55" t="s">
        <v>25</v>
      </c>
      <c r="F907" s="55" t="s">
        <v>59</v>
      </c>
      <c r="G907" s="55" t="s">
        <v>25</v>
      </c>
      <c r="H907" s="55" t="s">
        <v>35</v>
      </c>
      <c r="I907" s="63">
        <v>44440</v>
      </c>
      <c r="J907" s="64">
        <f>EFEITO!$J$907*EFEITO!$Y$907</f>
        <v>0</v>
      </c>
      <c r="K907" s="64">
        <f ca="1">EFEITO!$L$907*EFEITO!$Z$907</f>
        <v>139.25158450792827</v>
      </c>
      <c r="L907" s="64">
        <f>EFEITO!$N$907*EFEITO!$AA$907</f>
        <v>0</v>
      </c>
      <c r="M907" s="64">
        <f>$J$907-EFEITO!$K$907*EFEITO!$Y$907</f>
        <v>0</v>
      </c>
      <c r="N907" s="64">
        <f ca="1">$K$907-EFEITO!$M$907*EFEITO!$Z$907</f>
        <v>0</v>
      </c>
      <c r="O907" s="64">
        <f>$L$907-EFEITO!$O$907*EFEITO!$AA$907</f>
        <v>0</v>
      </c>
      <c r="P907" s="19"/>
      <c r="Q907" s="19"/>
      <c r="R907" s="19"/>
      <c r="S907" s="19"/>
      <c r="T907" s="19"/>
      <c r="U907" s="19"/>
      <c r="V907" s="19"/>
      <c r="W907" s="19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55" t="s">
        <v>27</v>
      </c>
      <c r="B908" s="55" t="s">
        <v>41</v>
      </c>
      <c r="C908" s="55" t="s">
        <v>42</v>
      </c>
      <c r="D908" s="55" t="s">
        <v>38</v>
      </c>
      <c r="E908" s="55" t="s">
        <v>25</v>
      </c>
      <c r="F908" s="55" t="s">
        <v>59</v>
      </c>
      <c r="G908" s="55" t="s">
        <v>25</v>
      </c>
      <c r="H908" s="55" t="s">
        <v>35</v>
      </c>
      <c r="I908" s="63">
        <v>44470</v>
      </c>
      <c r="J908" s="64">
        <f>EFEITO!$J$908*EFEITO!$Y$908</f>
        <v>0</v>
      </c>
      <c r="K908" s="64">
        <f ca="1">EFEITO!$L$908*EFEITO!$Z$908</f>
        <v>601.13297891662751</v>
      </c>
      <c r="L908" s="64">
        <f>EFEITO!$N$908*EFEITO!$AA$908</f>
        <v>0</v>
      </c>
      <c r="M908" s="64">
        <f>$J$908-EFEITO!$K$908*EFEITO!$Y$908</f>
        <v>0</v>
      </c>
      <c r="N908" s="64">
        <f ca="1">$K$908-EFEITO!$M$908*EFEITO!$Z$908</f>
        <v>0</v>
      </c>
      <c r="O908" s="64">
        <f>$L$908-EFEITO!$O$908*EFEITO!$AA$908</f>
        <v>0</v>
      </c>
      <c r="P908" s="19"/>
      <c r="Q908" s="19"/>
      <c r="R908" s="19"/>
      <c r="S908" s="19"/>
      <c r="T908" s="19"/>
      <c r="U908" s="19"/>
      <c r="V908" s="19"/>
      <c r="W908" s="19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55" t="s">
        <v>27</v>
      </c>
      <c r="B909" s="55" t="s">
        <v>41</v>
      </c>
      <c r="C909" s="55" t="s">
        <v>42</v>
      </c>
      <c r="D909" s="55" t="s">
        <v>38</v>
      </c>
      <c r="E909" s="55" t="s">
        <v>25</v>
      </c>
      <c r="F909" s="55" t="s">
        <v>59</v>
      </c>
      <c r="G909" s="55" t="s">
        <v>25</v>
      </c>
      <c r="H909" s="55" t="s">
        <v>35</v>
      </c>
      <c r="I909" s="63">
        <v>44501</v>
      </c>
      <c r="J909" s="64">
        <f>EFEITO!$J$909*EFEITO!$Y$909</f>
        <v>0</v>
      </c>
      <c r="K909" s="64">
        <f ca="1">EFEITO!$L$909*EFEITO!$Z$909</f>
        <v>692.74808910078377</v>
      </c>
      <c r="L909" s="64">
        <f>EFEITO!$N$909*EFEITO!$AA$909</f>
        <v>0</v>
      </c>
      <c r="M909" s="64">
        <f>$J$909-EFEITO!$K$909*EFEITO!$Y$909</f>
        <v>0</v>
      </c>
      <c r="N909" s="64">
        <f ca="1">$K$909-EFEITO!$M$909*EFEITO!$Z$909</f>
        <v>0</v>
      </c>
      <c r="O909" s="64">
        <f>$L$909-EFEITO!$O$909*EFEITO!$AA$909</f>
        <v>0</v>
      </c>
      <c r="P909" s="19"/>
      <c r="Q909" s="19"/>
      <c r="R909" s="19"/>
      <c r="S909" s="19"/>
      <c r="T909" s="19"/>
      <c r="U909" s="19"/>
      <c r="V909" s="19"/>
      <c r="W909" s="19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55" t="s">
        <v>27</v>
      </c>
      <c r="B910" s="55" t="s">
        <v>41</v>
      </c>
      <c r="C910" s="55" t="s">
        <v>42</v>
      </c>
      <c r="D910" s="55" t="s">
        <v>38</v>
      </c>
      <c r="E910" s="55" t="s">
        <v>25</v>
      </c>
      <c r="F910" s="55" t="s">
        <v>59</v>
      </c>
      <c r="G910" s="55" t="s">
        <v>25</v>
      </c>
      <c r="H910" s="55" t="s">
        <v>35</v>
      </c>
      <c r="I910" s="63">
        <v>44531</v>
      </c>
      <c r="J910" s="64">
        <f>EFEITO!$J$910*EFEITO!$Y$910</f>
        <v>0</v>
      </c>
      <c r="K910" s="64">
        <f ca="1">EFEITO!$L$910*EFEITO!$Z$910</f>
        <v>2629.4572658024558</v>
      </c>
      <c r="L910" s="64">
        <f>EFEITO!$N$910*EFEITO!$AA$910</f>
        <v>0</v>
      </c>
      <c r="M910" s="64">
        <f>$J$910-EFEITO!$K$910*EFEITO!$Y$910</f>
        <v>0</v>
      </c>
      <c r="N910" s="64">
        <f ca="1">$K$910-EFEITO!$M$910*EFEITO!$Z$910</f>
        <v>0</v>
      </c>
      <c r="O910" s="64">
        <f>$L$910-EFEITO!$O$910*EFEITO!$AA$910</f>
        <v>0</v>
      </c>
      <c r="P910" s="19"/>
      <c r="Q910" s="19"/>
      <c r="R910" s="19"/>
      <c r="S910" s="19"/>
      <c r="T910" s="19"/>
      <c r="U910" s="19"/>
      <c r="V910" s="19"/>
      <c r="W910" s="19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55" t="s">
        <v>27</v>
      </c>
      <c r="B911" s="55" t="s">
        <v>41</v>
      </c>
      <c r="C911" s="55" t="s">
        <v>42</v>
      </c>
      <c r="D911" s="55" t="s">
        <v>38</v>
      </c>
      <c r="E911" s="55" t="s">
        <v>25</v>
      </c>
      <c r="F911" s="55" t="s">
        <v>59</v>
      </c>
      <c r="G911" s="55" t="s">
        <v>25</v>
      </c>
      <c r="H911" s="55" t="s">
        <v>35</v>
      </c>
      <c r="I911" s="63">
        <v>44562</v>
      </c>
      <c r="J911" s="64">
        <f>EFEITO!$J$911*EFEITO!$Y$911</f>
        <v>0</v>
      </c>
      <c r="K911" s="64">
        <f ca="1">EFEITO!$L$911*EFEITO!$Z$911</f>
        <v>3547.5112893879777</v>
      </c>
      <c r="L911" s="64">
        <f>EFEITO!$N$911*EFEITO!$AA$911</f>
        <v>0</v>
      </c>
      <c r="M911" s="64">
        <f>$J$911-EFEITO!$K$911*EFEITO!$Y$911</f>
        <v>0</v>
      </c>
      <c r="N911" s="64">
        <f ca="1">$K$911-EFEITO!$M$911*EFEITO!$Z$911</f>
        <v>0</v>
      </c>
      <c r="O911" s="64">
        <f>$L$911-EFEITO!$O$911*EFEITO!$AA$911</f>
        <v>0</v>
      </c>
      <c r="P911" s="19"/>
      <c r="Q911" s="19"/>
      <c r="R911" s="19"/>
      <c r="S911" s="19"/>
      <c r="T911" s="19"/>
      <c r="U911" s="19"/>
      <c r="V911" s="19"/>
      <c r="W911" s="19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55" t="s">
        <v>27</v>
      </c>
      <c r="B912" s="55" t="s">
        <v>41</v>
      </c>
      <c r="C912" s="55" t="s">
        <v>42</v>
      </c>
      <c r="D912" s="55" t="s">
        <v>38</v>
      </c>
      <c r="E912" s="55" t="s">
        <v>25</v>
      </c>
      <c r="F912" s="55" t="s">
        <v>59</v>
      </c>
      <c r="G912" s="55" t="s">
        <v>25</v>
      </c>
      <c r="H912" s="55" t="s">
        <v>35</v>
      </c>
      <c r="I912" s="63">
        <v>44593</v>
      </c>
      <c r="J912" s="64">
        <f>EFEITO!$J$912*EFEITO!$Y$912</f>
        <v>0</v>
      </c>
      <c r="K912" s="64">
        <f ca="1">EFEITO!$L$912*EFEITO!$Z$912</f>
        <v>3176.4838364658513</v>
      </c>
      <c r="L912" s="64">
        <f>EFEITO!$N$912*EFEITO!$AA$912</f>
        <v>0</v>
      </c>
      <c r="M912" s="64">
        <f>$J$912-EFEITO!$K$912*EFEITO!$Y$912</f>
        <v>0</v>
      </c>
      <c r="N912" s="64">
        <f ca="1">$K$912-EFEITO!$M$912*EFEITO!$Z$912</f>
        <v>0</v>
      </c>
      <c r="O912" s="64">
        <f>$L$912-EFEITO!$O$912*EFEITO!$AA$912</f>
        <v>0</v>
      </c>
      <c r="P912" s="19"/>
      <c r="Q912" s="19"/>
      <c r="R912" s="19"/>
      <c r="S912" s="19"/>
      <c r="T912" s="19"/>
      <c r="U912" s="19"/>
      <c r="V912" s="19"/>
      <c r="W912" s="19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55" t="s">
        <v>27</v>
      </c>
      <c r="B913" s="55" t="s">
        <v>41</v>
      </c>
      <c r="C913" s="55" t="s">
        <v>42</v>
      </c>
      <c r="D913" s="55" t="s">
        <v>38</v>
      </c>
      <c r="E913" s="55" t="s">
        <v>25</v>
      </c>
      <c r="F913" s="55" t="s">
        <v>59</v>
      </c>
      <c r="G913" s="55" t="s">
        <v>25</v>
      </c>
      <c r="H913" s="55" t="s">
        <v>35</v>
      </c>
      <c r="I913" s="63">
        <v>44621</v>
      </c>
      <c r="J913" s="64">
        <f>EFEITO!$J$913*EFEITO!$Y$913</f>
        <v>0</v>
      </c>
      <c r="K913" s="64">
        <f ca="1">EFEITO!$L$913*EFEITO!$Z$913</f>
        <v>3216.1491830399286</v>
      </c>
      <c r="L913" s="64">
        <f>EFEITO!$N$913*EFEITO!$AA$913</f>
        <v>0</v>
      </c>
      <c r="M913" s="64">
        <f>$J$913-EFEITO!$K$913*EFEITO!$Y$913</f>
        <v>0</v>
      </c>
      <c r="N913" s="64">
        <f ca="1">$K$913-EFEITO!$M$913*EFEITO!$Z$913</f>
        <v>0</v>
      </c>
      <c r="O913" s="64">
        <f>$L$913-EFEITO!$O$913*EFEITO!$AA$913</f>
        <v>0</v>
      </c>
      <c r="P913" s="19"/>
      <c r="Q913" s="19"/>
      <c r="R913" s="19"/>
      <c r="S913" s="19"/>
      <c r="T913" s="19"/>
      <c r="U913" s="19"/>
      <c r="V913" s="19"/>
      <c r="W913" s="19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55" t="s">
        <v>27</v>
      </c>
      <c r="B914" s="55" t="s">
        <v>41</v>
      </c>
      <c r="C914" s="55" t="s">
        <v>42</v>
      </c>
      <c r="D914" s="55" t="s">
        <v>38</v>
      </c>
      <c r="E914" s="55" t="s">
        <v>25</v>
      </c>
      <c r="F914" s="55" t="s">
        <v>59</v>
      </c>
      <c r="G914" s="55" t="s">
        <v>25</v>
      </c>
      <c r="H914" s="55" t="s">
        <v>35</v>
      </c>
      <c r="I914" s="63">
        <v>44652</v>
      </c>
      <c r="J914" s="64">
        <f>EFEITO!$J$914*EFEITO!$Y$914</f>
        <v>0</v>
      </c>
      <c r="K914" s="64">
        <f ca="1">EFEITO!$L$914*EFEITO!$Z$914</f>
        <v>2966.1052658837239</v>
      </c>
      <c r="L914" s="64">
        <f>EFEITO!$N$914*EFEITO!$AA$914</f>
        <v>0</v>
      </c>
      <c r="M914" s="64">
        <f>$J$914-EFEITO!$K$914*EFEITO!$Y$914</f>
        <v>0</v>
      </c>
      <c r="N914" s="64">
        <f ca="1">$K$914-EFEITO!$M$914*EFEITO!$Z$914</f>
        <v>0</v>
      </c>
      <c r="O914" s="64">
        <f>$L$914-EFEITO!$O$914*EFEITO!$AA$914</f>
        <v>0</v>
      </c>
      <c r="P914" s="19"/>
      <c r="Q914" s="19"/>
      <c r="R914" s="19"/>
      <c r="S914" s="19"/>
      <c r="T914" s="19"/>
      <c r="U914" s="19"/>
      <c r="V914" s="19"/>
      <c r="W914" s="19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55" t="s">
        <v>27</v>
      </c>
      <c r="B915" s="55" t="s">
        <v>41</v>
      </c>
      <c r="C915" s="55" t="s">
        <v>42</v>
      </c>
      <c r="D915" s="55" t="s">
        <v>38</v>
      </c>
      <c r="E915" s="55" t="s">
        <v>25</v>
      </c>
      <c r="F915" s="55" t="s">
        <v>59</v>
      </c>
      <c r="G915" s="55" t="s">
        <v>25</v>
      </c>
      <c r="H915" s="55" t="s">
        <v>35</v>
      </c>
      <c r="I915" s="63">
        <v>44682</v>
      </c>
      <c r="J915" s="64">
        <f>EFEITO!$J$915*EFEITO!$Y$915</f>
        <v>0</v>
      </c>
      <c r="K915" s="64">
        <f ca="1">EFEITO!$L$915*EFEITO!$Z$915</f>
        <v>371.13317079679092</v>
      </c>
      <c r="L915" s="64">
        <f>EFEITO!$N$915*EFEITO!$AA$915</f>
        <v>0</v>
      </c>
      <c r="M915" s="64">
        <f>$J$915-EFEITO!$K$915*EFEITO!$Y$915</f>
        <v>0</v>
      </c>
      <c r="N915" s="64">
        <f ca="1">$K$915-EFEITO!$M$915*EFEITO!$Z$915</f>
        <v>0</v>
      </c>
      <c r="O915" s="64">
        <f>$L$915-EFEITO!$O$915*EFEITO!$AA$915</f>
        <v>0</v>
      </c>
      <c r="P915" s="19"/>
      <c r="Q915" s="19"/>
      <c r="R915" s="19"/>
      <c r="S915" s="19"/>
      <c r="T915" s="19"/>
      <c r="U915" s="19"/>
      <c r="V915" s="19"/>
      <c r="W915" s="19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55" t="s">
        <v>27</v>
      </c>
      <c r="B916" s="55" t="s">
        <v>41</v>
      </c>
      <c r="C916" s="55" t="s">
        <v>42</v>
      </c>
      <c r="D916" s="55" t="s">
        <v>38</v>
      </c>
      <c r="E916" s="55" t="s">
        <v>25</v>
      </c>
      <c r="F916" s="55" t="s">
        <v>59</v>
      </c>
      <c r="G916" s="55" t="s">
        <v>25</v>
      </c>
      <c r="H916" s="55" t="s">
        <v>35</v>
      </c>
      <c r="I916" s="63">
        <v>44713</v>
      </c>
      <c r="J916" s="64">
        <f>EFEITO!$J$916*EFEITO!$Y$916</f>
        <v>0</v>
      </c>
      <c r="K916" s="64">
        <f ca="1">EFEITO!$L$916*EFEITO!$Z$916</f>
        <v>1926.4545428592266</v>
      </c>
      <c r="L916" s="64">
        <f>EFEITO!$N$916*EFEITO!$AA$916</f>
        <v>0</v>
      </c>
      <c r="M916" s="64">
        <f>$J$916-EFEITO!$K$916*EFEITO!$Y$916</f>
        <v>0</v>
      </c>
      <c r="N916" s="64">
        <f ca="1">$K$916-EFEITO!$M$916*EFEITO!$Z$916</f>
        <v>0</v>
      </c>
      <c r="O916" s="64">
        <f>$L$916-EFEITO!$O$916*EFEITO!$AA$916</f>
        <v>0</v>
      </c>
      <c r="P916" s="19"/>
      <c r="Q916" s="19"/>
      <c r="R916" s="19"/>
      <c r="S916" s="19"/>
      <c r="T916" s="19"/>
      <c r="U916" s="19"/>
      <c r="V916" s="19"/>
      <c r="W916" s="19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55" t="s">
        <v>57</v>
      </c>
      <c r="B917" s="55" t="s">
        <v>41</v>
      </c>
      <c r="C917" s="55" t="s">
        <v>42</v>
      </c>
      <c r="D917" s="55" t="s">
        <v>38</v>
      </c>
      <c r="E917" s="55" t="s">
        <v>25</v>
      </c>
      <c r="F917" s="55" t="s">
        <v>59</v>
      </c>
      <c r="G917" s="55" t="s">
        <v>25</v>
      </c>
      <c r="H917" s="55" t="s">
        <v>35</v>
      </c>
      <c r="I917" s="63">
        <v>44743</v>
      </c>
      <c r="J917" s="64">
        <f>EFEITO!$J$917*EFEITO!$Y$917</f>
        <v>0</v>
      </c>
      <c r="K917" s="64">
        <f ca="1">EFEITO!$L$917*EFEITO!$Z$917</f>
        <v>1926.4545428592266</v>
      </c>
      <c r="L917" s="64">
        <f>EFEITO!$N$917*EFEITO!$AA$917</f>
        <v>0</v>
      </c>
      <c r="M917" s="64">
        <f>$J$917-EFEITO!$K$917*EFEITO!$Y$917</f>
        <v>0</v>
      </c>
      <c r="N917" s="64">
        <f ca="1">$K$917-EFEITO!$M$917*EFEITO!$Z$917</f>
        <v>0</v>
      </c>
      <c r="O917" s="64">
        <f>$L$917-EFEITO!$O$917*EFEITO!$AA$917</f>
        <v>0</v>
      </c>
      <c r="P917" s="19"/>
      <c r="Q917" s="19"/>
      <c r="R917" s="19"/>
      <c r="S917" s="19"/>
      <c r="T917" s="19"/>
      <c r="U917" s="19"/>
      <c r="V917" s="19"/>
      <c r="W917" s="19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55" t="s">
        <v>21</v>
      </c>
      <c r="B918" s="55" t="s">
        <v>41</v>
      </c>
      <c r="C918" s="55" t="s">
        <v>42</v>
      </c>
      <c r="D918" s="55" t="s">
        <v>38</v>
      </c>
      <c r="E918" s="55" t="s">
        <v>25</v>
      </c>
      <c r="F918" s="55" t="s">
        <v>61</v>
      </c>
      <c r="G918" s="55" t="s">
        <v>25</v>
      </c>
      <c r="H918" s="55" t="s">
        <v>35</v>
      </c>
      <c r="I918" s="63">
        <v>44409</v>
      </c>
      <c r="J918" s="64">
        <f>EFEITO!$J$918*EFEITO!$Y$918</f>
        <v>0</v>
      </c>
      <c r="K918" s="64">
        <f ca="1">EFEITO!$L$918*EFEITO!$Z$918</f>
        <v>705990.291182874</v>
      </c>
      <c r="L918" s="64">
        <f>EFEITO!$N$918*EFEITO!$AA$918</f>
        <v>0</v>
      </c>
      <c r="M918" s="64">
        <f>$J$918-EFEITO!$K$918*EFEITO!$Y$918</f>
        <v>0</v>
      </c>
      <c r="N918" s="64">
        <f ca="1">$K$918-EFEITO!$M$918*EFEITO!$Z$918</f>
        <v>0</v>
      </c>
      <c r="O918" s="64">
        <f>$L$918-EFEITO!$O$918*EFEITO!$AA$918</f>
        <v>0</v>
      </c>
      <c r="P918" s="19"/>
      <c r="Q918" s="19"/>
      <c r="R918" s="19"/>
      <c r="S918" s="19"/>
      <c r="T918" s="19"/>
      <c r="U918" s="19"/>
      <c r="V918" s="19"/>
      <c r="W918" s="19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55" t="s">
        <v>27</v>
      </c>
      <c r="B919" s="55" t="s">
        <v>41</v>
      </c>
      <c r="C919" s="55" t="s">
        <v>42</v>
      </c>
      <c r="D919" s="55" t="s">
        <v>38</v>
      </c>
      <c r="E919" s="55" t="s">
        <v>25</v>
      </c>
      <c r="F919" s="55" t="s">
        <v>61</v>
      </c>
      <c r="G919" s="55" t="s">
        <v>25</v>
      </c>
      <c r="H919" s="55" t="s">
        <v>35</v>
      </c>
      <c r="I919" s="63">
        <v>44409</v>
      </c>
      <c r="J919" s="64">
        <f>EFEITO!$J$919*EFEITO!$Y$919</f>
        <v>0</v>
      </c>
      <c r="K919" s="64">
        <f ca="1">EFEITO!$L$919*EFEITO!$Z$919</f>
        <v>-1017.4525786206642</v>
      </c>
      <c r="L919" s="64">
        <f>EFEITO!$N$919*EFEITO!$AA$919</f>
        <v>0</v>
      </c>
      <c r="M919" s="64">
        <f>$J$919-EFEITO!$K$919*EFEITO!$Y$919</f>
        <v>0</v>
      </c>
      <c r="N919" s="64">
        <f ca="1">$K$919-EFEITO!$M$919*EFEITO!$Z$919</f>
        <v>0</v>
      </c>
      <c r="O919" s="64">
        <f>$L$919-EFEITO!$O$919*EFEITO!$AA$919</f>
        <v>0</v>
      </c>
      <c r="P919" s="19"/>
      <c r="Q919" s="19"/>
      <c r="R919" s="19"/>
      <c r="S919" s="19"/>
      <c r="T919" s="19"/>
      <c r="U919" s="19"/>
      <c r="V919" s="19"/>
      <c r="W919" s="19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55" t="s">
        <v>21</v>
      </c>
      <c r="B920" s="55" t="s">
        <v>41</v>
      </c>
      <c r="C920" s="55" t="s">
        <v>42</v>
      </c>
      <c r="D920" s="55" t="s">
        <v>38</v>
      </c>
      <c r="E920" s="55" t="s">
        <v>25</v>
      </c>
      <c r="F920" s="55" t="s">
        <v>61</v>
      </c>
      <c r="G920" s="55" t="s">
        <v>25</v>
      </c>
      <c r="H920" s="55" t="s">
        <v>35</v>
      </c>
      <c r="I920" s="63">
        <v>44440</v>
      </c>
      <c r="J920" s="64">
        <f>EFEITO!$J$920*EFEITO!$Y$920</f>
        <v>0</v>
      </c>
      <c r="K920" s="64">
        <f ca="1">EFEITO!$L$920*EFEITO!$Z$920</f>
        <v>712022.34815816837</v>
      </c>
      <c r="L920" s="64">
        <f>EFEITO!$N$920*EFEITO!$AA$920</f>
        <v>0</v>
      </c>
      <c r="M920" s="64">
        <f>$J$920-EFEITO!$K$920*EFEITO!$Y$920</f>
        <v>0</v>
      </c>
      <c r="N920" s="64">
        <f ca="1">$K$920-EFEITO!$M$920*EFEITO!$Z$920</f>
        <v>0</v>
      </c>
      <c r="O920" s="64">
        <f>$L$920-EFEITO!$O$920*EFEITO!$AA$920</f>
        <v>0</v>
      </c>
      <c r="P920" s="19"/>
      <c r="Q920" s="19"/>
      <c r="R920" s="19"/>
      <c r="S920" s="19"/>
      <c r="T920" s="19"/>
      <c r="U920" s="19"/>
      <c r="V920" s="19"/>
      <c r="W920" s="19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55" t="s">
        <v>27</v>
      </c>
      <c r="B921" s="55" t="s">
        <v>41</v>
      </c>
      <c r="C921" s="55" t="s">
        <v>42</v>
      </c>
      <c r="D921" s="55" t="s">
        <v>38</v>
      </c>
      <c r="E921" s="55" t="s">
        <v>25</v>
      </c>
      <c r="F921" s="55" t="s">
        <v>61</v>
      </c>
      <c r="G921" s="55" t="s">
        <v>25</v>
      </c>
      <c r="H921" s="55" t="s">
        <v>35</v>
      </c>
      <c r="I921" s="63">
        <v>44440</v>
      </c>
      <c r="J921" s="64">
        <f>EFEITO!$J$921*EFEITO!$Y$921</f>
        <v>0</v>
      </c>
      <c r="K921" s="64">
        <f ca="1">EFEITO!$L$921*EFEITO!$Z$921</f>
        <v>-512.89266611524647</v>
      </c>
      <c r="L921" s="64">
        <f>EFEITO!$N$921*EFEITO!$AA$921</f>
        <v>0</v>
      </c>
      <c r="M921" s="64">
        <f>$J$921-EFEITO!$K$921*EFEITO!$Y$921</f>
        <v>0</v>
      </c>
      <c r="N921" s="64">
        <f ca="1">$K$921-EFEITO!$M$921*EFEITO!$Z$921</f>
        <v>0</v>
      </c>
      <c r="O921" s="64">
        <f>$L$921-EFEITO!$O$921*EFEITO!$AA$921</f>
        <v>0</v>
      </c>
      <c r="P921" s="19"/>
      <c r="Q921" s="19"/>
      <c r="R921" s="19"/>
      <c r="S921" s="19"/>
      <c r="T921" s="19"/>
      <c r="U921" s="19"/>
      <c r="V921" s="19"/>
      <c r="W921" s="19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1.25" customHeight="1" x14ac:dyDescent="0.2">
      <c r="A922" s="55" t="s">
        <v>21</v>
      </c>
      <c r="B922" s="55" t="s">
        <v>41</v>
      </c>
      <c r="C922" s="55" t="s">
        <v>42</v>
      </c>
      <c r="D922" s="55" t="s">
        <v>38</v>
      </c>
      <c r="E922" s="55" t="s">
        <v>25</v>
      </c>
      <c r="F922" s="55" t="s">
        <v>61</v>
      </c>
      <c r="G922" s="55" t="s">
        <v>25</v>
      </c>
      <c r="H922" s="55" t="s">
        <v>35</v>
      </c>
      <c r="I922" s="63">
        <v>44470</v>
      </c>
      <c r="J922" s="64">
        <f>EFEITO!$J$922*EFEITO!$Y$922</f>
        <v>0</v>
      </c>
      <c r="K922" s="64">
        <f ca="1">EFEITO!$L$922*EFEITO!$Z$922</f>
        <v>744490.33852735092</v>
      </c>
      <c r="L922" s="64">
        <f>EFEITO!$N$922*EFEITO!$AA$922</f>
        <v>0</v>
      </c>
      <c r="M922" s="64">
        <f>$J$922-EFEITO!$K$922*EFEITO!$Y$922</f>
        <v>0</v>
      </c>
      <c r="N922" s="64">
        <f ca="1">$K$922-EFEITO!$M$922*EFEITO!$Z$922</f>
        <v>0</v>
      </c>
      <c r="O922" s="64">
        <f>$L$922-EFEITO!$O$922*EFEITO!$AA$922</f>
        <v>0</v>
      </c>
      <c r="P922" s="19"/>
      <c r="Q922" s="19"/>
      <c r="R922" s="19"/>
      <c r="S922" s="19"/>
      <c r="T922" s="19"/>
      <c r="U922" s="19"/>
      <c r="V922" s="19"/>
      <c r="W922" s="19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1.25" customHeight="1" x14ac:dyDescent="0.2">
      <c r="A923" s="55" t="s">
        <v>27</v>
      </c>
      <c r="B923" s="55" t="s">
        <v>41</v>
      </c>
      <c r="C923" s="55" t="s">
        <v>42</v>
      </c>
      <c r="D923" s="55" t="s">
        <v>38</v>
      </c>
      <c r="E923" s="55" t="s">
        <v>25</v>
      </c>
      <c r="F923" s="55" t="s">
        <v>61</v>
      </c>
      <c r="G923" s="55" t="s">
        <v>25</v>
      </c>
      <c r="H923" s="55" t="s">
        <v>35</v>
      </c>
      <c r="I923" s="63">
        <v>44470</v>
      </c>
      <c r="J923" s="64">
        <f>EFEITO!$J$923*EFEITO!$Y$923</f>
        <v>0</v>
      </c>
      <c r="K923" s="64">
        <f ca="1">EFEITO!$L$923*EFEITO!$Z$923</f>
        <v>-2214.0982979536248</v>
      </c>
      <c r="L923" s="64">
        <f>EFEITO!$N$923*EFEITO!$AA$923</f>
        <v>0</v>
      </c>
      <c r="M923" s="64">
        <f>$J$923-EFEITO!$K$923*EFEITO!$Y$923</f>
        <v>0</v>
      </c>
      <c r="N923" s="64">
        <f ca="1">$K$923-EFEITO!$M$923*EFEITO!$Z$923</f>
        <v>0</v>
      </c>
      <c r="O923" s="64">
        <f>$L$923-EFEITO!$O$923*EFEITO!$AA$923</f>
        <v>0</v>
      </c>
      <c r="P923" s="19"/>
      <c r="Q923" s="19"/>
      <c r="R923" s="19"/>
      <c r="S923" s="19"/>
      <c r="T923" s="19"/>
      <c r="U923" s="19"/>
      <c r="V923" s="19"/>
      <c r="W923" s="19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1.25" customHeight="1" x14ac:dyDescent="0.2">
      <c r="A924" s="55" t="s">
        <v>21</v>
      </c>
      <c r="B924" s="55" t="s">
        <v>41</v>
      </c>
      <c r="C924" s="55" t="s">
        <v>42</v>
      </c>
      <c r="D924" s="55" t="s">
        <v>38</v>
      </c>
      <c r="E924" s="55" t="s">
        <v>25</v>
      </c>
      <c r="F924" s="55" t="s">
        <v>61</v>
      </c>
      <c r="G924" s="55" t="s">
        <v>25</v>
      </c>
      <c r="H924" s="55" t="s">
        <v>35</v>
      </c>
      <c r="I924" s="63">
        <v>44501</v>
      </c>
      <c r="J924" s="64">
        <f>EFEITO!$J$924*EFEITO!$Y$924</f>
        <v>0</v>
      </c>
      <c r="K924" s="64">
        <f ca="1">EFEITO!$L$924*EFEITO!$Z$924</f>
        <v>830635.66924119263</v>
      </c>
      <c r="L924" s="64">
        <f>EFEITO!$N$924*EFEITO!$AA$924</f>
        <v>0</v>
      </c>
      <c r="M924" s="64">
        <f>$J$924-EFEITO!$K$924*EFEITO!$Y$924</f>
        <v>0</v>
      </c>
      <c r="N924" s="64">
        <f ca="1">$K$924-EFEITO!$M$924*EFEITO!$Z$924</f>
        <v>0</v>
      </c>
      <c r="O924" s="64">
        <f>$L$924-EFEITO!$O$924*EFEITO!$AA$924</f>
        <v>0</v>
      </c>
      <c r="P924" s="19"/>
      <c r="Q924" s="19"/>
      <c r="R924" s="19"/>
      <c r="S924" s="19"/>
      <c r="T924" s="19"/>
      <c r="U924" s="19"/>
      <c r="V924" s="19"/>
      <c r="W924" s="19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1.25" customHeight="1" x14ac:dyDescent="0.2">
      <c r="A925" s="55" t="s">
        <v>27</v>
      </c>
      <c r="B925" s="55" t="s">
        <v>41</v>
      </c>
      <c r="C925" s="55" t="s">
        <v>42</v>
      </c>
      <c r="D925" s="55" t="s">
        <v>38</v>
      </c>
      <c r="E925" s="55" t="s">
        <v>25</v>
      </c>
      <c r="F925" s="55" t="s">
        <v>61</v>
      </c>
      <c r="G925" s="55" t="s">
        <v>25</v>
      </c>
      <c r="H925" s="55" t="s">
        <v>35</v>
      </c>
      <c r="I925" s="63">
        <v>44501</v>
      </c>
      <c r="J925" s="64">
        <f>EFEITO!$J$925*EFEITO!$Y$925</f>
        <v>0</v>
      </c>
      <c r="K925" s="64">
        <f ca="1">EFEITO!$L$925*EFEITO!$Z$925</f>
        <v>-2551.5358810507041</v>
      </c>
      <c r="L925" s="64">
        <f>EFEITO!$N$925*EFEITO!$AA$925</f>
        <v>0</v>
      </c>
      <c r="M925" s="64">
        <f>$J$925-EFEITO!$K$925*EFEITO!$Y$925</f>
        <v>0</v>
      </c>
      <c r="N925" s="64">
        <f ca="1">$K$925-EFEITO!$M$925*EFEITO!$Z$925</f>
        <v>0</v>
      </c>
      <c r="O925" s="64">
        <f>$L$925-EFEITO!$O$925*EFEITO!$AA$925</f>
        <v>0</v>
      </c>
      <c r="P925" s="19"/>
      <c r="Q925" s="19"/>
      <c r="R925" s="19"/>
      <c r="S925" s="19"/>
      <c r="T925" s="19"/>
      <c r="U925" s="19"/>
      <c r="V925" s="19"/>
      <c r="W925" s="19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1.25" customHeight="1" x14ac:dyDescent="0.2">
      <c r="A926" s="55" t="s">
        <v>21</v>
      </c>
      <c r="B926" s="55" t="s">
        <v>41</v>
      </c>
      <c r="C926" s="55" t="s">
        <v>42</v>
      </c>
      <c r="D926" s="55" t="s">
        <v>38</v>
      </c>
      <c r="E926" s="55" t="s">
        <v>25</v>
      </c>
      <c r="F926" s="55" t="s">
        <v>61</v>
      </c>
      <c r="G926" s="55" t="s">
        <v>25</v>
      </c>
      <c r="H926" s="55" t="s">
        <v>35</v>
      </c>
      <c r="I926" s="63">
        <v>44531</v>
      </c>
      <c r="J926" s="64">
        <f>EFEITO!$J$926*EFEITO!$Y$926</f>
        <v>0</v>
      </c>
      <c r="K926" s="64">
        <f ca="1">EFEITO!$L$926*EFEITO!$Z$926</f>
        <v>833211.89187826496</v>
      </c>
      <c r="L926" s="64">
        <f>EFEITO!$N$926*EFEITO!$AA$926</f>
        <v>0</v>
      </c>
      <c r="M926" s="64">
        <f>$J$926-EFEITO!$K$926*EFEITO!$Y$926</f>
        <v>0</v>
      </c>
      <c r="N926" s="64">
        <f ca="1">$K$926-EFEITO!$M$926*EFEITO!$Z$926</f>
        <v>0</v>
      </c>
      <c r="O926" s="64">
        <f>$L$926-EFEITO!$O$926*EFEITO!$AA$926</f>
        <v>0</v>
      </c>
      <c r="P926" s="19"/>
      <c r="Q926" s="19"/>
      <c r="R926" s="19"/>
      <c r="S926" s="19"/>
      <c r="T926" s="19"/>
      <c r="U926" s="19"/>
      <c r="V926" s="19"/>
      <c r="W926" s="19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1.25" customHeight="1" x14ac:dyDescent="0.2">
      <c r="A927" s="55" t="s">
        <v>27</v>
      </c>
      <c r="B927" s="55" t="s">
        <v>41</v>
      </c>
      <c r="C927" s="55" t="s">
        <v>42</v>
      </c>
      <c r="D927" s="55" t="s">
        <v>38</v>
      </c>
      <c r="E927" s="55" t="s">
        <v>25</v>
      </c>
      <c r="F927" s="55" t="s">
        <v>61</v>
      </c>
      <c r="G927" s="55" t="s">
        <v>25</v>
      </c>
      <c r="H927" s="55" t="s">
        <v>35</v>
      </c>
      <c r="I927" s="63">
        <v>44531</v>
      </c>
      <c r="J927" s="64">
        <f>EFEITO!$J$927*EFEITO!$Y$927</f>
        <v>0</v>
      </c>
      <c r="K927" s="64">
        <f ca="1">EFEITO!$L$927*EFEITO!$Z$927</f>
        <v>-9684.8402282757779</v>
      </c>
      <c r="L927" s="64">
        <f>EFEITO!$N$927*EFEITO!$AA$927</f>
        <v>0</v>
      </c>
      <c r="M927" s="64">
        <f>$J$927-EFEITO!$K$927*EFEITO!$Y$927</f>
        <v>0</v>
      </c>
      <c r="N927" s="64">
        <f ca="1">$K$927-EFEITO!$M$927*EFEITO!$Z$927</f>
        <v>0</v>
      </c>
      <c r="O927" s="64">
        <f>$L$927-EFEITO!$O$927*EFEITO!$AA$927</f>
        <v>0</v>
      </c>
      <c r="P927" s="19"/>
      <c r="Q927" s="19"/>
      <c r="R927" s="19"/>
      <c r="S927" s="19"/>
      <c r="T927" s="19"/>
      <c r="U927" s="19"/>
      <c r="V927" s="19"/>
      <c r="W927" s="19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1.25" customHeight="1" x14ac:dyDescent="0.2">
      <c r="A928" s="55" t="s">
        <v>21</v>
      </c>
      <c r="B928" s="55" t="s">
        <v>41</v>
      </c>
      <c r="C928" s="55" t="s">
        <v>42</v>
      </c>
      <c r="D928" s="55" t="s">
        <v>38</v>
      </c>
      <c r="E928" s="55" t="s">
        <v>25</v>
      </c>
      <c r="F928" s="55" t="s">
        <v>61</v>
      </c>
      <c r="G928" s="55" t="s">
        <v>25</v>
      </c>
      <c r="H928" s="55" t="s">
        <v>35</v>
      </c>
      <c r="I928" s="63">
        <v>44562</v>
      </c>
      <c r="J928" s="64">
        <f>EFEITO!$J$928*EFEITO!$Y$928</f>
        <v>0</v>
      </c>
      <c r="K928" s="64">
        <f ca="1">EFEITO!$L$928*EFEITO!$Z$928</f>
        <v>813753.58830388181</v>
      </c>
      <c r="L928" s="64">
        <f>EFEITO!$N$928*EFEITO!$AA$928</f>
        <v>0</v>
      </c>
      <c r="M928" s="64">
        <f>$J$928-EFEITO!$K$928*EFEITO!$Y$928</f>
        <v>0</v>
      </c>
      <c r="N928" s="64">
        <f ca="1">$K$928-EFEITO!$M$928*EFEITO!$Z$928</f>
        <v>0</v>
      </c>
      <c r="O928" s="64">
        <f>$L$928-EFEITO!$O$928*EFEITO!$AA$928</f>
        <v>0</v>
      </c>
      <c r="P928" s="19"/>
      <c r="Q928" s="19"/>
      <c r="R928" s="19"/>
      <c r="S928" s="19"/>
      <c r="T928" s="19"/>
      <c r="U928" s="19"/>
      <c r="V928" s="19"/>
      <c r="W928" s="19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1.25" customHeight="1" x14ac:dyDescent="0.2">
      <c r="A929" s="55" t="s">
        <v>27</v>
      </c>
      <c r="B929" s="55" t="s">
        <v>41</v>
      </c>
      <c r="C929" s="55" t="s">
        <v>42</v>
      </c>
      <c r="D929" s="55" t="s">
        <v>38</v>
      </c>
      <c r="E929" s="55" t="s">
        <v>25</v>
      </c>
      <c r="F929" s="55" t="s">
        <v>61</v>
      </c>
      <c r="G929" s="55" t="s">
        <v>25</v>
      </c>
      <c r="H929" s="55" t="s">
        <v>35</v>
      </c>
      <c r="I929" s="63">
        <v>44562</v>
      </c>
      <c r="J929" s="64">
        <f>EFEITO!$J$929*EFEITO!$Y$929</f>
        <v>0</v>
      </c>
      <c r="K929" s="64">
        <f ca="1">EFEITO!$L$929*EFEITO!$Z$929</f>
        <v>-13066.380669826984</v>
      </c>
      <c r="L929" s="64">
        <f>EFEITO!$N$929*EFEITO!$AA$929</f>
        <v>0</v>
      </c>
      <c r="M929" s="64">
        <f>$J$929-EFEITO!$K$929*EFEITO!$Y$929</f>
        <v>0</v>
      </c>
      <c r="N929" s="64">
        <f ca="1">$K$929-EFEITO!$M$929*EFEITO!$Z$929</f>
        <v>0</v>
      </c>
      <c r="O929" s="64">
        <f>$L$929-EFEITO!$O$929*EFEITO!$AA$929</f>
        <v>0</v>
      </c>
      <c r="P929" s="19"/>
      <c r="Q929" s="19"/>
      <c r="R929" s="19"/>
      <c r="S929" s="19"/>
      <c r="T929" s="19"/>
      <c r="U929" s="19"/>
      <c r="V929" s="19"/>
      <c r="W929" s="19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1.25" customHeight="1" x14ac:dyDescent="0.2">
      <c r="A930" s="55" t="s">
        <v>21</v>
      </c>
      <c r="B930" s="55" t="s">
        <v>41</v>
      </c>
      <c r="C930" s="55" t="s">
        <v>42</v>
      </c>
      <c r="D930" s="55" t="s">
        <v>38</v>
      </c>
      <c r="E930" s="55" t="s">
        <v>25</v>
      </c>
      <c r="F930" s="55" t="s">
        <v>61</v>
      </c>
      <c r="G930" s="55" t="s">
        <v>25</v>
      </c>
      <c r="H930" s="55" t="s">
        <v>35</v>
      </c>
      <c r="I930" s="63">
        <v>44593</v>
      </c>
      <c r="J930" s="64">
        <f>EFEITO!$J$930*EFEITO!$Y$930</f>
        <v>0</v>
      </c>
      <c r="K930" s="64">
        <f ca="1">EFEITO!$L$930*EFEITO!$Z$930</f>
        <v>806429.48726185225</v>
      </c>
      <c r="L930" s="64">
        <f>EFEITO!$N$930*EFEITO!$AA$930</f>
        <v>0</v>
      </c>
      <c r="M930" s="64">
        <f>$J$930-EFEITO!$K$930*EFEITO!$Y$930</f>
        <v>0</v>
      </c>
      <c r="N930" s="64">
        <f ca="1">$K$930-EFEITO!$M$930*EFEITO!$Z$930</f>
        <v>0</v>
      </c>
      <c r="O930" s="64">
        <f>$L$930-EFEITO!$O$930*EFEITO!$AA$930</f>
        <v>0</v>
      </c>
      <c r="P930" s="19"/>
      <c r="Q930" s="19"/>
      <c r="R930" s="19"/>
      <c r="S930" s="19"/>
      <c r="T930" s="19"/>
      <c r="U930" s="19"/>
      <c r="V930" s="19"/>
      <c r="W930" s="19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1.25" customHeight="1" x14ac:dyDescent="0.2">
      <c r="A931" s="55" t="s">
        <v>27</v>
      </c>
      <c r="B931" s="55" t="s">
        <v>41</v>
      </c>
      <c r="C931" s="55" t="s">
        <v>42</v>
      </c>
      <c r="D931" s="55" t="s">
        <v>38</v>
      </c>
      <c r="E931" s="55" t="s">
        <v>25</v>
      </c>
      <c r="F931" s="55" t="s">
        <v>61</v>
      </c>
      <c r="G931" s="55" t="s">
        <v>25</v>
      </c>
      <c r="H931" s="55" t="s">
        <v>35</v>
      </c>
      <c r="I931" s="63">
        <v>44593</v>
      </c>
      <c r="J931" s="64">
        <f>EFEITO!$J$931*EFEITO!$Y$931</f>
        <v>0</v>
      </c>
      <c r="K931" s="64">
        <f ca="1">EFEITO!$L$931*EFEITO!$Z$931</f>
        <v>-11699.653325411167</v>
      </c>
      <c r="L931" s="64">
        <f>EFEITO!$N$931*EFEITO!$AA$931</f>
        <v>0</v>
      </c>
      <c r="M931" s="64">
        <f>$J$931-EFEITO!$K$931*EFEITO!$Y$931</f>
        <v>0</v>
      </c>
      <c r="N931" s="64">
        <f ca="1">$K$931-EFEITO!$M$931*EFEITO!$Z$931</f>
        <v>0</v>
      </c>
      <c r="O931" s="64">
        <f>$L$931-EFEITO!$O$931*EFEITO!$AA$931</f>
        <v>0</v>
      </c>
      <c r="P931" s="19"/>
      <c r="Q931" s="19"/>
      <c r="R931" s="19"/>
      <c r="S931" s="19"/>
      <c r="T931" s="19"/>
      <c r="U931" s="19"/>
      <c r="V931" s="19"/>
      <c r="W931" s="19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1.25" customHeight="1" x14ac:dyDescent="0.2">
      <c r="A932" s="55" t="s">
        <v>21</v>
      </c>
      <c r="B932" s="55" t="s">
        <v>41</v>
      </c>
      <c r="C932" s="55" t="s">
        <v>42</v>
      </c>
      <c r="D932" s="55" t="s">
        <v>38</v>
      </c>
      <c r="E932" s="55" t="s">
        <v>25</v>
      </c>
      <c r="F932" s="55" t="s">
        <v>61</v>
      </c>
      <c r="G932" s="55" t="s">
        <v>25</v>
      </c>
      <c r="H932" s="55" t="s">
        <v>35</v>
      </c>
      <c r="I932" s="63">
        <v>44621</v>
      </c>
      <c r="J932" s="64">
        <f>EFEITO!$J$932*EFEITO!$Y$932</f>
        <v>0</v>
      </c>
      <c r="K932" s="64">
        <f ca="1">EFEITO!$L$932*EFEITO!$Z$932</f>
        <v>782934.39288261777</v>
      </c>
      <c r="L932" s="64">
        <f>EFEITO!$N$932*EFEITO!$AA$932</f>
        <v>0</v>
      </c>
      <c r="M932" s="64">
        <f>$J$932-EFEITO!$K$932*EFEITO!$Y$932</f>
        <v>0</v>
      </c>
      <c r="N932" s="64">
        <f ca="1">$K$932-EFEITO!$M$932*EFEITO!$Z$932</f>
        <v>0</v>
      </c>
      <c r="O932" s="64">
        <f>$L$932-EFEITO!$O$932*EFEITO!$AA$932</f>
        <v>0</v>
      </c>
      <c r="P932" s="19"/>
      <c r="Q932" s="19"/>
      <c r="R932" s="19"/>
      <c r="S932" s="19"/>
      <c r="T932" s="19"/>
      <c r="U932" s="19"/>
      <c r="V932" s="19"/>
      <c r="W932" s="19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1.25" customHeight="1" x14ac:dyDescent="0.2">
      <c r="A933" s="55" t="s">
        <v>27</v>
      </c>
      <c r="B933" s="55" t="s">
        <v>41</v>
      </c>
      <c r="C933" s="55" t="s">
        <v>42</v>
      </c>
      <c r="D933" s="55" t="s">
        <v>38</v>
      </c>
      <c r="E933" s="55" t="s">
        <v>25</v>
      </c>
      <c r="F933" s="55" t="s">
        <v>61</v>
      </c>
      <c r="G933" s="55" t="s">
        <v>25</v>
      </c>
      <c r="H933" s="55" t="s">
        <v>35</v>
      </c>
      <c r="I933" s="63">
        <v>44621</v>
      </c>
      <c r="J933" s="64">
        <f>EFEITO!$J$933*EFEITO!$Y$933</f>
        <v>0</v>
      </c>
      <c r="K933" s="64">
        <f ca="1">EFEITO!$L$933*EFEITO!$Z$933</f>
        <v>-11845.749080290032</v>
      </c>
      <c r="L933" s="64">
        <f>EFEITO!$N$933*EFEITO!$AA$933</f>
        <v>0</v>
      </c>
      <c r="M933" s="64">
        <f>$J$933-EFEITO!$K$933*EFEITO!$Y$933</f>
        <v>0</v>
      </c>
      <c r="N933" s="64">
        <f ca="1">$K$933-EFEITO!$M$933*EFEITO!$Z$933</f>
        <v>0</v>
      </c>
      <c r="O933" s="64">
        <f>$L$933-EFEITO!$O$933*EFEITO!$AA$933</f>
        <v>0</v>
      </c>
      <c r="P933" s="19"/>
      <c r="Q933" s="19"/>
      <c r="R933" s="19"/>
      <c r="S933" s="19"/>
      <c r="T933" s="19"/>
      <c r="U933" s="19"/>
      <c r="V933" s="19"/>
      <c r="W933" s="19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pans="1:36" ht="11.25" customHeight="1" x14ac:dyDescent="0.2">
      <c r="A934" s="55" t="s">
        <v>21</v>
      </c>
      <c r="B934" s="55" t="s">
        <v>41</v>
      </c>
      <c r="C934" s="55" t="s">
        <v>42</v>
      </c>
      <c r="D934" s="55" t="s">
        <v>38</v>
      </c>
      <c r="E934" s="55" t="s">
        <v>25</v>
      </c>
      <c r="F934" s="55" t="s">
        <v>61</v>
      </c>
      <c r="G934" s="55" t="s">
        <v>25</v>
      </c>
      <c r="H934" s="55" t="s">
        <v>35</v>
      </c>
      <c r="I934" s="63">
        <v>44652</v>
      </c>
      <c r="J934" s="64">
        <f>EFEITO!$J$934*EFEITO!$Y$934</f>
        <v>0</v>
      </c>
      <c r="K934" s="64">
        <f ca="1">EFEITO!$L$934*EFEITO!$Z$934</f>
        <v>864451.77454252238</v>
      </c>
      <c r="L934" s="64">
        <f>EFEITO!$N$934*EFEITO!$AA$934</f>
        <v>0</v>
      </c>
      <c r="M934" s="64">
        <f>$J$934-EFEITO!$K$934*EFEITO!$Y$934</f>
        <v>0</v>
      </c>
      <c r="N934" s="64">
        <f ca="1">$K$934-EFEITO!$M$934*EFEITO!$Z$934</f>
        <v>0</v>
      </c>
      <c r="O934" s="64">
        <f>$L$934-EFEITO!$O$934*EFEITO!$AA$934</f>
        <v>0</v>
      </c>
      <c r="P934" s="19"/>
      <c r="Q934" s="19"/>
      <c r="R934" s="19"/>
      <c r="S934" s="19"/>
      <c r="T934" s="19"/>
      <c r="U934" s="19"/>
      <c r="V934" s="19"/>
      <c r="W934" s="19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spans="1:36" ht="11.25" customHeight="1" x14ac:dyDescent="0.2">
      <c r="A935" s="55" t="s">
        <v>27</v>
      </c>
      <c r="B935" s="55" t="s">
        <v>41</v>
      </c>
      <c r="C935" s="55" t="s">
        <v>42</v>
      </c>
      <c r="D935" s="55" t="s">
        <v>38</v>
      </c>
      <c r="E935" s="55" t="s">
        <v>25</v>
      </c>
      <c r="F935" s="55" t="s">
        <v>61</v>
      </c>
      <c r="G935" s="55" t="s">
        <v>25</v>
      </c>
      <c r="H935" s="55" t="s">
        <v>35</v>
      </c>
      <c r="I935" s="63">
        <v>44652</v>
      </c>
      <c r="J935" s="64">
        <f>EFEITO!$J$935*EFEITO!$Y$935</f>
        <v>0</v>
      </c>
      <c r="K935" s="64">
        <f ca="1">EFEITO!$L$935*EFEITO!$Z$935</f>
        <v>-10924.785115899063</v>
      </c>
      <c r="L935" s="64">
        <f>EFEITO!$N$935*EFEITO!$AA$935</f>
        <v>0</v>
      </c>
      <c r="M935" s="64">
        <f>$J$935-EFEITO!$K$935*EFEITO!$Y$935</f>
        <v>0</v>
      </c>
      <c r="N935" s="64">
        <f ca="1">$K$935-EFEITO!$M$935*EFEITO!$Z$935</f>
        <v>0</v>
      </c>
      <c r="O935" s="64">
        <f>$L$935-EFEITO!$O$935*EFEITO!$AA$935</f>
        <v>0</v>
      </c>
      <c r="P935" s="19"/>
      <c r="Q935" s="19"/>
      <c r="R935" s="19"/>
      <c r="S935" s="19"/>
      <c r="T935" s="19"/>
      <c r="U935" s="19"/>
      <c r="V935" s="19"/>
      <c r="W935" s="19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 ht="11.25" customHeight="1" x14ac:dyDescent="0.2">
      <c r="A936" s="55" t="s">
        <v>21</v>
      </c>
      <c r="B936" s="55" t="s">
        <v>41</v>
      </c>
      <c r="C936" s="55" t="s">
        <v>42</v>
      </c>
      <c r="D936" s="55" t="s">
        <v>38</v>
      </c>
      <c r="E936" s="55" t="s">
        <v>25</v>
      </c>
      <c r="F936" s="55" t="s">
        <v>61</v>
      </c>
      <c r="G936" s="55" t="s">
        <v>25</v>
      </c>
      <c r="H936" s="55" t="s">
        <v>35</v>
      </c>
      <c r="I936" s="63">
        <v>44682</v>
      </c>
      <c r="J936" s="64">
        <f>EFEITO!$J$936*EFEITO!$Y$936</f>
        <v>0</v>
      </c>
      <c r="K936" s="64">
        <f ca="1">EFEITO!$L$936*EFEITO!$Z$936</f>
        <v>792259.44505783368</v>
      </c>
      <c r="L936" s="64">
        <f>EFEITO!$N$936*EFEITO!$AA$936</f>
        <v>0</v>
      </c>
      <c r="M936" s="64">
        <f>$J$936-EFEITO!$K$936*EFEITO!$Y$936</f>
        <v>0</v>
      </c>
      <c r="N936" s="64">
        <f ca="1">$K$936-EFEITO!$M$936*EFEITO!$Z$936</f>
        <v>0</v>
      </c>
      <c r="O936" s="64">
        <f>$L$936-EFEITO!$O$936*EFEITO!$AA$936</f>
        <v>0</v>
      </c>
      <c r="P936" s="19"/>
      <c r="Q936" s="19"/>
      <c r="R936" s="19"/>
      <c r="S936" s="19"/>
      <c r="T936" s="19"/>
      <c r="U936" s="19"/>
      <c r="V936" s="19"/>
      <c r="W936" s="19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spans="1:36" ht="11.25" customHeight="1" x14ac:dyDescent="0.2">
      <c r="A937" s="55" t="s">
        <v>27</v>
      </c>
      <c r="B937" s="55" t="s">
        <v>41</v>
      </c>
      <c r="C937" s="55" t="s">
        <v>42</v>
      </c>
      <c r="D937" s="55" t="s">
        <v>38</v>
      </c>
      <c r="E937" s="55" t="s">
        <v>25</v>
      </c>
      <c r="F937" s="55" t="s">
        <v>61</v>
      </c>
      <c r="G937" s="55" t="s">
        <v>25</v>
      </c>
      <c r="H937" s="55" t="s">
        <v>35</v>
      </c>
      <c r="I937" s="63">
        <v>44682</v>
      </c>
      <c r="J937" s="64">
        <f>EFEITO!$J$937*EFEITO!$Y$937</f>
        <v>0</v>
      </c>
      <c r="K937" s="64">
        <f ca="1">EFEITO!$L$937*EFEITO!$Z$937</f>
        <v>-1366.9609730217007</v>
      </c>
      <c r="L937" s="64">
        <f>EFEITO!$N$937*EFEITO!$AA$937</f>
        <v>0</v>
      </c>
      <c r="M937" s="64">
        <f>$J$937-EFEITO!$K$937*EFEITO!$Y$937</f>
        <v>0</v>
      </c>
      <c r="N937" s="64">
        <f ca="1">$K$937-EFEITO!$M$937*EFEITO!$Z$937</f>
        <v>0</v>
      </c>
      <c r="O937" s="64">
        <f>$L$937-EFEITO!$O$937*EFEITO!$AA$937</f>
        <v>0</v>
      </c>
      <c r="P937" s="19"/>
      <c r="Q937" s="19"/>
      <c r="R937" s="19"/>
      <c r="S937" s="19"/>
      <c r="T937" s="19"/>
      <c r="U937" s="19"/>
      <c r="V937" s="19"/>
      <c r="W937" s="19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11.25" customHeight="1" x14ac:dyDescent="0.2">
      <c r="A938" s="55" t="s">
        <v>21</v>
      </c>
      <c r="B938" s="55" t="s">
        <v>41</v>
      </c>
      <c r="C938" s="55" t="s">
        <v>42</v>
      </c>
      <c r="D938" s="55" t="s">
        <v>38</v>
      </c>
      <c r="E938" s="55" t="s">
        <v>25</v>
      </c>
      <c r="F938" s="55" t="s">
        <v>61</v>
      </c>
      <c r="G938" s="55" t="s">
        <v>25</v>
      </c>
      <c r="H938" s="55" t="s">
        <v>35</v>
      </c>
      <c r="I938" s="63">
        <v>44713</v>
      </c>
      <c r="J938" s="64">
        <f>EFEITO!$J$938*EFEITO!$Y$938</f>
        <v>0</v>
      </c>
      <c r="K938" s="64">
        <f ca="1">EFEITO!$L$938*EFEITO!$Z$938</f>
        <v>876404.21401949902</v>
      </c>
      <c r="L938" s="64">
        <f>EFEITO!$N$938*EFEITO!$AA$938</f>
        <v>0</v>
      </c>
      <c r="M938" s="64">
        <f>$J$938-EFEITO!$K$938*EFEITO!$Y$938</f>
        <v>0</v>
      </c>
      <c r="N938" s="64">
        <f ca="1">$K$938-EFEITO!$M$938*EFEITO!$Z$938</f>
        <v>0</v>
      </c>
      <c r="O938" s="64">
        <f>$L$938-EFEITO!$O$938*EFEITO!$AA$938</f>
        <v>0</v>
      </c>
      <c r="P938" s="19"/>
      <c r="Q938" s="19"/>
      <c r="R938" s="19"/>
      <c r="S938" s="19"/>
      <c r="T938" s="19"/>
      <c r="U938" s="19"/>
      <c r="V938" s="19"/>
      <c r="W938" s="19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11.25" customHeight="1" x14ac:dyDescent="0.2">
      <c r="A939" s="55" t="s">
        <v>27</v>
      </c>
      <c r="B939" s="55" t="s">
        <v>41</v>
      </c>
      <c r="C939" s="55" t="s">
        <v>42</v>
      </c>
      <c r="D939" s="55" t="s">
        <v>38</v>
      </c>
      <c r="E939" s="55" t="s">
        <v>25</v>
      </c>
      <c r="F939" s="55" t="s">
        <v>61</v>
      </c>
      <c r="G939" s="55" t="s">
        <v>25</v>
      </c>
      <c r="H939" s="55" t="s">
        <v>35</v>
      </c>
      <c r="I939" s="63">
        <v>44713</v>
      </c>
      <c r="J939" s="64">
        <f>EFEITO!$J$939*EFEITO!$Y$939</f>
        <v>0</v>
      </c>
      <c r="K939" s="64">
        <f ca="1">EFEITO!$L$939*EFEITO!$Z$939</f>
        <v>-7095.5343892739829</v>
      </c>
      <c r="L939" s="64">
        <f>EFEITO!$N$939*EFEITO!$AA$939</f>
        <v>0</v>
      </c>
      <c r="M939" s="64">
        <f>$J$939-EFEITO!$K$939*EFEITO!$Y$939</f>
        <v>0</v>
      </c>
      <c r="N939" s="64">
        <f ca="1">$K$939-EFEITO!$M$939*EFEITO!$Z$939</f>
        <v>0</v>
      </c>
      <c r="O939" s="64">
        <f>$L$939-EFEITO!$O$939*EFEITO!$AA$939</f>
        <v>0</v>
      </c>
      <c r="P939" s="19"/>
      <c r="Q939" s="19"/>
      <c r="R939" s="19"/>
      <c r="S939" s="19"/>
      <c r="T939" s="19"/>
      <c r="U939" s="19"/>
      <c r="V939" s="19"/>
      <c r="W939" s="19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spans="1:36" ht="11.25" customHeight="1" x14ac:dyDescent="0.2">
      <c r="A940" s="55" t="s">
        <v>57</v>
      </c>
      <c r="B940" s="55" t="s">
        <v>41</v>
      </c>
      <c r="C940" s="55" t="s">
        <v>42</v>
      </c>
      <c r="D940" s="55" t="s">
        <v>38</v>
      </c>
      <c r="E940" s="55" t="s">
        <v>25</v>
      </c>
      <c r="F940" s="55" t="s">
        <v>61</v>
      </c>
      <c r="G940" s="55" t="s">
        <v>25</v>
      </c>
      <c r="H940" s="55" t="s">
        <v>35</v>
      </c>
      <c r="I940" s="63">
        <v>44743</v>
      </c>
      <c r="J940" s="64">
        <f>EFEITO!$J$940*EFEITO!$Y$940</f>
        <v>0</v>
      </c>
      <c r="K940" s="64">
        <f ca="1">EFEITO!$L$940*EFEITO!$Z$940</f>
        <v>876404.21401949902</v>
      </c>
      <c r="L940" s="64">
        <f>EFEITO!$N$940*EFEITO!$AA$940</f>
        <v>0</v>
      </c>
      <c r="M940" s="64">
        <f>$J$940-EFEITO!$K$940*EFEITO!$Y$940</f>
        <v>0</v>
      </c>
      <c r="N940" s="64">
        <f ca="1">$K$940-EFEITO!$M$940*EFEITO!$Z$940</f>
        <v>0</v>
      </c>
      <c r="O940" s="64">
        <f>$L$940-EFEITO!$O$940*EFEITO!$AA$940</f>
        <v>0</v>
      </c>
      <c r="P940" s="19"/>
      <c r="Q940" s="19"/>
      <c r="R940" s="19"/>
      <c r="S940" s="19"/>
      <c r="T940" s="19"/>
      <c r="U940" s="19"/>
      <c r="V940" s="19"/>
      <c r="W940" s="19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spans="1:36" ht="11.25" customHeight="1" x14ac:dyDescent="0.2">
      <c r="A941" s="55" t="s">
        <v>57</v>
      </c>
      <c r="B941" s="55" t="s">
        <v>41</v>
      </c>
      <c r="C941" s="55" t="s">
        <v>42</v>
      </c>
      <c r="D941" s="55" t="s">
        <v>38</v>
      </c>
      <c r="E941" s="55" t="s">
        <v>25</v>
      </c>
      <c r="F941" s="55" t="s">
        <v>61</v>
      </c>
      <c r="G941" s="55" t="s">
        <v>25</v>
      </c>
      <c r="H941" s="55" t="s">
        <v>35</v>
      </c>
      <c r="I941" s="63">
        <v>44743</v>
      </c>
      <c r="J941" s="64">
        <f>EFEITO!$J$941*EFEITO!$Y$941</f>
        <v>0</v>
      </c>
      <c r="K941" s="64">
        <f ca="1">EFEITO!$L$941*EFEITO!$Z$941</f>
        <v>-7095.5343892739829</v>
      </c>
      <c r="L941" s="64">
        <f>EFEITO!$N$941*EFEITO!$AA$941</f>
        <v>0</v>
      </c>
      <c r="M941" s="64">
        <f>$J$941-EFEITO!$K$941*EFEITO!$Y$941</f>
        <v>0</v>
      </c>
      <c r="N941" s="64">
        <f ca="1">$K$941-EFEITO!$M$941*EFEITO!$Z$941</f>
        <v>0</v>
      </c>
      <c r="O941" s="64">
        <f>$L$941-EFEITO!$O$941*EFEITO!$AA$941</f>
        <v>0</v>
      </c>
      <c r="P941" s="19"/>
      <c r="Q941" s="19"/>
      <c r="R941" s="19"/>
      <c r="S941" s="19"/>
      <c r="T941" s="19"/>
      <c r="U941" s="19"/>
      <c r="V941" s="19"/>
      <c r="W941" s="19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spans="1:36" ht="11.25" customHeight="1" x14ac:dyDescent="0.2">
      <c r="A942" s="55" t="s">
        <v>21</v>
      </c>
      <c r="B942" s="55" t="s">
        <v>41</v>
      </c>
      <c r="C942" s="55" t="s">
        <v>42</v>
      </c>
      <c r="D942" s="55" t="s">
        <v>38</v>
      </c>
      <c r="E942" s="55" t="s">
        <v>25</v>
      </c>
      <c r="F942" s="55" t="s">
        <v>61</v>
      </c>
      <c r="G942" s="55" t="s">
        <v>25</v>
      </c>
      <c r="H942" s="55" t="s">
        <v>25</v>
      </c>
      <c r="I942" s="63">
        <v>44409</v>
      </c>
      <c r="J942" s="64">
        <f ca="1">EFEITO!$J$942*EFEITO!$Y$942</f>
        <v>871713.04913378344</v>
      </c>
      <c r="K942" s="64">
        <f>EFEITO!$L$942*EFEITO!$Z$942</f>
        <v>0</v>
      </c>
      <c r="L942" s="64">
        <f>EFEITO!$N$942*EFEITO!$AA$942</f>
        <v>0</v>
      </c>
      <c r="M942" s="64">
        <f ca="1">$J$942-EFEITO!$K$942*EFEITO!$Y$942</f>
        <v>488159.30751491874</v>
      </c>
      <c r="N942" s="64">
        <f>$K$942-EFEITO!$M$942*EFEITO!$Z$942</f>
        <v>0</v>
      </c>
      <c r="O942" s="64">
        <f>$L$942-EFEITO!$O$942*EFEITO!$AA$942</f>
        <v>0</v>
      </c>
      <c r="P942" s="19"/>
      <c r="Q942" s="19"/>
      <c r="R942" s="19"/>
      <c r="S942" s="19"/>
      <c r="T942" s="19"/>
      <c r="U942" s="19"/>
      <c r="V942" s="19"/>
      <c r="W942" s="19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spans="1:36" ht="11.25" customHeight="1" x14ac:dyDescent="0.2">
      <c r="A943" s="55" t="s">
        <v>21</v>
      </c>
      <c r="B943" s="55" t="s">
        <v>41</v>
      </c>
      <c r="C943" s="55" t="s">
        <v>42</v>
      </c>
      <c r="D943" s="55" t="s">
        <v>38</v>
      </c>
      <c r="E943" s="55" t="s">
        <v>25</v>
      </c>
      <c r="F943" s="55" t="s">
        <v>61</v>
      </c>
      <c r="G943" s="55" t="s">
        <v>25</v>
      </c>
      <c r="H943" s="55" t="s">
        <v>25</v>
      </c>
      <c r="I943" s="63">
        <v>44440</v>
      </c>
      <c r="J943" s="64">
        <f ca="1">EFEITO!$J$943*EFEITO!$Y$943</f>
        <v>894813.3135350073</v>
      </c>
      <c r="K943" s="64">
        <f>EFEITO!$L$943*EFEITO!$Z$943</f>
        <v>0</v>
      </c>
      <c r="L943" s="64">
        <f>EFEITO!$N$943*EFEITO!$AA$943</f>
        <v>0</v>
      </c>
      <c r="M943" s="64">
        <f ca="1">$J$943-EFEITO!$K$943*EFEITO!$Y$943</f>
        <v>527939.85498565435</v>
      </c>
      <c r="N943" s="64">
        <f>$K$943-EFEITO!$M$943*EFEITO!$Z$943</f>
        <v>0</v>
      </c>
      <c r="O943" s="64">
        <f>$L$943-EFEITO!$O$943*EFEITO!$AA$943</f>
        <v>0</v>
      </c>
      <c r="P943" s="19"/>
      <c r="Q943" s="19"/>
      <c r="R943" s="19"/>
      <c r="S943" s="19"/>
      <c r="T943" s="19"/>
      <c r="U943" s="19"/>
      <c r="V943" s="19"/>
      <c r="W943" s="19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spans="1:36" ht="11.25" customHeight="1" x14ac:dyDescent="0.2">
      <c r="A944" s="55" t="s">
        <v>21</v>
      </c>
      <c r="B944" s="55" t="s">
        <v>41</v>
      </c>
      <c r="C944" s="55" t="s">
        <v>42</v>
      </c>
      <c r="D944" s="55" t="s">
        <v>38</v>
      </c>
      <c r="E944" s="55" t="s">
        <v>25</v>
      </c>
      <c r="F944" s="55" t="s">
        <v>61</v>
      </c>
      <c r="G944" s="55" t="s">
        <v>25</v>
      </c>
      <c r="H944" s="55" t="s">
        <v>25</v>
      </c>
      <c r="I944" s="63">
        <v>44470</v>
      </c>
      <c r="J944" s="64">
        <f ca="1">EFEITO!$J$944*EFEITO!$Y$944</f>
        <v>923406.13227053813</v>
      </c>
      <c r="K944" s="64">
        <f>EFEITO!$L$944*EFEITO!$Z$944</f>
        <v>0</v>
      </c>
      <c r="L944" s="64">
        <f>EFEITO!$N$944*EFEITO!$AA$944</f>
        <v>0</v>
      </c>
      <c r="M944" s="64">
        <f ca="1">$J$944-EFEITO!$K$944*EFEITO!$Y$944</f>
        <v>461703.06613526907</v>
      </c>
      <c r="N944" s="64">
        <f>$K$944-EFEITO!$M$944*EFEITO!$Z$944</f>
        <v>0</v>
      </c>
      <c r="O944" s="64">
        <f>$L$944-EFEITO!$O$944*EFEITO!$AA$944</f>
        <v>0</v>
      </c>
      <c r="P944" s="19"/>
      <c r="Q944" s="19"/>
      <c r="R944" s="19"/>
      <c r="S944" s="19"/>
      <c r="T944" s="19"/>
      <c r="U944" s="19"/>
      <c r="V944" s="19"/>
      <c r="W944" s="19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spans="1:36" ht="11.25" customHeight="1" x14ac:dyDescent="0.2">
      <c r="A945" s="55" t="s">
        <v>21</v>
      </c>
      <c r="B945" s="55" t="s">
        <v>41</v>
      </c>
      <c r="C945" s="55" t="s">
        <v>42</v>
      </c>
      <c r="D945" s="55" t="s">
        <v>38</v>
      </c>
      <c r="E945" s="55" t="s">
        <v>25</v>
      </c>
      <c r="F945" s="55" t="s">
        <v>61</v>
      </c>
      <c r="G945" s="55" t="s">
        <v>25</v>
      </c>
      <c r="H945" s="55" t="s">
        <v>25</v>
      </c>
      <c r="I945" s="63">
        <v>44501</v>
      </c>
      <c r="J945" s="64">
        <f ca="1">EFEITO!$J$945*EFEITO!$Y$945</f>
        <v>953155.27823434398</v>
      </c>
      <c r="K945" s="64">
        <f>EFEITO!$L$945*EFEITO!$Z$945</f>
        <v>0</v>
      </c>
      <c r="L945" s="64">
        <f>EFEITO!$N$945*EFEITO!$AA$945</f>
        <v>0</v>
      </c>
      <c r="M945" s="64">
        <f ca="1">$J$945-EFEITO!$K$945*EFEITO!$Y$945</f>
        <v>514703.85024654568</v>
      </c>
      <c r="N945" s="64">
        <f>$K$945-EFEITO!$M$945*EFEITO!$Z$945</f>
        <v>0</v>
      </c>
      <c r="O945" s="64">
        <f>$L$945-EFEITO!$O$945*EFEITO!$AA$945</f>
        <v>0</v>
      </c>
      <c r="P945" s="19"/>
      <c r="Q945" s="19"/>
      <c r="R945" s="19"/>
      <c r="S945" s="19"/>
      <c r="T945" s="19"/>
      <c r="U945" s="19"/>
      <c r="V945" s="19"/>
      <c r="W945" s="19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pans="1:36" ht="11.25" customHeight="1" x14ac:dyDescent="0.2">
      <c r="A946" s="55" t="s">
        <v>21</v>
      </c>
      <c r="B946" s="55" t="s">
        <v>41</v>
      </c>
      <c r="C946" s="55" t="s">
        <v>42</v>
      </c>
      <c r="D946" s="55" t="s">
        <v>38</v>
      </c>
      <c r="E946" s="55" t="s">
        <v>25</v>
      </c>
      <c r="F946" s="55" t="s">
        <v>61</v>
      </c>
      <c r="G946" s="55" t="s">
        <v>25</v>
      </c>
      <c r="H946" s="55" t="s">
        <v>25</v>
      </c>
      <c r="I946" s="63">
        <v>44531</v>
      </c>
      <c r="J946" s="64">
        <f ca="1">EFEITO!$J$946*EFEITO!$Y$946</f>
        <v>979671.96399183536</v>
      </c>
      <c r="K946" s="64">
        <f>EFEITO!$L$946*EFEITO!$Z$946</f>
        <v>0</v>
      </c>
      <c r="L946" s="64">
        <f>EFEITO!$N$946*EFEITO!$AA$946</f>
        <v>0</v>
      </c>
      <c r="M946" s="64">
        <f ca="1">$J$946-EFEITO!$K$946*EFEITO!$Y$946</f>
        <v>519226.14091567276</v>
      </c>
      <c r="N946" s="64">
        <f>$K$946-EFEITO!$M$946*EFEITO!$Z$946</f>
        <v>0</v>
      </c>
      <c r="O946" s="64">
        <f>$L$946-EFEITO!$O$946*EFEITO!$AA$946</f>
        <v>0</v>
      </c>
      <c r="P946" s="19"/>
      <c r="Q946" s="19"/>
      <c r="R946" s="19"/>
      <c r="S946" s="19"/>
      <c r="T946" s="19"/>
      <c r="U946" s="19"/>
      <c r="V946" s="19"/>
      <c r="W946" s="19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spans="1:36" ht="11.25" customHeight="1" x14ac:dyDescent="0.2">
      <c r="A947" s="55" t="s">
        <v>21</v>
      </c>
      <c r="B947" s="55" t="s">
        <v>41</v>
      </c>
      <c r="C947" s="55" t="s">
        <v>42</v>
      </c>
      <c r="D947" s="55" t="s">
        <v>38</v>
      </c>
      <c r="E947" s="55" t="s">
        <v>25</v>
      </c>
      <c r="F947" s="55" t="s">
        <v>61</v>
      </c>
      <c r="G947" s="55" t="s">
        <v>25</v>
      </c>
      <c r="H947" s="55" t="s">
        <v>25</v>
      </c>
      <c r="I947" s="63">
        <v>44562</v>
      </c>
      <c r="J947" s="64">
        <f ca="1">EFEITO!$J$947*EFEITO!$Y$947</f>
        <v>996044.50633764022</v>
      </c>
      <c r="K947" s="64">
        <f>EFEITO!$L$947*EFEITO!$Z$947</f>
        <v>0</v>
      </c>
      <c r="L947" s="64">
        <f>EFEITO!$N$947*EFEITO!$AA$947</f>
        <v>0</v>
      </c>
      <c r="M947" s="64">
        <f ca="1">$J$947-EFEITO!$K$947*EFEITO!$Y$947</f>
        <v>527903.58835894929</v>
      </c>
      <c r="N947" s="64">
        <f>$K$947-EFEITO!$M$947*EFEITO!$Z$947</f>
        <v>0</v>
      </c>
      <c r="O947" s="64">
        <f>$L$947-EFEITO!$O$947*EFEITO!$AA$947</f>
        <v>0</v>
      </c>
      <c r="P947" s="19"/>
      <c r="Q947" s="19"/>
      <c r="R947" s="19"/>
      <c r="S947" s="19"/>
      <c r="T947" s="19"/>
      <c r="U947" s="19"/>
      <c r="V947" s="19"/>
      <c r="W947" s="19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11.25" customHeight="1" x14ac:dyDescent="0.2">
      <c r="A948" s="55" t="s">
        <v>21</v>
      </c>
      <c r="B948" s="55" t="s">
        <v>41</v>
      </c>
      <c r="C948" s="55" t="s">
        <v>42</v>
      </c>
      <c r="D948" s="55" t="s">
        <v>38</v>
      </c>
      <c r="E948" s="55" t="s">
        <v>25</v>
      </c>
      <c r="F948" s="55" t="s">
        <v>61</v>
      </c>
      <c r="G948" s="55" t="s">
        <v>25</v>
      </c>
      <c r="H948" s="55" t="s">
        <v>25</v>
      </c>
      <c r="I948" s="63">
        <v>44593</v>
      </c>
      <c r="J948" s="64">
        <f ca="1">EFEITO!$J$948*EFEITO!$Y$948</f>
        <v>993574.17089541606</v>
      </c>
      <c r="K948" s="64">
        <f>EFEITO!$L$948*EFEITO!$Z$948</f>
        <v>0</v>
      </c>
      <c r="L948" s="64">
        <f>EFEITO!$N$948*EFEITO!$AA$948</f>
        <v>0</v>
      </c>
      <c r="M948" s="64">
        <f ca="1">$J$948-EFEITO!$K$948*EFEITO!$Y$948</f>
        <v>536530.05228352465</v>
      </c>
      <c r="N948" s="64">
        <f>$K$948-EFEITO!$M$948*EFEITO!$Z$948</f>
        <v>0</v>
      </c>
      <c r="O948" s="64">
        <f>$L$948-EFEITO!$O$948*EFEITO!$AA$948</f>
        <v>0</v>
      </c>
      <c r="P948" s="19"/>
      <c r="Q948" s="19"/>
      <c r="R948" s="19"/>
      <c r="S948" s="19"/>
      <c r="T948" s="19"/>
      <c r="U948" s="19"/>
      <c r="V948" s="19"/>
      <c r="W948" s="19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11.25" customHeight="1" x14ac:dyDescent="0.2">
      <c r="A949" s="55" t="s">
        <v>21</v>
      </c>
      <c r="B949" s="55" t="s">
        <v>41</v>
      </c>
      <c r="C949" s="55" t="s">
        <v>42</v>
      </c>
      <c r="D949" s="55" t="s">
        <v>38</v>
      </c>
      <c r="E949" s="55" t="s">
        <v>25</v>
      </c>
      <c r="F949" s="55" t="s">
        <v>61</v>
      </c>
      <c r="G949" s="55" t="s">
        <v>25</v>
      </c>
      <c r="H949" s="55" t="s">
        <v>25</v>
      </c>
      <c r="I949" s="63">
        <v>44621</v>
      </c>
      <c r="J949" s="64">
        <f ca="1">EFEITO!$J$949*EFEITO!$Y$949</f>
        <v>993022.28744555742</v>
      </c>
      <c r="K949" s="64">
        <f>EFEITO!$L$949*EFEITO!$Z$949</f>
        <v>0</v>
      </c>
      <c r="L949" s="64">
        <f>EFEITO!$N$949*EFEITO!$AA$949</f>
        <v>0</v>
      </c>
      <c r="M949" s="64">
        <f ca="1">$J$949-EFEITO!$K$949*EFEITO!$Y$949</f>
        <v>536232.0352206009</v>
      </c>
      <c r="N949" s="64">
        <f>$K$949-EFEITO!$M$949*EFEITO!$Z$949</f>
        <v>0</v>
      </c>
      <c r="O949" s="64">
        <f>$L$949-EFEITO!$O$949*EFEITO!$AA$949</f>
        <v>0</v>
      </c>
      <c r="P949" s="19"/>
      <c r="Q949" s="19"/>
      <c r="R949" s="19"/>
      <c r="S949" s="19"/>
      <c r="T949" s="19"/>
      <c r="U949" s="19"/>
      <c r="V949" s="19"/>
      <c r="W949" s="19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spans="1:36" ht="11.25" customHeight="1" x14ac:dyDescent="0.2">
      <c r="A950" s="55" t="s">
        <v>21</v>
      </c>
      <c r="B950" s="55" t="s">
        <v>41</v>
      </c>
      <c r="C950" s="55" t="s">
        <v>42</v>
      </c>
      <c r="D950" s="55" t="s">
        <v>38</v>
      </c>
      <c r="E950" s="55" t="s">
        <v>25</v>
      </c>
      <c r="F950" s="55" t="s">
        <v>61</v>
      </c>
      <c r="G950" s="55" t="s">
        <v>25</v>
      </c>
      <c r="H950" s="55" t="s">
        <v>25</v>
      </c>
      <c r="I950" s="63">
        <v>44652</v>
      </c>
      <c r="J950" s="64">
        <f ca="1">EFEITO!$J$950*EFEITO!$Y$950</f>
        <v>958595.27224009298</v>
      </c>
      <c r="K950" s="64">
        <f>EFEITO!$L$950*EFEITO!$Z$950</f>
        <v>0</v>
      </c>
      <c r="L950" s="64">
        <f>EFEITO!$N$950*EFEITO!$AA$950</f>
        <v>0</v>
      </c>
      <c r="M950" s="64">
        <f ca="1">$J$950-EFEITO!$K$950*EFEITO!$Y$950</f>
        <v>536813.35245445208</v>
      </c>
      <c r="N950" s="64">
        <f>$K$950-EFEITO!$M$950*EFEITO!$Z$950</f>
        <v>0</v>
      </c>
      <c r="O950" s="64">
        <f>$L$950-EFEITO!$O$950*EFEITO!$AA$950</f>
        <v>0</v>
      </c>
      <c r="P950" s="19"/>
      <c r="Q950" s="19"/>
      <c r="R950" s="19"/>
      <c r="S950" s="19"/>
      <c r="T950" s="19"/>
      <c r="U950" s="19"/>
      <c r="V950" s="19"/>
      <c r="W950" s="19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spans="1:36" ht="11.25" customHeight="1" x14ac:dyDescent="0.2">
      <c r="A951" s="55" t="s">
        <v>21</v>
      </c>
      <c r="B951" s="55" t="s">
        <v>41</v>
      </c>
      <c r="C951" s="55" t="s">
        <v>42</v>
      </c>
      <c r="D951" s="55" t="s">
        <v>38</v>
      </c>
      <c r="E951" s="55" t="s">
        <v>25</v>
      </c>
      <c r="F951" s="55" t="s">
        <v>61</v>
      </c>
      <c r="G951" s="55" t="s">
        <v>25</v>
      </c>
      <c r="H951" s="55" t="s">
        <v>25</v>
      </c>
      <c r="I951" s="63">
        <v>44682</v>
      </c>
      <c r="J951" s="64">
        <f ca="1">EFEITO!$J$951*EFEITO!$Y$951</f>
        <v>955047.45006243058</v>
      </c>
      <c r="K951" s="64">
        <f>EFEITO!$L$951*EFEITO!$Z$951</f>
        <v>0</v>
      </c>
      <c r="L951" s="64">
        <f>EFEITO!$N$951*EFEITO!$AA$951</f>
        <v>0</v>
      </c>
      <c r="M951" s="64">
        <f ca="1">$J$951-EFEITO!$K$951*EFEITO!$Y$951</f>
        <v>534826.57203496108</v>
      </c>
      <c r="N951" s="64">
        <f>$K$951-EFEITO!$M$951*EFEITO!$Z$951</f>
        <v>0</v>
      </c>
      <c r="O951" s="64">
        <f>$L$951-EFEITO!$O$951*EFEITO!$AA$951</f>
        <v>0</v>
      </c>
      <c r="P951" s="19"/>
      <c r="Q951" s="19"/>
      <c r="R951" s="19"/>
      <c r="S951" s="19"/>
      <c r="T951" s="19"/>
      <c r="U951" s="19"/>
      <c r="V951" s="19"/>
      <c r="W951" s="19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spans="1:36" ht="11.25" customHeight="1" x14ac:dyDescent="0.2">
      <c r="A952" s="55" t="s">
        <v>21</v>
      </c>
      <c r="B952" s="55" t="s">
        <v>41</v>
      </c>
      <c r="C952" s="55" t="s">
        <v>42</v>
      </c>
      <c r="D952" s="55" t="s">
        <v>38</v>
      </c>
      <c r="E952" s="55" t="s">
        <v>25</v>
      </c>
      <c r="F952" s="55" t="s">
        <v>61</v>
      </c>
      <c r="G952" s="55" t="s">
        <v>25</v>
      </c>
      <c r="H952" s="55" t="s">
        <v>25</v>
      </c>
      <c r="I952" s="63">
        <v>44713</v>
      </c>
      <c r="J952" s="64">
        <f ca="1">EFEITO!$J$952*EFEITO!$Y$952</f>
        <v>1048867.636538391</v>
      </c>
      <c r="K952" s="64">
        <f>EFEITO!$L$952*EFEITO!$Z$952</f>
        <v>0</v>
      </c>
      <c r="L952" s="64">
        <f>EFEITO!$N$952*EFEITO!$AA$952</f>
        <v>0</v>
      </c>
      <c r="M952" s="64">
        <f ca="1">$J$952-EFEITO!$K$952*EFEITO!$Y$952</f>
        <v>618831.90555765061</v>
      </c>
      <c r="N952" s="64">
        <f>$K$952-EFEITO!$M$952*EFEITO!$Z$952</f>
        <v>0</v>
      </c>
      <c r="O952" s="64">
        <f>$L$952-EFEITO!$O$952*EFEITO!$AA$952</f>
        <v>0</v>
      </c>
      <c r="P952" s="19"/>
      <c r="Q952" s="19"/>
      <c r="R952" s="19"/>
      <c r="S952" s="19"/>
      <c r="T952" s="19"/>
      <c r="U952" s="19"/>
      <c r="V952" s="19"/>
      <c r="W952" s="19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spans="1:36" ht="11.25" customHeight="1" x14ac:dyDescent="0.2">
      <c r="A953" s="55" t="s">
        <v>57</v>
      </c>
      <c r="B953" s="55" t="s">
        <v>41</v>
      </c>
      <c r="C953" s="55" t="s">
        <v>42</v>
      </c>
      <c r="D953" s="55" t="s">
        <v>38</v>
      </c>
      <c r="E953" s="55" t="s">
        <v>25</v>
      </c>
      <c r="F953" s="55" t="s">
        <v>61</v>
      </c>
      <c r="G953" s="55" t="s">
        <v>25</v>
      </c>
      <c r="H953" s="55" t="s">
        <v>25</v>
      </c>
      <c r="I953" s="63">
        <v>44743</v>
      </c>
      <c r="J953" s="64">
        <f ca="1">EFEITO!$J$953*EFEITO!$Y$953</f>
        <v>1048867.636538391</v>
      </c>
      <c r="K953" s="64">
        <f>EFEITO!$L$953*EFEITO!$Z$953</f>
        <v>0</v>
      </c>
      <c r="L953" s="64">
        <f>EFEITO!$N$953*EFEITO!$AA$953</f>
        <v>0</v>
      </c>
      <c r="M953" s="64">
        <f ca="1">$J$953-EFEITO!$K$953*EFEITO!$Y$953</f>
        <v>618831.90555765061</v>
      </c>
      <c r="N953" s="64">
        <f>$K$953-EFEITO!$M$953*EFEITO!$Z$953</f>
        <v>0</v>
      </c>
      <c r="O953" s="64">
        <f>$L$953-EFEITO!$O$953*EFEITO!$AA$953</f>
        <v>0</v>
      </c>
      <c r="P953" s="19"/>
      <c r="Q953" s="19"/>
      <c r="R953" s="19"/>
      <c r="S953" s="19"/>
      <c r="T953" s="19"/>
      <c r="U953" s="19"/>
      <c r="V953" s="19"/>
      <c r="W953" s="19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11.25" customHeight="1" x14ac:dyDescent="0.2">
      <c r="A954" s="55" t="s">
        <v>21</v>
      </c>
      <c r="B954" s="55" t="s">
        <v>41</v>
      </c>
      <c r="C954" s="55" t="s">
        <v>42</v>
      </c>
      <c r="D954" s="55" t="s">
        <v>38</v>
      </c>
      <c r="E954" s="55" t="s">
        <v>25</v>
      </c>
      <c r="F954" s="55" t="s">
        <v>61</v>
      </c>
      <c r="G954" s="55" t="s">
        <v>25</v>
      </c>
      <c r="H954" s="55" t="s">
        <v>34</v>
      </c>
      <c r="I954" s="63">
        <v>44409</v>
      </c>
      <c r="J954" s="64">
        <f>EFEITO!$J$954*EFEITO!$Y$954</f>
        <v>0</v>
      </c>
      <c r="K954" s="64">
        <f ca="1">EFEITO!$L$954*EFEITO!$Z$954</f>
        <v>851077.3697373569</v>
      </c>
      <c r="L954" s="64">
        <f>EFEITO!$N$954*EFEITO!$AA$954</f>
        <v>0</v>
      </c>
      <c r="M954" s="64">
        <f>$J$954-EFEITO!$K$954*EFEITO!$Y$954</f>
        <v>0</v>
      </c>
      <c r="N954" s="64">
        <f ca="1">$K$954-EFEITO!$M$954*EFEITO!$Z$954</f>
        <v>425538.68486867845</v>
      </c>
      <c r="O954" s="64">
        <f>$L$954-EFEITO!$O$954*EFEITO!$AA$954</f>
        <v>0</v>
      </c>
      <c r="P954" s="19"/>
      <c r="Q954" s="19"/>
      <c r="R954" s="19"/>
      <c r="S954" s="19"/>
      <c r="T954" s="19"/>
      <c r="U954" s="19"/>
      <c r="V954" s="19"/>
      <c r="W954" s="19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11.25" customHeight="1" x14ac:dyDescent="0.2">
      <c r="A955" s="55" t="s">
        <v>21</v>
      </c>
      <c r="B955" s="55" t="s">
        <v>41</v>
      </c>
      <c r="C955" s="55" t="s">
        <v>42</v>
      </c>
      <c r="D955" s="55" t="s">
        <v>38</v>
      </c>
      <c r="E955" s="55" t="s">
        <v>25</v>
      </c>
      <c r="F955" s="55" t="s">
        <v>61</v>
      </c>
      <c r="G955" s="55" t="s">
        <v>25</v>
      </c>
      <c r="H955" s="55" t="s">
        <v>34</v>
      </c>
      <c r="I955" s="63">
        <v>44440</v>
      </c>
      <c r="J955" s="64">
        <f>EFEITO!$J$955*EFEITO!$Y$955</f>
        <v>0</v>
      </c>
      <c r="K955" s="64">
        <f ca="1">EFEITO!$L$955*EFEITO!$Z$955</f>
        <v>868675.80559541052</v>
      </c>
      <c r="L955" s="64">
        <f>EFEITO!$N$955*EFEITO!$AA$955</f>
        <v>0</v>
      </c>
      <c r="M955" s="64">
        <f>$J$955-EFEITO!$K$955*EFEITO!$Y$955</f>
        <v>0</v>
      </c>
      <c r="N955" s="64">
        <f ca="1">$K$955-EFEITO!$M$955*EFEITO!$Z$955</f>
        <v>373530.59640602651</v>
      </c>
      <c r="O955" s="64">
        <f>$L$955-EFEITO!$O$955*EFEITO!$AA$955</f>
        <v>0</v>
      </c>
      <c r="P955" s="19"/>
      <c r="Q955" s="19"/>
      <c r="R955" s="19"/>
      <c r="S955" s="19"/>
      <c r="T955" s="19"/>
      <c r="U955" s="19"/>
      <c r="V955" s="19"/>
      <c r="W955" s="19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11.25" customHeight="1" x14ac:dyDescent="0.2">
      <c r="A956" s="55" t="s">
        <v>21</v>
      </c>
      <c r="B956" s="55" t="s">
        <v>41</v>
      </c>
      <c r="C956" s="55" t="s">
        <v>42</v>
      </c>
      <c r="D956" s="55" t="s">
        <v>38</v>
      </c>
      <c r="E956" s="55" t="s">
        <v>25</v>
      </c>
      <c r="F956" s="55" t="s">
        <v>61</v>
      </c>
      <c r="G956" s="55" t="s">
        <v>25</v>
      </c>
      <c r="H956" s="55" t="s">
        <v>34</v>
      </c>
      <c r="I956" s="63">
        <v>44470</v>
      </c>
      <c r="J956" s="64">
        <f>EFEITO!$J$956*EFEITO!$Y$956</f>
        <v>0</v>
      </c>
      <c r="K956" s="64">
        <f ca="1">EFEITO!$L$956*EFEITO!$Z$956</f>
        <v>944436.82970993768</v>
      </c>
      <c r="L956" s="64">
        <f>EFEITO!$N$956*EFEITO!$AA$956</f>
        <v>0</v>
      </c>
      <c r="M956" s="64">
        <f>$J$956-EFEITO!$K$956*EFEITO!$Y$956</f>
        <v>0</v>
      </c>
      <c r="N956" s="64">
        <f ca="1">$K$956-EFEITO!$M$956*EFEITO!$Z$956</f>
        <v>491107.15144916758</v>
      </c>
      <c r="O956" s="64">
        <f>$L$956-EFEITO!$O$956*EFEITO!$AA$956</f>
        <v>0</v>
      </c>
      <c r="P956" s="19"/>
      <c r="Q956" s="19"/>
      <c r="R956" s="19"/>
      <c r="S956" s="19"/>
      <c r="T956" s="19"/>
      <c r="U956" s="19"/>
      <c r="V956" s="19"/>
      <c r="W956" s="19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 ht="11.25" customHeight="1" x14ac:dyDescent="0.2">
      <c r="A957" s="55" t="s">
        <v>21</v>
      </c>
      <c r="B957" s="55" t="s">
        <v>41</v>
      </c>
      <c r="C957" s="55" t="s">
        <v>42</v>
      </c>
      <c r="D957" s="55" t="s">
        <v>38</v>
      </c>
      <c r="E957" s="55" t="s">
        <v>25</v>
      </c>
      <c r="F957" s="55" t="s">
        <v>61</v>
      </c>
      <c r="G957" s="55" t="s">
        <v>25</v>
      </c>
      <c r="H957" s="55" t="s">
        <v>34</v>
      </c>
      <c r="I957" s="63">
        <v>44501</v>
      </c>
      <c r="J957" s="64">
        <f>EFEITO!$J$957*EFEITO!$Y$957</f>
        <v>0</v>
      </c>
      <c r="K957" s="64">
        <f ca="1">EFEITO!$L$957*EFEITO!$Z$957</f>
        <v>1032835.4580388365</v>
      </c>
      <c r="L957" s="64">
        <f>EFEITO!$N$957*EFEITO!$AA$957</f>
        <v>0</v>
      </c>
      <c r="M957" s="64">
        <f>$J$957-EFEITO!$K$957*EFEITO!$Y$957</f>
        <v>0</v>
      </c>
      <c r="N957" s="64">
        <f ca="1">$K$957-EFEITO!$M$957*EFEITO!$Z$957</f>
        <v>578387.85650174844</v>
      </c>
      <c r="O957" s="64">
        <f>$L$957-EFEITO!$O$957*EFEITO!$AA$957</f>
        <v>0</v>
      </c>
      <c r="P957" s="19"/>
      <c r="Q957" s="19"/>
      <c r="R957" s="19"/>
      <c r="S957" s="19"/>
      <c r="T957" s="19"/>
      <c r="U957" s="19"/>
      <c r="V957" s="19"/>
      <c r="W957" s="19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spans="1:36" ht="11.25" customHeight="1" x14ac:dyDescent="0.2">
      <c r="A958" s="55" t="s">
        <v>21</v>
      </c>
      <c r="B958" s="55" t="s">
        <v>41</v>
      </c>
      <c r="C958" s="55" t="s">
        <v>42</v>
      </c>
      <c r="D958" s="55" t="s">
        <v>38</v>
      </c>
      <c r="E958" s="55" t="s">
        <v>25</v>
      </c>
      <c r="F958" s="55" t="s">
        <v>61</v>
      </c>
      <c r="G958" s="55" t="s">
        <v>25</v>
      </c>
      <c r="H958" s="55" t="s">
        <v>34</v>
      </c>
      <c r="I958" s="63">
        <v>44531</v>
      </c>
      <c r="J958" s="64">
        <f>EFEITO!$J$958*EFEITO!$Y$958</f>
        <v>0</v>
      </c>
      <c r="K958" s="64">
        <f ca="1">EFEITO!$L$958*EFEITO!$Z$958</f>
        <v>1190049.1386664612</v>
      </c>
      <c r="L958" s="64">
        <f>EFEITO!$N$958*EFEITO!$AA$958</f>
        <v>0</v>
      </c>
      <c r="M958" s="64">
        <f>$J$958-EFEITO!$K$958*EFEITO!$Y$958</f>
        <v>0</v>
      </c>
      <c r="N958" s="64">
        <f ca="1">$K$958-EFEITO!$M$958*EFEITO!$Z$958</f>
        <v>666427.51765321824</v>
      </c>
      <c r="O958" s="64">
        <f>$L$958-EFEITO!$O$958*EFEITO!$AA$958</f>
        <v>0</v>
      </c>
      <c r="P958" s="19"/>
      <c r="Q958" s="19"/>
      <c r="R958" s="19"/>
      <c r="S958" s="19"/>
      <c r="T958" s="19"/>
      <c r="U958" s="19"/>
      <c r="V958" s="19"/>
      <c r="W958" s="19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spans="1:36" ht="11.25" customHeight="1" x14ac:dyDescent="0.2">
      <c r="A959" s="55" t="s">
        <v>21</v>
      </c>
      <c r="B959" s="55" t="s">
        <v>41</v>
      </c>
      <c r="C959" s="55" t="s">
        <v>42</v>
      </c>
      <c r="D959" s="55" t="s">
        <v>38</v>
      </c>
      <c r="E959" s="55" t="s">
        <v>25</v>
      </c>
      <c r="F959" s="55" t="s">
        <v>61</v>
      </c>
      <c r="G959" s="55" t="s">
        <v>25</v>
      </c>
      <c r="H959" s="55" t="s">
        <v>34</v>
      </c>
      <c r="I959" s="63">
        <v>44562</v>
      </c>
      <c r="J959" s="64">
        <f>EFEITO!$J$959*EFEITO!$Y$959</f>
        <v>0</v>
      </c>
      <c r="K959" s="64">
        <f ca="1">EFEITO!$L$959*EFEITO!$Z$959</f>
        <v>1256459.1431769999</v>
      </c>
      <c r="L959" s="64">
        <f>EFEITO!$N$959*EFEITO!$AA$959</f>
        <v>0</v>
      </c>
      <c r="M959" s="64">
        <f>$J$959-EFEITO!$K$959*EFEITO!$Y$959</f>
        <v>0</v>
      </c>
      <c r="N959" s="64">
        <f ca="1">$K$959-EFEITO!$M$959*EFEITO!$Z$959</f>
        <v>691052.52874734998</v>
      </c>
      <c r="O959" s="64">
        <f>$L$959-EFEITO!$O$959*EFEITO!$AA$959</f>
        <v>0</v>
      </c>
      <c r="P959" s="19"/>
      <c r="Q959" s="19"/>
      <c r="R959" s="19"/>
      <c r="S959" s="19"/>
      <c r="T959" s="19"/>
      <c r="U959" s="19"/>
      <c r="V959" s="19"/>
      <c r="W959" s="19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pans="1:36" ht="11.25" customHeight="1" x14ac:dyDescent="0.2">
      <c r="A960" s="55" t="s">
        <v>21</v>
      </c>
      <c r="B960" s="55" t="s">
        <v>41</v>
      </c>
      <c r="C960" s="55" t="s">
        <v>42</v>
      </c>
      <c r="D960" s="55" t="s">
        <v>38</v>
      </c>
      <c r="E960" s="55" t="s">
        <v>25</v>
      </c>
      <c r="F960" s="55" t="s">
        <v>61</v>
      </c>
      <c r="G960" s="55" t="s">
        <v>25</v>
      </c>
      <c r="H960" s="55" t="s">
        <v>34</v>
      </c>
      <c r="I960" s="63">
        <v>44593</v>
      </c>
      <c r="J960" s="64">
        <f>EFEITO!$J$960*EFEITO!$Y$960</f>
        <v>0</v>
      </c>
      <c r="K960" s="64">
        <f ca="1">EFEITO!$L$960*EFEITO!$Z$960</f>
        <v>1007997.6533768312</v>
      </c>
      <c r="L960" s="64">
        <f>EFEITO!$N$960*EFEITO!$AA$960</f>
        <v>0</v>
      </c>
      <c r="M960" s="64">
        <f>$J$960-EFEITO!$K$960*EFEITO!$Y$960</f>
        <v>0</v>
      </c>
      <c r="N960" s="64">
        <f ca="1">$K$960-EFEITO!$M$960*EFEITO!$Z$960</f>
        <v>534238.75628972054</v>
      </c>
      <c r="O960" s="64">
        <f>$L$960-EFEITO!$O$960*EFEITO!$AA$960</f>
        <v>0</v>
      </c>
      <c r="P960" s="19"/>
      <c r="Q960" s="19"/>
      <c r="R960" s="19"/>
      <c r="S960" s="19"/>
      <c r="T960" s="19"/>
      <c r="U960" s="19"/>
      <c r="V960" s="19"/>
      <c r="W960" s="19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spans="1:36" ht="11.25" customHeight="1" x14ac:dyDescent="0.2">
      <c r="A961" s="55" t="s">
        <v>21</v>
      </c>
      <c r="B961" s="55" t="s">
        <v>41</v>
      </c>
      <c r="C961" s="55" t="s">
        <v>42</v>
      </c>
      <c r="D961" s="55" t="s">
        <v>38</v>
      </c>
      <c r="E961" s="55" t="s">
        <v>25</v>
      </c>
      <c r="F961" s="55" t="s">
        <v>61</v>
      </c>
      <c r="G961" s="55" t="s">
        <v>25</v>
      </c>
      <c r="H961" s="55" t="s">
        <v>34</v>
      </c>
      <c r="I961" s="63">
        <v>44621</v>
      </c>
      <c r="J961" s="64">
        <f>EFEITO!$J$961*EFEITO!$Y$961</f>
        <v>0</v>
      </c>
      <c r="K961" s="64">
        <f ca="1">EFEITO!$L$961*EFEITO!$Z$961</f>
        <v>1113114.5265993322</v>
      </c>
      <c r="L961" s="64">
        <f>EFEITO!$N$961*EFEITO!$AA$961</f>
        <v>0</v>
      </c>
      <c r="M961" s="64">
        <f>$J$961-EFEITO!$K$961*EFEITO!$Y$961</f>
        <v>0</v>
      </c>
      <c r="N961" s="64">
        <f ca="1">$K$961-EFEITO!$M$961*EFEITO!$Z$961</f>
        <v>601081.84436363936</v>
      </c>
      <c r="O961" s="64">
        <f>$L$961-EFEITO!$O$961*EFEITO!$AA$961</f>
        <v>0</v>
      </c>
      <c r="P961" s="19"/>
      <c r="Q961" s="19"/>
      <c r="R961" s="19"/>
      <c r="S961" s="19"/>
      <c r="T961" s="19"/>
      <c r="U961" s="19"/>
      <c r="V961" s="19"/>
      <c r="W961" s="19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11.25" customHeight="1" x14ac:dyDescent="0.2">
      <c r="A962" s="55" t="s">
        <v>21</v>
      </c>
      <c r="B962" s="55" t="s">
        <v>41</v>
      </c>
      <c r="C962" s="55" t="s">
        <v>42</v>
      </c>
      <c r="D962" s="55" t="s">
        <v>38</v>
      </c>
      <c r="E962" s="55" t="s">
        <v>25</v>
      </c>
      <c r="F962" s="55" t="s">
        <v>61</v>
      </c>
      <c r="G962" s="55" t="s">
        <v>25</v>
      </c>
      <c r="H962" s="55" t="s">
        <v>34</v>
      </c>
      <c r="I962" s="63">
        <v>44652</v>
      </c>
      <c r="J962" s="64">
        <f>EFEITO!$J$962*EFEITO!$Y$962</f>
        <v>0</v>
      </c>
      <c r="K962" s="64">
        <f ca="1">EFEITO!$L$962*EFEITO!$Z$962</f>
        <v>1343581.898364767</v>
      </c>
      <c r="L962" s="64">
        <f>EFEITO!$N$962*EFEITO!$AA$962</f>
        <v>0</v>
      </c>
      <c r="M962" s="64">
        <f>$J$962-EFEITO!$K$962*EFEITO!$Y$962</f>
        <v>0</v>
      </c>
      <c r="N962" s="64">
        <f ca="1">$K$962-EFEITO!$M$962*EFEITO!$Z$962</f>
        <v>765841.68206791708</v>
      </c>
      <c r="O962" s="64">
        <f>$L$962-EFEITO!$O$962*EFEITO!$AA$962</f>
        <v>0</v>
      </c>
      <c r="P962" s="19"/>
      <c r="Q962" s="19"/>
      <c r="R962" s="19"/>
      <c r="S962" s="19"/>
      <c r="T962" s="19"/>
      <c r="U962" s="19"/>
      <c r="V962" s="19"/>
      <c r="W962" s="19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 ht="11.25" customHeight="1" x14ac:dyDescent="0.2">
      <c r="A963" s="55" t="s">
        <v>21</v>
      </c>
      <c r="B963" s="55" t="s">
        <v>41</v>
      </c>
      <c r="C963" s="55" t="s">
        <v>42</v>
      </c>
      <c r="D963" s="55" t="s">
        <v>38</v>
      </c>
      <c r="E963" s="55" t="s">
        <v>25</v>
      </c>
      <c r="F963" s="55" t="s">
        <v>61</v>
      </c>
      <c r="G963" s="55" t="s">
        <v>25</v>
      </c>
      <c r="H963" s="55" t="s">
        <v>34</v>
      </c>
      <c r="I963" s="63">
        <v>44682</v>
      </c>
      <c r="J963" s="64">
        <f>EFEITO!$J$963*EFEITO!$Y$963</f>
        <v>0</v>
      </c>
      <c r="K963" s="64">
        <f ca="1">EFEITO!$L$963*EFEITO!$Z$963</f>
        <v>1097992.4689898882</v>
      </c>
      <c r="L963" s="64">
        <f>EFEITO!$N$963*EFEITO!$AA$963</f>
        <v>0</v>
      </c>
      <c r="M963" s="64">
        <f>$J$963-EFEITO!$K$963*EFEITO!$Y$963</f>
        <v>0</v>
      </c>
      <c r="N963" s="64">
        <f ca="1">$K$963-EFEITO!$M$963*EFEITO!$Z$963</f>
        <v>625855.7073242364</v>
      </c>
      <c r="O963" s="64">
        <f>$L$963-EFEITO!$O$963*EFEITO!$AA$963</f>
        <v>0</v>
      </c>
      <c r="P963" s="19"/>
      <c r="Q963" s="19"/>
      <c r="R963" s="19"/>
      <c r="S963" s="19"/>
      <c r="T963" s="19"/>
      <c r="U963" s="19"/>
      <c r="V963" s="19"/>
      <c r="W963" s="19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11.25" customHeight="1" x14ac:dyDescent="0.2">
      <c r="A964" s="55" t="s">
        <v>21</v>
      </c>
      <c r="B964" s="55" t="s">
        <v>41</v>
      </c>
      <c r="C964" s="55" t="s">
        <v>42</v>
      </c>
      <c r="D964" s="55" t="s">
        <v>38</v>
      </c>
      <c r="E964" s="55" t="s">
        <v>25</v>
      </c>
      <c r="F964" s="55" t="s">
        <v>61</v>
      </c>
      <c r="G964" s="55" t="s">
        <v>25</v>
      </c>
      <c r="H964" s="55" t="s">
        <v>34</v>
      </c>
      <c r="I964" s="63">
        <v>44713</v>
      </c>
      <c r="J964" s="64">
        <f>EFEITO!$J$964*EFEITO!$Y$964</f>
        <v>0</v>
      </c>
      <c r="K964" s="64">
        <f ca="1">EFEITO!$L$964*EFEITO!$Z$964</f>
        <v>1328154.3310474781</v>
      </c>
      <c r="L964" s="64">
        <f>EFEITO!$N$964*EFEITO!$AA$964</f>
        <v>0</v>
      </c>
      <c r="M964" s="64">
        <f>$J$964-EFEITO!$K$964*EFEITO!$Y$964</f>
        <v>0</v>
      </c>
      <c r="N964" s="64">
        <f ca="1">$K$964-EFEITO!$M$964*EFEITO!$Z$964</f>
        <v>757047.96869706258</v>
      </c>
      <c r="O964" s="64">
        <f>$L$964-EFEITO!$O$964*EFEITO!$AA$964</f>
        <v>0</v>
      </c>
      <c r="P964" s="19"/>
      <c r="Q964" s="19"/>
      <c r="R964" s="19"/>
      <c r="S964" s="19"/>
      <c r="T964" s="19"/>
      <c r="U964" s="19"/>
      <c r="V964" s="19"/>
      <c r="W964" s="19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 ht="11.25" customHeight="1" x14ac:dyDescent="0.2">
      <c r="A965" s="55" t="s">
        <v>57</v>
      </c>
      <c r="B965" s="55" t="s">
        <v>41</v>
      </c>
      <c r="C965" s="55" t="s">
        <v>42</v>
      </c>
      <c r="D965" s="55" t="s">
        <v>38</v>
      </c>
      <c r="E965" s="55" t="s">
        <v>25</v>
      </c>
      <c r="F965" s="55" t="s">
        <v>61</v>
      </c>
      <c r="G965" s="55" t="s">
        <v>25</v>
      </c>
      <c r="H965" s="55" t="s">
        <v>34</v>
      </c>
      <c r="I965" s="63">
        <v>44743</v>
      </c>
      <c r="J965" s="64">
        <f>EFEITO!$J$965*EFEITO!$Y$965</f>
        <v>0</v>
      </c>
      <c r="K965" s="64">
        <f ca="1">EFEITO!$L$965*EFEITO!$Z$965</f>
        <v>1328154.3310474781</v>
      </c>
      <c r="L965" s="64">
        <f>EFEITO!$N$965*EFEITO!$AA$965</f>
        <v>0</v>
      </c>
      <c r="M965" s="64">
        <f>$J$965-EFEITO!$K$965*EFEITO!$Y$965</f>
        <v>0</v>
      </c>
      <c r="N965" s="64">
        <f ca="1">$K$965-EFEITO!$M$965*EFEITO!$Z$965</f>
        <v>757047.96869706258</v>
      </c>
      <c r="O965" s="64">
        <f>$L$965-EFEITO!$O$965*EFEITO!$AA$965</f>
        <v>0</v>
      </c>
      <c r="P965" s="19"/>
      <c r="Q965" s="19"/>
      <c r="R965" s="19"/>
      <c r="S965" s="19"/>
      <c r="T965" s="19"/>
      <c r="U965" s="19"/>
      <c r="V965" s="19"/>
      <c r="W965" s="19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spans="1:36" ht="11.25" customHeight="1" x14ac:dyDescent="0.2">
      <c r="A966" s="55" t="s">
        <v>21</v>
      </c>
      <c r="B966" s="55" t="s">
        <v>41</v>
      </c>
      <c r="C966" s="55" t="s">
        <v>42</v>
      </c>
      <c r="D966" s="55" t="s">
        <v>38</v>
      </c>
      <c r="E966" s="55" t="s">
        <v>25</v>
      </c>
      <c r="F966" s="55" t="s">
        <v>25</v>
      </c>
      <c r="G966" s="55" t="s">
        <v>25</v>
      </c>
      <c r="H966" s="55" t="s">
        <v>35</v>
      </c>
      <c r="I966" s="63">
        <v>44409</v>
      </c>
      <c r="J966" s="64">
        <f>EFEITO!$J$966*EFEITO!$Y$966</f>
        <v>0</v>
      </c>
      <c r="K966" s="64">
        <f ca="1">EFEITO!$L$966*EFEITO!$Z$966</f>
        <v>666806.17928037152</v>
      </c>
      <c r="L966" s="64">
        <f>EFEITO!$N$966*EFEITO!$AA$966</f>
        <v>1984440.849362598</v>
      </c>
      <c r="M966" s="64">
        <f>$J$966-EFEITO!$K$966*EFEITO!$Y$966</f>
        <v>0</v>
      </c>
      <c r="N966" s="64">
        <f ca="1">$K$966-EFEITO!$M$966*EFEITO!$Z$966</f>
        <v>0</v>
      </c>
      <c r="O966" s="64">
        <f>$L$966-EFEITO!$O$966*EFEITO!$AA$966</f>
        <v>0</v>
      </c>
      <c r="P966" s="19"/>
      <c r="Q966" s="19"/>
      <c r="R966" s="19"/>
      <c r="S966" s="19"/>
      <c r="T966" s="19"/>
      <c r="U966" s="19"/>
      <c r="V966" s="19"/>
      <c r="W966" s="19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11.25" customHeight="1" x14ac:dyDescent="0.2">
      <c r="A967" s="55" t="s">
        <v>27</v>
      </c>
      <c r="B967" s="55" t="s">
        <v>41</v>
      </c>
      <c r="C967" s="55" t="s">
        <v>42</v>
      </c>
      <c r="D967" s="55" t="s">
        <v>38</v>
      </c>
      <c r="E967" s="55" t="s">
        <v>25</v>
      </c>
      <c r="F967" s="55" t="s">
        <v>25</v>
      </c>
      <c r="G967" s="55" t="s">
        <v>25</v>
      </c>
      <c r="H967" s="55" t="s">
        <v>35</v>
      </c>
      <c r="I967" s="63">
        <v>44409</v>
      </c>
      <c r="J967" s="64">
        <f>EFEITO!$J$967*EFEITO!$Y$967</f>
        <v>0</v>
      </c>
      <c r="K967" s="64">
        <f ca="1">EFEITO!$L$967*EFEITO!$Z$967</f>
        <v>-255.12243762428596</v>
      </c>
      <c r="L967" s="64">
        <f>EFEITO!$N$967*EFEITO!$AA$967</f>
        <v>-759.25419191072194</v>
      </c>
      <c r="M967" s="64">
        <f>$J$967-EFEITO!$K$967*EFEITO!$Y$967</f>
        <v>0</v>
      </c>
      <c r="N967" s="64">
        <f ca="1">$K$967-EFEITO!$M$967*EFEITO!$Z$967</f>
        <v>0</v>
      </c>
      <c r="O967" s="64">
        <f>$L$967-EFEITO!$O$967*EFEITO!$AA$967</f>
        <v>0</v>
      </c>
      <c r="P967" s="19"/>
      <c r="Q967" s="19"/>
      <c r="R967" s="19"/>
      <c r="S967" s="19"/>
      <c r="T967" s="19"/>
      <c r="U967" s="19"/>
      <c r="V967" s="19"/>
      <c r="W967" s="19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11.25" customHeight="1" x14ac:dyDescent="0.2">
      <c r="A968" s="55" t="s">
        <v>28</v>
      </c>
      <c r="B968" s="55" t="s">
        <v>41</v>
      </c>
      <c r="C968" s="55" t="s">
        <v>42</v>
      </c>
      <c r="D968" s="55" t="s">
        <v>38</v>
      </c>
      <c r="E968" s="55" t="s">
        <v>25</v>
      </c>
      <c r="F968" s="55" t="s">
        <v>25</v>
      </c>
      <c r="G968" s="55" t="s">
        <v>25</v>
      </c>
      <c r="H968" s="55" t="s">
        <v>35</v>
      </c>
      <c r="I968" s="63">
        <v>44409</v>
      </c>
      <c r="J968" s="64">
        <f>EFEITO!$J$968*EFEITO!$Y$968</f>
        <v>0</v>
      </c>
      <c r="K968" s="64">
        <f ca="1">EFEITO!$L$968*EFEITO!$Z$968</f>
        <v>38023.522864677463</v>
      </c>
      <c r="L968" s="64">
        <f>EFEITO!$N$968*EFEITO!$AA$968</f>
        <v>113159.46725444488</v>
      </c>
      <c r="M968" s="64">
        <f>$J$968-EFEITO!$K$968*EFEITO!$Y$968</f>
        <v>0</v>
      </c>
      <c r="N968" s="64">
        <f ca="1">$K$968-EFEITO!$M$968*EFEITO!$Z$968</f>
        <v>0</v>
      </c>
      <c r="O968" s="64">
        <f>$L$968-EFEITO!$O$968*EFEITO!$AA$968</f>
        <v>0</v>
      </c>
      <c r="P968" s="19"/>
      <c r="Q968" s="19"/>
      <c r="R968" s="19"/>
      <c r="S968" s="19"/>
      <c r="T968" s="19"/>
      <c r="U968" s="19"/>
      <c r="V968" s="19"/>
      <c r="W968" s="19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11.25" customHeight="1" x14ac:dyDescent="0.2">
      <c r="A969" s="55" t="s">
        <v>21</v>
      </c>
      <c r="B969" s="55" t="s">
        <v>41</v>
      </c>
      <c r="C969" s="55" t="s">
        <v>42</v>
      </c>
      <c r="D969" s="55" t="s">
        <v>38</v>
      </c>
      <c r="E969" s="55" t="s">
        <v>25</v>
      </c>
      <c r="F969" s="55" t="s">
        <v>25</v>
      </c>
      <c r="G969" s="55" t="s">
        <v>25</v>
      </c>
      <c r="H969" s="55" t="s">
        <v>35</v>
      </c>
      <c r="I969" s="63">
        <v>44409</v>
      </c>
      <c r="J969" s="64">
        <f>EFEITO!$J$969*EFEITO!$Y$969</f>
        <v>0</v>
      </c>
      <c r="K969" s="64">
        <f ca="1">EFEITO!$L$969*EFEITO!$Z$969</f>
        <v>49431.607689946584</v>
      </c>
      <c r="L969" s="64">
        <f>EFEITO!$N$969*EFEITO!$AA$969</f>
        <v>0</v>
      </c>
      <c r="M969" s="64">
        <f>$J$969-EFEITO!$K$969*EFEITO!$Y$969</f>
        <v>0</v>
      </c>
      <c r="N969" s="64">
        <f ca="1">$K$969-EFEITO!$M$969*EFEITO!$Z$969</f>
        <v>0</v>
      </c>
      <c r="O969" s="64">
        <f>$L$969-EFEITO!$O$969*EFEITO!$AA$969</f>
        <v>0</v>
      </c>
      <c r="P969" s="19"/>
      <c r="Q969" s="19"/>
      <c r="R969" s="19"/>
      <c r="S969" s="19"/>
      <c r="T969" s="19"/>
      <c r="U969" s="19"/>
      <c r="V969" s="19"/>
      <c r="W969" s="19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11.25" customHeight="1" x14ac:dyDescent="0.2">
      <c r="A970" s="55" t="s">
        <v>21</v>
      </c>
      <c r="B970" s="55" t="s">
        <v>41</v>
      </c>
      <c r="C970" s="55" t="s">
        <v>42</v>
      </c>
      <c r="D970" s="55" t="s">
        <v>38</v>
      </c>
      <c r="E970" s="55" t="s">
        <v>25</v>
      </c>
      <c r="F970" s="55" t="s">
        <v>25</v>
      </c>
      <c r="G970" s="55" t="s">
        <v>25</v>
      </c>
      <c r="H970" s="55" t="s">
        <v>35</v>
      </c>
      <c r="I970" s="63">
        <v>44440</v>
      </c>
      <c r="J970" s="64">
        <f>EFEITO!$J$970*EFEITO!$Y$970</f>
        <v>0</v>
      </c>
      <c r="K970" s="64">
        <f ca="1">EFEITO!$L$970*EFEITO!$Z$970</f>
        <v>662521.8200294862</v>
      </c>
      <c r="L970" s="64">
        <f>EFEITO!$N$970*EFEITO!$AA$970</f>
        <v>1971690.4313626075</v>
      </c>
      <c r="M970" s="64">
        <f>$J$970-EFEITO!$K$970*EFEITO!$Y$970</f>
        <v>0</v>
      </c>
      <c r="N970" s="64">
        <f ca="1">$K$970-EFEITO!$M$970*EFEITO!$Z$970</f>
        <v>0</v>
      </c>
      <c r="O970" s="64">
        <f>$L$970-EFEITO!$O$970*EFEITO!$AA$970</f>
        <v>0</v>
      </c>
      <c r="P970" s="19"/>
      <c r="Q970" s="19"/>
      <c r="R970" s="19"/>
      <c r="S970" s="19"/>
      <c r="T970" s="19"/>
      <c r="U970" s="19"/>
      <c r="V970" s="19"/>
      <c r="W970" s="19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spans="1:36" ht="11.25" customHeight="1" x14ac:dyDescent="0.2">
      <c r="A971" s="55" t="s">
        <v>28</v>
      </c>
      <c r="B971" s="55" t="s">
        <v>41</v>
      </c>
      <c r="C971" s="55" t="s">
        <v>42</v>
      </c>
      <c r="D971" s="55" t="s">
        <v>38</v>
      </c>
      <c r="E971" s="55" t="s">
        <v>25</v>
      </c>
      <c r="F971" s="55" t="s">
        <v>25</v>
      </c>
      <c r="G971" s="55" t="s">
        <v>25</v>
      </c>
      <c r="H971" s="55" t="s">
        <v>35</v>
      </c>
      <c r="I971" s="63">
        <v>44440</v>
      </c>
      <c r="J971" s="64">
        <f>EFEITO!$J$971*EFEITO!$Y$971</f>
        <v>0</v>
      </c>
      <c r="K971" s="64">
        <f ca="1">EFEITO!$L$971*EFEITO!$Z$971</f>
        <v>35219.434460667188</v>
      </c>
      <c r="L971" s="64">
        <f>EFEITO!$N$971*EFEITO!$AA$971</f>
        <v>104814.39225806842</v>
      </c>
      <c r="M971" s="64">
        <f>$J$971-EFEITO!$K$971*EFEITO!$Y$971</f>
        <v>0</v>
      </c>
      <c r="N971" s="64">
        <f ca="1">$K$971-EFEITO!$M$971*EFEITO!$Z$971</f>
        <v>0</v>
      </c>
      <c r="O971" s="64">
        <f>$L$971-EFEITO!$O$971*EFEITO!$AA$971</f>
        <v>0</v>
      </c>
      <c r="P971" s="19"/>
      <c r="Q971" s="19"/>
      <c r="R971" s="19"/>
      <c r="S971" s="19"/>
      <c r="T971" s="19"/>
      <c r="U971" s="19"/>
      <c r="V971" s="19"/>
      <c r="W971" s="19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spans="1:36" ht="11.25" customHeight="1" x14ac:dyDescent="0.2">
      <c r="A972" s="55" t="s">
        <v>21</v>
      </c>
      <c r="B972" s="55" t="s">
        <v>41</v>
      </c>
      <c r="C972" s="55" t="s">
        <v>42</v>
      </c>
      <c r="D972" s="55" t="s">
        <v>38</v>
      </c>
      <c r="E972" s="55" t="s">
        <v>25</v>
      </c>
      <c r="F972" s="55" t="s">
        <v>25</v>
      </c>
      <c r="G972" s="55" t="s">
        <v>25</v>
      </c>
      <c r="H972" s="55" t="s">
        <v>35</v>
      </c>
      <c r="I972" s="63">
        <v>44440</v>
      </c>
      <c r="J972" s="64">
        <f>EFEITO!$J$972*EFEITO!$Y$972</f>
        <v>0</v>
      </c>
      <c r="K972" s="64">
        <f ca="1">EFEITO!$L$972*EFEITO!$Z$972</f>
        <v>49510.106901523293</v>
      </c>
      <c r="L972" s="64">
        <f>EFEITO!$N$972*EFEITO!$AA$972</f>
        <v>0</v>
      </c>
      <c r="M972" s="64">
        <f>$J$972-EFEITO!$K$972*EFEITO!$Y$972</f>
        <v>0</v>
      </c>
      <c r="N972" s="64">
        <f ca="1">$K$972-EFEITO!$M$972*EFEITO!$Z$972</f>
        <v>0</v>
      </c>
      <c r="O972" s="64">
        <f>$L$972-EFEITO!$O$972*EFEITO!$AA$972</f>
        <v>0</v>
      </c>
      <c r="P972" s="19"/>
      <c r="Q972" s="19"/>
      <c r="R972" s="19"/>
      <c r="S972" s="19"/>
      <c r="T972" s="19"/>
      <c r="U972" s="19"/>
      <c r="V972" s="19"/>
      <c r="W972" s="19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11.25" customHeight="1" x14ac:dyDescent="0.2">
      <c r="A973" s="55" t="s">
        <v>21</v>
      </c>
      <c r="B973" s="55" t="s">
        <v>41</v>
      </c>
      <c r="C973" s="55" t="s">
        <v>42</v>
      </c>
      <c r="D973" s="55" t="s">
        <v>38</v>
      </c>
      <c r="E973" s="55" t="s">
        <v>25</v>
      </c>
      <c r="F973" s="55" t="s">
        <v>25</v>
      </c>
      <c r="G973" s="55" t="s">
        <v>25</v>
      </c>
      <c r="H973" s="55" t="s">
        <v>35</v>
      </c>
      <c r="I973" s="63">
        <v>44470</v>
      </c>
      <c r="J973" s="64">
        <f>EFEITO!$J$973*EFEITO!$Y$973</f>
        <v>0</v>
      </c>
      <c r="K973" s="64">
        <f ca="1">EFEITO!$L$973*EFEITO!$Z$973</f>
        <v>676508.38590168464</v>
      </c>
      <c r="L973" s="64">
        <f>EFEITO!$N$973*EFEITO!$AA$973</f>
        <v>2013314.9896248681</v>
      </c>
      <c r="M973" s="64">
        <f>$J$973-EFEITO!$K$973*EFEITO!$Y$973</f>
        <v>0</v>
      </c>
      <c r="N973" s="64">
        <f ca="1">$K$973-EFEITO!$M$973*EFEITO!$Z$973</f>
        <v>0</v>
      </c>
      <c r="O973" s="64">
        <f>$L$973-EFEITO!$O$973*EFEITO!$AA$973</f>
        <v>0</v>
      </c>
      <c r="P973" s="19"/>
      <c r="Q973" s="19"/>
      <c r="R973" s="19"/>
      <c r="S973" s="19"/>
      <c r="T973" s="19"/>
      <c r="U973" s="19"/>
      <c r="V973" s="19"/>
      <c r="W973" s="19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11.25" customHeight="1" x14ac:dyDescent="0.2">
      <c r="A974" s="55" t="s">
        <v>28</v>
      </c>
      <c r="B974" s="55" t="s">
        <v>41</v>
      </c>
      <c r="C974" s="55" t="s">
        <v>42</v>
      </c>
      <c r="D974" s="55" t="s">
        <v>38</v>
      </c>
      <c r="E974" s="55" t="s">
        <v>25</v>
      </c>
      <c r="F974" s="55" t="s">
        <v>25</v>
      </c>
      <c r="G974" s="55" t="s">
        <v>25</v>
      </c>
      <c r="H974" s="55" t="s">
        <v>35</v>
      </c>
      <c r="I974" s="63">
        <v>44470</v>
      </c>
      <c r="J974" s="64">
        <f>EFEITO!$J$974*EFEITO!$Y$974</f>
        <v>0</v>
      </c>
      <c r="K974" s="64">
        <f ca="1">EFEITO!$L$974*EFEITO!$Z$974</f>
        <v>38607.82800799096</v>
      </c>
      <c r="L974" s="64">
        <f>EFEITO!$N$974*EFEITO!$AA$974</f>
        <v>114898.38184599133</v>
      </c>
      <c r="M974" s="64">
        <f>$J$974-EFEITO!$K$974*EFEITO!$Y$974</f>
        <v>0</v>
      </c>
      <c r="N974" s="64">
        <f ca="1">$K$974-EFEITO!$M$974*EFEITO!$Z$974</f>
        <v>0</v>
      </c>
      <c r="O974" s="64">
        <f>$L$974-EFEITO!$O$974*EFEITO!$AA$974</f>
        <v>0</v>
      </c>
      <c r="P974" s="19"/>
      <c r="Q974" s="19"/>
      <c r="R974" s="19"/>
      <c r="S974" s="19"/>
      <c r="T974" s="19"/>
      <c r="U974" s="19"/>
      <c r="V974" s="19"/>
      <c r="W974" s="19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11.25" customHeight="1" x14ac:dyDescent="0.2">
      <c r="A975" s="55" t="s">
        <v>28</v>
      </c>
      <c r="B975" s="55" t="s">
        <v>41</v>
      </c>
      <c r="C975" s="55" t="s">
        <v>42</v>
      </c>
      <c r="D975" s="55" t="s">
        <v>38</v>
      </c>
      <c r="E975" s="55" t="s">
        <v>25</v>
      </c>
      <c r="F975" s="55" t="s">
        <v>25</v>
      </c>
      <c r="G975" s="55" t="s">
        <v>25</v>
      </c>
      <c r="H975" s="55" t="s">
        <v>35</v>
      </c>
      <c r="I975" s="63">
        <v>44470</v>
      </c>
      <c r="J975" s="64">
        <f>EFEITO!$J$975*EFEITO!$Y$975</f>
        <v>0</v>
      </c>
      <c r="K975" s="64">
        <f ca="1">EFEITO!$L$975*EFEITO!$Z$975</f>
        <v>-292.5808907675343</v>
      </c>
      <c r="L975" s="64">
        <f>EFEITO!$N$975*EFEITO!$AA$975</f>
        <v>-870.73198992935977</v>
      </c>
      <c r="M975" s="64">
        <f>$J$975-EFEITO!$K$975*EFEITO!$Y$975</f>
        <v>0</v>
      </c>
      <c r="N975" s="64">
        <f ca="1">$K$975-EFEITO!$M$975*EFEITO!$Z$975</f>
        <v>0</v>
      </c>
      <c r="O975" s="64">
        <f>$L$975-EFEITO!$O$975*EFEITO!$AA$975</f>
        <v>0</v>
      </c>
      <c r="P975" s="19"/>
      <c r="Q975" s="19"/>
      <c r="R975" s="19"/>
      <c r="S975" s="19"/>
      <c r="T975" s="19"/>
      <c r="U975" s="19"/>
      <c r="V975" s="19"/>
      <c r="W975" s="19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spans="1:36" ht="11.25" customHeight="1" x14ac:dyDescent="0.2">
      <c r="A976" s="55" t="s">
        <v>21</v>
      </c>
      <c r="B976" s="55" t="s">
        <v>41</v>
      </c>
      <c r="C976" s="55" t="s">
        <v>42</v>
      </c>
      <c r="D976" s="55" t="s">
        <v>38</v>
      </c>
      <c r="E976" s="55" t="s">
        <v>25</v>
      </c>
      <c r="F976" s="55" t="s">
        <v>25</v>
      </c>
      <c r="G976" s="55" t="s">
        <v>25</v>
      </c>
      <c r="H976" s="55" t="s">
        <v>35</v>
      </c>
      <c r="I976" s="63">
        <v>44470</v>
      </c>
      <c r="J976" s="64">
        <f>EFEITO!$J$976*EFEITO!$Y$976</f>
        <v>0</v>
      </c>
      <c r="K976" s="64">
        <f ca="1">EFEITO!$L$976*EFEITO!$Z$976</f>
        <v>58353.027510398533</v>
      </c>
      <c r="L976" s="64">
        <f>EFEITO!$N$976*EFEITO!$AA$976</f>
        <v>0</v>
      </c>
      <c r="M976" s="64">
        <f>$J$976-EFEITO!$K$976*EFEITO!$Y$976</f>
        <v>0</v>
      </c>
      <c r="N976" s="64">
        <f ca="1">$K$976-EFEITO!$M$976*EFEITO!$Z$976</f>
        <v>0</v>
      </c>
      <c r="O976" s="64">
        <f>$L$976-EFEITO!$O$976*EFEITO!$AA$976</f>
        <v>0</v>
      </c>
      <c r="P976" s="19"/>
      <c r="Q976" s="19"/>
      <c r="R976" s="19"/>
      <c r="S976" s="19"/>
      <c r="T976" s="19"/>
      <c r="U976" s="19"/>
      <c r="V976" s="19"/>
      <c r="W976" s="19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spans="1:36" ht="11.25" customHeight="1" x14ac:dyDescent="0.2">
      <c r="A977" s="55" t="s">
        <v>21</v>
      </c>
      <c r="B977" s="55" t="s">
        <v>41</v>
      </c>
      <c r="C977" s="55" t="s">
        <v>42</v>
      </c>
      <c r="D977" s="55" t="s">
        <v>38</v>
      </c>
      <c r="E977" s="55" t="s">
        <v>25</v>
      </c>
      <c r="F977" s="55" t="s">
        <v>25</v>
      </c>
      <c r="G977" s="55" t="s">
        <v>25</v>
      </c>
      <c r="H977" s="55" t="s">
        <v>35</v>
      </c>
      <c r="I977" s="63">
        <v>44501</v>
      </c>
      <c r="J977" s="64">
        <f>EFEITO!$J$977*EFEITO!$Y$977</f>
        <v>0</v>
      </c>
      <c r="K977" s="64">
        <f ca="1">EFEITO!$L$977*EFEITO!$Z$977</f>
        <v>656053.34481840231</v>
      </c>
      <c r="L977" s="64">
        <f>EFEITO!$N$977*EFEITO!$AA$977</f>
        <v>1952440.0002166075</v>
      </c>
      <c r="M977" s="64">
        <f>$J$977-EFEITO!$K$977*EFEITO!$Y$977</f>
        <v>0</v>
      </c>
      <c r="N977" s="64">
        <f ca="1">$K$977-EFEITO!$M$977*EFEITO!$Z$977</f>
        <v>0</v>
      </c>
      <c r="O977" s="64">
        <f>$L$977-EFEITO!$O$977*EFEITO!$AA$977</f>
        <v>0</v>
      </c>
      <c r="P977" s="19"/>
      <c r="Q977" s="19"/>
      <c r="R977" s="19"/>
      <c r="S977" s="19"/>
      <c r="T977" s="19"/>
      <c r="U977" s="19"/>
      <c r="V977" s="19"/>
      <c r="W977" s="19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spans="1:36" ht="11.25" customHeight="1" x14ac:dyDescent="0.2">
      <c r="A978" s="55" t="s">
        <v>27</v>
      </c>
      <c r="B978" s="55" t="s">
        <v>41</v>
      </c>
      <c r="C978" s="55" t="s">
        <v>42</v>
      </c>
      <c r="D978" s="55" t="s">
        <v>38</v>
      </c>
      <c r="E978" s="55" t="s">
        <v>25</v>
      </c>
      <c r="F978" s="55" t="s">
        <v>25</v>
      </c>
      <c r="G978" s="55" t="s">
        <v>25</v>
      </c>
      <c r="H978" s="55" t="s">
        <v>35</v>
      </c>
      <c r="I978" s="63">
        <v>44501</v>
      </c>
      <c r="J978" s="64">
        <f>EFEITO!$J$978*EFEITO!$Y$978</f>
        <v>0</v>
      </c>
      <c r="K978" s="64">
        <f ca="1">EFEITO!$L$978*EFEITO!$Z$978</f>
        <v>-355.1933571441906</v>
      </c>
      <c r="L978" s="64">
        <f>EFEITO!$N$978*EFEITO!$AA$978</f>
        <v>-1057.0690992993902</v>
      </c>
      <c r="M978" s="64">
        <f>$J$978-EFEITO!$K$978*EFEITO!$Y$978</f>
        <v>0</v>
      </c>
      <c r="N978" s="64">
        <f ca="1">$K$978-EFEITO!$M$978*EFEITO!$Z$978</f>
        <v>0</v>
      </c>
      <c r="O978" s="64">
        <f>$L$978-EFEITO!$O$978*EFEITO!$AA$978</f>
        <v>0</v>
      </c>
      <c r="P978" s="19"/>
      <c r="Q978" s="19"/>
      <c r="R978" s="19"/>
      <c r="S978" s="19"/>
      <c r="T978" s="19"/>
      <c r="U978" s="19"/>
      <c r="V978" s="19"/>
      <c r="W978" s="19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11.25" customHeight="1" x14ac:dyDescent="0.2">
      <c r="A979" s="55" t="s">
        <v>28</v>
      </c>
      <c r="B979" s="55" t="s">
        <v>41</v>
      </c>
      <c r="C979" s="55" t="s">
        <v>42</v>
      </c>
      <c r="D979" s="55" t="s">
        <v>38</v>
      </c>
      <c r="E979" s="55" t="s">
        <v>25</v>
      </c>
      <c r="F979" s="55" t="s">
        <v>25</v>
      </c>
      <c r="G979" s="55" t="s">
        <v>25</v>
      </c>
      <c r="H979" s="55" t="s">
        <v>35</v>
      </c>
      <c r="I979" s="63">
        <v>44501</v>
      </c>
      <c r="J979" s="64">
        <f>EFEITO!$J$979*EFEITO!$Y$979</f>
        <v>0</v>
      </c>
      <c r="K979" s="64">
        <f ca="1">EFEITO!$L$979*EFEITO!$Z$979</f>
        <v>32479.67179947671</v>
      </c>
      <c r="L979" s="64">
        <f>EFEITO!$N$979*EFEITO!$AA$979</f>
        <v>96660.753147686497</v>
      </c>
      <c r="M979" s="64">
        <f>$J$979-EFEITO!$K$979*EFEITO!$Y$979</f>
        <v>0</v>
      </c>
      <c r="N979" s="64">
        <f ca="1">$K$979-EFEITO!$M$979*EFEITO!$Z$979</f>
        <v>0</v>
      </c>
      <c r="O979" s="64">
        <f>$L$979-EFEITO!$O$979*EFEITO!$AA$979</f>
        <v>0</v>
      </c>
      <c r="P979" s="19"/>
      <c r="Q979" s="19"/>
      <c r="R979" s="19"/>
      <c r="S979" s="19"/>
      <c r="T979" s="19"/>
      <c r="U979" s="19"/>
      <c r="V979" s="19"/>
      <c r="W979" s="19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11.25" customHeight="1" x14ac:dyDescent="0.2">
      <c r="A980" s="55" t="s">
        <v>21</v>
      </c>
      <c r="B980" s="55" t="s">
        <v>41</v>
      </c>
      <c r="C980" s="55" t="s">
        <v>42</v>
      </c>
      <c r="D980" s="55" t="s">
        <v>38</v>
      </c>
      <c r="E980" s="55" t="s">
        <v>25</v>
      </c>
      <c r="F980" s="55" t="s">
        <v>25</v>
      </c>
      <c r="G980" s="55" t="s">
        <v>25</v>
      </c>
      <c r="H980" s="55" t="s">
        <v>35</v>
      </c>
      <c r="I980" s="63">
        <v>44501</v>
      </c>
      <c r="J980" s="64">
        <f>EFEITO!$J$980*EFEITO!$Y$980</f>
        <v>0</v>
      </c>
      <c r="K980" s="64">
        <f ca="1">EFEITO!$L$980*EFEITO!$Z$980</f>
        <v>68289.018489998591</v>
      </c>
      <c r="L980" s="64">
        <f>EFEITO!$N$980*EFEITO!$AA$980</f>
        <v>0</v>
      </c>
      <c r="M980" s="64">
        <f>$J$980-EFEITO!$K$980*EFEITO!$Y$980</f>
        <v>0</v>
      </c>
      <c r="N980" s="64">
        <f ca="1">$K$980-EFEITO!$M$980*EFEITO!$Z$980</f>
        <v>0</v>
      </c>
      <c r="O980" s="64">
        <f>$L$980-EFEITO!$O$980*EFEITO!$AA$980</f>
        <v>0</v>
      </c>
      <c r="P980" s="19"/>
      <c r="Q980" s="19"/>
      <c r="R980" s="19"/>
      <c r="S980" s="19"/>
      <c r="T980" s="19"/>
      <c r="U980" s="19"/>
      <c r="V980" s="19"/>
      <c r="W980" s="19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11.25" customHeight="1" x14ac:dyDescent="0.2">
      <c r="A981" s="55" t="s">
        <v>21</v>
      </c>
      <c r="B981" s="55" t="s">
        <v>41</v>
      </c>
      <c r="C981" s="55" t="s">
        <v>42</v>
      </c>
      <c r="D981" s="55" t="s">
        <v>38</v>
      </c>
      <c r="E981" s="55" t="s">
        <v>25</v>
      </c>
      <c r="F981" s="55" t="s">
        <v>25</v>
      </c>
      <c r="G981" s="55" t="s">
        <v>25</v>
      </c>
      <c r="H981" s="55" t="s">
        <v>35</v>
      </c>
      <c r="I981" s="63">
        <v>44531</v>
      </c>
      <c r="J981" s="64">
        <f>EFEITO!$J$981*EFEITO!$Y$981</f>
        <v>0</v>
      </c>
      <c r="K981" s="64">
        <f ca="1">EFEITO!$L$981*EFEITO!$Z$981</f>
        <v>628642.16774735646</v>
      </c>
      <c r="L981" s="64">
        <f>EFEITO!$N$981*EFEITO!$AA$981</f>
        <v>1870863.2824249398</v>
      </c>
      <c r="M981" s="64">
        <f>$J$981-EFEITO!$K$981*EFEITO!$Y$981</f>
        <v>0</v>
      </c>
      <c r="N981" s="64">
        <f ca="1">$K$981-EFEITO!$M$981*EFEITO!$Z$981</f>
        <v>0</v>
      </c>
      <c r="O981" s="64">
        <f>$L$981-EFEITO!$O$981*EFEITO!$AA$981</f>
        <v>0</v>
      </c>
      <c r="P981" s="19"/>
      <c r="Q981" s="19"/>
      <c r="R981" s="19"/>
      <c r="S981" s="19"/>
      <c r="T981" s="19"/>
      <c r="U981" s="19"/>
      <c r="V981" s="19"/>
      <c r="W981" s="19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 ht="11.25" customHeight="1" x14ac:dyDescent="0.2">
      <c r="A982" s="55" t="s">
        <v>27</v>
      </c>
      <c r="B982" s="55" t="s">
        <v>41</v>
      </c>
      <c r="C982" s="55" t="s">
        <v>42</v>
      </c>
      <c r="D982" s="55" t="s">
        <v>38</v>
      </c>
      <c r="E982" s="55" t="s">
        <v>25</v>
      </c>
      <c r="F982" s="55" t="s">
        <v>25</v>
      </c>
      <c r="G982" s="55" t="s">
        <v>25</v>
      </c>
      <c r="H982" s="55" t="s">
        <v>35</v>
      </c>
      <c r="I982" s="63">
        <v>44531</v>
      </c>
      <c r="J982" s="64">
        <f>EFEITO!$J$982*EFEITO!$Y$982</f>
        <v>0</v>
      </c>
      <c r="K982" s="64">
        <f ca="1">EFEITO!$L$982*EFEITO!$Z$982</f>
        <v>-2715.6989147845238</v>
      </c>
      <c r="L982" s="64">
        <f>EFEITO!$N$982*EFEITO!$AA$982</f>
        <v>-8082.0244750643151</v>
      </c>
      <c r="M982" s="64">
        <f>$J$982-EFEITO!$K$982*EFEITO!$Y$982</f>
        <v>0</v>
      </c>
      <c r="N982" s="64">
        <f ca="1">$K$982-EFEITO!$M$982*EFEITO!$Z$982</f>
        <v>0</v>
      </c>
      <c r="O982" s="64">
        <f>$L$982-EFEITO!$O$982*EFEITO!$AA$982</f>
        <v>0</v>
      </c>
      <c r="P982" s="19"/>
      <c r="Q982" s="19"/>
      <c r="R982" s="19"/>
      <c r="S982" s="19"/>
      <c r="T982" s="19"/>
      <c r="U982" s="19"/>
      <c r="V982" s="19"/>
      <c r="W982" s="19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11.25" customHeight="1" x14ac:dyDescent="0.2">
      <c r="A983" s="55" t="s">
        <v>28</v>
      </c>
      <c r="B983" s="55" t="s">
        <v>41</v>
      </c>
      <c r="C983" s="55" t="s">
        <v>42</v>
      </c>
      <c r="D983" s="55" t="s">
        <v>38</v>
      </c>
      <c r="E983" s="55" t="s">
        <v>25</v>
      </c>
      <c r="F983" s="55" t="s">
        <v>25</v>
      </c>
      <c r="G983" s="55" t="s">
        <v>25</v>
      </c>
      <c r="H983" s="55" t="s">
        <v>35</v>
      </c>
      <c r="I983" s="63">
        <v>44531</v>
      </c>
      <c r="J983" s="64">
        <f>EFEITO!$J$983*EFEITO!$Y$983</f>
        <v>0</v>
      </c>
      <c r="K983" s="64">
        <f ca="1">EFEITO!$L$983*EFEITO!$Z$983</f>
        <v>42168.950971264261</v>
      </c>
      <c r="L983" s="64">
        <f>EFEITO!$N$983*EFEITO!$AA$983</f>
        <v>125496.42082269874</v>
      </c>
      <c r="M983" s="64">
        <f>$J$983-EFEITO!$K$983*EFEITO!$Y$983</f>
        <v>0</v>
      </c>
      <c r="N983" s="64">
        <f ca="1">$K$983-EFEITO!$M$983*EFEITO!$Z$983</f>
        <v>0</v>
      </c>
      <c r="O983" s="64">
        <f>$L$983-EFEITO!$O$983*EFEITO!$AA$983</f>
        <v>0</v>
      </c>
      <c r="P983" s="19"/>
      <c r="Q983" s="19"/>
      <c r="R983" s="19"/>
      <c r="S983" s="19"/>
      <c r="T983" s="19"/>
      <c r="U983" s="19"/>
      <c r="V983" s="19"/>
      <c r="W983" s="19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pans="1:36" ht="11.25" customHeight="1" x14ac:dyDescent="0.2">
      <c r="A984" s="55" t="s">
        <v>21</v>
      </c>
      <c r="B984" s="55" t="s">
        <v>41</v>
      </c>
      <c r="C984" s="55" t="s">
        <v>42</v>
      </c>
      <c r="D984" s="55" t="s">
        <v>38</v>
      </c>
      <c r="E984" s="55" t="s">
        <v>25</v>
      </c>
      <c r="F984" s="55" t="s">
        <v>25</v>
      </c>
      <c r="G984" s="55" t="s">
        <v>25</v>
      </c>
      <c r="H984" s="55" t="s">
        <v>35</v>
      </c>
      <c r="I984" s="63">
        <v>44531</v>
      </c>
      <c r="J984" s="64">
        <f>EFEITO!$J$984*EFEITO!$Y$984</f>
        <v>0</v>
      </c>
      <c r="K984" s="64">
        <f ca="1">EFEITO!$L$984*EFEITO!$Z$984</f>
        <v>67296.174791197613</v>
      </c>
      <c r="L984" s="64">
        <f>EFEITO!$N$984*EFEITO!$AA$984</f>
        <v>0</v>
      </c>
      <c r="M984" s="64">
        <f>$J$984-EFEITO!$K$984*EFEITO!$Y$984</f>
        <v>0</v>
      </c>
      <c r="N984" s="64">
        <f ca="1">$K$984-EFEITO!$M$984*EFEITO!$Z$984</f>
        <v>0</v>
      </c>
      <c r="O984" s="64">
        <f>$L$984-EFEITO!$O$984*EFEITO!$AA$984</f>
        <v>0</v>
      </c>
      <c r="P984" s="19"/>
      <c r="Q984" s="19"/>
      <c r="R984" s="19"/>
      <c r="S984" s="19"/>
      <c r="T984" s="19"/>
      <c r="U984" s="19"/>
      <c r="V984" s="19"/>
      <c r="W984" s="19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spans="1:36" ht="11.25" customHeight="1" x14ac:dyDescent="0.2">
      <c r="A985" s="55" t="s">
        <v>21</v>
      </c>
      <c r="B985" s="55" t="s">
        <v>41</v>
      </c>
      <c r="C985" s="55" t="s">
        <v>42</v>
      </c>
      <c r="D985" s="55" t="s">
        <v>38</v>
      </c>
      <c r="E985" s="55" t="s">
        <v>25</v>
      </c>
      <c r="F985" s="55" t="s">
        <v>25</v>
      </c>
      <c r="G985" s="55" t="s">
        <v>25</v>
      </c>
      <c r="H985" s="55" t="s">
        <v>35</v>
      </c>
      <c r="I985" s="63">
        <v>44562</v>
      </c>
      <c r="J985" s="64">
        <f>EFEITO!$J$985*EFEITO!$Y$985</f>
        <v>0</v>
      </c>
      <c r="K985" s="64">
        <f ca="1">EFEITO!$L$985*EFEITO!$Z$985</f>
        <v>651567.83133785182</v>
      </c>
      <c r="L985" s="64">
        <f>EFEITO!$N$985*EFEITO!$AA$985</f>
        <v>1939090.9394883798</v>
      </c>
      <c r="M985" s="64">
        <f>$J$985-EFEITO!$K$985*EFEITO!$Y$985</f>
        <v>0</v>
      </c>
      <c r="N985" s="64">
        <f ca="1">$K$985-EFEITO!$M$985*EFEITO!$Z$985</f>
        <v>0</v>
      </c>
      <c r="O985" s="64">
        <f>$L$985-EFEITO!$O$985*EFEITO!$AA$985</f>
        <v>0</v>
      </c>
      <c r="P985" s="19"/>
      <c r="Q985" s="19"/>
      <c r="R985" s="19"/>
      <c r="S985" s="19"/>
      <c r="T985" s="19"/>
      <c r="U985" s="19"/>
      <c r="V985" s="19"/>
      <c r="W985" s="19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11.25" customHeight="1" x14ac:dyDescent="0.2">
      <c r="A986" s="55" t="s">
        <v>27</v>
      </c>
      <c r="B986" s="55" t="s">
        <v>41</v>
      </c>
      <c r="C986" s="55" t="s">
        <v>42</v>
      </c>
      <c r="D986" s="55" t="s">
        <v>38</v>
      </c>
      <c r="E986" s="55" t="s">
        <v>25</v>
      </c>
      <c r="F986" s="55" t="s">
        <v>25</v>
      </c>
      <c r="G986" s="55" t="s">
        <v>25</v>
      </c>
      <c r="H986" s="55" t="s">
        <v>35</v>
      </c>
      <c r="I986" s="63">
        <v>44562</v>
      </c>
      <c r="J986" s="64">
        <f>EFEITO!$J$986*EFEITO!$Y$986</f>
        <v>0</v>
      </c>
      <c r="K986" s="64">
        <f ca="1">EFEITO!$L$986*EFEITO!$Z$986</f>
        <v>196.24802894175843</v>
      </c>
      <c r="L986" s="64">
        <f>EFEITO!$N$986*EFEITO!$AA$986</f>
        <v>584.04168608517068</v>
      </c>
      <c r="M986" s="64">
        <f>$J$986-EFEITO!$K$986*EFEITO!$Y$986</f>
        <v>0</v>
      </c>
      <c r="N986" s="64">
        <f ca="1">$K$986-EFEITO!$M$986*EFEITO!$Z$986</f>
        <v>0</v>
      </c>
      <c r="O986" s="64">
        <f>$L$986-EFEITO!$O$986*EFEITO!$AA$986</f>
        <v>0</v>
      </c>
      <c r="P986" s="19"/>
      <c r="Q986" s="19"/>
      <c r="R986" s="19"/>
      <c r="S986" s="19"/>
      <c r="T986" s="19"/>
      <c r="U986" s="19"/>
      <c r="V986" s="19"/>
      <c r="W986" s="19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spans="1:36" ht="11.25" customHeight="1" x14ac:dyDescent="0.2">
      <c r="A987" s="55" t="s">
        <v>28</v>
      </c>
      <c r="B987" s="55" t="s">
        <v>41</v>
      </c>
      <c r="C987" s="55" t="s">
        <v>42</v>
      </c>
      <c r="D987" s="55" t="s">
        <v>38</v>
      </c>
      <c r="E987" s="55" t="s">
        <v>25</v>
      </c>
      <c r="F987" s="55" t="s">
        <v>25</v>
      </c>
      <c r="G987" s="55" t="s">
        <v>25</v>
      </c>
      <c r="H987" s="55" t="s">
        <v>35</v>
      </c>
      <c r="I987" s="63">
        <v>44562</v>
      </c>
      <c r="J987" s="64">
        <f>EFEITO!$J$987*EFEITO!$Y$987</f>
        <v>0</v>
      </c>
      <c r="K987" s="64">
        <f ca="1">EFEITO!$L$987*EFEITO!$Z$987</f>
        <v>34215.065083975969</v>
      </c>
      <c r="L987" s="64">
        <f>EFEITO!$N$987*EFEITO!$AA$987</f>
        <v>101825.35034321107</v>
      </c>
      <c r="M987" s="64">
        <f>$J$987-EFEITO!$K$987*EFEITO!$Y$987</f>
        <v>0</v>
      </c>
      <c r="N987" s="64">
        <f ca="1">$K$987-EFEITO!$M$987*EFEITO!$Z$987</f>
        <v>0</v>
      </c>
      <c r="O987" s="64">
        <f>$L$987-EFEITO!$O$987*EFEITO!$AA$987</f>
        <v>0</v>
      </c>
      <c r="P987" s="19"/>
      <c r="Q987" s="19"/>
      <c r="R987" s="19"/>
      <c r="S987" s="19"/>
      <c r="T987" s="19"/>
      <c r="U987" s="19"/>
      <c r="V987" s="19"/>
      <c r="W987" s="19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spans="1:36" ht="11.25" customHeight="1" x14ac:dyDescent="0.2">
      <c r="A988" s="55" t="s">
        <v>28</v>
      </c>
      <c r="B988" s="55" t="s">
        <v>41</v>
      </c>
      <c r="C988" s="55" t="s">
        <v>42</v>
      </c>
      <c r="D988" s="55" t="s">
        <v>38</v>
      </c>
      <c r="E988" s="55" t="s">
        <v>25</v>
      </c>
      <c r="F988" s="55" t="s">
        <v>25</v>
      </c>
      <c r="G988" s="55" t="s">
        <v>25</v>
      </c>
      <c r="H988" s="55" t="s">
        <v>35</v>
      </c>
      <c r="I988" s="63">
        <v>44562</v>
      </c>
      <c r="J988" s="64">
        <f>EFEITO!$J$988*EFEITO!$Y$988</f>
        <v>0</v>
      </c>
      <c r="K988" s="64">
        <f ca="1">EFEITO!$L$988*EFEITO!$Z$988</f>
        <v>491.94396778773336</v>
      </c>
      <c r="L988" s="64">
        <f>EFEITO!$N$988*EFEITO!$AA$988</f>
        <v>1464.0441789682634</v>
      </c>
      <c r="M988" s="64">
        <f>$J$988-EFEITO!$K$988*EFEITO!$Y$988</f>
        <v>0</v>
      </c>
      <c r="N988" s="64">
        <f ca="1">$K$988-EFEITO!$M$988*EFEITO!$Z$988</f>
        <v>0</v>
      </c>
      <c r="O988" s="64">
        <f>$L$988-EFEITO!$O$988*EFEITO!$AA$988</f>
        <v>0</v>
      </c>
      <c r="P988" s="19"/>
      <c r="Q988" s="19"/>
      <c r="R988" s="19"/>
      <c r="S988" s="19"/>
      <c r="T988" s="19"/>
      <c r="U988" s="19"/>
      <c r="V988" s="19"/>
      <c r="W988" s="19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spans="1:36" ht="11.25" customHeight="1" x14ac:dyDescent="0.2">
      <c r="A989" s="55" t="s">
        <v>21</v>
      </c>
      <c r="B989" s="55" t="s">
        <v>41</v>
      </c>
      <c r="C989" s="55" t="s">
        <v>42</v>
      </c>
      <c r="D989" s="55" t="s">
        <v>38</v>
      </c>
      <c r="E989" s="55" t="s">
        <v>25</v>
      </c>
      <c r="F989" s="55" t="s">
        <v>25</v>
      </c>
      <c r="G989" s="55" t="s">
        <v>25</v>
      </c>
      <c r="H989" s="55" t="s">
        <v>35</v>
      </c>
      <c r="I989" s="63">
        <v>44562</v>
      </c>
      <c r="J989" s="64">
        <f>EFEITO!$J$989*EFEITO!$Y$989</f>
        <v>0</v>
      </c>
      <c r="K989" s="64">
        <f ca="1">EFEITO!$L$989*EFEITO!$Z$989</f>
        <v>71006.352805024289</v>
      </c>
      <c r="L989" s="64">
        <f>EFEITO!$N$989*EFEITO!$AA$989</f>
        <v>0</v>
      </c>
      <c r="M989" s="64">
        <f>$J$989-EFEITO!$K$989*EFEITO!$Y$989</f>
        <v>0</v>
      </c>
      <c r="N989" s="64">
        <f ca="1">$K$989-EFEITO!$M$989*EFEITO!$Z$989</f>
        <v>0</v>
      </c>
      <c r="O989" s="64">
        <f>$L$989-EFEITO!$O$989*EFEITO!$AA$989</f>
        <v>0</v>
      </c>
      <c r="P989" s="19"/>
      <c r="Q989" s="19"/>
      <c r="R989" s="19"/>
      <c r="S989" s="19"/>
      <c r="T989" s="19"/>
      <c r="U989" s="19"/>
      <c r="V989" s="19"/>
      <c r="W989" s="19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spans="1:36" ht="11.25" customHeight="1" x14ac:dyDescent="0.2">
      <c r="A990" s="55" t="s">
        <v>21</v>
      </c>
      <c r="B990" s="55" t="s">
        <v>41</v>
      </c>
      <c r="C990" s="55" t="s">
        <v>42</v>
      </c>
      <c r="D990" s="55" t="s">
        <v>38</v>
      </c>
      <c r="E990" s="55" t="s">
        <v>25</v>
      </c>
      <c r="F990" s="55" t="s">
        <v>25</v>
      </c>
      <c r="G990" s="55" t="s">
        <v>25</v>
      </c>
      <c r="H990" s="55" t="s">
        <v>35</v>
      </c>
      <c r="I990" s="63">
        <v>44593</v>
      </c>
      <c r="J990" s="64">
        <f>EFEITO!$J$990*EFEITO!$Y$990</f>
        <v>0</v>
      </c>
      <c r="K990" s="64">
        <f ca="1">EFEITO!$L$990*EFEITO!$Z$990</f>
        <v>629263.38621039945</v>
      </c>
      <c r="L990" s="64">
        <f>EFEITO!$N$990*EFEITO!$AA$990</f>
        <v>1872712.0524764878</v>
      </c>
      <c r="M990" s="64">
        <f>$J$990-EFEITO!$K$990*EFEITO!$Y$990</f>
        <v>0</v>
      </c>
      <c r="N990" s="64">
        <f ca="1">$K$990-EFEITO!$M$990*EFEITO!$Z$990</f>
        <v>0</v>
      </c>
      <c r="O990" s="64">
        <f>$L$990-EFEITO!$O$990*EFEITO!$AA$990</f>
        <v>0</v>
      </c>
      <c r="P990" s="19"/>
      <c r="Q990" s="19"/>
      <c r="R990" s="19"/>
      <c r="S990" s="19"/>
      <c r="T990" s="19"/>
      <c r="U990" s="19"/>
      <c r="V990" s="19"/>
      <c r="W990" s="19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spans="1:36" ht="11.25" customHeight="1" x14ac:dyDescent="0.2">
      <c r="A991" s="55" t="s">
        <v>28</v>
      </c>
      <c r="B991" s="55" t="s">
        <v>41</v>
      </c>
      <c r="C991" s="55" t="s">
        <v>42</v>
      </c>
      <c r="D991" s="55" t="s">
        <v>38</v>
      </c>
      <c r="E991" s="55" t="s">
        <v>25</v>
      </c>
      <c r="F991" s="55" t="s">
        <v>25</v>
      </c>
      <c r="G991" s="55" t="s">
        <v>25</v>
      </c>
      <c r="H991" s="55" t="s">
        <v>35</v>
      </c>
      <c r="I991" s="63">
        <v>44593</v>
      </c>
      <c r="J991" s="64">
        <f>EFEITO!$J$991*EFEITO!$Y$991</f>
        <v>0</v>
      </c>
      <c r="K991" s="64">
        <f ca="1">EFEITO!$L$991*EFEITO!$Z$991</f>
        <v>38502.383630535747</v>
      </c>
      <c r="L991" s="64">
        <f>EFEITO!$N$991*EFEITO!$AA$991</f>
        <v>114584.57532100746</v>
      </c>
      <c r="M991" s="64">
        <f>$J$991-EFEITO!$K$991*EFEITO!$Y$991</f>
        <v>0</v>
      </c>
      <c r="N991" s="64">
        <f ca="1">$K$991-EFEITO!$M$991*EFEITO!$Z$991</f>
        <v>0</v>
      </c>
      <c r="O991" s="64">
        <f>$L$991-EFEITO!$O$991*EFEITO!$AA$991</f>
        <v>0</v>
      </c>
      <c r="P991" s="19"/>
      <c r="Q991" s="19"/>
      <c r="R991" s="19"/>
      <c r="S991" s="19"/>
      <c r="T991" s="19"/>
      <c r="U991" s="19"/>
      <c r="V991" s="19"/>
      <c r="W991" s="19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spans="1:36" ht="11.25" customHeight="1" x14ac:dyDescent="0.2">
      <c r="A992" s="55" t="s">
        <v>28</v>
      </c>
      <c r="B992" s="55" t="s">
        <v>41</v>
      </c>
      <c r="C992" s="55" t="s">
        <v>42</v>
      </c>
      <c r="D992" s="55" t="s">
        <v>38</v>
      </c>
      <c r="E992" s="55" t="s">
        <v>25</v>
      </c>
      <c r="F992" s="55" t="s">
        <v>25</v>
      </c>
      <c r="G992" s="55" t="s">
        <v>25</v>
      </c>
      <c r="H992" s="55" t="s">
        <v>35</v>
      </c>
      <c r="I992" s="63">
        <v>44593</v>
      </c>
      <c r="J992" s="64">
        <f>EFEITO!$J$992*EFEITO!$Y$992</f>
        <v>0</v>
      </c>
      <c r="K992" s="64">
        <f ca="1">EFEITO!$L$992*EFEITO!$Z$992</f>
        <v>-207.15069721630059</v>
      </c>
      <c r="L992" s="64">
        <f>EFEITO!$N$992*EFEITO!$AA$992</f>
        <v>-616.48844642323581</v>
      </c>
      <c r="M992" s="64">
        <f>$J$992-EFEITO!$K$992*EFEITO!$Y$992</f>
        <v>0</v>
      </c>
      <c r="N992" s="64">
        <f ca="1">$K$992-EFEITO!$M$992*EFEITO!$Z$992</f>
        <v>0</v>
      </c>
      <c r="O992" s="64">
        <f>$L$992-EFEITO!$O$992*EFEITO!$AA$992</f>
        <v>0</v>
      </c>
      <c r="P992" s="19"/>
      <c r="Q992" s="19"/>
      <c r="R992" s="19"/>
      <c r="S992" s="19"/>
      <c r="T992" s="19"/>
      <c r="U992" s="19"/>
      <c r="V992" s="19"/>
      <c r="W992" s="19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spans="1:36" ht="11.25" customHeight="1" x14ac:dyDescent="0.2">
      <c r="A993" s="55" t="s">
        <v>21</v>
      </c>
      <c r="B993" s="55" t="s">
        <v>41</v>
      </c>
      <c r="C993" s="55" t="s">
        <v>42</v>
      </c>
      <c r="D993" s="55" t="s">
        <v>38</v>
      </c>
      <c r="E993" s="55" t="s">
        <v>25</v>
      </c>
      <c r="F993" s="55" t="s">
        <v>25</v>
      </c>
      <c r="G993" s="55" t="s">
        <v>25</v>
      </c>
      <c r="H993" s="55" t="s">
        <v>35</v>
      </c>
      <c r="I993" s="63">
        <v>44593</v>
      </c>
      <c r="J993" s="64">
        <f>EFEITO!$J$993*EFEITO!$Y$993</f>
        <v>0</v>
      </c>
      <c r="K993" s="64">
        <f ca="1">EFEITO!$L$993*EFEITO!$Z$993</f>
        <v>75680.638199128356</v>
      </c>
      <c r="L993" s="64">
        <f>EFEITO!$N$993*EFEITO!$AA$993</f>
        <v>0</v>
      </c>
      <c r="M993" s="64">
        <f>$J$993-EFEITO!$K$993*EFEITO!$Y$993</f>
        <v>0</v>
      </c>
      <c r="N993" s="64">
        <f ca="1">$K$993-EFEITO!$M$993*EFEITO!$Z$993</f>
        <v>0</v>
      </c>
      <c r="O993" s="64">
        <f>$L$993-EFEITO!$O$993*EFEITO!$AA$993</f>
        <v>0</v>
      </c>
      <c r="P993" s="19"/>
      <c r="Q993" s="19"/>
      <c r="R993" s="19"/>
      <c r="S993" s="19"/>
      <c r="T993" s="19"/>
      <c r="U993" s="19"/>
      <c r="V993" s="19"/>
      <c r="W993" s="19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spans="1:36" ht="11.25" customHeight="1" x14ac:dyDescent="0.2">
      <c r="A994" s="55" t="s">
        <v>21</v>
      </c>
      <c r="B994" s="55" t="s">
        <v>41</v>
      </c>
      <c r="C994" s="55" t="s">
        <v>42</v>
      </c>
      <c r="D994" s="55" t="s">
        <v>38</v>
      </c>
      <c r="E994" s="55" t="s">
        <v>25</v>
      </c>
      <c r="F994" s="55" t="s">
        <v>25</v>
      </c>
      <c r="G994" s="55" t="s">
        <v>25</v>
      </c>
      <c r="H994" s="55" t="s">
        <v>35</v>
      </c>
      <c r="I994" s="63">
        <v>44621</v>
      </c>
      <c r="J994" s="64">
        <f>EFEITO!$J$994*EFEITO!$Y$994</f>
        <v>0</v>
      </c>
      <c r="K994" s="64">
        <f ca="1">EFEITO!$L$994*EFEITO!$Z$994</f>
        <v>662857.31070753431</v>
      </c>
      <c r="L994" s="64">
        <f>EFEITO!$N$994*EFEITO!$AA$994</f>
        <v>1972688.8645307247</v>
      </c>
      <c r="M994" s="64">
        <f>$J$994-EFEITO!$K$994*EFEITO!$Y$994</f>
        <v>0</v>
      </c>
      <c r="N994" s="64">
        <f ca="1">$K$994-EFEITO!$M$994*EFEITO!$Z$994</f>
        <v>0</v>
      </c>
      <c r="O994" s="64">
        <f>$L$994-EFEITO!$O$994*EFEITO!$AA$994</f>
        <v>0</v>
      </c>
      <c r="P994" s="19"/>
      <c r="Q994" s="19"/>
      <c r="R994" s="19"/>
      <c r="S994" s="19"/>
      <c r="T994" s="19"/>
      <c r="U994" s="19"/>
      <c r="V994" s="19"/>
      <c r="W994" s="19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spans="1:36" ht="11.25" customHeight="1" x14ac:dyDescent="0.2">
      <c r="A995" s="55" t="s">
        <v>28</v>
      </c>
      <c r="B995" s="55" t="s">
        <v>41</v>
      </c>
      <c r="C995" s="55" t="s">
        <v>42</v>
      </c>
      <c r="D995" s="55" t="s">
        <v>38</v>
      </c>
      <c r="E995" s="55" t="s">
        <v>25</v>
      </c>
      <c r="F995" s="55" t="s">
        <v>25</v>
      </c>
      <c r="G995" s="55" t="s">
        <v>25</v>
      </c>
      <c r="H995" s="55" t="s">
        <v>35</v>
      </c>
      <c r="I995" s="63">
        <v>44621</v>
      </c>
      <c r="J995" s="64">
        <f>EFEITO!$J$995*EFEITO!$Y$995</f>
        <v>0</v>
      </c>
      <c r="K995" s="64">
        <f ca="1">EFEITO!$L$995*EFEITO!$Z$995</f>
        <v>47595.131095301927</v>
      </c>
      <c r="L995" s="64">
        <f>EFEITO!$N$995*EFEITO!$AA$995</f>
        <v>141644.94168037988</v>
      </c>
      <c r="M995" s="64">
        <f>$J$995-EFEITO!$K$995*EFEITO!$Y$995</f>
        <v>0</v>
      </c>
      <c r="N995" s="64">
        <f ca="1">$K$995-EFEITO!$M$995*EFEITO!$Z$995</f>
        <v>0</v>
      </c>
      <c r="O995" s="64">
        <f>$L$995-EFEITO!$O$995*EFEITO!$AA$995</f>
        <v>0</v>
      </c>
      <c r="P995" s="19"/>
      <c r="Q995" s="19"/>
      <c r="R995" s="19"/>
      <c r="S995" s="19"/>
      <c r="T995" s="19"/>
      <c r="U995" s="19"/>
      <c r="V995" s="19"/>
      <c r="W995" s="19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spans="1:36" ht="11.25" customHeight="1" x14ac:dyDescent="0.2">
      <c r="A996" s="55" t="s">
        <v>21</v>
      </c>
      <c r="B996" s="55" t="s">
        <v>41</v>
      </c>
      <c r="C996" s="55" t="s">
        <v>42</v>
      </c>
      <c r="D996" s="55" t="s">
        <v>38</v>
      </c>
      <c r="E996" s="55" t="s">
        <v>25</v>
      </c>
      <c r="F996" s="55" t="s">
        <v>25</v>
      </c>
      <c r="G996" s="55" t="s">
        <v>25</v>
      </c>
      <c r="H996" s="55" t="s">
        <v>35</v>
      </c>
      <c r="I996" s="63">
        <v>44621</v>
      </c>
      <c r="J996" s="64">
        <f>EFEITO!$J$996*EFEITO!$Y$996</f>
        <v>0</v>
      </c>
      <c r="K996" s="64">
        <f ca="1">EFEITO!$L$996*EFEITO!$Z$996</f>
        <v>55934.348429893318</v>
      </c>
      <c r="L996" s="64">
        <f>EFEITO!$N$996*EFEITO!$AA$996</f>
        <v>0</v>
      </c>
      <c r="M996" s="64">
        <f>$J$996-EFEITO!$K$996*EFEITO!$Y$996</f>
        <v>0</v>
      </c>
      <c r="N996" s="64">
        <f ca="1">$K$996-EFEITO!$M$996*EFEITO!$Z$996</f>
        <v>0</v>
      </c>
      <c r="O996" s="64">
        <f>$L$996-EFEITO!$O$996*EFEITO!$AA$996</f>
        <v>0</v>
      </c>
      <c r="P996" s="19"/>
      <c r="Q996" s="19"/>
      <c r="R996" s="19"/>
      <c r="S996" s="19"/>
      <c r="T996" s="19"/>
      <c r="U996" s="19"/>
      <c r="V996" s="19"/>
      <c r="W996" s="19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spans="1:36" ht="11.25" customHeight="1" x14ac:dyDescent="0.2">
      <c r="A997" s="55" t="s">
        <v>21</v>
      </c>
      <c r="B997" s="55" t="s">
        <v>41</v>
      </c>
      <c r="C997" s="55" t="s">
        <v>42</v>
      </c>
      <c r="D997" s="55" t="s">
        <v>38</v>
      </c>
      <c r="E997" s="55" t="s">
        <v>25</v>
      </c>
      <c r="F997" s="55" t="s">
        <v>25</v>
      </c>
      <c r="G997" s="55" t="s">
        <v>25</v>
      </c>
      <c r="H997" s="55" t="s">
        <v>35</v>
      </c>
      <c r="I997" s="63">
        <v>44652</v>
      </c>
      <c r="J997" s="64">
        <f>EFEITO!$J$997*EFEITO!$Y$997</f>
        <v>0</v>
      </c>
      <c r="K997" s="64">
        <f ca="1">EFEITO!$L$997*EFEITO!$Z$997</f>
        <v>639362.68358551164</v>
      </c>
      <c r="L997" s="64">
        <f>EFEITO!$N$997*EFEITO!$AA$997</f>
        <v>1902767.9501027851</v>
      </c>
      <c r="M997" s="64">
        <f>$J$997-EFEITO!$K$997*EFEITO!$Y$997</f>
        <v>0</v>
      </c>
      <c r="N997" s="64">
        <f ca="1">$K$997-EFEITO!$M$997*EFEITO!$Z$997</f>
        <v>0</v>
      </c>
      <c r="O997" s="64">
        <f>$L$997-EFEITO!$O$997*EFEITO!$AA$997</f>
        <v>0</v>
      </c>
      <c r="P997" s="19"/>
      <c r="Q997" s="19"/>
      <c r="R997" s="19"/>
      <c r="S997" s="19"/>
      <c r="T997" s="19"/>
      <c r="U997" s="19"/>
      <c r="V997" s="19"/>
      <c r="W997" s="19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spans="1:36" ht="11.25" customHeight="1" x14ac:dyDescent="0.2">
      <c r="A998" s="55" t="s">
        <v>28</v>
      </c>
      <c r="B998" s="55" t="s">
        <v>41</v>
      </c>
      <c r="C998" s="55" t="s">
        <v>42</v>
      </c>
      <c r="D998" s="55" t="s">
        <v>38</v>
      </c>
      <c r="E998" s="55" t="s">
        <v>25</v>
      </c>
      <c r="F998" s="55" t="s">
        <v>25</v>
      </c>
      <c r="G998" s="55" t="s">
        <v>25</v>
      </c>
      <c r="H998" s="55" t="s">
        <v>35</v>
      </c>
      <c r="I998" s="63">
        <v>44652</v>
      </c>
      <c r="J998" s="64">
        <f>EFEITO!$J$998*EFEITO!$Y$998</f>
        <v>0</v>
      </c>
      <c r="K998" s="64">
        <f ca="1">EFEITO!$L$998*EFEITO!$Z$998</f>
        <v>45085.025353694487</v>
      </c>
      <c r="L998" s="64">
        <f>EFEITO!$N$998*EFEITO!$AA$998</f>
        <v>134174.77040026194</v>
      </c>
      <c r="M998" s="64">
        <f>$J$998-EFEITO!$K$998*EFEITO!$Y$998</f>
        <v>0</v>
      </c>
      <c r="N998" s="64">
        <f ca="1">$K$998-EFEITO!$M$998*EFEITO!$Z$998</f>
        <v>0</v>
      </c>
      <c r="O998" s="64">
        <f>$L$998-EFEITO!$O$998*EFEITO!$AA$998</f>
        <v>0</v>
      </c>
      <c r="P998" s="19"/>
      <c r="Q998" s="19"/>
      <c r="R998" s="19"/>
      <c r="S998" s="19"/>
      <c r="T998" s="19"/>
      <c r="U998" s="19"/>
      <c r="V998" s="19"/>
      <c r="W998" s="19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spans="1:36" ht="11.25" customHeight="1" x14ac:dyDescent="0.2">
      <c r="A999" s="55" t="s">
        <v>21</v>
      </c>
      <c r="B999" s="55" t="s">
        <v>41</v>
      </c>
      <c r="C999" s="55" t="s">
        <v>42</v>
      </c>
      <c r="D999" s="55" t="s">
        <v>38</v>
      </c>
      <c r="E999" s="55" t="s">
        <v>25</v>
      </c>
      <c r="F999" s="55" t="s">
        <v>25</v>
      </c>
      <c r="G999" s="55" t="s">
        <v>25</v>
      </c>
      <c r="H999" s="55" t="s">
        <v>35</v>
      </c>
      <c r="I999" s="63">
        <v>44652</v>
      </c>
      <c r="J999" s="64">
        <f>EFEITO!$J$999*EFEITO!$Y$999</f>
        <v>0</v>
      </c>
      <c r="K999" s="64">
        <f ca="1">EFEITO!$L$999*EFEITO!$Z$999</f>
        <v>23607.936995875891</v>
      </c>
      <c r="L999" s="64">
        <f>EFEITO!$N$999*EFEITO!$AA$999</f>
        <v>0</v>
      </c>
      <c r="M999" s="64">
        <f>$J$999-EFEITO!$K$999*EFEITO!$Y$999</f>
        <v>0</v>
      </c>
      <c r="N999" s="64">
        <f ca="1">$K$999-EFEITO!$M$999*EFEITO!$Z$999</f>
        <v>0</v>
      </c>
      <c r="O999" s="64">
        <f>$L$999-EFEITO!$O$999*EFEITO!$AA$999</f>
        <v>0</v>
      </c>
      <c r="P999" s="19"/>
      <c r="Q999" s="19"/>
      <c r="R999" s="19"/>
      <c r="S999" s="19"/>
      <c r="T999" s="19"/>
      <c r="U999" s="19"/>
      <c r="V999" s="19"/>
      <c r="W999" s="19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spans="1:36" ht="11.25" customHeight="1" x14ac:dyDescent="0.2">
      <c r="A1000" s="55" t="s">
        <v>21</v>
      </c>
      <c r="B1000" s="55" t="s">
        <v>41</v>
      </c>
      <c r="C1000" s="55" t="s">
        <v>42</v>
      </c>
      <c r="D1000" s="55" t="s">
        <v>38</v>
      </c>
      <c r="E1000" s="55" t="s">
        <v>25</v>
      </c>
      <c r="F1000" s="55" t="s">
        <v>25</v>
      </c>
      <c r="G1000" s="55" t="s">
        <v>25</v>
      </c>
      <c r="H1000" s="55" t="s">
        <v>35</v>
      </c>
      <c r="I1000" s="63">
        <v>44682</v>
      </c>
      <c r="J1000" s="64">
        <f>EFEITO!$J$1000*EFEITO!$Y$1000</f>
        <v>0</v>
      </c>
      <c r="K1000" s="64">
        <f ca="1">EFEITO!$L$1000*EFEITO!$Z$1000</f>
        <v>640775.82514629629</v>
      </c>
      <c r="L1000" s="64">
        <f>EFEITO!$N$1000*EFEITO!$AA$1000</f>
        <v>1906973.513767746</v>
      </c>
      <c r="M1000" s="64">
        <f>$J$1000-EFEITO!$K$1000*EFEITO!$Y$1000</f>
        <v>0</v>
      </c>
      <c r="N1000" s="64">
        <f ca="1">$K$1000-EFEITO!$M$1000*EFEITO!$Z$1000</f>
        <v>0</v>
      </c>
      <c r="O1000" s="64">
        <f>$L$1000-EFEITO!$O$1000*EFEITO!$AA$1000</f>
        <v>0</v>
      </c>
      <c r="P1000" s="19"/>
      <c r="Q1000" s="19"/>
      <c r="R1000" s="19"/>
      <c r="S1000" s="19"/>
      <c r="T1000" s="19"/>
      <c r="U1000" s="19"/>
      <c r="V1000" s="19"/>
      <c r="W1000" s="19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 spans="1:36" ht="11.25" customHeight="1" x14ac:dyDescent="0.2">
      <c r="A1001" s="55" t="s">
        <v>27</v>
      </c>
      <c r="B1001" s="55" t="s">
        <v>41</v>
      </c>
      <c r="C1001" s="55" t="s">
        <v>42</v>
      </c>
      <c r="D1001" s="55" t="s">
        <v>38</v>
      </c>
      <c r="E1001" s="55" t="s">
        <v>25</v>
      </c>
      <c r="F1001" s="55" t="s">
        <v>25</v>
      </c>
      <c r="G1001" s="55" t="s">
        <v>25</v>
      </c>
      <c r="H1001" s="55" t="s">
        <v>35</v>
      </c>
      <c r="I1001" s="63">
        <v>44682</v>
      </c>
      <c r="J1001" s="64">
        <f>EFEITO!$J$1001*EFEITO!$Y$1001</f>
        <v>0</v>
      </c>
      <c r="K1001" s="64">
        <f ca="1">EFEITO!$L$1001*EFEITO!$Z$1001</f>
        <v>260.72952416547906</v>
      </c>
      <c r="L1001" s="64">
        <f>EFEITO!$N$1001*EFEITO!$AA$1001</f>
        <v>775.94109722744111</v>
      </c>
      <c r="M1001" s="64">
        <f>$J$1001-EFEITO!$K$1001*EFEITO!$Y$1001</f>
        <v>0</v>
      </c>
      <c r="N1001" s="64">
        <f ca="1">$K$1001-EFEITO!$M$1001*EFEITO!$Z$1001</f>
        <v>0</v>
      </c>
      <c r="O1001" s="64">
        <f>$L$1001-EFEITO!$O$1001*EFEITO!$AA$1001</f>
        <v>0</v>
      </c>
      <c r="P1001" s="19"/>
      <c r="Q1001" s="19"/>
      <c r="R1001" s="19"/>
      <c r="S1001" s="19"/>
      <c r="T1001" s="19"/>
      <c r="U1001" s="19"/>
      <c r="V1001" s="19"/>
      <c r="W1001" s="19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 spans="1:36" ht="11.25" customHeight="1" x14ac:dyDescent="0.2">
      <c r="A1002" s="55" t="s">
        <v>28</v>
      </c>
      <c r="B1002" s="55" t="s">
        <v>41</v>
      </c>
      <c r="C1002" s="55" t="s">
        <v>42</v>
      </c>
      <c r="D1002" s="55" t="s">
        <v>38</v>
      </c>
      <c r="E1002" s="55" t="s">
        <v>25</v>
      </c>
      <c r="F1002" s="55" t="s">
        <v>25</v>
      </c>
      <c r="G1002" s="55" t="s">
        <v>25</v>
      </c>
      <c r="H1002" s="55" t="s">
        <v>35</v>
      </c>
      <c r="I1002" s="63">
        <v>44682</v>
      </c>
      <c r="J1002" s="64">
        <f>EFEITO!$J$1002*EFEITO!$Y$1002</f>
        <v>0</v>
      </c>
      <c r="K1002" s="64">
        <f ca="1">EFEITO!$L$1002*EFEITO!$Z$1002</f>
        <v>54453.065192392853</v>
      </c>
      <c r="L1002" s="64">
        <f>EFEITO!$N$1002*EFEITO!$AA$1002</f>
        <v>162054.41745817047</v>
      </c>
      <c r="M1002" s="64">
        <f>$J$1002-EFEITO!$K$1002*EFEITO!$Y$1002</f>
        <v>0</v>
      </c>
      <c r="N1002" s="64">
        <f ca="1">$K$1002-EFEITO!$M$1002*EFEITO!$Z$1002</f>
        <v>0</v>
      </c>
      <c r="O1002" s="64">
        <f>$L$1002-EFEITO!$O$1002*EFEITO!$AA$1002</f>
        <v>0</v>
      </c>
      <c r="P1002" s="19"/>
      <c r="Q1002" s="19"/>
      <c r="R1002" s="19"/>
      <c r="S1002" s="19"/>
      <c r="T1002" s="19"/>
      <c r="U1002" s="19"/>
      <c r="V1002" s="19"/>
      <c r="W1002" s="19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 spans="1:36" ht="11.25" customHeight="1" x14ac:dyDescent="0.2">
      <c r="A1003" s="55" t="s">
        <v>21</v>
      </c>
      <c r="B1003" s="55" t="s">
        <v>41</v>
      </c>
      <c r="C1003" s="55" t="s">
        <v>42</v>
      </c>
      <c r="D1003" s="55" t="s">
        <v>38</v>
      </c>
      <c r="E1003" s="55" t="s">
        <v>25</v>
      </c>
      <c r="F1003" s="55" t="s">
        <v>25</v>
      </c>
      <c r="G1003" s="55" t="s">
        <v>25</v>
      </c>
      <c r="H1003" s="55" t="s">
        <v>35</v>
      </c>
      <c r="I1003" s="63">
        <v>44682</v>
      </c>
      <c r="J1003" s="64">
        <f>EFEITO!$J$1003*EFEITO!$Y$1003</f>
        <v>0</v>
      </c>
      <c r="K1003" s="64">
        <f ca="1">EFEITO!$L$1003*EFEITO!$Z$1003</f>
        <v>42865.008464391816</v>
      </c>
      <c r="L1003" s="64">
        <f>EFEITO!$N$1003*EFEITO!$AA$1003</f>
        <v>0</v>
      </c>
      <c r="M1003" s="64">
        <f>$J$1003-EFEITO!$K$1003*EFEITO!$Y$1003</f>
        <v>0</v>
      </c>
      <c r="N1003" s="64">
        <f ca="1">$K$1003-EFEITO!$M$1003*EFEITO!$Z$1003</f>
        <v>0</v>
      </c>
      <c r="O1003" s="64">
        <f>$L$1003-EFEITO!$O$1003*EFEITO!$AA$1003</f>
        <v>0</v>
      </c>
      <c r="P1003" s="19"/>
      <c r="Q1003" s="19"/>
      <c r="R1003" s="19"/>
      <c r="S1003" s="19"/>
      <c r="T1003" s="19"/>
      <c r="U1003" s="19"/>
      <c r="V1003" s="19"/>
      <c r="W1003" s="19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</row>
    <row r="1004" spans="1:36" ht="11.25" customHeight="1" x14ac:dyDescent="0.2">
      <c r="A1004" s="55" t="s">
        <v>21</v>
      </c>
      <c r="B1004" s="55" t="s">
        <v>41</v>
      </c>
      <c r="C1004" s="55" t="s">
        <v>42</v>
      </c>
      <c r="D1004" s="55" t="s">
        <v>38</v>
      </c>
      <c r="E1004" s="55" t="s">
        <v>25</v>
      </c>
      <c r="F1004" s="55" t="s">
        <v>25</v>
      </c>
      <c r="G1004" s="55" t="s">
        <v>25</v>
      </c>
      <c r="H1004" s="55" t="s">
        <v>35</v>
      </c>
      <c r="I1004" s="63">
        <v>44713</v>
      </c>
      <c r="J1004" s="64">
        <f>EFEITO!$J$1004*EFEITO!$Y$1004</f>
        <v>0</v>
      </c>
      <c r="K1004" s="64">
        <f ca="1">EFEITO!$L$1004*EFEITO!$Z$1004</f>
        <v>611368.91464759537</v>
      </c>
      <c r="L1004" s="64">
        <f>EFEITO!$N$1004*EFEITO!$AA$1004</f>
        <v>1819457.4164961956</v>
      </c>
      <c r="M1004" s="64">
        <f>$J$1004-EFEITO!$K$1004*EFEITO!$Y$1004</f>
        <v>0</v>
      </c>
      <c r="N1004" s="64">
        <f ca="1">$K$1004-EFEITO!$M$1004*EFEITO!$Z$1004</f>
        <v>0</v>
      </c>
      <c r="O1004" s="64">
        <f>$L$1004-EFEITO!$O$1004*EFEITO!$AA$1004</f>
        <v>0</v>
      </c>
      <c r="P1004" s="19"/>
      <c r="Q1004" s="19"/>
      <c r="R1004" s="19"/>
      <c r="S1004" s="19"/>
      <c r="T1004" s="19"/>
      <c r="U1004" s="19"/>
      <c r="V1004" s="19"/>
      <c r="W1004" s="19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 spans="1:36" ht="11.25" customHeight="1" x14ac:dyDescent="0.2">
      <c r="A1005" s="55" t="s">
        <v>27</v>
      </c>
      <c r="B1005" s="55" t="s">
        <v>41</v>
      </c>
      <c r="C1005" s="55" t="s">
        <v>42</v>
      </c>
      <c r="D1005" s="55" t="s">
        <v>38</v>
      </c>
      <c r="E1005" s="55" t="s">
        <v>25</v>
      </c>
      <c r="F1005" s="55" t="s">
        <v>25</v>
      </c>
      <c r="G1005" s="55" t="s">
        <v>25</v>
      </c>
      <c r="H1005" s="55" t="s">
        <v>35</v>
      </c>
      <c r="I1005" s="63">
        <v>44713</v>
      </c>
      <c r="J1005" s="64">
        <f>EFEITO!$J$1005*EFEITO!$Y$1005</f>
        <v>0</v>
      </c>
      <c r="K1005" s="64">
        <f ca="1">EFEITO!$L$1005*EFEITO!$Z$1005</f>
        <v>-1307.1520499156411</v>
      </c>
      <c r="L1005" s="64">
        <f>EFEITO!$N$1005*EFEITO!$AA$1005</f>
        <v>-3890.1348019601551</v>
      </c>
      <c r="M1005" s="64">
        <f>$J$1005-EFEITO!$K$1005*EFEITO!$Y$1005</f>
        <v>0</v>
      </c>
      <c r="N1005" s="64">
        <f ca="1">$K$1005-EFEITO!$M$1005*EFEITO!$Z$1005</f>
        <v>0</v>
      </c>
      <c r="O1005" s="64">
        <f>$L$1005-EFEITO!$O$1005*EFEITO!$AA$1005</f>
        <v>0</v>
      </c>
      <c r="P1005" s="19"/>
      <c r="Q1005" s="19"/>
      <c r="R1005" s="19"/>
      <c r="S1005" s="19"/>
      <c r="T1005" s="19"/>
      <c r="U1005" s="19"/>
      <c r="V1005" s="19"/>
      <c r="W1005" s="19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</row>
    <row r="1006" spans="1:36" ht="11.25" customHeight="1" x14ac:dyDescent="0.2">
      <c r="A1006" s="55" t="s">
        <v>28</v>
      </c>
      <c r="B1006" s="55" t="s">
        <v>41</v>
      </c>
      <c r="C1006" s="55" t="s">
        <v>42</v>
      </c>
      <c r="D1006" s="55" t="s">
        <v>38</v>
      </c>
      <c r="E1006" s="55" t="s">
        <v>25</v>
      </c>
      <c r="F1006" s="55" t="s">
        <v>25</v>
      </c>
      <c r="G1006" s="55" t="s">
        <v>25</v>
      </c>
      <c r="H1006" s="55" t="s">
        <v>35</v>
      </c>
      <c r="I1006" s="63">
        <v>44713</v>
      </c>
      <c r="J1006" s="64">
        <f>EFEITO!$J$1006*EFEITO!$Y$1006</f>
        <v>0</v>
      </c>
      <c r="K1006" s="64">
        <f ca="1">EFEITO!$L$1006*EFEITO!$Z$1006</f>
        <v>58519.760458797071</v>
      </c>
      <c r="L1006" s="64">
        <f>EFEITO!$N$1006*EFEITO!$AA$1006</f>
        <v>174157.05906426875</v>
      </c>
      <c r="M1006" s="64">
        <f>$J$1006-EFEITO!$K$1006*EFEITO!$Y$1006</f>
        <v>0</v>
      </c>
      <c r="N1006" s="64">
        <f ca="1">$K$1006-EFEITO!$M$1006*EFEITO!$Z$1006</f>
        <v>0</v>
      </c>
      <c r="O1006" s="64">
        <f>$L$1006-EFEITO!$O$1006*EFEITO!$AA$1006</f>
        <v>0</v>
      </c>
      <c r="P1006" s="19"/>
      <c r="Q1006" s="19"/>
      <c r="R1006" s="19"/>
      <c r="S1006" s="19"/>
      <c r="T1006" s="19"/>
      <c r="U1006" s="19"/>
      <c r="V1006" s="19"/>
      <c r="W1006" s="19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</row>
    <row r="1007" spans="1:36" ht="11.25" customHeight="1" x14ac:dyDescent="0.2">
      <c r="A1007" s="55" t="s">
        <v>57</v>
      </c>
      <c r="B1007" s="55" t="s">
        <v>41</v>
      </c>
      <c r="C1007" s="55" t="s">
        <v>42</v>
      </c>
      <c r="D1007" s="55" t="s">
        <v>38</v>
      </c>
      <c r="E1007" s="55" t="s">
        <v>25</v>
      </c>
      <c r="F1007" s="55" t="s">
        <v>25</v>
      </c>
      <c r="G1007" s="55" t="s">
        <v>25</v>
      </c>
      <c r="H1007" s="55" t="s">
        <v>35</v>
      </c>
      <c r="I1007" s="63">
        <v>44743</v>
      </c>
      <c r="J1007" s="64">
        <f>EFEITO!$J$1007*EFEITO!$Y$1007</f>
        <v>0</v>
      </c>
      <c r="K1007" s="64">
        <f ca="1">EFEITO!$L$1007*EFEITO!$Z$1007</f>
        <v>611368.91464759537</v>
      </c>
      <c r="L1007" s="64">
        <f>EFEITO!$N$1007*EFEITO!$AA$1007</f>
        <v>1819457.4164961956</v>
      </c>
      <c r="M1007" s="64">
        <f>$J$1007-EFEITO!$K$1007*EFEITO!$Y$1007</f>
        <v>0</v>
      </c>
      <c r="N1007" s="64">
        <f ca="1">$K$1007-EFEITO!$M$1007*EFEITO!$Z$1007</f>
        <v>0</v>
      </c>
      <c r="O1007" s="64">
        <f>$L$1007-EFEITO!$O$1007*EFEITO!$AA$1007</f>
        <v>0</v>
      </c>
      <c r="P1007" s="19"/>
      <c r="Q1007" s="19"/>
      <c r="R1007" s="19"/>
      <c r="S1007" s="19"/>
      <c r="T1007" s="19"/>
      <c r="U1007" s="19"/>
      <c r="V1007" s="19"/>
      <c r="W1007" s="19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</row>
    <row r="1008" spans="1:36" ht="11.25" customHeight="1" x14ac:dyDescent="0.2">
      <c r="A1008" s="55" t="s">
        <v>57</v>
      </c>
      <c r="B1008" s="55" t="s">
        <v>41</v>
      </c>
      <c r="C1008" s="55" t="s">
        <v>42</v>
      </c>
      <c r="D1008" s="55" t="s">
        <v>38</v>
      </c>
      <c r="E1008" s="55" t="s">
        <v>25</v>
      </c>
      <c r="F1008" s="55" t="s">
        <v>25</v>
      </c>
      <c r="G1008" s="55" t="s">
        <v>25</v>
      </c>
      <c r="H1008" s="55" t="s">
        <v>35</v>
      </c>
      <c r="I1008" s="63">
        <v>44743</v>
      </c>
      <c r="J1008" s="64">
        <f>EFEITO!$J$1008*EFEITO!$Y$1008</f>
        <v>0</v>
      </c>
      <c r="K1008" s="64">
        <f ca="1">EFEITO!$L$1008*EFEITO!$Z$1008</f>
        <v>-1307.1520499156411</v>
      </c>
      <c r="L1008" s="64">
        <f>EFEITO!$N$1008*EFEITO!$AA$1008</f>
        <v>-3890.1348019601551</v>
      </c>
      <c r="M1008" s="64">
        <f>$J$1008-EFEITO!$K$1008*EFEITO!$Y$1008</f>
        <v>0</v>
      </c>
      <c r="N1008" s="64">
        <f ca="1">$K$1008-EFEITO!$M$1008*EFEITO!$Z$1008</f>
        <v>0</v>
      </c>
      <c r="O1008" s="64">
        <f>$L$1008-EFEITO!$O$1008*EFEITO!$AA$1008</f>
        <v>0</v>
      </c>
      <c r="P1008" s="19"/>
      <c r="Q1008" s="19"/>
      <c r="R1008" s="19"/>
      <c r="S1008" s="19"/>
      <c r="T1008" s="19"/>
      <c r="U1008" s="19"/>
      <c r="V1008" s="19"/>
      <c r="W1008" s="19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</row>
    <row r="1009" spans="1:36" ht="11.25" customHeight="1" x14ac:dyDescent="0.2">
      <c r="A1009" s="55" t="s">
        <v>57</v>
      </c>
      <c r="B1009" s="55" t="s">
        <v>41</v>
      </c>
      <c r="C1009" s="55" t="s">
        <v>42</v>
      </c>
      <c r="D1009" s="55" t="s">
        <v>38</v>
      </c>
      <c r="E1009" s="55" t="s">
        <v>25</v>
      </c>
      <c r="F1009" s="55" t="s">
        <v>25</v>
      </c>
      <c r="G1009" s="55" t="s">
        <v>25</v>
      </c>
      <c r="H1009" s="55" t="s">
        <v>35</v>
      </c>
      <c r="I1009" s="63">
        <v>44743</v>
      </c>
      <c r="J1009" s="64">
        <f>EFEITO!$J$1009*EFEITO!$Y$1009</f>
        <v>0</v>
      </c>
      <c r="K1009" s="64">
        <f ca="1">EFEITO!$L$1009*EFEITO!$Z$1009</f>
        <v>58519.760458797071</v>
      </c>
      <c r="L1009" s="64">
        <f>EFEITO!$N$1009*EFEITO!$AA$1009</f>
        <v>174157.05906426875</v>
      </c>
      <c r="M1009" s="64">
        <f>$J$1009-EFEITO!$K$1009*EFEITO!$Y$1009</f>
        <v>0</v>
      </c>
      <c r="N1009" s="64">
        <f ca="1">$K$1009-EFEITO!$M$1009*EFEITO!$Z$1009</f>
        <v>0</v>
      </c>
      <c r="O1009" s="64">
        <f>$L$1009-EFEITO!$O$1009*EFEITO!$AA$1009</f>
        <v>0</v>
      </c>
      <c r="P1009" s="19"/>
      <c r="Q1009" s="19"/>
      <c r="R1009" s="19"/>
      <c r="S1009" s="19"/>
      <c r="T1009" s="19"/>
      <c r="U1009" s="19"/>
      <c r="V1009" s="19"/>
      <c r="W1009" s="19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</row>
    <row r="1010" spans="1:36" ht="11.25" customHeight="1" x14ac:dyDescent="0.2">
      <c r="A1010" s="55" t="s">
        <v>21</v>
      </c>
      <c r="B1010" s="55" t="s">
        <v>41</v>
      </c>
      <c r="C1010" s="55" t="s">
        <v>42</v>
      </c>
      <c r="D1010" s="55" t="s">
        <v>38</v>
      </c>
      <c r="E1010" s="55" t="s">
        <v>25</v>
      </c>
      <c r="F1010" s="55" t="s">
        <v>25</v>
      </c>
      <c r="G1010" s="55" t="s">
        <v>25</v>
      </c>
      <c r="H1010" s="55" t="s">
        <v>25</v>
      </c>
      <c r="I1010" s="63">
        <v>44409</v>
      </c>
      <c r="J1010" s="64">
        <f ca="1">EFEITO!$J$1010*EFEITO!$Y$1010</f>
        <v>1201450.2703421519</v>
      </c>
      <c r="K1010" s="64">
        <f>EFEITO!$L$1010*EFEITO!$Z$1010</f>
        <v>0</v>
      </c>
      <c r="L1010" s="64">
        <f>EFEITO!$N$1010*EFEITO!$AA$1010</f>
        <v>0</v>
      </c>
      <c r="M1010" s="64">
        <f ca="1">$J$1010-EFEITO!$K$1010*EFEITO!$Y$1010</f>
        <v>0</v>
      </c>
      <c r="N1010" s="64">
        <f>$K$1010-EFEITO!$M$1010*EFEITO!$Z$1010</f>
        <v>0</v>
      </c>
      <c r="O1010" s="64">
        <f>$L$1010-EFEITO!$O$1010*EFEITO!$AA$1010</f>
        <v>0</v>
      </c>
      <c r="P1010" s="19"/>
      <c r="Q1010" s="19"/>
      <c r="R1010" s="19"/>
      <c r="S1010" s="19"/>
      <c r="T1010" s="19"/>
      <c r="U1010" s="19"/>
      <c r="V1010" s="19"/>
      <c r="W1010" s="19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</row>
    <row r="1011" spans="1:36" ht="11.25" customHeight="1" x14ac:dyDescent="0.2">
      <c r="A1011" s="55" t="s">
        <v>27</v>
      </c>
      <c r="B1011" s="55" t="s">
        <v>41</v>
      </c>
      <c r="C1011" s="55" t="s">
        <v>42</v>
      </c>
      <c r="D1011" s="55" t="s">
        <v>38</v>
      </c>
      <c r="E1011" s="55" t="s">
        <v>25</v>
      </c>
      <c r="F1011" s="55" t="s">
        <v>25</v>
      </c>
      <c r="G1011" s="55" t="s">
        <v>25</v>
      </c>
      <c r="H1011" s="55" t="s">
        <v>25</v>
      </c>
      <c r="I1011" s="63">
        <v>44409</v>
      </c>
      <c r="J1011" s="64">
        <f ca="1">EFEITO!$J$1011*EFEITO!$Y$1011</f>
        <v>-1787.0511709706745</v>
      </c>
      <c r="K1011" s="64">
        <f>EFEITO!$L$1011*EFEITO!$Z$1011</f>
        <v>0</v>
      </c>
      <c r="L1011" s="64">
        <f>EFEITO!$N$1011*EFEITO!$AA$1011</f>
        <v>0</v>
      </c>
      <c r="M1011" s="64">
        <f ca="1">$J$1011-EFEITO!$K$1011*EFEITO!$Y$1011</f>
        <v>0</v>
      </c>
      <c r="N1011" s="64">
        <f>$K$1011-EFEITO!$M$1011*EFEITO!$Z$1011</f>
        <v>0</v>
      </c>
      <c r="O1011" s="64">
        <f>$L$1011-EFEITO!$O$1011*EFEITO!$AA$1011</f>
        <v>0</v>
      </c>
      <c r="P1011" s="19"/>
      <c r="Q1011" s="19"/>
      <c r="R1011" s="19"/>
      <c r="S1011" s="19"/>
      <c r="T1011" s="19"/>
      <c r="U1011" s="19"/>
      <c r="V1011" s="19"/>
      <c r="W1011" s="19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</row>
    <row r="1012" spans="1:36" ht="11.25" customHeight="1" x14ac:dyDescent="0.2">
      <c r="A1012" s="55" t="s">
        <v>28</v>
      </c>
      <c r="B1012" s="55" t="s">
        <v>41</v>
      </c>
      <c r="C1012" s="55" t="s">
        <v>42</v>
      </c>
      <c r="D1012" s="55" t="s">
        <v>38</v>
      </c>
      <c r="E1012" s="55" t="s">
        <v>25</v>
      </c>
      <c r="F1012" s="55" t="s">
        <v>25</v>
      </c>
      <c r="G1012" s="55" t="s">
        <v>25</v>
      </c>
      <c r="H1012" s="55" t="s">
        <v>25</v>
      </c>
      <c r="I1012" s="63">
        <v>44409</v>
      </c>
      <c r="J1012" s="64">
        <f ca="1">EFEITO!$J$1012*EFEITO!$Y$1012</f>
        <v>212370.00753844148</v>
      </c>
      <c r="K1012" s="64">
        <f>EFEITO!$L$1012*EFEITO!$Z$1012</f>
        <v>0</v>
      </c>
      <c r="L1012" s="64">
        <f>EFEITO!$N$1012*EFEITO!$AA$1012</f>
        <v>0</v>
      </c>
      <c r="M1012" s="64">
        <f ca="1">$J$1012-EFEITO!$K$1012*EFEITO!$Y$1012</f>
        <v>0</v>
      </c>
      <c r="N1012" s="64">
        <f>$K$1012-EFEITO!$M$1012*EFEITO!$Z$1012</f>
        <v>0</v>
      </c>
      <c r="O1012" s="64">
        <f>$L$1012-EFEITO!$O$1012*EFEITO!$AA$1012</f>
        <v>0</v>
      </c>
      <c r="P1012" s="19"/>
      <c r="Q1012" s="19"/>
      <c r="R1012" s="19"/>
      <c r="S1012" s="19"/>
      <c r="T1012" s="19"/>
      <c r="U1012" s="19"/>
      <c r="V1012" s="19"/>
      <c r="W1012" s="19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</row>
    <row r="1013" spans="1:36" ht="11.25" customHeight="1" x14ac:dyDescent="0.2">
      <c r="A1013" s="55" t="s">
        <v>21</v>
      </c>
      <c r="B1013" s="55" t="s">
        <v>41</v>
      </c>
      <c r="C1013" s="55" t="s">
        <v>42</v>
      </c>
      <c r="D1013" s="55" t="s">
        <v>38</v>
      </c>
      <c r="E1013" s="55" t="s">
        <v>25</v>
      </c>
      <c r="F1013" s="55" t="s">
        <v>25</v>
      </c>
      <c r="G1013" s="55" t="s">
        <v>25</v>
      </c>
      <c r="H1013" s="55" t="s">
        <v>25</v>
      </c>
      <c r="I1013" s="63">
        <v>44409</v>
      </c>
      <c r="J1013" s="64">
        <f ca="1">EFEITO!$J$1013*EFEITO!$Y$1013</f>
        <v>91980.574976431773</v>
      </c>
      <c r="K1013" s="64">
        <f>EFEITO!$L$1013*EFEITO!$Z$1013</f>
        <v>0</v>
      </c>
      <c r="L1013" s="64">
        <f>EFEITO!$N$1013*EFEITO!$AA$1013</f>
        <v>0</v>
      </c>
      <c r="M1013" s="64">
        <f ca="1">$J$1013-EFEITO!$K$1013*EFEITO!$Y$1013</f>
        <v>0</v>
      </c>
      <c r="N1013" s="64">
        <f>$K$1013-EFEITO!$M$1013*EFEITO!$Z$1013</f>
        <v>0</v>
      </c>
      <c r="O1013" s="64">
        <f>$L$1013-EFEITO!$O$1013*EFEITO!$AA$1013</f>
        <v>0</v>
      </c>
      <c r="P1013" s="19"/>
      <c r="Q1013" s="19"/>
      <c r="R1013" s="19"/>
      <c r="S1013" s="19"/>
      <c r="T1013" s="19"/>
      <c r="U1013" s="19"/>
      <c r="V1013" s="19"/>
      <c r="W1013" s="19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</row>
    <row r="1014" spans="1:36" ht="11.25" customHeight="1" x14ac:dyDescent="0.2">
      <c r="A1014" s="55" t="s">
        <v>21</v>
      </c>
      <c r="B1014" s="55" t="s">
        <v>41</v>
      </c>
      <c r="C1014" s="55" t="s">
        <v>42</v>
      </c>
      <c r="D1014" s="55" t="s">
        <v>38</v>
      </c>
      <c r="E1014" s="55" t="s">
        <v>25</v>
      </c>
      <c r="F1014" s="55" t="s">
        <v>25</v>
      </c>
      <c r="G1014" s="55" t="s">
        <v>25</v>
      </c>
      <c r="H1014" s="55" t="s">
        <v>25</v>
      </c>
      <c r="I1014" s="63">
        <v>44440</v>
      </c>
      <c r="J1014" s="64">
        <f ca="1">EFEITO!$J$1014*EFEITO!$Y$1014</f>
        <v>1237795.737539982</v>
      </c>
      <c r="K1014" s="64">
        <f>EFEITO!$L$1014*EFEITO!$Z$1014</f>
        <v>0</v>
      </c>
      <c r="L1014" s="64">
        <f>EFEITO!$N$1014*EFEITO!$AA$1014</f>
        <v>0</v>
      </c>
      <c r="M1014" s="64">
        <f ca="1">$J$1014-EFEITO!$K$1014*EFEITO!$Y$1014</f>
        <v>0</v>
      </c>
      <c r="N1014" s="64">
        <f>$K$1014-EFEITO!$M$1014*EFEITO!$Z$1014</f>
        <v>0</v>
      </c>
      <c r="O1014" s="64">
        <f>$L$1014-EFEITO!$O$1014*EFEITO!$AA$1014</f>
        <v>0</v>
      </c>
      <c r="P1014" s="19"/>
      <c r="Q1014" s="19"/>
      <c r="R1014" s="19"/>
      <c r="S1014" s="19"/>
      <c r="T1014" s="19"/>
      <c r="U1014" s="19"/>
      <c r="V1014" s="19"/>
      <c r="W1014" s="19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</row>
    <row r="1015" spans="1:36" ht="11.25" customHeight="1" x14ac:dyDescent="0.2">
      <c r="A1015" s="55" t="s">
        <v>28</v>
      </c>
      <c r="B1015" s="55" t="s">
        <v>41</v>
      </c>
      <c r="C1015" s="55" t="s">
        <v>42</v>
      </c>
      <c r="D1015" s="55" t="s">
        <v>38</v>
      </c>
      <c r="E1015" s="55" t="s">
        <v>25</v>
      </c>
      <c r="F1015" s="55" t="s">
        <v>25</v>
      </c>
      <c r="G1015" s="55" t="s">
        <v>25</v>
      </c>
      <c r="H1015" s="55" t="s">
        <v>25</v>
      </c>
      <c r="I1015" s="63">
        <v>44440</v>
      </c>
      <c r="J1015" s="64">
        <f ca="1">EFEITO!$J$1015*EFEITO!$Y$1015</f>
        <v>214603.82150215481</v>
      </c>
      <c r="K1015" s="64">
        <f>EFEITO!$L$1015*EFEITO!$Z$1015</f>
        <v>0</v>
      </c>
      <c r="L1015" s="64">
        <f>EFEITO!$N$1015*EFEITO!$AA$1015</f>
        <v>0</v>
      </c>
      <c r="M1015" s="64">
        <f ca="1">$J$1015-EFEITO!$K$1015*EFEITO!$Y$1015</f>
        <v>0</v>
      </c>
      <c r="N1015" s="64">
        <f>$K$1015-EFEITO!$M$1015*EFEITO!$Z$1015</f>
        <v>0</v>
      </c>
      <c r="O1015" s="64">
        <f>$L$1015-EFEITO!$O$1015*EFEITO!$AA$1015</f>
        <v>0</v>
      </c>
      <c r="P1015" s="19"/>
      <c r="Q1015" s="19"/>
      <c r="R1015" s="19"/>
      <c r="S1015" s="19"/>
      <c r="T1015" s="19"/>
      <c r="U1015" s="19"/>
      <c r="V1015" s="19"/>
      <c r="W1015" s="19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</row>
    <row r="1016" spans="1:36" ht="11.25" customHeight="1" x14ac:dyDescent="0.2">
      <c r="A1016" s="55" t="s">
        <v>21</v>
      </c>
      <c r="B1016" s="55" t="s">
        <v>41</v>
      </c>
      <c r="C1016" s="55" t="s">
        <v>42</v>
      </c>
      <c r="D1016" s="55" t="s">
        <v>38</v>
      </c>
      <c r="E1016" s="55" t="s">
        <v>25</v>
      </c>
      <c r="F1016" s="55" t="s">
        <v>25</v>
      </c>
      <c r="G1016" s="55" t="s">
        <v>25</v>
      </c>
      <c r="H1016" s="55" t="s">
        <v>25</v>
      </c>
      <c r="I1016" s="63">
        <v>44440</v>
      </c>
      <c r="J1016" s="64">
        <f ca="1">EFEITO!$J$1016*EFEITO!$Y$1016</f>
        <v>91980.574976431773</v>
      </c>
      <c r="K1016" s="64">
        <f>EFEITO!$L$1016*EFEITO!$Z$1016</f>
        <v>0</v>
      </c>
      <c r="L1016" s="64">
        <f>EFEITO!$N$1016*EFEITO!$AA$1016</f>
        <v>0</v>
      </c>
      <c r="M1016" s="64">
        <f ca="1">$J$1016-EFEITO!$K$1016*EFEITO!$Y$1016</f>
        <v>0</v>
      </c>
      <c r="N1016" s="64">
        <f>$K$1016-EFEITO!$M$1016*EFEITO!$Z$1016</f>
        <v>0</v>
      </c>
      <c r="O1016" s="64">
        <f>$L$1016-EFEITO!$O$1016*EFEITO!$AA$1016</f>
        <v>0</v>
      </c>
      <c r="P1016" s="19"/>
      <c r="Q1016" s="19"/>
      <c r="R1016" s="19"/>
      <c r="S1016" s="19"/>
      <c r="T1016" s="19"/>
      <c r="U1016" s="19"/>
      <c r="V1016" s="19"/>
      <c r="W1016" s="19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</row>
    <row r="1017" spans="1:36" ht="11.25" customHeight="1" x14ac:dyDescent="0.2">
      <c r="A1017" s="55" t="s">
        <v>21</v>
      </c>
      <c r="B1017" s="55" t="s">
        <v>41</v>
      </c>
      <c r="C1017" s="55" t="s">
        <v>42</v>
      </c>
      <c r="D1017" s="55" t="s">
        <v>38</v>
      </c>
      <c r="E1017" s="55" t="s">
        <v>25</v>
      </c>
      <c r="F1017" s="55" t="s">
        <v>25</v>
      </c>
      <c r="G1017" s="55" t="s">
        <v>25</v>
      </c>
      <c r="H1017" s="55" t="s">
        <v>25</v>
      </c>
      <c r="I1017" s="63">
        <v>44470</v>
      </c>
      <c r="J1017" s="64">
        <f ca="1">EFEITO!$J$1017*EFEITO!$Y$1017</f>
        <v>1271670.8692955878</v>
      </c>
      <c r="K1017" s="64">
        <f>EFEITO!$L$1017*EFEITO!$Z$1017</f>
        <v>0</v>
      </c>
      <c r="L1017" s="64">
        <f>EFEITO!$N$1017*EFEITO!$AA$1017</f>
        <v>0</v>
      </c>
      <c r="M1017" s="64">
        <f ca="1">$J$1017-EFEITO!$K$1017*EFEITO!$Y$1017</f>
        <v>0</v>
      </c>
      <c r="N1017" s="64">
        <f>$K$1017-EFEITO!$M$1017*EFEITO!$Z$1017</f>
        <v>0</v>
      </c>
      <c r="O1017" s="64">
        <f>$L$1017-EFEITO!$O$1017*EFEITO!$AA$1017</f>
        <v>0</v>
      </c>
      <c r="P1017" s="19"/>
      <c r="Q1017" s="19"/>
      <c r="R1017" s="19"/>
      <c r="S1017" s="19"/>
      <c r="T1017" s="19"/>
      <c r="U1017" s="19"/>
      <c r="V1017" s="19"/>
      <c r="W1017" s="19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</row>
    <row r="1018" spans="1:36" ht="11.25" customHeight="1" x14ac:dyDescent="0.2">
      <c r="A1018" s="55" t="s">
        <v>28</v>
      </c>
      <c r="B1018" s="55" t="s">
        <v>41</v>
      </c>
      <c r="C1018" s="55" t="s">
        <v>42</v>
      </c>
      <c r="D1018" s="55" t="s">
        <v>38</v>
      </c>
      <c r="E1018" s="55" t="s">
        <v>25</v>
      </c>
      <c r="F1018" s="55" t="s">
        <v>25</v>
      </c>
      <c r="G1018" s="55" t="s">
        <v>25</v>
      </c>
      <c r="H1018" s="55" t="s">
        <v>25</v>
      </c>
      <c r="I1018" s="63">
        <v>44470</v>
      </c>
      <c r="J1018" s="64">
        <f ca="1">EFEITO!$J$1018*EFEITO!$Y$1018</f>
        <v>217100.43710865796</v>
      </c>
      <c r="K1018" s="64">
        <f>EFEITO!$L$1018*EFEITO!$Z$1018</f>
        <v>0</v>
      </c>
      <c r="L1018" s="64">
        <f>EFEITO!$N$1018*EFEITO!$AA$1018</f>
        <v>0</v>
      </c>
      <c r="M1018" s="64">
        <f ca="1">$J$1018-EFEITO!$K$1018*EFEITO!$Y$1018</f>
        <v>0</v>
      </c>
      <c r="N1018" s="64">
        <f>$K$1018-EFEITO!$M$1018*EFEITO!$Z$1018</f>
        <v>0</v>
      </c>
      <c r="O1018" s="64">
        <f>$L$1018-EFEITO!$O$1018*EFEITO!$AA$1018</f>
        <v>0</v>
      </c>
      <c r="P1018" s="19"/>
      <c r="Q1018" s="19"/>
      <c r="R1018" s="19"/>
      <c r="S1018" s="19"/>
      <c r="T1018" s="19"/>
      <c r="U1018" s="19"/>
      <c r="V1018" s="19"/>
      <c r="W1018" s="19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</row>
    <row r="1019" spans="1:36" ht="11.25" customHeight="1" x14ac:dyDescent="0.2">
      <c r="A1019" s="55" t="s">
        <v>28</v>
      </c>
      <c r="B1019" s="55" t="s">
        <v>41</v>
      </c>
      <c r="C1019" s="55" t="s">
        <v>42</v>
      </c>
      <c r="D1019" s="55" t="s">
        <v>38</v>
      </c>
      <c r="E1019" s="55" t="s">
        <v>25</v>
      </c>
      <c r="F1019" s="55" t="s">
        <v>25</v>
      </c>
      <c r="G1019" s="55" t="s">
        <v>25</v>
      </c>
      <c r="H1019" s="55" t="s">
        <v>25</v>
      </c>
      <c r="I1019" s="63">
        <v>44470</v>
      </c>
      <c r="J1019" s="64">
        <f ca="1">EFEITO!$J$1019*EFEITO!$Y$1019</f>
        <v>-2628.0164278980506</v>
      </c>
      <c r="K1019" s="64">
        <f>EFEITO!$L$1019*EFEITO!$Z$1019</f>
        <v>0</v>
      </c>
      <c r="L1019" s="64">
        <f>EFEITO!$N$1019*EFEITO!$AA$1019</f>
        <v>0</v>
      </c>
      <c r="M1019" s="64">
        <f ca="1">$J$1019-EFEITO!$K$1019*EFEITO!$Y$1019</f>
        <v>0</v>
      </c>
      <c r="N1019" s="64">
        <f>$K$1019-EFEITO!$M$1019*EFEITO!$Z$1019</f>
        <v>0</v>
      </c>
      <c r="O1019" s="64">
        <f>$L$1019-EFEITO!$O$1019*EFEITO!$AA$1019</f>
        <v>0</v>
      </c>
      <c r="P1019" s="19"/>
      <c r="Q1019" s="19"/>
      <c r="R1019" s="19"/>
      <c r="S1019" s="19"/>
      <c r="T1019" s="19"/>
      <c r="U1019" s="19"/>
      <c r="V1019" s="19"/>
      <c r="W1019" s="19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</row>
    <row r="1020" spans="1:36" ht="11.25" customHeight="1" x14ac:dyDescent="0.2">
      <c r="A1020" s="55" t="s">
        <v>21</v>
      </c>
      <c r="B1020" s="55" t="s">
        <v>41</v>
      </c>
      <c r="C1020" s="55" t="s">
        <v>42</v>
      </c>
      <c r="D1020" s="55" t="s">
        <v>38</v>
      </c>
      <c r="E1020" s="55" t="s">
        <v>25</v>
      </c>
      <c r="F1020" s="55" t="s">
        <v>25</v>
      </c>
      <c r="G1020" s="55" t="s">
        <v>25</v>
      </c>
      <c r="H1020" s="55" t="s">
        <v>25</v>
      </c>
      <c r="I1020" s="63">
        <v>44470</v>
      </c>
      <c r="J1020" s="64">
        <f ca="1">EFEITO!$J$1020*EFEITO!$Y$1020</f>
        <v>91980.574976431773</v>
      </c>
      <c r="K1020" s="64">
        <f>EFEITO!$L$1020*EFEITO!$Z$1020</f>
        <v>0</v>
      </c>
      <c r="L1020" s="64">
        <f>EFEITO!$N$1020*EFEITO!$AA$1020</f>
        <v>0</v>
      </c>
      <c r="M1020" s="64">
        <f ca="1">$J$1020-EFEITO!$K$1020*EFEITO!$Y$1020</f>
        <v>0</v>
      </c>
      <c r="N1020" s="64">
        <f>$K$1020-EFEITO!$M$1020*EFEITO!$Z$1020</f>
        <v>0</v>
      </c>
      <c r="O1020" s="64">
        <f>$L$1020-EFEITO!$O$1020*EFEITO!$AA$1020</f>
        <v>0</v>
      </c>
      <c r="P1020" s="19"/>
      <c r="Q1020" s="19"/>
      <c r="R1020" s="19"/>
      <c r="S1020" s="19"/>
      <c r="T1020" s="19"/>
      <c r="U1020" s="19"/>
      <c r="V1020" s="19"/>
      <c r="W1020" s="19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</row>
    <row r="1021" spans="1:36" ht="11.25" customHeight="1" x14ac:dyDescent="0.2">
      <c r="A1021" s="55" t="s">
        <v>21</v>
      </c>
      <c r="B1021" s="55" t="s">
        <v>41</v>
      </c>
      <c r="C1021" s="55" t="s">
        <v>42</v>
      </c>
      <c r="D1021" s="55" t="s">
        <v>38</v>
      </c>
      <c r="E1021" s="55" t="s">
        <v>25</v>
      </c>
      <c r="F1021" s="55" t="s">
        <v>25</v>
      </c>
      <c r="G1021" s="55" t="s">
        <v>25</v>
      </c>
      <c r="H1021" s="55" t="s">
        <v>25</v>
      </c>
      <c r="I1021" s="63">
        <v>44501</v>
      </c>
      <c r="J1021" s="64">
        <f ca="1">EFEITO!$J$1021*EFEITO!$Y$1021</f>
        <v>1263445.1778762669</v>
      </c>
      <c r="K1021" s="64">
        <f>EFEITO!$L$1021*EFEITO!$Z$1021</f>
        <v>0</v>
      </c>
      <c r="L1021" s="64">
        <f>EFEITO!$N$1021*EFEITO!$AA$1021</f>
        <v>0</v>
      </c>
      <c r="M1021" s="64">
        <f ca="1">$J$1021-EFEITO!$K$1021*EFEITO!$Y$1021</f>
        <v>0</v>
      </c>
      <c r="N1021" s="64">
        <f>$K$1021-EFEITO!$M$1021*EFEITO!$Z$1021</f>
        <v>0</v>
      </c>
      <c r="O1021" s="64">
        <f>$L$1021-EFEITO!$O$1021*EFEITO!$AA$1021</f>
        <v>0</v>
      </c>
      <c r="P1021" s="19"/>
      <c r="Q1021" s="19"/>
      <c r="R1021" s="19"/>
      <c r="S1021" s="19"/>
      <c r="T1021" s="19"/>
      <c r="U1021" s="19"/>
      <c r="V1021" s="19"/>
      <c r="W1021" s="19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</row>
    <row r="1022" spans="1:36" ht="11.25" customHeight="1" x14ac:dyDescent="0.2">
      <c r="A1022" s="55" t="s">
        <v>27</v>
      </c>
      <c r="B1022" s="55" t="s">
        <v>41</v>
      </c>
      <c r="C1022" s="55" t="s">
        <v>42</v>
      </c>
      <c r="D1022" s="55" t="s">
        <v>38</v>
      </c>
      <c r="E1022" s="55" t="s">
        <v>25</v>
      </c>
      <c r="F1022" s="55" t="s">
        <v>25</v>
      </c>
      <c r="G1022" s="55" t="s">
        <v>25</v>
      </c>
      <c r="H1022" s="55" t="s">
        <v>25</v>
      </c>
      <c r="I1022" s="63">
        <v>44501</v>
      </c>
      <c r="J1022" s="64">
        <f ca="1">EFEITO!$J$1022*EFEITO!$Y$1022</f>
        <v>1182.6073925541227</v>
      </c>
      <c r="K1022" s="64">
        <f>EFEITO!$L$1022*EFEITO!$Z$1022</f>
        <v>0</v>
      </c>
      <c r="L1022" s="64">
        <f>EFEITO!$N$1022*EFEITO!$AA$1022</f>
        <v>0</v>
      </c>
      <c r="M1022" s="64">
        <f ca="1">$J$1022-EFEITO!$K$1022*EFEITO!$Y$1022</f>
        <v>0</v>
      </c>
      <c r="N1022" s="64">
        <f>$K$1022-EFEITO!$M$1022*EFEITO!$Z$1022</f>
        <v>0</v>
      </c>
      <c r="O1022" s="64">
        <f>$L$1022-EFEITO!$O$1022*EFEITO!$AA$1022</f>
        <v>0</v>
      </c>
      <c r="P1022" s="19"/>
      <c r="Q1022" s="19"/>
      <c r="R1022" s="19"/>
      <c r="S1022" s="19"/>
      <c r="T1022" s="19"/>
      <c r="U1022" s="19"/>
      <c r="V1022" s="19"/>
      <c r="W1022" s="19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</row>
    <row r="1023" spans="1:36" ht="11.25" customHeight="1" x14ac:dyDescent="0.2">
      <c r="A1023" s="55" t="s">
        <v>28</v>
      </c>
      <c r="B1023" s="55" t="s">
        <v>41</v>
      </c>
      <c r="C1023" s="55" t="s">
        <v>42</v>
      </c>
      <c r="D1023" s="55" t="s">
        <v>38</v>
      </c>
      <c r="E1023" s="55" t="s">
        <v>25</v>
      </c>
      <c r="F1023" s="55" t="s">
        <v>25</v>
      </c>
      <c r="G1023" s="55" t="s">
        <v>25</v>
      </c>
      <c r="H1023" s="55" t="s">
        <v>25</v>
      </c>
      <c r="I1023" s="63">
        <v>44501</v>
      </c>
      <c r="J1023" s="64">
        <f ca="1">EFEITO!$J$1023*EFEITO!$Y$1023</f>
        <v>220411.73780780952</v>
      </c>
      <c r="K1023" s="64">
        <f>EFEITO!$L$1023*EFEITO!$Z$1023</f>
        <v>0</v>
      </c>
      <c r="L1023" s="64">
        <f>EFEITO!$N$1023*EFEITO!$AA$1023</f>
        <v>0</v>
      </c>
      <c r="M1023" s="64">
        <f ca="1">$J$1023-EFEITO!$K$1023*EFEITO!$Y$1023</f>
        <v>0</v>
      </c>
      <c r="N1023" s="64">
        <f>$K$1023-EFEITO!$M$1023*EFEITO!$Z$1023</f>
        <v>0</v>
      </c>
      <c r="O1023" s="64">
        <f>$L$1023-EFEITO!$O$1023*EFEITO!$AA$1023</f>
        <v>0</v>
      </c>
      <c r="P1023" s="19"/>
      <c r="Q1023" s="19"/>
      <c r="R1023" s="19"/>
      <c r="S1023" s="19"/>
      <c r="T1023" s="19"/>
      <c r="U1023" s="19"/>
      <c r="V1023" s="19"/>
      <c r="W1023" s="19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</row>
    <row r="1024" spans="1:36" ht="11.25" customHeight="1" x14ac:dyDescent="0.2">
      <c r="A1024" s="55" t="s">
        <v>21</v>
      </c>
      <c r="B1024" s="55" t="s">
        <v>41</v>
      </c>
      <c r="C1024" s="55" t="s">
        <v>42</v>
      </c>
      <c r="D1024" s="55" t="s">
        <v>38</v>
      </c>
      <c r="E1024" s="55" t="s">
        <v>25</v>
      </c>
      <c r="F1024" s="55" t="s">
        <v>25</v>
      </c>
      <c r="G1024" s="55" t="s">
        <v>25</v>
      </c>
      <c r="H1024" s="55" t="s">
        <v>25</v>
      </c>
      <c r="I1024" s="63">
        <v>44501</v>
      </c>
      <c r="J1024" s="64">
        <f ca="1">EFEITO!$J$1024*EFEITO!$Y$1024</f>
        <v>91980.574976431773</v>
      </c>
      <c r="K1024" s="64">
        <f>EFEITO!$L$1024*EFEITO!$Z$1024</f>
        <v>0</v>
      </c>
      <c r="L1024" s="64">
        <f>EFEITO!$N$1024*EFEITO!$AA$1024</f>
        <v>0</v>
      </c>
      <c r="M1024" s="64">
        <f ca="1">$J$1024-EFEITO!$K$1024*EFEITO!$Y$1024</f>
        <v>0</v>
      </c>
      <c r="N1024" s="64">
        <f>$K$1024-EFEITO!$M$1024*EFEITO!$Z$1024</f>
        <v>0</v>
      </c>
      <c r="O1024" s="64">
        <f>$L$1024-EFEITO!$O$1024*EFEITO!$AA$1024</f>
        <v>0</v>
      </c>
      <c r="P1024" s="19"/>
      <c r="Q1024" s="19"/>
      <c r="R1024" s="19"/>
      <c r="S1024" s="19"/>
      <c r="T1024" s="19"/>
      <c r="U1024" s="19"/>
      <c r="V1024" s="19"/>
      <c r="W1024" s="19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</row>
    <row r="1025" spans="1:36" ht="11.25" customHeight="1" x14ac:dyDescent="0.2">
      <c r="A1025" s="55" t="s">
        <v>21</v>
      </c>
      <c r="B1025" s="55" t="s">
        <v>41</v>
      </c>
      <c r="C1025" s="55" t="s">
        <v>42</v>
      </c>
      <c r="D1025" s="55" t="s">
        <v>38</v>
      </c>
      <c r="E1025" s="55" t="s">
        <v>25</v>
      </c>
      <c r="F1025" s="55" t="s">
        <v>25</v>
      </c>
      <c r="G1025" s="55" t="s">
        <v>25</v>
      </c>
      <c r="H1025" s="55" t="s">
        <v>25</v>
      </c>
      <c r="I1025" s="63">
        <v>44531</v>
      </c>
      <c r="J1025" s="64">
        <f ca="1">EFEITO!$J$1025*EFEITO!$Y$1025</f>
        <v>1238557.8623040724</v>
      </c>
      <c r="K1025" s="64">
        <f>EFEITO!$L$1025*EFEITO!$Z$1025</f>
        <v>0</v>
      </c>
      <c r="L1025" s="64">
        <f>EFEITO!$N$1025*EFEITO!$AA$1025</f>
        <v>0</v>
      </c>
      <c r="M1025" s="64">
        <f ca="1">$J$1025-EFEITO!$K$1025*EFEITO!$Y$1025</f>
        <v>0</v>
      </c>
      <c r="N1025" s="64">
        <f>$K$1025-EFEITO!$M$1025*EFEITO!$Z$1025</f>
        <v>0</v>
      </c>
      <c r="O1025" s="64">
        <f>$L$1025-EFEITO!$O$1025*EFEITO!$AA$1025</f>
        <v>0</v>
      </c>
      <c r="P1025" s="19"/>
      <c r="Q1025" s="19"/>
      <c r="R1025" s="19"/>
      <c r="S1025" s="19"/>
      <c r="T1025" s="19"/>
      <c r="U1025" s="19"/>
      <c r="V1025" s="19"/>
      <c r="W1025" s="19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</row>
    <row r="1026" spans="1:36" ht="11.25" customHeight="1" x14ac:dyDescent="0.2">
      <c r="A1026" s="55" t="s">
        <v>27</v>
      </c>
      <c r="B1026" s="55" t="s">
        <v>41</v>
      </c>
      <c r="C1026" s="55" t="s">
        <v>42</v>
      </c>
      <c r="D1026" s="55" t="s">
        <v>38</v>
      </c>
      <c r="E1026" s="55" t="s">
        <v>25</v>
      </c>
      <c r="F1026" s="55" t="s">
        <v>25</v>
      </c>
      <c r="G1026" s="55" t="s">
        <v>25</v>
      </c>
      <c r="H1026" s="55" t="s">
        <v>25</v>
      </c>
      <c r="I1026" s="63">
        <v>44531</v>
      </c>
      <c r="J1026" s="64">
        <f ca="1">EFEITO!$J$1026*EFEITO!$Y$1026</f>
        <v>-5939.317127049595</v>
      </c>
      <c r="K1026" s="64">
        <f>EFEITO!$L$1026*EFEITO!$Z$1026</f>
        <v>0</v>
      </c>
      <c r="L1026" s="64">
        <f>EFEITO!$N$1026*EFEITO!$AA$1026</f>
        <v>0</v>
      </c>
      <c r="M1026" s="64">
        <f ca="1">$J$1026-EFEITO!$K$1026*EFEITO!$Y$1026</f>
        <v>0</v>
      </c>
      <c r="N1026" s="64">
        <f>$K$1026-EFEITO!$M$1026*EFEITO!$Z$1026</f>
        <v>0</v>
      </c>
      <c r="O1026" s="64">
        <f>$L$1026-EFEITO!$O$1026*EFEITO!$AA$1026</f>
        <v>0</v>
      </c>
      <c r="P1026" s="19"/>
      <c r="Q1026" s="19"/>
      <c r="R1026" s="19"/>
      <c r="S1026" s="19"/>
      <c r="T1026" s="19"/>
      <c r="U1026" s="19"/>
      <c r="V1026" s="19"/>
      <c r="W1026" s="19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</row>
    <row r="1027" spans="1:36" ht="11.25" customHeight="1" x14ac:dyDescent="0.2">
      <c r="A1027" s="55" t="s">
        <v>28</v>
      </c>
      <c r="B1027" s="55" t="s">
        <v>41</v>
      </c>
      <c r="C1027" s="55" t="s">
        <v>42</v>
      </c>
      <c r="D1027" s="55" t="s">
        <v>38</v>
      </c>
      <c r="E1027" s="55" t="s">
        <v>25</v>
      </c>
      <c r="F1027" s="55" t="s">
        <v>25</v>
      </c>
      <c r="G1027" s="55" t="s">
        <v>25</v>
      </c>
      <c r="H1027" s="55" t="s">
        <v>25</v>
      </c>
      <c r="I1027" s="63">
        <v>44531</v>
      </c>
      <c r="J1027" s="64">
        <f ca="1">EFEITO!$J$1027*EFEITO!$Y$1027</f>
        <v>237914.32721761052</v>
      </c>
      <c r="K1027" s="64">
        <f>EFEITO!$L$1027*EFEITO!$Z$1027</f>
        <v>0</v>
      </c>
      <c r="L1027" s="64">
        <f>EFEITO!$N$1027*EFEITO!$AA$1027</f>
        <v>0</v>
      </c>
      <c r="M1027" s="64">
        <f ca="1">$J$1027-EFEITO!$K$1027*EFEITO!$Y$1027</f>
        <v>0</v>
      </c>
      <c r="N1027" s="64">
        <f>$K$1027-EFEITO!$M$1027*EFEITO!$Z$1027</f>
        <v>0</v>
      </c>
      <c r="O1027" s="64">
        <f>$L$1027-EFEITO!$O$1027*EFEITO!$AA$1027</f>
        <v>0</v>
      </c>
      <c r="P1027" s="19"/>
      <c r="Q1027" s="19"/>
      <c r="R1027" s="19"/>
      <c r="S1027" s="19"/>
      <c r="T1027" s="19"/>
      <c r="U1027" s="19"/>
      <c r="V1027" s="19"/>
      <c r="W1027" s="19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</row>
    <row r="1028" spans="1:36" ht="11.25" customHeight="1" x14ac:dyDescent="0.2">
      <c r="A1028" s="55" t="s">
        <v>21</v>
      </c>
      <c r="B1028" s="55" t="s">
        <v>41</v>
      </c>
      <c r="C1028" s="55" t="s">
        <v>42</v>
      </c>
      <c r="D1028" s="55" t="s">
        <v>38</v>
      </c>
      <c r="E1028" s="55" t="s">
        <v>25</v>
      </c>
      <c r="F1028" s="55" t="s">
        <v>25</v>
      </c>
      <c r="G1028" s="55" t="s">
        <v>25</v>
      </c>
      <c r="H1028" s="55" t="s">
        <v>25</v>
      </c>
      <c r="I1028" s="63">
        <v>44531</v>
      </c>
      <c r="J1028" s="64">
        <f ca="1">EFEITO!$J$1028*EFEITO!$Y$1028</f>
        <v>91980.574976431773</v>
      </c>
      <c r="K1028" s="64">
        <f>EFEITO!$L$1028*EFEITO!$Z$1028</f>
        <v>0</v>
      </c>
      <c r="L1028" s="64">
        <f>EFEITO!$N$1028*EFEITO!$AA$1028</f>
        <v>0</v>
      </c>
      <c r="M1028" s="64">
        <f ca="1">$J$1028-EFEITO!$K$1028*EFEITO!$Y$1028</f>
        <v>0</v>
      </c>
      <c r="N1028" s="64">
        <f>$K$1028-EFEITO!$M$1028*EFEITO!$Z$1028</f>
        <v>0</v>
      </c>
      <c r="O1028" s="64">
        <f>$L$1028-EFEITO!$O$1028*EFEITO!$AA$1028</f>
        <v>0</v>
      </c>
      <c r="P1028" s="19"/>
      <c r="Q1028" s="19"/>
      <c r="R1028" s="19"/>
      <c r="S1028" s="19"/>
      <c r="T1028" s="19"/>
      <c r="U1028" s="19"/>
      <c r="V1028" s="19"/>
      <c r="W1028" s="19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</row>
    <row r="1029" spans="1:36" ht="11.25" customHeight="1" x14ac:dyDescent="0.2">
      <c r="A1029" s="55" t="s">
        <v>21</v>
      </c>
      <c r="B1029" s="55" t="s">
        <v>41</v>
      </c>
      <c r="C1029" s="55" t="s">
        <v>42</v>
      </c>
      <c r="D1029" s="55" t="s">
        <v>38</v>
      </c>
      <c r="E1029" s="55" t="s">
        <v>25</v>
      </c>
      <c r="F1029" s="55" t="s">
        <v>25</v>
      </c>
      <c r="G1029" s="55" t="s">
        <v>25</v>
      </c>
      <c r="H1029" s="55" t="s">
        <v>25</v>
      </c>
      <c r="I1029" s="63">
        <v>44562</v>
      </c>
      <c r="J1029" s="64">
        <f ca="1">EFEITO!$J$1029*EFEITO!$Y$1029</f>
        <v>1268727.4908963419</v>
      </c>
      <c r="K1029" s="64">
        <f>EFEITO!$L$1029*EFEITO!$Z$1029</f>
        <v>0</v>
      </c>
      <c r="L1029" s="64">
        <f>EFEITO!$N$1029*EFEITO!$AA$1029</f>
        <v>0</v>
      </c>
      <c r="M1029" s="64">
        <f ca="1">$J$1029-EFEITO!$K$1029*EFEITO!$Y$1029</f>
        <v>0</v>
      </c>
      <c r="N1029" s="64">
        <f>$K$1029-EFEITO!$M$1029*EFEITO!$Z$1029</f>
        <v>0</v>
      </c>
      <c r="O1029" s="64">
        <f>$L$1029-EFEITO!$O$1029*EFEITO!$AA$1029</f>
        <v>0</v>
      </c>
      <c r="P1029" s="19"/>
      <c r="Q1029" s="19"/>
      <c r="R1029" s="19"/>
      <c r="S1029" s="19"/>
      <c r="T1029" s="19"/>
      <c r="U1029" s="19"/>
      <c r="V1029" s="19"/>
      <c r="W1029" s="19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</row>
    <row r="1030" spans="1:36" ht="11.25" customHeight="1" x14ac:dyDescent="0.2">
      <c r="A1030" s="55" t="s">
        <v>28</v>
      </c>
      <c r="B1030" s="55" t="s">
        <v>41</v>
      </c>
      <c r="C1030" s="55" t="s">
        <v>42</v>
      </c>
      <c r="D1030" s="55" t="s">
        <v>38</v>
      </c>
      <c r="E1030" s="55" t="s">
        <v>25</v>
      </c>
      <c r="F1030" s="55" t="s">
        <v>25</v>
      </c>
      <c r="G1030" s="55" t="s">
        <v>25</v>
      </c>
      <c r="H1030" s="55" t="s">
        <v>25</v>
      </c>
      <c r="I1030" s="63">
        <v>44562</v>
      </c>
      <c r="J1030" s="64">
        <f ca="1">EFEITO!$J$1030*EFEITO!$Y$1030</f>
        <v>224800.52524239925</v>
      </c>
      <c r="K1030" s="64">
        <f>EFEITO!$L$1030*EFEITO!$Z$1030</f>
        <v>0</v>
      </c>
      <c r="L1030" s="64">
        <f>EFEITO!$N$1030*EFEITO!$AA$1030</f>
        <v>0</v>
      </c>
      <c r="M1030" s="64">
        <f ca="1">$J$1030-EFEITO!$K$1030*EFEITO!$Y$1030</f>
        <v>0</v>
      </c>
      <c r="N1030" s="64">
        <f>$K$1030-EFEITO!$M$1030*EFEITO!$Z$1030</f>
        <v>0</v>
      </c>
      <c r="O1030" s="64">
        <f>$L$1030-EFEITO!$O$1030*EFEITO!$AA$1030</f>
        <v>0</v>
      </c>
      <c r="P1030" s="19"/>
      <c r="Q1030" s="19"/>
      <c r="R1030" s="19"/>
      <c r="S1030" s="19"/>
      <c r="T1030" s="19"/>
      <c r="U1030" s="19"/>
      <c r="V1030" s="19"/>
      <c r="W1030" s="19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</row>
    <row r="1031" spans="1:36" ht="11.25" customHeight="1" x14ac:dyDescent="0.2">
      <c r="A1031" s="55" t="s">
        <v>21</v>
      </c>
      <c r="B1031" s="55" t="s">
        <v>41</v>
      </c>
      <c r="C1031" s="55" t="s">
        <v>42</v>
      </c>
      <c r="D1031" s="55" t="s">
        <v>38</v>
      </c>
      <c r="E1031" s="55" t="s">
        <v>25</v>
      </c>
      <c r="F1031" s="55" t="s">
        <v>25</v>
      </c>
      <c r="G1031" s="55" t="s">
        <v>25</v>
      </c>
      <c r="H1031" s="55" t="s">
        <v>25</v>
      </c>
      <c r="I1031" s="63">
        <v>44562</v>
      </c>
      <c r="J1031" s="64">
        <f ca="1">EFEITO!$J$1031*EFEITO!$Y$1031</f>
        <v>91980.574976431773</v>
      </c>
      <c r="K1031" s="64">
        <f>EFEITO!$L$1031*EFEITO!$Z$1031</f>
        <v>0</v>
      </c>
      <c r="L1031" s="64">
        <f>EFEITO!$N$1031*EFEITO!$AA$1031</f>
        <v>0</v>
      </c>
      <c r="M1031" s="64">
        <f ca="1">$J$1031-EFEITO!$K$1031*EFEITO!$Y$1031</f>
        <v>0</v>
      </c>
      <c r="N1031" s="64">
        <f>$K$1031-EFEITO!$M$1031*EFEITO!$Z$1031</f>
        <v>0</v>
      </c>
      <c r="O1031" s="64">
        <f>$L$1031-EFEITO!$O$1031*EFEITO!$AA$1031</f>
        <v>0</v>
      </c>
      <c r="P1031" s="19"/>
      <c r="Q1031" s="19"/>
      <c r="R1031" s="19"/>
      <c r="S1031" s="19"/>
      <c r="T1031" s="19"/>
      <c r="U1031" s="19"/>
      <c r="V1031" s="19"/>
      <c r="W1031" s="19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</row>
    <row r="1032" spans="1:36" ht="11.25" customHeight="1" x14ac:dyDescent="0.2">
      <c r="A1032" s="55" t="s">
        <v>21</v>
      </c>
      <c r="B1032" s="55" t="s">
        <v>41</v>
      </c>
      <c r="C1032" s="55" t="s">
        <v>42</v>
      </c>
      <c r="D1032" s="55" t="s">
        <v>38</v>
      </c>
      <c r="E1032" s="55" t="s">
        <v>25</v>
      </c>
      <c r="F1032" s="55" t="s">
        <v>25</v>
      </c>
      <c r="G1032" s="55" t="s">
        <v>25</v>
      </c>
      <c r="H1032" s="55" t="s">
        <v>25</v>
      </c>
      <c r="I1032" s="63">
        <v>44593</v>
      </c>
      <c r="J1032" s="64">
        <f ca="1">EFEITO!$J$1032*EFEITO!$Y$1032</f>
        <v>1235220.2814406417</v>
      </c>
      <c r="K1032" s="64">
        <f>EFEITO!$L$1032*EFEITO!$Z$1032</f>
        <v>0</v>
      </c>
      <c r="L1032" s="64">
        <f>EFEITO!$N$1032*EFEITO!$AA$1032</f>
        <v>0</v>
      </c>
      <c r="M1032" s="64">
        <f ca="1">$J$1032-EFEITO!$K$1032*EFEITO!$Y$1032</f>
        <v>0</v>
      </c>
      <c r="N1032" s="64">
        <f>$K$1032-EFEITO!$M$1032*EFEITO!$Z$1032</f>
        <v>0</v>
      </c>
      <c r="O1032" s="64">
        <f>$L$1032-EFEITO!$O$1032*EFEITO!$AA$1032</f>
        <v>0</v>
      </c>
      <c r="P1032" s="19"/>
      <c r="Q1032" s="19"/>
      <c r="R1032" s="19"/>
      <c r="S1032" s="19"/>
      <c r="T1032" s="19"/>
      <c r="U1032" s="19"/>
      <c r="V1032" s="19"/>
      <c r="W1032" s="19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</row>
    <row r="1033" spans="1:36" ht="11.25" customHeight="1" x14ac:dyDescent="0.2">
      <c r="A1033" s="55" t="s">
        <v>28</v>
      </c>
      <c r="B1033" s="55" t="s">
        <v>41</v>
      </c>
      <c r="C1033" s="55" t="s">
        <v>42</v>
      </c>
      <c r="D1033" s="55" t="s">
        <v>38</v>
      </c>
      <c r="E1033" s="55" t="s">
        <v>25</v>
      </c>
      <c r="F1033" s="55" t="s">
        <v>25</v>
      </c>
      <c r="G1033" s="55" t="s">
        <v>25</v>
      </c>
      <c r="H1033" s="55" t="s">
        <v>25</v>
      </c>
      <c r="I1033" s="63">
        <v>44593</v>
      </c>
      <c r="J1033" s="64">
        <f ca="1">EFEITO!$J$1033*EFEITO!$Y$1033</f>
        <v>223880.71949263493</v>
      </c>
      <c r="K1033" s="64">
        <f>EFEITO!$L$1033*EFEITO!$Z$1033</f>
        <v>0</v>
      </c>
      <c r="L1033" s="64">
        <f>EFEITO!$N$1033*EFEITO!$AA$1033</f>
        <v>0</v>
      </c>
      <c r="M1033" s="64">
        <f ca="1">$J$1033-EFEITO!$K$1033*EFEITO!$Y$1033</f>
        <v>0</v>
      </c>
      <c r="N1033" s="64">
        <f>$K$1033-EFEITO!$M$1033*EFEITO!$Z$1033</f>
        <v>0</v>
      </c>
      <c r="O1033" s="64">
        <f>$L$1033-EFEITO!$O$1033*EFEITO!$AA$1033</f>
        <v>0</v>
      </c>
      <c r="P1033" s="19"/>
      <c r="Q1033" s="19"/>
      <c r="R1033" s="19"/>
      <c r="S1033" s="19"/>
      <c r="T1033" s="19"/>
      <c r="U1033" s="19"/>
      <c r="V1033" s="19"/>
      <c r="W1033" s="19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</row>
    <row r="1034" spans="1:36" ht="11.25" customHeight="1" x14ac:dyDescent="0.2">
      <c r="A1034" s="55" t="s">
        <v>21</v>
      </c>
      <c r="B1034" s="55" t="s">
        <v>41</v>
      </c>
      <c r="C1034" s="55" t="s">
        <v>42</v>
      </c>
      <c r="D1034" s="55" t="s">
        <v>38</v>
      </c>
      <c r="E1034" s="55" t="s">
        <v>25</v>
      </c>
      <c r="F1034" s="55" t="s">
        <v>25</v>
      </c>
      <c r="G1034" s="55" t="s">
        <v>25</v>
      </c>
      <c r="H1034" s="55" t="s">
        <v>25</v>
      </c>
      <c r="I1034" s="63">
        <v>44593</v>
      </c>
      <c r="J1034" s="64">
        <f ca="1">EFEITO!$J$1034*EFEITO!$Y$1034</f>
        <v>91980.574976431773</v>
      </c>
      <c r="K1034" s="64">
        <f>EFEITO!$L$1034*EFEITO!$Z$1034</f>
        <v>0</v>
      </c>
      <c r="L1034" s="64">
        <f>EFEITO!$N$1034*EFEITO!$AA$1034</f>
        <v>0</v>
      </c>
      <c r="M1034" s="64">
        <f ca="1">$J$1034-EFEITO!$K$1034*EFEITO!$Y$1034</f>
        <v>0</v>
      </c>
      <c r="N1034" s="64">
        <f>$K$1034-EFEITO!$M$1034*EFEITO!$Z$1034</f>
        <v>0</v>
      </c>
      <c r="O1034" s="64">
        <f>$L$1034-EFEITO!$O$1034*EFEITO!$AA$1034</f>
        <v>0</v>
      </c>
      <c r="P1034" s="19"/>
      <c r="Q1034" s="19"/>
      <c r="R1034" s="19"/>
      <c r="S1034" s="19"/>
      <c r="T1034" s="19"/>
      <c r="U1034" s="19"/>
      <c r="V1034" s="19"/>
      <c r="W1034" s="19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</row>
    <row r="1035" spans="1:36" ht="11.25" customHeight="1" x14ac:dyDescent="0.2">
      <c r="A1035" s="55" t="s">
        <v>21</v>
      </c>
      <c r="B1035" s="55" t="s">
        <v>41</v>
      </c>
      <c r="C1035" s="55" t="s">
        <v>42</v>
      </c>
      <c r="D1035" s="55" t="s">
        <v>38</v>
      </c>
      <c r="E1035" s="55" t="s">
        <v>25</v>
      </c>
      <c r="F1035" s="55" t="s">
        <v>25</v>
      </c>
      <c r="G1035" s="55" t="s">
        <v>25</v>
      </c>
      <c r="H1035" s="55" t="s">
        <v>25</v>
      </c>
      <c r="I1035" s="63">
        <v>44621</v>
      </c>
      <c r="J1035" s="64">
        <f ca="1">EFEITO!$J$1035*EFEITO!$Y$1035</f>
        <v>1211384.1724396064</v>
      </c>
      <c r="K1035" s="64">
        <f>EFEITO!$L$1035*EFEITO!$Z$1035</f>
        <v>0</v>
      </c>
      <c r="L1035" s="64">
        <f>EFEITO!$N$1035*EFEITO!$AA$1035</f>
        <v>0</v>
      </c>
      <c r="M1035" s="64">
        <f ca="1">$J$1035-EFEITO!$K$1035*EFEITO!$Y$1035</f>
        <v>0</v>
      </c>
      <c r="N1035" s="64">
        <f>$K$1035-EFEITO!$M$1035*EFEITO!$Z$1035</f>
        <v>0</v>
      </c>
      <c r="O1035" s="64">
        <f>$L$1035-EFEITO!$O$1035*EFEITO!$AA$1035</f>
        <v>0</v>
      </c>
      <c r="P1035" s="19"/>
      <c r="Q1035" s="19"/>
      <c r="R1035" s="19"/>
      <c r="S1035" s="19"/>
      <c r="T1035" s="19"/>
      <c r="U1035" s="19"/>
      <c r="V1035" s="19"/>
      <c r="W1035" s="19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</row>
    <row r="1036" spans="1:36" ht="11.25" customHeight="1" x14ac:dyDescent="0.2">
      <c r="A1036" s="55" t="s">
        <v>28</v>
      </c>
      <c r="B1036" s="55" t="s">
        <v>41</v>
      </c>
      <c r="C1036" s="55" t="s">
        <v>42</v>
      </c>
      <c r="D1036" s="55" t="s">
        <v>38</v>
      </c>
      <c r="E1036" s="55" t="s">
        <v>25</v>
      </c>
      <c r="F1036" s="55" t="s">
        <v>25</v>
      </c>
      <c r="G1036" s="55" t="s">
        <v>25</v>
      </c>
      <c r="H1036" s="55" t="s">
        <v>25</v>
      </c>
      <c r="I1036" s="63">
        <v>44621</v>
      </c>
      <c r="J1036" s="64">
        <f ca="1">EFEITO!$J$1036*EFEITO!$Y$1036</f>
        <v>243380.60138763848</v>
      </c>
      <c r="K1036" s="64">
        <f>EFEITO!$L$1036*EFEITO!$Z$1036</f>
        <v>0</v>
      </c>
      <c r="L1036" s="64">
        <f>EFEITO!$N$1036*EFEITO!$AA$1036</f>
        <v>0</v>
      </c>
      <c r="M1036" s="64">
        <f ca="1">$J$1036-EFEITO!$K$1036*EFEITO!$Y$1036</f>
        <v>0</v>
      </c>
      <c r="N1036" s="64">
        <f>$K$1036-EFEITO!$M$1036*EFEITO!$Z$1036</f>
        <v>0</v>
      </c>
      <c r="O1036" s="64">
        <f>$L$1036-EFEITO!$O$1036*EFEITO!$AA$1036</f>
        <v>0</v>
      </c>
      <c r="P1036" s="19"/>
      <c r="Q1036" s="19"/>
      <c r="R1036" s="19"/>
      <c r="S1036" s="19"/>
      <c r="T1036" s="19"/>
      <c r="U1036" s="19"/>
      <c r="V1036" s="19"/>
      <c r="W1036" s="19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</row>
    <row r="1037" spans="1:36" ht="11.25" customHeight="1" x14ac:dyDescent="0.2">
      <c r="A1037" s="55" t="s">
        <v>21</v>
      </c>
      <c r="B1037" s="55" t="s">
        <v>41</v>
      </c>
      <c r="C1037" s="55" t="s">
        <v>42</v>
      </c>
      <c r="D1037" s="55" t="s">
        <v>38</v>
      </c>
      <c r="E1037" s="55" t="s">
        <v>25</v>
      </c>
      <c r="F1037" s="55" t="s">
        <v>25</v>
      </c>
      <c r="G1037" s="55" t="s">
        <v>25</v>
      </c>
      <c r="H1037" s="55" t="s">
        <v>25</v>
      </c>
      <c r="I1037" s="63">
        <v>44621</v>
      </c>
      <c r="J1037" s="64">
        <f ca="1">EFEITO!$J$1037*EFEITO!$Y$1037</f>
        <v>91980.574976431773</v>
      </c>
      <c r="K1037" s="64">
        <f>EFEITO!$L$1037*EFEITO!$Z$1037</f>
        <v>0</v>
      </c>
      <c r="L1037" s="64">
        <f>EFEITO!$N$1037*EFEITO!$AA$1037</f>
        <v>0</v>
      </c>
      <c r="M1037" s="64">
        <f ca="1">$J$1037-EFEITO!$K$1037*EFEITO!$Y$1037</f>
        <v>0</v>
      </c>
      <c r="N1037" s="64">
        <f>$K$1037-EFEITO!$M$1037*EFEITO!$Z$1037</f>
        <v>0</v>
      </c>
      <c r="O1037" s="64">
        <f>$L$1037-EFEITO!$O$1037*EFEITO!$AA$1037</f>
        <v>0</v>
      </c>
      <c r="P1037" s="19"/>
      <c r="Q1037" s="19"/>
      <c r="R1037" s="19"/>
      <c r="S1037" s="19"/>
      <c r="T1037" s="19"/>
      <c r="U1037" s="19"/>
      <c r="V1037" s="19"/>
      <c r="W1037" s="19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</row>
    <row r="1038" spans="1:36" ht="11.25" customHeight="1" x14ac:dyDescent="0.2">
      <c r="A1038" s="55" t="s">
        <v>21</v>
      </c>
      <c r="B1038" s="55" t="s">
        <v>41</v>
      </c>
      <c r="C1038" s="55" t="s">
        <v>42</v>
      </c>
      <c r="D1038" s="55" t="s">
        <v>38</v>
      </c>
      <c r="E1038" s="55" t="s">
        <v>25</v>
      </c>
      <c r="F1038" s="55" t="s">
        <v>25</v>
      </c>
      <c r="G1038" s="55" t="s">
        <v>25</v>
      </c>
      <c r="H1038" s="55" t="s">
        <v>25</v>
      </c>
      <c r="I1038" s="63">
        <v>44652</v>
      </c>
      <c r="J1038" s="64">
        <f ca="1">EFEITO!$J$1038*EFEITO!$Y$1038</f>
        <v>1177640.4415053956</v>
      </c>
      <c r="K1038" s="64">
        <f>EFEITO!$L$1038*EFEITO!$Z$1038</f>
        <v>0</v>
      </c>
      <c r="L1038" s="64">
        <f>EFEITO!$N$1038*EFEITO!$AA$1038</f>
        <v>0</v>
      </c>
      <c r="M1038" s="64">
        <f ca="1">$J$1038-EFEITO!$K$1038*EFEITO!$Y$1038</f>
        <v>0</v>
      </c>
      <c r="N1038" s="64">
        <f>$K$1038-EFEITO!$M$1038*EFEITO!$Z$1038</f>
        <v>0</v>
      </c>
      <c r="O1038" s="64">
        <f>$L$1038-EFEITO!$O$1038*EFEITO!$AA$1038</f>
        <v>0</v>
      </c>
      <c r="P1038" s="19"/>
      <c r="Q1038" s="19"/>
      <c r="R1038" s="19"/>
      <c r="S1038" s="19"/>
      <c r="T1038" s="19"/>
      <c r="U1038" s="19"/>
      <c r="V1038" s="19"/>
      <c r="W1038" s="19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</row>
    <row r="1039" spans="1:36" ht="11.25" customHeight="1" x14ac:dyDescent="0.2">
      <c r="A1039" s="55" t="s">
        <v>27</v>
      </c>
      <c r="B1039" s="55" t="s">
        <v>41</v>
      </c>
      <c r="C1039" s="55" t="s">
        <v>42</v>
      </c>
      <c r="D1039" s="55" t="s">
        <v>38</v>
      </c>
      <c r="E1039" s="55" t="s">
        <v>25</v>
      </c>
      <c r="F1039" s="55" t="s">
        <v>25</v>
      </c>
      <c r="G1039" s="55" t="s">
        <v>25</v>
      </c>
      <c r="H1039" s="55" t="s">
        <v>25</v>
      </c>
      <c r="I1039" s="63">
        <v>44652</v>
      </c>
      <c r="J1039" s="64">
        <f ca="1">EFEITO!$J$1039*EFEITO!$Y$1039</f>
        <v>-6806.5625482559517</v>
      </c>
      <c r="K1039" s="64">
        <f>EFEITO!$L$1039*EFEITO!$Z$1039</f>
        <v>0</v>
      </c>
      <c r="L1039" s="64">
        <f>EFEITO!$N$1039*EFEITO!$AA$1039</f>
        <v>0</v>
      </c>
      <c r="M1039" s="64">
        <f ca="1">$J$1039-EFEITO!$K$1039*EFEITO!$Y$1039</f>
        <v>0</v>
      </c>
      <c r="N1039" s="64">
        <f>$K$1039-EFEITO!$M$1039*EFEITO!$Z$1039</f>
        <v>0</v>
      </c>
      <c r="O1039" s="64">
        <f>$L$1039-EFEITO!$O$1039*EFEITO!$AA$1039</f>
        <v>0</v>
      </c>
      <c r="P1039" s="19"/>
      <c r="Q1039" s="19"/>
      <c r="R1039" s="19"/>
      <c r="S1039" s="19"/>
      <c r="T1039" s="19"/>
      <c r="U1039" s="19"/>
      <c r="V1039" s="19"/>
      <c r="W1039" s="19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</row>
    <row r="1040" spans="1:36" ht="11.25" customHeight="1" x14ac:dyDescent="0.2">
      <c r="A1040" s="55" t="s">
        <v>28</v>
      </c>
      <c r="B1040" s="55" t="s">
        <v>41</v>
      </c>
      <c r="C1040" s="55" t="s">
        <v>42</v>
      </c>
      <c r="D1040" s="55" t="s">
        <v>38</v>
      </c>
      <c r="E1040" s="55" t="s">
        <v>25</v>
      </c>
      <c r="F1040" s="55" t="s">
        <v>25</v>
      </c>
      <c r="G1040" s="55" t="s">
        <v>25</v>
      </c>
      <c r="H1040" s="55" t="s">
        <v>25</v>
      </c>
      <c r="I1040" s="63">
        <v>44652</v>
      </c>
      <c r="J1040" s="64">
        <f ca="1">EFEITO!$J$1040*EFEITO!$Y$1040</f>
        <v>239937.89986709203</v>
      </c>
      <c r="K1040" s="64">
        <f>EFEITO!$L$1040*EFEITO!$Z$1040</f>
        <v>0</v>
      </c>
      <c r="L1040" s="64">
        <f>EFEITO!$N$1040*EFEITO!$AA$1040</f>
        <v>0</v>
      </c>
      <c r="M1040" s="64">
        <f ca="1">$J$1040-EFEITO!$K$1040*EFEITO!$Y$1040</f>
        <v>0</v>
      </c>
      <c r="N1040" s="64">
        <f>$K$1040-EFEITO!$M$1040*EFEITO!$Z$1040</f>
        <v>0</v>
      </c>
      <c r="O1040" s="64">
        <f>$L$1040-EFEITO!$O$1040*EFEITO!$AA$1040</f>
        <v>0</v>
      </c>
      <c r="P1040" s="19"/>
      <c r="Q1040" s="19"/>
      <c r="R1040" s="19"/>
      <c r="S1040" s="19"/>
      <c r="T1040" s="19"/>
      <c r="U1040" s="19"/>
      <c r="V1040" s="19"/>
      <c r="W1040" s="19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</row>
    <row r="1041" spans="1:36" ht="11.25" customHeight="1" x14ac:dyDescent="0.2">
      <c r="A1041" s="55" t="s">
        <v>21</v>
      </c>
      <c r="B1041" s="55" t="s">
        <v>41</v>
      </c>
      <c r="C1041" s="55" t="s">
        <v>42</v>
      </c>
      <c r="D1041" s="55" t="s">
        <v>38</v>
      </c>
      <c r="E1041" s="55" t="s">
        <v>25</v>
      </c>
      <c r="F1041" s="55" t="s">
        <v>25</v>
      </c>
      <c r="G1041" s="55" t="s">
        <v>25</v>
      </c>
      <c r="H1041" s="55" t="s">
        <v>25</v>
      </c>
      <c r="I1041" s="63">
        <v>44652</v>
      </c>
      <c r="J1041" s="64">
        <f ca="1">EFEITO!$J$1041*EFEITO!$Y$1041</f>
        <v>91980.574976431773</v>
      </c>
      <c r="K1041" s="64">
        <f>EFEITO!$L$1041*EFEITO!$Z$1041</f>
        <v>0</v>
      </c>
      <c r="L1041" s="64">
        <f>EFEITO!$N$1041*EFEITO!$AA$1041</f>
        <v>0</v>
      </c>
      <c r="M1041" s="64">
        <f ca="1">$J$1041-EFEITO!$K$1041*EFEITO!$Y$1041</f>
        <v>0</v>
      </c>
      <c r="N1041" s="64">
        <f>$K$1041-EFEITO!$M$1041*EFEITO!$Z$1041</f>
        <v>0</v>
      </c>
      <c r="O1041" s="64">
        <f>$L$1041-EFEITO!$O$1041*EFEITO!$AA$1041</f>
        <v>0</v>
      </c>
      <c r="P1041" s="19"/>
      <c r="Q1041" s="19"/>
      <c r="R1041" s="19"/>
      <c r="S1041" s="19"/>
      <c r="T1041" s="19"/>
      <c r="U1041" s="19"/>
      <c r="V1041" s="19"/>
      <c r="W1041" s="19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</row>
    <row r="1042" spans="1:36" ht="11.25" customHeight="1" x14ac:dyDescent="0.2">
      <c r="A1042" s="55" t="s">
        <v>21</v>
      </c>
      <c r="B1042" s="55" t="s">
        <v>41</v>
      </c>
      <c r="C1042" s="55" t="s">
        <v>42</v>
      </c>
      <c r="D1042" s="55" t="s">
        <v>38</v>
      </c>
      <c r="E1042" s="55" t="s">
        <v>25</v>
      </c>
      <c r="F1042" s="55" t="s">
        <v>25</v>
      </c>
      <c r="G1042" s="55" t="s">
        <v>25</v>
      </c>
      <c r="H1042" s="55" t="s">
        <v>25</v>
      </c>
      <c r="I1042" s="63">
        <v>44682</v>
      </c>
      <c r="J1042" s="64">
        <f ca="1">EFEITO!$J$1042*EFEITO!$Y$1042</f>
        <v>1175958.5109915407</v>
      </c>
      <c r="K1042" s="64">
        <f>EFEITO!$L$1042*EFEITO!$Z$1042</f>
        <v>0</v>
      </c>
      <c r="L1042" s="64">
        <f>EFEITO!$N$1042*EFEITO!$AA$1042</f>
        <v>0</v>
      </c>
      <c r="M1042" s="64">
        <f ca="1">$J$1042-EFEITO!$K$1042*EFEITO!$Y$1042</f>
        <v>0</v>
      </c>
      <c r="N1042" s="64">
        <f>$K$1042-EFEITO!$M$1042*EFEITO!$Z$1042</f>
        <v>0</v>
      </c>
      <c r="O1042" s="64">
        <f>$L$1042-EFEITO!$O$1042*EFEITO!$AA$1042</f>
        <v>0</v>
      </c>
      <c r="P1042" s="19"/>
      <c r="Q1042" s="19"/>
      <c r="R1042" s="19"/>
      <c r="S1042" s="19"/>
      <c r="T1042" s="19"/>
      <c r="U1042" s="19"/>
      <c r="V1042" s="19"/>
      <c r="W1042" s="19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</row>
    <row r="1043" spans="1:36" ht="11.25" customHeight="1" x14ac:dyDescent="0.2">
      <c r="A1043" s="55" t="s">
        <v>28</v>
      </c>
      <c r="B1043" s="55" t="s">
        <v>41</v>
      </c>
      <c r="C1043" s="55" t="s">
        <v>42</v>
      </c>
      <c r="D1043" s="55" t="s">
        <v>38</v>
      </c>
      <c r="E1043" s="55" t="s">
        <v>25</v>
      </c>
      <c r="F1043" s="55" t="s">
        <v>25</v>
      </c>
      <c r="G1043" s="55" t="s">
        <v>25</v>
      </c>
      <c r="H1043" s="55" t="s">
        <v>25</v>
      </c>
      <c r="I1043" s="63">
        <v>44682</v>
      </c>
      <c r="J1043" s="64">
        <f ca="1">EFEITO!$J$1043*EFEITO!$Y$1043</f>
        <v>254470.83071336825</v>
      </c>
      <c r="K1043" s="64">
        <f>EFEITO!$L$1043*EFEITO!$Z$1043</f>
        <v>0</v>
      </c>
      <c r="L1043" s="64">
        <f>EFEITO!$N$1043*EFEITO!$AA$1043</f>
        <v>0</v>
      </c>
      <c r="M1043" s="64">
        <f ca="1">$J$1043-EFEITO!$K$1043*EFEITO!$Y$1043</f>
        <v>0</v>
      </c>
      <c r="N1043" s="64">
        <f>$K$1043-EFEITO!$M$1043*EFEITO!$Z$1043</f>
        <v>0</v>
      </c>
      <c r="O1043" s="64">
        <f>$L$1043-EFEITO!$O$1043*EFEITO!$AA$1043</f>
        <v>0</v>
      </c>
      <c r="P1043" s="19"/>
      <c r="Q1043" s="19"/>
      <c r="R1043" s="19"/>
      <c r="S1043" s="19"/>
      <c r="T1043" s="19"/>
      <c r="U1043" s="19"/>
      <c r="V1043" s="19"/>
      <c r="W1043" s="19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</row>
    <row r="1044" spans="1:36" ht="11.25" customHeight="1" x14ac:dyDescent="0.2">
      <c r="A1044" s="55" t="s">
        <v>21</v>
      </c>
      <c r="B1044" s="55" t="s">
        <v>41</v>
      </c>
      <c r="C1044" s="55" t="s">
        <v>42</v>
      </c>
      <c r="D1044" s="55" t="s">
        <v>38</v>
      </c>
      <c r="E1044" s="55" t="s">
        <v>25</v>
      </c>
      <c r="F1044" s="55" t="s">
        <v>25</v>
      </c>
      <c r="G1044" s="55" t="s">
        <v>25</v>
      </c>
      <c r="H1044" s="55" t="s">
        <v>25</v>
      </c>
      <c r="I1044" s="63">
        <v>44682</v>
      </c>
      <c r="J1044" s="64">
        <f ca="1">EFEITO!$J$1044*EFEITO!$Y$1044</f>
        <v>91980.574976431773</v>
      </c>
      <c r="K1044" s="64">
        <f>EFEITO!$L$1044*EFEITO!$Z$1044</f>
        <v>0</v>
      </c>
      <c r="L1044" s="64">
        <f>EFEITO!$N$1044*EFEITO!$AA$1044</f>
        <v>0</v>
      </c>
      <c r="M1044" s="64">
        <f ca="1">$J$1044-EFEITO!$K$1044*EFEITO!$Y$1044</f>
        <v>0</v>
      </c>
      <c r="N1044" s="64">
        <f>$K$1044-EFEITO!$M$1044*EFEITO!$Z$1044</f>
        <v>0</v>
      </c>
      <c r="O1044" s="64">
        <f>$L$1044-EFEITO!$O$1044*EFEITO!$AA$1044</f>
        <v>0</v>
      </c>
      <c r="P1044" s="19"/>
      <c r="Q1044" s="19"/>
      <c r="R1044" s="19"/>
      <c r="S1044" s="19"/>
      <c r="T1044" s="19"/>
      <c r="U1044" s="19"/>
      <c r="V1044" s="19"/>
      <c r="W1044" s="19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</row>
    <row r="1045" spans="1:36" ht="11.25" customHeight="1" x14ac:dyDescent="0.2">
      <c r="A1045" s="55" t="s">
        <v>21</v>
      </c>
      <c r="B1045" s="55" t="s">
        <v>41</v>
      </c>
      <c r="C1045" s="55" t="s">
        <v>42</v>
      </c>
      <c r="D1045" s="55" t="s">
        <v>38</v>
      </c>
      <c r="E1045" s="55" t="s">
        <v>25</v>
      </c>
      <c r="F1045" s="55" t="s">
        <v>25</v>
      </c>
      <c r="G1045" s="55" t="s">
        <v>25</v>
      </c>
      <c r="H1045" s="55" t="s">
        <v>25</v>
      </c>
      <c r="I1045" s="63">
        <v>44713</v>
      </c>
      <c r="J1045" s="64">
        <f ca="1">EFEITO!$J$1045*EFEITO!$Y$1045</f>
        <v>1182397.1512398911</v>
      </c>
      <c r="K1045" s="64">
        <f>EFEITO!$L$1045*EFEITO!$Z$1045</f>
        <v>0</v>
      </c>
      <c r="L1045" s="64">
        <f>EFEITO!$N$1045*EFEITO!$AA$1045</f>
        <v>0</v>
      </c>
      <c r="M1045" s="64">
        <f ca="1">$J$1045-EFEITO!$K$1045*EFEITO!$Y$1045</f>
        <v>0</v>
      </c>
      <c r="N1045" s="64">
        <f>$K$1045-EFEITO!$M$1045*EFEITO!$Z$1045</f>
        <v>0</v>
      </c>
      <c r="O1045" s="64">
        <f>$L$1045-EFEITO!$O$1045*EFEITO!$AA$1045</f>
        <v>0</v>
      </c>
      <c r="P1045" s="19"/>
      <c r="Q1045" s="19"/>
      <c r="R1045" s="19"/>
      <c r="S1045" s="19"/>
      <c r="T1045" s="19"/>
      <c r="U1045" s="19"/>
      <c r="V1045" s="19"/>
      <c r="W1045" s="19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</row>
    <row r="1046" spans="1:36" ht="11.25" customHeight="1" x14ac:dyDescent="0.2">
      <c r="A1046" s="55" t="s">
        <v>28</v>
      </c>
      <c r="B1046" s="55" t="s">
        <v>41</v>
      </c>
      <c r="C1046" s="55" t="s">
        <v>42</v>
      </c>
      <c r="D1046" s="55" t="s">
        <v>38</v>
      </c>
      <c r="E1046" s="55" t="s">
        <v>25</v>
      </c>
      <c r="F1046" s="55" t="s">
        <v>25</v>
      </c>
      <c r="G1046" s="55" t="s">
        <v>25</v>
      </c>
      <c r="H1046" s="55" t="s">
        <v>25</v>
      </c>
      <c r="I1046" s="63">
        <v>44713</v>
      </c>
      <c r="J1046" s="64">
        <f ca="1">EFEITO!$J$1046*EFEITO!$Y$1046</f>
        <v>256415.5628700128</v>
      </c>
      <c r="K1046" s="64">
        <f>EFEITO!$L$1046*EFEITO!$Z$1046</f>
        <v>0</v>
      </c>
      <c r="L1046" s="64">
        <f>EFEITO!$N$1046*EFEITO!$AA$1046</f>
        <v>0</v>
      </c>
      <c r="M1046" s="64">
        <f ca="1">$J$1046-EFEITO!$K$1046*EFEITO!$Y$1046</f>
        <v>0</v>
      </c>
      <c r="N1046" s="64">
        <f>$K$1046-EFEITO!$M$1046*EFEITO!$Z$1046</f>
        <v>0</v>
      </c>
      <c r="O1046" s="64">
        <f>$L$1046-EFEITO!$O$1046*EFEITO!$AA$1046</f>
        <v>0</v>
      </c>
      <c r="P1046" s="19"/>
      <c r="Q1046" s="19"/>
      <c r="R1046" s="19"/>
      <c r="S1046" s="19"/>
      <c r="T1046" s="19"/>
      <c r="U1046" s="19"/>
      <c r="V1046" s="19"/>
      <c r="W1046" s="19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</row>
    <row r="1047" spans="1:36" ht="11.25" customHeight="1" x14ac:dyDescent="0.2">
      <c r="A1047" s="55" t="s">
        <v>57</v>
      </c>
      <c r="B1047" s="55" t="s">
        <v>41</v>
      </c>
      <c r="C1047" s="55" t="s">
        <v>42</v>
      </c>
      <c r="D1047" s="55" t="s">
        <v>38</v>
      </c>
      <c r="E1047" s="55" t="s">
        <v>25</v>
      </c>
      <c r="F1047" s="55" t="s">
        <v>25</v>
      </c>
      <c r="G1047" s="55" t="s">
        <v>25</v>
      </c>
      <c r="H1047" s="55" t="s">
        <v>25</v>
      </c>
      <c r="I1047" s="63">
        <v>44743</v>
      </c>
      <c r="J1047" s="64">
        <f ca="1">EFEITO!$J$1047*EFEITO!$Y$1047</f>
        <v>1182397.1512398911</v>
      </c>
      <c r="K1047" s="64">
        <f>EFEITO!$L$1047*EFEITO!$Z$1047</f>
        <v>0</v>
      </c>
      <c r="L1047" s="64">
        <f>EFEITO!$N$1047*EFEITO!$AA$1047</f>
        <v>0</v>
      </c>
      <c r="M1047" s="64">
        <f ca="1">$J$1047-EFEITO!$K$1047*EFEITO!$Y$1047</f>
        <v>0</v>
      </c>
      <c r="N1047" s="64">
        <f>$K$1047-EFEITO!$M$1047*EFEITO!$Z$1047</f>
        <v>0</v>
      </c>
      <c r="O1047" s="64">
        <f>$L$1047-EFEITO!$O$1047*EFEITO!$AA$1047</f>
        <v>0</v>
      </c>
      <c r="P1047" s="19"/>
      <c r="Q1047" s="19"/>
      <c r="R1047" s="19"/>
      <c r="S1047" s="19"/>
      <c r="T1047" s="19"/>
      <c r="U1047" s="19"/>
      <c r="V1047" s="19"/>
      <c r="W1047" s="19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</row>
    <row r="1048" spans="1:36" ht="11.25" customHeight="1" x14ac:dyDescent="0.2">
      <c r="A1048" s="55" t="s">
        <v>57</v>
      </c>
      <c r="B1048" s="55" t="s">
        <v>41</v>
      </c>
      <c r="C1048" s="55" t="s">
        <v>42</v>
      </c>
      <c r="D1048" s="55" t="s">
        <v>38</v>
      </c>
      <c r="E1048" s="55" t="s">
        <v>25</v>
      </c>
      <c r="F1048" s="55" t="s">
        <v>25</v>
      </c>
      <c r="G1048" s="55" t="s">
        <v>25</v>
      </c>
      <c r="H1048" s="55" t="s">
        <v>25</v>
      </c>
      <c r="I1048" s="63">
        <v>44743</v>
      </c>
      <c r="J1048" s="64">
        <f ca="1">EFEITO!$J$1048*EFEITO!$Y$1048</f>
        <v>256415.5628700128</v>
      </c>
      <c r="K1048" s="64">
        <f>EFEITO!$L$1048*EFEITO!$Z$1048</f>
        <v>0</v>
      </c>
      <c r="L1048" s="64">
        <f>EFEITO!$N$1048*EFEITO!$AA$1048</f>
        <v>0</v>
      </c>
      <c r="M1048" s="64">
        <f ca="1">$J$1048-EFEITO!$K$1048*EFEITO!$Y$1048</f>
        <v>0</v>
      </c>
      <c r="N1048" s="64">
        <f>$K$1048-EFEITO!$M$1048*EFEITO!$Z$1048</f>
        <v>0</v>
      </c>
      <c r="O1048" s="64">
        <f>$L$1048-EFEITO!$O$1048*EFEITO!$AA$1048</f>
        <v>0</v>
      </c>
      <c r="P1048" s="19"/>
      <c r="Q1048" s="19"/>
      <c r="R1048" s="19"/>
      <c r="S1048" s="19"/>
      <c r="T1048" s="19"/>
      <c r="U1048" s="19"/>
      <c r="V1048" s="19"/>
      <c r="W1048" s="19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</row>
    <row r="1049" spans="1:36" ht="11.25" customHeight="1" x14ac:dyDescent="0.2">
      <c r="A1049" s="55" t="s">
        <v>21</v>
      </c>
      <c r="B1049" s="55" t="s">
        <v>41</v>
      </c>
      <c r="C1049" s="55" t="s">
        <v>42</v>
      </c>
      <c r="D1049" s="55" t="s">
        <v>38</v>
      </c>
      <c r="E1049" s="55" t="s">
        <v>25</v>
      </c>
      <c r="F1049" s="55" t="s">
        <v>25</v>
      </c>
      <c r="G1049" s="55" t="s">
        <v>25</v>
      </c>
      <c r="H1049" s="55" t="s">
        <v>34</v>
      </c>
      <c r="I1049" s="63">
        <v>44409</v>
      </c>
      <c r="J1049" s="64">
        <f>EFEITO!$J$1049*EFEITO!$Y$1049</f>
        <v>0</v>
      </c>
      <c r="K1049" s="64">
        <f ca="1">EFEITO!$L$1049*EFEITO!$Z$1049</f>
        <v>355267.41449115047</v>
      </c>
      <c r="L1049" s="64">
        <f>EFEITO!$N$1049*EFEITO!$AA$1049</f>
        <v>95098.269506712793</v>
      </c>
      <c r="M1049" s="64">
        <f>$J$1049-EFEITO!$K$1049*EFEITO!$Y$1049</f>
        <v>0</v>
      </c>
      <c r="N1049" s="64">
        <f ca="1">$K$1049-EFEITO!$M$1049*EFEITO!$Z$1049</f>
        <v>0</v>
      </c>
      <c r="O1049" s="64">
        <f>$L$1049-EFEITO!$O$1049*EFEITO!$AA$1049</f>
        <v>0</v>
      </c>
      <c r="P1049" s="19"/>
      <c r="Q1049" s="19"/>
      <c r="R1049" s="19"/>
      <c r="S1049" s="19"/>
      <c r="T1049" s="19"/>
      <c r="U1049" s="19"/>
      <c r="V1049" s="19"/>
      <c r="W1049" s="19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</row>
    <row r="1050" spans="1:36" ht="11.25" customHeight="1" x14ac:dyDescent="0.2">
      <c r="A1050" s="55" t="s">
        <v>27</v>
      </c>
      <c r="B1050" s="55" t="s">
        <v>41</v>
      </c>
      <c r="C1050" s="55" t="s">
        <v>42</v>
      </c>
      <c r="D1050" s="55" t="s">
        <v>38</v>
      </c>
      <c r="E1050" s="55" t="s">
        <v>25</v>
      </c>
      <c r="F1050" s="55" t="s">
        <v>25</v>
      </c>
      <c r="G1050" s="55" t="s">
        <v>25</v>
      </c>
      <c r="H1050" s="55" t="s">
        <v>34</v>
      </c>
      <c r="I1050" s="63">
        <v>44409</v>
      </c>
      <c r="J1050" s="64">
        <f>EFEITO!$J$1050*EFEITO!$Y$1050</f>
        <v>0</v>
      </c>
      <c r="K1050" s="64">
        <f ca="1">EFEITO!$L$1050*EFEITO!$Z$1050</f>
        <v>3200.4497147791076</v>
      </c>
      <c r="L1050" s="64">
        <f>EFEITO!$N$1050*EFEITO!$AA$1050</f>
        <v>856.69897408034603</v>
      </c>
      <c r="M1050" s="64">
        <f>$J$1050-EFEITO!$K$1050*EFEITO!$Y$1050</f>
        <v>0</v>
      </c>
      <c r="N1050" s="64">
        <f ca="1">$K$1050-EFEITO!$M$1050*EFEITO!$Z$1050</f>
        <v>0</v>
      </c>
      <c r="O1050" s="64">
        <f>$L$1050-EFEITO!$O$1050*EFEITO!$AA$1050</f>
        <v>0</v>
      </c>
      <c r="P1050" s="19"/>
      <c r="Q1050" s="19"/>
      <c r="R1050" s="19"/>
      <c r="S1050" s="19"/>
      <c r="T1050" s="19"/>
      <c r="U1050" s="19"/>
      <c r="V1050" s="19"/>
      <c r="W1050" s="19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</row>
    <row r="1051" spans="1:36" ht="11.25" customHeight="1" x14ac:dyDescent="0.2">
      <c r="A1051" s="55" t="s">
        <v>28</v>
      </c>
      <c r="B1051" s="55" t="s">
        <v>41</v>
      </c>
      <c r="C1051" s="55" t="s">
        <v>42</v>
      </c>
      <c r="D1051" s="55" t="s">
        <v>38</v>
      </c>
      <c r="E1051" s="55" t="s">
        <v>25</v>
      </c>
      <c r="F1051" s="55" t="s">
        <v>25</v>
      </c>
      <c r="G1051" s="55" t="s">
        <v>25</v>
      </c>
      <c r="H1051" s="55" t="s">
        <v>34</v>
      </c>
      <c r="I1051" s="63">
        <v>44409</v>
      </c>
      <c r="J1051" s="64">
        <f>EFEITO!$J$1051*EFEITO!$Y$1051</f>
        <v>0</v>
      </c>
      <c r="K1051" s="64">
        <f ca="1">EFEITO!$L$1051*EFEITO!$Z$1051</f>
        <v>18070.831926130813</v>
      </c>
      <c r="L1051" s="64">
        <f>EFEITO!$N$1051*EFEITO!$AA$1051</f>
        <v>4837.2149390146369</v>
      </c>
      <c r="M1051" s="64">
        <f>$J$1051-EFEITO!$K$1051*EFEITO!$Y$1051</f>
        <v>0</v>
      </c>
      <c r="N1051" s="64">
        <f ca="1">$K$1051-EFEITO!$M$1051*EFEITO!$Z$1051</f>
        <v>0</v>
      </c>
      <c r="O1051" s="64">
        <f>$L$1051-EFEITO!$O$1051*EFEITO!$AA$1051</f>
        <v>0</v>
      </c>
      <c r="P1051" s="19"/>
      <c r="Q1051" s="19"/>
      <c r="R1051" s="19"/>
      <c r="S1051" s="19"/>
      <c r="T1051" s="19"/>
      <c r="U1051" s="19"/>
      <c r="V1051" s="19"/>
      <c r="W1051" s="19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</row>
    <row r="1052" spans="1:36" ht="11.25" customHeight="1" x14ac:dyDescent="0.2">
      <c r="A1052" s="55" t="s">
        <v>21</v>
      </c>
      <c r="B1052" s="55" t="s">
        <v>41</v>
      </c>
      <c r="C1052" s="55" t="s">
        <v>42</v>
      </c>
      <c r="D1052" s="55" t="s">
        <v>38</v>
      </c>
      <c r="E1052" s="55" t="s">
        <v>25</v>
      </c>
      <c r="F1052" s="55" t="s">
        <v>25</v>
      </c>
      <c r="G1052" s="55" t="s">
        <v>25</v>
      </c>
      <c r="H1052" s="55" t="s">
        <v>34</v>
      </c>
      <c r="I1052" s="63">
        <v>44409</v>
      </c>
      <c r="J1052" s="64">
        <f>EFEITO!$J$1052*EFEITO!$Y$1052</f>
        <v>0</v>
      </c>
      <c r="K1052" s="64">
        <f ca="1">EFEITO!$L$1052*EFEITO!$Z$1052</f>
        <v>1629.833727753364</v>
      </c>
      <c r="L1052" s="64">
        <f>EFEITO!$N$1052*EFEITO!$AA$1052</f>
        <v>0</v>
      </c>
      <c r="M1052" s="64">
        <f>$J$1052-EFEITO!$K$1052*EFEITO!$Y$1052</f>
        <v>0</v>
      </c>
      <c r="N1052" s="64">
        <f ca="1">$K$1052-EFEITO!$M$1052*EFEITO!$Z$1052</f>
        <v>0</v>
      </c>
      <c r="O1052" s="64">
        <f>$L$1052-EFEITO!$O$1052*EFEITO!$AA$1052</f>
        <v>0</v>
      </c>
      <c r="P1052" s="19"/>
      <c r="Q1052" s="19"/>
      <c r="R1052" s="19"/>
      <c r="S1052" s="19"/>
      <c r="T1052" s="19"/>
      <c r="U1052" s="19"/>
      <c r="V1052" s="19"/>
      <c r="W1052" s="19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</row>
    <row r="1053" spans="1:36" ht="11.25" customHeight="1" x14ac:dyDescent="0.2">
      <c r="A1053" s="55" t="s">
        <v>21</v>
      </c>
      <c r="B1053" s="55" t="s">
        <v>41</v>
      </c>
      <c r="C1053" s="55" t="s">
        <v>42</v>
      </c>
      <c r="D1053" s="55" t="s">
        <v>38</v>
      </c>
      <c r="E1053" s="55" t="s">
        <v>25</v>
      </c>
      <c r="F1053" s="55" t="s">
        <v>25</v>
      </c>
      <c r="G1053" s="55" t="s">
        <v>25</v>
      </c>
      <c r="H1053" s="55" t="s">
        <v>34</v>
      </c>
      <c r="I1053" s="63">
        <v>44440</v>
      </c>
      <c r="J1053" s="64">
        <f>EFEITO!$J$1053*EFEITO!$Y$1053</f>
        <v>0</v>
      </c>
      <c r="K1053" s="64">
        <f ca="1">EFEITO!$L$1053*EFEITO!$Z$1053</f>
        <v>318388.22059528116</v>
      </c>
      <c r="L1053" s="64">
        <f>EFEITO!$N$1053*EFEITO!$AA$1053</f>
        <v>85226.41698873564</v>
      </c>
      <c r="M1053" s="64">
        <f>$J$1053-EFEITO!$K$1053*EFEITO!$Y$1053</f>
        <v>0</v>
      </c>
      <c r="N1053" s="64">
        <f ca="1">$K$1053-EFEITO!$M$1053*EFEITO!$Z$1053</f>
        <v>0</v>
      </c>
      <c r="O1053" s="64">
        <f>$L$1053-EFEITO!$O$1053*EFEITO!$AA$1053</f>
        <v>0</v>
      </c>
      <c r="P1053" s="19"/>
      <c r="Q1053" s="19"/>
      <c r="R1053" s="19"/>
      <c r="S1053" s="19"/>
      <c r="T1053" s="19"/>
      <c r="U1053" s="19"/>
      <c r="V1053" s="19"/>
      <c r="W1053" s="19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</row>
    <row r="1054" spans="1:36" ht="11.25" customHeight="1" x14ac:dyDescent="0.2">
      <c r="A1054" s="55" t="s">
        <v>28</v>
      </c>
      <c r="B1054" s="55" t="s">
        <v>41</v>
      </c>
      <c r="C1054" s="55" t="s">
        <v>42</v>
      </c>
      <c r="D1054" s="55" t="s">
        <v>38</v>
      </c>
      <c r="E1054" s="55" t="s">
        <v>25</v>
      </c>
      <c r="F1054" s="55" t="s">
        <v>25</v>
      </c>
      <c r="G1054" s="55" t="s">
        <v>25</v>
      </c>
      <c r="H1054" s="55" t="s">
        <v>34</v>
      </c>
      <c r="I1054" s="63">
        <v>44440</v>
      </c>
      <c r="J1054" s="64">
        <f>EFEITO!$J$1054*EFEITO!$Y$1054</f>
        <v>0</v>
      </c>
      <c r="K1054" s="64">
        <f ca="1">EFEITO!$L$1054*EFEITO!$Z$1054</f>
        <v>39103.896746386446</v>
      </c>
      <c r="L1054" s="64">
        <f>EFEITO!$N$1054*EFEITO!$AA$1054</f>
        <v>10467.362780447625</v>
      </c>
      <c r="M1054" s="64">
        <f>$J$1054-EFEITO!$K$1054*EFEITO!$Y$1054</f>
        <v>0</v>
      </c>
      <c r="N1054" s="64">
        <f ca="1">$K$1054-EFEITO!$M$1054*EFEITO!$Z$1054</f>
        <v>0</v>
      </c>
      <c r="O1054" s="64">
        <f>$L$1054-EFEITO!$O$1054*EFEITO!$AA$1054</f>
        <v>0</v>
      </c>
      <c r="P1054" s="19"/>
      <c r="Q1054" s="19"/>
      <c r="R1054" s="19"/>
      <c r="S1054" s="19"/>
      <c r="T1054" s="19"/>
      <c r="U1054" s="19"/>
      <c r="V1054" s="19"/>
      <c r="W1054" s="19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</row>
    <row r="1055" spans="1:36" ht="11.25" customHeight="1" x14ac:dyDescent="0.2">
      <c r="A1055" s="55" t="s">
        <v>21</v>
      </c>
      <c r="B1055" s="55" t="s">
        <v>41</v>
      </c>
      <c r="C1055" s="55" t="s">
        <v>42</v>
      </c>
      <c r="D1055" s="55" t="s">
        <v>38</v>
      </c>
      <c r="E1055" s="55" t="s">
        <v>25</v>
      </c>
      <c r="F1055" s="55" t="s">
        <v>25</v>
      </c>
      <c r="G1055" s="55" t="s">
        <v>25</v>
      </c>
      <c r="H1055" s="55" t="s">
        <v>34</v>
      </c>
      <c r="I1055" s="63">
        <v>44440</v>
      </c>
      <c r="J1055" s="64">
        <f>EFEITO!$J$1055*EFEITO!$Y$1055</f>
        <v>0</v>
      </c>
      <c r="K1055" s="64">
        <f ca="1">EFEITO!$L$1055*EFEITO!$Z$1055</f>
        <v>1067.2651908409723</v>
      </c>
      <c r="L1055" s="64">
        <f>EFEITO!$N$1055*EFEITO!$AA$1055</f>
        <v>0</v>
      </c>
      <c r="M1055" s="64">
        <f>$J$1055-EFEITO!$K$1055*EFEITO!$Y$1055</f>
        <v>0</v>
      </c>
      <c r="N1055" s="64">
        <f ca="1">$K$1055-EFEITO!$M$1055*EFEITO!$Z$1055</f>
        <v>0</v>
      </c>
      <c r="O1055" s="64">
        <f>$L$1055-EFEITO!$O$1055*EFEITO!$AA$1055</f>
        <v>0</v>
      </c>
      <c r="P1055" s="19"/>
      <c r="Q1055" s="19"/>
      <c r="R1055" s="19"/>
      <c r="S1055" s="19"/>
      <c r="T1055" s="19"/>
      <c r="U1055" s="19"/>
      <c r="V1055" s="19"/>
      <c r="W1055" s="19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</row>
    <row r="1056" spans="1:36" ht="11.25" customHeight="1" x14ac:dyDescent="0.2">
      <c r="A1056" s="55" t="s">
        <v>21</v>
      </c>
      <c r="B1056" s="55" t="s">
        <v>41</v>
      </c>
      <c r="C1056" s="55" t="s">
        <v>42</v>
      </c>
      <c r="D1056" s="55" t="s">
        <v>38</v>
      </c>
      <c r="E1056" s="55" t="s">
        <v>25</v>
      </c>
      <c r="F1056" s="55" t="s">
        <v>25</v>
      </c>
      <c r="G1056" s="55" t="s">
        <v>25</v>
      </c>
      <c r="H1056" s="55" t="s">
        <v>34</v>
      </c>
      <c r="I1056" s="63">
        <v>44470</v>
      </c>
      <c r="J1056" s="64">
        <f>EFEITO!$J$1056*EFEITO!$Y$1056</f>
        <v>0</v>
      </c>
      <c r="K1056" s="64">
        <f ca="1">EFEITO!$L$1056*EFEITO!$Z$1056</f>
        <v>311850.04367585439</v>
      </c>
      <c r="L1056" s="64">
        <f>EFEITO!$N$1056*EFEITO!$AA$1056</f>
        <v>83476.272490803647</v>
      </c>
      <c r="M1056" s="64">
        <f>$J$1056-EFEITO!$K$1056*EFEITO!$Y$1056</f>
        <v>0</v>
      </c>
      <c r="N1056" s="64">
        <f ca="1">$K$1056-EFEITO!$M$1056*EFEITO!$Z$1056</f>
        <v>0</v>
      </c>
      <c r="O1056" s="64">
        <f>$L$1056-EFEITO!$O$1056*EFEITO!$AA$1056</f>
        <v>0</v>
      </c>
      <c r="P1056" s="19"/>
      <c r="Q1056" s="19"/>
      <c r="R1056" s="19"/>
      <c r="S1056" s="19"/>
      <c r="T1056" s="19"/>
      <c r="U1056" s="19"/>
      <c r="V1056" s="19"/>
      <c r="W1056" s="19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</row>
    <row r="1057" spans="1:36" ht="11.25" customHeight="1" x14ac:dyDescent="0.2">
      <c r="A1057" s="55" t="s">
        <v>28</v>
      </c>
      <c r="B1057" s="55" t="s">
        <v>41</v>
      </c>
      <c r="C1057" s="55" t="s">
        <v>42</v>
      </c>
      <c r="D1057" s="55" t="s">
        <v>38</v>
      </c>
      <c r="E1057" s="55" t="s">
        <v>25</v>
      </c>
      <c r="F1057" s="55" t="s">
        <v>25</v>
      </c>
      <c r="G1057" s="55" t="s">
        <v>25</v>
      </c>
      <c r="H1057" s="55" t="s">
        <v>34</v>
      </c>
      <c r="I1057" s="63">
        <v>44470</v>
      </c>
      <c r="J1057" s="64">
        <f>EFEITO!$J$1057*EFEITO!$Y$1057</f>
        <v>0</v>
      </c>
      <c r="K1057" s="64">
        <f ca="1">EFEITO!$L$1057*EFEITO!$Z$1057</f>
        <v>37262.763352854985</v>
      </c>
      <c r="L1057" s="64">
        <f>EFEITO!$N$1057*EFEITO!$AA$1057</f>
        <v>9974.526701161707</v>
      </c>
      <c r="M1057" s="64">
        <f>$J$1057-EFEITO!$K$1057*EFEITO!$Y$1057</f>
        <v>0</v>
      </c>
      <c r="N1057" s="64">
        <f ca="1">$K$1057-EFEITO!$M$1057*EFEITO!$Z$1057</f>
        <v>0</v>
      </c>
      <c r="O1057" s="64">
        <f>$L$1057-EFEITO!$O$1057*EFEITO!$AA$1057</f>
        <v>0</v>
      </c>
      <c r="P1057" s="19"/>
      <c r="Q1057" s="19"/>
      <c r="R1057" s="19"/>
      <c r="S1057" s="19"/>
      <c r="T1057" s="19"/>
      <c r="U1057" s="19"/>
      <c r="V1057" s="19"/>
      <c r="W1057" s="19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</row>
    <row r="1058" spans="1:36" ht="11.25" customHeight="1" x14ac:dyDescent="0.2">
      <c r="A1058" s="55" t="s">
        <v>28</v>
      </c>
      <c r="B1058" s="55" t="s">
        <v>41</v>
      </c>
      <c r="C1058" s="55" t="s">
        <v>42</v>
      </c>
      <c r="D1058" s="55" t="s">
        <v>38</v>
      </c>
      <c r="E1058" s="55" t="s">
        <v>25</v>
      </c>
      <c r="F1058" s="55" t="s">
        <v>25</v>
      </c>
      <c r="G1058" s="55" t="s">
        <v>25</v>
      </c>
      <c r="H1058" s="55" t="s">
        <v>34</v>
      </c>
      <c r="I1058" s="63">
        <v>44470</v>
      </c>
      <c r="J1058" s="64">
        <f>EFEITO!$J$1058*EFEITO!$Y$1058</f>
        <v>0</v>
      </c>
      <c r="K1058" s="64">
        <f ca="1">EFEITO!$L$1058*EFEITO!$Z$1058</f>
        <v>-2180.2895449714697</v>
      </c>
      <c r="L1058" s="64">
        <f>EFEITO!$N$1058*EFEITO!$AA$1058</f>
        <v>-583.6216728385873</v>
      </c>
      <c r="M1058" s="64">
        <f>$J$1058-EFEITO!$K$1058*EFEITO!$Y$1058</f>
        <v>0</v>
      </c>
      <c r="N1058" s="64">
        <f ca="1">$K$1058-EFEITO!$M$1058*EFEITO!$Z$1058</f>
        <v>0</v>
      </c>
      <c r="O1058" s="64">
        <f>$L$1058-EFEITO!$O$1058*EFEITO!$AA$1058</f>
        <v>0</v>
      </c>
      <c r="P1058" s="19"/>
      <c r="Q1058" s="19"/>
      <c r="R1058" s="19"/>
      <c r="S1058" s="19"/>
      <c r="T1058" s="19"/>
      <c r="U1058" s="19"/>
      <c r="V1058" s="19"/>
      <c r="W1058" s="19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</row>
    <row r="1059" spans="1:36" ht="11.25" customHeight="1" x14ac:dyDescent="0.2">
      <c r="A1059" s="55" t="s">
        <v>21</v>
      </c>
      <c r="B1059" s="55" t="s">
        <v>41</v>
      </c>
      <c r="C1059" s="55" t="s">
        <v>42</v>
      </c>
      <c r="D1059" s="55" t="s">
        <v>38</v>
      </c>
      <c r="E1059" s="55" t="s">
        <v>25</v>
      </c>
      <c r="F1059" s="55" t="s">
        <v>25</v>
      </c>
      <c r="G1059" s="55" t="s">
        <v>25</v>
      </c>
      <c r="H1059" s="55" t="s">
        <v>34</v>
      </c>
      <c r="I1059" s="63">
        <v>44470</v>
      </c>
      <c r="J1059" s="64">
        <f>EFEITO!$J$1059*EFEITO!$Y$1059</f>
        <v>0</v>
      </c>
      <c r="K1059" s="64">
        <f ca="1">EFEITO!$L$1059*EFEITO!$Z$1059</f>
        <v>7735.9903114172876</v>
      </c>
      <c r="L1059" s="64">
        <f>EFEITO!$N$1059*EFEITO!$AA$1059</f>
        <v>0</v>
      </c>
      <c r="M1059" s="64">
        <f>$J$1059-EFEITO!$K$1059*EFEITO!$Y$1059</f>
        <v>0</v>
      </c>
      <c r="N1059" s="64">
        <f ca="1">$K$1059-EFEITO!$M$1059*EFEITO!$Z$1059</f>
        <v>0</v>
      </c>
      <c r="O1059" s="64">
        <f>$L$1059-EFEITO!$O$1059*EFEITO!$AA$1059</f>
        <v>0</v>
      </c>
      <c r="P1059" s="19"/>
      <c r="Q1059" s="19"/>
      <c r="R1059" s="19"/>
      <c r="S1059" s="19"/>
      <c r="T1059" s="19"/>
      <c r="U1059" s="19"/>
      <c r="V1059" s="19"/>
      <c r="W1059" s="19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</row>
    <row r="1060" spans="1:36" ht="11.25" customHeight="1" x14ac:dyDescent="0.2">
      <c r="A1060" s="55" t="s">
        <v>21</v>
      </c>
      <c r="B1060" s="55" t="s">
        <v>41</v>
      </c>
      <c r="C1060" s="55" t="s">
        <v>42</v>
      </c>
      <c r="D1060" s="55" t="s">
        <v>38</v>
      </c>
      <c r="E1060" s="55" t="s">
        <v>25</v>
      </c>
      <c r="F1060" s="55" t="s">
        <v>25</v>
      </c>
      <c r="G1060" s="55" t="s">
        <v>25</v>
      </c>
      <c r="H1060" s="55" t="s">
        <v>34</v>
      </c>
      <c r="I1060" s="63">
        <v>44501</v>
      </c>
      <c r="J1060" s="64">
        <f>EFEITO!$J$1060*EFEITO!$Y$1060</f>
        <v>0</v>
      </c>
      <c r="K1060" s="64">
        <f ca="1">EFEITO!$L$1060*EFEITO!$Z$1060</f>
        <v>308515.00818669435</v>
      </c>
      <c r="L1060" s="64">
        <f>EFEITO!$N$1060*EFEITO!$AA$1060</f>
        <v>82583.547487535732</v>
      </c>
      <c r="M1060" s="64">
        <f>$J$1060-EFEITO!$K$1060*EFEITO!$Y$1060</f>
        <v>0</v>
      </c>
      <c r="N1060" s="64">
        <f ca="1">$K$1060-EFEITO!$M$1060*EFEITO!$Z$1060</f>
        <v>0</v>
      </c>
      <c r="O1060" s="64">
        <f>$L$1060-EFEITO!$O$1060*EFEITO!$AA$1060</f>
        <v>0</v>
      </c>
      <c r="P1060" s="19"/>
      <c r="Q1060" s="19"/>
      <c r="R1060" s="19"/>
      <c r="S1060" s="19"/>
      <c r="T1060" s="19"/>
      <c r="U1060" s="19"/>
      <c r="V1060" s="19"/>
      <c r="W1060" s="19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</row>
    <row r="1061" spans="1:36" ht="11.25" customHeight="1" x14ac:dyDescent="0.2">
      <c r="A1061" s="55" t="s">
        <v>27</v>
      </c>
      <c r="B1061" s="55" t="s">
        <v>41</v>
      </c>
      <c r="C1061" s="55" t="s">
        <v>42</v>
      </c>
      <c r="D1061" s="55" t="s">
        <v>38</v>
      </c>
      <c r="E1061" s="55" t="s">
        <v>25</v>
      </c>
      <c r="F1061" s="55" t="s">
        <v>25</v>
      </c>
      <c r="G1061" s="55" t="s">
        <v>25</v>
      </c>
      <c r="H1061" s="55" t="s">
        <v>34</v>
      </c>
      <c r="I1061" s="63">
        <v>44501</v>
      </c>
      <c r="J1061" s="64">
        <f>EFEITO!$J$1061*EFEITO!$Y$1061</f>
        <v>0</v>
      </c>
      <c r="K1061" s="64">
        <f ca="1">EFEITO!$L$1061*EFEITO!$Z$1061</f>
        <v>-481.8170722838185</v>
      </c>
      <c r="L1061" s="64">
        <f>EFEITO!$N$1061*EFEITO!$AA$1061</f>
        <v>-128.97318449149026</v>
      </c>
      <c r="M1061" s="64">
        <f>$J$1061-EFEITO!$K$1061*EFEITO!$Y$1061</f>
        <v>0</v>
      </c>
      <c r="N1061" s="64">
        <f ca="1">$K$1061-EFEITO!$M$1061*EFEITO!$Z$1061</f>
        <v>0</v>
      </c>
      <c r="O1061" s="64">
        <f>$L$1061-EFEITO!$O$1061*EFEITO!$AA$1061</f>
        <v>0</v>
      </c>
      <c r="P1061" s="19"/>
      <c r="Q1061" s="19"/>
      <c r="R1061" s="19"/>
      <c r="S1061" s="19"/>
      <c r="T1061" s="19"/>
      <c r="U1061" s="19"/>
      <c r="V1061" s="19"/>
      <c r="W1061" s="19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</row>
    <row r="1062" spans="1:36" ht="11.25" customHeight="1" x14ac:dyDescent="0.2">
      <c r="A1062" s="55" t="s">
        <v>28</v>
      </c>
      <c r="B1062" s="55" t="s">
        <v>41</v>
      </c>
      <c r="C1062" s="55" t="s">
        <v>42</v>
      </c>
      <c r="D1062" s="55" t="s">
        <v>38</v>
      </c>
      <c r="E1062" s="55" t="s">
        <v>25</v>
      </c>
      <c r="F1062" s="55" t="s">
        <v>25</v>
      </c>
      <c r="G1062" s="55" t="s">
        <v>25</v>
      </c>
      <c r="H1062" s="55" t="s">
        <v>34</v>
      </c>
      <c r="I1062" s="63">
        <v>44501</v>
      </c>
      <c r="J1062" s="64">
        <f>EFEITO!$J$1062*EFEITO!$Y$1062</f>
        <v>0</v>
      </c>
      <c r="K1062" s="64">
        <f ca="1">EFEITO!$L$1062*EFEITO!$Z$1062</f>
        <v>30030.123837622465</v>
      </c>
      <c r="L1062" s="64">
        <f>EFEITO!$N$1062*EFEITO!$AA$1062</f>
        <v>8038.4878926218498</v>
      </c>
      <c r="M1062" s="64">
        <f>$J$1062-EFEITO!$K$1062*EFEITO!$Y$1062</f>
        <v>0</v>
      </c>
      <c r="N1062" s="64">
        <f ca="1">$K$1062-EFEITO!$M$1062*EFEITO!$Z$1062</f>
        <v>0</v>
      </c>
      <c r="O1062" s="64">
        <f>$L$1062-EFEITO!$O$1062*EFEITO!$AA$1062</f>
        <v>0</v>
      </c>
      <c r="P1062" s="19"/>
      <c r="Q1062" s="19"/>
      <c r="R1062" s="19"/>
      <c r="S1062" s="19"/>
      <c r="T1062" s="19"/>
      <c r="U1062" s="19"/>
      <c r="V1062" s="19"/>
      <c r="W1062" s="19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</row>
    <row r="1063" spans="1:36" ht="11.25" customHeight="1" x14ac:dyDescent="0.2">
      <c r="A1063" s="55" t="s">
        <v>21</v>
      </c>
      <c r="B1063" s="55" t="s">
        <v>41</v>
      </c>
      <c r="C1063" s="55" t="s">
        <v>42</v>
      </c>
      <c r="D1063" s="55" t="s">
        <v>38</v>
      </c>
      <c r="E1063" s="55" t="s">
        <v>25</v>
      </c>
      <c r="F1063" s="55" t="s">
        <v>25</v>
      </c>
      <c r="G1063" s="55" t="s">
        <v>25</v>
      </c>
      <c r="H1063" s="55" t="s">
        <v>34</v>
      </c>
      <c r="I1063" s="63">
        <v>44501</v>
      </c>
      <c r="J1063" s="64">
        <f>EFEITO!$J$1063*EFEITO!$Y$1063</f>
        <v>0</v>
      </c>
      <c r="K1063" s="64">
        <f ca="1">EFEITO!$L$1063*EFEITO!$Z$1063</f>
        <v>7414.3303106468056</v>
      </c>
      <c r="L1063" s="64">
        <f>EFEITO!$N$1063*EFEITO!$AA$1063</f>
        <v>0</v>
      </c>
      <c r="M1063" s="64">
        <f>$J$1063-EFEITO!$K$1063*EFEITO!$Y$1063</f>
        <v>0</v>
      </c>
      <c r="N1063" s="64">
        <f ca="1">$K$1063-EFEITO!$M$1063*EFEITO!$Z$1063</f>
        <v>0</v>
      </c>
      <c r="O1063" s="64">
        <f>$L$1063-EFEITO!$O$1063*EFEITO!$AA$1063</f>
        <v>0</v>
      </c>
      <c r="P1063" s="19"/>
      <c r="Q1063" s="19"/>
      <c r="R1063" s="19"/>
      <c r="S1063" s="19"/>
      <c r="T1063" s="19"/>
      <c r="U1063" s="19"/>
      <c r="V1063" s="19"/>
      <c r="W1063" s="19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</row>
    <row r="1064" spans="1:36" ht="11.25" customHeight="1" x14ac:dyDescent="0.2">
      <c r="A1064" s="55" t="s">
        <v>21</v>
      </c>
      <c r="B1064" s="55" t="s">
        <v>41</v>
      </c>
      <c r="C1064" s="55" t="s">
        <v>42</v>
      </c>
      <c r="D1064" s="55" t="s">
        <v>38</v>
      </c>
      <c r="E1064" s="55" t="s">
        <v>25</v>
      </c>
      <c r="F1064" s="55" t="s">
        <v>25</v>
      </c>
      <c r="G1064" s="55" t="s">
        <v>25</v>
      </c>
      <c r="H1064" s="55" t="s">
        <v>34</v>
      </c>
      <c r="I1064" s="63">
        <v>44531</v>
      </c>
      <c r="J1064" s="64">
        <f>EFEITO!$J$1064*EFEITO!$Y$1064</f>
        <v>0</v>
      </c>
      <c r="K1064" s="64">
        <f ca="1">EFEITO!$L$1064*EFEITO!$Z$1064</f>
        <v>340496.62575284066</v>
      </c>
      <c r="L1064" s="64">
        <f>EFEITO!$N$1064*EFEITO!$AA$1064</f>
        <v>91144.412803377301</v>
      </c>
      <c r="M1064" s="64">
        <f>$J$1064-EFEITO!$K$1064*EFEITO!$Y$1064</f>
        <v>0</v>
      </c>
      <c r="N1064" s="64">
        <f ca="1">$K$1064-EFEITO!$M$1064*EFEITO!$Z$1064</f>
        <v>0</v>
      </c>
      <c r="O1064" s="64">
        <f>$L$1064-EFEITO!$O$1064*EFEITO!$AA$1064</f>
        <v>0</v>
      </c>
      <c r="P1064" s="19"/>
      <c r="Q1064" s="19"/>
      <c r="R1064" s="19"/>
      <c r="S1064" s="19"/>
      <c r="T1064" s="19"/>
      <c r="U1064" s="19"/>
      <c r="V1064" s="19"/>
      <c r="W1064" s="19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</row>
    <row r="1065" spans="1:36" ht="11.25" customHeight="1" x14ac:dyDescent="0.2">
      <c r="A1065" s="55" t="s">
        <v>27</v>
      </c>
      <c r="B1065" s="55" t="s">
        <v>41</v>
      </c>
      <c r="C1065" s="55" t="s">
        <v>42</v>
      </c>
      <c r="D1065" s="55" t="s">
        <v>38</v>
      </c>
      <c r="E1065" s="55" t="s">
        <v>25</v>
      </c>
      <c r="F1065" s="55" t="s">
        <v>25</v>
      </c>
      <c r="G1065" s="55" t="s">
        <v>25</v>
      </c>
      <c r="H1065" s="55" t="s">
        <v>34</v>
      </c>
      <c r="I1065" s="63">
        <v>44531</v>
      </c>
      <c r="J1065" s="64">
        <f>EFEITO!$J$1065*EFEITO!$Y$1065</f>
        <v>0</v>
      </c>
      <c r="K1065" s="64">
        <f ca="1">EFEITO!$L$1065*EFEITO!$Z$1065</f>
        <v>-1806.1410921924148</v>
      </c>
      <c r="L1065" s="64">
        <f>EFEITO!$N$1065*EFEITO!$AA$1065</f>
        <v>-483.46931169715072</v>
      </c>
      <c r="M1065" s="64">
        <f>$J$1065-EFEITO!$K$1065*EFEITO!$Y$1065</f>
        <v>0</v>
      </c>
      <c r="N1065" s="64">
        <f ca="1">$K$1065-EFEITO!$M$1065*EFEITO!$Z$1065</f>
        <v>0</v>
      </c>
      <c r="O1065" s="64">
        <f>$L$1065-EFEITO!$O$1065*EFEITO!$AA$1065</f>
        <v>0</v>
      </c>
      <c r="P1065" s="19"/>
      <c r="Q1065" s="19"/>
      <c r="R1065" s="19"/>
      <c r="S1065" s="19"/>
      <c r="T1065" s="19"/>
      <c r="U1065" s="19"/>
      <c r="V1065" s="19"/>
      <c r="W1065" s="19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</row>
    <row r="1066" spans="1:36" ht="11.25" customHeight="1" x14ac:dyDescent="0.2">
      <c r="A1066" s="55" t="s">
        <v>28</v>
      </c>
      <c r="B1066" s="55" t="s">
        <v>41</v>
      </c>
      <c r="C1066" s="55" t="s">
        <v>42</v>
      </c>
      <c r="D1066" s="55" t="s">
        <v>38</v>
      </c>
      <c r="E1066" s="55" t="s">
        <v>25</v>
      </c>
      <c r="F1066" s="55" t="s">
        <v>25</v>
      </c>
      <c r="G1066" s="55" t="s">
        <v>25</v>
      </c>
      <c r="H1066" s="55" t="s">
        <v>34</v>
      </c>
      <c r="I1066" s="63">
        <v>44531</v>
      </c>
      <c r="J1066" s="64">
        <f>EFEITO!$J$1066*EFEITO!$Y$1066</f>
        <v>0</v>
      </c>
      <c r="K1066" s="64">
        <f ca="1">EFEITO!$L$1066*EFEITO!$Z$1066</f>
        <v>48240.924969109474</v>
      </c>
      <c r="L1066" s="64">
        <f>EFEITO!$N$1066*EFEITO!$AA$1066</f>
        <v>12913.169901991558</v>
      </c>
      <c r="M1066" s="64">
        <f>$J$1066-EFEITO!$K$1066*EFEITO!$Y$1066</f>
        <v>0</v>
      </c>
      <c r="N1066" s="64">
        <f ca="1">$K$1066-EFEITO!$M$1066*EFEITO!$Z$1066</f>
        <v>0</v>
      </c>
      <c r="O1066" s="64">
        <f>$L$1066-EFEITO!$O$1066*EFEITO!$AA$1066</f>
        <v>0</v>
      </c>
      <c r="P1066" s="19"/>
      <c r="Q1066" s="19"/>
      <c r="R1066" s="19"/>
      <c r="S1066" s="19"/>
      <c r="T1066" s="19"/>
      <c r="U1066" s="19"/>
      <c r="V1066" s="19"/>
      <c r="W1066" s="19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</row>
    <row r="1067" spans="1:36" ht="11.25" customHeight="1" x14ac:dyDescent="0.2">
      <c r="A1067" s="55" t="s">
        <v>21</v>
      </c>
      <c r="B1067" s="55" t="s">
        <v>41</v>
      </c>
      <c r="C1067" s="55" t="s">
        <v>42</v>
      </c>
      <c r="D1067" s="55" t="s">
        <v>38</v>
      </c>
      <c r="E1067" s="55" t="s">
        <v>25</v>
      </c>
      <c r="F1067" s="55" t="s">
        <v>25</v>
      </c>
      <c r="G1067" s="55" t="s">
        <v>25</v>
      </c>
      <c r="H1067" s="55" t="s">
        <v>34</v>
      </c>
      <c r="I1067" s="63">
        <v>44531</v>
      </c>
      <c r="J1067" s="64">
        <f>EFEITO!$J$1067*EFEITO!$Y$1067</f>
        <v>0</v>
      </c>
      <c r="K1067" s="64">
        <f ca="1">EFEITO!$L$1067*EFEITO!$Z$1067</f>
        <v>831.74008567430121</v>
      </c>
      <c r="L1067" s="64">
        <f>EFEITO!$N$1067*EFEITO!$AA$1067</f>
        <v>0</v>
      </c>
      <c r="M1067" s="64">
        <f>$J$1067-EFEITO!$K$1067*EFEITO!$Y$1067</f>
        <v>0</v>
      </c>
      <c r="N1067" s="64">
        <f ca="1">$K$1067-EFEITO!$M$1067*EFEITO!$Z$1067</f>
        <v>0</v>
      </c>
      <c r="O1067" s="64">
        <f>$L$1067-EFEITO!$O$1067*EFEITO!$AA$1067</f>
        <v>0</v>
      </c>
      <c r="P1067" s="19"/>
      <c r="Q1067" s="19"/>
      <c r="R1067" s="19"/>
      <c r="S1067" s="19"/>
      <c r="T1067" s="19"/>
      <c r="U1067" s="19"/>
      <c r="V1067" s="19"/>
      <c r="W1067" s="19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</row>
    <row r="1068" spans="1:36" ht="11.25" customHeight="1" x14ac:dyDescent="0.2">
      <c r="A1068" s="55" t="s">
        <v>21</v>
      </c>
      <c r="B1068" s="55" t="s">
        <v>41</v>
      </c>
      <c r="C1068" s="55" t="s">
        <v>42</v>
      </c>
      <c r="D1068" s="55" t="s">
        <v>38</v>
      </c>
      <c r="E1068" s="55" t="s">
        <v>25</v>
      </c>
      <c r="F1068" s="55" t="s">
        <v>25</v>
      </c>
      <c r="G1068" s="55" t="s">
        <v>25</v>
      </c>
      <c r="H1068" s="55" t="s">
        <v>34</v>
      </c>
      <c r="I1068" s="63">
        <v>44562</v>
      </c>
      <c r="J1068" s="64">
        <f>EFEITO!$J$1068*EFEITO!$Y$1068</f>
        <v>0</v>
      </c>
      <c r="K1068" s="64">
        <f ca="1">EFEITO!$L$1068*EFEITO!$Z$1068</f>
        <v>340162.85303237586</v>
      </c>
      <c r="L1068" s="64">
        <f>EFEITO!$N$1068*EFEITO!$AA$1068</f>
        <v>91055.068250992132</v>
      </c>
      <c r="M1068" s="64">
        <f>$J$1068-EFEITO!$K$1068*EFEITO!$Y$1068</f>
        <v>0</v>
      </c>
      <c r="N1068" s="64">
        <f ca="1">$K$1068-EFEITO!$M$1068*EFEITO!$Z$1068</f>
        <v>0</v>
      </c>
      <c r="O1068" s="64">
        <f>$L$1068-EFEITO!$O$1068*EFEITO!$AA$1068</f>
        <v>0</v>
      </c>
      <c r="P1068" s="19"/>
      <c r="Q1068" s="19"/>
      <c r="R1068" s="19"/>
      <c r="S1068" s="19"/>
      <c r="T1068" s="19"/>
      <c r="U1068" s="19"/>
      <c r="V1068" s="19"/>
      <c r="W1068" s="19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</row>
    <row r="1069" spans="1:36" ht="11.25" customHeight="1" x14ac:dyDescent="0.2">
      <c r="A1069" s="55" t="s">
        <v>27</v>
      </c>
      <c r="B1069" s="55" t="s">
        <v>41</v>
      </c>
      <c r="C1069" s="55" t="s">
        <v>42</v>
      </c>
      <c r="D1069" s="55" t="s">
        <v>38</v>
      </c>
      <c r="E1069" s="55" t="s">
        <v>25</v>
      </c>
      <c r="F1069" s="55" t="s">
        <v>25</v>
      </c>
      <c r="G1069" s="55" t="s">
        <v>25</v>
      </c>
      <c r="H1069" s="55" t="s">
        <v>34</v>
      </c>
      <c r="I1069" s="63">
        <v>44562</v>
      </c>
      <c r="J1069" s="64">
        <f>EFEITO!$J$1069*EFEITO!$Y$1069</f>
        <v>0</v>
      </c>
      <c r="K1069" s="64">
        <f ca="1">EFEITO!$L$1069*EFEITO!$Z$1069</f>
        <v>87.480753347620691</v>
      </c>
      <c r="L1069" s="64">
        <f>EFEITO!$N$1069*EFEITO!$AA$1069</f>
        <v>23.416918971918626</v>
      </c>
      <c r="M1069" s="64">
        <f>$J$1069-EFEITO!$K$1069*EFEITO!$Y$1069</f>
        <v>0</v>
      </c>
      <c r="N1069" s="64">
        <f ca="1">$K$1069-EFEITO!$M$1069*EFEITO!$Z$1069</f>
        <v>0</v>
      </c>
      <c r="O1069" s="64">
        <f>$L$1069-EFEITO!$O$1069*EFEITO!$AA$1069</f>
        <v>0</v>
      </c>
      <c r="P1069" s="19"/>
      <c r="Q1069" s="19"/>
      <c r="R1069" s="19"/>
      <c r="S1069" s="19"/>
      <c r="T1069" s="19"/>
      <c r="U1069" s="19"/>
      <c r="V1069" s="19"/>
      <c r="W1069" s="19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</row>
    <row r="1070" spans="1:36" ht="11.25" customHeight="1" x14ac:dyDescent="0.2">
      <c r="A1070" s="55" t="s">
        <v>28</v>
      </c>
      <c r="B1070" s="55" t="s">
        <v>41</v>
      </c>
      <c r="C1070" s="55" t="s">
        <v>42</v>
      </c>
      <c r="D1070" s="55" t="s">
        <v>38</v>
      </c>
      <c r="E1070" s="55" t="s">
        <v>25</v>
      </c>
      <c r="F1070" s="55" t="s">
        <v>25</v>
      </c>
      <c r="G1070" s="55" t="s">
        <v>25</v>
      </c>
      <c r="H1070" s="55" t="s">
        <v>34</v>
      </c>
      <c r="I1070" s="63">
        <v>44562</v>
      </c>
      <c r="J1070" s="64">
        <f>EFEITO!$J$1070*EFEITO!$Y$1070</f>
        <v>0</v>
      </c>
      <c r="K1070" s="64">
        <f ca="1">EFEITO!$L$1070*EFEITO!$Z$1070</f>
        <v>39091.784026692156</v>
      </c>
      <c r="L1070" s="64">
        <f>EFEITO!$N$1070*EFEITO!$AA$1070</f>
        <v>10464.120437820744</v>
      </c>
      <c r="M1070" s="64">
        <f>$J$1070-EFEITO!$K$1070*EFEITO!$Y$1070</f>
        <v>0</v>
      </c>
      <c r="N1070" s="64">
        <f ca="1">$K$1070-EFEITO!$M$1070*EFEITO!$Z$1070</f>
        <v>0</v>
      </c>
      <c r="O1070" s="64">
        <f>$L$1070-EFEITO!$O$1070*EFEITO!$AA$1070</f>
        <v>0</v>
      </c>
      <c r="P1070" s="19"/>
      <c r="Q1070" s="19"/>
      <c r="R1070" s="19"/>
      <c r="S1070" s="19"/>
      <c r="T1070" s="19"/>
      <c r="U1070" s="19"/>
      <c r="V1070" s="19"/>
      <c r="W1070" s="19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</row>
    <row r="1071" spans="1:36" ht="11.25" customHeight="1" x14ac:dyDescent="0.2">
      <c r="A1071" s="55" t="s">
        <v>21</v>
      </c>
      <c r="B1071" s="55" t="s">
        <v>41</v>
      </c>
      <c r="C1071" s="55" t="s">
        <v>42</v>
      </c>
      <c r="D1071" s="55" t="s">
        <v>38</v>
      </c>
      <c r="E1071" s="55" t="s">
        <v>25</v>
      </c>
      <c r="F1071" s="55" t="s">
        <v>25</v>
      </c>
      <c r="G1071" s="55" t="s">
        <v>25</v>
      </c>
      <c r="H1071" s="55" t="s">
        <v>34</v>
      </c>
      <c r="I1071" s="63">
        <v>44562</v>
      </c>
      <c r="J1071" s="64">
        <f>EFEITO!$J$1071*EFEITO!$Y$1071</f>
        <v>0</v>
      </c>
      <c r="K1071" s="64">
        <f ca="1">EFEITO!$L$1071*EFEITO!$Z$1071</f>
        <v>8186.8526555934868</v>
      </c>
      <c r="L1071" s="64">
        <f>EFEITO!$N$1071*EFEITO!$AA$1071</f>
        <v>0</v>
      </c>
      <c r="M1071" s="64">
        <f>$J$1071-EFEITO!$K$1071*EFEITO!$Y$1071</f>
        <v>0</v>
      </c>
      <c r="N1071" s="64">
        <f ca="1">$K$1071-EFEITO!$M$1071*EFEITO!$Z$1071</f>
        <v>0</v>
      </c>
      <c r="O1071" s="64">
        <f>$L$1071-EFEITO!$O$1071*EFEITO!$AA$1071</f>
        <v>0</v>
      </c>
      <c r="P1071" s="19"/>
      <c r="Q1071" s="19"/>
      <c r="R1071" s="19"/>
      <c r="S1071" s="19"/>
      <c r="T1071" s="19"/>
      <c r="U1071" s="19"/>
      <c r="V1071" s="19"/>
      <c r="W1071" s="19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</row>
    <row r="1072" spans="1:36" ht="11.25" customHeight="1" x14ac:dyDescent="0.2">
      <c r="A1072" s="55" t="s">
        <v>21</v>
      </c>
      <c r="B1072" s="55" t="s">
        <v>41</v>
      </c>
      <c r="C1072" s="55" t="s">
        <v>42</v>
      </c>
      <c r="D1072" s="55" t="s">
        <v>38</v>
      </c>
      <c r="E1072" s="55" t="s">
        <v>25</v>
      </c>
      <c r="F1072" s="55" t="s">
        <v>25</v>
      </c>
      <c r="G1072" s="55" t="s">
        <v>25</v>
      </c>
      <c r="H1072" s="55" t="s">
        <v>34</v>
      </c>
      <c r="I1072" s="63">
        <v>44593</v>
      </c>
      <c r="J1072" s="64">
        <f>EFEITO!$J$1072*EFEITO!$Y$1072</f>
        <v>0</v>
      </c>
      <c r="K1072" s="64">
        <f ca="1">EFEITO!$L$1072*EFEITO!$Z$1072</f>
        <v>330953.14849148714</v>
      </c>
      <c r="L1072" s="64">
        <f>EFEITO!$N$1072*EFEITO!$AA$1072</f>
        <v>88589.807073686912</v>
      </c>
      <c r="M1072" s="64">
        <f>$J$1072-EFEITO!$K$1072*EFEITO!$Y$1072</f>
        <v>0</v>
      </c>
      <c r="N1072" s="64">
        <f ca="1">$K$1072-EFEITO!$M$1072*EFEITO!$Z$1072</f>
        <v>0</v>
      </c>
      <c r="O1072" s="64">
        <f>$L$1072-EFEITO!$O$1072*EFEITO!$AA$1072</f>
        <v>0</v>
      </c>
      <c r="P1072" s="19"/>
      <c r="Q1072" s="19"/>
      <c r="R1072" s="19"/>
      <c r="S1072" s="19"/>
      <c r="T1072" s="19"/>
      <c r="U1072" s="19"/>
      <c r="V1072" s="19"/>
      <c r="W1072" s="19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</row>
    <row r="1073" spans="1:36" ht="11.25" customHeight="1" x14ac:dyDescent="0.2">
      <c r="A1073" s="55" t="s">
        <v>28</v>
      </c>
      <c r="B1073" s="55" t="s">
        <v>41</v>
      </c>
      <c r="C1073" s="55" t="s">
        <v>42</v>
      </c>
      <c r="D1073" s="55" t="s">
        <v>38</v>
      </c>
      <c r="E1073" s="55" t="s">
        <v>25</v>
      </c>
      <c r="F1073" s="55" t="s">
        <v>25</v>
      </c>
      <c r="G1073" s="55" t="s">
        <v>25</v>
      </c>
      <c r="H1073" s="55" t="s">
        <v>34</v>
      </c>
      <c r="I1073" s="63">
        <v>44593</v>
      </c>
      <c r="J1073" s="64">
        <f>EFEITO!$J$1073*EFEITO!$Y$1073</f>
        <v>0</v>
      </c>
      <c r="K1073" s="64">
        <f ca="1">EFEITO!$L$1073*EFEITO!$Z$1073</f>
        <v>25608.981149208095</v>
      </c>
      <c r="L1073" s="64">
        <f>EFEITO!$N$1073*EFEITO!$AA$1073</f>
        <v>6855.0328338102699</v>
      </c>
      <c r="M1073" s="64">
        <f>$J$1073-EFEITO!$K$1073*EFEITO!$Y$1073</f>
        <v>0</v>
      </c>
      <c r="N1073" s="64">
        <f ca="1">$K$1073-EFEITO!$M$1073*EFEITO!$Z$1073</f>
        <v>0</v>
      </c>
      <c r="O1073" s="64">
        <f>$L$1073-EFEITO!$O$1073*EFEITO!$AA$1073</f>
        <v>0</v>
      </c>
      <c r="P1073" s="19"/>
      <c r="Q1073" s="19"/>
      <c r="R1073" s="19"/>
      <c r="S1073" s="19"/>
      <c r="T1073" s="19"/>
      <c r="U1073" s="19"/>
      <c r="V1073" s="19"/>
      <c r="W1073" s="19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</row>
    <row r="1074" spans="1:36" ht="11.25" customHeight="1" x14ac:dyDescent="0.2">
      <c r="A1074" s="55" t="s">
        <v>28</v>
      </c>
      <c r="B1074" s="55" t="s">
        <v>41</v>
      </c>
      <c r="C1074" s="55" t="s">
        <v>42</v>
      </c>
      <c r="D1074" s="55" t="s">
        <v>38</v>
      </c>
      <c r="E1074" s="55" t="s">
        <v>25</v>
      </c>
      <c r="F1074" s="55" t="s">
        <v>25</v>
      </c>
      <c r="G1074" s="55" t="s">
        <v>25</v>
      </c>
      <c r="H1074" s="55" t="s">
        <v>34</v>
      </c>
      <c r="I1074" s="63">
        <v>44593</v>
      </c>
      <c r="J1074" s="64">
        <f>EFEITO!$J$1074*EFEITO!$Y$1074</f>
        <v>0</v>
      </c>
      <c r="K1074" s="64">
        <f ca="1">EFEITO!$L$1074*EFEITO!$Z$1074</f>
        <v>-248.98368260476656</v>
      </c>
      <c r="L1074" s="64">
        <f>EFEITO!$N$1074*EFEITO!$AA$1074</f>
        <v>-66.64815399699917</v>
      </c>
      <c r="M1074" s="64">
        <f>$J$1074-EFEITO!$K$1074*EFEITO!$Y$1074</f>
        <v>0</v>
      </c>
      <c r="N1074" s="64">
        <f ca="1">$K$1074-EFEITO!$M$1074*EFEITO!$Z$1074</f>
        <v>0</v>
      </c>
      <c r="O1074" s="64">
        <f>$L$1074-EFEITO!$O$1074*EFEITO!$AA$1074</f>
        <v>0</v>
      </c>
      <c r="P1074" s="19"/>
      <c r="Q1074" s="19"/>
      <c r="R1074" s="19"/>
      <c r="S1074" s="19"/>
      <c r="T1074" s="19"/>
      <c r="U1074" s="19"/>
      <c r="V1074" s="19"/>
      <c r="W1074" s="19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</row>
    <row r="1075" spans="1:36" ht="11.25" customHeight="1" x14ac:dyDescent="0.2">
      <c r="A1075" s="55" t="s">
        <v>21</v>
      </c>
      <c r="B1075" s="55" t="s">
        <v>41</v>
      </c>
      <c r="C1075" s="55" t="s">
        <v>42</v>
      </c>
      <c r="D1075" s="55" t="s">
        <v>38</v>
      </c>
      <c r="E1075" s="55" t="s">
        <v>25</v>
      </c>
      <c r="F1075" s="55" t="s">
        <v>25</v>
      </c>
      <c r="G1075" s="55" t="s">
        <v>25</v>
      </c>
      <c r="H1075" s="55" t="s">
        <v>34</v>
      </c>
      <c r="I1075" s="63">
        <v>44593</v>
      </c>
      <c r="J1075" s="64">
        <f>EFEITO!$J$1075*EFEITO!$Y$1075</f>
        <v>0</v>
      </c>
      <c r="K1075" s="64">
        <f ca="1">EFEITO!$L$1075*EFEITO!$Z$1075</f>
        <v>20631.999212600385</v>
      </c>
      <c r="L1075" s="64">
        <f>EFEITO!$N$1075*EFEITO!$AA$1075</f>
        <v>0</v>
      </c>
      <c r="M1075" s="64">
        <f>$J$1075-EFEITO!$K$1075*EFEITO!$Y$1075</f>
        <v>0</v>
      </c>
      <c r="N1075" s="64">
        <f ca="1">$K$1075-EFEITO!$M$1075*EFEITO!$Z$1075</f>
        <v>0</v>
      </c>
      <c r="O1075" s="64">
        <f>$L$1075-EFEITO!$O$1075*EFEITO!$AA$1075</f>
        <v>0</v>
      </c>
      <c r="P1075" s="19"/>
      <c r="Q1075" s="19"/>
      <c r="R1075" s="19"/>
      <c r="S1075" s="19"/>
      <c r="T1075" s="19"/>
      <c r="U1075" s="19"/>
      <c r="V1075" s="19"/>
      <c r="W1075" s="19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</row>
    <row r="1076" spans="1:36" ht="11.25" customHeight="1" x14ac:dyDescent="0.2">
      <c r="A1076" s="55" t="s">
        <v>21</v>
      </c>
      <c r="B1076" s="55" t="s">
        <v>41</v>
      </c>
      <c r="C1076" s="55" t="s">
        <v>42</v>
      </c>
      <c r="D1076" s="55" t="s">
        <v>38</v>
      </c>
      <c r="E1076" s="55" t="s">
        <v>25</v>
      </c>
      <c r="F1076" s="55" t="s">
        <v>25</v>
      </c>
      <c r="G1076" s="55" t="s">
        <v>25</v>
      </c>
      <c r="H1076" s="55" t="s">
        <v>34</v>
      </c>
      <c r="I1076" s="63">
        <v>44621</v>
      </c>
      <c r="J1076" s="64">
        <f>EFEITO!$J$1076*EFEITO!$Y$1076</f>
        <v>0</v>
      </c>
      <c r="K1076" s="64">
        <f ca="1">EFEITO!$L$1076*EFEITO!$Z$1076</f>
        <v>363322.37308785063</v>
      </c>
      <c r="L1076" s="64">
        <f>EFEITO!$N$1076*EFEITO!$AA$1076</f>
        <v>97254.42735358869</v>
      </c>
      <c r="M1076" s="64">
        <f>$J$1076-EFEITO!$K$1076*EFEITO!$Y$1076</f>
        <v>0</v>
      </c>
      <c r="N1076" s="64">
        <f ca="1">$K$1076-EFEITO!$M$1076*EFEITO!$Z$1076</f>
        <v>0</v>
      </c>
      <c r="O1076" s="64">
        <f>$L$1076-EFEITO!$O$1076*EFEITO!$AA$1076</f>
        <v>0</v>
      </c>
      <c r="P1076" s="19"/>
      <c r="Q1076" s="19"/>
      <c r="R1076" s="19"/>
      <c r="S1076" s="19"/>
      <c r="T1076" s="19"/>
      <c r="U1076" s="19"/>
      <c r="V1076" s="19"/>
      <c r="W1076" s="19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</row>
    <row r="1077" spans="1:36" ht="11.25" customHeight="1" x14ac:dyDescent="0.2">
      <c r="A1077" s="55" t="s">
        <v>28</v>
      </c>
      <c r="B1077" s="55" t="s">
        <v>41</v>
      </c>
      <c r="C1077" s="55" t="s">
        <v>42</v>
      </c>
      <c r="D1077" s="55" t="s">
        <v>38</v>
      </c>
      <c r="E1077" s="55" t="s">
        <v>25</v>
      </c>
      <c r="F1077" s="55" t="s">
        <v>25</v>
      </c>
      <c r="G1077" s="55" t="s">
        <v>25</v>
      </c>
      <c r="H1077" s="55" t="s">
        <v>34</v>
      </c>
      <c r="I1077" s="63">
        <v>44621</v>
      </c>
      <c r="J1077" s="64">
        <f>EFEITO!$J$1077*EFEITO!$Y$1077</f>
        <v>0</v>
      </c>
      <c r="K1077" s="64">
        <f ca="1">EFEITO!$L$1077*EFEITO!$Z$1077</f>
        <v>20559.32289443467</v>
      </c>
      <c r="L1077" s="64">
        <f>EFEITO!$N$1077*EFEITO!$AA$1077</f>
        <v>5503.3362186927525</v>
      </c>
      <c r="M1077" s="64">
        <f>$J$1077-EFEITO!$K$1077*EFEITO!$Y$1077</f>
        <v>0</v>
      </c>
      <c r="N1077" s="64">
        <f ca="1">$K$1077-EFEITO!$M$1077*EFEITO!$Z$1077</f>
        <v>0</v>
      </c>
      <c r="O1077" s="64">
        <f>$L$1077-EFEITO!$O$1077*EFEITO!$AA$1077</f>
        <v>0</v>
      </c>
      <c r="P1077" s="19"/>
      <c r="Q1077" s="19"/>
      <c r="R1077" s="19"/>
      <c r="S1077" s="19"/>
      <c r="T1077" s="19"/>
      <c r="U1077" s="19"/>
      <c r="V1077" s="19"/>
      <c r="W1077" s="19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</row>
    <row r="1078" spans="1:36" ht="11.25" customHeight="1" x14ac:dyDescent="0.2">
      <c r="A1078" s="55" t="s">
        <v>21</v>
      </c>
      <c r="B1078" s="55" t="s">
        <v>41</v>
      </c>
      <c r="C1078" s="55" t="s">
        <v>42</v>
      </c>
      <c r="D1078" s="55" t="s">
        <v>38</v>
      </c>
      <c r="E1078" s="55" t="s">
        <v>25</v>
      </c>
      <c r="F1078" s="55" t="s">
        <v>25</v>
      </c>
      <c r="G1078" s="55" t="s">
        <v>25</v>
      </c>
      <c r="H1078" s="55" t="s">
        <v>34</v>
      </c>
      <c r="I1078" s="63">
        <v>44621</v>
      </c>
      <c r="J1078" s="64">
        <f>EFEITO!$J$1078*EFEITO!$Y$1078</f>
        <v>0</v>
      </c>
      <c r="K1078" s="64">
        <f ca="1">EFEITO!$L$1078*EFEITO!$Z$1078</f>
        <v>19592.997034379416</v>
      </c>
      <c r="L1078" s="64">
        <f>EFEITO!$N$1078*EFEITO!$AA$1078</f>
        <v>0</v>
      </c>
      <c r="M1078" s="64">
        <f>$J$1078-EFEITO!$K$1078*EFEITO!$Y$1078</f>
        <v>0</v>
      </c>
      <c r="N1078" s="64">
        <f ca="1">$K$1078-EFEITO!$M$1078*EFEITO!$Z$1078</f>
        <v>0</v>
      </c>
      <c r="O1078" s="64">
        <f>$L$1078-EFEITO!$O$1078*EFEITO!$AA$1078</f>
        <v>0</v>
      </c>
      <c r="P1078" s="19"/>
      <c r="Q1078" s="19"/>
      <c r="R1078" s="19"/>
      <c r="S1078" s="19"/>
      <c r="T1078" s="19"/>
      <c r="U1078" s="19"/>
      <c r="V1078" s="19"/>
      <c r="W1078" s="19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</row>
    <row r="1079" spans="1:36" ht="11.25" customHeight="1" x14ac:dyDescent="0.2">
      <c r="A1079" s="55" t="s">
        <v>21</v>
      </c>
      <c r="B1079" s="55" t="s">
        <v>41</v>
      </c>
      <c r="C1079" s="55" t="s">
        <v>42</v>
      </c>
      <c r="D1079" s="55" t="s">
        <v>38</v>
      </c>
      <c r="E1079" s="55" t="s">
        <v>25</v>
      </c>
      <c r="F1079" s="55" t="s">
        <v>25</v>
      </c>
      <c r="G1079" s="55" t="s">
        <v>25</v>
      </c>
      <c r="H1079" s="55" t="s">
        <v>34</v>
      </c>
      <c r="I1079" s="63">
        <v>44652</v>
      </c>
      <c r="J1079" s="64">
        <f>EFEITO!$J$1079*EFEITO!$Y$1079</f>
        <v>0</v>
      </c>
      <c r="K1079" s="64">
        <f ca="1">EFEITO!$L$1079*EFEITO!$Z$1079</f>
        <v>347804.63330172648</v>
      </c>
      <c r="L1079" s="64">
        <f>EFEITO!$N$1079*EFEITO!$AA$1079</f>
        <v>93100.626188262191</v>
      </c>
      <c r="M1079" s="64">
        <f>$J$1079-EFEITO!$K$1079*EFEITO!$Y$1079</f>
        <v>0</v>
      </c>
      <c r="N1079" s="64">
        <f ca="1">$K$1079-EFEITO!$M$1079*EFEITO!$Z$1079</f>
        <v>0</v>
      </c>
      <c r="O1079" s="64">
        <f>$L$1079-EFEITO!$O$1079*EFEITO!$AA$1079</f>
        <v>0</v>
      </c>
      <c r="P1079" s="19"/>
      <c r="Q1079" s="19"/>
      <c r="R1079" s="19"/>
      <c r="S1079" s="19"/>
      <c r="T1079" s="19"/>
      <c r="U1079" s="19"/>
      <c r="V1079" s="19"/>
      <c r="W1079" s="19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</row>
    <row r="1080" spans="1:36" ht="11.25" customHeight="1" x14ac:dyDescent="0.2">
      <c r="A1080" s="55" t="s">
        <v>28</v>
      </c>
      <c r="B1080" s="55" t="s">
        <v>41</v>
      </c>
      <c r="C1080" s="55" t="s">
        <v>42</v>
      </c>
      <c r="D1080" s="55" t="s">
        <v>38</v>
      </c>
      <c r="E1080" s="55" t="s">
        <v>25</v>
      </c>
      <c r="F1080" s="55" t="s">
        <v>25</v>
      </c>
      <c r="G1080" s="55" t="s">
        <v>25</v>
      </c>
      <c r="H1080" s="55" t="s">
        <v>34</v>
      </c>
      <c r="I1080" s="63">
        <v>44652</v>
      </c>
      <c r="J1080" s="64">
        <f>EFEITO!$J$1080*EFEITO!$Y$1080</f>
        <v>0</v>
      </c>
      <c r="K1080" s="64">
        <f ca="1">EFEITO!$L$1080*EFEITO!$Z$1080</f>
        <v>33213.077401732051</v>
      </c>
      <c r="L1080" s="64">
        <f>EFEITO!$N$1080*EFEITO!$AA$1080</f>
        <v>8890.5034829078122</v>
      </c>
      <c r="M1080" s="64">
        <f>$J$1080-EFEITO!$K$1080*EFEITO!$Y$1080</f>
        <v>0</v>
      </c>
      <c r="N1080" s="64">
        <f ca="1">$K$1080-EFEITO!$M$1080*EFEITO!$Z$1080</f>
        <v>0</v>
      </c>
      <c r="O1080" s="64">
        <f>$L$1080-EFEITO!$O$1080*EFEITO!$AA$1080</f>
        <v>0</v>
      </c>
      <c r="P1080" s="19"/>
      <c r="Q1080" s="19"/>
      <c r="R1080" s="19"/>
      <c r="S1080" s="19"/>
      <c r="T1080" s="19"/>
      <c r="U1080" s="19"/>
      <c r="V1080" s="19"/>
      <c r="W1080" s="19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</row>
    <row r="1081" spans="1:36" ht="11.25" customHeight="1" x14ac:dyDescent="0.2">
      <c r="A1081" s="55" t="s">
        <v>21</v>
      </c>
      <c r="B1081" s="55" t="s">
        <v>41</v>
      </c>
      <c r="C1081" s="55" t="s">
        <v>42</v>
      </c>
      <c r="D1081" s="55" t="s">
        <v>38</v>
      </c>
      <c r="E1081" s="55" t="s">
        <v>25</v>
      </c>
      <c r="F1081" s="55" t="s">
        <v>25</v>
      </c>
      <c r="G1081" s="55" t="s">
        <v>25</v>
      </c>
      <c r="H1081" s="55" t="s">
        <v>34</v>
      </c>
      <c r="I1081" s="63">
        <v>44652</v>
      </c>
      <c r="J1081" s="64">
        <f>EFEITO!$J$1081*EFEITO!$Y$1081</f>
        <v>0</v>
      </c>
      <c r="K1081" s="64">
        <f ca="1">EFEITO!$L$1081*EFEITO!$Z$1081</f>
        <v>21543.144905159454</v>
      </c>
      <c r="L1081" s="64">
        <f>EFEITO!$N$1081*EFEITO!$AA$1081</f>
        <v>0</v>
      </c>
      <c r="M1081" s="64">
        <f>$J$1081-EFEITO!$K$1081*EFEITO!$Y$1081</f>
        <v>0</v>
      </c>
      <c r="N1081" s="64">
        <f ca="1">$K$1081-EFEITO!$M$1081*EFEITO!$Z$1081</f>
        <v>0</v>
      </c>
      <c r="O1081" s="64">
        <f>$L$1081-EFEITO!$O$1081*EFEITO!$AA$1081</f>
        <v>0</v>
      </c>
      <c r="P1081" s="19"/>
      <c r="Q1081" s="19"/>
      <c r="R1081" s="19"/>
      <c r="S1081" s="19"/>
      <c r="T1081" s="19"/>
      <c r="U1081" s="19"/>
      <c r="V1081" s="19"/>
      <c r="W1081" s="19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</row>
    <row r="1082" spans="1:36" ht="11.25" customHeight="1" x14ac:dyDescent="0.2">
      <c r="A1082" s="55" t="s">
        <v>21</v>
      </c>
      <c r="B1082" s="55" t="s">
        <v>41</v>
      </c>
      <c r="C1082" s="55" t="s">
        <v>42</v>
      </c>
      <c r="D1082" s="55" t="s">
        <v>38</v>
      </c>
      <c r="E1082" s="55" t="s">
        <v>25</v>
      </c>
      <c r="F1082" s="55" t="s">
        <v>25</v>
      </c>
      <c r="G1082" s="55" t="s">
        <v>25</v>
      </c>
      <c r="H1082" s="55" t="s">
        <v>34</v>
      </c>
      <c r="I1082" s="63">
        <v>44682</v>
      </c>
      <c r="J1082" s="64">
        <f>EFEITO!$J$1082*EFEITO!$Y$1082</f>
        <v>0</v>
      </c>
      <c r="K1082" s="64">
        <f ca="1">EFEITO!$L$1082*EFEITO!$Z$1082</f>
        <v>366455.5299154392</v>
      </c>
      <c r="L1082" s="64">
        <f>EFEITO!$N$1082*EFEITO!$AA$1082</f>
        <v>98093.113313075242</v>
      </c>
      <c r="M1082" s="64">
        <f>$J$1082-EFEITO!$K$1082*EFEITO!$Y$1082</f>
        <v>0</v>
      </c>
      <c r="N1082" s="64">
        <f ca="1">$K$1082-EFEITO!$M$1082*EFEITO!$Z$1082</f>
        <v>0</v>
      </c>
      <c r="O1082" s="64">
        <f>$L$1082-EFEITO!$O$1082*EFEITO!$AA$1082</f>
        <v>0</v>
      </c>
      <c r="P1082" s="19"/>
      <c r="Q1082" s="19"/>
      <c r="R1082" s="19"/>
      <c r="S1082" s="19"/>
      <c r="T1082" s="19"/>
      <c r="U1082" s="19"/>
      <c r="V1082" s="19"/>
      <c r="W1082" s="19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</row>
    <row r="1083" spans="1:36" ht="11.25" customHeight="1" x14ac:dyDescent="0.2">
      <c r="A1083" s="55" t="s">
        <v>27</v>
      </c>
      <c r="B1083" s="55" t="s">
        <v>41</v>
      </c>
      <c r="C1083" s="55" t="s">
        <v>42</v>
      </c>
      <c r="D1083" s="55" t="s">
        <v>38</v>
      </c>
      <c r="E1083" s="55" t="s">
        <v>25</v>
      </c>
      <c r="F1083" s="55" t="s">
        <v>25</v>
      </c>
      <c r="G1083" s="55" t="s">
        <v>25</v>
      </c>
      <c r="H1083" s="55" t="s">
        <v>34</v>
      </c>
      <c r="I1083" s="63">
        <v>44682</v>
      </c>
      <c r="J1083" s="64">
        <f>EFEITO!$J$1083*EFEITO!$Y$1083</f>
        <v>0</v>
      </c>
      <c r="K1083" s="64">
        <f ca="1">EFEITO!$L$1083*EFEITO!$Z$1083</f>
        <v>-2664.798332742907</v>
      </c>
      <c r="L1083" s="64">
        <f>EFEITO!$N$1083*EFEITO!$AA$1083</f>
        <v>-713.31537791382891</v>
      </c>
      <c r="M1083" s="64">
        <f>$J$1083-EFEITO!$K$1083*EFEITO!$Y$1083</f>
        <v>0</v>
      </c>
      <c r="N1083" s="64">
        <f ca="1">$K$1083-EFEITO!$M$1083*EFEITO!$Z$1083</f>
        <v>0</v>
      </c>
      <c r="O1083" s="64">
        <f>$L$1083-EFEITO!$O$1083*EFEITO!$AA$1083</f>
        <v>0</v>
      </c>
      <c r="P1083" s="19"/>
      <c r="Q1083" s="19"/>
      <c r="R1083" s="19"/>
      <c r="S1083" s="19"/>
      <c r="T1083" s="19"/>
      <c r="U1083" s="19"/>
      <c r="V1083" s="19"/>
      <c r="W1083" s="19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</row>
    <row r="1084" spans="1:36" ht="11.25" customHeight="1" x14ac:dyDescent="0.2">
      <c r="A1084" s="55" t="s">
        <v>28</v>
      </c>
      <c r="B1084" s="55" t="s">
        <v>41</v>
      </c>
      <c r="C1084" s="55" t="s">
        <v>42</v>
      </c>
      <c r="D1084" s="55" t="s">
        <v>38</v>
      </c>
      <c r="E1084" s="55" t="s">
        <v>25</v>
      </c>
      <c r="F1084" s="55" t="s">
        <v>25</v>
      </c>
      <c r="G1084" s="55" t="s">
        <v>25</v>
      </c>
      <c r="H1084" s="55" t="s">
        <v>34</v>
      </c>
      <c r="I1084" s="63">
        <v>44682</v>
      </c>
      <c r="J1084" s="64">
        <f>EFEITO!$J$1084*EFEITO!$Y$1084</f>
        <v>0</v>
      </c>
      <c r="K1084" s="64">
        <f ca="1">EFEITO!$L$1084*EFEITO!$Z$1084</f>
        <v>48078.076182108518</v>
      </c>
      <c r="L1084" s="64">
        <f>EFEITO!$N$1084*EFEITO!$AA$1084</f>
        <v>12869.5784066746</v>
      </c>
      <c r="M1084" s="64">
        <f>$J$1084-EFEITO!$K$1084*EFEITO!$Y$1084</f>
        <v>0</v>
      </c>
      <c r="N1084" s="64">
        <f ca="1">$K$1084-EFEITO!$M$1084*EFEITO!$Z$1084</f>
        <v>0</v>
      </c>
      <c r="O1084" s="64">
        <f>$L$1084-EFEITO!$O$1084*EFEITO!$AA$1084</f>
        <v>0</v>
      </c>
      <c r="P1084" s="19"/>
      <c r="Q1084" s="19"/>
      <c r="R1084" s="19"/>
      <c r="S1084" s="19"/>
      <c r="T1084" s="19"/>
      <c r="U1084" s="19"/>
      <c r="V1084" s="19"/>
      <c r="W1084" s="19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</row>
    <row r="1085" spans="1:36" ht="11.25" customHeight="1" x14ac:dyDescent="0.2">
      <c r="A1085" s="55" t="s">
        <v>21</v>
      </c>
      <c r="B1085" s="55" t="s">
        <v>41</v>
      </c>
      <c r="C1085" s="55" t="s">
        <v>42</v>
      </c>
      <c r="D1085" s="55" t="s">
        <v>38</v>
      </c>
      <c r="E1085" s="55" t="s">
        <v>25</v>
      </c>
      <c r="F1085" s="55" t="s">
        <v>25</v>
      </c>
      <c r="G1085" s="55" t="s">
        <v>25</v>
      </c>
      <c r="H1085" s="55" t="s">
        <v>34</v>
      </c>
      <c r="I1085" s="63">
        <v>44682</v>
      </c>
      <c r="J1085" s="64">
        <f>EFEITO!$J$1085*EFEITO!$Y$1085</f>
        <v>0</v>
      </c>
      <c r="K1085" s="64">
        <f ca="1">EFEITO!$L$1085*EFEITO!$Z$1085</f>
        <v>12356.319945915468</v>
      </c>
      <c r="L1085" s="64">
        <f>EFEITO!$N$1085*EFEITO!$AA$1085</f>
        <v>0</v>
      </c>
      <c r="M1085" s="64">
        <f>$J$1085-EFEITO!$K$1085*EFEITO!$Y$1085</f>
        <v>0</v>
      </c>
      <c r="N1085" s="64">
        <f ca="1">$K$1085-EFEITO!$M$1085*EFEITO!$Z$1085</f>
        <v>0</v>
      </c>
      <c r="O1085" s="64">
        <f>$L$1085-EFEITO!$O$1085*EFEITO!$AA$1085</f>
        <v>0</v>
      </c>
      <c r="P1085" s="19"/>
      <c r="Q1085" s="19"/>
      <c r="R1085" s="19"/>
      <c r="S1085" s="19"/>
      <c r="T1085" s="19"/>
      <c r="U1085" s="19"/>
      <c r="V1085" s="19"/>
      <c r="W1085" s="19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</row>
    <row r="1086" spans="1:36" ht="11.25" customHeight="1" x14ac:dyDescent="0.2">
      <c r="A1086" s="55" t="s">
        <v>21</v>
      </c>
      <c r="B1086" s="55" t="s">
        <v>41</v>
      </c>
      <c r="C1086" s="55" t="s">
        <v>42</v>
      </c>
      <c r="D1086" s="55" t="s">
        <v>38</v>
      </c>
      <c r="E1086" s="55" t="s">
        <v>25</v>
      </c>
      <c r="F1086" s="55" t="s">
        <v>25</v>
      </c>
      <c r="G1086" s="55" t="s">
        <v>25</v>
      </c>
      <c r="H1086" s="55" t="s">
        <v>34</v>
      </c>
      <c r="I1086" s="63">
        <v>44713</v>
      </c>
      <c r="J1086" s="64">
        <f>EFEITO!$J$1086*EFEITO!$Y$1086</f>
        <v>0</v>
      </c>
      <c r="K1086" s="64">
        <f ca="1">EFEITO!$L$1086*EFEITO!$Z$1086</f>
        <v>388834.4524795044</v>
      </c>
      <c r="L1086" s="64">
        <f>EFEITO!$N$1086*EFEITO!$AA$1086</f>
        <v>104083.52144638389</v>
      </c>
      <c r="M1086" s="64">
        <f>$J$1086-EFEITO!$K$1086*EFEITO!$Y$1086</f>
        <v>0</v>
      </c>
      <c r="N1086" s="64">
        <f ca="1">$K$1086-EFEITO!$M$1086*EFEITO!$Z$1086</f>
        <v>0</v>
      </c>
      <c r="O1086" s="64">
        <f>$L$1086-EFEITO!$O$1086*EFEITO!$AA$1086</f>
        <v>0</v>
      </c>
      <c r="P1086" s="19"/>
      <c r="Q1086" s="19"/>
      <c r="R1086" s="19"/>
      <c r="S1086" s="19"/>
      <c r="T1086" s="19"/>
      <c r="U1086" s="19"/>
      <c r="V1086" s="19"/>
      <c r="W1086" s="19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</row>
    <row r="1087" spans="1:36" ht="11.25" customHeight="1" x14ac:dyDescent="0.2">
      <c r="A1087" s="55" t="s">
        <v>27</v>
      </c>
      <c r="B1087" s="55" t="s">
        <v>41</v>
      </c>
      <c r="C1087" s="55" t="s">
        <v>42</v>
      </c>
      <c r="D1087" s="55" t="s">
        <v>38</v>
      </c>
      <c r="E1087" s="55" t="s">
        <v>25</v>
      </c>
      <c r="F1087" s="55" t="s">
        <v>25</v>
      </c>
      <c r="G1087" s="55" t="s">
        <v>25</v>
      </c>
      <c r="H1087" s="55" t="s">
        <v>34</v>
      </c>
      <c r="I1087" s="63">
        <v>44713</v>
      </c>
      <c r="J1087" s="64">
        <f>EFEITO!$J$1087*EFEITO!$Y$1087</f>
        <v>0</v>
      </c>
      <c r="K1087" s="64">
        <f ca="1">EFEITO!$L$1087*EFEITO!$Z$1087</f>
        <v>-227.44995870381379</v>
      </c>
      <c r="L1087" s="64">
        <f>EFEITO!$N$1087*EFEITO!$AA$1087</f>
        <v>-60.883989326988427</v>
      </c>
      <c r="M1087" s="64">
        <f>$J$1087-EFEITO!$K$1087*EFEITO!$Y$1087</f>
        <v>0</v>
      </c>
      <c r="N1087" s="64">
        <f ca="1">$K$1087-EFEITO!$M$1087*EFEITO!$Z$1087</f>
        <v>0</v>
      </c>
      <c r="O1087" s="64">
        <f>$L$1087-EFEITO!$O$1087*EFEITO!$AA$1087</f>
        <v>0</v>
      </c>
      <c r="P1087" s="19"/>
      <c r="Q1087" s="19"/>
      <c r="R1087" s="19"/>
      <c r="S1087" s="19"/>
      <c r="T1087" s="19"/>
      <c r="U1087" s="19"/>
      <c r="V1087" s="19"/>
      <c r="W1087" s="19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</row>
    <row r="1088" spans="1:36" ht="11.25" customHeight="1" x14ac:dyDescent="0.2">
      <c r="A1088" s="55" t="s">
        <v>28</v>
      </c>
      <c r="B1088" s="55" t="s">
        <v>41</v>
      </c>
      <c r="C1088" s="55" t="s">
        <v>42</v>
      </c>
      <c r="D1088" s="55" t="s">
        <v>38</v>
      </c>
      <c r="E1088" s="55" t="s">
        <v>25</v>
      </c>
      <c r="F1088" s="55" t="s">
        <v>25</v>
      </c>
      <c r="G1088" s="55" t="s">
        <v>25</v>
      </c>
      <c r="H1088" s="55" t="s">
        <v>34</v>
      </c>
      <c r="I1088" s="63">
        <v>44713</v>
      </c>
      <c r="J1088" s="64">
        <f>EFEITO!$J$1088*EFEITO!$Y$1088</f>
        <v>0</v>
      </c>
      <c r="K1088" s="64">
        <f ca="1">EFEITO!$L$1088*EFEITO!$Z$1088</f>
        <v>14760.021876359324</v>
      </c>
      <c r="L1088" s="64">
        <f>EFEITO!$N$1088*EFEITO!$AA$1088</f>
        <v>3950.974621000486</v>
      </c>
      <c r="M1088" s="64">
        <f>$J$1088-EFEITO!$K$1088*EFEITO!$Y$1088</f>
        <v>0</v>
      </c>
      <c r="N1088" s="64">
        <f ca="1">$K$1088-EFEITO!$M$1088*EFEITO!$Z$1088</f>
        <v>0</v>
      </c>
      <c r="O1088" s="64">
        <f>$L$1088-EFEITO!$O$1088*EFEITO!$AA$1088</f>
        <v>0</v>
      </c>
      <c r="P1088" s="19"/>
      <c r="Q1088" s="19"/>
      <c r="R1088" s="19"/>
      <c r="S1088" s="19"/>
      <c r="T1088" s="19"/>
      <c r="U1088" s="19"/>
      <c r="V1088" s="19"/>
      <c r="W1088" s="19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</row>
    <row r="1089" spans="1:36" ht="11.25" customHeight="1" x14ac:dyDescent="0.2">
      <c r="A1089" s="55" t="s">
        <v>57</v>
      </c>
      <c r="B1089" s="55" t="s">
        <v>41</v>
      </c>
      <c r="C1089" s="55" t="s">
        <v>42</v>
      </c>
      <c r="D1089" s="55" t="s">
        <v>38</v>
      </c>
      <c r="E1089" s="55" t="s">
        <v>25</v>
      </c>
      <c r="F1089" s="55" t="s">
        <v>25</v>
      </c>
      <c r="G1089" s="55" t="s">
        <v>25</v>
      </c>
      <c r="H1089" s="55" t="s">
        <v>34</v>
      </c>
      <c r="I1089" s="63">
        <v>44743</v>
      </c>
      <c r="J1089" s="64">
        <f>EFEITO!$J$1089*EFEITO!$Y$1089</f>
        <v>0</v>
      </c>
      <c r="K1089" s="64">
        <f ca="1">EFEITO!$L$1089*EFEITO!$Z$1089</f>
        <v>388834.4524795044</v>
      </c>
      <c r="L1089" s="64">
        <f>EFEITO!$N$1089*EFEITO!$AA$1089</f>
        <v>104083.52144638389</v>
      </c>
      <c r="M1089" s="64">
        <f>$J$1089-EFEITO!$K$1089*EFEITO!$Y$1089</f>
        <v>0</v>
      </c>
      <c r="N1089" s="64">
        <f ca="1">$K$1089-EFEITO!$M$1089*EFEITO!$Z$1089</f>
        <v>0</v>
      </c>
      <c r="O1089" s="64">
        <f>$L$1089-EFEITO!$O$1089*EFEITO!$AA$1089</f>
        <v>0</v>
      </c>
      <c r="P1089" s="19"/>
      <c r="Q1089" s="19"/>
      <c r="R1089" s="19"/>
      <c r="S1089" s="19"/>
      <c r="T1089" s="19"/>
      <c r="U1089" s="19"/>
      <c r="V1089" s="19"/>
      <c r="W1089" s="19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</row>
    <row r="1090" spans="1:36" ht="11.25" customHeight="1" x14ac:dyDescent="0.2">
      <c r="A1090" s="55" t="s">
        <v>57</v>
      </c>
      <c r="B1090" s="55" t="s">
        <v>41</v>
      </c>
      <c r="C1090" s="55" t="s">
        <v>42</v>
      </c>
      <c r="D1090" s="55" t="s">
        <v>38</v>
      </c>
      <c r="E1090" s="55" t="s">
        <v>25</v>
      </c>
      <c r="F1090" s="55" t="s">
        <v>25</v>
      </c>
      <c r="G1090" s="55" t="s">
        <v>25</v>
      </c>
      <c r="H1090" s="55" t="s">
        <v>34</v>
      </c>
      <c r="I1090" s="63">
        <v>44743</v>
      </c>
      <c r="J1090" s="64">
        <f>EFEITO!$J$1090*EFEITO!$Y$1090</f>
        <v>0</v>
      </c>
      <c r="K1090" s="64">
        <f ca="1">EFEITO!$L$1090*EFEITO!$Z$1090</f>
        <v>-227.44995870381379</v>
      </c>
      <c r="L1090" s="64">
        <f>EFEITO!$N$1090*EFEITO!$AA$1090</f>
        <v>-60.883989326988427</v>
      </c>
      <c r="M1090" s="64">
        <f>$J$1090-EFEITO!$K$1090*EFEITO!$Y$1090</f>
        <v>0</v>
      </c>
      <c r="N1090" s="64">
        <f ca="1">$K$1090-EFEITO!$M$1090*EFEITO!$Z$1090</f>
        <v>0</v>
      </c>
      <c r="O1090" s="64">
        <f>$L$1090-EFEITO!$O$1090*EFEITO!$AA$1090</f>
        <v>0</v>
      </c>
      <c r="P1090" s="19"/>
      <c r="Q1090" s="19"/>
      <c r="R1090" s="19"/>
      <c r="S1090" s="19"/>
      <c r="T1090" s="19"/>
      <c r="U1090" s="19"/>
      <c r="V1090" s="19"/>
      <c r="W1090" s="19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</row>
    <row r="1091" spans="1:36" ht="11.25" customHeight="1" x14ac:dyDescent="0.2">
      <c r="A1091" s="55" t="s">
        <v>57</v>
      </c>
      <c r="B1091" s="55" t="s">
        <v>41</v>
      </c>
      <c r="C1091" s="55" t="s">
        <v>42</v>
      </c>
      <c r="D1091" s="55" t="s">
        <v>38</v>
      </c>
      <c r="E1091" s="55" t="s">
        <v>25</v>
      </c>
      <c r="F1091" s="55" t="s">
        <v>25</v>
      </c>
      <c r="G1091" s="55" t="s">
        <v>25</v>
      </c>
      <c r="H1091" s="55" t="s">
        <v>34</v>
      </c>
      <c r="I1091" s="63">
        <v>44743</v>
      </c>
      <c r="J1091" s="64">
        <f>EFEITO!$J$1091*EFEITO!$Y$1091</f>
        <v>0</v>
      </c>
      <c r="K1091" s="64">
        <f ca="1">EFEITO!$L$1091*EFEITO!$Z$1091</f>
        <v>14760.021876359324</v>
      </c>
      <c r="L1091" s="64">
        <f>EFEITO!$N$1091*EFEITO!$AA$1091</f>
        <v>3950.974621000486</v>
      </c>
      <c r="M1091" s="64">
        <f>$J$1091-EFEITO!$K$1091*EFEITO!$Y$1091</f>
        <v>0</v>
      </c>
      <c r="N1091" s="64">
        <f ca="1">$K$1091-EFEITO!$M$1091*EFEITO!$Z$1091</f>
        <v>0</v>
      </c>
      <c r="O1091" s="64">
        <f>$L$1091-EFEITO!$O$1091*EFEITO!$AA$1091</f>
        <v>0</v>
      </c>
      <c r="P1091" s="19"/>
      <c r="Q1091" s="19"/>
      <c r="R1091" s="19"/>
      <c r="S1091" s="19"/>
      <c r="T1091" s="19"/>
      <c r="U1091" s="19"/>
      <c r="V1091" s="19"/>
      <c r="W1091" s="19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</row>
    <row r="1092" spans="1:36" ht="11.25" customHeight="1" x14ac:dyDescent="0.2">
      <c r="A1092" s="55" t="s">
        <v>21</v>
      </c>
      <c r="B1092" s="55" t="s">
        <v>41</v>
      </c>
      <c r="C1092" s="55" t="s">
        <v>42</v>
      </c>
      <c r="D1092" s="55" t="s">
        <v>46</v>
      </c>
      <c r="E1092" s="55" t="s">
        <v>25</v>
      </c>
      <c r="F1092" s="55" t="s">
        <v>25</v>
      </c>
      <c r="G1092" s="55" t="s">
        <v>25</v>
      </c>
      <c r="H1092" s="55" t="s">
        <v>35</v>
      </c>
      <c r="I1092" s="63">
        <v>44409</v>
      </c>
      <c r="J1092" s="64">
        <f>EFEITO!$J$1092*EFEITO!$Y$1092</f>
        <v>0</v>
      </c>
      <c r="K1092" s="64">
        <f ca="1">EFEITO!$L$1092*EFEITO!$Z$1092</f>
        <v>474392.46301836561</v>
      </c>
      <c r="L1092" s="64">
        <f>EFEITO!$N$1092*EFEITO!$AA$1092</f>
        <v>1411810.2253631768</v>
      </c>
      <c r="M1092" s="64">
        <f>$J$1092-EFEITO!$K$1092*EFEITO!$Y$1092</f>
        <v>0</v>
      </c>
      <c r="N1092" s="64">
        <f ca="1">$K$1092-EFEITO!$M$1092*EFEITO!$Z$1092</f>
        <v>0</v>
      </c>
      <c r="O1092" s="64">
        <f>$L$1092-EFEITO!$O$1092*EFEITO!$AA$1092</f>
        <v>0</v>
      </c>
      <c r="P1092" s="19"/>
      <c r="Q1092" s="19"/>
      <c r="R1092" s="19"/>
      <c r="S1092" s="19"/>
      <c r="T1092" s="19"/>
      <c r="U1092" s="19"/>
      <c r="V1092" s="19"/>
      <c r="W1092" s="19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</row>
    <row r="1093" spans="1:36" ht="11.25" customHeight="1" x14ac:dyDescent="0.2">
      <c r="A1093" s="55" t="s">
        <v>27</v>
      </c>
      <c r="B1093" s="55" t="s">
        <v>41</v>
      </c>
      <c r="C1093" s="55" t="s">
        <v>42</v>
      </c>
      <c r="D1093" s="55" t="s">
        <v>46</v>
      </c>
      <c r="E1093" s="55" t="s">
        <v>25</v>
      </c>
      <c r="F1093" s="55" t="s">
        <v>25</v>
      </c>
      <c r="G1093" s="55" t="s">
        <v>25</v>
      </c>
      <c r="H1093" s="55" t="s">
        <v>35</v>
      </c>
      <c r="I1093" s="63">
        <v>44409</v>
      </c>
      <c r="J1093" s="64">
        <f>EFEITO!$J$1093*EFEITO!$Y$1093</f>
        <v>0</v>
      </c>
      <c r="K1093" s="64">
        <f ca="1">EFEITO!$L$1093*EFEITO!$Z$1093</f>
        <v>-47.115102186414227</v>
      </c>
      <c r="L1093" s="64">
        <f>EFEITO!$N$1093*EFEITO!$AA$1093</f>
        <v>-140.21635717520962</v>
      </c>
      <c r="M1093" s="64">
        <f>$J$1093-EFEITO!$K$1093*EFEITO!$Y$1093</f>
        <v>0</v>
      </c>
      <c r="N1093" s="64">
        <f ca="1">$K$1093-EFEITO!$M$1093*EFEITO!$Z$1093</f>
        <v>0</v>
      </c>
      <c r="O1093" s="64">
        <f>$L$1093-EFEITO!$O$1093*EFEITO!$AA$1093</f>
        <v>0</v>
      </c>
      <c r="P1093" s="19"/>
      <c r="Q1093" s="19"/>
      <c r="R1093" s="19"/>
      <c r="S1093" s="19"/>
      <c r="T1093" s="19"/>
      <c r="U1093" s="19"/>
      <c r="V1093" s="19"/>
      <c r="W1093" s="19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</row>
    <row r="1094" spans="1:36" ht="11.25" customHeight="1" x14ac:dyDescent="0.2">
      <c r="A1094" s="55" t="s">
        <v>28</v>
      </c>
      <c r="B1094" s="55" t="s">
        <v>41</v>
      </c>
      <c r="C1094" s="55" t="s">
        <v>42</v>
      </c>
      <c r="D1094" s="55" t="s">
        <v>46</v>
      </c>
      <c r="E1094" s="55" t="s">
        <v>25</v>
      </c>
      <c r="F1094" s="55" t="s">
        <v>25</v>
      </c>
      <c r="G1094" s="55" t="s">
        <v>25</v>
      </c>
      <c r="H1094" s="55" t="s">
        <v>35</v>
      </c>
      <c r="I1094" s="63">
        <v>44409</v>
      </c>
      <c r="J1094" s="64">
        <f>EFEITO!$J$1094*EFEITO!$Y$1094</f>
        <v>0</v>
      </c>
      <c r="K1094" s="64">
        <f ca="1">EFEITO!$L$1094*EFEITO!$Z$1094</f>
        <v>9279.6503494726167</v>
      </c>
      <c r="L1094" s="64">
        <f>EFEITO!$N$1094*EFEITO!$AA$1094</f>
        <v>27616.596536596375</v>
      </c>
      <c r="M1094" s="64">
        <f>$J$1094-EFEITO!$K$1094*EFEITO!$Y$1094</f>
        <v>0</v>
      </c>
      <c r="N1094" s="64">
        <f ca="1">$K$1094-EFEITO!$M$1094*EFEITO!$Z$1094</f>
        <v>0</v>
      </c>
      <c r="O1094" s="64">
        <f>$L$1094-EFEITO!$O$1094*EFEITO!$AA$1094</f>
        <v>0</v>
      </c>
      <c r="P1094" s="19"/>
      <c r="Q1094" s="19"/>
      <c r="R1094" s="19"/>
      <c r="S1094" s="19"/>
      <c r="T1094" s="19"/>
      <c r="U1094" s="19"/>
      <c r="V1094" s="19"/>
      <c r="W1094" s="19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</row>
    <row r="1095" spans="1:36" ht="11.25" customHeight="1" x14ac:dyDescent="0.2">
      <c r="A1095" s="55" t="s">
        <v>21</v>
      </c>
      <c r="B1095" s="55" t="s">
        <v>41</v>
      </c>
      <c r="C1095" s="55" t="s">
        <v>42</v>
      </c>
      <c r="D1095" s="55" t="s">
        <v>46</v>
      </c>
      <c r="E1095" s="55" t="s">
        <v>25</v>
      </c>
      <c r="F1095" s="55" t="s">
        <v>25</v>
      </c>
      <c r="G1095" s="55" t="s">
        <v>25</v>
      </c>
      <c r="H1095" s="55" t="s">
        <v>35</v>
      </c>
      <c r="I1095" s="63">
        <v>44440</v>
      </c>
      <c r="J1095" s="64">
        <f>EFEITO!$J$1095*EFEITO!$Y$1095</f>
        <v>0</v>
      </c>
      <c r="K1095" s="64">
        <f ca="1">EFEITO!$L$1095*EFEITO!$Z$1095</f>
        <v>509026.34631648794</v>
      </c>
      <c r="L1095" s="64">
        <f>EFEITO!$N$1095*EFEITO!$AA$1095</f>
        <v>1514881.9948285175</v>
      </c>
      <c r="M1095" s="64">
        <f>$J$1095-EFEITO!$K$1095*EFEITO!$Y$1095</f>
        <v>0</v>
      </c>
      <c r="N1095" s="64">
        <f ca="1">$K$1095-EFEITO!$M$1095*EFEITO!$Z$1095</f>
        <v>0</v>
      </c>
      <c r="O1095" s="64">
        <f>$L$1095-EFEITO!$O$1095*EFEITO!$AA$1095</f>
        <v>0</v>
      </c>
      <c r="P1095" s="19"/>
      <c r="Q1095" s="19"/>
      <c r="R1095" s="19"/>
      <c r="S1095" s="19"/>
      <c r="T1095" s="19"/>
      <c r="U1095" s="19"/>
      <c r="V1095" s="19"/>
      <c r="W1095" s="19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</row>
    <row r="1096" spans="1:36" ht="11.25" customHeight="1" x14ac:dyDescent="0.2">
      <c r="A1096" s="55" t="s">
        <v>27</v>
      </c>
      <c r="B1096" s="55" t="s">
        <v>41</v>
      </c>
      <c r="C1096" s="55" t="s">
        <v>42</v>
      </c>
      <c r="D1096" s="55" t="s">
        <v>46</v>
      </c>
      <c r="E1096" s="55" t="s">
        <v>25</v>
      </c>
      <c r="F1096" s="55" t="s">
        <v>25</v>
      </c>
      <c r="G1096" s="55" t="s">
        <v>25</v>
      </c>
      <c r="H1096" s="55" t="s">
        <v>35</v>
      </c>
      <c r="I1096" s="63">
        <v>44440</v>
      </c>
      <c r="J1096" s="64">
        <f>EFEITO!$J$1096*EFEITO!$Y$1096</f>
        <v>0</v>
      </c>
      <c r="K1096" s="64">
        <f ca="1">EFEITO!$L$1096*EFEITO!$Z$1096</f>
        <v>-9485.3213988516582</v>
      </c>
      <c r="L1096" s="64">
        <f>EFEITO!$N$1096*EFEITO!$AA$1096</f>
        <v>-28228.681494116583</v>
      </c>
      <c r="M1096" s="64">
        <f>$J$1096-EFEITO!$K$1096*EFEITO!$Y$1096</f>
        <v>0</v>
      </c>
      <c r="N1096" s="64">
        <f ca="1">$K$1096-EFEITO!$M$1096*EFEITO!$Z$1096</f>
        <v>0</v>
      </c>
      <c r="O1096" s="64">
        <f>$L$1096-EFEITO!$O$1096*EFEITO!$AA$1096</f>
        <v>0</v>
      </c>
      <c r="P1096" s="19"/>
      <c r="Q1096" s="19"/>
      <c r="R1096" s="19"/>
      <c r="S1096" s="19"/>
      <c r="T1096" s="19"/>
      <c r="U1096" s="19"/>
      <c r="V1096" s="19"/>
      <c r="W1096" s="19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</row>
    <row r="1097" spans="1:36" ht="11.25" customHeight="1" x14ac:dyDescent="0.2">
      <c r="A1097" s="55" t="s">
        <v>28</v>
      </c>
      <c r="B1097" s="55" t="s">
        <v>41</v>
      </c>
      <c r="C1097" s="55" t="s">
        <v>42</v>
      </c>
      <c r="D1097" s="55" t="s">
        <v>46</v>
      </c>
      <c r="E1097" s="55" t="s">
        <v>25</v>
      </c>
      <c r="F1097" s="55" t="s">
        <v>25</v>
      </c>
      <c r="G1097" s="55" t="s">
        <v>25</v>
      </c>
      <c r="H1097" s="55" t="s">
        <v>35</v>
      </c>
      <c r="I1097" s="63">
        <v>44440</v>
      </c>
      <c r="J1097" s="64">
        <f>EFEITO!$J$1097*EFEITO!$Y$1097</f>
        <v>0</v>
      </c>
      <c r="K1097" s="64">
        <f ca="1">EFEITO!$L$1097*EFEITO!$Z$1097</f>
        <v>11017.613548636595</v>
      </c>
      <c r="L1097" s="64">
        <f>EFEITO!$N$1097*EFEITO!$AA$1097</f>
        <v>32788.841897057784</v>
      </c>
      <c r="M1097" s="64">
        <f>$J$1097-EFEITO!$K$1097*EFEITO!$Y$1097</f>
        <v>0</v>
      </c>
      <c r="N1097" s="64">
        <f ca="1">$K$1097-EFEITO!$M$1097*EFEITO!$Z$1097</f>
        <v>0</v>
      </c>
      <c r="O1097" s="64">
        <f>$L$1097-EFEITO!$O$1097*EFEITO!$AA$1097</f>
        <v>0</v>
      </c>
      <c r="P1097" s="19"/>
      <c r="Q1097" s="19"/>
      <c r="R1097" s="19"/>
      <c r="S1097" s="19"/>
      <c r="T1097" s="19"/>
      <c r="U1097" s="19"/>
      <c r="V1097" s="19"/>
      <c r="W1097" s="19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</row>
    <row r="1098" spans="1:36" ht="11.25" customHeight="1" x14ac:dyDescent="0.2">
      <c r="A1098" s="55" t="s">
        <v>21</v>
      </c>
      <c r="B1098" s="55" t="s">
        <v>41</v>
      </c>
      <c r="C1098" s="55" t="s">
        <v>42</v>
      </c>
      <c r="D1098" s="55" t="s">
        <v>46</v>
      </c>
      <c r="E1098" s="55" t="s">
        <v>25</v>
      </c>
      <c r="F1098" s="55" t="s">
        <v>25</v>
      </c>
      <c r="G1098" s="55" t="s">
        <v>25</v>
      </c>
      <c r="H1098" s="55" t="s">
        <v>35</v>
      </c>
      <c r="I1098" s="63">
        <v>44470</v>
      </c>
      <c r="J1098" s="64">
        <f>EFEITO!$J$1098*EFEITO!$Y$1098</f>
        <v>0</v>
      </c>
      <c r="K1098" s="64">
        <f ca="1">EFEITO!$L$1098*EFEITO!$Z$1098</f>
        <v>566407.01156920125</v>
      </c>
      <c r="L1098" s="64">
        <f>EFEITO!$N$1098*EFEITO!$AA$1098</f>
        <v>1685649.0627251798</v>
      </c>
      <c r="M1098" s="64">
        <f>$J$1098-EFEITO!$K$1098*EFEITO!$Y$1098</f>
        <v>0</v>
      </c>
      <c r="N1098" s="64">
        <f ca="1">$K$1098-EFEITO!$M$1098*EFEITO!$Z$1098</f>
        <v>0</v>
      </c>
      <c r="O1098" s="64">
        <f>$L$1098-EFEITO!$O$1098*EFEITO!$AA$1098</f>
        <v>0</v>
      </c>
      <c r="P1098" s="19"/>
      <c r="Q1098" s="19"/>
      <c r="R1098" s="19"/>
      <c r="S1098" s="19"/>
      <c r="T1098" s="19"/>
      <c r="U1098" s="19"/>
      <c r="V1098" s="19"/>
      <c r="W1098" s="19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</row>
    <row r="1099" spans="1:36" ht="11.25" customHeight="1" x14ac:dyDescent="0.2">
      <c r="A1099" s="55" t="s">
        <v>27</v>
      </c>
      <c r="B1099" s="55" t="s">
        <v>41</v>
      </c>
      <c r="C1099" s="55" t="s">
        <v>42</v>
      </c>
      <c r="D1099" s="55" t="s">
        <v>46</v>
      </c>
      <c r="E1099" s="55" t="s">
        <v>25</v>
      </c>
      <c r="F1099" s="55" t="s">
        <v>25</v>
      </c>
      <c r="G1099" s="55" t="s">
        <v>25</v>
      </c>
      <c r="H1099" s="55" t="s">
        <v>35</v>
      </c>
      <c r="I1099" s="63">
        <v>44470</v>
      </c>
      <c r="J1099" s="64">
        <f>EFEITO!$J$1099*EFEITO!$Y$1099</f>
        <v>0</v>
      </c>
      <c r="K1099" s="64">
        <f ca="1">EFEITO!$L$1099*EFEITO!$Z$1099</f>
        <v>227.47638592812555</v>
      </c>
      <c r="L1099" s="64">
        <f>EFEITO!$N$1099*EFEITO!$AA$1099</f>
        <v>676.97847819634273</v>
      </c>
      <c r="M1099" s="64">
        <f>$J$1099-EFEITO!$K$1099*EFEITO!$Y$1099</f>
        <v>0</v>
      </c>
      <c r="N1099" s="64">
        <f ca="1">$K$1099-EFEITO!$M$1099*EFEITO!$Z$1099</f>
        <v>0</v>
      </c>
      <c r="O1099" s="64">
        <f>$L$1099-EFEITO!$O$1099*EFEITO!$AA$1099</f>
        <v>0</v>
      </c>
      <c r="P1099" s="19"/>
      <c r="Q1099" s="19"/>
      <c r="R1099" s="19"/>
      <c r="S1099" s="19"/>
      <c r="T1099" s="19"/>
      <c r="U1099" s="19"/>
      <c r="V1099" s="19"/>
      <c r="W1099" s="19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  <row r="1100" spans="1:36" ht="11.25" customHeight="1" x14ac:dyDescent="0.2">
      <c r="A1100" s="55" t="s">
        <v>28</v>
      </c>
      <c r="B1100" s="55" t="s">
        <v>41</v>
      </c>
      <c r="C1100" s="55" t="s">
        <v>42</v>
      </c>
      <c r="D1100" s="55" t="s">
        <v>46</v>
      </c>
      <c r="E1100" s="55" t="s">
        <v>25</v>
      </c>
      <c r="F1100" s="55" t="s">
        <v>25</v>
      </c>
      <c r="G1100" s="55" t="s">
        <v>25</v>
      </c>
      <c r="H1100" s="55" t="s">
        <v>35</v>
      </c>
      <c r="I1100" s="63">
        <v>44470</v>
      </c>
      <c r="J1100" s="64">
        <f>EFEITO!$J$1100*EFEITO!$Y$1100</f>
        <v>0</v>
      </c>
      <c r="K1100" s="64">
        <f ca="1">EFEITO!$L$1100*EFEITO!$Z$1100</f>
        <v>12763.130739390788</v>
      </c>
      <c r="L1100" s="64">
        <f>EFEITO!$N$1100*EFEITO!$AA$1100</f>
        <v>37983.56822718199</v>
      </c>
      <c r="M1100" s="64">
        <f>$J$1100-EFEITO!$K$1100*EFEITO!$Y$1100</f>
        <v>0</v>
      </c>
      <c r="N1100" s="64">
        <f ca="1">$K$1100-EFEITO!$M$1100*EFEITO!$Z$1100</f>
        <v>0</v>
      </c>
      <c r="O1100" s="64">
        <f>$L$1100-EFEITO!$O$1100*EFEITO!$AA$1100</f>
        <v>0</v>
      </c>
      <c r="P1100" s="19"/>
      <c r="Q1100" s="19"/>
      <c r="R1100" s="19"/>
      <c r="S1100" s="19"/>
      <c r="T1100" s="19"/>
      <c r="U1100" s="19"/>
      <c r="V1100" s="19"/>
      <c r="W1100" s="19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</row>
    <row r="1101" spans="1:36" ht="11.25" customHeight="1" x14ac:dyDescent="0.2">
      <c r="A1101" s="55" t="s">
        <v>21</v>
      </c>
      <c r="B1101" s="55" t="s">
        <v>41</v>
      </c>
      <c r="C1101" s="55" t="s">
        <v>42</v>
      </c>
      <c r="D1101" s="55" t="s">
        <v>46</v>
      </c>
      <c r="E1101" s="55" t="s">
        <v>25</v>
      </c>
      <c r="F1101" s="55" t="s">
        <v>25</v>
      </c>
      <c r="G1101" s="55" t="s">
        <v>25</v>
      </c>
      <c r="H1101" s="55" t="s">
        <v>35</v>
      </c>
      <c r="I1101" s="63">
        <v>44501</v>
      </c>
      <c r="J1101" s="64">
        <f>EFEITO!$J$1101*EFEITO!$Y$1101</f>
        <v>0</v>
      </c>
      <c r="K1101" s="64">
        <f ca="1">EFEITO!$L$1101*EFEITO!$Z$1101</f>
        <v>611666.2459866826</v>
      </c>
      <c r="L1101" s="64">
        <f>EFEITO!$N$1101*EFEITO!$AA$1101</f>
        <v>1820342.2860031293</v>
      </c>
      <c r="M1101" s="64">
        <f>$J$1101-EFEITO!$K$1101*EFEITO!$Y$1101</f>
        <v>0</v>
      </c>
      <c r="N1101" s="64">
        <f ca="1">$K$1101-EFEITO!$M$1101*EFEITO!$Z$1101</f>
        <v>0</v>
      </c>
      <c r="O1101" s="64">
        <f>$L$1101-EFEITO!$O$1101*EFEITO!$AA$1101</f>
        <v>0</v>
      </c>
      <c r="P1101" s="19"/>
      <c r="Q1101" s="19"/>
      <c r="R1101" s="19"/>
      <c r="S1101" s="19"/>
      <c r="T1101" s="19"/>
      <c r="U1101" s="19"/>
      <c r="V1101" s="19"/>
      <c r="W1101" s="19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</row>
    <row r="1102" spans="1:36" ht="11.25" customHeight="1" x14ac:dyDescent="0.2">
      <c r="A1102" s="55" t="s">
        <v>28</v>
      </c>
      <c r="B1102" s="55" t="s">
        <v>41</v>
      </c>
      <c r="C1102" s="55" t="s">
        <v>42</v>
      </c>
      <c r="D1102" s="55" t="s">
        <v>46</v>
      </c>
      <c r="E1102" s="55" t="s">
        <v>25</v>
      </c>
      <c r="F1102" s="55" t="s">
        <v>25</v>
      </c>
      <c r="G1102" s="55" t="s">
        <v>25</v>
      </c>
      <c r="H1102" s="55" t="s">
        <v>35</v>
      </c>
      <c r="I1102" s="63">
        <v>44501</v>
      </c>
      <c r="J1102" s="64">
        <f>EFEITO!$J$1102*EFEITO!$Y$1102</f>
        <v>0</v>
      </c>
      <c r="K1102" s="64">
        <f ca="1">EFEITO!$L$1102*EFEITO!$Z$1102</f>
        <v>13289.495988445293</v>
      </c>
      <c r="L1102" s="64">
        <f>EFEITO!$N$1102*EFEITO!$AA$1102</f>
        <v>39550.051463789008</v>
      </c>
      <c r="M1102" s="64">
        <f>$J$1102-EFEITO!$K$1102*EFEITO!$Y$1102</f>
        <v>0</v>
      </c>
      <c r="N1102" s="64">
        <f ca="1">$K$1102-EFEITO!$M$1102*EFEITO!$Z$1102</f>
        <v>0</v>
      </c>
      <c r="O1102" s="64">
        <f>$L$1102-EFEITO!$O$1102*EFEITO!$AA$1102</f>
        <v>0</v>
      </c>
      <c r="P1102" s="19"/>
      <c r="Q1102" s="19"/>
      <c r="R1102" s="19"/>
      <c r="S1102" s="19"/>
      <c r="T1102" s="19"/>
      <c r="U1102" s="19"/>
      <c r="V1102" s="19"/>
      <c r="W1102" s="19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</row>
    <row r="1103" spans="1:36" ht="11.25" customHeight="1" x14ac:dyDescent="0.2">
      <c r="A1103" s="55" t="s">
        <v>21</v>
      </c>
      <c r="B1103" s="55" t="s">
        <v>41</v>
      </c>
      <c r="C1103" s="55" t="s">
        <v>42</v>
      </c>
      <c r="D1103" s="55" t="s">
        <v>46</v>
      </c>
      <c r="E1103" s="55" t="s">
        <v>25</v>
      </c>
      <c r="F1103" s="55" t="s">
        <v>25</v>
      </c>
      <c r="G1103" s="55" t="s">
        <v>25</v>
      </c>
      <c r="H1103" s="55" t="s">
        <v>35</v>
      </c>
      <c r="I1103" s="63">
        <v>44531</v>
      </c>
      <c r="J1103" s="64">
        <f>EFEITO!$J$1103*EFEITO!$Y$1103</f>
        <v>0</v>
      </c>
      <c r="K1103" s="64">
        <f ca="1">EFEITO!$L$1103*EFEITO!$Z$1103</f>
        <v>619871.04899668926</v>
      </c>
      <c r="L1103" s="64">
        <f>EFEITO!$N$1103*EFEITO!$AA$1103</f>
        <v>1844760.0954955402</v>
      </c>
      <c r="M1103" s="64">
        <f>$J$1103-EFEITO!$K$1103*EFEITO!$Y$1103</f>
        <v>0</v>
      </c>
      <c r="N1103" s="64">
        <f ca="1">$K$1103-EFEITO!$M$1103*EFEITO!$Z$1103</f>
        <v>0</v>
      </c>
      <c r="O1103" s="64">
        <f>$L$1103-EFEITO!$O$1103*EFEITO!$AA$1103</f>
        <v>0</v>
      </c>
      <c r="P1103" s="19"/>
      <c r="Q1103" s="19"/>
      <c r="R1103" s="19"/>
      <c r="S1103" s="19"/>
      <c r="T1103" s="19"/>
      <c r="U1103" s="19"/>
      <c r="V1103" s="19"/>
      <c r="W1103" s="19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</row>
    <row r="1104" spans="1:36" ht="11.25" customHeight="1" x14ac:dyDescent="0.2">
      <c r="A1104" s="55" t="s">
        <v>28</v>
      </c>
      <c r="B1104" s="55" t="s">
        <v>41</v>
      </c>
      <c r="C1104" s="55" t="s">
        <v>42</v>
      </c>
      <c r="D1104" s="55" t="s">
        <v>46</v>
      </c>
      <c r="E1104" s="55" t="s">
        <v>25</v>
      </c>
      <c r="F1104" s="55" t="s">
        <v>25</v>
      </c>
      <c r="G1104" s="55" t="s">
        <v>25</v>
      </c>
      <c r="H1104" s="55" t="s">
        <v>35</v>
      </c>
      <c r="I1104" s="63">
        <v>44531</v>
      </c>
      <c r="J1104" s="64">
        <f>EFEITO!$J$1104*EFEITO!$Y$1104</f>
        <v>0</v>
      </c>
      <c r="K1104" s="64">
        <f ca="1">EFEITO!$L$1104*EFEITO!$Z$1104</f>
        <v>14197.688255714653</v>
      </c>
      <c r="L1104" s="64">
        <f>EFEITO!$N$1104*EFEITO!$AA$1104</f>
        <v>42252.866599949826</v>
      </c>
      <c r="M1104" s="64">
        <f>$J$1104-EFEITO!$K$1104*EFEITO!$Y$1104</f>
        <v>0</v>
      </c>
      <c r="N1104" s="64">
        <f ca="1">$K$1104-EFEITO!$M$1104*EFEITO!$Z$1104</f>
        <v>0</v>
      </c>
      <c r="O1104" s="64">
        <f>$L$1104-EFEITO!$O$1104*EFEITO!$AA$1104</f>
        <v>0</v>
      </c>
      <c r="P1104" s="19"/>
      <c r="Q1104" s="19"/>
      <c r="R1104" s="19"/>
      <c r="S1104" s="19"/>
      <c r="T1104" s="19"/>
      <c r="U1104" s="19"/>
      <c r="V1104" s="19"/>
      <c r="W1104" s="19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</row>
    <row r="1105" spans="1:36" ht="11.25" customHeight="1" x14ac:dyDescent="0.2">
      <c r="A1105" s="55" t="s">
        <v>21</v>
      </c>
      <c r="B1105" s="55" t="s">
        <v>41</v>
      </c>
      <c r="C1105" s="55" t="s">
        <v>42</v>
      </c>
      <c r="D1105" s="55" t="s">
        <v>46</v>
      </c>
      <c r="E1105" s="55" t="s">
        <v>25</v>
      </c>
      <c r="F1105" s="55" t="s">
        <v>25</v>
      </c>
      <c r="G1105" s="55" t="s">
        <v>25</v>
      </c>
      <c r="H1105" s="55" t="s">
        <v>35</v>
      </c>
      <c r="I1105" s="63">
        <v>44562</v>
      </c>
      <c r="J1105" s="64">
        <f>EFEITO!$J$1105*EFEITO!$Y$1105</f>
        <v>0</v>
      </c>
      <c r="K1105" s="64">
        <f ca="1">EFEITO!$L$1105*EFEITO!$Z$1105</f>
        <v>585884.0054320551</v>
      </c>
      <c r="L1105" s="64">
        <f>EFEITO!$N$1105*EFEITO!$AA$1105</f>
        <v>1743613.3459685424</v>
      </c>
      <c r="M1105" s="64">
        <f>$J$1105-EFEITO!$K$1105*EFEITO!$Y$1105</f>
        <v>0</v>
      </c>
      <c r="N1105" s="64">
        <f ca="1">$K$1105-EFEITO!$M$1105*EFEITO!$Z$1105</f>
        <v>0</v>
      </c>
      <c r="O1105" s="64">
        <f>$L$1105-EFEITO!$O$1105*EFEITO!$AA$1105</f>
        <v>0</v>
      </c>
      <c r="P1105" s="19"/>
      <c r="Q1105" s="19"/>
      <c r="R1105" s="19"/>
      <c r="S1105" s="19"/>
      <c r="T1105" s="19"/>
      <c r="U1105" s="19"/>
      <c r="V1105" s="19"/>
      <c r="W1105" s="19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</row>
    <row r="1106" spans="1:36" ht="11.25" customHeight="1" x14ac:dyDescent="0.2">
      <c r="A1106" s="55" t="s">
        <v>28</v>
      </c>
      <c r="B1106" s="55" t="s">
        <v>41</v>
      </c>
      <c r="C1106" s="55" t="s">
        <v>42</v>
      </c>
      <c r="D1106" s="55" t="s">
        <v>46</v>
      </c>
      <c r="E1106" s="55" t="s">
        <v>25</v>
      </c>
      <c r="F1106" s="55" t="s">
        <v>25</v>
      </c>
      <c r="G1106" s="55" t="s">
        <v>25</v>
      </c>
      <c r="H1106" s="55" t="s">
        <v>35</v>
      </c>
      <c r="I1106" s="63">
        <v>44562</v>
      </c>
      <c r="J1106" s="64">
        <f>EFEITO!$J$1106*EFEITO!$Y$1106</f>
        <v>0</v>
      </c>
      <c r="K1106" s="64">
        <f ca="1">EFEITO!$L$1106*EFEITO!$Z$1106</f>
        <v>11078.434862368147</v>
      </c>
      <c r="L1106" s="64">
        <f>EFEITO!$N$1106*EFEITO!$AA$1106</f>
        <v>32969.848467229422</v>
      </c>
      <c r="M1106" s="64">
        <f>$J$1106-EFEITO!$K$1106*EFEITO!$Y$1106</f>
        <v>0</v>
      </c>
      <c r="N1106" s="64">
        <f ca="1">$K$1106-EFEITO!$M$1106*EFEITO!$Z$1106</f>
        <v>0</v>
      </c>
      <c r="O1106" s="64">
        <f>$L$1106-EFEITO!$O$1106*EFEITO!$AA$1106</f>
        <v>0</v>
      </c>
      <c r="P1106" s="19"/>
      <c r="Q1106" s="19"/>
      <c r="R1106" s="19"/>
      <c r="S1106" s="19"/>
      <c r="T1106" s="19"/>
      <c r="U1106" s="19"/>
      <c r="V1106" s="19"/>
      <c r="W1106" s="19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</row>
    <row r="1107" spans="1:36" ht="11.25" customHeight="1" x14ac:dyDescent="0.2">
      <c r="A1107" s="55" t="s">
        <v>21</v>
      </c>
      <c r="B1107" s="55" t="s">
        <v>41</v>
      </c>
      <c r="C1107" s="55" t="s">
        <v>42</v>
      </c>
      <c r="D1107" s="55" t="s">
        <v>46</v>
      </c>
      <c r="E1107" s="55" t="s">
        <v>25</v>
      </c>
      <c r="F1107" s="55" t="s">
        <v>25</v>
      </c>
      <c r="G1107" s="55" t="s">
        <v>25</v>
      </c>
      <c r="H1107" s="55" t="s">
        <v>35</v>
      </c>
      <c r="I1107" s="63">
        <v>44593</v>
      </c>
      <c r="J1107" s="64">
        <f>EFEITO!$J$1107*EFEITO!$Y$1107</f>
        <v>0</v>
      </c>
      <c r="K1107" s="64">
        <f ca="1">EFEITO!$L$1107*EFEITO!$Z$1107</f>
        <v>569153.78308856825</v>
      </c>
      <c r="L1107" s="64">
        <f>EFEITO!$N$1107*EFEITO!$AA$1107</f>
        <v>1693823.5604672078</v>
      </c>
      <c r="M1107" s="64">
        <f>$J$1107-EFEITO!$K$1107*EFEITO!$Y$1107</f>
        <v>0</v>
      </c>
      <c r="N1107" s="64">
        <f ca="1">$K$1107-EFEITO!$M$1107*EFEITO!$Z$1107</f>
        <v>0</v>
      </c>
      <c r="O1107" s="64">
        <f>$L$1107-EFEITO!$O$1107*EFEITO!$AA$1107</f>
        <v>0</v>
      </c>
      <c r="P1107" s="19"/>
      <c r="Q1107" s="19"/>
      <c r="R1107" s="19"/>
      <c r="S1107" s="19"/>
      <c r="T1107" s="19"/>
      <c r="U1107" s="19"/>
      <c r="V1107" s="19"/>
      <c r="W1107" s="19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</row>
    <row r="1108" spans="1:36" ht="11.25" customHeight="1" x14ac:dyDescent="0.2">
      <c r="A1108" s="55" t="s">
        <v>28</v>
      </c>
      <c r="B1108" s="55" t="s">
        <v>41</v>
      </c>
      <c r="C1108" s="55" t="s">
        <v>42</v>
      </c>
      <c r="D1108" s="55" t="s">
        <v>46</v>
      </c>
      <c r="E1108" s="55" t="s">
        <v>25</v>
      </c>
      <c r="F1108" s="55" t="s">
        <v>25</v>
      </c>
      <c r="G1108" s="55" t="s">
        <v>25</v>
      </c>
      <c r="H1108" s="55" t="s">
        <v>35</v>
      </c>
      <c r="I1108" s="63">
        <v>44593</v>
      </c>
      <c r="J1108" s="64">
        <f>EFEITO!$J$1108*EFEITO!$Y$1108</f>
        <v>0</v>
      </c>
      <c r="K1108" s="64">
        <f ca="1">EFEITO!$L$1108*EFEITO!$Z$1108</f>
        <v>10524.267809213561</v>
      </c>
      <c r="L1108" s="64">
        <f>EFEITO!$N$1108*EFEITO!$AA$1108</f>
        <v>31320.625991760338</v>
      </c>
      <c r="M1108" s="64">
        <f>$J$1108-EFEITO!$K$1108*EFEITO!$Y$1108</f>
        <v>0</v>
      </c>
      <c r="N1108" s="64">
        <f ca="1">$K$1108-EFEITO!$M$1108*EFEITO!$Z$1108</f>
        <v>0</v>
      </c>
      <c r="O1108" s="64">
        <f>$L$1108-EFEITO!$O$1108*EFEITO!$AA$1108</f>
        <v>0</v>
      </c>
      <c r="P1108" s="19"/>
      <c r="Q1108" s="19"/>
      <c r="R1108" s="19"/>
      <c r="S1108" s="19"/>
      <c r="T1108" s="19"/>
      <c r="U1108" s="19"/>
      <c r="V1108" s="19"/>
      <c r="W1108" s="19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</row>
    <row r="1109" spans="1:36" ht="11.25" customHeight="1" x14ac:dyDescent="0.2">
      <c r="A1109" s="55" t="s">
        <v>21</v>
      </c>
      <c r="B1109" s="55" t="s">
        <v>41</v>
      </c>
      <c r="C1109" s="55" t="s">
        <v>42</v>
      </c>
      <c r="D1109" s="55" t="s">
        <v>46</v>
      </c>
      <c r="E1109" s="55" t="s">
        <v>25</v>
      </c>
      <c r="F1109" s="55" t="s">
        <v>25</v>
      </c>
      <c r="G1109" s="55" t="s">
        <v>25</v>
      </c>
      <c r="H1109" s="55" t="s">
        <v>35</v>
      </c>
      <c r="I1109" s="63">
        <v>44621</v>
      </c>
      <c r="J1109" s="64">
        <f>EFEITO!$J$1109*EFEITO!$Y$1109</f>
        <v>0</v>
      </c>
      <c r="K1109" s="64">
        <f ca="1">EFEITO!$L$1109*EFEITO!$Z$1109</f>
        <v>630627.23213534267</v>
      </c>
      <c r="L1109" s="64">
        <f>EFEITO!$N$1109*EFEITO!$AA$1109</f>
        <v>1876770.910432206</v>
      </c>
      <c r="M1109" s="64">
        <f>$J$1109-EFEITO!$K$1109*EFEITO!$Y$1109</f>
        <v>0</v>
      </c>
      <c r="N1109" s="64">
        <f ca="1">$K$1109-EFEITO!$M$1109*EFEITO!$Z$1109</f>
        <v>0</v>
      </c>
      <c r="O1109" s="64">
        <f>$L$1109-EFEITO!$O$1109*EFEITO!$AA$1109</f>
        <v>0</v>
      </c>
      <c r="P1109" s="19"/>
      <c r="Q1109" s="19"/>
      <c r="R1109" s="19"/>
      <c r="S1109" s="19"/>
      <c r="T1109" s="19"/>
      <c r="U1109" s="19"/>
      <c r="V1109" s="19"/>
      <c r="W1109" s="19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</row>
    <row r="1110" spans="1:36" ht="11.25" customHeight="1" x14ac:dyDescent="0.2">
      <c r="A1110" s="55" t="s">
        <v>28</v>
      </c>
      <c r="B1110" s="55" t="s">
        <v>41</v>
      </c>
      <c r="C1110" s="55" t="s">
        <v>42</v>
      </c>
      <c r="D1110" s="55" t="s">
        <v>46</v>
      </c>
      <c r="E1110" s="55" t="s">
        <v>25</v>
      </c>
      <c r="F1110" s="55" t="s">
        <v>25</v>
      </c>
      <c r="G1110" s="55" t="s">
        <v>25</v>
      </c>
      <c r="H1110" s="55" t="s">
        <v>35</v>
      </c>
      <c r="I1110" s="63">
        <v>44621</v>
      </c>
      <c r="J1110" s="64">
        <f>EFEITO!$J$1110*EFEITO!$Y$1110</f>
        <v>0</v>
      </c>
      <c r="K1110" s="64">
        <f ca="1">EFEITO!$L$1110*EFEITO!$Z$1110</f>
        <v>14186.551958834227</v>
      </c>
      <c r="L1110" s="64">
        <f>EFEITO!$N$1110*EFEITO!$AA$1110</f>
        <v>42219.724551890235</v>
      </c>
      <c r="M1110" s="64">
        <f>$J$1110-EFEITO!$K$1110*EFEITO!$Y$1110</f>
        <v>0</v>
      </c>
      <c r="N1110" s="64">
        <f ca="1">$K$1110-EFEITO!$M$1110*EFEITO!$Z$1110</f>
        <v>0</v>
      </c>
      <c r="O1110" s="64">
        <f>$L$1110-EFEITO!$O$1110*EFEITO!$AA$1110</f>
        <v>0</v>
      </c>
      <c r="P1110" s="19"/>
      <c r="Q1110" s="19"/>
      <c r="R1110" s="19"/>
      <c r="S1110" s="19"/>
      <c r="T1110" s="19"/>
      <c r="U1110" s="19"/>
      <c r="V1110" s="19"/>
      <c r="W1110" s="19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</row>
    <row r="1111" spans="1:36" ht="11.25" customHeight="1" x14ac:dyDescent="0.2">
      <c r="A1111" s="55" t="s">
        <v>21</v>
      </c>
      <c r="B1111" s="55" t="s">
        <v>41</v>
      </c>
      <c r="C1111" s="55" t="s">
        <v>42</v>
      </c>
      <c r="D1111" s="55" t="s">
        <v>46</v>
      </c>
      <c r="E1111" s="55" t="s">
        <v>25</v>
      </c>
      <c r="F1111" s="55" t="s">
        <v>25</v>
      </c>
      <c r="G1111" s="55" t="s">
        <v>25</v>
      </c>
      <c r="H1111" s="55" t="s">
        <v>35</v>
      </c>
      <c r="I1111" s="63">
        <v>44652</v>
      </c>
      <c r="J1111" s="64">
        <f>EFEITO!$J$1111*EFEITO!$Y$1111</f>
        <v>0</v>
      </c>
      <c r="K1111" s="64">
        <f ca="1">EFEITO!$L$1111*EFEITO!$Z$1111</f>
        <v>628139.94412090979</v>
      </c>
      <c r="L1111" s="64">
        <f>EFEITO!$N$1111*EFEITO!$AA$1111</f>
        <v>1869368.645586224</v>
      </c>
      <c r="M1111" s="64">
        <f>$J$1111-EFEITO!$K$1111*EFEITO!$Y$1111</f>
        <v>0</v>
      </c>
      <c r="N1111" s="64">
        <f ca="1">$K$1111-EFEITO!$M$1111*EFEITO!$Z$1111</f>
        <v>0</v>
      </c>
      <c r="O1111" s="64">
        <f>$L$1111-EFEITO!$O$1111*EFEITO!$AA$1111</f>
        <v>0</v>
      </c>
      <c r="P1111" s="19"/>
      <c r="Q1111" s="19"/>
      <c r="R1111" s="19"/>
      <c r="S1111" s="19"/>
      <c r="T1111" s="19"/>
      <c r="U1111" s="19"/>
      <c r="V1111" s="19"/>
      <c r="W1111" s="19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</row>
    <row r="1112" spans="1:36" ht="11.25" customHeight="1" x14ac:dyDescent="0.2">
      <c r="A1112" s="55" t="s">
        <v>28</v>
      </c>
      <c r="B1112" s="55" t="s">
        <v>41</v>
      </c>
      <c r="C1112" s="55" t="s">
        <v>42</v>
      </c>
      <c r="D1112" s="55" t="s">
        <v>46</v>
      </c>
      <c r="E1112" s="55" t="s">
        <v>25</v>
      </c>
      <c r="F1112" s="55" t="s">
        <v>25</v>
      </c>
      <c r="G1112" s="55" t="s">
        <v>25</v>
      </c>
      <c r="H1112" s="55" t="s">
        <v>35</v>
      </c>
      <c r="I1112" s="63">
        <v>44652</v>
      </c>
      <c r="J1112" s="64">
        <f>EFEITO!$J$1112*EFEITO!$Y$1112</f>
        <v>0</v>
      </c>
      <c r="K1112" s="64">
        <f ca="1">EFEITO!$L$1112*EFEITO!$Z$1112</f>
        <v>14607.394954231553</v>
      </c>
      <c r="L1112" s="64">
        <f>EFEITO!$N$1112*EFEITO!$AA$1112</f>
        <v>43472.169500939541</v>
      </c>
      <c r="M1112" s="64">
        <f>$J$1112-EFEITO!$K$1112*EFEITO!$Y$1112</f>
        <v>0</v>
      </c>
      <c r="N1112" s="64">
        <f ca="1">$K$1112-EFEITO!$M$1112*EFEITO!$Z$1112</f>
        <v>0</v>
      </c>
      <c r="O1112" s="64">
        <f>$L$1112-EFEITO!$O$1112*EFEITO!$AA$1112</f>
        <v>0</v>
      </c>
      <c r="P1112" s="19"/>
      <c r="Q1112" s="19"/>
      <c r="R1112" s="19"/>
      <c r="S1112" s="19"/>
      <c r="T1112" s="19"/>
      <c r="U1112" s="19"/>
      <c r="V1112" s="19"/>
      <c r="W1112" s="19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</row>
    <row r="1113" spans="1:36" ht="11.25" customHeight="1" x14ac:dyDescent="0.2">
      <c r="A1113" s="55" t="s">
        <v>21</v>
      </c>
      <c r="B1113" s="55" t="s">
        <v>41</v>
      </c>
      <c r="C1113" s="55" t="s">
        <v>42</v>
      </c>
      <c r="D1113" s="55" t="s">
        <v>46</v>
      </c>
      <c r="E1113" s="55" t="s">
        <v>25</v>
      </c>
      <c r="F1113" s="55" t="s">
        <v>25</v>
      </c>
      <c r="G1113" s="55" t="s">
        <v>25</v>
      </c>
      <c r="H1113" s="55" t="s">
        <v>35</v>
      </c>
      <c r="I1113" s="63">
        <v>44682</v>
      </c>
      <c r="J1113" s="64">
        <f>EFEITO!$J$1113*EFEITO!$Y$1113</f>
        <v>0</v>
      </c>
      <c r="K1113" s="64">
        <f ca="1">EFEITO!$L$1113*EFEITO!$Z$1113</f>
        <v>590457.20751601376</v>
      </c>
      <c r="L1113" s="64">
        <f>EFEITO!$N$1113*EFEITO!$AA$1113</f>
        <v>1757223.3713549175</v>
      </c>
      <c r="M1113" s="64">
        <f>$J$1113-EFEITO!$K$1113*EFEITO!$Y$1113</f>
        <v>0</v>
      </c>
      <c r="N1113" s="64">
        <f ca="1">$K$1113-EFEITO!$M$1113*EFEITO!$Z$1113</f>
        <v>0</v>
      </c>
      <c r="O1113" s="64">
        <f>$L$1113-EFEITO!$O$1113*EFEITO!$AA$1113</f>
        <v>0</v>
      </c>
      <c r="P1113" s="19"/>
      <c r="Q1113" s="19"/>
      <c r="R1113" s="19"/>
      <c r="S1113" s="19"/>
      <c r="T1113" s="19"/>
      <c r="U1113" s="19"/>
      <c r="V1113" s="19"/>
      <c r="W1113" s="19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</row>
    <row r="1114" spans="1:36" ht="11.25" customHeight="1" x14ac:dyDescent="0.2">
      <c r="A1114" s="55" t="s">
        <v>28</v>
      </c>
      <c r="B1114" s="55" t="s">
        <v>41</v>
      </c>
      <c r="C1114" s="55" t="s">
        <v>42</v>
      </c>
      <c r="D1114" s="55" t="s">
        <v>46</v>
      </c>
      <c r="E1114" s="55" t="s">
        <v>25</v>
      </c>
      <c r="F1114" s="55" t="s">
        <v>25</v>
      </c>
      <c r="G1114" s="55" t="s">
        <v>25</v>
      </c>
      <c r="H1114" s="55" t="s">
        <v>35</v>
      </c>
      <c r="I1114" s="63">
        <v>44682</v>
      </c>
      <c r="J1114" s="64">
        <f>EFEITO!$J$1114*EFEITO!$Y$1114</f>
        <v>0</v>
      </c>
      <c r="K1114" s="64">
        <f ca="1">EFEITO!$L$1114*EFEITO!$Z$1114</f>
        <v>16032.918831127938</v>
      </c>
      <c r="L1114" s="64">
        <f>EFEITO!$N$1114*EFEITO!$AA$1114</f>
        <v>47714.583415141547</v>
      </c>
      <c r="M1114" s="64">
        <f>$J$1114-EFEITO!$K$1114*EFEITO!$Y$1114</f>
        <v>0</v>
      </c>
      <c r="N1114" s="64">
        <f ca="1">$K$1114-EFEITO!$M$1114*EFEITO!$Z$1114</f>
        <v>0</v>
      </c>
      <c r="O1114" s="64">
        <f>$L$1114-EFEITO!$O$1114*EFEITO!$AA$1114</f>
        <v>0</v>
      </c>
      <c r="P1114" s="19"/>
      <c r="Q1114" s="19"/>
      <c r="R1114" s="19"/>
      <c r="S1114" s="19"/>
      <c r="T1114" s="19"/>
      <c r="U1114" s="19"/>
      <c r="V1114" s="19"/>
      <c r="W1114" s="19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</row>
    <row r="1115" spans="1:36" ht="11.25" customHeight="1" x14ac:dyDescent="0.2">
      <c r="A1115" s="55" t="s">
        <v>21</v>
      </c>
      <c r="B1115" s="55" t="s">
        <v>41</v>
      </c>
      <c r="C1115" s="55" t="s">
        <v>42</v>
      </c>
      <c r="D1115" s="55" t="s">
        <v>46</v>
      </c>
      <c r="E1115" s="55" t="s">
        <v>25</v>
      </c>
      <c r="F1115" s="55" t="s">
        <v>25</v>
      </c>
      <c r="G1115" s="55" t="s">
        <v>25</v>
      </c>
      <c r="H1115" s="55" t="s">
        <v>35</v>
      </c>
      <c r="I1115" s="63">
        <v>44713</v>
      </c>
      <c r="J1115" s="64">
        <f>EFEITO!$J$1115*EFEITO!$Y$1115</f>
        <v>0</v>
      </c>
      <c r="K1115" s="64">
        <f ca="1">EFEITO!$L$1115*EFEITO!$Z$1115</f>
        <v>519659.71868464892</v>
      </c>
      <c r="L1115" s="64">
        <f>EFEITO!$N$1115*EFEITO!$AA$1115</f>
        <v>1546527.3201862324</v>
      </c>
      <c r="M1115" s="64">
        <f>$J$1115-EFEITO!$K$1115*EFEITO!$Y$1115</f>
        <v>0</v>
      </c>
      <c r="N1115" s="64">
        <f ca="1">$K$1115-EFEITO!$M$1115*EFEITO!$Z$1115</f>
        <v>0</v>
      </c>
      <c r="O1115" s="64">
        <f>$L$1115-EFEITO!$O$1115*EFEITO!$AA$1115</f>
        <v>0</v>
      </c>
      <c r="P1115" s="19"/>
      <c r="Q1115" s="19"/>
      <c r="R1115" s="19"/>
      <c r="S1115" s="19"/>
      <c r="T1115" s="19"/>
      <c r="U1115" s="19"/>
      <c r="V1115" s="19"/>
      <c r="W1115" s="19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</row>
    <row r="1116" spans="1:36" ht="11.25" customHeight="1" x14ac:dyDescent="0.2">
      <c r="A1116" s="55" t="s">
        <v>27</v>
      </c>
      <c r="B1116" s="55" t="s">
        <v>41</v>
      </c>
      <c r="C1116" s="55" t="s">
        <v>42</v>
      </c>
      <c r="D1116" s="55" t="s">
        <v>46</v>
      </c>
      <c r="E1116" s="55" t="s">
        <v>25</v>
      </c>
      <c r="F1116" s="55" t="s">
        <v>25</v>
      </c>
      <c r="G1116" s="55" t="s">
        <v>25</v>
      </c>
      <c r="H1116" s="55" t="s">
        <v>35</v>
      </c>
      <c r="I1116" s="63">
        <v>44713</v>
      </c>
      <c r="J1116" s="64">
        <f>EFEITO!$J$1116*EFEITO!$Y$1116</f>
        <v>0</v>
      </c>
      <c r="K1116" s="64">
        <f ca="1">EFEITO!$L$1116*EFEITO!$Z$1116</f>
        <v>-450.43595214251224</v>
      </c>
      <c r="L1116" s="64">
        <f>EFEITO!$N$1116*EFEITO!$AA$1116</f>
        <v>-1340.5147271097728</v>
      </c>
      <c r="M1116" s="64">
        <f>$J$1116-EFEITO!$K$1116*EFEITO!$Y$1116</f>
        <v>0</v>
      </c>
      <c r="N1116" s="64">
        <f ca="1">$K$1116-EFEITO!$M$1116*EFEITO!$Z$1116</f>
        <v>0</v>
      </c>
      <c r="O1116" s="64">
        <f>$L$1116-EFEITO!$O$1116*EFEITO!$AA$1116</f>
        <v>0</v>
      </c>
      <c r="P1116" s="19"/>
      <c r="Q1116" s="19"/>
      <c r="R1116" s="19"/>
      <c r="S1116" s="19"/>
      <c r="T1116" s="19"/>
      <c r="U1116" s="19"/>
      <c r="V1116" s="19"/>
      <c r="W1116" s="19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</row>
    <row r="1117" spans="1:36" ht="11.25" customHeight="1" x14ac:dyDescent="0.2">
      <c r="A1117" s="55" t="s">
        <v>28</v>
      </c>
      <c r="B1117" s="55" t="s">
        <v>41</v>
      </c>
      <c r="C1117" s="55" t="s">
        <v>42</v>
      </c>
      <c r="D1117" s="55" t="s">
        <v>46</v>
      </c>
      <c r="E1117" s="55" t="s">
        <v>25</v>
      </c>
      <c r="F1117" s="55" t="s">
        <v>25</v>
      </c>
      <c r="G1117" s="55" t="s">
        <v>25</v>
      </c>
      <c r="H1117" s="55" t="s">
        <v>35</v>
      </c>
      <c r="I1117" s="63">
        <v>44713</v>
      </c>
      <c r="J1117" s="64">
        <f>EFEITO!$J$1117*EFEITO!$Y$1117</f>
        <v>0</v>
      </c>
      <c r="K1117" s="64">
        <f ca="1">EFEITO!$L$1117*EFEITO!$Z$1117</f>
        <v>14284.052963689417</v>
      </c>
      <c r="L1117" s="64">
        <f>EFEITO!$N$1117*EFEITO!$AA$1117</f>
        <v>42509.891294342066</v>
      </c>
      <c r="M1117" s="64">
        <f>$J$1117-EFEITO!$K$1117*EFEITO!$Y$1117</f>
        <v>0</v>
      </c>
      <c r="N1117" s="64">
        <f ca="1">$K$1117-EFEITO!$M$1117*EFEITO!$Z$1117</f>
        <v>0</v>
      </c>
      <c r="O1117" s="64">
        <f>$L$1117-EFEITO!$O$1117*EFEITO!$AA$1117</f>
        <v>0</v>
      </c>
      <c r="P1117" s="19"/>
      <c r="Q1117" s="19"/>
      <c r="R1117" s="19"/>
      <c r="S1117" s="19"/>
      <c r="T1117" s="19"/>
      <c r="U1117" s="19"/>
      <c r="V1117" s="19"/>
      <c r="W1117" s="19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</row>
    <row r="1118" spans="1:36" ht="11.25" customHeight="1" x14ac:dyDescent="0.2">
      <c r="A1118" s="55" t="s">
        <v>57</v>
      </c>
      <c r="B1118" s="55" t="s">
        <v>41</v>
      </c>
      <c r="C1118" s="55" t="s">
        <v>42</v>
      </c>
      <c r="D1118" s="55" t="s">
        <v>46</v>
      </c>
      <c r="E1118" s="55" t="s">
        <v>25</v>
      </c>
      <c r="F1118" s="55" t="s">
        <v>25</v>
      </c>
      <c r="G1118" s="55" t="s">
        <v>25</v>
      </c>
      <c r="H1118" s="55" t="s">
        <v>35</v>
      </c>
      <c r="I1118" s="63">
        <v>44743</v>
      </c>
      <c r="J1118" s="64">
        <f>EFEITO!$J$1118*EFEITO!$Y$1118</f>
        <v>0</v>
      </c>
      <c r="K1118" s="64">
        <f ca="1">EFEITO!$L$1118*EFEITO!$Z$1118</f>
        <v>519659.71868464892</v>
      </c>
      <c r="L1118" s="64">
        <f>EFEITO!$N$1118*EFEITO!$AA$1118</f>
        <v>1546527.3201862324</v>
      </c>
      <c r="M1118" s="64">
        <f>$J$1118-EFEITO!$K$1118*EFEITO!$Y$1118</f>
        <v>0</v>
      </c>
      <c r="N1118" s="64">
        <f ca="1">$K$1118-EFEITO!$M$1118*EFEITO!$Z$1118</f>
        <v>0</v>
      </c>
      <c r="O1118" s="64">
        <f>$L$1118-EFEITO!$O$1118*EFEITO!$AA$1118</f>
        <v>0</v>
      </c>
      <c r="P1118" s="19"/>
      <c r="Q1118" s="19"/>
      <c r="R1118" s="19"/>
      <c r="S1118" s="19"/>
      <c r="T1118" s="19"/>
      <c r="U1118" s="19"/>
      <c r="V1118" s="19"/>
      <c r="W1118" s="19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</row>
    <row r="1119" spans="1:36" ht="11.25" customHeight="1" x14ac:dyDescent="0.2">
      <c r="A1119" s="55" t="s">
        <v>57</v>
      </c>
      <c r="B1119" s="55" t="s">
        <v>41</v>
      </c>
      <c r="C1119" s="55" t="s">
        <v>42</v>
      </c>
      <c r="D1119" s="55" t="s">
        <v>46</v>
      </c>
      <c r="E1119" s="55" t="s">
        <v>25</v>
      </c>
      <c r="F1119" s="55" t="s">
        <v>25</v>
      </c>
      <c r="G1119" s="55" t="s">
        <v>25</v>
      </c>
      <c r="H1119" s="55" t="s">
        <v>35</v>
      </c>
      <c r="I1119" s="63">
        <v>44743</v>
      </c>
      <c r="J1119" s="64">
        <f>EFEITO!$J$1119*EFEITO!$Y$1119</f>
        <v>0</v>
      </c>
      <c r="K1119" s="64">
        <f ca="1">EFEITO!$L$1119*EFEITO!$Z$1119</f>
        <v>-450.43595214251224</v>
      </c>
      <c r="L1119" s="64">
        <f>EFEITO!$N$1119*EFEITO!$AA$1119</f>
        <v>-1340.5147271097728</v>
      </c>
      <c r="M1119" s="64">
        <f>$J$1119-EFEITO!$K$1119*EFEITO!$Y$1119</f>
        <v>0</v>
      </c>
      <c r="N1119" s="64">
        <f ca="1">$K$1119-EFEITO!$M$1119*EFEITO!$Z$1119</f>
        <v>0</v>
      </c>
      <c r="O1119" s="64">
        <f>$L$1119-EFEITO!$O$1119*EFEITO!$AA$1119</f>
        <v>0</v>
      </c>
      <c r="P1119" s="19"/>
      <c r="Q1119" s="19"/>
      <c r="R1119" s="19"/>
      <c r="S1119" s="19"/>
      <c r="T1119" s="19"/>
      <c r="U1119" s="19"/>
      <c r="V1119" s="19"/>
      <c r="W1119" s="19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</row>
    <row r="1120" spans="1:36" ht="11.25" customHeight="1" x14ac:dyDescent="0.2">
      <c r="A1120" s="55" t="s">
        <v>57</v>
      </c>
      <c r="B1120" s="55" t="s">
        <v>41</v>
      </c>
      <c r="C1120" s="55" t="s">
        <v>42</v>
      </c>
      <c r="D1120" s="55" t="s">
        <v>46</v>
      </c>
      <c r="E1120" s="55" t="s">
        <v>25</v>
      </c>
      <c r="F1120" s="55" t="s">
        <v>25</v>
      </c>
      <c r="G1120" s="55" t="s">
        <v>25</v>
      </c>
      <c r="H1120" s="55" t="s">
        <v>35</v>
      </c>
      <c r="I1120" s="63">
        <v>44743</v>
      </c>
      <c r="J1120" s="64">
        <f>EFEITO!$J$1120*EFEITO!$Y$1120</f>
        <v>0</v>
      </c>
      <c r="K1120" s="64">
        <f ca="1">EFEITO!$L$1120*EFEITO!$Z$1120</f>
        <v>14284.052963689417</v>
      </c>
      <c r="L1120" s="64">
        <f>EFEITO!$N$1120*EFEITO!$AA$1120</f>
        <v>42509.891294342066</v>
      </c>
      <c r="M1120" s="64">
        <f>$J$1120-EFEITO!$K$1120*EFEITO!$Y$1120</f>
        <v>0</v>
      </c>
      <c r="N1120" s="64">
        <f ca="1">$K$1120-EFEITO!$M$1120*EFEITO!$Z$1120</f>
        <v>0</v>
      </c>
      <c r="O1120" s="64">
        <f>$L$1120-EFEITO!$O$1120*EFEITO!$AA$1120</f>
        <v>0</v>
      </c>
      <c r="P1120" s="19"/>
      <c r="Q1120" s="19"/>
      <c r="R1120" s="19"/>
      <c r="S1120" s="19"/>
      <c r="T1120" s="19"/>
      <c r="U1120" s="19"/>
      <c r="V1120" s="19"/>
      <c r="W1120" s="19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</row>
    <row r="1121" spans="1:36" ht="11.25" customHeight="1" x14ac:dyDescent="0.2">
      <c r="A1121" s="55" t="s">
        <v>21</v>
      </c>
      <c r="B1121" s="55" t="s">
        <v>41</v>
      </c>
      <c r="C1121" s="55" t="s">
        <v>42</v>
      </c>
      <c r="D1121" s="55" t="s">
        <v>46</v>
      </c>
      <c r="E1121" s="55" t="s">
        <v>25</v>
      </c>
      <c r="F1121" s="55" t="s">
        <v>25</v>
      </c>
      <c r="G1121" s="55" t="s">
        <v>25</v>
      </c>
      <c r="H1121" s="55" t="s">
        <v>25</v>
      </c>
      <c r="I1121" s="63">
        <v>44409</v>
      </c>
      <c r="J1121" s="64">
        <f ca="1">EFEITO!$J$1121*EFEITO!$Y$1121</f>
        <v>1245627.2264951181</v>
      </c>
      <c r="K1121" s="64">
        <f>EFEITO!$L$1121*EFEITO!$Z$1121</f>
        <v>0</v>
      </c>
      <c r="L1121" s="64">
        <f>EFEITO!$N$1121*EFEITO!$AA$1121</f>
        <v>0</v>
      </c>
      <c r="M1121" s="64">
        <f ca="1">$J$1121-EFEITO!$K$1121*EFEITO!$Y$1121</f>
        <v>0</v>
      </c>
      <c r="N1121" s="64">
        <f>$K$1121-EFEITO!$M$1121*EFEITO!$Z$1121</f>
        <v>0</v>
      </c>
      <c r="O1121" s="64">
        <f>$L$1121-EFEITO!$O$1121*EFEITO!$AA$1121</f>
        <v>0</v>
      </c>
      <c r="P1121" s="19"/>
      <c r="Q1121" s="19"/>
      <c r="R1121" s="19"/>
      <c r="S1121" s="19"/>
      <c r="T1121" s="19"/>
      <c r="U1121" s="19"/>
      <c r="V1121" s="19"/>
      <c r="W1121" s="19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</row>
    <row r="1122" spans="1:36" ht="11.25" customHeight="1" x14ac:dyDescent="0.2">
      <c r="A1122" s="55" t="s">
        <v>28</v>
      </c>
      <c r="B1122" s="55" t="s">
        <v>41</v>
      </c>
      <c r="C1122" s="55" t="s">
        <v>42</v>
      </c>
      <c r="D1122" s="55" t="s">
        <v>46</v>
      </c>
      <c r="E1122" s="55" t="s">
        <v>25</v>
      </c>
      <c r="F1122" s="55" t="s">
        <v>25</v>
      </c>
      <c r="G1122" s="55" t="s">
        <v>25</v>
      </c>
      <c r="H1122" s="55" t="s">
        <v>25</v>
      </c>
      <c r="I1122" s="63">
        <v>44409</v>
      </c>
      <c r="J1122" s="64">
        <f ca="1">EFEITO!$J$1122*EFEITO!$Y$1122</f>
        <v>38763.242311496251</v>
      </c>
      <c r="K1122" s="64">
        <f>EFEITO!$L$1122*EFEITO!$Z$1122</f>
        <v>0</v>
      </c>
      <c r="L1122" s="64">
        <f>EFEITO!$N$1122*EFEITO!$AA$1122</f>
        <v>0</v>
      </c>
      <c r="M1122" s="64">
        <f ca="1">$J$1122-EFEITO!$K$1122*EFEITO!$Y$1122</f>
        <v>0</v>
      </c>
      <c r="N1122" s="64">
        <f>$K$1122-EFEITO!$M$1122*EFEITO!$Z$1122</f>
        <v>0</v>
      </c>
      <c r="O1122" s="64">
        <f>$L$1122-EFEITO!$O$1122*EFEITO!$AA$1122</f>
        <v>0</v>
      </c>
      <c r="P1122" s="19"/>
      <c r="Q1122" s="19"/>
      <c r="R1122" s="19"/>
      <c r="S1122" s="19"/>
      <c r="T1122" s="19"/>
      <c r="U1122" s="19"/>
      <c r="V1122" s="19"/>
      <c r="W1122" s="19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</row>
    <row r="1123" spans="1:36" ht="11.25" customHeight="1" x14ac:dyDescent="0.2">
      <c r="A1123" s="55" t="s">
        <v>21</v>
      </c>
      <c r="B1123" s="55" t="s">
        <v>41</v>
      </c>
      <c r="C1123" s="55" t="s">
        <v>42</v>
      </c>
      <c r="D1123" s="55" t="s">
        <v>46</v>
      </c>
      <c r="E1123" s="55" t="s">
        <v>25</v>
      </c>
      <c r="F1123" s="55" t="s">
        <v>25</v>
      </c>
      <c r="G1123" s="55" t="s">
        <v>25</v>
      </c>
      <c r="H1123" s="55" t="s">
        <v>25</v>
      </c>
      <c r="I1123" s="63">
        <v>44440</v>
      </c>
      <c r="J1123" s="64">
        <f ca="1">EFEITO!$J$1123*EFEITO!$Y$1123</f>
        <v>1244996.5025524225</v>
      </c>
      <c r="K1123" s="64">
        <f>EFEITO!$L$1123*EFEITO!$Z$1123</f>
        <v>0</v>
      </c>
      <c r="L1123" s="64">
        <f>EFEITO!$N$1123*EFEITO!$AA$1123</f>
        <v>0</v>
      </c>
      <c r="M1123" s="64">
        <f ca="1">$J$1123-EFEITO!$K$1123*EFEITO!$Y$1123</f>
        <v>0</v>
      </c>
      <c r="N1123" s="64">
        <f>$K$1123-EFEITO!$M$1123*EFEITO!$Z$1123</f>
        <v>0</v>
      </c>
      <c r="O1123" s="64">
        <f>$L$1123-EFEITO!$O$1123*EFEITO!$AA$1123</f>
        <v>0</v>
      </c>
      <c r="P1123" s="19"/>
      <c r="Q1123" s="19"/>
      <c r="R1123" s="19"/>
      <c r="S1123" s="19"/>
      <c r="T1123" s="19"/>
      <c r="U1123" s="19"/>
      <c r="V1123" s="19"/>
      <c r="W1123" s="19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</row>
    <row r="1124" spans="1:36" ht="11.25" customHeight="1" x14ac:dyDescent="0.2">
      <c r="A1124" s="55" t="s">
        <v>27</v>
      </c>
      <c r="B1124" s="55" t="s">
        <v>41</v>
      </c>
      <c r="C1124" s="55" t="s">
        <v>42</v>
      </c>
      <c r="D1124" s="55" t="s">
        <v>46</v>
      </c>
      <c r="E1124" s="55" t="s">
        <v>25</v>
      </c>
      <c r="F1124" s="55" t="s">
        <v>25</v>
      </c>
      <c r="G1124" s="55" t="s">
        <v>25</v>
      </c>
      <c r="H1124" s="55" t="s">
        <v>25</v>
      </c>
      <c r="I1124" s="63">
        <v>44440</v>
      </c>
      <c r="J1124" s="64">
        <f ca="1">EFEITO!$J$1124*EFEITO!$Y$1124</f>
        <v>-16766.744809989563</v>
      </c>
      <c r="K1124" s="64">
        <f>EFEITO!$L$1124*EFEITO!$Z$1124</f>
        <v>0</v>
      </c>
      <c r="L1124" s="64">
        <f>EFEITO!$N$1124*EFEITO!$AA$1124</f>
        <v>0</v>
      </c>
      <c r="M1124" s="64">
        <f ca="1">$J$1124-EFEITO!$K$1124*EFEITO!$Y$1124</f>
        <v>0</v>
      </c>
      <c r="N1124" s="64">
        <f>$K$1124-EFEITO!$M$1124*EFEITO!$Z$1124</f>
        <v>0</v>
      </c>
      <c r="O1124" s="64">
        <f>$L$1124-EFEITO!$O$1124*EFEITO!$AA$1124</f>
        <v>0</v>
      </c>
      <c r="P1124" s="19"/>
      <c r="Q1124" s="19"/>
      <c r="R1124" s="19"/>
      <c r="S1124" s="19"/>
      <c r="T1124" s="19"/>
      <c r="U1124" s="19"/>
      <c r="V1124" s="19"/>
      <c r="W1124" s="19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</row>
    <row r="1125" spans="1:36" ht="11.25" customHeight="1" x14ac:dyDescent="0.2">
      <c r="A1125" s="55" t="s">
        <v>28</v>
      </c>
      <c r="B1125" s="55" t="s">
        <v>41</v>
      </c>
      <c r="C1125" s="55" t="s">
        <v>42</v>
      </c>
      <c r="D1125" s="55" t="s">
        <v>46</v>
      </c>
      <c r="E1125" s="55" t="s">
        <v>25</v>
      </c>
      <c r="F1125" s="55" t="s">
        <v>25</v>
      </c>
      <c r="G1125" s="55" t="s">
        <v>25</v>
      </c>
      <c r="H1125" s="55" t="s">
        <v>25</v>
      </c>
      <c r="I1125" s="63">
        <v>44440</v>
      </c>
      <c r="J1125" s="64">
        <f ca="1">EFEITO!$J$1125*EFEITO!$Y$1125</f>
        <v>38763.242311496251</v>
      </c>
      <c r="K1125" s="64">
        <f>EFEITO!$L$1125*EFEITO!$Z$1125</f>
        <v>0</v>
      </c>
      <c r="L1125" s="64">
        <f>EFEITO!$N$1125*EFEITO!$AA$1125</f>
        <v>0</v>
      </c>
      <c r="M1125" s="64">
        <f ca="1">$J$1125-EFEITO!$K$1125*EFEITO!$Y$1125</f>
        <v>0</v>
      </c>
      <c r="N1125" s="64">
        <f>$K$1125-EFEITO!$M$1125*EFEITO!$Z$1125</f>
        <v>0</v>
      </c>
      <c r="O1125" s="64">
        <f>$L$1125-EFEITO!$O$1125*EFEITO!$AA$1125</f>
        <v>0</v>
      </c>
      <c r="P1125" s="19"/>
      <c r="Q1125" s="19"/>
      <c r="R1125" s="19"/>
      <c r="S1125" s="19"/>
      <c r="T1125" s="19"/>
      <c r="U1125" s="19"/>
      <c r="V1125" s="19"/>
      <c r="W1125" s="19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</row>
    <row r="1126" spans="1:36" ht="11.25" customHeight="1" x14ac:dyDescent="0.2">
      <c r="A1126" s="55" t="s">
        <v>21</v>
      </c>
      <c r="B1126" s="55" t="s">
        <v>41</v>
      </c>
      <c r="C1126" s="55" t="s">
        <v>42</v>
      </c>
      <c r="D1126" s="55" t="s">
        <v>46</v>
      </c>
      <c r="E1126" s="55" t="s">
        <v>25</v>
      </c>
      <c r="F1126" s="55" t="s">
        <v>25</v>
      </c>
      <c r="G1126" s="55" t="s">
        <v>25</v>
      </c>
      <c r="H1126" s="55" t="s">
        <v>25</v>
      </c>
      <c r="I1126" s="63">
        <v>44470</v>
      </c>
      <c r="J1126" s="64">
        <f ca="1">EFEITO!$J$1126*EFEITO!$Y$1126</f>
        <v>1248334.0834158531</v>
      </c>
      <c r="K1126" s="64">
        <f>EFEITO!$L$1126*EFEITO!$Z$1126</f>
        <v>0</v>
      </c>
      <c r="L1126" s="64">
        <f>EFEITO!$N$1126*EFEITO!$AA$1126</f>
        <v>0</v>
      </c>
      <c r="M1126" s="64">
        <f ca="1">$J$1126-EFEITO!$K$1126*EFEITO!$Y$1126</f>
        <v>0</v>
      </c>
      <c r="N1126" s="64">
        <f>$K$1126-EFEITO!$M$1126*EFEITO!$Z$1126</f>
        <v>0</v>
      </c>
      <c r="O1126" s="64">
        <f>$L$1126-EFEITO!$O$1126*EFEITO!$AA$1126</f>
        <v>0</v>
      </c>
      <c r="P1126" s="19"/>
      <c r="Q1126" s="19"/>
      <c r="R1126" s="19"/>
      <c r="S1126" s="19"/>
      <c r="T1126" s="19"/>
      <c r="U1126" s="19"/>
      <c r="V1126" s="19"/>
      <c r="W1126" s="19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</row>
    <row r="1127" spans="1:36" ht="11.25" customHeight="1" x14ac:dyDescent="0.2">
      <c r="A1127" s="55" t="s">
        <v>27</v>
      </c>
      <c r="B1127" s="55" t="s">
        <v>41</v>
      </c>
      <c r="C1127" s="55" t="s">
        <v>42</v>
      </c>
      <c r="D1127" s="55" t="s">
        <v>46</v>
      </c>
      <c r="E1127" s="55" t="s">
        <v>25</v>
      </c>
      <c r="F1127" s="55" t="s">
        <v>25</v>
      </c>
      <c r="G1127" s="55" t="s">
        <v>25</v>
      </c>
      <c r="H1127" s="55" t="s">
        <v>25</v>
      </c>
      <c r="I1127" s="63">
        <v>44470</v>
      </c>
      <c r="J1127" s="64">
        <f ca="1">EFEITO!$J$1127*EFEITO!$Y$1127</f>
        <v>788.40492836941519</v>
      </c>
      <c r="K1127" s="64">
        <f>EFEITO!$L$1127*EFEITO!$Z$1127</f>
        <v>0</v>
      </c>
      <c r="L1127" s="64">
        <f>EFEITO!$N$1127*EFEITO!$AA$1127</f>
        <v>0</v>
      </c>
      <c r="M1127" s="64">
        <f ca="1">$J$1127-EFEITO!$K$1127*EFEITO!$Y$1127</f>
        <v>0</v>
      </c>
      <c r="N1127" s="64">
        <f>$K$1127-EFEITO!$M$1127*EFEITO!$Z$1127</f>
        <v>0</v>
      </c>
      <c r="O1127" s="64">
        <f>$L$1127-EFEITO!$O$1127*EFEITO!$AA$1127</f>
        <v>0</v>
      </c>
      <c r="P1127" s="19"/>
      <c r="Q1127" s="19"/>
      <c r="R1127" s="19"/>
      <c r="S1127" s="19"/>
      <c r="T1127" s="19"/>
      <c r="U1127" s="19"/>
      <c r="V1127" s="19"/>
      <c r="W1127" s="19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</row>
    <row r="1128" spans="1:36" ht="11.25" customHeight="1" x14ac:dyDescent="0.2">
      <c r="A1128" s="55" t="s">
        <v>28</v>
      </c>
      <c r="B1128" s="55" t="s">
        <v>41</v>
      </c>
      <c r="C1128" s="55" t="s">
        <v>42</v>
      </c>
      <c r="D1128" s="55" t="s">
        <v>46</v>
      </c>
      <c r="E1128" s="55" t="s">
        <v>25</v>
      </c>
      <c r="F1128" s="55" t="s">
        <v>25</v>
      </c>
      <c r="G1128" s="55" t="s">
        <v>25</v>
      </c>
      <c r="H1128" s="55" t="s">
        <v>25</v>
      </c>
      <c r="I1128" s="63">
        <v>44470</v>
      </c>
      <c r="J1128" s="64">
        <f ca="1">EFEITO!$J$1128*EFEITO!$Y$1128</f>
        <v>44939.080917056664</v>
      </c>
      <c r="K1128" s="64">
        <f>EFEITO!$L$1128*EFEITO!$Z$1128</f>
        <v>0</v>
      </c>
      <c r="L1128" s="64">
        <f>EFEITO!$N$1128*EFEITO!$AA$1128</f>
        <v>0</v>
      </c>
      <c r="M1128" s="64">
        <f ca="1">$J$1128-EFEITO!$K$1128*EFEITO!$Y$1128</f>
        <v>0</v>
      </c>
      <c r="N1128" s="64">
        <f>$K$1128-EFEITO!$M$1128*EFEITO!$Z$1128</f>
        <v>0</v>
      </c>
      <c r="O1128" s="64">
        <f>$L$1128-EFEITO!$O$1128*EFEITO!$AA$1128</f>
        <v>0</v>
      </c>
      <c r="P1128" s="19"/>
      <c r="Q1128" s="19"/>
      <c r="R1128" s="19"/>
      <c r="S1128" s="19"/>
      <c r="T1128" s="19"/>
      <c r="U1128" s="19"/>
      <c r="V1128" s="19"/>
      <c r="W1128" s="19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</row>
    <row r="1129" spans="1:36" ht="11.25" customHeight="1" x14ac:dyDescent="0.2">
      <c r="A1129" s="55" t="s">
        <v>21</v>
      </c>
      <c r="B1129" s="55" t="s">
        <v>41</v>
      </c>
      <c r="C1129" s="55" t="s">
        <v>42</v>
      </c>
      <c r="D1129" s="55" t="s">
        <v>46</v>
      </c>
      <c r="E1129" s="55" t="s">
        <v>25</v>
      </c>
      <c r="F1129" s="55" t="s">
        <v>25</v>
      </c>
      <c r="G1129" s="55" t="s">
        <v>25</v>
      </c>
      <c r="H1129" s="55" t="s">
        <v>25</v>
      </c>
      <c r="I1129" s="63">
        <v>44501</v>
      </c>
      <c r="J1129" s="64">
        <f ca="1">EFEITO!$J$1129*EFEITO!$Y$1129</f>
        <v>1267518.6033395089</v>
      </c>
      <c r="K1129" s="64">
        <f>EFEITO!$L$1129*EFEITO!$Z$1129</f>
        <v>0</v>
      </c>
      <c r="L1129" s="64">
        <f>EFEITO!$N$1129*EFEITO!$AA$1129</f>
        <v>0</v>
      </c>
      <c r="M1129" s="64">
        <f ca="1">$J$1129-EFEITO!$K$1129*EFEITO!$Y$1129</f>
        <v>0</v>
      </c>
      <c r="N1129" s="64">
        <f>$K$1129-EFEITO!$M$1129*EFEITO!$Z$1129</f>
        <v>0</v>
      </c>
      <c r="O1129" s="64">
        <f>$L$1129-EFEITO!$O$1129*EFEITO!$AA$1129</f>
        <v>0</v>
      </c>
      <c r="P1129" s="19"/>
      <c r="Q1129" s="19"/>
      <c r="R1129" s="19"/>
      <c r="S1129" s="19"/>
      <c r="T1129" s="19"/>
      <c r="U1129" s="19"/>
      <c r="V1129" s="19"/>
      <c r="W1129" s="19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</row>
    <row r="1130" spans="1:36" ht="11.25" customHeight="1" x14ac:dyDescent="0.2">
      <c r="A1130" s="55" t="s">
        <v>28</v>
      </c>
      <c r="B1130" s="55" t="s">
        <v>41</v>
      </c>
      <c r="C1130" s="55" t="s">
        <v>42</v>
      </c>
      <c r="D1130" s="55" t="s">
        <v>46</v>
      </c>
      <c r="E1130" s="55" t="s">
        <v>25</v>
      </c>
      <c r="F1130" s="55" t="s">
        <v>25</v>
      </c>
      <c r="G1130" s="55" t="s">
        <v>25</v>
      </c>
      <c r="H1130" s="55" t="s">
        <v>25</v>
      </c>
      <c r="I1130" s="63">
        <v>44501</v>
      </c>
      <c r="J1130" s="64">
        <f ca="1">EFEITO!$J$1130*EFEITO!$Y$1130</f>
        <v>44939.080917056664</v>
      </c>
      <c r="K1130" s="64">
        <f>EFEITO!$L$1130*EFEITO!$Z$1130</f>
        <v>0</v>
      </c>
      <c r="L1130" s="64">
        <f>EFEITO!$N$1130*EFEITO!$AA$1130</f>
        <v>0</v>
      </c>
      <c r="M1130" s="64">
        <f ca="1">$J$1130-EFEITO!$K$1130*EFEITO!$Y$1130</f>
        <v>0</v>
      </c>
      <c r="N1130" s="64">
        <f>$K$1130-EFEITO!$M$1130*EFEITO!$Z$1130</f>
        <v>0</v>
      </c>
      <c r="O1130" s="64">
        <f>$L$1130-EFEITO!$O$1130*EFEITO!$AA$1130</f>
        <v>0</v>
      </c>
      <c r="P1130" s="19"/>
      <c r="Q1130" s="19"/>
      <c r="R1130" s="19"/>
      <c r="S1130" s="19"/>
      <c r="T1130" s="19"/>
      <c r="U1130" s="19"/>
      <c r="V1130" s="19"/>
      <c r="W1130" s="19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</row>
    <row r="1131" spans="1:36" ht="11.25" customHeight="1" x14ac:dyDescent="0.2">
      <c r="A1131" s="55" t="s">
        <v>21</v>
      </c>
      <c r="B1131" s="55" t="s">
        <v>41</v>
      </c>
      <c r="C1131" s="55" t="s">
        <v>42</v>
      </c>
      <c r="D1131" s="55" t="s">
        <v>46</v>
      </c>
      <c r="E1131" s="55" t="s">
        <v>25</v>
      </c>
      <c r="F1131" s="55" t="s">
        <v>25</v>
      </c>
      <c r="G1131" s="55" t="s">
        <v>25</v>
      </c>
      <c r="H1131" s="55" t="s">
        <v>25</v>
      </c>
      <c r="I1131" s="63">
        <v>44531</v>
      </c>
      <c r="J1131" s="64">
        <f ca="1">EFEITO!$J$1131*EFEITO!$Y$1131</f>
        <v>1272065.0717597725</v>
      </c>
      <c r="K1131" s="64">
        <f>EFEITO!$L$1131*EFEITO!$Z$1131</f>
        <v>0</v>
      </c>
      <c r="L1131" s="64">
        <f>EFEITO!$N$1131*EFEITO!$AA$1131</f>
        <v>0</v>
      </c>
      <c r="M1131" s="64">
        <f ca="1">$J$1131-EFEITO!$K$1131*EFEITO!$Y$1131</f>
        <v>0</v>
      </c>
      <c r="N1131" s="64">
        <f>$K$1131-EFEITO!$M$1131*EFEITO!$Z$1131</f>
        <v>0</v>
      </c>
      <c r="O1131" s="64">
        <f>$L$1131-EFEITO!$O$1131*EFEITO!$AA$1131</f>
        <v>0</v>
      </c>
      <c r="P1131" s="19"/>
      <c r="Q1131" s="19"/>
      <c r="R1131" s="19"/>
      <c r="S1131" s="19"/>
      <c r="T1131" s="19"/>
      <c r="U1131" s="19"/>
      <c r="V1131" s="19"/>
      <c r="W1131" s="19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</row>
    <row r="1132" spans="1:36" ht="11.25" customHeight="1" x14ac:dyDescent="0.2">
      <c r="A1132" s="55" t="s">
        <v>28</v>
      </c>
      <c r="B1132" s="55" t="s">
        <v>41</v>
      </c>
      <c r="C1132" s="55" t="s">
        <v>42</v>
      </c>
      <c r="D1132" s="55" t="s">
        <v>46</v>
      </c>
      <c r="E1132" s="55" t="s">
        <v>25</v>
      </c>
      <c r="F1132" s="55" t="s">
        <v>25</v>
      </c>
      <c r="G1132" s="55" t="s">
        <v>25</v>
      </c>
      <c r="H1132" s="55" t="s">
        <v>25</v>
      </c>
      <c r="I1132" s="63">
        <v>44531</v>
      </c>
      <c r="J1132" s="64">
        <f ca="1">EFEITO!$J$1132*EFEITO!$Y$1132</f>
        <v>45070.48173845157</v>
      </c>
      <c r="K1132" s="64">
        <f>EFEITO!$L$1132*EFEITO!$Z$1132</f>
        <v>0</v>
      </c>
      <c r="L1132" s="64">
        <f>EFEITO!$N$1132*EFEITO!$AA$1132</f>
        <v>0</v>
      </c>
      <c r="M1132" s="64">
        <f ca="1">$J$1132-EFEITO!$K$1132*EFEITO!$Y$1132</f>
        <v>0</v>
      </c>
      <c r="N1132" s="64">
        <f>$K$1132-EFEITO!$M$1132*EFEITO!$Z$1132</f>
        <v>0</v>
      </c>
      <c r="O1132" s="64">
        <f>$L$1132-EFEITO!$O$1132*EFEITO!$AA$1132</f>
        <v>0</v>
      </c>
      <c r="P1132" s="19"/>
      <c r="Q1132" s="19"/>
      <c r="R1132" s="19"/>
      <c r="S1132" s="19"/>
      <c r="T1132" s="19"/>
      <c r="U1132" s="19"/>
      <c r="V1132" s="19"/>
      <c r="W1132" s="19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</row>
    <row r="1133" spans="1:36" ht="11.25" customHeight="1" x14ac:dyDescent="0.2">
      <c r="A1133" s="55" t="s">
        <v>21</v>
      </c>
      <c r="B1133" s="55" t="s">
        <v>41</v>
      </c>
      <c r="C1133" s="55" t="s">
        <v>42</v>
      </c>
      <c r="D1133" s="55" t="s">
        <v>46</v>
      </c>
      <c r="E1133" s="55" t="s">
        <v>25</v>
      </c>
      <c r="F1133" s="55" t="s">
        <v>25</v>
      </c>
      <c r="G1133" s="55" t="s">
        <v>25</v>
      </c>
      <c r="H1133" s="55" t="s">
        <v>25</v>
      </c>
      <c r="I1133" s="63">
        <v>44562</v>
      </c>
      <c r="J1133" s="64">
        <f ca="1">EFEITO!$J$1133*EFEITO!$Y$1133</f>
        <v>1251067.2205008671</v>
      </c>
      <c r="K1133" s="64">
        <f>EFEITO!$L$1133*EFEITO!$Z$1133</f>
        <v>0</v>
      </c>
      <c r="L1133" s="64">
        <f>EFEITO!$N$1133*EFEITO!$AA$1133</f>
        <v>0</v>
      </c>
      <c r="M1133" s="64">
        <f ca="1">$J$1133-EFEITO!$K$1133*EFEITO!$Y$1133</f>
        <v>0</v>
      </c>
      <c r="N1133" s="64">
        <f>$K$1133-EFEITO!$M$1133*EFEITO!$Z$1133</f>
        <v>0</v>
      </c>
      <c r="O1133" s="64">
        <f>$L$1133-EFEITO!$O$1133*EFEITO!$AA$1133</f>
        <v>0</v>
      </c>
      <c r="P1133" s="19"/>
      <c r="Q1133" s="19"/>
      <c r="R1133" s="19"/>
      <c r="S1133" s="19"/>
      <c r="T1133" s="19"/>
      <c r="U1133" s="19"/>
      <c r="V1133" s="19"/>
      <c r="W1133" s="19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</row>
    <row r="1134" spans="1:36" ht="11.25" customHeight="1" x14ac:dyDescent="0.2">
      <c r="A1134" s="55" t="s">
        <v>28</v>
      </c>
      <c r="B1134" s="55" t="s">
        <v>41</v>
      </c>
      <c r="C1134" s="55" t="s">
        <v>42</v>
      </c>
      <c r="D1134" s="55" t="s">
        <v>46</v>
      </c>
      <c r="E1134" s="55" t="s">
        <v>25</v>
      </c>
      <c r="F1134" s="55" t="s">
        <v>25</v>
      </c>
      <c r="G1134" s="55" t="s">
        <v>25</v>
      </c>
      <c r="H1134" s="55" t="s">
        <v>25</v>
      </c>
      <c r="I1134" s="63">
        <v>44562</v>
      </c>
      <c r="J1134" s="64">
        <f ca="1">EFEITO!$J$1134*EFEITO!$Y$1134</f>
        <v>45149.322231288512</v>
      </c>
      <c r="K1134" s="64">
        <f>EFEITO!$L$1134*EFEITO!$Z$1134</f>
        <v>0</v>
      </c>
      <c r="L1134" s="64">
        <f>EFEITO!$N$1134*EFEITO!$AA$1134</f>
        <v>0</v>
      </c>
      <c r="M1134" s="64">
        <f ca="1">$J$1134-EFEITO!$K$1134*EFEITO!$Y$1134</f>
        <v>0</v>
      </c>
      <c r="N1134" s="64">
        <f>$K$1134-EFEITO!$M$1134*EFEITO!$Z$1134</f>
        <v>0</v>
      </c>
      <c r="O1134" s="64">
        <f>$L$1134-EFEITO!$O$1134*EFEITO!$AA$1134</f>
        <v>0</v>
      </c>
      <c r="P1134" s="19"/>
      <c r="Q1134" s="19"/>
      <c r="R1134" s="19"/>
      <c r="S1134" s="19"/>
      <c r="T1134" s="19"/>
      <c r="U1134" s="19"/>
      <c r="V1134" s="19"/>
      <c r="W1134" s="19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</row>
    <row r="1135" spans="1:36" ht="11.25" customHeight="1" x14ac:dyDescent="0.2">
      <c r="A1135" s="55" t="s">
        <v>21</v>
      </c>
      <c r="B1135" s="55" t="s">
        <v>41</v>
      </c>
      <c r="C1135" s="55" t="s">
        <v>42</v>
      </c>
      <c r="D1135" s="55" t="s">
        <v>46</v>
      </c>
      <c r="E1135" s="55" t="s">
        <v>25</v>
      </c>
      <c r="F1135" s="55" t="s">
        <v>25</v>
      </c>
      <c r="G1135" s="55" t="s">
        <v>25</v>
      </c>
      <c r="H1135" s="55" t="s">
        <v>25</v>
      </c>
      <c r="I1135" s="63">
        <v>44593</v>
      </c>
      <c r="J1135" s="64">
        <f ca="1">EFEITO!$J$1135*EFEITO!$Y$1135</f>
        <v>1241790.3225103868</v>
      </c>
      <c r="K1135" s="64">
        <f>EFEITO!$L$1135*EFEITO!$Z$1135</f>
        <v>0</v>
      </c>
      <c r="L1135" s="64">
        <f>EFEITO!$N$1135*EFEITO!$AA$1135</f>
        <v>0</v>
      </c>
      <c r="M1135" s="64">
        <f ca="1">$J$1135-EFEITO!$K$1135*EFEITO!$Y$1135</f>
        <v>0</v>
      </c>
      <c r="N1135" s="64">
        <f>$K$1135-EFEITO!$M$1135*EFEITO!$Z$1135</f>
        <v>0</v>
      </c>
      <c r="O1135" s="64">
        <f>$L$1135-EFEITO!$O$1135*EFEITO!$AA$1135</f>
        <v>0</v>
      </c>
      <c r="P1135" s="19"/>
      <c r="Q1135" s="19"/>
      <c r="R1135" s="19"/>
      <c r="S1135" s="19"/>
      <c r="T1135" s="19"/>
      <c r="U1135" s="19"/>
      <c r="V1135" s="19"/>
      <c r="W1135" s="19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</row>
    <row r="1136" spans="1:36" ht="11.25" customHeight="1" x14ac:dyDescent="0.2">
      <c r="A1136" s="55" t="s">
        <v>28</v>
      </c>
      <c r="B1136" s="55" t="s">
        <v>41</v>
      </c>
      <c r="C1136" s="55" t="s">
        <v>42</v>
      </c>
      <c r="D1136" s="55" t="s">
        <v>46</v>
      </c>
      <c r="E1136" s="55" t="s">
        <v>25</v>
      </c>
      <c r="F1136" s="55" t="s">
        <v>25</v>
      </c>
      <c r="G1136" s="55" t="s">
        <v>25</v>
      </c>
      <c r="H1136" s="55" t="s">
        <v>25</v>
      </c>
      <c r="I1136" s="63">
        <v>44593</v>
      </c>
      <c r="J1136" s="64">
        <f ca="1">EFEITO!$J$1136*EFEITO!$Y$1136</f>
        <v>47409.416359280833</v>
      </c>
      <c r="K1136" s="64">
        <f>EFEITO!$L$1136*EFEITO!$Z$1136</f>
        <v>0</v>
      </c>
      <c r="L1136" s="64">
        <f>EFEITO!$N$1136*EFEITO!$AA$1136</f>
        <v>0</v>
      </c>
      <c r="M1136" s="64">
        <f ca="1">$J$1136-EFEITO!$K$1136*EFEITO!$Y$1136</f>
        <v>0</v>
      </c>
      <c r="N1136" s="64">
        <f>$K$1136-EFEITO!$M$1136*EFEITO!$Z$1136</f>
        <v>0</v>
      </c>
      <c r="O1136" s="64">
        <f>$L$1136-EFEITO!$O$1136*EFEITO!$AA$1136</f>
        <v>0</v>
      </c>
      <c r="P1136" s="19"/>
      <c r="Q1136" s="19"/>
      <c r="R1136" s="19"/>
      <c r="S1136" s="19"/>
      <c r="T1136" s="19"/>
      <c r="U1136" s="19"/>
      <c r="V1136" s="19"/>
      <c r="W1136" s="19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</row>
    <row r="1137" spans="1:36" ht="11.25" customHeight="1" x14ac:dyDescent="0.2">
      <c r="A1137" s="55" t="s">
        <v>21</v>
      </c>
      <c r="B1137" s="55" t="s">
        <v>41</v>
      </c>
      <c r="C1137" s="55" t="s">
        <v>42</v>
      </c>
      <c r="D1137" s="55" t="s">
        <v>46</v>
      </c>
      <c r="E1137" s="55" t="s">
        <v>25</v>
      </c>
      <c r="F1137" s="55" t="s">
        <v>25</v>
      </c>
      <c r="G1137" s="55" t="s">
        <v>25</v>
      </c>
      <c r="H1137" s="55" t="s">
        <v>25</v>
      </c>
      <c r="I1137" s="63">
        <v>44621</v>
      </c>
      <c r="J1137" s="64">
        <f ca="1">EFEITO!$J$1137*EFEITO!$Y$1137</f>
        <v>1250278.8155724977</v>
      </c>
      <c r="K1137" s="64">
        <f>EFEITO!$L$1137*EFEITO!$Z$1137</f>
        <v>0</v>
      </c>
      <c r="L1137" s="64">
        <f>EFEITO!$N$1137*EFEITO!$AA$1137</f>
        <v>0</v>
      </c>
      <c r="M1137" s="64">
        <f ca="1">$J$1137-EFEITO!$K$1137*EFEITO!$Y$1137</f>
        <v>0</v>
      </c>
      <c r="N1137" s="64">
        <f>$K$1137-EFEITO!$M$1137*EFEITO!$Z$1137</f>
        <v>0</v>
      </c>
      <c r="O1137" s="64">
        <f>$L$1137-EFEITO!$O$1137*EFEITO!$AA$1137</f>
        <v>0</v>
      </c>
      <c r="P1137" s="19"/>
      <c r="Q1137" s="19"/>
      <c r="R1137" s="19"/>
      <c r="S1137" s="19"/>
      <c r="T1137" s="19"/>
      <c r="U1137" s="19"/>
      <c r="V1137" s="19"/>
      <c r="W1137" s="19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</row>
    <row r="1138" spans="1:36" ht="11.25" customHeight="1" x14ac:dyDescent="0.2">
      <c r="A1138" s="55" t="s">
        <v>28</v>
      </c>
      <c r="B1138" s="55" t="s">
        <v>41</v>
      </c>
      <c r="C1138" s="55" t="s">
        <v>42</v>
      </c>
      <c r="D1138" s="55" t="s">
        <v>46</v>
      </c>
      <c r="E1138" s="55" t="s">
        <v>25</v>
      </c>
      <c r="F1138" s="55" t="s">
        <v>25</v>
      </c>
      <c r="G1138" s="55" t="s">
        <v>25</v>
      </c>
      <c r="H1138" s="55" t="s">
        <v>25</v>
      </c>
      <c r="I1138" s="63">
        <v>44621</v>
      </c>
      <c r="J1138" s="64">
        <f ca="1">EFEITO!$J$1138*EFEITO!$Y$1138</f>
        <v>47330.575866443891</v>
      </c>
      <c r="K1138" s="64">
        <f>EFEITO!$L$1138*EFEITO!$Z$1138</f>
        <v>0</v>
      </c>
      <c r="L1138" s="64">
        <f>EFEITO!$N$1138*EFEITO!$AA$1138</f>
        <v>0</v>
      </c>
      <c r="M1138" s="64">
        <f ca="1">$J$1138-EFEITO!$K$1138*EFEITO!$Y$1138</f>
        <v>0</v>
      </c>
      <c r="N1138" s="64">
        <f>$K$1138-EFEITO!$M$1138*EFEITO!$Z$1138</f>
        <v>0</v>
      </c>
      <c r="O1138" s="64">
        <f>$L$1138-EFEITO!$O$1138*EFEITO!$AA$1138</f>
        <v>0</v>
      </c>
      <c r="P1138" s="19"/>
      <c r="Q1138" s="19"/>
      <c r="R1138" s="19"/>
      <c r="S1138" s="19"/>
      <c r="T1138" s="19"/>
      <c r="U1138" s="19"/>
      <c r="V1138" s="19"/>
      <c r="W1138" s="19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</row>
    <row r="1139" spans="1:36" ht="11.25" customHeight="1" x14ac:dyDescent="0.2">
      <c r="A1139" s="55" t="s">
        <v>21</v>
      </c>
      <c r="B1139" s="55" t="s">
        <v>41</v>
      </c>
      <c r="C1139" s="55" t="s">
        <v>42</v>
      </c>
      <c r="D1139" s="55" t="s">
        <v>46</v>
      </c>
      <c r="E1139" s="55" t="s">
        <v>25</v>
      </c>
      <c r="F1139" s="55" t="s">
        <v>25</v>
      </c>
      <c r="G1139" s="55" t="s">
        <v>25</v>
      </c>
      <c r="H1139" s="55" t="s">
        <v>25</v>
      </c>
      <c r="I1139" s="63">
        <v>44652</v>
      </c>
      <c r="J1139" s="64">
        <f ca="1">EFEITO!$J$1139*EFEITO!$Y$1139</f>
        <v>1254956.6848141563</v>
      </c>
      <c r="K1139" s="64">
        <f>EFEITO!$L$1139*EFEITO!$Z$1139</f>
        <v>0</v>
      </c>
      <c r="L1139" s="64">
        <f>EFEITO!$N$1139*EFEITO!$AA$1139</f>
        <v>0</v>
      </c>
      <c r="M1139" s="64">
        <f ca="1">$J$1139-EFEITO!$K$1139*EFEITO!$Y$1139</f>
        <v>0</v>
      </c>
      <c r="N1139" s="64">
        <f>$K$1139-EFEITO!$M$1139*EFEITO!$Z$1139</f>
        <v>0</v>
      </c>
      <c r="O1139" s="64">
        <f>$L$1139-EFEITO!$O$1139*EFEITO!$AA$1139</f>
        <v>0</v>
      </c>
      <c r="P1139" s="19"/>
      <c r="Q1139" s="19"/>
      <c r="R1139" s="19"/>
      <c r="S1139" s="19"/>
      <c r="T1139" s="19"/>
      <c r="U1139" s="19"/>
      <c r="V1139" s="19"/>
      <c r="W1139" s="19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</row>
    <row r="1140" spans="1:36" ht="11.25" customHeight="1" x14ac:dyDescent="0.2">
      <c r="A1140" s="55" t="s">
        <v>28</v>
      </c>
      <c r="B1140" s="55" t="s">
        <v>41</v>
      </c>
      <c r="C1140" s="55" t="s">
        <v>42</v>
      </c>
      <c r="D1140" s="55" t="s">
        <v>46</v>
      </c>
      <c r="E1140" s="55" t="s">
        <v>25</v>
      </c>
      <c r="F1140" s="55" t="s">
        <v>25</v>
      </c>
      <c r="G1140" s="55" t="s">
        <v>25</v>
      </c>
      <c r="H1140" s="55" t="s">
        <v>25</v>
      </c>
      <c r="I1140" s="63">
        <v>44652</v>
      </c>
      <c r="J1140" s="64">
        <f ca="1">EFEITO!$J$1140*EFEITO!$Y$1140</f>
        <v>47356.856030722876</v>
      </c>
      <c r="K1140" s="64">
        <f>EFEITO!$L$1140*EFEITO!$Z$1140</f>
        <v>0</v>
      </c>
      <c r="L1140" s="64">
        <f>EFEITO!$N$1140*EFEITO!$AA$1140</f>
        <v>0</v>
      </c>
      <c r="M1140" s="64">
        <f ca="1">$J$1140-EFEITO!$K$1140*EFEITO!$Y$1140</f>
        <v>0</v>
      </c>
      <c r="N1140" s="64">
        <f>$K$1140-EFEITO!$M$1140*EFEITO!$Z$1140</f>
        <v>0</v>
      </c>
      <c r="O1140" s="64">
        <f>$L$1140-EFEITO!$O$1140*EFEITO!$AA$1140</f>
        <v>0</v>
      </c>
      <c r="P1140" s="19"/>
      <c r="Q1140" s="19"/>
      <c r="R1140" s="19"/>
      <c r="S1140" s="19"/>
      <c r="T1140" s="19"/>
      <c r="U1140" s="19"/>
      <c r="V1140" s="19"/>
      <c r="W1140" s="19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</row>
    <row r="1141" spans="1:36" ht="11.25" customHeight="1" x14ac:dyDescent="0.2">
      <c r="A1141" s="55" t="s">
        <v>21</v>
      </c>
      <c r="B1141" s="55" t="s">
        <v>41</v>
      </c>
      <c r="C1141" s="55" t="s">
        <v>42</v>
      </c>
      <c r="D1141" s="55" t="s">
        <v>46</v>
      </c>
      <c r="E1141" s="55" t="s">
        <v>25</v>
      </c>
      <c r="F1141" s="55" t="s">
        <v>25</v>
      </c>
      <c r="G1141" s="55" t="s">
        <v>25</v>
      </c>
      <c r="H1141" s="55" t="s">
        <v>25</v>
      </c>
      <c r="I1141" s="63">
        <v>44682</v>
      </c>
      <c r="J1141" s="64">
        <f ca="1">EFEITO!$J$1141*EFEITO!$Y$1141</f>
        <v>1221791.1174940828</v>
      </c>
      <c r="K1141" s="64">
        <f>EFEITO!$L$1141*EFEITO!$Z$1141</f>
        <v>0</v>
      </c>
      <c r="L1141" s="64">
        <f>EFEITO!$N$1141*EFEITO!$AA$1141</f>
        <v>0</v>
      </c>
      <c r="M1141" s="64">
        <f ca="1">$J$1141-EFEITO!$K$1141*EFEITO!$Y$1141</f>
        <v>0</v>
      </c>
      <c r="N1141" s="64">
        <f>$K$1141-EFEITO!$M$1141*EFEITO!$Z$1141</f>
        <v>0</v>
      </c>
      <c r="O1141" s="64">
        <f>$L$1141-EFEITO!$O$1141*EFEITO!$AA$1141</f>
        <v>0</v>
      </c>
      <c r="P1141" s="19"/>
      <c r="Q1141" s="19"/>
      <c r="R1141" s="19"/>
      <c r="S1141" s="19"/>
      <c r="T1141" s="19"/>
      <c r="U1141" s="19"/>
      <c r="V1141" s="19"/>
      <c r="W1141" s="19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</row>
    <row r="1142" spans="1:36" ht="11.25" customHeight="1" x14ac:dyDescent="0.2">
      <c r="A1142" s="55" t="s">
        <v>28</v>
      </c>
      <c r="B1142" s="55" t="s">
        <v>41</v>
      </c>
      <c r="C1142" s="55" t="s">
        <v>42</v>
      </c>
      <c r="D1142" s="55" t="s">
        <v>46</v>
      </c>
      <c r="E1142" s="55" t="s">
        <v>25</v>
      </c>
      <c r="F1142" s="55" t="s">
        <v>25</v>
      </c>
      <c r="G1142" s="55" t="s">
        <v>25</v>
      </c>
      <c r="H1142" s="55" t="s">
        <v>25</v>
      </c>
      <c r="I1142" s="63">
        <v>44682</v>
      </c>
      <c r="J1142" s="64">
        <f ca="1">EFEITO!$J$1142*EFEITO!$Y$1142</f>
        <v>47435.696523559818</v>
      </c>
      <c r="K1142" s="64">
        <f>EFEITO!$L$1142*EFEITO!$Z$1142</f>
        <v>0</v>
      </c>
      <c r="L1142" s="64">
        <f>EFEITO!$N$1142*EFEITO!$AA$1142</f>
        <v>0</v>
      </c>
      <c r="M1142" s="64">
        <f ca="1">$J$1142-EFEITO!$K$1142*EFEITO!$Y$1142</f>
        <v>0</v>
      </c>
      <c r="N1142" s="64">
        <f>$K$1142-EFEITO!$M$1142*EFEITO!$Z$1142</f>
        <v>0</v>
      </c>
      <c r="O1142" s="64">
        <f>$L$1142-EFEITO!$O$1142*EFEITO!$AA$1142</f>
        <v>0</v>
      </c>
      <c r="P1142" s="19"/>
      <c r="Q1142" s="19"/>
      <c r="R1142" s="19"/>
      <c r="S1142" s="19"/>
      <c r="T1142" s="19"/>
      <c r="U1142" s="19"/>
      <c r="V1142" s="19"/>
      <c r="W1142" s="19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</row>
    <row r="1143" spans="1:36" ht="11.25" customHeight="1" x14ac:dyDescent="0.2">
      <c r="A1143" s="55" t="s">
        <v>21</v>
      </c>
      <c r="B1143" s="55" t="s">
        <v>41</v>
      </c>
      <c r="C1143" s="55" t="s">
        <v>42</v>
      </c>
      <c r="D1143" s="55" t="s">
        <v>46</v>
      </c>
      <c r="E1143" s="55" t="s">
        <v>25</v>
      </c>
      <c r="F1143" s="55" t="s">
        <v>25</v>
      </c>
      <c r="G1143" s="55" t="s">
        <v>25</v>
      </c>
      <c r="H1143" s="55" t="s">
        <v>25</v>
      </c>
      <c r="I1143" s="63">
        <v>44713</v>
      </c>
      <c r="J1143" s="64">
        <f ca="1">EFEITO!$J$1143*EFEITO!$Y$1143</f>
        <v>1206101.8594195314</v>
      </c>
      <c r="K1143" s="64">
        <f>EFEITO!$L$1143*EFEITO!$Z$1143</f>
        <v>0</v>
      </c>
      <c r="L1143" s="64">
        <f>EFEITO!$N$1143*EFEITO!$AA$1143</f>
        <v>0</v>
      </c>
      <c r="M1143" s="64">
        <f ca="1">$J$1143-EFEITO!$K$1143*EFEITO!$Y$1143</f>
        <v>0</v>
      </c>
      <c r="N1143" s="64">
        <f>$K$1143-EFEITO!$M$1143*EFEITO!$Z$1143</f>
        <v>0</v>
      </c>
      <c r="O1143" s="64">
        <f>$L$1143-EFEITO!$O$1143*EFEITO!$AA$1143</f>
        <v>0</v>
      </c>
      <c r="P1143" s="19"/>
      <c r="Q1143" s="19"/>
      <c r="R1143" s="19"/>
      <c r="S1143" s="19"/>
      <c r="T1143" s="19"/>
      <c r="U1143" s="19"/>
      <c r="V1143" s="19"/>
      <c r="W1143" s="19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</row>
    <row r="1144" spans="1:36" ht="11.25" customHeight="1" x14ac:dyDescent="0.2">
      <c r="A1144" s="55" t="s">
        <v>28</v>
      </c>
      <c r="B1144" s="55" t="s">
        <v>41</v>
      </c>
      <c r="C1144" s="55" t="s">
        <v>42</v>
      </c>
      <c r="D1144" s="55" t="s">
        <v>46</v>
      </c>
      <c r="E1144" s="55" t="s">
        <v>25</v>
      </c>
      <c r="F1144" s="55" t="s">
        <v>25</v>
      </c>
      <c r="G1144" s="55" t="s">
        <v>25</v>
      </c>
      <c r="H1144" s="55" t="s">
        <v>25</v>
      </c>
      <c r="I1144" s="63">
        <v>44713</v>
      </c>
      <c r="J1144" s="64">
        <f ca="1">EFEITO!$J$1144*EFEITO!$Y$1144</f>
        <v>49065.066708856604</v>
      </c>
      <c r="K1144" s="64">
        <f>EFEITO!$L$1144*EFEITO!$Z$1144</f>
        <v>0</v>
      </c>
      <c r="L1144" s="64">
        <f>EFEITO!$N$1144*EFEITO!$AA$1144</f>
        <v>0</v>
      </c>
      <c r="M1144" s="64">
        <f ca="1">$J$1144-EFEITO!$K$1144*EFEITO!$Y$1144</f>
        <v>0</v>
      </c>
      <c r="N1144" s="64">
        <f>$K$1144-EFEITO!$M$1144*EFEITO!$Z$1144</f>
        <v>0</v>
      </c>
      <c r="O1144" s="64">
        <f>$L$1144-EFEITO!$O$1144*EFEITO!$AA$1144</f>
        <v>0</v>
      </c>
      <c r="P1144" s="19"/>
      <c r="Q1144" s="19"/>
      <c r="R1144" s="19"/>
      <c r="S1144" s="19"/>
      <c r="T1144" s="19"/>
      <c r="U1144" s="19"/>
      <c r="V1144" s="19"/>
      <c r="W1144" s="19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</row>
    <row r="1145" spans="1:36" ht="11.25" customHeight="1" x14ac:dyDescent="0.2">
      <c r="A1145" s="55" t="s">
        <v>57</v>
      </c>
      <c r="B1145" s="55" t="s">
        <v>41</v>
      </c>
      <c r="C1145" s="55" t="s">
        <v>42</v>
      </c>
      <c r="D1145" s="55" t="s">
        <v>46</v>
      </c>
      <c r="E1145" s="55" t="s">
        <v>25</v>
      </c>
      <c r="F1145" s="55" t="s">
        <v>25</v>
      </c>
      <c r="G1145" s="55" t="s">
        <v>25</v>
      </c>
      <c r="H1145" s="55" t="s">
        <v>25</v>
      </c>
      <c r="I1145" s="63">
        <v>44743</v>
      </c>
      <c r="J1145" s="64">
        <f ca="1">EFEITO!$J$1145*EFEITO!$Y$1145</f>
        <v>1206101.8594195314</v>
      </c>
      <c r="K1145" s="64">
        <f>EFEITO!$L$1145*EFEITO!$Z$1145</f>
        <v>0</v>
      </c>
      <c r="L1145" s="64">
        <f>EFEITO!$N$1145*EFEITO!$AA$1145</f>
        <v>0</v>
      </c>
      <c r="M1145" s="64">
        <f ca="1">$J$1145-EFEITO!$K$1145*EFEITO!$Y$1145</f>
        <v>0</v>
      </c>
      <c r="N1145" s="64">
        <f>$K$1145-EFEITO!$M$1145*EFEITO!$Z$1145</f>
        <v>0</v>
      </c>
      <c r="O1145" s="64">
        <f>$L$1145-EFEITO!$O$1145*EFEITO!$AA$1145</f>
        <v>0</v>
      </c>
      <c r="P1145" s="19"/>
      <c r="Q1145" s="19"/>
      <c r="R1145" s="19"/>
      <c r="S1145" s="19"/>
      <c r="T1145" s="19"/>
      <c r="U1145" s="19"/>
      <c r="V1145" s="19"/>
      <c r="W1145" s="19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</row>
    <row r="1146" spans="1:36" ht="11.25" customHeight="1" x14ac:dyDescent="0.2">
      <c r="A1146" s="55" t="s">
        <v>57</v>
      </c>
      <c r="B1146" s="55" t="s">
        <v>41</v>
      </c>
      <c r="C1146" s="55" t="s">
        <v>42</v>
      </c>
      <c r="D1146" s="55" t="s">
        <v>46</v>
      </c>
      <c r="E1146" s="55" t="s">
        <v>25</v>
      </c>
      <c r="F1146" s="55" t="s">
        <v>25</v>
      </c>
      <c r="G1146" s="55" t="s">
        <v>25</v>
      </c>
      <c r="H1146" s="55" t="s">
        <v>25</v>
      </c>
      <c r="I1146" s="63">
        <v>44743</v>
      </c>
      <c r="J1146" s="64">
        <f ca="1">EFEITO!$J$1146*EFEITO!$Y$1146</f>
        <v>49065.066708856604</v>
      </c>
      <c r="K1146" s="64">
        <f>EFEITO!$L$1146*EFEITO!$Z$1146</f>
        <v>0</v>
      </c>
      <c r="L1146" s="64">
        <f>EFEITO!$N$1146*EFEITO!$AA$1146</f>
        <v>0</v>
      </c>
      <c r="M1146" s="64">
        <f ca="1">$J$1146-EFEITO!$K$1146*EFEITO!$Y$1146</f>
        <v>0</v>
      </c>
      <c r="N1146" s="64">
        <f>$K$1146-EFEITO!$M$1146*EFEITO!$Z$1146</f>
        <v>0</v>
      </c>
      <c r="O1146" s="64">
        <f>$L$1146-EFEITO!$O$1146*EFEITO!$AA$1146</f>
        <v>0</v>
      </c>
      <c r="P1146" s="19"/>
      <c r="Q1146" s="19"/>
      <c r="R1146" s="19"/>
      <c r="S1146" s="19"/>
      <c r="T1146" s="19"/>
      <c r="U1146" s="19"/>
      <c r="V1146" s="19"/>
      <c r="W1146" s="19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</row>
    <row r="1147" spans="1:36" ht="11.25" customHeight="1" x14ac:dyDescent="0.2">
      <c r="A1147" s="55" t="s">
        <v>21</v>
      </c>
      <c r="B1147" s="55" t="s">
        <v>41</v>
      </c>
      <c r="C1147" s="55" t="s">
        <v>42</v>
      </c>
      <c r="D1147" s="55" t="s">
        <v>46</v>
      </c>
      <c r="E1147" s="55" t="s">
        <v>25</v>
      </c>
      <c r="F1147" s="55" t="s">
        <v>25</v>
      </c>
      <c r="G1147" s="55" t="s">
        <v>25</v>
      </c>
      <c r="H1147" s="55" t="s">
        <v>34</v>
      </c>
      <c r="I1147" s="63">
        <v>44409</v>
      </c>
      <c r="J1147" s="64">
        <f>EFEITO!$J$1147*EFEITO!$Y$1147</f>
        <v>0</v>
      </c>
      <c r="K1147" s="64">
        <f ca="1">EFEITO!$L$1147*EFEITO!$Z$1147</f>
        <v>774822.41583085153</v>
      </c>
      <c r="L1147" s="64">
        <f>EFEITO!$N$1147*EFEITO!$AA$1147</f>
        <v>207405.09237545074</v>
      </c>
      <c r="M1147" s="64">
        <f>$J$1147-EFEITO!$K$1147*EFEITO!$Y$1147</f>
        <v>0</v>
      </c>
      <c r="N1147" s="64">
        <f ca="1">$K$1147-EFEITO!$M$1147*EFEITO!$Z$1147</f>
        <v>0</v>
      </c>
      <c r="O1147" s="64">
        <f>$L$1147-EFEITO!$O$1147*EFEITO!$AA$1147</f>
        <v>0</v>
      </c>
      <c r="P1147" s="19"/>
      <c r="Q1147" s="19"/>
      <c r="R1147" s="19"/>
      <c r="S1147" s="19"/>
      <c r="T1147" s="19"/>
      <c r="U1147" s="19"/>
      <c r="V1147" s="19"/>
      <c r="W1147" s="19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</row>
    <row r="1148" spans="1:36" ht="11.25" customHeight="1" x14ac:dyDescent="0.2">
      <c r="A1148" s="55" t="s">
        <v>28</v>
      </c>
      <c r="B1148" s="55" t="s">
        <v>41</v>
      </c>
      <c r="C1148" s="55" t="s">
        <v>42</v>
      </c>
      <c r="D1148" s="55" t="s">
        <v>46</v>
      </c>
      <c r="E1148" s="55" t="s">
        <v>25</v>
      </c>
      <c r="F1148" s="55" t="s">
        <v>25</v>
      </c>
      <c r="G1148" s="55" t="s">
        <v>25</v>
      </c>
      <c r="H1148" s="55" t="s">
        <v>34</v>
      </c>
      <c r="I1148" s="63">
        <v>44409</v>
      </c>
      <c r="J1148" s="64">
        <f>EFEITO!$J$1148*EFEITO!$Y$1148</f>
        <v>0</v>
      </c>
      <c r="K1148" s="64">
        <f ca="1">EFEITO!$L$1148*EFEITO!$Z$1148</f>
        <v>16764.004056891743</v>
      </c>
      <c r="L1148" s="64">
        <f>EFEITO!$N$1148*EFEITO!$AA$1148</f>
        <v>4487.4021956033594</v>
      </c>
      <c r="M1148" s="64">
        <f>$J$1148-EFEITO!$K$1148*EFEITO!$Y$1148</f>
        <v>0</v>
      </c>
      <c r="N1148" s="64">
        <f ca="1">$K$1148-EFEITO!$M$1148*EFEITO!$Z$1148</f>
        <v>0</v>
      </c>
      <c r="O1148" s="64">
        <f>$L$1148-EFEITO!$O$1148*EFEITO!$AA$1148</f>
        <v>0</v>
      </c>
      <c r="P1148" s="19"/>
      <c r="Q1148" s="19"/>
      <c r="R1148" s="19"/>
      <c r="S1148" s="19"/>
      <c r="T1148" s="19"/>
      <c r="U1148" s="19"/>
      <c r="V1148" s="19"/>
      <c r="W1148" s="19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</row>
    <row r="1149" spans="1:36" ht="11.25" customHeight="1" x14ac:dyDescent="0.2">
      <c r="A1149" s="55" t="s">
        <v>21</v>
      </c>
      <c r="B1149" s="55" t="s">
        <v>41</v>
      </c>
      <c r="C1149" s="55" t="s">
        <v>42</v>
      </c>
      <c r="D1149" s="55" t="s">
        <v>46</v>
      </c>
      <c r="E1149" s="55" t="s">
        <v>25</v>
      </c>
      <c r="F1149" s="55" t="s">
        <v>25</v>
      </c>
      <c r="G1149" s="55" t="s">
        <v>25</v>
      </c>
      <c r="H1149" s="55" t="s">
        <v>34</v>
      </c>
      <c r="I1149" s="63">
        <v>44440</v>
      </c>
      <c r="J1149" s="64">
        <f>EFEITO!$J$1149*EFEITO!$Y$1149</f>
        <v>0</v>
      </c>
      <c r="K1149" s="64">
        <f ca="1">EFEITO!$L$1149*EFEITO!$Z$1149</f>
        <v>816414.80354554206</v>
      </c>
      <c r="L1149" s="64">
        <f>EFEITO!$N$1149*EFEITO!$AA$1149</f>
        <v>218538.57643557654</v>
      </c>
      <c r="M1149" s="64">
        <f>$J$1149-EFEITO!$K$1149*EFEITO!$Y$1149</f>
        <v>0</v>
      </c>
      <c r="N1149" s="64">
        <f ca="1">$K$1149-EFEITO!$M$1149*EFEITO!$Z$1149</f>
        <v>0</v>
      </c>
      <c r="O1149" s="64">
        <f>$L$1149-EFEITO!$O$1149*EFEITO!$AA$1149</f>
        <v>0</v>
      </c>
      <c r="P1149" s="19"/>
      <c r="Q1149" s="19"/>
      <c r="R1149" s="19"/>
      <c r="S1149" s="19"/>
      <c r="T1149" s="19"/>
      <c r="U1149" s="19"/>
      <c r="V1149" s="19"/>
      <c r="W1149" s="19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</row>
    <row r="1150" spans="1:36" ht="11.25" customHeight="1" x14ac:dyDescent="0.2">
      <c r="A1150" s="55" t="s">
        <v>27</v>
      </c>
      <c r="B1150" s="55" t="s">
        <v>41</v>
      </c>
      <c r="C1150" s="55" t="s">
        <v>42</v>
      </c>
      <c r="D1150" s="55" t="s">
        <v>46</v>
      </c>
      <c r="E1150" s="55" t="s">
        <v>25</v>
      </c>
      <c r="F1150" s="55" t="s">
        <v>25</v>
      </c>
      <c r="G1150" s="55" t="s">
        <v>25</v>
      </c>
      <c r="H1150" s="55" t="s">
        <v>34</v>
      </c>
      <c r="I1150" s="63">
        <v>44440</v>
      </c>
      <c r="J1150" s="64">
        <f>EFEITO!$J$1150*EFEITO!$Y$1150</f>
        <v>0</v>
      </c>
      <c r="K1150" s="64">
        <f ca="1">EFEITO!$L$1150*EFEITO!$Z$1150</f>
        <v>-17765.322218286045</v>
      </c>
      <c r="L1150" s="64">
        <f>EFEITO!$N$1150*EFEITO!$AA$1150</f>
        <v>-4755.4358527588593</v>
      </c>
      <c r="M1150" s="64">
        <f>$J$1150-EFEITO!$K$1150*EFEITO!$Y$1150</f>
        <v>0</v>
      </c>
      <c r="N1150" s="64">
        <f ca="1">$K$1150-EFEITO!$M$1150*EFEITO!$Z$1150</f>
        <v>0</v>
      </c>
      <c r="O1150" s="64">
        <f>$L$1150-EFEITO!$O$1150*EFEITO!$AA$1150</f>
        <v>0</v>
      </c>
      <c r="P1150" s="19"/>
      <c r="Q1150" s="19"/>
      <c r="R1150" s="19"/>
      <c r="S1150" s="19"/>
      <c r="T1150" s="19"/>
      <c r="U1150" s="19"/>
      <c r="V1150" s="19"/>
      <c r="W1150" s="19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</row>
    <row r="1151" spans="1:36" ht="11.25" customHeight="1" x14ac:dyDescent="0.2">
      <c r="A1151" s="55" t="s">
        <v>28</v>
      </c>
      <c r="B1151" s="55" t="s">
        <v>41</v>
      </c>
      <c r="C1151" s="55" t="s">
        <v>42</v>
      </c>
      <c r="D1151" s="55" t="s">
        <v>46</v>
      </c>
      <c r="E1151" s="55" t="s">
        <v>25</v>
      </c>
      <c r="F1151" s="55" t="s">
        <v>25</v>
      </c>
      <c r="G1151" s="55" t="s">
        <v>25</v>
      </c>
      <c r="H1151" s="55" t="s">
        <v>34</v>
      </c>
      <c r="I1151" s="63">
        <v>44440</v>
      </c>
      <c r="J1151" s="64">
        <f>EFEITO!$J$1151*EFEITO!$Y$1151</f>
        <v>0</v>
      </c>
      <c r="K1151" s="64">
        <f ca="1">EFEITO!$L$1151*EFEITO!$Z$1151</f>
        <v>18548.611425183204</v>
      </c>
      <c r="L1151" s="64">
        <f>EFEITO!$N$1151*EFEITO!$AA$1151</f>
        <v>4965.1073426305002</v>
      </c>
      <c r="M1151" s="64">
        <f>$J$1151-EFEITO!$K$1151*EFEITO!$Y$1151</f>
        <v>0</v>
      </c>
      <c r="N1151" s="64">
        <f ca="1">$K$1151-EFEITO!$M$1151*EFEITO!$Z$1151</f>
        <v>0</v>
      </c>
      <c r="O1151" s="64">
        <f>$L$1151-EFEITO!$O$1151*EFEITO!$AA$1151</f>
        <v>0</v>
      </c>
      <c r="P1151" s="19"/>
      <c r="Q1151" s="19"/>
      <c r="R1151" s="19"/>
      <c r="S1151" s="19"/>
      <c r="T1151" s="19"/>
      <c r="U1151" s="19"/>
      <c r="V1151" s="19"/>
      <c r="W1151" s="19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</row>
    <row r="1152" spans="1:36" ht="11.25" customHeight="1" x14ac:dyDescent="0.2">
      <c r="A1152" s="55" t="s">
        <v>21</v>
      </c>
      <c r="B1152" s="55" t="s">
        <v>41</v>
      </c>
      <c r="C1152" s="55" t="s">
        <v>42</v>
      </c>
      <c r="D1152" s="55" t="s">
        <v>46</v>
      </c>
      <c r="E1152" s="55" t="s">
        <v>25</v>
      </c>
      <c r="F1152" s="55" t="s">
        <v>25</v>
      </c>
      <c r="G1152" s="55" t="s">
        <v>25</v>
      </c>
      <c r="H1152" s="55" t="s">
        <v>34</v>
      </c>
      <c r="I1152" s="63">
        <v>44470</v>
      </c>
      <c r="J1152" s="64">
        <f>EFEITO!$J$1152*EFEITO!$Y$1152</f>
        <v>0</v>
      </c>
      <c r="K1152" s="64">
        <f ca="1">EFEITO!$L$1152*EFEITO!$Z$1152</f>
        <v>828347.17830215744</v>
      </c>
      <c r="L1152" s="64">
        <f>EFEITO!$N$1152*EFEITO!$AA$1152</f>
        <v>221732.64418334622</v>
      </c>
      <c r="M1152" s="64">
        <f>$J$1152-EFEITO!$K$1152*EFEITO!$Y$1152</f>
        <v>0</v>
      </c>
      <c r="N1152" s="64">
        <f ca="1">$K$1152-EFEITO!$M$1152*EFEITO!$Z$1152</f>
        <v>0</v>
      </c>
      <c r="O1152" s="64">
        <f>$L$1152-EFEITO!$O$1152*EFEITO!$AA$1152</f>
        <v>0</v>
      </c>
      <c r="P1152" s="19"/>
      <c r="Q1152" s="19"/>
      <c r="R1152" s="19"/>
      <c r="S1152" s="19"/>
      <c r="T1152" s="19"/>
      <c r="U1152" s="19"/>
      <c r="V1152" s="19"/>
      <c r="W1152" s="19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</row>
    <row r="1153" spans="1:36" ht="11.25" customHeight="1" x14ac:dyDescent="0.2">
      <c r="A1153" s="55" t="s">
        <v>27</v>
      </c>
      <c r="B1153" s="55" t="s">
        <v>41</v>
      </c>
      <c r="C1153" s="55" t="s">
        <v>42</v>
      </c>
      <c r="D1153" s="55" t="s">
        <v>46</v>
      </c>
      <c r="E1153" s="55" t="s">
        <v>25</v>
      </c>
      <c r="F1153" s="55" t="s">
        <v>25</v>
      </c>
      <c r="G1153" s="55" t="s">
        <v>25</v>
      </c>
      <c r="H1153" s="55" t="s">
        <v>34</v>
      </c>
      <c r="I1153" s="63">
        <v>44470</v>
      </c>
      <c r="J1153" s="64">
        <f>EFEITO!$J$1153*EFEITO!$Y$1153</f>
        <v>0</v>
      </c>
      <c r="K1153" s="64">
        <f ca="1">EFEITO!$L$1153*EFEITO!$Z$1153</f>
        <v>414.52418509334109</v>
      </c>
      <c r="L1153" s="64">
        <f>EFEITO!$N$1153*EFEITO!$AA$1153</f>
        <v>110.96016989770672</v>
      </c>
      <c r="M1153" s="64">
        <f>$J$1153-EFEITO!$K$1153*EFEITO!$Y$1153</f>
        <v>0</v>
      </c>
      <c r="N1153" s="64">
        <f ca="1">$K$1153-EFEITO!$M$1153*EFEITO!$Z$1153</f>
        <v>0</v>
      </c>
      <c r="O1153" s="64">
        <f>$L$1153-EFEITO!$O$1153*EFEITO!$AA$1153</f>
        <v>0</v>
      </c>
      <c r="P1153" s="19"/>
      <c r="Q1153" s="19"/>
      <c r="R1153" s="19"/>
      <c r="S1153" s="19"/>
      <c r="T1153" s="19"/>
      <c r="U1153" s="19"/>
      <c r="V1153" s="19"/>
      <c r="W1153" s="19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</row>
    <row r="1154" spans="1:36" ht="11.25" customHeight="1" x14ac:dyDescent="0.2">
      <c r="A1154" s="55" t="s">
        <v>28</v>
      </c>
      <c r="B1154" s="55" t="s">
        <v>41</v>
      </c>
      <c r="C1154" s="55" t="s">
        <v>42</v>
      </c>
      <c r="D1154" s="55" t="s">
        <v>46</v>
      </c>
      <c r="E1154" s="55" t="s">
        <v>25</v>
      </c>
      <c r="F1154" s="55" t="s">
        <v>25</v>
      </c>
      <c r="G1154" s="55" t="s">
        <v>25</v>
      </c>
      <c r="H1154" s="55" t="s">
        <v>34</v>
      </c>
      <c r="I1154" s="63">
        <v>44470</v>
      </c>
      <c r="J1154" s="64">
        <f>EFEITO!$J$1154*EFEITO!$Y$1154</f>
        <v>0</v>
      </c>
      <c r="K1154" s="64">
        <f ca="1">EFEITO!$L$1154*EFEITO!$Z$1154</f>
        <v>18801.6326810194</v>
      </c>
      <c r="L1154" s="64">
        <f>EFEITO!$N$1154*EFEITO!$AA$1154</f>
        <v>5032.8362775031264</v>
      </c>
      <c r="M1154" s="64">
        <f>$J$1154-EFEITO!$K$1154*EFEITO!$Y$1154</f>
        <v>0</v>
      </c>
      <c r="N1154" s="64">
        <f ca="1">$K$1154-EFEITO!$M$1154*EFEITO!$Z$1154</f>
        <v>0</v>
      </c>
      <c r="O1154" s="64">
        <f>$L$1154-EFEITO!$O$1154*EFEITO!$AA$1154</f>
        <v>0</v>
      </c>
      <c r="P1154" s="19"/>
      <c r="Q1154" s="19"/>
      <c r="R1154" s="19"/>
      <c r="S1154" s="19"/>
      <c r="T1154" s="19"/>
      <c r="U1154" s="19"/>
      <c r="V1154" s="19"/>
      <c r="W1154" s="19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</row>
    <row r="1155" spans="1:36" ht="11.25" customHeight="1" x14ac:dyDescent="0.2">
      <c r="A1155" s="55" t="s">
        <v>21</v>
      </c>
      <c r="B1155" s="55" t="s">
        <v>41</v>
      </c>
      <c r="C1155" s="55" t="s">
        <v>42</v>
      </c>
      <c r="D1155" s="55" t="s">
        <v>46</v>
      </c>
      <c r="E1155" s="55" t="s">
        <v>25</v>
      </c>
      <c r="F1155" s="55" t="s">
        <v>25</v>
      </c>
      <c r="G1155" s="55" t="s">
        <v>25</v>
      </c>
      <c r="H1155" s="55" t="s">
        <v>34</v>
      </c>
      <c r="I1155" s="63">
        <v>44501</v>
      </c>
      <c r="J1155" s="64">
        <f>EFEITO!$J$1155*EFEITO!$Y$1155</f>
        <v>0</v>
      </c>
      <c r="K1155" s="64">
        <f ca="1">EFEITO!$L$1155*EFEITO!$Z$1155</f>
        <v>903970.9249268159</v>
      </c>
      <c r="L1155" s="64">
        <f>EFEITO!$N$1155*EFEITO!$AA$1155</f>
        <v>241975.66998384017</v>
      </c>
      <c r="M1155" s="64">
        <f>$J$1155-EFEITO!$K$1155*EFEITO!$Y$1155</f>
        <v>0</v>
      </c>
      <c r="N1155" s="64">
        <f ca="1">$K$1155-EFEITO!$M$1155*EFEITO!$Z$1155</f>
        <v>0</v>
      </c>
      <c r="O1155" s="64">
        <f>$L$1155-EFEITO!$O$1155*EFEITO!$AA$1155</f>
        <v>0</v>
      </c>
      <c r="P1155" s="19"/>
      <c r="Q1155" s="19"/>
      <c r="R1155" s="19"/>
      <c r="S1155" s="19"/>
      <c r="T1155" s="19"/>
      <c r="U1155" s="19"/>
      <c r="V1155" s="19"/>
      <c r="W1155" s="19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</row>
    <row r="1156" spans="1:36" ht="11.25" customHeight="1" x14ac:dyDescent="0.2">
      <c r="A1156" s="55" t="s">
        <v>28</v>
      </c>
      <c r="B1156" s="55" t="s">
        <v>41</v>
      </c>
      <c r="C1156" s="55" t="s">
        <v>42</v>
      </c>
      <c r="D1156" s="55" t="s">
        <v>46</v>
      </c>
      <c r="E1156" s="55" t="s">
        <v>25</v>
      </c>
      <c r="F1156" s="55" t="s">
        <v>25</v>
      </c>
      <c r="G1156" s="55" t="s">
        <v>25</v>
      </c>
      <c r="H1156" s="55" t="s">
        <v>34</v>
      </c>
      <c r="I1156" s="63">
        <v>44501</v>
      </c>
      <c r="J1156" s="64">
        <f>EFEITO!$J$1156*EFEITO!$Y$1156</f>
        <v>0</v>
      </c>
      <c r="K1156" s="64">
        <f ca="1">EFEITO!$L$1156*EFEITO!$Z$1156</f>
        <v>19683.169503214653</v>
      </c>
      <c r="L1156" s="64">
        <f>EFEITO!$N$1156*EFEITO!$AA$1156</f>
        <v>5268.8067686816903</v>
      </c>
      <c r="M1156" s="64">
        <f>$J$1156-EFEITO!$K$1156*EFEITO!$Y$1156</f>
        <v>0</v>
      </c>
      <c r="N1156" s="64">
        <f ca="1">$K$1156-EFEITO!$M$1156*EFEITO!$Z$1156</f>
        <v>0</v>
      </c>
      <c r="O1156" s="64">
        <f>$L$1156-EFEITO!$O$1156*EFEITO!$AA$1156</f>
        <v>0</v>
      </c>
      <c r="P1156" s="19"/>
      <c r="Q1156" s="19"/>
      <c r="R1156" s="19"/>
      <c r="S1156" s="19"/>
      <c r="T1156" s="19"/>
      <c r="U1156" s="19"/>
      <c r="V1156" s="19"/>
      <c r="W1156" s="19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</row>
    <row r="1157" spans="1:36" ht="11.25" customHeight="1" x14ac:dyDescent="0.2">
      <c r="A1157" s="55" t="s">
        <v>21</v>
      </c>
      <c r="B1157" s="55" t="s">
        <v>41</v>
      </c>
      <c r="C1157" s="55" t="s">
        <v>42</v>
      </c>
      <c r="D1157" s="55" t="s">
        <v>46</v>
      </c>
      <c r="E1157" s="55" t="s">
        <v>25</v>
      </c>
      <c r="F1157" s="55" t="s">
        <v>25</v>
      </c>
      <c r="G1157" s="55" t="s">
        <v>25</v>
      </c>
      <c r="H1157" s="55" t="s">
        <v>34</v>
      </c>
      <c r="I1157" s="63">
        <v>44531</v>
      </c>
      <c r="J1157" s="64">
        <f>EFEITO!$J$1157*EFEITO!$Y$1157</f>
        <v>0</v>
      </c>
      <c r="K1157" s="64">
        <f ca="1">EFEITO!$L$1157*EFEITO!$Z$1157</f>
        <v>1000510.6467480187</v>
      </c>
      <c r="L1157" s="64">
        <f>EFEITO!$N$1157*EFEITO!$AA$1157</f>
        <v>267817.50098037394</v>
      </c>
      <c r="M1157" s="64">
        <f>$J$1157-EFEITO!$K$1157*EFEITO!$Y$1157</f>
        <v>0</v>
      </c>
      <c r="N1157" s="64">
        <f ca="1">$K$1157-EFEITO!$M$1157*EFEITO!$Z$1157</f>
        <v>0</v>
      </c>
      <c r="O1157" s="64">
        <f>$L$1157-EFEITO!$O$1157*EFEITO!$AA$1157</f>
        <v>0</v>
      </c>
      <c r="P1157" s="19"/>
      <c r="Q1157" s="19"/>
      <c r="R1157" s="19"/>
      <c r="S1157" s="19"/>
      <c r="T1157" s="19"/>
      <c r="U1157" s="19"/>
      <c r="V1157" s="19"/>
      <c r="W1157" s="19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</row>
    <row r="1158" spans="1:36" ht="11.25" customHeight="1" x14ac:dyDescent="0.2">
      <c r="A1158" s="55" t="s">
        <v>28</v>
      </c>
      <c r="B1158" s="55" t="s">
        <v>41</v>
      </c>
      <c r="C1158" s="55" t="s">
        <v>42</v>
      </c>
      <c r="D1158" s="55" t="s">
        <v>46</v>
      </c>
      <c r="E1158" s="55" t="s">
        <v>25</v>
      </c>
      <c r="F1158" s="55" t="s">
        <v>25</v>
      </c>
      <c r="G1158" s="55" t="s">
        <v>25</v>
      </c>
      <c r="H1158" s="55" t="s">
        <v>34</v>
      </c>
      <c r="I1158" s="63">
        <v>44531</v>
      </c>
      <c r="J1158" s="64">
        <f>EFEITO!$J$1158*EFEITO!$Y$1158</f>
        <v>0</v>
      </c>
      <c r="K1158" s="64">
        <f ca="1">EFEITO!$L$1158*EFEITO!$Z$1158</f>
        <v>21413.942561753734</v>
      </c>
      <c r="L1158" s="64">
        <f>EFEITO!$N$1158*EFEITO!$AA$1158</f>
        <v>5732.1015040338034</v>
      </c>
      <c r="M1158" s="64">
        <f>$J$1158-EFEITO!$K$1158*EFEITO!$Y$1158</f>
        <v>0</v>
      </c>
      <c r="N1158" s="64">
        <f ca="1">$K$1158-EFEITO!$M$1158*EFEITO!$Z$1158</f>
        <v>0</v>
      </c>
      <c r="O1158" s="64">
        <f>$L$1158-EFEITO!$O$1158*EFEITO!$AA$1158</f>
        <v>0</v>
      </c>
      <c r="P1158" s="19"/>
      <c r="Q1158" s="19"/>
      <c r="R1158" s="19"/>
      <c r="S1158" s="19"/>
      <c r="T1158" s="19"/>
      <c r="U1158" s="19"/>
      <c r="V1158" s="19"/>
      <c r="W1158" s="19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</row>
    <row r="1159" spans="1:36" ht="11.25" customHeight="1" x14ac:dyDescent="0.2">
      <c r="A1159" s="55" t="s">
        <v>21</v>
      </c>
      <c r="B1159" s="55" t="s">
        <v>41</v>
      </c>
      <c r="C1159" s="55" t="s">
        <v>42</v>
      </c>
      <c r="D1159" s="55" t="s">
        <v>46</v>
      </c>
      <c r="E1159" s="55" t="s">
        <v>25</v>
      </c>
      <c r="F1159" s="55" t="s">
        <v>25</v>
      </c>
      <c r="G1159" s="55" t="s">
        <v>25</v>
      </c>
      <c r="H1159" s="55" t="s">
        <v>34</v>
      </c>
      <c r="I1159" s="63">
        <v>44562</v>
      </c>
      <c r="J1159" s="64">
        <f>EFEITO!$J$1159*EFEITO!$Y$1159</f>
        <v>0</v>
      </c>
      <c r="K1159" s="64">
        <f ca="1">EFEITO!$L$1159*EFEITO!$Z$1159</f>
        <v>913860.28762832854</v>
      </c>
      <c r="L1159" s="64">
        <f>EFEITO!$N$1159*EFEITO!$AA$1159</f>
        <v>244622.86260854261</v>
      </c>
      <c r="M1159" s="64">
        <f>$J$1159-EFEITO!$K$1159*EFEITO!$Y$1159</f>
        <v>0</v>
      </c>
      <c r="N1159" s="64">
        <f ca="1">$K$1159-EFEITO!$M$1159*EFEITO!$Z$1159</f>
        <v>0</v>
      </c>
      <c r="O1159" s="64">
        <f>$L$1159-EFEITO!$O$1159*EFEITO!$AA$1159</f>
        <v>0</v>
      </c>
      <c r="P1159" s="19"/>
      <c r="Q1159" s="19"/>
      <c r="R1159" s="19"/>
      <c r="S1159" s="19"/>
      <c r="T1159" s="19"/>
      <c r="U1159" s="19"/>
      <c r="V1159" s="19"/>
      <c r="W1159" s="19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</row>
    <row r="1160" spans="1:36" ht="11.25" customHeight="1" x14ac:dyDescent="0.2">
      <c r="A1160" s="55" t="s">
        <v>28</v>
      </c>
      <c r="B1160" s="55" t="s">
        <v>41</v>
      </c>
      <c r="C1160" s="55" t="s">
        <v>42</v>
      </c>
      <c r="D1160" s="55" t="s">
        <v>46</v>
      </c>
      <c r="E1160" s="55" t="s">
        <v>25</v>
      </c>
      <c r="F1160" s="55" t="s">
        <v>25</v>
      </c>
      <c r="G1160" s="55" t="s">
        <v>25</v>
      </c>
      <c r="H1160" s="55" t="s">
        <v>34</v>
      </c>
      <c r="I1160" s="63">
        <v>44562</v>
      </c>
      <c r="J1160" s="64">
        <f>EFEITO!$J$1160*EFEITO!$Y$1160</f>
        <v>0</v>
      </c>
      <c r="K1160" s="64">
        <f ca="1">EFEITO!$L$1160*EFEITO!$Z$1160</f>
        <v>18949.677032838448</v>
      </c>
      <c r="L1160" s="64">
        <f>EFEITO!$N$1160*EFEITO!$AA$1160</f>
        <v>5072.4649096094499</v>
      </c>
      <c r="M1160" s="64">
        <f>$J$1160-EFEITO!$K$1160*EFEITO!$Y$1160</f>
        <v>0</v>
      </c>
      <c r="N1160" s="64">
        <f ca="1">$K$1160-EFEITO!$M$1160*EFEITO!$Z$1160</f>
        <v>0</v>
      </c>
      <c r="O1160" s="64">
        <f>$L$1160-EFEITO!$O$1160*EFEITO!$AA$1160</f>
        <v>0</v>
      </c>
      <c r="P1160" s="19"/>
      <c r="Q1160" s="19"/>
      <c r="R1160" s="19"/>
      <c r="S1160" s="19"/>
      <c r="T1160" s="19"/>
      <c r="U1160" s="19"/>
      <c r="V1160" s="19"/>
      <c r="W1160" s="19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</row>
    <row r="1161" spans="1:36" ht="11.25" customHeight="1" x14ac:dyDescent="0.2">
      <c r="A1161" s="55" t="s">
        <v>21</v>
      </c>
      <c r="B1161" s="55" t="s">
        <v>41</v>
      </c>
      <c r="C1161" s="55" t="s">
        <v>42</v>
      </c>
      <c r="D1161" s="55" t="s">
        <v>46</v>
      </c>
      <c r="E1161" s="55" t="s">
        <v>25</v>
      </c>
      <c r="F1161" s="55" t="s">
        <v>25</v>
      </c>
      <c r="G1161" s="55" t="s">
        <v>25</v>
      </c>
      <c r="H1161" s="55" t="s">
        <v>34</v>
      </c>
      <c r="I1161" s="63">
        <v>44593</v>
      </c>
      <c r="J1161" s="64">
        <f>EFEITO!$J$1161*EFEITO!$Y$1161</f>
        <v>0</v>
      </c>
      <c r="K1161" s="64">
        <f ca="1">EFEITO!$L$1161*EFEITO!$Z$1161</f>
        <v>877160.09281238599</v>
      </c>
      <c r="L1161" s="64">
        <f>EFEITO!$N$1161*EFEITO!$AA$1161</f>
        <v>234798.92470938494</v>
      </c>
      <c r="M1161" s="64">
        <f>$J$1161-EFEITO!$K$1161*EFEITO!$Y$1161</f>
        <v>0</v>
      </c>
      <c r="N1161" s="64">
        <f ca="1">$K$1161-EFEITO!$M$1161*EFEITO!$Z$1161</f>
        <v>0</v>
      </c>
      <c r="O1161" s="64">
        <f>$L$1161-EFEITO!$O$1161*EFEITO!$AA$1161</f>
        <v>0</v>
      </c>
      <c r="P1161" s="19"/>
      <c r="Q1161" s="19"/>
      <c r="R1161" s="19"/>
      <c r="S1161" s="19"/>
      <c r="T1161" s="19"/>
      <c r="U1161" s="19"/>
      <c r="V1161" s="19"/>
      <c r="W1161" s="19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</row>
    <row r="1162" spans="1:36" ht="11.25" customHeight="1" x14ac:dyDescent="0.2">
      <c r="A1162" s="55" t="s">
        <v>28</v>
      </c>
      <c r="B1162" s="55" t="s">
        <v>41</v>
      </c>
      <c r="C1162" s="55" t="s">
        <v>42</v>
      </c>
      <c r="D1162" s="55" t="s">
        <v>46</v>
      </c>
      <c r="E1162" s="55" t="s">
        <v>25</v>
      </c>
      <c r="F1162" s="55" t="s">
        <v>25</v>
      </c>
      <c r="G1162" s="55" t="s">
        <v>25</v>
      </c>
      <c r="H1162" s="55" t="s">
        <v>34</v>
      </c>
      <c r="I1162" s="63">
        <v>44593</v>
      </c>
      <c r="J1162" s="64">
        <f>EFEITO!$J$1162*EFEITO!$Y$1162</f>
        <v>0</v>
      </c>
      <c r="K1162" s="64">
        <f ca="1">EFEITO!$L$1162*EFEITO!$Z$1162</f>
        <v>18100.440796494626</v>
      </c>
      <c r="L1162" s="64">
        <f>EFEITO!$N$1162*EFEITO!$AA$1162</f>
        <v>4845.1406654359016</v>
      </c>
      <c r="M1162" s="64">
        <f>$J$1162-EFEITO!$K$1162*EFEITO!$Y$1162</f>
        <v>0</v>
      </c>
      <c r="N1162" s="64">
        <f ca="1">$K$1162-EFEITO!$M$1162*EFEITO!$Z$1162</f>
        <v>0</v>
      </c>
      <c r="O1162" s="64">
        <f>$L$1162-EFEITO!$O$1162*EFEITO!$AA$1162</f>
        <v>0</v>
      </c>
      <c r="P1162" s="19"/>
      <c r="Q1162" s="19"/>
      <c r="R1162" s="19"/>
      <c r="S1162" s="19"/>
      <c r="T1162" s="19"/>
      <c r="U1162" s="19"/>
      <c r="V1162" s="19"/>
      <c r="W1162" s="19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</row>
    <row r="1163" spans="1:36" ht="11.25" customHeight="1" x14ac:dyDescent="0.2">
      <c r="A1163" s="55" t="s">
        <v>21</v>
      </c>
      <c r="B1163" s="55" t="s">
        <v>41</v>
      </c>
      <c r="C1163" s="55" t="s">
        <v>42</v>
      </c>
      <c r="D1163" s="55" t="s">
        <v>46</v>
      </c>
      <c r="E1163" s="55" t="s">
        <v>25</v>
      </c>
      <c r="F1163" s="55" t="s">
        <v>25</v>
      </c>
      <c r="G1163" s="55" t="s">
        <v>25</v>
      </c>
      <c r="H1163" s="55" t="s">
        <v>34</v>
      </c>
      <c r="I1163" s="63">
        <v>44621</v>
      </c>
      <c r="J1163" s="64">
        <f>EFEITO!$J$1163*EFEITO!$Y$1163</f>
        <v>0</v>
      </c>
      <c r="K1163" s="64">
        <f ca="1">EFEITO!$L$1163*EFEITO!$Z$1163</f>
        <v>980282.40485856123</v>
      </c>
      <c r="L1163" s="64">
        <f>EFEITO!$N$1163*EFEITO!$AA$1163</f>
        <v>262402.78879348258</v>
      </c>
      <c r="M1163" s="64">
        <f>$J$1163-EFEITO!$K$1163*EFEITO!$Y$1163</f>
        <v>0</v>
      </c>
      <c r="N1163" s="64">
        <f ca="1">$K$1163-EFEITO!$M$1163*EFEITO!$Z$1163</f>
        <v>0</v>
      </c>
      <c r="O1163" s="64">
        <f>$L$1163-EFEITO!$O$1163*EFEITO!$AA$1163</f>
        <v>0</v>
      </c>
      <c r="P1163" s="19"/>
      <c r="Q1163" s="19"/>
      <c r="R1163" s="19"/>
      <c r="S1163" s="19"/>
      <c r="T1163" s="19"/>
      <c r="U1163" s="19"/>
      <c r="V1163" s="19"/>
      <c r="W1163" s="19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</row>
    <row r="1164" spans="1:36" ht="11.25" customHeight="1" x14ac:dyDescent="0.2">
      <c r="A1164" s="55" t="s">
        <v>28</v>
      </c>
      <c r="B1164" s="55" t="s">
        <v>41</v>
      </c>
      <c r="C1164" s="55" t="s">
        <v>42</v>
      </c>
      <c r="D1164" s="55" t="s">
        <v>46</v>
      </c>
      <c r="E1164" s="55" t="s">
        <v>25</v>
      </c>
      <c r="F1164" s="55" t="s">
        <v>25</v>
      </c>
      <c r="G1164" s="55" t="s">
        <v>25</v>
      </c>
      <c r="H1164" s="55" t="s">
        <v>34</v>
      </c>
      <c r="I1164" s="63">
        <v>44621</v>
      </c>
      <c r="J1164" s="64">
        <f>EFEITO!$J$1164*EFEITO!$Y$1164</f>
        <v>0</v>
      </c>
      <c r="K1164" s="64">
        <f ca="1">EFEITO!$L$1164*EFEITO!$Z$1164</f>
        <v>19672.40264126418</v>
      </c>
      <c r="L1164" s="64">
        <f>EFEITO!$N$1164*EFEITO!$AA$1164</f>
        <v>5265.924686346686</v>
      </c>
      <c r="M1164" s="64">
        <f>$J$1164-EFEITO!$K$1164*EFEITO!$Y$1164</f>
        <v>0</v>
      </c>
      <c r="N1164" s="64">
        <f ca="1">$K$1164-EFEITO!$M$1164*EFEITO!$Z$1164</f>
        <v>0</v>
      </c>
      <c r="O1164" s="64">
        <f>$L$1164-EFEITO!$O$1164*EFEITO!$AA$1164</f>
        <v>0</v>
      </c>
      <c r="P1164" s="19"/>
      <c r="Q1164" s="19"/>
      <c r="R1164" s="19"/>
      <c r="S1164" s="19"/>
      <c r="T1164" s="19"/>
      <c r="U1164" s="19"/>
      <c r="V1164" s="19"/>
      <c r="W1164" s="19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</row>
    <row r="1165" spans="1:36" ht="11.25" customHeight="1" x14ac:dyDescent="0.2">
      <c r="A1165" s="55" t="s">
        <v>21</v>
      </c>
      <c r="B1165" s="55" t="s">
        <v>41</v>
      </c>
      <c r="C1165" s="55" t="s">
        <v>42</v>
      </c>
      <c r="D1165" s="55" t="s">
        <v>46</v>
      </c>
      <c r="E1165" s="55" t="s">
        <v>25</v>
      </c>
      <c r="F1165" s="55" t="s">
        <v>25</v>
      </c>
      <c r="G1165" s="55" t="s">
        <v>25</v>
      </c>
      <c r="H1165" s="55" t="s">
        <v>34</v>
      </c>
      <c r="I1165" s="63">
        <v>44652</v>
      </c>
      <c r="J1165" s="64">
        <f>EFEITO!$J$1165*EFEITO!$Y$1165</f>
        <v>0</v>
      </c>
      <c r="K1165" s="64">
        <f ca="1">EFEITO!$L$1165*EFEITO!$Z$1165</f>
        <v>922344.57484530401</v>
      </c>
      <c r="L1165" s="64">
        <f>EFEITO!$N$1165*EFEITO!$AA$1165</f>
        <v>246893.94348852686</v>
      </c>
      <c r="M1165" s="64">
        <f>$J$1165-EFEITO!$K$1165*EFEITO!$Y$1165</f>
        <v>0</v>
      </c>
      <c r="N1165" s="64">
        <f ca="1">$K$1165-EFEITO!$M$1165*EFEITO!$Z$1165</f>
        <v>0</v>
      </c>
      <c r="O1165" s="64">
        <f>$L$1165-EFEITO!$O$1165*EFEITO!$AA$1165</f>
        <v>0</v>
      </c>
      <c r="P1165" s="19"/>
      <c r="Q1165" s="19"/>
      <c r="R1165" s="19"/>
      <c r="S1165" s="19"/>
      <c r="T1165" s="19"/>
      <c r="U1165" s="19"/>
      <c r="V1165" s="19"/>
      <c r="W1165" s="19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</row>
    <row r="1166" spans="1:36" ht="11.25" customHeight="1" x14ac:dyDescent="0.2">
      <c r="A1166" s="55" t="s">
        <v>28</v>
      </c>
      <c r="B1166" s="55" t="s">
        <v>41</v>
      </c>
      <c r="C1166" s="55" t="s">
        <v>42</v>
      </c>
      <c r="D1166" s="55" t="s">
        <v>46</v>
      </c>
      <c r="E1166" s="55" t="s">
        <v>25</v>
      </c>
      <c r="F1166" s="55" t="s">
        <v>25</v>
      </c>
      <c r="G1166" s="55" t="s">
        <v>25</v>
      </c>
      <c r="H1166" s="55" t="s">
        <v>34</v>
      </c>
      <c r="I1166" s="63">
        <v>44652</v>
      </c>
      <c r="J1166" s="64">
        <f>EFEITO!$J$1166*EFEITO!$Y$1166</f>
        <v>0</v>
      </c>
      <c r="K1166" s="64">
        <f ca="1">EFEITO!$L$1166*EFEITO!$Z$1166</f>
        <v>19654.906490594651</v>
      </c>
      <c r="L1166" s="64">
        <f>EFEITO!$N$1166*EFEITO!$AA$1166</f>
        <v>5261.241302552301</v>
      </c>
      <c r="M1166" s="64">
        <f>$J$1166-EFEITO!$K$1166*EFEITO!$Y$1166</f>
        <v>0</v>
      </c>
      <c r="N1166" s="64">
        <f ca="1">$K$1166-EFEITO!$M$1166*EFEITO!$Z$1166</f>
        <v>0</v>
      </c>
      <c r="O1166" s="64">
        <f>$L$1166-EFEITO!$O$1166*EFEITO!$AA$1166</f>
        <v>0</v>
      </c>
      <c r="P1166" s="19"/>
      <c r="Q1166" s="19"/>
      <c r="R1166" s="19"/>
      <c r="S1166" s="19"/>
      <c r="T1166" s="19"/>
      <c r="U1166" s="19"/>
      <c r="V1166" s="19"/>
      <c r="W1166" s="19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</row>
    <row r="1167" spans="1:36" ht="11.25" customHeight="1" x14ac:dyDescent="0.2">
      <c r="A1167" s="55" t="s">
        <v>21</v>
      </c>
      <c r="B1167" s="55" t="s">
        <v>41</v>
      </c>
      <c r="C1167" s="55" t="s">
        <v>42</v>
      </c>
      <c r="D1167" s="55" t="s">
        <v>46</v>
      </c>
      <c r="E1167" s="55" t="s">
        <v>25</v>
      </c>
      <c r="F1167" s="55" t="s">
        <v>25</v>
      </c>
      <c r="G1167" s="55" t="s">
        <v>25</v>
      </c>
      <c r="H1167" s="55" t="s">
        <v>34</v>
      </c>
      <c r="I1167" s="63">
        <v>44682</v>
      </c>
      <c r="J1167" s="64">
        <f>EFEITO!$J$1167*EFEITO!$Y$1167</f>
        <v>0</v>
      </c>
      <c r="K1167" s="64">
        <f ca="1">EFEITO!$L$1167*EFEITO!$Z$1167</f>
        <v>945318.36653213284</v>
      </c>
      <c r="L1167" s="64">
        <f>EFEITO!$N$1167*EFEITO!$AA$1167</f>
        <v>253043.58667084452</v>
      </c>
      <c r="M1167" s="64">
        <f>$J$1167-EFEITO!$K$1167*EFEITO!$Y$1167</f>
        <v>0</v>
      </c>
      <c r="N1167" s="64">
        <f ca="1">$K$1167-EFEITO!$M$1167*EFEITO!$Z$1167</f>
        <v>0</v>
      </c>
      <c r="O1167" s="64">
        <f>$L$1167-EFEITO!$O$1167*EFEITO!$AA$1167</f>
        <v>0</v>
      </c>
      <c r="P1167" s="19"/>
      <c r="Q1167" s="19"/>
      <c r="R1167" s="19"/>
      <c r="S1167" s="19"/>
      <c r="T1167" s="19"/>
      <c r="U1167" s="19"/>
      <c r="V1167" s="19"/>
      <c r="W1167" s="19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</row>
    <row r="1168" spans="1:36" ht="11.25" customHeight="1" x14ac:dyDescent="0.2">
      <c r="A1168" s="55" t="s">
        <v>28</v>
      </c>
      <c r="B1168" s="55" t="s">
        <v>41</v>
      </c>
      <c r="C1168" s="55" t="s">
        <v>42</v>
      </c>
      <c r="D1168" s="55" t="s">
        <v>46</v>
      </c>
      <c r="E1168" s="55" t="s">
        <v>25</v>
      </c>
      <c r="F1168" s="55" t="s">
        <v>25</v>
      </c>
      <c r="G1168" s="55" t="s">
        <v>25</v>
      </c>
      <c r="H1168" s="55" t="s">
        <v>34</v>
      </c>
      <c r="I1168" s="63">
        <v>44682</v>
      </c>
      <c r="J1168" s="64">
        <f>EFEITO!$J$1168*EFEITO!$Y$1168</f>
        <v>0</v>
      </c>
      <c r="K1168" s="64">
        <f ca="1">EFEITO!$L$1168*EFEITO!$Z$1168</f>
        <v>20778.697706675626</v>
      </c>
      <c r="L1168" s="64">
        <f>EFEITO!$N$1168*EFEITO!$AA$1168</f>
        <v>5562.0586462684869</v>
      </c>
      <c r="M1168" s="64">
        <f>$J$1168-EFEITO!$K$1168*EFEITO!$Y$1168</f>
        <v>0</v>
      </c>
      <c r="N1168" s="64">
        <f ca="1">$K$1168-EFEITO!$M$1168*EFEITO!$Z$1168</f>
        <v>0</v>
      </c>
      <c r="O1168" s="64">
        <f>$L$1168-EFEITO!$O$1168*EFEITO!$AA$1168</f>
        <v>0</v>
      </c>
      <c r="P1168" s="19"/>
      <c r="Q1168" s="19"/>
      <c r="R1168" s="19"/>
      <c r="S1168" s="19"/>
      <c r="T1168" s="19"/>
      <c r="U1168" s="19"/>
      <c r="V1168" s="19"/>
      <c r="W1168" s="19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</row>
    <row r="1169" spans="1:36" ht="11.25" customHeight="1" x14ac:dyDescent="0.2">
      <c r="A1169" s="55" t="s">
        <v>21</v>
      </c>
      <c r="B1169" s="55" t="s">
        <v>41</v>
      </c>
      <c r="C1169" s="55" t="s">
        <v>42</v>
      </c>
      <c r="D1169" s="55" t="s">
        <v>46</v>
      </c>
      <c r="E1169" s="55" t="s">
        <v>25</v>
      </c>
      <c r="F1169" s="55" t="s">
        <v>25</v>
      </c>
      <c r="G1169" s="55" t="s">
        <v>25</v>
      </c>
      <c r="H1169" s="55" t="s">
        <v>34</v>
      </c>
      <c r="I1169" s="63">
        <v>44713</v>
      </c>
      <c r="J1169" s="64">
        <f>EFEITO!$J$1169*EFEITO!$Y$1169</f>
        <v>0</v>
      </c>
      <c r="K1169" s="64">
        <f ca="1">EFEITO!$L$1169*EFEITO!$Z$1169</f>
        <v>854656.00547814649</v>
      </c>
      <c r="L1169" s="64">
        <f>EFEITO!$N$1169*EFEITO!$AA$1169</f>
        <v>228775.01236893184</v>
      </c>
      <c r="M1169" s="64">
        <f>$J$1169-EFEITO!$K$1169*EFEITO!$Y$1169</f>
        <v>0</v>
      </c>
      <c r="N1169" s="64">
        <f ca="1">$K$1169-EFEITO!$M$1169*EFEITO!$Z$1169</f>
        <v>0</v>
      </c>
      <c r="O1169" s="64">
        <f>$L$1169-EFEITO!$O$1169*EFEITO!$AA$1169</f>
        <v>0</v>
      </c>
      <c r="P1169" s="19"/>
      <c r="Q1169" s="19"/>
      <c r="R1169" s="19"/>
      <c r="S1169" s="19"/>
      <c r="T1169" s="19"/>
      <c r="U1169" s="19"/>
      <c r="V1169" s="19"/>
      <c r="W1169" s="19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</row>
    <row r="1170" spans="1:36" ht="11.25" customHeight="1" x14ac:dyDescent="0.2">
      <c r="A1170" s="55" t="s">
        <v>27</v>
      </c>
      <c r="B1170" s="55" t="s">
        <v>41</v>
      </c>
      <c r="C1170" s="55" t="s">
        <v>42</v>
      </c>
      <c r="D1170" s="55" t="s">
        <v>46</v>
      </c>
      <c r="E1170" s="55" t="s">
        <v>25</v>
      </c>
      <c r="F1170" s="55" t="s">
        <v>25</v>
      </c>
      <c r="G1170" s="55" t="s">
        <v>25</v>
      </c>
      <c r="H1170" s="55" t="s">
        <v>34</v>
      </c>
      <c r="I1170" s="63">
        <v>44713</v>
      </c>
      <c r="J1170" s="64">
        <f>EFEITO!$J$1170*EFEITO!$Y$1170</f>
        <v>0</v>
      </c>
      <c r="K1170" s="64">
        <f ca="1">EFEITO!$L$1170*EFEITO!$Z$1170</f>
        <v>-1030.9270317581145</v>
      </c>
      <c r="L1170" s="64">
        <f>EFEITO!$N$1170*EFEITO!$AA$1170</f>
        <v>-275.95938357676414</v>
      </c>
      <c r="M1170" s="64">
        <f>$J$1170-EFEITO!$K$1170*EFEITO!$Y$1170</f>
        <v>0</v>
      </c>
      <c r="N1170" s="64">
        <f ca="1">$K$1170-EFEITO!$M$1170*EFEITO!$Z$1170</f>
        <v>0</v>
      </c>
      <c r="O1170" s="64">
        <f>$L$1170-EFEITO!$O$1170*EFEITO!$AA$1170</f>
        <v>0</v>
      </c>
      <c r="P1170" s="19"/>
      <c r="Q1170" s="19"/>
      <c r="R1170" s="19"/>
      <c r="S1170" s="19"/>
      <c r="T1170" s="19"/>
      <c r="U1170" s="19"/>
      <c r="V1170" s="19"/>
      <c r="W1170" s="19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</row>
    <row r="1171" spans="1:36" ht="11.25" customHeight="1" x14ac:dyDescent="0.2">
      <c r="A1171" s="55" t="s">
        <v>28</v>
      </c>
      <c r="B1171" s="55" t="s">
        <v>41</v>
      </c>
      <c r="C1171" s="55" t="s">
        <v>42</v>
      </c>
      <c r="D1171" s="55" t="s">
        <v>46</v>
      </c>
      <c r="E1171" s="55" t="s">
        <v>25</v>
      </c>
      <c r="F1171" s="55" t="s">
        <v>25</v>
      </c>
      <c r="G1171" s="55" t="s">
        <v>25</v>
      </c>
      <c r="H1171" s="55" t="s">
        <v>34</v>
      </c>
      <c r="I1171" s="63">
        <v>44713</v>
      </c>
      <c r="J1171" s="64">
        <f>EFEITO!$J$1171*EFEITO!$Y$1171</f>
        <v>0</v>
      </c>
      <c r="K1171" s="64">
        <f ca="1">EFEITO!$L$1171*EFEITO!$Z$1171</f>
        <v>20392.436534202287</v>
      </c>
      <c r="L1171" s="64">
        <f>EFEITO!$N$1171*EFEITO!$AA$1171</f>
        <v>5458.6639425001695</v>
      </c>
      <c r="M1171" s="64">
        <f>$J$1171-EFEITO!$K$1171*EFEITO!$Y$1171</f>
        <v>0</v>
      </c>
      <c r="N1171" s="64">
        <f ca="1">$K$1171-EFEITO!$M$1171*EFEITO!$Z$1171</f>
        <v>0</v>
      </c>
      <c r="O1171" s="64">
        <f>$L$1171-EFEITO!$O$1171*EFEITO!$AA$1171</f>
        <v>0</v>
      </c>
      <c r="P1171" s="19"/>
      <c r="Q1171" s="19"/>
      <c r="R1171" s="19"/>
      <c r="S1171" s="19"/>
      <c r="T1171" s="19"/>
      <c r="U1171" s="19"/>
      <c r="V1171" s="19"/>
      <c r="W1171" s="19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</row>
    <row r="1172" spans="1:36" ht="11.25" customHeight="1" x14ac:dyDescent="0.2">
      <c r="A1172" s="55" t="s">
        <v>57</v>
      </c>
      <c r="B1172" s="55" t="s">
        <v>41</v>
      </c>
      <c r="C1172" s="55" t="s">
        <v>42</v>
      </c>
      <c r="D1172" s="55" t="s">
        <v>46</v>
      </c>
      <c r="E1172" s="55" t="s">
        <v>25</v>
      </c>
      <c r="F1172" s="55" t="s">
        <v>25</v>
      </c>
      <c r="G1172" s="55" t="s">
        <v>25</v>
      </c>
      <c r="H1172" s="55" t="s">
        <v>34</v>
      </c>
      <c r="I1172" s="63">
        <v>44743</v>
      </c>
      <c r="J1172" s="64">
        <f>EFEITO!$J$1172*EFEITO!$Y$1172</f>
        <v>0</v>
      </c>
      <c r="K1172" s="64">
        <f ca="1">EFEITO!$L$1172*EFEITO!$Z$1172</f>
        <v>854656.00547814649</v>
      </c>
      <c r="L1172" s="64">
        <f>EFEITO!$N$1172*EFEITO!$AA$1172</f>
        <v>228775.01236893184</v>
      </c>
      <c r="M1172" s="64">
        <f>$J$1172-EFEITO!$K$1172*EFEITO!$Y$1172</f>
        <v>0</v>
      </c>
      <c r="N1172" s="64">
        <f ca="1">$K$1172-EFEITO!$M$1172*EFEITO!$Z$1172</f>
        <v>0</v>
      </c>
      <c r="O1172" s="64">
        <f>$L$1172-EFEITO!$O$1172*EFEITO!$AA$1172</f>
        <v>0</v>
      </c>
      <c r="P1172" s="19"/>
      <c r="Q1172" s="19"/>
      <c r="R1172" s="19"/>
      <c r="S1172" s="19"/>
      <c r="T1172" s="19"/>
      <c r="U1172" s="19"/>
      <c r="V1172" s="19"/>
      <c r="W1172" s="19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</row>
    <row r="1173" spans="1:36" ht="11.25" customHeight="1" x14ac:dyDescent="0.2">
      <c r="A1173" s="55" t="s">
        <v>57</v>
      </c>
      <c r="B1173" s="55" t="s">
        <v>41</v>
      </c>
      <c r="C1173" s="55" t="s">
        <v>42</v>
      </c>
      <c r="D1173" s="55" t="s">
        <v>46</v>
      </c>
      <c r="E1173" s="55" t="s">
        <v>25</v>
      </c>
      <c r="F1173" s="55" t="s">
        <v>25</v>
      </c>
      <c r="G1173" s="55" t="s">
        <v>25</v>
      </c>
      <c r="H1173" s="55" t="s">
        <v>34</v>
      </c>
      <c r="I1173" s="63">
        <v>44743</v>
      </c>
      <c r="J1173" s="64">
        <f>EFEITO!$J$1173*EFEITO!$Y$1173</f>
        <v>0</v>
      </c>
      <c r="K1173" s="64">
        <f ca="1">EFEITO!$L$1173*EFEITO!$Z$1173</f>
        <v>-1030.9270317581145</v>
      </c>
      <c r="L1173" s="64">
        <f>EFEITO!$N$1173*EFEITO!$AA$1173</f>
        <v>-275.95938357676414</v>
      </c>
      <c r="M1173" s="64">
        <f>$J$1173-EFEITO!$K$1173*EFEITO!$Y$1173</f>
        <v>0</v>
      </c>
      <c r="N1173" s="64">
        <f ca="1">$K$1173-EFEITO!$M$1173*EFEITO!$Z$1173</f>
        <v>0</v>
      </c>
      <c r="O1173" s="64">
        <f>$L$1173-EFEITO!$O$1173*EFEITO!$AA$1173</f>
        <v>0</v>
      </c>
      <c r="P1173" s="19"/>
      <c r="Q1173" s="19"/>
      <c r="R1173" s="19"/>
      <c r="S1173" s="19"/>
      <c r="T1173" s="19"/>
      <c r="U1173" s="19"/>
      <c r="V1173" s="19"/>
      <c r="W1173" s="19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</row>
    <row r="1174" spans="1:36" ht="11.25" customHeight="1" x14ac:dyDescent="0.2">
      <c r="A1174" s="55" t="s">
        <v>57</v>
      </c>
      <c r="B1174" s="55" t="s">
        <v>41</v>
      </c>
      <c r="C1174" s="55" t="s">
        <v>42</v>
      </c>
      <c r="D1174" s="55" t="s">
        <v>46</v>
      </c>
      <c r="E1174" s="55" t="s">
        <v>25</v>
      </c>
      <c r="F1174" s="55" t="s">
        <v>25</v>
      </c>
      <c r="G1174" s="55" t="s">
        <v>25</v>
      </c>
      <c r="H1174" s="55" t="s">
        <v>34</v>
      </c>
      <c r="I1174" s="63">
        <v>44743</v>
      </c>
      <c r="J1174" s="64">
        <f>EFEITO!$J$1174*EFEITO!$Y$1174</f>
        <v>0</v>
      </c>
      <c r="K1174" s="64">
        <f ca="1">EFEITO!$L$1174*EFEITO!$Z$1174</f>
        <v>20392.436534202287</v>
      </c>
      <c r="L1174" s="64">
        <f>EFEITO!$N$1174*EFEITO!$AA$1174</f>
        <v>5458.6639425001695</v>
      </c>
      <c r="M1174" s="64">
        <f>$J$1174-EFEITO!$K$1174*EFEITO!$Y$1174</f>
        <v>0</v>
      </c>
      <c r="N1174" s="64">
        <f ca="1">$K$1174-EFEITO!$M$1174*EFEITO!$Z$1174</f>
        <v>0</v>
      </c>
      <c r="O1174" s="64">
        <f>$L$1174-EFEITO!$O$1174*EFEITO!$AA$1174</f>
        <v>0</v>
      </c>
      <c r="P1174" s="19"/>
      <c r="Q1174" s="19"/>
      <c r="R1174" s="19"/>
      <c r="S1174" s="19"/>
      <c r="T1174" s="19"/>
      <c r="U1174" s="19"/>
      <c r="V1174" s="19"/>
      <c r="W1174" s="19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</row>
    <row r="1175" spans="1:36" ht="11.25" customHeight="1" x14ac:dyDescent="0.2">
      <c r="A1175" s="55" t="s">
        <v>21</v>
      </c>
      <c r="B1175" s="55" t="s">
        <v>41</v>
      </c>
      <c r="C1175" s="55" t="s">
        <v>42</v>
      </c>
      <c r="D1175" s="55" t="s">
        <v>45</v>
      </c>
      <c r="E1175" s="55" t="s">
        <v>53</v>
      </c>
      <c r="F1175" s="55" t="s">
        <v>55</v>
      </c>
      <c r="G1175" s="55" t="s">
        <v>25</v>
      </c>
      <c r="H1175" s="55" t="s">
        <v>35</v>
      </c>
      <c r="I1175" s="63">
        <v>44409</v>
      </c>
      <c r="J1175" s="64">
        <f>EFEITO!$J$1175*EFEITO!$Y$1120</f>
        <v>0</v>
      </c>
      <c r="K1175" s="64">
        <f ca="1">EFEITO!$L$1175*EFEITO!$Z$1120</f>
        <v>83898.057153852729</v>
      </c>
      <c r="L1175" s="64">
        <f>EFEITO!$N$1175*EFEITO!$AA$1120</f>
        <v>249683.84662833042</v>
      </c>
      <c r="M1175" s="64">
        <f>$J$1175-EFEITO!$K$1175*EFEITO!$Y$1175</f>
        <v>0</v>
      </c>
      <c r="N1175" s="64">
        <f ca="1">$K$1175-EFEITO!$M$1175*EFEITO!$Z$1175</f>
        <v>75508.251438467458</v>
      </c>
      <c r="O1175" s="64">
        <f>$L$1175-EFEITO!$O$1175*EFEITO!$AA$1175</f>
        <v>224715.46196549738</v>
      </c>
      <c r="P1175" s="19"/>
      <c r="Q1175" s="19"/>
      <c r="R1175" s="19"/>
      <c r="S1175" s="19"/>
      <c r="T1175" s="19"/>
      <c r="U1175" s="19"/>
      <c r="V1175" s="19"/>
      <c r="W1175" s="19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</row>
    <row r="1176" spans="1:36" ht="11.25" customHeight="1" x14ac:dyDescent="0.2">
      <c r="A1176" s="55" t="s">
        <v>27</v>
      </c>
      <c r="B1176" s="55" t="s">
        <v>41</v>
      </c>
      <c r="C1176" s="55" t="s">
        <v>42</v>
      </c>
      <c r="D1176" s="55" t="s">
        <v>45</v>
      </c>
      <c r="E1176" s="55" t="s">
        <v>53</v>
      </c>
      <c r="F1176" s="55" t="s">
        <v>55</v>
      </c>
      <c r="G1176" s="55" t="s">
        <v>25</v>
      </c>
      <c r="H1176" s="55" t="s">
        <v>35</v>
      </c>
      <c r="I1176" s="63">
        <v>44409</v>
      </c>
      <c r="J1176" s="64">
        <f>EFEITO!$J$1176*EFEITO!$Y$1120</f>
        <v>0</v>
      </c>
      <c r="K1176" s="64">
        <f ca="1">EFEITO!$L$1176*EFEITO!$Z$1120</f>
        <v>-1451.6124045533245</v>
      </c>
      <c r="L1176" s="64">
        <f>EFEITO!$N$1176*EFEITO!$AA$1120</f>
        <v>-4320.054376439517</v>
      </c>
      <c r="M1176" s="64">
        <f>$J$1176-EFEITO!$K$1176*EFEITO!$Y$1176</f>
        <v>0</v>
      </c>
      <c r="N1176" s="64">
        <f ca="1">$K$1176-EFEITO!$M$1176*EFEITO!$Z$1176</f>
        <v>-1306.451164097992</v>
      </c>
      <c r="O1176" s="64">
        <f>$L$1176-EFEITO!$O$1176*EFEITO!$AA$1176</f>
        <v>-3888.0489387955654</v>
      </c>
      <c r="P1176" s="19"/>
      <c r="Q1176" s="19"/>
      <c r="R1176" s="19"/>
      <c r="S1176" s="19"/>
      <c r="T1176" s="19"/>
      <c r="U1176" s="19"/>
      <c r="V1176" s="19"/>
      <c r="W1176" s="19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</row>
    <row r="1177" spans="1:36" ht="11.25" customHeight="1" x14ac:dyDescent="0.2">
      <c r="A1177" s="55" t="s">
        <v>28</v>
      </c>
      <c r="B1177" s="55" t="s">
        <v>41</v>
      </c>
      <c r="C1177" s="55" t="s">
        <v>42</v>
      </c>
      <c r="D1177" s="55" t="s">
        <v>45</v>
      </c>
      <c r="E1177" s="55" t="s">
        <v>53</v>
      </c>
      <c r="F1177" s="55" t="s">
        <v>55</v>
      </c>
      <c r="G1177" s="55" t="s">
        <v>25</v>
      </c>
      <c r="H1177" s="55" t="s">
        <v>35</v>
      </c>
      <c r="I1177" s="63">
        <v>44409</v>
      </c>
      <c r="J1177" s="64">
        <f>EFEITO!$J$1177*EFEITO!$Y$1120</f>
        <v>0</v>
      </c>
      <c r="K1177" s="64">
        <f ca="1">EFEITO!$L$1177*EFEITO!$Z$1120</f>
        <v>2301.709025159767</v>
      </c>
      <c r="L1177" s="64">
        <f>EFEITO!$N$1177*EFEITO!$AA$1120</f>
        <v>6849.9746325132173</v>
      </c>
      <c r="M1177" s="64">
        <f>$J$1177-EFEITO!$K$1177*EFEITO!$Y$1177</f>
        <v>0</v>
      </c>
      <c r="N1177" s="64">
        <f ca="1">$K$1177-EFEITO!$M$1177*EFEITO!$Z$1177</f>
        <v>2071.5381226437903</v>
      </c>
      <c r="O1177" s="64">
        <f>$L$1177-EFEITO!$O$1177*EFEITO!$AA$1177</f>
        <v>6164.9771692618961</v>
      </c>
      <c r="P1177" s="19"/>
      <c r="Q1177" s="19"/>
      <c r="R1177" s="19"/>
      <c r="S1177" s="19"/>
      <c r="T1177" s="19"/>
      <c r="U1177" s="19"/>
      <c r="V1177" s="19"/>
      <c r="W1177" s="19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</row>
    <row r="1178" spans="1:36" ht="11.25" customHeight="1" x14ac:dyDescent="0.2">
      <c r="A1178" s="55" t="s">
        <v>28</v>
      </c>
      <c r="B1178" s="55" t="s">
        <v>41</v>
      </c>
      <c r="C1178" s="55" t="s">
        <v>42</v>
      </c>
      <c r="D1178" s="55" t="s">
        <v>45</v>
      </c>
      <c r="E1178" s="55" t="s">
        <v>53</v>
      </c>
      <c r="F1178" s="55" t="s">
        <v>55</v>
      </c>
      <c r="G1178" s="55" t="s">
        <v>25</v>
      </c>
      <c r="H1178" s="55" t="s">
        <v>35</v>
      </c>
      <c r="I1178" s="63">
        <v>44409</v>
      </c>
      <c r="J1178" s="64">
        <f>EFEITO!$J$1178*EFEITO!$Y$1120</f>
        <v>0</v>
      </c>
      <c r="K1178" s="64">
        <f ca="1">EFEITO!$L$1178*EFEITO!$Z$1120</f>
        <v>-2076.9583063002769</v>
      </c>
      <c r="L1178" s="64">
        <f>EFEITO!$N$1178*EFEITO!$AA$1120</f>
        <v>-6181.107844401391</v>
      </c>
      <c r="M1178" s="64">
        <f>$J$1178-EFEITO!$K$1178*EFEITO!$Y$1178</f>
        <v>0</v>
      </c>
      <c r="N1178" s="64">
        <f ca="1">$K$1178-EFEITO!$M$1178*EFEITO!$Z$1178</f>
        <v>-1869.2624756702494</v>
      </c>
      <c r="O1178" s="64">
        <f>$L$1178-EFEITO!$O$1178*EFEITO!$AA$1178</f>
        <v>-5562.9970599612516</v>
      </c>
      <c r="P1178" s="19"/>
      <c r="Q1178" s="19"/>
      <c r="R1178" s="19"/>
      <c r="S1178" s="19"/>
      <c r="T1178" s="19"/>
      <c r="U1178" s="19"/>
      <c r="V1178" s="19"/>
      <c r="W1178" s="19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</row>
    <row r="1179" spans="1:36" ht="11.25" customHeight="1" x14ac:dyDescent="0.2">
      <c r="A1179" s="55" t="s">
        <v>21</v>
      </c>
      <c r="B1179" s="55" t="s">
        <v>41</v>
      </c>
      <c r="C1179" s="55" t="s">
        <v>42</v>
      </c>
      <c r="D1179" s="55" t="s">
        <v>45</v>
      </c>
      <c r="E1179" s="55" t="s">
        <v>53</v>
      </c>
      <c r="F1179" s="55" t="s">
        <v>55</v>
      </c>
      <c r="G1179" s="55" t="s">
        <v>25</v>
      </c>
      <c r="H1179" s="55" t="s">
        <v>35</v>
      </c>
      <c r="I1179" s="63">
        <v>44440</v>
      </c>
      <c r="J1179" s="64">
        <f>EFEITO!$J$1179*EFEITO!$Y$1120</f>
        <v>0</v>
      </c>
      <c r="K1179" s="64">
        <f ca="1">EFEITO!$L$1179*EFEITO!$Z$1120</f>
        <v>113332.92520905766</v>
      </c>
      <c r="L1179" s="64">
        <f>EFEITO!$N$1179*EFEITO!$AA$1120</f>
        <v>337283.14666389074</v>
      </c>
      <c r="M1179" s="64">
        <f>$J$1179-EFEITO!$K$1179*EFEITO!$Y$1179</f>
        <v>0</v>
      </c>
      <c r="N1179" s="64">
        <f ca="1">$K$1179-EFEITO!$M$1179*EFEITO!$Z$1179</f>
        <v>101999.63268815191</v>
      </c>
      <c r="O1179" s="64">
        <f>$L$1179-EFEITO!$O$1179*EFEITO!$AA$1179</f>
        <v>303554.83199750166</v>
      </c>
      <c r="P1179" s="19"/>
      <c r="Q1179" s="19"/>
      <c r="R1179" s="19"/>
      <c r="S1179" s="19"/>
      <c r="T1179" s="19"/>
      <c r="U1179" s="19"/>
      <c r="V1179" s="19"/>
      <c r="W1179" s="19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</row>
    <row r="1180" spans="1:36" ht="11.25" customHeight="1" x14ac:dyDescent="0.2">
      <c r="A1180" s="55" t="s">
        <v>28</v>
      </c>
      <c r="B1180" s="55" t="s">
        <v>41</v>
      </c>
      <c r="C1180" s="55" t="s">
        <v>42</v>
      </c>
      <c r="D1180" s="55" t="s">
        <v>45</v>
      </c>
      <c r="E1180" s="55" t="s">
        <v>53</v>
      </c>
      <c r="F1180" s="55" t="s">
        <v>55</v>
      </c>
      <c r="G1180" s="55" t="s">
        <v>25</v>
      </c>
      <c r="H1180" s="55" t="s">
        <v>35</v>
      </c>
      <c r="I1180" s="63">
        <v>44440</v>
      </c>
      <c r="J1180" s="64">
        <f>EFEITO!$J$1180*EFEITO!$Y$1120</f>
        <v>0</v>
      </c>
      <c r="K1180" s="64">
        <f ca="1">EFEITO!$L$1180*EFEITO!$Z$1120</f>
        <v>19.936307702019906</v>
      </c>
      <c r="L1180" s="64">
        <f>EFEITO!$N$1180*EFEITO!$AA$1120</f>
        <v>59.33121890389036</v>
      </c>
      <c r="M1180" s="64">
        <f>$J$1180-EFEITO!$K$1180*EFEITO!$Y$1180</f>
        <v>0</v>
      </c>
      <c r="N1180" s="64">
        <f ca="1">$K$1180-EFEITO!$M$1180*EFEITO!$Z$1180</f>
        <v>17.942676931817914</v>
      </c>
      <c r="O1180" s="64">
        <f>$L$1180-EFEITO!$O$1180*EFEITO!$AA$1180</f>
        <v>53.398097013501321</v>
      </c>
      <c r="P1180" s="19"/>
      <c r="Q1180" s="19"/>
      <c r="R1180" s="19"/>
      <c r="S1180" s="19"/>
      <c r="T1180" s="19"/>
      <c r="U1180" s="19"/>
      <c r="V1180" s="19"/>
      <c r="W1180" s="19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</row>
    <row r="1181" spans="1:36" ht="11.25" customHeight="1" x14ac:dyDescent="0.2">
      <c r="A1181" s="55" t="s">
        <v>21</v>
      </c>
      <c r="B1181" s="55" t="s">
        <v>41</v>
      </c>
      <c r="C1181" s="55" t="s">
        <v>42</v>
      </c>
      <c r="D1181" s="55" t="s">
        <v>45</v>
      </c>
      <c r="E1181" s="55" t="s">
        <v>53</v>
      </c>
      <c r="F1181" s="55" t="s">
        <v>55</v>
      </c>
      <c r="G1181" s="55" t="s">
        <v>25</v>
      </c>
      <c r="H1181" s="55" t="s">
        <v>35</v>
      </c>
      <c r="I1181" s="63">
        <v>44470</v>
      </c>
      <c r="J1181" s="64">
        <f>EFEITO!$J$1181*EFEITO!$Y$1120</f>
        <v>0</v>
      </c>
      <c r="K1181" s="64">
        <f ca="1">EFEITO!$L$1181*EFEITO!$Z$1120</f>
        <v>126352.50228150608</v>
      </c>
      <c r="L1181" s="64">
        <f>EFEITO!$N$1181*EFEITO!$AA$1120</f>
        <v>376029.90904673882</v>
      </c>
      <c r="M1181" s="64">
        <f>$J$1181-EFEITO!$K$1181*EFEITO!$Y$1181</f>
        <v>0</v>
      </c>
      <c r="N1181" s="64">
        <f ca="1">$K$1181-EFEITO!$M$1181*EFEITO!$Z$1181</f>
        <v>113717.25205335548</v>
      </c>
      <c r="O1181" s="64">
        <f>$L$1181-EFEITO!$O$1181*EFEITO!$AA$1181</f>
        <v>338426.91814206494</v>
      </c>
      <c r="P1181" s="19"/>
      <c r="Q1181" s="19"/>
      <c r="R1181" s="19"/>
      <c r="S1181" s="19"/>
      <c r="T1181" s="19"/>
      <c r="U1181" s="19"/>
      <c r="V1181" s="19"/>
      <c r="W1181" s="19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</row>
    <row r="1182" spans="1:36" ht="11.25" customHeight="1" x14ac:dyDescent="0.2">
      <c r="A1182" s="55" t="s">
        <v>27</v>
      </c>
      <c r="B1182" s="55" t="s">
        <v>41</v>
      </c>
      <c r="C1182" s="55" t="s">
        <v>42</v>
      </c>
      <c r="D1182" s="55" t="s">
        <v>45</v>
      </c>
      <c r="E1182" s="55" t="s">
        <v>53</v>
      </c>
      <c r="F1182" s="55" t="s">
        <v>55</v>
      </c>
      <c r="G1182" s="55" t="s">
        <v>25</v>
      </c>
      <c r="H1182" s="55" t="s">
        <v>35</v>
      </c>
      <c r="I1182" s="63">
        <v>44470</v>
      </c>
      <c r="J1182" s="64">
        <f>EFEITO!$J$1182*EFEITO!$Y$1120</f>
        <v>0</v>
      </c>
      <c r="K1182" s="64">
        <f ca="1">EFEITO!$L$1182*EFEITO!$Z$1120</f>
        <v>-4543.6870034154354</v>
      </c>
      <c r="L1182" s="64">
        <f>EFEITO!$N$1182*EFEITO!$AA$1120</f>
        <v>-13522.187370888605</v>
      </c>
      <c r="M1182" s="64">
        <f>$J$1182-EFEITO!$K$1182*EFEITO!$Y$1182</f>
        <v>0</v>
      </c>
      <c r="N1182" s="64">
        <f ca="1">$K$1182-EFEITO!$M$1182*EFEITO!$Z$1182</f>
        <v>-4089.3183030738919</v>
      </c>
      <c r="O1182" s="64">
        <f>$L$1182-EFEITO!$O$1182*EFEITO!$AA$1182</f>
        <v>-12169.968633799745</v>
      </c>
      <c r="P1182" s="19"/>
      <c r="Q1182" s="19"/>
      <c r="R1182" s="19"/>
      <c r="S1182" s="19"/>
      <c r="T1182" s="19"/>
      <c r="U1182" s="19"/>
      <c r="V1182" s="19"/>
      <c r="W1182" s="19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</row>
    <row r="1183" spans="1:36" ht="11.25" customHeight="1" x14ac:dyDescent="0.2">
      <c r="A1183" s="55" t="s">
        <v>28</v>
      </c>
      <c r="B1183" s="55" t="s">
        <v>41</v>
      </c>
      <c r="C1183" s="55" t="s">
        <v>42</v>
      </c>
      <c r="D1183" s="55" t="s">
        <v>45</v>
      </c>
      <c r="E1183" s="55" t="s">
        <v>53</v>
      </c>
      <c r="F1183" s="55" t="s">
        <v>55</v>
      </c>
      <c r="G1183" s="55" t="s">
        <v>25</v>
      </c>
      <c r="H1183" s="55" t="s">
        <v>35</v>
      </c>
      <c r="I1183" s="63">
        <v>44470</v>
      </c>
      <c r="J1183" s="64">
        <f>EFEITO!$J$1183*EFEITO!$Y$1120</f>
        <v>0</v>
      </c>
      <c r="K1183" s="64">
        <f ca="1">EFEITO!$L$1183*EFEITO!$Z$1120</f>
        <v>594.66267817431253</v>
      </c>
      <c r="L1183" s="64">
        <f>EFEITO!$N$1183*EFEITO!$AA$1120</f>
        <v>1769.7390138676046</v>
      </c>
      <c r="M1183" s="64">
        <f>$J$1183-EFEITO!$K$1183*EFEITO!$Y$1183</f>
        <v>0</v>
      </c>
      <c r="N1183" s="64">
        <f ca="1">$K$1183-EFEITO!$M$1183*EFEITO!$Z$1183</f>
        <v>535.1964103568813</v>
      </c>
      <c r="O1183" s="64">
        <f>$L$1183-EFEITO!$O$1183*EFEITO!$AA$1183</f>
        <v>1592.7651124808442</v>
      </c>
      <c r="P1183" s="19"/>
      <c r="Q1183" s="19"/>
      <c r="R1183" s="19"/>
      <c r="S1183" s="19"/>
      <c r="T1183" s="19"/>
      <c r="U1183" s="19"/>
      <c r="V1183" s="19"/>
      <c r="W1183" s="19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</row>
    <row r="1184" spans="1:36" ht="11.25" customHeight="1" x14ac:dyDescent="0.2">
      <c r="A1184" s="55" t="s">
        <v>21</v>
      </c>
      <c r="B1184" s="55" t="s">
        <v>41</v>
      </c>
      <c r="C1184" s="55" t="s">
        <v>42</v>
      </c>
      <c r="D1184" s="55" t="s">
        <v>45</v>
      </c>
      <c r="E1184" s="55" t="s">
        <v>53</v>
      </c>
      <c r="F1184" s="55" t="s">
        <v>55</v>
      </c>
      <c r="G1184" s="55" t="s">
        <v>25</v>
      </c>
      <c r="H1184" s="55" t="s">
        <v>35</v>
      </c>
      <c r="I1184" s="63">
        <v>44501</v>
      </c>
      <c r="J1184" s="64">
        <f>EFEITO!$J$1184*EFEITO!$Y$1120</f>
        <v>0</v>
      </c>
      <c r="K1184" s="64">
        <f ca="1">EFEITO!$L$1184*EFEITO!$Z$1120</f>
        <v>151034.35210242437</v>
      </c>
      <c r="L1184" s="64">
        <f>EFEITO!$N$1184*EFEITO!$AA$1120</f>
        <v>449484.04391291965</v>
      </c>
      <c r="M1184" s="64">
        <f>$J$1184-EFEITO!$K$1184*EFEITO!$Y$1184</f>
        <v>0</v>
      </c>
      <c r="N1184" s="64">
        <f ca="1">$K$1184-EFEITO!$M$1184*EFEITO!$Z$1184</f>
        <v>135930.91689218194</v>
      </c>
      <c r="O1184" s="64">
        <f>$L$1184-EFEITO!$O$1184*EFEITO!$AA$1184</f>
        <v>404535.63952162769</v>
      </c>
      <c r="P1184" s="19"/>
      <c r="Q1184" s="19"/>
      <c r="R1184" s="19"/>
      <c r="S1184" s="19"/>
      <c r="T1184" s="19"/>
      <c r="U1184" s="19"/>
      <c r="V1184" s="19"/>
      <c r="W1184" s="19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</row>
    <row r="1185" spans="1:36" ht="11.25" customHeight="1" x14ac:dyDescent="0.2">
      <c r="A1185" s="55" t="s">
        <v>27</v>
      </c>
      <c r="B1185" s="55" t="s">
        <v>41</v>
      </c>
      <c r="C1185" s="55" t="s">
        <v>42</v>
      </c>
      <c r="D1185" s="55" t="s">
        <v>45</v>
      </c>
      <c r="E1185" s="55" t="s">
        <v>53</v>
      </c>
      <c r="F1185" s="55" t="s">
        <v>55</v>
      </c>
      <c r="G1185" s="55" t="s">
        <v>25</v>
      </c>
      <c r="H1185" s="55" t="s">
        <v>35</v>
      </c>
      <c r="I1185" s="63">
        <v>44501</v>
      </c>
      <c r="J1185" s="64">
        <f>EFEITO!$J$1185*EFEITO!$Y$1120</f>
        <v>0</v>
      </c>
      <c r="K1185" s="64">
        <f ca="1">EFEITO!$L$1185*EFEITO!$Z$1120</f>
        <v>-2700.3573029982035</v>
      </c>
      <c r="L1185" s="64">
        <f>EFEITO!$N$1185*EFEITO!$AA$1120</f>
        <v>-8036.3672480171799</v>
      </c>
      <c r="M1185" s="64">
        <f>$J$1185-EFEITO!$K$1185*EFEITO!$Y$1185</f>
        <v>0</v>
      </c>
      <c r="N1185" s="64">
        <f ca="1">$K$1185-EFEITO!$M$1185*EFEITO!$Z$1185</f>
        <v>-2430.3215726983831</v>
      </c>
      <c r="O1185" s="64">
        <f>$L$1185-EFEITO!$O$1185*EFEITO!$AA$1185</f>
        <v>-7232.7305232154622</v>
      </c>
      <c r="P1185" s="19"/>
      <c r="Q1185" s="19"/>
      <c r="R1185" s="19"/>
      <c r="S1185" s="19"/>
      <c r="T1185" s="19"/>
      <c r="U1185" s="19"/>
      <c r="V1185" s="19"/>
      <c r="W1185" s="19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</row>
    <row r="1186" spans="1:36" ht="11.25" customHeight="1" x14ac:dyDescent="0.2">
      <c r="A1186" s="55" t="s">
        <v>28</v>
      </c>
      <c r="B1186" s="55" t="s">
        <v>41</v>
      </c>
      <c r="C1186" s="55" t="s">
        <v>42</v>
      </c>
      <c r="D1186" s="55" t="s">
        <v>45</v>
      </c>
      <c r="E1186" s="55" t="s">
        <v>53</v>
      </c>
      <c r="F1186" s="55" t="s">
        <v>55</v>
      </c>
      <c r="G1186" s="55" t="s">
        <v>25</v>
      </c>
      <c r="H1186" s="55" t="s">
        <v>35</v>
      </c>
      <c r="I1186" s="63">
        <v>44501</v>
      </c>
      <c r="J1186" s="64">
        <f>EFEITO!$J$1186*EFEITO!$Y$1120</f>
        <v>0</v>
      </c>
      <c r="K1186" s="64">
        <f ca="1">EFEITO!$L$1186*EFEITO!$Z$1120</f>
        <v>1288.3838852430365</v>
      </c>
      <c r="L1186" s="64">
        <f>EFEITO!$N$1186*EFEITO!$AA$1120</f>
        <v>3834.2800216639148</v>
      </c>
      <c r="M1186" s="64">
        <f>$J$1186-EFEITO!$K$1186*EFEITO!$Y$1186</f>
        <v>0</v>
      </c>
      <c r="N1186" s="64">
        <f ca="1">$K$1186-EFEITO!$M$1186*EFEITO!$Z$1186</f>
        <v>1159.5454967187329</v>
      </c>
      <c r="O1186" s="64">
        <f>$L$1186-EFEITO!$O$1186*EFEITO!$AA$1186</f>
        <v>3450.8520194975235</v>
      </c>
      <c r="P1186" s="19"/>
      <c r="Q1186" s="19"/>
      <c r="R1186" s="19"/>
      <c r="S1186" s="19"/>
      <c r="T1186" s="19"/>
      <c r="U1186" s="19"/>
      <c r="V1186" s="19"/>
      <c r="W1186" s="19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</row>
    <row r="1187" spans="1:36" ht="11.25" customHeight="1" x14ac:dyDescent="0.2">
      <c r="A1187" s="55" t="s">
        <v>28</v>
      </c>
      <c r="B1187" s="55" t="s">
        <v>41</v>
      </c>
      <c r="C1187" s="55" t="s">
        <v>42</v>
      </c>
      <c r="D1187" s="55" t="s">
        <v>45</v>
      </c>
      <c r="E1187" s="55" t="s">
        <v>53</v>
      </c>
      <c r="F1187" s="55" t="s">
        <v>55</v>
      </c>
      <c r="G1187" s="55" t="s">
        <v>25</v>
      </c>
      <c r="H1187" s="55" t="s">
        <v>35</v>
      </c>
      <c r="I1187" s="63">
        <v>44501</v>
      </c>
      <c r="J1187" s="64">
        <f>EFEITO!$J$1187*EFEITO!$Y$1120</f>
        <v>0</v>
      </c>
      <c r="K1187" s="64">
        <f ca="1">EFEITO!$L$1187*EFEITO!$Z$1120</f>
        <v>3244.0110688880513</v>
      </c>
      <c r="L1187" s="64">
        <f>EFEITO!$N$1187*EFEITO!$AA$1120</f>
        <v>9654.3017760174098</v>
      </c>
      <c r="M1187" s="64">
        <f>$J$1187-EFEITO!$K$1187*EFEITO!$Y$1187</f>
        <v>0</v>
      </c>
      <c r="N1187" s="64">
        <f ca="1">$K$1187-EFEITO!$M$1187*EFEITO!$Z$1187</f>
        <v>2919.609961999246</v>
      </c>
      <c r="O1187" s="64">
        <f>$L$1187-EFEITO!$O$1187*EFEITO!$AA$1187</f>
        <v>8688.8715984156679</v>
      </c>
      <c r="P1187" s="19"/>
      <c r="Q1187" s="19"/>
      <c r="R1187" s="19"/>
      <c r="S1187" s="19"/>
      <c r="T1187" s="19"/>
      <c r="U1187" s="19"/>
      <c r="V1187" s="19"/>
      <c r="W1187" s="19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</row>
    <row r="1188" spans="1:36" ht="11.25" customHeight="1" x14ac:dyDescent="0.2">
      <c r="A1188" s="55" t="s">
        <v>21</v>
      </c>
      <c r="B1188" s="55" t="s">
        <v>41</v>
      </c>
      <c r="C1188" s="55" t="s">
        <v>42</v>
      </c>
      <c r="D1188" s="55" t="s">
        <v>45</v>
      </c>
      <c r="E1188" s="55" t="s">
        <v>53</v>
      </c>
      <c r="F1188" s="55" t="s">
        <v>55</v>
      </c>
      <c r="G1188" s="55" t="s">
        <v>25</v>
      </c>
      <c r="H1188" s="55" t="s">
        <v>35</v>
      </c>
      <c r="I1188" s="63">
        <v>44531</v>
      </c>
      <c r="J1188" s="64">
        <f>EFEITO!$J$1188*EFEITO!$Y$1120</f>
        <v>0</v>
      </c>
      <c r="K1188" s="64">
        <f ca="1">EFEITO!$L$1188*EFEITO!$Z$1120</f>
        <v>166982.5416258187</v>
      </c>
      <c r="L1188" s="64">
        <f>EFEITO!$N$1188*EFEITO!$AA$1120</f>
        <v>496946.46964771964</v>
      </c>
      <c r="M1188" s="64">
        <f>$J$1188-EFEITO!$K$1188*EFEITO!$Y$1188</f>
        <v>0</v>
      </c>
      <c r="N1188" s="64">
        <f ca="1">$K$1188-EFEITO!$M$1188*EFEITO!$Z$1188</f>
        <v>150284.28746323683</v>
      </c>
      <c r="O1188" s="64">
        <f>$L$1188-EFEITO!$O$1188*EFEITO!$AA$1188</f>
        <v>447251.82268294768</v>
      </c>
      <c r="P1188" s="19"/>
      <c r="Q1188" s="19"/>
      <c r="R1188" s="19"/>
      <c r="S1188" s="19"/>
      <c r="T1188" s="19"/>
      <c r="U1188" s="19"/>
      <c r="V1188" s="19"/>
      <c r="W1188" s="19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</row>
    <row r="1189" spans="1:36" ht="11.25" customHeight="1" x14ac:dyDescent="0.2">
      <c r="A1189" s="55" t="s">
        <v>27</v>
      </c>
      <c r="B1189" s="55" t="s">
        <v>41</v>
      </c>
      <c r="C1189" s="55" t="s">
        <v>42</v>
      </c>
      <c r="D1189" s="55" t="s">
        <v>45</v>
      </c>
      <c r="E1189" s="55" t="s">
        <v>53</v>
      </c>
      <c r="F1189" s="55" t="s">
        <v>55</v>
      </c>
      <c r="G1189" s="55" t="s">
        <v>25</v>
      </c>
      <c r="H1189" s="55" t="s">
        <v>35</v>
      </c>
      <c r="I1189" s="63">
        <v>44531</v>
      </c>
      <c r="J1189" s="64">
        <f>EFEITO!$J$1189*EFEITO!$Y$1120</f>
        <v>0</v>
      </c>
      <c r="K1189" s="64">
        <f ca="1">EFEITO!$L$1189*EFEITO!$Z$1120</f>
        <v>1784.2995393307815</v>
      </c>
      <c r="L1189" s="64">
        <f>EFEITO!$N$1189*EFEITO!$AA$1120</f>
        <v>5310.1440918981871</v>
      </c>
      <c r="M1189" s="64">
        <f>$J$1189-EFEITO!$K$1189*EFEITO!$Y$1189</f>
        <v>0</v>
      </c>
      <c r="N1189" s="64">
        <f ca="1">$K$1189-EFEITO!$M$1189*EFEITO!$Z$1189</f>
        <v>1605.8695853977033</v>
      </c>
      <c r="O1189" s="64">
        <f>$L$1189-EFEITO!$O$1189*EFEITO!$AA$1189</f>
        <v>4779.1296827083679</v>
      </c>
      <c r="P1189" s="19"/>
      <c r="Q1189" s="19"/>
      <c r="R1189" s="19"/>
      <c r="S1189" s="19"/>
      <c r="T1189" s="19"/>
      <c r="U1189" s="19"/>
      <c r="V1189" s="19"/>
      <c r="W1189" s="19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</row>
    <row r="1190" spans="1:36" ht="11.25" customHeight="1" x14ac:dyDescent="0.2">
      <c r="A1190" s="55" t="s">
        <v>28</v>
      </c>
      <c r="B1190" s="55" t="s">
        <v>41</v>
      </c>
      <c r="C1190" s="55" t="s">
        <v>42</v>
      </c>
      <c r="D1190" s="55" t="s">
        <v>45</v>
      </c>
      <c r="E1190" s="55" t="s">
        <v>53</v>
      </c>
      <c r="F1190" s="55" t="s">
        <v>55</v>
      </c>
      <c r="G1190" s="55" t="s">
        <v>25</v>
      </c>
      <c r="H1190" s="55" t="s">
        <v>35</v>
      </c>
      <c r="I1190" s="63">
        <v>44531</v>
      </c>
      <c r="J1190" s="64">
        <f>EFEITO!$J$1190*EFEITO!$Y$1120</f>
        <v>0</v>
      </c>
      <c r="K1190" s="64">
        <f ca="1">EFEITO!$L$1190*EFEITO!$Z$1120</f>
        <v>1567.7258216771982</v>
      </c>
      <c r="L1190" s="64">
        <f>EFEITO!$N$1190*EFEITO!$AA$1120</f>
        <v>4665.6123740399098</v>
      </c>
      <c r="M1190" s="64">
        <f>$J$1190-EFEITO!$K$1190*EFEITO!$Y$1190</f>
        <v>0</v>
      </c>
      <c r="N1190" s="64">
        <f ca="1">$K$1190-EFEITO!$M$1190*EFEITO!$Z$1190</f>
        <v>1410.9532395094784</v>
      </c>
      <c r="O1190" s="64">
        <f>$L$1190-EFEITO!$O$1190*EFEITO!$AA$1190</f>
        <v>4199.0511366359187</v>
      </c>
      <c r="P1190" s="19"/>
      <c r="Q1190" s="19"/>
      <c r="R1190" s="19"/>
      <c r="S1190" s="19"/>
      <c r="T1190" s="19"/>
      <c r="U1190" s="19"/>
      <c r="V1190" s="19"/>
      <c r="W1190" s="19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</row>
    <row r="1191" spans="1:36" ht="11.25" customHeight="1" x14ac:dyDescent="0.2">
      <c r="A1191" s="55" t="s">
        <v>21</v>
      </c>
      <c r="B1191" s="55" t="s">
        <v>41</v>
      </c>
      <c r="C1191" s="55" t="s">
        <v>42</v>
      </c>
      <c r="D1191" s="55" t="s">
        <v>45</v>
      </c>
      <c r="E1191" s="55" t="s">
        <v>53</v>
      </c>
      <c r="F1191" s="55" t="s">
        <v>55</v>
      </c>
      <c r="G1191" s="55" t="s">
        <v>25</v>
      </c>
      <c r="H1191" s="55" t="s">
        <v>35</v>
      </c>
      <c r="I1191" s="63">
        <v>44562</v>
      </c>
      <c r="J1191" s="64">
        <f>EFEITO!$J$1191*EFEITO!$Y$1120</f>
        <v>0</v>
      </c>
      <c r="K1191" s="64">
        <f ca="1">EFEITO!$L$1191*EFEITO!$Z$1120</f>
        <v>126557.70607367335</v>
      </c>
      <c r="L1191" s="64">
        <f>EFEITO!$N$1191*EFEITO!$AA$1120</f>
        <v>376640.60342881596</v>
      </c>
      <c r="M1191" s="64">
        <f>$J$1191-EFEITO!$K$1191*EFEITO!$Y$1191</f>
        <v>0</v>
      </c>
      <c r="N1191" s="64">
        <f ca="1">$K$1191-EFEITO!$M$1191*EFEITO!$Z$1191</f>
        <v>113901.93546630602</v>
      </c>
      <c r="O1191" s="64">
        <f>$L$1191-EFEITO!$O$1191*EFEITO!$AA$1191</f>
        <v>338976.54308593436</v>
      </c>
      <c r="P1191" s="19"/>
      <c r="Q1191" s="19"/>
      <c r="R1191" s="19"/>
      <c r="S1191" s="19"/>
      <c r="T1191" s="19"/>
      <c r="U1191" s="19"/>
      <c r="V1191" s="19"/>
      <c r="W1191" s="19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</row>
    <row r="1192" spans="1:36" ht="11.25" customHeight="1" x14ac:dyDescent="0.2">
      <c r="A1192" s="55" t="s">
        <v>27</v>
      </c>
      <c r="B1192" s="55" t="s">
        <v>41</v>
      </c>
      <c r="C1192" s="55" t="s">
        <v>42</v>
      </c>
      <c r="D1192" s="55" t="s">
        <v>45</v>
      </c>
      <c r="E1192" s="55" t="s">
        <v>53</v>
      </c>
      <c r="F1192" s="55" t="s">
        <v>55</v>
      </c>
      <c r="G1192" s="55" t="s">
        <v>25</v>
      </c>
      <c r="H1192" s="55" t="s">
        <v>35</v>
      </c>
      <c r="I1192" s="63">
        <v>44562</v>
      </c>
      <c r="J1192" s="64">
        <f>EFEITO!$J$1192*EFEITO!$Y$1120</f>
        <v>0</v>
      </c>
      <c r="K1192" s="64">
        <f ca="1">EFEITO!$L$1192*EFEITO!$Z$1120</f>
        <v>-4333.8106391304991</v>
      </c>
      <c r="L1192" s="64">
        <f>EFEITO!$N$1192*EFEITO!$AA$1120</f>
        <v>-12897.587234380853</v>
      </c>
      <c r="M1192" s="64">
        <f>$J$1192-EFEITO!$K$1192*EFEITO!$Y$1192</f>
        <v>0</v>
      </c>
      <c r="N1192" s="64">
        <f ca="1">$K$1192-EFEITO!$M$1192*EFEITO!$Z$1192</f>
        <v>-3900.4295752174494</v>
      </c>
      <c r="O1192" s="64">
        <f>$L$1192-EFEITO!$O$1192*EFEITO!$AA$1192</f>
        <v>-11607.828510942767</v>
      </c>
      <c r="P1192" s="19"/>
      <c r="Q1192" s="19"/>
      <c r="R1192" s="19"/>
      <c r="S1192" s="19"/>
      <c r="T1192" s="19"/>
      <c r="U1192" s="19"/>
      <c r="V1192" s="19"/>
      <c r="W1192" s="19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</row>
    <row r="1193" spans="1:36" ht="11.25" customHeight="1" x14ac:dyDescent="0.2">
      <c r="A1193" s="55" t="s">
        <v>28</v>
      </c>
      <c r="B1193" s="55" t="s">
        <v>41</v>
      </c>
      <c r="C1193" s="55" t="s">
        <v>42</v>
      </c>
      <c r="D1193" s="55" t="s">
        <v>45</v>
      </c>
      <c r="E1193" s="55" t="s">
        <v>53</v>
      </c>
      <c r="F1193" s="55" t="s">
        <v>55</v>
      </c>
      <c r="G1193" s="55" t="s">
        <v>25</v>
      </c>
      <c r="H1193" s="55" t="s">
        <v>35</v>
      </c>
      <c r="I1193" s="63">
        <v>44562</v>
      </c>
      <c r="J1193" s="64">
        <f>EFEITO!$J$1193*EFEITO!$Y$1120</f>
        <v>0</v>
      </c>
      <c r="K1193" s="64">
        <f ca="1">EFEITO!$L$1193*EFEITO!$Z$1120</f>
        <v>550.81837647026089</v>
      </c>
      <c r="L1193" s="64">
        <f>EFEITO!$N$1193*EFEITO!$AA$1120</f>
        <v>1639.2566847938147</v>
      </c>
      <c r="M1193" s="64">
        <f>$J$1193-EFEITO!$K$1193*EFEITO!$Y$1193</f>
        <v>0</v>
      </c>
      <c r="N1193" s="64">
        <f ca="1">$K$1193-EFEITO!$M$1193*EFEITO!$Z$1193</f>
        <v>495.73653882323481</v>
      </c>
      <c r="O1193" s="64">
        <f>$L$1193-EFEITO!$O$1193*EFEITO!$AA$1193</f>
        <v>1475.3310163144331</v>
      </c>
      <c r="P1193" s="19"/>
      <c r="Q1193" s="19"/>
      <c r="R1193" s="19"/>
      <c r="S1193" s="19"/>
      <c r="T1193" s="19"/>
      <c r="U1193" s="19"/>
      <c r="V1193" s="19"/>
      <c r="W1193" s="19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</row>
    <row r="1194" spans="1:36" ht="11.25" customHeight="1" x14ac:dyDescent="0.2">
      <c r="A1194" s="55" t="s">
        <v>21</v>
      </c>
      <c r="B1194" s="55" t="s">
        <v>41</v>
      </c>
      <c r="C1194" s="55" t="s">
        <v>42</v>
      </c>
      <c r="D1194" s="55" t="s">
        <v>45</v>
      </c>
      <c r="E1194" s="55" t="s">
        <v>53</v>
      </c>
      <c r="F1194" s="55" t="s">
        <v>55</v>
      </c>
      <c r="G1194" s="55" t="s">
        <v>25</v>
      </c>
      <c r="H1194" s="55" t="s">
        <v>35</v>
      </c>
      <c r="I1194" s="63">
        <v>44593</v>
      </c>
      <c r="J1194" s="64">
        <f>EFEITO!$J$1194*EFEITO!$Y$1120</f>
        <v>0</v>
      </c>
      <c r="K1194" s="64">
        <f ca="1">EFEITO!$L$1194*EFEITO!$Z$1120</f>
        <v>116976.28544160179</v>
      </c>
      <c r="L1194" s="64">
        <f>EFEITO!$N$1194*EFEITO!$AA$1120</f>
        <v>348125.92691857665</v>
      </c>
      <c r="M1194" s="64">
        <f>$J$1194-EFEITO!$K$1194*EFEITO!$Y$1194</f>
        <v>0</v>
      </c>
      <c r="N1194" s="64">
        <f ca="1">$K$1194-EFEITO!$M$1194*EFEITO!$Z$1194</f>
        <v>105278.65689744162</v>
      </c>
      <c r="O1194" s="64">
        <f>$L$1194-EFEITO!$O$1194*EFEITO!$AA$1194</f>
        <v>313313.33422671899</v>
      </c>
      <c r="P1194" s="19"/>
      <c r="Q1194" s="19"/>
      <c r="R1194" s="19"/>
      <c r="S1194" s="19"/>
      <c r="T1194" s="19"/>
      <c r="U1194" s="19"/>
      <c r="V1194" s="19"/>
      <c r="W1194" s="19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</row>
    <row r="1195" spans="1:36" ht="11.25" customHeight="1" x14ac:dyDescent="0.2">
      <c r="A1195" s="55" t="s">
        <v>27</v>
      </c>
      <c r="B1195" s="55" t="s">
        <v>41</v>
      </c>
      <c r="C1195" s="55" t="s">
        <v>42</v>
      </c>
      <c r="D1195" s="55" t="s">
        <v>45</v>
      </c>
      <c r="E1195" s="55" t="s">
        <v>53</v>
      </c>
      <c r="F1195" s="55" t="s">
        <v>55</v>
      </c>
      <c r="G1195" s="55" t="s">
        <v>25</v>
      </c>
      <c r="H1195" s="55" t="s">
        <v>35</v>
      </c>
      <c r="I1195" s="63">
        <v>44593</v>
      </c>
      <c r="J1195" s="64">
        <f>EFEITO!$J$1195*EFEITO!$Y$1120</f>
        <v>0</v>
      </c>
      <c r="K1195" s="64">
        <f ca="1">EFEITO!$L$1195*EFEITO!$Z$1120</f>
        <v>-432.91380670128382</v>
      </c>
      <c r="L1195" s="64">
        <f>EFEITO!$N$1195*EFEITO!$AA$1120</f>
        <v>-1288.3681479950255</v>
      </c>
      <c r="M1195" s="64">
        <f>$J$1195-EFEITO!$K$1195*EFEITO!$Y$1195</f>
        <v>0</v>
      </c>
      <c r="N1195" s="64">
        <f ca="1">$K$1195-EFEITO!$M$1195*EFEITO!$Z$1195</f>
        <v>-389.62242603115544</v>
      </c>
      <c r="O1195" s="64">
        <f>$L$1195-EFEITO!$O$1195*EFEITO!$AA$1195</f>
        <v>-1159.5313331955231</v>
      </c>
      <c r="P1195" s="19"/>
      <c r="Q1195" s="19"/>
      <c r="R1195" s="19"/>
      <c r="S1195" s="19"/>
      <c r="T1195" s="19"/>
      <c r="U1195" s="19"/>
      <c r="V1195" s="19"/>
      <c r="W1195" s="19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</row>
    <row r="1196" spans="1:36" ht="11.25" customHeight="1" x14ac:dyDescent="0.2">
      <c r="A1196" s="55" t="s">
        <v>28</v>
      </c>
      <c r="B1196" s="55" t="s">
        <v>41</v>
      </c>
      <c r="C1196" s="55" t="s">
        <v>42</v>
      </c>
      <c r="D1196" s="55" t="s">
        <v>45</v>
      </c>
      <c r="E1196" s="55" t="s">
        <v>53</v>
      </c>
      <c r="F1196" s="55" t="s">
        <v>55</v>
      </c>
      <c r="G1196" s="55" t="s">
        <v>25</v>
      </c>
      <c r="H1196" s="55" t="s">
        <v>35</v>
      </c>
      <c r="I1196" s="63">
        <v>44593</v>
      </c>
      <c r="J1196" s="64">
        <f>EFEITO!$J$1196*EFEITO!$Y$1120</f>
        <v>0</v>
      </c>
      <c r="K1196" s="64">
        <f ca="1">EFEITO!$L$1196*EFEITO!$Z$1120</f>
        <v>15.030106978475944</v>
      </c>
      <c r="L1196" s="64">
        <f>EFEITO!$N$1196*EFEITO!$AA$1120</f>
        <v>44.730176751761093</v>
      </c>
      <c r="M1196" s="64">
        <f>$J$1196-EFEITO!$K$1196*EFEITO!$Y$1196</f>
        <v>0</v>
      </c>
      <c r="N1196" s="64">
        <f ca="1">$K$1196-EFEITO!$M$1196*EFEITO!$Z$1196</f>
        <v>13.527096280628349</v>
      </c>
      <c r="O1196" s="64">
        <f>$L$1196-EFEITO!$O$1196*EFEITO!$AA$1196</f>
        <v>40.257159076584983</v>
      </c>
      <c r="P1196" s="19"/>
      <c r="Q1196" s="19"/>
      <c r="R1196" s="19"/>
      <c r="S1196" s="19"/>
      <c r="T1196" s="19"/>
      <c r="U1196" s="19"/>
      <c r="V1196" s="19"/>
      <c r="W1196" s="19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</row>
    <row r="1197" spans="1:36" ht="11.25" customHeight="1" x14ac:dyDescent="0.2">
      <c r="A1197" s="55" t="s">
        <v>21</v>
      </c>
      <c r="B1197" s="55" t="s">
        <v>41</v>
      </c>
      <c r="C1197" s="55" t="s">
        <v>42</v>
      </c>
      <c r="D1197" s="55" t="s">
        <v>45</v>
      </c>
      <c r="E1197" s="55" t="s">
        <v>53</v>
      </c>
      <c r="F1197" s="55" t="s">
        <v>55</v>
      </c>
      <c r="G1197" s="55" t="s">
        <v>25</v>
      </c>
      <c r="H1197" s="55" t="s">
        <v>35</v>
      </c>
      <c r="I1197" s="63">
        <v>44621</v>
      </c>
      <c r="J1197" s="64">
        <f>EFEITO!$J$1197*EFEITO!$Y$1120</f>
        <v>0</v>
      </c>
      <c r="K1197" s="64">
        <f ca="1">EFEITO!$L$1197*EFEITO!$Z$1120</f>
        <v>109962.13168337707</v>
      </c>
      <c r="L1197" s="64">
        <f>EFEITO!$N$1197*EFEITO!$AA$1120</f>
        <v>327251.53541765636</v>
      </c>
      <c r="M1197" s="64">
        <f>$J$1197-EFEITO!$K$1197*EFEITO!$Y$1197</f>
        <v>0</v>
      </c>
      <c r="N1197" s="64">
        <f ca="1">$K$1197-EFEITO!$M$1197*EFEITO!$Z$1197</f>
        <v>98965.91851503936</v>
      </c>
      <c r="O1197" s="64">
        <f>$L$1197-EFEITO!$O$1197*EFEITO!$AA$1197</f>
        <v>294526.38187589071</v>
      </c>
      <c r="P1197" s="19"/>
      <c r="Q1197" s="19"/>
      <c r="R1197" s="19"/>
      <c r="S1197" s="19"/>
      <c r="T1197" s="19"/>
      <c r="U1197" s="19"/>
      <c r="V1197" s="19"/>
      <c r="W1197" s="19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</row>
    <row r="1198" spans="1:36" ht="11.25" customHeight="1" x14ac:dyDescent="0.2">
      <c r="A1198" s="55" t="s">
        <v>28</v>
      </c>
      <c r="B1198" s="55" t="s">
        <v>41</v>
      </c>
      <c r="C1198" s="55" t="s">
        <v>42</v>
      </c>
      <c r="D1198" s="55" t="s">
        <v>45</v>
      </c>
      <c r="E1198" s="55" t="s">
        <v>53</v>
      </c>
      <c r="F1198" s="55" t="s">
        <v>55</v>
      </c>
      <c r="G1198" s="55" t="s">
        <v>25</v>
      </c>
      <c r="H1198" s="55" t="s">
        <v>35</v>
      </c>
      <c r="I1198" s="63">
        <v>44621</v>
      </c>
      <c r="J1198" s="64">
        <f>EFEITO!$J$1198*EFEITO!$Y$1120</f>
        <v>0</v>
      </c>
      <c r="K1198" s="64">
        <f ca="1">EFEITO!$L$1198*EFEITO!$Z$1120</f>
        <v>815.13020592594671</v>
      </c>
      <c r="L1198" s="64">
        <f>EFEITO!$N$1198*EFEITO!$AA$1120</f>
        <v>2425.8588604180486</v>
      </c>
      <c r="M1198" s="64">
        <f>$J$1198-EFEITO!$K$1198*EFEITO!$Y$1198</f>
        <v>0</v>
      </c>
      <c r="N1198" s="64">
        <f ca="1">$K$1198-EFEITO!$M$1198*EFEITO!$Z$1198</f>
        <v>733.61718533335204</v>
      </c>
      <c r="O1198" s="64">
        <f>$L$1198-EFEITO!$O$1198*EFEITO!$AA$1198</f>
        <v>2183.2729743762438</v>
      </c>
      <c r="P1198" s="19"/>
      <c r="Q1198" s="19"/>
      <c r="R1198" s="19"/>
      <c r="S1198" s="19"/>
      <c r="T1198" s="19"/>
      <c r="U1198" s="19"/>
      <c r="V1198" s="19"/>
      <c r="W1198" s="19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</row>
    <row r="1199" spans="1:36" ht="11.25" customHeight="1" x14ac:dyDescent="0.2">
      <c r="A1199" s="55" t="s">
        <v>21</v>
      </c>
      <c r="B1199" s="55" t="s">
        <v>41</v>
      </c>
      <c r="C1199" s="55" t="s">
        <v>42</v>
      </c>
      <c r="D1199" s="55" t="s">
        <v>45</v>
      </c>
      <c r="E1199" s="55" t="s">
        <v>53</v>
      </c>
      <c r="F1199" s="55" t="s">
        <v>55</v>
      </c>
      <c r="G1199" s="55" t="s">
        <v>25</v>
      </c>
      <c r="H1199" s="55" t="s">
        <v>35</v>
      </c>
      <c r="I1199" s="63">
        <v>44652</v>
      </c>
      <c r="J1199" s="64">
        <f>EFEITO!$J$1199*EFEITO!$Y$1120</f>
        <v>0</v>
      </c>
      <c r="K1199" s="64">
        <f ca="1">EFEITO!$L$1199*EFEITO!$Z$1120</f>
        <v>96891.545698644186</v>
      </c>
      <c r="L1199" s="64">
        <f>EFEITO!$N$1199*EFEITO!$AA$1120</f>
        <v>288352.96854894096</v>
      </c>
      <c r="M1199" s="64">
        <f>$J$1199-EFEITO!$K$1199*EFEITO!$Y$1199</f>
        <v>0</v>
      </c>
      <c r="N1199" s="64">
        <f ca="1">$K$1199-EFEITO!$M$1199*EFEITO!$Z$1199</f>
        <v>87202.391128779767</v>
      </c>
      <c r="O1199" s="64">
        <f>$L$1199-EFEITO!$O$1199*EFEITO!$AA$1199</f>
        <v>259517.67169404688</v>
      </c>
      <c r="P1199" s="19"/>
      <c r="Q1199" s="19"/>
      <c r="R1199" s="19"/>
      <c r="S1199" s="19"/>
      <c r="T1199" s="19"/>
      <c r="U1199" s="19"/>
      <c r="V1199" s="19"/>
      <c r="W1199" s="19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</row>
    <row r="1200" spans="1:36" ht="11.25" customHeight="1" x14ac:dyDescent="0.2">
      <c r="A1200" s="55" t="s">
        <v>27</v>
      </c>
      <c r="B1200" s="55" t="s">
        <v>41</v>
      </c>
      <c r="C1200" s="55" t="s">
        <v>42</v>
      </c>
      <c r="D1200" s="55" t="s">
        <v>45</v>
      </c>
      <c r="E1200" s="55" t="s">
        <v>53</v>
      </c>
      <c r="F1200" s="55" t="s">
        <v>55</v>
      </c>
      <c r="G1200" s="55" t="s">
        <v>25</v>
      </c>
      <c r="H1200" s="55" t="s">
        <v>35</v>
      </c>
      <c r="I1200" s="63">
        <v>44652</v>
      </c>
      <c r="J1200" s="64">
        <f>EFEITO!$J$1200*EFEITO!$Y$1120</f>
        <v>0</v>
      </c>
      <c r="K1200" s="64">
        <f ca="1">EFEITO!$L$1200*EFEITO!$Z$1120</f>
        <v>-922.91086943999187</v>
      </c>
      <c r="L1200" s="64">
        <f>EFEITO!$N$1200*EFEITO!$AA$1120</f>
        <v>-2746.6182626172058</v>
      </c>
      <c r="M1200" s="64">
        <f>$J$1200-EFEITO!$K$1200*EFEITO!$Y$1200</f>
        <v>0</v>
      </c>
      <c r="N1200" s="64">
        <f ca="1">$K$1200-EFEITO!$M$1200*EFEITO!$Z$1200</f>
        <v>-830.61978249599269</v>
      </c>
      <c r="O1200" s="64">
        <f>$L$1200-EFEITO!$O$1200*EFEITO!$AA$1200</f>
        <v>-2471.956436355485</v>
      </c>
      <c r="P1200" s="19"/>
      <c r="Q1200" s="19"/>
      <c r="R1200" s="19"/>
      <c r="S1200" s="19"/>
      <c r="T1200" s="19"/>
      <c r="U1200" s="19"/>
      <c r="V1200" s="19"/>
      <c r="W1200" s="19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</row>
    <row r="1201" spans="1:36" ht="11.25" customHeight="1" x14ac:dyDescent="0.2">
      <c r="A1201" s="55" t="s">
        <v>28</v>
      </c>
      <c r="B1201" s="55" t="s">
        <v>41</v>
      </c>
      <c r="C1201" s="55" t="s">
        <v>42</v>
      </c>
      <c r="D1201" s="55" t="s">
        <v>45</v>
      </c>
      <c r="E1201" s="55" t="s">
        <v>53</v>
      </c>
      <c r="F1201" s="55" t="s">
        <v>55</v>
      </c>
      <c r="G1201" s="55" t="s">
        <v>25</v>
      </c>
      <c r="H1201" s="55" t="s">
        <v>35</v>
      </c>
      <c r="I1201" s="63">
        <v>44652</v>
      </c>
      <c r="J1201" s="64">
        <f>EFEITO!$J$1201*EFEITO!$Y$1120</f>
        <v>0</v>
      </c>
      <c r="K1201" s="64">
        <f ca="1">EFEITO!$L$1201*EFEITO!$Z$1120</f>
        <v>318.66941842447437</v>
      </c>
      <c r="L1201" s="64">
        <f>EFEITO!$N$1201*EFEITO!$AA$1120</f>
        <v>948.37245216687234</v>
      </c>
      <c r="M1201" s="64">
        <f>$J$1201-EFEITO!$K$1201*EFEITO!$Y$1201</f>
        <v>0</v>
      </c>
      <c r="N1201" s="64">
        <f ca="1">$K$1201-EFEITO!$M$1201*EFEITO!$Z$1201</f>
        <v>286.80247658202694</v>
      </c>
      <c r="O1201" s="64">
        <f>$L$1201-EFEITO!$O$1201*EFEITO!$AA$1201</f>
        <v>853.53520695018506</v>
      </c>
      <c r="P1201" s="19"/>
      <c r="Q1201" s="19"/>
      <c r="R1201" s="19"/>
      <c r="S1201" s="19"/>
      <c r="T1201" s="19"/>
      <c r="U1201" s="19"/>
      <c r="V1201" s="19"/>
      <c r="W1201" s="19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</row>
    <row r="1202" spans="1:36" ht="11.25" customHeight="1" x14ac:dyDescent="0.2">
      <c r="A1202" s="55" t="s">
        <v>28</v>
      </c>
      <c r="B1202" s="55" t="s">
        <v>41</v>
      </c>
      <c r="C1202" s="55" t="s">
        <v>42</v>
      </c>
      <c r="D1202" s="55" t="s">
        <v>45</v>
      </c>
      <c r="E1202" s="55" t="s">
        <v>53</v>
      </c>
      <c r="F1202" s="55" t="s">
        <v>55</v>
      </c>
      <c r="G1202" s="55" t="s">
        <v>25</v>
      </c>
      <c r="H1202" s="55" t="s">
        <v>35</v>
      </c>
      <c r="I1202" s="63">
        <v>44652</v>
      </c>
      <c r="J1202" s="64">
        <f>EFEITO!$J$1202*EFEITO!$Y$1120</f>
        <v>0</v>
      </c>
      <c r="K1202" s="64">
        <f ca="1">EFEITO!$L$1202*EFEITO!$Z$1120</f>
        <v>4095.5094611297927</v>
      </c>
      <c r="L1202" s="64">
        <f>EFEITO!$N$1202*EFEITO!$AA$1120</f>
        <v>12188.39375842029</v>
      </c>
      <c r="M1202" s="64">
        <f>$J$1202-EFEITO!$K$1202*EFEITO!$Y$1202</f>
        <v>0</v>
      </c>
      <c r="N1202" s="64">
        <f ca="1">$K$1202-EFEITO!$M$1202*EFEITO!$Z$1202</f>
        <v>3685.9585150168136</v>
      </c>
      <c r="O1202" s="64">
        <f>$L$1202-EFEITO!$O$1202*EFEITO!$AA$1202</f>
        <v>10969.554382578261</v>
      </c>
      <c r="P1202" s="19"/>
      <c r="Q1202" s="19"/>
      <c r="R1202" s="19"/>
      <c r="S1202" s="19"/>
      <c r="T1202" s="19"/>
      <c r="U1202" s="19"/>
      <c r="V1202" s="19"/>
      <c r="W1202" s="19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</row>
    <row r="1203" spans="1:36" ht="11.25" customHeight="1" x14ac:dyDescent="0.2">
      <c r="A1203" s="55" t="s">
        <v>21</v>
      </c>
      <c r="B1203" s="55" t="s">
        <v>41</v>
      </c>
      <c r="C1203" s="55" t="s">
        <v>42</v>
      </c>
      <c r="D1203" s="55" t="s">
        <v>45</v>
      </c>
      <c r="E1203" s="55" t="s">
        <v>53</v>
      </c>
      <c r="F1203" s="55" t="s">
        <v>55</v>
      </c>
      <c r="G1203" s="55" t="s">
        <v>25</v>
      </c>
      <c r="H1203" s="55" t="s">
        <v>35</v>
      </c>
      <c r="I1203" s="63">
        <v>44682</v>
      </c>
      <c r="J1203" s="64">
        <f>EFEITO!$J$1203*EFEITO!$Y$1120</f>
        <v>0</v>
      </c>
      <c r="K1203" s="64">
        <f ca="1">EFEITO!$L$1203*EFEITO!$Z$1120</f>
        <v>62211.715441364882</v>
      </c>
      <c r="L1203" s="64">
        <f>EFEITO!$N$1203*EFEITO!$AA$1120</f>
        <v>185144.45916503292</v>
      </c>
      <c r="M1203" s="64">
        <f>$J$1203-EFEITO!$K$1203*EFEITO!$Y$1203</f>
        <v>0</v>
      </c>
      <c r="N1203" s="64">
        <f ca="1">$K$1203-EFEITO!$M$1203*EFEITO!$Z$1203</f>
        <v>55990.543897228396</v>
      </c>
      <c r="O1203" s="64">
        <f>$L$1203-EFEITO!$O$1203*EFEITO!$AA$1203</f>
        <v>166630.01324852963</v>
      </c>
      <c r="P1203" s="19"/>
      <c r="Q1203" s="19"/>
      <c r="R1203" s="19"/>
      <c r="S1203" s="19"/>
      <c r="T1203" s="19"/>
      <c r="U1203" s="19"/>
      <c r="V1203" s="19"/>
      <c r="W1203" s="19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</row>
    <row r="1204" spans="1:36" ht="11.25" customHeight="1" x14ac:dyDescent="0.2">
      <c r="A1204" s="55" t="s">
        <v>28</v>
      </c>
      <c r="B1204" s="55" t="s">
        <v>41</v>
      </c>
      <c r="C1204" s="55" t="s">
        <v>42</v>
      </c>
      <c r="D1204" s="55" t="s">
        <v>45</v>
      </c>
      <c r="E1204" s="55" t="s">
        <v>53</v>
      </c>
      <c r="F1204" s="55" t="s">
        <v>55</v>
      </c>
      <c r="G1204" s="55" t="s">
        <v>25</v>
      </c>
      <c r="H1204" s="55" t="s">
        <v>35</v>
      </c>
      <c r="I1204" s="63">
        <v>44682</v>
      </c>
      <c r="J1204" s="64">
        <f>EFEITO!$J$1204*EFEITO!$Y$1120</f>
        <v>0</v>
      </c>
      <c r="K1204" s="64">
        <f ca="1">EFEITO!$L$1204*EFEITO!$Z$1120</f>
        <v>358.46415762655317</v>
      </c>
      <c r="L1204" s="64">
        <f>EFEITO!$N$1204*EFEITO!$AA$1120</f>
        <v>1066.8031274008099</v>
      </c>
      <c r="M1204" s="64">
        <f>$J$1204-EFEITO!$K$1204*EFEITO!$Y$1204</f>
        <v>0</v>
      </c>
      <c r="N1204" s="64">
        <f ca="1">$K$1204-EFEITO!$M$1204*EFEITO!$Z$1204</f>
        <v>322.61774186389783</v>
      </c>
      <c r="O1204" s="64">
        <f>$L$1204-EFEITO!$O$1204*EFEITO!$AA$1204</f>
        <v>960.12281466072886</v>
      </c>
      <c r="P1204" s="19"/>
      <c r="Q1204" s="19"/>
      <c r="R1204" s="19"/>
      <c r="S1204" s="19"/>
      <c r="T1204" s="19"/>
      <c r="U1204" s="19"/>
      <c r="V1204" s="19"/>
      <c r="W1204" s="19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</row>
    <row r="1205" spans="1:36" ht="11.25" customHeight="1" x14ac:dyDescent="0.2">
      <c r="A1205" s="55" t="s">
        <v>21</v>
      </c>
      <c r="B1205" s="55" t="s">
        <v>41</v>
      </c>
      <c r="C1205" s="55" t="s">
        <v>42</v>
      </c>
      <c r="D1205" s="55" t="s">
        <v>45</v>
      </c>
      <c r="E1205" s="55" t="s">
        <v>53</v>
      </c>
      <c r="F1205" s="55" t="s">
        <v>55</v>
      </c>
      <c r="G1205" s="55" t="s">
        <v>25</v>
      </c>
      <c r="H1205" s="55" t="s">
        <v>35</v>
      </c>
      <c r="I1205" s="63">
        <v>44713</v>
      </c>
      <c r="J1205" s="64">
        <f>EFEITO!$J$1205*EFEITO!$Y$1120</f>
        <v>0</v>
      </c>
      <c r="K1205" s="64">
        <f ca="1">EFEITO!$L$1205*EFEITO!$Z$1120</f>
        <v>41549.134279856546</v>
      </c>
      <c r="L1205" s="64">
        <f>EFEITO!$N$1205*EFEITO!$AA$1120</f>
        <v>123651.82249747975</v>
      </c>
      <c r="M1205" s="64">
        <f>$J$1205-EFEITO!$K$1205*EFEITO!$Y$1205</f>
        <v>0</v>
      </c>
      <c r="N1205" s="64">
        <f ca="1">$K$1205-EFEITO!$M$1205*EFEITO!$Z$1205</f>
        <v>37394.220851870894</v>
      </c>
      <c r="O1205" s="64">
        <f>$L$1205-EFEITO!$O$1205*EFEITO!$AA$1205</f>
        <v>111286.64024773178</v>
      </c>
      <c r="P1205" s="19"/>
      <c r="Q1205" s="19"/>
      <c r="R1205" s="19"/>
      <c r="S1205" s="19"/>
      <c r="T1205" s="19"/>
      <c r="U1205" s="19"/>
      <c r="V1205" s="19"/>
      <c r="W1205" s="19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</row>
    <row r="1206" spans="1:36" ht="11.25" customHeight="1" x14ac:dyDescent="0.2">
      <c r="A1206" s="55" t="s">
        <v>27</v>
      </c>
      <c r="B1206" s="55" t="s">
        <v>41</v>
      </c>
      <c r="C1206" s="55" t="s">
        <v>42</v>
      </c>
      <c r="D1206" s="55" t="s">
        <v>45</v>
      </c>
      <c r="E1206" s="55" t="s">
        <v>53</v>
      </c>
      <c r="F1206" s="55" t="s">
        <v>55</v>
      </c>
      <c r="G1206" s="55" t="s">
        <v>25</v>
      </c>
      <c r="H1206" s="55" t="s">
        <v>35</v>
      </c>
      <c r="I1206" s="63">
        <v>44713</v>
      </c>
      <c r="J1206" s="64">
        <f>EFEITO!$J$1206*EFEITO!$Y$1120</f>
        <v>0</v>
      </c>
      <c r="K1206" s="64">
        <f ca="1">EFEITO!$L$1206*EFEITO!$Z$1120</f>
        <v>-2089.5742510179612</v>
      </c>
      <c r="L1206" s="64">
        <f>EFEITO!$N$1206*EFEITO!$AA$1120</f>
        <v>-6218.6533813640081</v>
      </c>
      <c r="M1206" s="64">
        <f>$J$1206-EFEITO!$K$1206*EFEITO!$Y$1206</f>
        <v>0</v>
      </c>
      <c r="N1206" s="64">
        <f ca="1">$K$1206-EFEITO!$M$1206*EFEITO!$Z$1206</f>
        <v>-1880.616825916165</v>
      </c>
      <c r="O1206" s="64">
        <f>$L$1206-EFEITO!$O$1206*EFEITO!$AA$1206</f>
        <v>-5596.788043227607</v>
      </c>
      <c r="P1206" s="19"/>
      <c r="Q1206" s="19"/>
      <c r="R1206" s="19"/>
      <c r="S1206" s="19"/>
      <c r="T1206" s="19"/>
      <c r="U1206" s="19"/>
      <c r="V1206" s="19"/>
      <c r="W1206" s="19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</row>
    <row r="1207" spans="1:36" ht="11.25" customHeight="1" x14ac:dyDescent="0.2">
      <c r="A1207" s="55" t="s">
        <v>28</v>
      </c>
      <c r="B1207" s="55" t="s">
        <v>41</v>
      </c>
      <c r="C1207" s="55" t="s">
        <v>42</v>
      </c>
      <c r="D1207" s="55" t="s">
        <v>45</v>
      </c>
      <c r="E1207" s="55" t="s">
        <v>53</v>
      </c>
      <c r="F1207" s="55" t="s">
        <v>55</v>
      </c>
      <c r="G1207" s="55" t="s">
        <v>25</v>
      </c>
      <c r="H1207" s="55" t="s">
        <v>35</v>
      </c>
      <c r="I1207" s="63">
        <v>44713</v>
      </c>
      <c r="J1207" s="64">
        <f>EFEITO!$J$1207*EFEITO!$Y$1120</f>
        <v>0</v>
      </c>
      <c r="K1207" s="64">
        <f ca="1">EFEITO!$L$1207*EFEITO!$Z$1120</f>
        <v>56.460246421736059</v>
      </c>
      <c r="L1207" s="64">
        <f>EFEITO!$N$1207*EFEITO!$AA$1120</f>
        <v>168.02786603640823</v>
      </c>
      <c r="M1207" s="64">
        <f>$J$1207-EFEITO!$K$1207*EFEITO!$Y$1207</f>
        <v>0</v>
      </c>
      <c r="N1207" s="64">
        <f ca="1">$K$1207-EFEITO!$M$1207*EFEITO!$Z$1207</f>
        <v>50.814221779562452</v>
      </c>
      <c r="O1207" s="64">
        <f>$L$1207-EFEITO!$O$1207*EFEITO!$AA$1207</f>
        <v>151.22507943276742</v>
      </c>
      <c r="P1207" s="19"/>
      <c r="Q1207" s="19"/>
      <c r="R1207" s="19"/>
      <c r="S1207" s="19"/>
      <c r="T1207" s="19"/>
      <c r="U1207" s="19"/>
      <c r="V1207" s="19"/>
      <c r="W1207" s="19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</row>
    <row r="1208" spans="1:36" ht="11.25" customHeight="1" x14ac:dyDescent="0.2">
      <c r="A1208" s="55" t="s">
        <v>57</v>
      </c>
      <c r="B1208" s="55" t="s">
        <v>41</v>
      </c>
      <c r="C1208" s="55" t="s">
        <v>42</v>
      </c>
      <c r="D1208" s="55" t="s">
        <v>45</v>
      </c>
      <c r="E1208" s="55" t="s">
        <v>53</v>
      </c>
      <c r="F1208" s="55" t="s">
        <v>55</v>
      </c>
      <c r="G1208" s="55" t="s">
        <v>25</v>
      </c>
      <c r="H1208" s="55" t="s">
        <v>35</v>
      </c>
      <c r="I1208" s="63">
        <v>44743</v>
      </c>
      <c r="J1208" s="64">
        <f>EFEITO!$J$1208*EFEITO!$Y$1120</f>
        <v>0</v>
      </c>
      <c r="K1208" s="64">
        <f ca="1">EFEITO!$L$1208*EFEITO!$Z$1120</f>
        <v>41549.134279856546</v>
      </c>
      <c r="L1208" s="64">
        <f>EFEITO!$N$1208*EFEITO!$AA$1120</f>
        <v>123651.82249747975</v>
      </c>
      <c r="M1208" s="64">
        <f>$J$1208-EFEITO!$K$1208*EFEITO!$Y$1208</f>
        <v>0</v>
      </c>
      <c r="N1208" s="64">
        <f ca="1">$K$1208-EFEITO!$M$1208*EFEITO!$Z$1208</f>
        <v>37394.220851870894</v>
      </c>
      <c r="O1208" s="64">
        <f>$L$1208-EFEITO!$O$1208*EFEITO!$AA$1208</f>
        <v>111286.64024773178</v>
      </c>
      <c r="P1208" s="19"/>
      <c r="Q1208" s="19"/>
      <c r="R1208" s="19"/>
      <c r="S1208" s="19"/>
      <c r="T1208" s="19"/>
      <c r="U1208" s="19"/>
      <c r="V1208" s="19"/>
      <c r="W1208" s="19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</row>
    <row r="1209" spans="1:36" ht="11.25" customHeight="1" x14ac:dyDescent="0.2">
      <c r="A1209" s="55" t="s">
        <v>57</v>
      </c>
      <c r="B1209" s="55" t="s">
        <v>41</v>
      </c>
      <c r="C1209" s="55" t="s">
        <v>42</v>
      </c>
      <c r="D1209" s="55" t="s">
        <v>45</v>
      </c>
      <c r="E1209" s="55" t="s">
        <v>53</v>
      </c>
      <c r="F1209" s="55" t="s">
        <v>55</v>
      </c>
      <c r="G1209" s="55" t="s">
        <v>25</v>
      </c>
      <c r="H1209" s="55" t="s">
        <v>35</v>
      </c>
      <c r="I1209" s="63">
        <v>44743</v>
      </c>
      <c r="J1209" s="64">
        <f>EFEITO!$J$1209*EFEITO!$Y$1120</f>
        <v>0</v>
      </c>
      <c r="K1209" s="64">
        <f ca="1">EFEITO!$L$1209*EFEITO!$Z$1120</f>
        <v>-2089.5742510179612</v>
      </c>
      <c r="L1209" s="64">
        <f>EFEITO!$N$1209*EFEITO!$AA$1120</f>
        <v>-6218.6533813640081</v>
      </c>
      <c r="M1209" s="64">
        <f>$J$1209-EFEITO!$K$1209*EFEITO!$Y$1209</f>
        <v>0</v>
      </c>
      <c r="N1209" s="64">
        <f ca="1">$K$1209-EFEITO!$M$1209*EFEITO!$Z$1209</f>
        <v>-1880.616825916165</v>
      </c>
      <c r="O1209" s="64">
        <f>$L$1209-EFEITO!$O$1209*EFEITO!$AA$1209</f>
        <v>-5596.788043227607</v>
      </c>
      <c r="P1209" s="19"/>
      <c r="Q1209" s="19"/>
      <c r="R1209" s="19"/>
      <c r="S1209" s="19"/>
      <c r="T1209" s="19"/>
      <c r="U1209" s="19"/>
      <c r="V1209" s="19"/>
      <c r="W1209" s="19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</row>
    <row r="1210" spans="1:36" ht="11.25" customHeight="1" x14ac:dyDescent="0.2">
      <c r="A1210" s="55" t="s">
        <v>57</v>
      </c>
      <c r="B1210" s="55" t="s">
        <v>41</v>
      </c>
      <c r="C1210" s="55" t="s">
        <v>42</v>
      </c>
      <c r="D1210" s="55" t="s">
        <v>45</v>
      </c>
      <c r="E1210" s="55" t="s">
        <v>53</v>
      </c>
      <c r="F1210" s="55" t="s">
        <v>55</v>
      </c>
      <c r="G1210" s="55" t="s">
        <v>25</v>
      </c>
      <c r="H1210" s="55" t="s">
        <v>35</v>
      </c>
      <c r="I1210" s="63">
        <v>44743</v>
      </c>
      <c r="J1210" s="64">
        <f>EFEITO!$J$1210*EFEITO!$Y$1120</f>
        <v>0</v>
      </c>
      <c r="K1210" s="64">
        <f ca="1">EFEITO!$L$1210*EFEITO!$Z$1120</f>
        <v>56.460246421736059</v>
      </c>
      <c r="L1210" s="64">
        <f>EFEITO!$N$1210*EFEITO!$AA$1120</f>
        <v>168.02786603640823</v>
      </c>
      <c r="M1210" s="64">
        <f>$J$1210-EFEITO!$K$1210*EFEITO!$Y$1210</f>
        <v>0</v>
      </c>
      <c r="N1210" s="64">
        <f ca="1">$K$1210-EFEITO!$M$1210*EFEITO!$Z$1210</f>
        <v>50.814221779562452</v>
      </c>
      <c r="O1210" s="64">
        <f>$L$1210-EFEITO!$O$1210*EFEITO!$AA$1210</f>
        <v>151.22507943276742</v>
      </c>
      <c r="P1210" s="19"/>
      <c r="Q1210" s="19"/>
      <c r="R1210" s="19"/>
      <c r="S1210" s="19"/>
      <c r="T1210" s="19"/>
      <c r="U1210" s="19"/>
      <c r="V1210" s="19"/>
      <c r="W1210" s="19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</row>
    <row r="1211" spans="1:36" ht="11.25" customHeight="1" x14ac:dyDescent="0.2">
      <c r="A1211" s="55" t="s">
        <v>21</v>
      </c>
      <c r="B1211" s="55" t="s">
        <v>41</v>
      </c>
      <c r="C1211" s="55" t="s">
        <v>42</v>
      </c>
      <c r="D1211" s="55" t="s">
        <v>45</v>
      </c>
      <c r="E1211" s="55" t="s">
        <v>53</v>
      </c>
      <c r="F1211" s="55" t="s">
        <v>25</v>
      </c>
      <c r="G1211" s="55" t="s">
        <v>25</v>
      </c>
      <c r="H1211" s="55" t="s">
        <v>35</v>
      </c>
      <c r="I1211" s="63">
        <v>44409</v>
      </c>
      <c r="J1211" s="64">
        <f>EFEITO!$J$1211*EFEITO!$Y$1120</f>
        <v>0</v>
      </c>
      <c r="K1211" s="64">
        <f ca="1">EFEITO!$L$1211*EFEITO!$Z$1120</f>
        <v>104256.60962290525</v>
      </c>
      <c r="L1211" s="64">
        <f>EFEITO!$N$1211*EFEITO!$AA$1120</f>
        <v>310271.68220759928</v>
      </c>
      <c r="M1211" s="64">
        <f>$J$1211-EFEITO!$K$1211*EFEITO!$Y$1211</f>
        <v>0</v>
      </c>
      <c r="N1211" s="64">
        <f ca="1">$K$1211-EFEITO!$M$1211*EFEITO!$Z$1211</f>
        <v>2085.1321924581134</v>
      </c>
      <c r="O1211" s="64">
        <f>$L$1211-EFEITO!$O$1211*EFEITO!$AA$1211</f>
        <v>6205.4336441520136</v>
      </c>
      <c r="P1211" s="19"/>
      <c r="Q1211" s="19"/>
      <c r="R1211" s="19"/>
      <c r="S1211" s="19"/>
      <c r="T1211" s="19"/>
      <c r="U1211" s="19"/>
      <c r="V1211" s="19"/>
      <c r="W1211" s="19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</row>
    <row r="1212" spans="1:36" ht="11.25" customHeight="1" x14ac:dyDescent="0.2">
      <c r="A1212" s="55" t="s">
        <v>27</v>
      </c>
      <c r="B1212" s="55" t="s">
        <v>41</v>
      </c>
      <c r="C1212" s="55" t="s">
        <v>42</v>
      </c>
      <c r="D1212" s="55" t="s">
        <v>45</v>
      </c>
      <c r="E1212" s="55" t="s">
        <v>53</v>
      </c>
      <c r="F1212" s="55" t="s">
        <v>25</v>
      </c>
      <c r="G1212" s="55" t="s">
        <v>25</v>
      </c>
      <c r="H1212" s="55" t="s">
        <v>35</v>
      </c>
      <c r="I1212" s="63">
        <v>44409</v>
      </c>
      <c r="J1212" s="64">
        <f>EFEITO!$J$1212*EFEITO!$Y$1120</f>
        <v>0</v>
      </c>
      <c r="K1212" s="64">
        <f ca="1">EFEITO!$L$1212*EFEITO!$Z$1120</f>
        <v>-2471.011888223014</v>
      </c>
      <c r="L1212" s="64">
        <f>EFEITO!$N$1212*EFEITO!$AA$1120</f>
        <v>-7353.8264680485981</v>
      </c>
      <c r="M1212" s="64">
        <f>$J$1212-EFEITO!$K$1212*EFEITO!$Y$1212</f>
        <v>0</v>
      </c>
      <c r="N1212" s="64">
        <f ca="1">$K$1212-EFEITO!$M$1212*EFEITO!$Z$1212</f>
        <v>-49.42023776446058</v>
      </c>
      <c r="O1212" s="64">
        <f>$L$1212-EFEITO!$O$1212*EFEITO!$AA$1212</f>
        <v>-147.07652936097202</v>
      </c>
      <c r="P1212" s="19"/>
      <c r="Q1212" s="19"/>
      <c r="R1212" s="19"/>
      <c r="S1212" s="19"/>
      <c r="T1212" s="19"/>
      <c r="U1212" s="19"/>
      <c r="V1212" s="19"/>
      <c r="W1212" s="19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</row>
    <row r="1213" spans="1:36" ht="11.25" customHeight="1" x14ac:dyDescent="0.2">
      <c r="A1213" s="55" t="s">
        <v>28</v>
      </c>
      <c r="B1213" s="55" t="s">
        <v>41</v>
      </c>
      <c r="C1213" s="55" t="s">
        <v>42</v>
      </c>
      <c r="D1213" s="55" t="s">
        <v>45</v>
      </c>
      <c r="E1213" s="55" t="s">
        <v>53</v>
      </c>
      <c r="F1213" s="55" t="s">
        <v>25</v>
      </c>
      <c r="G1213" s="55" t="s">
        <v>25</v>
      </c>
      <c r="H1213" s="55" t="s">
        <v>35</v>
      </c>
      <c r="I1213" s="63">
        <v>44409</v>
      </c>
      <c r="J1213" s="64">
        <f>EFEITO!$J$1213*EFEITO!$Y$1120</f>
        <v>0</v>
      </c>
      <c r="K1213" s="64">
        <f ca="1">EFEITO!$L$1213*EFEITO!$Z$1120</f>
        <v>1824.2500309367824</v>
      </c>
      <c r="L1213" s="64">
        <f>EFEITO!$N$1213*EFEITO!$AA$1120</f>
        <v>5429.0382922798117</v>
      </c>
      <c r="M1213" s="64">
        <f>$J$1213-EFEITO!$K$1213*EFEITO!$Y$1213</f>
        <v>0</v>
      </c>
      <c r="N1213" s="64">
        <f ca="1">$K$1213-EFEITO!$M$1213*EFEITO!$Z$1213</f>
        <v>36.485000618735739</v>
      </c>
      <c r="O1213" s="64">
        <f>$L$1213-EFEITO!$O$1213*EFEITO!$AA$1213</f>
        <v>108.58076584559694</v>
      </c>
      <c r="P1213" s="19"/>
      <c r="Q1213" s="19"/>
      <c r="R1213" s="19"/>
      <c r="S1213" s="19"/>
      <c r="T1213" s="19"/>
      <c r="U1213" s="19"/>
      <c r="V1213" s="19"/>
      <c r="W1213" s="19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</row>
    <row r="1214" spans="1:36" ht="11.25" customHeight="1" x14ac:dyDescent="0.2">
      <c r="A1214" s="55" t="s">
        <v>28</v>
      </c>
      <c r="B1214" s="55" t="s">
        <v>41</v>
      </c>
      <c r="C1214" s="55" t="s">
        <v>42</v>
      </c>
      <c r="D1214" s="55" t="s">
        <v>45</v>
      </c>
      <c r="E1214" s="55" t="s">
        <v>53</v>
      </c>
      <c r="F1214" s="55" t="s">
        <v>25</v>
      </c>
      <c r="G1214" s="55" t="s">
        <v>25</v>
      </c>
      <c r="H1214" s="55" t="s">
        <v>35</v>
      </c>
      <c r="I1214" s="63">
        <v>44409</v>
      </c>
      <c r="J1214" s="64">
        <f>EFEITO!$J$1214*EFEITO!$Y$1120</f>
        <v>0</v>
      </c>
      <c r="K1214" s="64">
        <f ca="1">EFEITO!$L$1214*EFEITO!$Z$1120</f>
        <v>-3843.190566776103</v>
      </c>
      <c r="L1214" s="64">
        <f>EFEITO!$N$1214*EFEITO!$AA$1120</f>
        <v>-11437.483019167927</v>
      </c>
      <c r="M1214" s="64">
        <f>$J$1214-EFEITO!$K$1214*EFEITO!$Y$1214</f>
        <v>0</v>
      </c>
      <c r="N1214" s="64">
        <f ca="1">$K$1214-EFEITO!$M$1214*EFEITO!$Z$1214</f>
        <v>-76.863811335522314</v>
      </c>
      <c r="O1214" s="64">
        <f>$L$1214-EFEITO!$O$1214*EFEITO!$AA$1214</f>
        <v>-228.74966038335879</v>
      </c>
      <c r="P1214" s="19"/>
      <c r="Q1214" s="19"/>
      <c r="R1214" s="19"/>
      <c r="S1214" s="19"/>
      <c r="T1214" s="19"/>
      <c r="U1214" s="19"/>
      <c r="V1214" s="19"/>
      <c r="W1214" s="19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</row>
    <row r="1215" spans="1:36" ht="11.25" customHeight="1" x14ac:dyDescent="0.2">
      <c r="A1215" s="55" t="s">
        <v>21</v>
      </c>
      <c r="B1215" s="55" t="s">
        <v>41</v>
      </c>
      <c r="C1215" s="55" t="s">
        <v>42</v>
      </c>
      <c r="D1215" s="55" t="s">
        <v>45</v>
      </c>
      <c r="E1215" s="55" t="s">
        <v>53</v>
      </c>
      <c r="F1215" s="55" t="s">
        <v>25</v>
      </c>
      <c r="G1215" s="55" t="s">
        <v>25</v>
      </c>
      <c r="H1215" s="55" t="s">
        <v>35</v>
      </c>
      <c r="I1215" s="63">
        <v>44440</v>
      </c>
      <c r="J1215" s="64">
        <f>EFEITO!$J$1215*EFEITO!$Y$1120</f>
        <v>0</v>
      </c>
      <c r="K1215" s="64">
        <f ca="1">EFEITO!$L$1215*EFEITO!$Z$1120</f>
        <v>135081.87938792215</v>
      </c>
      <c r="L1215" s="64">
        <f>EFEITO!$N$1215*EFEITO!$AA$1120</f>
        <v>402008.87123655819</v>
      </c>
      <c r="M1215" s="64">
        <f>$J$1215-EFEITO!$K$1215*EFEITO!$Y$1215</f>
        <v>0</v>
      </c>
      <c r="N1215" s="64">
        <f ca="1">$K$1215-EFEITO!$M$1215*EFEITO!$Z$1215</f>
        <v>2701.6375877584505</v>
      </c>
      <c r="O1215" s="64">
        <f>$L$1215-EFEITO!$O$1215*EFEITO!$AA$1215</f>
        <v>8040.1774247311405</v>
      </c>
      <c r="P1215" s="19"/>
      <c r="Q1215" s="19"/>
      <c r="R1215" s="19"/>
      <c r="S1215" s="19"/>
      <c r="T1215" s="19"/>
      <c r="U1215" s="19"/>
      <c r="V1215" s="19"/>
      <c r="W1215" s="19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</row>
    <row r="1216" spans="1:36" ht="11.25" customHeight="1" x14ac:dyDescent="0.2">
      <c r="A1216" s="55" t="s">
        <v>21</v>
      </c>
      <c r="B1216" s="55" t="s">
        <v>41</v>
      </c>
      <c r="C1216" s="55" t="s">
        <v>42</v>
      </c>
      <c r="D1216" s="55" t="s">
        <v>45</v>
      </c>
      <c r="E1216" s="55" t="s">
        <v>53</v>
      </c>
      <c r="F1216" s="55" t="s">
        <v>25</v>
      </c>
      <c r="G1216" s="55" t="s">
        <v>25</v>
      </c>
      <c r="H1216" s="55" t="s">
        <v>35</v>
      </c>
      <c r="I1216" s="63">
        <v>44470</v>
      </c>
      <c r="J1216" s="64">
        <f>EFEITO!$J$1216*EFEITO!$Y$1120</f>
        <v>0</v>
      </c>
      <c r="K1216" s="64">
        <f ca="1">EFEITO!$L$1216*EFEITO!$Z$1120</f>
        <v>173563.93732974606</v>
      </c>
      <c r="L1216" s="64">
        <f>EFEITO!$N$1216*EFEITO!$AA$1120</f>
        <v>516532.9565257926</v>
      </c>
      <c r="M1216" s="64">
        <f>$J$1216-EFEITO!$K$1216*EFEITO!$Y$1216</f>
        <v>0</v>
      </c>
      <c r="N1216" s="64">
        <f ca="1">$K$1216-EFEITO!$M$1216*EFEITO!$Z$1216</f>
        <v>3471.2787465949368</v>
      </c>
      <c r="O1216" s="64">
        <f>$L$1216-EFEITO!$O$1216*EFEITO!$AA$1216</f>
        <v>10330.65913051588</v>
      </c>
      <c r="P1216" s="19"/>
      <c r="Q1216" s="19"/>
      <c r="R1216" s="19"/>
      <c r="S1216" s="19"/>
      <c r="T1216" s="19"/>
      <c r="U1216" s="19"/>
      <c r="V1216" s="19"/>
      <c r="W1216" s="19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</row>
    <row r="1217" spans="1:36" ht="11.25" customHeight="1" x14ac:dyDescent="0.2">
      <c r="A1217" s="55" t="s">
        <v>27</v>
      </c>
      <c r="B1217" s="55" t="s">
        <v>41</v>
      </c>
      <c r="C1217" s="55" t="s">
        <v>42</v>
      </c>
      <c r="D1217" s="55" t="s">
        <v>45</v>
      </c>
      <c r="E1217" s="55" t="s">
        <v>53</v>
      </c>
      <c r="F1217" s="55" t="s">
        <v>25</v>
      </c>
      <c r="G1217" s="55" t="s">
        <v>25</v>
      </c>
      <c r="H1217" s="55" t="s">
        <v>35</v>
      </c>
      <c r="I1217" s="63">
        <v>44470</v>
      </c>
      <c r="J1217" s="64">
        <f>EFEITO!$J$1217*EFEITO!$Y$1120</f>
        <v>0</v>
      </c>
      <c r="K1217" s="64">
        <f ca="1">EFEITO!$L$1217*EFEITO!$Z$1120</f>
        <v>-5112.5726587406516</v>
      </c>
      <c r="L1217" s="64">
        <f>EFEITO!$N$1217*EFEITO!$AA$1120</f>
        <v>-15215.212972814072</v>
      </c>
      <c r="M1217" s="64">
        <f>$J$1217-EFEITO!$K$1217*EFEITO!$Y$1217</f>
        <v>0</v>
      </c>
      <c r="N1217" s="64">
        <f ca="1">$K$1217-EFEITO!$M$1217*EFEITO!$Z$1217</f>
        <v>-102.25145317481292</v>
      </c>
      <c r="O1217" s="64">
        <f>$L$1217-EFEITO!$O$1217*EFEITO!$AA$1217</f>
        <v>-304.30425945628122</v>
      </c>
      <c r="P1217" s="19"/>
      <c r="Q1217" s="19"/>
      <c r="R1217" s="19"/>
      <c r="S1217" s="19"/>
      <c r="T1217" s="19"/>
      <c r="U1217" s="19"/>
      <c r="V1217" s="19"/>
      <c r="W1217" s="19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</row>
    <row r="1218" spans="1:36" ht="11.25" customHeight="1" x14ac:dyDescent="0.2">
      <c r="A1218" s="55" t="s">
        <v>21</v>
      </c>
      <c r="B1218" s="55" t="s">
        <v>41</v>
      </c>
      <c r="C1218" s="55" t="s">
        <v>42</v>
      </c>
      <c r="D1218" s="55" t="s">
        <v>45</v>
      </c>
      <c r="E1218" s="55" t="s">
        <v>53</v>
      </c>
      <c r="F1218" s="55" t="s">
        <v>25</v>
      </c>
      <c r="G1218" s="55" t="s">
        <v>25</v>
      </c>
      <c r="H1218" s="55" t="s">
        <v>35</v>
      </c>
      <c r="I1218" s="63">
        <v>44501</v>
      </c>
      <c r="J1218" s="64">
        <f>EFEITO!$J$1218*EFEITO!$Y$1120</f>
        <v>0</v>
      </c>
      <c r="K1218" s="64">
        <f ca="1">EFEITO!$L$1218*EFEITO!$Z$1120</f>
        <v>215323.96036451307</v>
      </c>
      <c r="L1218" s="64">
        <f>EFEITO!$N$1218*EFEITO!$AA$1120</f>
        <v>640812.39207324013</v>
      </c>
      <c r="M1218" s="64">
        <f>$J$1218-EFEITO!$K$1218*EFEITO!$Y$1218</f>
        <v>0</v>
      </c>
      <c r="N1218" s="64">
        <f ca="1">$K$1218-EFEITO!$M$1218*EFEITO!$Z$1218</f>
        <v>4306.4792072902783</v>
      </c>
      <c r="O1218" s="64">
        <f>$L$1218-EFEITO!$O$1218*EFEITO!$AA$1218</f>
        <v>12816.247841464821</v>
      </c>
      <c r="P1218" s="19"/>
      <c r="Q1218" s="19"/>
      <c r="R1218" s="19"/>
      <c r="S1218" s="19"/>
      <c r="T1218" s="19"/>
      <c r="U1218" s="19"/>
      <c r="V1218" s="19"/>
      <c r="W1218" s="19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</row>
    <row r="1219" spans="1:36" ht="11.25" customHeight="1" x14ac:dyDescent="0.2">
      <c r="A1219" s="55" t="s">
        <v>27</v>
      </c>
      <c r="B1219" s="55" t="s">
        <v>41</v>
      </c>
      <c r="C1219" s="55" t="s">
        <v>42</v>
      </c>
      <c r="D1219" s="55" t="s">
        <v>45</v>
      </c>
      <c r="E1219" s="55" t="s">
        <v>53</v>
      </c>
      <c r="F1219" s="55" t="s">
        <v>25</v>
      </c>
      <c r="G1219" s="55" t="s">
        <v>25</v>
      </c>
      <c r="H1219" s="55" t="s">
        <v>35</v>
      </c>
      <c r="I1219" s="63">
        <v>44501</v>
      </c>
      <c r="J1219" s="64">
        <f>EFEITO!$J$1219*EFEITO!$Y$1120</f>
        <v>0</v>
      </c>
      <c r="K1219" s="64">
        <f ca="1">EFEITO!$L$1219*EFEITO!$Z$1120</f>
        <v>-5101.8257428700317</v>
      </c>
      <c r="L1219" s="64">
        <f>EFEITO!$N$1219*EFEITO!$AA$1120</f>
        <v>-15183.229737623693</v>
      </c>
      <c r="M1219" s="64">
        <f>$J$1219-EFEITO!$K$1219*EFEITO!$Y$1219</f>
        <v>0</v>
      </c>
      <c r="N1219" s="64">
        <f ca="1">$K$1219-EFEITO!$M$1219*EFEITO!$Z$1219</f>
        <v>-102.03651485740102</v>
      </c>
      <c r="O1219" s="64">
        <f>$L$1219-EFEITO!$O$1219*EFEITO!$AA$1219</f>
        <v>-303.66459475247575</v>
      </c>
      <c r="P1219" s="19"/>
      <c r="Q1219" s="19"/>
      <c r="R1219" s="19"/>
      <c r="S1219" s="19"/>
      <c r="T1219" s="19"/>
      <c r="U1219" s="19"/>
      <c r="V1219" s="19"/>
      <c r="W1219" s="19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</row>
    <row r="1220" spans="1:36" ht="11.25" customHeight="1" x14ac:dyDescent="0.2">
      <c r="A1220" s="55" t="s">
        <v>28</v>
      </c>
      <c r="B1220" s="55" t="s">
        <v>41</v>
      </c>
      <c r="C1220" s="55" t="s">
        <v>42</v>
      </c>
      <c r="D1220" s="55" t="s">
        <v>45</v>
      </c>
      <c r="E1220" s="55" t="s">
        <v>53</v>
      </c>
      <c r="F1220" s="55" t="s">
        <v>25</v>
      </c>
      <c r="G1220" s="55" t="s">
        <v>25</v>
      </c>
      <c r="H1220" s="55" t="s">
        <v>35</v>
      </c>
      <c r="I1220" s="63">
        <v>44501</v>
      </c>
      <c r="J1220" s="64">
        <f>EFEITO!$J$1220*EFEITO!$Y$1120</f>
        <v>0</v>
      </c>
      <c r="K1220" s="64">
        <f ca="1">EFEITO!$L$1220*EFEITO!$Z$1120</f>
        <v>3060.3789846639775</v>
      </c>
      <c r="L1220" s="64">
        <f>EFEITO!$N$1220*EFEITO!$AA$1120</f>
        <v>9107.8056268948567</v>
      </c>
      <c r="M1220" s="64">
        <f>$J$1220-EFEITO!$K$1220*EFEITO!$Y$1220</f>
        <v>0</v>
      </c>
      <c r="N1220" s="64">
        <f ca="1">$K$1220-EFEITO!$M$1220*EFEITO!$Z$1220</f>
        <v>61.207579693279513</v>
      </c>
      <c r="O1220" s="64">
        <f>$L$1220-EFEITO!$O$1220*EFEITO!$AA$1220</f>
        <v>182.15611253789757</v>
      </c>
      <c r="P1220" s="19"/>
      <c r="Q1220" s="19"/>
      <c r="R1220" s="19"/>
      <c r="S1220" s="19"/>
      <c r="T1220" s="19"/>
      <c r="U1220" s="19"/>
      <c r="V1220" s="19"/>
      <c r="W1220" s="19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</row>
    <row r="1221" spans="1:36" ht="11.25" customHeight="1" x14ac:dyDescent="0.2">
      <c r="A1221" s="55" t="s">
        <v>21</v>
      </c>
      <c r="B1221" s="55" t="s">
        <v>41</v>
      </c>
      <c r="C1221" s="55" t="s">
        <v>42</v>
      </c>
      <c r="D1221" s="55" t="s">
        <v>45</v>
      </c>
      <c r="E1221" s="55" t="s">
        <v>53</v>
      </c>
      <c r="F1221" s="55" t="s">
        <v>25</v>
      </c>
      <c r="G1221" s="55" t="s">
        <v>25</v>
      </c>
      <c r="H1221" s="55" t="s">
        <v>35</v>
      </c>
      <c r="I1221" s="63">
        <v>44531</v>
      </c>
      <c r="J1221" s="64">
        <f>EFEITO!$J$1221*EFEITO!$Y$1120</f>
        <v>0</v>
      </c>
      <c r="K1221" s="64">
        <f ca="1">EFEITO!$L$1221*EFEITO!$Z$1120</f>
        <v>235652.91987682041</v>
      </c>
      <c r="L1221" s="64">
        <f>EFEITO!$N$1221*EFEITO!$AA$1120</f>
        <v>701312.15787444846</v>
      </c>
      <c r="M1221" s="64">
        <f>$J$1221-EFEITO!$K$1221*EFEITO!$Y$1221</f>
        <v>0</v>
      </c>
      <c r="N1221" s="64">
        <f ca="1">$K$1221-EFEITO!$M$1221*EFEITO!$Z$1221</f>
        <v>4713.0583975364279</v>
      </c>
      <c r="O1221" s="64">
        <f>$L$1221-EFEITO!$O$1221*EFEITO!$AA$1221</f>
        <v>14026.243157488992</v>
      </c>
      <c r="P1221" s="19"/>
      <c r="Q1221" s="19"/>
      <c r="R1221" s="19"/>
      <c r="S1221" s="19"/>
      <c r="T1221" s="19"/>
      <c r="U1221" s="19"/>
      <c r="V1221" s="19"/>
      <c r="W1221" s="19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</row>
    <row r="1222" spans="1:36" ht="11.25" customHeight="1" x14ac:dyDescent="0.2">
      <c r="A1222" s="55" t="s">
        <v>27</v>
      </c>
      <c r="B1222" s="55" t="s">
        <v>41</v>
      </c>
      <c r="C1222" s="55" t="s">
        <v>42</v>
      </c>
      <c r="D1222" s="55" t="s">
        <v>45</v>
      </c>
      <c r="E1222" s="55" t="s">
        <v>53</v>
      </c>
      <c r="F1222" s="55" t="s">
        <v>25</v>
      </c>
      <c r="G1222" s="55" t="s">
        <v>25</v>
      </c>
      <c r="H1222" s="55" t="s">
        <v>35</v>
      </c>
      <c r="I1222" s="63">
        <v>44531</v>
      </c>
      <c r="J1222" s="64">
        <f>EFEITO!$J$1222*EFEITO!$Y$1120</f>
        <v>0</v>
      </c>
      <c r="K1222" s="64">
        <f ca="1">EFEITO!$L$1222*EFEITO!$Z$1120</f>
        <v>-2151.4858315769684</v>
      </c>
      <c r="L1222" s="64">
        <f>EFEITO!$N$1222*EFEITO!$AA$1120</f>
        <v>-6402.9046275694491</v>
      </c>
      <c r="M1222" s="64">
        <f>$J$1222-EFEITO!$K$1222*EFEITO!$Y$1222</f>
        <v>0</v>
      </c>
      <c r="N1222" s="64">
        <f ca="1">$K$1222-EFEITO!$M$1222*EFEITO!$Z$1222</f>
        <v>-43.029716631539486</v>
      </c>
      <c r="O1222" s="64">
        <f>$L$1222-EFEITO!$O$1222*EFEITO!$AA$1222</f>
        <v>-128.05809255138956</v>
      </c>
      <c r="P1222" s="19"/>
      <c r="Q1222" s="19"/>
      <c r="R1222" s="19"/>
      <c r="S1222" s="19"/>
      <c r="T1222" s="19"/>
      <c r="U1222" s="19"/>
      <c r="V1222" s="19"/>
      <c r="W1222" s="19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</row>
    <row r="1223" spans="1:36" ht="11.25" customHeight="1" x14ac:dyDescent="0.2">
      <c r="A1223" s="55" t="s">
        <v>28</v>
      </c>
      <c r="B1223" s="55" t="s">
        <v>41</v>
      </c>
      <c r="C1223" s="55" t="s">
        <v>42</v>
      </c>
      <c r="D1223" s="55" t="s">
        <v>45</v>
      </c>
      <c r="E1223" s="55" t="s">
        <v>53</v>
      </c>
      <c r="F1223" s="55" t="s">
        <v>25</v>
      </c>
      <c r="G1223" s="55" t="s">
        <v>25</v>
      </c>
      <c r="H1223" s="55" t="s">
        <v>35</v>
      </c>
      <c r="I1223" s="63">
        <v>44531</v>
      </c>
      <c r="J1223" s="64">
        <f>EFEITO!$J$1223*EFEITO!$Y$1120</f>
        <v>0</v>
      </c>
      <c r="K1223" s="64">
        <f ca="1">EFEITO!$L$1223*EFEITO!$Z$1120</f>
        <v>885.84179730654853</v>
      </c>
      <c r="L1223" s="64">
        <f>EFEITO!$N$1223*EFEITO!$AA$1120</f>
        <v>2636.2992774677846</v>
      </c>
      <c r="M1223" s="64">
        <f>$J$1223-EFEITO!$K$1223*EFEITO!$Y$1223</f>
        <v>0</v>
      </c>
      <c r="N1223" s="64">
        <f ca="1">$K$1223-EFEITO!$M$1223*EFEITO!$Z$1223</f>
        <v>17.716835946131027</v>
      </c>
      <c r="O1223" s="64">
        <f>$L$1223-EFEITO!$O$1223*EFEITO!$AA$1223</f>
        <v>52.725985549355755</v>
      </c>
      <c r="P1223" s="19"/>
      <c r="Q1223" s="19"/>
      <c r="R1223" s="19"/>
      <c r="S1223" s="19"/>
      <c r="T1223" s="19"/>
      <c r="U1223" s="19"/>
      <c r="V1223" s="19"/>
      <c r="W1223" s="19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</row>
    <row r="1224" spans="1:36" ht="11.25" customHeight="1" x14ac:dyDescent="0.2">
      <c r="A1224" s="55" t="s">
        <v>21</v>
      </c>
      <c r="B1224" s="55" t="s">
        <v>41</v>
      </c>
      <c r="C1224" s="55" t="s">
        <v>42</v>
      </c>
      <c r="D1224" s="55" t="s">
        <v>45</v>
      </c>
      <c r="E1224" s="55" t="s">
        <v>53</v>
      </c>
      <c r="F1224" s="55" t="s">
        <v>25</v>
      </c>
      <c r="G1224" s="55" t="s">
        <v>25</v>
      </c>
      <c r="H1224" s="55" t="s">
        <v>35</v>
      </c>
      <c r="I1224" s="63">
        <v>44562</v>
      </c>
      <c r="J1224" s="64">
        <f>EFEITO!$J$1224*EFEITO!$Y$1120</f>
        <v>0</v>
      </c>
      <c r="K1224" s="64">
        <f ca="1">EFEITO!$L$1224*EFEITO!$Z$1120</f>
        <v>166970.47081451476</v>
      </c>
      <c r="L1224" s="64">
        <f>EFEITO!$N$1224*EFEITO!$AA$1120</f>
        <v>496910.546448774</v>
      </c>
      <c r="M1224" s="64">
        <f>$J$1224-EFEITO!$K$1224*EFEITO!$Y$1224</f>
        <v>0</v>
      </c>
      <c r="N1224" s="64">
        <f ca="1">$K$1224-EFEITO!$M$1224*EFEITO!$Z$1224</f>
        <v>3339.4094162902911</v>
      </c>
      <c r="O1224" s="64">
        <f>$L$1224-EFEITO!$O$1224*EFEITO!$AA$1224</f>
        <v>9938.2109289755463</v>
      </c>
      <c r="P1224" s="19"/>
      <c r="Q1224" s="19"/>
      <c r="R1224" s="19"/>
      <c r="S1224" s="19"/>
      <c r="T1224" s="19"/>
      <c r="U1224" s="19"/>
      <c r="V1224" s="19"/>
      <c r="W1224" s="19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</row>
    <row r="1225" spans="1:36" ht="11.25" customHeight="1" x14ac:dyDescent="0.2">
      <c r="A1225" s="55" t="s">
        <v>27</v>
      </c>
      <c r="B1225" s="55" t="s">
        <v>41</v>
      </c>
      <c r="C1225" s="55" t="s">
        <v>42</v>
      </c>
      <c r="D1225" s="55" t="s">
        <v>45</v>
      </c>
      <c r="E1225" s="55" t="s">
        <v>53</v>
      </c>
      <c r="F1225" s="55" t="s">
        <v>25</v>
      </c>
      <c r="G1225" s="55" t="s">
        <v>25</v>
      </c>
      <c r="H1225" s="55" t="s">
        <v>35</v>
      </c>
      <c r="I1225" s="63">
        <v>44562</v>
      </c>
      <c r="J1225" s="64">
        <f>EFEITO!$J$1225*EFEITO!$Y$1120</f>
        <v>0</v>
      </c>
      <c r="K1225" s="64">
        <f ca="1">EFEITO!$L$1225*EFEITO!$Z$1120</f>
        <v>-11661.182481642425</v>
      </c>
      <c r="L1225" s="64">
        <f>EFEITO!$N$1225*EFEITO!$AA$1120</f>
        <v>-34704.127807298995</v>
      </c>
      <c r="M1225" s="64">
        <f>$J$1225-EFEITO!$K$1225*EFEITO!$Y$1225</f>
        <v>0</v>
      </c>
      <c r="N1225" s="64">
        <f ca="1">$K$1225-EFEITO!$M$1225*EFEITO!$Z$1225</f>
        <v>-233.22364963284963</v>
      </c>
      <c r="O1225" s="64">
        <f>$L$1225-EFEITO!$O$1225*EFEITO!$AA$1225</f>
        <v>-694.08255614597874</v>
      </c>
      <c r="P1225" s="19"/>
      <c r="Q1225" s="19"/>
      <c r="R1225" s="19"/>
      <c r="S1225" s="19"/>
      <c r="T1225" s="19"/>
      <c r="U1225" s="19"/>
      <c r="V1225" s="19"/>
      <c r="W1225" s="19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</row>
    <row r="1226" spans="1:36" ht="11.25" customHeight="1" x14ac:dyDescent="0.2">
      <c r="A1226" s="55" t="s">
        <v>21</v>
      </c>
      <c r="B1226" s="55" t="s">
        <v>41</v>
      </c>
      <c r="C1226" s="55" t="s">
        <v>42</v>
      </c>
      <c r="D1226" s="55" t="s">
        <v>45</v>
      </c>
      <c r="E1226" s="55" t="s">
        <v>53</v>
      </c>
      <c r="F1226" s="55" t="s">
        <v>25</v>
      </c>
      <c r="G1226" s="55" t="s">
        <v>25</v>
      </c>
      <c r="H1226" s="55" t="s">
        <v>35</v>
      </c>
      <c r="I1226" s="63">
        <v>44593</v>
      </c>
      <c r="J1226" s="64">
        <f>EFEITO!$J$1226*EFEITO!$Y$1120</f>
        <v>0</v>
      </c>
      <c r="K1226" s="64">
        <f ca="1">EFEITO!$L$1226*EFEITO!$Z$1120</f>
        <v>156053.39544260982</v>
      </c>
      <c r="L1226" s="64">
        <f>EFEITO!$N$1226*EFEITO!$AA$1120</f>
        <v>464420.91003454785</v>
      </c>
      <c r="M1226" s="64">
        <f>$J$1226-EFEITO!$K$1226*EFEITO!$Y$1226</f>
        <v>0</v>
      </c>
      <c r="N1226" s="64">
        <f ca="1">$K$1226-EFEITO!$M$1226*EFEITO!$Z$1226</f>
        <v>3121.0679088521865</v>
      </c>
      <c r="O1226" s="64">
        <f>$L$1226-EFEITO!$O$1226*EFEITO!$AA$1226</f>
        <v>9288.4182006909396</v>
      </c>
      <c r="P1226" s="19"/>
      <c r="Q1226" s="19"/>
      <c r="R1226" s="19"/>
      <c r="S1226" s="19"/>
      <c r="T1226" s="19"/>
      <c r="U1226" s="19"/>
      <c r="V1226" s="19"/>
      <c r="W1226" s="19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</row>
    <row r="1227" spans="1:36" ht="11.25" customHeight="1" x14ac:dyDescent="0.2">
      <c r="A1227" s="55" t="s">
        <v>27</v>
      </c>
      <c r="B1227" s="55" t="s">
        <v>41</v>
      </c>
      <c r="C1227" s="55" t="s">
        <v>42</v>
      </c>
      <c r="D1227" s="55" t="s">
        <v>45</v>
      </c>
      <c r="E1227" s="55" t="s">
        <v>53</v>
      </c>
      <c r="F1227" s="55" t="s">
        <v>25</v>
      </c>
      <c r="G1227" s="55" t="s">
        <v>25</v>
      </c>
      <c r="H1227" s="55" t="s">
        <v>35</v>
      </c>
      <c r="I1227" s="63">
        <v>44593</v>
      </c>
      <c r="J1227" s="64">
        <f>EFEITO!$J$1227*EFEITO!$Y$1120</f>
        <v>0</v>
      </c>
      <c r="K1227" s="64">
        <f ca="1">EFEITO!$L$1227*EFEITO!$Z$1120</f>
        <v>-5098.4770661857074</v>
      </c>
      <c r="L1227" s="64">
        <f>EFEITO!$N$1227*EFEITO!$AA$1120</f>
        <v>-15173.263946948427</v>
      </c>
      <c r="M1227" s="64">
        <f>$J$1227-EFEITO!$K$1227*EFEITO!$Y$1227</f>
        <v>0</v>
      </c>
      <c r="N1227" s="64">
        <f ca="1">$K$1227-EFEITO!$M$1227*EFEITO!$Z$1227</f>
        <v>-101.96954132371502</v>
      </c>
      <c r="O1227" s="64">
        <f>$L$1227-EFEITO!$O$1227*EFEITO!$AA$1227</f>
        <v>-303.46527893896928</v>
      </c>
      <c r="P1227" s="19"/>
      <c r="Q1227" s="19"/>
      <c r="R1227" s="19"/>
      <c r="S1227" s="19"/>
      <c r="T1227" s="19"/>
      <c r="U1227" s="19"/>
      <c r="V1227" s="19"/>
      <c r="W1227" s="19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</row>
    <row r="1228" spans="1:36" ht="11.25" customHeight="1" x14ac:dyDescent="0.2">
      <c r="A1228" s="55" t="s">
        <v>21</v>
      </c>
      <c r="B1228" s="55" t="s">
        <v>41</v>
      </c>
      <c r="C1228" s="55" t="s">
        <v>42</v>
      </c>
      <c r="D1228" s="55" t="s">
        <v>45</v>
      </c>
      <c r="E1228" s="55" t="s">
        <v>53</v>
      </c>
      <c r="F1228" s="55" t="s">
        <v>25</v>
      </c>
      <c r="G1228" s="55" t="s">
        <v>25</v>
      </c>
      <c r="H1228" s="55" t="s">
        <v>35</v>
      </c>
      <c r="I1228" s="63">
        <v>44621</v>
      </c>
      <c r="J1228" s="64">
        <f>EFEITO!$J$1228*EFEITO!$Y$1120</f>
        <v>0</v>
      </c>
      <c r="K1228" s="64">
        <f ca="1">EFEITO!$L$1228*EFEITO!$Z$1120</f>
        <v>152393.29182664407</v>
      </c>
      <c r="L1228" s="64">
        <f>EFEITO!$N$1228*EFEITO!$AA$1120</f>
        <v>453528.30082648562</v>
      </c>
      <c r="M1228" s="64">
        <f>$J$1228-EFEITO!$K$1228*EFEITO!$Y$1228</f>
        <v>0</v>
      </c>
      <c r="N1228" s="64">
        <f ca="1">$K$1228-EFEITO!$M$1228*EFEITO!$Z$1228</f>
        <v>3047.8658365328738</v>
      </c>
      <c r="O1228" s="64">
        <f>$L$1228-EFEITO!$O$1228*EFEITO!$AA$1228</f>
        <v>9070.566016529745</v>
      </c>
      <c r="P1228" s="19"/>
      <c r="Q1228" s="19"/>
      <c r="R1228" s="19"/>
      <c r="S1228" s="19"/>
      <c r="T1228" s="19"/>
      <c r="U1228" s="19"/>
      <c r="V1228" s="19"/>
      <c r="W1228" s="19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</row>
    <row r="1229" spans="1:36" ht="11.25" customHeight="1" x14ac:dyDescent="0.2">
      <c r="A1229" s="55" t="s">
        <v>27</v>
      </c>
      <c r="B1229" s="55" t="s">
        <v>41</v>
      </c>
      <c r="C1229" s="55" t="s">
        <v>42</v>
      </c>
      <c r="D1229" s="55" t="s">
        <v>45</v>
      </c>
      <c r="E1229" s="55" t="s">
        <v>53</v>
      </c>
      <c r="F1229" s="55" t="s">
        <v>25</v>
      </c>
      <c r="G1229" s="55" t="s">
        <v>25</v>
      </c>
      <c r="H1229" s="55" t="s">
        <v>35</v>
      </c>
      <c r="I1229" s="63">
        <v>44621</v>
      </c>
      <c r="J1229" s="64">
        <f>EFEITO!$J$1229*EFEITO!$Y$1120</f>
        <v>0</v>
      </c>
      <c r="K1229" s="64">
        <f ca="1">EFEITO!$L$1229*EFEITO!$Z$1120</f>
        <v>558.7617490702844</v>
      </c>
      <c r="L1229" s="64">
        <f>EFEITO!$N$1229*EFEITO!$AA$1120</f>
        <v>1662.8964673258333</v>
      </c>
      <c r="M1229" s="64">
        <f>$J$1229-EFEITO!$K$1229*EFEITO!$Y$1229</f>
        <v>0</v>
      </c>
      <c r="N1229" s="64">
        <f ca="1">$K$1229-EFEITO!$M$1229*EFEITO!$Z$1229</f>
        <v>11.175234981405652</v>
      </c>
      <c r="O1229" s="64">
        <f>$L$1229-EFEITO!$O$1229*EFEITO!$AA$1229</f>
        <v>33.257929346516676</v>
      </c>
      <c r="P1229" s="19"/>
      <c r="Q1229" s="19"/>
      <c r="R1229" s="19"/>
      <c r="S1229" s="19"/>
      <c r="T1229" s="19"/>
      <c r="U1229" s="19"/>
      <c r="V1229" s="19"/>
      <c r="W1229" s="19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</row>
    <row r="1230" spans="1:36" ht="11.25" customHeight="1" x14ac:dyDescent="0.2">
      <c r="A1230" s="55" t="s">
        <v>21</v>
      </c>
      <c r="B1230" s="55" t="s">
        <v>41</v>
      </c>
      <c r="C1230" s="55" t="s">
        <v>42</v>
      </c>
      <c r="D1230" s="55" t="s">
        <v>45</v>
      </c>
      <c r="E1230" s="55" t="s">
        <v>53</v>
      </c>
      <c r="F1230" s="55" t="s">
        <v>25</v>
      </c>
      <c r="G1230" s="55" t="s">
        <v>25</v>
      </c>
      <c r="H1230" s="55" t="s">
        <v>35</v>
      </c>
      <c r="I1230" s="63">
        <v>44652</v>
      </c>
      <c r="J1230" s="64">
        <f>EFEITO!$J$1230*EFEITO!$Y$1120</f>
        <v>0</v>
      </c>
      <c r="K1230" s="64">
        <f ca="1">EFEITO!$L$1230*EFEITO!$Z$1120</f>
        <v>136022.31240280336</v>
      </c>
      <c r="L1230" s="64">
        <f>EFEITO!$N$1230*EFEITO!$AA$1120</f>
        <v>404807.63607829018</v>
      </c>
      <c r="M1230" s="64">
        <f>$J$1230-EFEITO!$K$1230*EFEITO!$Y$1230</f>
        <v>0</v>
      </c>
      <c r="N1230" s="64">
        <f ca="1">$K$1230-EFEITO!$M$1230*EFEITO!$Z$1230</f>
        <v>2720.446248056076</v>
      </c>
      <c r="O1230" s="64">
        <f>$L$1230-EFEITO!$O$1230*EFEITO!$AA$1230</f>
        <v>8096.1527215657989</v>
      </c>
      <c r="P1230" s="19"/>
      <c r="Q1230" s="19"/>
      <c r="R1230" s="19"/>
      <c r="S1230" s="19"/>
      <c r="T1230" s="19"/>
      <c r="U1230" s="19"/>
      <c r="V1230" s="19"/>
      <c r="W1230" s="19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</row>
    <row r="1231" spans="1:36" ht="11.25" customHeight="1" x14ac:dyDescent="0.2">
      <c r="A1231" s="55" t="s">
        <v>27</v>
      </c>
      <c r="B1231" s="55" t="s">
        <v>41</v>
      </c>
      <c r="C1231" s="55" t="s">
        <v>42</v>
      </c>
      <c r="D1231" s="55" t="s">
        <v>45</v>
      </c>
      <c r="E1231" s="55" t="s">
        <v>53</v>
      </c>
      <c r="F1231" s="55" t="s">
        <v>25</v>
      </c>
      <c r="G1231" s="55" t="s">
        <v>25</v>
      </c>
      <c r="H1231" s="55" t="s">
        <v>35</v>
      </c>
      <c r="I1231" s="63">
        <v>44652</v>
      </c>
      <c r="J1231" s="64">
        <f>EFEITO!$J$1231*EFEITO!$Y$1120</f>
        <v>0</v>
      </c>
      <c r="K1231" s="64">
        <f ca="1">EFEITO!$L$1231*EFEITO!$Z$1120</f>
        <v>-1733.6021318541605</v>
      </c>
      <c r="L1231" s="64">
        <f>EFEITO!$N$1231*EFEITO!$AA$1120</f>
        <v>-5159.2666563261846</v>
      </c>
      <c r="M1231" s="64">
        <f>$J$1231-EFEITO!$K$1231*EFEITO!$Y$1231</f>
        <v>0</v>
      </c>
      <c r="N1231" s="64">
        <f ca="1">$K$1231-EFEITO!$M$1231*EFEITO!$Z$1231</f>
        <v>-34.672042637083223</v>
      </c>
      <c r="O1231" s="64">
        <f>$L$1231-EFEITO!$O$1231*EFEITO!$AA$1231</f>
        <v>-103.1853331265238</v>
      </c>
      <c r="P1231" s="19"/>
      <c r="Q1231" s="19"/>
      <c r="R1231" s="19"/>
      <c r="S1231" s="19"/>
      <c r="T1231" s="19"/>
      <c r="U1231" s="19"/>
      <c r="V1231" s="19"/>
      <c r="W1231" s="19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</row>
    <row r="1232" spans="1:36" ht="11.25" customHeight="1" x14ac:dyDescent="0.2">
      <c r="A1232" s="55" t="s">
        <v>28</v>
      </c>
      <c r="B1232" s="55" t="s">
        <v>41</v>
      </c>
      <c r="C1232" s="55" t="s">
        <v>42</v>
      </c>
      <c r="D1232" s="55" t="s">
        <v>45</v>
      </c>
      <c r="E1232" s="55" t="s">
        <v>53</v>
      </c>
      <c r="F1232" s="55" t="s">
        <v>25</v>
      </c>
      <c r="G1232" s="55" t="s">
        <v>25</v>
      </c>
      <c r="H1232" s="55" t="s">
        <v>35</v>
      </c>
      <c r="I1232" s="63">
        <v>44652</v>
      </c>
      <c r="J1232" s="64">
        <f>EFEITO!$J$1232*EFEITO!$Y$1120</f>
        <v>0</v>
      </c>
      <c r="K1232" s="64">
        <f ca="1">EFEITO!$L$1232*EFEITO!$Z$1120</f>
        <v>32.162871409899296</v>
      </c>
      <c r="L1232" s="64">
        <f>EFEITO!$N$1232*EFEITO!$AA$1120</f>
        <v>95.717942997291871</v>
      </c>
      <c r="M1232" s="64">
        <f>$J$1232-EFEITO!$K$1232*EFEITO!$Y$1232</f>
        <v>0</v>
      </c>
      <c r="N1232" s="64">
        <f ca="1">$K$1232-EFEITO!$M$1232*EFEITO!$Z$1232</f>
        <v>0.64325742819798748</v>
      </c>
      <c r="O1232" s="64">
        <f>$L$1232-EFEITO!$O$1232*EFEITO!$AA$1232</f>
        <v>1.9143588599458496</v>
      </c>
      <c r="P1232" s="19"/>
      <c r="Q1232" s="19"/>
      <c r="R1232" s="19"/>
      <c r="S1232" s="19"/>
      <c r="T1232" s="19"/>
      <c r="U1232" s="19"/>
      <c r="V1232" s="19"/>
      <c r="W1232" s="19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</row>
    <row r="1233" spans="1:36" ht="11.25" customHeight="1" x14ac:dyDescent="0.2">
      <c r="A1233" s="55" t="s">
        <v>28</v>
      </c>
      <c r="B1233" s="55" t="s">
        <v>41</v>
      </c>
      <c r="C1233" s="55" t="s">
        <v>42</v>
      </c>
      <c r="D1233" s="55" t="s">
        <v>45</v>
      </c>
      <c r="E1233" s="55" t="s">
        <v>53</v>
      </c>
      <c r="F1233" s="55" t="s">
        <v>25</v>
      </c>
      <c r="G1233" s="55" t="s">
        <v>25</v>
      </c>
      <c r="H1233" s="55" t="s">
        <v>35</v>
      </c>
      <c r="I1233" s="63">
        <v>44652</v>
      </c>
      <c r="J1233" s="64">
        <f>EFEITO!$J$1233*EFEITO!$Y$1120</f>
        <v>0</v>
      </c>
      <c r="K1233" s="64">
        <f ca="1">EFEITO!$L$1233*EFEITO!$Z$1120</f>
        <v>-2553.7164147056124</v>
      </c>
      <c r="L1233" s="64">
        <f>EFEITO!$N$1233*EFEITO!$AA$1120</f>
        <v>-7599.9583214702061</v>
      </c>
      <c r="M1233" s="64">
        <f>$J$1233-EFEITO!$K$1233*EFEITO!$Y$1233</f>
        <v>0</v>
      </c>
      <c r="N1233" s="64">
        <f ca="1">$K$1233-EFEITO!$M$1233*EFEITO!$Z$1233</f>
        <v>-51.074328294112547</v>
      </c>
      <c r="O1233" s="64">
        <f>$L$1233-EFEITO!$O$1233*EFEITO!$AA$1233</f>
        <v>-151.9991664294048</v>
      </c>
      <c r="P1233" s="19"/>
      <c r="Q1233" s="19"/>
      <c r="R1233" s="19"/>
      <c r="S1233" s="19"/>
      <c r="T1233" s="19"/>
      <c r="U1233" s="19"/>
      <c r="V1233" s="19"/>
      <c r="W1233" s="19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</row>
    <row r="1234" spans="1:36" ht="11.25" customHeight="1" x14ac:dyDescent="0.2">
      <c r="A1234" s="55" t="s">
        <v>21</v>
      </c>
      <c r="B1234" s="55" t="s">
        <v>41</v>
      </c>
      <c r="C1234" s="55" t="s">
        <v>42</v>
      </c>
      <c r="D1234" s="55" t="s">
        <v>45</v>
      </c>
      <c r="E1234" s="55" t="s">
        <v>53</v>
      </c>
      <c r="F1234" s="55" t="s">
        <v>25</v>
      </c>
      <c r="G1234" s="55" t="s">
        <v>25</v>
      </c>
      <c r="H1234" s="55" t="s">
        <v>35</v>
      </c>
      <c r="I1234" s="63">
        <v>44682</v>
      </c>
      <c r="J1234" s="64">
        <f>EFEITO!$J$1234*EFEITO!$Y$1120</f>
        <v>0</v>
      </c>
      <c r="K1234" s="64">
        <f ca="1">EFEITO!$L$1234*EFEITO!$Z$1120</f>
        <v>79459.269394478775</v>
      </c>
      <c r="L1234" s="64">
        <f>EFEITO!$N$1234*EFEITO!$AA$1120</f>
        <v>236473.84344440876</v>
      </c>
      <c r="M1234" s="64">
        <f>$J$1234-EFEITO!$K$1234*EFEITO!$Y$1234</f>
        <v>0</v>
      </c>
      <c r="N1234" s="64">
        <f ca="1">$K$1234-EFEITO!$M$1234*EFEITO!$Z$1234</f>
        <v>1589.1853878895927</v>
      </c>
      <c r="O1234" s="64">
        <f>$L$1234-EFEITO!$O$1234*EFEITO!$AA$1234</f>
        <v>4729.4768688881886</v>
      </c>
      <c r="P1234" s="19"/>
      <c r="Q1234" s="19"/>
      <c r="R1234" s="19"/>
      <c r="S1234" s="19"/>
      <c r="T1234" s="19"/>
      <c r="U1234" s="19"/>
      <c r="V1234" s="19"/>
      <c r="W1234" s="19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</row>
    <row r="1235" spans="1:36" ht="11.25" customHeight="1" x14ac:dyDescent="0.2">
      <c r="A1235" s="55" t="s">
        <v>28</v>
      </c>
      <c r="B1235" s="55" t="s">
        <v>41</v>
      </c>
      <c r="C1235" s="55" t="s">
        <v>42</v>
      </c>
      <c r="D1235" s="55" t="s">
        <v>45</v>
      </c>
      <c r="E1235" s="55" t="s">
        <v>53</v>
      </c>
      <c r="F1235" s="55" t="s">
        <v>25</v>
      </c>
      <c r="G1235" s="55" t="s">
        <v>25</v>
      </c>
      <c r="H1235" s="55" t="s">
        <v>35</v>
      </c>
      <c r="I1235" s="63">
        <v>44682</v>
      </c>
      <c r="J1235" s="64">
        <f>EFEITO!$J$1235*EFEITO!$Y$1120</f>
        <v>0</v>
      </c>
      <c r="K1235" s="64">
        <f ca="1">EFEITO!$L$1235*EFEITO!$Z$1120</f>
        <v>171.48339671815557</v>
      </c>
      <c r="L1235" s="64">
        <f>EFEITO!$N$1235*EFEITO!$AA$1120</f>
        <v>510.34118760299441</v>
      </c>
      <c r="M1235" s="64">
        <f>$J$1235-EFEITO!$K$1235*EFEITO!$Y$1235</f>
        <v>0</v>
      </c>
      <c r="N1235" s="64">
        <f ca="1">$K$1235-EFEITO!$M$1235*EFEITO!$Z$1235</f>
        <v>3.429667934363124</v>
      </c>
      <c r="O1235" s="64">
        <f>$L$1235-EFEITO!$O$1235*EFEITO!$AA$1235</f>
        <v>10.206823752059904</v>
      </c>
      <c r="P1235" s="19"/>
      <c r="Q1235" s="19"/>
      <c r="R1235" s="19"/>
      <c r="S1235" s="19"/>
      <c r="T1235" s="19"/>
      <c r="U1235" s="19"/>
      <c r="V1235" s="19"/>
      <c r="W1235" s="19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</row>
    <row r="1236" spans="1:36" ht="11.25" customHeight="1" x14ac:dyDescent="0.2">
      <c r="A1236" s="55" t="s">
        <v>21</v>
      </c>
      <c r="B1236" s="55" t="s">
        <v>41</v>
      </c>
      <c r="C1236" s="55" t="s">
        <v>42</v>
      </c>
      <c r="D1236" s="55" t="s">
        <v>45</v>
      </c>
      <c r="E1236" s="55" t="s">
        <v>53</v>
      </c>
      <c r="F1236" s="55" t="s">
        <v>25</v>
      </c>
      <c r="G1236" s="55" t="s">
        <v>25</v>
      </c>
      <c r="H1236" s="55" t="s">
        <v>35</v>
      </c>
      <c r="I1236" s="63">
        <v>44713</v>
      </c>
      <c r="J1236" s="64">
        <f>EFEITO!$J$1236*EFEITO!$Y$1120</f>
        <v>0</v>
      </c>
      <c r="K1236" s="64">
        <f ca="1">EFEITO!$L$1236*EFEITO!$Z$1120</f>
        <v>56344.989642833752</v>
      </c>
      <c r="L1236" s="64">
        <f>EFEITO!$N$1236*EFEITO!$AA$1120</f>
        <v>167684.85742712012</v>
      </c>
      <c r="M1236" s="64">
        <f>$J$1236-EFEITO!$K$1236*EFEITO!$Y$1236</f>
        <v>0</v>
      </c>
      <c r="N1236" s="64">
        <f ca="1">$K$1236-EFEITO!$M$1236*EFEITO!$Z$1236</f>
        <v>1126.899792856675</v>
      </c>
      <c r="O1236" s="64">
        <f>$L$1236-EFEITO!$O$1236*EFEITO!$AA$1236</f>
        <v>3353.6971485424147</v>
      </c>
      <c r="P1236" s="19"/>
      <c r="Q1236" s="19"/>
      <c r="R1236" s="19"/>
      <c r="S1236" s="19"/>
      <c r="T1236" s="19"/>
      <c r="U1236" s="19"/>
      <c r="V1236" s="19"/>
      <c r="W1236" s="19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</row>
    <row r="1237" spans="1:36" ht="11.25" customHeight="1" x14ac:dyDescent="0.2">
      <c r="A1237" s="55" t="s">
        <v>27</v>
      </c>
      <c r="B1237" s="55" t="s">
        <v>41</v>
      </c>
      <c r="C1237" s="55" t="s">
        <v>42</v>
      </c>
      <c r="D1237" s="55" t="s">
        <v>45</v>
      </c>
      <c r="E1237" s="55" t="s">
        <v>53</v>
      </c>
      <c r="F1237" s="55" t="s">
        <v>25</v>
      </c>
      <c r="G1237" s="55" t="s">
        <v>25</v>
      </c>
      <c r="H1237" s="55" t="s">
        <v>35</v>
      </c>
      <c r="I1237" s="63">
        <v>44713</v>
      </c>
      <c r="J1237" s="64">
        <f>EFEITO!$J$1237*EFEITO!$Y$1120</f>
        <v>0</v>
      </c>
      <c r="K1237" s="64">
        <f ca="1">EFEITO!$L$1237*EFEITO!$Z$1120</f>
        <v>-417.33856630908076</v>
      </c>
      <c r="L1237" s="64">
        <f>EFEITO!$N$1237*EFEITO!$AA$1120</f>
        <v>-1242.0156332263612</v>
      </c>
      <c r="M1237" s="64">
        <f>$J$1237-EFEITO!$K$1237*EFEITO!$Y$1237</f>
        <v>0</v>
      </c>
      <c r="N1237" s="64">
        <f ca="1">$K$1237-EFEITO!$M$1237*EFEITO!$Z$1237</f>
        <v>-8.3467713261816812</v>
      </c>
      <c r="O1237" s="64">
        <f>$L$1237-EFEITO!$O$1237*EFEITO!$AA$1237</f>
        <v>-24.840312664527346</v>
      </c>
      <c r="P1237" s="19"/>
      <c r="Q1237" s="19"/>
      <c r="R1237" s="19"/>
      <c r="S1237" s="19"/>
      <c r="T1237" s="19"/>
      <c r="U1237" s="19"/>
      <c r="V1237" s="19"/>
      <c r="W1237" s="19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</row>
    <row r="1238" spans="1:36" ht="11.25" customHeight="1" x14ac:dyDescent="0.2">
      <c r="A1238" s="55" t="s">
        <v>57</v>
      </c>
      <c r="B1238" s="55" t="s">
        <v>41</v>
      </c>
      <c r="C1238" s="55" t="s">
        <v>42</v>
      </c>
      <c r="D1238" s="55" t="s">
        <v>45</v>
      </c>
      <c r="E1238" s="55" t="s">
        <v>53</v>
      </c>
      <c r="F1238" s="55" t="s">
        <v>25</v>
      </c>
      <c r="G1238" s="55" t="s">
        <v>25</v>
      </c>
      <c r="H1238" s="55" t="s">
        <v>35</v>
      </c>
      <c r="I1238" s="63">
        <v>44743</v>
      </c>
      <c r="J1238" s="64">
        <f>EFEITO!$J$1238*EFEITO!$Y$1120</f>
        <v>0</v>
      </c>
      <c r="K1238" s="64">
        <f ca="1">EFEITO!$L$1238*EFEITO!$Z$1120</f>
        <v>56344.989642833752</v>
      </c>
      <c r="L1238" s="64">
        <f>EFEITO!$N$1238*EFEITO!$AA$1120</f>
        <v>167684.85742712012</v>
      </c>
      <c r="M1238" s="64">
        <f>$J$1238-EFEITO!$K$1238*EFEITO!$Y$1238</f>
        <v>0</v>
      </c>
      <c r="N1238" s="64">
        <f ca="1">$K$1238-EFEITO!$M$1238*EFEITO!$Z$1238</f>
        <v>1126.899792856675</v>
      </c>
      <c r="O1238" s="64">
        <f>$L$1238-EFEITO!$O$1238*EFEITO!$AA$1238</f>
        <v>3353.6971485424147</v>
      </c>
      <c r="P1238" s="19"/>
      <c r="Q1238" s="19"/>
      <c r="R1238" s="19"/>
      <c r="S1238" s="19"/>
      <c r="T1238" s="19"/>
      <c r="U1238" s="19"/>
      <c r="V1238" s="19"/>
      <c r="W1238" s="19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</row>
    <row r="1239" spans="1:36" ht="11.25" customHeight="1" x14ac:dyDescent="0.2">
      <c r="A1239" s="55" t="s">
        <v>57</v>
      </c>
      <c r="B1239" s="55" t="s">
        <v>41</v>
      </c>
      <c r="C1239" s="55" t="s">
        <v>42</v>
      </c>
      <c r="D1239" s="55" t="s">
        <v>45</v>
      </c>
      <c r="E1239" s="55" t="s">
        <v>53</v>
      </c>
      <c r="F1239" s="55" t="s">
        <v>25</v>
      </c>
      <c r="G1239" s="55" t="s">
        <v>25</v>
      </c>
      <c r="H1239" s="55" t="s">
        <v>35</v>
      </c>
      <c r="I1239" s="63">
        <v>44743</v>
      </c>
      <c r="J1239" s="64">
        <f>EFEITO!$J$1239*EFEITO!$Y$1120</f>
        <v>0</v>
      </c>
      <c r="K1239" s="64">
        <f ca="1">EFEITO!$L$1239*EFEITO!$Z$1120</f>
        <v>-417.33856630908076</v>
      </c>
      <c r="L1239" s="64">
        <f>EFEITO!$N$1239*EFEITO!$AA$1120</f>
        <v>-1242.0156332263612</v>
      </c>
      <c r="M1239" s="64">
        <f>$J$1239-EFEITO!$K$1239*EFEITO!$Y$1239</f>
        <v>0</v>
      </c>
      <c r="N1239" s="64">
        <f ca="1">$K$1239-EFEITO!$M$1239*EFEITO!$Z$1239</f>
        <v>-8.3467713261816812</v>
      </c>
      <c r="O1239" s="64">
        <f>$L$1239-EFEITO!$O$1239*EFEITO!$AA$1239</f>
        <v>-24.840312664527346</v>
      </c>
      <c r="P1239" s="19"/>
      <c r="Q1239" s="19"/>
      <c r="R1239" s="19"/>
      <c r="S1239" s="19"/>
      <c r="T1239" s="19"/>
      <c r="U1239" s="19"/>
      <c r="V1239" s="19"/>
      <c r="W1239" s="19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</row>
    <row r="1240" spans="1:36" ht="11.25" customHeight="1" x14ac:dyDescent="0.2">
      <c r="A1240" s="55" t="s">
        <v>21</v>
      </c>
      <c r="B1240" s="55" t="s">
        <v>41</v>
      </c>
      <c r="C1240" s="55" t="s">
        <v>42</v>
      </c>
      <c r="D1240" s="55" t="s">
        <v>45</v>
      </c>
      <c r="E1240" s="55" t="s">
        <v>53</v>
      </c>
      <c r="F1240" s="55" t="s">
        <v>25</v>
      </c>
      <c r="G1240" s="55" t="s">
        <v>25</v>
      </c>
      <c r="H1240" s="55" t="s">
        <v>25</v>
      </c>
      <c r="I1240" s="63">
        <v>44409</v>
      </c>
      <c r="J1240" s="64">
        <f ca="1">EFEITO!$J$1240*EFEITO!$Y$1146</f>
        <v>342246.57940516312</v>
      </c>
      <c r="K1240" s="64">
        <f>EFEITO!$L$1240*EFEITO!$Z$1146</f>
        <v>0</v>
      </c>
      <c r="L1240" s="64">
        <f>EFEITO!$N$1240*EFEITO!$AA$1146</f>
        <v>0</v>
      </c>
      <c r="M1240" s="64">
        <f ca="1">$J$1240-EFEITO!$K$1240*EFEITO!$Y$1240</f>
        <v>6844.931588103238</v>
      </c>
      <c r="N1240" s="64">
        <f>$K$1240-EFEITO!$M$1240*EFEITO!$Z$1240</f>
        <v>0</v>
      </c>
      <c r="O1240" s="64">
        <f>$L$1240-EFEITO!$O$1240*EFEITO!$AA$1240</f>
        <v>0</v>
      </c>
      <c r="P1240" s="19"/>
      <c r="Q1240" s="19"/>
      <c r="R1240" s="19"/>
      <c r="S1240" s="19"/>
      <c r="T1240" s="19"/>
      <c r="U1240" s="19"/>
      <c r="V1240" s="19"/>
      <c r="W1240" s="19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</row>
    <row r="1241" spans="1:36" ht="11.25" customHeight="1" x14ac:dyDescent="0.2">
      <c r="A1241" s="55" t="s">
        <v>27</v>
      </c>
      <c r="B1241" s="55" t="s">
        <v>41</v>
      </c>
      <c r="C1241" s="55" t="s">
        <v>42</v>
      </c>
      <c r="D1241" s="55" t="s">
        <v>45</v>
      </c>
      <c r="E1241" s="55" t="s">
        <v>53</v>
      </c>
      <c r="F1241" s="55" t="s">
        <v>25</v>
      </c>
      <c r="G1241" s="55" t="s">
        <v>25</v>
      </c>
      <c r="H1241" s="55" t="s">
        <v>25</v>
      </c>
      <c r="I1241" s="63">
        <v>44409</v>
      </c>
      <c r="J1241" s="64">
        <f ca="1">EFEITO!$J$1241*EFEITO!$Y$1146</f>
        <v>-1156.3272282751423</v>
      </c>
      <c r="K1241" s="64">
        <f>EFEITO!$L$1241*EFEITO!$Z$1146</f>
        <v>0</v>
      </c>
      <c r="L1241" s="64">
        <f>EFEITO!$N$1241*EFEITO!$AA$1146</f>
        <v>0</v>
      </c>
      <c r="M1241" s="64">
        <f ca="1">$J$1241-EFEITO!$K$1241*EFEITO!$Y$1241</f>
        <v>-23.126544565502854</v>
      </c>
      <c r="N1241" s="64">
        <f>$K$1241-EFEITO!$M$1241*EFEITO!$Z$1241</f>
        <v>0</v>
      </c>
      <c r="O1241" s="64">
        <f>$L$1241-EFEITO!$O$1241*EFEITO!$AA$1241</f>
        <v>0</v>
      </c>
      <c r="P1241" s="19"/>
      <c r="Q1241" s="19"/>
      <c r="R1241" s="19"/>
      <c r="S1241" s="19"/>
      <c r="T1241" s="19"/>
      <c r="U1241" s="19"/>
      <c r="V1241" s="19"/>
      <c r="W1241" s="19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</row>
    <row r="1242" spans="1:36" ht="11.25" customHeight="1" x14ac:dyDescent="0.2">
      <c r="A1242" s="55" t="s">
        <v>28</v>
      </c>
      <c r="B1242" s="55" t="s">
        <v>41</v>
      </c>
      <c r="C1242" s="55" t="s">
        <v>42</v>
      </c>
      <c r="D1242" s="55" t="s">
        <v>45</v>
      </c>
      <c r="E1242" s="55" t="s">
        <v>53</v>
      </c>
      <c r="F1242" s="55" t="s">
        <v>25</v>
      </c>
      <c r="G1242" s="55" t="s">
        <v>25</v>
      </c>
      <c r="H1242" s="55" t="s">
        <v>25</v>
      </c>
      <c r="I1242" s="63">
        <v>44409</v>
      </c>
      <c r="J1242" s="64">
        <f ca="1">EFEITO!$J$1242*EFEITO!$Y$1146</f>
        <v>3994.584970405037</v>
      </c>
      <c r="K1242" s="64">
        <f>EFEITO!$L$1242*EFEITO!$Z$1146</f>
        <v>0</v>
      </c>
      <c r="L1242" s="64">
        <f>EFEITO!$N$1242*EFEITO!$AA$1146</f>
        <v>0</v>
      </c>
      <c r="M1242" s="64">
        <f ca="1">$J$1242-EFEITO!$K$1242*EFEITO!$Y$1242</f>
        <v>79.891699408100521</v>
      </c>
      <c r="N1242" s="64">
        <f>$K$1242-EFEITO!$M$1242*EFEITO!$Z$1242</f>
        <v>0</v>
      </c>
      <c r="O1242" s="64">
        <f>$L$1242-EFEITO!$O$1242*EFEITO!$AA$1242</f>
        <v>0</v>
      </c>
      <c r="P1242" s="19"/>
      <c r="Q1242" s="19"/>
      <c r="R1242" s="19"/>
      <c r="S1242" s="19"/>
      <c r="T1242" s="19"/>
      <c r="U1242" s="19"/>
      <c r="V1242" s="19"/>
      <c r="W1242" s="19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</row>
    <row r="1243" spans="1:36" ht="11.25" customHeight="1" x14ac:dyDescent="0.2">
      <c r="A1243" s="55" t="s">
        <v>28</v>
      </c>
      <c r="B1243" s="55" t="s">
        <v>41</v>
      </c>
      <c r="C1243" s="55" t="s">
        <v>42</v>
      </c>
      <c r="D1243" s="55" t="s">
        <v>45</v>
      </c>
      <c r="E1243" s="55" t="s">
        <v>53</v>
      </c>
      <c r="F1243" s="55" t="s">
        <v>25</v>
      </c>
      <c r="G1243" s="55" t="s">
        <v>25</v>
      </c>
      <c r="H1243" s="55" t="s">
        <v>25</v>
      </c>
      <c r="I1243" s="63">
        <v>44409</v>
      </c>
      <c r="J1243" s="64">
        <f ca="1">EFEITO!$J$1243*EFEITO!$Y$1146</f>
        <v>-578.16361413757113</v>
      </c>
      <c r="K1243" s="64">
        <f>EFEITO!$L$1243*EFEITO!$Z$1146</f>
        <v>0</v>
      </c>
      <c r="L1243" s="64">
        <f>EFEITO!$N$1243*EFEITO!$AA$1146</f>
        <v>0</v>
      </c>
      <c r="M1243" s="64">
        <f ca="1">$J$1243-EFEITO!$K$1243*EFEITO!$Y$1243</f>
        <v>-11.563272282751427</v>
      </c>
      <c r="N1243" s="64">
        <f>$K$1243-EFEITO!$M$1243*EFEITO!$Z$1243</f>
        <v>0</v>
      </c>
      <c r="O1243" s="64">
        <f>$L$1243-EFEITO!$O$1243*EFEITO!$AA$1243</f>
        <v>0</v>
      </c>
      <c r="P1243" s="19"/>
      <c r="Q1243" s="19"/>
      <c r="R1243" s="19"/>
      <c r="S1243" s="19"/>
      <c r="T1243" s="19"/>
      <c r="U1243" s="19"/>
      <c r="V1243" s="19"/>
      <c r="W1243" s="19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</row>
    <row r="1244" spans="1:36" ht="11.25" customHeight="1" x14ac:dyDescent="0.2">
      <c r="A1244" s="55" t="s">
        <v>21</v>
      </c>
      <c r="B1244" s="55" t="s">
        <v>41</v>
      </c>
      <c r="C1244" s="55" t="s">
        <v>42</v>
      </c>
      <c r="D1244" s="55" t="s">
        <v>45</v>
      </c>
      <c r="E1244" s="55" t="s">
        <v>53</v>
      </c>
      <c r="F1244" s="55" t="s">
        <v>25</v>
      </c>
      <c r="G1244" s="55" t="s">
        <v>25</v>
      </c>
      <c r="H1244" s="55" t="s">
        <v>25</v>
      </c>
      <c r="I1244" s="63">
        <v>44440</v>
      </c>
      <c r="J1244" s="64">
        <f ca="1">EFEITO!$J$1244*EFEITO!$Y$1146</f>
        <v>330551.9063010168</v>
      </c>
      <c r="K1244" s="64">
        <f>EFEITO!$L$1244*EFEITO!$Z$1146</f>
        <v>0</v>
      </c>
      <c r="L1244" s="64">
        <f>EFEITO!$N$1244*EFEITO!$AA$1146</f>
        <v>0</v>
      </c>
      <c r="M1244" s="64">
        <f ca="1">$J$1244-EFEITO!$K$1244*EFEITO!$Y$1244</f>
        <v>6611.038126020343</v>
      </c>
      <c r="N1244" s="64">
        <f>$K$1244-EFEITO!$M$1244*EFEITO!$Z$1244</f>
        <v>0</v>
      </c>
      <c r="O1244" s="64">
        <f>$L$1244-EFEITO!$O$1244*EFEITO!$AA$1244</f>
        <v>0</v>
      </c>
      <c r="P1244" s="19"/>
      <c r="Q1244" s="19"/>
      <c r="R1244" s="19"/>
      <c r="S1244" s="19"/>
      <c r="T1244" s="19"/>
      <c r="U1244" s="19"/>
      <c r="V1244" s="19"/>
      <c r="W1244" s="19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</row>
    <row r="1245" spans="1:36" ht="11.25" customHeight="1" x14ac:dyDescent="0.2">
      <c r="A1245" s="55" t="s">
        <v>28</v>
      </c>
      <c r="B1245" s="55" t="s">
        <v>41</v>
      </c>
      <c r="C1245" s="55" t="s">
        <v>42</v>
      </c>
      <c r="D1245" s="55" t="s">
        <v>45</v>
      </c>
      <c r="E1245" s="55" t="s">
        <v>53</v>
      </c>
      <c r="F1245" s="55" t="s">
        <v>25</v>
      </c>
      <c r="G1245" s="55" t="s">
        <v>25</v>
      </c>
      <c r="H1245" s="55" t="s">
        <v>25</v>
      </c>
      <c r="I1245" s="63">
        <v>44440</v>
      </c>
      <c r="J1245" s="64">
        <f ca="1">EFEITO!$J$1245*EFEITO!$Y$1146</f>
        <v>1629.3701852967915</v>
      </c>
      <c r="K1245" s="64">
        <f>EFEITO!$L$1245*EFEITO!$Z$1146</f>
        <v>0</v>
      </c>
      <c r="L1245" s="64">
        <f>EFEITO!$N$1245*EFEITO!$AA$1146</f>
        <v>0</v>
      </c>
      <c r="M1245" s="64">
        <f ca="1">$J$1245-EFEITO!$K$1245*EFEITO!$Y$1245</f>
        <v>32.587403705935913</v>
      </c>
      <c r="N1245" s="64">
        <f>$K$1245-EFEITO!$M$1245*EFEITO!$Z$1245</f>
        <v>0</v>
      </c>
      <c r="O1245" s="64">
        <f>$L$1245-EFEITO!$O$1245*EFEITO!$AA$1245</f>
        <v>0</v>
      </c>
      <c r="P1245" s="19"/>
      <c r="Q1245" s="19"/>
      <c r="R1245" s="19"/>
      <c r="S1245" s="19"/>
      <c r="T1245" s="19"/>
      <c r="U1245" s="19"/>
      <c r="V1245" s="19"/>
      <c r="W1245" s="19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</row>
    <row r="1246" spans="1:36" ht="11.25" customHeight="1" x14ac:dyDescent="0.2">
      <c r="A1246" s="55" t="s">
        <v>21</v>
      </c>
      <c r="B1246" s="55" t="s">
        <v>41</v>
      </c>
      <c r="C1246" s="55" t="s">
        <v>42</v>
      </c>
      <c r="D1246" s="55" t="s">
        <v>45</v>
      </c>
      <c r="E1246" s="55" t="s">
        <v>53</v>
      </c>
      <c r="F1246" s="55" t="s">
        <v>25</v>
      </c>
      <c r="G1246" s="55" t="s">
        <v>25</v>
      </c>
      <c r="H1246" s="55" t="s">
        <v>25</v>
      </c>
      <c r="I1246" s="63">
        <v>44470</v>
      </c>
      <c r="J1246" s="64">
        <f ca="1">EFEITO!$J$1246*EFEITO!$Y$1146</f>
        <v>429733.24628988927</v>
      </c>
      <c r="K1246" s="64">
        <f>EFEITO!$L$1246*EFEITO!$Z$1146</f>
        <v>0</v>
      </c>
      <c r="L1246" s="64">
        <f>EFEITO!$N$1246*EFEITO!$AA$1146</f>
        <v>0</v>
      </c>
      <c r="M1246" s="64">
        <f ca="1">$J$1246-EFEITO!$K$1246*EFEITO!$Y$1246</f>
        <v>8594.6649257977842</v>
      </c>
      <c r="N1246" s="64">
        <f>$K$1246-EFEITO!$M$1246*EFEITO!$Z$1246</f>
        <v>0</v>
      </c>
      <c r="O1246" s="64">
        <f>$L$1246-EFEITO!$O$1246*EFEITO!$AA$1246</f>
        <v>0</v>
      </c>
      <c r="P1246" s="19"/>
      <c r="Q1246" s="19"/>
      <c r="R1246" s="19"/>
      <c r="S1246" s="19"/>
      <c r="T1246" s="19"/>
      <c r="U1246" s="19"/>
      <c r="V1246" s="19"/>
      <c r="W1246" s="19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</row>
    <row r="1247" spans="1:36" ht="11.25" customHeight="1" x14ac:dyDescent="0.2">
      <c r="A1247" s="55" t="s">
        <v>27</v>
      </c>
      <c r="B1247" s="55" t="s">
        <v>41</v>
      </c>
      <c r="C1247" s="55" t="s">
        <v>42</v>
      </c>
      <c r="D1247" s="55" t="s">
        <v>45</v>
      </c>
      <c r="E1247" s="55" t="s">
        <v>53</v>
      </c>
      <c r="F1247" s="55" t="s">
        <v>25</v>
      </c>
      <c r="G1247" s="55" t="s">
        <v>25</v>
      </c>
      <c r="H1247" s="55" t="s">
        <v>25</v>
      </c>
      <c r="I1247" s="63">
        <v>44470</v>
      </c>
      <c r="J1247" s="64">
        <f ca="1">EFEITO!$J$1247*EFEITO!$Y$1146</f>
        <v>1708.2106781337329</v>
      </c>
      <c r="K1247" s="64">
        <f>EFEITO!$L$1247*EFEITO!$Z$1146</f>
        <v>0</v>
      </c>
      <c r="L1247" s="64">
        <f>EFEITO!$N$1247*EFEITO!$AA$1146</f>
        <v>0</v>
      </c>
      <c r="M1247" s="64">
        <f ca="1">$J$1247-EFEITO!$K$1247*EFEITO!$Y$1247</f>
        <v>34.164213562674604</v>
      </c>
      <c r="N1247" s="64">
        <f>$K$1247-EFEITO!$M$1247*EFEITO!$Z$1247</f>
        <v>0</v>
      </c>
      <c r="O1247" s="64">
        <f>$L$1247-EFEITO!$O$1247*EFEITO!$AA$1247</f>
        <v>0</v>
      </c>
      <c r="P1247" s="19"/>
      <c r="Q1247" s="19"/>
      <c r="R1247" s="19"/>
      <c r="S1247" s="19"/>
      <c r="T1247" s="19"/>
      <c r="U1247" s="19"/>
      <c r="V1247" s="19"/>
      <c r="W1247" s="19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</row>
    <row r="1248" spans="1:36" ht="11.25" customHeight="1" x14ac:dyDescent="0.2">
      <c r="A1248" s="55" t="s">
        <v>28</v>
      </c>
      <c r="B1248" s="55" t="s">
        <v>41</v>
      </c>
      <c r="C1248" s="55" t="s">
        <v>42</v>
      </c>
      <c r="D1248" s="55" t="s">
        <v>45</v>
      </c>
      <c r="E1248" s="55" t="s">
        <v>53</v>
      </c>
      <c r="F1248" s="55" t="s">
        <v>25</v>
      </c>
      <c r="G1248" s="55" t="s">
        <v>25</v>
      </c>
      <c r="H1248" s="55" t="s">
        <v>25</v>
      </c>
      <c r="I1248" s="63">
        <v>44470</v>
      </c>
      <c r="J1248" s="64">
        <f ca="1">EFEITO!$J$1248*EFEITO!$Y$1146</f>
        <v>3311.300699151544</v>
      </c>
      <c r="K1248" s="64">
        <f>EFEITO!$L$1248*EFEITO!$Z$1146</f>
        <v>0</v>
      </c>
      <c r="L1248" s="64">
        <f>EFEITO!$N$1248*EFEITO!$AA$1146</f>
        <v>0</v>
      </c>
      <c r="M1248" s="64">
        <f ca="1">$J$1248-EFEITO!$K$1248*EFEITO!$Y$1248</f>
        <v>66.226013983030953</v>
      </c>
      <c r="N1248" s="64">
        <f>$K$1248-EFEITO!$M$1248*EFEITO!$Z$1248</f>
        <v>0</v>
      </c>
      <c r="O1248" s="64">
        <f>$L$1248-EFEITO!$O$1248*EFEITO!$AA$1248</f>
        <v>0</v>
      </c>
      <c r="P1248" s="19"/>
      <c r="Q1248" s="19"/>
      <c r="R1248" s="19"/>
      <c r="S1248" s="19"/>
      <c r="T1248" s="19"/>
      <c r="U1248" s="19"/>
      <c r="V1248" s="19"/>
      <c r="W1248" s="19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</row>
    <row r="1249" spans="1:36" ht="11.25" customHeight="1" x14ac:dyDescent="0.2">
      <c r="A1249" s="55" t="s">
        <v>21</v>
      </c>
      <c r="B1249" s="55" t="s">
        <v>41</v>
      </c>
      <c r="C1249" s="55" t="s">
        <v>42</v>
      </c>
      <c r="D1249" s="55" t="s">
        <v>45</v>
      </c>
      <c r="E1249" s="55" t="s">
        <v>53</v>
      </c>
      <c r="F1249" s="55" t="s">
        <v>25</v>
      </c>
      <c r="G1249" s="55" t="s">
        <v>25</v>
      </c>
      <c r="H1249" s="55" t="s">
        <v>25</v>
      </c>
      <c r="I1249" s="63">
        <v>44501</v>
      </c>
      <c r="J1249" s="64">
        <f ca="1">EFEITO!$J$1249*EFEITO!$Y$1146</f>
        <v>422243.39947037981</v>
      </c>
      <c r="K1249" s="64">
        <f>EFEITO!$L$1249*EFEITO!$Z$1146</f>
        <v>0</v>
      </c>
      <c r="L1249" s="64">
        <f>EFEITO!$N$1249*EFEITO!$AA$1146</f>
        <v>0</v>
      </c>
      <c r="M1249" s="64">
        <f ca="1">$J$1249-EFEITO!$K$1249*EFEITO!$Y$1249</f>
        <v>8444.8679894076195</v>
      </c>
      <c r="N1249" s="64">
        <f>$K$1249-EFEITO!$M$1249*EFEITO!$Z$1249</f>
        <v>0</v>
      </c>
      <c r="O1249" s="64">
        <f>$L$1249-EFEITO!$O$1249*EFEITO!$AA$1249</f>
        <v>0</v>
      </c>
      <c r="P1249" s="19"/>
      <c r="Q1249" s="19"/>
      <c r="R1249" s="19"/>
      <c r="S1249" s="19"/>
      <c r="T1249" s="19"/>
      <c r="U1249" s="19"/>
      <c r="V1249" s="19"/>
      <c r="W1249" s="19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</row>
    <row r="1250" spans="1:36" ht="11.25" customHeight="1" x14ac:dyDescent="0.2">
      <c r="A1250" s="55" t="s">
        <v>27</v>
      </c>
      <c r="B1250" s="55" t="s">
        <v>41</v>
      </c>
      <c r="C1250" s="55" t="s">
        <v>42</v>
      </c>
      <c r="D1250" s="55" t="s">
        <v>45</v>
      </c>
      <c r="E1250" s="55" t="s">
        <v>53</v>
      </c>
      <c r="F1250" s="55" t="s">
        <v>25</v>
      </c>
      <c r="G1250" s="55" t="s">
        <v>25</v>
      </c>
      <c r="H1250" s="55" t="s">
        <v>25</v>
      </c>
      <c r="I1250" s="63">
        <v>44501</v>
      </c>
      <c r="J1250" s="64">
        <f ca="1">EFEITO!$J$1250*EFEITO!$Y$1146</f>
        <v>-1208.8875568331034</v>
      </c>
      <c r="K1250" s="64">
        <f>EFEITO!$L$1250*EFEITO!$Z$1146</f>
        <v>0</v>
      </c>
      <c r="L1250" s="64">
        <f>EFEITO!$N$1250*EFEITO!$AA$1146</f>
        <v>0</v>
      </c>
      <c r="M1250" s="64">
        <f ca="1">$J$1250-EFEITO!$K$1250*EFEITO!$Y$1250</f>
        <v>-24.177751136662209</v>
      </c>
      <c r="N1250" s="64">
        <f>$K$1250-EFEITO!$M$1250*EFEITO!$Z$1250</f>
        <v>0</v>
      </c>
      <c r="O1250" s="64">
        <f>$L$1250-EFEITO!$O$1250*EFEITO!$AA$1250</f>
        <v>0</v>
      </c>
      <c r="P1250" s="19"/>
      <c r="Q1250" s="19"/>
      <c r="R1250" s="19"/>
      <c r="S1250" s="19"/>
      <c r="T1250" s="19"/>
      <c r="U1250" s="19"/>
      <c r="V1250" s="19"/>
      <c r="W1250" s="19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</row>
    <row r="1251" spans="1:36" ht="11.25" customHeight="1" x14ac:dyDescent="0.2">
      <c r="A1251" s="55" t="s">
        <v>28</v>
      </c>
      <c r="B1251" s="55" t="s">
        <v>41</v>
      </c>
      <c r="C1251" s="55" t="s">
        <v>42</v>
      </c>
      <c r="D1251" s="55" t="s">
        <v>45</v>
      </c>
      <c r="E1251" s="55" t="s">
        <v>53</v>
      </c>
      <c r="F1251" s="55" t="s">
        <v>25</v>
      </c>
      <c r="G1251" s="55" t="s">
        <v>25</v>
      </c>
      <c r="H1251" s="55" t="s">
        <v>25</v>
      </c>
      <c r="I1251" s="63">
        <v>44501</v>
      </c>
      <c r="J1251" s="64">
        <f ca="1">EFEITO!$J$1251*EFEITO!$Y$1146</f>
        <v>5676.5154842597894</v>
      </c>
      <c r="K1251" s="64">
        <f>EFEITO!$L$1251*EFEITO!$Z$1146</f>
        <v>0</v>
      </c>
      <c r="L1251" s="64">
        <f>EFEITO!$N$1251*EFEITO!$AA$1146</f>
        <v>0</v>
      </c>
      <c r="M1251" s="64">
        <f ca="1">$J$1251-EFEITO!$K$1251*EFEITO!$Y$1251</f>
        <v>113.53030968519579</v>
      </c>
      <c r="N1251" s="64">
        <f>$K$1251-EFEITO!$M$1251*EFEITO!$Z$1251</f>
        <v>0</v>
      </c>
      <c r="O1251" s="64">
        <f>$L$1251-EFEITO!$O$1251*EFEITO!$AA$1251</f>
        <v>0</v>
      </c>
      <c r="P1251" s="19"/>
      <c r="Q1251" s="19"/>
      <c r="R1251" s="19"/>
      <c r="S1251" s="19"/>
      <c r="T1251" s="19"/>
      <c r="U1251" s="19"/>
      <c r="V1251" s="19"/>
      <c r="W1251" s="19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</row>
    <row r="1252" spans="1:36" ht="11.25" customHeight="1" x14ac:dyDescent="0.2">
      <c r="A1252" s="55" t="s">
        <v>28</v>
      </c>
      <c r="B1252" s="55" t="s">
        <v>41</v>
      </c>
      <c r="C1252" s="55" t="s">
        <v>42</v>
      </c>
      <c r="D1252" s="55" t="s">
        <v>45</v>
      </c>
      <c r="E1252" s="55" t="s">
        <v>53</v>
      </c>
      <c r="F1252" s="55" t="s">
        <v>25</v>
      </c>
      <c r="G1252" s="55" t="s">
        <v>25</v>
      </c>
      <c r="H1252" s="55" t="s">
        <v>25</v>
      </c>
      <c r="I1252" s="63">
        <v>44501</v>
      </c>
      <c r="J1252" s="64">
        <f ca="1">EFEITO!$J$1252*EFEITO!$Y$1146</f>
        <v>6333.5195912343024</v>
      </c>
      <c r="K1252" s="64">
        <f>EFEITO!$L$1252*EFEITO!$Z$1146</f>
        <v>0</v>
      </c>
      <c r="L1252" s="64">
        <f>EFEITO!$N$1252*EFEITO!$AA$1146</f>
        <v>0</v>
      </c>
      <c r="M1252" s="64">
        <f ca="1">$J$1252-EFEITO!$K$1252*EFEITO!$Y$1252</f>
        <v>126.67039182468579</v>
      </c>
      <c r="N1252" s="64">
        <f>$K$1252-EFEITO!$M$1252*EFEITO!$Z$1252</f>
        <v>0</v>
      </c>
      <c r="O1252" s="64">
        <f>$L$1252-EFEITO!$O$1252*EFEITO!$AA$1252</f>
        <v>0</v>
      </c>
      <c r="P1252" s="19"/>
      <c r="Q1252" s="19"/>
      <c r="R1252" s="19"/>
      <c r="S1252" s="19"/>
      <c r="T1252" s="19"/>
      <c r="U1252" s="19"/>
      <c r="V1252" s="19"/>
      <c r="W1252" s="19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</row>
    <row r="1253" spans="1:36" ht="11.25" customHeight="1" x14ac:dyDescent="0.2">
      <c r="A1253" s="55" t="s">
        <v>21</v>
      </c>
      <c r="B1253" s="55" t="s">
        <v>41</v>
      </c>
      <c r="C1253" s="55" t="s">
        <v>42</v>
      </c>
      <c r="D1253" s="55" t="s">
        <v>45</v>
      </c>
      <c r="E1253" s="55" t="s">
        <v>53</v>
      </c>
      <c r="F1253" s="55" t="s">
        <v>25</v>
      </c>
      <c r="G1253" s="55" t="s">
        <v>25</v>
      </c>
      <c r="H1253" s="55" t="s">
        <v>25</v>
      </c>
      <c r="I1253" s="63">
        <v>44531</v>
      </c>
      <c r="J1253" s="64">
        <f ca="1">EFEITO!$J$1253*EFEITO!$Y$1146</f>
        <v>475618.41312098922</v>
      </c>
      <c r="K1253" s="64">
        <f>EFEITO!$L$1253*EFEITO!$Z$1146</f>
        <v>0</v>
      </c>
      <c r="L1253" s="64">
        <f>EFEITO!$N$1253*EFEITO!$AA$1146</f>
        <v>0</v>
      </c>
      <c r="M1253" s="64">
        <f ca="1">$J$1253-EFEITO!$K$1253*EFEITO!$Y$1253</f>
        <v>9512.3682624197681</v>
      </c>
      <c r="N1253" s="64">
        <f>$K$1253-EFEITO!$M$1253*EFEITO!$Z$1253</f>
        <v>0</v>
      </c>
      <c r="O1253" s="64">
        <f>$L$1253-EFEITO!$O$1253*EFEITO!$AA$1253</f>
        <v>0</v>
      </c>
      <c r="P1253" s="19"/>
      <c r="Q1253" s="19"/>
      <c r="R1253" s="19"/>
      <c r="S1253" s="19"/>
      <c r="T1253" s="19"/>
      <c r="U1253" s="19"/>
      <c r="V1253" s="19"/>
      <c r="W1253" s="19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</row>
    <row r="1254" spans="1:36" ht="11.25" customHeight="1" x14ac:dyDescent="0.2">
      <c r="A1254" s="55" t="s">
        <v>27</v>
      </c>
      <c r="B1254" s="55" t="s">
        <v>41</v>
      </c>
      <c r="C1254" s="55" t="s">
        <v>42</v>
      </c>
      <c r="D1254" s="55" t="s">
        <v>45</v>
      </c>
      <c r="E1254" s="55" t="s">
        <v>53</v>
      </c>
      <c r="F1254" s="55" t="s">
        <v>25</v>
      </c>
      <c r="G1254" s="55" t="s">
        <v>25</v>
      </c>
      <c r="H1254" s="55" t="s">
        <v>25</v>
      </c>
      <c r="I1254" s="63">
        <v>44531</v>
      </c>
      <c r="J1254" s="64">
        <f ca="1">EFEITO!$J$1254*EFEITO!$Y$1146</f>
        <v>-183.96114995286354</v>
      </c>
      <c r="K1254" s="64">
        <f>EFEITO!$L$1254*EFEITO!$Z$1146</f>
        <v>0</v>
      </c>
      <c r="L1254" s="64">
        <f>EFEITO!$N$1254*EFEITO!$AA$1146</f>
        <v>0</v>
      </c>
      <c r="M1254" s="64">
        <f ca="1">$J$1254-EFEITO!$K$1254*EFEITO!$Y$1254</f>
        <v>-3.6792229990572594</v>
      </c>
      <c r="N1254" s="64">
        <f>$K$1254-EFEITO!$M$1254*EFEITO!$Z$1254</f>
        <v>0</v>
      </c>
      <c r="O1254" s="64">
        <f>$L$1254-EFEITO!$O$1254*EFEITO!$AA$1254</f>
        <v>0</v>
      </c>
      <c r="P1254" s="19"/>
      <c r="Q1254" s="19"/>
      <c r="R1254" s="19"/>
      <c r="S1254" s="19"/>
      <c r="T1254" s="19"/>
      <c r="U1254" s="19"/>
      <c r="V1254" s="19"/>
      <c r="W1254" s="19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</row>
    <row r="1255" spans="1:36" ht="11.25" customHeight="1" x14ac:dyDescent="0.2">
      <c r="A1255" s="55" t="s">
        <v>28</v>
      </c>
      <c r="B1255" s="55" t="s">
        <v>41</v>
      </c>
      <c r="C1255" s="55" t="s">
        <v>42</v>
      </c>
      <c r="D1255" s="55" t="s">
        <v>45</v>
      </c>
      <c r="E1255" s="55" t="s">
        <v>53</v>
      </c>
      <c r="F1255" s="55" t="s">
        <v>25</v>
      </c>
      <c r="G1255" s="55" t="s">
        <v>25</v>
      </c>
      <c r="H1255" s="55" t="s">
        <v>25</v>
      </c>
      <c r="I1255" s="63">
        <v>44531</v>
      </c>
      <c r="J1255" s="64">
        <f ca="1">EFEITO!$J$1255*EFEITO!$Y$1146</f>
        <v>4020.8651346840174</v>
      </c>
      <c r="K1255" s="64">
        <f>EFEITO!$L$1255*EFEITO!$Z$1146</f>
        <v>0</v>
      </c>
      <c r="L1255" s="64">
        <f>EFEITO!$N$1255*EFEITO!$AA$1146</f>
        <v>0</v>
      </c>
      <c r="M1255" s="64">
        <f ca="1">$J$1255-EFEITO!$K$1255*EFEITO!$Y$1255</f>
        <v>80.417302693680085</v>
      </c>
      <c r="N1255" s="64">
        <f>$K$1255-EFEITO!$M$1255*EFEITO!$Z$1255</f>
        <v>0</v>
      </c>
      <c r="O1255" s="64">
        <f>$L$1255-EFEITO!$O$1255*EFEITO!$AA$1255</f>
        <v>0</v>
      </c>
      <c r="P1255" s="19"/>
      <c r="Q1255" s="19"/>
      <c r="R1255" s="19"/>
      <c r="S1255" s="19"/>
      <c r="T1255" s="19"/>
      <c r="U1255" s="19"/>
      <c r="V1255" s="19"/>
      <c r="W1255" s="19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</row>
    <row r="1256" spans="1:36" ht="11.25" customHeight="1" x14ac:dyDescent="0.2">
      <c r="A1256" s="55" t="s">
        <v>21</v>
      </c>
      <c r="B1256" s="55" t="s">
        <v>41</v>
      </c>
      <c r="C1256" s="55" t="s">
        <v>42</v>
      </c>
      <c r="D1256" s="55" t="s">
        <v>45</v>
      </c>
      <c r="E1256" s="55" t="s">
        <v>53</v>
      </c>
      <c r="F1256" s="55" t="s">
        <v>25</v>
      </c>
      <c r="G1256" s="55" t="s">
        <v>25</v>
      </c>
      <c r="H1256" s="55" t="s">
        <v>25</v>
      </c>
      <c r="I1256" s="63">
        <v>44562</v>
      </c>
      <c r="J1256" s="64">
        <f ca="1">EFEITO!$J$1256*EFEITO!$Y$1146</f>
        <v>477011.26182777516</v>
      </c>
      <c r="K1256" s="64">
        <f>EFEITO!$L$1256*EFEITO!$Z$1146</f>
        <v>0</v>
      </c>
      <c r="L1256" s="64">
        <f>EFEITO!$N$1256*EFEITO!$AA$1146</f>
        <v>0</v>
      </c>
      <c r="M1256" s="64">
        <f ca="1">$J$1256-EFEITO!$K$1256*EFEITO!$Y$1256</f>
        <v>9540.2252365555032</v>
      </c>
      <c r="N1256" s="64">
        <f>$K$1256-EFEITO!$M$1256*EFEITO!$Z$1256</f>
        <v>0</v>
      </c>
      <c r="O1256" s="64">
        <f>$L$1256-EFEITO!$O$1256*EFEITO!$AA$1256</f>
        <v>0</v>
      </c>
      <c r="P1256" s="19"/>
      <c r="Q1256" s="19"/>
      <c r="R1256" s="19"/>
      <c r="S1256" s="19"/>
      <c r="T1256" s="19"/>
      <c r="U1256" s="19"/>
      <c r="V1256" s="19"/>
      <c r="W1256" s="19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</row>
    <row r="1257" spans="1:36" ht="11.25" customHeight="1" x14ac:dyDescent="0.2">
      <c r="A1257" s="55" t="s">
        <v>27</v>
      </c>
      <c r="B1257" s="55" t="s">
        <v>41</v>
      </c>
      <c r="C1257" s="55" t="s">
        <v>42</v>
      </c>
      <c r="D1257" s="55" t="s">
        <v>45</v>
      </c>
      <c r="E1257" s="55" t="s">
        <v>53</v>
      </c>
      <c r="F1257" s="55" t="s">
        <v>25</v>
      </c>
      <c r="G1257" s="55" t="s">
        <v>25</v>
      </c>
      <c r="H1257" s="55" t="s">
        <v>25</v>
      </c>
      <c r="I1257" s="63">
        <v>44562</v>
      </c>
      <c r="J1257" s="64">
        <f ca="1">EFEITO!$J$1257*EFEITO!$Y$1146</f>
        <v>-4520.1882559846472</v>
      </c>
      <c r="K1257" s="64">
        <f>EFEITO!$L$1257*EFEITO!$Z$1146</f>
        <v>0</v>
      </c>
      <c r="L1257" s="64">
        <f>EFEITO!$N$1257*EFEITO!$AA$1146</f>
        <v>0</v>
      </c>
      <c r="M1257" s="64">
        <f ca="1">$J$1257-EFEITO!$K$1257*EFEITO!$Y$1257</f>
        <v>-90.403765119693162</v>
      </c>
      <c r="N1257" s="64">
        <f>$K$1257-EFEITO!$M$1257*EFEITO!$Z$1257</f>
        <v>0</v>
      </c>
      <c r="O1257" s="64">
        <f>$L$1257-EFEITO!$O$1257*EFEITO!$AA$1257</f>
        <v>0</v>
      </c>
      <c r="P1257" s="19"/>
      <c r="Q1257" s="19"/>
      <c r="R1257" s="19"/>
      <c r="S1257" s="19"/>
      <c r="T1257" s="19"/>
      <c r="U1257" s="19"/>
      <c r="V1257" s="19"/>
      <c r="W1257" s="19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</row>
    <row r="1258" spans="1:36" ht="11.25" customHeight="1" x14ac:dyDescent="0.2">
      <c r="A1258" s="55" t="s">
        <v>28</v>
      </c>
      <c r="B1258" s="55" t="s">
        <v>41</v>
      </c>
      <c r="C1258" s="55" t="s">
        <v>42</v>
      </c>
      <c r="D1258" s="55" t="s">
        <v>45</v>
      </c>
      <c r="E1258" s="55" t="s">
        <v>53</v>
      </c>
      <c r="F1258" s="55" t="s">
        <v>25</v>
      </c>
      <c r="G1258" s="55" t="s">
        <v>25</v>
      </c>
      <c r="H1258" s="55" t="s">
        <v>25</v>
      </c>
      <c r="I1258" s="63">
        <v>44562</v>
      </c>
      <c r="J1258" s="64">
        <f ca="1">EFEITO!$J$1258*EFEITO!$Y$1146</f>
        <v>3390.1411919884854</v>
      </c>
      <c r="K1258" s="64">
        <f>EFEITO!$L$1258*EFEITO!$Z$1146</f>
        <v>0</v>
      </c>
      <c r="L1258" s="64">
        <f>EFEITO!$N$1258*EFEITO!$AA$1146</f>
        <v>0</v>
      </c>
      <c r="M1258" s="64">
        <f ca="1">$J$1258-EFEITO!$K$1258*EFEITO!$Y$1258</f>
        <v>67.802823839769644</v>
      </c>
      <c r="N1258" s="64">
        <f>$K$1258-EFEITO!$M$1258*EFEITO!$Z$1258</f>
        <v>0</v>
      </c>
      <c r="O1258" s="64">
        <f>$L$1258-EFEITO!$O$1258*EFEITO!$AA$1258</f>
        <v>0</v>
      </c>
      <c r="P1258" s="19"/>
      <c r="Q1258" s="19"/>
      <c r="R1258" s="19"/>
      <c r="S1258" s="19"/>
      <c r="T1258" s="19"/>
      <c r="U1258" s="19"/>
      <c r="V1258" s="19"/>
      <c r="W1258" s="19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</row>
    <row r="1259" spans="1:36" ht="11.25" customHeight="1" x14ac:dyDescent="0.2">
      <c r="A1259" s="55" t="s">
        <v>21</v>
      </c>
      <c r="B1259" s="55" t="s">
        <v>41</v>
      </c>
      <c r="C1259" s="55" t="s">
        <v>42</v>
      </c>
      <c r="D1259" s="55" t="s">
        <v>45</v>
      </c>
      <c r="E1259" s="55" t="s">
        <v>53</v>
      </c>
      <c r="F1259" s="55" t="s">
        <v>25</v>
      </c>
      <c r="G1259" s="55" t="s">
        <v>25</v>
      </c>
      <c r="H1259" s="55" t="s">
        <v>25</v>
      </c>
      <c r="I1259" s="63">
        <v>44593</v>
      </c>
      <c r="J1259" s="64">
        <f ca="1">EFEITO!$J$1259*EFEITO!$Y$1146</f>
        <v>443293.81105784321</v>
      </c>
      <c r="K1259" s="64">
        <f>EFEITO!$L$1259*EFEITO!$Z$1146</f>
        <v>0</v>
      </c>
      <c r="L1259" s="64">
        <f>EFEITO!$N$1259*EFEITO!$AA$1146</f>
        <v>0</v>
      </c>
      <c r="M1259" s="64">
        <f ca="1">$J$1259-EFEITO!$K$1259*EFEITO!$Y$1259</f>
        <v>8865.8762211568537</v>
      </c>
      <c r="N1259" s="64">
        <f>$K$1259-EFEITO!$M$1259*EFEITO!$Z$1259</f>
        <v>0</v>
      </c>
      <c r="O1259" s="64">
        <f>$L$1259-EFEITO!$O$1259*EFEITO!$AA$1259</f>
        <v>0</v>
      </c>
      <c r="P1259" s="19"/>
      <c r="Q1259" s="19"/>
      <c r="R1259" s="19"/>
      <c r="S1259" s="19"/>
      <c r="T1259" s="19"/>
      <c r="U1259" s="19"/>
      <c r="V1259" s="19"/>
      <c r="W1259" s="19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</row>
    <row r="1260" spans="1:36" ht="11.25" customHeight="1" x14ac:dyDescent="0.2">
      <c r="A1260" s="55" t="s">
        <v>27</v>
      </c>
      <c r="B1260" s="55" t="s">
        <v>41</v>
      </c>
      <c r="C1260" s="55" t="s">
        <v>42</v>
      </c>
      <c r="D1260" s="55" t="s">
        <v>45</v>
      </c>
      <c r="E1260" s="55" t="s">
        <v>53</v>
      </c>
      <c r="F1260" s="55" t="s">
        <v>25</v>
      </c>
      <c r="G1260" s="55" t="s">
        <v>25</v>
      </c>
      <c r="H1260" s="55" t="s">
        <v>25</v>
      </c>
      <c r="I1260" s="63">
        <v>44593</v>
      </c>
      <c r="J1260" s="64">
        <f ca="1">EFEITO!$J$1260*EFEITO!$Y$1146</f>
        <v>-7989.169940810074</v>
      </c>
      <c r="K1260" s="64">
        <f>EFEITO!$L$1260*EFEITO!$Z$1146</f>
        <v>0</v>
      </c>
      <c r="L1260" s="64">
        <f>EFEITO!$N$1260*EFEITO!$AA$1146</f>
        <v>0</v>
      </c>
      <c r="M1260" s="64">
        <f ca="1">$J$1260-EFEITO!$K$1260*EFEITO!$Y$1260</f>
        <v>-159.78339881620104</v>
      </c>
      <c r="N1260" s="64">
        <f>$K$1260-EFEITO!$M$1260*EFEITO!$Z$1260</f>
        <v>0</v>
      </c>
      <c r="O1260" s="64">
        <f>$L$1260-EFEITO!$O$1260*EFEITO!$AA$1260</f>
        <v>0</v>
      </c>
      <c r="P1260" s="19"/>
      <c r="Q1260" s="19"/>
      <c r="R1260" s="19"/>
      <c r="S1260" s="19"/>
      <c r="T1260" s="19"/>
      <c r="U1260" s="19"/>
      <c r="V1260" s="19"/>
      <c r="W1260" s="19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</row>
    <row r="1261" spans="1:36" ht="11.25" customHeight="1" x14ac:dyDescent="0.2">
      <c r="A1261" s="55" t="s">
        <v>28</v>
      </c>
      <c r="B1261" s="55" t="s">
        <v>41</v>
      </c>
      <c r="C1261" s="55" t="s">
        <v>42</v>
      </c>
      <c r="D1261" s="55" t="s">
        <v>45</v>
      </c>
      <c r="E1261" s="55" t="s">
        <v>53</v>
      </c>
      <c r="F1261" s="55" t="s">
        <v>25</v>
      </c>
      <c r="G1261" s="55" t="s">
        <v>25</v>
      </c>
      <c r="H1261" s="55" t="s">
        <v>25</v>
      </c>
      <c r="I1261" s="63">
        <v>44593</v>
      </c>
      <c r="J1261" s="64">
        <f ca="1">EFEITO!$J$1261*EFEITO!$Y$1146</f>
        <v>946.08591404329832</v>
      </c>
      <c r="K1261" s="64">
        <f>EFEITO!$L$1261*EFEITO!$Z$1146</f>
        <v>0</v>
      </c>
      <c r="L1261" s="64">
        <f>EFEITO!$N$1261*EFEITO!$AA$1146</f>
        <v>0</v>
      </c>
      <c r="M1261" s="64">
        <f ca="1">$J$1261-EFEITO!$K$1261*EFEITO!$Y$1261</f>
        <v>18.921718280866003</v>
      </c>
      <c r="N1261" s="64">
        <f>$K$1261-EFEITO!$M$1261*EFEITO!$Z$1261</f>
        <v>0</v>
      </c>
      <c r="O1261" s="64">
        <f>$L$1261-EFEITO!$O$1261*EFEITO!$AA$1261</f>
        <v>0</v>
      </c>
      <c r="P1261" s="19"/>
      <c r="Q1261" s="19"/>
      <c r="R1261" s="19"/>
      <c r="S1261" s="19"/>
      <c r="T1261" s="19"/>
      <c r="U1261" s="19"/>
      <c r="V1261" s="19"/>
      <c r="W1261" s="19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</row>
    <row r="1262" spans="1:36" ht="11.25" customHeight="1" x14ac:dyDescent="0.2">
      <c r="A1262" s="55" t="s">
        <v>21</v>
      </c>
      <c r="B1262" s="55" t="s">
        <v>41</v>
      </c>
      <c r="C1262" s="55" t="s">
        <v>42</v>
      </c>
      <c r="D1262" s="55" t="s">
        <v>45</v>
      </c>
      <c r="E1262" s="55" t="s">
        <v>53</v>
      </c>
      <c r="F1262" s="55" t="s">
        <v>25</v>
      </c>
      <c r="G1262" s="55" t="s">
        <v>25</v>
      </c>
      <c r="H1262" s="55" t="s">
        <v>25</v>
      </c>
      <c r="I1262" s="63">
        <v>44621</v>
      </c>
      <c r="J1262" s="64">
        <f ca="1">EFEITO!$J$1262*EFEITO!$Y$1146</f>
        <v>409865.44209497998</v>
      </c>
      <c r="K1262" s="64">
        <f>EFEITO!$L$1262*EFEITO!$Z$1146</f>
        <v>0</v>
      </c>
      <c r="L1262" s="64">
        <f>EFEITO!$N$1262*EFEITO!$AA$1146</f>
        <v>0</v>
      </c>
      <c r="M1262" s="64">
        <f ca="1">$J$1262-EFEITO!$K$1262*EFEITO!$Y$1262</f>
        <v>8197.3088418995612</v>
      </c>
      <c r="N1262" s="64">
        <f>$K$1262-EFEITO!$M$1262*EFEITO!$Z$1262</f>
        <v>0</v>
      </c>
      <c r="O1262" s="64">
        <f>$L$1262-EFEITO!$O$1262*EFEITO!$AA$1262</f>
        <v>0</v>
      </c>
      <c r="P1262" s="19"/>
      <c r="Q1262" s="19"/>
      <c r="R1262" s="19"/>
      <c r="S1262" s="19"/>
      <c r="T1262" s="19"/>
      <c r="U1262" s="19"/>
      <c r="V1262" s="19"/>
      <c r="W1262" s="19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</row>
    <row r="1263" spans="1:36" ht="11.25" customHeight="1" x14ac:dyDescent="0.2">
      <c r="A1263" s="55" t="s">
        <v>28</v>
      </c>
      <c r="B1263" s="55" t="s">
        <v>41</v>
      </c>
      <c r="C1263" s="55" t="s">
        <v>42</v>
      </c>
      <c r="D1263" s="55" t="s">
        <v>45</v>
      </c>
      <c r="E1263" s="55" t="s">
        <v>53</v>
      </c>
      <c r="F1263" s="55" t="s">
        <v>25</v>
      </c>
      <c r="G1263" s="55" t="s">
        <v>25</v>
      </c>
      <c r="H1263" s="55" t="s">
        <v>25</v>
      </c>
      <c r="I1263" s="63">
        <v>44621</v>
      </c>
      <c r="J1263" s="64">
        <f ca="1">EFEITO!$J$1263*EFEITO!$Y$1146</f>
        <v>2338.934620829265</v>
      </c>
      <c r="K1263" s="64">
        <f>EFEITO!$L$1263*EFEITO!$Z$1146</f>
        <v>0</v>
      </c>
      <c r="L1263" s="64">
        <f>EFEITO!$N$1263*EFEITO!$AA$1146</f>
        <v>0</v>
      </c>
      <c r="M1263" s="64">
        <f ca="1">$J$1263-EFEITO!$K$1263*EFEITO!$Y$1263</f>
        <v>46.778692416585272</v>
      </c>
      <c r="N1263" s="64">
        <f>$K$1263-EFEITO!$M$1263*EFEITO!$Z$1263</f>
        <v>0</v>
      </c>
      <c r="O1263" s="64">
        <f>$L$1263-EFEITO!$O$1263*EFEITO!$AA$1263</f>
        <v>0</v>
      </c>
      <c r="P1263" s="19"/>
      <c r="Q1263" s="19"/>
      <c r="R1263" s="19"/>
      <c r="S1263" s="19"/>
      <c r="T1263" s="19"/>
      <c r="U1263" s="19"/>
      <c r="V1263" s="19"/>
      <c r="W1263" s="19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</row>
    <row r="1264" spans="1:36" ht="11.25" customHeight="1" x14ac:dyDescent="0.2">
      <c r="A1264" s="55" t="s">
        <v>21</v>
      </c>
      <c r="B1264" s="55" t="s">
        <v>41</v>
      </c>
      <c r="C1264" s="55" t="s">
        <v>42</v>
      </c>
      <c r="D1264" s="55" t="s">
        <v>45</v>
      </c>
      <c r="E1264" s="55" t="s">
        <v>53</v>
      </c>
      <c r="F1264" s="55" t="s">
        <v>25</v>
      </c>
      <c r="G1264" s="55" t="s">
        <v>25</v>
      </c>
      <c r="H1264" s="55" t="s">
        <v>25</v>
      </c>
      <c r="I1264" s="63">
        <v>44652</v>
      </c>
      <c r="J1264" s="64">
        <f ca="1">EFEITO!$J$1264*EFEITO!$Y$1146</f>
        <v>366634.57185605704</v>
      </c>
      <c r="K1264" s="64">
        <f>EFEITO!$L$1264*EFEITO!$Z$1146</f>
        <v>0</v>
      </c>
      <c r="L1264" s="64">
        <f>EFEITO!$N$1264*EFEITO!$AA$1146</f>
        <v>0</v>
      </c>
      <c r="M1264" s="64">
        <f ca="1">$J$1264-EFEITO!$K$1264*EFEITO!$Y$1264</f>
        <v>7332.6914371211315</v>
      </c>
      <c r="N1264" s="64">
        <f>$K$1264-EFEITO!$M$1264*EFEITO!$Z$1264</f>
        <v>0</v>
      </c>
      <c r="O1264" s="64">
        <f>$L$1264-EFEITO!$O$1264*EFEITO!$AA$1264</f>
        <v>0</v>
      </c>
      <c r="P1264" s="19"/>
      <c r="Q1264" s="19"/>
      <c r="R1264" s="19"/>
      <c r="S1264" s="19"/>
      <c r="T1264" s="19"/>
      <c r="U1264" s="19"/>
      <c r="V1264" s="19"/>
      <c r="W1264" s="19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</row>
    <row r="1265" spans="1:36" ht="11.25" customHeight="1" x14ac:dyDescent="0.2">
      <c r="A1265" s="55" t="s">
        <v>27</v>
      </c>
      <c r="B1265" s="55" t="s">
        <v>41</v>
      </c>
      <c r="C1265" s="55" t="s">
        <v>42</v>
      </c>
      <c r="D1265" s="55" t="s">
        <v>45</v>
      </c>
      <c r="E1265" s="55" t="s">
        <v>53</v>
      </c>
      <c r="F1265" s="55" t="s">
        <v>25</v>
      </c>
      <c r="G1265" s="55" t="s">
        <v>25</v>
      </c>
      <c r="H1265" s="55" t="s">
        <v>25</v>
      </c>
      <c r="I1265" s="63">
        <v>44652</v>
      </c>
      <c r="J1265" s="64">
        <f ca="1">EFEITO!$J$1265*EFEITO!$Y$1146</f>
        <v>-446.76279274266864</v>
      </c>
      <c r="K1265" s="64">
        <f>EFEITO!$L$1265*EFEITO!$Z$1146</f>
        <v>0</v>
      </c>
      <c r="L1265" s="64">
        <f>EFEITO!$N$1265*EFEITO!$AA$1146</f>
        <v>0</v>
      </c>
      <c r="M1265" s="64">
        <f ca="1">$J$1265-EFEITO!$K$1265*EFEITO!$Y$1265</f>
        <v>-8.9352558548533807</v>
      </c>
      <c r="N1265" s="64">
        <f>$K$1265-EFEITO!$M$1265*EFEITO!$Z$1265</f>
        <v>0</v>
      </c>
      <c r="O1265" s="64">
        <f>$L$1265-EFEITO!$O$1265*EFEITO!$AA$1265</f>
        <v>0</v>
      </c>
      <c r="P1265" s="19"/>
      <c r="Q1265" s="19"/>
      <c r="R1265" s="19"/>
      <c r="S1265" s="19"/>
      <c r="T1265" s="19"/>
      <c r="U1265" s="19"/>
      <c r="V1265" s="19"/>
      <c r="W1265" s="19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</row>
    <row r="1266" spans="1:36" ht="11.25" customHeight="1" x14ac:dyDescent="0.2">
      <c r="A1266" s="55" t="s">
        <v>28</v>
      </c>
      <c r="B1266" s="55" t="s">
        <v>41</v>
      </c>
      <c r="C1266" s="55" t="s">
        <v>42</v>
      </c>
      <c r="D1266" s="55" t="s">
        <v>45</v>
      </c>
      <c r="E1266" s="55" t="s">
        <v>53</v>
      </c>
      <c r="F1266" s="55" t="s">
        <v>25</v>
      </c>
      <c r="G1266" s="55" t="s">
        <v>25</v>
      </c>
      <c r="H1266" s="55" t="s">
        <v>25</v>
      </c>
      <c r="I1266" s="63">
        <v>44652</v>
      </c>
      <c r="J1266" s="64">
        <f ca="1">EFEITO!$J$1266*EFEITO!$Y$1146</f>
        <v>6096.9981127234778</v>
      </c>
      <c r="K1266" s="64">
        <f>EFEITO!$L$1266*EFEITO!$Z$1146</f>
        <v>0</v>
      </c>
      <c r="L1266" s="64">
        <f>EFEITO!$N$1266*EFEITO!$AA$1146</f>
        <v>0</v>
      </c>
      <c r="M1266" s="64">
        <f ca="1">$J$1266-EFEITO!$K$1266*EFEITO!$Y$1266</f>
        <v>121.93996225446972</v>
      </c>
      <c r="N1266" s="64">
        <f>$K$1266-EFEITO!$M$1266*EFEITO!$Z$1266</f>
        <v>0</v>
      </c>
      <c r="O1266" s="64">
        <f>$L$1266-EFEITO!$O$1266*EFEITO!$AA$1266</f>
        <v>0</v>
      </c>
      <c r="P1266" s="19"/>
      <c r="Q1266" s="19"/>
      <c r="R1266" s="19"/>
      <c r="S1266" s="19"/>
      <c r="T1266" s="19"/>
      <c r="U1266" s="19"/>
      <c r="V1266" s="19"/>
      <c r="W1266" s="19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</row>
    <row r="1267" spans="1:36" ht="11.25" customHeight="1" x14ac:dyDescent="0.2">
      <c r="A1267" s="55" t="s">
        <v>28</v>
      </c>
      <c r="B1267" s="55" t="s">
        <v>41</v>
      </c>
      <c r="C1267" s="55" t="s">
        <v>42</v>
      </c>
      <c r="D1267" s="55" t="s">
        <v>45</v>
      </c>
      <c r="E1267" s="55" t="s">
        <v>53</v>
      </c>
      <c r="F1267" s="55" t="s">
        <v>25</v>
      </c>
      <c r="G1267" s="55" t="s">
        <v>25</v>
      </c>
      <c r="H1267" s="55" t="s">
        <v>25</v>
      </c>
      <c r="I1267" s="63">
        <v>44652</v>
      </c>
      <c r="J1267" s="64">
        <f ca="1">EFEITO!$J$1267*EFEITO!$Y$1146</f>
        <v>15111.094460413791</v>
      </c>
      <c r="K1267" s="64">
        <f>EFEITO!$L$1267*EFEITO!$Z$1146</f>
        <v>0</v>
      </c>
      <c r="L1267" s="64">
        <f>EFEITO!$N$1267*EFEITO!$AA$1146</f>
        <v>0</v>
      </c>
      <c r="M1267" s="64">
        <f ca="1">$J$1267-EFEITO!$K$1267*EFEITO!$Y$1267</f>
        <v>302.22188920827466</v>
      </c>
      <c r="N1267" s="64">
        <f>$K$1267-EFEITO!$M$1267*EFEITO!$Z$1267</f>
        <v>0</v>
      </c>
      <c r="O1267" s="64">
        <f>$L$1267-EFEITO!$O$1267*EFEITO!$AA$1267</f>
        <v>0</v>
      </c>
      <c r="P1267" s="19"/>
      <c r="Q1267" s="19"/>
      <c r="R1267" s="19"/>
      <c r="S1267" s="19"/>
      <c r="T1267" s="19"/>
      <c r="U1267" s="19"/>
      <c r="V1267" s="19"/>
      <c r="W1267" s="19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</row>
    <row r="1268" spans="1:36" ht="11.25" customHeight="1" x14ac:dyDescent="0.2">
      <c r="A1268" s="55" t="s">
        <v>21</v>
      </c>
      <c r="B1268" s="55" t="s">
        <v>41</v>
      </c>
      <c r="C1268" s="55" t="s">
        <v>42</v>
      </c>
      <c r="D1268" s="55" t="s">
        <v>45</v>
      </c>
      <c r="E1268" s="55" t="s">
        <v>53</v>
      </c>
      <c r="F1268" s="55" t="s">
        <v>25</v>
      </c>
      <c r="G1268" s="55" t="s">
        <v>25</v>
      </c>
      <c r="H1268" s="55" t="s">
        <v>25</v>
      </c>
      <c r="I1268" s="63">
        <v>44682</v>
      </c>
      <c r="J1268" s="64">
        <f ca="1">EFEITO!$J$1268*EFEITO!$Y$1146</f>
        <v>280724.71482806979</v>
      </c>
      <c r="K1268" s="64">
        <f>EFEITO!$L$1268*EFEITO!$Z$1146</f>
        <v>0</v>
      </c>
      <c r="L1268" s="64">
        <f>EFEITO!$N$1268*EFEITO!$AA$1146</f>
        <v>0</v>
      </c>
      <c r="M1268" s="64">
        <f ca="1">$J$1268-EFEITO!$K$1268*EFEITO!$Y$1268</f>
        <v>5614.4942965614027</v>
      </c>
      <c r="N1268" s="64">
        <f>$K$1268-EFEITO!$M$1268*EFEITO!$Z$1268</f>
        <v>0</v>
      </c>
      <c r="O1268" s="64">
        <f>$L$1268-EFEITO!$O$1268*EFEITO!$AA$1268</f>
        <v>0</v>
      </c>
      <c r="P1268" s="19"/>
      <c r="Q1268" s="19"/>
      <c r="R1268" s="19"/>
      <c r="S1268" s="19"/>
      <c r="T1268" s="19"/>
      <c r="U1268" s="19"/>
      <c r="V1268" s="19"/>
      <c r="W1268" s="19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</row>
    <row r="1269" spans="1:36" ht="11.25" customHeight="1" x14ac:dyDescent="0.2">
      <c r="A1269" s="55" t="s">
        <v>28</v>
      </c>
      <c r="B1269" s="55" t="s">
        <v>41</v>
      </c>
      <c r="C1269" s="55" t="s">
        <v>42</v>
      </c>
      <c r="D1269" s="55" t="s">
        <v>45</v>
      </c>
      <c r="E1269" s="55" t="s">
        <v>53</v>
      </c>
      <c r="F1269" s="55" t="s">
        <v>25</v>
      </c>
      <c r="G1269" s="55" t="s">
        <v>25</v>
      </c>
      <c r="H1269" s="55" t="s">
        <v>25</v>
      </c>
      <c r="I1269" s="63">
        <v>44682</v>
      </c>
      <c r="J1269" s="64">
        <f ca="1">EFEITO!$J$1269*EFEITO!$Y$1146</f>
        <v>3679.222999057271</v>
      </c>
      <c r="K1269" s="64">
        <f>EFEITO!$L$1269*EFEITO!$Z$1146</f>
        <v>0</v>
      </c>
      <c r="L1269" s="64">
        <f>EFEITO!$N$1269*EFEITO!$AA$1146</f>
        <v>0</v>
      </c>
      <c r="M1269" s="64">
        <f ca="1">$J$1269-EFEITO!$K$1269*EFEITO!$Y$1269</f>
        <v>73.584459981145301</v>
      </c>
      <c r="N1269" s="64">
        <f>$K$1269-EFEITO!$M$1269*EFEITO!$Z$1269</f>
        <v>0</v>
      </c>
      <c r="O1269" s="64">
        <f>$L$1269-EFEITO!$O$1269*EFEITO!$AA$1269</f>
        <v>0</v>
      </c>
      <c r="P1269" s="19"/>
      <c r="Q1269" s="19"/>
      <c r="R1269" s="19"/>
      <c r="S1269" s="19"/>
      <c r="T1269" s="19"/>
      <c r="U1269" s="19"/>
      <c r="V1269" s="19"/>
      <c r="W1269" s="19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</row>
    <row r="1270" spans="1:36" ht="11.25" customHeight="1" x14ac:dyDescent="0.2">
      <c r="A1270" s="55" t="s">
        <v>21</v>
      </c>
      <c r="B1270" s="55" t="s">
        <v>41</v>
      </c>
      <c r="C1270" s="55" t="s">
        <v>42</v>
      </c>
      <c r="D1270" s="55" t="s">
        <v>45</v>
      </c>
      <c r="E1270" s="55" t="s">
        <v>53</v>
      </c>
      <c r="F1270" s="55" t="s">
        <v>25</v>
      </c>
      <c r="G1270" s="55" t="s">
        <v>25</v>
      </c>
      <c r="H1270" s="55" t="s">
        <v>25</v>
      </c>
      <c r="I1270" s="63">
        <v>44713</v>
      </c>
      <c r="J1270" s="64">
        <f ca="1">EFEITO!$J$1270*EFEITO!$Y$1146</f>
        <v>225326.12852797887</v>
      </c>
      <c r="K1270" s="64">
        <f>EFEITO!$L$1270*EFEITO!$Z$1146</f>
        <v>0</v>
      </c>
      <c r="L1270" s="64">
        <f>EFEITO!$N$1270*EFEITO!$AA$1146</f>
        <v>0</v>
      </c>
      <c r="M1270" s="64">
        <f ca="1">$J$1270-EFEITO!$K$1270*EFEITO!$Y$1270</f>
        <v>4506.5225705595803</v>
      </c>
      <c r="N1270" s="64">
        <f>$K$1270-EFEITO!$M$1270*EFEITO!$Z$1270</f>
        <v>0</v>
      </c>
      <c r="O1270" s="64">
        <f>$L$1270-EFEITO!$O$1270*EFEITO!$AA$1270</f>
        <v>0</v>
      </c>
      <c r="P1270" s="19"/>
      <c r="Q1270" s="19"/>
      <c r="R1270" s="19"/>
      <c r="S1270" s="19"/>
      <c r="T1270" s="19"/>
      <c r="U1270" s="19"/>
      <c r="V1270" s="19"/>
      <c r="W1270" s="19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</row>
    <row r="1271" spans="1:36" ht="11.25" customHeight="1" x14ac:dyDescent="0.2">
      <c r="A1271" s="55" t="s">
        <v>27</v>
      </c>
      <c r="B1271" s="55" t="s">
        <v>41</v>
      </c>
      <c r="C1271" s="55" t="s">
        <v>42</v>
      </c>
      <c r="D1271" s="55" t="s">
        <v>45</v>
      </c>
      <c r="E1271" s="55" t="s">
        <v>53</v>
      </c>
      <c r="F1271" s="55" t="s">
        <v>25</v>
      </c>
      <c r="G1271" s="55" t="s">
        <v>25</v>
      </c>
      <c r="H1271" s="55" t="s">
        <v>25</v>
      </c>
      <c r="I1271" s="63">
        <v>44713</v>
      </c>
      <c r="J1271" s="64">
        <f ca="1">EFEITO!$J$1271*EFEITO!$Y$1146</f>
        <v>7148.2046838826982</v>
      </c>
      <c r="K1271" s="64">
        <f>EFEITO!$L$1271*EFEITO!$Z$1146</f>
        <v>0</v>
      </c>
      <c r="L1271" s="64">
        <f>EFEITO!$N$1271*EFEITO!$AA$1146</f>
        <v>0</v>
      </c>
      <c r="M1271" s="64">
        <f ca="1">$J$1271-EFEITO!$K$1271*EFEITO!$Y$1271</f>
        <v>142.96409367765409</v>
      </c>
      <c r="N1271" s="64">
        <f>$K$1271-EFEITO!$M$1271*EFEITO!$Z$1271</f>
        <v>0</v>
      </c>
      <c r="O1271" s="64">
        <f>$L$1271-EFEITO!$O$1271*EFEITO!$AA$1271</f>
        <v>0</v>
      </c>
      <c r="P1271" s="19"/>
      <c r="Q1271" s="19"/>
      <c r="R1271" s="19"/>
      <c r="S1271" s="19"/>
      <c r="T1271" s="19"/>
      <c r="U1271" s="19"/>
      <c r="V1271" s="19"/>
      <c r="W1271" s="19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</row>
    <row r="1272" spans="1:36" ht="11.25" customHeight="1" x14ac:dyDescent="0.2">
      <c r="A1272" s="55" t="s">
        <v>28</v>
      </c>
      <c r="B1272" s="55" t="s">
        <v>41</v>
      </c>
      <c r="C1272" s="55" t="s">
        <v>42</v>
      </c>
      <c r="D1272" s="55" t="s">
        <v>45</v>
      </c>
      <c r="E1272" s="55" t="s">
        <v>53</v>
      </c>
      <c r="F1272" s="55" t="s">
        <v>25</v>
      </c>
      <c r="G1272" s="55" t="s">
        <v>25</v>
      </c>
      <c r="H1272" s="55" t="s">
        <v>25</v>
      </c>
      <c r="I1272" s="63">
        <v>44713</v>
      </c>
      <c r="J1272" s="64">
        <f ca="1">EFEITO!$J$1272*EFEITO!$Y$1146</f>
        <v>1235.1677211120839</v>
      </c>
      <c r="K1272" s="64">
        <f>EFEITO!$L$1272*EFEITO!$Z$1146</f>
        <v>0</v>
      </c>
      <c r="L1272" s="64">
        <f>EFEITO!$N$1272*EFEITO!$AA$1146</f>
        <v>0</v>
      </c>
      <c r="M1272" s="64">
        <f ca="1">$J$1272-EFEITO!$K$1272*EFEITO!$Y$1272</f>
        <v>24.703354422241773</v>
      </c>
      <c r="N1272" s="64">
        <f>$K$1272-EFEITO!$M$1272*EFEITO!$Z$1272</f>
        <v>0</v>
      </c>
      <c r="O1272" s="64">
        <f>$L$1272-EFEITO!$O$1272*EFEITO!$AA$1272</f>
        <v>0</v>
      </c>
      <c r="P1272" s="19"/>
      <c r="Q1272" s="19"/>
      <c r="R1272" s="19"/>
      <c r="S1272" s="19"/>
      <c r="T1272" s="19"/>
      <c r="U1272" s="19"/>
      <c r="V1272" s="19"/>
      <c r="W1272" s="19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</row>
    <row r="1273" spans="1:36" ht="11.25" customHeight="1" x14ac:dyDescent="0.2">
      <c r="A1273" s="55" t="s">
        <v>57</v>
      </c>
      <c r="B1273" s="55" t="s">
        <v>41</v>
      </c>
      <c r="C1273" s="55" t="s">
        <v>42</v>
      </c>
      <c r="D1273" s="55" t="s">
        <v>45</v>
      </c>
      <c r="E1273" s="55" t="s">
        <v>53</v>
      </c>
      <c r="F1273" s="55" t="s">
        <v>25</v>
      </c>
      <c r="G1273" s="55" t="s">
        <v>25</v>
      </c>
      <c r="H1273" s="55" t="s">
        <v>25</v>
      </c>
      <c r="I1273" s="63">
        <v>44743</v>
      </c>
      <c r="J1273" s="64">
        <f ca="1">EFEITO!$J$1273*EFEITO!$Y$1146</f>
        <v>225326.12852797887</v>
      </c>
      <c r="K1273" s="64">
        <f>EFEITO!$L$1273*EFEITO!$Z$1146</f>
        <v>0</v>
      </c>
      <c r="L1273" s="64">
        <f>EFEITO!$N$1273*EFEITO!$AA$1146</f>
        <v>0</v>
      </c>
      <c r="M1273" s="64">
        <f ca="1">$J$1273-EFEITO!$K$1273*EFEITO!$Y$1273</f>
        <v>4506.5225705595803</v>
      </c>
      <c r="N1273" s="64">
        <f>$K$1273-EFEITO!$M$1273*EFEITO!$Z$1273</f>
        <v>0</v>
      </c>
      <c r="O1273" s="64">
        <f>$L$1273-EFEITO!$O$1273*EFEITO!$AA$1273</f>
        <v>0</v>
      </c>
      <c r="P1273" s="19"/>
      <c r="Q1273" s="19"/>
      <c r="R1273" s="19"/>
      <c r="S1273" s="19"/>
      <c r="T1273" s="19"/>
      <c r="U1273" s="19"/>
      <c r="V1273" s="19"/>
      <c r="W1273" s="19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</row>
    <row r="1274" spans="1:36" ht="11.25" customHeight="1" x14ac:dyDescent="0.2">
      <c r="A1274" s="55" t="s">
        <v>57</v>
      </c>
      <c r="B1274" s="55" t="s">
        <v>41</v>
      </c>
      <c r="C1274" s="55" t="s">
        <v>42</v>
      </c>
      <c r="D1274" s="55" t="s">
        <v>45</v>
      </c>
      <c r="E1274" s="55" t="s">
        <v>53</v>
      </c>
      <c r="F1274" s="55" t="s">
        <v>25</v>
      </c>
      <c r="G1274" s="55" t="s">
        <v>25</v>
      </c>
      <c r="H1274" s="55" t="s">
        <v>25</v>
      </c>
      <c r="I1274" s="63">
        <v>44743</v>
      </c>
      <c r="J1274" s="64">
        <f ca="1">EFEITO!$J$1274*EFEITO!$Y$1146</f>
        <v>7148.2046838826982</v>
      </c>
      <c r="K1274" s="64">
        <f>EFEITO!$L$1274*EFEITO!$Z$1146</f>
        <v>0</v>
      </c>
      <c r="L1274" s="64">
        <f>EFEITO!$N$1274*EFEITO!$AA$1146</f>
        <v>0</v>
      </c>
      <c r="M1274" s="64">
        <f ca="1">$J$1274-EFEITO!$K$1274*EFEITO!$Y$1274</f>
        <v>142.96409367765409</v>
      </c>
      <c r="N1274" s="64">
        <f>$K$1274-EFEITO!$M$1274*EFEITO!$Z$1274</f>
        <v>0</v>
      </c>
      <c r="O1274" s="64">
        <f>$L$1274-EFEITO!$O$1274*EFEITO!$AA$1274</f>
        <v>0</v>
      </c>
      <c r="P1274" s="19"/>
      <c r="Q1274" s="19"/>
      <c r="R1274" s="19"/>
      <c r="S1274" s="19"/>
      <c r="T1274" s="19"/>
      <c r="U1274" s="19"/>
      <c r="V1274" s="19"/>
      <c r="W1274" s="19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</row>
    <row r="1275" spans="1:36" ht="11.25" customHeight="1" x14ac:dyDescent="0.2">
      <c r="A1275" s="55" t="s">
        <v>57</v>
      </c>
      <c r="B1275" s="55" t="s">
        <v>41</v>
      </c>
      <c r="C1275" s="55" t="s">
        <v>42</v>
      </c>
      <c r="D1275" s="55" t="s">
        <v>45</v>
      </c>
      <c r="E1275" s="55" t="s">
        <v>53</v>
      </c>
      <c r="F1275" s="55" t="s">
        <v>25</v>
      </c>
      <c r="G1275" s="55" t="s">
        <v>25</v>
      </c>
      <c r="H1275" s="55" t="s">
        <v>25</v>
      </c>
      <c r="I1275" s="63">
        <v>44743</v>
      </c>
      <c r="J1275" s="64">
        <f ca="1">EFEITO!$J$1275*EFEITO!$Y$1146</f>
        <v>1235.1677211120839</v>
      </c>
      <c r="K1275" s="64">
        <f>EFEITO!$L$1275*EFEITO!$Z$1146</f>
        <v>0</v>
      </c>
      <c r="L1275" s="64">
        <f>EFEITO!$N$1275*EFEITO!$AA$1146</f>
        <v>0</v>
      </c>
      <c r="M1275" s="64">
        <f ca="1">$J$1275-EFEITO!$K$1275*EFEITO!$Y$1275</f>
        <v>24.703354422241773</v>
      </c>
      <c r="N1275" s="64">
        <f>$K$1275-EFEITO!$M$1275*EFEITO!$Z$1275</f>
        <v>0</v>
      </c>
      <c r="O1275" s="64">
        <f>$L$1275-EFEITO!$O$1275*EFEITO!$AA$1275</f>
        <v>0</v>
      </c>
      <c r="P1275" s="19"/>
      <c r="Q1275" s="19"/>
      <c r="R1275" s="19"/>
      <c r="S1275" s="19"/>
      <c r="T1275" s="19"/>
      <c r="U1275" s="19"/>
      <c r="V1275" s="19"/>
      <c r="W1275" s="19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</row>
    <row r="1276" spans="1:36" ht="11.25" customHeight="1" x14ac:dyDescent="0.2">
      <c r="A1276" s="55" t="s">
        <v>21</v>
      </c>
      <c r="B1276" s="55" t="s">
        <v>41</v>
      </c>
      <c r="C1276" s="55" t="s">
        <v>42</v>
      </c>
      <c r="D1276" s="55" t="s">
        <v>45</v>
      </c>
      <c r="E1276" s="55" t="s">
        <v>53</v>
      </c>
      <c r="F1276" s="55" t="s">
        <v>25</v>
      </c>
      <c r="G1276" s="55" t="s">
        <v>25</v>
      </c>
      <c r="H1276" s="55" t="s">
        <v>34</v>
      </c>
      <c r="I1276" s="63">
        <v>44409</v>
      </c>
      <c r="J1276" s="64">
        <f>EFEITO!$J$1276*EFEITO!$Y$1174</f>
        <v>0</v>
      </c>
      <c r="K1276" s="64">
        <f ca="1">EFEITO!$L$1276*EFEITO!$Z$1174</f>
        <v>64027.836303995478</v>
      </c>
      <c r="L1276" s="64">
        <f>EFEITO!$N$1276*EFEITO!$AA$1174</f>
        <v>17139.02312569318</v>
      </c>
      <c r="M1276" s="64">
        <f>$J$1276-EFEITO!$K$1276*EFEITO!$Y$1276</f>
        <v>0</v>
      </c>
      <c r="N1276" s="64">
        <f ca="1">$K$1276-EFEITO!$M$1276*EFEITO!$Z$1276</f>
        <v>1280.5567260799071</v>
      </c>
      <c r="O1276" s="64">
        <f>$L$1276-EFEITO!$O$1276*EFEITO!$AA$1276</f>
        <v>342.78046251386331</v>
      </c>
      <c r="P1276" s="19"/>
      <c r="Q1276" s="19"/>
      <c r="R1276" s="19"/>
      <c r="S1276" s="19"/>
      <c r="T1276" s="19"/>
      <c r="U1276" s="19"/>
      <c r="V1276" s="19"/>
      <c r="W1276" s="19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</row>
    <row r="1277" spans="1:36" ht="11.25" customHeight="1" x14ac:dyDescent="0.2">
      <c r="A1277" s="55" t="s">
        <v>28</v>
      </c>
      <c r="B1277" s="55" t="s">
        <v>41</v>
      </c>
      <c r="C1277" s="55" t="s">
        <v>42</v>
      </c>
      <c r="D1277" s="55" t="s">
        <v>45</v>
      </c>
      <c r="E1277" s="55" t="s">
        <v>53</v>
      </c>
      <c r="F1277" s="55" t="s">
        <v>25</v>
      </c>
      <c r="G1277" s="55" t="s">
        <v>25</v>
      </c>
      <c r="H1277" s="55" t="s">
        <v>34</v>
      </c>
      <c r="I1277" s="63">
        <v>44409</v>
      </c>
      <c r="J1277" s="64">
        <f>EFEITO!$J$1277*EFEITO!$Y$1174</f>
        <v>0</v>
      </c>
      <c r="K1277" s="64">
        <f ca="1">EFEITO!$L$1277*EFEITO!$Z$1174</f>
        <v>68.63874493428699</v>
      </c>
      <c r="L1277" s="64">
        <f>EFEITO!$N$1277*EFEITO!$AA$1174</f>
        <v>18.373274885659228</v>
      </c>
      <c r="M1277" s="64">
        <f>$J$1277-EFEITO!$K$1277*EFEITO!$Y$1277</f>
        <v>0</v>
      </c>
      <c r="N1277" s="64">
        <f ca="1">$K$1277-EFEITO!$M$1277*EFEITO!$Z$1277</f>
        <v>1.3727748986857335</v>
      </c>
      <c r="O1277" s="64">
        <f>$L$1277-EFEITO!$O$1277*EFEITO!$AA$1277</f>
        <v>0.36746549771318371</v>
      </c>
      <c r="P1277" s="19"/>
      <c r="Q1277" s="19"/>
      <c r="R1277" s="19"/>
      <c r="S1277" s="19"/>
      <c r="T1277" s="19"/>
      <c r="U1277" s="19"/>
      <c r="V1277" s="19"/>
      <c r="W1277" s="19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</row>
    <row r="1278" spans="1:36" ht="11.25" customHeight="1" x14ac:dyDescent="0.2">
      <c r="A1278" s="55" t="s">
        <v>21</v>
      </c>
      <c r="B1278" s="55" t="s">
        <v>41</v>
      </c>
      <c r="C1278" s="55" t="s">
        <v>42</v>
      </c>
      <c r="D1278" s="55" t="s">
        <v>45</v>
      </c>
      <c r="E1278" s="55" t="s">
        <v>53</v>
      </c>
      <c r="F1278" s="55" t="s">
        <v>25</v>
      </c>
      <c r="G1278" s="55" t="s">
        <v>25</v>
      </c>
      <c r="H1278" s="55" t="s">
        <v>34</v>
      </c>
      <c r="I1278" s="63">
        <v>44440</v>
      </c>
      <c r="J1278" s="64">
        <f>EFEITO!$J$1278*EFEITO!$Y$1174</f>
        <v>0</v>
      </c>
      <c r="K1278" s="64">
        <f ca="1">EFEITO!$L$1278*EFEITO!$Z$1174</f>
        <v>71999.351720579449</v>
      </c>
      <c r="L1278" s="64">
        <f>EFEITO!$N$1278*EFEITO!$AA$1174</f>
        <v>19272.84483447278</v>
      </c>
      <c r="M1278" s="64">
        <f>$J$1278-EFEITO!$K$1278*EFEITO!$Y$1278</f>
        <v>0</v>
      </c>
      <c r="N1278" s="64">
        <f ca="1">$K$1278-EFEITO!$M$1278*EFEITO!$Z$1278</f>
        <v>1439.9870344115916</v>
      </c>
      <c r="O1278" s="64">
        <f>$L$1278-EFEITO!$O$1278*EFEITO!$AA$1278</f>
        <v>385.45689668945488</v>
      </c>
      <c r="P1278" s="19"/>
      <c r="Q1278" s="19"/>
      <c r="R1278" s="19"/>
      <c r="S1278" s="19"/>
      <c r="T1278" s="19"/>
      <c r="U1278" s="19"/>
      <c r="V1278" s="19"/>
      <c r="W1278" s="19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</row>
    <row r="1279" spans="1:36" ht="11.25" customHeight="1" x14ac:dyDescent="0.2">
      <c r="A1279" s="55" t="s">
        <v>21</v>
      </c>
      <c r="B1279" s="55" t="s">
        <v>41</v>
      </c>
      <c r="C1279" s="55" t="s">
        <v>42</v>
      </c>
      <c r="D1279" s="55" t="s">
        <v>45</v>
      </c>
      <c r="E1279" s="55" t="s">
        <v>53</v>
      </c>
      <c r="F1279" s="55" t="s">
        <v>25</v>
      </c>
      <c r="G1279" s="55" t="s">
        <v>25</v>
      </c>
      <c r="H1279" s="55" t="s">
        <v>34</v>
      </c>
      <c r="I1279" s="63">
        <v>44470</v>
      </c>
      <c r="J1279" s="64">
        <f>EFEITO!$J$1279*EFEITO!$Y$1174</f>
        <v>0</v>
      </c>
      <c r="K1279" s="64">
        <f ca="1">EFEITO!$L$1279*EFEITO!$Z$1174</f>
        <v>112314.52043639448</v>
      </c>
      <c r="L1279" s="64">
        <f>EFEITO!$N$1279*EFEITO!$AA$1174</f>
        <v>30064.441877608508</v>
      </c>
      <c r="M1279" s="64">
        <f>$J$1279-EFEITO!$K$1279*EFEITO!$Y$1279</f>
        <v>0</v>
      </c>
      <c r="N1279" s="64">
        <f ca="1">$K$1279-EFEITO!$M$1279*EFEITO!$Z$1279</f>
        <v>2246.2904087278876</v>
      </c>
      <c r="O1279" s="64">
        <f>$L$1279-EFEITO!$O$1279*EFEITO!$AA$1279</f>
        <v>601.28883755216884</v>
      </c>
      <c r="P1279" s="19"/>
      <c r="Q1279" s="19"/>
      <c r="R1279" s="19"/>
      <c r="S1279" s="19"/>
      <c r="T1279" s="19"/>
      <c r="U1279" s="19"/>
      <c r="V1279" s="19"/>
      <c r="W1279" s="19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</row>
    <row r="1280" spans="1:36" ht="11.25" customHeight="1" x14ac:dyDescent="0.2">
      <c r="A1280" s="55" t="s">
        <v>27</v>
      </c>
      <c r="B1280" s="55" t="s">
        <v>41</v>
      </c>
      <c r="C1280" s="55" t="s">
        <v>42</v>
      </c>
      <c r="D1280" s="55" t="s">
        <v>45</v>
      </c>
      <c r="E1280" s="55" t="s">
        <v>53</v>
      </c>
      <c r="F1280" s="55" t="s">
        <v>25</v>
      </c>
      <c r="G1280" s="55" t="s">
        <v>25</v>
      </c>
      <c r="H1280" s="55" t="s">
        <v>34</v>
      </c>
      <c r="I1280" s="63">
        <v>44470</v>
      </c>
      <c r="J1280" s="64">
        <f>EFEITO!$J$1280*EFEITO!$Y$1174</f>
        <v>0</v>
      </c>
      <c r="K1280" s="64">
        <f ca="1">EFEITO!$L$1280*EFEITO!$Z$1174</f>
        <v>-763.10134074001417</v>
      </c>
      <c r="L1280" s="64">
        <f>EFEITO!$N$1280*EFEITO!$AA$1174</f>
        <v>-204.26758549350552</v>
      </c>
      <c r="M1280" s="64">
        <f>$J$1280-EFEITO!$K$1280*EFEITO!$Y$1280</f>
        <v>0</v>
      </c>
      <c r="N1280" s="64">
        <f ca="1">$K$1280-EFEITO!$M$1280*EFEITO!$Z$1280</f>
        <v>-15.262026814800265</v>
      </c>
      <c r="O1280" s="64">
        <f>$L$1280-EFEITO!$O$1280*EFEITO!$AA$1280</f>
        <v>-4.085351709870082</v>
      </c>
      <c r="P1280" s="19"/>
      <c r="Q1280" s="19"/>
      <c r="R1280" s="19"/>
      <c r="S1280" s="19"/>
      <c r="T1280" s="19"/>
      <c r="U1280" s="19"/>
      <c r="V1280" s="19"/>
      <c r="W1280" s="19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</row>
    <row r="1281" spans="1:36" ht="11.25" customHeight="1" x14ac:dyDescent="0.2">
      <c r="A1281" s="55" t="s">
        <v>21</v>
      </c>
      <c r="B1281" s="55" t="s">
        <v>41</v>
      </c>
      <c r="C1281" s="55" t="s">
        <v>42</v>
      </c>
      <c r="D1281" s="55" t="s">
        <v>45</v>
      </c>
      <c r="E1281" s="55" t="s">
        <v>53</v>
      </c>
      <c r="F1281" s="55" t="s">
        <v>25</v>
      </c>
      <c r="G1281" s="55" t="s">
        <v>25</v>
      </c>
      <c r="H1281" s="55" t="s">
        <v>34</v>
      </c>
      <c r="I1281" s="63">
        <v>44501</v>
      </c>
      <c r="J1281" s="64">
        <f>EFEITO!$J$1281*EFEITO!$Y$1174</f>
        <v>0</v>
      </c>
      <c r="K1281" s="64">
        <f ca="1">EFEITO!$L$1281*EFEITO!$Z$1174</f>
        <v>168653.47145000601</v>
      </c>
      <c r="L1281" s="64">
        <f>EFEITO!$N$1281*EFEITO!$AA$1174</f>
        <v>45145.297955815979</v>
      </c>
      <c r="M1281" s="64">
        <f>$J$1281-EFEITO!$K$1281*EFEITO!$Y$1281</f>
        <v>0</v>
      </c>
      <c r="N1281" s="64">
        <f ca="1">$K$1281-EFEITO!$M$1281*EFEITO!$Z$1281</f>
        <v>3373.069429000112</v>
      </c>
      <c r="O1281" s="64">
        <f>$L$1281-EFEITO!$O$1281*EFEITO!$AA$1281</f>
        <v>902.90595911631681</v>
      </c>
      <c r="P1281" s="19"/>
      <c r="Q1281" s="19"/>
      <c r="R1281" s="19"/>
      <c r="S1281" s="19"/>
      <c r="T1281" s="19"/>
      <c r="U1281" s="19"/>
      <c r="V1281" s="19"/>
      <c r="W1281" s="19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</row>
    <row r="1282" spans="1:36" ht="11.25" customHeight="1" x14ac:dyDescent="0.2">
      <c r="A1282" s="55" t="s">
        <v>27</v>
      </c>
      <c r="B1282" s="55" t="s">
        <v>41</v>
      </c>
      <c r="C1282" s="55" t="s">
        <v>42</v>
      </c>
      <c r="D1282" s="55" t="s">
        <v>45</v>
      </c>
      <c r="E1282" s="55" t="s">
        <v>53</v>
      </c>
      <c r="F1282" s="55" t="s">
        <v>25</v>
      </c>
      <c r="G1282" s="55" t="s">
        <v>25</v>
      </c>
      <c r="H1282" s="55" t="s">
        <v>34</v>
      </c>
      <c r="I1282" s="63">
        <v>44501</v>
      </c>
      <c r="J1282" s="64">
        <f>EFEITO!$J$1282*EFEITO!$Y$1174</f>
        <v>0</v>
      </c>
      <c r="K1282" s="64">
        <f ca="1">EFEITO!$L$1282*EFEITO!$Z$1174</f>
        <v>-13756.0119994774</v>
      </c>
      <c r="L1282" s="64">
        <f>EFEITO!$N$1282*EFEITO!$AA$1174</f>
        <v>-3682.2204432612348</v>
      </c>
      <c r="M1282" s="64">
        <f>$J$1282-EFEITO!$K$1282*EFEITO!$Y$1282</f>
        <v>0</v>
      </c>
      <c r="N1282" s="64">
        <f ca="1">$K$1282-EFEITO!$M$1282*EFEITO!$Z$1282</f>
        <v>-275.12023998954828</v>
      </c>
      <c r="O1282" s="64">
        <f>$L$1282-EFEITO!$O$1282*EFEITO!$AA$1282</f>
        <v>-73.64440886522425</v>
      </c>
      <c r="P1282" s="19"/>
      <c r="Q1282" s="19"/>
      <c r="R1282" s="19"/>
      <c r="S1282" s="19"/>
      <c r="T1282" s="19"/>
      <c r="U1282" s="19"/>
      <c r="V1282" s="19"/>
      <c r="W1282" s="19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</row>
    <row r="1283" spans="1:36" ht="11.25" customHeight="1" x14ac:dyDescent="0.2">
      <c r="A1283" s="55" t="s">
        <v>28</v>
      </c>
      <c r="B1283" s="55" t="s">
        <v>41</v>
      </c>
      <c r="C1283" s="55" t="s">
        <v>42</v>
      </c>
      <c r="D1283" s="55" t="s">
        <v>45</v>
      </c>
      <c r="E1283" s="55" t="s">
        <v>53</v>
      </c>
      <c r="F1283" s="55" t="s">
        <v>25</v>
      </c>
      <c r="G1283" s="55" t="s">
        <v>25</v>
      </c>
      <c r="H1283" s="55" t="s">
        <v>34</v>
      </c>
      <c r="I1283" s="63">
        <v>44501</v>
      </c>
      <c r="J1283" s="64">
        <f>EFEITO!$J$1283*EFEITO!$Y$1174</f>
        <v>0</v>
      </c>
      <c r="K1283" s="64">
        <f ca="1">EFEITO!$L$1283*EFEITO!$Z$1174</f>
        <v>551.80167496191507</v>
      </c>
      <c r="L1283" s="64">
        <f>EFEITO!$N$1283*EFEITO!$AA$1174</f>
        <v>147.70671966902518</v>
      </c>
      <c r="M1283" s="64">
        <f>$J$1283-EFEITO!$K$1283*EFEITO!$Y$1283</f>
        <v>0</v>
      </c>
      <c r="N1283" s="64">
        <f ca="1">$K$1283-EFEITO!$M$1283*EFEITO!$Z$1283</f>
        <v>11.036033499238329</v>
      </c>
      <c r="O1283" s="64">
        <f>$L$1283-EFEITO!$O$1283*EFEITO!$AA$1283</f>
        <v>2.9541343933805138</v>
      </c>
      <c r="P1283" s="19"/>
      <c r="Q1283" s="19"/>
      <c r="R1283" s="19"/>
      <c r="S1283" s="19"/>
      <c r="T1283" s="19"/>
      <c r="U1283" s="19"/>
      <c r="V1283" s="19"/>
      <c r="W1283" s="19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</row>
    <row r="1284" spans="1:36" ht="11.25" customHeight="1" x14ac:dyDescent="0.2">
      <c r="A1284" s="55" t="s">
        <v>28</v>
      </c>
      <c r="B1284" s="55" t="s">
        <v>41</v>
      </c>
      <c r="C1284" s="55" t="s">
        <v>42</v>
      </c>
      <c r="D1284" s="55" t="s">
        <v>45</v>
      </c>
      <c r="E1284" s="55" t="s">
        <v>53</v>
      </c>
      <c r="F1284" s="55" t="s">
        <v>25</v>
      </c>
      <c r="G1284" s="55" t="s">
        <v>25</v>
      </c>
      <c r="H1284" s="55" t="s">
        <v>34</v>
      </c>
      <c r="I1284" s="63">
        <v>44501</v>
      </c>
      <c r="J1284" s="64">
        <f>EFEITO!$J$1284*EFEITO!$Y$1174</f>
        <v>0</v>
      </c>
      <c r="K1284" s="64">
        <f ca="1">EFEITO!$L$1284*EFEITO!$Z$1174</f>
        <v>441.44133996953207</v>
      </c>
      <c r="L1284" s="64">
        <f>EFEITO!$N$1284*EFEITO!$AA$1174</f>
        <v>118.16537573522014</v>
      </c>
      <c r="M1284" s="64">
        <f>$J$1284-EFEITO!$K$1284*EFEITO!$Y$1284</f>
        <v>0</v>
      </c>
      <c r="N1284" s="64">
        <f ca="1">$K$1284-EFEITO!$M$1284*EFEITO!$Z$1284</f>
        <v>8.8288267993906402</v>
      </c>
      <c r="O1284" s="64">
        <f>$L$1284-EFEITO!$O$1284*EFEITO!$AA$1284</f>
        <v>2.3633075147043883</v>
      </c>
      <c r="P1284" s="19"/>
      <c r="Q1284" s="19"/>
      <c r="R1284" s="19"/>
      <c r="S1284" s="19"/>
      <c r="T1284" s="19"/>
      <c r="U1284" s="19"/>
      <c r="V1284" s="19"/>
      <c r="W1284" s="19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</row>
    <row r="1285" spans="1:36" ht="11.25" customHeight="1" x14ac:dyDescent="0.2">
      <c r="A1285" s="55" t="s">
        <v>21</v>
      </c>
      <c r="B1285" s="55" t="s">
        <v>41</v>
      </c>
      <c r="C1285" s="55" t="s">
        <v>42</v>
      </c>
      <c r="D1285" s="55" t="s">
        <v>45</v>
      </c>
      <c r="E1285" s="55" t="s">
        <v>53</v>
      </c>
      <c r="F1285" s="55" t="s">
        <v>25</v>
      </c>
      <c r="G1285" s="55" t="s">
        <v>25</v>
      </c>
      <c r="H1285" s="55" t="s">
        <v>34</v>
      </c>
      <c r="I1285" s="63">
        <v>44531</v>
      </c>
      <c r="J1285" s="64">
        <f>EFEITO!$J$1285*EFEITO!$Y$1174</f>
        <v>0</v>
      </c>
      <c r="K1285" s="64">
        <f ca="1">EFEITO!$L$1285*EFEITO!$Z$1174</f>
        <v>202577.16174046951</v>
      </c>
      <c r="L1285" s="64">
        <f>EFEITO!$N$1285*EFEITO!$AA$1174</f>
        <v>54226.018872834145</v>
      </c>
      <c r="M1285" s="64">
        <f>$J$1285-EFEITO!$K$1285*EFEITO!$Y$1285</f>
        <v>0</v>
      </c>
      <c r="N1285" s="64">
        <f ca="1">$K$1285-EFEITO!$M$1285*EFEITO!$Z$1285</f>
        <v>4051.5432348093891</v>
      </c>
      <c r="O1285" s="64">
        <f>$L$1285-EFEITO!$O$1285*EFEITO!$AA$1285</f>
        <v>1084.5203774566762</v>
      </c>
      <c r="P1285" s="19"/>
      <c r="Q1285" s="19"/>
      <c r="R1285" s="19"/>
      <c r="S1285" s="19"/>
      <c r="T1285" s="19"/>
      <c r="U1285" s="19"/>
      <c r="V1285" s="19"/>
      <c r="W1285" s="19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</row>
    <row r="1286" spans="1:36" ht="11.25" customHeight="1" x14ac:dyDescent="0.2">
      <c r="A1286" s="55" t="s">
        <v>27</v>
      </c>
      <c r="B1286" s="55" t="s">
        <v>41</v>
      </c>
      <c r="C1286" s="55" t="s">
        <v>42</v>
      </c>
      <c r="D1286" s="55" t="s">
        <v>45</v>
      </c>
      <c r="E1286" s="55" t="s">
        <v>53</v>
      </c>
      <c r="F1286" s="55" t="s">
        <v>25</v>
      </c>
      <c r="G1286" s="55" t="s">
        <v>25</v>
      </c>
      <c r="H1286" s="55" t="s">
        <v>34</v>
      </c>
      <c r="I1286" s="63">
        <v>44531</v>
      </c>
      <c r="J1286" s="64">
        <f>EFEITO!$J$1286*EFEITO!$Y$1174</f>
        <v>0</v>
      </c>
      <c r="K1286" s="64">
        <f ca="1">EFEITO!$L$1286*EFEITO!$Z$1174</f>
        <v>-7465.4729049115676</v>
      </c>
      <c r="L1286" s="64">
        <f>EFEITO!$N$1286*EFEITO!$AA$1174</f>
        <v>-1998.3638390343478</v>
      </c>
      <c r="M1286" s="64">
        <f>$J$1286-EFEITO!$K$1286*EFEITO!$Y$1286</f>
        <v>0</v>
      </c>
      <c r="N1286" s="64">
        <f ca="1">$K$1286-EFEITO!$M$1286*EFEITO!$Z$1286</f>
        <v>-149.30945809823152</v>
      </c>
      <c r="O1286" s="64">
        <f>$L$1286-EFEITO!$O$1286*EFEITO!$AA$1286</f>
        <v>-39.967276780686916</v>
      </c>
      <c r="P1286" s="19"/>
      <c r="Q1286" s="19"/>
      <c r="R1286" s="19"/>
      <c r="S1286" s="19"/>
      <c r="T1286" s="19"/>
      <c r="U1286" s="19"/>
      <c r="V1286" s="19"/>
      <c r="W1286" s="19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</row>
    <row r="1287" spans="1:36" ht="11.25" customHeight="1" x14ac:dyDescent="0.2">
      <c r="A1287" s="55" t="s">
        <v>28</v>
      </c>
      <c r="B1287" s="55" t="s">
        <v>41</v>
      </c>
      <c r="C1287" s="55" t="s">
        <v>42</v>
      </c>
      <c r="D1287" s="55" t="s">
        <v>45</v>
      </c>
      <c r="E1287" s="55" t="s">
        <v>53</v>
      </c>
      <c r="F1287" s="55" t="s">
        <v>25</v>
      </c>
      <c r="G1287" s="55" t="s">
        <v>25</v>
      </c>
      <c r="H1287" s="55" t="s">
        <v>34</v>
      </c>
      <c r="I1287" s="63">
        <v>44531</v>
      </c>
      <c r="J1287" s="64">
        <f>EFEITO!$J$1287*EFEITO!$Y$1174</f>
        <v>0</v>
      </c>
      <c r="K1287" s="64">
        <f ca="1">EFEITO!$L$1287*EFEITO!$Z$1174</f>
        <v>110.36033499238302</v>
      </c>
      <c r="L1287" s="64">
        <f>EFEITO!$N$1287*EFEITO!$AA$1174</f>
        <v>29.541343933805035</v>
      </c>
      <c r="M1287" s="64">
        <f>$J$1287-EFEITO!$K$1287*EFEITO!$Y$1287</f>
        <v>0</v>
      </c>
      <c r="N1287" s="64">
        <f ca="1">$K$1287-EFEITO!$M$1287*EFEITO!$Z$1287</f>
        <v>2.20720669984766</v>
      </c>
      <c r="O1287" s="64">
        <f>$L$1287-EFEITO!$O$1287*EFEITO!$AA$1287</f>
        <v>0.59082687867609707</v>
      </c>
      <c r="P1287" s="19"/>
      <c r="Q1287" s="19"/>
      <c r="R1287" s="19"/>
      <c r="S1287" s="19"/>
      <c r="T1287" s="19"/>
      <c r="U1287" s="19"/>
      <c r="V1287" s="19"/>
      <c r="W1287" s="19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</row>
    <row r="1288" spans="1:36" ht="11.25" customHeight="1" x14ac:dyDescent="0.2">
      <c r="A1288" s="55" t="s">
        <v>21</v>
      </c>
      <c r="B1288" s="55" t="s">
        <v>41</v>
      </c>
      <c r="C1288" s="55" t="s">
        <v>42</v>
      </c>
      <c r="D1288" s="55" t="s">
        <v>45</v>
      </c>
      <c r="E1288" s="55" t="s">
        <v>53</v>
      </c>
      <c r="F1288" s="55" t="s">
        <v>25</v>
      </c>
      <c r="G1288" s="55" t="s">
        <v>25</v>
      </c>
      <c r="H1288" s="55" t="s">
        <v>34</v>
      </c>
      <c r="I1288" s="63">
        <v>44562</v>
      </c>
      <c r="J1288" s="64">
        <f>EFEITO!$J$1288*EFEITO!$Y$1174</f>
        <v>0</v>
      </c>
      <c r="K1288" s="64">
        <f ca="1">EFEITO!$L$1288*EFEITO!$Z$1174</f>
        <v>162558.08172829257</v>
      </c>
      <c r="L1288" s="64">
        <f>EFEITO!$N$1288*EFEITO!$AA$1174</f>
        <v>43513.679093911065</v>
      </c>
      <c r="M1288" s="64">
        <f>$J$1288-EFEITO!$K$1288*EFEITO!$Y$1288</f>
        <v>0</v>
      </c>
      <c r="N1288" s="64">
        <f ca="1">$K$1288-EFEITO!$M$1288*EFEITO!$Z$1288</f>
        <v>3251.1616345658549</v>
      </c>
      <c r="O1288" s="64">
        <f>$L$1288-EFEITO!$O$1288*EFEITO!$AA$1288</f>
        <v>870.27358187821665</v>
      </c>
      <c r="P1288" s="19"/>
      <c r="Q1288" s="19"/>
      <c r="R1288" s="19"/>
      <c r="S1288" s="19"/>
      <c r="T1288" s="19"/>
      <c r="U1288" s="19"/>
      <c r="V1288" s="19"/>
      <c r="W1288" s="19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</row>
    <row r="1289" spans="1:36" ht="11.25" customHeight="1" x14ac:dyDescent="0.2">
      <c r="A1289" s="55" t="s">
        <v>27</v>
      </c>
      <c r="B1289" s="55" t="s">
        <v>41</v>
      </c>
      <c r="C1289" s="55" t="s">
        <v>42</v>
      </c>
      <c r="D1289" s="55" t="s">
        <v>45</v>
      </c>
      <c r="E1289" s="55" t="s">
        <v>53</v>
      </c>
      <c r="F1289" s="55" t="s">
        <v>25</v>
      </c>
      <c r="G1289" s="55" t="s">
        <v>25</v>
      </c>
      <c r="H1289" s="55" t="s">
        <v>34</v>
      </c>
      <c r="I1289" s="63">
        <v>44562</v>
      </c>
      <c r="J1289" s="64">
        <f>EFEITO!$J$1289*EFEITO!$Y$1174</f>
        <v>0</v>
      </c>
      <c r="K1289" s="64">
        <f ca="1">EFEITO!$L$1289*EFEITO!$Z$1174</f>
        <v>-2504.6412612295708</v>
      </c>
      <c r="L1289" s="64">
        <f>EFEITO!$N$1289*EFEITO!$AA$1174</f>
        <v>-670.44440318062402</v>
      </c>
      <c r="M1289" s="64">
        <f>$J$1289-EFEITO!$K$1289*EFEITO!$Y$1289</f>
        <v>0</v>
      </c>
      <c r="N1289" s="64">
        <f ca="1">$K$1289-EFEITO!$M$1289*EFEITO!$Z$1289</f>
        <v>-50.092825224591707</v>
      </c>
      <c r="O1289" s="64">
        <f>$L$1289-EFEITO!$O$1289*EFEITO!$AA$1289</f>
        <v>-13.408888063612494</v>
      </c>
      <c r="P1289" s="19"/>
      <c r="Q1289" s="19"/>
      <c r="R1289" s="19"/>
      <c r="S1289" s="19"/>
      <c r="T1289" s="19"/>
      <c r="U1289" s="19"/>
      <c r="V1289" s="19"/>
      <c r="W1289" s="19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</row>
    <row r="1290" spans="1:36" ht="11.25" customHeight="1" x14ac:dyDescent="0.2">
      <c r="A1290" s="55" t="s">
        <v>21</v>
      </c>
      <c r="B1290" s="55" t="s">
        <v>41</v>
      </c>
      <c r="C1290" s="55" t="s">
        <v>42</v>
      </c>
      <c r="D1290" s="55" t="s">
        <v>45</v>
      </c>
      <c r="E1290" s="55" t="s">
        <v>53</v>
      </c>
      <c r="F1290" s="55" t="s">
        <v>25</v>
      </c>
      <c r="G1290" s="55" t="s">
        <v>25</v>
      </c>
      <c r="H1290" s="55" t="s">
        <v>34</v>
      </c>
      <c r="I1290" s="63">
        <v>44593</v>
      </c>
      <c r="J1290" s="64">
        <f>EFEITO!$J$1290*EFEITO!$Y$1174</f>
        <v>0</v>
      </c>
      <c r="K1290" s="64">
        <f ca="1">EFEITO!$L$1290*EFEITO!$Z$1174</f>
        <v>131055.58951894245</v>
      </c>
      <c r="L1290" s="64">
        <f>EFEITO!$N$1290*EFEITO!$AA$1174</f>
        <v>35081.066441977229</v>
      </c>
      <c r="M1290" s="64">
        <f>$J$1290-EFEITO!$K$1290*EFEITO!$Y$1290</f>
        <v>0</v>
      </c>
      <c r="N1290" s="64">
        <f ca="1">$K$1290-EFEITO!$M$1290*EFEITO!$Z$1290</f>
        <v>2621.1117903788545</v>
      </c>
      <c r="O1290" s="64">
        <f>$L$1290-EFEITO!$O$1290*EFEITO!$AA$1290</f>
        <v>701.62132883954473</v>
      </c>
      <c r="P1290" s="19"/>
      <c r="Q1290" s="19"/>
      <c r="R1290" s="19"/>
      <c r="S1290" s="19"/>
      <c r="T1290" s="19"/>
      <c r="U1290" s="19"/>
      <c r="V1290" s="19"/>
      <c r="W1290" s="19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</row>
    <row r="1291" spans="1:36" ht="11.25" customHeight="1" x14ac:dyDescent="0.2">
      <c r="A1291" s="55" t="s">
        <v>27</v>
      </c>
      <c r="B1291" s="55" t="s">
        <v>41</v>
      </c>
      <c r="C1291" s="55" t="s">
        <v>42</v>
      </c>
      <c r="D1291" s="55" t="s">
        <v>45</v>
      </c>
      <c r="E1291" s="55" t="s">
        <v>53</v>
      </c>
      <c r="F1291" s="55" t="s">
        <v>25</v>
      </c>
      <c r="G1291" s="55" t="s">
        <v>25</v>
      </c>
      <c r="H1291" s="55" t="s">
        <v>34</v>
      </c>
      <c r="I1291" s="63">
        <v>44593</v>
      </c>
      <c r="J1291" s="64">
        <f>EFEITO!$J$1291*EFEITO!$Y$1174</f>
        <v>0</v>
      </c>
      <c r="K1291" s="64">
        <f ca="1">EFEITO!$L$1291*EFEITO!$Z$1174</f>
        <v>-25.571297132381432</v>
      </c>
      <c r="L1291" s="64">
        <f>EFEITO!$N$1291*EFEITO!$AA$1174</f>
        <v>-6.8449455456377519</v>
      </c>
      <c r="M1291" s="64">
        <f>$J$1291-EFEITO!$K$1291*EFEITO!$Y$1291</f>
        <v>0</v>
      </c>
      <c r="N1291" s="64">
        <f ca="1">$K$1291-EFEITO!$M$1291*EFEITO!$Z$1291</f>
        <v>-0.51142594264763019</v>
      </c>
      <c r="O1291" s="64">
        <f>$L$1291-EFEITO!$O$1291*EFEITO!$AA$1291</f>
        <v>-0.13689891091275452</v>
      </c>
      <c r="P1291" s="19"/>
      <c r="Q1291" s="19"/>
      <c r="R1291" s="19"/>
      <c r="S1291" s="19"/>
      <c r="T1291" s="19"/>
      <c r="U1291" s="19"/>
      <c r="V1291" s="19"/>
      <c r="W1291" s="19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</row>
    <row r="1292" spans="1:36" ht="11.25" customHeight="1" x14ac:dyDescent="0.2">
      <c r="A1292" s="55" t="s">
        <v>21</v>
      </c>
      <c r="B1292" s="55" t="s">
        <v>41</v>
      </c>
      <c r="C1292" s="55" t="s">
        <v>42</v>
      </c>
      <c r="D1292" s="55" t="s">
        <v>45</v>
      </c>
      <c r="E1292" s="55" t="s">
        <v>53</v>
      </c>
      <c r="F1292" s="55" t="s">
        <v>25</v>
      </c>
      <c r="G1292" s="55" t="s">
        <v>25</v>
      </c>
      <c r="H1292" s="55" t="s">
        <v>34</v>
      </c>
      <c r="I1292" s="63">
        <v>44621</v>
      </c>
      <c r="J1292" s="64">
        <f>EFEITO!$J$1292*EFEITO!$Y$1174</f>
        <v>0</v>
      </c>
      <c r="K1292" s="64">
        <f ca="1">EFEITO!$L$1292*EFEITO!$Z$1174</f>
        <v>122537.65585837181</v>
      </c>
      <c r="L1292" s="64">
        <f>EFEITO!$N$1292*EFEITO!$AA$1174</f>
        <v>32800.979054696109</v>
      </c>
      <c r="M1292" s="64">
        <f>$J$1292-EFEITO!$K$1292*EFEITO!$Y$1292</f>
        <v>0</v>
      </c>
      <c r="N1292" s="64">
        <f ca="1">$K$1292-EFEITO!$M$1292*EFEITO!$Z$1292</f>
        <v>2450.7531171674345</v>
      </c>
      <c r="O1292" s="64">
        <f>$L$1292-EFEITO!$O$1292*EFEITO!$AA$1292</f>
        <v>656.01958109392217</v>
      </c>
      <c r="P1292" s="19"/>
      <c r="Q1292" s="19"/>
      <c r="R1292" s="19"/>
      <c r="S1292" s="19"/>
      <c r="T1292" s="19"/>
      <c r="U1292" s="19"/>
      <c r="V1292" s="19"/>
      <c r="W1292" s="19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</row>
    <row r="1293" spans="1:36" ht="11.25" customHeight="1" x14ac:dyDescent="0.2">
      <c r="A1293" s="55" t="s">
        <v>21</v>
      </c>
      <c r="B1293" s="55" t="s">
        <v>41</v>
      </c>
      <c r="C1293" s="55" t="s">
        <v>42</v>
      </c>
      <c r="D1293" s="55" t="s">
        <v>45</v>
      </c>
      <c r="E1293" s="55" t="s">
        <v>53</v>
      </c>
      <c r="F1293" s="55" t="s">
        <v>25</v>
      </c>
      <c r="G1293" s="55" t="s">
        <v>25</v>
      </c>
      <c r="H1293" s="55" t="s">
        <v>34</v>
      </c>
      <c r="I1293" s="63">
        <v>44652</v>
      </c>
      <c r="J1293" s="64">
        <f>EFEITO!$J$1293*EFEITO!$Y$1174</f>
        <v>0</v>
      </c>
      <c r="K1293" s="64">
        <f ca="1">EFEITO!$L$1293*EFEITO!$Z$1174</f>
        <v>117360.14111793647</v>
      </c>
      <c r="L1293" s="64">
        <f>EFEITO!$N$1293*EFEITO!$AA$1174</f>
        <v>31415.057711850397</v>
      </c>
      <c r="M1293" s="64">
        <f>$J$1293-EFEITO!$K$1293*EFEITO!$Y$1293</f>
        <v>0</v>
      </c>
      <c r="N1293" s="64">
        <f ca="1">$K$1293-EFEITO!$M$1293*EFEITO!$Z$1293</f>
        <v>2347.2028223587258</v>
      </c>
      <c r="O1293" s="64">
        <f>$L$1293-EFEITO!$O$1293*EFEITO!$AA$1293</f>
        <v>628.30115423700408</v>
      </c>
      <c r="P1293" s="19"/>
      <c r="Q1293" s="19"/>
      <c r="R1293" s="19"/>
      <c r="S1293" s="19"/>
      <c r="T1293" s="19"/>
      <c r="U1293" s="19"/>
      <c r="V1293" s="19"/>
      <c r="W1293" s="19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</row>
    <row r="1294" spans="1:36" ht="11.25" customHeight="1" x14ac:dyDescent="0.2">
      <c r="A1294" s="55" t="s">
        <v>27</v>
      </c>
      <c r="B1294" s="55" t="s">
        <v>41</v>
      </c>
      <c r="C1294" s="55" t="s">
        <v>42</v>
      </c>
      <c r="D1294" s="55" t="s">
        <v>45</v>
      </c>
      <c r="E1294" s="55" t="s">
        <v>53</v>
      </c>
      <c r="F1294" s="55" t="s">
        <v>25</v>
      </c>
      <c r="G1294" s="55" t="s">
        <v>25</v>
      </c>
      <c r="H1294" s="55" t="s">
        <v>34</v>
      </c>
      <c r="I1294" s="63">
        <v>44652</v>
      </c>
      <c r="J1294" s="64">
        <f>EFEITO!$J$1294*EFEITO!$Y$1174</f>
        <v>0</v>
      </c>
      <c r="K1294" s="64">
        <f ca="1">EFEITO!$L$1294*EFEITO!$Z$1174</f>
        <v>-3944.7090471057882</v>
      </c>
      <c r="L1294" s="64">
        <f>EFEITO!$N$1294*EFEITO!$AA$1174</f>
        <v>-1055.9229154875923</v>
      </c>
      <c r="M1294" s="64">
        <f>$J$1294-EFEITO!$K$1294*EFEITO!$Y$1294</f>
        <v>0</v>
      </c>
      <c r="N1294" s="64">
        <f ca="1">$K$1294-EFEITO!$M$1294*EFEITO!$Z$1294</f>
        <v>-78.894180942115781</v>
      </c>
      <c r="O1294" s="64">
        <f>$L$1294-EFEITO!$O$1294*EFEITO!$AA$1294</f>
        <v>-21.118458309751759</v>
      </c>
      <c r="P1294" s="19"/>
      <c r="Q1294" s="19"/>
      <c r="R1294" s="19"/>
      <c r="S1294" s="19"/>
      <c r="T1294" s="19"/>
      <c r="U1294" s="19"/>
      <c r="V1294" s="19"/>
      <c r="W1294" s="19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</row>
    <row r="1295" spans="1:36" ht="11.25" customHeight="1" x14ac:dyDescent="0.2">
      <c r="A1295" s="55" t="s">
        <v>28</v>
      </c>
      <c r="B1295" s="55" t="s">
        <v>41</v>
      </c>
      <c r="C1295" s="55" t="s">
        <v>42</v>
      </c>
      <c r="D1295" s="55" t="s">
        <v>45</v>
      </c>
      <c r="E1295" s="55" t="s">
        <v>53</v>
      </c>
      <c r="F1295" s="55" t="s">
        <v>25</v>
      </c>
      <c r="G1295" s="55" t="s">
        <v>25</v>
      </c>
      <c r="H1295" s="55" t="s">
        <v>34</v>
      </c>
      <c r="I1295" s="63">
        <v>44652</v>
      </c>
      <c r="J1295" s="64">
        <f>EFEITO!$J$1295*EFEITO!$Y$1174</f>
        <v>0</v>
      </c>
      <c r="K1295" s="64">
        <f ca="1">EFEITO!$L$1295*EFEITO!$Z$1174</f>
        <v>1197.8133919904985</v>
      </c>
      <c r="L1295" s="64">
        <f>EFEITO!$N$1295*EFEITO!$AA$1174</f>
        <v>320.63165976934732</v>
      </c>
      <c r="M1295" s="64">
        <f>$J$1295-EFEITO!$K$1295*EFEITO!$Y$1295</f>
        <v>0</v>
      </c>
      <c r="N1295" s="64">
        <f ca="1">$K$1295-EFEITO!$M$1295*EFEITO!$Z$1295</f>
        <v>23.956267839809925</v>
      </c>
      <c r="O1295" s="64">
        <f>$L$1295-EFEITO!$O$1295*EFEITO!$AA$1295</f>
        <v>6.4126331953869453</v>
      </c>
      <c r="P1295" s="19"/>
      <c r="Q1295" s="19"/>
      <c r="R1295" s="19"/>
      <c r="S1295" s="19"/>
      <c r="T1295" s="19"/>
      <c r="U1295" s="19"/>
      <c r="V1295" s="19"/>
      <c r="W1295" s="19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</row>
    <row r="1296" spans="1:36" ht="11.25" customHeight="1" x14ac:dyDescent="0.2">
      <c r="A1296" s="55" t="s">
        <v>21</v>
      </c>
      <c r="B1296" s="55" t="s">
        <v>41</v>
      </c>
      <c r="C1296" s="55" t="s">
        <v>42</v>
      </c>
      <c r="D1296" s="55" t="s">
        <v>45</v>
      </c>
      <c r="E1296" s="55" t="s">
        <v>53</v>
      </c>
      <c r="F1296" s="55" t="s">
        <v>25</v>
      </c>
      <c r="G1296" s="55" t="s">
        <v>25</v>
      </c>
      <c r="H1296" s="55" t="s">
        <v>34</v>
      </c>
      <c r="I1296" s="63">
        <v>44682</v>
      </c>
      <c r="J1296" s="64">
        <f>EFEITO!$J$1296*EFEITO!$Y$1174</f>
        <v>0</v>
      </c>
      <c r="K1296" s="64">
        <f ca="1">EFEITO!$L$1296*EFEITO!$Z$1174</f>
        <v>58363.121060301091</v>
      </c>
      <c r="L1296" s="64">
        <f>EFEITO!$N$1296*EFEITO!$AA$1174</f>
        <v>15622.687557188481</v>
      </c>
      <c r="M1296" s="64">
        <f>$J$1296-EFEITO!$K$1296*EFEITO!$Y$1296</f>
        <v>0</v>
      </c>
      <c r="N1296" s="64">
        <f ca="1">$K$1296-EFEITO!$M$1296*EFEITO!$Z$1296</f>
        <v>1167.2624212060182</v>
      </c>
      <c r="O1296" s="64">
        <f>$L$1296-EFEITO!$O$1296*EFEITO!$AA$1296</f>
        <v>312.45375114377021</v>
      </c>
      <c r="P1296" s="19"/>
      <c r="Q1296" s="19"/>
      <c r="R1296" s="19"/>
      <c r="S1296" s="19"/>
      <c r="T1296" s="19"/>
      <c r="U1296" s="19"/>
      <c r="V1296" s="19"/>
      <c r="W1296" s="19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</row>
    <row r="1297" spans="1:36" ht="11.25" customHeight="1" x14ac:dyDescent="0.2">
      <c r="A1297" s="55" t="s">
        <v>28</v>
      </c>
      <c r="B1297" s="55" t="s">
        <v>41</v>
      </c>
      <c r="C1297" s="55" t="s">
        <v>42</v>
      </c>
      <c r="D1297" s="55" t="s">
        <v>45</v>
      </c>
      <c r="E1297" s="55" t="s">
        <v>53</v>
      </c>
      <c r="F1297" s="55" t="s">
        <v>25</v>
      </c>
      <c r="G1297" s="55" t="s">
        <v>25</v>
      </c>
      <c r="H1297" s="55" t="s">
        <v>34</v>
      </c>
      <c r="I1297" s="63">
        <v>44682</v>
      </c>
      <c r="J1297" s="64">
        <f>EFEITO!$J$1297*EFEITO!$Y$1174</f>
        <v>0</v>
      </c>
      <c r="K1297" s="64">
        <f ca="1">EFEITO!$L$1297*EFEITO!$Z$1174</f>
        <v>2407.7395036752832</v>
      </c>
      <c r="L1297" s="64">
        <f>EFEITO!$N$1297*EFEITO!$AA$1174</f>
        <v>644.5056621655757</v>
      </c>
      <c r="M1297" s="64">
        <f>$J$1297-EFEITO!$K$1297*EFEITO!$Y$1297</f>
        <v>0</v>
      </c>
      <c r="N1297" s="64">
        <f ca="1">$K$1297-EFEITO!$M$1297*EFEITO!$Z$1297</f>
        <v>48.154790073505865</v>
      </c>
      <c r="O1297" s="64">
        <f>$L$1297-EFEITO!$O$1297*EFEITO!$AA$1297</f>
        <v>12.890113243311475</v>
      </c>
      <c r="P1297" s="19"/>
      <c r="Q1297" s="19"/>
      <c r="R1297" s="19"/>
      <c r="S1297" s="19"/>
      <c r="T1297" s="19"/>
      <c r="U1297" s="19"/>
      <c r="V1297" s="19"/>
      <c r="W1297" s="19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</row>
    <row r="1298" spans="1:36" ht="11.25" customHeight="1" x14ac:dyDescent="0.2">
      <c r="A1298" s="55" t="s">
        <v>21</v>
      </c>
      <c r="B1298" s="55" t="s">
        <v>41</v>
      </c>
      <c r="C1298" s="55" t="s">
        <v>42</v>
      </c>
      <c r="D1298" s="55" t="s">
        <v>45</v>
      </c>
      <c r="E1298" s="55" t="s">
        <v>53</v>
      </c>
      <c r="F1298" s="55" t="s">
        <v>25</v>
      </c>
      <c r="G1298" s="55" t="s">
        <v>25</v>
      </c>
      <c r="H1298" s="55" t="s">
        <v>34</v>
      </c>
      <c r="I1298" s="63">
        <v>44713</v>
      </c>
      <c r="J1298" s="64">
        <f>EFEITO!$J$1298*EFEITO!$Y$1174</f>
        <v>0</v>
      </c>
      <c r="K1298" s="64">
        <f ca="1">EFEITO!$L$1298*EFEITO!$Z$1174</f>
        <v>56734.633190291541</v>
      </c>
      <c r="L1298" s="64">
        <f>EFEITO!$N$1298*EFEITO!$AA$1174</f>
        <v>15186.772604018917</v>
      </c>
      <c r="M1298" s="64">
        <f>$J$1298-EFEITO!$K$1298*EFEITO!$Y$1298</f>
        <v>0</v>
      </c>
      <c r="N1298" s="64">
        <f ca="1">$K$1298-EFEITO!$M$1298*EFEITO!$Z$1298</f>
        <v>1134.6926638058358</v>
      </c>
      <c r="O1298" s="64">
        <f>$L$1298-EFEITO!$O$1298*EFEITO!$AA$1298</f>
        <v>303.73545208037649</v>
      </c>
      <c r="P1298" s="19"/>
      <c r="Q1298" s="19"/>
      <c r="R1298" s="19"/>
      <c r="S1298" s="19"/>
      <c r="T1298" s="19"/>
      <c r="U1298" s="19"/>
      <c r="V1298" s="19"/>
      <c r="W1298" s="19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</row>
    <row r="1299" spans="1:36" ht="11.25" customHeight="1" x14ac:dyDescent="0.2">
      <c r="A1299" s="55" t="s">
        <v>27</v>
      </c>
      <c r="B1299" s="55" t="s">
        <v>41</v>
      </c>
      <c r="C1299" s="55" t="s">
        <v>42</v>
      </c>
      <c r="D1299" s="55" t="s">
        <v>45</v>
      </c>
      <c r="E1299" s="55" t="s">
        <v>53</v>
      </c>
      <c r="F1299" s="55" t="s">
        <v>25</v>
      </c>
      <c r="G1299" s="55" t="s">
        <v>25</v>
      </c>
      <c r="H1299" s="55" t="s">
        <v>34</v>
      </c>
      <c r="I1299" s="63">
        <v>44713</v>
      </c>
      <c r="J1299" s="64">
        <f>EFEITO!$J$1299*EFEITO!$Y$1174</f>
        <v>0</v>
      </c>
      <c r="K1299" s="64">
        <f ca="1">EFEITO!$L$1299*EFEITO!$Z$1174</f>
        <v>-78.059749140953841</v>
      </c>
      <c r="L1299" s="64">
        <f>EFEITO!$N$1299*EFEITO!$AA$1174</f>
        <v>-20.895096928788927</v>
      </c>
      <c r="M1299" s="64">
        <f>$J$1299-EFEITO!$K$1299*EFEITO!$Y$1299</f>
        <v>0</v>
      </c>
      <c r="N1299" s="64">
        <f ca="1">$K$1299-EFEITO!$M$1299*EFEITO!$Z$1299</f>
        <v>-1.5611949828190745</v>
      </c>
      <c r="O1299" s="64">
        <f>$L$1299-EFEITO!$O$1299*EFEITO!$AA$1299</f>
        <v>-0.41790193857577762</v>
      </c>
      <c r="P1299" s="19"/>
      <c r="Q1299" s="19"/>
      <c r="R1299" s="19"/>
      <c r="S1299" s="19"/>
      <c r="T1299" s="19"/>
      <c r="U1299" s="19"/>
      <c r="V1299" s="19"/>
      <c r="W1299" s="19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</row>
    <row r="1300" spans="1:36" ht="11.25" customHeight="1" x14ac:dyDescent="0.2">
      <c r="A1300" s="55" t="s">
        <v>57</v>
      </c>
      <c r="B1300" s="55" t="s">
        <v>41</v>
      </c>
      <c r="C1300" s="55" t="s">
        <v>42</v>
      </c>
      <c r="D1300" s="55" t="s">
        <v>45</v>
      </c>
      <c r="E1300" s="55" t="s">
        <v>53</v>
      </c>
      <c r="F1300" s="55" t="s">
        <v>25</v>
      </c>
      <c r="G1300" s="55" t="s">
        <v>25</v>
      </c>
      <c r="H1300" s="55" t="s">
        <v>34</v>
      </c>
      <c r="I1300" s="63">
        <v>44743</v>
      </c>
      <c r="J1300" s="64">
        <f>EFEITO!$J$1300*EFEITO!$Y$1174</f>
        <v>0</v>
      </c>
      <c r="K1300" s="64">
        <f ca="1">EFEITO!$L$1300*EFEITO!$Z$1174</f>
        <v>56734.633190291541</v>
      </c>
      <c r="L1300" s="64">
        <f>EFEITO!$N$1300*EFEITO!$AA$1174</f>
        <v>15186.772604018917</v>
      </c>
      <c r="M1300" s="64">
        <f>$J$1300-EFEITO!$K$1300*EFEITO!$Y$1300</f>
        <v>0</v>
      </c>
      <c r="N1300" s="64">
        <f ca="1">$K$1300-EFEITO!$M$1300*EFEITO!$Z$1300</f>
        <v>1134.6926638058358</v>
      </c>
      <c r="O1300" s="64">
        <f>$L$1300-EFEITO!$O$1300*EFEITO!$AA$1300</f>
        <v>303.73545208037649</v>
      </c>
      <c r="P1300" s="19"/>
      <c r="Q1300" s="19"/>
      <c r="R1300" s="19"/>
      <c r="S1300" s="19"/>
      <c r="T1300" s="19"/>
      <c r="U1300" s="19"/>
      <c r="V1300" s="19"/>
      <c r="W1300" s="19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</row>
    <row r="1301" spans="1:36" ht="11.25" customHeight="1" x14ac:dyDescent="0.2">
      <c r="A1301" s="55" t="s">
        <v>57</v>
      </c>
      <c r="B1301" s="55" t="s">
        <v>41</v>
      </c>
      <c r="C1301" s="55" t="s">
        <v>42</v>
      </c>
      <c r="D1301" s="55" t="s">
        <v>45</v>
      </c>
      <c r="E1301" s="55" t="s">
        <v>53</v>
      </c>
      <c r="F1301" s="55" t="s">
        <v>25</v>
      </c>
      <c r="G1301" s="55" t="s">
        <v>25</v>
      </c>
      <c r="H1301" s="55" t="s">
        <v>34</v>
      </c>
      <c r="I1301" s="63">
        <v>44743</v>
      </c>
      <c r="J1301" s="64">
        <f>EFEITO!$J$1301*EFEITO!$Y$1174</f>
        <v>0</v>
      </c>
      <c r="K1301" s="64">
        <f ca="1">EFEITO!$L$1301*EFEITO!$Z$1174</f>
        <v>-78.059749140953841</v>
      </c>
      <c r="L1301" s="64">
        <f>EFEITO!$N$1301*EFEITO!$AA$1174</f>
        <v>-20.895096928788927</v>
      </c>
      <c r="M1301" s="64">
        <f>$J$1301-EFEITO!$K$1301*EFEITO!$Y$1301</f>
        <v>0</v>
      </c>
      <c r="N1301" s="64">
        <f ca="1">$K$1301-EFEITO!$M$1301*EFEITO!$Z$1301</f>
        <v>-1.5611949828190745</v>
      </c>
      <c r="O1301" s="64">
        <f>$L$1301-EFEITO!$O$1301*EFEITO!$AA$1301</f>
        <v>-0.41790193857577762</v>
      </c>
      <c r="P1301" s="19"/>
      <c r="Q1301" s="19"/>
      <c r="R1301" s="19"/>
      <c r="S1301" s="19"/>
      <c r="T1301" s="19"/>
      <c r="U1301" s="19"/>
      <c r="V1301" s="19"/>
      <c r="W1301" s="19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</row>
    <row r="1302" spans="1:36" ht="11.25" customHeight="1" x14ac:dyDescent="0.2">
      <c r="A1302" s="55" t="s">
        <v>21</v>
      </c>
      <c r="B1302" s="55" t="s">
        <v>41</v>
      </c>
      <c r="C1302" s="55" t="s">
        <v>42</v>
      </c>
      <c r="D1302" s="55" t="s">
        <v>45</v>
      </c>
      <c r="E1302" s="55" t="s">
        <v>25</v>
      </c>
      <c r="F1302" s="55" t="s">
        <v>25</v>
      </c>
      <c r="G1302" s="55" t="s">
        <v>25</v>
      </c>
      <c r="H1302" s="55" t="s">
        <v>35</v>
      </c>
      <c r="I1302" s="63">
        <v>44409</v>
      </c>
      <c r="J1302" s="64">
        <f>EFEITO!$J$1302*EFEITO!$Y$1120</f>
        <v>0</v>
      </c>
      <c r="K1302" s="64">
        <f ca="1">EFEITO!$L$1302*EFEITO!$Z$1120</f>
        <v>95730.567279809387</v>
      </c>
      <c r="L1302" s="64">
        <f>EFEITO!$N$1302*EFEITO!$AA$1120</f>
        <v>284897.85209808475</v>
      </c>
      <c r="M1302" s="64">
        <f>$J$1302-EFEITO!$K$1302*EFEITO!$Y$1302</f>
        <v>0</v>
      </c>
      <c r="N1302" s="64">
        <f ca="1">$K$1302-EFEITO!$M$1302*EFEITO!$Z$1302</f>
        <v>1914.611345596204</v>
      </c>
      <c r="O1302" s="64">
        <f>$L$1302-EFEITO!$O$1302*EFEITO!$AA$1302</f>
        <v>5697.957041961723</v>
      </c>
      <c r="P1302" s="19"/>
      <c r="Q1302" s="19"/>
      <c r="R1302" s="19"/>
      <c r="S1302" s="19"/>
      <c r="T1302" s="19"/>
      <c r="U1302" s="19"/>
      <c r="V1302" s="19"/>
      <c r="W1302" s="19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</row>
    <row r="1303" spans="1:36" ht="11.25" customHeight="1" x14ac:dyDescent="0.2">
      <c r="A1303" s="55" t="s">
        <v>28</v>
      </c>
      <c r="B1303" s="55" t="s">
        <v>41</v>
      </c>
      <c r="C1303" s="55" t="s">
        <v>42</v>
      </c>
      <c r="D1303" s="55" t="s">
        <v>45</v>
      </c>
      <c r="E1303" s="55" t="s">
        <v>25</v>
      </c>
      <c r="F1303" s="55" t="s">
        <v>25</v>
      </c>
      <c r="G1303" s="55" t="s">
        <v>25</v>
      </c>
      <c r="H1303" s="55" t="s">
        <v>35</v>
      </c>
      <c r="I1303" s="63">
        <v>44409</v>
      </c>
      <c r="J1303" s="64">
        <f>EFEITO!$J$1303*EFEITO!$Y$1120</f>
        <v>0</v>
      </c>
      <c r="K1303" s="64">
        <f ca="1">EFEITO!$L$1303*EFEITO!$Z$1120</f>
        <v>3042.6232106168659</v>
      </c>
      <c r="L1303" s="64">
        <f>EFEITO!$N$1303*EFEITO!$AA$1120</f>
        <v>9054.9637600585793</v>
      </c>
      <c r="M1303" s="64">
        <f>$J$1303-EFEITO!$K$1303*EFEITO!$Y$1303</f>
        <v>0</v>
      </c>
      <c r="N1303" s="64">
        <f ca="1">$K$1303-EFEITO!$M$1303*EFEITO!$Z$1303</f>
        <v>60.852464212337509</v>
      </c>
      <c r="O1303" s="64">
        <f>$L$1303-EFEITO!$O$1303*EFEITO!$AA$1303</f>
        <v>181.09927520117162</v>
      </c>
      <c r="P1303" s="19"/>
      <c r="Q1303" s="19"/>
      <c r="R1303" s="19"/>
      <c r="S1303" s="19"/>
      <c r="T1303" s="19"/>
      <c r="U1303" s="19"/>
      <c r="V1303" s="19"/>
      <c r="W1303" s="19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</row>
    <row r="1304" spans="1:36" ht="11.25" customHeight="1" x14ac:dyDescent="0.2">
      <c r="A1304" s="55" t="s">
        <v>21</v>
      </c>
      <c r="B1304" s="55" t="s">
        <v>41</v>
      </c>
      <c r="C1304" s="55" t="s">
        <v>42</v>
      </c>
      <c r="D1304" s="55" t="s">
        <v>45</v>
      </c>
      <c r="E1304" s="55" t="s">
        <v>25</v>
      </c>
      <c r="F1304" s="55" t="s">
        <v>25</v>
      </c>
      <c r="G1304" s="55" t="s">
        <v>25</v>
      </c>
      <c r="H1304" s="55" t="s">
        <v>35</v>
      </c>
      <c r="I1304" s="63">
        <v>44440</v>
      </c>
      <c r="J1304" s="64">
        <f>EFEITO!$J$1304*EFEITO!$Y$1120</f>
        <v>0</v>
      </c>
      <c r="K1304" s="64">
        <f ca="1">EFEITO!$L$1304*EFEITO!$Z$1120</f>
        <v>98322.910290687665</v>
      </c>
      <c r="L1304" s="64">
        <f>EFEITO!$N$1304*EFEITO!$AA$1120</f>
        <v>292612.76465618121</v>
      </c>
      <c r="M1304" s="64">
        <f>$J$1304-EFEITO!$K$1304*EFEITO!$Y$1304</f>
        <v>0</v>
      </c>
      <c r="N1304" s="64">
        <f ca="1">$K$1304-EFEITO!$M$1304*EFEITO!$Z$1304</f>
        <v>1966.4582058137603</v>
      </c>
      <c r="O1304" s="64">
        <f>$L$1304-EFEITO!$O$1304*EFEITO!$AA$1304</f>
        <v>5852.2552931235987</v>
      </c>
      <c r="P1304" s="19"/>
      <c r="Q1304" s="19"/>
      <c r="R1304" s="19"/>
      <c r="S1304" s="19"/>
      <c r="T1304" s="19"/>
      <c r="U1304" s="19"/>
      <c r="V1304" s="19"/>
      <c r="W1304" s="19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</row>
    <row r="1305" spans="1:36" ht="11.25" customHeight="1" x14ac:dyDescent="0.2">
      <c r="A1305" s="55" t="s">
        <v>28</v>
      </c>
      <c r="B1305" s="55" t="s">
        <v>41</v>
      </c>
      <c r="C1305" s="55" t="s">
        <v>42</v>
      </c>
      <c r="D1305" s="55" t="s">
        <v>45</v>
      </c>
      <c r="E1305" s="55" t="s">
        <v>25</v>
      </c>
      <c r="F1305" s="55" t="s">
        <v>25</v>
      </c>
      <c r="G1305" s="55" t="s">
        <v>25</v>
      </c>
      <c r="H1305" s="55" t="s">
        <v>35</v>
      </c>
      <c r="I1305" s="63">
        <v>44440</v>
      </c>
      <c r="J1305" s="64">
        <f>EFEITO!$J$1305*EFEITO!$Y$1120</f>
        <v>0</v>
      </c>
      <c r="K1305" s="64">
        <f ca="1">EFEITO!$L$1305*EFEITO!$Z$1120</f>
        <v>4096.5218517552858</v>
      </c>
      <c r="L1305" s="64">
        <f>EFEITO!$N$1305*EFEITO!$AA$1120</f>
        <v>12191.406671880253</v>
      </c>
      <c r="M1305" s="64">
        <f>$J$1305-EFEITO!$K$1305*EFEITO!$Y$1305</f>
        <v>0</v>
      </c>
      <c r="N1305" s="64">
        <f ca="1">$K$1305-EFEITO!$M$1305*EFEITO!$Z$1305</f>
        <v>81.930437035106024</v>
      </c>
      <c r="O1305" s="64">
        <f>$L$1305-EFEITO!$O$1305*EFEITO!$AA$1305</f>
        <v>243.82813343760608</v>
      </c>
      <c r="P1305" s="19"/>
      <c r="Q1305" s="19"/>
      <c r="R1305" s="19"/>
      <c r="S1305" s="19"/>
      <c r="T1305" s="19"/>
      <c r="U1305" s="19"/>
      <c r="V1305" s="19"/>
      <c r="W1305" s="19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</row>
    <row r="1306" spans="1:36" ht="11.25" customHeight="1" x14ac:dyDescent="0.2">
      <c r="A1306" s="55" t="s">
        <v>21</v>
      </c>
      <c r="B1306" s="55" t="s">
        <v>41</v>
      </c>
      <c r="C1306" s="55" t="s">
        <v>42</v>
      </c>
      <c r="D1306" s="55" t="s">
        <v>45</v>
      </c>
      <c r="E1306" s="55" t="s">
        <v>25</v>
      </c>
      <c r="F1306" s="55" t="s">
        <v>25</v>
      </c>
      <c r="G1306" s="55" t="s">
        <v>25</v>
      </c>
      <c r="H1306" s="55" t="s">
        <v>35</v>
      </c>
      <c r="I1306" s="63">
        <v>44470</v>
      </c>
      <c r="J1306" s="64">
        <f>EFEITO!$J$1306*EFEITO!$Y$1120</f>
        <v>0</v>
      </c>
      <c r="K1306" s="64">
        <f ca="1">EFEITO!$L$1306*EFEITO!$Z$1120</f>
        <v>88680.123211470825</v>
      </c>
      <c r="L1306" s="64">
        <f>EFEITO!$N$1306*EFEITO!$AA$1120</f>
        <v>263915.45923775341</v>
      </c>
      <c r="M1306" s="64">
        <f>$J$1306-EFEITO!$K$1306*EFEITO!$Y$1306</f>
        <v>0</v>
      </c>
      <c r="N1306" s="64">
        <f ca="1">$K$1306-EFEITO!$M$1306*EFEITO!$Z$1306</f>
        <v>1773.6024642294215</v>
      </c>
      <c r="O1306" s="64">
        <f>$L$1306-EFEITO!$O$1306*EFEITO!$AA$1306</f>
        <v>5278.3091847550822</v>
      </c>
      <c r="P1306" s="19"/>
      <c r="Q1306" s="19"/>
      <c r="R1306" s="19"/>
      <c r="S1306" s="19"/>
      <c r="T1306" s="19"/>
      <c r="U1306" s="19"/>
      <c r="V1306" s="19"/>
      <c r="W1306" s="19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</row>
    <row r="1307" spans="1:36" ht="11.25" customHeight="1" x14ac:dyDescent="0.2">
      <c r="A1307" s="55" t="s">
        <v>28</v>
      </c>
      <c r="B1307" s="55" t="s">
        <v>41</v>
      </c>
      <c r="C1307" s="55" t="s">
        <v>42</v>
      </c>
      <c r="D1307" s="55" t="s">
        <v>45</v>
      </c>
      <c r="E1307" s="55" t="s">
        <v>25</v>
      </c>
      <c r="F1307" s="55" t="s">
        <v>25</v>
      </c>
      <c r="G1307" s="55" t="s">
        <v>25</v>
      </c>
      <c r="H1307" s="55" t="s">
        <v>35</v>
      </c>
      <c r="I1307" s="63">
        <v>44470</v>
      </c>
      <c r="J1307" s="64">
        <f>EFEITO!$J$1307*EFEITO!$Y$1120</f>
        <v>0</v>
      </c>
      <c r="K1307" s="64">
        <f ca="1">EFEITO!$L$1307*EFEITO!$Z$1120</f>
        <v>5937.5152661136854</v>
      </c>
      <c r="L1307" s="64">
        <f>EFEITO!$N$1307*EFEITO!$AA$1120</f>
        <v>17670.273917536375</v>
      </c>
      <c r="M1307" s="64">
        <f>$J$1307-EFEITO!$K$1307*EFEITO!$Y$1307</f>
        <v>0</v>
      </c>
      <c r="N1307" s="64">
        <f ca="1">$K$1307-EFEITO!$M$1307*EFEITO!$Z$1307</f>
        <v>118.75030532227356</v>
      </c>
      <c r="O1307" s="64">
        <f>$L$1307-EFEITO!$O$1307*EFEITO!$AA$1307</f>
        <v>353.40547835072721</v>
      </c>
      <c r="P1307" s="19"/>
      <c r="Q1307" s="19"/>
      <c r="R1307" s="19"/>
      <c r="S1307" s="19"/>
      <c r="T1307" s="19"/>
      <c r="U1307" s="19"/>
      <c r="V1307" s="19"/>
      <c r="W1307" s="19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</row>
    <row r="1308" spans="1:36" ht="11.25" customHeight="1" x14ac:dyDescent="0.2">
      <c r="A1308" s="55" t="s">
        <v>21</v>
      </c>
      <c r="B1308" s="55" t="s">
        <v>41</v>
      </c>
      <c r="C1308" s="55" t="s">
        <v>42</v>
      </c>
      <c r="D1308" s="55" t="s">
        <v>45</v>
      </c>
      <c r="E1308" s="55" t="s">
        <v>25</v>
      </c>
      <c r="F1308" s="55" t="s">
        <v>25</v>
      </c>
      <c r="G1308" s="55" t="s">
        <v>25</v>
      </c>
      <c r="H1308" s="55" t="s">
        <v>35</v>
      </c>
      <c r="I1308" s="63">
        <v>44501</v>
      </c>
      <c r="J1308" s="64">
        <f>EFEITO!$J$1308*EFEITO!$Y$1120</f>
        <v>0</v>
      </c>
      <c r="K1308" s="64">
        <f ca="1">EFEITO!$L$1308*EFEITO!$Z$1120</f>
        <v>83903.897868999804</v>
      </c>
      <c r="L1308" s="64">
        <f>EFEITO!$N$1308*EFEITO!$AA$1120</f>
        <v>249701.22882136868</v>
      </c>
      <c r="M1308" s="64">
        <f>$J$1308-EFEITO!$K$1308*EFEITO!$Y$1308</f>
        <v>0</v>
      </c>
      <c r="N1308" s="64">
        <f ca="1">$K$1308-EFEITO!$M$1308*EFEITO!$Z$1308</f>
        <v>1678.07795738001</v>
      </c>
      <c r="O1308" s="64">
        <f>$L$1308-EFEITO!$O$1308*EFEITO!$AA$1308</f>
        <v>4994.0245764273859</v>
      </c>
      <c r="P1308" s="19"/>
      <c r="Q1308" s="19"/>
      <c r="R1308" s="19"/>
      <c r="S1308" s="19"/>
      <c r="T1308" s="19"/>
      <c r="U1308" s="19"/>
      <c r="V1308" s="19"/>
      <c r="W1308" s="19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</row>
    <row r="1309" spans="1:36" ht="11.25" customHeight="1" x14ac:dyDescent="0.2">
      <c r="A1309" s="55" t="s">
        <v>28</v>
      </c>
      <c r="B1309" s="55" t="s">
        <v>41</v>
      </c>
      <c r="C1309" s="55" t="s">
        <v>42</v>
      </c>
      <c r="D1309" s="55" t="s">
        <v>45</v>
      </c>
      <c r="E1309" s="55" t="s">
        <v>25</v>
      </c>
      <c r="F1309" s="55" t="s">
        <v>25</v>
      </c>
      <c r="G1309" s="55" t="s">
        <v>25</v>
      </c>
      <c r="H1309" s="55" t="s">
        <v>35</v>
      </c>
      <c r="I1309" s="63">
        <v>44501</v>
      </c>
      <c r="J1309" s="64">
        <f>EFEITO!$J$1309*EFEITO!$Y$1120</f>
        <v>0</v>
      </c>
      <c r="K1309" s="64">
        <f ca="1">EFEITO!$L$1309*EFEITO!$Z$1120</f>
        <v>3634.6380979245037</v>
      </c>
      <c r="L1309" s="64">
        <f>EFEITO!$N$1309*EFEITO!$AA$1120</f>
        <v>10816.822846415511</v>
      </c>
      <c r="M1309" s="64">
        <f>$J$1309-EFEITO!$K$1309*EFEITO!$Y$1309</f>
        <v>0</v>
      </c>
      <c r="N1309" s="64">
        <f ca="1">$K$1309-EFEITO!$M$1309*EFEITO!$Z$1309</f>
        <v>72.692761958490337</v>
      </c>
      <c r="O1309" s="64">
        <f>$L$1309-EFEITO!$O$1309*EFEITO!$AA$1309</f>
        <v>216.33645692831124</v>
      </c>
      <c r="P1309" s="19"/>
      <c r="Q1309" s="19"/>
      <c r="R1309" s="19"/>
      <c r="S1309" s="19"/>
      <c r="T1309" s="19"/>
      <c r="U1309" s="19"/>
      <c r="V1309" s="19"/>
      <c r="W1309" s="19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</row>
    <row r="1310" spans="1:36" ht="11.25" customHeight="1" x14ac:dyDescent="0.2">
      <c r="A1310" s="55" t="s">
        <v>28</v>
      </c>
      <c r="B1310" s="55" t="s">
        <v>41</v>
      </c>
      <c r="C1310" s="55" t="s">
        <v>42</v>
      </c>
      <c r="D1310" s="55" t="s">
        <v>45</v>
      </c>
      <c r="E1310" s="55" t="s">
        <v>25</v>
      </c>
      <c r="F1310" s="55" t="s">
        <v>25</v>
      </c>
      <c r="G1310" s="55" t="s">
        <v>25</v>
      </c>
      <c r="H1310" s="55" t="s">
        <v>35</v>
      </c>
      <c r="I1310" s="63">
        <v>44501</v>
      </c>
      <c r="J1310" s="64">
        <f>EFEITO!$J$1310*EFEITO!$Y$1120</f>
        <v>0</v>
      </c>
      <c r="K1310" s="64">
        <f ca="1">EFEITO!$L$1310*EFEITO!$Z$1120</f>
        <v>-3244.0110688880513</v>
      </c>
      <c r="L1310" s="64">
        <f>EFEITO!$N$1310*EFEITO!$AA$1120</f>
        <v>-9654.3017760174098</v>
      </c>
      <c r="M1310" s="64">
        <f>$J$1310-EFEITO!$K$1310*EFEITO!$Y$1310</f>
        <v>0</v>
      </c>
      <c r="N1310" s="64">
        <f ca="1">$K$1310-EFEITO!$M$1310*EFEITO!$Z$1310</f>
        <v>-64.880221377761245</v>
      </c>
      <c r="O1310" s="64">
        <f>$L$1310-EFEITO!$O$1310*EFEITO!$AA$1310</f>
        <v>-193.08603552034947</v>
      </c>
      <c r="P1310" s="19"/>
      <c r="Q1310" s="19"/>
      <c r="R1310" s="19"/>
      <c r="S1310" s="19"/>
      <c r="T1310" s="19"/>
      <c r="U1310" s="19"/>
      <c r="V1310" s="19"/>
      <c r="W1310" s="19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</row>
    <row r="1311" spans="1:36" ht="11.25" customHeight="1" x14ac:dyDescent="0.2">
      <c r="A1311" s="55" t="s">
        <v>21</v>
      </c>
      <c r="B1311" s="55" t="s">
        <v>41</v>
      </c>
      <c r="C1311" s="55" t="s">
        <v>42</v>
      </c>
      <c r="D1311" s="55" t="s">
        <v>45</v>
      </c>
      <c r="E1311" s="55" t="s">
        <v>25</v>
      </c>
      <c r="F1311" s="55" t="s">
        <v>25</v>
      </c>
      <c r="G1311" s="55" t="s">
        <v>25</v>
      </c>
      <c r="H1311" s="55" t="s">
        <v>35</v>
      </c>
      <c r="I1311" s="63">
        <v>44531</v>
      </c>
      <c r="J1311" s="64">
        <f>EFEITO!$J$1311*EFEITO!$Y$1120</f>
        <v>0</v>
      </c>
      <c r="K1311" s="64">
        <f ca="1">EFEITO!$L$1311*EFEITO!$Z$1120</f>
        <v>91902.173191405862</v>
      </c>
      <c r="L1311" s="64">
        <f>EFEITO!$N$1311*EFEITO!$AA$1120</f>
        <v>273504.403967947</v>
      </c>
      <c r="M1311" s="64">
        <f>$J$1311-EFEITO!$K$1311*EFEITO!$Y$1311</f>
        <v>0</v>
      </c>
      <c r="N1311" s="64">
        <f ca="1">$K$1311-EFEITO!$M$1311*EFEITO!$Z$1311</f>
        <v>1838.0434638281149</v>
      </c>
      <c r="O1311" s="64">
        <f>$L$1311-EFEITO!$O$1311*EFEITO!$AA$1311</f>
        <v>5470.0880793589167</v>
      </c>
      <c r="P1311" s="19"/>
      <c r="Q1311" s="19"/>
      <c r="R1311" s="19"/>
      <c r="S1311" s="19"/>
      <c r="T1311" s="19"/>
      <c r="U1311" s="19"/>
      <c r="V1311" s="19"/>
      <c r="W1311" s="19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</row>
    <row r="1312" spans="1:36" ht="11.25" customHeight="1" x14ac:dyDescent="0.2">
      <c r="A1312" s="55" t="s">
        <v>27</v>
      </c>
      <c r="B1312" s="55" t="s">
        <v>41</v>
      </c>
      <c r="C1312" s="55" t="s">
        <v>42</v>
      </c>
      <c r="D1312" s="55" t="s">
        <v>45</v>
      </c>
      <c r="E1312" s="55" t="s">
        <v>25</v>
      </c>
      <c r="F1312" s="55" t="s">
        <v>25</v>
      </c>
      <c r="G1312" s="55" t="s">
        <v>25</v>
      </c>
      <c r="H1312" s="55" t="s">
        <v>35</v>
      </c>
      <c r="I1312" s="63">
        <v>44531</v>
      </c>
      <c r="J1312" s="64">
        <f>EFEITO!$J$1312*EFEITO!$Y$1120</f>
        <v>0</v>
      </c>
      <c r="K1312" s="64">
        <f ca="1">EFEITO!$L$1312*EFEITO!$Z$1120</f>
        <v>-537.11216492512222</v>
      </c>
      <c r="L1312" s="64">
        <f>EFEITO!$N$1312*EFEITO!$AA$1120</f>
        <v>-1598.4664717973899</v>
      </c>
      <c r="M1312" s="64">
        <f>$J$1312-EFEITO!$K$1312*EFEITO!$Y$1312</f>
        <v>0</v>
      </c>
      <c r="N1312" s="64">
        <f ca="1">$K$1312-EFEITO!$M$1312*EFEITO!$Z$1312</f>
        <v>-10.742243298502444</v>
      </c>
      <c r="O1312" s="64">
        <f>$L$1312-EFEITO!$O$1312*EFEITO!$AA$1312</f>
        <v>-31.969329435947884</v>
      </c>
      <c r="P1312" s="19"/>
      <c r="Q1312" s="19"/>
      <c r="R1312" s="19"/>
      <c r="S1312" s="19"/>
      <c r="T1312" s="19"/>
      <c r="U1312" s="19"/>
      <c r="V1312" s="19"/>
      <c r="W1312" s="19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</row>
    <row r="1313" spans="1:36" ht="11.25" customHeight="1" x14ac:dyDescent="0.2">
      <c r="A1313" s="55" t="s">
        <v>28</v>
      </c>
      <c r="B1313" s="55" t="s">
        <v>41</v>
      </c>
      <c r="C1313" s="55" t="s">
        <v>42</v>
      </c>
      <c r="D1313" s="55" t="s">
        <v>45</v>
      </c>
      <c r="E1313" s="55" t="s">
        <v>25</v>
      </c>
      <c r="F1313" s="55" t="s">
        <v>25</v>
      </c>
      <c r="G1313" s="55" t="s">
        <v>25</v>
      </c>
      <c r="H1313" s="55" t="s">
        <v>35</v>
      </c>
      <c r="I1313" s="63">
        <v>44531</v>
      </c>
      <c r="J1313" s="64">
        <f>EFEITO!$J$1313*EFEITO!$Y$1120</f>
        <v>0</v>
      </c>
      <c r="K1313" s="64">
        <f ca="1">EFEITO!$L$1313*EFEITO!$Z$1120</f>
        <v>2523.5783245466996</v>
      </c>
      <c r="L1313" s="64">
        <f>EFEITO!$N$1313*EFEITO!$AA$1120</f>
        <v>7510.2662053928407</v>
      </c>
      <c r="M1313" s="64">
        <f>$J$1313-EFEITO!$K$1313*EFEITO!$Y$1313</f>
        <v>0</v>
      </c>
      <c r="N1313" s="64">
        <f ca="1">$K$1313-EFEITO!$M$1313*EFEITO!$Z$1313</f>
        <v>50.471566490934492</v>
      </c>
      <c r="O1313" s="64">
        <f>$L$1313-EFEITO!$O$1313*EFEITO!$AA$1313</f>
        <v>150.20532410785745</v>
      </c>
      <c r="P1313" s="19"/>
      <c r="Q1313" s="19"/>
      <c r="R1313" s="19"/>
      <c r="S1313" s="19"/>
      <c r="T1313" s="19"/>
      <c r="U1313" s="19"/>
      <c r="V1313" s="19"/>
      <c r="W1313" s="19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</row>
    <row r="1314" spans="1:36" ht="11.25" customHeight="1" x14ac:dyDescent="0.2">
      <c r="A1314" s="55" t="s">
        <v>21</v>
      </c>
      <c r="B1314" s="55" t="s">
        <v>41</v>
      </c>
      <c r="C1314" s="55" t="s">
        <v>42</v>
      </c>
      <c r="D1314" s="55" t="s">
        <v>45</v>
      </c>
      <c r="E1314" s="55" t="s">
        <v>25</v>
      </c>
      <c r="F1314" s="55" t="s">
        <v>25</v>
      </c>
      <c r="G1314" s="55" t="s">
        <v>25</v>
      </c>
      <c r="H1314" s="55" t="s">
        <v>35</v>
      </c>
      <c r="I1314" s="63">
        <v>44562</v>
      </c>
      <c r="J1314" s="64">
        <f>EFEITO!$J$1314*EFEITO!$Y$1120</f>
        <v>0</v>
      </c>
      <c r="K1314" s="64">
        <f ca="1">EFEITO!$L$1314*EFEITO!$Z$1120</f>
        <v>92976.475397458082</v>
      </c>
      <c r="L1314" s="64">
        <f>EFEITO!$N$1314*EFEITO!$AA$1120</f>
        <v>276701.56867411564</v>
      </c>
      <c r="M1314" s="64">
        <f>$J$1314-EFEITO!$K$1314*EFEITO!$Y$1314</f>
        <v>0</v>
      </c>
      <c r="N1314" s="64">
        <f ca="1">$K$1314-EFEITO!$M$1314*EFEITO!$Z$1314</f>
        <v>1859.5295079491771</v>
      </c>
      <c r="O1314" s="64">
        <f>$L$1314-EFEITO!$O$1314*EFEITO!$AA$1314</f>
        <v>5534.0313734823139</v>
      </c>
      <c r="P1314" s="19"/>
      <c r="Q1314" s="19"/>
      <c r="R1314" s="19"/>
      <c r="S1314" s="19"/>
      <c r="T1314" s="19"/>
      <c r="U1314" s="19"/>
      <c r="V1314" s="19"/>
      <c r="W1314" s="19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</row>
    <row r="1315" spans="1:36" ht="11.25" customHeight="1" x14ac:dyDescent="0.2">
      <c r="A1315" s="55" t="s">
        <v>28</v>
      </c>
      <c r="B1315" s="55" t="s">
        <v>41</v>
      </c>
      <c r="C1315" s="55" t="s">
        <v>42</v>
      </c>
      <c r="D1315" s="55" t="s">
        <v>45</v>
      </c>
      <c r="E1315" s="55" t="s">
        <v>25</v>
      </c>
      <c r="F1315" s="55" t="s">
        <v>25</v>
      </c>
      <c r="G1315" s="55" t="s">
        <v>25</v>
      </c>
      <c r="H1315" s="55" t="s">
        <v>35</v>
      </c>
      <c r="I1315" s="63">
        <v>44562</v>
      </c>
      <c r="J1315" s="64">
        <f>EFEITO!$J$1315*EFEITO!$Y$1120</f>
        <v>0</v>
      </c>
      <c r="K1315" s="64">
        <f ca="1">EFEITO!$L$1315*EFEITO!$Z$1120</f>
        <v>7017.9696921208124</v>
      </c>
      <c r="L1315" s="64">
        <f>EFEITO!$N$1315*EFEITO!$AA$1120</f>
        <v>20885.747867038623</v>
      </c>
      <c r="M1315" s="64">
        <f>$J$1315-EFEITO!$K$1315*EFEITO!$Y$1315</f>
        <v>0</v>
      </c>
      <c r="N1315" s="64">
        <f ca="1">$K$1315-EFEITO!$M$1315*EFEITO!$Z$1315</f>
        <v>140.35939384241738</v>
      </c>
      <c r="O1315" s="64">
        <f>$L$1315-EFEITO!$O$1315*EFEITO!$AA$1315</f>
        <v>417.71495734077325</v>
      </c>
      <c r="P1315" s="19"/>
      <c r="Q1315" s="19"/>
      <c r="R1315" s="19"/>
      <c r="S1315" s="19"/>
      <c r="T1315" s="19"/>
      <c r="U1315" s="19"/>
      <c r="V1315" s="19"/>
      <c r="W1315" s="19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</row>
    <row r="1316" spans="1:36" ht="11.25" customHeight="1" x14ac:dyDescent="0.2">
      <c r="A1316" s="55" t="s">
        <v>21</v>
      </c>
      <c r="B1316" s="55" t="s">
        <v>41</v>
      </c>
      <c r="C1316" s="55" t="s">
        <v>42</v>
      </c>
      <c r="D1316" s="55" t="s">
        <v>45</v>
      </c>
      <c r="E1316" s="55" t="s">
        <v>25</v>
      </c>
      <c r="F1316" s="55" t="s">
        <v>25</v>
      </c>
      <c r="G1316" s="55" t="s">
        <v>25</v>
      </c>
      <c r="H1316" s="55" t="s">
        <v>35</v>
      </c>
      <c r="I1316" s="63">
        <v>44593</v>
      </c>
      <c r="J1316" s="64">
        <f>EFEITO!$J$1316*EFEITO!$Y$1120</f>
        <v>0</v>
      </c>
      <c r="K1316" s="64">
        <f ca="1">EFEITO!$L$1316*EFEITO!$Z$1120</f>
        <v>77862.028492258352</v>
      </c>
      <c r="L1316" s="64">
        <f>EFEITO!$N$1316*EFEITO!$AA$1120</f>
        <v>231720.39305488224</v>
      </c>
      <c r="M1316" s="64">
        <f>$J$1316-EFEITO!$K$1316*EFEITO!$Y$1316</f>
        <v>0</v>
      </c>
      <c r="N1316" s="64">
        <f ca="1">$K$1316-EFEITO!$M$1316*EFEITO!$Z$1316</f>
        <v>1557.2405698451767</v>
      </c>
      <c r="O1316" s="64">
        <f>$L$1316-EFEITO!$O$1316*EFEITO!$AA$1316</f>
        <v>4634.4078610976576</v>
      </c>
      <c r="P1316" s="19"/>
      <c r="Q1316" s="19"/>
      <c r="R1316" s="19"/>
      <c r="S1316" s="19"/>
      <c r="T1316" s="19"/>
      <c r="U1316" s="19"/>
      <c r="V1316" s="19"/>
      <c r="W1316" s="19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</row>
    <row r="1317" spans="1:36" ht="11.25" customHeight="1" x14ac:dyDescent="0.2">
      <c r="A1317" s="55" t="s">
        <v>27</v>
      </c>
      <c r="B1317" s="55" t="s">
        <v>41</v>
      </c>
      <c r="C1317" s="55" t="s">
        <v>42</v>
      </c>
      <c r="D1317" s="55" t="s">
        <v>45</v>
      </c>
      <c r="E1317" s="55" t="s">
        <v>25</v>
      </c>
      <c r="F1317" s="55" t="s">
        <v>25</v>
      </c>
      <c r="G1317" s="55" t="s">
        <v>25</v>
      </c>
      <c r="H1317" s="55" t="s">
        <v>35</v>
      </c>
      <c r="I1317" s="63">
        <v>44593</v>
      </c>
      <c r="J1317" s="64">
        <f>EFEITO!$J$1317*EFEITO!$Y$1120</f>
        <v>0</v>
      </c>
      <c r="K1317" s="64">
        <f ca="1">EFEITO!$L$1317*EFEITO!$Z$1120</f>
        <v>3516.1105185398387</v>
      </c>
      <c r="L1317" s="64">
        <f>EFEITO!$N$1317*EFEITO!$AA$1120</f>
        <v>10464.080209025975</v>
      </c>
      <c r="M1317" s="64">
        <f>$J$1317-EFEITO!$K$1317*EFEITO!$Y$1317</f>
        <v>0</v>
      </c>
      <c r="N1317" s="64">
        <f ca="1">$K$1317-EFEITO!$M$1317*EFEITO!$Z$1317</f>
        <v>70.322210370797166</v>
      </c>
      <c r="O1317" s="64">
        <f>$L$1317-EFEITO!$O$1317*EFEITO!$AA$1317</f>
        <v>209.28160418051993</v>
      </c>
      <c r="P1317" s="19"/>
      <c r="Q1317" s="19"/>
      <c r="R1317" s="19"/>
      <c r="S1317" s="19"/>
      <c r="T1317" s="19"/>
      <c r="U1317" s="19"/>
      <c r="V1317" s="19"/>
      <c r="W1317" s="19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</row>
    <row r="1318" spans="1:36" ht="11.25" customHeight="1" x14ac:dyDescent="0.2">
      <c r="A1318" s="55" t="s">
        <v>28</v>
      </c>
      <c r="B1318" s="55" t="s">
        <v>41</v>
      </c>
      <c r="C1318" s="55" t="s">
        <v>42</v>
      </c>
      <c r="D1318" s="55" t="s">
        <v>45</v>
      </c>
      <c r="E1318" s="55" t="s">
        <v>25</v>
      </c>
      <c r="F1318" s="55" t="s">
        <v>25</v>
      </c>
      <c r="G1318" s="55" t="s">
        <v>25</v>
      </c>
      <c r="H1318" s="55" t="s">
        <v>35</v>
      </c>
      <c r="I1318" s="63">
        <v>44593</v>
      </c>
      <c r="J1318" s="64">
        <f>EFEITO!$J$1318*EFEITO!$Y$1120</f>
        <v>0</v>
      </c>
      <c r="K1318" s="64">
        <f ca="1">EFEITO!$L$1318*EFEITO!$Z$1120</f>
        <v>3300.7828201176312</v>
      </c>
      <c r="L1318" s="64">
        <f>EFEITO!$N$1318*EFEITO!$AA$1120</f>
        <v>9823.2566923491904</v>
      </c>
      <c r="M1318" s="64">
        <f>$J$1318-EFEITO!$K$1318*EFEITO!$Y$1318</f>
        <v>0</v>
      </c>
      <c r="N1318" s="64">
        <f ca="1">$K$1318-EFEITO!$M$1318*EFEITO!$Z$1318</f>
        <v>66.015656402352761</v>
      </c>
      <c r="O1318" s="64">
        <f>$L$1318-EFEITO!$O$1318*EFEITO!$AA$1318</f>
        <v>196.46513384698483</v>
      </c>
      <c r="P1318" s="19"/>
      <c r="Q1318" s="19"/>
      <c r="R1318" s="19"/>
      <c r="S1318" s="19"/>
      <c r="T1318" s="19"/>
      <c r="U1318" s="19"/>
      <c r="V1318" s="19"/>
      <c r="W1318" s="19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</row>
    <row r="1319" spans="1:36" ht="11.25" customHeight="1" x14ac:dyDescent="0.2">
      <c r="A1319" s="55" t="s">
        <v>21</v>
      </c>
      <c r="B1319" s="55" t="s">
        <v>41</v>
      </c>
      <c r="C1319" s="55" t="s">
        <v>42</v>
      </c>
      <c r="D1319" s="55" t="s">
        <v>45</v>
      </c>
      <c r="E1319" s="55" t="s">
        <v>25</v>
      </c>
      <c r="F1319" s="55" t="s">
        <v>25</v>
      </c>
      <c r="G1319" s="55" t="s">
        <v>25</v>
      </c>
      <c r="H1319" s="55" t="s">
        <v>35</v>
      </c>
      <c r="I1319" s="63">
        <v>44621</v>
      </c>
      <c r="J1319" s="64">
        <f>EFEITO!$J$1319*EFEITO!$Y$1120</f>
        <v>0</v>
      </c>
      <c r="K1319" s="64">
        <f ca="1">EFEITO!$L$1319*EFEITO!$Z$1120</f>
        <v>81720.950051830572</v>
      </c>
      <c r="L1319" s="64">
        <f>EFEITO!$N$1319*EFEITO!$AA$1120</f>
        <v>243204.69211396648</v>
      </c>
      <c r="M1319" s="64">
        <f>$J$1319-EFEITO!$K$1319*EFEITO!$Y$1319</f>
        <v>0</v>
      </c>
      <c r="N1319" s="64">
        <f ca="1">$K$1319-EFEITO!$M$1319*EFEITO!$Z$1319</f>
        <v>1634.4190010366146</v>
      </c>
      <c r="O1319" s="64">
        <f>$L$1319-EFEITO!$O$1319*EFEITO!$AA$1319</f>
        <v>4864.0938422793406</v>
      </c>
      <c r="P1319" s="19"/>
      <c r="Q1319" s="19"/>
      <c r="R1319" s="19"/>
      <c r="S1319" s="19"/>
      <c r="T1319" s="19"/>
      <c r="U1319" s="19"/>
      <c r="V1319" s="19"/>
      <c r="W1319" s="19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</row>
    <row r="1320" spans="1:36" ht="11.25" customHeight="1" x14ac:dyDescent="0.2">
      <c r="A1320" s="55" t="s">
        <v>27</v>
      </c>
      <c r="B1320" s="55" t="s">
        <v>41</v>
      </c>
      <c r="C1320" s="55" t="s">
        <v>42</v>
      </c>
      <c r="D1320" s="55" t="s">
        <v>45</v>
      </c>
      <c r="E1320" s="55" t="s">
        <v>25</v>
      </c>
      <c r="F1320" s="55" t="s">
        <v>25</v>
      </c>
      <c r="G1320" s="55" t="s">
        <v>25</v>
      </c>
      <c r="H1320" s="55" t="s">
        <v>35</v>
      </c>
      <c r="I1320" s="63">
        <v>44621</v>
      </c>
      <c r="J1320" s="64">
        <f>EFEITO!$J$1320*EFEITO!$Y$1120</f>
        <v>0</v>
      </c>
      <c r="K1320" s="64">
        <f ca="1">EFEITO!$L$1320*EFEITO!$Z$1120</f>
        <v>-2236.4487679164363</v>
      </c>
      <c r="L1320" s="64">
        <f>EFEITO!$N$1320*EFEITO!$AA$1120</f>
        <v>-6655.7575956325127</v>
      </c>
      <c r="M1320" s="64">
        <f>$J$1320-EFEITO!$K$1320*EFEITO!$Y$1320</f>
        <v>0</v>
      </c>
      <c r="N1320" s="64">
        <f ca="1">$K$1320-EFEITO!$M$1320*EFEITO!$Z$1320</f>
        <v>-44.72897535832908</v>
      </c>
      <c r="O1320" s="64">
        <f>$L$1320-EFEITO!$O$1320*EFEITO!$AA$1320</f>
        <v>-133.11515191264971</v>
      </c>
      <c r="P1320" s="19"/>
      <c r="Q1320" s="19"/>
      <c r="R1320" s="19"/>
      <c r="S1320" s="19"/>
      <c r="T1320" s="19"/>
      <c r="U1320" s="19"/>
      <c r="V1320" s="19"/>
      <c r="W1320" s="19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</row>
    <row r="1321" spans="1:36" ht="11.25" customHeight="1" x14ac:dyDescent="0.2">
      <c r="A1321" s="55" t="s">
        <v>28</v>
      </c>
      <c r="B1321" s="55" t="s">
        <v>41</v>
      </c>
      <c r="C1321" s="55" t="s">
        <v>42</v>
      </c>
      <c r="D1321" s="55" t="s">
        <v>45</v>
      </c>
      <c r="E1321" s="55" t="s">
        <v>25</v>
      </c>
      <c r="F1321" s="55" t="s">
        <v>25</v>
      </c>
      <c r="G1321" s="55" t="s">
        <v>25</v>
      </c>
      <c r="H1321" s="55" t="s">
        <v>35</v>
      </c>
      <c r="I1321" s="63">
        <v>44621</v>
      </c>
      <c r="J1321" s="64">
        <f>EFEITO!$J$1321*EFEITO!$Y$1120</f>
        <v>0</v>
      </c>
      <c r="K1321" s="64">
        <f ca="1">EFEITO!$L$1321*EFEITO!$Z$1120</f>
        <v>2198.2115527535775</v>
      </c>
      <c r="L1321" s="64">
        <f>EFEITO!$N$1321*EFEITO!$AA$1120</f>
        <v>6541.9621718754424</v>
      </c>
      <c r="M1321" s="64">
        <f>$J$1321-EFEITO!$K$1321*EFEITO!$Y$1321</f>
        <v>0</v>
      </c>
      <c r="N1321" s="64">
        <f ca="1">$K$1321-EFEITO!$M$1321*EFEITO!$Z$1321</f>
        <v>43.96423105507165</v>
      </c>
      <c r="O1321" s="64">
        <f>$L$1321-EFEITO!$O$1321*EFEITO!$AA$1321</f>
        <v>130.83924343750914</v>
      </c>
      <c r="P1321" s="19"/>
      <c r="Q1321" s="19"/>
      <c r="R1321" s="19"/>
      <c r="S1321" s="19"/>
      <c r="T1321" s="19"/>
      <c r="U1321" s="19"/>
      <c r="V1321" s="19"/>
      <c r="W1321" s="19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</row>
    <row r="1322" spans="1:36" ht="11.25" customHeight="1" x14ac:dyDescent="0.2">
      <c r="A1322" s="55" t="s">
        <v>21</v>
      </c>
      <c r="B1322" s="55" t="s">
        <v>41</v>
      </c>
      <c r="C1322" s="55" t="s">
        <v>42</v>
      </c>
      <c r="D1322" s="55" t="s">
        <v>45</v>
      </c>
      <c r="E1322" s="55" t="s">
        <v>25</v>
      </c>
      <c r="F1322" s="55" t="s">
        <v>25</v>
      </c>
      <c r="G1322" s="55" t="s">
        <v>25</v>
      </c>
      <c r="H1322" s="55" t="s">
        <v>35</v>
      </c>
      <c r="I1322" s="63">
        <v>44652</v>
      </c>
      <c r="J1322" s="64">
        <f>EFEITO!$J$1322*EFEITO!$Y$1120</f>
        <v>0</v>
      </c>
      <c r="K1322" s="64">
        <f ca="1">EFEITO!$L$1322*EFEITO!$Z$1120</f>
        <v>82244.901138624278</v>
      </c>
      <c r="L1322" s="64">
        <f>EFEITO!$N$1322*EFEITO!$AA$1120</f>
        <v>244763.99071078436</v>
      </c>
      <c r="M1322" s="64">
        <f>$J$1322-EFEITO!$K$1322*EFEITO!$Y$1322</f>
        <v>0</v>
      </c>
      <c r="N1322" s="64">
        <f ca="1">$K$1322-EFEITO!$M$1322*EFEITO!$Z$1322</f>
        <v>1644.8980227724824</v>
      </c>
      <c r="O1322" s="64">
        <f>$L$1322-EFEITO!$O$1322*EFEITO!$AA$1322</f>
        <v>4895.2798142156971</v>
      </c>
      <c r="P1322" s="19"/>
      <c r="Q1322" s="19"/>
      <c r="R1322" s="19"/>
      <c r="S1322" s="19"/>
      <c r="T1322" s="19"/>
      <c r="U1322" s="19"/>
      <c r="V1322" s="19"/>
      <c r="W1322" s="19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</row>
    <row r="1323" spans="1:36" ht="11.25" customHeight="1" x14ac:dyDescent="0.2">
      <c r="A1323" s="55" t="s">
        <v>27</v>
      </c>
      <c r="B1323" s="55" t="s">
        <v>41</v>
      </c>
      <c r="C1323" s="55" t="s">
        <v>42</v>
      </c>
      <c r="D1323" s="55" t="s">
        <v>45</v>
      </c>
      <c r="E1323" s="55" t="s">
        <v>25</v>
      </c>
      <c r="F1323" s="55" t="s">
        <v>25</v>
      </c>
      <c r="G1323" s="55" t="s">
        <v>25</v>
      </c>
      <c r="H1323" s="55" t="s">
        <v>35</v>
      </c>
      <c r="I1323" s="63">
        <v>44652</v>
      </c>
      <c r="J1323" s="64">
        <f>EFEITO!$J$1323*EFEITO!$Y$1120</f>
        <v>0</v>
      </c>
      <c r="K1323" s="64">
        <f ca="1">EFEITO!$L$1323*EFEITO!$Z$1120</f>
        <v>83.32753609828633</v>
      </c>
      <c r="L1323" s="64">
        <f>EFEITO!$N$1323*EFEITO!$AA$1120</f>
        <v>247.98595401235426</v>
      </c>
      <c r="M1323" s="64">
        <f>$J$1323-EFEITO!$K$1323*EFEITO!$Y$1323</f>
        <v>0</v>
      </c>
      <c r="N1323" s="64">
        <f ca="1">$K$1323-EFEITO!$M$1323*EFEITO!$Z$1323</f>
        <v>1.6665507219657343</v>
      </c>
      <c r="O1323" s="64">
        <f>$L$1323-EFEITO!$O$1323*EFEITO!$AA$1323</f>
        <v>4.9597190802471118</v>
      </c>
      <c r="P1323" s="19"/>
      <c r="Q1323" s="19"/>
      <c r="R1323" s="19"/>
      <c r="S1323" s="19"/>
      <c r="T1323" s="19"/>
      <c r="U1323" s="19"/>
      <c r="V1323" s="19"/>
      <c r="W1323" s="19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</row>
    <row r="1324" spans="1:36" ht="11.25" customHeight="1" x14ac:dyDescent="0.2">
      <c r="A1324" s="55" t="s">
        <v>28</v>
      </c>
      <c r="B1324" s="55" t="s">
        <v>41</v>
      </c>
      <c r="C1324" s="55" t="s">
        <v>42</v>
      </c>
      <c r="D1324" s="55" t="s">
        <v>45</v>
      </c>
      <c r="E1324" s="55" t="s">
        <v>25</v>
      </c>
      <c r="F1324" s="55" t="s">
        <v>25</v>
      </c>
      <c r="G1324" s="55" t="s">
        <v>25</v>
      </c>
      <c r="H1324" s="55" t="s">
        <v>35</v>
      </c>
      <c r="I1324" s="63">
        <v>44652</v>
      </c>
      <c r="J1324" s="64">
        <f>EFEITO!$J$1324*EFEITO!$Y$1120</f>
        <v>0</v>
      </c>
      <c r="K1324" s="64">
        <f ca="1">EFEITO!$L$1324*EFEITO!$Z$1120</f>
        <v>3190.6658705447558</v>
      </c>
      <c r="L1324" s="64">
        <f>EFEITO!$N$1324*EFEITO!$AA$1120</f>
        <v>9495.5444129347325</v>
      </c>
      <c r="M1324" s="64">
        <f>$J$1324-EFEITO!$K$1324*EFEITO!$Y$1324</f>
        <v>0</v>
      </c>
      <c r="N1324" s="64">
        <f ca="1">$K$1324-EFEITO!$M$1324*EFEITO!$Z$1324</f>
        <v>63.813317410895252</v>
      </c>
      <c r="O1324" s="64">
        <f>$L$1324-EFEITO!$O$1324*EFEITO!$AA$1324</f>
        <v>189.91088825869338</v>
      </c>
      <c r="P1324" s="19"/>
      <c r="Q1324" s="19"/>
      <c r="R1324" s="19"/>
      <c r="S1324" s="19"/>
      <c r="T1324" s="19"/>
      <c r="U1324" s="19"/>
      <c r="V1324" s="19"/>
      <c r="W1324" s="19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</row>
    <row r="1325" spans="1:36" ht="11.25" customHeight="1" x14ac:dyDescent="0.2">
      <c r="A1325" s="55" t="s">
        <v>28</v>
      </c>
      <c r="B1325" s="55" t="s">
        <v>41</v>
      </c>
      <c r="C1325" s="55" t="s">
        <v>42</v>
      </c>
      <c r="D1325" s="55" t="s">
        <v>45</v>
      </c>
      <c r="E1325" s="55" t="s">
        <v>25</v>
      </c>
      <c r="F1325" s="55" t="s">
        <v>25</v>
      </c>
      <c r="G1325" s="55" t="s">
        <v>25</v>
      </c>
      <c r="H1325" s="55" t="s">
        <v>35</v>
      </c>
      <c r="I1325" s="63">
        <v>44652</v>
      </c>
      <c r="J1325" s="64">
        <f>EFEITO!$J$1325*EFEITO!$Y$1120</f>
        <v>0</v>
      </c>
      <c r="K1325" s="64">
        <f ca="1">EFEITO!$L$1325*EFEITO!$Z$1120</f>
        <v>-5881.6001531056772</v>
      </c>
      <c r="L1325" s="64">
        <f>EFEITO!$N$1325*EFEITO!$AA$1120</f>
        <v>-17503.868389516872</v>
      </c>
      <c r="M1325" s="64">
        <f>$J$1325-EFEITO!$K$1325*EFEITO!$Y$1325</f>
        <v>0</v>
      </c>
      <c r="N1325" s="64">
        <f ca="1">$K$1325-EFEITO!$M$1325*EFEITO!$Z$1325</f>
        <v>-117.63200306211365</v>
      </c>
      <c r="O1325" s="64">
        <f>$L$1325-EFEITO!$O$1325*EFEITO!$AA$1325</f>
        <v>-350.07736779033803</v>
      </c>
      <c r="P1325" s="19"/>
      <c r="Q1325" s="19"/>
      <c r="R1325" s="19"/>
      <c r="S1325" s="19"/>
      <c r="T1325" s="19"/>
      <c r="U1325" s="19"/>
      <c r="V1325" s="19"/>
      <c r="W1325" s="19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</row>
    <row r="1326" spans="1:36" ht="11.25" customHeight="1" x14ac:dyDescent="0.2">
      <c r="A1326" s="55" t="s">
        <v>21</v>
      </c>
      <c r="B1326" s="55" t="s">
        <v>41</v>
      </c>
      <c r="C1326" s="55" t="s">
        <v>42</v>
      </c>
      <c r="D1326" s="55" t="s">
        <v>45</v>
      </c>
      <c r="E1326" s="55" t="s">
        <v>25</v>
      </c>
      <c r="F1326" s="55" t="s">
        <v>25</v>
      </c>
      <c r="G1326" s="55" t="s">
        <v>25</v>
      </c>
      <c r="H1326" s="55" t="s">
        <v>35</v>
      </c>
      <c r="I1326" s="63">
        <v>44682</v>
      </c>
      <c r="J1326" s="64">
        <f>EFEITO!$J$1326*EFEITO!$Y$1120</f>
        <v>0</v>
      </c>
      <c r="K1326" s="64">
        <f ca="1">EFEITO!$L$1326*EFEITO!$Z$1120</f>
        <v>92313.125909154143</v>
      </c>
      <c r="L1326" s="64">
        <f>EFEITO!$N$1326*EFEITO!$AA$1120</f>
        <v>274727.41507011821</v>
      </c>
      <c r="M1326" s="64">
        <f>$J$1326-EFEITO!$K$1326*EFEITO!$Y$1326</f>
        <v>0</v>
      </c>
      <c r="N1326" s="64">
        <f ca="1">$K$1326-EFEITO!$M$1326*EFEITO!$Z$1326</f>
        <v>1846.2625181830808</v>
      </c>
      <c r="O1326" s="64">
        <f>$L$1326-EFEITO!$O$1326*EFEITO!$AA$1326</f>
        <v>5494.548301402363</v>
      </c>
      <c r="P1326" s="19"/>
      <c r="Q1326" s="19"/>
      <c r="R1326" s="19"/>
      <c r="S1326" s="19"/>
      <c r="T1326" s="19"/>
      <c r="U1326" s="19"/>
      <c r="V1326" s="19"/>
      <c r="W1326" s="19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</row>
    <row r="1327" spans="1:36" ht="11.25" customHeight="1" x14ac:dyDescent="0.2">
      <c r="A1327" s="55" t="s">
        <v>28</v>
      </c>
      <c r="B1327" s="55" t="s">
        <v>41</v>
      </c>
      <c r="C1327" s="55" t="s">
        <v>42</v>
      </c>
      <c r="D1327" s="55" t="s">
        <v>45</v>
      </c>
      <c r="E1327" s="55" t="s">
        <v>25</v>
      </c>
      <c r="F1327" s="55" t="s">
        <v>25</v>
      </c>
      <c r="G1327" s="55" t="s">
        <v>25</v>
      </c>
      <c r="H1327" s="55" t="s">
        <v>35</v>
      </c>
      <c r="I1327" s="63">
        <v>44682</v>
      </c>
      <c r="J1327" s="64">
        <f>EFEITO!$J$1327*EFEITO!$Y$1120</f>
        <v>0</v>
      </c>
      <c r="K1327" s="64">
        <f ca="1">EFEITO!$L$1327*EFEITO!$Z$1120</f>
        <v>3186.3826794368997</v>
      </c>
      <c r="L1327" s="64">
        <f>EFEITO!$N$1327*EFEITO!$AA$1120</f>
        <v>9482.7974713733511</v>
      </c>
      <c r="M1327" s="64">
        <f>$J$1327-EFEITO!$K$1327*EFEITO!$Y$1327</f>
        <v>0</v>
      </c>
      <c r="N1327" s="64">
        <f ca="1">$K$1327-EFEITO!$M$1327*EFEITO!$Z$1327</f>
        <v>63.727653588738121</v>
      </c>
      <c r="O1327" s="64">
        <f>$L$1327-EFEITO!$O$1327*EFEITO!$AA$1327</f>
        <v>189.65594942746793</v>
      </c>
      <c r="P1327" s="19"/>
      <c r="Q1327" s="19"/>
      <c r="R1327" s="19"/>
      <c r="S1327" s="19"/>
      <c r="T1327" s="19"/>
      <c r="U1327" s="19"/>
      <c r="V1327" s="19"/>
      <c r="W1327" s="19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</row>
    <row r="1328" spans="1:36" ht="11.25" customHeight="1" x14ac:dyDescent="0.2">
      <c r="A1328" s="55" t="s">
        <v>21</v>
      </c>
      <c r="B1328" s="55" t="s">
        <v>41</v>
      </c>
      <c r="C1328" s="55" t="s">
        <v>42</v>
      </c>
      <c r="D1328" s="55" t="s">
        <v>45</v>
      </c>
      <c r="E1328" s="55" t="s">
        <v>25</v>
      </c>
      <c r="F1328" s="55" t="s">
        <v>25</v>
      </c>
      <c r="G1328" s="55" t="s">
        <v>25</v>
      </c>
      <c r="H1328" s="55" t="s">
        <v>35</v>
      </c>
      <c r="I1328" s="63">
        <v>44713</v>
      </c>
      <c r="J1328" s="64">
        <f>EFEITO!$J$1328*EFEITO!$Y$1120</f>
        <v>0</v>
      </c>
      <c r="K1328" s="64">
        <f ca="1">EFEITO!$L$1328*EFEITO!$Z$1120</f>
        <v>90133.293140063368</v>
      </c>
      <c r="L1328" s="64">
        <f>EFEITO!$N$1328*EFEITO!$AA$1120</f>
        <v>268240.14886566985</v>
      </c>
      <c r="M1328" s="64">
        <f>$J$1328-EFEITO!$K$1328*EFEITO!$Y$1328</f>
        <v>0</v>
      </c>
      <c r="N1328" s="64">
        <f ca="1">$K$1328-EFEITO!$M$1328*EFEITO!$Z$1328</f>
        <v>1802.6658628012665</v>
      </c>
      <c r="O1328" s="64">
        <f>$L$1328-EFEITO!$O$1328*EFEITO!$AA$1328</f>
        <v>5364.8029773134622</v>
      </c>
      <c r="P1328" s="19"/>
      <c r="Q1328" s="19"/>
      <c r="R1328" s="19"/>
      <c r="S1328" s="19"/>
      <c r="T1328" s="19"/>
      <c r="U1328" s="19"/>
      <c r="V1328" s="19"/>
      <c r="W1328" s="19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</row>
    <row r="1329" spans="1:36" ht="11.25" customHeight="1" x14ac:dyDescent="0.2">
      <c r="A1329" s="55" t="s">
        <v>28</v>
      </c>
      <c r="B1329" s="55" t="s">
        <v>41</v>
      </c>
      <c r="C1329" s="55" t="s">
        <v>42</v>
      </c>
      <c r="D1329" s="55" t="s">
        <v>45</v>
      </c>
      <c r="E1329" s="55" t="s">
        <v>25</v>
      </c>
      <c r="F1329" s="55" t="s">
        <v>25</v>
      </c>
      <c r="G1329" s="55" t="s">
        <v>25</v>
      </c>
      <c r="H1329" s="55" t="s">
        <v>35</v>
      </c>
      <c r="I1329" s="63">
        <v>44713</v>
      </c>
      <c r="J1329" s="64">
        <f>EFEITO!$J$1329*EFEITO!$Y$1120</f>
        <v>0</v>
      </c>
      <c r="K1329" s="64">
        <f ca="1">EFEITO!$L$1329*EFEITO!$Z$1120</f>
        <v>3255.9261277880864</v>
      </c>
      <c r="L1329" s="64">
        <f>EFEITO!$N$1329*EFEITO!$AA$1120</f>
        <v>9689.761449815438</v>
      </c>
      <c r="M1329" s="64">
        <f>$J$1329-EFEITO!$K$1329*EFEITO!$Y$1329</f>
        <v>0</v>
      </c>
      <c r="N1329" s="64">
        <f ca="1">$K$1329-EFEITO!$M$1329*EFEITO!$Z$1329</f>
        <v>65.118522555761956</v>
      </c>
      <c r="O1329" s="64">
        <f>$L$1329-EFEITO!$O$1329*EFEITO!$AA$1329</f>
        <v>193.79522899631047</v>
      </c>
      <c r="P1329" s="19"/>
      <c r="Q1329" s="19"/>
      <c r="R1329" s="19"/>
      <c r="S1329" s="19"/>
      <c r="T1329" s="19"/>
      <c r="U1329" s="19"/>
      <c r="V1329" s="19"/>
      <c r="W1329" s="19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</row>
    <row r="1330" spans="1:36" ht="11.25" customHeight="1" x14ac:dyDescent="0.2">
      <c r="A1330" s="55" t="s">
        <v>57</v>
      </c>
      <c r="B1330" s="55" t="s">
        <v>41</v>
      </c>
      <c r="C1330" s="55" t="s">
        <v>42</v>
      </c>
      <c r="D1330" s="55" t="s">
        <v>45</v>
      </c>
      <c r="E1330" s="55" t="s">
        <v>25</v>
      </c>
      <c r="F1330" s="55" t="s">
        <v>25</v>
      </c>
      <c r="G1330" s="55" t="s">
        <v>25</v>
      </c>
      <c r="H1330" s="55" t="s">
        <v>35</v>
      </c>
      <c r="I1330" s="63">
        <v>44743</v>
      </c>
      <c r="J1330" s="64">
        <f>EFEITO!$J$1330*EFEITO!$Y$1120</f>
        <v>0</v>
      </c>
      <c r="K1330" s="64">
        <f ca="1">EFEITO!$L$1330*EFEITO!$Z$1120</f>
        <v>90133.293140063368</v>
      </c>
      <c r="L1330" s="64">
        <f>EFEITO!$N$1330*EFEITO!$AA$1120</f>
        <v>268240.14886566985</v>
      </c>
      <c r="M1330" s="64">
        <f>$J$1330-EFEITO!$K$1330*EFEITO!$Y$1330</f>
        <v>0</v>
      </c>
      <c r="N1330" s="64">
        <f ca="1">$K$1330-EFEITO!$M$1330*EFEITO!$Z$1330</f>
        <v>1802.6658628012665</v>
      </c>
      <c r="O1330" s="64">
        <f>$L$1330-EFEITO!$O$1330*EFEITO!$AA$1330</f>
        <v>5364.8029773134622</v>
      </c>
      <c r="P1330" s="19"/>
      <c r="Q1330" s="19"/>
      <c r="R1330" s="19"/>
      <c r="S1330" s="19"/>
      <c r="T1330" s="19"/>
      <c r="U1330" s="19"/>
      <c r="V1330" s="19"/>
      <c r="W1330" s="19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</row>
    <row r="1331" spans="1:36" ht="11.25" customHeight="1" x14ac:dyDescent="0.2">
      <c r="A1331" s="55" t="s">
        <v>57</v>
      </c>
      <c r="B1331" s="55" t="s">
        <v>41</v>
      </c>
      <c r="C1331" s="55" t="s">
        <v>42</v>
      </c>
      <c r="D1331" s="55" t="s">
        <v>45</v>
      </c>
      <c r="E1331" s="55" t="s">
        <v>25</v>
      </c>
      <c r="F1331" s="55" t="s">
        <v>25</v>
      </c>
      <c r="G1331" s="55" t="s">
        <v>25</v>
      </c>
      <c r="H1331" s="55" t="s">
        <v>35</v>
      </c>
      <c r="I1331" s="63">
        <v>44743</v>
      </c>
      <c r="J1331" s="64">
        <f>EFEITO!$J$1331*EFEITO!$Y$1120</f>
        <v>0</v>
      </c>
      <c r="K1331" s="64">
        <f ca="1">EFEITO!$L$1331*EFEITO!$Z$1120</f>
        <v>3255.9261277880864</v>
      </c>
      <c r="L1331" s="64">
        <f>EFEITO!$N$1331*EFEITO!$AA$1120</f>
        <v>9689.761449815438</v>
      </c>
      <c r="M1331" s="64">
        <f>$J$1331-EFEITO!$K$1331*EFEITO!$Y$1331</f>
        <v>0</v>
      </c>
      <c r="N1331" s="64">
        <f ca="1">$K$1331-EFEITO!$M$1331*EFEITO!$Z$1331</f>
        <v>65.118522555761956</v>
      </c>
      <c r="O1331" s="64">
        <f>$L$1331-EFEITO!$O$1331*EFEITO!$AA$1331</f>
        <v>193.79522899631047</v>
      </c>
      <c r="P1331" s="19"/>
      <c r="Q1331" s="19"/>
      <c r="R1331" s="19"/>
      <c r="S1331" s="19"/>
      <c r="T1331" s="19"/>
      <c r="U1331" s="19"/>
      <c r="V1331" s="19"/>
      <c r="W1331" s="19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</row>
    <row r="1332" spans="1:36" ht="11.25" customHeight="1" x14ac:dyDescent="0.2">
      <c r="A1332" s="55" t="s">
        <v>21</v>
      </c>
      <c r="B1332" s="55" t="s">
        <v>41</v>
      </c>
      <c r="C1332" s="55" t="s">
        <v>42</v>
      </c>
      <c r="D1332" s="55" t="s">
        <v>45</v>
      </c>
      <c r="E1332" s="55" t="s">
        <v>25</v>
      </c>
      <c r="F1332" s="55" t="s">
        <v>25</v>
      </c>
      <c r="G1332" s="55" t="s">
        <v>25</v>
      </c>
      <c r="H1332" s="55" t="s">
        <v>25</v>
      </c>
      <c r="I1332" s="63">
        <v>44409</v>
      </c>
      <c r="J1332" s="64">
        <f ca="1">EFEITO!$J$1332*EFEITO!$Y$1146</f>
        <v>146643.31667671123</v>
      </c>
      <c r="K1332" s="64">
        <f>EFEITO!$L$1332*EFEITO!$Z$1146</f>
        <v>0</v>
      </c>
      <c r="L1332" s="64">
        <f>EFEITO!$N$1332*EFEITO!$AA$1146</f>
        <v>0</v>
      </c>
      <c r="M1332" s="64">
        <f ca="1">$J$1332-EFEITO!$K$1332*EFEITO!$Y$1332</f>
        <v>2932.8663335342135</v>
      </c>
      <c r="N1332" s="64">
        <f>$K$1332-EFEITO!$M$1332*EFEITO!$Z$1332</f>
        <v>0</v>
      </c>
      <c r="O1332" s="64">
        <f>$L$1332-EFEITO!$O$1332*EFEITO!$AA$1332</f>
        <v>0</v>
      </c>
      <c r="P1332" s="19"/>
      <c r="Q1332" s="19"/>
      <c r="R1332" s="19"/>
      <c r="S1332" s="19"/>
      <c r="T1332" s="19"/>
      <c r="U1332" s="19"/>
      <c r="V1332" s="19"/>
      <c r="W1332" s="19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</row>
    <row r="1333" spans="1:36" ht="11.25" customHeight="1" x14ac:dyDescent="0.2">
      <c r="A1333" s="55" t="s">
        <v>27</v>
      </c>
      <c r="B1333" s="55" t="s">
        <v>41</v>
      </c>
      <c r="C1333" s="55" t="s">
        <v>42</v>
      </c>
      <c r="D1333" s="55" t="s">
        <v>45</v>
      </c>
      <c r="E1333" s="55" t="s">
        <v>25</v>
      </c>
      <c r="F1333" s="55" t="s">
        <v>25</v>
      </c>
      <c r="G1333" s="55" t="s">
        <v>25</v>
      </c>
      <c r="H1333" s="55" t="s">
        <v>25</v>
      </c>
      <c r="I1333" s="63">
        <v>44409</v>
      </c>
      <c r="J1333" s="64">
        <f ca="1">EFEITO!$J$1333*EFEITO!$Y$1146</f>
        <v>1156.3272282751423</v>
      </c>
      <c r="K1333" s="64">
        <f>EFEITO!$L$1333*EFEITO!$Z$1146</f>
        <v>0</v>
      </c>
      <c r="L1333" s="64">
        <f>EFEITO!$N$1333*EFEITO!$AA$1146</f>
        <v>0</v>
      </c>
      <c r="M1333" s="64">
        <f ca="1">$J$1333-EFEITO!$K$1333*EFEITO!$Y$1333</f>
        <v>23.126544565502854</v>
      </c>
      <c r="N1333" s="64">
        <f>$K$1333-EFEITO!$M$1333*EFEITO!$Z$1333</f>
        <v>0</v>
      </c>
      <c r="O1333" s="64">
        <f>$L$1333-EFEITO!$O$1333*EFEITO!$AA$1333</f>
        <v>0</v>
      </c>
      <c r="P1333" s="19"/>
      <c r="Q1333" s="19"/>
      <c r="R1333" s="19"/>
      <c r="S1333" s="19"/>
      <c r="T1333" s="19"/>
      <c r="U1333" s="19"/>
      <c r="V1333" s="19"/>
      <c r="W1333" s="19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</row>
    <row r="1334" spans="1:36" ht="11.25" customHeight="1" x14ac:dyDescent="0.2">
      <c r="A1334" s="55" t="s">
        <v>28</v>
      </c>
      <c r="B1334" s="55" t="s">
        <v>41</v>
      </c>
      <c r="C1334" s="55" t="s">
        <v>42</v>
      </c>
      <c r="D1334" s="55" t="s">
        <v>45</v>
      </c>
      <c r="E1334" s="55" t="s">
        <v>25</v>
      </c>
      <c r="F1334" s="55" t="s">
        <v>25</v>
      </c>
      <c r="G1334" s="55" t="s">
        <v>25</v>
      </c>
      <c r="H1334" s="55" t="s">
        <v>25</v>
      </c>
      <c r="I1334" s="63">
        <v>44409</v>
      </c>
      <c r="J1334" s="64">
        <f ca="1">EFEITO!$J$1334*EFEITO!$Y$1146</f>
        <v>8094.2905979259958</v>
      </c>
      <c r="K1334" s="64">
        <f>EFEITO!$L$1334*EFEITO!$Z$1146</f>
        <v>0</v>
      </c>
      <c r="L1334" s="64">
        <f>EFEITO!$N$1334*EFEITO!$AA$1146</f>
        <v>0</v>
      </c>
      <c r="M1334" s="64">
        <f ca="1">$J$1334-EFEITO!$K$1334*EFEITO!$Y$1334</f>
        <v>161.8858119585193</v>
      </c>
      <c r="N1334" s="64">
        <f>$K$1334-EFEITO!$M$1334*EFEITO!$Z$1334</f>
        <v>0</v>
      </c>
      <c r="O1334" s="64">
        <f>$L$1334-EFEITO!$O$1334*EFEITO!$AA$1334</f>
        <v>0</v>
      </c>
      <c r="P1334" s="19"/>
      <c r="Q1334" s="19"/>
      <c r="R1334" s="19"/>
      <c r="S1334" s="19"/>
      <c r="T1334" s="19"/>
      <c r="U1334" s="19"/>
      <c r="V1334" s="19"/>
      <c r="W1334" s="19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</row>
    <row r="1335" spans="1:36" ht="11.25" customHeight="1" x14ac:dyDescent="0.2">
      <c r="A1335" s="55" t="s">
        <v>28</v>
      </c>
      <c r="B1335" s="55" t="s">
        <v>41</v>
      </c>
      <c r="C1335" s="55" t="s">
        <v>42</v>
      </c>
      <c r="D1335" s="55" t="s">
        <v>45</v>
      </c>
      <c r="E1335" s="55" t="s">
        <v>25</v>
      </c>
      <c r="F1335" s="55" t="s">
        <v>25</v>
      </c>
      <c r="G1335" s="55" t="s">
        <v>25</v>
      </c>
      <c r="H1335" s="55" t="s">
        <v>25</v>
      </c>
      <c r="I1335" s="63">
        <v>44409</v>
      </c>
      <c r="J1335" s="64">
        <f ca="1">EFEITO!$J$1335*EFEITO!$Y$1146</f>
        <v>1156.3272282751423</v>
      </c>
      <c r="K1335" s="64">
        <f>EFEITO!$L$1335*EFEITO!$Z$1146</f>
        <v>0</v>
      </c>
      <c r="L1335" s="64">
        <f>EFEITO!$N$1335*EFEITO!$AA$1146</f>
        <v>0</v>
      </c>
      <c r="M1335" s="64">
        <f ca="1">$J$1335-EFEITO!$K$1335*EFEITO!$Y$1335</f>
        <v>23.126544565502854</v>
      </c>
      <c r="N1335" s="64">
        <f>$K$1335-EFEITO!$M$1335*EFEITO!$Z$1335</f>
        <v>0</v>
      </c>
      <c r="O1335" s="64">
        <f>$L$1335-EFEITO!$O$1335*EFEITO!$AA$1335</f>
        <v>0</v>
      </c>
      <c r="P1335" s="19"/>
      <c r="Q1335" s="19"/>
      <c r="R1335" s="19"/>
      <c r="S1335" s="19"/>
      <c r="T1335" s="19"/>
      <c r="U1335" s="19"/>
      <c r="V1335" s="19"/>
      <c r="W1335" s="19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</row>
    <row r="1336" spans="1:36" ht="11.25" customHeight="1" x14ac:dyDescent="0.2">
      <c r="A1336" s="55" t="s">
        <v>21</v>
      </c>
      <c r="B1336" s="55" t="s">
        <v>41</v>
      </c>
      <c r="C1336" s="55" t="s">
        <v>42</v>
      </c>
      <c r="D1336" s="55" t="s">
        <v>45</v>
      </c>
      <c r="E1336" s="55" t="s">
        <v>25</v>
      </c>
      <c r="F1336" s="55" t="s">
        <v>25</v>
      </c>
      <c r="G1336" s="55" t="s">
        <v>25</v>
      </c>
      <c r="H1336" s="55" t="s">
        <v>25</v>
      </c>
      <c r="I1336" s="63">
        <v>44440</v>
      </c>
      <c r="J1336" s="64">
        <f ca="1">EFEITO!$J$1336*EFEITO!$Y$1146</f>
        <v>128536.28348849366</v>
      </c>
      <c r="K1336" s="64">
        <f>EFEITO!$L$1336*EFEITO!$Z$1146</f>
        <v>0</v>
      </c>
      <c r="L1336" s="64">
        <f>EFEITO!$N$1336*EFEITO!$AA$1146</f>
        <v>0</v>
      </c>
      <c r="M1336" s="64">
        <f ca="1">$J$1336-EFEITO!$K$1336*EFEITO!$Y$1336</f>
        <v>2570.7256697698758</v>
      </c>
      <c r="N1336" s="64">
        <f>$K$1336-EFEITO!$M$1336*EFEITO!$Z$1336</f>
        <v>0</v>
      </c>
      <c r="O1336" s="64">
        <f>$L$1336-EFEITO!$O$1336*EFEITO!$AA$1336</f>
        <v>0</v>
      </c>
      <c r="P1336" s="19"/>
      <c r="Q1336" s="19"/>
      <c r="R1336" s="19"/>
      <c r="S1336" s="19"/>
      <c r="T1336" s="19"/>
      <c r="U1336" s="19"/>
      <c r="V1336" s="19"/>
      <c r="W1336" s="19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</row>
    <row r="1337" spans="1:36" ht="11.25" customHeight="1" x14ac:dyDescent="0.2">
      <c r="A1337" s="55" t="s">
        <v>27</v>
      </c>
      <c r="B1337" s="55" t="s">
        <v>41</v>
      </c>
      <c r="C1337" s="55" t="s">
        <v>42</v>
      </c>
      <c r="D1337" s="55" t="s">
        <v>45</v>
      </c>
      <c r="E1337" s="55" t="s">
        <v>25</v>
      </c>
      <c r="F1337" s="55" t="s">
        <v>25</v>
      </c>
      <c r="G1337" s="55" t="s">
        <v>25</v>
      </c>
      <c r="H1337" s="55" t="s">
        <v>25</v>
      </c>
      <c r="I1337" s="63">
        <v>44440</v>
      </c>
      <c r="J1337" s="64">
        <f ca="1">EFEITO!$J$1337*EFEITO!$Y$1146</f>
        <v>-5755.3559770967313</v>
      </c>
      <c r="K1337" s="64">
        <f>EFEITO!$L$1337*EFEITO!$Z$1146</f>
        <v>0</v>
      </c>
      <c r="L1337" s="64">
        <f>EFEITO!$N$1337*EFEITO!$AA$1146</f>
        <v>0</v>
      </c>
      <c r="M1337" s="64">
        <f ca="1">$J$1337-EFEITO!$K$1337*EFEITO!$Y$1337</f>
        <v>-115.10711954193448</v>
      </c>
      <c r="N1337" s="64">
        <f>$K$1337-EFEITO!$M$1337*EFEITO!$Z$1337</f>
        <v>0</v>
      </c>
      <c r="O1337" s="64">
        <f>$L$1337-EFEITO!$O$1337*EFEITO!$AA$1337</f>
        <v>0</v>
      </c>
      <c r="P1337" s="19"/>
      <c r="Q1337" s="19"/>
      <c r="R1337" s="19"/>
      <c r="S1337" s="19"/>
      <c r="T1337" s="19"/>
      <c r="U1337" s="19"/>
      <c r="V1337" s="19"/>
      <c r="W1337" s="19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</row>
    <row r="1338" spans="1:36" ht="11.25" customHeight="1" x14ac:dyDescent="0.2">
      <c r="A1338" s="55" t="s">
        <v>28</v>
      </c>
      <c r="B1338" s="55" t="s">
        <v>41</v>
      </c>
      <c r="C1338" s="55" t="s">
        <v>42</v>
      </c>
      <c r="D1338" s="55" t="s">
        <v>45</v>
      </c>
      <c r="E1338" s="55" t="s">
        <v>25</v>
      </c>
      <c r="F1338" s="55" t="s">
        <v>25</v>
      </c>
      <c r="G1338" s="55" t="s">
        <v>25</v>
      </c>
      <c r="H1338" s="55" t="s">
        <v>25</v>
      </c>
      <c r="I1338" s="63">
        <v>44440</v>
      </c>
      <c r="J1338" s="64">
        <f ca="1">EFEITO!$J$1338*EFEITO!$Y$1146</f>
        <v>12299.116882562877</v>
      </c>
      <c r="K1338" s="64">
        <f>EFEITO!$L$1338*EFEITO!$Z$1146</f>
        <v>0</v>
      </c>
      <c r="L1338" s="64">
        <f>EFEITO!$N$1338*EFEITO!$AA$1146</f>
        <v>0</v>
      </c>
      <c r="M1338" s="64">
        <f ca="1">$J$1338-EFEITO!$K$1338*EFEITO!$Y$1338</f>
        <v>245.98233765125769</v>
      </c>
      <c r="N1338" s="64">
        <f>$K$1338-EFEITO!$M$1338*EFEITO!$Z$1338</f>
        <v>0</v>
      </c>
      <c r="O1338" s="64">
        <f>$L$1338-EFEITO!$O$1338*EFEITO!$AA$1338</f>
        <v>0</v>
      </c>
      <c r="P1338" s="19"/>
      <c r="Q1338" s="19"/>
      <c r="R1338" s="19"/>
      <c r="S1338" s="19"/>
      <c r="T1338" s="19"/>
      <c r="U1338" s="19"/>
      <c r="V1338" s="19"/>
      <c r="W1338" s="19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</row>
    <row r="1339" spans="1:36" ht="11.25" customHeight="1" x14ac:dyDescent="0.2">
      <c r="A1339" s="55" t="s">
        <v>21</v>
      </c>
      <c r="B1339" s="55" t="s">
        <v>41</v>
      </c>
      <c r="C1339" s="55" t="s">
        <v>42</v>
      </c>
      <c r="D1339" s="55" t="s">
        <v>45</v>
      </c>
      <c r="E1339" s="55" t="s">
        <v>25</v>
      </c>
      <c r="F1339" s="55" t="s">
        <v>25</v>
      </c>
      <c r="G1339" s="55" t="s">
        <v>25</v>
      </c>
      <c r="H1339" s="55" t="s">
        <v>25</v>
      </c>
      <c r="I1339" s="63">
        <v>44470</v>
      </c>
      <c r="J1339" s="64">
        <f ca="1">EFEITO!$J$1339*EFEITO!$Y$1146</f>
        <v>152661.47429659776</v>
      </c>
      <c r="K1339" s="64">
        <f>EFEITO!$L$1339*EFEITO!$Z$1146</f>
        <v>0</v>
      </c>
      <c r="L1339" s="64">
        <f>EFEITO!$N$1339*EFEITO!$AA$1146</f>
        <v>0</v>
      </c>
      <c r="M1339" s="64">
        <f ca="1">$J$1339-EFEITO!$K$1339*EFEITO!$Y$1339</f>
        <v>3053.2294859319518</v>
      </c>
      <c r="N1339" s="64">
        <f>$K$1339-EFEITO!$M$1339*EFEITO!$Z$1339</f>
        <v>0</v>
      </c>
      <c r="O1339" s="64">
        <f>$L$1339-EFEITO!$O$1339*EFEITO!$AA$1339</f>
        <v>0</v>
      </c>
      <c r="P1339" s="19"/>
      <c r="Q1339" s="19"/>
      <c r="R1339" s="19"/>
      <c r="S1339" s="19"/>
      <c r="T1339" s="19"/>
      <c r="U1339" s="19"/>
      <c r="V1339" s="19"/>
      <c r="W1339" s="19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</row>
    <row r="1340" spans="1:36" ht="11.25" customHeight="1" x14ac:dyDescent="0.2">
      <c r="A1340" s="55" t="s">
        <v>27</v>
      </c>
      <c r="B1340" s="55" t="s">
        <v>41</v>
      </c>
      <c r="C1340" s="55" t="s">
        <v>42</v>
      </c>
      <c r="D1340" s="55" t="s">
        <v>45</v>
      </c>
      <c r="E1340" s="55" t="s">
        <v>25</v>
      </c>
      <c r="F1340" s="55" t="s">
        <v>25</v>
      </c>
      <c r="G1340" s="55" t="s">
        <v>25</v>
      </c>
      <c r="H1340" s="55" t="s">
        <v>25</v>
      </c>
      <c r="I1340" s="63">
        <v>44470</v>
      </c>
      <c r="J1340" s="64">
        <f ca="1">EFEITO!$J$1340*EFEITO!$Y$1146</f>
        <v>1839.6114995286355</v>
      </c>
      <c r="K1340" s="64">
        <f>EFEITO!$L$1340*EFEITO!$Z$1146</f>
        <v>0</v>
      </c>
      <c r="L1340" s="64">
        <f>EFEITO!$N$1340*EFEITO!$AA$1146</f>
        <v>0</v>
      </c>
      <c r="M1340" s="64">
        <f ca="1">$J$1340-EFEITO!$K$1340*EFEITO!$Y$1340</f>
        <v>36.79222999057265</v>
      </c>
      <c r="N1340" s="64">
        <f>$K$1340-EFEITO!$M$1340*EFEITO!$Z$1340</f>
        <v>0</v>
      </c>
      <c r="O1340" s="64">
        <f>$L$1340-EFEITO!$O$1340*EFEITO!$AA$1340</f>
        <v>0</v>
      </c>
      <c r="P1340" s="19"/>
      <c r="Q1340" s="19"/>
      <c r="R1340" s="19"/>
      <c r="S1340" s="19"/>
      <c r="T1340" s="19"/>
      <c r="U1340" s="19"/>
      <c r="V1340" s="19"/>
      <c r="W1340" s="19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</row>
    <row r="1341" spans="1:36" ht="11.25" customHeight="1" x14ac:dyDescent="0.2">
      <c r="A1341" s="55" t="s">
        <v>28</v>
      </c>
      <c r="B1341" s="55" t="s">
        <v>41</v>
      </c>
      <c r="C1341" s="55" t="s">
        <v>42</v>
      </c>
      <c r="D1341" s="55" t="s">
        <v>45</v>
      </c>
      <c r="E1341" s="55" t="s">
        <v>25</v>
      </c>
      <c r="F1341" s="55" t="s">
        <v>25</v>
      </c>
      <c r="G1341" s="55" t="s">
        <v>25</v>
      </c>
      <c r="H1341" s="55" t="s">
        <v>25</v>
      </c>
      <c r="I1341" s="63">
        <v>44470</v>
      </c>
      <c r="J1341" s="64">
        <f ca="1">EFEITO!$J$1341*EFEITO!$Y$1146</f>
        <v>14822.012653345006</v>
      </c>
      <c r="K1341" s="64">
        <f>EFEITO!$L$1341*EFEITO!$Z$1146</f>
        <v>0</v>
      </c>
      <c r="L1341" s="64">
        <f>EFEITO!$N$1341*EFEITO!$AA$1146</f>
        <v>0</v>
      </c>
      <c r="M1341" s="64">
        <f ca="1">$J$1341-EFEITO!$K$1341*EFEITO!$Y$1341</f>
        <v>296.44025306689946</v>
      </c>
      <c r="N1341" s="64">
        <f>$K$1341-EFEITO!$M$1341*EFEITO!$Z$1341</f>
        <v>0</v>
      </c>
      <c r="O1341" s="64">
        <f>$L$1341-EFEITO!$O$1341*EFEITO!$AA$1341</f>
        <v>0</v>
      </c>
      <c r="P1341" s="19"/>
      <c r="Q1341" s="19"/>
      <c r="R1341" s="19"/>
      <c r="S1341" s="19"/>
      <c r="T1341" s="19"/>
      <c r="U1341" s="19"/>
      <c r="V1341" s="19"/>
      <c r="W1341" s="19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</row>
    <row r="1342" spans="1:36" ht="11.25" customHeight="1" x14ac:dyDescent="0.2">
      <c r="A1342" s="55" t="s">
        <v>21</v>
      </c>
      <c r="B1342" s="55" t="s">
        <v>41</v>
      </c>
      <c r="C1342" s="55" t="s">
        <v>42</v>
      </c>
      <c r="D1342" s="55" t="s">
        <v>45</v>
      </c>
      <c r="E1342" s="55" t="s">
        <v>25</v>
      </c>
      <c r="F1342" s="55" t="s">
        <v>25</v>
      </c>
      <c r="G1342" s="55" t="s">
        <v>25</v>
      </c>
      <c r="H1342" s="55" t="s">
        <v>25</v>
      </c>
      <c r="I1342" s="63">
        <v>44501</v>
      </c>
      <c r="J1342" s="64">
        <f ca="1">EFEITO!$J$1342*EFEITO!$Y$1146</f>
        <v>195734.66354984682</v>
      </c>
      <c r="K1342" s="64">
        <f>EFEITO!$L$1342*EFEITO!$Z$1146</f>
        <v>0</v>
      </c>
      <c r="L1342" s="64">
        <f>EFEITO!$N$1342*EFEITO!$AA$1146</f>
        <v>0</v>
      </c>
      <c r="M1342" s="64">
        <f ca="1">$J$1342-EFEITO!$K$1342*EFEITO!$Y$1342</f>
        <v>3914.6932709969406</v>
      </c>
      <c r="N1342" s="64">
        <f>$K$1342-EFEITO!$M$1342*EFEITO!$Z$1342</f>
        <v>0</v>
      </c>
      <c r="O1342" s="64">
        <f>$L$1342-EFEITO!$O$1342*EFEITO!$AA$1342</f>
        <v>0</v>
      </c>
      <c r="P1342" s="19"/>
      <c r="Q1342" s="19"/>
      <c r="R1342" s="19"/>
      <c r="S1342" s="19"/>
      <c r="T1342" s="19"/>
      <c r="U1342" s="19"/>
      <c r="V1342" s="19"/>
      <c r="W1342" s="19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</row>
    <row r="1343" spans="1:36" ht="11.25" customHeight="1" x14ac:dyDescent="0.2">
      <c r="A1343" s="55" t="s">
        <v>27</v>
      </c>
      <c r="B1343" s="55" t="s">
        <v>41</v>
      </c>
      <c r="C1343" s="55" t="s">
        <v>42</v>
      </c>
      <c r="D1343" s="55" t="s">
        <v>45</v>
      </c>
      <c r="E1343" s="55" t="s">
        <v>25</v>
      </c>
      <c r="F1343" s="55" t="s">
        <v>25</v>
      </c>
      <c r="G1343" s="55" t="s">
        <v>25</v>
      </c>
      <c r="H1343" s="55" t="s">
        <v>25</v>
      </c>
      <c r="I1343" s="63">
        <v>44501</v>
      </c>
      <c r="J1343" s="64">
        <f ca="1">EFEITO!$J$1343*EFEITO!$Y$1146</f>
        <v>1208.8875568331034</v>
      </c>
      <c r="K1343" s="64">
        <f>EFEITO!$L$1343*EFEITO!$Z$1146</f>
        <v>0</v>
      </c>
      <c r="L1343" s="64">
        <f>EFEITO!$N$1343*EFEITO!$AA$1146</f>
        <v>0</v>
      </c>
      <c r="M1343" s="64">
        <f ca="1">$J$1343-EFEITO!$K$1343*EFEITO!$Y$1343</f>
        <v>24.177751136662209</v>
      </c>
      <c r="N1343" s="64">
        <f>$K$1343-EFEITO!$M$1343*EFEITO!$Z$1343</f>
        <v>0</v>
      </c>
      <c r="O1343" s="64">
        <f>$L$1343-EFEITO!$O$1343*EFEITO!$AA$1343</f>
        <v>0</v>
      </c>
      <c r="P1343" s="19"/>
      <c r="Q1343" s="19"/>
      <c r="R1343" s="19"/>
      <c r="S1343" s="19"/>
      <c r="T1343" s="19"/>
      <c r="U1343" s="19"/>
      <c r="V1343" s="19"/>
      <c r="W1343" s="19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</row>
    <row r="1344" spans="1:36" ht="11.25" customHeight="1" x14ac:dyDescent="0.2">
      <c r="A1344" s="55" t="s">
        <v>28</v>
      </c>
      <c r="B1344" s="55" t="s">
        <v>41</v>
      </c>
      <c r="C1344" s="55" t="s">
        <v>42</v>
      </c>
      <c r="D1344" s="55" t="s">
        <v>45</v>
      </c>
      <c r="E1344" s="55" t="s">
        <v>25</v>
      </c>
      <c r="F1344" s="55" t="s">
        <v>25</v>
      </c>
      <c r="G1344" s="55" t="s">
        <v>25</v>
      </c>
      <c r="H1344" s="55" t="s">
        <v>25</v>
      </c>
      <c r="I1344" s="63">
        <v>44501</v>
      </c>
      <c r="J1344" s="64">
        <f ca="1">EFEITO!$J$1344*EFEITO!$Y$1146</f>
        <v>8935.2558548533725</v>
      </c>
      <c r="K1344" s="64">
        <f>EFEITO!$L$1344*EFEITO!$Z$1146</f>
        <v>0</v>
      </c>
      <c r="L1344" s="64">
        <f>EFEITO!$N$1344*EFEITO!$AA$1146</f>
        <v>0</v>
      </c>
      <c r="M1344" s="64">
        <f ca="1">$J$1344-EFEITO!$K$1344*EFEITO!$Y$1344</f>
        <v>178.70511709706807</v>
      </c>
      <c r="N1344" s="64">
        <f>$K$1344-EFEITO!$M$1344*EFEITO!$Z$1344</f>
        <v>0</v>
      </c>
      <c r="O1344" s="64">
        <f>$L$1344-EFEITO!$O$1344*EFEITO!$AA$1344</f>
        <v>0</v>
      </c>
      <c r="P1344" s="19"/>
      <c r="Q1344" s="19"/>
      <c r="R1344" s="19"/>
      <c r="S1344" s="19"/>
      <c r="T1344" s="19"/>
      <c r="U1344" s="19"/>
      <c r="V1344" s="19"/>
      <c r="W1344" s="19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</row>
    <row r="1345" spans="1:36" ht="11.25" customHeight="1" x14ac:dyDescent="0.2">
      <c r="A1345" s="55" t="s">
        <v>28</v>
      </c>
      <c r="B1345" s="55" t="s">
        <v>41</v>
      </c>
      <c r="C1345" s="55" t="s">
        <v>42</v>
      </c>
      <c r="D1345" s="55" t="s">
        <v>45</v>
      </c>
      <c r="E1345" s="55" t="s">
        <v>25</v>
      </c>
      <c r="F1345" s="55" t="s">
        <v>25</v>
      </c>
      <c r="G1345" s="55" t="s">
        <v>25</v>
      </c>
      <c r="H1345" s="55" t="s">
        <v>25</v>
      </c>
      <c r="I1345" s="63">
        <v>44501</v>
      </c>
      <c r="J1345" s="64">
        <f ca="1">EFEITO!$J$1345*EFEITO!$Y$1146</f>
        <v>-6333.5195912343024</v>
      </c>
      <c r="K1345" s="64">
        <f>EFEITO!$L$1345*EFEITO!$Z$1146</f>
        <v>0</v>
      </c>
      <c r="L1345" s="64">
        <f>EFEITO!$N$1345*EFEITO!$AA$1146</f>
        <v>0</v>
      </c>
      <c r="M1345" s="64">
        <f ca="1">$J$1345-EFEITO!$K$1345*EFEITO!$Y$1345</f>
        <v>-126.67039182468579</v>
      </c>
      <c r="N1345" s="64">
        <f>$K$1345-EFEITO!$M$1345*EFEITO!$Z$1345</f>
        <v>0</v>
      </c>
      <c r="O1345" s="64">
        <f>$L$1345-EFEITO!$O$1345*EFEITO!$AA$1345</f>
        <v>0</v>
      </c>
      <c r="P1345" s="19"/>
      <c r="Q1345" s="19"/>
      <c r="R1345" s="19"/>
      <c r="S1345" s="19"/>
      <c r="T1345" s="19"/>
      <c r="U1345" s="19"/>
      <c r="V1345" s="19"/>
      <c r="W1345" s="19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</row>
    <row r="1346" spans="1:36" ht="11.25" customHeight="1" x14ac:dyDescent="0.2">
      <c r="A1346" s="55" t="s">
        <v>21</v>
      </c>
      <c r="B1346" s="55" t="s">
        <v>41</v>
      </c>
      <c r="C1346" s="55" t="s">
        <v>42</v>
      </c>
      <c r="D1346" s="55" t="s">
        <v>45</v>
      </c>
      <c r="E1346" s="55" t="s">
        <v>25</v>
      </c>
      <c r="F1346" s="55" t="s">
        <v>25</v>
      </c>
      <c r="G1346" s="55" t="s">
        <v>25</v>
      </c>
      <c r="H1346" s="55" t="s">
        <v>25</v>
      </c>
      <c r="I1346" s="63">
        <v>44531</v>
      </c>
      <c r="J1346" s="64">
        <f ca="1">EFEITO!$J$1346*EFEITO!$Y$1146</f>
        <v>144540.9035343928</v>
      </c>
      <c r="K1346" s="64">
        <f>EFEITO!$L$1346*EFEITO!$Z$1146</f>
        <v>0</v>
      </c>
      <c r="L1346" s="64">
        <f>EFEITO!$N$1346*EFEITO!$AA$1146</f>
        <v>0</v>
      </c>
      <c r="M1346" s="64">
        <f ca="1">$J$1346-EFEITO!$K$1346*EFEITO!$Y$1346</f>
        <v>2890.8180706878484</v>
      </c>
      <c r="N1346" s="64">
        <f>$K$1346-EFEITO!$M$1346*EFEITO!$Z$1346</f>
        <v>0</v>
      </c>
      <c r="O1346" s="64">
        <f>$L$1346-EFEITO!$O$1346*EFEITO!$AA$1346</f>
        <v>0</v>
      </c>
      <c r="P1346" s="19"/>
      <c r="Q1346" s="19"/>
      <c r="R1346" s="19"/>
      <c r="S1346" s="19"/>
      <c r="T1346" s="19"/>
      <c r="U1346" s="19"/>
      <c r="V1346" s="19"/>
      <c r="W1346" s="19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</row>
    <row r="1347" spans="1:36" ht="11.25" customHeight="1" x14ac:dyDescent="0.2">
      <c r="A1347" s="55" t="s">
        <v>27</v>
      </c>
      <c r="B1347" s="55" t="s">
        <v>41</v>
      </c>
      <c r="C1347" s="55" t="s">
        <v>42</v>
      </c>
      <c r="D1347" s="55" t="s">
        <v>45</v>
      </c>
      <c r="E1347" s="55" t="s">
        <v>25</v>
      </c>
      <c r="F1347" s="55" t="s">
        <v>25</v>
      </c>
      <c r="G1347" s="55" t="s">
        <v>25</v>
      </c>
      <c r="H1347" s="55" t="s">
        <v>25</v>
      </c>
      <c r="I1347" s="63">
        <v>44531</v>
      </c>
      <c r="J1347" s="64">
        <f ca="1">EFEITO!$J$1347*EFEITO!$Y$1146</f>
        <v>-1287.7280496700448</v>
      </c>
      <c r="K1347" s="64">
        <f>EFEITO!$L$1347*EFEITO!$Z$1146</f>
        <v>0</v>
      </c>
      <c r="L1347" s="64">
        <f>EFEITO!$N$1347*EFEITO!$AA$1146</f>
        <v>0</v>
      </c>
      <c r="M1347" s="64">
        <f ca="1">$J$1347-EFEITO!$K$1347*EFEITO!$Y$1347</f>
        <v>-25.754560993400901</v>
      </c>
      <c r="N1347" s="64">
        <f>$K$1347-EFEITO!$M$1347*EFEITO!$Z$1347</f>
        <v>0</v>
      </c>
      <c r="O1347" s="64">
        <f>$L$1347-EFEITO!$O$1347*EFEITO!$AA$1347</f>
        <v>0</v>
      </c>
      <c r="P1347" s="19"/>
      <c r="Q1347" s="19"/>
      <c r="R1347" s="19"/>
      <c r="S1347" s="19"/>
      <c r="T1347" s="19"/>
      <c r="U1347" s="19"/>
      <c r="V1347" s="19"/>
      <c r="W1347" s="19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</row>
    <row r="1348" spans="1:36" ht="11.25" customHeight="1" x14ac:dyDescent="0.2">
      <c r="A1348" s="55" t="s">
        <v>28</v>
      </c>
      <c r="B1348" s="55" t="s">
        <v>41</v>
      </c>
      <c r="C1348" s="55" t="s">
        <v>42</v>
      </c>
      <c r="D1348" s="55" t="s">
        <v>45</v>
      </c>
      <c r="E1348" s="55" t="s">
        <v>25</v>
      </c>
      <c r="F1348" s="55" t="s">
        <v>25</v>
      </c>
      <c r="G1348" s="55" t="s">
        <v>25</v>
      </c>
      <c r="H1348" s="55" t="s">
        <v>25</v>
      </c>
      <c r="I1348" s="63">
        <v>44531</v>
      </c>
      <c r="J1348" s="64">
        <f ca="1">EFEITO!$J$1348*EFEITO!$Y$1146</f>
        <v>8646.1740477845869</v>
      </c>
      <c r="K1348" s="64">
        <f>EFEITO!$L$1348*EFEITO!$Z$1146</f>
        <v>0</v>
      </c>
      <c r="L1348" s="64">
        <f>EFEITO!$N$1348*EFEITO!$AA$1146</f>
        <v>0</v>
      </c>
      <c r="M1348" s="64">
        <f ca="1">$J$1348-EFEITO!$K$1348*EFEITO!$Y$1348</f>
        <v>172.92348095569105</v>
      </c>
      <c r="N1348" s="64">
        <f>$K$1348-EFEITO!$M$1348*EFEITO!$Z$1348</f>
        <v>0</v>
      </c>
      <c r="O1348" s="64">
        <f>$L$1348-EFEITO!$O$1348*EFEITO!$AA$1348</f>
        <v>0</v>
      </c>
      <c r="P1348" s="19"/>
      <c r="Q1348" s="19"/>
      <c r="R1348" s="19"/>
      <c r="S1348" s="19"/>
      <c r="T1348" s="19"/>
      <c r="U1348" s="19"/>
      <c r="V1348" s="19"/>
      <c r="W1348" s="19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</row>
    <row r="1349" spans="1:36" ht="11.25" customHeight="1" x14ac:dyDescent="0.2">
      <c r="A1349" s="55" t="s">
        <v>21</v>
      </c>
      <c r="B1349" s="55" t="s">
        <v>41</v>
      </c>
      <c r="C1349" s="55" t="s">
        <v>42</v>
      </c>
      <c r="D1349" s="55" t="s">
        <v>45</v>
      </c>
      <c r="E1349" s="55" t="s">
        <v>25</v>
      </c>
      <c r="F1349" s="55" t="s">
        <v>25</v>
      </c>
      <c r="G1349" s="55" t="s">
        <v>25</v>
      </c>
      <c r="H1349" s="55" t="s">
        <v>25</v>
      </c>
      <c r="I1349" s="63">
        <v>44562</v>
      </c>
      <c r="J1349" s="64">
        <f ca="1">EFEITO!$J$1349*EFEITO!$Y$1146</f>
        <v>103517.56709490423</v>
      </c>
      <c r="K1349" s="64">
        <f>EFEITO!$L$1349*EFEITO!$Z$1146</f>
        <v>0</v>
      </c>
      <c r="L1349" s="64">
        <f>EFEITO!$N$1349*EFEITO!$AA$1146</f>
        <v>0</v>
      </c>
      <c r="M1349" s="64">
        <f ca="1">$J$1349-EFEITO!$K$1349*EFEITO!$Y$1349</f>
        <v>2070.3513418980874</v>
      </c>
      <c r="N1349" s="64">
        <f>$K$1349-EFEITO!$M$1349*EFEITO!$Z$1349</f>
        <v>0</v>
      </c>
      <c r="O1349" s="64">
        <f>$L$1349-EFEITO!$O$1349*EFEITO!$AA$1349</f>
        <v>0</v>
      </c>
      <c r="P1349" s="19"/>
      <c r="Q1349" s="19"/>
      <c r="R1349" s="19"/>
      <c r="S1349" s="19"/>
      <c r="T1349" s="19"/>
      <c r="U1349" s="19"/>
      <c r="V1349" s="19"/>
      <c r="W1349" s="19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</row>
    <row r="1350" spans="1:36" ht="11.25" customHeight="1" x14ac:dyDescent="0.2">
      <c r="A1350" s="55" t="s">
        <v>28</v>
      </c>
      <c r="B1350" s="55" t="s">
        <v>41</v>
      </c>
      <c r="C1350" s="55" t="s">
        <v>42</v>
      </c>
      <c r="D1350" s="55" t="s">
        <v>45</v>
      </c>
      <c r="E1350" s="55" t="s">
        <v>25</v>
      </c>
      <c r="F1350" s="55" t="s">
        <v>25</v>
      </c>
      <c r="G1350" s="55" t="s">
        <v>25</v>
      </c>
      <c r="H1350" s="55" t="s">
        <v>25</v>
      </c>
      <c r="I1350" s="63">
        <v>44562</v>
      </c>
      <c r="J1350" s="64">
        <f ca="1">EFEITO!$J$1350*EFEITO!$Y$1146</f>
        <v>6543.7609054661461</v>
      </c>
      <c r="K1350" s="64">
        <f>EFEITO!$L$1350*EFEITO!$Z$1146</f>
        <v>0</v>
      </c>
      <c r="L1350" s="64">
        <f>EFEITO!$N$1350*EFEITO!$AA$1146</f>
        <v>0</v>
      </c>
      <c r="M1350" s="64">
        <f ca="1">$J$1350-EFEITO!$K$1350*EFEITO!$Y$1350</f>
        <v>130.8752181093223</v>
      </c>
      <c r="N1350" s="64">
        <f>$K$1350-EFEITO!$M$1350*EFEITO!$Z$1350</f>
        <v>0</v>
      </c>
      <c r="O1350" s="64">
        <f>$L$1350-EFEITO!$O$1350*EFEITO!$AA$1350</f>
        <v>0</v>
      </c>
      <c r="P1350" s="19"/>
      <c r="Q1350" s="19"/>
      <c r="R1350" s="19"/>
      <c r="S1350" s="19"/>
      <c r="T1350" s="19"/>
      <c r="U1350" s="19"/>
      <c r="V1350" s="19"/>
      <c r="W1350" s="19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</row>
    <row r="1351" spans="1:36" ht="11.25" customHeight="1" x14ac:dyDescent="0.2">
      <c r="A1351" s="55" t="s">
        <v>21</v>
      </c>
      <c r="B1351" s="55" t="s">
        <v>41</v>
      </c>
      <c r="C1351" s="55" t="s">
        <v>42</v>
      </c>
      <c r="D1351" s="55" t="s">
        <v>45</v>
      </c>
      <c r="E1351" s="55" t="s">
        <v>25</v>
      </c>
      <c r="F1351" s="55" t="s">
        <v>25</v>
      </c>
      <c r="G1351" s="55" t="s">
        <v>25</v>
      </c>
      <c r="H1351" s="55" t="s">
        <v>25</v>
      </c>
      <c r="I1351" s="63">
        <v>44593</v>
      </c>
      <c r="J1351" s="64">
        <f ca="1">EFEITO!$J$1351*EFEITO!$Y$1146</f>
        <v>108353.11732223663</v>
      </c>
      <c r="K1351" s="64">
        <f>EFEITO!$L$1351*EFEITO!$Z$1146</f>
        <v>0</v>
      </c>
      <c r="L1351" s="64">
        <f>EFEITO!$N$1351*EFEITO!$AA$1146</f>
        <v>0</v>
      </c>
      <c r="M1351" s="64">
        <f ca="1">$J$1351-EFEITO!$K$1351*EFEITO!$Y$1351</f>
        <v>2167.0623464447417</v>
      </c>
      <c r="N1351" s="64">
        <f>$K$1351-EFEITO!$M$1351*EFEITO!$Z$1351</f>
        <v>0</v>
      </c>
      <c r="O1351" s="64">
        <f>$L$1351-EFEITO!$O$1351*EFEITO!$AA$1351</f>
        <v>0</v>
      </c>
      <c r="P1351" s="19"/>
      <c r="Q1351" s="19"/>
      <c r="R1351" s="19"/>
      <c r="S1351" s="19"/>
      <c r="T1351" s="19"/>
      <c r="U1351" s="19"/>
      <c r="V1351" s="19"/>
      <c r="W1351" s="19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</row>
    <row r="1352" spans="1:36" ht="11.25" customHeight="1" x14ac:dyDescent="0.2">
      <c r="A1352" s="55" t="s">
        <v>27</v>
      </c>
      <c r="B1352" s="55" t="s">
        <v>41</v>
      </c>
      <c r="C1352" s="55" t="s">
        <v>42</v>
      </c>
      <c r="D1352" s="55" t="s">
        <v>45</v>
      </c>
      <c r="E1352" s="55" t="s">
        <v>25</v>
      </c>
      <c r="F1352" s="55" t="s">
        <v>25</v>
      </c>
      <c r="G1352" s="55" t="s">
        <v>25</v>
      </c>
      <c r="H1352" s="55" t="s">
        <v>25</v>
      </c>
      <c r="I1352" s="63">
        <v>44593</v>
      </c>
      <c r="J1352" s="64">
        <f ca="1">EFEITO!$J$1352*EFEITO!$Y$1146</f>
        <v>7989.169940810074</v>
      </c>
      <c r="K1352" s="64">
        <f>EFEITO!$L$1352*EFEITO!$Z$1146</f>
        <v>0</v>
      </c>
      <c r="L1352" s="64">
        <f>EFEITO!$N$1352*EFEITO!$AA$1146</f>
        <v>0</v>
      </c>
      <c r="M1352" s="64">
        <f ca="1">$J$1352-EFEITO!$K$1352*EFEITO!$Y$1352</f>
        <v>159.78339881620104</v>
      </c>
      <c r="N1352" s="64">
        <f>$K$1352-EFEITO!$M$1352*EFEITO!$Z$1352</f>
        <v>0</v>
      </c>
      <c r="O1352" s="64">
        <f>$L$1352-EFEITO!$O$1352*EFEITO!$AA$1352</f>
        <v>0</v>
      </c>
      <c r="P1352" s="19"/>
      <c r="Q1352" s="19"/>
      <c r="R1352" s="19"/>
      <c r="S1352" s="19"/>
      <c r="T1352" s="19"/>
      <c r="U1352" s="19"/>
      <c r="V1352" s="19"/>
      <c r="W1352" s="19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</row>
    <row r="1353" spans="1:36" ht="11.25" customHeight="1" x14ac:dyDescent="0.2">
      <c r="A1353" s="55" t="s">
        <v>28</v>
      </c>
      <c r="B1353" s="55" t="s">
        <v>41</v>
      </c>
      <c r="C1353" s="55" t="s">
        <v>42</v>
      </c>
      <c r="D1353" s="55" t="s">
        <v>45</v>
      </c>
      <c r="E1353" s="55" t="s">
        <v>25</v>
      </c>
      <c r="F1353" s="55" t="s">
        <v>25</v>
      </c>
      <c r="G1353" s="55" t="s">
        <v>25</v>
      </c>
      <c r="H1353" s="55" t="s">
        <v>25</v>
      </c>
      <c r="I1353" s="63">
        <v>44593</v>
      </c>
      <c r="J1353" s="64">
        <f ca="1">EFEITO!$J$1353*EFEITO!$Y$1146</f>
        <v>5913.0369627706141</v>
      </c>
      <c r="K1353" s="64">
        <f>EFEITO!$L$1353*EFEITO!$Z$1146</f>
        <v>0</v>
      </c>
      <c r="L1353" s="64">
        <f>EFEITO!$N$1353*EFEITO!$AA$1146</f>
        <v>0</v>
      </c>
      <c r="M1353" s="64">
        <f ca="1">$J$1353-EFEITO!$K$1353*EFEITO!$Y$1353</f>
        <v>118.26073925541186</v>
      </c>
      <c r="N1353" s="64">
        <f>$K$1353-EFEITO!$M$1353*EFEITO!$Z$1353</f>
        <v>0</v>
      </c>
      <c r="O1353" s="64">
        <f>$L$1353-EFEITO!$O$1353*EFEITO!$AA$1353</f>
        <v>0</v>
      </c>
      <c r="P1353" s="19"/>
      <c r="Q1353" s="19"/>
      <c r="R1353" s="19"/>
      <c r="S1353" s="19"/>
      <c r="T1353" s="19"/>
      <c r="U1353" s="19"/>
      <c r="V1353" s="19"/>
      <c r="W1353" s="19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</row>
    <row r="1354" spans="1:36" ht="11.25" customHeight="1" x14ac:dyDescent="0.2">
      <c r="A1354" s="55" t="s">
        <v>21</v>
      </c>
      <c r="B1354" s="55" t="s">
        <v>41</v>
      </c>
      <c r="C1354" s="55" t="s">
        <v>42</v>
      </c>
      <c r="D1354" s="55" t="s">
        <v>45</v>
      </c>
      <c r="E1354" s="55" t="s">
        <v>25</v>
      </c>
      <c r="F1354" s="55" t="s">
        <v>25</v>
      </c>
      <c r="G1354" s="55" t="s">
        <v>25</v>
      </c>
      <c r="H1354" s="55" t="s">
        <v>25</v>
      </c>
      <c r="I1354" s="63">
        <v>44621</v>
      </c>
      <c r="J1354" s="64">
        <f ca="1">EFEITO!$J$1354*EFEITO!$Y$1146</f>
        <v>113109.8270567321</v>
      </c>
      <c r="K1354" s="64">
        <f>EFEITO!$L$1354*EFEITO!$Z$1146</f>
        <v>0</v>
      </c>
      <c r="L1354" s="64">
        <f>EFEITO!$N$1354*EFEITO!$AA$1146</f>
        <v>0</v>
      </c>
      <c r="M1354" s="64">
        <f ca="1">$J$1354-EFEITO!$K$1354*EFEITO!$Y$1354</f>
        <v>2262.1965411346464</v>
      </c>
      <c r="N1354" s="64">
        <f>$K$1354-EFEITO!$M$1354*EFEITO!$Z$1354</f>
        <v>0</v>
      </c>
      <c r="O1354" s="64">
        <f>$L$1354-EFEITO!$O$1354*EFEITO!$AA$1354</f>
        <v>0</v>
      </c>
      <c r="P1354" s="19"/>
      <c r="Q1354" s="19"/>
      <c r="R1354" s="19"/>
      <c r="S1354" s="19"/>
      <c r="T1354" s="19"/>
      <c r="U1354" s="19"/>
      <c r="V1354" s="19"/>
      <c r="W1354" s="19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</row>
    <row r="1355" spans="1:36" ht="11.25" customHeight="1" x14ac:dyDescent="0.2">
      <c r="A1355" s="55" t="s">
        <v>28</v>
      </c>
      <c r="B1355" s="55" t="s">
        <v>41</v>
      </c>
      <c r="C1355" s="55" t="s">
        <v>42</v>
      </c>
      <c r="D1355" s="55" t="s">
        <v>45</v>
      </c>
      <c r="E1355" s="55" t="s">
        <v>25</v>
      </c>
      <c r="F1355" s="55" t="s">
        <v>25</v>
      </c>
      <c r="G1355" s="55" t="s">
        <v>25</v>
      </c>
      <c r="H1355" s="55" t="s">
        <v>25</v>
      </c>
      <c r="I1355" s="63">
        <v>44621</v>
      </c>
      <c r="J1355" s="64">
        <f ca="1">EFEITO!$J$1355*EFEITO!$Y$1146</f>
        <v>5466.2741700279457</v>
      </c>
      <c r="K1355" s="64">
        <f>EFEITO!$L$1355*EFEITO!$Z$1146</f>
        <v>0</v>
      </c>
      <c r="L1355" s="64">
        <f>EFEITO!$N$1355*EFEITO!$AA$1146</f>
        <v>0</v>
      </c>
      <c r="M1355" s="64">
        <f ca="1">$J$1355-EFEITO!$K$1355*EFEITO!$Y$1355</f>
        <v>109.32548340055928</v>
      </c>
      <c r="N1355" s="64">
        <f>$K$1355-EFEITO!$M$1355*EFEITO!$Z$1355</f>
        <v>0</v>
      </c>
      <c r="O1355" s="64">
        <f>$L$1355-EFEITO!$O$1355*EFEITO!$AA$1355</f>
        <v>0</v>
      </c>
      <c r="P1355" s="19"/>
      <c r="Q1355" s="19"/>
      <c r="R1355" s="19"/>
      <c r="S1355" s="19"/>
      <c r="T1355" s="19"/>
      <c r="U1355" s="19"/>
      <c r="V1355" s="19"/>
      <c r="W1355" s="19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</row>
    <row r="1356" spans="1:36" ht="11.25" customHeight="1" x14ac:dyDescent="0.2">
      <c r="A1356" s="55" t="s">
        <v>21</v>
      </c>
      <c r="B1356" s="55" t="s">
        <v>41</v>
      </c>
      <c r="C1356" s="55" t="s">
        <v>42</v>
      </c>
      <c r="D1356" s="55" t="s">
        <v>45</v>
      </c>
      <c r="E1356" s="55" t="s">
        <v>25</v>
      </c>
      <c r="F1356" s="55" t="s">
        <v>25</v>
      </c>
      <c r="G1356" s="55" t="s">
        <v>25</v>
      </c>
      <c r="H1356" s="55" t="s">
        <v>25</v>
      </c>
      <c r="I1356" s="63">
        <v>44652</v>
      </c>
      <c r="J1356" s="64">
        <f ca="1">EFEITO!$J$1356*EFEITO!$Y$1146</f>
        <v>123043.72915418673</v>
      </c>
      <c r="K1356" s="64">
        <f>EFEITO!$L$1356*EFEITO!$Z$1146</f>
        <v>0</v>
      </c>
      <c r="L1356" s="64">
        <f>EFEITO!$N$1356*EFEITO!$AA$1146</f>
        <v>0</v>
      </c>
      <c r="M1356" s="64">
        <f ca="1">$J$1356-EFEITO!$K$1356*EFEITO!$Y$1356</f>
        <v>2460.8745830837288</v>
      </c>
      <c r="N1356" s="64">
        <f>$K$1356-EFEITO!$M$1356*EFEITO!$Z$1356</f>
        <v>0</v>
      </c>
      <c r="O1356" s="64">
        <f>$L$1356-EFEITO!$O$1356*EFEITO!$AA$1356</f>
        <v>0</v>
      </c>
      <c r="P1356" s="19"/>
      <c r="Q1356" s="19"/>
      <c r="R1356" s="19"/>
      <c r="S1356" s="19"/>
      <c r="T1356" s="19"/>
      <c r="U1356" s="19"/>
      <c r="V1356" s="19"/>
      <c r="W1356" s="19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</row>
    <row r="1357" spans="1:36" ht="11.25" customHeight="1" x14ac:dyDescent="0.2">
      <c r="A1357" s="55" t="s">
        <v>27</v>
      </c>
      <c r="B1357" s="55" t="s">
        <v>41</v>
      </c>
      <c r="C1357" s="55" t="s">
        <v>42</v>
      </c>
      <c r="D1357" s="55" t="s">
        <v>45</v>
      </c>
      <c r="E1357" s="55" t="s">
        <v>25</v>
      </c>
      <c r="F1357" s="55" t="s">
        <v>25</v>
      </c>
      <c r="G1357" s="55" t="s">
        <v>25</v>
      </c>
      <c r="H1357" s="55" t="s">
        <v>25</v>
      </c>
      <c r="I1357" s="63">
        <v>44652</v>
      </c>
      <c r="J1357" s="64">
        <f ca="1">EFEITO!$J$1357*EFEITO!$Y$1146</f>
        <v>446.76279274266864</v>
      </c>
      <c r="K1357" s="64">
        <f>EFEITO!$L$1357*EFEITO!$Z$1146</f>
        <v>0</v>
      </c>
      <c r="L1357" s="64">
        <f>EFEITO!$N$1357*EFEITO!$AA$1146</f>
        <v>0</v>
      </c>
      <c r="M1357" s="64">
        <f ca="1">$J$1357-EFEITO!$K$1357*EFEITO!$Y$1357</f>
        <v>8.9352558548533807</v>
      </c>
      <c r="N1357" s="64">
        <f>$K$1357-EFEITO!$M$1357*EFEITO!$Z$1357</f>
        <v>0</v>
      </c>
      <c r="O1357" s="64">
        <f>$L$1357-EFEITO!$O$1357*EFEITO!$AA$1357</f>
        <v>0</v>
      </c>
      <c r="P1357" s="19"/>
      <c r="Q1357" s="19"/>
      <c r="R1357" s="19"/>
      <c r="S1357" s="19"/>
      <c r="T1357" s="19"/>
      <c r="U1357" s="19"/>
      <c r="V1357" s="19"/>
      <c r="W1357" s="19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</row>
    <row r="1358" spans="1:36" ht="11.25" customHeight="1" x14ac:dyDescent="0.2">
      <c r="A1358" s="55" t="s">
        <v>28</v>
      </c>
      <c r="B1358" s="55" t="s">
        <v>41</v>
      </c>
      <c r="C1358" s="55" t="s">
        <v>42</v>
      </c>
      <c r="D1358" s="55" t="s">
        <v>45</v>
      </c>
      <c r="E1358" s="55" t="s">
        <v>25</v>
      </c>
      <c r="F1358" s="55" t="s">
        <v>25</v>
      </c>
      <c r="G1358" s="55" t="s">
        <v>25</v>
      </c>
      <c r="H1358" s="55" t="s">
        <v>25</v>
      </c>
      <c r="I1358" s="63">
        <v>44652</v>
      </c>
      <c r="J1358" s="64">
        <f ca="1">EFEITO!$J$1358*EFEITO!$Y$1146</f>
        <v>5702.7956485387704</v>
      </c>
      <c r="K1358" s="64">
        <f>EFEITO!$L$1358*EFEITO!$Z$1146</f>
        <v>0</v>
      </c>
      <c r="L1358" s="64">
        <f>EFEITO!$N$1358*EFEITO!$AA$1146</f>
        <v>0</v>
      </c>
      <c r="M1358" s="64">
        <f ca="1">$J$1358-EFEITO!$K$1358*EFEITO!$Y$1358</f>
        <v>114.05591297077535</v>
      </c>
      <c r="N1358" s="64">
        <f>$K$1358-EFEITO!$M$1358*EFEITO!$Z$1358</f>
        <v>0</v>
      </c>
      <c r="O1358" s="64">
        <f>$L$1358-EFEITO!$O$1358*EFEITO!$AA$1358</f>
        <v>0</v>
      </c>
      <c r="P1358" s="19"/>
      <c r="Q1358" s="19"/>
      <c r="R1358" s="19"/>
      <c r="S1358" s="19"/>
      <c r="T1358" s="19"/>
      <c r="U1358" s="19"/>
      <c r="V1358" s="19"/>
      <c r="W1358" s="19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</row>
    <row r="1359" spans="1:36" ht="11.25" customHeight="1" x14ac:dyDescent="0.2">
      <c r="A1359" s="55" t="s">
        <v>28</v>
      </c>
      <c r="B1359" s="55" t="s">
        <v>41</v>
      </c>
      <c r="C1359" s="55" t="s">
        <v>42</v>
      </c>
      <c r="D1359" s="55" t="s">
        <v>45</v>
      </c>
      <c r="E1359" s="55" t="s">
        <v>25</v>
      </c>
      <c r="F1359" s="55" t="s">
        <v>25</v>
      </c>
      <c r="G1359" s="55" t="s">
        <v>25</v>
      </c>
      <c r="H1359" s="55" t="s">
        <v>25</v>
      </c>
      <c r="I1359" s="63">
        <v>44652</v>
      </c>
      <c r="J1359" s="64">
        <f ca="1">EFEITO!$J$1359*EFEITO!$Y$1146</f>
        <v>-13665.685425069863</v>
      </c>
      <c r="K1359" s="64">
        <f>EFEITO!$L$1359*EFEITO!$Z$1146</f>
        <v>0</v>
      </c>
      <c r="L1359" s="64">
        <f>EFEITO!$N$1359*EFEITO!$AA$1146</f>
        <v>0</v>
      </c>
      <c r="M1359" s="64">
        <f ca="1">$J$1359-EFEITO!$K$1359*EFEITO!$Y$1359</f>
        <v>-273.31370850139683</v>
      </c>
      <c r="N1359" s="64">
        <f>$K$1359-EFEITO!$M$1359*EFEITO!$Z$1359</f>
        <v>0</v>
      </c>
      <c r="O1359" s="64">
        <f>$L$1359-EFEITO!$O$1359*EFEITO!$AA$1359</f>
        <v>0</v>
      </c>
      <c r="P1359" s="19"/>
      <c r="Q1359" s="19"/>
      <c r="R1359" s="19"/>
      <c r="S1359" s="19"/>
      <c r="T1359" s="19"/>
      <c r="U1359" s="19"/>
      <c r="V1359" s="19"/>
      <c r="W1359" s="19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</row>
    <row r="1360" spans="1:36" ht="11.25" customHeight="1" x14ac:dyDescent="0.2">
      <c r="A1360" s="55" t="s">
        <v>21</v>
      </c>
      <c r="B1360" s="55" t="s">
        <v>41</v>
      </c>
      <c r="C1360" s="55" t="s">
        <v>42</v>
      </c>
      <c r="D1360" s="55" t="s">
        <v>45</v>
      </c>
      <c r="E1360" s="55" t="s">
        <v>25</v>
      </c>
      <c r="F1360" s="55" t="s">
        <v>25</v>
      </c>
      <c r="G1360" s="55" t="s">
        <v>25</v>
      </c>
      <c r="H1360" s="55" t="s">
        <v>25</v>
      </c>
      <c r="I1360" s="63">
        <v>44682</v>
      </c>
      <c r="J1360" s="64">
        <f ca="1">EFEITO!$J$1360*EFEITO!$Y$1146</f>
        <v>120836.19535475237</v>
      </c>
      <c r="K1360" s="64">
        <f>EFEITO!$L$1360*EFEITO!$Z$1146</f>
        <v>0</v>
      </c>
      <c r="L1360" s="64">
        <f>EFEITO!$N$1360*EFEITO!$AA$1146</f>
        <v>0</v>
      </c>
      <c r="M1360" s="64">
        <f ca="1">$J$1360-EFEITO!$K$1360*EFEITO!$Y$1360</f>
        <v>2416.7239070950454</v>
      </c>
      <c r="N1360" s="64">
        <f>$K$1360-EFEITO!$M$1360*EFEITO!$Z$1360</f>
        <v>0</v>
      </c>
      <c r="O1360" s="64">
        <f>$L$1360-EFEITO!$O$1360*EFEITO!$AA$1360</f>
        <v>0</v>
      </c>
      <c r="P1360" s="19"/>
      <c r="Q1360" s="19"/>
      <c r="R1360" s="19"/>
      <c r="S1360" s="19"/>
      <c r="T1360" s="19"/>
      <c r="U1360" s="19"/>
      <c r="V1360" s="19"/>
      <c r="W1360" s="19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</row>
    <row r="1361" spans="1:36" ht="11.25" customHeight="1" x14ac:dyDescent="0.2">
      <c r="A1361" s="55" t="s">
        <v>28</v>
      </c>
      <c r="B1361" s="55" t="s">
        <v>41</v>
      </c>
      <c r="C1361" s="55" t="s">
        <v>42</v>
      </c>
      <c r="D1361" s="55" t="s">
        <v>45</v>
      </c>
      <c r="E1361" s="55" t="s">
        <v>25</v>
      </c>
      <c r="F1361" s="55" t="s">
        <v>25</v>
      </c>
      <c r="G1361" s="55" t="s">
        <v>25</v>
      </c>
      <c r="H1361" s="55" t="s">
        <v>25</v>
      </c>
      <c r="I1361" s="63">
        <v>44682</v>
      </c>
      <c r="J1361" s="64">
        <f ca="1">EFEITO!$J$1361*EFEITO!$Y$1146</f>
        <v>5623.9551557018285</v>
      </c>
      <c r="K1361" s="64">
        <f>EFEITO!$L$1361*EFEITO!$Z$1146</f>
        <v>0</v>
      </c>
      <c r="L1361" s="64">
        <f>EFEITO!$N$1361*EFEITO!$AA$1146</f>
        <v>0</v>
      </c>
      <c r="M1361" s="64">
        <f ca="1">$J$1361-EFEITO!$K$1361*EFEITO!$Y$1361</f>
        <v>112.47910311403666</v>
      </c>
      <c r="N1361" s="64">
        <f>$K$1361-EFEITO!$M$1361*EFEITO!$Z$1361</f>
        <v>0</v>
      </c>
      <c r="O1361" s="64">
        <f>$L$1361-EFEITO!$O$1361*EFEITO!$AA$1361</f>
        <v>0</v>
      </c>
      <c r="P1361" s="19"/>
      <c r="Q1361" s="19"/>
      <c r="R1361" s="19"/>
      <c r="S1361" s="19"/>
      <c r="T1361" s="19"/>
      <c r="U1361" s="19"/>
      <c r="V1361" s="19"/>
      <c r="W1361" s="19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ht="11.25" customHeight="1" x14ac:dyDescent="0.2">
      <c r="A1362" s="55" t="s">
        <v>21</v>
      </c>
      <c r="B1362" s="55" t="s">
        <v>41</v>
      </c>
      <c r="C1362" s="55" t="s">
        <v>42</v>
      </c>
      <c r="D1362" s="55" t="s">
        <v>45</v>
      </c>
      <c r="E1362" s="55" t="s">
        <v>25</v>
      </c>
      <c r="F1362" s="55" t="s">
        <v>25</v>
      </c>
      <c r="G1362" s="55" t="s">
        <v>25</v>
      </c>
      <c r="H1362" s="55" t="s">
        <v>25</v>
      </c>
      <c r="I1362" s="63">
        <v>44713</v>
      </c>
      <c r="J1362" s="64">
        <f ca="1">EFEITO!$J$1362*EFEITO!$Y$1146</f>
        <v>124699.37950376251</v>
      </c>
      <c r="K1362" s="64">
        <f>EFEITO!$L$1362*EFEITO!$Z$1146</f>
        <v>0</v>
      </c>
      <c r="L1362" s="64">
        <f>EFEITO!$N$1362*EFEITO!$AA$1146</f>
        <v>0</v>
      </c>
      <c r="M1362" s="64">
        <f ca="1">$J$1362-EFEITO!$K$1362*EFEITO!$Y$1362</f>
        <v>2493.9875900752522</v>
      </c>
      <c r="N1362" s="64">
        <f>$K$1362-EFEITO!$M$1362*EFEITO!$Z$1362</f>
        <v>0</v>
      </c>
      <c r="O1362" s="64">
        <f>$L$1362-EFEITO!$O$1362*EFEITO!$AA$1362</f>
        <v>0</v>
      </c>
      <c r="P1362" s="19"/>
      <c r="Q1362" s="19"/>
      <c r="R1362" s="19"/>
      <c r="S1362" s="19"/>
      <c r="T1362" s="19"/>
      <c r="U1362" s="19"/>
      <c r="V1362" s="19"/>
      <c r="W1362" s="19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ht="11.25" customHeight="1" x14ac:dyDescent="0.2">
      <c r="A1363" s="55" t="s">
        <v>28</v>
      </c>
      <c r="B1363" s="55" t="s">
        <v>41</v>
      </c>
      <c r="C1363" s="55" t="s">
        <v>42</v>
      </c>
      <c r="D1363" s="55" t="s">
        <v>45</v>
      </c>
      <c r="E1363" s="55" t="s">
        <v>25</v>
      </c>
      <c r="F1363" s="55" t="s">
        <v>25</v>
      </c>
      <c r="G1363" s="55" t="s">
        <v>25</v>
      </c>
      <c r="H1363" s="55" t="s">
        <v>25</v>
      </c>
      <c r="I1363" s="63">
        <v>44713</v>
      </c>
      <c r="J1363" s="64">
        <f ca="1">EFEITO!$J$1363*EFEITO!$Y$1146</f>
        <v>5361.1535129120239</v>
      </c>
      <c r="K1363" s="64">
        <f>EFEITO!$L$1363*EFEITO!$Z$1146</f>
        <v>0</v>
      </c>
      <c r="L1363" s="64">
        <f>EFEITO!$N$1363*EFEITO!$AA$1146</f>
        <v>0</v>
      </c>
      <c r="M1363" s="64">
        <f ca="1">$J$1363-EFEITO!$K$1363*EFEITO!$Y$1363</f>
        <v>107.22307025824102</v>
      </c>
      <c r="N1363" s="64">
        <f>$K$1363-EFEITO!$M$1363*EFEITO!$Z$1363</f>
        <v>0</v>
      </c>
      <c r="O1363" s="64">
        <f>$L$1363-EFEITO!$O$1363*EFEITO!$AA$1363</f>
        <v>0</v>
      </c>
      <c r="P1363" s="19"/>
      <c r="Q1363" s="19"/>
      <c r="R1363" s="19"/>
      <c r="S1363" s="19"/>
      <c r="T1363" s="19"/>
      <c r="U1363" s="19"/>
      <c r="V1363" s="19"/>
      <c r="W1363" s="19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ht="11.25" customHeight="1" x14ac:dyDescent="0.2">
      <c r="A1364" s="55" t="s">
        <v>57</v>
      </c>
      <c r="B1364" s="55" t="s">
        <v>41</v>
      </c>
      <c r="C1364" s="55" t="s">
        <v>42</v>
      </c>
      <c r="D1364" s="55" t="s">
        <v>45</v>
      </c>
      <c r="E1364" s="55" t="s">
        <v>25</v>
      </c>
      <c r="F1364" s="55" t="s">
        <v>25</v>
      </c>
      <c r="G1364" s="55" t="s">
        <v>25</v>
      </c>
      <c r="H1364" s="55" t="s">
        <v>25</v>
      </c>
      <c r="I1364" s="63">
        <v>44743</v>
      </c>
      <c r="J1364" s="64">
        <f ca="1">EFEITO!$J$1364*EFEITO!$Y$1146</f>
        <v>124699.37950376251</v>
      </c>
      <c r="K1364" s="64">
        <f>EFEITO!$L$1364*EFEITO!$Z$1146</f>
        <v>0</v>
      </c>
      <c r="L1364" s="64">
        <f>EFEITO!$N$1364*EFEITO!$AA$1146</f>
        <v>0</v>
      </c>
      <c r="M1364" s="64">
        <f ca="1">$J$1364-EFEITO!$K$1364*EFEITO!$Y$1364</f>
        <v>2493.9875900752522</v>
      </c>
      <c r="N1364" s="64">
        <f>$K$1364-EFEITO!$M$1364*EFEITO!$Z$1364</f>
        <v>0</v>
      </c>
      <c r="O1364" s="64">
        <f>$L$1364-EFEITO!$O$1364*EFEITO!$AA$1364</f>
        <v>0</v>
      </c>
      <c r="P1364" s="19"/>
      <c r="Q1364" s="19"/>
      <c r="R1364" s="19"/>
      <c r="S1364" s="19"/>
      <c r="T1364" s="19"/>
      <c r="U1364" s="19"/>
      <c r="V1364" s="19"/>
      <c r="W1364" s="19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ht="11.25" customHeight="1" x14ac:dyDescent="0.2">
      <c r="A1365" s="55" t="s">
        <v>57</v>
      </c>
      <c r="B1365" s="55" t="s">
        <v>41</v>
      </c>
      <c r="C1365" s="55" t="s">
        <v>42</v>
      </c>
      <c r="D1365" s="55" t="s">
        <v>45</v>
      </c>
      <c r="E1365" s="55" t="s">
        <v>25</v>
      </c>
      <c r="F1365" s="55" t="s">
        <v>25</v>
      </c>
      <c r="G1365" s="55" t="s">
        <v>25</v>
      </c>
      <c r="H1365" s="55" t="s">
        <v>25</v>
      </c>
      <c r="I1365" s="63">
        <v>44743</v>
      </c>
      <c r="J1365" s="64">
        <f ca="1">EFEITO!$J$1365*EFEITO!$Y$1146</f>
        <v>5361.1535129120239</v>
      </c>
      <c r="K1365" s="64">
        <f>EFEITO!$L$1365*EFEITO!$Z$1146</f>
        <v>0</v>
      </c>
      <c r="L1365" s="64">
        <f>EFEITO!$N$1365*EFEITO!$AA$1146</f>
        <v>0</v>
      </c>
      <c r="M1365" s="64">
        <f ca="1">$J$1365-EFEITO!$K$1365*EFEITO!$Y$1365</f>
        <v>107.22307025824102</v>
      </c>
      <c r="N1365" s="64">
        <f>$K$1365-EFEITO!$M$1365*EFEITO!$Z$1365</f>
        <v>0</v>
      </c>
      <c r="O1365" s="64">
        <f>$L$1365-EFEITO!$O$1365*EFEITO!$AA$1365</f>
        <v>0</v>
      </c>
      <c r="P1365" s="19"/>
      <c r="Q1365" s="19"/>
      <c r="R1365" s="19"/>
      <c r="S1365" s="19"/>
      <c r="T1365" s="19"/>
      <c r="U1365" s="19"/>
      <c r="V1365" s="19"/>
      <c r="W1365" s="19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ht="11.25" customHeight="1" x14ac:dyDescent="0.2">
      <c r="A1366" s="55" t="s">
        <v>21</v>
      </c>
      <c r="B1366" s="55" t="s">
        <v>41</v>
      </c>
      <c r="C1366" s="55" t="s">
        <v>42</v>
      </c>
      <c r="D1366" s="55" t="s">
        <v>45</v>
      </c>
      <c r="E1366" s="55" t="s">
        <v>25</v>
      </c>
      <c r="F1366" s="55" t="s">
        <v>25</v>
      </c>
      <c r="G1366" s="55" t="s">
        <v>25</v>
      </c>
      <c r="H1366" s="55" t="s">
        <v>34</v>
      </c>
      <c r="I1366" s="63">
        <v>44409</v>
      </c>
      <c r="J1366" s="64">
        <f>EFEITO!$J$1366*EFEITO!$Y$1174</f>
        <v>0</v>
      </c>
      <c r="K1366" s="64">
        <f ca="1">EFEITO!$L$1366*EFEITO!$Z$1174</f>
        <v>83678.705221358701</v>
      </c>
      <c r="L1366" s="64">
        <f>EFEITO!$N$1366*EFEITO!$AA$1174</f>
        <v>22399.183647369853</v>
      </c>
      <c r="M1366" s="64">
        <f>$J$1366-EFEITO!$K$1366*EFEITO!$Y$1366</f>
        <v>0</v>
      </c>
      <c r="N1366" s="64">
        <f ca="1">$K$1366-EFEITO!$M$1366*EFEITO!$Z$1366</f>
        <v>1673.5741044271708</v>
      </c>
      <c r="O1366" s="64">
        <f>$L$1366-EFEITO!$O$1366*EFEITO!$AA$1366</f>
        <v>447.98367294739728</v>
      </c>
      <c r="P1366" s="19"/>
      <c r="Q1366" s="19"/>
      <c r="R1366" s="19"/>
      <c r="S1366" s="19"/>
      <c r="T1366" s="19"/>
      <c r="U1366" s="19"/>
      <c r="V1366" s="19"/>
      <c r="W1366" s="19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ht="11.25" customHeight="1" x14ac:dyDescent="0.2">
      <c r="A1367" s="55" t="s">
        <v>28</v>
      </c>
      <c r="B1367" s="55" t="s">
        <v>41</v>
      </c>
      <c r="C1367" s="55" t="s">
        <v>42</v>
      </c>
      <c r="D1367" s="55" t="s">
        <v>45</v>
      </c>
      <c r="E1367" s="55" t="s">
        <v>25</v>
      </c>
      <c r="F1367" s="55" t="s">
        <v>25</v>
      </c>
      <c r="G1367" s="55" t="s">
        <v>25</v>
      </c>
      <c r="H1367" s="55" t="s">
        <v>34</v>
      </c>
      <c r="I1367" s="63">
        <v>44409</v>
      </c>
      <c r="J1367" s="64">
        <f>EFEITO!$J$1367*EFEITO!$Y$1174</f>
        <v>0</v>
      </c>
      <c r="K1367" s="64">
        <f ca="1">EFEITO!$L$1367*EFEITO!$Z$1174</f>
        <v>7025.377422685845</v>
      </c>
      <c r="L1367" s="64">
        <f>EFEITO!$N$1367*EFEITO!$AA$1174</f>
        <v>1880.5587235910034</v>
      </c>
      <c r="M1367" s="64">
        <f>$J$1367-EFEITO!$K$1367*EFEITO!$Y$1367</f>
        <v>0</v>
      </c>
      <c r="N1367" s="64">
        <f ca="1">$K$1367-EFEITO!$M$1367*EFEITO!$Z$1367</f>
        <v>140.50754845371648</v>
      </c>
      <c r="O1367" s="64">
        <f>$L$1367-EFEITO!$O$1367*EFEITO!$AA$1367</f>
        <v>37.61117447182005</v>
      </c>
      <c r="P1367" s="19"/>
      <c r="Q1367" s="19"/>
      <c r="R1367" s="19"/>
      <c r="S1367" s="19"/>
      <c r="T1367" s="19"/>
      <c r="U1367" s="19"/>
      <c r="V1367" s="19"/>
      <c r="W1367" s="19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</row>
    <row r="1368" spans="1:36" ht="11.25" customHeight="1" x14ac:dyDescent="0.2">
      <c r="A1368" s="55" t="s">
        <v>21</v>
      </c>
      <c r="B1368" s="55" t="s">
        <v>41</v>
      </c>
      <c r="C1368" s="55" t="s">
        <v>42</v>
      </c>
      <c r="D1368" s="55" t="s">
        <v>45</v>
      </c>
      <c r="E1368" s="55" t="s">
        <v>25</v>
      </c>
      <c r="F1368" s="55" t="s">
        <v>25</v>
      </c>
      <c r="G1368" s="55" t="s">
        <v>25</v>
      </c>
      <c r="H1368" s="55" t="s">
        <v>34</v>
      </c>
      <c r="I1368" s="63">
        <v>44440</v>
      </c>
      <c r="J1368" s="64">
        <f>EFEITO!$J$1368*EFEITO!$Y$1174</f>
        <v>0</v>
      </c>
      <c r="K1368" s="64">
        <f ca="1">EFEITO!$L$1368*EFEITO!$Z$1174</f>
        <v>97353.96575620753</v>
      </c>
      <c r="L1368" s="64">
        <f>EFEITO!$N$1368*EFEITO!$AA$1174</f>
        <v>26059.788473118548</v>
      </c>
      <c r="M1368" s="64">
        <f>$J$1368-EFEITO!$K$1368*EFEITO!$Y$1368</f>
        <v>0</v>
      </c>
      <c r="N1368" s="64">
        <f ca="1">$K$1368-EFEITO!$M$1368*EFEITO!$Z$1368</f>
        <v>1947.0793151241523</v>
      </c>
      <c r="O1368" s="64">
        <f>$L$1368-EFEITO!$O$1368*EFEITO!$AA$1368</f>
        <v>521.19576946237066</v>
      </c>
      <c r="P1368" s="19"/>
      <c r="Q1368" s="19"/>
      <c r="R1368" s="19"/>
      <c r="S1368" s="19"/>
      <c r="T1368" s="19"/>
      <c r="U1368" s="19"/>
      <c r="V1368" s="19"/>
      <c r="W1368" s="19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ht="11.25" customHeight="1" x14ac:dyDescent="0.2">
      <c r="A1369" s="55" t="s">
        <v>28</v>
      </c>
      <c r="B1369" s="55" t="s">
        <v>41</v>
      </c>
      <c r="C1369" s="55" t="s">
        <v>42</v>
      </c>
      <c r="D1369" s="55" t="s">
        <v>45</v>
      </c>
      <c r="E1369" s="55" t="s">
        <v>25</v>
      </c>
      <c r="F1369" s="55" t="s">
        <v>25</v>
      </c>
      <c r="G1369" s="55" t="s">
        <v>25</v>
      </c>
      <c r="H1369" s="55" t="s">
        <v>34</v>
      </c>
      <c r="I1369" s="63">
        <v>44440</v>
      </c>
      <c r="J1369" s="64">
        <f>EFEITO!$J$1369*EFEITO!$Y$1174</f>
        <v>0</v>
      </c>
      <c r="K1369" s="64">
        <f ca="1">EFEITO!$L$1369*EFEITO!$Z$1174</f>
        <v>6738.7097232544111</v>
      </c>
      <c r="L1369" s="64">
        <f>EFEITO!$N$1369*EFEITO!$AA$1174</f>
        <v>1803.8232814214853</v>
      </c>
      <c r="M1369" s="64">
        <f>$J$1369-EFEITO!$K$1369*EFEITO!$Y$1369</f>
        <v>0</v>
      </c>
      <c r="N1369" s="64">
        <f ca="1">$K$1369-EFEITO!$M$1369*EFEITO!$Z$1369</f>
        <v>134.77419446508793</v>
      </c>
      <c r="O1369" s="64">
        <f>$L$1369-EFEITO!$O$1369*EFEITO!$AA$1369</f>
        <v>36.07646562842956</v>
      </c>
      <c r="P1369" s="19"/>
      <c r="Q1369" s="19"/>
      <c r="R1369" s="19"/>
      <c r="S1369" s="19"/>
      <c r="T1369" s="19"/>
      <c r="U1369" s="19"/>
      <c r="V1369" s="19"/>
      <c r="W1369" s="19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ht="11.25" customHeight="1" x14ac:dyDescent="0.2">
      <c r="A1370" s="55" t="s">
        <v>21</v>
      </c>
      <c r="B1370" s="55" t="s">
        <v>41</v>
      </c>
      <c r="C1370" s="55" t="s">
        <v>42</v>
      </c>
      <c r="D1370" s="55" t="s">
        <v>45</v>
      </c>
      <c r="E1370" s="55" t="s">
        <v>25</v>
      </c>
      <c r="F1370" s="55" t="s">
        <v>25</v>
      </c>
      <c r="G1370" s="55" t="s">
        <v>25</v>
      </c>
      <c r="H1370" s="55" t="s">
        <v>34</v>
      </c>
      <c r="I1370" s="63">
        <v>44470</v>
      </c>
      <c r="J1370" s="64">
        <f>EFEITO!$J$1370*EFEITO!$Y$1174</f>
        <v>0</v>
      </c>
      <c r="K1370" s="64">
        <f ca="1">EFEITO!$L$1370*EFEITO!$Z$1174</f>
        <v>49644.654595902837</v>
      </c>
      <c r="L1370" s="64">
        <f>EFEITO!$N$1370*EFEITO!$AA$1174</f>
        <v>13288.921386417882</v>
      </c>
      <c r="M1370" s="64">
        <f>$J$1370-EFEITO!$K$1370*EFEITO!$Y$1370</f>
        <v>0</v>
      </c>
      <c r="N1370" s="64">
        <f ca="1">$K$1370-EFEITO!$M$1370*EFEITO!$Z$1370</f>
        <v>992.89309191806387</v>
      </c>
      <c r="O1370" s="64">
        <f>$L$1370-EFEITO!$O$1370*EFEITO!$AA$1370</f>
        <v>265.7784277283572</v>
      </c>
      <c r="P1370" s="19"/>
      <c r="Q1370" s="19"/>
      <c r="R1370" s="19"/>
      <c r="S1370" s="19"/>
      <c r="T1370" s="19"/>
      <c r="U1370" s="19"/>
      <c r="V1370" s="19"/>
      <c r="W1370" s="19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ht="11.25" customHeight="1" x14ac:dyDescent="0.2">
      <c r="A1371" s="55" t="s">
        <v>28</v>
      </c>
      <c r="B1371" s="55" t="s">
        <v>41</v>
      </c>
      <c r="C1371" s="55" t="s">
        <v>42</v>
      </c>
      <c r="D1371" s="55" t="s">
        <v>45</v>
      </c>
      <c r="E1371" s="55" t="s">
        <v>25</v>
      </c>
      <c r="F1371" s="55" t="s">
        <v>25</v>
      </c>
      <c r="G1371" s="55" t="s">
        <v>25</v>
      </c>
      <c r="H1371" s="55" t="s">
        <v>34</v>
      </c>
      <c r="I1371" s="63">
        <v>44470</v>
      </c>
      <c r="J1371" s="64">
        <f>EFEITO!$J$1371*EFEITO!$Y$1174</f>
        <v>0</v>
      </c>
      <c r="K1371" s="64">
        <f ca="1">EFEITO!$L$1371*EFEITO!$Z$1174</f>
        <v>7281.0903940096605</v>
      </c>
      <c r="L1371" s="64">
        <f>EFEITO!$N$1371*EFEITO!$AA$1174</f>
        <v>1949.008179047381</v>
      </c>
      <c r="M1371" s="64">
        <f>$J$1371-EFEITO!$K$1371*EFEITO!$Y$1371</f>
        <v>0</v>
      </c>
      <c r="N1371" s="64">
        <f ca="1">$K$1371-EFEITO!$M$1371*EFEITO!$Z$1371</f>
        <v>145.62180788019396</v>
      </c>
      <c r="O1371" s="64">
        <f>$L$1371-EFEITO!$O$1371*EFEITO!$AA$1371</f>
        <v>38.980163580947419</v>
      </c>
      <c r="P1371" s="19"/>
      <c r="Q1371" s="19"/>
      <c r="R1371" s="19"/>
      <c r="S1371" s="19"/>
      <c r="T1371" s="19"/>
      <c r="U1371" s="19"/>
      <c r="V1371" s="19"/>
      <c r="W1371" s="19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</row>
    <row r="1372" spans="1:36" ht="11.25" customHeight="1" x14ac:dyDescent="0.2">
      <c r="A1372" s="55" t="s">
        <v>21</v>
      </c>
      <c r="B1372" s="55" t="s">
        <v>41</v>
      </c>
      <c r="C1372" s="55" t="s">
        <v>42</v>
      </c>
      <c r="D1372" s="55" t="s">
        <v>45</v>
      </c>
      <c r="E1372" s="55" t="s">
        <v>25</v>
      </c>
      <c r="F1372" s="55" t="s">
        <v>25</v>
      </c>
      <c r="G1372" s="55" t="s">
        <v>25</v>
      </c>
      <c r="H1372" s="55" t="s">
        <v>34</v>
      </c>
      <c r="I1372" s="63">
        <v>44501</v>
      </c>
      <c r="J1372" s="64">
        <f>EFEITO!$J$1372*EFEITO!$Y$1174</f>
        <v>0</v>
      </c>
      <c r="K1372" s="64">
        <f ca="1">EFEITO!$L$1372*EFEITO!$Z$1174</f>
        <v>39899.298672977893</v>
      </c>
      <c r="L1372" s="64">
        <f>EFEITO!$N$1372*EFEITO!$AA$1174</f>
        <v>10680.276612946147</v>
      </c>
      <c r="M1372" s="64">
        <f>$J$1372-EFEITO!$K$1372*EFEITO!$Y$1372</f>
        <v>0</v>
      </c>
      <c r="N1372" s="64">
        <f ca="1">$K$1372-EFEITO!$M$1372*EFEITO!$Z$1372</f>
        <v>797.98597345955932</v>
      </c>
      <c r="O1372" s="64">
        <f>$L$1372-EFEITO!$O$1372*EFEITO!$AA$1372</f>
        <v>213.60553225892181</v>
      </c>
      <c r="P1372" s="19"/>
      <c r="Q1372" s="19"/>
      <c r="R1372" s="19"/>
      <c r="S1372" s="19"/>
      <c r="T1372" s="19"/>
      <c r="U1372" s="19"/>
      <c r="V1372" s="19"/>
      <c r="W1372" s="19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ht="11.25" customHeight="1" x14ac:dyDescent="0.2">
      <c r="A1373" s="55" t="s">
        <v>28</v>
      </c>
      <c r="B1373" s="55" t="s">
        <v>41</v>
      </c>
      <c r="C1373" s="55" t="s">
        <v>42</v>
      </c>
      <c r="D1373" s="55" t="s">
        <v>45</v>
      </c>
      <c r="E1373" s="55" t="s">
        <v>25</v>
      </c>
      <c r="F1373" s="55" t="s">
        <v>25</v>
      </c>
      <c r="G1373" s="55" t="s">
        <v>25</v>
      </c>
      <c r="H1373" s="55" t="s">
        <v>34</v>
      </c>
      <c r="I1373" s="63">
        <v>44501</v>
      </c>
      <c r="J1373" s="64">
        <f>EFEITO!$J$1373*EFEITO!$Y$1174</f>
        <v>0</v>
      </c>
      <c r="K1373" s="64">
        <f ca="1">EFEITO!$L$1373*EFEITO!$Z$1174</f>
        <v>7500.4652062506175</v>
      </c>
      <c r="L1373" s="64">
        <f>EFEITO!$N$1373*EFEITO!$AA$1174</f>
        <v>2007.7306066231156</v>
      </c>
      <c r="M1373" s="64">
        <f>$J$1373-EFEITO!$K$1373*EFEITO!$Y$1373</f>
        <v>0</v>
      </c>
      <c r="N1373" s="64">
        <f ca="1">$K$1373-EFEITO!$M$1373*EFEITO!$Z$1373</f>
        <v>150.00930412501293</v>
      </c>
      <c r="O1373" s="64">
        <f>$L$1373-EFEITO!$O$1373*EFEITO!$AA$1373</f>
        <v>40.154612132462262</v>
      </c>
      <c r="P1373" s="19"/>
      <c r="Q1373" s="19"/>
      <c r="R1373" s="19"/>
      <c r="S1373" s="19"/>
      <c r="T1373" s="19"/>
      <c r="U1373" s="19"/>
      <c r="V1373" s="19"/>
      <c r="W1373" s="19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ht="11.25" customHeight="1" x14ac:dyDescent="0.2">
      <c r="A1374" s="55" t="s">
        <v>28</v>
      </c>
      <c r="B1374" s="55" t="s">
        <v>41</v>
      </c>
      <c r="C1374" s="55" t="s">
        <v>42</v>
      </c>
      <c r="D1374" s="55" t="s">
        <v>45</v>
      </c>
      <c r="E1374" s="55" t="s">
        <v>25</v>
      </c>
      <c r="F1374" s="55" t="s">
        <v>25</v>
      </c>
      <c r="G1374" s="55" t="s">
        <v>25</v>
      </c>
      <c r="H1374" s="55" t="s">
        <v>34</v>
      </c>
      <c r="I1374" s="63">
        <v>44501</v>
      </c>
      <c r="J1374" s="64">
        <f>EFEITO!$J$1374*EFEITO!$Y$1174</f>
        <v>0</v>
      </c>
      <c r="K1374" s="64">
        <f ca="1">EFEITO!$L$1374*EFEITO!$Z$1174</f>
        <v>-441.44133996953207</v>
      </c>
      <c r="L1374" s="64">
        <f>EFEITO!$N$1374*EFEITO!$AA$1174</f>
        <v>-118.16537573522014</v>
      </c>
      <c r="M1374" s="64">
        <f>$J$1374-EFEITO!$K$1374*EFEITO!$Y$1374</f>
        <v>0</v>
      </c>
      <c r="N1374" s="64">
        <f ca="1">$K$1374-EFEITO!$M$1374*EFEITO!$Z$1374</f>
        <v>-8.8288267993906402</v>
      </c>
      <c r="O1374" s="64">
        <f>$L$1374-EFEITO!$O$1374*EFEITO!$AA$1374</f>
        <v>-2.3633075147043883</v>
      </c>
      <c r="P1374" s="19"/>
      <c r="Q1374" s="19"/>
      <c r="R1374" s="19"/>
      <c r="S1374" s="19"/>
      <c r="T1374" s="19"/>
      <c r="U1374" s="19"/>
      <c r="V1374" s="19"/>
      <c r="W1374" s="19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ht="11.25" customHeight="1" x14ac:dyDescent="0.2">
      <c r="A1375" s="55" t="s">
        <v>21</v>
      </c>
      <c r="B1375" s="55" t="s">
        <v>41</v>
      </c>
      <c r="C1375" s="55" t="s">
        <v>42</v>
      </c>
      <c r="D1375" s="55" t="s">
        <v>45</v>
      </c>
      <c r="E1375" s="55" t="s">
        <v>25</v>
      </c>
      <c r="F1375" s="55" t="s">
        <v>25</v>
      </c>
      <c r="G1375" s="55" t="s">
        <v>25</v>
      </c>
      <c r="H1375" s="55" t="s">
        <v>34</v>
      </c>
      <c r="I1375" s="63">
        <v>44531</v>
      </c>
      <c r="J1375" s="64">
        <f>EFEITO!$J$1375*EFEITO!$Y$1174</f>
        <v>0</v>
      </c>
      <c r="K1375" s="64">
        <f ca="1">EFEITO!$L$1375*EFEITO!$Z$1174</f>
        <v>68726.225687634622</v>
      </c>
      <c r="L1375" s="64">
        <f>EFEITO!$N$1375*EFEITO!$AA$1174</f>
        <v>18396.691804631148</v>
      </c>
      <c r="M1375" s="64">
        <f>$J$1375-EFEITO!$K$1375*EFEITO!$Y$1375</f>
        <v>0</v>
      </c>
      <c r="N1375" s="64">
        <f ca="1">$K$1375-EFEITO!$M$1375*EFEITO!$Z$1375</f>
        <v>1374.5245137526945</v>
      </c>
      <c r="O1375" s="64">
        <f>$L$1375-EFEITO!$O$1375*EFEITO!$AA$1375</f>
        <v>367.9338360926231</v>
      </c>
      <c r="P1375" s="19"/>
      <c r="Q1375" s="19"/>
      <c r="R1375" s="19"/>
      <c r="S1375" s="19"/>
      <c r="T1375" s="19"/>
      <c r="U1375" s="19"/>
      <c r="V1375" s="19"/>
      <c r="W1375" s="19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ht="11.25" customHeight="1" x14ac:dyDescent="0.2">
      <c r="A1376" s="55" t="s">
        <v>28</v>
      </c>
      <c r="B1376" s="55" t="s">
        <v>41</v>
      </c>
      <c r="C1376" s="55" t="s">
        <v>42</v>
      </c>
      <c r="D1376" s="55" t="s">
        <v>45</v>
      </c>
      <c r="E1376" s="55" t="s">
        <v>25</v>
      </c>
      <c r="F1376" s="55" t="s">
        <v>25</v>
      </c>
      <c r="G1376" s="55" t="s">
        <v>25</v>
      </c>
      <c r="H1376" s="55" t="s">
        <v>34</v>
      </c>
      <c r="I1376" s="63">
        <v>44531</v>
      </c>
      <c r="J1376" s="64">
        <f>EFEITO!$J$1376*EFEITO!$Y$1174</f>
        <v>0</v>
      </c>
      <c r="K1376" s="64">
        <f ca="1">EFEITO!$L$1376*EFEITO!$Z$1174</f>
        <v>7902.8766716496712</v>
      </c>
      <c r="L1376" s="64">
        <f>EFEITO!$N$1376*EFEITO!$AA$1174</f>
        <v>2115.448433893941</v>
      </c>
      <c r="M1376" s="64">
        <f>$J$1376-EFEITO!$K$1376*EFEITO!$Y$1376</f>
        <v>0</v>
      </c>
      <c r="N1376" s="64">
        <f ca="1">$K$1376-EFEITO!$M$1376*EFEITO!$Z$1376</f>
        <v>158.0575334329933</v>
      </c>
      <c r="O1376" s="64">
        <f>$L$1376-EFEITO!$O$1376*EFEITO!$AA$1376</f>
        <v>42.308968677878511</v>
      </c>
      <c r="P1376" s="19"/>
      <c r="Q1376" s="19"/>
      <c r="R1376" s="19"/>
      <c r="S1376" s="19"/>
      <c r="T1376" s="19"/>
      <c r="U1376" s="19"/>
      <c r="V1376" s="19"/>
      <c r="W1376" s="19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</row>
    <row r="1377" spans="1:36" ht="11.25" customHeight="1" x14ac:dyDescent="0.2">
      <c r="A1377" s="55" t="s">
        <v>21</v>
      </c>
      <c r="B1377" s="55" t="s">
        <v>41</v>
      </c>
      <c r="C1377" s="55" t="s">
        <v>42</v>
      </c>
      <c r="D1377" s="55" t="s">
        <v>45</v>
      </c>
      <c r="E1377" s="55" t="s">
        <v>25</v>
      </c>
      <c r="F1377" s="55" t="s">
        <v>25</v>
      </c>
      <c r="G1377" s="55" t="s">
        <v>25</v>
      </c>
      <c r="H1377" s="55" t="s">
        <v>34</v>
      </c>
      <c r="I1377" s="63">
        <v>44562</v>
      </c>
      <c r="J1377" s="64">
        <f>EFEITO!$J$1377*EFEITO!$Y$1174</f>
        <v>0</v>
      </c>
      <c r="K1377" s="64">
        <f ca="1">EFEITO!$L$1377*EFEITO!$Z$1174</f>
        <v>58994.328342147775</v>
      </c>
      <c r="L1377" s="64">
        <f>EFEITO!$N$1377*EFEITO!$AA$1174</f>
        <v>15791.64963407817</v>
      </c>
      <c r="M1377" s="64">
        <f>$J$1377-EFEITO!$K$1377*EFEITO!$Y$1377</f>
        <v>0</v>
      </c>
      <c r="N1377" s="64">
        <f ca="1">$K$1377-EFEITO!$M$1377*EFEITO!$Z$1377</f>
        <v>1179.8865668429571</v>
      </c>
      <c r="O1377" s="64">
        <f>$L$1377-EFEITO!$O$1377*EFEITO!$AA$1377</f>
        <v>315.83299268156225</v>
      </c>
      <c r="P1377" s="19"/>
      <c r="Q1377" s="19"/>
      <c r="R1377" s="19"/>
      <c r="S1377" s="19"/>
      <c r="T1377" s="19"/>
      <c r="U1377" s="19"/>
      <c r="V1377" s="19"/>
      <c r="W1377" s="19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</row>
    <row r="1378" spans="1:36" ht="11.25" customHeight="1" x14ac:dyDescent="0.2">
      <c r="A1378" s="55" t="s">
        <v>28</v>
      </c>
      <c r="B1378" s="55" t="s">
        <v>41</v>
      </c>
      <c r="C1378" s="55" t="s">
        <v>42</v>
      </c>
      <c r="D1378" s="55" t="s">
        <v>45</v>
      </c>
      <c r="E1378" s="55" t="s">
        <v>25</v>
      </c>
      <c r="F1378" s="55" t="s">
        <v>25</v>
      </c>
      <c r="G1378" s="55" t="s">
        <v>25</v>
      </c>
      <c r="H1378" s="55" t="s">
        <v>34</v>
      </c>
      <c r="I1378" s="63">
        <v>44562</v>
      </c>
      <c r="J1378" s="64">
        <f>EFEITO!$J$1378*EFEITO!$Y$1174</f>
        <v>0</v>
      </c>
      <c r="K1378" s="64">
        <f ca="1">EFEITO!$L$1378*EFEITO!$Z$1174</f>
        <v>7215.1433645629922</v>
      </c>
      <c r="L1378" s="64">
        <f>EFEITO!$N$1378*EFEITO!$AA$1174</f>
        <v>1931.3554247454731</v>
      </c>
      <c r="M1378" s="64">
        <f>$J$1378-EFEITO!$K$1378*EFEITO!$Y$1378</f>
        <v>0</v>
      </c>
      <c r="N1378" s="64">
        <f ca="1">$K$1378-EFEITO!$M$1378*EFEITO!$Z$1378</f>
        <v>144.30286729126055</v>
      </c>
      <c r="O1378" s="64">
        <f>$L$1378-EFEITO!$O$1378*EFEITO!$AA$1378</f>
        <v>38.627108494909407</v>
      </c>
      <c r="P1378" s="19"/>
      <c r="Q1378" s="19"/>
      <c r="R1378" s="19"/>
      <c r="S1378" s="19"/>
      <c r="T1378" s="19"/>
      <c r="U1378" s="19"/>
      <c r="V1378" s="19"/>
      <c r="W1378" s="19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</row>
    <row r="1379" spans="1:36" ht="11.25" customHeight="1" x14ac:dyDescent="0.2">
      <c r="A1379" s="55" t="s">
        <v>21</v>
      </c>
      <c r="B1379" s="55" t="s">
        <v>41</v>
      </c>
      <c r="C1379" s="55" t="s">
        <v>42</v>
      </c>
      <c r="D1379" s="55" t="s">
        <v>45</v>
      </c>
      <c r="E1379" s="55" t="s">
        <v>25</v>
      </c>
      <c r="F1379" s="55" t="s">
        <v>25</v>
      </c>
      <c r="G1379" s="55" t="s">
        <v>25</v>
      </c>
      <c r="H1379" s="55" t="s">
        <v>34</v>
      </c>
      <c r="I1379" s="63">
        <v>44593</v>
      </c>
      <c r="J1379" s="64">
        <f>EFEITO!$J$1379*EFEITO!$Y$1174</f>
        <v>0</v>
      </c>
      <c r="K1379" s="64">
        <f ca="1">EFEITO!$L$1379*EFEITO!$Z$1174</f>
        <v>44355.43366273131</v>
      </c>
      <c r="L1379" s="64">
        <f>EFEITO!$N$1379*EFEITO!$AA$1174</f>
        <v>11873.098439346495</v>
      </c>
      <c r="M1379" s="64">
        <f>$J$1379-EFEITO!$K$1379*EFEITO!$Y$1379</f>
        <v>0</v>
      </c>
      <c r="N1379" s="64">
        <f ca="1">$K$1379-EFEITO!$M$1379*EFEITO!$Z$1379</f>
        <v>887.10867325463187</v>
      </c>
      <c r="O1379" s="64">
        <f>$L$1379-EFEITO!$O$1379*EFEITO!$AA$1379</f>
        <v>237.46196878692899</v>
      </c>
      <c r="P1379" s="19"/>
      <c r="Q1379" s="19"/>
      <c r="R1379" s="19"/>
      <c r="S1379" s="19"/>
      <c r="T1379" s="19"/>
      <c r="U1379" s="19"/>
      <c r="V1379" s="19"/>
      <c r="W1379" s="19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</row>
    <row r="1380" spans="1:36" ht="11.25" customHeight="1" x14ac:dyDescent="0.2">
      <c r="A1380" s="55" t="s">
        <v>28</v>
      </c>
      <c r="B1380" s="55" t="s">
        <v>41</v>
      </c>
      <c r="C1380" s="55" t="s">
        <v>42</v>
      </c>
      <c r="D1380" s="55" t="s">
        <v>45</v>
      </c>
      <c r="E1380" s="55" t="s">
        <v>25</v>
      </c>
      <c r="F1380" s="55" t="s">
        <v>25</v>
      </c>
      <c r="G1380" s="55" t="s">
        <v>25</v>
      </c>
      <c r="H1380" s="55" t="s">
        <v>34</v>
      </c>
      <c r="I1380" s="63">
        <v>44593</v>
      </c>
      <c r="J1380" s="64">
        <f>EFEITO!$J$1380*EFEITO!$Y$1174</f>
        <v>0</v>
      </c>
      <c r="K1380" s="64">
        <f ca="1">EFEITO!$L$1380*EFEITO!$Z$1174</f>
        <v>6834.26562306489</v>
      </c>
      <c r="L1380" s="64">
        <f>EFEITO!$N$1380*EFEITO!$AA$1174</f>
        <v>1829.4017621446583</v>
      </c>
      <c r="M1380" s="64">
        <f>$J$1380-EFEITO!$K$1380*EFEITO!$Y$1380</f>
        <v>0</v>
      </c>
      <c r="N1380" s="64">
        <f ca="1">$K$1380-EFEITO!$M$1380*EFEITO!$Z$1380</f>
        <v>136.68531246129805</v>
      </c>
      <c r="O1380" s="64">
        <f>$L$1380-EFEITO!$O$1380*EFEITO!$AA$1380</f>
        <v>36.588035242893056</v>
      </c>
      <c r="P1380" s="19"/>
      <c r="Q1380" s="19"/>
      <c r="R1380" s="19"/>
      <c r="S1380" s="19"/>
      <c r="T1380" s="19"/>
      <c r="U1380" s="19"/>
      <c r="V1380" s="19"/>
      <c r="W1380" s="19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</row>
    <row r="1381" spans="1:36" ht="11.25" customHeight="1" x14ac:dyDescent="0.2">
      <c r="A1381" s="55" t="s">
        <v>21</v>
      </c>
      <c r="B1381" s="55" t="s">
        <v>41</v>
      </c>
      <c r="C1381" s="55" t="s">
        <v>42</v>
      </c>
      <c r="D1381" s="55" t="s">
        <v>45</v>
      </c>
      <c r="E1381" s="55" t="s">
        <v>25</v>
      </c>
      <c r="F1381" s="55" t="s">
        <v>25</v>
      </c>
      <c r="G1381" s="55" t="s">
        <v>25</v>
      </c>
      <c r="H1381" s="55" t="s">
        <v>34</v>
      </c>
      <c r="I1381" s="63">
        <v>44621</v>
      </c>
      <c r="J1381" s="64">
        <f>EFEITO!$J$1381*EFEITO!$Y$1174</f>
        <v>0</v>
      </c>
      <c r="K1381" s="64">
        <f ca="1">EFEITO!$L$1381*EFEITO!$Z$1174</f>
        <v>38109.307873711186</v>
      </c>
      <c r="L1381" s="64">
        <f>EFEITO!$N$1381*EFEITO!$AA$1174</f>
        <v>10201.130424751504</v>
      </c>
      <c r="M1381" s="64">
        <f>$J$1381-EFEITO!$K$1381*EFEITO!$Y$1381</f>
        <v>0</v>
      </c>
      <c r="N1381" s="64">
        <f ca="1">$K$1381-EFEITO!$M$1381*EFEITO!$Z$1381</f>
        <v>762.18615747422155</v>
      </c>
      <c r="O1381" s="64">
        <f>$L$1381-EFEITO!$O$1381*EFEITO!$AA$1381</f>
        <v>204.02260849502818</v>
      </c>
      <c r="P1381" s="19"/>
      <c r="Q1381" s="19"/>
      <c r="R1381" s="19"/>
      <c r="S1381" s="19"/>
      <c r="T1381" s="19"/>
      <c r="U1381" s="19"/>
      <c r="V1381" s="19"/>
      <c r="W1381" s="19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</row>
    <row r="1382" spans="1:36" ht="11.25" customHeight="1" x14ac:dyDescent="0.2">
      <c r="A1382" s="55" t="s">
        <v>27</v>
      </c>
      <c r="B1382" s="55" t="s">
        <v>41</v>
      </c>
      <c r="C1382" s="55" t="s">
        <v>42</v>
      </c>
      <c r="D1382" s="55" t="s">
        <v>45</v>
      </c>
      <c r="E1382" s="55" t="s">
        <v>25</v>
      </c>
      <c r="F1382" s="55" t="s">
        <v>25</v>
      </c>
      <c r="G1382" s="55" t="s">
        <v>25</v>
      </c>
      <c r="H1382" s="55" t="s">
        <v>34</v>
      </c>
      <c r="I1382" s="63">
        <v>44621</v>
      </c>
      <c r="J1382" s="64">
        <f>EFEITO!$J$1382*EFEITO!$Y$1174</f>
        <v>0</v>
      </c>
      <c r="K1382" s="64">
        <f ca="1">EFEITO!$L$1382*EFEITO!$Z$1174</f>
        <v>-5337.6718119486713</v>
      </c>
      <c r="L1382" s="64">
        <f>EFEITO!$N$1382*EFEITO!$AA$1174</f>
        <v>-1428.7923175789119</v>
      </c>
      <c r="M1382" s="64">
        <f>$J$1382-EFEITO!$K$1382*EFEITO!$Y$1382</f>
        <v>0</v>
      </c>
      <c r="N1382" s="64">
        <f ca="1">$K$1382-EFEITO!$M$1382*EFEITO!$Z$1382</f>
        <v>-106.75343623897334</v>
      </c>
      <c r="O1382" s="64">
        <f>$L$1382-EFEITO!$O$1382*EFEITO!$AA$1382</f>
        <v>-28.575846351578321</v>
      </c>
      <c r="P1382" s="19"/>
      <c r="Q1382" s="19"/>
      <c r="R1382" s="19"/>
      <c r="S1382" s="19"/>
      <c r="T1382" s="19"/>
      <c r="U1382" s="19"/>
      <c r="V1382" s="19"/>
      <c r="W1382" s="19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</row>
    <row r="1383" spans="1:36" ht="11.25" customHeight="1" x14ac:dyDescent="0.2">
      <c r="A1383" s="55" t="s">
        <v>28</v>
      </c>
      <c r="B1383" s="55" t="s">
        <v>41</v>
      </c>
      <c r="C1383" s="55" t="s">
        <v>42</v>
      </c>
      <c r="D1383" s="55" t="s">
        <v>45</v>
      </c>
      <c r="E1383" s="55" t="s">
        <v>25</v>
      </c>
      <c r="F1383" s="55" t="s">
        <v>25</v>
      </c>
      <c r="G1383" s="55" t="s">
        <v>25</v>
      </c>
      <c r="H1383" s="55" t="s">
        <v>34</v>
      </c>
      <c r="I1383" s="63">
        <v>44621</v>
      </c>
      <c r="J1383" s="64">
        <f>EFEITO!$J$1383*EFEITO!$Y$1174</f>
        <v>0</v>
      </c>
      <c r="K1383" s="64">
        <f ca="1">EFEITO!$L$1383*EFEITO!$Z$1174</f>
        <v>6935.2049538506053</v>
      </c>
      <c r="L1383" s="64">
        <f>EFEITO!$N$1383*EFEITO!$AA$1174</f>
        <v>1856.4212840353334</v>
      </c>
      <c r="M1383" s="64">
        <f>$J$1383-EFEITO!$K$1383*EFEITO!$Y$1383</f>
        <v>0</v>
      </c>
      <c r="N1383" s="64">
        <f ca="1">$K$1383-EFEITO!$M$1383*EFEITO!$Z$1383</f>
        <v>138.70409907701196</v>
      </c>
      <c r="O1383" s="64">
        <f>$L$1383-EFEITO!$O$1383*EFEITO!$AA$1383</f>
        <v>37.128425680706641</v>
      </c>
      <c r="P1383" s="19"/>
      <c r="Q1383" s="19"/>
      <c r="R1383" s="19"/>
      <c r="S1383" s="19"/>
      <c r="T1383" s="19"/>
      <c r="U1383" s="19"/>
      <c r="V1383" s="19"/>
      <c r="W1383" s="19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</row>
    <row r="1384" spans="1:36" ht="11.25" customHeight="1" x14ac:dyDescent="0.2">
      <c r="A1384" s="55" t="s">
        <v>21</v>
      </c>
      <c r="B1384" s="55" t="s">
        <v>41</v>
      </c>
      <c r="C1384" s="55" t="s">
        <v>42</v>
      </c>
      <c r="D1384" s="55" t="s">
        <v>45</v>
      </c>
      <c r="E1384" s="55" t="s">
        <v>25</v>
      </c>
      <c r="F1384" s="55" t="s">
        <v>25</v>
      </c>
      <c r="G1384" s="55" t="s">
        <v>25</v>
      </c>
      <c r="H1384" s="55" t="s">
        <v>34</v>
      </c>
      <c r="I1384" s="63">
        <v>44652</v>
      </c>
      <c r="J1384" s="64">
        <f>EFEITO!$J$1384*EFEITO!$Y$1174</f>
        <v>0</v>
      </c>
      <c r="K1384" s="64">
        <f ca="1">EFEITO!$L$1384*EFEITO!$Z$1174</f>
        <v>47807.558775602796</v>
      </c>
      <c r="L1384" s="64">
        <f>EFEITO!$N$1384*EFEITO!$AA$1174</f>
        <v>12797.166088007591</v>
      </c>
      <c r="M1384" s="64">
        <f>$J$1384-EFEITO!$K$1384*EFEITO!$Y$1384</f>
        <v>0</v>
      </c>
      <c r="N1384" s="64">
        <f ca="1">$K$1384-EFEITO!$M$1384*EFEITO!$Z$1384</f>
        <v>956.15117551205913</v>
      </c>
      <c r="O1384" s="64">
        <f>$L$1384-EFEITO!$O$1384*EFEITO!$AA$1384</f>
        <v>255.94332176015087</v>
      </c>
      <c r="P1384" s="19"/>
      <c r="Q1384" s="19"/>
      <c r="R1384" s="19"/>
      <c r="S1384" s="19"/>
      <c r="T1384" s="19"/>
      <c r="U1384" s="19"/>
      <c r="V1384" s="19"/>
      <c r="W1384" s="19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</row>
    <row r="1385" spans="1:36" ht="11.25" customHeight="1" x14ac:dyDescent="0.2">
      <c r="A1385" s="55" t="s">
        <v>27</v>
      </c>
      <c r="B1385" s="55" t="s">
        <v>41</v>
      </c>
      <c r="C1385" s="55" t="s">
        <v>42</v>
      </c>
      <c r="D1385" s="55" t="s">
        <v>45</v>
      </c>
      <c r="E1385" s="55" t="s">
        <v>25</v>
      </c>
      <c r="F1385" s="55" t="s">
        <v>25</v>
      </c>
      <c r="G1385" s="55" t="s">
        <v>25</v>
      </c>
      <c r="H1385" s="55" t="s">
        <v>34</v>
      </c>
      <c r="I1385" s="63">
        <v>44652</v>
      </c>
      <c r="J1385" s="64">
        <f>EFEITO!$J$1385*EFEITO!$Y$1174</f>
        <v>0</v>
      </c>
      <c r="K1385" s="64">
        <f ca="1">EFEITO!$L$1385*EFEITO!$Z$1174</f>
        <v>204.57037705905145</v>
      </c>
      <c r="L1385" s="64">
        <f>EFEITO!$N$1385*EFEITO!$AA$1174</f>
        <v>54.759564365102015</v>
      </c>
      <c r="M1385" s="64">
        <f>$J$1385-EFEITO!$K$1385*EFEITO!$Y$1385</f>
        <v>0</v>
      </c>
      <c r="N1385" s="64">
        <f ca="1">$K$1385-EFEITO!$M$1385*EFEITO!$Z$1385</f>
        <v>4.0914075411810416</v>
      </c>
      <c r="O1385" s="64">
        <f>$L$1385-EFEITO!$O$1385*EFEITO!$AA$1385</f>
        <v>1.0951912873020362</v>
      </c>
      <c r="P1385" s="19"/>
      <c r="Q1385" s="19"/>
      <c r="R1385" s="19"/>
      <c r="S1385" s="19"/>
      <c r="T1385" s="19"/>
      <c r="U1385" s="19"/>
      <c r="V1385" s="19"/>
      <c r="W1385" s="19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</row>
    <row r="1386" spans="1:36" ht="11.25" customHeight="1" x14ac:dyDescent="0.2">
      <c r="A1386" s="55" t="s">
        <v>28</v>
      </c>
      <c r="B1386" s="55" t="s">
        <v>41</v>
      </c>
      <c r="C1386" s="55" t="s">
        <v>42</v>
      </c>
      <c r="D1386" s="55" t="s">
        <v>45</v>
      </c>
      <c r="E1386" s="55" t="s">
        <v>25</v>
      </c>
      <c r="F1386" s="55" t="s">
        <v>25</v>
      </c>
      <c r="G1386" s="55" t="s">
        <v>25</v>
      </c>
      <c r="H1386" s="55" t="s">
        <v>34</v>
      </c>
      <c r="I1386" s="63">
        <v>44652</v>
      </c>
      <c r="J1386" s="64">
        <f>EFEITO!$J$1386*EFEITO!$Y$1174</f>
        <v>0</v>
      </c>
      <c r="K1386" s="64">
        <f ca="1">EFEITO!$L$1386*EFEITO!$Z$1174</f>
        <v>6313.4186762105937</v>
      </c>
      <c r="L1386" s="64">
        <f>EFEITO!$N$1386*EFEITO!$AA$1174</f>
        <v>1689.9810291887734</v>
      </c>
      <c r="M1386" s="64">
        <f>$J$1386-EFEITO!$K$1386*EFEITO!$Y$1386</f>
        <v>0</v>
      </c>
      <c r="N1386" s="64">
        <f ca="1">$K$1386-EFEITO!$M$1386*EFEITO!$Z$1386</f>
        <v>126.26837352421171</v>
      </c>
      <c r="O1386" s="64">
        <f>$L$1386-EFEITO!$O$1386*EFEITO!$AA$1386</f>
        <v>33.799620583775322</v>
      </c>
      <c r="P1386" s="19"/>
      <c r="Q1386" s="19"/>
      <c r="R1386" s="19"/>
      <c r="S1386" s="19"/>
      <c r="T1386" s="19"/>
      <c r="U1386" s="19"/>
      <c r="V1386" s="19"/>
      <c r="W1386" s="19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</row>
    <row r="1387" spans="1:36" ht="11.25" customHeight="1" x14ac:dyDescent="0.2">
      <c r="A1387" s="55" t="s">
        <v>28</v>
      </c>
      <c r="B1387" s="55" t="s">
        <v>41</v>
      </c>
      <c r="C1387" s="55" t="s">
        <v>42</v>
      </c>
      <c r="D1387" s="55" t="s">
        <v>45</v>
      </c>
      <c r="E1387" s="55" t="s">
        <v>25</v>
      </c>
      <c r="F1387" s="55" t="s">
        <v>25</v>
      </c>
      <c r="G1387" s="55" t="s">
        <v>25</v>
      </c>
      <c r="H1387" s="55" t="s">
        <v>34</v>
      </c>
      <c r="I1387" s="63">
        <v>44652</v>
      </c>
      <c r="J1387" s="64">
        <f>EFEITO!$J$1387*EFEITO!$Y$1174</f>
        <v>0</v>
      </c>
      <c r="K1387" s="64">
        <f ca="1">EFEITO!$L$1387*EFEITO!$Z$1174</f>
        <v>-68.63874493428699</v>
      </c>
      <c r="L1387" s="64">
        <f>EFEITO!$N$1387*EFEITO!$AA$1174</f>
        <v>-18.373274885659228</v>
      </c>
      <c r="M1387" s="64">
        <f>$J$1387-EFEITO!$K$1387*EFEITO!$Y$1387</f>
        <v>0</v>
      </c>
      <c r="N1387" s="64">
        <f ca="1">$K$1387-EFEITO!$M$1387*EFEITO!$Z$1387</f>
        <v>-1.3727748986857335</v>
      </c>
      <c r="O1387" s="64">
        <f>$L$1387-EFEITO!$O$1387*EFEITO!$AA$1387</f>
        <v>-0.36746549771318371</v>
      </c>
      <c r="P1387" s="19"/>
      <c r="Q1387" s="19"/>
      <c r="R1387" s="19"/>
      <c r="S1387" s="19"/>
      <c r="T1387" s="19"/>
      <c r="U1387" s="19"/>
      <c r="V1387" s="19"/>
      <c r="W1387" s="19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</row>
    <row r="1388" spans="1:36" ht="11.25" customHeight="1" x14ac:dyDescent="0.2">
      <c r="A1388" s="55" t="s">
        <v>21</v>
      </c>
      <c r="B1388" s="55" t="s">
        <v>41</v>
      </c>
      <c r="C1388" s="55" t="s">
        <v>42</v>
      </c>
      <c r="D1388" s="55" t="s">
        <v>45</v>
      </c>
      <c r="E1388" s="55" t="s">
        <v>25</v>
      </c>
      <c r="F1388" s="55" t="s">
        <v>25</v>
      </c>
      <c r="G1388" s="55" t="s">
        <v>25</v>
      </c>
      <c r="H1388" s="55" t="s">
        <v>34</v>
      </c>
      <c r="I1388" s="63">
        <v>44682</v>
      </c>
      <c r="J1388" s="64">
        <f>EFEITO!$J$1388*EFEITO!$Y$1174</f>
        <v>0</v>
      </c>
      <c r="K1388" s="64">
        <f ca="1">EFEITO!$L$1388*EFEITO!$Z$1174</f>
        <v>56281.079130627717</v>
      </c>
      <c r="L1388" s="64">
        <f>EFEITO!$N$1388*EFEITO!$AA$1174</f>
        <v>15065.364885656816</v>
      </c>
      <c r="M1388" s="64">
        <f>$J$1388-EFEITO!$K$1388*EFEITO!$Y$1388</f>
        <v>0</v>
      </c>
      <c r="N1388" s="64">
        <f ca="1">$K$1388-EFEITO!$M$1388*EFEITO!$Z$1388</f>
        <v>1125.6215826125554</v>
      </c>
      <c r="O1388" s="64">
        <f>$L$1388-EFEITO!$O$1388*EFEITO!$AA$1388</f>
        <v>301.30729771313599</v>
      </c>
      <c r="P1388" s="19"/>
      <c r="Q1388" s="19"/>
      <c r="R1388" s="19"/>
      <c r="S1388" s="19"/>
      <c r="T1388" s="19"/>
      <c r="U1388" s="19"/>
      <c r="V1388" s="19"/>
      <c r="W1388" s="19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</row>
    <row r="1389" spans="1:36" ht="11.25" customHeight="1" x14ac:dyDescent="0.2">
      <c r="A1389" s="55" t="s">
        <v>28</v>
      </c>
      <c r="B1389" s="55" t="s">
        <v>41</v>
      </c>
      <c r="C1389" s="55" t="s">
        <v>42</v>
      </c>
      <c r="D1389" s="55" t="s">
        <v>45</v>
      </c>
      <c r="E1389" s="55" t="s">
        <v>25</v>
      </c>
      <c r="F1389" s="55" t="s">
        <v>25</v>
      </c>
      <c r="G1389" s="55" t="s">
        <v>25</v>
      </c>
      <c r="H1389" s="55" t="s">
        <v>34</v>
      </c>
      <c r="I1389" s="63">
        <v>44682</v>
      </c>
      <c r="J1389" s="64">
        <f>EFEITO!$J$1389*EFEITO!$Y$1174</f>
        <v>0</v>
      </c>
      <c r="K1389" s="64">
        <f ca="1">EFEITO!$L$1389*EFEITO!$Z$1174</f>
        <v>6787.1606020315558</v>
      </c>
      <c r="L1389" s="64">
        <f>EFEITO!$N$1389*EFEITO!$AA$1174</f>
        <v>1816.7926519290097</v>
      </c>
      <c r="M1389" s="64">
        <f>$J$1389-EFEITO!$K$1389*EFEITO!$Y$1389</f>
        <v>0</v>
      </c>
      <c r="N1389" s="64">
        <f ca="1">$K$1389-EFEITO!$M$1389*EFEITO!$Z$1389</f>
        <v>135.74321204063108</v>
      </c>
      <c r="O1389" s="64">
        <f>$L$1389-EFEITO!$O$1389*EFEITO!$AA$1389</f>
        <v>36.335853038580126</v>
      </c>
      <c r="P1389" s="19"/>
      <c r="Q1389" s="19"/>
      <c r="R1389" s="19"/>
      <c r="S1389" s="19"/>
      <c r="T1389" s="19"/>
      <c r="U1389" s="19"/>
      <c r="V1389" s="19"/>
      <c r="W1389" s="19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</row>
    <row r="1390" spans="1:36" ht="11.25" customHeight="1" x14ac:dyDescent="0.2">
      <c r="A1390" s="55" t="s">
        <v>21</v>
      </c>
      <c r="B1390" s="55" t="s">
        <v>41</v>
      </c>
      <c r="C1390" s="55" t="s">
        <v>42</v>
      </c>
      <c r="D1390" s="55" t="s">
        <v>45</v>
      </c>
      <c r="E1390" s="55" t="s">
        <v>25</v>
      </c>
      <c r="F1390" s="55" t="s">
        <v>25</v>
      </c>
      <c r="G1390" s="55" t="s">
        <v>25</v>
      </c>
      <c r="H1390" s="55" t="s">
        <v>34</v>
      </c>
      <c r="I1390" s="63">
        <v>44713</v>
      </c>
      <c r="J1390" s="64">
        <f>EFEITO!$J$1390*EFEITO!$Y$1174</f>
        <v>0</v>
      </c>
      <c r="K1390" s="64">
        <f ca="1">EFEITO!$L$1390*EFEITO!$Z$1174</f>
        <v>46593.595090686584</v>
      </c>
      <c r="L1390" s="64">
        <f>EFEITO!$N$1390*EFEITO!$AA$1174</f>
        <v>12472.211304735734</v>
      </c>
      <c r="M1390" s="64">
        <f>$J$1390-EFEITO!$K$1390*EFEITO!$Y$1390</f>
        <v>0</v>
      </c>
      <c r="N1390" s="64">
        <f ca="1">$K$1390-EFEITO!$M$1390*EFEITO!$Z$1390</f>
        <v>931.87190181373444</v>
      </c>
      <c r="O1390" s="64">
        <f>$L$1390-EFEITO!$O$1390*EFEITO!$AA$1390</f>
        <v>249.4442260947144</v>
      </c>
      <c r="P1390" s="19"/>
      <c r="Q1390" s="19"/>
      <c r="R1390" s="19"/>
      <c r="S1390" s="19"/>
      <c r="T1390" s="19"/>
      <c r="U1390" s="19"/>
      <c r="V1390" s="19"/>
      <c r="W1390" s="19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</row>
    <row r="1391" spans="1:36" ht="11.25" customHeight="1" x14ac:dyDescent="0.2">
      <c r="A1391" s="55" t="s">
        <v>28</v>
      </c>
      <c r="B1391" s="55" t="s">
        <v>41</v>
      </c>
      <c r="C1391" s="55" t="s">
        <v>42</v>
      </c>
      <c r="D1391" s="55" t="s">
        <v>45</v>
      </c>
      <c r="E1391" s="55" t="s">
        <v>25</v>
      </c>
      <c r="F1391" s="55" t="s">
        <v>25</v>
      </c>
      <c r="G1391" s="55" t="s">
        <v>25</v>
      </c>
      <c r="H1391" s="55" t="s">
        <v>34</v>
      </c>
      <c r="I1391" s="63">
        <v>44713</v>
      </c>
      <c r="J1391" s="64">
        <f>EFEITO!$J$1391*EFEITO!$Y$1174</f>
        <v>0</v>
      </c>
      <c r="K1391" s="64">
        <f ca="1">EFEITO!$L$1391*EFEITO!$Z$1174</f>
        <v>5893.5110601420147</v>
      </c>
      <c r="L1391" s="64">
        <f>EFEITO!$N$1391*EFEITO!$AA$1174</f>
        <v>1577.5798181235639</v>
      </c>
      <c r="M1391" s="64">
        <f>$J$1391-EFEITO!$K$1391*EFEITO!$Y$1391</f>
        <v>0</v>
      </c>
      <c r="N1391" s="64">
        <f ca="1">$K$1391-EFEITO!$M$1391*EFEITO!$Z$1391</f>
        <v>117.87022120284109</v>
      </c>
      <c r="O1391" s="64">
        <f>$L$1391-EFEITO!$O$1391*EFEITO!$AA$1391</f>
        <v>31.551596362471173</v>
      </c>
      <c r="P1391" s="19"/>
      <c r="Q1391" s="19"/>
      <c r="R1391" s="19"/>
      <c r="S1391" s="19"/>
      <c r="T1391" s="19"/>
      <c r="U1391" s="19"/>
      <c r="V1391" s="19"/>
      <c r="W1391" s="19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</row>
    <row r="1392" spans="1:36" ht="11.25" customHeight="1" x14ac:dyDescent="0.2">
      <c r="A1392" s="55" t="s">
        <v>57</v>
      </c>
      <c r="B1392" s="55" t="s">
        <v>41</v>
      </c>
      <c r="C1392" s="55" t="s">
        <v>42</v>
      </c>
      <c r="D1392" s="55" t="s">
        <v>45</v>
      </c>
      <c r="E1392" s="55" t="s">
        <v>25</v>
      </c>
      <c r="F1392" s="55" t="s">
        <v>25</v>
      </c>
      <c r="G1392" s="55" t="s">
        <v>25</v>
      </c>
      <c r="H1392" s="55" t="s">
        <v>34</v>
      </c>
      <c r="I1392" s="63">
        <v>44743</v>
      </c>
      <c r="J1392" s="64">
        <f>EFEITO!$J$1392*EFEITO!$Y$1174</f>
        <v>0</v>
      </c>
      <c r="K1392" s="64">
        <f ca="1">EFEITO!$L$1392*EFEITO!$Z$1174</f>
        <v>46593.595090686584</v>
      </c>
      <c r="L1392" s="64">
        <f>EFEITO!$N$1392*EFEITO!$AA$1174</f>
        <v>12472.211304735734</v>
      </c>
      <c r="M1392" s="64">
        <f>$J$1392-EFEITO!$K$1392*EFEITO!$Y$1392</f>
        <v>0</v>
      </c>
      <c r="N1392" s="64">
        <f ca="1">$K$1392-EFEITO!$M$1392*EFEITO!$Z$1392</f>
        <v>931.87190181373444</v>
      </c>
      <c r="O1392" s="64">
        <f>$L$1392-EFEITO!$O$1392*EFEITO!$AA$1392</f>
        <v>249.4442260947144</v>
      </c>
      <c r="P1392" s="19"/>
      <c r="Q1392" s="19"/>
      <c r="R1392" s="19"/>
      <c r="S1392" s="19"/>
      <c r="T1392" s="19"/>
      <c r="U1392" s="19"/>
      <c r="V1392" s="19"/>
      <c r="W1392" s="19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</row>
    <row r="1393" spans="1:36" ht="11.25" customHeight="1" x14ac:dyDescent="0.2">
      <c r="A1393" s="55" t="s">
        <v>57</v>
      </c>
      <c r="B1393" s="55" t="s">
        <v>41</v>
      </c>
      <c r="C1393" s="55" t="s">
        <v>42</v>
      </c>
      <c r="D1393" s="55" t="s">
        <v>45</v>
      </c>
      <c r="E1393" s="55" t="s">
        <v>25</v>
      </c>
      <c r="F1393" s="55" t="s">
        <v>25</v>
      </c>
      <c r="G1393" s="55" t="s">
        <v>25</v>
      </c>
      <c r="H1393" s="55" t="s">
        <v>34</v>
      </c>
      <c r="I1393" s="63">
        <v>44743</v>
      </c>
      <c r="J1393" s="64">
        <f>EFEITO!$J$1393*EFEITO!$Y$1174</f>
        <v>0</v>
      </c>
      <c r="K1393" s="64">
        <f ca="1">EFEITO!$L$1393*EFEITO!$Z$1174</f>
        <v>5893.5110601420147</v>
      </c>
      <c r="L1393" s="64">
        <f>EFEITO!$N$1393*EFEITO!$AA$1174</f>
        <v>1577.5798181235639</v>
      </c>
      <c r="M1393" s="64">
        <f>$J$1393-EFEITO!$K$1393*EFEITO!$Y$1393</f>
        <v>0</v>
      </c>
      <c r="N1393" s="64">
        <f ca="1">$K$1393-EFEITO!$M$1393*EFEITO!$Z$1393</f>
        <v>117.87022120284109</v>
      </c>
      <c r="O1393" s="64">
        <f>$L$1393-EFEITO!$O$1393*EFEITO!$AA$1393</f>
        <v>31.551596362471173</v>
      </c>
      <c r="P1393" s="19"/>
      <c r="Q1393" s="19"/>
      <c r="R1393" s="19"/>
      <c r="S1393" s="19"/>
      <c r="T1393" s="19"/>
      <c r="U1393" s="19"/>
      <c r="V1393" s="19"/>
      <c r="W1393" s="19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</row>
    <row r="1394" spans="1:36" ht="11.25" customHeight="1" x14ac:dyDescent="0.2">
      <c r="A1394" s="55" t="s">
        <v>21</v>
      </c>
      <c r="B1394" s="55" t="s">
        <v>41</v>
      </c>
      <c r="C1394" s="55" t="s">
        <v>42</v>
      </c>
      <c r="D1394" s="55" t="s">
        <v>50</v>
      </c>
      <c r="E1394" s="55" t="s">
        <v>51</v>
      </c>
      <c r="F1394" s="55" t="s">
        <v>25</v>
      </c>
      <c r="G1394" s="55" t="s">
        <v>25</v>
      </c>
      <c r="H1394" s="55" t="s">
        <v>35</v>
      </c>
      <c r="I1394" s="63">
        <v>44409</v>
      </c>
      <c r="J1394" s="64">
        <f>EFEITO!$J$1394*EFEITO!$Y$1120</f>
        <v>0</v>
      </c>
      <c r="K1394" s="64">
        <f ca="1">EFEITO!$L$1394*EFEITO!$Z$1120</f>
        <v>166685.52179153942</v>
      </c>
      <c r="L1394" s="64">
        <f>EFEITO!$N$1394*EFEITO!$AA$1120</f>
        <v>496062.52719108126</v>
      </c>
      <c r="M1394" s="64">
        <f>$J$1394-EFEITO!$K$1394*EFEITO!$Y$1394</f>
        <v>0</v>
      </c>
      <c r="N1394" s="64">
        <f ca="1">$K$1394-EFEITO!$M$1394*EFEITO!$Z$1394</f>
        <v>5000.5656537461909</v>
      </c>
      <c r="O1394" s="64">
        <f>$L$1394-EFEITO!$O$1394*EFEITO!$AA$1394</f>
        <v>14881.875815732463</v>
      </c>
      <c r="P1394" s="19"/>
      <c r="Q1394" s="19"/>
      <c r="R1394" s="19"/>
      <c r="S1394" s="19"/>
      <c r="T1394" s="19"/>
      <c r="U1394" s="19"/>
      <c r="V1394" s="19"/>
      <c r="W1394" s="19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</row>
    <row r="1395" spans="1:36" ht="11.25" customHeight="1" x14ac:dyDescent="0.2">
      <c r="A1395" s="55" t="s">
        <v>21</v>
      </c>
      <c r="B1395" s="55" t="s">
        <v>41</v>
      </c>
      <c r="C1395" s="55" t="s">
        <v>42</v>
      </c>
      <c r="D1395" s="55" t="s">
        <v>50</v>
      </c>
      <c r="E1395" s="55" t="s">
        <v>51</v>
      </c>
      <c r="F1395" s="55" t="s">
        <v>25</v>
      </c>
      <c r="G1395" s="55" t="s">
        <v>25</v>
      </c>
      <c r="H1395" s="55" t="s">
        <v>35</v>
      </c>
      <c r="I1395" s="63">
        <v>44440</v>
      </c>
      <c r="J1395" s="64">
        <f>EFEITO!$J$1395*EFEITO!$Y$1120</f>
        <v>0</v>
      </c>
      <c r="K1395" s="64">
        <f ca="1">EFEITO!$L$1395*EFEITO!$Z$1120</f>
        <v>155974.35109761939</v>
      </c>
      <c r="L1395" s="64">
        <f>EFEITO!$N$1395*EFEITO!$AA$1120</f>
        <v>464185.67102209688</v>
      </c>
      <c r="M1395" s="64">
        <f>$J$1395-EFEITO!$K$1395*EFEITO!$Y$1395</f>
        <v>0</v>
      </c>
      <c r="N1395" s="64">
        <f ca="1">$K$1395-EFEITO!$M$1395*EFEITO!$Z$1395</f>
        <v>4679.2305329285737</v>
      </c>
      <c r="O1395" s="64">
        <f>$L$1395-EFEITO!$O$1395*EFEITO!$AA$1395</f>
        <v>13925.570130662876</v>
      </c>
      <c r="P1395" s="19"/>
      <c r="Q1395" s="19"/>
      <c r="R1395" s="19"/>
      <c r="S1395" s="19"/>
      <c r="T1395" s="19"/>
      <c r="U1395" s="19"/>
      <c r="V1395" s="19"/>
      <c r="W1395" s="19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</row>
    <row r="1396" spans="1:36" ht="11.25" customHeight="1" x14ac:dyDescent="0.2">
      <c r="A1396" s="55" t="s">
        <v>21</v>
      </c>
      <c r="B1396" s="55" t="s">
        <v>41</v>
      </c>
      <c r="C1396" s="55" t="s">
        <v>42</v>
      </c>
      <c r="D1396" s="55" t="s">
        <v>50</v>
      </c>
      <c r="E1396" s="55" t="s">
        <v>51</v>
      </c>
      <c r="F1396" s="55" t="s">
        <v>25</v>
      </c>
      <c r="G1396" s="55" t="s">
        <v>25</v>
      </c>
      <c r="H1396" s="55" t="s">
        <v>35</v>
      </c>
      <c r="I1396" s="63">
        <v>44470</v>
      </c>
      <c r="J1396" s="64">
        <f>EFEITO!$J$1396*EFEITO!$Y$1120</f>
        <v>0</v>
      </c>
      <c r="K1396" s="64">
        <f ca="1">EFEITO!$L$1396*EFEITO!$Z$1120</f>
        <v>164159.91868574172</v>
      </c>
      <c r="L1396" s="64">
        <f>EFEITO!$N$1396*EFEITO!$AA$1120</f>
        <v>488546.23515876848</v>
      </c>
      <c r="M1396" s="64">
        <f>$J$1396-EFEITO!$K$1396*EFEITO!$Y$1396</f>
        <v>0</v>
      </c>
      <c r="N1396" s="64">
        <f ca="1">$K$1396-EFEITO!$M$1396*EFEITO!$Z$1396</f>
        <v>4924.7975605722459</v>
      </c>
      <c r="O1396" s="64">
        <f>$L$1396-EFEITO!$O$1396*EFEITO!$AA$1396</f>
        <v>14656.387054763094</v>
      </c>
      <c r="P1396" s="19"/>
      <c r="Q1396" s="19"/>
      <c r="R1396" s="19"/>
      <c r="S1396" s="19"/>
      <c r="T1396" s="19"/>
      <c r="U1396" s="19"/>
      <c r="V1396" s="19"/>
      <c r="W1396" s="19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</row>
    <row r="1397" spans="1:36" ht="11.25" customHeight="1" x14ac:dyDescent="0.2">
      <c r="A1397" s="55" t="s">
        <v>21</v>
      </c>
      <c r="B1397" s="55" t="s">
        <v>41</v>
      </c>
      <c r="C1397" s="55" t="s">
        <v>42</v>
      </c>
      <c r="D1397" s="55" t="s">
        <v>50</v>
      </c>
      <c r="E1397" s="55" t="s">
        <v>51</v>
      </c>
      <c r="F1397" s="55" t="s">
        <v>25</v>
      </c>
      <c r="G1397" s="55" t="s">
        <v>25</v>
      </c>
      <c r="H1397" s="55" t="s">
        <v>35</v>
      </c>
      <c r="I1397" s="63">
        <v>44501</v>
      </c>
      <c r="J1397" s="64">
        <f>EFEITO!$J$1397*EFEITO!$Y$1120</f>
        <v>0</v>
      </c>
      <c r="K1397" s="64">
        <f ca="1">EFEITO!$L$1397*EFEITO!$Z$1120</f>
        <v>172828.86385943607</v>
      </c>
      <c r="L1397" s="64">
        <f>EFEITO!$N$1397*EFEITO!$AA$1120</f>
        <v>514345.34959128551</v>
      </c>
      <c r="M1397" s="64">
        <f>$J$1397-EFEITO!$K$1397*EFEITO!$Y$1397</f>
        <v>0</v>
      </c>
      <c r="N1397" s="64">
        <f ca="1">$K$1397-EFEITO!$M$1397*EFEITO!$Z$1397</f>
        <v>5184.8659157830698</v>
      </c>
      <c r="O1397" s="64">
        <f>$L$1397-EFEITO!$O$1397*EFEITO!$AA$1397</f>
        <v>15430.360487738566</v>
      </c>
      <c r="P1397" s="19"/>
      <c r="Q1397" s="19"/>
      <c r="R1397" s="19"/>
      <c r="S1397" s="19"/>
      <c r="T1397" s="19"/>
      <c r="U1397" s="19"/>
      <c r="V1397" s="19"/>
      <c r="W1397" s="19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</row>
    <row r="1398" spans="1:36" ht="11.25" customHeight="1" x14ac:dyDescent="0.2">
      <c r="A1398" s="55" t="s">
        <v>21</v>
      </c>
      <c r="B1398" s="55" t="s">
        <v>41</v>
      </c>
      <c r="C1398" s="55" t="s">
        <v>42</v>
      </c>
      <c r="D1398" s="55" t="s">
        <v>50</v>
      </c>
      <c r="E1398" s="55" t="s">
        <v>51</v>
      </c>
      <c r="F1398" s="55" t="s">
        <v>25</v>
      </c>
      <c r="G1398" s="55" t="s">
        <v>25</v>
      </c>
      <c r="H1398" s="55" t="s">
        <v>35</v>
      </c>
      <c r="I1398" s="63">
        <v>44531</v>
      </c>
      <c r="J1398" s="64">
        <f>EFEITO!$J$1398*EFEITO!$Y$1120</f>
        <v>0</v>
      </c>
      <c r="K1398" s="64">
        <f ca="1">EFEITO!$L$1398*EFEITO!$Z$1120</f>
        <v>159571.29711379478</v>
      </c>
      <c r="L1398" s="64">
        <f>EFEITO!$N$1398*EFEITO!$AA$1120</f>
        <v>474890.32078277227</v>
      </c>
      <c r="M1398" s="64">
        <f>$J$1398-EFEITO!$K$1398*EFEITO!$Y$1398</f>
        <v>0</v>
      </c>
      <c r="N1398" s="64">
        <f ca="1">$K$1398-EFEITO!$M$1398*EFEITO!$Z$1398</f>
        <v>4787.1389134138299</v>
      </c>
      <c r="O1398" s="64">
        <f>$L$1398-EFEITO!$O$1398*EFEITO!$AA$1398</f>
        <v>14246.709623483184</v>
      </c>
      <c r="P1398" s="19"/>
      <c r="Q1398" s="19"/>
      <c r="R1398" s="19"/>
      <c r="S1398" s="19"/>
      <c r="T1398" s="19"/>
      <c r="U1398" s="19"/>
      <c r="V1398" s="19"/>
      <c r="W1398" s="19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</row>
    <row r="1399" spans="1:36" ht="11.25" customHeight="1" x14ac:dyDescent="0.2">
      <c r="A1399" s="55" t="s">
        <v>21</v>
      </c>
      <c r="B1399" s="55" t="s">
        <v>41</v>
      </c>
      <c r="C1399" s="55" t="s">
        <v>42</v>
      </c>
      <c r="D1399" s="55" t="s">
        <v>50</v>
      </c>
      <c r="E1399" s="55" t="s">
        <v>51</v>
      </c>
      <c r="F1399" s="55" t="s">
        <v>25</v>
      </c>
      <c r="G1399" s="55" t="s">
        <v>25</v>
      </c>
      <c r="H1399" s="55" t="s">
        <v>35</v>
      </c>
      <c r="I1399" s="63">
        <v>44562</v>
      </c>
      <c r="J1399" s="64">
        <f>EFEITO!$J$1399*EFEITO!$Y$1120</f>
        <v>0</v>
      </c>
      <c r="K1399" s="64">
        <f ca="1">EFEITO!$L$1399*EFEITO!$Z$1120</f>
        <v>175817.05160488217</v>
      </c>
      <c r="L1399" s="64">
        <f>EFEITO!$N$1399*EFEITO!$AA$1120</f>
        <v>523238.31131222763</v>
      </c>
      <c r="M1399" s="64">
        <f>$J$1399-EFEITO!$K$1399*EFEITO!$Y$1399</f>
        <v>0</v>
      </c>
      <c r="N1399" s="64">
        <f ca="1">$K$1399-EFEITO!$M$1399*EFEITO!$Z$1399</f>
        <v>5274.51154814646</v>
      </c>
      <c r="O1399" s="64">
        <f>$L$1399-EFEITO!$O$1399*EFEITO!$AA$1399</f>
        <v>15697.149339366821</v>
      </c>
      <c r="P1399" s="19"/>
      <c r="Q1399" s="19"/>
      <c r="R1399" s="19"/>
      <c r="S1399" s="19"/>
      <c r="T1399" s="19"/>
      <c r="U1399" s="19"/>
      <c r="V1399" s="19"/>
      <c r="W1399" s="19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</row>
    <row r="1400" spans="1:36" ht="11.25" customHeight="1" x14ac:dyDescent="0.2">
      <c r="A1400" s="55" t="s">
        <v>21</v>
      </c>
      <c r="B1400" s="55" t="s">
        <v>41</v>
      </c>
      <c r="C1400" s="55" t="s">
        <v>42</v>
      </c>
      <c r="D1400" s="55" t="s">
        <v>50</v>
      </c>
      <c r="E1400" s="55" t="s">
        <v>51</v>
      </c>
      <c r="F1400" s="55" t="s">
        <v>25</v>
      </c>
      <c r="G1400" s="55" t="s">
        <v>25</v>
      </c>
      <c r="H1400" s="55" t="s">
        <v>35</v>
      </c>
      <c r="I1400" s="63">
        <v>44593</v>
      </c>
      <c r="J1400" s="64">
        <f>EFEITO!$J$1400*EFEITO!$Y$1120</f>
        <v>0</v>
      </c>
      <c r="K1400" s="64">
        <f ca="1">EFEITO!$L$1400*EFEITO!$Z$1120</f>
        <v>158172.01751695925</v>
      </c>
      <c r="L1400" s="64">
        <f>EFEITO!$N$1400*EFEITO!$AA$1120</f>
        <v>470726.01085595542</v>
      </c>
      <c r="M1400" s="64">
        <f>$J$1400-EFEITO!$K$1400*EFEITO!$Y$1400</f>
        <v>0</v>
      </c>
      <c r="N1400" s="64">
        <f ca="1">$K$1400-EFEITO!$M$1400*EFEITO!$Z$1400</f>
        <v>4745.1605255087779</v>
      </c>
      <c r="O1400" s="64">
        <f>$L$1400-EFEITO!$O$1400*EFEITO!$AA$1400</f>
        <v>14121.780325678643</v>
      </c>
      <c r="P1400" s="19"/>
      <c r="Q1400" s="19"/>
      <c r="R1400" s="19"/>
      <c r="S1400" s="19"/>
      <c r="T1400" s="19"/>
      <c r="U1400" s="19"/>
      <c r="V1400" s="19"/>
      <c r="W1400" s="19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</row>
    <row r="1401" spans="1:36" ht="11.25" customHeight="1" x14ac:dyDescent="0.2">
      <c r="A1401" s="55" t="s">
        <v>21</v>
      </c>
      <c r="B1401" s="55" t="s">
        <v>41</v>
      </c>
      <c r="C1401" s="55" t="s">
        <v>42</v>
      </c>
      <c r="D1401" s="55" t="s">
        <v>50</v>
      </c>
      <c r="E1401" s="55" t="s">
        <v>51</v>
      </c>
      <c r="F1401" s="55" t="s">
        <v>25</v>
      </c>
      <c r="G1401" s="55" t="s">
        <v>25</v>
      </c>
      <c r="H1401" s="55" t="s">
        <v>35</v>
      </c>
      <c r="I1401" s="63">
        <v>44621</v>
      </c>
      <c r="J1401" s="64">
        <f>EFEITO!$J$1401*EFEITO!$Y$1120</f>
        <v>0</v>
      </c>
      <c r="K1401" s="64">
        <f ca="1">EFEITO!$L$1401*EFEITO!$Z$1120</f>
        <v>154424.06954518147</v>
      </c>
      <c r="L1401" s="64">
        <f>EFEITO!$N$1401*EFEITO!$AA$1120</f>
        <v>459571.97346459789</v>
      </c>
      <c r="M1401" s="64">
        <f>$J$1401-EFEITO!$K$1401*EFEITO!$Y$1401</f>
        <v>0</v>
      </c>
      <c r="N1401" s="64">
        <f ca="1">$K$1401-EFEITO!$M$1401*EFEITO!$Z$1401</f>
        <v>4632.7220863554394</v>
      </c>
      <c r="O1401" s="64">
        <f>$L$1401-EFEITO!$O$1401*EFEITO!$AA$1401</f>
        <v>13787.159203937917</v>
      </c>
      <c r="P1401" s="19"/>
      <c r="Q1401" s="19"/>
      <c r="R1401" s="19"/>
      <c r="S1401" s="19"/>
      <c r="T1401" s="19"/>
      <c r="U1401" s="19"/>
      <c r="V1401" s="19"/>
      <c r="W1401" s="19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</row>
    <row r="1402" spans="1:36" ht="11.25" customHeight="1" x14ac:dyDescent="0.2">
      <c r="A1402" s="55" t="s">
        <v>21</v>
      </c>
      <c r="B1402" s="55" t="s">
        <v>41</v>
      </c>
      <c r="C1402" s="55" t="s">
        <v>42</v>
      </c>
      <c r="D1402" s="55" t="s">
        <v>50</v>
      </c>
      <c r="E1402" s="55" t="s">
        <v>51</v>
      </c>
      <c r="F1402" s="55" t="s">
        <v>25</v>
      </c>
      <c r="G1402" s="55" t="s">
        <v>25</v>
      </c>
      <c r="H1402" s="55" t="s">
        <v>35</v>
      </c>
      <c r="I1402" s="63">
        <v>44652</v>
      </c>
      <c r="J1402" s="64">
        <f>EFEITO!$J$1402*EFEITO!$Y$1120</f>
        <v>0</v>
      </c>
      <c r="K1402" s="64">
        <f ca="1">EFEITO!$L$1402*EFEITO!$Z$1120</f>
        <v>172466.1943869036</v>
      </c>
      <c r="L1402" s="64">
        <f>EFEITO!$N$1402*EFEITO!$AA$1120</f>
        <v>513266.03128489712</v>
      </c>
      <c r="M1402" s="64">
        <f>$J$1402-EFEITO!$K$1402*EFEITO!$Y$1402</f>
        <v>0</v>
      </c>
      <c r="N1402" s="64">
        <f ca="1">$K$1402-EFEITO!$M$1402*EFEITO!$Z$1402</f>
        <v>5173.985831607104</v>
      </c>
      <c r="O1402" s="64">
        <f>$L$1402-EFEITO!$O$1402*EFEITO!$AA$1402</f>
        <v>15397.980938546942</v>
      </c>
      <c r="P1402" s="19"/>
      <c r="Q1402" s="19"/>
      <c r="R1402" s="19"/>
      <c r="S1402" s="19"/>
      <c r="T1402" s="19"/>
      <c r="U1402" s="19"/>
      <c r="V1402" s="19"/>
      <c r="W1402" s="19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</row>
    <row r="1403" spans="1:36" ht="11.25" customHeight="1" x14ac:dyDescent="0.2">
      <c r="A1403" s="55" t="s">
        <v>21</v>
      </c>
      <c r="B1403" s="55" t="s">
        <v>41</v>
      </c>
      <c r="C1403" s="55" t="s">
        <v>42</v>
      </c>
      <c r="D1403" s="55" t="s">
        <v>50</v>
      </c>
      <c r="E1403" s="55" t="s">
        <v>51</v>
      </c>
      <c r="F1403" s="55" t="s">
        <v>25</v>
      </c>
      <c r="G1403" s="55" t="s">
        <v>25</v>
      </c>
      <c r="H1403" s="55" t="s">
        <v>35</v>
      </c>
      <c r="I1403" s="63">
        <v>44682</v>
      </c>
      <c r="J1403" s="64">
        <f>EFEITO!$J$1403*EFEITO!$Y$1120</f>
        <v>0</v>
      </c>
      <c r="K1403" s="64">
        <f ca="1">EFEITO!$L$1403*EFEITO!$Z$1120</f>
        <v>166171.14947758691</v>
      </c>
      <c r="L1403" s="64">
        <f>EFEITO!$N$1403*EFEITO!$AA$1120</f>
        <v>494531.73539084609</v>
      </c>
      <c r="M1403" s="64">
        <f>$J$1403-EFEITO!$K$1403*EFEITO!$Y$1403</f>
        <v>0</v>
      </c>
      <c r="N1403" s="64">
        <f ca="1">$K$1403-EFEITO!$M$1403*EFEITO!$Z$1403</f>
        <v>4985.134484327602</v>
      </c>
      <c r="O1403" s="64">
        <f>$L$1403-EFEITO!$O$1403*EFEITO!$AA$1403</f>
        <v>14835.952061725373</v>
      </c>
      <c r="P1403" s="19"/>
      <c r="Q1403" s="19"/>
      <c r="R1403" s="19"/>
      <c r="S1403" s="19"/>
      <c r="T1403" s="19"/>
      <c r="U1403" s="19"/>
      <c r="V1403" s="19"/>
      <c r="W1403" s="19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</row>
    <row r="1404" spans="1:36" ht="11.25" customHeight="1" x14ac:dyDescent="0.2">
      <c r="A1404" s="55" t="s">
        <v>21</v>
      </c>
      <c r="B1404" s="55" t="s">
        <v>41</v>
      </c>
      <c r="C1404" s="55" t="s">
        <v>42</v>
      </c>
      <c r="D1404" s="55" t="s">
        <v>50</v>
      </c>
      <c r="E1404" s="55" t="s">
        <v>51</v>
      </c>
      <c r="F1404" s="55" t="s">
        <v>25</v>
      </c>
      <c r="G1404" s="55" t="s">
        <v>25</v>
      </c>
      <c r="H1404" s="55" t="s">
        <v>35</v>
      </c>
      <c r="I1404" s="63">
        <v>44713</v>
      </c>
      <c r="J1404" s="64">
        <f>EFEITO!$J$1404*EFEITO!$Y$1120</f>
        <v>0</v>
      </c>
      <c r="K1404" s="64">
        <f ca="1">EFEITO!$L$1404*EFEITO!$Z$1120</f>
        <v>172695.53980167879</v>
      </c>
      <c r="L1404" s="64">
        <f>EFEITO!$N$1404*EFEITO!$AA$1120</f>
        <v>513948.57206486573</v>
      </c>
      <c r="M1404" s="64">
        <f>$J$1404-EFEITO!$K$1404*EFEITO!$Y$1404</f>
        <v>0</v>
      </c>
      <c r="N1404" s="64">
        <f ca="1">$K$1404-EFEITO!$M$1404*EFEITO!$Z$1404</f>
        <v>5180.8661940503516</v>
      </c>
      <c r="O1404" s="64">
        <f>$L$1404-EFEITO!$O$1404*EFEITO!$AA$1404</f>
        <v>15418.457161945989</v>
      </c>
      <c r="P1404" s="19"/>
      <c r="Q1404" s="19"/>
      <c r="R1404" s="19"/>
      <c r="S1404" s="19"/>
      <c r="T1404" s="19"/>
      <c r="U1404" s="19"/>
      <c r="V1404" s="19"/>
      <c r="W1404" s="19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</row>
    <row r="1405" spans="1:36" ht="11.25" customHeight="1" x14ac:dyDescent="0.2">
      <c r="A1405" s="55" t="s">
        <v>57</v>
      </c>
      <c r="B1405" s="55" t="s">
        <v>41</v>
      </c>
      <c r="C1405" s="55" t="s">
        <v>42</v>
      </c>
      <c r="D1405" s="55" t="s">
        <v>50</v>
      </c>
      <c r="E1405" s="55" t="s">
        <v>51</v>
      </c>
      <c r="F1405" s="55" t="s">
        <v>25</v>
      </c>
      <c r="G1405" s="55" t="s">
        <v>25</v>
      </c>
      <c r="H1405" s="55" t="s">
        <v>35</v>
      </c>
      <c r="I1405" s="63">
        <v>44743</v>
      </c>
      <c r="J1405" s="64">
        <f>EFEITO!$J$1405*EFEITO!$Y$1120</f>
        <v>0</v>
      </c>
      <c r="K1405" s="64">
        <f ca="1">EFEITO!$L$1405*EFEITO!$Z$1120</f>
        <v>172695.53980167879</v>
      </c>
      <c r="L1405" s="64">
        <f>EFEITO!$N$1405*EFEITO!$AA$1120</f>
        <v>513948.57206486573</v>
      </c>
      <c r="M1405" s="64">
        <f>$J$1405-EFEITO!$K$1405*EFEITO!$Y$1405</f>
        <v>0</v>
      </c>
      <c r="N1405" s="64">
        <f ca="1">$K$1405-EFEITO!$M$1405*EFEITO!$Z$1405</f>
        <v>5180.8661940503516</v>
      </c>
      <c r="O1405" s="64">
        <f>$L$1405-EFEITO!$O$1405*EFEITO!$AA$1405</f>
        <v>15418.457161945989</v>
      </c>
      <c r="P1405" s="19"/>
      <c r="Q1405" s="19"/>
      <c r="R1405" s="19"/>
      <c r="S1405" s="19"/>
      <c r="T1405" s="19"/>
      <c r="U1405" s="19"/>
      <c r="V1405" s="19"/>
      <c r="W1405" s="19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</row>
    <row r="1406" spans="1:36" ht="11.25" customHeight="1" x14ac:dyDescent="0.2">
      <c r="A1406" s="55" t="s">
        <v>21</v>
      </c>
      <c r="B1406" s="55" t="s">
        <v>41</v>
      </c>
      <c r="C1406" s="55" t="s">
        <v>42</v>
      </c>
      <c r="D1406" s="55" t="s">
        <v>50</v>
      </c>
      <c r="E1406" s="55" t="s">
        <v>51</v>
      </c>
      <c r="F1406" s="55" t="s">
        <v>25</v>
      </c>
      <c r="G1406" s="55" t="s">
        <v>25</v>
      </c>
      <c r="H1406" s="55" t="s">
        <v>25</v>
      </c>
      <c r="I1406" s="63">
        <v>44409</v>
      </c>
      <c r="J1406" s="64">
        <f ca="1">EFEITO!$J$1406*EFEITO!$Y$1146</f>
        <v>254497.11087764724</v>
      </c>
      <c r="K1406" s="64">
        <f>EFEITO!$L$1406*EFEITO!$Z$1146</f>
        <v>0</v>
      </c>
      <c r="L1406" s="64">
        <f>EFEITO!$N$1406*EFEITO!$AA$1146</f>
        <v>0</v>
      </c>
      <c r="M1406" s="64">
        <f ca="1">$J$1406-EFEITO!$K$1406*EFEITO!$Y$1406</f>
        <v>7634.9133263294352</v>
      </c>
      <c r="N1406" s="64">
        <f>$K$1406-EFEITO!$M$1406*EFEITO!$Z$1406</f>
        <v>0</v>
      </c>
      <c r="O1406" s="64">
        <f>$L$1406-EFEITO!$O$1406*EFEITO!$AA$1406</f>
        <v>0</v>
      </c>
      <c r="P1406" s="19"/>
      <c r="Q1406" s="19"/>
      <c r="R1406" s="19"/>
      <c r="S1406" s="19"/>
      <c r="T1406" s="19"/>
      <c r="U1406" s="19"/>
      <c r="V1406" s="19"/>
      <c r="W1406" s="19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</row>
    <row r="1407" spans="1:36" ht="11.25" customHeight="1" x14ac:dyDescent="0.2">
      <c r="A1407" s="55" t="s">
        <v>21</v>
      </c>
      <c r="B1407" s="55" t="s">
        <v>41</v>
      </c>
      <c r="C1407" s="55" t="s">
        <v>42</v>
      </c>
      <c r="D1407" s="55" t="s">
        <v>50</v>
      </c>
      <c r="E1407" s="55" t="s">
        <v>51</v>
      </c>
      <c r="F1407" s="55" t="s">
        <v>25</v>
      </c>
      <c r="G1407" s="55" t="s">
        <v>25</v>
      </c>
      <c r="H1407" s="55" t="s">
        <v>25</v>
      </c>
      <c r="I1407" s="63">
        <v>44440</v>
      </c>
      <c r="J1407" s="64">
        <f ca="1">EFEITO!$J$1407*EFEITO!$Y$1146</f>
        <v>249083.39703617725</v>
      </c>
      <c r="K1407" s="64">
        <f>EFEITO!$L$1407*EFEITO!$Z$1146</f>
        <v>0</v>
      </c>
      <c r="L1407" s="64">
        <f>EFEITO!$N$1407*EFEITO!$AA$1146</f>
        <v>0</v>
      </c>
      <c r="M1407" s="64">
        <f ca="1">$J$1407-EFEITO!$K$1407*EFEITO!$Y$1407</f>
        <v>7472.5019110853318</v>
      </c>
      <c r="N1407" s="64">
        <f>$K$1407-EFEITO!$M$1407*EFEITO!$Z$1407</f>
        <v>0</v>
      </c>
      <c r="O1407" s="64">
        <f>$L$1407-EFEITO!$O$1407*EFEITO!$AA$1407</f>
        <v>0</v>
      </c>
      <c r="P1407" s="19"/>
      <c r="Q1407" s="19"/>
      <c r="R1407" s="19"/>
      <c r="S1407" s="19"/>
      <c r="T1407" s="19"/>
      <c r="U1407" s="19"/>
      <c r="V1407" s="19"/>
      <c r="W1407" s="19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</row>
    <row r="1408" spans="1:36" ht="11.25" customHeight="1" x14ac:dyDescent="0.2">
      <c r="A1408" s="55" t="s">
        <v>21</v>
      </c>
      <c r="B1408" s="55" t="s">
        <v>41</v>
      </c>
      <c r="C1408" s="55" t="s">
        <v>42</v>
      </c>
      <c r="D1408" s="55" t="s">
        <v>50</v>
      </c>
      <c r="E1408" s="55" t="s">
        <v>51</v>
      </c>
      <c r="F1408" s="55" t="s">
        <v>25</v>
      </c>
      <c r="G1408" s="55" t="s">
        <v>25</v>
      </c>
      <c r="H1408" s="55" t="s">
        <v>25</v>
      </c>
      <c r="I1408" s="63">
        <v>44470</v>
      </c>
      <c r="J1408" s="64">
        <f ca="1">EFEITO!$J$1408*EFEITO!$Y$1146</f>
        <v>248452.67309348172</v>
      </c>
      <c r="K1408" s="64">
        <f>EFEITO!$L$1408*EFEITO!$Z$1146</f>
        <v>0</v>
      </c>
      <c r="L1408" s="64">
        <f>EFEITO!$N$1408*EFEITO!$AA$1146</f>
        <v>0</v>
      </c>
      <c r="M1408" s="64">
        <f ca="1">$J$1408-EFEITO!$K$1408*EFEITO!$Y$1408</f>
        <v>7453.5801928044821</v>
      </c>
      <c r="N1408" s="64">
        <f>$K$1408-EFEITO!$M$1408*EFEITO!$Z$1408</f>
        <v>0</v>
      </c>
      <c r="O1408" s="64">
        <f>$L$1408-EFEITO!$O$1408*EFEITO!$AA$1408</f>
        <v>0</v>
      </c>
      <c r="P1408" s="19"/>
      <c r="Q1408" s="19"/>
      <c r="R1408" s="19"/>
      <c r="S1408" s="19"/>
      <c r="T1408" s="19"/>
      <c r="U1408" s="19"/>
      <c r="V1408" s="19"/>
      <c r="W1408" s="19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</row>
    <row r="1409" spans="1:36" ht="11.25" customHeight="1" x14ac:dyDescent="0.2">
      <c r="A1409" s="55" t="s">
        <v>21</v>
      </c>
      <c r="B1409" s="55" t="s">
        <v>41</v>
      </c>
      <c r="C1409" s="55" t="s">
        <v>42</v>
      </c>
      <c r="D1409" s="55" t="s">
        <v>50</v>
      </c>
      <c r="E1409" s="55" t="s">
        <v>51</v>
      </c>
      <c r="F1409" s="55" t="s">
        <v>25</v>
      </c>
      <c r="G1409" s="55" t="s">
        <v>25</v>
      </c>
      <c r="H1409" s="55" t="s">
        <v>25</v>
      </c>
      <c r="I1409" s="63">
        <v>44501</v>
      </c>
      <c r="J1409" s="64">
        <f ca="1">EFEITO!$J$1409*EFEITO!$Y$1146</f>
        <v>248189.87145069192</v>
      </c>
      <c r="K1409" s="64">
        <f>EFEITO!$L$1409*EFEITO!$Z$1146</f>
        <v>0</v>
      </c>
      <c r="L1409" s="64">
        <f>EFEITO!$N$1409*EFEITO!$AA$1146</f>
        <v>0</v>
      </c>
      <c r="M1409" s="64">
        <f ca="1">$J$1409-EFEITO!$K$1409*EFEITO!$Y$1409</f>
        <v>7445.6961435207922</v>
      </c>
      <c r="N1409" s="64">
        <f>$K$1409-EFEITO!$M$1409*EFEITO!$Z$1409</f>
        <v>0</v>
      </c>
      <c r="O1409" s="64">
        <f>$L$1409-EFEITO!$O$1409*EFEITO!$AA$1409</f>
        <v>0</v>
      </c>
      <c r="P1409" s="19"/>
      <c r="Q1409" s="19"/>
      <c r="R1409" s="19"/>
      <c r="S1409" s="19"/>
      <c r="T1409" s="19"/>
      <c r="U1409" s="19"/>
      <c r="V1409" s="19"/>
      <c r="W1409" s="19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</row>
    <row r="1410" spans="1:36" ht="11.25" customHeight="1" x14ac:dyDescent="0.2">
      <c r="A1410" s="55" t="s">
        <v>21</v>
      </c>
      <c r="B1410" s="55" t="s">
        <v>41</v>
      </c>
      <c r="C1410" s="55" t="s">
        <v>42</v>
      </c>
      <c r="D1410" s="55" t="s">
        <v>50</v>
      </c>
      <c r="E1410" s="55" t="s">
        <v>51</v>
      </c>
      <c r="F1410" s="55" t="s">
        <v>25</v>
      </c>
      <c r="G1410" s="55" t="s">
        <v>25</v>
      </c>
      <c r="H1410" s="55" t="s">
        <v>25</v>
      </c>
      <c r="I1410" s="63">
        <v>44531</v>
      </c>
      <c r="J1410" s="64">
        <f ca="1">EFEITO!$J$1410*EFEITO!$Y$1146</f>
        <v>249109.67720045624</v>
      </c>
      <c r="K1410" s="64">
        <f>EFEITO!$L$1410*EFEITO!$Z$1146</f>
        <v>0</v>
      </c>
      <c r="L1410" s="64">
        <f>EFEITO!$N$1410*EFEITO!$AA$1146</f>
        <v>0</v>
      </c>
      <c r="M1410" s="64">
        <f ca="1">$J$1410-EFEITO!$K$1410*EFEITO!$Y$1410</f>
        <v>7473.2903160137066</v>
      </c>
      <c r="N1410" s="64">
        <f>$K$1410-EFEITO!$M$1410*EFEITO!$Z$1410</f>
        <v>0</v>
      </c>
      <c r="O1410" s="64">
        <f>$L$1410-EFEITO!$O$1410*EFEITO!$AA$1410</f>
        <v>0</v>
      </c>
      <c r="P1410" s="19"/>
      <c r="Q1410" s="19"/>
      <c r="R1410" s="19"/>
      <c r="S1410" s="19"/>
      <c r="T1410" s="19"/>
      <c r="U1410" s="19"/>
      <c r="V1410" s="19"/>
      <c r="W1410" s="19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</row>
    <row r="1411" spans="1:36" ht="11.25" customHeight="1" x14ac:dyDescent="0.2">
      <c r="A1411" s="55" t="s">
        <v>21</v>
      </c>
      <c r="B1411" s="55" t="s">
        <v>41</v>
      </c>
      <c r="C1411" s="55" t="s">
        <v>42</v>
      </c>
      <c r="D1411" s="55" t="s">
        <v>50</v>
      </c>
      <c r="E1411" s="55" t="s">
        <v>51</v>
      </c>
      <c r="F1411" s="55" t="s">
        <v>25</v>
      </c>
      <c r="G1411" s="55" t="s">
        <v>25</v>
      </c>
      <c r="H1411" s="55" t="s">
        <v>25</v>
      </c>
      <c r="I1411" s="63">
        <v>44562</v>
      </c>
      <c r="J1411" s="64">
        <f ca="1">EFEITO!$J$1411*EFEITO!$Y$1146</f>
        <v>250949.28869998487</v>
      </c>
      <c r="K1411" s="64">
        <f>EFEITO!$L$1411*EFEITO!$Z$1146</f>
        <v>0</v>
      </c>
      <c r="L1411" s="64">
        <f>EFEITO!$N$1411*EFEITO!$AA$1146</f>
        <v>0</v>
      </c>
      <c r="M1411" s="64">
        <f ca="1">$J$1411-EFEITO!$K$1411*EFEITO!$Y$1411</f>
        <v>7528.4786609995645</v>
      </c>
      <c r="N1411" s="64">
        <f>$K$1411-EFEITO!$M$1411*EFEITO!$Z$1411</f>
        <v>0</v>
      </c>
      <c r="O1411" s="64">
        <f>$L$1411-EFEITO!$O$1411*EFEITO!$AA$1411</f>
        <v>0</v>
      </c>
      <c r="P1411" s="19"/>
      <c r="Q1411" s="19"/>
      <c r="R1411" s="19"/>
      <c r="S1411" s="19"/>
      <c r="T1411" s="19"/>
      <c r="U1411" s="19"/>
      <c r="V1411" s="19"/>
      <c r="W1411" s="19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</row>
    <row r="1412" spans="1:36" ht="11.25" customHeight="1" x14ac:dyDescent="0.2">
      <c r="A1412" s="55" t="s">
        <v>21</v>
      </c>
      <c r="B1412" s="55" t="s">
        <v>41</v>
      </c>
      <c r="C1412" s="55" t="s">
        <v>42</v>
      </c>
      <c r="D1412" s="55" t="s">
        <v>50</v>
      </c>
      <c r="E1412" s="55" t="s">
        <v>51</v>
      </c>
      <c r="F1412" s="55" t="s">
        <v>25</v>
      </c>
      <c r="G1412" s="55" t="s">
        <v>25</v>
      </c>
      <c r="H1412" s="55" t="s">
        <v>25</v>
      </c>
      <c r="I1412" s="63">
        <v>44593</v>
      </c>
      <c r="J1412" s="64">
        <f ca="1">EFEITO!$J$1412*EFEITO!$Y$1146</f>
        <v>248873.1557219454</v>
      </c>
      <c r="K1412" s="64">
        <f>EFEITO!$L$1412*EFEITO!$Z$1146</f>
        <v>0</v>
      </c>
      <c r="L1412" s="64">
        <f>EFEITO!$N$1412*EFEITO!$AA$1146</f>
        <v>0</v>
      </c>
      <c r="M1412" s="64">
        <f ca="1">$J$1412-EFEITO!$K$1412*EFEITO!$Y$1412</f>
        <v>7466.1946716583625</v>
      </c>
      <c r="N1412" s="64">
        <f>$K$1412-EFEITO!$M$1412*EFEITO!$Z$1412</f>
        <v>0</v>
      </c>
      <c r="O1412" s="64">
        <f>$L$1412-EFEITO!$O$1412*EFEITO!$AA$1412</f>
        <v>0</v>
      </c>
      <c r="P1412" s="19"/>
      <c r="Q1412" s="19"/>
      <c r="R1412" s="19"/>
      <c r="S1412" s="19"/>
      <c r="T1412" s="19"/>
      <c r="U1412" s="19"/>
      <c r="V1412" s="19"/>
      <c r="W1412" s="19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</row>
    <row r="1413" spans="1:36" ht="11.25" customHeight="1" x14ac:dyDescent="0.2">
      <c r="A1413" s="55" t="s">
        <v>21</v>
      </c>
      <c r="B1413" s="55" t="s">
        <v>41</v>
      </c>
      <c r="C1413" s="55" t="s">
        <v>42</v>
      </c>
      <c r="D1413" s="55" t="s">
        <v>50</v>
      </c>
      <c r="E1413" s="55" t="s">
        <v>51</v>
      </c>
      <c r="F1413" s="55" t="s">
        <v>25</v>
      </c>
      <c r="G1413" s="55" t="s">
        <v>25</v>
      </c>
      <c r="H1413" s="55" t="s">
        <v>25</v>
      </c>
      <c r="I1413" s="63">
        <v>44621</v>
      </c>
      <c r="J1413" s="64">
        <f ca="1">EFEITO!$J$1413*EFEITO!$Y$1146</f>
        <v>248794.31522910847</v>
      </c>
      <c r="K1413" s="64">
        <f>EFEITO!$L$1413*EFEITO!$Z$1146</f>
        <v>0</v>
      </c>
      <c r="L1413" s="64">
        <f>EFEITO!$N$1413*EFEITO!$AA$1146</f>
        <v>0</v>
      </c>
      <c r="M1413" s="64">
        <f ca="1">$J$1413-EFEITO!$K$1413*EFEITO!$Y$1413</f>
        <v>7463.8294568732672</v>
      </c>
      <c r="N1413" s="64">
        <f>$K$1413-EFEITO!$M$1413*EFEITO!$Z$1413</f>
        <v>0</v>
      </c>
      <c r="O1413" s="64">
        <f>$L$1413-EFEITO!$O$1413*EFEITO!$AA$1413</f>
        <v>0</v>
      </c>
      <c r="P1413" s="19"/>
      <c r="Q1413" s="19"/>
      <c r="R1413" s="19"/>
      <c r="S1413" s="19"/>
      <c r="T1413" s="19"/>
      <c r="U1413" s="19"/>
      <c r="V1413" s="19"/>
      <c r="W1413" s="19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</row>
    <row r="1414" spans="1:36" ht="11.25" customHeight="1" x14ac:dyDescent="0.2">
      <c r="A1414" s="55" t="s">
        <v>21</v>
      </c>
      <c r="B1414" s="55" t="s">
        <v>41</v>
      </c>
      <c r="C1414" s="55" t="s">
        <v>42</v>
      </c>
      <c r="D1414" s="55" t="s">
        <v>50</v>
      </c>
      <c r="E1414" s="55" t="s">
        <v>51</v>
      </c>
      <c r="F1414" s="55" t="s">
        <v>25</v>
      </c>
      <c r="G1414" s="55" t="s">
        <v>25</v>
      </c>
      <c r="H1414" s="55" t="s">
        <v>25</v>
      </c>
      <c r="I1414" s="63">
        <v>44652</v>
      </c>
      <c r="J1414" s="64">
        <f ca="1">EFEITO!$J$1414*EFEITO!$Y$1146</f>
        <v>254707.35219187906</v>
      </c>
      <c r="K1414" s="64">
        <f>EFEITO!$L$1414*EFEITO!$Z$1146</f>
        <v>0</v>
      </c>
      <c r="L1414" s="64">
        <f>EFEITO!$N$1414*EFEITO!$AA$1146</f>
        <v>0</v>
      </c>
      <c r="M1414" s="64">
        <f ca="1">$J$1414-EFEITO!$K$1414*EFEITO!$Y$1414</f>
        <v>7641.2205657563754</v>
      </c>
      <c r="N1414" s="64">
        <f>$K$1414-EFEITO!$M$1414*EFEITO!$Z$1414</f>
        <v>0</v>
      </c>
      <c r="O1414" s="64">
        <f>$L$1414-EFEITO!$O$1414*EFEITO!$AA$1414</f>
        <v>0</v>
      </c>
      <c r="P1414" s="19"/>
      <c r="Q1414" s="19"/>
      <c r="R1414" s="19"/>
      <c r="S1414" s="19"/>
      <c r="T1414" s="19"/>
      <c r="U1414" s="19"/>
      <c r="V1414" s="19"/>
      <c r="W1414" s="19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</row>
    <row r="1415" spans="1:36" ht="11.25" customHeight="1" x14ac:dyDescent="0.2">
      <c r="A1415" s="55" t="s">
        <v>21</v>
      </c>
      <c r="B1415" s="55" t="s">
        <v>41</v>
      </c>
      <c r="C1415" s="55" t="s">
        <v>42</v>
      </c>
      <c r="D1415" s="55" t="s">
        <v>50</v>
      </c>
      <c r="E1415" s="55" t="s">
        <v>51</v>
      </c>
      <c r="F1415" s="55" t="s">
        <v>25</v>
      </c>
      <c r="G1415" s="55" t="s">
        <v>25</v>
      </c>
      <c r="H1415" s="55" t="s">
        <v>25</v>
      </c>
      <c r="I1415" s="63">
        <v>44682</v>
      </c>
      <c r="J1415" s="64">
        <f ca="1">EFEITO!$J$1415*EFEITO!$Y$1146</f>
        <v>255522.03728452747</v>
      </c>
      <c r="K1415" s="64">
        <f>EFEITO!$L$1415*EFEITO!$Z$1146</f>
        <v>0</v>
      </c>
      <c r="L1415" s="64">
        <f>EFEITO!$N$1415*EFEITO!$AA$1146</f>
        <v>0</v>
      </c>
      <c r="M1415" s="64">
        <f ca="1">$J$1415-EFEITO!$K$1415*EFEITO!$Y$1415</f>
        <v>7665.6611185358488</v>
      </c>
      <c r="N1415" s="64">
        <f>$K$1415-EFEITO!$M$1415*EFEITO!$Z$1415</f>
        <v>0</v>
      </c>
      <c r="O1415" s="64">
        <f>$L$1415-EFEITO!$O$1415*EFEITO!$AA$1415</f>
        <v>0</v>
      </c>
      <c r="P1415" s="19"/>
      <c r="Q1415" s="19"/>
      <c r="R1415" s="19"/>
      <c r="S1415" s="19"/>
      <c r="T1415" s="19"/>
      <c r="U1415" s="19"/>
      <c r="V1415" s="19"/>
      <c r="W1415" s="19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</row>
    <row r="1416" spans="1:36" ht="11.25" customHeight="1" x14ac:dyDescent="0.2">
      <c r="A1416" s="55" t="s">
        <v>21</v>
      </c>
      <c r="B1416" s="55" t="s">
        <v>41</v>
      </c>
      <c r="C1416" s="55" t="s">
        <v>42</v>
      </c>
      <c r="D1416" s="55" t="s">
        <v>50</v>
      </c>
      <c r="E1416" s="55" t="s">
        <v>51</v>
      </c>
      <c r="F1416" s="55" t="s">
        <v>25</v>
      </c>
      <c r="G1416" s="55" t="s">
        <v>25</v>
      </c>
      <c r="H1416" s="55" t="s">
        <v>25</v>
      </c>
      <c r="I1416" s="63">
        <v>44713</v>
      </c>
      <c r="J1416" s="64">
        <f ca="1">EFEITO!$J$1416*EFEITO!$Y$1146</f>
        <v>255338.0761345746</v>
      </c>
      <c r="K1416" s="64">
        <f>EFEITO!$L$1416*EFEITO!$Z$1146</f>
        <v>0</v>
      </c>
      <c r="L1416" s="64">
        <f>EFEITO!$N$1416*EFEITO!$AA$1146</f>
        <v>0</v>
      </c>
      <c r="M1416" s="64">
        <f ca="1">$J$1416-EFEITO!$K$1416*EFEITO!$Y$1416</f>
        <v>7660.1422840372543</v>
      </c>
      <c r="N1416" s="64">
        <f>$K$1416-EFEITO!$M$1416*EFEITO!$Z$1416</f>
        <v>0</v>
      </c>
      <c r="O1416" s="64">
        <f>$L$1416-EFEITO!$O$1416*EFEITO!$AA$1416</f>
        <v>0</v>
      </c>
      <c r="P1416" s="19"/>
      <c r="Q1416" s="19"/>
      <c r="R1416" s="19"/>
      <c r="S1416" s="19"/>
      <c r="T1416" s="19"/>
      <c r="U1416" s="19"/>
      <c r="V1416" s="19"/>
      <c r="W1416" s="19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</row>
    <row r="1417" spans="1:36" ht="11.25" customHeight="1" x14ac:dyDescent="0.2">
      <c r="A1417" s="55" t="s">
        <v>57</v>
      </c>
      <c r="B1417" s="55" t="s">
        <v>41</v>
      </c>
      <c r="C1417" s="55" t="s">
        <v>42</v>
      </c>
      <c r="D1417" s="55" t="s">
        <v>50</v>
      </c>
      <c r="E1417" s="55" t="s">
        <v>51</v>
      </c>
      <c r="F1417" s="55" t="s">
        <v>25</v>
      </c>
      <c r="G1417" s="55" t="s">
        <v>25</v>
      </c>
      <c r="H1417" s="55" t="s">
        <v>25</v>
      </c>
      <c r="I1417" s="63">
        <v>44743</v>
      </c>
      <c r="J1417" s="64">
        <f ca="1">EFEITO!$J$1417*EFEITO!$Y$1146</f>
        <v>255338.0761345746</v>
      </c>
      <c r="K1417" s="64">
        <f>EFEITO!$L$1417*EFEITO!$Z$1146</f>
        <v>0</v>
      </c>
      <c r="L1417" s="64">
        <f>EFEITO!$N$1417*EFEITO!$AA$1146</f>
        <v>0</v>
      </c>
      <c r="M1417" s="64">
        <f ca="1">$J$1417-EFEITO!$K$1417*EFEITO!$Y$1417</f>
        <v>7660.1422840372543</v>
      </c>
      <c r="N1417" s="64">
        <f>$K$1417-EFEITO!$M$1417*EFEITO!$Z$1417</f>
        <v>0</v>
      </c>
      <c r="O1417" s="64">
        <f>$L$1417-EFEITO!$O$1417*EFEITO!$AA$1417</f>
        <v>0</v>
      </c>
      <c r="P1417" s="19"/>
      <c r="Q1417" s="19"/>
      <c r="R1417" s="19"/>
      <c r="S1417" s="19"/>
      <c r="T1417" s="19"/>
      <c r="U1417" s="19"/>
      <c r="V1417" s="19"/>
      <c r="W1417" s="19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</row>
    <row r="1418" spans="1:36" ht="11.25" customHeight="1" x14ac:dyDescent="0.2">
      <c r="A1418" s="55" t="s">
        <v>21</v>
      </c>
      <c r="B1418" s="55" t="s">
        <v>41</v>
      </c>
      <c r="C1418" s="55" t="s">
        <v>42</v>
      </c>
      <c r="D1418" s="55" t="s">
        <v>50</v>
      </c>
      <c r="E1418" s="55" t="s">
        <v>51</v>
      </c>
      <c r="F1418" s="55" t="s">
        <v>25</v>
      </c>
      <c r="G1418" s="55" t="s">
        <v>25</v>
      </c>
      <c r="H1418" s="55" t="s">
        <v>34</v>
      </c>
      <c r="I1418" s="63">
        <v>44409</v>
      </c>
      <c r="J1418" s="64">
        <f>EFEITO!$J$1418*EFEITO!$Y$1174</f>
        <v>0</v>
      </c>
      <c r="K1418" s="64">
        <f ca="1">EFEITO!$L$1418*EFEITO!$Z$1174</f>
        <v>284914.04679125012</v>
      </c>
      <c r="L1418" s="64">
        <f>EFEITO!$N$1418*EFEITO!$AA$1174</f>
        <v>76266.023009203956</v>
      </c>
      <c r="M1418" s="64">
        <f>$J$1418-EFEITO!$K$1418*EFEITO!$Y$1418</f>
        <v>0</v>
      </c>
      <c r="N1418" s="64">
        <f ca="1">$K$1418-EFEITO!$M$1418*EFEITO!$Z$1418</f>
        <v>8547.4214037375641</v>
      </c>
      <c r="O1418" s="64">
        <f>$L$1418-EFEITO!$O$1418*EFEITO!$AA$1418</f>
        <v>2287.9806902761193</v>
      </c>
      <c r="P1418" s="19"/>
      <c r="Q1418" s="19"/>
      <c r="R1418" s="19"/>
      <c r="S1418" s="19"/>
      <c r="T1418" s="19"/>
      <c r="U1418" s="19"/>
      <c r="V1418" s="19"/>
      <c r="W1418" s="19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</row>
    <row r="1419" spans="1:36" ht="11.25" customHeight="1" x14ac:dyDescent="0.2">
      <c r="A1419" s="55" t="s">
        <v>21</v>
      </c>
      <c r="B1419" s="55" t="s">
        <v>41</v>
      </c>
      <c r="C1419" s="55" t="s">
        <v>42</v>
      </c>
      <c r="D1419" s="55" t="s">
        <v>50</v>
      </c>
      <c r="E1419" s="55" t="s">
        <v>51</v>
      </c>
      <c r="F1419" s="55" t="s">
        <v>25</v>
      </c>
      <c r="G1419" s="55" t="s">
        <v>25</v>
      </c>
      <c r="H1419" s="55" t="s">
        <v>34</v>
      </c>
      <c r="I1419" s="63">
        <v>44440</v>
      </c>
      <c r="J1419" s="64">
        <f>EFEITO!$J$1419*EFEITO!$Y$1174</f>
        <v>0</v>
      </c>
      <c r="K1419" s="64">
        <f ca="1">EFEITO!$L$1419*EFEITO!$Z$1174</f>
        <v>263718.13318399352</v>
      </c>
      <c r="L1419" s="64">
        <f>EFEITO!$N$1419*EFEITO!$AA$1174</f>
        <v>70592.28367245401</v>
      </c>
      <c r="M1419" s="64">
        <f>$J$1419-EFEITO!$K$1419*EFEITO!$Y$1419</f>
        <v>0</v>
      </c>
      <c r="N1419" s="64">
        <f ca="1">$K$1419-EFEITO!$M$1419*EFEITO!$Z$1419</f>
        <v>7911.543995519809</v>
      </c>
      <c r="O1419" s="64">
        <f>$L$1419-EFEITO!$O$1419*EFEITO!$AA$1419</f>
        <v>2117.7685101736279</v>
      </c>
      <c r="P1419" s="19"/>
      <c r="Q1419" s="19"/>
      <c r="R1419" s="19"/>
      <c r="S1419" s="19"/>
      <c r="T1419" s="19"/>
      <c r="U1419" s="19"/>
      <c r="V1419" s="19"/>
      <c r="W1419" s="19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</row>
    <row r="1420" spans="1:36" ht="11.25" customHeight="1" x14ac:dyDescent="0.2">
      <c r="A1420" s="55" t="s">
        <v>21</v>
      </c>
      <c r="B1420" s="55" t="s">
        <v>41</v>
      </c>
      <c r="C1420" s="55" t="s">
        <v>42</v>
      </c>
      <c r="D1420" s="55" t="s">
        <v>50</v>
      </c>
      <c r="E1420" s="55" t="s">
        <v>51</v>
      </c>
      <c r="F1420" s="55" t="s">
        <v>25</v>
      </c>
      <c r="G1420" s="55" t="s">
        <v>25</v>
      </c>
      <c r="H1420" s="55" t="s">
        <v>34</v>
      </c>
      <c r="I1420" s="63">
        <v>44470</v>
      </c>
      <c r="J1420" s="64">
        <f>EFEITO!$J$1420*EFEITO!$Y$1174</f>
        <v>0</v>
      </c>
      <c r="K1420" s="64">
        <f ca="1">EFEITO!$L$1420*EFEITO!$Z$1174</f>
        <v>262099.06631819063</v>
      </c>
      <c r="L1420" s="64">
        <f>EFEITO!$N$1420*EFEITO!$AA$1174</f>
        <v>70158.890541327579</v>
      </c>
      <c r="M1420" s="64">
        <f>$J$1420-EFEITO!$K$1420*EFEITO!$Y$1420</f>
        <v>0</v>
      </c>
      <c r="N1420" s="64">
        <f ca="1">$K$1420-EFEITO!$M$1420*EFEITO!$Z$1420</f>
        <v>7862.9719895457383</v>
      </c>
      <c r="O1420" s="64">
        <f>$L$1420-EFEITO!$O$1420*EFEITO!$AA$1420</f>
        <v>2104.7667162398284</v>
      </c>
      <c r="P1420" s="19"/>
      <c r="Q1420" s="19"/>
      <c r="R1420" s="19"/>
      <c r="S1420" s="19"/>
      <c r="T1420" s="19"/>
      <c r="U1420" s="19"/>
      <c r="V1420" s="19"/>
      <c r="W1420" s="19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</row>
    <row r="1421" spans="1:36" ht="11.25" customHeight="1" x14ac:dyDescent="0.2">
      <c r="A1421" s="55" t="s">
        <v>21</v>
      </c>
      <c r="B1421" s="55" t="s">
        <v>41</v>
      </c>
      <c r="C1421" s="55" t="s">
        <v>42</v>
      </c>
      <c r="D1421" s="55" t="s">
        <v>50</v>
      </c>
      <c r="E1421" s="55" t="s">
        <v>51</v>
      </c>
      <c r="F1421" s="55" t="s">
        <v>25</v>
      </c>
      <c r="G1421" s="55" t="s">
        <v>25</v>
      </c>
      <c r="H1421" s="55" t="s">
        <v>34</v>
      </c>
      <c r="I1421" s="63">
        <v>44501</v>
      </c>
      <c r="J1421" s="64">
        <f>EFEITO!$J$1421*EFEITO!$Y$1174</f>
        <v>0</v>
      </c>
      <c r="K1421" s="64">
        <f ca="1">EFEITO!$L$1421*EFEITO!$Z$1174</f>
        <v>270774.46533478698</v>
      </c>
      <c r="L1421" s="64">
        <f>EFEITO!$N$1421*EFEITO!$AA$1174</f>
        <v>72481.12838275815</v>
      </c>
      <c r="M1421" s="64">
        <f>$J$1421-EFEITO!$K$1421*EFEITO!$Y$1421</f>
        <v>0</v>
      </c>
      <c r="N1421" s="64">
        <f ca="1">$K$1421-EFEITO!$M$1421*EFEITO!$Z$1421</f>
        <v>8123.2339600436389</v>
      </c>
      <c r="O1421" s="64">
        <f>$L$1421-EFEITO!$O$1421*EFEITO!$AA$1421</f>
        <v>2174.4338514827396</v>
      </c>
      <c r="P1421" s="19"/>
      <c r="Q1421" s="19"/>
      <c r="R1421" s="19"/>
      <c r="S1421" s="19"/>
      <c r="T1421" s="19"/>
      <c r="U1421" s="19"/>
      <c r="V1421" s="19"/>
      <c r="W1421" s="19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</row>
    <row r="1422" spans="1:36" ht="11.25" customHeight="1" x14ac:dyDescent="0.2">
      <c r="A1422" s="55" t="s">
        <v>21</v>
      </c>
      <c r="B1422" s="55" t="s">
        <v>41</v>
      </c>
      <c r="C1422" s="55" t="s">
        <v>42</v>
      </c>
      <c r="D1422" s="55" t="s">
        <v>50</v>
      </c>
      <c r="E1422" s="55" t="s">
        <v>51</v>
      </c>
      <c r="F1422" s="55" t="s">
        <v>25</v>
      </c>
      <c r="G1422" s="55" t="s">
        <v>25</v>
      </c>
      <c r="H1422" s="55" t="s">
        <v>34</v>
      </c>
      <c r="I1422" s="63">
        <v>44531</v>
      </c>
      <c r="J1422" s="64">
        <f>EFEITO!$J$1422*EFEITO!$Y$1174</f>
        <v>0</v>
      </c>
      <c r="K1422" s="64">
        <f ca="1">EFEITO!$L$1422*EFEITO!$Z$1174</f>
        <v>274790.50484231469</v>
      </c>
      <c r="L1422" s="64">
        <f>EFEITO!$N$1422*EFEITO!$AA$1174</f>
        <v>73556.145093715168</v>
      </c>
      <c r="M1422" s="64">
        <f>$J$1422-EFEITO!$K$1422*EFEITO!$Y$1422</f>
        <v>0</v>
      </c>
      <c r="N1422" s="64">
        <f ca="1">$K$1422-EFEITO!$M$1422*EFEITO!$Z$1422</f>
        <v>8243.715145269467</v>
      </c>
      <c r="O1422" s="64">
        <f>$L$1422-EFEITO!$O$1422*EFEITO!$AA$1422</f>
        <v>2206.6843528114696</v>
      </c>
      <c r="P1422" s="19"/>
      <c r="Q1422" s="19"/>
      <c r="R1422" s="19"/>
      <c r="S1422" s="19"/>
      <c r="T1422" s="19"/>
      <c r="U1422" s="19"/>
      <c r="V1422" s="19"/>
      <c r="W1422" s="19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</row>
    <row r="1423" spans="1:36" ht="11.25" customHeight="1" x14ac:dyDescent="0.2">
      <c r="A1423" s="55" t="s">
        <v>21</v>
      </c>
      <c r="B1423" s="55" t="s">
        <v>41</v>
      </c>
      <c r="C1423" s="55" t="s">
        <v>42</v>
      </c>
      <c r="D1423" s="55" t="s">
        <v>50</v>
      </c>
      <c r="E1423" s="55" t="s">
        <v>51</v>
      </c>
      <c r="F1423" s="55" t="s">
        <v>25</v>
      </c>
      <c r="G1423" s="55" t="s">
        <v>25</v>
      </c>
      <c r="H1423" s="55" t="s">
        <v>34</v>
      </c>
      <c r="I1423" s="63">
        <v>44562</v>
      </c>
      <c r="J1423" s="64">
        <f>EFEITO!$J$1423*EFEITO!$Y$1174</f>
        <v>0</v>
      </c>
      <c r="K1423" s="64">
        <f ca="1">EFEITO!$L$1423*EFEITO!$Z$1174</f>
        <v>294753.6127562417</v>
      </c>
      <c r="L1423" s="64">
        <f>EFEITO!$N$1423*EFEITO!$AA$1174</f>
        <v>78899.886003106993</v>
      </c>
      <c r="M1423" s="64">
        <f>$J$1423-EFEITO!$K$1423*EFEITO!$Y$1423</f>
        <v>0</v>
      </c>
      <c r="N1423" s="64">
        <f ca="1">$K$1423-EFEITO!$M$1423*EFEITO!$Z$1423</f>
        <v>8842.6083826872637</v>
      </c>
      <c r="O1423" s="64">
        <f>$L$1423-EFEITO!$O$1423*EFEITO!$AA$1423</f>
        <v>2366.9965800932114</v>
      </c>
      <c r="P1423" s="19"/>
      <c r="Q1423" s="19"/>
      <c r="R1423" s="19"/>
      <c r="S1423" s="19"/>
      <c r="T1423" s="19"/>
      <c r="U1423" s="19"/>
      <c r="V1423" s="19"/>
      <c r="W1423" s="19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</row>
    <row r="1424" spans="1:36" ht="11.25" customHeight="1" x14ac:dyDescent="0.2">
      <c r="A1424" s="55" t="s">
        <v>21</v>
      </c>
      <c r="B1424" s="55" t="s">
        <v>41</v>
      </c>
      <c r="C1424" s="55" t="s">
        <v>42</v>
      </c>
      <c r="D1424" s="55" t="s">
        <v>50</v>
      </c>
      <c r="E1424" s="55" t="s">
        <v>51</v>
      </c>
      <c r="F1424" s="55" t="s">
        <v>25</v>
      </c>
      <c r="G1424" s="55" t="s">
        <v>25</v>
      </c>
      <c r="H1424" s="55" t="s">
        <v>34</v>
      </c>
      <c r="I1424" s="63">
        <v>44593</v>
      </c>
      <c r="J1424" s="64">
        <f>EFEITO!$J$1424*EFEITO!$Y$1174</f>
        <v>0</v>
      </c>
      <c r="K1424" s="64">
        <f ca="1">EFEITO!$L$1424*EFEITO!$Z$1174</f>
        <v>262780.07033655827</v>
      </c>
      <c r="L1424" s="64">
        <f>EFEITO!$N$1424*EFEITO!$AA$1174</f>
        <v>70341.182249016667</v>
      </c>
      <c r="M1424" s="64">
        <f>$J$1424-EFEITO!$K$1424*EFEITO!$Y$1424</f>
        <v>0</v>
      </c>
      <c r="N1424" s="64">
        <f ca="1">$K$1424-EFEITO!$M$1424*EFEITO!$Z$1424</f>
        <v>7883.4021100967948</v>
      </c>
      <c r="O1424" s="64">
        <f>$L$1424-EFEITO!$O$1424*EFEITO!$AA$1424</f>
        <v>2110.2354674704984</v>
      </c>
      <c r="P1424" s="19"/>
      <c r="Q1424" s="19"/>
      <c r="R1424" s="19"/>
      <c r="S1424" s="19"/>
      <c r="T1424" s="19"/>
      <c r="U1424" s="19"/>
      <c r="V1424" s="19"/>
      <c r="W1424" s="19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</row>
    <row r="1425" spans="1:36" ht="11.25" customHeight="1" x14ac:dyDescent="0.2">
      <c r="A1425" s="55" t="s">
        <v>21</v>
      </c>
      <c r="B1425" s="55" t="s">
        <v>41</v>
      </c>
      <c r="C1425" s="55" t="s">
        <v>42</v>
      </c>
      <c r="D1425" s="55" t="s">
        <v>50</v>
      </c>
      <c r="E1425" s="55" t="s">
        <v>51</v>
      </c>
      <c r="F1425" s="55" t="s">
        <v>25</v>
      </c>
      <c r="G1425" s="55" t="s">
        <v>25</v>
      </c>
      <c r="H1425" s="55" t="s">
        <v>34</v>
      </c>
      <c r="I1425" s="63">
        <v>44621</v>
      </c>
      <c r="J1425" s="64">
        <f>EFEITO!$J$1425*EFEITO!$Y$1174</f>
        <v>0</v>
      </c>
      <c r="K1425" s="64">
        <f ca="1">EFEITO!$L$1425*EFEITO!$Z$1174</f>
        <v>258897.27074566772</v>
      </c>
      <c r="L1425" s="64">
        <f>EFEITO!$N$1425*EFEITO!$AA$1174</f>
        <v>69301.83130695537</v>
      </c>
      <c r="M1425" s="64">
        <f>$J$1425-EFEITO!$K$1425*EFEITO!$Y$1425</f>
        <v>0</v>
      </c>
      <c r="N1425" s="64">
        <f ca="1">$K$1425-EFEITO!$M$1425*EFEITO!$Z$1425</f>
        <v>7766.918122370058</v>
      </c>
      <c r="O1425" s="64">
        <f>$L$1425-EFEITO!$O$1425*EFEITO!$AA$1425</f>
        <v>2079.0549392086687</v>
      </c>
      <c r="P1425" s="19"/>
      <c r="Q1425" s="19"/>
      <c r="R1425" s="19"/>
      <c r="S1425" s="19"/>
      <c r="T1425" s="19"/>
      <c r="U1425" s="19"/>
      <c r="V1425" s="19"/>
      <c r="W1425" s="19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</row>
    <row r="1426" spans="1:36" ht="11.25" customHeight="1" x14ac:dyDescent="0.2">
      <c r="A1426" s="55" t="s">
        <v>21</v>
      </c>
      <c r="B1426" s="55" t="s">
        <v>41</v>
      </c>
      <c r="C1426" s="55" t="s">
        <v>42</v>
      </c>
      <c r="D1426" s="55" t="s">
        <v>50</v>
      </c>
      <c r="E1426" s="55" t="s">
        <v>51</v>
      </c>
      <c r="F1426" s="55" t="s">
        <v>25</v>
      </c>
      <c r="G1426" s="55" t="s">
        <v>25</v>
      </c>
      <c r="H1426" s="55" t="s">
        <v>34</v>
      </c>
      <c r="I1426" s="63">
        <v>44652</v>
      </c>
      <c r="J1426" s="64">
        <f>EFEITO!$J$1426*EFEITO!$Y$1174</f>
        <v>0</v>
      </c>
      <c r="K1426" s="64">
        <f ca="1">EFEITO!$L$1426*EFEITO!$Z$1174</f>
        <v>265521.58256069833</v>
      </c>
      <c r="L1426" s="64">
        <f>EFEITO!$N$1426*EFEITO!$AA$1174</f>
        <v>71075.032463567419</v>
      </c>
      <c r="M1426" s="64">
        <f>$J$1426-EFEITO!$K$1426*EFEITO!$Y$1426</f>
        <v>0</v>
      </c>
      <c r="N1426" s="64">
        <f ca="1">$K$1426-EFEITO!$M$1426*EFEITO!$Z$1426</f>
        <v>7965.6474768209737</v>
      </c>
      <c r="O1426" s="64">
        <f>$L$1426-EFEITO!$O$1426*EFEITO!$AA$1426</f>
        <v>2132.2509739070374</v>
      </c>
      <c r="P1426" s="19"/>
      <c r="Q1426" s="19"/>
      <c r="R1426" s="19"/>
      <c r="S1426" s="19"/>
      <c r="T1426" s="19"/>
      <c r="U1426" s="19"/>
      <c r="V1426" s="19"/>
      <c r="W1426" s="19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</row>
    <row r="1427" spans="1:36" ht="11.25" customHeight="1" x14ac:dyDescent="0.2">
      <c r="A1427" s="55" t="s">
        <v>21</v>
      </c>
      <c r="B1427" s="55" t="s">
        <v>41</v>
      </c>
      <c r="C1427" s="55" t="s">
        <v>42</v>
      </c>
      <c r="D1427" s="55" t="s">
        <v>50</v>
      </c>
      <c r="E1427" s="55" t="s">
        <v>51</v>
      </c>
      <c r="F1427" s="55" t="s">
        <v>25</v>
      </c>
      <c r="G1427" s="55" t="s">
        <v>25</v>
      </c>
      <c r="H1427" s="55" t="s">
        <v>34</v>
      </c>
      <c r="I1427" s="63">
        <v>44682</v>
      </c>
      <c r="J1427" s="64">
        <f>EFEITO!$J$1427*EFEITO!$Y$1174</f>
        <v>0</v>
      </c>
      <c r="K1427" s="64">
        <f ca="1">EFEITO!$L$1427*EFEITO!$Z$1174</f>
        <v>281560.16929367674</v>
      </c>
      <c r="L1427" s="64">
        <f>EFEITO!$N$1427*EFEITO!$AA$1174</f>
        <v>75368.254361849788</v>
      </c>
      <c r="M1427" s="64">
        <f>$J$1427-EFEITO!$K$1427*EFEITO!$Y$1427</f>
        <v>0</v>
      </c>
      <c r="N1427" s="64">
        <f ca="1">$K$1427-EFEITO!$M$1427*EFEITO!$Z$1427</f>
        <v>8446.8050788103137</v>
      </c>
      <c r="O1427" s="64">
        <f>$L$1427-EFEITO!$O$1427*EFEITO!$AA$1427</f>
        <v>2261.0476308554935</v>
      </c>
      <c r="P1427" s="19"/>
      <c r="Q1427" s="19"/>
      <c r="R1427" s="19"/>
      <c r="S1427" s="19"/>
      <c r="T1427" s="19"/>
      <c r="U1427" s="19"/>
      <c r="V1427" s="19"/>
      <c r="W1427" s="19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</row>
    <row r="1428" spans="1:36" ht="11.25" customHeight="1" x14ac:dyDescent="0.2">
      <c r="A1428" s="55" t="s">
        <v>21</v>
      </c>
      <c r="B1428" s="55" t="s">
        <v>41</v>
      </c>
      <c r="C1428" s="55" t="s">
        <v>42</v>
      </c>
      <c r="D1428" s="55" t="s">
        <v>50</v>
      </c>
      <c r="E1428" s="55" t="s">
        <v>51</v>
      </c>
      <c r="F1428" s="55" t="s">
        <v>25</v>
      </c>
      <c r="G1428" s="55" t="s">
        <v>25</v>
      </c>
      <c r="H1428" s="55" t="s">
        <v>34</v>
      </c>
      <c r="I1428" s="63">
        <v>44713</v>
      </c>
      <c r="J1428" s="64">
        <f>EFEITO!$J$1428*EFEITO!$Y$1174</f>
        <v>0</v>
      </c>
      <c r="K1428" s="64">
        <f ca="1">EFEITO!$L$1428*EFEITO!$Z$1174</f>
        <v>289131.9649603492</v>
      </c>
      <c r="L1428" s="64">
        <f>EFEITO!$N$1428*EFEITO!$AA$1174</f>
        <v>77395.078763942307</v>
      </c>
      <c r="M1428" s="64">
        <f>$J$1428-EFEITO!$K$1428*EFEITO!$Y$1428</f>
        <v>0</v>
      </c>
      <c r="N1428" s="64">
        <f ca="1">$K$1428-EFEITO!$M$1428*EFEITO!$Z$1428</f>
        <v>8673.9589488104684</v>
      </c>
      <c r="O1428" s="64">
        <f>$L$1428-EFEITO!$O$1428*EFEITO!$AA$1428</f>
        <v>2321.8523629182746</v>
      </c>
      <c r="P1428" s="19"/>
      <c r="Q1428" s="19"/>
      <c r="R1428" s="19"/>
      <c r="S1428" s="19"/>
      <c r="T1428" s="19"/>
      <c r="U1428" s="19"/>
      <c r="V1428" s="19"/>
      <c r="W1428" s="19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</row>
    <row r="1429" spans="1:36" ht="11.25" customHeight="1" x14ac:dyDescent="0.2">
      <c r="A1429" s="55" t="s">
        <v>57</v>
      </c>
      <c r="B1429" s="55" t="s">
        <v>41</v>
      </c>
      <c r="C1429" s="55" t="s">
        <v>42</v>
      </c>
      <c r="D1429" s="55" t="s">
        <v>50</v>
      </c>
      <c r="E1429" s="55" t="s">
        <v>51</v>
      </c>
      <c r="F1429" s="55" t="s">
        <v>25</v>
      </c>
      <c r="G1429" s="55" t="s">
        <v>25</v>
      </c>
      <c r="H1429" s="55" t="s">
        <v>34</v>
      </c>
      <c r="I1429" s="63">
        <v>44743</v>
      </c>
      <c r="J1429" s="64">
        <f>EFEITO!$J$1429*EFEITO!$Y$1174</f>
        <v>0</v>
      </c>
      <c r="K1429" s="64">
        <f ca="1">EFEITO!$L$1429*EFEITO!$Z$1174</f>
        <v>289131.9649603492</v>
      </c>
      <c r="L1429" s="64">
        <f>EFEITO!$N$1429*EFEITO!$AA$1174</f>
        <v>77395.078763942307</v>
      </c>
      <c r="M1429" s="64">
        <f>$J$1429-EFEITO!$K$1429*EFEITO!$Y$1429</f>
        <v>0</v>
      </c>
      <c r="N1429" s="64">
        <f ca="1">$K$1429-EFEITO!$M$1429*EFEITO!$Z$1429</f>
        <v>8673.9589488104684</v>
      </c>
      <c r="O1429" s="64">
        <f>$L$1429-EFEITO!$O$1429*EFEITO!$AA$1429</f>
        <v>2321.8523629182746</v>
      </c>
      <c r="P1429" s="19"/>
      <c r="Q1429" s="19"/>
      <c r="R1429" s="19"/>
      <c r="S1429" s="19"/>
      <c r="T1429" s="19"/>
      <c r="U1429" s="19"/>
      <c r="V1429" s="19"/>
      <c r="W1429" s="19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</row>
    <row r="1430" spans="1:36" ht="11.25" customHeight="1" x14ac:dyDescent="0.2">
      <c r="A1430" s="55" t="s">
        <v>21</v>
      </c>
      <c r="B1430" s="55" t="s">
        <v>22</v>
      </c>
      <c r="C1430" s="55" t="s">
        <v>33</v>
      </c>
      <c r="D1430" s="55" t="s">
        <v>24</v>
      </c>
      <c r="E1430" s="55" t="s">
        <v>24</v>
      </c>
      <c r="F1430" s="55" t="s">
        <v>25</v>
      </c>
      <c r="G1430" s="55" t="s">
        <v>25</v>
      </c>
      <c r="H1430" s="55" t="s">
        <v>35</v>
      </c>
      <c r="I1430" s="63">
        <v>44409</v>
      </c>
      <c r="J1430" s="64">
        <f>EFEITO!$J$1430*EFEITO!$Y$1430</f>
        <v>0</v>
      </c>
      <c r="K1430" s="64">
        <f ca="1">EFEITO!$L$1430*EFEITO!$Z$1430</f>
        <v>27587.490160002177</v>
      </c>
      <c r="L1430" s="64">
        <f>EFEITO!$N$1430*EFEITO!$AA$1430</f>
        <v>24094.268939325568</v>
      </c>
      <c r="M1430" s="64">
        <f>$J$1430-EFEITO!$K$1430*EFEITO!$Y$1430</f>
        <v>0</v>
      </c>
      <c r="N1430" s="64">
        <f ca="1">$K$1430-EFEITO!$M$1430*EFEITO!$Z$1430</f>
        <v>0</v>
      </c>
      <c r="O1430" s="64">
        <f>$L$1430-EFEITO!$O$1430*EFEITO!$AA$1430</f>
        <v>0</v>
      </c>
      <c r="P1430" s="19"/>
      <c r="Q1430" s="19"/>
      <c r="R1430" s="19"/>
      <c r="S1430" s="19"/>
      <c r="T1430" s="19"/>
      <c r="U1430" s="19"/>
      <c r="V1430" s="19"/>
      <c r="W1430" s="19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</row>
    <row r="1431" spans="1:36" ht="11.25" customHeight="1" x14ac:dyDescent="0.2">
      <c r="A1431" s="55" t="s">
        <v>28</v>
      </c>
      <c r="B1431" s="55" t="s">
        <v>22</v>
      </c>
      <c r="C1431" s="55" t="s">
        <v>33</v>
      </c>
      <c r="D1431" s="55" t="s">
        <v>24</v>
      </c>
      <c r="E1431" s="55" t="s">
        <v>24</v>
      </c>
      <c r="F1431" s="55" t="s">
        <v>25</v>
      </c>
      <c r="G1431" s="55" t="s">
        <v>25</v>
      </c>
      <c r="H1431" s="55" t="s">
        <v>35</v>
      </c>
      <c r="I1431" s="63">
        <v>44409</v>
      </c>
      <c r="J1431" s="64">
        <f>EFEITO!$J$1431*EFEITO!$Y$1431</f>
        <v>0</v>
      </c>
      <c r="K1431" s="64">
        <f ca="1">EFEITO!$L$1431*EFEITO!$Z$1431</f>
        <v>36.620209906410103</v>
      </c>
      <c r="L1431" s="64">
        <f>EFEITO!$N$1431*EFEITO!$AA$1431</f>
        <v>31.983235190378398</v>
      </c>
      <c r="M1431" s="64">
        <f>$J$1431-EFEITO!$K$1431*EFEITO!$Y$1431</f>
        <v>0</v>
      </c>
      <c r="N1431" s="64">
        <f ca="1">$K$1431-EFEITO!$M$1431*EFEITO!$Z$1431</f>
        <v>0</v>
      </c>
      <c r="O1431" s="64">
        <f>$L$1431-EFEITO!$O$1431*EFEITO!$AA$1431</f>
        <v>0</v>
      </c>
      <c r="P1431" s="19"/>
      <c r="Q1431" s="19"/>
      <c r="R1431" s="19"/>
      <c r="S1431" s="19"/>
      <c r="T1431" s="19"/>
      <c r="U1431" s="19"/>
      <c r="V1431" s="19"/>
      <c r="W1431" s="19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</row>
    <row r="1432" spans="1:36" ht="11.25" customHeight="1" x14ac:dyDescent="0.2">
      <c r="A1432" s="55" t="s">
        <v>21</v>
      </c>
      <c r="B1432" s="55" t="s">
        <v>22</v>
      </c>
      <c r="C1432" s="55" t="s">
        <v>33</v>
      </c>
      <c r="D1432" s="55" t="s">
        <v>24</v>
      </c>
      <c r="E1432" s="55" t="s">
        <v>24</v>
      </c>
      <c r="F1432" s="55" t="s">
        <v>25</v>
      </c>
      <c r="G1432" s="55" t="s">
        <v>25</v>
      </c>
      <c r="H1432" s="55" t="s">
        <v>35</v>
      </c>
      <c r="I1432" s="63">
        <v>44440</v>
      </c>
      <c r="J1432" s="64">
        <f>EFEITO!$J$1432*EFEITO!$Y$1432</f>
        <v>0</v>
      </c>
      <c r="K1432" s="64">
        <f ca="1">EFEITO!$L$1432*EFEITO!$Z$1432</f>
        <v>27373.076177361749</v>
      </c>
      <c r="L1432" s="64">
        <f>EFEITO!$N$1432*EFEITO!$AA$1432</f>
        <v>23907.004779660165</v>
      </c>
      <c r="M1432" s="64">
        <f>$J$1432-EFEITO!$K$1432*EFEITO!$Y$1432</f>
        <v>0</v>
      </c>
      <c r="N1432" s="64">
        <f ca="1">$K$1432-EFEITO!$M$1432*EFEITO!$Z$1432</f>
        <v>0</v>
      </c>
      <c r="O1432" s="64">
        <f>$L$1432-EFEITO!$O$1432*EFEITO!$AA$1432</f>
        <v>0</v>
      </c>
      <c r="P1432" s="19"/>
      <c r="Q1432" s="19"/>
      <c r="R1432" s="19"/>
      <c r="S1432" s="19"/>
      <c r="T1432" s="19"/>
      <c r="U1432" s="19"/>
      <c r="V1432" s="19"/>
      <c r="W1432" s="19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</row>
    <row r="1433" spans="1:36" ht="11.25" customHeight="1" x14ac:dyDescent="0.2">
      <c r="A1433" s="55" t="s">
        <v>28</v>
      </c>
      <c r="B1433" s="55" t="s">
        <v>22</v>
      </c>
      <c r="C1433" s="55" t="s">
        <v>33</v>
      </c>
      <c r="D1433" s="55" t="s">
        <v>24</v>
      </c>
      <c r="E1433" s="55" t="s">
        <v>24</v>
      </c>
      <c r="F1433" s="55" t="s">
        <v>25</v>
      </c>
      <c r="G1433" s="55" t="s">
        <v>25</v>
      </c>
      <c r="H1433" s="55" t="s">
        <v>35</v>
      </c>
      <c r="I1433" s="63">
        <v>44440</v>
      </c>
      <c r="J1433" s="64">
        <f>EFEITO!$J$1433*EFEITO!$Y$1433</f>
        <v>0</v>
      </c>
      <c r="K1433" s="64">
        <f ca="1">EFEITO!$L$1433*EFEITO!$Z$1433</f>
        <v>68.198506854691274</v>
      </c>
      <c r="L1433" s="64">
        <f>EFEITO!$N$1433*EFEITO!$AA$1433</f>
        <v>59.562981477733686</v>
      </c>
      <c r="M1433" s="64">
        <f>$J$1433-EFEITO!$K$1433*EFEITO!$Y$1433</f>
        <v>0</v>
      </c>
      <c r="N1433" s="64">
        <f ca="1">$K$1433-EFEITO!$M$1433*EFEITO!$Z$1433</f>
        <v>0</v>
      </c>
      <c r="O1433" s="64">
        <f>$L$1433-EFEITO!$O$1433*EFEITO!$AA$1433</f>
        <v>0</v>
      </c>
      <c r="P1433" s="19"/>
      <c r="Q1433" s="19"/>
      <c r="R1433" s="19"/>
      <c r="S1433" s="19"/>
      <c r="T1433" s="19"/>
      <c r="U1433" s="19"/>
      <c r="V1433" s="19"/>
      <c r="W1433" s="19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</row>
    <row r="1434" spans="1:36" ht="11.25" customHeight="1" x14ac:dyDescent="0.2">
      <c r="A1434" s="55" t="s">
        <v>21</v>
      </c>
      <c r="B1434" s="55" t="s">
        <v>22</v>
      </c>
      <c r="C1434" s="55" t="s">
        <v>33</v>
      </c>
      <c r="D1434" s="55" t="s">
        <v>24</v>
      </c>
      <c r="E1434" s="55" t="s">
        <v>24</v>
      </c>
      <c r="F1434" s="55" t="s">
        <v>25</v>
      </c>
      <c r="G1434" s="55" t="s">
        <v>25</v>
      </c>
      <c r="H1434" s="55" t="s">
        <v>35</v>
      </c>
      <c r="I1434" s="63">
        <v>44470</v>
      </c>
      <c r="J1434" s="64">
        <f>EFEITO!$J$1434*EFEITO!$Y$1434</f>
        <v>0</v>
      </c>
      <c r="K1434" s="64">
        <f ca="1">EFEITO!$L$1434*EFEITO!$Z$1434</f>
        <v>30850.138571591393</v>
      </c>
      <c r="L1434" s="64">
        <f>EFEITO!$N$1434*EFEITO!$AA$1434</f>
        <v>26943.789784729208</v>
      </c>
      <c r="M1434" s="64">
        <f>$J$1434-EFEITO!$K$1434*EFEITO!$Y$1434</f>
        <v>0</v>
      </c>
      <c r="N1434" s="64">
        <f ca="1">$K$1434-EFEITO!$M$1434*EFEITO!$Z$1434</f>
        <v>0</v>
      </c>
      <c r="O1434" s="64">
        <f>$L$1434-EFEITO!$O$1434*EFEITO!$AA$1434</f>
        <v>0</v>
      </c>
      <c r="P1434" s="19"/>
      <c r="Q1434" s="19"/>
      <c r="R1434" s="19"/>
      <c r="S1434" s="19"/>
      <c r="T1434" s="19"/>
      <c r="U1434" s="19"/>
      <c r="V1434" s="19"/>
      <c r="W1434" s="19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</row>
    <row r="1435" spans="1:36" ht="11.25" customHeight="1" x14ac:dyDescent="0.2">
      <c r="A1435" s="55" t="s">
        <v>28</v>
      </c>
      <c r="B1435" s="55" t="s">
        <v>22</v>
      </c>
      <c r="C1435" s="55" t="s">
        <v>33</v>
      </c>
      <c r="D1435" s="55" t="s">
        <v>24</v>
      </c>
      <c r="E1435" s="55" t="s">
        <v>24</v>
      </c>
      <c r="F1435" s="55" t="s">
        <v>25</v>
      </c>
      <c r="G1435" s="55" t="s">
        <v>25</v>
      </c>
      <c r="H1435" s="55" t="s">
        <v>35</v>
      </c>
      <c r="I1435" s="63">
        <v>44470</v>
      </c>
      <c r="J1435" s="64">
        <f>EFEITO!$J$1435*EFEITO!$Y$1435</f>
        <v>0</v>
      </c>
      <c r="K1435" s="64">
        <f ca="1">EFEITO!$L$1435*EFEITO!$Z$1435</f>
        <v>127.10927931282924</v>
      </c>
      <c r="L1435" s="64">
        <f>EFEITO!$N$1435*EFEITO!$AA$1435</f>
        <v>111.0142728709511</v>
      </c>
      <c r="M1435" s="64">
        <f>$J$1435-EFEITO!$K$1435*EFEITO!$Y$1435</f>
        <v>0</v>
      </c>
      <c r="N1435" s="64">
        <f ca="1">$K$1435-EFEITO!$M$1435*EFEITO!$Z$1435</f>
        <v>0</v>
      </c>
      <c r="O1435" s="64">
        <f>$L$1435-EFEITO!$O$1435*EFEITO!$AA$1435</f>
        <v>0</v>
      </c>
      <c r="P1435" s="19"/>
      <c r="Q1435" s="19"/>
      <c r="R1435" s="19"/>
      <c r="S1435" s="19"/>
      <c r="T1435" s="19"/>
      <c r="U1435" s="19"/>
      <c r="V1435" s="19"/>
      <c r="W1435" s="19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</row>
    <row r="1436" spans="1:36" ht="11.25" customHeight="1" x14ac:dyDescent="0.2">
      <c r="A1436" s="55" t="s">
        <v>21</v>
      </c>
      <c r="B1436" s="55" t="s">
        <v>22</v>
      </c>
      <c r="C1436" s="55" t="s">
        <v>33</v>
      </c>
      <c r="D1436" s="55" t="s">
        <v>24</v>
      </c>
      <c r="E1436" s="55" t="s">
        <v>24</v>
      </c>
      <c r="F1436" s="55" t="s">
        <v>25</v>
      </c>
      <c r="G1436" s="55" t="s">
        <v>25</v>
      </c>
      <c r="H1436" s="55" t="s">
        <v>35</v>
      </c>
      <c r="I1436" s="63">
        <v>44501</v>
      </c>
      <c r="J1436" s="64">
        <f>EFEITO!$J$1436*EFEITO!$Y$1436</f>
        <v>0</v>
      </c>
      <c r="K1436" s="64">
        <f ca="1">EFEITO!$L$1436*EFEITO!$Z$1436</f>
        <v>30784.859066975619</v>
      </c>
      <c r="L1436" s="64">
        <f>EFEITO!$N$1436*EFEITO!$AA$1436</f>
        <v>26886.776191563753</v>
      </c>
      <c r="M1436" s="64">
        <f>$J$1436-EFEITO!$K$1436*EFEITO!$Y$1436</f>
        <v>0</v>
      </c>
      <c r="N1436" s="64">
        <f ca="1">$K$1436-EFEITO!$M$1436*EFEITO!$Z$1436</f>
        <v>0</v>
      </c>
      <c r="O1436" s="64">
        <f>$L$1436-EFEITO!$O$1436*EFEITO!$AA$1436</f>
        <v>0</v>
      </c>
      <c r="P1436" s="19"/>
      <c r="Q1436" s="19"/>
      <c r="R1436" s="19"/>
      <c r="S1436" s="19"/>
      <c r="T1436" s="19"/>
      <c r="U1436" s="19"/>
      <c r="V1436" s="19"/>
      <c r="W1436" s="19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</row>
    <row r="1437" spans="1:36" ht="11.25" customHeight="1" x14ac:dyDescent="0.2">
      <c r="A1437" s="55" t="s">
        <v>27</v>
      </c>
      <c r="B1437" s="55" t="s">
        <v>22</v>
      </c>
      <c r="C1437" s="55" t="s">
        <v>33</v>
      </c>
      <c r="D1437" s="55" t="s">
        <v>24</v>
      </c>
      <c r="E1437" s="55" t="s">
        <v>24</v>
      </c>
      <c r="F1437" s="55" t="s">
        <v>25</v>
      </c>
      <c r="G1437" s="55" t="s">
        <v>25</v>
      </c>
      <c r="H1437" s="55" t="s">
        <v>35</v>
      </c>
      <c r="I1437" s="63">
        <v>44501</v>
      </c>
      <c r="J1437" s="64">
        <f>EFEITO!$J$1437*EFEITO!$Y$1437</f>
        <v>0</v>
      </c>
      <c r="K1437" s="64">
        <f ca="1">EFEITO!$L$1437*EFEITO!$Z$1437</f>
        <v>67.402415334986699</v>
      </c>
      <c r="L1437" s="64">
        <f>EFEITO!$N$1437*EFEITO!$AA$1437</f>
        <v>58.867693756203714</v>
      </c>
      <c r="M1437" s="64">
        <f>$J$1437-EFEITO!$K$1437*EFEITO!$Y$1437</f>
        <v>0</v>
      </c>
      <c r="N1437" s="64">
        <f ca="1">$K$1437-EFEITO!$M$1437*EFEITO!$Z$1437</f>
        <v>0</v>
      </c>
      <c r="O1437" s="64">
        <f>$L$1437-EFEITO!$O$1437*EFEITO!$AA$1437</f>
        <v>0</v>
      </c>
      <c r="P1437" s="19"/>
      <c r="Q1437" s="19"/>
      <c r="R1437" s="19"/>
      <c r="S1437" s="19"/>
      <c r="T1437" s="19"/>
      <c r="U1437" s="19"/>
      <c r="V1437" s="19"/>
      <c r="W1437" s="19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</row>
    <row r="1438" spans="1:36" ht="11.25" customHeight="1" x14ac:dyDescent="0.2">
      <c r="A1438" s="55" t="s">
        <v>28</v>
      </c>
      <c r="B1438" s="55" t="s">
        <v>22</v>
      </c>
      <c r="C1438" s="55" t="s">
        <v>33</v>
      </c>
      <c r="D1438" s="55" t="s">
        <v>24</v>
      </c>
      <c r="E1438" s="55" t="s">
        <v>24</v>
      </c>
      <c r="F1438" s="55" t="s">
        <v>25</v>
      </c>
      <c r="G1438" s="55" t="s">
        <v>25</v>
      </c>
      <c r="H1438" s="55" t="s">
        <v>35</v>
      </c>
      <c r="I1438" s="63">
        <v>44501</v>
      </c>
      <c r="J1438" s="64">
        <f>EFEITO!$J$1438*EFEITO!$Y$1438</f>
        <v>0</v>
      </c>
      <c r="K1438" s="64">
        <f ca="1">EFEITO!$L$1438*EFEITO!$Z$1438</f>
        <v>1134.9611432588115</v>
      </c>
      <c r="L1438" s="64">
        <f>EFEITO!$N$1438*EFEITO!$AA$1438</f>
        <v>991.24852832788702</v>
      </c>
      <c r="M1438" s="64">
        <f>$J$1438-EFEITO!$K$1438*EFEITO!$Y$1438</f>
        <v>0</v>
      </c>
      <c r="N1438" s="64">
        <f ca="1">$K$1438-EFEITO!$M$1438*EFEITO!$Z$1438</f>
        <v>0</v>
      </c>
      <c r="O1438" s="64">
        <f>$L$1438-EFEITO!$O$1438*EFEITO!$AA$1438</f>
        <v>0</v>
      </c>
      <c r="P1438" s="19"/>
      <c r="Q1438" s="19"/>
      <c r="R1438" s="19"/>
      <c r="S1438" s="19"/>
      <c r="T1438" s="19"/>
      <c r="U1438" s="19"/>
      <c r="V1438" s="19"/>
      <c r="W1438" s="19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</row>
    <row r="1439" spans="1:36" ht="11.25" customHeight="1" x14ac:dyDescent="0.2">
      <c r="A1439" s="55" t="s">
        <v>21</v>
      </c>
      <c r="B1439" s="55" t="s">
        <v>22</v>
      </c>
      <c r="C1439" s="55" t="s">
        <v>33</v>
      </c>
      <c r="D1439" s="55" t="s">
        <v>24</v>
      </c>
      <c r="E1439" s="55" t="s">
        <v>24</v>
      </c>
      <c r="F1439" s="55" t="s">
        <v>25</v>
      </c>
      <c r="G1439" s="55" t="s">
        <v>25</v>
      </c>
      <c r="H1439" s="55" t="s">
        <v>35</v>
      </c>
      <c r="I1439" s="63">
        <v>44531</v>
      </c>
      <c r="J1439" s="64">
        <f>EFEITO!$J$1439*EFEITO!$Y$1439</f>
        <v>0</v>
      </c>
      <c r="K1439" s="64">
        <f ca="1">EFEITO!$L$1439*EFEITO!$Z$1439</f>
        <v>37256.552394493949</v>
      </c>
      <c r="L1439" s="64">
        <f>EFEITO!$N$1439*EFEITO!$AA$1439</f>
        <v>32539.001842454683</v>
      </c>
      <c r="M1439" s="64">
        <f>$J$1439-EFEITO!$K$1439*EFEITO!$Y$1439</f>
        <v>0</v>
      </c>
      <c r="N1439" s="64">
        <f ca="1">$K$1439-EFEITO!$M$1439*EFEITO!$Z$1439</f>
        <v>0</v>
      </c>
      <c r="O1439" s="64">
        <f>$L$1439-EFEITO!$O$1439*EFEITO!$AA$1439</f>
        <v>0</v>
      </c>
      <c r="P1439" s="19"/>
      <c r="Q1439" s="19"/>
      <c r="R1439" s="19"/>
      <c r="S1439" s="19"/>
      <c r="T1439" s="19"/>
      <c r="U1439" s="19"/>
      <c r="V1439" s="19"/>
      <c r="W1439" s="19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</row>
    <row r="1440" spans="1:36" ht="11.25" customHeight="1" x14ac:dyDescent="0.2">
      <c r="A1440" s="55" t="s">
        <v>27</v>
      </c>
      <c r="B1440" s="55" t="s">
        <v>22</v>
      </c>
      <c r="C1440" s="55" t="s">
        <v>33</v>
      </c>
      <c r="D1440" s="55" t="s">
        <v>24</v>
      </c>
      <c r="E1440" s="55" t="s">
        <v>24</v>
      </c>
      <c r="F1440" s="55" t="s">
        <v>25</v>
      </c>
      <c r="G1440" s="55" t="s">
        <v>25</v>
      </c>
      <c r="H1440" s="55" t="s">
        <v>35</v>
      </c>
      <c r="I1440" s="63">
        <v>44531</v>
      </c>
      <c r="J1440" s="64">
        <f>EFEITO!$J$1440*EFEITO!$Y$1440</f>
        <v>0</v>
      </c>
      <c r="K1440" s="64">
        <f ca="1">EFEITO!$L$1440*EFEITO!$Z$1440</f>
        <v>26.271020150250724</v>
      </c>
      <c r="L1440" s="64">
        <f>EFEITO!$N$1440*EFEITO!$AA$1440</f>
        <v>22.944494810488852</v>
      </c>
      <c r="M1440" s="64">
        <f>$J$1440-EFEITO!$K$1440*EFEITO!$Y$1440</f>
        <v>0</v>
      </c>
      <c r="N1440" s="64">
        <f ca="1">$K$1440-EFEITO!$M$1440*EFEITO!$Z$1440</f>
        <v>0</v>
      </c>
      <c r="O1440" s="64">
        <f>$L$1440-EFEITO!$O$1440*EFEITO!$AA$1440</f>
        <v>0</v>
      </c>
      <c r="P1440" s="19"/>
      <c r="Q1440" s="19"/>
      <c r="R1440" s="19"/>
      <c r="S1440" s="19"/>
      <c r="T1440" s="19"/>
      <c r="U1440" s="19"/>
      <c r="V1440" s="19"/>
      <c r="W1440" s="19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</row>
    <row r="1441" spans="1:36" ht="11.25" customHeight="1" x14ac:dyDescent="0.2">
      <c r="A1441" s="55" t="s">
        <v>28</v>
      </c>
      <c r="B1441" s="55" t="s">
        <v>22</v>
      </c>
      <c r="C1441" s="55" t="s">
        <v>33</v>
      </c>
      <c r="D1441" s="55" t="s">
        <v>24</v>
      </c>
      <c r="E1441" s="55" t="s">
        <v>24</v>
      </c>
      <c r="F1441" s="55" t="s">
        <v>25</v>
      </c>
      <c r="G1441" s="55" t="s">
        <v>25</v>
      </c>
      <c r="H1441" s="55" t="s">
        <v>35</v>
      </c>
      <c r="I1441" s="63">
        <v>44531</v>
      </c>
      <c r="J1441" s="64">
        <f>EFEITO!$J$1441*EFEITO!$Y$1441</f>
        <v>0</v>
      </c>
      <c r="K1441" s="64">
        <f ca="1">EFEITO!$L$1441*EFEITO!$Z$1441</f>
        <v>1561.1354701406567</v>
      </c>
      <c r="L1441" s="64">
        <f>EFEITO!$N$1441*EFEITO!$AA$1441</f>
        <v>1363.4592219202616</v>
      </c>
      <c r="M1441" s="64">
        <f>$J$1441-EFEITO!$K$1441*EFEITO!$Y$1441</f>
        <v>0</v>
      </c>
      <c r="N1441" s="64">
        <f ca="1">$K$1441-EFEITO!$M$1441*EFEITO!$Z$1441</f>
        <v>0</v>
      </c>
      <c r="O1441" s="64">
        <f>$L$1441-EFEITO!$O$1441*EFEITO!$AA$1441</f>
        <v>0</v>
      </c>
      <c r="P1441" s="19"/>
      <c r="Q1441" s="19"/>
      <c r="R1441" s="19"/>
      <c r="S1441" s="19"/>
      <c r="T1441" s="19"/>
      <c r="U1441" s="19"/>
      <c r="V1441" s="19"/>
      <c r="W1441" s="19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</row>
    <row r="1442" spans="1:36" ht="11.25" customHeight="1" x14ac:dyDescent="0.2">
      <c r="A1442" s="55" t="s">
        <v>21</v>
      </c>
      <c r="B1442" s="55" t="s">
        <v>22</v>
      </c>
      <c r="C1442" s="55" t="s">
        <v>33</v>
      </c>
      <c r="D1442" s="55" t="s">
        <v>24</v>
      </c>
      <c r="E1442" s="55" t="s">
        <v>24</v>
      </c>
      <c r="F1442" s="55" t="s">
        <v>25</v>
      </c>
      <c r="G1442" s="55" t="s">
        <v>25</v>
      </c>
      <c r="H1442" s="55" t="s">
        <v>35</v>
      </c>
      <c r="I1442" s="63">
        <v>44562</v>
      </c>
      <c r="J1442" s="64">
        <f>EFEITO!$J$1442*EFEITO!$Y$1442</f>
        <v>0</v>
      </c>
      <c r="K1442" s="64">
        <f ca="1">EFEITO!$L$1442*EFEITO!$Z$1442</f>
        <v>32910.423424586814</v>
      </c>
      <c r="L1442" s="64">
        <f>EFEITO!$N$1442*EFEITO!$AA$1442</f>
        <v>28743.194408048759</v>
      </c>
      <c r="M1442" s="64">
        <f>$J$1442-EFEITO!$K$1442*EFEITO!$Y$1442</f>
        <v>0</v>
      </c>
      <c r="N1442" s="64">
        <f ca="1">$K$1442-EFEITO!$M$1442*EFEITO!$Z$1442</f>
        <v>0</v>
      </c>
      <c r="O1442" s="64">
        <f>$L$1442-EFEITO!$O$1442*EFEITO!$AA$1442</f>
        <v>0</v>
      </c>
      <c r="P1442" s="19"/>
      <c r="Q1442" s="19"/>
      <c r="R1442" s="19"/>
      <c r="S1442" s="19"/>
      <c r="T1442" s="19"/>
      <c r="U1442" s="19"/>
      <c r="V1442" s="19"/>
      <c r="W1442" s="19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</row>
    <row r="1443" spans="1:36" ht="11.25" customHeight="1" x14ac:dyDescent="0.2">
      <c r="A1443" s="55" t="s">
        <v>27</v>
      </c>
      <c r="B1443" s="55" t="s">
        <v>22</v>
      </c>
      <c r="C1443" s="55" t="s">
        <v>33</v>
      </c>
      <c r="D1443" s="55" t="s">
        <v>24</v>
      </c>
      <c r="E1443" s="55" t="s">
        <v>24</v>
      </c>
      <c r="F1443" s="55" t="s">
        <v>25</v>
      </c>
      <c r="G1443" s="55" t="s">
        <v>25</v>
      </c>
      <c r="H1443" s="55" t="s">
        <v>35</v>
      </c>
      <c r="I1443" s="63">
        <v>44562</v>
      </c>
      <c r="J1443" s="64">
        <f>EFEITO!$J$1443*EFEITO!$Y$1443</f>
        <v>0</v>
      </c>
      <c r="K1443" s="64">
        <f ca="1">EFEITO!$L$1443*EFEITO!$Z$1443</f>
        <v>-1498.2442400839957</v>
      </c>
      <c r="L1443" s="64">
        <f>EFEITO!$N$1443*EFEITO!$AA$1443</f>
        <v>-1308.5314919193945</v>
      </c>
      <c r="M1443" s="64">
        <f>$J$1443-EFEITO!$K$1443*EFEITO!$Y$1443</f>
        <v>0</v>
      </c>
      <c r="N1443" s="64">
        <f ca="1">$K$1443-EFEITO!$M$1443*EFEITO!$Z$1443</f>
        <v>0</v>
      </c>
      <c r="O1443" s="64">
        <f>$L$1443-EFEITO!$O$1443*EFEITO!$AA$1443</f>
        <v>0</v>
      </c>
      <c r="P1443" s="19"/>
      <c r="Q1443" s="19"/>
      <c r="R1443" s="19"/>
      <c r="S1443" s="19"/>
      <c r="T1443" s="19"/>
      <c r="U1443" s="19"/>
      <c r="V1443" s="19"/>
      <c r="W1443" s="19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</row>
    <row r="1444" spans="1:36" ht="11.25" customHeight="1" x14ac:dyDescent="0.2">
      <c r="A1444" s="55" t="s">
        <v>28</v>
      </c>
      <c r="B1444" s="55" t="s">
        <v>22</v>
      </c>
      <c r="C1444" s="55" t="s">
        <v>33</v>
      </c>
      <c r="D1444" s="55" t="s">
        <v>24</v>
      </c>
      <c r="E1444" s="55" t="s">
        <v>24</v>
      </c>
      <c r="F1444" s="55" t="s">
        <v>25</v>
      </c>
      <c r="G1444" s="55" t="s">
        <v>25</v>
      </c>
      <c r="H1444" s="55" t="s">
        <v>35</v>
      </c>
      <c r="I1444" s="63">
        <v>44562</v>
      </c>
      <c r="J1444" s="64">
        <f>EFEITO!$J$1444*EFEITO!$Y$1444</f>
        <v>0</v>
      </c>
      <c r="K1444" s="64">
        <f ca="1">EFEITO!$L$1444*EFEITO!$Z$1444</f>
        <v>655.71404839666195</v>
      </c>
      <c r="L1444" s="64">
        <f>EFEITO!$N$1444*EFEITO!$AA$1444</f>
        <v>572.68531996684794</v>
      </c>
      <c r="M1444" s="64">
        <f>$J$1444-EFEITO!$K$1444*EFEITO!$Y$1444</f>
        <v>0</v>
      </c>
      <c r="N1444" s="64">
        <f ca="1">$K$1444-EFEITO!$M$1444*EFEITO!$Z$1444</f>
        <v>0</v>
      </c>
      <c r="O1444" s="64">
        <f>$L$1444-EFEITO!$O$1444*EFEITO!$AA$1444</f>
        <v>0</v>
      </c>
      <c r="P1444" s="19"/>
      <c r="Q1444" s="19"/>
      <c r="R1444" s="19"/>
      <c r="S1444" s="19"/>
      <c r="T1444" s="19"/>
      <c r="U1444" s="19"/>
      <c r="V1444" s="19"/>
      <c r="W1444" s="19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</row>
    <row r="1445" spans="1:36" ht="11.25" customHeight="1" x14ac:dyDescent="0.2">
      <c r="A1445" s="55" t="s">
        <v>28</v>
      </c>
      <c r="B1445" s="55" t="s">
        <v>22</v>
      </c>
      <c r="C1445" s="55" t="s">
        <v>33</v>
      </c>
      <c r="D1445" s="55" t="s">
        <v>24</v>
      </c>
      <c r="E1445" s="55" t="s">
        <v>24</v>
      </c>
      <c r="F1445" s="55" t="s">
        <v>25</v>
      </c>
      <c r="G1445" s="55" t="s">
        <v>25</v>
      </c>
      <c r="H1445" s="55" t="s">
        <v>35</v>
      </c>
      <c r="I1445" s="63">
        <v>44562</v>
      </c>
      <c r="J1445" s="64">
        <f>EFEITO!$J$1445*EFEITO!$Y$1445</f>
        <v>0</v>
      </c>
      <c r="K1445" s="64">
        <f ca="1">EFEITO!$L$1445*EFEITO!$Z$1445</f>
        <v>-709.84827173657254</v>
      </c>
      <c r="L1445" s="64">
        <f>EFEITO!$N$1445*EFEITO!$AA$1445</f>
        <v>-619.96488503088551</v>
      </c>
      <c r="M1445" s="64">
        <f>$J$1445-EFEITO!$K$1445*EFEITO!$Y$1445</f>
        <v>0</v>
      </c>
      <c r="N1445" s="64">
        <f ca="1">$K$1445-EFEITO!$M$1445*EFEITO!$Z$1445</f>
        <v>0</v>
      </c>
      <c r="O1445" s="64">
        <f>$L$1445-EFEITO!$O$1445*EFEITO!$AA$1445</f>
        <v>0</v>
      </c>
      <c r="P1445" s="19"/>
      <c r="Q1445" s="19"/>
      <c r="R1445" s="19"/>
      <c r="S1445" s="19"/>
      <c r="T1445" s="19"/>
      <c r="U1445" s="19"/>
      <c r="V1445" s="19"/>
      <c r="W1445" s="19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</row>
    <row r="1446" spans="1:36" ht="11.25" customHeight="1" x14ac:dyDescent="0.2">
      <c r="A1446" s="55" t="s">
        <v>21</v>
      </c>
      <c r="B1446" s="55" t="s">
        <v>22</v>
      </c>
      <c r="C1446" s="55" t="s">
        <v>33</v>
      </c>
      <c r="D1446" s="55" t="s">
        <v>24</v>
      </c>
      <c r="E1446" s="55" t="s">
        <v>24</v>
      </c>
      <c r="F1446" s="55" t="s">
        <v>25</v>
      </c>
      <c r="G1446" s="55" t="s">
        <v>25</v>
      </c>
      <c r="H1446" s="55" t="s">
        <v>35</v>
      </c>
      <c r="I1446" s="63">
        <v>44593</v>
      </c>
      <c r="J1446" s="64">
        <f>EFEITO!$J$1446*EFEITO!$Y$1446</f>
        <v>0</v>
      </c>
      <c r="K1446" s="64">
        <f ca="1">EFEITO!$L$1446*EFEITO!$Z$1446</f>
        <v>30206.631259830203</v>
      </c>
      <c r="L1446" s="64">
        <f>EFEITO!$N$1446*EFEITO!$AA$1446</f>
        <v>26381.765543159156</v>
      </c>
      <c r="M1446" s="64">
        <f>$J$1446-EFEITO!$K$1446*EFEITO!$Y$1446</f>
        <v>0</v>
      </c>
      <c r="N1446" s="64">
        <f ca="1">$K$1446-EFEITO!$M$1446*EFEITO!$Z$1446</f>
        <v>0</v>
      </c>
      <c r="O1446" s="64">
        <f>$L$1446-EFEITO!$O$1446*EFEITO!$AA$1446</f>
        <v>0</v>
      </c>
      <c r="P1446" s="19"/>
      <c r="Q1446" s="19"/>
      <c r="R1446" s="19"/>
      <c r="S1446" s="19"/>
      <c r="T1446" s="19"/>
      <c r="U1446" s="19"/>
      <c r="V1446" s="19"/>
      <c r="W1446" s="19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</row>
    <row r="1447" spans="1:36" ht="11.25" customHeight="1" x14ac:dyDescent="0.2">
      <c r="A1447" s="55" t="s">
        <v>28</v>
      </c>
      <c r="B1447" s="55" t="s">
        <v>22</v>
      </c>
      <c r="C1447" s="55" t="s">
        <v>33</v>
      </c>
      <c r="D1447" s="55" t="s">
        <v>24</v>
      </c>
      <c r="E1447" s="55" t="s">
        <v>24</v>
      </c>
      <c r="F1447" s="55" t="s">
        <v>25</v>
      </c>
      <c r="G1447" s="55" t="s">
        <v>25</v>
      </c>
      <c r="H1447" s="55" t="s">
        <v>35</v>
      </c>
      <c r="I1447" s="63">
        <v>44593</v>
      </c>
      <c r="J1447" s="64">
        <f>EFEITO!$J$1447*EFEITO!$Y$1447</f>
        <v>0</v>
      </c>
      <c r="K1447" s="64">
        <f ca="1">EFEITO!$L$1447*EFEITO!$Z$1447</f>
        <v>653.85650151735126</v>
      </c>
      <c r="L1447" s="64">
        <f>EFEITO!$N$1447*EFEITO!$AA$1447</f>
        <v>571.06298194994474</v>
      </c>
      <c r="M1447" s="64">
        <f>$J$1447-EFEITO!$K$1447*EFEITO!$Y$1447</f>
        <v>0</v>
      </c>
      <c r="N1447" s="64">
        <f ca="1">$K$1447-EFEITO!$M$1447*EFEITO!$Z$1447</f>
        <v>0</v>
      </c>
      <c r="O1447" s="64">
        <f>$L$1447-EFEITO!$O$1447*EFEITO!$AA$1447</f>
        <v>0</v>
      </c>
      <c r="P1447" s="19"/>
      <c r="Q1447" s="19"/>
      <c r="R1447" s="19"/>
      <c r="S1447" s="19"/>
      <c r="T1447" s="19"/>
      <c r="U1447" s="19"/>
      <c r="V1447" s="19"/>
      <c r="W1447" s="19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</row>
    <row r="1448" spans="1:36" ht="11.25" customHeight="1" x14ac:dyDescent="0.2">
      <c r="A1448" s="55" t="s">
        <v>28</v>
      </c>
      <c r="B1448" s="55" t="s">
        <v>22</v>
      </c>
      <c r="C1448" s="55" t="s">
        <v>33</v>
      </c>
      <c r="D1448" s="55" t="s">
        <v>24</v>
      </c>
      <c r="E1448" s="55" t="s">
        <v>24</v>
      </c>
      <c r="F1448" s="55" t="s">
        <v>25</v>
      </c>
      <c r="G1448" s="55" t="s">
        <v>25</v>
      </c>
      <c r="H1448" s="55" t="s">
        <v>35</v>
      </c>
      <c r="I1448" s="63">
        <v>44593</v>
      </c>
      <c r="J1448" s="64">
        <f>EFEITO!$J$1448*EFEITO!$Y$1448</f>
        <v>0</v>
      </c>
      <c r="K1448" s="64">
        <f ca="1">EFEITO!$L$1448*EFEITO!$Z$1448</f>
        <v>-97.123165403957216</v>
      </c>
      <c r="L1448" s="64">
        <f>EFEITO!$N$1448*EFEITO!$AA$1448</f>
        <v>-84.825102026655742</v>
      </c>
      <c r="M1448" s="64">
        <f>$J$1448-EFEITO!$K$1448*EFEITO!$Y$1448</f>
        <v>0</v>
      </c>
      <c r="N1448" s="64">
        <f ca="1">$K$1448-EFEITO!$M$1448*EFEITO!$Z$1448</f>
        <v>0</v>
      </c>
      <c r="O1448" s="64">
        <f>$L$1448-EFEITO!$O$1448*EFEITO!$AA$1448</f>
        <v>0</v>
      </c>
      <c r="P1448" s="19"/>
      <c r="Q1448" s="19"/>
      <c r="R1448" s="19"/>
      <c r="S1448" s="19"/>
      <c r="T1448" s="19"/>
      <c r="U1448" s="19"/>
      <c r="V1448" s="19"/>
      <c r="W1448" s="19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</row>
    <row r="1449" spans="1:36" ht="11.25" customHeight="1" x14ac:dyDescent="0.2">
      <c r="A1449" s="55" t="s">
        <v>21</v>
      </c>
      <c r="B1449" s="55" t="s">
        <v>22</v>
      </c>
      <c r="C1449" s="55" t="s">
        <v>33</v>
      </c>
      <c r="D1449" s="55" t="s">
        <v>24</v>
      </c>
      <c r="E1449" s="55" t="s">
        <v>24</v>
      </c>
      <c r="F1449" s="55" t="s">
        <v>25</v>
      </c>
      <c r="G1449" s="55" t="s">
        <v>25</v>
      </c>
      <c r="H1449" s="55" t="s">
        <v>35</v>
      </c>
      <c r="I1449" s="63">
        <v>44621</v>
      </c>
      <c r="J1449" s="64">
        <f>EFEITO!$J$1449*EFEITO!$Y$1449</f>
        <v>0</v>
      </c>
      <c r="K1449" s="64">
        <f ca="1">EFEITO!$L$1449*EFEITO!$Z$1449</f>
        <v>32065.239594500465</v>
      </c>
      <c r="L1449" s="64">
        <f>EFEITO!$N$1449*EFEITO!$AA$1449</f>
        <v>28005.030610357779</v>
      </c>
      <c r="M1449" s="64">
        <f>$J$1449-EFEITO!$K$1449*EFEITO!$Y$1449</f>
        <v>0</v>
      </c>
      <c r="N1449" s="64">
        <f ca="1">$K$1449-EFEITO!$M$1449*EFEITO!$Z$1449</f>
        <v>0</v>
      </c>
      <c r="O1449" s="64">
        <f>$L$1449-EFEITO!$O$1449*EFEITO!$AA$1449</f>
        <v>0</v>
      </c>
      <c r="P1449" s="19"/>
      <c r="Q1449" s="19"/>
      <c r="R1449" s="19"/>
      <c r="S1449" s="19"/>
      <c r="T1449" s="19"/>
      <c r="U1449" s="19"/>
      <c r="V1449" s="19"/>
      <c r="W1449" s="19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</row>
    <row r="1450" spans="1:36" ht="11.25" customHeight="1" x14ac:dyDescent="0.2">
      <c r="A1450" s="55" t="s">
        <v>28</v>
      </c>
      <c r="B1450" s="55" t="s">
        <v>22</v>
      </c>
      <c r="C1450" s="55" t="s">
        <v>33</v>
      </c>
      <c r="D1450" s="55" t="s">
        <v>24</v>
      </c>
      <c r="E1450" s="55" t="s">
        <v>24</v>
      </c>
      <c r="F1450" s="55" t="s">
        <v>25</v>
      </c>
      <c r="G1450" s="55" t="s">
        <v>25</v>
      </c>
      <c r="H1450" s="55" t="s">
        <v>35</v>
      </c>
      <c r="I1450" s="63">
        <v>44621</v>
      </c>
      <c r="J1450" s="64">
        <f>EFEITO!$J$1450*EFEITO!$Y$1450</f>
        <v>0</v>
      </c>
      <c r="K1450" s="64">
        <f ca="1">EFEITO!$L$1450*EFEITO!$Z$1450</f>
        <v>1396.0791617219097</v>
      </c>
      <c r="L1450" s="64">
        <f>EFEITO!$N$1450*EFEITO!$AA$1450</f>
        <v>1219.3029009897157</v>
      </c>
      <c r="M1450" s="64">
        <f>$J$1450-EFEITO!$K$1450*EFEITO!$Y$1450</f>
        <v>0</v>
      </c>
      <c r="N1450" s="64">
        <f ca="1">$K$1450-EFEITO!$M$1450*EFEITO!$Z$1450</f>
        <v>0</v>
      </c>
      <c r="O1450" s="64">
        <f>$L$1450-EFEITO!$O$1450*EFEITO!$AA$1450</f>
        <v>0</v>
      </c>
      <c r="P1450" s="19"/>
      <c r="Q1450" s="19"/>
      <c r="R1450" s="19"/>
      <c r="S1450" s="19"/>
      <c r="T1450" s="19"/>
      <c r="U1450" s="19"/>
      <c r="V1450" s="19"/>
      <c r="W1450" s="19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</row>
    <row r="1451" spans="1:36" ht="11.25" customHeight="1" x14ac:dyDescent="0.2">
      <c r="A1451" s="55" t="s">
        <v>21</v>
      </c>
      <c r="B1451" s="55" t="s">
        <v>22</v>
      </c>
      <c r="C1451" s="55" t="s">
        <v>33</v>
      </c>
      <c r="D1451" s="55" t="s">
        <v>24</v>
      </c>
      <c r="E1451" s="55" t="s">
        <v>24</v>
      </c>
      <c r="F1451" s="55" t="s">
        <v>25</v>
      </c>
      <c r="G1451" s="55" t="s">
        <v>25</v>
      </c>
      <c r="H1451" s="55" t="s">
        <v>35</v>
      </c>
      <c r="I1451" s="63">
        <v>44652</v>
      </c>
      <c r="J1451" s="64">
        <f>EFEITO!$J$1451*EFEITO!$Y$1451</f>
        <v>0</v>
      </c>
      <c r="K1451" s="64">
        <f ca="1">EFEITO!$L$1451*EFEITO!$Z$1451</f>
        <v>29397.536911970459</v>
      </c>
      <c r="L1451" s="64">
        <f>EFEITO!$N$1451*EFEITO!$AA$1451</f>
        <v>25675.121455510867</v>
      </c>
      <c r="M1451" s="64">
        <f>$J$1451-EFEITO!$K$1451*EFEITO!$Y$1451</f>
        <v>0</v>
      </c>
      <c r="N1451" s="64">
        <f ca="1">$K$1451-EFEITO!$M$1451*EFEITO!$Z$1451</f>
        <v>0</v>
      </c>
      <c r="O1451" s="64">
        <f>$L$1451-EFEITO!$O$1451*EFEITO!$AA$1451</f>
        <v>0</v>
      </c>
      <c r="P1451" s="19"/>
      <c r="Q1451" s="19"/>
      <c r="R1451" s="19"/>
      <c r="S1451" s="19"/>
      <c r="T1451" s="19"/>
      <c r="U1451" s="19"/>
      <c r="V1451" s="19"/>
      <c r="W1451" s="19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</row>
    <row r="1452" spans="1:36" ht="11.25" customHeight="1" x14ac:dyDescent="0.2">
      <c r="A1452" s="55" t="s">
        <v>28</v>
      </c>
      <c r="B1452" s="55" t="s">
        <v>22</v>
      </c>
      <c r="C1452" s="55" t="s">
        <v>33</v>
      </c>
      <c r="D1452" s="55" t="s">
        <v>24</v>
      </c>
      <c r="E1452" s="55" t="s">
        <v>24</v>
      </c>
      <c r="F1452" s="55" t="s">
        <v>25</v>
      </c>
      <c r="G1452" s="55" t="s">
        <v>25</v>
      </c>
      <c r="H1452" s="55" t="s">
        <v>35</v>
      </c>
      <c r="I1452" s="63">
        <v>44652</v>
      </c>
      <c r="J1452" s="64">
        <f>EFEITO!$J$1452*EFEITO!$Y$1452</f>
        <v>0</v>
      </c>
      <c r="K1452" s="64">
        <f ca="1">EFEITO!$L$1452*EFEITO!$Z$1452</f>
        <v>352.66854322912332</v>
      </c>
      <c r="L1452" s="64">
        <f>EFEITO!$N$1452*EFEITO!$AA$1452</f>
        <v>308.01246063777455</v>
      </c>
      <c r="M1452" s="64">
        <f>$J$1452-EFEITO!$K$1452*EFEITO!$Y$1452</f>
        <v>0</v>
      </c>
      <c r="N1452" s="64">
        <f ca="1">$K$1452-EFEITO!$M$1452*EFEITO!$Z$1452</f>
        <v>0</v>
      </c>
      <c r="O1452" s="64">
        <f>$L$1452-EFEITO!$O$1452*EFEITO!$AA$1452</f>
        <v>0</v>
      </c>
      <c r="P1452" s="19"/>
      <c r="Q1452" s="19"/>
      <c r="R1452" s="19"/>
      <c r="S1452" s="19"/>
      <c r="T1452" s="19"/>
      <c r="U1452" s="19"/>
      <c r="V1452" s="19"/>
      <c r="W1452" s="19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</row>
    <row r="1453" spans="1:36" ht="11.25" customHeight="1" x14ac:dyDescent="0.2">
      <c r="A1453" s="55" t="s">
        <v>21</v>
      </c>
      <c r="B1453" s="55" t="s">
        <v>22</v>
      </c>
      <c r="C1453" s="55" t="s">
        <v>33</v>
      </c>
      <c r="D1453" s="55" t="s">
        <v>24</v>
      </c>
      <c r="E1453" s="55" t="s">
        <v>24</v>
      </c>
      <c r="F1453" s="55" t="s">
        <v>25</v>
      </c>
      <c r="G1453" s="55" t="s">
        <v>25</v>
      </c>
      <c r="H1453" s="55" t="s">
        <v>35</v>
      </c>
      <c r="I1453" s="63">
        <v>44682</v>
      </c>
      <c r="J1453" s="64">
        <f>EFEITO!$J$1453*EFEITO!$Y$1453</f>
        <v>0</v>
      </c>
      <c r="K1453" s="64">
        <f ca="1">EFEITO!$L$1453*EFEITO!$Z$1453</f>
        <v>29143.849081024604</v>
      </c>
      <c r="L1453" s="64">
        <f>EFEITO!$N$1453*EFEITO!$AA$1453</f>
        <v>25453.556434916649</v>
      </c>
      <c r="M1453" s="64">
        <f>$J$1453-EFEITO!$K$1453*EFEITO!$Y$1453</f>
        <v>0</v>
      </c>
      <c r="N1453" s="64">
        <f ca="1">$K$1453-EFEITO!$M$1453*EFEITO!$Z$1453</f>
        <v>0</v>
      </c>
      <c r="O1453" s="64">
        <f>$L$1453-EFEITO!$O$1453*EFEITO!$AA$1453</f>
        <v>0</v>
      </c>
      <c r="P1453" s="19"/>
      <c r="Q1453" s="19"/>
      <c r="R1453" s="19"/>
      <c r="S1453" s="19"/>
      <c r="T1453" s="19"/>
      <c r="U1453" s="19"/>
      <c r="V1453" s="19"/>
      <c r="W1453" s="19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</row>
    <row r="1454" spans="1:36" ht="11.25" customHeight="1" x14ac:dyDescent="0.2">
      <c r="A1454" s="55" t="s">
        <v>27</v>
      </c>
      <c r="B1454" s="55" t="s">
        <v>22</v>
      </c>
      <c r="C1454" s="55" t="s">
        <v>33</v>
      </c>
      <c r="D1454" s="55" t="s">
        <v>24</v>
      </c>
      <c r="E1454" s="55" t="s">
        <v>24</v>
      </c>
      <c r="F1454" s="55" t="s">
        <v>25</v>
      </c>
      <c r="G1454" s="55" t="s">
        <v>25</v>
      </c>
      <c r="H1454" s="55" t="s">
        <v>35</v>
      </c>
      <c r="I1454" s="63">
        <v>44682</v>
      </c>
      <c r="J1454" s="64">
        <f>EFEITO!$J$1454*EFEITO!$Y$1454</f>
        <v>0</v>
      </c>
      <c r="K1454" s="64">
        <f ca="1">EFEITO!$L$1454*EFEITO!$Z$1454</f>
        <v>364.60991602469187</v>
      </c>
      <c r="L1454" s="64">
        <f>EFEITO!$N$1454*EFEITO!$AA$1454</f>
        <v>318.44177646072404</v>
      </c>
      <c r="M1454" s="64">
        <f>$J$1454-EFEITO!$K$1454*EFEITO!$Y$1454</f>
        <v>0</v>
      </c>
      <c r="N1454" s="64">
        <f ca="1">$K$1454-EFEITO!$M$1454*EFEITO!$Z$1454</f>
        <v>0</v>
      </c>
      <c r="O1454" s="64">
        <f>$L$1454-EFEITO!$O$1454*EFEITO!$AA$1454</f>
        <v>0</v>
      </c>
      <c r="P1454" s="19"/>
      <c r="Q1454" s="19"/>
      <c r="R1454" s="19"/>
      <c r="S1454" s="19"/>
      <c r="T1454" s="19"/>
      <c r="U1454" s="19"/>
      <c r="V1454" s="19"/>
      <c r="W1454" s="19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</row>
    <row r="1455" spans="1:36" ht="11.25" customHeight="1" x14ac:dyDescent="0.2">
      <c r="A1455" s="55" t="s">
        <v>28</v>
      </c>
      <c r="B1455" s="55" t="s">
        <v>22</v>
      </c>
      <c r="C1455" s="55" t="s">
        <v>33</v>
      </c>
      <c r="D1455" s="55" t="s">
        <v>24</v>
      </c>
      <c r="E1455" s="55" t="s">
        <v>24</v>
      </c>
      <c r="F1455" s="55" t="s">
        <v>25</v>
      </c>
      <c r="G1455" s="55" t="s">
        <v>25</v>
      </c>
      <c r="H1455" s="55" t="s">
        <v>35</v>
      </c>
      <c r="I1455" s="63">
        <v>44682</v>
      </c>
      <c r="J1455" s="64">
        <f>EFEITO!$J$1455*EFEITO!$Y$1455</f>
        <v>0</v>
      </c>
      <c r="K1455" s="64">
        <f ca="1">EFEITO!$L$1455*EFEITO!$Z$1455</f>
        <v>235.11236215274889</v>
      </c>
      <c r="L1455" s="64">
        <f>EFEITO!$N$1455*EFEITO!$AA$1455</f>
        <v>205.34164042518304</v>
      </c>
      <c r="M1455" s="64">
        <f>$J$1455-EFEITO!$K$1455*EFEITO!$Y$1455</f>
        <v>0</v>
      </c>
      <c r="N1455" s="64">
        <f ca="1">$K$1455-EFEITO!$M$1455*EFEITO!$Z$1455</f>
        <v>0</v>
      </c>
      <c r="O1455" s="64">
        <f>$L$1455-EFEITO!$O$1455*EFEITO!$AA$1455</f>
        <v>0</v>
      </c>
      <c r="P1455" s="19"/>
      <c r="Q1455" s="19"/>
      <c r="R1455" s="19"/>
      <c r="S1455" s="19"/>
      <c r="T1455" s="19"/>
      <c r="U1455" s="19"/>
      <c r="V1455" s="19"/>
      <c r="W1455" s="19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</row>
    <row r="1456" spans="1:36" ht="11.25" customHeight="1" x14ac:dyDescent="0.2">
      <c r="A1456" s="55" t="s">
        <v>21</v>
      </c>
      <c r="B1456" s="55" t="s">
        <v>22</v>
      </c>
      <c r="C1456" s="55" t="s">
        <v>33</v>
      </c>
      <c r="D1456" s="55" t="s">
        <v>24</v>
      </c>
      <c r="E1456" s="55" t="s">
        <v>24</v>
      </c>
      <c r="F1456" s="55" t="s">
        <v>25</v>
      </c>
      <c r="G1456" s="55" t="s">
        <v>25</v>
      </c>
      <c r="H1456" s="55" t="s">
        <v>35</v>
      </c>
      <c r="I1456" s="63">
        <v>44713</v>
      </c>
      <c r="J1456" s="64">
        <f>EFEITO!$J$1456*EFEITO!$Y$1456</f>
        <v>0</v>
      </c>
      <c r="K1456" s="64">
        <f ca="1">EFEITO!$L$1456*EFEITO!$Z$1456</f>
        <v>23811.628082043411</v>
      </c>
      <c r="L1456" s="64">
        <f>EFEITO!$N$1456*EFEITO!$AA$1456</f>
        <v>20796.519276108946</v>
      </c>
      <c r="M1456" s="64">
        <f>$J$1456-EFEITO!$K$1456*EFEITO!$Y$1456</f>
        <v>0</v>
      </c>
      <c r="N1456" s="64">
        <f ca="1">$K$1456-EFEITO!$M$1456*EFEITO!$Z$1456</f>
        <v>0</v>
      </c>
      <c r="O1456" s="64">
        <f>$L$1456-EFEITO!$O$1456*EFEITO!$AA$1456</f>
        <v>0</v>
      </c>
      <c r="P1456" s="19"/>
      <c r="Q1456" s="19"/>
      <c r="R1456" s="19"/>
      <c r="S1456" s="19"/>
      <c r="T1456" s="19"/>
      <c r="U1456" s="19"/>
      <c r="V1456" s="19"/>
      <c r="W1456" s="19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</row>
    <row r="1457" spans="1:36" ht="11.25" customHeight="1" x14ac:dyDescent="0.2">
      <c r="A1457" s="55" t="s">
        <v>28</v>
      </c>
      <c r="B1457" s="55" t="s">
        <v>22</v>
      </c>
      <c r="C1457" s="55" t="s">
        <v>33</v>
      </c>
      <c r="D1457" s="55" t="s">
        <v>24</v>
      </c>
      <c r="E1457" s="55" t="s">
        <v>24</v>
      </c>
      <c r="F1457" s="55" t="s">
        <v>25</v>
      </c>
      <c r="G1457" s="55" t="s">
        <v>25</v>
      </c>
      <c r="H1457" s="55" t="s">
        <v>35</v>
      </c>
      <c r="I1457" s="63">
        <v>44713</v>
      </c>
      <c r="J1457" s="64">
        <f>EFEITO!$J$1457*EFEITO!$Y$1457</f>
        <v>0</v>
      </c>
      <c r="K1457" s="64">
        <f ca="1">EFEITO!$L$1457*EFEITO!$Z$1457</f>
        <v>406.80276656903391</v>
      </c>
      <c r="L1457" s="64">
        <f>EFEITO!$N$1457*EFEITO!$AA$1457</f>
        <v>355.29202570181218</v>
      </c>
      <c r="M1457" s="64">
        <f>$J$1457-EFEITO!$K$1457*EFEITO!$Y$1457</f>
        <v>0</v>
      </c>
      <c r="N1457" s="64">
        <f ca="1">$K$1457-EFEITO!$M$1457*EFEITO!$Z$1457</f>
        <v>0</v>
      </c>
      <c r="O1457" s="64">
        <f>$L$1457-EFEITO!$O$1457*EFEITO!$AA$1457</f>
        <v>0</v>
      </c>
      <c r="P1457" s="19"/>
      <c r="Q1457" s="19"/>
      <c r="R1457" s="19"/>
      <c r="S1457" s="19"/>
      <c r="T1457" s="19"/>
      <c r="U1457" s="19"/>
      <c r="V1457" s="19"/>
      <c r="W1457" s="19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</row>
    <row r="1458" spans="1:36" ht="11.25" customHeight="1" x14ac:dyDescent="0.2">
      <c r="A1458" s="55" t="s">
        <v>57</v>
      </c>
      <c r="B1458" s="55" t="s">
        <v>22</v>
      </c>
      <c r="C1458" s="55" t="s">
        <v>33</v>
      </c>
      <c r="D1458" s="55" t="s">
        <v>24</v>
      </c>
      <c r="E1458" s="55" t="s">
        <v>24</v>
      </c>
      <c r="F1458" s="55" t="s">
        <v>25</v>
      </c>
      <c r="G1458" s="55" t="s">
        <v>25</v>
      </c>
      <c r="H1458" s="55" t="s">
        <v>35</v>
      </c>
      <c r="I1458" s="63">
        <v>44743</v>
      </c>
      <c r="J1458" s="64">
        <f>EFEITO!$J$1458*EFEITO!$Y$1458</f>
        <v>0</v>
      </c>
      <c r="K1458" s="64">
        <f ca="1">EFEITO!$L$1458*EFEITO!$Z$1458</f>
        <v>23811.628082043411</v>
      </c>
      <c r="L1458" s="64">
        <f>EFEITO!$N$1458*EFEITO!$AA$1458</f>
        <v>20796.519276108946</v>
      </c>
      <c r="M1458" s="64">
        <f>$J$1458-EFEITO!$K$1458*EFEITO!$Y$1458</f>
        <v>0</v>
      </c>
      <c r="N1458" s="64">
        <f ca="1">$K$1458-EFEITO!$M$1458*EFEITO!$Z$1458</f>
        <v>0</v>
      </c>
      <c r="O1458" s="64">
        <f>$L$1458-EFEITO!$O$1458*EFEITO!$AA$1458</f>
        <v>0</v>
      </c>
      <c r="P1458" s="19"/>
      <c r="Q1458" s="19"/>
      <c r="R1458" s="19"/>
      <c r="S1458" s="19"/>
      <c r="T1458" s="19"/>
      <c r="U1458" s="19"/>
      <c r="V1458" s="19"/>
      <c r="W1458" s="19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</row>
    <row r="1459" spans="1:36" ht="11.25" customHeight="1" x14ac:dyDescent="0.2">
      <c r="A1459" s="55" t="s">
        <v>57</v>
      </c>
      <c r="B1459" s="55" t="s">
        <v>22</v>
      </c>
      <c r="C1459" s="55" t="s">
        <v>33</v>
      </c>
      <c r="D1459" s="55" t="s">
        <v>24</v>
      </c>
      <c r="E1459" s="55" t="s">
        <v>24</v>
      </c>
      <c r="F1459" s="55" t="s">
        <v>25</v>
      </c>
      <c r="G1459" s="55" t="s">
        <v>25</v>
      </c>
      <c r="H1459" s="55" t="s">
        <v>35</v>
      </c>
      <c r="I1459" s="63">
        <v>44743</v>
      </c>
      <c r="J1459" s="64">
        <f>EFEITO!$J$1459*EFEITO!$Y$1459</f>
        <v>0</v>
      </c>
      <c r="K1459" s="64">
        <f ca="1">EFEITO!$L$1459*EFEITO!$Z$1459</f>
        <v>406.80276656903391</v>
      </c>
      <c r="L1459" s="64">
        <f>EFEITO!$N$1459*EFEITO!$AA$1459</f>
        <v>355.29202570181218</v>
      </c>
      <c r="M1459" s="64">
        <f>$J$1459-EFEITO!$K$1459*EFEITO!$Y$1459</f>
        <v>0</v>
      </c>
      <c r="N1459" s="64">
        <f ca="1">$K$1459-EFEITO!$M$1459*EFEITO!$Z$1459</f>
        <v>0</v>
      </c>
      <c r="O1459" s="64">
        <f>$L$1459-EFEITO!$O$1459*EFEITO!$AA$1459</f>
        <v>0</v>
      </c>
      <c r="P1459" s="19"/>
      <c r="Q1459" s="19"/>
      <c r="R1459" s="19"/>
      <c r="S1459" s="19"/>
      <c r="T1459" s="19"/>
      <c r="U1459" s="19"/>
      <c r="V1459" s="19"/>
      <c r="W1459" s="19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</row>
    <row r="1460" spans="1:36" ht="11.25" customHeight="1" x14ac:dyDescent="0.2">
      <c r="A1460" s="55" t="s">
        <v>21</v>
      </c>
      <c r="B1460" s="55" t="s">
        <v>22</v>
      </c>
      <c r="C1460" s="55" t="s">
        <v>33</v>
      </c>
      <c r="D1460" s="55" t="s">
        <v>24</v>
      </c>
      <c r="E1460" s="55" t="s">
        <v>24</v>
      </c>
      <c r="F1460" s="55" t="s">
        <v>25</v>
      </c>
      <c r="G1460" s="55" t="s">
        <v>25</v>
      </c>
      <c r="H1460" s="55" t="s">
        <v>36</v>
      </c>
      <c r="I1460" s="63">
        <v>44409</v>
      </c>
      <c r="J1460" s="64">
        <f>EFEITO!$J$1460*EFEITO!$Y$1460</f>
        <v>0</v>
      </c>
      <c r="K1460" s="64">
        <f ca="1">EFEITO!$L$1460*EFEITO!$Z$1460</f>
        <v>3529.3295066450301</v>
      </c>
      <c r="L1460" s="64">
        <f>EFEITO!$N$1460*EFEITO!$AA$1460</f>
        <v>1386.8672418784372</v>
      </c>
      <c r="M1460" s="64">
        <f>$J$1460-EFEITO!$K$1460*EFEITO!$Y$1460</f>
        <v>0</v>
      </c>
      <c r="N1460" s="64">
        <f ca="1">$K$1460-EFEITO!$M$1460*EFEITO!$Z$1460</f>
        <v>0</v>
      </c>
      <c r="O1460" s="64">
        <f>$L$1460-EFEITO!$O$1460*EFEITO!$AA$1460</f>
        <v>0</v>
      </c>
      <c r="P1460" s="19"/>
      <c r="Q1460" s="19"/>
      <c r="R1460" s="19"/>
      <c r="S1460" s="19"/>
      <c r="T1460" s="19"/>
      <c r="U1460" s="19"/>
      <c r="V1460" s="19"/>
      <c r="W1460" s="19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</row>
    <row r="1461" spans="1:36" ht="11.25" customHeight="1" x14ac:dyDescent="0.2">
      <c r="A1461" s="55" t="s">
        <v>28</v>
      </c>
      <c r="B1461" s="55" t="s">
        <v>22</v>
      </c>
      <c r="C1461" s="55" t="s">
        <v>33</v>
      </c>
      <c r="D1461" s="55" t="s">
        <v>24</v>
      </c>
      <c r="E1461" s="55" t="s">
        <v>24</v>
      </c>
      <c r="F1461" s="55" t="s">
        <v>25</v>
      </c>
      <c r="G1461" s="55" t="s">
        <v>25</v>
      </c>
      <c r="H1461" s="55" t="s">
        <v>36</v>
      </c>
      <c r="I1461" s="63">
        <v>44409</v>
      </c>
      <c r="J1461" s="64">
        <f>EFEITO!$J$1461*EFEITO!$Y$1461</f>
        <v>0</v>
      </c>
      <c r="K1461" s="64">
        <f ca="1">EFEITO!$L$1461*EFEITO!$Z$1461</f>
        <v>36.567250904410407</v>
      </c>
      <c r="L1461" s="64">
        <f>EFEITO!$N$1461*EFEITO!$AA$1461</f>
        <v>14.369279578285946</v>
      </c>
      <c r="M1461" s="64">
        <f>$J$1461-EFEITO!$K$1461*EFEITO!$Y$1461</f>
        <v>0</v>
      </c>
      <c r="N1461" s="64">
        <f ca="1">$K$1461-EFEITO!$M$1461*EFEITO!$Z$1461</f>
        <v>0</v>
      </c>
      <c r="O1461" s="64">
        <f>$L$1461-EFEITO!$O$1461*EFEITO!$AA$1461</f>
        <v>0</v>
      </c>
      <c r="P1461" s="19"/>
      <c r="Q1461" s="19"/>
      <c r="R1461" s="19"/>
      <c r="S1461" s="19"/>
      <c r="T1461" s="19"/>
      <c r="U1461" s="19"/>
      <c r="V1461" s="19"/>
      <c r="W1461" s="19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</row>
    <row r="1462" spans="1:36" ht="11.25" customHeight="1" x14ac:dyDescent="0.2">
      <c r="A1462" s="55" t="s">
        <v>21</v>
      </c>
      <c r="B1462" s="55" t="s">
        <v>22</v>
      </c>
      <c r="C1462" s="55" t="s">
        <v>33</v>
      </c>
      <c r="D1462" s="55" t="s">
        <v>24</v>
      </c>
      <c r="E1462" s="55" t="s">
        <v>24</v>
      </c>
      <c r="F1462" s="55" t="s">
        <v>25</v>
      </c>
      <c r="G1462" s="55" t="s">
        <v>25</v>
      </c>
      <c r="H1462" s="55" t="s">
        <v>36</v>
      </c>
      <c r="I1462" s="63">
        <v>44440</v>
      </c>
      <c r="J1462" s="64">
        <f>EFEITO!$J$1462*EFEITO!$Y$1462</f>
        <v>0</v>
      </c>
      <c r="K1462" s="64">
        <f ca="1">EFEITO!$L$1462*EFEITO!$Z$1462</f>
        <v>3303.438263154882</v>
      </c>
      <c r="L1462" s="64">
        <f>EFEITO!$N$1462*EFEITO!$AA$1462</f>
        <v>1298.102176096445</v>
      </c>
      <c r="M1462" s="64">
        <f>$J$1462-EFEITO!$K$1462*EFEITO!$Y$1462</f>
        <v>0</v>
      </c>
      <c r="N1462" s="64">
        <f ca="1">$K$1462-EFEITO!$M$1462*EFEITO!$Z$1462</f>
        <v>0</v>
      </c>
      <c r="O1462" s="64">
        <f>$L$1462-EFEITO!$O$1462*EFEITO!$AA$1462</f>
        <v>0</v>
      </c>
      <c r="P1462" s="19"/>
      <c r="Q1462" s="19"/>
      <c r="R1462" s="19"/>
      <c r="S1462" s="19"/>
      <c r="T1462" s="19"/>
      <c r="U1462" s="19"/>
      <c r="V1462" s="19"/>
      <c r="W1462" s="19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</row>
    <row r="1463" spans="1:36" ht="11.25" customHeight="1" x14ac:dyDescent="0.2">
      <c r="A1463" s="55" t="s">
        <v>28</v>
      </c>
      <c r="B1463" s="55" t="s">
        <v>22</v>
      </c>
      <c r="C1463" s="55" t="s">
        <v>33</v>
      </c>
      <c r="D1463" s="55" t="s">
        <v>24</v>
      </c>
      <c r="E1463" s="55" t="s">
        <v>24</v>
      </c>
      <c r="F1463" s="55" t="s">
        <v>25</v>
      </c>
      <c r="G1463" s="55" t="s">
        <v>25</v>
      </c>
      <c r="H1463" s="55" t="s">
        <v>36</v>
      </c>
      <c r="I1463" s="63">
        <v>44440</v>
      </c>
      <c r="J1463" s="64">
        <f>EFEITO!$J$1463*EFEITO!$Y$1463</f>
        <v>0</v>
      </c>
      <c r="K1463" s="64">
        <f ca="1">EFEITO!$L$1463*EFEITO!$Z$1463</f>
        <v>35.977456534984434</v>
      </c>
      <c r="L1463" s="64">
        <f>EFEITO!$N$1463*EFEITO!$AA$1463</f>
        <v>14.137517004442625</v>
      </c>
      <c r="M1463" s="64">
        <f>$J$1463-EFEITO!$K$1463*EFEITO!$Y$1463</f>
        <v>0</v>
      </c>
      <c r="N1463" s="64">
        <f ca="1">$K$1463-EFEITO!$M$1463*EFEITO!$Z$1463</f>
        <v>0</v>
      </c>
      <c r="O1463" s="64">
        <f>$L$1463-EFEITO!$O$1463*EFEITO!$AA$1463</f>
        <v>0</v>
      </c>
      <c r="P1463" s="19"/>
      <c r="Q1463" s="19"/>
      <c r="R1463" s="19"/>
      <c r="S1463" s="19"/>
      <c r="T1463" s="19"/>
      <c r="U1463" s="19"/>
      <c r="V1463" s="19"/>
      <c r="W1463" s="19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</row>
    <row r="1464" spans="1:36" ht="11.25" customHeight="1" x14ac:dyDescent="0.2">
      <c r="A1464" s="55" t="s">
        <v>21</v>
      </c>
      <c r="B1464" s="55" t="s">
        <v>22</v>
      </c>
      <c r="C1464" s="55" t="s">
        <v>33</v>
      </c>
      <c r="D1464" s="55" t="s">
        <v>24</v>
      </c>
      <c r="E1464" s="55" t="s">
        <v>24</v>
      </c>
      <c r="F1464" s="55" t="s">
        <v>25</v>
      </c>
      <c r="G1464" s="55" t="s">
        <v>25</v>
      </c>
      <c r="H1464" s="55" t="s">
        <v>36</v>
      </c>
      <c r="I1464" s="63">
        <v>44470</v>
      </c>
      <c r="J1464" s="64">
        <f>EFEITO!$J$1464*EFEITO!$Y$1464</f>
        <v>0</v>
      </c>
      <c r="K1464" s="64">
        <f ca="1">EFEITO!$L$1464*EFEITO!$Z$1464</f>
        <v>3377.752353702555</v>
      </c>
      <c r="L1464" s="64">
        <f>EFEITO!$N$1464*EFEITO!$AA$1464</f>
        <v>1327.3042604007035</v>
      </c>
      <c r="M1464" s="64">
        <f>$J$1464-EFEITO!$K$1464*EFEITO!$Y$1464</f>
        <v>0</v>
      </c>
      <c r="N1464" s="64">
        <f ca="1">$K$1464-EFEITO!$M$1464*EFEITO!$Z$1464</f>
        <v>0</v>
      </c>
      <c r="O1464" s="64">
        <f>$L$1464-EFEITO!$O$1464*EFEITO!$AA$1464</f>
        <v>0</v>
      </c>
      <c r="P1464" s="19"/>
      <c r="Q1464" s="19"/>
      <c r="R1464" s="19"/>
      <c r="S1464" s="19"/>
      <c r="T1464" s="19"/>
      <c r="U1464" s="19"/>
      <c r="V1464" s="19"/>
      <c r="W1464" s="19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</row>
    <row r="1465" spans="1:36" ht="11.25" customHeight="1" x14ac:dyDescent="0.2">
      <c r="A1465" s="55" t="s">
        <v>28</v>
      </c>
      <c r="B1465" s="55" t="s">
        <v>22</v>
      </c>
      <c r="C1465" s="55" t="s">
        <v>33</v>
      </c>
      <c r="D1465" s="55" t="s">
        <v>24</v>
      </c>
      <c r="E1465" s="55" t="s">
        <v>24</v>
      </c>
      <c r="F1465" s="55" t="s">
        <v>25</v>
      </c>
      <c r="G1465" s="55" t="s">
        <v>25</v>
      </c>
      <c r="H1465" s="55" t="s">
        <v>36</v>
      </c>
      <c r="I1465" s="63">
        <v>44470</v>
      </c>
      <c r="J1465" s="64">
        <f>EFEITO!$J$1465*EFEITO!$Y$1465</f>
        <v>0</v>
      </c>
      <c r="K1465" s="64">
        <f ca="1">EFEITO!$L$1465*EFEITO!$Z$1465</f>
        <v>33.618279057280539</v>
      </c>
      <c r="L1465" s="64">
        <f>EFEITO!$N$1465*EFEITO!$AA$1465</f>
        <v>13.210466709069339</v>
      </c>
      <c r="M1465" s="64">
        <f>$J$1465-EFEITO!$K$1465*EFEITO!$Y$1465</f>
        <v>0</v>
      </c>
      <c r="N1465" s="64">
        <f ca="1">$K$1465-EFEITO!$M$1465*EFEITO!$Z$1465</f>
        <v>0</v>
      </c>
      <c r="O1465" s="64">
        <f>$L$1465-EFEITO!$O$1465*EFEITO!$AA$1465</f>
        <v>0</v>
      </c>
      <c r="P1465" s="19"/>
      <c r="Q1465" s="19"/>
      <c r="R1465" s="19"/>
      <c r="S1465" s="19"/>
      <c r="T1465" s="19"/>
      <c r="U1465" s="19"/>
      <c r="V1465" s="19"/>
      <c r="W1465" s="19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</row>
    <row r="1466" spans="1:36" ht="11.25" customHeight="1" x14ac:dyDescent="0.2">
      <c r="A1466" s="55" t="s">
        <v>21</v>
      </c>
      <c r="B1466" s="55" t="s">
        <v>22</v>
      </c>
      <c r="C1466" s="55" t="s">
        <v>33</v>
      </c>
      <c r="D1466" s="55" t="s">
        <v>24</v>
      </c>
      <c r="E1466" s="55" t="s">
        <v>24</v>
      </c>
      <c r="F1466" s="55" t="s">
        <v>25</v>
      </c>
      <c r="G1466" s="55" t="s">
        <v>25</v>
      </c>
      <c r="H1466" s="55" t="s">
        <v>36</v>
      </c>
      <c r="I1466" s="63">
        <v>44501</v>
      </c>
      <c r="J1466" s="64">
        <f>EFEITO!$J$1466*EFEITO!$Y$1466</f>
        <v>0</v>
      </c>
      <c r="K1466" s="64">
        <f ca="1">EFEITO!$L$1466*EFEITO!$Z$1466</f>
        <v>3228.5343782377836</v>
      </c>
      <c r="L1466" s="64">
        <f>EFEITO!$N$1466*EFEITO!$AA$1466</f>
        <v>1268.6683292183432</v>
      </c>
      <c r="M1466" s="64">
        <f>$J$1466-EFEITO!$K$1466*EFEITO!$Y$1466</f>
        <v>0</v>
      </c>
      <c r="N1466" s="64">
        <f ca="1">$K$1466-EFEITO!$M$1466*EFEITO!$Z$1466</f>
        <v>0</v>
      </c>
      <c r="O1466" s="64">
        <f>$L$1466-EFEITO!$O$1466*EFEITO!$AA$1466</f>
        <v>0</v>
      </c>
      <c r="P1466" s="19"/>
      <c r="Q1466" s="19"/>
      <c r="R1466" s="19"/>
      <c r="S1466" s="19"/>
      <c r="T1466" s="19"/>
      <c r="U1466" s="19"/>
      <c r="V1466" s="19"/>
      <c r="W1466" s="19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</row>
    <row r="1467" spans="1:36" ht="11.25" customHeight="1" x14ac:dyDescent="0.2">
      <c r="A1467" s="55" t="s">
        <v>27</v>
      </c>
      <c r="B1467" s="55" t="s">
        <v>22</v>
      </c>
      <c r="C1467" s="55" t="s">
        <v>33</v>
      </c>
      <c r="D1467" s="55" t="s">
        <v>24</v>
      </c>
      <c r="E1467" s="55" t="s">
        <v>24</v>
      </c>
      <c r="F1467" s="55" t="s">
        <v>25</v>
      </c>
      <c r="G1467" s="55" t="s">
        <v>25</v>
      </c>
      <c r="H1467" s="55" t="s">
        <v>36</v>
      </c>
      <c r="I1467" s="63">
        <v>44501</v>
      </c>
      <c r="J1467" s="64">
        <f>EFEITO!$J$1467*EFEITO!$Y$1467</f>
        <v>0</v>
      </c>
      <c r="K1467" s="64">
        <f ca="1">EFEITO!$L$1467*EFEITO!$Z$1467</f>
        <v>11.206093019093512</v>
      </c>
      <c r="L1467" s="64">
        <f>EFEITO!$N$1467*EFEITO!$AA$1467</f>
        <v>4.4034889030231126</v>
      </c>
      <c r="M1467" s="64">
        <f>$J$1467-EFEITO!$K$1467*EFEITO!$Y$1467</f>
        <v>0</v>
      </c>
      <c r="N1467" s="64">
        <f ca="1">$K$1467-EFEITO!$M$1467*EFEITO!$Z$1467</f>
        <v>0</v>
      </c>
      <c r="O1467" s="64">
        <f>$L$1467-EFEITO!$O$1467*EFEITO!$AA$1467</f>
        <v>0</v>
      </c>
      <c r="P1467" s="19"/>
      <c r="Q1467" s="19"/>
      <c r="R1467" s="19"/>
      <c r="S1467" s="19"/>
      <c r="T1467" s="19"/>
      <c r="U1467" s="19"/>
      <c r="V1467" s="19"/>
      <c r="W1467" s="19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</row>
    <row r="1468" spans="1:36" ht="11.25" customHeight="1" x14ac:dyDescent="0.2">
      <c r="A1468" s="55" t="s">
        <v>28</v>
      </c>
      <c r="B1468" s="55" t="s">
        <v>22</v>
      </c>
      <c r="C1468" s="55" t="s">
        <v>33</v>
      </c>
      <c r="D1468" s="55" t="s">
        <v>24</v>
      </c>
      <c r="E1468" s="55" t="s">
        <v>24</v>
      </c>
      <c r="F1468" s="55" t="s">
        <v>25</v>
      </c>
      <c r="G1468" s="55" t="s">
        <v>25</v>
      </c>
      <c r="H1468" s="55" t="s">
        <v>36</v>
      </c>
      <c r="I1468" s="63">
        <v>44501</v>
      </c>
      <c r="J1468" s="64">
        <f>EFEITO!$J$1468*EFEITO!$Y$1468</f>
        <v>0</v>
      </c>
      <c r="K1468" s="64">
        <f ca="1">EFEITO!$L$1468*EFEITO!$Z$1468</f>
        <v>106.16298649667537</v>
      </c>
      <c r="L1468" s="64">
        <f>EFEITO!$N$1468*EFEITO!$AA$1468</f>
        <v>41.717263291797906</v>
      </c>
      <c r="M1468" s="64">
        <f>$J$1468-EFEITO!$K$1468*EFEITO!$Y$1468</f>
        <v>0</v>
      </c>
      <c r="N1468" s="64">
        <f ca="1">$K$1468-EFEITO!$M$1468*EFEITO!$Z$1468</f>
        <v>0</v>
      </c>
      <c r="O1468" s="64">
        <f>$L$1468-EFEITO!$O$1468*EFEITO!$AA$1468</f>
        <v>0</v>
      </c>
      <c r="P1468" s="19"/>
      <c r="Q1468" s="19"/>
      <c r="R1468" s="19"/>
      <c r="S1468" s="19"/>
      <c r="T1468" s="19"/>
      <c r="U1468" s="19"/>
      <c r="V1468" s="19"/>
      <c r="W1468" s="19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</row>
    <row r="1469" spans="1:36" ht="11.25" customHeight="1" x14ac:dyDescent="0.2">
      <c r="A1469" s="55" t="s">
        <v>21</v>
      </c>
      <c r="B1469" s="55" t="s">
        <v>22</v>
      </c>
      <c r="C1469" s="55" t="s">
        <v>33</v>
      </c>
      <c r="D1469" s="55" t="s">
        <v>24</v>
      </c>
      <c r="E1469" s="55" t="s">
        <v>24</v>
      </c>
      <c r="F1469" s="55" t="s">
        <v>25</v>
      </c>
      <c r="G1469" s="55" t="s">
        <v>25</v>
      </c>
      <c r="H1469" s="55" t="s">
        <v>36</v>
      </c>
      <c r="I1469" s="63">
        <v>44531</v>
      </c>
      <c r="J1469" s="64">
        <f>EFEITO!$J$1469*EFEITO!$Y$1469</f>
        <v>0</v>
      </c>
      <c r="K1469" s="64">
        <f ca="1">EFEITO!$L$1469*EFEITO!$Z$1469</f>
        <v>4310.2172517650206</v>
      </c>
      <c r="L1469" s="64">
        <f>EFEITO!$N$1469*EFEITO!$AA$1469</f>
        <v>1693.7208896469951</v>
      </c>
      <c r="M1469" s="64">
        <f>$J$1469-EFEITO!$K$1469*EFEITO!$Y$1469</f>
        <v>0</v>
      </c>
      <c r="N1469" s="64">
        <f ca="1">$K$1469-EFEITO!$M$1469*EFEITO!$Z$1469</f>
        <v>0</v>
      </c>
      <c r="O1469" s="64">
        <f>$L$1469-EFEITO!$O$1469*EFEITO!$AA$1469</f>
        <v>0</v>
      </c>
      <c r="P1469" s="19"/>
      <c r="Q1469" s="19"/>
      <c r="R1469" s="19"/>
      <c r="S1469" s="19"/>
      <c r="T1469" s="19"/>
      <c r="U1469" s="19"/>
      <c r="V1469" s="19"/>
      <c r="W1469" s="19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</row>
    <row r="1470" spans="1:36" ht="11.25" customHeight="1" x14ac:dyDescent="0.2">
      <c r="A1470" s="55" t="s">
        <v>27</v>
      </c>
      <c r="B1470" s="55" t="s">
        <v>22</v>
      </c>
      <c r="C1470" s="55" t="s">
        <v>33</v>
      </c>
      <c r="D1470" s="55" t="s">
        <v>24</v>
      </c>
      <c r="E1470" s="55" t="s">
        <v>24</v>
      </c>
      <c r="F1470" s="55" t="s">
        <v>25</v>
      </c>
      <c r="G1470" s="55" t="s">
        <v>25</v>
      </c>
      <c r="H1470" s="55" t="s">
        <v>36</v>
      </c>
      <c r="I1470" s="63">
        <v>44531</v>
      </c>
      <c r="J1470" s="64">
        <f>EFEITO!$J$1470*EFEITO!$Y$1470</f>
        <v>0</v>
      </c>
      <c r="K1470" s="64">
        <f ca="1">EFEITO!$L$1470*EFEITO!$Z$1470</f>
        <v>2.3591774777038972</v>
      </c>
      <c r="L1470" s="64">
        <f>EFEITO!$N$1470*EFEITO!$AA$1470</f>
        <v>0.92705029537328687</v>
      </c>
      <c r="M1470" s="64">
        <f>$J$1470-EFEITO!$K$1470*EFEITO!$Y$1470</f>
        <v>0</v>
      </c>
      <c r="N1470" s="64">
        <f ca="1">$K$1470-EFEITO!$M$1470*EFEITO!$Z$1470</f>
        <v>0</v>
      </c>
      <c r="O1470" s="64">
        <f>$L$1470-EFEITO!$O$1470*EFEITO!$AA$1470</f>
        <v>0</v>
      </c>
      <c r="P1470" s="19"/>
      <c r="Q1470" s="19"/>
      <c r="R1470" s="19"/>
      <c r="S1470" s="19"/>
      <c r="T1470" s="19"/>
      <c r="U1470" s="19"/>
      <c r="V1470" s="19"/>
      <c r="W1470" s="19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</row>
    <row r="1471" spans="1:36" ht="11.25" customHeight="1" x14ac:dyDescent="0.2">
      <c r="A1471" s="55" t="s">
        <v>28</v>
      </c>
      <c r="B1471" s="55" t="s">
        <v>22</v>
      </c>
      <c r="C1471" s="55" t="s">
        <v>33</v>
      </c>
      <c r="D1471" s="55" t="s">
        <v>24</v>
      </c>
      <c r="E1471" s="55" t="s">
        <v>24</v>
      </c>
      <c r="F1471" s="55" t="s">
        <v>25</v>
      </c>
      <c r="G1471" s="55" t="s">
        <v>25</v>
      </c>
      <c r="H1471" s="55" t="s">
        <v>36</v>
      </c>
      <c r="I1471" s="63">
        <v>44531</v>
      </c>
      <c r="J1471" s="64">
        <f>EFEITO!$J$1471*EFEITO!$Y$1471</f>
        <v>0</v>
      </c>
      <c r="K1471" s="64">
        <f ca="1">EFEITO!$L$1471*EFEITO!$Z$1471</f>
        <v>424.65194598670149</v>
      </c>
      <c r="L1471" s="64">
        <f>EFEITO!$N$1471*EFEITO!$AA$1471</f>
        <v>166.86905316719162</v>
      </c>
      <c r="M1471" s="64">
        <f>$J$1471-EFEITO!$K$1471*EFEITO!$Y$1471</f>
        <v>0</v>
      </c>
      <c r="N1471" s="64">
        <f ca="1">$K$1471-EFEITO!$M$1471*EFEITO!$Z$1471</f>
        <v>0</v>
      </c>
      <c r="O1471" s="64">
        <f>$L$1471-EFEITO!$O$1471*EFEITO!$AA$1471</f>
        <v>0</v>
      </c>
      <c r="P1471" s="19"/>
      <c r="Q1471" s="19"/>
      <c r="R1471" s="19"/>
      <c r="S1471" s="19"/>
      <c r="T1471" s="19"/>
      <c r="U1471" s="19"/>
      <c r="V1471" s="19"/>
      <c r="W1471" s="19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</row>
    <row r="1472" spans="1:36" ht="11.25" customHeight="1" x14ac:dyDescent="0.2">
      <c r="A1472" s="55" t="s">
        <v>21</v>
      </c>
      <c r="B1472" s="55" t="s">
        <v>22</v>
      </c>
      <c r="C1472" s="55" t="s">
        <v>33</v>
      </c>
      <c r="D1472" s="55" t="s">
        <v>24</v>
      </c>
      <c r="E1472" s="55" t="s">
        <v>24</v>
      </c>
      <c r="F1472" s="55" t="s">
        <v>25</v>
      </c>
      <c r="G1472" s="55" t="s">
        <v>25</v>
      </c>
      <c r="H1472" s="55" t="s">
        <v>36</v>
      </c>
      <c r="I1472" s="63">
        <v>44562</v>
      </c>
      <c r="J1472" s="64">
        <f>EFEITO!$J$1472*EFEITO!$Y$1472</f>
        <v>0</v>
      </c>
      <c r="K1472" s="64">
        <f ca="1">EFEITO!$L$1472*EFEITO!$Z$1472</f>
        <v>3974.0344611922151</v>
      </c>
      <c r="L1472" s="64">
        <f>EFEITO!$N$1472*EFEITO!$AA$1472</f>
        <v>1561.6162225563019</v>
      </c>
      <c r="M1472" s="64">
        <f>$J$1472-EFEITO!$K$1472*EFEITO!$Y$1472</f>
        <v>0</v>
      </c>
      <c r="N1472" s="64">
        <f ca="1">$K$1472-EFEITO!$M$1472*EFEITO!$Z$1472</f>
        <v>0</v>
      </c>
      <c r="O1472" s="64">
        <f>$L$1472-EFEITO!$O$1472*EFEITO!$AA$1472</f>
        <v>0</v>
      </c>
      <c r="P1472" s="19"/>
      <c r="Q1472" s="19"/>
      <c r="R1472" s="19"/>
      <c r="S1472" s="19"/>
      <c r="T1472" s="19"/>
      <c r="U1472" s="19"/>
      <c r="V1472" s="19"/>
      <c r="W1472" s="19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</row>
    <row r="1473" spans="1:36" ht="11.25" customHeight="1" x14ac:dyDescent="0.2">
      <c r="A1473" s="55" t="s">
        <v>27</v>
      </c>
      <c r="B1473" s="55" t="s">
        <v>22</v>
      </c>
      <c r="C1473" s="55" t="s">
        <v>33</v>
      </c>
      <c r="D1473" s="55" t="s">
        <v>24</v>
      </c>
      <c r="E1473" s="55" t="s">
        <v>24</v>
      </c>
      <c r="F1473" s="55" t="s">
        <v>25</v>
      </c>
      <c r="G1473" s="55" t="s">
        <v>25</v>
      </c>
      <c r="H1473" s="55" t="s">
        <v>36</v>
      </c>
      <c r="I1473" s="63">
        <v>44562</v>
      </c>
      <c r="J1473" s="64">
        <f>EFEITO!$J$1473*EFEITO!$Y$1473</f>
        <v>0</v>
      </c>
      <c r="K1473" s="64">
        <f ca="1">EFEITO!$L$1473*EFEITO!$Z$1473</f>
        <v>-306.1032777320807</v>
      </c>
      <c r="L1473" s="64">
        <f>EFEITO!$N$1473*EFEITO!$AA$1473</f>
        <v>-120.28477582468398</v>
      </c>
      <c r="M1473" s="64">
        <f>$J$1473-EFEITO!$K$1473*EFEITO!$Y$1473</f>
        <v>0</v>
      </c>
      <c r="N1473" s="64">
        <f ca="1">$K$1473-EFEITO!$M$1473*EFEITO!$Z$1473</f>
        <v>0</v>
      </c>
      <c r="O1473" s="64">
        <f>$L$1473-EFEITO!$O$1473*EFEITO!$AA$1473</f>
        <v>0</v>
      </c>
      <c r="P1473" s="19"/>
      <c r="Q1473" s="19"/>
      <c r="R1473" s="19"/>
      <c r="S1473" s="19"/>
      <c r="T1473" s="19"/>
      <c r="U1473" s="19"/>
      <c r="V1473" s="19"/>
      <c r="W1473" s="19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</row>
    <row r="1474" spans="1:36" ht="11.25" customHeight="1" x14ac:dyDescent="0.2">
      <c r="A1474" s="55" t="s">
        <v>28</v>
      </c>
      <c r="B1474" s="55" t="s">
        <v>22</v>
      </c>
      <c r="C1474" s="55" t="s">
        <v>33</v>
      </c>
      <c r="D1474" s="55" t="s">
        <v>24</v>
      </c>
      <c r="E1474" s="55" t="s">
        <v>24</v>
      </c>
      <c r="F1474" s="55" t="s">
        <v>25</v>
      </c>
      <c r="G1474" s="55" t="s">
        <v>25</v>
      </c>
      <c r="H1474" s="55" t="s">
        <v>36</v>
      </c>
      <c r="I1474" s="63">
        <v>44562</v>
      </c>
      <c r="J1474" s="64">
        <f>EFEITO!$J$1474*EFEITO!$Y$1474</f>
        <v>0</v>
      </c>
      <c r="K1474" s="64">
        <f ca="1">EFEITO!$L$1474*EFEITO!$Z$1474</f>
        <v>94.956893477581872</v>
      </c>
      <c r="L1474" s="64">
        <f>EFEITO!$N$1474*EFEITO!$AA$1474</f>
        <v>37.313774388774796</v>
      </c>
      <c r="M1474" s="64">
        <f>$J$1474-EFEITO!$K$1474*EFEITO!$Y$1474</f>
        <v>0</v>
      </c>
      <c r="N1474" s="64">
        <f ca="1">$K$1474-EFEITO!$M$1474*EFEITO!$Z$1474</f>
        <v>0</v>
      </c>
      <c r="O1474" s="64">
        <f>$L$1474-EFEITO!$O$1474*EFEITO!$AA$1474</f>
        <v>0</v>
      </c>
      <c r="P1474" s="19"/>
      <c r="Q1474" s="19"/>
      <c r="R1474" s="19"/>
      <c r="S1474" s="19"/>
      <c r="T1474" s="19"/>
      <c r="U1474" s="19"/>
      <c r="V1474" s="19"/>
      <c r="W1474" s="19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</row>
    <row r="1475" spans="1:36" ht="11.25" customHeight="1" x14ac:dyDescent="0.2">
      <c r="A1475" s="55" t="s">
        <v>28</v>
      </c>
      <c r="B1475" s="55" t="s">
        <v>22</v>
      </c>
      <c r="C1475" s="55" t="s">
        <v>33</v>
      </c>
      <c r="D1475" s="55" t="s">
        <v>24</v>
      </c>
      <c r="E1475" s="55" t="s">
        <v>24</v>
      </c>
      <c r="F1475" s="55" t="s">
        <v>25</v>
      </c>
      <c r="G1475" s="55" t="s">
        <v>25</v>
      </c>
      <c r="H1475" s="55" t="s">
        <v>36</v>
      </c>
      <c r="I1475" s="63">
        <v>44562</v>
      </c>
      <c r="J1475" s="64">
        <f>EFEITO!$J$1475*EFEITO!$Y$1475</f>
        <v>0</v>
      </c>
      <c r="K1475" s="64">
        <f ca="1">EFEITO!$L$1475*EFEITO!$Z$1475</f>
        <v>-336.77258494223128</v>
      </c>
      <c r="L1475" s="64">
        <f>EFEITO!$N$1475*EFEITO!$AA$1475</f>
        <v>-132.33642966453669</v>
      </c>
      <c r="M1475" s="64">
        <f>$J$1475-EFEITO!$K$1475*EFEITO!$Y$1475</f>
        <v>0</v>
      </c>
      <c r="N1475" s="64">
        <f ca="1">$K$1475-EFEITO!$M$1475*EFEITO!$Z$1475</f>
        <v>0</v>
      </c>
      <c r="O1475" s="64">
        <f>$L$1475-EFEITO!$O$1475*EFEITO!$AA$1475</f>
        <v>0</v>
      </c>
      <c r="P1475" s="19"/>
      <c r="Q1475" s="19"/>
      <c r="R1475" s="19"/>
      <c r="S1475" s="19"/>
      <c r="T1475" s="19"/>
      <c r="U1475" s="19"/>
      <c r="V1475" s="19"/>
      <c r="W1475" s="19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</row>
    <row r="1476" spans="1:36" ht="11.25" customHeight="1" x14ac:dyDescent="0.2">
      <c r="A1476" s="55" t="s">
        <v>21</v>
      </c>
      <c r="B1476" s="55" t="s">
        <v>22</v>
      </c>
      <c r="C1476" s="55" t="s">
        <v>33</v>
      </c>
      <c r="D1476" s="55" t="s">
        <v>24</v>
      </c>
      <c r="E1476" s="55" t="s">
        <v>24</v>
      </c>
      <c r="F1476" s="55" t="s">
        <v>25</v>
      </c>
      <c r="G1476" s="55" t="s">
        <v>25</v>
      </c>
      <c r="H1476" s="55" t="s">
        <v>36</v>
      </c>
      <c r="I1476" s="63">
        <v>44593</v>
      </c>
      <c r="J1476" s="64">
        <f>EFEITO!$J$1476*EFEITO!$Y$1476</f>
        <v>0</v>
      </c>
      <c r="K1476" s="64">
        <f ca="1">EFEITO!$L$1476*EFEITO!$Z$1476</f>
        <v>3640.8006424665396</v>
      </c>
      <c r="L1476" s="64">
        <f>EFEITO!$N$1476*EFEITO!$AA$1476</f>
        <v>1430.6703683348251</v>
      </c>
      <c r="M1476" s="64">
        <f>$J$1476-EFEITO!$K$1476*EFEITO!$Y$1476</f>
        <v>0</v>
      </c>
      <c r="N1476" s="64">
        <f ca="1">$K$1476-EFEITO!$M$1476*EFEITO!$Z$1476</f>
        <v>0</v>
      </c>
      <c r="O1476" s="64">
        <f>$L$1476-EFEITO!$O$1476*EFEITO!$AA$1476</f>
        <v>0</v>
      </c>
      <c r="P1476" s="19"/>
      <c r="Q1476" s="19"/>
      <c r="R1476" s="19"/>
      <c r="S1476" s="19"/>
      <c r="T1476" s="19"/>
      <c r="U1476" s="19"/>
      <c r="V1476" s="19"/>
      <c r="W1476" s="19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</row>
    <row r="1477" spans="1:36" ht="11.25" customHeight="1" x14ac:dyDescent="0.2">
      <c r="A1477" s="55" t="s">
        <v>28</v>
      </c>
      <c r="B1477" s="55" t="s">
        <v>22</v>
      </c>
      <c r="C1477" s="55" t="s">
        <v>33</v>
      </c>
      <c r="D1477" s="55" t="s">
        <v>24</v>
      </c>
      <c r="E1477" s="55" t="s">
        <v>24</v>
      </c>
      <c r="F1477" s="55" t="s">
        <v>25</v>
      </c>
      <c r="G1477" s="55" t="s">
        <v>25</v>
      </c>
      <c r="H1477" s="55" t="s">
        <v>36</v>
      </c>
      <c r="I1477" s="63">
        <v>44593</v>
      </c>
      <c r="J1477" s="64">
        <f>EFEITO!$J$1477*EFEITO!$Y$1477</f>
        <v>0</v>
      </c>
      <c r="K1477" s="64">
        <f ca="1">EFEITO!$L$1477*EFEITO!$Z$1477</f>
        <v>83.161006089062369</v>
      </c>
      <c r="L1477" s="64">
        <f>EFEITO!$N$1477*EFEITO!$AA$1477</f>
        <v>32.67852291190836</v>
      </c>
      <c r="M1477" s="64">
        <f>$J$1477-EFEITO!$K$1477*EFEITO!$Y$1477</f>
        <v>0</v>
      </c>
      <c r="N1477" s="64">
        <f ca="1">$K$1477-EFEITO!$M$1477*EFEITO!$Z$1477</f>
        <v>0</v>
      </c>
      <c r="O1477" s="64">
        <f>$L$1477-EFEITO!$O$1477*EFEITO!$AA$1477</f>
        <v>0</v>
      </c>
      <c r="P1477" s="19"/>
      <c r="Q1477" s="19"/>
      <c r="R1477" s="19"/>
      <c r="S1477" s="19"/>
      <c r="T1477" s="19"/>
      <c r="U1477" s="19"/>
      <c r="V1477" s="19"/>
      <c r="W1477" s="19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</row>
    <row r="1478" spans="1:36" ht="11.25" customHeight="1" x14ac:dyDescent="0.2">
      <c r="A1478" s="55" t="s">
        <v>21</v>
      </c>
      <c r="B1478" s="55" t="s">
        <v>22</v>
      </c>
      <c r="C1478" s="55" t="s">
        <v>33</v>
      </c>
      <c r="D1478" s="55" t="s">
        <v>24</v>
      </c>
      <c r="E1478" s="55" t="s">
        <v>24</v>
      </c>
      <c r="F1478" s="55" t="s">
        <v>25</v>
      </c>
      <c r="G1478" s="55" t="s">
        <v>25</v>
      </c>
      <c r="H1478" s="55" t="s">
        <v>36</v>
      </c>
      <c r="I1478" s="63">
        <v>44621</v>
      </c>
      <c r="J1478" s="64">
        <f>EFEITO!$J$1478*EFEITO!$Y$1478</f>
        <v>0</v>
      </c>
      <c r="K1478" s="64">
        <f ca="1">EFEITO!$L$1478*EFEITO!$Z$1478</f>
        <v>3883.2061283006146</v>
      </c>
      <c r="L1478" s="64">
        <f>EFEITO!$N$1478*EFEITO!$AA$1478</f>
        <v>1525.9247861844301</v>
      </c>
      <c r="M1478" s="64">
        <f>$J$1478-EFEITO!$K$1478*EFEITO!$Y$1478</f>
        <v>0</v>
      </c>
      <c r="N1478" s="64">
        <f ca="1">$K$1478-EFEITO!$M$1478*EFEITO!$Z$1478</f>
        <v>0</v>
      </c>
      <c r="O1478" s="64">
        <f>$L$1478-EFEITO!$O$1478*EFEITO!$AA$1478</f>
        <v>0</v>
      </c>
      <c r="P1478" s="19"/>
      <c r="Q1478" s="19"/>
      <c r="R1478" s="19"/>
      <c r="S1478" s="19"/>
      <c r="T1478" s="19"/>
      <c r="U1478" s="19"/>
      <c r="V1478" s="19"/>
      <c r="W1478" s="19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</row>
    <row r="1479" spans="1:36" ht="11.25" customHeight="1" x14ac:dyDescent="0.2">
      <c r="A1479" s="55" t="s">
        <v>28</v>
      </c>
      <c r="B1479" s="55" t="s">
        <v>22</v>
      </c>
      <c r="C1479" s="55" t="s">
        <v>33</v>
      </c>
      <c r="D1479" s="55" t="s">
        <v>24</v>
      </c>
      <c r="E1479" s="55" t="s">
        <v>24</v>
      </c>
      <c r="F1479" s="55" t="s">
        <v>25</v>
      </c>
      <c r="G1479" s="55" t="s">
        <v>25</v>
      </c>
      <c r="H1479" s="55" t="s">
        <v>36</v>
      </c>
      <c r="I1479" s="63">
        <v>44621</v>
      </c>
      <c r="J1479" s="64">
        <f>EFEITO!$J$1479*EFEITO!$Y$1479</f>
        <v>0</v>
      </c>
      <c r="K1479" s="64">
        <f ca="1">EFEITO!$L$1479*EFEITO!$Z$1479</f>
        <v>163.96283470042087</v>
      </c>
      <c r="L1479" s="64">
        <f>EFEITO!$N$1479*EFEITO!$AA$1479</f>
        <v>64.429995528443442</v>
      </c>
      <c r="M1479" s="64">
        <f>$J$1479-EFEITO!$K$1479*EFEITO!$Y$1479</f>
        <v>0</v>
      </c>
      <c r="N1479" s="64">
        <f ca="1">$K$1479-EFEITO!$M$1479*EFEITO!$Z$1479</f>
        <v>0</v>
      </c>
      <c r="O1479" s="64">
        <f>$L$1479-EFEITO!$O$1479*EFEITO!$AA$1479</f>
        <v>0</v>
      </c>
      <c r="P1479" s="19"/>
      <c r="Q1479" s="19"/>
      <c r="R1479" s="19"/>
      <c r="S1479" s="19"/>
      <c r="T1479" s="19"/>
      <c r="U1479" s="19"/>
      <c r="V1479" s="19"/>
      <c r="W1479" s="19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</row>
    <row r="1480" spans="1:36" ht="11.25" customHeight="1" x14ac:dyDescent="0.2">
      <c r="A1480" s="55" t="s">
        <v>21</v>
      </c>
      <c r="B1480" s="55" t="s">
        <v>22</v>
      </c>
      <c r="C1480" s="55" t="s">
        <v>33</v>
      </c>
      <c r="D1480" s="55" t="s">
        <v>24</v>
      </c>
      <c r="E1480" s="55" t="s">
        <v>24</v>
      </c>
      <c r="F1480" s="55" t="s">
        <v>25</v>
      </c>
      <c r="G1480" s="55" t="s">
        <v>25</v>
      </c>
      <c r="H1480" s="55" t="s">
        <v>36</v>
      </c>
      <c r="I1480" s="63">
        <v>44652</v>
      </c>
      <c r="J1480" s="64">
        <f>EFEITO!$J$1480*EFEITO!$Y$1480</f>
        <v>0</v>
      </c>
      <c r="K1480" s="64">
        <f ca="1">EFEITO!$L$1480*EFEITO!$Z$1480</f>
        <v>3500.4295825431573</v>
      </c>
      <c r="L1480" s="64">
        <f>EFEITO!$N$1480*EFEITO!$AA$1480</f>
        <v>1375.5108757601142</v>
      </c>
      <c r="M1480" s="64">
        <f>$J$1480-EFEITO!$K$1480*EFEITO!$Y$1480</f>
        <v>0</v>
      </c>
      <c r="N1480" s="64">
        <f ca="1">$K$1480-EFEITO!$M$1480*EFEITO!$Z$1480</f>
        <v>0</v>
      </c>
      <c r="O1480" s="64">
        <f>$L$1480-EFEITO!$O$1480*EFEITO!$AA$1480</f>
        <v>0</v>
      </c>
      <c r="P1480" s="19"/>
      <c r="Q1480" s="19"/>
      <c r="R1480" s="19"/>
      <c r="S1480" s="19"/>
      <c r="T1480" s="19"/>
      <c r="U1480" s="19"/>
      <c r="V1480" s="19"/>
      <c r="W1480" s="19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</row>
    <row r="1481" spans="1:36" ht="11.25" customHeight="1" x14ac:dyDescent="0.2">
      <c r="A1481" s="55" t="s">
        <v>28</v>
      </c>
      <c r="B1481" s="55" t="s">
        <v>22</v>
      </c>
      <c r="C1481" s="55" t="s">
        <v>33</v>
      </c>
      <c r="D1481" s="55" t="s">
        <v>24</v>
      </c>
      <c r="E1481" s="55" t="s">
        <v>24</v>
      </c>
      <c r="F1481" s="55" t="s">
        <v>25</v>
      </c>
      <c r="G1481" s="55" t="s">
        <v>25</v>
      </c>
      <c r="H1481" s="55" t="s">
        <v>36</v>
      </c>
      <c r="I1481" s="63">
        <v>44652</v>
      </c>
      <c r="J1481" s="64">
        <f>EFEITO!$J$1481*EFEITO!$Y$1481</f>
        <v>0</v>
      </c>
      <c r="K1481" s="64">
        <f ca="1">EFEITO!$L$1481*EFEITO!$Z$1481</f>
        <v>79.62223987250654</v>
      </c>
      <c r="L1481" s="64">
        <f>EFEITO!$N$1481*EFEITO!$AA$1481</f>
        <v>31.287947468848433</v>
      </c>
      <c r="M1481" s="64">
        <f>$J$1481-EFEITO!$K$1481*EFEITO!$Y$1481</f>
        <v>0</v>
      </c>
      <c r="N1481" s="64">
        <f ca="1">$K$1481-EFEITO!$M$1481*EFEITO!$Z$1481</f>
        <v>0</v>
      </c>
      <c r="O1481" s="64">
        <f>$L$1481-EFEITO!$O$1481*EFEITO!$AA$1481</f>
        <v>0</v>
      </c>
      <c r="P1481" s="19"/>
      <c r="Q1481" s="19"/>
      <c r="R1481" s="19"/>
      <c r="S1481" s="19"/>
      <c r="T1481" s="19"/>
      <c r="U1481" s="19"/>
      <c r="V1481" s="19"/>
      <c r="W1481" s="19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</row>
    <row r="1482" spans="1:36" ht="11.25" customHeight="1" x14ac:dyDescent="0.2">
      <c r="A1482" s="55" t="s">
        <v>21</v>
      </c>
      <c r="B1482" s="55" t="s">
        <v>22</v>
      </c>
      <c r="C1482" s="55" t="s">
        <v>33</v>
      </c>
      <c r="D1482" s="55" t="s">
        <v>24</v>
      </c>
      <c r="E1482" s="55" t="s">
        <v>24</v>
      </c>
      <c r="F1482" s="55" t="s">
        <v>25</v>
      </c>
      <c r="G1482" s="55" t="s">
        <v>25</v>
      </c>
      <c r="H1482" s="55" t="s">
        <v>36</v>
      </c>
      <c r="I1482" s="63">
        <v>44682</v>
      </c>
      <c r="J1482" s="64">
        <f>EFEITO!$J$1482*EFEITO!$Y$1482</f>
        <v>0</v>
      </c>
      <c r="K1482" s="64">
        <f ca="1">EFEITO!$L$1482*EFEITO!$Z$1482</f>
        <v>3513.4050586705289</v>
      </c>
      <c r="L1482" s="64">
        <f>EFEITO!$N$1482*EFEITO!$AA$1482</f>
        <v>1380.6096523846675</v>
      </c>
      <c r="M1482" s="64">
        <f>$J$1482-EFEITO!$K$1482*EFEITO!$Y$1482</f>
        <v>0</v>
      </c>
      <c r="N1482" s="64">
        <f ca="1">$K$1482-EFEITO!$M$1482*EFEITO!$Z$1482</f>
        <v>0</v>
      </c>
      <c r="O1482" s="64">
        <f>$L$1482-EFEITO!$O$1482*EFEITO!$AA$1482</f>
        <v>0</v>
      </c>
      <c r="P1482" s="19"/>
      <c r="Q1482" s="19"/>
      <c r="R1482" s="19"/>
      <c r="S1482" s="19"/>
      <c r="T1482" s="19"/>
      <c r="U1482" s="19"/>
      <c r="V1482" s="19"/>
      <c r="W1482" s="19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</row>
    <row r="1483" spans="1:36" ht="11.25" customHeight="1" x14ac:dyDescent="0.2">
      <c r="A1483" s="55" t="s">
        <v>27</v>
      </c>
      <c r="B1483" s="55" t="s">
        <v>22</v>
      </c>
      <c r="C1483" s="55" t="s">
        <v>33</v>
      </c>
      <c r="D1483" s="55" t="s">
        <v>24</v>
      </c>
      <c r="E1483" s="55" t="s">
        <v>24</v>
      </c>
      <c r="F1483" s="55" t="s">
        <v>25</v>
      </c>
      <c r="G1483" s="55" t="s">
        <v>25</v>
      </c>
      <c r="H1483" s="55" t="s">
        <v>36</v>
      </c>
      <c r="I1483" s="63">
        <v>44682</v>
      </c>
      <c r="J1483" s="64">
        <f>EFEITO!$J$1483*EFEITO!$Y$1483</f>
        <v>0</v>
      </c>
      <c r="K1483" s="64">
        <f ca="1">EFEITO!$L$1483*EFEITO!$Z$1483</f>
        <v>33.028484687854565</v>
      </c>
      <c r="L1483" s="64">
        <f>EFEITO!$N$1483*EFEITO!$AA$1483</f>
        <v>12.978704135226016</v>
      </c>
      <c r="M1483" s="64">
        <f>$J$1483-EFEITO!$K$1483*EFEITO!$Y$1483</f>
        <v>0</v>
      </c>
      <c r="N1483" s="64">
        <f ca="1">$K$1483-EFEITO!$M$1483*EFEITO!$Z$1483</f>
        <v>0</v>
      </c>
      <c r="O1483" s="64">
        <f>$L$1483-EFEITO!$O$1483*EFEITO!$AA$1483</f>
        <v>0</v>
      </c>
      <c r="P1483" s="19"/>
      <c r="Q1483" s="19"/>
      <c r="R1483" s="19"/>
      <c r="S1483" s="19"/>
      <c r="T1483" s="19"/>
      <c r="U1483" s="19"/>
      <c r="V1483" s="19"/>
      <c r="W1483" s="19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</row>
    <row r="1484" spans="1:36" ht="11.25" customHeight="1" x14ac:dyDescent="0.2">
      <c r="A1484" s="55" t="s">
        <v>28</v>
      </c>
      <c r="B1484" s="55" t="s">
        <v>22</v>
      </c>
      <c r="C1484" s="55" t="s">
        <v>33</v>
      </c>
      <c r="D1484" s="55" t="s">
        <v>24</v>
      </c>
      <c r="E1484" s="55" t="s">
        <v>24</v>
      </c>
      <c r="F1484" s="55" t="s">
        <v>25</v>
      </c>
      <c r="G1484" s="55" t="s">
        <v>25</v>
      </c>
      <c r="H1484" s="55" t="s">
        <v>36</v>
      </c>
      <c r="I1484" s="63">
        <v>44682</v>
      </c>
      <c r="J1484" s="64">
        <f>EFEITO!$J$1484*EFEITO!$Y$1484</f>
        <v>0</v>
      </c>
      <c r="K1484" s="64">
        <f ca="1">EFEITO!$L$1484*EFEITO!$Z$1484</f>
        <v>80.212034241932514</v>
      </c>
      <c r="L1484" s="64">
        <f>EFEITO!$N$1484*EFEITO!$AA$1484</f>
        <v>31.519710042691756</v>
      </c>
      <c r="M1484" s="64">
        <f>$J$1484-EFEITO!$K$1484*EFEITO!$Y$1484</f>
        <v>0</v>
      </c>
      <c r="N1484" s="64">
        <f ca="1">$K$1484-EFEITO!$M$1484*EFEITO!$Z$1484</f>
        <v>0</v>
      </c>
      <c r="O1484" s="64">
        <f>$L$1484-EFEITO!$O$1484*EFEITO!$AA$1484</f>
        <v>0</v>
      </c>
      <c r="P1484" s="19"/>
      <c r="Q1484" s="19"/>
      <c r="R1484" s="19"/>
      <c r="S1484" s="19"/>
      <c r="T1484" s="19"/>
      <c r="U1484" s="19"/>
      <c r="V1484" s="19"/>
      <c r="W1484" s="19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</row>
    <row r="1485" spans="1:36" ht="11.25" customHeight="1" x14ac:dyDescent="0.2">
      <c r="A1485" s="55" t="s">
        <v>21</v>
      </c>
      <c r="B1485" s="55" t="s">
        <v>22</v>
      </c>
      <c r="C1485" s="55" t="s">
        <v>33</v>
      </c>
      <c r="D1485" s="55" t="s">
        <v>24</v>
      </c>
      <c r="E1485" s="55" t="s">
        <v>24</v>
      </c>
      <c r="F1485" s="55" t="s">
        <v>25</v>
      </c>
      <c r="G1485" s="55" t="s">
        <v>25</v>
      </c>
      <c r="H1485" s="55" t="s">
        <v>36</v>
      </c>
      <c r="I1485" s="63">
        <v>44713</v>
      </c>
      <c r="J1485" s="64">
        <f>EFEITO!$J$1485*EFEITO!$Y$1485</f>
        <v>0</v>
      </c>
      <c r="K1485" s="64">
        <f ca="1">EFEITO!$L$1485*EFEITO!$Z$1485</f>
        <v>3247.9975924288401</v>
      </c>
      <c r="L1485" s="64">
        <f>EFEITO!$N$1485*EFEITO!$AA$1485</f>
        <v>1276.3164941551727</v>
      </c>
      <c r="M1485" s="64">
        <f>$J$1485-EFEITO!$K$1485*EFEITO!$Y$1485</f>
        <v>0</v>
      </c>
      <c r="N1485" s="64">
        <f ca="1">$K$1485-EFEITO!$M$1485*EFEITO!$Z$1485</f>
        <v>0</v>
      </c>
      <c r="O1485" s="64">
        <f>$L$1485-EFEITO!$O$1485*EFEITO!$AA$1485</f>
        <v>0</v>
      </c>
      <c r="P1485" s="19"/>
      <c r="Q1485" s="19"/>
      <c r="R1485" s="19"/>
      <c r="S1485" s="19"/>
      <c r="T1485" s="19"/>
      <c r="U1485" s="19"/>
      <c r="V1485" s="19"/>
      <c r="W1485" s="19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</row>
    <row r="1486" spans="1:36" ht="11.25" customHeight="1" x14ac:dyDescent="0.2">
      <c r="A1486" s="55" t="s">
        <v>28</v>
      </c>
      <c r="B1486" s="55" t="s">
        <v>22</v>
      </c>
      <c r="C1486" s="55" t="s">
        <v>33</v>
      </c>
      <c r="D1486" s="55" t="s">
        <v>24</v>
      </c>
      <c r="E1486" s="55" t="s">
        <v>24</v>
      </c>
      <c r="F1486" s="55" t="s">
        <v>25</v>
      </c>
      <c r="G1486" s="55" t="s">
        <v>25</v>
      </c>
      <c r="H1486" s="55" t="s">
        <v>36</v>
      </c>
      <c r="I1486" s="63">
        <v>44713</v>
      </c>
      <c r="J1486" s="64">
        <f>EFEITO!$J$1486*EFEITO!$Y$1486</f>
        <v>0</v>
      </c>
      <c r="K1486" s="64">
        <f ca="1">EFEITO!$L$1486*EFEITO!$Z$1486</f>
        <v>82.571211719636409</v>
      </c>
      <c r="L1486" s="64">
        <f>EFEITO!$N$1486*EFEITO!$AA$1486</f>
        <v>32.44676033806504</v>
      </c>
      <c r="M1486" s="64">
        <f>$J$1486-EFEITO!$K$1486*EFEITO!$Y$1486</f>
        <v>0</v>
      </c>
      <c r="N1486" s="64">
        <f ca="1">$K$1486-EFEITO!$M$1486*EFEITO!$Z$1486</f>
        <v>0</v>
      </c>
      <c r="O1486" s="64">
        <f>$L$1486-EFEITO!$O$1486*EFEITO!$AA$1486</f>
        <v>0</v>
      </c>
      <c r="P1486" s="19"/>
      <c r="Q1486" s="19"/>
      <c r="R1486" s="19"/>
      <c r="S1486" s="19"/>
      <c r="T1486" s="19"/>
      <c r="U1486" s="19"/>
      <c r="V1486" s="19"/>
      <c r="W1486" s="19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</row>
    <row r="1487" spans="1:36" ht="11.25" customHeight="1" x14ac:dyDescent="0.2">
      <c r="A1487" s="55" t="s">
        <v>57</v>
      </c>
      <c r="B1487" s="55" t="s">
        <v>22</v>
      </c>
      <c r="C1487" s="55" t="s">
        <v>33</v>
      </c>
      <c r="D1487" s="55" t="s">
        <v>24</v>
      </c>
      <c r="E1487" s="55" t="s">
        <v>24</v>
      </c>
      <c r="F1487" s="55" t="s">
        <v>25</v>
      </c>
      <c r="G1487" s="55" t="s">
        <v>25</v>
      </c>
      <c r="H1487" s="55" t="s">
        <v>36</v>
      </c>
      <c r="I1487" s="63">
        <v>44743</v>
      </c>
      <c r="J1487" s="64">
        <f>EFEITO!$J$1487*EFEITO!$Y$1487</f>
        <v>0</v>
      </c>
      <c r="K1487" s="64">
        <f ca="1">EFEITO!$L$1487*EFEITO!$Z$1487</f>
        <v>3247.9975924288401</v>
      </c>
      <c r="L1487" s="64">
        <f>EFEITO!$N$1487*EFEITO!$AA$1487</f>
        <v>1276.3164941551727</v>
      </c>
      <c r="M1487" s="64">
        <f>$J$1487-EFEITO!$K$1487*EFEITO!$Y$1487</f>
        <v>0</v>
      </c>
      <c r="N1487" s="64">
        <f ca="1">$K$1487-EFEITO!$M$1487*EFEITO!$Z$1487</f>
        <v>0</v>
      </c>
      <c r="O1487" s="64">
        <f>$L$1487-EFEITO!$O$1487*EFEITO!$AA$1487</f>
        <v>0</v>
      </c>
      <c r="P1487" s="19"/>
      <c r="Q1487" s="19"/>
      <c r="R1487" s="19"/>
      <c r="S1487" s="19"/>
      <c r="T1487" s="19"/>
      <c r="U1487" s="19"/>
      <c r="V1487" s="19"/>
      <c r="W1487" s="19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</row>
    <row r="1488" spans="1:36" ht="11.25" customHeight="1" x14ac:dyDescent="0.2">
      <c r="A1488" s="55" t="s">
        <v>57</v>
      </c>
      <c r="B1488" s="55" t="s">
        <v>22</v>
      </c>
      <c r="C1488" s="55" t="s">
        <v>33</v>
      </c>
      <c r="D1488" s="55" t="s">
        <v>24</v>
      </c>
      <c r="E1488" s="55" t="s">
        <v>24</v>
      </c>
      <c r="F1488" s="55" t="s">
        <v>25</v>
      </c>
      <c r="G1488" s="55" t="s">
        <v>25</v>
      </c>
      <c r="H1488" s="55" t="s">
        <v>36</v>
      </c>
      <c r="I1488" s="63">
        <v>44743</v>
      </c>
      <c r="J1488" s="64">
        <f>EFEITO!$J$1488*EFEITO!$Y$1488</f>
        <v>0</v>
      </c>
      <c r="K1488" s="64">
        <f ca="1">EFEITO!$L$1488*EFEITO!$Z$1488</f>
        <v>82.571211719636409</v>
      </c>
      <c r="L1488" s="64">
        <f>EFEITO!$N$1488*EFEITO!$AA$1488</f>
        <v>32.44676033806504</v>
      </c>
      <c r="M1488" s="64">
        <f>$J$1488-EFEITO!$K$1488*EFEITO!$Y$1488</f>
        <v>0</v>
      </c>
      <c r="N1488" s="64">
        <f ca="1">$K$1488-EFEITO!$M$1488*EFEITO!$Z$1488</f>
        <v>0</v>
      </c>
      <c r="O1488" s="64">
        <f>$L$1488-EFEITO!$O$1488*EFEITO!$AA$1488</f>
        <v>0</v>
      </c>
      <c r="P1488" s="19"/>
      <c r="Q1488" s="19"/>
      <c r="R1488" s="19"/>
      <c r="S1488" s="19"/>
      <c r="T1488" s="19"/>
      <c r="U1488" s="19"/>
      <c r="V1488" s="19"/>
      <c r="W1488" s="19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</row>
    <row r="1489" spans="1:36" ht="11.25" customHeight="1" x14ac:dyDescent="0.2">
      <c r="A1489" s="55" t="s">
        <v>21</v>
      </c>
      <c r="B1489" s="55" t="s">
        <v>22</v>
      </c>
      <c r="C1489" s="55" t="s">
        <v>33</v>
      </c>
      <c r="D1489" s="55" t="s">
        <v>24</v>
      </c>
      <c r="E1489" s="55" t="s">
        <v>24</v>
      </c>
      <c r="F1489" s="55" t="s">
        <v>25</v>
      </c>
      <c r="G1489" s="55" t="s">
        <v>25</v>
      </c>
      <c r="H1489" s="55" t="s">
        <v>34</v>
      </c>
      <c r="I1489" s="63">
        <v>44409</v>
      </c>
      <c r="J1489" s="64">
        <f>EFEITO!$J$1489*EFEITO!$Y$1489</f>
        <v>0</v>
      </c>
      <c r="K1489" s="64">
        <f ca="1">EFEITO!$L$1489*EFEITO!$Z$1489</f>
        <v>8464.8098197818472</v>
      </c>
      <c r="L1489" s="64">
        <f>EFEITO!$N$1489*EFEITO!$AA$1489</f>
        <v>3335.6500424768392</v>
      </c>
      <c r="M1489" s="64">
        <f>$J$1489-EFEITO!$K$1489*EFEITO!$Y$1489</f>
        <v>0</v>
      </c>
      <c r="N1489" s="64">
        <f ca="1">$K$1489-EFEITO!$M$1489*EFEITO!$Z$1489</f>
        <v>0</v>
      </c>
      <c r="O1489" s="64">
        <f>$L$1489-EFEITO!$O$1489*EFEITO!$AA$1489</f>
        <v>0</v>
      </c>
      <c r="P1489" s="19"/>
      <c r="Q1489" s="19"/>
      <c r="R1489" s="19"/>
      <c r="S1489" s="19"/>
      <c r="T1489" s="19"/>
      <c r="U1489" s="19"/>
      <c r="V1489" s="19"/>
      <c r="W1489" s="19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</row>
    <row r="1490" spans="1:36" ht="11.25" customHeight="1" x14ac:dyDescent="0.2">
      <c r="A1490" s="55" t="s">
        <v>28</v>
      </c>
      <c r="B1490" s="55" t="s">
        <v>22</v>
      </c>
      <c r="C1490" s="55" t="s">
        <v>33</v>
      </c>
      <c r="D1490" s="55" t="s">
        <v>24</v>
      </c>
      <c r="E1490" s="55" t="s">
        <v>24</v>
      </c>
      <c r="F1490" s="55" t="s">
        <v>25</v>
      </c>
      <c r="G1490" s="55" t="s">
        <v>25</v>
      </c>
      <c r="H1490" s="55" t="s">
        <v>34</v>
      </c>
      <c r="I1490" s="63">
        <v>44409</v>
      </c>
      <c r="J1490" s="64">
        <f>EFEITO!$J$1490*EFEITO!$Y$1490</f>
        <v>0</v>
      </c>
      <c r="K1490" s="64">
        <f ca="1">EFEITO!$L$1490*EFEITO!$Z$1490</f>
        <v>38.397452471199649</v>
      </c>
      <c r="L1490" s="64">
        <f>EFEITO!$N$1490*EFEITO!$AA$1490</f>
        <v>15.13093225877819</v>
      </c>
      <c r="M1490" s="64">
        <f>$J$1490-EFEITO!$K$1490*EFEITO!$Y$1490</f>
        <v>0</v>
      </c>
      <c r="N1490" s="64">
        <f ca="1">$K$1490-EFEITO!$M$1490*EFEITO!$Z$1490</f>
        <v>0</v>
      </c>
      <c r="O1490" s="64">
        <f>$L$1490-EFEITO!$O$1490*EFEITO!$AA$1490</f>
        <v>0</v>
      </c>
      <c r="P1490" s="19"/>
      <c r="Q1490" s="19"/>
      <c r="R1490" s="19"/>
      <c r="S1490" s="19"/>
      <c r="T1490" s="19"/>
      <c r="U1490" s="19"/>
      <c r="V1490" s="19"/>
      <c r="W1490" s="19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</row>
    <row r="1491" spans="1:36" ht="11.25" customHeight="1" x14ac:dyDescent="0.2">
      <c r="A1491" s="55" t="s">
        <v>21</v>
      </c>
      <c r="B1491" s="55" t="s">
        <v>22</v>
      </c>
      <c r="C1491" s="55" t="s">
        <v>33</v>
      </c>
      <c r="D1491" s="55" t="s">
        <v>24</v>
      </c>
      <c r="E1491" s="55" t="s">
        <v>24</v>
      </c>
      <c r="F1491" s="55" t="s">
        <v>25</v>
      </c>
      <c r="G1491" s="55" t="s">
        <v>25</v>
      </c>
      <c r="H1491" s="55" t="s">
        <v>34</v>
      </c>
      <c r="I1491" s="63">
        <v>44440</v>
      </c>
      <c r="J1491" s="64">
        <f>EFEITO!$J$1491*EFEITO!$Y$1491</f>
        <v>0</v>
      </c>
      <c r="K1491" s="64">
        <f ca="1">EFEITO!$L$1491*EFEITO!$Z$1491</f>
        <v>15332.468461773555</v>
      </c>
      <c r="L1491" s="64">
        <f>EFEITO!$N$1491*EFEITO!$AA$1491</f>
        <v>6041.9253550468811</v>
      </c>
      <c r="M1491" s="64">
        <f>$J$1491-EFEITO!$K$1491*EFEITO!$Y$1491</f>
        <v>0</v>
      </c>
      <c r="N1491" s="64">
        <f ca="1">$K$1491-EFEITO!$M$1491*EFEITO!$Z$1491</f>
        <v>0</v>
      </c>
      <c r="O1491" s="64">
        <f>$L$1491-EFEITO!$O$1491*EFEITO!$AA$1491</f>
        <v>0</v>
      </c>
      <c r="P1491" s="19"/>
      <c r="Q1491" s="19"/>
      <c r="R1491" s="19"/>
      <c r="S1491" s="19"/>
      <c r="T1491" s="19"/>
      <c r="U1491" s="19"/>
      <c r="V1491" s="19"/>
      <c r="W1491" s="19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</row>
    <row r="1492" spans="1:36" ht="11.25" customHeight="1" x14ac:dyDescent="0.2">
      <c r="A1492" s="55" t="s">
        <v>28</v>
      </c>
      <c r="B1492" s="55" t="s">
        <v>22</v>
      </c>
      <c r="C1492" s="55" t="s">
        <v>33</v>
      </c>
      <c r="D1492" s="55" t="s">
        <v>24</v>
      </c>
      <c r="E1492" s="55" t="s">
        <v>24</v>
      </c>
      <c r="F1492" s="55" t="s">
        <v>25</v>
      </c>
      <c r="G1492" s="55" t="s">
        <v>25</v>
      </c>
      <c r="H1492" s="55" t="s">
        <v>34</v>
      </c>
      <c r="I1492" s="63">
        <v>44440</v>
      </c>
      <c r="J1492" s="64">
        <f>EFEITO!$J$1492*EFEITO!$Y$1492</f>
        <v>0</v>
      </c>
      <c r="K1492" s="64">
        <f ca="1">EFEITO!$L$1492*EFEITO!$Z$1492</f>
        <v>106.05010682521808</v>
      </c>
      <c r="L1492" s="64">
        <f>EFEITO!$N$1492*EFEITO!$AA$1492</f>
        <v>41.790193857577854</v>
      </c>
      <c r="M1492" s="64">
        <f>$J$1492-EFEITO!$K$1492*EFEITO!$Y$1492</f>
        <v>0</v>
      </c>
      <c r="N1492" s="64">
        <f ca="1">$K$1492-EFEITO!$M$1492*EFEITO!$Z$1492</f>
        <v>0</v>
      </c>
      <c r="O1492" s="64">
        <f>$L$1492-EFEITO!$O$1492*EFEITO!$AA$1492</f>
        <v>0</v>
      </c>
      <c r="P1492" s="19"/>
      <c r="Q1492" s="19"/>
      <c r="R1492" s="19"/>
      <c r="S1492" s="19"/>
      <c r="T1492" s="19"/>
      <c r="U1492" s="19"/>
      <c r="V1492" s="19"/>
      <c r="W1492" s="19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</row>
    <row r="1493" spans="1:36" ht="11.25" customHeight="1" x14ac:dyDescent="0.2">
      <c r="A1493" s="55" t="s">
        <v>21</v>
      </c>
      <c r="B1493" s="55" t="s">
        <v>22</v>
      </c>
      <c r="C1493" s="55" t="s">
        <v>33</v>
      </c>
      <c r="D1493" s="55" t="s">
        <v>24</v>
      </c>
      <c r="E1493" s="55" t="s">
        <v>24</v>
      </c>
      <c r="F1493" s="55" t="s">
        <v>25</v>
      </c>
      <c r="G1493" s="55" t="s">
        <v>25</v>
      </c>
      <c r="H1493" s="55" t="s">
        <v>34</v>
      </c>
      <c r="I1493" s="63">
        <v>44470</v>
      </c>
      <c r="J1493" s="64">
        <f>EFEITO!$J$1493*EFEITO!$Y$1493</f>
        <v>0</v>
      </c>
      <c r="K1493" s="64">
        <f ca="1">EFEITO!$L$1493*EFEITO!$Z$1493</f>
        <v>12252.44423854804</v>
      </c>
      <c r="L1493" s="64">
        <f>EFEITO!$N$1493*EFEITO!$AA$1493</f>
        <v>4828.2084317177441</v>
      </c>
      <c r="M1493" s="64">
        <f>$J$1493-EFEITO!$K$1493*EFEITO!$Y$1493</f>
        <v>0</v>
      </c>
      <c r="N1493" s="64">
        <f ca="1">$K$1493-EFEITO!$M$1493*EFEITO!$Z$1493</f>
        <v>0</v>
      </c>
      <c r="O1493" s="64">
        <f>$L$1493-EFEITO!$O$1493*EFEITO!$AA$1493</f>
        <v>0</v>
      </c>
      <c r="P1493" s="19"/>
      <c r="Q1493" s="19"/>
      <c r="R1493" s="19"/>
      <c r="S1493" s="19"/>
      <c r="T1493" s="19"/>
      <c r="U1493" s="19"/>
      <c r="V1493" s="19"/>
      <c r="W1493" s="19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</row>
    <row r="1494" spans="1:36" ht="11.25" customHeight="1" x14ac:dyDescent="0.2">
      <c r="A1494" s="55" t="s">
        <v>27</v>
      </c>
      <c r="B1494" s="55" t="s">
        <v>22</v>
      </c>
      <c r="C1494" s="55" t="s">
        <v>33</v>
      </c>
      <c r="D1494" s="55" t="s">
        <v>24</v>
      </c>
      <c r="E1494" s="55" t="s">
        <v>24</v>
      </c>
      <c r="F1494" s="55" t="s">
        <v>25</v>
      </c>
      <c r="G1494" s="55" t="s">
        <v>25</v>
      </c>
      <c r="H1494" s="55" t="s">
        <v>34</v>
      </c>
      <c r="I1494" s="63">
        <v>44470</v>
      </c>
      <c r="J1494" s="64">
        <f>EFEITO!$J$1494*EFEITO!$Y$1494</f>
        <v>0</v>
      </c>
      <c r="K1494" s="64">
        <f ca="1">EFEITO!$L$1494*EFEITO!$Z$1494</f>
        <v>-7393.3380508236078</v>
      </c>
      <c r="L1494" s="64">
        <f>EFEITO!$N$1494*EFEITO!$AA$1494</f>
        <v>-2913.4249803985526</v>
      </c>
      <c r="M1494" s="64">
        <f>$J$1494-EFEITO!$K$1494*EFEITO!$Y$1494</f>
        <v>0</v>
      </c>
      <c r="N1494" s="64">
        <f ca="1">$K$1494-EFEITO!$M$1494*EFEITO!$Z$1494</f>
        <v>0</v>
      </c>
      <c r="O1494" s="64">
        <f>$L$1494-EFEITO!$O$1494*EFEITO!$AA$1494</f>
        <v>0</v>
      </c>
      <c r="P1494" s="19"/>
      <c r="Q1494" s="19"/>
      <c r="R1494" s="19"/>
      <c r="S1494" s="19"/>
      <c r="T1494" s="19"/>
      <c r="U1494" s="19"/>
      <c r="V1494" s="19"/>
      <c r="W1494" s="19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</row>
    <row r="1495" spans="1:36" ht="11.25" customHeight="1" x14ac:dyDescent="0.2">
      <c r="A1495" s="55" t="s">
        <v>28</v>
      </c>
      <c r="B1495" s="55" t="s">
        <v>22</v>
      </c>
      <c r="C1495" s="55" t="s">
        <v>33</v>
      </c>
      <c r="D1495" s="55" t="s">
        <v>24</v>
      </c>
      <c r="E1495" s="55" t="s">
        <v>24</v>
      </c>
      <c r="F1495" s="55" t="s">
        <v>25</v>
      </c>
      <c r="G1495" s="55" t="s">
        <v>25</v>
      </c>
      <c r="H1495" s="55" t="s">
        <v>34</v>
      </c>
      <c r="I1495" s="63">
        <v>44470</v>
      </c>
      <c r="J1495" s="64">
        <f>EFEITO!$J$1495*EFEITO!$Y$1495</f>
        <v>0</v>
      </c>
      <c r="K1495" s="64">
        <f ca="1">EFEITO!$L$1495*EFEITO!$Z$1495</f>
        <v>72.223779648208861</v>
      </c>
      <c r="L1495" s="64">
        <f>EFEITO!$N$1495*EFEITO!$AA$1495</f>
        <v>28.460563058178021</v>
      </c>
      <c r="M1495" s="64">
        <f>$J$1495-EFEITO!$K$1495*EFEITO!$Y$1495</f>
        <v>0</v>
      </c>
      <c r="N1495" s="64">
        <f ca="1">$K$1495-EFEITO!$M$1495*EFEITO!$Z$1495</f>
        <v>0</v>
      </c>
      <c r="O1495" s="64">
        <f>$L$1495-EFEITO!$O$1495*EFEITO!$AA$1495</f>
        <v>0</v>
      </c>
      <c r="P1495" s="19"/>
      <c r="Q1495" s="19"/>
      <c r="R1495" s="19"/>
      <c r="S1495" s="19"/>
      <c r="T1495" s="19"/>
      <c r="U1495" s="19"/>
      <c r="V1495" s="19"/>
      <c r="W1495" s="19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</row>
    <row r="1496" spans="1:36" ht="11.25" customHeight="1" x14ac:dyDescent="0.2">
      <c r="A1496" s="55" t="s">
        <v>21</v>
      </c>
      <c r="B1496" s="55" t="s">
        <v>22</v>
      </c>
      <c r="C1496" s="55" t="s">
        <v>33</v>
      </c>
      <c r="D1496" s="55" t="s">
        <v>24</v>
      </c>
      <c r="E1496" s="55" t="s">
        <v>24</v>
      </c>
      <c r="F1496" s="55" t="s">
        <v>25</v>
      </c>
      <c r="G1496" s="55" t="s">
        <v>25</v>
      </c>
      <c r="H1496" s="55" t="s">
        <v>34</v>
      </c>
      <c r="I1496" s="63">
        <v>44501</v>
      </c>
      <c r="J1496" s="64">
        <f>EFEITO!$J$1496*EFEITO!$Y$1496</f>
        <v>0</v>
      </c>
      <c r="K1496" s="64">
        <f ca="1">EFEITO!$L$1496*EFEITO!$Z$1496</f>
        <v>7162.0391109375723</v>
      </c>
      <c r="L1496" s="64">
        <f>EFEITO!$N$1496*EFEITO!$AA$1496</f>
        <v>2822.2791265540077</v>
      </c>
      <c r="M1496" s="64">
        <f>$J$1496-EFEITO!$K$1496*EFEITO!$Y$1496</f>
        <v>0</v>
      </c>
      <c r="N1496" s="64">
        <f ca="1">$K$1496-EFEITO!$M$1496*EFEITO!$Z$1496</f>
        <v>0</v>
      </c>
      <c r="O1496" s="64">
        <f>$L$1496-EFEITO!$O$1496*EFEITO!$AA$1496</f>
        <v>0</v>
      </c>
      <c r="P1496" s="19"/>
      <c r="Q1496" s="19"/>
      <c r="R1496" s="19"/>
      <c r="S1496" s="19"/>
      <c r="T1496" s="19"/>
      <c r="U1496" s="19"/>
      <c r="V1496" s="19"/>
      <c r="W1496" s="19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</row>
    <row r="1497" spans="1:36" ht="11.25" customHeight="1" x14ac:dyDescent="0.2">
      <c r="A1497" s="55" t="s">
        <v>27</v>
      </c>
      <c r="B1497" s="55" t="s">
        <v>22</v>
      </c>
      <c r="C1497" s="55" t="s">
        <v>33</v>
      </c>
      <c r="D1497" s="55" t="s">
        <v>24</v>
      </c>
      <c r="E1497" s="55" t="s">
        <v>24</v>
      </c>
      <c r="F1497" s="55" t="s">
        <v>25</v>
      </c>
      <c r="G1497" s="55" t="s">
        <v>25</v>
      </c>
      <c r="H1497" s="55" t="s">
        <v>34</v>
      </c>
      <c r="I1497" s="63">
        <v>44501</v>
      </c>
      <c r="J1497" s="64">
        <f>EFEITO!$J$1497*EFEITO!$Y$1497</f>
        <v>0</v>
      </c>
      <c r="K1497" s="64">
        <f ca="1">EFEITO!$L$1497*EFEITO!$Z$1497</f>
        <v>-3975.9647808868399</v>
      </c>
      <c r="L1497" s="64">
        <f>EFEITO!$N$1497*EFEITO!$AA$1497</f>
        <v>-1566.772009367294</v>
      </c>
      <c r="M1497" s="64">
        <f>$J$1497-EFEITO!$K$1497*EFEITO!$Y$1497</f>
        <v>0</v>
      </c>
      <c r="N1497" s="64">
        <f ca="1">$K$1497-EFEITO!$M$1497*EFEITO!$Z$1497</f>
        <v>0</v>
      </c>
      <c r="O1497" s="64">
        <f>$L$1497-EFEITO!$O$1497*EFEITO!$AA$1497</f>
        <v>0</v>
      </c>
      <c r="P1497" s="19"/>
      <c r="Q1497" s="19"/>
      <c r="R1497" s="19"/>
      <c r="S1497" s="19"/>
      <c r="T1497" s="19"/>
      <c r="U1497" s="19"/>
      <c r="V1497" s="19"/>
      <c r="W1497" s="19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</row>
    <row r="1498" spans="1:36" ht="11.25" customHeight="1" x14ac:dyDescent="0.2">
      <c r="A1498" s="55" t="s">
        <v>28</v>
      </c>
      <c r="B1498" s="55" t="s">
        <v>22</v>
      </c>
      <c r="C1498" s="55" t="s">
        <v>33</v>
      </c>
      <c r="D1498" s="55" t="s">
        <v>24</v>
      </c>
      <c r="E1498" s="55" t="s">
        <v>24</v>
      </c>
      <c r="F1498" s="55" t="s">
        <v>25</v>
      </c>
      <c r="G1498" s="55" t="s">
        <v>25</v>
      </c>
      <c r="H1498" s="55" t="s">
        <v>34</v>
      </c>
      <c r="I1498" s="63">
        <v>44501</v>
      </c>
      <c r="J1498" s="64">
        <f>EFEITO!$J$1498*EFEITO!$Y$1498</f>
        <v>0</v>
      </c>
      <c r="K1498" s="64">
        <f ca="1">EFEITO!$L$1498*EFEITO!$Z$1498</f>
        <v>330.94947129938743</v>
      </c>
      <c r="L1498" s="64">
        <f>EFEITO!$N$1498*EFEITO!$AA$1498</f>
        <v>130.41422565899296</v>
      </c>
      <c r="M1498" s="64">
        <f>$J$1498-EFEITO!$K$1498*EFEITO!$Y$1498</f>
        <v>0</v>
      </c>
      <c r="N1498" s="64">
        <f ca="1">$K$1498-EFEITO!$M$1498*EFEITO!$Z$1498</f>
        <v>0</v>
      </c>
      <c r="O1498" s="64">
        <f>$L$1498-EFEITO!$O$1498*EFEITO!$AA$1498</f>
        <v>0</v>
      </c>
      <c r="P1498" s="19"/>
      <c r="Q1498" s="19"/>
      <c r="R1498" s="19"/>
      <c r="S1498" s="19"/>
      <c r="T1498" s="19"/>
      <c r="U1498" s="19"/>
      <c r="V1498" s="19"/>
      <c r="W1498" s="19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</row>
    <row r="1499" spans="1:36" ht="11.25" customHeight="1" x14ac:dyDescent="0.2">
      <c r="A1499" s="55" t="s">
        <v>21</v>
      </c>
      <c r="B1499" s="55" t="s">
        <v>22</v>
      </c>
      <c r="C1499" s="55" t="s">
        <v>33</v>
      </c>
      <c r="D1499" s="55" t="s">
        <v>24</v>
      </c>
      <c r="E1499" s="55" t="s">
        <v>24</v>
      </c>
      <c r="F1499" s="55" t="s">
        <v>25</v>
      </c>
      <c r="G1499" s="55" t="s">
        <v>25</v>
      </c>
      <c r="H1499" s="55" t="s">
        <v>34</v>
      </c>
      <c r="I1499" s="63">
        <v>44531</v>
      </c>
      <c r="J1499" s="64">
        <f>EFEITO!$J$1499*EFEITO!$Y$1499</f>
        <v>0</v>
      </c>
      <c r="K1499" s="64">
        <f ca="1">EFEITO!$L$1499*EFEITO!$Z$1499</f>
        <v>9138.5936881455164</v>
      </c>
      <c r="L1499" s="64">
        <f>EFEITO!$N$1499*EFEITO!$AA$1499</f>
        <v>3601.1618775892089</v>
      </c>
      <c r="M1499" s="64">
        <f>$J$1499-EFEITO!$K$1499*EFEITO!$Y$1499</f>
        <v>0</v>
      </c>
      <c r="N1499" s="64">
        <f ca="1">$K$1499-EFEITO!$M$1499*EFEITO!$Z$1499</f>
        <v>0</v>
      </c>
      <c r="O1499" s="64">
        <f>$L$1499-EFEITO!$O$1499*EFEITO!$AA$1499</f>
        <v>0</v>
      </c>
      <c r="P1499" s="19"/>
      <c r="Q1499" s="19"/>
      <c r="R1499" s="19"/>
      <c r="S1499" s="19"/>
      <c r="T1499" s="19"/>
      <c r="U1499" s="19"/>
      <c r="V1499" s="19"/>
      <c r="W1499" s="19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</row>
    <row r="1500" spans="1:36" ht="11.25" customHeight="1" x14ac:dyDescent="0.2">
      <c r="A1500" s="55" t="s">
        <v>27</v>
      </c>
      <c r="B1500" s="55" t="s">
        <v>22</v>
      </c>
      <c r="C1500" s="55" t="s">
        <v>33</v>
      </c>
      <c r="D1500" s="55" t="s">
        <v>24</v>
      </c>
      <c r="E1500" s="55" t="s">
        <v>24</v>
      </c>
      <c r="F1500" s="55" t="s">
        <v>25</v>
      </c>
      <c r="G1500" s="55" t="s">
        <v>25</v>
      </c>
      <c r="H1500" s="55" t="s">
        <v>34</v>
      </c>
      <c r="I1500" s="63">
        <v>44531</v>
      </c>
      <c r="J1500" s="64">
        <f>EFEITO!$J$1500*EFEITO!$Y$1500</f>
        <v>0</v>
      </c>
      <c r="K1500" s="64">
        <f ca="1">EFEITO!$L$1500*EFEITO!$Z$1500</f>
        <v>-266.95371718072136</v>
      </c>
      <c r="L1500" s="64">
        <f>EFEITO!$N$1500*EFEITO!$AA$1500</f>
        <v>-105.19600522769598</v>
      </c>
      <c r="M1500" s="64">
        <f>$J$1500-EFEITO!$K$1500*EFEITO!$Y$1500</f>
        <v>0</v>
      </c>
      <c r="N1500" s="64">
        <f ca="1">$K$1500-EFEITO!$M$1500*EFEITO!$Z$1500</f>
        <v>0</v>
      </c>
      <c r="O1500" s="64">
        <f>$L$1500-EFEITO!$O$1500*EFEITO!$AA$1500</f>
        <v>0</v>
      </c>
      <c r="P1500" s="19"/>
      <c r="Q1500" s="19"/>
      <c r="R1500" s="19"/>
      <c r="S1500" s="19"/>
      <c r="T1500" s="19"/>
      <c r="U1500" s="19"/>
      <c r="V1500" s="19"/>
      <c r="W1500" s="19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</row>
    <row r="1501" spans="1:36" ht="11.25" customHeight="1" x14ac:dyDescent="0.2">
      <c r="A1501" s="55" t="s">
        <v>28</v>
      </c>
      <c r="B1501" s="55" t="s">
        <v>22</v>
      </c>
      <c r="C1501" s="55" t="s">
        <v>33</v>
      </c>
      <c r="D1501" s="55" t="s">
        <v>24</v>
      </c>
      <c r="E1501" s="55" t="s">
        <v>24</v>
      </c>
      <c r="F1501" s="55" t="s">
        <v>25</v>
      </c>
      <c r="G1501" s="55" t="s">
        <v>25</v>
      </c>
      <c r="H1501" s="55" t="s">
        <v>34</v>
      </c>
      <c r="I1501" s="63">
        <v>44531</v>
      </c>
      <c r="J1501" s="64">
        <f>EFEITO!$J$1501*EFEITO!$Y$1501</f>
        <v>0</v>
      </c>
      <c r="K1501" s="64">
        <f ca="1">EFEITO!$L$1501*EFEITO!$Z$1501</f>
        <v>485.45350624302415</v>
      </c>
      <c r="L1501" s="64">
        <f>EFEITO!$N$1501*EFEITO!$AA$1501</f>
        <v>191.29821498598139</v>
      </c>
      <c r="M1501" s="64">
        <f>$J$1501-EFEITO!$K$1501*EFEITO!$Y$1501</f>
        <v>0</v>
      </c>
      <c r="N1501" s="64">
        <f ca="1">$K$1501-EFEITO!$M$1501*EFEITO!$Z$1501</f>
        <v>0</v>
      </c>
      <c r="O1501" s="64">
        <f>$L$1501-EFEITO!$O$1501*EFEITO!$AA$1501</f>
        <v>0</v>
      </c>
      <c r="P1501" s="19"/>
      <c r="Q1501" s="19"/>
      <c r="R1501" s="19"/>
      <c r="S1501" s="19"/>
      <c r="T1501" s="19"/>
      <c r="U1501" s="19"/>
      <c r="V1501" s="19"/>
      <c r="W1501" s="19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</row>
    <row r="1502" spans="1:36" ht="11.25" customHeight="1" x14ac:dyDescent="0.2">
      <c r="A1502" s="55" t="s">
        <v>21</v>
      </c>
      <c r="B1502" s="55" t="s">
        <v>22</v>
      </c>
      <c r="C1502" s="55" t="s">
        <v>33</v>
      </c>
      <c r="D1502" s="55" t="s">
        <v>24</v>
      </c>
      <c r="E1502" s="55" t="s">
        <v>24</v>
      </c>
      <c r="F1502" s="55" t="s">
        <v>25</v>
      </c>
      <c r="G1502" s="55" t="s">
        <v>25</v>
      </c>
      <c r="H1502" s="55" t="s">
        <v>34</v>
      </c>
      <c r="I1502" s="63">
        <v>44562</v>
      </c>
      <c r="J1502" s="64">
        <f>EFEITO!$J$1502*EFEITO!$Y$1502</f>
        <v>0</v>
      </c>
      <c r="K1502" s="64">
        <f ca="1">EFEITO!$L$1502*EFEITO!$Z$1502</f>
        <v>18758.983982298701</v>
      </c>
      <c r="L1502" s="64">
        <f>EFEITO!$N$1502*EFEITO!$AA$1502</f>
        <v>7392.180928996896</v>
      </c>
      <c r="M1502" s="64">
        <f>$J$1502-EFEITO!$K$1502*EFEITO!$Y$1502</f>
        <v>0</v>
      </c>
      <c r="N1502" s="64">
        <f ca="1">$K$1502-EFEITO!$M$1502*EFEITO!$Z$1502</f>
        <v>0</v>
      </c>
      <c r="O1502" s="64">
        <f>$L$1502-EFEITO!$O$1502*EFEITO!$AA$1502</f>
        <v>0</v>
      </c>
      <c r="P1502" s="19"/>
      <c r="Q1502" s="19"/>
      <c r="R1502" s="19"/>
      <c r="S1502" s="19"/>
      <c r="T1502" s="19"/>
      <c r="U1502" s="19"/>
      <c r="V1502" s="19"/>
      <c r="W1502" s="19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</row>
    <row r="1503" spans="1:36" ht="11.25" customHeight="1" x14ac:dyDescent="0.2">
      <c r="A1503" s="55" t="s">
        <v>27</v>
      </c>
      <c r="B1503" s="55" t="s">
        <v>22</v>
      </c>
      <c r="C1503" s="55" t="s">
        <v>33</v>
      </c>
      <c r="D1503" s="55" t="s">
        <v>24</v>
      </c>
      <c r="E1503" s="55" t="s">
        <v>24</v>
      </c>
      <c r="F1503" s="55" t="s">
        <v>25</v>
      </c>
      <c r="G1503" s="55" t="s">
        <v>25</v>
      </c>
      <c r="H1503" s="55" t="s">
        <v>34</v>
      </c>
      <c r="I1503" s="63">
        <v>44562</v>
      </c>
      <c r="J1503" s="64">
        <f>EFEITO!$J$1503*EFEITO!$Y$1503</f>
        <v>0</v>
      </c>
      <c r="K1503" s="64">
        <f ca="1">EFEITO!$L$1503*EFEITO!$Z$1503</f>
        <v>-761.54947401212632</v>
      </c>
      <c r="L1503" s="64">
        <f>EFEITO!$N$1503*EFEITO!$AA$1503</f>
        <v>-300.09682313243405</v>
      </c>
      <c r="M1503" s="64">
        <f>$J$1503-EFEITO!$K$1503*EFEITO!$Y$1503</f>
        <v>0</v>
      </c>
      <c r="N1503" s="64">
        <f ca="1">$K$1503-EFEITO!$M$1503*EFEITO!$Z$1503</f>
        <v>0</v>
      </c>
      <c r="O1503" s="64">
        <f>$L$1503-EFEITO!$O$1503*EFEITO!$AA$1503</f>
        <v>0</v>
      </c>
      <c r="P1503" s="19"/>
      <c r="Q1503" s="19"/>
      <c r="R1503" s="19"/>
      <c r="S1503" s="19"/>
      <c r="T1503" s="19"/>
      <c r="U1503" s="19"/>
      <c r="V1503" s="19"/>
      <c r="W1503" s="19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</row>
    <row r="1504" spans="1:36" ht="11.25" customHeight="1" x14ac:dyDescent="0.2">
      <c r="A1504" s="55" t="s">
        <v>28</v>
      </c>
      <c r="B1504" s="55" t="s">
        <v>22</v>
      </c>
      <c r="C1504" s="55" t="s">
        <v>33</v>
      </c>
      <c r="D1504" s="55" t="s">
        <v>24</v>
      </c>
      <c r="E1504" s="55" t="s">
        <v>24</v>
      </c>
      <c r="F1504" s="55" t="s">
        <v>25</v>
      </c>
      <c r="G1504" s="55" t="s">
        <v>25</v>
      </c>
      <c r="H1504" s="55" t="s">
        <v>34</v>
      </c>
      <c r="I1504" s="63">
        <v>44562</v>
      </c>
      <c r="J1504" s="64">
        <f>EFEITO!$J$1504*EFEITO!$Y$1504</f>
        <v>0</v>
      </c>
      <c r="K1504" s="64">
        <f ca="1">EFEITO!$L$1504*EFEITO!$Z$1504</f>
        <v>181.93078670877929</v>
      </c>
      <c r="L1504" s="64">
        <f>EFEITO!$N$1504*EFEITO!$AA$1504</f>
        <v>71.691798083258561</v>
      </c>
      <c r="M1504" s="64">
        <f>$J$1504-EFEITO!$K$1504*EFEITO!$Y$1504</f>
        <v>0</v>
      </c>
      <c r="N1504" s="64">
        <f ca="1">$K$1504-EFEITO!$M$1504*EFEITO!$Z$1504</f>
        <v>0</v>
      </c>
      <c r="O1504" s="64">
        <f>$L$1504-EFEITO!$O$1504*EFEITO!$AA$1504</f>
        <v>0</v>
      </c>
      <c r="P1504" s="19"/>
      <c r="Q1504" s="19"/>
      <c r="R1504" s="19"/>
      <c r="S1504" s="19"/>
      <c r="T1504" s="19"/>
      <c r="U1504" s="19"/>
      <c r="V1504" s="19"/>
      <c r="W1504" s="19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</row>
    <row r="1505" spans="1:36" ht="11.25" customHeight="1" x14ac:dyDescent="0.2">
      <c r="A1505" s="55" t="s">
        <v>28</v>
      </c>
      <c r="B1505" s="55" t="s">
        <v>22</v>
      </c>
      <c r="C1505" s="55" t="s">
        <v>33</v>
      </c>
      <c r="D1505" s="55" t="s">
        <v>24</v>
      </c>
      <c r="E1505" s="55" t="s">
        <v>24</v>
      </c>
      <c r="F1505" s="55" t="s">
        <v>25</v>
      </c>
      <c r="G1505" s="55" t="s">
        <v>25</v>
      </c>
      <c r="H1505" s="55" t="s">
        <v>34</v>
      </c>
      <c r="I1505" s="63">
        <v>44562</v>
      </c>
      <c r="J1505" s="64">
        <f>EFEITO!$J$1505*EFEITO!$Y$1505</f>
        <v>0</v>
      </c>
      <c r="K1505" s="64">
        <f ca="1">EFEITO!$L$1505*EFEITO!$Z$1505</f>
        <v>-87.765605648456344</v>
      </c>
      <c r="L1505" s="64">
        <f>EFEITO!$N$1505*EFEITO!$AA$1505</f>
        <v>-34.584988020064429</v>
      </c>
      <c r="M1505" s="64">
        <f>$J$1505-EFEITO!$K$1505*EFEITO!$Y$1505</f>
        <v>0</v>
      </c>
      <c r="N1505" s="64">
        <f ca="1">$K$1505-EFEITO!$M$1505*EFEITO!$Z$1505</f>
        <v>0</v>
      </c>
      <c r="O1505" s="64">
        <f>$L$1505-EFEITO!$O$1505*EFEITO!$AA$1505</f>
        <v>0</v>
      </c>
      <c r="P1505" s="19"/>
      <c r="Q1505" s="19"/>
      <c r="R1505" s="19"/>
      <c r="S1505" s="19"/>
      <c r="T1505" s="19"/>
      <c r="U1505" s="19"/>
      <c r="V1505" s="19"/>
      <c r="W1505" s="19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</row>
    <row r="1506" spans="1:36" ht="11.25" customHeight="1" x14ac:dyDescent="0.2">
      <c r="A1506" s="55" t="s">
        <v>21</v>
      </c>
      <c r="B1506" s="55" t="s">
        <v>22</v>
      </c>
      <c r="C1506" s="55" t="s">
        <v>33</v>
      </c>
      <c r="D1506" s="55" t="s">
        <v>24</v>
      </c>
      <c r="E1506" s="55" t="s">
        <v>24</v>
      </c>
      <c r="F1506" s="55" t="s">
        <v>25</v>
      </c>
      <c r="G1506" s="55" t="s">
        <v>25</v>
      </c>
      <c r="H1506" s="55" t="s">
        <v>34</v>
      </c>
      <c r="I1506" s="63">
        <v>44593</v>
      </c>
      <c r="J1506" s="64">
        <f>EFEITO!$J$1506*EFEITO!$Y$1506</f>
        <v>0</v>
      </c>
      <c r="K1506" s="64">
        <f ca="1">EFEITO!$L$1506*EFEITO!$Z$1506</f>
        <v>8182.3142766008768</v>
      </c>
      <c r="L1506" s="64">
        <f>EFEITO!$N$1506*EFEITO!$AA$1506</f>
        <v>3224.3296122872566</v>
      </c>
      <c r="M1506" s="64">
        <f>$J$1506-EFEITO!$K$1506*EFEITO!$Y$1506</f>
        <v>0</v>
      </c>
      <c r="N1506" s="64">
        <f ca="1">$K$1506-EFEITO!$M$1506*EFEITO!$Z$1506</f>
        <v>0</v>
      </c>
      <c r="O1506" s="64">
        <f>$L$1506-EFEITO!$O$1506*EFEITO!$AA$1506</f>
        <v>0</v>
      </c>
      <c r="P1506" s="19"/>
      <c r="Q1506" s="19"/>
      <c r="R1506" s="19"/>
      <c r="S1506" s="19"/>
      <c r="T1506" s="19"/>
      <c r="U1506" s="19"/>
      <c r="V1506" s="19"/>
      <c r="W1506" s="19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</row>
    <row r="1507" spans="1:36" ht="11.25" customHeight="1" x14ac:dyDescent="0.2">
      <c r="A1507" s="55" t="s">
        <v>27</v>
      </c>
      <c r="B1507" s="55" t="s">
        <v>22</v>
      </c>
      <c r="C1507" s="55" t="s">
        <v>33</v>
      </c>
      <c r="D1507" s="55" t="s">
        <v>24</v>
      </c>
      <c r="E1507" s="55" t="s">
        <v>24</v>
      </c>
      <c r="F1507" s="55" t="s">
        <v>25</v>
      </c>
      <c r="G1507" s="55" t="s">
        <v>25</v>
      </c>
      <c r="H1507" s="55" t="s">
        <v>34</v>
      </c>
      <c r="I1507" s="63">
        <v>44593</v>
      </c>
      <c r="J1507" s="64">
        <f>EFEITO!$J$1507*EFEITO!$Y$1507</f>
        <v>0</v>
      </c>
      <c r="K1507" s="64">
        <f ca="1">EFEITO!$L$1507*EFEITO!$Z$1507</f>
        <v>-5251.308737965971</v>
      </c>
      <c r="L1507" s="64">
        <f>EFEITO!$N$1507*EFEITO!$AA$1507</f>
        <v>-2069.3351165338549</v>
      </c>
      <c r="M1507" s="64">
        <f>$J$1507-EFEITO!$K$1507*EFEITO!$Y$1507</f>
        <v>0</v>
      </c>
      <c r="N1507" s="64">
        <f ca="1">$K$1507-EFEITO!$M$1507*EFEITO!$Z$1507</f>
        <v>0</v>
      </c>
      <c r="O1507" s="64">
        <f>$L$1507-EFEITO!$O$1507*EFEITO!$AA$1507</f>
        <v>0</v>
      </c>
      <c r="P1507" s="19"/>
      <c r="Q1507" s="19"/>
      <c r="R1507" s="19"/>
      <c r="S1507" s="19"/>
      <c r="T1507" s="19"/>
      <c r="U1507" s="19"/>
      <c r="V1507" s="19"/>
      <c r="W1507" s="19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</row>
    <row r="1508" spans="1:36" ht="11.25" customHeight="1" x14ac:dyDescent="0.2">
      <c r="A1508" s="55" t="s">
        <v>28</v>
      </c>
      <c r="B1508" s="55" t="s">
        <v>22</v>
      </c>
      <c r="C1508" s="55" t="s">
        <v>33</v>
      </c>
      <c r="D1508" s="55" t="s">
        <v>24</v>
      </c>
      <c r="E1508" s="55" t="s">
        <v>24</v>
      </c>
      <c r="F1508" s="55" t="s">
        <v>25</v>
      </c>
      <c r="G1508" s="55" t="s">
        <v>25</v>
      </c>
      <c r="H1508" s="55" t="s">
        <v>34</v>
      </c>
      <c r="I1508" s="63">
        <v>44593</v>
      </c>
      <c r="J1508" s="64">
        <f>EFEITO!$J$1508*EFEITO!$Y$1508</f>
        <v>0</v>
      </c>
      <c r="K1508" s="64">
        <f ca="1">EFEITO!$L$1508*EFEITO!$Z$1508</f>
        <v>172.78853612039842</v>
      </c>
      <c r="L1508" s="64">
        <f>EFEITO!$N$1508*EFEITO!$AA$1508</f>
        <v>68.089195164501845</v>
      </c>
      <c r="M1508" s="64">
        <f>$J$1508-EFEITO!$K$1508*EFEITO!$Y$1508</f>
        <v>0</v>
      </c>
      <c r="N1508" s="64">
        <f ca="1">$K$1508-EFEITO!$M$1508*EFEITO!$Z$1508</f>
        <v>0</v>
      </c>
      <c r="O1508" s="64">
        <f>$L$1508-EFEITO!$O$1508*EFEITO!$AA$1508</f>
        <v>0</v>
      </c>
      <c r="P1508" s="19"/>
      <c r="Q1508" s="19"/>
      <c r="R1508" s="19"/>
      <c r="S1508" s="19"/>
      <c r="T1508" s="19"/>
      <c r="U1508" s="19"/>
      <c r="V1508" s="19"/>
      <c r="W1508" s="19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</row>
    <row r="1509" spans="1:36" ht="11.25" customHeight="1" x14ac:dyDescent="0.2">
      <c r="A1509" s="55" t="s">
        <v>28</v>
      </c>
      <c r="B1509" s="55" t="s">
        <v>22</v>
      </c>
      <c r="C1509" s="55" t="s">
        <v>33</v>
      </c>
      <c r="D1509" s="55" t="s">
        <v>24</v>
      </c>
      <c r="E1509" s="55" t="s">
        <v>24</v>
      </c>
      <c r="F1509" s="55" t="s">
        <v>25</v>
      </c>
      <c r="G1509" s="55" t="s">
        <v>25</v>
      </c>
      <c r="H1509" s="55" t="s">
        <v>34</v>
      </c>
      <c r="I1509" s="63">
        <v>44593</v>
      </c>
      <c r="J1509" s="64">
        <f>EFEITO!$J$1509*EFEITO!$Y$1509</f>
        <v>0</v>
      </c>
      <c r="K1509" s="64">
        <f ca="1">EFEITO!$L$1509*EFEITO!$Z$1509</f>
        <v>-197.47261270902675</v>
      </c>
      <c r="L1509" s="64">
        <f>EFEITO!$N$1509*EFEITO!$AA$1509</f>
        <v>-77.816223045144966</v>
      </c>
      <c r="M1509" s="64">
        <f>$J$1509-EFEITO!$K$1509*EFEITO!$Y$1509</f>
        <v>0</v>
      </c>
      <c r="N1509" s="64">
        <f ca="1">$K$1509-EFEITO!$M$1509*EFEITO!$Z$1509</f>
        <v>0</v>
      </c>
      <c r="O1509" s="64">
        <f>$L$1509-EFEITO!$O$1509*EFEITO!$AA$1509</f>
        <v>0</v>
      </c>
      <c r="P1509" s="19"/>
      <c r="Q1509" s="19"/>
      <c r="R1509" s="19"/>
      <c r="S1509" s="19"/>
      <c r="T1509" s="19"/>
      <c r="U1509" s="19"/>
      <c r="V1509" s="19"/>
      <c r="W1509" s="19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</row>
    <row r="1510" spans="1:36" ht="11.25" customHeight="1" x14ac:dyDescent="0.2">
      <c r="A1510" s="55" t="s">
        <v>21</v>
      </c>
      <c r="B1510" s="55" t="s">
        <v>22</v>
      </c>
      <c r="C1510" s="55" t="s">
        <v>33</v>
      </c>
      <c r="D1510" s="55" t="s">
        <v>24</v>
      </c>
      <c r="E1510" s="55" t="s">
        <v>24</v>
      </c>
      <c r="F1510" s="55" t="s">
        <v>25</v>
      </c>
      <c r="G1510" s="55" t="s">
        <v>25</v>
      </c>
      <c r="H1510" s="55" t="s">
        <v>34</v>
      </c>
      <c r="I1510" s="63">
        <v>44621</v>
      </c>
      <c r="J1510" s="64">
        <f>EFEITO!$J$1510*EFEITO!$Y$1510</f>
        <v>0</v>
      </c>
      <c r="K1510" s="64">
        <f ca="1">EFEITO!$L$1510*EFEITO!$Z$1510</f>
        <v>8681.481158726474</v>
      </c>
      <c r="L1510" s="64">
        <f>EFEITO!$N$1510*EFEITO!$AA$1510</f>
        <v>3421.0317316513733</v>
      </c>
      <c r="M1510" s="64">
        <f>$J$1510-EFEITO!$K$1510*EFEITO!$Y$1510</f>
        <v>0</v>
      </c>
      <c r="N1510" s="64">
        <f ca="1">$K$1510-EFEITO!$M$1510*EFEITO!$Z$1510</f>
        <v>0</v>
      </c>
      <c r="O1510" s="64">
        <f>$L$1510-EFEITO!$O$1510*EFEITO!$AA$1510</f>
        <v>0</v>
      </c>
      <c r="P1510" s="19"/>
      <c r="Q1510" s="19"/>
      <c r="R1510" s="19"/>
      <c r="S1510" s="19"/>
      <c r="T1510" s="19"/>
      <c r="U1510" s="19"/>
      <c r="V1510" s="19"/>
      <c r="W1510" s="19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</row>
    <row r="1511" spans="1:36" ht="11.25" customHeight="1" x14ac:dyDescent="0.2">
      <c r="A1511" s="55" t="s">
        <v>28</v>
      </c>
      <c r="B1511" s="55" t="s">
        <v>22</v>
      </c>
      <c r="C1511" s="55" t="s">
        <v>33</v>
      </c>
      <c r="D1511" s="55" t="s">
        <v>24</v>
      </c>
      <c r="E1511" s="55" t="s">
        <v>24</v>
      </c>
      <c r="F1511" s="55" t="s">
        <v>25</v>
      </c>
      <c r="G1511" s="55" t="s">
        <v>25</v>
      </c>
      <c r="H1511" s="55" t="s">
        <v>34</v>
      </c>
      <c r="I1511" s="63">
        <v>44621</v>
      </c>
      <c r="J1511" s="64">
        <f>EFEITO!$J$1511*EFEITO!$Y$1511</f>
        <v>0</v>
      </c>
      <c r="K1511" s="64">
        <f ca="1">EFEITO!$L$1511*EFEITO!$Z$1511</f>
        <v>386.71719988851072</v>
      </c>
      <c r="L1511" s="64">
        <f>EFEITO!$N$1511*EFEITO!$AA$1511</f>
        <v>152.39010346340891</v>
      </c>
      <c r="M1511" s="64">
        <f>$J$1511-EFEITO!$K$1511*EFEITO!$Y$1511</f>
        <v>0</v>
      </c>
      <c r="N1511" s="64">
        <f ca="1">$K$1511-EFEITO!$M$1511*EFEITO!$Z$1511</f>
        <v>0</v>
      </c>
      <c r="O1511" s="64">
        <f>$L$1511-EFEITO!$O$1511*EFEITO!$AA$1511</f>
        <v>0</v>
      </c>
      <c r="P1511" s="19"/>
      <c r="Q1511" s="19"/>
      <c r="R1511" s="19"/>
      <c r="S1511" s="19"/>
      <c r="T1511" s="19"/>
      <c r="U1511" s="19"/>
      <c r="V1511" s="19"/>
      <c r="W1511" s="19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</row>
    <row r="1512" spans="1:36" ht="11.25" customHeight="1" x14ac:dyDescent="0.2">
      <c r="A1512" s="55" t="s">
        <v>21</v>
      </c>
      <c r="B1512" s="55" t="s">
        <v>22</v>
      </c>
      <c r="C1512" s="55" t="s">
        <v>33</v>
      </c>
      <c r="D1512" s="55" t="s">
        <v>24</v>
      </c>
      <c r="E1512" s="55" t="s">
        <v>24</v>
      </c>
      <c r="F1512" s="55" t="s">
        <v>25</v>
      </c>
      <c r="G1512" s="55" t="s">
        <v>25</v>
      </c>
      <c r="H1512" s="55" t="s">
        <v>34</v>
      </c>
      <c r="I1512" s="63">
        <v>44652</v>
      </c>
      <c r="J1512" s="64">
        <f>EFEITO!$J$1512*EFEITO!$Y$1512</f>
        <v>0</v>
      </c>
      <c r="K1512" s="64">
        <f ca="1">EFEITO!$L$1512*EFEITO!$Z$1512</f>
        <v>7233.3486655269435</v>
      </c>
      <c r="L1512" s="64">
        <f>EFEITO!$N$1512*EFEITO!$AA$1512</f>
        <v>2850.37942932031</v>
      </c>
      <c r="M1512" s="64">
        <f>$J$1512-EFEITO!$K$1512*EFEITO!$Y$1512</f>
        <v>0</v>
      </c>
      <c r="N1512" s="64">
        <f ca="1">$K$1512-EFEITO!$M$1512*EFEITO!$Z$1512</f>
        <v>0</v>
      </c>
      <c r="O1512" s="64">
        <f>$L$1512-EFEITO!$O$1512*EFEITO!$AA$1512</f>
        <v>0</v>
      </c>
      <c r="P1512" s="19"/>
      <c r="Q1512" s="19"/>
      <c r="R1512" s="19"/>
      <c r="S1512" s="19"/>
      <c r="T1512" s="19"/>
      <c r="U1512" s="19"/>
      <c r="V1512" s="19"/>
      <c r="W1512" s="19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</row>
    <row r="1513" spans="1:36" ht="11.25" customHeight="1" x14ac:dyDescent="0.2">
      <c r="A1513" s="55" t="s">
        <v>28</v>
      </c>
      <c r="B1513" s="55" t="s">
        <v>22</v>
      </c>
      <c r="C1513" s="55" t="s">
        <v>33</v>
      </c>
      <c r="D1513" s="55" t="s">
        <v>24</v>
      </c>
      <c r="E1513" s="55" t="s">
        <v>24</v>
      </c>
      <c r="F1513" s="55" t="s">
        <v>25</v>
      </c>
      <c r="G1513" s="55" t="s">
        <v>25</v>
      </c>
      <c r="H1513" s="55" t="s">
        <v>34</v>
      </c>
      <c r="I1513" s="63">
        <v>44652</v>
      </c>
      <c r="J1513" s="64">
        <f>EFEITO!$J$1513*EFEITO!$Y$1513</f>
        <v>0</v>
      </c>
      <c r="K1513" s="64">
        <f ca="1">EFEITO!$L$1513*EFEITO!$Z$1513</f>
        <v>148.10445953177006</v>
      </c>
      <c r="L1513" s="64">
        <f>EFEITO!$N$1513*EFEITO!$AA$1513</f>
        <v>58.362167283858732</v>
      </c>
      <c r="M1513" s="64">
        <f>$J$1513-EFEITO!$K$1513*EFEITO!$Y$1513</f>
        <v>0</v>
      </c>
      <c r="N1513" s="64">
        <f ca="1">$K$1513-EFEITO!$M$1513*EFEITO!$Z$1513</f>
        <v>0</v>
      </c>
      <c r="O1513" s="64">
        <f>$L$1513-EFEITO!$O$1513*EFEITO!$AA$1513</f>
        <v>0</v>
      </c>
      <c r="P1513" s="19"/>
      <c r="Q1513" s="19"/>
      <c r="R1513" s="19"/>
      <c r="S1513" s="19"/>
      <c r="T1513" s="19"/>
      <c r="U1513" s="19"/>
      <c r="V1513" s="19"/>
      <c r="W1513" s="19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</row>
    <row r="1514" spans="1:36" ht="11.25" customHeight="1" x14ac:dyDescent="0.2">
      <c r="A1514" s="55" t="s">
        <v>21</v>
      </c>
      <c r="B1514" s="55" t="s">
        <v>22</v>
      </c>
      <c r="C1514" s="55" t="s">
        <v>33</v>
      </c>
      <c r="D1514" s="55" t="s">
        <v>24</v>
      </c>
      <c r="E1514" s="55" t="s">
        <v>24</v>
      </c>
      <c r="F1514" s="55" t="s">
        <v>25</v>
      </c>
      <c r="G1514" s="55" t="s">
        <v>25</v>
      </c>
      <c r="H1514" s="55" t="s">
        <v>34</v>
      </c>
      <c r="I1514" s="63">
        <v>44682</v>
      </c>
      <c r="J1514" s="64">
        <f>EFEITO!$J$1514*EFEITO!$Y$1514</f>
        <v>0</v>
      </c>
      <c r="K1514" s="64">
        <f ca="1">EFEITO!$L$1514*EFEITO!$Z$1514</f>
        <v>7339.3987723521614</v>
      </c>
      <c r="L1514" s="64">
        <f>EFEITO!$N$1514*EFEITO!$AA$1514</f>
        <v>2892.1696231778883</v>
      </c>
      <c r="M1514" s="64">
        <f>$J$1514-EFEITO!$K$1514*EFEITO!$Y$1514</f>
        <v>0</v>
      </c>
      <c r="N1514" s="64">
        <f ca="1">$K$1514-EFEITO!$M$1514*EFEITO!$Z$1514</f>
        <v>0</v>
      </c>
      <c r="O1514" s="64">
        <f>$L$1514-EFEITO!$O$1514*EFEITO!$AA$1514</f>
        <v>0</v>
      </c>
      <c r="P1514" s="19"/>
      <c r="Q1514" s="19"/>
      <c r="R1514" s="19"/>
      <c r="S1514" s="19"/>
      <c r="T1514" s="19"/>
      <c r="U1514" s="19"/>
      <c r="V1514" s="19"/>
      <c r="W1514" s="19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</row>
    <row r="1515" spans="1:36" ht="11.25" customHeight="1" x14ac:dyDescent="0.2">
      <c r="A1515" s="55" t="s">
        <v>27</v>
      </c>
      <c r="B1515" s="55" t="s">
        <v>22</v>
      </c>
      <c r="C1515" s="55" t="s">
        <v>33</v>
      </c>
      <c r="D1515" s="55" t="s">
        <v>24</v>
      </c>
      <c r="E1515" s="55" t="s">
        <v>24</v>
      </c>
      <c r="F1515" s="55" t="s">
        <v>25</v>
      </c>
      <c r="G1515" s="55" t="s">
        <v>25</v>
      </c>
      <c r="H1515" s="55" t="s">
        <v>34</v>
      </c>
      <c r="I1515" s="63">
        <v>44682</v>
      </c>
      <c r="J1515" s="64">
        <f>EFEITO!$J$1515*EFEITO!$Y$1515</f>
        <v>0</v>
      </c>
      <c r="K1515" s="64">
        <f ca="1">EFEITO!$L$1515*EFEITO!$Z$1515</f>
        <v>-3385.3753928774354</v>
      </c>
      <c r="L1515" s="64">
        <f>EFEITO!$N$1515*EFEITO!$AA$1515</f>
        <v>-1334.0438608156103</v>
      </c>
      <c r="M1515" s="64">
        <f>$J$1515-EFEITO!$K$1515*EFEITO!$Y$1515</f>
        <v>0</v>
      </c>
      <c r="N1515" s="64">
        <f ca="1">$K$1515-EFEITO!$M$1515*EFEITO!$Z$1515</f>
        <v>0</v>
      </c>
      <c r="O1515" s="64">
        <f>$L$1515-EFEITO!$O$1515*EFEITO!$AA$1515</f>
        <v>0</v>
      </c>
      <c r="P1515" s="19"/>
      <c r="Q1515" s="19"/>
      <c r="R1515" s="19"/>
      <c r="S1515" s="19"/>
      <c r="T1515" s="19"/>
      <c r="U1515" s="19"/>
      <c r="V1515" s="19"/>
      <c r="W1515" s="19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</row>
    <row r="1516" spans="1:36" ht="11.25" customHeight="1" x14ac:dyDescent="0.2">
      <c r="A1516" s="55" t="s">
        <v>28</v>
      </c>
      <c r="B1516" s="55" t="s">
        <v>22</v>
      </c>
      <c r="C1516" s="55" t="s">
        <v>33</v>
      </c>
      <c r="D1516" s="55" t="s">
        <v>24</v>
      </c>
      <c r="E1516" s="55" t="s">
        <v>24</v>
      </c>
      <c r="F1516" s="55" t="s">
        <v>25</v>
      </c>
      <c r="G1516" s="55" t="s">
        <v>25</v>
      </c>
      <c r="H1516" s="55" t="s">
        <v>34</v>
      </c>
      <c r="I1516" s="63">
        <v>44682</v>
      </c>
      <c r="J1516" s="64">
        <f>EFEITO!$J$1516*EFEITO!$Y$1516</f>
        <v>0</v>
      </c>
      <c r="K1516" s="64">
        <f ca="1">EFEITO!$L$1516*EFEITO!$Z$1516</f>
        <v>152.6755848259605</v>
      </c>
      <c r="L1516" s="64">
        <f>EFEITO!$N$1516*EFEITO!$AA$1516</f>
        <v>60.16346874323709</v>
      </c>
      <c r="M1516" s="64">
        <f>$J$1516-EFEITO!$K$1516*EFEITO!$Y$1516</f>
        <v>0</v>
      </c>
      <c r="N1516" s="64">
        <f ca="1">$K$1516-EFEITO!$M$1516*EFEITO!$Z$1516</f>
        <v>0</v>
      </c>
      <c r="O1516" s="64">
        <f>$L$1516-EFEITO!$O$1516*EFEITO!$AA$1516</f>
        <v>0</v>
      </c>
      <c r="P1516" s="19"/>
      <c r="Q1516" s="19"/>
      <c r="R1516" s="19"/>
      <c r="S1516" s="19"/>
      <c r="T1516" s="19"/>
      <c r="U1516" s="19"/>
      <c r="V1516" s="19"/>
      <c r="W1516" s="19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</row>
    <row r="1517" spans="1:36" ht="11.25" customHeight="1" x14ac:dyDescent="0.2">
      <c r="A1517" s="55" t="s">
        <v>21</v>
      </c>
      <c r="B1517" s="55" t="s">
        <v>22</v>
      </c>
      <c r="C1517" s="55" t="s">
        <v>33</v>
      </c>
      <c r="D1517" s="55" t="s">
        <v>24</v>
      </c>
      <c r="E1517" s="55" t="s">
        <v>24</v>
      </c>
      <c r="F1517" s="55" t="s">
        <v>25</v>
      </c>
      <c r="G1517" s="55" t="s">
        <v>25</v>
      </c>
      <c r="H1517" s="55" t="s">
        <v>34</v>
      </c>
      <c r="I1517" s="63">
        <v>44713</v>
      </c>
      <c r="J1517" s="64">
        <f>EFEITO!$J$1517*EFEITO!$Y$1517</f>
        <v>0</v>
      </c>
      <c r="K1517" s="64">
        <f ca="1">EFEITO!$L$1517*EFEITO!$Z$1517</f>
        <v>7251.6331667037057</v>
      </c>
      <c r="L1517" s="64">
        <f>EFEITO!$N$1517*EFEITO!$AA$1517</f>
        <v>2857.5846351578239</v>
      </c>
      <c r="M1517" s="64">
        <f>$J$1517-EFEITO!$K$1517*EFEITO!$Y$1517</f>
        <v>0</v>
      </c>
      <c r="N1517" s="64">
        <f ca="1">$K$1517-EFEITO!$M$1517*EFEITO!$Z$1517</f>
        <v>0</v>
      </c>
      <c r="O1517" s="64">
        <f>$L$1517-EFEITO!$O$1517*EFEITO!$AA$1517</f>
        <v>0</v>
      </c>
      <c r="P1517" s="19"/>
      <c r="Q1517" s="19"/>
      <c r="R1517" s="19"/>
      <c r="S1517" s="19"/>
      <c r="T1517" s="19"/>
      <c r="U1517" s="19"/>
      <c r="V1517" s="19"/>
      <c r="W1517" s="19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</row>
    <row r="1518" spans="1:36" ht="11.25" customHeight="1" x14ac:dyDescent="0.2">
      <c r="A1518" s="55" t="s">
        <v>28</v>
      </c>
      <c r="B1518" s="55" t="s">
        <v>22</v>
      </c>
      <c r="C1518" s="55" t="s">
        <v>33</v>
      </c>
      <c r="D1518" s="55" t="s">
        <v>24</v>
      </c>
      <c r="E1518" s="55" t="s">
        <v>24</v>
      </c>
      <c r="F1518" s="55" t="s">
        <v>25</v>
      </c>
      <c r="G1518" s="55" t="s">
        <v>25</v>
      </c>
      <c r="H1518" s="55" t="s">
        <v>34</v>
      </c>
      <c r="I1518" s="63">
        <v>44713</v>
      </c>
      <c r="J1518" s="64">
        <f>EFEITO!$J$1518*EFEITO!$Y$1518</f>
        <v>0</v>
      </c>
      <c r="K1518" s="64">
        <f ca="1">EFEITO!$L$1518*EFEITO!$Z$1518</f>
        <v>183.75923682645546</v>
      </c>
      <c r="L1518" s="64">
        <f>EFEITO!$N$1518*EFEITO!$AA$1518</f>
        <v>72.412318667009913</v>
      </c>
      <c r="M1518" s="64">
        <f>$J$1518-EFEITO!$K$1518*EFEITO!$Y$1518</f>
        <v>0</v>
      </c>
      <c r="N1518" s="64">
        <f ca="1">$K$1518-EFEITO!$M$1518*EFEITO!$Z$1518</f>
        <v>0</v>
      </c>
      <c r="O1518" s="64">
        <f>$L$1518-EFEITO!$O$1518*EFEITO!$AA$1518</f>
        <v>0</v>
      </c>
      <c r="P1518" s="19"/>
      <c r="Q1518" s="19"/>
      <c r="R1518" s="19"/>
      <c r="S1518" s="19"/>
      <c r="T1518" s="19"/>
      <c r="U1518" s="19"/>
      <c r="V1518" s="19"/>
      <c r="W1518" s="19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</row>
    <row r="1519" spans="1:36" ht="11.25" customHeight="1" x14ac:dyDescent="0.2">
      <c r="A1519" s="55" t="s">
        <v>57</v>
      </c>
      <c r="B1519" s="55" t="s">
        <v>22</v>
      </c>
      <c r="C1519" s="55" t="s">
        <v>33</v>
      </c>
      <c r="D1519" s="55" t="s">
        <v>24</v>
      </c>
      <c r="E1519" s="55" t="s">
        <v>24</v>
      </c>
      <c r="F1519" s="55" t="s">
        <v>25</v>
      </c>
      <c r="G1519" s="55" t="s">
        <v>25</v>
      </c>
      <c r="H1519" s="55" t="s">
        <v>34</v>
      </c>
      <c r="I1519" s="63">
        <v>44743</v>
      </c>
      <c r="J1519" s="64">
        <f>EFEITO!$J$1519*EFEITO!$Y$1519</f>
        <v>0</v>
      </c>
      <c r="K1519" s="64">
        <f ca="1">EFEITO!$L$1519*EFEITO!$Z$1519</f>
        <v>7251.6331667037057</v>
      </c>
      <c r="L1519" s="64">
        <f>EFEITO!$N$1519*EFEITO!$AA$1519</f>
        <v>2857.5846351578239</v>
      </c>
      <c r="M1519" s="64">
        <f>$J$1519-EFEITO!$K$1519*EFEITO!$Y$1519</f>
        <v>0</v>
      </c>
      <c r="N1519" s="64">
        <f ca="1">$K$1519-EFEITO!$M$1519*EFEITO!$Z$1519</f>
        <v>0</v>
      </c>
      <c r="O1519" s="64">
        <f>$L$1519-EFEITO!$O$1519*EFEITO!$AA$1519</f>
        <v>0</v>
      </c>
      <c r="P1519" s="19"/>
      <c r="Q1519" s="19"/>
      <c r="R1519" s="19"/>
      <c r="S1519" s="19"/>
      <c r="T1519" s="19"/>
      <c r="U1519" s="19"/>
      <c r="V1519" s="19"/>
      <c r="W1519" s="19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</row>
    <row r="1520" spans="1:36" ht="11.25" customHeight="1" x14ac:dyDescent="0.2">
      <c r="A1520" s="55" t="s">
        <v>57</v>
      </c>
      <c r="B1520" s="55" t="s">
        <v>22</v>
      </c>
      <c r="C1520" s="55" t="s">
        <v>33</v>
      </c>
      <c r="D1520" s="55" t="s">
        <v>24</v>
      </c>
      <c r="E1520" s="55" t="s">
        <v>24</v>
      </c>
      <c r="F1520" s="55" t="s">
        <v>25</v>
      </c>
      <c r="G1520" s="55" t="s">
        <v>25</v>
      </c>
      <c r="H1520" s="55" t="s">
        <v>34</v>
      </c>
      <c r="I1520" s="63">
        <v>44743</v>
      </c>
      <c r="J1520" s="64">
        <f>EFEITO!$J$1520*EFEITO!$Y$1520</f>
        <v>0</v>
      </c>
      <c r="K1520" s="64">
        <f ca="1">EFEITO!$L$1520*EFEITO!$Z$1520</f>
        <v>183.75923682645546</v>
      </c>
      <c r="L1520" s="64">
        <f>EFEITO!$N$1520*EFEITO!$AA$1520</f>
        <v>72.412318667009913</v>
      </c>
      <c r="M1520" s="64">
        <f>$J$1520-EFEITO!$K$1520*EFEITO!$Y$1520</f>
        <v>0</v>
      </c>
      <c r="N1520" s="64">
        <f ca="1">$K$1520-EFEITO!$M$1520*EFEITO!$Z$1520</f>
        <v>0</v>
      </c>
      <c r="O1520" s="64">
        <f>$L$1520-EFEITO!$O$1520*EFEITO!$AA$1520</f>
        <v>0</v>
      </c>
      <c r="P1520" s="19"/>
      <c r="Q1520" s="19"/>
      <c r="R1520" s="19"/>
      <c r="S1520" s="19"/>
      <c r="T1520" s="19"/>
      <c r="U1520" s="19"/>
      <c r="V1520" s="19"/>
      <c r="W1520" s="19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</row>
    <row r="1521" spans="1:36" ht="11.25" customHeight="1" x14ac:dyDescent="0.2">
      <c r="A1521" s="55" t="s">
        <v>21</v>
      </c>
      <c r="B1521" s="55" t="s">
        <v>22</v>
      </c>
      <c r="C1521" s="55" t="s">
        <v>23</v>
      </c>
      <c r="D1521" s="55" t="s">
        <v>24</v>
      </c>
      <c r="E1521" s="55" t="s">
        <v>24</v>
      </c>
      <c r="F1521" s="55" t="s">
        <v>25</v>
      </c>
      <c r="G1521" s="55" t="s">
        <v>25</v>
      </c>
      <c r="H1521" s="55" t="s">
        <v>25</v>
      </c>
      <c r="I1521" s="63">
        <v>44409</v>
      </c>
      <c r="J1521" s="64">
        <f>EFEITO!$J$1521*EFEITO!$Y$1521</f>
        <v>0</v>
      </c>
      <c r="K1521" s="64">
        <f ca="1">EFEITO!$L$1521*EFEITO!$Z$1521</f>
        <v>38225192.795402795</v>
      </c>
      <c r="L1521" s="64">
        <f>EFEITO!$N$1521*EFEITO!$AA$1521</f>
        <v>25990547.450648729</v>
      </c>
      <c r="M1521" s="64">
        <f>$J$1521-EFEITO!$K$1521*EFEITO!$Y$1521</f>
        <v>0</v>
      </c>
      <c r="N1521" s="64">
        <f ca="1">$K$1521-EFEITO!$M$1521*EFEITO!$Z$1521</f>
        <v>0</v>
      </c>
      <c r="O1521" s="64">
        <f>$L$1521-EFEITO!$O$1521*EFEITO!$AA$1521</f>
        <v>0</v>
      </c>
      <c r="P1521" s="19"/>
      <c r="Q1521" s="19"/>
      <c r="R1521" s="19"/>
      <c r="S1521" s="19"/>
      <c r="T1521" s="19"/>
      <c r="U1521" s="19"/>
      <c r="V1521" s="19"/>
      <c r="W1521" s="19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</row>
    <row r="1522" spans="1:36" ht="11.25" customHeight="1" x14ac:dyDescent="0.2">
      <c r="A1522" s="55" t="s">
        <v>27</v>
      </c>
      <c r="B1522" s="55" t="s">
        <v>22</v>
      </c>
      <c r="C1522" s="55" t="s">
        <v>23</v>
      </c>
      <c r="D1522" s="55" t="s">
        <v>24</v>
      </c>
      <c r="E1522" s="55" t="s">
        <v>24</v>
      </c>
      <c r="F1522" s="55" t="s">
        <v>25</v>
      </c>
      <c r="G1522" s="55" t="s">
        <v>25</v>
      </c>
      <c r="H1522" s="55" t="s">
        <v>25</v>
      </c>
      <c r="I1522" s="63">
        <v>44409</v>
      </c>
      <c r="J1522" s="64">
        <f>EFEITO!$J$1522*EFEITO!$Y$1522</f>
        <v>0</v>
      </c>
      <c r="K1522" s="64">
        <f ca="1">EFEITO!$L$1522*EFEITO!$Z$1522</f>
        <v>-164514.19190132938</v>
      </c>
      <c r="L1522" s="64">
        <f>EFEITO!$N$1522*EFEITO!$AA$1522</f>
        <v>-111858.53093802757</v>
      </c>
      <c r="M1522" s="64">
        <f>$J$1522-EFEITO!$K$1522*EFEITO!$Y$1522</f>
        <v>0</v>
      </c>
      <c r="N1522" s="64">
        <f ca="1">$K$1522-EFEITO!$M$1522*EFEITO!$Z$1522</f>
        <v>0</v>
      </c>
      <c r="O1522" s="64">
        <f>$L$1522-EFEITO!$O$1522*EFEITO!$AA$1522</f>
        <v>0</v>
      </c>
      <c r="P1522" s="19"/>
      <c r="Q1522" s="19"/>
      <c r="R1522" s="19"/>
      <c r="S1522" s="19"/>
      <c r="T1522" s="19"/>
      <c r="U1522" s="19"/>
      <c r="V1522" s="19"/>
      <c r="W1522" s="19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</row>
    <row r="1523" spans="1:36" ht="11.25" customHeight="1" x14ac:dyDescent="0.2">
      <c r="A1523" s="55" t="s">
        <v>28</v>
      </c>
      <c r="B1523" s="55" t="s">
        <v>22</v>
      </c>
      <c r="C1523" s="55" t="s">
        <v>23</v>
      </c>
      <c r="D1523" s="55" t="s">
        <v>24</v>
      </c>
      <c r="E1523" s="55" t="s">
        <v>24</v>
      </c>
      <c r="F1523" s="55" t="s">
        <v>25</v>
      </c>
      <c r="G1523" s="55" t="s">
        <v>25</v>
      </c>
      <c r="H1523" s="55" t="s">
        <v>25</v>
      </c>
      <c r="I1523" s="63">
        <v>44409</v>
      </c>
      <c r="J1523" s="64">
        <f>EFEITO!$J$1523*EFEITO!$Y$1523</f>
        <v>0</v>
      </c>
      <c r="K1523" s="64">
        <f ca="1">EFEITO!$L$1523*EFEITO!$Z$1523</f>
        <v>526895.24197604542</v>
      </c>
      <c r="L1523" s="64">
        <f>EFEITO!$N$1523*EFEITO!$AA$1523</f>
        <v>358253.151564128</v>
      </c>
      <c r="M1523" s="64">
        <f>$J$1523-EFEITO!$K$1523*EFEITO!$Y$1523</f>
        <v>0</v>
      </c>
      <c r="N1523" s="64">
        <f ca="1">$K$1523-EFEITO!$M$1523*EFEITO!$Z$1523</f>
        <v>0</v>
      </c>
      <c r="O1523" s="64">
        <f>$L$1523-EFEITO!$O$1523*EFEITO!$AA$1523</f>
        <v>0</v>
      </c>
      <c r="P1523" s="19"/>
      <c r="Q1523" s="19"/>
      <c r="R1523" s="19"/>
      <c r="S1523" s="19"/>
      <c r="T1523" s="19"/>
      <c r="U1523" s="19"/>
      <c r="V1523" s="19"/>
      <c r="W1523" s="19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</row>
    <row r="1524" spans="1:36" ht="11.25" customHeight="1" x14ac:dyDescent="0.2">
      <c r="A1524" s="55" t="s">
        <v>28</v>
      </c>
      <c r="B1524" s="55" t="s">
        <v>22</v>
      </c>
      <c r="C1524" s="55" t="s">
        <v>23</v>
      </c>
      <c r="D1524" s="55" t="s">
        <v>24</v>
      </c>
      <c r="E1524" s="55" t="s">
        <v>24</v>
      </c>
      <c r="F1524" s="55" t="s">
        <v>25</v>
      </c>
      <c r="G1524" s="55" t="s">
        <v>25</v>
      </c>
      <c r="H1524" s="55" t="s">
        <v>25</v>
      </c>
      <c r="I1524" s="63">
        <v>44409</v>
      </c>
      <c r="J1524" s="64">
        <f>EFEITO!$J$1524*EFEITO!$Y$1524</f>
        <v>0</v>
      </c>
      <c r="K1524" s="64">
        <f ca="1">EFEITO!$L$1524*EFEITO!$Z$1524</f>
        <v>-1048.0768780520737</v>
      </c>
      <c r="L1524" s="64">
        <f>EFEITO!$N$1524*EFEITO!$AA$1524</f>
        <v>-712.6214373002789</v>
      </c>
      <c r="M1524" s="64">
        <f>$J$1524-EFEITO!$K$1524*EFEITO!$Y$1524</f>
        <v>0</v>
      </c>
      <c r="N1524" s="64">
        <f ca="1">$K$1524-EFEITO!$M$1524*EFEITO!$Z$1524</f>
        <v>0</v>
      </c>
      <c r="O1524" s="64">
        <f>$L$1524-EFEITO!$O$1524*EFEITO!$AA$1524</f>
        <v>0</v>
      </c>
      <c r="P1524" s="19"/>
      <c r="Q1524" s="19"/>
      <c r="R1524" s="19"/>
      <c r="S1524" s="19"/>
      <c r="T1524" s="19"/>
      <c r="U1524" s="19"/>
      <c r="V1524" s="19"/>
      <c r="W1524" s="19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</row>
    <row r="1525" spans="1:36" ht="11.25" customHeight="1" x14ac:dyDescent="0.2">
      <c r="A1525" s="55" t="s">
        <v>21</v>
      </c>
      <c r="B1525" s="55" t="s">
        <v>22</v>
      </c>
      <c r="C1525" s="55" t="s">
        <v>23</v>
      </c>
      <c r="D1525" s="55" t="s">
        <v>24</v>
      </c>
      <c r="E1525" s="55" t="s">
        <v>24</v>
      </c>
      <c r="F1525" s="55" t="s">
        <v>25</v>
      </c>
      <c r="G1525" s="55" t="s">
        <v>25</v>
      </c>
      <c r="H1525" s="55" t="s">
        <v>25</v>
      </c>
      <c r="I1525" s="63">
        <v>44440</v>
      </c>
      <c r="J1525" s="64">
        <f>EFEITO!$J$1525*EFEITO!$Y$1525</f>
        <v>0</v>
      </c>
      <c r="K1525" s="64">
        <f ca="1">EFEITO!$L$1525*EFEITO!$Z$1525</f>
        <v>38401485.816593692</v>
      </c>
      <c r="L1525" s="64">
        <f>EFEITO!$N$1525*EFEITO!$AA$1525</f>
        <v>26110414.789369684</v>
      </c>
      <c r="M1525" s="64">
        <f>$J$1525-EFEITO!$K$1525*EFEITO!$Y$1525</f>
        <v>0</v>
      </c>
      <c r="N1525" s="64">
        <f ca="1">$K$1525-EFEITO!$M$1525*EFEITO!$Z$1525</f>
        <v>0</v>
      </c>
      <c r="O1525" s="64">
        <f>$L$1525-EFEITO!$O$1525*EFEITO!$AA$1525</f>
        <v>0</v>
      </c>
      <c r="P1525" s="19"/>
      <c r="Q1525" s="19"/>
      <c r="R1525" s="19"/>
      <c r="S1525" s="19"/>
      <c r="T1525" s="19"/>
      <c r="U1525" s="19"/>
      <c r="V1525" s="19"/>
      <c r="W1525" s="19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</row>
    <row r="1526" spans="1:36" ht="11.25" customHeight="1" x14ac:dyDescent="0.2">
      <c r="A1526" s="55" t="s">
        <v>27</v>
      </c>
      <c r="B1526" s="55" t="s">
        <v>22</v>
      </c>
      <c r="C1526" s="55" t="s">
        <v>23</v>
      </c>
      <c r="D1526" s="55" t="s">
        <v>24</v>
      </c>
      <c r="E1526" s="55" t="s">
        <v>24</v>
      </c>
      <c r="F1526" s="55" t="s">
        <v>25</v>
      </c>
      <c r="G1526" s="55" t="s">
        <v>25</v>
      </c>
      <c r="H1526" s="55" t="s">
        <v>25</v>
      </c>
      <c r="I1526" s="63">
        <v>44440</v>
      </c>
      <c r="J1526" s="64">
        <f>EFEITO!$J$1526*EFEITO!$Y$1526</f>
        <v>0</v>
      </c>
      <c r="K1526" s="64">
        <f ca="1">EFEITO!$L$1526*EFEITO!$Z$1526</f>
        <v>-64649.475721395836</v>
      </c>
      <c r="L1526" s="64">
        <f>EFEITO!$N$1526*EFEITO!$AA$1526</f>
        <v>-43957.273816512497</v>
      </c>
      <c r="M1526" s="64">
        <f>$J$1526-EFEITO!$K$1526*EFEITO!$Y$1526</f>
        <v>0</v>
      </c>
      <c r="N1526" s="64">
        <f ca="1">$K$1526-EFEITO!$M$1526*EFEITO!$Z$1526</f>
        <v>0</v>
      </c>
      <c r="O1526" s="64">
        <f>$L$1526-EFEITO!$O$1526*EFEITO!$AA$1526</f>
        <v>0</v>
      </c>
      <c r="P1526" s="19"/>
      <c r="Q1526" s="19"/>
      <c r="R1526" s="19"/>
      <c r="S1526" s="19"/>
      <c r="T1526" s="19"/>
      <c r="U1526" s="19"/>
      <c r="V1526" s="19"/>
      <c r="W1526" s="19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</row>
    <row r="1527" spans="1:36" ht="11.25" customHeight="1" x14ac:dyDescent="0.2">
      <c r="A1527" s="55" t="s">
        <v>28</v>
      </c>
      <c r="B1527" s="55" t="s">
        <v>22</v>
      </c>
      <c r="C1527" s="55" t="s">
        <v>23</v>
      </c>
      <c r="D1527" s="55" t="s">
        <v>24</v>
      </c>
      <c r="E1527" s="55" t="s">
        <v>24</v>
      </c>
      <c r="F1527" s="55" t="s">
        <v>25</v>
      </c>
      <c r="G1527" s="55" t="s">
        <v>25</v>
      </c>
      <c r="H1527" s="55" t="s">
        <v>25</v>
      </c>
      <c r="I1527" s="63">
        <v>44440</v>
      </c>
      <c r="J1527" s="64">
        <f>EFEITO!$J$1527*EFEITO!$Y$1527</f>
        <v>0</v>
      </c>
      <c r="K1527" s="64">
        <f ca="1">EFEITO!$L$1527*EFEITO!$Z$1527</f>
        <v>518542.36524429522</v>
      </c>
      <c r="L1527" s="64">
        <f>EFEITO!$N$1527*EFEITO!$AA$1527</f>
        <v>352573.75995953992</v>
      </c>
      <c r="M1527" s="64">
        <f>$J$1527-EFEITO!$K$1527*EFEITO!$Y$1527</f>
        <v>0</v>
      </c>
      <c r="N1527" s="64">
        <f ca="1">$K$1527-EFEITO!$M$1527*EFEITO!$Z$1527</f>
        <v>0</v>
      </c>
      <c r="O1527" s="64">
        <f>$L$1527-EFEITO!$O$1527*EFEITO!$AA$1527</f>
        <v>0</v>
      </c>
      <c r="P1527" s="19"/>
      <c r="Q1527" s="19"/>
      <c r="R1527" s="19"/>
      <c r="S1527" s="19"/>
      <c r="T1527" s="19"/>
      <c r="U1527" s="19"/>
      <c r="V1527" s="19"/>
      <c r="W1527" s="19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</row>
    <row r="1528" spans="1:36" ht="11.25" customHeight="1" x14ac:dyDescent="0.2">
      <c r="A1528" s="55" t="s">
        <v>28</v>
      </c>
      <c r="B1528" s="55" t="s">
        <v>22</v>
      </c>
      <c r="C1528" s="55" t="s">
        <v>23</v>
      </c>
      <c r="D1528" s="55" t="s">
        <v>24</v>
      </c>
      <c r="E1528" s="55" t="s">
        <v>24</v>
      </c>
      <c r="F1528" s="55" t="s">
        <v>25</v>
      </c>
      <c r="G1528" s="55" t="s">
        <v>25</v>
      </c>
      <c r="H1528" s="55" t="s">
        <v>25</v>
      </c>
      <c r="I1528" s="63">
        <v>44440</v>
      </c>
      <c r="J1528" s="64">
        <f>EFEITO!$J$1528*EFEITO!$Y$1528</f>
        <v>0</v>
      </c>
      <c r="K1528" s="64">
        <f ca="1">EFEITO!$L$1528*EFEITO!$Z$1528</f>
        <v>-2938.1100368394132</v>
      </c>
      <c r="L1528" s="64">
        <f>EFEITO!$N$1528*EFEITO!$AA$1528</f>
        <v>-1997.7162374675052</v>
      </c>
      <c r="M1528" s="64">
        <f>$J$1528-EFEITO!$K$1528*EFEITO!$Y$1528</f>
        <v>0</v>
      </c>
      <c r="N1528" s="64">
        <f ca="1">$K$1528-EFEITO!$M$1528*EFEITO!$Z$1528</f>
        <v>0</v>
      </c>
      <c r="O1528" s="64">
        <f>$L$1528-EFEITO!$O$1528*EFEITO!$AA$1528</f>
        <v>0</v>
      </c>
      <c r="P1528" s="19"/>
      <c r="Q1528" s="19"/>
      <c r="R1528" s="19"/>
      <c r="S1528" s="19"/>
      <c r="T1528" s="19"/>
      <c r="U1528" s="19"/>
      <c r="V1528" s="19"/>
      <c r="W1528" s="19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</row>
    <row r="1529" spans="1:36" ht="11.25" customHeight="1" x14ac:dyDescent="0.2">
      <c r="A1529" s="55" t="s">
        <v>21</v>
      </c>
      <c r="B1529" s="55" t="s">
        <v>22</v>
      </c>
      <c r="C1529" s="55" t="s">
        <v>23</v>
      </c>
      <c r="D1529" s="55" t="s">
        <v>24</v>
      </c>
      <c r="E1529" s="55" t="s">
        <v>24</v>
      </c>
      <c r="F1529" s="55" t="s">
        <v>25</v>
      </c>
      <c r="G1529" s="55" t="s">
        <v>25</v>
      </c>
      <c r="H1529" s="55" t="s">
        <v>25</v>
      </c>
      <c r="I1529" s="63">
        <v>44470</v>
      </c>
      <c r="J1529" s="64">
        <f>EFEITO!$J$1529*EFEITO!$Y$1529</f>
        <v>0</v>
      </c>
      <c r="K1529" s="64">
        <f ca="1">EFEITO!$L$1529*EFEITO!$Z$1529</f>
        <v>41494234.80038479</v>
      </c>
      <c r="L1529" s="64">
        <f>EFEITO!$N$1529*EFEITO!$AA$1529</f>
        <v>28213275.0586797</v>
      </c>
      <c r="M1529" s="64">
        <f>$J$1529-EFEITO!$K$1529*EFEITO!$Y$1529</f>
        <v>0</v>
      </c>
      <c r="N1529" s="64">
        <f ca="1">$K$1529-EFEITO!$M$1529*EFEITO!$Z$1529</f>
        <v>0</v>
      </c>
      <c r="O1529" s="64">
        <f>$L$1529-EFEITO!$O$1529*EFEITO!$AA$1529</f>
        <v>0</v>
      </c>
      <c r="P1529" s="19"/>
      <c r="Q1529" s="19"/>
      <c r="R1529" s="19"/>
      <c r="S1529" s="19"/>
      <c r="T1529" s="19"/>
      <c r="U1529" s="19"/>
      <c r="V1529" s="19"/>
      <c r="W1529" s="19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</row>
    <row r="1530" spans="1:36" ht="11.25" customHeight="1" x14ac:dyDescent="0.2">
      <c r="A1530" s="55" t="s">
        <v>27</v>
      </c>
      <c r="B1530" s="55" t="s">
        <v>22</v>
      </c>
      <c r="C1530" s="55" t="s">
        <v>23</v>
      </c>
      <c r="D1530" s="55" t="s">
        <v>24</v>
      </c>
      <c r="E1530" s="55" t="s">
        <v>24</v>
      </c>
      <c r="F1530" s="55" t="s">
        <v>25</v>
      </c>
      <c r="G1530" s="55" t="s">
        <v>25</v>
      </c>
      <c r="H1530" s="55" t="s">
        <v>25</v>
      </c>
      <c r="I1530" s="63">
        <v>44470</v>
      </c>
      <c r="J1530" s="64">
        <f>EFEITO!$J$1530*EFEITO!$Y$1530</f>
        <v>0</v>
      </c>
      <c r="K1530" s="64">
        <f ca="1">EFEITO!$L$1530*EFEITO!$Z$1530</f>
        <v>-47920.542605948125</v>
      </c>
      <c r="L1530" s="64">
        <f>EFEITO!$N$1530*EFEITO!$AA$1530</f>
        <v>-32582.730010730473</v>
      </c>
      <c r="M1530" s="64">
        <f>$J$1530-EFEITO!$K$1530*EFEITO!$Y$1530</f>
        <v>0</v>
      </c>
      <c r="N1530" s="64">
        <f ca="1">$K$1530-EFEITO!$M$1530*EFEITO!$Z$1530</f>
        <v>0</v>
      </c>
      <c r="O1530" s="64">
        <f>$L$1530-EFEITO!$O$1530*EFEITO!$AA$1530</f>
        <v>0</v>
      </c>
      <c r="P1530" s="19"/>
      <c r="Q1530" s="19"/>
      <c r="R1530" s="19"/>
      <c r="S1530" s="19"/>
      <c r="T1530" s="19"/>
      <c r="U1530" s="19"/>
      <c r="V1530" s="19"/>
      <c r="W1530" s="19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</row>
    <row r="1531" spans="1:36" ht="11.25" customHeight="1" x14ac:dyDescent="0.2">
      <c r="A1531" s="55" t="s">
        <v>28</v>
      </c>
      <c r="B1531" s="55" t="s">
        <v>22</v>
      </c>
      <c r="C1531" s="55" t="s">
        <v>23</v>
      </c>
      <c r="D1531" s="55" t="s">
        <v>24</v>
      </c>
      <c r="E1531" s="55" t="s">
        <v>24</v>
      </c>
      <c r="F1531" s="55" t="s">
        <v>25</v>
      </c>
      <c r="G1531" s="55" t="s">
        <v>25</v>
      </c>
      <c r="H1531" s="55" t="s">
        <v>25</v>
      </c>
      <c r="I1531" s="63">
        <v>44470</v>
      </c>
      <c r="J1531" s="64">
        <f>EFEITO!$J$1531*EFEITO!$Y$1531</f>
        <v>0</v>
      </c>
      <c r="K1531" s="64">
        <f ca="1">EFEITO!$L$1531*EFEITO!$Z$1531</f>
        <v>613356.41356990708</v>
      </c>
      <c r="L1531" s="64">
        <f>EFEITO!$N$1531*EFEITO!$AA$1531</f>
        <v>417040.90431600431</v>
      </c>
      <c r="M1531" s="64">
        <f>$J$1531-EFEITO!$K$1531*EFEITO!$Y$1531</f>
        <v>0</v>
      </c>
      <c r="N1531" s="64">
        <f ca="1">$K$1531-EFEITO!$M$1531*EFEITO!$Z$1531</f>
        <v>0</v>
      </c>
      <c r="O1531" s="64">
        <f>$L$1531-EFEITO!$O$1531*EFEITO!$AA$1531</f>
        <v>0</v>
      </c>
      <c r="P1531" s="19"/>
      <c r="Q1531" s="19"/>
      <c r="R1531" s="19"/>
      <c r="S1531" s="19"/>
      <c r="T1531" s="19"/>
      <c r="U1531" s="19"/>
      <c r="V1531" s="19"/>
      <c r="W1531" s="19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</row>
    <row r="1532" spans="1:36" ht="11.25" customHeight="1" x14ac:dyDescent="0.2">
      <c r="A1532" s="55" t="s">
        <v>28</v>
      </c>
      <c r="B1532" s="55" t="s">
        <v>22</v>
      </c>
      <c r="C1532" s="55" t="s">
        <v>23</v>
      </c>
      <c r="D1532" s="55" t="s">
        <v>24</v>
      </c>
      <c r="E1532" s="55" t="s">
        <v>24</v>
      </c>
      <c r="F1532" s="55" t="s">
        <v>25</v>
      </c>
      <c r="G1532" s="55" t="s">
        <v>25</v>
      </c>
      <c r="H1532" s="55" t="s">
        <v>25</v>
      </c>
      <c r="I1532" s="63">
        <v>44470</v>
      </c>
      <c r="J1532" s="64">
        <f>EFEITO!$J$1532*EFEITO!$Y$1532</f>
        <v>0</v>
      </c>
      <c r="K1532" s="64">
        <f ca="1">EFEITO!$L$1532*EFEITO!$Z$1532</f>
        <v>-1854.7287658213115</v>
      </c>
      <c r="L1532" s="64">
        <f>EFEITO!$N$1532*EFEITO!$AA$1532</f>
        <v>-1261.0901991829703</v>
      </c>
      <c r="M1532" s="64">
        <f>$J$1532-EFEITO!$K$1532*EFEITO!$Y$1532</f>
        <v>0</v>
      </c>
      <c r="N1532" s="64">
        <f ca="1">$K$1532-EFEITO!$M$1532*EFEITO!$Z$1532</f>
        <v>0</v>
      </c>
      <c r="O1532" s="64">
        <f>$L$1532-EFEITO!$O$1532*EFEITO!$AA$1532</f>
        <v>0</v>
      </c>
      <c r="P1532" s="19"/>
      <c r="Q1532" s="19"/>
      <c r="R1532" s="19"/>
      <c r="S1532" s="19"/>
      <c r="T1532" s="19"/>
      <c r="U1532" s="19"/>
      <c r="V1532" s="19"/>
      <c r="W1532" s="19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</row>
    <row r="1533" spans="1:36" ht="11.25" customHeight="1" x14ac:dyDescent="0.2">
      <c r="A1533" s="55" t="s">
        <v>21</v>
      </c>
      <c r="B1533" s="55" t="s">
        <v>22</v>
      </c>
      <c r="C1533" s="55" t="s">
        <v>23</v>
      </c>
      <c r="D1533" s="55" t="s">
        <v>24</v>
      </c>
      <c r="E1533" s="55" t="s">
        <v>24</v>
      </c>
      <c r="F1533" s="55" t="s">
        <v>25</v>
      </c>
      <c r="G1533" s="55" t="s">
        <v>25</v>
      </c>
      <c r="H1533" s="55" t="s">
        <v>25</v>
      </c>
      <c r="I1533" s="63">
        <v>44501</v>
      </c>
      <c r="J1533" s="64">
        <f>EFEITO!$J$1533*EFEITO!$Y$1533</f>
        <v>0</v>
      </c>
      <c r="K1533" s="64">
        <f ca="1">EFEITO!$L$1533*EFEITO!$Z$1533</f>
        <v>41546862.595386207</v>
      </c>
      <c r="L1533" s="64">
        <f>EFEITO!$N$1533*EFEITO!$AA$1533</f>
        <v>28249058.402155001</v>
      </c>
      <c r="M1533" s="64">
        <f>$J$1533-EFEITO!$K$1533*EFEITO!$Y$1533</f>
        <v>0</v>
      </c>
      <c r="N1533" s="64">
        <f ca="1">$K$1533-EFEITO!$M$1533*EFEITO!$Z$1533</f>
        <v>0</v>
      </c>
      <c r="O1533" s="64">
        <f>$L$1533-EFEITO!$O$1533*EFEITO!$AA$1533</f>
        <v>0</v>
      </c>
      <c r="P1533" s="19"/>
      <c r="Q1533" s="19"/>
      <c r="R1533" s="19"/>
      <c r="S1533" s="19"/>
      <c r="T1533" s="19"/>
      <c r="U1533" s="19"/>
      <c r="V1533" s="19"/>
      <c r="W1533" s="19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</row>
    <row r="1534" spans="1:36" ht="11.25" customHeight="1" x14ac:dyDescent="0.2">
      <c r="A1534" s="55" t="s">
        <v>27</v>
      </c>
      <c r="B1534" s="55" t="s">
        <v>22</v>
      </c>
      <c r="C1534" s="55" t="s">
        <v>23</v>
      </c>
      <c r="D1534" s="55" t="s">
        <v>24</v>
      </c>
      <c r="E1534" s="55" t="s">
        <v>24</v>
      </c>
      <c r="F1534" s="55" t="s">
        <v>25</v>
      </c>
      <c r="G1534" s="55" t="s">
        <v>25</v>
      </c>
      <c r="H1534" s="55" t="s">
        <v>25</v>
      </c>
      <c r="I1534" s="63">
        <v>44501</v>
      </c>
      <c r="J1534" s="64">
        <f>EFEITO!$J$1534*EFEITO!$Y$1534</f>
        <v>0</v>
      </c>
      <c r="K1534" s="64">
        <f ca="1">EFEITO!$L$1534*EFEITO!$Z$1534</f>
        <v>-84562.579794355275</v>
      </c>
      <c r="L1534" s="64">
        <f>EFEITO!$N$1534*EFEITO!$AA$1534</f>
        <v>-57496.838654500789</v>
      </c>
      <c r="M1534" s="64">
        <f>$J$1534-EFEITO!$K$1534*EFEITO!$Y$1534</f>
        <v>0</v>
      </c>
      <c r="N1534" s="64">
        <f ca="1">$K$1534-EFEITO!$M$1534*EFEITO!$Z$1534</f>
        <v>0</v>
      </c>
      <c r="O1534" s="64">
        <f>$L$1534-EFEITO!$O$1534*EFEITO!$AA$1534</f>
        <v>0</v>
      </c>
      <c r="P1534" s="19"/>
      <c r="Q1534" s="19"/>
      <c r="R1534" s="19"/>
      <c r="S1534" s="19"/>
      <c r="T1534" s="19"/>
      <c r="U1534" s="19"/>
      <c r="V1534" s="19"/>
      <c r="W1534" s="19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</row>
    <row r="1535" spans="1:36" ht="11.25" customHeight="1" x14ac:dyDescent="0.2">
      <c r="A1535" s="55" t="s">
        <v>28</v>
      </c>
      <c r="B1535" s="55" t="s">
        <v>22</v>
      </c>
      <c r="C1535" s="55" t="s">
        <v>23</v>
      </c>
      <c r="D1535" s="55" t="s">
        <v>24</v>
      </c>
      <c r="E1535" s="55" t="s">
        <v>24</v>
      </c>
      <c r="F1535" s="55" t="s">
        <v>25</v>
      </c>
      <c r="G1535" s="55" t="s">
        <v>25</v>
      </c>
      <c r="H1535" s="55" t="s">
        <v>25</v>
      </c>
      <c r="I1535" s="63">
        <v>44501</v>
      </c>
      <c r="J1535" s="64">
        <f>EFEITO!$J$1535*EFEITO!$Y$1535</f>
        <v>0</v>
      </c>
      <c r="K1535" s="64">
        <f ca="1">EFEITO!$L$1535*EFEITO!$Z$1535</f>
        <v>675366.97506959981</v>
      </c>
      <c r="L1535" s="64">
        <f>EFEITO!$N$1535*EFEITO!$AA$1535</f>
        <v>459203.89482662303</v>
      </c>
      <c r="M1535" s="64">
        <f>$J$1535-EFEITO!$K$1535*EFEITO!$Y$1535</f>
        <v>0</v>
      </c>
      <c r="N1535" s="64">
        <f ca="1">$K$1535-EFEITO!$M$1535*EFEITO!$Z$1535</f>
        <v>0</v>
      </c>
      <c r="O1535" s="64">
        <f>$L$1535-EFEITO!$O$1535*EFEITO!$AA$1535</f>
        <v>0</v>
      </c>
      <c r="P1535" s="19"/>
      <c r="Q1535" s="19"/>
      <c r="R1535" s="19"/>
      <c r="S1535" s="19"/>
      <c r="T1535" s="19"/>
      <c r="U1535" s="19"/>
      <c r="V1535" s="19"/>
      <c r="W1535" s="19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</row>
    <row r="1536" spans="1:36" ht="11.25" customHeight="1" x14ac:dyDescent="0.2">
      <c r="A1536" s="55" t="s">
        <v>28</v>
      </c>
      <c r="B1536" s="55" t="s">
        <v>22</v>
      </c>
      <c r="C1536" s="55" t="s">
        <v>23</v>
      </c>
      <c r="D1536" s="55" t="s">
        <v>24</v>
      </c>
      <c r="E1536" s="55" t="s">
        <v>24</v>
      </c>
      <c r="F1536" s="55" t="s">
        <v>25</v>
      </c>
      <c r="G1536" s="55" t="s">
        <v>25</v>
      </c>
      <c r="H1536" s="55" t="s">
        <v>25</v>
      </c>
      <c r="I1536" s="63">
        <v>44501</v>
      </c>
      <c r="J1536" s="64">
        <f>EFEITO!$J$1536*EFEITO!$Y$1536</f>
        <v>0</v>
      </c>
      <c r="K1536" s="64">
        <f ca="1">EFEITO!$L$1536*EFEITO!$Z$1536</f>
        <v>-1423.9438496297823</v>
      </c>
      <c r="L1536" s="64">
        <f>EFEITO!$N$1536*EFEITO!$AA$1536</f>
        <v>-968.18557303164789</v>
      </c>
      <c r="M1536" s="64">
        <f>$J$1536-EFEITO!$K$1536*EFEITO!$Y$1536</f>
        <v>0</v>
      </c>
      <c r="N1536" s="64">
        <f ca="1">$K$1536-EFEITO!$M$1536*EFEITO!$Z$1536</f>
        <v>0</v>
      </c>
      <c r="O1536" s="64">
        <f>$L$1536-EFEITO!$O$1536*EFEITO!$AA$1536</f>
        <v>0</v>
      </c>
      <c r="P1536" s="19"/>
      <c r="Q1536" s="19"/>
      <c r="R1536" s="19"/>
      <c r="S1536" s="19"/>
      <c r="T1536" s="19"/>
      <c r="U1536" s="19"/>
      <c r="V1536" s="19"/>
      <c r="W1536" s="19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</row>
    <row r="1537" spans="1:36" ht="11.25" customHeight="1" x14ac:dyDescent="0.2">
      <c r="A1537" s="55" t="s">
        <v>21</v>
      </c>
      <c r="B1537" s="55" t="s">
        <v>22</v>
      </c>
      <c r="C1537" s="55" t="s">
        <v>23</v>
      </c>
      <c r="D1537" s="55" t="s">
        <v>24</v>
      </c>
      <c r="E1537" s="55" t="s">
        <v>24</v>
      </c>
      <c r="F1537" s="55" t="s">
        <v>25</v>
      </c>
      <c r="G1537" s="55" t="s">
        <v>25</v>
      </c>
      <c r="H1537" s="55" t="s">
        <v>25</v>
      </c>
      <c r="I1537" s="63">
        <v>44531</v>
      </c>
      <c r="J1537" s="64">
        <f>EFEITO!$J$1537*EFEITO!$Y$1537</f>
        <v>0</v>
      </c>
      <c r="K1537" s="64">
        <f ca="1">EFEITO!$L$1537*EFEITO!$Z$1537</f>
        <v>46062011.307377361</v>
      </c>
      <c r="L1537" s="64">
        <f>EFEITO!$N$1537*EFEITO!$AA$1537</f>
        <v>31319054.346292</v>
      </c>
      <c r="M1537" s="64">
        <f>$J$1537-EFEITO!$K$1537*EFEITO!$Y$1537</f>
        <v>0</v>
      </c>
      <c r="N1537" s="64">
        <f ca="1">$K$1537-EFEITO!$M$1537*EFEITO!$Z$1537</f>
        <v>0</v>
      </c>
      <c r="O1537" s="64">
        <f>$L$1537-EFEITO!$O$1537*EFEITO!$AA$1537</f>
        <v>0</v>
      </c>
      <c r="P1537" s="19"/>
      <c r="Q1537" s="19"/>
      <c r="R1537" s="19"/>
      <c r="S1537" s="19"/>
      <c r="T1537" s="19"/>
      <c r="U1537" s="19"/>
      <c r="V1537" s="19"/>
      <c r="W1537" s="19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</row>
    <row r="1538" spans="1:36" ht="11.25" customHeight="1" x14ac:dyDescent="0.2">
      <c r="A1538" s="55" t="s">
        <v>27</v>
      </c>
      <c r="B1538" s="55" t="s">
        <v>22</v>
      </c>
      <c r="C1538" s="55" t="s">
        <v>23</v>
      </c>
      <c r="D1538" s="55" t="s">
        <v>24</v>
      </c>
      <c r="E1538" s="55" t="s">
        <v>24</v>
      </c>
      <c r="F1538" s="55" t="s">
        <v>25</v>
      </c>
      <c r="G1538" s="55" t="s">
        <v>25</v>
      </c>
      <c r="H1538" s="55" t="s">
        <v>25</v>
      </c>
      <c r="I1538" s="63">
        <v>44531</v>
      </c>
      <c r="J1538" s="64">
        <f>EFEITO!$J$1538*EFEITO!$Y$1538</f>
        <v>0</v>
      </c>
      <c r="K1538" s="64">
        <f ca="1">EFEITO!$L$1538*EFEITO!$Z$1538</f>
        <v>-195057.48435736273</v>
      </c>
      <c r="L1538" s="64">
        <f>EFEITO!$N$1538*EFEITO!$AA$1538</f>
        <v>-132625.90537944695</v>
      </c>
      <c r="M1538" s="64">
        <f>$J$1538-EFEITO!$K$1538*EFEITO!$Y$1538</f>
        <v>0</v>
      </c>
      <c r="N1538" s="64">
        <f ca="1">$K$1538-EFEITO!$M$1538*EFEITO!$Z$1538</f>
        <v>0</v>
      </c>
      <c r="O1538" s="64">
        <f>$L$1538-EFEITO!$O$1538*EFEITO!$AA$1538</f>
        <v>0</v>
      </c>
      <c r="P1538" s="19"/>
      <c r="Q1538" s="19"/>
      <c r="R1538" s="19"/>
      <c r="S1538" s="19"/>
      <c r="T1538" s="19"/>
      <c r="U1538" s="19"/>
      <c r="V1538" s="19"/>
      <c r="W1538" s="19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</row>
    <row r="1539" spans="1:36" ht="11.25" customHeight="1" x14ac:dyDescent="0.2">
      <c r="A1539" s="55" t="s">
        <v>28</v>
      </c>
      <c r="B1539" s="55" t="s">
        <v>22</v>
      </c>
      <c r="C1539" s="55" t="s">
        <v>23</v>
      </c>
      <c r="D1539" s="55" t="s">
        <v>24</v>
      </c>
      <c r="E1539" s="55" t="s">
        <v>24</v>
      </c>
      <c r="F1539" s="55" t="s">
        <v>25</v>
      </c>
      <c r="G1539" s="55" t="s">
        <v>25</v>
      </c>
      <c r="H1539" s="55" t="s">
        <v>25</v>
      </c>
      <c r="I1539" s="63">
        <v>44531</v>
      </c>
      <c r="J1539" s="64">
        <f>EFEITO!$J$1539*EFEITO!$Y$1539</f>
        <v>0</v>
      </c>
      <c r="K1539" s="64">
        <f ca="1">EFEITO!$L$1539*EFEITO!$Z$1539</f>
        <v>809262.62979857426</v>
      </c>
      <c r="L1539" s="64">
        <f>EFEITO!$N$1539*EFEITO!$AA$1539</f>
        <v>550243.89000194147</v>
      </c>
      <c r="M1539" s="64">
        <f>$J$1539-EFEITO!$K$1539*EFEITO!$Y$1539</f>
        <v>0</v>
      </c>
      <c r="N1539" s="64">
        <f ca="1">$K$1539-EFEITO!$M$1539*EFEITO!$Z$1539</f>
        <v>0</v>
      </c>
      <c r="O1539" s="64">
        <f>$L$1539-EFEITO!$O$1539*EFEITO!$AA$1539</f>
        <v>0</v>
      </c>
      <c r="P1539" s="19"/>
      <c r="Q1539" s="19"/>
      <c r="R1539" s="19"/>
      <c r="S1539" s="19"/>
      <c r="T1539" s="19"/>
      <c r="U1539" s="19"/>
      <c r="V1539" s="19"/>
      <c r="W1539" s="19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</row>
    <row r="1540" spans="1:36" ht="11.25" customHeight="1" x14ac:dyDescent="0.2">
      <c r="A1540" s="55" t="s">
        <v>28</v>
      </c>
      <c r="B1540" s="55" t="s">
        <v>22</v>
      </c>
      <c r="C1540" s="55" t="s">
        <v>23</v>
      </c>
      <c r="D1540" s="55" t="s">
        <v>24</v>
      </c>
      <c r="E1540" s="55" t="s">
        <v>24</v>
      </c>
      <c r="F1540" s="55" t="s">
        <v>25</v>
      </c>
      <c r="G1540" s="55" t="s">
        <v>25</v>
      </c>
      <c r="H1540" s="55" t="s">
        <v>25</v>
      </c>
      <c r="I1540" s="63">
        <v>44531</v>
      </c>
      <c r="J1540" s="64">
        <f>EFEITO!$J$1540*EFEITO!$Y$1540</f>
        <v>0</v>
      </c>
      <c r="K1540" s="64">
        <f ca="1">EFEITO!$L$1540*EFEITO!$Z$1540</f>
        <v>-1916.7789110343301</v>
      </c>
      <c r="L1540" s="64">
        <f>EFEITO!$N$1540*EFEITO!$AA$1540</f>
        <v>-1303.2801039431774</v>
      </c>
      <c r="M1540" s="64">
        <f>$J$1540-EFEITO!$K$1540*EFEITO!$Y$1540</f>
        <v>0</v>
      </c>
      <c r="N1540" s="64">
        <f ca="1">$K$1540-EFEITO!$M$1540*EFEITO!$Z$1540</f>
        <v>0</v>
      </c>
      <c r="O1540" s="64">
        <f>$L$1540-EFEITO!$O$1540*EFEITO!$AA$1540</f>
        <v>0</v>
      </c>
      <c r="P1540" s="19"/>
      <c r="Q1540" s="19"/>
      <c r="R1540" s="19"/>
      <c r="S1540" s="19"/>
      <c r="T1540" s="19"/>
      <c r="U1540" s="19"/>
      <c r="V1540" s="19"/>
      <c r="W1540" s="19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</row>
    <row r="1541" spans="1:36" ht="11.25" customHeight="1" x14ac:dyDescent="0.2">
      <c r="A1541" s="55" t="s">
        <v>21</v>
      </c>
      <c r="B1541" s="55" t="s">
        <v>22</v>
      </c>
      <c r="C1541" s="55" t="s">
        <v>23</v>
      </c>
      <c r="D1541" s="55" t="s">
        <v>24</v>
      </c>
      <c r="E1541" s="55" t="s">
        <v>24</v>
      </c>
      <c r="F1541" s="55" t="s">
        <v>25</v>
      </c>
      <c r="G1541" s="55" t="s">
        <v>25</v>
      </c>
      <c r="H1541" s="55" t="s">
        <v>25</v>
      </c>
      <c r="I1541" s="63">
        <v>44562</v>
      </c>
      <c r="J1541" s="64">
        <f>EFEITO!$J$1541*EFEITO!$Y$1541</f>
        <v>0</v>
      </c>
      <c r="K1541" s="64">
        <f ca="1">EFEITO!$L$1541*EFEITO!$Z$1541</f>
        <v>43269933.791026577</v>
      </c>
      <c r="L1541" s="64">
        <f>EFEITO!$N$1541*EFEITO!$AA$1541</f>
        <v>29420630.352382623</v>
      </c>
      <c r="M1541" s="64">
        <f>$J$1541-EFEITO!$K$1541*EFEITO!$Y$1541</f>
        <v>0</v>
      </c>
      <c r="N1541" s="64">
        <f ca="1">$K$1541-EFEITO!$M$1541*EFEITO!$Z$1541</f>
        <v>0</v>
      </c>
      <c r="O1541" s="64">
        <f>$L$1541-EFEITO!$O$1541*EFEITO!$AA$1541</f>
        <v>0</v>
      </c>
      <c r="P1541" s="19"/>
      <c r="Q1541" s="19"/>
      <c r="R1541" s="19"/>
      <c r="S1541" s="19"/>
      <c r="T1541" s="19"/>
      <c r="U1541" s="19"/>
      <c r="V1541" s="19"/>
      <c r="W1541" s="19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</row>
    <row r="1542" spans="1:36" ht="11.25" customHeight="1" x14ac:dyDescent="0.2">
      <c r="A1542" s="55" t="s">
        <v>27</v>
      </c>
      <c r="B1542" s="55" t="s">
        <v>22</v>
      </c>
      <c r="C1542" s="55" t="s">
        <v>23</v>
      </c>
      <c r="D1542" s="55" t="s">
        <v>24</v>
      </c>
      <c r="E1542" s="55" t="s">
        <v>24</v>
      </c>
      <c r="F1542" s="55" t="s">
        <v>25</v>
      </c>
      <c r="G1542" s="55" t="s">
        <v>25</v>
      </c>
      <c r="H1542" s="55" t="s">
        <v>25</v>
      </c>
      <c r="I1542" s="63">
        <v>44562</v>
      </c>
      <c r="J1542" s="64">
        <f>EFEITO!$J$1542*EFEITO!$Y$1542</f>
        <v>0</v>
      </c>
      <c r="K1542" s="64">
        <f ca="1">EFEITO!$L$1542*EFEITO!$Z$1542</f>
        <v>-45844.715621551695</v>
      </c>
      <c r="L1542" s="64">
        <f>EFEITO!$N$1542*EFEITO!$AA$1542</f>
        <v>-31171.307966999637</v>
      </c>
      <c r="M1542" s="64">
        <f>$J$1542-EFEITO!$K$1542*EFEITO!$Y$1542</f>
        <v>0</v>
      </c>
      <c r="N1542" s="64">
        <f ca="1">$K$1542-EFEITO!$M$1542*EFEITO!$Z$1542</f>
        <v>0</v>
      </c>
      <c r="O1542" s="64">
        <f>$L$1542-EFEITO!$O$1542*EFEITO!$AA$1542</f>
        <v>0</v>
      </c>
      <c r="P1542" s="19"/>
      <c r="Q1542" s="19"/>
      <c r="R1542" s="19"/>
      <c r="S1542" s="19"/>
      <c r="T1542" s="19"/>
      <c r="U1542" s="19"/>
      <c r="V1542" s="19"/>
      <c r="W1542" s="19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</row>
    <row r="1543" spans="1:36" ht="11.25" customHeight="1" x14ac:dyDescent="0.2">
      <c r="A1543" s="55" t="s">
        <v>28</v>
      </c>
      <c r="B1543" s="55" t="s">
        <v>22</v>
      </c>
      <c r="C1543" s="55" t="s">
        <v>23</v>
      </c>
      <c r="D1543" s="55" t="s">
        <v>24</v>
      </c>
      <c r="E1543" s="55" t="s">
        <v>24</v>
      </c>
      <c r="F1543" s="55" t="s">
        <v>25</v>
      </c>
      <c r="G1543" s="55" t="s">
        <v>25</v>
      </c>
      <c r="H1543" s="55" t="s">
        <v>25</v>
      </c>
      <c r="I1543" s="63">
        <v>44562</v>
      </c>
      <c r="J1543" s="64">
        <f>EFEITO!$J$1543*EFEITO!$Y$1543</f>
        <v>0</v>
      </c>
      <c r="K1543" s="64">
        <f ca="1">EFEITO!$L$1543*EFEITO!$Z$1543</f>
        <v>790011.75055125041</v>
      </c>
      <c r="L1543" s="64">
        <f>EFEITO!$N$1543*EFEITO!$AA$1543</f>
        <v>537154.59328544582</v>
      </c>
      <c r="M1543" s="64">
        <f>$J$1543-EFEITO!$K$1543*EFEITO!$Y$1543</f>
        <v>0</v>
      </c>
      <c r="N1543" s="64">
        <f ca="1">$K$1543-EFEITO!$M$1543*EFEITO!$Z$1543</f>
        <v>0</v>
      </c>
      <c r="O1543" s="64">
        <f>$L$1543-EFEITO!$O$1543*EFEITO!$AA$1543</f>
        <v>0</v>
      </c>
      <c r="P1543" s="19"/>
      <c r="Q1543" s="19"/>
      <c r="R1543" s="19"/>
      <c r="S1543" s="19"/>
      <c r="T1543" s="19"/>
      <c r="U1543" s="19"/>
      <c r="V1543" s="19"/>
      <c r="W1543" s="19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</row>
    <row r="1544" spans="1:36" ht="11.25" customHeight="1" x14ac:dyDescent="0.2">
      <c r="A1544" s="55" t="s">
        <v>28</v>
      </c>
      <c r="B1544" s="55" t="s">
        <v>22</v>
      </c>
      <c r="C1544" s="55" t="s">
        <v>23</v>
      </c>
      <c r="D1544" s="55" t="s">
        <v>24</v>
      </c>
      <c r="E1544" s="55" t="s">
        <v>24</v>
      </c>
      <c r="F1544" s="55" t="s">
        <v>25</v>
      </c>
      <c r="G1544" s="55" t="s">
        <v>25</v>
      </c>
      <c r="H1544" s="55" t="s">
        <v>25</v>
      </c>
      <c r="I1544" s="63">
        <v>44562</v>
      </c>
      <c r="J1544" s="64">
        <f>EFEITO!$J$1544*EFEITO!$Y$1544</f>
        <v>0</v>
      </c>
      <c r="K1544" s="64">
        <f ca="1">EFEITO!$L$1544*EFEITO!$Z$1544</f>
        <v>-1437.4950307682575</v>
      </c>
      <c r="L1544" s="64">
        <f>EFEITO!$N$1544*EFEITO!$AA$1544</f>
        <v>-977.39946027812994</v>
      </c>
      <c r="M1544" s="64">
        <f>$J$1544-EFEITO!$K$1544*EFEITO!$Y$1544</f>
        <v>0</v>
      </c>
      <c r="N1544" s="64">
        <f ca="1">$K$1544-EFEITO!$M$1544*EFEITO!$Z$1544</f>
        <v>0</v>
      </c>
      <c r="O1544" s="64">
        <f>$L$1544-EFEITO!$O$1544*EFEITO!$AA$1544</f>
        <v>0</v>
      </c>
      <c r="P1544" s="19"/>
      <c r="Q1544" s="19"/>
      <c r="R1544" s="19"/>
      <c r="S1544" s="19"/>
      <c r="T1544" s="19"/>
      <c r="U1544" s="19"/>
      <c r="V1544" s="19"/>
      <c r="W1544" s="19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</row>
    <row r="1545" spans="1:36" ht="11.25" customHeight="1" x14ac:dyDescent="0.2">
      <c r="A1545" s="55" t="s">
        <v>21</v>
      </c>
      <c r="B1545" s="55" t="s">
        <v>22</v>
      </c>
      <c r="C1545" s="55" t="s">
        <v>23</v>
      </c>
      <c r="D1545" s="55" t="s">
        <v>24</v>
      </c>
      <c r="E1545" s="55" t="s">
        <v>24</v>
      </c>
      <c r="F1545" s="55" t="s">
        <v>25</v>
      </c>
      <c r="G1545" s="55" t="s">
        <v>25</v>
      </c>
      <c r="H1545" s="55" t="s">
        <v>25</v>
      </c>
      <c r="I1545" s="63">
        <v>44593</v>
      </c>
      <c r="J1545" s="64">
        <f>EFEITO!$J$1545*EFEITO!$Y$1545</f>
        <v>0</v>
      </c>
      <c r="K1545" s="64">
        <f ca="1">EFEITO!$L$1545*EFEITO!$Z$1545</f>
        <v>40262179.241776116</v>
      </c>
      <c r="L1545" s="64">
        <f>EFEITO!$N$1545*EFEITO!$AA$1545</f>
        <v>27375560.553765409</v>
      </c>
      <c r="M1545" s="64">
        <f>$J$1545-EFEITO!$K$1545*EFEITO!$Y$1545</f>
        <v>0</v>
      </c>
      <c r="N1545" s="64">
        <f ca="1">$K$1545-EFEITO!$M$1545*EFEITO!$Z$1545</f>
        <v>0</v>
      </c>
      <c r="O1545" s="64">
        <f>$L$1545-EFEITO!$O$1545*EFEITO!$AA$1545</f>
        <v>0</v>
      </c>
      <c r="P1545" s="19"/>
      <c r="Q1545" s="19"/>
      <c r="R1545" s="19"/>
      <c r="S1545" s="19"/>
      <c r="T1545" s="19"/>
      <c r="U1545" s="19"/>
      <c r="V1545" s="19"/>
      <c r="W1545" s="19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</row>
    <row r="1546" spans="1:36" ht="11.25" customHeight="1" x14ac:dyDescent="0.2">
      <c r="A1546" s="55" t="s">
        <v>27</v>
      </c>
      <c r="B1546" s="55" t="s">
        <v>22</v>
      </c>
      <c r="C1546" s="55" t="s">
        <v>23</v>
      </c>
      <c r="D1546" s="55" t="s">
        <v>24</v>
      </c>
      <c r="E1546" s="55" t="s">
        <v>24</v>
      </c>
      <c r="F1546" s="55" t="s">
        <v>25</v>
      </c>
      <c r="G1546" s="55" t="s">
        <v>25</v>
      </c>
      <c r="H1546" s="55" t="s">
        <v>25</v>
      </c>
      <c r="I1546" s="63">
        <v>44593</v>
      </c>
      <c r="J1546" s="64">
        <f>EFEITO!$J$1546*EFEITO!$Y$1546</f>
        <v>0</v>
      </c>
      <c r="K1546" s="64">
        <f ca="1">EFEITO!$L$1546*EFEITO!$Z$1546</f>
        <v>-108757.85710707289</v>
      </c>
      <c r="L1546" s="64">
        <f>EFEITO!$N$1546*EFEITO!$AA$1546</f>
        <v>-73947.991862377385</v>
      </c>
      <c r="M1546" s="64">
        <f>$J$1546-EFEITO!$K$1546*EFEITO!$Y$1546</f>
        <v>0</v>
      </c>
      <c r="N1546" s="64">
        <f ca="1">$K$1546-EFEITO!$M$1546*EFEITO!$Z$1546</f>
        <v>0</v>
      </c>
      <c r="O1546" s="64">
        <f>$L$1546-EFEITO!$O$1546*EFEITO!$AA$1546</f>
        <v>0</v>
      </c>
      <c r="P1546" s="19"/>
      <c r="Q1546" s="19"/>
      <c r="R1546" s="19"/>
      <c r="S1546" s="19"/>
      <c r="T1546" s="19"/>
      <c r="U1546" s="19"/>
      <c r="V1546" s="19"/>
      <c r="W1546" s="19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</row>
    <row r="1547" spans="1:36" ht="11.25" customHeight="1" x14ac:dyDescent="0.2">
      <c r="A1547" s="55" t="s">
        <v>28</v>
      </c>
      <c r="B1547" s="55" t="s">
        <v>22</v>
      </c>
      <c r="C1547" s="55" t="s">
        <v>23</v>
      </c>
      <c r="D1547" s="55" t="s">
        <v>24</v>
      </c>
      <c r="E1547" s="55" t="s">
        <v>24</v>
      </c>
      <c r="F1547" s="55" t="s">
        <v>25</v>
      </c>
      <c r="G1547" s="55" t="s">
        <v>25</v>
      </c>
      <c r="H1547" s="55" t="s">
        <v>25</v>
      </c>
      <c r="I1547" s="63">
        <v>44593</v>
      </c>
      <c r="J1547" s="64">
        <f>EFEITO!$J$1547*EFEITO!$Y$1547</f>
        <v>0</v>
      </c>
      <c r="K1547" s="64">
        <f ca="1">EFEITO!$L$1547*EFEITO!$Z$1547</f>
        <v>695810.71486713958</v>
      </c>
      <c r="L1547" s="64">
        <f>EFEITO!$N$1547*EFEITO!$AA$1547</f>
        <v>473104.25609152619</v>
      </c>
      <c r="M1547" s="64">
        <f>$J$1547-EFEITO!$K$1547*EFEITO!$Y$1547</f>
        <v>0</v>
      </c>
      <c r="N1547" s="64">
        <f ca="1">$K$1547-EFEITO!$M$1547*EFEITO!$Z$1547</f>
        <v>0</v>
      </c>
      <c r="O1547" s="64">
        <f>$L$1547-EFEITO!$O$1547*EFEITO!$AA$1547</f>
        <v>0</v>
      </c>
      <c r="P1547" s="19"/>
      <c r="Q1547" s="19"/>
      <c r="R1547" s="19"/>
      <c r="S1547" s="19"/>
      <c r="T1547" s="19"/>
      <c r="U1547" s="19"/>
      <c r="V1547" s="19"/>
      <c r="W1547" s="19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</row>
    <row r="1548" spans="1:36" ht="11.25" customHeight="1" x14ac:dyDescent="0.2">
      <c r="A1548" s="55" t="s">
        <v>28</v>
      </c>
      <c r="B1548" s="55" t="s">
        <v>22</v>
      </c>
      <c r="C1548" s="55" t="s">
        <v>23</v>
      </c>
      <c r="D1548" s="55" t="s">
        <v>24</v>
      </c>
      <c r="E1548" s="55" t="s">
        <v>24</v>
      </c>
      <c r="F1548" s="55" t="s">
        <v>25</v>
      </c>
      <c r="G1548" s="55" t="s">
        <v>25</v>
      </c>
      <c r="H1548" s="55" t="s">
        <v>25</v>
      </c>
      <c r="I1548" s="63">
        <v>44593</v>
      </c>
      <c r="J1548" s="64">
        <f>EFEITO!$J$1548*EFEITO!$Y$1548</f>
        <v>0</v>
      </c>
      <c r="K1548" s="64">
        <f ca="1">EFEITO!$L$1548*EFEITO!$Z$1548</f>
        <v>666.50414599500709</v>
      </c>
      <c r="L1548" s="64">
        <f>EFEITO!$N$1548*EFEITO!$AA$1548</f>
        <v>453.17777009670675</v>
      </c>
      <c r="M1548" s="64">
        <f>$J$1548-EFEITO!$K$1548*EFEITO!$Y$1548</f>
        <v>0</v>
      </c>
      <c r="N1548" s="64">
        <f ca="1">$K$1548-EFEITO!$M$1548*EFEITO!$Z$1548</f>
        <v>0</v>
      </c>
      <c r="O1548" s="64">
        <f>$L$1548-EFEITO!$O$1548*EFEITO!$AA$1548</f>
        <v>0</v>
      </c>
      <c r="P1548" s="19"/>
      <c r="Q1548" s="19"/>
      <c r="R1548" s="19"/>
      <c r="S1548" s="19"/>
      <c r="T1548" s="19"/>
      <c r="U1548" s="19"/>
      <c r="V1548" s="19"/>
      <c r="W1548" s="19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</row>
    <row r="1549" spans="1:36" ht="11.25" customHeight="1" x14ac:dyDescent="0.2">
      <c r="A1549" s="55" t="s">
        <v>21</v>
      </c>
      <c r="B1549" s="55" t="s">
        <v>22</v>
      </c>
      <c r="C1549" s="55" t="s">
        <v>23</v>
      </c>
      <c r="D1549" s="55" t="s">
        <v>24</v>
      </c>
      <c r="E1549" s="55" t="s">
        <v>24</v>
      </c>
      <c r="F1549" s="55" t="s">
        <v>25</v>
      </c>
      <c r="G1549" s="55" t="s">
        <v>25</v>
      </c>
      <c r="H1549" s="55" t="s">
        <v>25</v>
      </c>
      <c r="I1549" s="63">
        <v>44621</v>
      </c>
      <c r="J1549" s="64">
        <f>EFEITO!$J$1549*EFEITO!$Y$1549</f>
        <v>0</v>
      </c>
      <c r="K1549" s="64">
        <f ca="1">EFEITO!$L$1549*EFEITO!$Z$1549</f>
        <v>45092849.732685193</v>
      </c>
      <c r="L1549" s="64">
        <f>EFEITO!$N$1549*EFEITO!$AA$1549</f>
        <v>30660089.981371611</v>
      </c>
      <c r="M1549" s="64">
        <f>$J$1549-EFEITO!$K$1549*EFEITO!$Y$1549</f>
        <v>0</v>
      </c>
      <c r="N1549" s="64">
        <f ca="1">$K$1549-EFEITO!$M$1549*EFEITO!$Z$1549</f>
        <v>0</v>
      </c>
      <c r="O1549" s="64">
        <f>$L$1549-EFEITO!$O$1549*EFEITO!$AA$1549</f>
        <v>0</v>
      </c>
      <c r="P1549" s="19"/>
      <c r="Q1549" s="19"/>
      <c r="R1549" s="19"/>
      <c r="S1549" s="19"/>
      <c r="T1549" s="19"/>
      <c r="U1549" s="19"/>
      <c r="V1549" s="19"/>
      <c r="W1549" s="19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</row>
    <row r="1550" spans="1:36" ht="11.25" customHeight="1" x14ac:dyDescent="0.2">
      <c r="A1550" s="55" t="s">
        <v>27</v>
      </c>
      <c r="B1550" s="55" t="s">
        <v>22</v>
      </c>
      <c r="C1550" s="55" t="s">
        <v>23</v>
      </c>
      <c r="D1550" s="55" t="s">
        <v>24</v>
      </c>
      <c r="E1550" s="55" t="s">
        <v>24</v>
      </c>
      <c r="F1550" s="55" t="s">
        <v>25</v>
      </c>
      <c r="G1550" s="55" t="s">
        <v>25</v>
      </c>
      <c r="H1550" s="55" t="s">
        <v>25</v>
      </c>
      <c r="I1550" s="63">
        <v>44621</v>
      </c>
      <c r="J1550" s="64">
        <f>EFEITO!$J$1550*EFEITO!$Y$1550</f>
        <v>0</v>
      </c>
      <c r="K1550" s="64">
        <f ca="1">EFEITO!$L$1550*EFEITO!$Z$1550</f>
        <v>-139086.11371504047</v>
      </c>
      <c r="L1550" s="64">
        <f>EFEITO!$N$1550*EFEITO!$AA$1550</f>
        <v>-94569.156461438135</v>
      </c>
      <c r="M1550" s="64">
        <f>$J$1550-EFEITO!$K$1550*EFEITO!$Y$1550</f>
        <v>0</v>
      </c>
      <c r="N1550" s="64">
        <f ca="1">$K$1550-EFEITO!$M$1550*EFEITO!$Z$1550</f>
        <v>0</v>
      </c>
      <c r="O1550" s="64">
        <f>$L$1550-EFEITO!$O$1550*EFEITO!$AA$1550</f>
        <v>0</v>
      </c>
      <c r="P1550" s="19"/>
      <c r="Q1550" s="19"/>
      <c r="R1550" s="19"/>
      <c r="S1550" s="19"/>
      <c r="T1550" s="19"/>
      <c r="U1550" s="19"/>
      <c r="V1550" s="19"/>
      <c r="W1550" s="19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</row>
    <row r="1551" spans="1:36" ht="11.25" customHeight="1" x14ac:dyDescent="0.2">
      <c r="A1551" s="55" t="s">
        <v>28</v>
      </c>
      <c r="B1551" s="55" t="s">
        <v>22</v>
      </c>
      <c r="C1551" s="55" t="s">
        <v>23</v>
      </c>
      <c r="D1551" s="55" t="s">
        <v>24</v>
      </c>
      <c r="E1551" s="55" t="s">
        <v>24</v>
      </c>
      <c r="F1551" s="55" t="s">
        <v>25</v>
      </c>
      <c r="G1551" s="55" t="s">
        <v>25</v>
      </c>
      <c r="H1551" s="55" t="s">
        <v>25</v>
      </c>
      <c r="I1551" s="63">
        <v>44621</v>
      </c>
      <c r="J1551" s="64">
        <f>EFEITO!$J$1551*EFEITO!$Y$1551</f>
        <v>0</v>
      </c>
      <c r="K1551" s="64">
        <f ca="1">EFEITO!$L$1551*EFEITO!$Z$1551</f>
        <v>802608.99985958298</v>
      </c>
      <c r="L1551" s="64">
        <f>EFEITO!$N$1551*EFEITO!$AA$1551</f>
        <v>545719.87136391888</v>
      </c>
      <c r="M1551" s="64">
        <f>$J$1551-EFEITO!$K$1551*EFEITO!$Y$1551</f>
        <v>0</v>
      </c>
      <c r="N1551" s="64">
        <f ca="1">$K$1551-EFEITO!$M$1551*EFEITO!$Z$1551</f>
        <v>0</v>
      </c>
      <c r="O1551" s="64">
        <f>$L$1551-EFEITO!$O$1551*EFEITO!$AA$1551</f>
        <v>0</v>
      </c>
      <c r="P1551" s="19"/>
      <c r="Q1551" s="19"/>
      <c r="R1551" s="19"/>
      <c r="S1551" s="19"/>
      <c r="T1551" s="19"/>
      <c r="U1551" s="19"/>
      <c r="V1551" s="19"/>
      <c r="W1551" s="19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</row>
    <row r="1552" spans="1:36" ht="11.25" customHeight="1" x14ac:dyDescent="0.2">
      <c r="A1552" s="55" t="s">
        <v>28</v>
      </c>
      <c r="B1552" s="55" t="s">
        <v>22</v>
      </c>
      <c r="C1552" s="55" t="s">
        <v>23</v>
      </c>
      <c r="D1552" s="55" t="s">
        <v>24</v>
      </c>
      <c r="E1552" s="55" t="s">
        <v>24</v>
      </c>
      <c r="F1552" s="55" t="s">
        <v>25</v>
      </c>
      <c r="G1552" s="55" t="s">
        <v>25</v>
      </c>
      <c r="H1552" s="55" t="s">
        <v>25</v>
      </c>
      <c r="I1552" s="63">
        <v>44621</v>
      </c>
      <c r="J1552" s="64">
        <f>EFEITO!$J$1552*EFEITO!$Y$1552</f>
        <v>0</v>
      </c>
      <c r="K1552" s="64">
        <f ca="1">EFEITO!$L$1552*EFEITO!$Z$1552</f>
        <v>-1193.5737702757028</v>
      </c>
      <c r="L1552" s="64">
        <f>EFEITO!$N$1552*EFEITO!$AA$1552</f>
        <v>-811.54948984145403</v>
      </c>
      <c r="M1552" s="64">
        <f>$J$1552-EFEITO!$K$1552*EFEITO!$Y$1552</f>
        <v>0</v>
      </c>
      <c r="N1552" s="64">
        <f ca="1">$K$1552-EFEITO!$M$1552*EFEITO!$Z$1552</f>
        <v>0</v>
      </c>
      <c r="O1552" s="64">
        <f>$L$1552-EFEITO!$O$1552*EFEITO!$AA$1552</f>
        <v>0</v>
      </c>
      <c r="P1552" s="19"/>
      <c r="Q1552" s="19"/>
      <c r="R1552" s="19"/>
      <c r="S1552" s="19"/>
      <c r="T1552" s="19"/>
      <c r="U1552" s="19"/>
      <c r="V1552" s="19"/>
      <c r="W1552" s="19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</row>
    <row r="1553" spans="1:36" ht="11.25" customHeight="1" x14ac:dyDescent="0.2">
      <c r="A1553" s="55" t="s">
        <v>21</v>
      </c>
      <c r="B1553" s="55" t="s">
        <v>22</v>
      </c>
      <c r="C1553" s="55" t="s">
        <v>23</v>
      </c>
      <c r="D1553" s="55" t="s">
        <v>24</v>
      </c>
      <c r="E1553" s="55" t="s">
        <v>24</v>
      </c>
      <c r="F1553" s="55" t="s">
        <v>25</v>
      </c>
      <c r="G1553" s="55" t="s">
        <v>25</v>
      </c>
      <c r="H1553" s="55" t="s">
        <v>25</v>
      </c>
      <c r="I1553" s="63">
        <v>44652</v>
      </c>
      <c r="J1553" s="64">
        <f>EFEITO!$J$1553*EFEITO!$Y$1553</f>
        <v>0</v>
      </c>
      <c r="K1553" s="64">
        <f ca="1">EFEITO!$L$1553*EFEITO!$Z$1553</f>
        <v>41681523.53523948</v>
      </c>
      <c r="L1553" s="64">
        <f>EFEITO!$N$1553*EFEITO!$AA$1553</f>
        <v>28340618.739489026</v>
      </c>
      <c r="M1553" s="64">
        <f>$J$1553-EFEITO!$K$1553*EFEITO!$Y$1553</f>
        <v>0</v>
      </c>
      <c r="N1553" s="64">
        <f ca="1">$K$1553-EFEITO!$M$1553*EFEITO!$Z$1553</f>
        <v>0</v>
      </c>
      <c r="O1553" s="64">
        <f>$L$1553-EFEITO!$O$1553*EFEITO!$AA$1553</f>
        <v>0</v>
      </c>
      <c r="P1553" s="19"/>
      <c r="Q1553" s="19"/>
      <c r="R1553" s="19"/>
      <c r="S1553" s="19"/>
      <c r="T1553" s="19"/>
      <c r="U1553" s="19"/>
      <c r="V1553" s="19"/>
      <c r="W1553" s="19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</row>
    <row r="1554" spans="1:36" ht="11.25" customHeight="1" x14ac:dyDescent="0.2">
      <c r="A1554" s="55" t="s">
        <v>27</v>
      </c>
      <c r="B1554" s="55" t="s">
        <v>22</v>
      </c>
      <c r="C1554" s="55" t="s">
        <v>23</v>
      </c>
      <c r="D1554" s="55" t="s">
        <v>24</v>
      </c>
      <c r="E1554" s="55" t="s">
        <v>24</v>
      </c>
      <c r="F1554" s="55" t="s">
        <v>25</v>
      </c>
      <c r="G1554" s="55" t="s">
        <v>25</v>
      </c>
      <c r="H1554" s="55" t="s">
        <v>25</v>
      </c>
      <c r="I1554" s="63">
        <v>44652</v>
      </c>
      <c r="J1554" s="64">
        <f>EFEITO!$J$1554*EFEITO!$Y$1554</f>
        <v>0</v>
      </c>
      <c r="K1554" s="64">
        <f ca="1">EFEITO!$L$1554*EFEITO!$Z$1554</f>
        <v>-100696.33076979996</v>
      </c>
      <c r="L1554" s="64">
        <f>EFEITO!$N$1554*EFEITO!$AA$1554</f>
        <v>-68466.698833588642</v>
      </c>
      <c r="M1554" s="64">
        <f>$J$1554-EFEITO!$K$1554*EFEITO!$Y$1554</f>
        <v>0</v>
      </c>
      <c r="N1554" s="64">
        <f ca="1">$K$1554-EFEITO!$M$1554*EFEITO!$Z$1554</f>
        <v>0</v>
      </c>
      <c r="O1554" s="64">
        <f>$L$1554-EFEITO!$O$1554*EFEITO!$AA$1554</f>
        <v>0</v>
      </c>
      <c r="P1554" s="19"/>
      <c r="Q1554" s="19"/>
      <c r="R1554" s="19"/>
      <c r="S1554" s="19"/>
      <c r="T1554" s="19"/>
      <c r="U1554" s="19"/>
      <c r="V1554" s="19"/>
      <c r="W1554" s="19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</row>
    <row r="1555" spans="1:36" ht="11.25" customHeight="1" x14ac:dyDescent="0.2">
      <c r="A1555" s="55" t="s">
        <v>28</v>
      </c>
      <c r="B1555" s="55" t="s">
        <v>22</v>
      </c>
      <c r="C1555" s="55" t="s">
        <v>23</v>
      </c>
      <c r="D1555" s="55" t="s">
        <v>24</v>
      </c>
      <c r="E1555" s="55" t="s">
        <v>24</v>
      </c>
      <c r="F1555" s="55" t="s">
        <v>25</v>
      </c>
      <c r="G1555" s="55" t="s">
        <v>25</v>
      </c>
      <c r="H1555" s="55" t="s">
        <v>25</v>
      </c>
      <c r="I1555" s="63">
        <v>44652</v>
      </c>
      <c r="J1555" s="64">
        <f>EFEITO!$J$1555*EFEITO!$Y$1555</f>
        <v>0</v>
      </c>
      <c r="K1555" s="64">
        <f ca="1">EFEITO!$L$1555*EFEITO!$Z$1555</f>
        <v>771000.15663402947</v>
      </c>
      <c r="L1555" s="64">
        <f>EFEITO!$N$1555*EFEITO!$AA$1555</f>
        <v>524227.99442006549</v>
      </c>
      <c r="M1555" s="64">
        <f>$J$1555-EFEITO!$K$1555*EFEITO!$Y$1555</f>
        <v>0</v>
      </c>
      <c r="N1555" s="64">
        <f ca="1">$K$1555-EFEITO!$M$1555*EFEITO!$Z$1555</f>
        <v>0</v>
      </c>
      <c r="O1555" s="64">
        <f>$L$1555-EFEITO!$O$1555*EFEITO!$AA$1555</f>
        <v>0</v>
      </c>
      <c r="P1555" s="19"/>
      <c r="Q1555" s="19"/>
      <c r="R1555" s="19"/>
      <c r="S1555" s="19"/>
      <c r="T1555" s="19"/>
      <c r="U1555" s="19"/>
      <c r="V1555" s="19"/>
      <c r="W1555" s="19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</row>
    <row r="1556" spans="1:36" ht="11.25" customHeight="1" x14ac:dyDescent="0.2">
      <c r="A1556" s="55" t="s">
        <v>28</v>
      </c>
      <c r="B1556" s="55" t="s">
        <v>22</v>
      </c>
      <c r="C1556" s="55" t="s">
        <v>23</v>
      </c>
      <c r="D1556" s="55" t="s">
        <v>24</v>
      </c>
      <c r="E1556" s="55" t="s">
        <v>24</v>
      </c>
      <c r="F1556" s="55" t="s">
        <v>25</v>
      </c>
      <c r="G1556" s="55" t="s">
        <v>25</v>
      </c>
      <c r="H1556" s="55" t="s">
        <v>25</v>
      </c>
      <c r="I1556" s="63">
        <v>44652</v>
      </c>
      <c r="J1556" s="64">
        <f>EFEITO!$J$1556*EFEITO!$Y$1556</f>
        <v>0</v>
      </c>
      <c r="K1556" s="64">
        <f ca="1">EFEITO!$L$1556*EFEITO!$Z$1556</f>
        <v>-2515.5271513369607</v>
      </c>
      <c r="L1556" s="64">
        <f>EFEITO!$N$1556*EFEITO!$AA$1556</f>
        <v>-1710.3884378074742</v>
      </c>
      <c r="M1556" s="64">
        <f>$J$1556-EFEITO!$K$1556*EFEITO!$Y$1556</f>
        <v>0</v>
      </c>
      <c r="N1556" s="64">
        <f ca="1">$K$1556-EFEITO!$M$1556*EFEITO!$Z$1556</f>
        <v>0</v>
      </c>
      <c r="O1556" s="64">
        <f>$L$1556-EFEITO!$O$1556*EFEITO!$AA$1556</f>
        <v>0</v>
      </c>
      <c r="P1556" s="19"/>
      <c r="Q1556" s="19"/>
      <c r="R1556" s="19"/>
      <c r="S1556" s="19"/>
      <c r="T1556" s="19"/>
      <c r="U1556" s="19"/>
      <c r="V1556" s="19"/>
      <c r="W1556" s="19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</row>
    <row r="1557" spans="1:36" ht="11.25" customHeight="1" x14ac:dyDescent="0.2">
      <c r="A1557" s="55" t="s">
        <v>21</v>
      </c>
      <c r="B1557" s="55" t="s">
        <v>22</v>
      </c>
      <c r="C1557" s="55" t="s">
        <v>23</v>
      </c>
      <c r="D1557" s="55" t="s">
        <v>24</v>
      </c>
      <c r="E1557" s="55" t="s">
        <v>24</v>
      </c>
      <c r="F1557" s="55" t="s">
        <v>25</v>
      </c>
      <c r="G1557" s="55" t="s">
        <v>25</v>
      </c>
      <c r="H1557" s="55" t="s">
        <v>25</v>
      </c>
      <c r="I1557" s="63">
        <v>44682</v>
      </c>
      <c r="J1557" s="64">
        <f>EFEITO!$J$1557*EFEITO!$Y$1557</f>
        <v>0</v>
      </c>
      <c r="K1557" s="64">
        <f ca="1">EFEITO!$L$1557*EFEITO!$Z$1557</f>
        <v>42097720.604935437</v>
      </c>
      <c r="L1557" s="64">
        <f>EFEITO!$N$1557*EFEITO!$AA$1557</f>
        <v>28623604.61601951</v>
      </c>
      <c r="M1557" s="64">
        <f>$J$1557-EFEITO!$K$1557*EFEITO!$Y$1557</f>
        <v>0</v>
      </c>
      <c r="N1557" s="64">
        <f ca="1">$K$1557-EFEITO!$M$1557*EFEITO!$Z$1557</f>
        <v>0</v>
      </c>
      <c r="O1557" s="64">
        <f>$L$1557-EFEITO!$O$1557*EFEITO!$AA$1557</f>
        <v>0</v>
      </c>
      <c r="P1557" s="19"/>
      <c r="Q1557" s="19"/>
      <c r="R1557" s="19"/>
      <c r="S1557" s="19"/>
      <c r="T1557" s="19"/>
      <c r="U1557" s="19"/>
      <c r="V1557" s="19"/>
      <c r="W1557" s="19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</row>
    <row r="1558" spans="1:36" ht="11.25" customHeight="1" x14ac:dyDescent="0.2">
      <c r="A1558" s="55" t="s">
        <v>27</v>
      </c>
      <c r="B1558" s="55" t="s">
        <v>22</v>
      </c>
      <c r="C1558" s="55" t="s">
        <v>23</v>
      </c>
      <c r="D1558" s="55" t="s">
        <v>24</v>
      </c>
      <c r="E1558" s="55" t="s">
        <v>24</v>
      </c>
      <c r="F1558" s="55" t="s">
        <v>25</v>
      </c>
      <c r="G1558" s="55" t="s">
        <v>25</v>
      </c>
      <c r="H1558" s="55" t="s">
        <v>25</v>
      </c>
      <c r="I1558" s="63">
        <v>44682</v>
      </c>
      <c r="J1558" s="64">
        <f>EFEITO!$J$1558*EFEITO!$Y$1558</f>
        <v>0</v>
      </c>
      <c r="K1558" s="64">
        <f ca="1">EFEITO!$L$1558*EFEITO!$Z$1558</f>
        <v>-98936.460271947974</v>
      </c>
      <c r="L1558" s="64">
        <f>EFEITO!$N$1558*EFEITO!$AA$1558</f>
        <v>-67270.105845131053</v>
      </c>
      <c r="M1558" s="64">
        <f>$J$1558-EFEITO!$K$1558*EFEITO!$Y$1558</f>
        <v>0</v>
      </c>
      <c r="N1558" s="64">
        <f ca="1">$K$1558-EFEITO!$M$1558*EFEITO!$Z$1558</f>
        <v>0</v>
      </c>
      <c r="O1558" s="64">
        <f>$L$1558-EFEITO!$O$1558*EFEITO!$AA$1558</f>
        <v>0</v>
      </c>
      <c r="P1558" s="19"/>
      <c r="Q1558" s="19"/>
      <c r="R1558" s="19"/>
      <c r="S1558" s="19"/>
      <c r="T1558" s="19"/>
      <c r="U1558" s="19"/>
      <c r="V1558" s="19"/>
      <c r="W1558" s="19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</row>
    <row r="1559" spans="1:36" ht="11.25" customHeight="1" x14ac:dyDescent="0.2">
      <c r="A1559" s="55" t="s">
        <v>28</v>
      </c>
      <c r="B1559" s="55" t="s">
        <v>22</v>
      </c>
      <c r="C1559" s="55" t="s">
        <v>23</v>
      </c>
      <c r="D1559" s="55" t="s">
        <v>24</v>
      </c>
      <c r="E1559" s="55" t="s">
        <v>24</v>
      </c>
      <c r="F1559" s="55" t="s">
        <v>25</v>
      </c>
      <c r="G1559" s="55" t="s">
        <v>25</v>
      </c>
      <c r="H1559" s="55" t="s">
        <v>25</v>
      </c>
      <c r="I1559" s="63">
        <v>44682</v>
      </c>
      <c r="J1559" s="64">
        <f>EFEITO!$J$1559*EFEITO!$Y$1559</f>
        <v>0</v>
      </c>
      <c r="K1559" s="64">
        <f ca="1">EFEITO!$L$1559*EFEITO!$Z$1559</f>
        <v>851674.61727173219</v>
      </c>
      <c r="L1559" s="64">
        <f>EFEITO!$N$1559*EFEITO!$AA$1559</f>
        <v>579081.174846977</v>
      </c>
      <c r="M1559" s="64">
        <f>$J$1559-EFEITO!$K$1559*EFEITO!$Y$1559</f>
        <v>0</v>
      </c>
      <c r="N1559" s="64">
        <f ca="1">$K$1559-EFEITO!$M$1559*EFEITO!$Z$1559</f>
        <v>0</v>
      </c>
      <c r="O1559" s="64">
        <f>$L$1559-EFEITO!$O$1559*EFEITO!$AA$1559</f>
        <v>0</v>
      </c>
      <c r="P1559" s="19"/>
      <c r="Q1559" s="19"/>
      <c r="R1559" s="19"/>
      <c r="S1559" s="19"/>
      <c r="T1559" s="19"/>
      <c r="U1559" s="19"/>
      <c r="V1559" s="19"/>
      <c r="W1559" s="19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</row>
    <row r="1560" spans="1:36" ht="11.25" customHeight="1" x14ac:dyDescent="0.2">
      <c r="A1560" s="55" t="s">
        <v>28</v>
      </c>
      <c r="B1560" s="55" t="s">
        <v>22</v>
      </c>
      <c r="C1560" s="55" t="s">
        <v>23</v>
      </c>
      <c r="D1560" s="55" t="s">
        <v>24</v>
      </c>
      <c r="E1560" s="55" t="s">
        <v>24</v>
      </c>
      <c r="F1560" s="55" t="s">
        <v>25</v>
      </c>
      <c r="G1560" s="55" t="s">
        <v>25</v>
      </c>
      <c r="H1560" s="55" t="s">
        <v>25</v>
      </c>
      <c r="I1560" s="63">
        <v>44682</v>
      </c>
      <c r="J1560" s="64">
        <f>EFEITO!$J$1560*EFEITO!$Y$1560</f>
        <v>0</v>
      </c>
      <c r="K1560" s="64">
        <f ca="1">EFEITO!$L$1560*EFEITO!$Z$1560</f>
        <v>-480.3537103559521</v>
      </c>
      <c r="L1560" s="64">
        <f>EFEITO!$N$1560*EFEITO!$AA$1560</f>
        <v>-326.6080558160856</v>
      </c>
      <c r="M1560" s="64">
        <f>$J$1560-EFEITO!$K$1560*EFEITO!$Y$1560</f>
        <v>0</v>
      </c>
      <c r="N1560" s="64">
        <f ca="1">$K$1560-EFEITO!$M$1560*EFEITO!$Z$1560</f>
        <v>0</v>
      </c>
      <c r="O1560" s="64">
        <f>$L$1560-EFEITO!$O$1560*EFEITO!$AA$1560</f>
        <v>0</v>
      </c>
      <c r="P1560" s="19"/>
      <c r="Q1560" s="19"/>
      <c r="R1560" s="19"/>
      <c r="S1560" s="19"/>
      <c r="T1560" s="19"/>
      <c r="U1560" s="19"/>
      <c r="V1560" s="19"/>
      <c r="W1560" s="19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</row>
    <row r="1561" spans="1:36" ht="11.25" customHeight="1" x14ac:dyDescent="0.2">
      <c r="A1561" s="55" t="s">
        <v>21</v>
      </c>
      <c r="B1561" s="55" t="s">
        <v>22</v>
      </c>
      <c r="C1561" s="55" t="s">
        <v>23</v>
      </c>
      <c r="D1561" s="55" t="s">
        <v>24</v>
      </c>
      <c r="E1561" s="55" t="s">
        <v>24</v>
      </c>
      <c r="F1561" s="55" t="s">
        <v>25</v>
      </c>
      <c r="G1561" s="55" t="s">
        <v>25</v>
      </c>
      <c r="H1561" s="55" t="s">
        <v>25</v>
      </c>
      <c r="I1561" s="63">
        <v>44713</v>
      </c>
      <c r="J1561" s="64">
        <f>EFEITO!$J$1561*EFEITO!$Y$1561</f>
        <v>0</v>
      </c>
      <c r="K1561" s="64">
        <f ca="1">EFEITO!$L$1561*EFEITO!$Z$1561</f>
        <v>36530380.448366538</v>
      </c>
      <c r="L1561" s="64">
        <f>EFEITO!$N$1561*EFEITO!$AA$1561</f>
        <v>24838189.607449342</v>
      </c>
      <c r="M1561" s="64">
        <f>$J$1561-EFEITO!$K$1561*EFEITO!$Y$1561</f>
        <v>0</v>
      </c>
      <c r="N1561" s="64">
        <f ca="1">$K$1561-EFEITO!$M$1561*EFEITO!$Z$1561</f>
        <v>0</v>
      </c>
      <c r="O1561" s="64">
        <f>$L$1561-EFEITO!$O$1561*EFEITO!$AA$1561</f>
        <v>0</v>
      </c>
      <c r="P1561" s="19"/>
      <c r="Q1561" s="19"/>
      <c r="R1561" s="19"/>
      <c r="S1561" s="19"/>
      <c r="T1561" s="19"/>
      <c r="U1561" s="19"/>
      <c r="V1561" s="19"/>
      <c r="W1561" s="19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</row>
    <row r="1562" spans="1:36" ht="11.25" customHeight="1" x14ac:dyDescent="0.2">
      <c r="A1562" s="55" t="s">
        <v>27</v>
      </c>
      <c r="B1562" s="55" t="s">
        <v>22</v>
      </c>
      <c r="C1562" s="55" t="s">
        <v>23</v>
      </c>
      <c r="D1562" s="55" t="s">
        <v>24</v>
      </c>
      <c r="E1562" s="55" t="s">
        <v>24</v>
      </c>
      <c r="F1562" s="55" t="s">
        <v>25</v>
      </c>
      <c r="G1562" s="55" t="s">
        <v>25</v>
      </c>
      <c r="H1562" s="55" t="s">
        <v>25</v>
      </c>
      <c r="I1562" s="63">
        <v>44713</v>
      </c>
      <c r="J1562" s="64">
        <f>EFEITO!$J$1562*EFEITO!$Y$1562</f>
        <v>0</v>
      </c>
      <c r="K1562" s="64">
        <f ca="1">EFEITO!$L$1562*EFEITO!$Z$1562</f>
        <v>-83325.499600424475</v>
      </c>
      <c r="L1562" s="64">
        <f>EFEITO!$N$1562*EFEITO!$AA$1562</f>
        <v>-56655.707737183788</v>
      </c>
      <c r="M1562" s="64">
        <f>$J$1562-EFEITO!$K$1562*EFEITO!$Y$1562</f>
        <v>0</v>
      </c>
      <c r="N1562" s="64">
        <f ca="1">$K$1562-EFEITO!$M$1562*EFEITO!$Z$1562</f>
        <v>0</v>
      </c>
      <c r="O1562" s="64">
        <f>$L$1562-EFEITO!$O$1562*EFEITO!$AA$1562</f>
        <v>0</v>
      </c>
      <c r="P1562" s="19"/>
      <c r="Q1562" s="19"/>
      <c r="R1562" s="19"/>
      <c r="S1562" s="19"/>
      <c r="T1562" s="19"/>
      <c r="U1562" s="19"/>
      <c r="V1562" s="19"/>
      <c r="W1562" s="19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</row>
    <row r="1563" spans="1:36" ht="11.25" customHeight="1" x14ac:dyDescent="0.2">
      <c r="A1563" s="55" t="s">
        <v>28</v>
      </c>
      <c r="B1563" s="55" t="s">
        <v>22</v>
      </c>
      <c r="C1563" s="55" t="s">
        <v>23</v>
      </c>
      <c r="D1563" s="55" t="s">
        <v>24</v>
      </c>
      <c r="E1563" s="55" t="s">
        <v>24</v>
      </c>
      <c r="F1563" s="55" t="s">
        <v>25</v>
      </c>
      <c r="G1563" s="55" t="s">
        <v>25</v>
      </c>
      <c r="H1563" s="55" t="s">
        <v>25</v>
      </c>
      <c r="I1563" s="63">
        <v>44713</v>
      </c>
      <c r="J1563" s="64">
        <f>EFEITO!$J$1563*EFEITO!$Y$1563</f>
        <v>0</v>
      </c>
      <c r="K1563" s="64">
        <f ca="1">EFEITO!$L$1563*EFEITO!$Z$1563</f>
        <v>828240.34576294897</v>
      </c>
      <c r="L1563" s="64">
        <f>EFEITO!$N$1563*EFEITO!$AA$1563</f>
        <v>563147.45414920547</v>
      </c>
      <c r="M1563" s="64">
        <f>$J$1563-EFEITO!$K$1563*EFEITO!$Y$1563</f>
        <v>0</v>
      </c>
      <c r="N1563" s="64">
        <f ca="1">$K$1563-EFEITO!$M$1563*EFEITO!$Z$1563</f>
        <v>0</v>
      </c>
      <c r="O1563" s="64">
        <f>$L$1563-EFEITO!$O$1563*EFEITO!$AA$1563</f>
        <v>0</v>
      </c>
      <c r="P1563" s="19"/>
      <c r="Q1563" s="19"/>
      <c r="R1563" s="19"/>
      <c r="S1563" s="19"/>
      <c r="T1563" s="19"/>
      <c r="U1563" s="19"/>
      <c r="V1563" s="19"/>
      <c r="W1563" s="19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</row>
    <row r="1564" spans="1:36" ht="11.25" customHeight="1" x14ac:dyDescent="0.2">
      <c r="A1564" s="55" t="s">
        <v>28</v>
      </c>
      <c r="B1564" s="55" t="s">
        <v>22</v>
      </c>
      <c r="C1564" s="55" t="s">
        <v>23</v>
      </c>
      <c r="D1564" s="55" t="s">
        <v>24</v>
      </c>
      <c r="E1564" s="55" t="s">
        <v>24</v>
      </c>
      <c r="F1564" s="55" t="s">
        <v>25</v>
      </c>
      <c r="G1564" s="55" t="s">
        <v>25</v>
      </c>
      <c r="H1564" s="55" t="s">
        <v>25</v>
      </c>
      <c r="I1564" s="63">
        <v>44713</v>
      </c>
      <c r="J1564" s="64">
        <f>EFEITO!$J$1564*EFEITO!$Y$1564</f>
        <v>0</v>
      </c>
      <c r="K1564" s="64">
        <f ca="1">EFEITO!$L$1564*EFEITO!$Z$1564</f>
        <v>-1234.5839237210885</v>
      </c>
      <c r="L1564" s="64">
        <f>EFEITO!$N$1564*EFEITO!$AA$1564</f>
        <v>-839.43362229791273</v>
      </c>
      <c r="M1564" s="64">
        <f>$J$1564-EFEITO!$K$1564*EFEITO!$Y$1564</f>
        <v>0</v>
      </c>
      <c r="N1564" s="64">
        <f ca="1">$K$1564-EFEITO!$M$1564*EFEITO!$Z$1564</f>
        <v>0</v>
      </c>
      <c r="O1564" s="64">
        <f>$L$1564-EFEITO!$O$1564*EFEITO!$AA$1564</f>
        <v>0</v>
      </c>
      <c r="P1564" s="19"/>
      <c r="Q1564" s="19"/>
      <c r="R1564" s="19"/>
      <c r="S1564" s="19"/>
      <c r="T1564" s="19"/>
      <c r="U1564" s="19"/>
      <c r="V1564" s="19"/>
      <c r="W1564" s="19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</row>
    <row r="1565" spans="1:36" ht="11.25" customHeight="1" x14ac:dyDescent="0.2">
      <c r="A1565" s="55" t="s">
        <v>57</v>
      </c>
      <c r="B1565" s="55" t="s">
        <v>22</v>
      </c>
      <c r="C1565" s="55" t="s">
        <v>23</v>
      </c>
      <c r="D1565" s="55" t="s">
        <v>24</v>
      </c>
      <c r="E1565" s="55" t="s">
        <v>24</v>
      </c>
      <c r="F1565" s="55" t="s">
        <v>25</v>
      </c>
      <c r="G1565" s="55" t="s">
        <v>25</v>
      </c>
      <c r="H1565" s="55" t="s">
        <v>25</v>
      </c>
      <c r="I1565" s="63">
        <v>44743</v>
      </c>
      <c r="J1565" s="64">
        <f>EFEITO!$J$1565*EFEITO!$Y$1565</f>
        <v>0</v>
      </c>
      <c r="K1565" s="64">
        <f ca="1">EFEITO!$L$1565*EFEITO!$Z$1565</f>
        <v>36530380.448366538</v>
      </c>
      <c r="L1565" s="64">
        <f>EFEITO!$N$1565*EFEITO!$AA$1565</f>
        <v>24838189.607449342</v>
      </c>
      <c r="M1565" s="64">
        <f>$J$1565-EFEITO!$K$1565*EFEITO!$Y$1565</f>
        <v>0</v>
      </c>
      <c r="N1565" s="64">
        <f ca="1">$K$1565-EFEITO!$M$1565*EFEITO!$Z$1565</f>
        <v>0</v>
      </c>
      <c r="O1565" s="64">
        <f>$L$1565-EFEITO!$O$1565*EFEITO!$AA$1565</f>
        <v>0</v>
      </c>
      <c r="P1565" s="19"/>
      <c r="Q1565" s="19"/>
      <c r="R1565" s="19"/>
      <c r="S1565" s="19"/>
      <c r="T1565" s="19"/>
      <c r="U1565" s="19"/>
      <c r="V1565" s="19"/>
      <c r="W1565" s="19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</row>
    <row r="1566" spans="1:36" ht="11.25" customHeight="1" x14ac:dyDescent="0.2">
      <c r="A1566" s="55" t="s">
        <v>57</v>
      </c>
      <c r="B1566" s="55" t="s">
        <v>22</v>
      </c>
      <c r="C1566" s="55" t="s">
        <v>23</v>
      </c>
      <c r="D1566" s="55" t="s">
        <v>24</v>
      </c>
      <c r="E1566" s="55" t="s">
        <v>24</v>
      </c>
      <c r="F1566" s="55" t="s">
        <v>25</v>
      </c>
      <c r="G1566" s="55" t="s">
        <v>25</v>
      </c>
      <c r="H1566" s="55" t="s">
        <v>25</v>
      </c>
      <c r="I1566" s="63">
        <v>44743</v>
      </c>
      <c r="J1566" s="64">
        <f>EFEITO!$J$1566*EFEITO!$Y$1566</f>
        <v>0</v>
      </c>
      <c r="K1566" s="64">
        <f ca="1">EFEITO!$L$1566*EFEITO!$Z$1566</f>
        <v>-83325.499600424475</v>
      </c>
      <c r="L1566" s="64">
        <f>EFEITO!$N$1566*EFEITO!$AA$1566</f>
        <v>-56655.707737183788</v>
      </c>
      <c r="M1566" s="64">
        <f>$J$1566-EFEITO!$K$1566*EFEITO!$Y$1566</f>
        <v>0</v>
      </c>
      <c r="N1566" s="64">
        <f ca="1">$K$1566-EFEITO!$M$1566*EFEITO!$Z$1566</f>
        <v>0</v>
      </c>
      <c r="O1566" s="64">
        <f>$L$1566-EFEITO!$O$1566*EFEITO!$AA$1566</f>
        <v>0</v>
      </c>
      <c r="P1566" s="19"/>
      <c r="Q1566" s="19"/>
      <c r="R1566" s="19"/>
      <c r="S1566" s="19"/>
      <c r="T1566" s="19"/>
      <c r="U1566" s="19"/>
      <c r="V1566" s="19"/>
      <c r="W1566" s="19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</row>
    <row r="1567" spans="1:36" ht="11.25" customHeight="1" x14ac:dyDescent="0.2">
      <c r="A1567" s="55" t="s">
        <v>57</v>
      </c>
      <c r="B1567" s="55" t="s">
        <v>22</v>
      </c>
      <c r="C1567" s="55" t="s">
        <v>23</v>
      </c>
      <c r="D1567" s="55" t="s">
        <v>24</v>
      </c>
      <c r="E1567" s="55" t="s">
        <v>24</v>
      </c>
      <c r="F1567" s="55" t="s">
        <v>25</v>
      </c>
      <c r="G1567" s="55" t="s">
        <v>25</v>
      </c>
      <c r="H1567" s="55" t="s">
        <v>25</v>
      </c>
      <c r="I1567" s="63">
        <v>44743</v>
      </c>
      <c r="J1567" s="64">
        <f>EFEITO!$J$1567*EFEITO!$Y$1567</f>
        <v>0</v>
      </c>
      <c r="K1567" s="64">
        <f ca="1">EFEITO!$L$1567*EFEITO!$Z$1567</f>
        <v>828240.34576294897</v>
      </c>
      <c r="L1567" s="64">
        <f>EFEITO!$N$1567*EFEITO!$AA$1567</f>
        <v>563147.45414920547</v>
      </c>
      <c r="M1567" s="64">
        <f>$J$1567-EFEITO!$K$1567*EFEITO!$Y$1567</f>
        <v>0</v>
      </c>
      <c r="N1567" s="64">
        <f ca="1">$K$1567-EFEITO!$M$1567*EFEITO!$Z$1567</f>
        <v>0</v>
      </c>
      <c r="O1567" s="64">
        <f>$L$1567-EFEITO!$O$1567*EFEITO!$AA$1567</f>
        <v>0</v>
      </c>
      <c r="P1567" s="19"/>
      <c r="Q1567" s="19"/>
      <c r="R1567" s="19"/>
      <c r="S1567" s="19"/>
      <c r="T1567" s="19"/>
      <c r="U1567" s="19"/>
      <c r="V1567" s="19"/>
      <c r="W1567" s="19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</row>
    <row r="1568" spans="1:36" ht="11.25" customHeight="1" x14ac:dyDescent="0.2">
      <c r="A1568" s="55" t="s">
        <v>57</v>
      </c>
      <c r="B1568" s="55" t="s">
        <v>22</v>
      </c>
      <c r="C1568" s="55" t="s">
        <v>23</v>
      </c>
      <c r="D1568" s="55" t="s">
        <v>24</v>
      </c>
      <c r="E1568" s="55" t="s">
        <v>24</v>
      </c>
      <c r="F1568" s="55" t="s">
        <v>25</v>
      </c>
      <c r="G1568" s="55" t="s">
        <v>25</v>
      </c>
      <c r="H1568" s="55" t="s">
        <v>25</v>
      </c>
      <c r="I1568" s="63">
        <v>44743</v>
      </c>
      <c r="J1568" s="64">
        <f>EFEITO!$J$1568*EFEITO!$Y$1568</f>
        <v>0</v>
      </c>
      <c r="K1568" s="64">
        <f ca="1">EFEITO!$L$1568*EFEITO!$Z$1568</f>
        <v>-1234.5839237210885</v>
      </c>
      <c r="L1568" s="64">
        <f>EFEITO!$N$1568*EFEITO!$AA$1568</f>
        <v>-839.43362229791273</v>
      </c>
      <c r="M1568" s="64">
        <f>$J$1568-EFEITO!$K$1568*EFEITO!$Y$1568</f>
        <v>0</v>
      </c>
      <c r="N1568" s="64">
        <f ca="1">$K$1568-EFEITO!$M$1568*EFEITO!$Z$1568</f>
        <v>0</v>
      </c>
      <c r="O1568" s="64">
        <f>$L$1568-EFEITO!$O$1568*EFEITO!$AA$1568</f>
        <v>0</v>
      </c>
      <c r="P1568" s="19"/>
      <c r="Q1568" s="19"/>
      <c r="R1568" s="19"/>
      <c r="S1568" s="19"/>
      <c r="T1568" s="19"/>
      <c r="U1568" s="19"/>
      <c r="V1568" s="19"/>
      <c r="W1568" s="19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</row>
    <row r="1569" spans="1:36" ht="11.25" customHeight="1" x14ac:dyDescent="0.2">
      <c r="A1569" s="55" t="s">
        <v>21</v>
      </c>
      <c r="B1569" s="55" t="s">
        <v>22</v>
      </c>
      <c r="C1569" s="55" t="s">
        <v>23</v>
      </c>
      <c r="D1569" s="55" t="s">
        <v>24</v>
      </c>
      <c r="E1569" s="55" t="s">
        <v>29</v>
      </c>
      <c r="F1569" s="55" t="s">
        <v>25</v>
      </c>
      <c r="G1569" s="55" t="s">
        <v>25</v>
      </c>
      <c r="H1569" s="55" t="s">
        <v>25</v>
      </c>
      <c r="I1569" s="63">
        <v>44409</v>
      </c>
      <c r="J1569" s="64">
        <f>EFEITO!$J$1569*EFEITO!$Y$1521</f>
        <v>0</v>
      </c>
      <c r="K1569" s="64">
        <f ca="1">EFEITO!$L$1569*EFEITO!$Z$1680</f>
        <v>3813067.5243092682</v>
      </c>
      <c r="L1569" s="64">
        <f>EFEITO!$N$1569*EFEITO!$AA$1680</f>
        <v>3163468.1630746732</v>
      </c>
      <c r="M1569" s="64">
        <f>$J$1569-EFEITO!$K$1569*EFEITO!$Y$1569</f>
        <v>0</v>
      </c>
      <c r="N1569" s="64">
        <f ca="1">$K$1569-EFEITO!$M$1569*EFEITO!$Z$1569</f>
        <v>2478493.8908010246</v>
      </c>
      <c r="O1569" s="64">
        <f>$L$1569-EFEITO!$O$1569*EFEITO!$AA$1569</f>
        <v>2056254.3059985377</v>
      </c>
      <c r="P1569" s="19"/>
      <c r="Q1569" s="19"/>
      <c r="R1569" s="19"/>
      <c r="S1569" s="19"/>
      <c r="T1569" s="19"/>
      <c r="U1569" s="19"/>
      <c r="V1569" s="19"/>
      <c r="W1569" s="19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</row>
    <row r="1570" spans="1:36" ht="11.25" customHeight="1" x14ac:dyDescent="0.2">
      <c r="A1570" s="55" t="s">
        <v>27</v>
      </c>
      <c r="B1570" s="55" t="s">
        <v>22</v>
      </c>
      <c r="C1570" s="55" t="s">
        <v>23</v>
      </c>
      <c r="D1570" s="55" t="s">
        <v>24</v>
      </c>
      <c r="E1570" s="55" t="s">
        <v>29</v>
      </c>
      <c r="F1570" s="55" t="s">
        <v>25</v>
      </c>
      <c r="G1570" s="55" t="s">
        <v>25</v>
      </c>
      <c r="H1570" s="55" t="s">
        <v>25</v>
      </c>
      <c r="I1570" s="63">
        <v>44409</v>
      </c>
      <c r="J1570" s="64">
        <f>EFEITO!$J$1570*EFEITO!$Y$1521</f>
        <v>0</v>
      </c>
      <c r="K1570" s="64">
        <f ca="1">EFEITO!$L$1570*EFEITO!$Z$1680</f>
        <v>713.11595132406853</v>
      </c>
      <c r="L1570" s="64">
        <f>EFEITO!$N$1570*EFEITO!$AA$1680</f>
        <v>591.62854951094937</v>
      </c>
      <c r="M1570" s="64">
        <f>$J$1570-EFEITO!$K$1570*EFEITO!$Y$1570</f>
        <v>0</v>
      </c>
      <c r="N1570" s="64">
        <f ca="1">$K$1570-EFEITO!$M$1570*EFEITO!$Z$1570</f>
        <v>463.52536836064456</v>
      </c>
      <c r="O1570" s="64">
        <f>$L$1570-EFEITO!$O$1570*EFEITO!$AA$1570</f>
        <v>384.55855718211706</v>
      </c>
      <c r="P1570" s="19"/>
      <c r="Q1570" s="19"/>
      <c r="R1570" s="19"/>
      <c r="S1570" s="19"/>
      <c r="T1570" s="19"/>
      <c r="U1570" s="19"/>
      <c r="V1570" s="19"/>
      <c r="W1570" s="19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</row>
    <row r="1571" spans="1:36" ht="11.25" customHeight="1" x14ac:dyDescent="0.2">
      <c r="A1571" s="55" t="s">
        <v>28</v>
      </c>
      <c r="B1571" s="55" t="s">
        <v>22</v>
      </c>
      <c r="C1571" s="55" t="s">
        <v>23</v>
      </c>
      <c r="D1571" s="55" t="s">
        <v>24</v>
      </c>
      <c r="E1571" s="55" t="s">
        <v>29</v>
      </c>
      <c r="F1571" s="55" t="s">
        <v>25</v>
      </c>
      <c r="G1571" s="55" t="s">
        <v>25</v>
      </c>
      <c r="H1571" s="55" t="s">
        <v>25</v>
      </c>
      <c r="I1571" s="63">
        <v>44409</v>
      </c>
      <c r="J1571" s="64">
        <f>EFEITO!$J$1571*EFEITO!$Y$1521</f>
        <v>0</v>
      </c>
      <c r="K1571" s="64">
        <f ca="1">EFEITO!$L$1571*EFEITO!$Z$1680</f>
        <v>4576.801556448735</v>
      </c>
      <c r="L1571" s="64">
        <f>EFEITO!$N$1571*EFEITO!$AA$1680</f>
        <v>3797.0914284186347</v>
      </c>
      <c r="M1571" s="64">
        <f>$J$1571-EFEITO!$K$1571*EFEITO!$Y$1571</f>
        <v>0</v>
      </c>
      <c r="N1571" s="64">
        <f ca="1">$K$1571-EFEITO!$M$1571*EFEITO!$Z$1571</f>
        <v>2974.9210116916779</v>
      </c>
      <c r="O1571" s="64">
        <f>$L$1571-EFEITO!$O$1571*EFEITO!$AA$1571</f>
        <v>2468.109428472113</v>
      </c>
      <c r="P1571" s="19"/>
      <c r="Q1571" s="19"/>
      <c r="R1571" s="19"/>
      <c r="S1571" s="19"/>
      <c r="T1571" s="19"/>
      <c r="U1571" s="19"/>
      <c r="V1571" s="19"/>
      <c r="W1571" s="19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</row>
    <row r="1572" spans="1:36" ht="11.25" customHeight="1" x14ac:dyDescent="0.2">
      <c r="A1572" s="55" t="s">
        <v>21</v>
      </c>
      <c r="B1572" s="55" t="s">
        <v>22</v>
      </c>
      <c r="C1572" s="55" t="s">
        <v>23</v>
      </c>
      <c r="D1572" s="55" t="s">
        <v>24</v>
      </c>
      <c r="E1572" s="55" t="s">
        <v>29</v>
      </c>
      <c r="F1572" s="55" t="s">
        <v>25</v>
      </c>
      <c r="G1572" s="55" t="s">
        <v>25</v>
      </c>
      <c r="H1572" s="55" t="s">
        <v>25</v>
      </c>
      <c r="I1572" s="63">
        <v>44440</v>
      </c>
      <c r="J1572" s="64">
        <f>EFEITO!$J$1572*EFEITO!$Y$1521</f>
        <v>0</v>
      </c>
      <c r="K1572" s="64">
        <f ca="1">EFEITO!$L$1572*EFEITO!$Z$1680</f>
        <v>3761594.581134188</v>
      </c>
      <c r="L1572" s="64">
        <f>EFEITO!$N$1572*EFEITO!$AA$1680</f>
        <v>3120764.220394399</v>
      </c>
      <c r="M1572" s="64">
        <f>$J$1572-EFEITO!$K$1572*EFEITO!$Y$1572</f>
        <v>0</v>
      </c>
      <c r="N1572" s="64">
        <f ca="1">$K$1572-EFEITO!$M$1572*EFEITO!$Z$1572</f>
        <v>2445036.4777372223</v>
      </c>
      <c r="O1572" s="64">
        <f>$L$1572-EFEITO!$O$1572*EFEITO!$AA$1572</f>
        <v>2028496.7432563594</v>
      </c>
      <c r="P1572" s="19"/>
      <c r="Q1572" s="19"/>
      <c r="R1572" s="19"/>
      <c r="S1572" s="19"/>
      <c r="T1572" s="19"/>
      <c r="U1572" s="19"/>
      <c r="V1572" s="19"/>
      <c r="W1572" s="19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</row>
    <row r="1573" spans="1:36" ht="11.25" customHeight="1" x14ac:dyDescent="0.2">
      <c r="A1573" s="55" t="s">
        <v>27</v>
      </c>
      <c r="B1573" s="55" t="s">
        <v>22</v>
      </c>
      <c r="C1573" s="55" t="s">
        <v>23</v>
      </c>
      <c r="D1573" s="55" t="s">
        <v>24</v>
      </c>
      <c r="E1573" s="55" t="s">
        <v>29</v>
      </c>
      <c r="F1573" s="55" t="s">
        <v>25</v>
      </c>
      <c r="G1573" s="55" t="s">
        <v>25</v>
      </c>
      <c r="H1573" s="55" t="s">
        <v>25</v>
      </c>
      <c r="I1573" s="63">
        <v>44440</v>
      </c>
      <c r="J1573" s="64">
        <f>EFEITO!$J$1573*EFEITO!$Y$1521</f>
        <v>0</v>
      </c>
      <c r="K1573" s="64">
        <f ca="1">EFEITO!$L$1573*EFEITO!$Z$1680</f>
        <v>1188.9162663878321</v>
      </c>
      <c r="L1573" s="64">
        <f>EFEITO!$N$1573*EFEITO!$AA$1680</f>
        <v>986.37087680759919</v>
      </c>
      <c r="M1573" s="64">
        <f>$J$1573-EFEITO!$K$1573*EFEITO!$Y$1573</f>
        <v>0</v>
      </c>
      <c r="N1573" s="64">
        <f ca="1">$K$1573-EFEITO!$M$1573*EFEITO!$Z$1573</f>
        <v>772.79557315209081</v>
      </c>
      <c r="O1573" s="64">
        <f>$L$1573-EFEITO!$O$1573*EFEITO!$AA$1573</f>
        <v>641.14106992493953</v>
      </c>
      <c r="P1573" s="19"/>
      <c r="Q1573" s="19"/>
      <c r="R1573" s="19"/>
      <c r="S1573" s="19"/>
      <c r="T1573" s="19"/>
      <c r="U1573" s="19"/>
      <c r="V1573" s="19"/>
      <c r="W1573" s="19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</row>
    <row r="1574" spans="1:36" ht="11.25" customHeight="1" x14ac:dyDescent="0.2">
      <c r="A1574" s="55" t="s">
        <v>28</v>
      </c>
      <c r="B1574" s="55" t="s">
        <v>22</v>
      </c>
      <c r="C1574" s="55" t="s">
        <v>23</v>
      </c>
      <c r="D1574" s="55" t="s">
        <v>24</v>
      </c>
      <c r="E1574" s="55" t="s">
        <v>29</v>
      </c>
      <c r="F1574" s="55" t="s">
        <v>25</v>
      </c>
      <c r="G1574" s="55" t="s">
        <v>25</v>
      </c>
      <c r="H1574" s="55" t="s">
        <v>25</v>
      </c>
      <c r="I1574" s="63">
        <v>44440</v>
      </c>
      <c r="J1574" s="64">
        <f>EFEITO!$J$1574*EFEITO!$Y$1521</f>
        <v>0</v>
      </c>
      <c r="K1574" s="64">
        <f ca="1">EFEITO!$L$1574*EFEITO!$Z$1680</f>
        <v>4918.746500321341</v>
      </c>
      <c r="L1574" s="64">
        <f>EFEITO!$N$1574*EFEITO!$AA$1680</f>
        <v>4080.7821673234744</v>
      </c>
      <c r="M1574" s="64">
        <f>$J$1574-EFEITO!$K$1574*EFEITO!$Y$1574</f>
        <v>0</v>
      </c>
      <c r="N1574" s="64">
        <f ca="1">$K$1574-EFEITO!$M$1574*EFEITO!$Z$1574</f>
        <v>3197.185225208872</v>
      </c>
      <c r="O1574" s="64">
        <f>$L$1574-EFEITO!$O$1574*EFEITO!$AA$1574</f>
        <v>2652.5084087602581</v>
      </c>
      <c r="P1574" s="19"/>
      <c r="Q1574" s="19"/>
      <c r="R1574" s="19"/>
      <c r="S1574" s="19"/>
      <c r="T1574" s="19"/>
      <c r="U1574" s="19"/>
      <c r="V1574" s="19"/>
      <c r="W1574" s="19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</row>
    <row r="1575" spans="1:36" ht="11.25" customHeight="1" x14ac:dyDescent="0.2">
      <c r="A1575" s="55" t="s">
        <v>21</v>
      </c>
      <c r="B1575" s="55" t="s">
        <v>22</v>
      </c>
      <c r="C1575" s="55" t="s">
        <v>23</v>
      </c>
      <c r="D1575" s="55" t="s">
        <v>24</v>
      </c>
      <c r="E1575" s="55" t="s">
        <v>29</v>
      </c>
      <c r="F1575" s="55" t="s">
        <v>25</v>
      </c>
      <c r="G1575" s="55" t="s">
        <v>25</v>
      </c>
      <c r="H1575" s="55" t="s">
        <v>25</v>
      </c>
      <c r="I1575" s="63">
        <v>44470</v>
      </c>
      <c r="J1575" s="64">
        <f>EFEITO!$J$1575*EFEITO!$Y$1521</f>
        <v>0</v>
      </c>
      <c r="K1575" s="64">
        <f ca="1">EFEITO!$L$1575*EFEITO!$Z$1680</f>
        <v>3807806.8328650743</v>
      </c>
      <c r="L1575" s="64">
        <f>EFEITO!$N$1575*EFEITO!$AA$1680</f>
        <v>3159103.690168445</v>
      </c>
      <c r="M1575" s="64">
        <f>$J$1575-EFEITO!$K$1575*EFEITO!$Y$1575</f>
        <v>0</v>
      </c>
      <c r="N1575" s="64">
        <f ca="1">$K$1575-EFEITO!$M$1575*EFEITO!$Z$1575</f>
        <v>2475074.4413622981</v>
      </c>
      <c r="O1575" s="64">
        <f>$L$1575-EFEITO!$O$1575*EFEITO!$AA$1575</f>
        <v>2053417.3986094894</v>
      </c>
      <c r="P1575" s="19"/>
      <c r="Q1575" s="19"/>
      <c r="R1575" s="19"/>
      <c r="S1575" s="19"/>
      <c r="T1575" s="19"/>
      <c r="U1575" s="19"/>
      <c r="V1575" s="19"/>
      <c r="W1575" s="19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</row>
    <row r="1576" spans="1:36" ht="11.25" customHeight="1" x14ac:dyDescent="0.2">
      <c r="A1576" s="55" t="s">
        <v>27</v>
      </c>
      <c r="B1576" s="55" t="s">
        <v>22</v>
      </c>
      <c r="C1576" s="55" t="s">
        <v>23</v>
      </c>
      <c r="D1576" s="55" t="s">
        <v>24</v>
      </c>
      <c r="E1576" s="55" t="s">
        <v>29</v>
      </c>
      <c r="F1576" s="55" t="s">
        <v>25</v>
      </c>
      <c r="G1576" s="55" t="s">
        <v>25</v>
      </c>
      <c r="H1576" s="55" t="s">
        <v>25</v>
      </c>
      <c r="I1576" s="63">
        <v>44470</v>
      </c>
      <c r="J1576" s="64">
        <f>EFEITO!$J$1576*EFEITO!$Y$1521</f>
        <v>0</v>
      </c>
      <c r="K1576" s="64">
        <f ca="1">EFEITO!$L$1576*EFEITO!$Z$1680</f>
        <v>1238.8928351076747</v>
      </c>
      <c r="L1576" s="64">
        <f>EFEITO!$N$1576*EFEITO!$AA$1680</f>
        <v>1027.8333694167682</v>
      </c>
      <c r="M1576" s="64">
        <f>$J$1576-EFEITO!$K$1576*EFEITO!$Y$1576</f>
        <v>0</v>
      </c>
      <c r="N1576" s="64">
        <f ca="1">$K$1576-EFEITO!$M$1576*EFEITO!$Z$1576</f>
        <v>805.28034281998862</v>
      </c>
      <c r="O1576" s="64">
        <f>$L$1576-EFEITO!$O$1576*EFEITO!$AA$1576</f>
        <v>668.09169012089933</v>
      </c>
      <c r="P1576" s="19"/>
      <c r="Q1576" s="19"/>
      <c r="R1576" s="19"/>
      <c r="S1576" s="19"/>
      <c r="T1576" s="19"/>
      <c r="U1576" s="19"/>
      <c r="V1576" s="19"/>
      <c r="W1576" s="19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</row>
    <row r="1577" spans="1:36" ht="11.25" customHeight="1" x14ac:dyDescent="0.2">
      <c r="A1577" s="55" t="s">
        <v>28</v>
      </c>
      <c r="B1577" s="55" t="s">
        <v>22</v>
      </c>
      <c r="C1577" s="55" t="s">
        <v>23</v>
      </c>
      <c r="D1577" s="55" t="s">
        <v>24</v>
      </c>
      <c r="E1577" s="55" t="s">
        <v>29</v>
      </c>
      <c r="F1577" s="55" t="s">
        <v>25</v>
      </c>
      <c r="G1577" s="55" t="s">
        <v>25</v>
      </c>
      <c r="H1577" s="55" t="s">
        <v>25</v>
      </c>
      <c r="I1577" s="63">
        <v>44470</v>
      </c>
      <c r="J1577" s="64">
        <f>EFEITO!$J$1577*EFEITO!$Y$1521</f>
        <v>0</v>
      </c>
      <c r="K1577" s="64">
        <f ca="1">EFEITO!$L$1577*EFEITO!$Z$1680</f>
        <v>5567.565111771929</v>
      </c>
      <c r="L1577" s="64">
        <f>EFEITO!$N$1577*EFEITO!$AA$1680</f>
        <v>4619.0671590916336</v>
      </c>
      <c r="M1577" s="64">
        <f>$J$1577-EFEITO!$K$1577*EFEITO!$Y$1577</f>
        <v>0</v>
      </c>
      <c r="N1577" s="64">
        <f ca="1">$K$1577-EFEITO!$M$1577*EFEITO!$Z$1577</f>
        <v>3618.9173226517541</v>
      </c>
      <c r="O1577" s="64">
        <f>$L$1577-EFEITO!$O$1577*EFEITO!$AA$1577</f>
        <v>3002.3936534095619</v>
      </c>
      <c r="P1577" s="19"/>
      <c r="Q1577" s="19"/>
      <c r="R1577" s="19"/>
      <c r="S1577" s="19"/>
      <c r="T1577" s="19"/>
      <c r="U1577" s="19"/>
      <c r="V1577" s="19"/>
      <c r="W1577" s="19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</row>
    <row r="1578" spans="1:36" ht="11.25" customHeight="1" x14ac:dyDescent="0.2">
      <c r="A1578" s="55" t="s">
        <v>21</v>
      </c>
      <c r="B1578" s="55" t="s">
        <v>22</v>
      </c>
      <c r="C1578" s="55" t="s">
        <v>23</v>
      </c>
      <c r="D1578" s="55" t="s">
        <v>24</v>
      </c>
      <c r="E1578" s="55" t="s">
        <v>29</v>
      </c>
      <c r="F1578" s="55" t="s">
        <v>25</v>
      </c>
      <c r="G1578" s="55" t="s">
        <v>25</v>
      </c>
      <c r="H1578" s="55" t="s">
        <v>25</v>
      </c>
      <c r="I1578" s="63">
        <v>44501</v>
      </c>
      <c r="J1578" s="64">
        <f>EFEITO!$J$1578*EFEITO!$Y$1521</f>
        <v>0</v>
      </c>
      <c r="K1578" s="64">
        <f ca="1">EFEITO!$L$1578*EFEITO!$Z$1680</f>
        <v>3854625.5254152212</v>
      </c>
      <c r="L1578" s="64">
        <f>EFEITO!$N$1578*EFEITO!$AA$1680</f>
        <v>3197946.2866802919</v>
      </c>
      <c r="M1578" s="64">
        <f>$J$1578-EFEITO!$K$1578*EFEITO!$Y$1578</f>
        <v>0</v>
      </c>
      <c r="N1578" s="64">
        <f ca="1">$K$1578-EFEITO!$M$1578*EFEITO!$Z$1578</f>
        <v>2505506.5915198941</v>
      </c>
      <c r="O1578" s="64">
        <f>$L$1578-EFEITO!$O$1578*EFEITO!$AA$1578</f>
        <v>2078665.0863421899</v>
      </c>
      <c r="P1578" s="19"/>
      <c r="Q1578" s="19"/>
      <c r="R1578" s="19"/>
      <c r="S1578" s="19"/>
      <c r="T1578" s="19"/>
      <c r="U1578" s="19"/>
      <c r="V1578" s="19"/>
      <c r="W1578" s="19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</row>
    <row r="1579" spans="1:36" ht="11.25" customHeight="1" x14ac:dyDescent="0.2">
      <c r="A1579" s="55" t="s">
        <v>27</v>
      </c>
      <c r="B1579" s="55" t="s">
        <v>22</v>
      </c>
      <c r="C1579" s="55" t="s">
        <v>23</v>
      </c>
      <c r="D1579" s="55" t="s">
        <v>24</v>
      </c>
      <c r="E1579" s="55" t="s">
        <v>29</v>
      </c>
      <c r="F1579" s="55" t="s">
        <v>25</v>
      </c>
      <c r="G1579" s="55" t="s">
        <v>25</v>
      </c>
      <c r="H1579" s="55" t="s">
        <v>25</v>
      </c>
      <c r="I1579" s="63">
        <v>44501</v>
      </c>
      <c r="J1579" s="64">
        <f>EFEITO!$J$1579*EFEITO!$Y$1521</f>
        <v>0</v>
      </c>
      <c r="K1579" s="64">
        <f ca="1">EFEITO!$L$1579*EFEITO!$Z$1680</f>
        <v>935.81855579494572</v>
      </c>
      <c r="L1579" s="64">
        <f>EFEITO!$N$1579*EFEITO!$AA$1680</f>
        <v>776.39123587461472</v>
      </c>
      <c r="M1579" s="64">
        <f>$J$1579-EFEITO!$K$1579*EFEITO!$Y$1579</f>
        <v>0</v>
      </c>
      <c r="N1579" s="64">
        <f ca="1">$K$1579-EFEITO!$M$1579*EFEITO!$Z$1579</f>
        <v>608.28206126671478</v>
      </c>
      <c r="O1579" s="64">
        <f>$L$1579-EFEITO!$O$1579*EFEITO!$AA$1579</f>
        <v>504.65430331849956</v>
      </c>
      <c r="P1579" s="19"/>
      <c r="Q1579" s="19"/>
      <c r="R1579" s="19"/>
      <c r="S1579" s="19"/>
      <c r="T1579" s="19"/>
      <c r="U1579" s="19"/>
      <c r="V1579" s="19"/>
      <c r="W1579" s="19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</row>
    <row r="1580" spans="1:36" ht="11.25" customHeight="1" x14ac:dyDescent="0.2">
      <c r="A1580" s="55" t="s">
        <v>28</v>
      </c>
      <c r="B1580" s="55" t="s">
        <v>22</v>
      </c>
      <c r="C1580" s="55" t="s">
        <v>23</v>
      </c>
      <c r="D1580" s="55" t="s">
        <v>24</v>
      </c>
      <c r="E1580" s="55" t="s">
        <v>29</v>
      </c>
      <c r="F1580" s="55" t="s">
        <v>25</v>
      </c>
      <c r="G1580" s="55" t="s">
        <v>25</v>
      </c>
      <c r="H1580" s="55" t="s">
        <v>25</v>
      </c>
      <c r="I1580" s="63">
        <v>44501</v>
      </c>
      <c r="J1580" s="64">
        <f>EFEITO!$J$1580*EFEITO!$Y$1521</f>
        <v>0</v>
      </c>
      <c r="K1580" s="64">
        <f ca="1">EFEITO!$L$1580*EFEITO!$Z$1680</f>
        <v>5795.5284076869993</v>
      </c>
      <c r="L1580" s="64">
        <f>EFEITO!$N$1580*EFEITO!$AA$1680</f>
        <v>4808.1943183615267</v>
      </c>
      <c r="M1580" s="64">
        <f>$J$1580-EFEITO!$K$1580*EFEITO!$Y$1580</f>
        <v>0</v>
      </c>
      <c r="N1580" s="64">
        <f ca="1">$K$1580-EFEITO!$M$1580*EFEITO!$Z$1580</f>
        <v>3767.0934649965498</v>
      </c>
      <c r="O1580" s="64">
        <f>$L$1580-EFEITO!$O$1580*EFEITO!$AA$1580</f>
        <v>3125.3263069349923</v>
      </c>
      <c r="P1580" s="19"/>
      <c r="Q1580" s="19"/>
      <c r="R1580" s="19"/>
      <c r="S1580" s="19"/>
      <c r="T1580" s="19"/>
      <c r="U1580" s="19"/>
      <c r="V1580" s="19"/>
      <c r="W1580" s="19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</row>
    <row r="1581" spans="1:36" ht="11.25" customHeight="1" x14ac:dyDescent="0.2">
      <c r="A1581" s="55" t="s">
        <v>21</v>
      </c>
      <c r="B1581" s="55" t="s">
        <v>22</v>
      </c>
      <c r="C1581" s="55" t="s">
        <v>23</v>
      </c>
      <c r="D1581" s="55" t="s">
        <v>24</v>
      </c>
      <c r="E1581" s="55" t="s">
        <v>29</v>
      </c>
      <c r="F1581" s="55" t="s">
        <v>25</v>
      </c>
      <c r="G1581" s="55" t="s">
        <v>25</v>
      </c>
      <c r="H1581" s="55" t="s">
        <v>25</v>
      </c>
      <c r="I1581" s="63">
        <v>44531</v>
      </c>
      <c r="J1581" s="64">
        <f>EFEITO!$J$1581*EFEITO!$Y$1521</f>
        <v>0</v>
      </c>
      <c r="K1581" s="64">
        <f ca="1">EFEITO!$L$1581*EFEITO!$Z$1680</f>
        <v>3836602.3965274133</v>
      </c>
      <c r="L1581" s="64">
        <f>EFEITO!$N$1581*EFEITO!$AA$1680</f>
        <v>3182993.6025035535</v>
      </c>
      <c r="M1581" s="64">
        <f>$J$1581-EFEITO!$K$1581*EFEITO!$Y$1581</f>
        <v>0</v>
      </c>
      <c r="N1581" s="64">
        <f ca="1">$K$1581-EFEITO!$M$1581*EFEITO!$Z$1581</f>
        <v>2493791.5577428187</v>
      </c>
      <c r="O1581" s="64">
        <f>$L$1581-EFEITO!$O$1581*EFEITO!$AA$1581</f>
        <v>2068945.8416273098</v>
      </c>
      <c r="P1581" s="19"/>
      <c r="Q1581" s="19"/>
      <c r="R1581" s="19"/>
      <c r="S1581" s="19"/>
      <c r="T1581" s="19"/>
      <c r="U1581" s="19"/>
      <c r="V1581" s="19"/>
      <c r="W1581" s="19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</row>
    <row r="1582" spans="1:36" ht="11.25" customHeight="1" x14ac:dyDescent="0.2">
      <c r="A1582" s="55" t="s">
        <v>27</v>
      </c>
      <c r="B1582" s="55" t="s">
        <v>22</v>
      </c>
      <c r="C1582" s="55" t="s">
        <v>23</v>
      </c>
      <c r="D1582" s="55" t="s">
        <v>24</v>
      </c>
      <c r="E1582" s="55" t="s">
        <v>29</v>
      </c>
      <c r="F1582" s="55" t="s">
        <v>25</v>
      </c>
      <c r="G1582" s="55" t="s">
        <v>25</v>
      </c>
      <c r="H1582" s="55" t="s">
        <v>25</v>
      </c>
      <c r="I1582" s="63">
        <v>44531</v>
      </c>
      <c r="J1582" s="64">
        <f>EFEITO!$J$1582*EFEITO!$Y$1521</f>
        <v>0</v>
      </c>
      <c r="K1582" s="64">
        <f ca="1">EFEITO!$L$1582*EFEITO!$Z$1680</f>
        <v>1248.8296967244855</v>
      </c>
      <c r="L1582" s="64">
        <f>EFEITO!$N$1582*EFEITO!$AA$1680</f>
        <v>1036.0773737951995</v>
      </c>
      <c r="M1582" s="64">
        <f>$J$1582-EFEITO!$K$1582*EFEITO!$Y$1582</f>
        <v>0</v>
      </c>
      <c r="N1582" s="64">
        <f ca="1">$K$1582-EFEITO!$M$1582*EFEITO!$Z$1582</f>
        <v>811.73930287091559</v>
      </c>
      <c r="O1582" s="64">
        <f>$L$1582-EFEITO!$O$1582*EFEITO!$AA$1582</f>
        <v>673.45029296687972</v>
      </c>
      <c r="P1582" s="19"/>
      <c r="Q1582" s="19"/>
      <c r="R1582" s="19"/>
      <c r="S1582" s="19"/>
      <c r="T1582" s="19"/>
      <c r="U1582" s="19"/>
      <c r="V1582" s="19"/>
      <c r="W1582" s="19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</row>
    <row r="1583" spans="1:36" ht="11.25" customHeight="1" x14ac:dyDescent="0.2">
      <c r="A1583" s="55" t="s">
        <v>28</v>
      </c>
      <c r="B1583" s="55" t="s">
        <v>22</v>
      </c>
      <c r="C1583" s="55" t="s">
        <v>23</v>
      </c>
      <c r="D1583" s="55" t="s">
        <v>24</v>
      </c>
      <c r="E1583" s="55" t="s">
        <v>29</v>
      </c>
      <c r="F1583" s="55" t="s">
        <v>25</v>
      </c>
      <c r="G1583" s="55" t="s">
        <v>25</v>
      </c>
      <c r="H1583" s="55" t="s">
        <v>25</v>
      </c>
      <c r="I1583" s="63">
        <v>44531</v>
      </c>
      <c r="J1583" s="64">
        <f>EFEITO!$J$1583*EFEITO!$Y$1521</f>
        <v>0</v>
      </c>
      <c r="K1583" s="64">
        <f ca="1">EFEITO!$L$1583*EFEITO!$Z$1680</f>
        <v>6225.1515422961729</v>
      </c>
      <c r="L1583" s="64">
        <f>EFEITO!$N$1583*EFEITO!$AA$1680</f>
        <v>5164.6262723701739</v>
      </c>
      <c r="M1583" s="64">
        <f>$J$1583-EFEITO!$K$1583*EFEITO!$Y$1583</f>
        <v>0</v>
      </c>
      <c r="N1583" s="64">
        <f ca="1">$K$1583-EFEITO!$M$1583*EFEITO!$Z$1583</f>
        <v>4046.3485024925126</v>
      </c>
      <c r="O1583" s="64">
        <f>$L$1583-EFEITO!$O$1583*EFEITO!$AA$1583</f>
        <v>3357.0070770406132</v>
      </c>
      <c r="P1583" s="19"/>
      <c r="Q1583" s="19"/>
      <c r="R1583" s="19"/>
      <c r="S1583" s="19"/>
      <c r="T1583" s="19"/>
      <c r="U1583" s="19"/>
      <c r="V1583" s="19"/>
      <c r="W1583" s="19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</row>
    <row r="1584" spans="1:36" ht="11.25" customHeight="1" x14ac:dyDescent="0.2">
      <c r="A1584" s="55" t="s">
        <v>21</v>
      </c>
      <c r="B1584" s="55" t="s">
        <v>22</v>
      </c>
      <c r="C1584" s="55" t="s">
        <v>23</v>
      </c>
      <c r="D1584" s="55" t="s">
        <v>24</v>
      </c>
      <c r="E1584" s="55" t="s">
        <v>29</v>
      </c>
      <c r="F1584" s="55" t="s">
        <v>25</v>
      </c>
      <c r="G1584" s="55" t="s">
        <v>25</v>
      </c>
      <c r="H1584" s="55" t="s">
        <v>25</v>
      </c>
      <c r="I1584" s="63">
        <v>44562</v>
      </c>
      <c r="J1584" s="64">
        <f>EFEITO!$J$1584*EFEITO!$Y$1521</f>
        <v>0</v>
      </c>
      <c r="K1584" s="64">
        <f ca="1">EFEITO!$L$1584*EFEITO!$Z$1680</f>
        <v>3845735.5413958053</v>
      </c>
      <c r="L1584" s="64">
        <f>EFEITO!$N$1584*EFEITO!$AA$1680</f>
        <v>3190570.8124102</v>
      </c>
      <c r="M1584" s="64">
        <f>$J$1584-EFEITO!$K$1584*EFEITO!$Y$1584</f>
        <v>0</v>
      </c>
      <c r="N1584" s="64">
        <f ca="1">$K$1584-EFEITO!$M$1584*EFEITO!$Z$1584</f>
        <v>2499728.1019072738</v>
      </c>
      <c r="O1584" s="64">
        <f>$L$1584-EFEITO!$O$1584*EFEITO!$AA$1584</f>
        <v>2073871.02806663</v>
      </c>
      <c r="P1584" s="19"/>
      <c r="Q1584" s="19"/>
      <c r="R1584" s="19"/>
      <c r="S1584" s="19"/>
      <c r="T1584" s="19"/>
      <c r="U1584" s="19"/>
      <c r="V1584" s="19"/>
      <c r="W1584" s="19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</row>
    <row r="1585" spans="1:36" ht="11.25" customHeight="1" x14ac:dyDescent="0.2">
      <c r="A1585" s="55" t="s">
        <v>27</v>
      </c>
      <c r="B1585" s="55" t="s">
        <v>22</v>
      </c>
      <c r="C1585" s="55" t="s">
        <v>23</v>
      </c>
      <c r="D1585" s="55" t="s">
        <v>24</v>
      </c>
      <c r="E1585" s="55" t="s">
        <v>29</v>
      </c>
      <c r="F1585" s="55" t="s">
        <v>25</v>
      </c>
      <c r="G1585" s="55" t="s">
        <v>25</v>
      </c>
      <c r="H1585" s="55" t="s">
        <v>25</v>
      </c>
      <c r="I1585" s="63">
        <v>44562</v>
      </c>
      <c r="J1585" s="64">
        <f>EFEITO!$J$1585*EFEITO!$Y$1521</f>
        <v>0</v>
      </c>
      <c r="K1585" s="64">
        <f ca="1">EFEITO!$L$1585*EFEITO!$Z$1680</f>
        <v>1941.4874035433554</v>
      </c>
      <c r="L1585" s="64">
        <f>EFEITO!$N$1585*EFEITO!$AA$1680</f>
        <v>1610.7329731152611</v>
      </c>
      <c r="M1585" s="64">
        <f>$J$1585-EFEITO!$K$1585*EFEITO!$Y$1585</f>
        <v>0</v>
      </c>
      <c r="N1585" s="64">
        <f ca="1">$K$1585-EFEITO!$M$1585*EFEITO!$Z$1585</f>
        <v>1261.9668123031811</v>
      </c>
      <c r="O1585" s="64">
        <f>$L$1585-EFEITO!$O$1585*EFEITO!$AA$1585</f>
        <v>1046.9764325249198</v>
      </c>
      <c r="P1585" s="19"/>
      <c r="Q1585" s="19"/>
      <c r="R1585" s="19"/>
      <c r="S1585" s="19"/>
      <c r="T1585" s="19"/>
      <c r="U1585" s="19"/>
      <c r="V1585" s="19"/>
      <c r="W1585" s="19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</row>
    <row r="1586" spans="1:36" ht="11.25" customHeight="1" x14ac:dyDescent="0.2">
      <c r="A1586" s="55" t="s">
        <v>28</v>
      </c>
      <c r="B1586" s="55" t="s">
        <v>22</v>
      </c>
      <c r="C1586" s="55" t="s">
        <v>23</v>
      </c>
      <c r="D1586" s="55" t="s">
        <v>24</v>
      </c>
      <c r="E1586" s="55" t="s">
        <v>29</v>
      </c>
      <c r="F1586" s="55" t="s">
        <v>25</v>
      </c>
      <c r="G1586" s="55" t="s">
        <v>25</v>
      </c>
      <c r="H1586" s="55" t="s">
        <v>25</v>
      </c>
      <c r="I1586" s="63">
        <v>44562</v>
      </c>
      <c r="J1586" s="64">
        <f>EFEITO!$J$1586*EFEITO!$Y$1521</f>
        <v>0</v>
      </c>
      <c r="K1586" s="64">
        <f ca="1">EFEITO!$L$1586*EFEITO!$Z$1680</f>
        <v>6610.9355815370618</v>
      </c>
      <c r="L1586" s="64">
        <f>EFEITO!$N$1586*EFEITO!$AA$1680</f>
        <v>5484.6876188269171</v>
      </c>
      <c r="M1586" s="64">
        <f>$J$1586-EFEITO!$K$1586*EFEITO!$Y$1586</f>
        <v>0</v>
      </c>
      <c r="N1586" s="64">
        <f ca="1">$K$1586-EFEITO!$M$1586*EFEITO!$Z$1586</f>
        <v>4297.1081279990904</v>
      </c>
      <c r="O1586" s="64">
        <f>$L$1586-EFEITO!$O$1586*EFEITO!$AA$1586</f>
        <v>3565.0469522374965</v>
      </c>
      <c r="P1586" s="19"/>
      <c r="Q1586" s="19"/>
      <c r="R1586" s="19"/>
      <c r="S1586" s="19"/>
      <c r="T1586" s="19"/>
      <c r="U1586" s="19"/>
      <c r="V1586" s="19"/>
      <c r="W1586" s="19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</row>
    <row r="1587" spans="1:36" ht="11.25" customHeight="1" x14ac:dyDescent="0.2">
      <c r="A1587" s="55" t="s">
        <v>28</v>
      </c>
      <c r="B1587" s="55" t="s">
        <v>22</v>
      </c>
      <c r="C1587" s="55" t="s">
        <v>23</v>
      </c>
      <c r="D1587" s="55" t="s">
        <v>24</v>
      </c>
      <c r="E1587" s="55" t="s">
        <v>29</v>
      </c>
      <c r="F1587" s="55" t="s">
        <v>25</v>
      </c>
      <c r="G1587" s="55" t="s">
        <v>25</v>
      </c>
      <c r="H1587" s="55" t="s">
        <v>25</v>
      </c>
      <c r="I1587" s="63">
        <v>44562</v>
      </c>
      <c r="J1587" s="64">
        <f>EFEITO!$J$1587*EFEITO!$Y$1521</f>
        <v>0</v>
      </c>
      <c r="K1587" s="64">
        <f ca="1">EFEITO!$L$1587*EFEITO!$Z$1680</f>
        <v>110.18225969228436</v>
      </c>
      <c r="L1587" s="64">
        <f>EFEITO!$N$1587*EFEITO!$AA$1680</f>
        <v>91.411460313781944</v>
      </c>
      <c r="M1587" s="64">
        <f>$J$1587-EFEITO!$K$1587*EFEITO!$Y$1587</f>
        <v>0</v>
      </c>
      <c r="N1587" s="64">
        <f ca="1">$K$1587-EFEITO!$M$1587*EFEITO!$Z$1587</f>
        <v>71.618468799984839</v>
      </c>
      <c r="O1587" s="64">
        <f>$L$1587-EFEITO!$O$1587*EFEITO!$AA$1587</f>
        <v>59.41744920395827</v>
      </c>
      <c r="P1587" s="19"/>
      <c r="Q1587" s="19"/>
      <c r="R1587" s="19"/>
      <c r="S1587" s="19"/>
      <c r="T1587" s="19"/>
      <c r="U1587" s="19"/>
      <c r="V1587" s="19"/>
      <c r="W1587" s="19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</row>
    <row r="1588" spans="1:36" ht="11.25" customHeight="1" x14ac:dyDescent="0.2">
      <c r="A1588" s="55" t="s">
        <v>21</v>
      </c>
      <c r="B1588" s="55" t="s">
        <v>22</v>
      </c>
      <c r="C1588" s="55" t="s">
        <v>23</v>
      </c>
      <c r="D1588" s="55" t="s">
        <v>24</v>
      </c>
      <c r="E1588" s="55" t="s">
        <v>29</v>
      </c>
      <c r="F1588" s="55" t="s">
        <v>25</v>
      </c>
      <c r="G1588" s="55" t="s">
        <v>25</v>
      </c>
      <c r="H1588" s="55" t="s">
        <v>25</v>
      </c>
      <c r="I1588" s="63">
        <v>44593</v>
      </c>
      <c r="J1588" s="64">
        <f>EFEITO!$J$1588*EFEITO!$Y$1521</f>
        <v>0</v>
      </c>
      <c r="K1588" s="64">
        <f ca="1">EFEITO!$L$1588*EFEITO!$Z$1680</f>
        <v>3924243.1779025979</v>
      </c>
      <c r="L1588" s="64">
        <f>EFEITO!$N$1588*EFEITO!$AA$1680</f>
        <v>3255703.7813555812</v>
      </c>
      <c r="M1588" s="64">
        <f>$J$1588-EFEITO!$K$1588*EFEITO!$Y$1588</f>
        <v>0</v>
      </c>
      <c r="N1588" s="64">
        <f ca="1">$K$1588-EFEITO!$M$1588*EFEITO!$Z$1588</f>
        <v>2550758.0656366888</v>
      </c>
      <c r="O1588" s="64">
        <f>$L$1588-EFEITO!$O$1588*EFEITO!$AA$1588</f>
        <v>2116207.4578811279</v>
      </c>
      <c r="P1588" s="19"/>
      <c r="Q1588" s="19"/>
      <c r="R1588" s="19"/>
      <c r="S1588" s="19"/>
      <c r="T1588" s="19"/>
      <c r="U1588" s="19"/>
      <c r="V1588" s="19"/>
      <c r="W1588" s="19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</row>
    <row r="1589" spans="1:36" ht="11.25" customHeight="1" x14ac:dyDescent="0.2">
      <c r="A1589" s="55" t="s">
        <v>27</v>
      </c>
      <c r="B1589" s="55" t="s">
        <v>22</v>
      </c>
      <c r="C1589" s="55" t="s">
        <v>23</v>
      </c>
      <c r="D1589" s="55" t="s">
        <v>24</v>
      </c>
      <c r="E1589" s="55" t="s">
        <v>29</v>
      </c>
      <c r="F1589" s="55" t="s">
        <v>25</v>
      </c>
      <c r="G1589" s="55" t="s">
        <v>25</v>
      </c>
      <c r="H1589" s="55" t="s">
        <v>25</v>
      </c>
      <c r="I1589" s="63">
        <v>44593</v>
      </c>
      <c r="J1589" s="64">
        <f>EFEITO!$J$1589*EFEITO!$Y$1521</f>
        <v>0</v>
      </c>
      <c r="K1589" s="64">
        <f ca="1">EFEITO!$L$1589*EFEITO!$Z$1680</f>
        <v>2887.2428209551117</v>
      </c>
      <c r="L1589" s="64">
        <f>EFEITO!$N$1589*EFEITO!$AA$1680</f>
        <v>2395.3682133683069</v>
      </c>
      <c r="M1589" s="64">
        <f>$J$1589-EFEITO!$K$1589*EFEITO!$Y$1589</f>
        <v>0</v>
      </c>
      <c r="N1589" s="64">
        <f ca="1">$K$1589-EFEITO!$M$1589*EFEITO!$Z$1589</f>
        <v>1876.7078336208226</v>
      </c>
      <c r="O1589" s="64">
        <f>$L$1589-EFEITO!$O$1589*EFEITO!$AA$1589</f>
        <v>1556.9893386893996</v>
      </c>
      <c r="P1589" s="19"/>
      <c r="Q1589" s="19"/>
      <c r="R1589" s="19"/>
      <c r="S1589" s="19"/>
      <c r="T1589" s="19"/>
      <c r="U1589" s="19"/>
      <c r="V1589" s="19"/>
      <c r="W1589" s="19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</row>
    <row r="1590" spans="1:36" ht="11.25" customHeight="1" x14ac:dyDescent="0.2">
      <c r="A1590" s="55" t="s">
        <v>28</v>
      </c>
      <c r="B1590" s="55" t="s">
        <v>22</v>
      </c>
      <c r="C1590" s="55" t="s">
        <v>23</v>
      </c>
      <c r="D1590" s="55" t="s">
        <v>24</v>
      </c>
      <c r="E1590" s="55" t="s">
        <v>29</v>
      </c>
      <c r="F1590" s="55" t="s">
        <v>25</v>
      </c>
      <c r="G1590" s="55" t="s">
        <v>25</v>
      </c>
      <c r="H1590" s="55" t="s">
        <v>25</v>
      </c>
      <c r="I1590" s="63">
        <v>44593</v>
      </c>
      <c r="J1590" s="64">
        <f>EFEITO!$J$1590*EFEITO!$Y$1521</f>
        <v>0</v>
      </c>
      <c r="K1590" s="64">
        <f ca="1">EFEITO!$L$1590*EFEITO!$Z$1680</f>
        <v>7110.7012687354863</v>
      </c>
      <c r="L1590" s="64">
        <f>EFEITO!$N$1590*EFEITO!$AA$1680</f>
        <v>5899.3125449186064</v>
      </c>
      <c r="M1590" s="64">
        <f>$J$1590-EFEITO!$K$1590*EFEITO!$Y$1590</f>
        <v>0</v>
      </c>
      <c r="N1590" s="64">
        <f ca="1">$K$1590-EFEITO!$M$1590*EFEITO!$Z$1590</f>
        <v>4621.9558246780662</v>
      </c>
      <c r="O1590" s="64">
        <f>$L$1590-EFEITO!$O$1590*EFEITO!$AA$1590</f>
        <v>3834.5531541970945</v>
      </c>
      <c r="P1590" s="19"/>
      <c r="Q1590" s="19"/>
      <c r="R1590" s="19"/>
      <c r="S1590" s="19"/>
      <c r="T1590" s="19"/>
      <c r="U1590" s="19"/>
      <c r="V1590" s="19"/>
      <c r="W1590" s="19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</row>
    <row r="1591" spans="1:36" ht="11.25" customHeight="1" x14ac:dyDescent="0.2">
      <c r="A1591" s="55" t="s">
        <v>21</v>
      </c>
      <c r="B1591" s="55" t="s">
        <v>22</v>
      </c>
      <c r="C1591" s="55" t="s">
        <v>23</v>
      </c>
      <c r="D1591" s="55" t="s">
        <v>24</v>
      </c>
      <c r="E1591" s="55" t="s">
        <v>29</v>
      </c>
      <c r="F1591" s="55" t="s">
        <v>25</v>
      </c>
      <c r="G1591" s="55" t="s">
        <v>25</v>
      </c>
      <c r="H1591" s="55" t="s">
        <v>25</v>
      </c>
      <c r="I1591" s="63">
        <v>44621</v>
      </c>
      <c r="J1591" s="64">
        <f>EFEITO!$J$1591*EFEITO!$Y$1521</f>
        <v>0</v>
      </c>
      <c r="K1591" s="64">
        <f ca="1">EFEITO!$L$1591*EFEITO!$Z$1680</f>
        <v>3996292.4388797348</v>
      </c>
      <c r="L1591" s="64">
        <f>EFEITO!$N$1591*EFEITO!$AA$1680</f>
        <v>3315478.6323964158</v>
      </c>
      <c r="M1591" s="64">
        <f>$J$1591-EFEITO!$K$1591*EFEITO!$Y$1591</f>
        <v>0</v>
      </c>
      <c r="N1591" s="64">
        <f ca="1">$K$1591-EFEITO!$M$1591*EFEITO!$Z$1591</f>
        <v>2597590.0852718279</v>
      </c>
      <c r="O1591" s="64">
        <f>$L$1591-EFEITO!$O$1591*EFEITO!$AA$1591</f>
        <v>2155061.1110576703</v>
      </c>
      <c r="P1591" s="19"/>
      <c r="Q1591" s="19"/>
      <c r="R1591" s="19"/>
      <c r="S1591" s="19"/>
      <c r="T1591" s="19"/>
      <c r="U1591" s="19"/>
      <c r="V1591" s="19"/>
      <c r="W1591" s="19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</row>
    <row r="1592" spans="1:36" ht="11.25" customHeight="1" x14ac:dyDescent="0.2">
      <c r="A1592" s="55" t="s">
        <v>27</v>
      </c>
      <c r="B1592" s="55" t="s">
        <v>22</v>
      </c>
      <c r="C1592" s="55" t="s">
        <v>23</v>
      </c>
      <c r="D1592" s="55" t="s">
        <v>24</v>
      </c>
      <c r="E1592" s="55" t="s">
        <v>29</v>
      </c>
      <c r="F1592" s="55" t="s">
        <v>25</v>
      </c>
      <c r="G1592" s="55" t="s">
        <v>25</v>
      </c>
      <c r="H1592" s="55" t="s">
        <v>25</v>
      </c>
      <c r="I1592" s="63">
        <v>44621</v>
      </c>
      <c r="J1592" s="64">
        <f>EFEITO!$J$1592*EFEITO!$Y$1521</f>
        <v>0</v>
      </c>
      <c r="K1592" s="64">
        <f ca="1">EFEITO!$L$1592*EFEITO!$Z$1680</f>
        <v>1147.1229954700693</v>
      </c>
      <c r="L1592" s="64">
        <f>EFEITO!$N$1592*EFEITO!$AA$1680</f>
        <v>951.69756427478535</v>
      </c>
      <c r="M1592" s="64">
        <f>$J$1592-EFEITO!$K$1592*EFEITO!$Y$1592</f>
        <v>0</v>
      </c>
      <c r="N1592" s="64">
        <f ca="1">$K$1592-EFEITO!$M$1592*EFEITO!$Z$1592</f>
        <v>745.62994705554513</v>
      </c>
      <c r="O1592" s="64">
        <f>$L$1592-EFEITO!$O$1592*EFEITO!$AA$1592</f>
        <v>618.60341677861049</v>
      </c>
      <c r="P1592" s="19"/>
      <c r="Q1592" s="19"/>
      <c r="R1592" s="19"/>
      <c r="S1592" s="19"/>
      <c r="T1592" s="19"/>
      <c r="U1592" s="19"/>
      <c r="V1592" s="19"/>
      <c r="W1592" s="19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</row>
    <row r="1593" spans="1:36" ht="11.25" customHeight="1" x14ac:dyDescent="0.2">
      <c r="A1593" s="55" t="s">
        <v>28</v>
      </c>
      <c r="B1593" s="55" t="s">
        <v>22</v>
      </c>
      <c r="C1593" s="55" t="s">
        <v>23</v>
      </c>
      <c r="D1593" s="55" t="s">
        <v>24</v>
      </c>
      <c r="E1593" s="55" t="s">
        <v>29</v>
      </c>
      <c r="F1593" s="55" t="s">
        <v>25</v>
      </c>
      <c r="G1593" s="55" t="s">
        <v>25</v>
      </c>
      <c r="H1593" s="55" t="s">
        <v>25</v>
      </c>
      <c r="I1593" s="63">
        <v>44621</v>
      </c>
      <c r="J1593" s="64">
        <f>EFEITO!$J$1593*EFEITO!$Y$1521</f>
        <v>0</v>
      </c>
      <c r="K1593" s="64">
        <f ca="1">EFEITO!$L$1593*EFEITO!$Z$1680</f>
        <v>7496.4853079763761</v>
      </c>
      <c r="L1593" s="64">
        <f>EFEITO!$N$1593*EFEITO!$AA$1680</f>
        <v>6219.3738913753496</v>
      </c>
      <c r="M1593" s="64">
        <f>$J$1593-EFEITO!$K$1593*EFEITO!$Y$1593</f>
        <v>0</v>
      </c>
      <c r="N1593" s="64">
        <f ca="1">$K$1593-EFEITO!$M$1593*EFEITO!$Z$1593</f>
        <v>4872.7154501846453</v>
      </c>
      <c r="O1593" s="64">
        <f>$L$1593-EFEITO!$O$1593*EFEITO!$AA$1593</f>
        <v>4042.5930293939778</v>
      </c>
      <c r="P1593" s="19"/>
      <c r="Q1593" s="19"/>
      <c r="R1593" s="19"/>
      <c r="S1593" s="19"/>
      <c r="T1593" s="19"/>
      <c r="U1593" s="19"/>
      <c r="V1593" s="19"/>
      <c r="W1593" s="19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</row>
    <row r="1594" spans="1:36" ht="11.25" customHeight="1" x14ac:dyDescent="0.2">
      <c r="A1594" s="55" t="s">
        <v>21</v>
      </c>
      <c r="B1594" s="55" t="s">
        <v>22</v>
      </c>
      <c r="C1594" s="55" t="s">
        <v>23</v>
      </c>
      <c r="D1594" s="55" t="s">
        <v>24</v>
      </c>
      <c r="E1594" s="55" t="s">
        <v>29</v>
      </c>
      <c r="F1594" s="55" t="s">
        <v>25</v>
      </c>
      <c r="G1594" s="55" t="s">
        <v>25</v>
      </c>
      <c r="H1594" s="55" t="s">
        <v>25</v>
      </c>
      <c r="I1594" s="63">
        <v>44652</v>
      </c>
      <c r="J1594" s="64">
        <f>EFEITO!$J$1594*EFEITO!$Y$1521</f>
        <v>0</v>
      </c>
      <c r="K1594" s="64">
        <f ca="1">EFEITO!$L$1594*EFEITO!$Z$1680</f>
        <v>4040417.0728891832</v>
      </c>
      <c r="L1594" s="64">
        <f>EFEITO!$N$1594*EFEITO!$AA$1680</f>
        <v>3352086.1338388403</v>
      </c>
      <c r="M1594" s="64">
        <f>$J$1594-EFEITO!$K$1594*EFEITO!$Y$1594</f>
        <v>0</v>
      </c>
      <c r="N1594" s="64">
        <f ca="1">$K$1594-EFEITO!$M$1594*EFEITO!$Z$1594</f>
        <v>2626271.097377969</v>
      </c>
      <c r="O1594" s="64">
        <f>$L$1594-EFEITO!$O$1594*EFEITO!$AA$1594</f>
        <v>2178855.9869952463</v>
      </c>
      <c r="P1594" s="19"/>
      <c r="Q1594" s="19"/>
      <c r="R1594" s="19"/>
      <c r="S1594" s="19"/>
      <c r="T1594" s="19"/>
      <c r="U1594" s="19"/>
      <c r="V1594" s="19"/>
      <c r="W1594" s="19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</row>
    <row r="1595" spans="1:36" ht="11.25" customHeight="1" x14ac:dyDescent="0.2">
      <c r="A1595" s="55" t="s">
        <v>27</v>
      </c>
      <c r="B1595" s="55" t="s">
        <v>22</v>
      </c>
      <c r="C1595" s="55" t="s">
        <v>23</v>
      </c>
      <c r="D1595" s="55" t="s">
        <v>24</v>
      </c>
      <c r="E1595" s="55" t="s">
        <v>29</v>
      </c>
      <c r="F1595" s="55" t="s">
        <v>25</v>
      </c>
      <c r="G1595" s="55" t="s">
        <v>25</v>
      </c>
      <c r="H1595" s="55" t="s">
        <v>25</v>
      </c>
      <c r="I1595" s="63">
        <v>44652</v>
      </c>
      <c r="J1595" s="64">
        <f>EFEITO!$J$1595*EFEITO!$Y$1521</f>
        <v>0</v>
      </c>
      <c r="K1595" s="64">
        <f ca="1">EFEITO!$L$1595*EFEITO!$Z$1680</f>
        <v>1720.5383628872096</v>
      </c>
      <c r="L1595" s="64">
        <f>EFEITO!$N$1595*EFEITO!$AA$1680</f>
        <v>1427.4251110536718</v>
      </c>
      <c r="M1595" s="64">
        <f>$J$1595-EFEITO!$K$1595*EFEITO!$Y$1595</f>
        <v>0</v>
      </c>
      <c r="N1595" s="64">
        <f ca="1">$K$1595-EFEITO!$M$1595*EFEITO!$Z$1595</f>
        <v>1118.3499358766862</v>
      </c>
      <c r="O1595" s="64">
        <f>$L$1595-EFEITO!$O$1595*EFEITO!$AA$1595</f>
        <v>927.82632218488675</v>
      </c>
      <c r="P1595" s="19"/>
      <c r="Q1595" s="19"/>
      <c r="R1595" s="19"/>
      <c r="S1595" s="19"/>
      <c r="T1595" s="19"/>
      <c r="U1595" s="19"/>
      <c r="V1595" s="19"/>
      <c r="W1595" s="19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</row>
    <row r="1596" spans="1:36" ht="11.25" customHeight="1" x14ac:dyDescent="0.2">
      <c r="A1596" s="55" t="s">
        <v>28</v>
      </c>
      <c r="B1596" s="55" t="s">
        <v>22</v>
      </c>
      <c r="C1596" s="55" t="s">
        <v>23</v>
      </c>
      <c r="D1596" s="55" t="s">
        <v>24</v>
      </c>
      <c r="E1596" s="55" t="s">
        <v>29</v>
      </c>
      <c r="F1596" s="55" t="s">
        <v>25</v>
      </c>
      <c r="G1596" s="55" t="s">
        <v>25</v>
      </c>
      <c r="H1596" s="55" t="s">
        <v>25</v>
      </c>
      <c r="I1596" s="63">
        <v>44652</v>
      </c>
      <c r="J1596" s="64">
        <f>EFEITO!$J$1596*EFEITO!$Y$1521</f>
        <v>0</v>
      </c>
      <c r="K1596" s="64">
        <f ca="1">EFEITO!$L$1596*EFEITO!$Z$1680</f>
        <v>7791.6685501228148</v>
      </c>
      <c r="L1596" s="64">
        <f>EFEITO!$N$1596*EFEITO!$AA$1680</f>
        <v>6464.269315558161</v>
      </c>
      <c r="M1596" s="64">
        <f>$J$1596-EFEITO!$K$1596*EFEITO!$Y$1596</f>
        <v>0</v>
      </c>
      <c r="N1596" s="64">
        <f ca="1">$K$1596-EFEITO!$M$1596*EFEITO!$Z$1596</f>
        <v>5064.5845575798303</v>
      </c>
      <c r="O1596" s="64">
        <f>$L$1596-EFEITO!$O$1596*EFEITO!$AA$1596</f>
        <v>4201.7750551128047</v>
      </c>
      <c r="P1596" s="19"/>
      <c r="Q1596" s="19"/>
      <c r="R1596" s="19"/>
      <c r="S1596" s="19"/>
      <c r="T1596" s="19"/>
      <c r="U1596" s="19"/>
      <c r="V1596" s="19"/>
      <c r="W1596" s="19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</row>
    <row r="1597" spans="1:36" ht="11.25" customHeight="1" x14ac:dyDescent="0.2">
      <c r="A1597" s="55" t="s">
        <v>21</v>
      </c>
      <c r="B1597" s="55" t="s">
        <v>22</v>
      </c>
      <c r="C1597" s="55" t="s">
        <v>23</v>
      </c>
      <c r="D1597" s="55" t="s">
        <v>24</v>
      </c>
      <c r="E1597" s="55" t="s">
        <v>29</v>
      </c>
      <c r="F1597" s="55" t="s">
        <v>25</v>
      </c>
      <c r="G1597" s="55" t="s">
        <v>25</v>
      </c>
      <c r="H1597" s="55" t="s">
        <v>25</v>
      </c>
      <c r="I1597" s="63">
        <v>44682</v>
      </c>
      <c r="J1597" s="64">
        <f>EFEITO!$J$1597*EFEITO!$Y$1521</f>
        <v>0</v>
      </c>
      <c r="K1597" s="64">
        <f ca="1">EFEITO!$L$1597*EFEITO!$Z$1680</f>
        <v>4004929.9097098298</v>
      </c>
      <c r="L1597" s="64">
        <f>EFEITO!$N$1597*EFEITO!$AA$1680</f>
        <v>3322644.611967009</v>
      </c>
      <c r="M1597" s="64">
        <f>$J$1597-EFEITO!$K$1597*EFEITO!$Y$1597</f>
        <v>0</v>
      </c>
      <c r="N1597" s="64">
        <f ca="1">$K$1597-EFEITO!$M$1597*EFEITO!$Z$1597</f>
        <v>2603204.4413113897</v>
      </c>
      <c r="O1597" s="64">
        <f>$L$1597-EFEITO!$O$1597*EFEITO!$AA$1597</f>
        <v>2159718.9977785563</v>
      </c>
      <c r="P1597" s="19"/>
      <c r="Q1597" s="19"/>
      <c r="R1597" s="19"/>
      <c r="S1597" s="19"/>
      <c r="T1597" s="19"/>
      <c r="U1597" s="19"/>
      <c r="V1597" s="19"/>
      <c r="W1597" s="19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</row>
    <row r="1598" spans="1:36" ht="11.25" customHeight="1" x14ac:dyDescent="0.2">
      <c r="A1598" s="55" t="s">
        <v>27</v>
      </c>
      <c r="B1598" s="55" t="s">
        <v>22</v>
      </c>
      <c r="C1598" s="55" t="s">
        <v>23</v>
      </c>
      <c r="D1598" s="55" t="s">
        <v>24</v>
      </c>
      <c r="E1598" s="55" t="s">
        <v>29</v>
      </c>
      <c r="F1598" s="55" t="s">
        <v>25</v>
      </c>
      <c r="G1598" s="55" t="s">
        <v>25</v>
      </c>
      <c r="H1598" s="55" t="s">
        <v>25</v>
      </c>
      <c r="I1598" s="63">
        <v>44682</v>
      </c>
      <c r="J1598" s="64">
        <f>EFEITO!$J$1598*EFEITO!$Y$1521</f>
        <v>0</v>
      </c>
      <c r="K1598" s="64">
        <f ca="1">EFEITO!$L$1598*EFEITO!$Z$1680</f>
        <v>1616.7858371822736</v>
      </c>
      <c r="L1598" s="64">
        <f>EFEITO!$N$1598*EFEITO!$AA$1680</f>
        <v>1341.3480065141689</v>
      </c>
      <c r="M1598" s="64">
        <f>$J$1598-EFEITO!$K$1598*EFEITO!$Y$1598</f>
        <v>0</v>
      </c>
      <c r="N1598" s="64">
        <f ca="1">$K$1598-EFEITO!$M$1598*EFEITO!$Z$1598</f>
        <v>1050.9107941684779</v>
      </c>
      <c r="O1598" s="64">
        <f>$L$1598-EFEITO!$O$1598*EFEITO!$AA$1598</f>
        <v>871.87620423420981</v>
      </c>
      <c r="P1598" s="19"/>
      <c r="Q1598" s="19"/>
      <c r="R1598" s="19"/>
      <c r="S1598" s="19"/>
      <c r="T1598" s="19"/>
      <c r="U1598" s="19"/>
      <c r="V1598" s="19"/>
      <c r="W1598" s="19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</row>
    <row r="1599" spans="1:36" ht="11.25" customHeight="1" x14ac:dyDescent="0.2">
      <c r="A1599" s="55" t="s">
        <v>28</v>
      </c>
      <c r="B1599" s="55" t="s">
        <v>22</v>
      </c>
      <c r="C1599" s="55" t="s">
        <v>23</v>
      </c>
      <c r="D1599" s="55" t="s">
        <v>24</v>
      </c>
      <c r="E1599" s="55" t="s">
        <v>29</v>
      </c>
      <c r="F1599" s="55" t="s">
        <v>25</v>
      </c>
      <c r="G1599" s="55" t="s">
        <v>25</v>
      </c>
      <c r="H1599" s="55" t="s">
        <v>25</v>
      </c>
      <c r="I1599" s="63">
        <v>44682</v>
      </c>
      <c r="J1599" s="64">
        <f>EFEITO!$J$1599*EFEITO!$Y$1521</f>
        <v>0</v>
      </c>
      <c r="K1599" s="64">
        <f ca="1">EFEITO!$L$1599*EFEITO!$Z$1680</f>
        <v>7706.9129657441345</v>
      </c>
      <c r="L1599" s="64">
        <f>EFEITO!$N$1599*EFEITO!$AA$1680</f>
        <v>6393.9528076244824</v>
      </c>
      <c r="M1599" s="64">
        <f>$J$1599-EFEITO!$K$1599*EFEITO!$Y$1599</f>
        <v>0</v>
      </c>
      <c r="N1599" s="64">
        <f ca="1">$K$1599-EFEITO!$M$1599*EFEITO!$Z$1599</f>
        <v>5009.493427733687</v>
      </c>
      <c r="O1599" s="64">
        <f>$L$1599-EFEITO!$O$1599*EFEITO!$AA$1599</f>
        <v>4156.0693249559135</v>
      </c>
      <c r="P1599" s="19"/>
      <c r="Q1599" s="19"/>
      <c r="R1599" s="19"/>
      <c r="S1599" s="19"/>
      <c r="T1599" s="19"/>
      <c r="U1599" s="19"/>
      <c r="V1599" s="19"/>
      <c r="W1599" s="19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</row>
    <row r="1600" spans="1:36" ht="11.25" customHeight="1" x14ac:dyDescent="0.2">
      <c r="A1600" s="55" t="s">
        <v>21</v>
      </c>
      <c r="B1600" s="55" t="s">
        <v>22</v>
      </c>
      <c r="C1600" s="55" t="s">
        <v>23</v>
      </c>
      <c r="D1600" s="55" t="s">
        <v>24</v>
      </c>
      <c r="E1600" s="55" t="s">
        <v>29</v>
      </c>
      <c r="F1600" s="55" t="s">
        <v>25</v>
      </c>
      <c r="G1600" s="55" t="s">
        <v>25</v>
      </c>
      <c r="H1600" s="55" t="s">
        <v>25</v>
      </c>
      <c r="I1600" s="63">
        <v>44713</v>
      </c>
      <c r="J1600" s="64">
        <f>EFEITO!$J$1600*EFEITO!$Y$1521</f>
        <v>0</v>
      </c>
      <c r="K1600" s="64">
        <f ca="1">EFEITO!$L$1600*EFEITO!$Z$1680</f>
        <v>4043940.2748536142</v>
      </c>
      <c r="L1600" s="64">
        <f>EFEITO!$N$1600*EFEITO!$AA$1680</f>
        <v>3355009.1183324279</v>
      </c>
      <c r="M1600" s="64">
        <f>$J$1600-EFEITO!$K$1600*EFEITO!$Y$1600</f>
        <v>0</v>
      </c>
      <c r="N1600" s="64">
        <f ca="1">$K$1600-EFEITO!$M$1600*EFEITO!$Z$1600</f>
        <v>2628561.1786548495</v>
      </c>
      <c r="O1600" s="64">
        <f>$L$1600-EFEITO!$O$1600*EFEITO!$AA$1600</f>
        <v>2180755.9269160782</v>
      </c>
      <c r="P1600" s="19"/>
      <c r="Q1600" s="19"/>
      <c r="R1600" s="19"/>
      <c r="S1600" s="19"/>
      <c r="T1600" s="19"/>
      <c r="U1600" s="19"/>
      <c r="V1600" s="19"/>
      <c r="W1600" s="19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</row>
    <row r="1601" spans="1:36" ht="11.25" customHeight="1" x14ac:dyDescent="0.2">
      <c r="A1601" s="55" t="s">
        <v>27</v>
      </c>
      <c r="B1601" s="55" t="s">
        <v>22</v>
      </c>
      <c r="C1601" s="55" t="s">
        <v>23</v>
      </c>
      <c r="D1601" s="55" t="s">
        <v>24</v>
      </c>
      <c r="E1601" s="55" t="s">
        <v>29</v>
      </c>
      <c r="F1601" s="55" t="s">
        <v>25</v>
      </c>
      <c r="G1601" s="55" t="s">
        <v>25</v>
      </c>
      <c r="H1601" s="55" t="s">
        <v>25</v>
      </c>
      <c r="I1601" s="63">
        <v>44713</v>
      </c>
      <c r="J1601" s="64">
        <f>EFEITO!$J$1601*EFEITO!$Y$1521</f>
        <v>0</v>
      </c>
      <c r="K1601" s="64">
        <f ca="1">EFEITO!$L$1601*EFEITO!$Z$1680</f>
        <v>1923.9517653960424</v>
      </c>
      <c r="L1601" s="64">
        <f>EFEITO!$N$1601*EFEITO!$AA$1680</f>
        <v>1596.1847300945001</v>
      </c>
      <c r="M1601" s="64">
        <f>$J$1601-EFEITO!$K$1601*EFEITO!$Y$1601</f>
        <v>0</v>
      </c>
      <c r="N1601" s="64">
        <f ca="1">$K$1601-EFEITO!$M$1601*EFEITO!$Z$1601</f>
        <v>1250.5686475074276</v>
      </c>
      <c r="O1601" s="64">
        <f>$L$1601-EFEITO!$O$1601*EFEITO!$AA$1601</f>
        <v>1037.5200745614252</v>
      </c>
      <c r="P1601" s="19"/>
      <c r="Q1601" s="19"/>
      <c r="R1601" s="19"/>
      <c r="S1601" s="19"/>
      <c r="T1601" s="19"/>
      <c r="U1601" s="19"/>
      <c r="V1601" s="19"/>
      <c r="W1601" s="19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</row>
    <row r="1602" spans="1:36" ht="11.25" customHeight="1" x14ac:dyDescent="0.2">
      <c r="A1602" s="55" t="s">
        <v>28</v>
      </c>
      <c r="B1602" s="55" t="s">
        <v>22</v>
      </c>
      <c r="C1602" s="55" t="s">
        <v>23</v>
      </c>
      <c r="D1602" s="55" t="s">
        <v>24</v>
      </c>
      <c r="E1602" s="55" t="s">
        <v>29</v>
      </c>
      <c r="F1602" s="55" t="s">
        <v>25</v>
      </c>
      <c r="G1602" s="55" t="s">
        <v>25</v>
      </c>
      <c r="H1602" s="55" t="s">
        <v>25</v>
      </c>
      <c r="I1602" s="63">
        <v>44713</v>
      </c>
      <c r="J1602" s="64">
        <f>EFEITO!$J$1602*EFEITO!$Y$1521</f>
        <v>0</v>
      </c>
      <c r="K1602" s="64">
        <f ca="1">EFEITO!$L$1602*EFEITO!$Z$1680</f>
        <v>8057.6257286903974</v>
      </c>
      <c r="L1602" s="64">
        <f>EFEITO!$N$1602*EFEITO!$AA$1680</f>
        <v>6684.9176680397031</v>
      </c>
      <c r="M1602" s="64">
        <f>$J$1602-EFEITO!$K$1602*EFEITO!$Y$1602</f>
        <v>0</v>
      </c>
      <c r="N1602" s="64">
        <f ca="1">$K$1602-EFEITO!$M$1602*EFEITO!$Z$1602</f>
        <v>5237.4567236487583</v>
      </c>
      <c r="O1602" s="64">
        <f>$L$1602-EFEITO!$O$1602*EFEITO!$AA$1602</f>
        <v>4345.1964842258076</v>
      </c>
      <c r="P1602" s="19"/>
      <c r="Q1602" s="19"/>
      <c r="R1602" s="19"/>
      <c r="S1602" s="19"/>
      <c r="T1602" s="19"/>
      <c r="U1602" s="19"/>
      <c r="V1602" s="19"/>
      <c r="W1602" s="19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</row>
    <row r="1603" spans="1:36" ht="11.25" customHeight="1" x14ac:dyDescent="0.2">
      <c r="A1603" s="55" t="s">
        <v>57</v>
      </c>
      <c r="B1603" s="55" t="s">
        <v>22</v>
      </c>
      <c r="C1603" s="55" t="s">
        <v>23</v>
      </c>
      <c r="D1603" s="55" t="s">
        <v>24</v>
      </c>
      <c r="E1603" s="55" t="s">
        <v>29</v>
      </c>
      <c r="F1603" s="55" t="s">
        <v>25</v>
      </c>
      <c r="G1603" s="55" t="s">
        <v>25</v>
      </c>
      <c r="H1603" s="55" t="s">
        <v>25</v>
      </c>
      <c r="I1603" s="63">
        <v>44743</v>
      </c>
      <c r="J1603" s="64">
        <f>EFEITO!$J$1603*EFEITO!$Y$1521</f>
        <v>0</v>
      </c>
      <c r="K1603" s="64">
        <f ca="1">EFEITO!$L$1603*EFEITO!$Z$1680</f>
        <v>4043940.2748536142</v>
      </c>
      <c r="L1603" s="64">
        <f>EFEITO!$N$1603*EFEITO!$AA$1680</f>
        <v>3355009.1183324279</v>
      </c>
      <c r="M1603" s="64">
        <f>$J$1603-EFEITO!$K$1603*EFEITO!$Y$1603</f>
        <v>0</v>
      </c>
      <c r="N1603" s="64">
        <f ca="1">$K$1603-EFEITO!$M$1603*EFEITO!$Z$1603</f>
        <v>2628561.1786548495</v>
      </c>
      <c r="O1603" s="64">
        <f>$L$1603-EFEITO!$O$1603*EFEITO!$AA$1603</f>
        <v>2180755.9269160782</v>
      </c>
      <c r="P1603" s="19"/>
      <c r="Q1603" s="19"/>
      <c r="R1603" s="19"/>
      <c r="S1603" s="19"/>
      <c r="T1603" s="19"/>
      <c r="U1603" s="19"/>
      <c r="V1603" s="19"/>
      <c r="W1603" s="19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</row>
    <row r="1604" spans="1:36" ht="11.25" customHeight="1" x14ac:dyDescent="0.2">
      <c r="A1604" s="55" t="s">
        <v>57</v>
      </c>
      <c r="B1604" s="55" t="s">
        <v>22</v>
      </c>
      <c r="C1604" s="55" t="s">
        <v>23</v>
      </c>
      <c r="D1604" s="55" t="s">
        <v>24</v>
      </c>
      <c r="E1604" s="55" t="s">
        <v>29</v>
      </c>
      <c r="F1604" s="55" t="s">
        <v>25</v>
      </c>
      <c r="G1604" s="55" t="s">
        <v>25</v>
      </c>
      <c r="H1604" s="55" t="s">
        <v>25</v>
      </c>
      <c r="I1604" s="63">
        <v>44743</v>
      </c>
      <c r="J1604" s="64">
        <f>EFEITO!$J$1604*EFEITO!$Y$1521</f>
        <v>0</v>
      </c>
      <c r="K1604" s="64">
        <f ca="1">EFEITO!$L$1604*EFEITO!$Z$1680</f>
        <v>1923.9517653960424</v>
      </c>
      <c r="L1604" s="64">
        <f>EFEITO!$N$1604*EFEITO!$AA$1680</f>
        <v>1596.1847300945001</v>
      </c>
      <c r="M1604" s="64">
        <f>$J$1604-EFEITO!$K$1604*EFEITO!$Y$1604</f>
        <v>0</v>
      </c>
      <c r="N1604" s="64">
        <f ca="1">$K$1604-EFEITO!$M$1604*EFEITO!$Z$1604</f>
        <v>1250.5686475074276</v>
      </c>
      <c r="O1604" s="64">
        <f>$L$1604-EFEITO!$O$1604*EFEITO!$AA$1604</f>
        <v>1037.5200745614252</v>
      </c>
      <c r="P1604" s="19"/>
      <c r="Q1604" s="19"/>
      <c r="R1604" s="19"/>
      <c r="S1604" s="19"/>
      <c r="T1604" s="19"/>
      <c r="U1604" s="19"/>
      <c r="V1604" s="19"/>
      <c r="W1604" s="19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</row>
    <row r="1605" spans="1:36" ht="11.25" customHeight="1" x14ac:dyDescent="0.2">
      <c r="A1605" s="55" t="s">
        <v>57</v>
      </c>
      <c r="B1605" s="55" t="s">
        <v>22</v>
      </c>
      <c r="C1605" s="55" t="s">
        <v>23</v>
      </c>
      <c r="D1605" s="55" t="s">
        <v>24</v>
      </c>
      <c r="E1605" s="55" t="s">
        <v>29</v>
      </c>
      <c r="F1605" s="55" t="s">
        <v>25</v>
      </c>
      <c r="G1605" s="55" t="s">
        <v>25</v>
      </c>
      <c r="H1605" s="55" t="s">
        <v>25</v>
      </c>
      <c r="I1605" s="63">
        <v>44743</v>
      </c>
      <c r="J1605" s="64">
        <f>EFEITO!$J$1605*EFEITO!$Y$1521</f>
        <v>0</v>
      </c>
      <c r="K1605" s="64">
        <f ca="1">EFEITO!$L$1605*EFEITO!$Z$1680</f>
        <v>8057.6257286903974</v>
      </c>
      <c r="L1605" s="64">
        <f>EFEITO!$N$1605*EFEITO!$AA$1680</f>
        <v>6684.9176680397031</v>
      </c>
      <c r="M1605" s="64">
        <f>$J$1605-EFEITO!$K$1605*EFEITO!$Y$1605</f>
        <v>0</v>
      </c>
      <c r="N1605" s="64">
        <f ca="1">$K$1605-EFEITO!$M$1605*EFEITO!$Z$1605</f>
        <v>5237.4567236487583</v>
      </c>
      <c r="O1605" s="64">
        <f>$L$1605-EFEITO!$O$1605*EFEITO!$AA$1605</f>
        <v>4345.1964842258076</v>
      </c>
      <c r="P1605" s="19"/>
      <c r="Q1605" s="19"/>
      <c r="R1605" s="19"/>
      <c r="S1605" s="19"/>
      <c r="T1605" s="19"/>
      <c r="U1605" s="19"/>
      <c r="V1605" s="19"/>
      <c r="W1605" s="19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</row>
    <row r="1606" spans="1:36" ht="11.25" customHeight="1" x14ac:dyDescent="0.2">
      <c r="A1606" s="55" t="s">
        <v>21</v>
      </c>
      <c r="B1606" s="55" t="s">
        <v>22</v>
      </c>
      <c r="C1606" s="55" t="s">
        <v>23</v>
      </c>
      <c r="D1606" s="55" t="s">
        <v>24</v>
      </c>
      <c r="E1606" s="55" t="s">
        <v>30</v>
      </c>
      <c r="F1606" s="55" t="s">
        <v>25</v>
      </c>
      <c r="G1606" s="55" t="s">
        <v>25</v>
      </c>
      <c r="H1606" s="55" t="s">
        <v>25</v>
      </c>
      <c r="I1606" s="63">
        <v>44409</v>
      </c>
      <c r="J1606" s="64">
        <f>EFEITO!$J$1606*EFEITO!$Y$1521</f>
        <v>0</v>
      </c>
      <c r="K1606" s="64">
        <f ca="1">EFEITO!$L$1606*EFEITO!$Z$1680</f>
        <v>6157629.9830886712</v>
      </c>
      <c r="L1606" s="64">
        <f>EFEITO!$N$1606*EFEITO!$AA$1680</f>
        <v>5108607.7776772985</v>
      </c>
      <c r="M1606" s="64">
        <f>$J$1606-EFEITO!$K$1606*EFEITO!$Y$1606</f>
        <v>0</v>
      </c>
      <c r="N1606" s="64">
        <f ca="1">$K$1606-EFEITO!$M$1606*EFEITO!$Z$1606</f>
        <v>2463051.9932354679</v>
      </c>
      <c r="O1606" s="64">
        <f>$L$1606-EFEITO!$O$1606*EFEITO!$AA$1606</f>
        <v>2043443.1110709189</v>
      </c>
      <c r="P1606" s="19"/>
      <c r="Q1606" s="19"/>
      <c r="R1606" s="19"/>
      <c r="S1606" s="19"/>
      <c r="T1606" s="19"/>
      <c r="U1606" s="19"/>
      <c r="V1606" s="19"/>
      <c r="W1606" s="19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</row>
    <row r="1607" spans="1:36" ht="11.25" customHeight="1" x14ac:dyDescent="0.2">
      <c r="A1607" s="55" t="s">
        <v>27</v>
      </c>
      <c r="B1607" s="55" t="s">
        <v>22</v>
      </c>
      <c r="C1607" s="55" t="s">
        <v>23</v>
      </c>
      <c r="D1607" s="55" t="s">
        <v>24</v>
      </c>
      <c r="E1607" s="55" t="s">
        <v>30</v>
      </c>
      <c r="F1607" s="55" t="s">
        <v>25</v>
      </c>
      <c r="G1607" s="55" t="s">
        <v>25</v>
      </c>
      <c r="H1607" s="55" t="s">
        <v>25</v>
      </c>
      <c r="I1607" s="63">
        <v>44409</v>
      </c>
      <c r="J1607" s="64">
        <f>EFEITO!$J$1607*EFEITO!$Y$1521</f>
        <v>0</v>
      </c>
      <c r="K1607" s="64">
        <f ca="1">EFEITO!$L$1607*EFEITO!$Z$1680</f>
        <v>-1060.3215866408691</v>
      </c>
      <c r="L1607" s="64">
        <f>EFEITO!$N$1607*EFEITO!$AA$1680</f>
        <v>-879.68376132201831</v>
      </c>
      <c r="M1607" s="64">
        <f>$J$1607-EFEITO!$K$1607*EFEITO!$Y$1607</f>
        <v>0</v>
      </c>
      <c r="N1607" s="64">
        <f ca="1">$K$1607-EFEITO!$M$1607*EFEITO!$Z$1607</f>
        <v>-424.12863465634757</v>
      </c>
      <c r="O1607" s="64">
        <f>$L$1607-EFEITO!$O$1607*EFEITO!$AA$1607</f>
        <v>-351.8735045288073</v>
      </c>
      <c r="P1607" s="19"/>
      <c r="Q1607" s="19"/>
      <c r="R1607" s="19"/>
      <c r="S1607" s="19"/>
      <c r="T1607" s="19"/>
      <c r="U1607" s="19"/>
      <c r="V1607" s="19"/>
      <c r="W1607" s="19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</row>
    <row r="1608" spans="1:36" ht="11.25" customHeight="1" x14ac:dyDescent="0.2">
      <c r="A1608" s="55" t="s">
        <v>28</v>
      </c>
      <c r="B1608" s="55" t="s">
        <v>22</v>
      </c>
      <c r="C1608" s="55" t="s">
        <v>23</v>
      </c>
      <c r="D1608" s="55" t="s">
        <v>24</v>
      </c>
      <c r="E1608" s="55" t="s">
        <v>30</v>
      </c>
      <c r="F1608" s="55" t="s">
        <v>25</v>
      </c>
      <c r="G1608" s="55" t="s">
        <v>25</v>
      </c>
      <c r="H1608" s="55" t="s">
        <v>25</v>
      </c>
      <c r="I1608" s="63">
        <v>44409</v>
      </c>
      <c r="J1608" s="64">
        <f>EFEITO!$J$1608*EFEITO!$Y$1521</f>
        <v>0</v>
      </c>
      <c r="K1608" s="64">
        <f ca="1">EFEITO!$L$1608*EFEITO!$Z$1680</f>
        <v>3884.436110265654</v>
      </c>
      <c r="L1608" s="64">
        <f>EFEITO!$N$1608*EFEITO!$AA$1680</f>
        <v>3222.6782998155859</v>
      </c>
      <c r="M1608" s="64">
        <f>$J$1608-EFEITO!$K$1608*EFEITO!$Y$1608</f>
        <v>0</v>
      </c>
      <c r="N1608" s="64">
        <f ca="1">$K$1608-EFEITO!$M$1608*EFEITO!$Z$1608</f>
        <v>1553.7744441062614</v>
      </c>
      <c r="O1608" s="64">
        <f>$L$1608-EFEITO!$O$1608*EFEITO!$AA$1608</f>
        <v>1289.0713199262343</v>
      </c>
      <c r="P1608" s="19"/>
      <c r="Q1608" s="19"/>
      <c r="R1608" s="19"/>
      <c r="S1608" s="19"/>
      <c r="T1608" s="19"/>
      <c r="U1608" s="19"/>
      <c r="V1608" s="19"/>
      <c r="W1608" s="19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</row>
    <row r="1609" spans="1:36" ht="11.25" customHeight="1" x14ac:dyDescent="0.2">
      <c r="A1609" s="55" t="s">
        <v>21</v>
      </c>
      <c r="B1609" s="55" t="s">
        <v>22</v>
      </c>
      <c r="C1609" s="55" t="s">
        <v>23</v>
      </c>
      <c r="D1609" s="55" t="s">
        <v>24</v>
      </c>
      <c r="E1609" s="55" t="s">
        <v>30</v>
      </c>
      <c r="F1609" s="55" t="s">
        <v>25</v>
      </c>
      <c r="G1609" s="55" t="s">
        <v>25</v>
      </c>
      <c r="H1609" s="55" t="s">
        <v>25</v>
      </c>
      <c r="I1609" s="63">
        <v>44440</v>
      </c>
      <c r="J1609" s="64">
        <f>EFEITO!$J$1609*EFEITO!$Y$1521</f>
        <v>0</v>
      </c>
      <c r="K1609" s="64">
        <f ca="1">EFEITO!$L$1609*EFEITO!$Z$1680</f>
        <v>6058052.4005659744</v>
      </c>
      <c r="L1609" s="64">
        <f>EFEITO!$N$1609*EFEITO!$AA$1680</f>
        <v>5025994.367330322</v>
      </c>
      <c r="M1609" s="64">
        <f>$J$1609-EFEITO!$K$1609*EFEITO!$Y$1609</f>
        <v>0</v>
      </c>
      <c r="N1609" s="64">
        <f ca="1">$K$1609-EFEITO!$M$1609*EFEITO!$Z$1609</f>
        <v>2423220.9602263896</v>
      </c>
      <c r="O1609" s="64">
        <f>$L$1609-EFEITO!$O$1609*EFEITO!$AA$1609</f>
        <v>2010397.7469321284</v>
      </c>
      <c r="P1609" s="19"/>
      <c r="Q1609" s="19"/>
      <c r="R1609" s="19"/>
      <c r="S1609" s="19"/>
      <c r="T1609" s="19"/>
      <c r="U1609" s="19"/>
      <c r="V1609" s="19"/>
      <c r="W1609" s="19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</row>
    <row r="1610" spans="1:36" ht="11.25" customHeight="1" x14ac:dyDescent="0.2">
      <c r="A1610" s="55" t="s">
        <v>27</v>
      </c>
      <c r="B1610" s="55" t="s">
        <v>22</v>
      </c>
      <c r="C1610" s="55" t="s">
        <v>23</v>
      </c>
      <c r="D1610" s="55" t="s">
        <v>24</v>
      </c>
      <c r="E1610" s="55" t="s">
        <v>30</v>
      </c>
      <c r="F1610" s="55" t="s">
        <v>25</v>
      </c>
      <c r="G1610" s="55" t="s">
        <v>25</v>
      </c>
      <c r="H1610" s="55" t="s">
        <v>25</v>
      </c>
      <c r="I1610" s="63">
        <v>44440</v>
      </c>
      <c r="J1610" s="64">
        <f>EFEITO!$J$1610*EFEITO!$Y$1521</f>
        <v>0</v>
      </c>
      <c r="K1610" s="64">
        <f ca="1">EFEITO!$L$1610*EFEITO!$Z$1680</f>
        <v>-1117.6046712554255</v>
      </c>
      <c r="L1610" s="64">
        <f>EFEITO!$N$1610*EFEITO!$AA$1680</f>
        <v>-927.20802185650427</v>
      </c>
      <c r="M1610" s="64">
        <f>$J$1610-EFEITO!$K$1610*EFEITO!$Y$1610</f>
        <v>0</v>
      </c>
      <c r="N1610" s="64">
        <f ca="1">$K$1610-EFEITO!$M$1610*EFEITO!$Z$1610</f>
        <v>-447.04186850217025</v>
      </c>
      <c r="O1610" s="64">
        <f>$L$1610-EFEITO!$O$1610*EFEITO!$AA$1610</f>
        <v>-370.88320874260171</v>
      </c>
      <c r="P1610" s="19"/>
      <c r="Q1610" s="19"/>
      <c r="R1610" s="19"/>
      <c r="S1610" s="19"/>
      <c r="T1610" s="19"/>
      <c r="U1610" s="19"/>
      <c r="V1610" s="19"/>
      <c r="W1610" s="19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</row>
    <row r="1611" spans="1:36" ht="11.25" customHeight="1" x14ac:dyDescent="0.2">
      <c r="A1611" s="55" t="s">
        <v>28</v>
      </c>
      <c r="B1611" s="55" t="s">
        <v>22</v>
      </c>
      <c r="C1611" s="55" t="s">
        <v>23</v>
      </c>
      <c r="D1611" s="55" t="s">
        <v>24</v>
      </c>
      <c r="E1611" s="55" t="s">
        <v>30</v>
      </c>
      <c r="F1611" s="55" t="s">
        <v>25</v>
      </c>
      <c r="G1611" s="55" t="s">
        <v>25</v>
      </c>
      <c r="H1611" s="55" t="s">
        <v>25</v>
      </c>
      <c r="I1611" s="63">
        <v>44440</v>
      </c>
      <c r="J1611" s="64">
        <f>EFEITO!$J$1611*EFEITO!$Y$1521</f>
        <v>0</v>
      </c>
      <c r="K1611" s="64">
        <f ca="1">EFEITO!$L$1611*EFEITO!$Z$1680</f>
        <v>3725.7385850324695</v>
      </c>
      <c r="L1611" s="64">
        <f>EFEITO!$N$1611*EFEITO!$AA$1680</f>
        <v>3091.0167004776977</v>
      </c>
      <c r="M1611" s="64">
        <f>$J$1611-EFEITO!$K$1611*EFEITO!$Y$1611</f>
        <v>0</v>
      </c>
      <c r="N1611" s="64">
        <f ca="1">$K$1611-EFEITO!$M$1611*EFEITO!$Z$1611</f>
        <v>1490.2954340129877</v>
      </c>
      <c r="O1611" s="64">
        <f>$L$1611-EFEITO!$O$1611*EFEITO!$AA$1611</f>
        <v>1236.4066801910787</v>
      </c>
      <c r="P1611" s="19"/>
      <c r="Q1611" s="19"/>
      <c r="R1611" s="19"/>
      <c r="S1611" s="19"/>
      <c r="T1611" s="19"/>
      <c r="U1611" s="19"/>
      <c r="V1611" s="19"/>
      <c r="W1611" s="19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</row>
    <row r="1612" spans="1:36" ht="11.25" customHeight="1" x14ac:dyDescent="0.2">
      <c r="A1612" s="55" t="s">
        <v>21</v>
      </c>
      <c r="B1612" s="55" t="s">
        <v>22</v>
      </c>
      <c r="C1612" s="55" t="s">
        <v>23</v>
      </c>
      <c r="D1612" s="55" t="s">
        <v>24</v>
      </c>
      <c r="E1612" s="55" t="s">
        <v>30</v>
      </c>
      <c r="F1612" s="55" t="s">
        <v>25</v>
      </c>
      <c r="G1612" s="55" t="s">
        <v>25</v>
      </c>
      <c r="H1612" s="55" t="s">
        <v>25</v>
      </c>
      <c r="I1612" s="63">
        <v>44470</v>
      </c>
      <c r="J1612" s="64">
        <f>EFEITO!$J$1612*EFEITO!$Y$1521</f>
        <v>0</v>
      </c>
      <c r="K1612" s="64">
        <f ca="1">EFEITO!$L$1612*EFEITO!$Z$1680</f>
        <v>6367754.566577117</v>
      </c>
      <c r="L1612" s="64">
        <f>EFEITO!$N$1612*EFEITO!$AA$1680</f>
        <v>5282935.2517928891</v>
      </c>
      <c r="M1612" s="64">
        <f>$J$1612-EFEITO!$K$1612*EFEITO!$Y$1612</f>
        <v>0</v>
      </c>
      <c r="N1612" s="64">
        <f ca="1">$K$1612-EFEITO!$M$1612*EFEITO!$Z$1612</f>
        <v>2547101.8266308466</v>
      </c>
      <c r="O1612" s="64">
        <f>$L$1612-EFEITO!$O$1612*EFEITO!$AA$1612</f>
        <v>2113174.1007171553</v>
      </c>
      <c r="P1612" s="19"/>
      <c r="Q1612" s="19"/>
      <c r="R1612" s="19"/>
      <c r="S1612" s="19"/>
      <c r="T1612" s="19"/>
      <c r="U1612" s="19"/>
      <c r="V1612" s="19"/>
      <c r="W1612" s="19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</row>
    <row r="1613" spans="1:36" ht="11.25" customHeight="1" x14ac:dyDescent="0.2">
      <c r="A1613" s="55" t="s">
        <v>27</v>
      </c>
      <c r="B1613" s="55" t="s">
        <v>22</v>
      </c>
      <c r="C1613" s="55" t="s">
        <v>23</v>
      </c>
      <c r="D1613" s="55" t="s">
        <v>24</v>
      </c>
      <c r="E1613" s="55" t="s">
        <v>30</v>
      </c>
      <c r="F1613" s="55" t="s">
        <v>25</v>
      </c>
      <c r="G1613" s="55" t="s">
        <v>25</v>
      </c>
      <c r="H1613" s="55" t="s">
        <v>25</v>
      </c>
      <c r="I1613" s="63">
        <v>44470</v>
      </c>
      <c r="J1613" s="64">
        <f>EFEITO!$J$1613*EFEITO!$Y$1521</f>
        <v>0</v>
      </c>
      <c r="K1613" s="64">
        <f ca="1">EFEITO!$L$1613*EFEITO!$Z$1680</f>
        <v>-1367.1952542188494</v>
      </c>
      <c r="L1613" s="64">
        <f>EFEITO!$N$1613*EFEITO!$AA$1680</f>
        <v>-1134.2780141853366</v>
      </c>
      <c r="M1613" s="64">
        <f>$J$1613-EFEITO!$K$1613*EFEITO!$Y$1613</f>
        <v>0</v>
      </c>
      <c r="N1613" s="64">
        <f ca="1">$K$1613-EFEITO!$M$1613*EFEITO!$Z$1613</f>
        <v>-546.8781016875397</v>
      </c>
      <c r="O1613" s="64">
        <f>$L$1613-EFEITO!$O$1613*EFEITO!$AA$1613</f>
        <v>-453.71120567413459</v>
      </c>
      <c r="P1613" s="19"/>
      <c r="Q1613" s="19"/>
      <c r="R1613" s="19"/>
      <c r="S1613" s="19"/>
      <c r="T1613" s="19"/>
      <c r="U1613" s="19"/>
      <c r="V1613" s="19"/>
      <c r="W1613" s="19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</row>
    <row r="1614" spans="1:36" ht="11.25" customHeight="1" x14ac:dyDescent="0.2">
      <c r="A1614" s="55" t="s">
        <v>28</v>
      </c>
      <c r="B1614" s="55" t="s">
        <v>22</v>
      </c>
      <c r="C1614" s="55" t="s">
        <v>23</v>
      </c>
      <c r="D1614" s="55" t="s">
        <v>24</v>
      </c>
      <c r="E1614" s="55" t="s">
        <v>30</v>
      </c>
      <c r="F1614" s="55" t="s">
        <v>25</v>
      </c>
      <c r="G1614" s="55" t="s">
        <v>25</v>
      </c>
      <c r="H1614" s="55" t="s">
        <v>25</v>
      </c>
      <c r="I1614" s="63">
        <v>44470</v>
      </c>
      <c r="J1614" s="64">
        <f>EFEITO!$J$1614*EFEITO!$Y$1521</f>
        <v>0</v>
      </c>
      <c r="K1614" s="64">
        <f ca="1">EFEITO!$L$1614*EFEITO!$Z$1680</f>
        <v>4197.1549905594056</v>
      </c>
      <c r="L1614" s="64">
        <f>EFEITO!$N$1614*EFEITO!$AA$1680</f>
        <v>3482.1219670191576</v>
      </c>
      <c r="M1614" s="64">
        <f>$J$1614-EFEITO!$K$1614*EFEITO!$Y$1614</f>
        <v>0</v>
      </c>
      <c r="N1614" s="64">
        <f ca="1">$K$1614-EFEITO!$M$1614*EFEITO!$Z$1614</f>
        <v>1678.8619962237622</v>
      </c>
      <c r="O1614" s="64">
        <f>$L$1614-EFEITO!$O$1614*EFEITO!$AA$1614</f>
        <v>1392.8487868076627</v>
      </c>
      <c r="P1614" s="19"/>
      <c r="Q1614" s="19"/>
      <c r="R1614" s="19"/>
      <c r="S1614" s="19"/>
      <c r="T1614" s="19"/>
      <c r="U1614" s="19"/>
      <c r="V1614" s="19"/>
      <c r="W1614" s="19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</row>
    <row r="1615" spans="1:36" ht="11.25" customHeight="1" x14ac:dyDescent="0.2">
      <c r="A1615" s="55" t="s">
        <v>21</v>
      </c>
      <c r="B1615" s="55" t="s">
        <v>22</v>
      </c>
      <c r="C1615" s="55" t="s">
        <v>23</v>
      </c>
      <c r="D1615" s="55" t="s">
        <v>24</v>
      </c>
      <c r="E1615" s="55" t="s">
        <v>30</v>
      </c>
      <c r="F1615" s="55" t="s">
        <v>25</v>
      </c>
      <c r="G1615" s="55" t="s">
        <v>25</v>
      </c>
      <c r="H1615" s="55" t="s">
        <v>25</v>
      </c>
      <c r="I1615" s="63">
        <v>44501</v>
      </c>
      <c r="J1615" s="64">
        <f>EFEITO!$J$1615*EFEITO!$Y$1521</f>
        <v>0</v>
      </c>
      <c r="K1615" s="64">
        <f ca="1">EFEITO!$L$1615*EFEITO!$Z$1680</f>
        <v>6477296.1909557525</v>
      </c>
      <c r="L1615" s="64">
        <f>EFEITO!$N$1615*EFEITO!$AA$1680</f>
        <v>5373815.2162949797</v>
      </c>
      <c r="M1615" s="64">
        <f>$J$1615-EFEITO!$K$1615*EFEITO!$Y$1615</f>
        <v>0</v>
      </c>
      <c r="N1615" s="64">
        <f ca="1">$K$1615-EFEITO!$M$1615*EFEITO!$Z$1615</f>
        <v>2590918.4763823007</v>
      </c>
      <c r="O1615" s="64">
        <f>$L$1615-EFEITO!$O$1615*EFEITO!$AA$1615</f>
        <v>2149526.0865179915</v>
      </c>
      <c r="P1615" s="19"/>
      <c r="Q1615" s="19"/>
      <c r="R1615" s="19"/>
      <c r="S1615" s="19"/>
      <c r="T1615" s="19"/>
      <c r="U1615" s="19"/>
      <c r="V1615" s="19"/>
      <c r="W1615" s="19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</row>
    <row r="1616" spans="1:36" ht="11.25" customHeight="1" x14ac:dyDescent="0.2">
      <c r="A1616" s="55" t="s">
        <v>27</v>
      </c>
      <c r="B1616" s="55" t="s">
        <v>22</v>
      </c>
      <c r="C1616" s="55" t="s">
        <v>23</v>
      </c>
      <c r="D1616" s="55" t="s">
        <v>24</v>
      </c>
      <c r="E1616" s="55" t="s">
        <v>30</v>
      </c>
      <c r="F1616" s="55" t="s">
        <v>25</v>
      </c>
      <c r="G1616" s="55" t="s">
        <v>25</v>
      </c>
      <c r="H1616" s="55" t="s">
        <v>25</v>
      </c>
      <c r="I1616" s="63">
        <v>44501</v>
      </c>
      <c r="J1616" s="64">
        <f>EFEITO!$J$1616*EFEITO!$Y$1521</f>
        <v>0</v>
      </c>
      <c r="K1616" s="64">
        <f ca="1">EFEITO!$L$1616*EFEITO!$Z$1680</f>
        <v>-967.09044382432091</v>
      </c>
      <c r="L1616" s="64">
        <f>EFEITO!$N$1616*EFEITO!$AA$1680</f>
        <v>-802.33560259497199</v>
      </c>
      <c r="M1616" s="64">
        <f>$J$1616-EFEITO!$K$1616*EFEITO!$Y$1616</f>
        <v>0</v>
      </c>
      <c r="N1616" s="64">
        <f ca="1">$K$1616-EFEITO!$M$1616*EFEITO!$Z$1616</f>
        <v>-386.83617752972839</v>
      </c>
      <c r="O1616" s="64">
        <f>$L$1616-EFEITO!$O$1616*EFEITO!$AA$1616</f>
        <v>-320.93424103798873</v>
      </c>
      <c r="P1616" s="19"/>
      <c r="Q1616" s="19"/>
      <c r="R1616" s="19"/>
      <c r="S1616" s="19"/>
      <c r="T1616" s="19"/>
      <c r="U1616" s="19"/>
      <c r="V1616" s="19"/>
      <c r="W1616" s="19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</row>
    <row r="1617" spans="1:36" ht="11.25" customHeight="1" x14ac:dyDescent="0.2">
      <c r="A1617" s="55" t="s">
        <v>28</v>
      </c>
      <c r="B1617" s="55" t="s">
        <v>22</v>
      </c>
      <c r="C1617" s="55" t="s">
        <v>23</v>
      </c>
      <c r="D1617" s="55" t="s">
        <v>24</v>
      </c>
      <c r="E1617" s="55" t="s">
        <v>30</v>
      </c>
      <c r="F1617" s="55" t="s">
        <v>25</v>
      </c>
      <c r="G1617" s="55" t="s">
        <v>25</v>
      </c>
      <c r="H1617" s="55" t="s">
        <v>25</v>
      </c>
      <c r="I1617" s="63">
        <v>44501</v>
      </c>
      <c r="J1617" s="64">
        <f>EFEITO!$J$1617*EFEITO!$Y$1521</f>
        <v>0</v>
      </c>
      <c r="K1617" s="64">
        <f ca="1">EFEITO!$L$1617*EFEITO!$Z$1680</f>
        <v>4446.7455735228295</v>
      </c>
      <c r="L1617" s="64">
        <f>EFEITO!$N$1617*EFEITO!$AA$1680</f>
        <v>3689.1919593479897</v>
      </c>
      <c r="M1617" s="64">
        <f>$J$1617-EFEITO!$K$1617*EFEITO!$Y$1617</f>
        <v>0</v>
      </c>
      <c r="N1617" s="64">
        <f ca="1">$K$1617-EFEITO!$M$1617*EFEITO!$Z$1617</f>
        <v>1778.6982294091322</v>
      </c>
      <c r="O1617" s="64">
        <f>$L$1617-EFEITO!$O$1617*EFEITO!$AA$1617</f>
        <v>1475.6767837391958</v>
      </c>
      <c r="P1617" s="19"/>
      <c r="Q1617" s="19"/>
      <c r="R1617" s="19"/>
      <c r="S1617" s="19"/>
      <c r="T1617" s="19"/>
      <c r="U1617" s="19"/>
      <c r="V1617" s="19"/>
      <c r="W1617" s="19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</row>
    <row r="1618" spans="1:36" ht="11.25" customHeight="1" x14ac:dyDescent="0.2">
      <c r="A1618" s="55" t="s">
        <v>21</v>
      </c>
      <c r="B1618" s="55" t="s">
        <v>22</v>
      </c>
      <c r="C1618" s="55" t="s">
        <v>23</v>
      </c>
      <c r="D1618" s="55" t="s">
        <v>24</v>
      </c>
      <c r="E1618" s="55" t="s">
        <v>30</v>
      </c>
      <c r="F1618" s="55" t="s">
        <v>25</v>
      </c>
      <c r="G1618" s="55" t="s">
        <v>25</v>
      </c>
      <c r="H1618" s="55" t="s">
        <v>25</v>
      </c>
      <c r="I1618" s="63">
        <v>44531</v>
      </c>
      <c r="J1618" s="64">
        <f>EFEITO!$J$1618*EFEITO!$Y$1521</f>
        <v>0</v>
      </c>
      <c r="K1618" s="64">
        <f ca="1">EFEITO!$L$1618*EFEITO!$Z$1680</f>
        <v>6793495.310900474</v>
      </c>
      <c r="L1618" s="64">
        <f>EFEITO!$N$1618*EFEITO!$AA$1680</f>
        <v>5636146.2247967385</v>
      </c>
      <c r="M1618" s="64">
        <f>$J$1618-EFEITO!$K$1618*EFEITO!$Y$1618</f>
        <v>0</v>
      </c>
      <c r="N1618" s="64">
        <f ca="1">$K$1618-EFEITO!$M$1618*EFEITO!$Z$1618</f>
        <v>2717398.1243601893</v>
      </c>
      <c r="O1618" s="64">
        <f>$L$1618-EFEITO!$O$1618*EFEITO!$AA$1618</f>
        <v>2254458.4899186953</v>
      </c>
      <c r="P1618" s="19"/>
      <c r="Q1618" s="19"/>
      <c r="R1618" s="19"/>
      <c r="S1618" s="19"/>
      <c r="T1618" s="19"/>
      <c r="U1618" s="19"/>
      <c r="V1618" s="19"/>
      <c r="W1618" s="19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</row>
    <row r="1619" spans="1:36" ht="11.25" customHeight="1" x14ac:dyDescent="0.2">
      <c r="A1619" s="55" t="s">
        <v>27</v>
      </c>
      <c r="B1619" s="55" t="s">
        <v>22</v>
      </c>
      <c r="C1619" s="55" t="s">
        <v>23</v>
      </c>
      <c r="D1619" s="55" t="s">
        <v>24</v>
      </c>
      <c r="E1619" s="55" t="s">
        <v>30</v>
      </c>
      <c r="F1619" s="55" t="s">
        <v>25</v>
      </c>
      <c r="G1619" s="55" t="s">
        <v>25</v>
      </c>
      <c r="H1619" s="55" t="s">
        <v>25</v>
      </c>
      <c r="I1619" s="63">
        <v>44531</v>
      </c>
      <c r="J1619" s="64">
        <f>EFEITO!$J$1619*EFEITO!$Y$1521</f>
        <v>0</v>
      </c>
      <c r="K1619" s="64">
        <f ca="1">EFEITO!$L$1619*EFEITO!$Z$1680</f>
        <v>-827.68212055318122</v>
      </c>
      <c r="L1619" s="64">
        <f>EFEITO!$N$1619*EFEITO!$AA$1680</f>
        <v>-686.67707057992163</v>
      </c>
      <c r="M1619" s="64">
        <f>$J$1619-EFEITO!$K$1619*EFEITO!$Y$1619</f>
        <v>0</v>
      </c>
      <c r="N1619" s="64">
        <f ca="1">$K$1619-EFEITO!$M$1619*EFEITO!$Z$1619</f>
        <v>-331.07284822127252</v>
      </c>
      <c r="O1619" s="64">
        <f>$L$1619-EFEITO!$O$1619*EFEITO!$AA$1619</f>
        <v>-274.67082823196864</v>
      </c>
      <c r="P1619" s="19"/>
      <c r="Q1619" s="19"/>
      <c r="R1619" s="19"/>
      <c r="S1619" s="19"/>
      <c r="T1619" s="19"/>
      <c r="U1619" s="19"/>
      <c r="V1619" s="19"/>
      <c r="W1619" s="19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</row>
    <row r="1620" spans="1:36" ht="11.25" customHeight="1" x14ac:dyDescent="0.2">
      <c r="A1620" s="55" t="s">
        <v>28</v>
      </c>
      <c r="B1620" s="55" t="s">
        <v>22</v>
      </c>
      <c r="C1620" s="55" t="s">
        <v>23</v>
      </c>
      <c r="D1620" s="55" t="s">
        <v>24</v>
      </c>
      <c r="E1620" s="55" t="s">
        <v>30</v>
      </c>
      <c r="F1620" s="55" t="s">
        <v>25</v>
      </c>
      <c r="G1620" s="55" t="s">
        <v>25</v>
      </c>
      <c r="H1620" s="55" t="s">
        <v>25</v>
      </c>
      <c r="I1620" s="63">
        <v>44531</v>
      </c>
      <c r="J1620" s="64">
        <f>EFEITO!$J$1620*EFEITO!$Y$1521</f>
        <v>0</v>
      </c>
      <c r="K1620" s="64">
        <f ca="1">EFEITO!$L$1620*EFEITO!$Z$1680</f>
        <v>5600.0060423444584</v>
      </c>
      <c r="L1620" s="64">
        <f>EFEITO!$N$1620*EFEITO!$AA$1680</f>
        <v>4645.9814086800425</v>
      </c>
      <c r="M1620" s="64">
        <f>$J$1620-EFEITO!$K$1620*EFEITO!$Y$1620</f>
        <v>0</v>
      </c>
      <c r="N1620" s="64">
        <f ca="1">$K$1620-EFEITO!$M$1620*EFEITO!$Z$1620</f>
        <v>2240.002416937783</v>
      </c>
      <c r="O1620" s="64">
        <f>$L$1620-EFEITO!$O$1620*EFEITO!$AA$1620</f>
        <v>1858.3925634720172</v>
      </c>
      <c r="P1620" s="19"/>
      <c r="Q1620" s="19"/>
      <c r="R1620" s="19"/>
      <c r="S1620" s="19"/>
      <c r="T1620" s="19"/>
      <c r="U1620" s="19"/>
      <c r="V1620" s="19"/>
      <c r="W1620" s="19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</row>
    <row r="1621" spans="1:36" ht="11.25" customHeight="1" x14ac:dyDescent="0.2">
      <c r="A1621" s="55" t="s">
        <v>21</v>
      </c>
      <c r="B1621" s="55" t="s">
        <v>22</v>
      </c>
      <c r="C1621" s="55" t="s">
        <v>23</v>
      </c>
      <c r="D1621" s="55" t="s">
        <v>24</v>
      </c>
      <c r="E1621" s="55" t="s">
        <v>30</v>
      </c>
      <c r="F1621" s="55" t="s">
        <v>25</v>
      </c>
      <c r="G1621" s="55" t="s">
        <v>25</v>
      </c>
      <c r="H1621" s="55" t="s">
        <v>25</v>
      </c>
      <c r="I1621" s="63">
        <v>44562</v>
      </c>
      <c r="J1621" s="64">
        <f>EFEITO!$J$1621*EFEITO!$Y$1521</f>
        <v>0</v>
      </c>
      <c r="K1621" s="64">
        <f ca="1">EFEITO!$L$1621*EFEITO!$Z$1680</f>
        <v>6577739.7417422915</v>
      </c>
      <c r="L1621" s="64">
        <f>EFEITO!$N$1621*EFEITO!$AA$1680</f>
        <v>5457147.0673764646</v>
      </c>
      <c r="M1621" s="64">
        <f>$J$1621-EFEITO!$K$1621*EFEITO!$Y$1621</f>
        <v>0</v>
      </c>
      <c r="N1621" s="64">
        <f ca="1">$K$1621-EFEITO!$M$1621*EFEITO!$Z$1621</f>
        <v>2631095.8966969168</v>
      </c>
      <c r="O1621" s="64">
        <f>$L$1621-EFEITO!$O$1621*EFEITO!$AA$1621</f>
        <v>2182858.8269505855</v>
      </c>
      <c r="P1621" s="19"/>
      <c r="Q1621" s="19"/>
      <c r="R1621" s="19"/>
      <c r="S1621" s="19"/>
      <c r="T1621" s="19"/>
      <c r="U1621" s="19"/>
      <c r="V1621" s="19"/>
      <c r="W1621" s="19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</row>
    <row r="1622" spans="1:36" ht="11.25" customHeight="1" x14ac:dyDescent="0.2">
      <c r="A1622" s="55" t="s">
        <v>27</v>
      </c>
      <c r="B1622" s="55" t="s">
        <v>22</v>
      </c>
      <c r="C1622" s="55" t="s">
        <v>23</v>
      </c>
      <c r="D1622" s="55" t="s">
        <v>24</v>
      </c>
      <c r="E1622" s="55" t="s">
        <v>30</v>
      </c>
      <c r="F1622" s="55" t="s">
        <v>25</v>
      </c>
      <c r="G1622" s="55" t="s">
        <v>25</v>
      </c>
      <c r="H1622" s="55" t="s">
        <v>25</v>
      </c>
      <c r="I1622" s="63">
        <v>44562</v>
      </c>
      <c r="J1622" s="64">
        <f>EFEITO!$J$1622*EFEITO!$Y$1521</f>
        <v>0</v>
      </c>
      <c r="K1622" s="64">
        <f ca="1">EFEITO!$L$1622*EFEITO!$Z$1680</f>
        <v>-1053.3073313819439</v>
      </c>
      <c r="L1622" s="64">
        <f>EFEITO!$N$1622*EFEITO!$AA$1680</f>
        <v>-873.86446411371389</v>
      </c>
      <c r="M1622" s="64">
        <f>$J$1622-EFEITO!$K$1622*EFEITO!$Y$1622</f>
        <v>0</v>
      </c>
      <c r="N1622" s="64">
        <f ca="1">$K$1622-EFEITO!$M$1622*EFEITO!$Z$1622</f>
        <v>-421.3229325527775</v>
      </c>
      <c r="O1622" s="64">
        <f>$L$1622-EFEITO!$O$1622*EFEITO!$AA$1622</f>
        <v>-349.54578564548558</v>
      </c>
      <c r="P1622" s="19"/>
      <c r="Q1622" s="19"/>
      <c r="R1622" s="19"/>
      <c r="S1622" s="19"/>
      <c r="T1622" s="19"/>
      <c r="U1622" s="19"/>
      <c r="V1622" s="19"/>
      <c r="W1622" s="19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</row>
    <row r="1623" spans="1:36" ht="11.25" customHeight="1" x14ac:dyDescent="0.2">
      <c r="A1623" s="55" t="s">
        <v>28</v>
      </c>
      <c r="B1623" s="55" t="s">
        <v>22</v>
      </c>
      <c r="C1623" s="55" t="s">
        <v>23</v>
      </c>
      <c r="D1623" s="55" t="s">
        <v>24</v>
      </c>
      <c r="E1623" s="55" t="s">
        <v>30</v>
      </c>
      <c r="F1623" s="55" t="s">
        <v>25</v>
      </c>
      <c r="G1623" s="55" t="s">
        <v>25</v>
      </c>
      <c r="H1623" s="55" t="s">
        <v>25</v>
      </c>
      <c r="I1623" s="63">
        <v>44562</v>
      </c>
      <c r="J1623" s="64">
        <f>EFEITO!$J$1623*EFEITO!$Y$1521</f>
        <v>0</v>
      </c>
      <c r="K1623" s="64">
        <f ca="1">EFEITO!$L$1623*EFEITO!$Z$1680</f>
        <v>5644.7219196201067</v>
      </c>
      <c r="L1623" s="64">
        <f>EFEITO!$N$1623*EFEITO!$AA$1680</f>
        <v>4683.0794283829828</v>
      </c>
      <c r="M1623" s="64">
        <f>$J$1623-EFEITO!$K$1623*EFEITO!$Y$1623</f>
        <v>0</v>
      </c>
      <c r="N1623" s="64">
        <f ca="1">$K$1623-EFEITO!$M$1623*EFEITO!$Z$1623</f>
        <v>2257.8887678480428</v>
      </c>
      <c r="O1623" s="64">
        <f>$L$1623-EFEITO!$O$1623*EFEITO!$AA$1623</f>
        <v>1873.2317713531934</v>
      </c>
      <c r="P1623" s="19"/>
      <c r="Q1623" s="19"/>
      <c r="R1623" s="19"/>
      <c r="S1623" s="19"/>
      <c r="T1623" s="19"/>
      <c r="U1623" s="19"/>
      <c r="V1623" s="19"/>
      <c r="W1623" s="19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</row>
    <row r="1624" spans="1:36" ht="11.25" customHeight="1" x14ac:dyDescent="0.2">
      <c r="A1624" s="55" t="s">
        <v>28</v>
      </c>
      <c r="B1624" s="55" t="s">
        <v>22</v>
      </c>
      <c r="C1624" s="55" t="s">
        <v>23</v>
      </c>
      <c r="D1624" s="55" t="s">
        <v>24</v>
      </c>
      <c r="E1624" s="55" t="s">
        <v>30</v>
      </c>
      <c r="F1624" s="55" t="s">
        <v>25</v>
      </c>
      <c r="G1624" s="55" t="s">
        <v>25</v>
      </c>
      <c r="H1624" s="55" t="s">
        <v>25</v>
      </c>
      <c r="I1624" s="63">
        <v>44562</v>
      </c>
      <c r="J1624" s="64">
        <f>EFEITO!$J$1624*EFEITO!$Y$1521</f>
        <v>0</v>
      </c>
      <c r="K1624" s="64">
        <f ca="1">EFEITO!$L$1624*EFEITO!$Z$1680</f>
        <v>-20.458244505198689</v>
      </c>
      <c r="L1624" s="64">
        <f>EFEITO!$N$1624*EFEITO!$AA$1680</f>
        <v>-16.972950190887897</v>
      </c>
      <c r="M1624" s="64">
        <f>$J$1624-EFEITO!$K$1624*EFEITO!$Y$1624</f>
        <v>0</v>
      </c>
      <c r="N1624" s="64">
        <f ca="1">$K$1624-EFEITO!$M$1624*EFEITO!$Z$1624</f>
        <v>-8.1832978020794744</v>
      </c>
      <c r="O1624" s="64">
        <f>$L$1624-EFEITO!$O$1624*EFEITO!$AA$1624</f>
        <v>-6.7891800763551586</v>
      </c>
      <c r="P1624" s="19"/>
      <c r="Q1624" s="19"/>
      <c r="R1624" s="19"/>
      <c r="S1624" s="19"/>
      <c r="T1624" s="19"/>
      <c r="U1624" s="19"/>
      <c r="V1624" s="19"/>
      <c r="W1624" s="19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</row>
    <row r="1625" spans="1:36" ht="11.25" customHeight="1" x14ac:dyDescent="0.2">
      <c r="A1625" s="55" t="s">
        <v>21</v>
      </c>
      <c r="B1625" s="55" t="s">
        <v>22</v>
      </c>
      <c r="C1625" s="55" t="s">
        <v>23</v>
      </c>
      <c r="D1625" s="55" t="s">
        <v>24</v>
      </c>
      <c r="E1625" s="55" t="s">
        <v>30</v>
      </c>
      <c r="F1625" s="55" t="s">
        <v>25</v>
      </c>
      <c r="G1625" s="55" t="s">
        <v>25</v>
      </c>
      <c r="H1625" s="55" t="s">
        <v>25</v>
      </c>
      <c r="I1625" s="63">
        <v>44593</v>
      </c>
      <c r="J1625" s="64">
        <f>EFEITO!$J$1625*EFEITO!$Y$1521</f>
        <v>0</v>
      </c>
      <c r="K1625" s="64">
        <f ca="1">EFEITO!$L$1625*EFEITO!$Z$1680</f>
        <v>6426639.8239970664</v>
      </c>
      <c r="L1625" s="64">
        <f>EFEITO!$N$1625*EFEITO!$AA$1680</f>
        <v>5331788.7367980387</v>
      </c>
      <c r="M1625" s="64">
        <f>$J$1625-EFEITO!$K$1625*EFEITO!$Y$1625</f>
        <v>0</v>
      </c>
      <c r="N1625" s="64">
        <f ca="1">$K$1625-EFEITO!$M$1625*EFEITO!$Z$1625</f>
        <v>2570655.9295988264</v>
      </c>
      <c r="O1625" s="64">
        <f>$L$1625-EFEITO!$O$1625*EFEITO!$AA$1625</f>
        <v>2132715.4947192152</v>
      </c>
      <c r="P1625" s="19"/>
      <c r="Q1625" s="19"/>
      <c r="R1625" s="19"/>
      <c r="S1625" s="19"/>
      <c r="T1625" s="19"/>
      <c r="U1625" s="19"/>
      <c r="V1625" s="19"/>
      <c r="W1625" s="19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</row>
    <row r="1626" spans="1:36" ht="11.25" customHeight="1" x14ac:dyDescent="0.2">
      <c r="A1626" s="55" t="s">
        <v>27</v>
      </c>
      <c r="B1626" s="55" t="s">
        <v>22</v>
      </c>
      <c r="C1626" s="55" t="s">
        <v>23</v>
      </c>
      <c r="D1626" s="55" t="s">
        <v>24</v>
      </c>
      <c r="E1626" s="55" t="s">
        <v>30</v>
      </c>
      <c r="F1626" s="55" t="s">
        <v>25</v>
      </c>
      <c r="G1626" s="55" t="s">
        <v>25</v>
      </c>
      <c r="H1626" s="55" t="s">
        <v>25</v>
      </c>
      <c r="I1626" s="63">
        <v>44593</v>
      </c>
      <c r="J1626" s="64">
        <f>EFEITO!$J$1626*EFEITO!$Y$1521</f>
        <v>0</v>
      </c>
      <c r="K1626" s="64">
        <f ca="1">EFEITO!$L$1626*EFEITO!$Z$1680</f>
        <v>-1558.3337100245628</v>
      </c>
      <c r="L1626" s="64">
        <f>EFEITO!$N$1626*EFEITO!$AA$1680</f>
        <v>-1292.8538631116321</v>
      </c>
      <c r="M1626" s="64">
        <f>$J$1626-EFEITO!$K$1626*EFEITO!$Y$1626</f>
        <v>0</v>
      </c>
      <c r="N1626" s="64">
        <f ca="1">$K$1626-EFEITO!$M$1626*EFEITO!$Z$1626</f>
        <v>-623.33348400982504</v>
      </c>
      <c r="O1626" s="64">
        <f>$L$1626-EFEITO!$O$1626*EFEITO!$AA$1626</f>
        <v>-517.14154524465289</v>
      </c>
      <c r="P1626" s="19"/>
      <c r="Q1626" s="19"/>
      <c r="R1626" s="19"/>
      <c r="S1626" s="19"/>
      <c r="T1626" s="19"/>
      <c r="U1626" s="19"/>
      <c r="V1626" s="19"/>
      <c r="W1626" s="19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</row>
    <row r="1627" spans="1:36" ht="11.25" customHeight="1" x14ac:dyDescent="0.2">
      <c r="A1627" s="55" t="s">
        <v>28</v>
      </c>
      <c r="B1627" s="55" t="s">
        <v>22</v>
      </c>
      <c r="C1627" s="55" t="s">
        <v>23</v>
      </c>
      <c r="D1627" s="55" t="s">
        <v>24</v>
      </c>
      <c r="E1627" s="55" t="s">
        <v>30</v>
      </c>
      <c r="F1627" s="55" t="s">
        <v>25</v>
      </c>
      <c r="G1627" s="55" t="s">
        <v>25</v>
      </c>
      <c r="H1627" s="55" t="s">
        <v>25</v>
      </c>
      <c r="I1627" s="63">
        <v>44593</v>
      </c>
      <c r="J1627" s="64">
        <f>EFEITO!$J$1627*EFEITO!$Y$1521</f>
        <v>0</v>
      </c>
      <c r="K1627" s="64">
        <f ca="1">EFEITO!$L$1627*EFEITO!$Z$1680</f>
        <v>5455.0447669933355</v>
      </c>
      <c r="L1627" s="64">
        <f>EFEITO!$N$1627*EFEITO!$AA$1680</f>
        <v>4525.7159330417498</v>
      </c>
      <c r="M1627" s="64">
        <f>$J$1627-EFEITO!$K$1627*EFEITO!$Y$1627</f>
        <v>0</v>
      </c>
      <c r="N1627" s="64">
        <f ca="1">$K$1627-EFEITO!$M$1627*EFEITO!$Z$1627</f>
        <v>2182.017906797334</v>
      </c>
      <c r="O1627" s="64">
        <f>$L$1627-EFEITO!$O$1627*EFEITO!$AA$1627</f>
        <v>1810.2863732166998</v>
      </c>
      <c r="P1627" s="19"/>
      <c r="Q1627" s="19"/>
      <c r="R1627" s="19"/>
      <c r="S1627" s="19"/>
      <c r="T1627" s="19"/>
      <c r="U1627" s="19"/>
      <c r="V1627" s="19"/>
      <c r="W1627" s="19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</row>
    <row r="1628" spans="1:36" ht="11.25" customHeight="1" x14ac:dyDescent="0.2">
      <c r="A1628" s="55" t="s">
        <v>21</v>
      </c>
      <c r="B1628" s="55" t="s">
        <v>22</v>
      </c>
      <c r="C1628" s="55" t="s">
        <v>23</v>
      </c>
      <c r="D1628" s="55" t="s">
        <v>24</v>
      </c>
      <c r="E1628" s="55" t="s">
        <v>30</v>
      </c>
      <c r="F1628" s="55" t="s">
        <v>25</v>
      </c>
      <c r="G1628" s="55" t="s">
        <v>25</v>
      </c>
      <c r="H1628" s="55" t="s">
        <v>25</v>
      </c>
      <c r="I1628" s="63">
        <v>44621</v>
      </c>
      <c r="J1628" s="64">
        <f>EFEITO!$J$1628*EFEITO!$Y$1521</f>
        <v>0</v>
      </c>
      <c r="K1628" s="64">
        <f ca="1">EFEITO!$L$1628*EFEITO!$Z$1680</f>
        <v>7016908.4009769531</v>
      </c>
      <c r="L1628" s="64">
        <f>EFEITO!$N$1628*EFEITO!$AA$1680</f>
        <v>5821498.3574734619</v>
      </c>
      <c r="M1628" s="64">
        <f>$J$1628-EFEITO!$K$1628*EFEITO!$Y$1628</f>
        <v>0</v>
      </c>
      <c r="N1628" s="64">
        <f ca="1">$K$1628-EFEITO!$M$1628*EFEITO!$Z$1628</f>
        <v>2806763.3603907805</v>
      </c>
      <c r="O1628" s="64">
        <f>$L$1628-EFEITO!$O$1628*EFEITO!$AA$1628</f>
        <v>2328599.3429893847</v>
      </c>
      <c r="P1628" s="19"/>
      <c r="Q1628" s="19"/>
      <c r="R1628" s="19"/>
      <c r="S1628" s="19"/>
      <c r="T1628" s="19"/>
      <c r="U1628" s="19"/>
      <c r="V1628" s="19"/>
      <c r="W1628" s="19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</row>
    <row r="1629" spans="1:36" ht="11.25" customHeight="1" x14ac:dyDescent="0.2">
      <c r="A1629" s="55" t="s">
        <v>27</v>
      </c>
      <c r="B1629" s="55" t="s">
        <v>22</v>
      </c>
      <c r="C1629" s="55" t="s">
        <v>23</v>
      </c>
      <c r="D1629" s="55" t="s">
        <v>24</v>
      </c>
      <c r="E1629" s="55" t="s">
        <v>30</v>
      </c>
      <c r="F1629" s="55" t="s">
        <v>25</v>
      </c>
      <c r="G1629" s="55" t="s">
        <v>25</v>
      </c>
      <c r="H1629" s="55" t="s">
        <v>25</v>
      </c>
      <c r="I1629" s="63">
        <v>44621</v>
      </c>
      <c r="J1629" s="64">
        <f>EFEITO!$J$1629*EFEITO!$Y$1521</f>
        <v>0</v>
      </c>
      <c r="K1629" s="64">
        <f ca="1">EFEITO!$L$1629*EFEITO!$Z$1680</f>
        <v>-846.38680124364862</v>
      </c>
      <c r="L1629" s="64">
        <f>EFEITO!$N$1629*EFEITO!$AA$1680</f>
        <v>-702.19519646873334</v>
      </c>
      <c r="M1629" s="64">
        <f>$J$1629-EFEITO!$K$1629*EFEITO!$Y$1629</f>
        <v>0</v>
      </c>
      <c r="N1629" s="64">
        <f ca="1">$K$1629-EFEITO!$M$1629*EFEITO!$Z$1629</f>
        <v>-338.55472049745947</v>
      </c>
      <c r="O1629" s="64">
        <f>$L$1629-EFEITO!$O$1629*EFEITO!$AA$1629</f>
        <v>-280.87807858749329</v>
      </c>
      <c r="P1629" s="19"/>
      <c r="Q1629" s="19"/>
      <c r="R1629" s="19"/>
      <c r="S1629" s="19"/>
      <c r="T1629" s="19"/>
      <c r="U1629" s="19"/>
      <c r="V1629" s="19"/>
      <c r="W1629" s="19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</row>
    <row r="1630" spans="1:36" ht="11.25" customHeight="1" x14ac:dyDescent="0.2">
      <c r="A1630" s="55" t="s">
        <v>28</v>
      </c>
      <c r="B1630" s="55" t="s">
        <v>22</v>
      </c>
      <c r="C1630" s="55" t="s">
        <v>23</v>
      </c>
      <c r="D1630" s="55" t="s">
        <v>24</v>
      </c>
      <c r="E1630" s="55" t="s">
        <v>30</v>
      </c>
      <c r="F1630" s="55" t="s">
        <v>25</v>
      </c>
      <c r="G1630" s="55" t="s">
        <v>25</v>
      </c>
      <c r="H1630" s="55" t="s">
        <v>25</v>
      </c>
      <c r="I1630" s="63">
        <v>44621</v>
      </c>
      <c r="J1630" s="64">
        <f>EFEITO!$J$1630*EFEITO!$Y$1521</f>
        <v>0</v>
      </c>
      <c r="K1630" s="64">
        <f ca="1">EFEITO!$L$1630*EFEITO!$Z$1680</f>
        <v>5423.7728789639605</v>
      </c>
      <c r="L1630" s="64">
        <f>EFEITO!$N$1630*EFEITO!$AA$1680</f>
        <v>4499.771566321393</v>
      </c>
      <c r="M1630" s="64">
        <f>$J$1630-EFEITO!$K$1630*EFEITO!$Y$1630</f>
        <v>0</v>
      </c>
      <c r="N1630" s="64">
        <f ca="1">$K$1630-EFEITO!$M$1630*EFEITO!$Z$1630</f>
        <v>2169.5091515855838</v>
      </c>
      <c r="O1630" s="64">
        <f>$L$1630-EFEITO!$O$1630*EFEITO!$AA$1630</f>
        <v>1799.9086265285569</v>
      </c>
      <c r="P1630" s="19"/>
      <c r="Q1630" s="19"/>
      <c r="R1630" s="19"/>
      <c r="S1630" s="19"/>
      <c r="T1630" s="19"/>
      <c r="U1630" s="19"/>
      <c r="V1630" s="19"/>
      <c r="W1630" s="19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</row>
    <row r="1631" spans="1:36" ht="11.25" customHeight="1" x14ac:dyDescent="0.2">
      <c r="A1631" s="55" t="s">
        <v>21</v>
      </c>
      <c r="B1631" s="55" t="s">
        <v>22</v>
      </c>
      <c r="C1631" s="55" t="s">
        <v>23</v>
      </c>
      <c r="D1631" s="55" t="s">
        <v>24</v>
      </c>
      <c r="E1631" s="55" t="s">
        <v>30</v>
      </c>
      <c r="F1631" s="55" t="s">
        <v>25</v>
      </c>
      <c r="G1631" s="55" t="s">
        <v>25</v>
      </c>
      <c r="H1631" s="55" t="s">
        <v>25</v>
      </c>
      <c r="I1631" s="63">
        <v>44652</v>
      </c>
      <c r="J1631" s="64">
        <f>EFEITO!$J$1631*EFEITO!$Y$1521</f>
        <v>0</v>
      </c>
      <c r="K1631" s="64">
        <f ca="1">EFEITO!$L$1631*EFEITO!$Z$1680</f>
        <v>6816151.0631261673</v>
      </c>
      <c r="L1631" s="64">
        <f>EFEITO!$N$1631*EFEITO!$AA$1680</f>
        <v>5654942.3123088451</v>
      </c>
      <c r="M1631" s="64">
        <f>$J$1631-EFEITO!$K$1631*EFEITO!$Y$1631</f>
        <v>0</v>
      </c>
      <c r="N1631" s="64">
        <f ca="1">$K$1631-EFEITO!$M$1631*EFEITO!$Z$1631</f>
        <v>2726460.4252504669</v>
      </c>
      <c r="O1631" s="64">
        <f>$L$1631-EFEITO!$O$1631*EFEITO!$AA$1631</f>
        <v>2261976.9249235378</v>
      </c>
      <c r="P1631" s="19"/>
      <c r="Q1631" s="19"/>
      <c r="R1631" s="19"/>
      <c r="S1631" s="19"/>
      <c r="T1631" s="19"/>
      <c r="U1631" s="19"/>
      <c r="V1631" s="19"/>
      <c r="W1631" s="19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</row>
    <row r="1632" spans="1:36" ht="11.25" customHeight="1" x14ac:dyDescent="0.2">
      <c r="A1632" s="55" t="s">
        <v>27</v>
      </c>
      <c r="B1632" s="55" t="s">
        <v>22</v>
      </c>
      <c r="C1632" s="55" t="s">
        <v>23</v>
      </c>
      <c r="D1632" s="55" t="s">
        <v>24</v>
      </c>
      <c r="E1632" s="55" t="s">
        <v>30</v>
      </c>
      <c r="F1632" s="55" t="s">
        <v>25</v>
      </c>
      <c r="G1632" s="55" t="s">
        <v>25</v>
      </c>
      <c r="H1632" s="55" t="s">
        <v>25</v>
      </c>
      <c r="I1632" s="63">
        <v>44652</v>
      </c>
      <c r="J1632" s="64">
        <f>EFEITO!$J$1632*EFEITO!$Y$1521</f>
        <v>0</v>
      </c>
      <c r="K1632" s="64">
        <f ca="1">EFEITO!$L$1632*EFEITO!$Z$1680</f>
        <v>-1056.2299377398294</v>
      </c>
      <c r="L1632" s="64">
        <f>EFEITO!$N$1632*EFEITO!$AA$1680</f>
        <v>-876.28917128384069</v>
      </c>
      <c r="M1632" s="64">
        <f>$J$1632-EFEITO!$K$1632*EFEITO!$Y$1632</f>
        <v>0</v>
      </c>
      <c r="N1632" s="64">
        <f ca="1">$K$1632-EFEITO!$M$1632*EFEITO!$Z$1632</f>
        <v>-422.49197509593182</v>
      </c>
      <c r="O1632" s="64">
        <f>$L$1632-EFEITO!$O$1632*EFEITO!$AA$1632</f>
        <v>-350.5156685135363</v>
      </c>
      <c r="P1632" s="19"/>
      <c r="Q1632" s="19"/>
      <c r="R1632" s="19"/>
      <c r="S1632" s="19"/>
      <c r="T1632" s="19"/>
      <c r="U1632" s="19"/>
      <c r="V1632" s="19"/>
      <c r="W1632" s="19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</row>
    <row r="1633" spans="1:36" ht="11.25" customHeight="1" x14ac:dyDescent="0.2">
      <c r="A1633" s="55" t="s">
        <v>28</v>
      </c>
      <c r="B1633" s="55" t="s">
        <v>22</v>
      </c>
      <c r="C1633" s="55" t="s">
        <v>23</v>
      </c>
      <c r="D1633" s="55" t="s">
        <v>24</v>
      </c>
      <c r="E1633" s="55" t="s">
        <v>30</v>
      </c>
      <c r="F1633" s="55" t="s">
        <v>25</v>
      </c>
      <c r="G1633" s="55" t="s">
        <v>25</v>
      </c>
      <c r="H1633" s="55" t="s">
        <v>25</v>
      </c>
      <c r="I1633" s="63">
        <v>44652</v>
      </c>
      <c r="J1633" s="64">
        <f>EFEITO!$J$1633*EFEITO!$Y$1521</f>
        <v>0</v>
      </c>
      <c r="K1633" s="64">
        <f ca="1">EFEITO!$L$1633*EFEITO!$Z$1680</f>
        <v>5473.1649264122261</v>
      </c>
      <c r="L1633" s="64">
        <f>EFEITO!$N$1633*EFEITO!$AA$1680</f>
        <v>4540.7491174965371</v>
      </c>
      <c r="M1633" s="64">
        <f>$J$1633-EFEITO!$K$1633*EFEITO!$Y$1633</f>
        <v>0</v>
      </c>
      <c r="N1633" s="64">
        <f ca="1">$K$1633-EFEITO!$M$1633*EFEITO!$Z$1633</f>
        <v>2189.2659705648903</v>
      </c>
      <c r="O1633" s="64">
        <f>$L$1633-EFEITO!$O$1633*EFEITO!$AA$1633</f>
        <v>1816.2996469986147</v>
      </c>
      <c r="P1633" s="19"/>
      <c r="Q1633" s="19"/>
      <c r="R1633" s="19"/>
      <c r="S1633" s="19"/>
      <c r="T1633" s="19"/>
      <c r="U1633" s="19"/>
      <c r="V1633" s="19"/>
      <c r="W1633" s="19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</row>
    <row r="1634" spans="1:36" ht="11.25" customHeight="1" x14ac:dyDescent="0.2">
      <c r="A1634" s="55" t="s">
        <v>21</v>
      </c>
      <c r="B1634" s="55" t="s">
        <v>22</v>
      </c>
      <c r="C1634" s="55" t="s">
        <v>23</v>
      </c>
      <c r="D1634" s="55" t="s">
        <v>24</v>
      </c>
      <c r="E1634" s="55" t="s">
        <v>30</v>
      </c>
      <c r="F1634" s="55" t="s">
        <v>25</v>
      </c>
      <c r="G1634" s="55" t="s">
        <v>25</v>
      </c>
      <c r="H1634" s="55" t="s">
        <v>25</v>
      </c>
      <c r="I1634" s="63">
        <v>44682</v>
      </c>
      <c r="J1634" s="64">
        <f>EFEITO!$J$1634*EFEITO!$Y$1521</f>
        <v>0</v>
      </c>
      <c r="K1634" s="64">
        <f ca="1">EFEITO!$L$1634*EFEITO!$Z$1680</f>
        <v>6794302.2425158862</v>
      </c>
      <c r="L1634" s="64">
        <f>EFEITO!$N$1634*EFEITO!$AA$1680</f>
        <v>5636815.6864464106</v>
      </c>
      <c r="M1634" s="64">
        <f>$J$1634-EFEITO!$K$1634*EFEITO!$Y$1634</f>
        <v>0</v>
      </c>
      <c r="N1634" s="64">
        <f ca="1">$K$1634-EFEITO!$M$1634*EFEITO!$Z$1634</f>
        <v>2717720.8970063543</v>
      </c>
      <c r="O1634" s="64">
        <f>$L$1634-EFEITO!$O$1634*EFEITO!$AA$1634</f>
        <v>2254726.2745785643</v>
      </c>
      <c r="P1634" s="19"/>
      <c r="Q1634" s="19"/>
      <c r="R1634" s="19"/>
      <c r="S1634" s="19"/>
      <c r="T1634" s="19"/>
      <c r="U1634" s="19"/>
      <c r="V1634" s="19"/>
      <c r="W1634" s="19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</row>
    <row r="1635" spans="1:36" ht="11.25" customHeight="1" x14ac:dyDescent="0.2">
      <c r="A1635" s="55" t="s">
        <v>27</v>
      </c>
      <c r="B1635" s="55" t="s">
        <v>22</v>
      </c>
      <c r="C1635" s="55" t="s">
        <v>23</v>
      </c>
      <c r="D1635" s="55" t="s">
        <v>24</v>
      </c>
      <c r="E1635" s="55" t="s">
        <v>30</v>
      </c>
      <c r="F1635" s="55" t="s">
        <v>25</v>
      </c>
      <c r="G1635" s="55" t="s">
        <v>25</v>
      </c>
      <c r="H1635" s="55" t="s">
        <v>25</v>
      </c>
      <c r="I1635" s="63">
        <v>44682</v>
      </c>
      <c r="J1635" s="64">
        <f>EFEITO!$J$1635*EFEITO!$Y$1521</f>
        <v>0</v>
      </c>
      <c r="K1635" s="64">
        <f ca="1">EFEITO!$L$1635*EFEITO!$Z$1680</f>
        <v>-1084.8714800471078</v>
      </c>
      <c r="L1635" s="64">
        <f>EFEITO!$N$1635*EFEITO!$AA$1680</f>
        <v>-900.05130155108372</v>
      </c>
      <c r="M1635" s="64">
        <f>$J$1635-EFEITO!$K$1635*EFEITO!$Y$1635</f>
        <v>0</v>
      </c>
      <c r="N1635" s="64">
        <f ca="1">$K$1635-EFEITO!$M$1635*EFEITO!$Z$1635</f>
        <v>-433.9485920188431</v>
      </c>
      <c r="O1635" s="64">
        <f>$L$1635-EFEITO!$O$1635*EFEITO!$AA$1635</f>
        <v>-360.02052062043344</v>
      </c>
      <c r="P1635" s="19"/>
      <c r="Q1635" s="19"/>
      <c r="R1635" s="19"/>
      <c r="S1635" s="19"/>
      <c r="T1635" s="19"/>
      <c r="U1635" s="19"/>
      <c r="V1635" s="19"/>
      <c r="W1635" s="19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</row>
    <row r="1636" spans="1:36" ht="11.25" customHeight="1" x14ac:dyDescent="0.2">
      <c r="A1636" s="55" t="s">
        <v>28</v>
      </c>
      <c r="B1636" s="55" t="s">
        <v>22</v>
      </c>
      <c r="C1636" s="55" t="s">
        <v>23</v>
      </c>
      <c r="D1636" s="55" t="s">
        <v>24</v>
      </c>
      <c r="E1636" s="55" t="s">
        <v>30</v>
      </c>
      <c r="F1636" s="55" t="s">
        <v>25</v>
      </c>
      <c r="G1636" s="55" t="s">
        <v>25</v>
      </c>
      <c r="H1636" s="55" t="s">
        <v>25</v>
      </c>
      <c r="I1636" s="63">
        <v>44682</v>
      </c>
      <c r="J1636" s="64">
        <f>EFEITO!$J$1636*EFEITO!$Y$1521</f>
        <v>0</v>
      </c>
      <c r="K1636" s="64">
        <f ca="1">EFEITO!$L$1636*EFEITO!$Z$1680</f>
        <v>5294.3014173096317</v>
      </c>
      <c r="L1636" s="64">
        <f>EFEITO!$N$1636*EFEITO!$AA$1680</f>
        <v>4392.3570386847741</v>
      </c>
      <c r="M1636" s="64">
        <f>$J$1636-EFEITO!$K$1636*EFEITO!$Y$1636</f>
        <v>0</v>
      </c>
      <c r="N1636" s="64">
        <f ca="1">$K$1636-EFEITO!$M$1636*EFEITO!$Z$1636</f>
        <v>2117.7205669238529</v>
      </c>
      <c r="O1636" s="64">
        <f>$L$1636-EFEITO!$O$1636*EFEITO!$AA$1636</f>
        <v>1756.9428154739098</v>
      </c>
      <c r="P1636" s="19"/>
      <c r="Q1636" s="19"/>
      <c r="R1636" s="19"/>
      <c r="S1636" s="19"/>
      <c r="T1636" s="19"/>
      <c r="U1636" s="19"/>
      <c r="V1636" s="19"/>
      <c r="W1636" s="19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</row>
    <row r="1637" spans="1:36" ht="11.25" customHeight="1" x14ac:dyDescent="0.2">
      <c r="A1637" s="55" t="s">
        <v>21</v>
      </c>
      <c r="B1637" s="55" t="s">
        <v>22</v>
      </c>
      <c r="C1637" s="55" t="s">
        <v>23</v>
      </c>
      <c r="D1637" s="55" t="s">
        <v>24</v>
      </c>
      <c r="E1637" s="55" t="s">
        <v>30</v>
      </c>
      <c r="F1637" s="55" t="s">
        <v>25</v>
      </c>
      <c r="G1637" s="55" t="s">
        <v>25</v>
      </c>
      <c r="H1637" s="55" t="s">
        <v>25</v>
      </c>
      <c r="I1637" s="63">
        <v>44713</v>
      </c>
      <c r="J1637" s="64">
        <f>EFEITO!$J$1637*EFEITO!$Y$1521</f>
        <v>0</v>
      </c>
      <c r="K1637" s="64">
        <f ca="1">EFEITO!$L$1637*EFEITO!$Z$1680</f>
        <v>6271511.0933874957</v>
      </c>
      <c r="L1637" s="64">
        <f>EFEITO!$N$1637*EFEITO!$AA$1680</f>
        <v>5203087.9473855933</v>
      </c>
      <c r="M1637" s="64">
        <f>$J$1637-EFEITO!$K$1637*EFEITO!$Y$1637</f>
        <v>0</v>
      </c>
      <c r="N1637" s="64">
        <f ca="1">$K$1637-EFEITO!$M$1637*EFEITO!$Z$1637</f>
        <v>2508604.4373549982</v>
      </c>
      <c r="O1637" s="64">
        <f>$L$1637-EFEITO!$O$1637*EFEITO!$AA$1637</f>
        <v>2081235.1789542371</v>
      </c>
      <c r="P1637" s="19"/>
      <c r="Q1637" s="19"/>
      <c r="R1637" s="19"/>
      <c r="S1637" s="19"/>
      <c r="T1637" s="19"/>
      <c r="U1637" s="19"/>
      <c r="V1637" s="19"/>
      <c r="W1637" s="19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</row>
    <row r="1638" spans="1:36" ht="11.25" customHeight="1" x14ac:dyDescent="0.2">
      <c r="A1638" s="55" t="s">
        <v>27</v>
      </c>
      <c r="B1638" s="55" t="s">
        <v>22</v>
      </c>
      <c r="C1638" s="55" t="s">
        <v>23</v>
      </c>
      <c r="D1638" s="55" t="s">
        <v>24</v>
      </c>
      <c r="E1638" s="55" t="s">
        <v>30</v>
      </c>
      <c r="F1638" s="55" t="s">
        <v>25</v>
      </c>
      <c r="G1638" s="55" t="s">
        <v>25</v>
      </c>
      <c r="H1638" s="55" t="s">
        <v>25</v>
      </c>
      <c r="I1638" s="63">
        <v>44713</v>
      </c>
      <c r="J1638" s="64">
        <f>EFEITO!$J$1638*EFEITO!$Y$1521</f>
        <v>0</v>
      </c>
      <c r="K1638" s="64">
        <f ca="1">EFEITO!$L$1638*EFEITO!$Z$1680</f>
        <v>-940.20246533177408</v>
      </c>
      <c r="L1638" s="64">
        <f>EFEITO!$N$1638*EFEITO!$AA$1680</f>
        <v>-780.02829662980503</v>
      </c>
      <c r="M1638" s="64">
        <f>$J$1638-EFEITO!$K$1638*EFEITO!$Y$1638</f>
        <v>0</v>
      </c>
      <c r="N1638" s="64">
        <f ca="1">$K$1638-EFEITO!$M$1638*EFEITO!$Z$1638</f>
        <v>-376.08098613270965</v>
      </c>
      <c r="O1638" s="64">
        <f>$L$1638-EFEITO!$O$1638*EFEITO!$AA$1638</f>
        <v>-312.01131865192195</v>
      </c>
      <c r="P1638" s="19"/>
      <c r="Q1638" s="19"/>
      <c r="R1638" s="19"/>
      <c r="S1638" s="19"/>
      <c r="T1638" s="19"/>
      <c r="U1638" s="19"/>
      <c r="V1638" s="19"/>
      <c r="W1638" s="19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</row>
    <row r="1639" spans="1:36" ht="11.25" customHeight="1" x14ac:dyDescent="0.2">
      <c r="A1639" s="55" t="s">
        <v>28</v>
      </c>
      <c r="B1639" s="55" t="s">
        <v>22</v>
      </c>
      <c r="C1639" s="55" t="s">
        <v>23</v>
      </c>
      <c r="D1639" s="55" t="s">
        <v>24</v>
      </c>
      <c r="E1639" s="55" t="s">
        <v>30</v>
      </c>
      <c r="F1639" s="55" t="s">
        <v>25</v>
      </c>
      <c r="G1639" s="55" t="s">
        <v>25</v>
      </c>
      <c r="H1639" s="55" t="s">
        <v>25</v>
      </c>
      <c r="I1639" s="63">
        <v>44713</v>
      </c>
      <c r="J1639" s="64">
        <f>EFEITO!$J$1639*EFEITO!$Y$1521</f>
        <v>0</v>
      </c>
      <c r="K1639" s="64">
        <f ca="1">EFEITO!$L$1639*EFEITO!$Z$1680</f>
        <v>5748.4744453250432</v>
      </c>
      <c r="L1639" s="64">
        <f>EFEITO!$N$1639*EFEITO!$AA$1680</f>
        <v>4769.1565329224859</v>
      </c>
      <c r="M1639" s="64">
        <f>$J$1639-EFEITO!$K$1639*EFEITO!$Y$1639</f>
        <v>0</v>
      </c>
      <c r="N1639" s="64">
        <f ca="1">$K$1639-EFEITO!$M$1639*EFEITO!$Z$1639</f>
        <v>2299.3897781300175</v>
      </c>
      <c r="O1639" s="64">
        <f>$L$1639-EFEITO!$O$1639*EFEITO!$AA$1639</f>
        <v>1907.6626131689945</v>
      </c>
      <c r="P1639" s="19"/>
      <c r="Q1639" s="19"/>
      <c r="R1639" s="19"/>
      <c r="S1639" s="19"/>
      <c r="T1639" s="19"/>
      <c r="U1639" s="19"/>
      <c r="V1639" s="19"/>
      <c r="W1639" s="19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</row>
    <row r="1640" spans="1:36" ht="11.25" customHeight="1" x14ac:dyDescent="0.2">
      <c r="A1640" s="55" t="s">
        <v>57</v>
      </c>
      <c r="B1640" s="55" t="s">
        <v>22</v>
      </c>
      <c r="C1640" s="55" t="s">
        <v>23</v>
      </c>
      <c r="D1640" s="55" t="s">
        <v>24</v>
      </c>
      <c r="E1640" s="55" t="s">
        <v>30</v>
      </c>
      <c r="F1640" s="55" t="s">
        <v>25</v>
      </c>
      <c r="G1640" s="55" t="s">
        <v>25</v>
      </c>
      <c r="H1640" s="55" t="s">
        <v>25</v>
      </c>
      <c r="I1640" s="63">
        <v>44743</v>
      </c>
      <c r="J1640" s="64">
        <f>EFEITO!$J$1640*EFEITO!$Y$1521</f>
        <v>0</v>
      </c>
      <c r="K1640" s="64">
        <f ca="1">EFEITO!$L$1640*EFEITO!$Z$1680</f>
        <v>6271511.0933874957</v>
      </c>
      <c r="L1640" s="64">
        <f>EFEITO!$N$1640*EFEITO!$AA$1680</f>
        <v>5203087.9473855933</v>
      </c>
      <c r="M1640" s="64">
        <f>$J$1640-EFEITO!$K$1640*EFEITO!$Y$1640</f>
        <v>0</v>
      </c>
      <c r="N1640" s="64">
        <f ca="1">$K$1640-EFEITO!$M$1640*EFEITO!$Z$1640</f>
        <v>2508604.4373549982</v>
      </c>
      <c r="O1640" s="64">
        <f>$L$1640-EFEITO!$O$1640*EFEITO!$AA$1640</f>
        <v>2081235.1789542371</v>
      </c>
      <c r="P1640" s="19"/>
      <c r="Q1640" s="19"/>
      <c r="R1640" s="19"/>
      <c r="S1640" s="19"/>
      <c r="T1640" s="19"/>
      <c r="U1640" s="19"/>
      <c r="V1640" s="19"/>
      <c r="W1640" s="19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</row>
    <row r="1641" spans="1:36" ht="11.25" customHeight="1" x14ac:dyDescent="0.2">
      <c r="A1641" s="55" t="s">
        <v>57</v>
      </c>
      <c r="B1641" s="55" t="s">
        <v>22</v>
      </c>
      <c r="C1641" s="55" t="s">
        <v>23</v>
      </c>
      <c r="D1641" s="55" t="s">
        <v>24</v>
      </c>
      <c r="E1641" s="55" t="s">
        <v>30</v>
      </c>
      <c r="F1641" s="55" t="s">
        <v>25</v>
      </c>
      <c r="G1641" s="55" t="s">
        <v>25</v>
      </c>
      <c r="H1641" s="55" t="s">
        <v>25</v>
      </c>
      <c r="I1641" s="63">
        <v>44743</v>
      </c>
      <c r="J1641" s="64">
        <f>EFEITO!$J$1641*EFEITO!$Y$1521</f>
        <v>0</v>
      </c>
      <c r="K1641" s="64">
        <f ca="1">EFEITO!$L$1641*EFEITO!$Z$1680</f>
        <v>-940.20246533177408</v>
      </c>
      <c r="L1641" s="64">
        <f>EFEITO!$N$1641*EFEITO!$AA$1680</f>
        <v>-780.02829662980503</v>
      </c>
      <c r="M1641" s="64">
        <f>$J$1641-EFEITO!$K$1641*EFEITO!$Y$1641</f>
        <v>0</v>
      </c>
      <c r="N1641" s="64">
        <f ca="1">$K$1641-EFEITO!$M$1641*EFEITO!$Z$1641</f>
        <v>-376.08098613270965</v>
      </c>
      <c r="O1641" s="64">
        <f>$L$1641-EFEITO!$O$1641*EFEITO!$AA$1641</f>
        <v>-312.01131865192195</v>
      </c>
      <c r="P1641" s="19"/>
      <c r="Q1641" s="19"/>
      <c r="R1641" s="19"/>
      <c r="S1641" s="19"/>
      <c r="T1641" s="19"/>
      <c r="U1641" s="19"/>
      <c r="V1641" s="19"/>
      <c r="W1641" s="19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</row>
    <row r="1642" spans="1:36" ht="11.25" customHeight="1" x14ac:dyDescent="0.2">
      <c r="A1642" s="55" t="s">
        <v>57</v>
      </c>
      <c r="B1642" s="55" t="s">
        <v>22</v>
      </c>
      <c r="C1642" s="55" t="s">
        <v>23</v>
      </c>
      <c r="D1642" s="55" t="s">
        <v>24</v>
      </c>
      <c r="E1642" s="55" t="s">
        <v>30</v>
      </c>
      <c r="F1642" s="55" t="s">
        <v>25</v>
      </c>
      <c r="G1642" s="55" t="s">
        <v>25</v>
      </c>
      <c r="H1642" s="55" t="s">
        <v>25</v>
      </c>
      <c r="I1642" s="63">
        <v>44743</v>
      </c>
      <c r="J1642" s="64">
        <f>EFEITO!$J$1642*EFEITO!$Y$1521</f>
        <v>0</v>
      </c>
      <c r="K1642" s="64">
        <f ca="1">EFEITO!$L$1642*EFEITO!$Z$1680</f>
        <v>5748.4744453250432</v>
      </c>
      <c r="L1642" s="64">
        <f>EFEITO!$N$1642*EFEITO!$AA$1680</f>
        <v>4769.1565329224859</v>
      </c>
      <c r="M1642" s="64">
        <f>$J$1642-EFEITO!$K$1642*EFEITO!$Y$1642</f>
        <v>0</v>
      </c>
      <c r="N1642" s="64">
        <f ca="1">$K$1642-EFEITO!$M$1642*EFEITO!$Z$1642</f>
        <v>2299.3897781300175</v>
      </c>
      <c r="O1642" s="64">
        <f>$L$1642-EFEITO!$O$1642*EFEITO!$AA$1642</f>
        <v>1907.6626131689945</v>
      </c>
      <c r="P1642" s="19"/>
      <c r="Q1642" s="19"/>
      <c r="R1642" s="19"/>
      <c r="S1642" s="19"/>
      <c r="T1642" s="19"/>
      <c r="U1642" s="19"/>
      <c r="V1642" s="19"/>
      <c r="W1642" s="19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</row>
    <row r="1643" spans="1:36" ht="11.25" customHeight="1" x14ac:dyDescent="0.2">
      <c r="A1643" s="55" t="s">
        <v>21</v>
      </c>
      <c r="B1643" s="55" t="s">
        <v>22</v>
      </c>
      <c r="C1643" s="55" t="s">
        <v>23</v>
      </c>
      <c r="D1643" s="55" t="s">
        <v>24</v>
      </c>
      <c r="E1643" s="55" t="s">
        <v>31</v>
      </c>
      <c r="F1643" s="55" t="s">
        <v>25</v>
      </c>
      <c r="G1643" s="55" t="s">
        <v>25</v>
      </c>
      <c r="H1643" s="55" t="s">
        <v>25</v>
      </c>
      <c r="I1643" s="63">
        <v>44409</v>
      </c>
      <c r="J1643" s="64">
        <f>EFEITO!$J$1643*EFEITO!$Y$1521</f>
        <v>0</v>
      </c>
      <c r="K1643" s="64">
        <f ca="1">EFEITO!$L$1643*EFEITO!$Z$1680</f>
        <v>3026794.059677152</v>
      </c>
      <c r="L1643" s="64">
        <f>EFEITO!$N$1643*EFEITO!$AA$1680</f>
        <v>2511145.3135639764</v>
      </c>
      <c r="M1643" s="64">
        <f>$J$1643-EFEITO!$K$1643*EFEITO!$Y$1643</f>
        <v>0</v>
      </c>
      <c r="N1643" s="64">
        <f ca="1">$K$1643-EFEITO!$M$1643*EFEITO!$Z$1643</f>
        <v>302679.40596771473</v>
      </c>
      <c r="O1643" s="64">
        <f>$L$1643-EFEITO!$O$1643*EFEITO!$AA$1643</f>
        <v>251114.53135639755</v>
      </c>
      <c r="P1643" s="19"/>
      <c r="Q1643" s="19"/>
      <c r="R1643" s="19"/>
      <c r="S1643" s="19"/>
      <c r="T1643" s="19"/>
      <c r="U1643" s="19"/>
      <c r="V1643" s="19"/>
      <c r="W1643" s="19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</row>
    <row r="1644" spans="1:36" ht="11.25" customHeight="1" x14ac:dyDescent="0.2">
      <c r="A1644" s="55" t="s">
        <v>27</v>
      </c>
      <c r="B1644" s="55" t="s">
        <v>22</v>
      </c>
      <c r="C1644" s="55" t="s">
        <v>23</v>
      </c>
      <c r="D1644" s="55" t="s">
        <v>24</v>
      </c>
      <c r="E1644" s="55" t="s">
        <v>31</v>
      </c>
      <c r="F1644" s="55" t="s">
        <v>25</v>
      </c>
      <c r="G1644" s="55" t="s">
        <v>25</v>
      </c>
      <c r="H1644" s="55" t="s">
        <v>25</v>
      </c>
      <c r="I1644" s="63">
        <v>44409</v>
      </c>
      <c r="J1644" s="64">
        <f>EFEITO!$J$1644*EFEITO!$Y$1521</f>
        <v>0</v>
      </c>
      <c r="K1644" s="64">
        <f ca="1">EFEITO!$L$1644*EFEITO!$Z$1680</f>
        <v>-872.69025846461841</v>
      </c>
      <c r="L1644" s="64">
        <f>EFEITO!$N$1644*EFEITO!$AA$1680</f>
        <v>-724.01756099987506</v>
      </c>
      <c r="M1644" s="64">
        <f>$J$1644-EFEITO!$K$1644*EFEITO!$Y$1644</f>
        <v>0</v>
      </c>
      <c r="N1644" s="64">
        <f ca="1">$K$1644-EFEITO!$M$1644*EFEITO!$Z$1644</f>
        <v>-87.269025846461773</v>
      </c>
      <c r="O1644" s="64">
        <f>$L$1644-EFEITO!$O$1644*EFEITO!$AA$1644</f>
        <v>-72.401756099987551</v>
      </c>
      <c r="P1644" s="19"/>
      <c r="Q1644" s="19"/>
      <c r="R1644" s="19"/>
      <c r="S1644" s="19"/>
      <c r="T1644" s="19"/>
      <c r="U1644" s="19"/>
      <c r="V1644" s="19"/>
      <c r="W1644" s="19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</row>
    <row r="1645" spans="1:36" ht="11.25" customHeight="1" x14ac:dyDescent="0.2">
      <c r="A1645" s="55" t="s">
        <v>28</v>
      </c>
      <c r="B1645" s="55" t="s">
        <v>22</v>
      </c>
      <c r="C1645" s="55" t="s">
        <v>23</v>
      </c>
      <c r="D1645" s="55" t="s">
        <v>24</v>
      </c>
      <c r="E1645" s="55" t="s">
        <v>31</v>
      </c>
      <c r="F1645" s="55" t="s">
        <v>25</v>
      </c>
      <c r="G1645" s="55" t="s">
        <v>25</v>
      </c>
      <c r="H1645" s="55" t="s">
        <v>25</v>
      </c>
      <c r="I1645" s="63">
        <v>44409</v>
      </c>
      <c r="J1645" s="64">
        <f>EFEITO!$J$1645*EFEITO!$Y$1521</f>
        <v>0</v>
      </c>
      <c r="K1645" s="64">
        <f ca="1">EFEITO!$L$1645*EFEITO!$Z$1680</f>
        <v>4082.8810819660812</v>
      </c>
      <c r="L1645" s="64">
        <f>EFEITO!$N$1645*EFEITO!$AA$1680</f>
        <v>3387.3159166671985</v>
      </c>
      <c r="M1645" s="64">
        <f>$J$1645-EFEITO!$K$1645*EFEITO!$Y$1645</f>
        <v>0</v>
      </c>
      <c r="N1645" s="64">
        <f ca="1">$K$1645-EFEITO!$M$1645*EFEITO!$Z$1645</f>
        <v>408.28810819660794</v>
      </c>
      <c r="O1645" s="64">
        <f>$L$1645-EFEITO!$O$1645*EFEITO!$AA$1645</f>
        <v>338.73159166672031</v>
      </c>
      <c r="P1645" s="19"/>
      <c r="Q1645" s="19"/>
      <c r="R1645" s="19"/>
      <c r="S1645" s="19"/>
      <c r="T1645" s="19"/>
      <c r="U1645" s="19"/>
      <c r="V1645" s="19"/>
      <c r="W1645" s="19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</row>
    <row r="1646" spans="1:36" ht="11.25" customHeight="1" x14ac:dyDescent="0.2">
      <c r="A1646" s="55" t="s">
        <v>21</v>
      </c>
      <c r="B1646" s="55" t="s">
        <v>22</v>
      </c>
      <c r="C1646" s="55" t="s">
        <v>23</v>
      </c>
      <c r="D1646" s="55" t="s">
        <v>24</v>
      </c>
      <c r="E1646" s="55" t="s">
        <v>31</v>
      </c>
      <c r="F1646" s="55" t="s">
        <v>25</v>
      </c>
      <c r="G1646" s="55" t="s">
        <v>25</v>
      </c>
      <c r="H1646" s="55" t="s">
        <v>25</v>
      </c>
      <c r="I1646" s="63">
        <v>44440</v>
      </c>
      <c r="J1646" s="64">
        <f>EFEITO!$J$1646*EFEITO!$Y$1521</f>
        <v>0</v>
      </c>
      <c r="K1646" s="64">
        <f ca="1">EFEITO!$L$1646*EFEITO!$Z$1680</f>
        <v>2950186.7018242572</v>
      </c>
      <c r="L1646" s="64">
        <f>EFEITO!$N$1646*EFEITO!$AA$1680</f>
        <v>2447588.8892206121</v>
      </c>
      <c r="M1646" s="64">
        <f>$J$1646-EFEITO!$K$1646*EFEITO!$Y$1646</f>
        <v>0</v>
      </c>
      <c r="N1646" s="64">
        <f ca="1">$K$1646-EFEITO!$M$1646*EFEITO!$Z$1646</f>
        <v>295018.67018242553</v>
      </c>
      <c r="O1646" s="64">
        <f>$L$1646-EFEITO!$O$1646*EFEITO!$AA$1646</f>
        <v>244758.88892206131</v>
      </c>
      <c r="P1646" s="19"/>
      <c r="Q1646" s="19"/>
      <c r="R1646" s="19"/>
      <c r="S1646" s="19"/>
      <c r="T1646" s="19"/>
      <c r="U1646" s="19"/>
      <c r="V1646" s="19"/>
      <c r="W1646" s="19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</row>
    <row r="1647" spans="1:36" ht="11.25" customHeight="1" x14ac:dyDescent="0.2">
      <c r="A1647" s="55" t="s">
        <v>27</v>
      </c>
      <c r="B1647" s="55" t="s">
        <v>22</v>
      </c>
      <c r="C1647" s="55" t="s">
        <v>23</v>
      </c>
      <c r="D1647" s="55" t="s">
        <v>24</v>
      </c>
      <c r="E1647" s="55" t="s">
        <v>31</v>
      </c>
      <c r="F1647" s="55" t="s">
        <v>25</v>
      </c>
      <c r="G1647" s="55" t="s">
        <v>25</v>
      </c>
      <c r="H1647" s="55" t="s">
        <v>25</v>
      </c>
      <c r="I1647" s="63">
        <v>44440</v>
      </c>
      <c r="J1647" s="64">
        <f>EFEITO!$J$1647*EFEITO!$Y$1521</f>
        <v>0</v>
      </c>
      <c r="K1647" s="64">
        <f ca="1">EFEITO!$L$1647*EFEITO!$Z$1680</f>
        <v>-1230.1250160340182</v>
      </c>
      <c r="L1647" s="64">
        <f>EFEITO!$N$1647*EFEITO!$AA$1680</f>
        <v>-1020.5592479063877</v>
      </c>
      <c r="M1647" s="64">
        <f>$J$1647-EFEITO!$K$1647*EFEITO!$Y$1647</f>
        <v>0</v>
      </c>
      <c r="N1647" s="64">
        <f ca="1">$K$1647-EFEITO!$M$1647*EFEITO!$Z$1647</f>
        <v>-123.01250160340169</v>
      </c>
      <c r="O1647" s="64">
        <f>$L$1647-EFEITO!$O$1647*EFEITO!$AA$1647</f>
        <v>-102.05592479063876</v>
      </c>
      <c r="P1647" s="19"/>
      <c r="Q1647" s="19"/>
      <c r="R1647" s="19"/>
      <c r="S1647" s="19"/>
      <c r="T1647" s="19"/>
      <c r="U1647" s="19"/>
      <c r="V1647" s="19"/>
      <c r="W1647" s="19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</row>
    <row r="1648" spans="1:36" ht="11.25" customHeight="1" x14ac:dyDescent="0.2">
      <c r="A1648" s="55" t="s">
        <v>28</v>
      </c>
      <c r="B1648" s="55" t="s">
        <v>22</v>
      </c>
      <c r="C1648" s="55" t="s">
        <v>23</v>
      </c>
      <c r="D1648" s="55" t="s">
        <v>24</v>
      </c>
      <c r="E1648" s="55" t="s">
        <v>31</v>
      </c>
      <c r="F1648" s="55" t="s">
        <v>25</v>
      </c>
      <c r="G1648" s="55" t="s">
        <v>25</v>
      </c>
      <c r="H1648" s="55" t="s">
        <v>25</v>
      </c>
      <c r="I1648" s="63">
        <v>44440</v>
      </c>
      <c r="J1648" s="64">
        <f>EFEITO!$J$1648*EFEITO!$Y$1521</f>
        <v>0</v>
      </c>
      <c r="K1648" s="64">
        <f ca="1">EFEITO!$L$1648*EFEITO!$Z$1680</f>
        <v>4343.2853084536819</v>
      </c>
      <c r="L1648" s="64">
        <f>EFEITO!$N$1648*EFEITO!$AA$1680</f>
        <v>3603.3573255255001</v>
      </c>
      <c r="M1648" s="64">
        <f>$J$1648-EFEITO!$K$1648*EFEITO!$Y$1648</f>
        <v>0</v>
      </c>
      <c r="N1648" s="64">
        <f ca="1">$K$1648-EFEITO!$M$1648*EFEITO!$Z$1648</f>
        <v>434.32853084536782</v>
      </c>
      <c r="O1648" s="64">
        <f>$L$1648-EFEITO!$O$1648*EFEITO!$AA$1648</f>
        <v>360.33573255255033</v>
      </c>
      <c r="P1648" s="19"/>
      <c r="Q1648" s="19"/>
      <c r="R1648" s="19"/>
      <c r="S1648" s="19"/>
      <c r="T1648" s="19"/>
      <c r="U1648" s="19"/>
      <c r="V1648" s="19"/>
      <c r="W1648" s="19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</row>
    <row r="1649" spans="1:36" ht="11.25" customHeight="1" x14ac:dyDescent="0.2">
      <c r="A1649" s="55" t="s">
        <v>21</v>
      </c>
      <c r="B1649" s="55" t="s">
        <v>22</v>
      </c>
      <c r="C1649" s="55" t="s">
        <v>23</v>
      </c>
      <c r="D1649" s="55" t="s">
        <v>24</v>
      </c>
      <c r="E1649" s="55" t="s">
        <v>31</v>
      </c>
      <c r="F1649" s="55" t="s">
        <v>25</v>
      </c>
      <c r="G1649" s="55" t="s">
        <v>25</v>
      </c>
      <c r="H1649" s="55" t="s">
        <v>25</v>
      </c>
      <c r="I1649" s="63">
        <v>44470</v>
      </c>
      <c r="J1649" s="64">
        <f>EFEITO!$J$1649*EFEITO!$Y$1521</f>
        <v>0</v>
      </c>
      <c r="K1649" s="64">
        <f ca="1">EFEITO!$L$1649*EFEITO!$Z$1680</f>
        <v>3377481.1036874661</v>
      </c>
      <c r="L1649" s="64">
        <f>EFEITO!$N$1649*EFEITO!$AA$1680</f>
        <v>2802088.8365561008</v>
      </c>
      <c r="M1649" s="64">
        <f>$J$1649-EFEITO!$K$1649*EFEITO!$Y$1649</f>
        <v>0</v>
      </c>
      <c r="N1649" s="64">
        <f ca="1">$K$1649-EFEITO!$M$1649*EFEITO!$Z$1649</f>
        <v>337748.11036874633</v>
      </c>
      <c r="O1649" s="64">
        <f>$L$1649-EFEITO!$O$1649*EFEITO!$AA$1649</f>
        <v>280208.88365561049</v>
      </c>
      <c r="P1649" s="19"/>
      <c r="Q1649" s="19"/>
      <c r="R1649" s="19"/>
      <c r="S1649" s="19"/>
      <c r="T1649" s="19"/>
      <c r="U1649" s="19"/>
      <c r="V1649" s="19"/>
      <c r="W1649" s="19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</row>
    <row r="1650" spans="1:36" ht="11.25" customHeight="1" x14ac:dyDescent="0.2">
      <c r="A1650" s="55" t="s">
        <v>27</v>
      </c>
      <c r="B1650" s="55" t="s">
        <v>22</v>
      </c>
      <c r="C1650" s="55" t="s">
        <v>23</v>
      </c>
      <c r="D1650" s="55" t="s">
        <v>24</v>
      </c>
      <c r="E1650" s="55" t="s">
        <v>31</v>
      </c>
      <c r="F1650" s="55" t="s">
        <v>25</v>
      </c>
      <c r="G1650" s="55" t="s">
        <v>25</v>
      </c>
      <c r="H1650" s="55" t="s">
        <v>25</v>
      </c>
      <c r="I1650" s="63">
        <v>44470</v>
      </c>
      <c r="J1650" s="64">
        <f>EFEITO!$J$1650*EFEITO!$Y$1521</f>
        <v>0</v>
      </c>
      <c r="K1650" s="64">
        <f ca="1">EFEITO!$L$1650*EFEITO!$Z$1680</f>
        <v>-1382.6850679156428</v>
      </c>
      <c r="L1650" s="64">
        <f>EFEITO!$N$1650*EFEITO!$AA$1680</f>
        <v>-1147.1289621870089</v>
      </c>
      <c r="M1650" s="64">
        <f>$J$1650-EFEITO!$K$1650*EFEITO!$Y$1650</f>
        <v>0</v>
      </c>
      <c r="N1650" s="64">
        <f ca="1">$K$1650-EFEITO!$M$1650*EFEITO!$Z$1650</f>
        <v>-138.26850679156428</v>
      </c>
      <c r="O1650" s="64">
        <f>$L$1650-EFEITO!$O$1650*EFEITO!$AA$1650</f>
        <v>-114.71289621870096</v>
      </c>
      <c r="P1650" s="19"/>
      <c r="Q1650" s="19"/>
      <c r="R1650" s="19"/>
      <c r="S1650" s="19"/>
      <c r="T1650" s="19"/>
      <c r="U1650" s="19"/>
      <c r="V1650" s="19"/>
      <c r="W1650" s="19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</row>
    <row r="1651" spans="1:36" ht="11.25" customHeight="1" x14ac:dyDescent="0.2">
      <c r="A1651" s="55" t="s">
        <v>28</v>
      </c>
      <c r="B1651" s="55" t="s">
        <v>22</v>
      </c>
      <c r="C1651" s="55" t="s">
        <v>23</v>
      </c>
      <c r="D1651" s="55" t="s">
        <v>24</v>
      </c>
      <c r="E1651" s="55" t="s">
        <v>31</v>
      </c>
      <c r="F1651" s="55" t="s">
        <v>25</v>
      </c>
      <c r="G1651" s="55" t="s">
        <v>25</v>
      </c>
      <c r="H1651" s="55" t="s">
        <v>25</v>
      </c>
      <c r="I1651" s="63">
        <v>44470</v>
      </c>
      <c r="J1651" s="64">
        <f>EFEITO!$J$1651*EFEITO!$Y$1521</f>
        <v>0</v>
      </c>
      <c r="K1651" s="64">
        <f ca="1">EFEITO!$L$1651*EFEITO!$Z$1680</f>
        <v>5134.4348495332943</v>
      </c>
      <c r="L1651" s="64">
        <f>EFEITO!$N$1651*EFEITO!$AA$1680</f>
        <v>4259.7255564788366</v>
      </c>
      <c r="M1651" s="64">
        <f>$J$1651-EFEITO!$K$1651*EFEITO!$Y$1651</f>
        <v>0</v>
      </c>
      <c r="N1651" s="64">
        <f ca="1">$K$1651-EFEITO!$M$1651*EFEITO!$Z$1651</f>
        <v>513.44348495332906</v>
      </c>
      <c r="O1651" s="64">
        <f>$L$1651-EFEITO!$O$1651*EFEITO!$AA$1651</f>
        <v>425.97255564788429</v>
      </c>
      <c r="P1651" s="19"/>
      <c r="Q1651" s="19"/>
      <c r="R1651" s="19"/>
      <c r="S1651" s="19"/>
      <c r="T1651" s="19"/>
      <c r="U1651" s="19"/>
      <c r="V1651" s="19"/>
      <c r="W1651" s="19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</row>
    <row r="1652" spans="1:36" ht="11.25" customHeight="1" x14ac:dyDescent="0.2">
      <c r="A1652" s="55" t="s">
        <v>21</v>
      </c>
      <c r="B1652" s="55" t="s">
        <v>22</v>
      </c>
      <c r="C1652" s="55" t="s">
        <v>23</v>
      </c>
      <c r="D1652" s="55" t="s">
        <v>24</v>
      </c>
      <c r="E1652" s="55" t="s">
        <v>31</v>
      </c>
      <c r="F1652" s="55" t="s">
        <v>25</v>
      </c>
      <c r="G1652" s="55" t="s">
        <v>25</v>
      </c>
      <c r="H1652" s="55" t="s">
        <v>25</v>
      </c>
      <c r="I1652" s="63">
        <v>44501</v>
      </c>
      <c r="J1652" s="64">
        <f>EFEITO!$J$1652*EFEITO!$Y$1521</f>
        <v>0</v>
      </c>
      <c r="K1652" s="64">
        <f ca="1">EFEITO!$L$1652*EFEITO!$Z$1680</f>
        <v>3409341.3123766836</v>
      </c>
      <c r="L1652" s="64">
        <f>EFEITO!$N$1652*EFEITO!$AA$1680</f>
        <v>2828521.2968298043</v>
      </c>
      <c r="M1652" s="64">
        <f>$J$1652-EFEITO!$K$1652*EFEITO!$Y$1652</f>
        <v>0</v>
      </c>
      <c r="N1652" s="64">
        <f ca="1">$K$1652-EFEITO!$M$1652*EFEITO!$Z$1652</f>
        <v>340934.13123766799</v>
      </c>
      <c r="O1652" s="64">
        <f>$L$1652-EFEITO!$O$1652*EFEITO!$AA$1652</f>
        <v>282852.12968298048</v>
      </c>
      <c r="P1652" s="19"/>
      <c r="Q1652" s="19"/>
      <c r="R1652" s="19"/>
      <c r="S1652" s="19"/>
      <c r="T1652" s="19"/>
      <c r="U1652" s="19"/>
      <c r="V1652" s="19"/>
      <c r="W1652" s="19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</row>
    <row r="1653" spans="1:36" ht="11.25" customHeight="1" x14ac:dyDescent="0.2">
      <c r="A1653" s="55" t="s">
        <v>27</v>
      </c>
      <c r="B1653" s="55" t="s">
        <v>22</v>
      </c>
      <c r="C1653" s="55" t="s">
        <v>23</v>
      </c>
      <c r="D1653" s="55" t="s">
        <v>24</v>
      </c>
      <c r="E1653" s="55" t="s">
        <v>31</v>
      </c>
      <c r="F1653" s="55" t="s">
        <v>25</v>
      </c>
      <c r="G1653" s="55" t="s">
        <v>25</v>
      </c>
      <c r="H1653" s="55" t="s">
        <v>25</v>
      </c>
      <c r="I1653" s="63">
        <v>44501</v>
      </c>
      <c r="J1653" s="64">
        <f>EFEITO!$J$1653*EFEITO!$Y$1521</f>
        <v>0</v>
      </c>
      <c r="K1653" s="64">
        <f ca="1">EFEITO!$L$1653*EFEITO!$Z$1680</f>
        <v>-1191.2543514741405</v>
      </c>
      <c r="L1653" s="64">
        <f>EFEITO!$N$1653*EFEITO!$AA$1680</f>
        <v>-988.31064254370062</v>
      </c>
      <c r="M1653" s="64">
        <f>$J$1653-EFEITO!$K$1653*EFEITO!$Y$1653</f>
        <v>0</v>
      </c>
      <c r="N1653" s="64">
        <f ca="1">$K$1653-EFEITO!$M$1653*EFEITO!$Z$1653</f>
        <v>-119.12543514741378</v>
      </c>
      <c r="O1653" s="64">
        <f>$L$1653-EFEITO!$O$1653*EFEITO!$AA$1653</f>
        <v>-98.831064254370062</v>
      </c>
      <c r="P1653" s="19"/>
      <c r="Q1653" s="19"/>
      <c r="R1653" s="19"/>
      <c r="S1653" s="19"/>
      <c r="T1653" s="19"/>
      <c r="U1653" s="19"/>
      <c r="V1653" s="19"/>
      <c r="W1653" s="19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</row>
    <row r="1654" spans="1:36" ht="11.25" customHeight="1" x14ac:dyDescent="0.2">
      <c r="A1654" s="55" t="s">
        <v>28</v>
      </c>
      <c r="B1654" s="55" t="s">
        <v>22</v>
      </c>
      <c r="C1654" s="55" t="s">
        <v>23</v>
      </c>
      <c r="D1654" s="55" t="s">
        <v>24</v>
      </c>
      <c r="E1654" s="55" t="s">
        <v>31</v>
      </c>
      <c r="F1654" s="55" t="s">
        <v>25</v>
      </c>
      <c r="G1654" s="55" t="s">
        <v>25</v>
      </c>
      <c r="H1654" s="55" t="s">
        <v>25</v>
      </c>
      <c r="I1654" s="63">
        <v>44501</v>
      </c>
      <c r="J1654" s="64">
        <f>EFEITO!$J$1654*EFEITO!$Y$1521</f>
        <v>0</v>
      </c>
      <c r="K1654" s="64">
        <f ca="1">EFEITO!$L$1654*EFEITO!$Z$1680</f>
        <v>5158.6924823037434</v>
      </c>
      <c r="L1654" s="64">
        <f>EFEITO!$N$1654*EFEITO!$AA$1680</f>
        <v>4279.8506259908881</v>
      </c>
      <c r="M1654" s="64">
        <f>$J$1654-EFEITO!$K$1654*EFEITO!$Y$1654</f>
        <v>0</v>
      </c>
      <c r="N1654" s="64">
        <f ca="1">$K$1654-EFEITO!$M$1654*EFEITO!$Z$1654</f>
        <v>515.86924823037407</v>
      </c>
      <c r="O1654" s="64">
        <f>$L$1654-EFEITO!$O$1654*EFEITO!$AA$1654</f>
        <v>427.98506259908845</v>
      </c>
      <c r="P1654" s="19"/>
      <c r="Q1654" s="19"/>
      <c r="R1654" s="19"/>
      <c r="S1654" s="19"/>
      <c r="T1654" s="19"/>
      <c r="U1654" s="19"/>
      <c r="V1654" s="19"/>
      <c r="W1654" s="19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</row>
    <row r="1655" spans="1:36" ht="11.25" customHeight="1" x14ac:dyDescent="0.2">
      <c r="A1655" s="55" t="s">
        <v>21</v>
      </c>
      <c r="B1655" s="55" t="s">
        <v>22</v>
      </c>
      <c r="C1655" s="55" t="s">
        <v>23</v>
      </c>
      <c r="D1655" s="55" t="s">
        <v>24</v>
      </c>
      <c r="E1655" s="55" t="s">
        <v>31</v>
      </c>
      <c r="F1655" s="55" t="s">
        <v>25</v>
      </c>
      <c r="G1655" s="55" t="s">
        <v>25</v>
      </c>
      <c r="H1655" s="55" t="s">
        <v>25</v>
      </c>
      <c r="I1655" s="63">
        <v>44531</v>
      </c>
      <c r="J1655" s="64">
        <f>EFEITO!$J$1655*EFEITO!$Y$1521</f>
        <v>0</v>
      </c>
      <c r="K1655" s="64">
        <f ca="1">EFEITO!$L$1655*EFEITO!$Z$1680</f>
        <v>4192792.7083096253</v>
      </c>
      <c r="L1655" s="64">
        <f>EFEITO!$N$1655*EFEITO!$AA$1680</f>
        <v>3478502.8490970265</v>
      </c>
      <c r="M1655" s="64">
        <f>$J$1655-EFEITO!$K$1655*EFEITO!$Y$1655</f>
        <v>0</v>
      </c>
      <c r="N1655" s="64">
        <f ca="1">$K$1655-EFEITO!$M$1655*EFEITO!$Z$1655</f>
        <v>419279.27083096188</v>
      </c>
      <c r="O1655" s="64">
        <f>$L$1655-EFEITO!$O$1655*EFEITO!$AA$1655</f>
        <v>347850.28490970284</v>
      </c>
      <c r="P1655" s="19"/>
      <c r="Q1655" s="19"/>
      <c r="R1655" s="19"/>
      <c r="S1655" s="19"/>
      <c r="T1655" s="19"/>
      <c r="U1655" s="19"/>
      <c r="V1655" s="19"/>
      <c r="W1655" s="19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</row>
    <row r="1656" spans="1:36" ht="11.25" customHeight="1" x14ac:dyDescent="0.2">
      <c r="A1656" s="55" t="s">
        <v>27</v>
      </c>
      <c r="B1656" s="55" t="s">
        <v>22</v>
      </c>
      <c r="C1656" s="55" t="s">
        <v>23</v>
      </c>
      <c r="D1656" s="55" t="s">
        <v>24</v>
      </c>
      <c r="E1656" s="55" t="s">
        <v>31</v>
      </c>
      <c r="F1656" s="55" t="s">
        <v>25</v>
      </c>
      <c r="G1656" s="55" t="s">
        <v>25</v>
      </c>
      <c r="H1656" s="55" t="s">
        <v>25</v>
      </c>
      <c r="I1656" s="63">
        <v>44531</v>
      </c>
      <c r="J1656" s="64">
        <f>EFEITO!$J$1656*EFEITO!$Y$1521</f>
        <v>0</v>
      </c>
      <c r="K1656" s="64">
        <f ca="1">EFEITO!$L$1656*EFEITO!$Z$1680</f>
        <v>-981.41121497795996</v>
      </c>
      <c r="L1656" s="64">
        <f>EFEITO!$N$1656*EFEITO!$AA$1680</f>
        <v>-814.21666772859351</v>
      </c>
      <c r="M1656" s="64">
        <f>$J$1656-EFEITO!$K$1656*EFEITO!$Y$1656</f>
        <v>0</v>
      </c>
      <c r="N1656" s="64">
        <f ca="1">$K$1656-EFEITO!$M$1656*EFEITO!$Z$1656</f>
        <v>-98.141121497795893</v>
      </c>
      <c r="O1656" s="64">
        <f>$L$1656-EFEITO!$O$1656*EFEITO!$AA$1656</f>
        <v>-81.421666772859339</v>
      </c>
      <c r="P1656" s="19"/>
      <c r="Q1656" s="19"/>
      <c r="R1656" s="19"/>
      <c r="S1656" s="19"/>
      <c r="T1656" s="19"/>
      <c r="U1656" s="19"/>
      <c r="V1656" s="19"/>
      <c r="W1656" s="19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</row>
    <row r="1657" spans="1:36" ht="11.25" customHeight="1" x14ac:dyDescent="0.2">
      <c r="A1657" s="55" t="s">
        <v>28</v>
      </c>
      <c r="B1657" s="55" t="s">
        <v>22</v>
      </c>
      <c r="C1657" s="55" t="s">
        <v>23</v>
      </c>
      <c r="D1657" s="55" t="s">
        <v>24</v>
      </c>
      <c r="E1657" s="55" t="s">
        <v>31</v>
      </c>
      <c r="F1657" s="55" t="s">
        <v>25</v>
      </c>
      <c r="G1657" s="55" t="s">
        <v>25</v>
      </c>
      <c r="H1657" s="55" t="s">
        <v>25</v>
      </c>
      <c r="I1657" s="63">
        <v>44531</v>
      </c>
      <c r="J1657" s="64">
        <f>EFEITO!$J$1657*EFEITO!$Y$1521</f>
        <v>0</v>
      </c>
      <c r="K1657" s="64">
        <f ca="1">EFEITO!$L$1657*EFEITO!$Z$1680</f>
        <v>7162.7236619058494</v>
      </c>
      <c r="L1657" s="64">
        <f>EFEITO!$N$1657*EFEITO!$AA$1680</f>
        <v>5942.472332546864</v>
      </c>
      <c r="M1657" s="64">
        <f>$J$1657-EFEITO!$K$1657*EFEITO!$Y$1657</f>
        <v>0</v>
      </c>
      <c r="N1657" s="64">
        <f ca="1">$K$1657-EFEITO!$M$1657*EFEITO!$Z$1657</f>
        <v>716.27236619058476</v>
      </c>
      <c r="O1657" s="64">
        <f>$L$1657-EFEITO!$O$1657*EFEITO!$AA$1657</f>
        <v>594.24723325468676</v>
      </c>
      <c r="P1657" s="19"/>
      <c r="Q1657" s="19"/>
      <c r="R1657" s="19"/>
      <c r="S1657" s="19"/>
      <c r="T1657" s="19"/>
      <c r="U1657" s="19"/>
      <c r="V1657" s="19"/>
      <c r="W1657" s="19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</row>
    <row r="1658" spans="1:36" ht="11.25" customHeight="1" x14ac:dyDescent="0.2">
      <c r="A1658" s="55" t="s">
        <v>21</v>
      </c>
      <c r="B1658" s="55" t="s">
        <v>22</v>
      </c>
      <c r="C1658" s="55" t="s">
        <v>23</v>
      </c>
      <c r="D1658" s="55" t="s">
        <v>24</v>
      </c>
      <c r="E1658" s="55" t="s">
        <v>31</v>
      </c>
      <c r="F1658" s="55" t="s">
        <v>25</v>
      </c>
      <c r="G1658" s="55" t="s">
        <v>25</v>
      </c>
      <c r="H1658" s="55" t="s">
        <v>25</v>
      </c>
      <c r="I1658" s="63">
        <v>44562</v>
      </c>
      <c r="J1658" s="64">
        <f>EFEITO!$J$1658*EFEITO!$Y$1521</f>
        <v>0</v>
      </c>
      <c r="K1658" s="64">
        <f ca="1">EFEITO!$L$1658*EFEITO!$Z$1680</f>
        <v>3717157.2282444467</v>
      </c>
      <c r="L1658" s="64">
        <f>EFEITO!$N$1658*EFEITO!$AA$1680</f>
        <v>3083897.2752847718</v>
      </c>
      <c r="M1658" s="64">
        <f>$J$1658-EFEITO!$K$1658*EFEITO!$Y$1658</f>
        <v>0</v>
      </c>
      <c r="N1658" s="64">
        <f ca="1">$K$1658-EFEITO!$M$1658*EFEITO!$Z$1658</f>
        <v>371715.72282444453</v>
      </c>
      <c r="O1658" s="64">
        <f>$L$1658-EFEITO!$O$1658*EFEITO!$AA$1658</f>
        <v>308389.72752847709</v>
      </c>
      <c r="P1658" s="19"/>
      <c r="Q1658" s="19"/>
      <c r="R1658" s="19"/>
      <c r="S1658" s="19"/>
      <c r="T1658" s="19"/>
      <c r="U1658" s="19"/>
      <c r="V1658" s="19"/>
      <c r="W1658" s="19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</row>
    <row r="1659" spans="1:36" ht="11.25" customHeight="1" x14ac:dyDescent="0.2">
      <c r="A1659" s="55" t="s">
        <v>27</v>
      </c>
      <c r="B1659" s="55" t="s">
        <v>22</v>
      </c>
      <c r="C1659" s="55" t="s">
        <v>23</v>
      </c>
      <c r="D1659" s="55" t="s">
        <v>24</v>
      </c>
      <c r="E1659" s="55" t="s">
        <v>31</v>
      </c>
      <c r="F1659" s="55" t="s">
        <v>25</v>
      </c>
      <c r="G1659" s="55" t="s">
        <v>25</v>
      </c>
      <c r="H1659" s="55" t="s">
        <v>25</v>
      </c>
      <c r="I1659" s="63">
        <v>44562</v>
      </c>
      <c r="J1659" s="64">
        <f>EFEITO!$J$1659*EFEITO!$Y$1521</f>
        <v>0</v>
      </c>
      <c r="K1659" s="64">
        <f ca="1">EFEITO!$L$1659*EFEITO!$Z$1680</f>
        <v>-1126.372490329082</v>
      </c>
      <c r="L1659" s="64">
        <f>EFEITO!$N$1659*EFEITO!$AA$1680</f>
        <v>-934.48214336688488</v>
      </c>
      <c r="M1659" s="64">
        <f>$J$1659-EFEITO!$K$1659*EFEITO!$Y$1659</f>
        <v>0</v>
      </c>
      <c r="N1659" s="64">
        <f ca="1">$K$1659-EFEITO!$M$1659*EFEITO!$Z$1659</f>
        <v>-112.63724903290802</v>
      </c>
      <c r="O1659" s="64">
        <f>$L$1659-EFEITO!$O$1659*EFEITO!$AA$1659</f>
        <v>-93.448214336688466</v>
      </c>
      <c r="P1659" s="19"/>
      <c r="Q1659" s="19"/>
      <c r="R1659" s="19"/>
      <c r="S1659" s="19"/>
      <c r="T1659" s="19"/>
      <c r="U1659" s="19"/>
      <c r="V1659" s="19"/>
      <c r="W1659" s="19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</row>
    <row r="1660" spans="1:36" ht="11.25" customHeight="1" x14ac:dyDescent="0.2">
      <c r="A1660" s="55" t="s">
        <v>28</v>
      </c>
      <c r="B1660" s="55" t="s">
        <v>22</v>
      </c>
      <c r="C1660" s="55" t="s">
        <v>23</v>
      </c>
      <c r="D1660" s="55" t="s">
        <v>24</v>
      </c>
      <c r="E1660" s="55" t="s">
        <v>31</v>
      </c>
      <c r="F1660" s="55" t="s">
        <v>25</v>
      </c>
      <c r="G1660" s="55" t="s">
        <v>25</v>
      </c>
      <c r="H1660" s="55" t="s">
        <v>25</v>
      </c>
      <c r="I1660" s="63">
        <v>44562</v>
      </c>
      <c r="J1660" s="64">
        <f>EFEITO!$J$1660*EFEITO!$Y$1521</f>
        <v>0</v>
      </c>
      <c r="K1660" s="64">
        <f ca="1">EFEITO!$L$1660*EFEITO!$Z$1680</f>
        <v>6563.8816191751048</v>
      </c>
      <c r="L1660" s="64">
        <f>EFEITO!$N$1660*EFEITO!$AA$1680</f>
        <v>5445.6498333878744</v>
      </c>
      <c r="M1660" s="64">
        <f>$J$1660-EFEITO!$K$1660*EFEITO!$Y$1660</f>
        <v>0</v>
      </c>
      <c r="N1660" s="64">
        <f ca="1">$K$1660-EFEITO!$M$1660*EFEITO!$Z$1660</f>
        <v>656.38816191750993</v>
      </c>
      <c r="O1660" s="64">
        <f>$L$1660-EFEITO!$O$1660*EFEITO!$AA$1660</f>
        <v>544.5649833387879</v>
      </c>
      <c r="P1660" s="19"/>
      <c r="Q1660" s="19"/>
      <c r="R1660" s="19"/>
      <c r="S1660" s="19"/>
      <c r="T1660" s="19"/>
      <c r="U1660" s="19"/>
      <c r="V1660" s="19"/>
      <c r="W1660" s="19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</row>
    <row r="1661" spans="1:36" ht="11.25" customHeight="1" x14ac:dyDescent="0.2">
      <c r="A1661" s="55" t="s">
        <v>28</v>
      </c>
      <c r="B1661" s="55" t="s">
        <v>22</v>
      </c>
      <c r="C1661" s="55" t="s">
        <v>23</v>
      </c>
      <c r="D1661" s="55" t="s">
        <v>24</v>
      </c>
      <c r="E1661" s="55" t="s">
        <v>31</v>
      </c>
      <c r="F1661" s="55" t="s">
        <v>25</v>
      </c>
      <c r="G1661" s="55" t="s">
        <v>25</v>
      </c>
      <c r="H1661" s="55" t="s">
        <v>25</v>
      </c>
      <c r="I1661" s="63">
        <v>44562</v>
      </c>
      <c r="J1661" s="64">
        <f>EFEITO!$J$1661*EFEITO!$Y$1521</f>
        <v>0</v>
      </c>
      <c r="K1661" s="64">
        <f ca="1">EFEITO!$L$1661*EFEITO!$Z$1680</f>
        <v>-35.071276294626323</v>
      </c>
      <c r="L1661" s="64">
        <f>EFEITO!$N$1661*EFEITO!$AA$1680</f>
        <v>-29.096486041522102</v>
      </c>
      <c r="M1661" s="64">
        <f>$J$1661-EFEITO!$K$1661*EFEITO!$Y$1661</f>
        <v>0</v>
      </c>
      <c r="N1661" s="64">
        <f ca="1">$K$1661-EFEITO!$M$1661*EFEITO!$Z$1661</f>
        <v>-3.5071276294626301</v>
      </c>
      <c r="O1661" s="64">
        <f>$L$1661-EFEITO!$O$1661*EFEITO!$AA$1661</f>
        <v>-2.9096486041522098</v>
      </c>
      <c r="P1661" s="19"/>
      <c r="Q1661" s="19"/>
      <c r="R1661" s="19"/>
      <c r="S1661" s="19"/>
      <c r="T1661" s="19"/>
      <c r="U1661" s="19"/>
      <c r="V1661" s="19"/>
      <c r="W1661" s="19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</row>
    <row r="1662" spans="1:36" ht="11.25" customHeight="1" x14ac:dyDescent="0.2">
      <c r="A1662" s="55" t="s">
        <v>21</v>
      </c>
      <c r="B1662" s="55" t="s">
        <v>22</v>
      </c>
      <c r="C1662" s="55" t="s">
        <v>23</v>
      </c>
      <c r="D1662" s="55" t="s">
        <v>24</v>
      </c>
      <c r="E1662" s="55" t="s">
        <v>31</v>
      </c>
      <c r="F1662" s="55" t="s">
        <v>25</v>
      </c>
      <c r="G1662" s="55" t="s">
        <v>25</v>
      </c>
      <c r="H1662" s="55" t="s">
        <v>25</v>
      </c>
      <c r="I1662" s="63">
        <v>44593</v>
      </c>
      <c r="J1662" s="64">
        <f>EFEITO!$J$1662*EFEITO!$Y$1521</f>
        <v>0</v>
      </c>
      <c r="K1662" s="64">
        <f ca="1">EFEITO!$L$1662*EFEITO!$Z$1680</f>
        <v>3243003.2173420796</v>
      </c>
      <c r="L1662" s="64">
        <f>EFEITO!$N$1662*EFEITO!$AA$1680</f>
        <v>2690520.7855370543</v>
      </c>
      <c r="M1662" s="64">
        <f>$J$1662-EFEITO!$K$1662*EFEITO!$Y$1662</f>
        <v>0</v>
      </c>
      <c r="N1662" s="64">
        <f ca="1">$K$1662-EFEITO!$M$1662*EFEITO!$Z$1662</f>
        <v>324300.32173420768</v>
      </c>
      <c r="O1662" s="64">
        <f>$L$1662-EFEITO!$O$1662*EFEITO!$AA$1662</f>
        <v>269052.07855370548</v>
      </c>
      <c r="P1662" s="19"/>
      <c r="Q1662" s="19"/>
      <c r="R1662" s="19"/>
      <c r="S1662" s="19"/>
      <c r="T1662" s="19"/>
      <c r="U1662" s="19"/>
      <c r="V1662" s="19"/>
      <c r="W1662" s="19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</row>
    <row r="1663" spans="1:36" ht="11.25" customHeight="1" x14ac:dyDescent="0.2">
      <c r="A1663" s="55" t="s">
        <v>27</v>
      </c>
      <c r="B1663" s="55" t="s">
        <v>22</v>
      </c>
      <c r="C1663" s="55" t="s">
        <v>23</v>
      </c>
      <c r="D1663" s="55" t="s">
        <v>24</v>
      </c>
      <c r="E1663" s="55" t="s">
        <v>31</v>
      </c>
      <c r="F1663" s="55" t="s">
        <v>25</v>
      </c>
      <c r="G1663" s="55" t="s">
        <v>25</v>
      </c>
      <c r="H1663" s="55" t="s">
        <v>25</v>
      </c>
      <c r="I1663" s="63">
        <v>44593</v>
      </c>
      <c r="J1663" s="64">
        <f>EFEITO!$J$1663*EFEITO!$Y$1521</f>
        <v>0</v>
      </c>
      <c r="K1663" s="64">
        <f ca="1">EFEITO!$L$1663*EFEITO!$Z$1680</f>
        <v>-1647.1809433042829</v>
      </c>
      <c r="L1663" s="64">
        <f>EFEITO!$N$1663*EFEITO!$AA$1680</f>
        <v>-1366.564961083488</v>
      </c>
      <c r="M1663" s="64">
        <f>$J$1663-EFEITO!$K$1663*EFEITO!$Y$1663</f>
        <v>0</v>
      </c>
      <c r="N1663" s="64">
        <f ca="1">$K$1663-EFEITO!$M$1663*EFEITO!$Z$1663</f>
        <v>-164.71809433042813</v>
      </c>
      <c r="O1663" s="64">
        <f>$L$1663-EFEITO!$O$1663*EFEITO!$AA$1663</f>
        <v>-136.65649610834885</v>
      </c>
      <c r="P1663" s="19"/>
      <c r="Q1663" s="19"/>
      <c r="R1663" s="19"/>
      <c r="S1663" s="19"/>
      <c r="T1663" s="19"/>
      <c r="U1663" s="19"/>
      <c r="V1663" s="19"/>
      <c r="W1663" s="19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</row>
    <row r="1664" spans="1:36" ht="11.25" customHeight="1" x14ac:dyDescent="0.2">
      <c r="A1664" s="55" t="s">
        <v>28</v>
      </c>
      <c r="B1664" s="55" t="s">
        <v>22</v>
      </c>
      <c r="C1664" s="55" t="s">
        <v>23</v>
      </c>
      <c r="D1664" s="55" t="s">
        <v>24</v>
      </c>
      <c r="E1664" s="55" t="s">
        <v>31</v>
      </c>
      <c r="F1664" s="55" t="s">
        <v>25</v>
      </c>
      <c r="G1664" s="55" t="s">
        <v>25</v>
      </c>
      <c r="H1664" s="55" t="s">
        <v>25</v>
      </c>
      <c r="I1664" s="63">
        <v>44593</v>
      </c>
      <c r="J1664" s="64">
        <f>EFEITO!$J$1664*EFEITO!$Y$1521</f>
        <v>0</v>
      </c>
      <c r="K1664" s="64">
        <f ca="1">EFEITO!$L$1664*EFEITO!$Z$1680</f>
        <v>6620.2879218822954</v>
      </c>
      <c r="L1664" s="64">
        <f>EFEITO!$N$1664*EFEITO!$AA$1680</f>
        <v>5492.4466817713228</v>
      </c>
      <c r="M1664" s="64">
        <f>$J$1664-EFEITO!$K$1664*EFEITO!$Y$1664</f>
        <v>0</v>
      </c>
      <c r="N1664" s="64">
        <f ca="1">$K$1664-EFEITO!$M$1664*EFEITO!$Z$1664</f>
        <v>662.02879218822909</v>
      </c>
      <c r="O1664" s="64">
        <f>$L$1664-EFEITO!$O$1664*EFEITO!$AA$1664</f>
        <v>549.24466817713255</v>
      </c>
      <c r="P1664" s="19"/>
      <c r="Q1664" s="19"/>
      <c r="R1664" s="19"/>
      <c r="S1664" s="19"/>
      <c r="T1664" s="19"/>
      <c r="U1664" s="19"/>
      <c r="V1664" s="19"/>
      <c r="W1664" s="19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</row>
    <row r="1665" spans="1:36" ht="11.25" customHeight="1" x14ac:dyDescent="0.2">
      <c r="A1665" s="55" t="s">
        <v>21</v>
      </c>
      <c r="B1665" s="55" t="s">
        <v>22</v>
      </c>
      <c r="C1665" s="55" t="s">
        <v>23</v>
      </c>
      <c r="D1665" s="55" t="s">
        <v>24</v>
      </c>
      <c r="E1665" s="55" t="s">
        <v>31</v>
      </c>
      <c r="F1665" s="55" t="s">
        <v>25</v>
      </c>
      <c r="G1665" s="55" t="s">
        <v>25</v>
      </c>
      <c r="H1665" s="55" t="s">
        <v>25</v>
      </c>
      <c r="I1665" s="63">
        <v>44621</v>
      </c>
      <c r="J1665" s="64">
        <f>EFEITO!$J$1665*EFEITO!$Y$1521</f>
        <v>0</v>
      </c>
      <c r="K1665" s="64">
        <f ca="1">EFEITO!$L$1665*EFEITO!$Z$1680</f>
        <v>4276381.0037089661</v>
      </c>
      <c r="L1665" s="64">
        <f>EFEITO!$N$1665*EFEITO!$AA$1680</f>
        <v>3547850.9289869559</v>
      </c>
      <c r="M1665" s="64">
        <f>$J$1665-EFEITO!$K$1665*EFEITO!$Y$1665</f>
        <v>0</v>
      </c>
      <c r="N1665" s="64">
        <f ca="1">$K$1665-EFEITO!$M$1665*EFEITO!$Z$1665</f>
        <v>427638.10037089651</v>
      </c>
      <c r="O1665" s="64">
        <f>$L$1665-EFEITO!$O$1665*EFEITO!$AA$1665</f>
        <v>354785.09289869573</v>
      </c>
      <c r="P1665" s="19"/>
      <c r="Q1665" s="19"/>
      <c r="R1665" s="19"/>
      <c r="S1665" s="19"/>
      <c r="T1665" s="19"/>
      <c r="U1665" s="19"/>
      <c r="V1665" s="19"/>
      <c r="W1665" s="19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</row>
    <row r="1666" spans="1:36" ht="11.25" customHeight="1" x14ac:dyDescent="0.2">
      <c r="A1666" s="55" t="s">
        <v>27</v>
      </c>
      <c r="B1666" s="55" t="s">
        <v>22</v>
      </c>
      <c r="C1666" s="55" t="s">
        <v>23</v>
      </c>
      <c r="D1666" s="55" t="s">
        <v>24</v>
      </c>
      <c r="E1666" s="55" t="s">
        <v>31</v>
      </c>
      <c r="F1666" s="55" t="s">
        <v>25</v>
      </c>
      <c r="G1666" s="55" t="s">
        <v>25</v>
      </c>
      <c r="H1666" s="55" t="s">
        <v>25</v>
      </c>
      <c r="I1666" s="63">
        <v>44621</v>
      </c>
      <c r="J1666" s="64">
        <f>EFEITO!$J$1666*EFEITO!$Y$1521</f>
        <v>0</v>
      </c>
      <c r="K1666" s="64">
        <f ca="1">EFEITO!$L$1666*EFEITO!$Z$1680</f>
        <v>-912.14544429607292</v>
      </c>
      <c r="L1666" s="64">
        <f>EFEITO!$N$1666*EFEITO!$AA$1680</f>
        <v>-756.75110779658735</v>
      </c>
      <c r="M1666" s="64">
        <f>$J$1666-EFEITO!$K$1666*EFEITO!$Y$1666</f>
        <v>0</v>
      </c>
      <c r="N1666" s="64">
        <f ca="1">$K$1666-EFEITO!$M$1666*EFEITO!$Z$1666</f>
        <v>-91.214544429607258</v>
      </c>
      <c r="O1666" s="64">
        <f>$L$1666-EFEITO!$O$1666*EFEITO!$AA$1666</f>
        <v>-75.67511077965878</v>
      </c>
      <c r="P1666" s="19"/>
      <c r="Q1666" s="19"/>
      <c r="R1666" s="19"/>
      <c r="S1666" s="19"/>
      <c r="T1666" s="19"/>
      <c r="U1666" s="19"/>
      <c r="V1666" s="19"/>
      <c r="W1666" s="19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</row>
    <row r="1667" spans="1:36" ht="11.25" customHeight="1" x14ac:dyDescent="0.2">
      <c r="A1667" s="55" t="s">
        <v>28</v>
      </c>
      <c r="B1667" s="55" t="s">
        <v>22</v>
      </c>
      <c r="C1667" s="55" t="s">
        <v>23</v>
      </c>
      <c r="D1667" s="55" t="s">
        <v>24</v>
      </c>
      <c r="E1667" s="55" t="s">
        <v>31</v>
      </c>
      <c r="F1667" s="55" t="s">
        <v>25</v>
      </c>
      <c r="G1667" s="55" t="s">
        <v>25</v>
      </c>
      <c r="H1667" s="55" t="s">
        <v>25</v>
      </c>
      <c r="I1667" s="63">
        <v>44621</v>
      </c>
      <c r="J1667" s="64">
        <f>EFEITO!$J$1667*EFEITO!$Y$1521</f>
        <v>0</v>
      </c>
      <c r="K1667" s="64">
        <f ca="1">EFEITO!$L$1667*EFEITO!$Z$1680</f>
        <v>6651.2675492758817</v>
      </c>
      <c r="L1667" s="64">
        <f>EFEITO!$N$1667*EFEITO!$AA$1680</f>
        <v>5518.1485777746666</v>
      </c>
      <c r="M1667" s="64">
        <f>$J$1667-EFEITO!$K$1667*EFEITO!$Y$1667</f>
        <v>0</v>
      </c>
      <c r="N1667" s="64">
        <f ca="1">$K$1667-EFEITO!$M$1667*EFEITO!$Z$1667</f>
        <v>665.12675492758717</v>
      </c>
      <c r="O1667" s="64">
        <f>$L$1667-EFEITO!$O$1667*EFEITO!$AA$1667</f>
        <v>551.81485777746639</v>
      </c>
      <c r="P1667" s="19"/>
      <c r="Q1667" s="19"/>
      <c r="R1667" s="19"/>
      <c r="S1667" s="19"/>
      <c r="T1667" s="19"/>
      <c r="U1667" s="19"/>
      <c r="V1667" s="19"/>
      <c r="W1667" s="19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</row>
    <row r="1668" spans="1:36" ht="11.25" customHeight="1" x14ac:dyDescent="0.2">
      <c r="A1668" s="55" t="s">
        <v>21</v>
      </c>
      <c r="B1668" s="55" t="s">
        <v>22</v>
      </c>
      <c r="C1668" s="55" t="s">
        <v>23</v>
      </c>
      <c r="D1668" s="55" t="s">
        <v>24</v>
      </c>
      <c r="E1668" s="55" t="s">
        <v>31</v>
      </c>
      <c r="F1668" s="55" t="s">
        <v>25</v>
      </c>
      <c r="G1668" s="55" t="s">
        <v>25</v>
      </c>
      <c r="H1668" s="55" t="s">
        <v>25</v>
      </c>
      <c r="I1668" s="63">
        <v>44652</v>
      </c>
      <c r="J1668" s="64">
        <f>EFEITO!$J$1668*EFEITO!$Y$1521</f>
        <v>0</v>
      </c>
      <c r="K1668" s="64">
        <f ca="1">EFEITO!$L$1668*EFEITO!$Z$1680</f>
        <v>3725711.6970539768</v>
      </c>
      <c r="L1668" s="64">
        <f>EFEITO!$N$1668*EFEITO!$AA$1680</f>
        <v>3090994.3931717328</v>
      </c>
      <c r="M1668" s="64">
        <f>$J$1668-EFEITO!$K$1668*EFEITO!$Y$1668</f>
        <v>0</v>
      </c>
      <c r="N1668" s="64">
        <f ca="1">$K$1668-EFEITO!$M$1668*EFEITO!$Z$1668</f>
        <v>372571.16970539745</v>
      </c>
      <c r="O1668" s="64">
        <f>$L$1668-EFEITO!$O$1668*EFEITO!$AA$1668</f>
        <v>309099.43931717332</v>
      </c>
      <c r="P1668" s="19"/>
      <c r="Q1668" s="19"/>
      <c r="R1668" s="19"/>
      <c r="S1668" s="19"/>
      <c r="T1668" s="19"/>
      <c r="U1668" s="19"/>
      <c r="V1668" s="19"/>
      <c r="W1668" s="19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</row>
    <row r="1669" spans="1:36" ht="11.25" customHeight="1" x14ac:dyDescent="0.2">
      <c r="A1669" s="55" t="s">
        <v>27</v>
      </c>
      <c r="B1669" s="55" t="s">
        <v>22</v>
      </c>
      <c r="C1669" s="55" t="s">
        <v>23</v>
      </c>
      <c r="D1669" s="55" t="s">
        <v>24</v>
      </c>
      <c r="E1669" s="55" t="s">
        <v>31</v>
      </c>
      <c r="F1669" s="55" t="s">
        <v>25</v>
      </c>
      <c r="G1669" s="55" t="s">
        <v>25</v>
      </c>
      <c r="H1669" s="55" t="s">
        <v>25</v>
      </c>
      <c r="I1669" s="63">
        <v>44652</v>
      </c>
      <c r="J1669" s="64">
        <f>EFEITO!$J$1669*EFEITO!$Y$1521</f>
        <v>0</v>
      </c>
      <c r="K1669" s="64">
        <f ca="1">EFEITO!$L$1669*EFEITO!$Z$1680</f>
        <v>-1148.8765592848006</v>
      </c>
      <c r="L1669" s="64">
        <f>EFEITO!$N$1669*EFEITO!$AA$1680</f>
        <v>-953.15238857686154</v>
      </c>
      <c r="M1669" s="64">
        <f>$J$1669-EFEITO!$K$1669*EFEITO!$Y$1669</f>
        <v>0</v>
      </c>
      <c r="N1669" s="64">
        <f ca="1">$K$1669-EFEITO!$M$1669*EFEITO!$Z$1669</f>
        <v>-114.88765592847994</v>
      </c>
      <c r="O1669" s="64">
        <f>$L$1669-EFEITO!$O$1669*EFEITO!$AA$1669</f>
        <v>-95.315238857686154</v>
      </c>
      <c r="P1669" s="19"/>
      <c r="Q1669" s="19"/>
      <c r="R1669" s="19"/>
      <c r="S1669" s="19"/>
      <c r="T1669" s="19"/>
      <c r="U1669" s="19"/>
      <c r="V1669" s="19"/>
      <c r="W1669" s="19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</row>
    <row r="1670" spans="1:36" ht="11.25" customHeight="1" x14ac:dyDescent="0.2">
      <c r="A1670" s="55" t="s">
        <v>28</v>
      </c>
      <c r="B1670" s="55" t="s">
        <v>22</v>
      </c>
      <c r="C1670" s="55" t="s">
        <v>23</v>
      </c>
      <c r="D1670" s="55" t="s">
        <v>24</v>
      </c>
      <c r="E1670" s="55" t="s">
        <v>31</v>
      </c>
      <c r="F1670" s="55" t="s">
        <v>25</v>
      </c>
      <c r="G1670" s="55" t="s">
        <v>25</v>
      </c>
      <c r="H1670" s="55" t="s">
        <v>25</v>
      </c>
      <c r="I1670" s="63">
        <v>44652</v>
      </c>
      <c r="J1670" s="64">
        <f>EFEITO!$J$1670*EFEITO!$Y$1521</f>
        <v>0</v>
      </c>
      <c r="K1670" s="64">
        <f ca="1">EFEITO!$L$1670*EFEITO!$Z$1680</f>
        <v>6532.6097311457297</v>
      </c>
      <c r="L1670" s="64">
        <f>EFEITO!$N$1670*EFEITO!$AA$1680</f>
        <v>5419.7054666675167</v>
      </c>
      <c r="M1670" s="64">
        <f>$J$1670-EFEITO!$K$1670*EFEITO!$Y$1670</f>
        <v>0</v>
      </c>
      <c r="N1670" s="64">
        <f ca="1">$K$1670-EFEITO!$M$1670*EFEITO!$Z$1670</f>
        <v>653.26097311457215</v>
      </c>
      <c r="O1670" s="64">
        <f>$L$1670-EFEITO!$O$1670*EFEITO!$AA$1670</f>
        <v>541.97054666675103</v>
      </c>
      <c r="P1670" s="19"/>
      <c r="Q1670" s="19"/>
      <c r="R1670" s="19"/>
      <c r="S1670" s="19"/>
      <c r="T1670" s="19"/>
      <c r="U1670" s="19"/>
      <c r="V1670" s="19"/>
      <c r="W1670" s="19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</row>
    <row r="1671" spans="1:36" ht="11.25" customHeight="1" x14ac:dyDescent="0.2">
      <c r="A1671" s="55" t="s">
        <v>21</v>
      </c>
      <c r="B1671" s="55" t="s">
        <v>22</v>
      </c>
      <c r="C1671" s="55" t="s">
        <v>23</v>
      </c>
      <c r="D1671" s="55" t="s">
        <v>24</v>
      </c>
      <c r="E1671" s="55" t="s">
        <v>31</v>
      </c>
      <c r="F1671" s="55" t="s">
        <v>25</v>
      </c>
      <c r="G1671" s="55" t="s">
        <v>25</v>
      </c>
      <c r="H1671" s="55" t="s">
        <v>25</v>
      </c>
      <c r="I1671" s="63">
        <v>44682</v>
      </c>
      <c r="J1671" s="64">
        <f>EFEITO!$J$1671*EFEITO!$Y$1521</f>
        <v>0</v>
      </c>
      <c r="K1671" s="64">
        <f ca="1">EFEITO!$L$1671*EFEITO!$Z$1680</f>
        <v>3727244.3118280522</v>
      </c>
      <c r="L1671" s="64">
        <f>EFEITO!$N$1671*EFEITO!$AA$1680</f>
        <v>3092265.9096117476</v>
      </c>
      <c r="M1671" s="64">
        <f>$J$1671-EFEITO!$K$1671*EFEITO!$Y$1671</f>
        <v>0</v>
      </c>
      <c r="N1671" s="64">
        <f ca="1">$K$1671-EFEITO!$M$1671*EFEITO!$Z$1671</f>
        <v>372724.43118280498</v>
      </c>
      <c r="O1671" s="64">
        <f>$L$1671-EFEITO!$O$1671*EFEITO!$AA$1671</f>
        <v>309226.59096117504</v>
      </c>
      <c r="P1671" s="19"/>
      <c r="Q1671" s="19"/>
      <c r="R1671" s="19"/>
      <c r="S1671" s="19"/>
      <c r="T1671" s="19"/>
      <c r="U1671" s="19"/>
      <c r="V1671" s="19"/>
      <c r="W1671" s="19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</row>
    <row r="1672" spans="1:36" ht="11.25" customHeight="1" x14ac:dyDescent="0.2">
      <c r="A1672" s="55" t="s">
        <v>27</v>
      </c>
      <c r="B1672" s="55" t="s">
        <v>22</v>
      </c>
      <c r="C1672" s="55" t="s">
        <v>23</v>
      </c>
      <c r="D1672" s="55" t="s">
        <v>24</v>
      </c>
      <c r="E1672" s="55" t="s">
        <v>31</v>
      </c>
      <c r="F1672" s="55" t="s">
        <v>25</v>
      </c>
      <c r="G1672" s="55" t="s">
        <v>25</v>
      </c>
      <c r="H1672" s="55" t="s">
        <v>25</v>
      </c>
      <c r="I1672" s="63">
        <v>44682</v>
      </c>
      <c r="J1672" s="64">
        <f>EFEITO!$J$1672*EFEITO!$Y$1521</f>
        <v>0</v>
      </c>
      <c r="K1672" s="64">
        <f ca="1">EFEITO!$L$1672*EFEITO!$Z$1680</f>
        <v>-1273.3795901307242</v>
      </c>
      <c r="L1672" s="64">
        <f>EFEITO!$N$1672*EFEITO!$AA$1680</f>
        <v>-1056.444914024265</v>
      </c>
      <c r="M1672" s="64">
        <f>$J$1672-EFEITO!$K$1672*EFEITO!$Y$1672</f>
        <v>0</v>
      </c>
      <c r="N1672" s="64">
        <f ca="1">$K$1672-EFEITO!$M$1672*EFEITO!$Z$1672</f>
        <v>-127.33795901307235</v>
      </c>
      <c r="O1672" s="64">
        <f>$L$1672-EFEITO!$O$1672*EFEITO!$AA$1672</f>
        <v>-105.64449140242652</v>
      </c>
      <c r="P1672" s="19"/>
      <c r="Q1672" s="19"/>
      <c r="R1672" s="19"/>
      <c r="S1672" s="19"/>
      <c r="T1672" s="19"/>
      <c r="U1672" s="19"/>
      <c r="V1672" s="19"/>
      <c r="W1672" s="19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</row>
    <row r="1673" spans="1:36" ht="11.25" customHeight="1" x14ac:dyDescent="0.2">
      <c r="A1673" s="55" t="s">
        <v>28</v>
      </c>
      <c r="B1673" s="55" t="s">
        <v>22</v>
      </c>
      <c r="C1673" s="55" t="s">
        <v>23</v>
      </c>
      <c r="D1673" s="55" t="s">
        <v>24</v>
      </c>
      <c r="E1673" s="55" t="s">
        <v>31</v>
      </c>
      <c r="F1673" s="55" t="s">
        <v>25</v>
      </c>
      <c r="G1673" s="55" t="s">
        <v>25</v>
      </c>
      <c r="H1673" s="55" t="s">
        <v>25</v>
      </c>
      <c r="I1673" s="63">
        <v>44682</v>
      </c>
      <c r="J1673" s="64">
        <f>EFEITO!$J$1673*EFEITO!$Y$1521</f>
        <v>0</v>
      </c>
      <c r="K1673" s="64">
        <f ca="1">EFEITO!$L$1673*EFEITO!$Z$1680</f>
        <v>6168.7452395889813</v>
      </c>
      <c r="L1673" s="64">
        <f>EFEITO!$N$1673*EFEITO!$AA$1680</f>
        <v>5117.8294239867255</v>
      </c>
      <c r="M1673" s="64">
        <f>$J$1673-EFEITO!$K$1673*EFEITO!$Y$1673</f>
        <v>0</v>
      </c>
      <c r="N1673" s="64">
        <f ca="1">$K$1673-EFEITO!$M$1673*EFEITO!$Z$1673</f>
        <v>616.87452395889795</v>
      </c>
      <c r="O1673" s="64">
        <f>$L$1673-EFEITO!$O$1673*EFEITO!$AA$1673</f>
        <v>511.78294239867319</v>
      </c>
      <c r="P1673" s="19"/>
      <c r="Q1673" s="19"/>
      <c r="R1673" s="19"/>
      <c r="S1673" s="19"/>
      <c r="T1673" s="19"/>
      <c r="U1673" s="19"/>
      <c r="V1673" s="19"/>
      <c r="W1673" s="19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</row>
    <row r="1674" spans="1:36" ht="11.25" customHeight="1" x14ac:dyDescent="0.2">
      <c r="A1674" s="55" t="s">
        <v>21</v>
      </c>
      <c r="B1674" s="55" t="s">
        <v>22</v>
      </c>
      <c r="C1674" s="55" t="s">
        <v>23</v>
      </c>
      <c r="D1674" s="55" t="s">
        <v>24</v>
      </c>
      <c r="E1674" s="55" t="s">
        <v>31</v>
      </c>
      <c r="F1674" s="55" t="s">
        <v>25</v>
      </c>
      <c r="G1674" s="55" t="s">
        <v>25</v>
      </c>
      <c r="H1674" s="55" t="s">
        <v>25</v>
      </c>
      <c r="I1674" s="63">
        <v>44713</v>
      </c>
      <c r="J1674" s="64">
        <f>EFEITO!$J$1674*EFEITO!$Y$1521</f>
        <v>0</v>
      </c>
      <c r="K1674" s="64">
        <f ca="1">EFEITO!$L$1674*EFEITO!$Z$1680</f>
        <v>2721081.5436051595</v>
      </c>
      <c r="L1674" s="64">
        <f>EFEITO!$N$1674*EFEITO!$AA$1680</f>
        <v>2257514.3968593497</v>
      </c>
      <c r="M1674" s="64">
        <f>$J$1674-EFEITO!$K$1674*EFEITO!$Y$1674</f>
        <v>0</v>
      </c>
      <c r="N1674" s="64">
        <f ca="1">$K$1674-EFEITO!$M$1674*EFEITO!$Z$1674</f>
        <v>272108.15436051553</v>
      </c>
      <c r="O1674" s="64">
        <f>$L$1674-EFEITO!$O$1674*EFEITO!$AA$1674</f>
        <v>225751.43968593515</v>
      </c>
      <c r="P1674" s="19"/>
      <c r="Q1674" s="19"/>
      <c r="R1674" s="19"/>
      <c r="S1674" s="19"/>
      <c r="T1674" s="19"/>
      <c r="U1674" s="19"/>
      <c r="V1674" s="19"/>
      <c r="W1674" s="19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</row>
    <row r="1675" spans="1:36" ht="11.25" customHeight="1" x14ac:dyDescent="0.2">
      <c r="A1675" s="55" t="s">
        <v>27</v>
      </c>
      <c r="B1675" s="55" t="s">
        <v>22</v>
      </c>
      <c r="C1675" s="55" t="s">
        <v>23</v>
      </c>
      <c r="D1675" s="55" t="s">
        <v>24</v>
      </c>
      <c r="E1675" s="55" t="s">
        <v>31</v>
      </c>
      <c r="F1675" s="55" t="s">
        <v>25</v>
      </c>
      <c r="G1675" s="55" t="s">
        <v>25</v>
      </c>
      <c r="H1675" s="55" t="s">
        <v>25</v>
      </c>
      <c r="I1675" s="63">
        <v>44713</v>
      </c>
      <c r="J1675" s="64">
        <f>EFEITO!$J$1675*EFEITO!$Y$1521</f>
        <v>0</v>
      </c>
      <c r="K1675" s="64">
        <f ca="1">EFEITO!$L$1675*EFEITO!$Z$1680</f>
        <v>-1092.7625172133985</v>
      </c>
      <c r="L1675" s="64">
        <f>EFEITO!$N$1675*EFEITO!$AA$1680</f>
        <v>-906.59801091042618</v>
      </c>
      <c r="M1675" s="64">
        <f>$J$1675-EFEITO!$K$1675*EFEITO!$Y$1675</f>
        <v>0</v>
      </c>
      <c r="N1675" s="64">
        <f ca="1">$K$1675-EFEITO!$M$1675*EFEITO!$Z$1675</f>
        <v>-109.2762517213398</v>
      </c>
      <c r="O1675" s="64">
        <f>$L$1675-EFEITO!$O$1675*EFEITO!$AA$1675</f>
        <v>-90.659801091042709</v>
      </c>
      <c r="P1675" s="19"/>
      <c r="Q1675" s="19"/>
      <c r="R1675" s="19"/>
      <c r="S1675" s="19"/>
      <c r="T1675" s="19"/>
      <c r="U1675" s="19"/>
      <c r="V1675" s="19"/>
      <c r="W1675" s="19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</row>
    <row r="1676" spans="1:36" ht="11.25" customHeight="1" x14ac:dyDescent="0.2">
      <c r="A1676" s="55" t="s">
        <v>28</v>
      </c>
      <c r="B1676" s="55" t="s">
        <v>22</v>
      </c>
      <c r="C1676" s="55" t="s">
        <v>23</v>
      </c>
      <c r="D1676" s="55" t="s">
        <v>24</v>
      </c>
      <c r="E1676" s="55" t="s">
        <v>31</v>
      </c>
      <c r="F1676" s="55" t="s">
        <v>25</v>
      </c>
      <c r="G1676" s="55" t="s">
        <v>25</v>
      </c>
      <c r="H1676" s="55" t="s">
        <v>25</v>
      </c>
      <c r="I1676" s="63">
        <v>44713</v>
      </c>
      <c r="J1676" s="64">
        <f>EFEITO!$J$1676*EFEITO!$Y$1521</f>
        <v>0</v>
      </c>
      <c r="K1676" s="64">
        <f ca="1">EFEITO!$L$1676*EFEITO!$Z$1680</f>
        <v>6898.8123077887867</v>
      </c>
      <c r="L1676" s="64">
        <f>EFEITO!$N$1676*EFEITO!$AA$1680</f>
        <v>5723.5212750844103</v>
      </c>
      <c r="M1676" s="64">
        <f>$J$1676-EFEITO!$K$1676*EFEITO!$Y$1676</f>
        <v>0</v>
      </c>
      <c r="N1676" s="64">
        <f ca="1">$K$1676-EFEITO!$M$1676*EFEITO!$Z$1676</f>
        <v>689.88123077887849</v>
      </c>
      <c r="O1676" s="64">
        <f>$L$1676-EFEITO!$O$1676*EFEITO!$AA$1676</f>
        <v>572.3521275084413</v>
      </c>
      <c r="P1676" s="19"/>
      <c r="Q1676" s="19"/>
      <c r="R1676" s="19"/>
      <c r="S1676" s="19"/>
      <c r="T1676" s="19"/>
      <c r="U1676" s="19"/>
      <c r="V1676" s="19"/>
      <c r="W1676" s="19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</row>
    <row r="1677" spans="1:36" ht="11.25" customHeight="1" x14ac:dyDescent="0.2">
      <c r="A1677" s="55" t="s">
        <v>57</v>
      </c>
      <c r="B1677" s="55" t="s">
        <v>22</v>
      </c>
      <c r="C1677" s="55" t="s">
        <v>23</v>
      </c>
      <c r="D1677" s="55" t="s">
        <v>24</v>
      </c>
      <c r="E1677" s="55" t="s">
        <v>31</v>
      </c>
      <c r="F1677" s="55" t="s">
        <v>25</v>
      </c>
      <c r="G1677" s="55" t="s">
        <v>25</v>
      </c>
      <c r="H1677" s="55" t="s">
        <v>25</v>
      </c>
      <c r="I1677" s="63">
        <v>44743</v>
      </c>
      <c r="J1677" s="64">
        <f>EFEITO!$J$1677*EFEITO!$Y$1521</f>
        <v>0</v>
      </c>
      <c r="K1677" s="64">
        <f ca="1">EFEITO!$L$1677*EFEITO!$Z$1680</f>
        <v>2721081.5436051595</v>
      </c>
      <c r="L1677" s="64">
        <f>EFEITO!$N$1677*EFEITO!$AA$1680</f>
        <v>2257514.3968593497</v>
      </c>
      <c r="M1677" s="64">
        <f>$J$1677-EFEITO!$K$1677*EFEITO!$Y$1677</f>
        <v>0</v>
      </c>
      <c r="N1677" s="64">
        <f ca="1">$K$1677-EFEITO!$M$1677*EFEITO!$Z$1677</f>
        <v>272108.15436051553</v>
      </c>
      <c r="O1677" s="64">
        <f>$L$1677-EFEITO!$O$1677*EFEITO!$AA$1677</f>
        <v>225751.43968593515</v>
      </c>
      <c r="P1677" s="19"/>
      <c r="Q1677" s="19"/>
      <c r="R1677" s="19"/>
      <c r="S1677" s="19"/>
      <c r="T1677" s="19"/>
      <c r="U1677" s="19"/>
      <c r="V1677" s="19"/>
      <c r="W1677" s="19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</row>
    <row r="1678" spans="1:36" ht="11.25" customHeight="1" x14ac:dyDescent="0.2">
      <c r="A1678" s="55" t="s">
        <v>57</v>
      </c>
      <c r="B1678" s="55" t="s">
        <v>22</v>
      </c>
      <c r="C1678" s="55" t="s">
        <v>23</v>
      </c>
      <c r="D1678" s="55" t="s">
        <v>24</v>
      </c>
      <c r="E1678" s="55" t="s">
        <v>31</v>
      </c>
      <c r="F1678" s="55" t="s">
        <v>25</v>
      </c>
      <c r="G1678" s="55" t="s">
        <v>25</v>
      </c>
      <c r="H1678" s="55" t="s">
        <v>25</v>
      </c>
      <c r="I1678" s="63">
        <v>44743</v>
      </c>
      <c r="J1678" s="64">
        <f>EFEITO!$J$1678*EFEITO!$Y$1521</f>
        <v>0</v>
      </c>
      <c r="K1678" s="64">
        <f ca="1">EFEITO!$L$1678*EFEITO!$Z$1680</f>
        <v>-1092.7625172133985</v>
      </c>
      <c r="L1678" s="64">
        <f>EFEITO!$N$1678*EFEITO!$AA$1680</f>
        <v>-906.59801091042618</v>
      </c>
      <c r="M1678" s="64">
        <f>$J$1678-EFEITO!$K$1678*EFEITO!$Y$1678</f>
        <v>0</v>
      </c>
      <c r="N1678" s="64">
        <f ca="1">$K$1678-EFEITO!$M$1678*EFEITO!$Z$1678</f>
        <v>-109.2762517213398</v>
      </c>
      <c r="O1678" s="64">
        <f>$L$1678-EFEITO!$O$1678*EFEITO!$AA$1678</f>
        <v>-90.659801091042709</v>
      </c>
      <c r="P1678" s="19"/>
      <c r="Q1678" s="19"/>
      <c r="R1678" s="19"/>
      <c r="S1678" s="19"/>
      <c r="T1678" s="19"/>
      <c r="U1678" s="19"/>
      <c r="V1678" s="19"/>
      <c r="W1678" s="19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</row>
    <row r="1679" spans="1:36" ht="11.25" customHeight="1" x14ac:dyDescent="0.2">
      <c r="A1679" s="55" t="s">
        <v>57</v>
      </c>
      <c r="B1679" s="55" t="s">
        <v>22</v>
      </c>
      <c r="C1679" s="55" t="s">
        <v>23</v>
      </c>
      <c r="D1679" s="55" t="s">
        <v>24</v>
      </c>
      <c r="E1679" s="55" t="s">
        <v>31</v>
      </c>
      <c r="F1679" s="55" t="s">
        <v>25</v>
      </c>
      <c r="G1679" s="55" t="s">
        <v>25</v>
      </c>
      <c r="H1679" s="55" t="s">
        <v>25</v>
      </c>
      <c r="I1679" s="63">
        <v>44743</v>
      </c>
      <c r="J1679" s="64">
        <f>EFEITO!$J$1679*EFEITO!$Y$1521</f>
        <v>0</v>
      </c>
      <c r="K1679" s="64">
        <f ca="1">EFEITO!$L$1679*EFEITO!$Z$1680</f>
        <v>6898.8123077887867</v>
      </c>
      <c r="L1679" s="64">
        <f>EFEITO!$N$1679*EFEITO!$AA$1680</f>
        <v>5723.5212750844103</v>
      </c>
      <c r="M1679" s="64">
        <f>$J$1679-EFEITO!$K$1679*EFEITO!$Y$1679</f>
        <v>0</v>
      </c>
      <c r="N1679" s="64">
        <f ca="1">$K$1679-EFEITO!$M$1679*EFEITO!$Z$1679</f>
        <v>689.88123077887849</v>
      </c>
      <c r="O1679" s="64">
        <f>$L$1679-EFEITO!$O$1679*EFEITO!$AA$1679</f>
        <v>572.3521275084413</v>
      </c>
      <c r="P1679" s="19"/>
      <c r="Q1679" s="19"/>
      <c r="R1679" s="19"/>
      <c r="S1679" s="19"/>
      <c r="T1679" s="19"/>
      <c r="U1679" s="19"/>
      <c r="V1679" s="19"/>
      <c r="W1679" s="19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</row>
    <row r="1680" spans="1:36" ht="11.25" customHeight="1" x14ac:dyDescent="0.2">
      <c r="A1680" s="55" t="s">
        <v>21</v>
      </c>
      <c r="B1680" s="55" t="s">
        <v>22</v>
      </c>
      <c r="C1680" s="55" t="s">
        <v>23</v>
      </c>
      <c r="D1680" s="55" t="s">
        <v>24</v>
      </c>
      <c r="E1680" s="55" t="s">
        <v>32</v>
      </c>
      <c r="F1680" s="55" t="s">
        <v>25</v>
      </c>
      <c r="G1680" s="55" t="s">
        <v>25</v>
      </c>
      <c r="H1680" s="55" t="s">
        <v>25</v>
      </c>
      <c r="I1680" s="63">
        <v>44409</v>
      </c>
      <c r="J1680" s="64">
        <f>EFEITO!$J$1680*EFEITO!$Y$1521</f>
        <v>0</v>
      </c>
      <c r="K1680" s="64">
        <f ca="1">EFEITO!$L$1680*EFEITO!$Z$1680</f>
        <v>742442.55256163515</v>
      </c>
      <c r="L1680" s="64">
        <f>EFEITO!$N$1680*EFEITO!$AA$1680</f>
        <v>615959.03113887017</v>
      </c>
      <c r="M1680" s="64">
        <f>$J$1680-EFEITO!$K$1680*EFEITO!$Y$1680</f>
        <v>0</v>
      </c>
      <c r="N1680" s="64">
        <f ca="1">$K$1680-EFEITO!$M$1680*EFEITO!$Z$1680</f>
        <v>0</v>
      </c>
      <c r="O1680" s="64">
        <f>$L$1680-EFEITO!$O$1680*EFEITO!$AA$1680</f>
        <v>0</v>
      </c>
      <c r="P1680" s="19"/>
      <c r="Q1680" s="19"/>
      <c r="R1680" s="19"/>
      <c r="S1680" s="19"/>
      <c r="T1680" s="19"/>
      <c r="U1680" s="19"/>
      <c r="V1680" s="19"/>
      <c r="W1680" s="19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</row>
    <row r="1681" spans="1:36" ht="11.25" customHeight="1" x14ac:dyDescent="0.2">
      <c r="A1681" s="55" t="s">
        <v>27</v>
      </c>
      <c r="B1681" s="55" t="s">
        <v>22</v>
      </c>
      <c r="C1681" s="55" t="s">
        <v>23</v>
      </c>
      <c r="D1681" s="55" t="s">
        <v>24</v>
      </c>
      <c r="E1681" s="55" t="s">
        <v>32</v>
      </c>
      <c r="F1681" s="55" t="s">
        <v>25</v>
      </c>
      <c r="G1681" s="55" t="s">
        <v>25</v>
      </c>
      <c r="H1681" s="55" t="s">
        <v>25</v>
      </c>
      <c r="I1681" s="63">
        <v>44409</v>
      </c>
      <c r="J1681" s="64">
        <f>EFEITO!$J$1681*EFEITO!$Y$1521</f>
        <v>0</v>
      </c>
      <c r="K1681" s="64">
        <f ca="1">EFEITO!$L$1681*EFEITO!$Z$1680</f>
        <v>-3810.2019087753615</v>
      </c>
      <c r="L1681" s="64">
        <f>EFEITO!$N$1681*EFEITO!$AA$1680</f>
        <v>-3161.0907376943642</v>
      </c>
      <c r="M1681" s="64">
        <f>$J$1681-EFEITO!$K$1681*EFEITO!$Y$1681</f>
        <v>0</v>
      </c>
      <c r="N1681" s="64">
        <f ca="1">$K$1681-EFEITO!$M$1681*EFEITO!$Z$1681</f>
        <v>0</v>
      </c>
      <c r="O1681" s="64">
        <f>$L$1681-EFEITO!$O$1681*EFEITO!$AA$1681</f>
        <v>0</v>
      </c>
      <c r="P1681" s="19"/>
      <c r="Q1681" s="19"/>
      <c r="R1681" s="19"/>
      <c r="S1681" s="19"/>
      <c r="T1681" s="19"/>
      <c r="U1681" s="19"/>
      <c r="V1681" s="19"/>
      <c r="W1681" s="19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</row>
    <row r="1682" spans="1:36" ht="11.25" customHeight="1" x14ac:dyDescent="0.2">
      <c r="A1682" s="55" t="s">
        <v>28</v>
      </c>
      <c r="B1682" s="55" t="s">
        <v>22</v>
      </c>
      <c r="C1682" s="55" t="s">
        <v>23</v>
      </c>
      <c r="D1682" s="55" t="s">
        <v>24</v>
      </c>
      <c r="E1682" s="55" t="s">
        <v>32</v>
      </c>
      <c r="F1682" s="55" t="s">
        <v>25</v>
      </c>
      <c r="G1682" s="55" t="s">
        <v>25</v>
      </c>
      <c r="H1682" s="55" t="s">
        <v>25</v>
      </c>
      <c r="I1682" s="63">
        <v>44409</v>
      </c>
      <c r="J1682" s="64">
        <f>EFEITO!$J$1682*EFEITO!$Y$1521</f>
        <v>0</v>
      </c>
      <c r="K1682" s="64">
        <f ca="1">EFEITO!$L$1682*EFEITO!$Z$1680</f>
        <v>13016.704196750559</v>
      </c>
      <c r="L1682" s="64">
        <f>EFEITO!$N$1682*EFEITO!$AA$1680</f>
        <v>10799.160794310928</v>
      </c>
      <c r="M1682" s="64">
        <f>$J$1682-EFEITO!$K$1682*EFEITO!$Y$1682</f>
        <v>0</v>
      </c>
      <c r="N1682" s="64">
        <f ca="1">$K$1682-EFEITO!$M$1682*EFEITO!$Z$1682</f>
        <v>0</v>
      </c>
      <c r="O1682" s="64">
        <f>$L$1682-EFEITO!$O$1682*EFEITO!$AA$1682</f>
        <v>0</v>
      </c>
      <c r="P1682" s="19"/>
      <c r="Q1682" s="19"/>
      <c r="R1682" s="19"/>
      <c r="S1682" s="19"/>
      <c r="T1682" s="19"/>
      <c r="U1682" s="19"/>
      <c r="V1682" s="19"/>
      <c r="W1682" s="19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</row>
    <row r="1683" spans="1:36" ht="11.25" customHeight="1" x14ac:dyDescent="0.2">
      <c r="A1683" s="55" t="s">
        <v>21</v>
      </c>
      <c r="B1683" s="55" t="s">
        <v>22</v>
      </c>
      <c r="C1683" s="55" t="s">
        <v>23</v>
      </c>
      <c r="D1683" s="55" t="s">
        <v>24</v>
      </c>
      <c r="E1683" s="55" t="s">
        <v>32</v>
      </c>
      <c r="F1683" s="55" t="s">
        <v>25</v>
      </c>
      <c r="G1683" s="55" t="s">
        <v>25</v>
      </c>
      <c r="H1683" s="55" t="s">
        <v>25</v>
      </c>
      <c r="I1683" s="63">
        <v>44440</v>
      </c>
      <c r="J1683" s="64">
        <f>EFEITO!$J$1683*EFEITO!$Y$1521</f>
        <v>0</v>
      </c>
      <c r="K1683" s="64">
        <f ca="1">EFEITO!$L$1683*EFEITO!$Z$1680</f>
        <v>751794.60064623295</v>
      </c>
      <c r="L1683" s="64">
        <f>EFEITO!$N$1683*EFEITO!$AA$1680</f>
        <v>623717.85161255905</v>
      </c>
      <c r="M1683" s="64">
        <f>$J$1683-EFEITO!$K$1683*EFEITO!$Y$1683</f>
        <v>0</v>
      </c>
      <c r="N1683" s="64">
        <f ca="1">$K$1683-EFEITO!$M$1683*EFEITO!$Z$1683</f>
        <v>0</v>
      </c>
      <c r="O1683" s="64">
        <f>$L$1683-EFEITO!$O$1683*EFEITO!$AA$1683</f>
        <v>0</v>
      </c>
      <c r="P1683" s="19"/>
      <c r="Q1683" s="19"/>
      <c r="R1683" s="19"/>
      <c r="S1683" s="19"/>
      <c r="T1683" s="19"/>
      <c r="U1683" s="19"/>
      <c r="V1683" s="19"/>
      <c r="W1683" s="19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</row>
    <row r="1684" spans="1:36" ht="11.25" customHeight="1" x14ac:dyDescent="0.2">
      <c r="A1684" s="55" t="s">
        <v>27</v>
      </c>
      <c r="B1684" s="55" t="s">
        <v>22</v>
      </c>
      <c r="C1684" s="55" t="s">
        <v>23</v>
      </c>
      <c r="D1684" s="55" t="s">
        <v>24</v>
      </c>
      <c r="E1684" s="55" t="s">
        <v>32</v>
      </c>
      <c r="F1684" s="55" t="s">
        <v>25</v>
      </c>
      <c r="G1684" s="55" t="s">
        <v>25</v>
      </c>
      <c r="H1684" s="55" t="s">
        <v>25</v>
      </c>
      <c r="I1684" s="63">
        <v>44440</v>
      </c>
      <c r="J1684" s="64">
        <f>EFEITO!$J$1684*EFEITO!$Y$1521</f>
        <v>0</v>
      </c>
      <c r="K1684" s="64">
        <f ca="1">EFEITO!$L$1684*EFEITO!$Z$1680</f>
        <v>-4119.4136614396502</v>
      </c>
      <c r="L1684" s="64">
        <f>EFEITO!$N$1684*EFEITO!$AA$1680</f>
        <v>-3417.6247562937838</v>
      </c>
      <c r="M1684" s="64">
        <f>$J$1684-EFEITO!$K$1684*EFEITO!$Y$1684</f>
        <v>0</v>
      </c>
      <c r="N1684" s="64">
        <f ca="1">$K$1684-EFEITO!$M$1684*EFEITO!$Z$1684</f>
        <v>0</v>
      </c>
      <c r="O1684" s="64">
        <f>$L$1684-EFEITO!$O$1684*EFEITO!$AA$1684</f>
        <v>0</v>
      </c>
      <c r="P1684" s="19"/>
      <c r="Q1684" s="19"/>
      <c r="R1684" s="19"/>
      <c r="S1684" s="19"/>
      <c r="T1684" s="19"/>
      <c r="U1684" s="19"/>
      <c r="V1684" s="19"/>
      <c r="W1684" s="19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</row>
    <row r="1685" spans="1:36" ht="11.25" customHeight="1" x14ac:dyDescent="0.2">
      <c r="A1685" s="55" t="s">
        <v>28</v>
      </c>
      <c r="B1685" s="55" t="s">
        <v>22</v>
      </c>
      <c r="C1685" s="55" t="s">
        <v>23</v>
      </c>
      <c r="D1685" s="55" t="s">
        <v>24</v>
      </c>
      <c r="E1685" s="55" t="s">
        <v>32</v>
      </c>
      <c r="F1685" s="55" t="s">
        <v>25</v>
      </c>
      <c r="G1685" s="55" t="s">
        <v>25</v>
      </c>
      <c r="H1685" s="55" t="s">
        <v>25</v>
      </c>
      <c r="I1685" s="63">
        <v>44440</v>
      </c>
      <c r="J1685" s="64">
        <f>EFEITO!$J$1685*EFEITO!$Y$1521</f>
        <v>0</v>
      </c>
      <c r="K1685" s="64">
        <f ca="1">EFEITO!$L$1685*EFEITO!$Z$1680</f>
        <v>14288.037962430762</v>
      </c>
      <c r="L1685" s="64">
        <f>EFEITO!$N$1685*EFEITO!$AA$1680</f>
        <v>11853.908413316105</v>
      </c>
      <c r="M1685" s="64">
        <f>$J$1685-EFEITO!$K$1685*EFEITO!$Y$1685</f>
        <v>0</v>
      </c>
      <c r="N1685" s="64">
        <f ca="1">$K$1685-EFEITO!$M$1685*EFEITO!$Z$1685</f>
        <v>0</v>
      </c>
      <c r="O1685" s="64">
        <f>$L$1685-EFEITO!$O$1685*EFEITO!$AA$1685</f>
        <v>0</v>
      </c>
      <c r="P1685" s="19"/>
      <c r="Q1685" s="19"/>
      <c r="R1685" s="19"/>
      <c r="S1685" s="19"/>
      <c r="T1685" s="19"/>
      <c r="U1685" s="19"/>
      <c r="V1685" s="19"/>
      <c r="W1685" s="19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</row>
    <row r="1686" spans="1:36" ht="11.25" customHeight="1" x14ac:dyDescent="0.2">
      <c r="A1686" s="55" t="s">
        <v>21</v>
      </c>
      <c r="B1686" s="55" t="s">
        <v>22</v>
      </c>
      <c r="C1686" s="55" t="s">
        <v>23</v>
      </c>
      <c r="D1686" s="55" t="s">
        <v>24</v>
      </c>
      <c r="E1686" s="55" t="s">
        <v>32</v>
      </c>
      <c r="F1686" s="55" t="s">
        <v>25</v>
      </c>
      <c r="G1686" s="55" t="s">
        <v>25</v>
      </c>
      <c r="H1686" s="55" t="s">
        <v>25</v>
      </c>
      <c r="I1686" s="63">
        <v>44470</v>
      </c>
      <c r="J1686" s="64">
        <f>EFEITO!$J$1686*EFEITO!$Y$1521</f>
        <v>0</v>
      </c>
      <c r="K1686" s="64">
        <f ca="1">EFEITO!$L$1686*EFEITO!$Z$1680</f>
        <v>963094.36415118398</v>
      </c>
      <c r="L1686" s="64">
        <f>EFEITO!$N$1686*EFEITO!$AA$1680</f>
        <v>799020.30048125761</v>
      </c>
      <c r="M1686" s="64">
        <f>$J$1686-EFEITO!$K$1686*EFEITO!$Y$1686</f>
        <v>0</v>
      </c>
      <c r="N1686" s="64">
        <f ca="1">$K$1686-EFEITO!$M$1686*EFEITO!$Z$1686</f>
        <v>0</v>
      </c>
      <c r="O1686" s="64">
        <f>$L$1686-EFEITO!$O$1686*EFEITO!$AA$1686</f>
        <v>0</v>
      </c>
      <c r="P1686" s="19"/>
      <c r="Q1686" s="19"/>
      <c r="R1686" s="19"/>
      <c r="S1686" s="19"/>
      <c r="T1686" s="19"/>
      <c r="U1686" s="19"/>
      <c r="V1686" s="19"/>
      <c r="W1686" s="19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</row>
    <row r="1687" spans="1:36" ht="11.25" customHeight="1" x14ac:dyDescent="0.2">
      <c r="A1687" s="55" t="s">
        <v>27</v>
      </c>
      <c r="B1687" s="55" t="s">
        <v>22</v>
      </c>
      <c r="C1687" s="55" t="s">
        <v>23</v>
      </c>
      <c r="D1687" s="55" t="s">
        <v>24</v>
      </c>
      <c r="E1687" s="55" t="s">
        <v>32</v>
      </c>
      <c r="F1687" s="55" t="s">
        <v>25</v>
      </c>
      <c r="G1687" s="55" t="s">
        <v>25</v>
      </c>
      <c r="H1687" s="55" t="s">
        <v>25</v>
      </c>
      <c r="I1687" s="63">
        <v>44470</v>
      </c>
      <c r="J1687" s="64">
        <f>EFEITO!$J$1687*EFEITO!$Y$1521</f>
        <v>0</v>
      </c>
      <c r="K1687" s="64">
        <f ca="1">EFEITO!$L$1687*EFEITO!$Z$1680</f>
        <v>-5308.9144490990593</v>
      </c>
      <c r="L1687" s="64">
        <f>EFEITO!$N$1687*EFEITO!$AA$1680</f>
        <v>-4404.4805745354079</v>
      </c>
      <c r="M1687" s="64">
        <f>$J$1687-EFEITO!$K$1687*EFEITO!$Y$1687</f>
        <v>0</v>
      </c>
      <c r="N1687" s="64">
        <f ca="1">$K$1687-EFEITO!$M$1687*EFEITO!$Z$1687</f>
        <v>0</v>
      </c>
      <c r="O1687" s="64">
        <f>$L$1687-EFEITO!$O$1687*EFEITO!$AA$1687</f>
        <v>0</v>
      </c>
      <c r="P1687" s="19"/>
      <c r="Q1687" s="19"/>
      <c r="R1687" s="19"/>
      <c r="S1687" s="19"/>
      <c r="T1687" s="19"/>
      <c r="U1687" s="19"/>
      <c r="V1687" s="19"/>
      <c r="W1687" s="19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</row>
    <row r="1688" spans="1:36" ht="11.25" customHeight="1" x14ac:dyDescent="0.2">
      <c r="A1688" s="55" t="s">
        <v>28</v>
      </c>
      <c r="B1688" s="55" t="s">
        <v>22</v>
      </c>
      <c r="C1688" s="55" t="s">
        <v>23</v>
      </c>
      <c r="D1688" s="55" t="s">
        <v>24</v>
      </c>
      <c r="E1688" s="55" t="s">
        <v>32</v>
      </c>
      <c r="F1688" s="55" t="s">
        <v>25</v>
      </c>
      <c r="G1688" s="55" t="s">
        <v>25</v>
      </c>
      <c r="H1688" s="55" t="s">
        <v>25</v>
      </c>
      <c r="I1688" s="63">
        <v>44470</v>
      </c>
      <c r="J1688" s="64">
        <f>EFEITO!$J$1688*EFEITO!$Y$1521</f>
        <v>0</v>
      </c>
      <c r="K1688" s="64">
        <f ca="1">EFEITO!$L$1688*EFEITO!$Z$1680</f>
        <v>19071.175527746218</v>
      </c>
      <c r="L1688" s="64">
        <f>EFEITO!$N$1688*EFEITO!$AA$1680</f>
        <v>15822.184167945696</v>
      </c>
      <c r="M1688" s="64">
        <f>$J$1688-EFEITO!$K$1688*EFEITO!$Y$1688</f>
        <v>0</v>
      </c>
      <c r="N1688" s="64">
        <f ca="1">$K$1688-EFEITO!$M$1688*EFEITO!$Z$1688</f>
        <v>0</v>
      </c>
      <c r="O1688" s="64">
        <f>$L$1688-EFEITO!$O$1688*EFEITO!$AA$1688</f>
        <v>0</v>
      </c>
      <c r="P1688" s="19"/>
      <c r="Q1688" s="19"/>
      <c r="R1688" s="19"/>
      <c r="S1688" s="19"/>
      <c r="T1688" s="19"/>
      <c r="U1688" s="19"/>
      <c r="V1688" s="19"/>
      <c r="W1688" s="19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</row>
    <row r="1689" spans="1:36" ht="11.25" customHeight="1" x14ac:dyDescent="0.2">
      <c r="A1689" s="55" t="s">
        <v>21</v>
      </c>
      <c r="B1689" s="55" t="s">
        <v>22</v>
      </c>
      <c r="C1689" s="55" t="s">
        <v>23</v>
      </c>
      <c r="D1689" s="55" t="s">
        <v>24</v>
      </c>
      <c r="E1689" s="55" t="s">
        <v>32</v>
      </c>
      <c r="F1689" s="55" t="s">
        <v>25</v>
      </c>
      <c r="G1689" s="55" t="s">
        <v>25</v>
      </c>
      <c r="H1689" s="55" t="s">
        <v>25</v>
      </c>
      <c r="I1689" s="63">
        <v>44501</v>
      </c>
      <c r="J1689" s="64">
        <f>EFEITO!$J$1689*EFEITO!$Y$1521</f>
        <v>0</v>
      </c>
      <c r="K1689" s="64">
        <f ca="1">EFEITO!$L$1689*EFEITO!$Z$1680</f>
        <v>934278.34224433999</v>
      </c>
      <c r="L1689" s="64">
        <f>EFEITO!$N$1689*EFEITO!$AA$1680</f>
        <v>775113.41519595799</v>
      </c>
      <c r="M1689" s="64">
        <f>$J$1689-EFEITO!$K$1689*EFEITO!$Y$1689</f>
        <v>0</v>
      </c>
      <c r="N1689" s="64">
        <f ca="1">$K$1689-EFEITO!$M$1689*EFEITO!$Z$1689</f>
        <v>0</v>
      </c>
      <c r="O1689" s="64">
        <f>$L$1689-EFEITO!$O$1689*EFEITO!$AA$1689</f>
        <v>0</v>
      </c>
      <c r="P1689" s="19"/>
      <c r="Q1689" s="19"/>
      <c r="R1689" s="19"/>
      <c r="S1689" s="19"/>
      <c r="T1689" s="19"/>
      <c r="U1689" s="19"/>
      <c r="V1689" s="19"/>
      <c r="W1689" s="19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</row>
    <row r="1690" spans="1:36" ht="11.25" customHeight="1" x14ac:dyDescent="0.2">
      <c r="A1690" s="55" t="s">
        <v>27</v>
      </c>
      <c r="B1690" s="55" t="s">
        <v>22</v>
      </c>
      <c r="C1690" s="55" t="s">
        <v>23</v>
      </c>
      <c r="D1690" s="55" t="s">
        <v>24</v>
      </c>
      <c r="E1690" s="55" t="s">
        <v>32</v>
      </c>
      <c r="F1690" s="55" t="s">
        <v>25</v>
      </c>
      <c r="G1690" s="55" t="s">
        <v>25</v>
      </c>
      <c r="H1690" s="55" t="s">
        <v>25</v>
      </c>
      <c r="I1690" s="63">
        <v>44501</v>
      </c>
      <c r="J1690" s="64">
        <f>EFEITO!$J$1690*EFEITO!$Y$1521</f>
        <v>0</v>
      </c>
      <c r="K1690" s="64">
        <f ca="1">EFEITO!$L$1690*EFEITO!$Z$1680</f>
        <v>-3718.7243297735445</v>
      </c>
      <c r="L1690" s="64">
        <f>EFEITO!$N$1690*EFEITO!$AA$1680</f>
        <v>-3085.1974032693938</v>
      </c>
      <c r="M1690" s="64">
        <f>$J$1690-EFEITO!$K$1690*EFEITO!$Y$1690</f>
        <v>0</v>
      </c>
      <c r="N1690" s="64">
        <f ca="1">$K$1690-EFEITO!$M$1690*EFEITO!$Z$1690</f>
        <v>0</v>
      </c>
      <c r="O1690" s="64">
        <f>$L$1690-EFEITO!$O$1690*EFEITO!$AA$1690</f>
        <v>0</v>
      </c>
      <c r="P1690" s="19"/>
      <c r="Q1690" s="19"/>
      <c r="R1690" s="19"/>
      <c r="S1690" s="19"/>
      <c r="T1690" s="19"/>
      <c r="U1690" s="19"/>
      <c r="V1690" s="19"/>
      <c r="W1690" s="19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</row>
    <row r="1691" spans="1:36" ht="11.25" customHeight="1" x14ac:dyDescent="0.2">
      <c r="A1691" s="55" t="s">
        <v>28</v>
      </c>
      <c r="B1691" s="55" t="s">
        <v>22</v>
      </c>
      <c r="C1691" s="55" t="s">
        <v>23</v>
      </c>
      <c r="D1691" s="55" t="s">
        <v>24</v>
      </c>
      <c r="E1691" s="55" t="s">
        <v>32</v>
      </c>
      <c r="F1691" s="55" t="s">
        <v>25</v>
      </c>
      <c r="G1691" s="55" t="s">
        <v>25</v>
      </c>
      <c r="H1691" s="55" t="s">
        <v>25</v>
      </c>
      <c r="I1691" s="63">
        <v>44501</v>
      </c>
      <c r="J1691" s="64">
        <f>EFEITO!$J$1691*EFEITO!$Y$1521</f>
        <v>0</v>
      </c>
      <c r="K1691" s="64">
        <f ca="1">EFEITO!$L$1691*EFEITO!$Z$1680</f>
        <v>20305.684453317062</v>
      </c>
      <c r="L1691" s="64">
        <f>EFEITO!$N$1691*EFEITO!$AA$1680</f>
        <v>16846.380476607272</v>
      </c>
      <c r="M1691" s="64">
        <f>$J$1691-EFEITO!$K$1691*EFEITO!$Y$1691</f>
        <v>0</v>
      </c>
      <c r="N1691" s="64">
        <f ca="1">$K$1691-EFEITO!$M$1691*EFEITO!$Z$1691</f>
        <v>0</v>
      </c>
      <c r="O1691" s="64">
        <f>$L$1691-EFEITO!$O$1691*EFEITO!$AA$1691</f>
        <v>0</v>
      </c>
      <c r="P1691" s="19"/>
      <c r="Q1691" s="19"/>
      <c r="R1691" s="19"/>
      <c r="S1691" s="19"/>
      <c r="T1691" s="19"/>
      <c r="U1691" s="19"/>
      <c r="V1691" s="19"/>
      <c r="W1691" s="19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</row>
    <row r="1692" spans="1:36" ht="11.25" customHeight="1" x14ac:dyDescent="0.2">
      <c r="A1692" s="55" t="s">
        <v>21</v>
      </c>
      <c r="B1692" s="55" t="s">
        <v>22</v>
      </c>
      <c r="C1692" s="55" t="s">
        <v>23</v>
      </c>
      <c r="D1692" s="55" t="s">
        <v>24</v>
      </c>
      <c r="E1692" s="55" t="s">
        <v>32</v>
      </c>
      <c r="F1692" s="55" t="s">
        <v>25</v>
      </c>
      <c r="G1692" s="55" t="s">
        <v>25</v>
      </c>
      <c r="H1692" s="55" t="s">
        <v>25</v>
      </c>
      <c r="I1692" s="63">
        <v>44531</v>
      </c>
      <c r="J1692" s="64">
        <f>EFEITO!$J$1692*EFEITO!$Y$1521</f>
        <v>0</v>
      </c>
      <c r="K1692" s="64">
        <f ca="1">EFEITO!$L$1692*EFEITO!$Z$1680</f>
        <v>1415633.9474731728</v>
      </c>
      <c r="L1692" s="64">
        <f>EFEITO!$N$1692*EFEITO!$AA$1680</f>
        <v>1174464.6258815851</v>
      </c>
      <c r="M1692" s="64">
        <f>$J$1692-EFEITO!$K$1692*EFEITO!$Y$1692</f>
        <v>0</v>
      </c>
      <c r="N1692" s="64">
        <f ca="1">$K$1692-EFEITO!$M$1692*EFEITO!$Z$1692</f>
        <v>0</v>
      </c>
      <c r="O1692" s="64">
        <f>$L$1692-EFEITO!$O$1692*EFEITO!$AA$1692</f>
        <v>0</v>
      </c>
      <c r="P1692" s="19"/>
      <c r="Q1692" s="19"/>
      <c r="R1692" s="19"/>
      <c r="S1692" s="19"/>
      <c r="T1692" s="19"/>
      <c r="U1692" s="19"/>
      <c r="V1692" s="19"/>
      <c r="W1692" s="19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</row>
    <row r="1693" spans="1:36" ht="11.25" customHeight="1" x14ac:dyDescent="0.2">
      <c r="A1693" s="55" t="s">
        <v>27</v>
      </c>
      <c r="B1693" s="55" t="s">
        <v>22</v>
      </c>
      <c r="C1693" s="55" t="s">
        <v>23</v>
      </c>
      <c r="D1693" s="55" t="s">
        <v>24</v>
      </c>
      <c r="E1693" s="55" t="s">
        <v>32</v>
      </c>
      <c r="F1693" s="55" t="s">
        <v>25</v>
      </c>
      <c r="G1693" s="55" t="s">
        <v>25</v>
      </c>
      <c r="H1693" s="55" t="s">
        <v>25</v>
      </c>
      <c r="I1693" s="63">
        <v>44531</v>
      </c>
      <c r="J1693" s="64">
        <f>EFEITO!$J$1693*EFEITO!$Y$1521</f>
        <v>0</v>
      </c>
      <c r="K1693" s="64">
        <f ca="1">EFEITO!$L$1693*EFEITO!$Z$1680</f>
        <v>-8213.9851688372728</v>
      </c>
      <c r="L1693" s="64">
        <f>EFEITO!$N$1693*EFEITO!$AA$1680</f>
        <v>-6814.639501641489</v>
      </c>
      <c r="M1693" s="64">
        <f>$J$1693-EFEITO!$K$1693*EFEITO!$Y$1693</f>
        <v>0</v>
      </c>
      <c r="N1693" s="64">
        <f ca="1">$K$1693-EFEITO!$M$1693*EFEITO!$Z$1693</f>
        <v>0</v>
      </c>
      <c r="O1693" s="64">
        <f>$L$1693-EFEITO!$O$1693*EFEITO!$AA$1693</f>
        <v>0</v>
      </c>
      <c r="P1693" s="19"/>
      <c r="Q1693" s="19"/>
      <c r="R1693" s="19"/>
      <c r="S1693" s="19"/>
      <c r="T1693" s="19"/>
      <c r="U1693" s="19"/>
      <c r="V1693" s="19"/>
      <c r="W1693" s="19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</row>
    <row r="1694" spans="1:36" ht="11.25" customHeight="1" x14ac:dyDescent="0.2">
      <c r="A1694" s="55" t="s">
        <v>28</v>
      </c>
      <c r="B1694" s="55" t="s">
        <v>22</v>
      </c>
      <c r="C1694" s="55" t="s">
        <v>23</v>
      </c>
      <c r="D1694" s="55" t="s">
        <v>24</v>
      </c>
      <c r="E1694" s="55" t="s">
        <v>32</v>
      </c>
      <c r="F1694" s="55" t="s">
        <v>25</v>
      </c>
      <c r="G1694" s="55" t="s">
        <v>25</v>
      </c>
      <c r="H1694" s="55" t="s">
        <v>25</v>
      </c>
      <c r="I1694" s="63">
        <v>44531</v>
      </c>
      <c r="J1694" s="64">
        <f>EFEITO!$J$1694*EFEITO!$Y$1521</f>
        <v>0</v>
      </c>
      <c r="K1694" s="64">
        <f ca="1">EFEITO!$L$1694*EFEITO!$Z$1680</f>
        <v>27785.510905053492</v>
      </c>
      <c r="L1694" s="64">
        <f>EFEITO!$N$1694*EFEITO!$AA$1680</f>
        <v>23051.933537112898</v>
      </c>
      <c r="M1694" s="64">
        <f>$J$1694-EFEITO!$K$1694*EFEITO!$Y$1694</f>
        <v>0</v>
      </c>
      <c r="N1694" s="64">
        <f ca="1">$K$1694-EFEITO!$M$1694*EFEITO!$Z$1694</f>
        <v>0</v>
      </c>
      <c r="O1694" s="64">
        <f>$L$1694-EFEITO!$O$1694*EFEITO!$AA$1694</f>
        <v>0</v>
      </c>
      <c r="P1694" s="19"/>
      <c r="Q1694" s="19"/>
      <c r="R1694" s="19"/>
      <c r="S1694" s="19"/>
      <c r="T1694" s="19"/>
      <c r="U1694" s="19"/>
      <c r="V1694" s="19"/>
      <c r="W1694" s="19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</row>
    <row r="1695" spans="1:36" ht="11.25" customHeight="1" x14ac:dyDescent="0.2">
      <c r="A1695" s="55" t="s">
        <v>21</v>
      </c>
      <c r="B1695" s="55" t="s">
        <v>22</v>
      </c>
      <c r="C1695" s="55" t="s">
        <v>23</v>
      </c>
      <c r="D1695" s="55" t="s">
        <v>24</v>
      </c>
      <c r="E1695" s="55" t="s">
        <v>32</v>
      </c>
      <c r="F1695" s="55" t="s">
        <v>25</v>
      </c>
      <c r="G1695" s="55" t="s">
        <v>25</v>
      </c>
      <c r="H1695" s="55" t="s">
        <v>25</v>
      </c>
      <c r="I1695" s="63">
        <v>44562</v>
      </c>
      <c r="J1695" s="64">
        <f>EFEITO!$J$1695*EFEITO!$Y$1521</f>
        <v>0</v>
      </c>
      <c r="K1695" s="64">
        <f ca="1">EFEITO!$L$1695*EFEITO!$Z$1680</f>
        <v>1123609.458278337</v>
      </c>
      <c r="L1695" s="64">
        <f>EFEITO!$N$1695*EFEITO!$AA$1680</f>
        <v>932189.82520824694</v>
      </c>
      <c r="M1695" s="64">
        <f>$J$1695-EFEITO!$K$1695*EFEITO!$Y$1695</f>
        <v>0</v>
      </c>
      <c r="N1695" s="64">
        <f ca="1">$K$1695-EFEITO!$M$1695*EFEITO!$Z$1695</f>
        <v>0</v>
      </c>
      <c r="O1695" s="64">
        <f>$L$1695-EFEITO!$O$1695*EFEITO!$AA$1695</f>
        <v>0</v>
      </c>
      <c r="P1695" s="19"/>
      <c r="Q1695" s="19"/>
      <c r="R1695" s="19"/>
      <c r="S1695" s="19"/>
      <c r="T1695" s="19"/>
      <c r="U1695" s="19"/>
      <c r="V1695" s="19"/>
      <c r="W1695" s="19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</row>
    <row r="1696" spans="1:36" ht="11.25" customHeight="1" x14ac:dyDescent="0.2">
      <c r="A1696" s="55" t="s">
        <v>27</v>
      </c>
      <c r="B1696" s="55" t="s">
        <v>22</v>
      </c>
      <c r="C1696" s="55" t="s">
        <v>23</v>
      </c>
      <c r="D1696" s="55" t="s">
        <v>24</v>
      </c>
      <c r="E1696" s="55" t="s">
        <v>32</v>
      </c>
      <c r="F1696" s="55" t="s">
        <v>25</v>
      </c>
      <c r="G1696" s="55" t="s">
        <v>25</v>
      </c>
      <c r="H1696" s="55" t="s">
        <v>25</v>
      </c>
      <c r="I1696" s="63">
        <v>44562</v>
      </c>
      <c r="J1696" s="64">
        <f>EFEITO!$J$1696*EFEITO!$Y$1521</f>
        <v>0</v>
      </c>
      <c r="K1696" s="64">
        <f ca="1">EFEITO!$L$1696*EFEITO!$Z$1680</f>
        <v>-3930.9055513560334</v>
      </c>
      <c r="L1696" s="64">
        <f>EFEITO!$N$1696*EFEITO!$AA$1680</f>
        <v>-3261.231143820602</v>
      </c>
      <c r="M1696" s="64">
        <f>$J$1696-EFEITO!$K$1696*EFEITO!$Y$1696</f>
        <v>0</v>
      </c>
      <c r="N1696" s="64">
        <f ca="1">$K$1696-EFEITO!$M$1696*EFEITO!$Z$1696</f>
        <v>0</v>
      </c>
      <c r="O1696" s="64">
        <f>$L$1696-EFEITO!$O$1696*EFEITO!$AA$1696</f>
        <v>0</v>
      </c>
      <c r="P1696" s="19"/>
      <c r="Q1696" s="19"/>
      <c r="R1696" s="19"/>
      <c r="S1696" s="19"/>
      <c r="T1696" s="19"/>
      <c r="U1696" s="19"/>
      <c r="V1696" s="19"/>
      <c r="W1696" s="19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</row>
    <row r="1697" spans="1:36" ht="11.25" customHeight="1" x14ac:dyDescent="0.2">
      <c r="A1697" s="55" t="s">
        <v>28</v>
      </c>
      <c r="B1697" s="55" t="s">
        <v>22</v>
      </c>
      <c r="C1697" s="55" t="s">
        <v>23</v>
      </c>
      <c r="D1697" s="55" t="s">
        <v>24</v>
      </c>
      <c r="E1697" s="55" t="s">
        <v>32</v>
      </c>
      <c r="F1697" s="55" t="s">
        <v>25</v>
      </c>
      <c r="G1697" s="55" t="s">
        <v>25</v>
      </c>
      <c r="H1697" s="55" t="s">
        <v>25</v>
      </c>
      <c r="I1697" s="63">
        <v>44562</v>
      </c>
      <c r="J1697" s="64">
        <f>EFEITO!$J$1697*EFEITO!$Y$1521</f>
        <v>0</v>
      </c>
      <c r="K1697" s="64">
        <f ca="1">EFEITO!$L$1697*EFEITO!$Z$1680</f>
        <v>21804.689254276549</v>
      </c>
      <c r="L1697" s="64">
        <f>EFEITO!$N$1697*EFEITO!$AA$1680</f>
        <v>18090.01278416533</v>
      </c>
      <c r="M1697" s="64">
        <f>$J$1697-EFEITO!$K$1697*EFEITO!$Y$1697</f>
        <v>0</v>
      </c>
      <c r="N1697" s="64">
        <f ca="1">$K$1697-EFEITO!$M$1697*EFEITO!$Z$1697</f>
        <v>0</v>
      </c>
      <c r="O1697" s="64">
        <f>$L$1697-EFEITO!$O$1697*EFEITO!$AA$1697</f>
        <v>0</v>
      </c>
      <c r="P1697" s="19"/>
      <c r="Q1697" s="19"/>
      <c r="R1697" s="19"/>
      <c r="S1697" s="19"/>
      <c r="T1697" s="19"/>
      <c r="U1697" s="19"/>
      <c r="V1697" s="19"/>
      <c r="W1697" s="19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</row>
    <row r="1698" spans="1:36" ht="11.25" customHeight="1" x14ac:dyDescent="0.2">
      <c r="A1698" s="55" t="s">
        <v>28</v>
      </c>
      <c r="B1698" s="55" t="s">
        <v>22</v>
      </c>
      <c r="C1698" s="55" t="s">
        <v>23</v>
      </c>
      <c r="D1698" s="55" t="s">
        <v>24</v>
      </c>
      <c r="E1698" s="55" t="s">
        <v>32</v>
      </c>
      <c r="F1698" s="55" t="s">
        <v>25</v>
      </c>
      <c r="G1698" s="55" t="s">
        <v>25</v>
      </c>
      <c r="H1698" s="55" t="s">
        <v>25</v>
      </c>
      <c r="I1698" s="63">
        <v>44562</v>
      </c>
      <c r="J1698" s="64">
        <f>EFEITO!$J$1698*EFEITO!$Y$1521</f>
        <v>0</v>
      </c>
      <c r="K1698" s="64">
        <f ca="1">EFEITO!$L$1698*EFEITO!$Z$1680</f>
        <v>-323.2402631821393</v>
      </c>
      <c r="L1698" s="64">
        <f>EFEITO!$N$1698*EFEITO!$AA$1680</f>
        <v>-268.17261301602872</v>
      </c>
      <c r="M1698" s="64">
        <f>$J$1698-EFEITO!$K$1698*EFEITO!$Y$1698</f>
        <v>0</v>
      </c>
      <c r="N1698" s="64">
        <f ca="1">$K$1698-EFEITO!$M$1698*EFEITO!$Z$1698</f>
        <v>0</v>
      </c>
      <c r="O1698" s="64">
        <f>$L$1698-EFEITO!$O$1698*EFEITO!$AA$1698</f>
        <v>0</v>
      </c>
      <c r="P1698" s="19"/>
      <c r="Q1698" s="19"/>
      <c r="R1698" s="19"/>
      <c r="S1698" s="19"/>
      <c r="T1698" s="19"/>
      <c r="U1698" s="19"/>
      <c r="V1698" s="19"/>
      <c r="W1698" s="19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</row>
    <row r="1699" spans="1:36" ht="11.25" customHeight="1" x14ac:dyDescent="0.2">
      <c r="A1699" s="55" t="s">
        <v>21</v>
      </c>
      <c r="B1699" s="55" t="s">
        <v>22</v>
      </c>
      <c r="C1699" s="55" t="s">
        <v>23</v>
      </c>
      <c r="D1699" s="55" t="s">
        <v>24</v>
      </c>
      <c r="E1699" s="55" t="s">
        <v>32</v>
      </c>
      <c r="F1699" s="55" t="s">
        <v>25</v>
      </c>
      <c r="G1699" s="55" t="s">
        <v>25</v>
      </c>
      <c r="H1699" s="55" t="s">
        <v>25</v>
      </c>
      <c r="I1699" s="63">
        <v>44593</v>
      </c>
      <c r="J1699" s="64">
        <f>EFEITO!$J$1699*EFEITO!$Y$1521</f>
        <v>0</v>
      </c>
      <c r="K1699" s="64">
        <f ca="1">EFEITO!$L$1699*EFEITO!$Z$1680</f>
        <v>861149.76273923577</v>
      </c>
      <c r="L1699" s="64">
        <f>EFEITO!$N$1699*EFEITO!$AA$1680</f>
        <v>714443.11979719508</v>
      </c>
      <c r="M1699" s="64">
        <f>$J$1699-EFEITO!$K$1699*EFEITO!$Y$1699</f>
        <v>0</v>
      </c>
      <c r="N1699" s="64">
        <f ca="1">$K$1699-EFEITO!$M$1699*EFEITO!$Z$1699</f>
        <v>0</v>
      </c>
      <c r="O1699" s="64">
        <f>$L$1699-EFEITO!$O$1699*EFEITO!$AA$1699</f>
        <v>0</v>
      </c>
      <c r="P1699" s="19"/>
      <c r="Q1699" s="19"/>
      <c r="R1699" s="19"/>
      <c r="S1699" s="19"/>
      <c r="T1699" s="19"/>
      <c r="U1699" s="19"/>
      <c r="V1699" s="19"/>
      <c r="W1699" s="19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</row>
    <row r="1700" spans="1:36" ht="11.25" customHeight="1" x14ac:dyDescent="0.2">
      <c r="A1700" s="55" t="s">
        <v>27</v>
      </c>
      <c r="B1700" s="55" t="s">
        <v>22</v>
      </c>
      <c r="C1700" s="55" t="s">
        <v>23</v>
      </c>
      <c r="D1700" s="55" t="s">
        <v>24</v>
      </c>
      <c r="E1700" s="55" t="s">
        <v>32</v>
      </c>
      <c r="F1700" s="55" t="s">
        <v>25</v>
      </c>
      <c r="G1700" s="55" t="s">
        <v>25</v>
      </c>
      <c r="H1700" s="55" t="s">
        <v>25</v>
      </c>
      <c r="I1700" s="63">
        <v>44593</v>
      </c>
      <c r="J1700" s="64">
        <f>EFEITO!$J$1700*EFEITO!$Y$1521</f>
        <v>0</v>
      </c>
      <c r="K1700" s="64">
        <f ca="1">EFEITO!$L$1700*EFEITO!$Z$1680</f>
        <v>-6609.4742783581187</v>
      </c>
      <c r="L1700" s="64">
        <f>EFEITO!$N$1700*EFEITO!$AA$1680</f>
        <v>-5483.4752652418529</v>
      </c>
      <c r="M1700" s="64">
        <f>$J$1700-EFEITO!$K$1700*EFEITO!$Y$1700</f>
        <v>0</v>
      </c>
      <c r="N1700" s="64">
        <f ca="1">$K$1700-EFEITO!$M$1700*EFEITO!$Z$1700</f>
        <v>0</v>
      </c>
      <c r="O1700" s="64">
        <f>$L$1700-EFEITO!$O$1700*EFEITO!$AA$1700</f>
        <v>0</v>
      </c>
      <c r="P1700" s="19"/>
      <c r="Q1700" s="19"/>
      <c r="R1700" s="19"/>
      <c r="S1700" s="19"/>
      <c r="T1700" s="19"/>
      <c r="U1700" s="19"/>
      <c r="V1700" s="19"/>
      <c r="W1700" s="19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</row>
    <row r="1701" spans="1:36" ht="11.25" customHeight="1" x14ac:dyDescent="0.2">
      <c r="A1701" s="55" t="s">
        <v>28</v>
      </c>
      <c r="B1701" s="55" t="s">
        <v>22</v>
      </c>
      <c r="C1701" s="55" t="s">
        <v>23</v>
      </c>
      <c r="D1701" s="55" t="s">
        <v>24</v>
      </c>
      <c r="E1701" s="55" t="s">
        <v>32</v>
      </c>
      <c r="F1701" s="55" t="s">
        <v>25</v>
      </c>
      <c r="G1701" s="55" t="s">
        <v>25</v>
      </c>
      <c r="H1701" s="55" t="s">
        <v>25</v>
      </c>
      <c r="I1701" s="63">
        <v>44593</v>
      </c>
      <c r="J1701" s="64">
        <f>EFEITO!$J$1701*EFEITO!$Y$1521</f>
        <v>0</v>
      </c>
      <c r="K1701" s="64">
        <f ca="1">EFEITO!$L$1701*EFEITO!$Z$1680</f>
        <v>18120.451679526053</v>
      </c>
      <c r="L1701" s="64">
        <f>EFEITO!$N$1701*EFEITO!$AA$1680</f>
        <v>15033.426925503432</v>
      </c>
      <c r="M1701" s="64">
        <f>$J$1701-EFEITO!$K$1701*EFEITO!$Y$1701</f>
        <v>0</v>
      </c>
      <c r="N1701" s="64">
        <f ca="1">$K$1701-EFEITO!$M$1701*EFEITO!$Z$1701</f>
        <v>0</v>
      </c>
      <c r="O1701" s="64">
        <f>$L$1701-EFEITO!$O$1701*EFEITO!$AA$1701</f>
        <v>0</v>
      </c>
      <c r="P1701" s="19"/>
      <c r="Q1701" s="19"/>
      <c r="R1701" s="19"/>
      <c r="S1701" s="19"/>
      <c r="T1701" s="19"/>
      <c r="U1701" s="19"/>
      <c r="V1701" s="19"/>
      <c r="W1701" s="19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</row>
    <row r="1702" spans="1:36" ht="11.25" customHeight="1" x14ac:dyDescent="0.2">
      <c r="A1702" s="55" t="s">
        <v>21</v>
      </c>
      <c r="B1702" s="55" t="s">
        <v>22</v>
      </c>
      <c r="C1702" s="55" t="s">
        <v>23</v>
      </c>
      <c r="D1702" s="55" t="s">
        <v>24</v>
      </c>
      <c r="E1702" s="55" t="s">
        <v>32</v>
      </c>
      <c r="F1702" s="55" t="s">
        <v>25</v>
      </c>
      <c r="G1702" s="55" t="s">
        <v>25</v>
      </c>
      <c r="H1702" s="55" t="s">
        <v>25</v>
      </c>
      <c r="I1702" s="63">
        <v>44621</v>
      </c>
      <c r="J1702" s="64">
        <f>EFEITO!$J$1702*EFEITO!$Y$1521</f>
        <v>0</v>
      </c>
      <c r="K1702" s="64">
        <f ca="1">EFEITO!$L$1702*EFEITO!$Z$1680</f>
        <v>1359322.9217332492</v>
      </c>
      <c r="L1702" s="64">
        <f>EFEITO!$N$1702*EFEITO!$AA$1680</f>
        <v>1127746.8229518831</v>
      </c>
      <c r="M1702" s="64">
        <f>$J$1702-EFEITO!$K$1702*EFEITO!$Y$1702</f>
        <v>0</v>
      </c>
      <c r="N1702" s="64">
        <f ca="1">$K$1702-EFEITO!$M$1702*EFEITO!$Z$1702</f>
        <v>0</v>
      </c>
      <c r="O1702" s="64">
        <f>$L$1702-EFEITO!$O$1702*EFEITO!$AA$1702</f>
        <v>0</v>
      </c>
      <c r="P1702" s="19"/>
      <c r="Q1702" s="19"/>
      <c r="R1702" s="19"/>
      <c r="S1702" s="19"/>
      <c r="T1702" s="19"/>
      <c r="U1702" s="19"/>
      <c r="V1702" s="19"/>
      <c r="W1702" s="19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</row>
    <row r="1703" spans="1:36" ht="11.25" customHeight="1" x14ac:dyDescent="0.2">
      <c r="A1703" s="55" t="s">
        <v>27</v>
      </c>
      <c r="B1703" s="55" t="s">
        <v>22</v>
      </c>
      <c r="C1703" s="55" t="s">
        <v>23</v>
      </c>
      <c r="D1703" s="55" t="s">
        <v>24</v>
      </c>
      <c r="E1703" s="55" t="s">
        <v>32</v>
      </c>
      <c r="F1703" s="55" t="s">
        <v>25</v>
      </c>
      <c r="G1703" s="55" t="s">
        <v>25</v>
      </c>
      <c r="H1703" s="55" t="s">
        <v>25</v>
      </c>
      <c r="I1703" s="63">
        <v>44621</v>
      </c>
      <c r="J1703" s="64">
        <f>EFEITO!$J$1703*EFEITO!$Y$1521</f>
        <v>0</v>
      </c>
      <c r="K1703" s="64">
        <f ca="1">EFEITO!$L$1703*EFEITO!$Z$1680</f>
        <v>-3443.7070714965162</v>
      </c>
      <c r="L1703" s="64">
        <f>EFEITO!$N$1703*EFEITO!$AA$1680</f>
        <v>-2857.0324585604576</v>
      </c>
      <c r="M1703" s="64">
        <f>$J$1703-EFEITO!$K$1703*EFEITO!$Y$1703</f>
        <v>0</v>
      </c>
      <c r="N1703" s="64">
        <f ca="1">$K$1703-EFEITO!$M$1703*EFEITO!$Z$1703</f>
        <v>0</v>
      </c>
      <c r="O1703" s="64">
        <f>$L$1703-EFEITO!$O$1703*EFEITO!$AA$1703</f>
        <v>0</v>
      </c>
      <c r="P1703" s="19"/>
      <c r="Q1703" s="19"/>
      <c r="R1703" s="19"/>
      <c r="S1703" s="19"/>
      <c r="T1703" s="19"/>
      <c r="U1703" s="19"/>
      <c r="V1703" s="19"/>
      <c r="W1703" s="19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</row>
    <row r="1704" spans="1:36" ht="11.25" customHeight="1" x14ac:dyDescent="0.2">
      <c r="A1704" s="55" t="s">
        <v>28</v>
      </c>
      <c r="B1704" s="55" t="s">
        <v>22</v>
      </c>
      <c r="C1704" s="55" t="s">
        <v>23</v>
      </c>
      <c r="D1704" s="55" t="s">
        <v>24</v>
      </c>
      <c r="E1704" s="55" t="s">
        <v>32</v>
      </c>
      <c r="F1704" s="55" t="s">
        <v>25</v>
      </c>
      <c r="G1704" s="55" t="s">
        <v>25</v>
      </c>
      <c r="H1704" s="55" t="s">
        <v>25</v>
      </c>
      <c r="I1704" s="63">
        <v>44621</v>
      </c>
      <c r="J1704" s="64">
        <f>EFEITO!$J$1704*EFEITO!$Y$1521</f>
        <v>0</v>
      </c>
      <c r="K1704" s="64">
        <f ca="1">EFEITO!$L$1704*EFEITO!$Z$1680</f>
        <v>22017.162736494829</v>
      </c>
      <c r="L1704" s="64">
        <f>EFEITO!$N$1704*EFEITO!$AA$1680</f>
        <v>18266.288995433551</v>
      </c>
      <c r="M1704" s="64">
        <f>$J$1704-EFEITO!$K$1704*EFEITO!$Y$1704</f>
        <v>0</v>
      </c>
      <c r="N1704" s="64">
        <f ca="1">$K$1704-EFEITO!$M$1704*EFEITO!$Z$1704</f>
        <v>0</v>
      </c>
      <c r="O1704" s="64">
        <f>$L$1704-EFEITO!$O$1704*EFEITO!$AA$1704</f>
        <v>0</v>
      </c>
      <c r="P1704" s="19"/>
      <c r="Q1704" s="19"/>
      <c r="R1704" s="19"/>
      <c r="S1704" s="19"/>
      <c r="T1704" s="19"/>
      <c r="U1704" s="19"/>
      <c r="V1704" s="19"/>
      <c r="W1704" s="19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</row>
    <row r="1705" spans="1:36" ht="11.25" customHeight="1" x14ac:dyDescent="0.2">
      <c r="A1705" s="55" t="s">
        <v>21</v>
      </c>
      <c r="B1705" s="55" t="s">
        <v>22</v>
      </c>
      <c r="C1705" s="55" t="s">
        <v>23</v>
      </c>
      <c r="D1705" s="55" t="s">
        <v>24</v>
      </c>
      <c r="E1705" s="55" t="s">
        <v>32</v>
      </c>
      <c r="F1705" s="55" t="s">
        <v>25</v>
      </c>
      <c r="G1705" s="55" t="s">
        <v>25</v>
      </c>
      <c r="H1705" s="55" t="s">
        <v>25</v>
      </c>
      <c r="I1705" s="63">
        <v>44652</v>
      </c>
      <c r="J1705" s="64">
        <f>EFEITO!$J$1705*EFEITO!$Y$1521</f>
        <v>0</v>
      </c>
      <c r="K1705" s="64">
        <f ca="1">EFEITO!$L$1705*EFEITO!$Z$1680</f>
        <v>1060247.9369606504</v>
      </c>
      <c r="L1705" s="64">
        <f>EFEITO!$N$1705*EFEITO!$AA$1680</f>
        <v>879622.65870133101</v>
      </c>
      <c r="M1705" s="64">
        <f>$J$1705-EFEITO!$K$1705*EFEITO!$Y$1705</f>
        <v>0</v>
      </c>
      <c r="N1705" s="64">
        <f ca="1">$K$1705-EFEITO!$M$1705*EFEITO!$Z$1705</f>
        <v>0</v>
      </c>
      <c r="O1705" s="64">
        <f>$L$1705-EFEITO!$O$1705*EFEITO!$AA$1705</f>
        <v>0</v>
      </c>
      <c r="P1705" s="19"/>
      <c r="Q1705" s="19"/>
      <c r="R1705" s="19"/>
      <c r="S1705" s="19"/>
      <c r="T1705" s="19"/>
      <c r="U1705" s="19"/>
      <c r="V1705" s="19"/>
      <c r="W1705" s="19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</row>
    <row r="1706" spans="1:36" ht="11.25" customHeight="1" x14ac:dyDescent="0.2">
      <c r="A1706" s="55" t="s">
        <v>27</v>
      </c>
      <c r="B1706" s="55" t="s">
        <v>22</v>
      </c>
      <c r="C1706" s="55" t="s">
        <v>23</v>
      </c>
      <c r="D1706" s="55" t="s">
        <v>24</v>
      </c>
      <c r="E1706" s="55" t="s">
        <v>32</v>
      </c>
      <c r="F1706" s="55" t="s">
        <v>25</v>
      </c>
      <c r="G1706" s="55" t="s">
        <v>25</v>
      </c>
      <c r="H1706" s="55" t="s">
        <v>25</v>
      </c>
      <c r="I1706" s="63">
        <v>44652</v>
      </c>
      <c r="J1706" s="64">
        <f>EFEITO!$J$1706*EFEITO!$Y$1521</f>
        <v>0</v>
      </c>
      <c r="K1706" s="64">
        <f ca="1">EFEITO!$L$1706*EFEITO!$Z$1680</f>
        <v>-5675.9938076494818</v>
      </c>
      <c r="L1706" s="64">
        <f>EFEITO!$N$1706*EFEITO!$AA$1680</f>
        <v>-4709.0237951033396</v>
      </c>
      <c r="M1706" s="64">
        <f>$J$1706-EFEITO!$K$1706*EFEITO!$Y$1706</f>
        <v>0</v>
      </c>
      <c r="N1706" s="64">
        <f ca="1">$K$1706-EFEITO!$M$1706*EFEITO!$Z$1706</f>
        <v>0</v>
      </c>
      <c r="O1706" s="64">
        <f>$L$1706-EFEITO!$O$1706*EFEITO!$AA$1706</f>
        <v>0</v>
      </c>
      <c r="P1706" s="19"/>
      <c r="Q1706" s="19"/>
      <c r="R1706" s="19"/>
      <c r="S1706" s="19"/>
      <c r="T1706" s="19"/>
      <c r="U1706" s="19"/>
      <c r="V1706" s="19"/>
      <c r="W1706" s="19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</row>
    <row r="1707" spans="1:36" ht="11.25" customHeight="1" x14ac:dyDescent="0.2">
      <c r="A1707" s="55" t="s">
        <v>28</v>
      </c>
      <c r="B1707" s="55" t="s">
        <v>22</v>
      </c>
      <c r="C1707" s="55" t="s">
        <v>23</v>
      </c>
      <c r="D1707" s="55" t="s">
        <v>24</v>
      </c>
      <c r="E1707" s="55" t="s">
        <v>32</v>
      </c>
      <c r="F1707" s="55" t="s">
        <v>25</v>
      </c>
      <c r="G1707" s="55" t="s">
        <v>25</v>
      </c>
      <c r="H1707" s="55" t="s">
        <v>25</v>
      </c>
      <c r="I1707" s="63">
        <v>44652</v>
      </c>
      <c r="J1707" s="64">
        <f>EFEITO!$J$1707*EFEITO!$Y$1521</f>
        <v>0</v>
      </c>
      <c r="K1707" s="64">
        <f ca="1">EFEITO!$L$1707*EFEITO!$Z$1680</f>
        <v>20017.515466429551</v>
      </c>
      <c r="L1707" s="64">
        <f>EFEITO!$N$1707*EFEITO!$AA$1680</f>
        <v>16607.304349632766</v>
      </c>
      <c r="M1707" s="64">
        <f>$J$1707-EFEITO!$K$1707*EFEITO!$Y$1707</f>
        <v>0</v>
      </c>
      <c r="N1707" s="64">
        <f ca="1">$K$1707-EFEITO!$M$1707*EFEITO!$Z$1707</f>
        <v>0</v>
      </c>
      <c r="O1707" s="64">
        <f>$L$1707-EFEITO!$O$1707*EFEITO!$AA$1707</f>
        <v>0</v>
      </c>
      <c r="P1707" s="19"/>
      <c r="Q1707" s="19"/>
      <c r="R1707" s="19"/>
      <c r="S1707" s="19"/>
      <c r="T1707" s="19"/>
      <c r="U1707" s="19"/>
      <c r="V1707" s="19"/>
      <c r="W1707" s="19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</row>
    <row r="1708" spans="1:36" ht="11.25" customHeight="1" x14ac:dyDescent="0.2">
      <c r="A1708" s="55" t="s">
        <v>21</v>
      </c>
      <c r="B1708" s="55" t="s">
        <v>22</v>
      </c>
      <c r="C1708" s="55" t="s">
        <v>23</v>
      </c>
      <c r="D1708" s="55" t="s">
        <v>24</v>
      </c>
      <c r="E1708" s="55" t="s">
        <v>32</v>
      </c>
      <c r="F1708" s="55" t="s">
        <v>25</v>
      </c>
      <c r="G1708" s="55" t="s">
        <v>25</v>
      </c>
      <c r="H1708" s="55" t="s">
        <v>25</v>
      </c>
      <c r="I1708" s="63">
        <v>44682</v>
      </c>
      <c r="J1708" s="64">
        <f>EFEITO!$J$1708*EFEITO!$Y$1521</f>
        <v>0</v>
      </c>
      <c r="K1708" s="64">
        <f ca="1">EFEITO!$L$1708*EFEITO!$Z$1680</f>
        <v>994790.90688435989</v>
      </c>
      <c r="L1708" s="64">
        <f>EFEITO!$N$1708*EFEITO!$AA$1680</f>
        <v>825316.97715343419</v>
      </c>
      <c r="M1708" s="64">
        <f>$J$1708-EFEITO!$K$1708*EFEITO!$Y$1708</f>
        <v>0</v>
      </c>
      <c r="N1708" s="64">
        <f ca="1">$K$1708-EFEITO!$M$1708*EFEITO!$Z$1708</f>
        <v>0</v>
      </c>
      <c r="O1708" s="64">
        <f>$L$1708-EFEITO!$O$1708*EFEITO!$AA$1708</f>
        <v>0</v>
      </c>
      <c r="P1708" s="19"/>
      <c r="Q1708" s="19"/>
      <c r="R1708" s="19"/>
      <c r="S1708" s="19"/>
      <c r="T1708" s="19"/>
      <c r="U1708" s="19"/>
      <c r="V1708" s="19"/>
      <c r="W1708" s="19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</row>
    <row r="1709" spans="1:36" ht="11.25" customHeight="1" x14ac:dyDescent="0.2">
      <c r="A1709" s="55" t="s">
        <v>27</v>
      </c>
      <c r="B1709" s="55" t="s">
        <v>22</v>
      </c>
      <c r="C1709" s="55" t="s">
        <v>23</v>
      </c>
      <c r="D1709" s="55" t="s">
        <v>24</v>
      </c>
      <c r="E1709" s="55" t="s">
        <v>32</v>
      </c>
      <c r="F1709" s="55" t="s">
        <v>25</v>
      </c>
      <c r="G1709" s="55" t="s">
        <v>25</v>
      </c>
      <c r="H1709" s="55" t="s">
        <v>25</v>
      </c>
      <c r="I1709" s="63">
        <v>44682</v>
      </c>
      <c r="J1709" s="64">
        <f>EFEITO!$J$1709*EFEITO!$Y$1521</f>
        <v>0</v>
      </c>
      <c r="K1709" s="64">
        <f ca="1">EFEITO!$L$1709*EFEITO!$Z$1680</f>
        <v>-5563.7657235066772</v>
      </c>
      <c r="L1709" s="64">
        <f>EFEITO!$N$1709*EFEITO!$AA$1680</f>
        <v>-4615.9150397704689</v>
      </c>
      <c r="M1709" s="64">
        <f>$J$1709-EFEITO!$K$1709*EFEITO!$Y$1709</f>
        <v>0</v>
      </c>
      <c r="N1709" s="64">
        <f ca="1">$K$1709-EFEITO!$M$1709*EFEITO!$Z$1709</f>
        <v>0</v>
      </c>
      <c r="O1709" s="64">
        <f>$L$1709-EFEITO!$O$1709*EFEITO!$AA$1709</f>
        <v>0</v>
      </c>
      <c r="P1709" s="19"/>
      <c r="Q1709" s="19"/>
      <c r="R1709" s="19"/>
      <c r="S1709" s="19"/>
      <c r="T1709" s="19"/>
      <c r="U1709" s="19"/>
      <c r="V1709" s="19"/>
      <c r="W1709" s="19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</row>
    <row r="1710" spans="1:36" ht="11.25" customHeight="1" x14ac:dyDescent="0.2">
      <c r="A1710" s="55" t="s">
        <v>28</v>
      </c>
      <c r="B1710" s="55" t="s">
        <v>22</v>
      </c>
      <c r="C1710" s="55" t="s">
        <v>23</v>
      </c>
      <c r="D1710" s="55" t="s">
        <v>24</v>
      </c>
      <c r="E1710" s="55" t="s">
        <v>32</v>
      </c>
      <c r="F1710" s="55" t="s">
        <v>25</v>
      </c>
      <c r="G1710" s="55" t="s">
        <v>25</v>
      </c>
      <c r="H1710" s="55" t="s">
        <v>25</v>
      </c>
      <c r="I1710" s="63">
        <v>44682</v>
      </c>
      <c r="J1710" s="64">
        <f>EFEITO!$J$1710*EFEITO!$Y$1521</f>
        <v>0</v>
      </c>
      <c r="K1710" s="64">
        <f ca="1">EFEITO!$L$1710*EFEITO!$Z$1680</f>
        <v>21410.429656597793</v>
      </c>
      <c r="L1710" s="64">
        <f>EFEITO!$N$1710*EFEITO!$AA$1680</f>
        <v>17762.919786915216</v>
      </c>
      <c r="M1710" s="64">
        <f>$J$1710-EFEITO!$K$1710*EFEITO!$Y$1710</f>
        <v>0</v>
      </c>
      <c r="N1710" s="64">
        <f ca="1">$K$1710-EFEITO!$M$1710*EFEITO!$Z$1710</f>
        <v>0</v>
      </c>
      <c r="O1710" s="64">
        <f>$L$1710-EFEITO!$O$1710*EFEITO!$AA$1710</f>
        <v>0</v>
      </c>
      <c r="P1710" s="19"/>
      <c r="Q1710" s="19"/>
      <c r="R1710" s="19"/>
      <c r="S1710" s="19"/>
      <c r="T1710" s="19"/>
      <c r="U1710" s="19"/>
      <c r="V1710" s="19"/>
      <c r="W1710" s="19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</row>
    <row r="1711" spans="1:36" ht="11.25" customHeight="1" x14ac:dyDescent="0.2">
      <c r="A1711" s="55" t="s">
        <v>21</v>
      </c>
      <c r="B1711" s="55" t="s">
        <v>22</v>
      </c>
      <c r="C1711" s="55" t="s">
        <v>23</v>
      </c>
      <c r="D1711" s="55" t="s">
        <v>24</v>
      </c>
      <c r="E1711" s="55" t="s">
        <v>32</v>
      </c>
      <c r="F1711" s="55" t="s">
        <v>25</v>
      </c>
      <c r="G1711" s="55" t="s">
        <v>25</v>
      </c>
      <c r="H1711" s="55" t="s">
        <v>25</v>
      </c>
      <c r="I1711" s="63">
        <v>44713</v>
      </c>
      <c r="J1711" s="64">
        <f>EFEITO!$J$1711*EFEITO!$Y$1521</f>
        <v>0</v>
      </c>
      <c r="K1711" s="64">
        <f ca="1">EFEITO!$L$1711*EFEITO!$Z$1680</f>
        <v>568769.00782937405</v>
      </c>
      <c r="L1711" s="64">
        <f>EFEITO!$N$1711*EFEITO!$AA$1680</f>
        <v>471872.74731981877</v>
      </c>
      <c r="M1711" s="64">
        <f>$J$1711-EFEITO!$K$1711*EFEITO!$Y$1711</f>
        <v>0</v>
      </c>
      <c r="N1711" s="64">
        <f ca="1">$K$1711-EFEITO!$M$1711*EFEITO!$Z$1711</f>
        <v>0</v>
      </c>
      <c r="O1711" s="64">
        <f>$L$1711-EFEITO!$O$1711*EFEITO!$AA$1711</f>
        <v>0</v>
      </c>
      <c r="P1711" s="19"/>
      <c r="Q1711" s="19"/>
      <c r="R1711" s="19"/>
      <c r="S1711" s="19"/>
      <c r="T1711" s="19"/>
      <c r="U1711" s="19"/>
      <c r="V1711" s="19"/>
      <c r="W1711" s="19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</row>
    <row r="1712" spans="1:36" ht="11.25" customHeight="1" x14ac:dyDescent="0.2">
      <c r="A1712" s="55" t="s">
        <v>27</v>
      </c>
      <c r="B1712" s="55" t="s">
        <v>22</v>
      </c>
      <c r="C1712" s="55" t="s">
        <v>23</v>
      </c>
      <c r="D1712" s="55" t="s">
        <v>24</v>
      </c>
      <c r="E1712" s="55" t="s">
        <v>32</v>
      </c>
      <c r="F1712" s="55" t="s">
        <v>25</v>
      </c>
      <c r="G1712" s="55" t="s">
        <v>25</v>
      </c>
      <c r="H1712" s="55" t="s">
        <v>25</v>
      </c>
      <c r="I1712" s="63">
        <v>44713</v>
      </c>
      <c r="J1712" s="64">
        <f>EFEITO!$J$1712*EFEITO!$Y$1521</f>
        <v>0</v>
      </c>
      <c r="K1712" s="64">
        <f ca="1">EFEITO!$L$1712*EFEITO!$Z$1680</f>
        <v>-1662.9630176368648</v>
      </c>
      <c r="L1712" s="64">
        <f>EFEITO!$N$1712*EFEITO!$AA$1680</f>
        <v>-1379.6583798021732</v>
      </c>
      <c r="M1712" s="64">
        <f>$J$1712-EFEITO!$K$1712*EFEITO!$Y$1712</f>
        <v>0</v>
      </c>
      <c r="N1712" s="64">
        <f ca="1">$K$1712-EFEITO!$M$1712*EFEITO!$Z$1712</f>
        <v>0</v>
      </c>
      <c r="O1712" s="64">
        <f>$L$1712-EFEITO!$O$1712*EFEITO!$AA$1712</f>
        <v>0</v>
      </c>
      <c r="P1712" s="19"/>
      <c r="Q1712" s="19"/>
      <c r="R1712" s="19"/>
      <c r="S1712" s="19"/>
      <c r="T1712" s="19"/>
      <c r="U1712" s="19"/>
      <c r="V1712" s="19"/>
      <c r="W1712" s="19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</row>
    <row r="1713" spans="1:36" ht="11.25" customHeight="1" x14ac:dyDescent="0.2">
      <c r="A1713" s="55" t="s">
        <v>28</v>
      </c>
      <c r="B1713" s="55" t="s">
        <v>22</v>
      </c>
      <c r="C1713" s="55" t="s">
        <v>23</v>
      </c>
      <c r="D1713" s="55" t="s">
        <v>24</v>
      </c>
      <c r="E1713" s="55" t="s">
        <v>32</v>
      </c>
      <c r="F1713" s="55" t="s">
        <v>25</v>
      </c>
      <c r="G1713" s="55" t="s">
        <v>25</v>
      </c>
      <c r="H1713" s="55" t="s">
        <v>25</v>
      </c>
      <c r="I1713" s="63">
        <v>44713</v>
      </c>
      <c r="J1713" s="64">
        <f>EFEITO!$J$1713*EFEITO!$Y$1521</f>
        <v>0</v>
      </c>
      <c r="K1713" s="64">
        <f ca="1">EFEITO!$L$1713*EFEITO!$Z$1680</f>
        <v>18137.695057037581</v>
      </c>
      <c r="L1713" s="64">
        <f>EFEITO!$N$1713*EFEITO!$AA$1680</f>
        <v>15047.732697807181</v>
      </c>
      <c r="M1713" s="64">
        <f>$J$1713-EFEITO!$K$1713*EFEITO!$Y$1713</f>
        <v>0</v>
      </c>
      <c r="N1713" s="64">
        <f ca="1">$K$1713-EFEITO!$M$1713*EFEITO!$Z$1713</f>
        <v>0</v>
      </c>
      <c r="O1713" s="64">
        <f>$L$1713-EFEITO!$O$1713*EFEITO!$AA$1713</f>
        <v>0</v>
      </c>
      <c r="P1713" s="19"/>
      <c r="Q1713" s="19"/>
      <c r="R1713" s="19"/>
      <c r="S1713" s="19"/>
      <c r="T1713" s="19"/>
      <c r="U1713" s="19"/>
      <c r="V1713" s="19"/>
      <c r="W1713" s="19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</row>
    <row r="1714" spans="1:36" ht="11.25" customHeight="1" x14ac:dyDescent="0.2">
      <c r="A1714" s="55" t="s">
        <v>57</v>
      </c>
      <c r="B1714" s="55" t="s">
        <v>22</v>
      </c>
      <c r="C1714" s="55" t="s">
        <v>23</v>
      </c>
      <c r="D1714" s="55" t="s">
        <v>24</v>
      </c>
      <c r="E1714" s="55" t="s">
        <v>32</v>
      </c>
      <c r="F1714" s="55" t="s">
        <v>25</v>
      </c>
      <c r="G1714" s="55" t="s">
        <v>25</v>
      </c>
      <c r="H1714" s="55" t="s">
        <v>25</v>
      </c>
      <c r="I1714" s="63">
        <v>44743</v>
      </c>
      <c r="J1714" s="64">
        <f>EFEITO!$J$1714*EFEITO!$Y$1521</f>
        <v>0</v>
      </c>
      <c r="K1714" s="64">
        <f ca="1">EFEITO!$L$1714*EFEITO!$Z$1680</f>
        <v>568769.00782937405</v>
      </c>
      <c r="L1714" s="64">
        <f>EFEITO!$N$1714*EFEITO!$AA$1680</f>
        <v>471872.74731981877</v>
      </c>
      <c r="M1714" s="64">
        <f>$J$1714-EFEITO!$K$1714*EFEITO!$Y$1714</f>
        <v>0</v>
      </c>
      <c r="N1714" s="64">
        <f ca="1">$K$1714-EFEITO!$M$1714*EFEITO!$Z$1714</f>
        <v>0</v>
      </c>
      <c r="O1714" s="64">
        <f>$L$1714-EFEITO!$O$1714*EFEITO!$AA$1714</f>
        <v>0</v>
      </c>
      <c r="P1714" s="19"/>
      <c r="Q1714" s="19"/>
      <c r="R1714" s="19"/>
      <c r="S1714" s="19"/>
      <c r="T1714" s="19"/>
      <c r="U1714" s="19"/>
      <c r="V1714" s="19"/>
      <c r="W1714" s="19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</row>
    <row r="1715" spans="1:36" ht="11.25" customHeight="1" x14ac:dyDescent="0.2">
      <c r="A1715" s="55" t="s">
        <v>57</v>
      </c>
      <c r="B1715" s="55" t="s">
        <v>22</v>
      </c>
      <c r="C1715" s="55" t="s">
        <v>23</v>
      </c>
      <c r="D1715" s="55" t="s">
        <v>24</v>
      </c>
      <c r="E1715" s="55" t="s">
        <v>32</v>
      </c>
      <c r="F1715" s="55" t="s">
        <v>25</v>
      </c>
      <c r="G1715" s="55" t="s">
        <v>25</v>
      </c>
      <c r="H1715" s="55" t="s">
        <v>25</v>
      </c>
      <c r="I1715" s="63">
        <v>44743</v>
      </c>
      <c r="J1715" s="64">
        <f>EFEITO!$J$1715*EFEITO!$Y$1521</f>
        <v>0</v>
      </c>
      <c r="K1715" s="64">
        <f ca="1">EFEITO!$L$1715*EFEITO!$Z$1680</f>
        <v>-1662.9630176368648</v>
      </c>
      <c r="L1715" s="64">
        <f>EFEITO!$N$1715*EFEITO!$AA$1680</f>
        <v>-1379.6583798021732</v>
      </c>
      <c r="M1715" s="64">
        <f>$J$1715-EFEITO!$K$1715*EFEITO!$Y$1715</f>
        <v>0</v>
      </c>
      <c r="N1715" s="64">
        <f ca="1">$K$1715-EFEITO!$M$1715*EFEITO!$Z$1715</f>
        <v>0</v>
      </c>
      <c r="O1715" s="64">
        <f>$L$1715-EFEITO!$O$1715*EFEITO!$AA$1715</f>
        <v>0</v>
      </c>
      <c r="P1715" s="19"/>
      <c r="Q1715" s="19"/>
      <c r="R1715" s="19"/>
      <c r="S1715" s="19"/>
      <c r="T1715" s="19"/>
      <c r="U1715" s="19"/>
      <c r="V1715" s="19"/>
      <c r="W1715" s="19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</row>
    <row r="1716" spans="1:36" ht="11.25" customHeight="1" x14ac:dyDescent="0.2">
      <c r="A1716" s="55" t="s">
        <v>57</v>
      </c>
      <c r="B1716" s="55" t="s">
        <v>22</v>
      </c>
      <c r="C1716" s="55" t="s">
        <v>23</v>
      </c>
      <c r="D1716" s="55" t="s">
        <v>24</v>
      </c>
      <c r="E1716" s="55" t="s">
        <v>32</v>
      </c>
      <c r="F1716" s="55" t="s">
        <v>25</v>
      </c>
      <c r="G1716" s="55" t="s">
        <v>25</v>
      </c>
      <c r="H1716" s="55" t="s">
        <v>25</v>
      </c>
      <c r="I1716" s="63">
        <v>44743</v>
      </c>
      <c r="J1716" s="64">
        <f>EFEITO!$J$1716*EFEITO!$Y$1521</f>
        <v>0</v>
      </c>
      <c r="K1716" s="64">
        <f ca="1">EFEITO!$L$1716*EFEITO!$Z$1680</f>
        <v>18137.695057037581</v>
      </c>
      <c r="L1716" s="64">
        <f>EFEITO!$N$1716*EFEITO!$AA$1680</f>
        <v>15047.732697807181</v>
      </c>
      <c r="M1716" s="64">
        <f>$J$1716-EFEITO!$K$1716*EFEITO!$Y$1716</f>
        <v>0</v>
      </c>
      <c r="N1716" s="64">
        <f ca="1">$K$1716-EFEITO!$M$1716*EFEITO!$Z$1716</f>
        <v>0</v>
      </c>
      <c r="O1716" s="64">
        <f>$L$1716-EFEITO!$O$1716*EFEITO!$AA$1716</f>
        <v>0</v>
      </c>
      <c r="P1716" s="19"/>
      <c r="Q1716" s="19"/>
      <c r="R1716" s="19"/>
      <c r="S1716" s="19"/>
      <c r="T1716" s="19"/>
      <c r="U1716" s="19"/>
      <c r="V1716" s="19"/>
      <c r="W1716" s="19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</row>
    <row r="1717" spans="1:36" ht="11.25" customHeight="1" x14ac:dyDescent="0.2">
      <c r="A1717" s="55" t="s">
        <v>21</v>
      </c>
      <c r="B1717" s="55" t="s">
        <v>44</v>
      </c>
      <c r="C1717" s="55" t="s">
        <v>33</v>
      </c>
      <c r="D1717" s="55" t="s">
        <v>45</v>
      </c>
      <c r="E1717" s="55" t="s">
        <v>53</v>
      </c>
      <c r="F1717" s="55" t="s">
        <v>54</v>
      </c>
      <c r="G1717" s="55" t="s">
        <v>25</v>
      </c>
      <c r="H1717" s="55" t="s">
        <v>35</v>
      </c>
      <c r="I1717" s="63">
        <v>44440</v>
      </c>
      <c r="J1717" s="64">
        <f>EFEITO!$J$1717*EFEITO!$Y$1717/(1-CUSTOS!$M$38)</f>
        <v>0</v>
      </c>
      <c r="K1717" s="64">
        <f ca="1">EFEITO!$L$1717*EFEITO!$Z$1717/(1-CUSTOS!$M$38)</f>
        <v>1989.934359725097</v>
      </c>
      <c r="L1717" s="64">
        <f>EFEITO!$N$1717*EFEITO!$AA$1717/(1-CUSTOS!$M$38)</f>
        <v>1689.5491633178153</v>
      </c>
      <c r="M1717" s="64">
        <f>$J$1717-EFEITO!$K$1717*EFEITO!$Y$1717</f>
        <v>0</v>
      </c>
      <c r="N1717" s="64">
        <f ca="1">$K$1717-EFEITO!$M$1717*EFEITO!$Z$1717</f>
        <v>119.39606158350603</v>
      </c>
      <c r="O1717" s="64">
        <f>$L$1717-EFEITO!$O$1717*EFEITO!$AA$1717</f>
        <v>101.37294979906892</v>
      </c>
      <c r="P1717" s="19"/>
      <c r="Q1717" s="19"/>
      <c r="R1717" s="19"/>
      <c r="S1717" s="19"/>
      <c r="T1717" s="19"/>
      <c r="U1717" s="19"/>
      <c r="V1717" s="19"/>
      <c r="W1717" s="19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</row>
    <row r="1718" spans="1:36" ht="11.25" customHeight="1" x14ac:dyDescent="0.2">
      <c r="A1718" s="55" t="s">
        <v>21</v>
      </c>
      <c r="B1718" s="55" t="s">
        <v>44</v>
      </c>
      <c r="C1718" s="55" t="s">
        <v>33</v>
      </c>
      <c r="D1718" s="55" t="s">
        <v>45</v>
      </c>
      <c r="E1718" s="55" t="s">
        <v>53</v>
      </c>
      <c r="F1718" s="55" t="s">
        <v>54</v>
      </c>
      <c r="G1718" s="55" t="s">
        <v>25</v>
      </c>
      <c r="H1718" s="55" t="s">
        <v>35</v>
      </c>
      <c r="I1718" s="63">
        <v>44501</v>
      </c>
      <c r="J1718" s="64">
        <f>EFEITO!$J$1718*EFEITO!$Y$1718/(1-CUSTOS!$M$38)</f>
        <v>0</v>
      </c>
      <c r="K1718" s="64">
        <f ca="1">EFEITO!$L$1718*EFEITO!$Z$1718/(1-CUSTOS!$M$38)</f>
        <v>1790.9409237525872</v>
      </c>
      <c r="L1718" s="64">
        <f>EFEITO!$N$1718*EFEITO!$AA$1718/(1-CUSTOS!$M$38)</f>
        <v>1520.594246986034</v>
      </c>
      <c r="M1718" s="64">
        <f>$J$1718-EFEITO!$K$1718*EFEITO!$Y$1718</f>
        <v>0</v>
      </c>
      <c r="N1718" s="64">
        <f ca="1">$K$1718-EFEITO!$M$1718*EFEITO!$Z$1718</f>
        <v>107.45645542515535</v>
      </c>
      <c r="O1718" s="64">
        <f>$L$1718-EFEITO!$O$1718*EFEITO!$AA$1718</f>
        <v>91.235654819162164</v>
      </c>
      <c r="P1718" s="19"/>
      <c r="Q1718" s="19"/>
      <c r="R1718" s="19"/>
      <c r="S1718" s="19"/>
      <c r="T1718" s="19"/>
      <c r="U1718" s="19"/>
      <c r="V1718" s="19"/>
      <c r="W1718" s="19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</row>
    <row r="1719" spans="1:36" ht="11.25" customHeight="1" x14ac:dyDescent="0.2">
      <c r="A1719" s="55" t="s">
        <v>21</v>
      </c>
      <c r="B1719" s="55" t="s">
        <v>44</v>
      </c>
      <c r="C1719" s="55" t="s">
        <v>33</v>
      </c>
      <c r="D1719" s="55" t="s">
        <v>45</v>
      </c>
      <c r="E1719" s="55" t="s">
        <v>53</v>
      </c>
      <c r="F1719" s="55" t="s">
        <v>54</v>
      </c>
      <c r="G1719" s="55" t="s">
        <v>25</v>
      </c>
      <c r="H1719" s="55" t="s">
        <v>36</v>
      </c>
      <c r="I1719" s="63">
        <v>44440</v>
      </c>
      <c r="J1719" s="64">
        <f>EFEITO!$J$1719*EFEITO!$Y$1719/(1-CUSTOS!$M$38)</f>
        <v>0</v>
      </c>
      <c r="K1719" s="64">
        <f ca="1">EFEITO!$L$1719*EFEITO!$Z$1719/(1-CUSTOS!$M$38)</f>
        <v>154.37672210223462</v>
      </c>
      <c r="L1719" s="64">
        <f>EFEITO!$N$1719*EFEITO!$AA$1719/(1-CUSTOS!$M$38)</f>
        <v>58.404168608517082</v>
      </c>
      <c r="M1719" s="64">
        <f>$J$1719-EFEITO!$K$1719*EFEITO!$Y$1719</f>
        <v>0</v>
      </c>
      <c r="N1719" s="64">
        <f ca="1">$K$1719-EFEITO!$M$1719*EFEITO!$Z$1719</f>
        <v>9.2626033261340979</v>
      </c>
      <c r="O1719" s="64">
        <f>$L$1719-EFEITO!$O$1719*EFEITO!$AA$1719</f>
        <v>3.5042501165110309</v>
      </c>
      <c r="P1719" s="19"/>
      <c r="Q1719" s="19"/>
      <c r="R1719" s="19"/>
      <c r="S1719" s="19"/>
      <c r="T1719" s="19"/>
      <c r="U1719" s="19"/>
      <c r="V1719" s="19"/>
      <c r="W1719" s="19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</row>
    <row r="1720" spans="1:36" ht="11.25" customHeight="1" x14ac:dyDescent="0.2">
      <c r="A1720" s="55" t="s">
        <v>21</v>
      </c>
      <c r="B1720" s="55" t="s">
        <v>44</v>
      </c>
      <c r="C1720" s="55" t="s">
        <v>33</v>
      </c>
      <c r="D1720" s="55" t="s">
        <v>45</v>
      </c>
      <c r="E1720" s="55" t="s">
        <v>53</v>
      </c>
      <c r="F1720" s="55" t="s">
        <v>54</v>
      </c>
      <c r="G1720" s="55" t="s">
        <v>25</v>
      </c>
      <c r="H1720" s="55" t="s">
        <v>36</v>
      </c>
      <c r="I1720" s="63">
        <v>44501</v>
      </c>
      <c r="J1720" s="64">
        <f>EFEITO!$J$1720*EFEITO!$Y$1720/(1-CUSTOS!$M$38)</f>
        <v>0</v>
      </c>
      <c r="K1720" s="64">
        <f ca="1">EFEITO!$L$1720*EFEITO!$Z$1720/(1-CUSTOS!$M$38)</f>
        <v>139.0615711000288</v>
      </c>
      <c r="L1720" s="64">
        <f>EFEITO!$N$1720*EFEITO!$AA$1720/(1-CUSTOS!$M$38)</f>
        <v>52.610104262434028</v>
      </c>
      <c r="M1720" s="64">
        <f>$J$1720-EFEITO!$K$1720*EFEITO!$Y$1720</f>
        <v>0</v>
      </c>
      <c r="N1720" s="64">
        <f ca="1">$K$1720-EFEITO!$M$1720*EFEITO!$Z$1720</f>
        <v>8.3436942660017337</v>
      </c>
      <c r="O1720" s="64">
        <f>$L$1720-EFEITO!$O$1720*EFEITO!$AA$1720</f>
        <v>3.1566062557460413</v>
      </c>
      <c r="P1720" s="19"/>
      <c r="Q1720" s="19"/>
      <c r="R1720" s="19"/>
      <c r="S1720" s="19"/>
      <c r="T1720" s="19"/>
      <c r="U1720" s="19"/>
      <c r="V1720" s="19"/>
      <c r="W1720" s="19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</row>
    <row r="1721" spans="1:36" ht="11.25" customHeight="1" x14ac:dyDescent="0.2">
      <c r="A1721" s="55" t="s">
        <v>21</v>
      </c>
      <c r="B1721" s="55" t="s">
        <v>44</v>
      </c>
      <c r="C1721" s="55" t="s">
        <v>33</v>
      </c>
      <c r="D1721" s="55" t="s">
        <v>45</v>
      </c>
      <c r="E1721" s="55" t="s">
        <v>53</v>
      </c>
      <c r="F1721" s="55" t="s">
        <v>54</v>
      </c>
      <c r="G1721" s="55" t="s">
        <v>25</v>
      </c>
      <c r="H1721" s="55" t="s">
        <v>34</v>
      </c>
      <c r="I1721" s="63">
        <v>44440</v>
      </c>
      <c r="J1721" s="64">
        <f>EFEITO!$J$1721*EFEITO!$Y$1721/(1-CUSTOS!$M$38)</f>
        <v>0</v>
      </c>
      <c r="K1721" s="64">
        <f ca="1">EFEITO!$L$1721*EFEITO!$Z$1721/(1-CUSTOS!$M$38)</f>
        <v>95.224406847556665</v>
      </c>
      <c r="L1721" s="64">
        <f>EFEITO!$N$1721*EFEITO!$AA$1721/(1-CUSTOS!$M$38)</f>
        <v>36.026029187567119</v>
      </c>
      <c r="M1721" s="64">
        <f>$J$1721-EFEITO!$K$1721*EFEITO!$Y$1721</f>
        <v>0</v>
      </c>
      <c r="N1721" s="64">
        <f ca="1">$K$1721-EFEITO!$M$1721*EFEITO!$Z$1721</f>
        <v>5.7134644108534047</v>
      </c>
      <c r="O1721" s="64">
        <f>$L$1721-EFEITO!$O$1721*EFEITO!$AA$1721</f>
        <v>2.1615617512540268</v>
      </c>
      <c r="P1721" s="19"/>
      <c r="Q1721" s="19"/>
      <c r="R1721" s="19"/>
      <c r="S1721" s="19"/>
      <c r="T1721" s="19"/>
      <c r="U1721" s="19"/>
      <c r="V1721" s="19"/>
      <c r="W1721" s="19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</row>
    <row r="1722" spans="1:36" ht="11.25" customHeight="1" x14ac:dyDescent="0.2">
      <c r="A1722" s="55" t="s">
        <v>21</v>
      </c>
      <c r="B1722" s="55" t="s">
        <v>44</v>
      </c>
      <c r="C1722" s="55" t="s">
        <v>33</v>
      </c>
      <c r="D1722" s="55" t="s">
        <v>45</v>
      </c>
      <c r="E1722" s="55" t="s">
        <v>53</v>
      </c>
      <c r="F1722" s="55" t="s">
        <v>54</v>
      </c>
      <c r="G1722" s="55" t="s">
        <v>25</v>
      </c>
      <c r="H1722" s="55" t="s">
        <v>34</v>
      </c>
      <c r="I1722" s="63">
        <v>44501</v>
      </c>
      <c r="J1722" s="64">
        <f>EFEITO!$J$1722*EFEITO!$Y$1722/(1-CUSTOS!$M$38)</f>
        <v>0</v>
      </c>
      <c r="K1722" s="64">
        <f ca="1">EFEITO!$L$1722*EFEITO!$Z$1722/(1-CUSTOS!$M$38)</f>
        <v>85.701966162800986</v>
      </c>
      <c r="L1722" s="64">
        <f>EFEITO!$N$1722*EFEITO!$AA$1722/(1-CUSTOS!$M$38)</f>
        <v>32.423426268810402</v>
      </c>
      <c r="M1722" s="64">
        <f>$J$1722-EFEITO!$K$1722*EFEITO!$Y$1722</f>
        <v>0</v>
      </c>
      <c r="N1722" s="64">
        <f ca="1">$K$1722-EFEITO!$M$1722*EFEITO!$Z$1722</f>
        <v>5.1421179697680657</v>
      </c>
      <c r="O1722" s="64">
        <f>$L$1722-EFEITO!$O$1722*EFEITO!$AA$1722</f>
        <v>1.9454055761286249</v>
      </c>
      <c r="P1722" s="19"/>
      <c r="Q1722" s="19"/>
      <c r="R1722" s="19"/>
      <c r="S1722" s="19"/>
      <c r="T1722" s="19"/>
      <c r="U1722" s="19"/>
      <c r="V1722" s="19"/>
      <c r="W1722" s="19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</row>
    <row r="1723" spans="1:36" ht="11.25" customHeight="1" x14ac:dyDescent="0.2">
      <c r="A1723" s="55" t="s">
        <v>21</v>
      </c>
      <c r="B1723" s="55" t="s">
        <v>44</v>
      </c>
      <c r="C1723" s="55" t="s">
        <v>33</v>
      </c>
      <c r="D1723" s="55" t="s">
        <v>45</v>
      </c>
      <c r="E1723" s="55" t="s">
        <v>25</v>
      </c>
      <c r="F1723" s="55" t="s">
        <v>25</v>
      </c>
      <c r="G1723" s="55" t="s">
        <v>25</v>
      </c>
      <c r="H1723" s="55" t="s">
        <v>35</v>
      </c>
      <c r="I1723" s="63">
        <v>44409</v>
      </c>
      <c r="J1723" s="64">
        <f>EFEITO!$J$1723*EFEITO!$Y$1723/(1-CUSTOS!$M$38)</f>
        <v>0</v>
      </c>
      <c r="K1723" s="64">
        <f ca="1">EFEITO!$L$1723*EFEITO!$Z$1723/(1-CUSTOS!$M$38)</f>
        <v>3533.8395364884914</v>
      </c>
      <c r="L1723" s="64">
        <f>EFEITO!$N$1723*EFEITO!$AA$1723/(1-CUSTOS!$M$38)</f>
        <v>3000.398280975643</v>
      </c>
      <c r="M1723" s="64">
        <f>$J$1723-EFEITO!$K$1723*EFEITO!$Y$1723</f>
        <v>0</v>
      </c>
      <c r="N1723" s="64">
        <f ca="1">$K$1723-EFEITO!$M$1723*EFEITO!$Z$1723</f>
        <v>212.03037218930967</v>
      </c>
      <c r="O1723" s="64">
        <f>$L$1723-EFEITO!$O$1723*EFEITO!$AA$1723</f>
        <v>180.02389685853859</v>
      </c>
      <c r="P1723" s="19"/>
      <c r="Q1723" s="19"/>
      <c r="R1723" s="19"/>
      <c r="S1723" s="19"/>
      <c r="T1723" s="19"/>
      <c r="U1723" s="19"/>
      <c r="V1723" s="19"/>
      <c r="W1723" s="19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</row>
    <row r="1724" spans="1:36" ht="11.25" customHeight="1" x14ac:dyDescent="0.2">
      <c r="A1724" s="55" t="s">
        <v>21</v>
      </c>
      <c r="B1724" s="55" t="s">
        <v>44</v>
      </c>
      <c r="C1724" s="55" t="s">
        <v>33</v>
      </c>
      <c r="D1724" s="55" t="s">
        <v>45</v>
      </c>
      <c r="E1724" s="55" t="s">
        <v>25</v>
      </c>
      <c r="F1724" s="55" t="s">
        <v>25</v>
      </c>
      <c r="G1724" s="55" t="s">
        <v>25</v>
      </c>
      <c r="H1724" s="55" t="s">
        <v>35</v>
      </c>
      <c r="I1724" s="63">
        <v>44440</v>
      </c>
      <c r="J1724" s="64">
        <f>EFEITO!$J$1724*EFEITO!$Y$1724/(1-CUSTOS!$M$38)</f>
        <v>0</v>
      </c>
      <c r="K1724" s="64">
        <f ca="1">EFEITO!$L$1724*EFEITO!$Z$1724/(1-CUSTOS!$M$38)</f>
        <v>2857.4256347876972</v>
      </c>
      <c r="L1724" s="64">
        <f>EFEITO!$N$1724*EFEITO!$AA$1724/(1-CUSTOS!$M$38)</f>
        <v>2426.0906229918919</v>
      </c>
      <c r="M1724" s="64">
        <f>$J$1724-EFEITO!$K$1724*EFEITO!$Y$1724</f>
        <v>0</v>
      </c>
      <c r="N1724" s="64">
        <f ca="1">$K$1724-EFEITO!$M$1724*EFEITO!$Z$1724</f>
        <v>171.44553808726187</v>
      </c>
      <c r="O1724" s="64">
        <f>$L$1724-EFEITO!$O$1724*EFEITO!$AA$1724</f>
        <v>145.5654373795137</v>
      </c>
      <c r="P1724" s="19"/>
      <c r="Q1724" s="19"/>
      <c r="R1724" s="19"/>
      <c r="S1724" s="19"/>
      <c r="T1724" s="19"/>
      <c r="U1724" s="19"/>
      <c r="V1724" s="19"/>
      <c r="W1724" s="19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</row>
    <row r="1725" spans="1:36" ht="11.25" customHeight="1" x14ac:dyDescent="0.2">
      <c r="A1725" s="55" t="s">
        <v>21</v>
      </c>
      <c r="B1725" s="55" t="s">
        <v>44</v>
      </c>
      <c r="C1725" s="55" t="s">
        <v>33</v>
      </c>
      <c r="D1725" s="55" t="s">
        <v>45</v>
      </c>
      <c r="E1725" s="55" t="s">
        <v>25</v>
      </c>
      <c r="F1725" s="55" t="s">
        <v>25</v>
      </c>
      <c r="G1725" s="55" t="s">
        <v>25</v>
      </c>
      <c r="H1725" s="55" t="s">
        <v>35</v>
      </c>
      <c r="I1725" s="63">
        <v>44470</v>
      </c>
      <c r="J1725" s="64">
        <f>EFEITO!$J$1725*EFEITO!$Y$1725/(1-CUSTOS!$M$38)</f>
        <v>0</v>
      </c>
      <c r="K1725" s="64">
        <f ca="1">EFEITO!$L$1725*EFEITO!$Z$1725/(1-CUSTOS!$M$38)</f>
        <v>4009.3492284831586</v>
      </c>
      <c r="L1725" s="64">
        <f>EFEITO!$N$1725*EFEITO!$AA$1725/(1-CUSTOS!$M$38)</f>
        <v>3404.12868461071</v>
      </c>
      <c r="M1725" s="64">
        <f>$J$1725-EFEITO!$K$1725*EFEITO!$Y$1725</f>
        <v>0</v>
      </c>
      <c r="N1725" s="64">
        <f ca="1">$K$1725-EFEITO!$M$1725*EFEITO!$Z$1725</f>
        <v>240.56095370898993</v>
      </c>
      <c r="O1725" s="64">
        <f>$L$1725-EFEITO!$O$1725*EFEITO!$AA$1725</f>
        <v>204.24772107664285</v>
      </c>
      <c r="P1725" s="19"/>
      <c r="Q1725" s="19"/>
      <c r="R1725" s="19"/>
      <c r="S1725" s="19"/>
      <c r="T1725" s="19"/>
      <c r="U1725" s="19"/>
      <c r="V1725" s="19"/>
      <c r="W1725" s="19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</row>
    <row r="1726" spans="1:36" ht="11.25" customHeight="1" x14ac:dyDescent="0.2">
      <c r="A1726" s="55" t="s">
        <v>21</v>
      </c>
      <c r="B1726" s="55" t="s">
        <v>44</v>
      </c>
      <c r="C1726" s="55" t="s">
        <v>33</v>
      </c>
      <c r="D1726" s="55" t="s">
        <v>45</v>
      </c>
      <c r="E1726" s="55" t="s">
        <v>25</v>
      </c>
      <c r="F1726" s="55" t="s">
        <v>25</v>
      </c>
      <c r="G1726" s="55" t="s">
        <v>25</v>
      </c>
      <c r="H1726" s="55" t="s">
        <v>35</v>
      </c>
      <c r="I1726" s="63">
        <v>44501</v>
      </c>
      <c r="J1726" s="64">
        <f>EFEITO!$J$1726*EFEITO!$Y$1726/(1-CUSTOS!$M$38)</f>
        <v>0</v>
      </c>
      <c r="K1726" s="64">
        <f ca="1">EFEITO!$L$1726*EFEITO!$Z$1726/(1-CUSTOS!$M$38)</f>
        <v>2727.7659885779003</v>
      </c>
      <c r="L1726" s="64">
        <f>EFEITO!$N$1726*EFEITO!$AA$1726/(1-CUSTOS!$M$38)</f>
        <v>2316.003400416314</v>
      </c>
      <c r="M1726" s="64">
        <f>$J$1726-EFEITO!$K$1726*EFEITO!$Y$1726</f>
        <v>0</v>
      </c>
      <c r="N1726" s="64">
        <f ca="1">$K$1726-EFEITO!$M$1726*EFEITO!$Z$1726</f>
        <v>163.66595931467418</v>
      </c>
      <c r="O1726" s="64">
        <f>$L$1726-EFEITO!$O$1726*EFEITO!$AA$1726</f>
        <v>138.96020402497879</v>
      </c>
      <c r="P1726" s="19"/>
      <c r="Q1726" s="19"/>
      <c r="R1726" s="19"/>
      <c r="S1726" s="19"/>
      <c r="T1726" s="19"/>
      <c r="U1726" s="19"/>
      <c r="V1726" s="19"/>
      <c r="W1726" s="19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</row>
    <row r="1727" spans="1:36" ht="11.25" customHeight="1" x14ac:dyDescent="0.2">
      <c r="A1727" s="55" t="s">
        <v>21</v>
      </c>
      <c r="B1727" s="55" t="s">
        <v>44</v>
      </c>
      <c r="C1727" s="55" t="s">
        <v>33</v>
      </c>
      <c r="D1727" s="55" t="s">
        <v>45</v>
      </c>
      <c r="E1727" s="55" t="s">
        <v>25</v>
      </c>
      <c r="F1727" s="55" t="s">
        <v>25</v>
      </c>
      <c r="G1727" s="55" t="s">
        <v>25</v>
      </c>
      <c r="H1727" s="55" t="s">
        <v>35</v>
      </c>
      <c r="I1727" s="63">
        <v>44531</v>
      </c>
      <c r="J1727" s="64">
        <f>EFEITO!$J$1727*EFEITO!$Y$1727/(1-CUSTOS!$M$38)</f>
        <v>0</v>
      </c>
      <c r="K1727" s="64">
        <f ca="1">EFEITO!$L$1727*EFEITO!$Z$1727/(1-CUSTOS!$M$38)</f>
        <v>3434.2063346641212</v>
      </c>
      <c r="L1727" s="64">
        <f>EFEITO!$N$1727*EFEITO!$AA$1727/(1-CUSTOS!$M$38)</f>
        <v>2915.8049415228306</v>
      </c>
      <c r="M1727" s="64">
        <f>$J$1727-EFEITO!$K$1727*EFEITO!$Y$1727</f>
        <v>0</v>
      </c>
      <c r="N1727" s="64">
        <f ca="1">$K$1727-EFEITO!$M$1727*EFEITO!$Z$1727</f>
        <v>206.05238007984735</v>
      </c>
      <c r="O1727" s="64">
        <f>$L$1727-EFEITO!$O$1727*EFEITO!$AA$1727</f>
        <v>174.94829649137</v>
      </c>
      <c r="P1727" s="19"/>
      <c r="Q1727" s="19"/>
      <c r="R1727" s="19"/>
      <c r="S1727" s="19"/>
      <c r="T1727" s="19"/>
      <c r="U1727" s="19"/>
      <c r="V1727" s="19"/>
      <c r="W1727" s="19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</row>
    <row r="1728" spans="1:36" ht="11.25" customHeight="1" x14ac:dyDescent="0.2">
      <c r="A1728" s="55" t="s">
        <v>21</v>
      </c>
      <c r="B1728" s="55" t="s">
        <v>44</v>
      </c>
      <c r="C1728" s="55" t="s">
        <v>33</v>
      </c>
      <c r="D1728" s="55" t="s">
        <v>45</v>
      </c>
      <c r="E1728" s="55" t="s">
        <v>25</v>
      </c>
      <c r="F1728" s="55" t="s">
        <v>25</v>
      </c>
      <c r="G1728" s="55" t="s">
        <v>25</v>
      </c>
      <c r="H1728" s="55" t="s">
        <v>35</v>
      </c>
      <c r="I1728" s="63">
        <v>44562</v>
      </c>
      <c r="J1728" s="64">
        <f>EFEITO!$J$1728*EFEITO!$Y$1728/(1-CUSTOS!$M$38)</f>
        <v>0</v>
      </c>
      <c r="K1728" s="64">
        <f ca="1">EFEITO!$L$1728*EFEITO!$Z$1728/(1-CUSTOS!$M$38)</f>
        <v>2981.3529597966403</v>
      </c>
      <c r="L1728" s="64">
        <f>EFEITO!$N$1728*EFEITO!$AA$1728/(1-CUSTOS!$M$38)</f>
        <v>2531.3108315167601</v>
      </c>
      <c r="M1728" s="64">
        <f>$J$1728-EFEITO!$K$1728*EFEITO!$Y$1728</f>
        <v>0</v>
      </c>
      <c r="N1728" s="64">
        <f ca="1">$K$1728-EFEITO!$M$1728*EFEITO!$Z$1728</f>
        <v>178.88117758779845</v>
      </c>
      <c r="O1728" s="64">
        <f>$L$1728-EFEITO!$O$1728*EFEITO!$AA$1728</f>
        <v>151.87864989100581</v>
      </c>
      <c r="P1728" s="19"/>
      <c r="Q1728" s="19"/>
      <c r="R1728" s="19"/>
      <c r="S1728" s="19"/>
      <c r="T1728" s="19"/>
      <c r="U1728" s="19"/>
      <c r="V1728" s="19"/>
      <c r="W1728" s="19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</row>
    <row r="1729" spans="1:36" ht="11.25" customHeight="1" x14ac:dyDescent="0.2">
      <c r="A1729" s="55" t="s">
        <v>21</v>
      </c>
      <c r="B1729" s="55" t="s">
        <v>44</v>
      </c>
      <c r="C1729" s="55" t="s">
        <v>33</v>
      </c>
      <c r="D1729" s="55" t="s">
        <v>45</v>
      </c>
      <c r="E1729" s="55" t="s">
        <v>25</v>
      </c>
      <c r="F1729" s="55" t="s">
        <v>25</v>
      </c>
      <c r="G1729" s="55" t="s">
        <v>25</v>
      </c>
      <c r="H1729" s="55" t="s">
        <v>35</v>
      </c>
      <c r="I1729" s="63">
        <v>44593</v>
      </c>
      <c r="J1729" s="64">
        <f>EFEITO!$J$1729*EFEITO!$Y$1729/(1-CUSTOS!$M$38)</f>
        <v>0</v>
      </c>
      <c r="K1729" s="64">
        <f ca="1">EFEITO!$L$1729*EFEITO!$Z$1729/(1-CUSTOS!$M$38)</f>
        <v>1744.2634511170602</v>
      </c>
      <c r="L1729" s="64">
        <f>EFEITO!$N$1729*EFEITO!$AA$1729/(1-CUSTOS!$M$38)</f>
        <v>1480.962846858826</v>
      </c>
      <c r="M1729" s="64">
        <f>$J$1729-EFEITO!$K$1729*EFEITO!$Y$1729</f>
        <v>0</v>
      </c>
      <c r="N1729" s="64">
        <f ca="1">$K$1729-EFEITO!$M$1729*EFEITO!$Z$1729</f>
        <v>104.65580706702372</v>
      </c>
      <c r="O1729" s="64">
        <f>$L$1729-EFEITO!$O$1729*EFEITO!$AA$1729</f>
        <v>88.85777081152969</v>
      </c>
      <c r="P1729" s="19"/>
      <c r="Q1729" s="19"/>
      <c r="R1729" s="19"/>
      <c r="S1729" s="19"/>
      <c r="T1729" s="19"/>
      <c r="U1729" s="19"/>
      <c r="V1729" s="19"/>
      <c r="W1729" s="19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</row>
    <row r="1730" spans="1:36" ht="11.25" customHeight="1" x14ac:dyDescent="0.2">
      <c r="A1730" s="55" t="s">
        <v>21</v>
      </c>
      <c r="B1730" s="55" t="s">
        <v>44</v>
      </c>
      <c r="C1730" s="55" t="s">
        <v>33</v>
      </c>
      <c r="D1730" s="55" t="s">
        <v>45</v>
      </c>
      <c r="E1730" s="55" t="s">
        <v>25</v>
      </c>
      <c r="F1730" s="55" t="s">
        <v>25</v>
      </c>
      <c r="G1730" s="55" t="s">
        <v>25</v>
      </c>
      <c r="H1730" s="55" t="s">
        <v>35</v>
      </c>
      <c r="I1730" s="63">
        <v>44621</v>
      </c>
      <c r="J1730" s="64">
        <f>EFEITO!$J$1730*EFEITO!$Y$1730/(1-CUSTOS!$M$38)</f>
        <v>0</v>
      </c>
      <c r="K1730" s="64">
        <f ca="1">EFEITO!$L$1730*EFEITO!$Z$1730/(1-CUSTOS!$M$38)</f>
        <v>842.37824884933457</v>
      </c>
      <c r="L1730" s="64">
        <f>EFEITO!$N$1730*EFEITO!$AA$1730/(1-CUSTOS!$M$38)</f>
        <v>715.21930288049089</v>
      </c>
      <c r="M1730" s="64">
        <f>$J$1730-EFEITO!$K$1730*EFEITO!$Y$1730</f>
        <v>0</v>
      </c>
      <c r="N1730" s="64">
        <f ca="1">$K$1730-EFEITO!$M$1730*EFEITO!$Z$1730</f>
        <v>50.542694930960124</v>
      </c>
      <c r="O1730" s="64">
        <f>$L$1730-EFEITO!$O$1730*EFEITO!$AA$1730</f>
        <v>42.913158172829526</v>
      </c>
      <c r="P1730" s="19"/>
      <c r="Q1730" s="19"/>
      <c r="R1730" s="19"/>
      <c r="S1730" s="19"/>
      <c r="T1730" s="19"/>
      <c r="U1730" s="19"/>
      <c r="V1730" s="19"/>
      <c r="W1730" s="19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</row>
    <row r="1731" spans="1:36" ht="11.25" customHeight="1" x14ac:dyDescent="0.2">
      <c r="A1731" s="55" t="s">
        <v>21</v>
      </c>
      <c r="B1731" s="55" t="s">
        <v>44</v>
      </c>
      <c r="C1731" s="55" t="s">
        <v>33</v>
      </c>
      <c r="D1731" s="55" t="s">
        <v>45</v>
      </c>
      <c r="E1731" s="55" t="s">
        <v>25</v>
      </c>
      <c r="F1731" s="55" t="s">
        <v>25</v>
      </c>
      <c r="G1731" s="55" t="s">
        <v>25</v>
      </c>
      <c r="H1731" s="55" t="s">
        <v>35</v>
      </c>
      <c r="I1731" s="63">
        <v>44652</v>
      </c>
      <c r="J1731" s="64">
        <f>EFEITO!$J$1731*EFEITO!$Y$1731/(1-CUSTOS!$M$38)</f>
        <v>0</v>
      </c>
      <c r="K1731" s="64">
        <f ca="1">EFEITO!$L$1731*EFEITO!$Z$1731/(1-CUSTOS!$M$38)</f>
        <v>697.9783481230553</v>
      </c>
      <c r="L1731" s="64">
        <f>EFEITO!$N$1731*EFEITO!$AA$1731/(1-CUSTOS!$M$38)</f>
        <v>592.61690131737362</v>
      </c>
      <c r="M1731" s="64">
        <f>$J$1731-EFEITO!$K$1731*EFEITO!$Y$1731</f>
        <v>0</v>
      </c>
      <c r="N1731" s="64">
        <f ca="1">$K$1731-EFEITO!$M$1731*EFEITO!$Z$1731</f>
        <v>41.878700887383388</v>
      </c>
      <c r="O1731" s="64">
        <f>$L$1731-EFEITO!$O$1731*EFEITO!$AA$1731</f>
        <v>35.55701407904246</v>
      </c>
      <c r="P1731" s="19"/>
      <c r="Q1731" s="19"/>
      <c r="R1731" s="19"/>
      <c r="S1731" s="19"/>
      <c r="T1731" s="19"/>
      <c r="U1731" s="19"/>
      <c r="V1731" s="19"/>
      <c r="W1731" s="19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</row>
    <row r="1732" spans="1:36" ht="11.25" customHeight="1" x14ac:dyDescent="0.2">
      <c r="A1732" s="55" t="s">
        <v>21</v>
      </c>
      <c r="B1732" s="55" t="s">
        <v>44</v>
      </c>
      <c r="C1732" s="55" t="s">
        <v>33</v>
      </c>
      <c r="D1732" s="55" t="s">
        <v>45</v>
      </c>
      <c r="E1732" s="55" t="s">
        <v>25</v>
      </c>
      <c r="F1732" s="55" t="s">
        <v>25</v>
      </c>
      <c r="G1732" s="55" t="s">
        <v>25</v>
      </c>
      <c r="H1732" s="55" t="s">
        <v>35</v>
      </c>
      <c r="I1732" s="63">
        <v>44682</v>
      </c>
      <c r="J1732" s="64">
        <f>EFEITO!$J$1732*EFEITO!$Y$1732/(1-CUSTOS!$M$38)</f>
        <v>0</v>
      </c>
      <c r="K1732" s="64">
        <f ca="1">EFEITO!$L$1732*EFEITO!$Z$1732/(1-CUSTOS!$M$38)</f>
        <v>904.34191135380604</v>
      </c>
      <c r="L1732" s="64">
        <f>EFEITO!$N$1732*EFEITO!$AA$1732/(1-CUSTOS!$M$38)</f>
        <v>767.82940714292499</v>
      </c>
      <c r="M1732" s="64">
        <f>$J$1732-EFEITO!$K$1732*EFEITO!$Y$1732</f>
        <v>0</v>
      </c>
      <c r="N1732" s="64">
        <f ca="1">$K$1732-EFEITO!$M$1732*EFEITO!$Z$1732</f>
        <v>54.260514681228415</v>
      </c>
      <c r="O1732" s="64">
        <f>$L$1732-EFEITO!$O$1732*EFEITO!$AA$1732</f>
        <v>46.069764428575581</v>
      </c>
      <c r="P1732" s="19"/>
      <c r="Q1732" s="19"/>
      <c r="R1732" s="19"/>
      <c r="S1732" s="19"/>
      <c r="T1732" s="19"/>
      <c r="U1732" s="19"/>
      <c r="V1732" s="19"/>
      <c r="W1732" s="19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</row>
    <row r="1733" spans="1:36" ht="11.25" customHeight="1" x14ac:dyDescent="0.2">
      <c r="A1733" s="55" t="s">
        <v>21</v>
      </c>
      <c r="B1733" s="55" t="s">
        <v>44</v>
      </c>
      <c r="C1733" s="55" t="s">
        <v>33</v>
      </c>
      <c r="D1733" s="55" t="s">
        <v>45</v>
      </c>
      <c r="E1733" s="55" t="s">
        <v>25</v>
      </c>
      <c r="F1733" s="55" t="s">
        <v>25</v>
      </c>
      <c r="G1733" s="55" t="s">
        <v>25</v>
      </c>
      <c r="H1733" s="55" t="s">
        <v>35</v>
      </c>
      <c r="I1733" s="63">
        <v>44713</v>
      </c>
      <c r="J1733" s="64">
        <f>EFEITO!$J$1733*EFEITO!$Y$1733/(1-CUSTOS!$M$38)</f>
        <v>0</v>
      </c>
      <c r="K1733" s="64">
        <f ca="1">EFEITO!$L$1733*EFEITO!$Z$1733/(1-CUSTOS!$M$38)</f>
        <v>687.8785441025027</v>
      </c>
      <c r="L1733" s="64">
        <f>EFEITO!$N$1733*EFEITO!$AA$1733/(1-CUSTOS!$M$38)</f>
        <v>584.0416860851708</v>
      </c>
      <c r="M1733" s="64">
        <f>$J$1733-EFEITO!$K$1733*EFEITO!$Y$1733</f>
        <v>0</v>
      </c>
      <c r="N1733" s="64">
        <f ca="1">$K$1733-EFEITO!$M$1733*EFEITO!$Z$1733</f>
        <v>41.272712646150239</v>
      </c>
      <c r="O1733" s="64">
        <f>$L$1733-EFEITO!$O$1733*EFEITO!$AA$1733</f>
        <v>35.042501165110252</v>
      </c>
      <c r="P1733" s="19"/>
      <c r="Q1733" s="19"/>
      <c r="R1733" s="19"/>
      <c r="S1733" s="19"/>
      <c r="T1733" s="19"/>
      <c r="U1733" s="19"/>
      <c r="V1733" s="19"/>
      <c r="W1733" s="19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</row>
    <row r="1734" spans="1:36" ht="11.25" customHeight="1" x14ac:dyDescent="0.2">
      <c r="A1734" s="55" t="s">
        <v>57</v>
      </c>
      <c r="B1734" s="55" t="s">
        <v>44</v>
      </c>
      <c r="C1734" s="55" t="s">
        <v>33</v>
      </c>
      <c r="D1734" s="55" t="s">
        <v>45</v>
      </c>
      <c r="E1734" s="55" t="s">
        <v>25</v>
      </c>
      <c r="F1734" s="55" t="s">
        <v>25</v>
      </c>
      <c r="G1734" s="55" t="s">
        <v>25</v>
      </c>
      <c r="H1734" s="55" t="s">
        <v>35</v>
      </c>
      <c r="I1734" s="63">
        <v>44743</v>
      </c>
      <c r="J1734" s="64">
        <f>EFEITO!$J$1734*EFEITO!$Y$1734/(1-CUSTOS!$M$38)</f>
        <v>0</v>
      </c>
      <c r="K1734" s="64">
        <f ca="1">EFEITO!$L$1734*EFEITO!$Z$1734/(1-CUSTOS!$M$38)</f>
        <v>687.8785441025027</v>
      </c>
      <c r="L1734" s="64">
        <f>EFEITO!$N$1734*EFEITO!$AA$1734/(1-CUSTOS!$M$38)</f>
        <v>584.0416860851708</v>
      </c>
      <c r="M1734" s="64">
        <f>$J$1734-EFEITO!$K$1734*EFEITO!$Y$1734</f>
        <v>0</v>
      </c>
      <c r="N1734" s="64">
        <f ca="1">$K$1734-EFEITO!$M$1734*EFEITO!$Z$1734</f>
        <v>41.272712646150239</v>
      </c>
      <c r="O1734" s="64">
        <f>$L$1734-EFEITO!$O$1734*EFEITO!$AA$1734</f>
        <v>35.042501165110252</v>
      </c>
      <c r="P1734" s="19"/>
      <c r="Q1734" s="19"/>
      <c r="R1734" s="19"/>
      <c r="S1734" s="19"/>
      <c r="T1734" s="19"/>
      <c r="U1734" s="19"/>
      <c r="V1734" s="19"/>
      <c r="W1734" s="19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</row>
    <row r="1735" spans="1:36" ht="11.25" customHeight="1" x14ac:dyDescent="0.2">
      <c r="A1735" s="55" t="s">
        <v>21</v>
      </c>
      <c r="B1735" s="55" t="s">
        <v>44</v>
      </c>
      <c r="C1735" s="55" t="s">
        <v>33</v>
      </c>
      <c r="D1735" s="55" t="s">
        <v>45</v>
      </c>
      <c r="E1735" s="55" t="s">
        <v>25</v>
      </c>
      <c r="F1735" s="55" t="s">
        <v>25</v>
      </c>
      <c r="G1735" s="55" t="s">
        <v>25</v>
      </c>
      <c r="H1735" s="55" t="s">
        <v>36</v>
      </c>
      <c r="I1735" s="63">
        <v>44409</v>
      </c>
      <c r="J1735" s="64">
        <f>EFEITO!$J$1735*EFEITO!$Y$1735/(1-CUSTOS!$M$38)</f>
        <v>0</v>
      </c>
      <c r="K1735" s="64">
        <f ca="1">EFEITO!$L$1735*EFEITO!$Z$1735/(1-CUSTOS!$M$38)</f>
        <v>263.42059723794</v>
      </c>
      <c r="L1735" s="64">
        <f>EFEITO!$N$1735*EFEITO!$AA$1735/(1-CUSTOS!$M$38)</f>
        <v>99.657906752628335</v>
      </c>
      <c r="M1735" s="64">
        <f>$J$1735-EFEITO!$K$1735*EFEITO!$Y$1735</f>
        <v>0</v>
      </c>
      <c r="N1735" s="64">
        <f ca="1">$K$1735-EFEITO!$M$1735*EFEITO!$Z$1735</f>
        <v>15.805235834276402</v>
      </c>
      <c r="O1735" s="64">
        <f>$L$1735-EFEITO!$O$1735*EFEITO!$AA$1735</f>
        <v>5.9794744051577027</v>
      </c>
      <c r="P1735" s="19"/>
      <c r="Q1735" s="19"/>
      <c r="R1735" s="19"/>
      <c r="S1735" s="19"/>
      <c r="T1735" s="19"/>
      <c r="U1735" s="19"/>
      <c r="V1735" s="19"/>
      <c r="W1735" s="19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</row>
    <row r="1736" spans="1:36" ht="11.25" customHeight="1" x14ac:dyDescent="0.2">
      <c r="A1736" s="55" t="s">
        <v>21</v>
      </c>
      <c r="B1736" s="55" t="s">
        <v>44</v>
      </c>
      <c r="C1736" s="55" t="s">
        <v>33</v>
      </c>
      <c r="D1736" s="55" t="s">
        <v>45</v>
      </c>
      <c r="E1736" s="55" t="s">
        <v>25</v>
      </c>
      <c r="F1736" s="55" t="s">
        <v>25</v>
      </c>
      <c r="G1736" s="55" t="s">
        <v>25</v>
      </c>
      <c r="H1736" s="55" t="s">
        <v>36</v>
      </c>
      <c r="I1736" s="63">
        <v>44440</v>
      </c>
      <c r="J1736" s="64">
        <f>EFEITO!$J$1736*EFEITO!$Y$1736/(1-CUSTOS!$M$38)</f>
        <v>0</v>
      </c>
      <c r="K1736" s="64">
        <f ca="1">EFEITO!$L$1736*EFEITO!$Z$1736/(1-CUSTOS!$M$38)</f>
        <v>226.05162879255781</v>
      </c>
      <c r="L1736" s="64">
        <f>EFEITO!$N$1736*EFEITO!$AA$1736/(1-CUSTOS!$M$38)</f>
        <v>85.520389748185707</v>
      </c>
      <c r="M1736" s="64">
        <f>$J$1736-EFEITO!$K$1736*EFEITO!$Y$1736</f>
        <v>0</v>
      </c>
      <c r="N1736" s="64">
        <f ca="1">$K$1736-EFEITO!$M$1736*EFEITO!$Z$1736</f>
        <v>13.563097727553469</v>
      </c>
      <c r="O1736" s="64">
        <f>$L$1736-EFEITO!$O$1736*EFEITO!$AA$1736</f>
        <v>5.1312233848911433</v>
      </c>
      <c r="P1736" s="19"/>
      <c r="Q1736" s="19"/>
      <c r="R1736" s="19"/>
      <c r="S1736" s="19"/>
      <c r="T1736" s="19"/>
      <c r="U1736" s="19"/>
      <c r="V1736" s="19"/>
      <c r="W1736" s="19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</row>
    <row r="1737" spans="1:36" ht="11.25" customHeight="1" x14ac:dyDescent="0.2">
      <c r="A1737" s="55" t="s">
        <v>21</v>
      </c>
      <c r="B1737" s="55" t="s">
        <v>44</v>
      </c>
      <c r="C1737" s="55" t="s">
        <v>33</v>
      </c>
      <c r="D1737" s="55" t="s">
        <v>45</v>
      </c>
      <c r="E1737" s="55" t="s">
        <v>25</v>
      </c>
      <c r="F1737" s="55" t="s">
        <v>25</v>
      </c>
      <c r="G1737" s="55" t="s">
        <v>25</v>
      </c>
      <c r="H1737" s="55" t="s">
        <v>36</v>
      </c>
      <c r="I1737" s="63">
        <v>44470</v>
      </c>
      <c r="J1737" s="64">
        <f>EFEITO!$J$1737*EFEITO!$Y$1737/(1-CUSTOS!$M$38)</f>
        <v>0</v>
      </c>
      <c r="K1737" s="64">
        <f ca="1">EFEITO!$L$1737*EFEITO!$Z$1737/(1-CUSTOS!$M$38)</f>
        <v>268.93405159873407</v>
      </c>
      <c r="L1737" s="64">
        <f>EFEITO!$N$1737*EFEITO!$AA$1737/(1-CUSTOS!$M$38)</f>
        <v>101.74376991721824</v>
      </c>
      <c r="M1737" s="64">
        <f>$J$1737-EFEITO!$K$1737*EFEITO!$Y$1737</f>
        <v>0</v>
      </c>
      <c r="N1737" s="64">
        <f ca="1">$K$1737-EFEITO!$M$1737*EFEITO!$Z$1737</f>
        <v>16.136043095924038</v>
      </c>
      <c r="O1737" s="64">
        <f>$L$1737-EFEITO!$O$1737*EFEITO!$AA$1737</f>
        <v>6.1046261950331058</v>
      </c>
      <c r="P1737" s="19"/>
      <c r="Q1737" s="19"/>
      <c r="R1737" s="19"/>
      <c r="S1737" s="19"/>
      <c r="T1737" s="19"/>
      <c r="U1737" s="19"/>
      <c r="V1737" s="19"/>
      <c r="W1737" s="19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</row>
    <row r="1738" spans="1:36" ht="11.25" customHeight="1" x14ac:dyDescent="0.2">
      <c r="A1738" s="55" t="s">
        <v>21</v>
      </c>
      <c r="B1738" s="55" t="s">
        <v>44</v>
      </c>
      <c r="C1738" s="55" t="s">
        <v>33</v>
      </c>
      <c r="D1738" s="55" t="s">
        <v>45</v>
      </c>
      <c r="E1738" s="55" t="s">
        <v>25</v>
      </c>
      <c r="F1738" s="55" t="s">
        <v>25</v>
      </c>
      <c r="G1738" s="55" t="s">
        <v>25</v>
      </c>
      <c r="H1738" s="55" t="s">
        <v>36</v>
      </c>
      <c r="I1738" s="63">
        <v>44501</v>
      </c>
      <c r="J1738" s="64">
        <f>EFEITO!$J$1738*EFEITO!$Y$1738/(1-CUSTOS!$M$38)</f>
        <v>0</v>
      </c>
      <c r="K1738" s="64">
        <f ca="1">EFEITO!$L$1738*EFEITO!$Z$1738/(1-CUSTOS!$M$38)</f>
        <v>228.50205295291076</v>
      </c>
      <c r="L1738" s="64">
        <f>EFEITO!$N$1738*EFEITO!$AA$1738/(1-CUSTOS!$M$38)</f>
        <v>86.447440043558998</v>
      </c>
      <c r="M1738" s="64">
        <f>$J$1738-EFEITO!$K$1738*EFEITO!$Y$1738</f>
        <v>0</v>
      </c>
      <c r="N1738" s="64">
        <f ca="1">$K$1738-EFEITO!$M$1738*EFEITO!$Z$1738</f>
        <v>13.710123177174665</v>
      </c>
      <c r="O1738" s="64">
        <f>$L$1738-EFEITO!$O$1738*EFEITO!$AA$1738</f>
        <v>5.1868464026135399</v>
      </c>
      <c r="P1738" s="19"/>
      <c r="Q1738" s="19"/>
      <c r="R1738" s="19"/>
      <c r="S1738" s="19"/>
      <c r="T1738" s="19"/>
      <c r="U1738" s="19"/>
      <c r="V1738" s="19"/>
      <c r="W1738" s="19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</row>
    <row r="1739" spans="1:36" ht="11.25" customHeight="1" x14ac:dyDescent="0.2">
      <c r="A1739" s="55" t="s">
        <v>21</v>
      </c>
      <c r="B1739" s="55" t="s">
        <v>44</v>
      </c>
      <c r="C1739" s="55" t="s">
        <v>33</v>
      </c>
      <c r="D1739" s="55" t="s">
        <v>45</v>
      </c>
      <c r="E1739" s="55" t="s">
        <v>25</v>
      </c>
      <c r="F1739" s="55" t="s">
        <v>25</v>
      </c>
      <c r="G1739" s="55" t="s">
        <v>25</v>
      </c>
      <c r="H1739" s="55" t="s">
        <v>36</v>
      </c>
      <c r="I1739" s="63">
        <v>44531</v>
      </c>
      <c r="J1739" s="64">
        <f>EFEITO!$J$1739*EFEITO!$Y$1739/(1-CUSTOS!$M$38)</f>
        <v>0</v>
      </c>
      <c r="K1739" s="64">
        <f ca="1">EFEITO!$L$1739*EFEITO!$Z$1739/(1-CUSTOS!$M$38)</f>
        <v>323.45598916658679</v>
      </c>
      <c r="L1739" s="64">
        <f>EFEITO!$N$1739*EFEITO!$AA$1739/(1-CUSTOS!$M$38)</f>
        <v>122.37063898927389</v>
      </c>
      <c r="M1739" s="64">
        <f>$J$1739-EFEITO!$K$1739*EFEITO!$Y$1739</f>
        <v>0</v>
      </c>
      <c r="N1739" s="64">
        <f ca="1">$K$1739-EFEITO!$M$1739*EFEITO!$Z$1739</f>
        <v>19.407359349995204</v>
      </c>
      <c r="O1739" s="64">
        <f>$L$1739-EFEITO!$O$1739*EFEITO!$AA$1739</f>
        <v>7.3422383393564417</v>
      </c>
      <c r="P1739" s="19"/>
      <c r="Q1739" s="19"/>
      <c r="R1739" s="19"/>
      <c r="S1739" s="19"/>
      <c r="T1739" s="19"/>
      <c r="U1739" s="19"/>
      <c r="V1739" s="19"/>
      <c r="W1739" s="19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</row>
    <row r="1740" spans="1:36" ht="11.25" customHeight="1" x14ac:dyDescent="0.2">
      <c r="A1740" s="55" t="s">
        <v>21</v>
      </c>
      <c r="B1740" s="55" t="s">
        <v>44</v>
      </c>
      <c r="C1740" s="55" t="s">
        <v>33</v>
      </c>
      <c r="D1740" s="55" t="s">
        <v>45</v>
      </c>
      <c r="E1740" s="55" t="s">
        <v>25</v>
      </c>
      <c r="F1740" s="55" t="s">
        <v>25</v>
      </c>
      <c r="G1740" s="55" t="s">
        <v>25</v>
      </c>
      <c r="H1740" s="55" t="s">
        <v>36</v>
      </c>
      <c r="I1740" s="63">
        <v>44562</v>
      </c>
      <c r="J1740" s="64">
        <f>EFEITO!$J$1740*EFEITO!$Y$1740/(1-CUSTOS!$M$38)</f>
        <v>0</v>
      </c>
      <c r="K1740" s="64">
        <f ca="1">EFEITO!$L$1740*EFEITO!$Z$1740/(1-CUSTOS!$M$38)</f>
        <v>325.29380728685152</v>
      </c>
      <c r="L1740" s="64">
        <f>EFEITO!$N$1740*EFEITO!$AA$1740/(1-CUSTOS!$M$38)</f>
        <v>123.06592671080385</v>
      </c>
      <c r="M1740" s="64">
        <f>$J$1740-EFEITO!$K$1740*EFEITO!$Y$1740</f>
        <v>0</v>
      </c>
      <c r="N1740" s="64">
        <f ca="1">$K$1740-EFEITO!$M$1740*EFEITO!$Z$1740</f>
        <v>19.517628437211101</v>
      </c>
      <c r="O1740" s="64">
        <f>$L$1740-EFEITO!$O$1740*EFEITO!$AA$1740</f>
        <v>7.3839556026482427</v>
      </c>
      <c r="P1740" s="19"/>
      <c r="Q1740" s="19"/>
      <c r="R1740" s="19"/>
      <c r="S1740" s="19"/>
      <c r="T1740" s="19"/>
      <c r="U1740" s="19"/>
      <c r="V1740" s="19"/>
      <c r="W1740" s="19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</row>
    <row r="1741" spans="1:36" ht="11.25" customHeight="1" x14ac:dyDescent="0.2">
      <c r="A1741" s="55" t="s">
        <v>21</v>
      </c>
      <c r="B1741" s="55" t="s">
        <v>44</v>
      </c>
      <c r="C1741" s="55" t="s">
        <v>33</v>
      </c>
      <c r="D1741" s="55" t="s">
        <v>45</v>
      </c>
      <c r="E1741" s="55" t="s">
        <v>25</v>
      </c>
      <c r="F1741" s="55" t="s">
        <v>25</v>
      </c>
      <c r="G1741" s="55" t="s">
        <v>25</v>
      </c>
      <c r="H1741" s="55" t="s">
        <v>36</v>
      </c>
      <c r="I1741" s="63">
        <v>44593</v>
      </c>
      <c r="J1741" s="64">
        <f>EFEITO!$J$1741*EFEITO!$Y$1741/(1-CUSTOS!$M$38)</f>
        <v>0</v>
      </c>
      <c r="K1741" s="64">
        <f ca="1">EFEITO!$L$1741*EFEITO!$Z$1741/(1-CUSTOS!$M$38)</f>
        <v>213.18690195070491</v>
      </c>
      <c r="L1741" s="64">
        <f>EFEITO!$N$1741*EFEITO!$AA$1741/(1-CUSTOS!$M$38)</f>
        <v>80.653375697475965</v>
      </c>
      <c r="M1741" s="64">
        <f>$J$1741-EFEITO!$K$1741*EFEITO!$Y$1741</f>
        <v>0</v>
      </c>
      <c r="N1741" s="64">
        <f ca="1">$K$1741-EFEITO!$M$1741*EFEITO!$Z$1741</f>
        <v>12.791214117042301</v>
      </c>
      <c r="O1741" s="64">
        <f>$L$1741-EFEITO!$O$1741*EFEITO!$AA$1741</f>
        <v>4.8392025418485645</v>
      </c>
      <c r="P1741" s="19"/>
      <c r="Q1741" s="19"/>
      <c r="R1741" s="19"/>
      <c r="S1741" s="19"/>
      <c r="T1741" s="19"/>
      <c r="U1741" s="19"/>
      <c r="V1741" s="19"/>
      <c r="W1741" s="19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</row>
    <row r="1742" spans="1:36" ht="11.25" customHeight="1" x14ac:dyDescent="0.2">
      <c r="A1742" s="55" t="s">
        <v>21</v>
      </c>
      <c r="B1742" s="55" t="s">
        <v>44</v>
      </c>
      <c r="C1742" s="55" t="s">
        <v>33</v>
      </c>
      <c r="D1742" s="55" t="s">
        <v>45</v>
      </c>
      <c r="E1742" s="55" t="s">
        <v>25</v>
      </c>
      <c r="F1742" s="55" t="s">
        <v>25</v>
      </c>
      <c r="G1742" s="55" t="s">
        <v>25</v>
      </c>
      <c r="H1742" s="55" t="s">
        <v>36</v>
      </c>
      <c r="I1742" s="63">
        <v>44621</v>
      </c>
      <c r="J1742" s="64">
        <f>EFEITO!$J$1742*EFEITO!$Y$1742/(1-CUSTOS!$M$38)</f>
        <v>0</v>
      </c>
      <c r="K1742" s="64">
        <f ca="1">EFEITO!$L$1742*EFEITO!$Z$1742/(1-CUSTOS!$M$38)</f>
        <v>99.854784534381906</v>
      </c>
      <c r="L1742" s="64">
        <f>EFEITO!$N$1742*EFEITO!$AA$1742/(1-CUSTOS!$M$38)</f>
        <v>37.777299536461442</v>
      </c>
      <c r="M1742" s="64">
        <f>$J$1742-EFEITO!$K$1742*EFEITO!$Y$1742</f>
        <v>0</v>
      </c>
      <c r="N1742" s="64">
        <f ca="1">$K$1742-EFEITO!$M$1742*EFEITO!$Z$1742</f>
        <v>5.9912870720629172</v>
      </c>
      <c r="O1742" s="64">
        <f>$L$1742-EFEITO!$O$1742*EFEITO!$AA$1742</f>
        <v>2.2666379721876879</v>
      </c>
      <c r="P1742" s="19"/>
      <c r="Q1742" s="19"/>
      <c r="R1742" s="19"/>
      <c r="S1742" s="19"/>
      <c r="T1742" s="19"/>
      <c r="U1742" s="19"/>
      <c r="V1742" s="19"/>
      <c r="W1742" s="19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</row>
    <row r="1743" spans="1:36" ht="11.25" customHeight="1" x14ac:dyDescent="0.2">
      <c r="A1743" s="55" t="s">
        <v>21</v>
      </c>
      <c r="B1743" s="55" t="s">
        <v>44</v>
      </c>
      <c r="C1743" s="55" t="s">
        <v>33</v>
      </c>
      <c r="D1743" s="55" t="s">
        <v>45</v>
      </c>
      <c r="E1743" s="55" t="s">
        <v>25</v>
      </c>
      <c r="F1743" s="55" t="s">
        <v>25</v>
      </c>
      <c r="G1743" s="55" t="s">
        <v>25</v>
      </c>
      <c r="H1743" s="55" t="s">
        <v>36</v>
      </c>
      <c r="I1743" s="63">
        <v>44652</v>
      </c>
      <c r="J1743" s="64">
        <f>EFEITO!$J$1743*EFEITO!$Y$1743/(1-CUSTOS!$M$38)</f>
        <v>0</v>
      </c>
      <c r="K1743" s="64">
        <f ca="1">EFEITO!$L$1743*EFEITO!$Z$1743/(1-CUSTOS!$M$38)</f>
        <v>86.990057692529021</v>
      </c>
      <c r="L1743" s="64">
        <f>EFEITO!$N$1743*EFEITO!$AA$1743/(1-CUSTOS!$M$38)</f>
        <v>32.910285485751686</v>
      </c>
      <c r="M1743" s="64">
        <f>$J$1743-EFEITO!$K$1743*EFEITO!$Y$1743</f>
        <v>0</v>
      </c>
      <c r="N1743" s="64">
        <f ca="1">$K$1743-EFEITO!$M$1743*EFEITO!$Z$1743</f>
        <v>5.2194034615517495</v>
      </c>
      <c r="O1743" s="64">
        <f>$L$1743-EFEITO!$O$1743*EFEITO!$AA$1743</f>
        <v>1.9746171291451056</v>
      </c>
      <c r="P1743" s="19"/>
      <c r="Q1743" s="19"/>
      <c r="R1743" s="19"/>
      <c r="S1743" s="19"/>
      <c r="T1743" s="19"/>
      <c r="U1743" s="19"/>
      <c r="V1743" s="19"/>
      <c r="W1743" s="19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</row>
    <row r="1744" spans="1:36" ht="11.25" customHeight="1" x14ac:dyDescent="0.2">
      <c r="A1744" s="55" t="s">
        <v>21</v>
      </c>
      <c r="B1744" s="55" t="s">
        <v>44</v>
      </c>
      <c r="C1744" s="55" t="s">
        <v>33</v>
      </c>
      <c r="D1744" s="55" t="s">
        <v>45</v>
      </c>
      <c r="E1744" s="55" t="s">
        <v>25</v>
      </c>
      <c r="F1744" s="55" t="s">
        <v>25</v>
      </c>
      <c r="G1744" s="55" t="s">
        <v>25</v>
      </c>
      <c r="H1744" s="55" t="s">
        <v>36</v>
      </c>
      <c r="I1744" s="63">
        <v>44682</v>
      </c>
      <c r="J1744" s="64">
        <f>EFEITO!$J$1744*EFEITO!$Y$1744/(1-CUSTOS!$M$38)</f>
        <v>0</v>
      </c>
      <c r="K1744" s="64">
        <f ca="1">EFEITO!$L$1744*EFEITO!$Z$1744/(1-CUSTOS!$M$38)</f>
        <v>94.341330173587806</v>
      </c>
      <c r="L1744" s="64">
        <f>EFEITO!$N$1744*EFEITO!$AA$1744/(1-CUSTOS!$M$38)</f>
        <v>35.691436371871546</v>
      </c>
      <c r="M1744" s="64">
        <f>$J$1744-EFEITO!$K$1744*EFEITO!$Y$1744</f>
        <v>0</v>
      </c>
      <c r="N1744" s="64">
        <f ca="1">$K$1744-EFEITO!$M$1744*EFEITO!$Z$1744</f>
        <v>5.6604798104152678</v>
      </c>
      <c r="O1744" s="64">
        <f>$L$1744-EFEITO!$O$1744*EFEITO!$AA$1744</f>
        <v>2.1414861823122919</v>
      </c>
      <c r="P1744" s="19"/>
      <c r="Q1744" s="19"/>
      <c r="R1744" s="19"/>
      <c r="S1744" s="19"/>
      <c r="T1744" s="19"/>
      <c r="U1744" s="19"/>
      <c r="V1744" s="19"/>
      <c r="W1744" s="19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</row>
    <row r="1745" spans="1:36" ht="11.25" customHeight="1" x14ac:dyDescent="0.2">
      <c r="A1745" s="55" t="s">
        <v>21</v>
      </c>
      <c r="B1745" s="55" t="s">
        <v>44</v>
      </c>
      <c r="C1745" s="55" t="s">
        <v>33</v>
      </c>
      <c r="D1745" s="55" t="s">
        <v>45</v>
      </c>
      <c r="E1745" s="55" t="s">
        <v>25</v>
      </c>
      <c r="F1745" s="55" t="s">
        <v>25</v>
      </c>
      <c r="G1745" s="55" t="s">
        <v>25</v>
      </c>
      <c r="H1745" s="55" t="s">
        <v>36</v>
      </c>
      <c r="I1745" s="63">
        <v>44713</v>
      </c>
      <c r="J1745" s="64">
        <f>EFEITO!$J$1745*EFEITO!$Y$1745/(1-CUSTOS!$M$38)</f>
        <v>0</v>
      </c>
      <c r="K1745" s="64">
        <f ca="1">EFEITO!$L$1745*EFEITO!$Z$1745/(1-CUSTOS!$M$38)</f>
        <v>85.764845612352573</v>
      </c>
      <c r="L1745" s="64">
        <f>EFEITO!$N$1745*EFEITO!$AA$1745/(1-CUSTOS!$M$38)</f>
        <v>32.446760338065047</v>
      </c>
      <c r="M1745" s="64">
        <f>$J$1745-EFEITO!$K$1745*EFEITO!$Y$1745</f>
        <v>0</v>
      </c>
      <c r="N1745" s="64">
        <f ca="1">$K$1745-EFEITO!$M$1745*EFEITO!$Z$1745</f>
        <v>5.1458907367411655</v>
      </c>
      <c r="O1745" s="64">
        <f>$L$1745-EFEITO!$O$1745*EFEITO!$AA$1745</f>
        <v>1.9468056202839072</v>
      </c>
      <c r="P1745" s="19"/>
      <c r="Q1745" s="19"/>
      <c r="R1745" s="19"/>
      <c r="S1745" s="19"/>
      <c r="T1745" s="19"/>
      <c r="U1745" s="19"/>
      <c r="V1745" s="19"/>
      <c r="W1745" s="19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</row>
    <row r="1746" spans="1:36" ht="11.25" customHeight="1" x14ac:dyDescent="0.2">
      <c r="A1746" s="55" t="s">
        <v>57</v>
      </c>
      <c r="B1746" s="55" t="s">
        <v>44</v>
      </c>
      <c r="C1746" s="55" t="s">
        <v>33</v>
      </c>
      <c r="D1746" s="55" t="s">
        <v>45</v>
      </c>
      <c r="E1746" s="55" t="s">
        <v>25</v>
      </c>
      <c r="F1746" s="55" t="s">
        <v>25</v>
      </c>
      <c r="G1746" s="55" t="s">
        <v>25</v>
      </c>
      <c r="H1746" s="55" t="s">
        <v>36</v>
      </c>
      <c r="I1746" s="63">
        <v>44743</v>
      </c>
      <c r="J1746" s="64">
        <f>EFEITO!$J$1746*EFEITO!$Y$1746/(1-CUSTOS!$M$38)</f>
        <v>0</v>
      </c>
      <c r="K1746" s="64">
        <f ca="1">EFEITO!$L$1746*EFEITO!$Z$1746/(1-CUSTOS!$M$38)</f>
        <v>85.764845612352573</v>
      </c>
      <c r="L1746" s="64">
        <f>EFEITO!$N$1746*EFEITO!$AA$1746/(1-CUSTOS!$M$38)</f>
        <v>32.446760338065047</v>
      </c>
      <c r="M1746" s="64">
        <f>$J$1746-EFEITO!$K$1746*EFEITO!$Y$1746</f>
        <v>0</v>
      </c>
      <c r="N1746" s="64">
        <f ca="1">$K$1746-EFEITO!$M$1746*EFEITO!$Z$1746</f>
        <v>5.1458907367411655</v>
      </c>
      <c r="O1746" s="64">
        <f>$L$1746-EFEITO!$O$1746*EFEITO!$AA$1746</f>
        <v>1.9468056202839072</v>
      </c>
      <c r="P1746" s="19"/>
      <c r="Q1746" s="19"/>
      <c r="R1746" s="19"/>
      <c r="S1746" s="19"/>
      <c r="T1746" s="19"/>
      <c r="U1746" s="19"/>
      <c r="V1746" s="19"/>
      <c r="W1746" s="19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</row>
    <row r="1747" spans="1:36" ht="11.25" customHeight="1" x14ac:dyDescent="0.2">
      <c r="A1747" s="55" t="s">
        <v>21</v>
      </c>
      <c r="B1747" s="55" t="s">
        <v>44</v>
      </c>
      <c r="C1747" s="55" t="s">
        <v>33</v>
      </c>
      <c r="D1747" s="55" t="s">
        <v>45</v>
      </c>
      <c r="E1747" s="55" t="s">
        <v>25</v>
      </c>
      <c r="F1747" s="55" t="s">
        <v>25</v>
      </c>
      <c r="G1747" s="55" t="s">
        <v>25</v>
      </c>
      <c r="H1747" s="55" t="s">
        <v>34</v>
      </c>
      <c r="I1747" s="63">
        <v>44409</v>
      </c>
      <c r="J1747" s="64">
        <f>EFEITO!$J$1747*EFEITO!$Y$1747/(1-CUSTOS!$M$38)</f>
        <v>0</v>
      </c>
      <c r="K1747" s="64">
        <f ca="1">EFEITO!$L$1747*EFEITO!$Z$1747/(1-CUSTOS!$M$38)</f>
        <v>352.33030533595962</v>
      </c>
      <c r="L1747" s="64">
        <f>EFEITO!$N$1747*EFEITO!$AA$1747/(1-CUSTOS!$M$38)</f>
        <v>133.29630799399834</v>
      </c>
      <c r="M1747" s="64">
        <f>$J$1747-EFEITO!$K$1747*EFEITO!$Y$1747</f>
        <v>0</v>
      </c>
      <c r="N1747" s="64">
        <f ca="1">$K$1747-EFEITO!$M$1747*EFEITO!$Z$1747</f>
        <v>21.139818320157588</v>
      </c>
      <c r="O1747" s="64">
        <f>$L$1747-EFEITO!$O$1747*EFEITO!$AA$1747</f>
        <v>7.9977784796399192</v>
      </c>
      <c r="P1747" s="19"/>
      <c r="Q1747" s="19"/>
      <c r="R1747" s="19"/>
      <c r="S1747" s="19"/>
      <c r="T1747" s="19"/>
      <c r="U1747" s="19"/>
      <c r="V1747" s="19"/>
      <c r="W1747" s="19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ht="11.25" customHeight="1" x14ac:dyDescent="0.2">
      <c r="A1748" s="55" t="s">
        <v>21</v>
      </c>
      <c r="B1748" s="55" t="s">
        <v>44</v>
      </c>
      <c r="C1748" s="55" t="s">
        <v>33</v>
      </c>
      <c r="D1748" s="55" t="s">
        <v>45</v>
      </c>
      <c r="E1748" s="55" t="s">
        <v>25</v>
      </c>
      <c r="F1748" s="55" t="s">
        <v>25</v>
      </c>
      <c r="G1748" s="55" t="s">
        <v>25</v>
      </c>
      <c r="H1748" s="55" t="s">
        <v>34</v>
      </c>
      <c r="I1748" s="63">
        <v>44440</v>
      </c>
      <c r="J1748" s="64">
        <f>EFEITO!$J$1748*EFEITO!$Y$1748/(1-CUSTOS!$M$38)</f>
        <v>0</v>
      </c>
      <c r="K1748" s="64">
        <f ca="1">EFEITO!$L$1748*EFEITO!$Z$1748/(1-CUSTOS!$M$38)</f>
        <v>289.48219681657224</v>
      </c>
      <c r="L1748" s="64">
        <f>EFEITO!$N$1748*EFEITO!$AA$1748/(1-CUSTOS!$M$38)</f>
        <v>109.51912873020403</v>
      </c>
      <c r="M1748" s="64">
        <f>$J$1748-EFEITO!$K$1748*EFEITO!$Y$1748</f>
        <v>0</v>
      </c>
      <c r="N1748" s="64">
        <f ca="1">$K$1748-EFEITO!$M$1748*EFEITO!$Z$1748</f>
        <v>17.368931808994375</v>
      </c>
      <c r="O1748" s="64">
        <f>$L$1748-EFEITO!$O$1748*EFEITO!$AA$1748</f>
        <v>6.5711477238122455</v>
      </c>
      <c r="P1748" s="19"/>
      <c r="Q1748" s="19"/>
      <c r="R1748" s="19"/>
      <c r="S1748" s="19"/>
      <c r="T1748" s="19"/>
      <c r="U1748" s="19"/>
      <c r="V1748" s="19"/>
      <c r="W1748" s="19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</row>
    <row r="1749" spans="1:36" ht="11.25" customHeight="1" x14ac:dyDescent="0.2">
      <c r="A1749" s="55" t="s">
        <v>21</v>
      </c>
      <c r="B1749" s="55" t="s">
        <v>44</v>
      </c>
      <c r="C1749" s="55" t="s">
        <v>33</v>
      </c>
      <c r="D1749" s="55" t="s">
        <v>45</v>
      </c>
      <c r="E1749" s="55" t="s">
        <v>25</v>
      </c>
      <c r="F1749" s="55" t="s">
        <v>25</v>
      </c>
      <c r="G1749" s="55" t="s">
        <v>25</v>
      </c>
      <c r="H1749" s="55" t="s">
        <v>34</v>
      </c>
      <c r="I1749" s="63">
        <v>44470</v>
      </c>
      <c r="J1749" s="64">
        <f>EFEITO!$J$1749*EFEITO!$Y$1749/(1-CUSTOS!$M$38)</f>
        <v>0</v>
      </c>
      <c r="K1749" s="64">
        <f ca="1">EFEITO!$L$1749*EFEITO!$Z$1749/(1-CUSTOS!$M$38)</f>
        <v>350.42581719900846</v>
      </c>
      <c r="L1749" s="64">
        <f>EFEITO!$N$1749*EFEITO!$AA$1749/(1-CUSTOS!$M$38)</f>
        <v>132.57578741024699</v>
      </c>
      <c r="M1749" s="64">
        <f>$J$1749-EFEITO!$K$1749*EFEITO!$Y$1749</f>
        <v>0</v>
      </c>
      <c r="N1749" s="64">
        <f ca="1">$K$1749-EFEITO!$M$1749*EFEITO!$Z$1749</f>
        <v>21.0255490319405</v>
      </c>
      <c r="O1749" s="64">
        <f>$L$1749-EFEITO!$O$1749*EFEITO!$AA$1749</f>
        <v>7.9545472446148295</v>
      </c>
      <c r="P1749" s="19"/>
      <c r="Q1749" s="19"/>
      <c r="R1749" s="19"/>
      <c r="S1749" s="19"/>
      <c r="T1749" s="19"/>
      <c r="U1749" s="19"/>
      <c r="V1749" s="19"/>
      <c r="W1749" s="19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</row>
    <row r="1750" spans="1:36" ht="11.25" customHeight="1" x14ac:dyDescent="0.2">
      <c r="A1750" s="55" t="s">
        <v>21</v>
      </c>
      <c r="B1750" s="55" t="s">
        <v>44</v>
      </c>
      <c r="C1750" s="55" t="s">
        <v>33</v>
      </c>
      <c r="D1750" s="55" t="s">
        <v>45</v>
      </c>
      <c r="E1750" s="55" t="s">
        <v>25</v>
      </c>
      <c r="F1750" s="55" t="s">
        <v>25</v>
      </c>
      <c r="G1750" s="55" t="s">
        <v>25</v>
      </c>
      <c r="H1750" s="55" t="s">
        <v>34</v>
      </c>
      <c r="I1750" s="63">
        <v>44501</v>
      </c>
      <c r="J1750" s="64">
        <f>EFEITO!$J$1750*EFEITO!$Y$1750/(1-CUSTOS!$M$38)</f>
        <v>0</v>
      </c>
      <c r="K1750" s="64">
        <f ca="1">EFEITO!$L$1750*EFEITO!$Z$1750/(1-CUSTOS!$M$38)</f>
        <v>349.47357313053294</v>
      </c>
      <c r="L1750" s="64">
        <f>EFEITO!$N$1750*EFEITO!$AA$1750/(1-CUSTOS!$M$38)</f>
        <v>132.21552711837131</v>
      </c>
      <c r="M1750" s="64">
        <f>$J$1750-EFEITO!$K$1750*EFEITO!$Y$1750</f>
        <v>0</v>
      </c>
      <c r="N1750" s="64">
        <f ca="1">$K$1750-EFEITO!$M$1750*EFEITO!$Z$1750</f>
        <v>20.968414387832013</v>
      </c>
      <c r="O1750" s="64">
        <f>$L$1750-EFEITO!$O$1750*EFEITO!$AA$1750</f>
        <v>7.9329316271022776</v>
      </c>
      <c r="P1750" s="19"/>
      <c r="Q1750" s="19"/>
      <c r="R1750" s="19"/>
      <c r="S1750" s="19"/>
      <c r="T1750" s="19"/>
      <c r="U1750" s="19"/>
      <c r="V1750" s="19"/>
      <c r="W1750" s="19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</row>
    <row r="1751" spans="1:36" ht="11.25" customHeight="1" x14ac:dyDescent="0.2">
      <c r="A1751" s="55" t="s">
        <v>21</v>
      </c>
      <c r="B1751" s="55" t="s">
        <v>44</v>
      </c>
      <c r="C1751" s="55" t="s">
        <v>33</v>
      </c>
      <c r="D1751" s="55" t="s">
        <v>45</v>
      </c>
      <c r="E1751" s="55" t="s">
        <v>25</v>
      </c>
      <c r="F1751" s="55" t="s">
        <v>25</v>
      </c>
      <c r="G1751" s="55" t="s">
        <v>25</v>
      </c>
      <c r="H1751" s="55" t="s">
        <v>34</v>
      </c>
      <c r="I1751" s="63">
        <v>44531</v>
      </c>
      <c r="J1751" s="64">
        <f>EFEITO!$J$1751*EFEITO!$Y$1751/(1-CUSTOS!$M$38)</f>
        <v>0</v>
      </c>
      <c r="K1751" s="64">
        <f ca="1">EFEITO!$L$1751*EFEITO!$Z$1751/(1-CUSTOS!$M$38)</f>
        <v>360.90050195223972</v>
      </c>
      <c r="L1751" s="64">
        <f>EFEITO!$N$1751*EFEITO!$AA$1751/(1-CUSTOS!$M$38)</f>
        <v>136.53865062087937</v>
      </c>
      <c r="M1751" s="64">
        <f>$J$1751-EFEITO!$K$1751*EFEITO!$Y$1751</f>
        <v>0</v>
      </c>
      <c r="N1751" s="64">
        <f ca="1">$K$1751-EFEITO!$M$1751*EFEITO!$Z$1751</f>
        <v>21.654030117134425</v>
      </c>
      <c r="O1751" s="64">
        <f>$L$1751-EFEITO!$O$1751*EFEITO!$AA$1751</f>
        <v>8.1923190372527586</v>
      </c>
      <c r="P1751" s="19"/>
      <c r="Q1751" s="19"/>
      <c r="R1751" s="19"/>
      <c r="S1751" s="19"/>
      <c r="T1751" s="19"/>
      <c r="U1751" s="19"/>
      <c r="V1751" s="19"/>
      <c r="W1751" s="19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ht="11.25" customHeight="1" x14ac:dyDescent="0.2">
      <c r="A1752" s="55" t="s">
        <v>21</v>
      </c>
      <c r="B1752" s="55" t="s">
        <v>44</v>
      </c>
      <c r="C1752" s="55" t="s">
        <v>33</v>
      </c>
      <c r="D1752" s="55" t="s">
        <v>45</v>
      </c>
      <c r="E1752" s="55" t="s">
        <v>25</v>
      </c>
      <c r="F1752" s="55" t="s">
        <v>25</v>
      </c>
      <c r="G1752" s="55" t="s">
        <v>25</v>
      </c>
      <c r="H1752" s="55" t="s">
        <v>34</v>
      </c>
      <c r="I1752" s="63">
        <v>44562</v>
      </c>
      <c r="J1752" s="64">
        <f>EFEITO!$J$1752*EFEITO!$Y$1752/(1-CUSTOS!$M$38)</f>
        <v>0</v>
      </c>
      <c r="K1752" s="64">
        <f ca="1">EFEITO!$L$1752*EFEITO!$Z$1752/(1-CUSTOS!$M$38)</f>
        <v>507.546088497477</v>
      </c>
      <c r="L1752" s="64">
        <f>EFEITO!$N$1752*EFEITO!$AA$1752/(1-CUSTOS!$M$38)</f>
        <v>192.01873556973274</v>
      </c>
      <c r="M1752" s="64">
        <f>$J$1752-EFEITO!$K$1752*EFEITO!$Y$1752</f>
        <v>0</v>
      </c>
      <c r="N1752" s="64">
        <f ca="1">$K$1752-EFEITO!$M$1752*EFEITO!$Z$1752</f>
        <v>30.452765309848644</v>
      </c>
      <c r="O1752" s="64">
        <f>$L$1752-EFEITO!$O$1752*EFEITO!$AA$1752</f>
        <v>11.521124134183964</v>
      </c>
      <c r="P1752" s="19"/>
      <c r="Q1752" s="19"/>
      <c r="R1752" s="19"/>
      <c r="S1752" s="19"/>
      <c r="T1752" s="19"/>
      <c r="U1752" s="19"/>
      <c r="V1752" s="19"/>
      <c r="W1752" s="19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ht="11.25" customHeight="1" x14ac:dyDescent="0.2">
      <c r="A1753" s="55" t="s">
        <v>21</v>
      </c>
      <c r="B1753" s="55" t="s">
        <v>44</v>
      </c>
      <c r="C1753" s="55" t="s">
        <v>33</v>
      </c>
      <c r="D1753" s="55" t="s">
        <v>45</v>
      </c>
      <c r="E1753" s="55" t="s">
        <v>25</v>
      </c>
      <c r="F1753" s="55" t="s">
        <v>25</v>
      </c>
      <c r="G1753" s="55" t="s">
        <v>25</v>
      </c>
      <c r="H1753" s="55" t="s">
        <v>34</v>
      </c>
      <c r="I1753" s="63">
        <v>44593</v>
      </c>
      <c r="J1753" s="64">
        <f>EFEITO!$J$1753*EFEITO!$Y$1753/(1-CUSTOS!$M$38)</f>
        <v>0</v>
      </c>
      <c r="K1753" s="64">
        <f ca="1">EFEITO!$L$1753*EFEITO!$Z$1753/(1-CUSTOS!$M$38)</f>
        <v>297.10014936437676</v>
      </c>
      <c r="L1753" s="64">
        <f>EFEITO!$N$1753*EFEITO!$AA$1753/(1-CUSTOS!$M$38)</f>
        <v>112.40121106520941</v>
      </c>
      <c r="M1753" s="64">
        <f>$J$1753-EFEITO!$K$1753*EFEITO!$Y$1753</f>
        <v>0</v>
      </c>
      <c r="N1753" s="64">
        <f ca="1">$K$1753-EFEITO!$M$1753*EFEITO!$Z$1753</f>
        <v>17.826008961862613</v>
      </c>
      <c r="O1753" s="64">
        <f>$L$1753-EFEITO!$O$1753*EFEITO!$AA$1753</f>
        <v>6.7440726639125756</v>
      </c>
      <c r="P1753" s="19"/>
      <c r="Q1753" s="19"/>
      <c r="R1753" s="19"/>
      <c r="S1753" s="19"/>
      <c r="T1753" s="19"/>
      <c r="U1753" s="19"/>
      <c r="V1753" s="19"/>
      <c r="W1753" s="19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</row>
    <row r="1754" spans="1:36" ht="11.25" customHeight="1" x14ac:dyDescent="0.2">
      <c r="A1754" s="55" t="s">
        <v>21</v>
      </c>
      <c r="B1754" s="55" t="s">
        <v>44</v>
      </c>
      <c r="C1754" s="55" t="s">
        <v>33</v>
      </c>
      <c r="D1754" s="55" t="s">
        <v>45</v>
      </c>
      <c r="E1754" s="55" t="s">
        <v>25</v>
      </c>
      <c r="F1754" s="55" t="s">
        <v>25</v>
      </c>
      <c r="G1754" s="55" t="s">
        <v>25</v>
      </c>
      <c r="H1754" s="55" t="s">
        <v>34</v>
      </c>
      <c r="I1754" s="63">
        <v>44621</v>
      </c>
      <c r="J1754" s="64">
        <f>EFEITO!$J$1754*EFEITO!$Y$1754/(1-CUSTOS!$M$38)</f>
        <v>0</v>
      </c>
      <c r="K1754" s="64">
        <f ca="1">EFEITO!$L$1754*EFEITO!$Z$1754/(1-CUSTOS!$M$38)</f>
        <v>223.77735609175812</v>
      </c>
      <c r="L1754" s="64">
        <f>EFEITO!$N$1754*EFEITO!$AA$1754/(1-CUSTOS!$M$38)</f>
        <v>84.661168590782722</v>
      </c>
      <c r="M1754" s="64">
        <f>$J$1754-EFEITO!$K$1754*EFEITO!$Y$1754</f>
        <v>0</v>
      </c>
      <c r="N1754" s="64">
        <f ca="1">$K$1754-EFEITO!$M$1754*EFEITO!$Z$1754</f>
        <v>13.426641365505503</v>
      </c>
      <c r="O1754" s="64">
        <f>$L$1754-EFEITO!$O$1754*EFEITO!$AA$1754</f>
        <v>5.079670115446973</v>
      </c>
      <c r="P1754" s="19"/>
      <c r="Q1754" s="19"/>
      <c r="R1754" s="19"/>
      <c r="S1754" s="19"/>
      <c r="T1754" s="19"/>
      <c r="U1754" s="19"/>
      <c r="V1754" s="19"/>
      <c r="W1754" s="19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ht="11.25" customHeight="1" x14ac:dyDescent="0.2">
      <c r="A1755" s="55" t="s">
        <v>21</v>
      </c>
      <c r="B1755" s="55" t="s">
        <v>44</v>
      </c>
      <c r="C1755" s="55" t="s">
        <v>33</v>
      </c>
      <c r="D1755" s="55" t="s">
        <v>45</v>
      </c>
      <c r="E1755" s="55" t="s">
        <v>25</v>
      </c>
      <c r="F1755" s="55" t="s">
        <v>25</v>
      </c>
      <c r="G1755" s="55" t="s">
        <v>25</v>
      </c>
      <c r="H1755" s="55" t="s">
        <v>34</v>
      </c>
      <c r="I1755" s="63">
        <v>44652</v>
      </c>
      <c r="J1755" s="64">
        <f>EFEITO!$J$1755*EFEITO!$Y$1755/(1-CUSTOS!$M$38)</f>
        <v>0</v>
      </c>
      <c r="K1755" s="64">
        <f ca="1">EFEITO!$L$1755*EFEITO!$Z$1755/(1-CUSTOS!$M$38)</f>
        <v>205.68471879072234</v>
      </c>
      <c r="L1755" s="64">
        <f>EFEITO!$N$1755*EFEITO!$AA$1755/(1-CUSTOS!$M$38)</f>
        <v>77.816223045144966</v>
      </c>
      <c r="M1755" s="64">
        <f>$J$1755-EFEITO!$K$1755*EFEITO!$Y$1755</f>
        <v>0</v>
      </c>
      <c r="N1755" s="64">
        <f ca="1">$K$1755-EFEITO!$M$1755*EFEITO!$Z$1755</f>
        <v>12.341083127443341</v>
      </c>
      <c r="O1755" s="64">
        <f>$L$1755-EFEITO!$O$1755*EFEITO!$AA$1755</f>
        <v>4.6689733827086997</v>
      </c>
      <c r="P1755" s="19"/>
      <c r="Q1755" s="19"/>
      <c r="R1755" s="19"/>
      <c r="S1755" s="19"/>
      <c r="T1755" s="19"/>
      <c r="U1755" s="19"/>
      <c r="V1755" s="19"/>
      <c r="W1755" s="19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</row>
    <row r="1756" spans="1:36" ht="11.25" customHeight="1" x14ac:dyDescent="0.2">
      <c r="A1756" s="55" t="s">
        <v>21</v>
      </c>
      <c r="B1756" s="55" t="s">
        <v>44</v>
      </c>
      <c r="C1756" s="55" t="s">
        <v>33</v>
      </c>
      <c r="D1756" s="55" t="s">
        <v>45</v>
      </c>
      <c r="E1756" s="55" t="s">
        <v>25</v>
      </c>
      <c r="F1756" s="55" t="s">
        <v>25</v>
      </c>
      <c r="G1756" s="55" t="s">
        <v>25</v>
      </c>
      <c r="H1756" s="55" t="s">
        <v>34</v>
      </c>
      <c r="I1756" s="63">
        <v>44682</v>
      </c>
      <c r="J1756" s="64">
        <f>EFEITO!$J$1756*EFEITO!$Y$1756/(1-CUSTOS!$M$38)</f>
        <v>0</v>
      </c>
      <c r="K1756" s="64">
        <f ca="1">EFEITO!$L$1756*EFEITO!$Z$1756/(1-CUSTOS!$M$38)</f>
        <v>223.77735609175812</v>
      </c>
      <c r="L1756" s="64">
        <f>EFEITO!$N$1756*EFEITO!$AA$1756/(1-CUSTOS!$M$38)</f>
        <v>84.661168590782722</v>
      </c>
      <c r="M1756" s="64">
        <f>$J$1756-EFEITO!$K$1756*EFEITO!$Y$1756</f>
        <v>0</v>
      </c>
      <c r="N1756" s="64">
        <f ca="1">$K$1756-EFEITO!$M$1756*EFEITO!$Z$1756</f>
        <v>13.426641365505503</v>
      </c>
      <c r="O1756" s="64">
        <f>$L$1756-EFEITO!$O$1756*EFEITO!$AA$1756</f>
        <v>5.079670115446973</v>
      </c>
      <c r="P1756" s="19"/>
      <c r="Q1756" s="19"/>
      <c r="R1756" s="19"/>
      <c r="S1756" s="19"/>
      <c r="T1756" s="19"/>
      <c r="U1756" s="19"/>
      <c r="V1756" s="19"/>
      <c r="W1756" s="19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ht="11.25" customHeight="1" x14ac:dyDescent="0.2">
      <c r="A1757" s="55" t="s">
        <v>21</v>
      </c>
      <c r="B1757" s="55" t="s">
        <v>44</v>
      </c>
      <c r="C1757" s="55" t="s">
        <v>33</v>
      </c>
      <c r="D1757" s="55" t="s">
        <v>45</v>
      </c>
      <c r="E1757" s="55" t="s">
        <v>25</v>
      </c>
      <c r="F1757" s="55" t="s">
        <v>25</v>
      </c>
      <c r="G1757" s="55" t="s">
        <v>25</v>
      </c>
      <c r="H1757" s="55" t="s">
        <v>34</v>
      </c>
      <c r="I1757" s="63">
        <v>44713</v>
      </c>
      <c r="J1757" s="64">
        <f>EFEITO!$J$1757*EFEITO!$Y$1757/(1-CUSTOS!$M$38)</f>
        <v>0</v>
      </c>
      <c r="K1757" s="64">
        <f ca="1">EFEITO!$L$1757*EFEITO!$Z$1757/(1-CUSTOS!$M$38)</f>
        <v>207.5892069276735</v>
      </c>
      <c r="L1757" s="64">
        <f>EFEITO!$N$1757*EFEITO!$AA$1757/(1-CUSTOS!$M$38)</f>
        <v>78.536743628896318</v>
      </c>
      <c r="M1757" s="64">
        <f>$J$1757-EFEITO!$K$1757*EFEITO!$Y$1757</f>
        <v>0</v>
      </c>
      <c r="N1757" s="64">
        <f ca="1">$K$1757-EFEITO!$M$1757*EFEITO!$Z$1757</f>
        <v>12.455352415660428</v>
      </c>
      <c r="O1757" s="64">
        <f>$L$1757-EFEITO!$O$1757*EFEITO!$AA$1757</f>
        <v>4.7122046177337893</v>
      </c>
      <c r="P1757" s="19"/>
      <c r="Q1757" s="19"/>
      <c r="R1757" s="19"/>
      <c r="S1757" s="19"/>
      <c r="T1757" s="19"/>
      <c r="U1757" s="19"/>
      <c r="V1757" s="19"/>
      <c r="W1757" s="19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ht="11.25" customHeight="1" x14ac:dyDescent="0.2">
      <c r="A1758" s="55" t="s">
        <v>57</v>
      </c>
      <c r="B1758" s="55" t="s">
        <v>44</v>
      </c>
      <c r="C1758" s="55" t="s">
        <v>33</v>
      </c>
      <c r="D1758" s="55" t="s">
        <v>45</v>
      </c>
      <c r="E1758" s="55" t="s">
        <v>25</v>
      </c>
      <c r="F1758" s="55" t="s">
        <v>25</v>
      </c>
      <c r="G1758" s="55" t="s">
        <v>25</v>
      </c>
      <c r="H1758" s="55" t="s">
        <v>34</v>
      </c>
      <c r="I1758" s="63">
        <v>44743</v>
      </c>
      <c r="J1758" s="64">
        <f>EFEITO!$J$1758*EFEITO!$Y$1758/(1-CUSTOS!$M$38)</f>
        <v>0</v>
      </c>
      <c r="K1758" s="64">
        <f ca="1">EFEITO!$L$1758*EFEITO!$Z$1758/(1-CUSTOS!$M$38)</f>
        <v>207.5892069276735</v>
      </c>
      <c r="L1758" s="64">
        <f>EFEITO!$N$1758*EFEITO!$AA$1758/(1-CUSTOS!$M$38)</f>
        <v>78.536743628896318</v>
      </c>
      <c r="M1758" s="64">
        <f>$J$1758-EFEITO!$K$1758*EFEITO!$Y$1758</f>
        <v>0</v>
      </c>
      <c r="N1758" s="64">
        <f ca="1">$K$1758-EFEITO!$M$1758*EFEITO!$Z$1758</f>
        <v>12.455352415660428</v>
      </c>
      <c r="O1758" s="64">
        <f>$L$1758-EFEITO!$O$1758*EFEITO!$AA$1758</f>
        <v>4.7122046177337893</v>
      </c>
      <c r="P1758" s="19"/>
      <c r="Q1758" s="19"/>
      <c r="R1758" s="19"/>
      <c r="S1758" s="19"/>
      <c r="T1758" s="19"/>
      <c r="U1758" s="19"/>
      <c r="V1758" s="19"/>
      <c r="W1758" s="19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ht="11.25" customHeight="1" x14ac:dyDescent="0.2">
      <c r="A1759" s="55" t="s">
        <v>21</v>
      </c>
      <c r="B1759" s="55" t="s">
        <v>44</v>
      </c>
      <c r="C1759" s="55" t="s">
        <v>23</v>
      </c>
      <c r="D1759" s="55" t="s">
        <v>45</v>
      </c>
      <c r="E1759" s="55" t="s">
        <v>53</v>
      </c>
      <c r="F1759" s="55" t="s">
        <v>54</v>
      </c>
      <c r="G1759" s="55" t="s">
        <v>25</v>
      </c>
      <c r="H1759" s="55" t="s">
        <v>25</v>
      </c>
      <c r="I1759" s="63">
        <v>44409</v>
      </c>
      <c r="J1759" s="64">
        <f>EFEITO!$J$1759*EFEITO!$Y$1521</f>
        <v>0</v>
      </c>
      <c r="K1759" s="64">
        <f ca="1">EFEITO!$L$1759*EFEITO!$Z$1521</f>
        <v>900071.59087770677</v>
      </c>
      <c r="L1759" s="64">
        <f>EFEITO!$N$1759*EFEITO!$AA$1521</f>
        <v>611987.84573563642</v>
      </c>
      <c r="M1759" s="64">
        <f>$J$1759-EFEITO!$K$1759*EFEITO!$Y$1759</f>
        <v>0</v>
      </c>
      <c r="N1759" s="64">
        <f ca="1">$K$1759-EFEITO!$M$1759*EFEITO!$Z$1759</f>
        <v>54004.295452662511</v>
      </c>
      <c r="O1759" s="64">
        <f>$L$1759-EFEITO!$O$1759*EFEITO!$AA$1759</f>
        <v>36719.270744138281</v>
      </c>
      <c r="P1759" s="19"/>
      <c r="Q1759" s="19"/>
      <c r="R1759" s="19"/>
      <c r="S1759" s="19"/>
      <c r="T1759" s="19"/>
      <c r="U1759" s="19"/>
      <c r="V1759" s="19"/>
      <c r="W1759" s="19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ht="11.25" customHeight="1" x14ac:dyDescent="0.2">
      <c r="A1760" s="55" t="s">
        <v>27</v>
      </c>
      <c r="B1760" s="55" t="s">
        <v>44</v>
      </c>
      <c r="C1760" s="55" t="s">
        <v>23</v>
      </c>
      <c r="D1760" s="55" t="s">
        <v>45</v>
      </c>
      <c r="E1760" s="55" t="s">
        <v>53</v>
      </c>
      <c r="F1760" s="55" t="s">
        <v>54</v>
      </c>
      <c r="G1760" s="55" t="s">
        <v>25</v>
      </c>
      <c r="H1760" s="55" t="s">
        <v>25</v>
      </c>
      <c r="I1760" s="63">
        <v>44409</v>
      </c>
      <c r="J1760" s="64">
        <f>EFEITO!$J$1760*EFEITO!$Y$1521</f>
        <v>0</v>
      </c>
      <c r="K1760" s="64">
        <f ca="1">EFEITO!$L$1760*EFEITO!$Z$1521</f>
        <v>-8044.0524458049076</v>
      </c>
      <c r="L1760" s="64">
        <f>EFEITO!$N$1760*EFEITO!$AA$1521</f>
        <v>-5469.4119636551168</v>
      </c>
      <c r="M1760" s="64">
        <f>$J$1760-EFEITO!$K$1760*EFEITO!$Y$1760</f>
        <v>0</v>
      </c>
      <c r="N1760" s="64">
        <f ca="1">$K$1760-EFEITO!$M$1760*EFEITO!$Z$1760</f>
        <v>-482.64314674829438</v>
      </c>
      <c r="O1760" s="64">
        <f>$L$1760-EFEITO!$O$1760*EFEITO!$AA$1760</f>
        <v>-328.16471781930704</v>
      </c>
      <c r="P1760" s="19"/>
      <c r="Q1760" s="19"/>
      <c r="R1760" s="19"/>
      <c r="S1760" s="19"/>
      <c r="T1760" s="19"/>
      <c r="U1760" s="19"/>
      <c r="V1760" s="19"/>
      <c r="W1760" s="19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36" ht="11.25" customHeight="1" x14ac:dyDescent="0.2">
      <c r="A1761" s="55" t="s">
        <v>28</v>
      </c>
      <c r="B1761" s="55" t="s">
        <v>44</v>
      </c>
      <c r="C1761" s="55" t="s">
        <v>23</v>
      </c>
      <c r="D1761" s="55" t="s">
        <v>45</v>
      </c>
      <c r="E1761" s="55" t="s">
        <v>53</v>
      </c>
      <c r="F1761" s="55" t="s">
        <v>54</v>
      </c>
      <c r="G1761" s="55" t="s">
        <v>25</v>
      </c>
      <c r="H1761" s="55" t="s">
        <v>25</v>
      </c>
      <c r="I1761" s="63">
        <v>44409</v>
      </c>
      <c r="J1761" s="64">
        <f>EFEITO!$J$1761*EFEITO!$Y$1521</f>
        <v>0</v>
      </c>
      <c r="K1761" s="64">
        <f ca="1">EFEITO!$L$1761*EFEITO!$Z$1521</f>
        <v>26931.546072599747</v>
      </c>
      <c r="L1761" s="64">
        <f>EFEITO!$N$1761*EFEITO!$AA$1521</f>
        <v>18311.631019514924</v>
      </c>
      <c r="M1761" s="64">
        <f>$J$1761-EFEITO!$K$1761*EFEITO!$Y$1761</f>
        <v>0</v>
      </c>
      <c r="N1761" s="64">
        <f ca="1">$K$1761-EFEITO!$M$1761*EFEITO!$Z$1761</f>
        <v>1615.8927643559873</v>
      </c>
      <c r="O1761" s="64">
        <f>$L$1761-EFEITO!$O$1761*EFEITO!$AA$1761</f>
        <v>1098.6978611708982</v>
      </c>
      <c r="P1761" s="19"/>
      <c r="Q1761" s="19"/>
      <c r="R1761" s="19"/>
      <c r="S1761" s="19"/>
      <c r="T1761" s="19"/>
      <c r="U1761" s="19"/>
      <c r="V1761" s="19"/>
      <c r="W1761" s="19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</row>
    <row r="1762" spans="1:36" ht="11.25" customHeight="1" x14ac:dyDescent="0.2">
      <c r="A1762" s="55" t="s">
        <v>21</v>
      </c>
      <c r="B1762" s="55" t="s">
        <v>44</v>
      </c>
      <c r="C1762" s="55" t="s">
        <v>23</v>
      </c>
      <c r="D1762" s="55" t="s">
        <v>45</v>
      </c>
      <c r="E1762" s="55" t="s">
        <v>53</v>
      </c>
      <c r="F1762" s="55" t="s">
        <v>54</v>
      </c>
      <c r="G1762" s="55" t="s">
        <v>25</v>
      </c>
      <c r="H1762" s="55" t="s">
        <v>25</v>
      </c>
      <c r="I1762" s="63">
        <v>44440</v>
      </c>
      <c r="J1762" s="64">
        <f>EFEITO!$J$1762*EFEITO!$Y$1521</f>
        <v>0</v>
      </c>
      <c r="K1762" s="64">
        <f ca="1">EFEITO!$L$1762*EFEITO!$Z$1521</f>
        <v>970447.51046019839</v>
      </c>
      <c r="L1762" s="64">
        <f>EFEITO!$N$1762*EFEITO!$AA$1521</f>
        <v>659838.71432593872</v>
      </c>
      <c r="M1762" s="64">
        <f>$J$1762-EFEITO!$K$1762*EFEITO!$Y$1762</f>
        <v>0</v>
      </c>
      <c r="N1762" s="64">
        <f ca="1">$K$1762-EFEITO!$M$1762*EFEITO!$Z$1762</f>
        <v>58226.85062761209</v>
      </c>
      <c r="O1762" s="64">
        <f>$L$1762-EFEITO!$O$1762*EFEITO!$AA$1762</f>
        <v>39590.322859556414</v>
      </c>
      <c r="P1762" s="19"/>
      <c r="Q1762" s="19"/>
      <c r="R1762" s="19"/>
      <c r="S1762" s="19"/>
      <c r="T1762" s="19"/>
      <c r="U1762" s="19"/>
      <c r="V1762" s="19"/>
      <c r="W1762" s="19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</row>
    <row r="1763" spans="1:36" ht="11.25" customHeight="1" x14ac:dyDescent="0.2">
      <c r="A1763" s="55" t="s">
        <v>27</v>
      </c>
      <c r="B1763" s="55" t="s">
        <v>44</v>
      </c>
      <c r="C1763" s="55" t="s">
        <v>23</v>
      </c>
      <c r="D1763" s="55" t="s">
        <v>45</v>
      </c>
      <c r="E1763" s="55" t="s">
        <v>53</v>
      </c>
      <c r="F1763" s="55" t="s">
        <v>54</v>
      </c>
      <c r="G1763" s="55" t="s">
        <v>25</v>
      </c>
      <c r="H1763" s="55" t="s">
        <v>25</v>
      </c>
      <c r="I1763" s="63">
        <v>44440</v>
      </c>
      <c r="J1763" s="64">
        <f>EFEITO!$J$1763*EFEITO!$Y$1521</f>
        <v>0</v>
      </c>
      <c r="K1763" s="64">
        <f ca="1">EFEITO!$L$1763*EFEITO!$Z$1521</f>
        <v>-24903.861442247893</v>
      </c>
      <c r="L1763" s="64">
        <f>EFEITO!$N$1763*EFEITO!$AA$1521</f>
        <v>-16932.942522580797</v>
      </c>
      <c r="M1763" s="64">
        <f>$J$1763-EFEITO!$K$1763*EFEITO!$Y$1763</f>
        <v>0</v>
      </c>
      <c r="N1763" s="64">
        <f ca="1">$K$1763-EFEITO!$M$1763*EFEITO!$Z$1763</f>
        <v>-1494.2316865348766</v>
      </c>
      <c r="O1763" s="64">
        <f>$L$1763-EFEITO!$O$1763*EFEITO!$AA$1763</f>
        <v>-1015.9765513548482</v>
      </c>
      <c r="P1763" s="19"/>
      <c r="Q1763" s="19"/>
      <c r="R1763" s="19"/>
      <c r="S1763" s="19"/>
      <c r="T1763" s="19"/>
      <c r="U1763" s="19"/>
      <c r="V1763" s="19"/>
      <c r="W1763" s="19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</row>
    <row r="1764" spans="1:36" ht="11.25" customHeight="1" x14ac:dyDescent="0.2">
      <c r="A1764" s="55" t="s">
        <v>28</v>
      </c>
      <c r="B1764" s="55" t="s">
        <v>44</v>
      </c>
      <c r="C1764" s="55" t="s">
        <v>23</v>
      </c>
      <c r="D1764" s="55" t="s">
        <v>45</v>
      </c>
      <c r="E1764" s="55" t="s">
        <v>53</v>
      </c>
      <c r="F1764" s="55" t="s">
        <v>54</v>
      </c>
      <c r="G1764" s="55" t="s">
        <v>25</v>
      </c>
      <c r="H1764" s="55" t="s">
        <v>25</v>
      </c>
      <c r="I1764" s="63">
        <v>44440</v>
      </c>
      <c r="J1764" s="64">
        <f>EFEITO!$J$1764*EFEITO!$Y$1521</f>
        <v>0</v>
      </c>
      <c r="K1764" s="64">
        <f ca="1">EFEITO!$L$1764*EFEITO!$Z$1521</f>
        <v>20612.059731680794</v>
      </c>
      <c r="L1764" s="64">
        <f>EFEITO!$N$1764*EFEITO!$AA$1521</f>
        <v>14014.807443333146</v>
      </c>
      <c r="M1764" s="64">
        <f>$J$1764-EFEITO!$K$1764*EFEITO!$Y$1764</f>
        <v>0</v>
      </c>
      <c r="N1764" s="64">
        <f ca="1">$K$1764-EFEITO!$M$1764*EFEITO!$Z$1764</f>
        <v>1236.7235839008499</v>
      </c>
      <c r="O1764" s="64">
        <f>$L$1764-EFEITO!$O$1764*EFEITO!$AA$1764</f>
        <v>840.88844659999086</v>
      </c>
      <c r="P1764" s="19"/>
      <c r="Q1764" s="19"/>
      <c r="R1764" s="19"/>
      <c r="S1764" s="19"/>
      <c r="T1764" s="19"/>
      <c r="U1764" s="19"/>
      <c r="V1764" s="19"/>
      <c r="W1764" s="19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</row>
    <row r="1765" spans="1:36" ht="11.25" customHeight="1" x14ac:dyDescent="0.2">
      <c r="A1765" s="55" t="s">
        <v>21</v>
      </c>
      <c r="B1765" s="55" t="s">
        <v>44</v>
      </c>
      <c r="C1765" s="55" t="s">
        <v>23</v>
      </c>
      <c r="D1765" s="55" t="s">
        <v>45</v>
      </c>
      <c r="E1765" s="55" t="s">
        <v>53</v>
      </c>
      <c r="F1765" s="55" t="s">
        <v>54</v>
      </c>
      <c r="G1765" s="55" t="s">
        <v>25</v>
      </c>
      <c r="H1765" s="55" t="s">
        <v>25</v>
      </c>
      <c r="I1765" s="63">
        <v>44470</v>
      </c>
      <c r="J1765" s="64">
        <f>EFEITO!$J$1765*EFEITO!$Y$1521</f>
        <v>0</v>
      </c>
      <c r="K1765" s="64">
        <f ca="1">EFEITO!$L$1765*EFEITO!$Z$1521</f>
        <v>1073685.0443034924</v>
      </c>
      <c r="L1765" s="64">
        <f>EFEITO!$N$1765*EFEITO!$AA$1521</f>
        <v>730033.25948895968</v>
      </c>
      <c r="M1765" s="64">
        <f>$J$1765-EFEITO!$K$1765*EFEITO!$Y$1765</f>
        <v>0</v>
      </c>
      <c r="N1765" s="64">
        <f ca="1">$K$1765-EFEITO!$M$1765*EFEITO!$Z$1765</f>
        <v>64421.10265820974</v>
      </c>
      <c r="O1765" s="64">
        <f>$L$1765-EFEITO!$O$1765*EFEITO!$AA$1765</f>
        <v>43801.995569337625</v>
      </c>
      <c r="P1765" s="19"/>
      <c r="Q1765" s="19"/>
      <c r="R1765" s="19"/>
      <c r="S1765" s="19"/>
      <c r="T1765" s="19"/>
      <c r="U1765" s="19"/>
      <c r="V1765" s="19"/>
      <c r="W1765" s="19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</row>
    <row r="1766" spans="1:36" ht="11.25" customHeight="1" x14ac:dyDescent="0.2">
      <c r="A1766" s="55" t="s">
        <v>27</v>
      </c>
      <c r="B1766" s="55" t="s">
        <v>44</v>
      </c>
      <c r="C1766" s="55" t="s">
        <v>23</v>
      </c>
      <c r="D1766" s="55" t="s">
        <v>45</v>
      </c>
      <c r="E1766" s="55" t="s">
        <v>53</v>
      </c>
      <c r="F1766" s="55" t="s">
        <v>54</v>
      </c>
      <c r="G1766" s="55" t="s">
        <v>25</v>
      </c>
      <c r="H1766" s="55" t="s">
        <v>25</v>
      </c>
      <c r="I1766" s="63">
        <v>44470</v>
      </c>
      <c r="J1766" s="64">
        <f>EFEITO!$J$1766*EFEITO!$Y$1521</f>
        <v>0</v>
      </c>
      <c r="K1766" s="64">
        <f ca="1">EFEITO!$L$1766*EFEITO!$Z$1521</f>
        <v>-57280.84267233494</v>
      </c>
      <c r="L1766" s="64">
        <f>EFEITO!$N$1766*EFEITO!$AA$1521</f>
        <v>-38947.101390879412</v>
      </c>
      <c r="M1766" s="64">
        <f>$J$1766-EFEITO!$K$1766*EFEITO!$Y$1766</f>
        <v>0</v>
      </c>
      <c r="N1766" s="64">
        <f ca="1">$K$1766-EFEITO!$M$1766*EFEITO!$Z$1766</f>
        <v>-3436.850560340099</v>
      </c>
      <c r="O1766" s="64">
        <f>$L$1766-EFEITO!$O$1766*EFEITO!$AA$1766</f>
        <v>-2336.8260834527682</v>
      </c>
      <c r="P1766" s="19"/>
      <c r="Q1766" s="19"/>
      <c r="R1766" s="19"/>
      <c r="S1766" s="19"/>
      <c r="T1766" s="19"/>
      <c r="U1766" s="19"/>
      <c r="V1766" s="19"/>
      <c r="W1766" s="19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</row>
    <row r="1767" spans="1:36" ht="11.25" customHeight="1" x14ac:dyDescent="0.2">
      <c r="A1767" s="55" t="s">
        <v>28</v>
      </c>
      <c r="B1767" s="55" t="s">
        <v>44</v>
      </c>
      <c r="C1767" s="55" t="s">
        <v>23</v>
      </c>
      <c r="D1767" s="55" t="s">
        <v>45</v>
      </c>
      <c r="E1767" s="55" t="s">
        <v>53</v>
      </c>
      <c r="F1767" s="55" t="s">
        <v>54</v>
      </c>
      <c r="G1767" s="55" t="s">
        <v>25</v>
      </c>
      <c r="H1767" s="55" t="s">
        <v>25</v>
      </c>
      <c r="I1767" s="63">
        <v>44470</v>
      </c>
      <c r="J1767" s="64">
        <f>EFEITO!$J$1767*EFEITO!$Y$1521</f>
        <v>0</v>
      </c>
      <c r="K1767" s="64">
        <f ca="1">EFEITO!$L$1767*EFEITO!$Z$1521</f>
        <v>28679.291829433096</v>
      </c>
      <c r="L1767" s="64">
        <f>EFEITO!$N$1767*EFEITO!$AA$1521</f>
        <v>19499.980003594086</v>
      </c>
      <c r="M1767" s="64">
        <f>$J$1767-EFEITO!$K$1767*EFEITO!$Y$1767</f>
        <v>0</v>
      </c>
      <c r="N1767" s="64">
        <f ca="1">$K$1767-EFEITO!$M$1767*EFEITO!$Z$1767</f>
        <v>1720.7575097659901</v>
      </c>
      <c r="O1767" s="64">
        <f>$L$1767-EFEITO!$O$1767*EFEITO!$AA$1767</f>
        <v>1169.998800215646</v>
      </c>
      <c r="P1767" s="19"/>
      <c r="Q1767" s="19"/>
      <c r="R1767" s="19"/>
      <c r="S1767" s="19"/>
      <c r="T1767" s="19"/>
      <c r="U1767" s="19"/>
      <c r="V1767" s="19"/>
      <c r="W1767" s="19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</row>
    <row r="1768" spans="1:36" ht="11.25" customHeight="1" x14ac:dyDescent="0.2">
      <c r="A1768" s="55" t="s">
        <v>21</v>
      </c>
      <c r="B1768" s="55" t="s">
        <v>44</v>
      </c>
      <c r="C1768" s="55" t="s">
        <v>23</v>
      </c>
      <c r="D1768" s="55" t="s">
        <v>45</v>
      </c>
      <c r="E1768" s="55" t="s">
        <v>53</v>
      </c>
      <c r="F1768" s="55" t="s">
        <v>54</v>
      </c>
      <c r="G1768" s="55" t="s">
        <v>25</v>
      </c>
      <c r="H1768" s="55" t="s">
        <v>25</v>
      </c>
      <c r="I1768" s="63">
        <v>44501</v>
      </c>
      <c r="J1768" s="64">
        <f>EFEITO!$J$1768*EFEITO!$Y$1521</f>
        <v>0</v>
      </c>
      <c r="K1768" s="64">
        <f ca="1">EFEITO!$L$1768*EFEITO!$Z$1521</f>
        <v>1114016.2122518343</v>
      </c>
      <c r="L1768" s="64">
        <f>EFEITO!$N$1768*EFEITO!$AA$1521</f>
        <v>757455.72770022624</v>
      </c>
      <c r="M1768" s="64">
        <f>$J$1768-EFEITO!$K$1768*EFEITO!$Y$1768</f>
        <v>0</v>
      </c>
      <c r="N1768" s="64">
        <f ca="1">$K$1768-EFEITO!$M$1768*EFEITO!$Z$1768</f>
        <v>66840.972735110088</v>
      </c>
      <c r="O1768" s="64">
        <f>$L$1768-EFEITO!$O$1768*EFEITO!$AA$1768</f>
        <v>45447.343662013649</v>
      </c>
      <c r="P1768" s="19"/>
      <c r="Q1768" s="19"/>
      <c r="R1768" s="19"/>
      <c r="S1768" s="19"/>
      <c r="T1768" s="19"/>
      <c r="U1768" s="19"/>
      <c r="V1768" s="19"/>
      <c r="W1768" s="19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</row>
    <row r="1769" spans="1:36" ht="11.25" customHeight="1" x14ac:dyDescent="0.2">
      <c r="A1769" s="55" t="s">
        <v>27</v>
      </c>
      <c r="B1769" s="55" t="s">
        <v>44</v>
      </c>
      <c r="C1769" s="55" t="s">
        <v>23</v>
      </c>
      <c r="D1769" s="55" t="s">
        <v>45</v>
      </c>
      <c r="E1769" s="55" t="s">
        <v>53</v>
      </c>
      <c r="F1769" s="55" t="s">
        <v>54</v>
      </c>
      <c r="G1769" s="55" t="s">
        <v>25</v>
      </c>
      <c r="H1769" s="55" t="s">
        <v>25</v>
      </c>
      <c r="I1769" s="63">
        <v>44501</v>
      </c>
      <c r="J1769" s="64">
        <f>EFEITO!$J$1769*EFEITO!$Y$1521</f>
        <v>0</v>
      </c>
      <c r="K1769" s="64">
        <f ca="1">EFEITO!$L$1769*EFEITO!$Z$1521</f>
        <v>-18781.223837866793</v>
      </c>
      <c r="L1769" s="64">
        <f>EFEITO!$N$1769*EFEITO!$AA$1521</f>
        <v>-12769.962782190025</v>
      </c>
      <c r="M1769" s="64">
        <f>$J$1769-EFEITO!$K$1769*EFEITO!$Y$1769</f>
        <v>0</v>
      </c>
      <c r="N1769" s="64">
        <f ca="1">$K$1769-EFEITO!$M$1769*EFEITO!$Z$1769</f>
        <v>-1126.8734302720077</v>
      </c>
      <c r="O1769" s="64">
        <f>$L$1769-EFEITO!$O$1769*EFEITO!$AA$1769</f>
        <v>-766.19776693140375</v>
      </c>
      <c r="P1769" s="19"/>
      <c r="Q1769" s="19"/>
      <c r="R1769" s="19"/>
      <c r="S1769" s="19"/>
      <c r="T1769" s="19"/>
      <c r="U1769" s="19"/>
      <c r="V1769" s="19"/>
      <c r="W1769" s="19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</row>
    <row r="1770" spans="1:36" ht="11.25" customHeight="1" x14ac:dyDescent="0.2">
      <c r="A1770" s="55" t="s">
        <v>28</v>
      </c>
      <c r="B1770" s="55" t="s">
        <v>44</v>
      </c>
      <c r="C1770" s="55" t="s">
        <v>23</v>
      </c>
      <c r="D1770" s="55" t="s">
        <v>45</v>
      </c>
      <c r="E1770" s="55" t="s">
        <v>53</v>
      </c>
      <c r="F1770" s="55" t="s">
        <v>54</v>
      </c>
      <c r="G1770" s="55" t="s">
        <v>25</v>
      </c>
      <c r="H1770" s="55" t="s">
        <v>25</v>
      </c>
      <c r="I1770" s="63">
        <v>44501</v>
      </c>
      <c r="J1770" s="64">
        <f>EFEITO!$J$1770*EFEITO!$Y$1521</f>
        <v>0</v>
      </c>
      <c r="K1770" s="64">
        <f ca="1">EFEITO!$L$1770*EFEITO!$Z$1521</f>
        <v>39964.216227513352</v>
      </c>
      <c r="L1770" s="64">
        <f>EFEITO!$N$1770*EFEITO!$AA$1521</f>
        <v>27172.965843460479</v>
      </c>
      <c r="M1770" s="64">
        <f>$J$1770-EFEITO!$K$1770*EFEITO!$Y$1770</f>
        <v>0</v>
      </c>
      <c r="N1770" s="64">
        <f ca="1">$K$1770-EFEITO!$M$1770*EFEITO!$Z$1770</f>
        <v>2397.8529736508062</v>
      </c>
      <c r="O1770" s="64">
        <f>$L$1770-EFEITO!$O$1770*EFEITO!$AA$1770</f>
        <v>1630.3779506076316</v>
      </c>
      <c r="P1770" s="19"/>
      <c r="Q1770" s="19"/>
      <c r="R1770" s="19"/>
      <c r="S1770" s="19"/>
      <c r="T1770" s="19"/>
      <c r="U1770" s="19"/>
      <c r="V1770" s="19"/>
      <c r="W1770" s="19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</row>
    <row r="1771" spans="1:36" ht="11.25" customHeight="1" x14ac:dyDescent="0.2">
      <c r="A1771" s="55" t="s">
        <v>21</v>
      </c>
      <c r="B1771" s="55" t="s">
        <v>44</v>
      </c>
      <c r="C1771" s="55" t="s">
        <v>23</v>
      </c>
      <c r="D1771" s="55" t="s">
        <v>45</v>
      </c>
      <c r="E1771" s="55" t="s">
        <v>53</v>
      </c>
      <c r="F1771" s="55" t="s">
        <v>54</v>
      </c>
      <c r="G1771" s="55" t="s">
        <v>25</v>
      </c>
      <c r="H1771" s="55" t="s">
        <v>25</v>
      </c>
      <c r="I1771" s="63">
        <v>44531</v>
      </c>
      <c r="J1771" s="64">
        <f>EFEITO!$J$1771*EFEITO!$Y$1521</f>
        <v>0</v>
      </c>
      <c r="K1771" s="64">
        <f ca="1">EFEITO!$L$1771*EFEITO!$Z$1521</f>
        <v>1237908.9556404345</v>
      </c>
      <c r="L1771" s="64">
        <f>EFEITO!$N$1771*EFEITO!$AA$1521</f>
        <v>841694.4192633389</v>
      </c>
      <c r="M1771" s="64">
        <f>$J$1771-EFEITO!$K$1771*EFEITO!$Y$1771</f>
        <v>0</v>
      </c>
      <c r="N1771" s="64">
        <f ca="1">$K$1771-EFEITO!$M$1771*EFEITO!$Z$1771</f>
        <v>74274.537338426337</v>
      </c>
      <c r="O1771" s="64">
        <f>$L$1771-EFEITO!$O$1771*EFEITO!$AA$1771</f>
        <v>50501.665155800409</v>
      </c>
      <c r="P1771" s="19"/>
      <c r="Q1771" s="19"/>
      <c r="R1771" s="19"/>
      <c r="S1771" s="19"/>
      <c r="T1771" s="19"/>
      <c r="U1771" s="19"/>
      <c r="V1771" s="19"/>
      <c r="W1771" s="19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</row>
    <row r="1772" spans="1:36" ht="11.25" customHeight="1" x14ac:dyDescent="0.2">
      <c r="A1772" s="55" t="s">
        <v>27</v>
      </c>
      <c r="B1772" s="55" t="s">
        <v>44</v>
      </c>
      <c r="C1772" s="55" t="s">
        <v>23</v>
      </c>
      <c r="D1772" s="55" t="s">
        <v>45</v>
      </c>
      <c r="E1772" s="55" t="s">
        <v>53</v>
      </c>
      <c r="F1772" s="55" t="s">
        <v>54</v>
      </c>
      <c r="G1772" s="55" t="s">
        <v>25</v>
      </c>
      <c r="H1772" s="55" t="s">
        <v>25</v>
      </c>
      <c r="I1772" s="63">
        <v>44531</v>
      </c>
      <c r="J1772" s="64">
        <f>EFEITO!$J$1772*EFEITO!$Y$1521</f>
        <v>0</v>
      </c>
      <c r="K1772" s="64">
        <f ca="1">EFEITO!$L$1772*EFEITO!$Z$1521</f>
        <v>-38414.389037307737</v>
      </c>
      <c r="L1772" s="64">
        <f>EFEITO!$N$1772*EFEITO!$AA$1521</f>
        <v>-26119.188107323356</v>
      </c>
      <c r="M1772" s="64">
        <f>$J$1772-EFEITO!$K$1772*EFEITO!$Y$1772</f>
        <v>0</v>
      </c>
      <c r="N1772" s="64">
        <f ca="1">$K$1772-EFEITO!$M$1772*EFEITO!$Z$1772</f>
        <v>-2304.8633422384664</v>
      </c>
      <c r="O1772" s="64">
        <f>$L$1772-EFEITO!$O$1772*EFEITO!$AA$1772</f>
        <v>-1567.1512864394062</v>
      </c>
      <c r="P1772" s="19"/>
      <c r="Q1772" s="19"/>
      <c r="R1772" s="19"/>
      <c r="S1772" s="19"/>
      <c r="T1772" s="19"/>
      <c r="U1772" s="19"/>
      <c r="V1772" s="19"/>
      <c r="W1772" s="19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</row>
    <row r="1773" spans="1:36" ht="11.25" customHeight="1" x14ac:dyDescent="0.2">
      <c r="A1773" s="55" t="s">
        <v>28</v>
      </c>
      <c r="B1773" s="55" t="s">
        <v>44</v>
      </c>
      <c r="C1773" s="55" t="s">
        <v>23</v>
      </c>
      <c r="D1773" s="55" t="s">
        <v>45</v>
      </c>
      <c r="E1773" s="55" t="s">
        <v>53</v>
      </c>
      <c r="F1773" s="55" t="s">
        <v>54</v>
      </c>
      <c r="G1773" s="55" t="s">
        <v>25</v>
      </c>
      <c r="H1773" s="55" t="s">
        <v>25</v>
      </c>
      <c r="I1773" s="63">
        <v>44531</v>
      </c>
      <c r="J1773" s="64">
        <f>EFEITO!$J$1773*EFEITO!$Y$1521</f>
        <v>0</v>
      </c>
      <c r="K1773" s="64">
        <f ca="1">EFEITO!$L$1773*EFEITO!$Z$1521</f>
        <v>44121.932566815536</v>
      </c>
      <c r="L1773" s="64">
        <f>EFEITO!$N$1773*EFEITO!$AA$1521</f>
        <v>29999.931933111366</v>
      </c>
      <c r="M1773" s="64">
        <f>$J$1773-EFEITO!$K$1773*EFEITO!$Y$1773</f>
        <v>0</v>
      </c>
      <c r="N1773" s="64">
        <f ca="1">$K$1773-EFEITO!$M$1773*EFEITO!$Z$1773</f>
        <v>2647.3159540089327</v>
      </c>
      <c r="O1773" s="64">
        <f>$L$1773-EFEITO!$O$1773*EFEITO!$AA$1773</f>
        <v>1799.9959159866885</v>
      </c>
      <c r="P1773" s="19"/>
      <c r="Q1773" s="19"/>
      <c r="R1773" s="19"/>
      <c r="S1773" s="19"/>
      <c r="T1773" s="19"/>
      <c r="U1773" s="19"/>
      <c r="V1773" s="19"/>
      <c r="W1773" s="19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</row>
    <row r="1774" spans="1:36" ht="11.25" customHeight="1" x14ac:dyDescent="0.2">
      <c r="A1774" s="55" t="s">
        <v>21</v>
      </c>
      <c r="B1774" s="55" t="s">
        <v>44</v>
      </c>
      <c r="C1774" s="55" t="s">
        <v>23</v>
      </c>
      <c r="D1774" s="55" t="s">
        <v>45</v>
      </c>
      <c r="E1774" s="55" t="s">
        <v>53</v>
      </c>
      <c r="F1774" s="55" t="s">
        <v>54</v>
      </c>
      <c r="G1774" s="55" t="s">
        <v>25</v>
      </c>
      <c r="H1774" s="55" t="s">
        <v>25</v>
      </c>
      <c r="I1774" s="63">
        <v>44562</v>
      </c>
      <c r="J1774" s="64">
        <f>EFEITO!$J$1774*EFEITO!$Y$1521</f>
        <v>0</v>
      </c>
      <c r="K1774" s="64">
        <f ca="1">EFEITO!$L$1774*EFEITO!$Z$1521</f>
        <v>814586.10432581522</v>
      </c>
      <c r="L1774" s="64">
        <f>EFEITO!$N$1774*EFEITO!$AA$1521</f>
        <v>553863.49286550679</v>
      </c>
      <c r="M1774" s="64">
        <f>$J$1774-EFEITO!$K$1774*EFEITO!$Y$1774</f>
        <v>0</v>
      </c>
      <c r="N1774" s="64">
        <f ca="1">$K$1774-EFEITO!$M$1774*EFEITO!$Z$1774</f>
        <v>48875.166259548976</v>
      </c>
      <c r="O1774" s="64">
        <f>$L$1774-EFEITO!$O$1774*EFEITO!$AA$1774</f>
        <v>33231.80957193044</v>
      </c>
      <c r="P1774" s="19"/>
      <c r="Q1774" s="19"/>
      <c r="R1774" s="19"/>
      <c r="S1774" s="19"/>
      <c r="T1774" s="19"/>
      <c r="U1774" s="19"/>
      <c r="V1774" s="19"/>
      <c r="W1774" s="19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</row>
    <row r="1775" spans="1:36" ht="11.25" customHeight="1" x14ac:dyDescent="0.2">
      <c r="A1775" s="55" t="s">
        <v>27</v>
      </c>
      <c r="B1775" s="55" t="s">
        <v>44</v>
      </c>
      <c r="C1775" s="55" t="s">
        <v>23</v>
      </c>
      <c r="D1775" s="55" t="s">
        <v>45</v>
      </c>
      <c r="E1775" s="55" t="s">
        <v>53</v>
      </c>
      <c r="F1775" s="55" t="s">
        <v>54</v>
      </c>
      <c r="G1775" s="55" t="s">
        <v>25</v>
      </c>
      <c r="H1775" s="55" t="s">
        <v>25</v>
      </c>
      <c r="I1775" s="63">
        <v>44562</v>
      </c>
      <c r="J1775" s="64">
        <f>EFEITO!$J$1775*EFEITO!$Y$1521</f>
        <v>0</v>
      </c>
      <c r="K1775" s="64">
        <f ca="1">EFEITO!$L$1775*EFEITO!$Z$1521</f>
        <v>-9729.0348373653196</v>
      </c>
      <c r="L1775" s="64">
        <f>EFEITO!$N$1775*EFEITO!$AA$1521</f>
        <v>-6615.0861015400496</v>
      </c>
      <c r="M1775" s="64">
        <f>$J$1775-EFEITO!$K$1775*EFEITO!$Y$1775</f>
        <v>0</v>
      </c>
      <c r="N1775" s="64">
        <f ca="1">$K$1775-EFEITO!$M$1775*EFEITO!$Z$1775</f>
        <v>-583.74209024191987</v>
      </c>
      <c r="O1775" s="64">
        <f>$L$1775-EFEITO!$O$1775*EFEITO!$AA$1775</f>
        <v>-396.90516609240331</v>
      </c>
      <c r="P1775" s="19"/>
      <c r="Q1775" s="19"/>
      <c r="R1775" s="19"/>
      <c r="S1775" s="19"/>
      <c r="T1775" s="19"/>
      <c r="U1775" s="19"/>
      <c r="V1775" s="19"/>
      <c r="W1775" s="19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</row>
    <row r="1776" spans="1:36" ht="11.25" customHeight="1" x14ac:dyDescent="0.2">
      <c r="A1776" s="55" t="s">
        <v>28</v>
      </c>
      <c r="B1776" s="55" t="s">
        <v>44</v>
      </c>
      <c r="C1776" s="55" t="s">
        <v>23</v>
      </c>
      <c r="D1776" s="55" t="s">
        <v>45</v>
      </c>
      <c r="E1776" s="55" t="s">
        <v>53</v>
      </c>
      <c r="F1776" s="55" t="s">
        <v>54</v>
      </c>
      <c r="G1776" s="55" t="s">
        <v>25</v>
      </c>
      <c r="H1776" s="55" t="s">
        <v>25</v>
      </c>
      <c r="I1776" s="63">
        <v>44562</v>
      </c>
      <c r="J1776" s="64">
        <f>EFEITO!$J$1776*EFEITO!$Y$1521</f>
        <v>0</v>
      </c>
      <c r="K1776" s="64">
        <f ca="1">EFEITO!$L$1776*EFEITO!$Z$1521</f>
        <v>29087.253703707196</v>
      </c>
      <c r="L1776" s="64">
        <f>EFEITO!$N$1776*EFEITO!$AA$1521</f>
        <v>19777.3665038566</v>
      </c>
      <c r="M1776" s="64">
        <f>$J$1776-EFEITO!$K$1776*EFEITO!$Y$1776</f>
        <v>0</v>
      </c>
      <c r="N1776" s="64">
        <f ca="1">$K$1776-EFEITO!$M$1776*EFEITO!$Z$1776</f>
        <v>1745.2352222224363</v>
      </c>
      <c r="O1776" s="64">
        <f>$L$1776-EFEITO!$O$1776*EFEITO!$AA$1776</f>
        <v>1186.6419902313974</v>
      </c>
      <c r="P1776" s="19"/>
      <c r="Q1776" s="19"/>
      <c r="R1776" s="19"/>
      <c r="S1776" s="19"/>
      <c r="T1776" s="19"/>
      <c r="U1776" s="19"/>
      <c r="V1776" s="19"/>
      <c r="W1776" s="19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</row>
    <row r="1777" spans="1:36" ht="11.25" customHeight="1" x14ac:dyDescent="0.2">
      <c r="A1777" s="55" t="s">
        <v>21</v>
      </c>
      <c r="B1777" s="55" t="s">
        <v>44</v>
      </c>
      <c r="C1777" s="55" t="s">
        <v>23</v>
      </c>
      <c r="D1777" s="55" t="s">
        <v>45</v>
      </c>
      <c r="E1777" s="55" t="s">
        <v>53</v>
      </c>
      <c r="F1777" s="55" t="s">
        <v>54</v>
      </c>
      <c r="G1777" s="55" t="s">
        <v>25</v>
      </c>
      <c r="H1777" s="55" t="s">
        <v>25</v>
      </c>
      <c r="I1777" s="63">
        <v>44593</v>
      </c>
      <c r="J1777" s="64">
        <f>EFEITO!$J$1777*EFEITO!$Y$1521</f>
        <v>0</v>
      </c>
      <c r="K1777" s="64">
        <f ca="1">EFEITO!$L$1777*EFEITO!$Z$1521</f>
        <v>667559.71168368834</v>
      </c>
      <c r="L1777" s="64">
        <f>EFEITO!$N$1777*EFEITO!$AA$1521</f>
        <v>453895.48341906432</v>
      </c>
      <c r="M1777" s="64">
        <f>$J$1777-EFEITO!$K$1777*EFEITO!$Y$1777</f>
        <v>0</v>
      </c>
      <c r="N1777" s="64">
        <f ca="1">$K$1777-EFEITO!$M$1777*EFEITO!$Z$1777</f>
        <v>40053.58270102134</v>
      </c>
      <c r="O1777" s="64">
        <f>$L$1777-EFEITO!$O$1777*EFEITO!$AA$1777</f>
        <v>27233.729005143919</v>
      </c>
      <c r="P1777" s="19"/>
      <c r="Q1777" s="19"/>
      <c r="R1777" s="19"/>
      <c r="S1777" s="19"/>
      <c r="T1777" s="19"/>
      <c r="U1777" s="19"/>
      <c r="V1777" s="19"/>
      <c r="W1777" s="19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</row>
    <row r="1778" spans="1:36" ht="11.25" customHeight="1" x14ac:dyDescent="0.2">
      <c r="A1778" s="55" t="s">
        <v>27</v>
      </c>
      <c r="B1778" s="55" t="s">
        <v>44</v>
      </c>
      <c r="C1778" s="55" t="s">
        <v>23</v>
      </c>
      <c r="D1778" s="55" t="s">
        <v>45</v>
      </c>
      <c r="E1778" s="55" t="s">
        <v>53</v>
      </c>
      <c r="F1778" s="55" t="s">
        <v>54</v>
      </c>
      <c r="G1778" s="55" t="s">
        <v>25</v>
      </c>
      <c r="H1778" s="55" t="s">
        <v>25</v>
      </c>
      <c r="I1778" s="63">
        <v>44593</v>
      </c>
      <c r="J1778" s="64">
        <f>EFEITO!$J$1778*EFEITO!$Y$1521</f>
        <v>0</v>
      </c>
      <c r="K1778" s="64">
        <f ca="1">EFEITO!$L$1778*EFEITO!$Z$1521</f>
        <v>-38201.849459451645</v>
      </c>
      <c r="L1778" s="64">
        <f>EFEITO!$N$1778*EFEITO!$AA$1521</f>
        <v>-25974.675559983792</v>
      </c>
      <c r="M1778" s="64">
        <f>$J$1778-EFEITO!$K$1778*EFEITO!$Y$1778</f>
        <v>0</v>
      </c>
      <c r="N1778" s="64">
        <f ca="1">$K$1778-EFEITO!$M$1778*EFEITO!$Z$1778</f>
        <v>-2292.1109675670959</v>
      </c>
      <c r="O1778" s="64">
        <f>$L$1778-EFEITO!$O$1778*EFEITO!$AA$1778</f>
        <v>-1558.4805335990277</v>
      </c>
      <c r="P1778" s="19"/>
      <c r="Q1778" s="19"/>
      <c r="R1778" s="19"/>
      <c r="S1778" s="19"/>
      <c r="T1778" s="19"/>
      <c r="U1778" s="19"/>
      <c r="V1778" s="19"/>
      <c r="W1778" s="19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</row>
    <row r="1779" spans="1:36" ht="11.25" customHeight="1" x14ac:dyDescent="0.2">
      <c r="A1779" s="55" t="s">
        <v>28</v>
      </c>
      <c r="B1779" s="55" t="s">
        <v>44</v>
      </c>
      <c r="C1779" s="55" t="s">
        <v>23</v>
      </c>
      <c r="D1779" s="55" t="s">
        <v>45</v>
      </c>
      <c r="E1779" s="55" t="s">
        <v>53</v>
      </c>
      <c r="F1779" s="55" t="s">
        <v>54</v>
      </c>
      <c r="G1779" s="55" t="s">
        <v>25</v>
      </c>
      <c r="H1779" s="55" t="s">
        <v>25</v>
      </c>
      <c r="I1779" s="63">
        <v>44593</v>
      </c>
      <c r="J1779" s="64">
        <f>EFEITO!$J$1779*EFEITO!$Y$1521</f>
        <v>0</v>
      </c>
      <c r="K1779" s="64">
        <f ca="1">EFEITO!$L$1779*EFEITO!$Z$1521</f>
        <v>21967.534455558281</v>
      </c>
      <c r="L1779" s="64">
        <f>EFEITO!$N$1779*EFEITO!$AA$1521</f>
        <v>14936.438638698359</v>
      </c>
      <c r="M1779" s="64">
        <f>$J$1779-EFEITO!$K$1779*EFEITO!$Y$1779</f>
        <v>0</v>
      </c>
      <c r="N1779" s="64">
        <f ca="1">$K$1779-EFEITO!$M$1779*EFEITO!$Z$1779</f>
        <v>1318.0520673334977</v>
      </c>
      <c r="O1779" s="64">
        <f>$L$1779-EFEITO!$O$1779*EFEITO!$AA$1779</f>
        <v>896.18631832190295</v>
      </c>
      <c r="P1779" s="19"/>
      <c r="Q1779" s="19"/>
      <c r="R1779" s="19"/>
      <c r="S1779" s="19"/>
      <c r="T1779" s="19"/>
      <c r="U1779" s="19"/>
      <c r="V1779" s="19"/>
      <c r="W1779" s="19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</row>
    <row r="1780" spans="1:36" ht="11.25" customHeight="1" x14ac:dyDescent="0.2">
      <c r="A1780" s="55" t="s">
        <v>28</v>
      </c>
      <c r="B1780" s="55" t="s">
        <v>44</v>
      </c>
      <c r="C1780" s="55" t="s">
        <v>23</v>
      </c>
      <c r="D1780" s="55" t="s">
        <v>45</v>
      </c>
      <c r="E1780" s="55" t="s">
        <v>53</v>
      </c>
      <c r="F1780" s="55" t="s">
        <v>54</v>
      </c>
      <c r="G1780" s="55" t="s">
        <v>25</v>
      </c>
      <c r="H1780" s="55" t="s">
        <v>25</v>
      </c>
      <c r="I1780" s="63">
        <v>44593</v>
      </c>
      <c r="J1780" s="64">
        <f>EFEITO!$J$1780*EFEITO!$Y$1521</f>
        <v>0</v>
      </c>
      <c r="K1780" s="64">
        <f ca="1">EFEITO!$L$1780*EFEITO!$Z$1521</f>
        <v>42.793203595185041</v>
      </c>
      <c r="L1780" s="64">
        <f>EFEITO!$N$1780*EFEITO!$AA$1521</f>
        <v>29.096486041522102</v>
      </c>
      <c r="M1780" s="64">
        <f>$J$1780-EFEITO!$K$1780*EFEITO!$Y$1780</f>
        <v>0</v>
      </c>
      <c r="N1780" s="64">
        <f ca="1">$K$1780-EFEITO!$M$1780*EFEITO!$Z$1780</f>
        <v>2.5675922157111017</v>
      </c>
      <c r="O1780" s="64">
        <f>$L$1780-EFEITO!$O$1780*EFEITO!$AA$1780</f>
        <v>1.7457891624913309</v>
      </c>
      <c r="P1780" s="19"/>
      <c r="Q1780" s="19"/>
      <c r="R1780" s="19"/>
      <c r="S1780" s="19"/>
      <c r="T1780" s="19"/>
      <c r="U1780" s="19"/>
      <c r="V1780" s="19"/>
      <c r="W1780" s="19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</row>
    <row r="1781" spans="1:36" ht="11.25" customHeight="1" x14ac:dyDescent="0.2">
      <c r="A1781" s="55" t="s">
        <v>21</v>
      </c>
      <c r="B1781" s="55" t="s">
        <v>44</v>
      </c>
      <c r="C1781" s="55" t="s">
        <v>23</v>
      </c>
      <c r="D1781" s="55" t="s">
        <v>45</v>
      </c>
      <c r="E1781" s="55" t="s">
        <v>53</v>
      </c>
      <c r="F1781" s="55" t="s">
        <v>54</v>
      </c>
      <c r="G1781" s="55" t="s">
        <v>25</v>
      </c>
      <c r="H1781" s="55" t="s">
        <v>25</v>
      </c>
      <c r="I1781" s="63">
        <v>44621</v>
      </c>
      <c r="J1781" s="64">
        <f>EFEITO!$J$1781*EFEITO!$Y$1521</f>
        <v>0</v>
      </c>
      <c r="K1781" s="64">
        <f ca="1">EFEITO!$L$1781*EFEITO!$Z$1521</f>
        <v>721509.10345613805</v>
      </c>
      <c r="L1781" s="64">
        <f>EFEITO!$N$1781*EFEITO!$AA$1521</f>
        <v>490577.42337161116</v>
      </c>
      <c r="M1781" s="64">
        <f>$J$1781-EFEITO!$K$1781*EFEITO!$Y$1781</f>
        <v>0</v>
      </c>
      <c r="N1781" s="64">
        <f ca="1">$K$1781-EFEITO!$M$1781*EFEITO!$Z$1781</f>
        <v>43290.546207368374</v>
      </c>
      <c r="O1781" s="64">
        <f>$L$1781-EFEITO!$O$1781*EFEITO!$AA$1781</f>
        <v>29434.645402296679</v>
      </c>
      <c r="P1781" s="19"/>
      <c r="Q1781" s="19"/>
      <c r="R1781" s="19"/>
      <c r="S1781" s="19"/>
      <c r="T1781" s="19"/>
      <c r="U1781" s="19"/>
      <c r="V1781" s="19"/>
      <c r="W1781" s="19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</row>
    <row r="1782" spans="1:36" ht="11.25" customHeight="1" x14ac:dyDescent="0.2">
      <c r="A1782" s="55" t="s">
        <v>27</v>
      </c>
      <c r="B1782" s="55" t="s">
        <v>44</v>
      </c>
      <c r="C1782" s="55" t="s">
        <v>23</v>
      </c>
      <c r="D1782" s="55" t="s">
        <v>45</v>
      </c>
      <c r="E1782" s="55" t="s">
        <v>53</v>
      </c>
      <c r="F1782" s="55" t="s">
        <v>54</v>
      </c>
      <c r="G1782" s="55" t="s">
        <v>25</v>
      </c>
      <c r="H1782" s="55" t="s">
        <v>25</v>
      </c>
      <c r="I1782" s="63">
        <v>44621</v>
      </c>
      <c r="J1782" s="64">
        <f>EFEITO!$J$1782*EFEITO!$Y$1521</f>
        <v>0</v>
      </c>
      <c r="K1782" s="64">
        <f ca="1">EFEITO!$L$1782*EFEITO!$Z$1521</f>
        <v>-41638.500318174971</v>
      </c>
      <c r="L1782" s="64">
        <f>EFEITO!$N$1782*EFEITO!$AA$1521</f>
        <v>-28311.36585983503</v>
      </c>
      <c r="M1782" s="64">
        <f>$J$1782-EFEITO!$K$1782*EFEITO!$Y$1782</f>
        <v>0</v>
      </c>
      <c r="N1782" s="64">
        <f ca="1">$K$1782-EFEITO!$M$1782*EFEITO!$Z$1782</f>
        <v>-2498.3100190905025</v>
      </c>
      <c r="O1782" s="64">
        <f>$L$1782-EFEITO!$O$1782*EFEITO!$AA$1782</f>
        <v>-1698.6819515901043</v>
      </c>
      <c r="P1782" s="19"/>
      <c r="Q1782" s="19"/>
      <c r="R1782" s="19"/>
      <c r="S1782" s="19"/>
      <c r="T1782" s="19"/>
      <c r="U1782" s="19"/>
      <c r="V1782" s="19"/>
      <c r="W1782" s="19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</row>
    <row r="1783" spans="1:36" ht="11.25" customHeight="1" x14ac:dyDescent="0.2">
      <c r="A1783" s="55" t="s">
        <v>28</v>
      </c>
      <c r="B1783" s="55" t="s">
        <v>44</v>
      </c>
      <c r="C1783" s="55" t="s">
        <v>23</v>
      </c>
      <c r="D1783" s="55" t="s">
        <v>45</v>
      </c>
      <c r="E1783" s="55" t="s">
        <v>53</v>
      </c>
      <c r="F1783" s="55" t="s">
        <v>54</v>
      </c>
      <c r="G1783" s="55" t="s">
        <v>25</v>
      </c>
      <c r="H1783" s="55" t="s">
        <v>25</v>
      </c>
      <c r="I1783" s="63">
        <v>44621</v>
      </c>
      <c r="J1783" s="64">
        <f>EFEITO!$J$1783*EFEITO!$Y$1521</f>
        <v>0</v>
      </c>
      <c r="K1783" s="64">
        <f ca="1">EFEITO!$L$1783*EFEITO!$Z$1521</f>
        <v>35939.5154293862</v>
      </c>
      <c r="L1783" s="64">
        <f>EFEITO!$N$1783*EFEITO!$AA$1521</f>
        <v>24436.441331255326</v>
      </c>
      <c r="M1783" s="64">
        <f>$J$1783-EFEITO!$K$1783*EFEITO!$Y$1783</f>
        <v>0</v>
      </c>
      <c r="N1783" s="64">
        <f ca="1">$K$1783-EFEITO!$M$1783*EFEITO!$Z$1783</f>
        <v>2156.3709257631708</v>
      </c>
      <c r="O1783" s="64">
        <f>$L$1783-EFEITO!$O$1783*EFEITO!$AA$1783</f>
        <v>1466.1864798753231</v>
      </c>
      <c r="P1783" s="19"/>
      <c r="Q1783" s="19"/>
      <c r="R1783" s="19"/>
      <c r="S1783" s="19"/>
      <c r="T1783" s="19"/>
      <c r="U1783" s="19"/>
      <c r="V1783" s="19"/>
      <c r="W1783" s="19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</row>
    <row r="1784" spans="1:36" ht="11.25" customHeight="1" x14ac:dyDescent="0.2">
      <c r="A1784" s="55" t="s">
        <v>21</v>
      </c>
      <c r="B1784" s="55" t="s">
        <v>44</v>
      </c>
      <c r="C1784" s="55" t="s">
        <v>23</v>
      </c>
      <c r="D1784" s="55" t="s">
        <v>45</v>
      </c>
      <c r="E1784" s="55" t="s">
        <v>53</v>
      </c>
      <c r="F1784" s="55" t="s">
        <v>54</v>
      </c>
      <c r="G1784" s="55" t="s">
        <v>25</v>
      </c>
      <c r="H1784" s="55" t="s">
        <v>25</v>
      </c>
      <c r="I1784" s="63">
        <v>44652</v>
      </c>
      <c r="J1784" s="64">
        <f>EFEITO!$J$1784*EFEITO!$Y$1521</f>
        <v>0</v>
      </c>
      <c r="K1784" s="64">
        <f ca="1">EFEITO!$L$1784*EFEITO!$Z$1521</f>
        <v>731186.42983915913</v>
      </c>
      <c r="L1784" s="64">
        <f>EFEITO!$N$1784*EFEITO!$AA$1521</f>
        <v>497157.35121918441</v>
      </c>
      <c r="M1784" s="64">
        <f>$J$1784-EFEITO!$K$1784*EFEITO!$Y$1784</f>
        <v>0</v>
      </c>
      <c r="N1784" s="64">
        <f ca="1">$K$1784-EFEITO!$M$1784*EFEITO!$Z$1784</f>
        <v>43871.185790349613</v>
      </c>
      <c r="O1784" s="64">
        <f>$L$1784-EFEITO!$O$1784*EFEITO!$AA$1784</f>
        <v>29829.441073151131</v>
      </c>
      <c r="P1784" s="19"/>
      <c r="Q1784" s="19"/>
      <c r="R1784" s="19"/>
      <c r="S1784" s="19"/>
      <c r="T1784" s="19"/>
      <c r="U1784" s="19"/>
      <c r="V1784" s="19"/>
      <c r="W1784" s="19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</row>
    <row r="1785" spans="1:36" ht="11.25" customHeight="1" x14ac:dyDescent="0.2">
      <c r="A1785" s="55" t="s">
        <v>27</v>
      </c>
      <c r="B1785" s="55" t="s">
        <v>44</v>
      </c>
      <c r="C1785" s="55" t="s">
        <v>23</v>
      </c>
      <c r="D1785" s="55" t="s">
        <v>45</v>
      </c>
      <c r="E1785" s="55" t="s">
        <v>53</v>
      </c>
      <c r="F1785" s="55" t="s">
        <v>54</v>
      </c>
      <c r="G1785" s="55" t="s">
        <v>25</v>
      </c>
      <c r="H1785" s="55" t="s">
        <v>25</v>
      </c>
      <c r="I1785" s="63">
        <v>44652</v>
      </c>
      <c r="J1785" s="64">
        <f>EFEITO!$J$1785*EFEITO!$Y$1521</f>
        <v>0</v>
      </c>
      <c r="K1785" s="64">
        <f ca="1">EFEITO!$L$1785*EFEITO!$Z$1521</f>
        <v>-19749.063459177898</v>
      </c>
      <c r="L1785" s="64">
        <f>EFEITO!$N$1785*EFEITO!$AA$1521</f>
        <v>-13428.028308162451</v>
      </c>
      <c r="M1785" s="64">
        <f>$J$1785-EFEITO!$K$1785*EFEITO!$Y$1785</f>
        <v>0</v>
      </c>
      <c r="N1785" s="64">
        <f ca="1">$K$1785-EFEITO!$M$1785*EFEITO!$Z$1785</f>
        <v>-1184.9438075506769</v>
      </c>
      <c r="O1785" s="64">
        <f>$L$1785-EFEITO!$O$1785*EFEITO!$AA$1785</f>
        <v>-805.68169848974867</v>
      </c>
      <c r="P1785" s="19"/>
      <c r="Q1785" s="19"/>
      <c r="R1785" s="19"/>
      <c r="S1785" s="19"/>
      <c r="T1785" s="19"/>
      <c r="U1785" s="19"/>
      <c r="V1785" s="19"/>
      <c r="W1785" s="19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</row>
    <row r="1786" spans="1:36" ht="11.25" customHeight="1" x14ac:dyDescent="0.2">
      <c r="A1786" s="55" t="s">
        <v>28</v>
      </c>
      <c r="B1786" s="55" t="s">
        <v>44</v>
      </c>
      <c r="C1786" s="55" t="s">
        <v>23</v>
      </c>
      <c r="D1786" s="55" t="s">
        <v>45</v>
      </c>
      <c r="E1786" s="55" t="s">
        <v>53</v>
      </c>
      <c r="F1786" s="55" t="s">
        <v>54</v>
      </c>
      <c r="G1786" s="55" t="s">
        <v>25</v>
      </c>
      <c r="H1786" s="55" t="s">
        <v>25</v>
      </c>
      <c r="I1786" s="63">
        <v>44652</v>
      </c>
      <c r="J1786" s="64">
        <f>EFEITO!$J$1786*EFEITO!$Y$1521</f>
        <v>0</v>
      </c>
      <c r="K1786" s="64">
        <f ca="1">EFEITO!$L$1786*EFEITO!$Z$1521</f>
        <v>21876.955507948474</v>
      </c>
      <c r="L1786" s="64">
        <f>EFEITO!$N$1786*EFEITO!$AA$1521</f>
        <v>14874.851076577137</v>
      </c>
      <c r="M1786" s="64">
        <f>$J$1786-EFEITO!$K$1786*EFEITO!$Y$1786</f>
        <v>0</v>
      </c>
      <c r="N1786" s="64">
        <f ca="1">$K$1786-EFEITO!$M$1786*EFEITO!$Z$1786</f>
        <v>1312.6173304769109</v>
      </c>
      <c r="O1786" s="64">
        <f>$L$1786-EFEITO!$O$1786*EFEITO!$AA$1786</f>
        <v>892.49106459462928</v>
      </c>
      <c r="P1786" s="19"/>
      <c r="Q1786" s="19"/>
      <c r="R1786" s="19"/>
      <c r="S1786" s="19"/>
      <c r="T1786" s="19"/>
      <c r="U1786" s="19"/>
      <c r="V1786" s="19"/>
      <c r="W1786" s="19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</row>
    <row r="1787" spans="1:36" ht="11.25" customHeight="1" x14ac:dyDescent="0.2">
      <c r="A1787" s="55" t="s">
        <v>21</v>
      </c>
      <c r="B1787" s="55" t="s">
        <v>44</v>
      </c>
      <c r="C1787" s="55" t="s">
        <v>23</v>
      </c>
      <c r="D1787" s="55" t="s">
        <v>45</v>
      </c>
      <c r="E1787" s="55" t="s">
        <v>53</v>
      </c>
      <c r="F1787" s="55" t="s">
        <v>54</v>
      </c>
      <c r="G1787" s="55" t="s">
        <v>25</v>
      </c>
      <c r="H1787" s="55" t="s">
        <v>25</v>
      </c>
      <c r="I1787" s="63">
        <v>44682</v>
      </c>
      <c r="J1787" s="64">
        <f>EFEITO!$J$1787*EFEITO!$Y$1521</f>
        <v>0</v>
      </c>
      <c r="K1787" s="64">
        <f ca="1">EFEITO!$L$1787*EFEITO!$Z$1521</f>
        <v>663025.05854271853</v>
      </c>
      <c r="L1787" s="64">
        <f>EFEITO!$N$1787*EFEITO!$AA$1521</f>
        <v>450812.22578153096</v>
      </c>
      <c r="M1787" s="64">
        <f>$J$1787-EFEITO!$K$1787*EFEITO!$Y$1787</f>
        <v>0</v>
      </c>
      <c r="N1787" s="64">
        <f ca="1">$K$1787-EFEITO!$M$1787*EFEITO!$Z$1787</f>
        <v>39781.503512563184</v>
      </c>
      <c r="O1787" s="64">
        <f>$L$1787-EFEITO!$O$1787*EFEITO!$AA$1787</f>
        <v>27048.73354689189</v>
      </c>
      <c r="P1787" s="19"/>
      <c r="Q1787" s="19"/>
      <c r="R1787" s="19"/>
      <c r="S1787" s="19"/>
      <c r="T1787" s="19"/>
      <c r="U1787" s="19"/>
      <c r="V1787" s="19"/>
      <c r="W1787" s="19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</row>
    <row r="1788" spans="1:36" ht="11.25" customHeight="1" x14ac:dyDescent="0.2">
      <c r="A1788" s="55" t="s">
        <v>27</v>
      </c>
      <c r="B1788" s="55" t="s">
        <v>44</v>
      </c>
      <c r="C1788" s="55" t="s">
        <v>23</v>
      </c>
      <c r="D1788" s="55" t="s">
        <v>45</v>
      </c>
      <c r="E1788" s="55" t="s">
        <v>53</v>
      </c>
      <c r="F1788" s="55" t="s">
        <v>54</v>
      </c>
      <c r="G1788" s="55" t="s">
        <v>25</v>
      </c>
      <c r="H1788" s="55" t="s">
        <v>25</v>
      </c>
      <c r="I1788" s="63">
        <v>44682</v>
      </c>
      <c r="J1788" s="64">
        <f>EFEITO!$J$1788*EFEITO!$Y$1521</f>
        <v>0</v>
      </c>
      <c r="K1788" s="64">
        <f ca="1">EFEITO!$L$1788*EFEITO!$Z$1521</f>
        <v>-19534.384221142052</v>
      </c>
      <c r="L1788" s="64">
        <f>EFEITO!$N$1788*EFEITO!$AA$1521</f>
        <v>-13282.060936520815</v>
      </c>
      <c r="M1788" s="64">
        <f>$J$1788-EFEITO!$K$1788*EFEITO!$Y$1788</f>
        <v>0</v>
      </c>
      <c r="N1788" s="64">
        <f ca="1">$K$1788-EFEITO!$M$1788*EFEITO!$Z$1788</f>
        <v>-1172.0630532685245</v>
      </c>
      <c r="O1788" s="64">
        <f>$L$1788-EFEITO!$O$1788*EFEITO!$AA$1788</f>
        <v>-796.92365619125121</v>
      </c>
      <c r="P1788" s="19"/>
      <c r="Q1788" s="19"/>
      <c r="R1788" s="19"/>
      <c r="S1788" s="19"/>
      <c r="T1788" s="19"/>
      <c r="U1788" s="19"/>
      <c r="V1788" s="19"/>
      <c r="W1788" s="19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</row>
    <row r="1789" spans="1:36" ht="11.25" customHeight="1" x14ac:dyDescent="0.2">
      <c r="A1789" s="55" t="s">
        <v>28</v>
      </c>
      <c r="B1789" s="55" t="s">
        <v>44</v>
      </c>
      <c r="C1789" s="55" t="s">
        <v>23</v>
      </c>
      <c r="D1789" s="55" t="s">
        <v>45</v>
      </c>
      <c r="E1789" s="55" t="s">
        <v>53</v>
      </c>
      <c r="F1789" s="55" t="s">
        <v>54</v>
      </c>
      <c r="G1789" s="55" t="s">
        <v>25</v>
      </c>
      <c r="H1789" s="55" t="s">
        <v>25</v>
      </c>
      <c r="I1789" s="63">
        <v>44682</v>
      </c>
      <c r="J1789" s="64">
        <f>EFEITO!$J$1789*EFEITO!$Y$1521</f>
        <v>0</v>
      </c>
      <c r="K1789" s="64">
        <f ca="1">EFEITO!$L$1789*EFEITO!$Z$1521</f>
        <v>16284.953628147667</v>
      </c>
      <c r="L1789" s="64">
        <f>EFEITO!$N$1789*EFEITO!$AA$1521</f>
        <v>11072.667763101235</v>
      </c>
      <c r="M1789" s="64">
        <f>$J$1789-EFEITO!$K$1789*EFEITO!$Y$1789</f>
        <v>0</v>
      </c>
      <c r="N1789" s="64">
        <f ca="1">$K$1789-EFEITO!$M$1789*EFEITO!$Z$1789</f>
        <v>977.09721768886084</v>
      </c>
      <c r="O1789" s="64">
        <f>$L$1789-EFEITO!$O$1789*EFEITO!$AA$1789</f>
        <v>664.36006578607521</v>
      </c>
      <c r="P1789" s="19"/>
      <c r="Q1789" s="19"/>
      <c r="R1789" s="19"/>
      <c r="S1789" s="19"/>
      <c r="T1789" s="19"/>
      <c r="U1789" s="19"/>
      <c r="V1789" s="19"/>
      <c r="W1789" s="19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</row>
    <row r="1790" spans="1:36" ht="11.25" customHeight="1" x14ac:dyDescent="0.2">
      <c r="A1790" s="55" t="s">
        <v>28</v>
      </c>
      <c r="B1790" s="55" t="s">
        <v>44</v>
      </c>
      <c r="C1790" s="55" t="s">
        <v>23</v>
      </c>
      <c r="D1790" s="55" t="s">
        <v>45</v>
      </c>
      <c r="E1790" s="55" t="s">
        <v>53</v>
      </c>
      <c r="F1790" s="55" t="s">
        <v>54</v>
      </c>
      <c r="G1790" s="55" t="s">
        <v>25</v>
      </c>
      <c r="H1790" s="55" t="s">
        <v>25</v>
      </c>
      <c r="I1790" s="63">
        <v>44682</v>
      </c>
      <c r="J1790" s="64">
        <f>EFEITO!$J$1790*EFEITO!$Y$1521</f>
        <v>0</v>
      </c>
      <c r="K1790" s="64">
        <f ca="1">EFEITO!$L$1790*EFEITO!$Z$1521</f>
        <v>35.661002995987538</v>
      </c>
      <c r="L1790" s="64">
        <f>EFEITO!$N$1790*EFEITO!$AA$1521</f>
        <v>24.247071701268421</v>
      </c>
      <c r="M1790" s="64">
        <f>$J$1790-EFEITO!$K$1790*EFEITO!$Y$1790</f>
        <v>0</v>
      </c>
      <c r="N1790" s="64">
        <f ca="1">$K$1790-EFEITO!$M$1790*EFEITO!$Z$1790</f>
        <v>2.1396601797592538</v>
      </c>
      <c r="O1790" s="64">
        <f>$L$1790-EFEITO!$O$1790*EFEITO!$AA$1790</f>
        <v>1.4548243020761085</v>
      </c>
      <c r="P1790" s="19"/>
      <c r="Q1790" s="19"/>
      <c r="R1790" s="19"/>
      <c r="S1790" s="19"/>
      <c r="T1790" s="19"/>
      <c r="U1790" s="19"/>
      <c r="V1790" s="19"/>
      <c r="W1790" s="19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</row>
    <row r="1791" spans="1:36" ht="11.25" customHeight="1" x14ac:dyDescent="0.2">
      <c r="A1791" s="55" t="s">
        <v>21</v>
      </c>
      <c r="B1791" s="55" t="s">
        <v>44</v>
      </c>
      <c r="C1791" s="55" t="s">
        <v>23</v>
      </c>
      <c r="D1791" s="55" t="s">
        <v>45</v>
      </c>
      <c r="E1791" s="55" t="s">
        <v>53</v>
      </c>
      <c r="F1791" s="55" t="s">
        <v>54</v>
      </c>
      <c r="G1791" s="55" t="s">
        <v>25</v>
      </c>
      <c r="H1791" s="55" t="s">
        <v>25</v>
      </c>
      <c r="I1791" s="63">
        <v>44713</v>
      </c>
      <c r="J1791" s="64">
        <f>EFEITO!$J$1791*EFEITO!$Y$1521</f>
        <v>0</v>
      </c>
      <c r="K1791" s="64">
        <f ca="1">EFEITO!$L$1791*EFEITO!$Z$1521</f>
        <v>646623.85004480393</v>
      </c>
      <c r="L1791" s="64">
        <f>EFEITO!$N$1791*EFEITO!$AA$1521</f>
        <v>439660.51256468362</v>
      </c>
      <c r="M1791" s="64">
        <f>$J$1791-EFEITO!$K$1791*EFEITO!$Y$1791</f>
        <v>0</v>
      </c>
      <c r="N1791" s="64">
        <f ca="1">$K$1791-EFEITO!$M$1791*EFEITO!$Z$1791</f>
        <v>38797.431002688361</v>
      </c>
      <c r="O1791" s="64">
        <f>$L$1791-EFEITO!$O$1791*EFEITO!$AA$1791</f>
        <v>26379.630753881065</v>
      </c>
      <c r="P1791" s="19"/>
      <c r="Q1791" s="19"/>
      <c r="R1791" s="19"/>
      <c r="S1791" s="19"/>
      <c r="T1791" s="19"/>
      <c r="U1791" s="19"/>
      <c r="V1791" s="19"/>
      <c r="W1791" s="19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</row>
    <row r="1792" spans="1:36" ht="11.25" customHeight="1" x14ac:dyDescent="0.2">
      <c r="A1792" s="55" t="s">
        <v>27</v>
      </c>
      <c r="B1792" s="55" t="s">
        <v>44</v>
      </c>
      <c r="C1792" s="55" t="s">
        <v>23</v>
      </c>
      <c r="D1792" s="55" t="s">
        <v>45</v>
      </c>
      <c r="E1792" s="55" t="s">
        <v>53</v>
      </c>
      <c r="F1792" s="55" t="s">
        <v>54</v>
      </c>
      <c r="G1792" s="55" t="s">
        <v>25</v>
      </c>
      <c r="H1792" s="55" t="s">
        <v>25</v>
      </c>
      <c r="I1792" s="63">
        <v>44713</v>
      </c>
      <c r="J1792" s="64">
        <f>EFEITO!$J$1792*EFEITO!$Y$1521</f>
        <v>0</v>
      </c>
      <c r="K1792" s="64">
        <f ca="1">EFEITO!$L$1792*EFEITO!$Z$1521</f>
        <v>-16769.943268893101</v>
      </c>
      <c r="L1792" s="64">
        <f>EFEITO!$N$1792*EFEITO!$AA$1521</f>
        <v>-11402.427938238488</v>
      </c>
      <c r="M1792" s="64">
        <f>$J$1792-EFEITO!$K$1792*EFEITO!$Y$1792</f>
        <v>0</v>
      </c>
      <c r="N1792" s="64">
        <f ca="1">$K$1792-EFEITO!$M$1792*EFEITO!$Z$1792</f>
        <v>-1006.1965961335882</v>
      </c>
      <c r="O1792" s="64">
        <f>$L$1792-EFEITO!$O$1792*EFEITO!$AA$1792</f>
        <v>-684.14567629431076</v>
      </c>
      <c r="P1792" s="19"/>
      <c r="Q1792" s="19"/>
      <c r="R1792" s="19"/>
      <c r="S1792" s="19"/>
      <c r="T1792" s="19"/>
      <c r="U1792" s="19"/>
      <c r="V1792" s="19"/>
      <c r="W1792" s="19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</row>
    <row r="1793" spans="1:36" ht="11.25" customHeight="1" x14ac:dyDescent="0.2">
      <c r="A1793" s="55" t="s">
        <v>28</v>
      </c>
      <c r="B1793" s="55" t="s">
        <v>44</v>
      </c>
      <c r="C1793" s="55" t="s">
        <v>23</v>
      </c>
      <c r="D1793" s="55" t="s">
        <v>45</v>
      </c>
      <c r="E1793" s="55" t="s">
        <v>53</v>
      </c>
      <c r="F1793" s="55" t="s">
        <v>54</v>
      </c>
      <c r="G1793" s="55" t="s">
        <v>25</v>
      </c>
      <c r="H1793" s="55" t="s">
        <v>25</v>
      </c>
      <c r="I1793" s="63">
        <v>44713</v>
      </c>
      <c r="J1793" s="64">
        <f>EFEITO!$J$1793*EFEITO!$Y$1521</f>
        <v>0</v>
      </c>
      <c r="K1793" s="64">
        <f ca="1">EFEITO!$L$1793*EFEITO!$Z$1521</f>
        <v>21898.708719776027</v>
      </c>
      <c r="L1793" s="64">
        <f>EFEITO!$N$1793*EFEITO!$AA$1521</f>
        <v>14889.64179031491</v>
      </c>
      <c r="M1793" s="64">
        <f>$J$1793-EFEITO!$K$1793*EFEITO!$Y$1793</f>
        <v>0</v>
      </c>
      <c r="N1793" s="64">
        <f ca="1">$K$1793-EFEITO!$M$1793*EFEITO!$Z$1793</f>
        <v>1313.9225231865639</v>
      </c>
      <c r="O1793" s="64">
        <f>$L$1793-EFEITO!$O$1793*EFEITO!$AA$1793</f>
        <v>893.37850741889633</v>
      </c>
      <c r="P1793" s="19"/>
      <c r="Q1793" s="19"/>
      <c r="R1793" s="19"/>
      <c r="S1793" s="19"/>
      <c r="T1793" s="19"/>
      <c r="U1793" s="19"/>
      <c r="V1793" s="19"/>
      <c r="W1793" s="19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</row>
    <row r="1794" spans="1:36" ht="11.25" customHeight="1" x14ac:dyDescent="0.2">
      <c r="A1794" s="55" t="s">
        <v>57</v>
      </c>
      <c r="B1794" s="55" t="s">
        <v>44</v>
      </c>
      <c r="C1794" s="55" t="s">
        <v>23</v>
      </c>
      <c r="D1794" s="55" t="s">
        <v>45</v>
      </c>
      <c r="E1794" s="55" t="s">
        <v>53</v>
      </c>
      <c r="F1794" s="55" t="s">
        <v>54</v>
      </c>
      <c r="G1794" s="55" t="s">
        <v>25</v>
      </c>
      <c r="H1794" s="55" t="s">
        <v>25</v>
      </c>
      <c r="I1794" s="63">
        <v>44743</v>
      </c>
      <c r="J1794" s="64">
        <f>EFEITO!$J$1794*EFEITO!$Y$1521</f>
        <v>0</v>
      </c>
      <c r="K1794" s="64">
        <f ca="1">EFEITO!$L$1794*EFEITO!$Z$1521</f>
        <v>646623.85004480393</v>
      </c>
      <c r="L1794" s="64">
        <f>EFEITO!$N$1794*EFEITO!$AA$1521</f>
        <v>439660.51256468362</v>
      </c>
      <c r="M1794" s="64">
        <f>$J$1794-EFEITO!$K$1794*EFEITO!$Y$1794</f>
        <v>0</v>
      </c>
      <c r="N1794" s="64">
        <f ca="1">$K$1794-EFEITO!$M$1794*EFEITO!$Z$1794</f>
        <v>38797.431002688361</v>
      </c>
      <c r="O1794" s="64">
        <f>$L$1794-EFEITO!$O$1794*EFEITO!$AA$1794</f>
        <v>26379.630753881065</v>
      </c>
      <c r="P1794" s="19"/>
      <c r="Q1794" s="19"/>
      <c r="R1794" s="19"/>
      <c r="S1794" s="19"/>
      <c r="T1794" s="19"/>
      <c r="U1794" s="19"/>
      <c r="V1794" s="19"/>
      <c r="W1794" s="19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</row>
    <row r="1795" spans="1:36" ht="11.25" customHeight="1" x14ac:dyDescent="0.2">
      <c r="A1795" s="55" t="s">
        <v>57</v>
      </c>
      <c r="B1795" s="55" t="s">
        <v>44</v>
      </c>
      <c r="C1795" s="55" t="s">
        <v>23</v>
      </c>
      <c r="D1795" s="55" t="s">
        <v>45</v>
      </c>
      <c r="E1795" s="55" t="s">
        <v>53</v>
      </c>
      <c r="F1795" s="55" t="s">
        <v>54</v>
      </c>
      <c r="G1795" s="55" t="s">
        <v>25</v>
      </c>
      <c r="H1795" s="55" t="s">
        <v>25</v>
      </c>
      <c r="I1795" s="63">
        <v>44743</v>
      </c>
      <c r="J1795" s="64">
        <f>EFEITO!$J$1795*EFEITO!$Y$1521</f>
        <v>0</v>
      </c>
      <c r="K1795" s="64">
        <f ca="1">EFEITO!$L$1795*EFEITO!$Z$1521</f>
        <v>-16769.943268893101</v>
      </c>
      <c r="L1795" s="64">
        <f>EFEITO!$N$1795*EFEITO!$AA$1521</f>
        <v>-11402.427938238488</v>
      </c>
      <c r="M1795" s="64">
        <f>$J$1795-EFEITO!$K$1795*EFEITO!$Y$1795</f>
        <v>0</v>
      </c>
      <c r="N1795" s="64">
        <f ca="1">$K$1795-EFEITO!$M$1795*EFEITO!$Z$1795</f>
        <v>-1006.1965961335882</v>
      </c>
      <c r="O1795" s="64">
        <f>$L$1795-EFEITO!$O$1795*EFEITO!$AA$1795</f>
        <v>-684.14567629431076</v>
      </c>
      <c r="P1795" s="19"/>
      <c r="Q1795" s="19"/>
      <c r="R1795" s="19"/>
      <c r="S1795" s="19"/>
      <c r="T1795" s="19"/>
      <c r="U1795" s="19"/>
      <c r="V1795" s="19"/>
      <c r="W1795" s="19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</row>
    <row r="1796" spans="1:36" ht="11.25" customHeight="1" x14ac:dyDescent="0.2">
      <c r="A1796" s="55" t="s">
        <v>57</v>
      </c>
      <c r="B1796" s="55" t="s">
        <v>44</v>
      </c>
      <c r="C1796" s="55" t="s">
        <v>23</v>
      </c>
      <c r="D1796" s="55" t="s">
        <v>45</v>
      </c>
      <c r="E1796" s="55" t="s">
        <v>53</v>
      </c>
      <c r="F1796" s="55" t="s">
        <v>54</v>
      </c>
      <c r="G1796" s="55" t="s">
        <v>25</v>
      </c>
      <c r="H1796" s="55" t="s">
        <v>25</v>
      </c>
      <c r="I1796" s="63">
        <v>44743</v>
      </c>
      <c r="J1796" s="64">
        <f>EFEITO!$J$1796*EFEITO!$Y$1521</f>
        <v>0</v>
      </c>
      <c r="K1796" s="64">
        <f ca="1">EFEITO!$L$1796*EFEITO!$Z$1521</f>
        <v>21898.708719776027</v>
      </c>
      <c r="L1796" s="64">
        <f>EFEITO!$N$1796*EFEITO!$AA$1521</f>
        <v>14889.64179031491</v>
      </c>
      <c r="M1796" s="64">
        <f>$J$1796-EFEITO!$K$1796*EFEITO!$Y$1796</f>
        <v>0</v>
      </c>
      <c r="N1796" s="64">
        <f ca="1">$K$1796-EFEITO!$M$1796*EFEITO!$Z$1796</f>
        <v>1313.9225231865639</v>
      </c>
      <c r="O1796" s="64">
        <f>$L$1796-EFEITO!$O$1796*EFEITO!$AA$1796</f>
        <v>893.37850741889633</v>
      </c>
      <c r="P1796" s="19"/>
      <c r="Q1796" s="19"/>
      <c r="R1796" s="19"/>
      <c r="S1796" s="19"/>
      <c r="T1796" s="19"/>
      <c r="U1796" s="19"/>
      <c r="V1796" s="19"/>
      <c r="W1796" s="19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</row>
    <row r="1797" spans="1:36" ht="11.25" customHeight="1" x14ac:dyDescent="0.2">
      <c r="A1797" s="55" t="s">
        <v>21</v>
      </c>
      <c r="B1797" s="55" t="s">
        <v>44</v>
      </c>
      <c r="C1797" s="55" t="s">
        <v>23</v>
      </c>
      <c r="D1797" s="55" t="s">
        <v>45</v>
      </c>
      <c r="E1797" s="55" t="s">
        <v>53</v>
      </c>
      <c r="F1797" s="55" t="s">
        <v>55</v>
      </c>
      <c r="G1797" s="55" t="s">
        <v>25</v>
      </c>
      <c r="H1797" s="55" t="s">
        <v>25</v>
      </c>
      <c r="I1797" s="63">
        <v>44409</v>
      </c>
      <c r="J1797" s="64">
        <f>EFEITO!$J$1797*EFEITO!$Y$1521</f>
        <v>0</v>
      </c>
      <c r="K1797" s="64">
        <f ca="1">EFEITO!$L$1797*EFEITO!$Z$1521</f>
        <v>1653400.6506971347</v>
      </c>
      <c r="L1797" s="64">
        <f>EFEITO!$N$1797*EFEITO!$AA$1521</f>
        <v>1124200.6887155725</v>
      </c>
      <c r="M1797" s="64">
        <f>$J$1797-EFEITO!$K$1797*EFEITO!$Y$1797</f>
        <v>0</v>
      </c>
      <c r="N1797" s="64">
        <f ca="1">$K$1797-EFEITO!$M$1797*EFEITO!$Z$1797</f>
        <v>1233767.565550202</v>
      </c>
      <c r="O1797" s="64">
        <f>$L$1797-EFEITO!$O$1797*EFEITO!$AA$1797</f>
        <v>838878.55391956028</v>
      </c>
      <c r="P1797" s="19"/>
      <c r="Q1797" s="19"/>
      <c r="R1797" s="19"/>
      <c r="S1797" s="19"/>
      <c r="T1797" s="19"/>
      <c r="U1797" s="19"/>
      <c r="V1797" s="19"/>
      <c r="W1797" s="19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</row>
    <row r="1798" spans="1:36" ht="11.25" customHeight="1" x14ac:dyDescent="0.2">
      <c r="A1798" s="55" t="s">
        <v>27</v>
      </c>
      <c r="B1798" s="55" t="s">
        <v>44</v>
      </c>
      <c r="C1798" s="55" t="s">
        <v>23</v>
      </c>
      <c r="D1798" s="55" t="s">
        <v>45</v>
      </c>
      <c r="E1798" s="55" t="s">
        <v>53</v>
      </c>
      <c r="F1798" s="55" t="s">
        <v>55</v>
      </c>
      <c r="G1798" s="55" t="s">
        <v>25</v>
      </c>
      <c r="H1798" s="55" t="s">
        <v>25</v>
      </c>
      <c r="I1798" s="63">
        <v>44409</v>
      </c>
      <c r="J1798" s="64">
        <f>EFEITO!$J$1798*EFEITO!$Y$1521</f>
        <v>0</v>
      </c>
      <c r="K1798" s="64">
        <f ca="1">EFEITO!$L$1798*EFEITO!$Z$1521</f>
        <v>-19128.918617077674</v>
      </c>
      <c r="L1798" s="64">
        <f>EFEITO!$N$1798*EFEITO!$AA$1521</f>
        <v>-13006.371731277392</v>
      </c>
      <c r="M1798" s="64">
        <f>$J$1798-EFEITO!$K$1798*EFEITO!$Y$1798</f>
        <v>0</v>
      </c>
      <c r="N1798" s="64">
        <f ca="1">$K$1798-EFEITO!$M$1798*EFEITO!$Z$1798</f>
        <v>-14273.999072063361</v>
      </c>
      <c r="O1798" s="64">
        <f>$L$1798-EFEITO!$O$1798*EFEITO!$AA$1798</f>
        <v>-9705.3545858791895</v>
      </c>
      <c r="P1798" s="19"/>
      <c r="Q1798" s="19"/>
      <c r="R1798" s="19"/>
      <c r="S1798" s="19"/>
      <c r="T1798" s="19"/>
      <c r="U1798" s="19"/>
      <c r="V1798" s="19"/>
      <c r="W1798" s="19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</row>
    <row r="1799" spans="1:36" ht="11.25" customHeight="1" x14ac:dyDescent="0.2">
      <c r="A1799" s="55" t="s">
        <v>28</v>
      </c>
      <c r="B1799" s="55" t="s">
        <v>44</v>
      </c>
      <c r="C1799" s="55" t="s">
        <v>23</v>
      </c>
      <c r="D1799" s="55" t="s">
        <v>45</v>
      </c>
      <c r="E1799" s="55" t="s">
        <v>53</v>
      </c>
      <c r="F1799" s="55" t="s">
        <v>55</v>
      </c>
      <c r="G1799" s="55" t="s">
        <v>25</v>
      </c>
      <c r="H1799" s="55" t="s">
        <v>25</v>
      </c>
      <c r="I1799" s="63">
        <v>44409</v>
      </c>
      <c r="J1799" s="64">
        <f>EFEITO!$J$1799*EFEITO!$Y$1521</f>
        <v>0</v>
      </c>
      <c r="K1799" s="64">
        <f ca="1">EFEITO!$L$1799*EFEITO!$Z$1521</f>
        <v>41273.331647496052</v>
      </c>
      <c r="L1799" s="64">
        <f>EFEITO!$N$1799*EFEITO!$AA$1521</f>
        <v>28063.075845614043</v>
      </c>
      <c r="M1799" s="64">
        <f>$J$1799-EFEITO!$K$1799*EFEITO!$Y$1799</f>
        <v>0</v>
      </c>
      <c r="N1799" s="64">
        <f ca="1">$K$1799-EFEITO!$M$1799*EFEITO!$Z$1799</f>
        <v>30798.160075361557</v>
      </c>
      <c r="O1799" s="64">
        <f>$L$1799-EFEITO!$O$1799*EFEITO!$AA$1799</f>
        <v>20940.667195997201</v>
      </c>
      <c r="P1799" s="19"/>
      <c r="Q1799" s="19"/>
      <c r="R1799" s="19"/>
      <c r="S1799" s="19"/>
      <c r="T1799" s="19"/>
      <c r="U1799" s="19"/>
      <c r="V1799" s="19"/>
      <c r="W1799" s="19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</row>
    <row r="1800" spans="1:36" ht="11.25" customHeight="1" x14ac:dyDescent="0.2">
      <c r="A1800" s="55" t="s">
        <v>21</v>
      </c>
      <c r="B1800" s="55" t="s">
        <v>44</v>
      </c>
      <c r="C1800" s="55" t="s">
        <v>23</v>
      </c>
      <c r="D1800" s="55" t="s">
        <v>45</v>
      </c>
      <c r="E1800" s="55" t="s">
        <v>53</v>
      </c>
      <c r="F1800" s="55" t="s">
        <v>55</v>
      </c>
      <c r="G1800" s="55" t="s">
        <v>25</v>
      </c>
      <c r="H1800" s="55" t="s">
        <v>25</v>
      </c>
      <c r="I1800" s="63">
        <v>44440</v>
      </c>
      <c r="J1800" s="64">
        <f>EFEITO!$J$1800*EFEITO!$Y$1521</f>
        <v>0</v>
      </c>
      <c r="K1800" s="64">
        <f ca="1">EFEITO!$L$1800*EFEITO!$Z$1521</f>
        <v>1933706.1193264353</v>
      </c>
      <c r="L1800" s="64">
        <f>EFEITO!$N$1800*EFEITO!$AA$1521</f>
        <v>1314789.4614676186</v>
      </c>
      <c r="M1800" s="64">
        <f>$J$1800-EFEITO!$K$1800*EFEITO!$Y$1800</f>
        <v>0</v>
      </c>
      <c r="N1800" s="64">
        <f ca="1">$K$1800-EFEITO!$M$1800*EFEITO!$Z$1800</f>
        <v>1442931.5062413861</v>
      </c>
      <c r="O1800" s="64">
        <f>$L$1800-EFEITO!$O$1800*EFEITO!$AA$1800</f>
        <v>981095.89614713704</v>
      </c>
      <c r="P1800" s="19"/>
      <c r="Q1800" s="19"/>
      <c r="R1800" s="19"/>
      <c r="S1800" s="19"/>
      <c r="T1800" s="19"/>
      <c r="U1800" s="19"/>
      <c r="V1800" s="19"/>
      <c r="W1800" s="19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</row>
    <row r="1801" spans="1:36" ht="11.25" customHeight="1" x14ac:dyDescent="0.2">
      <c r="A1801" s="55" t="s">
        <v>27</v>
      </c>
      <c r="B1801" s="55" t="s">
        <v>44</v>
      </c>
      <c r="C1801" s="55" t="s">
        <v>23</v>
      </c>
      <c r="D1801" s="55" t="s">
        <v>45</v>
      </c>
      <c r="E1801" s="55" t="s">
        <v>53</v>
      </c>
      <c r="F1801" s="55" t="s">
        <v>55</v>
      </c>
      <c r="G1801" s="55" t="s">
        <v>25</v>
      </c>
      <c r="H1801" s="55" t="s">
        <v>25</v>
      </c>
      <c r="I1801" s="63">
        <v>44440</v>
      </c>
      <c r="J1801" s="64">
        <f>EFEITO!$J$1801*EFEITO!$Y$1521</f>
        <v>0</v>
      </c>
      <c r="K1801" s="64">
        <f ca="1">EFEITO!$L$1801*EFEITO!$Z$1521</f>
        <v>-17399.71658180224</v>
      </c>
      <c r="L1801" s="64">
        <f>EFEITO!$N$1801*EFEITO!$AA$1521</f>
        <v>-11830.631224482888</v>
      </c>
      <c r="M1801" s="64">
        <f>$J$1801-EFEITO!$K$1801*EFEITO!$Y$1801</f>
        <v>0</v>
      </c>
      <c r="N1801" s="64">
        <f ca="1">$K$1801-EFEITO!$M$1801*EFEITO!$Z$1801</f>
        <v>-12983.668513340832</v>
      </c>
      <c r="O1801" s="64">
        <f>$L$1801-EFEITO!$O$1801*EFEITO!$AA$1801</f>
        <v>-8828.017019709132</v>
      </c>
      <c r="P1801" s="19"/>
      <c r="Q1801" s="19"/>
      <c r="R1801" s="19"/>
      <c r="S1801" s="19"/>
      <c r="T1801" s="19"/>
      <c r="U1801" s="19"/>
      <c r="V1801" s="19"/>
      <c r="W1801" s="19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</row>
    <row r="1802" spans="1:36" ht="11.25" customHeight="1" x14ac:dyDescent="0.2">
      <c r="A1802" s="55" t="s">
        <v>28</v>
      </c>
      <c r="B1802" s="55" t="s">
        <v>44</v>
      </c>
      <c r="C1802" s="55" t="s">
        <v>23</v>
      </c>
      <c r="D1802" s="55" t="s">
        <v>45</v>
      </c>
      <c r="E1802" s="55" t="s">
        <v>53</v>
      </c>
      <c r="F1802" s="55" t="s">
        <v>55</v>
      </c>
      <c r="G1802" s="55" t="s">
        <v>25</v>
      </c>
      <c r="H1802" s="55" t="s">
        <v>25</v>
      </c>
      <c r="I1802" s="63">
        <v>44440</v>
      </c>
      <c r="J1802" s="64">
        <f>EFEITO!$J$1802*EFEITO!$Y$1521</f>
        <v>0</v>
      </c>
      <c r="K1802" s="64">
        <f ca="1">EFEITO!$L$1802*EFEITO!$Z$1521</f>
        <v>48455.45765088794</v>
      </c>
      <c r="L1802" s="64">
        <f>EFEITO!$N$1802*EFEITO!$AA$1521</f>
        <v>32946.436086249501</v>
      </c>
      <c r="M1802" s="64">
        <f>$J$1802-EFEITO!$K$1802*EFEITO!$Y$1802</f>
        <v>0</v>
      </c>
      <c r="N1802" s="64">
        <f ca="1">$K$1802-EFEITO!$M$1802*EFEITO!$Z$1802</f>
        <v>36157.46249909258</v>
      </c>
      <c r="O1802" s="64">
        <f>$L$1802-EFEITO!$O$1802*EFEITO!$AA$1802</f>
        <v>24584.630607559378</v>
      </c>
      <c r="P1802" s="19"/>
      <c r="Q1802" s="19"/>
      <c r="R1802" s="19"/>
      <c r="S1802" s="19"/>
      <c r="T1802" s="19"/>
      <c r="U1802" s="19"/>
      <c r="V1802" s="19"/>
      <c r="W1802" s="19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</row>
    <row r="1803" spans="1:36" ht="11.25" customHeight="1" x14ac:dyDescent="0.2">
      <c r="A1803" s="55" t="s">
        <v>28</v>
      </c>
      <c r="B1803" s="55" t="s">
        <v>44</v>
      </c>
      <c r="C1803" s="55" t="s">
        <v>23</v>
      </c>
      <c r="D1803" s="55" t="s">
        <v>45</v>
      </c>
      <c r="E1803" s="55" t="s">
        <v>53</v>
      </c>
      <c r="F1803" s="55" t="s">
        <v>55</v>
      </c>
      <c r="G1803" s="55" t="s">
        <v>25</v>
      </c>
      <c r="H1803" s="55" t="s">
        <v>25</v>
      </c>
      <c r="I1803" s="63">
        <v>44440</v>
      </c>
      <c r="J1803" s="64">
        <f>EFEITO!$J$1803*EFEITO!$Y$1521</f>
        <v>0</v>
      </c>
      <c r="K1803" s="64">
        <f ca="1">EFEITO!$L$1803*EFEITO!$Z$1521</f>
        <v>-1259.5466258182798</v>
      </c>
      <c r="L1803" s="64">
        <f>EFEITO!$N$1803*EFEITO!$AA$1521</f>
        <v>-856.40657248880052</v>
      </c>
      <c r="M1803" s="64">
        <f>$J$1803-EFEITO!$K$1803*EFEITO!$Y$1803</f>
        <v>0</v>
      </c>
      <c r="N1803" s="64">
        <f ca="1">$K$1803-EFEITO!$M$1803*EFEITO!$Z$1803</f>
        <v>-939.87369218560048</v>
      </c>
      <c r="O1803" s="64">
        <f>$L$1803-EFEITO!$O$1803*EFEITO!$AA$1803</f>
        <v>-639.05058439114293</v>
      </c>
      <c r="P1803" s="19"/>
      <c r="Q1803" s="19"/>
      <c r="R1803" s="19"/>
      <c r="S1803" s="19"/>
      <c r="T1803" s="19"/>
      <c r="U1803" s="19"/>
      <c r="V1803" s="19"/>
      <c r="W1803" s="19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</row>
    <row r="1804" spans="1:36" ht="11.25" customHeight="1" x14ac:dyDescent="0.2">
      <c r="A1804" s="55" t="s">
        <v>21</v>
      </c>
      <c r="B1804" s="55" t="s">
        <v>44</v>
      </c>
      <c r="C1804" s="55" t="s">
        <v>23</v>
      </c>
      <c r="D1804" s="55" t="s">
        <v>45</v>
      </c>
      <c r="E1804" s="55" t="s">
        <v>53</v>
      </c>
      <c r="F1804" s="55" t="s">
        <v>55</v>
      </c>
      <c r="G1804" s="55" t="s">
        <v>25</v>
      </c>
      <c r="H1804" s="55" t="s">
        <v>25</v>
      </c>
      <c r="I1804" s="63">
        <v>44470</v>
      </c>
      <c r="J1804" s="64">
        <f>EFEITO!$J$1804*EFEITO!$Y$1521</f>
        <v>0</v>
      </c>
      <c r="K1804" s="64">
        <f ca="1">EFEITO!$L$1804*EFEITO!$Z$1521</f>
        <v>2325481.8209506841</v>
      </c>
      <c r="L1804" s="64">
        <f>EFEITO!$N$1804*EFEITO!$AA$1521</f>
        <v>1581170.4583556408</v>
      </c>
      <c r="M1804" s="64">
        <f>$J$1804-EFEITO!$K$1804*EFEITO!$Y$1804</f>
        <v>0</v>
      </c>
      <c r="N1804" s="64">
        <f ca="1">$K$1804-EFEITO!$M$1804*EFEITO!$Z$1804</f>
        <v>1735274.5347934007</v>
      </c>
      <c r="O1804" s="64">
        <f>$L$1804-EFEITO!$O$1804*EFEITO!$AA$1804</f>
        <v>1179869.3960249792</v>
      </c>
      <c r="P1804" s="19"/>
      <c r="Q1804" s="19"/>
      <c r="R1804" s="19"/>
      <c r="S1804" s="19"/>
      <c r="T1804" s="19"/>
      <c r="U1804" s="19"/>
      <c r="V1804" s="19"/>
      <c r="W1804" s="19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</row>
    <row r="1805" spans="1:36" ht="11.25" customHeight="1" x14ac:dyDescent="0.2">
      <c r="A1805" s="55" t="s">
        <v>27</v>
      </c>
      <c r="B1805" s="55" t="s">
        <v>44</v>
      </c>
      <c r="C1805" s="55" t="s">
        <v>23</v>
      </c>
      <c r="D1805" s="55" t="s">
        <v>45</v>
      </c>
      <c r="E1805" s="55" t="s">
        <v>53</v>
      </c>
      <c r="F1805" s="55" t="s">
        <v>55</v>
      </c>
      <c r="G1805" s="55" t="s">
        <v>25</v>
      </c>
      <c r="H1805" s="55" t="s">
        <v>25</v>
      </c>
      <c r="I1805" s="63">
        <v>44470</v>
      </c>
      <c r="J1805" s="64">
        <f>EFEITO!$J$1805*EFEITO!$Y$1521</f>
        <v>0</v>
      </c>
      <c r="K1805" s="64">
        <f ca="1">EFEITO!$L$1805*EFEITO!$Z$1521</f>
        <v>11113.394973669556</v>
      </c>
      <c r="L1805" s="64">
        <f>EFEITO!$N$1805*EFEITO!$AA$1521</f>
        <v>7556.3574249832909</v>
      </c>
      <c r="M1805" s="64">
        <f>$J$1805-EFEITO!$K$1805*EFEITO!$Y$1805</f>
        <v>0</v>
      </c>
      <c r="N1805" s="64">
        <f ca="1">$K$1805-EFEITO!$M$1805*EFEITO!$Z$1805</f>
        <v>8292.8153293522228</v>
      </c>
      <c r="O1805" s="64">
        <f>$L$1805-EFEITO!$O$1805*EFEITO!$AA$1805</f>
        <v>5638.5539105225325</v>
      </c>
      <c r="P1805" s="19"/>
      <c r="Q1805" s="19"/>
      <c r="R1805" s="19"/>
      <c r="S1805" s="19"/>
      <c r="T1805" s="19"/>
      <c r="U1805" s="19"/>
      <c r="V1805" s="19"/>
      <c r="W1805" s="19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</row>
    <row r="1806" spans="1:36" ht="11.25" customHeight="1" x14ac:dyDescent="0.2">
      <c r="A1806" s="55" t="s">
        <v>28</v>
      </c>
      <c r="B1806" s="55" t="s">
        <v>44</v>
      </c>
      <c r="C1806" s="55" t="s">
        <v>23</v>
      </c>
      <c r="D1806" s="55" t="s">
        <v>45</v>
      </c>
      <c r="E1806" s="55" t="s">
        <v>53</v>
      </c>
      <c r="F1806" s="55" t="s">
        <v>55</v>
      </c>
      <c r="G1806" s="55" t="s">
        <v>25</v>
      </c>
      <c r="H1806" s="55" t="s">
        <v>25</v>
      </c>
      <c r="I1806" s="63">
        <v>44470</v>
      </c>
      <c r="J1806" s="64">
        <f>EFEITO!$J$1806*EFEITO!$Y$1521</f>
        <v>0</v>
      </c>
      <c r="K1806" s="64">
        <f ca="1">EFEITO!$L$1806*EFEITO!$Z$1521</f>
        <v>55852.976112375603</v>
      </c>
      <c r="L1806" s="64">
        <f>EFEITO!$N$1806*EFEITO!$AA$1521</f>
        <v>37976.248639960628</v>
      </c>
      <c r="M1806" s="64">
        <f>$J$1806-EFEITO!$K$1806*EFEITO!$Y$1806</f>
        <v>0</v>
      </c>
      <c r="N1806" s="64">
        <f ca="1">$K$1806-EFEITO!$M$1806*EFEITO!$Z$1806</f>
        <v>41677.490775054677</v>
      </c>
      <c r="O1806" s="64">
        <f>$L$1806-EFEITO!$O$1806*EFEITO!$AA$1806</f>
        <v>28337.876735138623</v>
      </c>
      <c r="P1806" s="19"/>
      <c r="Q1806" s="19"/>
      <c r="R1806" s="19"/>
      <c r="S1806" s="19"/>
      <c r="T1806" s="19"/>
      <c r="U1806" s="19"/>
      <c r="V1806" s="19"/>
      <c r="W1806" s="19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</row>
    <row r="1807" spans="1:36" ht="11.25" customHeight="1" x14ac:dyDescent="0.2">
      <c r="A1807" s="55" t="s">
        <v>21</v>
      </c>
      <c r="B1807" s="55" t="s">
        <v>44</v>
      </c>
      <c r="C1807" s="55" t="s">
        <v>23</v>
      </c>
      <c r="D1807" s="55" t="s">
        <v>45</v>
      </c>
      <c r="E1807" s="55" t="s">
        <v>53</v>
      </c>
      <c r="F1807" s="55" t="s">
        <v>55</v>
      </c>
      <c r="G1807" s="55" t="s">
        <v>25</v>
      </c>
      <c r="H1807" s="55" t="s">
        <v>25</v>
      </c>
      <c r="I1807" s="63">
        <v>44501</v>
      </c>
      <c r="J1807" s="64">
        <f>EFEITO!$J$1807*EFEITO!$Y$1521</f>
        <v>0</v>
      </c>
      <c r="K1807" s="64">
        <f ca="1">EFEITO!$L$1807*EFEITO!$Z$1521</f>
        <v>2319342.0660648649</v>
      </c>
      <c r="L1807" s="64">
        <f>EFEITO!$N$1807*EFEITO!$AA$1521</f>
        <v>1576995.8400208331</v>
      </c>
      <c r="M1807" s="64">
        <f>$J$1807-EFEITO!$K$1807*EFEITO!$Y$1807</f>
        <v>0</v>
      </c>
      <c r="N1807" s="64">
        <f ca="1">$K$1807-EFEITO!$M$1807*EFEITO!$Z$1807</f>
        <v>1730693.0496976022</v>
      </c>
      <c r="O1807" s="64">
        <f>$L$1807-EFEITO!$O$1807*EFEITO!$AA$1807</f>
        <v>1176754.2958235457</v>
      </c>
      <c r="P1807" s="19"/>
      <c r="Q1807" s="19"/>
      <c r="R1807" s="19"/>
      <c r="S1807" s="19"/>
      <c r="T1807" s="19"/>
      <c r="U1807" s="19"/>
      <c r="V1807" s="19"/>
      <c r="W1807" s="19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</row>
    <row r="1808" spans="1:36" ht="11.25" customHeight="1" x14ac:dyDescent="0.2">
      <c r="A1808" s="55" t="s">
        <v>27</v>
      </c>
      <c r="B1808" s="55" t="s">
        <v>44</v>
      </c>
      <c r="C1808" s="55" t="s">
        <v>23</v>
      </c>
      <c r="D1808" s="55" t="s">
        <v>45</v>
      </c>
      <c r="E1808" s="55" t="s">
        <v>53</v>
      </c>
      <c r="F1808" s="55" t="s">
        <v>55</v>
      </c>
      <c r="G1808" s="55" t="s">
        <v>25</v>
      </c>
      <c r="H1808" s="55" t="s">
        <v>25</v>
      </c>
      <c r="I1808" s="63">
        <v>44501</v>
      </c>
      <c r="J1808" s="64">
        <f>EFEITO!$J$1808*EFEITO!$Y$1521</f>
        <v>0</v>
      </c>
      <c r="K1808" s="64">
        <f ca="1">EFEITO!$L$1808*EFEITO!$Z$1521</f>
        <v>-11365.518264851187</v>
      </c>
      <c r="L1808" s="64">
        <f>EFEITO!$N$1808*EFEITO!$AA$1521</f>
        <v>-7727.7842219112572</v>
      </c>
      <c r="M1808" s="64">
        <f>$J$1808-EFEITO!$K$1808*EFEITO!$Y$1808</f>
        <v>0</v>
      </c>
      <c r="N1808" s="64">
        <f ca="1">$K$1808-EFEITO!$M$1808*EFEITO!$Z$1808</f>
        <v>-8480.9497292319575</v>
      </c>
      <c r="O1808" s="64">
        <f>$L$1808-EFEITO!$O$1808*EFEITO!$AA$1808</f>
        <v>-5766.4725863901804</v>
      </c>
      <c r="P1808" s="19"/>
      <c r="Q1808" s="19"/>
      <c r="R1808" s="19"/>
      <c r="S1808" s="19"/>
      <c r="T1808" s="19"/>
      <c r="U1808" s="19"/>
      <c r="V1808" s="19"/>
      <c r="W1808" s="19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</row>
    <row r="1809" spans="1:36" ht="11.25" customHeight="1" x14ac:dyDescent="0.2">
      <c r="A1809" s="55" t="s">
        <v>28</v>
      </c>
      <c r="B1809" s="55" t="s">
        <v>44</v>
      </c>
      <c r="C1809" s="55" t="s">
        <v>23</v>
      </c>
      <c r="D1809" s="55" t="s">
        <v>45</v>
      </c>
      <c r="E1809" s="55" t="s">
        <v>53</v>
      </c>
      <c r="F1809" s="55" t="s">
        <v>55</v>
      </c>
      <c r="G1809" s="55" t="s">
        <v>25</v>
      </c>
      <c r="H1809" s="55" t="s">
        <v>25</v>
      </c>
      <c r="I1809" s="63">
        <v>44501</v>
      </c>
      <c r="J1809" s="64">
        <f>EFEITO!$J$1809*EFEITO!$Y$1521</f>
        <v>0</v>
      </c>
      <c r="K1809" s="64">
        <f ca="1">EFEITO!$L$1809*EFEITO!$Z$1521</f>
        <v>61514.160337988622</v>
      </c>
      <c r="L1809" s="64">
        <f>EFEITO!$N$1809*EFEITO!$AA$1521</f>
        <v>41825.47127253699</v>
      </c>
      <c r="M1809" s="64">
        <f>$J$1809-EFEITO!$K$1809*EFEITO!$Y$1809</f>
        <v>0</v>
      </c>
      <c r="N1809" s="64">
        <f ca="1">$K$1809-EFEITO!$M$1809*EFEITO!$Z$1809</f>
        <v>45901.866444207109</v>
      </c>
      <c r="O1809" s="64">
        <f>$L$1809-EFEITO!$O$1809*EFEITO!$AA$1809</f>
        <v>31210.166663567106</v>
      </c>
      <c r="P1809" s="19"/>
      <c r="Q1809" s="19"/>
      <c r="R1809" s="19"/>
      <c r="S1809" s="19"/>
      <c r="T1809" s="19"/>
      <c r="U1809" s="19"/>
      <c r="V1809" s="19"/>
      <c r="W1809" s="19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</row>
    <row r="1810" spans="1:36" ht="11.25" customHeight="1" x14ac:dyDescent="0.2">
      <c r="A1810" s="55" t="s">
        <v>21</v>
      </c>
      <c r="B1810" s="55" t="s">
        <v>44</v>
      </c>
      <c r="C1810" s="55" t="s">
        <v>23</v>
      </c>
      <c r="D1810" s="55" t="s">
        <v>45</v>
      </c>
      <c r="E1810" s="55" t="s">
        <v>53</v>
      </c>
      <c r="F1810" s="55" t="s">
        <v>55</v>
      </c>
      <c r="G1810" s="55" t="s">
        <v>25</v>
      </c>
      <c r="H1810" s="55" t="s">
        <v>25</v>
      </c>
      <c r="I1810" s="63">
        <v>44531</v>
      </c>
      <c r="J1810" s="64">
        <f>EFEITO!$J$1810*EFEITO!$Y$1521</f>
        <v>0</v>
      </c>
      <c r="K1810" s="64">
        <f ca="1">EFEITO!$L$1810*EFEITO!$Z$1521</f>
        <v>2425955.6270617889</v>
      </c>
      <c r="L1810" s="64">
        <f>EFEITO!$N$1810*EFEITO!$AA$1521</f>
        <v>1649485.8554618133</v>
      </c>
      <c r="M1810" s="64">
        <f>$J$1810-EFEITO!$K$1810*EFEITO!$Y$1810</f>
        <v>0</v>
      </c>
      <c r="N1810" s="64">
        <f ca="1">$K$1810-EFEITO!$M$1810*EFEITO!$Z$1810</f>
        <v>1810248.0889135068</v>
      </c>
      <c r="O1810" s="64">
        <f>$L$1810-EFEITO!$O$1810*EFEITO!$AA$1810</f>
        <v>1230846.3453456052</v>
      </c>
      <c r="P1810" s="19"/>
      <c r="Q1810" s="19"/>
      <c r="R1810" s="19"/>
      <c r="S1810" s="19"/>
      <c r="T1810" s="19"/>
      <c r="U1810" s="19"/>
      <c r="V1810" s="19"/>
      <c r="W1810" s="19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</row>
    <row r="1811" spans="1:36" ht="11.25" customHeight="1" x14ac:dyDescent="0.2">
      <c r="A1811" s="55" t="s">
        <v>27</v>
      </c>
      <c r="B1811" s="55" t="s">
        <v>44</v>
      </c>
      <c r="C1811" s="55" t="s">
        <v>23</v>
      </c>
      <c r="D1811" s="55" t="s">
        <v>45</v>
      </c>
      <c r="E1811" s="55" t="s">
        <v>53</v>
      </c>
      <c r="F1811" s="55" t="s">
        <v>55</v>
      </c>
      <c r="G1811" s="55" t="s">
        <v>25</v>
      </c>
      <c r="H1811" s="55" t="s">
        <v>25</v>
      </c>
      <c r="I1811" s="63">
        <v>44531</v>
      </c>
      <c r="J1811" s="64">
        <f>EFEITO!$J$1811*EFEITO!$Y$1521</f>
        <v>0</v>
      </c>
      <c r="K1811" s="64">
        <f ca="1">EFEITO!$L$1811*EFEITO!$Z$1521</f>
        <v>-21618.769846257524</v>
      </c>
      <c r="L1811" s="64">
        <f>EFEITO!$N$1811*EFEITO!$AA$1521</f>
        <v>-14699.302277459952</v>
      </c>
      <c r="M1811" s="64">
        <f>$J$1811-EFEITO!$K$1811*EFEITO!$Y$1811</f>
        <v>0</v>
      </c>
      <c r="N1811" s="64">
        <f ca="1">$K$1811-EFEITO!$M$1811*EFEITO!$Z$1811</f>
        <v>-16131.926059277364</v>
      </c>
      <c r="O1811" s="64">
        <f>$L$1811-EFEITO!$O$1811*EFEITO!$AA$1811</f>
        <v>-10968.619359440616</v>
      </c>
      <c r="P1811" s="19"/>
      <c r="Q1811" s="19"/>
      <c r="R1811" s="19"/>
      <c r="S1811" s="19"/>
      <c r="T1811" s="19"/>
      <c r="U1811" s="19"/>
      <c r="V1811" s="19"/>
      <c r="W1811" s="19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</row>
    <row r="1812" spans="1:36" ht="11.25" customHeight="1" x14ac:dyDescent="0.2">
      <c r="A1812" s="55" t="s">
        <v>28</v>
      </c>
      <c r="B1812" s="55" t="s">
        <v>44</v>
      </c>
      <c r="C1812" s="55" t="s">
        <v>23</v>
      </c>
      <c r="D1812" s="55" t="s">
        <v>45</v>
      </c>
      <c r="E1812" s="55" t="s">
        <v>53</v>
      </c>
      <c r="F1812" s="55" t="s">
        <v>55</v>
      </c>
      <c r="G1812" s="55" t="s">
        <v>25</v>
      </c>
      <c r="H1812" s="55" t="s">
        <v>25</v>
      </c>
      <c r="I1812" s="63">
        <v>44531</v>
      </c>
      <c r="J1812" s="64">
        <f>EFEITO!$J$1812*EFEITO!$Y$1521</f>
        <v>0</v>
      </c>
      <c r="K1812" s="64">
        <f ca="1">EFEITO!$L$1812*EFEITO!$Z$1521</f>
        <v>71123.37420528743</v>
      </c>
      <c r="L1812" s="64">
        <f>EFEITO!$N$1812*EFEITO!$AA$1521</f>
        <v>48359.087213160776</v>
      </c>
      <c r="M1812" s="64">
        <f>$J$1812-EFEITO!$K$1812*EFEITO!$Y$1812</f>
        <v>0</v>
      </c>
      <c r="N1812" s="64">
        <f ca="1">$K$1812-EFEITO!$M$1812*EFEITO!$Z$1812</f>
        <v>53072.261831985481</v>
      </c>
      <c r="O1812" s="64">
        <f>$L$1812-EFEITO!$O$1812*EFEITO!$AA$1812</f>
        <v>36085.550878460577</v>
      </c>
      <c r="P1812" s="19"/>
      <c r="Q1812" s="19"/>
      <c r="R1812" s="19"/>
      <c r="S1812" s="19"/>
      <c r="T1812" s="19"/>
      <c r="U1812" s="19"/>
      <c r="V1812" s="19"/>
      <c r="W1812" s="19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</row>
    <row r="1813" spans="1:36" ht="11.25" customHeight="1" x14ac:dyDescent="0.2">
      <c r="A1813" s="55" t="s">
        <v>21</v>
      </c>
      <c r="B1813" s="55" t="s">
        <v>44</v>
      </c>
      <c r="C1813" s="55" t="s">
        <v>23</v>
      </c>
      <c r="D1813" s="55" t="s">
        <v>45</v>
      </c>
      <c r="E1813" s="55" t="s">
        <v>53</v>
      </c>
      <c r="F1813" s="55" t="s">
        <v>55</v>
      </c>
      <c r="G1813" s="55" t="s">
        <v>25</v>
      </c>
      <c r="H1813" s="55" t="s">
        <v>25</v>
      </c>
      <c r="I1813" s="63">
        <v>44562</v>
      </c>
      <c r="J1813" s="64">
        <f>EFEITO!$J$1813*EFEITO!$Y$1521</f>
        <v>0</v>
      </c>
      <c r="K1813" s="64">
        <f ca="1">EFEITO!$L$1813*EFEITO!$Z$1521</f>
        <v>1305783.2558627573</v>
      </c>
      <c r="L1813" s="64">
        <f>EFEITO!$N$1813*EFEITO!$AA$1521</f>
        <v>887844.35577379714</v>
      </c>
      <c r="M1813" s="64">
        <f>$J$1813-EFEITO!$K$1813*EFEITO!$Y$1813</f>
        <v>0</v>
      </c>
      <c r="N1813" s="64">
        <f ca="1">$K$1813-EFEITO!$M$1813*EFEITO!$Z$1813</f>
        <v>974375.46552478953</v>
      </c>
      <c r="O1813" s="64">
        <f>$L$1813-EFEITO!$O$1813*EFEITO!$AA$1813</f>
        <v>662509.45827840746</v>
      </c>
      <c r="P1813" s="19"/>
      <c r="Q1813" s="19"/>
      <c r="R1813" s="19"/>
      <c r="S1813" s="19"/>
      <c r="T1813" s="19"/>
      <c r="U1813" s="19"/>
      <c r="V1813" s="19"/>
      <c r="W1813" s="19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</row>
    <row r="1814" spans="1:36" ht="11.25" customHeight="1" x14ac:dyDescent="0.2">
      <c r="A1814" s="55" t="s">
        <v>27</v>
      </c>
      <c r="B1814" s="55" t="s">
        <v>44</v>
      </c>
      <c r="C1814" s="55" t="s">
        <v>23</v>
      </c>
      <c r="D1814" s="55" t="s">
        <v>45</v>
      </c>
      <c r="E1814" s="55" t="s">
        <v>53</v>
      </c>
      <c r="F1814" s="55" t="s">
        <v>55</v>
      </c>
      <c r="G1814" s="55" t="s">
        <v>25</v>
      </c>
      <c r="H1814" s="55" t="s">
        <v>25</v>
      </c>
      <c r="I1814" s="63">
        <v>44562</v>
      </c>
      <c r="J1814" s="64">
        <f>EFEITO!$J$1814*EFEITO!$Y$1521</f>
        <v>0</v>
      </c>
      <c r="K1814" s="64">
        <f ca="1">EFEITO!$L$1814*EFEITO!$Z$1521</f>
        <v>-16705.753463500321</v>
      </c>
      <c r="L1814" s="64">
        <f>EFEITO!$N$1814*EFEITO!$AA$1521</f>
        <v>-11358.783209176203</v>
      </c>
      <c r="M1814" s="64">
        <f>$J$1814-EFEITO!$K$1814*EFEITO!$Y$1814</f>
        <v>0</v>
      </c>
      <c r="N1814" s="64">
        <f ca="1">$K$1814-EFEITO!$M$1814*EFEITO!$Z$1814</f>
        <v>-12465.83323446394</v>
      </c>
      <c r="O1814" s="64">
        <f>$L$1814-EFEITO!$O$1814*EFEITO!$AA$1814</f>
        <v>-8475.9240306872834</v>
      </c>
      <c r="P1814" s="19"/>
      <c r="Q1814" s="19"/>
      <c r="R1814" s="19"/>
      <c r="S1814" s="19"/>
      <c r="T1814" s="19"/>
      <c r="U1814" s="19"/>
      <c r="V1814" s="19"/>
      <c r="W1814" s="19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</row>
    <row r="1815" spans="1:36" ht="11.25" customHeight="1" x14ac:dyDescent="0.2">
      <c r="A1815" s="55" t="s">
        <v>28</v>
      </c>
      <c r="B1815" s="55" t="s">
        <v>44</v>
      </c>
      <c r="C1815" s="55" t="s">
        <v>23</v>
      </c>
      <c r="D1815" s="55" t="s">
        <v>45</v>
      </c>
      <c r="E1815" s="55" t="s">
        <v>53</v>
      </c>
      <c r="F1815" s="55" t="s">
        <v>55</v>
      </c>
      <c r="G1815" s="55" t="s">
        <v>25</v>
      </c>
      <c r="H1815" s="55" t="s">
        <v>25</v>
      </c>
      <c r="I1815" s="63">
        <v>44562</v>
      </c>
      <c r="J1815" s="64">
        <f>EFEITO!$J$1815*EFEITO!$Y$1521</f>
        <v>0</v>
      </c>
      <c r="K1815" s="64">
        <f ca="1">EFEITO!$L$1815*EFEITO!$Z$1521</f>
        <v>46833.595234630433</v>
      </c>
      <c r="L1815" s="64">
        <f>EFEITO!$N$1815*EFEITO!$AA$1521</f>
        <v>31843.679265275819</v>
      </c>
      <c r="M1815" s="64">
        <f>$J$1815-EFEITO!$K$1815*EFEITO!$Y$1815</f>
        <v>0</v>
      </c>
      <c r="N1815" s="64">
        <f ca="1">$K$1815-EFEITO!$M$1815*EFEITO!$Z$1815</f>
        <v>34947.228764081228</v>
      </c>
      <c r="O1815" s="64">
        <f>$L$1815-EFEITO!$O$1815*EFEITO!$AA$1815</f>
        <v>23761.753467748818</v>
      </c>
      <c r="P1815" s="19"/>
      <c r="Q1815" s="19"/>
      <c r="R1815" s="19"/>
      <c r="S1815" s="19"/>
      <c r="T1815" s="19"/>
      <c r="U1815" s="19"/>
      <c r="V1815" s="19"/>
      <c r="W1815" s="19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</row>
    <row r="1816" spans="1:36" ht="11.25" customHeight="1" x14ac:dyDescent="0.2">
      <c r="A1816" s="55" t="s">
        <v>21</v>
      </c>
      <c r="B1816" s="55" t="s">
        <v>44</v>
      </c>
      <c r="C1816" s="55" t="s">
        <v>23</v>
      </c>
      <c r="D1816" s="55" t="s">
        <v>45</v>
      </c>
      <c r="E1816" s="55" t="s">
        <v>53</v>
      </c>
      <c r="F1816" s="55" t="s">
        <v>55</v>
      </c>
      <c r="G1816" s="55" t="s">
        <v>25</v>
      </c>
      <c r="H1816" s="55" t="s">
        <v>25</v>
      </c>
      <c r="I1816" s="63">
        <v>44593</v>
      </c>
      <c r="J1816" s="64">
        <f>EFEITO!$J$1816*EFEITO!$Y$1521</f>
        <v>0</v>
      </c>
      <c r="K1816" s="64">
        <f ca="1">EFEITO!$L$1816*EFEITO!$Z$1521</f>
        <v>1001566.3715045869</v>
      </c>
      <c r="L1816" s="64">
        <f>EFEITO!$N$1816*EFEITO!$AA$1521</f>
        <v>680997.43650461652</v>
      </c>
      <c r="M1816" s="64">
        <f>$J$1816-EFEITO!$K$1816*EFEITO!$Y$1816</f>
        <v>0</v>
      </c>
      <c r="N1816" s="64">
        <f ca="1">$K$1816-EFEITO!$M$1816*EFEITO!$Z$1816</f>
        <v>747368.82641672273</v>
      </c>
      <c r="O1816" s="64">
        <f>$L$1816-EFEITO!$O$1816*EFEITO!$AA$1816</f>
        <v>508160.28711974487</v>
      </c>
      <c r="P1816" s="19"/>
      <c r="Q1816" s="19"/>
      <c r="R1816" s="19"/>
      <c r="S1816" s="19"/>
      <c r="T1816" s="19"/>
      <c r="U1816" s="19"/>
      <c r="V1816" s="19"/>
      <c r="W1816" s="19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</row>
    <row r="1817" spans="1:36" ht="11.25" customHeight="1" x14ac:dyDescent="0.2">
      <c r="A1817" s="55" t="s">
        <v>27</v>
      </c>
      <c r="B1817" s="55" t="s">
        <v>44</v>
      </c>
      <c r="C1817" s="55" t="s">
        <v>23</v>
      </c>
      <c r="D1817" s="55" t="s">
        <v>45</v>
      </c>
      <c r="E1817" s="55" t="s">
        <v>53</v>
      </c>
      <c r="F1817" s="55" t="s">
        <v>55</v>
      </c>
      <c r="G1817" s="55" t="s">
        <v>25</v>
      </c>
      <c r="H1817" s="55" t="s">
        <v>25</v>
      </c>
      <c r="I1817" s="63">
        <v>44593</v>
      </c>
      <c r="J1817" s="64">
        <f>EFEITO!$J$1817*EFEITO!$Y$1521</f>
        <v>0</v>
      </c>
      <c r="K1817" s="64">
        <f ca="1">EFEITO!$L$1817*EFEITO!$Z$1521</f>
        <v>-22017.816469782625</v>
      </c>
      <c r="L1817" s="64">
        <f>EFEITO!$N$1817*EFEITO!$AA$1521</f>
        <v>-14970.627009797146</v>
      </c>
      <c r="M1817" s="64">
        <f>$J$1817-EFEITO!$K$1817*EFEITO!$Y$1817</f>
        <v>0</v>
      </c>
      <c r="N1817" s="64">
        <f ca="1">$K$1817-EFEITO!$M$1817*EFEITO!$Z$1817</f>
        <v>-16429.694649751797</v>
      </c>
      <c r="O1817" s="64">
        <f>$L$1817-EFEITO!$O$1817*EFEITO!$AA$1817</f>
        <v>-11171.081874710631</v>
      </c>
      <c r="P1817" s="19"/>
      <c r="Q1817" s="19"/>
      <c r="R1817" s="19"/>
      <c r="S1817" s="19"/>
      <c r="T1817" s="19"/>
      <c r="U1817" s="19"/>
      <c r="V1817" s="19"/>
      <c r="W1817" s="19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</row>
    <row r="1818" spans="1:36" ht="11.25" customHeight="1" x14ac:dyDescent="0.2">
      <c r="A1818" s="55" t="s">
        <v>28</v>
      </c>
      <c r="B1818" s="55" t="s">
        <v>44</v>
      </c>
      <c r="C1818" s="55" t="s">
        <v>23</v>
      </c>
      <c r="D1818" s="55" t="s">
        <v>45</v>
      </c>
      <c r="E1818" s="55" t="s">
        <v>53</v>
      </c>
      <c r="F1818" s="55" t="s">
        <v>55</v>
      </c>
      <c r="G1818" s="55" t="s">
        <v>25</v>
      </c>
      <c r="H1818" s="55" t="s">
        <v>25</v>
      </c>
      <c r="I1818" s="63">
        <v>44593</v>
      </c>
      <c r="J1818" s="64">
        <f>EFEITO!$J$1818*EFEITO!$Y$1521</f>
        <v>0</v>
      </c>
      <c r="K1818" s="64">
        <f ca="1">EFEITO!$L$1818*EFEITO!$Z$1521</f>
        <v>38377.658204221865</v>
      </c>
      <c r="L1818" s="64">
        <f>EFEITO!$N$1818*EFEITO!$AA$1521</f>
        <v>26094.213623471045</v>
      </c>
      <c r="M1818" s="64">
        <f>$J$1818-EFEITO!$K$1818*EFEITO!$Y$1818</f>
        <v>0</v>
      </c>
      <c r="N1818" s="64">
        <f ca="1">$K$1818-EFEITO!$M$1818*EFEITO!$Z$1818</f>
        <v>28637.408551990357</v>
      </c>
      <c r="O1818" s="64">
        <f>$L$1818-EFEITO!$O$1818*EFEITO!$AA$1818</f>
        <v>19471.502205834095</v>
      </c>
      <c r="P1818" s="19"/>
      <c r="Q1818" s="19"/>
      <c r="R1818" s="19"/>
      <c r="S1818" s="19"/>
      <c r="T1818" s="19"/>
      <c r="U1818" s="19"/>
      <c r="V1818" s="19"/>
      <c r="W1818" s="19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</row>
    <row r="1819" spans="1:36" ht="11.25" customHeight="1" x14ac:dyDescent="0.2">
      <c r="A1819" s="55" t="s">
        <v>21</v>
      </c>
      <c r="B1819" s="55" t="s">
        <v>44</v>
      </c>
      <c r="C1819" s="55" t="s">
        <v>23</v>
      </c>
      <c r="D1819" s="55" t="s">
        <v>45</v>
      </c>
      <c r="E1819" s="55" t="s">
        <v>53</v>
      </c>
      <c r="F1819" s="55" t="s">
        <v>55</v>
      </c>
      <c r="G1819" s="55" t="s">
        <v>25</v>
      </c>
      <c r="H1819" s="55" t="s">
        <v>25</v>
      </c>
      <c r="I1819" s="63">
        <v>44621</v>
      </c>
      <c r="J1819" s="64">
        <f>EFEITO!$J$1819*EFEITO!$Y$1521</f>
        <v>0</v>
      </c>
      <c r="K1819" s="64">
        <f ca="1">EFEITO!$L$1819*EFEITO!$Z$1521</f>
        <v>1110403.0394282809</v>
      </c>
      <c r="L1819" s="64">
        <f>EFEITO!$N$1819*EFEITO!$AA$1521</f>
        <v>754999.01439545362</v>
      </c>
      <c r="M1819" s="64">
        <f>$J$1819-EFEITO!$K$1819*EFEITO!$Y$1819</f>
        <v>0</v>
      </c>
      <c r="N1819" s="64">
        <f ca="1">$K$1819-EFEITO!$M$1819*EFEITO!$Z$1819</f>
        <v>828582.7480213833</v>
      </c>
      <c r="O1819" s="64">
        <f>$L$1819-EFEITO!$O$1819*EFEITO!$AA$1819</f>
        <v>563380.26454188745</v>
      </c>
      <c r="P1819" s="19"/>
      <c r="Q1819" s="19"/>
      <c r="R1819" s="19"/>
      <c r="S1819" s="19"/>
      <c r="T1819" s="19"/>
      <c r="U1819" s="19"/>
      <c r="V1819" s="19"/>
      <c r="W1819" s="19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</row>
    <row r="1820" spans="1:36" ht="11.25" customHeight="1" x14ac:dyDescent="0.2">
      <c r="A1820" s="55" t="s">
        <v>27</v>
      </c>
      <c r="B1820" s="55" t="s">
        <v>44</v>
      </c>
      <c r="C1820" s="55" t="s">
        <v>23</v>
      </c>
      <c r="D1820" s="55" t="s">
        <v>45</v>
      </c>
      <c r="E1820" s="55" t="s">
        <v>53</v>
      </c>
      <c r="F1820" s="55" t="s">
        <v>55</v>
      </c>
      <c r="G1820" s="55" t="s">
        <v>25</v>
      </c>
      <c r="H1820" s="55" t="s">
        <v>25</v>
      </c>
      <c r="I1820" s="63">
        <v>44621</v>
      </c>
      <c r="J1820" s="64">
        <f>EFEITO!$J$1820*EFEITO!$Y$1521</f>
        <v>0</v>
      </c>
      <c r="K1820" s="64">
        <f ca="1">EFEITO!$L$1820*EFEITO!$Z$1521</f>
        <v>-19180.627071421855</v>
      </c>
      <c r="L1820" s="64">
        <f>EFEITO!$N$1820*EFEITO!$AA$1521</f>
        <v>-13041.529985244231</v>
      </c>
      <c r="M1820" s="64">
        <f>$J$1820-EFEITO!$K$1820*EFEITO!$Y$1820</f>
        <v>0</v>
      </c>
      <c r="N1820" s="64">
        <f ca="1">$K$1820-EFEITO!$M$1820*EFEITO!$Z$1820</f>
        <v>-14312.58392069499</v>
      </c>
      <c r="O1820" s="64">
        <f>$L$1820-EFEITO!$O$1820*EFEITO!$AA$1820</f>
        <v>-9731.5896749892454</v>
      </c>
      <c r="P1820" s="19"/>
      <c r="Q1820" s="19"/>
      <c r="R1820" s="19"/>
      <c r="S1820" s="19"/>
      <c r="T1820" s="19"/>
      <c r="U1820" s="19"/>
      <c r="V1820" s="19"/>
      <c r="W1820" s="19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</row>
    <row r="1821" spans="1:36" ht="11.25" customHeight="1" x14ac:dyDescent="0.2">
      <c r="A1821" s="55" t="s">
        <v>28</v>
      </c>
      <c r="B1821" s="55" t="s">
        <v>44</v>
      </c>
      <c r="C1821" s="55" t="s">
        <v>23</v>
      </c>
      <c r="D1821" s="55" t="s">
        <v>45</v>
      </c>
      <c r="E1821" s="55" t="s">
        <v>53</v>
      </c>
      <c r="F1821" s="55" t="s">
        <v>55</v>
      </c>
      <c r="G1821" s="55" t="s">
        <v>25</v>
      </c>
      <c r="H1821" s="55" t="s">
        <v>25</v>
      </c>
      <c r="I1821" s="63">
        <v>44621</v>
      </c>
      <c r="J1821" s="64">
        <f>EFEITO!$J$1821*EFEITO!$Y$1521</f>
        <v>0</v>
      </c>
      <c r="K1821" s="64">
        <f ca="1">EFEITO!$L$1821*EFEITO!$Z$1521</f>
        <v>48834.17750270533</v>
      </c>
      <c r="L1821" s="64">
        <f>EFEITO!$N$1821*EFEITO!$AA$1521</f>
        <v>33203.939987716971</v>
      </c>
      <c r="M1821" s="64">
        <f>$J$1821-EFEITO!$K$1821*EFEITO!$Y$1821</f>
        <v>0</v>
      </c>
      <c r="N1821" s="64">
        <f ca="1">$K$1821-EFEITO!$M$1821*EFEITO!$Z$1821</f>
        <v>36440.063252518717</v>
      </c>
      <c r="O1821" s="64">
        <f>$L$1821-EFEITO!$O$1821*EFEITO!$AA$1821</f>
        <v>24776.780018834404</v>
      </c>
      <c r="P1821" s="19"/>
      <c r="Q1821" s="19"/>
      <c r="R1821" s="19"/>
      <c r="S1821" s="19"/>
      <c r="T1821" s="19"/>
      <c r="U1821" s="19"/>
      <c r="V1821" s="19"/>
      <c r="W1821" s="19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</row>
    <row r="1822" spans="1:36" ht="11.25" customHeight="1" x14ac:dyDescent="0.2">
      <c r="A1822" s="55" t="s">
        <v>21</v>
      </c>
      <c r="B1822" s="55" t="s">
        <v>44</v>
      </c>
      <c r="C1822" s="55" t="s">
        <v>23</v>
      </c>
      <c r="D1822" s="55" t="s">
        <v>45</v>
      </c>
      <c r="E1822" s="55" t="s">
        <v>53</v>
      </c>
      <c r="F1822" s="55" t="s">
        <v>55</v>
      </c>
      <c r="G1822" s="55" t="s">
        <v>25</v>
      </c>
      <c r="H1822" s="55" t="s">
        <v>25</v>
      </c>
      <c r="I1822" s="63">
        <v>44652</v>
      </c>
      <c r="J1822" s="64">
        <f>EFEITO!$J$1822*EFEITO!$Y$1521</f>
        <v>0</v>
      </c>
      <c r="K1822" s="64">
        <f ca="1">EFEITO!$L$1822*EFEITO!$Z$1521</f>
        <v>809270.83182926336</v>
      </c>
      <c r="L1822" s="64">
        <f>EFEITO!$N$1822*EFEITO!$AA$1521</f>
        <v>550249.46682843275</v>
      </c>
      <c r="M1822" s="64">
        <f>$J$1822-EFEITO!$K$1822*EFEITO!$Y$1822</f>
        <v>0</v>
      </c>
      <c r="N1822" s="64">
        <f ca="1">$K$1822-EFEITO!$M$1822*EFEITO!$Z$1822</f>
        <v>603877.8947109963</v>
      </c>
      <c r="O1822" s="64">
        <f>$L$1822-EFEITO!$O$1822*EFEITO!$AA$1822</f>
        <v>410596.1521473765</v>
      </c>
      <c r="P1822" s="19"/>
      <c r="Q1822" s="19"/>
      <c r="R1822" s="19"/>
      <c r="S1822" s="19"/>
      <c r="T1822" s="19"/>
      <c r="U1822" s="19"/>
      <c r="V1822" s="19"/>
      <c r="W1822" s="19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</row>
    <row r="1823" spans="1:36" ht="11.25" customHeight="1" x14ac:dyDescent="0.2">
      <c r="A1823" s="55" t="s">
        <v>27</v>
      </c>
      <c r="B1823" s="55" t="s">
        <v>44</v>
      </c>
      <c r="C1823" s="55" t="s">
        <v>23</v>
      </c>
      <c r="D1823" s="55" t="s">
        <v>45</v>
      </c>
      <c r="E1823" s="55" t="s">
        <v>53</v>
      </c>
      <c r="F1823" s="55" t="s">
        <v>55</v>
      </c>
      <c r="G1823" s="55" t="s">
        <v>25</v>
      </c>
      <c r="H1823" s="55" t="s">
        <v>25</v>
      </c>
      <c r="I1823" s="63">
        <v>44652</v>
      </c>
      <c r="J1823" s="64">
        <f>EFEITO!$J$1823*EFEITO!$Y$1521</f>
        <v>0</v>
      </c>
      <c r="K1823" s="64">
        <f ca="1">EFEITO!$L$1823*EFEITO!$Z$1521</f>
        <v>-17472.465027914055</v>
      </c>
      <c r="L1823" s="64">
        <f>EFEITO!$N$1823*EFEITO!$AA$1521</f>
        <v>-11880.095250753475</v>
      </c>
      <c r="M1823" s="64">
        <f>$J$1823-EFEITO!$K$1823*EFEITO!$Y$1823</f>
        <v>0</v>
      </c>
      <c r="N1823" s="64">
        <f ca="1">$K$1823-EFEITO!$M$1823*EFEITO!$Z$1823</f>
        <v>-13037.95340382947</v>
      </c>
      <c r="O1823" s="64">
        <f>$L$1823-EFEITO!$O$1823*EFEITO!$AA$1823</f>
        <v>-8864.9270761122425</v>
      </c>
      <c r="P1823" s="19"/>
      <c r="Q1823" s="19"/>
      <c r="R1823" s="19"/>
      <c r="S1823" s="19"/>
      <c r="T1823" s="19"/>
      <c r="U1823" s="19"/>
      <c r="V1823" s="19"/>
      <c r="W1823" s="19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</row>
    <row r="1824" spans="1:36" ht="11.25" customHeight="1" x14ac:dyDescent="0.2">
      <c r="A1824" s="55" t="s">
        <v>28</v>
      </c>
      <c r="B1824" s="55" t="s">
        <v>44</v>
      </c>
      <c r="C1824" s="55" t="s">
        <v>23</v>
      </c>
      <c r="D1824" s="55" t="s">
        <v>45</v>
      </c>
      <c r="E1824" s="55" t="s">
        <v>53</v>
      </c>
      <c r="F1824" s="55" t="s">
        <v>55</v>
      </c>
      <c r="G1824" s="55" t="s">
        <v>25</v>
      </c>
      <c r="H1824" s="55" t="s">
        <v>25</v>
      </c>
      <c r="I1824" s="63">
        <v>44652</v>
      </c>
      <c r="J1824" s="64">
        <f>EFEITO!$J$1824*EFEITO!$Y$1521</f>
        <v>0</v>
      </c>
      <c r="K1824" s="64">
        <f ca="1">EFEITO!$L$1824*EFEITO!$Z$1521</f>
        <v>34995.568680082411</v>
      </c>
      <c r="L1824" s="64">
        <f>EFEITO!$N$1824*EFEITO!$AA$1521</f>
        <v>23794.621343322749</v>
      </c>
      <c r="M1824" s="64">
        <f>$J$1824-EFEITO!$K$1824*EFEITO!$Y$1824</f>
        <v>0</v>
      </c>
      <c r="N1824" s="64">
        <f ca="1">$K$1824-EFEITO!$M$1824*EFEITO!$Z$1824</f>
        <v>26113.693349077497</v>
      </c>
      <c r="O1824" s="64">
        <f>$L$1824-EFEITO!$O$1824*EFEITO!$AA$1824</f>
        <v>17755.546446387438</v>
      </c>
      <c r="P1824" s="19"/>
      <c r="Q1824" s="19"/>
      <c r="R1824" s="19"/>
      <c r="S1824" s="19"/>
      <c r="T1824" s="19"/>
      <c r="U1824" s="19"/>
      <c r="V1824" s="19"/>
      <c r="W1824" s="19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</row>
    <row r="1825" spans="1:36" ht="11.25" customHeight="1" x14ac:dyDescent="0.2">
      <c r="A1825" s="55" t="s">
        <v>21</v>
      </c>
      <c r="B1825" s="55" t="s">
        <v>44</v>
      </c>
      <c r="C1825" s="55" t="s">
        <v>23</v>
      </c>
      <c r="D1825" s="55" t="s">
        <v>45</v>
      </c>
      <c r="E1825" s="55" t="s">
        <v>53</v>
      </c>
      <c r="F1825" s="55" t="s">
        <v>55</v>
      </c>
      <c r="G1825" s="55" t="s">
        <v>25</v>
      </c>
      <c r="H1825" s="55" t="s">
        <v>25</v>
      </c>
      <c r="I1825" s="63">
        <v>44682</v>
      </c>
      <c r="J1825" s="64">
        <f>EFEITO!$J$1825*EFEITO!$Y$1521</f>
        <v>0</v>
      </c>
      <c r="K1825" s="64">
        <f ca="1">EFEITO!$L$1825*EFEITO!$Z$1521</f>
        <v>835243.453531301</v>
      </c>
      <c r="L1825" s="64">
        <f>EFEITO!$N$1825*EFEITO!$AA$1521</f>
        <v>567909.09408990061</v>
      </c>
      <c r="M1825" s="64">
        <f>$J$1825-EFEITO!$K$1825*EFEITO!$Y$1825</f>
        <v>0</v>
      </c>
      <c r="N1825" s="64">
        <f ca="1">$K$1825-EFEITO!$M$1825*EFEITO!$Z$1825</f>
        <v>623258.66502505681</v>
      </c>
      <c r="O1825" s="64">
        <f>$L$1825-EFEITO!$O$1825*EFEITO!$AA$1825</f>
        <v>423773.76600988384</v>
      </c>
      <c r="P1825" s="19"/>
      <c r="Q1825" s="19"/>
      <c r="R1825" s="19"/>
      <c r="S1825" s="19"/>
      <c r="T1825" s="19"/>
      <c r="U1825" s="19"/>
      <c r="V1825" s="19"/>
      <c r="W1825" s="19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</row>
    <row r="1826" spans="1:36" ht="11.25" customHeight="1" x14ac:dyDescent="0.2">
      <c r="A1826" s="55" t="s">
        <v>27</v>
      </c>
      <c r="B1826" s="55" t="s">
        <v>44</v>
      </c>
      <c r="C1826" s="55" t="s">
        <v>23</v>
      </c>
      <c r="D1826" s="55" t="s">
        <v>45</v>
      </c>
      <c r="E1826" s="55" t="s">
        <v>53</v>
      </c>
      <c r="F1826" s="55" t="s">
        <v>55</v>
      </c>
      <c r="G1826" s="55" t="s">
        <v>25</v>
      </c>
      <c r="H1826" s="55" t="s">
        <v>25</v>
      </c>
      <c r="I1826" s="63">
        <v>44682</v>
      </c>
      <c r="J1826" s="64">
        <f>EFEITO!$J$1826*EFEITO!$Y$1521</f>
        <v>0</v>
      </c>
      <c r="K1826" s="64">
        <f ca="1">EFEITO!$L$1826*EFEITO!$Z$1521</f>
        <v>-12417.87446326278</v>
      </c>
      <c r="L1826" s="64">
        <f>EFEITO!$N$1826*EFEITO!$AA$1521</f>
        <v>-8443.3153078156902</v>
      </c>
      <c r="M1826" s="64">
        <f>$J$1826-EFEITO!$K$1826*EFEITO!$Y$1826</f>
        <v>0</v>
      </c>
      <c r="N1826" s="64">
        <f ca="1">$K$1826-EFEITO!$M$1826*EFEITO!$Z$1826</f>
        <v>-9266.2179244866875</v>
      </c>
      <c r="O1826" s="64">
        <f>$L$1826-EFEITO!$O$1826*EFEITO!$AA$1826</f>
        <v>-6300.4018826920692</v>
      </c>
      <c r="P1826" s="19"/>
      <c r="Q1826" s="19"/>
      <c r="R1826" s="19"/>
      <c r="S1826" s="19"/>
      <c r="T1826" s="19"/>
      <c r="U1826" s="19"/>
      <c r="V1826" s="19"/>
      <c r="W1826" s="19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</row>
    <row r="1827" spans="1:36" ht="11.25" customHeight="1" x14ac:dyDescent="0.2">
      <c r="A1827" s="55" t="s">
        <v>28</v>
      </c>
      <c r="B1827" s="55" t="s">
        <v>44</v>
      </c>
      <c r="C1827" s="55" t="s">
        <v>23</v>
      </c>
      <c r="D1827" s="55" t="s">
        <v>45</v>
      </c>
      <c r="E1827" s="55" t="s">
        <v>53</v>
      </c>
      <c r="F1827" s="55" t="s">
        <v>55</v>
      </c>
      <c r="G1827" s="55" t="s">
        <v>25</v>
      </c>
      <c r="H1827" s="55" t="s">
        <v>25</v>
      </c>
      <c r="I1827" s="63">
        <v>44682</v>
      </c>
      <c r="J1827" s="64">
        <f>EFEITO!$J$1827*EFEITO!$Y$1521</f>
        <v>0</v>
      </c>
      <c r="K1827" s="64">
        <f ca="1">EFEITO!$L$1827*EFEITO!$Z$1521</f>
        <v>39186.449752170862</v>
      </c>
      <c r="L1827" s="64">
        <f>EFEITO!$N$1827*EFEITO!$AA$1521</f>
        <v>26644.137209655815</v>
      </c>
      <c r="M1827" s="64">
        <f>$J$1827-EFEITO!$K$1827*EFEITO!$Y$1827</f>
        <v>0</v>
      </c>
      <c r="N1827" s="64">
        <f ca="1">$K$1827-EFEITO!$M$1827*EFEITO!$Z$1827</f>
        <v>29240.928805069896</v>
      </c>
      <c r="O1827" s="64">
        <f>$L$1827-EFEITO!$O$1827*EFEITO!$AA$1827</f>
        <v>19881.855185845168</v>
      </c>
      <c r="P1827" s="19"/>
      <c r="Q1827" s="19"/>
      <c r="R1827" s="19"/>
      <c r="S1827" s="19"/>
      <c r="T1827" s="19"/>
      <c r="U1827" s="19"/>
      <c r="V1827" s="19"/>
      <c r="W1827" s="19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</row>
    <row r="1828" spans="1:36" ht="11.25" customHeight="1" x14ac:dyDescent="0.2">
      <c r="A1828" s="55" t="s">
        <v>21</v>
      </c>
      <c r="B1828" s="55" t="s">
        <v>44</v>
      </c>
      <c r="C1828" s="55" t="s">
        <v>23</v>
      </c>
      <c r="D1828" s="55" t="s">
        <v>45</v>
      </c>
      <c r="E1828" s="55" t="s">
        <v>53</v>
      </c>
      <c r="F1828" s="55" t="s">
        <v>55</v>
      </c>
      <c r="G1828" s="55" t="s">
        <v>25</v>
      </c>
      <c r="H1828" s="55" t="s">
        <v>25</v>
      </c>
      <c r="I1828" s="63">
        <v>44713</v>
      </c>
      <c r="J1828" s="64">
        <f>EFEITO!$J$1828*EFEITO!$Y$1521</f>
        <v>0</v>
      </c>
      <c r="K1828" s="64">
        <f ca="1">EFEITO!$L$1828*EFEITO!$Z$1521</f>
        <v>650991.96630178241</v>
      </c>
      <c r="L1828" s="64">
        <f>EFEITO!$N$1828*EFEITO!$AA$1521</f>
        <v>442630.53637737199</v>
      </c>
      <c r="M1828" s="64">
        <f>$J$1828-EFEITO!$K$1828*EFEITO!$Y$1828</f>
        <v>0</v>
      </c>
      <c r="N1828" s="64">
        <f ca="1">$K$1828-EFEITO!$M$1828*EFEITO!$Z$1828</f>
        <v>485770.20525439002</v>
      </c>
      <c r="O1828" s="64">
        <f>$L$1828-EFEITO!$O$1828*EFEITO!$AA$1828</f>
        <v>330290.90624479495</v>
      </c>
      <c r="P1828" s="19"/>
      <c r="Q1828" s="19"/>
      <c r="R1828" s="19"/>
      <c r="S1828" s="19"/>
      <c r="T1828" s="19"/>
      <c r="U1828" s="19"/>
      <c r="V1828" s="19"/>
      <c r="W1828" s="19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</row>
    <row r="1829" spans="1:36" ht="11.25" customHeight="1" x14ac:dyDescent="0.2">
      <c r="A1829" s="55" t="s">
        <v>27</v>
      </c>
      <c r="B1829" s="55" t="s">
        <v>44</v>
      </c>
      <c r="C1829" s="55" t="s">
        <v>23</v>
      </c>
      <c r="D1829" s="55" t="s">
        <v>45</v>
      </c>
      <c r="E1829" s="55" t="s">
        <v>53</v>
      </c>
      <c r="F1829" s="55" t="s">
        <v>55</v>
      </c>
      <c r="G1829" s="55" t="s">
        <v>25</v>
      </c>
      <c r="H1829" s="55" t="s">
        <v>25</v>
      </c>
      <c r="I1829" s="63">
        <v>44713</v>
      </c>
      <c r="J1829" s="64">
        <f>EFEITO!$J$1829*EFEITO!$Y$1521</f>
        <v>0</v>
      </c>
      <c r="K1829" s="64">
        <f ca="1">EFEITO!$L$1829*EFEITO!$Z$1521</f>
        <v>-17901.466893955781</v>
      </c>
      <c r="L1829" s="64">
        <f>EFEITO!$N$1829*EFEITO!$AA$1521</f>
        <v>-12171.787523319734</v>
      </c>
      <c r="M1829" s="64">
        <f>$J$1829-EFEITO!$K$1829*EFEITO!$Y$1829</f>
        <v>0</v>
      </c>
      <c r="N1829" s="64">
        <f ca="1">$K$1829-EFEITO!$M$1829*EFEITO!$Z$1829</f>
        <v>-13358.074596269804</v>
      </c>
      <c r="O1829" s="64">
        <f>$L$1829-EFEITO!$O$1829*EFEITO!$AA$1829</f>
        <v>-9082.5878499011851</v>
      </c>
      <c r="P1829" s="19"/>
      <c r="Q1829" s="19"/>
      <c r="R1829" s="19"/>
      <c r="S1829" s="19"/>
      <c r="T1829" s="19"/>
      <c r="U1829" s="19"/>
      <c r="V1829" s="19"/>
      <c r="W1829" s="19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</row>
    <row r="1830" spans="1:36" ht="11.25" customHeight="1" x14ac:dyDescent="0.2">
      <c r="A1830" s="55" t="s">
        <v>28</v>
      </c>
      <c r="B1830" s="55" t="s">
        <v>44</v>
      </c>
      <c r="C1830" s="55" t="s">
        <v>23</v>
      </c>
      <c r="D1830" s="55" t="s">
        <v>45</v>
      </c>
      <c r="E1830" s="55" t="s">
        <v>53</v>
      </c>
      <c r="F1830" s="55" t="s">
        <v>55</v>
      </c>
      <c r="G1830" s="55" t="s">
        <v>25</v>
      </c>
      <c r="H1830" s="55" t="s">
        <v>25</v>
      </c>
      <c r="I1830" s="63">
        <v>44713</v>
      </c>
      <c r="J1830" s="64">
        <f>EFEITO!$J$1830*EFEITO!$Y$1521</f>
        <v>0</v>
      </c>
      <c r="K1830" s="64">
        <f ca="1">EFEITO!$L$1830*EFEITO!$Z$1521</f>
        <v>23873.258455663854</v>
      </c>
      <c r="L1830" s="64">
        <f>EFEITO!$N$1830*EFEITO!$AA$1521</f>
        <v>16232.202150414141</v>
      </c>
      <c r="M1830" s="64">
        <f>$J$1830-EFEITO!$K$1830*EFEITO!$Y$1830</f>
        <v>0</v>
      </c>
      <c r="N1830" s="64">
        <f ca="1">$K$1830-EFEITO!$M$1830*EFEITO!$Z$1830</f>
        <v>17814.225459616369</v>
      </c>
      <c r="O1830" s="64">
        <f>$L$1830-EFEITO!$O$1830*EFEITO!$AA$1830</f>
        <v>12112.469244639033</v>
      </c>
      <c r="P1830" s="19"/>
      <c r="Q1830" s="19"/>
      <c r="R1830" s="19"/>
      <c r="S1830" s="19"/>
      <c r="T1830" s="19"/>
      <c r="U1830" s="19"/>
      <c r="V1830" s="19"/>
      <c r="W1830" s="19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</row>
    <row r="1831" spans="1:36" ht="11.25" customHeight="1" x14ac:dyDescent="0.2">
      <c r="A1831" s="55" t="s">
        <v>57</v>
      </c>
      <c r="B1831" s="55" t="s">
        <v>44</v>
      </c>
      <c r="C1831" s="55" t="s">
        <v>23</v>
      </c>
      <c r="D1831" s="55" t="s">
        <v>45</v>
      </c>
      <c r="E1831" s="55" t="s">
        <v>53</v>
      </c>
      <c r="F1831" s="55" t="s">
        <v>55</v>
      </c>
      <c r="G1831" s="55" t="s">
        <v>25</v>
      </c>
      <c r="H1831" s="55" t="s">
        <v>25</v>
      </c>
      <c r="I1831" s="63">
        <v>44743</v>
      </c>
      <c r="J1831" s="64">
        <f>EFEITO!$J$1831*EFEITO!$Y$1521</f>
        <v>0</v>
      </c>
      <c r="K1831" s="64">
        <f ca="1">EFEITO!$L$1831*EFEITO!$Z$1521</f>
        <v>650991.96630178241</v>
      </c>
      <c r="L1831" s="64">
        <f>EFEITO!$N$1831*EFEITO!$AA$1521</f>
        <v>442630.53637737199</v>
      </c>
      <c r="M1831" s="64">
        <f>$J$1831-EFEITO!$K$1831*EFEITO!$Y$1831</f>
        <v>0</v>
      </c>
      <c r="N1831" s="64">
        <f ca="1">$K$1831-EFEITO!$M$1831*EFEITO!$Z$1831</f>
        <v>485770.20525439002</v>
      </c>
      <c r="O1831" s="64">
        <f>$L$1831-EFEITO!$O$1831*EFEITO!$AA$1831</f>
        <v>330290.90624479495</v>
      </c>
      <c r="P1831" s="19"/>
      <c r="Q1831" s="19"/>
      <c r="R1831" s="19"/>
      <c r="S1831" s="19"/>
      <c r="T1831" s="19"/>
      <c r="U1831" s="19"/>
      <c r="V1831" s="19"/>
      <c r="W1831" s="19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</row>
    <row r="1832" spans="1:36" ht="11.25" customHeight="1" x14ac:dyDescent="0.2">
      <c r="A1832" s="55" t="s">
        <v>57</v>
      </c>
      <c r="B1832" s="55" t="s">
        <v>44</v>
      </c>
      <c r="C1832" s="55" t="s">
        <v>23</v>
      </c>
      <c r="D1832" s="55" t="s">
        <v>45</v>
      </c>
      <c r="E1832" s="55" t="s">
        <v>53</v>
      </c>
      <c r="F1832" s="55" t="s">
        <v>55</v>
      </c>
      <c r="G1832" s="55" t="s">
        <v>25</v>
      </c>
      <c r="H1832" s="55" t="s">
        <v>25</v>
      </c>
      <c r="I1832" s="63">
        <v>44743</v>
      </c>
      <c r="J1832" s="64">
        <f>EFEITO!$J$1832*EFEITO!$Y$1521</f>
        <v>0</v>
      </c>
      <c r="K1832" s="64">
        <f ca="1">EFEITO!$L$1832*EFEITO!$Z$1521</f>
        <v>-17901.466893955781</v>
      </c>
      <c r="L1832" s="64">
        <f>EFEITO!$N$1832*EFEITO!$AA$1521</f>
        <v>-12171.787523319734</v>
      </c>
      <c r="M1832" s="64">
        <f>$J$1832-EFEITO!$K$1832*EFEITO!$Y$1832</f>
        <v>0</v>
      </c>
      <c r="N1832" s="64">
        <f ca="1">$K$1832-EFEITO!$M$1832*EFEITO!$Z$1832</f>
        <v>-13358.074596269804</v>
      </c>
      <c r="O1832" s="64">
        <f>$L$1832-EFEITO!$O$1832*EFEITO!$AA$1832</f>
        <v>-9082.5878499011851</v>
      </c>
      <c r="P1832" s="19"/>
      <c r="Q1832" s="19"/>
      <c r="R1832" s="19"/>
      <c r="S1832" s="19"/>
      <c r="T1832" s="19"/>
      <c r="U1832" s="19"/>
      <c r="V1832" s="19"/>
      <c r="W1832" s="19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</row>
    <row r="1833" spans="1:36" ht="11.25" customHeight="1" x14ac:dyDescent="0.2">
      <c r="A1833" s="55" t="s">
        <v>57</v>
      </c>
      <c r="B1833" s="55" t="s">
        <v>44</v>
      </c>
      <c r="C1833" s="55" t="s">
        <v>23</v>
      </c>
      <c r="D1833" s="55" t="s">
        <v>45</v>
      </c>
      <c r="E1833" s="55" t="s">
        <v>53</v>
      </c>
      <c r="F1833" s="55" t="s">
        <v>55</v>
      </c>
      <c r="G1833" s="55" t="s">
        <v>25</v>
      </c>
      <c r="H1833" s="55" t="s">
        <v>25</v>
      </c>
      <c r="I1833" s="63">
        <v>44743</v>
      </c>
      <c r="J1833" s="64">
        <f>EFEITO!$J$1833*EFEITO!$Y$1521</f>
        <v>0</v>
      </c>
      <c r="K1833" s="64">
        <f ca="1">EFEITO!$L$1833*EFEITO!$Z$1521</f>
        <v>23873.258455663854</v>
      </c>
      <c r="L1833" s="64">
        <f>EFEITO!$N$1833*EFEITO!$AA$1521</f>
        <v>16232.202150414141</v>
      </c>
      <c r="M1833" s="64">
        <f>$J$1833-EFEITO!$K$1833*EFEITO!$Y$1833</f>
        <v>0</v>
      </c>
      <c r="N1833" s="64">
        <f ca="1">$K$1833-EFEITO!$M$1833*EFEITO!$Z$1833</f>
        <v>17814.225459616369</v>
      </c>
      <c r="O1833" s="64">
        <f>$L$1833-EFEITO!$O$1833*EFEITO!$AA$1833</f>
        <v>12112.469244639033</v>
      </c>
      <c r="P1833" s="19"/>
      <c r="Q1833" s="19"/>
      <c r="R1833" s="19"/>
      <c r="S1833" s="19"/>
      <c r="T1833" s="19"/>
      <c r="U1833" s="19"/>
      <c r="V1833" s="19"/>
      <c r="W1833" s="19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</row>
    <row r="1834" spans="1:36" ht="11.25" customHeight="1" x14ac:dyDescent="0.2">
      <c r="A1834" s="55" t="s">
        <v>21</v>
      </c>
      <c r="B1834" s="55" t="s">
        <v>44</v>
      </c>
      <c r="C1834" s="55" t="s">
        <v>23</v>
      </c>
      <c r="D1834" s="55" t="s">
        <v>45</v>
      </c>
      <c r="E1834" s="55" t="s">
        <v>56</v>
      </c>
      <c r="F1834" s="55" t="s">
        <v>54</v>
      </c>
      <c r="G1834" s="55" t="s">
        <v>25</v>
      </c>
      <c r="H1834" s="55" t="s">
        <v>25</v>
      </c>
      <c r="I1834" s="63">
        <v>44409</v>
      </c>
      <c r="J1834" s="64">
        <f>EFEITO!$J$1834*EFEITO!$Y$1521</f>
        <v>0</v>
      </c>
      <c r="K1834" s="64">
        <f ca="1">EFEITO!$L$1834*EFEITO!$Z$1521</f>
        <v>3346.4285211434703</v>
      </c>
      <c r="L1834" s="64">
        <f>EFEITO!$N$1834*EFEITO!$AA$1521</f>
        <v>2275.3452084470287</v>
      </c>
      <c r="M1834" s="64">
        <f>$J$1834-EFEITO!$K$1834*EFEITO!$Y$1834</f>
        <v>0</v>
      </c>
      <c r="N1834" s="64">
        <f ca="1">$K$1834-EFEITO!$M$1834*EFEITO!$Z$1834</f>
        <v>200.78571126860834</v>
      </c>
      <c r="O1834" s="64">
        <f>$L$1834-EFEITO!$O$1834*EFEITO!$AA$1834</f>
        <v>136.52071250682229</v>
      </c>
      <c r="P1834" s="19"/>
      <c r="Q1834" s="19"/>
      <c r="R1834" s="19"/>
      <c r="S1834" s="19"/>
      <c r="T1834" s="19"/>
      <c r="U1834" s="19"/>
      <c r="V1834" s="19"/>
      <c r="W1834" s="19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</row>
    <row r="1835" spans="1:36" ht="11.25" customHeight="1" x14ac:dyDescent="0.2">
      <c r="A1835" s="55" t="s">
        <v>21</v>
      </c>
      <c r="B1835" s="55" t="s">
        <v>44</v>
      </c>
      <c r="C1835" s="55" t="s">
        <v>23</v>
      </c>
      <c r="D1835" s="55" t="s">
        <v>45</v>
      </c>
      <c r="E1835" s="55" t="s">
        <v>56</v>
      </c>
      <c r="F1835" s="55" t="s">
        <v>54</v>
      </c>
      <c r="G1835" s="55" t="s">
        <v>25</v>
      </c>
      <c r="H1835" s="55" t="s">
        <v>25</v>
      </c>
      <c r="I1835" s="63">
        <v>44440</v>
      </c>
      <c r="J1835" s="64">
        <f>EFEITO!$J$1835*EFEITO!$Y$1521</f>
        <v>0</v>
      </c>
      <c r="K1835" s="64">
        <f ca="1">EFEITO!$L$1835*EFEITO!$Z$1521</f>
        <v>2240.224208207937</v>
      </c>
      <c r="L1835" s="64">
        <f>EFEITO!$N$1835*EFEITO!$AA$1521</f>
        <v>1523.2010442736821</v>
      </c>
      <c r="M1835" s="64">
        <f>$J$1835-EFEITO!$K$1835*EFEITO!$Y$1835</f>
        <v>0</v>
      </c>
      <c r="N1835" s="64">
        <f ca="1">$K$1835-EFEITO!$M$1835*EFEITO!$Z$1835</f>
        <v>134.41345249247615</v>
      </c>
      <c r="O1835" s="64">
        <f>$L$1835-EFEITO!$O$1835*EFEITO!$AA$1835</f>
        <v>91.392062656421103</v>
      </c>
      <c r="P1835" s="19"/>
      <c r="Q1835" s="19"/>
      <c r="R1835" s="19"/>
      <c r="S1835" s="19"/>
      <c r="T1835" s="19"/>
      <c r="U1835" s="19"/>
      <c r="V1835" s="19"/>
      <c r="W1835" s="19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</row>
    <row r="1836" spans="1:36" ht="11.25" customHeight="1" x14ac:dyDescent="0.2">
      <c r="A1836" s="55" t="s">
        <v>21</v>
      </c>
      <c r="B1836" s="55" t="s">
        <v>44</v>
      </c>
      <c r="C1836" s="55" t="s">
        <v>23</v>
      </c>
      <c r="D1836" s="55" t="s">
        <v>45</v>
      </c>
      <c r="E1836" s="55" t="s">
        <v>56</v>
      </c>
      <c r="F1836" s="55" t="s">
        <v>54</v>
      </c>
      <c r="G1836" s="55" t="s">
        <v>25</v>
      </c>
      <c r="H1836" s="55" t="s">
        <v>25</v>
      </c>
      <c r="I1836" s="63">
        <v>44470</v>
      </c>
      <c r="J1836" s="64">
        <f>EFEITO!$J$1836*EFEITO!$Y$1521</f>
        <v>0</v>
      </c>
      <c r="K1836" s="64">
        <f ca="1">EFEITO!$L$1836*EFEITO!$Z$1521</f>
        <v>2294.428932761838</v>
      </c>
      <c r="L1836" s="64">
        <f>EFEITO!$N$1836*EFEITO!$AA$1521</f>
        <v>1560.0565932596101</v>
      </c>
      <c r="M1836" s="64">
        <f>$J$1836-EFEITO!$K$1836*EFEITO!$Y$1836</f>
        <v>0</v>
      </c>
      <c r="N1836" s="64">
        <f ca="1">$K$1836-EFEITO!$M$1836*EFEITO!$Z$1836</f>
        <v>137.66573596571061</v>
      </c>
      <c r="O1836" s="64">
        <f>$L$1836-EFEITO!$O$1836*EFEITO!$AA$1836</f>
        <v>93.603395595576785</v>
      </c>
      <c r="P1836" s="19"/>
      <c r="Q1836" s="19"/>
      <c r="R1836" s="19"/>
      <c r="S1836" s="19"/>
      <c r="T1836" s="19"/>
      <c r="U1836" s="19"/>
      <c r="V1836" s="19"/>
      <c r="W1836" s="19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</row>
    <row r="1837" spans="1:36" ht="11.25" customHeight="1" x14ac:dyDescent="0.2">
      <c r="A1837" s="55" t="s">
        <v>21</v>
      </c>
      <c r="B1837" s="55" t="s">
        <v>44</v>
      </c>
      <c r="C1837" s="55" t="s">
        <v>23</v>
      </c>
      <c r="D1837" s="55" t="s">
        <v>45</v>
      </c>
      <c r="E1837" s="55" t="s">
        <v>56</v>
      </c>
      <c r="F1837" s="55" t="s">
        <v>54</v>
      </c>
      <c r="G1837" s="55" t="s">
        <v>25</v>
      </c>
      <c r="H1837" s="55" t="s">
        <v>25</v>
      </c>
      <c r="I1837" s="63">
        <v>44501</v>
      </c>
      <c r="J1837" s="64">
        <f>EFEITO!$J$1837*EFEITO!$Y$1521</f>
        <v>0</v>
      </c>
      <c r="K1837" s="64">
        <f ca="1">EFEITO!$L$1837*EFEITO!$Z$1521</f>
        <v>2758.0219717096761</v>
      </c>
      <c r="L1837" s="64">
        <f>EFEITO!$N$1837*EFEITO!$AA$1521</f>
        <v>1875.2685253760994</v>
      </c>
      <c r="M1837" s="64">
        <f>$J$1837-EFEITO!$K$1837*EFEITO!$Y$1837</f>
        <v>0</v>
      </c>
      <c r="N1837" s="64">
        <f ca="1">$K$1837-EFEITO!$M$1837*EFEITO!$Z$1837</f>
        <v>165.4813183025808</v>
      </c>
      <c r="O1837" s="64">
        <f>$L$1837-EFEITO!$O$1837*EFEITO!$AA$1837</f>
        <v>112.51611152256601</v>
      </c>
      <c r="P1837" s="19"/>
      <c r="Q1837" s="19"/>
      <c r="R1837" s="19"/>
      <c r="S1837" s="19"/>
      <c r="T1837" s="19"/>
      <c r="U1837" s="19"/>
      <c r="V1837" s="19"/>
      <c r="W1837" s="19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</row>
    <row r="1838" spans="1:36" ht="11.25" customHeight="1" x14ac:dyDescent="0.2">
      <c r="A1838" s="55" t="s">
        <v>21</v>
      </c>
      <c r="B1838" s="55" t="s">
        <v>44</v>
      </c>
      <c r="C1838" s="55" t="s">
        <v>23</v>
      </c>
      <c r="D1838" s="55" t="s">
        <v>45</v>
      </c>
      <c r="E1838" s="55" t="s">
        <v>56</v>
      </c>
      <c r="F1838" s="55" t="s">
        <v>54</v>
      </c>
      <c r="G1838" s="55" t="s">
        <v>25</v>
      </c>
      <c r="H1838" s="55" t="s">
        <v>25</v>
      </c>
      <c r="I1838" s="63">
        <v>44531</v>
      </c>
      <c r="J1838" s="64">
        <f>EFEITO!$J$1838*EFEITO!$Y$1521</f>
        <v>0</v>
      </c>
      <c r="K1838" s="64">
        <f ca="1">EFEITO!$L$1838*EFEITO!$Z$1521</f>
        <v>2685.2735255978614</v>
      </c>
      <c r="L1838" s="64">
        <f>EFEITO!$N$1838*EFEITO!$AA$1521</f>
        <v>1825.8044991055119</v>
      </c>
      <c r="M1838" s="64">
        <f>$J$1838-EFEITO!$K$1838*EFEITO!$Y$1838</f>
        <v>0</v>
      </c>
      <c r="N1838" s="64">
        <f ca="1">$K$1838-EFEITO!$M$1838*EFEITO!$Z$1838</f>
        <v>161.11641153587198</v>
      </c>
      <c r="O1838" s="64">
        <f>$L$1838-EFEITO!$O$1838*EFEITO!$AA$1838</f>
        <v>109.54826994633072</v>
      </c>
      <c r="P1838" s="19"/>
      <c r="Q1838" s="19"/>
      <c r="R1838" s="19"/>
      <c r="S1838" s="19"/>
      <c r="T1838" s="19"/>
      <c r="U1838" s="19"/>
      <c r="V1838" s="19"/>
      <c r="W1838" s="19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</row>
    <row r="1839" spans="1:36" ht="11.25" customHeight="1" x14ac:dyDescent="0.2">
      <c r="A1839" s="55" t="s">
        <v>21</v>
      </c>
      <c r="B1839" s="55" t="s">
        <v>44</v>
      </c>
      <c r="C1839" s="55" t="s">
        <v>23</v>
      </c>
      <c r="D1839" s="55" t="s">
        <v>45</v>
      </c>
      <c r="E1839" s="55" t="s">
        <v>56</v>
      </c>
      <c r="F1839" s="55" t="s">
        <v>54</v>
      </c>
      <c r="G1839" s="55" t="s">
        <v>25</v>
      </c>
      <c r="H1839" s="55" t="s">
        <v>25</v>
      </c>
      <c r="I1839" s="63">
        <v>44562</v>
      </c>
      <c r="J1839" s="64">
        <f>EFEITO!$J$1839*EFEITO!$Y$1521</f>
        <v>0</v>
      </c>
      <c r="K1839" s="64">
        <f ca="1">EFEITO!$L$1839*EFEITO!$Z$1521</f>
        <v>2247.7130188370943</v>
      </c>
      <c r="L1839" s="64">
        <f>EFEITO!$N$1839*EFEITO!$AA$1521</f>
        <v>1528.2929293309485</v>
      </c>
      <c r="M1839" s="64">
        <f>$J$1839-EFEITO!$K$1839*EFEITO!$Y$1839</f>
        <v>0</v>
      </c>
      <c r="N1839" s="64">
        <f ca="1">$K$1839-EFEITO!$M$1839*EFEITO!$Z$1839</f>
        <v>134.86278113022581</v>
      </c>
      <c r="O1839" s="64">
        <f>$L$1839-EFEITO!$O$1839*EFEITO!$AA$1839</f>
        <v>91.697575759857045</v>
      </c>
      <c r="P1839" s="19"/>
      <c r="Q1839" s="19"/>
      <c r="R1839" s="19"/>
      <c r="S1839" s="19"/>
      <c r="T1839" s="19"/>
      <c r="U1839" s="19"/>
      <c r="V1839" s="19"/>
      <c r="W1839" s="19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</row>
    <row r="1840" spans="1:36" ht="11.25" customHeight="1" x14ac:dyDescent="0.2">
      <c r="A1840" s="55" t="s">
        <v>21</v>
      </c>
      <c r="B1840" s="55" t="s">
        <v>44</v>
      </c>
      <c r="C1840" s="55" t="s">
        <v>23</v>
      </c>
      <c r="D1840" s="55" t="s">
        <v>45</v>
      </c>
      <c r="E1840" s="55" t="s">
        <v>56</v>
      </c>
      <c r="F1840" s="55" t="s">
        <v>54</v>
      </c>
      <c r="G1840" s="55" t="s">
        <v>25</v>
      </c>
      <c r="H1840" s="55" t="s">
        <v>25</v>
      </c>
      <c r="I1840" s="63">
        <v>44593</v>
      </c>
      <c r="J1840" s="64">
        <f>EFEITO!$J$1840*EFEITO!$Y$1521</f>
        <v>0</v>
      </c>
      <c r="K1840" s="64">
        <f ca="1">EFEITO!$L$1840*EFEITO!$Z$1521</f>
        <v>1572.2936220930903</v>
      </c>
      <c r="L1840" s="64">
        <f>EFEITO!$N$1840*EFEITO!$AA$1521</f>
        <v>1069.0533913089246</v>
      </c>
      <c r="M1840" s="64">
        <f>$J$1840-EFEITO!$K$1840*EFEITO!$Y$1840</f>
        <v>0</v>
      </c>
      <c r="N1840" s="64">
        <f ca="1">$K$1840-EFEITO!$M$1840*EFEITO!$Z$1840</f>
        <v>94.337617325585597</v>
      </c>
      <c r="O1840" s="64">
        <f>$L$1840-EFEITO!$O$1840*EFEITO!$AA$1840</f>
        <v>64.143203478535611</v>
      </c>
      <c r="P1840" s="19"/>
      <c r="Q1840" s="19"/>
      <c r="R1840" s="19"/>
      <c r="S1840" s="19"/>
      <c r="T1840" s="19"/>
      <c r="U1840" s="19"/>
      <c r="V1840" s="19"/>
      <c r="W1840" s="19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</row>
    <row r="1841" spans="1:36" ht="11.25" customHeight="1" x14ac:dyDescent="0.2">
      <c r="A1841" s="55" t="s">
        <v>21</v>
      </c>
      <c r="B1841" s="55" t="s">
        <v>44</v>
      </c>
      <c r="C1841" s="55" t="s">
        <v>23</v>
      </c>
      <c r="D1841" s="55" t="s">
        <v>45</v>
      </c>
      <c r="E1841" s="55" t="s">
        <v>56</v>
      </c>
      <c r="F1841" s="55" t="s">
        <v>54</v>
      </c>
      <c r="G1841" s="55" t="s">
        <v>25</v>
      </c>
      <c r="H1841" s="55" t="s">
        <v>25</v>
      </c>
      <c r="I1841" s="63">
        <v>44621</v>
      </c>
      <c r="J1841" s="64">
        <f>EFEITO!$J$1841*EFEITO!$Y$1521</f>
        <v>0</v>
      </c>
      <c r="K1841" s="64">
        <f ca="1">EFEITO!$L$1841*EFEITO!$Z$1521</f>
        <v>2116.1239177819007</v>
      </c>
      <c r="L1841" s="64">
        <f>EFEITO!$N$1841*EFEITO!$AA$1521</f>
        <v>1438.8212347532681</v>
      </c>
      <c r="M1841" s="64">
        <f>$J$1841-EFEITO!$K$1841*EFEITO!$Y$1841</f>
        <v>0</v>
      </c>
      <c r="N1841" s="64">
        <f ca="1">$K$1841-EFEITO!$M$1841*EFEITO!$Z$1841</f>
        <v>126.9674350669145</v>
      </c>
      <c r="O1841" s="64">
        <f>$L$1841-EFEITO!$O$1841*EFEITO!$AA$1841</f>
        <v>86.329274085196175</v>
      </c>
      <c r="P1841" s="19"/>
      <c r="Q1841" s="19"/>
      <c r="R1841" s="19"/>
      <c r="S1841" s="19"/>
      <c r="T1841" s="19"/>
      <c r="U1841" s="19"/>
      <c r="V1841" s="19"/>
      <c r="W1841" s="19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</row>
    <row r="1842" spans="1:36" ht="11.25" customHeight="1" x14ac:dyDescent="0.2">
      <c r="A1842" s="55" t="s">
        <v>21</v>
      </c>
      <c r="B1842" s="55" t="s">
        <v>44</v>
      </c>
      <c r="C1842" s="55" t="s">
        <v>23</v>
      </c>
      <c r="D1842" s="55" t="s">
        <v>45</v>
      </c>
      <c r="E1842" s="55" t="s">
        <v>56</v>
      </c>
      <c r="F1842" s="55" t="s">
        <v>54</v>
      </c>
      <c r="G1842" s="55" t="s">
        <v>25</v>
      </c>
      <c r="H1842" s="55" t="s">
        <v>25</v>
      </c>
      <c r="I1842" s="63">
        <v>44652</v>
      </c>
      <c r="J1842" s="64">
        <f>EFEITO!$J$1842*EFEITO!$Y$1521</f>
        <v>0</v>
      </c>
      <c r="K1842" s="64">
        <f ca="1">EFEITO!$L$1842*EFEITO!$Z$1521</f>
        <v>2734.1290997023643</v>
      </c>
      <c r="L1842" s="64">
        <f>EFEITO!$N$1842*EFEITO!$AA$1521</f>
        <v>1859.0229873362496</v>
      </c>
      <c r="M1842" s="64">
        <f>$J$1842-EFEITO!$K$1842*EFEITO!$Y$1842</f>
        <v>0</v>
      </c>
      <c r="N1842" s="64">
        <f ca="1">$K$1842-EFEITO!$M$1842*EFEITO!$Z$1842</f>
        <v>164.04774598214226</v>
      </c>
      <c r="O1842" s="64">
        <f>$L$1842-EFEITO!$O$1842*EFEITO!$AA$1842</f>
        <v>111.54137924017505</v>
      </c>
      <c r="P1842" s="19"/>
      <c r="Q1842" s="19"/>
      <c r="R1842" s="19"/>
      <c r="S1842" s="19"/>
      <c r="T1842" s="19"/>
      <c r="U1842" s="19"/>
      <c r="V1842" s="19"/>
      <c r="W1842" s="19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</row>
    <row r="1843" spans="1:36" ht="11.25" customHeight="1" x14ac:dyDescent="0.2">
      <c r="A1843" s="55" t="s">
        <v>21</v>
      </c>
      <c r="B1843" s="55" t="s">
        <v>44</v>
      </c>
      <c r="C1843" s="55" t="s">
        <v>23</v>
      </c>
      <c r="D1843" s="55" t="s">
        <v>45</v>
      </c>
      <c r="E1843" s="55" t="s">
        <v>56</v>
      </c>
      <c r="F1843" s="55" t="s">
        <v>54</v>
      </c>
      <c r="G1843" s="55" t="s">
        <v>25</v>
      </c>
      <c r="H1843" s="55" t="s">
        <v>25</v>
      </c>
      <c r="I1843" s="63">
        <v>44682</v>
      </c>
      <c r="J1843" s="64">
        <f>EFEITO!$J$1843*EFEITO!$Y$1521</f>
        <v>0</v>
      </c>
      <c r="K1843" s="64">
        <f ca="1">EFEITO!$L$1843*EFEITO!$Z$1521</f>
        <v>2801.8850053947408</v>
      </c>
      <c r="L1843" s="64">
        <f>EFEITO!$N$1843*EFEITO!$AA$1521</f>
        <v>1905.0924235686598</v>
      </c>
      <c r="M1843" s="64">
        <f>$J$1843-EFEITO!$K$1843*EFEITO!$Y$1843</f>
        <v>0</v>
      </c>
      <c r="N1843" s="64">
        <f ca="1">$K$1843-EFEITO!$M$1843*EFEITO!$Z$1843</f>
        <v>168.11310032368465</v>
      </c>
      <c r="O1843" s="64">
        <f>$L$1843-EFEITO!$O$1843*EFEITO!$AA$1843</f>
        <v>114.30554541411993</v>
      </c>
      <c r="P1843" s="19"/>
      <c r="Q1843" s="19"/>
      <c r="R1843" s="19"/>
      <c r="S1843" s="19"/>
      <c r="T1843" s="19"/>
      <c r="U1843" s="19"/>
      <c r="V1843" s="19"/>
      <c r="W1843" s="19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</row>
    <row r="1844" spans="1:36" ht="11.25" customHeight="1" x14ac:dyDescent="0.2">
      <c r="A1844" s="55" t="s">
        <v>21</v>
      </c>
      <c r="B1844" s="55" t="s">
        <v>44</v>
      </c>
      <c r="C1844" s="55" t="s">
        <v>23</v>
      </c>
      <c r="D1844" s="55" t="s">
        <v>45</v>
      </c>
      <c r="E1844" s="55" t="s">
        <v>56</v>
      </c>
      <c r="F1844" s="55" t="s">
        <v>54</v>
      </c>
      <c r="G1844" s="55" t="s">
        <v>25</v>
      </c>
      <c r="H1844" s="55" t="s">
        <v>25</v>
      </c>
      <c r="I1844" s="63">
        <v>44713</v>
      </c>
      <c r="J1844" s="64">
        <f>EFEITO!$J$1844*EFEITO!$Y$1521</f>
        <v>0</v>
      </c>
      <c r="K1844" s="64">
        <f ca="1">EFEITO!$L$1844*EFEITO!$Z$1521</f>
        <v>2794.7528047955429</v>
      </c>
      <c r="L1844" s="64">
        <f>EFEITO!$N$1844*EFEITO!$AA$1521</f>
        <v>1900.243009228406</v>
      </c>
      <c r="M1844" s="64">
        <f>$J$1844-EFEITO!$K$1844*EFEITO!$Y$1844</f>
        <v>0</v>
      </c>
      <c r="N1844" s="64">
        <f ca="1">$K$1844-EFEITO!$M$1844*EFEITO!$Z$1844</f>
        <v>167.68516828773272</v>
      </c>
      <c r="O1844" s="64">
        <f>$L$1844-EFEITO!$O$1844*EFEITO!$AA$1844</f>
        <v>114.01458055370472</v>
      </c>
      <c r="P1844" s="19"/>
      <c r="Q1844" s="19"/>
      <c r="R1844" s="19"/>
      <c r="S1844" s="19"/>
      <c r="T1844" s="19"/>
      <c r="U1844" s="19"/>
      <c r="V1844" s="19"/>
      <c r="W1844" s="19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</row>
    <row r="1845" spans="1:36" ht="11.25" customHeight="1" x14ac:dyDescent="0.2">
      <c r="A1845" s="55" t="s">
        <v>57</v>
      </c>
      <c r="B1845" s="55" t="s">
        <v>44</v>
      </c>
      <c r="C1845" s="55" t="s">
        <v>23</v>
      </c>
      <c r="D1845" s="55" t="s">
        <v>45</v>
      </c>
      <c r="E1845" s="55" t="s">
        <v>56</v>
      </c>
      <c r="F1845" s="55" t="s">
        <v>54</v>
      </c>
      <c r="G1845" s="55" t="s">
        <v>25</v>
      </c>
      <c r="H1845" s="55" t="s">
        <v>25</v>
      </c>
      <c r="I1845" s="63">
        <v>44743</v>
      </c>
      <c r="J1845" s="64">
        <f>EFEITO!$J$1845*EFEITO!$Y$1521</f>
        <v>0</v>
      </c>
      <c r="K1845" s="64">
        <f ca="1">EFEITO!$L$1845*EFEITO!$Z$1521</f>
        <v>2794.7528047955429</v>
      </c>
      <c r="L1845" s="64">
        <f>EFEITO!$N$1845*EFEITO!$AA$1521</f>
        <v>1900.243009228406</v>
      </c>
      <c r="M1845" s="64">
        <f>$J$1845-EFEITO!$K$1845*EFEITO!$Y$1845</f>
        <v>0</v>
      </c>
      <c r="N1845" s="64">
        <f ca="1">$K$1845-EFEITO!$M$1845*EFEITO!$Z$1845</f>
        <v>167.68516828773272</v>
      </c>
      <c r="O1845" s="64">
        <f>$L$1845-EFEITO!$O$1845*EFEITO!$AA$1845</f>
        <v>114.01458055370472</v>
      </c>
      <c r="P1845" s="19"/>
      <c r="Q1845" s="19"/>
      <c r="R1845" s="19"/>
      <c r="S1845" s="19"/>
      <c r="T1845" s="19"/>
      <c r="U1845" s="19"/>
      <c r="V1845" s="19"/>
      <c r="W1845" s="19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</row>
    <row r="1846" spans="1:36" ht="11.25" customHeight="1" x14ac:dyDescent="0.2">
      <c r="A1846" s="55" t="s">
        <v>21</v>
      </c>
      <c r="B1846" s="55" t="s">
        <v>44</v>
      </c>
      <c r="C1846" s="55" t="s">
        <v>23</v>
      </c>
      <c r="D1846" s="55" t="s">
        <v>45</v>
      </c>
      <c r="E1846" s="55" t="s">
        <v>56</v>
      </c>
      <c r="F1846" s="55" t="s">
        <v>55</v>
      </c>
      <c r="G1846" s="55" t="s">
        <v>25</v>
      </c>
      <c r="H1846" s="55" t="s">
        <v>25</v>
      </c>
      <c r="I1846" s="63">
        <v>44409</v>
      </c>
      <c r="J1846" s="64">
        <f>EFEITO!$J$1846*EFEITO!$Y$1521</f>
        <v>0</v>
      </c>
      <c r="K1846" s="64">
        <f ca="1">EFEITO!$L$1846*EFEITO!$Z$1521</f>
        <v>8660.6311876055333</v>
      </c>
      <c r="L1846" s="64">
        <f>EFEITO!$N$1846*EFEITO!$AA$1521</f>
        <v>5888.6438333700489</v>
      </c>
      <c r="M1846" s="64">
        <f>$J$1846-EFEITO!$K$1846*EFEITO!$Y$1846</f>
        <v>0</v>
      </c>
      <c r="N1846" s="64">
        <f ca="1">$K$1846-EFEITO!$M$1846*EFEITO!$Z$1846</f>
        <v>6462.5629921912496</v>
      </c>
      <c r="O1846" s="64">
        <f>$L$1846-EFEITO!$O$1846*EFEITO!$AA$1846</f>
        <v>4394.1060284607311</v>
      </c>
      <c r="P1846" s="19"/>
      <c r="Q1846" s="19"/>
      <c r="R1846" s="19"/>
      <c r="S1846" s="19"/>
      <c r="T1846" s="19"/>
      <c r="U1846" s="19"/>
      <c r="V1846" s="19"/>
      <c r="W1846" s="19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</row>
    <row r="1847" spans="1:36" ht="11.25" customHeight="1" x14ac:dyDescent="0.2">
      <c r="A1847" s="55" t="s">
        <v>21</v>
      </c>
      <c r="B1847" s="55" t="s">
        <v>44</v>
      </c>
      <c r="C1847" s="55" t="s">
        <v>23</v>
      </c>
      <c r="D1847" s="55" t="s">
        <v>45</v>
      </c>
      <c r="E1847" s="55" t="s">
        <v>56</v>
      </c>
      <c r="F1847" s="55" t="s">
        <v>55</v>
      </c>
      <c r="G1847" s="55" t="s">
        <v>25</v>
      </c>
      <c r="H1847" s="55" t="s">
        <v>25</v>
      </c>
      <c r="I1847" s="63">
        <v>44440</v>
      </c>
      <c r="J1847" s="64">
        <f>EFEITO!$J$1847*EFEITO!$Y$1521</f>
        <v>0</v>
      </c>
      <c r="K1847" s="64">
        <f ca="1">EFEITO!$L$1847*EFEITO!$Z$1521</f>
        <v>6519.9011777564019</v>
      </c>
      <c r="L1847" s="64">
        <f>EFEITO!$N$1847*EFEITO!$AA$1521</f>
        <v>4433.0921191429052</v>
      </c>
      <c r="M1847" s="64">
        <f>$J$1847-EFEITO!$K$1847*EFEITO!$Y$1847</f>
        <v>0</v>
      </c>
      <c r="N1847" s="64">
        <f ca="1">$K$1847-EFEITO!$M$1847*EFEITO!$Z$1847</f>
        <v>4865.1502588418271</v>
      </c>
      <c r="O1847" s="64">
        <f>$L$1847-EFEITO!$O$1847*EFEITO!$AA$1847</f>
        <v>3307.9733393044362</v>
      </c>
      <c r="P1847" s="19"/>
      <c r="Q1847" s="19"/>
      <c r="R1847" s="19"/>
      <c r="S1847" s="19"/>
      <c r="T1847" s="19"/>
      <c r="U1847" s="19"/>
      <c r="V1847" s="19"/>
      <c r="W1847" s="19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</row>
    <row r="1848" spans="1:36" ht="11.25" customHeight="1" x14ac:dyDescent="0.2">
      <c r="A1848" s="55" t="s">
        <v>21</v>
      </c>
      <c r="B1848" s="55" t="s">
        <v>44</v>
      </c>
      <c r="C1848" s="55" t="s">
        <v>23</v>
      </c>
      <c r="D1848" s="55" t="s">
        <v>45</v>
      </c>
      <c r="E1848" s="55" t="s">
        <v>56</v>
      </c>
      <c r="F1848" s="55" t="s">
        <v>55</v>
      </c>
      <c r="G1848" s="55" t="s">
        <v>25</v>
      </c>
      <c r="H1848" s="55" t="s">
        <v>25</v>
      </c>
      <c r="I1848" s="63">
        <v>44470</v>
      </c>
      <c r="J1848" s="64">
        <f>EFEITO!$J$1848*EFEITO!$Y$1521</f>
        <v>0</v>
      </c>
      <c r="K1848" s="64">
        <f ca="1">EFEITO!$L$1848*EFEITO!$Z$1521</f>
        <v>8366.784522918595</v>
      </c>
      <c r="L1848" s="64">
        <f>EFEITO!$N$1848*EFEITO!$AA$1521</f>
        <v>5688.8479625515965</v>
      </c>
      <c r="M1848" s="64">
        <f>$J$1848-EFEITO!$K$1848*EFEITO!$Y$1848</f>
        <v>0</v>
      </c>
      <c r="N1848" s="64">
        <f ca="1">$K$1848-EFEITO!$M$1848*EFEITO!$Z$1848</f>
        <v>6243.2946110018556</v>
      </c>
      <c r="O1848" s="64">
        <f>$L$1848-EFEITO!$O$1848*EFEITO!$AA$1848</f>
        <v>4245.0183496560012</v>
      </c>
      <c r="P1848" s="19"/>
      <c r="Q1848" s="19"/>
      <c r="R1848" s="19"/>
      <c r="S1848" s="19"/>
      <c r="T1848" s="19"/>
      <c r="U1848" s="19"/>
      <c r="V1848" s="19"/>
      <c r="W1848" s="19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</row>
    <row r="1849" spans="1:36" ht="11.25" customHeight="1" x14ac:dyDescent="0.2">
      <c r="A1849" s="55" t="s">
        <v>21</v>
      </c>
      <c r="B1849" s="55" t="s">
        <v>44</v>
      </c>
      <c r="C1849" s="55" t="s">
        <v>23</v>
      </c>
      <c r="D1849" s="55" t="s">
        <v>45</v>
      </c>
      <c r="E1849" s="55" t="s">
        <v>56</v>
      </c>
      <c r="F1849" s="55" t="s">
        <v>55</v>
      </c>
      <c r="G1849" s="55" t="s">
        <v>25</v>
      </c>
      <c r="H1849" s="55" t="s">
        <v>25</v>
      </c>
      <c r="I1849" s="63">
        <v>44501</v>
      </c>
      <c r="J1849" s="64">
        <f>EFEITO!$J$1849*EFEITO!$Y$1521</f>
        <v>0</v>
      </c>
      <c r="K1849" s="64">
        <f ca="1">EFEITO!$L$1849*EFEITO!$Z$1521</f>
        <v>8271.9262549492687</v>
      </c>
      <c r="L1849" s="64">
        <f>EFEITO!$N$1849*EFEITO!$AA$1521</f>
        <v>5624.3507518262231</v>
      </c>
      <c r="M1849" s="64">
        <f>$J$1849-EFEITO!$K$1849*EFEITO!$Y$1849</f>
        <v>0</v>
      </c>
      <c r="N1849" s="64">
        <f ca="1">$K$1849-EFEITO!$M$1849*EFEITO!$Z$1849</f>
        <v>6172.5113714431445</v>
      </c>
      <c r="O1849" s="64">
        <f>$L$1849-EFEITO!$O$1849*EFEITO!$AA$1849</f>
        <v>4196.8905310127284</v>
      </c>
      <c r="P1849" s="19"/>
      <c r="Q1849" s="19"/>
      <c r="R1849" s="19"/>
      <c r="S1849" s="19"/>
      <c r="T1849" s="19"/>
      <c r="U1849" s="19"/>
      <c r="V1849" s="19"/>
      <c r="W1849" s="19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</row>
    <row r="1850" spans="1:36" ht="11.25" customHeight="1" x14ac:dyDescent="0.2">
      <c r="A1850" s="55" t="s">
        <v>21</v>
      </c>
      <c r="B1850" s="55" t="s">
        <v>44</v>
      </c>
      <c r="C1850" s="55" t="s">
        <v>23</v>
      </c>
      <c r="D1850" s="55" t="s">
        <v>45</v>
      </c>
      <c r="E1850" s="55" t="s">
        <v>56</v>
      </c>
      <c r="F1850" s="55" t="s">
        <v>55</v>
      </c>
      <c r="G1850" s="55" t="s">
        <v>25</v>
      </c>
      <c r="H1850" s="55" t="s">
        <v>25</v>
      </c>
      <c r="I1850" s="63">
        <v>44531</v>
      </c>
      <c r="J1850" s="64">
        <f>EFEITO!$J$1850*EFEITO!$Y$1521</f>
        <v>0</v>
      </c>
      <c r="K1850" s="64">
        <f ca="1">EFEITO!$L$1850*EFEITO!$Z$1521</f>
        <v>7372.5557593904632</v>
      </c>
      <c r="L1850" s="64">
        <f>EFEITO!$N$1850*EFEITO!$AA$1521</f>
        <v>5012.8396035202331</v>
      </c>
      <c r="M1850" s="64">
        <f>$J$1850-EFEITO!$K$1850*EFEITO!$Y$1850</f>
        <v>0</v>
      </c>
      <c r="N1850" s="64">
        <f ca="1">$K$1850-EFEITO!$M$1850*EFEITO!$Z$1850</f>
        <v>5501.4011076571642</v>
      </c>
      <c r="O1850" s="64">
        <f>$L$1850-EFEITO!$O$1850*EFEITO!$AA$1850</f>
        <v>3740.5809121467983</v>
      </c>
      <c r="P1850" s="19"/>
      <c r="Q1850" s="19"/>
      <c r="R1850" s="19"/>
      <c r="S1850" s="19"/>
      <c r="T1850" s="19"/>
      <c r="U1850" s="19"/>
      <c r="V1850" s="19"/>
      <c r="W1850" s="19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</row>
    <row r="1851" spans="1:36" ht="11.25" customHeight="1" x14ac:dyDescent="0.2">
      <c r="A1851" s="55" t="s">
        <v>21</v>
      </c>
      <c r="B1851" s="55" t="s">
        <v>44</v>
      </c>
      <c r="C1851" s="55" t="s">
        <v>23</v>
      </c>
      <c r="D1851" s="55" t="s">
        <v>45</v>
      </c>
      <c r="E1851" s="55" t="s">
        <v>56</v>
      </c>
      <c r="F1851" s="55" t="s">
        <v>55</v>
      </c>
      <c r="G1851" s="55" t="s">
        <v>25</v>
      </c>
      <c r="H1851" s="55" t="s">
        <v>25</v>
      </c>
      <c r="I1851" s="63">
        <v>44562</v>
      </c>
      <c r="J1851" s="64">
        <f>EFEITO!$J$1851*EFEITO!$Y$1521</f>
        <v>0</v>
      </c>
      <c r="K1851" s="64">
        <f ca="1">EFEITO!$L$1851*EFEITO!$Z$1521</f>
        <v>7780.8742436945204</v>
      </c>
      <c r="L1851" s="64">
        <f>EFEITO!$N$1851*EFEITO!$AA$1521</f>
        <v>5290.468574499756</v>
      </c>
      <c r="M1851" s="64">
        <f>$J$1851-EFEITO!$K$1851*EFEITO!$Y$1851</f>
        <v>0</v>
      </c>
      <c r="N1851" s="64">
        <f ca="1">$K$1851-EFEITO!$M$1851*EFEITO!$Z$1851</f>
        <v>5806.0883606448515</v>
      </c>
      <c r="O1851" s="64">
        <f>$L$1851-EFEITO!$O$1851*EFEITO!$AA$1851</f>
        <v>3947.7476502917179</v>
      </c>
      <c r="P1851" s="19"/>
      <c r="Q1851" s="19"/>
      <c r="R1851" s="19"/>
      <c r="S1851" s="19"/>
      <c r="T1851" s="19"/>
      <c r="U1851" s="19"/>
      <c r="V1851" s="19"/>
      <c r="W1851" s="19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</row>
    <row r="1852" spans="1:36" ht="11.25" customHeight="1" x14ac:dyDescent="0.2">
      <c r="A1852" s="55" t="s">
        <v>21</v>
      </c>
      <c r="B1852" s="55" t="s">
        <v>44</v>
      </c>
      <c r="C1852" s="55" t="s">
        <v>23</v>
      </c>
      <c r="D1852" s="55" t="s">
        <v>45</v>
      </c>
      <c r="E1852" s="55" t="s">
        <v>56</v>
      </c>
      <c r="F1852" s="55" t="s">
        <v>55</v>
      </c>
      <c r="G1852" s="55" t="s">
        <v>25</v>
      </c>
      <c r="H1852" s="55" t="s">
        <v>25</v>
      </c>
      <c r="I1852" s="63">
        <v>44593</v>
      </c>
      <c r="J1852" s="64">
        <f>EFEITO!$J$1852*EFEITO!$Y$1521</f>
        <v>0</v>
      </c>
      <c r="K1852" s="64">
        <f ca="1">EFEITO!$L$1852*EFEITO!$Z$1521</f>
        <v>6211.7901118710688</v>
      </c>
      <c r="L1852" s="64">
        <f>EFEITO!$N$1852*EFEITO!$AA$1521</f>
        <v>4223.5974196439456</v>
      </c>
      <c r="M1852" s="64">
        <f>$J$1852-EFEITO!$K$1852*EFEITO!$Y$1852</f>
        <v>0</v>
      </c>
      <c r="N1852" s="64">
        <f ca="1">$K$1852-EFEITO!$M$1852*EFEITO!$Z$1852</f>
        <v>4635.2377814781921</v>
      </c>
      <c r="O1852" s="64">
        <f>$L$1852-EFEITO!$O$1852*EFEITO!$AA$1852</f>
        <v>3151.6483945383125</v>
      </c>
      <c r="P1852" s="19"/>
      <c r="Q1852" s="19"/>
      <c r="R1852" s="19"/>
      <c r="S1852" s="19"/>
      <c r="T1852" s="19"/>
      <c r="U1852" s="19"/>
      <c r="V1852" s="19"/>
      <c r="W1852" s="19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</row>
    <row r="1853" spans="1:36" ht="11.25" customHeight="1" x14ac:dyDescent="0.2">
      <c r="A1853" s="55" t="s">
        <v>21</v>
      </c>
      <c r="B1853" s="55" t="s">
        <v>44</v>
      </c>
      <c r="C1853" s="55" t="s">
        <v>23</v>
      </c>
      <c r="D1853" s="55" t="s">
        <v>45</v>
      </c>
      <c r="E1853" s="55" t="s">
        <v>56</v>
      </c>
      <c r="F1853" s="55" t="s">
        <v>55</v>
      </c>
      <c r="G1853" s="55" t="s">
        <v>25</v>
      </c>
      <c r="H1853" s="55" t="s">
        <v>25</v>
      </c>
      <c r="I1853" s="63">
        <v>44621</v>
      </c>
      <c r="J1853" s="64">
        <f>EFEITO!$J$1853*EFEITO!$Y$1521</f>
        <v>0</v>
      </c>
      <c r="K1853" s="64">
        <f ca="1">EFEITO!$L$1853*EFEITO!$Z$1521</f>
        <v>6554.1357406325496</v>
      </c>
      <c r="L1853" s="64">
        <f>EFEITO!$N$1853*EFEITO!$AA$1521</f>
        <v>4456.3693079761233</v>
      </c>
      <c r="M1853" s="64">
        <f>$J$1853-EFEITO!$K$1853*EFEITO!$Y$1853</f>
        <v>0</v>
      </c>
      <c r="N1853" s="64">
        <f ca="1">$K$1853-EFEITO!$M$1853*EFEITO!$Z$1853</f>
        <v>4890.6960896600085</v>
      </c>
      <c r="O1853" s="64">
        <f>$L$1853-EFEITO!$O$1853*EFEITO!$AA$1853</f>
        <v>3325.3427776117833</v>
      </c>
      <c r="P1853" s="19"/>
      <c r="Q1853" s="19"/>
      <c r="R1853" s="19"/>
      <c r="S1853" s="19"/>
      <c r="T1853" s="19"/>
      <c r="U1853" s="19"/>
      <c r="V1853" s="19"/>
      <c r="W1853" s="19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</row>
    <row r="1854" spans="1:36" ht="11.25" customHeight="1" x14ac:dyDescent="0.2">
      <c r="A1854" s="55" t="s">
        <v>21</v>
      </c>
      <c r="B1854" s="55" t="s">
        <v>44</v>
      </c>
      <c r="C1854" s="55" t="s">
        <v>23</v>
      </c>
      <c r="D1854" s="55" t="s">
        <v>45</v>
      </c>
      <c r="E1854" s="55" t="s">
        <v>56</v>
      </c>
      <c r="F1854" s="55" t="s">
        <v>55</v>
      </c>
      <c r="G1854" s="55" t="s">
        <v>25</v>
      </c>
      <c r="H1854" s="55" t="s">
        <v>25</v>
      </c>
      <c r="I1854" s="63">
        <v>44652</v>
      </c>
      <c r="J1854" s="64">
        <f>EFEITO!$J$1854*EFEITO!$Y$1521</f>
        <v>0</v>
      </c>
      <c r="K1854" s="64">
        <f ca="1">EFEITO!$L$1854*EFEITO!$Z$1521</f>
        <v>7061.5918132654515</v>
      </c>
      <c r="L1854" s="64">
        <f>EFEITO!$N$1854*EFEITO!$AA$1521</f>
        <v>4801.4051382851721</v>
      </c>
      <c r="M1854" s="64">
        <f>$J$1854-EFEITO!$K$1854*EFEITO!$Y$1854</f>
        <v>0</v>
      </c>
      <c r="N1854" s="64">
        <f ca="1">$K$1854-EFEITO!$M$1854*EFEITO!$Z$1854</f>
        <v>5269.35981105868</v>
      </c>
      <c r="O1854" s="64">
        <f>$L$1854-EFEITO!$O$1854*EFEITO!$AA$1854</f>
        <v>3582.8085141883957</v>
      </c>
      <c r="P1854" s="19"/>
      <c r="Q1854" s="19"/>
      <c r="R1854" s="19"/>
      <c r="S1854" s="19"/>
      <c r="T1854" s="19"/>
      <c r="U1854" s="19"/>
      <c r="V1854" s="19"/>
      <c r="W1854" s="19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</row>
    <row r="1855" spans="1:36" ht="11.25" customHeight="1" x14ac:dyDescent="0.2">
      <c r="A1855" s="55" t="s">
        <v>21</v>
      </c>
      <c r="B1855" s="55" t="s">
        <v>44</v>
      </c>
      <c r="C1855" s="55" t="s">
        <v>23</v>
      </c>
      <c r="D1855" s="55" t="s">
        <v>45</v>
      </c>
      <c r="E1855" s="55" t="s">
        <v>56</v>
      </c>
      <c r="F1855" s="55" t="s">
        <v>55</v>
      </c>
      <c r="G1855" s="55" t="s">
        <v>25</v>
      </c>
      <c r="H1855" s="55" t="s">
        <v>25</v>
      </c>
      <c r="I1855" s="63">
        <v>44682</v>
      </c>
      <c r="J1855" s="64">
        <f>EFEITO!$J$1855*EFEITO!$Y$1521</f>
        <v>0</v>
      </c>
      <c r="K1855" s="64">
        <f ca="1">EFEITO!$L$1855*EFEITO!$Z$1521</f>
        <v>7674.9610647964373</v>
      </c>
      <c r="L1855" s="64">
        <f>EFEITO!$N$1855*EFEITO!$AA$1521</f>
        <v>5218.4547715469889</v>
      </c>
      <c r="M1855" s="64">
        <f>$J$1855-EFEITO!$K$1855*EFEITO!$Y$1855</f>
        <v>0</v>
      </c>
      <c r="N1855" s="64">
        <f ca="1">$K$1855-EFEITO!$M$1855*EFEITO!$Z$1855</f>
        <v>5727.0559465511014</v>
      </c>
      <c r="O1855" s="64">
        <f>$L$1855-EFEITO!$O$1855*EFEITO!$AA$1855</f>
        <v>3894.0109505283631</v>
      </c>
      <c r="P1855" s="19"/>
      <c r="Q1855" s="19"/>
      <c r="R1855" s="19"/>
      <c r="S1855" s="19"/>
      <c r="T1855" s="19"/>
      <c r="U1855" s="19"/>
      <c r="V1855" s="19"/>
      <c r="W1855" s="19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</row>
    <row r="1856" spans="1:36" ht="11.25" customHeight="1" x14ac:dyDescent="0.2">
      <c r="A1856" s="55" t="s">
        <v>21</v>
      </c>
      <c r="B1856" s="55" t="s">
        <v>44</v>
      </c>
      <c r="C1856" s="55" t="s">
        <v>23</v>
      </c>
      <c r="D1856" s="55" t="s">
        <v>45</v>
      </c>
      <c r="E1856" s="55" t="s">
        <v>56</v>
      </c>
      <c r="F1856" s="55" t="s">
        <v>55</v>
      </c>
      <c r="G1856" s="55" t="s">
        <v>25</v>
      </c>
      <c r="H1856" s="55" t="s">
        <v>25</v>
      </c>
      <c r="I1856" s="63">
        <v>44713</v>
      </c>
      <c r="J1856" s="64">
        <f>EFEITO!$J$1856*EFEITO!$Y$1521</f>
        <v>0</v>
      </c>
      <c r="K1856" s="64">
        <f ca="1">EFEITO!$L$1856*EFEITO!$Z$1521</f>
        <v>6631.8767271638026</v>
      </c>
      <c r="L1856" s="64">
        <f>EFEITO!$N$1856*EFEITO!$AA$1521</f>
        <v>4509.2279242848881</v>
      </c>
      <c r="M1856" s="64">
        <f>$J$1856-EFEITO!$K$1856*EFEITO!$Y$1856</f>
        <v>0</v>
      </c>
      <c r="N1856" s="64">
        <f ca="1">$K$1856-EFEITO!$M$1856*EFEITO!$Z$1856</f>
        <v>4948.7064138096302</v>
      </c>
      <c r="O1856" s="64">
        <f>$L$1856-EFEITO!$O$1856*EFEITO!$AA$1856</f>
        <v>3364.7858771013834</v>
      </c>
      <c r="P1856" s="19"/>
      <c r="Q1856" s="19"/>
      <c r="R1856" s="19"/>
      <c r="S1856" s="19"/>
      <c r="T1856" s="19"/>
      <c r="U1856" s="19"/>
      <c r="V1856" s="19"/>
      <c r="W1856" s="19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</row>
    <row r="1857" spans="1:36" ht="11.25" customHeight="1" x14ac:dyDescent="0.2">
      <c r="A1857" s="55" t="s">
        <v>57</v>
      </c>
      <c r="B1857" s="55" t="s">
        <v>44</v>
      </c>
      <c r="C1857" s="55" t="s">
        <v>23</v>
      </c>
      <c r="D1857" s="55" t="s">
        <v>45</v>
      </c>
      <c r="E1857" s="55" t="s">
        <v>56</v>
      </c>
      <c r="F1857" s="55" t="s">
        <v>55</v>
      </c>
      <c r="G1857" s="55" t="s">
        <v>25</v>
      </c>
      <c r="H1857" s="55" t="s">
        <v>25</v>
      </c>
      <c r="I1857" s="63">
        <v>44743</v>
      </c>
      <c r="J1857" s="64">
        <f>EFEITO!$J$1857*EFEITO!$Y$1521</f>
        <v>0</v>
      </c>
      <c r="K1857" s="64">
        <f ca="1">EFEITO!$L$1857*EFEITO!$Z$1521</f>
        <v>6631.8767271638026</v>
      </c>
      <c r="L1857" s="64">
        <f>EFEITO!$N$1857*EFEITO!$AA$1521</f>
        <v>4509.2279242848881</v>
      </c>
      <c r="M1857" s="64">
        <f>$J$1857-EFEITO!$K$1857*EFEITO!$Y$1857</f>
        <v>0</v>
      </c>
      <c r="N1857" s="64">
        <f ca="1">$K$1857-EFEITO!$M$1857*EFEITO!$Z$1857</f>
        <v>4948.7064138096302</v>
      </c>
      <c r="O1857" s="64">
        <f>$L$1857-EFEITO!$O$1857*EFEITO!$AA$1857</f>
        <v>3364.7858771013834</v>
      </c>
      <c r="P1857" s="19"/>
      <c r="Q1857" s="19"/>
      <c r="R1857" s="19"/>
      <c r="S1857" s="19"/>
      <c r="T1857" s="19"/>
      <c r="U1857" s="19"/>
      <c r="V1857" s="19"/>
      <c r="W1857" s="19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</row>
    <row r="1858" spans="1:36" ht="11.25" customHeight="1" x14ac:dyDescent="0.2">
      <c r="A1858" s="55" t="s">
        <v>21</v>
      </c>
      <c r="B1858" s="55" t="s">
        <v>44</v>
      </c>
      <c r="C1858" s="55" t="s">
        <v>23</v>
      </c>
      <c r="D1858" s="55" t="s">
        <v>45</v>
      </c>
      <c r="E1858" s="55" t="s">
        <v>25</v>
      </c>
      <c r="F1858" s="55" t="s">
        <v>25</v>
      </c>
      <c r="G1858" s="55" t="s">
        <v>25</v>
      </c>
      <c r="H1858" s="55" t="s">
        <v>25</v>
      </c>
      <c r="I1858" s="63">
        <v>44409</v>
      </c>
      <c r="J1858" s="64">
        <f>EFEITO!$J$1858*EFEITO!$Y$1521</f>
        <v>0</v>
      </c>
      <c r="K1858" s="64">
        <f ca="1">EFEITO!$L$1858*EFEITO!$Z$1521</f>
        <v>5604669.0246750107</v>
      </c>
      <c r="L1858" s="64">
        <f>EFEITO!$N$1858*EFEITO!$AA$1521</f>
        <v>3810796.1158149084</v>
      </c>
      <c r="M1858" s="64">
        <f>$J$1858-EFEITO!$K$1858*EFEITO!$Y$1858</f>
        <v>0</v>
      </c>
      <c r="N1858" s="64">
        <f ca="1">$K$1858-EFEITO!$M$1858*EFEITO!$Z$1858</f>
        <v>336280.14148050174</v>
      </c>
      <c r="O1858" s="64">
        <f>$L$1858-EFEITO!$O$1858*EFEITO!$AA$1858</f>
        <v>228647.76694889506</v>
      </c>
      <c r="P1858" s="19"/>
      <c r="Q1858" s="19"/>
      <c r="R1858" s="19"/>
      <c r="S1858" s="19"/>
      <c r="T1858" s="19"/>
      <c r="U1858" s="19"/>
      <c r="V1858" s="19"/>
      <c r="W1858" s="19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</row>
    <row r="1859" spans="1:36" ht="11.25" customHeight="1" x14ac:dyDescent="0.2">
      <c r="A1859" s="55" t="s">
        <v>27</v>
      </c>
      <c r="B1859" s="55" t="s">
        <v>44</v>
      </c>
      <c r="C1859" s="55" t="s">
        <v>23</v>
      </c>
      <c r="D1859" s="55" t="s">
        <v>45</v>
      </c>
      <c r="E1859" s="55" t="s">
        <v>25</v>
      </c>
      <c r="F1859" s="55" t="s">
        <v>25</v>
      </c>
      <c r="G1859" s="55" t="s">
        <v>25</v>
      </c>
      <c r="H1859" s="55" t="s">
        <v>25</v>
      </c>
      <c r="I1859" s="63">
        <v>44409</v>
      </c>
      <c r="J1859" s="64">
        <f>EFEITO!$J$1859*EFEITO!$Y$1521</f>
        <v>0</v>
      </c>
      <c r="K1859" s="64">
        <f ca="1">EFEITO!$L$1859*EFEITO!$Z$1521</f>
        <v>-8434.183818581012</v>
      </c>
      <c r="L1859" s="64">
        <f>EFEITO!$N$1859*EFEITO!$AA$1521</f>
        <v>-5734.6749280669937</v>
      </c>
      <c r="M1859" s="64">
        <f>$J$1859-EFEITO!$K$1859*EFEITO!$Y$1859</f>
        <v>0</v>
      </c>
      <c r="N1859" s="64">
        <f ca="1">$K$1859-EFEITO!$M$1859*EFEITO!$Z$1859</f>
        <v>-506.05102911486119</v>
      </c>
      <c r="O1859" s="64">
        <f>$L$1859-EFEITO!$O$1859*EFEITO!$AA$1859</f>
        <v>-344.08049568402021</v>
      </c>
      <c r="P1859" s="19"/>
      <c r="Q1859" s="19"/>
      <c r="R1859" s="19"/>
      <c r="S1859" s="19"/>
      <c r="T1859" s="19"/>
      <c r="U1859" s="19"/>
      <c r="V1859" s="19"/>
      <c r="W1859" s="19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</row>
    <row r="1860" spans="1:36" ht="11.25" customHeight="1" x14ac:dyDescent="0.2">
      <c r="A1860" s="55" t="s">
        <v>28</v>
      </c>
      <c r="B1860" s="55" t="s">
        <v>44</v>
      </c>
      <c r="C1860" s="55" t="s">
        <v>23</v>
      </c>
      <c r="D1860" s="55" t="s">
        <v>45</v>
      </c>
      <c r="E1860" s="55" t="s">
        <v>25</v>
      </c>
      <c r="F1860" s="55" t="s">
        <v>25</v>
      </c>
      <c r="G1860" s="55" t="s">
        <v>25</v>
      </c>
      <c r="H1860" s="55" t="s">
        <v>25</v>
      </c>
      <c r="I1860" s="63">
        <v>44409</v>
      </c>
      <c r="J1860" s="64">
        <f>EFEITO!$J$1860*EFEITO!$Y$1521</f>
        <v>0</v>
      </c>
      <c r="K1860" s="64">
        <f ca="1">EFEITO!$L$1860*EFEITO!$Z$1521</f>
        <v>85765.068815379986</v>
      </c>
      <c r="L1860" s="64">
        <f>EFEITO!$N$1860*EFEITO!$AA$1521</f>
        <v>58314.449912267562</v>
      </c>
      <c r="M1860" s="64">
        <f>$J$1860-EFEITO!$K$1860*EFEITO!$Y$1860</f>
        <v>0</v>
      </c>
      <c r="N1860" s="64">
        <f ca="1">$K$1860-EFEITO!$M$1860*EFEITO!$Z$1860</f>
        <v>5145.9041289228044</v>
      </c>
      <c r="O1860" s="64">
        <f>$L$1860-EFEITO!$O$1860*EFEITO!$AA$1860</f>
        <v>3498.8669947360613</v>
      </c>
      <c r="P1860" s="19"/>
      <c r="Q1860" s="19"/>
      <c r="R1860" s="19"/>
      <c r="S1860" s="19"/>
      <c r="T1860" s="19"/>
      <c r="U1860" s="19"/>
      <c r="V1860" s="19"/>
      <c r="W1860" s="19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</row>
    <row r="1861" spans="1:36" ht="11.25" customHeight="1" x14ac:dyDescent="0.2">
      <c r="A1861" s="55" t="s">
        <v>21</v>
      </c>
      <c r="B1861" s="55" t="s">
        <v>44</v>
      </c>
      <c r="C1861" s="55" t="s">
        <v>23</v>
      </c>
      <c r="D1861" s="55" t="s">
        <v>45</v>
      </c>
      <c r="E1861" s="55" t="s">
        <v>25</v>
      </c>
      <c r="F1861" s="55" t="s">
        <v>25</v>
      </c>
      <c r="G1861" s="55" t="s">
        <v>25</v>
      </c>
      <c r="H1861" s="55" t="s">
        <v>25</v>
      </c>
      <c r="I1861" s="63">
        <v>44440</v>
      </c>
      <c r="J1861" s="64">
        <f>EFEITO!$J$1861*EFEITO!$Y$1521</f>
        <v>0</v>
      </c>
      <c r="K1861" s="64">
        <f ca="1">EFEITO!$L$1861*EFEITO!$Z$1521</f>
        <v>5594860.4658009633</v>
      </c>
      <c r="L1861" s="64">
        <f>EFEITO!$N$1861*EFEITO!$AA$1521</f>
        <v>3804126.9587434744</v>
      </c>
      <c r="M1861" s="64">
        <f>$J$1861-EFEITO!$K$1861*EFEITO!$Y$1861</f>
        <v>0</v>
      </c>
      <c r="N1861" s="64">
        <f ca="1">$K$1861-EFEITO!$M$1861*EFEITO!$Z$1861</f>
        <v>335691.62794805784</v>
      </c>
      <c r="O1861" s="64">
        <f>$L$1861-EFEITO!$O$1861*EFEITO!$AA$1861</f>
        <v>228247.61752460897</v>
      </c>
      <c r="P1861" s="19"/>
      <c r="Q1861" s="19"/>
      <c r="R1861" s="19"/>
      <c r="S1861" s="19"/>
      <c r="T1861" s="19"/>
      <c r="U1861" s="19"/>
      <c r="V1861" s="19"/>
      <c r="W1861" s="19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</row>
    <row r="1862" spans="1:36" ht="11.25" customHeight="1" x14ac:dyDescent="0.2">
      <c r="A1862" s="55" t="s">
        <v>27</v>
      </c>
      <c r="B1862" s="55" t="s">
        <v>44</v>
      </c>
      <c r="C1862" s="55" t="s">
        <v>23</v>
      </c>
      <c r="D1862" s="55" t="s">
        <v>45</v>
      </c>
      <c r="E1862" s="55" t="s">
        <v>25</v>
      </c>
      <c r="F1862" s="55" t="s">
        <v>25</v>
      </c>
      <c r="G1862" s="55" t="s">
        <v>25</v>
      </c>
      <c r="H1862" s="55" t="s">
        <v>25</v>
      </c>
      <c r="I1862" s="63">
        <v>44440</v>
      </c>
      <c r="J1862" s="64">
        <f>EFEITO!$J$1862*EFEITO!$Y$1521</f>
        <v>0</v>
      </c>
      <c r="K1862" s="64">
        <f ca="1">EFEITO!$L$1862*EFEITO!$Z$1521</f>
        <v>-1042.7277276026755</v>
      </c>
      <c r="L1862" s="64">
        <f>EFEITO!$N$1862*EFEITO!$AA$1521</f>
        <v>-708.98437654508859</v>
      </c>
      <c r="M1862" s="64">
        <f>$J$1862-EFEITO!$K$1862*EFEITO!$Y$1862</f>
        <v>0</v>
      </c>
      <c r="N1862" s="64">
        <f ca="1">$K$1862-EFEITO!$M$1862*EFEITO!$Z$1862</f>
        <v>-62.563663656160543</v>
      </c>
      <c r="O1862" s="64">
        <f>$L$1862-EFEITO!$O$1862*EFEITO!$AA$1862</f>
        <v>-42.539062592705477</v>
      </c>
      <c r="P1862" s="19"/>
      <c r="Q1862" s="19"/>
      <c r="R1862" s="19"/>
      <c r="S1862" s="19"/>
      <c r="T1862" s="19"/>
      <c r="U1862" s="19"/>
      <c r="V1862" s="19"/>
      <c r="W1862" s="19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</row>
    <row r="1863" spans="1:36" ht="11.25" customHeight="1" x14ac:dyDescent="0.2">
      <c r="A1863" s="55" t="s">
        <v>28</v>
      </c>
      <c r="B1863" s="55" t="s">
        <v>44</v>
      </c>
      <c r="C1863" s="55" t="s">
        <v>23</v>
      </c>
      <c r="D1863" s="55" t="s">
        <v>45</v>
      </c>
      <c r="E1863" s="55" t="s">
        <v>25</v>
      </c>
      <c r="F1863" s="55" t="s">
        <v>25</v>
      </c>
      <c r="G1863" s="55" t="s">
        <v>25</v>
      </c>
      <c r="H1863" s="55" t="s">
        <v>25</v>
      </c>
      <c r="I1863" s="63">
        <v>44440</v>
      </c>
      <c r="J1863" s="64">
        <f>EFEITO!$J$1863*EFEITO!$Y$1521</f>
        <v>0</v>
      </c>
      <c r="K1863" s="64">
        <f ca="1">EFEITO!$L$1863*EFEITO!$Z$1521</f>
        <v>109567.71848511178</v>
      </c>
      <c r="L1863" s="64">
        <f>EFEITO!$N$1863*EFEITO!$AA$1521</f>
        <v>74498.642860713197</v>
      </c>
      <c r="M1863" s="64">
        <f>$J$1863-EFEITO!$K$1863*EFEITO!$Y$1863</f>
        <v>0</v>
      </c>
      <c r="N1863" s="64">
        <f ca="1">$K$1863-EFEITO!$M$1863*EFEITO!$Z$1863</f>
        <v>6574.0631091067189</v>
      </c>
      <c r="O1863" s="64">
        <f>$L$1863-EFEITO!$O$1863*EFEITO!$AA$1863</f>
        <v>4469.9185716428037</v>
      </c>
      <c r="P1863" s="19"/>
      <c r="Q1863" s="19"/>
      <c r="R1863" s="19"/>
      <c r="S1863" s="19"/>
      <c r="T1863" s="19"/>
      <c r="U1863" s="19"/>
      <c r="V1863" s="19"/>
      <c r="W1863" s="19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</row>
    <row r="1864" spans="1:36" ht="11.25" customHeight="1" x14ac:dyDescent="0.2">
      <c r="A1864" s="55" t="s">
        <v>28</v>
      </c>
      <c r="B1864" s="55" t="s">
        <v>44</v>
      </c>
      <c r="C1864" s="55" t="s">
        <v>23</v>
      </c>
      <c r="D1864" s="55" t="s">
        <v>45</v>
      </c>
      <c r="E1864" s="55" t="s">
        <v>25</v>
      </c>
      <c r="F1864" s="55" t="s">
        <v>25</v>
      </c>
      <c r="G1864" s="55" t="s">
        <v>25</v>
      </c>
      <c r="H1864" s="55" t="s">
        <v>25</v>
      </c>
      <c r="I1864" s="63">
        <v>44440</v>
      </c>
      <c r="J1864" s="64">
        <f>EFEITO!$J$1864*EFEITO!$Y$1521</f>
        <v>0</v>
      </c>
      <c r="K1864" s="64">
        <f ca="1">EFEITO!$L$1864*EFEITO!$Z$1521</f>
        <v>-115.54164970699962</v>
      </c>
      <c r="L1864" s="64">
        <f>EFEITO!$N$1864*EFEITO!$AA$1521</f>
        <v>-78.56051231210968</v>
      </c>
      <c r="M1864" s="64">
        <f>$J$1864-EFEITO!$K$1864*EFEITO!$Y$1864</f>
        <v>0</v>
      </c>
      <c r="N1864" s="64">
        <f ca="1">$K$1864-EFEITO!$M$1864*EFEITO!$Z$1864</f>
        <v>-6.9324989824199861</v>
      </c>
      <c r="O1864" s="64">
        <f>$L$1864-EFEITO!$O$1864*EFEITO!$AA$1864</f>
        <v>-4.713630738726593</v>
      </c>
      <c r="P1864" s="19"/>
      <c r="Q1864" s="19"/>
      <c r="R1864" s="19"/>
      <c r="S1864" s="19"/>
      <c r="T1864" s="19"/>
      <c r="U1864" s="19"/>
      <c r="V1864" s="19"/>
      <c r="W1864" s="19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</row>
    <row r="1865" spans="1:36" ht="11.25" customHeight="1" x14ac:dyDescent="0.2">
      <c r="A1865" s="55" t="s">
        <v>21</v>
      </c>
      <c r="B1865" s="55" t="s">
        <v>44</v>
      </c>
      <c r="C1865" s="55" t="s">
        <v>23</v>
      </c>
      <c r="D1865" s="55" t="s">
        <v>45</v>
      </c>
      <c r="E1865" s="55" t="s">
        <v>25</v>
      </c>
      <c r="F1865" s="55" t="s">
        <v>25</v>
      </c>
      <c r="G1865" s="55" t="s">
        <v>25</v>
      </c>
      <c r="H1865" s="55" t="s">
        <v>25</v>
      </c>
      <c r="I1865" s="63">
        <v>44470</v>
      </c>
      <c r="J1865" s="64">
        <f>EFEITO!$J$1865*EFEITO!$Y$1521</f>
        <v>0</v>
      </c>
      <c r="K1865" s="64">
        <f ca="1">EFEITO!$L$1865*EFEITO!$Z$1521</f>
        <v>5937753.4909584327</v>
      </c>
      <c r="L1865" s="64">
        <f>EFEITO!$N$1865*EFEITO!$AA$1521</f>
        <v>4037271.0396262654</v>
      </c>
      <c r="M1865" s="64">
        <f>$J$1865-EFEITO!$K$1865*EFEITO!$Y$1865</f>
        <v>0</v>
      </c>
      <c r="N1865" s="64">
        <f ca="1">$K$1865-EFEITO!$M$1865*EFEITO!$Z$1865</f>
        <v>356265.20945750643</v>
      </c>
      <c r="O1865" s="64">
        <f>$L$1865-EFEITO!$O$1865*EFEITO!$AA$1865</f>
        <v>242236.26237757597</v>
      </c>
      <c r="P1865" s="19"/>
      <c r="Q1865" s="19"/>
      <c r="R1865" s="19"/>
      <c r="S1865" s="19"/>
      <c r="T1865" s="19"/>
      <c r="U1865" s="19"/>
      <c r="V1865" s="19"/>
      <c r="W1865" s="19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</row>
    <row r="1866" spans="1:36" ht="11.25" customHeight="1" x14ac:dyDescent="0.2">
      <c r="A1866" s="55" t="s">
        <v>27</v>
      </c>
      <c r="B1866" s="55" t="s">
        <v>44</v>
      </c>
      <c r="C1866" s="55" t="s">
        <v>23</v>
      </c>
      <c r="D1866" s="55" t="s">
        <v>45</v>
      </c>
      <c r="E1866" s="55" t="s">
        <v>25</v>
      </c>
      <c r="F1866" s="55" t="s">
        <v>25</v>
      </c>
      <c r="G1866" s="55" t="s">
        <v>25</v>
      </c>
      <c r="H1866" s="55" t="s">
        <v>25</v>
      </c>
      <c r="I1866" s="63">
        <v>44470</v>
      </c>
      <c r="J1866" s="64">
        <f>EFEITO!$J$1866*EFEITO!$Y$1521</f>
        <v>0</v>
      </c>
      <c r="K1866" s="64">
        <f ca="1">EFEITO!$L$1866*EFEITO!$Z$1521</f>
        <v>-22210.385885960957</v>
      </c>
      <c r="L1866" s="64">
        <f>EFEITO!$N$1866*EFEITO!$AA$1521</f>
        <v>-15101.561196983996</v>
      </c>
      <c r="M1866" s="64">
        <f>$J$1866-EFEITO!$K$1866*EFEITO!$Y$1866</f>
        <v>0</v>
      </c>
      <c r="N1866" s="64">
        <f ca="1">$K$1866-EFEITO!$M$1866*EFEITO!$Z$1866</f>
        <v>-1332.6231531576595</v>
      </c>
      <c r="O1866" s="64">
        <f>$L$1866-EFEITO!$O$1866*EFEITO!$AA$1866</f>
        <v>-906.09367181904054</v>
      </c>
      <c r="P1866" s="19"/>
      <c r="Q1866" s="19"/>
      <c r="R1866" s="19"/>
      <c r="S1866" s="19"/>
      <c r="T1866" s="19"/>
      <c r="U1866" s="19"/>
      <c r="V1866" s="19"/>
      <c r="W1866" s="19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</row>
    <row r="1867" spans="1:36" ht="11.25" customHeight="1" x14ac:dyDescent="0.2">
      <c r="A1867" s="55" t="s">
        <v>28</v>
      </c>
      <c r="B1867" s="55" t="s">
        <v>44</v>
      </c>
      <c r="C1867" s="55" t="s">
        <v>23</v>
      </c>
      <c r="D1867" s="55" t="s">
        <v>45</v>
      </c>
      <c r="E1867" s="55" t="s">
        <v>25</v>
      </c>
      <c r="F1867" s="55" t="s">
        <v>25</v>
      </c>
      <c r="G1867" s="55" t="s">
        <v>25</v>
      </c>
      <c r="H1867" s="55" t="s">
        <v>25</v>
      </c>
      <c r="I1867" s="63">
        <v>44470</v>
      </c>
      <c r="J1867" s="64">
        <f>EFEITO!$J$1867*EFEITO!$Y$1521</f>
        <v>0</v>
      </c>
      <c r="K1867" s="64">
        <f ca="1">EFEITO!$L$1867*EFEITO!$Z$1521</f>
        <v>110320.16564832712</v>
      </c>
      <c r="L1867" s="64">
        <f>EFEITO!$N$1867*EFEITO!$AA$1521</f>
        <v>75010.256073609955</v>
      </c>
      <c r="M1867" s="64">
        <f>$J$1867-EFEITO!$K$1867*EFEITO!$Y$1867</f>
        <v>0</v>
      </c>
      <c r="N1867" s="64">
        <f ca="1">$K$1867-EFEITO!$M$1867*EFEITO!$Z$1867</f>
        <v>6619.2099388996285</v>
      </c>
      <c r="O1867" s="64">
        <f>$L$1867-EFEITO!$O$1867*EFEITO!$AA$1867</f>
        <v>4500.6153644166043</v>
      </c>
      <c r="P1867" s="19"/>
      <c r="Q1867" s="19"/>
      <c r="R1867" s="19"/>
      <c r="S1867" s="19"/>
      <c r="T1867" s="19"/>
      <c r="U1867" s="19"/>
      <c r="V1867" s="19"/>
      <c r="W1867" s="19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</row>
    <row r="1868" spans="1:36" ht="11.25" customHeight="1" x14ac:dyDescent="0.2">
      <c r="A1868" s="55" t="s">
        <v>28</v>
      </c>
      <c r="B1868" s="55" t="s">
        <v>44</v>
      </c>
      <c r="C1868" s="55" t="s">
        <v>23</v>
      </c>
      <c r="D1868" s="55" t="s">
        <v>45</v>
      </c>
      <c r="E1868" s="55" t="s">
        <v>25</v>
      </c>
      <c r="F1868" s="55" t="s">
        <v>25</v>
      </c>
      <c r="G1868" s="55" t="s">
        <v>25</v>
      </c>
      <c r="H1868" s="55" t="s">
        <v>25</v>
      </c>
      <c r="I1868" s="63">
        <v>44470</v>
      </c>
      <c r="J1868" s="64">
        <f>EFEITO!$J$1868*EFEITO!$Y$1521</f>
        <v>0</v>
      </c>
      <c r="K1868" s="64">
        <f ca="1">EFEITO!$L$1868*EFEITO!$Z$1521</f>
        <v>4132.397027175035</v>
      </c>
      <c r="L1868" s="64">
        <f>EFEITO!$N$1868*EFEITO!$AA$1521</f>
        <v>2809.7506687429841</v>
      </c>
      <c r="M1868" s="64">
        <f>$J$1868-EFEITO!$K$1868*EFEITO!$Y$1868</f>
        <v>0</v>
      </c>
      <c r="N1868" s="64">
        <f ca="1">$K$1868-EFEITO!$M$1868*EFEITO!$Z$1868</f>
        <v>247.94382163050204</v>
      </c>
      <c r="O1868" s="64">
        <f>$L$1868-EFEITO!$O$1868*EFEITO!$AA$1868</f>
        <v>168.58504012457934</v>
      </c>
      <c r="P1868" s="19"/>
      <c r="Q1868" s="19"/>
      <c r="R1868" s="19"/>
      <c r="S1868" s="19"/>
      <c r="T1868" s="19"/>
      <c r="U1868" s="19"/>
      <c r="V1868" s="19"/>
      <c r="W1868" s="19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</row>
    <row r="1869" spans="1:36" ht="11.25" customHeight="1" x14ac:dyDescent="0.2">
      <c r="A1869" s="55" t="s">
        <v>21</v>
      </c>
      <c r="B1869" s="55" t="s">
        <v>44</v>
      </c>
      <c r="C1869" s="55" t="s">
        <v>23</v>
      </c>
      <c r="D1869" s="55" t="s">
        <v>45</v>
      </c>
      <c r="E1869" s="55" t="s">
        <v>25</v>
      </c>
      <c r="F1869" s="55" t="s">
        <v>25</v>
      </c>
      <c r="G1869" s="55" t="s">
        <v>25</v>
      </c>
      <c r="H1869" s="55" t="s">
        <v>25</v>
      </c>
      <c r="I1869" s="63">
        <v>44501</v>
      </c>
      <c r="J1869" s="64">
        <f>EFEITO!$J$1869*EFEITO!$Y$1521</f>
        <v>0</v>
      </c>
      <c r="K1869" s="64">
        <f ca="1">EFEITO!$L$1869*EFEITO!$Z$1521</f>
        <v>5871984.6163529931</v>
      </c>
      <c r="L1869" s="64">
        <f>EFEITO!$N$1869*EFEITO!$AA$1521</f>
        <v>3992552.6502290503</v>
      </c>
      <c r="M1869" s="64">
        <f>$J$1869-EFEITO!$K$1869*EFEITO!$Y$1869</f>
        <v>0</v>
      </c>
      <c r="N1869" s="64">
        <f ca="1">$K$1869-EFEITO!$M$1869*EFEITO!$Z$1869</f>
        <v>352319.07698118035</v>
      </c>
      <c r="O1869" s="64">
        <f>$L$1869-EFEITO!$O$1869*EFEITO!$AA$1869</f>
        <v>239553.15901374351</v>
      </c>
      <c r="P1869" s="19"/>
      <c r="Q1869" s="19"/>
      <c r="R1869" s="19"/>
      <c r="S1869" s="19"/>
      <c r="T1869" s="19"/>
      <c r="U1869" s="19"/>
      <c r="V1869" s="19"/>
      <c r="W1869" s="19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</row>
    <row r="1870" spans="1:36" ht="11.25" customHeight="1" x14ac:dyDescent="0.2">
      <c r="A1870" s="55" t="s">
        <v>27</v>
      </c>
      <c r="B1870" s="55" t="s">
        <v>44</v>
      </c>
      <c r="C1870" s="55" t="s">
        <v>23</v>
      </c>
      <c r="D1870" s="55" t="s">
        <v>45</v>
      </c>
      <c r="E1870" s="55" t="s">
        <v>25</v>
      </c>
      <c r="F1870" s="55" t="s">
        <v>25</v>
      </c>
      <c r="G1870" s="55" t="s">
        <v>25</v>
      </c>
      <c r="H1870" s="55" t="s">
        <v>25</v>
      </c>
      <c r="I1870" s="63">
        <v>44501</v>
      </c>
      <c r="J1870" s="64">
        <f>EFEITO!$J$1870*EFEITO!$Y$1521</f>
        <v>0</v>
      </c>
      <c r="K1870" s="64">
        <f ca="1">EFEITO!$L$1870*EFEITO!$Z$1521</f>
        <v>-13687.762779949897</v>
      </c>
      <c r="L1870" s="64">
        <f>EFEITO!$N$1870*EFEITO!$AA$1521</f>
        <v>-9306.7535310978583</v>
      </c>
      <c r="M1870" s="64">
        <f>$J$1870-EFEITO!$K$1870*EFEITO!$Y$1870</f>
        <v>0</v>
      </c>
      <c r="N1870" s="64">
        <f ca="1">$K$1870-EFEITO!$M$1870*EFEITO!$Z$1870</f>
        <v>-821.26576679699428</v>
      </c>
      <c r="O1870" s="64">
        <f>$L$1870-EFEITO!$O$1870*EFEITO!$AA$1870</f>
        <v>-558.40521186587284</v>
      </c>
      <c r="P1870" s="19"/>
      <c r="Q1870" s="19"/>
      <c r="R1870" s="19"/>
      <c r="S1870" s="19"/>
      <c r="T1870" s="19"/>
      <c r="U1870" s="19"/>
      <c r="V1870" s="19"/>
      <c r="W1870" s="19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</row>
    <row r="1871" spans="1:36" ht="11.25" customHeight="1" x14ac:dyDescent="0.2">
      <c r="A1871" s="55" t="s">
        <v>28</v>
      </c>
      <c r="B1871" s="55" t="s">
        <v>44</v>
      </c>
      <c r="C1871" s="55" t="s">
        <v>23</v>
      </c>
      <c r="D1871" s="55" t="s">
        <v>45</v>
      </c>
      <c r="E1871" s="55" t="s">
        <v>25</v>
      </c>
      <c r="F1871" s="55" t="s">
        <v>25</v>
      </c>
      <c r="G1871" s="55" t="s">
        <v>25</v>
      </c>
      <c r="H1871" s="55" t="s">
        <v>25</v>
      </c>
      <c r="I1871" s="63">
        <v>44501</v>
      </c>
      <c r="J1871" s="64">
        <f>EFEITO!$J$1871*EFEITO!$Y$1521</f>
        <v>0</v>
      </c>
      <c r="K1871" s="64">
        <f ca="1">EFEITO!$L$1871*EFEITO!$Z$1521</f>
        <v>150133.53583316747</v>
      </c>
      <c r="L1871" s="64">
        <f>EFEITO!$N$1871*EFEITO!$AA$1521</f>
        <v>102080.65680377407</v>
      </c>
      <c r="M1871" s="64">
        <f>$J$1871-EFEITO!$K$1871*EFEITO!$Y$1871</f>
        <v>0</v>
      </c>
      <c r="N1871" s="64">
        <f ca="1">$K$1871-EFEITO!$M$1871*EFEITO!$Z$1871</f>
        <v>9008.0121499900706</v>
      </c>
      <c r="O1871" s="64">
        <f>$L$1871-EFEITO!$O$1871*EFEITO!$AA$1871</f>
        <v>6124.8394082264422</v>
      </c>
      <c r="P1871" s="19"/>
      <c r="Q1871" s="19"/>
      <c r="R1871" s="19"/>
      <c r="S1871" s="19"/>
      <c r="T1871" s="19"/>
      <c r="U1871" s="19"/>
      <c r="V1871" s="19"/>
      <c r="W1871" s="19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</row>
    <row r="1872" spans="1:36" ht="11.25" customHeight="1" x14ac:dyDescent="0.2">
      <c r="A1872" s="55" t="s">
        <v>28</v>
      </c>
      <c r="B1872" s="55" t="s">
        <v>44</v>
      </c>
      <c r="C1872" s="55" t="s">
        <v>23</v>
      </c>
      <c r="D1872" s="55" t="s">
        <v>45</v>
      </c>
      <c r="E1872" s="55" t="s">
        <v>25</v>
      </c>
      <c r="F1872" s="55" t="s">
        <v>25</v>
      </c>
      <c r="G1872" s="55" t="s">
        <v>25</v>
      </c>
      <c r="H1872" s="55" t="s">
        <v>25</v>
      </c>
      <c r="I1872" s="63">
        <v>44501</v>
      </c>
      <c r="J1872" s="64">
        <f>EFEITO!$J$1872*EFEITO!$Y$1521</f>
        <v>0</v>
      </c>
      <c r="K1872" s="64">
        <f ca="1">EFEITO!$L$1872*EFEITO!$Z$1521</f>
        <v>-815.56713851823497</v>
      </c>
      <c r="L1872" s="64">
        <f>EFEITO!$N$1872*EFEITO!$AA$1521</f>
        <v>-554.53052980800874</v>
      </c>
      <c r="M1872" s="64">
        <f>$J$1872-EFEITO!$K$1872*EFEITO!$Y$1872</f>
        <v>0</v>
      </c>
      <c r="N1872" s="64">
        <f ca="1">$K$1872-EFEITO!$M$1872*EFEITO!$Z$1872</f>
        <v>-48.934028311094266</v>
      </c>
      <c r="O1872" s="64">
        <f>$L$1872-EFEITO!$O$1872*EFEITO!$AA$1872</f>
        <v>-33.27183178848054</v>
      </c>
      <c r="P1872" s="19"/>
      <c r="Q1872" s="19"/>
      <c r="R1872" s="19"/>
      <c r="S1872" s="19"/>
      <c r="T1872" s="19"/>
      <c r="U1872" s="19"/>
      <c r="V1872" s="19"/>
      <c r="W1872" s="19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</row>
    <row r="1873" spans="1:36" ht="11.25" customHeight="1" x14ac:dyDescent="0.2">
      <c r="A1873" s="55" t="s">
        <v>21</v>
      </c>
      <c r="B1873" s="55" t="s">
        <v>44</v>
      </c>
      <c r="C1873" s="55" t="s">
        <v>23</v>
      </c>
      <c r="D1873" s="55" t="s">
        <v>45</v>
      </c>
      <c r="E1873" s="55" t="s">
        <v>25</v>
      </c>
      <c r="F1873" s="55" t="s">
        <v>25</v>
      </c>
      <c r="G1873" s="55" t="s">
        <v>25</v>
      </c>
      <c r="H1873" s="55" t="s">
        <v>25</v>
      </c>
      <c r="I1873" s="63">
        <v>44531</v>
      </c>
      <c r="J1873" s="64">
        <f>EFEITO!$J$1873*EFEITO!$Y$1521</f>
        <v>0</v>
      </c>
      <c r="K1873" s="64">
        <f ca="1">EFEITO!$L$1873*EFEITO!$Z$1521</f>
        <v>6364823.957077899</v>
      </c>
      <c r="L1873" s="64">
        <f>EFEITO!$N$1873*EFEITO!$AA$1521</f>
        <v>4327650.090789184</v>
      </c>
      <c r="M1873" s="64">
        <f>$J$1873-EFEITO!$K$1873*EFEITO!$Y$1873</f>
        <v>0</v>
      </c>
      <c r="N1873" s="64">
        <f ca="1">$K$1873-EFEITO!$M$1873*EFEITO!$Z$1873</f>
        <v>381889.4374246737</v>
      </c>
      <c r="O1873" s="64">
        <f>$L$1873-EFEITO!$O$1873*EFEITO!$AA$1873</f>
        <v>259659.00544735184</v>
      </c>
      <c r="P1873" s="19"/>
      <c r="Q1873" s="19"/>
      <c r="R1873" s="19"/>
      <c r="S1873" s="19"/>
      <c r="T1873" s="19"/>
      <c r="U1873" s="19"/>
      <c r="V1873" s="19"/>
      <c r="W1873" s="19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</row>
    <row r="1874" spans="1:36" ht="11.25" customHeight="1" x14ac:dyDescent="0.2">
      <c r="A1874" s="55" t="s">
        <v>27</v>
      </c>
      <c r="B1874" s="55" t="s">
        <v>44</v>
      </c>
      <c r="C1874" s="55" t="s">
        <v>23</v>
      </c>
      <c r="D1874" s="55" t="s">
        <v>45</v>
      </c>
      <c r="E1874" s="55" t="s">
        <v>25</v>
      </c>
      <c r="F1874" s="55" t="s">
        <v>25</v>
      </c>
      <c r="G1874" s="55" t="s">
        <v>25</v>
      </c>
      <c r="H1874" s="55" t="s">
        <v>25</v>
      </c>
      <c r="I1874" s="63">
        <v>44531</v>
      </c>
      <c r="J1874" s="64">
        <f>EFEITO!$J$1874*EFEITO!$Y$1521</f>
        <v>0</v>
      </c>
      <c r="K1874" s="64">
        <f ca="1">EFEITO!$L$1874*EFEITO!$Z$1521</f>
        <v>-46005.190135033641</v>
      </c>
      <c r="L1874" s="64">
        <f>EFEITO!$N$1874*EFEITO!$AA$1521</f>
        <v>-31280.419789655349</v>
      </c>
      <c r="M1874" s="64">
        <f>$J$1874-EFEITO!$K$1874*EFEITO!$Y$1874</f>
        <v>0</v>
      </c>
      <c r="N1874" s="64">
        <f ca="1">$K$1874-EFEITO!$M$1874*EFEITO!$Z$1874</f>
        <v>-2760.3114081020176</v>
      </c>
      <c r="O1874" s="64">
        <f>$L$1874-EFEITO!$O$1874*EFEITO!$AA$1874</f>
        <v>-1876.8251873793233</v>
      </c>
      <c r="P1874" s="19"/>
      <c r="Q1874" s="19"/>
      <c r="R1874" s="19"/>
      <c r="S1874" s="19"/>
      <c r="T1874" s="19"/>
      <c r="U1874" s="19"/>
      <c r="V1874" s="19"/>
      <c r="W1874" s="19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</row>
    <row r="1875" spans="1:36" ht="11.25" customHeight="1" x14ac:dyDescent="0.2">
      <c r="A1875" s="55" t="s">
        <v>28</v>
      </c>
      <c r="B1875" s="55" t="s">
        <v>44</v>
      </c>
      <c r="C1875" s="55" t="s">
        <v>23</v>
      </c>
      <c r="D1875" s="55" t="s">
        <v>45</v>
      </c>
      <c r="E1875" s="55" t="s">
        <v>25</v>
      </c>
      <c r="F1875" s="55" t="s">
        <v>25</v>
      </c>
      <c r="G1875" s="55" t="s">
        <v>25</v>
      </c>
      <c r="H1875" s="55" t="s">
        <v>25</v>
      </c>
      <c r="I1875" s="63">
        <v>44531</v>
      </c>
      <c r="J1875" s="64">
        <f>EFEITO!$J$1875*EFEITO!$Y$1521</f>
        <v>0</v>
      </c>
      <c r="K1875" s="64">
        <f ca="1">EFEITO!$L$1875*EFEITO!$Z$1521</f>
        <v>107177.36145429075</v>
      </c>
      <c r="L1875" s="64">
        <f>EFEITO!$N$1875*EFEITO!$AA$1521</f>
        <v>72873.361644577177</v>
      </c>
      <c r="M1875" s="64">
        <f>$J$1875-EFEITO!$K$1875*EFEITO!$Y$1875</f>
        <v>0</v>
      </c>
      <c r="N1875" s="64">
        <f ca="1">$K$1875-EFEITO!$M$1875*EFEITO!$Z$1875</f>
        <v>6430.6416872574482</v>
      </c>
      <c r="O1875" s="64">
        <f>$L$1875-EFEITO!$O$1875*EFEITO!$AA$1875</f>
        <v>4372.4016986746428</v>
      </c>
      <c r="P1875" s="19"/>
      <c r="Q1875" s="19"/>
      <c r="R1875" s="19"/>
      <c r="S1875" s="19"/>
      <c r="T1875" s="19"/>
      <c r="U1875" s="19"/>
      <c r="V1875" s="19"/>
      <c r="W1875" s="19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</row>
    <row r="1876" spans="1:36" ht="11.25" customHeight="1" x14ac:dyDescent="0.2">
      <c r="A1876" s="55" t="s">
        <v>28</v>
      </c>
      <c r="B1876" s="55" t="s">
        <v>44</v>
      </c>
      <c r="C1876" s="55" t="s">
        <v>23</v>
      </c>
      <c r="D1876" s="55" t="s">
        <v>45</v>
      </c>
      <c r="E1876" s="55" t="s">
        <v>25</v>
      </c>
      <c r="F1876" s="55" t="s">
        <v>25</v>
      </c>
      <c r="G1876" s="55" t="s">
        <v>25</v>
      </c>
      <c r="H1876" s="55" t="s">
        <v>25</v>
      </c>
      <c r="I1876" s="63">
        <v>44531</v>
      </c>
      <c r="J1876" s="64">
        <f>EFEITO!$J$1876*EFEITO!$Y$1521</f>
        <v>0</v>
      </c>
      <c r="K1876" s="64">
        <f ca="1">EFEITO!$L$1876*EFEITO!$Z$1521</f>
        <v>-448.97202771948304</v>
      </c>
      <c r="L1876" s="64">
        <f>EFEITO!$N$1876*EFEITO!$AA$1521</f>
        <v>-305.27063271896935</v>
      </c>
      <c r="M1876" s="64">
        <f>$J$1876-EFEITO!$K$1876*EFEITO!$Y$1876</f>
        <v>0</v>
      </c>
      <c r="N1876" s="64">
        <f ca="1">$K$1876-EFEITO!$M$1876*EFEITO!$Z$1876</f>
        <v>-26.938321663169006</v>
      </c>
      <c r="O1876" s="64">
        <f>$L$1876-EFEITO!$O$1876*EFEITO!$AA$1876</f>
        <v>-18.316237963138178</v>
      </c>
      <c r="P1876" s="19"/>
      <c r="Q1876" s="19"/>
      <c r="R1876" s="19"/>
      <c r="S1876" s="19"/>
      <c r="T1876" s="19"/>
      <c r="U1876" s="19"/>
      <c r="V1876" s="19"/>
      <c r="W1876" s="19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</row>
    <row r="1877" spans="1:36" ht="11.25" customHeight="1" x14ac:dyDescent="0.2">
      <c r="A1877" s="55" t="s">
        <v>21</v>
      </c>
      <c r="B1877" s="55" t="s">
        <v>44</v>
      </c>
      <c r="C1877" s="55" t="s">
        <v>23</v>
      </c>
      <c r="D1877" s="55" t="s">
        <v>45</v>
      </c>
      <c r="E1877" s="55" t="s">
        <v>25</v>
      </c>
      <c r="F1877" s="55" t="s">
        <v>25</v>
      </c>
      <c r="G1877" s="55" t="s">
        <v>25</v>
      </c>
      <c r="H1877" s="55" t="s">
        <v>25</v>
      </c>
      <c r="I1877" s="63">
        <v>44562</v>
      </c>
      <c r="J1877" s="64">
        <f>EFEITO!$J$1877*EFEITO!$Y$1521</f>
        <v>0</v>
      </c>
      <c r="K1877" s="64">
        <f ca="1">EFEITO!$L$1877*EFEITO!$Z$1521</f>
        <v>5518754.1796470471</v>
      </c>
      <c r="L1877" s="64">
        <f>EFEITO!$N$1877*EFEITO!$AA$1521</f>
        <v>3752379.8282014956</v>
      </c>
      <c r="M1877" s="64">
        <f>$J$1877-EFEITO!$K$1877*EFEITO!$Y$1877</f>
        <v>0</v>
      </c>
      <c r="N1877" s="64">
        <f ca="1">$K$1877-EFEITO!$M$1877*EFEITO!$Z$1877</f>
        <v>331125.25077882316</v>
      </c>
      <c r="O1877" s="64">
        <f>$L$1877-EFEITO!$O$1877*EFEITO!$AA$1877</f>
        <v>225142.78969209036</v>
      </c>
      <c r="P1877" s="19"/>
      <c r="Q1877" s="19"/>
      <c r="R1877" s="19"/>
      <c r="S1877" s="19"/>
      <c r="T1877" s="19"/>
      <c r="U1877" s="19"/>
      <c r="V1877" s="19"/>
      <c r="W1877" s="19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</row>
    <row r="1878" spans="1:36" ht="11.25" customHeight="1" x14ac:dyDescent="0.2">
      <c r="A1878" s="55" t="s">
        <v>27</v>
      </c>
      <c r="B1878" s="55" t="s">
        <v>44</v>
      </c>
      <c r="C1878" s="55" t="s">
        <v>23</v>
      </c>
      <c r="D1878" s="55" t="s">
        <v>45</v>
      </c>
      <c r="E1878" s="55" t="s">
        <v>25</v>
      </c>
      <c r="F1878" s="55" t="s">
        <v>25</v>
      </c>
      <c r="G1878" s="55" t="s">
        <v>25</v>
      </c>
      <c r="H1878" s="55" t="s">
        <v>25</v>
      </c>
      <c r="I1878" s="63">
        <v>44562</v>
      </c>
      <c r="J1878" s="64">
        <f>EFEITO!$J$1878*EFEITO!$Y$1521</f>
        <v>0</v>
      </c>
      <c r="K1878" s="64">
        <f ca="1">EFEITO!$L$1878*EFEITO!$Z$1521</f>
        <v>-35525.491184602783</v>
      </c>
      <c r="L1878" s="64">
        <f>EFEITO!$N$1878*EFEITO!$AA$1521</f>
        <v>-24154.932828803601</v>
      </c>
      <c r="M1878" s="64">
        <f>$J$1878-EFEITO!$K$1878*EFEITO!$Y$1878</f>
        <v>0</v>
      </c>
      <c r="N1878" s="64">
        <f ca="1">$K$1878-EFEITO!$M$1878*EFEITO!$Z$1878</f>
        <v>-2131.5294710761664</v>
      </c>
      <c r="O1878" s="64">
        <f>$L$1878-EFEITO!$O$1878*EFEITO!$AA$1878</f>
        <v>-1449.2959697282204</v>
      </c>
      <c r="P1878" s="19"/>
      <c r="Q1878" s="19"/>
      <c r="R1878" s="19"/>
      <c r="S1878" s="19"/>
      <c r="T1878" s="19"/>
      <c r="U1878" s="19"/>
      <c r="V1878" s="19"/>
      <c r="W1878" s="19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</row>
    <row r="1879" spans="1:36" ht="11.25" customHeight="1" x14ac:dyDescent="0.2">
      <c r="A1879" s="55" t="s">
        <v>28</v>
      </c>
      <c r="B1879" s="55" t="s">
        <v>44</v>
      </c>
      <c r="C1879" s="55" t="s">
        <v>23</v>
      </c>
      <c r="D1879" s="55" t="s">
        <v>45</v>
      </c>
      <c r="E1879" s="55" t="s">
        <v>25</v>
      </c>
      <c r="F1879" s="55" t="s">
        <v>25</v>
      </c>
      <c r="G1879" s="55" t="s">
        <v>25</v>
      </c>
      <c r="H1879" s="55" t="s">
        <v>25</v>
      </c>
      <c r="I1879" s="63">
        <v>44562</v>
      </c>
      <c r="J1879" s="64">
        <f>EFEITO!$J$1879*EFEITO!$Y$1521</f>
        <v>0</v>
      </c>
      <c r="K1879" s="64">
        <f ca="1">EFEITO!$L$1879*EFEITO!$Z$1521</f>
        <v>108618.4225853586</v>
      </c>
      <c r="L1879" s="64">
        <f>EFEITO!$N$1879*EFEITO!$AA$1521</f>
        <v>73853.185812025433</v>
      </c>
      <c r="M1879" s="64">
        <f>$J$1879-EFEITO!$K$1879*EFEITO!$Y$1879</f>
        <v>0</v>
      </c>
      <c r="N1879" s="64">
        <f ca="1">$K$1879-EFEITO!$M$1879*EFEITO!$Z$1879</f>
        <v>6517.1053551215155</v>
      </c>
      <c r="O1879" s="64">
        <f>$L$1879-EFEITO!$O$1879*EFEITO!$AA$1879</f>
        <v>4431.1911487215402</v>
      </c>
      <c r="P1879" s="19"/>
      <c r="Q1879" s="19"/>
      <c r="R1879" s="19"/>
      <c r="S1879" s="19"/>
      <c r="T1879" s="19"/>
      <c r="U1879" s="19"/>
      <c r="V1879" s="19"/>
      <c r="W1879" s="19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</row>
    <row r="1880" spans="1:36" ht="11.25" customHeight="1" x14ac:dyDescent="0.2">
      <c r="A1880" s="55" t="s">
        <v>21</v>
      </c>
      <c r="B1880" s="55" t="s">
        <v>44</v>
      </c>
      <c r="C1880" s="55" t="s">
        <v>23</v>
      </c>
      <c r="D1880" s="55" t="s">
        <v>45</v>
      </c>
      <c r="E1880" s="55" t="s">
        <v>25</v>
      </c>
      <c r="F1880" s="55" t="s">
        <v>25</v>
      </c>
      <c r="G1880" s="55" t="s">
        <v>25</v>
      </c>
      <c r="H1880" s="55" t="s">
        <v>25</v>
      </c>
      <c r="I1880" s="63">
        <v>44593</v>
      </c>
      <c r="J1880" s="64">
        <f>EFEITO!$J$1880*EFEITO!$Y$1521</f>
        <v>0</v>
      </c>
      <c r="K1880" s="64">
        <f ca="1">EFEITO!$L$1880*EFEITO!$Z$1521</f>
        <v>4356048.9301747009</v>
      </c>
      <c r="L1880" s="64">
        <f>EFEITO!$N$1880*EFEITO!$AA$1521</f>
        <v>2961818.8460953766</v>
      </c>
      <c r="M1880" s="64">
        <f>$J$1880-EFEITO!$K$1880*EFEITO!$Y$1880</f>
        <v>0</v>
      </c>
      <c r="N1880" s="64">
        <f ca="1">$K$1880-EFEITO!$M$1880*EFEITO!$Z$1880</f>
        <v>261362.93581048213</v>
      </c>
      <c r="O1880" s="64">
        <f>$L$1880-EFEITO!$O$1880*EFEITO!$AA$1880</f>
        <v>177709.13076572306</v>
      </c>
      <c r="P1880" s="19"/>
      <c r="Q1880" s="19"/>
      <c r="R1880" s="19"/>
      <c r="S1880" s="19"/>
      <c r="T1880" s="19"/>
      <c r="U1880" s="19"/>
      <c r="V1880" s="19"/>
      <c r="W1880" s="19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</row>
    <row r="1881" spans="1:36" ht="11.25" customHeight="1" x14ac:dyDescent="0.2">
      <c r="A1881" s="55" t="s">
        <v>27</v>
      </c>
      <c r="B1881" s="55" t="s">
        <v>44</v>
      </c>
      <c r="C1881" s="55" t="s">
        <v>23</v>
      </c>
      <c r="D1881" s="55" t="s">
        <v>45</v>
      </c>
      <c r="E1881" s="55" t="s">
        <v>25</v>
      </c>
      <c r="F1881" s="55" t="s">
        <v>25</v>
      </c>
      <c r="G1881" s="55" t="s">
        <v>25</v>
      </c>
      <c r="H1881" s="55" t="s">
        <v>25</v>
      </c>
      <c r="I1881" s="63">
        <v>44593</v>
      </c>
      <c r="J1881" s="64">
        <f>EFEITO!$J$1881*EFEITO!$Y$1521</f>
        <v>0</v>
      </c>
      <c r="K1881" s="64">
        <f ca="1">EFEITO!$L$1881*EFEITO!$Z$1521</f>
        <v>-26722.215985013299</v>
      </c>
      <c r="L1881" s="64">
        <f>EFEITO!$N$1881*EFEITO!$AA$1521</f>
        <v>-18169.300708628478</v>
      </c>
      <c r="M1881" s="64">
        <f>$J$1881-EFEITO!$K$1881*EFEITO!$Y$1881</f>
        <v>0</v>
      </c>
      <c r="N1881" s="64">
        <f ca="1">$K$1881-EFEITO!$M$1881*EFEITO!$Z$1881</f>
        <v>-1603.3329591008005</v>
      </c>
      <c r="O1881" s="64">
        <f>$L$1881-EFEITO!$O$1881*EFEITO!$AA$1881</f>
        <v>-1090.1580425177126</v>
      </c>
      <c r="P1881" s="19"/>
      <c r="Q1881" s="19"/>
      <c r="R1881" s="19"/>
      <c r="S1881" s="19"/>
      <c r="T1881" s="19"/>
      <c r="U1881" s="19"/>
      <c r="V1881" s="19"/>
      <c r="W1881" s="19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</row>
    <row r="1882" spans="1:36" ht="11.25" customHeight="1" x14ac:dyDescent="0.2">
      <c r="A1882" s="55" t="s">
        <v>28</v>
      </c>
      <c r="B1882" s="55" t="s">
        <v>44</v>
      </c>
      <c r="C1882" s="55" t="s">
        <v>23</v>
      </c>
      <c r="D1882" s="55" t="s">
        <v>45</v>
      </c>
      <c r="E1882" s="55" t="s">
        <v>25</v>
      </c>
      <c r="F1882" s="55" t="s">
        <v>25</v>
      </c>
      <c r="G1882" s="55" t="s">
        <v>25</v>
      </c>
      <c r="H1882" s="55" t="s">
        <v>25</v>
      </c>
      <c r="I1882" s="63">
        <v>44593</v>
      </c>
      <c r="J1882" s="64">
        <f>EFEITO!$J$1882*EFEITO!$Y$1521</f>
        <v>0</v>
      </c>
      <c r="K1882" s="64">
        <f ca="1">EFEITO!$L$1882*EFEITO!$Z$1521</f>
        <v>106503.72510769653</v>
      </c>
      <c r="L1882" s="64">
        <f>EFEITO!$N$1882*EFEITO!$AA$1521</f>
        <v>72415.334460140206</v>
      </c>
      <c r="M1882" s="64">
        <f>$J$1882-EFEITO!$K$1882*EFEITO!$Y$1882</f>
        <v>0</v>
      </c>
      <c r="N1882" s="64">
        <f ca="1">$K$1882-EFEITO!$M$1882*EFEITO!$Z$1882</f>
        <v>6390.2235064617998</v>
      </c>
      <c r="O1882" s="64">
        <f>$L$1882-EFEITO!$O$1882*EFEITO!$AA$1882</f>
        <v>4344.9200676084147</v>
      </c>
      <c r="P1882" s="19"/>
      <c r="Q1882" s="19"/>
      <c r="R1882" s="19"/>
      <c r="S1882" s="19"/>
      <c r="T1882" s="19"/>
      <c r="U1882" s="19"/>
      <c r="V1882" s="19"/>
      <c r="W1882" s="19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</row>
    <row r="1883" spans="1:36" ht="11.25" customHeight="1" x14ac:dyDescent="0.2">
      <c r="A1883" s="55" t="s">
        <v>28</v>
      </c>
      <c r="B1883" s="55" t="s">
        <v>44</v>
      </c>
      <c r="C1883" s="55" t="s">
        <v>23</v>
      </c>
      <c r="D1883" s="55" t="s">
        <v>45</v>
      </c>
      <c r="E1883" s="55" t="s">
        <v>25</v>
      </c>
      <c r="F1883" s="55" t="s">
        <v>25</v>
      </c>
      <c r="G1883" s="55" t="s">
        <v>25</v>
      </c>
      <c r="H1883" s="55" t="s">
        <v>25</v>
      </c>
      <c r="I1883" s="63">
        <v>44593</v>
      </c>
      <c r="J1883" s="64">
        <f>EFEITO!$J$1883*EFEITO!$Y$1521</f>
        <v>0</v>
      </c>
      <c r="K1883" s="64">
        <f ca="1">EFEITO!$L$1883*EFEITO!$Z$1521</f>
        <v>-723.91836081854694</v>
      </c>
      <c r="L1883" s="64">
        <f>EFEITO!$N$1883*EFEITO!$AA$1521</f>
        <v>-492.21555553574888</v>
      </c>
      <c r="M1883" s="64">
        <f>$J$1883-EFEITO!$K$1883*EFEITO!$Y$1883</f>
        <v>0</v>
      </c>
      <c r="N1883" s="64">
        <f ca="1">$K$1883-EFEITO!$M$1883*EFEITO!$Z$1883</f>
        <v>-43.43510164911288</v>
      </c>
      <c r="O1883" s="64">
        <f>$L$1883-EFEITO!$O$1883*EFEITO!$AA$1883</f>
        <v>-29.532933332144978</v>
      </c>
      <c r="P1883" s="19"/>
      <c r="Q1883" s="19"/>
      <c r="R1883" s="19"/>
      <c r="S1883" s="19"/>
      <c r="T1883" s="19"/>
      <c r="U1883" s="19"/>
      <c r="V1883" s="19"/>
      <c r="W1883" s="19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</row>
    <row r="1884" spans="1:36" ht="11.25" customHeight="1" x14ac:dyDescent="0.2">
      <c r="A1884" s="55" t="s">
        <v>21</v>
      </c>
      <c r="B1884" s="55" t="s">
        <v>44</v>
      </c>
      <c r="C1884" s="55" t="s">
        <v>23</v>
      </c>
      <c r="D1884" s="55" t="s">
        <v>45</v>
      </c>
      <c r="E1884" s="55" t="s">
        <v>25</v>
      </c>
      <c r="F1884" s="55" t="s">
        <v>25</v>
      </c>
      <c r="G1884" s="55" t="s">
        <v>25</v>
      </c>
      <c r="H1884" s="55" t="s">
        <v>25</v>
      </c>
      <c r="I1884" s="63">
        <v>44621</v>
      </c>
      <c r="J1884" s="64">
        <f>EFEITO!$J$1884*EFEITO!$Y$1521</f>
        <v>0</v>
      </c>
      <c r="K1884" s="64">
        <f ca="1">EFEITO!$L$1884*EFEITO!$Z$1521</f>
        <v>4842517.4327143757</v>
      </c>
      <c r="L1884" s="64">
        <f>EFEITO!$N$1884*EFEITO!$AA$1521</f>
        <v>3292584.5472960789</v>
      </c>
      <c r="M1884" s="64">
        <f>$J$1884-EFEITO!$K$1884*EFEITO!$Y$1884</f>
        <v>0</v>
      </c>
      <c r="N1884" s="64">
        <f ca="1">$K$1884-EFEITO!$M$1884*EFEITO!$Z$1884</f>
        <v>290551.04596286267</v>
      </c>
      <c r="O1884" s="64">
        <f>$L$1884-EFEITO!$O$1884*EFEITO!$AA$1884</f>
        <v>197555.07283776533</v>
      </c>
      <c r="P1884" s="19"/>
      <c r="Q1884" s="19"/>
      <c r="R1884" s="19"/>
      <c r="S1884" s="19"/>
      <c r="T1884" s="19"/>
      <c r="U1884" s="19"/>
      <c r="V1884" s="19"/>
      <c r="W1884" s="19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</row>
    <row r="1885" spans="1:36" ht="11.25" customHeight="1" x14ac:dyDescent="0.2">
      <c r="A1885" s="55" t="s">
        <v>27</v>
      </c>
      <c r="B1885" s="55" t="s">
        <v>44</v>
      </c>
      <c r="C1885" s="55" t="s">
        <v>23</v>
      </c>
      <c r="D1885" s="55" t="s">
        <v>45</v>
      </c>
      <c r="E1885" s="55" t="s">
        <v>25</v>
      </c>
      <c r="F1885" s="55" t="s">
        <v>25</v>
      </c>
      <c r="G1885" s="55" t="s">
        <v>25</v>
      </c>
      <c r="H1885" s="55" t="s">
        <v>25</v>
      </c>
      <c r="I1885" s="63">
        <v>44621</v>
      </c>
      <c r="J1885" s="64">
        <f>EFEITO!$J$1885*EFEITO!$Y$1521</f>
        <v>0</v>
      </c>
      <c r="K1885" s="64">
        <f ca="1">EFEITO!$L$1885*EFEITO!$Z$1521</f>
        <v>-28281.315035997875</v>
      </c>
      <c r="L1885" s="64">
        <f>EFEITO!$N$1885*EFEITO!$AA$1521</f>
        <v>-19229.38268340793</v>
      </c>
      <c r="M1885" s="64">
        <f>$J$1885-EFEITO!$K$1885*EFEITO!$Y$1885</f>
        <v>0</v>
      </c>
      <c r="N1885" s="64">
        <f ca="1">$K$1885-EFEITO!$M$1885*EFEITO!$Z$1885</f>
        <v>-1696.878902159875</v>
      </c>
      <c r="O1885" s="64">
        <f>$L$1885-EFEITO!$O$1885*EFEITO!$AA$1885</f>
        <v>-1153.7629610044751</v>
      </c>
      <c r="P1885" s="19"/>
      <c r="Q1885" s="19"/>
      <c r="R1885" s="19"/>
      <c r="S1885" s="19"/>
      <c r="T1885" s="19"/>
      <c r="U1885" s="19"/>
      <c r="V1885" s="19"/>
      <c r="W1885" s="19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</row>
    <row r="1886" spans="1:36" ht="11.25" customHeight="1" x14ac:dyDescent="0.2">
      <c r="A1886" s="55" t="s">
        <v>28</v>
      </c>
      <c r="B1886" s="55" t="s">
        <v>44</v>
      </c>
      <c r="C1886" s="55" t="s">
        <v>23</v>
      </c>
      <c r="D1886" s="55" t="s">
        <v>45</v>
      </c>
      <c r="E1886" s="55" t="s">
        <v>25</v>
      </c>
      <c r="F1886" s="55" t="s">
        <v>25</v>
      </c>
      <c r="G1886" s="55" t="s">
        <v>25</v>
      </c>
      <c r="H1886" s="55" t="s">
        <v>25</v>
      </c>
      <c r="I1886" s="63">
        <v>44621</v>
      </c>
      <c r="J1886" s="64">
        <f>EFEITO!$J$1886*EFEITO!$Y$1521</f>
        <v>0</v>
      </c>
      <c r="K1886" s="64">
        <f ca="1">EFEITO!$L$1886*EFEITO!$Z$1521</f>
        <v>99619.725089351094</v>
      </c>
      <c r="L1886" s="64">
        <f>EFEITO!$N$1886*EFEITO!$AA$1521</f>
        <v>67734.679738927342</v>
      </c>
      <c r="M1886" s="64">
        <f>$J$1886-EFEITO!$K$1886*EFEITO!$Y$1886</f>
        <v>0</v>
      </c>
      <c r="N1886" s="64">
        <f ca="1">$K$1886-EFEITO!$M$1886*EFEITO!$Z$1886</f>
        <v>5977.1835053610703</v>
      </c>
      <c r="O1886" s="64">
        <f>$L$1886-EFEITO!$O$1886*EFEITO!$AA$1886</f>
        <v>4064.0807843356451</v>
      </c>
      <c r="P1886" s="19"/>
      <c r="Q1886" s="19"/>
      <c r="R1886" s="19"/>
      <c r="S1886" s="19"/>
      <c r="T1886" s="19"/>
      <c r="U1886" s="19"/>
      <c r="V1886" s="19"/>
      <c r="W1886" s="19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</row>
    <row r="1887" spans="1:36" ht="11.25" customHeight="1" x14ac:dyDescent="0.2">
      <c r="A1887" s="55" t="s">
        <v>28</v>
      </c>
      <c r="B1887" s="55" t="s">
        <v>44</v>
      </c>
      <c r="C1887" s="55" t="s">
        <v>23</v>
      </c>
      <c r="D1887" s="55" t="s">
        <v>45</v>
      </c>
      <c r="E1887" s="55" t="s">
        <v>25</v>
      </c>
      <c r="F1887" s="55" t="s">
        <v>25</v>
      </c>
      <c r="G1887" s="55" t="s">
        <v>25</v>
      </c>
      <c r="H1887" s="55" t="s">
        <v>25</v>
      </c>
      <c r="I1887" s="63">
        <v>44621</v>
      </c>
      <c r="J1887" s="64">
        <f>EFEITO!$J$1887*EFEITO!$Y$1521</f>
        <v>0</v>
      </c>
      <c r="K1887" s="64">
        <f ca="1">EFEITO!$L$1887*EFEITO!$Z$1521</f>
        <v>-10.69830089879626</v>
      </c>
      <c r="L1887" s="64">
        <f>EFEITO!$N$1887*EFEITO!$AA$1521</f>
        <v>-7.2741215103805255</v>
      </c>
      <c r="M1887" s="64">
        <f>$J$1887-EFEITO!$K$1887*EFEITO!$Y$1887</f>
        <v>0</v>
      </c>
      <c r="N1887" s="64">
        <f ca="1">$K$1887-EFEITO!$M$1887*EFEITO!$Z$1887</f>
        <v>-0.64189805392777544</v>
      </c>
      <c r="O1887" s="64">
        <f>$L$1887-EFEITO!$O$1887*EFEITO!$AA$1887</f>
        <v>-0.43644729062283272</v>
      </c>
      <c r="P1887" s="19"/>
      <c r="Q1887" s="19"/>
      <c r="R1887" s="19"/>
      <c r="S1887" s="19"/>
      <c r="T1887" s="19"/>
      <c r="U1887" s="19"/>
      <c r="V1887" s="19"/>
      <c r="W1887" s="19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</row>
    <row r="1888" spans="1:36" ht="11.25" customHeight="1" x14ac:dyDescent="0.2">
      <c r="A1888" s="55" t="s">
        <v>21</v>
      </c>
      <c r="B1888" s="55" t="s">
        <v>44</v>
      </c>
      <c r="C1888" s="55" t="s">
        <v>23</v>
      </c>
      <c r="D1888" s="55" t="s">
        <v>45</v>
      </c>
      <c r="E1888" s="55" t="s">
        <v>25</v>
      </c>
      <c r="F1888" s="55" t="s">
        <v>25</v>
      </c>
      <c r="G1888" s="55" t="s">
        <v>25</v>
      </c>
      <c r="H1888" s="55" t="s">
        <v>25</v>
      </c>
      <c r="I1888" s="63">
        <v>44652</v>
      </c>
      <c r="J1888" s="64">
        <f>EFEITO!$J$1888*EFEITO!$Y$1521</f>
        <v>0</v>
      </c>
      <c r="K1888" s="64">
        <f ca="1">EFEITO!$L$1888*EFEITO!$Z$1521</f>
        <v>4447168.4985899283</v>
      </c>
      <c r="L1888" s="64">
        <f>EFEITO!$N$1888*EFEITO!$AA$1521</f>
        <v>3023773.9938235893</v>
      </c>
      <c r="M1888" s="64">
        <f>$J$1888-EFEITO!$K$1888*EFEITO!$Y$1888</f>
        <v>0</v>
      </c>
      <c r="N1888" s="64">
        <f ca="1">$K$1888-EFEITO!$M$1888*EFEITO!$Z$1888</f>
        <v>266830.10991539573</v>
      </c>
      <c r="O1888" s="64">
        <f>$L$1888-EFEITO!$O$1888*EFEITO!$AA$1888</f>
        <v>181426.43962941552</v>
      </c>
      <c r="P1888" s="19"/>
      <c r="Q1888" s="19"/>
      <c r="R1888" s="19"/>
      <c r="S1888" s="19"/>
      <c r="T1888" s="19"/>
      <c r="U1888" s="19"/>
      <c r="V1888" s="19"/>
      <c r="W1888" s="19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</row>
    <row r="1889" spans="1:36" ht="11.25" customHeight="1" x14ac:dyDescent="0.2">
      <c r="A1889" s="55" t="s">
        <v>27</v>
      </c>
      <c r="B1889" s="55" t="s">
        <v>44</v>
      </c>
      <c r="C1889" s="55" t="s">
        <v>23</v>
      </c>
      <c r="D1889" s="55" t="s">
        <v>45</v>
      </c>
      <c r="E1889" s="55" t="s">
        <v>25</v>
      </c>
      <c r="F1889" s="55" t="s">
        <v>25</v>
      </c>
      <c r="G1889" s="55" t="s">
        <v>25</v>
      </c>
      <c r="H1889" s="55" t="s">
        <v>25</v>
      </c>
      <c r="I1889" s="63">
        <v>44652</v>
      </c>
      <c r="J1889" s="64">
        <f>EFEITO!$J$1889*EFEITO!$Y$1521</f>
        <v>0</v>
      </c>
      <c r="K1889" s="64">
        <f ca="1">EFEITO!$L$1889*EFEITO!$Z$1521</f>
        <v>-17220.69834676238</v>
      </c>
      <c r="L1889" s="64">
        <f>EFEITO!$N$1889*EFEITO!$AA$1521</f>
        <v>-11708.910924542519</v>
      </c>
      <c r="M1889" s="64">
        <f>$J$1889-EFEITO!$K$1889*EFEITO!$Y$1889</f>
        <v>0</v>
      </c>
      <c r="N1889" s="64">
        <f ca="1">$K$1889-EFEITO!$M$1889*EFEITO!$Z$1889</f>
        <v>-1033.2419008057423</v>
      </c>
      <c r="O1889" s="64">
        <f>$L$1889-EFEITO!$O$1889*EFEITO!$AA$1889</f>
        <v>-702.53465547255109</v>
      </c>
      <c r="P1889" s="19"/>
      <c r="Q1889" s="19"/>
      <c r="R1889" s="19"/>
      <c r="S1889" s="19"/>
      <c r="T1889" s="19"/>
      <c r="U1889" s="19"/>
      <c r="V1889" s="19"/>
      <c r="W1889" s="19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</row>
    <row r="1890" spans="1:36" ht="11.25" customHeight="1" x14ac:dyDescent="0.2">
      <c r="A1890" s="55" t="s">
        <v>28</v>
      </c>
      <c r="B1890" s="55" t="s">
        <v>44</v>
      </c>
      <c r="C1890" s="55" t="s">
        <v>23</v>
      </c>
      <c r="D1890" s="55" t="s">
        <v>45</v>
      </c>
      <c r="E1890" s="55" t="s">
        <v>25</v>
      </c>
      <c r="F1890" s="55" t="s">
        <v>25</v>
      </c>
      <c r="G1890" s="55" t="s">
        <v>25</v>
      </c>
      <c r="H1890" s="55" t="s">
        <v>25</v>
      </c>
      <c r="I1890" s="63">
        <v>44652</v>
      </c>
      <c r="J1890" s="64">
        <f>EFEITO!$J$1890*EFEITO!$Y$1521</f>
        <v>0</v>
      </c>
      <c r="K1890" s="64">
        <f ca="1">EFEITO!$L$1890*EFEITO!$Z$1521</f>
        <v>136947.16675534114</v>
      </c>
      <c r="L1890" s="64">
        <f>EFEITO!$N$1890*EFEITO!$AA$1521</f>
        <v>93114.817100796034</v>
      </c>
      <c r="M1890" s="64">
        <f>$J$1890-EFEITO!$K$1890*EFEITO!$Y$1890</f>
        <v>0</v>
      </c>
      <c r="N1890" s="64">
        <f ca="1">$K$1890-EFEITO!$M$1890*EFEITO!$Z$1890</f>
        <v>8216.8300053204875</v>
      </c>
      <c r="O1890" s="64">
        <f>$L$1890-EFEITO!$O$1890*EFEITO!$AA$1890</f>
        <v>5586.8890260477638</v>
      </c>
      <c r="P1890" s="19"/>
      <c r="Q1890" s="19"/>
      <c r="R1890" s="19"/>
      <c r="S1890" s="19"/>
      <c r="T1890" s="19"/>
      <c r="U1890" s="19"/>
      <c r="V1890" s="19"/>
      <c r="W1890" s="19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</row>
    <row r="1891" spans="1:36" ht="11.25" customHeight="1" x14ac:dyDescent="0.2">
      <c r="A1891" s="55" t="s">
        <v>28</v>
      </c>
      <c r="B1891" s="55" t="s">
        <v>44</v>
      </c>
      <c r="C1891" s="55" t="s">
        <v>23</v>
      </c>
      <c r="D1891" s="55" t="s">
        <v>45</v>
      </c>
      <c r="E1891" s="55" t="s">
        <v>25</v>
      </c>
      <c r="F1891" s="55" t="s">
        <v>25</v>
      </c>
      <c r="G1891" s="55" t="s">
        <v>25</v>
      </c>
      <c r="H1891" s="55" t="s">
        <v>25</v>
      </c>
      <c r="I1891" s="63">
        <v>44652</v>
      </c>
      <c r="J1891" s="64">
        <f>EFEITO!$J$1891*EFEITO!$Y$1521</f>
        <v>0</v>
      </c>
      <c r="K1891" s="64">
        <f ca="1">EFEITO!$L$1891*EFEITO!$Z$1521</f>
        <v>448.97202771948304</v>
      </c>
      <c r="L1891" s="64">
        <f>EFEITO!$N$1891*EFEITO!$AA$1521</f>
        <v>305.27063271896935</v>
      </c>
      <c r="M1891" s="64">
        <f>$J$1891-EFEITO!$K$1891*EFEITO!$Y$1891</f>
        <v>0</v>
      </c>
      <c r="N1891" s="64">
        <f ca="1">$K$1891-EFEITO!$M$1891*EFEITO!$Z$1891</f>
        <v>26.938321663169006</v>
      </c>
      <c r="O1891" s="64">
        <f>$L$1891-EFEITO!$O$1891*EFEITO!$AA$1891</f>
        <v>18.316237963138178</v>
      </c>
      <c r="P1891" s="19"/>
      <c r="Q1891" s="19"/>
      <c r="R1891" s="19"/>
      <c r="S1891" s="19"/>
      <c r="T1891" s="19"/>
      <c r="U1891" s="19"/>
      <c r="V1891" s="19"/>
      <c r="W1891" s="19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</row>
    <row r="1892" spans="1:36" ht="11.25" customHeight="1" x14ac:dyDescent="0.2">
      <c r="A1892" s="55" t="s">
        <v>21</v>
      </c>
      <c r="B1892" s="55" t="s">
        <v>44</v>
      </c>
      <c r="C1892" s="55" t="s">
        <v>23</v>
      </c>
      <c r="D1892" s="55" t="s">
        <v>45</v>
      </c>
      <c r="E1892" s="55" t="s">
        <v>25</v>
      </c>
      <c r="F1892" s="55" t="s">
        <v>25</v>
      </c>
      <c r="G1892" s="55" t="s">
        <v>25</v>
      </c>
      <c r="H1892" s="55" t="s">
        <v>25</v>
      </c>
      <c r="I1892" s="63">
        <v>44682</v>
      </c>
      <c r="J1892" s="64">
        <f>EFEITO!$J$1892*EFEITO!$Y$1521</f>
        <v>0</v>
      </c>
      <c r="K1892" s="64">
        <f ca="1">EFEITO!$L$1892*EFEITO!$Z$1521</f>
        <v>4488386.5556827812</v>
      </c>
      <c r="L1892" s="64">
        <f>EFEITO!$N$1892*EFEITO!$AA$1521</f>
        <v>3051799.4867080664</v>
      </c>
      <c r="M1892" s="64">
        <f>$J$1892-EFEITO!$K$1892*EFEITO!$Y$1892</f>
        <v>0</v>
      </c>
      <c r="N1892" s="64">
        <f ca="1">$K$1892-EFEITO!$M$1892*EFEITO!$Z$1892</f>
        <v>269303.19334096741</v>
      </c>
      <c r="O1892" s="64">
        <f>$L$1892-EFEITO!$O$1892*EFEITO!$AA$1892</f>
        <v>183107.969202484</v>
      </c>
      <c r="P1892" s="19"/>
      <c r="Q1892" s="19"/>
      <c r="R1892" s="19"/>
      <c r="S1892" s="19"/>
      <c r="T1892" s="19"/>
      <c r="U1892" s="19"/>
      <c r="V1892" s="19"/>
      <c r="W1892" s="19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</row>
    <row r="1893" spans="1:36" ht="11.25" customHeight="1" x14ac:dyDescent="0.2">
      <c r="A1893" s="55" t="s">
        <v>27</v>
      </c>
      <c r="B1893" s="55" t="s">
        <v>44</v>
      </c>
      <c r="C1893" s="55" t="s">
        <v>23</v>
      </c>
      <c r="D1893" s="55" t="s">
        <v>45</v>
      </c>
      <c r="E1893" s="55" t="s">
        <v>25</v>
      </c>
      <c r="F1893" s="55" t="s">
        <v>25</v>
      </c>
      <c r="G1893" s="55" t="s">
        <v>25</v>
      </c>
      <c r="H1893" s="55" t="s">
        <v>25</v>
      </c>
      <c r="I1893" s="63">
        <v>44682</v>
      </c>
      <c r="J1893" s="64">
        <f>EFEITO!$J$1893*EFEITO!$Y$1521</f>
        <v>0</v>
      </c>
      <c r="K1893" s="64">
        <f ca="1">EFEITO!$L$1893*EFEITO!$Z$1521</f>
        <v>-30911.314006951954</v>
      </c>
      <c r="L1893" s="64">
        <f>EFEITO!$N$1893*EFEITO!$AA$1521</f>
        <v>-21017.604221376478</v>
      </c>
      <c r="M1893" s="64">
        <f>$J$1893-EFEITO!$K$1893*EFEITO!$Y$1893</f>
        <v>0</v>
      </c>
      <c r="N1893" s="64">
        <f ca="1">$K$1893-EFEITO!$M$1893*EFEITO!$Z$1893</f>
        <v>-1854.6788404171202</v>
      </c>
      <c r="O1893" s="64">
        <f>$L$1893-EFEITO!$O$1893*EFEITO!$AA$1893</f>
        <v>-1261.0562532825898</v>
      </c>
      <c r="P1893" s="19"/>
      <c r="Q1893" s="19"/>
      <c r="R1893" s="19"/>
      <c r="S1893" s="19"/>
      <c r="T1893" s="19"/>
      <c r="U1893" s="19"/>
      <c r="V1893" s="19"/>
      <c r="W1893" s="19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</row>
    <row r="1894" spans="1:36" ht="11.25" customHeight="1" x14ac:dyDescent="0.2">
      <c r="A1894" s="55" t="s">
        <v>28</v>
      </c>
      <c r="B1894" s="55" t="s">
        <v>44</v>
      </c>
      <c r="C1894" s="55" t="s">
        <v>23</v>
      </c>
      <c r="D1894" s="55" t="s">
        <v>45</v>
      </c>
      <c r="E1894" s="55" t="s">
        <v>25</v>
      </c>
      <c r="F1894" s="55" t="s">
        <v>25</v>
      </c>
      <c r="G1894" s="55" t="s">
        <v>25</v>
      </c>
      <c r="H1894" s="55" t="s">
        <v>25</v>
      </c>
      <c r="I1894" s="63">
        <v>44682</v>
      </c>
      <c r="J1894" s="64">
        <f>EFEITO!$J$1894*EFEITO!$Y$1521</f>
        <v>0</v>
      </c>
      <c r="K1894" s="64">
        <f ca="1">EFEITO!$L$1894*EFEITO!$Z$1521</f>
        <v>98543.476018932197</v>
      </c>
      <c r="L1894" s="64">
        <f>EFEITO!$N$1894*EFEITO!$AA$1521</f>
        <v>67002.90311498307</v>
      </c>
      <c r="M1894" s="64">
        <f>$J$1894-EFEITO!$K$1894*EFEITO!$Y$1894</f>
        <v>0</v>
      </c>
      <c r="N1894" s="64">
        <f ca="1">$K$1894-EFEITO!$M$1894*EFEITO!$Z$1894</f>
        <v>5912.6085611359449</v>
      </c>
      <c r="O1894" s="64">
        <f>$L$1894-EFEITO!$O$1894*EFEITO!$AA$1894</f>
        <v>4020.1741868989848</v>
      </c>
      <c r="P1894" s="19"/>
      <c r="Q1894" s="19"/>
      <c r="R1894" s="19"/>
      <c r="S1894" s="19"/>
      <c r="T1894" s="19"/>
      <c r="U1894" s="19"/>
      <c r="V1894" s="19"/>
      <c r="W1894" s="19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</row>
    <row r="1895" spans="1:36" ht="11.25" customHeight="1" x14ac:dyDescent="0.2">
      <c r="A1895" s="55" t="s">
        <v>21</v>
      </c>
      <c r="B1895" s="55" t="s">
        <v>44</v>
      </c>
      <c r="C1895" s="55" t="s">
        <v>23</v>
      </c>
      <c r="D1895" s="55" t="s">
        <v>45</v>
      </c>
      <c r="E1895" s="55" t="s">
        <v>25</v>
      </c>
      <c r="F1895" s="55" t="s">
        <v>25</v>
      </c>
      <c r="G1895" s="55" t="s">
        <v>25</v>
      </c>
      <c r="H1895" s="55" t="s">
        <v>25</v>
      </c>
      <c r="I1895" s="63">
        <v>44713</v>
      </c>
      <c r="J1895" s="64">
        <f>EFEITO!$J$1895*EFEITO!$Y$1521</f>
        <v>0</v>
      </c>
      <c r="K1895" s="64">
        <f ca="1">EFEITO!$L$1895*EFEITO!$Z$1521</f>
        <v>3960766.3255158272</v>
      </c>
      <c r="L1895" s="64">
        <f>EFEITO!$N$1895*EFEITO!$AA$1521</f>
        <v>2693053.3921762519</v>
      </c>
      <c r="M1895" s="64">
        <f>$J$1895-EFEITO!$K$1895*EFEITO!$Y$1895</f>
        <v>0</v>
      </c>
      <c r="N1895" s="64">
        <f ca="1">$K$1895-EFEITO!$M$1895*EFEITO!$Z$1895</f>
        <v>237645.97953095008</v>
      </c>
      <c r="O1895" s="64">
        <f>$L$1895-EFEITO!$O$1895*EFEITO!$AA$1895</f>
        <v>161583.20353057561</v>
      </c>
      <c r="P1895" s="19"/>
      <c r="Q1895" s="19"/>
      <c r="R1895" s="19"/>
      <c r="S1895" s="19"/>
      <c r="T1895" s="19"/>
      <c r="U1895" s="19"/>
      <c r="V1895" s="19"/>
      <c r="W1895" s="19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</row>
    <row r="1896" spans="1:36" ht="11.25" customHeight="1" x14ac:dyDescent="0.2">
      <c r="A1896" s="55" t="s">
        <v>27</v>
      </c>
      <c r="B1896" s="55" t="s">
        <v>44</v>
      </c>
      <c r="C1896" s="55" t="s">
        <v>23</v>
      </c>
      <c r="D1896" s="55" t="s">
        <v>45</v>
      </c>
      <c r="E1896" s="55" t="s">
        <v>25</v>
      </c>
      <c r="F1896" s="55" t="s">
        <v>25</v>
      </c>
      <c r="G1896" s="55" t="s">
        <v>25</v>
      </c>
      <c r="H1896" s="55" t="s">
        <v>25</v>
      </c>
      <c r="I1896" s="63">
        <v>44713</v>
      </c>
      <c r="J1896" s="64">
        <f>EFEITO!$J$1896*EFEITO!$Y$1521</f>
        <v>0</v>
      </c>
      <c r="K1896" s="64">
        <f ca="1">EFEITO!$L$1896*EFEITO!$Z$1521</f>
        <v>-4334.9515241922454</v>
      </c>
      <c r="L1896" s="64">
        <f>EFEITO!$N$1896*EFEITO!$AA$1521</f>
        <v>-2947.4740360061892</v>
      </c>
      <c r="M1896" s="64">
        <f>$J$1896-EFEITO!$K$1896*EFEITO!$Y$1896</f>
        <v>0</v>
      </c>
      <c r="N1896" s="64">
        <f ca="1">$K$1896-EFEITO!$M$1896*EFEITO!$Z$1896</f>
        <v>-260.09709145153556</v>
      </c>
      <c r="O1896" s="64">
        <f>$L$1896-EFEITO!$O$1896*EFEITO!$AA$1896</f>
        <v>-176.84844216037163</v>
      </c>
      <c r="P1896" s="19"/>
      <c r="Q1896" s="19"/>
      <c r="R1896" s="19"/>
      <c r="S1896" s="19"/>
      <c r="T1896" s="19"/>
      <c r="U1896" s="19"/>
      <c r="V1896" s="19"/>
      <c r="W1896" s="19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</row>
    <row r="1897" spans="1:36" ht="11.25" customHeight="1" x14ac:dyDescent="0.2">
      <c r="A1897" s="55" t="s">
        <v>28</v>
      </c>
      <c r="B1897" s="55" t="s">
        <v>44</v>
      </c>
      <c r="C1897" s="55" t="s">
        <v>23</v>
      </c>
      <c r="D1897" s="55" t="s">
        <v>45</v>
      </c>
      <c r="E1897" s="55" t="s">
        <v>25</v>
      </c>
      <c r="F1897" s="55" t="s">
        <v>25</v>
      </c>
      <c r="G1897" s="55" t="s">
        <v>25</v>
      </c>
      <c r="H1897" s="55" t="s">
        <v>25</v>
      </c>
      <c r="I1897" s="63">
        <v>44713</v>
      </c>
      <c r="J1897" s="64">
        <f>EFEITO!$J$1897*EFEITO!$Y$1521</f>
        <v>0</v>
      </c>
      <c r="K1897" s="64">
        <f ca="1">EFEITO!$L$1897*EFEITO!$Z$1521</f>
        <v>123461.95847240844</v>
      </c>
      <c r="L1897" s="64">
        <f>EFEITO!$N$1897*EFEITO!$AA$1521</f>
        <v>83945.786936961391</v>
      </c>
      <c r="M1897" s="64">
        <f>$J$1897-EFEITO!$K$1897*EFEITO!$Y$1897</f>
        <v>0</v>
      </c>
      <c r="N1897" s="64">
        <f ca="1">$K$1897-EFEITO!$M$1897*EFEITO!$Z$1897</f>
        <v>7407.7175083445181</v>
      </c>
      <c r="O1897" s="64">
        <f>$L$1897-EFEITO!$O$1897*EFEITO!$AA$1897</f>
        <v>5036.7472162177</v>
      </c>
      <c r="P1897" s="19"/>
      <c r="Q1897" s="19"/>
      <c r="R1897" s="19"/>
      <c r="S1897" s="19"/>
      <c r="T1897" s="19"/>
      <c r="U1897" s="19"/>
      <c r="V1897" s="19"/>
      <c r="W1897" s="19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</row>
    <row r="1898" spans="1:36" ht="11.25" customHeight="1" x14ac:dyDescent="0.2">
      <c r="A1898" s="55" t="s">
        <v>57</v>
      </c>
      <c r="B1898" s="55" t="s">
        <v>44</v>
      </c>
      <c r="C1898" s="55" t="s">
        <v>23</v>
      </c>
      <c r="D1898" s="55" t="s">
        <v>45</v>
      </c>
      <c r="E1898" s="55" t="s">
        <v>25</v>
      </c>
      <c r="F1898" s="55" t="s">
        <v>25</v>
      </c>
      <c r="G1898" s="55" t="s">
        <v>25</v>
      </c>
      <c r="H1898" s="55" t="s">
        <v>25</v>
      </c>
      <c r="I1898" s="63">
        <v>44743</v>
      </c>
      <c r="J1898" s="64">
        <f>EFEITO!$J$1898*EFEITO!$Y$1521</f>
        <v>0</v>
      </c>
      <c r="K1898" s="64">
        <f ca="1">EFEITO!$L$1898*EFEITO!$Z$1521</f>
        <v>3960766.3255158272</v>
      </c>
      <c r="L1898" s="64">
        <f>EFEITO!$N$1898*EFEITO!$AA$1521</f>
        <v>2693053.3921762519</v>
      </c>
      <c r="M1898" s="64">
        <f>$J$1898-EFEITO!$K$1898*EFEITO!$Y$1898</f>
        <v>0</v>
      </c>
      <c r="N1898" s="64">
        <f ca="1">$K$1898-EFEITO!$M$1898*EFEITO!$Z$1898</f>
        <v>237645.97953095008</v>
      </c>
      <c r="O1898" s="64">
        <f>$L$1898-EFEITO!$O$1898*EFEITO!$AA$1898</f>
        <v>161583.20353057561</v>
      </c>
      <c r="P1898" s="19"/>
      <c r="Q1898" s="19"/>
      <c r="R1898" s="19"/>
      <c r="S1898" s="19"/>
      <c r="T1898" s="19"/>
      <c r="U1898" s="19"/>
      <c r="V1898" s="19"/>
      <c r="W1898" s="19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</row>
    <row r="1899" spans="1:36" ht="11.25" customHeight="1" x14ac:dyDescent="0.2">
      <c r="A1899" s="55" t="s">
        <v>57</v>
      </c>
      <c r="B1899" s="55" t="s">
        <v>44</v>
      </c>
      <c r="C1899" s="55" t="s">
        <v>23</v>
      </c>
      <c r="D1899" s="55" t="s">
        <v>45</v>
      </c>
      <c r="E1899" s="55" t="s">
        <v>25</v>
      </c>
      <c r="F1899" s="55" t="s">
        <v>25</v>
      </c>
      <c r="G1899" s="55" t="s">
        <v>25</v>
      </c>
      <c r="H1899" s="55" t="s">
        <v>25</v>
      </c>
      <c r="I1899" s="63">
        <v>44743</v>
      </c>
      <c r="J1899" s="64">
        <f>EFEITO!$J$1899*EFEITO!$Y$1521</f>
        <v>0</v>
      </c>
      <c r="K1899" s="64">
        <f ca="1">EFEITO!$L$1899*EFEITO!$Z$1521</f>
        <v>-4334.9515241922454</v>
      </c>
      <c r="L1899" s="64">
        <f>EFEITO!$N$1899*EFEITO!$AA$1521</f>
        <v>-2947.4740360061892</v>
      </c>
      <c r="M1899" s="64">
        <f>$J$1899-EFEITO!$K$1899*EFEITO!$Y$1899</f>
        <v>0</v>
      </c>
      <c r="N1899" s="64">
        <f ca="1">$K$1899-EFEITO!$M$1899*EFEITO!$Z$1899</f>
        <v>-260.09709145153556</v>
      </c>
      <c r="O1899" s="64">
        <f>$L$1899-EFEITO!$O$1899*EFEITO!$AA$1899</f>
        <v>-176.84844216037163</v>
      </c>
      <c r="P1899" s="19"/>
      <c r="Q1899" s="19"/>
      <c r="R1899" s="19"/>
      <c r="S1899" s="19"/>
      <c r="T1899" s="19"/>
      <c r="U1899" s="19"/>
      <c r="V1899" s="19"/>
      <c r="W1899" s="19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</row>
    <row r="1900" spans="1:36" ht="11.25" customHeight="1" x14ac:dyDescent="0.2">
      <c r="A1900" s="55" t="s">
        <v>57</v>
      </c>
      <c r="B1900" s="55" t="s">
        <v>44</v>
      </c>
      <c r="C1900" s="55" t="s">
        <v>23</v>
      </c>
      <c r="D1900" s="55" t="s">
        <v>45</v>
      </c>
      <c r="E1900" s="55" t="s">
        <v>25</v>
      </c>
      <c r="F1900" s="55" t="s">
        <v>25</v>
      </c>
      <c r="G1900" s="55" t="s">
        <v>25</v>
      </c>
      <c r="H1900" s="55" t="s">
        <v>25</v>
      </c>
      <c r="I1900" s="63">
        <v>44743</v>
      </c>
      <c r="J1900" s="64">
        <f>EFEITO!$J$1900*EFEITO!$Y$1521</f>
        <v>0</v>
      </c>
      <c r="K1900" s="64">
        <f ca="1">EFEITO!$L$1900*EFEITO!$Z$1521</f>
        <v>123461.95847240844</v>
      </c>
      <c r="L1900" s="64">
        <f>EFEITO!$N$1900*EFEITO!$AA$1521</f>
        <v>83945.786936961391</v>
      </c>
      <c r="M1900" s="64">
        <f>$J$1900-EFEITO!$K$1900*EFEITO!$Y$1900</f>
        <v>0</v>
      </c>
      <c r="N1900" s="64">
        <f ca="1">$K$1900-EFEITO!$M$1900*EFEITO!$Z$1900</f>
        <v>7407.7175083445181</v>
      </c>
      <c r="O1900" s="64">
        <f>$L$1900-EFEITO!$O$1900*EFEITO!$AA$1900</f>
        <v>5036.7472162177</v>
      </c>
      <c r="P1900" s="19"/>
      <c r="Q1900" s="19"/>
      <c r="R1900" s="19"/>
      <c r="S1900" s="19"/>
      <c r="T1900" s="19"/>
      <c r="U1900" s="19"/>
      <c r="V1900" s="19"/>
      <c r="W1900" s="19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</row>
    <row r="1901" spans="1:36" ht="11.25" customHeight="1" x14ac:dyDescent="0.2">
      <c r="A1901" s="55" t="s">
        <v>21</v>
      </c>
      <c r="B1901" s="55" t="s">
        <v>37</v>
      </c>
      <c r="C1901" s="55" t="s">
        <v>33</v>
      </c>
      <c r="D1901" s="55" t="s">
        <v>43</v>
      </c>
      <c r="E1901" s="55" t="s">
        <v>25</v>
      </c>
      <c r="F1901" s="55" t="s">
        <v>25</v>
      </c>
      <c r="G1901" s="55" t="s">
        <v>25</v>
      </c>
      <c r="H1901" s="55" t="s">
        <v>35</v>
      </c>
      <c r="I1901" s="63">
        <v>44409</v>
      </c>
      <c r="J1901" s="64">
        <f>EFEITO!$J$1901*EFEITO!$Y$1901</f>
        <v>0</v>
      </c>
      <c r="K1901" s="64">
        <f ca="1">EFEITO!$L$1901*EFEITO!$Z$1901</f>
        <v>15336.383255546883</v>
      </c>
      <c r="L1901" s="64">
        <f>EFEITO!$N$1901*EFEITO!$AA$1901</f>
        <v>12901.527198136191</v>
      </c>
      <c r="M1901" s="64">
        <f>$J$1901-EFEITO!$K$1901*EFEITO!$Y$1901</f>
        <v>0</v>
      </c>
      <c r="N1901" s="64">
        <f ca="1">$K$1901-EFEITO!$M$1901*EFEITO!$Z$1901</f>
        <v>0</v>
      </c>
      <c r="O1901" s="64">
        <f>$L$1901-EFEITO!$O$1901*EFEITO!$AA$1901</f>
        <v>0</v>
      </c>
      <c r="P1901" s="19"/>
      <c r="Q1901" s="19"/>
      <c r="R1901" s="19"/>
      <c r="S1901" s="19"/>
      <c r="T1901" s="19"/>
      <c r="U1901" s="19"/>
      <c r="V1901" s="19"/>
      <c r="W1901" s="19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</row>
    <row r="1902" spans="1:36" ht="11.25" customHeight="1" x14ac:dyDescent="0.2">
      <c r="A1902" s="55" t="s">
        <v>28</v>
      </c>
      <c r="B1902" s="55" t="s">
        <v>37</v>
      </c>
      <c r="C1902" s="55" t="s">
        <v>33</v>
      </c>
      <c r="D1902" s="55" t="s">
        <v>43</v>
      </c>
      <c r="E1902" s="55" t="s">
        <v>25</v>
      </c>
      <c r="F1902" s="55" t="s">
        <v>25</v>
      </c>
      <c r="G1902" s="55" t="s">
        <v>25</v>
      </c>
      <c r="H1902" s="55" t="s">
        <v>35</v>
      </c>
      <c r="I1902" s="63">
        <v>44409</v>
      </c>
      <c r="J1902" s="64">
        <f>EFEITO!$J$1902*EFEITO!$Y$1902</f>
        <v>0</v>
      </c>
      <c r="K1902" s="64">
        <f ca="1">EFEITO!$L$1902*EFEITO!$Z$1902</f>
        <v>3088.655625019062</v>
      </c>
      <c r="L1902" s="64">
        <f>EFEITO!$N$1902*EFEITO!$AA$1902</f>
        <v>2598.2902153574801</v>
      </c>
      <c r="M1902" s="64">
        <f>$J$1902-EFEITO!$K$1902*EFEITO!$Y$1902</f>
        <v>0</v>
      </c>
      <c r="N1902" s="64">
        <f ca="1">$K$1902-EFEITO!$M$1902*EFEITO!$Z$1902</f>
        <v>0</v>
      </c>
      <c r="O1902" s="64">
        <f>$L$1902-EFEITO!$O$1902*EFEITO!$AA$1902</f>
        <v>0</v>
      </c>
      <c r="P1902" s="19"/>
      <c r="Q1902" s="19"/>
      <c r="R1902" s="19"/>
      <c r="S1902" s="19"/>
      <c r="T1902" s="19"/>
      <c r="U1902" s="19"/>
      <c r="V1902" s="19"/>
      <c r="W1902" s="19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</row>
    <row r="1903" spans="1:36" ht="11.25" customHeight="1" x14ac:dyDescent="0.2">
      <c r="A1903" s="55" t="s">
        <v>21</v>
      </c>
      <c r="B1903" s="55" t="s">
        <v>37</v>
      </c>
      <c r="C1903" s="55" t="s">
        <v>33</v>
      </c>
      <c r="D1903" s="55" t="s">
        <v>43</v>
      </c>
      <c r="E1903" s="55" t="s">
        <v>25</v>
      </c>
      <c r="F1903" s="55" t="s">
        <v>25</v>
      </c>
      <c r="G1903" s="55" t="s">
        <v>25</v>
      </c>
      <c r="H1903" s="55" t="s">
        <v>35</v>
      </c>
      <c r="I1903" s="63">
        <v>44440</v>
      </c>
      <c r="J1903" s="64">
        <f>EFEITO!$J$1903*EFEITO!$Y$1903</f>
        <v>0</v>
      </c>
      <c r="K1903" s="64">
        <f ca="1">EFEITO!$L$1903*EFEITO!$Z$1903</f>
        <v>14488.38735742819</v>
      </c>
      <c r="L1903" s="64">
        <f>EFEITO!$N$1903*EFEITO!$AA$1903</f>
        <v>12188.161995846445</v>
      </c>
      <c r="M1903" s="64">
        <f>$J$1903-EFEITO!$K$1903*EFEITO!$Y$1903</f>
        <v>0</v>
      </c>
      <c r="N1903" s="64">
        <f ca="1">$K$1903-EFEITO!$M$1903*EFEITO!$Z$1903</f>
        <v>0</v>
      </c>
      <c r="O1903" s="64">
        <f>$L$1903-EFEITO!$O$1903*EFEITO!$AA$1903</f>
        <v>0</v>
      </c>
      <c r="P1903" s="19"/>
      <c r="Q1903" s="19"/>
      <c r="R1903" s="19"/>
      <c r="S1903" s="19"/>
      <c r="T1903" s="19"/>
      <c r="U1903" s="19"/>
      <c r="V1903" s="19"/>
      <c r="W1903" s="19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</row>
    <row r="1904" spans="1:36" ht="11.25" customHeight="1" x14ac:dyDescent="0.2">
      <c r="A1904" s="55" t="s">
        <v>28</v>
      </c>
      <c r="B1904" s="55" t="s">
        <v>37</v>
      </c>
      <c r="C1904" s="55" t="s">
        <v>33</v>
      </c>
      <c r="D1904" s="55" t="s">
        <v>43</v>
      </c>
      <c r="E1904" s="55" t="s">
        <v>25</v>
      </c>
      <c r="F1904" s="55" t="s">
        <v>25</v>
      </c>
      <c r="G1904" s="55" t="s">
        <v>25</v>
      </c>
      <c r="H1904" s="55" t="s">
        <v>35</v>
      </c>
      <c r="I1904" s="63">
        <v>44440</v>
      </c>
      <c r="J1904" s="64">
        <f>EFEITO!$J$1904*EFEITO!$Y$1904</f>
        <v>0</v>
      </c>
      <c r="K1904" s="64">
        <f ca="1">EFEITO!$L$1904*EFEITO!$Z$1904</f>
        <v>3460.3081482686125</v>
      </c>
      <c r="L1904" s="64">
        <f>EFEITO!$N$1904*EFEITO!$AA$1904</f>
        <v>2910.9379274721209</v>
      </c>
      <c r="M1904" s="64">
        <f>$J$1904-EFEITO!$K$1904*EFEITO!$Y$1904</f>
        <v>0</v>
      </c>
      <c r="N1904" s="64">
        <f ca="1">$K$1904-EFEITO!$M$1904*EFEITO!$Z$1904</f>
        <v>0</v>
      </c>
      <c r="O1904" s="64">
        <f>$L$1904-EFEITO!$O$1904*EFEITO!$AA$1904</f>
        <v>0</v>
      </c>
      <c r="P1904" s="19"/>
      <c r="Q1904" s="19"/>
      <c r="R1904" s="19"/>
      <c r="S1904" s="19"/>
      <c r="T1904" s="19"/>
      <c r="U1904" s="19"/>
      <c r="V1904" s="19"/>
      <c r="W1904" s="19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</row>
    <row r="1905" spans="1:36" ht="11.25" customHeight="1" x14ac:dyDescent="0.2">
      <c r="A1905" s="55" t="s">
        <v>21</v>
      </c>
      <c r="B1905" s="55" t="s">
        <v>37</v>
      </c>
      <c r="C1905" s="55" t="s">
        <v>33</v>
      </c>
      <c r="D1905" s="55" t="s">
        <v>43</v>
      </c>
      <c r="E1905" s="55" t="s">
        <v>25</v>
      </c>
      <c r="F1905" s="55" t="s">
        <v>25</v>
      </c>
      <c r="G1905" s="55" t="s">
        <v>25</v>
      </c>
      <c r="H1905" s="55" t="s">
        <v>35</v>
      </c>
      <c r="I1905" s="63">
        <v>44470</v>
      </c>
      <c r="J1905" s="64">
        <f>EFEITO!$J$1905*EFEITO!$Y$1905</f>
        <v>0</v>
      </c>
      <c r="K1905" s="64">
        <f ca="1">EFEITO!$L$1905*EFEITO!$Z$1905</f>
        <v>17544.809220238061</v>
      </c>
      <c r="L1905" s="64">
        <f>EFEITO!$N$1905*EFEITO!$AA$1905</f>
        <v>14759.335990064257</v>
      </c>
      <c r="M1905" s="64">
        <f>$J$1905-EFEITO!$K$1905*EFEITO!$Y$1905</f>
        <v>0</v>
      </c>
      <c r="N1905" s="64">
        <f ca="1">$K$1905-EFEITO!$M$1905*EFEITO!$Z$1905</f>
        <v>0</v>
      </c>
      <c r="O1905" s="64">
        <f>$L$1905-EFEITO!$O$1905*EFEITO!$AA$1905</f>
        <v>0</v>
      </c>
      <c r="P1905" s="19"/>
      <c r="Q1905" s="19"/>
      <c r="R1905" s="19"/>
      <c r="S1905" s="19"/>
      <c r="T1905" s="19"/>
      <c r="U1905" s="19"/>
      <c r="V1905" s="19"/>
      <c r="W1905" s="19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</row>
    <row r="1906" spans="1:36" ht="11.25" customHeight="1" x14ac:dyDescent="0.2">
      <c r="A1906" s="55" t="s">
        <v>28</v>
      </c>
      <c r="B1906" s="55" t="s">
        <v>37</v>
      </c>
      <c r="C1906" s="55" t="s">
        <v>33</v>
      </c>
      <c r="D1906" s="55" t="s">
        <v>43</v>
      </c>
      <c r="E1906" s="55" t="s">
        <v>25</v>
      </c>
      <c r="F1906" s="55" t="s">
        <v>25</v>
      </c>
      <c r="G1906" s="55" t="s">
        <v>25</v>
      </c>
      <c r="H1906" s="55" t="s">
        <v>35</v>
      </c>
      <c r="I1906" s="63">
        <v>44470</v>
      </c>
      <c r="J1906" s="64">
        <f>EFEITO!$J$1906*EFEITO!$Y$1906</f>
        <v>0</v>
      </c>
      <c r="K1906" s="64">
        <f ca="1">EFEITO!$L$1906*EFEITO!$Z$1906</f>
        <v>3921.7744021181288</v>
      </c>
      <c r="L1906" s="64">
        <f>EFEITO!$N$1906*EFEITO!$AA$1906</f>
        <v>3299.1402386596847</v>
      </c>
      <c r="M1906" s="64">
        <f>$J$1906-EFEITO!$K$1906*EFEITO!$Y$1906</f>
        <v>0</v>
      </c>
      <c r="N1906" s="64">
        <f ca="1">$K$1906-EFEITO!$M$1906*EFEITO!$Z$1906</f>
        <v>0</v>
      </c>
      <c r="O1906" s="64">
        <f>$L$1906-EFEITO!$O$1906*EFEITO!$AA$1906</f>
        <v>0</v>
      </c>
      <c r="P1906" s="19"/>
      <c r="Q1906" s="19"/>
      <c r="R1906" s="19"/>
      <c r="S1906" s="19"/>
      <c r="T1906" s="19"/>
      <c r="U1906" s="19"/>
      <c r="V1906" s="19"/>
      <c r="W1906" s="19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</row>
    <row r="1907" spans="1:36" ht="11.25" customHeight="1" x14ac:dyDescent="0.2">
      <c r="A1907" s="55" t="s">
        <v>21</v>
      </c>
      <c r="B1907" s="55" t="s">
        <v>37</v>
      </c>
      <c r="C1907" s="55" t="s">
        <v>33</v>
      </c>
      <c r="D1907" s="55" t="s">
        <v>43</v>
      </c>
      <c r="E1907" s="55" t="s">
        <v>25</v>
      </c>
      <c r="F1907" s="55" t="s">
        <v>25</v>
      </c>
      <c r="G1907" s="55" t="s">
        <v>25</v>
      </c>
      <c r="H1907" s="55" t="s">
        <v>35</v>
      </c>
      <c r="I1907" s="63">
        <v>44501</v>
      </c>
      <c r="J1907" s="64">
        <f>EFEITO!$J$1907*EFEITO!$Y$1907</f>
        <v>0</v>
      </c>
      <c r="K1907" s="64">
        <f ca="1">EFEITO!$L$1907*EFEITO!$Z$1907</f>
        <v>17947.317994491284</v>
      </c>
      <c r="L1907" s="64">
        <f>EFEITO!$N$1907*EFEITO!$AA$1907</f>
        <v>15097.941110449352</v>
      </c>
      <c r="M1907" s="64">
        <f>$J$1907-EFEITO!$K$1907*EFEITO!$Y$1907</f>
        <v>0</v>
      </c>
      <c r="N1907" s="64">
        <f ca="1">$K$1907-EFEITO!$M$1907*EFEITO!$Z$1907</f>
        <v>0</v>
      </c>
      <c r="O1907" s="64">
        <f>$L$1907-EFEITO!$O$1907*EFEITO!$AA$1907</f>
        <v>0</v>
      </c>
      <c r="P1907" s="19"/>
      <c r="Q1907" s="19"/>
      <c r="R1907" s="19"/>
      <c r="S1907" s="19"/>
      <c r="T1907" s="19"/>
      <c r="U1907" s="19"/>
      <c r="V1907" s="19"/>
      <c r="W1907" s="19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</row>
    <row r="1908" spans="1:36" ht="11.25" customHeight="1" x14ac:dyDescent="0.2">
      <c r="A1908" s="55" t="s">
        <v>28</v>
      </c>
      <c r="B1908" s="55" t="s">
        <v>37</v>
      </c>
      <c r="C1908" s="55" t="s">
        <v>33</v>
      </c>
      <c r="D1908" s="55" t="s">
        <v>43</v>
      </c>
      <c r="E1908" s="55" t="s">
        <v>25</v>
      </c>
      <c r="F1908" s="55" t="s">
        <v>25</v>
      </c>
      <c r="G1908" s="55" t="s">
        <v>25</v>
      </c>
      <c r="H1908" s="55" t="s">
        <v>35</v>
      </c>
      <c r="I1908" s="63">
        <v>44501</v>
      </c>
      <c r="J1908" s="64">
        <f>EFEITO!$J$1908*EFEITO!$Y$1908</f>
        <v>0</v>
      </c>
      <c r="K1908" s="64">
        <f ca="1">EFEITO!$L$1908*EFEITO!$Z$1908</f>
        <v>4316.8446158615361</v>
      </c>
      <c r="L1908" s="64">
        <f>EFEITO!$N$1908*EFEITO!$AA$1908</f>
        <v>3631.4877695510081</v>
      </c>
      <c r="M1908" s="64">
        <f>$J$1908-EFEITO!$K$1908*EFEITO!$Y$1908</f>
        <v>0</v>
      </c>
      <c r="N1908" s="64">
        <f ca="1">$K$1908-EFEITO!$M$1908*EFEITO!$Z$1908</f>
        <v>0</v>
      </c>
      <c r="O1908" s="64">
        <f>$L$1908-EFEITO!$O$1908*EFEITO!$AA$1908</f>
        <v>0</v>
      </c>
      <c r="P1908" s="19"/>
      <c r="Q1908" s="19"/>
      <c r="R1908" s="19"/>
      <c r="S1908" s="19"/>
      <c r="T1908" s="19"/>
      <c r="U1908" s="19"/>
      <c r="V1908" s="19"/>
      <c r="W1908" s="19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</row>
    <row r="1909" spans="1:36" ht="11.25" customHeight="1" x14ac:dyDescent="0.2">
      <c r="A1909" s="55" t="s">
        <v>21</v>
      </c>
      <c r="B1909" s="55" t="s">
        <v>37</v>
      </c>
      <c r="C1909" s="55" t="s">
        <v>33</v>
      </c>
      <c r="D1909" s="55" t="s">
        <v>43</v>
      </c>
      <c r="E1909" s="55" t="s">
        <v>25</v>
      </c>
      <c r="F1909" s="55" t="s">
        <v>25</v>
      </c>
      <c r="G1909" s="55" t="s">
        <v>25</v>
      </c>
      <c r="H1909" s="55" t="s">
        <v>35</v>
      </c>
      <c r="I1909" s="63">
        <v>44531</v>
      </c>
      <c r="J1909" s="64">
        <f>EFEITO!$J$1909*EFEITO!$Y$1909</f>
        <v>0</v>
      </c>
      <c r="K1909" s="64">
        <f ca="1">EFEITO!$L$1909*EFEITO!$Z$1909</f>
        <v>20768.460943398175</v>
      </c>
      <c r="L1909" s="64">
        <f>EFEITO!$N$1909*EFEITO!$AA$1909</f>
        <v>17471.189866604964</v>
      </c>
      <c r="M1909" s="64">
        <f>$J$1909-EFEITO!$K$1909*EFEITO!$Y$1909</f>
        <v>0</v>
      </c>
      <c r="N1909" s="64">
        <f ca="1">$K$1909-EFEITO!$M$1909*EFEITO!$Z$1909</f>
        <v>0</v>
      </c>
      <c r="O1909" s="64">
        <f>$L$1909-EFEITO!$O$1909*EFEITO!$AA$1909</f>
        <v>0</v>
      </c>
      <c r="P1909" s="19"/>
      <c r="Q1909" s="19"/>
      <c r="R1909" s="19"/>
      <c r="S1909" s="19"/>
      <c r="T1909" s="19"/>
      <c r="U1909" s="19"/>
      <c r="V1909" s="19"/>
      <c r="W1909" s="19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</row>
    <row r="1910" spans="1:36" ht="11.25" customHeight="1" x14ac:dyDescent="0.2">
      <c r="A1910" s="55" t="s">
        <v>27</v>
      </c>
      <c r="B1910" s="55" t="s">
        <v>37</v>
      </c>
      <c r="C1910" s="55" t="s">
        <v>33</v>
      </c>
      <c r="D1910" s="55" t="s">
        <v>43</v>
      </c>
      <c r="E1910" s="55" t="s">
        <v>25</v>
      </c>
      <c r="F1910" s="55" t="s">
        <v>25</v>
      </c>
      <c r="G1910" s="55" t="s">
        <v>25</v>
      </c>
      <c r="H1910" s="55" t="s">
        <v>35</v>
      </c>
      <c r="I1910" s="63">
        <v>44531</v>
      </c>
      <c r="J1910" s="64">
        <f>EFEITO!$J$1910*EFEITO!$Y$1910</f>
        <v>0</v>
      </c>
      <c r="K1910" s="64">
        <f ca="1">EFEITO!$L$1910*EFEITO!$Z$1910</f>
        <v>8.540569474229855</v>
      </c>
      <c r="L1910" s="64">
        <f>EFEITO!$N$1910*EFEITO!$AA$1910</f>
        <v>7.184639789142973</v>
      </c>
      <c r="M1910" s="64">
        <f>$J$1910-EFEITO!$K$1910*EFEITO!$Y$1910</f>
        <v>0</v>
      </c>
      <c r="N1910" s="64">
        <f ca="1">$K$1910-EFEITO!$M$1910*EFEITO!$Z$1910</f>
        <v>0</v>
      </c>
      <c r="O1910" s="64">
        <f>$L$1910-EFEITO!$O$1910*EFEITO!$AA$1910</f>
        <v>0</v>
      </c>
      <c r="P1910" s="19"/>
      <c r="Q1910" s="19"/>
      <c r="R1910" s="19"/>
      <c r="S1910" s="19"/>
      <c r="T1910" s="19"/>
      <c r="U1910" s="19"/>
      <c r="V1910" s="19"/>
      <c r="W1910" s="19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</row>
    <row r="1911" spans="1:36" ht="11.25" customHeight="1" x14ac:dyDescent="0.2">
      <c r="A1911" s="55" t="s">
        <v>28</v>
      </c>
      <c r="B1911" s="55" t="s">
        <v>37</v>
      </c>
      <c r="C1911" s="55" t="s">
        <v>33</v>
      </c>
      <c r="D1911" s="55" t="s">
        <v>43</v>
      </c>
      <c r="E1911" s="55" t="s">
        <v>25</v>
      </c>
      <c r="F1911" s="55" t="s">
        <v>25</v>
      </c>
      <c r="G1911" s="55" t="s">
        <v>25</v>
      </c>
      <c r="H1911" s="55" t="s">
        <v>35</v>
      </c>
      <c r="I1911" s="63">
        <v>44531</v>
      </c>
      <c r="J1911" s="64">
        <f>EFEITO!$J$1911*EFEITO!$Y$1911</f>
        <v>0</v>
      </c>
      <c r="K1911" s="64">
        <f ca="1">EFEITO!$L$1911*EFEITO!$Z$1911</f>
        <v>6139.2919407657455</v>
      </c>
      <c r="L1911" s="64">
        <f>EFEITO!$N$1911*EFEITO!$AA$1911</f>
        <v>5164.5971955245814</v>
      </c>
      <c r="M1911" s="64">
        <f>$J$1911-EFEITO!$K$1911*EFEITO!$Y$1911</f>
        <v>0</v>
      </c>
      <c r="N1911" s="64">
        <f ca="1">$K$1911-EFEITO!$M$1911*EFEITO!$Z$1911</f>
        <v>0</v>
      </c>
      <c r="O1911" s="64">
        <f>$L$1911-EFEITO!$O$1911*EFEITO!$AA$1911</f>
        <v>0</v>
      </c>
      <c r="P1911" s="19"/>
      <c r="Q1911" s="19"/>
      <c r="R1911" s="19"/>
      <c r="S1911" s="19"/>
      <c r="T1911" s="19"/>
      <c r="U1911" s="19"/>
      <c r="V1911" s="19"/>
      <c r="W1911" s="19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</row>
    <row r="1912" spans="1:36" ht="11.25" customHeight="1" x14ac:dyDescent="0.2">
      <c r="A1912" s="55" t="s">
        <v>21</v>
      </c>
      <c r="B1912" s="55" t="s">
        <v>37</v>
      </c>
      <c r="C1912" s="55" t="s">
        <v>33</v>
      </c>
      <c r="D1912" s="55" t="s">
        <v>43</v>
      </c>
      <c r="E1912" s="55" t="s">
        <v>25</v>
      </c>
      <c r="F1912" s="55" t="s">
        <v>25</v>
      </c>
      <c r="G1912" s="55" t="s">
        <v>25</v>
      </c>
      <c r="H1912" s="55" t="s">
        <v>35</v>
      </c>
      <c r="I1912" s="63">
        <v>44562</v>
      </c>
      <c r="J1912" s="64">
        <f>EFEITO!$J$1912*EFEITO!$Y$1912</f>
        <v>0</v>
      </c>
      <c r="K1912" s="64">
        <f ca="1">EFEITO!$L$1912*EFEITO!$Z$1912</f>
        <v>20277.515949750512</v>
      </c>
      <c r="L1912" s="64">
        <f>EFEITO!$N$1912*EFEITO!$AA$1912</f>
        <v>17058.188960016167</v>
      </c>
      <c r="M1912" s="64">
        <f>$J$1912-EFEITO!$K$1912*EFEITO!$Y$1912</f>
        <v>0</v>
      </c>
      <c r="N1912" s="64">
        <f ca="1">$K$1912-EFEITO!$M$1912*EFEITO!$Z$1912</f>
        <v>0</v>
      </c>
      <c r="O1912" s="64">
        <f>$L$1912-EFEITO!$O$1912*EFEITO!$AA$1912</f>
        <v>0</v>
      </c>
      <c r="P1912" s="19"/>
      <c r="Q1912" s="19"/>
      <c r="R1912" s="19"/>
      <c r="S1912" s="19"/>
      <c r="T1912" s="19"/>
      <c r="U1912" s="19"/>
      <c r="V1912" s="19"/>
      <c r="W1912" s="19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</row>
    <row r="1913" spans="1:36" ht="11.25" customHeight="1" x14ac:dyDescent="0.2">
      <c r="A1913" s="55" t="s">
        <v>27</v>
      </c>
      <c r="B1913" s="55" t="s">
        <v>37</v>
      </c>
      <c r="C1913" s="55" t="s">
        <v>33</v>
      </c>
      <c r="D1913" s="55" t="s">
        <v>43</v>
      </c>
      <c r="E1913" s="55" t="s">
        <v>25</v>
      </c>
      <c r="F1913" s="55" t="s">
        <v>25</v>
      </c>
      <c r="G1913" s="55" t="s">
        <v>25</v>
      </c>
      <c r="H1913" s="55" t="s">
        <v>35</v>
      </c>
      <c r="I1913" s="63">
        <v>44562</v>
      </c>
      <c r="J1913" s="64">
        <f>EFEITO!$J$1913*EFEITO!$Y$1913</f>
        <v>0</v>
      </c>
      <c r="K1913" s="64">
        <f ca="1">EFEITO!$L$1913*EFEITO!$Z$1913</f>
        <v>64.192022177276016</v>
      </c>
      <c r="L1913" s="64">
        <f>EFEITO!$N$1913*EFEITO!$AA$1913</f>
        <v>54.000679705493965</v>
      </c>
      <c r="M1913" s="64">
        <f>$J$1913-EFEITO!$K$1913*EFEITO!$Y$1913</f>
        <v>0</v>
      </c>
      <c r="N1913" s="64">
        <f ca="1">$K$1913-EFEITO!$M$1913*EFEITO!$Z$1913</f>
        <v>0</v>
      </c>
      <c r="O1913" s="64">
        <f>$L$1913-EFEITO!$O$1913*EFEITO!$AA$1913</f>
        <v>0</v>
      </c>
      <c r="P1913" s="19"/>
      <c r="Q1913" s="19"/>
      <c r="R1913" s="19"/>
      <c r="S1913" s="19"/>
      <c r="T1913" s="19"/>
      <c r="U1913" s="19"/>
      <c r="V1913" s="19"/>
      <c r="W1913" s="19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</row>
    <row r="1914" spans="1:36" ht="11.25" customHeight="1" x14ac:dyDescent="0.2">
      <c r="A1914" s="55" t="s">
        <v>28</v>
      </c>
      <c r="B1914" s="55" t="s">
        <v>37</v>
      </c>
      <c r="C1914" s="55" t="s">
        <v>33</v>
      </c>
      <c r="D1914" s="55" t="s">
        <v>43</v>
      </c>
      <c r="E1914" s="55" t="s">
        <v>25</v>
      </c>
      <c r="F1914" s="55" t="s">
        <v>25</v>
      </c>
      <c r="G1914" s="55" t="s">
        <v>25</v>
      </c>
      <c r="H1914" s="55" t="s">
        <v>35</v>
      </c>
      <c r="I1914" s="63">
        <v>44562</v>
      </c>
      <c r="J1914" s="64">
        <f>EFEITO!$J$1914*EFEITO!$Y$1914</f>
        <v>0</v>
      </c>
      <c r="K1914" s="64">
        <f ca="1">EFEITO!$L$1914*EFEITO!$Z$1914</f>
        <v>4298.3859657075554</v>
      </c>
      <c r="L1914" s="64">
        <f>EFEITO!$N$1914*EFEITO!$AA$1914</f>
        <v>3615.9596771035053</v>
      </c>
      <c r="M1914" s="64">
        <f>$J$1914-EFEITO!$K$1914*EFEITO!$Y$1914</f>
        <v>0</v>
      </c>
      <c r="N1914" s="64">
        <f ca="1">$K$1914-EFEITO!$M$1914*EFEITO!$Z$1914</f>
        <v>0</v>
      </c>
      <c r="O1914" s="64">
        <f>$L$1914-EFEITO!$O$1914*EFEITO!$AA$1914</f>
        <v>0</v>
      </c>
      <c r="P1914" s="19"/>
      <c r="Q1914" s="19"/>
      <c r="R1914" s="19"/>
      <c r="S1914" s="19"/>
      <c r="T1914" s="19"/>
      <c r="U1914" s="19"/>
      <c r="V1914" s="19"/>
      <c r="W1914" s="19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</row>
    <row r="1915" spans="1:36" ht="11.25" customHeight="1" x14ac:dyDescent="0.2">
      <c r="A1915" s="55" t="s">
        <v>28</v>
      </c>
      <c r="B1915" s="55" t="s">
        <v>37</v>
      </c>
      <c r="C1915" s="55" t="s">
        <v>33</v>
      </c>
      <c r="D1915" s="55" t="s">
        <v>43</v>
      </c>
      <c r="E1915" s="55" t="s">
        <v>25</v>
      </c>
      <c r="F1915" s="55" t="s">
        <v>25</v>
      </c>
      <c r="G1915" s="55" t="s">
        <v>25</v>
      </c>
      <c r="H1915" s="55" t="s">
        <v>35</v>
      </c>
      <c r="I1915" s="63">
        <v>44562</v>
      </c>
      <c r="J1915" s="64">
        <f>EFEITO!$J$1915*EFEITO!$Y$1915</f>
        <v>0</v>
      </c>
      <c r="K1915" s="64">
        <f ca="1">EFEITO!$L$1915*EFEITO!$Z$1915</f>
        <v>-1838.4264548882525</v>
      </c>
      <c r="L1915" s="64">
        <f>EFEITO!$N$1915*EFEITO!$AA$1915</f>
        <v>-1546.5516552564859</v>
      </c>
      <c r="M1915" s="64">
        <f>$J$1915-EFEITO!$K$1915*EFEITO!$Y$1915</f>
        <v>0</v>
      </c>
      <c r="N1915" s="64">
        <f ca="1">$K$1915-EFEITO!$M$1915*EFEITO!$Z$1915</f>
        <v>0</v>
      </c>
      <c r="O1915" s="64">
        <f>$L$1915-EFEITO!$O$1915*EFEITO!$AA$1915</f>
        <v>0</v>
      </c>
      <c r="P1915" s="19"/>
      <c r="Q1915" s="19"/>
      <c r="R1915" s="19"/>
      <c r="S1915" s="19"/>
      <c r="T1915" s="19"/>
      <c r="U1915" s="19"/>
      <c r="V1915" s="19"/>
      <c r="W1915" s="19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</row>
    <row r="1916" spans="1:36" ht="11.25" customHeight="1" x14ac:dyDescent="0.2">
      <c r="A1916" s="55" t="s">
        <v>21</v>
      </c>
      <c r="B1916" s="55" t="s">
        <v>37</v>
      </c>
      <c r="C1916" s="55" t="s">
        <v>33</v>
      </c>
      <c r="D1916" s="55" t="s">
        <v>43</v>
      </c>
      <c r="E1916" s="55" t="s">
        <v>25</v>
      </c>
      <c r="F1916" s="55" t="s">
        <v>25</v>
      </c>
      <c r="G1916" s="55" t="s">
        <v>25</v>
      </c>
      <c r="H1916" s="55" t="s">
        <v>35</v>
      </c>
      <c r="I1916" s="63">
        <v>44593</v>
      </c>
      <c r="J1916" s="64">
        <f>EFEITO!$J$1916*EFEITO!$Y$1916</f>
        <v>0</v>
      </c>
      <c r="K1916" s="64">
        <f ca="1">EFEITO!$L$1916*EFEITO!$Z$1916</f>
        <v>20412.236545650459</v>
      </c>
      <c r="L1916" s="64">
        <f>EFEITO!$N$1916*EFEITO!$AA$1916</f>
        <v>17171.520858625547</v>
      </c>
      <c r="M1916" s="64">
        <f>$J$1916-EFEITO!$K$1916*EFEITO!$Y$1916</f>
        <v>0</v>
      </c>
      <c r="N1916" s="64">
        <f ca="1">$K$1916-EFEITO!$M$1916*EFEITO!$Z$1916</f>
        <v>0</v>
      </c>
      <c r="O1916" s="64">
        <f>$L$1916-EFEITO!$O$1916*EFEITO!$AA$1916</f>
        <v>0</v>
      </c>
      <c r="P1916" s="19"/>
      <c r="Q1916" s="19"/>
      <c r="R1916" s="19"/>
      <c r="S1916" s="19"/>
      <c r="T1916" s="19"/>
      <c r="U1916" s="19"/>
      <c r="V1916" s="19"/>
      <c r="W1916" s="19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</row>
    <row r="1917" spans="1:36" ht="11.25" customHeight="1" x14ac:dyDescent="0.2">
      <c r="A1917" s="55" t="s">
        <v>28</v>
      </c>
      <c r="B1917" s="55" t="s">
        <v>37</v>
      </c>
      <c r="C1917" s="55" t="s">
        <v>33</v>
      </c>
      <c r="D1917" s="55" t="s">
        <v>43</v>
      </c>
      <c r="E1917" s="55" t="s">
        <v>25</v>
      </c>
      <c r="F1917" s="55" t="s">
        <v>25</v>
      </c>
      <c r="G1917" s="55" t="s">
        <v>25</v>
      </c>
      <c r="H1917" s="55" t="s">
        <v>35</v>
      </c>
      <c r="I1917" s="63">
        <v>44593</v>
      </c>
      <c r="J1917" s="64">
        <f>EFEITO!$J$1917*EFEITO!$Y$1917</f>
        <v>0</v>
      </c>
      <c r="K1917" s="64">
        <f ca="1">EFEITO!$L$1917*EFEITO!$Z$1917</f>
        <v>2250.0268030979105</v>
      </c>
      <c r="L1917" s="64">
        <f>EFEITO!$N$1917*EFEITO!$AA$1917</f>
        <v>1892.8049405784084</v>
      </c>
      <c r="M1917" s="64">
        <f>$J$1917-EFEITO!$K$1917*EFEITO!$Y$1917</f>
        <v>0</v>
      </c>
      <c r="N1917" s="64">
        <f ca="1">$K$1917-EFEITO!$M$1917*EFEITO!$Z$1917</f>
        <v>0</v>
      </c>
      <c r="O1917" s="64">
        <f>$L$1917-EFEITO!$O$1917*EFEITO!$AA$1917</f>
        <v>0</v>
      </c>
      <c r="P1917" s="19"/>
      <c r="Q1917" s="19"/>
      <c r="R1917" s="19"/>
      <c r="S1917" s="19"/>
      <c r="T1917" s="19"/>
      <c r="U1917" s="19"/>
      <c r="V1917" s="19"/>
      <c r="W1917" s="19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</row>
    <row r="1918" spans="1:36" ht="11.25" customHeight="1" x14ac:dyDescent="0.2">
      <c r="A1918" s="55" t="s">
        <v>21</v>
      </c>
      <c r="B1918" s="55" t="s">
        <v>37</v>
      </c>
      <c r="C1918" s="55" t="s">
        <v>33</v>
      </c>
      <c r="D1918" s="55" t="s">
        <v>43</v>
      </c>
      <c r="E1918" s="55" t="s">
        <v>25</v>
      </c>
      <c r="F1918" s="55" t="s">
        <v>25</v>
      </c>
      <c r="G1918" s="55" t="s">
        <v>25</v>
      </c>
      <c r="H1918" s="55" t="s">
        <v>35</v>
      </c>
      <c r="I1918" s="63">
        <v>44621</v>
      </c>
      <c r="J1918" s="64">
        <f>EFEITO!$J$1918*EFEITO!$Y$1918</f>
        <v>0</v>
      </c>
      <c r="K1918" s="64">
        <f ca="1">EFEITO!$L$1918*EFEITO!$Z$1918</f>
        <v>22885.695666283867</v>
      </c>
      <c r="L1918" s="64">
        <f>EFEITO!$N$1918*EFEITO!$AA$1918</f>
        <v>19252.285246590891</v>
      </c>
      <c r="M1918" s="64">
        <f>$J$1918-EFEITO!$K$1918*EFEITO!$Y$1918</f>
        <v>0</v>
      </c>
      <c r="N1918" s="64">
        <f ca="1">$K$1918-EFEITO!$M$1918*EFEITO!$Z$1918</f>
        <v>0</v>
      </c>
      <c r="O1918" s="64">
        <f>$L$1918-EFEITO!$O$1918*EFEITO!$AA$1918</f>
        <v>0</v>
      </c>
      <c r="P1918" s="19"/>
      <c r="Q1918" s="19"/>
      <c r="R1918" s="19"/>
      <c r="S1918" s="19"/>
      <c r="T1918" s="19"/>
      <c r="U1918" s="19"/>
      <c r="V1918" s="19"/>
      <c r="W1918" s="19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</row>
    <row r="1919" spans="1:36" ht="11.25" customHeight="1" x14ac:dyDescent="0.2">
      <c r="A1919" s="55" t="s">
        <v>28</v>
      </c>
      <c r="B1919" s="55" t="s">
        <v>37</v>
      </c>
      <c r="C1919" s="55" t="s">
        <v>33</v>
      </c>
      <c r="D1919" s="55" t="s">
        <v>43</v>
      </c>
      <c r="E1919" s="55" t="s">
        <v>25</v>
      </c>
      <c r="F1919" s="55" t="s">
        <v>25</v>
      </c>
      <c r="G1919" s="55" t="s">
        <v>25</v>
      </c>
      <c r="H1919" s="55" t="s">
        <v>35</v>
      </c>
      <c r="I1919" s="63">
        <v>44621</v>
      </c>
      <c r="J1919" s="64">
        <f>EFEITO!$J$1919*EFEITO!$Y$1919</f>
        <v>0</v>
      </c>
      <c r="K1919" s="64">
        <f ca="1">EFEITO!$L$1919*EFEITO!$Z$1919</f>
        <v>3210.1521133460087</v>
      </c>
      <c r="L1919" s="64">
        <f>EFEITO!$N$1919*EFEITO!$AA$1919</f>
        <v>2700.4975104223845</v>
      </c>
      <c r="M1919" s="64">
        <f>$J$1919-EFEITO!$K$1919*EFEITO!$Y$1919</f>
        <v>0</v>
      </c>
      <c r="N1919" s="64">
        <f ca="1">$K$1919-EFEITO!$M$1919*EFEITO!$Z$1919</f>
        <v>0</v>
      </c>
      <c r="O1919" s="64">
        <f>$L$1919-EFEITO!$O$1919*EFEITO!$AA$1919</f>
        <v>0</v>
      </c>
      <c r="P1919" s="19"/>
      <c r="Q1919" s="19"/>
      <c r="R1919" s="19"/>
      <c r="S1919" s="19"/>
      <c r="T1919" s="19"/>
      <c r="U1919" s="19"/>
      <c r="V1919" s="19"/>
      <c r="W1919" s="19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</row>
    <row r="1920" spans="1:36" ht="11.25" customHeight="1" x14ac:dyDescent="0.2">
      <c r="A1920" s="55" t="s">
        <v>21</v>
      </c>
      <c r="B1920" s="55" t="s">
        <v>37</v>
      </c>
      <c r="C1920" s="55" t="s">
        <v>33</v>
      </c>
      <c r="D1920" s="55" t="s">
        <v>43</v>
      </c>
      <c r="E1920" s="55" t="s">
        <v>25</v>
      </c>
      <c r="F1920" s="55" t="s">
        <v>25</v>
      </c>
      <c r="G1920" s="55" t="s">
        <v>25</v>
      </c>
      <c r="H1920" s="55" t="s">
        <v>35</v>
      </c>
      <c r="I1920" s="63">
        <v>44652</v>
      </c>
      <c r="J1920" s="64">
        <f>EFEITO!$J$1920*EFEITO!$Y$1920</f>
        <v>0</v>
      </c>
      <c r="K1920" s="64">
        <f ca="1">EFEITO!$L$1920*EFEITO!$Z$1920</f>
        <v>21434.074357905894</v>
      </c>
      <c r="L1920" s="64">
        <f>EFEITO!$N$1920*EFEITO!$AA$1920</f>
        <v>18031.12824501043</v>
      </c>
      <c r="M1920" s="64">
        <f>$J$1920-EFEITO!$K$1920*EFEITO!$Y$1920</f>
        <v>0</v>
      </c>
      <c r="N1920" s="64">
        <f ca="1">$K$1920-EFEITO!$M$1920*EFEITO!$Z$1920</f>
        <v>0</v>
      </c>
      <c r="O1920" s="64">
        <f>$L$1920-EFEITO!$O$1920*EFEITO!$AA$1920</f>
        <v>0</v>
      </c>
      <c r="P1920" s="19"/>
      <c r="Q1920" s="19"/>
      <c r="R1920" s="19"/>
      <c r="S1920" s="19"/>
      <c r="T1920" s="19"/>
      <c r="U1920" s="19"/>
      <c r="V1920" s="19"/>
      <c r="W1920" s="19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</row>
    <row r="1921" spans="1:36" ht="11.25" customHeight="1" x14ac:dyDescent="0.2">
      <c r="A1921" s="55" t="s">
        <v>28</v>
      </c>
      <c r="B1921" s="55" t="s">
        <v>37</v>
      </c>
      <c r="C1921" s="55" t="s">
        <v>33</v>
      </c>
      <c r="D1921" s="55" t="s">
        <v>43</v>
      </c>
      <c r="E1921" s="55" t="s">
        <v>25</v>
      </c>
      <c r="F1921" s="55" t="s">
        <v>25</v>
      </c>
      <c r="G1921" s="55" t="s">
        <v>25</v>
      </c>
      <c r="H1921" s="55" t="s">
        <v>35</v>
      </c>
      <c r="I1921" s="63">
        <v>44652</v>
      </c>
      <c r="J1921" s="64">
        <f>EFEITO!$J$1921*EFEITO!$Y$1921</f>
        <v>0</v>
      </c>
      <c r="K1921" s="64">
        <f ca="1">EFEITO!$L$1921*EFEITO!$Z$1921</f>
        <v>1146.6403274756342</v>
      </c>
      <c r="L1921" s="64">
        <f>EFEITO!$N$1921*EFEITO!$AA$1921</f>
        <v>964.59583233590502</v>
      </c>
      <c r="M1921" s="64">
        <f>$J$1921-EFEITO!$K$1921*EFEITO!$Y$1921</f>
        <v>0</v>
      </c>
      <c r="N1921" s="64">
        <f ca="1">$K$1921-EFEITO!$M$1921*EFEITO!$Z$1921</f>
        <v>0</v>
      </c>
      <c r="O1921" s="64">
        <f>$L$1921-EFEITO!$O$1921*EFEITO!$AA$1921</f>
        <v>0</v>
      </c>
      <c r="P1921" s="19"/>
      <c r="Q1921" s="19"/>
      <c r="R1921" s="19"/>
      <c r="S1921" s="19"/>
      <c r="T1921" s="19"/>
      <c r="U1921" s="19"/>
      <c r="V1921" s="19"/>
      <c r="W1921" s="19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</row>
    <row r="1922" spans="1:36" ht="11.25" customHeight="1" x14ac:dyDescent="0.2">
      <c r="A1922" s="55" t="s">
        <v>21</v>
      </c>
      <c r="B1922" s="55" t="s">
        <v>37</v>
      </c>
      <c r="C1922" s="55" t="s">
        <v>33</v>
      </c>
      <c r="D1922" s="55" t="s">
        <v>43</v>
      </c>
      <c r="E1922" s="55" t="s">
        <v>25</v>
      </c>
      <c r="F1922" s="55" t="s">
        <v>25</v>
      </c>
      <c r="G1922" s="55" t="s">
        <v>25</v>
      </c>
      <c r="H1922" s="55" t="s">
        <v>35</v>
      </c>
      <c r="I1922" s="63">
        <v>44682</v>
      </c>
      <c r="J1922" s="64">
        <f>EFEITO!$J$1922*EFEITO!$Y$1922</f>
        <v>0</v>
      </c>
      <c r="K1922" s="64">
        <f ca="1">EFEITO!$L$1922*EFEITO!$Z$1922</f>
        <v>21478.430218723672</v>
      </c>
      <c r="L1922" s="64">
        <f>EFEITO!$N$1922*EFEITO!$AA$1922</f>
        <v>18068.442019399205</v>
      </c>
      <c r="M1922" s="64">
        <f>$J$1922-EFEITO!$K$1922*EFEITO!$Y$1922</f>
        <v>0</v>
      </c>
      <c r="N1922" s="64">
        <f ca="1">$K$1922-EFEITO!$M$1922*EFEITO!$Z$1922</f>
        <v>0</v>
      </c>
      <c r="O1922" s="64">
        <f>$L$1922-EFEITO!$O$1922*EFEITO!$AA$1922</f>
        <v>0</v>
      </c>
      <c r="P1922" s="19"/>
      <c r="Q1922" s="19"/>
      <c r="R1922" s="19"/>
      <c r="S1922" s="19"/>
      <c r="T1922" s="19"/>
      <c r="U1922" s="19"/>
      <c r="V1922" s="19"/>
      <c r="W1922" s="19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</row>
    <row r="1923" spans="1:36" ht="11.25" customHeight="1" x14ac:dyDescent="0.2">
      <c r="A1923" s="55" t="s">
        <v>28</v>
      </c>
      <c r="B1923" s="55" t="s">
        <v>37</v>
      </c>
      <c r="C1923" s="55" t="s">
        <v>33</v>
      </c>
      <c r="D1923" s="55" t="s">
        <v>43</v>
      </c>
      <c r="E1923" s="55" t="s">
        <v>25</v>
      </c>
      <c r="F1923" s="55" t="s">
        <v>25</v>
      </c>
      <c r="G1923" s="55" t="s">
        <v>25</v>
      </c>
      <c r="H1923" s="55" t="s">
        <v>35</v>
      </c>
      <c r="I1923" s="63">
        <v>44682</v>
      </c>
      <c r="J1923" s="64">
        <f>EFEITO!$J$1923*EFEITO!$Y$1923</f>
        <v>0</v>
      </c>
      <c r="K1923" s="64">
        <f ca="1">EFEITO!$L$1923*EFEITO!$Z$1923</f>
        <v>1559.8936891319174</v>
      </c>
      <c r="L1923" s="64">
        <f>EFEITO!$N$1923*EFEITO!$AA$1923</f>
        <v>1312.2396931008875</v>
      </c>
      <c r="M1923" s="64">
        <f>$J$1923-EFEITO!$K$1923*EFEITO!$Y$1923</f>
        <v>0</v>
      </c>
      <c r="N1923" s="64">
        <f ca="1">$K$1923-EFEITO!$M$1923*EFEITO!$Z$1923</f>
        <v>0</v>
      </c>
      <c r="O1923" s="64">
        <f>$L$1923-EFEITO!$O$1923*EFEITO!$AA$1923</f>
        <v>0</v>
      </c>
      <c r="P1923" s="19"/>
      <c r="Q1923" s="19"/>
      <c r="R1923" s="19"/>
      <c r="S1923" s="19"/>
      <c r="T1923" s="19"/>
      <c r="U1923" s="19"/>
      <c r="V1923" s="19"/>
      <c r="W1923" s="19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</row>
    <row r="1924" spans="1:36" ht="11.25" customHeight="1" x14ac:dyDescent="0.2">
      <c r="A1924" s="55" t="s">
        <v>21</v>
      </c>
      <c r="B1924" s="55" t="s">
        <v>37</v>
      </c>
      <c r="C1924" s="55" t="s">
        <v>33</v>
      </c>
      <c r="D1924" s="55" t="s">
        <v>43</v>
      </c>
      <c r="E1924" s="55" t="s">
        <v>25</v>
      </c>
      <c r="F1924" s="55" t="s">
        <v>25</v>
      </c>
      <c r="G1924" s="55" t="s">
        <v>25</v>
      </c>
      <c r="H1924" s="55" t="s">
        <v>35</v>
      </c>
      <c r="I1924" s="63">
        <v>44713</v>
      </c>
      <c r="J1924" s="64">
        <f>EFEITO!$J$1924*EFEITO!$Y$1924</f>
        <v>0</v>
      </c>
      <c r="K1924" s="64">
        <f ca="1">EFEITO!$L$1924*EFEITO!$Z$1924</f>
        <v>18853.720367724061</v>
      </c>
      <c r="L1924" s="64">
        <f>EFEITO!$N$1924*EFEITO!$AA$1924</f>
        <v>15860.439978393877</v>
      </c>
      <c r="M1924" s="64">
        <f>$J$1924-EFEITO!$K$1924*EFEITO!$Y$1924</f>
        <v>0</v>
      </c>
      <c r="N1924" s="64">
        <f ca="1">$K$1924-EFEITO!$M$1924*EFEITO!$Z$1924</f>
        <v>0</v>
      </c>
      <c r="O1924" s="64">
        <f>$L$1924-EFEITO!$O$1924*EFEITO!$AA$1924</f>
        <v>0</v>
      </c>
      <c r="P1924" s="19"/>
      <c r="Q1924" s="19"/>
      <c r="R1924" s="19"/>
      <c r="S1924" s="19"/>
      <c r="T1924" s="19"/>
      <c r="U1924" s="19"/>
      <c r="V1924" s="19"/>
      <c r="W1924" s="19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</row>
    <row r="1925" spans="1:36" ht="11.25" customHeight="1" x14ac:dyDescent="0.2">
      <c r="A1925" s="55" t="s">
        <v>27</v>
      </c>
      <c r="B1925" s="55" t="s">
        <v>37</v>
      </c>
      <c r="C1925" s="55" t="s">
        <v>33</v>
      </c>
      <c r="D1925" s="55" t="s">
        <v>43</v>
      </c>
      <c r="E1925" s="55" t="s">
        <v>25</v>
      </c>
      <c r="F1925" s="55" t="s">
        <v>25</v>
      </c>
      <c r="G1925" s="55" t="s">
        <v>25</v>
      </c>
      <c r="H1925" s="55" t="s">
        <v>35</v>
      </c>
      <c r="I1925" s="63">
        <v>44713</v>
      </c>
      <c r="J1925" s="64">
        <f>EFEITO!$J$1925*EFEITO!$Y$1925</f>
        <v>0</v>
      </c>
      <c r="K1925" s="64">
        <f ca="1">EFEITO!$L$1925*EFEITO!$Z$1925</f>
        <v>355.94889550661208</v>
      </c>
      <c r="L1925" s="64">
        <f>EFEITO!$N$1925*EFEITO!$AA$1925</f>
        <v>299.43724540557167</v>
      </c>
      <c r="M1925" s="64">
        <f>$J$1925-EFEITO!$K$1925*EFEITO!$Y$1925</f>
        <v>0</v>
      </c>
      <c r="N1925" s="64">
        <f ca="1">$K$1925-EFEITO!$M$1925*EFEITO!$Z$1925</f>
        <v>0</v>
      </c>
      <c r="O1925" s="64">
        <f>$L$1925-EFEITO!$O$1925*EFEITO!$AA$1925</f>
        <v>0</v>
      </c>
      <c r="P1925" s="19"/>
      <c r="Q1925" s="19"/>
      <c r="R1925" s="19"/>
      <c r="S1925" s="19"/>
      <c r="T1925" s="19"/>
      <c r="U1925" s="19"/>
      <c r="V1925" s="19"/>
      <c r="W1925" s="19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</row>
    <row r="1926" spans="1:36" ht="11.25" customHeight="1" x14ac:dyDescent="0.2">
      <c r="A1926" s="55" t="s">
        <v>28</v>
      </c>
      <c r="B1926" s="55" t="s">
        <v>37</v>
      </c>
      <c r="C1926" s="55" t="s">
        <v>33</v>
      </c>
      <c r="D1926" s="55" t="s">
        <v>43</v>
      </c>
      <c r="E1926" s="55" t="s">
        <v>25</v>
      </c>
      <c r="F1926" s="55" t="s">
        <v>25</v>
      </c>
      <c r="G1926" s="55" t="s">
        <v>25</v>
      </c>
      <c r="H1926" s="55" t="s">
        <v>35</v>
      </c>
      <c r="I1926" s="63">
        <v>44713</v>
      </c>
      <c r="J1926" s="64">
        <f>EFEITO!$J$1926*EFEITO!$Y$1926</f>
        <v>0</v>
      </c>
      <c r="K1926" s="64">
        <f ca="1">EFEITO!$L$1926*EFEITO!$Z$1926</f>
        <v>1495.9771691957455</v>
      </c>
      <c r="L1926" s="64">
        <f>EFEITO!$N$1926*EFEITO!$AA$1926</f>
        <v>1258.4707759692369</v>
      </c>
      <c r="M1926" s="64">
        <f>$J$1926-EFEITO!$K$1926*EFEITO!$Y$1926</f>
        <v>0</v>
      </c>
      <c r="N1926" s="64">
        <f ca="1">$K$1926-EFEITO!$M$1926*EFEITO!$Z$1926</f>
        <v>0</v>
      </c>
      <c r="O1926" s="64">
        <f>$L$1926-EFEITO!$O$1926*EFEITO!$AA$1926</f>
        <v>0</v>
      </c>
      <c r="P1926" s="19"/>
      <c r="Q1926" s="19"/>
      <c r="R1926" s="19"/>
      <c r="S1926" s="19"/>
      <c r="T1926" s="19"/>
      <c r="U1926" s="19"/>
      <c r="V1926" s="19"/>
      <c r="W1926" s="19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</row>
    <row r="1927" spans="1:36" ht="11.25" customHeight="1" x14ac:dyDescent="0.2">
      <c r="A1927" s="55" t="s">
        <v>57</v>
      </c>
      <c r="B1927" s="55" t="s">
        <v>37</v>
      </c>
      <c r="C1927" s="55" t="s">
        <v>33</v>
      </c>
      <c r="D1927" s="55" t="s">
        <v>43</v>
      </c>
      <c r="E1927" s="55" t="s">
        <v>25</v>
      </c>
      <c r="F1927" s="55" t="s">
        <v>25</v>
      </c>
      <c r="G1927" s="55" t="s">
        <v>25</v>
      </c>
      <c r="H1927" s="55" t="s">
        <v>35</v>
      </c>
      <c r="I1927" s="63">
        <v>44743</v>
      </c>
      <c r="J1927" s="64">
        <f>EFEITO!$J$1927*EFEITO!$Y$1927</f>
        <v>0</v>
      </c>
      <c r="K1927" s="64">
        <f ca="1">EFEITO!$L$1927*EFEITO!$Z$1927</f>
        <v>18853.720367724061</v>
      </c>
      <c r="L1927" s="64">
        <f>EFEITO!$N$1927*EFEITO!$AA$1927</f>
        <v>15860.439978393877</v>
      </c>
      <c r="M1927" s="64">
        <f>$J$1927-EFEITO!$K$1927*EFEITO!$Y$1927</f>
        <v>0</v>
      </c>
      <c r="N1927" s="64">
        <f ca="1">$K$1927-EFEITO!$M$1927*EFEITO!$Z$1927</f>
        <v>0</v>
      </c>
      <c r="O1927" s="64">
        <f>$L$1927-EFEITO!$O$1927*EFEITO!$AA$1927</f>
        <v>0</v>
      </c>
      <c r="P1927" s="19"/>
      <c r="Q1927" s="19"/>
      <c r="R1927" s="19"/>
      <c r="S1927" s="19"/>
      <c r="T1927" s="19"/>
      <c r="U1927" s="19"/>
      <c r="V1927" s="19"/>
      <c r="W1927" s="19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</row>
    <row r="1928" spans="1:36" ht="11.25" customHeight="1" x14ac:dyDescent="0.2">
      <c r="A1928" s="55" t="s">
        <v>57</v>
      </c>
      <c r="B1928" s="55" t="s">
        <v>37</v>
      </c>
      <c r="C1928" s="55" t="s">
        <v>33</v>
      </c>
      <c r="D1928" s="55" t="s">
        <v>43</v>
      </c>
      <c r="E1928" s="55" t="s">
        <v>25</v>
      </c>
      <c r="F1928" s="55" t="s">
        <v>25</v>
      </c>
      <c r="G1928" s="55" t="s">
        <v>25</v>
      </c>
      <c r="H1928" s="55" t="s">
        <v>35</v>
      </c>
      <c r="I1928" s="63">
        <v>44743</v>
      </c>
      <c r="J1928" s="64">
        <f>EFEITO!$J$1928*EFEITO!$Y$1928</f>
        <v>0</v>
      </c>
      <c r="K1928" s="64">
        <f ca="1">EFEITO!$L$1928*EFEITO!$Z$1928</f>
        <v>355.94889550661208</v>
      </c>
      <c r="L1928" s="64">
        <f>EFEITO!$N$1928*EFEITO!$AA$1928</f>
        <v>299.43724540557167</v>
      </c>
      <c r="M1928" s="64">
        <f>$J$1928-EFEITO!$K$1928*EFEITO!$Y$1928</f>
        <v>0</v>
      </c>
      <c r="N1928" s="64">
        <f ca="1">$K$1928-EFEITO!$M$1928*EFEITO!$Z$1928</f>
        <v>0</v>
      </c>
      <c r="O1928" s="64">
        <f>$L$1928-EFEITO!$O$1928*EFEITO!$AA$1928</f>
        <v>0</v>
      </c>
      <c r="P1928" s="19"/>
      <c r="Q1928" s="19"/>
      <c r="R1928" s="19"/>
      <c r="S1928" s="19"/>
      <c r="T1928" s="19"/>
      <c r="U1928" s="19"/>
      <c r="V1928" s="19"/>
      <c r="W1928" s="19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</row>
    <row r="1929" spans="1:36" ht="11.25" customHeight="1" x14ac:dyDescent="0.2">
      <c r="A1929" s="55" t="s">
        <v>57</v>
      </c>
      <c r="B1929" s="55" t="s">
        <v>37</v>
      </c>
      <c r="C1929" s="55" t="s">
        <v>33</v>
      </c>
      <c r="D1929" s="55" t="s">
        <v>43</v>
      </c>
      <c r="E1929" s="55" t="s">
        <v>25</v>
      </c>
      <c r="F1929" s="55" t="s">
        <v>25</v>
      </c>
      <c r="G1929" s="55" t="s">
        <v>25</v>
      </c>
      <c r="H1929" s="55" t="s">
        <v>35</v>
      </c>
      <c r="I1929" s="63">
        <v>44743</v>
      </c>
      <c r="J1929" s="64">
        <f>EFEITO!$J$1929*EFEITO!$Y$1929</f>
        <v>0</v>
      </c>
      <c r="K1929" s="64">
        <f ca="1">EFEITO!$L$1929*EFEITO!$Z$1929</f>
        <v>1495.9771691957455</v>
      </c>
      <c r="L1929" s="64">
        <f>EFEITO!$N$1929*EFEITO!$AA$1929</f>
        <v>1258.4707759692369</v>
      </c>
      <c r="M1929" s="64">
        <f>$J$1929-EFEITO!$K$1929*EFEITO!$Y$1929</f>
        <v>0</v>
      </c>
      <c r="N1929" s="64">
        <f ca="1">$K$1929-EFEITO!$M$1929*EFEITO!$Z$1929</f>
        <v>0</v>
      </c>
      <c r="O1929" s="64">
        <f>$L$1929-EFEITO!$O$1929*EFEITO!$AA$1929</f>
        <v>0</v>
      </c>
      <c r="P1929" s="19"/>
      <c r="Q1929" s="19"/>
      <c r="R1929" s="19"/>
      <c r="S1929" s="19"/>
      <c r="T1929" s="19"/>
      <c r="U1929" s="19"/>
      <c r="V1929" s="19"/>
      <c r="W1929" s="19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</row>
    <row r="1930" spans="1:36" ht="11.25" customHeight="1" x14ac:dyDescent="0.2">
      <c r="A1930" s="55" t="s">
        <v>21</v>
      </c>
      <c r="B1930" s="55" t="s">
        <v>37</v>
      </c>
      <c r="C1930" s="55" t="s">
        <v>33</v>
      </c>
      <c r="D1930" s="55" t="s">
        <v>43</v>
      </c>
      <c r="E1930" s="55" t="s">
        <v>25</v>
      </c>
      <c r="F1930" s="55" t="s">
        <v>25</v>
      </c>
      <c r="G1930" s="55" t="s">
        <v>25</v>
      </c>
      <c r="H1930" s="55" t="s">
        <v>36</v>
      </c>
      <c r="I1930" s="63">
        <v>44409</v>
      </c>
      <c r="J1930" s="64">
        <f>EFEITO!$J$1930*EFEITO!$Y$1930</f>
        <v>0</v>
      </c>
      <c r="K1930" s="64">
        <f ca="1">EFEITO!$L$1930*EFEITO!$Z$1930</f>
        <v>1898.4624650128198</v>
      </c>
      <c r="L1930" s="64">
        <f>EFEITO!$N$1930*EFEITO!$AA$1930</f>
        <v>709.42523853440775</v>
      </c>
      <c r="M1930" s="64">
        <f>$J$1930-EFEITO!$K$1930*EFEITO!$Y$1930</f>
        <v>0</v>
      </c>
      <c r="N1930" s="64">
        <f ca="1">$K$1930-EFEITO!$M$1930*EFEITO!$Z$1930</f>
        <v>0</v>
      </c>
      <c r="O1930" s="64">
        <f>$L$1930-EFEITO!$O$1930*EFEITO!$AA$1930</f>
        <v>0</v>
      </c>
      <c r="P1930" s="19"/>
      <c r="Q1930" s="19"/>
      <c r="R1930" s="19"/>
      <c r="S1930" s="19"/>
      <c r="T1930" s="19"/>
      <c r="U1930" s="19"/>
      <c r="V1930" s="19"/>
      <c r="W1930" s="19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</row>
    <row r="1931" spans="1:36" ht="11.25" customHeight="1" x14ac:dyDescent="0.2">
      <c r="A1931" s="55" t="s">
        <v>28</v>
      </c>
      <c r="B1931" s="55" t="s">
        <v>37</v>
      </c>
      <c r="C1931" s="55" t="s">
        <v>33</v>
      </c>
      <c r="D1931" s="55" t="s">
        <v>43</v>
      </c>
      <c r="E1931" s="55" t="s">
        <v>25</v>
      </c>
      <c r="F1931" s="55" t="s">
        <v>25</v>
      </c>
      <c r="G1931" s="55" t="s">
        <v>25</v>
      </c>
      <c r="H1931" s="55" t="s">
        <v>36</v>
      </c>
      <c r="I1931" s="63">
        <v>44409</v>
      </c>
      <c r="J1931" s="64">
        <f>EFEITO!$J$1931*EFEITO!$Y$1931</f>
        <v>0</v>
      </c>
      <c r="K1931" s="64">
        <f ca="1">EFEITO!$L$1931*EFEITO!$Z$1931</f>
        <v>725.0253582489338</v>
      </c>
      <c r="L1931" s="64">
        <f>EFEITO!$N$1931*EFEITO!$AA$1931</f>
        <v>270.93044882284312</v>
      </c>
      <c r="M1931" s="64">
        <f>$J$1931-EFEITO!$K$1931*EFEITO!$Y$1931</f>
        <v>0</v>
      </c>
      <c r="N1931" s="64">
        <f ca="1">$K$1931-EFEITO!$M$1931*EFEITO!$Z$1931</f>
        <v>0</v>
      </c>
      <c r="O1931" s="64">
        <f>$L$1931-EFEITO!$O$1931*EFEITO!$AA$1931</f>
        <v>0</v>
      </c>
      <c r="P1931" s="19"/>
      <c r="Q1931" s="19"/>
      <c r="R1931" s="19"/>
      <c r="S1931" s="19"/>
      <c r="T1931" s="19"/>
      <c r="U1931" s="19"/>
      <c r="V1931" s="19"/>
      <c r="W1931" s="19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</row>
    <row r="1932" spans="1:36" ht="11.25" customHeight="1" x14ac:dyDescent="0.2">
      <c r="A1932" s="55" t="s">
        <v>21</v>
      </c>
      <c r="B1932" s="55" t="s">
        <v>37</v>
      </c>
      <c r="C1932" s="55" t="s">
        <v>33</v>
      </c>
      <c r="D1932" s="55" t="s">
        <v>43</v>
      </c>
      <c r="E1932" s="55" t="s">
        <v>25</v>
      </c>
      <c r="F1932" s="55" t="s">
        <v>25</v>
      </c>
      <c r="G1932" s="55" t="s">
        <v>25</v>
      </c>
      <c r="H1932" s="55" t="s">
        <v>36</v>
      </c>
      <c r="I1932" s="63">
        <v>44440</v>
      </c>
      <c r="J1932" s="64">
        <f>EFEITO!$J$1932*EFEITO!$Y$1932</f>
        <v>0</v>
      </c>
      <c r="K1932" s="64">
        <f ca="1">EFEITO!$L$1932*EFEITO!$Z$1932</f>
        <v>1998.3162568674634</v>
      </c>
      <c r="L1932" s="64">
        <f>EFEITO!$N$1932*EFEITO!$AA$1932</f>
        <v>746.7390129231826</v>
      </c>
      <c r="M1932" s="64">
        <f>$J$1932-EFEITO!$K$1932*EFEITO!$Y$1932</f>
        <v>0</v>
      </c>
      <c r="N1932" s="64">
        <f ca="1">$K$1932-EFEITO!$M$1932*EFEITO!$Z$1932</f>
        <v>0</v>
      </c>
      <c r="O1932" s="64">
        <f>$L$1932-EFEITO!$O$1932*EFEITO!$AA$1932</f>
        <v>0</v>
      </c>
      <c r="P1932" s="19"/>
      <c r="Q1932" s="19"/>
      <c r="R1932" s="19"/>
      <c r="S1932" s="19"/>
      <c r="T1932" s="19"/>
      <c r="U1932" s="19"/>
      <c r="V1932" s="19"/>
      <c r="W1932" s="19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</row>
    <row r="1933" spans="1:36" ht="11.25" customHeight="1" x14ac:dyDescent="0.2">
      <c r="A1933" s="55" t="s">
        <v>28</v>
      </c>
      <c r="B1933" s="55" t="s">
        <v>37</v>
      </c>
      <c r="C1933" s="55" t="s">
        <v>33</v>
      </c>
      <c r="D1933" s="55" t="s">
        <v>43</v>
      </c>
      <c r="E1933" s="55" t="s">
        <v>25</v>
      </c>
      <c r="F1933" s="55" t="s">
        <v>25</v>
      </c>
      <c r="G1933" s="55" t="s">
        <v>25</v>
      </c>
      <c r="H1933" s="55" t="s">
        <v>36</v>
      </c>
      <c r="I1933" s="63">
        <v>44440</v>
      </c>
      <c r="J1933" s="64">
        <f>EFEITO!$J$1933*EFEITO!$Y$1933</f>
        <v>0</v>
      </c>
      <c r="K1933" s="64">
        <f ca="1">EFEITO!$L$1933*EFEITO!$Z$1933</f>
        <v>713.86158027760723</v>
      </c>
      <c r="L1933" s="64">
        <f>EFEITO!$N$1933*EFEITO!$AA$1933</f>
        <v>266.7587224936633</v>
      </c>
      <c r="M1933" s="64">
        <f>$J$1933-EFEITO!$K$1933*EFEITO!$Y$1933</f>
        <v>0</v>
      </c>
      <c r="N1933" s="64">
        <f ca="1">$K$1933-EFEITO!$M$1933*EFEITO!$Z$1933</f>
        <v>0</v>
      </c>
      <c r="O1933" s="64">
        <f>$L$1933-EFEITO!$O$1933*EFEITO!$AA$1933</f>
        <v>0</v>
      </c>
      <c r="P1933" s="19"/>
      <c r="Q1933" s="19"/>
      <c r="R1933" s="19"/>
      <c r="S1933" s="19"/>
      <c r="T1933" s="19"/>
      <c r="U1933" s="19"/>
      <c r="V1933" s="19"/>
      <c r="W1933" s="19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</row>
    <row r="1934" spans="1:36" ht="11.25" customHeight="1" x14ac:dyDescent="0.2">
      <c r="A1934" s="55" t="s">
        <v>21</v>
      </c>
      <c r="B1934" s="55" t="s">
        <v>37</v>
      </c>
      <c r="C1934" s="55" t="s">
        <v>33</v>
      </c>
      <c r="D1934" s="55" t="s">
        <v>43</v>
      </c>
      <c r="E1934" s="55" t="s">
        <v>25</v>
      </c>
      <c r="F1934" s="55" t="s">
        <v>25</v>
      </c>
      <c r="G1934" s="55" t="s">
        <v>25</v>
      </c>
      <c r="H1934" s="55" t="s">
        <v>36</v>
      </c>
      <c r="I1934" s="63">
        <v>44470</v>
      </c>
      <c r="J1934" s="64">
        <f>EFEITO!$J$1934*EFEITO!$Y$1934</f>
        <v>0</v>
      </c>
      <c r="K1934" s="64">
        <f ca="1">EFEITO!$L$1934*EFEITO!$Z$1934</f>
        <v>2407.0345725954762</v>
      </c>
      <c r="L1934" s="64">
        <f>EFEITO!$N$1934*EFEITO!$AA$1934</f>
        <v>899.47054908593157</v>
      </c>
      <c r="M1934" s="64">
        <f>$J$1934-EFEITO!$K$1934*EFEITO!$Y$1934</f>
        <v>0</v>
      </c>
      <c r="N1934" s="64">
        <f ca="1">$K$1934-EFEITO!$M$1934*EFEITO!$Z$1934</f>
        <v>0</v>
      </c>
      <c r="O1934" s="64">
        <f>$L$1934-EFEITO!$O$1934*EFEITO!$AA$1934</f>
        <v>0</v>
      </c>
      <c r="P1934" s="19"/>
      <c r="Q1934" s="19"/>
      <c r="R1934" s="19"/>
      <c r="S1934" s="19"/>
      <c r="T1934" s="19"/>
      <c r="U1934" s="19"/>
      <c r="V1934" s="19"/>
      <c r="W1934" s="19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</row>
    <row r="1935" spans="1:36" ht="11.25" customHeight="1" x14ac:dyDescent="0.2">
      <c r="A1935" s="55" t="s">
        <v>28</v>
      </c>
      <c r="B1935" s="55" t="s">
        <v>37</v>
      </c>
      <c r="C1935" s="55" t="s">
        <v>33</v>
      </c>
      <c r="D1935" s="55" t="s">
        <v>43</v>
      </c>
      <c r="E1935" s="55" t="s">
        <v>25</v>
      </c>
      <c r="F1935" s="55" t="s">
        <v>25</v>
      </c>
      <c r="G1935" s="55" t="s">
        <v>25</v>
      </c>
      <c r="H1935" s="55" t="s">
        <v>36</v>
      </c>
      <c r="I1935" s="63">
        <v>44470</v>
      </c>
      <c r="J1935" s="64">
        <f>EFEITO!$J$1935*EFEITO!$Y$1935</f>
        <v>0</v>
      </c>
      <c r="K1935" s="64">
        <f ca="1">EFEITO!$L$1935*EFEITO!$Z$1935</f>
        <v>587.33876326923894</v>
      </c>
      <c r="L1935" s="64">
        <f>EFEITO!$N$1935*EFEITO!$AA$1935</f>
        <v>219.47915742962564</v>
      </c>
      <c r="M1935" s="64">
        <f>$J$1935-EFEITO!$K$1935*EFEITO!$Y$1935</f>
        <v>0</v>
      </c>
      <c r="N1935" s="64">
        <f ca="1">$K$1935-EFEITO!$M$1935*EFEITO!$Z$1935</f>
        <v>0</v>
      </c>
      <c r="O1935" s="64">
        <f>$L$1935-EFEITO!$O$1935*EFEITO!$AA$1935</f>
        <v>0</v>
      </c>
      <c r="P1935" s="19"/>
      <c r="Q1935" s="19"/>
      <c r="R1935" s="19"/>
      <c r="S1935" s="19"/>
      <c r="T1935" s="19"/>
      <c r="U1935" s="19"/>
      <c r="V1935" s="19"/>
      <c r="W1935" s="19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</row>
    <row r="1936" spans="1:36" ht="11.25" customHeight="1" x14ac:dyDescent="0.2">
      <c r="A1936" s="55" t="s">
        <v>21</v>
      </c>
      <c r="B1936" s="55" t="s">
        <v>37</v>
      </c>
      <c r="C1936" s="55" t="s">
        <v>33</v>
      </c>
      <c r="D1936" s="55" t="s">
        <v>43</v>
      </c>
      <c r="E1936" s="55" t="s">
        <v>25</v>
      </c>
      <c r="F1936" s="55" t="s">
        <v>25</v>
      </c>
      <c r="G1936" s="55" t="s">
        <v>25</v>
      </c>
      <c r="H1936" s="55" t="s">
        <v>36</v>
      </c>
      <c r="I1936" s="63">
        <v>44501</v>
      </c>
      <c r="J1936" s="64">
        <f>EFEITO!$J$1936*EFEITO!$Y$1936</f>
        <v>0</v>
      </c>
      <c r="K1936" s="64">
        <f ca="1">EFEITO!$L$1936*EFEITO!$Z$1936</f>
        <v>2535.4180192657327</v>
      </c>
      <c r="L1936" s="64">
        <f>EFEITO!$N$1936*EFEITO!$AA$1936</f>
        <v>947.44540187149926</v>
      </c>
      <c r="M1936" s="64">
        <f>$J$1936-EFEITO!$K$1936*EFEITO!$Y$1936</f>
        <v>0</v>
      </c>
      <c r="N1936" s="64">
        <f ca="1">$K$1936-EFEITO!$M$1936*EFEITO!$Z$1936</f>
        <v>0</v>
      </c>
      <c r="O1936" s="64">
        <f>$L$1936-EFEITO!$O$1936*EFEITO!$AA$1936</f>
        <v>0</v>
      </c>
      <c r="P1936" s="19"/>
      <c r="Q1936" s="19"/>
      <c r="R1936" s="19"/>
      <c r="S1936" s="19"/>
      <c r="T1936" s="19"/>
      <c r="U1936" s="19"/>
      <c r="V1936" s="19"/>
      <c r="W1936" s="19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</row>
    <row r="1937" spans="1:36" ht="11.25" customHeight="1" x14ac:dyDescent="0.2">
      <c r="A1937" s="55" t="s">
        <v>28</v>
      </c>
      <c r="B1937" s="55" t="s">
        <v>37</v>
      </c>
      <c r="C1937" s="55" t="s">
        <v>33</v>
      </c>
      <c r="D1937" s="55" t="s">
        <v>43</v>
      </c>
      <c r="E1937" s="55" t="s">
        <v>25</v>
      </c>
      <c r="F1937" s="55" t="s">
        <v>25</v>
      </c>
      <c r="G1937" s="55" t="s">
        <v>25</v>
      </c>
      <c r="H1937" s="55" t="s">
        <v>36</v>
      </c>
      <c r="I1937" s="63">
        <v>44501</v>
      </c>
      <c r="J1937" s="64">
        <f>EFEITO!$J$1937*EFEITO!$Y$1937</f>
        <v>0</v>
      </c>
      <c r="K1937" s="64">
        <f ca="1">EFEITO!$L$1937*EFEITO!$Z$1937</f>
        <v>581.13666439627968</v>
      </c>
      <c r="L1937" s="64">
        <f>EFEITO!$N$1937*EFEITO!$AA$1937</f>
        <v>217.16153169119247</v>
      </c>
      <c r="M1937" s="64">
        <f>$J$1937-EFEITO!$K$1937*EFEITO!$Y$1937</f>
        <v>0</v>
      </c>
      <c r="N1937" s="64">
        <f ca="1">$K$1937-EFEITO!$M$1937*EFEITO!$Z$1937</f>
        <v>0</v>
      </c>
      <c r="O1937" s="64">
        <f>$L$1937-EFEITO!$O$1937*EFEITO!$AA$1937</f>
        <v>0</v>
      </c>
      <c r="P1937" s="19"/>
      <c r="Q1937" s="19"/>
      <c r="R1937" s="19"/>
      <c r="S1937" s="19"/>
      <c r="T1937" s="19"/>
      <c r="U1937" s="19"/>
      <c r="V1937" s="19"/>
      <c r="W1937" s="19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</row>
    <row r="1938" spans="1:36" ht="11.25" customHeight="1" x14ac:dyDescent="0.2">
      <c r="A1938" s="55" t="s">
        <v>21</v>
      </c>
      <c r="B1938" s="55" t="s">
        <v>37</v>
      </c>
      <c r="C1938" s="55" t="s">
        <v>33</v>
      </c>
      <c r="D1938" s="55" t="s">
        <v>43</v>
      </c>
      <c r="E1938" s="55" t="s">
        <v>25</v>
      </c>
      <c r="F1938" s="55" t="s">
        <v>25</v>
      </c>
      <c r="G1938" s="55" t="s">
        <v>25</v>
      </c>
      <c r="H1938" s="55" t="s">
        <v>36</v>
      </c>
      <c r="I1938" s="63">
        <v>44531</v>
      </c>
      <c r="J1938" s="64">
        <f>EFEITO!$J$1938*EFEITO!$Y$1938</f>
        <v>0</v>
      </c>
      <c r="K1938" s="64">
        <f ca="1">EFEITO!$L$1938*EFEITO!$Z$1938</f>
        <v>2980.7287183442054</v>
      </c>
      <c r="L1938" s="64">
        <f>EFEITO!$N$1938*EFEITO!$AA$1938</f>
        <v>1113.8509298910042</v>
      </c>
      <c r="M1938" s="64">
        <f>$J$1938-EFEITO!$K$1938*EFEITO!$Y$1938</f>
        <v>0</v>
      </c>
      <c r="N1938" s="64">
        <f ca="1">$K$1938-EFEITO!$M$1938*EFEITO!$Z$1938</f>
        <v>0</v>
      </c>
      <c r="O1938" s="64">
        <f>$L$1938-EFEITO!$O$1938*EFEITO!$AA$1938</f>
        <v>0</v>
      </c>
      <c r="P1938" s="19"/>
      <c r="Q1938" s="19"/>
      <c r="R1938" s="19"/>
      <c r="S1938" s="19"/>
      <c r="T1938" s="19"/>
      <c r="U1938" s="19"/>
      <c r="V1938" s="19"/>
      <c r="W1938" s="19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</row>
    <row r="1939" spans="1:36" ht="11.25" customHeight="1" x14ac:dyDescent="0.2">
      <c r="A1939" s="55" t="s">
        <v>27</v>
      </c>
      <c r="B1939" s="55" t="s">
        <v>37</v>
      </c>
      <c r="C1939" s="55" t="s">
        <v>33</v>
      </c>
      <c r="D1939" s="55" t="s">
        <v>43</v>
      </c>
      <c r="E1939" s="55" t="s">
        <v>25</v>
      </c>
      <c r="F1939" s="55" t="s">
        <v>25</v>
      </c>
      <c r="G1939" s="55" t="s">
        <v>25</v>
      </c>
      <c r="H1939" s="55" t="s">
        <v>36</v>
      </c>
      <c r="I1939" s="63">
        <v>44531</v>
      </c>
      <c r="J1939" s="64">
        <f>EFEITO!$J$1939*EFEITO!$Y$1939</f>
        <v>0</v>
      </c>
      <c r="K1939" s="64">
        <f ca="1">EFEITO!$L$1939*EFEITO!$Z$1939</f>
        <v>1.2404197745918457</v>
      </c>
      <c r="L1939" s="64">
        <f>EFEITO!$N$1939*EFEITO!$AA$1939</f>
        <v>0.46352514768664344</v>
      </c>
      <c r="M1939" s="64">
        <f>$J$1939-EFEITO!$K$1939*EFEITO!$Y$1939</f>
        <v>0</v>
      </c>
      <c r="N1939" s="64">
        <f ca="1">$K$1939-EFEITO!$M$1939*EFEITO!$Z$1939</f>
        <v>0</v>
      </c>
      <c r="O1939" s="64">
        <f>$L$1939-EFEITO!$O$1939*EFEITO!$AA$1939</f>
        <v>0</v>
      </c>
      <c r="P1939" s="19"/>
      <c r="Q1939" s="19"/>
      <c r="R1939" s="19"/>
      <c r="S1939" s="19"/>
      <c r="T1939" s="19"/>
      <c r="U1939" s="19"/>
      <c r="V1939" s="19"/>
      <c r="W1939" s="19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</row>
    <row r="1940" spans="1:36" ht="11.25" customHeight="1" x14ac:dyDescent="0.2">
      <c r="A1940" s="55" t="s">
        <v>28</v>
      </c>
      <c r="B1940" s="55" t="s">
        <v>37</v>
      </c>
      <c r="C1940" s="55" t="s">
        <v>33</v>
      </c>
      <c r="D1940" s="55" t="s">
        <v>43</v>
      </c>
      <c r="E1940" s="55" t="s">
        <v>25</v>
      </c>
      <c r="F1940" s="55" t="s">
        <v>25</v>
      </c>
      <c r="G1940" s="55" t="s">
        <v>25</v>
      </c>
      <c r="H1940" s="55" t="s">
        <v>36</v>
      </c>
      <c r="I1940" s="63">
        <v>44531</v>
      </c>
      <c r="J1940" s="64">
        <f>EFEITO!$J$1940*EFEITO!$Y$1940</f>
        <v>0</v>
      </c>
      <c r="K1940" s="64">
        <f ca="1">EFEITO!$L$1940*EFEITO!$Z$1940</f>
        <v>741.15081531862779</v>
      </c>
      <c r="L1940" s="64">
        <f>EFEITO!$N$1940*EFEITO!$AA$1940</f>
        <v>276.95627574276949</v>
      </c>
      <c r="M1940" s="64">
        <f>$J$1940-EFEITO!$K$1940*EFEITO!$Y$1940</f>
        <v>0</v>
      </c>
      <c r="N1940" s="64">
        <f ca="1">$K$1940-EFEITO!$M$1940*EFEITO!$Z$1940</f>
        <v>0</v>
      </c>
      <c r="O1940" s="64">
        <f>$L$1940-EFEITO!$O$1940*EFEITO!$AA$1940</f>
        <v>0</v>
      </c>
      <c r="P1940" s="19"/>
      <c r="Q1940" s="19"/>
      <c r="R1940" s="19"/>
      <c r="S1940" s="19"/>
      <c r="T1940" s="19"/>
      <c r="U1940" s="19"/>
      <c r="V1940" s="19"/>
      <c r="W1940" s="19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</row>
    <row r="1941" spans="1:36" ht="11.25" customHeight="1" x14ac:dyDescent="0.2">
      <c r="A1941" s="55" t="s">
        <v>21</v>
      </c>
      <c r="B1941" s="55" t="s">
        <v>37</v>
      </c>
      <c r="C1941" s="55" t="s">
        <v>33</v>
      </c>
      <c r="D1941" s="55" t="s">
        <v>43</v>
      </c>
      <c r="E1941" s="55" t="s">
        <v>25</v>
      </c>
      <c r="F1941" s="55" t="s">
        <v>25</v>
      </c>
      <c r="G1941" s="55" t="s">
        <v>25</v>
      </c>
      <c r="H1941" s="55" t="s">
        <v>36</v>
      </c>
      <c r="I1941" s="63">
        <v>44562</v>
      </c>
      <c r="J1941" s="64">
        <f>EFEITO!$J$1941*EFEITO!$Y$1941</f>
        <v>0</v>
      </c>
      <c r="K1941" s="64">
        <f ca="1">EFEITO!$L$1941*EFEITO!$Z$1941</f>
        <v>3053.2932751578282</v>
      </c>
      <c r="L1941" s="64">
        <f>EFEITO!$N$1941*EFEITO!$AA$1941</f>
        <v>1140.9671510306728</v>
      </c>
      <c r="M1941" s="64">
        <f>$J$1941-EFEITO!$K$1941*EFEITO!$Y$1941</f>
        <v>0</v>
      </c>
      <c r="N1941" s="64">
        <f ca="1">$K$1941-EFEITO!$M$1941*EFEITO!$Z$1941</f>
        <v>0</v>
      </c>
      <c r="O1941" s="64">
        <f>$L$1941-EFEITO!$O$1941*EFEITO!$AA$1941</f>
        <v>0</v>
      </c>
      <c r="P1941" s="19"/>
      <c r="Q1941" s="19"/>
      <c r="R1941" s="19"/>
      <c r="S1941" s="19"/>
      <c r="T1941" s="19"/>
      <c r="U1941" s="19"/>
      <c r="V1941" s="19"/>
      <c r="W1941" s="19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</row>
    <row r="1942" spans="1:36" ht="11.25" customHeight="1" x14ac:dyDescent="0.2">
      <c r="A1942" s="55" t="s">
        <v>27</v>
      </c>
      <c r="B1942" s="55" t="s">
        <v>37</v>
      </c>
      <c r="C1942" s="55" t="s">
        <v>33</v>
      </c>
      <c r="D1942" s="55" t="s">
        <v>43</v>
      </c>
      <c r="E1942" s="55" t="s">
        <v>25</v>
      </c>
      <c r="F1942" s="55" t="s">
        <v>25</v>
      </c>
      <c r="G1942" s="55" t="s">
        <v>25</v>
      </c>
      <c r="H1942" s="55" t="s">
        <v>36</v>
      </c>
      <c r="I1942" s="63">
        <v>44562</v>
      </c>
      <c r="J1942" s="64">
        <f>EFEITO!$J$1942*EFEITO!$Y$1942</f>
        <v>0</v>
      </c>
      <c r="K1942" s="64">
        <f ca="1">EFEITO!$L$1942*EFEITO!$Z$1942</f>
        <v>0.62020988729592286</v>
      </c>
      <c r="L1942" s="64">
        <f>EFEITO!$N$1942*EFEITO!$AA$1942</f>
        <v>0.23176257384332172</v>
      </c>
      <c r="M1942" s="64">
        <f>$J$1942-EFEITO!$K$1942*EFEITO!$Y$1942</f>
        <v>0</v>
      </c>
      <c r="N1942" s="64">
        <f ca="1">$K$1942-EFEITO!$M$1942*EFEITO!$Z$1942</f>
        <v>0</v>
      </c>
      <c r="O1942" s="64">
        <f>$L$1942-EFEITO!$O$1942*EFEITO!$AA$1942</f>
        <v>0</v>
      </c>
      <c r="P1942" s="19"/>
      <c r="Q1942" s="19"/>
      <c r="R1942" s="19"/>
      <c r="S1942" s="19"/>
      <c r="T1942" s="19"/>
      <c r="U1942" s="19"/>
      <c r="V1942" s="19"/>
      <c r="W1942" s="19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</row>
    <row r="1943" spans="1:36" ht="11.25" customHeight="1" x14ac:dyDescent="0.2">
      <c r="A1943" s="55" t="s">
        <v>28</v>
      </c>
      <c r="B1943" s="55" t="s">
        <v>37</v>
      </c>
      <c r="C1943" s="55" t="s">
        <v>33</v>
      </c>
      <c r="D1943" s="55" t="s">
        <v>43</v>
      </c>
      <c r="E1943" s="55" t="s">
        <v>25</v>
      </c>
      <c r="F1943" s="55" t="s">
        <v>25</v>
      </c>
      <c r="G1943" s="55" t="s">
        <v>25</v>
      </c>
      <c r="H1943" s="55" t="s">
        <v>36</v>
      </c>
      <c r="I1943" s="63">
        <v>44562</v>
      </c>
      <c r="J1943" s="64">
        <f>EFEITO!$J$1943*EFEITO!$Y$1943</f>
        <v>0</v>
      </c>
      <c r="K1943" s="64">
        <f ca="1">EFEITO!$L$1943*EFEITO!$Z$1943</f>
        <v>846.58649615893466</v>
      </c>
      <c r="L1943" s="64">
        <f>EFEITO!$N$1943*EFEITO!$AA$1943</f>
        <v>316.35591329613413</v>
      </c>
      <c r="M1943" s="64">
        <f>$J$1943-EFEITO!$K$1943*EFEITO!$Y$1943</f>
        <v>0</v>
      </c>
      <c r="N1943" s="64">
        <f ca="1">$K$1943-EFEITO!$M$1943*EFEITO!$Z$1943</f>
        <v>0</v>
      </c>
      <c r="O1943" s="64">
        <f>$L$1943-EFEITO!$O$1943*EFEITO!$AA$1943</f>
        <v>0</v>
      </c>
      <c r="P1943" s="19"/>
      <c r="Q1943" s="19"/>
      <c r="R1943" s="19"/>
      <c r="S1943" s="19"/>
      <c r="T1943" s="19"/>
      <c r="U1943" s="19"/>
      <c r="V1943" s="19"/>
      <c r="W1943" s="19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</row>
    <row r="1944" spans="1:36" ht="11.25" customHeight="1" x14ac:dyDescent="0.2">
      <c r="A1944" s="55" t="s">
        <v>21</v>
      </c>
      <c r="B1944" s="55" t="s">
        <v>37</v>
      </c>
      <c r="C1944" s="55" t="s">
        <v>33</v>
      </c>
      <c r="D1944" s="55" t="s">
        <v>43</v>
      </c>
      <c r="E1944" s="55" t="s">
        <v>25</v>
      </c>
      <c r="F1944" s="55" t="s">
        <v>25</v>
      </c>
      <c r="G1944" s="55" t="s">
        <v>25</v>
      </c>
      <c r="H1944" s="55" t="s">
        <v>36</v>
      </c>
      <c r="I1944" s="63">
        <v>44593</v>
      </c>
      <c r="J1944" s="64">
        <f>EFEITO!$J$1944*EFEITO!$Y$1944</f>
        <v>0</v>
      </c>
      <c r="K1944" s="64">
        <f ca="1">EFEITO!$L$1944*EFEITO!$Z$1944</f>
        <v>3107.2515353525732</v>
      </c>
      <c r="L1944" s="64">
        <f>EFEITO!$N$1944*EFEITO!$AA$1944</f>
        <v>1161.1304949550417</v>
      </c>
      <c r="M1944" s="64">
        <f>$J$1944-EFEITO!$K$1944*EFEITO!$Y$1944</f>
        <v>0</v>
      </c>
      <c r="N1944" s="64">
        <f ca="1">$K$1944-EFEITO!$M$1944*EFEITO!$Z$1944</f>
        <v>0</v>
      </c>
      <c r="O1944" s="64">
        <f>$L$1944-EFEITO!$O$1944*EFEITO!$AA$1944</f>
        <v>0</v>
      </c>
      <c r="P1944" s="19"/>
      <c r="Q1944" s="19"/>
      <c r="R1944" s="19"/>
      <c r="S1944" s="19"/>
      <c r="T1944" s="19"/>
      <c r="U1944" s="19"/>
      <c r="V1944" s="19"/>
      <c r="W1944" s="19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</row>
    <row r="1945" spans="1:36" ht="11.25" customHeight="1" x14ac:dyDescent="0.2">
      <c r="A1945" s="55" t="s">
        <v>28</v>
      </c>
      <c r="B1945" s="55" t="s">
        <v>37</v>
      </c>
      <c r="C1945" s="55" t="s">
        <v>33</v>
      </c>
      <c r="D1945" s="55" t="s">
        <v>43</v>
      </c>
      <c r="E1945" s="55" t="s">
        <v>25</v>
      </c>
      <c r="F1945" s="55" t="s">
        <v>25</v>
      </c>
      <c r="G1945" s="55" t="s">
        <v>25</v>
      </c>
      <c r="H1945" s="55" t="s">
        <v>36</v>
      </c>
      <c r="I1945" s="63">
        <v>44593</v>
      </c>
      <c r="J1945" s="64">
        <f>EFEITO!$J$1945*EFEITO!$Y$1945</f>
        <v>0</v>
      </c>
      <c r="K1945" s="64">
        <f ca="1">EFEITO!$L$1945*EFEITO!$Z$1945</f>
        <v>417.40125415015609</v>
      </c>
      <c r="L1945" s="64">
        <f>EFEITO!$N$1945*EFEITO!$AA$1945</f>
        <v>155.97621219655554</v>
      </c>
      <c r="M1945" s="64">
        <f>$J$1945-EFEITO!$K$1945*EFEITO!$Y$1945</f>
        <v>0</v>
      </c>
      <c r="N1945" s="64">
        <f ca="1">$K$1945-EFEITO!$M$1945*EFEITO!$Z$1945</f>
        <v>0</v>
      </c>
      <c r="O1945" s="64">
        <f>$L$1945-EFEITO!$O$1945*EFEITO!$AA$1945</f>
        <v>0</v>
      </c>
      <c r="P1945" s="19"/>
      <c r="Q1945" s="19"/>
      <c r="R1945" s="19"/>
      <c r="S1945" s="19"/>
      <c r="T1945" s="19"/>
      <c r="U1945" s="19"/>
      <c r="V1945" s="19"/>
      <c r="W1945" s="19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</row>
    <row r="1946" spans="1:36" ht="11.25" customHeight="1" x14ac:dyDescent="0.2">
      <c r="A1946" s="55" t="s">
        <v>21</v>
      </c>
      <c r="B1946" s="55" t="s">
        <v>37</v>
      </c>
      <c r="C1946" s="55" t="s">
        <v>33</v>
      </c>
      <c r="D1946" s="55" t="s">
        <v>43</v>
      </c>
      <c r="E1946" s="55" t="s">
        <v>25</v>
      </c>
      <c r="F1946" s="55" t="s">
        <v>25</v>
      </c>
      <c r="G1946" s="55" t="s">
        <v>25</v>
      </c>
      <c r="H1946" s="55" t="s">
        <v>36</v>
      </c>
      <c r="I1946" s="63">
        <v>44621</v>
      </c>
      <c r="J1946" s="64">
        <f>EFEITO!$J$1946*EFEITO!$Y$1946</f>
        <v>0</v>
      </c>
      <c r="K1946" s="64">
        <f ca="1">EFEITO!$L$1946*EFEITO!$Z$1946</f>
        <v>3249.8998094306357</v>
      </c>
      <c r="L1946" s="64">
        <f>EFEITO!$N$1946*EFEITO!$AA$1946</f>
        <v>1214.4358869390057</v>
      </c>
      <c r="M1946" s="64">
        <f>$J$1946-EFEITO!$K$1946*EFEITO!$Y$1946</f>
        <v>0</v>
      </c>
      <c r="N1946" s="64">
        <f ca="1">$K$1946-EFEITO!$M$1946*EFEITO!$Z$1946</f>
        <v>0</v>
      </c>
      <c r="O1946" s="64">
        <f>$L$1946-EFEITO!$O$1946*EFEITO!$AA$1946</f>
        <v>0</v>
      </c>
      <c r="P1946" s="19"/>
      <c r="Q1946" s="19"/>
      <c r="R1946" s="19"/>
      <c r="S1946" s="19"/>
      <c r="T1946" s="19"/>
      <c r="U1946" s="19"/>
      <c r="V1946" s="19"/>
      <c r="W1946" s="19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</row>
    <row r="1947" spans="1:36" ht="11.25" customHeight="1" x14ac:dyDescent="0.2">
      <c r="A1947" s="55" t="s">
        <v>28</v>
      </c>
      <c r="B1947" s="55" t="s">
        <v>37</v>
      </c>
      <c r="C1947" s="55" t="s">
        <v>33</v>
      </c>
      <c r="D1947" s="55" t="s">
        <v>43</v>
      </c>
      <c r="E1947" s="55" t="s">
        <v>25</v>
      </c>
      <c r="F1947" s="55" t="s">
        <v>25</v>
      </c>
      <c r="G1947" s="55" t="s">
        <v>25</v>
      </c>
      <c r="H1947" s="55" t="s">
        <v>36</v>
      </c>
      <c r="I1947" s="63">
        <v>44621</v>
      </c>
      <c r="J1947" s="64">
        <f>EFEITO!$J$1947*EFEITO!$Y$1947</f>
        <v>0</v>
      </c>
      <c r="K1947" s="64">
        <f ca="1">EFEITO!$L$1947*EFEITO!$Z$1947</f>
        <v>511.05294713184037</v>
      </c>
      <c r="L1947" s="64">
        <f>EFEITO!$N$1947*EFEITO!$AA$1947</f>
        <v>190.97236084689709</v>
      </c>
      <c r="M1947" s="64">
        <f>$J$1947-EFEITO!$K$1947*EFEITO!$Y$1947</f>
        <v>0</v>
      </c>
      <c r="N1947" s="64">
        <f ca="1">$K$1947-EFEITO!$M$1947*EFEITO!$Z$1947</f>
        <v>0</v>
      </c>
      <c r="O1947" s="64">
        <f>$L$1947-EFEITO!$O$1947*EFEITO!$AA$1947</f>
        <v>0</v>
      </c>
      <c r="P1947" s="19"/>
      <c r="Q1947" s="19"/>
      <c r="R1947" s="19"/>
      <c r="S1947" s="19"/>
      <c r="T1947" s="19"/>
      <c r="U1947" s="19"/>
      <c r="V1947" s="19"/>
      <c r="W1947" s="19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</row>
    <row r="1948" spans="1:36" ht="11.25" customHeight="1" x14ac:dyDescent="0.2">
      <c r="A1948" s="55" t="s">
        <v>21</v>
      </c>
      <c r="B1948" s="55" t="s">
        <v>37</v>
      </c>
      <c r="C1948" s="55" t="s">
        <v>33</v>
      </c>
      <c r="D1948" s="55" t="s">
        <v>43</v>
      </c>
      <c r="E1948" s="55" t="s">
        <v>25</v>
      </c>
      <c r="F1948" s="55" t="s">
        <v>25</v>
      </c>
      <c r="G1948" s="55" t="s">
        <v>25</v>
      </c>
      <c r="H1948" s="55" t="s">
        <v>36</v>
      </c>
      <c r="I1948" s="63">
        <v>44652</v>
      </c>
      <c r="J1948" s="64">
        <f>EFEITO!$J$1948*EFEITO!$Y$1948</f>
        <v>0</v>
      </c>
      <c r="K1948" s="64">
        <f ca="1">EFEITO!$L$1948*EFEITO!$Z$1948</f>
        <v>3156.8683263362473</v>
      </c>
      <c r="L1948" s="64">
        <f>EFEITO!$N$1948*EFEITO!$AA$1948</f>
        <v>1179.6715008625074</v>
      </c>
      <c r="M1948" s="64">
        <f>$J$1948-EFEITO!$K$1948*EFEITO!$Y$1948</f>
        <v>0</v>
      </c>
      <c r="N1948" s="64">
        <f ca="1">$K$1948-EFEITO!$M$1948*EFEITO!$Z$1948</f>
        <v>0</v>
      </c>
      <c r="O1948" s="64">
        <f>$L$1948-EFEITO!$O$1948*EFEITO!$AA$1948</f>
        <v>0</v>
      </c>
      <c r="P1948" s="19"/>
      <c r="Q1948" s="19"/>
      <c r="R1948" s="19"/>
      <c r="S1948" s="19"/>
      <c r="T1948" s="19"/>
      <c r="U1948" s="19"/>
      <c r="V1948" s="19"/>
      <c r="W1948" s="19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</row>
    <row r="1949" spans="1:36" ht="11.25" customHeight="1" x14ac:dyDescent="0.2">
      <c r="A1949" s="55" t="s">
        <v>28</v>
      </c>
      <c r="B1949" s="55" t="s">
        <v>37</v>
      </c>
      <c r="C1949" s="55" t="s">
        <v>33</v>
      </c>
      <c r="D1949" s="55" t="s">
        <v>43</v>
      </c>
      <c r="E1949" s="55" t="s">
        <v>25</v>
      </c>
      <c r="F1949" s="55" t="s">
        <v>25</v>
      </c>
      <c r="G1949" s="55" t="s">
        <v>25</v>
      </c>
      <c r="H1949" s="55" t="s">
        <v>36</v>
      </c>
      <c r="I1949" s="63">
        <v>44652</v>
      </c>
      <c r="J1949" s="64">
        <f>EFEITO!$J$1949*EFEITO!$Y$1949</f>
        <v>0</v>
      </c>
      <c r="K1949" s="64">
        <f ca="1">EFEITO!$L$1949*EFEITO!$Z$1949</f>
        <v>445.31069907847257</v>
      </c>
      <c r="L1949" s="64">
        <f>EFEITO!$N$1949*EFEITO!$AA$1949</f>
        <v>166.405528019505</v>
      </c>
      <c r="M1949" s="64">
        <f>$J$1949-EFEITO!$K$1949*EFEITO!$Y$1949</f>
        <v>0</v>
      </c>
      <c r="N1949" s="64">
        <f ca="1">$K$1949-EFEITO!$M$1949*EFEITO!$Z$1949</f>
        <v>0</v>
      </c>
      <c r="O1949" s="64">
        <f>$L$1949-EFEITO!$O$1949*EFEITO!$AA$1949</f>
        <v>0</v>
      </c>
      <c r="P1949" s="19"/>
      <c r="Q1949" s="19"/>
      <c r="R1949" s="19"/>
      <c r="S1949" s="19"/>
      <c r="T1949" s="19"/>
      <c r="U1949" s="19"/>
      <c r="V1949" s="19"/>
      <c r="W1949" s="19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</row>
    <row r="1950" spans="1:36" ht="11.25" customHeight="1" x14ac:dyDescent="0.2">
      <c r="A1950" s="55" t="s">
        <v>21</v>
      </c>
      <c r="B1950" s="55" t="s">
        <v>37</v>
      </c>
      <c r="C1950" s="55" t="s">
        <v>33</v>
      </c>
      <c r="D1950" s="55" t="s">
        <v>43</v>
      </c>
      <c r="E1950" s="55" t="s">
        <v>25</v>
      </c>
      <c r="F1950" s="55" t="s">
        <v>25</v>
      </c>
      <c r="G1950" s="55" t="s">
        <v>25</v>
      </c>
      <c r="H1950" s="55" t="s">
        <v>36</v>
      </c>
      <c r="I1950" s="63">
        <v>44682</v>
      </c>
      <c r="J1950" s="64">
        <f>EFEITO!$J$1950*EFEITO!$Y$1950</f>
        <v>0</v>
      </c>
      <c r="K1950" s="64">
        <f ca="1">EFEITO!$L$1950*EFEITO!$Z$1950</f>
        <v>3053.9134850451242</v>
      </c>
      <c r="L1950" s="64">
        <f>EFEITO!$N$1950*EFEITO!$AA$1950</f>
        <v>1141.1989136045163</v>
      </c>
      <c r="M1950" s="64">
        <f>$J$1950-EFEITO!$K$1950*EFEITO!$Y$1950</f>
        <v>0</v>
      </c>
      <c r="N1950" s="64">
        <f ca="1">$K$1950-EFEITO!$M$1950*EFEITO!$Z$1950</f>
        <v>0</v>
      </c>
      <c r="O1950" s="64">
        <f>$L$1950-EFEITO!$O$1950*EFEITO!$AA$1950</f>
        <v>0</v>
      </c>
      <c r="P1950" s="19"/>
      <c r="Q1950" s="19"/>
      <c r="R1950" s="19"/>
      <c r="S1950" s="19"/>
      <c r="T1950" s="19"/>
      <c r="U1950" s="19"/>
      <c r="V1950" s="19"/>
      <c r="W1950" s="19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</row>
    <row r="1951" spans="1:36" ht="11.25" customHeight="1" x14ac:dyDescent="0.2">
      <c r="A1951" s="55" t="s">
        <v>28</v>
      </c>
      <c r="B1951" s="55" t="s">
        <v>37</v>
      </c>
      <c r="C1951" s="55" t="s">
        <v>33</v>
      </c>
      <c r="D1951" s="55" t="s">
        <v>43</v>
      </c>
      <c r="E1951" s="55" t="s">
        <v>25</v>
      </c>
      <c r="F1951" s="55" t="s">
        <v>25</v>
      </c>
      <c r="G1951" s="55" t="s">
        <v>25</v>
      </c>
      <c r="H1951" s="55" t="s">
        <v>36</v>
      </c>
      <c r="I1951" s="63">
        <v>44682</v>
      </c>
      <c r="J1951" s="64">
        <f>EFEITO!$J$1951*EFEITO!$Y$1951</f>
        <v>0</v>
      </c>
      <c r="K1951" s="64">
        <f ca="1">EFEITO!$L$1951*EFEITO!$Z$1951</f>
        <v>439.10860020551337</v>
      </c>
      <c r="L1951" s="64">
        <f>EFEITO!$N$1951*EFEITO!$AA$1951</f>
        <v>164.08790228107176</v>
      </c>
      <c r="M1951" s="64">
        <f>$J$1951-EFEITO!$K$1951*EFEITO!$Y$1951</f>
        <v>0</v>
      </c>
      <c r="N1951" s="64">
        <f ca="1">$K$1951-EFEITO!$M$1951*EFEITO!$Z$1951</f>
        <v>0</v>
      </c>
      <c r="O1951" s="64">
        <f>$L$1951-EFEITO!$O$1951*EFEITO!$AA$1951</f>
        <v>0</v>
      </c>
      <c r="P1951" s="19"/>
      <c r="Q1951" s="19"/>
      <c r="R1951" s="19"/>
      <c r="S1951" s="19"/>
      <c r="T1951" s="19"/>
      <c r="U1951" s="19"/>
      <c r="V1951" s="19"/>
      <c r="W1951" s="19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</row>
    <row r="1952" spans="1:36" ht="11.25" customHeight="1" x14ac:dyDescent="0.2">
      <c r="A1952" s="55" t="s">
        <v>21</v>
      </c>
      <c r="B1952" s="55" t="s">
        <v>37</v>
      </c>
      <c r="C1952" s="55" t="s">
        <v>33</v>
      </c>
      <c r="D1952" s="55" t="s">
        <v>43</v>
      </c>
      <c r="E1952" s="55" t="s">
        <v>25</v>
      </c>
      <c r="F1952" s="55" t="s">
        <v>25</v>
      </c>
      <c r="G1952" s="55" t="s">
        <v>25</v>
      </c>
      <c r="H1952" s="55" t="s">
        <v>36</v>
      </c>
      <c r="I1952" s="63">
        <v>44713</v>
      </c>
      <c r="J1952" s="64">
        <f>EFEITO!$J$1952*EFEITO!$Y$1952</f>
        <v>0</v>
      </c>
      <c r="K1952" s="64">
        <f ca="1">EFEITO!$L$1952*EFEITO!$Z$1952</f>
        <v>2693.5715405261931</v>
      </c>
      <c r="L1952" s="64">
        <f>EFEITO!$N$1952*EFEITO!$AA$1952</f>
        <v>1006.5448582015462</v>
      </c>
      <c r="M1952" s="64">
        <f>$J$1952-EFEITO!$K$1952*EFEITO!$Y$1952</f>
        <v>0</v>
      </c>
      <c r="N1952" s="64">
        <f ca="1">$K$1952-EFEITO!$M$1952*EFEITO!$Z$1952</f>
        <v>0</v>
      </c>
      <c r="O1952" s="64">
        <f>$L$1952-EFEITO!$O$1952*EFEITO!$AA$1952</f>
        <v>0</v>
      </c>
      <c r="P1952" s="19"/>
      <c r="Q1952" s="19"/>
      <c r="R1952" s="19"/>
      <c r="S1952" s="19"/>
      <c r="T1952" s="19"/>
      <c r="U1952" s="19"/>
      <c r="V1952" s="19"/>
      <c r="W1952" s="19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</row>
    <row r="1953" spans="1:36" ht="11.25" customHeight="1" x14ac:dyDescent="0.2">
      <c r="A1953" s="55" t="s">
        <v>27</v>
      </c>
      <c r="B1953" s="55" t="s">
        <v>37</v>
      </c>
      <c r="C1953" s="55" t="s">
        <v>33</v>
      </c>
      <c r="D1953" s="55" t="s">
        <v>43</v>
      </c>
      <c r="E1953" s="55" t="s">
        <v>25</v>
      </c>
      <c r="F1953" s="55" t="s">
        <v>25</v>
      </c>
      <c r="G1953" s="55" t="s">
        <v>25</v>
      </c>
      <c r="H1953" s="55" t="s">
        <v>36</v>
      </c>
      <c r="I1953" s="63">
        <v>44713</v>
      </c>
      <c r="J1953" s="64">
        <f>EFEITO!$J$1953*EFEITO!$Y$1953</f>
        <v>0</v>
      </c>
      <c r="K1953" s="64">
        <f ca="1">EFEITO!$L$1953*EFEITO!$Z$1953</f>
        <v>62.641198616888211</v>
      </c>
      <c r="L1953" s="64">
        <f>EFEITO!$N$1953*EFEITO!$AA$1953</f>
        <v>23.408019958175494</v>
      </c>
      <c r="M1953" s="64">
        <f>$J$1953-EFEITO!$K$1953*EFEITO!$Y$1953</f>
        <v>0</v>
      </c>
      <c r="N1953" s="64">
        <f ca="1">$K$1953-EFEITO!$M$1953*EFEITO!$Z$1953</f>
        <v>0</v>
      </c>
      <c r="O1953" s="64">
        <f>$L$1953-EFEITO!$O$1953*EFEITO!$AA$1953</f>
        <v>0</v>
      </c>
      <c r="P1953" s="19"/>
      <c r="Q1953" s="19"/>
      <c r="R1953" s="19"/>
      <c r="S1953" s="19"/>
      <c r="T1953" s="19"/>
      <c r="U1953" s="19"/>
      <c r="V1953" s="19"/>
      <c r="W1953" s="19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</row>
    <row r="1954" spans="1:36" ht="11.25" customHeight="1" x14ac:dyDescent="0.2">
      <c r="A1954" s="55" t="s">
        <v>28</v>
      </c>
      <c r="B1954" s="55" t="s">
        <v>37</v>
      </c>
      <c r="C1954" s="55" t="s">
        <v>33</v>
      </c>
      <c r="D1954" s="55" t="s">
        <v>43</v>
      </c>
      <c r="E1954" s="55" t="s">
        <v>25</v>
      </c>
      <c r="F1954" s="55" t="s">
        <v>25</v>
      </c>
      <c r="G1954" s="55" t="s">
        <v>25</v>
      </c>
      <c r="H1954" s="55" t="s">
        <v>36</v>
      </c>
      <c r="I1954" s="63">
        <v>44713</v>
      </c>
      <c r="J1954" s="64">
        <f>EFEITO!$J$1954*EFEITO!$Y$1954</f>
        <v>0</v>
      </c>
      <c r="K1954" s="64">
        <f ca="1">EFEITO!$L$1954*EFEITO!$Z$1954</f>
        <v>387.63117955995176</v>
      </c>
      <c r="L1954" s="64">
        <f>EFEITO!$N$1954*EFEITO!$AA$1954</f>
        <v>144.85160865207607</v>
      </c>
      <c r="M1954" s="64">
        <f>$J$1954-EFEITO!$K$1954*EFEITO!$Y$1954</f>
        <v>0</v>
      </c>
      <c r="N1954" s="64">
        <f ca="1">$K$1954-EFEITO!$M$1954*EFEITO!$Z$1954</f>
        <v>0</v>
      </c>
      <c r="O1954" s="64">
        <f>$L$1954-EFEITO!$O$1954*EFEITO!$AA$1954</f>
        <v>0</v>
      </c>
      <c r="P1954" s="19"/>
      <c r="Q1954" s="19"/>
      <c r="R1954" s="19"/>
      <c r="S1954" s="19"/>
      <c r="T1954" s="19"/>
      <c r="U1954" s="19"/>
      <c r="V1954" s="19"/>
      <c r="W1954" s="19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</row>
    <row r="1955" spans="1:36" ht="11.25" customHeight="1" x14ac:dyDescent="0.2">
      <c r="A1955" s="55" t="s">
        <v>57</v>
      </c>
      <c r="B1955" s="55" t="s">
        <v>37</v>
      </c>
      <c r="C1955" s="55" t="s">
        <v>33</v>
      </c>
      <c r="D1955" s="55" t="s">
        <v>43</v>
      </c>
      <c r="E1955" s="55" t="s">
        <v>25</v>
      </c>
      <c r="F1955" s="55" t="s">
        <v>25</v>
      </c>
      <c r="G1955" s="55" t="s">
        <v>25</v>
      </c>
      <c r="H1955" s="55" t="s">
        <v>36</v>
      </c>
      <c r="I1955" s="63">
        <v>44743</v>
      </c>
      <c r="J1955" s="64">
        <f>EFEITO!$J$1955*EFEITO!$Y$1955</f>
        <v>0</v>
      </c>
      <c r="K1955" s="64">
        <f ca="1">EFEITO!$L$1955*EFEITO!$Z$1955</f>
        <v>2693.5715405261931</v>
      </c>
      <c r="L1955" s="64">
        <f>EFEITO!$N$1955*EFEITO!$AA$1955</f>
        <v>1006.5448582015462</v>
      </c>
      <c r="M1955" s="64">
        <f>$J$1955-EFEITO!$K$1955*EFEITO!$Y$1955</f>
        <v>0</v>
      </c>
      <c r="N1955" s="64">
        <f ca="1">$K$1955-EFEITO!$M$1955*EFEITO!$Z$1955</f>
        <v>0</v>
      </c>
      <c r="O1955" s="64">
        <f>$L$1955-EFEITO!$O$1955*EFEITO!$AA$1955</f>
        <v>0</v>
      </c>
      <c r="P1955" s="19"/>
      <c r="Q1955" s="19"/>
      <c r="R1955" s="19"/>
      <c r="S1955" s="19"/>
      <c r="T1955" s="19"/>
      <c r="U1955" s="19"/>
      <c r="V1955" s="19"/>
      <c r="W1955" s="19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</row>
    <row r="1956" spans="1:36" ht="11.25" customHeight="1" x14ac:dyDescent="0.2">
      <c r="A1956" s="55" t="s">
        <v>57</v>
      </c>
      <c r="B1956" s="55" t="s">
        <v>37</v>
      </c>
      <c r="C1956" s="55" t="s">
        <v>33</v>
      </c>
      <c r="D1956" s="55" t="s">
        <v>43</v>
      </c>
      <c r="E1956" s="55" t="s">
        <v>25</v>
      </c>
      <c r="F1956" s="55" t="s">
        <v>25</v>
      </c>
      <c r="G1956" s="55" t="s">
        <v>25</v>
      </c>
      <c r="H1956" s="55" t="s">
        <v>36</v>
      </c>
      <c r="I1956" s="63">
        <v>44743</v>
      </c>
      <c r="J1956" s="64">
        <f>EFEITO!$J$1956*EFEITO!$Y$1956</f>
        <v>0</v>
      </c>
      <c r="K1956" s="64">
        <f ca="1">EFEITO!$L$1956*EFEITO!$Z$1956</f>
        <v>62.641198616888211</v>
      </c>
      <c r="L1956" s="64">
        <f>EFEITO!$N$1956*EFEITO!$AA$1956</f>
        <v>23.408019958175494</v>
      </c>
      <c r="M1956" s="64">
        <f>$J$1956-EFEITO!$K$1956*EFEITO!$Y$1956</f>
        <v>0</v>
      </c>
      <c r="N1956" s="64">
        <f ca="1">$K$1956-EFEITO!$M$1956*EFEITO!$Z$1956</f>
        <v>0</v>
      </c>
      <c r="O1956" s="64">
        <f>$L$1956-EFEITO!$O$1956*EFEITO!$AA$1956</f>
        <v>0</v>
      </c>
      <c r="P1956" s="19"/>
      <c r="Q1956" s="19"/>
      <c r="R1956" s="19"/>
      <c r="S1956" s="19"/>
      <c r="T1956" s="19"/>
      <c r="U1956" s="19"/>
      <c r="V1956" s="19"/>
      <c r="W1956" s="19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</row>
    <row r="1957" spans="1:36" ht="11.25" customHeight="1" x14ac:dyDescent="0.2">
      <c r="A1957" s="55" t="s">
        <v>57</v>
      </c>
      <c r="B1957" s="55" t="s">
        <v>37</v>
      </c>
      <c r="C1957" s="55" t="s">
        <v>33</v>
      </c>
      <c r="D1957" s="55" t="s">
        <v>43</v>
      </c>
      <c r="E1957" s="55" t="s">
        <v>25</v>
      </c>
      <c r="F1957" s="55" t="s">
        <v>25</v>
      </c>
      <c r="G1957" s="55" t="s">
        <v>25</v>
      </c>
      <c r="H1957" s="55" t="s">
        <v>36</v>
      </c>
      <c r="I1957" s="63">
        <v>44743</v>
      </c>
      <c r="J1957" s="64">
        <f>EFEITO!$J$1957*EFEITO!$Y$1957</f>
        <v>0</v>
      </c>
      <c r="K1957" s="64">
        <f ca="1">EFEITO!$L$1957*EFEITO!$Z$1957</f>
        <v>387.63117955995176</v>
      </c>
      <c r="L1957" s="64">
        <f>EFEITO!$N$1957*EFEITO!$AA$1957</f>
        <v>144.85160865207607</v>
      </c>
      <c r="M1957" s="64">
        <f>$J$1957-EFEITO!$K$1957*EFEITO!$Y$1957</f>
        <v>0</v>
      </c>
      <c r="N1957" s="64">
        <f ca="1">$K$1957-EFEITO!$M$1957*EFEITO!$Z$1957</f>
        <v>0</v>
      </c>
      <c r="O1957" s="64">
        <f>$L$1957-EFEITO!$O$1957*EFEITO!$AA$1957</f>
        <v>0</v>
      </c>
      <c r="P1957" s="19"/>
      <c r="Q1957" s="19"/>
      <c r="R1957" s="19"/>
      <c r="S1957" s="19"/>
      <c r="T1957" s="19"/>
      <c r="U1957" s="19"/>
      <c r="V1957" s="19"/>
      <c r="W1957" s="19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</row>
    <row r="1958" spans="1:36" ht="11.25" customHeight="1" x14ac:dyDescent="0.2">
      <c r="A1958" s="55" t="s">
        <v>21</v>
      </c>
      <c r="B1958" s="55" t="s">
        <v>37</v>
      </c>
      <c r="C1958" s="55" t="s">
        <v>33</v>
      </c>
      <c r="D1958" s="55" t="s">
        <v>43</v>
      </c>
      <c r="E1958" s="55" t="s">
        <v>25</v>
      </c>
      <c r="F1958" s="55" t="s">
        <v>25</v>
      </c>
      <c r="G1958" s="55" t="s">
        <v>25</v>
      </c>
      <c r="H1958" s="55" t="s">
        <v>34</v>
      </c>
      <c r="I1958" s="63">
        <v>44409</v>
      </c>
      <c r="J1958" s="64">
        <f>EFEITO!$J$1958*EFEITO!$Y$1958</f>
        <v>0</v>
      </c>
      <c r="K1958" s="64">
        <f ca="1">EFEITO!$L$1958*EFEITO!$Z$1958</f>
        <v>2754.8387363990005</v>
      </c>
      <c r="L1958" s="64">
        <f>EFEITO!$N$1958*EFEITO!$AA$1958</f>
        <v>1028.5431333050412</v>
      </c>
      <c r="M1958" s="64">
        <f>$J$1958-EFEITO!$K$1958*EFEITO!$Y$1958</f>
        <v>0</v>
      </c>
      <c r="N1958" s="64">
        <f ca="1">$K$1958-EFEITO!$M$1958*EFEITO!$Z$1958</f>
        <v>0</v>
      </c>
      <c r="O1958" s="64">
        <f>$L$1958-EFEITO!$O$1958*EFEITO!$AA$1958</f>
        <v>0</v>
      </c>
      <c r="P1958" s="19"/>
      <c r="Q1958" s="19"/>
      <c r="R1958" s="19"/>
      <c r="S1958" s="19"/>
      <c r="T1958" s="19"/>
      <c r="U1958" s="19"/>
      <c r="V1958" s="19"/>
      <c r="W1958" s="19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</row>
    <row r="1959" spans="1:36" ht="11.25" customHeight="1" x14ac:dyDescent="0.2">
      <c r="A1959" s="55" t="s">
        <v>27</v>
      </c>
      <c r="B1959" s="55" t="s">
        <v>37</v>
      </c>
      <c r="C1959" s="55" t="s">
        <v>33</v>
      </c>
      <c r="D1959" s="55" t="s">
        <v>43</v>
      </c>
      <c r="E1959" s="55" t="s">
        <v>25</v>
      </c>
      <c r="F1959" s="55" t="s">
        <v>25</v>
      </c>
      <c r="G1959" s="55" t="s">
        <v>25</v>
      </c>
      <c r="H1959" s="55" t="s">
        <v>34</v>
      </c>
      <c r="I1959" s="63">
        <v>44409</v>
      </c>
      <c r="J1959" s="64">
        <f>EFEITO!$J$1959*EFEITO!$Y$1959</f>
        <v>0</v>
      </c>
      <c r="K1959" s="64">
        <f ca="1">EFEITO!$L$1959*EFEITO!$Z$1959</f>
        <v>-2598.5221425998279</v>
      </c>
      <c r="L1959" s="64">
        <f>EFEITO!$N$1959*EFEITO!$AA$1959</f>
        <v>-970.18096602118248</v>
      </c>
      <c r="M1959" s="64">
        <f>$J$1959-EFEITO!$K$1959*EFEITO!$Y$1959</f>
        <v>0</v>
      </c>
      <c r="N1959" s="64">
        <f ca="1">$K$1959-EFEITO!$M$1959*EFEITO!$Z$1959</f>
        <v>0</v>
      </c>
      <c r="O1959" s="64">
        <f>$L$1959-EFEITO!$O$1959*EFEITO!$AA$1959</f>
        <v>0</v>
      </c>
      <c r="P1959" s="19"/>
      <c r="Q1959" s="19"/>
      <c r="R1959" s="19"/>
      <c r="S1959" s="19"/>
      <c r="T1959" s="19"/>
      <c r="U1959" s="19"/>
      <c r="V1959" s="19"/>
      <c r="W1959" s="19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</row>
    <row r="1960" spans="1:36" ht="11.25" customHeight="1" x14ac:dyDescent="0.2">
      <c r="A1960" s="55" t="s">
        <v>28</v>
      </c>
      <c r="B1960" s="55" t="s">
        <v>37</v>
      </c>
      <c r="C1960" s="55" t="s">
        <v>33</v>
      </c>
      <c r="D1960" s="55" t="s">
        <v>43</v>
      </c>
      <c r="E1960" s="55" t="s">
        <v>25</v>
      </c>
      <c r="F1960" s="55" t="s">
        <v>25</v>
      </c>
      <c r="G1960" s="55" t="s">
        <v>25</v>
      </c>
      <c r="H1960" s="55" t="s">
        <v>34</v>
      </c>
      <c r="I1960" s="63">
        <v>44409</v>
      </c>
      <c r="J1960" s="64">
        <f>EFEITO!$J$1960*EFEITO!$Y$1960</f>
        <v>0</v>
      </c>
      <c r="K1960" s="64">
        <f ca="1">EFEITO!$L$1960*EFEITO!$Z$1960</f>
        <v>1185.8832949332302</v>
      </c>
      <c r="L1960" s="64">
        <f>EFEITO!$N$1960*EFEITO!$AA$1960</f>
        <v>442.75989871519988</v>
      </c>
      <c r="M1960" s="64">
        <f>$J$1960-EFEITO!$K$1960*EFEITO!$Y$1960</f>
        <v>0</v>
      </c>
      <c r="N1960" s="64">
        <f ca="1">$K$1960-EFEITO!$M$1960*EFEITO!$Z$1960</f>
        <v>0</v>
      </c>
      <c r="O1960" s="64">
        <f>$L$1960-EFEITO!$O$1960*EFEITO!$AA$1960</f>
        <v>0</v>
      </c>
      <c r="P1960" s="19"/>
      <c r="Q1960" s="19"/>
      <c r="R1960" s="19"/>
      <c r="S1960" s="19"/>
      <c r="T1960" s="19"/>
      <c r="U1960" s="19"/>
      <c r="V1960" s="19"/>
      <c r="W1960" s="19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</row>
    <row r="1961" spans="1:36" ht="11.25" customHeight="1" x14ac:dyDescent="0.2">
      <c r="A1961" s="55" t="s">
        <v>21</v>
      </c>
      <c r="B1961" s="55" t="s">
        <v>37</v>
      </c>
      <c r="C1961" s="55" t="s">
        <v>33</v>
      </c>
      <c r="D1961" s="55" t="s">
        <v>43</v>
      </c>
      <c r="E1961" s="55" t="s">
        <v>25</v>
      </c>
      <c r="F1961" s="55" t="s">
        <v>25</v>
      </c>
      <c r="G1961" s="55" t="s">
        <v>25</v>
      </c>
      <c r="H1961" s="55" t="s">
        <v>34</v>
      </c>
      <c r="I1961" s="63">
        <v>44440</v>
      </c>
      <c r="J1961" s="64">
        <f>EFEITO!$J$1961*EFEITO!$Y$1961</f>
        <v>0</v>
      </c>
      <c r="K1961" s="64">
        <f ca="1">EFEITO!$L$1961*EFEITO!$Z$1961</f>
        <v>2584.0483839147191</v>
      </c>
      <c r="L1961" s="64">
        <f>EFEITO!$N$1961*EFEITO!$AA$1961</f>
        <v>964.77706164304732</v>
      </c>
      <c r="M1961" s="64">
        <f>$J$1961-EFEITO!$K$1961*EFEITO!$Y$1961</f>
        <v>0</v>
      </c>
      <c r="N1961" s="64">
        <f ca="1">$K$1961-EFEITO!$M$1961*EFEITO!$Z$1961</f>
        <v>0</v>
      </c>
      <c r="O1961" s="64">
        <f>$L$1961-EFEITO!$O$1961*EFEITO!$AA$1961</f>
        <v>0</v>
      </c>
      <c r="P1961" s="19"/>
      <c r="Q1961" s="19"/>
      <c r="R1961" s="19"/>
      <c r="S1961" s="19"/>
      <c r="T1961" s="19"/>
      <c r="U1961" s="19"/>
      <c r="V1961" s="19"/>
      <c r="W1961" s="19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</row>
    <row r="1962" spans="1:36" ht="11.25" customHeight="1" x14ac:dyDescent="0.2">
      <c r="A1962" s="55" t="s">
        <v>28</v>
      </c>
      <c r="B1962" s="55" t="s">
        <v>37</v>
      </c>
      <c r="C1962" s="55" t="s">
        <v>33</v>
      </c>
      <c r="D1962" s="55" t="s">
        <v>43</v>
      </c>
      <c r="E1962" s="55" t="s">
        <v>25</v>
      </c>
      <c r="F1962" s="55" t="s">
        <v>25</v>
      </c>
      <c r="G1962" s="55" t="s">
        <v>25</v>
      </c>
      <c r="H1962" s="55" t="s">
        <v>34</v>
      </c>
      <c r="I1962" s="63">
        <v>44440</v>
      </c>
      <c r="J1962" s="64">
        <f>EFEITO!$J$1962*EFEITO!$Y$1962</f>
        <v>0</v>
      </c>
      <c r="K1962" s="64">
        <f ca="1">EFEITO!$L$1962*EFEITO!$Z$1962</f>
        <v>1033.4263701167529</v>
      </c>
      <c r="L1962" s="64">
        <f>EFEITO!$N$1962*EFEITO!$AA$1962</f>
        <v>385.83877259884378</v>
      </c>
      <c r="M1962" s="64">
        <f>$J$1962-EFEITO!$K$1962*EFEITO!$Y$1962</f>
        <v>0</v>
      </c>
      <c r="N1962" s="64">
        <f ca="1">$K$1962-EFEITO!$M$1962*EFEITO!$Z$1962</f>
        <v>0</v>
      </c>
      <c r="O1962" s="64">
        <f>$L$1962-EFEITO!$O$1962*EFEITO!$AA$1962</f>
        <v>0</v>
      </c>
      <c r="P1962" s="19"/>
      <c r="Q1962" s="19"/>
      <c r="R1962" s="19"/>
      <c r="S1962" s="19"/>
      <c r="T1962" s="19"/>
      <c r="U1962" s="19"/>
      <c r="V1962" s="19"/>
      <c r="W1962" s="19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</row>
    <row r="1963" spans="1:36" ht="11.25" customHeight="1" x14ac:dyDescent="0.2">
      <c r="A1963" s="55" t="s">
        <v>21</v>
      </c>
      <c r="B1963" s="55" t="s">
        <v>37</v>
      </c>
      <c r="C1963" s="55" t="s">
        <v>33</v>
      </c>
      <c r="D1963" s="55" t="s">
        <v>43</v>
      </c>
      <c r="E1963" s="55" t="s">
        <v>25</v>
      </c>
      <c r="F1963" s="55" t="s">
        <v>25</v>
      </c>
      <c r="G1963" s="55" t="s">
        <v>25</v>
      </c>
      <c r="H1963" s="55" t="s">
        <v>34</v>
      </c>
      <c r="I1963" s="63">
        <v>44470</v>
      </c>
      <c r="J1963" s="64">
        <f>EFEITO!$J$1963*EFEITO!$Y$1963</f>
        <v>0</v>
      </c>
      <c r="K1963" s="64">
        <f ca="1">EFEITO!$L$1963*EFEITO!$Z$1963</f>
        <v>2903.4359922327822</v>
      </c>
      <c r="L1963" s="64">
        <f>EFEITO!$N$1963*EFEITO!$AA$1963</f>
        <v>1084.0232182538946</v>
      </c>
      <c r="M1963" s="64">
        <f>$J$1963-EFEITO!$K$1963*EFEITO!$Y$1963</f>
        <v>0</v>
      </c>
      <c r="N1963" s="64">
        <f ca="1">$K$1963-EFEITO!$M$1963*EFEITO!$Z$1963</f>
        <v>0</v>
      </c>
      <c r="O1963" s="64">
        <f>$L$1963-EFEITO!$O$1963*EFEITO!$AA$1963</f>
        <v>0</v>
      </c>
      <c r="P1963" s="19"/>
      <c r="Q1963" s="19"/>
      <c r="R1963" s="19"/>
      <c r="S1963" s="19"/>
      <c r="T1963" s="19"/>
      <c r="U1963" s="19"/>
      <c r="V1963" s="19"/>
      <c r="W1963" s="19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</row>
    <row r="1964" spans="1:36" ht="11.25" customHeight="1" x14ac:dyDescent="0.2">
      <c r="A1964" s="55" t="s">
        <v>28</v>
      </c>
      <c r="B1964" s="55" t="s">
        <v>37</v>
      </c>
      <c r="C1964" s="55" t="s">
        <v>33</v>
      </c>
      <c r="D1964" s="55" t="s">
        <v>43</v>
      </c>
      <c r="E1964" s="55" t="s">
        <v>25</v>
      </c>
      <c r="F1964" s="55" t="s">
        <v>25</v>
      </c>
      <c r="G1964" s="55" t="s">
        <v>25</v>
      </c>
      <c r="H1964" s="55" t="s">
        <v>34</v>
      </c>
      <c r="I1964" s="63">
        <v>44470</v>
      </c>
      <c r="J1964" s="64">
        <f>EFEITO!$J$1964*EFEITO!$Y$1964</f>
        <v>0</v>
      </c>
      <c r="K1964" s="64">
        <f ca="1">EFEITO!$L$1964*EFEITO!$Z$1964</f>
        <v>1168.5147845110998</v>
      </c>
      <c r="L1964" s="64">
        <f>EFEITO!$N$1964*EFEITO!$AA$1964</f>
        <v>436.27521346143777</v>
      </c>
      <c r="M1964" s="64">
        <f>$J$1964-EFEITO!$K$1964*EFEITO!$Y$1964</f>
        <v>0</v>
      </c>
      <c r="N1964" s="64">
        <f ca="1">$K$1964-EFEITO!$M$1964*EFEITO!$Z$1964</f>
        <v>0</v>
      </c>
      <c r="O1964" s="64">
        <f>$L$1964-EFEITO!$O$1964*EFEITO!$AA$1964</f>
        <v>0</v>
      </c>
      <c r="P1964" s="19"/>
      <c r="Q1964" s="19"/>
      <c r="R1964" s="19"/>
      <c r="S1964" s="19"/>
      <c r="T1964" s="19"/>
      <c r="U1964" s="19"/>
      <c r="V1964" s="19"/>
      <c r="W1964" s="19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</row>
    <row r="1965" spans="1:36" ht="11.25" customHeight="1" x14ac:dyDescent="0.2">
      <c r="A1965" s="55" t="s">
        <v>21</v>
      </c>
      <c r="B1965" s="55" t="s">
        <v>37</v>
      </c>
      <c r="C1965" s="55" t="s">
        <v>33</v>
      </c>
      <c r="D1965" s="55" t="s">
        <v>43</v>
      </c>
      <c r="E1965" s="55" t="s">
        <v>25</v>
      </c>
      <c r="F1965" s="55" t="s">
        <v>25</v>
      </c>
      <c r="G1965" s="55" t="s">
        <v>25</v>
      </c>
      <c r="H1965" s="55" t="s">
        <v>34</v>
      </c>
      <c r="I1965" s="63">
        <v>44501</v>
      </c>
      <c r="J1965" s="64">
        <f>EFEITO!$J$1965*EFEITO!$Y$1965</f>
        <v>0</v>
      </c>
      <c r="K1965" s="64">
        <f ca="1">EFEITO!$L$1965*EFEITO!$Z$1965</f>
        <v>3241.157028218649</v>
      </c>
      <c r="L1965" s="64">
        <f>EFEITO!$N$1965*EFEITO!$AA$1965</f>
        <v>1210.1143204103794</v>
      </c>
      <c r="M1965" s="64">
        <f>$J$1965-EFEITO!$K$1965*EFEITO!$Y$1965</f>
        <v>0</v>
      </c>
      <c r="N1965" s="64">
        <f ca="1">$K$1965-EFEITO!$M$1965*EFEITO!$Z$1965</f>
        <v>0</v>
      </c>
      <c r="O1965" s="64">
        <f>$L$1965-EFEITO!$O$1965*EFEITO!$AA$1965</f>
        <v>0</v>
      </c>
      <c r="P1965" s="19"/>
      <c r="Q1965" s="19"/>
      <c r="R1965" s="19"/>
      <c r="S1965" s="19"/>
      <c r="T1965" s="19"/>
      <c r="U1965" s="19"/>
      <c r="V1965" s="19"/>
      <c r="W1965" s="19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</row>
    <row r="1966" spans="1:36" ht="11.25" customHeight="1" x14ac:dyDescent="0.2">
      <c r="A1966" s="55" t="s">
        <v>28</v>
      </c>
      <c r="B1966" s="55" t="s">
        <v>37</v>
      </c>
      <c r="C1966" s="55" t="s">
        <v>33</v>
      </c>
      <c r="D1966" s="55" t="s">
        <v>43</v>
      </c>
      <c r="E1966" s="55" t="s">
        <v>25</v>
      </c>
      <c r="F1966" s="55" t="s">
        <v>25</v>
      </c>
      <c r="G1966" s="55" t="s">
        <v>25</v>
      </c>
      <c r="H1966" s="55" t="s">
        <v>34</v>
      </c>
      <c r="I1966" s="63">
        <v>44501</v>
      </c>
      <c r="J1966" s="64">
        <f>EFEITO!$J$1966*EFEITO!$Y$1966</f>
        <v>0</v>
      </c>
      <c r="K1966" s="64">
        <f ca="1">EFEITO!$L$1966*EFEITO!$Z$1966</f>
        <v>1297.8136954314032</v>
      </c>
      <c r="L1966" s="64">
        <f>EFEITO!$N$1966*EFEITO!$AA$1966</f>
        <v>484.55009257277771</v>
      </c>
      <c r="M1966" s="64">
        <f>$J$1966-EFEITO!$K$1966*EFEITO!$Y$1966</f>
        <v>0</v>
      </c>
      <c r="N1966" s="64">
        <f ca="1">$K$1966-EFEITO!$M$1966*EFEITO!$Z$1966</f>
        <v>0</v>
      </c>
      <c r="O1966" s="64">
        <f>$L$1966-EFEITO!$O$1966*EFEITO!$AA$1966</f>
        <v>0</v>
      </c>
      <c r="P1966" s="19"/>
      <c r="Q1966" s="19"/>
      <c r="R1966" s="19"/>
      <c r="S1966" s="19"/>
      <c r="T1966" s="19"/>
      <c r="U1966" s="19"/>
      <c r="V1966" s="19"/>
      <c r="W1966" s="19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</row>
    <row r="1967" spans="1:36" ht="11.25" customHeight="1" x14ac:dyDescent="0.2">
      <c r="A1967" s="55" t="s">
        <v>21</v>
      </c>
      <c r="B1967" s="55" t="s">
        <v>37</v>
      </c>
      <c r="C1967" s="55" t="s">
        <v>33</v>
      </c>
      <c r="D1967" s="55" t="s">
        <v>43</v>
      </c>
      <c r="E1967" s="55" t="s">
        <v>25</v>
      </c>
      <c r="F1967" s="55" t="s">
        <v>25</v>
      </c>
      <c r="G1967" s="55" t="s">
        <v>25</v>
      </c>
      <c r="H1967" s="55" t="s">
        <v>34</v>
      </c>
      <c r="I1967" s="63">
        <v>44531</v>
      </c>
      <c r="J1967" s="64">
        <f>EFEITO!$J$1967*EFEITO!$Y$1967</f>
        <v>0</v>
      </c>
      <c r="K1967" s="64">
        <f ca="1">EFEITO!$L$1967*EFEITO!$Z$1967</f>
        <v>3681.1592922459499</v>
      </c>
      <c r="L1967" s="64">
        <f>EFEITO!$N$1967*EFEITO!$AA$1967</f>
        <v>1374.3930135056855</v>
      </c>
      <c r="M1967" s="64">
        <f>$J$1967-EFEITO!$K$1967*EFEITO!$Y$1967</f>
        <v>0</v>
      </c>
      <c r="N1967" s="64">
        <f ca="1">$K$1967-EFEITO!$M$1967*EFEITO!$Z$1967</f>
        <v>0</v>
      </c>
      <c r="O1967" s="64">
        <f>$L$1967-EFEITO!$O$1967*EFEITO!$AA$1967</f>
        <v>0</v>
      </c>
      <c r="P1967" s="19"/>
      <c r="Q1967" s="19"/>
      <c r="R1967" s="19"/>
      <c r="S1967" s="19"/>
      <c r="T1967" s="19"/>
      <c r="U1967" s="19"/>
      <c r="V1967" s="19"/>
      <c r="W1967" s="19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</row>
    <row r="1968" spans="1:36" ht="11.25" customHeight="1" x14ac:dyDescent="0.2">
      <c r="A1968" s="55" t="s">
        <v>27</v>
      </c>
      <c r="B1968" s="55" t="s">
        <v>37</v>
      </c>
      <c r="C1968" s="55" t="s">
        <v>33</v>
      </c>
      <c r="D1968" s="55" t="s">
        <v>43</v>
      </c>
      <c r="E1968" s="55" t="s">
        <v>25</v>
      </c>
      <c r="F1968" s="55" t="s">
        <v>25</v>
      </c>
      <c r="G1968" s="55" t="s">
        <v>25</v>
      </c>
      <c r="H1968" s="55" t="s">
        <v>34</v>
      </c>
      <c r="I1968" s="63">
        <v>44531</v>
      </c>
      <c r="J1968" s="64">
        <f>EFEITO!$J$1968*EFEITO!$Y$1968</f>
        <v>0</v>
      </c>
      <c r="K1968" s="64">
        <f ca="1">EFEITO!$L$1968*EFEITO!$Z$1968</f>
        <v>-367.63347060175806</v>
      </c>
      <c r="L1968" s="64">
        <f>EFEITO!$N$1968*EFEITO!$AA$1968</f>
        <v>-137.25917120463072</v>
      </c>
      <c r="M1968" s="64">
        <f>$J$1968-EFEITO!$K$1968*EFEITO!$Y$1968</f>
        <v>0</v>
      </c>
      <c r="N1968" s="64">
        <f ca="1">$K$1968-EFEITO!$M$1968*EFEITO!$Z$1968</f>
        <v>0</v>
      </c>
      <c r="O1968" s="64">
        <f>$L$1968-EFEITO!$O$1968*EFEITO!$AA$1968</f>
        <v>0</v>
      </c>
      <c r="P1968" s="19"/>
      <c r="Q1968" s="19"/>
      <c r="R1968" s="19"/>
      <c r="S1968" s="19"/>
      <c r="T1968" s="19"/>
      <c r="U1968" s="19"/>
      <c r="V1968" s="19"/>
      <c r="W1968" s="19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</row>
    <row r="1969" spans="1:36" ht="11.25" customHeight="1" x14ac:dyDescent="0.2">
      <c r="A1969" s="55" t="s">
        <v>28</v>
      </c>
      <c r="B1969" s="55" t="s">
        <v>37</v>
      </c>
      <c r="C1969" s="55" t="s">
        <v>33</v>
      </c>
      <c r="D1969" s="55" t="s">
        <v>43</v>
      </c>
      <c r="E1969" s="55" t="s">
        <v>25</v>
      </c>
      <c r="F1969" s="55" t="s">
        <v>25</v>
      </c>
      <c r="G1969" s="55" t="s">
        <v>25</v>
      </c>
      <c r="H1969" s="55" t="s">
        <v>34</v>
      </c>
      <c r="I1969" s="63">
        <v>44531</v>
      </c>
      <c r="J1969" s="64">
        <f>EFEITO!$J$1969*EFEITO!$Y$1969</f>
        <v>0</v>
      </c>
      <c r="K1969" s="64">
        <f ca="1">EFEITO!$L$1969*EFEITO!$Z$1969</f>
        <v>1515.8849929537057</v>
      </c>
      <c r="L1969" s="64">
        <f>EFEITO!$N$1969*EFEITO!$AA$1969</f>
        <v>565.96891853667933</v>
      </c>
      <c r="M1969" s="64">
        <f>$J$1969-EFEITO!$K$1969*EFEITO!$Y$1969</f>
        <v>0</v>
      </c>
      <c r="N1969" s="64">
        <f ca="1">$K$1969-EFEITO!$M$1969*EFEITO!$Z$1969</f>
        <v>0</v>
      </c>
      <c r="O1969" s="64">
        <f>$L$1969-EFEITO!$O$1969*EFEITO!$AA$1969</f>
        <v>0</v>
      </c>
      <c r="P1969" s="19"/>
      <c r="Q1969" s="19"/>
      <c r="R1969" s="19"/>
      <c r="S1969" s="19"/>
      <c r="T1969" s="19"/>
      <c r="U1969" s="19"/>
      <c r="V1969" s="19"/>
      <c r="W1969" s="19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</row>
    <row r="1970" spans="1:36" ht="11.25" customHeight="1" x14ac:dyDescent="0.2">
      <c r="A1970" s="55" t="s">
        <v>21</v>
      </c>
      <c r="B1970" s="55" t="s">
        <v>37</v>
      </c>
      <c r="C1970" s="55" t="s">
        <v>33</v>
      </c>
      <c r="D1970" s="55" t="s">
        <v>43</v>
      </c>
      <c r="E1970" s="55" t="s">
        <v>25</v>
      </c>
      <c r="F1970" s="55" t="s">
        <v>25</v>
      </c>
      <c r="G1970" s="55" t="s">
        <v>25</v>
      </c>
      <c r="H1970" s="55" t="s">
        <v>34</v>
      </c>
      <c r="I1970" s="63">
        <v>44562</v>
      </c>
      <c r="J1970" s="64">
        <f>EFEITO!$J$1970*EFEITO!$Y$1970</f>
        <v>0</v>
      </c>
      <c r="K1970" s="64">
        <f ca="1">EFEITO!$L$1970*EFEITO!$Z$1970</f>
        <v>4188.7057634704242</v>
      </c>
      <c r="L1970" s="64">
        <f>EFEITO!$N$1970*EFEITO!$AA$1970</f>
        <v>1563.8899270322886</v>
      </c>
      <c r="M1970" s="64">
        <f>$J$1970-EFEITO!$K$1970*EFEITO!$Y$1970</f>
        <v>0</v>
      </c>
      <c r="N1970" s="64">
        <f ca="1">$K$1970-EFEITO!$M$1970*EFEITO!$Z$1970</f>
        <v>0</v>
      </c>
      <c r="O1970" s="64">
        <f>$L$1970-EFEITO!$O$1970*EFEITO!$AA$1970</f>
        <v>0</v>
      </c>
      <c r="P1970" s="19"/>
      <c r="Q1970" s="19"/>
      <c r="R1970" s="19"/>
      <c r="S1970" s="19"/>
      <c r="T1970" s="19"/>
      <c r="U1970" s="19"/>
      <c r="V1970" s="19"/>
      <c r="W1970" s="19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</row>
    <row r="1971" spans="1:36" ht="11.25" customHeight="1" x14ac:dyDescent="0.2">
      <c r="A1971" s="55" t="s">
        <v>27</v>
      </c>
      <c r="B1971" s="55" t="s">
        <v>37</v>
      </c>
      <c r="C1971" s="55" t="s">
        <v>33</v>
      </c>
      <c r="D1971" s="55" t="s">
        <v>43</v>
      </c>
      <c r="E1971" s="55" t="s">
        <v>25</v>
      </c>
      <c r="F1971" s="55" t="s">
        <v>25</v>
      </c>
      <c r="G1971" s="55" t="s">
        <v>25</v>
      </c>
      <c r="H1971" s="55" t="s">
        <v>34</v>
      </c>
      <c r="I1971" s="63">
        <v>44562</v>
      </c>
      <c r="J1971" s="64">
        <f>EFEITO!$J$1971*EFEITO!$Y$1971</f>
        <v>0</v>
      </c>
      <c r="K1971" s="64">
        <f ca="1">EFEITO!$L$1971*EFEITO!$Z$1971</f>
        <v>0.96491724567390569</v>
      </c>
      <c r="L1971" s="64">
        <f>EFEITO!$N$1971*EFEITO!$AA$1971</f>
        <v>0.36026029187567116</v>
      </c>
      <c r="M1971" s="64">
        <f>$J$1971-EFEITO!$K$1971*EFEITO!$Y$1971</f>
        <v>0</v>
      </c>
      <c r="N1971" s="64">
        <f ca="1">$K$1971-EFEITO!$M$1971*EFEITO!$Z$1971</f>
        <v>0</v>
      </c>
      <c r="O1971" s="64">
        <f>$L$1971-EFEITO!$O$1971*EFEITO!$AA$1971</f>
        <v>0</v>
      </c>
      <c r="P1971" s="19"/>
      <c r="Q1971" s="19"/>
      <c r="R1971" s="19"/>
      <c r="S1971" s="19"/>
      <c r="T1971" s="19"/>
      <c r="U1971" s="19"/>
      <c r="V1971" s="19"/>
      <c r="W1971" s="19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</row>
    <row r="1972" spans="1:36" ht="11.25" customHeight="1" x14ac:dyDescent="0.2">
      <c r="A1972" s="55" t="s">
        <v>28</v>
      </c>
      <c r="B1972" s="55" t="s">
        <v>37</v>
      </c>
      <c r="C1972" s="55" t="s">
        <v>33</v>
      </c>
      <c r="D1972" s="55" t="s">
        <v>43</v>
      </c>
      <c r="E1972" s="55" t="s">
        <v>25</v>
      </c>
      <c r="F1972" s="55" t="s">
        <v>25</v>
      </c>
      <c r="G1972" s="55" t="s">
        <v>25</v>
      </c>
      <c r="H1972" s="55" t="s">
        <v>34</v>
      </c>
      <c r="I1972" s="63">
        <v>44562</v>
      </c>
      <c r="J1972" s="64">
        <f>EFEITO!$J$1972*EFEITO!$Y$1972</f>
        <v>0</v>
      </c>
      <c r="K1972" s="64">
        <f ca="1">EFEITO!$L$1972*EFEITO!$Z$1972</f>
        <v>1129.9180946841436</v>
      </c>
      <c r="L1972" s="64">
        <f>EFEITO!$N$1972*EFEITO!$AA$1972</f>
        <v>421.86480178641096</v>
      </c>
      <c r="M1972" s="64">
        <f>$J$1972-EFEITO!$K$1972*EFEITO!$Y$1972</f>
        <v>0</v>
      </c>
      <c r="N1972" s="64">
        <f ca="1">$K$1972-EFEITO!$M$1972*EFEITO!$Z$1972</f>
        <v>0</v>
      </c>
      <c r="O1972" s="64">
        <f>$L$1972-EFEITO!$O$1972*EFEITO!$AA$1972</f>
        <v>0</v>
      </c>
      <c r="P1972" s="19"/>
      <c r="Q1972" s="19"/>
      <c r="R1972" s="19"/>
      <c r="S1972" s="19"/>
      <c r="T1972" s="19"/>
      <c r="U1972" s="19"/>
      <c r="V1972" s="19"/>
      <c r="W1972" s="19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</row>
    <row r="1973" spans="1:36" ht="11.25" customHeight="1" x14ac:dyDescent="0.2">
      <c r="A1973" s="55" t="s">
        <v>28</v>
      </c>
      <c r="B1973" s="55" t="s">
        <v>37</v>
      </c>
      <c r="C1973" s="55" t="s">
        <v>33</v>
      </c>
      <c r="D1973" s="55" t="s">
        <v>43</v>
      </c>
      <c r="E1973" s="55" t="s">
        <v>25</v>
      </c>
      <c r="F1973" s="55" t="s">
        <v>25</v>
      </c>
      <c r="G1973" s="55" t="s">
        <v>25</v>
      </c>
      <c r="H1973" s="55" t="s">
        <v>34</v>
      </c>
      <c r="I1973" s="63">
        <v>44562</v>
      </c>
      <c r="J1973" s="64">
        <f>EFEITO!$J$1973*EFEITO!$Y$1973</f>
        <v>0</v>
      </c>
      <c r="K1973" s="64">
        <f ca="1">EFEITO!$L$1973*EFEITO!$Z$1973</f>
        <v>-750.70561713429868</v>
      </c>
      <c r="L1973" s="64">
        <f>EFEITO!$N$1973*EFEITO!$AA$1973</f>
        <v>-280.28250707927219</v>
      </c>
      <c r="M1973" s="64">
        <f>$J$1973-EFEITO!$K$1973*EFEITO!$Y$1973</f>
        <v>0</v>
      </c>
      <c r="N1973" s="64">
        <f ca="1">$K$1973-EFEITO!$M$1973*EFEITO!$Z$1973</f>
        <v>0</v>
      </c>
      <c r="O1973" s="64">
        <f>$L$1973-EFEITO!$O$1973*EFEITO!$AA$1973</f>
        <v>0</v>
      </c>
      <c r="P1973" s="19"/>
      <c r="Q1973" s="19"/>
      <c r="R1973" s="19"/>
      <c r="S1973" s="19"/>
      <c r="T1973" s="19"/>
      <c r="U1973" s="19"/>
      <c r="V1973" s="19"/>
      <c r="W1973" s="19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</row>
    <row r="1974" spans="1:36" ht="11.25" customHeight="1" x14ac:dyDescent="0.2">
      <c r="A1974" s="55" t="s">
        <v>21</v>
      </c>
      <c r="B1974" s="55" t="s">
        <v>37</v>
      </c>
      <c r="C1974" s="55" t="s">
        <v>33</v>
      </c>
      <c r="D1974" s="55" t="s">
        <v>43</v>
      </c>
      <c r="E1974" s="55" t="s">
        <v>25</v>
      </c>
      <c r="F1974" s="55" t="s">
        <v>25</v>
      </c>
      <c r="G1974" s="55" t="s">
        <v>25</v>
      </c>
      <c r="H1974" s="55" t="s">
        <v>34</v>
      </c>
      <c r="I1974" s="63">
        <v>44593</v>
      </c>
      <c r="J1974" s="64">
        <f>EFEITO!$J$1974*EFEITO!$Y$1974</f>
        <v>0</v>
      </c>
      <c r="K1974" s="64">
        <f ca="1">EFEITO!$L$1974*EFEITO!$Z$1974</f>
        <v>4128.8808942386422</v>
      </c>
      <c r="L1974" s="64">
        <f>EFEITO!$N$1974*EFEITO!$AA$1974</f>
        <v>1541.5537889359969</v>
      </c>
      <c r="M1974" s="64">
        <f>$J$1974-EFEITO!$K$1974*EFEITO!$Y$1974</f>
        <v>0</v>
      </c>
      <c r="N1974" s="64">
        <f ca="1">$K$1974-EFEITO!$M$1974*EFEITO!$Z$1974</f>
        <v>0</v>
      </c>
      <c r="O1974" s="64">
        <f>$L$1974-EFEITO!$O$1974*EFEITO!$AA$1974</f>
        <v>0</v>
      </c>
      <c r="P1974" s="19"/>
      <c r="Q1974" s="19"/>
      <c r="R1974" s="19"/>
      <c r="S1974" s="19"/>
      <c r="T1974" s="19"/>
      <c r="U1974" s="19"/>
      <c r="V1974" s="19"/>
      <c r="W1974" s="19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</row>
    <row r="1975" spans="1:36" ht="11.25" customHeight="1" x14ac:dyDescent="0.2">
      <c r="A1975" s="55" t="s">
        <v>28</v>
      </c>
      <c r="B1975" s="55" t="s">
        <v>37</v>
      </c>
      <c r="C1975" s="55" t="s">
        <v>33</v>
      </c>
      <c r="D1975" s="55" t="s">
        <v>43</v>
      </c>
      <c r="E1975" s="55" t="s">
        <v>25</v>
      </c>
      <c r="F1975" s="55" t="s">
        <v>25</v>
      </c>
      <c r="G1975" s="55" t="s">
        <v>25</v>
      </c>
      <c r="H1975" s="55" t="s">
        <v>34</v>
      </c>
      <c r="I1975" s="63">
        <v>44593</v>
      </c>
      <c r="J1975" s="64">
        <f>EFEITO!$J$1975*EFEITO!$Y$1975</f>
        <v>0</v>
      </c>
      <c r="K1975" s="64">
        <f ca="1">EFEITO!$L$1975*EFEITO!$Z$1975</f>
        <v>725.61776874677707</v>
      </c>
      <c r="L1975" s="64">
        <f>EFEITO!$N$1975*EFEITO!$AA$1975</f>
        <v>270.91573949050473</v>
      </c>
      <c r="M1975" s="64">
        <f>$J$1975-EFEITO!$K$1975*EFEITO!$Y$1975</f>
        <v>0</v>
      </c>
      <c r="N1975" s="64">
        <f ca="1">$K$1975-EFEITO!$M$1975*EFEITO!$Z$1975</f>
        <v>0</v>
      </c>
      <c r="O1975" s="64">
        <f>$L$1975-EFEITO!$O$1975*EFEITO!$AA$1975</f>
        <v>0</v>
      </c>
      <c r="P1975" s="19"/>
      <c r="Q1975" s="19"/>
      <c r="R1975" s="19"/>
      <c r="S1975" s="19"/>
      <c r="T1975" s="19"/>
      <c r="U1975" s="19"/>
      <c r="V1975" s="19"/>
      <c r="W1975" s="19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</row>
    <row r="1976" spans="1:36" ht="11.25" customHeight="1" x14ac:dyDescent="0.2">
      <c r="A1976" s="55" t="s">
        <v>21</v>
      </c>
      <c r="B1976" s="55" t="s">
        <v>37</v>
      </c>
      <c r="C1976" s="55" t="s">
        <v>33</v>
      </c>
      <c r="D1976" s="55" t="s">
        <v>43</v>
      </c>
      <c r="E1976" s="55" t="s">
        <v>25</v>
      </c>
      <c r="F1976" s="55" t="s">
        <v>25</v>
      </c>
      <c r="G1976" s="55" t="s">
        <v>25</v>
      </c>
      <c r="H1976" s="55" t="s">
        <v>34</v>
      </c>
      <c r="I1976" s="63">
        <v>44621</v>
      </c>
      <c r="J1976" s="64">
        <f>EFEITO!$J$1976*EFEITO!$Y$1976</f>
        <v>0</v>
      </c>
      <c r="K1976" s="64">
        <f ca="1">EFEITO!$L$1976*EFEITO!$Z$1976</f>
        <v>4970.2887324662879</v>
      </c>
      <c r="L1976" s="64">
        <f>EFEITO!$N$1976*EFEITO!$AA$1976</f>
        <v>1855.7007634515821</v>
      </c>
      <c r="M1976" s="64">
        <f>$J$1976-EFEITO!$K$1976*EFEITO!$Y$1976</f>
        <v>0</v>
      </c>
      <c r="N1976" s="64">
        <f ca="1">$K$1976-EFEITO!$M$1976*EFEITO!$Z$1976</f>
        <v>0</v>
      </c>
      <c r="O1976" s="64">
        <f>$L$1976-EFEITO!$O$1976*EFEITO!$AA$1976</f>
        <v>0</v>
      </c>
      <c r="P1976" s="19"/>
      <c r="Q1976" s="19"/>
      <c r="R1976" s="19"/>
      <c r="S1976" s="19"/>
      <c r="T1976" s="19"/>
      <c r="U1976" s="19"/>
      <c r="V1976" s="19"/>
      <c r="W1976" s="19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</row>
    <row r="1977" spans="1:36" ht="11.25" customHeight="1" x14ac:dyDescent="0.2">
      <c r="A1977" s="55" t="s">
        <v>28</v>
      </c>
      <c r="B1977" s="55" t="s">
        <v>37</v>
      </c>
      <c r="C1977" s="55" t="s">
        <v>33</v>
      </c>
      <c r="D1977" s="55" t="s">
        <v>43</v>
      </c>
      <c r="E1977" s="55" t="s">
        <v>25</v>
      </c>
      <c r="F1977" s="55" t="s">
        <v>25</v>
      </c>
      <c r="G1977" s="55" t="s">
        <v>25</v>
      </c>
      <c r="H1977" s="55" t="s">
        <v>34</v>
      </c>
      <c r="I1977" s="63">
        <v>44621</v>
      </c>
      <c r="J1977" s="64">
        <f>EFEITO!$J$1977*EFEITO!$Y$1977</f>
        <v>0</v>
      </c>
      <c r="K1977" s="64">
        <f ca="1">EFEITO!$L$1977*EFEITO!$Z$1977</f>
        <v>1059.4791357499485</v>
      </c>
      <c r="L1977" s="64">
        <f>EFEITO!$N$1977*EFEITO!$AA$1977</f>
        <v>395.56580047948694</v>
      </c>
      <c r="M1977" s="64">
        <f>$J$1977-EFEITO!$K$1977*EFEITO!$Y$1977</f>
        <v>0</v>
      </c>
      <c r="N1977" s="64">
        <f ca="1">$K$1977-EFEITO!$M$1977*EFEITO!$Z$1977</f>
        <v>0</v>
      </c>
      <c r="O1977" s="64">
        <f>$L$1977-EFEITO!$O$1977*EFEITO!$AA$1977</f>
        <v>0</v>
      </c>
      <c r="P1977" s="19"/>
      <c r="Q1977" s="19"/>
      <c r="R1977" s="19"/>
      <c r="S1977" s="19"/>
      <c r="T1977" s="19"/>
      <c r="U1977" s="19"/>
      <c r="V1977" s="19"/>
      <c r="W1977" s="19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</row>
    <row r="1978" spans="1:36" ht="11.25" customHeight="1" x14ac:dyDescent="0.2">
      <c r="A1978" s="55" t="s">
        <v>21</v>
      </c>
      <c r="B1978" s="55" t="s">
        <v>37</v>
      </c>
      <c r="C1978" s="55" t="s">
        <v>33</v>
      </c>
      <c r="D1978" s="55" t="s">
        <v>43</v>
      </c>
      <c r="E1978" s="55" t="s">
        <v>25</v>
      </c>
      <c r="F1978" s="55" t="s">
        <v>25</v>
      </c>
      <c r="G1978" s="55" t="s">
        <v>25</v>
      </c>
      <c r="H1978" s="55" t="s">
        <v>34</v>
      </c>
      <c r="I1978" s="63">
        <v>44652</v>
      </c>
      <c r="J1978" s="64">
        <f>EFEITO!$J$1978*EFEITO!$Y$1978</f>
        <v>0</v>
      </c>
      <c r="K1978" s="64">
        <f ca="1">EFEITO!$L$1978*EFEITO!$Z$1978</f>
        <v>3851.9496447302313</v>
      </c>
      <c r="L1978" s="64">
        <f>EFEITO!$N$1978*EFEITO!$AA$1978</f>
        <v>1438.1590851676792</v>
      </c>
      <c r="M1978" s="64">
        <f>$J$1978-EFEITO!$K$1978*EFEITO!$Y$1978</f>
        <v>0</v>
      </c>
      <c r="N1978" s="64">
        <f ca="1">$K$1978-EFEITO!$M$1978*EFEITO!$Z$1978</f>
        <v>0</v>
      </c>
      <c r="O1978" s="64">
        <f>$L$1978-EFEITO!$O$1978*EFEITO!$AA$1978</f>
        <v>0</v>
      </c>
      <c r="P1978" s="19"/>
      <c r="Q1978" s="19"/>
      <c r="R1978" s="19"/>
      <c r="S1978" s="19"/>
      <c r="T1978" s="19"/>
      <c r="U1978" s="19"/>
      <c r="V1978" s="19"/>
      <c r="W1978" s="19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</row>
    <row r="1979" spans="1:36" ht="11.25" customHeight="1" x14ac:dyDescent="0.2">
      <c r="A1979" s="55" t="s">
        <v>28</v>
      </c>
      <c r="B1979" s="55" t="s">
        <v>37</v>
      </c>
      <c r="C1979" s="55" t="s">
        <v>33</v>
      </c>
      <c r="D1979" s="55" t="s">
        <v>43</v>
      </c>
      <c r="E1979" s="55" t="s">
        <v>25</v>
      </c>
      <c r="F1979" s="55" t="s">
        <v>25</v>
      </c>
      <c r="G1979" s="55" t="s">
        <v>25</v>
      </c>
      <c r="H1979" s="55" t="s">
        <v>34</v>
      </c>
      <c r="I1979" s="63">
        <v>44652</v>
      </c>
      <c r="J1979" s="64">
        <f>EFEITO!$J$1979*EFEITO!$Y$1979</f>
        <v>0</v>
      </c>
      <c r="K1979" s="64">
        <f ca="1">EFEITO!$L$1979*EFEITO!$Z$1979</f>
        <v>863.60093487814561</v>
      </c>
      <c r="L1979" s="64">
        <f>EFEITO!$N$1979*EFEITO!$AA$1979</f>
        <v>322.43296122872567</v>
      </c>
      <c r="M1979" s="64">
        <f>$J$1979-EFEITO!$K$1979*EFEITO!$Y$1979</f>
        <v>0</v>
      </c>
      <c r="N1979" s="64">
        <f ca="1">$K$1979-EFEITO!$M$1979*EFEITO!$Z$1979</f>
        <v>0</v>
      </c>
      <c r="O1979" s="64">
        <f>$L$1979-EFEITO!$O$1979*EFEITO!$AA$1979</f>
        <v>0</v>
      </c>
      <c r="P1979" s="19"/>
      <c r="Q1979" s="19"/>
      <c r="R1979" s="19"/>
      <c r="S1979" s="19"/>
      <c r="T1979" s="19"/>
      <c r="U1979" s="19"/>
      <c r="V1979" s="19"/>
      <c r="W1979" s="19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</row>
    <row r="1980" spans="1:36" ht="11.25" customHeight="1" x14ac:dyDescent="0.2">
      <c r="A1980" s="55" t="s">
        <v>21</v>
      </c>
      <c r="B1980" s="55" t="s">
        <v>37</v>
      </c>
      <c r="C1980" s="55" t="s">
        <v>33</v>
      </c>
      <c r="D1980" s="55" t="s">
        <v>43</v>
      </c>
      <c r="E1980" s="55" t="s">
        <v>25</v>
      </c>
      <c r="F1980" s="55" t="s">
        <v>25</v>
      </c>
      <c r="G1980" s="55" t="s">
        <v>25</v>
      </c>
      <c r="H1980" s="55" t="s">
        <v>34</v>
      </c>
      <c r="I1980" s="63">
        <v>44682</v>
      </c>
      <c r="J1980" s="64">
        <f>EFEITO!$J$1980*EFEITO!$Y$1980</f>
        <v>0</v>
      </c>
      <c r="K1980" s="64">
        <f ca="1">EFEITO!$L$1980*EFEITO!$Z$1980</f>
        <v>3778.6159340590143</v>
      </c>
      <c r="L1980" s="64">
        <f>EFEITO!$N$1980*EFEITO!$AA$1980</f>
        <v>1410.7793029851282</v>
      </c>
      <c r="M1980" s="64">
        <f>$J$1980-EFEITO!$K$1980*EFEITO!$Y$1980</f>
        <v>0</v>
      </c>
      <c r="N1980" s="64">
        <f ca="1">$K$1980-EFEITO!$M$1980*EFEITO!$Z$1980</f>
        <v>0</v>
      </c>
      <c r="O1980" s="64">
        <f>$L$1980-EFEITO!$O$1980*EFEITO!$AA$1980</f>
        <v>0</v>
      </c>
      <c r="P1980" s="19"/>
      <c r="Q1980" s="19"/>
      <c r="R1980" s="19"/>
      <c r="S1980" s="19"/>
      <c r="T1980" s="19"/>
      <c r="U1980" s="19"/>
      <c r="V1980" s="19"/>
      <c r="W1980" s="19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</row>
    <row r="1981" spans="1:36" ht="11.25" customHeight="1" x14ac:dyDescent="0.2">
      <c r="A1981" s="55" t="s">
        <v>28</v>
      </c>
      <c r="B1981" s="55" t="s">
        <v>37</v>
      </c>
      <c r="C1981" s="55" t="s">
        <v>33</v>
      </c>
      <c r="D1981" s="55" t="s">
        <v>43</v>
      </c>
      <c r="E1981" s="55" t="s">
        <v>25</v>
      </c>
      <c r="F1981" s="55" t="s">
        <v>25</v>
      </c>
      <c r="G1981" s="55" t="s">
        <v>25</v>
      </c>
      <c r="H1981" s="55" t="s">
        <v>34</v>
      </c>
      <c r="I1981" s="63">
        <v>44682</v>
      </c>
      <c r="J1981" s="64">
        <f>EFEITO!$J$1981*EFEITO!$Y$1981</f>
        <v>0</v>
      </c>
      <c r="K1981" s="64">
        <f ca="1">EFEITO!$L$1981*EFEITO!$Z$1981</f>
        <v>523.95006440093084</v>
      </c>
      <c r="L1981" s="64">
        <f>EFEITO!$N$1981*EFEITO!$AA$1981</f>
        <v>195.62133848848944</v>
      </c>
      <c r="M1981" s="64">
        <f>$J$1981-EFEITO!$K$1981*EFEITO!$Y$1981</f>
        <v>0</v>
      </c>
      <c r="N1981" s="64">
        <f ca="1">$K$1981-EFEITO!$M$1981*EFEITO!$Z$1981</f>
        <v>0</v>
      </c>
      <c r="O1981" s="64">
        <f>$L$1981-EFEITO!$O$1981*EFEITO!$AA$1981</f>
        <v>0</v>
      </c>
      <c r="P1981" s="19"/>
      <c r="Q1981" s="19"/>
      <c r="R1981" s="19"/>
      <c r="S1981" s="19"/>
      <c r="T1981" s="19"/>
      <c r="U1981" s="19"/>
      <c r="V1981" s="19"/>
      <c r="W1981" s="19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</row>
    <row r="1982" spans="1:36" ht="11.25" customHeight="1" x14ac:dyDescent="0.2">
      <c r="A1982" s="55" t="s">
        <v>21</v>
      </c>
      <c r="B1982" s="55" t="s">
        <v>37</v>
      </c>
      <c r="C1982" s="55" t="s">
        <v>33</v>
      </c>
      <c r="D1982" s="55" t="s">
        <v>43</v>
      </c>
      <c r="E1982" s="55" t="s">
        <v>25</v>
      </c>
      <c r="F1982" s="55" t="s">
        <v>25</v>
      </c>
      <c r="G1982" s="55" t="s">
        <v>25</v>
      </c>
      <c r="H1982" s="55" t="s">
        <v>34</v>
      </c>
      <c r="I1982" s="63">
        <v>44713</v>
      </c>
      <c r="J1982" s="64">
        <f>EFEITO!$J$1982*EFEITO!$Y$1982</f>
        <v>0</v>
      </c>
      <c r="K1982" s="64">
        <f ca="1">EFEITO!$L$1982*EFEITO!$Z$1982</f>
        <v>3456.3335740039297</v>
      </c>
      <c r="L1982" s="64">
        <f>EFEITO!$N$1982*EFEITO!$AA$1982</f>
        <v>1290.452365498654</v>
      </c>
      <c r="M1982" s="64">
        <f>$J$1982-EFEITO!$K$1982*EFEITO!$Y$1982</f>
        <v>0</v>
      </c>
      <c r="N1982" s="64">
        <f ca="1">$K$1982-EFEITO!$M$1982*EFEITO!$Z$1982</f>
        <v>0</v>
      </c>
      <c r="O1982" s="64">
        <f>$L$1982-EFEITO!$O$1982*EFEITO!$AA$1982</f>
        <v>0</v>
      </c>
      <c r="P1982" s="19"/>
      <c r="Q1982" s="19"/>
      <c r="R1982" s="19"/>
      <c r="S1982" s="19"/>
      <c r="T1982" s="19"/>
      <c r="U1982" s="19"/>
      <c r="V1982" s="19"/>
      <c r="W1982" s="19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</row>
    <row r="1983" spans="1:36" ht="11.25" customHeight="1" x14ac:dyDescent="0.2">
      <c r="A1983" s="55" t="s">
        <v>27</v>
      </c>
      <c r="B1983" s="55" t="s">
        <v>37</v>
      </c>
      <c r="C1983" s="55" t="s">
        <v>33</v>
      </c>
      <c r="D1983" s="55" t="s">
        <v>43</v>
      </c>
      <c r="E1983" s="55" t="s">
        <v>25</v>
      </c>
      <c r="F1983" s="55" t="s">
        <v>25</v>
      </c>
      <c r="G1983" s="55" t="s">
        <v>25</v>
      </c>
      <c r="H1983" s="55" t="s">
        <v>34</v>
      </c>
      <c r="I1983" s="63">
        <v>44713</v>
      </c>
      <c r="J1983" s="64">
        <f>EFEITO!$J$1983*EFEITO!$Y$1983</f>
        <v>0</v>
      </c>
      <c r="K1983" s="64">
        <f ca="1">EFEITO!$L$1983*EFEITO!$Z$1983</f>
        <v>121.57957295491211</v>
      </c>
      <c r="L1983" s="64">
        <f>EFEITO!$N$1983*EFEITO!$AA$1983</f>
        <v>45.392796776334563</v>
      </c>
      <c r="M1983" s="64">
        <f>$J$1983-EFEITO!$K$1983*EFEITO!$Y$1983</f>
        <v>0</v>
      </c>
      <c r="N1983" s="64">
        <f ca="1">$K$1983-EFEITO!$M$1983*EFEITO!$Z$1983</f>
        <v>0</v>
      </c>
      <c r="O1983" s="64">
        <f>$L$1983-EFEITO!$O$1983*EFEITO!$AA$1983</f>
        <v>0</v>
      </c>
      <c r="P1983" s="19"/>
      <c r="Q1983" s="19"/>
      <c r="R1983" s="19"/>
      <c r="S1983" s="19"/>
      <c r="T1983" s="19"/>
      <c r="U1983" s="19"/>
      <c r="V1983" s="19"/>
      <c r="W1983" s="19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</row>
    <row r="1984" spans="1:36" ht="11.25" customHeight="1" x14ac:dyDescent="0.2">
      <c r="A1984" s="55" t="s">
        <v>28</v>
      </c>
      <c r="B1984" s="55" t="s">
        <v>37</v>
      </c>
      <c r="C1984" s="55" t="s">
        <v>33</v>
      </c>
      <c r="D1984" s="55" t="s">
        <v>43</v>
      </c>
      <c r="E1984" s="55" t="s">
        <v>25</v>
      </c>
      <c r="F1984" s="55" t="s">
        <v>25</v>
      </c>
      <c r="G1984" s="55" t="s">
        <v>25</v>
      </c>
      <c r="H1984" s="55" t="s">
        <v>34</v>
      </c>
      <c r="I1984" s="63">
        <v>44713</v>
      </c>
      <c r="J1984" s="64">
        <f>EFEITO!$J$1984*EFEITO!$Y$1984</f>
        <v>0</v>
      </c>
      <c r="K1984" s="64">
        <f ca="1">EFEITO!$L$1984*EFEITO!$Z$1984</f>
        <v>511.40614020717004</v>
      </c>
      <c r="L1984" s="64">
        <f>EFEITO!$N$1984*EFEITO!$AA$1984</f>
        <v>190.93795469410571</v>
      </c>
      <c r="M1984" s="64">
        <f>$J$1984-EFEITO!$K$1984*EFEITO!$Y$1984</f>
        <v>0</v>
      </c>
      <c r="N1984" s="64">
        <f ca="1">$K$1984-EFEITO!$M$1984*EFEITO!$Z$1984</f>
        <v>0</v>
      </c>
      <c r="O1984" s="64">
        <f>$L$1984-EFEITO!$O$1984*EFEITO!$AA$1984</f>
        <v>0</v>
      </c>
      <c r="P1984" s="19"/>
      <c r="Q1984" s="19"/>
      <c r="R1984" s="19"/>
      <c r="S1984" s="19"/>
      <c r="T1984" s="19"/>
      <c r="U1984" s="19"/>
      <c r="V1984" s="19"/>
      <c r="W1984" s="19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</row>
    <row r="1985" spans="1:36" ht="11.25" customHeight="1" x14ac:dyDescent="0.2">
      <c r="A1985" s="55" t="s">
        <v>57</v>
      </c>
      <c r="B1985" s="55" t="s">
        <v>37</v>
      </c>
      <c r="C1985" s="55" t="s">
        <v>33</v>
      </c>
      <c r="D1985" s="55" t="s">
        <v>43</v>
      </c>
      <c r="E1985" s="55" t="s">
        <v>25</v>
      </c>
      <c r="F1985" s="55" t="s">
        <v>25</v>
      </c>
      <c r="G1985" s="55" t="s">
        <v>25</v>
      </c>
      <c r="H1985" s="55" t="s">
        <v>34</v>
      </c>
      <c r="I1985" s="63">
        <v>44743</v>
      </c>
      <c r="J1985" s="64">
        <f>EFEITO!$J$1985*EFEITO!$Y$1985</f>
        <v>0</v>
      </c>
      <c r="K1985" s="64">
        <f ca="1">EFEITO!$L$1985*EFEITO!$Z$1985</f>
        <v>3456.3335740039297</v>
      </c>
      <c r="L1985" s="64">
        <f>EFEITO!$N$1985*EFEITO!$AA$1985</f>
        <v>1290.452365498654</v>
      </c>
      <c r="M1985" s="64">
        <f>$J$1985-EFEITO!$K$1985*EFEITO!$Y$1985</f>
        <v>0</v>
      </c>
      <c r="N1985" s="64">
        <f ca="1">$K$1985-EFEITO!$M$1985*EFEITO!$Z$1985</f>
        <v>0</v>
      </c>
      <c r="O1985" s="64">
        <f>$L$1985-EFEITO!$O$1985*EFEITO!$AA$1985</f>
        <v>0</v>
      </c>
      <c r="P1985" s="19"/>
      <c r="Q1985" s="19"/>
      <c r="R1985" s="19"/>
      <c r="S1985" s="19"/>
      <c r="T1985" s="19"/>
      <c r="U1985" s="19"/>
      <c r="V1985" s="19"/>
      <c r="W1985" s="19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</row>
    <row r="1986" spans="1:36" ht="11.25" customHeight="1" x14ac:dyDescent="0.2">
      <c r="A1986" s="55" t="s">
        <v>57</v>
      </c>
      <c r="B1986" s="55" t="s">
        <v>37</v>
      </c>
      <c r="C1986" s="55" t="s">
        <v>33</v>
      </c>
      <c r="D1986" s="55" t="s">
        <v>43</v>
      </c>
      <c r="E1986" s="55" t="s">
        <v>25</v>
      </c>
      <c r="F1986" s="55" t="s">
        <v>25</v>
      </c>
      <c r="G1986" s="55" t="s">
        <v>25</v>
      </c>
      <c r="H1986" s="55" t="s">
        <v>34</v>
      </c>
      <c r="I1986" s="63">
        <v>44743</v>
      </c>
      <c r="J1986" s="64">
        <f>EFEITO!$J$1986*EFEITO!$Y$1986</f>
        <v>0</v>
      </c>
      <c r="K1986" s="64">
        <f ca="1">EFEITO!$L$1986*EFEITO!$Z$1986</f>
        <v>121.57957295491211</v>
      </c>
      <c r="L1986" s="64">
        <f>EFEITO!$N$1986*EFEITO!$AA$1986</f>
        <v>45.392796776334563</v>
      </c>
      <c r="M1986" s="64">
        <f>$J$1986-EFEITO!$K$1986*EFEITO!$Y$1986</f>
        <v>0</v>
      </c>
      <c r="N1986" s="64">
        <f ca="1">$K$1986-EFEITO!$M$1986*EFEITO!$Z$1986</f>
        <v>0</v>
      </c>
      <c r="O1986" s="64">
        <f>$L$1986-EFEITO!$O$1986*EFEITO!$AA$1986</f>
        <v>0</v>
      </c>
      <c r="P1986" s="19"/>
      <c r="Q1986" s="19"/>
      <c r="R1986" s="19"/>
      <c r="S1986" s="19"/>
      <c r="T1986" s="19"/>
      <c r="U1986" s="19"/>
      <c r="V1986" s="19"/>
      <c r="W1986" s="19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</row>
    <row r="1987" spans="1:36" ht="11.25" customHeight="1" x14ac:dyDescent="0.2">
      <c r="A1987" s="55" t="s">
        <v>57</v>
      </c>
      <c r="B1987" s="55" t="s">
        <v>37</v>
      </c>
      <c r="C1987" s="55" t="s">
        <v>33</v>
      </c>
      <c r="D1987" s="55" t="s">
        <v>43</v>
      </c>
      <c r="E1987" s="55" t="s">
        <v>25</v>
      </c>
      <c r="F1987" s="55" t="s">
        <v>25</v>
      </c>
      <c r="G1987" s="55" t="s">
        <v>25</v>
      </c>
      <c r="H1987" s="55" t="s">
        <v>34</v>
      </c>
      <c r="I1987" s="63">
        <v>44743</v>
      </c>
      <c r="J1987" s="64">
        <f>EFEITO!$J$1987*EFEITO!$Y$1987</f>
        <v>0</v>
      </c>
      <c r="K1987" s="64">
        <f ca="1">EFEITO!$L$1987*EFEITO!$Z$1987</f>
        <v>511.40614020717004</v>
      </c>
      <c r="L1987" s="64">
        <f>EFEITO!$N$1987*EFEITO!$AA$1987</f>
        <v>190.93795469410571</v>
      </c>
      <c r="M1987" s="64">
        <f>$J$1987-EFEITO!$K$1987*EFEITO!$Y$1987</f>
        <v>0</v>
      </c>
      <c r="N1987" s="64">
        <f ca="1">$K$1987-EFEITO!$M$1987*EFEITO!$Z$1987</f>
        <v>0</v>
      </c>
      <c r="O1987" s="64">
        <f>$L$1987-EFEITO!$O$1987*EFEITO!$AA$1987</f>
        <v>0</v>
      </c>
      <c r="P1987" s="19"/>
      <c r="Q1987" s="19"/>
      <c r="R1987" s="19"/>
      <c r="S1987" s="19"/>
      <c r="T1987" s="19"/>
      <c r="U1987" s="19"/>
      <c r="V1987" s="19"/>
      <c r="W1987" s="19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</row>
    <row r="1988" spans="1:36" ht="11.25" customHeight="1" x14ac:dyDescent="0.2">
      <c r="A1988" s="55" t="s">
        <v>21</v>
      </c>
      <c r="B1988" s="55" t="s">
        <v>37</v>
      </c>
      <c r="C1988" s="55" t="s">
        <v>33</v>
      </c>
      <c r="D1988" s="55" t="s">
        <v>38</v>
      </c>
      <c r="E1988" s="55" t="s">
        <v>25</v>
      </c>
      <c r="F1988" s="55" t="s">
        <v>25</v>
      </c>
      <c r="G1988" s="55" t="s">
        <v>25</v>
      </c>
      <c r="H1988" s="55" t="s">
        <v>35</v>
      </c>
      <c r="I1988" s="63">
        <v>44409</v>
      </c>
      <c r="J1988" s="64">
        <f>EFEITO!$J$1988*EFEITO!$Y$1988</f>
        <v>0</v>
      </c>
      <c r="K1988" s="64">
        <f ca="1">EFEITO!$L$1988*EFEITO!$Z$1988</f>
        <v>1314.9721967902935</v>
      </c>
      <c r="L1988" s="64">
        <f>EFEITO!$N$1988*EFEITO!$AA$1988</f>
        <v>1106.2027649541744</v>
      </c>
      <c r="M1988" s="64">
        <f>$J$1988-EFEITO!$K$1988*EFEITO!$Y$1988</f>
        <v>0</v>
      </c>
      <c r="N1988" s="64">
        <f ca="1">$K$1988-EFEITO!$M$1988*EFEITO!$Z$1988</f>
        <v>0</v>
      </c>
      <c r="O1988" s="64">
        <f>$L$1988-EFEITO!$O$1988*EFEITO!$AA$1988</f>
        <v>0</v>
      </c>
      <c r="P1988" s="19"/>
      <c r="Q1988" s="19"/>
      <c r="R1988" s="19"/>
      <c r="S1988" s="19"/>
      <c r="T1988" s="19"/>
      <c r="U1988" s="19"/>
      <c r="V1988" s="19"/>
      <c r="W1988" s="19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</row>
    <row r="1989" spans="1:36" ht="11.25" customHeight="1" x14ac:dyDescent="0.2">
      <c r="A1989" s="55" t="s">
        <v>21</v>
      </c>
      <c r="B1989" s="55" t="s">
        <v>37</v>
      </c>
      <c r="C1989" s="55" t="s">
        <v>33</v>
      </c>
      <c r="D1989" s="55" t="s">
        <v>38</v>
      </c>
      <c r="E1989" s="55" t="s">
        <v>25</v>
      </c>
      <c r="F1989" s="55" t="s">
        <v>25</v>
      </c>
      <c r="G1989" s="55" t="s">
        <v>25</v>
      </c>
      <c r="H1989" s="55" t="s">
        <v>35</v>
      </c>
      <c r="I1989" s="63">
        <v>44440</v>
      </c>
      <c r="J1989" s="64">
        <f>EFEITO!$J$1989*EFEITO!$Y$1989</f>
        <v>0</v>
      </c>
      <c r="K1989" s="64">
        <f ca="1">EFEITO!$L$1989*EFEITO!$Z$1989</f>
        <v>1287.972977162083</v>
      </c>
      <c r="L1989" s="64">
        <f>EFEITO!$N$1989*EFEITO!$AA$1989</f>
        <v>1083.4900327175289</v>
      </c>
      <c r="M1989" s="64">
        <f>$J$1989-EFEITO!$K$1989*EFEITO!$Y$1989</f>
        <v>0</v>
      </c>
      <c r="N1989" s="64">
        <f ca="1">$K$1989-EFEITO!$M$1989*EFEITO!$Z$1989</f>
        <v>0</v>
      </c>
      <c r="O1989" s="64">
        <f>$L$1989-EFEITO!$O$1989*EFEITO!$AA$1989</f>
        <v>0</v>
      </c>
      <c r="P1989" s="19"/>
      <c r="Q1989" s="19"/>
      <c r="R1989" s="19"/>
      <c r="S1989" s="19"/>
      <c r="T1989" s="19"/>
      <c r="U1989" s="19"/>
      <c r="V1989" s="19"/>
      <c r="W1989" s="19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</row>
    <row r="1990" spans="1:36" ht="11.25" customHeight="1" x14ac:dyDescent="0.2">
      <c r="A1990" s="55" t="s">
        <v>21</v>
      </c>
      <c r="B1990" s="55" t="s">
        <v>37</v>
      </c>
      <c r="C1990" s="55" t="s">
        <v>33</v>
      </c>
      <c r="D1990" s="55" t="s">
        <v>38</v>
      </c>
      <c r="E1990" s="55" t="s">
        <v>25</v>
      </c>
      <c r="F1990" s="55" t="s">
        <v>25</v>
      </c>
      <c r="G1990" s="55" t="s">
        <v>25</v>
      </c>
      <c r="H1990" s="55" t="s">
        <v>35</v>
      </c>
      <c r="I1990" s="63">
        <v>44470</v>
      </c>
      <c r="J1990" s="64">
        <f>EFEITO!$J$1990*EFEITO!$Y$1990</f>
        <v>0</v>
      </c>
      <c r="K1990" s="64">
        <f ca="1">EFEITO!$L$1990*EFEITO!$Z$1990</f>
        <v>1341.4204119362957</v>
      </c>
      <c r="L1990" s="64">
        <f>EFEITO!$N$1990*EFEITO!$AA$1990</f>
        <v>1128.4519720431333</v>
      </c>
      <c r="M1990" s="64">
        <f>$J$1990-EFEITO!$K$1990*EFEITO!$Y$1990</f>
        <v>0</v>
      </c>
      <c r="N1990" s="64">
        <f ca="1">$K$1990-EFEITO!$M$1990*EFEITO!$Z$1990</f>
        <v>0</v>
      </c>
      <c r="O1990" s="64">
        <f>$L$1990-EFEITO!$O$1990*EFEITO!$AA$1990</f>
        <v>0</v>
      </c>
      <c r="P1990" s="19"/>
      <c r="Q1990" s="19"/>
      <c r="R1990" s="19"/>
      <c r="S1990" s="19"/>
      <c r="T1990" s="19"/>
      <c r="U1990" s="19"/>
      <c r="V1990" s="19"/>
      <c r="W1990" s="19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</row>
    <row r="1991" spans="1:36" ht="11.25" customHeight="1" x14ac:dyDescent="0.2">
      <c r="A1991" s="55" t="s">
        <v>21</v>
      </c>
      <c r="B1991" s="55" t="s">
        <v>37</v>
      </c>
      <c r="C1991" s="55" t="s">
        <v>33</v>
      </c>
      <c r="D1991" s="55" t="s">
        <v>38</v>
      </c>
      <c r="E1991" s="55" t="s">
        <v>25</v>
      </c>
      <c r="F1991" s="55" t="s">
        <v>25</v>
      </c>
      <c r="G1991" s="55" t="s">
        <v>25</v>
      </c>
      <c r="H1991" s="55" t="s">
        <v>35</v>
      </c>
      <c r="I1991" s="63">
        <v>44501</v>
      </c>
      <c r="J1991" s="64">
        <f>EFEITO!$J$1991*EFEITO!$Y$1991</f>
        <v>0</v>
      </c>
      <c r="K1991" s="64">
        <f ca="1">EFEITO!$L$1991*EFEITO!$Z$1991</f>
        <v>1154.3543902265517</v>
      </c>
      <c r="L1991" s="64">
        <f>EFEITO!$N$1991*EFEITO!$AA$1991</f>
        <v>971.08518440351804</v>
      </c>
      <c r="M1991" s="64">
        <f>$J$1991-EFEITO!$K$1991*EFEITO!$Y$1991</f>
        <v>0</v>
      </c>
      <c r="N1991" s="64">
        <f ca="1">$K$1991-EFEITO!$M$1991*EFEITO!$Z$1991</f>
        <v>0</v>
      </c>
      <c r="O1991" s="64">
        <f>$L$1991-EFEITO!$O$1991*EFEITO!$AA$1991</f>
        <v>0</v>
      </c>
      <c r="P1991" s="19"/>
      <c r="Q1991" s="19"/>
      <c r="R1991" s="19"/>
      <c r="S1991" s="19"/>
      <c r="T1991" s="19"/>
      <c r="U1991" s="19"/>
      <c r="V1991" s="19"/>
      <c r="W1991" s="19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</row>
    <row r="1992" spans="1:36" ht="11.25" customHeight="1" x14ac:dyDescent="0.2">
      <c r="A1992" s="55" t="s">
        <v>21</v>
      </c>
      <c r="B1992" s="55" t="s">
        <v>37</v>
      </c>
      <c r="C1992" s="55" t="s">
        <v>33</v>
      </c>
      <c r="D1992" s="55" t="s">
        <v>38</v>
      </c>
      <c r="E1992" s="55" t="s">
        <v>25</v>
      </c>
      <c r="F1992" s="55" t="s">
        <v>25</v>
      </c>
      <c r="G1992" s="55" t="s">
        <v>25</v>
      </c>
      <c r="H1992" s="55" t="s">
        <v>35</v>
      </c>
      <c r="I1992" s="63">
        <v>44531</v>
      </c>
      <c r="J1992" s="64">
        <f>EFEITO!$J$1992*EFEITO!$Y$1992</f>
        <v>0</v>
      </c>
      <c r="K1992" s="64">
        <f ca="1">EFEITO!$L$1992*EFEITO!$Z$1992</f>
        <v>1306.7071295571679</v>
      </c>
      <c r="L1992" s="64">
        <f>EFEITO!$N$1992*EFEITO!$AA$1992</f>
        <v>1099.249887738875</v>
      </c>
      <c r="M1992" s="64">
        <f>$J$1992-EFEITO!$K$1992*EFEITO!$Y$1992</f>
        <v>0</v>
      </c>
      <c r="N1992" s="64">
        <f ca="1">$K$1992-EFEITO!$M$1992*EFEITO!$Z$1992</f>
        <v>0</v>
      </c>
      <c r="O1992" s="64">
        <f>$L$1992-EFEITO!$O$1992*EFEITO!$AA$1992</f>
        <v>0</v>
      </c>
      <c r="P1992" s="19"/>
      <c r="Q1992" s="19"/>
      <c r="R1992" s="19"/>
      <c r="S1992" s="19"/>
      <c r="T1992" s="19"/>
      <c r="U1992" s="19"/>
      <c r="V1992" s="19"/>
      <c r="W1992" s="19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</row>
    <row r="1993" spans="1:36" ht="11.25" customHeight="1" x14ac:dyDescent="0.2">
      <c r="A1993" s="55" t="s">
        <v>21</v>
      </c>
      <c r="B1993" s="55" t="s">
        <v>37</v>
      </c>
      <c r="C1993" s="55" t="s">
        <v>33</v>
      </c>
      <c r="D1993" s="55" t="s">
        <v>38</v>
      </c>
      <c r="E1993" s="55" t="s">
        <v>25</v>
      </c>
      <c r="F1993" s="55" t="s">
        <v>25</v>
      </c>
      <c r="G1993" s="55" t="s">
        <v>25</v>
      </c>
      <c r="H1993" s="55" t="s">
        <v>35</v>
      </c>
      <c r="I1993" s="63">
        <v>44562</v>
      </c>
      <c r="J1993" s="64">
        <f>EFEITO!$J$1993*EFEITO!$Y$1993</f>
        <v>0</v>
      </c>
      <c r="K1993" s="64">
        <f ca="1">EFEITO!$L$1993*EFEITO!$Z$1993</f>
        <v>603.0744057770695</v>
      </c>
      <c r="L1993" s="64">
        <f>EFEITO!$N$1993*EFEITO!$AA$1993</f>
        <v>507.32827414303125</v>
      </c>
      <c r="M1993" s="64">
        <f>$J$1993-EFEITO!$K$1993*EFEITO!$Y$1993</f>
        <v>0</v>
      </c>
      <c r="N1993" s="64">
        <f ca="1">$K$1993-EFEITO!$M$1993*EFEITO!$Z$1993</f>
        <v>0</v>
      </c>
      <c r="O1993" s="64">
        <f>$L$1993-EFEITO!$O$1993*EFEITO!$AA$1993</f>
        <v>0</v>
      </c>
      <c r="P1993" s="19"/>
      <c r="Q1993" s="19"/>
      <c r="R1993" s="19"/>
      <c r="S1993" s="19"/>
      <c r="T1993" s="19"/>
      <c r="U1993" s="19"/>
      <c r="V1993" s="19"/>
      <c r="W1993" s="19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</row>
    <row r="1994" spans="1:36" ht="11.25" customHeight="1" x14ac:dyDescent="0.2">
      <c r="A1994" s="55" t="s">
        <v>28</v>
      </c>
      <c r="B1994" s="55" t="s">
        <v>37</v>
      </c>
      <c r="C1994" s="55" t="s">
        <v>33</v>
      </c>
      <c r="D1994" s="55" t="s">
        <v>38</v>
      </c>
      <c r="E1994" s="55" t="s">
        <v>25</v>
      </c>
      <c r="F1994" s="55" t="s">
        <v>25</v>
      </c>
      <c r="G1994" s="55" t="s">
        <v>25</v>
      </c>
      <c r="H1994" s="55" t="s">
        <v>35</v>
      </c>
      <c r="I1994" s="63">
        <v>44562</v>
      </c>
      <c r="J1994" s="64">
        <f>EFEITO!$J$1994*EFEITO!$Y$1994</f>
        <v>0</v>
      </c>
      <c r="K1994" s="64">
        <f ca="1">EFEITO!$L$1994*EFEITO!$Z$1994</f>
        <v>469.18031660043368</v>
      </c>
      <c r="L1994" s="64">
        <f>EFEITO!$N$1994*EFEITO!$AA$1994</f>
        <v>394.69166325517688</v>
      </c>
      <c r="M1994" s="64">
        <f>$J$1994-EFEITO!$K$1994*EFEITO!$Y$1994</f>
        <v>0</v>
      </c>
      <c r="N1994" s="64">
        <f ca="1">$K$1994-EFEITO!$M$1994*EFEITO!$Z$1994</f>
        <v>0</v>
      </c>
      <c r="O1994" s="64">
        <f>$L$1994-EFEITO!$O$1994*EFEITO!$AA$1994</f>
        <v>0</v>
      </c>
      <c r="P1994" s="19"/>
      <c r="Q1994" s="19"/>
      <c r="R1994" s="19"/>
      <c r="S1994" s="19"/>
      <c r="T1994" s="19"/>
      <c r="U1994" s="19"/>
      <c r="V1994" s="19"/>
      <c r="W1994" s="19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</row>
    <row r="1995" spans="1:36" ht="11.25" customHeight="1" x14ac:dyDescent="0.2">
      <c r="A1995" s="55" t="s">
        <v>21</v>
      </c>
      <c r="B1995" s="55" t="s">
        <v>37</v>
      </c>
      <c r="C1995" s="55" t="s">
        <v>33</v>
      </c>
      <c r="D1995" s="55" t="s">
        <v>38</v>
      </c>
      <c r="E1995" s="55" t="s">
        <v>25</v>
      </c>
      <c r="F1995" s="55" t="s">
        <v>25</v>
      </c>
      <c r="G1995" s="55" t="s">
        <v>25</v>
      </c>
      <c r="H1995" s="55" t="s">
        <v>35</v>
      </c>
      <c r="I1995" s="63">
        <v>44593</v>
      </c>
      <c r="J1995" s="64">
        <f>EFEITO!$J$1995*EFEITO!$Y$1995</f>
        <v>0</v>
      </c>
      <c r="K1995" s="64">
        <f ca="1">EFEITO!$L$1995*EFEITO!$Z$1995</f>
        <v>640.81821280834345</v>
      </c>
      <c r="L1995" s="64">
        <f>EFEITO!$N$1995*EFEITO!$AA$1995</f>
        <v>539.07974675956632</v>
      </c>
      <c r="M1995" s="64">
        <f>$J$1995-EFEITO!$K$1995*EFEITO!$Y$1995</f>
        <v>0</v>
      </c>
      <c r="N1995" s="64">
        <f ca="1">$K$1995-EFEITO!$M$1995*EFEITO!$Z$1995</f>
        <v>0</v>
      </c>
      <c r="O1995" s="64">
        <f>$L$1995-EFEITO!$O$1995*EFEITO!$AA$1995</f>
        <v>0</v>
      </c>
      <c r="P1995" s="19"/>
      <c r="Q1995" s="19"/>
      <c r="R1995" s="19"/>
      <c r="S1995" s="19"/>
      <c r="T1995" s="19"/>
      <c r="U1995" s="19"/>
      <c r="V1995" s="19"/>
      <c r="W1995" s="19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</row>
    <row r="1996" spans="1:36" ht="11.25" customHeight="1" x14ac:dyDescent="0.2">
      <c r="A1996" s="55" t="s">
        <v>21</v>
      </c>
      <c r="B1996" s="55" t="s">
        <v>37</v>
      </c>
      <c r="C1996" s="55" t="s">
        <v>33</v>
      </c>
      <c r="D1996" s="55" t="s">
        <v>38</v>
      </c>
      <c r="E1996" s="55" t="s">
        <v>25</v>
      </c>
      <c r="F1996" s="55" t="s">
        <v>25</v>
      </c>
      <c r="G1996" s="55" t="s">
        <v>25</v>
      </c>
      <c r="H1996" s="55" t="s">
        <v>35</v>
      </c>
      <c r="I1996" s="63">
        <v>44621</v>
      </c>
      <c r="J1996" s="64">
        <f>EFEITO!$J$1996*EFEITO!$Y$1996</f>
        <v>0</v>
      </c>
      <c r="K1996" s="64">
        <f ca="1">EFEITO!$L$1996*EFEITO!$Z$1996</f>
        <v>630.62462988748848</v>
      </c>
      <c r="L1996" s="64">
        <f>EFEITO!$N$1996*EFEITO!$AA$1996</f>
        <v>530.5045315273635</v>
      </c>
      <c r="M1996" s="64">
        <f>$J$1996-EFEITO!$K$1996*EFEITO!$Y$1996</f>
        <v>0</v>
      </c>
      <c r="N1996" s="64">
        <f ca="1">$K$1996-EFEITO!$M$1996*EFEITO!$Z$1996</f>
        <v>0</v>
      </c>
      <c r="O1996" s="64">
        <f>$L$1996-EFEITO!$O$1996*EFEITO!$AA$1996</f>
        <v>0</v>
      </c>
      <c r="P1996" s="19"/>
      <c r="Q1996" s="19"/>
      <c r="R1996" s="19"/>
      <c r="S1996" s="19"/>
      <c r="T1996" s="19"/>
      <c r="U1996" s="19"/>
      <c r="V1996" s="19"/>
      <c r="W1996" s="19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</row>
    <row r="1997" spans="1:36" ht="11.25" customHeight="1" x14ac:dyDescent="0.2">
      <c r="A1997" s="55" t="s">
        <v>21</v>
      </c>
      <c r="B1997" s="55" t="s">
        <v>37</v>
      </c>
      <c r="C1997" s="55" t="s">
        <v>33</v>
      </c>
      <c r="D1997" s="55" t="s">
        <v>38</v>
      </c>
      <c r="E1997" s="55" t="s">
        <v>25</v>
      </c>
      <c r="F1997" s="55" t="s">
        <v>25</v>
      </c>
      <c r="G1997" s="55" t="s">
        <v>25</v>
      </c>
      <c r="H1997" s="55" t="s">
        <v>35</v>
      </c>
      <c r="I1997" s="63">
        <v>44652</v>
      </c>
      <c r="J1997" s="64">
        <f>EFEITO!$J$1997*EFEITO!$Y$1997</f>
        <v>0</v>
      </c>
      <c r="K1997" s="64">
        <f ca="1">EFEITO!$L$1997*EFEITO!$Z$1997</f>
        <v>613.81899318013291</v>
      </c>
      <c r="L1997" s="64">
        <f>EFEITO!$N$1997*EFEITO!$AA$1997</f>
        <v>516.36701452292084</v>
      </c>
      <c r="M1997" s="64">
        <f>$J$1997-EFEITO!$K$1997*EFEITO!$Y$1997</f>
        <v>0</v>
      </c>
      <c r="N1997" s="64">
        <f ca="1">$K$1997-EFEITO!$M$1997*EFEITO!$Z$1997</f>
        <v>0</v>
      </c>
      <c r="O1997" s="64">
        <f>$L$1997-EFEITO!$O$1997*EFEITO!$AA$1997</f>
        <v>0</v>
      </c>
      <c r="P1997" s="19"/>
      <c r="Q1997" s="19"/>
      <c r="R1997" s="19"/>
      <c r="S1997" s="19"/>
      <c r="T1997" s="19"/>
      <c r="U1997" s="19"/>
      <c r="V1997" s="19"/>
      <c r="W1997" s="19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</row>
    <row r="1998" spans="1:36" ht="11.25" customHeight="1" x14ac:dyDescent="0.2">
      <c r="A1998" s="55" t="s">
        <v>21</v>
      </c>
      <c r="B1998" s="55" t="s">
        <v>37</v>
      </c>
      <c r="C1998" s="55" t="s">
        <v>33</v>
      </c>
      <c r="D1998" s="55" t="s">
        <v>38</v>
      </c>
      <c r="E1998" s="55" t="s">
        <v>25</v>
      </c>
      <c r="F1998" s="55" t="s">
        <v>25</v>
      </c>
      <c r="G1998" s="55" t="s">
        <v>25</v>
      </c>
      <c r="H1998" s="55" t="s">
        <v>35</v>
      </c>
      <c r="I1998" s="63">
        <v>44682</v>
      </c>
      <c r="J1998" s="64">
        <f>EFEITO!$J$1998*EFEITO!$Y$1998</f>
        <v>0</v>
      </c>
      <c r="K1998" s="64">
        <f ca="1">EFEITO!$L$1998*EFEITO!$Z$1998</f>
        <v>650.73629348809425</v>
      </c>
      <c r="L1998" s="64">
        <f>EFEITO!$N$1998*EFEITO!$AA$1998</f>
        <v>547.42319941792596</v>
      </c>
      <c r="M1998" s="64">
        <f>$J$1998-EFEITO!$K$1998*EFEITO!$Y$1998</f>
        <v>0</v>
      </c>
      <c r="N1998" s="64">
        <f ca="1">$K$1998-EFEITO!$M$1998*EFEITO!$Z$1998</f>
        <v>0</v>
      </c>
      <c r="O1998" s="64">
        <f>$L$1998-EFEITO!$O$1998*EFEITO!$AA$1998</f>
        <v>0</v>
      </c>
      <c r="P1998" s="19"/>
      <c r="Q1998" s="19"/>
      <c r="R1998" s="19"/>
      <c r="S1998" s="19"/>
      <c r="T1998" s="19"/>
      <c r="U1998" s="19"/>
      <c r="V1998" s="19"/>
      <c r="W1998" s="19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</row>
    <row r="1999" spans="1:36" ht="11.25" customHeight="1" x14ac:dyDescent="0.2">
      <c r="A1999" s="55" t="s">
        <v>21</v>
      </c>
      <c r="B1999" s="55" t="s">
        <v>37</v>
      </c>
      <c r="C1999" s="55" t="s">
        <v>33</v>
      </c>
      <c r="D1999" s="55" t="s">
        <v>38</v>
      </c>
      <c r="E1999" s="55" t="s">
        <v>25</v>
      </c>
      <c r="F1999" s="55" t="s">
        <v>25</v>
      </c>
      <c r="G1999" s="55" t="s">
        <v>25</v>
      </c>
      <c r="H1999" s="55" t="s">
        <v>35</v>
      </c>
      <c r="I1999" s="63">
        <v>44713</v>
      </c>
      <c r="J1999" s="64">
        <f>EFEITO!$J$1999*EFEITO!$Y$1999</f>
        <v>0</v>
      </c>
      <c r="K1999" s="64">
        <f ca="1">EFEITO!$L$1999*EFEITO!$Z$1999</f>
        <v>561.19806512923276</v>
      </c>
      <c r="L1999" s="64">
        <f>EFEITO!$N$1999*EFEITO!$AA$1999</f>
        <v>472.10036291884632</v>
      </c>
      <c r="M1999" s="64">
        <f>$J$1999-EFEITO!$K$1999*EFEITO!$Y$1999</f>
        <v>0</v>
      </c>
      <c r="N1999" s="64">
        <f ca="1">$K$1999-EFEITO!$M$1999*EFEITO!$Z$1999</f>
        <v>0</v>
      </c>
      <c r="O1999" s="64">
        <f>$L$1999-EFEITO!$O$1999*EFEITO!$AA$1999</f>
        <v>0</v>
      </c>
      <c r="P1999" s="19"/>
      <c r="Q1999" s="19"/>
      <c r="R1999" s="19"/>
      <c r="S1999" s="19"/>
      <c r="T1999" s="19"/>
      <c r="U1999" s="19"/>
      <c r="V1999" s="19"/>
      <c r="W1999" s="19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</row>
    <row r="2000" spans="1:36" ht="11.25" customHeight="1" x14ac:dyDescent="0.2">
      <c r="A2000" s="55" t="s">
        <v>57</v>
      </c>
      <c r="B2000" s="55" t="s">
        <v>37</v>
      </c>
      <c r="C2000" s="55" t="s">
        <v>33</v>
      </c>
      <c r="D2000" s="55" t="s">
        <v>38</v>
      </c>
      <c r="E2000" s="55" t="s">
        <v>25</v>
      </c>
      <c r="F2000" s="55" t="s">
        <v>25</v>
      </c>
      <c r="G2000" s="55" t="s">
        <v>25</v>
      </c>
      <c r="H2000" s="55" t="s">
        <v>35</v>
      </c>
      <c r="I2000" s="63">
        <v>44743</v>
      </c>
      <c r="J2000" s="64">
        <f>EFEITO!$J$2000*EFEITO!$Y$2000</f>
        <v>0</v>
      </c>
      <c r="K2000" s="64">
        <f ca="1">EFEITO!$L$2000*EFEITO!$Z$2000</f>
        <v>561.19806512923276</v>
      </c>
      <c r="L2000" s="64">
        <f>EFEITO!$N$2000*EFEITO!$AA$2000</f>
        <v>472.10036291884632</v>
      </c>
      <c r="M2000" s="64">
        <f>$J$2000-EFEITO!$K$2000*EFEITO!$Y$2000</f>
        <v>0</v>
      </c>
      <c r="N2000" s="64">
        <f ca="1">$K$2000-EFEITO!$M$2000*EFEITO!$Z$2000</f>
        <v>0</v>
      </c>
      <c r="O2000" s="64">
        <f>$L$2000-EFEITO!$O$2000*EFEITO!$AA$2000</f>
        <v>0</v>
      </c>
      <c r="P2000" s="19"/>
      <c r="Q2000" s="19"/>
      <c r="R2000" s="19"/>
      <c r="S2000" s="19"/>
      <c r="T2000" s="19"/>
      <c r="U2000" s="19"/>
      <c r="V2000" s="19"/>
      <c r="W2000" s="19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</row>
    <row r="2001" spans="1:36" ht="11.25" customHeight="1" x14ac:dyDescent="0.2">
      <c r="A2001" s="55" t="s">
        <v>21</v>
      </c>
      <c r="B2001" s="55" t="s">
        <v>37</v>
      </c>
      <c r="C2001" s="55" t="s">
        <v>33</v>
      </c>
      <c r="D2001" s="55" t="s">
        <v>38</v>
      </c>
      <c r="E2001" s="55" t="s">
        <v>25</v>
      </c>
      <c r="F2001" s="55" t="s">
        <v>25</v>
      </c>
      <c r="G2001" s="55" t="s">
        <v>25</v>
      </c>
      <c r="H2001" s="55" t="s">
        <v>36</v>
      </c>
      <c r="I2001" s="63">
        <v>44409</v>
      </c>
      <c r="J2001" s="64">
        <f>EFEITO!$J$2001*EFEITO!$Y$2001</f>
        <v>0</v>
      </c>
      <c r="K2001" s="64">
        <f ca="1">EFEITO!$L$2001*EFEITO!$Z$2001</f>
        <v>112.25798960056203</v>
      </c>
      <c r="L2001" s="64">
        <f>EFEITO!$N$2001*EFEITO!$AA$2001</f>
        <v>41.949025865641232</v>
      </c>
      <c r="M2001" s="64">
        <f>$J$2001-EFEITO!$K$2001*EFEITO!$Y$2001</f>
        <v>0</v>
      </c>
      <c r="N2001" s="64">
        <f ca="1">$K$2001-EFEITO!$M$2001*EFEITO!$Z$2001</f>
        <v>0</v>
      </c>
      <c r="O2001" s="64">
        <f>$L$2001-EFEITO!$O$2001*EFEITO!$AA$2001</f>
        <v>0</v>
      </c>
      <c r="P2001" s="19"/>
      <c r="Q2001" s="19"/>
      <c r="R2001" s="19"/>
      <c r="S2001" s="19"/>
      <c r="T2001" s="19"/>
      <c r="U2001" s="19"/>
      <c r="V2001" s="19"/>
      <c r="W2001" s="19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</row>
    <row r="2002" spans="1:36" ht="11.25" customHeight="1" x14ac:dyDescent="0.2">
      <c r="A2002" s="55" t="s">
        <v>21</v>
      </c>
      <c r="B2002" s="55" t="s">
        <v>37</v>
      </c>
      <c r="C2002" s="55" t="s">
        <v>33</v>
      </c>
      <c r="D2002" s="55" t="s">
        <v>38</v>
      </c>
      <c r="E2002" s="55" t="s">
        <v>25</v>
      </c>
      <c r="F2002" s="55" t="s">
        <v>25</v>
      </c>
      <c r="G2002" s="55" t="s">
        <v>25</v>
      </c>
      <c r="H2002" s="55" t="s">
        <v>36</v>
      </c>
      <c r="I2002" s="63">
        <v>44440</v>
      </c>
      <c r="J2002" s="64">
        <f>EFEITO!$J$2002*EFEITO!$Y$2002</f>
        <v>0</v>
      </c>
      <c r="K2002" s="64">
        <f ca="1">EFEITO!$L$2002*EFEITO!$Z$2002</f>
        <v>108.53673027678649</v>
      </c>
      <c r="L2002" s="64">
        <f>EFEITO!$N$2002*EFEITO!$AA$2002</f>
        <v>40.558450422581295</v>
      </c>
      <c r="M2002" s="64">
        <f>$J$2002-EFEITO!$K$2002*EFEITO!$Y$2002</f>
        <v>0</v>
      </c>
      <c r="N2002" s="64">
        <f ca="1">$K$2002-EFEITO!$M$2002*EFEITO!$Z$2002</f>
        <v>0</v>
      </c>
      <c r="O2002" s="64">
        <f>$L$2002-EFEITO!$O$2002*EFEITO!$AA$2002</f>
        <v>0</v>
      </c>
      <c r="P2002" s="19"/>
      <c r="Q2002" s="19"/>
      <c r="R2002" s="19"/>
      <c r="S2002" s="19"/>
      <c r="T2002" s="19"/>
      <c r="U2002" s="19"/>
      <c r="V2002" s="19"/>
      <c r="W2002" s="19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</row>
    <row r="2003" spans="1:36" ht="11.25" customHeight="1" x14ac:dyDescent="0.2">
      <c r="A2003" s="55" t="s">
        <v>21</v>
      </c>
      <c r="B2003" s="55" t="s">
        <v>37</v>
      </c>
      <c r="C2003" s="55" t="s">
        <v>33</v>
      </c>
      <c r="D2003" s="55" t="s">
        <v>38</v>
      </c>
      <c r="E2003" s="55" t="s">
        <v>25</v>
      </c>
      <c r="F2003" s="55" t="s">
        <v>25</v>
      </c>
      <c r="G2003" s="55" t="s">
        <v>25</v>
      </c>
      <c r="H2003" s="55" t="s">
        <v>36</v>
      </c>
      <c r="I2003" s="63">
        <v>44470</v>
      </c>
      <c r="J2003" s="64">
        <f>EFEITO!$J$2003*EFEITO!$Y$2003</f>
        <v>0</v>
      </c>
      <c r="K2003" s="64">
        <f ca="1">EFEITO!$L$2003*EFEITO!$Z$2003</f>
        <v>154.4322619366848</v>
      </c>
      <c r="L2003" s="64">
        <f>EFEITO!$N$2003*EFEITO!$AA$2003</f>
        <v>57.70888088698711</v>
      </c>
      <c r="M2003" s="64">
        <f>$J$2003-EFEITO!$K$2003*EFEITO!$Y$2003</f>
        <v>0</v>
      </c>
      <c r="N2003" s="64">
        <f ca="1">$K$2003-EFEITO!$M$2003*EFEITO!$Z$2003</f>
        <v>0</v>
      </c>
      <c r="O2003" s="64">
        <f>$L$2003-EFEITO!$O$2003*EFEITO!$AA$2003</f>
        <v>0</v>
      </c>
      <c r="P2003" s="19"/>
      <c r="Q2003" s="19"/>
      <c r="R2003" s="19"/>
      <c r="S2003" s="19"/>
      <c r="T2003" s="19"/>
      <c r="U2003" s="19"/>
      <c r="V2003" s="19"/>
      <c r="W2003" s="19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</row>
    <row r="2004" spans="1:36" ht="11.25" customHeight="1" x14ac:dyDescent="0.2">
      <c r="A2004" s="55" t="s">
        <v>21</v>
      </c>
      <c r="B2004" s="55" t="s">
        <v>37</v>
      </c>
      <c r="C2004" s="55" t="s">
        <v>33</v>
      </c>
      <c r="D2004" s="55" t="s">
        <v>38</v>
      </c>
      <c r="E2004" s="55" t="s">
        <v>25</v>
      </c>
      <c r="F2004" s="55" t="s">
        <v>25</v>
      </c>
      <c r="G2004" s="55" t="s">
        <v>25</v>
      </c>
      <c r="H2004" s="55" t="s">
        <v>36</v>
      </c>
      <c r="I2004" s="63">
        <v>44501</v>
      </c>
      <c r="J2004" s="64">
        <f>EFEITO!$J$2004*EFEITO!$Y$2004</f>
        <v>0</v>
      </c>
      <c r="K2004" s="64">
        <f ca="1">EFEITO!$L$2004*EFEITO!$Z$2004</f>
        <v>112.25798960056203</v>
      </c>
      <c r="L2004" s="64">
        <f>EFEITO!$N$2004*EFEITO!$AA$2004</f>
        <v>41.949025865641232</v>
      </c>
      <c r="M2004" s="64">
        <f>$J$2004-EFEITO!$K$2004*EFEITO!$Y$2004</f>
        <v>0</v>
      </c>
      <c r="N2004" s="64">
        <f ca="1">$K$2004-EFEITO!$M$2004*EFEITO!$Z$2004</f>
        <v>0</v>
      </c>
      <c r="O2004" s="64">
        <f>$L$2004-EFEITO!$O$2004*EFEITO!$AA$2004</f>
        <v>0</v>
      </c>
      <c r="P2004" s="19"/>
      <c r="Q2004" s="19"/>
      <c r="R2004" s="19"/>
      <c r="S2004" s="19"/>
      <c r="T2004" s="19"/>
      <c r="U2004" s="19"/>
      <c r="V2004" s="19"/>
      <c r="W2004" s="19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</row>
    <row r="2005" spans="1:36" ht="11.25" customHeight="1" x14ac:dyDescent="0.2">
      <c r="A2005" s="55" t="s">
        <v>21</v>
      </c>
      <c r="B2005" s="55" t="s">
        <v>37</v>
      </c>
      <c r="C2005" s="55" t="s">
        <v>33</v>
      </c>
      <c r="D2005" s="55" t="s">
        <v>38</v>
      </c>
      <c r="E2005" s="55" t="s">
        <v>25</v>
      </c>
      <c r="F2005" s="55" t="s">
        <v>25</v>
      </c>
      <c r="G2005" s="55" t="s">
        <v>25</v>
      </c>
      <c r="H2005" s="55" t="s">
        <v>36</v>
      </c>
      <c r="I2005" s="63">
        <v>44531</v>
      </c>
      <c r="J2005" s="64">
        <f>EFEITO!$J$2005*EFEITO!$Y$2005</f>
        <v>0</v>
      </c>
      <c r="K2005" s="64">
        <f ca="1">EFEITO!$L$2005*EFEITO!$Z$2005</f>
        <v>162.49499047153179</v>
      </c>
      <c r="L2005" s="64">
        <f>EFEITO!$N$2005*EFEITO!$AA$2005</f>
        <v>60.72179434695029</v>
      </c>
      <c r="M2005" s="64">
        <f>$J$2005-EFEITO!$K$2005*EFEITO!$Y$2005</f>
        <v>0</v>
      </c>
      <c r="N2005" s="64">
        <f ca="1">$K$2005-EFEITO!$M$2005*EFEITO!$Z$2005</f>
        <v>0</v>
      </c>
      <c r="O2005" s="64">
        <f>$L$2005-EFEITO!$O$2005*EFEITO!$AA$2005</f>
        <v>0</v>
      </c>
      <c r="P2005" s="19"/>
      <c r="Q2005" s="19"/>
      <c r="R2005" s="19"/>
      <c r="S2005" s="19"/>
      <c r="T2005" s="19"/>
      <c r="U2005" s="19"/>
      <c r="V2005" s="19"/>
      <c r="W2005" s="19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</row>
    <row r="2006" spans="1:36" ht="11.25" customHeight="1" x14ac:dyDescent="0.2">
      <c r="A2006" s="55" t="s">
        <v>21</v>
      </c>
      <c r="B2006" s="55" t="s">
        <v>37</v>
      </c>
      <c r="C2006" s="55" t="s">
        <v>33</v>
      </c>
      <c r="D2006" s="55" t="s">
        <v>38</v>
      </c>
      <c r="E2006" s="55" t="s">
        <v>25</v>
      </c>
      <c r="F2006" s="55" t="s">
        <v>25</v>
      </c>
      <c r="G2006" s="55" t="s">
        <v>25</v>
      </c>
      <c r="H2006" s="55" t="s">
        <v>36</v>
      </c>
      <c r="I2006" s="63">
        <v>44562</v>
      </c>
      <c r="J2006" s="64">
        <f>EFEITO!$J$2006*EFEITO!$Y$2006</f>
        <v>0</v>
      </c>
      <c r="K2006" s="64">
        <f ca="1">EFEITO!$L$2006*EFEITO!$Z$2006</f>
        <v>76.285816137398513</v>
      </c>
      <c r="L2006" s="64">
        <f>EFEITO!$N$2006*EFEITO!$AA$2006</f>
        <v>28.506796582728573</v>
      </c>
      <c r="M2006" s="64">
        <f>$J$2006-EFEITO!$K$2006*EFEITO!$Y$2006</f>
        <v>0</v>
      </c>
      <c r="N2006" s="64">
        <f ca="1">$K$2006-EFEITO!$M$2006*EFEITO!$Z$2006</f>
        <v>0</v>
      </c>
      <c r="O2006" s="64">
        <f>$L$2006-EFEITO!$O$2006*EFEITO!$AA$2006</f>
        <v>0</v>
      </c>
      <c r="P2006" s="19"/>
      <c r="Q2006" s="19"/>
      <c r="R2006" s="19"/>
      <c r="S2006" s="19"/>
      <c r="T2006" s="19"/>
      <c r="U2006" s="19"/>
      <c r="V2006" s="19"/>
      <c r="W2006" s="19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</row>
    <row r="2007" spans="1:36" ht="11.25" customHeight="1" x14ac:dyDescent="0.2">
      <c r="A2007" s="55" t="s">
        <v>28</v>
      </c>
      <c r="B2007" s="55" t="s">
        <v>37</v>
      </c>
      <c r="C2007" s="55" t="s">
        <v>33</v>
      </c>
      <c r="D2007" s="55" t="s">
        <v>38</v>
      </c>
      <c r="E2007" s="55" t="s">
        <v>25</v>
      </c>
      <c r="F2007" s="55" t="s">
        <v>25</v>
      </c>
      <c r="G2007" s="55" t="s">
        <v>25</v>
      </c>
      <c r="H2007" s="55" t="s">
        <v>36</v>
      </c>
      <c r="I2007" s="63">
        <v>44562</v>
      </c>
      <c r="J2007" s="64">
        <f>EFEITO!$J$2007*EFEITO!$Y$2007</f>
        <v>0</v>
      </c>
      <c r="K2007" s="64">
        <f ca="1">EFEITO!$L$2007*EFEITO!$Z$2007</f>
        <v>34.111543801275758</v>
      </c>
      <c r="L2007" s="64">
        <f>EFEITO!$N$2007*EFEITO!$AA$2007</f>
        <v>12.746941561382695</v>
      </c>
      <c r="M2007" s="64">
        <f>$J$2007-EFEITO!$K$2007*EFEITO!$Y$2007</f>
        <v>0</v>
      </c>
      <c r="N2007" s="64">
        <f ca="1">$K$2007-EFEITO!$M$2007*EFEITO!$Z$2007</f>
        <v>0</v>
      </c>
      <c r="O2007" s="64">
        <f>$L$2007-EFEITO!$O$2007*EFEITO!$AA$2007</f>
        <v>0</v>
      </c>
      <c r="P2007" s="19"/>
      <c r="Q2007" s="19"/>
      <c r="R2007" s="19"/>
      <c r="S2007" s="19"/>
      <c r="T2007" s="19"/>
      <c r="U2007" s="19"/>
      <c r="V2007" s="19"/>
      <c r="W2007" s="19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</row>
    <row r="2008" spans="1:36" ht="11.25" customHeight="1" x14ac:dyDescent="0.2">
      <c r="A2008" s="55" t="s">
        <v>21</v>
      </c>
      <c r="B2008" s="55" t="s">
        <v>37</v>
      </c>
      <c r="C2008" s="55" t="s">
        <v>33</v>
      </c>
      <c r="D2008" s="55" t="s">
        <v>38</v>
      </c>
      <c r="E2008" s="55" t="s">
        <v>25</v>
      </c>
      <c r="F2008" s="55" t="s">
        <v>25</v>
      </c>
      <c r="G2008" s="55" t="s">
        <v>25</v>
      </c>
      <c r="H2008" s="55" t="s">
        <v>36</v>
      </c>
      <c r="I2008" s="63">
        <v>44593</v>
      </c>
      <c r="J2008" s="64">
        <f>EFEITO!$J$2008*EFEITO!$Y$2008</f>
        <v>0</v>
      </c>
      <c r="K2008" s="64">
        <f ca="1">EFEITO!$L$2008*EFEITO!$Z$2008</f>
        <v>83.108124897653667</v>
      </c>
      <c r="L2008" s="64">
        <f>EFEITO!$N$2008*EFEITO!$AA$2008</f>
        <v>31.056184895005114</v>
      </c>
      <c r="M2008" s="64">
        <f>$J$2008-EFEITO!$K$2008*EFEITO!$Y$2008</f>
        <v>0</v>
      </c>
      <c r="N2008" s="64">
        <f ca="1">$K$2008-EFEITO!$M$2008*EFEITO!$Z$2008</f>
        <v>0</v>
      </c>
      <c r="O2008" s="64">
        <f>$L$2008-EFEITO!$O$2008*EFEITO!$AA$2008</f>
        <v>0</v>
      </c>
      <c r="P2008" s="19"/>
      <c r="Q2008" s="19"/>
      <c r="R2008" s="19"/>
      <c r="S2008" s="19"/>
      <c r="T2008" s="19"/>
      <c r="U2008" s="19"/>
      <c r="V2008" s="19"/>
      <c r="W2008" s="19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</row>
    <row r="2009" spans="1:36" ht="11.25" customHeight="1" x14ac:dyDescent="0.2">
      <c r="A2009" s="55" t="s">
        <v>21</v>
      </c>
      <c r="B2009" s="55" t="s">
        <v>37</v>
      </c>
      <c r="C2009" s="55" t="s">
        <v>33</v>
      </c>
      <c r="D2009" s="55" t="s">
        <v>38</v>
      </c>
      <c r="E2009" s="55" t="s">
        <v>25</v>
      </c>
      <c r="F2009" s="55" t="s">
        <v>25</v>
      </c>
      <c r="G2009" s="55" t="s">
        <v>25</v>
      </c>
      <c r="H2009" s="55" t="s">
        <v>36</v>
      </c>
      <c r="I2009" s="63">
        <v>44621</v>
      </c>
      <c r="J2009" s="64">
        <f>EFEITO!$J$2009*EFEITO!$Y$2009</f>
        <v>0</v>
      </c>
      <c r="K2009" s="64">
        <f ca="1">EFEITO!$L$2009*EFEITO!$Z$2009</f>
        <v>83.108124897653667</v>
      </c>
      <c r="L2009" s="64">
        <f>EFEITO!$N$2009*EFEITO!$AA$2009</f>
        <v>31.056184895005114</v>
      </c>
      <c r="M2009" s="64">
        <f>$J$2009-EFEITO!$K$2009*EFEITO!$Y$2009</f>
        <v>0</v>
      </c>
      <c r="N2009" s="64">
        <f ca="1">$K$2009-EFEITO!$M$2009*EFEITO!$Z$2009</f>
        <v>0</v>
      </c>
      <c r="O2009" s="64">
        <f>$L$2009-EFEITO!$O$2009*EFEITO!$AA$2009</f>
        <v>0</v>
      </c>
      <c r="P2009" s="19"/>
      <c r="Q2009" s="19"/>
      <c r="R2009" s="19"/>
      <c r="S2009" s="19"/>
      <c r="T2009" s="19"/>
      <c r="U2009" s="19"/>
      <c r="V2009" s="19"/>
      <c r="W2009" s="19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</row>
    <row r="2010" spans="1:36" ht="11.25" customHeight="1" x14ac:dyDescent="0.2">
      <c r="A2010" s="55" t="s">
        <v>21</v>
      </c>
      <c r="B2010" s="55" t="s">
        <v>37</v>
      </c>
      <c r="C2010" s="55" t="s">
        <v>33</v>
      </c>
      <c r="D2010" s="55" t="s">
        <v>38</v>
      </c>
      <c r="E2010" s="55" t="s">
        <v>25</v>
      </c>
      <c r="F2010" s="55" t="s">
        <v>25</v>
      </c>
      <c r="G2010" s="55" t="s">
        <v>25</v>
      </c>
      <c r="H2010" s="55" t="s">
        <v>36</v>
      </c>
      <c r="I2010" s="63">
        <v>44652</v>
      </c>
      <c r="J2010" s="64">
        <f>EFEITO!$J$2010*EFEITO!$Y$2010</f>
        <v>0</v>
      </c>
      <c r="K2010" s="64">
        <f ca="1">EFEITO!$L$2010*EFEITO!$Z$2010</f>
        <v>79.386865573878126</v>
      </c>
      <c r="L2010" s="64">
        <f>EFEITO!$N$2010*EFEITO!$AA$2010</f>
        <v>29.66560945194518</v>
      </c>
      <c r="M2010" s="64">
        <f>$J$2010-EFEITO!$K$2010*EFEITO!$Y$2010</f>
        <v>0</v>
      </c>
      <c r="N2010" s="64">
        <f ca="1">$K$2010-EFEITO!$M$2010*EFEITO!$Z$2010</f>
        <v>0</v>
      </c>
      <c r="O2010" s="64">
        <f>$L$2010-EFEITO!$O$2010*EFEITO!$AA$2010</f>
        <v>0</v>
      </c>
      <c r="P2010" s="19"/>
      <c r="Q2010" s="19"/>
      <c r="R2010" s="19"/>
      <c r="S2010" s="19"/>
      <c r="T2010" s="19"/>
      <c r="U2010" s="19"/>
      <c r="V2010" s="19"/>
      <c r="W2010" s="19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</row>
    <row r="2011" spans="1:36" ht="11.25" customHeight="1" x14ac:dyDescent="0.2">
      <c r="A2011" s="55" t="s">
        <v>21</v>
      </c>
      <c r="B2011" s="55" t="s">
        <v>37</v>
      </c>
      <c r="C2011" s="55" t="s">
        <v>33</v>
      </c>
      <c r="D2011" s="55" t="s">
        <v>38</v>
      </c>
      <c r="E2011" s="55" t="s">
        <v>25</v>
      </c>
      <c r="F2011" s="55" t="s">
        <v>25</v>
      </c>
      <c r="G2011" s="55" t="s">
        <v>25</v>
      </c>
      <c r="H2011" s="55" t="s">
        <v>36</v>
      </c>
      <c r="I2011" s="63">
        <v>44682</v>
      </c>
      <c r="J2011" s="64">
        <f>EFEITO!$J$2011*EFEITO!$Y$2011</f>
        <v>0</v>
      </c>
      <c r="K2011" s="64">
        <f ca="1">EFEITO!$L$2011*EFEITO!$Z$2011</f>
        <v>79.386865573878126</v>
      </c>
      <c r="L2011" s="64">
        <f>EFEITO!$N$2011*EFEITO!$AA$2011</f>
        <v>29.66560945194518</v>
      </c>
      <c r="M2011" s="64">
        <f>$J$2011-EFEITO!$K$2011*EFEITO!$Y$2011</f>
        <v>0</v>
      </c>
      <c r="N2011" s="64">
        <f ca="1">$K$2011-EFEITO!$M$2011*EFEITO!$Z$2011</f>
        <v>0</v>
      </c>
      <c r="O2011" s="64">
        <f>$L$2011-EFEITO!$O$2011*EFEITO!$AA$2011</f>
        <v>0</v>
      </c>
      <c r="P2011" s="19"/>
      <c r="Q2011" s="19"/>
      <c r="R2011" s="19"/>
      <c r="S2011" s="19"/>
      <c r="T2011" s="19"/>
      <c r="U2011" s="19"/>
      <c r="V2011" s="19"/>
      <c r="W2011" s="19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</row>
    <row r="2012" spans="1:36" ht="11.25" customHeight="1" x14ac:dyDescent="0.2">
      <c r="A2012" s="55" t="s">
        <v>21</v>
      </c>
      <c r="B2012" s="55" t="s">
        <v>37</v>
      </c>
      <c r="C2012" s="55" t="s">
        <v>33</v>
      </c>
      <c r="D2012" s="55" t="s">
        <v>38</v>
      </c>
      <c r="E2012" s="55" t="s">
        <v>25</v>
      </c>
      <c r="F2012" s="55" t="s">
        <v>25</v>
      </c>
      <c r="G2012" s="55" t="s">
        <v>25</v>
      </c>
      <c r="H2012" s="55" t="s">
        <v>36</v>
      </c>
      <c r="I2012" s="63">
        <v>44713</v>
      </c>
      <c r="J2012" s="64">
        <f>EFEITO!$J$2012*EFEITO!$Y$2012</f>
        <v>0</v>
      </c>
      <c r="K2012" s="64">
        <f ca="1">EFEITO!$L$2012*EFEITO!$Z$2012</f>
        <v>66.982667827959659</v>
      </c>
      <c r="L2012" s="64">
        <f>EFEITO!$N$2012*EFEITO!$AA$2012</f>
        <v>25.030357975078743</v>
      </c>
      <c r="M2012" s="64">
        <f>$J$2012-EFEITO!$K$2012*EFEITO!$Y$2012</f>
        <v>0</v>
      </c>
      <c r="N2012" s="64">
        <f ca="1">$K$2012-EFEITO!$M$2012*EFEITO!$Z$2012</f>
        <v>0</v>
      </c>
      <c r="O2012" s="64">
        <f>$L$2012-EFEITO!$O$2012*EFEITO!$AA$2012</f>
        <v>0</v>
      </c>
      <c r="P2012" s="19"/>
      <c r="Q2012" s="19"/>
      <c r="R2012" s="19"/>
      <c r="S2012" s="19"/>
      <c r="T2012" s="19"/>
      <c r="U2012" s="19"/>
      <c r="V2012" s="19"/>
      <c r="W2012" s="19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</row>
    <row r="2013" spans="1:36" ht="11.25" customHeight="1" x14ac:dyDescent="0.2">
      <c r="A2013" s="55" t="s">
        <v>57</v>
      </c>
      <c r="B2013" s="55" t="s">
        <v>37</v>
      </c>
      <c r="C2013" s="55" t="s">
        <v>33</v>
      </c>
      <c r="D2013" s="55" t="s">
        <v>38</v>
      </c>
      <c r="E2013" s="55" t="s">
        <v>25</v>
      </c>
      <c r="F2013" s="55" t="s">
        <v>25</v>
      </c>
      <c r="G2013" s="55" t="s">
        <v>25</v>
      </c>
      <c r="H2013" s="55" t="s">
        <v>36</v>
      </c>
      <c r="I2013" s="63">
        <v>44743</v>
      </c>
      <c r="J2013" s="64">
        <f>EFEITO!$J$2013*EFEITO!$Y$2013</f>
        <v>0</v>
      </c>
      <c r="K2013" s="64">
        <f ca="1">EFEITO!$L$2013*EFEITO!$Z$2013</f>
        <v>66.982667827959659</v>
      </c>
      <c r="L2013" s="64">
        <f>EFEITO!$N$2013*EFEITO!$AA$2013</f>
        <v>25.030357975078743</v>
      </c>
      <c r="M2013" s="64">
        <f>$J$2013-EFEITO!$K$2013*EFEITO!$Y$2013</f>
        <v>0</v>
      </c>
      <c r="N2013" s="64">
        <f ca="1">$K$2013-EFEITO!$M$2013*EFEITO!$Z$2013</f>
        <v>0</v>
      </c>
      <c r="O2013" s="64">
        <f>$L$2013-EFEITO!$O$2013*EFEITO!$AA$2013</f>
        <v>0</v>
      </c>
      <c r="P2013" s="19"/>
      <c r="Q2013" s="19"/>
      <c r="R2013" s="19"/>
      <c r="S2013" s="19"/>
      <c r="T2013" s="19"/>
      <c r="U2013" s="19"/>
      <c r="V2013" s="19"/>
      <c r="W2013" s="19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</row>
    <row r="2014" spans="1:36" ht="11.25" customHeight="1" x14ac:dyDescent="0.2">
      <c r="A2014" s="55" t="s">
        <v>21</v>
      </c>
      <c r="B2014" s="55" t="s">
        <v>37</v>
      </c>
      <c r="C2014" s="55" t="s">
        <v>33</v>
      </c>
      <c r="D2014" s="55" t="s">
        <v>38</v>
      </c>
      <c r="E2014" s="55" t="s">
        <v>25</v>
      </c>
      <c r="F2014" s="55" t="s">
        <v>25</v>
      </c>
      <c r="G2014" s="55" t="s">
        <v>25</v>
      </c>
      <c r="H2014" s="55" t="s">
        <v>34</v>
      </c>
      <c r="I2014" s="63">
        <v>44409</v>
      </c>
      <c r="J2014" s="64">
        <f>EFEITO!$J$2014*EFEITO!$Y$2014</f>
        <v>0</v>
      </c>
      <c r="K2014" s="64">
        <f ca="1">EFEITO!$L$2014*EFEITO!$Z$2014</f>
        <v>181.40444218669427</v>
      </c>
      <c r="L2014" s="64">
        <f>EFEITO!$N$2014*EFEITO!$AA$2014</f>
        <v>67.728934872626184</v>
      </c>
      <c r="M2014" s="64">
        <f>$J$2014-EFEITO!$K$2014*EFEITO!$Y$2014</f>
        <v>0</v>
      </c>
      <c r="N2014" s="64">
        <f ca="1">$K$2014-EFEITO!$M$2014*EFEITO!$Z$2014</f>
        <v>0</v>
      </c>
      <c r="O2014" s="64">
        <f>$L$2014-EFEITO!$O$2014*EFEITO!$AA$2014</f>
        <v>0</v>
      </c>
      <c r="P2014" s="19"/>
      <c r="Q2014" s="19"/>
      <c r="R2014" s="19"/>
      <c r="S2014" s="19"/>
      <c r="T2014" s="19"/>
      <c r="U2014" s="19"/>
      <c r="V2014" s="19"/>
      <c r="W2014" s="19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</row>
    <row r="2015" spans="1:36" ht="11.25" customHeight="1" x14ac:dyDescent="0.2">
      <c r="A2015" s="55" t="s">
        <v>21</v>
      </c>
      <c r="B2015" s="55" t="s">
        <v>37</v>
      </c>
      <c r="C2015" s="55" t="s">
        <v>33</v>
      </c>
      <c r="D2015" s="55" t="s">
        <v>38</v>
      </c>
      <c r="E2015" s="55" t="s">
        <v>25</v>
      </c>
      <c r="F2015" s="55" t="s">
        <v>25</v>
      </c>
      <c r="G2015" s="55" t="s">
        <v>25</v>
      </c>
      <c r="H2015" s="55" t="s">
        <v>34</v>
      </c>
      <c r="I2015" s="63">
        <v>44440</v>
      </c>
      <c r="J2015" s="64">
        <f>EFEITO!$J$2015*EFEITO!$Y$2015</f>
        <v>0</v>
      </c>
      <c r="K2015" s="64">
        <f ca="1">EFEITO!$L$2015*EFEITO!$Z$2015</f>
        <v>169.82543523860738</v>
      </c>
      <c r="L2015" s="64">
        <f>EFEITO!$N$2015*EFEITO!$AA$2015</f>
        <v>63.405811370118123</v>
      </c>
      <c r="M2015" s="64">
        <f>$J$2015-EFEITO!$K$2015*EFEITO!$Y$2015</f>
        <v>0</v>
      </c>
      <c r="N2015" s="64">
        <f ca="1">$K$2015-EFEITO!$M$2015*EFEITO!$Z$2015</f>
        <v>0</v>
      </c>
      <c r="O2015" s="64">
        <f>$L$2015-EFEITO!$O$2015*EFEITO!$AA$2015</f>
        <v>0</v>
      </c>
      <c r="P2015" s="19"/>
      <c r="Q2015" s="19"/>
      <c r="R2015" s="19"/>
      <c r="S2015" s="19"/>
      <c r="T2015" s="19"/>
      <c r="U2015" s="19"/>
      <c r="V2015" s="19"/>
      <c r="W2015" s="19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</row>
    <row r="2016" spans="1:36" ht="11.25" customHeight="1" x14ac:dyDescent="0.2">
      <c r="A2016" s="55" t="s">
        <v>21</v>
      </c>
      <c r="B2016" s="55" t="s">
        <v>37</v>
      </c>
      <c r="C2016" s="55" t="s">
        <v>33</v>
      </c>
      <c r="D2016" s="55" t="s">
        <v>38</v>
      </c>
      <c r="E2016" s="55" t="s">
        <v>25</v>
      </c>
      <c r="F2016" s="55" t="s">
        <v>25</v>
      </c>
      <c r="G2016" s="55" t="s">
        <v>25</v>
      </c>
      <c r="H2016" s="55" t="s">
        <v>34</v>
      </c>
      <c r="I2016" s="63">
        <v>44470</v>
      </c>
      <c r="J2016" s="64">
        <f>EFEITO!$J$2016*EFEITO!$Y$2016</f>
        <v>0</v>
      </c>
      <c r="K2016" s="64">
        <f ca="1">EFEITO!$L$2016*EFEITO!$Z$2016</f>
        <v>168.86051799293347</v>
      </c>
      <c r="L2016" s="64">
        <f>EFEITO!$N$2016*EFEITO!$AA$2016</f>
        <v>63.045551078242447</v>
      </c>
      <c r="M2016" s="64">
        <f>$J$2016-EFEITO!$K$2016*EFEITO!$Y$2016</f>
        <v>0</v>
      </c>
      <c r="N2016" s="64">
        <f ca="1">$K$2016-EFEITO!$M$2016*EFEITO!$Z$2016</f>
        <v>0</v>
      </c>
      <c r="O2016" s="64">
        <f>$L$2016-EFEITO!$O$2016*EFEITO!$AA$2016</f>
        <v>0</v>
      </c>
      <c r="P2016" s="19"/>
      <c r="Q2016" s="19"/>
      <c r="R2016" s="19"/>
      <c r="S2016" s="19"/>
      <c r="T2016" s="19"/>
      <c r="U2016" s="19"/>
      <c r="V2016" s="19"/>
      <c r="W2016" s="19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</row>
    <row r="2017" spans="1:36" ht="11.25" customHeight="1" x14ac:dyDescent="0.2">
      <c r="A2017" s="55" t="s">
        <v>21</v>
      </c>
      <c r="B2017" s="55" t="s">
        <v>37</v>
      </c>
      <c r="C2017" s="55" t="s">
        <v>33</v>
      </c>
      <c r="D2017" s="55" t="s">
        <v>38</v>
      </c>
      <c r="E2017" s="55" t="s">
        <v>25</v>
      </c>
      <c r="F2017" s="55" t="s">
        <v>25</v>
      </c>
      <c r="G2017" s="55" t="s">
        <v>25</v>
      </c>
      <c r="H2017" s="55" t="s">
        <v>34</v>
      </c>
      <c r="I2017" s="63">
        <v>44501</v>
      </c>
      <c r="J2017" s="64">
        <f>EFEITO!$J$2017*EFEITO!$Y$2017</f>
        <v>0</v>
      </c>
      <c r="K2017" s="64">
        <f ca="1">EFEITO!$L$2017*EFEITO!$Z$2017</f>
        <v>141.84283511406412</v>
      </c>
      <c r="L2017" s="64">
        <f>EFEITO!$N$2017*EFEITO!$AA$2017</f>
        <v>52.958262905723657</v>
      </c>
      <c r="M2017" s="64">
        <f>$J$2017-EFEITO!$K$2017*EFEITO!$Y$2017</f>
        <v>0</v>
      </c>
      <c r="N2017" s="64">
        <f ca="1">$K$2017-EFEITO!$M$2017*EFEITO!$Z$2017</f>
        <v>0</v>
      </c>
      <c r="O2017" s="64">
        <f>$L$2017-EFEITO!$O$2017*EFEITO!$AA$2017</f>
        <v>0</v>
      </c>
      <c r="P2017" s="19"/>
      <c r="Q2017" s="19"/>
      <c r="R2017" s="19"/>
      <c r="S2017" s="19"/>
      <c r="T2017" s="19"/>
      <c r="U2017" s="19"/>
      <c r="V2017" s="19"/>
      <c r="W2017" s="19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</row>
    <row r="2018" spans="1:36" ht="11.25" customHeight="1" x14ac:dyDescent="0.2">
      <c r="A2018" s="55" t="s">
        <v>21</v>
      </c>
      <c r="B2018" s="55" t="s">
        <v>37</v>
      </c>
      <c r="C2018" s="55" t="s">
        <v>33</v>
      </c>
      <c r="D2018" s="55" t="s">
        <v>38</v>
      </c>
      <c r="E2018" s="55" t="s">
        <v>25</v>
      </c>
      <c r="F2018" s="55" t="s">
        <v>25</v>
      </c>
      <c r="G2018" s="55" t="s">
        <v>25</v>
      </c>
      <c r="H2018" s="55" t="s">
        <v>34</v>
      </c>
      <c r="I2018" s="63">
        <v>44531</v>
      </c>
      <c r="J2018" s="64">
        <f>EFEITO!$J$2018*EFEITO!$Y$2018</f>
        <v>0</v>
      </c>
      <c r="K2018" s="64">
        <f ca="1">EFEITO!$L$2018*EFEITO!$Z$2018</f>
        <v>172.7201869756291</v>
      </c>
      <c r="L2018" s="64">
        <f>EFEITO!$N$2018*EFEITO!$AA$2018</f>
        <v>64.486592245745129</v>
      </c>
      <c r="M2018" s="64">
        <f>$J$2018-EFEITO!$K$2018*EFEITO!$Y$2018</f>
        <v>0</v>
      </c>
      <c r="N2018" s="64">
        <f ca="1">$K$2018-EFEITO!$M$2018*EFEITO!$Z$2018</f>
        <v>0</v>
      </c>
      <c r="O2018" s="64">
        <f>$L$2018-EFEITO!$O$2018*EFEITO!$AA$2018</f>
        <v>0</v>
      </c>
      <c r="P2018" s="19"/>
      <c r="Q2018" s="19"/>
      <c r="R2018" s="19"/>
      <c r="S2018" s="19"/>
      <c r="T2018" s="19"/>
      <c r="U2018" s="19"/>
      <c r="V2018" s="19"/>
      <c r="W2018" s="19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</row>
    <row r="2019" spans="1:36" ht="11.25" customHeight="1" x14ac:dyDescent="0.2">
      <c r="A2019" s="55" t="s">
        <v>21</v>
      </c>
      <c r="B2019" s="55" t="s">
        <v>37</v>
      </c>
      <c r="C2019" s="55" t="s">
        <v>33</v>
      </c>
      <c r="D2019" s="55" t="s">
        <v>38</v>
      </c>
      <c r="E2019" s="55" t="s">
        <v>25</v>
      </c>
      <c r="F2019" s="55" t="s">
        <v>25</v>
      </c>
      <c r="G2019" s="55" t="s">
        <v>25</v>
      </c>
      <c r="H2019" s="55" t="s">
        <v>34</v>
      </c>
      <c r="I2019" s="63">
        <v>44562</v>
      </c>
      <c r="J2019" s="64">
        <f>EFEITO!$J$2019*EFEITO!$Y$2019</f>
        <v>0</v>
      </c>
      <c r="K2019" s="64">
        <f ca="1">EFEITO!$L$2019*EFEITO!$Z$2019</f>
        <v>103.24614528710791</v>
      </c>
      <c r="L2019" s="64">
        <f>EFEITO!$N$2019*EFEITO!$AA$2019</f>
        <v>38.547851230696814</v>
      </c>
      <c r="M2019" s="64">
        <f>$J$2019-EFEITO!$K$2019*EFEITO!$Y$2019</f>
        <v>0</v>
      </c>
      <c r="N2019" s="64">
        <f ca="1">$K$2019-EFEITO!$M$2019*EFEITO!$Z$2019</f>
        <v>0</v>
      </c>
      <c r="O2019" s="64">
        <f>$L$2019-EFEITO!$O$2019*EFEITO!$AA$2019</f>
        <v>0</v>
      </c>
      <c r="P2019" s="19"/>
      <c r="Q2019" s="19"/>
      <c r="R2019" s="19"/>
      <c r="S2019" s="19"/>
      <c r="T2019" s="19"/>
      <c r="U2019" s="19"/>
      <c r="V2019" s="19"/>
      <c r="W2019" s="19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</row>
    <row r="2020" spans="1:36" ht="11.25" customHeight="1" x14ac:dyDescent="0.2">
      <c r="A2020" s="55" t="s">
        <v>28</v>
      </c>
      <c r="B2020" s="55" t="s">
        <v>37</v>
      </c>
      <c r="C2020" s="55" t="s">
        <v>33</v>
      </c>
      <c r="D2020" s="55" t="s">
        <v>38</v>
      </c>
      <c r="E2020" s="55" t="s">
        <v>25</v>
      </c>
      <c r="F2020" s="55" t="s">
        <v>25</v>
      </c>
      <c r="G2020" s="55" t="s">
        <v>25</v>
      </c>
      <c r="H2020" s="55" t="s">
        <v>34</v>
      </c>
      <c r="I2020" s="63">
        <v>44562</v>
      </c>
      <c r="J2020" s="64">
        <f>EFEITO!$J$2020*EFEITO!$Y$2020</f>
        <v>0</v>
      </c>
      <c r="K2020" s="64">
        <f ca="1">EFEITO!$L$2020*EFEITO!$Z$2020</f>
        <v>43.421276055325755</v>
      </c>
      <c r="L2020" s="64">
        <f>EFEITO!$N$2020*EFEITO!$AA$2020</f>
        <v>16.211713134405201</v>
      </c>
      <c r="M2020" s="64">
        <f>$J$2020-EFEITO!$K$2020*EFEITO!$Y$2020</f>
        <v>0</v>
      </c>
      <c r="N2020" s="64">
        <f ca="1">$K$2020-EFEITO!$M$2020*EFEITO!$Z$2020</f>
        <v>0</v>
      </c>
      <c r="O2020" s="64">
        <f>$L$2020-EFEITO!$O$2020*EFEITO!$AA$2020</f>
        <v>0</v>
      </c>
      <c r="P2020" s="19"/>
      <c r="Q2020" s="19"/>
      <c r="R2020" s="19"/>
      <c r="S2020" s="19"/>
      <c r="T2020" s="19"/>
      <c r="U2020" s="19"/>
      <c r="V2020" s="19"/>
      <c r="W2020" s="19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</row>
    <row r="2021" spans="1:36" ht="11.25" customHeight="1" x14ac:dyDescent="0.2">
      <c r="A2021" s="55" t="s">
        <v>21</v>
      </c>
      <c r="B2021" s="55" t="s">
        <v>37</v>
      </c>
      <c r="C2021" s="55" t="s">
        <v>33</v>
      </c>
      <c r="D2021" s="55" t="s">
        <v>38</v>
      </c>
      <c r="E2021" s="55" t="s">
        <v>25</v>
      </c>
      <c r="F2021" s="55" t="s">
        <v>25</v>
      </c>
      <c r="G2021" s="55" t="s">
        <v>25</v>
      </c>
      <c r="H2021" s="55" t="s">
        <v>34</v>
      </c>
      <c r="I2021" s="63">
        <v>44593</v>
      </c>
      <c r="J2021" s="64">
        <f>EFEITO!$J$2021*EFEITO!$Y$2021</f>
        <v>0</v>
      </c>
      <c r="K2021" s="64">
        <f ca="1">EFEITO!$L$2021*EFEITO!$Z$2021</f>
        <v>101.31631079576009</v>
      </c>
      <c r="L2021" s="64">
        <f>EFEITO!$N$2021*EFEITO!$AA$2021</f>
        <v>37.82733064694547</v>
      </c>
      <c r="M2021" s="64">
        <f>$J$2021-EFEITO!$K$2021*EFEITO!$Y$2021</f>
        <v>0</v>
      </c>
      <c r="N2021" s="64">
        <f ca="1">$K$2021-EFEITO!$M$2021*EFEITO!$Z$2021</f>
        <v>0</v>
      </c>
      <c r="O2021" s="64">
        <f>$L$2021-EFEITO!$O$2021*EFEITO!$AA$2021</f>
        <v>0</v>
      </c>
      <c r="P2021" s="19"/>
      <c r="Q2021" s="19"/>
      <c r="R2021" s="19"/>
      <c r="S2021" s="19"/>
      <c r="T2021" s="19"/>
      <c r="U2021" s="19"/>
      <c r="V2021" s="19"/>
      <c r="W2021" s="19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</row>
    <row r="2022" spans="1:36" ht="11.25" customHeight="1" x14ac:dyDescent="0.2">
      <c r="A2022" s="55" t="s">
        <v>21</v>
      </c>
      <c r="B2022" s="55" t="s">
        <v>37</v>
      </c>
      <c r="C2022" s="55" t="s">
        <v>33</v>
      </c>
      <c r="D2022" s="55" t="s">
        <v>38</v>
      </c>
      <c r="E2022" s="55" t="s">
        <v>25</v>
      </c>
      <c r="F2022" s="55" t="s">
        <v>25</v>
      </c>
      <c r="G2022" s="55" t="s">
        <v>25</v>
      </c>
      <c r="H2022" s="55" t="s">
        <v>34</v>
      </c>
      <c r="I2022" s="63">
        <v>44621</v>
      </c>
      <c r="J2022" s="64">
        <f>EFEITO!$J$2022*EFEITO!$Y$2022</f>
        <v>0</v>
      </c>
      <c r="K2022" s="64">
        <f ca="1">EFEITO!$L$2022*EFEITO!$Z$2022</f>
        <v>125.43924193760773</v>
      </c>
      <c r="L2022" s="64">
        <f>EFEITO!$N$2022*EFEITO!$AA$2022</f>
        <v>46.833837943837253</v>
      </c>
      <c r="M2022" s="64">
        <f>$J$2022-EFEITO!$K$2022*EFEITO!$Y$2022</f>
        <v>0</v>
      </c>
      <c r="N2022" s="64">
        <f ca="1">$K$2022-EFEITO!$M$2022*EFEITO!$Z$2022</f>
        <v>0</v>
      </c>
      <c r="O2022" s="64">
        <f>$L$2022-EFEITO!$O$2022*EFEITO!$AA$2022</f>
        <v>0</v>
      </c>
      <c r="P2022" s="19"/>
      <c r="Q2022" s="19"/>
      <c r="R2022" s="19"/>
      <c r="S2022" s="19"/>
      <c r="T2022" s="19"/>
      <c r="U2022" s="19"/>
      <c r="V2022" s="19"/>
      <c r="W2022" s="19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</row>
    <row r="2023" spans="1:36" ht="11.25" customHeight="1" x14ac:dyDescent="0.2">
      <c r="A2023" s="55" t="s">
        <v>21</v>
      </c>
      <c r="B2023" s="55" t="s">
        <v>37</v>
      </c>
      <c r="C2023" s="55" t="s">
        <v>33</v>
      </c>
      <c r="D2023" s="55" t="s">
        <v>38</v>
      </c>
      <c r="E2023" s="55" t="s">
        <v>25</v>
      </c>
      <c r="F2023" s="55" t="s">
        <v>25</v>
      </c>
      <c r="G2023" s="55" t="s">
        <v>25</v>
      </c>
      <c r="H2023" s="55" t="s">
        <v>34</v>
      </c>
      <c r="I2023" s="63">
        <v>44652</v>
      </c>
      <c r="J2023" s="64">
        <f>EFEITO!$J$2023*EFEITO!$Y$2023</f>
        <v>0</v>
      </c>
      <c r="K2023" s="64">
        <f ca="1">EFEITO!$L$2023*EFEITO!$Z$2023</f>
        <v>114.82515223519476</v>
      </c>
      <c r="L2023" s="64">
        <f>EFEITO!$N$2023*EFEITO!$AA$2023</f>
        <v>42.870974733204868</v>
      </c>
      <c r="M2023" s="64">
        <f>$J$2023-EFEITO!$K$2023*EFEITO!$Y$2023</f>
        <v>0</v>
      </c>
      <c r="N2023" s="64">
        <f ca="1">$K$2023-EFEITO!$M$2023*EFEITO!$Z$2023</f>
        <v>0</v>
      </c>
      <c r="O2023" s="64">
        <f>$L$2023-EFEITO!$O$2023*EFEITO!$AA$2023</f>
        <v>0</v>
      </c>
      <c r="P2023" s="19"/>
      <c r="Q2023" s="19"/>
      <c r="R2023" s="19"/>
      <c r="S2023" s="19"/>
      <c r="T2023" s="19"/>
      <c r="U2023" s="19"/>
      <c r="V2023" s="19"/>
      <c r="W2023" s="19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</row>
    <row r="2024" spans="1:36" ht="11.25" customHeight="1" x14ac:dyDescent="0.2">
      <c r="A2024" s="55" t="s">
        <v>21</v>
      </c>
      <c r="B2024" s="55" t="s">
        <v>37</v>
      </c>
      <c r="C2024" s="55" t="s">
        <v>33</v>
      </c>
      <c r="D2024" s="55" t="s">
        <v>38</v>
      </c>
      <c r="E2024" s="55" t="s">
        <v>25</v>
      </c>
      <c r="F2024" s="55" t="s">
        <v>25</v>
      </c>
      <c r="G2024" s="55" t="s">
        <v>25</v>
      </c>
      <c r="H2024" s="55" t="s">
        <v>34</v>
      </c>
      <c r="I2024" s="63">
        <v>44682</v>
      </c>
      <c r="J2024" s="64">
        <f>EFEITO!$J$2024*EFEITO!$Y$2024</f>
        <v>0</v>
      </c>
      <c r="K2024" s="64">
        <f ca="1">EFEITO!$L$2024*EFEITO!$Z$2024</f>
        <v>113.86023498952086</v>
      </c>
      <c r="L2024" s="64">
        <f>EFEITO!$N$2024*EFEITO!$AA$2024</f>
        <v>42.510714441329192</v>
      </c>
      <c r="M2024" s="64">
        <f>$J$2024-EFEITO!$K$2024*EFEITO!$Y$2024</f>
        <v>0</v>
      </c>
      <c r="N2024" s="64">
        <f ca="1">$K$2024-EFEITO!$M$2024*EFEITO!$Z$2024</f>
        <v>0</v>
      </c>
      <c r="O2024" s="64">
        <f>$L$2024-EFEITO!$O$2024*EFEITO!$AA$2024</f>
        <v>0</v>
      </c>
      <c r="P2024" s="19"/>
      <c r="Q2024" s="19"/>
      <c r="R2024" s="19"/>
      <c r="S2024" s="19"/>
      <c r="T2024" s="19"/>
      <c r="U2024" s="19"/>
      <c r="V2024" s="19"/>
      <c r="W2024" s="19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</row>
    <row r="2025" spans="1:36" ht="11.25" customHeight="1" x14ac:dyDescent="0.2">
      <c r="A2025" s="55" t="s">
        <v>21</v>
      </c>
      <c r="B2025" s="55" t="s">
        <v>37</v>
      </c>
      <c r="C2025" s="55" t="s">
        <v>33</v>
      </c>
      <c r="D2025" s="55" t="s">
        <v>38</v>
      </c>
      <c r="E2025" s="55" t="s">
        <v>25</v>
      </c>
      <c r="F2025" s="55" t="s">
        <v>25</v>
      </c>
      <c r="G2025" s="55" t="s">
        <v>25</v>
      </c>
      <c r="H2025" s="55" t="s">
        <v>34</v>
      </c>
      <c r="I2025" s="63">
        <v>44713</v>
      </c>
      <c r="J2025" s="64">
        <f>EFEITO!$J$2025*EFEITO!$Y$2025</f>
        <v>0</v>
      </c>
      <c r="K2025" s="64">
        <f ca="1">EFEITO!$L$2025*EFEITO!$Z$2025</f>
        <v>93.596972830368856</v>
      </c>
      <c r="L2025" s="64">
        <f>EFEITO!$N$2025*EFEITO!$AA$2025</f>
        <v>34.945248311940105</v>
      </c>
      <c r="M2025" s="64">
        <f>$J$2025-EFEITO!$K$2025*EFEITO!$Y$2025</f>
        <v>0</v>
      </c>
      <c r="N2025" s="64">
        <f ca="1">$K$2025-EFEITO!$M$2025*EFEITO!$Z$2025</f>
        <v>0</v>
      </c>
      <c r="O2025" s="64">
        <f>$L$2025-EFEITO!$O$2025*EFEITO!$AA$2025</f>
        <v>0</v>
      </c>
      <c r="P2025" s="19"/>
      <c r="Q2025" s="19"/>
      <c r="R2025" s="19"/>
      <c r="S2025" s="19"/>
      <c r="T2025" s="19"/>
      <c r="U2025" s="19"/>
      <c r="V2025" s="19"/>
      <c r="W2025" s="19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</row>
    <row r="2026" spans="1:36" ht="11.25" customHeight="1" x14ac:dyDescent="0.2">
      <c r="A2026" s="55" t="s">
        <v>57</v>
      </c>
      <c r="B2026" s="55" t="s">
        <v>37</v>
      </c>
      <c r="C2026" s="55" t="s">
        <v>33</v>
      </c>
      <c r="D2026" s="55" t="s">
        <v>38</v>
      </c>
      <c r="E2026" s="55" t="s">
        <v>25</v>
      </c>
      <c r="F2026" s="55" t="s">
        <v>25</v>
      </c>
      <c r="G2026" s="55" t="s">
        <v>25</v>
      </c>
      <c r="H2026" s="55" t="s">
        <v>34</v>
      </c>
      <c r="I2026" s="63">
        <v>44743</v>
      </c>
      <c r="J2026" s="64">
        <f>EFEITO!$J$2026*EFEITO!$Y$2026</f>
        <v>0</v>
      </c>
      <c r="K2026" s="64">
        <f ca="1">EFEITO!$L$2026*EFEITO!$Z$2026</f>
        <v>93.596972830368856</v>
      </c>
      <c r="L2026" s="64">
        <f>EFEITO!$N$2026*EFEITO!$AA$2026</f>
        <v>34.945248311940105</v>
      </c>
      <c r="M2026" s="64">
        <f>$J$2026-EFEITO!$K$2026*EFEITO!$Y$2026</f>
        <v>0</v>
      </c>
      <c r="N2026" s="64">
        <f ca="1">$K$2026-EFEITO!$M$2026*EFEITO!$Z$2026</f>
        <v>0</v>
      </c>
      <c r="O2026" s="64">
        <f>$L$2026-EFEITO!$O$2026*EFEITO!$AA$2026</f>
        <v>0</v>
      </c>
      <c r="P2026" s="19"/>
      <c r="Q2026" s="19"/>
      <c r="R2026" s="19"/>
      <c r="S2026" s="19"/>
      <c r="T2026" s="19"/>
      <c r="U2026" s="19"/>
      <c r="V2026" s="19"/>
      <c r="W2026" s="19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</row>
    <row r="2027" spans="1:36" ht="11.25" customHeight="1" x14ac:dyDescent="0.2">
      <c r="A2027" s="55" t="s">
        <v>21</v>
      </c>
      <c r="B2027" s="55" t="s">
        <v>37</v>
      </c>
      <c r="C2027" s="55" t="s">
        <v>23</v>
      </c>
      <c r="D2027" s="55" t="s">
        <v>43</v>
      </c>
      <c r="E2027" s="55" t="s">
        <v>25</v>
      </c>
      <c r="F2027" s="55" t="s">
        <v>25</v>
      </c>
      <c r="G2027" s="55" t="s">
        <v>25</v>
      </c>
      <c r="H2027" s="55" t="s">
        <v>25</v>
      </c>
      <c r="I2027" s="63">
        <v>44409</v>
      </c>
      <c r="J2027" s="64">
        <f>EFEITO!$J$2027*EFEITO!$Y$2027</f>
        <v>0</v>
      </c>
      <c r="K2027" s="64">
        <f ca="1">EFEITO!$L$2027*EFEITO!$Z$2027</f>
        <v>12192158.858019738</v>
      </c>
      <c r="L2027" s="64">
        <f>EFEITO!$N$2027*EFEITO!$AA$2027</f>
        <v>8289843.9524239451</v>
      </c>
      <c r="M2027" s="64">
        <f>$J$2027-EFEITO!$K$2027*EFEITO!$Y$2027</f>
        <v>0</v>
      </c>
      <c r="N2027" s="64">
        <f ca="1">$K$2027-EFEITO!$M$2027*EFEITO!$Z$2027</f>
        <v>0</v>
      </c>
      <c r="O2027" s="64">
        <f>$L$2027-EFEITO!$O$2027*EFEITO!$AA$2027</f>
        <v>0</v>
      </c>
      <c r="P2027" s="19"/>
      <c r="Q2027" s="19"/>
      <c r="R2027" s="19"/>
      <c r="S2027" s="19"/>
      <c r="T2027" s="19"/>
      <c r="U2027" s="19"/>
      <c r="V2027" s="19"/>
      <c r="W2027" s="19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</row>
    <row r="2028" spans="1:36" ht="11.25" customHeight="1" x14ac:dyDescent="0.2">
      <c r="A2028" s="55" t="s">
        <v>27</v>
      </c>
      <c r="B2028" s="55" t="s">
        <v>37</v>
      </c>
      <c r="C2028" s="55" t="s">
        <v>23</v>
      </c>
      <c r="D2028" s="55" t="s">
        <v>43</v>
      </c>
      <c r="E2028" s="55" t="s">
        <v>25</v>
      </c>
      <c r="F2028" s="55" t="s">
        <v>25</v>
      </c>
      <c r="G2028" s="55" t="s">
        <v>25</v>
      </c>
      <c r="H2028" s="55" t="s">
        <v>25</v>
      </c>
      <c r="I2028" s="63">
        <v>44409</v>
      </c>
      <c r="J2028" s="64">
        <f>EFEITO!$J$2028*EFEITO!$Y$2028</f>
        <v>0</v>
      </c>
      <c r="K2028" s="64">
        <f ca="1">EFEITO!$L$2028*EFEITO!$Z$2028</f>
        <v>-92558.846496145576</v>
      </c>
      <c r="L2028" s="64">
        <f>EFEITO!$N$2028*EFEITO!$AA$2028</f>
        <v>-62933.759542076215</v>
      </c>
      <c r="M2028" s="64">
        <f>$J$2028-EFEITO!$K$2028*EFEITO!$Y$2028</f>
        <v>0</v>
      </c>
      <c r="N2028" s="64">
        <f ca="1">$K$2028-EFEITO!$M$2028*EFEITO!$Z$2028</f>
        <v>0</v>
      </c>
      <c r="O2028" s="64">
        <f>$L$2028-EFEITO!$O$2028*EFEITO!$AA$2028</f>
        <v>0</v>
      </c>
      <c r="P2028" s="19"/>
      <c r="Q2028" s="19"/>
      <c r="R2028" s="19"/>
      <c r="S2028" s="19"/>
      <c r="T2028" s="19"/>
      <c r="U2028" s="19"/>
      <c r="V2028" s="19"/>
      <c r="W2028" s="19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</row>
    <row r="2029" spans="1:36" ht="11.25" customHeight="1" x14ac:dyDescent="0.2">
      <c r="A2029" s="55" t="s">
        <v>28</v>
      </c>
      <c r="B2029" s="55" t="s">
        <v>37</v>
      </c>
      <c r="C2029" s="55" t="s">
        <v>23</v>
      </c>
      <c r="D2029" s="55" t="s">
        <v>43</v>
      </c>
      <c r="E2029" s="55" t="s">
        <v>25</v>
      </c>
      <c r="F2029" s="55" t="s">
        <v>25</v>
      </c>
      <c r="G2029" s="55" t="s">
        <v>25</v>
      </c>
      <c r="H2029" s="55" t="s">
        <v>25</v>
      </c>
      <c r="I2029" s="63">
        <v>44409</v>
      </c>
      <c r="J2029" s="64">
        <f>EFEITO!$J$2029*EFEITO!$Y$2029</f>
        <v>0</v>
      </c>
      <c r="K2029" s="64">
        <f ca="1">EFEITO!$L$2029*EFEITO!$Z$2029</f>
        <v>912485.89924066991</v>
      </c>
      <c r="L2029" s="64">
        <f>EFEITO!$N$2029*EFEITO!$AA$2029</f>
        <v>620428.73633628199</v>
      </c>
      <c r="M2029" s="64">
        <f>$J$2029-EFEITO!$K$2029*EFEITO!$Y$2029</f>
        <v>0</v>
      </c>
      <c r="N2029" s="64">
        <f ca="1">$K$2029-EFEITO!$M$2029*EFEITO!$Z$2029</f>
        <v>0</v>
      </c>
      <c r="O2029" s="64">
        <f>$L$2029-EFEITO!$O$2029*EFEITO!$AA$2029</f>
        <v>0</v>
      </c>
      <c r="P2029" s="19"/>
      <c r="Q2029" s="19"/>
      <c r="R2029" s="19"/>
      <c r="S2029" s="19"/>
      <c r="T2029" s="19"/>
      <c r="U2029" s="19"/>
      <c r="V2029" s="19"/>
      <c r="W2029" s="19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</row>
    <row r="2030" spans="1:36" ht="11.25" customHeight="1" x14ac:dyDescent="0.2">
      <c r="A2030" s="55" t="s">
        <v>28</v>
      </c>
      <c r="B2030" s="55" t="s">
        <v>37</v>
      </c>
      <c r="C2030" s="55" t="s">
        <v>23</v>
      </c>
      <c r="D2030" s="55" t="s">
        <v>43</v>
      </c>
      <c r="E2030" s="55" t="s">
        <v>25</v>
      </c>
      <c r="F2030" s="55" t="s">
        <v>25</v>
      </c>
      <c r="G2030" s="55" t="s">
        <v>25</v>
      </c>
      <c r="H2030" s="55" t="s">
        <v>25</v>
      </c>
      <c r="I2030" s="63">
        <v>44409</v>
      </c>
      <c r="J2030" s="64">
        <f>EFEITO!$J$2030*EFEITO!$Y$2030</f>
        <v>0</v>
      </c>
      <c r="K2030" s="64">
        <f ca="1">EFEITO!$L$2030*EFEITO!$Z$2030</f>
        <v>-1137.5859955720023</v>
      </c>
      <c r="L2030" s="64">
        <f>EFEITO!$N$2030*EFEITO!$AA$2030</f>
        <v>-773.48158727046257</v>
      </c>
      <c r="M2030" s="64">
        <f>$J$2030-EFEITO!$K$2030*EFEITO!$Y$2030</f>
        <v>0</v>
      </c>
      <c r="N2030" s="64">
        <f ca="1">$K$2030-EFEITO!$M$2030*EFEITO!$Z$2030</f>
        <v>0</v>
      </c>
      <c r="O2030" s="64">
        <f>$L$2030-EFEITO!$O$2030*EFEITO!$AA$2030</f>
        <v>0</v>
      </c>
      <c r="P2030" s="19"/>
      <c r="Q2030" s="19"/>
      <c r="R2030" s="19"/>
      <c r="S2030" s="19"/>
      <c r="T2030" s="19"/>
      <c r="U2030" s="19"/>
      <c r="V2030" s="19"/>
      <c r="W2030" s="19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</row>
    <row r="2031" spans="1:36" ht="11.25" customHeight="1" x14ac:dyDescent="0.2">
      <c r="A2031" s="55" t="s">
        <v>21</v>
      </c>
      <c r="B2031" s="55" t="s">
        <v>37</v>
      </c>
      <c r="C2031" s="55" t="s">
        <v>23</v>
      </c>
      <c r="D2031" s="55" t="s">
        <v>43</v>
      </c>
      <c r="E2031" s="55" t="s">
        <v>25</v>
      </c>
      <c r="F2031" s="55" t="s">
        <v>25</v>
      </c>
      <c r="G2031" s="55" t="s">
        <v>25</v>
      </c>
      <c r="H2031" s="55" t="s">
        <v>25</v>
      </c>
      <c r="I2031" s="63">
        <v>44440</v>
      </c>
      <c r="J2031" s="64">
        <f>EFEITO!$J$2031*EFEITO!$Y$2031</f>
        <v>0</v>
      </c>
      <c r="K2031" s="64">
        <f ca="1">EFEITO!$L$2031*EFEITO!$Z$2031</f>
        <v>12210391.615631524</v>
      </c>
      <c r="L2031" s="64">
        <f>EFEITO!$N$2031*EFEITO!$AA$2031</f>
        <v>8302240.9952433687</v>
      </c>
      <c r="M2031" s="64">
        <f>$J$2031-EFEITO!$K$2031*EFEITO!$Y$2031</f>
        <v>0</v>
      </c>
      <c r="N2031" s="64">
        <f ca="1">$K$2031-EFEITO!$M$2031*EFEITO!$Z$2031</f>
        <v>0</v>
      </c>
      <c r="O2031" s="64">
        <f>$L$2031-EFEITO!$O$2031*EFEITO!$AA$2031</f>
        <v>0</v>
      </c>
      <c r="P2031" s="19"/>
      <c r="Q2031" s="19"/>
      <c r="R2031" s="19"/>
      <c r="S2031" s="19"/>
      <c r="T2031" s="19"/>
      <c r="U2031" s="19"/>
      <c r="V2031" s="19"/>
      <c r="W2031" s="19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</row>
    <row r="2032" spans="1:36" ht="11.25" customHeight="1" x14ac:dyDescent="0.2">
      <c r="A2032" s="55" t="s">
        <v>27</v>
      </c>
      <c r="B2032" s="55" t="s">
        <v>37</v>
      </c>
      <c r="C2032" s="55" t="s">
        <v>23</v>
      </c>
      <c r="D2032" s="55" t="s">
        <v>43</v>
      </c>
      <c r="E2032" s="55" t="s">
        <v>25</v>
      </c>
      <c r="F2032" s="55" t="s">
        <v>25</v>
      </c>
      <c r="G2032" s="55" t="s">
        <v>25</v>
      </c>
      <c r="H2032" s="55" t="s">
        <v>25</v>
      </c>
      <c r="I2032" s="63">
        <v>44440</v>
      </c>
      <c r="J2032" s="64">
        <f>EFEITO!$J$2032*EFEITO!$Y$2032</f>
        <v>0</v>
      </c>
      <c r="K2032" s="64">
        <f ca="1">EFEITO!$L$2032*EFEITO!$Z$2032</f>
        <v>-21329.915721990026</v>
      </c>
      <c r="L2032" s="64">
        <f>EFEITO!$N$2032*EFEITO!$AA$2032</f>
        <v>-14502.90099667968</v>
      </c>
      <c r="M2032" s="64">
        <f>$J$2032-EFEITO!$K$2032*EFEITO!$Y$2032</f>
        <v>0</v>
      </c>
      <c r="N2032" s="64">
        <f ca="1">$K$2032-EFEITO!$M$2032*EFEITO!$Z$2032</f>
        <v>0</v>
      </c>
      <c r="O2032" s="64">
        <f>$L$2032-EFEITO!$O$2032*EFEITO!$AA$2032</f>
        <v>0</v>
      </c>
      <c r="P2032" s="19"/>
      <c r="Q2032" s="19"/>
      <c r="R2032" s="19"/>
      <c r="S2032" s="19"/>
      <c r="T2032" s="19"/>
      <c r="U2032" s="19"/>
      <c r="V2032" s="19"/>
      <c r="W2032" s="19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</row>
    <row r="2033" spans="1:36" ht="11.25" customHeight="1" x14ac:dyDescent="0.2">
      <c r="A2033" s="55" t="s">
        <v>28</v>
      </c>
      <c r="B2033" s="55" t="s">
        <v>37</v>
      </c>
      <c r="C2033" s="55" t="s">
        <v>23</v>
      </c>
      <c r="D2033" s="55" t="s">
        <v>43</v>
      </c>
      <c r="E2033" s="55" t="s">
        <v>25</v>
      </c>
      <c r="F2033" s="55" t="s">
        <v>25</v>
      </c>
      <c r="G2033" s="55" t="s">
        <v>25</v>
      </c>
      <c r="H2033" s="55" t="s">
        <v>25</v>
      </c>
      <c r="I2033" s="63">
        <v>44440</v>
      </c>
      <c r="J2033" s="64">
        <f>EFEITO!$J$2033*EFEITO!$Y$2033</f>
        <v>0</v>
      </c>
      <c r="K2033" s="64">
        <f ca="1">EFEITO!$L$2033*EFEITO!$Z$2033</f>
        <v>890948.79309127328</v>
      </c>
      <c r="L2033" s="64">
        <f>EFEITO!$N$2033*EFEITO!$AA$2033</f>
        <v>605784.95985301794</v>
      </c>
      <c r="M2033" s="64">
        <f>$J$2033-EFEITO!$K$2033*EFEITO!$Y$2033</f>
        <v>0</v>
      </c>
      <c r="N2033" s="64">
        <f ca="1">$K$2033-EFEITO!$M$2033*EFEITO!$Z$2033</f>
        <v>0</v>
      </c>
      <c r="O2033" s="64">
        <f>$L$2033-EFEITO!$O$2033*EFEITO!$AA$2033</f>
        <v>0</v>
      </c>
      <c r="P2033" s="19"/>
      <c r="Q2033" s="19"/>
      <c r="R2033" s="19"/>
      <c r="S2033" s="19"/>
      <c r="T2033" s="19"/>
      <c r="U2033" s="19"/>
      <c r="V2033" s="19"/>
      <c r="W2033" s="19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</row>
    <row r="2034" spans="1:36" ht="11.25" customHeight="1" x14ac:dyDescent="0.2">
      <c r="A2034" s="55" t="s">
        <v>28</v>
      </c>
      <c r="B2034" s="55" t="s">
        <v>37</v>
      </c>
      <c r="C2034" s="55" t="s">
        <v>23</v>
      </c>
      <c r="D2034" s="55" t="s">
        <v>43</v>
      </c>
      <c r="E2034" s="55" t="s">
        <v>25</v>
      </c>
      <c r="F2034" s="55" t="s">
        <v>25</v>
      </c>
      <c r="G2034" s="55" t="s">
        <v>25</v>
      </c>
      <c r="H2034" s="55" t="s">
        <v>25</v>
      </c>
      <c r="I2034" s="63">
        <v>44440</v>
      </c>
      <c r="J2034" s="64">
        <f>EFEITO!$J$2034*EFEITO!$Y$2034</f>
        <v>0</v>
      </c>
      <c r="K2034" s="64">
        <f ca="1">EFEITO!$L$2034*EFEITO!$Z$2034</f>
        <v>-483.56320062559104</v>
      </c>
      <c r="L2034" s="64">
        <f>EFEITO!$N$2034*EFEITO!$AA$2034</f>
        <v>-328.79029226919977</v>
      </c>
      <c r="M2034" s="64">
        <f>$J$2034-EFEITO!$K$2034*EFEITO!$Y$2034</f>
        <v>0</v>
      </c>
      <c r="N2034" s="64">
        <f ca="1">$K$2034-EFEITO!$M$2034*EFEITO!$Z$2034</f>
        <v>0</v>
      </c>
      <c r="O2034" s="64">
        <f>$L$2034-EFEITO!$O$2034*EFEITO!$AA$2034</f>
        <v>0</v>
      </c>
      <c r="P2034" s="19"/>
      <c r="Q2034" s="19"/>
      <c r="R2034" s="19"/>
      <c r="S2034" s="19"/>
      <c r="T2034" s="19"/>
      <c r="U2034" s="19"/>
      <c r="V2034" s="19"/>
      <c r="W2034" s="19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</row>
    <row r="2035" spans="1:36" ht="11.25" customHeight="1" x14ac:dyDescent="0.2">
      <c r="A2035" s="55" t="s">
        <v>21</v>
      </c>
      <c r="B2035" s="55" t="s">
        <v>37</v>
      </c>
      <c r="C2035" s="55" t="s">
        <v>23</v>
      </c>
      <c r="D2035" s="55" t="s">
        <v>43</v>
      </c>
      <c r="E2035" s="55" t="s">
        <v>25</v>
      </c>
      <c r="F2035" s="55" t="s">
        <v>25</v>
      </c>
      <c r="G2035" s="55" t="s">
        <v>25</v>
      </c>
      <c r="H2035" s="55" t="s">
        <v>25</v>
      </c>
      <c r="I2035" s="63">
        <v>44470</v>
      </c>
      <c r="J2035" s="64">
        <f>EFEITO!$J$2035*EFEITO!$Y$2035</f>
        <v>0</v>
      </c>
      <c r="K2035" s="64">
        <f ca="1">EFEITO!$L$2035*EFEITO!$Z$2035</f>
        <v>12883083.658866396</v>
      </c>
      <c r="L2035" s="64">
        <f>EFEITO!$N$2035*EFEITO!$AA$2035</f>
        <v>8759626.1172216795</v>
      </c>
      <c r="M2035" s="64">
        <f>$J$2035-EFEITO!$K$2035*EFEITO!$Y$2035</f>
        <v>0</v>
      </c>
      <c r="N2035" s="64">
        <f ca="1">$K$2035-EFEITO!$M$2035*EFEITO!$Z$2035</f>
        <v>0</v>
      </c>
      <c r="O2035" s="64">
        <f>$L$2035-EFEITO!$O$2035*EFEITO!$AA$2035</f>
        <v>0</v>
      </c>
      <c r="P2035" s="19"/>
      <c r="Q2035" s="19"/>
      <c r="R2035" s="19"/>
      <c r="S2035" s="19"/>
      <c r="T2035" s="19"/>
      <c r="U2035" s="19"/>
      <c r="V2035" s="19"/>
      <c r="W2035" s="19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</row>
    <row r="2036" spans="1:36" ht="11.25" customHeight="1" x14ac:dyDescent="0.2">
      <c r="A2036" s="55" t="s">
        <v>27</v>
      </c>
      <c r="B2036" s="55" t="s">
        <v>37</v>
      </c>
      <c r="C2036" s="55" t="s">
        <v>23</v>
      </c>
      <c r="D2036" s="55" t="s">
        <v>43</v>
      </c>
      <c r="E2036" s="55" t="s">
        <v>25</v>
      </c>
      <c r="F2036" s="55" t="s">
        <v>25</v>
      </c>
      <c r="G2036" s="55" t="s">
        <v>25</v>
      </c>
      <c r="H2036" s="55" t="s">
        <v>25</v>
      </c>
      <c r="I2036" s="63">
        <v>44470</v>
      </c>
      <c r="J2036" s="64">
        <f>EFEITO!$J$2036*EFEITO!$Y$2036</f>
        <v>0</v>
      </c>
      <c r="K2036" s="64">
        <f ca="1">EFEITO!$L$2036*EFEITO!$Z$2036</f>
        <v>-2421.0254933975939</v>
      </c>
      <c r="L2036" s="64">
        <f>EFEITO!$N$2036*EFEITO!$AA$2036</f>
        <v>-1646.133697799113</v>
      </c>
      <c r="M2036" s="64">
        <f>$J$2036-EFEITO!$K$2036*EFEITO!$Y$2036</f>
        <v>0</v>
      </c>
      <c r="N2036" s="64">
        <f ca="1">$K$2036-EFEITO!$M$2036*EFEITO!$Z$2036</f>
        <v>0</v>
      </c>
      <c r="O2036" s="64">
        <f>$L$2036-EFEITO!$O$2036*EFEITO!$AA$2036</f>
        <v>0</v>
      </c>
      <c r="P2036" s="19"/>
      <c r="Q2036" s="19"/>
      <c r="R2036" s="19"/>
      <c r="S2036" s="19"/>
      <c r="T2036" s="19"/>
      <c r="U2036" s="19"/>
      <c r="V2036" s="19"/>
      <c r="W2036" s="19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</row>
    <row r="2037" spans="1:36" ht="11.25" customHeight="1" x14ac:dyDescent="0.2">
      <c r="A2037" s="55" t="s">
        <v>28</v>
      </c>
      <c r="B2037" s="55" t="s">
        <v>37</v>
      </c>
      <c r="C2037" s="55" t="s">
        <v>23</v>
      </c>
      <c r="D2037" s="55" t="s">
        <v>43</v>
      </c>
      <c r="E2037" s="55" t="s">
        <v>25</v>
      </c>
      <c r="F2037" s="55" t="s">
        <v>25</v>
      </c>
      <c r="G2037" s="55" t="s">
        <v>25</v>
      </c>
      <c r="H2037" s="55" t="s">
        <v>25</v>
      </c>
      <c r="I2037" s="63">
        <v>44470</v>
      </c>
      <c r="J2037" s="64">
        <f>EFEITO!$J$2037*EFEITO!$Y$2037</f>
        <v>0</v>
      </c>
      <c r="K2037" s="64">
        <f ca="1">EFEITO!$L$2037*EFEITO!$Z$2037</f>
        <v>948609.78205554537</v>
      </c>
      <c r="L2037" s="64">
        <f>EFEITO!$N$2037*EFEITO!$AA$2037</f>
        <v>644990.53502823296</v>
      </c>
      <c r="M2037" s="64">
        <f>$J$2037-EFEITO!$K$2037*EFEITO!$Y$2037</f>
        <v>0</v>
      </c>
      <c r="N2037" s="64">
        <f ca="1">$K$2037-EFEITO!$M$2037*EFEITO!$Z$2037</f>
        <v>0</v>
      </c>
      <c r="O2037" s="64">
        <f>$L$2037-EFEITO!$O$2037*EFEITO!$AA$2037</f>
        <v>0</v>
      </c>
      <c r="P2037" s="19"/>
      <c r="Q2037" s="19"/>
      <c r="R2037" s="19"/>
      <c r="S2037" s="19"/>
      <c r="T2037" s="19"/>
      <c r="U2037" s="19"/>
      <c r="V2037" s="19"/>
      <c r="W2037" s="19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</row>
    <row r="2038" spans="1:36" ht="11.25" customHeight="1" x14ac:dyDescent="0.2">
      <c r="A2038" s="55" t="s">
        <v>28</v>
      </c>
      <c r="B2038" s="55" t="s">
        <v>37</v>
      </c>
      <c r="C2038" s="55" t="s">
        <v>23</v>
      </c>
      <c r="D2038" s="55" t="s">
        <v>43</v>
      </c>
      <c r="E2038" s="55" t="s">
        <v>25</v>
      </c>
      <c r="F2038" s="55" t="s">
        <v>25</v>
      </c>
      <c r="G2038" s="55" t="s">
        <v>25</v>
      </c>
      <c r="H2038" s="55" t="s">
        <v>25</v>
      </c>
      <c r="I2038" s="63">
        <v>44470</v>
      </c>
      <c r="J2038" s="64">
        <f>EFEITO!$J$2038*EFEITO!$Y$2038</f>
        <v>0</v>
      </c>
      <c r="K2038" s="64">
        <f ca="1">EFEITO!$L$2038*EFEITO!$Z$2038</f>
        <v>-35707.362299882319</v>
      </c>
      <c r="L2038" s="64">
        <f>EFEITO!$N$2038*EFEITO!$AA$2038</f>
        <v>-24278.592894480065</v>
      </c>
      <c r="M2038" s="64">
        <f>$J$2038-EFEITO!$K$2038*EFEITO!$Y$2038</f>
        <v>0</v>
      </c>
      <c r="N2038" s="64">
        <f ca="1">$K$2038-EFEITO!$M$2038*EFEITO!$Z$2038</f>
        <v>0</v>
      </c>
      <c r="O2038" s="64">
        <f>$L$2038-EFEITO!$O$2038*EFEITO!$AA$2038</f>
        <v>0</v>
      </c>
      <c r="P2038" s="19"/>
      <c r="Q2038" s="19"/>
      <c r="R2038" s="19"/>
      <c r="S2038" s="19"/>
      <c r="T2038" s="19"/>
      <c r="U2038" s="19"/>
      <c r="V2038" s="19"/>
      <c r="W2038" s="19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</row>
    <row r="2039" spans="1:36" ht="11.25" customHeight="1" x14ac:dyDescent="0.2">
      <c r="A2039" s="55" t="s">
        <v>21</v>
      </c>
      <c r="B2039" s="55" t="s">
        <v>37</v>
      </c>
      <c r="C2039" s="55" t="s">
        <v>23</v>
      </c>
      <c r="D2039" s="55" t="s">
        <v>43</v>
      </c>
      <c r="E2039" s="55" t="s">
        <v>25</v>
      </c>
      <c r="F2039" s="55" t="s">
        <v>25</v>
      </c>
      <c r="G2039" s="55" t="s">
        <v>25</v>
      </c>
      <c r="H2039" s="55" t="s">
        <v>25</v>
      </c>
      <c r="I2039" s="63">
        <v>44501</v>
      </c>
      <c r="J2039" s="64">
        <f>EFEITO!$J$2039*EFEITO!$Y$2039</f>
        <v>0</v>
      </c>
      <c r="K2039" s="64">
        <f ca="1">EFEITO!$L$2039*EFEITO!$Z$2039</f>
        <v>12864140.890684957</v>
      </c>
      <c r="L2039" s="64">
        <f>EFEITO!$N$2039*EFEITO!$AA$2039</f>
        <v>8746746.3152046837</v>
      </c>
      <c r="M2039" s="64">
        <f>$J$2039-EFEITO!$K$2039*EFEITO!$Y$2039</f>
        <v>0</v>
      </c>
      <c r="N2039" s="64">
        <f ca="1">$K$2039-EFEITO!$M$2039*EFEITO!$Z$2039</f>
        <v>0</v>
      </c>
      <c r="O2039" s="64">
        <f>$L$2039-EFEITO!$O$2039*EFEITO!$AA$2039</f>
        <v>0</v>
      </c>
      <c r="P2039" s="19"/>
      <c r="Q2039" s="19"/>
      <c r="R2039" s="19"/>
      <c r="S2039" s="19"/>
      <c r="T2039" s="19"/>
      <c r="U2039" s="19"/>
      <c r="V2039" s="19"/>
      <c r="W2039" s="19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</row>
    <row r="2040" spans="1:36" ht="11.25" customHeight="1" x14ac:dyDescent="0.2">
      <c r="A2040" s="55" t="s">
        <v>27</v>
      </c>
      <c r="B2040" s="55" t="s">
        <v>37</v>
      </c>
      <c r="C2040" s="55" t="s">
        <v>23</v>
      </c>
      <c r="D2040" s="55" t="s">
        <v>43</v>
      </c>
      <c r="E2040" s="55" t="s">
        <v>25</v>
      </c>
      <c r="F2040" s="55" t="s">
        <v>25</v>
      </c>
      <c r="G2040" s="55" t="s">
        <v>25</v>
      </c>
      <c r="H2040" s="55" t="s">
        <v>25</v>
      </c>
      <c r="I2040" s="63">
        <v>44501</v>
      </c>
      <c r="J2040" s="64">
        <f>EFEITO!$J$2040*EFEITO!$Y$2040</f>
        <v>0</v>
      </c>
      <c r="K2040" s="64">
        <f ca="1">EFEITO!$L$2040*EFEITO!$Z$2040</f>
        <v>-27167.265302403226</v>
      </c>
      <c r="L2040" s="64">
        <f>EFEITO!$N$2040*EFEITO!$AA$2040</f>
        <v>-18471.904163460309</v>
      </c>
      <c r="M2040" s="64">
        <f>$J$2040-EFEITO!$K$2040*EFEITO!$Y$2040</f>
        <v>0</v>
      </c>
      <c r="N2040" s="64">
        <f ca="1">$K$2040-EFEITO!$M$2040*EFEITO!$Z$2040</f>
        <v>0</v>
      </c>
      <c r="O2040" s="64">
        <f>$L$2040-EFEITO!$O$2040*EFEITO!$AA$2040</f>
        <v>0</v>
      </c>
      <c r="P2040" s="19"/>
      <c r="Q2040" s="19"/>
      <c r="R2040" s="19"/>
      <c r="S2040" s="19"/>
      <c r="T2040" s="19"/>
      <c r="U2040" s="19"/>
      <c r="V2040" s="19"/>
      <c r="W2040" s="19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</row>
    <row r="2041" spans="1:36" ht="11.25" customHeight="1" x14ac:dyDescent="0.2">
      <c r="A2041" s="55" t="s">
        <v>28</v>
      </c>
      <c r="B2041" s="55" t="s">
        <v>37</v>
      </c>
      <c r="C2041" s="55" t="s">
        <v>23</v>
      </c>
      <c r="D2041" s="55" t="s">
        <v>43</v>
      </c>
      <c r="E2041" s="55" t="s">
        <v>25</v>
      </c>
      <c r="F2041" s="55" t="s">
        <v>25</v>
      </c>
      <c r="G2041" s="55" t="s">
        <v>25</v>
      </c>
      <c r="H2041" s="55" t="s">
        <v>25</v>
      </c>
      <c r="I2041" s="63">
        <v>44501</v>
      </c>
      <c r="J2041" s="64">
        <f>EFEITO!$J$2041*EFEITO!$Y$2041</f>
        <v>0</v>
      </c>
      <c r="K2041" s="64">
        <f ca="1">EFEITO!$L$2041*EFEITO!$Z$2041</f>
        <v>1035686.4625611178</v>
      </c>
      <c r="L2041" s="64">
        <f>EFEITO!$N$2041*EFEITO!$AA$2041</f>
        <v>704196.79223767319</v>
      </c>
      <c r="M2041" s="64">
        <f>$J$2041-EFEITO!$K$2041*EFEITO!$Y$2041</f>
        <v>0</v>
      </c>
      <c r="N2041" s="64">
        <f ca="1">$K$2041-EFEITO!$M$2041*EFEITO!$Z$2041</f>
        <v>0</v>
      </c>
      <c r="O2041" s="64">
        <f>$L$2041-EFEITO!$O$2041*EFEITO!$AA$2041</f>
        <v>0</v>
      </c>
      <c r="P2041" s="19"/>
      <c r="Q2041" s="19"/>
      <c r="R2041" s="19"/>
      <c r="S2041" s="19"/>
      <c r="T2041" s="19"/>
      <c r="U2041" s="19"/>
      <c r="V2041" s="19"/>
      <c r="W2041" s="19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</row>
    <row r="2042" spans="1:36" ht="11.25" customHeight="1" x14ac:dyDescent="0.2">
      <c r="A2042" s="55" t="s">
        <v>28</v>
      </c>
      <c r="B2042" s="55" t="s">
        <v>37</v>
      </c>
      <c r="C2042" s="55" t="s">
        <v>23</v>
      </c>
      <c r="D2042" s="55" t="s">
        <v>43</v>
      </c>
      <c r="E2042" s="55" t="s">
        <v>25</v>
      </c>
      <c r="F2042" s="55" t="s">
        <v>25</v>
      </c>
      <c r="G2042" s="55" t="s">
        <v>25</v>
      </c>
      <c r="H2042" s="55" t="s">
        <v>25</v>
      </c>
      <c r="I2042" s="63">
        <v>44501</v>
      </c>
      <c r="J2042" s="64">
        <f>EFEITO!$J$2042*EFEITO!$Y$2042</f>
        <v>0</v>
      </c>
      <c r="K2042" s="64">
        <f ca="1">EFEITO!$L$2042*EFEITO!$Z$2042</f>
        <v>-5688.286587889972</v>
      </c>
      <c r="L2042" s="64">
        <f>EFEITO!$N$2042*EFEITO!$AA$2042</f>
        <v>-3867.6504070693259</v>
      </c>
      <c r="M2042" s="64">
        <f>$J$2042-EFEITO!$K$2042*EFEITO!$Y$2042</f>
        <v>0</v>
      </c>
      <c r="N2042" s="64">
        <f ca="1">$K$2042-EFEITO!$M$2042*EFEITO!$Z$2042</f>
        <v>0</v>
      </c>
      <c r="O2042" s="64">
        <f>$L$2042-EFEITO!$O$2042*EFEITO!$AA$2042</f>
        <v>0</v>
      </c>
      <c r="P2042" s="19"/>
      <c r="Q2042" s="19"/>
      <c r="R2042" s="19"/>
      <c r="S2042" s="19"/>
      <c r="T2042" s="19"/>
      <c r="U2042" s="19"/>
      <c r="V2042" s="19"/>
      <c r="W2042" s="19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</row>
    <row r="2043" spans="1:36" ht="11.25" customHeight="1" x14ac:dyDescent="0.2">
      <c r="A2043" s="55" t="s">
        <v>21</v>
      </c>
      <c r="B2043" s="55" t="s">
        <v>37</v>
      </c>
      <c r="C2043" s="55" t="s">
        <v>23</v>
      </c>
      <c r="D2043" s="55" t="s">
        <v>43</v>
      </c>
      <c r="E2043" s="55" t="s">
        <v>25</v>
      </c>
      <c r="F2043" s="55" t="s">
        <v>25</v>
      </c>
      <c r="G2043" s="55" t="s">
        <v>25</v>
      </c>
      <c r="H2043" s="55" t="s">
        <v>25</v>
      </c>
      <c r="I2043" s="63">
        <v>44531</v>
      </c>
      <c r="J2043" s="64">
        <f>EFEITO!$J$2043*EFEITO!$Y$2043</f>
        <v>0</v>
      </c>
      <c r="K2043" s="64">
        <f ca="1">EFEITO!$L$2043*EFEITO!$Z$2043</f>
        <v>14336438.56410709</v>
      </c>
      <c r="L2043" s="64">
        <f>EFEITO!$N$2043*EFEITO!$AA$2043</f>
        <v>9747809.2201682329</v>
      </c>
      <c r="M2043" s="64">
        <f>$J$2043-EFEITO!$K$2043*EFEITO!$Y$2043</f>
        <v>0</v>
      </c>
      <c r="N2043" s="64">
        <f ca="1">$K$2043-EFEITO!$M$2043*EFEITO!$Z$2043</f>
        <v>0</v>
      </c>
      <c r="O2043" s="64">
        <f>$L$2043-EFEITO!$O$2043*EFEITO!$AA$2043</f>
        <v>0</v>
      </c>
      <c r="P2043" s="19"/>
      <c r="Q2043" s="19"/>
      <c r="R2043" s="19"/>
      <c r="S2043" s="19"/>
      <c r="T2043" s="19"/>
      <c r="U2043" s="19"/>
      <c r="V2043" s="19"/>
      <c r="W2043" s="19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</row>
    <row r="2044" spans="1:36" ht="11.25" customHeight="1" x14ac:dyDescent="0.2">
      <c r="A2044" s="55" t="s">
        <v>27</v>
      </c>
      <c r="B2044" s="55" t="s">
        <v>37</v>
      </c>
      <c r="C2044" s="55" t="s">
        <v>23</v>
      </c>
      <c r="D2044" s="55" t="s">
        <v>43</v>
      </c>
      <c r="E2044" s="55" t="s">
        <v>25</v>
      </c>
      <c r="F2044" s="55" t="s">
        <v>25</v>
      </c>
      <c r="G2044" s="55" t="s">
        <v>25</v>
      </c>
      <c r="H2044" s="55" t="s">
        <v>25</v>
      </c>
      <c r="I2044" s="63">
        <v>44531</v>
      </c>
      <c r="J2044" s="64">
        <f>EFEITO!$J$2044*EFEITO!$Y$2044</f>
        <v>0</v>
      </c>
      <c r="K2044" s="64">
        <f ca="1">EFEITO!$L$2044*EFEITO!$Z$2044</f>
        <v>-145965.47780299644</v>
      </c>
      <c r="L2044" s="64">
        <f>EFEITO!$N$2044*EFEITO!$AA$2044</f>
        <v>-99246.659063329818</v>
      </c>
      <c r="M2044" s="64">
        <f>$J$2044-EFEITO!$K$2044*EFEITO!$Y$2044</f>
        <v>0</v>
      </c>
      <c r="N2044" s="64">
        <f ca="1">$K$2044-EFEITO!$M$2044*EFEITO!$Z$2044</f>
        <v>0</v>
      </c>
      <c r="O2044" s="64">
        <f>$L$2044-EFEITO!$O$2044*EFEITO!$AA$2044</f>
        <v>0</v>
      </c>
      <c r="P2044" s="19"/>
      <c r="Q2044" s="19"/>
      <c r="R2044" s="19"/>
      <c r="S2044" s="19"/>
      <c r="T2044" s="19"/>
      <c r="U2044" s="19"/>
      <c r="V2044" s="19"/>
      <c r="W2044" s="19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</row>
    <row r="2045" spans="1:36" ht="11.25" customHeight="1" x14ac:dyDescent="0.2">
      <c r="A2045" s="55" t="s">
        <v>28</v>
      </c>
      <c r="B2045" s="55" t="s">
        <v>37</v>
      </c>
      <c r="C2045" s="55" t="s">
        <v>23</v>
      </c>
      <c r="D2045" s="55" t="s">
        <v>43</v>
      </c>
      <c r="E2045" s="55" t="s">
        <v>25</v>
      </c>
      <c r="F2045" s="55" t="s">
        <v>25</v>
      </c>
      <c r="G2045" s="55" t="s">
        <v>25</v>
      </c>
      <c r="H2045" s="55" t="s">
        <v>25</v>
      </c>
      <c r="I2045" s="63">
        <v>44531</v>
      </c>
      <c r="J2045" s="64">
        <f>EFEITO!$J$2045*EFEITO!$Y$2045</f>
        <v>0</v>
      </c>
      <c r="K2045" s="64">
        <f ca="1">EFEITO!$L$2045*EFEITO!$Z$2045</f>
        <v>1262030.0580669204</v>
      </c>
      <c r="L2045" s="64">
        <f>EFEITO!$N$2045*EFEITO!$AA$2045</f>
        <v>858095.13856207684</v>
      </c>
      <c r="M2045" s="64">
        <f>$J$2045-EFEITO!$K$2045*EFEITO!$Y$2045</f>
        <v>0</v>
      </c>
      <c r="N2045" s="64">
        <f ca="1">$K$2045-EFEITO!$M$2045*EFEITO!$Z$2045</f>
        <v>0</v>
      </c>
      <c r="O2045" s="64">
        <f>$L$2045-EFEITO!$O$2045*EFEITO!$AA$2045</f>
        <v>0</v>
      </c>
      <c r="P2045" s="19"/>
      <c r="Q2045" s="19"/>
      <c r="R2045" s="19"/>
      <c r="S2045" s="19"/>
      <c r="T2045" s="19"/>
      <c r="U2045" s="19"/>
      <c r="V2045" s="19"/>
      <c r="W2045" s="19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</row>
    <row r="2046" spans="1:36" ht="11.25" customHeight="1" x14ac:dyDescent="0.2">
      <c r="A2046" s="55" t="s">
        <v>28</v>
      </c>
      <c r="B2046" s="55" t="s">
        <v>37</v>
      </c>
      <c r="C2046" s="55" t="s">
        <v>23</v>
      </c>
      <c r="D2046" s="55" t="s">
        <v>43</v>
      </c>
      <c r="E2046" s="55" t="s">
        <v>25</v>
      </c>
      <c r="F2046" s="55" t="s">
        <v>25</v>
      </c>
      <c r="G2046" s="55" t="s">
        <v>25</v>
      </c>
      <c r="H2046" s="55" t="s">
        <v>25</v>
      </c>
      <c r="I2046" s="63">
        <v>44531</v>
      </c>
      <c r="J2046" s="64">
        <f>EFEITO!$J$2046*EFEITO!$Y$2046</f>
        <v>0</v>
      </c>
      <c r="K2046" s="64">
        <f ca="1">EFEITO!$L$2046*EFEITO!$Z$2046</f>
        <v>-2915.2869949219812</v>
      </c>
      <c r="L2046" s="64">
        <f>EFEITO!$N$2046*EFEITO!$AA$2046</f>
        <v>-1982.1981115786934</v>
      </c>
      <c r="M2046" s="64">
        <f>$J$2046-EFEITO!$K$2046*EFEITO!$Y$2046</f>
        <v>0</v>
      </c>
      <c r="N2046" s="64">
        <f ca="1">$K$2046-EFEITO!$M$2046*EFEITO!$Z$2046</f>
        <v>0</v>
      </c>
      <c r="O2046" s="64">
        <f>$L$2046-EFEITO!$O$2046*EFEITO!$AA$2046</f>
        <v>0</v>
      </c>
      <c r="P2046" s="19"/>
      <c r="Q2046" s="19"/>
      <c r="R2046" s="19"/>
      <c r="S2046" s="19"/>
      <c r="T2046" s="19"/>
      <c r="U2046" s="19"/>
      <c r="V2046" s="19"/>
      <c r="W2046" s="19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</row>
    <row r="2047" spans="1:36" ht="11.25" customHeight="1" x14ac:dyDescent="0.2">
      <c r="A2047" s="55" t="s">
        <v>21</v>
      </c>
      <c r="B2047" s="55" t="s">
        <v>37</v>
      </c>
      <c r="C2047" s="55" t="s">
        <v>23</v>
      </c>
      <c r="D2047" s="55" t="s">
        <v>43</v>
      </c>
      <c r="E2047" s="55" t="s">
        <v>25</v>
      </c>
      <c r="F2047" s="55" t="s">
        <v>25</v>
      </c>
      <c r="G2047" s="55" t="s">
        <v>25</v>
      </c>
      <c r="H2047" s="55" t="s">
        <v>25</v>
      </c>
      <c r="I2047" s="63">
        <v>44562</v>
      </c>
      <c r="J2047" s="64">
        <f>EFEITO!$J$2047*EFEITO!$Y$2047</f>
        <v>0</v>
      </c>
      <c r="K2047" s="64">
        <f ca="1">EFEITO!$L$2047*EFEITO!$Z$2047</f>
        <v>12918583.83073887</v>
      </c>
      <c r="L2047" s="64">
        <f>EFEITO!$N$2047*EFEITO!$AA$2047</f>
        <v>8783763.8346295748</v>
      </c>
      <c r="M2047" s="64">
        <f>$J$2047-EFEITO!$K$2047*EFEITO!$Y$2047</f>
        <v>0</v>
      </c>
      <c r="N2047" s="64">
        <f ca="1">$K$2047-EFEITO!$M$2047*EFEITO!$Z$2047</f>
        <v>0</v>
      </c>
      <c r="O2047" s="64">
        <f>$L$2047-EFEITO!$O$2047*EFEITO!$AA$2047</f>
        <v>0</v>
      </c>
      <c r="P2047" s="19"/>
      <c r="Q2047" s="19"/>
      <c r="R2047" s="19"/>
      <c r="S2047" s="19"/>
      <c r="T2047" s="19"/>
      <c r="U2047" s="19"/>
      <c r="V2047" s="19"/>
      <c r="W2047" s="19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</row>
    <row r="2048" spans="1:36" ht="11.25" customHeight="1" x14ac:dyDescent="0.2">
      <c r="A2048" s="55" t="s">
        <v>27</v>
      </c>
      <c r="B2048" s="55" t="s">
        <v>37</v>
      </c>
      <c r="C2048" s="55" t="s">
        <v>23</v>
      </c>
      <c r="D2048" s="55" t="s">
        <v>43</v>
      </c>
      <c r="E2048" s="55" t="s">
        <v>25</v>
      </c>
      <c r="F2048" s="55" t="s">
        <v>25</v>
      </c>
      <c r="G2048" s="55" t="s">
        <v>25</v>
      </c>
      <c r="H2048" s="55" t="s">
        <v>25</v>
      </c>
      <c r="I2048" s="63">
        <v>44562</v>
      </c>
      <c r="J2048" s="64">
        <f>EFEITO!$J$2048*EFEITO!$Y$2048</f>
        <v>0</v>
      </c>
      <c r="K2048" s="64">
        <f ca="1">EFEITO!$L$2048*EFEITO!$Z$2048</f>
        <v>-32701.852967380491</v>
      </c>
      <c r="L2048" s="64">
        <f>EFEITO!$N$2048*EFEITO!$AA$2048</f>
        <v>-22235.049691497166</v>
      </c>
      <c r="M2048" s="64">
        <f>$J$2048-EFEITO!$K$2048*EFEITO!$Y$2048</f>
        <v>0</v>
      </c>
      <c r="N2048" s="64">
        <f ca="1">$K$2048-EFEITO!$M$2048*EFEITO!$Z$2048</f>
        <v>0</v>
      </c>
      <c r="O2048" s="64">
        <f>$L$2048-EFEITO!$O$2048*EFEITO!$AA$2048</f>
        <v>0</v>
      </c>
      <c r="P2048" s="19"/>
      <c r="Q2048" s="19"/>
      <c r="R2048" s="19"/>
      <c r="S2048" s="19"/>
      <c r="T2048" s="19"/>
      <c r="U2048" s="19"/>
      <c r="V2048" s="19"/>
      <c r="W2048" s="19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</row>
    <row r="2049" spans="1:36" ht="11.25" customHeight="1" x14ac:dyDescent="0.2">
      <c r="A2049" s="55" t="s">
        <v>28</v>
      </c>
      <c r="B2049" s="55" t="s">
        <v>37</v>
      </c>
      <c r="C2049" s="55" t="s">
        <v>23</v>
      </c>
      <c r="D2049" s="55" t="s">
        <v>43</v>
      </c>
      <c r="E2049" s="55" t="s">
        <v>25</v>
      </c>
      <c r="F2049" s="55" t="s">
        <v>25</v>
      </c>
      <c r="G2049" s="55" t="s">
        <v>25</v>
      </c>
      <c r="H2049" s="55" t="s">
        <v>25</v>
      </c>
      <c r="I2049" s="63">
        <v>44562</v>
      </c>
      <c r="J2049" s="64">
        <f>EFEITO!$J$2049*EFEITO!$Y$2049</f>
        <v>0</v>
      </c>
      <c r="K2049" s="64">
        <f ca="1">EFEITO!$L$2049*EFEITO!$Z$2049</f>
        <v>1222550.8314801524</v>
      </c>
      <c r="L2049" s="64">
        <f>EFEITO!$N$2049*EFEITO!$AA$2049</f>
        <v>831251.93289375363</v>
      </c>
      <c r="M2049" s="64">
        <f>$J$2049-EFEITO!$K$2049*EFEITO!$Y$2049</f>
        <v>0</v>
      </c>
      <c r="N2049" s="64">
        <f ca="1">$K$2049-EFEITO!$M$2049*EFEITO!$Z$2049</f>
        <v>0</v>
      </c>
      <c r="O2049" s="64">
        <f>$L$2049-EFEITO!$O$2049*EFEITO!$AA$2049</f>
        <v>0</v>
      </c>
      <c r="P2049" s="19"/>
      <c r="Q2049" s="19"/>
      <c r="R2049" s="19"/>
      <c r="S2049" s="19"/>
      <c r="T2049" s="19"/>
      <c r="U2049" s="19"/>
      <c r="V2049" s="19"/>
      <c r="W2049" s="19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</row>
    <row r="2050" spans="1:36" ht="11.25" customHeight="1" x14ac:dyDescent="0.2">
      <c r="A2050" s="55" t="s">
        <v>28</v>
      </c>
      <c r="B2050" s="55" t="s">
        <v>37</v>
      </c>
      <c r="C2050" s="55" t="s">
        <v>23</v>
      </c>
      <c r="D2050" s="55" t="s">
        <v>43</v>
      </c>
      <c r="E2050" s="55" t="s">
        <v>25</v>
      </c>
      <c r="F2050" s="55" t="s">
        <v>25</v>
      </c>
      <c r="G2050" s="55" t="s">
        <v>25</v>
      </c>
      <c r="H2050" s="55" t="s">
        <v>25</v>
      </c>
      <c r="I2050" s="63">
        <v>44562</v>
      </c>
      <c r="J2050" s="64">
        <f>EFEITO!$J$2050*EFEITO!$Y$2050</f>
        <v>0</v>
      </c>
      <c r="K2050" s="64">
        <f ca="1">EFEITO!$L$2050*EFEITO!$Z$2050</f>
        <v>-2791.5433145259044</v>
      </c>
      <c r="L2050" s="64">
        <f>EFEITO!$N$2050*EFEITO!$AA$2050</f>
        <v>-1898.060772775292</v>
      </c>
      <c r="M2050" s="64">
        <f>$J$2050-EFEITO!$K$2050*EFEITO!$Y$2050</f>
        <v>0</v>
      </c>
      <c r="N2050" s="64">
        <f ca="1">$K$2050-EFEITO!$M$2050*EFEITO!$Z$2050</f>
        <v>0</v>
      </c>
      <c r="O2050" s="64">
        <f>$L$2050-EFEITO!$O$2050*EFEITO!$AA$2050</f>
        <v>0</v>
      </c>
      <c r="P2050" s="19"/>
      <c r="Q2050" s="19"/>
      <c r="R2050" s="19"/>
      <c r="S2050" s="19"/>
      <c r="T2050" s="19"/>
      <c r="U2050" s="19"/>
      <c r="V2050" s="19"/>
      <c r="W2050" s="19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</row>
    <row r="2051" spans="1:36" ht="11.25" customHeight="1" x14ac:dyDescent="0.2">
      <c r="A2051" s="55" t="s">
        <v>21</v>
      </c>
      <c r="B2051" s="55" t="s">
        <v>37</v>
      </c>
      <c r="C2051" s="55" t="s">
        <v>23</v>
      </c>
      <c r="D2051" s="55" t="s">
        <v>43</v>
      </c>
      <c r="E2051" s="55" t="s">
        <v>25</v>
      </c>
      <c r="F2051" s="55" t="s">
        <v>25</v>
      </c>
      <c r="G2051" s="55" t="s">
        <v>25</v>
      </c>
      <c r="H2051" s="55" t="s">
        <v>25</v>
      </c>
      <c r="I2051" s="63">
        <v>44593</v>
      </c>
      <c r="J2051" s="64">
        <f>EFEITO!$J$2051*EFEITO!$Y$2051</f>
        <v>0</v>
      </c>
      <c r="K2051" s="64">
        <f ca="1">EFEITO!$L$2051*EFEITO!$Z$2051</f>
        <v>11966503.163261726</v>
      </c>
      <c r="L2051" s="64">
        <f>EFEITO!$N$2051*EFEITO!$AA$2051</f>
        <v>8136413.3321126578</v>
      </c>
      <c r="M2051" s="64">
        <f>$J$2051-EFEITO!$K$2051*EFEITO!$Y$2051</f>
        <v>0</v>
      </c>
      <c r="N2051" s="64">
        <f ca="1">$K$2051-EFEITO!$M$2051*EFEITO!$Z$2051</f>
        <v>0</v>
      </c>
      <c r="O2051" s="64">
        <f>$L$2051-EFEITO!$O$2051*EFEITO!$AA$2051</f>
        <v>0</v>
      </c>
      <c r="P2051" s="19"/>
      <c r="Q2051" s="19"/>
      <c r="R2051" s="19"/>
      <c r="S2051" s="19"/>
      <c r="T2051" s="19"/>
      <c r="U2051" s="19"/>
      <c r="V2051" s="19"/>
      <c r="W2051" s="19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</row>
    <row r="2052" spans="1:36" ht="11.25" customHeight="1" x14ac:dyDescent="0.2">
      <c r="A2052" s="55" t="s">
        <v>27</v>
      </c>
      <c r="B2052" s="55" t="s">
        <v>37</v>
      </c>
      <c r="C2052" s="55" t="s">
        <v>23</v>
      </c>
      <c r="D2052" s="55" t="s">
        <v>43</v>
      </c>
      <c r="E2052" s="55" t="s">
        <v>25</v>
      </c>
      <c r="F2052" s="55" t="s">
        <v>25</v>
      </c>
      <c r="G2052" s="55" t="s">
        <v>25</v>
      </c>
      <c r="H2052" s="55" t="s">
        <v>25</v>
      </c>
      <c r="I2052" s="63">
        <v>44593</v>
      </c>
      <c r="J2052" s="64">
        <f>EFEITO!$J$2052*EFEITO!$Y$2052</f>
        <v>0</v>
      </c>
      <c r="K2052" s="64">
        <f ca="1">EFEITO!$L$2052*EFEITO!$Z$2052</f>
        <v>-21918.322271423818</v>
      </c>
      <c r="L2052" s="64">
        <f>EFEITO!$N$2052*EFEITO!$AA$2052</f>
        <v>-14902.977679750609</v>
      </c>
      <c r="M2052" s="64">
        <f>$J$2052-EFEITO!$K$2052*EFEITO!$Y$2052</f>
        <v>0</v>
      </c>
      <c r="N2052" s="64">
        <f ca="1">$K$2052-EFEITO!$M$2052*EFEITO!$Z$2052</f>
        <v>0</v>
      </c>
      <c r="O2052" s="64">
        <f>$L$2052-EFEITO!$O$2052*EFEITO!$AA$2052</f>
        <v>0</v>
      </c>
      <c r="P2052" s="19"/>
      <c r="Q2052" s="19"/>
      <c r="R2052" s="19"/>
      <c r="S2052" s="19"/>
      <c r="T2052" s="19"/>
      <c r="U2052" s="19"/>
      <c r="V2052" s="19"/>
      <c r="W2052" s="19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</row>
    <row r="2053" spans="1:36" ht="11.25" customHeight="1" x14ac:dyDescent="0.2">
      <c r="A2053" s="55" t="s">
        <v>28</v>
      </c>
      <c r="B2053" s="55" t="s">
        <v>37</v>
      </c>
      <c r="C2053" s="55" t="s">
        <v>23</v>
      </c>
      <c r="D2053" s="55" t="s">
        <v>43</v>
      </c>
      <c r="E2053" s="55" t="s">
        <v>25</v>
      </c>
      <c r="F2053" s="55" t="s">
        <v>25</v>
      </c>
      <c r="G2053" s="55" t="s">
        <v>25</v>
      </c>
      <c r="H2053" s="55" t="s">
        <v>25</v>
      </c>
      <c r="I2053" s="63">
        <v>44593</v>
      </c>
      <c r="J2053" s="64">
        <f>EFEITO!$J$2053*EFEITO!$Y$2053</f>
        <v>0</v>
      </c>
      <c r="K2053" s="64">
        <f ca="1">EFEITO!$L$2053*EFEITO!$Z$2053</f>
        <v>1069559.4228668865</v>
      </c>
      <c r="L2053" s="64">
        <f>EFEITO!$N$2053*EFEITO!$AA$2053</f>
        <v>727228.11576383992</v>
      </c>
      <c r="M2053" s="64">
        <f>$J$2053-EFEITO!$K$2053*EFEITO!$Y$2053</f>
        <v>0</v>
      </c>
      <c r="N2053" s="64">
        <f ca="1">$K$2053-EFEITO!$M$2053*EFEITO!$Z$2053</f>
        <v>0</v>
      </c>
      <c r="O2053" s="64">
        <f>$L$2053-EFEITO!$O$2053*EFEITO!$AA$2053</f>
        <v>0</v>
      </c>
      <c r="P2053" s="19"/>
      <c r="Q2053" s="19"/>
      <c r="R2053" s="19"/>
      <c r="S2053" s="19"/>
      <c r="T2053" s="19"/>
      <c r="U2053" s="19"/>
      <c r="V2053" s="19"/>
      <c r="W2053" s="19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</row>
    <row r="2054" spans="1:36" ht="11.25" customHeight="1" x14ac:dyDescent="0.2">
      <c r="A2054" s="55" t="s">
        <v>28</v>
      </c>
      <c r="B2054" s="55" t="s">
        <v>37</v>
      </c>
      <c r="C2054" s="55" t="s">
        <v>23</v>
      </c>
      <c r="D2054" s="55" t="s">
        <v>43</v>
      </c>
      <c r="E2054" s="55" t="s">
        <v>25</v>
      </c>
      <c r="F2054" s="55" t="s">
        <v>25</v>
      </c>
      <c r="G2054" s="55" t="s">
        <v>25</v>
      </c>
      <c r="H2054" s="55" t="s">
        <v>25</v>
      </c>
      <c r="I2054" s="63">
        <v>44593</v>
      </c>
      <c r="J2054" s="64">
        <f>EFEITO!$J$2054*EFEITO!$Y$2054</f>
        <v>0</v>
      </c>
      <c r="K2054" s="64">
        <f ca="1">EFEITO!$L$2054*EFEITO!$Z$2054</f>
        <v>-18006.310242763986</v>
      </c>
      <c r="L2054" s="64">
        <f>EFEITO!$N$2054*EFEITO!$AA$2054</f>
        <v>-12243.073914121464</v>
      </c>
      <c r="M2054" s="64">
        <f>$J$2054-EFEITO!$K$2054*EFEITO!$Y$2054</f>
        <v>0</v>
      </c>
      <c r="N2054" s="64">
        <f ca="1">$K$2054-EFEITO!$M$2054*EFEITO!$Z$2054</f>
        <v>0</v>
      </c>
      <c r="O2054" s="64">
        <f>$L$2054-EFEITO!$O$2054*EFEITO!$AA$2054</f>
        <v>0</v>
      </c>
      <c r="P2054" s="19"/>
      <c r="Q2054" s="19"/>
      <c r="R2054" s="19"/>
      <c r="S2054" s="19"/>
      <c r="T2054" s="19"/>
      <c r="U2054" s="19"/>
      <c r="V2054" s="19"/>
      <c r="W2054" s="19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</row>
    <row r="2055" spans="1:36" ht="11.25" customHeight="1" x14ac:dyDescent="0.2">
      <c r="A2055" s="55" t="s">
        <v>21</v>
      </c>
      <c r="B2055" s="55" t="s">
        <v>37</v>
      </c>
      <c r="C2055" s="55" t="s">
        <v>23</v>
      </c>
      <c r="D2055" s="55" t="s">
        <v>43</v>
      </c>
      <c r="E2055" s="55" t="s">
        <v>25</v>
      </c>
      <c r="F2055" s="55" t="s">
        <v>25</v>
      </c>
      <c r="G2055" s="55" t="s">
        <v>25</v>
      </c>
      <c r="H2055" s="55" t="s">
        <v>25</v>
      </c>
      <c r="I2055" s="63">
        <v>44621</v>
      </c>
      <c r="J2055" s="64">
        <f>EFEITO!$J$2055*EFEITO!$Y$2055</f>
        <v>0</v>
      </c>
      <c r="K2055" s="64">
        <f ca="1">EFEITO!$L$2055*EFEITO!$Z$2055</f>
        <v>13311758.513510652</v>
      </c>
      <c r="L2055" s="64">
        <f>EFEITO!$N$2055*EFEITO!$AA$2055</f>
        <v>9051096.0441404376</v>
      </c>
      <c r="M2055" s="64">
        <f>$J$2055-EFEITO!$K$2055*EFEITO!$Y$2055</f>
        <v>0</v>
      </c>
      <c r="N2055" s="64">
        <f ca="1">$K$2055-EFEITO!$M$2055*EFEITO!$Z$2055</f>
        <v>0</v>
      </c>
      <c r="O2055" s="64">
        <f>$L$2055-EFEITO!$O$2055*EFEITO!$AA$2055</f>
        <v>0</v>
      </c>
      <c r="P2055" s="19"/>
      <c r="Q2055" s="19"/>
      <c r="R2055" s="19"/>
      <c r="S2055" s="19"/>
      <c r="T2055" s="19"/>
      <c r="U2055" s="19"/>
      <c r="V2055" s="19"/>
      <c r="W2055" s="19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</row>
    <row r="2056" spans="1:36" ht="11.25" customHeight="1" x14ac:dyDescent="0.2">
      <c r="A2056" s="55" t="s">
        <v>27</v>
      </c>
      <c r="B2056" s="55" t="s">
        <v>37</v>
      </c>
      <c r="C2056" s="55" t="s">
        <v>23</v>
      </c>
      <c r="D2056" s="55" t="s">
        <v>43</v>
      </c>
      <c r="E2056" s="55" t="s">
        <v>25</v>
      </c>
      <c r="F2056" s="55" t="s">
        <v>25</v>
      </c>
      <c r="G2056" s="55" t="s">
        <v>25</v>
      </c>
      <c r="H2056" s="55" t="s">
        <v>25</v>
      </c>
      <c r="I2056" s="63">
        <v>44621</v>
      </c>
      <c r="J2056" s="64">
        <f>EFEITO!$J$2056*EFEITO!$Y$2056</f>
        <v>0</v>
      </c>
      <c r="K2056" s="64">
        <f ca="1">EFEITO!$L$2056*EFEITO!$Z$2056</f>
        <v>-31920.520391738402</v>
      </c>
      <c r="L2056" s="64">
        <f>EFEITO!$N$2056*EFEITO!$AA$2056</f>
        <v>-21703.796350522374</v>
      </c>
      <c r="M2056" s="64">
        <f>$J$2056-EFEITO!$K$2056*EFEITO!$Y$2056</f>
        <v>0</v>
      </c>
      <c r="N2056" s="64">
        <f ca="1">$K$2056-EFEITO!$M$2056*EFEITO!$Z$2056</f>
        <v>0</v>
      </c>
      <c r="O2056" s="64">
        <f>$L$2056-EFEITO!$O$2056*EFEITO!$AA$2056</f>
        <v>0</v>
      </c>
      <c r="P2056" s="19"/>
      <c r="Q2056" s="19"/>
      <c r="R2056" s="19"/>
      <c r="S2056" s="19"/>
      <c r="T2056" s="19"/>
      <c r="U2056" s="19"/>
      <c r="V2056" s="19"/>
      <c r="W2056" s="19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</row>
    <row r="2057" spans="1:36" ht="11.25" customHeight="1" x14ac:dyDescent="0.2">
      <c r="A2057" s="55" t="s">
        <v>28</v>
      </c>
      <c r="B2057" s="55" t="s">
        <v>37</v>
      </c>
      <c r="C2057" s="55" t="s">
        <v>23</v>
      </c>
      <c r="D2057" s="55" t="s">
        <v>43</v>
      </c>
      <c r="E2057" s="55" t="s">
        <v>25</v>
      </c>
      <c r="F2057" s="55" t="s">
        <v>25</v>
      </c>
      <c r="G2057" s="55" t="s">
        <v>25</v>
      </c>
      <c r="H2057" s="55" t="s">
        <v>25</v>
      </c>
      <c r="I2057" s="63">
        <v>44621</v>
      </c>
      <c r="J2057" s="64">
        <f>EFEITO!$J$2057*EFEITO!$Y$2057</f>
        <v>0</v>
      </c>
      <c r="K2057" s="64">
        <f ca="1">EFEITO!$L$2057*EFEITO!$Z$2057</f>
        <v>1416941.81169152</v>
      </c>
      <c r="L2057" s="64">
        <f>EFEITO!$N$2057*EFEITO!$AA$2057</f>
        <v>963424.66050310386</v>
      </c>
      <c r="M2057" s="64">
        <f>$J$2057-EFEITO!$K$2057*EFEITO!$Y$2057</f>
        <v>0</v>
      </c>
      <c r="N2057" s="64">
        <f ca="1">$K$2057-EFEITO!$M$2057*EFEITO!$Z$2057</f>
        <v>0</v>
      </c>
      <c r="O2057" s="64">
        <f>$L$2057-EFEITO!$O$2057*EFEITO!$AA$2057</f>
        <v>0</v>
      </c>
      <c r="P2057" s="19"/>
      <c r="Q2057" s="19"/>
      <c r="R2057" s="19"/>
      <c r="S2057" s="19"/>
      <c r="T2057" s="19"/>
      <c r="U2057" s="19"/>
      <c r="V2057" s="19"/>
      <c r="W2057" s="19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</row>
    <row r="2058" spans="1:36" ht="11.25" customHeight="1" x14ac:dyDescent="0.2">
      <c r="A2058" s="55" t="s">
        <v>28</v>
      </c>
      <c r="B2058" s="55" t="s">
        <v>37</v>
      </c>
      <c r="C2058" s="55" t="s">
        <v>23</v>
      </c>
      <c r="D2058" s="55" t="s">
        <v>43</v>
      </c>
      <c r="E2058" s="55" t="s">
        <v>25</v>
      </c>
      <c r="F2058" s="55" t="s">
        <v>25</v>
      </c>
      <c r="G2058" s="55" t="s">
        <v>25</v>
      </c>
      <c r="H2058" s="55" t="s">
        <v>25</v>
      </c>
      <c r="I2058" s="63">
        <v>44621</v>
      </c>
      <c r="J2058" s="64">
        <f>EFEITO!$J$2058*EFEITO!$Y$2058</f>
        <v>0</v>
      </c>
      <c r="K2058" s="64">
        <f ca="1">EFEITO!$L$2058*EFEITO!$Z$2058</f>
        <v>959.6375906220245</v>
      </c>
      <c r="L2058" s="64">
        <f>EFEITO!$N$2058*EFEITO!$AA$2058</f>
        <v>652.48869948113315</v>
      </c>
      <c r="M2058" s="64">
        <f>$J$2058-EFEITO!$K$2058*EFEITO!$Y$2058</f>
        <v>0</v>
      </c>
      <c r="N2058" s="64">
        <f ca="1">$K$2058-EFEITO!$M$2058*EFEITO!$Z$2058</f>
        <v>0</v>
      </c>
      <c r="O2058" s="64">
        <f>$L$2058-EFEITO!$O$2058*EFEITO!$AA$2058</f>
        <v>0</v>
      </c>
      <c r="P2058" s="19"/>
      <c r="Q2058" s="19"/>
      <c r="R2058" s="19"/>
      <c r="S2058" s="19"/>
      <c r="T2058" s="19"/>
      <c r="U2058" s="19"/>
      <c r="V2058" s="19"/>
      <c r="W2058" s="19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</row>
    <row r="2059" spans="1:36" ht="11.25" customHeight="1" x14ac:dyDescent="0.2">
      <c r="A2059" s="55" t="s">
        <v>21</v>
      </c>
      <c r="B2059" s="55" t="s">
        <v>37</v>
      </c>
      <c r="C2059" s="55" t="s">
        <v>23</v>
      </c>
      <c r="D2059" s="55" t="s">
        <v>43</v>
      </c>
      <c r="E2059" s="55" t="s">
        <v>25</v>
      </c>
      <c r="F2059" s="55" t="s">
        <v>25</v>
      </c>
      <c r="G2059" s="55" t="s">
        <v>25</v>
      </c>
      <c r="H2059" s="55" t="s">
        <v>25</v>
      </c>
      <c r="I2059" s="63">
        <v>44652</v>
      </c>
      <c r="J2059" s="64">
        <f>EFEITO!$J$2059*EFEITO!$Y$2059</f>
        <v>0</v>
      </c>
      <c r="K2059" s="64">
        <f ca="1">EFEITO!$L$2059*EFEITO!$Z$2059</f>
        <v>12684963.964181768</v>
      </c>
      <c r="L2059" s="64">
        <f>EFEITO!$N$2059*EFEITO!$AA$2059</f>
        <v>8624918.1157952454</v>
      </c>
      <c r="M2059" s="64">
        <f>$J$2059-EFEITO!$K$2059*EFEITO!$Y$2059</f>
        <v>0</v>
      </c>
      <c r="N2059" s="64">
        <f ca="1">$K$2059-EFEITO!$M$2059*EFEITO!$Z$2059</f>
        <v>0</v>
      </c>
      <c r="O2059" s="64">
        <f>$L$2059-EFEITO!$O$2059*EFEITO!$AA$2059</f>
        <v>0</v>
      </c>
      <c r="P2059" s="19"/>
      <c r="Q2059" s="19"/>
      <c r="R2059" s="19"/>
      <c r="S2059" s="19"/>
      <c r="T2059" s="19"/>
      <c r="U2059" s="19"/>
      <c r="V2059" s="19"/>
      <c r="W2059" s="19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</row>
    <row r="2060" spans="1:36" ht="11.25" customHeight="1" x14ac:dyDescent="0.2">
      <c r="A2060" s="55" t="s">
        <v>27</v>
      </c>
      <c r="B2060" s="55" t="s">
        <v>37</v>
      </c>
      <c r="C2060" s="55" t="s">
        <v>23</v>
      </c>
      <c r="D2060" s="55" t="s">
        <v>43</v>
      </c>
      <c r="E2060" s="55" t="s">
        <v>25</v>
      </c>
      <c r="F2060" s="55" t="s">
        <v>25</v>
      </c>
      <c r="G2060" s="55" t="s">
        <v>25</v>
      </c>
      <c r="H2060" s="55" t="s">
        <v>25</v>
      </c>
      <c r="I2060" s="63">
        <v>44652</v>
      </c>
      <c r="J2060" s="64">
        <f>EFEITO!$J$2060*EFEITO!$Y$2060</f>
        <v>0</v>
      </c>
      <c r="K2060" s="64">
        <f ca="1">EFEITO!$L$2060*EFEITO!$Z$2060</f>
        <v>-38674.714359178441</v>
      </c>
      <c r="L2060" s="64">
        <f>EFEITO!$N$2060*EFEITO!$AA$2060</f>
        <v>-26296.191730742612</v>
      </c>
      <c r="M2060" s="64">
        <f>$J$2060-EFEITO!$K$2060*EFEITO!$Y$2060</f>
        <v>0</v>
      </c>
      <c r="N2060" s="64">
        <f ca="1">$K$2060-EFEITO!$M$2060*EFEITO!$Z$2060</f>
        <v>0</v>
      </c>
      <c r="O2060" s="64">
        <f>$L$2060-EFEITO!$O$2060*EFEITO!$AA$2060</f>
        <v>0</v>
      </c>
      <c r="P2060" s="19"/>
      <c r="Q2060" s="19"/>
      <c r="R2060" s="19"/>
      <c r="S2060" s="19"/>
      <c r="T2060" s="19"/>
      <c r="U2060" s="19"/>
      <c r="V2060" s="19"/>
      <c r="W2060" s="19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</row>
    <row r="2061" spans="1:36" ht="11.25" customHeight="1" x14ac:dyDescent="0.2">
      <c r="A2061" s="55" t="s">
        <v>28</v>
      </c>
      <c r="B2061" s="55" t="s">
        <v>37</v>
      </c>
      <c r="C2061" s="55" t="s">
        <v>23</v>
      </c>
      <c r="D2061" s="55" t="s">
        <v>43</v>
      </c>
      <c r="E2061" s="55" t="s">
        <v>25</v>
      </c>
      <c r="F2061" s="55" t="s">
        <v>25</v>
      </c>
      <c r="G2061" s="55" t="s">
        <v>25</v>
      </c>
      <c r="H2061" s="55" t="s">
        <v>25</v>
      </c>
      <c r="I2061" s="63">
        <v>44652</v>
      </c>
      <c r="J2061" s="64">
        <f>EFEITO!$J$2061*EFEITO!$Y$2061</f>
        <v>0</v>
      </c>
      <c r="K2061" s="64">
        <f ca="1">EFEITO!$L$2061*EFEITO!$Z$2061</f>
        <v>1337085.7710725754</v>
      </c>
      <c r="L2061" s="64">
        <f>EFEITO!$N$2061*EFEITO!$AA$2061</f>
        <v>909127.95037173654</v>
      </c>
      <c r="M2061" s="64">
        <f>$J$2061-EFEITO!$K$2061*EFEITO!$Y$2061</f>
        <v>0</v>
      </c>
      <c r="N2061" s="64">
        <f ca="1">$K$2061-EFEITO!$M$2061*EFEITO!$Z$2061</f>
        <v>0</v>
      </c>
      <c r="O2061" s="64">
        <f>$L$2061-EFEITO!$O$2061*EFEITO!$AA$2061</f>
        <v>0</v>
      </c>
      <c r="P2061" s="19"/>
      <c r="Q2061" s="19"/>
      <c r="R2061" s="19"/>
      <c r="S2061" s="19"/>
      <c r="T2061" s="19"/>
      <c r="U2061" s="19"/>
      <c r="V2061" s="19"/>
      <c r="W2061" s="19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</row>
    <row r="2062" spans="1:36" ht="11.25" customHeight="1" x14ac:dyDescent="0.2">
      <c r="A2062" s="55" t="s">
        <v>28</v>
      </c>
      <c r="B2062" s="55" t="s">
        <v>37</v>
      </c>
      <c r="C2062" s="55" t="s">
        <v>23</v>
      </c>
      <c r="D2062" s="55" t="s">
        <v>43</v>
      </c>
      <c r="E2062" s="55" t="s">
        <v>25</v>
      </c>
      <c r="F2062" s="55" t="s">
        <v>25</v>
      </c>
      <c r="G2062" s="55" t="s">
        <v>25</v>
      </c>
      <c r="H2062" s="55" t="s">
        <v>25</v>
      </c>
      <c r="I2062" s="63">
        <v>44652</v>
      </c>
      <c r="J2062" s="64">
        <f>EFEITO!$J$2062*EFEITO!$Y$2062</f>
        <v>0</v>
      </c>
      <c r="K2062" s="64">
        <f ca="1">EFEITO!$L$2062*EFEITO!$Z$2062</f>
        <v>2743.0443504513614</v>
      </c>
      <c r="L2062" s="64">
        <f>EFEITO!$N$2062*EFEITO!$AA$2062</f>
        <v>1865.0847552615669</v>
      </c>
      <c r="M2062" s="64">
        <f>$J$2062-EFEITO!$K$2062*EFEITO!$Y$2062</f>
        <v>0</v>
      </c>
      <c r="N2062" s="64">
        <f ca="1">$K$2062-EFEITO!$M$2062*EFEITO!$Z$2062</f>
        <v>0</v>
      </c>
      <c r="O2062" s="64">
        <f>$L$2062-EFEITO!$O$2062*EFEITO!$AA$2062</f>
        <v>0</v>
      </c>
      <c r="P2062" s="19"/>
      <c r="Q2062" s="19"/>
      <c r="R2062" s="19"/>
      <c r="S2062" s="19"/>
      <c r="T2062" s="19"/>
      <c r="U2062" s="19"/>
      <c r="V2062" s="19"/>
      <c r="W2062" s="19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</row>
    <row r="2063" spans="1:36" ht="11.25" customHeight="1" x14ac:dyDescent="0.2">
      <c r="A2063" s="55" t="s">
        <v>21</v>
      </c>
      <c r="B2063" s="55" t="s">
        <v>37</v>
      </c>
      <c r="C2063" s="55" t="s">
        <v>23</v>
      </c>
      <c r="D2063" s="55" t="s">
        <v>43</v>
      </c>
      <c r="E2063" s="55" t="s">
        <v>25</v>
      </c>
      <c r="F2063" s="55" t="s">
        <v>25</v>
      </c>
      <c r="G2063" s="55" t="s">
        <v>25</v>
      </c>
      <c r="H2063" s="55" t="s">
        <v>25</v>
      </c>
      <c r="I2063" s="63">
        <v>44682</v>
      </c>
      <c r="J2063" s="64">
        <f>EFEITO!$J$2063*EFEITO!$Y$2063</f>
        <v>0</v>
      </c>
      <c r="K2063" s="64">
        <f ca="1">EFEITO!$L$2063*EFEITO!$Z$2063</f>
        <v>12625820.190712923</v>
      </c>
      <c r="L2063" s="64">
        <f>EFEITO!$N$2063*EFEITO!$AA$2063</f>
        <v>8584704.3473786917</v>
      </c>
      <c r="M2063" s="64">
        <f>$J$2063-EFEITO!$K$2063*EFEITO!$Y$2063</f>
        <v>0</v>
      </c>
      <c r="N2063" s="64">
        <f ca="1">$K$2063-EFEITO!$M$2063*EFEITO!$Z$2063</f>
        <v>0</v>
      </c>
      <c r="O2063" s="64">
        <f>$L$2063-EFEITO!$O$2063*EFEITO!$AA$2063</f>
        <v>0</v>
      </c>
      <c r="P2063" s="19"/>
      <c r="Q2063" s="19"/>
      <c r="R2063" s="19"/>
      <c r="S2063" s="19"/>
      <c r="T2063" s="19"/>
      <c r="U2063" s="19"/>
      <c r="V2063" s="19"/>
      <c r="W2063" s="19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</row>
    <row r="2064" spans="1:36" ht="11.25" customHeight="1" x14ac:dyDescent="0.2">
      <c r="A2064" s="55" t="s">
        <v>27</v>
      </c>
      <c r="B2064" s="55" t="s">
        <v>37</v>
      </c>
      <c r="C2064" s="55" t="s">
        <v>23</v>
      </c>
      <c r="D2064" s="55" t="s">
        <v>43</v>
      </c>
      <c r="E2064" s="55" t="s">
        <v>25</v>
      </c>
      <c r="F2064" s="55" t="s">
        <v>25</v>
      </c>
      <c r="G2064" s="55" t="s">
        <v>25</v>
      </c>
      <c r="H2064" s="55" t="s">
        <v>25</v>
      </c>
      <c r="I2064" s="63">
        <v>44682</v>
      </c>
      <c r="J2064" s="64">
        <f>EFEITO!$J$2064*EFEITO!$Y$2064</f>
        <v>0</v>
      </c>
      <c r="K2064" s="64">
        <f ca="1">EFEITO!$L$2064*EFEITO!$Z$2064</f>
        <v>-30905.251636442637</v>
      </c>
      <c r="L2064" s="64">
        <f>EFEITO!$N$2064*EFEITO!$AA$2064</f>
        <v>-21013.482219187263</v>
      </c>
      <c r="M2064" s="64">
        <f>$J$2064-EFEITO!$K$2064*EFEITO!$Y$2064</f>
        <v>0</v>
      </c>
      <c r="N2064" s="64">
        <f ca="1">$K$2064-EFEITO!$M$2064*EFEITO!$Z$2064</f>
        <v>0</v>
      </c>
      <c r="O2064" s="64">
        <f>$L$2064-EFEITO!$O$2064*EFEITO!$AA$2064</f>
        <v>0</v>
      </c>
      <c r="P2064" s="19"/>
      <c r="Q2064" s="19"/>
      <c r="R2064" s="19"/>
      <c r="S2064" s="19"/>
      <c r="T2064" s="19"/>
      <c r="U2064" s="19"/>
      <c r="V2064" s="19"/>
      <c r="W2064" s="19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</row>
    <row r="2065" spans="1:36" ht="11.25" customHeight="1" x14ac:dyDescent="0.2">
      <c r="A2065" s="55" t="s">
        <v>28</v>
      </c>
      <c r="B2065" s="55" t="s">
        <v>37</v>
      </c>
      <c r="C2065" s="55" t="s">
        <v>23</v>
      </c>
      <c r="D2065" s="55" t="s">
        <v>43</v>
      </c>
      <c r="E2065" s="55" t="s">
        <v>25</v>
      </c>
      <c r="F2065" s="55" t="s">
        <v>25</v>
      </c>
      <c r="G2065" s="55" t="s">
        <v>25</v>
      </c>
      <c r="H2065" s="55" t="s">
        <v>25</v>
      </c>
      <c r="I2065" s="63">
        <v>44682</v>
      </c>
      <c r="J2065" s="64">
        <f>EFEITO!$J$2065*EFEITO!$Y$2065</f>
        <v>0</v>
      </c>
      <c r="K2065" s="64">
        <f ca="1">EFEITO!$L$2065*EFEITO!$Z$2065</f>
        <v>1420243.3073488886</v>
      </c>
      <c r="L2065" s="64">
        <f>EFEITO!$N$2065*EFEITO!$AA$2065</f>
        <v>965669.45440120739</v>
      </c>
      <c r="M2065" s="64">
        <f>$J$2065-EFEITO!$K$2065*EFEITO!$Y$2065</f>
        <v>0</v>
      </c>
      <c r="N2065" s="64">
        <f ca="1">$K$2065-EFEITO!$M$2065*EFEITO!$Z$2065</f>
        <v>0</v>
      </c>
      <c r="O2065" s="64">
        <f>$L$2065-EFEITO!$O$2065*EFEITO!$AA$2065</f>
        <v>0</v>
      </c>
      <c r="P2065" s="19"/>
      <c r="Q2065" s="19"/>
      <c r="R2065" s="19"/>
      <c r="S2065" s="19"/>
      <c r="T2065" s="19"/>
      <c r="U2065" s="19"/>
      <c r="V2065" s="19"/>
      <c r="W2065" s="19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</row>
    <row r="2066" spans="1:36" ht="11.25" customHeight="1" x14ac:dyDescent="0.2">
      <c r="A2066" s="55" t="s">
        <v>28</v>
      </c>
      <c r="B2066" s="55" t="s">
        <v>37</v>
      </c>
      <c r="C2066" s="55" t="s">
        <v>23</v>
      </c>
      <c r="D2066" s="55" t="s">
        <v>43</v>
      </c>
      <c r="E2066" s="55" t="s">
        <v>25</v>
      </c>
      <c r="F2066" s="55" t="s">
        <v>25</v>
      </c>
      <c r="G2066" s="55" t="s">
        <v>25</v>
      </c>
      <c r="H2066" s="55" t="s">
        <v>25</v>
      </c>
      <c r="I2066" s="63">
        <v>44682</v>
      </c>
      <c r="J2066" s="64">
        <f>EFEITO!$J$2066*EFEITO!$Y$2066</f>
        <v>0</v>
      </c>
      <c r="K2066" s="64">
        <f ca="1">EFEITO!$L$2066*EFEITO!$Z$2066</f>
        <v>-10172.301104605443</v>
      </c>
      <c r="L2066" s="64">
        <f>EFEITO!$N$2066*EFEITO!$AA$2066</f>
        <v>-6916.4772027868166</v>
      </c>
      <c r="M2066" s="64">
        <f>$J$2066-EFEITO!$K$2066*EFEITO!$Y$2066</f>
        <v>0</v>
      </c>
      <c r="N2066" s="64">
        <f ca="1">$K$2066-EFEITO!$M$2066*EFEITO!$Z$2066</f>
        <v>0</v>
      </c>
      <c r="O2066" s="64">
        <f>$L$2066-EFEITO!$O$2066*EFEITO!$AA$2066</f>
        <v>0</v>
      </c>
      <c r="P2066" s="19"/>
      <c r="Q2066" s="19"/>
      <c r="R2066" s="19"/>
      <c r="S2066" s="19"/>
      <c r="T2066" s="19"/>
      <c r="U2066" s="19"/>
      <c r="V2066" s="19"/>
      <c r="W2066" s="19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</row>
    <row r="2067" spans="1:36" ht="11.25" customHeight="1" x14ac:dyDescent="0.2">
      <c r="A2067" s="55" t="s">
        <v>21</v>
      </c>
      <c r="B2067" s="55" t="s">
        <v>37</v>
      </c>
      <c r="C2067" s="55" t="s">
        <v>23</v>
      </c>
      <c r="D2067" s="55" t="s">
        <v>43</v>
      </c>
      <c r="E2067" s="55" t="s">
        <v>25</v>
      </c>
      <c r="F2067" s="55" t="s">
        <v>25</v>
      </c>
      <c r="G2067" s="55" t="s">
        <v>25</v>
      </c>
      <c r="H2067" s="55" t="s">
        <v>25</v>
      </c>
      <c r="I2067" s="63">
        <v>44713</v>
      </c>
      <c r="J2067" s="64">
        <f>EFEITO!$J$2067*EFEITO!$Y$2067</f>
        <v>0</v>
      </c>
      <c r="K2067" s="64">
        <f ca="1">EFEITO!$L$2067*EFEITO!$Z$2067</f>
        <v>11475852.338290684</v>
      </c>
      <c r="L2067" s="64">
        <f>EFEITO!$N$2067*EFEITO!$AA$2067</f>
        <v>7802803.9343428314</v>
      </c>
      <c r="M2067" s="64">
        <f>$J$2067-EFEITO!$K$2067*EFEITO!$Y$2067</f>
        <v>0</v>
      </c>
      <c r="N2067" s="64">
        <f ca="1">$K$2067-EFEITO!$M$2067*EFEITO!$Z$2067</f>
        <v>0</v>
      </c>
      <c r="O2067" s="64">
        <f>$L$2067-EFEITO!$O$2067*EFEITO!$AA$2067</f>
        <v>0</v>
      </c>
      <c r="P2067" s="19"/>
      <c r="Q2067" s="19"/>
      <c r="R2067" s="19"/>
      <c r="S2067" s="19"/>
      <c r="T2067" s="19"/>
      <c r="U2067" s="19"/>
      <c r="V2067" s="19"/>
      <c r="W2067" s="19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</row>
    <row r="2068" spans="1:36" ht="11.25" customHeight="1" x14ac:dyDescent="0.2">
      <c r="A2068" s="55" t="s">
        <v>27</v>
      </c>
      <c r="B2068" s="55" t="s">
        <v>37</v>
      </c>
      <c r="C2068" s="55" t="s">
        <v>23</v>
      </c>
      <c r="D2068" s="55" t="s">
        <v>43</v>
      </c>
      <c r="E2068" s="55" t="s">
        <v>25</v>
      </c>
      <c r="F2068" s="55" t="s">
        <v>25</v>
      </c>
      <c r="G2068" s="55" t="s">
        <v>25</v>
      </c>
      <c r="H2068" s="55" t="s">
        <v>25</v>
      </c>
      <c r="I2068" s="63">
        <v>44713</v>
      </c>
      <c r="J2068" s="64">
        <f>EFEITO!$J$2068*EFEITO!$Y$2068</f>
        <v>0</v>
      </c>
      <c r="K2068" s="64">
        <f ca="1">EFEITO!$L$2068*EFEITO!$Z$2068</f>
        <v>-11907.922120420159</v>
      </c>
      <c r="L2068" s="64">
        <f>EFEITO!$N$2068*EFEITO!$AA$2068</f>
        <v>-8096.5821824875511</v>
      </c>
      <c r="M2068" s="64">
        <f>$J$2068-EFEITO!$K$2068*EFEITO!$Y$2068</f>
        <v>0</v>
      </c>
      <c r="N2068" s="64">
        <f ca="1">$K$2068-EFEITO!$M$2068*EFEITO!$Z$2068</f>
        <v>0</v>
      </c>
      <c r="O2068" s="64">
        <f>$L$2068-EFEITO!$O$2068*EFEITO!$AA$2068</f>
        <v>0</v>
      </c>
      <c r="P2068" s="19"/>
      <c r="Q2068" s="19"/>
      <c r="R2068" s="19"/>
      <c r="S2068" s="19"/>
      <c r="T2068" s="19"/>
      <c r="U2068" s="19"/>
      <c r="V2068" s="19"/>
      <c r="W2068" s="19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</row>
    <row r="2069" spans="1:36" ht="11.25" customHeight="1" x14ac:dyDescent="0.2">
      <c r="A2069" s="55" t="s">
        <v>28</v>
      </c>
      <c r="B2069" s="55" t="s">
        <v>37</v>
      </c>
      <c r="C2069" s="55" t="s">
        <v>23</v>
      </c>
      <c r="D2069" s="55" t="s">
        <v>43</v>
      </c>
      <c r="E2069" s="55" t="s">
        <v>25</v>
      </c>
      <c r="F2069" s="55" t="s">
        <v>25</v>
      </c>
      <c r="G2069" s="55" t="s">
        <v>25</v>
      </c>
      <c r="H2069" s="55" t="s">
        <v>25</v>
      </c>
      <c r="I2069" s="63">
        <v>44713</v>
      </c>
      <c r="J2069" s="64">
        <f>EFEITO!$J$2069*EFEITO!$Y$2069</f>
        <v>0</v>
      </c>
      <c r="K2069" s="64">
        <f ca="1">EFEITO!$L$2069*EFEITO!$Z$2069</f>
        <v>1462964.4757180219</v>
      </c>
      <c r="L2069" s="64">
        <f>EFEITO!$N$2069*EFEITO!$AA$2069</f>
        <v>994716.96135789296</v>
      </c>
      <c r="M2069" s="64">
        <f>$J$2069-EFEITO!$K$2069*EFEITO!$Y$2069</f>
        <v>0</v>
      </c>
      <c r="N2069" s="64">
        <f ca="1">$K$2069-EFEITO!$M$2069*EFEITO!$Z$2069</f>
        <v>0</v>
      </c>
      <c r="O2069" s="64">
        <f>$L$2069-EFEITO!$O$2069*EFEITO!$AA$2069</f>
        <v>0</v>
      </c>
      <c r="P2069" s="19"/>
      <c r="Q2069" s="19"/>
      <c r="R2069" s="19"/>
      <c r="S2069" s="19"/>
      <c r="T2069" s="19"/>
      <c r="U2069" s="19"/>
      <c r="V2069" s="19"/>
      <c r="W2069" s="19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</row>
    <row r="2070" spans="1:36" ht="11.25" customHeight="1" x14ac:dyDescent="0.2">
      <c r="A2070" s="55" t="s">
        <v>28</v>
      </c>
      <c r="B2070" s="55" t="s">
        <v>37</v>
      </c>
      <c r="C2070" s="55" t="s">
        <v>23</v>
      </c>
      <c r="D2070" s="55" t="s">
        <v>43</v>
      </c>
      <c r="E2070" s="55" t="s">
        <v>25</v>
      </c>
      <c r="F2070" s="55" t="s">
        <v>25</v>
      </c>
      <c r="G2070" s="55" t="s">
        <v>25</v>
      </c>
      <c r="H2070" s="55" t="s">
        <v>25</v>
      </c>
      <c r="I2070" s="63">
        <v>44713</v>
      </c>
      <c r="J2070" s="64">
        <f>EFEITO!$J$2070*EFEITO!$Y$2070</f>
        <v>0</v>
      </c>
      <c r="K2070" s="64">
        <f ca="1">EFEITO!$L$2070*EFEITO!$Z$2070</f>
        <v>-13341.137830828897</v>
      </c>
      <c r="L2070" s="64">
        <f>EFEITO!$N$2070*EFEITO!$AA$2070</f>
        <v>-9071.071994161528</v>
      </c>
      <c r="M2070" s="64">
        <f>$J$2070-EFEITO!$K$2070*EFEITO!$Y$2070</f>
        <v>0</v>
      </c>
      <c r="N2070" s="64">
        <f ca="1">$K$2070-EFEITO!$M$2070*EFEITO!$Z$2070</f>
        <v>0</v>
      </c>
      <c r="O2070" s="64">
        <f>$L$2070-EFEITO!$O$2070*EFEITO!$AA$2070</f>
        <v>0</v>
      </c>
      <c r="P2070" s="19"/>
      <c r="Q2070" s="19"/>
      <c r="R2070" s="19"/>
      <c r="S2070" s="19"/>
      <c r="T2070" s="19"/>
      <c r="U2070" s="19"/>
      <c r="V2070" s="19"/>
      <c r="W2070" s="19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</row>
    <row r="2071" spans="1:36" ht="11.25" customHeight="1" x14ac:dyDescent="0.2">
      <c r="A2071" s="55" t="s">
        <v>57</v>
      </c>
      <c r="B2071" s="55" t="s">
        <v>37</v>
      </c>
      <c r="C2071" s="55" t="s">
        <v>23</v>
      </c>
      <c r="D2071" s="55" t="s">
        <v>43</v>
      </c>
      <c r="E2071" s="55" t="s">
        <v>25</v>
      </c>
      <c r="F2071" s="55" t="s">
        <v>25</v>
      </c>
      <c r="G2071" s="55" t="s">
        <v>25</v>
      </c>
      <c r="H2071" s="55" t="s">
        <v>25</v>
      </c>
      <c r="I2071" s="63">
        <v>44743</v>
      </c>
      <c r="J2071" s="64">
        <f>EFEITO!$J$2071*EFEITO!$Y$2071</f>
        <v>0</v>
      </c>
      <c r="K2071" s="64">
        <f ca="1">EFEITO!$L$2071*EFEITO!$Z$2071</f>
        <v>11475852.338290684</v>
      </c>
      <c r="L2071" s="64">
        <f>EFEITO!$N$2071*EFEITO!$AA$2071</f>
        <v>7802803.9343428314</v>
      </c>
      <c r="M2071" s="64">
        <f>$J$2071-EFEITO!$K$2071*EFEITO!$Y$2071</f>
        <v>0</v>
      </c>
      <c r="N2071" s="64">
        <f ca="1">$K$2071-EFEITO!$M$2071*EFEITO!$Z$2071</f>
        <v>0</v>
      </c>
      <c r="O2071" s="64">
        <f>$L$2071-EFEITO!$O$2071*EFEITO!$AA$2071</f>
        <v>0</v>
      </c>
      <c r="P2071" s="19"/>
      <c r="Q2071" s="19"/>
      <c r="R2071" s="19"/>
      <c r="S2071" s="19"/>
      <c r="T2071" s="19"/>
      <c r="U2071" s="19"/>
      <c r="V2071" s="19"/>
      <c r="W2071" s="19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</row>
    <row r="2072" spans="1:36" ht="11.25" customHeight="1" x14ac:dyDescent="0.2">
      <c r="A2072" s="55" t="s">
        <v>57</v>
      </c>
      <c r="B2072" s="55" t="s">
        <v>37</v>
      </c>
      <c r="C2072" s="55" t="s">
        <v>23</v>
      </c>
      <c r="D2072" s="55" t="s">
        <v>43</v>
      </c>
      <c r="E2072" s="55" t="s">
        <v>25</v>
      </c>
      <c r="F2072" s="55" t="s">
        <v>25</v>
      </c>
      <c r="G2072" s="55" t="s">
        <v>25</v>
      </c>
      <c r="H2072" s="55" t="s">
        <v>25</v>
      </c>
      <c r="I2072" s="63">
        <v>44743</v>
      </c>
      <c r="J2072" s="64">
        <f>EFEITO!$J$2072*EFEITO!$Y$2072</f>
        <v>0</v>
      </c>
      <c r="K2072" s="64">
        <f ca="1">EFEITO!$L$2072*EFEITO!$Z$2072</f>
        <v>-11907.922120420159</v>
      </c>
      <c r="L2072" s="64">
        <f>EFEITO!$N$2072*EFEITO!$AA$2072</f>
        <v>-8096.5821824875511</v>
      </c>
      <c r="M2072" s="64">
        <f>$J$2072-EFEITO!$K$2072*EFEITO!$Y$2072</f>
        <v>0</v>
      </c>
      <c r="N2072" s="64">
        <f ca="1">$K$2072-EFEITO!$M$2072*EFEITO!$Z$2072</f>
        <v>0</v>
      </c>
      <c r="O2072" s="64">
        <f>$L$2072-EFEITO!$O$2072*EFEITO!$AA$2072</f>
        <v>0</v>
      </c>
      <c r="P2072" s="19"/>
      <c r="Q2072" s="19"/>
      <c r="R2072" s="19"/>
      <c r="S2072" s="19"/>
      <c r="T2072" s="19"/>
      <c r="U2072" s="19"/>
      <c r="V2072" s="19"/>
      <c r="W2072" s="19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</row>
    <row r="2073" spans="1:36" ht="11.25" customHeight="1" x14ac:dyDescent="0.2">
      <c r="A2073" s="55" t="s">
        <v>57</v>
      </c>
      <c r="B2073" s="55" t="s">
        <v>37</v>
      </c>
      <c r="C2073" s="55" t="s">
        <v>23</v>
      </c>
      <c r="D2073" s="55" t="s">
        <v>43</v>
      </c>
      <c r="E2073" s="55" t="s">
        <v>25</v>
      </c>
      <c r="F2073" s="55" t="s">
        <v>25</v>
      </c>
      <c r="G2073" s="55" t="s">
        <v>25</v>
      </c>
      <c r="H2073" s="55" t="s">
        <v>25</v>
      </c>
      <c r="I2073" s="63">
        <v>44743</v>
      </c>
      <c r="J2073" s="64">
        <f>EFEITO!$J$2073*EFEITO!$Y$2073</f>
        <v>0</v>
      </c>
      <c r="K2073" s="64">
        <f ca="1">EFEITO!$L$2073*EFEITO!$Z$2073</f>
        <v>1462964.4757180219</v>
      </c>
      <c r="L2073" s="64">
        <f>EFEITO!$N$2073*EFEITO!$AA$2073</f>
        <v>994716.96135789296</v>
      </c>
      <c r="M2073" s="64">
        <f>$J$2073-EFEITO!$K$2073*EFEITO!$Y$2073</f>
        <v>0</v>
      </c>
      <c r="N2073" s="64">
        <f ca="1">$K$2073-EFEITO!$M$2073*EFEITO!$Z$2073</f>
        <v>0</v>
      </c>
      <c r="O2073" s="64">
        <f>$L$2073-EFEITO!$O$2073*EFEITO!$AA$2073</f>
        <v>0</v>
      </c>
      <c r="P2073" s="19"/>
      <c r="Q2073" s="19"/>
      <c r="R2073" s="19"/>
      <c r="S2073" s="19"/>
      <c r="T2073" s="19"/>
      <c r="U2073" s="19"/>
      <c r="V2073" s="19"/>
      <c r="W2073" s="19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</row>
    <row r="2074" spans="1:36" ht="11.25" customHeight="1" x14ac:dyDescent="0.2">
      <c r="A2074" s="55" t="s">
        <v>57</v>
      </c>
      <c r="B2074" s="55" t="s">
        <v>37</v>
      </c>
      <c r="C2074" s="55" t="s">
        <v>23</v>
      </c>
      <c r="D2074" s="55" t="s">
        <v>43</v>
      </c>
      <c r="E2074" s="55" t="s">
        <v>25</v>
      </c>
      <c r="F2074" s="55" t="s">
        <v>25</v>
      </c>
      <c r="G2074" s="55" t="s">
        <v>25</v>
      </c>
      <c r="H2074" s="55" t="s">
        <v>25</v>
      </c>
      <c r="I2074" s="63">
        <v>44743</v>
      </c>
      <c r="J2074" s="64">
        <f>EFEITO!$J$2074*EFEITO!$Y$2074</f>
        <v>0</v>
      </c>
      <c r="K2074" s="64">
        <f ca="1">EFEITO!$L$2074*EFEITO!$Z$2074</f>
        <v>-13341.137830828897</v>
      </c>
      <c r="L2074" s="64">
        <f>EFEITO!$N$2074*EFEITO!$AA$2074</f>
        <v>-9071.071994161528</v>
      </c>
      <c r="M2074" s="64">
        <f>$J$2074-EFEITO!$K$2074*EFEITO!$Y$2074</f>
        <v>0</v>
      </c>
      <c r="N2074" s="64">
        <f ca="1">$K$2074-EFEITO!$M$2074*EFEITO!$Z$2074</f>
        <v>0</v>
      </c>
      <c r="O2074" s="64">
        <f>$L$2074-EFEITO!$O$2074*EFEITO!$AA$2074</f>
        <v>0</v>
      </c>
      <c r="P2074" s="19"/>
      <c r="Q2074" s="19"/>
      <c r="R2074" s="19"/>
      <c r="S2074" s="19"/>
      <c r="T2074" s="19"/>
      <c r="U2074" s="19"/>
      <c r="V2074" s="19"/>
      <c r="W2074" s="19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</row>
    <row r="2075" spans="1:36" ht="11.25" customHeight="1" x14ac:dyDescent="0.2">
      <c r="A2075" s="55" t="s">
        <v>21</v>
      </c>
      <c r="B2075" s="55" t="s">
        <v>37</v>
      </c>
      <c r="C2075" s="55" t="s">
        <v>23</v>
      </c>
      <c r="D2075" s="55" t="s">
        <v>52</v>
      </c>
      <c r="E2075" s="55" t="s">
        <v>25</v>
      </c>
      <c r="F2075" s="55" t="s">
        <v>25</v>
      </c>
      <c r="G2075" s="55" t="s">
        <v>25</v>
      </c>
      <c r="H2075" s="55" t="s">
        <v>25</v>
      </c>
      <c r="I2075" s="63">
        <v>44409</v>
      </c>
      <c r="J2075" s="64">
        <f>EFEITO!$J$2075*EFEITO!$Y$2075</f>
        <v>0</v>
      </c>
      <c r="K2075" s="64">
        <f ca="1">EFEITO!$L$2075*EFEITO!$Z$2075</f>
        <v>70872.320744195677</v>
      </c>
      <c r="L2075" s="64">
        <f>EFEITO!$N$2075*EFEITO!$AA$2075</f>
        <v>48188.387828383842</v>
      </c>
      <c r="M2075" s="64">
        <f>$J$2075-EFEITO!$K$2075*EFEITO!$Y$2075</f>
        <v>0</v>
      </c>
      <c r="N2075" s="64">
        <f ca="1">$K$2075-EFEITO!$M$2075*EFEITO!$Z$2075</f>
        <v>0</v>
      </c>
      <c r="O2075" s="64">
        <f>$L$2075-EFEITO!$O$2075*EFEITO!$AA$2075</f>
        <v>0</v>
      </c>
      <c r="P2075" s="19"/>
      <c r="Q2075" s="19"/>
      <c r="R2075" s="19"/>
      <c r="S2075" s="19"/>
      <c r="T2075" s="19"/>
      <c r="U2075" s="19"/>
      <c r="V2075" s="19"/>
      <c r="W2075" s="19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</row>
    <row r="2076" spans="1:36" ht="11.25" customHeight="1" x14ac:dyDescent="0.2">
      <c r="A2076" s="55" t="s">
        <v>21</v>
      </c>
      <c r="B2076" s="55" t="s">
        <v>37</v>
      </c>
      <c r="C2076" s="55" t="s">
        <v>23</v>
      </c>
      <c r="D2076" s="55" t="s">
        <v>52</v>
      </c>
      <c r="E2076" s="55" t="s">
        <v>25</v>
      </c>
      <c r="F2076" s="55" t="s">
        <v>25</v>
      </c>
      <c r="G2076" s="55" t="s">
        <v>25</v>
      </c>
      <c r="H2076" s="55" t="s">
        <v>25</v>
      </c>
      <c r="I2076" s="63">
        <v>44440</v>
      </c>
      <c r="J2076" s="64">
        <f>EFEITO!$J$2076*EFEITO!$Y$2076</f>
        <v>0</v>
      </c>
      <c r="K2076" s="64">
        <f ca="1">EFEITO!$L$2076*EFEITO!$Z$2076</f>
        <v>67036.979871977208</v>
      </c>
      <c r="L2076" s="64">
        <f>EFEITO!$N$2076*EFEITO!$AA$2076</f>
        <v>45580.615266912428</v>
      </c>
      <c r="M2076" s="64">
        <f>$J$2076-EFEITO!$K$2076*EFEITO!$Y$2076</f>
        <v>0</v>
      </c>
      <c r="N2076" s="64">
        <f ca="1">$K$2076-EFEITO!$M$2076*EFEITO!$Z$2076</f>
        <v>0</v>
      </c>
      <c r="O2076" s="64">
        <f>$L$2076-EFEITO!$O$2076*EFEITO!$AA$2076</f>
        <v>0</v>
      </c>
      <c r="P2076" s="19"/>
      <c r="Q2076" s="19"/>
      <c r="R2076" s="19"/>
      <c r="S2076" s="19"/>
      <c r="T2076" s="19"/>
      <c r="U2076" s="19"/>
      <c r="V2076" s="19"/>
      <c r="W2076" s="19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</row>
    <row r="2077" spans="1:36" ht="11.25" customHeight="1" x14ac:dyDescent="0.2">
      <c r="A2077" s="55" t="s">
        <v>27</v>
      </c>
      <c r="B2077" s="55" t="s">
        <v>37</v>
      </c>
      <c r="C2077" s="55" t="s">
        <v>23</v>
      </c>
      <c r="D2077" s="55" t="s">
        <v>52</v>
      </c>
      <c r="E2077" s="55" t="s">
        <v>25</v>
      </c>
      <c r="F2077" s="55" t="s">
        <v>25</v>
      </c>
      <c r="G2077" s="55" t="s">
        <v>25</v>
      </c>
      <c r="H2077" s="55" t="s">
        <v>25</v>
      </c>
      <c r="I2077" s="63">
        <v>44440</v>
      </c>
      <c r="J2077" s="64">
        <f>EFEITO!$J$2077*EFEITO!$Y$2077</f>
        <v>0</v>
      </c>
      <c r="K2077" s="64">
        <f ca="1">EFEITO!$L$2077*EFEITO!$Z$2077</f>
        <v>32.094902696388779</v>
      </c>
      <c r="L2077" s="64">
        <f>EFEITO!$N$2077*EFEITO!$AA$2077</f>
        <v>21.822364531141577</v>
      </c>
      <c r="M2077" s="64">
        <f>$J$2077-EFEITO!$K$2077*EFEITO!$Y$2077</f>
        <v>0</v>
      </c>
      <c r="N2077" s="64">
        <f ca="1">$K$2077-EFEITO!$M$2077*EFEITO!$Z$2077</f>
        <v>0</v>
      </c>
      <c r="O2077" s="64">
        <f>$L$2077-EFEITO!$O$2077*EFEITO!$AA$2077</f>
        <v>0</v>
      </c>
      <c r="P2077" s="19"/>
      <c r="Q2077" s="19"/>
      <c r="R2077" s="19"/>
      <c r="S2077" s="19"/>
      <c r="T2077" s="19"/>
      <c r="U2077" s="19"/>
      <c r="V2077" s="19"/>
      <c r="W2077" s="19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</row>
    <row r="2078" spans="1:36" ht="11.25" customHeight="1" x14ac:dyDescent="0.2">
      <c r="A2078" s="55" t="s">
        <v>21</v>
      </c>
      <c r="B2078" s="55" t="s">
        <v>37</v>
      </c>
      <c r="C2078" s="55" t="s">
        <v>23</v>
      </c>
      <c r="D2078" s="55" t="s">
        <v>52</v>
      </c>
      <c r="E2078" s="55" t="s">
        <v>25</v>
      </c>
      <c r="F2078" s="55" t="s">
        <v>25</v>
      </c>
      <c r="G2078" s="55" t="s">
        <v>25</v>
      </c>
      <c r="H2078" s="55" t="s">
        <v>25</v>
      </c>
      <c r="I2078" s="63">
        <v>44470</v>
      </c>
      <c r="J2078" s="64">
        <f>EFEITO!$J$2078*EFEITO!$Y$2078</f>
        <v>0</v>
      </c>
      <c r="K2078" s="64">
        <f ca="1">EFEITO!$L$2078*EFEITO!$Z$2078</f>
        <v>73970.192074457096</v>
      </c>
      <c r="L2078" s="64">
        <f>EFEITO!$N$2078*EFEITO!$AA$2078</f>
        <v>50294.730947073025</v>
      </c>
      <c r="M2078" s="64">
        <f>$J$2078-EFEITO!$K$2078*EFEITO!$Y$2078</f>
        <v>0</v>
      </c>
      <c r="N2078" s="64">
        <f ca="1">$K$2078-EFEITO!$M$2078*EFEITO!$Z$2078</f>
        <v>0</v>
      </c>
      <c r="O2078" s="64">
        <f>$L$2078-EFEITO!$O$2078*EFEITO!$AA$2078</f>
        <v>0</v>
      </c>
      <c r="P2078" s="19"/>
      <c r="Q2078" s="19"/>
      <c r="R2078" s="19"/>
      <c r="S2078" s="19"/>
      <c r="T2078" s="19"/>
      <c r="U2078" s="19"/>
      <c r="V2078" s="19"/>
      <c r="W2078" s="19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</row>
    <row r="2079" spans="1:36" ht="11.25" customHeight="1" x14ac:dyDescent="0.2">
      <c r="A2079" s="55" t="s">
        <v>21</v>
      </c>
      <c r="B2079" s="55" t="s">
        <v>37</v>
      </c>
      <c r="C2079" s="55" t="s">
        <v>23</v>
      </c>
      <c r="D2079" s="55" t="s">
        <v>52</v>
      </c>
      <c r="E2079" s="55" t="s">
        <v>25</v>
      </c>
      <c r="F2079" s="55" t="s">
        <v>25</v>
      </c>
      <c r="G2079" s="55" t="s">
        <v>25</v>
      </c>
      <c r="H2079" s="55" t="s">
        <v>25</v>
      </c>
      <c r="I2079" s="63">
        <v>44501</v>
      </c>
      <c r="J2079" s="64">
        <f>EFEITO!$J$2079*EFEITO!$Y$2079</f>
        <v>0</v>
      </c>
      <c r="K2079" s="64">
        <f ca="1">EFEITO!$L$2079*EFEITO!$Z$2079</f>
        <v>71983.874207580593</v>
      </c>
      <c r="L2079" s="64">
        <f>EFEITO!$N$2079*EFEITO!$AA$2079</f>
        <v>48944.169053312376</v>
      </c>
      <c r="M2079" s="64">
        <f>$J$2079-EFEITO!$K$2079*EFEITO!$Y$2079</f>
        <v>0</v>
      </c>
      <c r="N2079" s="64">
        <f ca="1">$K$2079-EFEITO!$M$2079*EFEITO!$Z$2079</f>
        <v>0</v>
      </c>
      <c r="O2079" s="64">
        <f>$L$2079-EFEITO!$O$2079*EFEITO!$AA$2079</f>
        <v>0</v>
      </c>
      <c r="P2079" s="19"/>
      <c r="Q2079" s="19"/>
      <c r="R2079" s="19"/>
      <c r="S2079" s="19"/>
      <c r="T2079" s="19"/>
      <c r="U2079" s="19"/>
      <c r="V2079" s="19"/>
      <c r="W2079" s="19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</row>
    <row r="2080" spans="1:36" ht="11.25" customHeight="1" x14ac:dyDescent="0.2">
      <c r="A2080" s="55" t="s">
        <v>21</v>
      </c>
      <c r="B2080" s="55" t="s">
        <v>37</v>
      </c>
      <c r="C2080" s="55" t="s">
        <v>23</v>
      </c>
      <c r="D2080" s="55" t="s">
        <v>52</v>
      </c>
      <c r="E2080" s="55" t="s">
        <v>25</v>
      </c>
      <c r="F2080" s="55" t="s">
        <v>25</v>
      </c>
      <c r="G2080" s="55" t="s">
        <v>25</v>
      </c>
      <c r="H2080" s="55" t="s">
        <v>25</v>
      </c>
      <c r="I2080" s="63">
        <v>44531</v>
      </c>
      <c r="J2080" s="64">
        <f>EFEITO!$J$2080*EFEITO!$Y$2080</f>
        <v>0</v>
      </c>
      <c r="K2080" s="64">
        <f ca="1">EFEITO!$L$2080*EFEITO!$Z$2080</f>
        <v>81552.79114149393</v>
      </c>
      <c r="L2080" s="64">
        <f>EFEITO!$N$2080*EFEITO!$AA$2080</f>
        <v>55450.385802913734</v>
      </c>
      <c r="M2080" s="64">
        <f>$J$2080-EFEITO!$K$2080*EFEITO!$Y$2080</f>
        <v>0</v>
      </c>
      <c r="N2080" s="64">
        <f ca="1">$K$2080-EFEITO!$M$2080*EFEITO!$Z$2080</f>
        <v>0</v>
      </c>
      <c r="O2080" s="64">
        <f>$L$2080-EFEITO!$O$2080*EFEITO!$AA$2080</f>
        <v>0</v>
      </c>
      <c r="P2080" s="19"/>
      <c r="Q2080" s="19"/>
      <c r="R2080" s="19"/>
      <c r="S2080" s="19"/>
      <c r="T2080" s="19"/>
      <c r="U2080" s="19"/>
      <c r="V2080" s="19"/>
      <c r="W2080" s="19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</row>
    <row r="2081" spans="1:36" ht="11.25" customHeight="1" x14ac:dyDescent="0.2">
      <c r="A2081" s="55" t="s">
        <v>21</v>
      </c>
      <c r="B2081" s="55" t="s">
        <v>37</v>
      </c>
      <c r="C2081" s="55" t="s">
        <v>23</v>
      </c>
      <c r="D2081" s="55" t="s">
        <v>52</v>
      </c>
      <c r="E2081" s="55" t="s">
        <v>25</v>
      </c>
      <c r="F2081" s="55" t="s">
        <v>25</v>
      </c>
      <c r="G2081" s="55" t="s">
        <v>25</v>
      </c>
      <c r="H2081" s="55" t="s">
        <v>25</v>
      </c>
      <c r="I2081" s="63">
        <v>44562</v>
      </c>
      <c r="J2081" s="64">
        <f>EFEITO!$J$2081*EFEITO!$Y$2081</f>
        <v>0</v>
      </c>
      <c r="K2081" s="64">
        <f ca="1">EFEITO!$L$2081*EFEITO!$Z$2081</f>
        <v>76751.750308144139</v>
      </c>
      <c r="L2081" s="64">
        <f>EFEITO!$N$2081*EFEITO!$AA$2081</f>
        <v>52186.002539771966</v>
      </c>
      <c r="M2081" s="64">
        <f>$J$2081-EFEITO!$K$2081*EFEITO!$Y$2081</f>
        <v>0</v>
      </c>
      <c r="N2081" s="64">
        <f ca="1">$K$2081-EFEITO!$M$2081*EFEITO!$Z$2081</f>
        <v>0</v>
      </c>
      <c r="O2081" s="64">
        <f>$L$2081-EFEITO!$O$2081*EFEITO!$AA$2081</f>
        <v>0</v>
      </c>
      <c r="P2081" s="19"/>
      <c r="Q2081" s="19"/>
      <c r="R2081" s="19"/>
      <c r="S2081" s="19"/>
      <c r="T2081" s="19"/>
      <c r="U2081" s="19"/>
      <c r="V2081" s="19"/>
      <c r="W2081" s="19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</row>
    <row r="2082" spans="1:36" ht="11.25" customHeight="1" x14ac:dyDescent="0.2">
      <c r="A2082" s="55" t="s">
        <v>27</v>
      </c>
      <c r="B2082" s="55" t="s">
        <v>37</v>
      </c>
      <c r="C2082" s="55" t="s">
        <v>23</v>
      </c>
      <c r="D2082" s="55" t="s">
        <v>52</v>
      </c>
      <c r="E2082" s="55" t="s">
        <v>25</v>
      </c>
      <c r="F2082" s="55" t="s">
        <v>25</v>
      </c>
      <c r="G2082" s="55" t="s">
        <v>25</v>
      </c>
      <c r="H2082" s="55" t="s">
        <v>25</v>
      </c>
      <c r="I2082" s="63">
        <v>44562</v>
      </c>
      <c r="J2082" s="64">
        <f>EFEITO!$J$2082*EFEITO!$Y$2082</f>
        <v>0</v>
      </c>
      <c r="K2082" s="64">
        <f ca="1">EFEITO!$L$2082*EFEITO!$Z$2082</f>
        <v>70.608785932055326</v>
      </c>
      <c r="L2082" s="64">
        <f>EFEITO!$N$2082*EFEITO!$AA$2082</f>
        <v>48.009201968511469</v>
      </c>
      <c r="M2082" s="64">
        <f>$J$2082-EFEITO!$K$2082*EFEITO!$Y$2082</f>
        <v>0</v>
      </c>
      <c r="N2082" s="64">
        <f ca="1">$K$2082-EFEITO!$M$2082*EFEITO!$Z$2082</f>
        <v>0</v>
      </c>
      <c r="O2082" s="64">
        <f>$L$2082-EFEITO!$O$2082*EFEITO!$AA$2082</f>
        <v>0</v>
      </c>
      <c r="P2082" s="19"/>
      <c r="Q2082" s="19"/>
      <c r="R2082" s="19"/>
      <c r="S2082" s="19"/>
      <c r="T2082" s="19"/>
      <c r="U2082" s="19"/>
      <c r="V2082" s="19"/>
      <c r="W2082" s="19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</row>
    <row r="2083" spans="1:36" ht="11.25" customHeight="1" x14ac:dyDescent="0.2">
      <c r="A2083" s="55" t="s">
        <v>21</v>
      </c>
      <c r="B2083" s="55" t="s">
        <v>37</v>
      </c>
      <c r="C2083" s="55" t="s">
        <v>23</v>
      </c>
      <c r="D2083" s="55" t="s">
        <v>52</v>
      </c>
      <c r="E2083" s="55" t="s">
        <v>25</v>
      </c>
      <c r="F2083" s="55" t="s">
        <v>25</v>
      </c>
      <c r="G2083" s="55" t="s">
        <v>25</v>
      </c>
      <c r="H2083" s="55" t="s">
        <v>25</v>
      </c>
      <c r="I2083" s="63">
        <v>44593</v>
      </c>
      <c r="J2083" s="64">
        <f>EFEITO!$J$2083*EFEITO!$Y$2083</f>
        <v>0</v>
      </c>
      <c r="K2083" s="64">
        <f ca="1">EFEITO!$L$2083*EFEITO!$Z$2083</f>
        <v>66071.279910845871</v>
      </c>
      <c r="L2083" s="64">
        <f>EFEITO!$N$2083*EFEITO!$AA$2083</f>
        <v>44924.004565242081</v>
      </c>
      <c r="M2083" s="64">
        <f>$J$2083-EFEITO!$K$2083*EFEITO!$Y$2083</f>
        <v>0</v>
      </c>
      <c r="N2083" s="64">
        <f ca="1">$K$2083-EFEITO!$M$2083*EFEITO!$Z$2083</f>
        <v>0</v>
      </c>
      <c r="O2083" s="64">
        <f>$L$2083-EFEITO!$O$2083*EFEITO!$AA$2083</f>
        <v>0</v>
      </c>
      <c r="P2083" s="19"/>
      <c r="Q2083" s="19"/>
      <c r="R2083" s="19"/>
      <c r="S2083" s="19"/>
      <c r="T2083" s="19"/>
      <c r="U2083" s="19"/>
      <c r="V2083" s="19"/>
      <c r="W2083" s="19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</row>
    <row r="2084" spans="1:36" ht="11.25" customHeight="1" x14ac:dyDescent="0.2">
      <c r="A2084" s="55" t="s">
        <v>21</v>
      </c>
      <c r="B2084" s="55" t="s">
        <v>37</v>
      </c>
      <c r="C2084" s="55" t="s">
        <v>23</v>
      </c>
      <c r="D2084" s="55" t="s">
        <v>52</v>
      </c>
      <c r="E2084" s="55" t="s">
        <v>25</v>
      </c>
      <c r="F2084" s="55" t="s">
        <v>25</v>
      </c>
      <c r="G2084" s="55" t="s">
        <v>25</v>
      </c>
      <c r="H2084" s="55" t="s">
        <v>25</v>
      </c>
      <c r="I2084" s="63">
        <v>44621</v>
      </c>
      <c r="J2084" s="64">
        <f>EFEITO!$J$2084*EFEITO!$Y$2084</f>
        <v>0</v>
      </c>
      <c r="K2084" s="64">
        <f ca="1">EFEITO!$L$2084*EFEITO!$Z$2084</f>
        <v>73849.657884330663</v>
      </c>
      <c r="L2084" s="64">
        <f>EFEITO!$N$2084*EFEITO!$AA$2084</f>
        <v>50212.775844722739</v>
      </c>
      <c r="M2084" s="64">
        <f>$J$2084-EFEITO!$K$2084*EFEITO!$Y$2084</f>
        <v>0</v>
      </c>
      <c r="N2084" s="64">
        <f ca="1">$K$2084-EFEITO!$M$2084*EFEITO!$Z$2084</f>
        <v>0</v>
      </c>
      <c r="O2084" s="64">
        <f>$L$2084-EFEITO!$O$2084*EFEITO!$AA$2084</f>
        <v>0</v>
      </c>
      <c r="P2084" s="19"/>
      <c r="Q2084" s="19"/>
      <c r="R2084" s="19"/>
      <c r="S2084" s="19"/>
      <c r="T2084" s="19"/>
      <c r="U2084" s="19"/>
      <c r="V2084" s="19"/>
      <c r="W2084" s="19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</row>
    <row r="2085" spans="1:36" ht="11.25" customHeight="1" x14ac:dyDescent="0.2">
      <c r="A2085" s="55" t="s">
        <v>21</v>
      </c>
      <c r="B2085" s="55" t="s">
        <v>37</v>
      </c>
      <c r="C2085" s="55" t="s">
        <v>23</v>
      </c>
      <c r="D2085" s="55" t="s">
        <v>52</v>
      </c>
      <c r="E2085" s="55" t="s">
        <v>25</v>
      </c>
      <c r="F2085" s="55" t="s">
        <v>25</v>
      </c>
      <c r="G2085" s="55" t="s">
        <v>25</v>
      </c>
      <c r="H2085" s="55" t="s">
        <v>25</v>
      </c>
      <c r="I2085" s="63">
        <v>44652</v>
      </c>
      <c r="J2085" s="64">
        <f>EFEITO!$J$2085*EFEITO!$Y$2085</f>
        <v>0</v>
      </c>
      <c r="K2085" s="64">
        <f ca="1">EFEITO!$L$2085*EFEITO!$Z$2085</f>
        <v>82614.062590654517</v>
      </c>
      <c r="L2085" s="64">
        <f>EFEITO!$N$2085*EFEITO!$AA$2085</f>
        <v>56171.978656743478</v>
      </c>
      <c r="M2085" s="64">
        <f>$J$2085-EFEITO!$K$2085*EFEITO!$Y$2085</f>
        <v>0</v>
      </c>
      <c r="N2085" s="64">
        <f ca="1">$K$2085-EFEITO!$M$2085*EFEITO!$Z$2085</f>
        <v>0</v>
      </c>
      <c r="O2085" s="64">
        <f>$L$2085-EFEITO!$O$2085*EFEITO!$AA$2085</f>
        <v>0</v>
      </c>
      <c r="P2085" s="19"/>
      <c r="Q2085" s="19"/>
      <c r="R2085" s="19"/>
      <c r="S2085" s="19"/>
      <c r="T2085" s="19"/>
      <c r="U2085" s="19"/>
      <c r="V2085" s="19"/>
      <c r="W2085" s="19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</row>
    <row r="2086" spans="1:36" ht="11.25" customHeight="1" x14ac:dyDescent="0.2">
      <c r="A2086" s="55" t="s">
        <v>27</v>
      </c>
      <c r="B2086" s="55" t="s">
        <v>37</v>
      </c>
      <c r="C2086" s="55" t="s">
        <v>23</v>
      </c>
      <c r="D2086" s="55" t="s">
        <v>52</v>
      </c>
      <c r="E2086" s="55" t="s">
        <v>25</v>
      </c>
      <c r="F2086" s="55" t="s">
        <v>25</v>
      </c>
      <c r="G2086" s="55" t="s">
        <v>25</v>
      </c>
      <c r="H2086" s="55" t="s">
        <v>25</v>
      </c>
      <c r="I2086" s="63">
        <v>44652</v>
      </c>
      <c r="J2086" s="64">
        <f>EFEITO!$J$2086*EFEITO!$Y$2086</f>
        <v>0</v>
      </c>
      <c r="K2086" s="64">
        <f ca="1">EFEITO!$L$2086*EFEITO!$Z$2086</f>
        <v>335.92664822220257</v>
      </c>
      <c r="L2086" s="64">
        <f>EFEITO!$N$2086*EFEITO!$AA$2086</f>
        <v>228.4074154259485</v>
      </c>
      <c r="M2086" s="64">
        <f>$J$2086-EFEITO!$K$2086*EFEITO!$Y$2086</f>
        <v>0</v>
      </c>
      <c r="N2086" s="64">
        <f ca="1">$K$2086-EFEITO!$M$2086*EFEITO!$Z$2086</f>
        <v>0</v>
      </c>
      <c r="O2086" s="64">
        <f>$L$2086-EFEITO!$O$2086*EFEITO!$AA$2086</f>
        <v>0</v>
      </c>
      <c r="P2086" s="19"/>
      <c r="Q2086" s="19"/>
      <c r="R2086" s="19"/>
      <c r="S2086" s="19"/>
      <c r="T2086" s="19"/>
      <c r="U2086" s="19"/>
      <c r="V2086" s="19"/>
      <c r="W2086" s="19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</row>
    <row r="2087" spans="1:36" ht="11.25" customHeight="1" x14ac:dyDescent="0.2">
      <c r="A2087" s="55" t="s">
        <v>28</v>
      </c>
      <c r="B2087" s="55" t="s">
        <v>37</v>
      </c>
      <c r="C2087" s="55" t="s">
        <v>23</v>
      </c>
      <c r="D2087" s="55" t="s">
        <v>52</v>
      </c>
      <c r="E2087" s="55" t="s">
        <v>25</v>
      </c>
      <c r="F2087" s="55" t="s">
        <v>25</v>
      </c>
      <c r="G2087" s="55" t="s">
        <v>25</v>
      </c>
      <c r="H2087" s="55" t="s">
        <v>25</v>
      </c>
      <c r="I2087" s="63">
        <v>44652</v>
      </c>
      <c r="J2087" s="64">
        <f>EFEITO!$J$2087*EFEITO!$Y$2087</f>
        <v>0</v>
      </c>
      <c r="K2087" s="64">
        <f ca="1">EFEITO!$L$2087*EFEITO!$Z$2087</f>
        <v>525.28657413089638</v>
      </c>
      <c r="L2087" s="64">
        <f>EFEITO!$N$2087*EFEITO!$AA$2087</f>
        <v>357.15936615968383</v>
      </c>
      <c r="M2087" s="64">
        <f>$J$2087-EFEITO!$K$2087*EFEITO!$Y$2087</f>
        <v>0</v>
      </c>
      <c r="N2087" s="64">
        <f ca="1">$K$2087-EFEITO!$M$2087*EFEITO!$Z$2087</f>
        <v>0</v>
      </c>
      <c r="O2087" s="64">
        <f>$L$2087-EFEITO!$O$2087*EFEITO!$AA$2087</f>
        <v>0</v>
      </c>
      <c r="P2087" s="19"/>
      <c r="Q2087" s="19"/>
      <c r="R2087" s="19"/>
      <c r="S2087" s="19"/>
      <c r="T2087" s="19"/>
      <c r="U2087" s="19"/>
      <c r="V2087" s="19"/>
      <c r="W2087" s="19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</row>
    <row r="2088" spans="1:36" ht="11.25" customHeight="1" x14ac:dyDescent="0.2">
      <c r="A2088" s="55" t="s">
        <v>21</v>
      </c>
      <c r="B2088" s="55" t="s">
        <v>37</v>
      </c>
      <c r="C2088" s="55" t="s">
        <v>23</v>
      </c>
      <c r="D2088" s="55" t="s">
        <v>52</v>
      </c>
      <c r="E2088" s="55" t="s">
        <v>25</v>
      </c>
      <c r="F2088" s="55" t="s">
        <v>25</v>
      </c>
      <c r="G2088" s="55" t="s">
        <v>25</v>
      </c>
      <c r="H2088" s="55" t="s">
        <v>25</v>
      </c>
      <c r="I2088" s="63">
        <v>44682</v>
      </c>
      <c r="J2088" s="64">
        <f>EFEITO!$J$2088*EFEITO!$Y$2088</f>
        <v>0</v>
      </c>
      <c r="K2088" s="64">
        <f ca="1">EFEITO!$L$2088*EFEITO!$Z$2088</f>
        <v>72061.615194111859</v>
      </c>
      <c r="L2088" s="64">
        <f>EFEITO!$N$2088*EFEITO!$AA$2088</f>
        <v>48997.027669621151</v>
      </c>
      <c r="M2088" s="64">
        <f>$J$2088-EFEITO!$K$2088*EFEITO!$Y$2088</f>
        <v>0</v>
      </c>
      <c r="N2088" s="64">
        <f ca="1">$K$2088-EFEITO!$M$2088*EFEITO!$Z$2088</f>
        <v>0</v>
      </c>
      <c r="O2088" s="64">
        <f>$L$2088-EFEITO!$O$2088*EFEITO!$AA$2088</f>
        <v>0</v>
      </c>
      <c r="P2088" s="19"/>
      <c r="Q2088" s="19"/>
      <c r="R2088" s="19"/>
      <c r="S2088" s="19"/>
      <c r="T2088" s="19"/>
      <c r="U2088" s="19"/>
      <c r="V2088" s="19"/>
      <c r="W2088" s="19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</row>
    <row r="2089" spans="1:36" ht="11.25" customHeight="1" x14ac:dyDescent="0.2">
      <c r="A2089" s="55" t="s">
        <v>28</v>
      </c>
      <c r="B2089" s="55" t="s">
        <v>37</v>
      </c>
      <c r="C2089" s="55" t="s">
        <v>23</v>
      </c>
      <c r="D2089" s="55" t="s">
        <v>52</v>
      </c>
      <c r="E2089" s="55" t="s">
        <v>25</v>
      </c>
      <c r="F2089" s="55" t="s">
        <v>25</v>
      </c>
      <c r="G2089" s="55" t="s">
        <v>25</v>
      </c>
      <c r="H2089" s="55" t="s">
        <v>25</v>
      </c>
      <c r="I2089" s="63">
        <v>44682</v>
      </c>
      <c r="J2089" s="64">
        <f>EFEITO!$J$2089*EFEITO!$Y$2089</f>
        <v>0</v>
      </c>
      <c r="K2089" s="64">
        <f ca="1">EFEITO!$L$2089*EFEITO!$Z$2089</f>
        <v>572.71570811555989</v>
      </c>
      <c r="L2089" s="64">
        <f>EFEITO!$N$2089*EFEITO!$AA$2089</f>
        <v>389.40797152237081</v>
      </c>
      <c r="M2089" s="64">
        <f>$J$2089-EFEITO!$K$2089*EFEITO!$Y$2089</f>
        <v>0</v>
      </c>
      <c r="N2089" s="64">
        <f ca="1">$K$2089-EFEITO!$M$2089*EFEITO!$Z$2089</f>
        <v>0</v>
      </c>
      <c r="O2089" s="64">
        <f>$L$2089-EFEITO!$O$2089*EFEITO!$AA$2089</f>
        <v>0</v>
      </c>
      <c r="P2089" s="19"/>
      <c r="Q2089" s="19"/>
      <c r="R2089" s="19"/>
      <c r="S2089" s="19"/>
      <c r="T2089" s="19"/>
      <c r="U2089" s="19"/>
      <c r="V2089" s="19"/>
      <c r="W2089" s="19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</row>
    <row r="2090" spans="1:36" ht="11.25" customHeight="1" x14ac:dyDescent="0.2">
      <c r="A2090" s="55" t="s">
        <v>21</v>
      </c>
      <c r="B2090" s="55" t="s">
        <v>37</v>
      </c>
      <c r="C2090" s="55" t="s">
        <v>23</v>
      </c>
      <c r="D2090" s="55" t="s">
        <v>52</v>
      </c>
      <c r="E2090" s="55" t="s">
        <v>25</v>
      </c>
      <c r="F2090" s="55" t="s">
        <v>25</v>
      </c>
      <c r="G2090" s="55" t="s">
        <v>25</v>
      </c>
      <c r="H2090" s="55" t="s">
        <v>25</v>
      </c>
      <c r="I2090" s="63">
        <v>44713</v>
      </c>
      <c r="J2090" s="64">
        <f>EFEITO!$J$2090*EFEITO!$Y$2090</f>
        <v>0</v>
      </c>
      <c r="K2090" s="64">
        <f ca="1">EFEITO!$L$2090*EFEITO!$Z$2090</f>
        <v>66936.415843528521</v>
      </c>
      <c r="L2090" s="64">
        <f>EFEITO!$N$2090*EFEITO!$AA$2090</f>
        <v>45512.238524714849</v>
      </c>
      <c r="M2090" s="64">
        <f>$J$2090-EFEITO!$K$2090*EFEITO!$Y$2090</f>
        <v>0</v>
      </c>
      <c r="N2090" s="64">
        <f ca="1">$K$2090-EFEITO!$M$2090*EFEITO!$Z$2090</f>
        <v>0</v>
      </c>
      <c r="O2090" s="64">
        <f>$L$2090-EFEITO!$O$2090*EFEITO!$AA$2090</f>
        <v>0</v>
      </c>
      <c r="P2090" s="19"/>
      <c r="Q2090" s="19"/>
      <c r="R2090" s="19"/>
      <c r="S2090" s="19"/>
      <c r="T2090" s="19"/>
      <c r="U2090" s="19"/>
      <c r="V2090" s="19"/>
      <c r="W2090" s="19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</row>
    <row r="2091" spans="1:36" ht="11.25" customHeight="1" x14ac:dyDescent="0.2">
      <c r="A2091" s="55" t="s">
        <v>27</v>
      </c>
      <c r="B2091" s="55" t="s">
        <v>37</v>
      </c>
      <c r="C2091" s="55" t="s">
        <v>23</v>
      </c>
      <c r="D2091" s="55" t="s">
        <v>52</v>
      </c>
      <c r="E2091" s="55" t="s">
        <v>25</v>
      </c>
      <c r="F2091" s="55" t="s">
        <v>25</v>
      </c>
      <c r="G2091" s="55" t="s">
        <v>25</v>
      </c>
      <c r="H2091" s="55" t="s">
        <v>25</v>
      </c>
      <c r="I2091" s="63">
        <v>44713</v>
      </c>
      <c r="J2091" s="64">
        <f>EFEITO!$J$2091*EFEITO!$Y$2091</f>
        <v>0</v>
      </c>
      <c r="K2091" s="64">
        <f ca="1">EFEITO!$L$2091*EFEITO!$Z$2091</f>
        <v>3404.5559560269303</v>
      </c>
      <c r="L2091" s="64">
        <f>EFEITO!$N$2091*EFEITO!$AA$2091</f>
        <v>2314.867935320096</v>
      </c>
      <c r="M2091" s="64">
        <f>$J$2091-EFEITO!$K$2091*EFEITO!$Y$2091</f>
        <v>0</v>
      </c>
      <c r="N2091" s="64">
        <f ca="1">$K$2091-EFEITO!$M$2091*EFEITO!$Z$2091</f>
        <v>0</v>
      </c>
      <c r="O2091" s="64">
        <f>$L$2091-EFEITO!$O$2091*EFEITO!$AA$2091</f>
        <v>0</v>
      </c>
      <c r="P2091" s="19"/>
      <c r="Q2091" s="19"/>
      <c r="R2091" s="19"/>
      <c r="S2091" s="19"/>
      <c r="T2091" s="19"/>
      <c r="U2091" s="19"/>
      <c r="V2091" s="19"/>
      <c r="W2091" s="19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</row>
    <row r="2092" spans="1:36" ht="11.25" customHeight="1" x14ac:dyDescent="0.2">
      <c r="A2092" s="55" t="s">
        <v>28</v>
      </c>
      <c r="B2092" s="55" t="s">
        <v>37</v>
      </c>
      <c r="C2092" s="55" t="s">
        <v>23</v>
      </c>
      <c r="D2092" s="55" t="s">
        <v>52</v>
      </c>
      <c r="E2092" s="55" t="s">
        <v>25</v>
      </c>
      <c r="F2092" s="55" t="s">
        <v>25</v>
      </c>
      <c r="G2092" s="55" t="s">
        <v>25</v>
      </c>
      <c r="H2092" s="55" t="s">
        <v>25</v>
      </c>
      <c r="I2092" s="63">
        <v>44713</v>
      </c>
      <c r="J2092" s="64">
        <f>EFEITO!$J$2092*EFEITO!$Y$2092</f>
        <v>0</v>
      </c>
      <c r="K2092" s="64">
        <f ca="1">EFEITO!$L$2092*EFEITO!$Z$2092</f>
        <v>440.05677697048617</v>
      </c>
      <c r="L2092" s="64">
        <f>EFEITO!$N$2092*EFEITO!$AA$2092</f>
        <v>299.20886479365231</v>
      </c>
      <c r="M2092" s="64">
        <f>$J$2092-EFEITO!$K$2092*EFEITO!$Y$2092</f>
        <v>0</v>
      </c>
      <c r="N2092" s="64">
        <f ca="1">$K$2092-EFEITO!$M$2092*EFEITO!$Z$2092</f>
        <v>0</v>
      </c>
      <c r="O2092" s="64">
        <f>$L$2092-EFEITO!$O$2092*EFEITO!$AA$2092</f>
        <v>0</v>
      </c>
      <c r="P2092" s="19"/>
      <c r="Q2092" s="19"/>
      <c r="R2092" s="19"/>
      <c r="S2092" s="19"/>
      <c r="T2092" s="19"/>
      <c r="U2092" s="19"/>
      <c r="V2092" s="19"/>
      <c r="W2092" s="19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</row>
    <row r="2093" spans="1:36" ht="11.25" customHeight="1" x14ac:dyDescent="0.2">
      <c r="A2093" s="55" t="s">
        <v>57</v>
      </c>
      <c r="B2093" s="55" t="s">
        <v>37</v>
      </c>
      <c r="C2093" s="55" t="s">
        <v>23</v>
      </c>
      <c r="D2093" s="55" t="s">
        <v>52</v>
      </c>
      <c r="E2093" s="55" t="s">
        <v>25</v>
      </c>
      <c r="F2093" s="55" t="s">
        <v>25</v>
      </c>
      <c r="G2093" s="55" t="s">
        <v>25</v>
      </c>
      <c r="H2093" s="55" t="s">
        <v>25</v>
      </c>
      <c r="I2093" s="63">
        <v>44743</v>
      </c>
      <c r="J2093" s="64">
        <f>EFEITO!$J$2093*EFEITO!$Y$2093</f>
        <v>0</v>
      </c>
      <c r="K2093" s="64">
        <f ca="1">EFEITO!$L$2093*EFEITO!$Z$2093</f>
        <v>66936.415843528521</v>
      </c>
      <c r="L2093" s="64">
        <f>EFEITO!$N$2093*EFEITO!$AA$2093</f>
        <v>45512.238524714849</v>
      </c>
      <c r="M2093" s="64">
        <f>$J$2093-EFEITO!$K$2093*EFEITO!$Y$2093</f>
        <v>0</v>
      </c>
      <c r="N2093" s="64">
        <f ca="1">$K$2093-EFEITO!$M$2093*EFEITO!$Z$2093</f>
        <v>0</v>
      </c>
      <c r="O2093" s="64">
        <f>$L$2093-EFEITO!$O$2093*EFEITO!$AA$2093</f>
        <v>0</v>
      </c>
      <c r="P2093" s="19"/>
      <c r="Q2093" s="19"/>
      <c r="R2093" s="19"/>
      <c r="S2093" s="19"/>
      <c r="T2093" s="19"/>
      <c r="U2093" s="19"/>
      <c r="V2093" s="19"/>
      <c r="W2093" s="19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</row>
    <row r="2094" spans="1:36" ht="11.25" customHeight="1" x14ac:dyDescent="0.2">
      <c r="A2094" s="55" t="s">
        <v>57</v>
      </c>
      <c r="B2094" s="55" t="s">
        <v>37</v>
      </c>
      <c r="C2094" s="55" t="s">
        <v>23</v>
      </c>
      <c r="D2094" s="55" t="s">
        <v>52</v>
      </c>
      <c r="E2094" s="55" t="s">
        <v>25</v>
      </c>
      <c r="F2094" s="55" t="s">
        <v>25</v>
      </c>
      <c r="G2094" s="55" t="s">
        <v>25</v>
      </c>
      <c r="H2094" s="55" t="s">
        <v>25</v>
      </c>
      <c r="I2094" s="63">
        <v>44743</v>
      </c>
      <c r="J2094" s="64">
        <f>EFEITO!$J$2094*EFEITO!$Y$2094</f>
        <v>0</v>
      </c>
      <c r="K2094" s="64">
        <f ca="1">EFEITO!$L$2094*EFEITO!$Z$2094</f>
        <v>3404.5559560269303</v>
      </c>
      <c r="L2094" s="64">
        <f>EFEITO!$N$2094*EFEITO!$AA$2094</f>
        <v>2314.867935320096</v>
      </c>
      <c r="M2094" s="64">
        <f>$J$2094-EFEITO!$K$2094*EFEITO!$Y$2094</f>
        <v>0</v>
      </c>
      <c r="N2094" s="64">
        <f ca="1">$K$2094-EFEITO!$M$2094*EFEITO!$Z$2094</f>
        <v>0</v>
      </c>
      <c r="O2094" s="64">
        <f>$L$2094-EFEITO!$O$2094*EFEITO!$AA$2094</f>
        <v>0</v>
      </c>
      <c r="P2094" s="19"/>
      <c r="Q2094" s="19"/>
      <c r="R2094" s="19"/>
      <c r="S2094" s="19"/>
      <c r="T2094" s="19"/>
      <c r="U2094" s="19"/>
      <c r="V2094" s="19"/>
      <c r="W2094" s="19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</row>
    <row r="2095" spans="1:36" ht="11.25" customHeight="1" x14ac:dyDescent="0.2">
      <c r="A2095" s="55" t="s">
        <v>57</v>
      </c>
      <c r="B2095" s="55" t="s">
        <v>37</v>
      </c>
      <c r="C2095" s="55" t="s">
        <v>23</v>
      </c>
      <c r="D2095" s="55" t="s">
        <v>52</v>
      </c>
      <c r="E2095" s="55" t="s">
        <v>25</v>
      </c>
      <c r="F2095" s="55" t="s">
        <v>25</v>
      </c>
      <c r="G2095" s="55" t="s">
        <v>25</v>
      </c>
      <c r="H2095" s="55" t="s">
        <v>25</v>
      </c>
      <c r="I2095" s="63">
        <v>44743</v>
      </c>
      <c r="J2095" s="64">
        <f>EFEITO!$J$2095*EFEITO!$Y$2095</f>
        <v>0</v>
      </c>
      <c r="K2095" s="64">
        <f ca="1">EFEITO!$L$2095*EFEITO!$Z$2095</f>
        <v>440.05677697048617</v>
      </c>
      <c r="L2095" s="64">
        <f>EFEITO!$N$2095*EFEITO!$AA$2095</f>
        <v>299.20886479365231</v>
      </c>
      <c r="M2095" s="64">
        <f>$J$2095-EFEITO!$K$2095*EFEITO!$Y$2095</f>
        <v>0</v>
      </c>
      <c r="N2095" s="64">
        <f ca="1">$K$2095-EFEITO!$M$2095*EFEITO!$Z$2095</f>
        <v>0</v>
      </c>
      <c r="O2095" s="64">
        <f>$L$2095-EFEITO!$O$2095*EFEITO!$AA$2095</f>
        <v>0</v>
      </c>
      <c r="P2095" s="19"/>
      <c r="Q2095" s="19"/>
      <c r="R2095" s="19"/>
      <c r="S2095" s="19"/>
      <c r="T2095" s="19"/>
      <c r="U2095" s="19"/>
      <c r="V2095" s="19"/>
      <c r="W2095" s="19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</row>
    <row r="2096" spans="1:36" ht="11.25" customHeight="1" x14ac:dyDescent="0.2">
      <c r="A2096" s="55" t="s">
        <v>21</v>
      </c>
      <c r="B2096" s="55" t="s">
        <v>37</v>
      </c>
      <c r="C2096" s="55" t="s">
        <v>23</v>
      </c>
      <c r="D2096" s="55" t="s">
        <v>38</v>
      </c>
      <c r="E2096" s="55" t="s">
        <v>25</v>
      </c>
      <c r="F2096" s="55" t="s">
        <v>25</v>
      </c>
      <c r="G2096" s="55" t="s">
        <v>25</v>
      </c>
      <c r="H2096" s="55" t="s">
        <v>25</v>
      </c>
      <c r="I2096" s="63">
        <v>44409</v>
      </c>
      <c r="J2096" s="64">
        <f>EFEITO!$J$2096*EFEITO!$Y$2096</f>
        <v>0</v>
      </c>
      <c r="K2096" s="64">
        <f ca="1">EFEITO!$L$2096*EFEITO!$Z$2096</f>
        <v>933231.68773358571</v>
      </c>
      <c r="L2096" s="64">
        <f>EFEITO!$N$2096*EFEITO!$AA$2096</f>
        <v>634534.47029849491</v>
      </c>
      <c r="M2096" s="64">
        <f>$J$2096-EFEITO!$K$2096*EFEITO!$Y$2096</f>
        <v>0</v>
      </c>
      <c r="N2096" s="64">
        <f ca="1">$K$2096-EFEITO!$M$2096*EFEITO!$Z$2096</f>
        <v>0</v>
      </c>
      <c r="O2096" s="64">
        <f>$L$2096-EFEITO!$O$2096*EFEITO!$AA$2096</f>
        <v>0</v>
      </c>
      <c r="P2096" s="19"/>
      <c r="Q2096" s="19"/>
      <c r="R2096" s="19"/>
      <c r="S2096" s="19"/>
      <c r="T2096" s="19"/>
      <c r="U2096" s="19"/>
      <c r="V2096" s="19"/>
      <c r="W2096" s="19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</row>
    <row r="2097" spans="1:36" ht="11.25" customHeight="1" x14ac:dyDescent="0.2">
      <c r="A2097" s="55" t="s">
        <v>27</v>
      </c>
      <c r="B2097" s="55" t="s">
        <v>37</v>
      </c>
      <c r="C2097" s="55" t="s">
        <v>23</v>
      </c>
      <c r="D2097" s="55" t="s">
        <v>38</v>
      </c>
      <c r="E2097" s="55" t="s">
        <v>25</v>
      </c>
      <c r="F2097" s="55" t="s">
        <v>25</v>
      </c>
      <c r="G2097" s="55" t="s">
        <v>25</v>
      </c>
      <c r="H2097" s="55" t="s">
        <v>25</v>
      </c>
      <c r="I2097" s="63">
        <v>44409</v>
      </c>
      <c r="J2097" s="64">
        <f>EFEITO!$J$2097*EFEITO!$Y$2097</f>
        <v>0</v>
      </c>
      <c r="K2097" s="64">
        <f ca="1">EFEITO!$L$2097*EFEITO!$Z$2097</f>
        <v>-2436.3597246858685</v>
      </c>
      <c r="L2097" s="64">
        <f>EFEITO!$N$2097*EFEITO!$AA$2097</f>
        <v>-1656.5599386306583</v>
      </c>
      <c r="M2097" s="64">
        <f>$J$2097-EFEITO!$K$2097*EFEITO!$Y$2097</f>
        <v>0</v>
      </c>
      <c r="N2097" s="64">
        <f ca="1">$K$2097-EFEITO!$M$2097*EFEITO!$Z$2097</f>
        <v>0</v>
      </c>
      <c r="O2097" s="64">
        <f>$L$2097-EFEITO!$O$2097*EFEITO!$AA$2097</f>
        <v>0</v>
      </c>
      <c r="P2097" s="19"/>
      <c r="Q2097" s="19"/>
      <c r="R2097" s="19"/>
      <c r="S2097" s="19"/>
      <c r="T2097" s="19"/>
      <c r="U2097" s="19"/>
      <c r="V2097" s="19"/>
      <c r="W2097" s="19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</row>
    <row r="2098" spans="1:36" ht="11.25" customHeight="1" x14ac:dyDescent="0.2">
      <c r="A2098" s="55" t="s">
        <v>28</v>
      </c>
      <c r="B2098" s="55" t="s">
        <v>37</v>
      </c>
      <c r="C2098" s="55" t="s">
        <v>23</v>
      </c>
      <c r="D2098" s="55" t="s">
        <v>38</v>
      </c>
      <c r="E2098" s="55" t="s">
        <v>25</v>
      </c>
      <c r="F2098" s="55" t="s">
        <v>25</v>
      </c>
      <c r="G2098" s="55" t="s">
        <v>25</v>
      </c>
      <c r="H2098" s="55" t="s">
        <v>25</v>
      </c>
      <c r="I2098" s="63">
        <v>44409</v>
      </c>
      <c r="J2098" s="64">
        <f>EFEITO!$J$2098*EFEITO!$Y$2098</f>
        <v>0</v>
      </c>
      <c r="K2098" s="64">
        <f ca="1">EFEITO!$L$2098*EFEITO!$Z$2098</f>
        <v>151563.1854432766</v>
      </c>
      <c r="L2098" s="64">
        <f>EFEITO!$N$2098*EFEITO!$AA$2098</f>
        <v>103052.72190827792</v>
      </c>
      <c r="M2098" s="64">
        <f>$J$2098-EFEITO!$K$2098*EFEITO!$Y$2098</f>
        <v>0</v>
      </c>
      <c r="N2098" s="64">
        <f ca="1">$K$2098-EFEITO!$M$2098*EFEITO!$Z$2098</f>
        <v>0</v>
      </c>
      <c r="O2098" s="64">
        <f>$L$2098-EFEITO!$O$2098*EFEITO!$AA$2098</f>
        <v>0</v>
      </c>
      <c r="P2098" s="19"/>
      <c r="Q2098" s="19"/>
      <c r="R2098" s="19"/>
      <c r="S2098" s="19"/>
      <c r="T2098" s="19"/>
      <c r="U2098" s="19"/>
      <c r="V2098" s="19"/>
      <c r="W2098" s="19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</row>
    <row r="2099" spans="1:36" ht="11.25" customHeight="1" x14ac:dyDescent="0.2">
      <c r="A2099" s="55" t="s">
        <v>21</v>
      </c>
      <c r="B2099" s="55" t="s">
        <v>37</v>
      </c>
      <c r="C2099" s="55" t="s">
        <v>23</v>
      </c>
      <c r="D2099" s="55" t="s">
        <v>38</v>
      </c>
      <c r="E2099" s="55" t="s">
        <v>25</v>
      </c>
      <c r="F2099" s="55" t="s">
        <v>25</v>
      </c>
      <c r="G2099" s="55" t="s">
        <v>25</v>
      </c>
      <c r="H2099" s="55" t="s">
        <v>25</v>
      </c>
      <c r="I2099" s="63">
        <v>44440</v>
      </c>
      <c r="J2099" s="64">
        <f>EFEITO!$J$2099*EFEITO!$Y$2099</f>
        <v>0</v>
      </c>
      <c r="K2099" s="64">
        <f ca="1">EFEITO!$L$2099*EFEITO!$Z$2099</f>
        <v>921598.71194626461</v>
      </c>
      <c r="L2099" s="64">
        <f>EFEITO!$N$2099*EFEITO!$AA$2099</f>
        <v>626624.83303882414</v>
      </c>
      <c r="M2099" s="64">
        <f>$J$2099-EFEITO!$K$2099*EFEITO!$Y$2099</f>
        <v>0</v>
      </c>
      <c r="N2099" s="64">
        <f ca="1">$K$2099-EFEITO!$M$2099*EFEITO!$Z$2099</f>
        <v>0</v>
      </c>
      <c r="O2099" s="64">
        <f>$L$2099-EFEITO!$O$2099*EFEITO!$AA$2099</f>
        <v>0</v>
      </c>
      <c r="P2099" s="19"/>
      <c r="Q2099" s="19"/>
      <c r="R2099" s="19"/>
      <c r="S2099" s="19"/>
      <c r="T2099" s="19"/>
      <c r="U2099" s="19"/>
      <c r="V2099" s="19"/>
      <c r="W2099" s="19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</row>
    <row r="2100" spans="1:36" ht="11.25" customHeight="1" x14ac:dyDescent="0.2">
      <c r="A2100" s="55" t="s">
        <v>27</v>
      </c>
      <c r="B2100" s="55" t="s">
        <v>37</v>
      </c>
      <c r="C2100" s="55" t="s">
        <v>23</v>
      </c>
      <c r="D2100" s="55" t="s">
        <v>38</v>
      </c>
      <c r="E2100" s="55" t="s">
        <v>25</v>
      </c>
      <c r="F2100" s="55" t="s">
        <v>25</v>
      </c>
      <c r="G2100" s="55" t="s">
        <v>25</v>
      </c>
      <c r="H2100" s="55" t="s">
        <v>25</v>
      </c>
      <c r="I2100" s="63">
        <v>44440</v>
      </c>
      <c r="J2100" s="64">
        <f>EFEITO!$J$2100*EFEITO!$Y$2100</f>
        <v>0</v>
      </c>
      <c r="K2100" s="64">
        <f ca="1">EFEITO!$L$2100*EFEITO!$Z$2100</f>
        <v>-2048.0114020595643</v>
      </c>
      <c r="L2100" s="64">
        <f>EFEITO!$N$2100*EFEITO!$AA$2100</f>
        <v>-1392.5093278038453</v>
      </c>
      <c r="M2100" s="64">
        <f>$J$2100-EFEITO!$K$2100*EFEITO!$Y$2100</f>
        <v>0</v>
      </c>
      <c r="N2100" s="64">
        <f ca="1">$K$2100-EFEITO!$M$2100*EFEITO!$Z$2100</f>
        <v>0</v>
      </c>
      <c r="O2100" s="64">
        <f>$L$2100-EFEITO!$O$2100*EFEITO!$AA$2100</f>
        <v>0</v>
      </c>
      <c r="P2100" s="19"/>
      <c r="Q2100" s="19"/>
      <c r="R2100" s="19"/>
      <c r="S2100" s="19"/>
      <c r="T2100" s="19"/>
      <c r="U2100" s="19"/>
      <c r="V2100" s="19"/>
      <c r="W2100" s="19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</row>
    <row r="2101" spans="1:36" ht="11.25" customHeight="1" x14ac:dyDescent="0.2">
      <c r="A2101" s="55" t="s">
        <v>28</v>
      </c>
      <c r="B2101" s="55" t="s">
        <v>37</v>
      </c>
      <c r="C2101" s="55" t="s">
        <v>23</v>
      </c>
      <c r="D2101" s="55" t="s">
        <v>38</v>
      </c>
      <c r="E2101" s="55" t="s">
        <v>25</v>
      </c>
      <c r="F2101" s="55" t="s">
        <v>25</v>
      </c>
      <c r="G2101" s="55" t="s">
        <v>25</v>
      </c>
      <c r="H2101" s="55" t="s">
        <v>25</v>
      </c>
      <c r="I2101" s="63">
        <v>44440</v>
      </c>
      <c r="J2101" s="64">
        <f>EFEITO!$J$2101*EFEITO!$Y$2101</f>
        <v>0</v>
      </c>
      <c r="K2101" s="64">
        <f ca="1">EFEITO!$L$2101*EFEITO!$Z$2101</f>
        <v>149713.80582790467</v>
      </c>
      <c r="L2101" s="64">
        <f>EFEITO!$N$2101*EFEITO!$AA$2101</f>
        <v>101795.26876985014</v>
      </c>
      <c r="M2101" s="64">
        <f>$J$2101-EFEITO!$K$2101*EFEITO!$Y$2101</f>
        <v>0</v>
      </c>
      <c r="N2101" s="64">
        <f ca="1">$K$2101-EFEITO!$M$2101*EFEITO!$Z$2101</f>
        <v>0</v>
      </c>
      <c r="O2101" s="64">
        <f>$L$2101-EFEITO!$O$2101*EFEITO!$AA$2101</f>
        <v>0</v>
      </c>
      <c r="P2101" s="19"/>
      <c r="Q2101" s="19"/>
      <c r="R2101" s="19"/>
      <c r="S2101" s="19"/>
      <c r="T2101" s="19"/>
      <c r="U2101" s="19"/>
      <c r="V2101" s="19"/>
      <c r="W2101" s="19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</row>
    <row r="2102" spans="1:36" ht="11.25" customHeight="1" x14ac:dyDescent="0.2">
      <c r="A2102" s="55" t="s">
        <v>28</v>
      </c>
      <c r="B2102" s="55" t="s">
        <v>37</v>
      </c>
      <c r="C2102" s="55" t="s">
        <v>23</v>
      </c>
      <c r="D2102" s="55" t="s">
        <v>38</v>
      </c>
      <c r="E2102" s="55" t="s">
        <v>25</v>
      </c>
      <c r="F2102" s="55" t="s">
        <v>25</v>
      </c>
      <c r="G2102" s="55" t="s">
        <v>25</v>
      </c>
      <c r="H2102" s="55" t="s">
        <v>25</v>
      </c>
      <c r="I2102" s="63">
        <v>44440</v>
      </c>
      <c r="J2102" s="64">
        <f>EFEITO!$J$2102*EFEITO!$Y$2102</f>
        <v>0</v>
      </c>
      <c r="K2102" s="64">
        <f ca="1">EFEITO!$L$2102*EFEITO!$Z$2102</f>
        <v>-1046.6504379322341</v>
      </c>
      <c r="L2102" s="64">
        <f>EFEITO!$N$2102*EFEITO!$AA$2102</f>
        <v>-711.65155443222807</v>
      </c>
      <c r="M2102" s="64">
        <f>$J$2102-EFEITO!$K$2102*EFEITO!$Y$2102</f>
        <v>0</v>
      </c>
      <c r="N2102" s="64">
        <f ca="1">$K$2102-EFEITO!$M$2102*EFEITO!$Z$2102</f>
        <v>0</v>
      </c>
      <c r="O2102" s="64">
        <f>$L$2102-EFEITO!$O$2102*EFEITO!$AA$2102</f>
        <v>0</v>
      </c>
      <c r="P2102" s="19"/>
      <c r="Q2102" s="19"/>
      <c r="R2102" s="19"/>
      <c r="S2102" s="19"/>
      <c r="T2102" s="19"/>
      <c r="U2102" s="19"/>
      <c r="V2102" s="19"/>
      <c r="W2102" s="19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</row>
    <row r="2103" spans="1:36" ht="11.25" customHeight="1" x14ac:dyDescent="0.2">
      <c r="A2103" s="55" t="s">
        <v>21</v>
      </c>
      <c r="B2103" s="55" t="s">
        <v>37</v>
      </c>
      <c r="C2103" s="55" t="s">
        <v>23</v>
      </c>
      <c r="D2103" s="55" t="s">
        <v>38</v>
      </c>
      <c r="E2103" s="55" t="s">
        <v>25</v>
      </c>
      <c r="F2103" s="55" t="s">
        <v>25</v>
      </c>
      <c r="G2103" s="55" t="s">
        <v>25</v>
      </c>
      <c r="H2103" s="55" t="s">
        <v>25</v>
      </c>
      <c r="I2103" s="63">
        <v>44470</v>
      </c>
      <c r="J2103" s="64">
        <f>EFEITO!$J$2103*EFEITO!$Y$2103</f>
        <v>0</v>
      </c>
      <c r="K2103" s="64">
        <f ca="1">EFEITO!$L$2103*EFEITO!$Z$2103</f>
        <v>946008.66849701817</v>
      </c>
      <c r="L2103" s="64">
        <f>EFEITO!$N$2103*EFEITO!$AA$2103</f>
        <v>643221.95361834241</v>
      </c>
      <c r="M2103" s="64">
        <f>$J$2103-EFEITO!$K$2103*EFEITO!$Y$2103</f>
        <v>0</v>
      </c>
      <c r="N2103" s="64">
        <f ca="1">$K$2103-EFEITO!$M$2103*EFEITO!$Z$2103</f>
        <v>0</v>
      </c>
      <c r="O2103" s="64">
        <f>$L$2103-EFEITO!$O$2103*EFEITO!$AA$2103</f>
        <v>0</v>
      </c>
      <c r="P2103" s="19"/>
      <c r="Q2103" s="19"/>
      <c r="R2103" s="19"/>
      <c r="S2103" s="19"/>
      <c r="T2103" s="19"/>
      <c r="U2103" s="19"/>
      <c r="V2103" s="19"/>
      <c r="W2103" s="19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</row>
    <row r="2104" spans="1:36" ht="11.25" customHeight="1" x14ac:dyDescent="0.2">
      <c r="A2104" s="55" t="s">
        <v>27</v>
      </c>
      <c r="B2104" s="55" t="s">
        <v>37</v>
      </c>
      <c r="C2104" s="55" t="s">
        <v>23</v>
      </c>
      <c r="D2104" s="55" t="s">
        <v>38</v>
      </c>
      <c r="E2104" s="55" t="s">
        <v>25</v>
      </c>
      <c r="F2104" s="55" t="s">
        <v>25</v>
      </c>
      <c r="G2104" s="55" t="s">
        <v>25</v>
      </c>
      <c r="H2104" s="55" t="s">
        <v>25</v>
      </c>
      <c r="I2104" s="63">
        <v>44470</v>
      </c>
      <c r="J2104" s="64">
        <f>EFEITO!$J$2104*EFEITO!$Y$2104</f>
        <v>0</v>
      </c>
      <c r="K2104" s="64">
        <f ca="1">EFEITO!$L$2104*EFEITO!$Z$2104</f>
        <v>-28.885412426749905</v>
      </c>
      <c r="L2104" s="64">
        <f>EFEITO!$N$2104*EFEITO!$AA$2104</f>
        <v>-19.64012807802742</v>
      </c>
      <c r="M2104" s="64">
        <f>$J$2104-EFEITO!$K$2104*EFEITO!$Y$2104</f>
        <v>0</v>
      </c>
      <c r="N2104" s="64">
        <f ca="1">$K$2104-EFEITO!$M$2104*EFEITO!$Z$2104</f>
        <v>0</v>
      </c>
      <c r="O2104" s="64">
        <f>$L$2104-EFEITO!$O$2104*EFEITO!$AA$2104</f>
        <v>0</v>
      </c>
      <c r="P2104" s="19"/>
      <c r="Q2104" s="19"/>
      <c r="R2104" s="19"/>
      <c r="S2104" s="19"/>
      <c r="T2104" s="19"/>
      <c r="U2104" s="19"/>
      <c r="V2104" s="19"/>
      <c r="W2104" s="19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</row>
    <row r="2105" spans="1:36" ht="11.25" customHeight="1" x14ac:dyDescent="0.2">
      <c r="A2105" s="55" t="s">
        <v>28</v>
      </c>
      <c r="B2105" s="55" t="s">
        <v>37</v>
      </c>
      <c r="C2105" s="55" t="s">
        <v>23</v>
      </c>
      <c r="D2105" s="55" t="s">
        <v>38</v>
      </c>
      <c r="E2105" s="55" t="s">
        <v>25</v>
      </c>
      <c r="F2105" s="55" t="s">
        <v>25</v>
      </c>
      <c r="G2105" s="55" t="s">
        <v>25</v>
      </c>
      <c r="H2105" s="55" t="s">
        <v>25</v>
      </c>
      <c r="I2105" s="63">
        <v>44470</v>
      </c>
      <c r="J2105" s="64">
        <f>EFEITO!$J$2105*EFEITO!$Y$2105</f>
        <v>0</v>
      </c>
      <c r="K2105" s="64">
        <f ca="1">EFEITO!$L$2105*EFEITO!$Z$2105</f>
        <v>148753.09840719277</v>
      </c>
      <c r="L2105" s="64">
        <f>EFEITO!$N$2105*EFEITO!$AA$2105</f>
        <v>101142.05265821796</v>
      </c>
      <c r="M2105" s="64">
        <f>$J$2105-EFEITO!$K$2105*EFEITO!$Y$2105</f>
        <v>0</v>
      </c>
      <c r="N2105" s="64">
        <f ca="1">$K$2105-EFEITO!$M$2105*EFEITO!$Z$2105</f>
        <v>0</v>
      </c>
      <c r="O2105" s="64">
        <f>$L$2105-EFEITO!$O$2105*EFEITO!$AA$2105</f>
        <v>0</v>
      </c>
      <c r="P2105" s="19"/>
      <c r="Q2105" s="19"/>
      <c r="R2105" s="19"/>
      <c r="S2105" s="19"/>
      <c r="T2105" s="19"/>
      <c r="U2105" s="19"/>
      <c r="V2105" s="19"/>
      <c r="W2105" s="19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</row>
    <row r="2106" spans="1:36" ht="11.25" customHeight="1" x14ac:dyDescent="0.2">
      <c r="A2106" s="55" t="s">
        <v>28</v>
      </c>
      <c r="B2106" s="55" t="s">
        <v>37</v>
      </c>
      <c r="C2106" s="55" t="s">
        <v>23</v>
      </c>
      <c r="D2106" s="55" t="s">
        <v>38</v>
      </c>
      <c r="E2106" s="55" t="s">
        <v>25</v>
      </c>
      <c r="F2106" s="55" t="s">
        <v>25</v>
      </c>
      <c r="G2106" s="55" t="s">
        <v>25</v>
      </c>
      <c r="H2106" s="55" t="s">
        <v>25</v>
      </c>
      <c r="I2106" s="63">
        <v>44470</v>
      </c>
      <c r="J2106" s="64">
        <f>EFEITO!$J$2106*EFEITO!$Y$2106</f>
        <v>0</v>
      </c>
      <c r="K2106" s="64">
        <f ca="1">EFEITO!$L$2106*EFEITO!$Z$2106</f>
        <v>2816.5060166230955</v>
      </c>
      <c r="L2106" s="64">
        <f>EFEITO!$N$2106*EFEITO!$AA$2106</f>
        <v>1915.0337229661798</v>
      </c>
      <c r="M2106" s="64">
        <f>$J$2106-EFEITO!$K$2106*EFEITO!$Y$2106</f>
        <v>0</v>
      </c>
      <c r="N2106" s="64">
        <f ca="1">$K$2106-EFEITO!$M$2106*EFEITO!$Z$2106</f>
        <v>0</v>
      </c>
      <c r="O2106" s="64">
        <f>$L$2106-EFEITO!$O$2106*EFEITO!$AA$2106</f>
        <v>0</v>
      </c>
      <c r="P2106" s="19"/>
      <c r="Q2106" s="19"/>
      <c r="R2106" s="19"/>
      <c r="S2106" s="19"/>
      <c r="T2106" s="19"/>
      <c r="U2106" s="19"/>
      <c r="V2106" s="19"/>
      <c r="W2106" s="19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</row>
    <row r="2107" spans="1:36" ht="11.25" customHeight="1" x14ac:dyDescent="0.2">
      <c r="A2107" s="55" t="s">
        <v>21</v>
      </c>
      <c r="B2107" s="55" t="s">
        <v>37</v>
      </c>
      <c r="C2107" s="55" t="s">
        <v>23</v>
      </c>
      <c r="D2107" s="55" t="s">
        <v>38</v>
      </c>
      <c r="E2107" s="55" t="s">
        <v>25</v>
      </c>
      <c r="F2107" s="55" t="s">
        <v>25</v>
      </c>
      <c r="G2107" s="55" t="s">
        <v>25</v>
      </c>
      <c r="H2107" s="55" t="s">
        <v>25</v>
      </c>
      <c r="I2107" s="63">
        <v>44501</v>
      </c>
      <c r="J2107" s="64">
        <f>EFEITO!$J$2107*EFEITO!$Y$2107</f>
        <v>0</v>
      </c>
      <c r="K2107" s="64">
        <f ca="1">EFEITO!$L$2107*EFEITO!$Z$2107</f>
        <v>885562.55519875931</v>
      </c>
      <c r="L2107" s="64">
        <f>EFEITO!$N$2107*EFEITO!$AA$2107</f>
        <v>602122.6821432584</v>
      </c>
      <c r="M2107" s="64">
        <f>$J$2107-EFEITO!$K$2107*EFEITO!$Y$2107</f>
        <v>0</v>
      </c>
      <c r="N2107" s="64">
        <f ca="1">$K$2107-EFEITO!$M$2107*EFEITO!$Z$2107</f>
        <v>0</v>
      </c>
      <c r="O2107" s="64">
        <f>$L$2107-EFEITO!$O$2107*EFEITO!$AA$2107</f>
        <v>0</v>
      </c>
      <c r="P2107" s="19"/>
      <c r="Q2107" s="19"/>
      <c r="R2107" s="19"/>
      <c r="S2107" s="19"/>
      <c r="T2107" s="19"/>
      <c r="U2107" s="19"/>
      <c r="V2107" s="19"/>
      <c r="W2107" s="19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</row>
    <row r="2108" spans="1:36" ht="11.25" customHeight="1" x14ac:dyDescent="0.2">
      <c r="A2108" s="55" t="s">
        <v>27</v>
      </c>
      <c r="B2108" s="55" t="s">
        <v>37</v>
      </c>
      <c r="C2108" s="55" t="s">
        <v>23</v>
      </c>
      <c r="D2108" s="55" t="s">
        <v>38</v>
      </c>
      <c r="E2108" s="55" t="s">
        <v>25</v>
      </c>
      <c r="F2108" s="55" t="s">
        <v>25</v>
      </c>
      <c r="G2108" s="55" t="s">
        <v>25</v>
      </c>
      <c r="H2108" s="55" t="s">
        <v>25</v>
      </c>
      <c r="I2108" s="63">
        <v>44501</v>
      </c>
      <c r="J2108" s="64">
        <f>EFEITO!$J$2108*EFEITO!$Y$2108</f>
        <v>0</v>
      </c>
      <c r="K2108" s="64">
        <f ca="1">EFEITO!$L$2108*EFEITO!$Z$2108</f>
        <v>-35.661002995987538</v>
      </c>
      <c r="L2108" s="64">
        <f>EFEITO!$N$2108*EFEITO!$AA$2108</f>
        <v>-24.247071701268421</v>
      </c>
      <c r="M2108" s="64">
        <f>$J$2108-EFEITO!$K$2108*EFEITO!$Y$2108</f>
        <v>0</v>
      </c>
      <c r="N2108" s="64">
        <f ca="1">$K$2108-EFEITO!$M$2108*EFEITO!$Z$2108</f>
        <v>0</v>
      </c>
      <c r="O2108" s="64">
        <f>$L$2108-EFEITO!$O$2108*EFEITO!$AA$2108</f>
        <v>0</v>
      </c>
      <c r="P2108" s="19"/>
      <c r="Q2108" s="19"/>
      <c r="R2108" s="19"/>
      <c r="S2108" s="19"/>
      <c r="T2108" s="19"/>
      <c r="U2108" s="19"/>
      <c r="V2108" s="19"/>
      <c r="W2108" s="19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</row>
    <row r="2109" spans="1:36" ht="11.25" customHeight="1" x14ac:dyDescent="0.2">
      <c r="A2109" s="55" t="s">
        <v>28</v>
      </c>
      <c r="B2109" s="55" t="s">
        <v>37</v>
      </c>
      <c r="C2109" s="55" t="s">
        <v>23</v>
      </c>
      <c r="D2109" s="55" t="s">
        <v>38</v>
      </c>
      <c r="E2109" s="55" t="s">
        <v>25</v>
      </c>
      <c r="F2109" s="55" t="s">
        <v>25</v>
      </c>
      <c r="G2109" s="55" t="s">
        <v>25</v>
      </c>
      <c r="H2109" s="55" t="s">
        <v>25</v>
      </c>
      <c r="I2109" s="63">
        <v>44501</v>
      </c>
      <c r="J2109" s="64">
        <f>EFEITO!$J$2109*EFEITO!$Y$2109</f>
        <v>0</v>
      </c>
      <c r="K2109" s="64">
        <f ca="1">EFEITO!$L$2109*EFEITO!$Z$2109</f>
        <v>151181.25610118956</v>
      </c>
      <c r="L2109" s="64">
        <f>EFEITO!$N$2109*EFEITO!$AA$2109</f>
        <v>102793.03577035734</v>
      </c>
      <c r="M2109" s="64">
        <f>$J$2109-EFEITO!$K$2109*EFEITO!$Y$2109</f>
        <v>0</v>
      </c>
      <c r="N2109" s="64">
        <f ca="1">$K$2109-EFEITO!$M$2109*EFEITO!$Z$2109</f>
        <v>0</v>
      </c>
      <c r="O2109" s="64">
        <f>$L$2109-EFEITO!$O$2109*EFEITO!$AA$2109</f>
        <v>0</v>
      </c>
      <c r="P2109" s="19"/>
      <c r="Q2109" s="19"/>
      <c r="R2109" s="19"/>
      <c r="S2109" s="19"/>
      <c r="T2109" s="19"/>
      <c r="U2109" s="19"/>
      <c r="V2109" s="19"/>
      <c r="W2109" s="19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</row>
    <row r="2110" spans="1:36" ht="11.25" customHeight="1" x14ac:dyDescent="0.2">
      <c r="A2110" s="55" t="s">
        <v>21</v>
      </c>
      <c r="B2110" s="55" t="s">
        <v>37</v>
      </c>
      <c r="C2110" s="55" t="s">
        <v>23</v>
      </c>
      <c r="D2110" s="55" t="s">
        <v>38</v>
      </c>
      <c r="E2110" s="55" t="s">
        <v>25</v>
      </c>
      <c r="F2110" s="55" t="s">
        <v>25</v>
      </c>
      <c r="G2110" s="55" t="s">
        <v>25</v>
      </c>
      <c r="H2110" s="55" t="s">
        <v>25</v>
      </c>
      <c r="I2110" s="63">
        <v>44531</v>
      </c>
      <c r="J2110" s="64">
        <f>EFEITO!$J$2110*EFEITO!$Y$2110</f>
        <v>0</v>
      </c>
      <c r="K2110" s="64">
        <f ca="1">EFEITO!$L$2110*EFEITO!$Z$2110</f>
        <v>930649.47450664628</v>
      </c>
      <c r="L2110" s="64">
        <f>EFEITO!$N$2110*EFEITO!$AA$2110</f>
        <v>632778.73983660608</v>
      </c>
      <c r="M2110" s="64">
        <f>$J$2110-EFEITO!$K$2110*EFEITO!$Y$2110</f>
        <v>0</v>
      </c>
      <c r="N2110" s="64">
        <f ca="1">$K$2110-EFEITO!$M$2110*EFEITO!$Z$2110</f>
        <v>0</v>
      </c>
      <c r="O2110" s="64">
        <f>$L$2110-EFEITO!$O$2110*EFEITO!$AA$2110</f>
        <v>0</v>
      </c>
      <c r="P2110" s="19"/>
      <c r="Q2110" s="19"/>
      <c r="R2110" s="19"/>
      <c r="S2110" s="19"/>
      <c r="T2110" s="19"/>
      <c r="U2110" s="19"/>
      <c r="V2110" s="19"/>
      <c r="W2110" s="19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</row>
    <row r="2111" spans="1:36" ht="11.25" customHeight="1" x14ac:dyDescent="0.2">
      <c r="A2111" s="55" t="s">
        <v>27</v>
      </c>
      <c r="B2111" s="55" t="s">
        <v>37</v>
      </c>
      <c r="C2111" s="55" t="s">
        <v>23</v>
      </c>
      <c r="D2111" s="55" t="s">
        <v>38</v>
      </c>
      <c r="E2111" s="55" t="s">
        <v>25</v>
      </c>
      <c r="F2111" s="55" t="s">
        <v>25</v>
      </c>
      <c r="G2111" s="55" t="s">
        <v>25</v>
      </c>
      <c r="H2111" s="55" t="s">
        <v>25</v>
      </c>
      <c r="I2111" s="63">
        <v>44531</v>
      </c>
      <c r="J2111" s="64">
        <f>EFEITO!$J$2111*EFEITO!$Y$2111</f>
        <v>0</v>
      </c>
      <c r="K2111" s="64">
        <f ca="1">EFEITO!$L$2111*EFEITO!$Z$2111</f>
        <v>-7283.7598619304545</v>
      </c>
      <c r="L2111" s="64">
        <f>EFEITO!$N$2111*EFEITO!$AA$2111</f>
        <v>-4952.4643949840747</v>
      </c>
      <c r="M2111" s="64">
        <f>$J$2111-EFEITO!$K$2111*EFEITO!$Y$2111</f>
        <v>0</v>
      </c>
      <c r="N2111" s="64">
        <f ca="1">$K$2111-EFEITO!$M$2111*EFEITO!$Z$2111</f>
        <v>0</v>
      </c>
      <c r="O2111" s="64">
        <f>$L$2111-EFEITO!$O$2111*EFEITO!$AA$2111</f>
        <v>0</v>
      </c>
      <c r="P2111" s="19"/>
      <c r="Q2111" s="19"/>
      <c r="R2111" s="19"/>
      <c r="S2111" s="19"/>
      <c r="T2111" s="19"/>
      <c r="U2111" s="19"/>
      <c r="V2111" s="19"/>
      <c r="W2111" s="19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</row>
    <row r="2112" spans="1:36" ht="11.25" customHeight="1" x14ac:dyDescent="0.2">
      <c r="A2112" s="55" t="s">
        <v>28</v>
      </c>
      <c r="B2112" s="55" t="s">
        <v>37</v>
      </c>
      <c r="C2112" s="55" t="s">
        <v>23</v>
      </c>
      <c r="D2112" s="55" t="s">
        <v>38</v>
      </c>
      <c r="E2112" s="55" t="s">
        <v>25</v>
      </c>
      <c r="F2112" s="55" t="s">
        <v>25</v>
      </c>
      <c r="G2112" s="55" t="s">
        <v>25</v>
      </c>
      <c r="H2112" s="55" t="s">
        <v>25</v>
      </c>
      <c r="I2112" s="63">
        <v>44531</v>
      </c>
      <c r="J2112" s="64">
        <f>EFEITO!$J$2112*EFEITO!$Y$2112</f>
        <v>0</v>
      </c>
      <c r="K2112" s="64">
        <f ca="1">EFEITO!$L$2112*EFEITO!$Z$2112</f>
        <v>183726.91387544762</v>
      </c>
      <c r="L2112" s="64">
        <f>EFEITO!$N$2112*EFEITO!$AA$2112</f>
        <v>124921.88328780294</v>
      </c>
      <c r="M2112" s="64">
        <f>$J$2112-EFEITO!$K$2112*EFEITO!$Y$2112</f>
        <v>0</v>
      </c>
      <c r="N2112" s="64">
        <f ca="1">$K$2112-EFEITO!$M$2112*EFEITO!$Z$2112</f>
        <v>0</v>
      </c>
      <c r="O2112" s="64">
        <f>$L$2112-EFEITO!$O$2112*EFEITO!$AA$2112</f>
        <v>0</v>
      </c>
      <c r="P2112" s="19"/>
      <c r="Q2112" s="19"/>
      <c r="R2112" s="19"/>
      <c r="S2112" s="19"/>
      <c r="T2112" s="19"/>
      <c r="U2112" s="19"/>
      <c r="V2112" s="19"/>
      <c r="W2112" s="19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</row>
    <row r="2113" spans="1:36" ht="11.25" customHeight="1" x14ac:dyDescent="0.2">
      <c r="A2113" s="55" t="s">
        <v>28</v>
      </c>
      <c r="B2113" s="55" t="s">
        <v>37</v>
      </c>
      <c r="C2113" s="55" t="s">
        <v>23</v>
      </c>
      <c r="D2113" s="55" t="s">
        <v>38</v>
      </c>
      <c r="E2113" s="55" t="s">
        <v>25</v>
      </c>
      <c r="F2113" s="55" t="s">
        <v>25</v>
      </c>
      <c r="G2113" s="55" t="s">
        <v>25</v>
      </c>
      <c r="H2113" s="55" t="s">
        <v>25</v>
      </c>
      <c r="I2113" s="63">
        <v>44531</v>
      </c>
      <c r="J2113" s="64">
        <f>EFEITO!$J$2113*EFEITO!$Y$2113</f>
        <v>0</v>
      </c>
      <c r="K2113" s="64">
        <f ca="1">EFEITO!$L$2113*EFEITO!$Z$2113</f>
        <v>-128.37961078555512</v>
      </c>
      <c r="L2113" s="64">
        <f>EFEITO!$N$2113*EFEITO!$AA$2113</f>
        <v>-87.289458124566309</v>
      </c>
      <c r="M2113" s="64">
        <f>$J$2113-EFEITO!$K$2113*EFEITO!$Y$2113</f>
        <v>0</v>
      </c>
      <c r="N2113" s="64">
        <f ca="1">$K$2113-EFEITO!$M$2113*EFEITO!$Z$2113</f>
        <v>0</v>
      </c>
      <c r="O2113" s="64">
        <f>$L$2113-EFEITO!$O$2113*EFEITO!$AA$2113</f>
        <v>0</v>
      </c>
      <c r="P2113" s="19"/>
      <c r="Q2113" s="19"/>
      <c r="R2113" s="19"/>
      <c r="S2113" s="19"/>
      <c r="T2113" s="19"/>
      <c r="U2113" s="19"/>
      <c r="V2113" s="19"/>
      <c r="W2113" s="19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</row>
    <row r="2114" spans="1:36" ht="11.25" customHeight="1" x14ac:dyDescent="0.2">
      <c r="A2114" s="55" t="s">
        <v>21</v>
      </c>
      <c r="B2114" s="55" t="s">
        <v>37</v>
      </c>
      <c r="C2114" s="55" t="s">
        <v>23</v>
      </c>
      <c r="D2114" s="55" t="s">
        <v>38</v>
      </c>
      <c r="E2114" s="55" t="s">
        <v>25</v>
      </c>
      <c r="F2114" s="55" t="s">
        <v>25</v>
      </c>
      <c r="G2114" s="55" t="s">
        <v>25</v>
      </c>
      <c r="H2114" s="55" t="s">
        <v>25</v>
      </c>
      <c r="I2114" s="63">
        <v>44562</v>
      </c>
      <c r="J2114" s="64">
        <f>EFEITO!$J$2114*EFEITO!$Y$2114</f>
        <v>0</v>
      </c>
      <c r="K2114" s="64">
        <f ca="1">EFEITO!$L$2114*EFEITO!$Z$2114</f>
        <v>827429.05794479023</v>
      </c>
      <c r="L2114" s="64">
        <f>EFEITO!$N$2114*EFEITO!$AA$2114</f>
        <v>562595.83326800168</v>
      </c>
      <c r="M2114" s="64">
        <f>$J$2114-EFEITO!$K$2114*EFEITO!$Y$2114</f>
        <v>0</v>
      </c>
      <c r="N2114" s="64">
        <f ca="1">$K$2114-EFEITO!$M$2114*EFEITO!$Z$2114</f>
        <v>0</v>
      </c>
      <c r="O2114" s="64">
        <f>$L$2114-EFEITO!$O$2114*EFEITO!$AA$2114</f>
        <v>0</v>
      </c>
      <c r="P2114" s="19"/>
      <c r="Q2114" s="19"/>
      <c r="R2114" s="19"/>
      <c r="S2114" s="19"/>
      <c r="T2114" s="19"/>
      <c r="U2114" s="19"/>
      <c r="V2114" s="19"/>
      <c r="W2114" s="19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</row>
    <row r="2115" spans="1:36" ht="11.25" customHeight="1" x14ac:dyDescent="0.2">
      <c r="A2115" s="55" t="s">
        <v>28</v>
      </c>
      <c r="B2115" s="55" t="s">
        <v>37</v>
      </c>
      <c r="C2115" s="55" t="s">
        <v>23</v>
      </c>
      <c r="D2115" s="55" t="s">
        <v>38</v>
      </c>
      <c r="E2115" s="55" t="s">
        <v>25</v>
      </c>
      <c r="F2115" s="55" t="s">
        <v>25</v>
      </c>
      <c r="G2115" s="55" t="s">
        <v>25</v>
      </c>
      <c r="H2115" s="55" t="s">
        <v>25</v>
      </c>
      <c r="I2115" s="63">
        <v>44562</v>
      </c>
      <c r="J2115" s="64">
        <f>EFEITO!$J$2115*EFEITO!$Y$2115</f>
        <v>0</v>
      </c>
      <c r="K2115" s="64">
        <f ca="1">EFEITO!$L$2115*EFEITO!$Z$2115</f>
        <v>147539.5544752393</v>
      </c>
      <c r="L2115" s="64">
        <f>EFEITO!$N$2115*EFEITO!$AA$2115</f>
        <v>100316.9248082238</v>
      </c>
      <c r="M2115" s="64">
        <f>$J$2115-EFEITO!$K$2115*EFEITO!$Y$2115</f>
        <v>0</v>
      </c>
      <c r="N2115" s="64">
        <f ca="1">$K$2115-EFEITO!$M$2115*EFEITO!$Z$2115</f>
        <v>0</v>
      </c>
      <c r="O2115" s="64">
        <f>$L$2115-EFEITO!$O$2115*EFEITO!$AA$2115</f>
        <v>0</v>
      </c>
      <c r="P2115" s="19"/>
      <c r="Q2115" s="19"/>
      <c r="R2115" s="19"/>
      <c r="S2115" s="19"/>
      <c r="T2115" s="19"/>
      <c r="U2115" s="19"/>
      <c r="V2115" s="19"/>
      <c r="W2115" s="19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</row>
    <row r="2116" spans="1:36" ht="11.25" customHeight="1" x14ac:dyDescent="0.2">
      <c r="A2116" s="55" t="s">
        <v>28</v>
      </c>
      <c r="B2116" s="55" t="s">
        <v>37</v>
      </c>
      <c r="C2116" s="55" t="s">
        <v>23</v>
      </c>
      <c r="D2116" s="55" t="s">
        <v>38</v>
      </c>
      <c r="E2116" s="55" t="s">
        <v>25</v>
      </c>
      <c r="F2116" s="55" t="s">
        <v>25</v>
      </c>
      <c r="G2116" s="55" t="s">
        <v>25</v>
      </c>
      <c r="H2116" s="55" t="s">
        <v>25</v>
      </c>
      <c r="I2116" s="63">
        <v>44562</v>
      </c>
      <c r="J2116" s="64">
        <f>EFEITO!$J$2116*EFEITO!$Y$2116</f>
        <v>0</v>
      </c>
      <c r="K2116" s="64">
        <f ca="1">EFEITO!$L$2116*EFEITO!$Z$2116</f>
        <v>-266.74430240998674</v>
      </c>
      <c r="L2116" s="64">
        <f>EFEITO!$N$2116*EFEITO!$AA$2116</f>
        <v>-181.36809632548778</v>
      </c>
      <c r="M2116" s="64">
        <f>$J$2116-EFEITO!$K$2116*EFEITO!$Y$2116</f>
        <v>0</v>
      </c>
      <c r="N2116" s="64">
        <f ca="1">$K$2116-EFEITO!$M$2116*EFEITO!$Z$2116</f>
        <v>0</v>
      </c>
      <c r="O2116" s="64">
        <f>$L$2116-EFEITO!$O$2116*EFEITO!$AA$2116</f>
        <v>0</v>
      </c>
      <c r="P2116" s="19"/>
      <c r="Q2116" s="19"/>
      <c r="R2116" s="19"/>
      <c r="S2116" s="19"/>
      <c r="T2116" s="19"/>
      <c r="U2116" s="19"/>
      <c r="V2116" s="19"/>
      <c r="W2116" s="19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</row>
    <row r="2117" spans="1:36" ht="11.25" customHeight="1" x14ac:dyDescent="0.2">
      <c r="A2117" s="55" t="s">
        <v>21</v>
      </c>
      <c r="B2117" s="55" t="s">
        <v>37</v>
      </c>
      <c r="C2117" s="55" t="s">
        <v>23</v>
      </c>
      <c r="D2117" s="55" t="s">
        <v>38</v>
      </c>
      <c r="E2117" s="55" t="s">
        <v>25</v>
      </c>
      <c r="F2117" s="55" t="s">
        <v>25</v>
      </c>
      <c r="G2117" s="55" t="s">
        <v>25</v>
      </c>
      <c r="H2117" s="55" t="s">
        <v>25</v>
      </c>
      <c r="I2117" s="63">
        <v>44593</v>
      </c>
      <c r="J2117" s="64">
        <f>EFEITO!$J$2117*EFEITO!$Y$2117</f>
        <v>0</v>
      </c>
      <c r="K2117" s="64">
        <f ca="1">EFEITO!$L$2117*EFEITO!$Z$2117</f>
        <v>794076.74828276306</v>
      </c>
      <c r="L2117" s="64">
        <f>EFEITO!$N$2117*EFEITO!$AA$2117</f>
        <v>539918.51698867336</v>
      </c>
      <c r="M2117" s="64">
        <f>$J$2117-EFEITO!$K$2117*EFEITO!$Y$2117</f>
        <v>0</v>
      </c>
      <c r="N2117" s="64">
        <f ca="1">$K$2117-EFEITO!$M$2117*EFEITO!$Z$2117</f>
        <v>0</v>
      </c>
      <c r="O2117" s="64">
        <f>$L$2117-EFEITO!$O$2117*EFEITO!$AA$2117</f>
        <v>0</v>
      </c>
      <c r="P2117" s="19"/>
      <c r="Q2117" s="19"/>
      <c r="R2117" s="19"/>
      <c r="S2117" s="19"/>
      <c r="T2117" s="19"/>
      <c r="U2117" s="19"/>
      <c r="V2117" s="19"/>
      <c r="W2117" s="19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</row>
    <row r="2118" spans="1:36" ht="11.25" customHeight="1" x14ac:dyDescent="0.2">
      <c r="A2118" s="55" t="s">
        <v>27</v>
      </c>
      <c r="B2118" s="55" t="s">
        <v>37</v>
      </c>
      <c r="C2118" s="55" t="s">
        <v>23</v>
      </c>
      <c r="D2118" s="55" t="s">
        <v>38</v>
      </c>
      <c r="E2118" s="55" t="s">
        <v>25</v>
      </c>
      <c r="F2118" s="55" t="s">
        <v>25</v>
      </c>
      <c r="G2118" s="55" t="s">
        <v>25</v>
      </c>
      <c r="H2118" s="55" t="s">
        <v>25</v>
      </c>
      <c r="I2118" s="63">
        <v>44593</v>
      </c>
      <c r="J2118" s="64">
        <f>EFEITO!$J$2118*EFEITO!$Y$2118</f>
        <v>0</v>
      </c>
      <c r="K2118" s="64">
        <f ca="1">EFEITO!$L$2118*EFEITO!$Z$2118</f>
        <v>-1298.4171190839063</v>
      </c>
      <c r="L2118" s="64">
        <f>EFEITO!$N$2118*EFEITO!$AA$2118</f>
        <v>-882.83588064318315</v>
      </c>
      <c r="M2118" s="64">
        <f>$J$2118-EFEITO!$K$2118*EFEITO!$Y$2118</f>
        <v>0</v>
      </c>
      <c r="N2118" s="64">
        <f ca="1">$K$2118-EFEITO!$M$2118*EFEITO!$Z$2118</f>
        <v>0</v>
      </c>
      <c r="O2118" s="64">
        <f>$L$2118-EFEITO!$O$2118*EFEITO!$AA$2118</f>
        <v>0</v>
      </c>
      <c r="P2118" s="19"/>
      <c r="Q2118" s="19"/>
      <c r="R2118" s="19"/>
      <c r="S2118" s="19"/>
      <c r="T2118" s="19"/>
      <c r="U2118" s="19"/>
      <c r="V2118" s="19"/>
      <c r="W2118" s="19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</row>
    <row r="2119" spans="1:36" ht="11.25" customHeight="1" x14ac:dyDescent="0.2">
      <c r="A2119" s="55" t="s">
        <v>28</v>
      </c>
      <c r="B2119" s="55" t="s">
        <v>37</v>
      </c>
      <c r="C2119" s="55" t="s">
        <v>23</v>
      </c>
      <c r="D2119" s="55" t="s">
        <v>38</v>
      </c>
      <c r="E2119" s="55" t="s">
        <v>25</v>
      </c>
      <c r="F2119" s="55" t="s">
        <v>25</v>
      </c>
      <c r="G2119" s="55" t="s">
        <v>25</v>
      </c>
      <c r="H2119" s="55" t="s">
        <v>25</v>
      </c>
      <c r="I2119" s="63">
        <v>44593</v>
      </c>
      <c r="J2119" s="64">
        <f>EFEITO!$J$2119*EFEITO!$Y$2119</f>
        <v>0</v>
      </c>
      <c r="K2119" s="64">
        <f ca="1">EFEITO!$L$2119*EFEITO!$Z$2119</f>
        <v>140446.22436930743</v>
      </c>
      <c r="L2119" s="64">
        <f>EFEITO!$N$2119*EFEITO!$AA$2119</f>
        <v>95493.939776124505</v>
      </c>
      <c r="M2119" s="64">
        <f>$J$2119-EFEITO!$K$2119*EFEITO!$Y$2119</f>
        <v>0</v>
      </c>
      <c r="N2119" s="64">
        <f ca="1">$K$2119-EFEITO!$M$2119*EFEITO!$Z$2119</f>
        <v>0</v>
      </c>
      <c r="O2119" s="64">
        <f>$L$2119-EFEITO!$O$2119*EFEITO!$AA$2119</f>
        <v>0</v>
      </c>
      <c r="P2119" s="19"/>
      <c r="Q2119" s="19"/>
      <c r="R2119" s="19"/>
      <c r="S2119" s="19"/>
      <c r="T2119" s="19"/>
      <c r="U2119" s="19"/>
      <c r="V2119" s="19"/>
      <c r="W2119" s="19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</row>
    <row r="2120" spans="1:36" ht="11.25" customHeight="1" x14ac:dyDescent="0.2">
      <c r="A2120" s="55" t="s">
        <v>28</v>
      </c>
      <c r="B2120" s="55" t="s">
        <v>37</v>
      </c>
      <c r="C2120" s="55" t="s">
        <v>23</v>
      </c>
      <c r="D2120" s="55" t="s">
        <v>38</v>
      </c>
      <c r="E2120" s="55" t="s">
        <v>25</v>
      </c>
      <c r="F2120" s="55" t="s">
        <v>25</v>
      </c>
      <c r="G2120" s="55" t="s">
        <v>25</v>
      </c>
      <c r="H2120" s="55" t="s">
        <v>25</v>
      </c>
      <c r="I2120" s="63">
        <v>44593</v>
      </c>
      <c r="J2120" s="64">
        <f>EFEITO!$J$2120*EFEITO!$Y$2120</f>
        <v>0</v>
      </c>
      <c r="K2120" s="64">
        <f ca="1">EFEITO!$L$2120*EFEITO!$Z$2120</f>
        <v>-2918.1398751616598</v>
      </c>
      <c r="L2120" s="64">
        <f>EFEITO!$N$2120*EFEITO!$AA$2120</f>
        <v>-1984.1378773147947</v>
      </c>
      <c r="M2120" s="64">
        <f>$J$2120-EFEITO!$K$2120*EFEITO!$Y$2120</f>
        <v>0</v>
      </c>
      <c r="N2120" s="64">
        <f ca="1">$K$2120-EFEITO!$M$2120*EFEITO!$Z$2120</f>
        <v>0</v>
      </c>
      <c r="O2120" s="64">
        <f>$L$2120-EFEITO!$O$2120*EFEITO!$AA$2120</f>
        <v>0</v>
      </c>
      <c r="P2120" s="19"/>
      <c r="Q2120" s="19"/>
      <c r="R2120" s="19"/>
      <c r="S2120" s="19"/>
      <c r="T2120" s="19"/>
      <c r="U2120" s="19"/>
      <c r="V2120" s="19"/>
      <c r="W2120" s="19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</row>
    <row r="2121" spans="1:36" ht="11.25" customHeight="1" x14ac:dyDescent="0.2">
      <c r="A2121" s="55" t="s">
        <v>21</v>
      </c>
      <c r="B2121" s="55" t="s">
        <v>37</v>
      </c>
      <c r="C2121" s="55" t="s">
        <v>23</v>
      </c>
      <c r="D2121" s="55" t="s">
        <v>38</v>
      </c>
      <c r="E2121" s="55" t="s">
        <v>25</v>
      </c>
      <c r="F2121" s="55" t="s">
        <v>25</v>
      </c>
      <c r="G2121" s="55" t="s">
        <v>25</v>
      </c>
      <c r="H2121" s="55" t="s">
        <v>25</v>
      </c>
      <c r="I2121" s="63">
        <v>44621</v>
      </c>
      <c r="J2121" s="64">
        <f>EFEITO!$J$2121*EFEITO!$Y$2121</f>
        <v>0</v>
      </c>
      <c r="K2121" s="64">
        <f ca="1">EFEITO!$L$2121*EFEITO!$Z$2121</f>
        <v>895347.22120079829</v>
      </c>
      <c r="L2121" s="64">
        <f>EFEITO!$N$2121*EFEITO!$AA$2121</f>
        <v>608775.59367665241</v>
      </c>
      <c r="M2121" s="64">
        <f>$J$2121-EFEITO!$K$2121*EFEITO!$Y$2121</f>
        <v>0</v>
      </c>
      <c r="N2121" s="64">
        <f ca="1">$K$2121-EFEITO!$M$2121*EFEITO!$Z$2121</f>
        <v>0</v>
      </c>
      <c r="O2121" s="64">
        <f>$L$2121-EFEITO!$O$2121*EFEITO!$AA$2121</f>
        <v>0</v>
      </c>
      <c r="P2121" s="19"/>
      <c r="Q2121" s="19"/>
      <c r="R2121" s="19"/>
      <c r="S2121" s="19"/>
      <c r="T2121" s="19"/>
      <c r="U2121" s="19"/>
      <c r="V2121" s="19"/>
      <c r="W2121" s="19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</row>
    <row r="2122" spans="1:36" ht="11.25" customHeight="1" x14ac:dyDescent="0.2">
      <c r="A2122" s="55" t="s">
        <v>27</v>
      </c>
      <c r="B2122" s="55" t="s">
        <v>37</v>
      </c>
      <c r="C2122" s="55" t="s">
        <v>23</v>
      </c>
      <c r="D2122" s="55" t="s">
        <v>38</v>
      </c>
      <c r="E2122" s="55" t="s">
        <v>25</v>
      </c>
      <c r="F2122" s="55" t="s">
        <v>25</v>
      </c>
      <c r="G2122" s="55" t="s">
        <v>25</v>
      </c>
      <c r="H2122" s="55" t="s">
        <v>25</v>
      </c>
      <c r="I2122" s="63">
        <v>44621</v>
      </c>
      <c r="J2122" s="64">
        <f>EFEITO!$J$2122*EFEITO!$Y$2122</f>
        <v>0</v>
      </c>
      <c r="K2122" s="64">
        <f ca="1">EFEITO!$L$2122*EFEITO!$Z$2122</f>
        <v>-13546.901818115744</v>
      </c>
      <c r="L2122" s="64">
        <f>EFEITO!$N$2122*EFEITO!$AA$2122</f>
        <v>-9210.9775978778471</v>
      </c>
      <c r="M2122" s="64">
        <f>$J$2122-EFEITO!$K$2122*EFEITO!$Y$2122</f>
        <v>0</v>
      </c>
      <c r="N2122" s="64">
        <f ca="1">$K$2122-EFEITO!$M$2122*EFEITO!$Z$2122</f>
        <v>0</v>
      </c>
      <c r="O2122" s="64">
        <f>$L$2122-EFEITO!$O$2122*EFEITO!$AA$2122</f>
        <v>0</v>
      </c>
      <c r="P2122" s="19"/>
      <c r="Q2122" s="19"/>
      <c r="R2122" s="19"/>
      <c r="S2122" s="19"/>
      <c r="T2122" s="19"/>
      <c r="U2122" s="19"/>
      <c r="V2122" s="19"/>
      <c r="W2122" s="19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</row>
    <row r="2123" spans="1:36" ht="11.25" customHeight="1" x14ac:dyDescent="0.2">
      <c r="A2123" s="55" t="s">
        <v>28</v>
      </c>
      <c r="B2123" s="55" t="s">
        <v>37</v>
      </c>
      <c r="C2123" s="55" t="s">
        <v>23</v>
      </c>
      <c r="D2123" s="55" t="s">
        <v>38</v>
      </c>
      <c r="E2123" s="55" t="s">
        <v>25</v>
      </c>
      <c r="F2123" s="55" t="s">
        <v>25</v>
      </c>
      <c r="G2123" s="55" t="s">
        <v>25</v>
      </c>
      <c r="H2123" s="55" t="s">
        <v>25</v>
      </c>
      <c r="I2123" s="63">
        <v>44621</v>
      </c>
      <c r="J2123" s="64">
        <f>EFEITO!$J$2123*EFEITO!$Y$2123</f>
        <v>0</v>
      </c>
      <c r="K2123" s="64">
        <f ca="1">EFEITO!$L$2123*EFEITO!$Z$2123</f>
        <v>149617.5211198155</v>
      </c>
      <c r="L2123" s="64">
        <f>EFEITO!$N$2123*EFEITO!$AA$2123</f>
        <v>101729.80167625671</v>
      </c>
      <c r="M2123" s="64">
        <f>$J$2123-EFEITO!$K$2123*EFEITO!$Y$2123</f>
        <v>0</v>
      </c>
      <c r="N2123" s="64">
        <f ca="1">$K$2123-EFEITO!$M$2123*EFEITO!$Z$2123</f>
        <v>0</v>
      </c>
      <c r="O2123" s="64">
        <f>$L$2123-EFEITO!$O$2123*EFEITO!$AA$2123</f>
        <v>0</v>
      </c>
      <c r="P2123" s="19"/>
      <c r="Q2123" s="19"/>
      <c r="R2123" s="19"/>
      <c r="S2123" s="19"/>
      <c r="T2123" s="19"/>
      <c r="U2123" s="19"/>
      <c r="V2123" s="19"/>
      <c r="W2123" s="19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</row>
    <row r="2124" spans="1:36" ht="11.25" customHeight="1" x14ac:dyDescent="0.2">
      <c r="A2124" s="55" t="s">
        <v>28</v>
      </c>
      <c r="B2124" s="55" t="s">
        <v>37</v>
      </c>
      <c r="C2124" s="55" t="s">
        <v>23</v>
      </c>
      <c r="D2124" s="55" t="s">
        <v>38</v>
      </c>
      <c r="E2124" s="55" t="s">
        <v>25</v>
      </c>
      <c r="F2124" s="55" t="s">
        <v>25</v>
      </c>
      <c r="G2124" s="55" t="s">
        <v>25</v>
      </c>
      <c r="H2124" s="55" t="s">
        <v>25</v>
      </c>
      <c r="I2124" s="63">
        <v>44621</v>
      </c>
      <c r="J2124" s="64">
        <f>EFEITO!$J$2124*EFEITO!$Y$2124</f>
        <v>0</v>
      </c>
      <c r="K2124" s="64">
        <f ca="1">EFEITO!$L$2124*EFEITO!$Z$2124</f>
        <v>-910.78201651752158</v>
      </c>
      <c r="L2124" s="64">
        <f>EFEITO!$N$2124*EFEITO!$AA$2124</f>
        <v>-619.27021125039539</v>
      </c>
      <c r="M2124" s="64">
        <f>$J$2124-EFEITO!$K$2124*EFEITO!$Y$2124</f>
        <v>0</v>
      </c>
      <c r="N2124" s="64">
        <f ca="1">$K$2124-EFEITO!$M$2124*EFEITO!$Z$2124</f>
        <v>0</v>
      </c>
      <c r="O2124" s="64">
        <f>$L$2124-EFEITO!$O$2124*EFEITO!$AA$2124</f>
        <v>0</v>
      </c>
      <c r="P2124" s="19"/>
      <c r="Q2124" s="19"/>
      <c r="R2124" s="19"/>
      <c r="S2124" s="19"/>
      <c r="T2124" s="19"/>
      <c r="U2124" s="19"/>
      <c r="V2124" s="19"/>
      <c r="W2124" s="19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</row>
    <row r="2125" spans="1:36" ht="11.25" customHeight="1" x14ac:dyDescent="0.2">
      <c r="A2125" s="55" t="s">
        <v>21</v>
      </c>
      <c r="B2125" s="55" t="s">
        <v>37</v>
      </c>
      <c r="C2125" s="55" t="s">
        <v>23</v>
      </c>
      <c r="D2125" s="55" t="s">
        <v>38</v>
      </c>
      <c r="E2125" s="55" t="s">
        <v>25</v>
      </c>
      <c r="F2125" s="55" t="s">
        <v>25</v>
      </c>
      <c r="G2125" s="55" t="s">
        <v>25</v>
      </c>
      <c r="H2125" s="55" t="s">
        <v>25</v>
      </c>
      <c r="I2125" s="63">
        <v>44652</v>
      </c>
      <c r="J2125" s="64">
        <f>EFEITO!$J$2125*EFEITO!$Y$2125</f>
        <v>0</v>
      </c>
      <c r="K2125" s="64">
        <f ca="1">EFEITO!$L$2125*EFEITO!$Z$2125</f>
        <v>879676.35004424152</v>
      </c>
      <c r="L2125" s="64">
        <f>EFEITO!$N$2125*EFEITO!$AA$2125</f>
        <v>598120.46048824699</v>
      </c>
      <c r="M2125" s="64">
        <f>$J$2125-EFEITO!$K$2125*EFEITO!$Y$2125</f>
        <v>0</v>
      </c>
      <c r="N2125" s="64">
        <f ca="1">$K$2125-EFEITO!$M$2125*EFEITO!$Z$2125</f>
        <v>0</v>
      </c>
      <c r="O2125" s="64">
        <f>$L$2125-EFEITO!$O$2125*EFEITO!$AA$2125</f>
        <v>0</v>
      </c>
      <c r="P2125" s="19"/>
      <c r="Q2125" s="19"/>
      <c r="R2125" s="19"/>
      <c r="S2125" s="19"/>
      <c r="T2125" s="19"/>
      <c r="U2125" s="19"/>
      <c r="V2125" s="19"/>
      <c r="W2125" s="19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</row>
    <row r="2126" spans="1:36" ht="11.25" customHeight="1" x14ac:dyDescent="0.2">
      <c r="A2126" s="55" t="s">
        <v>27</v>
      </c>
      <c r="B2126" s="55" t="s">
        <v>37</v>
      </c>
      <c r="C2126" s="55" t="s">
        <v>23</v>
      </c>
      <c r="D2126" s="55" t="s">
        <v>38</v>
      </c>
      <c r="E2126" s="55" t="s">
        <v>25</v>
      </c>
      <c r="F2126" s="55" t="s">
        <v>25</v>
      </c>
      <c r="G2126" s="55" t="s">
        <v>25</v>
      </c>
      <c r="H2126" s="55" t="s">
        <v>25</v>
      </c>
      <c r="I2126" s="63">
        <v>44652</v>
      </c>
      <c r="J2126" s="64">
        <f>EFEITO!$J$2126*EFEITO!$Y$2126</f>
        <v>0</v>
      </c>
      <c r="K2126" s="64">
        <f ca="1">EFEITO!$L$2126*EFEITO!$Z$2126</f>
        <v>-7669.9685243769991</v>
      </c>
      <c r="L2126" s="64">
        <f>EFEITO!$N$2126*EFEITO!$AA$2126</f>
        <v>-5215.0601815088112</v>
      </c>
      <c r="M2126" s="64">
        <f>$J$2126-EFEITO!$K$2126*EFEITO!$Y$2126</f>
        <v>0</v>
      </c>
      <c r="N2126" s="64">
        <f ca="1">$K$2126-EFEITO!$M$2126*EFEITO!$Z$2126</f>
        <v>0</v>
      </c>
      <c r="O2126" s="64">
        <f>$L$2126-EFEITO!$O$2126*EFEITO!$AA$2126</f>
        <v>0</v>
      </c>
      <c r="P2126" s="19"/>
      <c r="Q2126" s="19"/>
      <c r="R2126" s="19"/>
      <c r="S2126" s="19"/>
      <c r="T2126" s="19"/>
      <c r="U2126" s="19"/>
      <c r="V2126" s="19"/>
      <c r="W2126" s="19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</row>
    <row r="2127" spans="1:36" ht="11.25" customHeight="1" x14ac:dyDescent="0.2">
      <c r="A2127" s="55" t="s">
        <v>28</v>
      </c>
      <c r="B2127" s="55" t="s">
        <v>37</v>
      </c>
      <c r="C2127" s="55" t="s">
        <v>23</v>
      </c>
      <c r="D2127" s="55" t="s">
        <v>38</v>
      </c>
      <c r="E2127" s="55" t="s">
        <v>25</v>
      </c>
      <c r="F2127" s="55" t="s">
        <v>25</v>
      </c>
      <c r="G2127" s="55" t="s">
        <v>25</v>
      </c>
      <c r="H2127" s="55" t="s">
        <v>25</v>
      </c>
      <c r="I2127" s="63">
        <v>44652</v>
      </c>
      <c r="J2127" s="64">
        <f>EFEITO!$J$2127*EFEITO!$Y$2127</f>
        <v>0</v>
      </c>
      <c r="K2127" s="64">
        <f ca="1">EFEITO!$L$2127*EFEITO!$Z$2127</f>
        <v>167028.64922257647</v>
      </c>
      <c r="L2127" s="64">
        <f>EFEITO!$N$2127*EFEITO!$AA$2127</f>
        <v>113568.19196368402</v>
      </c>
      <c r="M2127" s="64">
        <f>$J$2127-EFEITO!$K$2127*EFEITO!$Y$2127</f>
        <v>0</v>
      </c>
      <c r="N2127" s="64">
        <f ca="1">$K$2127-EFEITO!$M$2127*EFEITO!$Z$2127</f>
        <v>0</v>
      </c>
      <c r="O2127" s="64">
        <f>$L$2127-EFEITO!$O$2127*EFEITO!$AA$2127</f>
        <v>0</v>
      </c>
      <c r="P2127" s="19"/>
      <c r="Q2127" s="19"/>
      <c r="R2127" s="19"/>
      <c r="S2127" s="19"/>
      <c r="T2127" s="19"/>
      <c r="U2127" s="19"/>
      <c r="V2127" s="19"/>
      <c r="W2127" s="19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</row>
    <row r="2128" spans="1:36" ht="11.25" customHeight="1" x14ac:dyDescent="0.2">
      <c r="A2128" s="55" t="s">
        <v>28</v>
      </c>
      <c r="B2128" s="55" t="s">
        <v>37</v>
      </c>
      <c r="C2128" s="55" t="s">
        <v>23</v>
      </c>
      <c r="D2128" s="55" t="s">
        <v>38</v>
      </c>
      <c r="E2128" s="55" t="s">
        <v>25</v>
      </c>
      <c r="F2128" s="55" t="s">
        <v>25</v>
      </c>
      <c r="G2128" s="55" t="s">
        <v>25</v>
      </c>
      <c r="H2128" s="55" t="s">
        <v>25</v>
      </c>
      <c r="I2128" s="63">
        <v>44652</v>
      </c>
      <c r="J2128" s="64">
        <f>EFEITO!$J$2128*EFEITO!$Y$2128</f>
        <v>0</v>
      </c>
      <c r="K2128" s="64">
        <f ca="1">EFEITO!$L$2128*EFEITO!$Z$2128</f>
        <v>-1706.0223833280436</v>
      </c>
      <c r="L2128" s="64">
        <f>EFEITO!$N$2128*EFEITO!$AA$2128</f>
        <v>-1159.9799101886811</v>
      </c>
      <c r="M2128" s="64">
        <f>$J$2128-EFEITO!$K$2128*EFEITO!$Y$2128</f>
        <v>0</v>
      </c>
      <c r="N2128" s="64">
        <f ca="1">$K$2128-EFEITO!$M$2128*EFEITO!$Z$2128</f>
        <v>0</v>
      </c>
      <c r="O2128" s="64">
        <f>$L$2128-EFEITO!$O$2128*EFEITO!$AA$2128</f>
        <v>0</v>
      </c>
      <c r="P2128" s="19"/>
      <c r="Q2128" s="19"/>
      <c r="R2128" s="19"/>
      <c r="S2128" s="19"/>
      <c r="T2128" s="19"/>
      <c r="U2128" s="19"/>
      <c r="V2128" s="19"/>
      <c r="W2128" s="19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</row>
    <row r="2129" spans="1:36" ht="11.25" customHeight="1" x14ac:dyDescent="0.2">
      <c r="A2129" s="55" t="s">
        <v>21</v>
      </c>
      <c r="B2129" s="55" t="s">
        <v>37</v>
      </c>
      <c r="C2129" s="55" t="s">
        <v>23</v>
      </c>
      <c r="D2129" s="55" t="s">
        <v>38</v>
      </c>
      <c r="E2129" s="55" t="s">
        <v>25</v>
      </c>
      <c r="F2129" s="55" t="s">
        <v>25</v>
      </c>
      <c r="G2129" s="55" t="s">
        <v>25</v>
      </c>
      <c r="H2129" s="55" t="s">
        <v>25</v>
      </c>
      <c r="I2129" s="63">
        <v>44682</v>
      </c>
      <c r="J2129" s="64">
        <f>EFEITO!$J$2129*EFEITO!$Y$2129</f>
        <v>0</v>
      </c>
      <c r="K2129" s="64">
        <f ca="1">EFEITO!$L$2129*EFEITO!$Z$2129</f>
        <v>883847.61756468227</v>
      </c>
      <c r="L2129" s="64">
        <f>EFEITO!$N$2129*EFEITO!$AA$2129</f>
        <v>600956.64046514442</v>
      </c>
      <c r="M2129" s="64">
        <f>$J$2129-EFEITO!$K$2129*EFEITO!$Y$2129</f>
        <v>0</v>
      </c>
      <c r="N2129" s="64">
        <f ca="1">$K$2129-EFEITO!$M$2129*EFEITO!$Z$2129</f>
        <v>0</v>
      </c>
      <c r="O2129" s="64">
        <f>$L$2129-EFEITO!$O$2129*EFEITO!$AA$2129</f>
        <v>0</v>
      </c>
      <c r="P2129" s="19"/>
      <c r="Q2129" s="19"/>
      <c r="R2129" s="19"/>
      <c r="S2129" s="19"/>
      <c r="T2129" s="19"/>
      <c r="U2129" s="19"/>
      <c r="V2129" s="19"/>
      <c r="W2129" s="19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</row>
    <row r="2130" spans="1:36" ht="11.25" customHeight="1" x14ac:dyDescent="0.2">
      <c r="A2130" s="55" t="s">
        <v>27</v>
      </c>
      <c r="B2130" s="55" t="s">
        <v>37</v>
      </c>
      <c r="C2130" s="55" t="s">
        <v>23</v>
      </c>
      <c r="D2130" s="55" t="s">
        <v>38</v>
      </c>
      <c r="E2130" s="55" t="s">
        <v>25</v>
      </c>
      <c r="F2130" s="55" t="s">
        <v>25</v>
      </c>
      <c r="G2130" s="55" t="s">
        <v>25</v>
      </c>
      <c r="H2130" s="55" t="s">
        <v>25</v>
      </c>
      <c r="I2130" s="63">
        <v>44682</v>
      </c>
      <c r="J2130" s="64">
        <f>EFEITO!$J$2130*EFEITO!$Y$2130</f>
        <v>0</v>
      </c>
      <c r="K2130" s="64">
        <f ca="1">EFEITO!$L$2130*EFEITO!$Z$2130</f>
        <v>-2059.77953304824</v>
      </c>
      <c r="L2130" s="64">
        <f>EFEITO!$N$2130*EFEITO!$AA$2130</f>
        <v>-1400.5108614652638</v>
      </c>
      <c r="M2130" s="64">
        <f>$J$2130-EFEITO!$K$2130*EFEITO!$Y$2130</f>
        <v>0</v>
      </c>
      <c r="N2130" s="64">
        <f ca="1">$K$2130-EFEITO!$M$2130*EFEITO!$Z$2130</f>
        <v>0</v>
      </c>
      <c r="O2130" s="64">
        <f>$L$2130-EFEITO!$O$2130*EFEITO!$AA$2130</f>
        <v>0</v>
      </c>
      <c r="P2130" s="19"/>
      <c r="Q2130" s="19"/>
      <c r="R2130" s="19"/>
      <c r="S2130" s="19"/>
      <c r="T2130" s="19"/>
      <c r="U2130" s="19"/>
      <c r="V2130" s="19"/>
      <c r="W2130" s="19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</row>
    <row r="2131" spans="1:36" ht="11.25" customHeight="1" x14ac:dyDescent="0.2">
      <c r="A2131" s="55" t="s">
        <v>28</v>
      </c>
      <c r="B2131" s="55" t="s">
        <v>37</v>
      </c>
      <c r="C2131" s="55" t="s">
        <v>23</v>
      </c>
      <c r="D2131" s="55" t="s">
        <v>38</v>
      </c>
      <c r="E2131" s="55" t="s">
        <v>25</v>
      </c>
      <c r="F2131" s="55" t="s">
        <v>25</v>
      </c>
      <c r="G2131" s="55" t="s">
        <v>25</v>
      </c>
      <c r="H2131" s="55" t="s">
        <v>25</v>
      </c>
      <c r="I2131" s="63">
        <v>44682</v>
      </c>
      <c r="J2131" s="64">
        <f>EFEITO!$J$2131*EFEITO!$Y$2131</f>
        <v>0</v>
      </c>
      <c r="K2131" s="64">
        <f ca="1">EFEITO!$L$2131*EFEITO!$Z$2131</f>
        <v>198262.69530664213</v>
      </c>
      <c r="L2131" s="64">
        <f>EFEITO!$N$2131*EFEITO!$AA$2131</f>
        <v>134805.23218395698</v>
      </c>
      <c r="M2131" s="64">
        <f>$J$2131-EFEITO!$K$2131*EFEITO!$Y$2131</f>
        <v>0</v>
      </c>
      <c r="N2131" s="64">
        <f ca="1">$K$2131-EFEITO!$M$2131*EFEITO!$Z$2131</f>
        <v>0</v>
      </c>
      <c r="O2131" s="64">
        <f>$L$2131-EFEITO!$O$2131*EFEITO!$AA$2131</f>
        <v>0</v>
      </c>
      <c r="P2131" s="19"/>
      <c r="Q2131" s="19"/>
      <c r="R2131" s="19"/>
      <c r="S2131" s="19"/>
      <c r="T2131" s="19"/>
      <c r="U2131" s="19"/>
      <c r="V2131" s="19"/>
      <c r="W2131" s="19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</row>
    <row r="2132" spans="1:36" ht="11.25" customHeight="1" x14ac:dyDescent="0.2">
      <c r="A2132" s="55" t="s">
        <v>21</v>
      </c>
      <c r="B2132" s="55" t="s">
        <v>37</v>
      </c>
      <c r="C2132" s="55" t="s">
        <v>23</v>
      </c>
      <c r="D2132" s="55" t="s">
        <v>38</v>
      </c>
      <c r="E2132" s="55" t="s">
        <v>25</v>
      </c>
      <c r="F2132" s="55" t="s">
        <v>25</v>
      </c>
      <c r="G2132" s="55" t="s">
        <v>25</v>
      </c>
      <c r="H2132" s="55" t="s">
        <v>25</v>
      </c>
      <c r="I2132" s="63">
        <v>44713</v>
      </c>
      <c r="J2132" s="64">
        <f>EFEITO!$J$2132*EFEITO!$Y$2132</f>
        <v>0</v>
      </c>
      <c r="K2132" s="64">
        <f ca="1">EFEITO!$L$2132*EFEITO!$Z$2132</f>
        <v>793603.17016297625</v>
      </c>
      <c r="L2132" s="64">
        <f>EFEITO!$N$2132*EFEITO!$AA$2132</f>
        <v>539596.51587648049</v>
      </c>
      <c r="M2132" s="64">
        <f>$J$2132-EFEITO!$K$2132*EFEITO!$Y$2132</f>
        <v>0</v>
      </c>
      <c r="N2132" s="64">
        <f ca="1">$K$2132-EFEITO!$M$2132*EFEITO!$Z$2132</f>
        <v>0</v>
      </c>
      <c r="O2132" s="64">
        <f>$L$2132-EFEITO!$O$2132*EFEITO!$AA$2132</f>
        <v>0</v>
      </c>
      <c r="P2132" s="19"/>
      <c r="Q2132" s="19"/>
      <c r="R2132" s="19"/>
      <c r="S2132" s="19"/>
      <c r="T2132" s="19"/>
      <c r="U2132" s="19"/>
      <c r="V2132" s="19"/>
      <c r="W2132" s="19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</row>
    <row r="2133" spans="1:36" ht="11.25" customHeight="1" x14ac:dyDescent="0.2">
      <c r="A2133" s="55" t="s">
        <v>27</v>
      </c>
      <c r="B2133" s="55" t="s">
        <v>37</v>
      </c>
      <c r="C2133" s="55" t="s">
        <v>23</v>
      </c>
      <c r="D2133" s="55" t="s">
        <v>38</v>
      </c>
      <c r="E2133" s="55" t="s">
        <v>25</v>
      </c>
      <c r="F2133" s="55" t="s">
        <v>25</v>
      </c>
      <c r="G2133" s="55" t="s">
        <v>25</v>
      </c>
      <c r="H2133" s="55" t="s">
        <v>25</v>
      </c>
      <c r="I2133" s="63">
        <v>44713</v>
      </c>
      <c r="J2133" s="64">
        <f>EFEITO!$J$2133*EFEITO!$Y$2133</f>
        <v>0</v>
      </c>
      <c r="K2133" s="64">
        <f ca="1">EFEITO!$L$2133*EFEITO!$Z$2133</f>
        <v>-2228.8126872492212</v>
      </c>
      <c r="L2133" s="64">
        <f>EFEITO!$N$2133*EFEITO!$AA$2133</f>
        <v>-1515.4419813292761</v>
      </c>
      <c r="M2133" s="64">
        <f>$J$2133-EFEITO!$K$2133*EFEITO!$Y$2133</f>
        <v>0</v>
      </c>
      <c r="N2133" s="64">
        <f ca="1">$K$2133-EFEITO!$M$2133*EFEITO!$Z$2133</f>
        <v>0</v>
      </c>
      <c r="O2133" s="64">
        <f>$L$2133-EFEITO!$O$2133*EFEITO!$AA$2133</f>
        <v>0</v>
      </c>
      <c r="P2133" s="19"/>
      <c r="Q2133" s="19"/>
      <c r="R2133" s="19"/>
      <c r="S2133" s="19"/>
      <c r="T2133" s="19"/>
      <c r="U2133" s="19"/>
      <c r="V2133" s="19"/>
      <c r="W2133" s="19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</row>
    <row r="2134" spans="1:36" ht="11.25" customHeight="1" x14ac:dyDescent="0.2">
      <c r="A2134" s="55" t="s">
        <v>28</v>
      </c>
      <c r="B2134" s="55" t="s">
        <v>37</v>
      </c>
      <c r="C2134" s="55" t="s">
        <v>23</v>
      </c>
      <c r="D2134" s="55" t="s">
        <v>38</v>
      </c>
      <c r="E2134" s="55" t="s">
        <v>25</v>
      </c>
      <c r="F2134" s="55" t="s">
        <v>25</v>
      </c>
      <c r="G2134" s="55" t="s">
        <v>25</v>
      </c>
      <c r="H2134" s="55" t="s">
        <v>25</v>
      </c>
      <c r="I2134" s="63">
        <v>44713</v>
      </c>
      <c r="J2134" s="64">
        <f>EFEITO!$J$2134*EFEITO!$Y$2134</f>
        <v>0</v>
      </c>
      <c r="K2134" s="64">
        <f ca="1">EFEITO!$L$2134*EFEITO!$Z$2134</f>
        <v>227615.26687263945</v>
      </c>
      <c r="L2134" s="64">
        <f>EFEITO!$N$2134*EFEITO!$AA$2134</f>
        <v>154762.99690127099</v>
      </c>
      <c r="M2134" s="64">
        <f>$J$2134-EFEITO!$K$2134*EFEITO!$Y$2134</f>
        <v>0</v>
      </c>
      <c r="N2134" s="64">
        <f ca="1">$K$2134-EFEITO!$M$2134*EFEITO!$Z$2134</f>
        <v>0</v>
      </c>
      <c r="O2134" s="64">
        <f>$L$2134-EFEITO!$O$2134*EFEITO!$AA$2134</f>
        <v>0</v>
      </c>
      <c r="P2134" s="19"/>
      <c r="Q2134" s="19"/>
      <c r="R2134" s="19"/>
      <c r="S2134" s="19"/>
      <c r="T2134" s="19"/>
      <c r="U2134" s="19"/>
      <c r="V2134" s="19"/>
      <c r="W2134" s="19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</row>
    <row r="2135" spans="1:36" ht="11.25" customHeight="1" x14ac:dyDescent="0.2">
      <c r="A2135" s="55" t="s">
        <v>28</v>
      </c>
      <c r="B2135" s="55" t="s">
        <v>37</v>
      </c>
      <c r="C2135" s="55" t="s">
        <v>23</v>
      </c>
      <c r="D2135" s="55" t="s">
        <v>38</v>
      </c>
      <c r="E2135" s="55" t="s">
        <v>25</v>
      </c>
      <c r="F2135" s="55" t="s">
        <v>25</v>
      </c>
      <c r="G2135" s="55" t="s">
        <v>25</v>
      </c>
      <c r="H2135" s="55" t="s">
        <v>25</v>
      </c>
      <c r="I2135" s="63">
        <v>44713</v>
      </c>
      <c r="J2135" s="64">
        <f>EFEITO!$J$2135*EFEITO!$Y$2135</f>
        <v>0</v>
      </c>
      <c r="K2135" s="64">
        <f ca="1">EFEITO!$L$2135*EFEITO!$Z$2135</f>
        <v>-120.17758009647801</v>
      </c>
      <c r="L2135" s="64">
        <f>EFEITO!$N$2135*EFEITO!$AA$2135</f>
        <v>-81.712631633274583</v>
      </c>
      <c r="M2135" s="64">
        <f>$J$2135-EFEITO!$K$2135*EFEITO!$Y$2135</f>
        <v>0</v>
      </c>
      <c r="N2135" s="64">
        <f ca="1">$K$2135-EFEITO!$M$2135*EFEITO!$Z$2135</f>
        <v>0</v>
      </c>
      <c r="O2135" s="64">
        <f>$L$2135-EFEITO!$O$2135*EFEITO!$AA$2135</f>
        <v>0</v>
      </c>
      <c r="P2135" s="19"/>
      <c r="Q2135" s="19"/>
      <c r="R2135" s="19"/>
      <c r="S2135" s="19"/>
      <c r="T2135" s="19"/>
      <c r="U2135" s="19"/>
      <c r="V2135" s="19"/>
      <c r="W2135" s="19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</row>
    <row r="2136" spans="1:36" ht="11.25" customHeight="1" x14ac:dyDescent="0.2">
      <c r="A2136" s="55" t="s">
        <v>57</v>
      </c>
      <c r="B2136" s="55" t="s">
        <v>37</v>
      </c>
      <c r="C2136" s="55" t="s">
        <v>23</v>
      </c>
      <c r="D2136" s="55" t="s">
        <v>38</v>
      </c>
      <c r="E2136" s="55" t="s">
        <v>25</v>
      </c>
      <c r="F2136" s="55" t="s">
        <v>25</v>
      </c>
      <c r="G2136" s="55" t="s">
        <v>25</v>
      </c>
      <c r="H2136" s="55" t="s">
        <v>25</v>
      </c>
      <c r="I2136" s="63">
        <v>44743</v>
      </c>
      <c r="J2136" s="64">
        <f>EFEITO!$J$2136*EFEITO!$Y$2136</f>
        <v>0</v>
      </c>
      <c r="K2136" s="64">
        <f ca="1">EFEITO!$L$2136*EFEITO!$Z$2136</f>
        <v>793603.17016297625</v>
      </c>
      <c r="L2136" s="64">
        <f>EFEITO!$N$2136*EFEITO!$AA$2136</f>
        <v>539596.51587648049</v>
      </c>
      <c r="M2136" s="64">
        <f>$J$2136-EFEITO!$K$2136*EFEITO!$Y$2136</f>
        <v>0</v>
      </c>
      <c r="N2136" s="64">
        <f ca="1">$K$2136-EFEITO!$M$2136*EFEITO!$Z$2136</f>
        <v>0</v>
      </c>
      <c r="O2136" s="64">
        <f>$L$2136-EFEITO!$O$2136*EFEITO!$AA$2136</f>
        <v>0</v>
      </c>
      <c r="P2136" s="19"/>
      <c r="Q2136" s="19"/>
      <c r="R2136" s="19"/>
      <c r="S2136" s="19"/>
      <c r="T2136" s="19"/>
      <c r="U2136" s="19"/>
      <c r="V2136" s="19"/>
      <c r="W2136" s="19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</row>
    <row r="2137" spans="1:36" ht="11.25" customHeight="1" x14ac:dyDescent="0.2">
      <c r="A2137" s="55" t="s">
        <v>57</v>
      </c>
      <c r="B2137" s="55" t="s">
        <v>37</v>
      </c>
      <c r="C2137" s="55" t="s">
        <v>23</v>
      </c>
      <c r="D2137" s="55" t="s">
        <v>38</v>
      </c>
      <c r="E2137" s="55" t="s">
        <v>25</v>
      </c>
      <c r="F2137" s="55" t="s">
        <v>25</v>
      </c>
      <c r="G2137" s="55" t="s">
        <v>25</v>
      </c>
      <c r="H2137" s="55" t="s">
        <v>25</v>
      </c>
      <c r="I2137" s="63">
        <v>44743</v>
      </c>
      <c r="J2137" s="64">
        <f>EFEITO!$J$2137*EFEITO!$Y$2137</f>
        <v>0</v>
      </c>
      <c r="K2137" s="64">
        <f ca="1">EFEITO!$L$2137*EFEITO!$Z$2137</f>
        <v>-2228.8126872492212</v>
      </c>
      <c r="L2137" s="64">
        <f>EFEITO!$N$2137*EFEITO!$AA$2137</f>
        <v>-1515.4419813292761</v>
      </c>
      <c r="M2137" s="64">
        <f>$J$2137-EFEITO!$K$2137*EFEITO!$Y$2137</f>
        <v>0</v>
      </c>
      <c r="N2137" s="64">
        <f ca="1">$K$2137-EFEITO!$M$2137*EFEITO!$Z$2137</f>
        <v>0</v>
      </c>
      <c r="O2137" s="64">
        <f>$L$2137-EFEITO!$O$2137*EFEITO!$AA$2137</f>
        <v>0</v>
      </c>
      <c r="P2137" s="19"/>
      <c r="Q2137" s="19"/>
      <c r="R2137" s="19"/>
      <c r="S2137" s="19"/>
      <c r="T2137" s="19"/>
      <c r="U2137" s="19"/>
      <c r="V2137" s="19"/>
      <c r="W2137" s="19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</row>
    <row r="2138" spans="1:36" ht="11.25" customHeight="1" x14ac:dyDescent="0.2">
      <c r="A2138" s="55" t="s">
        <v>57</v>
      </c>
      <c r="B2138" s="55" t="s">
        <v>37</v>
      </c>
      <c r="C2138" s="55" t="s">
        <v>23</v>
      </c>
      <c r="D2138" s="55" t="s">
        <v>38</v>
      </c>
      <c r="E2138" s="55" t="s">
        <v>25</v>
      </c>
      <c r="F2138" s="55" t="s">
        <v>25</v>
      </c>
      <c r="G2138" s="55" t="s">
        <v>25</v>
      </c>
      <c r="H2138" s="55" t="s">
        <v>25</v>
      </c>
      <c r="I2138" s="63">
        <v>44743</v>
      </c>
      <c r="J2138" s="64">
        <f>EFEITO!$J$2138*EFEITO!$Y$2138</f>
        <v>0</v>
      </c>
      <c r="K2138" s="64">
        <f ca="1">EFEITO!$L$2138*EFEITO!$Z$2138</f>
        <v>227615.26687263945</v>
      </c>
      <c r="L2138" s="64">
        <f>EFEITO!$N$2138*EFEITO!$AA$2138</f>
        <v>154762.99690127099</v>
      </c>
      <c r="M2138" s="64">
        <f>$J$2138-EFEITO!$K$2138*EFEITO!$Y$2138</f>
        <v>0</v>
      </c>
      <c r="N2138" s="64">
        <f ca="1">$K$2138-EFEITO!$M$2138*EFEITO!$Z$2138</f>
        <v>0</v>
      </c>
      <c r="O2138" s="64">
        <f>$L$2138-EFEITO!$O$2138*EFEITO!$AA$2138</f>
        <v>0</v>
      </c>
      <c r="P2138" s="19"/>
      <c r="Q2138" s="19"/>
      <c r="R2138" s="19"/>
      <c r="S2138" s="19"/>
      <c r="T2138" s="19"/>
      <c r="U2138" s="19"/>
      <c r="V2138" s="19"/>
      <c r="W2138" s="19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</row>
    <row r="2139" spans="1:36" ht="11.25" customHeight="1" x14ac:dyDescent="0.2">
      <c r="A2139" s="55" t="s">
        <v>57</v>
      </c>
      <c r="B2139" s="55" t="s">
        <v>37</v>
      </c>
      <c r="C2139" s="55" t="s">
        <v>23</v>
      </c>
      <c r="D2139" s="55" t="s">
        <v>38</v>
      </c>
      <c r="E2139" s="55" t="s">
        <v>25</v>
      </c>
      <c r="F2139" s="55" t="s">
        <v>25</v>
      </c>
      <c r="G2139" s="55" t="s">
        <v>25</v>
      </c>
      <c r="H2139" s="55" t="s">
        <v>25</v>
      </c>
      <c r="I2139" s="63">
        <v>44743</v>
      </c>
      <c r="J2139" s="64">
        <f>EFEITO!$J$2139*EFEITO!$Y$2139</f>
        <v>0</v>
      </c>
      <c r="K2139" s="64">
        <f ca="1">EFEITO!$L$2139*EFEITO!$Z$2139</f>
        <v>-120.17758009647801</v>
      </c>
      <c r="L2139" s="64">
        <f>EFEITO!$N$2139*EFEITO!$AA$2139</f>
        <v>-81.712631633274583</v>
      </c>
      <c r="M2139" s="64">
        <f>$J$2139-EFEITO!$K$2139*EFEITO!$Y$2139</f>
        <v>0</v>
      </c>
      <c r="N2139" s="64">
        <f ca="1">$K$2139-EFEITO!$M$2139*EFEITO!$Z$2139</f>
        <v>0</v>
      </c>
      <c r="O2139" s="64">
        <f>$L$2139-EFEITO!$O$2139*EFEITO!$AA$2139</f>
        <v>0</v>
      </c>
      <c r="P2139" s="19"/>
      <c r="Q2139" s="19"/>
      <c r="R2139" s="19"/>
      <c r="S2139" s="19"/>
      <c r="T2139" s="19"/>
      <c r="U2139" s="19"/>
      <c r="V2139" s="19"/>
      <c r="W2139" s="19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</row>
    <row r="2140" spans="1:36" ht="11.25" customHeight="1" x14ac:dyDescent="0.2">
      <c r="A2140" s="55" t="s">
        <v>21</v>
      </c>
      <c r="B2140" s="55" t="s">
        <v>37</v>
      </c>
      <c r="C2140" s="55" t="s">
        <v>23</v>
      </c>
      <c r="D2140" s="55" t="s">
        <v>46</v>
      </c>
      <c r="E2140" s="55" t="s">
        <v>25</v>
      </c>
      <c r="F2140" s="55" t="s">
        <v>25</v>
      </c>
      <c r="G2140" s="55" t="s">
        <v>25</v>
      </c>
      <c r="H2140" s="55" t="s">
        <v>25</v>
      </c>
      <c r="I2140" s="63">
        <v>44409</v>
      </c>
      <c r="J2140" s="64">
        <f>EFEITO!$J$2140*EFEITO!$Y$2140</f>
        <v>0</v>
      </c>
      <c r="K2140" s="64">
        <f ca="1">EFEITO!$L$2140*EFEITO!$Z$2140</f>
        <v>3030587.5762487282</v>
      </c>
      <c r="L2140" s="64">
        <f>EFEITO!$N$2140*EFEITO!$AA$2140</f>
        <v>2060594.7136861025</v>
      </c>
      <c r="M2140" s="64">
        <f>$J$2140-EFEITO!$K$2140*EFEITO!$Y$2140</f>
        <v>0</v>
      </c>
      <c r="N2140" s="64">
        <f ca="1">$K$2140-EFEITO!$M$2140*EFEITO!$Z$2140</f>
        <v>0</v>
      </c>
      <c r="O2140" s="64">
        <f>$L$2140-EFEITO!$O$2140*EFEITO!$AA$2140</f>
        <v>0</v>
      </c>
      <c r="P2140" s="19"/>
      <c r="Q2140" s="19"/>
      <c r="R2140" s="19"/>
      <c r="S2140" s="19"/>
      <c r="T2140" s="19"/>
      <c r="U2140" s="19"/>
      <c r="V2140" s="19"/>
      <c r="W2140" s="19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</row>
    <row r="2141" spans="1:36" ht="11.25" customHeight="1" x14ac:dyDescent="0.2">
      <c r="A2141" s="55" t="s">
        <v>27</v>
      </c>
      <c r="B2141" s="55" t="s">
        <v>37</v>
      </c>
      <c r="C2141" s="55" t="s">
        <v>23</v>
      </c>
      <c r="D2141" s="55" t="s">
        <v>46</v>
      </c>
      <c r="E2141" s="55" t="s">
        <v>25</v>
      </c>
      <c r="F2141" s="55" t="s">
        <v>25</v>
      </c>
      <c r="G2141" s="55" t="s">
        <v>25</v>
      </c>
      <c r="H2141" s="55" t="s">
        <v>25</v>
      </c>
      <c r="I2141" s="63">
        <v>44409</v>
      </c>
      <c r="J2141" s="64">
        <f>EFEITO!$J$2141*EFEITO!$Y$2141</f>
        <v>0</v>
      </c>
      <c r="K2141" s="64">
        <f ca="1">EFEITO!$L$2141*EFEITO!$Z$2141</f>
        <v>-23690.674120324402</v>
      </c>
      <c r="L2141" s="64">
        <f>EFEITO!$N$2141*EFEITO!$AA$2141</f>
        <v>-16108.057143303651</v>
      </c>
      <c r="M2141" s="64">
        <f>$J$2141-EFEITO!$K$2141*EFEITO!$Y$2141</f>
        <v>0</v>
      </c>
      <c r="N2141" s="64">
        <f ca="1">$K$2141-EFEITO!$M$2141*EFEITO!$Z$2141</f>
        <v>0</v>
      </c>
      <c r="O2141" s="64">
        <f>$L$2141-EFEITO!$O$2141*EFEITO!$AA$2141</f>
        <v>0</v>
      </c>
      <c r="P2141" s="19"/>
      <c r="Q2141" s="19"/>
      <c r="R2141" s="19"/>
      <c r="S2141" s="19"/>
      <c r="T2141" s="19"/>
      <c r="U2141" s="19"/>
      <c r="V2141" s="19"/>
      <c r="W2141" s="19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</row>
    <row r="2142" spans="1:36" ht="11.25" customHeight="1" x14ac:dyDescent="0.2">
      <c r="A2142" s="55" t="s">
        <v>28</v>
      </c>
      <c r="B2142" s="55" t="s">
        <v>37</v>
      </c>
      <c r="C2142" s="55" t="s">
        <v>23</v>
      </c>
      <c r="D2142" s="55" t="s">
        <v>46</v>
      </c>
      <c r="E2142" s="55" t="s">
        <v>25</v>
      </c>
      <c r="F2142" s="55" t="s">
        <v>25</v>
      </c>
      <c r="G2142" s="55" t="s">
        <v>25</v>
      </c>
      <c r="H2142" s="55" t="s">
        <v>25</v>
      </c>
      <c r="I2142" s="63">
        <v>44409</v>
      </c>
      <c r="J2142" s="64">
        <f>EFEITO!$J$2142*EFEITO!$Y$2142</f>
        <v>0</v>
      </c>
      <c r="K2142" s="64">
        <f ca="1">EFEITO!$L$2142*EFEITO!$Z$2142</f>
        <v>18249.874893226581</v>
      </c>
      <c r="L2142" s="64">
        <f>EFEITO!$N$2142*EFEITO!$AA$2142</f>
        <v>12408.681413841126</v>
      </c>
      <c r="M2142" s="64">
        <f>$J$2142-EFEITO!$K$2142*EFEITO!$Y$2142</f>
        <v>0</v>
      </c>
      <c r="N2142" s="64">
        <f ca="1">$K$2142-EFEITO!$M$2142*EFEITO!$Z$2142</f>
        <v>0</v>
      </c>
      <c r="O2142" s="64">
        <f>$L$2142-EFEITO!$O$2142*EFEITO!$AA$2142</f>
        <v>0</v>
      </c>
      <c r="P2142" s="19"/>
      <c r="Q2142" s="19"/>
      <c r="R2142" s="19"/>
      <c r="S2142" s="19"/>
      <c r="T2142" s="19"/>
      <c r="U2142" s="19"/>
      <c r="V2142" s="19"/>
      <c r="W2142" s="19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</row>
    <row r="2143" spans="1:36" ht="11.25" customHeight="1" x14ac:dyDescent="0.2">
      <c r="A2143" s="55" t="s">
        <v>21</v>
      </c>
      <c r="B2143" s="55" t="s">
        <v>37</v>
      </c>
      <c r="C2143" s="55" t="s">
        <v>23</v>
      </c>
      <c r="D2143" s="55" t="s">
        <v>46</v>
      </c>
      <c r="E2143" s="55" t="s">
        <v>25</v>
      </c>
      <c r="F2143" s="55" t="s">
        <v>25</v>
      </c>
      <c r="G2143" s="55" t="s">
        <v>25</v>
      </c>
      <c r="H2143" s="55" t="s">
        <v>25</v>
      </c>
      <c r="I2143" s="63">
        <v>44440</v>
      </c>
      <c r="J2143" s="64">
        <f>EFEITO!$J$2143*EFEITO!$Y$2143</f>
        <v>0</v>
      </c>
      <c r="K2143" s="64">
        <f ca="1">EFEITO!$L$2143*EFEITO!$Z$2143</f>
        <v>3118868.8854355044</v>
      </c>
      <c r="L2143" s="64">
        <f>EFEITO!$N$2143*EFEITO!$AA$2143</f>
        <v>2120620.0369776115</v>
      </c>
      <c r="M2143" s="64">
        <f>$J$2143-EFEITO!$K$2143*EFEITO!$Y$2143</f>
        <v>0</v>
      </c>
      <c r="N2143" s="64">
        <f ca="1">$K$2143-EFEITO!$M$2143*EFEITO!$Z$2143</f>
        <v>0</v>
      </c>
      <c r="O2143" s="64">
        <f>$L$2143-EFEITO!$O$2143*EFEITO!$AA$2143</f>
        <v>0</v>
      </c>
      <c r="P2143" s="19"/>
      <c r="Q2143" s="19"/>
      <c r="R2143" s="19"/>
      <c r="S2143" s="19"/>
      <c r="T2143" s="19"/>
      <c r="U2143" s="19"/>
      <c r="V2143" s="19"/>
      <c r="W2143" s="19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</row>
    <row r="2144" spans="1:36" ht="11.25" customHeight="1" x14ac:dyDescent="0.2">
      <c r="A2144" s="55" t="s">
        <v>27</v>
      </c>
      <c r="B2144" s="55" t="s">
        <v>37</v>
      </c>
      <c r="C2144" s="55" t="s">
        <v>23</v>
      </c>
      <c r="D2144" s="55" t="s">
        <v>46</v>
      </c>
      <c r="E2144" s="55" t="s">
        <v>25</v>
      </c>
      <c r="F2144" s="55" t="s">
        <v>25</v>
      </c>
      <c r="G2144" s="55" t="s">
        <v>25</v>
      </c>
      <c r="H2144" s="55" t="s">
        <v>25</v>
      </c>
      <c r="I2144" s="63">
        <v>44440</v>
      </c>
      <c r="J2144" s="64">
        <f>EFEITO!$J$2144*EFEITO!$Y$2144</f>
        <v>0</v>
      </c>
      <c r="K2144" s="64">
        <f ca="1">EFEITO!$L$2144*EFEITO!$Z$2144</f>
        <v>-14308.97745214</v>
      </c>
      <c r="L2144" s="64">
        <f>EFEITO!$N$2144*EFEITO!$AA$2144</f>
        <v>-9729.1375201339524</v>
      </c>
      <c r="M2144" s="64">
        <f>$J$2144-EFEITO!$K$2144*EFEITO!$Y$2144</f>
        <v>0</v>
      </c>
      <c r="N2144" s="64">
        <f ca="1">$K$2144-EFEITO!$M$2144*EFEITO!$Z$2144</f>
        <v>0</v>
      </c>
      <c r="O2144" s="64">
        <f>$L$2144-EFEITO!$O$2144*EFEITO!$AA$2144</f>
        <v>0</v>
      </c>
      <c r="P2144" s="19"/>
      <c r="Q2144" s="19"/>
      <c r="R2144" s="19"/>
      <c r="S2144" s="19"/>
      <c r="T2144" s="19"/>
      <c r="U2144" s="19"/>
      <c r="V2144" s="19"/>
      <c r="W2144" s="19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</row>
    <row r="2145" spans="1:36" ht="11.25" customHeight="1" x14ac:dyDescent="0.2">
      <c r="A2145" s="55" t="s">
        <v>28</v>
      </c>
      <c r="B2145" s="55" t="s">
        <v>37</v>
      </c>
      <c r="C2145" s="55" t="s">
        <v>23</v>
      </c>
      <c r="D2145" s="55" t="s">
        <v>46</v>
      </c>
      <c r="E2145" s="55" t="s">
        <v>25</v>
      </c>
      <c r="F2145" s="55" t="s">
        <v>25</v>
      </c>
      <c r="G2145" s="55" t="s">
        <v>25</v>
      </c>
      <c r="H2145" s="55" t="s">
        <v>25</v>
      </c>
      <c r="I2145" s="63">
        <v>44440</v>
      </c>
      <c r="J2145" s="64">
        <f>EFEITO!$J$2145*EFEITO!$Y$2145</f>
        <v>0</v>
      </c>
      <c r="K2145" s="64">
        <f ca="1">EFEITO!$L$2145*EFEITO!$Z$2145</f>
        <v>24510.520579202152</v>
      </c>
      <c r="L2145" s="64">
        <f>EFEITO!$N$2145*EFEITO!$AA$2145</f>
        <v>16665.497321715811</v>
      </c>
      <c r="M2145" s="64">
        <f>$J$2145-EFEITO!$K$2145*EFEITO!$Y$2145</f>
        <v>0</v>
      </c>
      <c r="N2145" s="64">
        <f ca="1">$K$2145-EFEITO!$M$2145*EFEITO!$Z$2145</f>
        <v>0</v>
      </c>
      <c r="O2145" s="64">
        <f>$L$2145-EFEITO!$O$2145*EFEITO!$AA$2145</f>
        <v>0</v>
      </c>
      <c r="P2145" s="19"/>
      <c r="Q2145" s="19"/>
      <c r="R2145" s="19"/>
      <c r="S2145" s="19"/>
      <c r="T2145" s="19"/>
      <c r="U2145" s="19"/>
      <c r="V2145" s="19"/>
      <c r="W2145" s="19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</row>
    <row r="2146" spans="1:36" ht="11.25" customHeight="1" x14ac:dyDescent="0.2">
      <c r="A2146" s="55" t="s">
        <v>21</v>
      </c>
      <c r="B2146" s="55" t="s">
        <v>37</v>
      </c>
      <c r="C2146" s="55" t="s">
        <v>23</v>
      </c>
      <c r="D2146" s="55" t="s">
        <v>46</v>
      </c>
      <c r="E2146" s="55" t="s">
        <v>25</v>
      </c>
      <c r="F2146" s="55" t="s">
        <v>25</v>
      </c>
      <c r="G2146" s="55" t="s">
        <v>25</v>
      </c>
      <c r="H2146" s="55" t="s">
        <v>25</v>
      </c>
      <c r="I2146" s="63">
        <v>44470</v>
      </c>
      <c r="J2146" s="64">
        <f>EFEITO!$J$2146*EFEITO!$Y$2146</f>
        <v>0</v>
      </c>
      <c r="K2146" s="64">
        <f ca="1">EFEITO!$L$2146*EFEITO!$Z$2146</f>
        <v>3551166.5413741237</v>
      </c>
      <c r="L2146" s="64">
        <f>EFEITO!$N$2146*EFEITO!$AA$2146</f>
        <v>2414553.2239105017</v>
      </c>
      <c r="M2146" s="64">
        <f>$J$2146-EFEITO!$K$2146*EFEITO!$Y$2146</f>
        <v>0</v>
      </c>
      <c r="N2146" s="64">
        <f ca="1">$K$2146-EFEITO!$M$2146*EFEITO!$Z$2146</f>
        <v>0</v>
      </c>
      <c r="O2146" s="64">
        <f>$L$2146-EFEITO!$O$2146*EFEITO!$AA$2146</f>
        <v>0</v>
      </c>
      <c r="P2146" s="19"/>
      <c r="Q2146" s="19"/>
      <c r="R2146" s="19"/>
      <c r="S2146" s="19"/>
      <c r="T2146" s="19"/>
      <c r="U2146" s="19"/>
      <c r="V2146" s="19"/>
      <c r="W2146" s="19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</row>
    <row r="2147" spans="1:36" ht="11.25" customHeight="1" x14ac:dyDescent="0.2">
      <c r="A2147" s="55" t="s">
        <v>27</v>
      </c>
      <c r="B2147" s="55" t="s">
        <v>37</v>
      </c>
      <c r="C2147" s="55" t="s">
        <v>23</v>
      </c>
      <c r="D2147" s="55" t="s">
        <v>46</v>
      </c>
      <c r="E2147" s="55" t="s">
        <v>25</v>
      </c>
      <c r="F2147" s="55" t="s">
        <v>25</v>
      </c>
      <c r="G2147" s="55" t="s">
        <v>25</v>
      </c>
      <c r="H2147" s="55" t="s">
        <v>25</v>
      </c>
      <c r="I2147" s="63">
        <v>44470</v>
      </c>
      <c r="J2147" s="64">
        <f>EFEITO!$J$2147*EFEITO!$Y$2147</f>
        <v>0</v>
      </c>
      <c r="K2147" s="64">
        <f ca="1">EFEITO!$L$2147*EFEITO!$Z$2147</f>
        <v>-3873.854755454126</v>
      </c>
      <c r="L2147" s="64">
        <f>EFEITO!$N$2147*EFEITO!$AA$2147</f>
        <v>-2633.9593989087884</v>
      </c>
      <c r="M2147" s="64">
        <f>$J$2147-EFEITO!$K$2147*EFEITO!$Y$2147</f>
        <v>0</v>
      </c>
      <c r="N2147" s="64">
        <f ca="1">$K$2147-EFEITO!$M$2147*EFEITO!$Z$2147</f>
        <v>0</v>
      </c>
      <c r="O2147" s="64">
        <f>$L$2147-EFEITO!$O$2147*EFEITO!$AA$2147</f>
        <v>0</v>
      </c>
      <c r="P2147" s="19"/>
      <c r="Q2147" s="19"/>
      <c r="R2147" s="19"/>
      <c r="S2147" s="19"/>
      <c r="T2147" s="19"/>
      <c r="U2147" s="19"/>
      <c r="V2147" s="19"/>
      <c r="W2147" s="19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</row>
    <row r="2148" spans="1:36" ht="11.25" customHeight="1" x14ac:dyDescent="0.2">
      <c r="A2148" s="55" t="s">
        <v>28</v>
      </c>
      <c r="B2148" s="55" t="s">
        <v>37</v>
      </c>
      <c r="C2148" s="55" t="s">
        <v>23</v>
      </c>
      <c r="D2148" s="55" t="s">
        <v>46</v>
      </c>
      <c r="E2148" s="55" t="s">
        <v>25</v>
      </c>
      <c r="F2148" s="55" t="s">
        <v>25</v>
      </c>
      <c r="G2148" s="55" t="s">
        <v>25</v>
      </c>
      <c r="H2148" s="55" t="s">
        <v>25</v>
      </c>
      <c r="I2148" s="63">
        <v>44470</v>
      </c>
      <c r="J2148" s="64">
        <f>EFEITO!$J$2148*EFEITO!$Y$2148</f>
        <v>0</v>
      </c>
      <c r="K2148" s="64">
        <f ca="1">EFEITO!$L$2148*EFEITO!$Z$2148</f>
        <v>30957.673310846742</v>
      </c>
      <c r="L2148" s="64">
        <f>EFEITO!$N$2148*EFEITO!$AA$2148</f>
        <v>21049.125414588128</v>
      </c>
      <c r="M2148" s="64">
        <f>$J$2148-EFEITO!$K$2148*EFEITO!$Y$2148</f>
        <v>0</v>
      </c>
      <c r="N2148" s="64">
        <f ca="1">$K$2148-EFEITO!$M$2148*EFEITO!$Z$2148</f>
        <v>0</v>
      </c>
      <c r="O2148" s="64">
        <f>$L$2148-EFEITO!$O$2148*EFEITO!$AA$2148</f>
        <v>0</v>
      </c>
      <c r="P2148" s="19"/>
      <c r="Q2148" s="19"/>
      <c r="R2148" s="19"/>
      <c r="S2148" s="19"/>
      <c r="T2148" s="19"/>
      <c r="U2148" s="19"/>
      <c r="V2148" s="19"/>
      <c r="W2148" s="19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</row>
    <row r="2149" spans="1:36" ht="11.25" customHeight="1" x14ac:dyDescent="0.2">
      <c r="A2149" s="55" t="s">
        <v>21</v>
      </c>
      <c r="B2149" s="55" t="s">
        <v>37</v>
      </c>
      <c r="C2149" s="55" t="s">
        <v>23</v>
      </c>
      <c r="D2149" s="55" t="s">
        <v>46</v>
      </c>
      <c r="E2149" s="55" t="s">
        <v>25</v>
      </c>
      <c r="F2149" s="55" t="s">
        <v>25</v>
      </c>
      <c r="G2149" s="55" t="s">
        <v>25</v>
      </c>
      <c r="H2149" s="55" t="s">
        <v>25</v>
      </c>
      <c r="I2149" s="63">
        <v>44501</v>
      </c>
      <c r="J2149" s="64">
        <f>EFEITO!$J$2149*EFEITO!$Y$2149</f>
        <v>0</v>
      </c>
      <c r="K2149" s="64">
        <f ca="1">EFEITO!$L$2149*EFEITO!$Z$2149</f>
        <v>3667808.6896335799</v>
      </c>
      <c r="L2149" s="64">
        <f>EFEITO!$N$2149*EFEITO!$AA$2149</f>
        <v>2493862.0008553127</v>
      </c>
      <c r="M2149" s="64">
        <f>$J$2149-EFEITO!$K$2149*EFEITO!$Y$2149</f>
        <v>0</v>
      </c>
      <c r="N2149" s="64">
        <f ca="1">$K$2149-EFEITO!$M$2149*EFEITO!$Z$2149</f>
        <v>0</v>
      </c>
      <c r="O2149" s="64">
        <f>$L$2149-EFEITO!$O$2149*EFEITO!$AA$2149</f>
        <v>0</v>
      </c>
      <c r="P2149" s="19"/>
      <c r="Q2149" s="19"/>
      <c r="R2149" s="19"/>
      <c r="S2149" s="19"/>
      <c r="T2149" s="19"/>
      <c r="U2149" s="19"/>
      <c r="V2149" s="19"/>
      <c r="W2149" s="19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</row>
    <row r="2150" spans="1:36" ht="11.25" customHeight="1" x14ac:dyDescent="0.2">
      <c r="A2150" s="55" t="s">
        <v>27</v>
      </c>
      <c r="B2150" s="55" t="s">
        <v>37</v>
      </c>
      <c r="C2150" s="55" t="s">
        <v>23</v>
      </c>
      <c r="D2150" s="55" t="s">
        <v>46</v>
      </c>
      <c r="E2150" s="55" t="s">
        <v>25</v>
      </c>
      <c r="F2150" s="55" t="s">
        <v>25</v>
      </c>
      <c r="G2150" s="55" t="s">
        <v>25</v>
      </c>
      <c r="H2150" s="55" t="s">
        <v>25</v>
      </c>
      <c r="I2150" s="63">
        <v>44501</v>
      </c>
      <c r="J2150" s="64">
        <f>EFEITO!$J$2150*EFEITO!$Y$2150</f>
        <v>0</v>
      </c>
      <c r="K2150" s="64">
        <f ca="1">EFEITO!$L$2150*EFEITO!$Z$2150</f>
        <v>-150.13282261310752</v>
      </c>
      <c r="L2150" s="64">
        <f>EFEITO!$N$2150*EFEITO!$AA$2150</f>
        <v>-102.08017186234004</v>
      </c>
      <c r="M2150" s="64">
        <f>$J$2150-EFEITO!$K$2150*EFEITO!$Y$2150</f>
        <v>0</v>
      </c>
      <c r="N2150" s="64">
        <f ca="1">$K$2150-EFEITO!$M$2150*EFEITO!$Z$2150</f>
        <v>0</v>
      </c>
      <c r="O2150" s="64">
        <f>$L$2150-EFEITO!$O$2150*EFEITO!$AA$2150</f>
        <v>0</v>
      </c>
      <c r="P2150" s="19"/>
      <c r="Q2150" s="19"/>
      <c r="R2150" s="19"/>
      <c r="S2150" s="19"/>
      <c r="T2150" s="19"/>
      <c r="U2150" s="19"/>
      <c r="V2150" s="19"/>
      <c r="W2150" s="19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</row>
    <row r="2151" spans="1:36" ht="11.25" customHeight="1" x14ac:dyDescent="0.2">
      <c r="A2151" s="55" t="s">
        <v>28</v>
      </c>
      <c r="B2151" s="55" t="s">
        <v>37</v>
      </c>
      <c r="C2151" s="55" t="s">
        <v>23</v>
      </c>
      <c r="D2151" s="55" t="s">
        <v>46</v>
      </c>
      <c r="E2151" s="55" t="s">
        <v>25</v>
      </c>
      <c r="F2151" s="55" t="s">
        <v>25</v>
      </c>
      <c r="G2151" s="55" t="s">
        <v>25</v>
      </c>
      <c r="H2151" s="55" t="s">
        <v>25</v>
      </c>
      <c r="I2151" s="63">
        <v>44501</v>
      </c>
      <c r="J2151" s="64">
        <f>EFEITO!$J$2151*EFEITO!$Y$2151</f>
        <v>0</v>
      </c>
      <c r="K2151" s="64">
        <f ca="1">EFEITO!$L$2151*EFEITO!$Z$2151</f>
        <v>30589.651759928147</v>
      </c>
      <c r="L2151" s="64">
        <f>EFEITO!$N$2151*EFEITO!$AA$2151</f>
        <v>20798.895634631037</v>
      </c>
      <c r="M2151" s="64">
        <f>$J$2151-EFEITO!$K$2151*EFEITO!$Y$2151</f>
        <v>0</v>
      </c>
      <c r="N2151" s="64">
        <f ca="1">$K$2151-EFEITO!$M$2151*EFEITO!$Z$2151</f>
        <v>0</v>
      </c>
      <c r="O2151" s="64">
        <f>$L$2151-EFEITO!$O$2151*EFEITO!$AA$2151</f>
        <v>0</v>
      </c>
      <c r="P2151" s="19"/>
      <c r="Q2151" s="19"/>
      <c r="R2151" s="19"/>
      <c r="S2151" s="19"/>
      <c r="T2151" s="19"/>
      <c r="U2151" s="19"/>
      <c r="V2151" s="19"/>
      <c r="W2151" s="19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</row>
    <row r="2152" spans="1:36" ht="11.25" customHeight="1" x14ac:dyDescent="0.2">
      <c r="A2152" s="55" t="s">
        <v>21</v>
      </c>
      <c r="B2152" s="55" t="s">
        <v>37</v>
      </c>
      <c r="C2152" s="55" t="s">
        <v>23</v>
      </c>
      <c r="D2152" s="55" t="s">
        <v>46</v>
      </c>
      <c r="E2152" s="55" t="s">
        <v>25</v>
      </c>
      <c r="F2152" s="55" t="s">
        <v>25</v>
      </c>
      <c r="G2152" s="55" t="s">
        <v>25</v>
      </c>
      <c r="H2152" s="55" t="s">
        <v>25</v>
      </c>
      <c r="I2152" s="63">
        <v>44531</v>
      </c>
      <c r="J2152" s="64">
        <f>EFEITO!$J$2152*EFEITO!$Y$2152</f>
        <v>0</v>
      </c>
      <c r="K2152" s="64">
        <f ca="1">EFEITO!$L$2152*EFEITO!$Z$2152</f>
        <v>4256080.0838660188</v>
      </c>
      <c r="L2152" s="64">
        <f>EFEITO!$N$2152*EFEITO!$AA$2152</f>
        <v>2893846.7875244934</v>
      </c>
      <c r="M2152" s="64">
        <f>$J$2152-EFEITO!$K$2152*EFEITO!$Y$2152</f>
        <v>0</v>
      </c>
      <c r="N2152" s="64">
        <f ca="1">$K$2152-EFEITO!$M$2152*EFEITO!$Z$2152</f>
        <v>0</v>
      </c>
      <c r="O2152" s="64">
        <f>$L$2152-EFEITO!$O$2152*EFEITO!$AA$2152</f>
        <v>0</v>
      </c>
      <c r="P2152" s="19"/>
      <c r="Q2152" s="19"/>
      <c r="R2152" s="19"/>
      <c r="S2152" s="19"/>
      <c r="T2152" s="19"/>
      <c r="U2152" s="19"/>
      <c r="V2152" s="19"/>
      <c r="W2152" s="19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</row>
    <row r="2153" spans="1:36" ht="11.25" customHeight="1" x14ac:dyDescent="0.2">
      <c r="A2153" s="55" t="s">
        <v>27</v>
      </c>
      <c r="B2153" s="55" t="s">
        <v>37</v>
      </c>
      <c r="C2153" s="55" t="s">
        <v>23</v>
      </c>
      <c r="D2153" s="55" t="s">
        <v>46</v>
      </c>
      <c r="E2153" s="55" t="s">
        <v>25</v>
      </c>
      <c r="F2153" s="55" t="s">
        <v>25</v>
      </c>
      <c r="G2153" s="55" t="s">
        <v>25</v>
      </c>
      <c r="H2153" s="55" t="s">
        <v>25</v>
      </c>
      <c r="I2153" s="63">
        <v>44531</v>
      </c>
      <c r="J2153" s="64">
        <f>EFEITO!$J$2153*EFEITO!$Y$2153</f>
        <v>0</v>
      </c>
      <c r="K2153" s="64">
        <f ca="1">EFEITO!$L$2153*EFEITO!$Z$2153</f>
        <v>-422.22627547249243</v>
      </c>
      <c r="L2153" s="64">
        <f>EFEITO!$N$2153*EFEITO!$AA$2153</f>
        <v>-287.08532894301806</v>
      </c>
      <c r="M2153" s="64">
        <f>$J$2153-EFEITO!$K$2153*EFEITO!$Y$2153</f>
        <v>0</v>
      </c>
      <c r="N2153" s="64">
        <f ca="1">$K$2153-EFEITO!$M$2153*EFEITO!$Z$2153</f>
        <v>0</v>
      </c>
      <c r="O2153" s="64">
        <f>$L$2153-EFEITO!$O$2153*EFEITO!$AA$2153</f>
        <v>0</v>
      </c>
      <c r="P2153" s="19"/>
      <c r="Q2153" s="19"/>
      <c r="R2153" s="19"/>
      <c r="S2153" s="19"/>
      <c r="T2153" s="19"/>
      <c r="U2153" s="19"/>
      <c r="V2153" s="19"/>
      <c r="W2153" s="19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</row>
    <row r="2154" spans="1:36" ht="11.25" customHeight="1" x14ac:dyDescent="0.2">
      <c r="A2154" s="55" t="s">
        <v>28</v>
      </c>
      <c r="B2154" s="55" t="s">
        <v>37</v>
      </c>
      <c r="C2154" s="55" t="s">
        <v>23</v>
      </c>
      <c r="D2154" s="55" t="s">
        <v>46</v>
      </c>
      <c r="E2154" s="55" t="s">
        <v>25</v>
      </c>
      <c r="F2154" s="55" t="s">
        <v>25</v>
      </c>
      <c r="G2154" s="55" t="s">
        <v>25</v>
      </c>
      <c r="H2154" s="55" t="s">
        <v>25</v>
      </c>
      <c r="I2154" s="63">
        <v>44531</v>
      </c>
      <c r="J2154" s="64">
        <f>EFEITO!$J$2154*EFEITO!$Y$2154</f>
        <v>0</v>
      </c>
      <c r="K2154" s="64">
        <f ca="1">EFEITO!$L$2154*EFEITO!$Z$2154</f>
        <v>32723.962789238001</v>
      </c>
      <c r="L2154" s="64">
        <f>EFEITO!$N$2154*EFEITO!$AA$2154</f>
        <v>22250.08287595195</v>
      </c>
      <c r="M2154" s="64">
        <f>$J$2154-EFEITO!$K$2154*EFEITO!$Y$2154</f>
        <v>0</v>
      </c>
      <c r="N2154" s="64">
        <f ca="1">$K$2154-EFEITO!$M$2154*EFEITO!$Z$2154</f>
        <v>0</v>
      </c>
      <c r="O2154" s="64">
        <f>$L$2154-EFEITO!$O$2154*EFEITO!$AA$2154</f>
        <v>0</v>
      </c>
      <c r="P2154" s="19"/>
      <c r="Q2154" s="19"/>
      <c r="R2154" s="19"/>
      <c r="S2154" s="19"/>
      <c r="T2154" s="19"/>
      <c r="U2154" s="19"/>
      <c r="V2154" s="19"/>
      <c r="W2154" s="19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</row>
    <row r="2155" spans="1:36" ht="11.25" customHeight="1" x14ac:dyDescent="0.2">
      <c r="A2155" s="55" t="s">
        <v>21</v>
      </c>
      <c r="B2155" s="55" t="s">
        <v>37</v>
      </c>
      <c r="C2155" s="55" t="s">
        <v>23</v>
      </c>
      <c r="D2155" s="55" t="s">
        <v>46</v>
      </c>
      <c r="E2155" s="55" t="s">
        <v>25</v>
      </c>
      <c r="F2155" s="55" t="s">
        <v>25</v>
      </c>
      <c r="G2155" s="55" t="s">
        <v>25</v>
      </c>
      <c r="H2155" s="55" t="s">
        <v>25</v>
      </c>
      <c r="I2155" s="63">
        <v>44562</v>
      </c>
      <c r="J2155" s="64">
        <f>EFEITO!$J$2155*EFEITO!$Y$2155</f>
        <v>0</v>
      </c>
      <c r="K2155" s="64">
        <f ca="1">EFEITO!$L$2155*EFEITO!$Z$2155</f>
        <v>3396570.7442360688</v>
      </c>
      <c r="L2155" s="64">
        <f>EFEITO!$N$2155*EFEITO!$AA$2155</f>
        <v>2309438.531024748</v>
      </c>
      <c r="M2155" s="64">
        <f>$J$2155-EFEITO!$K$2155*EFEITO!$Y$2155</f>
        <v>0</v>
      </c>
      <c r="N2155" s="64">
        <f ca="1">$K$2155-EFEITO!$M$2155*EFEITO!$Z$2155</f>
        <v>0</v>
      </c>
      <c r="O2155" s="64">
        <f>$L$2155-EFEITO!$O$2155*EFEITO!$AA$2155</f>
        <v>0</v>
      </c>
      <c r="P2155" s="19"/>
      <c r="Q2155" s="19"/>
      <c r="R2155" s="19"/>
      <c r="S2155" s="19"/>
      <c r="T2155" s="19"/>
      <c r="U2155" s="19"/>
      <c r="V2155" s="19"/>
      <c r="W2155" s="19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</row>
    <row r="2156" spans="1:36" ht="11.25" customHeight="1" x14ac:dyDescent="0.2">
      <c r="A2156" s="55" t="s">
        <v>27</v>
      </c>
      <c r="B2156" s="55" t="s">
        <v>37</v>
      </c>
      <c r="C2156" s="55" t="s">
        <v>23</v>
      </c>
      <c r="D2156" s="55" t="s">
        <v>46</v>
      </c>
      <c r="E2156" s="55" t="s">
        <v>25</v>
      </c>
      <c r="F2156" s="55" t="s">
        <v>25</v>
      </c>
      <c r="G2156" s="55" t="s">
        <v>25</v>
      </c>
      <c r="H2156" s="55" t="s">
        <v>25</v>
      </c>
      <c r="I2156" s="63">
        <v>44562</v>
      </c>
      <c r="J2156" s="64">
        <f>EFEITO!$J$2156*EFEITO!$Y$2156</f>
        <v>0</v>
      </c>
      <c r="K2156" s="64">
        <f ca="1">EFEITO!$L$2156*EFEITO!$Z$2156</f>
        <v>-38615.517094205105</v>
      </c>
      <c r="L2156" s="64">
        <f>EFEITO!$N$2156*EFEITO!$AA$2156</f>
        <v>-26255.941591718507</v>
      </c>
      <c r="M2156" s="64">
        <f>$J$2156-EFEITO!$K$2156*EFEITO!$Y$2156</f>
        <v>0</v>
      </c>
      <c r="N2156" s="64">
        <f ca="1">$K$2156-EFEITO!$M$2156*EFEITO!$Z$2156</f>
        <v>0</v>
      </c>
      <c r="O2156" s="64">
        <f>$L$2156-EFEITO!$O$2156*EFEITO!$AA$2156</f>
        <v>0</v>
      </c>
      <c r="P2156" s="19"/>
      <c r="Q2156" s="19"/>
      <c r="R2156" s="19"/>
      <c r="S2156" s="19"/>
      <c r="T2156" s="19"/>
      <c r="U2156" s="19"/>
      <c r="V2156" s="19"/>
      <c r="W2156" s="19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</row>
    <row r="2157" spans="1:36" ht="11.25" customHeight="1" x14ac:dyDescent="0.2">
      <c r="A2157" s="55" t="s">
        <v>28</v>
      </c>
      <c r="B2157" s="55" t="s">
        <v>37</v>
      </c>
      <c r="C2157" s="55" t="s">
        <v>23</v>
      </c>
      <c r="D2157" s="55" t="s">
        <v>46</v>
      </c>
      <c r="E2157" s="55" t="s">
        <v>25</v>
      </c>
      <c r="F2157" s="55" t="s">
        <v>25</v>
      </c>
      <c r="G2157" s="55" t="s">
        <v>25</v>
      </c>
      <c r="H2157" s="55" t="s">
        <v>25</v>
      </c>
      <c r="I2157" s="63">
        <v>44562</v>
      </c>
      <c r="J2157" s="64">
        <f>EFEITO!$J$2157*EFEITO!$Y$2157</f>
        <v>0</v>
      </c>
      <c r="K2157" s="64">
        <f ca="1">EFEITO!$L$2157*EFEITO!$Z$2157</f>
        <v>24878.898740150704</v>
      </c>
      <c r="L2157" s="64">
        <f>EFEITO!$N$2157*EFEITO!$AA$2157</f>
        <v>16915.969572389913</v>
      </c>
      <c r="M2157" s="64">
        <f>$J$2157-EFEITO!$K$2157*EFEITO!$Y$2157</f>
        <v>0</v>
      </c>
      <c r="N2157" s="64">
        <f ca="1">$K$2157-EFEITO!$M$2157*EFEITO!$Z$2157</f>
        <v>0</v>
      </c>
      <c r="O2157" s="64">
        <f>$L$2157-EFEITO!$O$2157*EFEITO!$AA$2157</f>
        <v>0</v>
      </c>
      <c r="P2157" s="19"/>
      <c r="Q2157" s="19"/>
      <c r="R2157" s="19"/>
      <c r="S2157" s="19"/>
      <c r="T2157" s="19"/>
      <c r="U2157" s="19"/>
      <c r="V2157" s="19"/>
      <c r="W2157" s="19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</row>
    <row r="2158" spans="1:36" ht="11.25" customHeight="1" x14ac:dyDescent="0.2">
      <c r="A2158" s="55" t="s">
        <v>21</v>
      </c>
      <c r="B2158" s="55" t="s">
        <v>37</v>
      </c>
      <c r="C2158" s="55" t="s">
        <v>23</v>
      </c>
      <c r="D2158" s="55" t="s">
        <v>46</v>
      </c>
      <c r="E2158" s="55" t="s">
        <v>25</v>
      </c>
      <c r="F2158" s="55" t="s">
        <v>25</v>
      </c>
      <c r="G2158" s="55" t="s">
        <v>25</v>
      </c>
      <c r="H2158" s="55" t="s">
        <v>25</v>
      </c>
      <c r="I2158" s="63">
        <v>44593</v>
      </c>
      <c r="J2158" s="64">
        <f>EFEITO!$J$2158*EFEITO!$Y$2158</f>
        <v>0</v>
      </c>
      <c r="K2158" s="64">
        <f ca="1">EFEITO!$L$2158*EFEITO!$Z$2158</f>
        <v>3263659.6897998131</v>
      </c>
      <c r="L2158" s="64">
        <f>EFEITO!$N$2158*EFEITO!$AA$2158</f>
        <v>2219067.9974991013</v>
      </c>
      <c r="M2158" s="64">
        <f>$J$2158-EFEITO!$K$2158*EFEITO!$Y$2158</f>
        <v>0</v>
      </c>
      <c r="N2158" s="64">
        <f ca="1">$K$2158-EFEITO!$M$2158*EFEITO!$Z$2158</f>
        <v>0</v>
      </c>
      <c r="O2158" s="64">
        <f>$L$2158-EFEITO!$O$2158*EFEITO!$AA$2158</f>
        <v>0</v>
      </c>
      <c r="P2158" s="19"/>
      <c r="Q2158" s="19"/>
      <c r="R2158" s="19"/>
      <c r="S2158" s="19"/>
      <c r="T2158" s="19"/>
      <c r="U2158" s="19"/>
      <c r="V2158" s="19"/>
      <c r="W2158" s="19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</row>
    <row r="2159" spans="1:36" ht="11.25" customHeight="1" x14ac:dyDescent="0.2">
      <c r="A2159" s="55" t="s">
        <v>27</v>
      </c>
      <c r="B2159" s="55" t="s">
        <v>37</v>
      </c>
      <c r="C2159" s="55" t="s">
        <v>23</v>
      </c>
      <c r="D2159" s="55" t="s">
        <v>46</v>
      </c>
      <c r="E2159" s="55" t="s">
        <v>25</v>
      </c>
      <c r="F2159" s="55" t="s">
        <v>25</v>
      </c>
      <c r="G2159" s="55" t="s">
        <v>25</v>
      </c>
      <c r="H2159" s="55" t="s">
        <v>25</v>
      </c>
      <c r="I2159" s="63">
        <v>44593</v>
      </c>
      <c r="J2159" s="64">
        <f>EFEITO!$J$2159*EFEITO!$Y$2159</f>
        <v>0</v>
      </c>
      <c r="K2159" s="64">
        <f ca="1">EFEITO!$L$2159*EFEITO!$Z$2159</f>
        <v>-10888.374044764874</v>
      </c>
      <c r="L2159" s="64">
        <f>EFEITO!$N$2159*EFEITO!$AA$2159</f>
        <v>-7403.3584025482869</v>
      </c>
      <c r="M2159" s="64">
        <f>$J$2159-EFEITO!$K$2159*EFEITO!$Y$2159</f>
        <v>0</v>
      </c>
      <c r="N2159" s="64">
        <f ca="1">$K$2159-EFEITO!$M$2159*EFEITO!$Z$2159</f>
        <v>0</v>
      </c>
      <c r="O2159" s="64">
        <f>$L$2159-EFEITO!$O$2159*EFEITO!$AA$2159</f>
        <v>0</v>
      </c>
      <c r="P2159" s="19"/>
      <c r="Q2159" s="19"/>
      <c r="R2159" s="19"/>
      <c r="S2159" s="19"/>
      <c r="T2159" s="19"/>
      <c r="U2159" s="19"/>
      <c r="V2159" s="19"/>
      <c r="W2159" s="19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</row>
    <row r="2160" spans="1:36" ht="11.25" customHeight="1" x14ac:dyDescent="0.2">
      <c r="A2160" s="55" t="s">
        <v>28</v>
      </c>
      <c r="B2160" s="55" t="s">
        <v>37</v>
      </c>
      <c r="C2160" s="55" t="s">
        <v>23</v>
      </c>
      <c r="D2160" s="55" t="s">
        <v>46</v>
      </c>
      <c r="E2160" s="55" t="s">
        <v>25</v>
      </c>
      <c r="F2160" s="55" t="s">
        <v>25</v>
      </c>
      <c r="G2160" s="55" t="s">
        <v>25</v>
      </c>
      <c r="H2160" s="55" t="s">
        <v>25</v>
      </c>
      <c r="I2160" s="63">
        <v>44593</v>
      </c>
      <c r="J2160" s="64">
        <f>EFEITO!$J$2160*EFEITO!$Y$2160</f>
        <v>0</v>
      </c>
      <c r="K2160" s="64">
        <f ca="1">EFEITO!$L$2160*EFEITO!$Z$2160</f>
        <v>22820.902257252263</v>
      </c>
      <c r="L2160" s="64">
        <f>EFEITO!$N$2160*EFEITO!$AA$2160</f>
        <v>15516.671064509712</v>
      </c>
      <c r="M2160" s="64">
        <f>$J$2160-EFEITO!$K$2160*EFEITO!$Y$2160</f>
        <v>0</v>
      </c>
      <c r="N2160" s="64">
        <f ca="1">$K$2160-EFEITO!$M$2160*EFEITO!$Z$2160</f>
        <v>0</v>
      </c>
      <c r="O2160" s="64">
        <f>$L$2160-EFEITO!$O$2160*EFEITO!$AA$2160</f>
        <v>0</v>
      </c>
      <c r="P2160" s="19"/>
      <c r="Q2160" s="19"/>
      <c r="R2160" s="19"/>
      <c r="S2160" s="19"/>
      <c r="T2160" s="19"/>
      <c r="U2160" s="19"/>
      <c r="V2160" s="19"/>
      <c r="W2160" s="19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</row>
    <row r="2161" spans="1:36" ht="11.25" customHeight="1" x14ac:dyDescent="0.2">
      <c r="A2161" s="55" t="s">
        <v>21</v>
      </c>
      <c r="B2161" s="55" t="s">
        <v>37</v>
      </c>
      <c r="C2161" s="55" t="s">
        <v>23</v>
      </c>
      <c r="D2161" s="55" t="s">
        <v>46</v>
      </c>
      <c r="E2161" s="55" t="s">
        <v>25</v>
      </c>
      <c r="F2161" s="55" t="s">
        <v>25</v>
      </c>
      <c r="G2161" s="55" t="s">
        <v>25</v>
      </c>
      <c r="H2161" s="55" t="s">
        <v>25</v>
      </c>
      <c r="I2161" s="63">
        <v>44621</v>
      </c>
      <c r="J2161" s="64">
        <f>EFEITO!$J$2161*EFEITO!$Y$2161</f>
        <v>0</v>
      </c>
      <c r="K2161" s="64">
        <f ca="1">EFEITO!$L$2161*EFEITO!$Z$2161</f>
        <v>4007446.9350476046</v>
      </c>
      <c r="L2161" s="64">
        <f>EFEITO!$N$2161*EFEITO!$AA$2161</f>
        <v>2724793.0515039293</v>
      </c>
      <c r="M2161" s="64">
        <f>$J$2161-EFEITO!$K$2161*EFEITO!$Y$2161</f>
        <v>0</v>
      </c>
      <c r="N2161" s="64">
        <f ca="1">$K$2161-EFEITO!$M$2161*EFEITO!$Z$2161</f>
        <v>0</v>
      </c>
      <c r="O2161" s="64">
        <f>$L$2161-EFEITO!$O$2161*EFEITO!$AA$2161</f>
        <v>0</v>
      </c>
      <c r="P2161" s="19"/>
      <c r="Q2161" s="19"/>
      <c r="R2161" s="19"/>
      <c r="S2161" s="19"/>
      <c r="T2161" s="19"/>
      <c r="U2161" s="19"/>
      <c r="V2161" s="19"/>
      <c r="W2161" s="19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</row>
    <row r="2162" spans="1:36" ht="11.25" customHeight="1" x14ac:dyDescent="0.2">
      <c r="A2162" s="55" t="s">
        <v>27</v>
      </c>
      <c r="B2162" s="55" t="s">
        <v>37</v>
      </c>
      <c r="C2162" s="55" t="s">
        <v>23</v>
      </c>
      <c r="D2162" s="55" t="s">
        <v>46</v>
      </c>
      <c r="E2162" s="55" t="s">
        <v>25</v>
      </c>
      <c r="F2162" s="55" t="s">
        <v>25</v>
      </c>
      <c r="G2162" s="55" t="s">
        <v>25</v>
      </c>
      <c r="H2162" s="55" t="s">
        <v>25</v>
      </c>
      <c r="I2162" s="63">
        <v>44621</v>
      </c>
      <c r="J2162" s="64">
        <f>EFEITO!$J$2162*EFEITO!$Y$2162</f>
        <v>0</v>
      </c>
      <c r="K2162" s="64">
        <f ca="1">EFEITO!$L$2162*EFEITO!$Z$2162</f>
        <v>-21768.546058840671</v>
      </c>
      <c r="L2162" s="64">
        <f>EFEITO!$N$2162*EFEITO!$AA$2162</f>
        <v>-14801.139978605281</v>
      </c>
      <c r="M2162" s="64">
        <f>$J$2162-EFEITO!$K$2162*EFEITO!$Y$2162</f>
        <v>0</v>
      </c>
      <c r="N2162" s="64">
        <f ca="1">$K$2162-EFEITO!$M$2162*EFEITO!$Z$2162</f>
        <v>0</v>
      </c>
      <c r="O2162" s="64">
        <f>$L$2162-EFEITO!$O$2162*EFEITO!$AA$2162</f>
        <v>0</v>
      </c>
      <c r="P2162" s="19"/>
      <c r="Q2162" s="19"/>
      <c r="R2162" s="19"/>
      <c r="S2162" s="19"/>
      <c r="T2162" s="19"/>
      <c r="U2162" s="19"/>
      <c r="V2162" s="19"/>
      <c r="W2162" s="19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</row>
    <row r="2163" spans="1:36" ht="11.25" customHeight="1" x14ac:dyDescent="0.2">
      <c r="A2163" s="55" t="s">
        <v>28</v>
      </c>
      <c r="B2163" s="55" t="s">
        <v>37</v>
      </c>
      <c r="C2163" s="55" t="s">
        <v>23</v>
      </c>
      <c r="D2163" s="55" t="s">
        <v>46</v>
      </c>
      <c r="E2163" s="55" t="s">
        <v>25</v>
      </c>
      <c r="F2163" s="55" t="s">
        <v>25</v>
      </c>
      <c r="G2163" s="55" t="s">
        <v>25</v>
      </c>
      <c r="H2163" s="55" t="s">
        <v>25</v>
      </c>
      <c r="I2163" s="63">
        <v>44621</v>
      </c>
      <c r="J2163" s="64">
        <f>EFEITO!$J$2163*EFEITO!$Y$2163</f>
        <v>0</v>
      </c>
      <c r="K2163" s="64">
        <f ca="1">EFEITO!$L$2163*EFEITO!$Z$2163</f>
        <v>43517.835176063512</v>
      </c>
      <c r="L2163" s="64">
        <f>EFEITO!$N$2163*EFEITO!$AA$2163</f>
        <v>29589.186538491875</v>
      </c>
      <c r="M2163" s="64">
        <f>$J$2163-EFEITO!$K$2163*EFEITO!$Y$2163</f>
        <v>0</v>
      </c>
      <c r="N2163" s="64">
        <f ca="1">$K$2163-EFEITO!$M$2163*EFEITO!$Z$2163</f>
        <v>0</v>
      </c>
      <c r="O2163" s="64">
        <f>$L$2163-EFEITO!$O$2163*EFEITO!$AA$2163</f>
        <v>0</v>
      </c>
      <c r="P2163" s="19"/>
      <c r="Q2163" s="19"/>
      <c r="R2163" s="19"/>
      <c r="S2163" s="19"/>
      <c r="T2163" s="19"/>
      <c r="U2163" s="19"/>
      <c r="V2163" s="19"/>
      <c r="W2163" s="19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</row>
    <row r="2164" spans="1:36" ht="11.25" customHeight="1" x14ac:dyDescent="0.2">
      <c r="A2164" s="55" t="s">
        <v>21</v>
      </c>
      <c r="B2164" s="55" t="s">
        <v>37</v>
      </c>
      <c r="C2164" s="55" t="s">
        <v>23</v>
      </c>
      <c r="D2164" s="55" t="s">
        <v>46</v>
      </c>
      <c r="E2164" s="55" t="s">
        <v>25</v>
      </c>
      <c r="F2164" s="55" t="s">
        <v>25</v>
      </c>
      <c r="G2164" s="55" t="s">
        <v>25</v>
      </c>
      <c r="H2164" s="55" t="s">
        <v>25</v>
      </c>
      <c r="I2164" s="63">
        <v>44652</v>
      </c>
      <c r="J2164" s="64">
        <f>EFEITO!$J$2164*EFEITO!$Y$2164</f>
        <v>0</v>
      </c>
      <c r="K2164" s="64">
        <f ca="1">EFEITO!$L$2164*EFEITO!$Z$2164</f>
        <v>3993411.8340984741</v>
      </c>
      <c r="L2164" s="64">
        <f>EFEITO!$N$2164*EFEITO!$AA$2164</f>
        <v>2715250.1314944611</v>
      </c>
      <c r="M2164" s="64">
        <f>$J$2164-EFEITO!$K$2164*EFEITO!$Y$2164</f>
        <v>0</v>
      </c>
      <c r="N2164" s="64">
        <f ca="1">$K$2164-EFEITO!$M$2164*EFEITO!$Z$2164</f>
        <v>0</v>
      </c>
      <c r="O2164" s="64">
        <f>$L$2164-EFEITO!$O$2164*EFEITO!$AA$2164</f>
        <v>0</v>
      </c>
      <c r="P2164" s="19"/>
      <c r="Q2164" s="19"/>
      <c r="R2164" s="19"/>
      <c r="S2164" s="19"/>
      <c r="T2164" s="19"/>
      <c r="U2164" s="19"/>
      <c r="V2164" s="19"/>
      <c r="W2164" s="19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</row>
    <row r="2165" spans="1:36" ht="11.25" customHeight="1" x14ac:dyDescent="0.2">
      <c r="A2165" s="55" t="s">
        <v>27</v>
      </c>
      <c r="B2165" s="55" t="s">
        <v>37</v>
      </c>
      <c r="C2165" s="55" t="s">
        <v>23</v>
      </c>
      <c r="D2165" s="55" t="s">
        <v>46</v>
      </c>
      <c r="E2165" s="55" t="s">
        <v>25</v>
      </c>
      <c r="F2165" s="55" t="s">
        <v>25</v>
      </c>
      <c r="G2165" s="55" t="s">
        <v>25</v>
      </c>
      <c r="H2165" s="55" t="s">
        <v>25</v>
      </c>
      <c r="I2165" s="63">
        <v>44652</v>
      </c>
      <c r="J2165" s="64">
        <f>EFEITO!$J$2165*EFEITO!$Y$2165</f>
        <v>0</v>
      </c>
      <c r="K2165" s="64">
        <f ca="1">EFEITO!$L$2165*EFEITO!$Z$2165</f>
        <v>-13492.697093561843</v>
      </c>
      <c r="L2165" s="64">
        <f>EFEITO!$N$2165*EFEITO!$AA$2165</f>
        <v>-9174.1220488919189</v>
      </c>
      <c r="M2165" s="64">
        <f>$J$2165-EFEITO!$K$2165*EFEITO!$Y$2165</f>
        <v>0</v>
      </c>
      <c r="N2165" s="64">
        <f ca="1">$K$2165-EFEITO!$M$2165*EFEITO!$Z$2165</f>
        <v>0</v>
      </c>
      <c r="O2165" s="64">
        <f>$L$2165-EFEITO!$O$2165*EFEITO!$AA$2165</f>
        <v>0</v>
      </c>
      <c r="P2165" s="19"/>
      <c r="Q2165" s="19"/>
      <c r="R2165" s="19"/>
      <c r="S2165" s="19"/>
      <c r="T2165" s="19"/>
      <c r="U2165" s="19"/>
      <c r="V2165" s="19"/>
      <c r="W2165" s="19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</row>
    <row r="2166" spans="1:36" ht="11.25" customHeight="1" x14ac:dyDescent="0.2">
      <c r="A2166" s="55" t="s">
        <v>28</v>
      </c>
      <c r="B2166" s="55" t="s">
        <v>37</v>
      </c>
      <c r="C2166" s="55" t="s">
        <v>23</v>
      </c>
      <c r="D2166" s="55" t="s">
        <v>46</v>
      </c>
      <c r="E2166" s="55" t="s">
        <v>25</v>
      </c>
      <c r="F2166" s="55" t="s">
        <v>25</v>
      </c>
      <c r="G2166" s="55" t="s">
        <v>25</v>
      </c>
      <c r="H2166" s="55" t="s">
        <v>25</v>
      </c>
      <c r="I2166" s="63">
        <v>44652</v>
      </c>
      <c r="J2166" s="64">
        <f>EFEITO!$J$2166*EFEITO!$Y$2166</f>
        <v>0</v>
      </c>
      <c r="K2166" s="64">
        <f ca="1">EFEITO!$L$2166*EFEITO!$Z$2166</f>
        <v>40683.142047912457</v>
      </c>
      <c r="L2166" s="64">
        <f>EFEITO!$N$2166*EFEITO!$AA$2166</f>
        <v>27661.786808958052</v>
      </c>
      <c r="M2166" s="64">
        <f>$J$2166-EFEITO!$K$2166*EFEITO!$Y$2166</f>
        <v>0</v>
      </c>
      <c r="N2166" s="64">
        <f ca="1">$K$2166-EFEITO!$M$2166*EFEITO!$Z$2166</f>
        <v>0</v>
      </c>
      <c r="O2166" s="64">
        <f>$L$2166-EFEITO!$O$2166*EFEITO!$AA$2166</f>
        <v>0</v>
      </c>
      <c r="P2166" s="19"/>
      <c r="Q2166" s="19"/>
      <c r="R2166" s="19"/>
      <c r="S2166" s="19"/>
      <c r="T2166" s="19"/>
      <c r="U2166" s="19"/>
      <c r="V2166" s="19"/>
      <c r="W2166" s="19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</row>
    <row r="2167" spans="1:36" ht="11.25" customHeight="1" x14ac:dyDescent="0.2">
      <c r="A2167" s="55" t="s">
        <v>21</v>
      </c>
      <c r="B2167" s="55" t="s">
        <v>37</v>
      </c>
      <c r="C2167" s="55" t="s">
        <v>23</v>
      </c>
      <c r="D2167" s="55" t="s">
        <v>46</v>
      </c>
      <c r="E2167" s="55" t="s">
        <v>25</v>
      </c>
      <c r="F2167" s="55" t="s">
        <v>25</v>
      </c>
      <c r="G2167" s="55" t="s">
        <v>25</v>
      </c>
      <c r="H2167" s="55" t="s">
        <v>25</v>
      </c>
      <c r="I2167" s="63">
        <v>44682</v>
      </c>
      <c r="J2167" s="64">
        <f>EFEITO!$J$2167*EFEITO!$Y$2167</f>
        <v>0</v>
      </c>
      <c r="K2167" s="64">
        <f ca="1">EFEITO!$L$2167*EFEITO!$Z$2167</f>
        <v>4145319.5048306915</v>
      </c>
      <c r="L2167" s="64">
        <f>EFEITO!$N$2167*EFEITO!$AA$2167</f>
        <v>2818537.0801153728</v>
      </c>
      <c r="M2167" s="64">
        <f>$J$2167-EFEITO!$K$2167*EFEITO!$Y$2167</f>
        <v>0</v>
      </c>
      <c r="N2167" s="64">
        <f ca="1">$K$2167-EFEITO!$M$2167*EFEITO!$Z$2167</f>
        <v>0</v>
      </c>
      <c r="O2167" s="64">
        <f>$L$2167-EFEITO!$O$2167*EFEITO!$AA$2167</f>
        <v>0</v>
      </c>
      <c r="P2167" s="19"/>
      <c r="Q2167" s="19"/>
      <c r="R2167" s="19"/>
      <c r="S2167" s="19"/>
      <c r="T2167" s="19"/>
      <c r="U2167" s="19"/>
      <c r="V2167" s="19"/>
      <c r="W2167" s="19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</row>
    <row r="2168" spans="1:36" ht="11.25" customHeight="1" x14ac:dyDescent="0.2">
      <c r="A2168" s="55" t="s">
        <v>27</v>
      </c>
      <c r="B2168" s="55" t="s">
        <v>37</v>
      </c>
      <c r="C2168" s="55" t="s">
        <v>23</v>
      </c>
      <c r="D2168" s="55" t="s">
        <v>46</v>
      </c>
      <c r="E2168" s="55" t="s">
        <v>25</v>
      </c>
      <c r="F2168" s="55" t="s">
        <v>25</v>
      </c>
      <c r="G2168" s="55" t="s">
        <v>25</v>
      </c>
      <c r="H2168" s="55" t="s">
        <v>25</v>
      </c>
      <c r="I2168" s="63">
        <v>44682</v>
      </c>
      <c r="J2168" s="64">
        <f>EFEITO!$J$2168*EFEITO!$Y$2168</f>
        <v>0</v>
      </c>
      <c r="K2168" s="64">
        <f ca="1">EFEITO!$L$2168*EFEITO!$Z$2168</f>
        <v>-10.69830089879626</v>
      </c>
      <c r="L2168" s="64">
        <f>EFEITO!$N$2168*EFEITO!$AA$2168</f>
        <v>-7.2741215103805255</v>
      </c>
      <c r="M2168" s="64">
        <f>$J$2168-EFEITO!$K$2168*EFEITO!$Y$2168</f>
        <v>0</v>
      </c>
      <c r="N2168" s="64">
        <f ca="1">$K$2168-EFEITO!$M$2168*EFEITO!$Z$2168</f>
        <v>0</v>
      </c>
      <c r="O2168" s="64">
        <f>$L$2168-EFEITO!$O$2168*EFEITO!$AA$2168</f>
        <v>0</v>
      </c>
      <c r="P2168" s="19"/>
      <c r="Q2168" s="19"/>
      <c r="R2168" s="19"/>
      <c r="S2168" s="19"/>
      <c r="T2168" s="19"/>
      <c r="U2168" s="19"/>
      <c r="V2168" s="19"/>
      <c r="W2168" s="19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</row>
    <row r="2169" spans="1:36" ht="11.25" customHeight="1" x14ac:dyDescent="0.2">
      <c r="A2169" s="55" t="s">
        <v>28</v>
      </c>
      <c r="B2169" s="55" t="s">
        <v>37</v>
      </c>
      <c r="C2169" s="55" t="s">
        <v>23</v>
      </c>
      <c r="D2169" s="55" t="s">
        <v>46</v>
      </c>
      <c r="E2169" s="55" t="s">
        <v>25</v>
      </c>
      <c r="F2169" s="55" t="s">
        <v>25</v>
      </c>
      <c r="G2169" s="55" t="s">
        <v>25</v>
      </c>
      <c r="H2169" s="55" t="s">
        <v>25</v>
      </c>
      <c r="I2169" s="63">
        <v>44682</v>
      </c>
      <c r="J2169" s="64">
        <f>EFEITO!$J$2169*EFEITO!$Y$2169</f>
        <v>0</v>
      </c>
      <c r="K2169" s="64">
        <f ca="1">EFEITO!$L$2169*EFEITO!$Z$2169</f>
        <v>47493.680400086167</v>
      </c>
      <c r="L2169" s="64">
        <f>EFEITO!$N$2169*EFEITO!$AA$2169</f>
        <v>32292.492562466297</v>
      </c>
      <c r="M2169" s="64">
        <f>$J$2169-EFEITO!$K$2169*EFEITO!$Y$2169</f>
        <v>0</v>
      </c>
      <c r="N2169" s="64">
        <f ca="1">$K$2169-EFEITO!$M$2169*EFEITO!$Z$2169</f>
        <v>0</v>
      </c>
      <c r="O2169" s="64">
        <f>$L$2169-EFEITO!$O$2169*EFEITO!$AA$2169</f>
        <v>0</v>
      </c>
      <c r="P2169" s="19"/>
      <c r="Q2169" s="19"/>
      <c r="R2169" s="19"/>
      <c r="S2169" s="19"/>
      <c r="T2169" s="19"/>
      <c r="U2169" s="19"/>
      <c r="V2169" s="19"/>
      <c r="W2169" s="19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</row>
    <row r="2170" spans="1:36" ht="11.25" customHeight="1" x14ac:dyDescent="0.2">
      <c r="A2170" s="55" t="s">
        <v>21</v>
      </c>
      <c r="B2170" s="55" t="s">
        <v>37</v>
      </c>
      <c r="C2170" s="55" t="s">
        <v>23</v>
      </c>
      <c r="D2170" s="55" t="s">
        <v>46</v>
      </c>
      <c r="E2170" s="55" t="s">
        <v>25</v>
      </c>
      <c r="F2170" s="55" t="s">
        <v>25</v>
      </c>
      <c r="G2170" s="55" t="s">
        <v>25</v>
      </c>
      <c r="H2170" s="55" t="s">
        <v>25</v>
      </c>
      <c r="I2170" s="63">
        <v>44713</v>
      </c>
      <c r="J2170" s="64">
        <f>EFEITO!$J$2170*EFEITO!$Y$2170</f>
        <v>0</v>
      </c>
      <c r="K2170" s="64">
        <f ca="1">EFEITO!$L$2170*EFEITO!$Z$2170</f>
        <v>3490692.2558834981</v>
      </c>
      <c r="L2170" s="64">
        <f>EFEITO!$N$2170*EFEITO!$AA$2170</f>
        <v>2373434.7972487737</v>
      </c>
      <c r="M2170" s="64">
        <f>$J$2170-EFEITO!$K$2170*EFEITO!$Y$2170</f>
        <v>0</v>
      </c>
      <c r="N2170" s="64">
        <f ca="1">$K$2170-EFEITO!$M$2170*EFEITO!$Z$2170</f>
        <v>0</v>
      </c>
      <c r="O2170" s="64">
        <f>$L$2170-EFEITO!$O$2170*EFEITO!$AA$2170</f>
        <v>0</v>
      </c>
      <c r="P2170" s="19"/>
      <c r="Q2170" s="19"/>
      <c r="R2170" s="19"/>
      <c r="S2170" s="19"/>
      <c r="T2170" s="19"/>
      <c r="U2170" s="19"/>
      <c r="V2170" s="19"/>
      <c r="W2170" s="19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</row>
    <row r="2171" spans="1:36" ht="11.25" customHeight="1" x14ac:dyDescent="0.2">
      <c r="A2171" s="55" t="s">
        <v>27</v>
      </c>
      <c r="B2171" s="55" t="s">
        <v>37</v>
      </c>
      <c r="C2171" s="55" t="s">
        <v>23</v>
      </c>
      <c r="D2171" s="55" t="s">
        <v>46</v>
      </c>
      <c r="E2171" s="55" t="s">
        <v>25</v>
      </c>
      <c r="F2171" s="55" t="s">
        <v>25</v>
      </c>
      <c r="G2171" s="55" t="s">
        <v>25</v>
      </c>
      <c r="H2171" s="55" t="s">
        <v>25</v>
      </c>
      <c r="I2171" s="63">
        <v>44713</v>
      </c>
      <c r="J2171" s="64">
        <f>EFEITO!$J$2171*EFEITO!$Y$2171</f>
        <v>0</v>
      </c>
      <c r="K2171" s="64">
        <f ca="1">EFEITO!$L$2171*EFEITO!$Z$2171</f>
        <v>-4021.4913078575141</v>
      </c>
      <c r="L2171" s="64">
        <f>EFEITO!$N$2171*EFEITO!$AA$2171</f>
        <v>-2734.3422757520393</v>
      </c>
      <c r="M2171" s="64">
        <f>$J$2171-EFEITO!$K$2171*EFEITO!$Y$2171</f>
        <v>0</v>
      </c>
      <c r="N2171" s="64">
        <f ca="1">$K$2171-EFEITO!$M$2171*EFEITO!$Z$2171</f>
        <v>0</v>
      </c>
      <c r="O2171" s="64">
        <f>$L$2171-EFEITO!$O$2171*EFEITO!$AA$2171</f>
        <v>0</v>
      </c>
      <c r="P2171" s="19"/>
      <c r="Q2171" s="19"/>
      <c r="R2171" s="19"/>
      <c r="S2171" s="19"/>
      <c r="T2171" s="19"/>
      <c r="U2171" s="19"/>
      <c r="V2171" s="19"/>
      <c r="W2171" s="19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</row>
    <row r="2172" spans="1:36" ht="11.25" customHeight="1" x14ac:dyDescent="0.2">
      <c r="A2172" s="55" t="s">
        <v>28</v>
      </c>
      <c r="B2172" s="55" t="s">
        <v>37</v>
      </c>
      <c r="C2172" s="55" t="s">
        <v>23</v>
      </c>
      <c r="D2172" s="55" t="s">
        <v>46</v>
      </c>
      <c r="E2172" s="55" t="s">
        <v>25</v>
      </c>
      <c r="F2172" s="55" t="s">
        <v>25</v>
      </c>
      <c r="G2172" s="55" t="s">
        <v>25</v>
      </c>
      <c r="H2172" s="55" t="s">
        <v>25</v>
      </c>
      <c r="I2172" s="63">
        <v>44713</v>
      </c>
      <c r="J2172" s="64">
        <f>EFEITO!$J$2172*EFEITO!$Y$2172</f>
        <v>0</v>
      </c>
      <c r="K2172" s="64">
        <f ca="1">EFEITO!$L$2172*EFEITO!$Z$2172</f>
        <v>40189.237156418028</v>
      </c>
      <c r="L2172" s="64">
        <f>EFEITO!$N$2172*EFEITO!$AA$2172</f>
        <v>27325.964865895483</v>
      </c>
      <c r="M2172" s="64">
        <f>$J$2172-EFEITO!$K$2172*EFEITO!$Y$2172</f>
        <v>0</v>
      </c>
      <c r="N2172" s="64">
        <f ca="1">$K$2172-EFEITO!$M$2172*EFEITO!$Z$2172</f>
        <v>0</v>
      </c>
      <c r="O2172" s="64">
        <f>$L$2172-EFEITO!$O$2172*EFEITO!$AA$2172</f>
        <v>0</v>
      </c>
      <c r="P2172" s="19"/>
      <c r="Q2172" s="19"/>
      <c r="R2172" s="19"/>
      <c r="S2172" s="19"/>
      <c r="T2172" s="19"/>
      <c r="U2172" s="19"/>
      <c r="V2172" s="19"/>
      <c r="W2172" s="19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</row>
    <row r="2173" spans="1:36" ht="11.25" customHeight="1" x14ac:dyDescent="0.2">
      <c r="A2173" s="55" t="s">
        <v>57</v>
      </c>
      <c r="B2173" s="55" t="s">
        <v>37</v>
      </c>
      <c r="C2173" s="55" t="s">
        <v>23</v>
      </c>
      <c r="D2173" s="55" t="s">
        <v>46</v>
      </c>
      <c r="E2173" s="55" t="s">
        <v>25</v>
      </c>
      <c r="F2173" s="55" t="s">
        <v>25</v>
      </c>
      <c r="G2173" s="55" t="s">
        <v>25</v>
      </c>
      <c r="H2173" s="55" t="s">
        <v>25</v>
      </c>
      <c r="I2173" s="63">
        <v>44743</v>
      </c>
      <c r="J2173" s="64">
        <f>EFEITO!$J$2173*EFEITO!$Y$2173</f>
        <v>0</v>
      </c>
      <c r="K2173" s="64">
        <f ca="1">EFEITO!$L$2173*EFEITO!$Z$2173</f>
        <v>3490692.2558834981</v>
      </c>
      <c r="L2173" s="64">
        <f>EFEITO!$N$2173*EFEITO!$AA$2173</f>
        <v>2373434.7972487737</v>
      </c>
      <c r="M2173" s="64">
        <f>$J$2173-EFEITO!$K$2173*EFEITO!$Y$2173</f>
        <v>0</v>
      </c>
      <c r="N2173" s="64">
        <f ca="1">$K$2173-EFEITO!$M$2173*EFEITO!$Z$2173</f>
        <v>0</v>
      </c>
      <c r="O2173" s="64">
        <f>$L$2173-EFEITO!$O$2173*EFEITO!$AA$2173</f>
        <v>0</v>
      </c>
      <c r="P2173" s="19"/>
      <c r="Q2173" s="19"/>
      <c r="R2173" s="19"/>
      <c r="S2173" s="19"/>
      <c r="T2173" s="19"/>
      <c r="U2173" s="19"/>
      <c r="V2173" s="19"/>
      <c r="W2173" s="19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</row>
    <row r="2174" spans="1:36" ht="11.25" customHeight="1" x14ac:dyDescent="0.2">
      <c r="A2174" s="55" t="s">
        <v>57</v>
      </c>
      <c r="B2174" s="55" t="s">
        <v>37</v>
      </c>
      <c r="C2174" s="55" t="s">
        <v>23</v>
      </c>
      <c r="D2174" s="55" t="s">
        <v>46</v>
      </c>
      <c r="E2174" s="55" t="s">
        <v>25</v>
      </c>
      <c r="F2174" s="55" t="s">
        <v>25</v>
      </c>
      <c r="G2174" s="55" t="s">
        <v>25</v>
      </c>
      <c r="H2174" s="55" t="s">
        <v>25</v>
      </c>
      <c r="I2174" s="63">
        <v>44743</v>
      </c>
      <c r="J2174" s="64">
        <f>EFEITO!$J$2174*EFEITO!$Y$2174</f>
        <v>0</v>
      </c>
      <c r="K2174" s="64">
        <f ca="1">EFEITO!$L$2174*EFEITO!$Z$2174</f>
        <v>-4021.4913078575141</v>
      </c>
      <c r="L2174" s="64">
        <f>EFEITO!$N$2174*EFEITO!$AA$2174</f>
        <v>-2734.3422757520393</v>
      </c>
      <c r="M2174" s="64">
        <f>$J$2174-EFEITO!$K$2174*EFEITO!$Y$2174</f>
        <v>0</v>
      </c>
      <c r="N2174" s="64">
        <f ca="1">$K$2174-EFEITO!$M$2174*EFEITO!$Z$2174</f>
        <v>0</v>
      </c>
      <c r="O2174" s="64">
        <f>$L$2174-EFEITO!$O$2174*EFEITO!$AA$2174</f>
        <v>0</v>
      </c>
      <c r="P2174" s="19"/>
      <c r="Q2174" s="19"/>
      <c r="R2174" s="19"/>
      <c r="S2174" s="19"/>
      <c r="T2174" s="19"/>
      <c r="U2174" s="19"/>
      <c r="V2174" s="19"/>
      <c r="W2174" s="19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</row>
    <row r="2175" spans="1:36" ht="11.25" customHeight="1" x14ac:dyDescent="0.2">
      <c r="A2175" s="55" t="s">
        <v>57</v>
      </c>
      <c r="B2175" s="55" t="s">
        <v>37</v>
      </c>
      <c r="C2175" s="55" t="s">
        <v>23</v>
      </c>
      <c r="D2175" s="55" t="s">
        <v>46</v>
      </c>
      <c r="E2175" s="55" t="s">
        <v>25</v>
      </c>
      <c r="F2175" s="55" t="s">
        <v>25</v>
      </c>
      <c r="G2175" s="55" t="s">
        <v>25</v>
      </c>
      <c r="H2175" s="55" t="s">
        <v>25</v>
      </c>
      <c r="I2175" s="63">
        <v>44743</v>
      </c>
      <c r="J2175" s="64">
        <f>EFEITO!$J$2175*EFEITO!$Y$2175</f>
        <v>0</v>
      </c>
      <c r="K2175" s="64">
        <f ca="1">EFEITO!$L$2175*EFEITO!$Z$2175</f>
        <v>40189.237156418028</v>
      </c>
      <c r="L2175" s="64">
        <f>EFEITO!$N$2175*EFEITO!$AA$2175</f>
        <v>27325.964865895483</v>
      </c>
      <c r="M2175" s="64">
        <f>$J$2175-EFEITO!$K$2175*EFEITO!$Y$2175</f>
        <v>0</v>
      </c>
      <c r="N2175" s="64">
        <f ca="1">$K$2175-EFEITO!$M$2175*EFEITO!$Z$2175</f>
        <v>0</v>
      </c>
      <c r="O2175" s="64">
        <f>$L$2175-EFEITO!$O$2175*EFEITO!$AA$2175</f>
        <v>0</v>
      </c>
      <c r="P2175" s="19"/>
      <c r="Q2175" s="19"/>
      <c r="R2175" s="19"/>
      <c r="S2175" s="19"/>
      <c r="T2175" s="19"/>
      <c r="U2175" s="19"/>
      <c r="V2175" s="19"/>
      <c r="W2175" s="19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</row>
    <row r="2176" spans="1:36" ht="11.25" customHeight="1" x14ac:dyDescent="0.2">
      <c r="A2176" s="55" t="s">
        <v>21</v>
      </c>
      <c r="B2176" s="55" t="s">
        <v>37</v>
      </c>
      <c r="C2176" s="55" t="s">
        <v>23</v>
      </c>
      <c r="D2176" s="55" t="s">
        <v>50</v>
      </c>
      <c r="E2176" s="55" t="s">
        <v>51</v>
      </c>
      <c r="F2176" s="55" t="s">
        <v>25</v>
      </c>
      <c r="G2176" s="55" t="s">
        <v>25</v>
      </c>
      <c r="H2176" s="55" t="s">
        <v>25</v>
      </c>
      <c r="I2176" s="63">
        <v>44409</v>
      </c>
      <c r="J2176" s="64">
        <f>EFEITO!$J$2176*EFEITO!$Y$2175</f>
        <v>0</v>
      </c>
      <c r="K2176" s="64">
        <f ca="1">EFEITO!$L$2176*EFEITO!$Z$2175</f>
        <v>885115.00961115968</v>
      </c>
      <c r="L2176" s="64">
        <f>EFEITO!$N$2176*EFEITO!$AA$2175</f>
        <v>601818.38139340747</v>
      </c>
      <c r="M2176" s="64">
        <f>$J$2176-EFEITO!$K$2176*EFEITO!$Y$2176</f>
        <v>0</v>
      </c>
      <c r="N2176" s="64">
        <f ca="1">$K$2176-EFEITO!$M$2176*EFEITO!$Z$2176</f>
        <v>26553.450288334861</v>
      </c>
      <c r="O2176" s="64">
        <f>$L$2176-EFEITO!$O$2176*EFEITO!$AA$2176</f>
        <v>18054.551441802178</v>
      </c>
      <c r="P2176" s="19"/>
      <c r="Q2176" s="19"/>
      <c r="R2176" s="19"/>
      <c r="S2176" s="19"/>
      <c r="T2176" s="19"/>
      <c r="U2176" s="19"/>
      <c r="V2176" s="19"/>
      <c r="W2176" s="19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</row>
    <row r="2177" spans="1:36" ht="11.25" customHeight="1" x14ac:dyDescent="0.2">
      <c r="A2177" s="55" t="s">
        <v>21</v>
      </c>
      <c r="B2177" s="55" t="s">
        <v>37</v>
      </c>
      <c r="C2177" s="55" t="s">
        <v>23</v>
      </c>
      <c r="D2177" s="55" t="s">
        <v>50</v>
      </c>
      <c r="E2177" s="55" t="s">
        <v>51</v>
      </c>
      <c r="F2177" s="55" t="s">
        <v>25</v>
      </c>
      <c r="G2177" s="55" t="s">
        <v>25</v>
      </c>
      <c r="H2177" s="55" t="s">
        <v>25</v>
      </c>
      <c r="I2177" s="63">
        <v>44440</v>
      </c>
      <c r="J2177" s="64">
        <f>EFEITO!$J$2177*EFEITO!$Y$2175</f>
        <v>0</v>
      </c>
      <c r="K2177" s="64">
        <f ca="1">EFEITO!$L$2177*EFEITO!$Z$2175</f>
        <v>867737.04624118493</v>
      </c>
      <c r="L2177" s="64">
        <f>EFEITO!$N$2177*EFEITO!$AA$2175</f>
        <v>590002.54088266229</v>
      </c>
      <c r="M2177" s="64">
        <f>$J$2177-EFEITO!$K$2177*EFEITO!$Y$2177</f>
        <v>0</v>
      </c>
      <c r="N2177" s="64">
        <f ca="1">$K$2177-EFEITO!$M$2177*EFEITO!$Z$2177</f>
        <v>26032.111387235578</v>
      </c>
      <c r="O2177" s="64">
        <f>$L$2177-EFEITO!$O$2177*EFEITO!$AA$2177</f>
        <v>17700.07622647984</v>
      </c>
      <c r="P2177" s="19"/>
      <c r="Q2177" s="19"/>
      <c r="R2177" s="19"/>
      <c r="S2177" s="19"/>
      <c r="T2177" s="19"/>
      <c r="U2177" s="19"/>
      <c r="V2177" s="19"/>
      <c r="W2177" s="19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</row>
    <row r="2178" spans="1:36" ht="11.25" customHeight="1" x14ac:dyDescent="0.2">
      <c r="A2178" s="55" t="s">
        <v>21</v>
      </c>
      <c r="B2178" s="55" t="s">
        <v>37</v>
      </c>
      <c r="C2178" s="55" t="s">
        <v>23</v>
      </c>
      <c r="D2178" s="55" t="s">
        <v>50</v>
      </c>
      <c r="E2178" s="55" t="s">
        <v>51</v>
      </c>
      <c r="F2178" s="55" t="s">
        <v>25</v>
      </c>
      <c r="G2178" s="55" t="s">
        <v>25</v>
      </c>
      <c r="H2178" s="55" t="s">
        <v>25</v>
      </c>
      <c r="I2178" s="63">
        <v>44470</v>
      </c>
      <c r="J2178" s="64">
        <f>EFEITO!$J$2178*EFEITO!$Y$2175</f>
        <v>0</v>
      </c>
      <c r="K2178" s="64">
        <f ca="1">EFEITO!$L$2178*EFEITO!$Z$2175</f>
        <v>858342.868221952</v>
      </c>
      <c r="L2178" s="64">
        <f>EFEITO!$N$2178*EFEITO!$AA$2175</f>
        <v>583615.1347843972</v>
      </c>
      <c r="M2178" s="64">
        <f>$J$2178-EFEITO!$K$2178*EFEITO!$Y$2178</f>
        <v>0</v>
      </c>
      <c r="N2178" s="64">
        <f ca="1">$K$2178-EFEITO!$M$2178*EFEITO!$Z$2178</f>
        <v>25750.286046658643</v>
      </c>
      <c r="O2178" s="64">
        <f>$L$2178-EFEITO!$O$2178*EFEITO!$AA$2178</f>
        <v>17508.454043531907</v>
      </c>
      <c r="P2178" s="19"/>
      <c r="Q2178" s="19"/>
      <c r="R2178" s="19"/>
      <c r="S2178" s="19"/>
      <c r="T2178" s="19"/>
      <c r="U2178" s="19"/>
      <c r="V2178" s="19"/>
      <c r="W2178" s="19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</row>
    <row r="2179" spans="1:36" ht="11.25" customHeight="1" x14ac:dyDescent="0.2">
      <c r="A2179" s="55" t="s">
        <v>21</v>
      </c>
      <c r="B2179" s="55" t="s">
        <v>37</v>
      </c>
      <c r="C2179" s="55" t="s">
        <v>23</v>
      </c>
      <c r="D2179" s="55" t="s">
        <v>50</v>
      </c>
      <c r="E2179" s="55" t="s">
        <v>51</v>
      </c>
      <c r="F2179" s="55" t="s">
        <v>25</v>
      </c>
      <c r="G2179" s="55" t="s">
        <v>25</v>
      </c>
      <c r="H2179" s="55" t="s">
        <v>25</v>
      </c>
      <c r="I2179" s="63">
        <v>44501</v>
      </c>
      <c r="J2179" s="64">
        <f>EFEITO!$J$2179*EFEITO!$Y$2175</f>
        <v>0</v>
      </c>
      <c r="K2179" s="64">
        <f ca="1">EFEITO!$L$2179*EFEITO!$Z$2175</f>
        <v>863248.75240411004</v>
      </c>
      <c r="L2179" s="64">
        <f>EFEITO!$N$2179*EFEITO!$AA$2175</f>
        <v>586950.80443834071</v>
      </c>
      <c r="M2179" s="64">
        <f>$J$2179-EFEITO!$K$2179*EFEITO!$Y$2179</f>
        <v>0</v>
      </c>
      <c r="N2179" s="64">
        <f ca="1">$K$2179-EFEITO!$M$2179*EFEITO!$Z$2179</f>
        <v>25897.46257212339</v>
      </c>
      <c r="O2179" s="64">
        <f>$L$2179-EFEITO!$O$2179*EFEITO!$AA$2179</f>
        <v>17608.524133150233</v>
      </c>
      <c r="P2179" s="19"/>
      <c r="Q2179" s="19"/>
      <c r="R2179" s="19"/>
      <c r="S2179" s="19"/>
      <c r="T2179" s="19"/>
      <c r="U2179" s="19"/>
      <c r="V2179" s="19"/>
      <c r="W2179" s="19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</row>
    <row r="2180" spans="1:36" ht="11.25" customHeight="1" x14ac:dyDescent="0.2">
      <c r="A2180" s="55" t="s">
        <v>21</v>
      </c>
      <c r="B2180" s="55" t="s">
        <v>37</v>
      </c>
      <c r="C2180" s="55" t="s">
        <v>23</v>
      </c>
      <c r="D2180" s="55" t="s">
        <v>50</v>
      </c>
      <c r="E2180" s="55" t="s">
        <v>51</v>
      </c>
      <c r="F2180" s="55" t="s">
        <v>25</v>
      </c>
      <c r="G2180" s="55" t="s">
        <v>25</v>
      </c>
      <c r="H2180" s="55" t="s">
        <v>25</v>
      </c>
      <c r="I2180" s="63">
        <v>44531</v>
      </c>
      <c r="J2180" s="64">
        <f>EFEITO!$J$2180*EFEITO!$Y$2175</f>
        <v>0</v>
      </c>
      <c r="K2180" s="64">
        <f ca="1">EFEITO!$L$2180*EFEITO!$Z$2175</f>
        <v>947548.86721641477</v>
      </c>
      <c r="L2180" s="64">
        <f>EFEITO!$N$2180*EFEITO!$AA$2175</f>
        <v>644269.18464512017</v>
      </c>
      <c r="M2180" s="64">
        <f>$J$2180-EFEITO!$K$2180*EFEITO!$Y$2180</f>
        <v>0</v>
      </c>
      <c r="N2180" s="64">
        <f ca="1">$K$2180-EFEITO!$M$2180*EFEITO!$Z$2180</f>
        <v>28426.466016492457</v>
      </c>
      <c r="O2180" s="64">
        <f>$L$2180-EFEITO!$O$2180*EFEITO!$AA$2180</f>
        <v>19328.075539353536</v>
      </c>
      <c r="P2180" s="19"/>
      <c r="Q2180" s="19"/>
      <c r="R2180" s="19"/>
      <c r="S2180" s="19"/>
      <c r="T2180" s="19"/>
      <c r="U2180" s="19"/>
      <c r="V2180" s="19"/>
      <c r="W2180" s="19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</row>
    <row r="2181" spans="1:36" ht="11.25" customHeight="1" x14ac:dyDescent="0.2">
      <c r="A2181" s="55" t="s">
        <v>21</v>
      </c>
      <c r="B2181" s="55" t="s">
        <v>37</v>
      </c>
      <c r="C2181" s="55" t="s">
        <v>23</v>
      </c>
      <c r="D2181" s="55" t="s">
        <v>50</v>
      </c>
      <c r="E2181" s="55" t="s">
        <v>51</v>
      </c>
      <c r="F2181" s="55" t="s">
        <v>25</v>
      </c>
      <c r="G2181" s="55" t="s">
        <v>25</v>
      </c>
      <c r="H2181" s="55" t="s">
        <v>25</v>
      </c>
      <c r="I2181" s="63">
        <v>44562</v>
      </c>
      <c r="J2181" s="64">
        <f>EFEITO!$J$2181*EFEITO!$Y$2175</f>
        <v>0</v>
      </c>
      <c r="K2181" s="64">
        <f ca="1">EFEITO!$L$2181*EFEITO!$Z$2175</f>
        <v>848458.35141152423</v>
      </c>
      <c r="L2181" s="64">
        <f>EFEITO!$N$2181*EFEITO!$AA$2175</f>
        <v>576894.33145023964</v>
      </c>
      <c r="M2181" s="64">
        <f>$J$2181-EFEITO!$K$2181*EFEITO!$Y$2181</f>
        <v>0</v>
      </c>
      <c r="N2181" s="64">
        <f ca="1">$K$2181-EFEITO!$M$2181*EFEITO!$Z$2181</f>
        <v>25453.750542345806</v>
      </c>
      <c r="O2181" s="64">
        <f>$L$2181-EFEITO!$O$2181*EFEITO!$AA$2181</f>
        <v>17306.829943507095</v>
      </c>
      <c r="P2181" s="19"/>
      <c r="Q2181" s="19"/>
      <c r="R2181" s="19"/>
      <c r="S2181" s="19"/>
      <c r="T2181" s="19"/>
      <c r="U2181" s="19"/>
      <c r="V2181" s="19"/>
      <c r="W2181" s="19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</row>
    <row r="2182" spans="1:36" ht="11.25" customHeight="1" x14ac:dyDescent="0.2">
      <c r="A2182" s="55" t="s">
        <v>27</v>
      </c>
      <c r="B2182" s="55" t="s">
        <v>37</v>
      </c>
      <c r="C2182" s="55" t="s">
        <v>23</v>
      </c>
      <c r="D2182" s="55" t="s">
        <v>50</v>
      </c>
      <c r="E2182" s="55" t="s">
        <v>51</v>
      </c>
      <c r="F2182" s="55" t="s">
        <v>25</v>
      </c>
      <c r="G2182" s="55" t="s">
        <v>25</v>
      </c>
      <c r="H2182" s="55" t="s">
        <v>25</v>
      </c>
      <c r="I2182" s="63">
        <v>44562</v>
      </c>
      <c r="J2182" s="64">
        <f>EFEITO!$J$2182*EFEITO!$Y$2175</f>
        <v>0</v>
      </c>
      <c r="K2182" s="64">
        <f ca="1">EFEITO!$L$2182*EFEITO!$Z$2175</f>
        <v>-17115.854997954179</v>
      </c>
      <c r="L2182" s="64">
        <f>EFEITO!$N$2182*EFEITO!$AA$2175</f>
        <v>-11637.624533740791</v>
      </c>
      <c r="M2182" s="64">
        <f>$J$2182-EFEITO!$K$2182*EFEITO!$Y$2182</f>
        <v>0</v>
      </c>
      <c r="N2182" s="64">
        <f ca="1">$K$2182-EFEITO!$M$2182*EFEITO!$Z$2182</f>
        <v>-513.47564993862761</v>
      </c>
      <c r="O2182" s="64">
        <f>$L$2182-EFEITO!$O$2182*EFEITO!$AA$2182</f>
        <v>-349.12873601222418</v>
      </c>
      <c r="P2182" s="19"/>
      <c r="Q2182" s="19"/>
      <c r="R2182" s="19"/>
      <c r="S2182" s="19"/>
      <c r="T2182" s="19"/>
      <c r="U2182" s="19"/>
      <c r="V2182" s="19"/>
      <c r="W2182" s="19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</row>
    <row r="2183" spans="1:36" ht="11.25" customHeight="1" x14ac:dyDescent="0.2">
      <c r="A2183" s="55" t="s">
        <v>21</v>
      </c>
      <c r="B2183" s="55" t="s">
        <v>37</v>
      </c>
      <c r="C2183" s="55" t="s">
        <v>23</v>
      </c>
      <c r="D2183" s="55" t="s">
        <v>50</v>
      </c>
      <c r="E2183" s="55" t="s">
        <v>51</v>
      </c>
      <c r="F2183" s="55" t="s">
        <v>25</v>
      </c>
      <c r="G2183" s="55" t="s">
        <v>25</v>
      </c>
      <c r="H2183" s="55" t="s">
        <v>25</v>
      </c>
      <c r="I2183" s="63">
        <v>44593</v>
      </c>
      <c r="J2183" s="64">
        <f>EFEITO!$J$2183*EFEITO!$Y$2175</f>
        <v>0</v>
      </c>
      <c r="K2183" s="64">
        <f ca="1">EFEITO!$L$2183*EFEITO!$Z$2175</f>
        <v>804644.88652062381</v>
      </c>
      <c r="L2183" s="64">
        <f>EFEITO!$N$2183*EFEITO!$AA$2175</f>
        <v>547104.13668734417</v>
      </c>
      <c r="M2183" s="64">
        <f>$J$2183-EFEITO!$K$2183*EFEITO!$Y$2183</f>
        <v>0</v>
      </c>
      <c r="N2183" s="64">
        <f ca="1">$K$2183-EFEITO!$M$2183*EFEITO!$Z$2183</f>
        <v>24139.346595618757</v>
      </c>
      <c r="O2183" s="64">
        <f>$L$2183-EFEITO!$O$2183*EFEITO!$AA$2183</f>
        <v>16413.124100620276</v>
      </c>
      <c r="P2183" s="19"/>
      <c r="Q2183" s="19"/>
      <c r="R2183" s="19"/>
      <c r="S2183" s="19"/>
      <c r="T2183" s="19"/>
      <c r="U2183" s="19"/>
      <c r="V2183" s="19"/>
      <c r="W2183" s="19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</row>
    <row r="2184" spans="1:36" ht="11.25" customHeight="1" x14ac:dyDescent="0.2">
      <c r="A2184" s="55" t="s">
        <v>21</v>
      </c>
      <c r="B2184" s="55" t="s">
        <v>37</v>
      </c>
      <c r="C2184" s="55" t="s">
        <v>23</v>
      </c>
      <c r="D2184" s="55" t="s">
        <v>50</v>
      </c>
      <c r="E2184" s="55" t="s">
        <v>51</v>
      </c>
      <c r="F2184" s="55" t="s">
        <v>25</v>
      </c>
      <c r="G2184" s="55" t="s">
        <v>25</v>
      </c>
      <c r="H2184" s="55" t="s">
        <v>25</v>
      </c>
      <c r="I2184" s="63">
        <v>44621</v>
      </c>
      <c r="J2184" s="64">
        <f>EFEITO!$J$2184*EFEITO!$Y$2175</f>
        <v>0</v>
      </c>
      <c r="K2184" s="64">
        <f ca="1">EFEITO!$L$2184*EFEITO!$Z$2175</f>
        <v>861710.336734863</v>
      </c>
      <c r="L2184" s="64">
        <f>EFEITO!$N$2184*EFEITO!$AA$2175</f>
        <v>585904.785765148</v>
      </c>
      <c r="M2184" s="64">
        <f>$J$2184-EFEITO!$K$2184*EFEITO!$Y$2184</f>
        <v>0</v>
      </c>
      <c r="N2184" s="64">
        <f ca="1">$K$2184-EFEITO!$M$2184*EFEITO!$Z$2184</f>
        <v>25851.310102045885</v>
      </c>
      <c r="O2184" s="64">
        <f>$L$2184-EFEITO!$O$2184*EFEITO!$AA$2184</f>
        <v>17577.143572954461</v>
      </c>
      <c r="P2184" s="19"/>
      <c r="Q2184" s="19"/>
      <c r="R2184" s="19"/>
      <c r="S2184" s="19"/>
      <c r="T2184" s="19"/>
      <c r="U2184" s="19"/>
      <c r="V2184" s="19"/>
      <c r="W2184" s="19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</row>
    <row r="2185" spans="1:36" ht="11.25" customHeight="1" x14ac:dyDescent="0.2">
      <c r="A2185" s="55" t="s">
        <v>21</v>
      </c>
      <c r="B2185" s="55" t="s">
        <v>37</v>
      </c>
      <c r="C2185" s="55" t="s">
        <v>23</v>
      </c>
      <c r="D2185" s="55" t="s">
        <v>50</v>
      </c>
      <c r="E2185" s="55" t="s">
        <v>51</v>
      </c>
      <c r="F2185" s="55" t="s">
        <v>25</v>
      </c>
      <c r="G2185" s="55" t="s">
        <v>25</v>
      </c>
      <c r="H2185" s="55" t="s">
        <v>25</v>
      </c>
      <c r="I2185" s="63">
        <v>44652</v>
      </c>
      <c r="J2185" s="64">
        <f>EFEITO!$J$2185*EFEITO!$Y$2175</f>
        <v>0</v>
      </c>
      <c r="K2185" s="64">
        <f ca="1">EFEITO!$L$2185*EFEITO!$Z$2175</f>
        <v>834171.84039127151</v>
      </c>
      <c r="L2185" s="64">
        <f>EFEITO!$N$2185*EFEITO!$AA$2175</f>
        <v>567180.46958527749</v>
      </c>
      <c r="M2185" s="64">
        <f>$J$2185-EFEITO!$K$2185*EFEITO!$Y$2185</f>
        <v>0</v>
      </c>
      <c r="N2185" s="64">
        <f ca="1">$K$2185-EFEITO!$M$2185*EFEITO!$Z$2185</f>
        <v>25025.155211738194</v>
      </c>
      <c r="O2185" s="64">
        <f>$L$2185-EFEITO!$O$2185*EFEITO!$AA$2185</f>
        <v>17015.414087558398</v>
      </c>
      <c r="P2185" s="19"/>
      <c r="Q2185" s="19"/>
      <c r="R2185" s="19"/>
      <c r="S2185" s="19"/>
      <c r="T2185" s="19"/>
      <c r="U2185" s="19"/>
      <c r="V2185" s="19"/>
      <c r="W2185" s="19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</row>
    <row r="2186" spans="1:36" ht="11.25" customHeight="1" x14ac:dyDescent="0.2">
      <c r="A2186" s="55" t="s">
        <v>21</v>
      </c>
      <c r="B2186" s="55" t="s">
        <v>37</v>
      </c>
      <c r="C2186" s="55" t="s">
        <v>23</v>
      </c>
      <c r="D2186" s="55" t="s">
        <v>50</v>
      </c>
      <c r="E2186" s="55" t="s">
        <v>51</v>
      </c>
      <c r="F2186" s="55" t="s">
        <v>25</v>
      </c>
      <c r="G2186" s="55" t="s">
        <v>25</v>
      </c>
      <c r="H2186" s="55" t="s">
        <v>25</v>
      </c>
      <c r="I2186" s="63">
        <v>44682</v>
      </c>
      <c r="J2186" s="64">
        <f>EFEITO!$J$2186*EFEITO!$Y$2175</f>
        <v>0</v>
      </c>
      <c r="K2186" s="64">
        <f ca="1">EFEITO!$L$2186*EFEITO!$Z$2175</f>
        <v>851069.45005089033</v>
      </c>
      <c r="L2186" s="64">
        <f>EFEITO!$N$2186*EFEITO!$AA$2175</f>
        <v>578669.70204020652</v>
      </c>
      <c r="M2186" s="64">
        <f>$J$2186-EFEITO!$K$2186*EFEITO!$Y$2186</f>
        <v>0</v>
      </c>
      <c r="N2186" s="64">
        <f ca="1">$K$2186-EFEITO!$M$2186*EFEITO!$Z$2186</f>
        <v>25532.083501526737</v>
      </c>
      <c r="O2186" s="64">
        <f>$L$2186-EFEITO!$O$2186*EFEITO!$AA$2186</f>
        <v>17360.091061206185</v>
      </c>
      <c r="P2186" s="19"/>
      <c r="Q2186" s="19"/>
      <c r="R2186" s="19"/>
      <c r="S2186" s="19"/>
      <c r="T2186" s="19"/>
      <c r="U2186" s="19"/>
      <c r="V2186" s="19"/>
      <c r="W2186" s="19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</row>
    <row r="2187" spans="1:36" ht="11.25" customHeight="1" x14ac:dyDescent="0.2">
      <c r="A2187" s="55" t="s">
        <v>21</v>
      </c>
      <c r="B2187" s="55" t="s">
        <v>37</v>
      </c>
      <c r="C2187" s="55" t="s">
        <v>23</v>
      </c>
      <c r="D2187" s="55" t="s">
        <v>50</v>
      </c>
      <c r="E2187" s="55" t="s">
        <v>51</v>
      </c>
      <c r="F2187" s="55" t="s">
        <v>25</v>
      </c>
      <c r="G2187" s="55" t="s">
        <v>25</v>
      </c>
      <c r="H2187" s="55" t="s">
        <v>25</v>
      </c>
      <c r="I2187" s="63">
        <v>44713</v>
      </c>
      <c r="J2187" s="64">
        <f>EFEITO!$J$2187*EFEITO!$Y$2175</f>
        <v>0</v>
      </c>
      <c r="K2187" s="64">
        <f ca="1">EFEITO!$L$2187*EFEITO!$Z$2175</f>
        <v>795149.07464285241</v>
      </c>
      <c r="L2187" s="64">
        <f>EFEITO!$N$2187*EFEITO!$AA$2175</f>
        <v>540647.62643473048</v>
      </c>
      <c r="M2187" s="64">
        <f>$J$2187-EFEITO!$K$2187*EFEITO!$Y$2187</f>
        <v>0</v>
      </c>
      <c r="N2187" s="64">
        <f ca="1">$K$2187-EFEITO!$M$2187*EFEITO!$Z$2187</f>
        <v>23854.472239285591</v>
      </c>
      <c r="O2187" s="64">
        <f>$L$2187-EFEITO!$O$2187*EFEITO!$AA$2187</f>
        <v>16219.42879304185</v>
      </c>
      <c r="P2187" s="19"/>
      <c r="Q2187" s="19"/>
      <c r="R2187" s="19"/>
      <c r="S2187" s="19"/>
      <c r="T2187" s="19"/>
      <c r="U2187" s="19"/>
      <c r="V2187" s="19"/>
      <c r="W2187" s="19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</row>
    <row r="2188" spans="1:36" ht="11.25" customHeight="1" x14ac:dyDescent="0.2">
      <c r="A2188" s="55" t="s">
        <v>57</v>
      </c>
      <c r="B2188" s="55" t="s">
        <v>37</v>
      </c>
      <c r="C2188" s="55" t="s">
        <v>23</v>
      </c>
      <c r="D2188" s="55" t="s">
        <v>50</v>
      </c>
      <c r="E2188" s="55" t="s">
        <v>51</v>
      </c>
      <c r="F2188" s="55" t="s">
        <v>25</v>
      </c>
      <c r="G2188" s="55" t="s">
        <v>25</v>
      </c>
      <c r="H2188" s="55" t="s">
        <v>25</v>
      </c>
      <c r="I2188" s="63">
        <v>44743</v>
      </c>
      <c r="J2188" s="64">
        <f>EFEITO!$J$2188*EFEITO!$Y$2175</f>
        <v>0</v>
      </c>
      <c r="K2188" s="64">
        <f ca="1">EFEITO!$L$2188*EFEITO!$Z$2175</f>
        <v>795149.07464285241</v>
      </c>
      <c r="L2188" s="64">
        <f>EFEITO!$N$2188*EFEITO!$AA$2175</f>
        <v>540647.62643473048</v>
      </c>
      <c r="M2188" s="64">
        <f>$J$2188-EFEITO!$K$2188*EFEITO!$Y$2188</f>
        <v>0</v>
      </c>
      <c r="N2188" s="64">
        <f ca="1">$K$2188-EFEITO!$M$2188*EFEITO!$Z$2188</f>
        <v>23854.472239285591</v>
      </c>
      <c r="O2188" s="64">
        <f>$L$2188-EFEITO!$O$2188*EFEITO!$AA$2188</f>
        <v>16219.42879304185</v>
      </c>
      <c r="P2188" s="19"/>
      <c r="Q2188" s="19"/>
      <c r="R2188" s="19"/>
      <c r="S2188" s="19"/>
      <c r="T2188" s="19"/>
      <c r="U2188" s="19"/>
      <c r="V2188" s="19"/>
      <c r="W2188" s="19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</row>
    <row r="2189" spans="1:36" ht="11.25" customHeight="1" x14ac:dyDescent="0.2">
      <c r="A2189" s="55" t="s">
        <v>21</v>
      </c>
      <c r="B2189" s="55" t="s">
        <v>47</v>
      </c>
      <c r="C2189" s="55" t="s">
        <v>23</v>
      </c>
      <c r="D2189" s="55" t="s">
        <v>48</v>
      </c>
      <c r="E2189" s="55" t="s">
        <v>49</v>
      </c>
      <c r="F2189" s="55" t="s">
        <v>25</v>
      </c>
      <c r="G2189" s="55" t="s">
        <v>25</v>
      </c>
      <c r="H2189" s="55" t="s">
        <v>25</v>
      </c>
      <c r="I2189" s="63">
        <v>44409</v>
      </c>
      <c r="J2189" s="64">
        <f>EFEITO!$J$2189*EFEITO!$Y$2189</f>
        <v>0</v>
      </c>
      <c r="K2189" s="64">
        <f ca="1">EFEITO!$L$2189*EFEITO!$Z$2189</f>
        <v>4351430.9907612344</v>
      </c>
      <c r="L2189" s="64">
        <f>EFEITO!$N$2189*EFEITO!$AA$2189</f>
        <v>2958678.9594218852</v>
      </c>
      <c r="M2189" s="64">
        <f>$J$2189-EFEITO!$K$2189*EFEITO!$Y$2189</f>
        <v>0</v>
      </c>
      <c r="N2189" s="64">
        <f ca="1">$K$2189-EFEITO!$M$2189*EFEITO!$Z$2189</f>
        <v>0</v>
      </c>
      <c r="O2189" s="64">
        <f>$L$2189-EFEITO!$O$2189*EFEITO!$AA$2189</f>
        <v>0</v>
      </c>
      <c r="P2189" s="19"/>
      <c r="Q2189" s="19"/>
      <c r="R2189" s="19"/>
      <c r="S2189" s="19"/>
      <c r="T2189" s="19"/>
      <c r="U2189" s="19"/>
      <c r="V2189" s="19"/>
      <c r="W2189" s="19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</row>
    <row r="2190" spans="1:36" ht="11.25" customHeight="1" x14ac:dyDescent="0.2">
      <c r="A2190" s="55" t="s">
        <v>27</v>
      </c>
      <c r="B2190" s="55" t="s">
        <v>47</v>
      </c>
      <c r="C2190" s="55" t="s">
        <v>23</v>
      </c>
      <c r="D2190" s="55" t="s">
        <v>48</v>
      </c>
      <c r="E2190" s="55" t="s">
        <v>49</v>
      </c>
      <c r="F2190" s="55" t="s">
        <v>25</v>
      </c>
      <c r="G2190" s="55" t="s">
        <v>25</v>
      </c>
      <c r="H2190" s="55" t="s">
        <v>25</v>
      </c>
      <c r="I2190" s="63">
        <v>44409</v>
      </c>
      <c r="J2190" s="64">
        <f>EFEITO!$J$2190*EFEITO!$Y$2190</f>
        <v>0</v>
      </c>
      <c r="K2190" s="64">
        <f ca="1">EFEITO!$L$2190*EFEITO!$Z$2190</f>
        <v>-340059.36619840458</v>
      </c>
      <c r="L2190" s="64">
        <f>EFEITO!$N$2190*EFEITO!$AA$2190</f>
        <v>-231217.38431833684</v>
      </c>
      <c r="M2190" s="64">
        <f>$J$2190-EFEITO!$K$2190*EFEITO!$Y$2190</f>
        <v>0</v>
      </c>
      <c r="N2190" s="64">
        <f ca="1">$K$2190-EFEITO!$M$2190*EFEITO!$Z$2190</f>
        <v>0</v>
      </c>
      <c r="O2190" s="64">
        <f>$L$2190-EFEITO!$O$2190*EFEITO!$AA$2190</f>
        <v>0</v>
      </c>
      <c r="P2190" s="19"/>
      <c r="Q2190" s="19"/>
      <c r="R2190" s="19"/>
      <c r="S2190" s="19"/>
      <c r="T2190" s="19"/>
      <c r="U2190" s="19"/>
      <c r="V2190" s="19"/>
      <c r="W2190" s="19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</row>
    <row r="2191" spans="1:36" ht="11.25" customHeight="1" x14ac:dyDescent="0.2">
      <c r="A2191" s="55" t="s">
        <v>21</v>
      </c>
      <c r="B2191" s="55" t="s">
        <v>47</v>
      </c>
      <c r="C2191" s="55" t="s">
        <v>23</v>
      </c>
      <c r="D2191" s="55" t="s">
        <v>48</v>
      </c>
      <c r="E2191" s="55" t="s">
        <v>49</v>
      </c>
      <c r="F2191" s="55" t="s">
        <v>25</v>
      </c>
      <c r="G2191" s="55" t="s">
        <v>25</v>
      </c>
      <c r="H2191" s="55" t="s">
        <v>25</v>
      </c>
      <c r="I2191" s="63">
        <v>44440</v>
      </c>
      <c r="J2191" s="64">
        <f>EFEITO!$J$2191*EFEITO!$Y$2191</f>
        <v>0</v>
      </c>
      <c r="K2191" s="64">
        <f ca="1">EFEITO!$L$2191*EFEITO!$Z$2191</f>
        <v>4303252.4586291118</v>
      </c>
      <c r="L2191" s="64">
        <f>EFEITO!$N$2191*EFEITO!$AA$2191</f>
        <v>2925920.8139709318</v>
      </c>
      <c r="M2191" s="64">
        <f>$J$2191-EFEITO!$K$2191*EFEITO!$Y$2191</f>
        <v>0</v>
      </c>
      <c r="N2191" s="64">
        <f ca="1">$K$2191-EFEITO!$M$2191*EFEITO!$Z$2191</f>
        <v>0</v>
      </c>
      <c r="O2191" s="64">
        <f>$L$2191-EFEITO!$O$2191*EFEITO!$AA$2191</f>
        <v>0</v>
      </c>
      <c r="P2191" s="19"/>
      <c r="Q2191" s="19"/>
      <c r="R2191" s="19"/>
      <c r="S2191" s="19"/>
      <c r="T2191" s="19"/>
      <c r="U2191" s="19"/>
      <c r="V2191" s="19"/>
      <c r="W2191" s="19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</row>
    <row r="2192" spans="1:36" ht="11.25" customHeight="1" x14ac:dyDescent="0.2">
      <c r="A2192" s="55" t="s">
        <v>27</v>
      </c>
      <c r="B2192" s="55" t="s">
        <v>47</v>
      </c>
      <c r="C2192" s="55" t="s">
        <v>23</v>
      </c>
      <c r="D2192" s="55" t="s">
        <v>48</v>
      </c>
      <c r="E2192" s="55" t="s">
        <v>49</v>
      </c>
      <c r="F2192" s="55" t="s">
        <v>25</v>
      </c>
      <c r="G2192" s="55" t="s">
        <v>25</v>
      </c>
      <c r="H2192" s="55" t="s">
        <v>25</v>
      </c>
      <c r="I2192" s="63">
        <v>44440</v>
      </c>
      <c r="J2192" s="64">
        <f>EFEITO!$J$2192*EFEITO!$Y$2192</f>
        <v>0</v>
      </c>
      <c r="K2192" s="64">
        <f ca="1">EFEITO!$L$2192*EFEITO!$Z$2192</f>
        <v>-153153.59485489165</v>
      </c>
      <c r="L2192" s="64">
        <f>EFEITO!$N$2192*EFEITO!$AA$2192</f>
        <v>-104134.09281201111</v>
      </c>
      <c r="M2192" s="64">
        <f>$J$2192-EFEITO!$K$2192*EFEITO!$Y$2192</f>
        <v>0</v>
      </c>
      <c r="N2192" s="64">
        <f ca="1">$K$2192-EFEITO!$M$2192*EFEITO!$Z$2192</f>
        <v>0</v>
      </c>
      <c r="O2192" s="64">
        <f>$L$2192-EFEITO!$O$2192*EFEITO!$AA$2192</f>
        <v>0</v>
      </c>
      <c r="P2192" s="19"/>
      <c r="Q2192" s="19"/>
      <c r="R2192" s="19"/>
      <c r="S2192" s="19"/>
      <c r="T2192" s="19"/>
      <c r="U2192" s="19"/>
      <c r="V2192" s="19"/>
      <c r="W2192" s="19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</row>
    <row r="2193" spans="1:36" ht="11.25" customHeight="1" x14ac:dyDescent="0.2">
      <c r="A2193" s="55" t="s">
        <v>21</v>
      </c>
      <c r="B2193" s="55" t="s">
        <v>47</v>
      </c>
      <c r="C2193" s="55" t="s">
        <v>23</v>
      </c>
      <c r="D2193" s="55" t="s">
        <v>48</v>
      </c>
      <c r="E2193" s="55" t="s">
        <v>49</v>
      </c>
      <c r="F2193" s="55" t="s">
        <v>25</v>
      </c>
      <c r="G2193" s="55" t="s">
        <v>25</v>
      </c>
      <c r="H2193" s="55" t="s">
        <v>25</v>
      </c>
      <c r="I2193" s="63">
        <v>44470</v>
      </c>
      <c r="J2193" s="64">
        <f>EFEITO!$J$2193*EFEITO!$Y$2193</f>
        <v>0</v>
      </c>
      <c r="K2193" s="64">
        <f ca="1">EFEITO!$L$2193*EFEITO!$Z$2193</f>
        <v>4415244.6617249111</v>
      </c>
      <c r="L2193" s="64">
        <f>EFEITO!$N$2193*EFEITO!$AA$2193</f>
        <v>3002067.9424953992</v>
      </c>
      <c r="M2193" s="64">
        <f>$J$2193-EFEITO!$K$2193*EFEITO!$Y$2193</f>
        <v>0</v>
      </c>
      <c r="N2193" s="64">
        <f ca="1">$K$2193-EFEITO!$M$2193*EFEITO!$Z$2193</f>
        <v>0</v>
      </c>
      <c r="O2193" s="64">
        <f>$L$2193-EFEITO!$O$2193*EFEITO!$AA$2193</f>
        <v>0</v>
      </c>
      <c r="P2193" s="19"/>
      <c r="Q2193" s="19"/>
      <c r="R2193" s="19"/>
      <c r="S2193" s="19"/>
      <c r="T2193" s="19"/>
      <c r="U2193" s="19"/>
      <c r="V2193" s="19"/>
      <c r="W2193" s="19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</row>
    <row r="2194" spans="1:36" ht="11.25" customHeight="1" x14ac:dyDescent="0.2">
      <c r="A2194" s="55" t="s">
        <v>27</v>
      </c>
      <c r="B2194" s="55" t="s">
        <v>47</v>
      </c>
      <c r="C2194" s="55" t="s">
        <v>23</v>
      </c>
      <c r="D2194" s="55" t="s">
        <v>48</v>
      </c>
      <c r="E2194" s="55" t="s">
        <v>49</v>
      </c>
      <c r="F2194" s="55" t="s">
        <v>25</v>
      </c>
      <c r="G2194" s="55" t="s">
        <v>25</v>
      </c>
      <c r="H2194" s="55" t="s">
        <v>25</v>
      </c>
      <c r="I2194" s="63">
        <v>44470</v>
      </c>
      <c r="J2194" s="64">
        <f>EFEITO!$J$2194*EFEITO!$Y$2194</f>
        <v>0</v>
      </c>
      <c r="K2194" s="64">
        <f ca="1">EFEITO!$L$2194*EFEITO!$Z$2194</f>
        <v>-241015.83376496116</v>
      </c>
      <c r="L2194" s="64">
        <f>EFEITO!$N$2194*EFEITO!$AA$2194</f>
        <v>-163874.47664042274</v>
      </c>
      <c r="M2194" s="64">
        <f>$J$2194-EFEITO!$K$2194*EFEITO!$Y$2194</f>
        <v>0</v>
      </c>
      <c r="N2194" s="64">
        <f ca="1">$K$2194-EFEITO!$M$2194*EFEITO!$Z$2194</f>
        <v>0</v>
      </c>
      <c r="O2194" s="64">
        <f>$L$2194-EFEITO!$O$2194*EFEITO!$AA$2194</f>
        <v>0</v>
      </c>
      <c r="P2194" s="19"/>
      <c r="Q2194" s="19"/>
      <c r="R2194" s="19"/>
      <c r="S2194" s="19"/>
      <c r="T2194" s="19"/>
      <c r="U2194" s="19"/>
      <c r="V2194" s="19"/>
      <c r="W2194" s="19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</row>
    <row r="2195" spans="1:36" ht="11.25" customHeight="1" x14ac:dyDescent="0.2">
      <c r="A2195" s="55" t="s">
        <v>21</v>
      </c>
      <c r="B2195" s="55" t="s">
        <v>47</v>
      </c>
      <c r="C2195" s="55" t="s">
        <v>23</v>
      </c>
      <c r="D2195" s="55" t="s">
        <v>48</v>
      </c>
      <c r="E2195" s="55" t="s">
        <v>49</v>
      </c>
      <c r="F2195" s="55" t="s">
        <v>25</v>
      </c>
      <c r="G2195" s="55" t="s">
        <v>25</v>
      </c>
      <c r="H2195" s="55" t="s">
        <v>25</v>
      </c>
      <c r="I2195" s="63">
        <v>44501</v>
      </c>
      <c r="J2195" s="64">
        <f>EFEITO!$J$2195*EFEITO!$Y$2195</f>
        <v>0</v>
      </c>
      <c r="K2195" s="64">
        <f ca="1">EFEITO!$L$2195*EFEITO!$Z$2195</f>
        <v>4041717.9078078112</v>
      </c>
      <c r="L2195" s="64">
        <f>EFEITO!$N$2195*EFEITO!$AA$2195</f>
        <v>2748094.9965973538</v>
      </c>
      <c r="M2195" s="64">
        <f>$J$2195-EFEITO!$K$2195*EFEITO!$Y$2195</f>
        <v>0</v>
      </c>
      <c r="N2195" s="64">
        <f ca="1">$K$2195-EFEITO!$M$2195*EFEITO!$Z$2195</f>
        <v>0</v>
      </c>
      <c r="O2195" s="64">
        <f>$L$2195-EFEITO!$O$2195*EFEITO!$AA$2195</f>
        <v>0</v>
      </c>
      <c r="P2195" s="19"/>
      <c r="Q2195" s="19"/>
      <c r="R2195" s="19"/>
      <c r="S2195" s="19"/>
      <c r="T2195" s="19"/>
      <c r="U2195" s="19"/>
      <c r="V2195" s="19"/>
      <c r="W2195" s="19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</row>
    <row r="2196" spans="1:36" ht="11.25" customHeight="1" x14ac:dyDescent="0.2">
      <c r="A2196" s="55" t="s">
        <v>27</v>
      </c>
      <c r="B2196" s="55" t="s">
        <v>47</v>
      </c>
      <c r="C2196" s="55" t="s">
        <v>23</v>
      </c>
      <c r="D2196" s="55" t="s">
        <v>48</v>
      </c>
      <c r="E2196" s="55" t="s">
        <v>49</v>
      </c>
      <c r="F2196" s="55" t="s">
        <v>25</v>
      </c>
      <c r="G2196" s="55" t="s">
        <v>25</v>
      </c>
      <c r="H2196" s="55" t="s">
        <v>25</v>
      </c>
      <c r="I2196" s="63">
        <v>44501</v>
      </c>
      <c r="J2196" s="64">
        <f>EFEITO!$J$2196*EFEITO!$Y$2196</f>
        <v>0</v>
      </c>
      <c r="K2196" s="64">
        <f ca="1">EFEITO!$L$2196*EFEITO!$Z$2196</f>
        <v>1151.3154817254576</v>
      </c>
      <c r="L2196" s="64">
        <f>EFEITO!$N$2196*EFEITO!$AA$2196</f>
        <v>782.81670987545101</v>
      </c>
      <c r="M2196" s="64">
        <f>$J$2196-EFEITO!$K$2196*EFEITO!$Y$2196</f>
        <v>0</v>
      </c>
      <c r="N2196" s="64">
        <f ca="1">$K$2196-EFEITO!$M$2196*EFEITO!$Z$2196</f>
        <v>0</v>
      </c>
      <c r="O2196" s="64">
        <f>$L$2196-EFEITO!$O$2196*EFEITO!$AA$2196</f>
        <v>0</v>
      </c>
      <c r="P2196" s="19"/>
      <c r="Q2196" s="19"/>
      <c r="R2196" s="19"/>
      <c r="S2196" s="19"/>
      <c r="T2196" s="19"/>
      <c r="U2196" s="19"/>
      <c r="V2196" s="19"/>
      <c r="W2196" s="19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</row>
    <row r="2197" spans="1:36" ht="11.25" customHeight="1" x14ac:dyDescent="0.2">
      <c r="A2197" s="55" t="s">
        <v>28</v>
      </c>
      <c r="B2197" s="55" t="s">
        <v>47</v>
      </c>
      <c r="C2197" s="55" t="s">
        <v>23</v>
      </c>
      <c r="D2197" s="55" t="s">
        <v>48</v>
      </c>
      <c r="E2197" s="55" t="s">
        <v>49</v>
      </c>
      <c r="F2197" s="55" t="s">
        <v>25</v>
      </c>
      <c r="G2197" s="55" t="s">
        <v>25</v>
      </c>
      <c r="H2197" s="55" t="s">
        <v>25</v>
      </c>
      <c r="I2197" s="63">
        <v>44501</v>
      </c>
      <c r="J2197" s="64">
        <f>EFEITO!$J$2197*EFEITO!$Y$2197</f>
        <v>0</v>
      </c>
      <c r="K2197" s="64">
        <f ca="1">EFEITO!$L$2197*EFEITO!$Z$2197</f>
        <v>4448.5496492359634</v>
      </c>
      <c r="L2197" s="64">
        <f>EFEITO!$N$2197*EFEITO!$AA$2197</f>
        <v>3024.7130829105799</v>
      </c>
      <c r="M2197" s="64">
        <f>$J$2197-EFEITO!$K$2197*EFEITO!$Y$2197</f>
        <v>0</v>
      </c>
      <c r="N2197" s="64">
        <f ca="1">$K$2197-EFEITO!$M$2197*EFEITO!$Z$2197</f>
        <v>0</v>
      </c>
      <c r="O2197" s="64">
        <f>$L$2197-EFEITO!$O$2197*EFEITO!$AA$2197</f>
        <v>0</v>
      </c>
      <c r="P2197" s="19"/>
      <c r="Q2197" s="19"/>
      <c r="R2197" s="19"/>
      <c r="S2197" s="19"/>
      <c r="T2197" s="19"/>
      <c r="U2197" s="19"/>
      <c r="V2197" s="19"/>
      <c r="W2197" s="19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</row>
    <row r="2198" spans="1:36" ht="11.25" customHeight="1" x14ac:dyDescent="0.2">
      <c r="A2198" s="55" t="s">
        <v>21</v>
      </c>
      <c r="B2198" s="55" t="s">
        <v>47</v>
      </c>
      <c r="C2198" s="55" t="s">
        <v>23</v>
      </c>
      <c r="D2198" s="55" t="s">
        <v>48</v>
      </c>
      <c r="E2198" s="55" t="s">
        <v>49</v>
      </c>
      <c r="F2198" s="55" t="s">
        <v>25</v>
      </c>
      <c r="G2198" s="55" t="s">
        <v>25</v>
      </c>
      <c r="H2198" s="55" t="s">
        <v>25</v>
      </c>
      <c r="I2198" s="63">
        <v>44531</v>
      </c>
      <c r="J2198" s="64">
        <f>EFEITO!$J$2198*EFEITO!$Y$2198</f>
        <v>0</v>
      </c>
      <c r="K2198" s="64">
        <f ca="1">EFEITO!$L$2198*EFEITO!$Z$2198</f>
        <v>4574430.2082535652</v>
      </c>
      <c r="L2198" s="64">
        <f>EFEITO!$N$2198*EFEITO!$AA$2198</f>
        <v>3110303.3547444646</v>
      </c>
      <c r="M2198" s="64">
        <f>$J$2198-EFEITO!$K$2198*EFEITO!$Y$2198</f>
        <v>0</v>
      </c>
      <c r="N2198" s="64">
        <f ca="1">$K$2198-EFEITO!$M$2198*EFEITO!$Z$2198</f>
        <v>0</v>
      </c>
      <c r="O2198" s="64">
        <f>$L$2198-EFEITO!$O$2198*EFEITO!$AA$2198</f>
        <v>0</v>
      </c>
      <c r="P2198" s="19"/>
      <c r="Q2198" s="19"/>
      <c r="R2198" s="19"/>
      <c r="S2198" s="19"/>
      <c r="T2198" s="19"/>
      <c r="U2198" s="19"/>
      <c r="V2198" s="19"/>
      <c r="W2198" s="19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</row>
    <row r="2199" spans="1:36" ht="11.25" customHeight="1" x14ac:dyDescent="0.2">
      <c r="A2199" s="55" t="s">
        <v>27</v>
      </c>
      <c r="B2199" s="55" t="s">
        <v>47</v>
      </c>
      <c r="C2199" s="55" t="s">
        <v>23</v>
      </c>
      <c r="D2199" s="55" t="s">
        <v>48</v>
      </c>
      <c r="E2199" s="55" t="s">
        <v>49</v>
      </c>
      <c r="F2199" s="55" t="s">
        <v>25</v>
      </c>
      <c r="G2199" s="55" t="s">
        <v>25</v>
      </c>
      <c r="H2199" s="55" t="s">
        <v>25</v>
      </c>
      <c r="I2199" s="63">
        <v>44531</v>
      </c>
      <c r="J2199" s="64">
        <f>EFEITO!$J$2199*EFEITO!$Y$2199</f>
        <v>0</v>
      </c>
      <c r="K2199" s="64">
        <f ca="1">EFEITO!$L$2199*EFEITO!$Z$2199</f>
        <v>-452.28850099810995</v>
      </c>
      <c r="L2199" s="64">
        <f>EFEITO!$N$2199*EFEITO!$AA$2199</f>
        <v>-307.52561038718738</v>
      </c>
      <c r="M2199" s="64">
        <f>$J$2199-EFEITO!$K$2199*EFEITO!$Y$2199</f>
        <v>0</v>
      </c>
      <c r="N2199" s="64">
        <f ca="1">$K$2199-EFEITO!$M$2199*EFEITO!$Z$2199</f>
        <v>0</v>
      </c>
      <c r="O2199" s="64">
        <f>$L$2199-EFEITO!$O$2199*EFEITO!$AA$2199</f>
        <v>0</v>
      </c>
      <c r="P2199" s="19"/>
      <c r="Q2199" s="19"/>
      <c r="R2199" s="19"/>
      <c r="S2199" s="19"/>
      <c r="T2199" s="19"/>
      <c r="U2199" s="19"/>
      <c r="V2199" s="19"/>
      <c r="W2199" s="19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</row>
    <row r="2200" spans="1:36" ht="11.25" customHeight="1" x14ac:dyDescent="0.2">
      <c r="A2200" s="55" t="s">
        <v>28</v>
      </c>
      <c r="B2200" s="55" t="s">
        <v>47</v>
      </c>
      <c r="C2200" s="55" t="s">
        <v>23</v>
      </c>
      <c r="D2200" s="55" t="s">
        <v>48</v>
      </c>
      <c r="E2200" s="55" t="s">
        <v>49</v>
      </c>
      <c r="F2200" s="55" t="s">
        <v>25</v>
      </c>
      <c r="G2200" s="55" t="s">
        <v>25</v>
      </c>
      <c r="H2200" s="55" t="s">
        <v>25</v>
      </c>
      <c r="I2200" s="63">
        <v>44531</v>
      </c>
      <c r="J2200" s="64">
        <f>EFEITO!$J$2200*EFEITO!$Y$2200</f>
        <v>0</v>
      </c>
      <c r="K2200" s="64">
        <f ca="1">EFEITO!$L$2200*EFEITO!$Z$2200</f>
        <v>4596.8280996932799</v>
      </c>
      <c r="L2200" s="64">
        <f>EFEITO!$N$2200*EFEITO!$AA$2200</f>
        <v>3125.5324070444544</v>
      </c>
      <c r="M2200" s="64">
        <f>$J$2200-EFEITO!$K$2200*EFEITO!$Y$2200</f>
        <v>0</v>
      </c>
      <c r="N2200" s="64">
        <f ca="1">$K$2200-EFEITO!$M$2200*EFEITO!$Z$2200</f>
        <v>0</v>
      </c>
      <c r="O2200" s="64">
        <f>$L$2200-EFEITO!$O$2200*EFEITO!$AA$2200</f>
        <v>0</v>
      </c>
      <c r="P2200" s="19"/>
      <c r="Q2200" s="19"/>
      <c r="R2200" s="19"/>
      <c r="S2200" s="19"/>
      <c r="T2200" s="19"/>
      <c r="U2200" s="19"/>
      <c r="V2200" s="19"/>
      <c r="W2200" s="19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</row>
    <row r="2201" spans="1:36" ht="11.25" customHeight="1" x14ac:dyDescent="0.2">
      <c r="A2201" s="55" t="s">
        <v>21</v>
      </c>
      <c r="B2201" s="55" t="s">
        <v>47</v>
      </c>
      <c r="C2201" s="55" t="s">
        <v>23</v>
      </c>
      <c r="D2201" s="55" t="s">
        <v>48</v>
      </c>
      <c r="E2201" s="55" t="s">
        <v>49</v>
      </c>
      <c r="F2201" s="55" t="s">
        <v>25</v>
      </c>
      <c r="G2201" s="55" t="s">
        <v>25</v>
      </c>
      <c r="H2201" s="55" t="s">
        <v>25</v>
      </c>
      <c r="I2201" s="63">
        <v>44562</v>
      </c>
      <c r="J2201" s="64">
        <f>EFEITO!$J$2201*EFEITO!$Y$2201</f>
        <v>0</v>
      </c>
      <c r="K2201" s="64">
        <f ca="1">EFEITO!$L$2201*EFEITO!$Z$2201</f>
        <v>4148070.8225338385</v>
      </c>
      <c r="L2201" s="64">
        <f>EFEITO!$N$2201*EFEITO!$AA$2201</f>
        <v>2820407.7901912699</v>
      </c>
      <c r="M2201" s="64">
        <f>$J$2201-EFEITO!$K$2201*EFEITO!$Y$2201</f>
        <v>0</v>
      </c>
      <c r="N2201" s="64">
        <f ca="1">$K$2201-EFEITO!$M$2201*EFEITO!$Z$2201</f>
        <v>0</v>
      </c>
      <c r="O2201" s="64">
        <f>$L$2201-EFEITO!$O$2201*EFEITO!$AA$2201</f>
        <v>0</v>
      </c>
      <c r="P2201" s="19"/>
      <c r="Q2201" s="19"/>
      <c r="R2201" s="19"/>
      <c r="S2201" s="19"/>
      <c r="T2201" s="19"/>
      <c r="U2201" s="19"/>
      <c r="V2201" s="19"/>
      <c r="W2201" s="19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</row>
    <row r="2202" spans="1:36" ht="11.25" customHeight="1" x14ac:dyDescent="0.2">
      <c r="A2202" s="55" t="s">
        <v>28</v>
      </c>
      <c r="B2202" s="55" t="s">
        <v>47</v>
      </c>
      <c r="C2202" s="55" t="s">
        <v>23</v>
      </c>
      <c r="D2202" s="55" t="s">
        <v>48</v>
      </c>
      <c r="E2202" s="55" t="s">
        <v>49</v>
      </c>
      <c r="F2202" s="55" t="s">
        <v>25</v>
      </c>
      <c r="G2202" s="55" t="s">
        <v>25</v>
      </c>
      <c r="H2202" s="55" t="s">
        <v>25</v>
      </c>
      <c r="I2202" s="63">
        <v>44562</v>
      </c>
      <c r="J2202" s="64">
        <f>EFEITO!$J$2202*EFEITO!$Y$2202</f>
        <v>0</v>
      </c>
      <c r="K2202" s="64">
        <f ca="1">EFEITO!$L$2202*EFEITO!$Z$2202</f>
        <v>4596.8280996932799</v>
      </c>
      <c r="L2202" s="64">
        <f>EFEITO!$N$2202*EFEITO!$AA$2202</f>
        <v>3125.5324070444544</v>
      </c>
      <c r="M2202" s="64">
        <f>$J$2202-EFEITO!$K$2202*EFEITO!$Y$2202</f>
        <v>0</v>
      </c>
      <c r="N2202" s="64">
        <f ca="1">$K$2202-EFEITO!$M$2202*EFEITO!$Z$2202</f>
        <v>0</v>
      </c>
      <c r="O2202" s="64">
        <f>$L$2202-EFEITO!$O$2202*EFEITO!$AA$2202</f>
        <v>0</v>
      </c>
      <c r="P2202" s="19"/>
      <c r="Q2202" s="19"/>
      <c r="R2202" s="19"/>
      <c r="S2202" s="19"/>
      <c r="T2202" s="19"/>
      <c r="U2202" s="19"/>
      <c r="V2202" s="19"/>
      <c r="W2202" s="19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</row>
    <row r="2203" spans="1:36" ht="11.25" customHeight="1" x14ac:dyDescent="0.2">
      <c r="A2203" s="55" t="s">
        <v>21</v>
      </c>
      <c r="B2203" s="55" t="s">
        <v>47</v>
      </c>
      <c r="C2203" s="55" t="s">
        <v>23</v>
      </c>
      <c r="D2203" s="55" t="s">
        <v>48</v>
      </c>
      <c r="E2203" s="55" t="s">
        <v>49</v>
      </c>
      <c r="F2203" s="55" t="s">
        <v>25</v>
      </c>
      <c r="G2203" s="55" t="s">
        <v>25</v>
      </c>
      <c r="H2203" s="55" t="s">
        <v>25</v>
      </c>
      <c r="I2203" s="63">
        <v>44593</v>
      </c>
      <c r="J2203" s="64">
        <f>EFEITO!$J$2203*EFEITO!$Y$2203</f>
        <v>0</v>
      </c>
      <c r="K2203" s="64">
        <f ca="1">EFEITO!$L$2203*EFEITO!$Z$2203</f>
        <v>3772972.0424521677</v>
      </c>
      <c r="L2203" s="64">
        <f>EFEITO!$N$2203*EFEITO!$AA$2203</f>
        <v>2565365.9727549534</v>
      </c>
      <c r="M2203" s="64">
        <f>$J$2203-EFEITO!$K$2203*EFEITO!$Y$2203</f>
        <v>0</v>
      </c>
      <c r="N2203" s="64">
        <f ca="1">$K$2203-EFEITO!$M$2203*EFEITO!$Z$2203</f>
        <v>0</v>
      </c>
      <c r="O2203" s="64">
        <f>$L$2203-EFEITO!$O$2203*EFEITO!$AA$2203</f>
        <v>0</v>
      </c>
      <c r="P2203" s="19"/>
      <c r="Q2203" s="19"/>
      <c r="R2203" s="19"/>
      <c r="S2203" s="19"/>
      <c r="T2203" s="19"/>
      <c r="U2203" s="19"/>
      <c r="V2203" s="19"/>
      <c r="W2203" s="19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</row>
    <row r="2204" spans="1:36" ht="11.25" customHeight="1" x14ac:dyDescent="0.2">
      <c r="A2204" s="55" t="s">
        <v>27</v>
      </c>
      <c r="B2204" s="55" t="s">
        <v>47</v>
      </c>
      <c r="C2204" s="55" t="s">
        <v>23</v>
      </c>
      <c r="D2204" s="55" t="s">
        <v>48</v>
      </c>
      <c r="E2204" s="55" t="s">
        <v>49</v>
      </c>
      <c r="F2204" s="55" t="s">
        <v>25</v>
      </c>
      <c r="G2204" s="55" t="s">
        <v>25</v>
      </c>
      <c r="H2204" s="55" t="s">
        <v>25</v>
      </c>
      <c r="I2204" s="63">
        <v>44593</v>
      </c>
      <c r="J2204" s="64">
        <f>EFEITO!$J$2204*EFEITO!$Y$2204</f>
        <v>0</v>
      </c>
      <c r="K2204" s="64">
        <f ca="1">EFEITO!$L$2204*EFEITO!$Z$2204</f>
        <v>-1088.1598454195637</v>
      </c>
      <c r="L2204" s="64">
        <f>EFEITO!$N$2204*EFEITO!$AA$2204</f>
        <v>-739.87514589250463</v>
      </c>
      <c r="M2204" s="64">
        <f>$J$2204-EFEITO!$K$2204*EFEITO!$Y$2204</f>
        <v>0</v>
      </c>
      <c r="N2204" s="64">
        <f ca="1">$K$2204-EFEITO!$M$2204*EFEITO!$Z$2204</f>
        <v>0</v>
      </c>
      <c r="O2204" s="64">
        <f>$L$2204-EFEITO!$O$2204*EFEITO!$AA$2204</f>
        <v>0</v>
      </c>
      <c r="P2204" s="19"/>
      <c r="Q2204" s="19"/>
      <c r="R2204" s="19"/>
      <c r="S2204" s="19"/>
      <c r="T2204" s="19"/>
      <c r="U2204" s="19"/>
      <c r="V2204" s="19"/>
      <c r="W2204" s="19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</row>
    <row r="2205" spans="1:36" ht="11.25" customHeight="1" x14ac:dyDescent="0.2">
      <c r="A2205" s="55" t="s">
        <v>28</v>
      </c>
      <c r="B2205" s="55" t="s">
        <v>47</v>
      </c>
      <c r="C2205" s="55" t="s">
        <v>23</v>
      </c>
      <c r="D2205" s="55" t="s">
        <v>48</v>
      </c>
      <c r="E2205" s="55" t="s">
        <v>49</v>
      </c>
      <c r="F2205" s="55" t="s">
        <v>25</v>
      </c>
      <c r="G2205" s="55" t="s">
        <v>25</v>
      </c>
      <c r="H2205" s="55" t="s">
        <v>25</v>
      </c>
      <c r="I2205" s="63">
        <v>44593</v>
      </c>
      <c r="J2205" s="64">
        <f>EFEITO!$J$2205*EFEITO!$Y$2205</f>
        <v>0</v>
      </c>
      <c r="K2205" s="64">
        <f ca="1">EFEITO!$L$2205*EFEITO!$Z$2205</f>
        <v>4251.0411841426858</v>
      </c>
      <c r="L2205" s="64">
        <f>EFEITO!$N$2205*EFEITO!$AA$2205</f>
        <v>2890.4206762931049</v>
      </c>
      <c r="M2205" s="64">
        <f>$J$2205-EFEITO!$K$2205*EFEITO!$Y$2205</f>
        <v>0</v>
      </c>
      <c r="N2205" s="64">
        <f ca="1">$K$2205-EFEITO!$M$2205*EFEITO!$Z$2205</f>
        <v>0</v>
      </c>
      <c r="O2205" s="64">
        <f>$L$2205-EFEITO!$O$2205*EFEITO!$AA$2205</f>
        <v>0</v>
      </c>
      <c r="P2205" s="19"/>
      <c r="Q2205" s="19"/>
      <c r="R2205" s="19"/>
      <c r="S2205" s="19"/>
      <c r="T2205" s="19"/>
      <c r="U2205" s="19"/>
      <c r="V2205" s="19"/>
      <c r="W2205" s="19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</row>
    <row r="2206" spans="1:36" ht="11.25" customHeight="1" x14ac:dyDescent="0.2">
      <c r="A2206" s="55" t="s">
        <v>21</v>
      </c>
      <c r="B2206" s="55" t="s">
        <v>47</v>
      </c>
      <c r="C2206" s="55" t="s">
        <v>23</v>
      </c>
      <c r="D2206" s="55" t="s">
        <v>48</v>
      </c>
      <c r="E2206" s="55" t="s">
        <v>49</v>
      </c>
      <c r="F2206" s="55" t="s">
        <v>25</v>
      </c>
      <c r="G2206" s="55" t="s">
        <v>25</v>
      </c>
      <c r="H2206" s="55" t="s">
        <v>25</v>
      </c>
      <c r="I2206" s="63">
        <v>44621</v>
      </c>
      <c r="J2206" s="64">
        <f>EFEITO!$J$2206*EFEITO!$Y$2206</f>
        <v>0</v>
      </c>
      <c r="K2206" s="64">
        <f ca="1">EFEITO!$L$2206*EFEITO!$Z$2206</f>
        <v>4135934.7413162496</v>
      </c>
      <c r="L2206" s="64">
        <f>EFEITO!$N$2206*EFEITO!$AA$2206</f>
        <v>2812156.0752440374</v>
      </c>
      <c r="M2206" s="64">
        <f>$J$2206-EFEITO!$K$2206*EFEITO!$Y$2206</f>
        <v>0</v>
      </c>
      <c r="N2206" s="64">
        <f ca="1">$K$2206-EFEITO!$M$2206*EFEITO!$Z$2206</f>
        <v>0</v>
      </c>
      <c r="O2206" s="64">
        <f>$L$2206-EFEITO!$O$2206*EFEITO!$AA$2206</f>
        <v>0</v>
      </c>
      <c r="P2206" s="19"/>
      <c r="Q2206" s="19"/>
      <c r="R2206" s="19"/>
      <c r="S2206" s="19"/>
      <c r="T2206" s="19"/>
      <c r="U2206" s="19"/>
      <c r="V2206" s="19"/>
      <c r="W2206" s="19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</row>
    <row r="2207" spans="1:36" ht="11.25" customHeight="1" x14ac:dyDescent="0.2">
      <c r="A2207" s="55" t="s">
        <v>27</v>
      </c>
      <c r="B2207" s="55" t="s">
        <v>47</v>
      </c>
      <c r="C2207" s="55" t="s">
        <v>23</v>
      </c>
      <c r="D2207" s="55" t="s">
        <v>48</v>
      </c>
      <c r="E2207" s="55" t="s">
        <v>49</v>
      </c>
      <c r="F2207" s="55" t="s">
        <v>25</v>
      </c>
      <c r="G2207" s="55" t="s">
        <v>25</v>
      </c>
      <c r="H2207" s="55" t="s">
        <v>25</v>
      </c>
      <c r="I2207" s="63">
        <v>44621</v>
      </c>
      <c r="J2207" s="64">
        <f>EFEITO!$J$2207*EFEITO!$Y$2207</f>
        <v>0</v>
      </c>
      <c r="K2207" s="64">
        <f ca="1">EFEITO!$L$2207*EFEITO!$Z$2207</f>
        <v>1689.7074744573795</v>
      </c>
      <c r="L2207" s="64">
        <f>EFEITO!$N$2207*EFEITO!$AA$2207</f>
        <v>1148.8868748853511</v>
      </c>
      <c r="M2207" s="64">
        <f>$J$2207-EFEITO!$K$2207*EFEITO!$Y$2207</f>
        <v>0</v>
      </c>
      <c r="N2207" s="64">
        <f ca="1">$K$2207-EFEITO!$M$2207*EFEITO!$Z$2207</f>
        <v>0</v>
      </c>
      <c r="O2207" s="64">
        <f>$L$2207-EFEITO!$O$2207*EFEITO!$AA$2207</f>
        <v>0</v>
      </c>
      <c r="P2207" s="19"/>
      <c r="Q2207" s="19"/>
      <c r="R2207" s="19"/>
      <c r="S2207" s="19"/>
      <c r="T2207" s="19"/>
      <c r="U2207" s="19"/>
      <c r="V2207" s="19"/>
      <c r="W2207" s="19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</row>
    <row r="2208" spans="1:36" ht="11.25" customHeight="1" x14ac:dyDescent="0.2">
      <c r="A2208" s="55" t="s">
        <v>28</v>
      </c>
      <c r="B2208" s="55" t="s">
        <v>47</v>
      </c>
      <c r="C2208" s="55" t="s">
        <v>23</v>
      </c>
      <c r="D2208" s="55" t="s">
        <v>48</v>
      </c>
      <c r="E2208" s="55" t="s">
        <v>49</v>
      </c>
      <c r="F2208" s="55" t="s">
        <v>25</v>
      </c>
      <c r="G2208" s="55" t="s">
        <v>25</v>
      </c>
      <c r="H2208" s="55" t="s">
        <v>25</v>
      </c>
      <c r="I2208" s="63">
        <v>44621</v>
      </c>
      <c r="J2208" s="64">
        <f>EFEITO!$J$2208*EFEITO!$Y$2208</f>
        <v>0</v>
      </c>
      <c r="K2208" s="64">
        <f ca="1">EFEITO!$L$2208*EFEITO!$Z$2208</f>
        <v>4596.8280996932799</v>
      </c>
      <c r="L2208" s="64">
        <f>EFEITO!$N$2208*EFEITO!$AA$2208</f>
        <v>3125.5324070444544</v>
      </c>
      <c r="M2208" s="64">
        <f>$J$2208-EFEITO!$K$2208*EFEITO!$Y$2208</f>
        <v>0</v>
      </c>
      <c r="N2208" s="64">
        <f ca="1">$K$2208-EFEITO!$M$2208*EFEITO!$Z$2208</f>
        <v>0</v>
      </c>
      <c r="O2208" s="64">
        <f>$L$2208-EFEITO!$O$2208*EFEITO!$AA$2208</f>
        <v>0</v>
      </c>
      <c r="P2208" s="19"/>
      <c r="Q2208" s="19"/>
      <c r="R2208" s="19"/>
      <c r="S2208" s="19"/>
      <c r="T2208" s="19"/>
      <c r="U2208" s="19"/>
      <c r="V2208" s="19"/>
      <c r="W2208" s="19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</row>
    <row r="2209" spans="1:36" ht="11.25" customHeight="1" x14ac:dyDescent="0.2">
      <c r="A2209" s="55" t="s">
        <v>21</v>
      </c>
      <c r="B2209" s="55" t="s">
        <v>47</v>
      </c>
      <c r="C2209" s="55" t="s">
        <v>23</v>
      </c>
      <c r="D2209" s="55" t="s">
        <v>48</v>
      </c>
      <c r="E2209" s="55" t="s">
        <v>49</v>
      </c>
      <c r="F2209" s="55" t="s">
        <v>25</v>
      </c>
      <c r="G2209" s="55" t="s">
        <v>25</v>
      </c>
      <c r="H2209" s="55" t="s">
        <v>25</v>
      </c>
      <c r="I2209" s="63">
        <v>44652</v>
      </c>
      <c r="J2209" s="64">
        <f>EFEITO!$J$2209*EFEITO!$Y$2209</f>
        <v>0</v>
      </c>
      <c r="K2209" s="64">
        <f ca="1">EFEITO!$L$2209*EFEITO!$Z$2209</f>
        <v>4052573.0279672826</v>
      </c>
      <c r="L2209" s="64">
        <f>EFEITO!$N$2209*EFEITO!$AA$2209</f>
        <v>2755475.7446055408</v>
      </c>
      <c r="M2209" s="64">
        <f>$J$2209-EFEITO!$K$2209*EFEITO!$Y$2209</f>
        <v>0</v>
      </c>
      <c r="N2209" s="64">
        <f ca="1">$K$2209-EFEITO!$M$2209*EFEITO!$Z$2209</f>
        <v>0</v>
      </c>
      <c r="O2209" s="64">
        <f>$L$2209-EFEITO!$O$2209*EFEITO!$AA$2209</f>
        <v>0</v>
      </c>
      <c r="P2209" s="19"/>
      <c r="Q2209" s="19"/>
      <c r="R2209" s="19"/>
      <c r="S2209" s="19"/>
      <c r="T2209" s="19"/>
      <c r="U2209" s="19"/>
      <c r="V2209" s="19"/>
      <c r="W2209" s="19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</row>
    <row r="2210" spans="1:36" ht="11.25" customHeight="1" x14ac:dyDescent="0.2">
      <c r="A2210" s="55" t="s">
        <v>28</v>
      </c>
      <c r="B2210" s="55" t="s">
        <v>47</v>
      </c>
      <c r="C2210" s="55" t="s">
        <v>23</v>
      </c>
      <c r="D2210" s="55" t="s">
        <v>48</v>
      </c>
      <c r="E2210" s="55" t="s">
        <v>49</v>
      </c>
      <c r="F2210" s="55" t="s">
        <v>25</v>
      </c>
      <c r="G2210" s="55" t="s">
        <v>25</v>
      </c>
      <c r="H2210" s="55" t="s">
        <v>25</v>
      </c>
      <c r="I2210" s="63">
        <v>44652</v>
      </c>
      <c r="J2210" s="64">
        <f>EFEITO!$J$2210*EFEITO!$Y$2210</f>
        <v>0</v>
      </c>
      <c r="K2210" s="64">
        <f ca="1">EFEITO!$L$2210*EFEITO!$Z$2210</f>
        <v>4522.8850099810988</v>
      </c>
      <c r="L2210" s="64">
        <f>EFEITO!$N$2210*EFEITO!$AA$2210</f>
        <v>3075.2561038718736</v>
      </c>
      <c r="M2210" s="64">
        <f>$J$2210-EFEITO!$K$2210*EFEITO!$Y$2210</f>
        <v>0</v>
      </c>
      <c r="N2210" s="64">
        <f ca="1">$K$2210-EFEITO!$M$2210*EFEITO!$Z$2210</f>
        <v>0</v>
      </c>
      <c r="O2210" s="64">
        <f>$L$2210-EFEITO!$O$2210*EFEITO!$AA$2210</f>
        <v>0</v>
      </c>
      <c r="P2210" s="19"/>
      <c r="Q2210" s="19"/>
      <c r="R2210" s="19"/>
      <c r="S2210" s="19"/>
      <c r="T2210" s="19"/>
      <c r="U2210" s="19"/>
      <c r="V2210" s="19"/>
      <c r="W2210" s="19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</row>
    <row r="2211" spans="1:36" ht="11.25" customHeight="1" x14ac:dyDescent="0.2">
      <c r="A2211" s="55" t="s">
        <v>21</v>
      </c>
      <c r="B2211" s="55" t="s">
        <v>47</v>
      </c>
      <c r="C2211" s="55" t="s">
        <v>23</v>
      </c>
      <c r="D2211" s="55" t="s">
        <v>48</v>
      </c>
      <c r="E2211" s="55" t="s">
        <v>49</v>
      </c>
      <c r="F2211" s="55" t="s">
        <v>25</v>
      </c>
      <c r="G2211" s="55" t="s">
        <v>25</v>
      </c>
      <c r="H2211" s="55" t="s">
        <v>25</v>
      </c>
      <c r="I2211" s="63">
        <v>44682</v>
      </c>
      <c r="J2211" s="64">
        <f>EFEITO!$J$2211*EFEITO!$Y$2211</f>
        <v>0</v>
      </c>
      <c r="K2211" s="64">
        <f ca="1">EFEITO!$L$2211*EFEITO!$Z$2211</f>
        <v>4203934.532608116</v>
      </c>
      <c r="L2211" s="64">
        <f>EFEITO!$N$2211*EFEITO!$AA$2211</f>
        <v>2858391.3371998123</v>
      </c>
      <c r="M2211" s="64">
        <f>$J$2211-EFEITO!$K$2211*EFEITO!$Y$2211</f>
        <v>0</v>
      </c>
      <c r="N2211" s="64">
        <f ca="1">$K$2211-EFEITO!$M$2211*EFEITO!$Z$2211</f>
        <v>0</v>
      </c>
      <c r="O2211" s="64">
        <f>$L$2211-EFEITO!$O$2211*EFEITO!$AA$2211</f>
        <v>0</v>
      </c>
      <c r="P2211" s="19"/>
      <c r="Q2211" s="19"/>
      <c r="R2211" s="19"/>
      <c r="S2211" s="19"/>
      <c r="T2211" s="19"/>
      <c r="U2211" s="19"/>
      <c r="V2211" s="19"/>
      <c r="W2211" s="19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</row>
    <row r="2212" spans="1:36" ht="11.25" customHeight="1" x14ac:dyDescent="0.2">
      <c r="A2212" s="55" t="s">
        <v>28</v>
      </c>
      <c r="B2212" s="55" t="s">
        <v>47</v>
      </c>
      <c r="C2212" s="55" t="s">
        <v>23</v>
      </c>
      <c r="D2212" s="55" t="s">
        <v>48</v>
      </c>
      <c r="E2212" s="55" t="s">
        <v>49</v>
      </c>
      <c r="F2212" s="55" t="s">
        <v>25</v>
      </c>
      <c r="G2212" s="55" t="s">
        <v>25</v>
      </c>
      <c r="H2212" s="55" t="s">
        <v>25</v>
      </c>
      <c r="I2212" s="63">
        <v>44682</v>
      </c>
      <c r="J2212" s="64">
        <f>EFEITO!$J$2212*EFEITO!$Y$2212</f>
        <v>0</v>
      </c>
      <c r="K2212" s="64">
        <f ca="1">EFEITO!$L$2212*EFEITO!$Z$2212</f>
        <v>4677.2436614492317</v>
      </c>
      <c r="L2212" s="64">
        <f>EFEITO!$N$2212*EFEITO!$AA$2212</f>
        <v>3180.2095537308146</v>
      </c>
      <c r="M2212" s="64">
        <f>$J$2212-EFEITO!$K$2212*EFEITO!$Y$2212</f>
        <v>0</v>
      </c>
      <c r="N2212" s="64">
        <f ca="1">$K$2212-EFEITO!$M$2212*EFEITO!$Z$2212</f>
        <v>0</v>
      </c>
      <c r="O2212" s="64">
        <f>$L$2212-EFEITO!$O$2212*EFEITO!$AA$2212</f>
        <v>0</v>
      </c>
      <c r="P2212" s="19"/>
      <c r="Q2212" s="19"/>
      <c r="R2212" s="19"/>
      <c r="S2212" s="19"/>
      <c r="T2212" s="19"/>
      <c r="U2212" s="19"/>
      <c r="V2212" s="19"/>
      <c r="W2212" s="19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</row>
    <row r="2213" spans="1:36" ht="11.25" customHeight="1" x14ac:dyDescent="0.2">
      <c r="A2213" s="55" t="s">
        <v>21</v>
      </c>
      <c r="B2213" s="55" t="s">
        <v>47</v>
      </c>
      <c r="C2213" s="55" t="s">
        <v>23</v>
      </c>
      <c r="D2213" s="55" t="s">
        <v>48</v>
      </c>
      <c r="E2213" s="55" t="s">
        <v>49</v>
      </c>
      <c r="F2213" s="55" t="s">
        <v>25</v>
      </c>
      <c r="G2213" s="55" t="s">
        <v>25</v>
      </c>
      <c r="H2213" s="55" t="s">
        <v>25</v>
      </c>
      <c r="I2213" s="63">
        <v>44713</v>
      </c>
      <c r="J2213" s="64">
        <f>EFEITO!$J$2213*EFEITO!$Y$2213</f>
        <v>0</v>
      </c>
      <c r="K2213" s="64">
        <f ca="1">EFEITO!$L$2213*EFEITO!$Z$2213</f>
        <v>4080781.0418116222</v>
      </c>
      <c r="L2213" s="64">
        <f>EFEITO!$N$2213*EFEITO!$AA$2213</f>
        <v>2774655.2874330669</v>
      </c>
      <c r="M2213" s="64">
        <f>$J$2213-EFEITO!$K$2213*EFEITO!$Y$2213</f>
        <v>0</v>
      </c>
      <c r="N2213" s="64">
        <f ca="1">$K$2213-EFEITO!$M$2213*EFEITO!$Z$2213</f>
        <v>0</v>
      </c>
      <c r="O2213" s="64">
        <f>$L$2213-EFEITO!$O$2213*EFEITO!$AA$2213</f>
        <v>0</v>
      </c>
      <c r="P2213" s="19"/>
      <c r="Q2213" s="19"/>
      <c r="R2213" s="19"/>
      <c r="S2213" s="19"/>
      <c r="T2213" s="19"/>
      <c r="U2213" s="19"/>
      <c r="V2213" s="19"/>
      <c r="W2213" s="19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</row>
    <row r="2214" spans="1:36" ht="11.25" customHeight="1" x14ac:dyDescent="0.2">
      <c r="A2214" s="55" t="s">
        <v>28</v>
      </c>
      <c r="B2214" s="55" t="s">
        <v>47</v>
      </c>
      <c r="C2214" s="55" t="s">
        <v>23</v>
      </c>
      <c r="D2214" s="55" t="s">
        <v>48</v>
      </c>
      <c r="E2214" s="55" t="s">
        <v>49</v>
      </c>
      <c r="F2214" s="55" t="s">
        <v>25</v>
      </c>
      <c r="G2214" s="55" t="s">
        <v>25</v>
      </c>
      <c r="H2214" s="55" t="s">
        <v>25</v>
      </c>
      <c r="I2214" s="63">
        <v>44713</v>
      </c>
      <c r="J2214" s="64">
        <f>EFEITO!$J$2214*EFEITO!$Y$2214</f>
        <v>0</v>
      </c>
      <c r="K2214" s="64">
        <f ca="1">EFEITO!$L$2214*EFEITO!$Z$2214</f>
        <v>80.219426239473961</v>
      </c>
      <c r="L2214" s="64">
        <f>EFEITO!$N$2214*EFEITO!$AA$2214</f>
        <v>54.543787792003315</v>
      </c>
      <c r="M2214" s="64">
        <f>$J$2214-EFEITO!$K$2214*EFEITO!$Y$2214</f>
        <v>0</v>
      </c>
      <c r="N2214" s="64">
        <f ca="1">$K$2214-EFEITO!$M$2214*EFEITO!$Z$2214</f>
        <v>0</v>
      </c>
      <c r="O2214" s="64">
        <f>$L$2214-EFEITO!$O$2214*EFEITO!$AA$2214</f>
        <v>0</v>
      </c>
      <c r="P2214" s="19"/>
      <c r="Q2214" s="19"/>
      <c r="R2214" s="19"/>
      <c r="S2214" s="19"/>
      <c r="T2214" s="19"/>
      <c r="U2214" s="19"/>
      <c r="V2214" s="19"/>
      <c r="W2214" s="19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</row>
    <row r="2215" spans="1:36" ht="11.25" customHeight="1" x14ac:dyDescent="0.2">
      <c r="A2215" s="55" t="s">
        <v>57</v>
      </c>
      <c r="B2215" s="55" t="s">
        <v>47</v>
      </c>
      <c r="C2215" s="55" t="s">
        <v>23</v>
      </c>
      <c r="D2215" s="55" t="s">
        <v>48</v>
      </c>
      <c r="E2215" s="55" t="s">
        <v>49</v>
      </c>
      <c r="F2215" s="55" t="s">
        <v>25</v>
      </c>
      <c r="G2215" s="55" t="s">
        <v>25</v>
      </c>
      <c r="H2215" s="55" t="s">
        <v>25</v>
      </c>
      <c r="I2215" s="63">
        <v>44743</v>
      </c>
      <c r="J2215" s="64">
        <f>EFEITO!$J$2215*EFEITO!$Y$2215</f>
        <v>0</v>
      </c>
      <c r="K2215" s="64">
        <f ca="1">EFEITO!$L$2215*EFEITO!$Z$2215</f>
        <v>4080781.0418116222</v>
      </c>
      <c r="L2215" s="64">
        <f>EFEITO!$N$2215*EFEITO!$AA$2215</f>
        <v>2774655.2874330669</v>
      </c>
      <c r="M2215" s="64">
        <f>$J$2215-EFEITO!$K$2215*EFEITO!$Y$2215</f>
        <v>0</v>
      </c>
      <c r="N2215" s="64">
        <f ca="1">$K$2215-EFEITO!$M$2215*EFEITO!$Z$2215</f>
        <v>0</v>
      </c>
      <c r="O2215" s="64">
        <f>$L$2215-EFEITO!$O$2215*EFEITO!$AA$2215</f>
        <v>0</v>
      </c>
      <c r="P2215" s="19"/>
      <c r="Q2215" s="19"/>
      <c r="R2215" s="19"/>
      <c r="S2215" s="19"/>
      <c r="T2215" s="19"/>
      <c r="U2215" s="19"/>
      <c r="V2215" s="19"/>
      <c r="W2215" s="19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</row>
    <row r="2216" spans="1:36" ht="11.25" customHeight="1" x14ac:dyDescent="0.2">
      <c r="A2216" s="55" t="s">
        <v>57</v>
      </c>
      <c r="B2216" s="55" t="s">
        <v>47</v>
      </c>
      <c r="C2216" s="55" t="s">
        <v>23</v>
      </c>
      <c r="D2216" s="55" t="s">
        <v>48</v>
      </c>
      <c r="E2216" s="55" t="s">
        <v>49</v>
      </c>
      <c r="F2216" s="55" t="s">
        <v>25</v>
      </c>
      <c r="G2216" s="55" t="s">
        <v>25</v>
      </c>
      <c r="H2216" s="55" t="s">
        <v>25</v>
      </c>
      <c r="I2216" s="63">
        <v>44743</v>
      </c>
      <c r="J2216" s="64">
        <f>EFEITO!$J$2216*EFEITO!$Y$2216</f>
        <v>0</v>
      </c>
      <c r="K2216" s="64">
        <f ca="1">EFEITO!$L$2216*EFEITO!$Z$2216</f>
        <v>80.219426239473961</v>
      </c>
      <c r="L2216" s="64">
        <f>EFEITO!$N$2216*EFEITO!$AA$2216</f>
        <v>54.543787792003315</v>
      </c>
      <c r="M2216" s="64">
        <f>$J$2216-EFEITO!$K$2216*EFEITO!$Y$2216</f>
        <v>0</v>
      </c>
      <c r="N2216" s="64">
        <f ca="1">$K$2216-EFEITO!$M$2216*EFEITO!$Z$2216</f>
        <v>0</v>
      </c>
      <c r="O2216" s="64">
        <f>$L$2216-EFEITO!$O$2216*EFEITO!$AA$2216</f>
        <v>0</v>
      </c>
      <c r="P2216" s="19"/>
      <c r="Q2216" s="19"/>
      <c r="R2216" s="19"/>
      <c r="S2216" s="19"/>
      <c r="T2216" s="19"/>
      <c r="U2216" s="19"/>
      <c r="V2216" s="19"/>
      <c r="W2216" s="19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EA55F-3601-47D0-8F14-FFF792313563}">
  <dimension ref="A1:BD131"/>
  <sheetViews>
    <sheetView showGridLines="0" topLeftCell="B43" workbookViewId="0">
      <selection activeCell="L67" sqref="L67:BD131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7.85546875" style="9" bestFit="1" customWidth="1"/>
    <col min="16" max="16" width="4.42578125" style="9" bestFit="1" customWidth="1"/>
    <col min="17" max="18" width="10.85546875" style="9" bestFit="1" customWidth="1"/>
    <col min="19" max="19" width="8.7109375" style="9" bestFit="1" customWidth="1"/>
    <col min="20" max="21" width="10.85546875" style="9" bestFit="1" customWidth="1"/>
    <col min="22" max="22" width="10" style="9" bestFit="1" customWidth="1"/>
    <col min="23" max="23" width="9.85546875" style="9" bestFit="1" customWidth="1"/>
    <col min="24" max="24" width="10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7" width="10" style="9" bestFit="1" customWidth="1"/>
    <col min="38" max="38" width="7.85546875" style="9" bestFit="1" customWidth="1"/>
    <col min="39" max="39" width="4.42578125" style="9" bestFit="1" customWidth="1"/>
    <col min="40" max="41" width="10.85546875" style="9" bestFit="1" customWidth="1"/>
    <col min="42" max="42" width="8.7109375" style="9" bestFit="1" customWidth="1"/>
    <col min="43" max="44" width="10.85546875" style="9" bestFit="1" customWidth="1"/>
    <col min="45" max="45" width="10" style="9" bestFit="1" customWidth="1"/>
    <col min="46" max="46" width="9.85546875" style="9" bestFit="1" customWidth="1"/>
    <col min="47" max="47" width="10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98" t="s">
        <v>92</v>
      </c>
      <c r="B1" s="98" t="s">
        <v>93</v>
      </c>
      <c r="C1" s="98" t="s">
        <v>94</v>
      </c>
      <c r="D1" s="98" t="s">
        <v>95</v>
      </c>
      <c r="E1" s="98" t="s">
        <v>96</v>
      </c>
      <c r="F1" s="98" t="s">
        <v>15</v>
      </c>
      <c r="G1" s="98" t="s">
        <v>98</v>
      </c>
      <c r="H1" s="98" t="s">
        <v>99</v>
      </c>
      <c r="I1" s="98" t="s">
        <v>924</v>
      </c>
      <c r="J1" s="93"/>
      <c r="L1" s="99" t="s">
        <v>1134</v>
      </c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I1" s="99" t="s">
        <v>1135</v>
      </c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</row>
    <row r="2" spans="1:56" ht="11.25" customHeight="1" x14ac:dyDescent="0.25">
      <c r="A2" s="98"/>
      <c r="B2" s="98"/>
      <c r="C2" s="98"/>
      <c r="D2" s="98"/>
      <c r="E2" s="98"/>
      <c r="F2" s="98"/>
      <c r="G2" s="98"/>
      <c r="H2" s="98"/>
      <c r="I2" s="98"/>
      <c r="J2" s="93"/>
      <c r="L2" s="99" t="s">
        <v>834</v>
      </c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I2" s="99" t="s">
        <v>834</v>
      </c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</row>
    <row r="3" spans="1:56" ht="11.25" customHeight="1" x14ac:dyDescent="0.25">
      <c r="A3" s="98"/>
      <c r="B3" s="98"/>
      <c r="C3" s="98"/>
      <c r="D3" s="98"/>
      <c r="E3" s="98"/>
      <c r="F3" s="98"/>
      <c r="G3" s="98"/>
      <c r="H3" s="98"/>
      <c r="I3" s="98"/>
      <c r="J3" s="93"/>
      <c r="L3" s="99" t="s">
        <v>835</v>
      </c>
      <c r="M3" s="99"/>
      <c r="N3" s="99"/>
      <c r="O3" s="99"/>
      <c r="P3" s="99"/>
      <c r="Q3" s="99"/>
      <c r="R3" s="99"/>
      <c r="S3" s="99"/>
      <c r="T3" s="99" t="s">
        <v>844</v>
      </c>
      <c r="U3" s="99"/>
      <c r="V3" s="99"/>
      <c r="W3" s="99"/>
      <c r="X3" s="99"/>
      <c r="Y3" s="99"/>
      <c r="Z3" s="99"/>
      <c r="AA3" s="32" t="s">
        <v>852</v>
      </c>
      <c r="AB3" s="99" t="s">
        <v>854</v>
      </c>
      <c r="AC3" s="99"/>
      <c r="AD3" s="99" t="s">
        <v>857</v>
      </c>
      <c r="AE3" s="99"/>
      <c r="AF3" s="99"/>
      <c r="AG3" s="99"/>
      <c r="AI3" s="99" t="s">
        <v>835</v>
      </c>
      <c r="AJ3" s="99"/>
      <c r="AK3" s="99"/>
      <c r="AL3" s="99"/>
      <c r="AM3" s="99"/>
      <c r="AN3" s="99"/>
      <c r="AO3" s="99"/>
      <c r="AP3" s="99"/>
      <c r="AQ3" s="99" t="s">
        <v>844</v>
      </c>
      <c r="AR3" s="99"/>
      <c r="AS3" s="99"/>
      <c r="AT3" s="99"/>
      <c r="AU3" s="99"/>
      <c r="AV3" s="99"/>
      <c r="AW3" s="99"/>
      <c r="AX3" s="32" t="s">
        <v>852</v>
      </c>
      <c r="AY3" s="99" t="s">
        <v>854</v>
      </c>
      <c r="AZ3" s="99"/>
      <c r="BA3" s="99" t="s">
        <v>857</v>
      </c>
      <c r="BB3" s="99"/>
      <c r="BC3" s="99"/>
      <c r="BD3" s="99"/>
    </row>
    <row r="4" spans="1:56" ht="11.25" customHeight="1" x14ac:dyDescent="0.25">
      <c r="A4" s="98"/>
      <c r="B4" s="98"/>
      <c r="C4" s="98"/>
      <c r="D4" s="98"/>
      <c r="E4" s="98"/>
      <c r="F4" s="98"/>
      <c r="G4" s="98"/>
      <c r="H4" s="98"/>
      <c r="I4" s="98"/>
      <c r="J4" s="93"/>
      <c r="L4" s="32" t="s">
        <v>920</v>
      </c>
      <c r="M4" s="32" t="s">
        <v>836</v>
      </c>
      <c r="N4" s="32" t="s">
        <v>837</v>
      </c>
      <c r="O4" s="32" t="s">
        <v>838</v>
      </c>
      <c r="P4" s="32" t="s">
        <v>839</v>
      </c>
      <c r="Q4" s="32" t="s">
        <v>840</v>
      </c>
      <c r="R4" s="32" t="s">
        <v>841</v>
      </c>
      <c r="S4" s="32" t="s">
        <v>842</v>
      </c>
      <c r="T4" s="32" t="s">
        <v>845</v>
      </c>
      <c r="U4" s="32" t="s">
        <v>846</v>
      </c>
      <c r="V4" s="32" t="s">
        <v>847</v>
      </c>
      <c r="W4" s="32" t="s">
        <v>848</v>
      </c>
      <c r="X4" s="32" t="s">
        <v>849</v>
      </c>
      <c r="Y4" s="32" t="s">
        <v>850</v>
      </c>
      <c r="Z4" s="32" t="s">
        <v>851</v>
      </c>
      <c r="AA4" s="32" t="s">
        <v>853</v>
      </c>
      <c r="AB4" s="32" t="s">
        <v>855</v>
      </c>
      <c r="AC4" s="32" t="s">
        <v>856</v>
      </c>
      <c r="AD4" s="32" t="s">
        <v>858</v>
      </c>
      <c r="AE4" s="32" t="s">
        <v>859</v>
      </c>
      <c r="AF4" s="32" t="s">
        <v>860</v>
      </c>
      <c r="AG4" s="32" t="s">
        <v>861</v>
      </c>
      <c r="AI4" s="32" t="s">
        <v>920</v>
      </c>
      <c r="AJ4" s="32" t="s">
        <v>836</v>
      </c>
      <c r="AK4" s="32" t="s">
        <v>837</v>
      </c>
      <c r="AL4" s="32" t="s">
        <v>838</v>
      </c>
      <c r="AM4" s="32" t="s">
        <v>839</v>
      </c>
      <c r="AN4" s="32" t="s">
        <v>840</v>
      </c>
      <c r="AO4" s="32" t="s">
        <v>841</v>
      </c>
      <c r="AP4" s="32" t="s">
        <v>842</v>
      </c>
      <c r="AQ4" s="32" t="s">
        <v>845</v>
      </c>
      <c r="AR4" s="32" t="s">
        <v>846</v>
      </c>
      <c r="AS4" s="32" t="s">
        <v>847</v>
      </c>
      <c r="AT4" s="32" t="s">
        <v>848</v>
      </c>
      <c r="AU4" s="32" t="s">
        <v>849</v>
      </c>
      <c r="AV4" s="32" t="s">
        <v>850</v>
      </c>
      <c r="AW4" s="32" t="s">
        <v>851</v>
      </c>
      <c r="AX4" s="32" t="s">
        <v>853</v>
      </c>
      <c r="AY4" s="32" t="s">
        <v>855</v>
      </c>
      <c r="AZ4" s="32" t="s">
        <v>856</v>
      </c>
      <c r="BA4" s="32" t="s">
        <v>858</v>
      </c>
      <c r="BB4" s="32" t="s">
        <v>859</v>
      </c>
      <c r="BC4" s="32" t="s">
        <v>860</v>
      </c>
      <c r="BD4" s="32" t="s">
        <v>861</v>
      </c>
    </row>
    <row r="5" spans="1:56" ht="11.25" customHeight="1" x14ac:dyDescent="0.25">
      <c r="A5" s="97" t="s">
        <v>39</v>
      </c>
      <c r="B5" s="97" t="s">
        <v>40</v>
      </c>
      <c r="C5" s="97" t="s">
        <v>25</v>
      </c>
      <c r="D5" s="97" t="s">
        <v>25</v>
      </c>
      <c r="E5" s="97" t="s">
        <v>25</v>
      </c>
      <c r="F5" s="97" t="s">
        <v>25</v>
      </c>
      <c r="G5" s="38" t="s">
        <v>106</v>
      </c>
      <c r="H5" s="38" t="s">
        <v>105</v>
      </c>
      <c r="I5" s="38">
        <f>'MERCADO TUSD'!$U$2</f>
        <v>1097619</v>
      </c>
      <c r="J5" s="15"/>
      <c r="L5" s="31">
        <f>('TUSD BE'!$L$5+'TUSD BF'!$L$5+'TUSD CVA'!$L$5)*1</f>
        <v>0</v>
      </c>
      <c r="M5" s="31">
        <f>('TUSD BE'!$M$5+'TUSD BF'!$M$5+'TUSD CVA'!$M$5)*1</f>
        <v>0</v>
      </c>
      <c r="N5" s="31">
        <f ca="1">('TUSD BE'!$N$5+'TUSD BF'!$N$5+'TUSD CVA'!$N$5)*1</f>
        <v>0</v>
      </c>
      <c r="O5" s="31">
        <f>('TUSD BE'!$O$5+'TUSD BF'!$O$5+'TUSD CVA'!$O$5)*1</f>
        <v>0</v>
      </c>
      <c r="P5" s="31">
        <f>('TUSD BE'!$P$5+'TUSD BF'!$P$5+'TUSD CVA'!$P$5)*1</f>
        <v>0</v>
      </c>
      <c r="Q5" s="31">
        <f>('TUSD BE'!$Q$5+'TUSD BF'!$Q$5+'TUSD CVA'!$Q$5)*1</f>
        <v>0</v>
      </c>
      <c r="R5" s="31">
        <f>('TUSD BE'!$R$5+'TUSD BF'!$R$5+'TUSD CVA'!$R$5)*1</f>
        <v>0</v>
      </c>
      <c r="S5" s="31">
        <f>('TUSD BE'!$S$5+'TUSD BF'!$S$5+'TUSD CVA'!$S$5)*1</f>
        <v>0</v>
      </c>
      <c r="T5" s="31">
        <f>('TUSD BE'!$U$5+'TUSD BF'!$U$5+'TUSD CVA'!$U$5)*1</f>
        <v>9.0155864436696724</v>
      </c>
      <c r="U5" s="31">
        <f>('TUSD BE'!$V$5+'TUSD BF'!$V$5+'TUSD CVA'!$V$5)*1</f>
        <v>2.7963118645553537</v>
      </c>
      <c r="V5" s="31">
        <f>('TUSD BE'!$W$5+'TUSD BF'!$W$5+'TUSD CVA'!$W$5)*1</f>
        <v>0.44551159706489535</v>
      </c>
      <c r="W5" s="31">
        <f>('TUSD BE'!$X$5+'TUSD BF'!$X$5+'TUSD CVA'!$X$5)*1</f>
        <v>2.5920240966366928E-2</v>
      </c>
      <c r="X5" s="31">
        <f>('TUSD BE'!$Y$5+'TUSD BF'!$Y$5+'TUSD CVA'!$Y$5)*1</f>
        <v>0.52702143917343114</v>
      </c>
      <c r="Y5" s="31">
        <f>('TUSD BE'!$Z$5+'TUSD BF'!$Z$5+'TUSD CVA'!$Z$5)*1</f>
        <v>0</v>
      </c>
      <c r="Z5" s="31">
        <f>('TUSD BE'!$AA$5+'TUSD BF'!$AA$5+'TUSD CVA'!$AA$5)*1</f>
        <v>0</v>
      </c>
      <c r="AA5" s="31">
        <f>('TUSD BE'!$AC$5+'TUSD BF'!$AC$5+'TUSD CVA'!$AC$5)*1</f>
        <v>10.588507070525306</v>
      </c>
      <c r="AB5" s="31">
        <f ca="1">('TUSD BE'!$AE$5+'TUSD BF'!$AE$5+'TUSD CVA'!$AE$5)*1</f>
        <v>-2.0860112962374751</v>
      </c>
      <c r="AC5" s="31">
        <f ca="1">('TUSD BE'!$AF$5+'TUSD BF'!$AF$5+'TUSD CVA'!$AF$5)*1</f>
        <v>0</v>
      </c>
      <c r="AD5" s="31">
        <f>('TUSD BE'!$AH$5+'TUSD BF'!$AH$5+'TUSD CVA'!$AH$5)*1</f>
        <v>0</v>
      </c>
      <c r="AE5" s="31">
        <f>('TUSD BE'!$AI$5+'TUSD BF'!$AI$5+'TUSD CVA'!$AI$5)*1</f>
        <v>0</v>
      </c>
      <c r="AF5" s="31">
        <f ca="1">('TUSD BE'!$AJ$5+'TUSD BF'!$AJ$5+'TUSD CVA'!$AJ$5)*1</f>
        <v>0</v>
      </c>
      <c r="AG5" s="31">
        <f ca="1">('TUSD BE'!$AK$5+'TUSD BF'!$AK$5+'TUSD CVA'!$AK$5)*1</f>
        <v>0</v>
      </c>
      <c r="AI5" s="31">
        <v>0</v>
      </c>
      <c r="AJ5" s="31">
        <v>0</v>
      </c>
      <c r="AK5" s="31">
        <v>0</v>
      </c>
      <c r="AL5" s="31">
        <v>0</v>
      </c>
      <c r="AM5" s="31">
        <v>0</v>
      </c>
      <c r="AN5" s="31">
        <v>0</v>
      </c>
      <c r="AO5" s="31">
        <v>0</v>
      </c>
      <c r="AP5" s="31">
        <v>0</v>
      </c>
      <c r="AQ5" s="31">
        <v>7.4935935932823998</v>
      </c>
      <c r="AR5" s="31">
        <v>3.2181204015796601</v>
      </c>
      <c r="AS5" s="31">
        <v>0.73759241606964199</v>
      </c>
      <c r="AT5" s="31">
        <v>0</v>
      </c>
      <c r="AU5" s="31">
        <v>0.60853607809219601</v>
      </c>
      <c r="AV5" s="31">
        <v>0</v>
      </c>
      <c r="AW5" s="31">
        <v>0</v>
      </c>
      <c r="AX5" s="31">
        <v>9.6410538211062207</v>
      </c>
      <c r="AY5" s="31">
        <v>-0.216113143631709</v>
      </c>
      <c r="AZ5" s="31">
        <v>0</v>
      </c>
      <c r="BA5" s="31">
        <v>0</v>
      </c>
      <c r="BB5" s="31">
        <v>0</v>
      </c>
      <c r="BC5" s="31">
        <v>0</v>
      </c>
      <c r="BD5" s="31">
        <v>0</v>
      </c>
    </row>
    <row r="6" spans="1:56" ht="11.25" customHeight="1" x14ac:dyDescent="0.25">
      <c r="A6" s="97"/>
      <c r="B6" s="97"/>
      <c r="C6" s="97"/>
      <c r="D6" s="97"/>
      <c r="E6" s="97"/>
      <c r="F6" s="97"/>
      <c r="G6" s="38" t="s">
        <v>107</v>
      </c>
      <c r="H6" s="38" t="s">
        <v>105</v>
      </c>
      <c r="I6" s="38">
        <f>'MERCADO TUSD'!$U$3</f>
        <v>1328173</v>
      </c>
      <c r="J6" s="15"/>
      <c r="L6" s="31">
        <f>('TUSD BE'!$L$6+'TUSD BF'!$L$6+'TUSD CVA'!$L$6)*1</f>
        <v>0</v>
      </c>
      <c r="M6" s="31">
        <f>('TUSD BE'!$M$6+'TUSD BF'!$M$6+'TUSD CVA'!$M$6)*1</f>
        <v>0</v>
      </c>
      <c r="N6" s="31">
        <f ca="1">('TUSD BE'!$N$6+'TUSD BF'!$N$6+'TUSD CVA'!$N$6)*1</f>
        <v>0</v>
      </c>
      <c r="O6" s="31">
        <f>('TUSD BE'!$O$6+'TUSD BF'!$O$6+'TUSD CVA'!$O$6)*1</f>
        <v>0</v>
      </c>
      <c r="P6" s="31">
        <f>('TUSD BE'!$P$6+'TUSD BF'!$P$6+'TUSD CVA'!$P$6)*1</f>
        <v>0</v>
      </c>
      <c r="Q6" s="31">
        <f>('TUSD BE'!$Q$6+'TUSD BF'!$Q$6+'TUSD CVA'!$Q$6)*1</f>
        <v>0</v>
      </c>
      <c r="R6" s="31">
        <f>('TUSD BE'!$R$6+'TUSD BF'!$R$6+'TUSD CVA'!$R$6)*1</f>
        <v>0</v>
      </c>
      <c r="S6" s="31">
        <f>('TUSD BE'!$S$6+'TUSD BF'!$S$6+'TUSD CVA'!$S$6)*1</f>
        <v>0</v>
      </c>
      <c r="T6" s="31">
        <f>('TUSD BE'!$U$6+'TUSD BF'!$U$6+'TUSD CVA'!$U$6)*1</f>
        <v>7.2535342611824491</v>
      </c>
      <c r="U6" s="31">
        <f>('TUSD BE'!$V$6+'TUSD BF'!$V$6+'TUSD CVA'!$V$6)*1</f>
        <v>2.2227541317382018</v>
      </c>
      <c r="V6" s="31">
        <f>('TUSD BE'!$W$6+'TUSD BF'!$W$6+'TUSD CVA'!$W$6)*1</f>
        <v>0.32778064595295414</v>
      </c>
      <c r="W6" s="31">
        <f>('TUSD BE'!$X$6+'TUSD BF'!$X$6+'TUSD CVA'!$X$6)*1</f>
        <v>1.9088549548874869E-2</v>
      </c>
      <c r="X6" s="31">
        <f>('TUSD BE'!$Y$6+'TUSD BF'!$Y$6+'TUSD CVA'!$Y$6)*1</f>
        <v>0.22441346190181238</v>
      </c>
      <c r="Y6" s="31">
        <f>('TUSD BE'!$Z$6+'TUSD BF'!$Z$6+'TUSD CVA'!$Z$6)*1</f>
        <v>0</v>
      </c>
      <c r="Z6" s="31">
        <f>('TUSD BE'!$AA$6+'TUSD BF'!$AA$6+'TUSD CVA'!$AA$6)*1</f>
        <v>0</v>
      </c>
      <c r="AA6" s="31">
        <f>('TUSD BE'!$AC$6+'TUSD BF'!$AC$6+'TUSD CVA'!$AC$6)*1</f>
        <v>2.076729023410381</v>
      </c>
      <c r="AB6" s="31">
        <f ca="1">('TUSD BE'!$AE$6+'TUSD BF'!$AE$6+'TUSD CVA'!$AE$6)*1</f>
        <v>-1.0652565897549353</v>
      </c>
      <c r="AC6" s="31">
        <f ca="1">('TUSD BE'!$AF$6+'TUSD BF'!$AF$6+'TUSD CVA'!$AF$6)*1</f>
        <v>0</v>
      </c>
      <c r="AD6" s="31">
        <f>('TUSD BE'!$AH$6+'TUSD BF'!$AH$6+'TUSD CVA'!$AH$6)*1</f>
        <v>0</v>
      </c>
      <c r="AE6" s="31">
        <f>('TUSD BE'!$AI$6+'TUSD BF'!$AI$6+'TUSD CVA'!$AI$6)*1</f>
        <v>0</v>
      </c>
      <c r="AF6" s="31">
        <f ca="1">('TUSD BE'!$AJ$6+'TUSD BF'!$AJ$6+'TUSD CVA'!$AJ$6)*1</f>
        <v>0</v>
      </c>
      <c r="AG6" s="31">
        <f ca="1">('TUSD BE'!$AK$6+'TUSD BF'!$AK$6+'TUSD CVA'!$AK$6)*1</f>
        <v>0</v>
      </c>
      <c r="AI6" s="31">
        <v>0</v>
      </c>
      <c r="AJ6" s="31">
        <v>0</v>
      </c>
      <c r="AK6" s="31">
        <v>0</v>
      </c>
      <c r="AL6" s="31">
        <v>0</v>
      </c>
      <c r="AM6" s="31">
        <v>0</v>
      </c>
      <c r="AN6" s="31">
        <v>0</v>
      </c>
      <c r="AO6" s="31">
        <v>0</v>
      </c>
      <c r="AP6" s="31">
        <v>0</v>
      </c>
      <c r="AQ6" s="31">
        <v>6.02900745368781</v>
      </c>
      <c r="AR6" s="31">
        <v>2.5580445835499201</v>
      </c>
      <c r="AS6" s="31">
        <v>0.54267615070431097</v>
      </c>
      <c r="AT6" s="31">
        <v>0</v>
      </c>
      <c r="AU6" s="31">
        <v>0.25912359123569001</v>
      </c>
      <c r="AV6" s="31">
        <v>0</v>
      </c>
      <c r="AW6" s="31">
        <v>0</v>
      </c>
      <c r="AX6" s="31">
        <v>1.89570074602435</v>
      </c>
      <c r="AY6" s="31">
        <v>-0.109878616195628</v>
      </c>
      <c r="AZ6" s="31">
        <v>0</v>
      </c>
      <c r="BA6" s="31">
        <v>0</v>
      </c>
      <c r="BB6" s="31">
        <v>0</v>
      </c>
      <c r="BC6" s="31">
        <v>0</v>
      </c>
      <c r="BD6" s="31">
        <v>0</v>
      </c>
    </row>
    <row r="7" spans="1:56" ht="11.25" customHeight="1" x14ac:dyDescent="0.25">
      <c r="A7" s="97"/>
      <c r="B7" s="97"/>
      <c r="C7" s="97"/>
      <c r="D7" s="97"/>
      <c r="E7" s="97"/>
      <c r="F7" s="97"/>
      <c r="G7" s="38" t="s">
        <v>108</v>
      </c>
      <c r="H7" s="38" t="s">
        <v>102</v>
      </c>
      <c r="I7" s="38">
        <f>'MERCADO TUSD'!$U$4</f>
        <v>644358.49899999984</v>
      </c>
      <c r="J7" s="15"/>
      <c r="L7" s="31">
        <f>('TUSD BE'!$L$7+'TUSD BF'!$L$7+'TUSD CVA'!$L$7)*1</f>
        <v>2.641821243605766</v>
      </c>
      <c r="M7" s="31">
        <f>('TUSD BE'!$M$7+'TUSD BF'!$M$7+'TUSD CVA'!$M$7)*1</f>
        <v>0.10547230624631024</v>
      </c>
      <c r="N7" s="31">
        <f ca="1">('TUSD BE'!$N$7+'TUSD BF'!$N$7+'TUSD CVA'!$N$7)*1</f>
        <v>0.22769923874022641</v>
      </c>
      <c r="O7" s="31">
        <f>('TUSD BE'!$O$7+'TUSD BF'!$O$7+'TUSD CVA'!$O$7)*1</f>
        <v>1.8728184976687441E-2</v>
      </c>
      <c r="P7" s="31">
        <f>('TUSD BE'!$P$7+'TUSD BF'!$P$7+'TUSD CVA'!$P$7)*1</f>
        <v>0</v>
      </c>
      <c r="Q7" s="31">
        <f>('TUSD BE'!$Q$7+'TUSD BF'!$Q$7+'TUSD CVA'!$Q$7)*1</f>
        <v>29.264190315193751</v>
      </c>
      <c r="R7" s="31">
        <f>('TUSD BE'!$R$7+'TUSD BF'!$R$7+'TUSD CVA'!$R$7)*1</f>
        <v>18.051835405677433</v>
      </c>
      <c r="S7" s="31">
        <f>('TUSD BE'!$S$7+'TUSD BF'!$S$7+'TUSD CVA'!$S$7)*1</f>
        <v>0</v>
      </c>
      <c r="T7" s="31">
        <f>('TUSD BE'!$U$7+'TUSD BF'!$U$7+'TUSD CVA'!$U$7)*1</f>
        <v>0</v>
      </c>
      <c r="U7" s="31">
        <f>('TUSD BE'!$V$7+'TUSD BF'!$V$7+'TUSD CVA'!$V$7)*1</f>
        <v>0</v>
      </c>
      <c r="V7" s="31">
        <f>('TUSD BE'!$W$7+'TUSD BF'!$W$7+'TUSD CVA'!$W$7)*1</f>
        <v>0</v>
      </c>
      <c r="W7" s="31">
        <f>('TUSD BE'!$X$7+'TUSD BF'!$X$7+'TUSD CVA'!$X$7)*1</f>
        <v>0</v>
      </c>
      <c r="X7" s="31">
        <f>('TUSD BE'!$Y$7+'TUSD BF'!$Y$7+'TUSD CVA'!$Y$7)*1</f>
        <v>0</v>
      </c>
      <c r="Y7" s="31">
        <f>('TUSD BE'!$Z$7+'TUSD BF'!$Z$7+'TUSD CVA'!$Z$7)*1</f>
        <v>0</v>
      </c>
      <c r="Z7" s="31">
        <f>('TUSD BE'!$AA$7+'TUSD BF'!$AA$7+'TUSD CVA'!$AA$7)*1</f>
        <v>0</v>
      </c>
      <c r="AA7" s="31">
        <f>('TUSD BE'!$AC$7+'TUSD BF'!$AC$7+'TUSD CVA'!$AC$7)*1</f>
        <v>0</v>
      </c>
      <c r="AB7" s="31">
        <f ca="1">('TUSD BE'!$AE$7+'TUSD BF'!$AE$7+'TUSD CVA'!$AE$7)*1</f>
        <v>-4.6872665769949551</v>
      </c>
      <c r="AC7" s="31">
        <f ca="1">('TUSD BE'!$AF$7+'TUSD BF'!$AF$7+'TUSD CVA'!$AF$7)*1</f>
        <v>0</v>
      </c>
      <c r="AD7" s="31">
        <f>('TUSD BE'!$AH$7+'TUSD BF'!$AH$7+'TUSD CVA'!$AH$7)*1</f>
        <v>6.212566224604342</v>
      </c>
      <c r="AE7" s="31">
        <f>('TUSD BE'!$AI$7+'TUSD BF'!$AI$7+'TUSD CVA'!$AI$7)*1</f>
        <v>0.18831286837220088</v>
      </c>
      <c r="AF7" s="31">
        <f ca="1">('TUSD BE'!$AJ$7+'TUSD BF'!$AJ$7+'TUSD CVA'!$AJ$7)*1</f>
        <v>3.2847299654788573</v>
      </c>
      <c r="AG7" s="31">
        <f ca="1">('TUSD BE'!$AK$7+'TUSD BF'!$AK$7+'TUSD CVA'!$AK$7)*1</f>
        <v>0</v>
      </c>
      <c r="AI7" s="31">
        <v>2.6987111749060699</v>
      </c>
      <c r="AJ7" s="31">
        <v>9.7358816680885002E-2</v>
      </c>
      <c r="AK7" s="31">
        <v>0.232363746940347</v>
      </c>
      <c r="AL7" s="31">
        <v>1.86109448442504E-2</v>
      </c>
      <c r="AM7" s="31">
        <v>0</v>
      </c>
      <c r="AN7" s="31">
        <v>18.6795826963133</v>
      </c>
      <c r="AO7" s="31">
        <v>10.086366024610101</v>
      </c>
      <c r="AP7" s="31">
        <v>0</v>
      </c>
      <c r="AQ7" s="31">
        <v>0</v>
      </c>
      <c r="AR7" s="31">
        <v>0</v>
      </c>
      <c r="AS7" s="31">
        <v>0</v>
      </c>
      <c r="AT7" s="31">
        <v>0</v>
      </c>
      <c r="AU7" s="31">
        <v>0</v>
      </c>
      <c r="AV7" s="31">
        <v>0</v>
      </c>
      <c r="AW7" s="31">
        <v>0</v>
      </c>
      <c r="AX7" s="31">
        <v>0</v>
      </c>
      <c r="AY7" s="31">
        <v>-0.386462634885887</v>
      </c>
      <c r="AZ7" s="31">
        <v>0</v>
      </c>
      <c r="BA7" s="31">
        <v>6.8157844918963004</v>
      </c>
      <c r="BB7" s="31">
        <v>0.17097096944286</v>
      </c>
      <c r="BC7" s="31">
        <v>3.53439847417894</v>
      </c>
      <c r="BD7" s="31">
        <v>0</v>
      </c>
    </row>
    <row r="8" spans="1:56" ht="11.25" customHeight="1" x14ac:dyDescent="0.25">
      <c r="A8" s="97"/>
      <c r="B8" s="97"/>
      <c r="C8" s="97"/>
      <c r="D8" s="97"/>
      <c r="E8" s="37" t="s">
        <v>59</v>
      </c>
      <c r="F8" s="37" t="s">
        <v>25</v>
      </c>
      <c r="G8" s="38" t="s">
        <v>108</v>
      </c>
      <c r="H8" s="38" t="s">
        <v>102</v>
      </c>
      <c r="I8" s="38">
        <f>'MERCADO TUSD'!$U$5</f>
        <v>0</v>
      </c>
      <c r="J8" s="15"/>
      <c r="L8" s="31">
        <f>('TUSD BE'!$L$8+'TUSD BF'!$L$8+'TUSD CVA'!$L$8)*1</f>
        <v>0</v>
      </c>
      <c r="M8" s="31">
        <f>('TUSD BE'!$M$8+'TUSD BF'!$M$8+'TUSD CVA'!$M$8)*1</f>
        <v>0.10547230624631024</v>
      </c>
      <c r="N8" s="31">
        <f ca="1">('TUSD BE'!$N$8+'TUSD BF'!$N$8+'TUSD CVA'!$N$8)*1</f>
        <v>0.21697390486523155</v>
      </c>
      <c r="O8" s="31">
        <f>('TUSD BE'!$O$8+'TUSD BF'!$O$8+'TUSD CVA'!$O$8)*1</f>
        <v>1.8728184976687441E-2</v>
      </c>
      <c r="P8" s="31">
        <f>('TUSD BE'!$P$8+'TUSD BF'!$P$8+'TUSD CVA'!$P$8)*1</f>
        <v>0</v>
      </c>
      <c r="Q8" s="31">
        <f>('TUSD BE'!$Q$8+'TUSD BF'!$Q$8+'TUSD CVA'!$Q$8)*1</f>
        <v>0</v>
      </c>
      <c r="R8" s="31">
        <f>('TUSD BE'!$R$8+'TUSD BF'!$R$8+'TUSD CVA'!$R$8)*1</f>
        <v>0</v>
      </c>
      <c r="S8" s="31">
        <f>('TUSD BE'!$S$8+'TUSD BF'!$S$8+'TUSD CVA'!$S$8)*1</f>
        <v>0</v>
      </c>
      <c r="T8" s="31">
        <f>('TUSD BE'!$U$8+'TUSD BF'!$U$8+'TUSD CVA'!$U$8)*1</f>
        <v>0</v>
      </c>
      <c r="U8" s="31">
        <f>('TUSD BE'!$V$8+'TUSD BF'!$V$8+'TUSD CVA'!$V$8)*1</f>
        <v>0</v>
      </c>
      <c r="V8" s="31">
        <f>('TUSD BE'!$W$8+'TUSD BF'!$W$8+'TUSD CVA'!$W$8)*1</f>
        <v>0</v>
      </c>
      <c r="W8" s="31">
        <f>('TUSD BE'!$X$8+'TUSD BF'!$X$8+'TUSD CVA'!$X$8)*1</f>
        <v>0</v>
      </c>
      <c r="X8" s="31">
        <f>('TUSD BE'!$Y$8+'TUSD BF'!$Y$8+'TUSD CVA'!$Y$8)*1</f>
        <v>0</v>
      </c>
      <c r="Y8" s="31">
        <f>('TUSD BE'!$Z$8+'TUSD BF'!$Z$8+'TUSD CVA'!$Z$8)*1</f>
        <v>0</v>
      </c>
      <c r="Z8" s="31">
        <f>('TUSD BE'!$AA$8+'TUSD BF'!$AA$8+'TUSD CVA'!$AA$8)*1</f>
        <v>0</v>
      </c>
      <c r="AA8" s="31">
        <f>('TUSD BE'!$AC$8+'TUSD BF'!$AC$8+'TUSD CVA'!$AC$8)*1</f>
        <v>0</v>
      </c>
      <c r="AB8" s="31">
        <f ca="1">('TUSD BE'!$AE$8+'TUSD BF'!$AE$8+'TUSD CVA'!$AE$8)*1</f>
        <v>-0.9782664849026913</v>
      </c>
      <c r="AC8" s="31">
        <f ca="1">('TUSD BE'!$AF$8+'TUSD BF'!$AF$8+'TUSD CVA'!$AF$8)*1</f>
        <v>0</v>
      </c>
      <c r="AD8" s="31">
        <f>('TUSD BE'!$AH$8+'TUSD BF'!$AH$8+'TUSD CVA'!$AH$8)*1</f>
        <v>6.212566224604342</v>
      </c>
      <c r="AE8" s="31">
        <f>('TUSD BE'!$AI$8+'TUSD BF'!$AI$8+'TUSD CVA'!$AI$8)*1</f>
        <v>0.18831286837220088</v>
      </c>
      <c r="AF8" s="31">
        <f ca="1">('TUSD BE'!$AJ$8+'TUSD BF'!$AJ$8+'TUSD CVA'!$AJ$8)*1</f>
        <v>3.2847299654788573</v>
      </c>
      <c r="AG8" s="31">
        <f ca="1">('TUSD BE'!$AK$8+'TUSD BF'!$AK$8+'TUSD CVA'!$AK$8)*1</f>
        <v>0</v>
      </c>
      <c r="AI8" s="31">
        <v>0</v>
      </c>
      <c r="AJ8" s="31">
        <v>9.7358816680885002E-2</v>
      </c>
      <c r="AK8" s="31">
        <v>0.22107584893724699</v>
      </c>
      <c r="AL8" s="31">
        <v>1.86109448442504E-2</v>
      </c>
      <c r="AM8" s="31">
        <v>0</v>
      </c>
      <c r="AN8" s="31">
        <v>0</v>
      </c>
      <c r="AO8" s="31">
        <v>0</v>
      </c>
      <c r="AP8" s="31">
        <v>0</v>
      </c>
      <c r="AQ8" s="31">
        <v>0</v>
      </c>
      <c r="AR8" s="31">
        <v>0</v>
      </c>
      <c r="AS8" s="31">
        <v>0</v>
      </c>
      <c r="AT8" s="31">
        <v>0</v>
      </c>
      <c r="AU8" s="31">
        <v>0</v>
      </c>
      <c r="AV8" s="31">
        <v>0</v>
      </c>
      <c r="AW8" s="31">
        <v>0</v>
      </c>
      <c r="AX8" s="31">
        <v>0</v>
      </c>
      <c r="AY8" s="31">
        <v>-0.102093577435742</v>
      </c>
      <c r="AZ8" s="31">
        <v>0</v>
      </c>
      <c r="BA8" s="31">
        <v>6.8157844918963004</v>
      </c>
      <c r="BB8" s="31">
        <v>0.17097096944286</v>
      </c>
      <c r="BC8" s="31">
        <v>3.53439847417894</v>
      </c>
      <c r="BD8" s="31">
        <v>0</v>
      </c>
    </row>
    <row r="9" spans="1:56" ht="11.25" customHeight="1" x14ac:dyDescent="0.25">
      <c r="A9" s="97"/>
      <c r="B9" s="97" t="s">
        <v>62</v>
      </c>
      <c r="C9" s="97" t="s">
        <v>25</v>
      </c>
      <c r="D9" s="97" t="s">
        <v>25</v>
      </c>
      <c r="E9" s="97" t="s">
        <v>25</v>
      </c>
      <c r="F9" s="97" t="s">
        <v>65</v>
      </c>
      <c r="G9" s="38" t="s">
        <v>106</v>
      </c>
      <c r="H9" s="38" t="s">
        <v>105</v>
      </c>
      <c r="I9" s="38">
        <f>'MERCADO TUSD'!$U$6</f>
        <v>344392</v>
      </c>
      <c r="J9" s="15"/>
      <c r="L9" s="31">
        <f>('TUSD BE'!$L$9+'TUSD BF'!$L$9+'TUSD CVA'!$L$9)*1</f>
        <v>0</v>
      </c>
      <c r="M9" s="31">
        <f>('TUSD BE'!$M$9+'TUSD BF'!$M$9+'TUSD CVA'!$M$9)*1</f>
        <v>0</v>
      </c>
      <c r="N9" s="31">
        <f ca="1">('TUSD BE'!$N$9+'TUSD BF'!$N$9+'TUSD CVA'!$N$9)*1</f>
        <v>0</v>
      </c>
      <c r="O9" s="31">
        <f>('TUSD BE'!$O$9+'TUSD BF'!$O$9+'TUSD CVA'!$O$9)*1</f>
        <v>0</v>
      </c>
      <c r="P9" s="31">
        <f>('TUSD BE'!$P$9+'TUSD BF'!$P$9+'TUSD CVA'!$P$9)*1</f>
        <v>0</v>
      </c>
      <c r="Q9" s="31">
        <f>('TUSD BE'!$Q$9+'TUSD BF'!$Q$9+'TUSD CVA'!$Q$9)*1</f>
        <v>0</v>
      </c>
      <c r="R9" s="31">
        <f>('TUSD BE'!$R$9+'TUSD BF'!$R$9+'TUSD CVA'!$R$9)*1</f>
        <v>0</v>
      </c>
      <c r="S9" s="31">
        <f>('TUSD BE'!$S$9+'TUSD BF'!$S$9+'TUSD CVA'!$S$9)*1</f>
        <v>0</v>
      </c>
      <c r="T9" s="31">
        <f>('TUSD BE'!$U$9+'TUSD BF'!$U$9+'TUSD CVA'!$U$9)*1</f>
        <v>9.0155864436696724</v>
      </c>
      <c r="U9" s="31">
        <f>('TUSD BE'!$V$9+'TUSD BF'!$V$9+'TUSD CVA'!$V$9)*1</f>
        <v>2.7963118645553537</v>
      </c>
      <c r="V9" s="31">
        <f>('TUSD BE'!$W$9+'TUSD BF'!$W$9+'TUSD CVA'!$W$9)*1</f>
        <v>0.44551159706489535</v>
      </c>
      <c r="W9" s="31">
        <f>('TUSD BE'!$X$9+'TUSD BF'!$X$9+'TUSD CVA'!$X$9)*1</f>
        <v>2.5920240966366928E-2</v>
      </c>
      <c r="X9" s="31">
        <f>('TUSD BE'!$Y$9+'TUSD BF'!$Y$9+'TUSD CVA'!$Y$9)*1</f>
        <v>0.52702143917343114</v>
      </c>
      <c r="Y9" s="31">
        <f>('TUSD BE'!$Z$9+'TUSD BF'!$Z$9+'TUSD CVA'!$Z$9)*1</f>
        <v>0</v>
      </c>
      <c r="Z9" s="31">
        <f>('TUSD BE'!$AA$9+'TUSD BF'!$AA$9+'TUSD CVA'!$AA$9)*1</f>
        <v>0</v>
      </c>
      <c r="AA9" s="31">
        <f>('TUSD BE'!$AC$9+'TUSD BF'!$AC$9+'TUSD CVA'!$AC$9)*1</f>
        <v>10.588507070525306</v>
      </c>
      <c r="AB9" s="31">
        <f>('TUSD BE'!$AE$9+'TUSD BF'!$AE$9+'TUSD CVA'!$AE$9)*1</f>
        <v>0</v>
      </c>
      <c r="AC9" s="31">
        <f ca="1">('TUSD BE'!$AF$9+'TUSD BF'!$AF$9+'TUSD CVA'!$AF$9)*1</f>
        <v>0</v>
      </c>
      <c r="AD9" s="31">
        <f>('TUSD BE'!$AH$9+'TUSD BF'!$AH$9+'TUSD CVA'!$AH$9)*1</f>
        <v>0</v>
      </c>
      <c r="AE9" s="31">
        <f>('TUSD BE'!$AI$9+'TUSD BF'!$AI$9+'TUSD CVA'!$AI$9)*1</f>
        <v>0</v>
      </c>
      <c r="AF9" s="31">
        <f ca="1">('TUSD BE'!$AJ$9+'TUSD BF'!$AJ$9+'TUSD CVA'!$AJ$9)*1</f>
        <v>0</v>
      </c>
      <c r="AG9" s="31">
        <f ca="1">('TUSD BE'!$AK$9+'TUSD BF'!$AK$9+'TUSD CVA'!$AK$9)*1</f>
        <v>0</v>
      </c>
      <c r="AI9" s="31">
        <v>0</v>
      </c>
      <c r="AJ9" s="31">
        <v>0</v>
      </c>
      <c r="AK9" s="31">
        <v>0</v>
      </c>
      <c r="AL9" s="31">
        <v>0</v>
      </c>
      <c r="AM9" s="31">
        <v>0</v>
      </c>
      <c r="AN9" s="31">
        <v>0</v>
      </c>
      <c r="AO9" s="31">
        <v>0</v>
      </c>
      <c r="AP9" s="31">
        <v>0</v>
      </c>
      <c r="AQ9" s="31">
        <v>7.4935935932823998</v>
      </c>
      <c r="AR9" s="31">
        <v>3.2181204015796601</v>
      </c>
      <c r="AS9" s="31">
        <v>0.73759241606964199</v>
      </c>
      <c r="AT9" s="31">
        <v>0</v>
      </c>
      <c r="AU9" s="31">
        <v>0.60853607809219601</v>
      </c>
      <c r="AV9" s="31">
        <v>0</v>
      </c>
      <c r="AW9" s="31">
        <v>0</v>
      </c>
      <c r="AX9" s="31">
        <v>9.6410538211062207</v>
      </c>
      <c r="AY9" s="31">
        <v>0</v>
      </c>
      <c r="AZ9" s="31">
        <v>0</v>
      </c>
      <c r="BA9" s="31">
        <v>0</v>
      </c>
      <c r="BB9" s="31">
        <v>0</v>
      </c>
      <c r="BC9" s="31">
        <v>0</v>
      </c>
      <c r="BD9" s="31">
        <v>0</v>
      </c>
    </row>
    <row r="10" spans="1:56" ht="11.25" customHeight="1" x14ac:dyDescent="0.25">
      <c r="A10" s="97"/>
      <c r="B10" s="97"/>
      <c r="C10" s="97"/>
      <c r="D10" s="97"/>
      <c r="E10" s="97"/>
      <c r="F10" s="97"/>
      <c r="G10" s="38" t="s">
        <v>107</v>
      </c>
      <c r="H10" s="38" t="s">
        <v>105</v>
      </c>
      <c r="I10" s="38">
        <f>'MERCADO TUSD'!$U$7</f>
        <v>351600</v>
      </c>
      <c r="J10" s="15"/>
      <c r="L10" s="31">
        <f>('TUSD BE'!$L$10+'TUSD BF'!$L$10+'TUSD CVA'!$L$10)*1</f>
        <v>0</v>
      </c>
      <c r="M10" s="31">
        <f>('TUSD BE'!$M$10+'TUSD BF'!$M$10+'TUSD CVA'!$M$10)*1</f>
        <v>0</v>
      </c>
      <c r="N10" s="31">
        <f ca="1">('TUSD BE'!$N$10+'TUSD BF'!$N$10+'TUSD CVA'!$N$10)*1</f>
        <v>0</v>
      </c>
      <c r="O10" s="31">
        <f>('TUSD BE'!$O$10+'TUSD BF'!$O$10+'TUSD CVA'!$O$10)*1</f>
        <v>0</v>
      </c>
      <c r="P10" s="31">
        <f>('TUSD BE'!$P$10+'TUSD BF'!$P$10+'TUSD CVA'!$P$10)*1</f>
        <v>0</v>
      </c>
      <c r="Q10" s="31">
        <f>('TUSD BE'!$Q$10+'TUSD BF'!$Q$10+'TUSD CVA'!$Q$10)*1</f>
        <v>0</v>
      </c>
      <c r="R10" s="31">
        <f>('TUSD BE'!$R$10+'TUSD BF'!$R$10+'TUSD CVA'!$R$10)*1</f>
        <v>0</v>
      </c>
      <c r="S10" s="31">
        <f>('TUSD BE'!$S$10+'TUSD BF'!$S$10+'TUSD CVA'!$S$10)*1</f>
        <v>0</v>
      </c>
      <c r="T10" s="31">
        <f>('TUSD BE'!$U$10+'TUSD BF'!$U$10+'TUSD CVA'!$U$10)*1</f>
        <v>7.2535342611824491</v>
      </c>
      <c r="U10" s="31">
        <f>('TUSD BE'!$V$10+'TUSD BF'!$V$10+'TUSD CVA'!$V$10)*1</f>
        <v>2.2227541317382018</v>
      </c>
      <c r="V10" s="31">
        <f>('TUSD BE'!$W$10+'TUSD BF'!$W$10+'TUSD CVA'!$W$10)*1</f>
        <v>0.32778064595295414</v>
      </c>
      <c r="W10" s="31">
        <f>('TUSD BE'!$X$10+'TUSD BF'!$X$10+'TUSD CVA'!$X$10)*1</f>
        <v>1.9088549548874869E-2</v>
      </c>
      <c r="X10" s="31">
        <f>('TUSD BE'!$Y$10+'TUSD BF'!$Y$10+'TUSD CVA'!$Y$10)*1</f>
        <v>0.22441346190181238</v>
      </c>
      <c r="Y10" s="31">
        <f>('TUSD BE'!$Z$10+'TUSD BF'!$Z$10+'TUSD CVA'!$Z$10)*1</f>
        <v>0</v>
      </c>
      <c r="Z10" s="31">
        <f>('TUSD BE'!$AA$10+'TUSD BF'!$AA$10+'TUSD CVA'!$AA$10)*1</f>
        <v>0</v>
      </c>
      <c r="AA10" s="31">
        <f>('TUSD BE'!$AC$10+'TUSD BF'!$AC$10+'TUSD CVA'!$AC$10)*1</f>
        <v>2.076729023410381</v>
      </c>
      <c r="AB10" s="31">
        <f>('TUSD BE'!$AE$10+'TUSD BF'!$AE$10+'TUSD CVA'!$AE$10)*1</f>
        <v>0</v>
      </c>
      <c r="AC10" s="31">
        <f ca="1">('TUSD BE'!$AF$10+'TUSD BF'!$AF$10+'TUSD CVA'!$AF$10)*1</f>
        <v>0</v>
      </c>
      <c r="AD10" s="31">
        <f>('TUSD BE'!$AH$10+'TUSD BF'!$AH$10+'TUSD CVA'!$AH$10)*1</f>
        <v>0</v>
      </c>
      <c r="AE10" s="31">
        <f>('TUSD BE'!$AI$10+'TUSD BF'!$AI$10+'TUSD CVA'!$AI$10)*1</f>
        <v>0</v>
      </c>
      <c r="AF10" s="31">
        <f ca="1">('TUSD BE'!$AJ$10+'TUSD BF'!$AJ$10+'TUSD CVA'!$AJ$10)*1</f>
        <v>0</v>
      </c>
      <c r="AG10" s="31">
        <f ca="1">('TUSD BE'!$AK$10+'TUSD BF'!$AK$10+'TUSD CVA'!$AK$10)*1</f>
        <v>0</v>
      </c>
      <c r="AI10" s="31">
        <v>0</v>
      </c>
      <c r="AJ10" s="31">
        <v>0</v>
      </c>
      <c r="AK10" s="31">
        <v>0</v>
      </c>
      <c r="AL10" s="31">
        <v>0</v>
      </c>
      <c r="AM10" s="31">
        <v>0</v>
      </c>
      <c r="AN10" s="31">
        <v>0</v>
      </c>
      <c r="AO10" s="31">
        <v>0</v>
      </c>
      <c r="AP10" s="31">
        <v>0</v>
      </c>
      <c r="AQ10" s="31">
        <v>6.02900745368781</v>
      </c>
      <c r="AR10" s="31">
        <v>2.5580445835499201</v>
      </c>
      <c r="AS10" s="31">
        <v>0.54267615070431097</v>
      </c>
      <c r="AT10" s="31">
        <v>0</v>
      </c>
      <c r="AU10" s="31">
        <v>0.25912359123569001</v>
      </c>
      <c r="AV10" s="31">
        <v>0</v>
      </c>
      <c r="AW10" s="31">
        <v>0</v>
      </c>
      <c r="AX10" s="31">
        <v>1.89570074602435</v>
      </c>
      <c r="AY10" s="31">
        <v>0</v>
      </c>
      <c r="AZ10" s="31">
        <v>0</v>
      </c>
      <c r="BA10" s="31">
        <v>0</v>
      </c>
      <c r="BB10" s="31">
        <v>0</v>
      </c>
      <c r="BC10" s="31">
        <v>0</v>
      </c>
      <c r="BD10" s="31">
        <v>0</v>
      </c>
    </row>
    <row r="11" spans="1:56" ht="11.25" customHeight="1" x14ac:dyDescent="0.25">
      <c r="A11" s="97"/>
      <c r="B11" s="97"/>
      <c r="C11" s="97"/>
      <c r="D11" s="97"/>
      <c r="E11" s="97"/>
      <c r="F11" s="97"/>
      <c r="G11" s="38" t="s">
        <v>108</v>
      </c>
      <c r="H11" s="38" t="s">
        <v>102</v>
      </c>
      <c r="I11" s="38">
        <f>'MERCADO TUSD'!$U$8</f>
        <v>143574.41700000002</v>
      </c>
      <c r="J11" s="15"/>
      <c r="L11" s="31">
        <f>('TUSD BE'!$L$11+'TUSD BF'!$L$11+'TUSD CVA'!$L$11)*1</f>
        <v>0</v>
      </c>
      <c r="M11" s="31">
        <f>('TUSD BE'!$M$11+'TUSD BF'!$M$11+'TUSD CVA'!$M$11)*1</f>
        <v>0</v>
      </c>
      <c r="N11" s="31">
        <f ca="1">('TUSD BE'!$N$11+'TUSD BF'!$N$11+'TUSD CVA'!$N$11)*1</f>
        <v>0</v>
      </c>
      <c r="O11" s="31">
        <f>('TUSD BE'!$O$11+'TUSD BF'!$O$11+'TUSD CVA'!$O$11)*1</f>
        <v>0</v>
      </c>
      <c r="P11" s="31">
        <f>('TUSD BE'!$P$11+'TUSD BF'!$P$11+'TUSD CVA'!$P$11)*1</f>
        <v>0</v>
      </c>
      <c r="Q11" s="31">
        <f>('TUSD BE'!$Q$11+'TUSD BF'!$Q$11+'TUSD CVA'!$Q$11)*1</f>
        <v>0</v>
      </c>
      <c r="R11" s="31">
        <f>('TUSD BE'!$R$11+'TUSD BF'!$R$11+'TUSD CVA'!$R$11)*1</f>
        <v>0</v>
      </c>
      <c r="S11" s="31">
        <f>('TUSD BE'!$S$11+'TUSD BF'!$S$11+'TUSD CVA'!$S$11)*1</f>
        <v>0</v>
      </c>
      <c r="T11" s="31">
        <f>('TUSD BE'!$U$11+'TUSD BF'!$U$11+'TUSD CVA'!$U$11)*1</f>
        <v>0</v>
      </c>
      <c r="U11" s="31">
        <f>('TUSD BE'!$V$11+'TUSD BF'!$V$11+'TUSD CVA'!$V$11)*1</f>
        <v>0</v>
      </c>
      <c r="V11" s="31">
        <f>('TUSD BE'!$W$11+'TUSD BF'!$W$11+'TUSD CVA'!$W$11)*1</f>
        <v>0</v>
      </c>
      <c r="W11" s="31">
        <f>('TUSD BE'!$X$11+'TUSD BF'!$X$11+'TUSD CVA'!$X$11)*1</f>
        <v>0</v>
      </c>
      <c r="X11" s="31">
        <f>('TUSD BE'!$Y$11+'TUSD BF'!$Y$11+'TUSD CVA'!$Y$11)*1</f>
        <v>0</v>
      </c>
      <c r="Y11" s="31">
        <f>('TUSD BE'!$Z$11+'TUSD BF'!$Z$11+'TUSD CVA'!$Z$11)*1</f>
        <v>0</v>
      </c>
      <c r="Z11" s="31">
        <f>('TUSD BE'!$AA$11+'TUSD BF'!$AA$11+'TUSD CVA'!$AA$11)*1</f>
        <v>0</v>
      </c>
      <c r="AA11" s="31">
        <f>('TUSD BE'!$AC$11+'TUSD BF'!$AC$11+'TUSD CVA'!$AC$11)*1</f>
        <v>0</v>
      </c>
      <c r="AB11" s="31">
        <f>('TUSD BE'!$AE$11+'TUSD BF'!$AE$11+'TUSD CVA'!$AE$11)*1</f>
        <v>0</v>
      </c>
      <c r="AC11" s="31">
        <f ca="1">('TUSD BE'!$AF$11+'TUSD BF'!$AF$11+'TUSD CVA'!$AF$11)*1</f>
        <v>0</v>
      </c>
      <c r="AD11" s="31">
        <f>('TUSD BE'!$AH$11+'TUSD BF'!$AH$11+'TUSD CVA'!$AH$11)*1</f>
        <v>6.212566224604342</v>
      </c>
      <c r="AE11" s="31">
        <f>('TUSD BE'!$AI$11+'TUSD BF'!$AI$11+'TUSD CVA'!$AI$11)*1</f>
        <v>0.18831286837220088</v>
      </c>
      <c r="AF11" s="31">
        <f ca="1">('TUSD BE'!$AJ$11+'TUSD BF'!$AJ$11+'TUSD CVA'!$AJ$11)*1</f>
        <v>0</v>
      </c>
      <c r="AG11" s="31">
        <f ca="1">('TUSD BE'!$AK$11+'TUSD BF'!$AK$11+'TUSD CVA'!$AK$11)*1</f>
        <v>0</v>
      </c>
      <c r="AI11" s="31">
        <v>0</v>
      </c>
      <c r="AJ11" s="31">
        <v>0</v>
      </c>
      <c r="AK11" s="31">
        <v>0</v>
      </c>
      <c r="AL11" s="31">
        <v>0</v>
      </c>
      <c r="AM11" s="31">
        <v>0</v>
      </c>
      <c r="AN11" s="31">
        <v>0</v>
      </c>
      <c r="AO11" s="31">
        <v>0</v>
      </c>
      <c r="AP11" s="31">
        <v>0</v>
      </c>
      <c r="AQ11" s="31">
        <v>0</v>
      </c>
      <c r="AR11" s="31">
        <v>0</v>
      </c>
      <c r="AS11" s="31">
        <v>0</v>
      </c>
      <c r="AT11" s="31">
        <v>0</v>
      </c>
      <c r="AU11" s="31">
        <v>0</v>
      </c>
      <c r="AV11" s="31">
        <v>0</v>
      </c>
      <c r="AW11" s="31">
        <v>0</v>
      </c>
      <c r="AX11" s="31">
        <v>0</v>
      </c>
      <c r="AY11" s="31">
        <v>0</v>
      </c>
      <c r="AZ11" s="31">
        <v>0</v>
      </c>
      <c r="BA11" s="31">
        <v>6.8157844918963004</v>
      </c>
      <c r="BB11" s="31">
        <v>0.17097096944286</v>
      </c>
      <c r="BC11" s="31">
        <v>0</v>
      </c>
      <c r="BD11" s="31">
        <v>0</v>
      </c>
    </row>
    <row r="12" spans="1:56" ht="11.25" customHeight="1" x14ac:dyDescent="0.25">
      <c r="A12" s="97"/>
      <c r="B12" s="37" t="s">
        <v>66</v>
      </c>
      <c r="C12" s="37" t="s">
        <v>25</v>
      </c>
      <c r="D12" s="37" t="s">
        <v>25</v>
      </c>
      <c r="E12" s="37" t="s">
        <v>25</v>
      </c>
      <c r="F12" s="37" t="s">
        <v>25</v>
      </c>
      <c r="G12" s="38" t="s">
        <v>9</v>
      </c>
      <c r="H12" s="38" t="s">
        <v>105</v>
      </c>
      <c r="I12" s="38">
        <f>'MERCADO TUSD'!$U$9</f>
        <v>2595530</v>
      </c>
      <c r="J12" s="15"/>
      <c r="L12" s="31">
        <f>('TUSD BE'!$L$12+'TUSD BF'!$L$12+'TUSD CVA'!$L$12)*1</f>
        <v>0</v>
      </c>
      <c r="M12" s="31">
        <f>('TUSD BE'!$M$12+'TUSD BF'!$M$12+'TUSD CVA'!$M$12)*1</f>
        <v>6.0881989990357058E-2</v>
      </c>
      <c r="N12" s="31">
        <f ca="1">('TUSD BE'!$N$12+'TUSD BF'!$N$12+'TUSD CVA'!$N$12)*1</f>
        <v>0.14254965846115739</v>
      </c>
      <c r="O12" s="31">
        <f>('TUSD BE'!$O$12+'TUSD BF'!$O$12+'TUSD CVA'!$O$12)*1</f>
        <v>6.4439359210158587E-3</v>
      </c>
      <c r="P12" s="31">
        <f>('TUSD BE'!$P$12+'TUSD BF'!$P$12+'TUSD CVA'!$P$12)*1</f>
        <v>0</v>
      </c>
      <c r="Q12" s="31">
        <f>('TUSD BE'!$Q$12+'TUSD BF'!$Q$12+'TUSD CVA'!$Q$12)*1</f>
        <v>0</v>
      </c>
      <c r="R12" s="31">
        <f>('TUSD BE'!$R$12+'TUSD BF'!$R$12+'TUSD CVA'!$R$12)*1</f>
        <v>0</v>
      </c>
      <c r="S12" s="31">
        <f>('TUSD BE'!$S$12+'TUSD BF'!$S$12+'TUSD CVA'!$S$12)*1</f>
        <v>0</v>
      </c>
      <c r="T12" s="31">
        <f>('TUSD BE'!$U$12+'TUSD BF'!$U$12+'TUSD CVA'!$U$12)*1</f>
        <v>0</v>
      </c>
      <c r="U12" s="31">
        <f>('TUSD BE'!$V$12+'TUSD BF'!$V$12+'TUSD CVA'!$V$12)*1</f>
        <v>0</v>
      </c>
      <c r="V12" s="31">
        <f>('TUSD BE'!$W$12+'TUSD BF'!$W$12+'TUSD CVA'!$W$12)*1</f>
        <v>0.22727928404185052</v>
      </c>
      <c r="W12" s="31">
        <f>('TUSD BE'!$X$12+'TUSD BF'!$X$12+'TUSD CVA'!$X$12)*1</f>
        <v>0</v>
      </c>
      <c r="X12" s="31">
        <f>('TUSD BE'!$Y$12+'TUSD BF'!$Y$12+'TUSD CVA'!$Y$12)*1</f>
        <v>0.94109459381286897</v>
      </c>
      <c r="Y12" s="31">
        <f>('TUSD BE'!$Z$12+'TUSD BF'!$Z$12+'TUSD CVA'!$Z$12)*1</f>
        <v>0</v>
      </c>
      <c r="Z12" s="31">
        <f>('TUSD BE'!$AA$12+'TUSD BF'!$AA$12+'TUSD CVA'!$AA$12)*1</f>
        <v>0</v>
      </c>
      <c r="AA12" s="31">
        <f>('TUSD BE'!$AC$12+'TUSD BF'!$AC$12+'TUSD CVA'!$AC$12)*1</f>
        <v>11.529431738320262</v>
      </c>
      <c r="AB12" s="31">
        <f ca="1">('TUSD BE'!$AE$12+'TUSD BF'!$AE$12+'TUSD CVA'!$AE$12)*1</f>
        <v>-1.2998627548949777</v>
      </c>
      <c r="AC12" s="31">
        <f ca="1">('TUSD BE'!$AF$12+'TUSD BF'!$AF$12+'TUSD CVA'!$AF$12)*1</f>
        <v>0</v>
      </c>
      <c r="AD12" s="31">
        <f>('TUSD BE'!$AH$12+'TUSD BF'!$AH$12+'TUSD CVA'!$AH$12)*1</f>
        <v>0.9289083010782756</v>
      </c>
      <c r="AE12" s="31">
        <f>('TUSD BE'!$AI$12+'TUSD BF'!$AI$12+'TUSD CVA'!$AI$12)*1</f>
        <v>0.26004800396816397</v>
      </c>
      <c r="AF12" s="31">
        <f ca="1">('TUSD BE'!$AJ$12+'TUSD BF'!$AJ$12+'TUSD CVA'!$AJ$12)*1</f>
        <v>0</v>
      </c>
      <c r="AG12" s="31">
        <f ca="1">('TUSD BE'!$AK$12+'TUSD BF'!$AK$12+'TUSD CVA'!$AK$12)*1</f>
        <v>0</v>
      </c>
      <c r="AI12" s="31">
        <v>0</v>
      </c>
      <c r="AJ12" s="31">
        <v>5.3543397236099299E-2</v>
      </c>
      <c r="AK12" s="31">
        <v>0.12950019314698899</v>
      </c>
      <c r="AL12" s="31">
        <v>5.7458317266854903E-3</v>
      </c>
      <c r="AM12" s="31">
        <v>0</v>
      </c>
      <c r="AN12" s="31">
        <v>0</v>
      </c>
      <c r="AO12" s="31">
        <v>0</v>
      </c>
      <c r="AP12" s="31">
        <v>0</v>
      </c>
      <c r="AQ12" s="31">
        <v>0</v>
      </c>
      <c r="AR12" s="31">
        <v>0</v>
      </c>
      <c r="AS12" s="31">
        <v>0.20647338969071599</v>
      </c>
      <c r="AT12" s="31">
        <v>0</v>
      </c>
      <c r="AU12" s="31">
        <v>0.92011182028840199</v>
      </c>
      <c r="AV12" s="31">
        <v>0</v>
      </c>
      <c r="AW12" s="31">
        <v>0</v>
      </c>
      <c r="AX12" s="31">
        <v>10.444993616615999</v>
      </c>
      <c r="AY12" s="31">
        <v>-0.13385128557130399</v>
      </c>
      <c r="AZ12" s="31">
        <v>0</v>
      </c>
      <c r="BA12" s="31">
        <v>0.99840242037171401</v>
      </c>
      <c r="BB12" s="31">
        <v>0.27950289202202999</v>
      </c>
      <c r="BC12" s="31">
        <v>0</v>
      </c>
      <c r="BD12" s="31">
        <v>0</v>
      </c>
    </row>
    <row r="13" spans="1:56" ht="11.25" customHeight="1" x14ac:dyDescent="0.25">
      <c r="A13" s="97" t="s">
        <v>41</v>
      </c>
      <c r="B13" s="97" t="s">
        <v>40</v>
      </c>
      <c r="C13" s="97" t="s">
        <v>25</v>
      </c>
      <c r="D13" s="97" t="s">
        <v>25</v>
      </c>
      <c r="E13" s="97" t="s">
        <v>25</v>
      </c>
      <c r="F13" s="97" t="s">
        <v>25</v>
      </c>
      <c r="G13" s="38" t="s">
        <v>106</v>
      </c>
      <c r="H13" s="38" t="s">
        <v>105</v>
      </c>
      <c r="I13" s="38">
        <f>'MERCADO TUSD'!$U$10</f>
        <v>558998</v>
      </c>
      <c r="J13" s="15"/>
      <c r="L13" s="31">
        <f>('TUSD BE'!$L$13+'TUSD BF'!$L$13+'TUSD CVA'!$L$13)*1</f>
        <v>0</v>
      </c>
      <c r="M13" s="31">
        <f>('TUSD BE'!$M$13+'TUSD BF'!$M$13+'TUSD CVA'!$M$13)*1</f>
        <v>0</v>
      </c>
      <c r="N13" s="31">
        <f ca="1">('TUSD BE'!$N$13+'TUSD BF'!$N$13+'TUSD CVA'!$N$13)*1</f>
        <v>0</v>
      </c>
      <c r="O13" s="31">
        <f>('TUSD BE'!$O$13+'TUSD BF'!$O$13+'TUSD CVA'!$O$13)*1</f>
        <v>0</v>
      </c>
      <c r="P13" s="31">
        <f>('TUSD BE'!$P$13+'TUSD BF'!$P$13+'TUSD CVA'!$P$13)*1</f>
        <v>0</v>
      </c>
      <c r="Q13" s="31">
        <f>('TUSD BE'!$Q$13+'TUSD BF'!$Q$13+'TUSD CVA'!$Q$13)*1</f>
        <v>0</v>
      </c>
      <c r="R13" s="31">
        <f>('TUSD BE'!$R$13+'TUSD BF'!$R$13+'TUSD CVA'!$R$13)*1</f>
        <v>0</v>
      </c>
      <c r="S13" s="31">
        <f>('TUSD BE'!$S$13+'TUSD BF'!$S$13+'TUSD CVA'!$S$13)*1</f>
        <v>0</v>
      </c>
      <c r="T13" s="31">
        <f>('TUSD BE'!$U$13+'TUSD BF'!$U$13+'TUSD CVA'!$U$13)*1</f>
        <v>7.7358801067355518</v>
      </c>
      <c r="U13" s="31">
        <f>('TUSD BE'!$V$13+'TUSD BF'!$V$13+'TUSD CVA'!$V$13)*1</f>
        <v>2.3993675369568574</v>
      </c>
      <c r="V13" s="31">
        <f>('TUSD BE'!$W$13+'TUSD BF'!$W$13+'TUSD CVA'!$W$13)*1</f>
        <v>0.3822879893249061</v>
      </c>
      <c r="W13" s="31">
        <f>('TUSD BE'!$X$13+'TUSD BF'!$X$13+'TUSD CVA'!$X$13)*1</f>
        <v>2.2202997106849195E-2</v>
      </c>
      <c r="X13" s="31">
        <f>('TUSD BE'!$Y$13+'TUSD BF'!$Y$13+'TUSD CVA'!$Y$13)*1</f>
        <v>0.5849717303186619</v>
      </c>
      <c r="Y13" s="31">
        <f>('TUSD BE'!$Z$13+'TUSD BF'!$Z$13+'TUSD CVA'!$Z$13)*1</f>
        <v>0</v>
      </c>
      <c r="Z13" s="31">
        <f>('TUSD BE'!$AA$13+'TUSD BF'!$AA$13+'TUSD CVA'!$AA$13)*1</f>
        <v>0</v>
      </c>
      <c r="AA13" s="31">
        <f>('TUSD BE'!$AC$13+'TUSD BF'!$AC$13+'TUSD CVA'!$AC$13)*1</f>
        <v>46.312968667281488</v>
      </c>
      <c r="AB13" s="31">
        <f ca="1">('TUSD BE'!$AE$13+'TUSD BF'!$AE$13+'TUSD CVA'!$AE$13)*1</f>
        <v>-5.204005661709882</v>
      </c>
      <c r="AC13" s="31">
        <f ca="1">('TUSD BE'!$AF$13+'TUSD BF'!$AF$13+'TUSD CVA'!$AF$13)*1</f>
        <v>0</v>
      </c>
      <c r="AD13" s="31">
        <f>('TUSD BE'!$AH$13+'TUSD BF'!$AH$13+'TUSD CVA'!$AH$13)*1</f>
        <v>0</v>
      </c>
      <c r="AE13" s="31">
        <f>('TUSD BE'!$AI$13+'TUSD BF'!$AI$13+'TUSD CVA'!$AI$13)*1</f>
        <v>0</v>
      </c>
      <c r="AF13" s="31">
        <f ca="1">('TUSD BE'!$AJ$13+'TUSD BF'!$AJ$13+'TUSD CVA'!$AJ$13)*1</f>
        <v>0</v>
      </c>
      <c r="AG13" s="31">
        <f ca="1">('TUSD BE'!$AK$13+'TUSD BF'!$AK$13+'TUSD CVA'!$AK$13)*1</f>
        <v>0</v>
      </c>
      <c r="AI13" s="31">
        <v>0</v>
      </c>
      <c r="AJ13" s="31">
        <v>0</v>
      </c>
      <c r="AK13" s="31">
        <v>0</v>
      </c>
      <c r="AL13" s="31">
        <v>0</v>
      </c>
      <c r="AM13" s="31">
        <v>0</v>
      </c>
      <c r="AN13" s="31">
        <v>0</v>
      </c>
      <c r="AO13" s="31">
        <v>0</v>
      </c>
      <c r="AP13" s="31">
        <v>0</v>
      </c>
      <c r="AQ13" s="31">
        <v>6.4299246608564102</v>
      </c>
      <c r="AR13" s="31">
        <v>2.7612991667496298</v>
      </c>
      <c r="AS13" s="31">
        <v>0.63291892632705005</v>
      </c>
      <c r="AT13" s="31">
        <v>0</v>
      </c>
      <c r="AU13" s="31">
        <v>0.67544956638050602</v>
      </c>
      <c r="AV13" s="31">
        <v>0</v>
      </c>
      <c r="AW13" s="31">
        <v>0</v>
      </c>
      <c r="AX13" s="31">
        <v>42.187228402448099</v>
      </c>
      <c r="AY13" s="31">
        <v>-0.53919566266189101</v>
      </c>
      <c r="AZ13" s="31">
        <v>0</v>
      </c>
      <c r="BA13" s="31">
        <v>0</v>
      </c>
      <c r="BB13" s="31">
        <v>0</v>
      </c>
      <c r="BC13" s="31">
        <v>0</v>
      </c>
      <c r="BD13" s="31">
        <v>0</v>
      </c>
    </row>
    <row r="14" spans="1:56" ht="11.25" customHeight="1" x14ac:dyDescent="0.25">
      <c r="A14" s="97"/>
      <c r="B14" s="97"/>
      <c r="C14" s="97"/>
      <c r="D14" s="97"/>
      <c r="E14" s="97"/>
      <c r="F14" s="97"/>
      <c r="G14" s="38" t="s">
        <v>107</v>
      </c>
      <c r="H14" s="38" t="s">
        <v>105</v>
      </c>
      <c r="I14" s="38">
        <f>'MERCADO TUSD'!$U$11</f>
        <v>639825</v>
      </c>
      <c r="J14" s="15"/>
      <c r="L14" s="31">
        <f>('TUSD BE'!$L$14+'TUSD BF'!$L$14+'TUSD CVA'!$L$14)*1</f>
        <v>0</v>
      </c>
      <c r="M14" s="31">
        <f>('TUSD BE'!$M$14+'TUSD BF'!$M$14+'TUSD CVA'!$M$14)*1</f>
        <v>0</v>
      </c>
      <c r="N14" s="31">
        <f ca="1">('TUSD BE'!$N$14+'TUSD BF'!$N$14+'TUSD CVA'!$N$14)*1</f>
        <v>0</v>
      </c>
      <c r="O14" s="31">
        <f>('TUSD BE'!$O$14+'TUSD BF'!$O$14+'TUSD CVA'!$O$14)*1</f>
        <v>0</v>
      </c>
      <c r="P14" s="31">
        <f>('TUSD BE'!$P$14+'TUSD BF'!$P$14+'TUSD CVA'!$P$14)*1</f>
        <v>0</v>
      </c>
      <c r="Q14" s="31">
        <f>('TUSD BE'!$Q$14+'TUSD BF'!$Q$14+'TUSD CVA'!$Q$14)*1</f>
        <v>0</v>
      </c>
      <c r="R14" s="31">
        <f>('TUSD BE'!$R$14+'TUSD BF'!$R$14+'TUSD CVA'!$R$14)*1</f>
        <v>0</v>
      </c>
      <c r="S14" s="31">
        <f>('TUSD BE'!$S$14+'TUSD BF'!$S$14+'TUSD CVA'!$S$14)*1</f>
        <v>0</v>
      </c>
      <c r="T14" s="31">
        <f>('TUSD BE'!$U$14+'TUSD BF'!$U$14+'TUSD CVA'!$U$14)*1</f>
        <v>4.8310052748032497</v>
      </c>
      <c r="U14" s="31">
        <f>('TUSD BE'!$V$14+'TUSD BF'!$V$14+'TUSD CVA'!$V$14)*1</f>
        <v>1.4906868735084076</v>
      </c>
      <c r="V14" s="31">
        <f>('TUSD BE'!$W$14+'TUSD BF'!$W$14+'TUSD CVA'!$W$14)*1</f>
        <v>0.21802937348780771</v>
      </c>
      <c r="W14" s="31">
        <f>('TUSD BE'!$X$14+'TUSD BF'!$X$14+'TUSD CVA'!$X$14)*1</f>
        <v>1.2658722332411757E-2</v>
      </c>
      <c r="X14" s="31">
        <f>('TUSD BE'!$Y$14+'TUSD BF'!$Y$14+'TUSD CVA'!$Y$14)*1</f>
        <v>0.19044921841603146</v>
      </c>
      <c r="Y14" s="31">
        <f>('TUSD BE'!$Z$14+'TUSD BF'!$Z$14+'TUSD CVA'!$Z$14)*1</f>
        <v>0</v>
      </c>
      <c r="Z14" s="31">
        <f>('TUSD BE'!$AA$14+'TUSD BF'!$AA$14+'TUSD CVA'!$AA$14)*1</f>
        <v>0</v>
      </c>
      <c r="AA14" s="31">
        <f>('TUSD BE'!$AC$14+'TUSD BF'!$AC$14+'TUSD CVA'!$AC$14)*1</f>
        <v>22.148927821524858</v>
      </c>
      <c r="AB14" s="31">
        <f ca="1">('TUSD BE'!$AE$14+'TUSD BF'!$AE$14+'TUSD CVA'!$AE$14)*1</f>
        <v>-2.6115930050922564</v>
      </c>
      <c r="AC14" s="31">
        <f ca="1">('TUSD BE'!$AF$14+'TUSD BF'!$AF$14+'TUSD CVA'!$AF$14)*1</f>
        <v>0</v>
      </c>
      <c r="AD14" s="31">
        <f>('TUSD BE'!$AH$14+'TUSD BF'!$AH$14+'TUSD CVA'!$AH$14)*1</f>
        <v>0</v>
      </c>
      <c r="AE14" s="31">
        <f>('TUSD BE'!$AI$14+'TUSD BF'!$AI$14+'TUSD CVA'!$AI$14)*1</f>
        <v>0</v>
      </c>
      <c r="AF14" s="31">
        <f ca="1">('TUSD BE'!$AJ$14+'TUSD BF'!$AJ$14+'TUSD CVA'!$AJ$14)*1</f>
        <v>0</v>
      </c>
      <c r="AG14" s="31">
        <f ca="1">('TUSD BE'!$AK$14+'TUSD BF'!$AK$14+'TUSD CVA'!$AK$14)*1</f>
        <v>0</v>
      </c>
      <c r="AI14" s="31">
        <v>0</v>
      </c>
      <c r="AJ14" s="31">
        <v>0</v>
      </c>
      <c r="AK14" s="31">
        <v>0</v>
      </c>
      <c r="AL14" s="31">
        <v>0</v>
      </c>
      <c r="AM14" s="31">
        <v>0</v>
      </c>
      <c r="AN14" s="31">
        <v>0</v>
      </c>
      <c r="AO14" s="31">
        <v>0</v>
      </c>
      <c r="AP14" s="31">
        <v>0</v>
      </c>
      <c r="AQ14" s="31">
        <v>4.0154448523754303</v>
      </c>
      <c r="AR14" s="31">
        <v>1.7155489345846699</v>
      </c>
      <c r="AS14" s="31">
        <v>0.36097110249095699</v>
      </c>
      <c r="AT14" s="31">
        <v>0</v>
      </c>
      <c r="AU14" s="31">
        <v>0.21990608319916399</v>
      </c>
      <c r="AV14" s="31">
        <v>0</v>
      </c>
      <c r="AW14" s="31">
        <v>0</v>
      </c>
      <c r="AX14" s="31">
        <v>20.177413467855299</v>
      </c>
      <c r="AY14" s="31">
        <v>-0.27019469189300199</v>
      </c>
      <c r="AZ14" s="31">
        <v>0</v>
      </c>
      <c r="BA14" s="31">
        <v>0</v>
      </c>
      <c r="BB14" s="31">
        <v>0</v>
      </c>
      <c r="BC14" s="31">
        <v>0</v>
      </c>
      <c r="BD14" s="31">
        <v>0</v>
      </c>
    </row>
    <row r="15" spans="1:56" ht="11.25" customHeight="1" x14ac:dyDescent="0.25">
      <c r="A15" s="97"/>
      <c r="B15" s="97"/>
      <c r="C15" s="97"/>
      <c r="D15" s="97"/>
      <c r="E15" s="97"/>
      <c r="F15" s="97"/>
      <c r="G15" s="38" t="s">
        <v>108</v>
      </c>
      <c r="H15" s="38" t="s">
        <v>102</v>
      </c>
      <c r="I15" s="38">
        <f>'MERCADO TUSD'!$U$12</f>
        <v>243208.54699999999</v>
      </c>
      <c r="J15" s="15"/>
      <c r="L15" s="31">
        <f>('TUSD BE'!$L$15+'TUSD BF'!$L$15+'TUSD CVA'!$L$15)*1</f>
        <v>3.5792416848852322</v>
      </c>
      <c r="M15" s="31">
        <f>('TUSD BE'!$M$15+'TUSD BF'!$M$15+'TUSD CVA'!$M$15)*1</f>
        <v>0.64769969373003367</v>
      </c>
      <c r="N15" s="31">
        <f ca="1">('TUSD BE'!$N$15+'TUSD BF'!$N$15+'TUSD CVA'!$N$15)*1</f>
        <v>0.50190717882481162</v>
      </c>
      <c r="O15" s="31">
        <f>('TUSD BE'!$O$15+'TUSD BF'!$O$15+'TUSD CVA'!$O$15)*1</f>
        <v>1.8728184976687441E-2</v>
      </c>
      <c r="P15" s="31">
        <f>('TUSD BE'!$P$15+'TUSD BF'!$P$15+'TUSD CVA'!$P$15)*1</f>
        <v>0</v>
      </c>
      <c r="Q15" s="31">
        <f>('TUSD BE'!$Q$15+'TUSD BF'!$Q$15+'TUSD CVA'!$Q$15)*1</f>
        <v>39.648257846391523</v>
      </c>
      <c r="R15" s="31">
        <f>('TUSD BE'!$R$15+'TUSD BF'!$R$15+'TUSD CVA'!$R$15)*1</f>
        <v>18.051835405677433</v>
      </c>
      <c r="S15" s="31">
        <f>('TUSD BE'!$S$15+'TUSD BF'!$S$15+'TUSD CVA'!$S$15)*1</f>
        <v>0</v>
      </c>
      <c r="T15" s="31">
        <f>('TUSD BE'!$U$15+'TUSD BF'!$U$15+'TUSD CVA'!$U$15)*1</f>
        <v>0</v>
      </c>
      <c r="U15" s="31">
        <f>('TUSD BE'!$V$15+'TUSD BF'!$V$15+'TUSD CVA'!$V$15)*1</f>
        <v>0</v>
      </c>
      <c r="V15" s="31">
        <f>('TUSD BE'!$W$15+'TUSD BF'!$W$15+'TUSD CVA'!$W$15)*1</f>
        <v>0</v>
      </c>
      <c r="W15" s="31">
        <f>('TUSD BE'!$X$15+'TUSD BF'!$X$15+'TUSD CVA'!$X$15)*1</f>
        <v>0</v>
      </c>
      <c r="X15" s="31">
        <f>('TUSD BE'!$Y$15+'TUSD BF'!$Y$15+'TUSD CVA'!$Y$15)*1</f>
        <v>0</v>
      </c>
      <c r="Y15" s="31">
        <f>('TUSD BE'!$Z$15+'TUSD BF'!$Z$15+'TUSD CVA'!$Z$15)*1</f>
        <v>0</v>
      </c>
      <c r="Z15" s="31">
        <f>('TUSD BE'!$AA$15+'TUSD BF'!$AA$15+'TUSD CVA'!$AA$15)*1</f>
        <v>0</v>
      </c>
      <c r="AA15" s="31">
        <f>('TUSD BE'!$AC$15+'TUSD BF'!$AC$15+'TUSD CVA'!$AC$15)*1</f>
        <v>0</v>
      </c>
      <c r="AB15" s="31">
        <f ca="1">('TUSD BE'!$AE$15+'TUSD BF'!$AE$15+'TUSD CVA'!$AE$15)*1</f>
        <v>-6.8415986647466118</v>
      </c>
      <c r="AC15" s="31">
        <f ca="1">('TUSD BE'!$AF$15+'TUSD BF'!$AF$15+'TUSD CVA'!$AF$15)*1</f>
        <v>0</v>
      </c>
      <c r="AD15" s="31">
        <f>('TUSD BE'!$AH$15+'TUSD BF'!$AH$15+'TUSD CVA'!$AH$15)*1</f>
        <v>13.335235581271956</v>
      </c>
      <c r="AE15" s="31">
        <f>('TUSD BE'!$AI$15+'TUSD BF'!$AI$15+'TUSD CVA'!$AI$15)*1</f>
        <v>0.40421242558074866</v>
      </c>
      <c r="AF15" s="31">
        <f ca="1">('TUSD BE'!$AJ$15+'TUSD BF'!$AJ$15+'TUSD CVA'!$AJ$15)*1</f>
        <v>8.5306826244234504</v>
      </c>
      <c r="AG15" s="31">
        <f ca="1">('TUSD BE'!$AK$15+'TUSD BF'!$AK$15+'TUSD CVA'!$AK$15)*1</f>
        <v>0</v>
      </c>
      <c r="AI15" s="31">
        <v>3.5042966002511702</v>
      </c>
      <c r="AJ15" s="31">
        <v>0.55927121900626198</v>
      </c>
      <c r="AK15" s="31">
        <v>0.50931373642370104</v>
      </c>
      <c r="AL15" s="31">
        <v>1.86109448442504E-2</v>
      </c>
      <c r="AM15" s="31">
        <v>0</v>
      </c>
      <c r="AN15" s="31">
        <v>24.255577531033701</v>
      </c>
      <c r="AO15" s="31">
        <v>10.086366024610101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1">
        <v>0</v>
      </c>
      <c r="AW15" s="31">
        <v>0</v>
      </c>
      <c r="AX15" s="31">
        <v>0</v>
      </c>
      <c r="AY15" s="31">
        <v>-0.57853955670674295</v>
      </c>
      <c r="AZ15" s="31">
        <v>0</v>
      </c>
      <c r="BA15" s="31">
        <v>14.630039919841</v>
      </c>
      <c r="BB15" s="31">
        <v>0.36698814510008598</v>
      </c>
      <c r="BC15" s="31">
        <v>9.2131479557572096</v>
      </c>
      <c r="BD15" s="31">
        <v>0</v>
      </c>
    </row>
    <row r="16" spans="1:56" ht="11.25" customHeight="1" x14ac:dyDescent="0.25">
      <c r="A16" s="97"/>
      <c r="B16" s="97"/>
      <c r="C16" s="97"/>
      <c r="D16" s="97"/>
      <c r="E16" s="37" t="s">
        <v>59</v>
      </c>
      <c r="F16" s="37" t="s">
        <v>25</v>
      </c>
      <c r="G16" s="38" t="s">
        <v>108</v>
      </c>
      <c r="H16" s="38" t="s">
        <v>102</v>
      </c>
      <c r="I16" s="38">
        <f>'MERCADO TUSD'!$U$13</f>
        <v>0</v>
      </c>
      <c r="J16" s="15"/>
      <c r="L16" s="31">
        <f>('TUSD BE'!$L$16+'TUSD BF'!$L$16+'TUSD CVA'!$L$16)*1</f>
        <v>0</v>
      </c>
      <c r="M16" s="31">
        <f>('TUSD BE'!$M$16+'TUSD BF'!$M$16+'TUSD CVA'!$M$16)*1</f>
        <v>0.64769969373003367</v>
      </c>
      <c r="N16" s="31">
        <f ca="1">('TUSD BE'!$N$16+'TUSD BF'!$N$16+'TUSD CVA'!$N$16)*1</f>
        <v>0.4911818449498167</v>
      </c>
      <c r="O16" s="31">
        <f>('TUSD BE'!$O$16+'TUSD BF'!$O$16+'TUSD CVA'!$O$16)*1</f>
        <v>1.8728184976687441E-2</v>
      </c>
      <c r="P16" s="31">
        <f>('TUSD BE'!$P$16+'TUSD BF'!$P$16+'TUSD CVA'!$P$16)*1</f>
        <v>0</v>
      </c>
      <c r="Q16" s="31">
        <f>('TUSD BE'!$Q$16+'TUSD BF'!$Q$16+'TUSD CVA'!$Q$16)*1</f>
        <v>0</v>
      </c>
      <c r="R16" s="31">
        <f>('TUSD BE'!$R$16+'TUSD BF'!$R$16+'TUSD CVA'!$R$16)*1</f>
        <v>0</v>
      </c>
      <c r="S16" s="31">
        <f>('TUSD BE'!$S$16+'TUSD BF'!$S$16+'TUSD CVA'!$S$16)*1</f>
        <v>0</v>
      </c>
      <c r="T16" s="31">
        <f>('TUSD BE'!$U$16+'TUSD BF'!$U$16+'TUSD CVA'!$U$16)*1</f>
        <v>0</v>
      </c>
      <c r="U16" s="31">
        <f>('TUSD BE'!$V$16+'TUSD BF'!$V$16+'TUSD CVA'!$V$16)*1</f>
        <v>0</v>
      </c>
      <c r="V16" s="31">
        <f>('TUSD BE'!$W$16+'TUSD BF'!$W$16+'TUSD CVA'!$W$16)*1</f>
        <v>0</v>
      </c>
      <c r="W16" s="31">
        <f>('TUSD BE'!$X$16+'TUSD BF'!$X$16+'TUSD CVA'!$X$16)*1</f>
        <v>0</v>
      </c>
      <c r="X16" s="31">
        <f>('TUSD BE'!$Y$16+'TUSD BF'!$Y$16+'TUSD CVA'!$Y$16)*1</f>
        <v>0</v>
      </c>
      <c r="Y16" s="31">
        <f>('TUSD BE'!$Z$16+'TUSD BF'!$Z$16+'TUSD CVA'!$Z$16)*1</f>
        <v>0</v>
      </c>
      <c r="Z16" s="31">
        <f>('TUSD BE'!$AA$16+'TUSD BF'!$AA$16+'TUSD CVA'!$AA$16)*1</f>
        <v>0</v>
      </c>
      <c r="AA16" s="31">
        <f>('TUSD BE'!$AC$16+'TUSD BF'!$AC$16+'TUSD CVA'!$AC$16)*1</f>
        <v>0</v>
      </c>
      <c r="AB16" s="31">
        <f ca="1">('TUSD BE'!$AE$16+'TUSD BF'!$AE$16+'TUSD CVA'!$AE$16)*1</f>
        <v>-2.2841654220556404</v>
      </c>
      <c r="AC16" s="31">
        <f ca="1">('TUSD BE'!$AF$16+'TUSD BF'!$AF$16+'TUSD CVA'!$AF$16)*1</f>
        <v>0</v>
      </c>
      <c r="AD16" s="31">
        <f>('TUSD BE'!$AH$16+'TUSD BF'!$AH$16+'TUSD CVA'!$AH$16)*1</f>
        <v>13.335235581271956</v>
      </c>
      <c r="AE16" s="31">
        <f>('TUSD BE'!$AI$16+'TUSD BF'!$AI$16+'TUSD CVA'!$AI$16)*1</f>
        <v>0.40421242558074866</v>
      </c>
      <c r="AF16" s="31">
        <f ca="1">('TUSD BE'!$AJ$16+'TUSD BF'!$AJ$16+'TUSD CVA'!$AJ$16)*1</f>
        <v>8.5306826244234504</v>
      </c>
      <c r="AG16" s="31">
        <f ca="1">('TUSD BE'!$AK$16+'TUSD BF'!$AK$16+'TUSD CVA'!$AK$16)*1</f>
        <v>0</v>
      </c>
      <c r="AI16" s="31">
        <v>0</v>
      </c>
      <c r="AJ16" s="31">
        <v>0.55927121900626198</v>
      </c>
      <c r="AK16" s="31">
        <v>0.498025838420601</v>
      </c>
      <c r="AL16" s="31">
        <v>1.86109448442504E-2</v>
      </c>
      <c r="AM16" s="31">
        <v>0</v>
      </c>
      <c r="AN16" s="31">
        <v>0</v>
      </c>
      <c r="AO16" s="31">
        <v>0</v>
      </c>
      <c r="AP16" s="31">
        <v>0</v>
      </c>
      <c r="AQ16" s="31">
        <v>0</v>
      </c>
      <c r="AR16" s="31">
        <v>0</v>
      </c>
      <c r="AS16" s="31">
        <v>0</v>
      </c>
      <c r="AT16" s="31">
        <v>0</v>
      </c>
      <c r="AU16" s="31">
        <v>0</v>
      </c>
      <c r="AV16" s="31">
        <v>0</v>
      </c>
      <c r="AW16" s="31">
        <v>0</v>
      </c>
      <c r="AX16" s="31">
        <v>0</v>
      </c>
      <c r="AY16" s="31">
        <v>-0.23821814656142301</v>
      </c>
      <c r="AZ16" s="31">
        <v>0</v>
      </c>
      <c r="BA16" s="31">
        <v>14.630039919841</v>
      </c>
      <c r="BB16" s="31">
        <v>0.36698814510008598</v>
      </c>
      <c r="BC16" s="31">
        <v>9.2131479557572096</v>
      </c>
      <c r="BD16" s="31">
        <v>0</v>
      </c>
    </row>
    <row r="17" spans="1:56" ht="11.25" customHeight="1" x14ac:dyDescent="0.25">
      <c r="A17" s="97"/>
      <c r="B17" s="97" t="s">
        <v>62</v>
      </c>
      <c r="C17" s="97" t="s">
        <v>25</v>
      </c>
      <c r="D17" s="97" t="s">
        <v>25</v>
      </c>
      <c r="E17" s="97" t="s">
        <v>25</v>
      </c>
      <c r="F17" s="97" t="s">
        <v>63</v>
      </c>
      <c r="G17" s="38" t="s">
        <v>106</v>
      </c>
      <c r="H17" s="38" t="s">
        <v>105</v>
      </c>
      <c r="I17" s="38">
        <f>'MERCADO TUSD'!$U$14</f>
        <v>83572</v>
      </c>
      <c r="J17" s="15"/>
      <c r="L17" s="31">
        <f>('TUSD BE'!$L$17+'TUSD BF'!$L$17+'TUSD CVA'!$L$17)*1</f>
        <v>0</v>
      </c>
      <c r="M17" s="31">
        <f>('TUSD BE'!$M$17+'TUSD BF'!$M$17+'TUSD CVA'!$M$17)*1</f>
        <v>0</v>
      </c>
      <c r="N17" s="31">
        <f ca="1">('TUSD BE'!$N$17+'TUSD BF'!$N$17+'TUSD CVA'!$N$17)*1</f>
        <v>0</v>
      </c>
      <c r="O17" s="31">
        <f>('TUSD BE'!$O$17+'TUSD BF'!$O$17+'TUSD CVA'!$O$17)*1</f>
        <v>0</v>
      </c>
      <c r="P17" s="31">
        <f>('TUSD BE'!$P$17+'TUSD BF'!$P$17+'TUSD CVA'!$P$17)*1</f>
        <v>0</v>
      </c>
      <c r="Q17" s="31">
        <f>('TUSD BE'!$Q$17+'TUSD BF'!$Q$17+'TUSD CVA'!$Q$17)*1</f>
        <v>0</v>
      </c>
      <c r="R17" s="31">
        <f>('TUSD BE'!$R$17+'TUSD BF'!$R$17+'TUSD CVA'!$R$17)*1</f>
        <v>0</v>
      </c>
      <c r="S17" s="31">
        <f>('TUSD BE'!$S$17+'TUSD BF'!$S$17+'TUSD CVA'!$S$17)*1</f>
        <v>0</v>
      </c>
      <c r="T17" s="31">
        <f>('TUSD BE'!$U$17+'TUSD BF'!$U$17+'TUSD CVA'!$U$17)*1</f>
        <v>7.7358801067355518</v>
      </c>
      <c r="U17" s="31">
        <f>('TUSD BE'!$V$17+'TUSD BF'!$V$17+'TUSD CVA'!$V$17)*1</f>
        <v>2.3993675369568574</v>
      </c>
      <c r="V17" s="31">
        <f>('TUSD BE'!$W$17+'TUSD BF'!$W$17+'TUSD CVA'!$W$17)*1</f>
        <v>0.3822879893249061</v>
      </c>
      <c r="W17" s="31">
        <f>('TUSD BE'!$X$17+'TUSD BF'!$X$17+'TUSD CVA'!$X$17)*1</f>
        <v>2.2202997106849195E-2</v>
      </c>
      <c r="X17" s="31">
        <f>('TUSD BE'!$Y$17+'TUSD BF'!$Y$17+'TUSD CVA'!$Y$17)*1</f>
        <v>0.5849717303186619</v>
      </c>
      <c r="Y17" s="31">
        <f>('TUSD BE'!$Z$17+'TUSD BF'!$Z$17+'TUSD CVA'!$Z$17)*1</f>
        <v>0</v>
      </c>
      <c r="Z17" s="31">
        <f>('TUSD BE'!$AA$17+'TUSD BF'!$AA$17+'TUSD CVA'!$AA$17)*1</f>
        <v>0</v>
      </c>
      <c r="AA17" s="31">
        <f>('TUSD BE'!$AC$17+'TUSD BF'!$AC$17+'TUSD CVA'!$AC$17)*1</f>
        <v>16.624963544798891</v>
      </c>
      <c r="AB17" s="31">
        <f>('TUSD BE'!$AE$17+'TUSD BF'!$AE$17+'TUSD CVA'!$AE$17)*1</f>
        <v>0</v>
      </c>
      <c r="AC17" s="31">
        <f ca="1">('TUSD BE'!$AF$17+'TUSD BF'!$AF$17+'TUSD CVA'!$AF$17)*1</f>
        <v>0</v>
      </c>
      <c r="AD17" s="31">
        <f>('TUSD BE'!$AH$17+'TUSD BF'!$AH$17+'TUSD CVA'!$AH$17)*1</f>
        <v>0</v>
      </c>
      <c r="AE17" s="31">
        <f>('TUSD BE'!$AI$17+'TUSD BF'!$AI$17+'TUSD CVA'!$AI$17)*1</f>
        <v>0</v>
      </c>
      <c r="AF17" s="31">
        <f ca="1">('TUSD BE'!$AJ$17+'TUSD BF'!$AJ$17+'TUSD CVA'!$AJ$17)*1</f>
        <v>0</v>
      </c>
      <c r="AG17" s="31">
        <f ca="1">('TUSD BE'!$AK$17+'TUSD BF'!$AK$17+'TUSD CVA'!$AK$17)*1</f>
        <v>0</v>
      </c>
      <c r="AI17" s="31">
        <v>0</v>
      </c>
      <c r="AJ17" s="31">
        <v>0</v>
      </c>
      <c r="AK17" s="31">
        <v>0</v>
      </c>
      <c r="AL17" s="31">
        <v>0</v>
      </c>
      <c r="AM17" s="31">
        <v>0</v>
      </c>
      <c r="AN17" s="31">
        <v>0</v>
      </c>
      <c r="AO17" s="31">
        <v>0</v>
      </c>
      <c r="AP17" s="31">
        <v>0</v>
      </c>
      <c r="AQ17" s="31">
        <v>6.4299246608564102</v>
      </c>
      <c r="AR17" s="31">
        <v>2.7612991667496298</v>
      </c>
      <c r="AS17" s="31">
        <v>0.63291892632705005</v>
      </c>
      <c r="AT17" s="31">
        <v>0</v>
      </c>
      <c r="AU17" s="31">
        <v>0.67544956638050602</v>
      </c>
      <c r="AV17" s="31">
        <v>0</v>
      </c>
      <c r="AW17" s="31">
        <v>0</v>
      </c>
      <c r="AX17" s="31">
        <v>15.143994078341199</v>
      </c>
      <c r="AY17" s="31">
        <v>0</v>
      </c>
      <c r="AZ17" s="31">
        <v>0</v>
      </c>
      <c r="BA17" s="31">
        <v>0</v>
      </c>
      <c r="BB17" s="31">
        <v>0</v>
      </c>
      <c r="BC17" s="31">
        <v>0</v>
      </c>
      <c r="BD17" s="31">
        <v>0</v>
      </c>
    </row>
    <row r="18" spans="1:56" ht="11.25" customHeight="1" x14ac:dyDescent="0.25">
      <c r="A18" s="97"/>
      <c r="B18" s="97"/>
      <c r="C18" s="97"/>
      <c r="D18" s="97"/>
      <c r="E18" s="97"/>
      <c r="F18" s="97"/>
      <c r="G18" s="38" t="s">
        <v>107</v>
      </c>
      <c r="H18" s="38" t="s">
        <v>105</v>
      </c>
      <c r="I18" s="38">
        <f>'MERCADO TUSD'!$U$15</f>
        <v>86016</v>
      </c>
      <c r="J18" s="15"/>
      <c r="L18" s="31">
        <f>('TUSD BE'!$L$18+'TUSD BF'!$L$18+'TUSD CVA'!$L$18)*1</f>
        <v>0</v>
      </c>
      <c r="M18" s="31">
        <f>('TUSD BE'!$M$18+'TUSD BF'!$M$18+'TUSD CVA'!$M$18)*1</f>
        <v>0</v>
      </c>
      <c r="N18" s="31">
        <f ca="1">('TUSD BE'!$N$18+'TUSD BF'!$N$18+'TUSD CVA'!$N$18)*1</f>
        <v>0</v>
      </c>
      <c r="O18" s="31">
        <f>('TUSD BE'!$O$18+'TUSD BF'!$O$18+'TUSD CVA'!$O$18)*1</f>
        <v>0</v>
      </c>
      <c r="P18" s="31">
        <f>('TUSD BE'!$P$18+'TUSD BF'!$P$18+'TUSD CVA'!$P$18)*1</f>
        <v>0</v>
      </c>
      <c r="Q18" s="31">
        <f>('TUSD BE'!$Q$18+'TUSD BF'!$Q$18+'TUSD CVA'!$Q$18)*1</f>
        <v>0</v>
      </c>
      <c r="R18" s="31">
        <f>('TUSD BE'!$R$18+'TUSD BF'!$R$18+'TUSD CVA'!$R$18)*1</f>
        <v>0</v>
      </c>
      <c r="S18" s="31">
        <f>('TUSD BE'!$S$18+'TUSD BF'!$S$18+'TUSD CVA'!$S$18)*1</f>
        <v>0</v>
      </c>
      <c r="T18" s="31">
        <f>('TUSD BE'!$U$18+'TUSD BF'!$U$18+'TUSD CVA'!$U$18)*1</f>
        <v>4.8310052748032497</v>
      </c>
      <c r="U18" s="31">
        <f>('TUSD BE'!$V$18+'TUSD BF'!$V$18+'TUSD CVA'!$V$18)*1</f>
        <v>1.4906868735084076</v>
      </c>
      <c r="V18" s="31">
        <f>('TUSD BE'!$W$18+'TUSD BF'!$W$18+'TUSD CVA'!$W$18)*1</f>
        <v>0.21802937348780771</v>
      </c>
      <c r="W18" s="31">
        <f>('TUSD BE'!$X$18+'TUSD BF'!$X$18+'TUSD CVA'!$X$18)*1</f>
        <v>1.2658722332411757E-2</v>
      </c>
      <c r="X18" s="31">
        <f>('TUSD BE'!$Y$18+'TUSD BF'!$Y$18+'TUSD CVA'!$Y$18)*1</f>
        <v>0.19044921841603146</v>
      </c>
      <c r="Y18" s="31">
        <f>('TUSD BE'!$Z$18+'TUSD BF'!$Z$18+'TUSD CVA'!$Z$18)*1</f>
        <v>0</v>
      </c>
      <c r="Z18" s="31">
        <f>('TUSD BE'!$AA$18+'TUSD BF'!$AA$18+'TUSD CVA'!$AA$18)*1</f>
        <v>0</v>
      </c>
      <c r="AA18" s="31">
        <f>('TUSD BE'!$AC$18+'TUSD BF'!$AC$18+'TUSD CVA'!$AC$18)*1</f>
        <v>7.9508250910892411</v>
      </c>
      <c r="AB18" s="31">
        <f>('TUSD BE'!$AE$18+'TUSD BF'!$AE$18+'TUSD CVA'!$AE$18)*1</f>
        <v>0</v>
      </c>
      <c r="AC18" s="31">
        <f ca="1">('TUSD BE'!$AF$18+'TUSD BF'!$AF$18+'TUSD CVA'!$AF$18)*1</f>
        <v>0</v>
      </c>
      <c r="AD18" s="31">
        <f>('TUSD BE'!$AH$18+'TUSD BF'!$AH$18+'TUSD CVA'!$AH$18)*1</f>
        <v>0</v>
      </c>
      <c r="AE18" s="31">
        <f>('TUSD BE'!$AI$18+'TUSD BF'!$AI$18+'TUSD CVA'!$AI$18)*1</f>
        <v>0</v>
      </c>
      <c r="AF18" s="31">
        <f ca="1">('TUSD BE'!$AJ$18+'TUSD BF'!$AJ$18+'TUSD CVA'!$AJ$18)*1</f>
        <v>0</v>
      </c>
      <c r="AG18" s="31">
        <f ca="1">('TUSD BE'!$AK$18+'TUSD BF'!$AK$18+'TUSD CVA'!$AK$18)*1</f>
        <v>0</v>
      </c>
      <c r="AI18" s="31">
        <v>0</v>
      </c>
      <c r="AJ18" s="31">
        <v>0</v>
      </c>
      <c r="AK18" s="31">
        <v>0</v>
      </c>
      <c r="AL18" s="31">
        <v>0</v>
      </c>
      <c r="AM18" s="31">
        <v>0</v>
      </c>
      <c r="AN18" s="31">
        <v>0</v>
      </c>
      <c r="AO18" s="31">
        <v>0</v>
      </c>
      <c r="AP18" s="31">
        <v>0</v>
      </c>
      <c r="AQ18" s="31">
        <v>4.0154448523754303</v>
      </c>
      <c r="AR18" s="31">
        <v>1.7155489345846699</v>
      </c>
      <c r="AS18" s="31">
        <v>0.36097110249095699</v>
      </c>
      <c r="AT18" s="31">
        <v>0</v>
      </c>
      <c r="AU18" s="31">
        <v>0.21990608319916399</v>
      </c>
      <c r="AV18" s="31">
        <v>0</v>
      </c>
      <c r="AW18" s="31">
        <v>0</v>
      </c>
      <c r="AX18" s="31">
        <v>7.2430558815167396</v>
      </c>
      <c r="AY18" s="31">
        <v>0</v>
      </c>
      <c r="AZ18" s="31">
        <v>0</v>
      </c>
      <c r="BA18" s="31">
        <v>0</v>
      </c>
      <c r="BB18" s="31">
        <v>0</v>
      </c>
      <c r="BC18" s="31">
        <v>0</v>
      </c>
      <c r="BD18" s="31">
        <v>0</v>
      </c>
    </row>
    <row r="19" spans="1:56" ht="11.25" customHeight="1" x14ac:dyDescent="0.25">
      <c r="A19" s="97"/>
      <c r="B19" s="97"/>
      <c r="C19" s="97"/>
      <c r="D19" s="97"/>
      <c r="E19" s="97"/>
      <c r="F19" s="97"/>
      <c r="G19" s="38" t="s">
        <v>108</v>
      </c>
      <c r="H19" s="38" t="s">
        <v>102</v>
      </c>
      <c r="I19" s="38">
        <f>'MERCADO TUSD'!$U$16</f>
        <v>43889.742999999995</v>
      </c>
      <c r="J19" s="15"/>
      <c r="L19" s="31">
        <f>('TUSD BE'!$L$19+'TUSD BF'!$L$19+'TUSD CVA'!$L$19)*1</f>
        <v>0</v>
      </c>
      <c r="M19" s="31">
        <f>('TUSD BE'!$M$19+'TUSD BF'!$M$19+'TUSD CVA'!$M$19)*1</f>
        <v>0</v>
      </c>
      <c r="N19" s="31">
        <f ca="1">('TUSD BE'!$N$19+'TUSD BF'!$N$19+'TUSD CVA'!$N$19)*1</f>
        <v>0</v>
      </c>
      <c r="O19" s="31">
        <f>('TUSD BE'!$O$19+'TUSD BF'!$O$19+'TUSD CVA'!$O$19)*1</f>
        <v>0</v>
      </c>
      <c r="P19" s="31">
        <f>('TUSD BE'!$P$19+'TUSD BF'!$P$19+'TUSD CVA'!$P$19)*1</f>
        <v>0</v>
      </c>
      <c r="Q19" s="31">
        <f>('TUSD BE'!$Q$19+'TUSD BF'!$Q$19+'TUSD CVA'!$Q$19)*1</f>
        <v>0</v>
      </c>
      <c r="R19" s="31">
        <f>('TUSD BE'!$R$19+'TUSD BF'!$R$19+'TUSD CVA'!$R$19)*1</f>
        <v>0</v>
      </c>
      <c r="S19" s="31">
        <f>('TUSD BE'!$S$19+'TUSD BF'!$S$19+'TUSD CVA'!$S$19)*1</f>
        <v>0</v>
      </c>
      <c r="T19" s="31">
        <f>('TUSD BE'!$U$19+'TUSD BF'!$U$19+'TUSD CVA'!$U$19)*1</f>
        <v>0</v>
      </c>
      <c r="U19" s="31">
        <f>('TUSD BE'!$V$19+'TUSD BF'!$V$19+'TUSD CVA'!$V$19)*1</f>
        <v>0</v>
      </c>
      <c r="V19" s="31">
        <f>('TUSD BE'!$W$19+'TUSD BF'!$W$19+'TUSD CVA'!$W$19)*1</f>
        <v>0</v>
      </c>
      <c r="W19" s="31">
        <f>('TUSD BE'!$X$19+'TUSD BF'!$X$19+'TUSD CVA'!$X$19)*1</f>
        <v>0</v>
      </c>
      <c r="X19" s="31">
        <f>('TUSD BE'!$Y$19+'TUSD BF'!$Y$19+'TUSD CVA'!$Y$19)*1</f>
        <v>0</v>
      </c>
      <c r="Y19" s="31">
        <f>('TUSD BE'!$Z$19+'TUSD BF'!$Z$19+'TUSD CVA'!$Z$19)*1</f>
        <v>0</v>
      </c>
      <c r="Z19" s="31">
        <f>('TUSD BE'!$AA$19+'TUSD BF'!$AA$19+'TUSD CVA'!$AA$19)*1</f>
        <v>0</v>
      </c>
      <c r="AA19" s="31">
        <f>('TUSD BE'!$AC$19+'TUSD BF'!$AC$19+'TUSD CVA'!$AC$19)*1</f>
        <v>0</v>
      </c>
      <c r="AB19" s="31">
        <f>('TUSD BE'!$AE$19+'TUSD BF'!$AE$19+'TUSD CVA'!$AE$19)*1</f>
        <v>0</v>
      </c>
      <c r="AC19" s="31">
        <f ca="1">('TUSD BE'!$AF$19+'TUSD BF'!$AF$19+'TUSD CVA'!$AF$19)*1</f>
        <v>0</v>
      </c>
      <c r="AD19" s="31">
        <f>('TUSD BE'!$AH$19+'TUSD BF'!$AH$19+'TUSD CVA'!$AH$19)*1</f>
        <v>13.335235581271956</v>
      </c>
      <c r="AE19" s="31">
        <f>('TUSD BE'!$AI$19+'TUSD BF'!$AI$19+'TUSD CVA'!$AI$19)*1</f>
        <v>0.40421242558074866</v>
      </c>
      <c r="AF19" s="31">
        <f ca="1">('TUSD BE'!$AJ$19+'TUSD BF'!$AJ$19+'TUSD CVA'!$AJ$19)*1</f>
        <v>0</v>
      </c>
      <c r="AG19" s="31">
        <f ca="1">('TUSD BE'!$AK$19+'TUSD BF'!$AK$19+'TUSD CVA'!$AK$19)*1</f>
        <v>0</v>
      </c>
      <c r="AI19" s="31">
        <v>0</v>
      </c>
      <c r="AJ19" s="31">
        <v>0</v>
      </c>
      <c r="AK19" s="31">
        <v>0</v>
      </c>
      <c r="AL19" s="31">
        <v>0</v>
      </c>
      <c r="AM19" s="31">
        <v>0</v>
      </c>
      <c r="AN19" s="31">
        <v>0</v>
      </c>
      <c r="AO19" s="31">
        <v>0</v>
      </c>
      <c r="AP19" s="31">
        <v>0</v>
      </c>
      <c r="AQ19" s="31">
        <v>0</v>
      </c>
      <c r="AR19" s="31">
        <v>0</v>
      </c>
      <c r="AS19" s="31">
        <v>0</v>
      </c>
      <c r="AT19" s="31">
        <v>0</v>
      </c>
      <c r="AU19" s="31">
        <v>0</v>
      </c>
      <c r="AV19" s="31">
        <v>0</v>
      </c>
      <c r="AW19" s="31">
        <v>0</v>
      </c>
      <c r="AX19" s="31">
        <v>0</v>
      </c>
      <c r="AY19" s="31">
        <v>0</v>
      </c>
      <c r="AZ19" s="31">
        <v>0</v>
      </c>
      <c r="BA19" s="31">
        <v>14.630039919841</v>
      </c>
      <c r="BB19" s="31">
        <v>0.36698814510008598</v>
      </c>
      <c r="BC19" s="31">
        <v>0</v>
      </c>
      <c r="BD19" s="31">
        <v>0</v>
      </c>
    </row>
    <row r="20" spans="1:56" ht="11.25" customHeight="1" x14ac:dyDescent="0.25">
      <c r="A20" s="97"/>
      <c r="B20" s="97"/>
      <c r="C20" s="97"/>
      <c r="D20" s="97"/>
      <c r="E20" s="97"/>
      <c r="F20" s="97" t="s">
        <v>65</v>
      </c>
      <c r="G20" s="38" t="s">
        <v>106</v>
      </c>
      <c r="H20" s="38" t="s">
        <v>105</v>
      </c>
      <c r="I20" s="38">
        <f>'MERCADO TUSD'!$U$17</f>
        <v>28144</v>
      </c>
      <c r="J20" s="15"/>
      <c r="L20" s="31">
        <f>('TUSD BE'!$L$20+'TUSD BF'!$L$20+'TUSD CVA'!$L$20)*1</f>
        <v>0</v>
      </c>
      <c r="M20" s="31">
        <f>('TUSD BE'!$M$20+'TUSD BF'!$M$20+'TUSD CVA'!$M$20)*1</f>
        <v>0</v>
      </c>
      <c r="N20" s="31">
        <f ca="1">('TUSD BE'!$N$20+'TUSD BF'!$N$20+'TUSD CVA'!$N$20)*1</f>
        <v>0</v>
      </c>
      <c r="O20" s="31">
        <f>('TUSD BE'!$O$20+'TUSD BF'!$O$20+'TUSD CVA'!$O$20)*1</f>
        <v>0</v>
      </c>
      <c r="P20" s="31">
        <f>('TUSD BE'!$P$20+'TUSD BF'!$P$20+'TUSD CVA'!$P$20)*1</f>
        <v>0</v>
      </c>
      <c r="Q20" s="31">
        <f>('TUSD BE'!$Q$20+'TUSD BF'!$Q$20+'TUSD CVA'!$Q$20)*1</f>
        <v>0</v>
      </c>
      <c r="R20" s="31">
        <f>('TUSD BE'!$R$20+'TUSD BF'!$R$20+'TUSD CVA'!$R$20)*1</f>
        <v>0</v>
      </c>
      <c r="S20" s="31">
        <f>('TUSD BE'!$S$20+'TUSD BF'!$S$20+'TUSD CVA'!$S$20)*1</f>
        <v>0</v>
      </c>
      <c r="T20" s="31">
        <f>('TUSD BE'!$U$20+'TUSD BF'!$U$20+'TUSD CVA'!$U$20)*1</f>
        <v>7.7358801067355518</v>
      </c>
      <c r="U20" s="31">
        <f>('TUSD BE'!$V$20+'TUSD BF'!$V$20+'TUSD CVA'!$V$20)*1</f>
        <v>2.3993675369568574</v>
      </c>
      <c r="V20" s="31">
        <f>('TUSD BE'!$W$20+'TUSD BF'!$W$20+'TUSD CVA'!$W$20)*1</f>
        <v>0.3822879893249061</v>
      </c>
      <c r="W20" s="31">
        <f>('TUSD BE'!$X$20+'TUSD BF'!$X$20+'TUSD CVA'!$X$20)*1</f>
        <v>2.2202997106849195E-2</v>
      </c>
      <c r="X20" s="31">
        <f>('TUSD BE'!$Y$20+'TUSD BF'!$Y$20+'TUSD CVA'!$Y$20)*1</f>
        <v>0.5849717303186619</v>
      </c>
      <c r="Y20" s="31">
        <f>('TUSD BE'!$Z$20+'TUSD BF'!$Z$20+'TUSD CVA'!$Z$20)*1</f>
        <v>0</v>
      </c>
      <c r="Z20" s="31">
        <f>('TUSD BE'!$AA$20+'TUSD BF'!$AA$20+'TUSD CVA'!$AA$20)*1</f>
        <v>0</v>
      </c>
      <c r="AA20" s="31">
        <f>('TUSD BE'!$AC$20+'TUSD BF'!$AC$20+'TUSD CVA'!$AC$20)*1</f>
        <v>16.624963544798891</v>
      </c>
      <c r="AB20" s="31">
        <f>('TUSD BE'!$AE$20+'TUSD BF'!$AE$20+'TUSD CVA'!$AE$20)*1</f>
        <v>0</v>
      </c>
      <c r="AC20" s="31">
        <f ca="1">('TUSD BE'!$AF$20+'TUSD BF'!$AF$20+'TUSD CVA'!$AF$20)*1</f>
        <v>0</v>
      </c>
      <c r="AD20" s="31">
        <f>('TUSD BE'!$AH$20+'TUSD BF'!$AH$20+'TUSD CVA'!$AH$20)*1</f>
        <v>0</v>
      </c>
      <c r="AE20" s="31">
        <f>('TUSD BE'!$AI$20+'TUSD BF'!$AI$20+'TUSD CVA'!$AI$20)*1</f>
        <v>0</v>
      </c>
      <c r="AF20" s="31">
        <f ca="1">('TUSD BE'!$AJ$20+'TUSD BF'!$AJ$20+'TUSD CVA'!$AJ$20)*1</f>
        <v>0</v>
      </c>
      <c r="AG20" s="31">
        <f ca="1">('TUSD BE'!$AK$20+'TUSD BF'!$AK$20+'TUSD CVA'!$AK$20)*1</f>
        <v>0</v>
      </c>
      <c r="AI20" s="31">
        <v>0</v>
      </c>
      <c r="AJ20" s="31">
        <v>0</v>
      </c>
      <c r="AK20" s="31">
        <v>0</v>
      </c>
      <c r="AL20" s="31">
        <v>0</v>
      </c>
      <c r="AM20" s="31">
        <v>0</v>
      </c>
      <c r="AN20" s="31">
        <v>0</v>
      </c>
      <c r="AO20" s="31">
        <v>0</v>
      </c>
      <c r="AP20" s="31">
        <v>0</v>
      </c>
      <c r="AQ20" s="31">
        <v>6.4299246608564102</v>
      </c>
      <c r="AR20" s="31">
        <v>2.7612991667496298</v>
      </c>
      <c r="AS20" s="31">
        <v>0.63291892632705005</v>
      </c>
      <c r="AT20" s="31">
        <v>0</v>
      </c>
      <c r="AU20" s="31">
        <v>0.67544956638050602</v>
      </c>
      <c r="AV20" s="31">
        <v>0</v>
      </c>
      <c r="AW20" s="31">
        <v>0</v>
      </c>
      <c r="AX20" s="31">
        <v>15.143994078341199</v>
      </c>
      <c r="AY20" s="31">
        <v>0</v>
      </c>
      <c r="AZ20" s="31">
        <v>0</v>
      </c>
      <c r="BA20" s="31">
        <v>0</v>
      </c>
      <c r="BB20" s="31">
        <v>0</v>
      </c>
      <c r="BC20" s="31">
        <v>0</v>
      </c>
      <c r="BD20" s="31">
        <v>0</v>
      </c>
    </row>
    <row r="21" spans="1:56" ht="11.25" customHeight="1" x14ac:dyDescent="0.25">
      <c r="A21" s="97"/>
      <c r="B21" s="97"/>
      <c r="C21" s="97"/>
      <c r="D21" s="97"/>
      <c r="E21" s="97"/>
      <c r="F21" s="97"/>
      <c r="G21" s="38" t="s">
        <v>107</v>
      </c>
      <c r="H21" s="38" t="s">
        <v>105</v>
      </c>
      <c r="I21" s="38">
        <f>'MERCADO TUSD'!$U$18</f>
        <v>48228</v>
      </c>
      <c r="J21" s="15"/>
      <c r="L21" s="31">
        <f>('TUSD BE'!$L$21+'TUSD BF'!$L$21+'TUSD CVA'!$L$21)*1</f>
        <v>0</v>
      </c>
      <c r="M21" s="31">
        <f>('TUSD BE'!$M$21+'TUSD BF'!$M$21+'TUSD CVA'!$M$21)*1</f>
        <v>0</v>
      </c>
      <c r="N21" s="31">
        <f ca="1">('TUSD BE'!$N$21+'TUSD BF'!$N$21+'TUSD CVA'!$N$21)*1</f>
        <v>0</v>
      </c>
      <c r="O21" s="31">
        <f>('TUSD BE'!$O$21+'TUSD BF'!$O$21+'TUSD CVA'!$O$21)*1</f>
        <v>0</v>
      </c>
      <c r="P21" s="31">
        <f>('TUSD BE'!$P$21+'TUSD BF'!$P$21+'TUSD CVA'!$P$21)*1</f>
        <v>0</v>
      </c>
      <c r="Q21" s="31">
        <f>('TUSD BE'!$Q$21+'TUSD BF'!$Q$21+'TUSD CVA'!$Q$21)*1</f>
        <v>0</v>
      </c>
      <c r="R21" s="31">
        <f>('TUSD BE'!$R$21+'TUSD BF'!$R$21+'TUSD CVA'!$R$21)*1</f>
        <v>0</v>
      </c>
      <c r="S21" s="31">
        <f>('TUSD BE'!$S$21+'TUSD BF'!$S$21+'TUSD CVA'!$S$21)*1</f>
        <v>0</v>
      </c>
      <c r="T21" s="31">
        <f>('TUSD BE'!$U$21+'TUSD BF'!$U$21+'TUSD CVA'!$U$21)*1</f>
        <v>4.8310052748032497</v>
      </c>
      <c r="U21" s="31">
        <f>('TUSD BE'!$V$21+'TUSD BF'!$V$21+'TUSD CVA'!$V$21)*1</f>
        <v>1.4906868735084076</v>
      </c>
      <c r="V21" s="31">
        <f>('TUSD BE'!$W$21+'TUSD BF'!$W$21+'TUSD CVA'!$W$21)*1</f>
        <v>0.21802937348780771</v>
      </c>
      <c r="W21" s="31">
        <f>('TUSD BE'!$X$21+'TUSD BF'!$X$21+'TUSD CVA'!$X$21)*1</f>
        <v>1.2658722332411757E-2</v>
      </c>
      <c r="X21" s="31">
        <f>('TUSD BE'!$Y$21+'TUSD BF'!$Y$21+'TUSD CVA'!$Y$21)*1</f>
        <v>0.19044921841603146</v>
      </c>
      <c r="Y21" s="31">
        <f>('TUSD BE'!$Z$21+'TUSD BF'!$Z$21+'TUSD CVA'!$Z$21)*1</f>
        <v>0</v>
      </c>
      <c r="Z21" s="31">
        <f>('TUSD BE'!$AA$21+'TUSD BF'!$AA$21+'TUSD CVA'!$AA$21)*1</f>
        <v>0</v>
      </c>
      <c r="AA21" s="31">
        <f>('TUSD BE'!$AC$21+'TUSD BF'!$AC$21+'TUSD CVA'!$AC$21)*1</f>
        <v>7.9508250910892411</v>
      </c>
      <c r="AB21" s="31">
        <f>('TUSD BE'!$AE$21+'TUSD BF'!$AE$21+'TUSD CVA'!$AE$21)*1</f>
        <v>0</v>
      </c>
      <c r="AC21" s="31">
        <f ca="1">('TUSD BE'!$AF$21+'TUSD BF'!$AF$21+'TUSD CVA'!$AF$21)*1</f>
        <v>0</v>
      </c>
      <c r="AD21" s="31">
        <f>('TUSD BE'!$AH$21+'TUSD BF'!$AH$21+'TUSD CVA'!$AH$21)*1</f>
        <v>0</v>
      </c>
      <c r="AE21" s="31">
        <f>('TUSD BE'!$AI$21+'TUSD BF'!$AI$21+'TUSD CVA'!$AI$21)*1</f>
        <v>0</v>
      </c>
      <c r="AF21" s="31">
        <f ca="1">('TUSD BE'!$AJ$21+'TUSD BF'!$AJ$21+'TUSD CVA'!$AJ$21)*1</f>
        <v>0</v>
      </c>
      <c r="AG21" s="31">
        <f ca="1">('TUSD BE'!$AK$21+'TUSD BF'!$AK$21+'TUSD CVA'!$AK$21)*1</f>
        <v>0</v>
      </c>
      <c r="AI21" s="31">
        <v>0</v>
      </c>
      <c r="AJ21" s="31">
        <v>0</v>
      </c>
      <c r="AK21" s="31">
        <v>0</v>
      </c>
      <c r="AL21" s="31">
        <v>0</v>
      </c>
      <c r="AM21" s="31">
        <v>0</v>
      </c>
      <c r="AN21" s="31">
        <v>0</v>
      </c>
      <c r="AO21" s="31">
        <v>0</v>
      </c>
      <c r="AP21" s="31">
        <v>0</v>
      </c>
      <c r="AQ21" s="31">
        <v>4.0154448523754303</v>
      </c>
      <c r="AR21" s="31">
        <v>1.7155489345846699</v>
      </c>
      <c r="AS21" s="31">
        <v>0.36097110249095699</v>
      </c>
      <c r="AT21" s="31">
        <v>0</v>
      </c>
      <c r="AU21" s="31">
        <v>0.21990608319916399</v>
      </c>
      <c r="AV21" s="31">
        <v>0</v>
      </c>
      <c r="AW21" s="31">
        <v>0</v>
      </c>
      <c r="AX21" s="31">
        <v>7.2430558815167396</v>
      </c>
      <c r="AY21" s="31">
        <v>0</v>
      </c>
      <c r="AZ21" s="31">
        <v>0</v>
      </c>
      <c r="BA21" s="31">
        <v>0</v>
      </c>
      <c r="BB21" s="31">
        <v>0</v>
      </c>
      <c r="BC21" s="31">
        <v>0</v>
      </c>
      <c r="BD21" s="31">
        <v>0</v>
      </c>
    </row>
    <row r="22" spans="1:56" ht="11.25" customHeight="1" x14ac:dyDescent="0.25">
      <c r="A22" s="97"/>
      <c r="B22" s="97"/>
      <c r="C22" s="97"/>
      <c r="D22" s="97"/>
      <c r="E22" s="97"/>
      <c r="F22" s="97"/>
      <c r="G22" s="38" t="s">
        <v>108</v>
      </c>
      <c r="H22" s="38" t="s">
        <v>102</v>
      </c>
      <c r="I22" s="38">
        <f>'MERCADO TUSD'!$U$19</f>
        <v>23597.869999999995</v>
      </c>
      <c r="J22" s="15"/>
      <c r="L22" s="31">
        <f>('TUSD BE'!$L$22+'TUSD BF'!$L$22+'TUSD CVA'!$L$22)*1</f>
        <v>0</v>
      </c>
      <c r="M22" s="31">
        <f>('TUSD BE'!$M$22+'TUSD BF'!$M$22+'TUSD CVA'!$M$22)*1</f>
        <v>0</v>
      </c>
      <c r="N22" s="31">
        <f ca="1">('TUSD BE'!$N$22+'TUSD BF'!$N$22+'TUSD CVA'!$N$22)*1</f>
        <v>0</v>
      </c>
      <c r="O22" s="31">
        <f>('TUSD BE'!$O$22+'TUSD BF'!$O$22+'TUSD CVA'!$O$22)*1</f>
        <v>0</v>
      </c>
      <c r="P22" s="31">
        <f>('TUSD BE'!$P$22+'TUSD BF'!$P$22+'TUSD CVA'!$P$22)*1</f>
        <v>0</v>
      </c>
      <c r="Q22" s="31">
        <f>('TUSD BE'!$Q$22+'TUSD BF'!$Q$22+'TUSD CVA'!$Q$22)*1</f>
        <v>0</v>
      </c>
      <c r="R22" s="31">
        <f>('TUSD BE'!$R$22+'TUSD BF'!$R$22+'TUSD CVA'!$R$22)*1</f>
        <v>0</v>
      </c>
      <c r="S22" s="31">
        <f>('TUSD BE'!$S$22+'TUSD BF'!$S$22+'TUSD CVA'!$S$22)*1</f>
        <v>0</v>
      </c>
      <c r="T22" s="31">
        <f>('TUSD BE'!$U$22+'TUSD BF'!$U$22+'TUSD CVA'!$U$22)*1</f>
        <v>0</v>
      </c>
      <c r="U22" s="31">
        <f>('TUSD BE'!$V$22+'TUSD BF'!$V$22+'TUSD CVA'!$V$22)*1</f>
        <v>0</v>
      </c>
      <c r="V22" s="31">
        <f>('TUSD BE'!$W$22+'TUSD BF'!$W$22+'TUSD CVA'!$W$22)*1</f>
        <v>0</v>
      </c>
      <c r="W22" s="31">
        <f>('TUSD BE'!$X$22+'TUSD BF'!$X$22+'TUSD CVA'!$X$22)*1</f>
        <v>0</v>
      </c>
      <c r="X22" s="31">
        <f>('TUSD BE'!$Y$22+'TUSD BF'!$Y$22+'TUSD CVA'!$Y$22)*1</f>
        <v>0</v>
      </c>
      <c r="Y22" s="31">
        <f>('TUSD BE'!$Z$22+'TUSD BF'!$Z$22+'TUSD CVA'!$Z$22)*1</f>
        <v>0</v>
      </c>
      <c r="Z22" s="31">
        <f>('TUSD BE'!$AA$22+'TUSD BF'!$AA$22+'TUSD CVA'!$AA$22)*1</f>
        <v>0</v>
      </c>
      <c r="AA22" s="31">
        <f>('TUSD BE'!$AC$22+'TUSD BF'!$AC$22+'TUSD CVA'!$AC$22)*1</f>
        <v>0</v>
      </c>
      <c r="AB22" s="31">
        <f>('TUSD BE'!$AE$22+'TUSD BF'!$AE$22+'TUSD CVA'!$AE$22)*1</f>
        <v>0</v>
      </c>
      <c r="AC22" s="31">
        <f ca="1">('TUSD BE'!$AF$22+'TUSD BF'!$AF$22+'TUSD CVA'!$AF$22)*1</f>
        <v>0</v>
      </c>
      <c r="AD22" s="31">
        <f>('TUSD BE'!$AH$22+'TUSD BF'!$AH$22+'TUSD CVA'!$AH$22)*1</f>
        <v>13.335235581271956</v>
      </c>
      <c r="AE22" s="31">
        <f>('TUSD BE'!$AI$22+'TUSD BF'!$AI$22+'TUSD CVA'!$AI$22)*1</f>
        <v>0.40421242558074866</v>
      </c>
      <c r="AF22" s="31">
        <f ca="1">('TUSD BE'!$AJ$22+'TUSD BF'!$AJ$22+'TUSD CVA'!$AJ$22)*1</f>
        <v>0</v>
      </c>
      <c r="AG22" s="31">
        <f ca="1">('TUSD BE'!$AK$22+'TUSD BF'!$AK$22+'TUSD CVA'!$AK$22)*1</f>
        <v>0</v>
      </c>
      <c r="AI22" s="31">
        <v>0</v>
      </c>
      <c r="AJ22" s="31">
        <v>0</v>
      </c>
      <c r="AK22" s="31">
        <v>0</v>
      </c>
      <c r="AL22" s="31">
        <v>0</v>
      </c>
      <c r="AM22" s="31">
        <v>0</v>
      </c>
      <c r="AN22" s="31">
        <v>0</v>
      </c>
      <c r="AO22" s="31">
        <v>0</v>
      </c>
      <c r="AP22" s="31">
        <v>0</v>
      </c>
      <c r="AQ22" s="31">
        <v>0</v>
      </c>
      <c r="AR22" s="31">
        <v>0</v>
      </c>
      <c r="AS22" s="31">
        <v>0</v>
      </c>
      <c r="AT22" s="31">
        <v>0</v>
      </c>
      <c r="AU22" s="31">
        <v>0</v>
      </c>
      <c r="AV22" s="31">
        <v>0</v>
      </c>
      <c r="AW22" s="31">
        <v>0</v>
      </c>
      <c r="AX22" s="31">
        <v>0</v>
      </c>
      <c r="AY22" s="31">
        <v>0</v>
      </c>
      <c r="AZ22" s="31">
        <v>0</v>
      </c>
      <c r="BA22" s="31">
        <v>14.630039919841</v>
      </c>
      <c r="BB22" s="31">
        <v>0.36698814510008598</v>
      </c>
      <c r="BC22" s="31">
        <v>0</v>
      </c>
      <c r="BD22" s="31">
        <v>0</v>
      </c>
    </row>
    <row r="23" spans="1:56" ht="11.25" customHeight="1" x14ac:dyDescent="0.25">
      <c r="A23" s="97"/>
      <c r="B23" s="37" t="s">
        <v>66</v>
      </c>
      <c r="C23" s="37" t="s">
        <v>25</v>
      </c>
      <c r="D23" s="37" t="s">
        <v>25</v>
      </c>
      <c r="E23" s="37" t="s">
        <v>25</v>
      </c>
      <c r="F23" s="37" t="s">
        <v>25</v>
      </c>
      <c r="G23" s="38" t="s">
        <v>9</v>
      </c>
      <c r="H23" s="38" t="s">
        <v>105</v>
      </c>
      <c r="I23" s="38">
        <f>'MERCADO TUSD'!$U$20</f>
        <v>225442</v>
      </c>
      <c r="J23" s="15"/>
      <c r="L23" s="31">
        <f>('TUSD BE'!$L$23+'TUSD BF'!$L$23+'TUSD CVA'!$L$23)*1</f>
        <v>0</v>
      </c>
      <c r="M23" s="31">
        <f>('TUSD BE'!$M$23+'TUSD BF'!$M$23+'TUSD CVA'!$M$23)*1</f>
        <v>5.353900317514209E-2</v>
      </c>
      <c r="N23" s="31">
        <f ca="1">('TUSD BE'!$N$23+'TUSD BF'!$N$23+'TUSD CVA'!$N$23)*1</f>
        <v>0.15079819428242755</v>
      </c>
      <c r="O23" s="31">
        <f>('TUSD BE'!$O$23+'TUSD BF'!$O$23+'TUSD CVA'!$O$23)*1</f>
        <v>0</v>
      </c>
      <c r="P23" s="31">
        <f>('TUSD BE'!$P$23+'TUSD BF'!$P$23+'TUSD CVA'!$P$23)*1</f>
        <v>0</v>
      </c>
      <c r="Q23" s="31">
        <f>('TUSD BE'!$Q$23+'TUSD BF'!$Q$23+'TUSD CVA'!$Q$23)*1</f>
        <v>0</v>
      </c>
      <c r="R23" s="31">
        <f>('TUSD BE'!$R$23+'TUSD BF'!$R$23+'TUSD CVA'!$R$23)*1</f>
        <v>0</v>
      </c>
      <c r="S23" s="31">
        <f>('TUSD BE'!$S$23+'TUSD BF'!$S$23+'TUSD CVA'!$S$23)*1</f>
        <v>0</v>
      </c>
      <c r="T23" s="31">
        <f>('TUSD BE'!$U$23+'TUSD BF'!$U$23+'TUSD CVA'!$U$23)*1</f>
        <v>0</v>
      </c>
      <c r="U23" s="31">
        <f>('TUSD BE'!$V$23+'TUSD BF'!$V$23+'TUSD CVA'!$V$23)*1</f>
        <v>0</v>
      </c>
      <c r="V23" s="31">
        <f>('TUSD BE'!$W$23+'TUSD BF'!$W$23+'TUSD CVA'!$W$23)*1</f>
        <v>0</v>
      </c>
      <c r="W23" s="31">
        <f>('TUSD BE'!$X$23+'TUSD BF'!$X$23+'TUSD CVA'!$X$23)*1</f>
        <v>0</v>
      </c>
      <c r="X23" s="31">
        <f>('TUSD BE'!$Y$23+'TUSD BF'!$Y$23+'TUSD CVA'!$Y$23)*1</f>
        <v>0</v>
      </c>
      <c r="Y23" s="31">
        <f>('TUSD BE'!$Z$23+'TUSD BF'!$Z$23+'TUSD CVA'!$Z$23)*1</f>
        <v>0</v>
      </c>
      <c r="Z23" s="31">
        <f>('TUSD BE'!$AA$23+'TUSD BF'!$AA$23+'TUSD CVA'!$AA$23)*1</f>
        <v>0</v>
      </c>
      <c r="AA23" s="31">
        <f>('TUSD BE'!$AC$23+'TUSD BF'!$AC$23+'TUSD CVA'!$AC$23)*1</f>
        <v>15.746935556503731</v>
      </c>
      <c r="AB23" s="31">
        <f ca="1">('TUSD BE'!$AE$23+'TUSD BF'!$AE$23+'TUSD CVA'!$AE$23)*1</f>
        <v>-1.4575932884203733</v>
      </c>
      <c r="AC23" s="31">
        <f ca="1">('TUSD BE'!$AF$23+'TUSD BF'!$AF$23+'TUSD CVA'!$AF$23)*1</f>
        <v>0</v>
      </c>
      <c r="AD23" s="31">
        <f>('TUSD BE'!$AH$23+'TUSD BF'!$AH$23+'TUSD CVA'!$AH$23)*1</f>
        <v>6.0673542137551354E-4</v>
      </c>
      <c r="AE23" s="31">
        <f>('TUSD BE'!$AI$23+'TUSD BF'!$AI$23+'TUSD CVA'!$AI$23)*1</f>
        <v>0</v>
      </c>
      <c r="AF23" s="31">
        <f ca="1">('TUSD BE'!$AJ$23+'TUSD BF'!$AJ$23+'TUSD CVA'!$AJ$23)*1</f>
        <v>0</v>
      </c>
      <c r="AG23" s="31">
        <f ca="1">('TUSD BE'!$AK$23+'TUSD BF'!$AK$23+'TUSD CVA'!$AK$23)*1</f>
        <v>0</v>
      </c>
      <c r="AI23" s="31">
        <v>0</v>
      </c>
      <c r="AJ23" s="31">
        <v>5.2020089630992403E-2</v>
      </c>
      <c r="AK23" s="31">
        <v>0.15870784592359</v>
      </c>
      <c r="AL23" s="31">
        <v>0</v>
      </c>
      <c r="AM23" s="31">
        <v>0</v>
      </c>
      <c r="AN23" s="31">
        <v>0</v>
      </c>
      <c r="AO23" s="31">
        <v>0</v>
      </c>
      <c r="AP23" s="31">
        <v>0</v>
      </c>
      <c r="AQ23" s="31">
        <v>0</v>
      </c>
      <c r="AR23" s="31">
        <v>0</v>
      </c>
      <c r="AS23" s="31">
        <v>0</v>
      </c>
      <c r="AT23" s="31">
        <v>0</v>
      </c>
      <c r="AU23" s="31">
        <v>0</v>
      </c>
      <c r="AV23" s="31">
        <v>0</v>
      </c>
      <c r="AW23" s="31">
        <v>0</v>
      </c>
      <c r="AX23" s="31">
        <v>14.3450711358844</v>
      </c>
      <c r="AY23" s="31">
        <v>-0.151195454989654</v>
      </c>
      <c r="AZ23" s="31">
        <v>0</v>
      </c>
      <c r="BA23" s="31">
        <v>6.65647290698903E-4</v>
      </c>
      <c r="BB23" s="31">
        <v>0</v>
      </c>
      <c r="BC23" s="31">
        <v>0</v>
      </c>
      <c r="BD23" s="31">
        <v>0</v>
      </c>
    </row>
    <row r="24" spans="1:56" ht="11.25" customHeight="1" x14ac:dyDescent="0.25">
      <c r="A24" s="97"/>
      <c r="B24" s="97" t="s">
        <v>42</v>
      </c>
      <c r="C24" s="97" t="s">
        <v>25</v>
      </c>
      <c r="D24" s="97" t="s">
        <v>25</v>
      </c>
      <c r="E24" s="97" t="s">
        <v>25</v>
      </c>
      <c r="F24" s="97" t="s">
        <v>25</v>
      </c>
      <c r="G24" s="38" t="s">
        <v>9</v>
      </c>
      <c r="H24" s="38" t="s">
        <v>105</v>
      </c>
      <c r="I24" s="38">
        <f>'MERCADO TUSD'!$U$21</f>
        <v>2907224</v>
      </c>
      <c r="J24" s="15"/>
      <c r="L24" s="31">
        <f>('TUSD BE'!$L$24+'TUSD BF'!$L$24+'TUSD CVA'!$L$24)*1</f>
        <v>0</v>
      </c>
      <c r="M24" s="31">
        <f>('TUSD BE'!$M$24+'TUSD BF'!$M$24+'TUSD CVA'!$M$24)*1</f>
        <v>0</v>
      </c>
      <c r="N24" s="31">
        <f ca="1">('TUSD BE'!$N$24+'TUSD BF'!$N$24+'TUSD CVA'!$N$24)*1</f>
        <v>0</v>
      </c>
      <c r="O24" s="31">
        <f>('TUSD BE'!$O$24+'TUSD BF'!$O$24+'TUSD CVA'!$O$24)*1</f>
        <v>0</v>
      </c>
      <c r="P24" s="31">
        <f>('TUSD BE'!$P$24+'TUSD BF'!$P$24+'TUSD CVA'!$P$24)*1</f>
        <v>0</v>
      </c>
      <c r="Q24" s="31">
        <f>('TUSD BE'!$Q$24+'TUSD BF'!$Q$24+'TUSD CVA'!$Q$24)*1</f>
        <v>0</v>
      </c>
      <c r="R24" s="31">
        <f>('TUSD BE'!$R$24+'TUSD BF'!$R$24+'TUSD CVA'!$R$24)*1</f>
        <v>0</v>
      </c>
      <c r="S24" s="31">
        <f>('TUSD BE'!$S$24+'TUSD BF'!$S$24+'TUSD CVA'!$S$24)*1</f>
        <v>0</v>
      </c>
      <c r="T24" s="31">
        <f>('TUSD BE'!$U$24+'TUSD BF'!$U$24+'TUSD CVA'!$U$24)*1</f>
        <v>4.8310052748032497</v>
      </c>
      <c r="U24" s="31">
        <f>('TUSD BE'!$V$24+'TUSD BF'!$V$24+'TUSD CVA'!$V$24)*1</f>
        <v>1.4906868735084076</v>
      </c>
      <c r="V24" s="31">
        <f>('TUSD BE'!$W$24+'TUSD BF'!$W$24+'TUSD CVA'!$W$24)*1</f>
        <v>0.21802937348780771</v>
      </c>
      <c r="W24" s="31">
        <f>('TUSD BE'!$X$24+'TUSD BF'!$X$24+'TUSD CVA'!$X$24)*1</f>
        <v>1.2658722332411757E-2</v>
      </c>
      <c r="X24" s="31">
        <f>('TUSD BE'!$Y$24+'TUSD BF'!$Y$24+'TUSD CVA'!$Y$24)*1</f>
        <v>0.19044921841603146</v>
      </c>
      <c r="Y24" s="31">
        <f>('TUSD BE'!$Z$24+'TUSD BF'!$Z$24+'TUSD CVA'!$Z$24)*1</f>
        <v>0</v>
      </c>
      <c r="Z24" s="31">
        <f>('TUSD BE'!$AA$24+'TUSD BF'!$AA$24+'TUSD CVA'!$AA$24)*1</f>
        <v>0</v>
      </c>
      <c r="AA24" s="31">
        <f>('TUSD BE'!$AC$24+'TUSD BF'!$AC$24+'TUSD CVA'!$AC$24)*1</f>
        <v>22.148927821524858</v>
      </c>
      <c r="AB24" s="31">
        <f ca="1">('TUSD BE'!$AE$24+'TUSD BF'!$AE$24+'TUSD CVA'!$AE$24)*1</f>
        <v>-2.6115930050922564</v>
      </c>
      <c r="AC24" s="31">
        <f ca="1">('TUSD BE'!$AF$24+'TUSD BF'!$AF$24+'TUSD CVA'!$AF$24)*1</f>
        <v>0</v>
      </c>
      <c r="AD24" s="31">
        <f>('TUSD BE'!$AH$24+'TUSD BF'!$AH$24+'TUSD CVA'!$AH$24)*1</f>
        <v>0</v>
      </c>
      <c r="AE24" s="31">
        <f>('TUSD BE'!$AI$24+'TUSD BF'!$AI$24+'TUSD CVA'!$AI$24)*1</f>
        <v>0</v>
      </c>
      <c r="AF24" s="31">
        <f ca="1">('TUSD BE'!$AJ$24+'TUSD BF'!$AJ$24+'TUSD CVA'!$AJ$24)*1</f>
        <v>0</v>
      </c>
      <c r="AG24" s="31">
        <f ca="1">('TUSD BE'!$AK$24+'TUSD BF'!$AK$24+'TUSD CVA'!$AK$24)*1</f>
        <v>0</v>
      </c>
      <c r="AI24" s="31">
        <v>0</v>
      </c>
      <c r="AJ24" s="31">
        <v>0</v>
      </c>
      <c r="AK24" s="31">
        <v>0</v>
      </c>
      <c r="AL24" s="31">
        <v>0</v>
      </c>
      <c r="AM24" s="31">
        <v>0</v>
      </c>
      <c r="AN24" s="31">
        <v>0</v>
      </c>
      <c r="AO24" s="31">
        <v>0</v>
      </c>
      <c r="AP24" s="31">
        <v>0</v>
      </c>
      <c r="AQ24" s="31">
        <v>4.0154448523754303</v>
      </c>
      <c r="AR24" s="31">
        <v>1.7155489345846699</v>
      </c>
      <c r="AS24" s="31">
        <v>0.36097110249095699</v>
      </c>
      <c r="AT24" s="31">
        <v>0</v>
      </c>
      <c r="AU24" s="31">
        <v>0.21990608319916399</v>
      </c>
      <c r="AV24" s="31">
        <v>0</v>
      </c>
      <c r="AW24" s="31">
        <v>0</v>
      </c>
      <c r="AX24" s="31">
        <v>20.177413467855299</v>
      </c>
      <c r="AY24" s="31">
        <v>-0.27019469189300199</v>
      </c>
      <c r="AZ24" s="31">
        <v>0</v>
      </c>
      <c r="BA24" s="31">
        <v>0</v>
      </c>
      <c r="BB24" s="31">
        <v>0</v>
      </c>
      <c r="BC24" s="31">
        <v>0</v>
      </c>
      <c r="BD24" s="31">
        <v>0</v>
      </c>
    </row>
    <row r="25" spans="1:56" ht="11.25" customHeight="1" x14ac:dyDescent="0.25">
      <c r="A25" s="97"/>
      <c r="B25" s="97"/>
      <c r="C25" s="97"/>
      <c r="D25" s="97"/>
      <c r="E25" s="97"/>
      <c r="F25" s="97"/>
      <c r="G25" s="38" t="s">
        <v>103</v>
      </c>
      <c r="H25" s="38" t="s">
        <v>102</v>
      </c>
      <c r="I25" s="38">
        <f>'MERCADO TUSD'!$U$22</f>
        <v>35988.722999999998</v>
      </c>
      <c r="J25" s="15"/>
      <c r="L25" s="31">
        <f>('TUSD BE'!$L$25+'TUSD BF'!$L$25+'TUSD CVA'!$L$25)*1</f>
        <v>3.5792416848852322</v>
      </c>
      <c r="M25" s="31">
        <f>('TUSD BE'!$M$25+'TUSD BF'!$M$25+'TUSD CVA'!$M$25)*1</f>
        <v>0.64769969373003367</v>
      </c>
      <c r="N25" s="31">
        <f ca="1">('TUSD BE'!$N$25+'TUSD BF'!$N$25+'TUSD CVA'!$N$25)*1</f>
        <v>13.445279782903929</v>
      </c>
      <c r="O25" s="31">
        <f>('TUSD BE'!$O$25+'TUSD BF'!$O$25+'TUSD CVA'!$O$25)*1</f>
        <v>1.8728184976687441E-2</v>
      </c>
      <c r="P25" s="31">
        <f>('TUSD BE'!$P$25+'TUSD BF'!$P$25+'TUSD CVA'!$P$25)*1</f>
        <v>0</v>
      </c>
      <c r="Q25" s="31">
        <f>('TUSD BE'!$Q$25+'TUSD BF'!$Q$25+'TUSD CVA'!$Q$25)*1</f>
        <v>39.648257846391523</v>
      </c>
      <c r="R25" s="31">
        <f>('TUSD BE'!$R$25+'TUSD BF'!$R$25+'TUSD CVA'!$R$25)*1</f>
        <v>18.051835405677433</v>
      </c>
      <c r="S25" s="31">
        <f>('TUSD BE'!$S$25+'TUSD BF'!$S$25+'TUSD CVA'!$S$25)*1</f>
        <v>0</v>
      </c>
      <c r="T25" s="31">
        <f>('TUSD BE'!$U$25+'TUSD BF'!$U$25+'TUSD CVA'!$U$25)*1</f>
        <v>186.04835246086182</v>
      </c>
      <c r="U25" s="31">
        <f>('TUSD BE'!$V$25+'TUSD BF'!$V$25+'TUSD CVA'!$V$25)*1</f>
        <v>57.704038288057504</v>
      </c>
      <c r="V25" s="31">
        <f>('TUSD BE'!$W$25+'TUSD BF'!$W$25+'TUSD CVA'!$W$25)*1</f>
        <v>9.1940015904066161</v>
      </c>
      <c r="W25" s="31">
        <f>('TUSD BE'!$X$25+'TUSD BF'!$X$25+'TUSD CVA'!$X$25)*1</f>
        <v>0.53478078551926811</v>
      </c>
      <c r="X25" s="31">
        <f>('TUSD BE'!$Y$25+'TUSD BF'!$Y$25+'TUSD CVA'!$Y$25)*1</f>
        <v>14.069352059317515</v>
      </c>
      <c r="Y25" s="31">
        <f>('TUSD BE'!$Z$25+'TUSD BF'!$Z$25+'TUSD CVA'!$Z$25)*1</f>
        <v>0</v>
      </c>
      <c r="Z25" s="31">
        <f>('TUSD BE'!$AA$25+'TUSD BF'!$AA$25+'TUSD CVA'!$AA$25)*1</f>
        <v>0</v>
      </c>
      <c r="AA25" s="31">
        <f>('TUSD BE'!$AC$25+'TUSD BF'!$AC$25+'TUSD CVA'!$AC$25)*1</f>
        <v>1113.826682816006</v>
      </c>
      <c r="AB25" s="31">
        <f ca="1">('TUSD BE'!$AE$25+'TUSD BF'!$AE$25+'TUSD CVA'!$AE$25)*1</f>
        <v>-133.18063742046078</v>
      </c>
      <c r="AC25" s="31">
        <f ca="1">('TUSD BE'!$AF$25+'TUSD BF'!$AF$25+'TUSD CVA'!$AF$25)*1</f>
        <v>0</v>
      </c>
      <c r="AD25" s="31">
        <f>('TUSD BE'!$AH$25+'TUSD BF'!$AH$25+'TUSD CVA'!$AH$25)*1</f>
        <v>13.335235581271956</v>
      </c>
      <c r="AE25" s="31">
        <f>('TUSD BE'!$AI$25+'TUSD BF'!$AI$25+'TUSD CVA'!$AI$25)*1</f>
        <v>0.40421242558074866</v>
      </c>
      <c r="AF25" s="31">
        <f ca="1">('TUSD BE'!$AJ$25+'TUSD BF'!$AJ$25+'TUSD CVA'!$AJ$25)*1</f>
        <v>8.5306826244234504</v>
      </c>
      <c r="AG25" s="31">
        <f ca="1">('TUSD BE'!$AK$25+'TUSD BF'!$AK$25+'TUSD CVA'!$AK$25)*1</f>
        <v>0</v>
      </c>
      <c r="AI25" s="31">
        <v>3.5042966002511702</v>
      </c>
      <c r="AJ25" s="31">
        <v>0.55927121900626198</v>
      </c>
      <c r="AK25" s="31">
        <v>14.1251160734931</v>
      </c>
      <c r="AL25" s="31">
        <v>1.86109448442504E-2</v>
      </c>
      <c r="AM25" s="31">
        <v>0</v>
      </c>
      <c r="AN25" s="31">
        <v>24.255577531033701</v>
      </c>
      <c r="AO25" s="31">
        <v>10.086366024610101</v>
      </c>
      <c r="AP25" s="31">
        <v>0</v>
      </c>
      <c r="AQ25" s="31">
        <v>154.64005040075699</v>
      </c>
      <c r="AR25" s="31">
        <v>66.408380703938406</v>
      </c>
      <c r="AS25" s="31">
        <v>15.221659528266599</v>
      </c>
      <c r="AT25" s="31">
        <v>0</v>
      </c>
      <c r="AU25" s="31">
        <v>16.2454649604074</v>
      </c>
      <c r="AV25" s="31">
        <v>0</v>
      </c>
      <c r="AW25" s="31">
        <v>0</v>
      </c>
      <c r="AX25" s="31">
        <v>1014.6046867472</v>
      </c>
      <c r="AY25" s="31">
        <v>-13.6872309103153</v>
      </c>
      <c r="AZ25" s="31">
        <v>0</v>
      </c>
      <c r="BA25" s="31">
        <v>14.630039919841</v>
      </c>
      <c r="BB25" s="31">
        <v>0.36698814510008598</v>
      </c>
      <c r="BC25" s="31">
        <v>9.2131479557572096</v>
      </c>
      <c r="BD25" s="31">
        <v>0</v>
      </c>
    </row>
    <row r="26" spans="1:56" ht="11.25" customHeight="1" x14ac:dyDescent="0.25">
      <c r="A26" s="97"/>
      <c r="B26" s="97"/>
      <c r="C26" s="97"/>
      <c r="D26" s="97"/>
      <c r="E26" s="97"/>
      <c r="F26" s="97"/>
      <c r="G26" s="38" t="s">
        <v>104</v>
      </c>
      <c r="H26" s="38" t="s">
        <v>102</v>
      </c>
      <c r="I26" s="38">
        <f>'MERCADO TUSD'!$U$23</f>
        <v>544694.34699999995</v>
      </c>
      <c r="J26" s="15"/>
      <c r="L26" s="31">
        <f>('TUSD BE'!$L$26+'TUSD BF'!$L$26+'TUSD CVA'!$L$26)*1</f>
        <v>3.5792416848852322</v>
      </c>
      <c r="M26" s="31">
        <f>('TUSD BE'!$M$26+'TUSD BF'!$M$26+'TUSD CVA'!$M$26)*1</f>
        <v>0.64769969373003367</v>
      </c>
      <c r="N26" s="31">
        <f ca="1">('TUSD BE'!$N$26+'TUSD BF'!$N$26+'TUSD CVA'!$N$26)*1</f>
        <v>0.50190717882481162</v>
      </c>
      <c r="O26" s="31">
        <f>('TUSD BE'!$O$26+'TUSD BF'!$O$26+'TUSD CVA'!$O$26)*1</f>
        <v>1.8728184976687441E-2</v>
      </c>
      <c r="P26" s="31">
        <f>('TUSD BE'!$P$26+'TUSD BF'!$P$26+'TUSD CVA'!$P$26)*1</f>
        <v>0</v>
      </c>
      <c r="Q26" s="31">
        <f>('TUSD BE'!$Q$26+'TUSD BF'!$Q$26+'TUSD CVA'!$Q$26)*1</f>
        <v>39.648257846391523</v>
      </c>
      <c r="R26" s="31">
        <f>('TUSD BE'!$R$26+'TUSD BF'!$R$26+'TUSD CVA'!$R$26)*1</f>
        <v>18.051835405677433</v>
      </c>
      <c r="S26" s="31">
        <f>('TUSD BE'!$S$26+'TUSD BF'!$S$26+'TUSD CVA'!$S$26)*1</f>
        <v>0</v>
      </c>
      <c r="T26" s="31">
        <f>('TUSD BE'!$U$26+'TUSD BF'!$U$26+'TUSD CVA'!$U$26)*1</f>
        <v>0</v>
      </c>
      <c r="U26" s="31">
        <f>('TUSD BE'!$V$26+'TUSD BF'!$V$26+'TUSD CVA'!$V$26)*1</f>
        <v>0</v>
      </c>
      <c r="V26" s="31">
        <f>('TUSD BE'!$W$26+'TUSD BF'!$W$26+'TUSD CVA'!$W$26)*1</f>
        <v>0</v>
      </c>
      <c r="W26" s="31">
        <f>('TUSD BE'!$X$26+'TUSD BF'!$X$26+'TUSD CVA'!$X$26)*1</f>
        <v>0</v>
      </c>
      <c r="X26" s="31">
        <f>('TUSD BE'!$Y$26+'TUSD BF'!$Y$26+'TUSD CVA'!$Y$26)*1</f>
        <v>0</v>
      </c>
      <c r="Y26" s="31">
        <f>('TUSD BE'!$Z$26+'TUSD BF'!$Z$26+'TUSD CVA'!$Z$26)*1</f>
        <v>0</v>
      </c>
      <c r="Z26" s="31">
        <f>('TUSD BE'!$AA$26+'TUSD BF'!$AA$26+'TUSD CVA'!$AA$26)*1</f>
        <v>0</v>
      </c>
      <c r="AA26" s="31">
        <f>('TUSD BE'!$AC$26+'TUSD BF'!$AC$26+'TUSD CVA'!$AC$26)*1</f>
        <v>0</v>
      </c>
      <c r="AB26" s="31">
        <f ca="1">('TUSD BE'!$AE$26+'TUSD BF'!$AE$26+'TUSD CVA'!$AE$26)*1</f>
        <v>-6.8415986647466118</v>
      </c>
      <c r="AC26" s="31">
        <f ca="1">('TUSD BE'!$AF$26+'TUSD BF'!$AF$26+'TUSD CVA'!$AF$26)*1</f>
        <v>0</v>
      </c>
      <c r="AD26" s="31">
        <f>('TUSD BE'!$AH$26+'TUSD BF'!$AH$26+'TUSD CVA'!$AH$26)*1</f>
        <v>13.335235581271956</v>
      </c>
      <c r="AE26" s="31">
        <f>('TUSD BE'!$AI$26+'TUSD BF'!$AI$26+'TUSD CVA'!$AI$26)*1</f>
        <v>0.40421242558074866</v>
      </c>
      <c r="AF26" s="31">
        <f ca="1">('TUSD BE'!$AJ$26+'TUSD BF'!$AJ$26+'TUSD CVA'!$AJ$26)*1</f>
        <v>8.5306826244234504</v>
      </c>
      <c r="AG26" s="31">
        <f ca="1">('TUSD BE'!$AK$26+'TUSD BF'!$AK$26+'TUSD CVA'!$AK$26)*1</f>
        <v>0</v>
      </c>
      <c r="AI26" s="31">
        <v>3.5042966002511702</v>
      </c>
      <c r="AJ26" s="31">
        <v>0.55927121900626198</v>
      </c>
      <c r="AK26" s="31">
        <v>0.50931373642370104</v>
      </c>
      <c r="AL26" s="31">
        <v>1.86109448442504E-2</v>
      </c>
      <c r="AM26" s="31">
        <v>0</v>
      </c>
      <c r="AN26" s="31">
        <v>24.255577531033701</v>
      </c>
      <c r="AO26" s="31">
        <v>10.086366024610101</v>
      </c>
      <c r="AP26" s="31">
        <v>0</v>
      </c>
      <c r="AQ26" s="31">
        <v>0</v>
      </c>
      <c r="AR26" s="31">
        <v>0</v>
      </c>
      <c r="AS26" s="31">
        <v>0</v>
      </c>
      <c r="AT26" s="31">
        <v>0</v>
      </c>
      <c r="AU26" s="31">
        <v>0</v>
      </c>
      <c r="AV26" s="31">
        <v>0</v>
      </c>
      <c r="AW26" s="31">
        <v>0</v>
      </c>
      <c r="AX26" s="31">
        <v>0</v>
      </c>
      <c r="AY26" s="31">
        <v>-0.57853955670674295</v>
      </c>
      <c r="AZ26" s="31">
        <v>0</v>
      </c>
      <c r="BA26" s="31">
        <v>14.630039919841</v>
      </c>
      <c r="BB26" s="31">
        <v>0.36698814510008598</v>
      </c>
      <c r="BC26" s="31">
        <v>9.2131479557572096</v>
      </c>
      <c r="BD26" s="31">
        <v>0</v>
      </c>
    </row>
    <row r="27" spans="1:56" ht="11.25" customHeight="1" x14ac:dyDescent="0.25">
      <c r="A27" s="97"/>
      <c r="B27" s="97"/>
      <c r="C27" s="97"/>
      <c r="D27" s="97"/>
      <c r="E27" s="97" t="s">
        <v>59</v>
      </c>
      <c r="F27" s="97" t="s">
        <v>25</v>
      </c>
      <c r="G27" s="38" t="s">
        <v>103</v>
      </c>
      <c r="H27" s="38" t="s">
        <v>102</v>
      </c>
      <c r="I27" s="38">
        <f>'MERCADO TUSD'!$U$24</f>
        <v>0</v>
      </c>
      <c r="J27" s="15"/>
      <c r="L27" s="31">
        <f>('TUSD BE'!$L$27+'TUSD BF'!$L$27+'TUSD CVA'!$L$27)*1</f>
        <v>0</v>
      </c>
      <c r="M27" s="31">
        <f>('TUSD BE'!$M$27+'TUSD BF'!$M$27+'TUSD CVA'!$M$27)*1</f>
        <v>0.64769969373003367</v>
      </c>
      <c r="N27" s="31">
        <f ca="1">('TUSD BE'!$N$27+'TUSD BF'!$N$27+'TUSD CVA'!$N$27)*1</f>
        <v>13.434554449028935</v>
      </c>
      <c r="O27" s="31">
        <f>('TUSD BE'!$O$27+'TUSD BF'!$O$27+'TUSD CVA'!$O$27)*1</f>
        <v>1.8728184976687441E-2</v>
      </c>
      <c r="P27" s="31">
        <f>('TUSD BE'!$P$27+'TUSD BF'!$P$27+'TUSD CVA'!$P$27)*1</f>
        <v>0</v>
      </c>
      <c r="Q27" s="31">
        <f>('TUSD BE'!$Q$27+'TUSD BF'!$Q$27+'TUSD CVA'!$Q$27)*1</f>
        <v>0</v>
      </c>
      <c r="R27" s="31">
        <f>('TUSD BE'!$R$27+'TUSD BF'!$R$27+'TUSD CVA'!$R$27)*1</f>
        <v>0</v>
      </c>
      <c r="S27" s="31">
        <f>('TUSD BE'!$S$27+'TUSD BF'!$S$27+'TUSD CVA'!$S$27)*1</f>
        <v>0</v>
      </c>
      <c r="T27" s="31">
        <f>('TUSD BE'!$U$27+'TUSD BF'!$U$27+'TUSD CVA'!$U$27)*1</f>
        <v>186.04835246086182</v>
      </c>
      <c r="U27" s="31">
        <f>('TUSD BE'!$V$27+'TUSD BF'!$V$27+'TUSD CVA'!$V$27)*1</f>
        <v>57.704038288057504</v>
      </c>
      <c r="V27" s="31">
        <f>('TUSD BE'!$W$27+'TUSD BF'!$W$27+'TUSD CVA'!$W$27)*1</f>
        <v>9.1940015904066161</v>
      </c>
      <c r="W27" s="31">
        <f>('TUSD BE'!$X$27+'TUSD BF'!$X$27+'TUSD CVA'!$X$27)*1</f>
        <v>0.53478078551926811</v>
      </c>
      <c r="X27" s="31">
        <f>('TUSD BE'!$Y$27+'TUSD BF'!$Y$27+'TUSD CVA'!$Y$27)*1</f>
        <v>14.069352059317515</v>
      </c>
      <c r="Y27" s="31">
        <f>('TUSD BE'!$Z$27+'TUSD BF'!$Z$27+'TUSD CVA'!$Z$27)*1</f>
        <v>0</v>
      </c>
      <c r="Z27" s="31">
        <f>('TUSD BE'!$AA$27+'TUSD BF'!$AA$27+'TUSD CVA'!$AA$27)*1</f>
        <v>0</v>
      </c>
      <c r="AA27" s="31">
        <f>('TUSD BE'!$AC$27+'TUSD BF'!$AC$27+'TUSD CVA'!$AC$27)*1</f>
        <v>1113.826682816006</v>
      </c>
      <c r="AB27" s="31">
        <f ca="1">('TUSD BE'!$AE$27+'TUSD BF'!$AE$27+'TUSD CVA'!$AE$27)*1</f>
        <v>-128.62320417776979</v>
      </c>
      <c r="AC27" s="31">
        <f ca="1">('TUSD BE'!$AF$27+'TUSD BF'!$AF$27+'TUSD CVA'!$AF$27)*1</f>
        <v>0</v>
      </c>
      <c r="AD27" s="31">
        <f>('TUSD BE'!$AH$27+'TUSD BF'!$AH$27+'TUSD CVA'!$AH$27)*1</f>
        <v>13.335235581271956</v>
      </c>
      <c r="AE27" s="31">
        <f>('TUSD BE'!$AI$27+'TUSD BF'!$AI$27+'TUSD CVA'!$AI$27)*1</f>
        <v>0.40421242558074866</v>
      </c>
      <c r="AF27" s="31">
        <f ca="1">('TUSD BE'!$AJ$27+'TUSD BF'!$AJ$27+'TUSD CVA'!$AJ$27)*1</f>
        <v>8.5306826244234504</v>
      </c>
      <c r="AG27" s="31">
        <f ca="1">('TUSD BE'!$AK$27+'TUSD BF'!$AK$27+'TUSD CVA'!$AK$27)*1</f>
        <v>0</v>
      </c>
      <c r="AI27" s="31">
        <v>0</v>
      </c>
      <c r="AJ27" s="31">
        <v>0.55927121900626198</v>
      </c>
      <c r="AK27" s="31">
        <v>14.113828175489999</v>
      </c>
      <c r="AL27" s="31">
        <v>1.86109448442504E-2</v>
      </c>
      <c r="AM27" s="31">
        <v>0</v>
      </c>
      <c r="AN27" s="31">
        <v>0</v>
      </c>
      <c r="AO27" s="31">
        <v>0</v>
      </c>
      <c r="AP27" s="31">
        <v>0</v>
      </c>
      <c r="AQ27" s="31">
        <v>154.64005040075699</v>
      </c>
      <c r="AR27" s="31">
        <v>66.408380703938406</v>
      </c>
      <c r="AS27" s="31">
        <v>15.221659528266599</v>
      </c>
      <c r="AT27" s="31">
        <v>0</v>
      </c>
      <c r="AU27" s="31">
        <v>16.2454649604074</v>
      </c>
      <c r="AV27" s="31">
        <v>0</v>
      </c>
      <c r="AW27" s="31">
        <v>0</v>
      </c>
      <c r="AX27" s="31">
        <v>1014.6046867472</v>
      </c>
      <c r="AY27" s="31">
        <v>-13.34690950017</v>
      </c>
      <c r="AZ27" s="31">
        <v>0</v>
      </c>
      <c r="BA27" s="31">
        <v>14.630039919841</v>
      </c>
      <c r="BB27" s="31">
        <v>0.36698814510008598</v>
      </c>
      <c r="BC27" s="31">
        <v>9.2131479557572096</v>
      </c>
      <c r="BD27" s="31">
        <v>0</v>
      </c>
    </row>
    <row r="28" spans="1:56" ht="11.25" customHeight="1" x14ac:dyDescent="0.25">
      <c r="A28" s="97"/>
      <c r="B28" s="97"/>
      <c r="C28" s="97"/>
      <c r="D28" s="97"/>
      <c r="E28" s="97"/>
      <c r="F28" s="97"/>
      <c r="G28" s="38" t="s">
        <v>104</v>
      </c>
      <c r="H28" s="38" t="s">
        <v>102</v>
      </c>
      <c r="I28" s="38">
        <f>'MERCADO TUSD'!$U$25</f>
        <v>1015.3970000000002</v>
      </c>
      <c r="J28" s="15"/>
      <c r="L28" s="31">
        <f>('TUSD BE'!$L$28+'TUSD BF'!$L$28+'TUSD CVA'!$L$28)*1</f>
        <v>0</v>
      </c>
      <c r="M28" s="31">
        <f>('TUSD BE'!$M$28+'TUSD BF'!$M$28+'TUSD CVA'!$M$28)*1</f>
        <v>0.64769969373003367</v>
      </c>
      <c r="N28" s="31">
        <f ca="1">('TUSD BE'!$N$28+'TUSD BF'!$N$28+'TUSD CVA'!$N$28)*1</f>
        <v>0.4911818449498167</v>
      </c>
      <c r="O28" s="31">
        <f>('TUSD BE'!$O$28+'TUSD BF'!$O$28+'TUSD CVA'!$O$28)*1</f>
        <v>1.8728184976687441E-2</v>
      </c>
      <c r="P28" s="31">
        <f>('TUSD BE'!$P$28+'TUSD BF'!$P$28+'TUSD CVA'!$P$28)*1</f>
        <v>0</v>
      </c>
      <c r="Q28" s="31">
        <f>('TUSD BE'!$Q$28+'TUSD BF'!$Q$28+'TUSD CVA'!$Q$28)*1</f>
        <v>0</v>
      </c>
      <c r="R28" s="31">
        <f>('TUSD BE'!$R$28+'TUSD BF'!$R$28+'TUSD CVA'!$R$28)*1</f>
        <v>0</v>
      </c>
      <c r="S28" s="31">
        <f>('TUSD BE'!$S$28+'TUSD BF'!$S$28+'TUSD CVA'!$S$28)*1</f>
        <v>0</v>
      </c>
      <c r="T28" s="31">
        <f>('TUSD BE'!$U$28+'TUSD BF'!$U$28+'TUSD CVA'!$U$28)*1</f>
        <v>0</v>
      </c>
      <c r="U28" s="31">
        <f>('TUSD BE'!$V$28+'TUSD BF'!$V$28+'TUSD CVA'!$V$28)*1</f>
        <v>0</v>
      </c>
      <c r="V28" s="31">
        <f>('TUSD BE'!$W$28+'TUSD BF'!$W$28+'TUSD CVA'!$W$28)*1</f>
        <v>0</v>
      </c>
      <c r="W28" s="31">
        <f>('TUSD BE'!$X$28+'TUSD BF'!$X$28+'TUSD CVA'!$X$28)*1</f>
        <v>0</v>
      </c>
      <c r="X28" s="31">
        <f>('TUSD BE'!$Y$28+'TUSD BF'!$Y$28+'TUSD CVA'!$Y$28)*1</f>
        <v>0</v>
      </c>
      <c r="Y28" s="31">
        <f>('TUSD BE'!$Z$28+'TUSD BF'!$Z$28+'TUSD CVA'!$Z$28)*1</f>
        <v>0</v>
      </c>
      <c r="Z28" s="31">
        <f>('TUSD BE'!$AA$28+'TUSD BF'!$AA$28+'TUSD CVA'!$AA$28)*1</f>
        <v>0</v>
      </c>
      <c r="AA28" s="31">
        <f>('TUSD BE'!$AC$28+'TUSD BF'!$AC$28+'TUSD CVA'!$AC$28)*1</f>
        <v>0</v>
      </c>
      <c r="AB28" s="31">
        <f ca="1">('TUSD BE'!$AE$28+'TUSD BF'!$AE$28+'TUSD CVA'!$AE$28)*1</f>
        <v>-2.2841654220556404</v>
      </c>
      <c r="AC28" s="31">
        <f ca="1">('TUSD BE'!$AF$28+'TUSD BF'!$AF$28+'TUSD CVA'!$AF$28)*1</f>
        <v>0</v>
      </c>
      <c r="AD28" s="31">
        <f>('TUSD BE'!$AH$28+'TUSD BF'!$AH$28+'TUSD CVA'!$AH$28)*1</f>
        <v>13.335235581271956</v>
      </c>
      <c r="AE28" s="31">
        <f>('TUSD BE'!$AI$28+'TUSD BF'!$AI$28+'TUSD CVA'!$AI$28)*1</f>
        <v>0.40421242558074866</v>
      </c>
      <c r="AF28" s="31">
        <f ca="1">('TUSD BE'!$AJ$28+'TUSD BF'!$AJ$28+'TUSD CVA'!$AJ$28)*1</f>
        <v>8.5306826244234504</v>
      </c>
      <c r="AG28" s="31">
        <f ca="1">('TUSD BE'!$AK$28+'TUSD BF'!$AK$28+'TUSD CVA'!$AK$28)*1</f>
        <v>0</v>
      </c>
      <c r="AI28" s="31">
        <v>0</v>
      </c>
      <c r="AJ28" s="31">
        <v>0.55927121900626198</v>
      </c>
      <c r="AK28" s="31">
        <v>0.498025838420601</v>
      </c>
      <c r="AL28" s="31">
        <v>1.86109448442504E-2</v>
      </c>
      <c r="AM28" s="31">
        <v>0</v>
      </c>
      <c r="AN28" s="31">
        <v>0</v>
      </c>
      <c r="AO28" s="31">
        <v>0</v>
      </c>
      <c r="AP28" s="31">
        <v>0</v>
      </c>
      <c r="AQ28" s="31">
        <v>0</v>
      </c>
      <c r="AR28" s="31">
        <v>0</v>
      </c>
      <c r="AS28" s="31">
        <v>0</v>
      </c>
      <c r="AT28" s="31">
        <v>0</v>
      </c>
      <c r="AU28" s="31">
        <v>0</v>
      </c>
      <c r="AV28" s="31">
        <v>0</v>
      </c>
      <c r="AW28" s="31">
        <v>0</v>
      </c>
      <c r="AX28" s="31">
        <v>0</v>
      </c>
      <c r="AY28" s="31">
        <v>-0.23821814656142301</v>
      </c>
      <c r="AZ28" s="31">
        <v>0</v>
      </c>
      <c r="BA28" s="31">
        <v>14.630039919841</v>
      </c>
      <c r="BB28" s="31">
        <v>0.36698814510008598</v>
      </c>
      <c r="BC28" s="31">
        <v>9.2131479557572096</v>
      </c>
      <c r="BD28" s="31">
        <v>0</v>
      </c>
    </row>
    <row r="29" spans="1:56" ht="11.25" customHeight="1" x14ac:dyDescent="0.25">
      <c r="A29" s="97" t="s">
        <v>110</v>
      </c>
      <c r="B29" s="97" t="s">
        <v>66</v>
      </c>
      <c r="C29" s="97" t="s">
        <v>25</v>
      </c>
      <c r="D29" s="97" t="s">
        <v>25</v>
      </c>
      <c r="E29" s="37" t="s">
        <v>111</v>
      </c>
      <c r="F29" s="37" t="s">
        <v>25</v>
      </c>
      <c r="G29" s="38" t="s">
        <v>9</v>
      </c>
      <c r="H29" s="38" t="s">
        <v>105</v>
      </c>
      <c r="I29" s="38">
        <f>'MERCADO TUSD'!$U$26+0.00000001</f>
        <v>1E-8</v>
      </c>
      <c r="J29" s="15"/>
      <c r="L29" s="31">
        <f>('TUSD BE'!$L$29+'TUSD BF'!$L$29+'TUSD CVA'!$L$29)*1</f>
        <v>0</v>
      </c>
      <c r="M29" s="31">
        <f>('TUSD BE'!$M$29+'TUSD BF'!$M$29+'TUSD CVA'!$M$29)*1</f>
        <v>2.2467260260997129E-2</v>
      </c>
      <c r="N29" s="31">
        <f ca="1">('TUSD BE'!$N$29+'TUSD BF'!$N$29+'TUSD CVA'!$N$29)*1</f>
        <v>6.3172216523719654E-2</v>
      </c>
      <c r="O29" s="31">
        <f>('TUSD BE'!$O$29+'TUSD BF'!$O$29+'TUSD CVA'!$O$29)*1</f>
        <v>0</v>
      </c>
      <c r="P29" s="31">
        <f>('TUSD BE'!$P$29+'TUSD BF'!$P$29+'TUSD CVA'!$P$29)*1</f>
        <v>0</v>
      </c>
      <c r="Q29" s="31">
        <f>('TUSD BE'!$Q$29+'TUSD BF'!$Q$29+'TUSD CVA'!$Q$29)*1</f>
        <v>0</v>
      </c>
      <c r="R29" s="31">
        <f>('TUSD BE'!$R$29+'TUSD BF'!$R$29+'TUSD CVA'!$R$29)*1</f>
        <v>0</v>
      </c>
      <c r="S29" s="31">
        <f>('TUSD BE'!$S$29+'TUSD BF'!$S$29+'TUSD CVA'!$S$29)*1</f>
        <v>0</v>
      </c>
      <c r="T29" s="31">
        <f>('TUSD BE'!$U$29+'TUSD BF'!$U$29+'TUSD CVA'!$U$29)*1</f>
        <v>0</v>
      </c>
      <c r="U29" s="31">
        <f>('TUSD BE'!$V$29+'TUSD BF'!$V$29+'TUSD CVA'!$V$29)*1</f>
        <v>0</v>
      </c>
      <c r="V29" s="31">
        <f>('TUSD BE'!$W$29+'TUSD BF'!$W$29+'TUSD CVA'!$W$29)*1</f>
        <v>0</v>
      </c>
      <c r="W29" s="31">
        <f>('TUSD BE'!$X$29+'TUSD BF'!$X$29+'TUSD CVA'!$X$29)*1</f>
        <v>0</v>
      </c>
      <c r="X29" s="31">
        <f>('TUSD BE'!$Y$29+'TUSD BF'!$Y$29+'TUSD CVA'!$Y$29)*1</f>
        <v>0</v>
      </c>
      <c r="Y29" s="31">
        <f>('TUSD BE'!$Z$29+'TUSD BF'!$Z$29+'TUSD CVA'!$Z$29)*1</f>
        <v>0</v>
      </c>
      <c r="Z29" s="31">
        <f>('TUSD BE'!$AA$29+'TUSD BF'!$AA$29+'TUSD CVA'!$AA$29)*1</f>
        <v>0</v>
      </c>
      <c r="AA29" s="31">
        <f>('TUSD BE'!$AC$29+'TUSD BF'!$AC$29+'TUSD CVA'!$AC$29)*1</f>
        <v>6.6007825689404349</v>
      </c>
      <c r="AB29" s="31">
        <f ca="1">('TUSD BE'!$AE$29+'TUSD BF'!$AE$29+'TUSD CVA'!$AE$29)*1</f>
        <v>-0.61096617408564213</v>
      </c>
      <c r="AC29" s="31">
        <f ca="1">('TUSD BE'!$AF$29+'TUSD BF'!$AF$29+'TUSD CVA'!$AF$29)*1</f>
        <v>0</v>
      </c>
      <c r="AD29" s="31">
        <f>('TUSD BE'!$AH$29+'TUSD BF'!$AH$29+'TUSD CVA'!$AH$29)*1</f>
        <v>0</v>
      </c>
      <c r="AE29" s="31">
        <f>('TUSD BE'!$AI$29+'TUSD BF'!$AI$29+'TUSD CVA'!$AI$29)*1</f>
        <v>0</v>
      </c>
      <c r="AF29" s="31">
        <f ca="1">('TUSD BE'!$AJ$29+'TUSD BF'!$AJ$29+'TUSD CVA'!$AJ$29)*1</f>
        <v>0</v>
      </c>
      <c r="AG29" s="31">
        <f ca="1">('TUSD BE'!$AK$29+'TUSD BF'!$AK$29+'TUSD CVA'!$AK$29)*1</f>
        <v>0</v>
      </c>
      <c r="AI29" s="31">
        <v>0</v>
      </c>
      <c r="AJ29" s="31">
        <v>2.18298590415772E-2</v>
      </c>
      <c r="AK29" s="31">
        <v>6.6598598218291602E-2</v>
      </c>
      <c r="AL29" s="31">
        <v>0</v>
      </c>
      <c r="AM29" s="31">
        <v>0</v>
      </c>
      <c r="AN29" s="31">
        <v>0</v>
      </c>
      <c r="AO29" s="31">
        <v>0</v>
      </c>
      <c r="AP29" s="31">
        <v>0</v>
      </c>
      <c r="AQ29" s="31">
        <v>0</v>
      </c>
      <c r="AR29" s="31">
        <v>0</v>
      </c>
      <c r="AS29" s="31">
        <v>0</v>
      </c>
      <c r="AT29" s="31">
        <v>0</v>
      </c>
      <c r="AU29" s="31">
        <v>0</v>
      </c>
      <c r="AV29" s="31">
        <v>0</v>
      </c>
      <c r="AW29" s="31">
        <v>0</v>
      </c>
      <c r="AX29" s="31">
        <v>6.0157873306812197</v>
      </c>
      <c r="AY29" s="31">
        <v>-6.3403714180534906E-2</v>
      </c>
      <c r="AZ29" s="31">
        <v>0</v>
      </c>
      <c r="BA29" s="31">
        <v>0</v>
      </c>
      <c r="BB29" s="31">
        <v>0</v>
      </c>
      <c r="BC29" s="31">
        <v>0</v>
      </c>
      <c r="BD29" s="31">
        <v>0</v>
      </c>
    </row>
    <row r="30" spans="1:56" ht="11.25" customHeight="1" x14ac:dyDescent="0.25">
      <c r="A30" s="97"/>
      <c r="B30" s="97"/>
      <c r="C30" s="97"/>
      <c r="D30" s="97"/>
      <c r="E30" s="37" t="s">
        <v>112</v>
      </c>
      <c r="F30" s="37" t="s">
        <v>25</v>
      </c>
      <c r="G30" s="38" t="s">
        <v>9</v>
      </c>
      <c r="H30" s="38" t="s">
        <v>105</v>
      </c>
      <c r="I30" s="38">
        <f>'MERCADO TUSD'!$U$27+0.00000001</f>
        <v>1E-8</v>
      </c>
      <c r="J30" s="15"/>
      <c r="L30" s="31">
        <f>('TUSD BE'!$L$30+'TUSD BF'!$L$30+'TUSD CVA'!$L$30)*1</f>
        <v>0</v>
      </c>
      <c r="M30" s="31">
        <f>('TUSD BE'!$M$30+'TUSD BF'!$M$30+'TUSD CVA'!$M$30)*1</f>
        <v>2.2467260260997129E-2</v>
      </c>
      <c r="N30" s="31">
        <f ca="1">('TUSD BE'!$N$30+'TUSD BF'!$N$30+'TUSD CVA'!$N$30)*1</f>
        <v>6.3172216523719654E-2</v>
      </c>
      <c r="O30" s="31">
        <f>('TUSD BE'!$O$30+'TUSD BF'!$O$30+'TUSD CVA'!$O$30)*1</f>
        <v>0</v>
      </c>
      <c r="P30" s="31">
        <f>('TUSD BE'!$P$30+'TUSD BF'!$P$30+'TUSD CVA'!$P$30)*1</f>
        <v>0</v>
      </c>
      <c r="Q30" s="31">
        <f>('TUSD BE'!$Q$30+'TUSD BF'!$Q$30+'TUSD CVA'!$Q$30)*1</f>
        <v>0</v>
      </c>
      <c r="R30" s="31">
        <f>('TUSD BE'!$R$30+'TUSD BF'!$R$30+'TUSD CVA'!$R$30)*1</f>
        <v>0</v>
      </c>
      <c r="S30" s="31">
        <f>('TUSD BE'!$S$30+'TUSD BF'!$S$30+'TUSD CVA'!$S$30)*1</f>
        <v>0</v>
      </c>
      <c r="T30" s="31">
        <f>('TUSD BE'!$U$30+'TUSD BF'!$U$30+'TUSD CVA'!$U$30)*1</f>
        <v>0</v>
      </c>
      <c r="U30" s="31">
        <f>('TUSD BE'!$V$30+'TUSD BF'!$V$30+'TUSD CVA'!$V$30)*1</f>
        <v>0</v>
      </c>
      <c r="V30" s="31">
        <f>('TUSD BE'!$W$30+'TUSD BF'!$W$30+'TUSD CVA'!$W$30)*1</f>
        <v>0</v>
      </c>
      <c r="W30" s="31">
        <f>('TUSD BE'!$X$30+'TUSD BF'!$X$30+'TUSD CVA'!$X$30)*1</f>
        <v>0</v>
      </c>
      <c r="X30" s="31">
        <f>('TUSD BE'!$Y$30+'TUSD BF'!$Y$30+'TUSD CVA'!$Y$30)*1</f>
        <v>0</v>
      </c>
      <c r="Y30" s="31">
        <f>('TUSD BE'!$Z$30+'TUSD BF'!$Z$30+'TUSD CVA'!$Z$30)*1</f>
        <v>0</v>
      </c>
      <c r="Z30" s="31">
        <f>('TUSD BE'!$AA$30+'TUSD BF'!$AA$30+'TUSD CVA'!$AA$30)*1</f>
        <v>0</v>
      </c>
      <c r="AA30" s="31">
        <f>('TUSD BE'!$AC$30+'TUSD BF'!$AC$30+'TUSD CVA'!$AC$30)*1</f>
        <v>18.524715227502835</v>
      </c>
      <c r="AB30" s="31">
        <f ca="1">('TUSD BE'!$AE$30+'TUSD BF'!$AE$30+'TUSD CVA'!$AE$30)*1</f>
        <v>-1.7004265830513132</v>
      </c>
      <c r="AC30" s="31">
        <f ca="1">('TUSD BE'!$AF$30+'TUSD BF'!$AF$30+'TUSD CVA'!$AF$30)*1</f>
        <v>0</v>
      </c>
      <c r="AD30" s="31">
        <f>('TUSD BE'!$AH$30+'TUSD BF'!$AH$30+'TUSD CVA'!$AH$30)*1</f>
        <v>0</v>
      </c>
      <c r="AE30" s="31">
        <f>('TUSD BE'!$AI$30+'TUSD BF'!$AI$30+'TUSD CVA'!$AI$30)*1</f>
        <v>0</v>
      </c>
      <c r="AF30" s="31">
        <f ca="1">('TUSD BE'!$AJ$30+'TUSD BF'!$AJ$30+'TUSD CVA'!$AJ$30)*1</f>
        <v>0</v>
      </c>
      <c r="AG30" s="31">
        <f ca="1">('TUSD BE'!$AK$30+'TUSD BF'!$AK$30+'TUSD CVA'!$AK$30)*1</f>
        <v>0</v>
      </c>
      <c r="AI30" s="31">
        <v>0</v>
      </c>
      <c r="AJ30" s="31">
        <v>2.18298590415772E-2</v>
      </c>
      <c r="AK30" s="31">
        <v>6.6598598218291602E-2</v>
      </c>
      <c r="AL30" s="31">
        <v>0</v>
      </c>
      <c r="AM30" s="31">
        <v>0</v>
      </c>
      <c r="AN30" s="31">
        <v>0</v>
      </c>
      <c r="AO30" s="31">
        <v>0</v>
      </c>
      <c r="AP30" s="31">
        <v>0</v>
      </c>
      <c r="AQ30" s="31">
        <v>0</v>
      </c>
      <c r="AR30" s="31">
        <v>0</v>
      </c>
      <c r="AS30" s="31">
        <v>0</v>
      </c>
      <c r="AT30" s="31">
        <v>0</v>
      </c>
      <c r="AU30" s="31">
        <v>0</v>
      </c>
      <c r="AV30" s="31">
        <v>0</v>
      </c>
      <c r="AW30" s="31">
        <v>0</v>
      </c>
      <c r="AX30" s="31">
        <v>16.883085442440301</v>
      </c>
      <c r="AY30" s="31">
        <v>-0.176263257567985</v>
      </c>
      <c r="AZ30" s="31">
        <v>0</v>
      </c>
      <c r="BA30" s="31">
        <v>0</v>
      </c>
      <c r="BB30" s="31">
        <v>0</v>
      </c>
      <c r="BC30" s="31">
        <v>0</v>
      </c>
      <c r="BD30" s="31">
        <v>0</v>
      </c>
    </row>
    <row r="31" spans="1:56" ht="11.25" customHeight="1" x14ac:dyDescent="0.25">
      <c r="A31" s="97" t="s">
        <v>22</v>
      </c>
      <c r="B31" s="97" t="s">
        <v>33</v>
      </c>
      <c r="C31" s="97" t="s">
        <v>24</v>
      </c>
      <c r="D31" s="97" t="s">
        <v>24</v>
      </c>
      <c r="E31" s="97" t="s">
        <v>25</v>
      </c>
      <c r="F31" s="97" t="s">
        <v>25</v>
      </c>
      <c r="G31" s="38" t="s">
        <v>103</v>
      </c>
      <c r="H31" s="38" t="s">
        <v>102</v>
      </c>
      <c r="I31" s="38">
        <f>'MERCADO TUSD'!$U$28</f>
        <v>107.383</v>
      </c>
      <c r="J31" s="15"/>
      <c r="L31" s="31">
        <f>('TUSD BE'!$L$31+'TUSD BF'!$L$31+'TUSD CVA'!$L$31)*1</f>
        <v>4.2610020058157518</v>
      </c>
      <c r="M31" s="31">
        <f>('TUSD BE'!$M$31+'TUSD BF'!$M$31+'TUSD CVA'!$M$31)*1</f>
        <v>0.82328329326432015</v>
      </c>
      <c r="N31" s="31">
        <f ca="1">('TUSD BE'!$N$31+'TUSD BF'!$N$31+'TUSD CVA'!$N$31)*1</f>
        <v>9.1834696636790092</v>
      </c>
      <c r="O31" s="31">
        <f>('TUSD BE'!$O$31+'TUSD BF'!$O$31+'TUSD CVA'!$O$31)*1</f>
        <v>1.8728184976687441E-2</v>
      </c>
      <c r="P31" s="31">
        <f>('TUSD BE'!$P$31+'TUSD BF'!$P$31+'TUSD CVA'!$P$31)*1</f>
        <v>0</v>
      </c>
      <c r="Q31" s="31">
        <f>('TUSD BE'!$Q$31+'TUSD BF'!$Q$31+'TUSD CVA'!$Q$31)*1</f>
        <v>47.200306959989916</v>
      </c>
      <c r="R31" s="31">
        <f>('TUSD BE'!$R$31+'TUSD BF'!$R$31+'TUSD CVA'!$R$31)*1</f>
        <v>18.051835405677433</v>
      </c>
      <c r="S31" s="31">
        <f>('TUSD BE'!$S$31+'TUSD BF'!$S$31+'TUSD CVA'!$S$31)*1</f>
        <v>0</v>
      </c>
      <c r="T31" s="31">
        <f>('TUSD BE'!$U$31+'TUSD BF'!$U$31+'TUSD CVA'!$U$31)*1</f>
        <v>110.45485651533495</v>
      </c>
      <c r="U31" s="31">
        <f>('TUSD BE'!$V$31+'TUSD BF'!$V$31+'TUSD CVA'!$V$31)*1</f>
        <v>34.084912076253332</v>
      </c>
      <c r="V31" s="31">
        <f>('TUSD BE'!$W$31+'TUSD BF'!$W$31+'TUSD CVA'!$W$31)*1</f>
        <v>5.2285923600971138</v>
      </c>
      <c r="W31" s="31">
        <f>('TUSD BE'!$X$31+'TUSD BF'!$X$31+'TUSD CVA'!$X$31)*1</f>
        <v>0.30411073412865386</v>
      </c>
      <c r="X31" s="31">
        <f>('TUSD BE'!$Y$31+'TUSD BF'!$Y$31+'TUSD CVA'!$Y$31)*1</f>
        <v>6.3906506500025309</v>
      </c>
      <c r="Y31" s="31">
        <f>('TUSD BE'!$Z$31+'TUSD BF'!$Z$31+'TUSD CVA'!$Z$31)*1</f>
        <v>0</v>
      </c>
      <c r="Z31" s="31">
        <f>('TUSD BE'!$AA$31+'TUSD BF'!$AA$31+'TUSD CVA'!$AA$31)*1</f>
        <v>0</v>
      </c>
      <c r="AA31" s="31">
        <f>('TUSD BE'!$AC$31+'TUSD BF'!$AC$31+'TUSD CVA'!$AC$31)*1</f>
        <v>727.18640040819571</v>
      </c>
      <c r="AB31" s="31">
        <f ca="1">('TUSD BE'!$AE$31+'TUSD BF'!$AE$31+'TUSD CVA'!$AE$31)*1</f>
        <v>-90.226661566292861</v>
      </c>
      <c r="AC31" s="31">
        <f ca="1">('TUSD BE'!$AF$31+'TUSD BF'!$AF$31+'TUSD CVA'!$AF$31)*1</f>
        <v>0</v>
      </c>
      <c r="AD31" s="31">
        <f>('TUSD BE'!$AH$31+'TUSD BF'!$AH$31+'TUSD CVA'!$AH$31)*1</f>
        <v>30.1422112436546</v>
      </c>
      <c r="AE31" s="31">
        <f>('TUSD BE'!$AI$31+'TUSD BF'!$AI$31+'TUSD CVA'!$AI$31)*1</f>
        <v>0.91365887350921526</v>
      </c>
      <c r="AF31" s="31">
        <f ca="1">('TUSD BE'!$AJ$31+'TUSD BF'!$AJ$31+'TUSD CVA'!$AJ$31)*1</f>
        <v>10.207702029800405</v>
      </c>
      <c r="AG31" s="31">
        <f ca="1">('TUSD BE'!$AK$31+'TUSD BF'!$AK$31+'TUSD CVA'!$AK$31)*1</f>
        <v>0</v>
      </c>
      <c r="AI31" s="31">
        <v>4.0279271267254799</v>
      </c>
      <c r="AJ31" s="31">
        <v>0.72940587848966498</v>
      </c>
      <c r="AK31" s="31">
        <v>9.6462135522289802</v>
      </c>
      <c r="AL31" s="31">
        <v>1.86109448442504E-2</v>
      </c>
      <c r="AM31" s="31">
        <v>0</v>
      </c>
      <c r="AN31" s="31">
        <v>27.879974173601902</v>
      </c>
      <c r="AO31" s="31">
        <v>10.086366024610101</v>
      </c>
      <c r="AP31" s="31">
        <v>0</v>
      </c>
      <c r="AQ31" s="31">
        <v>91.808093716567598</v>
      </c>
      <c r="AR31" s="31">
        <v>39.2264369110638</v>
      </c>
      <c r="AS31" s="31">
        <v>8.6564976017123403</v>
      </c>
      <c r="AT31" s="31">
        <v>0</v>
      </c>
      <c r="AU31" s="31">
        <v>7.3790954104432904</v>
      </c>
      <c r="AV31" s="31">
        <v>0</v>
      </c>
      <c r="AW31" s="31">
        <v>0</v>
      </c>
      <c r="AX31" s="31">
        <v>662.43474211542002</v>
      </c>
      <c r="AY31" s="31">
        <v>-9.2027639838017503</v>
      </c>
      <c r="AZ31" s="31">
        <v>0</v>
      </c>
      <c r="BA31" s="31">
        <v>33.068913637061002</v>
      </c>
      <c r="BB31" s="31">
        <v>0.82951921817257102</v>
      </c>
      <c r="BC31" s="31">
        <v>11.375574796355901</v>
      </c>
      <c r="BD31" s="31">
        <v>0</v>
      </c>
    </row>
    <row r="32" spans="1:56" ht="11.25" customHeight="1" x14ac:dyDescent="0.25">
      <c r="A32" s="97"/>
      <c r="B32" s="97"/>
      <c r="C32" s="97"/>
      <c r="D32" s="97"/>
      <c r="E32" s="97"/>
      <c r="F32" s="97"/>
      <c r="G32" s="38" t="s">
        <v>113</v>
      </c>
      <c r="H32" s="38" t="s">
        <v>102</v>
      </c>
      <c r="I32" s="38">
        <f>'MERCADO TUSD'!$U$29</f>
        <v>73.695000000000007</v>
      </c>
      <c r="J32" s="15"/>
      <c r="L32" s="31">
        <f>('TUSD BE'!$L$32+'TUSD BF'!$L$32+'TUSD CVA'!$L$32)*1</f>
        <v>4.2610020058157518</v>
      </c>
      <c r="M32" s="31">
        <f>('TUSD BE'!$M$32+'TUSD BF'!$M$32+'TUSD CVA'!$M$32)*1</f>
        <v>0.82328329326432015</v>
      </c>
      <c r="N32" s="31">
        <f ca="1">('TUSD BE'!$N$32+'TUSD BF'!$N$32+'TUSD CVA'!$N$32)*1</f>
        <v>5.8692042120320025</v>
      </c>
      <c r="O32" s="31">
        <f>('TUSD BE'!$O$32+'TUSD BF'!$O$32+'TUSD CVA'!$O$32)*1</f>
        <v>1.8728184976687441E-2</v>
      </c>
      <c r="P32" s="31">
        <f>('TUSD BE'!$P$32+'TUSD BF'!$P$32+'TUSD CVA'!$P$32)*1</f>
        <v>0</v>
      </c>
      <c r="Q32" s="31">
        <f>('TUSD BE'!$Q$32+'TUSD BF'!$Q$32+'TUSD CVA'!$Q$32)*1</f>
        <v>47.200306959989916</v>
      </c>
      <c r="R32" s="31">
        <f>('TUSD BE'!$R$32+'TUSD BF'!$R$32+'TUSD CVA'!$R$32)*1</f>
        <v>18.051835405677433</v>
      </c>
      <c r="S32" s="31">
        <f>('TUSD BE'!$S$32+'TUSD BF'!$S$32+'TUSD CVA'!$S$32)*1</f>
        <v>0</v>
      </c>
      <c r="T32" s="31">
        <f>('TUSD BE'!$U$32+'TUSD BF'!$U$32+'TUSD CVA'!$U$32)*1</f>
        <v>66.27291390920098</v>
      </c>
      <c r="U32" s="31">
        <f>('TUSD BE'!$V$32+'TUSD BF'!$V$32+'TUSD CVA'!$V$32)*1</f>
        <v>20.450947245751994</v>
      </c>
      <c r="V32" s="31">
        <f>('TUSD BE'!$W$32+'TUSD BF'!$W$32+'TUSD CVA'!$W$32)*1</f>
        <v>3.137118586772206</v>
      </c>
      <c r="W32" s="31">
        <f>('TUSD BE'!$X$32+'TUSD BF'!$X$32+'TUSD CVA'!$X$32)*1</f>
        <v>0.18244634726714087</v>
      </c>
      <c r="X32" s="31">
        <f>('TUSD BE'!$Y$32+'TUSD BF'!$Y$32+'TUSD CVA'!$Y$32)*1</f>
        <v>3.8344095788396464</v>
      </c>
      <c r="Y32" s="31">
        <f>('TUSD BE'!$Z$32+'TUSD BF'!$Z$32+'TUSD CVA'!$Z$32)*1</f>
        <v>0</v>
      </c>
      <c r="Z32" s="31">
        <f>('TUSD BE'!$AA$32+'TUSD BF'!$AA$32+'TUSD CVA'!$AA$32)*1</f>
        <v>0</v>
      </c>
      <c r="AA32" s="31">
        <f>('TUSD BE'!$AC$32+'TUSD BF'!$AC$32+'TUSD CVA'!$AC$32)*1</f>
        <v>436.3117727821446</v>
      </c>
      <c r="AB32" s="31">
        <f ca="1">('TUSD BE'!$AE$32+'TUSD BF'!$AE$32+'TUSD CVA'!$AE$32)*1</f>
        <v>-57.883171232722503</v>
      </c>
      <c r="AC32" s="31">
        <f ca="1">('TUSD BE'!$AF$32+'TUSD BF'!$AF$32+'TUSD CVA'!$AF$32)*1</f>
        <v>0</v>
      </c>
      <c r="AD32" s="31">
        <f>('TUSD BE'!$AH$32+'TUSD BF'!$AH$32+'TUSD CVA'!$AH$32)*1</f>
        <v>30.1422112436546</v>
      </c>
      <c r="AE32" s="31">
        <f>('TUSD BE'!$AI$32+'TUSD BF'!$AI$32+'TUSD CVA'!$AI$32)*1</f>
        <v>0.91365887350921526</v>
      </c>
      <c r="AF32" s="31">
        <f ca="1">('TUSD BE'!$AJ$32+'TUSD BF'!$AJ$32+'TUSD CVA'!$AJ$32)*1</f>
        <v>10.207702029800405</v>
      </c>
      <c r="AG32" s="31">
        <f ca="1">('TUSD BE'!$AK$32+'TUSD BF'!$AK$32+'TUSD CVA'!$AK$32)*1</f>
        <v>0</v>
      </c>
      <c r="AI32" s="31">
        <v>4.0279271267254799</v>
      </c>
      <c r="AJ32" s="31">
        <v>0.72940587848966498</v>
      </c>
      <c r="AK32" s="31">
        <v>6.1594755486247399</v>
      </c>
      <c r="AL32" s="31">
        <v>1.86109448442504E-2</v>
      </c>
      <c r="AM32" s="31">
        <v>0</v>
      </c>
      <c r="AN32" s="31">
        <v>27.879974173601902</v>
      </c>
      <c r="AO32" s="31">
        <v>10.086366024610101</v>
      </c>
      <c r="AP32" s="31">
        <v>0</v>
      </c>
      <c r="AQ32" s="31">
        <v>55.084856229940499</v>
      </c>
      <c r="AR32" s="31">
        <v>23.535862146638301</v>
      </c>
      <c r="AS32" s="31">
        <v>5.1938375861790096</v>
      </c>
      <c r="AT32" s="31">
        <v>0</v>
      </c>
      <c r="AU32" s="31">
        <v>4.4274794030501701</v>
      </c>
      <c r="AV32" s="31">
        <v>0</v>
      </c>
      <c r="AW32" s="31">
        <v>0</v>
      </c>
      <c r="AX32" s="31">
        <v>397.460783813641</v>
      </c>
      <c r="AY32" s="31">
        <v>-5.8490162948736604</v>
      </c>
      <c r="AZ32" s="31">
        <v>0</v>
      </c>
      <c r="BA32" s="31">
        <v>33.068913637061002</v>
      </c>
      <c r="BB32" s="31">
        <v>0.82951921817257102</v>
      </c>
      <c r="BC32" s="31">
        <v>11.375574796355901</v>
      </c>
      <c r="BD32" s="31">
        <v>0</v>
      </c>
    </row>
    <row r="33" spans="1:56" ht="11.25" customHeight="1" x14ac:dyDescent="0.25">
      <c r="A33" s="97"/>
      <c r="B33" s="97"/>
      <c r="C33" s="97"/>
      <c r="D33" s="97"/>
      <c r="E33" s="97"/>
      <c r="F33" s="97"/>
      <c r="G33" s="38" t="s">
        <v>104</v>
      </c>
      <c r="H33" s="38" t="s">
        <v>102</v>
      </c>
      <c r="I33" s="38">
        <f>'MERCADO TUSD'!$U$30</f>
        <v>1358.0870000000002</v>
      </c>
      <c r="J33" s="15"/>
      <c r="L33" s="31">
        <f>('TUSD BE'!$L$33+'TUSD BF'!$L$33+'TUSD CVA'!$L$33)*1</f>
        <v>4.2610020058157518</v>
      </c>
      <c r="M33" s="31">
        <f>('TUSD BE'!$M$33+'TUSD BF'!$M$33+'TUSD CVA'!$M$33)*1</f>
        <v>0.82328329326432015</v>
      </c>
      <c r="N33" s="31">
        <f ca="1">('TUSD BE'!$N$33+'TUSD BF'!$N$33+'TUSD CVA'!$N$33)*1</f>
        <v>2.5549409054517711</v>
      </c>
      <c r="O33" s="31">
        <f>('TUSD BE'!$O$33+'TUSD BF'!$O$33+'TUSD CVA'!$O$33)*1</f>
        <v>1.8728184976687441E-2</v>
      </c>
      <c r="P33" s="31">
        <f>('TUSD BE'!$P$33+'TUSD BF'!$P$33+'TUSD CVA'!$P$33)*1</f>
        <v>0</v>
      </c>
      <c r="Q33" s="31">
        <f>('TUSD BE'!$Q$33+'TUSD BF'!$Q$33+'TUSD CVA'!$Q$33)*1</f>
        <v>47.200306959989916</v>
      </c>
      <c r="R33" s="31">
        <f>('TUSD BE'!$R$33+'TUSD BF'!$R$33+'TUSD CVA'!$R$33)*1</f>
        <v>18.051835405677433</v>
      </c>
      <c r="S33" s="31">
        <f>('TUSD BE'!$S$33+'TUSD BF'!$S$33+'TUSD CVA'!$S$33)*1</f>
        <v>0</v>
      </c>
      <c r="T33" s="31">
        <f>('TUSD BE'!$U$33+'TUSD BF'!$U$33+'TUSD CVA'!$U$33)*1</f>
        <v>22.09097130306699</v>
      </c>
      <c r="U33" s="31">
        <f>('TUSD BE'!$V$33+'TUSD BF'!$V$33+'TUSD CVA'!$V$33)*1</f>
        <v>6.8169824152506653</v>
      </c>
      <c r="V33" s="31">
        <f>('TUSD BE'!$W$33+'TUSD BF'!$W$33+'TUSD CVA'!$W$33)*1</f>
        <v>1.0457061955907354</v>
      </c>
      <c r="W33" s="31">
        <f>('TUSD BE'!$X$33+'TUSD BF'!$X$33+'TUSD CVA'!$X$33)*1</f>
        <v>6.0781960405627874E-2</v>
      </c>
      <c r="X33" s="31">
        <f>('TUSD BE'!$Y$33+'TUSD BF'!$Y$33+'TUSD CVA'!$Y$33)*1</f>
        <v>1.2781685076767615</v>
      </c>
      <c r="Y33" s="31">
        <f>('TUSD BE'!$Z$33+'TUSD BF'!$Z$33+'TUSD CVA'!$Z$33)*1</f>
        <v>0</v>
      </c>
      <c r="Z33" s="31">
        <f>('TUSD BE'!$AA$33+'TUSD BF'!$AA$33+'TUSD CVA'!$AA$33)*1</f>
        <v>0</v>
      </c>
      <c r="AA33" s="31">
        <f>('TUSD BE'!$AC$33+'TUSD BF'!$AC$33+'TUSD CVA'!$AC$33)*1</f>
        <v>145.43725759404819</v>
      </c>
      <c r="AB33" s="31">
        <f ca="1">('TUSD BE'!$AE$33+'TUSD BF'!$AE$33+'TUSD CVA'!$AE$33)*1</f>
        <v>-25.539696976656607</v>
      </c>
      <c r="AC33" s="31">
        <f ca="1">('TUSD BE'!$AF$33+'TUSD BF'!$AF$33+'TUSD CVA'!$AF$33)*1</f>
        <v>0</v>
      </c>
      <c r="AD33" s="31">
        <f>('TUSD BE'!$AH$33+'TUSD BF'!$AH$33+'TUSD CVA'!$AH$33)*1</f>
        <v>30.1422112436546</v>
      </c>
      <c r="AE33" s="31">
        <f>('TUSD BE'!$AI$33+'TUSD BF'!$AI$33+'TUSD CVA'!$AI$33)*1</f>
        <v>0.91365887350921526</v>
      </c>
      <c r="AF33" s="31">
        <f ca="1">('TUSD BE'!$AJ$33+'TUSD BF'!$AJ$33+'TUSD CVA'!$AJ$33)*1</f>
        <v>10.207702029800405</v>
      </c>
      <c r="AG33" s="31">
        <f ca="1">('TUSD BE'!$AK$33+'TUSD BF'!$AK$33+'TUSD CVA'!$AK$33)*1</f>
        <v>0</v>
      </c>
      <c r="AI33" s="31">
        <v>4.0279271267254799</v>
      </c>
      <c r="AJ33" s="31">
        <v>0.72940587848966498</v>
      </c>
      <c r="AK33" s="31">
        <v>2.6727398026000899</v>
      </c>
      <c r="AL33" s="31">
        <v>1.86109448442504E-2</v>
      </c>
      <c r="AM33" s="31">
        <v>0</v>
      </c>
      <c r="AN33" s="31">
        <v>27.879974173601902</v>
      </c>
      <c r="AO33" s="31">
        <v>10.086366024610101</v>
      </c>
      <c r="AP33" s="31">
        <v>0</v>
      </c>
      <c r="AQ33" s="31">
        <v>18.3616187433135</v>
      </c>
      <c r="AR33" s="31">
        <v>7.84528738221276</v>
      </c>
      <c r="AS33" s="31">
        <v>1.731279195393</v>
      </c>
      <c r="AT33" s="31">
        <v>0</v>
      </c>
      <c r="AU33" s="31">
        <v>1.4758633956570599</v>
      </c>
      <c r="AV33" s="31">
        <v>0</v>
      </c>
      <c r="AW33" s="31">
        <v>0</v>
      </c>
      <c r="AX33" s="31">
        <v>132.48692793788001</v>
      </c>
      <c r="AY33" s="31">
        <v>-2.4952707455214398</v>
      </c>
      <c r="AZ33" s="31">
        <v>0</v>
      </c>
      <c r="BA33" s="31">
        <v>33.068913637061002</v>
      </c>
      <c r="BB33" s="31">
        <v>0.82951921817257102</v>
      </c>
      <c r="BC33" s="31">
        <v>11.375574796355901</v>
      </c>
      <c r="BD33" s="31">
        <v>0</v>
      </c>
    </row>
    <row r="34" spans="1:56" ht="11.25" customHeight="1" x14ac:dyDescent="0.25">
      <c r="A34" s="97"/>
      <c r="B34" s="97" t="s">
        <v>23</v>
      </c>
      <c r="C34" s="97" t="s">
        <v>24</v>
      </c>
      <c r="D34" s="37" t="s">
        <v>24</v>
      </c>
      <c r="E34" s="37" t="s">
        <v>25</v>
      </c>
      <c r="F34" s="37" t="s">
        <v>25</v>
      </c>
      <c r="G34" s="38" t="s">
        <v>108</v>
      </c>
      <c r="H34" s="38" t="s">
        <v>102</v>
      </c>
      <c r="I34" s="38">
        <f>'MERCADO TUSD'!$U$31</f>
        <v>1398369.1870000002</v>
      </c>
      <c r="J34" s="15"/>
      <c r="L34" s="31">
        <f>('TUSD BE'!$L$34+'TUSD BF'!$L$34+'TUSD CVA'!$L$34)*1</f>
        <v>4.2610020058157518</v>
      </c>
      <c r="M34" s="31">
        <f>('TUSD BE'!$M$34+'TUSD BF'!$M$34+'TUSD CVA'!$M$34)*1</f>
        <v>0.82328329326432015</v>
      </c>
      <c r="N34" s="31">
        <f ca="1">('TUSD BE'!$N$34+'TUSD BF'!$N$34+'TUSD CVA'!$N$34)*1</f>
        <v>3.4870785999941858</v>
      </c>
      <c r="O34" s="31">
        <f>('TUSD BE'!$O$34+'TUSD BF'!$O$34+'TUSD CVA'!$O$34)*1</f>
        <v>1.8728184976687441E-2</v>
      </c>
      <c r="P34" s="31">
        <f>('TUSD BE'!$P$34+'TUSD BF'!$P$34+'TUSD CVA'!$P$34)*1</f>
        <v>0</v>
      </c>
      <c r="Q34" s="31">
        <f>('TUSD BE'!$Q$34+'TUSD BF'!$Q$34+'TUSD CVA'!$Q$34)*1</f>
        <v>47.200306959989916</v>
      </c>
      <c r="R34" s="31">
        <f>('TUSD BE'!$R$34+'TUSD BF'!$R$34+'TUSD CVA'!$R$34)*1</f>
        <v>18.051835405677433</v>
      </c>
      <c r="S34" s="31">
        <f>('TUSD BE'!$S$34+'TUSD BF'!$S$34+'TUSD CVA'!$S$34)*1</f>
        <v>0</v>
      </c>
      <c r="T34" s="31">
        <f>('TUSD BE'!$U$34+'TUSD BF'!$U$34+'TUSD CVA'!$U$34)*1</f>
        <v>34.517199587480654</v>
      </c>
      <c r="U34" s="31">
        <f>('TUSD BE'!$V$34+'TUSD BF'!$V$34+'TUSD CVA'!$V$34)*1</f>
        <v>10.651518260977491</v>
      </c>
      <c r="V34" s="31">
        <f>('TUSD BE'!$W$34+'TUSD BF'!$W$34+'TUSD CVA'!$W$34)*1</f>
        <v>1.6339312761463833</v>
      </c>
      <c r="W34" s="31">
        <f>('TUSD BE'!$X$34+'TUSD BF'!$X$34+'TUSD CVA'!$X$34)*1</f>
        <v>9.5040883543345417E-2</v>
      </c>
      <c r="X34" s="31">
        <f>('TUSD BE'!$Y$34+'TUSD BF'!$Y$34+'TUSD CVA'!$Y$34)*1</f>
        <v>1.9970783281257907</v>
      </c>
      <c r="Y34" s="31">
        <f>('TUSD BE'!$Z$34+'TUSD BF'!$Z$34+'TUSD CVA'!$Z$34)*1</f>
        <v>0</v>
      </c>
      <c r="Z34" s="31">
        <f>('TUSD BE'!$AA$34+'TUSD BF'!$AA$34+'TUSD CVA'!$AA$34)*1</f>
        <v>0</v>
      </c>
      <c r="AA34" s="31">
        <f>('TUSD BE'!$AC$34+'TUSD BF'!$AC$34+'TUSD CVA'!$AC$34)*1</f>
        <v>227.24576418230552</v>
      </c>
      <c r="AB34" s="31">
        <f ca="1">('TUSD BE'!$AE$34+'TUSD BF'!$AE$34+'TUSD CVA'!$AE$34)*1</f>
        <v>-34.636309155386371</v>
      </c>
      <c r="AC34" s="31">
        <f ca="1">('TUSD BE'!$AF$34+'TUSD BF'!$AF$34+'TUSD CVA'!$AF$34)*1</f>
        <v>0</v>
      </c>
      <c r="AD34" s="31">
        <f>('TUSD BE'!$AH$34+'TUSD BF'!$AH$34+'TUSD CVA'!$AH$34)*1</f>
        <v>30.1422112436546</v>
      </c>
      <c r="AE34" s="31">
        <f>('TUSD BE'!$AI$34+'TUSD BF'!$AI$34+'TUSD CVA'!$AI$34)*1</f>
        <v>0.91365887350921526</v>
      </c>
      <c r="AF34" s="31">
        <f ca="1">('TUSD BE'!$AJ$34+'TUSD BF'!$AJ$34+'TUSD CVA'!$AJ$34)*1</f>
        <v>10.207702029800405</v>
      </c>
      <c r="AG34" s="31">
        <f ca="1">('TUSD BE'!$AK$34+'TUSD BF'!$AK$34+'TUSD CVA'!$AK$34)*1</f>
        <v>0</v>
      </c>
      <c r="AI34" s="31">
        <v>4.0279271267254799</v>
      </c>
      <c r="AJ34" s="31">
        <v>0.72940587848966498</v>
      </c>
      <c r="AK34" s="31">
        <v>3.6533849719378302</v>
      </c>
      <c r="AL34" s="31">
        <v>1.86109448442504E-2</v>
      </c>
      <c r="AM34" s="31">
        <v>0</v>
      </c>
      <c r="AN34" s="31">
        <v>27.879974173601902</v>
      </c>
      <c r="AO34" s="31">
        <v>10.086366024610101</v>
      </c>
      <c r="AP34" s="31">
        <v>0</v>
      </c>
      <c r="AQ34" s="31">
        <v>28.690076602661001</v>
      </c>
      <c r="AR34" s="31">
        <v>12.2582422432702</v>
      </c>
      <c r="AS34" s="31">
        <v>2.7051491489883999</v>
      </c>
      <c r="AT34" s="31">
        <v>0</v>
      </c>
      <c r="AU34" s="31">
        <v>2.3059673157635299</v>
      </c>
      <c r="AV34" s="31">
        <v>0</v>
      </c>
      <c r="AW34" s="31">
        <v>0</v>
      </c>
      <c r="AX34" s="31">
        <v>207.01086971432099</v>
      </c>
      <c r="AY34" s="31">
        <v>-3.4385123259041901</v>
      </c>
      <c r="AZ34" s="31">
        <v>0</v>
      </c>
      <c r="BA34" s="31">
        <v>33.068913637061002</v>
      </c>
      <c r="BB34" s="31">
        <v>0.82951921817257102</v>
      </c>
      <c r="BC34" s="31">
        <v>11.375574796355901</v>
      </c>
      <c r="BD34" s="31">
        <v>0</v>
      </c>
    </row>
    <row r="35" spans="1:56" ht="11.25" customHeight="1" x14ac:dyDescent="0.25">
      <c r="A35" s="97"/>
      <c r="B35" s="97"/>
      <c r="C35" s="97"/>
      <c r="D35" s="37" t="s">
        <v>29</v>
      </c>
      <c r="E35" s="37" t="s">
        <v>25</v>
      </c>
      <c r="F35" s="37" t="s">
        <v>25</v>
      </c>
      <c r="G35" s="38" t="s">
        <v>108</v>
      </c>
      <c r="H35" s="38" t="s">
        <v>102</v>
      </c>
      <c r="I35" s="38">
        <f>'MERCADO TUSD'!$U$32</f>
        <v>161060.71900000001</v>
      </c>
      <c r="J35" s="15"/>
      <c r="L35" s="31">
        <f>('TUSD BE'!$L$35+'TUSD BF'!$L$35+'TUSD CVA'!$L$35)*(1 - 0.65)</f>
        <v>0</v>
      </c>
      <c r="M35" s="31">
        <f>('TUSD BE'!$M$35+'TUSD BF'!$M$35+'TUSD CVA'!$M$35)*(1 - 0.65)</f>
        <v>0.28814915264251201</v>
      </c>
      <c r="N35" s="31">
        <f ca="1">('TUSD BE'!$N$35+'TUSD BF'!$N$35+'TUSD CVA'!$N$35)*(1 - 0.65)</f>
        <v>1.2167236431417168</v>
      </c>
      <c r="O35" s="31">
        <f>('TUSD BE'!$O$35+'TUSD BF'!$O$35+'TUSD CVA'!$O$35)*(1 - 0.65)</f>
        <v>6.5548647418406042E-3</v>
      </c>
      <c r="P35" s="31">
        <v>0</v>
      </c>
      <c r="Q35" s="31">
        <f>('TUSD BE'!$Q$35+'TUSD BF'!$Q$35+'TUSD CVA'!$Q$35)*(1 - 0.65)</f>
        <v>0</v>
      </c>
      <c r="R35" s="31">
        <v>0</v>
      </c>
      <c r="S35" s="31">
        <f>('TUSD BE'!$S$35+'TUSD BF'!$S$35+'TUSD CVA'!$S$35)*(1 - 0.65)</f>
        <v>0</v>
      </c>
      <c r="T35" s="31">
        <f>('TUSD BE'!$U$35+'TUSD BF'!$U$35+'TUSD CVA'!$U$35)*(1 - 0.65)</f>
        <v>12.081019855618228</v>
      </c>
      <c r="U35" s="31">
        <f>('TUSD BE'!$V$35+'TUSD BF'!$V$35+'TUSD CVA'!$V$35)*(1 - 0.65)</f>
        <v>3.7280313913421219</v>
      </c>
      <c r="V35" s="31">
        <f>('TUSD BE'!$W$35+'TUSD BF'!$W$35+'TUSD CVA'!$W$35)*(1 - 0.65)</f>
        <v>0.57187594665123409</v>
      </c>
      <c r="W35" s="31">
        <f>('TUSD BE'!$X$35+'TUSD BF'!$X$35+'TUSD CVA'!$X$35)*(1 - 0.65)</f>
        <v>3.3264309240170896E-2</v>
      </c>
      <c r="X35" s="31">
        <f>('TUSD BE'!$Y$35+'TUSD BF'!$Y$35+'TUSD CVA'!$Y$35)*(1 - 0.65)</f>
        <v>0.69897741484402665</v>
      </c>
      <c r="Y35" s="31">
        <f>('TUSD BE'!$Z$35+'TUSD BF'!$Z$35+'TUSD CVA'!$Z$35)*(1 - 0.65)</f>
        <v>0</v>
      </c>
      <c r="Z35" s="31">
        <f>('TUSD BE'!$AA$35+'TUSD BF'!$AA$35+'TUSD CVA'!$AA$35)*(1 - 0.65)</f>
        <v>0</v>
      </c>
      <c r="AA35" s="31">
        <f>('TUSD BE'!$AC$35+'TUSD BF'!$AC$35+'TUSD CVA'!$AC$35)*(1 - 0.65)</f>
        <v>79.536017463806928</v>
      </c>
      <c r="AB35" s="31">
        <f ca="1">('TUSD BE'!$AE$35+'TUSD BF'!$AE$35+'TUSD CVA'!$AE$35)*(1 - 0.65)</f>
        <v>-10.311641767472807</v>
      </c>
      <c r="AC35" s="31">
        <f ca="1">('TUSD BE'!$AF$35+'TUSD BF'!$AF$35+'TUSD CVA'!$AF$35)*(1 - 0.65)</f>
        <v>0</v>
      </c>
      <c r="AD35" s="31">
        <f>('TUSD BE'!$AH$35+'TUSD BF'!$AH$35+'TUSD CVA'!$AH$35)*(1 - 0.65)</f>
        <v>10.549773935279109</v>
      </c>
      <c r="AE35" s="31">
        <f>('TUSD BE'!$AI$35+'TUSD BF'!$AI$35+'TUSD CVA'!$AI$35)*(1 - 0.65)</f>
        <v>0.31978060572822531</v>
      </c>
      <c r="AF35" s="31">
        <f ca="1">('TUSD BE'!$AJ$35+'TUSD BF'!$AJ$35+'TUSD CVA'!$AJ$35)*(1 - 0.65)</f>
        <v>3.5726957104301413</v>
      </c>
      <c r="AG35" s="31">
        <f ca="1">('TUSD BE'!$AK$35+'TUSD BF'!$AK$35+'TUSD CVA'!$AK$35)*(1 - 0.65)</f>
        <v>0</v>
      </c>
      <c r="AI35" s="31">
        <v>0</v>
      </c>
      <c r="AJ35" s="31">
        <v>0.255292057471383</v>
      </c>
      <c r="AK35" s="31">
        <v>1.2747339758771501</v>
      </c>
      <c r="AL35" s="31">
        <v>6.5138306954876301E-3</v>
      </c>
      <c r="AM35" s="31">
        <v>0</v>
      </c>
      <c r="AN35" s="31">
        <v>0</v>
      </c>
      <c r="AO35" s="31">
        <v>0</v>
      </c>
      <c r="AP35" s="31">
        <v>0</v>
      </c>
      <c r="AQ35" s="31">
        <v>10.0415268109314</v>
      </c>
      <c r="AR35" s="31">
        <v>4.2903847851445498</v>
      </c>
      <c r="AS35" s="31">
        <v>0.94680220214593902</v>
      </c>
      <c r="AT35" s="31">
        <v>0</v>
      </c>
      <c r="AU35" s="31">
        <v>0.80708856051723399</v>
      </c>
      <c r="AV35" s="31">
        <v>0</v>
      </c>
      <c r="AW35" s="31">
        <v>0</v>
      </c>
      <c r="AX35" s="31">
        <v>72.453804400012302</v>
      </c>
      <c r="AY35" s="31">
        <v>-1.07163766027745</v>
      </c>
      <c r="AZ35" s="31">
        <v>0</v>
      </c>
      <c r="BA35" s="31">
        <v>11.5741197729714</v>
      </c>
      <c r="BB35" s="31">
        <v>0.2903317263604</v>
      </c>
      <c r="BC35" s="31">
        <v>3.9814511787245701</v>
      </c>
      <c r="BD35" s="31">
        <v>0</v>
      </c>
    </row>
    <row r="36" spans="1:56" ht="11.25" customHeight="1" x14ac:dyDescent="0.25">
      <c r="A36" s="97"/>
      <c r="B36" s="97"/>
      <c r="C36" s="97"/>
      <c r="D36" s="37" t="s">
        <v>30</v>
      </c>
      <c r="E36" s="37" t="s">
        <v>25</v>
      </c>
      <c r="F36" s="37" t="s">
        <v>25</v>
      </c>
      <c r="G36" s="38" t="s">
        <v>108</v>
      </c>
      <c r="H36" s="38" t="s">
        <v>102</v>
      </c>
      <c r="I36" s="38">
        <f>'MERCADO TUSD'!$U$33</f>
        <v>267147.82800000004</v>
      </c>
      <c r="J36" s="15"/>
      <c r="L36" s="31">
        <f>('TUSD BE'!$L$36+'TUSD BF'!$L$36+'TUSD CVA'!$L$36)*(1 - 0.4)</f>
        <v>0</v>
      </c>
      <c r="M36" s="31">
        <f>('TUSD BE'!$M$36+'TUSD BF'!$M$36+'TUSD CVA'!$M$36)*(1 - 0.4)</f>
        <v>0.49396997595859204</v>
      </c>
      <c r="N36" s="31">
        <f ca="1">('TUSD BE'!$N$36+'TUSD BF'!$N$36+'TUSD CVA'!$N$36)*(1 - 0.4)</f>
        <v>2.0858119596715148</v>
      </c>
      <c r="O36" s="31">
        <f>('TUSD BE'!$O$36+'TUSD BF'!$O$36+'TUSD CVA'!$O$36)*(1 - 0.4)</f>
        <v>1.1236910986012464E-2</v>
      </c>
      <c r="P36" s="31">
        <v>0</v>
      </c>
      <c r="Q36" s="31">
        <f>('TUSD BE'!$Q$36+'TUSD BF'!$Q$36+'TUSD CVA'!$Q$36)*(1 - 0.4)</f>
        <v>0</v>
      </c>
      <c r="R36" s="31">
        <v>0</v>
      </c>
      <c r="S36" s="31">
        <f>('TUSD BE'!$S$36+'TUSD BF'!$S$36+'TUSD CVA'!$S$36)*(1 - 0.4)</f>
        <v>0</v>
      </c>
      <c r="T36" s="31">
        <f>('TUSD BE'!$U$36+'TUSD BF'!$U$36+'TUSD CVA'!$U$36)*(1 - 0.4)</f>
        <v>20.710319752488392</v>
      </c>
      <c r="U36" s="31">
        <f>('TUSD BE'!$V$36+'TUSD BF'!$V$36+'TUSD CVA'!$V$36)*(1 - 0.4)</f>
        <v>6.3909109565864943</v>
      </c>
      <c r="V36" s="31">
        <f>('TUSD BE'!$W$36+'TUSD BF'!$W$36+'TUSD CVA'!$W$36)*(1 - 0.4)</f>
        <v>0.98035876568782998</v>
      </c>
      <c r="W36" s="31">
        <f>('TUSD BE'!$X$36+'TUSD BF'!$X$36+'TUSD CVA'!$X$36)*(1 - 0.4)</f>
        <v>5.702453012600725E-2</v>
      </c>
      <c r="X36" s="31">
        <f>('TUSD BE'!$Y$36+'TUSD BF'!$Y$36+'TUSD CVA'!$Y$36)*(1 - 0.4)</f>
        <v>1.1982469968754743</v>
      </c>
      <c r="Y36" s="31">
        <f>('TUSD BE'!$Z$36+'TUSD BF'!$Z$36+'TUSD CVA'!$Z$36)*(1 - 0.4)</f>
        <v>0</v>
      </c>
      <c r="Z36" s="31">
        <f>('TUSD BE'!$AA$36+'TUSD BF'!$AA$36+'TUSD CVA'!$AA$36)*(1 - 0.4)</f>
        <v>0</v>
      </c>
      <c r="AA36" s="31">
        <f>('TUSD BE'!$AC$36+'TUSD BF'!$AC$36+'TUSD CVA'!$AC$36)*(1 - 0.4)</f>
        <v>136.3474585093833</v>
      </c>
      <c r="AB36" s="31">
        <f ca="1">('TUSD BE'!$AE$36+'TUSD BF'!$AE$36+'TUSD CVA'!$AE$36)*(1 - 0.4)</f>
        <v>-17.677100172810526</v>
      </c>
      <c r="AC36" s="31">
        <f ca="1">('TUSD BE'!$AF$36+'TUSD BF'!$AF$36+'TUSD CVA'!$AF$36)*(1 - 0.4)</f>
        <v>0</v>
      </c>
      <c r="AD36" s="31">
        <f>('TUSD BE'!$AH$36+'TUSD BF'!$AH$36+'TUSD CVA'!$AH$36)*(1 - 0.4)</f>
        <v>18.085326746192759</v>
      </c>
      <c r="AE36" s="31">
        <f>('TUSD BE'!$AI$36+'TUSD BF'!$AI$36+'TUSD CVA'!$AI$36)*(1 - 0.4)</f>
        <v>0.54819532410552918</v>
      </c>
      <c r="AF36" s="31">
        <f ca="1">('TUSD BE'!$AJ$36+'TUSD BF'!$AJ$36+'TUSD CVA'!$AJ$36)*(1 - 0.4)</f>
        <v>6.1246212178802431</v>
      </c>
      <c r="AG36" s="31">
        <f ca="1">('TUSD BE'!$AK$36+'TUSD BF'!$AK$36+'TUSD CVA'!$AK$36)*(1 - 0.4)</f>
        <v>0</v>
      </c>
      <c r="AI36" s="31">
        <v>0</v>
      </c>
      <c r="AJ36" s="31">
        <v>0.437643527093799</v>
      </c>
      <c r="AK36" s="31">
        <v>2.1852582443608402</v>
      </c>
      <c r="AL36" s="31">
        <v>1.1166566906550201E-2</v>
      </c>
      <c r="AM36" s="31">
        <v>0</v>
      </c>
      <c r="AN36" s="31">
        <v>0</v>
      </c>
      <c r="AO36" s="31">
        <v>0</v>
      </c>
      <c r="AP36" s="31">
        <v>0</v>
      </c>
      <c r="AQ36" s="31">
        <v>17.2140459615966</v>
      </c>
      <c r="AR36" s="31">
        <v>7.3549453459620899</v>
      </c>
      <c r="AS36" s="31">
        <v>1.6230894893930401</v>
      </c>
      <c r="AT36" s="31">
        <v>0</v>
      </c>
      <c r="AU36" s="31">
        <v>1.38358038945812</v>
      </c>
      <c r="AV36" s="31">
        <v>0</v>
      </c>
      <c r="AW36" s="31">
        <v>0</v>
      </c>
      <c r="AX36" s="31">
        <v>124.206521828593</v>
      </c>
      <c r="AY36" s="31">
        <v>-1.8370931319042101</v>
      </c>
      <c r="AZ36" s="31">
        <v>0</v>
      </c>
      <c r="BA36" s="31">
        <v>19.841348182236601</v>
      </c>
      <c r="BB36" s="31">
        <v>0.49771153090354298</v>
      </c>
      <c r="BC36" s="31">
        <v>6.8253448778135501</v>
      </c>
      <c r="BD36" s="31">
        <v>0</v>
      </c>
    </row>
    <row r="37" spans="1:56" ht="11.25" customHeight="1" x14ac:dyDescent="0.25">
      <c r="A37" s="97"/>
      <c r="B37" s="97"/>
      <c r="C37" s="97"/>
      <c r="D37" s="37" t="s">
        <v>31</v>
      </c>
      <c r="E37" s="37" t="s">
        <v>25</v>
      </c>
      <c r="F37" s="37" t="s">
        <v>25</v>
      </c>
      <c r="G37" s="38" t="s">
        <v>108</v>
      </c>
      <c r="H37" s="38" t="s">
        <v>102</v>
      </c>
      <c r="I37" s="38">
        <f>'MERCADO TUSD'!$U$34</f>
        <v>140786.959</v>
      </c>
      <c r="J37" s="15"/>
      <c r="L37" s="31">
        <f>('TUSD BE'!$L$37+'TUSD BF'!$L$37+'TUSD CVA'!$L$37)*(1 - 0.1)</f>
        <v>0</v>
      </c>
      <c r="M37" s="31">
        <f>('TUSD BE'!$M$37+'TUSD BF'!$M$37+'TUSD CVA'!$M$37)*(1 - 0.1)</f>
        <v>0.74095496393788818</v>
      </c>
      <c r="N37" s="31">
        <f ca="1">('TUSD BE'!$N$37+'TUSD BF'!$N$37+'TUSD CVA'!$N$37)*(1 - 0.1)</f>
        <v>3.128717939507272</v>
      </c>
      <c r="O37" s="31">
        <f>('TUSD BE'!$O$37+'TUSD BF'!$O$37+'TUSD CVA'!$O$37)*(1 - 0.1)</f>
        <v>1.6855366479018696E-2</v>
      </c>
      <c r="P37" s="31">
        <v>0</v>
      </c>
      <c r="Q37" s="31">
        <f>('TUSD BE'!$Q$37+'TUSD BF'!$Q$37+'TUSD CVA'!$Q$37)*(1 - 0.1)</f>
        <v>0</v>
      </c>
      <c r="R37" s="31">
        <v>0</v>
      </c>
      <c r="S37" s="31">
        <f>('TUSD BE'!$S$37+'TUSD BF'!$S$37+'TUSD CVA'!$S$37)*(1 - 0.1)</f>
        <v>0</v>
      </c>
      <c r="T37" s="31">
        <f>('TUSD BE'!$U$37+'TUSD BF'!$U$37+'TUSD CVA'!$U$37)*(1 - 0.1)</f>
        <v>31.065479628732589</v>
      </c>
      <c r="U37" s="31">
        <f>('TUSD BE'!$V$37+'TUSD BF'!$V$37+'TUSD CVA'!$V$37)*(1 - 0.1)</f>
        <v>9.5863664348797428</v>
      </c>
      <c r="V37" s="31">
        <f>('TUSD BE'!$W$37+'TUSD BF'!$W$37+'TUSD CVA'!$W$37)*(1 - 0.1)</f>
        <v>1.470538148531745</v>
      </c>
      <c r="W37" s="31">
        <f>('TUSD BE'!$X$37+'TUSD BF'!$X$37+'TUSD CVA'!$X$37)*(1 - 0.1)</f>
        <v>8.5536795189010875E-2</v>
      </c>
      <c r="X37" s="31">
        <f>('TUSD BE'!$Y$37+'TUSD BF'!$Y$37+'TUSD CVA'!$Y$37)*(1 - 0.1)</f>
        <v>1.7973704953132117</v>
      </c>
      <c r="Y37" s="31">
        <f>('TUSD BE'!$Z$37+'TUSD BF'!$Z$37+'TUSD CVA'!$Z$37)*(1 - 0.1)</f>
        <v>0</v>
      </c>
      <c r="Z37" s="31">
        <f>('TUSD BE'!$AA$37+'TUSD BF'!$AA$37+'TUSD CVA'!$AA$37)*(1 - 0.1)</f>
        <v>0</v>
      </c>
      <c r="AA37" s="31">
        <f>('TUSD BE'!$AC$37+'TUSD BF'!$AC$37+'TUSD CVA'!$AC$37)*(1 - 0.1)</f>
        <v>204.52118776407497</v>
      </c>
      <c r="AB37" s="31">
        <f ca="1">('TUSD BE'!$AE$37+'TUSD BF'!$AE$37+'TUSD CVA'!$AE$37)*(1 - 0.1)</f>
        <v>-26.515650259215789</v>
      </c>
      <c r="AC37" s="31">
        <f ca="1">('TUSD BE'!$AF$37+'TUSD BF'!$AF$37+'TUSD CVA'!$AF$37)*(1 - 0.1)</f>
        <v>0</v>
      </c>
      <c r="AD37" s="31">
        <f>('TUSD BE'!$AH$37+'TUSD BF'!$AH$37+'TUSD CVA'!$AH$37)*(1 - 0.1)</f>
        <v>27.127990119289141</v>
      </c>
      <c r="AE37" s="31">
        <f>('TUSD BE'!$AI$37+'TUSD BF'!$AI$37+'TUSD CVA'!$AI$37)*(1 - 0.1)</f>
        <v>0.82229298615829371</v>
      </c>
      <c r="AF37" s="31">
        <f ca="1">('TUSD BE'!$AJ$37+'TUSD BF'!$AJ$37+'TUSD CVA'!$AJ$37)*(1 - 0.1)</f>
        <v>9.1869318268203646</v>
      </c>
      <c r="AG37" s="31">
        <f ca="1">('TUSD BE'!$AK$37+'TUSD BF'!$AK$37+'TUSD CVA'!$AK$37)*(1 - 0.1)</f>
        <v>0</v>
      </c>
      <c r="AI37" s="31">
        <v>0</v>
      </c>
      <c r="AJ37" s="31">
        <v>0.65646529064069803</v>
      </c>
      <c r="AK37" s="31">
        <v>3.27788736654125</v>
      </c>
      <c r="AL37" s="31">
        <v>1.6749850359825302E-2</v>
      </c>
      <c r="AM37" s="31">
        <v>0</v>
      </c>
      <c r="AN37" s="31">
        <v>0</v>
      </c>
      <c r="AO37" s="31">
        <v>0</v>
      </c>
      <c r="AP37" s="31">
        <v>0</v>
      </c>
      <c r="AQ37" s="31">
        <v>25.821068942394898</v>
      </c>
      <c r="AR37" s="31">
        <v>11.032418018943099</v>
      </c>
      <c r="AS37" s="31">
        <v>2.4346342340895601</v>
      </c>
      <c r="AT37" s="31">
        <v>0</v>
      </c>
      <c r="AU37" s="31">
        <v>2.0753705841871701</v>
      </c>
      <c r="AV37" s="31">
        <v>0</v>
      </c>
      <c r="AW37" s="31">
        <v>0</v>
      </c>
      <c r="AX37" s="31">
        <v>186.30978274288901</v>
      </c>
      <c r="AY37" s="31">
        <v>-2.75563969785631</v>
      </c>
      <c r="AZ37" s="31">
        <v>0</v>
      </c>
      <c r="BA37" s="31">
        <v>29.762022273354901</v>
      </c>
      <c r="BB37" s="31">
        <v>0.74656729635531405</v>
      </c>
      <c r="BC37" s="31">
        <v>10.238017316720301</v>
      </c>
      <c r="BD37" s="31">
        <v>0</v>
      </c>
    </row>
    <row r="38" spans="1:56" ht="11.25" customHeight="1" x14ac:dyDescent="0.25">
      <c r="A38" s="97"/>
      <c r="B38" s="97"/>
      <c r="C38" s="97"/>
      <c r="D38" s="37" t="s">
        <v>32</v>
      </c>
      <c r="E38" s="37" t="s">
        <v>25</v>
      </c>
      <c r="F38" s="37" t="s">
        <v>25</v>
      </c>
      <c r="G38" s="38" t="s">
        <v>108</v>
      </c>
      <c r="H38" s="38" t="s">
        <v>102</v>
      </c>
      <c r="I38" s="38">
        <f>'MERCADO TUSD'!$U$35</f>
        <v>39430.460000000006</v>
      </c>
      <c r="J38" s="15"/>
      <c r="L38" s="31">
        <f>('TUSD BE'!$L$38+'TUSD BF'!$L$38+'TUSD CVA'!$L$38)*1</f>
        <v>0</v>
      </c>
      <c r="M38" s="31">
        <f>('TUSD BE'!$M$38+'TUSD BF'!$M$38+'TUSD CVA'!$M$38)*1</f>
        <v>0.82328329326432015</v>
      </c>
      <c r="N38" s="31">
        <f ca="1">('TUSD BE'!$N$38+'TUSD BF'!$N$38+'TUSD CVA'!$N$38)*1</f>
        <v>3.4763532661191912</v>
      </c>
      <c r="O38" s="31">
        <f>('TUSD BE'!$O$38+'TUSD BF'!$O$38+'TUSD CVA'!$O$38)*1</f>
        <v>1.8728184976687441E-2</v>
      </c>
      <c r="P38" s="31">
        <v>0</v>
      </c>
      <c r="Q38" s="31">
        <f>('TUSD BE'!$Q$38+'TUSD BF'!$Q$38+'TUSD CVA'!$Q$38)*1</f>
        <v>0</v>
      </c>
      <c r="R38" s="31">
        <v>0</v>
      </c>
      <c r="S38" s="31">
        <f>('TUSD BE'!$S$38+'TUSD BF'!$S$38+'TUSD CVA'!$S$38)*1</f>
        <v>0</v>
      </c>
      <c r="T38" s="31">
        <f>('TUSD BE'!$U$38+'TUSD BF'!$U$38+'TUSD CVA'!$U$38)*1</f>
        <v>34.517199587480654</v>
      </c>
      <c r="U38" s="31">
        <f>('TUSD BE'!$V$38+'TUSD BF'!$V$38+'TUSD CVA'!$V$38)*1</f>
        <v>10.651518260977491</v>
      </c>
      <c r="V38" s="31">
        <f>('TUSD BE'!$W$38+'TUSD BF'!$W$38+'TUSD CVA'!$W$38)*1</f>
        <v>1.6339312761463833</v>
      </c>
      <c r="W38" s="31">
        <f>('TUSD BE'!$X$38+'TUSD BF'!$X$38+'TUSD CVA'!$X$38)*1</f>
        <v>9.5040883543345417E-2</v>
      </c>
      <c r="X38" s="31">
        <f>('TUSD BE'!$Y$38+'TUSD BF'!$Y$38+'TUSD CVA'!$Y$38)*1</f>
        <v>1.9970783281257907</v>
      </c>
      <c r="Y38" s="31">
        <f>('TUSD BE'!$Z$38+'TUSD BF'!$Z$38+'TUSD CVA'!$Z$38)*1</f>
        <v>0</v>
      </c>
      <c r="Z38" s="31">
        <f>('TUSD BE'!$AA$38+'TUSD BF'!$AA$38+'TUSD CVA'!$AA$38)*1</f>
        <v>0</v>
      </c>
      <c r="AA38" s="31">
        <f>('TUSD BE'!$AC$38+'TUSD BF'!$AC$38+'TUSD CVA'!$AC$38)*1</f>
        <v>227.24576418230552</v>
      </c>
      <c r="AB38" s="31">
        <f ca="1">('TUSD BE'!$AE$38+'TUSD BF'!$AE$38+'TUSD CVA'!$AE$38)*1</f>
        <v>-29.461833621350877</v>
      </c>
      <c r="AC38" s="31">
        <f ca="1">('TUSD BE'!$AF$38+'TUSD BF'!$AF$38+'TUSD CVA'!$AF$38)*1</f>
        <v>0</v>
      </c>
      <c r="AD38" s="31">
        <f>('TUSD BE'!$AH$38+'TUSD BF'!$AH$38+'TUSD CVA'!$AH$38)*1</f>
        <v>30.1422112436546</v>
      </c>
      <c r="AE38" s="31">
        <f>('TUSD BE'!$AI$38+'TUSD BF'!$AI$38+'TUSD CVA'!$AI$38)*1</f>
        <v>0.91365887350921526</v>
      </c>
      <c r="AF38" s="31">
        <f ca="1">('TUSD BE'!$AJ$38+'TUSD BF'!$AJ$38+'TUSD CVA'!$AJ$38)*1</f>
        <v>10.207702029800405</v>
      </c>
      <c r="AG38" s="31">
        <f ca="1">('TUSD BE'!$AK$38+'TUSD BF'!$AK$38+'TUSD CVA'!$AK$38)*1</f>
        <v>0</v>
      </c>
      <c r="AI38" s="31">
        <v>0</v>
      </c>
      <c r="AJ38" s="31">
        <v>0.72940587848966498</v>
      </c>
      <c r="AK38" s="31">
        <v>3.64209707393473</v>
      </c>
      <c r="AL38" s="31">
        <v>1.86109448442504E-2</v>
      </c>
      <c r="AM38" s="31">
        <v>0</v>
      </c>
      <c r="AN38" s="31">
        <v>0</v>
      </c>
      <c r="AO38" s="31">
        <v>0</v>
      </c>
      <c r="AP38" s="31">
        <v>0</v>
      </c>
      <c r="AQ38" s="31">
        <v>28.690076602661001</v>
      </c>
      <c r="AR38" s="31">
        <v>12.2582422432702</v>
      </c>
      <c r="AS38" s="31">
        <v>2.7051491489883999</v>
      </c>
      <c r="AT38" s="31">
        <v>0</v>
      </c>
      <c r="AU38" s="31">
        <v>2.3059673157635299</v>
      </c>
      <c r="AV38" s="31">
        <v>0</v>
      </c>
      <c r="AW38" s="31">
        <v>0</v>
      </c>
      <c r="AX38" s="31">
        <v>207.01086971432099</v>
      </c>
      <c r="AY38" s="31">
        <v>-3.0618218865070101</v>
      </c>
      <c r="AZ38" s="31">
        <v>0</v>
      </c>
      <c r="BA38" s="31">
        <v>33.068913637061002</v>
      </c>
      <c r="BB38" s="31">
        <v>0.82951921817257102</v>
      </c>
      <c r="BC38" s="31">
        <v>11.375574796355901</v>
      </c>
      <c r="BD38" s="31">
        <v>0</v>
      </c>
    </row>
    <row r="39" spans="1:56" ht="11.25" customHeight="1" x14ac:dyDescent="0.25">
      <c r="A39" s="97"/>
      <c r="B39" s="97" t="s">
        <v>115</v>
      </c>
      <c r="C39" s="97" t="s">
        <v>24</v>
      </c>
      <c r="D39" s="37" t="s">
        <v>24</v>
      </c>
      <c r="E39" s="37" t="s">
        <v>25</v>
      </c>
      <c r="F39" s="37" t="s">
        <v>25</v>
      </c>
      <c r="G39" s="38" t="s">
        <v>108</v>
      </c>
      <c r="H39" s="38" t="s">
        <v>102</v>
      </c>
      <c r="I39" s="38">
        <f>'MERCADO TUSD'!$U$36</f>
        <v>0</v>
      </c>
      <c r="J39" s="15"/>
      <c r="L39" s="31">
        <f>('TUSD BE'!$L$39+'TUSD BF'!$L$39+'TUSD CVA'!$L$39)*1</f>
        <v>4.2610020058157518</v>
      </c>
      <c r="M39" s="31">
        <f>('TUSD BE'!$M$39+'TUSD BF'!$M$39+'TUSD CVA'!$M$39)*1</f>
        <v>0.82328329326432015</v>
      </c>
      <c r="N39" s="31">
        <f ca="1">('TUSD BE'!$N$39+'TUSD BF'!$N$39+'TUSD CVA'!$N$39)*1</f>
        <v>3.4870785999941858</v>
      </c>
      <c r="O39" s="31">
        <f>('TUSD BE'!$O$39+'TUSD BF'!$O$39+'TUSD CVA'!$O$39)*1</f>
        <v>1.8728184976687441E-2</v>
      </c>
      <c r="P39" s="31">
        <f>('TUSD BE'!$P$39+'TUSD BF'!$P$39+'TUSD CVA'!$P$39)*1</f>
        <v>0</v>
      </c>
      <c r="Q39" s="31">
        <f>('TUSD BE'!$Q$39+'TUSD BF'!$Q$39+'TUSD CVA'!$Q$39)*1</f>
        <v>47.200306959989916</v>
      </c>
      <c r="R39" s="31">
        <f>('TUSD BE'!$R$39+'TUSD BF'!$R$39+'TUSD CVA'!$R$39)*1</f>
        <v>18.051835405677433</v>
      </c>
      <c r="S39" s="31">
        <f>('TUSD BE'!$S$39+'TUSD BF'!$S$39+'TUSD CVA'!$S$39)*1</f>
        <v>0</v>
      </c>
      <c r="T39" s="31">
        <f>('TUSD BE'!$U$39+'TUSD BF'!$U$39+'TUSD CVA'!$U$39)*1</f>
        <v>34.517199587480654</v>
      </c>
      <c r="U39" s="31">
        <f>('TUSD BE'!$V$39+'TUSD BF'!$V$39+'TUSD CVA'!$V$39)*1</f>
        <v>10.651518260977491</v>
      </c>
      <c r="V39" s="31">
        <f>('TUSD BE'!$W$39+'TUSD BF'!$W$39+'TUSD CVA'!$W$39)*1</f>
        <v>1.6339312761463833</v>
      </c>
      <c r="W39" s="31">
        <f>('TUSD BE'!$X$39+'TUSD BF'!$X$39+'TUSD CVA'!$X$39)*1</f>
        <v>9.5040883543345417E-2</v>
      </c>
      <c r="X39" s="31">
        <f>('TUSD BE'!$Y$39+'TUSD BF'!$Y$39+'TUSD CVA'!$Y$39)*1</f>
        <v>1.9970783281257907</v>
      </c>
      <c r="Y39" s="31">
        <f>('TUSD BE'!$Z$39+'TUSD BF'!$Z$39+'TUSD CVA'!$Z$39)*1</f>
        <v>0</v>
      </c>
      <c r="Z39" s="31">
        <f>('TUSD BE'!$AA$39+'TUSD BF'!$AA$39+'TUSD CVA'!$AA$39)*1</f>
        <v>0</v>
      </c>
      <c r="AA39" s="31">
        <f>('TUSD BE'!$AC$39+'TUSD BF'!$AC$39+'TUSD CVA'!$AC$39)*1</f>
        <v>227.24576418230552</v>
      </c>
      <c r="AB39" s="31">
        <f ca="1">('TUSD BE'!$AE$39+'TUSD BF'!$AE$39+'TUSD CVA'!$AE$39)*1</f>
        <v>-34.636309155386371</v>
      </c>
      <c r="AC39" s="31">
        <f ca="1">('TUSD BE'!$AF$39+'TUSD BF'!$AF$39+'TUSD CVA'!$AF$39)*1</f>
        <v>0</v>
      </c>
      <c r="AD39" s="31">
        <f>('TUSD BE'!$AH$39+'TUSD BF'!$AH$39+'TUSD CVA'!$AH$39)*1</f>
        <v>30.1422112436546</v>
      </c>
      <c r="AE39" s="31">
        <f>('TUSD BE'!$AI$39+'TUSD BF'!$AI$39+'TUSD CVA'!$AI$39)*1</f>
        <v>0.91365887350921526</v>
      </c>
      <c r="AF39" s="31">
        <f ca="1">('TUSD BE'!$AJ$39+'TUSD BF'!$AJ$39+'TUSD CVA'!$AJ$39)*1</f>
        <v>10.207702029800405</v>
      </c>
      <c r="AG39" s="31">
        <f ca="1">('TUSD BE'!$AK$39+'TUSD BF'!$AK$39+'TUSD CVA'!$AK$39)*1</f>
        <v>0</v>
      </c>
      <c r="AI39" s="31">
        <v>4.0279271267254799</v>
      </c>
      <c r="AJ39" s="31">
        <v>0.72940587848966498</v>
      </c>
      <c r="AK39" s="31">
        <v>3.6533849719378302</v>
      </c>
      <c r="AL39" s="31">
        <v>1.86109448442504E-2</v>
      </c>
      <c r="AM39" s="31">
        <v>0</v>
      </c>
      <c r="AN39" s="31">
        <v>27.879974173601902</v>
      </c>
      <c r="AO39" s="31">
        <v>10.086366024610101</v>
      </c>
      <c r="AP39" s="31">
        <v>0</v>
      </c>
      <c r="AQ39" s="31">
        <v>28.690076602661001</v>
      </c>
      <c r="AR39" s="31">
        <v>12.2582422432702</v>
      </c>
      <c r="AS39" s="31">
        <v>2.7051491489883999</v>
      </c>
      <c r="AT39" s="31">
        <v>0</v>
      </c>
      <c r="AU39" s="31">
        <v>2.3059673157635299</v>
      </c>
      <c r="AV39" s="31">
        <v>0</v>
      </c>
      <c r="AW39" s="31">
        <v>0</v>
      </c>
      <c r="AX39" s="31">
        <v>207.01086971432099</v>
      </c>
      <c r="AY39" s="31">
        <v>-3.4385123259041901</v>
      </c>
      <c r="AZ39" s="31">
        <v>0</v>
      </c>
      <c r="BA39" s="31">
        <v>33.068913637061002</v>
      </c>
      <c r="BB39" s="31">
        <v>0.82951921817257102</v>
      </c>
      <c r="BC39" s="31">
        <v>11.375574796355901</v>
      </c>
      <c r="BD39" s="31">
        <v>0</v>
      </c>
    </row>
    <row r="40" spans="1:56" ht="11.25" customHeight="1" x14ac:dyDescent="0.25">
      <c r="A40" s="97"/>
      <c r="B40" s="97"/>
      <c r="C40" s="97"/>
      <c r="D40" s="37" t="s">
        <v>29</v>
      </c>
      <c r="E40" s="37" t="s">
        <v>25</v>
      </c>
      <c r="F40" s="37" t="s">
        <v>25</v>
      </c>
      <c r="G40" s="38" t="s">
        <v>108</v>
      </c>
      <c r="H40" s="38" t="s">
        <v>102</v>
      </c>
      <c r="I40" s="38">
        <f>'MERCADO TUSD'!$U$37</f>
        <v>0</v>
      </c>
      <c r="J40" s="15"/>
      <c r="L40" s="31">
        <f>('TUSD BE'!$L$40+'TUSD BF'!$L$40+'TUSD CVA'!$L$40)*(1 - 0.65)</f>
        <v>0</v>
      </c>
      <c r="M40" s="31">
        <f>('TUSD BE'!$M$40+'TUSD BF'!$M$40+'TUSD CVA'!$M$40)*(1 - 0.65)</f>
        <v>0.28814915264251201</v>
      </c>
      <c r="N40" s="31">
        <f ca="1">('TUSD BE'!$N$40+'TUSD BF'!$N$40+'TUSD CVA'!$N$40)*(1 - 0.65)</f>
        <v>1.2167236431417168</v>
      </c>
      <c r="O40" s="31">
        <f>('TUSD BE'!$O$40+'TUSD BF'!$O$40+'TUSD CVA'!$O$40)*(1 - 0.65)</f>
        <v>6.5548647418406042E-3</v>
      </c>
      <c r="P40" s="31">
        <v>0</v>
      </c>
      <c r="Q40" s="31">
        <f>('TUSD BE'!$Q$40+'TUSD BF'!$Q$40+'TUSD CVA'!$Q$40)*(1 - 0.65)</f>
        <v>0</v>
      </c>
      <c r="R40" s="31">
        <v>0</v>
      </c>
      <c r="S40" s="31">
        <f>('TUSD BE'!$S$40+'TUSD BF'!$S$40+'TUSD CVA'!$S$40)*(1 - 0.65)</f>
        <v>0</v>
      </c>
      <c r="T40" s="31">
        <f>('TUSD BE'!$U$40+'TUSD BF'!$U$40+'TUSD CVA'!$U$40)*(1 - 0.65)</f>
        <v>12.081019855618228</v>
      </c>
      <c r="U40" s="31">
        <f>('TUSD BE'!$V$40+'TUSD BF'!$V$40+'TUSD CVA'!$V$40)*(1 - 0.65)</f>
        <v>3.7280313913421219</v>
      </c>
      <c r="V40" s="31">
        <f>('TUSD BE'!$W$40+'TUSD BF'!$W$40+'TUSD CVA'!$W$40)*(1 - 0.65)</f>
        <v>0.57187594665123409</v>
      </c>
      <c r="W40" s="31">
        <f>('TUSD BE'!$X$40+'TUSD BF'!$X$40+'TUSD CVA'!$X$40)*(1 - 0.65)</f>
        <v>3.3264309240170896E-2</v>
      </c>
      <c r="X40" s="31">
        <f>('TUSD BE'!$Y$40+'TUSD BF'!$Y$40+'TUSD CVA'!$Y$40)*(1 - 0.65)</f>
        <v>0.69897741484402665</v>
      </c>
      <c r="Y40" s="31">
        <f>('TUSD BE'!$Z$40+'TUSD BF'!$Z$40+'TUSD CVA'!$Z$40)*(1 - 0.65)</f>
        <v>0</v>
      </c>
      <c r="Z40" s="31">
        <f>('TUSD BE'!$AA$40+'TUSD BF'!$AA$40+'TUSD CVA'!$AA$40)*(1 - 0.65)</f>
        <v>0</v>
      </c>
      <c r="AA40" s="31">
        <f>('TUSD BE'!$AC$40+'TUSD BF'!$AC$40+'TUSD CVA'!$AC$40)*(1 - 0.65)</f>
        <v>79.536017463806928</v>
      </c>
      <c r="AB40" s="31">
        <f ca="1">('TUSD BE'!$AE$40+'TUSD BF'!$AE$40+'TUSD CVA'!$AE$40)*(1 - 0.65)</f>
        <v>-10.311641767472807</v>
      </c>
      <c r="AC40" s="31">
        <f ca="1">('TUSD BE'!$AF$40+'TUSD BF'!$AF$40+'TUSD CVA'!$AF$40)*(1 - 0.65)</f>
        <v>0</v>
      </c>
      <c r="AD40" s="31">
        <f>('TUSD BE'!$AH$40+'TUSD BF'!$AH$40+'TUSD CVA'!$AH$40)*(1 - 0.65)</f>
        <v>10.549773935279109</v>
      </c>
      <c r="AE40" s="31">
        <f>('TUSD BE'!$AI$40+'TUSD BF'!$AI$40+'TUSD CVA'!$AI$40)*(1 - 0.65)</f>
        <v>0.31978060572822531</v>
      </c>
      <c r="AF40" s="31">
        <f ca="1">('TUSD BE'!$AJ$40+'TUSD BF'!$AJ$40+'TUSD CVA'!$AJ$40)*(1 - 0.65)</f>
        <v>3.5726957104301413</v>
      </c>
      <c r="AG40" s="31">
        <f ca="1">('TUSD BE'!$AK$40+'TUSD BF'!$AK$40+'TUSD CVA'!$AK$40)*(1 - 0.65)</f>
        <v>0</v>
      </c>
      <c r="AI40" s="31">
        <v>0</v>
      </c>
      <c r="AJ40" s="31">
        <v>0.255292057471383</v>
      </c>
      <c r="AK40" s="31">
        <v>1.2747339758771501</v>
      </c>
      <c r="AL40" s="31">
        <v>6.5138306954876301E-3</v>
      </c>
      <c r="AM40" s="31">
        <v>0</v>
      </c>
      <c r="AN40" s="31">
        <v>0</v>
      </c>
      <c r="AO40" s="31">
        <v>0</v>
      </c>
      <c r="AP40" s="31">
        <v>0</v>
      </c>
      <c r="AQ40" s="31">
        <v>10.0415268109314</v>
      </c>
      <c r="AR40" s="31">
        <v>4.2903847851445498</v>
      </c>
      <c r="AS40" s="31">
        <v>0.94680220214593902</v>
      </c>
      <c r="AT40" s="31">
        <v>0</v>
      </c>
      <c r="AU40" s="31">
        <v>0.80708856051723399</v>
      </c>
      <c r="AV40" s="31">
        <v>0</v>
      </c>
      <c r="AW40" s="31">
        <v>0</v>
      </c>
      <c r="AX40" s="31">
        <v>72.453804400012302</v>
      </c>
      <c r="AY40" s="31">
        <v>-1.07163766027745</v>
      </c>
      <c r="AZ40" s="31">
        <v>0</v>
      </c>
      <c r="BA40" s="31">
        <v>11.5741197729714</v>
      </c>
      <c r="BB40" s="31">
        <v>0.2903317263604</v>
      </c>
      <c r="BC40" s="31">
        <v>3.9814511787245701</v>
      </c>
      <c r="BD40" s="31">
        <v>0</v>
      </c>
    </row>
    <row r="41" spans="1:56" ht="11.25" customHeight="1" x14ac:dyDescent="0.25">
      <c r="A41" s="97"/>
      <c r="B41" s="97"/>
      <c r="C41" s="97"/>
      <c r="D41" s="37" t="s">
        <v>30</v>
      </c>
      <c r="E41" s="37" t="s">
        <v>25</v>
      </c>
      <c r="F41" s="37" t="s">
        <v>25</v>
      </c>
      <c r="G41" s="38" t="s">
        <v>108</v>
      </c>
      <c r="H41" s="38" t="s">
        <v>102</v>
      </c>
      <c r="I41" s="38">
        <f>'MERCADO TUSD'!$U$38</f>
        <v>0</v>
      </c>
      <c r="J41" s="15"/>
      <c r="L41" s="31">
        <f>('TUSD BE'!$L$41+'TUSD BF'!$L$41+'TUSD CVA'!$L$41)*(1 - 0.4)</f>
        <v>0</v>
      </c>
      <c r="M41" s="31">
        <f>('TUSD BE'!$M$41+'TUSD BF'!$M$41+'TUSD CVA'!$M$41)*(1 - 0.4)</f>
        <v>0.49396997595859204</v>
      </c>
      <c r="N41" s="31">
        <f ca="1">('TUSD BE'!$N$41+'TUSD BF'!$N$41+'TUSD CVA'!$N$41)*(1 - 0.4)</f>
        <v>2.0858119596715148</v>
      </c>
      <c r="O41" s="31">
        <f>('TUSD BE'!$O$41+'TUSD BF'!$O$41+'TUSD CVA'!$O$41)*(1 - 0.4)</f>
        <v>1.1236910986012464E-2</v>
      </c>
      <c r="P41" s="31">
        <v>0</v>
      </c>
      <c r="Q41" s="31">
        <f>('TUSD BE'!$Q$41+'TUSD BF'!$Q$41+'TUSD CVA'!$Q$41)*(1 - 0.4)</f>
        <v>0</v>
      </c>
      <c r="R41" s="31">
        <v>0</v>
      </c>
      <c r="S41" s="31">
        <f>('TUSD BE'!$S$41+'TUSD BF'!$S$41+'TUSD CVA'!$S$41)*(1 - 0.4)</f>
        <v>0</v>
      </c>
      <c r="T41" s="31">
        <f>('TUSD BE'!$U$41+'TUSD BF'!$U$41+'TUSD CVA'!$U$41)*(1 - 0.4)</f>
        <v>20.710319752488392</v>
      </c>
      <c r="U41" s="31">
        <f>('TUSD BE'!$V$41+'TUSD BF'!$V$41+'TUSD CVA'!$V$41)*(1 - 0.4)</f>
        <v>6.3909109565864943</v>
      </c>
      <c r="V41" s="31">
        <f>('TUSD BE'!$W$41+'TUSD BF'!$W$41+'TUSD CVA'!$W$41)*(1 - 0.4)</f>
        <v>0.98035876568782998</v>
      </c>
      <c r="W41" s="31">
        <f>('TUSD BE'!$X$41+'TUSD BF'!$X$41+'TUSD CVA'!$X$41)*(1 - 0.4)</f>
        <v>5.702453012600725E-2</v>
      </c>
      <c r="X41" s="31">
        <f>('TUSD BE'!$Y$41+'TUSD BF'!$Y$41+'TUSD CVA'!$Y$41)*(1 - 0.4)</f>
        <v>1.1982469968754743</v>
      </c>
      <c r="Y41" s="31">
        <f>('TUSD BE'!$Z$41+'TUSD BF'!$Z$41+'TUSD CVA'!$Z$41)*(1 - 0.4)</f>
        <v>0</v>
      </c>
      <c r="Z41" s="31">
        <f>('TUSD BE'!$AA$41+'TUSD BF'!$AA$41+'TUSD CVA'!$AA$41)*(1 - 0.4)</f>
        <v>0</v>
      </c>
      <c r="AA41" s="31">
        <f>('TUSD BE'!$AC$41+'TUSD BF'!$AC$41+'TUSD CVA'!$AC$41)*(1 - 0.4)</f>
        <v>136.3474585093833</v>
      </c>
      <c r="AB41" s="31">
        <f ca="1">('TUSD BE'!$AE$41+'TUSD BF'!$AE$41+'TUSD CVA'!$AE$41)*(1 - 0.4)</f>
        <v>-17.677100172810526</v>
      </c>
      <c r="AC41" s="31">
        <f ca="1">('TUSD BE'!$AF$41+'TUSD BF'!$AF$41+'TUSD CVA'!$AF$41)*(1 - 0.4)</f>
        <v>0</v>
      </c>
      <c r="AD41" s="31">
        <f>('TUSD BE'!$AH$41+'TUSD BF'!$AH$41+'TUSD CVA'!$AH$41)*(1 - 0.4)</f>
        <v>18.085326746192759</v>
      </c>
      <c r="AE41" s="31">
        <f>('TUSD BE'!$AI$41+'TUSD BF'!$AI$41+'TUSD CVA'!$AI$41)*(1 - 0.4)</f>
        <v>0.54819532410552918</v>
      </c>
      <c r="AF41" s="31">
        <f ca="1">('TUSD BE'!$AJ$41+'TUSD BF'!$AJ$41+'TUSD CVA'!$AJ$41)*(1 - 0.4)</f>
        <v>6.1246212178802431</v>
      </c>
      <c r="AG41" s="31">
        <f ca="1">('TUSD BE'!$AK$41+'TUSD BF'!$AK$41+'TUSD CVA'!$AK$41)*(1 - 0.4)</f>
        <v>0</v>
      </c>
      <c r="AI41" s="31">
        <v>0</v>
      </c>
      <c r="AJ41" s="31">
        <v>0.437643527093799</v>
      </c>
      <c r="AK41" s="31">
        <v>2.1852582443608402</v>
      </c>
      <c r="AL41" s="31">
        <v>1.1166566906550201E-2</v>
      </c>
      <c r="AM41" s="31">
        <v>0</v>
      </c>
      <c r="AN41" s="31">
        <v>0</v>
      </c>
      <c r="AO41" s="31">
        <v>0</v>
      </c>
      <c r="AP41" s="31">
        <v>0</v>
      </c>
      <c r="AQ41" s="31">
        <v>17.2140459615966</v>
      </c>
      <c r="AR41" s="31">
        <v>7.3549453459620899</v>
      </c>
      <c r="AS41" s="31">
        <v>1.6230894893930401</v>
      </c>
      <c r="AT41" s="31">
        <v>0</v>
      </c>
      <c r="AU41" s="31">
        <v>1.38358038945812</v>
      </c>
      <c r="AV41" s="31">
        <v>0</v>
      </c>
      <c r="AW41" s="31">
        <v>0</v>
      </c>
      <c r="AX41" s="31">
        <v>124.206521828593</v>
      </c>
      <c r="AY41" s="31">
        <v>-1.8370931319042101</v>
      </c>
      <c r="AZ41" s="31">
        <v>0</v>
      </c>
      <c r="BA41" s="31">
        <v>19.841348182236601</v>
      </c>
      <c r="BB41" s="31">
        <v>0.49771153090354298</v>
      </c>
      <c r="BC41" s="31">
        <v>6.8253448778135501</v>
      </c>
      <c r="BD41" s="31">
        <v>0</v>
      </c>
    </row>
    <row r="42" spans="1:56" ht="11.25" customHeight="1" x14ac:dyDescent="0.25">
      <c r="A42" s="97"/>
      <c r="B42" s="97"/>
      <c r="C42" s="97"/>
      <c r="D42" s="37" t="s">
        <v>31</v>
      </c>
      <c r="E42" s="37" t="s">
        <v>25</v>
      </c>
      <c r="F42" s="37" t="s">
        <v>25</v>
      </c>
      <c r="G42" s="38" t="s">
        <v>108</v>
      </c>
      <c r="H42" s="38" t="s">
        <v>102</v>
      </c>
      <c r="I42" s="38">
        <f>'MERCADO TUSD'!$U$39</f>
        <v>0</v>
      </c>
      <c r="J42" s="15"/>
      <c r="L42" s="31">
        <f>('TUSD BE'!$L$42+'TUSD BF'!$L$42+'TUSD CVA'!$L$42)*(1 - 0.1)</f>
        <v>0</v>
      </c>
      <c r="M42" s="31">
        <f>('TUSD BE'!$M$42+'TUSD BF'!$M$42+'TUSD CVA'!$M$42)*(1 - 0.1)</f>
        <v>0.74095496393788818</v>
      </c>
      <c r="N42" s="31">
        <f ca="1">('TUSD BE'!$N$42+'TUSD BF'!$N$42+'TUSD CVA'!$N$42)*(1 - 0.1)</f>
        <v>3.128717939507272</v>
      </c>
      <c r="O42" s="31">
        <f>('TUSD BE'!$O$42+'TUSD BF'!$O$42+'TUSD CVA'!$O$42)*(1 - 0.1)</f>
        <v>1.6855366479018696E-2</v>
      </c>
      <c r="P42" s="31">
        <v>0</v>
      </c>
      <c r="Q42" s="31">
        <f>('TUSD BE'!$Q$42+'TUSD BF'!$Q$42+'TUSD CVA'!$Q$42)*(1 - 0.1)</f>
        <v>0</v>
      </c>
      <c r="R42" s="31">
        <v>0</v>
      </c>
      <c r="S42" s="31">
        <f>('TUSD BE'!$S$42+'TUSD BF'!$S$42+'TUSD CVA'!$S$42)*(1 - 0.1)</f>
        <v>0</v>
      </c>
      <c r="T42" s="31">
        <f>('TUSD BE'!$U$42+'TUSD BF'!$U$42+'TUSD CVA'!$U$42)*(1 - 0.1)</f>
        <v>31.065479628732589</v>
      </c>
      <c r="U42" s="31">
        <f>('TUSD BE'!$V$42+'TUSD BF'!$V$42+'TUSD CVA'!$V$42)*(1 - 0.1)</f>
        <v>9.5863664348797428</v>
      </c>
      <c r="V42" s="31">
        <f>('TUSD BE'!$W$42+'TUSD BF'!$W$42+'TUSD CVA'!$W$42)*(1 - 0.1)</f>
        <v>1.470538148531745</v>
      </c>
      <c r="W42" s="31">
        <f>('TUSD BE'!$X$42+'TUSD BF'!$X$42+'TUSD CVA'!$X$42)*(1 - 0.1)</f>
        <v>8.5536795189010875E-2</v>
      </c>
      <c r="X42" s="31">
        <f>('TUSD BE'!$Y$42+'TUSD BF'!$Y$42+'TUSD CVA'!$Y$42)*(1 - 0.1)</f>
        <v>1.7973704953132117</v>
      </c>
      <c r="Y42" s="31">
        <f>('TUSD BE'!$Z$42+'TUSD BF'!$Z$42+'TUSD CVA'!$Z$42)*(1 - 0.1)</f>
        <v>0</v>
      </c>
      <c r="Z42" s="31">
        <f>('TUSD BE'!$AA$42+'TUSD BF'!$AA$42+'TUSD CVA'!$AA$42)*(1 - 0.1)</f>
        <v>0</v>
      </c>
      <c r="AA42" s="31">
        <f>('TUSD BE'!$AC$42+'TUSD BF'!$AC$42+'TUSD CVA'!$AC$42)*(1 - 0.1)</f>
        <v>204.52118776407497</v>
      </c>
      <c r="AB42" s="31">
        <f ca="1">('TUSD BE'!$AE$42+'TUSD BF'!$AE$42+'TUSD CVA'!$AE$42)*(1 - 0.1)</f>
        <v>-26.515650259215789</v>
      </c>
      <c r="AC42" s="31">
        <f ca="1">('TUSD BE'!$AF$42+'TUSD BF'!$AF$42+'TUSD CVA'!$AF$42)*(1 - 0.1)</f>
        <v>0</v>
      </c>
      <c r="AD42" s="31">
        <f>('TUSD BE'!$AH$42+'TUSD BF'!$AH$42+'TUSD CVA'!$AH$42)*(1 - 0.1)</f>
        <v>27.127990119289141</v>
      </c>
      <c r="AE42" s="31">
        <f>('TUSD BE'!$AI$42+'TUSD BF'!$AI$42+'TUSD CVA'!$AI$42)*(1 - 0.1)</f>
        <v>0.82229298615829371</v>
      </c>
      <c r="AF42" s="31">
        <f ca="1">('TUSD BE'!$AJ$42+'TUSD BF'!$AJ$42+'TUSD CVA'!$AJ$42)*(1 - 0.1)</f>
        <v>9.1869318268203646</v>
      </c>
      <c r="AG42" s="31">
        <f ca="1">('TUSD BE'!$AK$42+'TUSD BF'!$AK$42+'TUSD CVA'!$AK$42)*(1 - 0.1)</f>
        <v>0</v>
      </c>
      <c r="AI42" s="31">
        <v>0</v>
      </c>
      <c r="AJ42" s="31">
        <v>0.65646529064069803</v>
      </c>
      <c r="AK42" s="31">
        <v>3.27788736654125</v>
      </c>
      <c r="AL42" s="31">
        <v>1.6749850359825302E-2</v>
      </c>
      <c r="AM42" s="31">
        <v>0</v>
      </c>
      <c r="AN42" s="31">
        <v>0</v>
      </c>
      <c r="AO42" s="31">
        <v>0</v>
      </c>
      <c r="AP42" s="31">
        <v>0</v>
      </c>
      <c r="AQ42" s="31">
        <v>25.821068942394898</v>
      </c>
      <c r="AR42" s="31">
        <v>11.032418018943099</v>
      </c>
      <c r="AS42" s="31">
        <v>2.4346342340895601</v>
      </c>
      <c r="AT42" s="31">
        <v>0</v>
      </c>
      <c r="AU42" s="31">
        <v>2.0753705841871701</v>
      </c>
      <c r="AV42" s="31">
        <v>0</v>
      </c>
      <c r="AW42" s="31">
        <v>0</v>
      </c>
      <c r="AX42" s="31">
        <v>186.30978274288901</v>
      </c>
      <c r="AY42" s="31">
        <v>-2.75563969785631</v>
      </c>
      <c r="AZ42" s="31">
        <v>0</v>
      </c>
      <c r="BA42" s="31">
        <v>29.762022273354901</v>
      </c>
      <c r="BB42" s="31">
        <v>0.74656729635531405</v>
      </c>
      <c r="BC42" s="31">
        <v>10.238017316720301</v>
      </c>
      <c r="BD42" s="31">
        <v>0</v>
      </c>
    </row>
    <row r="43" spans="1:56" ht="11.25" customHeight="1" x14ac:dyDescent="0.25">
      <c r="A43" s="97"/>
      <c r="B43" s="97"/>
      <c r="C43" s="97"/>
      <c r="D43" s="37" t="s">
        <v>32</v>
      </c>
      <c r="E43" s="37" t="s">
        <v>25</v>
      </c>
      <c r="F43" s="37" t="s">
        <v>25</v>
      </c>
      <c r="G43" s="38" t="s">
        <v>108</v>
      </c>
      <c r="H43" s="38" t="s">
        <v>102</v>
      </c>
      <c r="I43" s="38">
        <f>'MERCADO TUSD'!$U$40</f>
        <v>0</v>
      </c>
      <c r="J43" s="15"/>
      <c r="L43" s="31">
        <f>('TUSD BE'!$L$43+'TUSD BF'!$L$43+'TUSD CVA'!$L$43)*1</f>
        <v>0</v>
      </c>
      <c r="M43" s="31">
        <f>('TUSD BE'!$M$43+'TUSD BF'!$M$43+'TUSD CVA'!$M$43)*1</f>
        <v>0.82328329326432015</v>
      </c>
      <c r="N43" s="31">
        <f ca="1">('TUSD BE'!$N$43+'TUSD BF'!$N$43+'TUSD CVA'!$N$43)*1</f>
        <v>3.4763532661191912</v>
      </c>
      <c r="O43" s="31">
        <f>('TUSD BE'!$O$43+'TUSD BF'!$O$43+'TUSD CVA'!$O$43)*1</f>
        <v>1.8728184976687441E-2</v>
      </c>
      <c r="P43" s="31">
        <v>0</v>
      </c>
      <c r="Q43" s="31">
        <f>('TUSD BE'!$Q$43+'TUSD BF'!$Q$43+'TUSD CVA'!$Q$43)*1</f>
        <v>0</v>
      </c>
      <c r="R43" s="31">
        <v>0</v>
      </c>
      <c r="S43" s="31">
        <f>('TUSD BE'!$S$43+'TUSD BF'!$S$43+'TUSD CVA'!$S$43)*1</f>
        <v>0</v>
      </c>
      <c r="T43" s="31">
        <f>('TUSD BE'!$U$43+'TUSD BF'!$U$43+'TUSD CVA'!$U$43)*1</f>
        <v>34.517199587480654</v>
      </c>
      <c r="U43" s="31">
        <f>('TUSD BE'!$V$43+'TUSD BF'!$V$43+'TUSD CVA'!$V$43)*1</f>
        <v>10.651518260977491</v>
      </c>
      <c r="V43" s="31">
        <f>('TUSD BE'!$W$43+'TUSD BF'!$W$43+'TUSD CVA'!$W$43)*1</f>
        <v>1.6339312761463833</v>
      </c>
      <c r="W43" s="31">
        <f>('TUSD BE'!$X$43+'TUSD BF'!$X$43+'TUSD CVA'!$X$43)*1</f>
        <v>9.5040883543345417E-2</v>
      </c>
      <c r="X43" s="31">
        <f>('TUSD BE'!$Y$43+'TUSD BF'!$Y$43+'TUSD CVA'!$Y$43)*1</f>
        <v>1.9970783281257907</v>
      </c>
      <c r="Y43" s="31">
        <f>('TUSD BE'!$Z$43+'TUSD BF'!$Z$43+'TUSD CVA'!$Z$43)*1</f>
        <v>0</v>
      </c>
      <c r="Z43" s="31">
        <f>('TUSD BE'!$AA$43+'TUSD BF'!$AA$43+'TUSD CVA'!$AA$43)*1</f>
        <v>0</v>
      </c>
      <c r="AA43" s="31">
        <f>('TUSD BE'!$AC$43+'TUSD BF'!$AC$43+'TUSD CVA'!$AC$43)*1</f>
        <v>227.24576418230552</v>
      </c>
      <c r="AB43" s="31">
        <f ca="1">('TUSD BE'!$AE$43+'TUSD BF'!$AE$43+'TUSD CVA'!$AE$43)*1</f>
        <v>-29.461833621350877</v>
      </c>
      <c r="AC43" s="31">
        <f ca="1">('TUSD BE'!$AF$43+'TUSD BF'!$AF$43+'TUSD CVA'!$AF$43)*1</f>
        <v>0</v>
      </c>
      <c r="AD43" s="31">
        <f>('TUSD BE'!$AH$43+'TUSD BF'!$AH$43+'TUSD CVA'!$AH$43)*1</f>
        <v>30.1422112436546</v>
      </c>
      <c r="AE43" s="31">
        <f>('TUSD BE'!$AI$43+'TUSD BF'!$AI$43+'TUSD CVA'!$AI$43)*1</f>
        <v>0.91365887350921526</v>
      </c>
      <c r="AF43" s="31">
        <f ca="1">('TUSD BE'!$AJ$43+'TUSD BF'!$AJ$43+'TUSD CVA'!$AJ$43)*1</f>
        <v>10.207702029800405</v>
      </c>
      <c r="AG43" s="31">
        <f ca="1">('TUSD BE'!$AK$43+'TUSD BF'!$AK$43+'TUSD CVA'!$AK$43)*1</f>
        <v>0</v>
      </c>
      <c r="AI43" s="31">
        <v>0</v>
      </c>
      <c r="AJ43" s="31">
        <v>0.72940587848966498</v>
      </c>
      <c r="AK43" s="31">
        <v>3.64209707393473</v>
      </c>
      <c r="AL43" s="31">
        <v>1.86109448442504E-2</v>
      </c>
      <c r="AM43" s="31">
        <v>0</v>
      </c>
      <c r="AN43" s="31">
        <v>0</v>
      </c>
      <c r="AO43" s="31">
        <v>0</v>
      </c>
      <c r="AP43" s="31">
        <v>0</v>
      </c>
      <c r="AQ43" s="31">
        <v>28.690076602661001</v>
      </c>
      <c r="AR43" s="31">
        <v>12.2582422432702</v>
      </c>
      <c r="AS43" s="31">
        <v>2.7051491489883999</v>
      </c>
      <c r="AT43" s="31">
        <v>0</v>
      </c>
      <c r="AU43" s="31">
        <v>2.3059673157635299</v>
      </c>
      <c r="AV43" s="31">
        <v>0</v>
      </c>
      <c r="AW43" s="31">
        <v>0</v>
      </c>
      <c r="AX43" s="31">
        <v>207.01086971432099</v>
      </c>
      <c r="AY43" s="31">
        <v>-3.0618218865070101</v>
      </c>
      <c r="AZ43" s="31">
        <v>0</v>
      </c>
      <c r="BA43" s="31">
        <v>33.068913637061002</v>
      </c>
      <c r="BB43" s="31">
        <v>0.82951921817257102</v>
      </c>
      <c r="BC43" s="31">
        <v>11.375574796355901</v>
      </c>
      <c r="BD43" s="31">
        <v>0</v>
      </c>
    </row>
    <row r="44" spans="1:56" ht="11.25" customHeight="1" x14ac:dyDescent="0.25">
      <c r="A44" s="97" t="s">
        <v>44</v>
      </c>
      <c r="B44" s="97" t="s">
        <v>33</v>
      </c>
      <c r="C44" s="97" t="s">
        <v>45</v>
      </c>
      <c r="D44" s="97" t="s">
        <v>25</v>
      </c>
      <c r="E44" s="97" t="s">
        <v>25</v>
      </c>
      <c r="F44" s="97" t="s">
        <v>25</v>
      </c>
      <c r="G44" s="38" t="s">
        <v>103</v>
      </c>
      <c r="H44" s="38" t="s">
        <v>102</v>
      </c>
      <c r="I44" s="38">
        <f>'MERCADO TUSD'!$U$41</f>
        <v>3.9449999999999994</v>
      </c>
      <c r="J44" s="15"/>
      <c r="L44" s="31">
        <f>('TUSD BE'!$L$44+'TUSD BF'!$L$44+'TUSD CVA'!$L$44)*(1 - CUSTOS!$M$38)</f>
        <v>4.0053418854668061</v>
      </c>
      <c r="M44" s="31">
        <f>('TUSD BE'!$M$44+'TUSD BF'!$M$44+'TUSD CVA'!$M$44)*(1 - CUSTOS!$M$38)</f>
        <v>0.7738862956684609</v>
      </c>
      <c r="N44" s="31">
        <f ca="1">('TUSD BE'!$N$44+'TUSD BF'!$N$44+'TUSD CVA'!$N$44)*(1 - CUSTOS!$M$38)</f>
        <v>8.9975461430854722</v>
      </c>
      <c r="O44" s="31">
        <f>('TUSD BE'!$O$44+'TUSD BF'!$O$44+'TUSD CVA'!$O$44)*(1 - CUSTOS!$M$38)</f>
        <v>1.7604493878086193E-2</v>
      </c>
      <c r="P44" s="31">
        <f>('TUSD BE'!$P$44+'TUSD BF'!$P$44+'TUSD CVA'!$P$44)*(1 - CUSTOS!$M$38)</f>
        <v>0</v>
      </c>
      <c r="Q44" s="31">
        <f>('TUSD BE'!$Q$44+'TUSD BF'!$Q$44+'TUSD CVA'!$Q$44)*(1 - CUSTOS!$M$38)</f>
        <v>44.368288542390516</v>
      </c>
      <c r="R44" s="31">
        <f>('TUSD BE'!$R$44+'TUSD BF'!$R$44+'TUSD CVA'!$R$44)*(1 - CUSTOS!$M$38)</f>
        <v>16.968725281336788</v>
      </c>
      <c r="S44" s="31">
        <f>('TUSD BE'!$S$44+'TUSD BF'!$S$44+'TUSD CVA'!$S$44)*(1 - CUSTOS!$M$38)</f>
        <v>0</v>
      </c>
      <c r="T44" s="31">
        <f>('TUSD BE'!$U$44+'TUSD BF'!$U$44+'TUSD CVA'!$U$44)*(1 - CUSTOS!$M$38)</f>
        <v>108.69442299546404</v>
      </c>
      <c r="U44" s="31">
        <f>('TUSD BE'!$V$44+'TUSD BF'!$V$44+'TUSD CVA'!$V$44)*(1 - CUSTOS!$M$38)</f>
        <v>33.541656215147036</v>
      </c>
      <c r="V44" s="31">
        <f>('TUSD BE'!$W$44+'TUSD BF'!$W$44+'TUSD CVA'!$W$44)*(1 - CUSTOS!$M$38)</f>
        <v>5.1452120840953199</v>
      </c>
      <c r="W44" s="31">
        <f>('TUSD BE'!$X$44+'TUSD BF'!$X$44+'TUSD CVA'!$X$44)*(1 - CUSTOS!$M$38)</f>
        <v>0.29927429846927051</v>
      </c>
      <c r="X44" s="31">
        <f>('TUSD BE'!$Y$44+'TUSD BF'!$Y$44+'TUSD CVA'!$Y$44)*(1 - CUSTOS!$M$38)</f>
        <v>6.2887771083833153</v>
      </c>
      <c r="Y44" s="31">
        <f>('TUSD BE'!$Z$44+'TUSD BF'!$Z$44+'TUSD CVA'!$Z$44)*(1 - CUSTOS!$M$38)</f>
        <v>0</v>
      </c>
      <c r="Z44" s="31">
        <f>('TUSD BE'!$AA$44+'TUSD BF'!$AA$44+'TUSD CVA'!$AA$44)*(1 - CUSTOS!$M$38)</f>
        <v>0</v>
      </c>
      <c r="AA44" s="31">
        <f>('TUSD BE'!$AC$44+'TUSD BF'!$AC$44+'TUSD CVA'!$AC$44)*(1 - CUSTOS!$M$38)</f>
        <v>715.59681100298644</v>
      </c>
      <c r="AB44" s="31">
        <f ca="1">('TUSD BE'!$AE$44+'TUSD BF'!$AE$44+'TUSD CVA'!$AE$44)*(1 - CUSTOS!$M$38)</f>
        <v>-88.375879797485283</v>
      </c>
      <c r="AC44" s="31">
        <f ca="1">('TUSD BE'!$AF$44+'TUSD BF'!$AF$44+'TUSD CVA'!$AF$44)*(1 - CUSTOS!$M$38)</f>
        <v>0</v>
      </c>
      <c r="AD44" s="31">
        <f>('TUSD BE'!$AH$44+'TUSD BF'!$AH$44+'TUSD CVA'!$AH$44)*(1 - CUSTOS!$M$38)</f>
        <v>28.333678569035321</v>
      </c>
      <c r="AE44" s="31">
        <f>('TUSD BE'!$AI$44+'TUSD BF'!$AI$44+'TUSD CVA'!$AI$44)*(1 - CUSTOS!$M$38)</f>
        <v>0.85883934109866233</v>
      </c>
      <c r="AF44" s="31">
        <f ca="1">('TUSD BE'!$AJ$44+'TUSD BF'!$AJ$44+'TUSD CVA'!$AJ$44)*(1 - CUSTOS!$M$38)</f>
        <v>9.5952399080123794</v>
      </c>
      <c r="AG44" s="31">
        <f ca="1">('TUSD BE'!$AK$44+'TUSD BF'!$AK$44+'TUSD CVA'!$AK$44)*(1 - CUSTOS!$M$38)</f>
        <v>0</v>
      </c>
      <c r="AI44" s="31">
        <v>3.5445758715184201</v>
      </c>
      <c r="AJ44" s="31">
        <v>0.64187717307090497</v>
      </c>
      <c r="AK44" s="31">
        <v>8.8482353380477807</v>
      </c>
      <c r="AL44" s="31">
        <v>1.6377631462940301E-2</v>
      </c>
      <c r="AM44" s="31">
        <v>0</v>
      </c>
      <c r="AN44" s="31">
        <v>24.534377272769699</v>
      </c>
      <c r="AO44" s="31">
        <v>8.8760021016569102</v>
      </c>
      <c r="AP44" s="31">
        <v>0</v>
      </c>
      <c r="AQ44" s="31">
        <v>84.5781602368574</v>
      </c>
      <c r="AR44" s="31">
        <v>36.137325295504098</v>
      </c>
      <c r="AS44" s="31">
        <v>7.9747215618623297</v>
      </c>
      <c r="AT44" s="31">
        <v>0</v>
      </c>
      <c r="AU44" s="31">
        <v>6.7979672744082604</v>
      </c>
      <c r="AV44" s="31">
        <v>0</v>
      </c>
      <c r="AW44" s="31">
        <v>0</v>
      </c>
      <c r="AX44" s="31">
        <v>610.26795828966704</v>
      </c>
      <c r="AY44" s="31">
        <v>-8.4442851468173306</v>
      </c>
      <c r="AZ44" s="31">
        <v>0</v>
      </c>
      <c r="BA44" s="31">
        <v>29.100644000613698</v>
      </c>
      <c r="BB44" s="31">
        <v>0.72997691199186299</v>
      </c>
      <c r="BC44" s="31">
        <v>10.010505820793201</v>
      </c>
      <c r="BD44" s="31">
        <v>0</v>
      </c>
    </row>
    <row r="45" spans="1:56" ht="11.25" customHeight="1" x14ac:dyDescent="0.25">
      <c r="A45" s="97"/>
      <c r="B45" s="97"/>
      <c r="C45" s="97"/>
      <c r="D45" s="97"/>
      <c r="E45" s="97"/>
      <c r="F45" s="97"/>
      <c r="G45" s="38" t="s">
        <v>113</v>
      </c>
      <c r="H45" s="38" t="s">
        <v>102</v>
      </c>
      <c r="I45" s="38">
        <f>'MERCADO TUSD'!$U$42</f>
        <v>4.2359999999999989</v>
      </c>
      <c r="J45" s="15"/>
      <c r="L45" s="31">
        <f>('TUSD BE'!$L$45+'TUSD BF'!$L$45+'TUSD CVA'!$L$45)*(1 - CUSTOS!$M$38)</f>
        <v>4.0053418854668061</v>
      </c>
      <c r="M45" s="31">
        <f>('TUSD BE'!$M$45+'TUSD BF'!$M$45+'TUSD CVA'!$M$45)*(1 - CUSTOS!$M$38)</f>
        <v>0.7738862956684609</v>
      </c>
      <c r="N45" s="31">
        <f ca="1">('TUSD BE'!$N$45+'TUSD BF'!$N$45+'TUSD CVA'!$N$45)*(1 - CUSTOS!$M$38)</f>
        <v>5.7361055777542802</v>
      </c>
      <c r="O45" s="31">
        <f>('TUSD BE'!$O$45+'TUSD BF'!$O$45+'TUSD CVA'!$O$45)*(1 - CUSTOS!$M$38)</f>
        <v>1.7604493878086193E-2</v>
      </c>
      <c r="P45" s="31">
        <f>('TUSD BE'!$P$45+'TUSD BF'!$P$45+'TUSD CVA'!$P$45)*(1 - CUSTOS!$M$38)</f>
        <v>0</v>
      </c>
      <c r="Q45" s="31">
        <f>('TUSD BE'!$Q$45+'TUSD BF'!$Q$45+'TUSD CVA'!$Q$45)*(1 - CUSTOS!$M$38)</f>
        <v>44.368288542390516</v>
      </c>
      <c r="R45" s="31">
        <f>('TUSD BE'!$R$45+'TUSD BF'!$R$45+'TUSD CVA'!$R$45)*(1 - CUSTOS!$M$38)</f>
        <v>16.968725281336788</v>
      </c>
      <c r="S45" s="31">
        <f>('TUSD BE'!$S$45+'TUSD BF'!$S$45+'TUSD CVA'!$S$45)*(1 - CUSTOS!$M$38)</f>
        <v>0</v>
      </c>
      <c r="T45" s="31">
        <f>('TUSD BE'!$U$45+'TUSD BF'!$U$45+'TUSD CVA'!$U$45)*(1 - CUSTOS!$M$38)</f>
        <v>65.216702721486143</v>
      </c>
      <c r="U45" s="31">
        <f>('TUSD BE'!$V$45+'TUSD BF'!$V$45+'TUSD CVA'!$V$45)*(1 - CUSTOS!$M$38)</f>
        <v>20.125069363074967</v>
      </c>
      <c r="V45" s="31">
        <f>('TUSD BE'!$W$45+'TUSD BF'!$W$45+'TUSD CVA'!$W$45)*(1 - CUSTOS!$M$38)</f>
        <v>3.0871387903001581</v>
      </c>
      <c r="W45" s="31">
        <f>('TUSD BE'!$X$45+'TUSD BF'!$X$45+'TUSD CVA'!$X$45)*(1 - CUSTOS!$M$38)</f>
        <v>0.17962124193390738</v>
      </c>
      <c r="X45" s="31">
        <f>('TUSD BE'!$Y$45+'TUSD BF'!$Y$45+'TUSD CVA'!$Y$45)*(1 - CUSTOS!$M$38)</f>
        <v>3.7732662650299886</v>
      </c>
      <c r="Y45" s="31">
        <f>('TUSD BE'!$Z$45+'TUSD BF'!$Z$45+'TUSD CVA'!$Z$45)*(1 - CUSTOS!$M$38)</f>
        <v>0</v>
      </c>
      <c r="Z45" s="31">
        <f>('TUSD BE'!$AA$45+'TUSD BF'!$AA$45+'TUSD CVA'!$AA$45)*(1 - CUSTOS!$M$38)</f>
        <v>0</v>
      </c>
      <c r="AA45" s="31">
        <f>('TUSD BE'!$AC$45+'TUSD BF'!$AC$45+'TUSD CVA'!$AC$45)*(1 - CUSTOS!$M$38)</f>
        <v>429.3580654634564</v>
      </c>
      <c r="AB45" s="31">
        <f ca="1">('TUSD BE'!$AE$45+'TUSD BF'!$AE$45+'TUSD CVA'!$AE$45)*(1 - CUSTOS!$M$38)</f>
        <v>-56.547896056984264</v>
      </c>
      <c r="AC45" s="31">
        <f ca="1">('TUSD BE'!$AF$45+'TUSD BF'!$AF$45+'TUSD CVA'!$AF$45)*(1 - CUSTOS!$M$38)</f>
        <v>0</v>
      </c>
      <c r="AD45" s="31">
        <f>('TUSD BE'!$AH$45+'TUSD BF'!$AH$45+'TUSD CVA'!$AH$45)*(1 - CUSTOS!$M$38)</f>
        <v>28.333678569035321</v>
      </c>
      <c r="AE45" s="31">
        <f>('TUSD BE'!$AI$45+'TUSD BF'!$AI$45+'TUSD CVA'!$AI$45)*(1 - CUSTOS!$M$38)</f>
        <v>0.85883934109866233</v>
      </c>
      <c r="AF45" s="31">
        <f ca="1">('TUSD BE'!$AJ$45+'TUSD BF'!$AJ$45+'TUSD CVA'!$AJ$45)*(1 - CUSTOS!$M$38)</f>
        <v>9.5952399080123794</v>
      </c>
      <c r="AG45" s="31">
        <f ca="1">('TUSD BE'!$AK$45+'TUSD BF'!$AK$45+'TUSD CVA'!$AK$45)*(1 - CUSTOS!$M$38)</f>
        <v>0</v>
      </c>
      <c r="AI45" s="31">
        <v>3.5445758715184201</v>
      </c>
      <c r="AJ45" s="31">
        <v>0.64187717307090497</v>
      </c>
      <c r="AK45" s="31">
        <v>5.6360809167115802</v>
      </c>
      <c r="AL45" s="31">
        <v>1.6377631462940301E-2</v>
      </c>
      <c r="AM45" s="31">
        <v>0</v>
      </c>
      <c r="AN45" s="31">
        <v>24.534377272769699</v>
      </c>
      <c r="AO45" s="31">
        <v>8.8760021016569102</v>
      </c>
      <c r="AP45" s="31">
        <v>0</v>
      </c>
      <c r="AQ45" s="31">
        <v>50.746934211404103</v>
      </c>
      <c r="AR45" s="31">
        <v>21.6824766643335</v>
      </c>
      <c r="AS45" s="31">
        <v>4.7848508230729303</v>
      </c>
      <c r="AT45" s="31">
        <v>0</v>
      </c>
      <c r="AU45" s="31">
        <v>4.0787803646449499</v>
      </c>
      <c r="AV45" s="31">
        <v>0</v>
      </c>
      <c r="AW45" s="31">
        <v>0</v>
      </c>
      <c r="AX45" s="31">
        <v>366.16075694682098</v>
      </c>
      <c r="AY45" s="31">
        <v>-5.3546480827099803</v>
      </c>
      <c r="AZ45" s="31">
        <v>0</v>
      </c>
      <c r="BA45" s="31">
        <v>29.100644000613698</v>
      </c>
      <c r="BB45" s="31">
        <v>0.72997691199186299</v>
      </c>
      <c r="BC45" s="31">
        <v>10.010505820793201</v>
      </c>
      <c r="BD45" s="31">
        <v>0</v>
      </c>
    </row>
    <row r="46" spans="1:56" ht="11.25" customHeight="1" x14ac:dyDescent="0.25">
      <c r="A46" s="97"/>
      <c r="B46" s="97"/>
      <c r="C46" s="97"/>
      <c r="D46" s="97"/>
      <c r="E46" s="97"/>
      <c r="F46" s="97"/>
      <c r="G46" s="38" t="s">
        <v>104</v>
      </c>
      <c r="H46" s="38" t="s">
        <v>102</v>
      </c>
      <c r="I46" s="38">
        <f>'MERCADO TUSD'!$U$43</f>
        <v>105.83499999999999</v>
      </c>
      <c r="J46" s="15"/>
      <c r="L46" s="31">
        <f>('TUSD BE'!$L$46+'TUSD BF'!$L$46+'TUSD CVA'!$L$46)*(1 - CUSTOS!$M$38)</f>
        <v>4.0053418854668061</v>
      </c>
      <c r="M46" s="31">
        <f>('TUSD BE'!$M$46+'TUSD BF'!$M$46+'TUSD CVA'!$M$46)*(1 - CUSTOS!$M$38)</f>
        <v>0.7738862956684609</v>
      </c>
      <c r="N46" s="31">
        <f ca="1">('TUSD BE'!$N$46+'TUSD BF'!$N$46+'TUSD CVA'!$N$46)*(1 - CUSTOS!$M$38)</f>
        <v>2.4746619878789358</v>
      </c>
      <c r="O46" s="31">
        <f>('TUSD BE'!$O$46+'TUSD BF'!$O$46+'TUSD CVA'!$O$46)*(1 - CUSTOS!$M$38)</f>
        <v>1.7604493878086193E-2</v>
      </c>
      <c r="P46" s="31">
        <f>('TUSD BE'!$P$46+'TUSD BF'!$P$46+'TUSD CVA'!$P$46)*(1 - CUSTOS!$M$38)</f>
        <v>0</v>
      </c>
      <c r="Q46" s="31">
        <f>('TUSD BE'!$Q$46+'TUSD BF'!$Q$46+'TUSD CVA'!$Q$46)*(1 - CUSTOS!$M$38)</f>
        <v>44.368288542390516</v>
      </c>
      <c r="R46" s="31">
        <f>('TUSD BE'!$R$46+'TUSD BF'!$R$46+'TUSD CVA'!$R$46)*(1 - CUSTOS!$M$38)</f>
        <v>16.968725281336788</v>
      </c>
      <c r="S46" s="31">
        <f>('TUSD BE'!$S$46+'TUSD BF'!$S$46+'TUSD CVA'!$S$46)*(1 - CUSTOS!$M$38)</f>
        <v>0</v>
      </c>
      <c r="T46" s="31">
        <f>('TUSD BE'!$U$46+'TUSD BF'!$U$46+'TUSD CVA'!$U$46)*(1 - CUSTOS!$M$38)</f>
        <v>21.738860136988961</v>
      </c>
      <c r="U46" s="31">
        <f>('TUSD BE'!$V$46+'TUSD BF'!$V$46+'TUSD CVA'!$V$46)*(1 - CUSTOS!$M$38)</f>
        <v>6.7083564543583218</v>
      </c>
      <c r="V46" s="31">
        <f>('TUSD BE'!$W$46+'TUSD BF'!$W$46+'TUSD CVA'!$W$46)*(1 - CUSTOS!$M$38)</f>
        <v>1.0290654965049963</v>
      </c>
      <c r="W46" s="31">
        <f>('TUSD BE'!$X$46+'TUSD BF'!$X$46+'TUSD CVA'!$X$46)*(1 - CUSTOS!$M$38)</f>
        <v>5.9873747311302461E-2</v>
      </c>
      <c r="X46" s="31">
        <f>('TUSD BE'!$Y$46+'TUSD BF'!$Y$46+'TUSD CVA'!$Y$46)*(1 - CUSTOS!$M$38)</f>
        <v>1.2577554216766631</v>
      </c>
      <c r="Y46" s="31">
        <f>('TUSD BE'!$Z$46+'TUSD BF'!$Z$46+'TUSD CVA'!$Z$46)*(1 - CUSTOS!$M$38)</f>
        <v>0</v>
      </c>
      <c r="Z46" s="31">
        <f>('TUSD BE'!$AA$46+'TUSD BF'!$AA$46+'TUSD CVA'!$AA$46)*(1 - CUSTOS!$M$38)</f>
        <v>0</v>
      </c>
      <c r="AA46" s="31">
        <f>('TUSD BE'!$AC$46+'TUSD BF'!$AC$46+'TUSD CVA'!$AC$46)*(1 - CUSTOS!$M$38)</f>
        <v>143.11931992392633</v>
      </c>
      <c r="AB46" s="31">
        <f ca="1">('TUSD BE'!$AE$46+'TUSD BF'!$AE$46+'TUSD CVA'!$AE$46)*(1 - CUSTOS!$M$38)</f>
        <v>-24.719881828249871</v>
      </c>
      <c r="AC46" s="31">
        <f ca="1">('TUSD BE'!$AF$46+'TUSD BF'!$AF$46+'TUSD CVA'!$AF$46)*(1 - CUSTOS!$M$38)</f>
        <v>0</v>
      </c>
      <c r="AD46" s="31">
        <f>('TUSD BE'!$AH$46+'TUSD BF'!$AH$46+'TUSD CVA'!$AH$46)*(1 - CUSTOS!$M$38)</f>
        <v>28.333678569035321</v>
      </c>
      <c r="AE46" s="31">
        <f>('TUSD BE'!$AI$46+'TUSD BF'!$AI$46+'TUSD CVA'!$AI$46)*(1 - CUSTOS!$M$38)</f>
        <v>0.85883934109866233</v>
      </c>
      <c r="AF46" s="31">
        <f ca="1">('TUSD BE'!$AJ$46+'TUSD BF'!$AJ$46+'TUSD CVA'!$AJ$46)*(1 - CUSTOS!$M$38)</f>
        <v>9.5952399080123794</v>
      </c>
      <c r="AG46" s="31">
        <f ca="1">('TUSD BE'!$AK$46+'TUSD BF'!$AK$46+'TUSD CVA'!$AK$46)*(1 - CUSTOS!$M$38)</f>
        <v>0</v>
      </c>
      <c r="AI46" s="31">
        <v>3.5445758715184201</v>
      </c>
      <c r="AJ46" s="31">
        <v>0.64187717307090497</v>
      </c>
      <c r="AK46" s="31">
        <v>2.4239245087053298</v>
      </c>
      <c r="AL46" s="31">
        <v>1.6377631462940301E-2</v>
      </c>
      <c r="AM46" s="31">
        <v>0</v>
      </c>
      <c r="AN46" s="31">
        <v>24.534377272769699</v>
      </c>
      <c r="AO46" s="31">
        <v>8.8760021016569102</v>
      </c>
      <c r="AP46" s="31">
        <v>0</v>
      </c>
      <c r="AQ46" s="31">
        <v>16.915613012726599</v>
      </c>
      <c r="AR46" s="31">
        <v>7.2274922214445096</v>
      </c>
      <c r="AS46" s="31">
        <v>1.59498008428352</v>
      </c>
      <c r="AT46" s="31">
        <v>0</v>
      </c>
      <c r="AU46" s="31">
        <v>1.35959345488165</v>
      </c>
      <c r="AV46" s="31">
        <v>0</v>
      </c>
      <c r="AW46" s="31">
        <v>0</v>
      </c>
      <c r="AX46" s="31">
        <v>122.053555603975</v>
      </c>
      <c r="AY46" s="31">
        <v>-2.26500885442884</v>
      </c>
      <c r="AZ46" s="31">
        <v>0</v>
      </c>
      <c r="BA46" s="31">
        <v>29.100644000613698</v>
      </c>
      <c r="BB46" s="31">
        <v>0.72997691199186299</v>
      </c>
      <c r="BC46" s="31">
        <v>10.010505820793201</v>
      </c>
      <c r="BD46" s="31">
        <v>0</v>
      </c>
    </row>
    <row r="47" spans="1:56" ht="11.25" customHeight="1" x14ac:dyDescent="0.25">
      <c r="A47" s="97"/>
      <c r="B47" s="37" t="s">
        <v>23</v>
      </c>
      <c r="C47" s="37" t="s">
        <v>45</v>
      </c>
      <c r="D47" s="37" t="s">
        <v>25</v>
      </c>
      <c r="E47" s="37" t="s">
        <v>25</v>
      </c>
      <c r="F47" s="37" t="s">
        <v>25</v>
      </c>
      <c r="G47" s="38" t="s">
        <v>108</v>
      </c>
      <c r="H47" s="38" t="s">
        <v>102</v>
      </c>
      <c r="I47" s="38">
        <f>'MERCADO TUSD'!$U$44</f>
        <v>251732.52099999998</v>
      </c>
      <c r="J47" s="15"/>
      <c r="L47" s="31">
        <f>('TUSD BE'!$L$47+'TUSD BF'!$L$47+'TUSD CVA'!$L$47)*(1 - CUSTOS!$M$38)</f>
        <v>4.0053418854668061</v>
      </c>
      <c r="M47" s="31">
        <f>('TUSD BE'!$M$47+'TUSD BF'!$M$47+'TUSD CVA'!$M$47)*(1 - CUSTOS!$M$38)</f>
        <v>0.7738862956684609</v>
      </c>
      <c r="N47" s="31">
        <f ca="1">('TUSD BE'!$N$47+'TUSD BF'!$N$47+'TUSD CVA'!$N$47)*(1 - CUSTOS!$M$38)</f>
        <v>3.2778538839945344</v>
      </c>
      <c r="O47" s="31">
        <f>('TUSD BE'!$O$47+'TUSD BF'!$O$47+'TUSD CVA'!$O$47)*(1 - CUSTOS!$M$38)</f>
        <v>1.7604493878086193E-2</v>
      </c>
      <c r="P47" s="31">
        <f>('TUSD BE'!$P$47+'TUSD BF'!$P$47+'TUSD CVA'!$P$47)*(1 - CUSTOS!$M$38)</f>
        <v>0</v>
      </c>
      <c r="Q47" s="31">
        <f>('TUSD BE'!$Q$47+'TUSD BF'!$Q$47+'TUSD CVA'!$Q$47)*(1 - CUSTOS!$M$38)</f>
        <v>44.368288542390516</v>
      </c>
      <c r="R47" s="31">
        <f>('TUSD BE'!$R$47+'TUSD BF'!$R$47+'TUSD CVA'!$R$47)*(1 - CUSTOS!$M$38)</f>
        <v>16.968725281336788</v>
      </c>
      <c r="S47" s="31">
        <f>('TUSD BE'!$S$47+'TUSD BF'!$S$47+'TUSD CVA'!$S$47)*(1 - CUSTOS!$M$38)</f>
        <v>0</v>
      </c>
      <c r="T47" s="31">
        <f>('TUSD BE'!$U$47+'TUSD BF'!$U$47+'TUSD CVA'!$U$47)*(1 - CUSTOS!$M$38)</f>
        <v>32.446167612231811</v>
      </c>
      <c r="U47" s="31">
        <f>('TUSD BE'!$V$47+'TUSD BF'!$V$47+'TUSD CVA'!$V$47)*(1 - CUSTOS!$M$38)</f>
        <v>10.012427165318842</v>
      </c>
      <c r="V47" s="31">
        <f>('TUSD BE'!$W$47+'TUSD BF'!$W$47+'TUSD CVA'!$W$47)*(1 - CUSTOS!$M$38)</f>
        <v>1.5358953995776004</v>
      </c>
      <c r="W47" s="31">
        <f>('TUSD BE'!$X$47+'TUSD BF'!$X$47+'TUSD CVA'!$X$47)*(1 - CUSTOS!$M$38)</f>
        <v>8.9338430530744681E-2</v>
      </c>
      <c r="X47" s="31">
        <f>('TUSD BE'!$Y$47+'TUSD BF'!$Y$47+'TUSD CVA'!$Y$47)*(1 - CUSTOS!$M$38)</f>
        <v>1.8772536284382431</v>
      </c>
      <c r="Y47" s="31">
        <f>('TUSD BE'!$Z$47+'TUSD BF'!$Z$47+'TUSD CVA'!$Z$47)*(1 - CUSTOS!$M$38)</f>
        <v>0</v>
      </c>
      <c r="Z47" s="31">
        <f>('TUSD BE'!$AA$47+'TUSD BF'!$AA$47+'TUSD CVA'!$AA$47)*(1 - CUSTOS!$M$38)</f>
        <v>0</v>
      </c>
      <c r="AA47" s="31">
        <f>('TUSD BE'!$AC$47+'TUSD BF'!$AC$47+'TUSD CVA'!$AC$47)*(1 - CUSTOS!$M$38)</f>
        <v>213.61101833136718</v>
      </c>
      <c r="AB47" s="31">
        <f ca="1">('TUSD BE'!$AE$47+'TUSD BF'!$AE$47+'TUSD CVA'!$AE$47)*(1 - CUSTOS!$M$38)</f>
        <v>-32.558130606063187</v>
      </c>
      <c r="AC47" s="31">
        <f ca="1">('TUSD BE'!$AF$47+'TUSD BF'!$AF$47+'TUSD CVA'!$AF$47)*(1 - CUSTOS!$M$38)</f>
        <v>0</v>
      </c>
      <c r="AD47" s="31">
        <f>('TUSD BE'!$AH$47+'TUSD BF'!$AH$47+'TUSD CVA'!$AH$47)*(1 - CUSTOS!$M$38)</f>
        <v>28.333678569035321</v>
      </c>
      <c r="AE47" s="31">
        <f>('TUSD BE'!$AI$47+'TUSD BF'!$AI$47+'TUSD CVA'!$AI$47)*(1 - CUSTOS!$M$38)</f>
        <v>0.85883934109866233</v>
      </c>
      <c r="AF47" s="31">
        <f ca="1">('TUSD BE'!$AJ$47+'TUSD BF'!$AJ$47+'TUSD CVA'!$AJ$47)*(1 - CUSTOS!$M$38)</f>
        <v>9.5952399080123794</v>
      </c>
      <c r="AG47" s="31">
        <f ca="1">('TUSD BE'!$AK$47+'TUSD BF'!$AK$47+'TUSD CVA'!$AK$47)*(1 - CUSTOS!$M$38)</f>
        <v>0</v>
      </c>
      <c r="AI47" s="31">
        <v>3.5445758715184201</v>
      </c>
      <c r="AJ47" s="31">
        <v>0.64187717307090497</v>
      </c>
      <c r="AK47" s="31">
        <v>3.2149787753052901</v>
      </c>
      <c r="AL47" s="31">
        <v>1.6377631462940301E-2</v>
      </c>
      <c r="AM47" s="31">
        <v>0</v>
      </c>
      <c r="AN47" s="31">
        <v>24.534377272769699</v>
      </c>
      <c r="AO47" s="31">
        <v>8.8760021016569102</v>
      </c>
      <c r="AP47" s="31">
        <v>0</v>
      </c>
      <c r="AQ47" s="31">
        <v>25.247267410341699</v>
      </c>
      <c r="AR47" s="31">
        <v>10.7872531740777</v>
      </c>
      <c r="AS47" s="31">
        <v>2.3805312511097898</v>
      </c>
      <c r="AT47" s="31">
        <v>0</v>
      </c>
      <c r="AU47" s="31">
        <v>2.0292512378718999</v>
      </c>
      <c r="AV47" s="31">
        <v>0</v>
      </c>
      <c r="AW47" s="31">
        <v>0</v>
      </c>
      <c r="AX47" s="31">
        <v>182.16956534860199</v>
      </c>
      <c r="AY47" s="31">
        <v>-3.02589084679569</v>
      </c>
      <c r="AZ47" s="31">
        <v>0</v>
      </c>
      <c r="BA47" s="31">
        <v>29.100644000613698</v>
      </c>
      <c r="BB47" s="31">
        <v>0.72997691199186299</v>
      </c>
      <c r="BC47" s="31">
        <v>10.010505820793201</v>
      </c>
      <c r="BD47" s="31">
        <v>0</v>
      </c>
    </row>
    <row r="48" spans="1:56" ht="11.25" customHeight="1" x14ac:dyDescent="0.25">
      <c r="A48" s="97"/>
      <c r="B48" s="97" t="s">
        <v>33</v>
      </c>
      <c r="C48" s="97" t="s">
        <v>45</v>
      </c>
      <c r="D48" s="97" t="s">
        <v>116</v>
      </c>
      <c r="E48" s="97" t="s">
        <v>25</v>
      </c>
      <c r="F48" s="97" t="s">
        <v>25</v>
      </c>
      <c r="G48" s="38" t="s">
        <v>103</v>
      </c>
      <c r="H48" s="38" t="s">
        <v>102</v>
      </c>
      <c r="I48" s="38">
        <f>'MERCADO TUSD'!$U$45</f>
        <v>0</v>
      </c>
      <c r="J48" s="15"/>
      <c r="L48" s="31">
        <f>('TUSD BE'!$L$48+'TUSD BF'!$L$48+'TUSD CVA'!$L$48)*(1 - CUSTOS!$M$39)</f>
        <v>4.0053418854668061</v>
      </c>
      <c r="M48" s="31">
        <f>('TUSD BE'!$M$48+'TUSD BF'!$M$48+'TUSD CVA'!$M$48)*(1 - CUSTOS!$M$39)</f>
        <v>0.7738862956684609</v>
      </c>
      <c r="N48" s="31">
        <f ca="1">('TUSD BE'!$N$48+'TUSD BF'!$N$48+'TUSD CVA'!$N$48)*(1 - CUSTOS!$M$39)</f>
        <v>8.9975461430854722</v>
      </c>
      <c r="O48" s="31">
        <f>('TUSD BE'!$O$48+'TUSD BF'!$O$48+'TUSD CVA'!$O$48)*(1 - CUSTOS!$M$39)</f>
        <v>1.7604493878086193E-2</v>
      </c>
      <c r="P48" s="31">
        <f>('TUSD BE'!$P$48+'TUSD BF'!$P$48+'TUSD CVA'!$P$48)*(1 - CUSTOS!$M$39)</f>
        <v>0</v>
      </c>
      <c r="Q48" s="31">
        <f>('TUSD BE'!$Q$48+'TUSD BF'!$Q$48+'TUSD CVA'!$Q$48)*(1 - CUSTOS!$M$39)</f>
        <v>44.368288542390516</v>
      </c>
      <c r="R48" s="31">
        <f>('TUSD BE'!$R$48+'TUSD BF'!$R$48+'TUSD CVA'!$R$48)*(1 - CUSTOS!$M$39)</f>
        <v>16.968725281336788</v>
      </c>
      <c r="S48" s="31">
        <f>('TUSD BE'!$S$48+'TUSD BF'!$S$48+'TUSD CVA'!$S$48)*(1 - CUSTOS!$M$39)</f>
        <v>0</v>
      </c>
      <c r="T48" s="31">
        <f>('TUSD BE'!$U$48+'TUSD BF'!$U$48+'TUSD CVA'!$U$48)*(1 - CUSTOS!$M$39)</f>
        <v>108.69442299546404</v>
      </c>
      <c r="U48" s="31">
        <f>('TUSD BE'!$V$48+'TUSD BF'!$V$48+'TUSD CVA'!$V$48)*(1 - CUSTOS!$M$39)</f>
        <v>33.541656215147036</v>
      </c>
      <c r="V48" s="31">
        <f>('TUSD BE'!$W$48+'TUSD BF'!$W$48+'TUSD CVA'!$W$48)*(1 - CUSTOS!$M$39)</f>
        <v>5.1452120840953199</v>
      </c>
      <c r="W48" s="31">
        <f>('TUSD BE'!$X$48+'TUSD BF'!$X$48+'TUSD CVA'!$X$48)*(1 - CUSTOS!$M$39)</f>
        <v>0.29927429846927051</v>
      </c>
      <c r="X48" s="31">
        <f>('TUSD BE'!$Y$48+'TUSD BF'!$Y$48+'TUSD CVA'!$Y$48)*(1 - CUSTOS!$M$39)</f>
        <v>6.2887771083833153</v>
      </c>
      <c r="Y48" s="31">
        <f>('TUSD BE'!$Z$48+'TUSD BF'!$Z$48+'TUSD CVA'!$Z$48)*(1 - CUSTOS!$M$39)</f>
        <v>0</v>
      </c>
      <c r="Z48" s="31">
        <f>('TUSD BE'!$AA$48+'TUSD BF'!$AA$48+'TUSD CVA'!$AA$48)*(1 - CUSTOS!$M$39)</f>
        <v>0</v>
      </c>
      <c r="AA48" s="31">
        <f>('TUSD BE'!$AC$48+'TUSD BF'!$AC$48+'TUSD CVA'!$AC$48)*(1 - CUSTOS!$M$39)</f>
        <v>715.59681100298644</v>
      </c>
      <c r="AB48" s="31">
        <f ca="1">('TUSD BE'!$AE$48+'TUSD BF'!$AE$48+'TUSD CVA'!$AE$48)*(1 - CUSTOS!$M$39)</f>
        <v>-88.375879797485283</v>
      </c>
      <c r="AC48" s="31">
        <f ca="1">('TUSD BE'!$AF$48+'TUSD BF'!$AF$48+'TUSD CVA'!$AF$48)*(1 - CUSTOS!$M$39)</f>
        <v>0</v>
      </c>
      <c r="AD48" s="31">
        <f>('TUSD BE'!$AH$48+'TUSD BF'!$AH$48+'TUSD CVA'!$AH$48)*(1 - CUSTOS!$M$39)</f>
        <v>28.333678569035321</v>
      </c>
      <c r="AE48" s="31">
        <f>('TUSD BE'!$AI$48+'TUSD BF'!$AI$48+'TUSD CVA'!$AI$48)*(1 - CUSTOS!$M$39)</f>
        <v>0.85883934109866233</v>
      </c>
      <c r="AF48" s="31">
        <f ca="1">('TUSD BE'!$AJ$48+'TUSD BF'!$AJ$48+'TUSD CVA'!$AJ$48)*(1 - CUSTOS!$M$39)</f>
        <v>9.5952399080123794</v>
      </c>
      <c r="AG48" s="31">
        <f ca="1">('TUSD BE'!$AK$48+'TUSD BF'!$AK$48+'TUSD CVA'!$AK$48)*(1 - CUSTOS!$M$39)</f>
        <v>0</v>
      </c>
      <c r="AI48" s="31">
        <v>3.5445758715184201</v>
      </c>
      <c r="AJ48" s="31">
        <v>0.64187717307090497</v>
      </c>
      <c r="AK48" s="31">
        <v>8.8482353380477807</v>
      </c>
      <c r="AL48" s="31">
        <v>1.6377631462940301E-2</v>
      </c>
      <c r="AM48" s="31">
        <v>0</v>
      </c>
      <c r="AN48" s="31">
        <v>24.534377272769699</v>
      </c>
      <c r="AO48" s="31">
        <v>8.8760021016569102</v>
      </c>
      <c r="AP48" s="31">
        <v>0</v>
      </c>
      <c r="AQ48" s="31">
        <v>84.5781602368574</v>
      </c>
      <c r="AR48" s="31">
        <v>36.137325295504098</v>
      </c>
      <c r="AS48" s="31">
        <v>7.9747215618623297</v>
      </c>
      <c r="AT48" s="31">
        <v>0</v>
      </c>
      <c r="AU48" s="31">
        <v>6.7979672744082604</v>
      </c>
      <c r="AV48" s="31">
        <v>0</v>
      </c>
      <c r="AW48" s="31">
        <v>0</v>
      </c>
      <c r="AX48" s="31">
        <v>610.26795828966704</v>
      </c>
      <c r="AY48" s="31">
        <v>-8.4442851468173306</v>
      </c>
      <c r="AZ48" s="31">
        <v>0</v>
      </c>
      <c r="BA48" s="31">
        <v>29.100644000613698</v>
      </c>
      <c r="BB48" s="31">
        <v>0.72997691199186299</v>
      </c>
      <c r="BC48" s="31">
        <v>10.010505820793201</v>
      </c>
      <c r="BD48" s="31">
        <v>0</v>
      </c>
    </row>
    <row r="49" spans="1:56" ht="11.25" customHeight="1" x14ac:dyDescent="0.25">
      <c r="A49" s="97"/>
      <c r="B49" s="97"/>
      <c r="C49" s="97"/>
      <c r="D49" s="97"/>
      <c r="E49" s="97"/>
      <c r="F49" s="97"/>
      <c r="G49" s="38" t="s">
        <v>113</v>
      </c>
      <c r="H49" s="38" t="s">
        <v>102</v>
      </c>
      <c r="I49" s="38">
        <f>'MERCADO TUSD'!$U$46</f>
        <v>0</v>
      </c>
      <c r="J49" s="15"/>
      <c r="L49" s="31">
        <f>('TUSD BE'!$L$49+'TUSD BF'!$L$49+'TUSD CVA'!$L$49)*(1 - CUSTOS!$M$39)</f>
        <v>4.0053418854668061</v>
      </c>
      <c r="M49" s="31">
        <f>('TUSD BE'!$M$49+'TUSD BF'!$M$49+'TUSD CVA'!$M$49)*(1 - CUSTOS!$M$39)</f>
        <v>0.7738862956684609</v>
      </c>
      <c r="N49" s="31">
        <f ca="1">('TUSD BE'!$N$49+'TUSD BF'!$N$49+'TUSD CVA'!$N$49)*(1 - CUSTOS!$M$39)</f>
        <v>5.7361055777542802</v>
      </c>
      <c r="O49" s="31">
        <f>('TUSD BE'!$O$49+'TUSD BF'!$O$49+'TUSD CVA'!$O$49)*(1 - CUSTOS!$M$39)</f>
        <v>1.7604493878086193E-2</v>
      </c>
      <c r="P49" s="31">
        <f>('TUSD BE'!$P$49+'TUSD BF'!$P$49+'TUSD CVA'!$P$49)*(1 - CUSTOS!$M$39)</f>
        <v>0</v>
      </c>
      <c r="Q49" s="31">
        <f>('TUSD BE'!$Q$49+'TUSD BF'!$Q$49+'TUSD CVA'!$Q$49)*(1 - CUSTOS!$M$39)</f>
        <v>44.368288542390516</v>
      </c>
      <c r="R49" s="31">
        <f>('TUSD BE'!$R$49+'TUSD BF'!$R$49+'TUSD CVA'!$R$49)*(1 - CUSTOS!$M$39)</f>
        <v>16.968725281336788</v>
      </c>
      <c r="S49" s="31">
        <f>('TUSD BE'!$S$49+'TUSD BF'!$S$49+'TUSD CVA'!$S$49)*(1 - CUSTOS!$M$39)</f>
        <v>0</v>
      </c>
      <c r="T49" s="31">
        <f>('TUSD BE'!$U$49+'TUSD BF'!$U$49+'TUSD CVA'!$U$49)*(1 - CUSTOS!$M$39)</f>
        <v>65.216702721486143</v>
      </c>
      <c r="U49" s="31">
        <f>('TUSD BE'!$V$49+'TUSD BF'!$V$49+'TUSD CVA'!$V$49)*(1 - CUSTOS!$M$39)</f>
        <v>20.125069363074967</v>
      </c>
      <c r="V49" s="31">
        <f>('TUSD BE'!$W$49+'TUSD BF'!$W$49+'TUSD CVA'!$W$49)*(1 - CUSTOS!$M$39)</f>
        <v>3.0871387903001581</v>
      </c>
      <c r="W49" s="31">
        <f>('TUSD BE'!$X$49+'TUSD BF'!$X$49+'TUSD CVA'!$X$49)*(1 - CUSTOS!$M$39)</f>
        <v>0.17962124193390738</v>
      </c>
      <c r="X49" s="31">
        <f>('TUSD BE'!$Y$49+'TUSD BF'!$Y$49+'TUSD CVA'!$Y$49)*(1 - CUSTOS!$M$39)</f>
        <v>3.7732662650299886</v>
      </c>
      <c r="Y49" s="31">
        <f>('TUSD BE'!$Z$49+'TUSD BF'!$Z$49+'TUSD CVA'!$Z$49)*(1 - CUSTOS!$M$39)</f>
        <v>0</v>
      </c>
      <c r="Z49" s="31">
        <f>('TUSD BE'!$AA$49+'TUSD BF'!$AA$49+'TUSD CVA'!$AA$49)*(1 - CUSTOS!$M$39)</f>
        <v>0</v>
      </c>
      <c r="AA49" s="31">
        <f>('TUSD BE'!$AC$49+'TUSD BF'!$AC$49+'TUSD CVA'!$AC$49)*(1 - CUSTOS!$M$39)</f>
        <v>429.3580654634564</v>
      </c>
      <c r="AB49" s="31">
        <f ca="1">('TUSD BE'!$AE$49+'TUSD BF'!$AE$49+'TUSD CVA'!$AE$49)*(1 - CUSTOS!$M$39)</f>
        <v>-56.547896056984264</v>
      </c>
      <c r="AC49" s="31">
        <f ca="1">('TUSD BE'!$AF$49+'TUSD BF'!$AF$49+'TUSD CVA'!$AF$49)*(1 - CUSTOS!$M$39)</f>
        <v>0</v>
      </c>
      <c r="AD49" s="31">
        <f>('TUSD BE'!$AH$49+'TUSD BF'!$AH$49+'TUSD CVA'!$AH$49)*(1 - CUSTOS!$M$39)</f>
        <v>28.333678569035321</v>
      </c>
      <c r="AE49" s="31">
        <f>('TUSD BE'!$AI$49+'TUSD BF'!$AI$49+'TUSD CVA'!$AI$49)*(1 - CUSTOS!$M$39)</f>
        <v>0.85883934109866233</v>
      </c>
      <c r="AF49" s="31">
        <f ca="1">('TUSD BE'!$AJ$49+'TUSD BF'!$AJ$49+'TUSD CVA'!$AJ$49)*(1 - CUSTOS!$M$39)</f>
        <v>9.5952399080123794</v>
      </c>
      <c r="AG49" s="31">
        <f ca="1">('TUSD BE'!$AK$49+'TUSD BF'!$AK$49+'TUSD CVA'!$AK$49)*(1 - CUSTOS!$M$39)</f>
        <v>0</v>
      </c>
      <c r="AI49" s="31">
        <v>3.5445758715184201</v>
      </c>
      <c r="AJ49" s="31">
        <v>0.64187717307090497</v>
      </c>
      <c r="AK49" s="31">
        <v>5.6360809167115802</v>
      </c>
      <c r="AL49" s="31">
        <v>1.6377631462940301E-2</v>
      </c>
      <c r="AM49" s="31">
        <v>0</v>
      </c>
      <c r="AN49" s="31">
        <v>24.534377272769699</v>
      </c>
      <c r="AO49" s="31">
        <v>8.8760021016569102</v>
      </c>
      <c r="AP49" s="31">
        <v>0</v>
      </c>
      <c r="AQ49" s="31">
        <v>50.746934211404103</v>
      </c>
      <c r="AR49" s="31">
        <v>21.6824766643335</v>
      </c>
      <c r="AS49" s="31">
        <v>4.7848508230729303</v>
      </c>
      <c r="AT49" s="31">
        <v>0</v>
      </c>
      <c r="AU49" s="31">
        <v>4.0787803646449499</v>
      </c>
      <c r="AV49" s="31">
        <v>0</v>
      </c>
      <c r="AW49" s="31">
        <v>0</v>
      </c>
      <c r="AX49" s="31">
        <v>366.16075694682098</v>
      </c>
      <c r="AY49" s="31">
        <v>-5.3546480827099803</v>
      </c>
      <c r="AZ49" s="31">
        <v>0</v>
      </c>
      <c r="BA49" s="31">
        <v>29.100644000613698</v>
      </c>
      <c r="BB49" s="31">
        <v>0.72997691199186299</v>
      </c>
      <c r="BC49" s="31">
        <v>10.010505820793201</v>
      </c>
      <c r="BD49" s="31">
        <v>0</v>
      </c>
    </row>
    <row r="50" spans="1:56" ht="11.25" customHeight="1" x14ac:dyDescent="0.25">
      <c r="A50" s="97"/>
      <c r="B50" s="97"/>
      <c r="C50" s="97"/>
      <c r="D50" s="97"/>
      <c r="E50" s="97"/>
      <c r="F50" s="97"/>
      <c r="G50" s="38" t="s">
        <v>104</v>
      </c>
      <c r="H50" s="38" t="s">
        <v>102</v>
      </c>
      <c r="I50" s="38">
        <f>'MERCADO TUSD'!$U$47</f>
        <v>0</v>
      </c>
      <c r="J50" s="15"/>
      <c r="L50" s="31">
        <f>('TUSD BE'!$L$50+'TUSD BF'!$L$50+'TUSD CVA'!$L$50)*(1 - CUSTOS!$M$39)</f>
        <v>4.0053418854668061</v>
      </c>
      <c r="M50" s="31">
        <f>('TUSD BE'!$M$50+'TUSD BF'!$M$50+'TUSD CVA'!$M$50)*(1 - CUSTOS!$M$39)</f>
        <v>0.7738862956684609</v>
      </c>
      <c r="N50" s="31">
        <f ca="1">('TUSD BE'!$N$50+'TUSD BF'!$N$50+'TUSD CVA'!$N$50)*(1 - CUSTOS!$M$39)</f>
        <v>2.4746619878789358</v>
      </c>
      <c r="O50" s="31">
        <f>('TUSD BE'!$O$50+'TUSD BF'!$O$50+'TUSD CVA'!$O$50)*(1 - CUSTOS!$M$39)</f>
        <v>1.7604493878086193E-2</v>
      </c>
      <c r="P50" s="31">
        <f>('TUSD BE'!$P$50+'TUSD BF'!$P$50+'TUSD CVA'!$P$50)*(1 - CUSTOS!$M$39)</f>
        <v>0</v>
      </c>
      <c r="Q50" s="31">
        <f>('TUSD BE'!$Q$50+'TUSD BF'!$Q$50+'TUSD CVA'!$Q$50)*(1 - CUSTOS!$M$39)</f>
        <v>44.368288542390516</v>
      </c>
      <c r="R50" s="31">
        <f>('TUSD BE'!$R$50+'TUSD BF'!$R$50+'TUSD CVA'!$R$50)*(1 - CUSTOS!$M$39)</f>
        <v>16.968725281336788</v>
      </c>
      <c r="S50" s="31">
        <f>('TUSD BE'!$S$50+'TUSD BF'!$S$50+'TUSD CVA'!$S$50)*(1 - CUSTOS!$M$39)</f>
        <v>0</v>
      </c>
      <c r="T50" s="31">
        <f>('TUSD BE'!$U$50+'TUSD BF'!$U$50+'TUSD CVA'!$U$50)*(1 - CUSTOS!$M$39)</f>
        <v>21.738860136988961</v>
      </c>
      <c r="U50" s="31">
        <f>('TUSD BE'!$V$50+'TUSD BF'!$V$50+'TUSD CVA'!$V$50)*(1 - CUSTOS!$M$39)</f>
        <v>6.7083564543583218</v>
      </c>
      <c r="V50" s="31">
        <f>('TUSD BE'!$W$50+'TUSD BF'!$W$50+'TUSD CVA'!$W$50)*(1 - CUSTOS!$M$39)</f>
        <v>1.0290654965049963</v>
      </c>
      <c r="W50" s="31">
        <f>('TUSD BE'!$X$50+'TUSD BF'!$X$50+'TUSD CVA'!$X$50)*(1 - CUSTOS!$M$39)</f>
        <v>5.9873747311302461E-2</v>
      </c>
      <c r="X50" s="31">
        <f>('TUSD BE'!$Y$50+'TUSD BF'!$Y$50+'TUSD CVA'!$Y$50)*(1 - CUSTOS!$M$39)</f>
        <v>1.2577554216766631</v>
      </c>
      <c r="Y50" s="31">
        <f>('TUSD BE'!$Z$50+'TUSD BF'!$Z$50+'TUSD CVA'!$Z$50)*(1 - CUSTOS!$M$39)</f>
        <v>0</v>
      </c>
      <c r="Z50" s="31">
        <f>('TUSD BE'!$AA$50+'TUSD BF'!$AA$50+'TUSD CVA'!$AA$50)*(1 - CUSTOS!$M$39)</f>
        <v>0</v>
      </c>
      <c r="AA50" s="31">
        <f>('TUSD BE'!$AC$50+'TUSD BF'!$AC$50+'TUSD CVA'!$AC$50)*(1 - CUSTOS!$M$39)</f>
        <v>143.11931992392633</v>
      </c>
      <c r="AB50" s="31">
        <f ca="1">('TUSD BE'!$AE$50+'TUSD BF'!$AE$50+'TUSD CVA'!$AE$50)*(1 - CUSTOS!$M$39)</f>
        <v>-24.719881828249871</v>
      </c>
      <c r="AC50" s="31">
        <f ca="1">('TUSD BE'!$AF$50+'TUSD BF'!$AF$50+'TUSD CVA'!$AF$50)*(1 - CUSTOS!$M$39)</f>
        <v>0</v>
      </c>
      <c r="AD50" s="31">
        <f>('TUSD BE'!$AH$50+'TUSD BF'!$AH$50+'TUSD CVA'!$AH$50)*(1 - CUSTOS!$M$39)</f>
        <v>28.333678569035321</v>
      </c>
      <c r="AE50" s="31">
        <f>('TUSD BE'!$AI$50+'TUSD BF'!$AI$50+'TUSD CVA'!$AI$50)*(1 - CUSTOS!$M$39)</f>
        <v>0.85883934109866233</v>
      </c>
      <c r="AF50" s="31">
        <f ca="1">('TUSD BE'!$AJ$50+'TUSD BF'!$AJ$50+'TUSD CVA'!$AJ$50)*(1 - CUSTOS!$M$39)</f>
        <v>9.5952399080123794</v>
      </c>
      <c r="AG50" s="31">
        <f ca="1">('TUSD BE'!$AK$50+'TUSD BF'!$AK$50+'TUSD CVA'!$AK$50)*(1 - CUSTOS!$M$39)</f>
        <v>0</v>
      </c>
      <c r="AI50" s="31">
        <v>3.5445758715184201</v>
      </c>
      <c r="AJ50" s="31">
        <v>0.64187717307090497</v>
      </c>
      <c r="AK50" s="31">
        <v>2.4239245087053298</v>
      </c>
      <c r="AL50" s="31">
        <v>1.6377631462940301E-2</v>
      </c>
      <c r="AM50" s="31">
        <v>0</v>
      </c>
      <c r="AN50" s="31">
        <v>24.534377272769699</v>
      </c>
      <c r="AO50" s="31">
        <v>8.8760021016569102</v>
      </c>
      <c r="AP50" s="31">
        <v>0</v>
      </c>
      <c r="AQ50" s="31">
        <v>16.915613012726599</v>
      </c>
      <c r="AR50" s="31">
        <v>7.2274922214445096</v>
      </c>
      <c r="AS50" s="31">
        <v>1.59498008428352</v>
      </c>
      <c r="AT50" s="31">
        <v>0</v>
      </c>
      <c r="AU50" s="31">
        <v>1.35959345488165</v>
      </c>
      <c r="AV50" s="31">
        <v>0</v>
      </c>
      <c r="AW50" s="31">
        <v>0</v>
      </c>
      <c r="AX50" s="31">
        <v>122.053555603975</v>
      </c>
      <c r="AY50" s="31">
        <v>-2.26500885442884</v>
      </c>
      <c r="AZ50" s="31">
        <v>0</v>
      </c>
      <c r="BA50" s="31">
        <v>29.100644000613698</v>
      </c>
      <c r="BB50" s="31">
        <v>0.72997691199186299</v>
      </c>
      <c r="BC50" s="31">
        <v>10.010505820793201</v>
      </c>
      <c r="BD50" s="31">
        <v>0</v>
      </c>
    </row>
    <row r="51" spans="1:56" ht="11.25" customHeight="1" x14ac:dyDescent="0.25">
      <c r="A51" s="97"/>
      <c r="B51" s="37" t="s">
        <v>23</v>
      </c>
      <c r="C51" s="37" t="s">
        <v>45</v>
      </c>
      <c r="D51" s="37" t="s">
        <v>116</v>
      </c>
      <c r="E51" s="37" t="s">
        <v>25</v>
      </c>
      <c r="F51" s="37" t="s">
        <v>25</v>
      </c>
      <c r="G51" s="38" t="s">
        <v>108</v>
      </c>
      <c r="H51" s="38" t="s">
        <v>102</v>
      </c>
      <c r="I51" s="38">
        <f>'MERCADO TUSD'!$U$48</f>
        <v>0</v>
      </c>
      <c r="J51" s="15"/>
      <c r="L51" s="31">
        <f>('TUSD BE'!$L$51+'TUSD BF'!$L$51+'TUSD CVA'!$L$51)*(1 - CUSTOS!$M$39)</f>
        <v>4.0053418854668061</v>
      </c>
      <c r="M51" s="31">
        <f>('TUSD BE'!$M$51+'TUSD BF'!$M$51+'TUSD CVA'!$M$51)*(1 - CUSTOS!$M$39)</f>
        <v>0.7738862956684609</v>
      </c>
      <c r="N51" s="31">
        <f ca="1">('TUSD BE'!$N$51+'TUSD BF'!$N$51+'TUSD CVA'!$N$51)*(1 - CUSTOS!$M$39)</f>
        <v>3.2778538839945344</v>
      </c>
      <c r="O51" s="31">
        <f>('TUSD BE'!$O$51+'TUSD BF'!$O$51+'TUSD CVA'!$O$51)*(1 - CUSTOS!$M$39)</f>
        <v>1.7604493878086193E-2</v>
      </c>
      <c r="P51" s="31">
        <f>('TUSD BE'!$P$51+'TUSD BF'!$P$51+'TUSD CVA'!$P$51)*(1 - CUSTOS!$M$39)</f>
        <v>0</v>
      </c>
      <c r="Q51" s="31">
        <f>('TUSD BE'!$Q$51+'TUSD BF'!$Q$51+'TUSD CVA'!$Q$51)*(1 - CUSTOS!$M$39)</f>
        <v>44.368288542390516</v>
      </c>
      <c r="R51" s="31">
        <f>('TUSD BE'!$R$51+'TUSD BF'!$R$51+'TUSD CVA'!$R$51)*(1 - CUSTOS!$M$39)</f>
        <v>16.968725281336788</v>
      </c>
      <c r="S51" s="31">
        <f>('TUSD BE'!$S$51+'TUSD BF'!$S$51+'TUSD CVA'!$S$51)*(1 - CUSTOS!$M$39)</f>
        <v>0</v>
      </c>
      <c r="T51" s="31">
        <f>('TUSD BE'!$U$51+'TUSD BF'!$U$51+'TUSD CVA'!$U$51)*(1 - CUSTOS!$M$39)</f>
        <v>32.446167612231811</v>
      </c>
      <c r="U51" s="31">
        <f>('TUSD BE'!$V$51+'TUSD BF'!$V$51+'TUSD CVA'!$V$51)*(1 - CUSTOS!$M$39)</f>
        <v>10.012427165318842</v>
      </c>
      <c r="V51" s="31">
        <f>('TUSD BE'!$W$51+'TUSD BF'!$W$51+'TUSD CVA'!$W$51)*(1 - CUSTOS!$M$39)</f>
        <v>1.5358953995776004</v>
      </c>
      <c r="W51" s="31">
        <f>('TUSD BE'!$X$51+'TUSD BF'!$X$51+'TUSD CVA'!$X$51)*(1 - CUSTOS!$M$39)</f>
        <v>8.9338430530744681E-2</v>
      </c>
      <c r="X51" s="31">
        <f>('TUSD BE'!$Y$51+'TUSD BF'!$Y$51+'TUSD CVA'!$Y$51)*(1 - CUSTOS!$M$39)</f>
        <v>1.8772536284382431</v>
      </c>
      <c r="Y51" s="31">
        <f>('TUSD BE'!$Z$51+'TUSD BF'!$Z$51+'TUSD CVA'!$Z$51)*(1 - CUSTOS!$M$39)</f>
        <v>0</v>
      </c>
      <c r="Z51" s="31">
        <f>('TUSD BE'!$AA$51+'TUSD BF'!$AA$51+'TUSD CVA'!$AA$51)*(1 - CUSTOS!$M$39)</f>
        <v>0</v>
      </c>
      <c r="AA51" s="31">
        <f>('TUSD BE'!$AC$51+'TUSD BF'!$AC$51+'TUSD CVA'!$AC$51)*(1 - CUSTOS!$M$39)</f>
        <v>213.61101833136718</v>
      </c>
      <c r="AB51" s="31">
        <f ca="1">('TUSD BE'!$AE$51+'TUSD BF'!$AE$51+'TUSD CVA'!$AE$51)*(1 - CUSTOS!$M$39)</f>
        <v>-32.558130606063187</v>
      </c>
      <c r="AC51" s="31">
        <f ca="1">('TUSD BE'!$AF$51+'TUSD BF'!$AF$51+'TUSD CVA'!$AF$51)*(1 - CUSTOS!$M$39)</f>
        <v>0</v>
      </c>
      <c r="AD51" s="31">
        <f>('TUSD BE'!$AH$51+'TUSD BF'!$AH$51+'TUSD CVA'!$AH$51)*(1 - CUSTOS!$M$39)</f>
        <v>28.333678569035321</v>
      </c>
      <c r="AE51" s="31">
        <f>('TUSD BE'!$AI$51+'TUSD BF'!$AI$51+'TUSD CVA'!$AI$51)*(1 - CUSTOS!$M$39)</f>
        <v>0.85883934109866233</v>
      </c>
      <c r="AF51" s="31">
        <f ca="1">('TUSD BE'!$AJ$51+'TUSD BF'!$AJ$51+'TUSD CVA'!$AJ$51)*(1 - CUSTOS!$M$39)</f>
        <v>9.5952399080123794</v>
      </c>
      <c r="AG51" s="31">
        <f ca="1">('TUSD BE'!$AK$51+'TUSD BF'!$AK$51+'TUSD CVA'!$AK$51)*(1 - CUSTOS!$M$39)</f>
        <v>0</v>
      </c>
      <c r="AI51" s="31">
        <v>3.5445758715184201</v>
      </c>
      <c r="AJ51" s="31">
        <v>0.64187717307090497</v>
      </c>
      <c r="AK51" s="31">
        <v>3.2149787753052901</v>
      </c>
      <c r="AL51" s="31">
        <v>1.6377631462940301E-2</v>
      </c>
      <c r="AM51" s="31">
        <v>0</v>
      </c>
      <c r="AN51" s="31">
        <v>24.534377272769699</v>
      </c>
      <c r="AO51" s="31">
        <v>8.8760021016569102</v>
      </c>
      <c r="AP51" s="31">
        <v>0</v>
      </c>
      <c r="AQ51" s="31">
        <v>25.247267410341699</v>
      </c>
      <c r="AR51" s="31">
        <v>10.7872531740777</v>
      </c>
      <c r="AS51" s="31">
        <v>2.3805312511097898</v>
      </c>
      <c r="AT51" s="31">
        <v>0</v>
      </c>
      <c r="AU51" s="31">
        <v>2.0292512378718999</v>
      </c>
      <c r="AV51" s="31">
        <v>0</v>
      </c>
      <c r="AW51" s="31">
        <v>0</v>
      </c>
      <c r="AX51" s="31">
        <v>182.16956534860199</v>
      </c>
      <c r="AY51" s="31">
        <v>-3.02589084679569</v>
      </c>
      <c r="AZ51" s="31">
        <v>0</v>
      </c>
      <c r="BA51" s="31">
        <v>29.100644000613698</v>
      </c>
      <c r="BB51" s="31">
        <v>0.72997691199186299</v>
      </c>
      <c r="BC51" s="31">
        <v>10.010505820793201</v>
      </c>
      <c r="BD51" s="31">
        <v>0</v>
      </c>
    </row>
    <row r="52" spans="1:56" ht="11.25" customHeight="1" x14ac:dyDescent="0.25">
      <c r="A52" s="97"/>
      <c r="B52" s="97" t="s">
        <v>33</v>
      </c>
      <c r="C52" s="97" t="s">
        <v>45</v>
      </c>
      <c r="D52" s="97" t="s">
        <v>117</v>
      </c>
      <c r="E52" s="97" t="s">
        <v>25</v>
      </c>
      <c r="F52" s="97" t="s">
        <v>25</v>
      </c>
      <c r="G52" s="38" t="s">
        <v>103</v>
      </c>
      <c r="H52" s="38" t="s">
        <v>102</v>
      </c>
      <c r="I52" s="38">
        <f>'MERCADO TUSD'!$U$49</f>
        <v>0</v>
      </c>
      <c r="J52" s="15"/>
      <c r="L52" s="31">
        <f>('TUSD BE'!$L$52+'TUSD BF'!$L$52+'TUSD CVA'!$L$52)*(1 - CUSTOS!$M$40)</f>
        <v>3.9201218453504918</v>
      </c>
      <c r="M52" s="31">
        <f>('TUSD BE'!$M$52+'TUSD BF'!$M$52+'TUSD CVA'!$M$52)*(1 - CUSTOS!$M$40)</f>
        <v>0.75742062980317459</v>
      </c>
      <c r="N52" s="31">
        <f ca="1">('TUSD BE'!$N$52+'TUSD BF'!$N$52+'TUSD CVA'!$N$52)*(1 - CUSTOS!$M$40)</f>
        <v>8.8061089911049315</v>
      </c>
      <c r="O52" s="31">
        <f>('TUSD BE'!$O$52+'TUSD BF'!$O$52+'TUSD CVA'!$O$52)*(1 - CUSTOS!$M$40)</f>
        <v>1.7229930178552448E-2</v>
      </c>
      <c r="P52" s="31">
        <f>('TUSD BE'!$P$52+'TUSD BF'!$P$52+'TUSD CVA'!$P$52)*(1 - CUSTOS!$M$40)</f>
        <v>0</v>
      </c>
      <c r="Q52" s="31">
        <f>('TUSD BE'!$Q$52+'TUSD BF'!$Q$52+'TUSD CVA'!$Q$52)*(1 - CUSTOS!$M$40)</f>
        <v>43.424282403190723</v>
      </c>
      <c r="R52" s="31">
        <f>('TUSD BE'!$R$52+'TUSD BF'!$R$52+'TUSD CVA'!$R$52)*(1 - CUSTOS!$M$40)</f>
        <v>16.607688573223239</v>
      </c>
      <c r="S52" s="31">
        <f>('TUSD BE'!$S$52+'TUSD BF'!$S$52+'TUSD CVA'!$S$52)*(1 - CUSTOS!$M$40)</f>
        <v>0</v>
      </c>
      <c r="T52" s="31">
        <f>('TUSD BE'!$U$52+'TUSD BF'!$U$52+'TUSD CVA'!$U$52)*(1 - CUSTOS!$M$40)</f>
        <v>106.38177569768823</v>
      </c>
      <c r="U52" s="31">
        <f>('TUSD BE'!$V$52+'TUSD BF'!$V$52+'TUSD CVA'!$V$52)*(1 - CUSTOS!$M$40)</f>
        <v>32.828003955250288</v>
      </c>
      <c r="V52" s="31">
        <f>('TUSD BE'!$W$52+'TUSD BF'!$W$52+'TUSD CVA'!$W$52)*(1 - CUSTOS!$M$40)</f>
        <v>5.0357394865613774</v>
      </c>
      <c r="W52" s="31">
        <f>('TUSD BE'!$X$52+'TUSD BF'!$X$52+'TUSD CVA'!$X$52)*(1 - CUSTOS!$M$40)</f>
        <v>0.29290676020396694</v>
      </c>
      <c r="X52" s="31">
        <f>('TUSD BE'!$Y$52+'TUSD BF'!$Y$52+'TUSD CVA'!$Y$52)*(1 - CUSTOS!$M$40)</f>
        <v>6.1549733401198408</v>
      </c>
      <c r="Y52" s="31">
        <f>('TUSD BE'!$Z$52+'TUSD BF'!$Z$52+'TUSD CVA'!$Z$52)*(1 - CUSTOS!$M$40)</f>
        <v>0</v>
      </c>
      <c r="Z52" s="31">
        <f>('TUSD BE'!$AA$52+'TUSD BF'!$AA$52+'TUSD CVA'!$AA$52)*(1 - CUSTOS!$M$40)</f>
        <v>0</v>
      </c>
      <c r="AA52" s="31">
        <f>('TUSD BE'!$AC$52+'TUSD BF'!$AC$52+'TUSD CVA'!$AC$52)*(1 - CUSTOS!$M$40)</f>
        <v>700.3713469390932</v>
      </c>
      <c r="AB52" s="31">
        <f ca="1">('TUSD BE'!$AE$52+'TUSD BF'!$AE$52+'TUSD CVA'!$AE$52)*(1 - CUSTOS!$M$40)</f>
        <v>-86.495541929453694</v>
      </c>
      <c r="AC52" s="31">
        <f ca="1">('TUSD BE'!$AF$52+'TUSD BF'!$AF$52+'TUSD CVA'!$AF$52)*(1 - CUSTOS!$M$40)</f>
        <v>0</v>
      </c>
      <c r="AD52" s="31">
        <f>('TUSD BE'!$AH$52+'TUSD BF'!$AH$52+'TUSD CVA'!$AH$52)*(1 - CUSTOS!$M$40)</f>
        <v>27.730834344162233</v>
      </c>
      <c r="AE52" s="31">
        <f>('TUSD BE'!$AI$52+'TUSD BF'!$AI$52+'TUSD CVA'!$AI$52)*(1 - CUSTOS!$M$40)</f>
        <v>0.84056616362847802</v>
      </c>
      <c r="AF52" s="31">
        <f ca="1">('TUSD BE'!$AJ$52+'TUSD BF'!$AJ$52+'TUSD CVA'!$AJ$52)*(1 - CUSTOS!$M$40)</f>
        <v>9.3910858674163737</v>
      </c>
      <c r="AG52" s="31">
        <f ca="1">('TUSD BE'!$AK$52+'TUSD BF'!$AK$52+'TUSD CVA'!$AK$52)*(1 - CUSTOS!$M$40)</f>
        <v>0</v>
      </c>
      <c r="AI52" s="31">
        <v>3.3834587864493999</v>
      </c>
      <c r="AJ52" s="31">
        <v>0.61270093793131897</v>
      </c>
      <c r="AK52" s="31">
        <v>8.4460428226819708</v>
      </c>
      <c r="AL52" s="31">
        <v>1.5633193669170299E-2</v>
      </c>
      <c r="AM52" s="31">
        <v>0</v>
      </c>
      <c r="AN52" s="31">
        <v>23.4191783058256</v>
      </c>
      <c r="AO52" s="31">
        <v>8.4725474606724998</v>
      </c>
      <c r="AP52" s="31">
        <v>0</v>
      </c>
      <c r="AQ52" s="31">
        <v>80.733698407909301</v>
      </c>
      <c r="AR52" s="31">
        <v>34.494719600253902</v>
      </c>
      <c r="AS52" s="31">
        <v>7.6122342181413103</v>
      </c>
      <c r="AT52" s="31">
        <v>0</v>
      </c>
      <c r="AU52" s="31">
        <v>6.4889687619351504</v>
      </c>
      <c r="AV52" s="31">
        <v>0</v>
      </c>
      <c r="AW52" s="31">
        <v>0</v>
      </c>
      <c r="AX52" s="31">
        <v>582.52850564013704</v>
      </c>
      <c r="AY52" s="31">
        <v>-8.0604540037801797</v>
      </c>
      <c r="AZ52" s="31">
        <v>0</v>
      </c>
      <c r="BA52" s="31">
        <v>27.7778874551313</v>
      </c>
      <c r="BB52" s="31">
        <v>0.69679614326495998</v>
      </c>
      <c r="BC52" s="31">
        <v>9.5554828289389793</v>
      </c>
      <c r="BD52" s="31">
        <v>0</v>
      </c>
    </row>
    <row r="53" spans="1:56" ht="11.25" customHeight="1" x14ac:dyDescent="0.25">
      <c r="A53" s="97"/>
      <c r="B53" s="97"/>
      <c r="C53" s="97"/>
      <c r="D53" s="97"/>
      <c r="E53" s="97"/>
      <c r="F53" s="97"/>
      <c r="G53" s="38" t="s">
        <v>113</v>
      </c>
      <c r="H53" s="38" t="s">
        <v>102</v>
      </c>
      <c r="I53" s="38">
        <f>'MERCADO TUSD'!$U$50</f>
        <v>0</v>
      </c>
      <c r="J53" s="15"/>
      <c r="L53" s="31">
        <f>('TUSD BE'!$L$53+'TUSD BF'!$L$53+'TUSD CVA'!$L$53)*(1 - CUSTOS!$M$40)</f>
        <v>3.9201218453504918</v>
      </c>
      <c r="M53" s="31">
        <f>('TUSD BE'!$M$53+'TUSD BF'!$M$53+'TUSD CVA'!$M$53)*(1 - CUSTOS!$M$40)</f>
        <v>0.75742062980317459</v>
      </c>
      <c r="N53" s="31">
        <f ca="1">('TUSD BE'!$N$53+'TUSD BF'!$N$53+'TUSD CVA'!$N$53)*(1 - CUSTOS!$M$40)</f>
        <v>5.6140607782275946</v>
      </c>
      <c r="O53" s="31">
        <f>('TUSD BE'!$O$53+'TUSD BF'!$O$53+'TUSD CVA'!$O$53)*(1 - CUSTOS!$M$40)</f>
        <v>1.7229930178552448E-2</v>
      </c>
      <c r="P53" s="31">
        <f>('TUSD BE'!$P$53+'TUSD BF'!$P$53+'TUSD CVA'!$P$53)*(1 - CUSTOS!$M$40)</f>
        <v>0</v>
      </c>
      <c r="Q53" s="31">
        <f>('TUSD BE'!$Q$53+'TUSD BF'!$Q$53+'TUSD CVA'!$Q$53)*(1 - CUSTOS!$M$40)</f>
        <v>43.424282403190723</v>
      </c>
      <c r="R53" s="31">
        <f>('TUSD BE'!$R$53+'TUSD BF'!$R$53+'TUSD CVA'!$R$53)*(1 - CUSTOS!$M$40)</f>
        <v>16.607688573223239</v>
      </c>
      <c r="S53" s="31">
        <f>('TUSD BE'!$S$53+'TUSD BF'!$S$53+'TUSD CVA'!$S$53)*(1 - CUSTOS!$M$40)</f>
        <v>0</v>
      </c>
      <c r="T53" s="31">
        <f>('TUSD BE'!$U$53+'TUSD BF'!$U$53+'TUSD CVA'!$U$53)*(1 - CUSTOS!$M$40)</f>
        <v>63.829113301880056</v>
      </c>
      <c r="U53" s="31">
        <f>('TUSD BE'!$V$53+'TUSD BF'!$V$53+'TUSD CVA'!$V$53)*(1 - CUSTOS!$M$40)</f>
        <v>19.696876397903161</v>
      </c>
      <c r="V53" s="31">
        <f>('TUSD BE'!$W$53+'TUSD BF'!$W$53+'TUSD CVA'!$W$53)*(1 - CUSTOS!$M$40)</f>
        <v>3.0214549862512192</v>
      </c>
      <c r="W53" s="31">
        <f>('TUSD BE'!$X$53+'TUSD BF'!$X$53+'TUSD CVA'!$X$53)*(1 - CUSTOS!$M$40)</f>
        <v>0.17579951338212216</v>
      </c>
      <c r="X53" s="31">
        <f>('TUSD BE'!$Y$53+'TUSD BF'!$Y$53+'TUSD CVA'!$Y$53)*(1 - CUSTOS!$M$40)</f>
        <v>3.6929840040719042</v>
      </c>
      <c r="Y53" s="31">
        <f>('TUSD BE'!$Z$53+'TUSD BF'!$Z$53+'TUSD CVA'!$Z$53)*(1 - CUSTOS!$M$40)</f>
        <v>0</v>
      </c>
      <c r="Z53" s="31">
        <f>('TUSD BE'!$AA$53+'TUSD BF'!$AA$53+'TUSD CVA'!$AA$53)*(1 - CUSTOS!$M$40)</f>
        <v>0</v>
      </c>
      <c r="AA53" s="31">
        <f>('TUSD BE'!$AC$53+'TUSD BF'!$AC$53+'TUSD CVA'!$AC$53)*(1 - CUSTOS!$M$40)</f>
        <v>420.22278747487223</v>
      </c>
      <c r="AB53" s="31">
        <f ca="1">('TUSD BE'!$AE$53+'TUSD BF'!$AE$53+'TUSD CVA'!$AE$53)*(1 - CUSTOS!$M$40)</f>
        <v>-55.344749332367584</v>
      </c>
      <c r="AC53" s="31">
        <f ca="1">('TUSD BE'!$AF$53+'TUSD BF'!$AF$53+'TUSD CVA'!$AF$53)*(1 - CUSTOS!$M$40)</f>
        <v>0</v>
      </c>
      <c r="AD53" s="31">
        <f>('TUSD BE'!$AH$53+'TUSD BF'!$AH$53+'TUSD CVA'!$AH$53)*(1 - CUSTOS!$M$40)</f>
        <v>27.730834344162233</v>
      </c>
      <c r="AE53" s="31">
        <f>('TUSD BE'!$AI$53+'TUSD BF'!$AI$53+'TUSD CVA'!$AI$53)*(1 - CUSTOS!$M$40)</f>
        <v>0.84056616362847802</v>
      </c>
      <c r="AF53" s="31">
        <f ca="1">('TUSD BE'!$AJ$53+'TUSD BF'!$AJ$53+'TUSD CVA'!$AJ$53)*(1 - CUSTOS!$M$40)</f>
        <v>9.3910858674163737</v>
      </c>
      <c r="AG53" s="31">
        <f ca="1">('TUSD BE'!$AK$53+'TUSD BF'!$AK$53+'TUSD CVA'!$AK$53)*(1 - CUSTOS!$M$40)</f>
        <v>0</v>
      </c>
      <c r="AI53" s="31">
        <v>3.3834587864493999</v>
      </c>
      <c r="AJ53" s="31">
        <v>0.61270093793131897</v>
      </c>
      <c r="AK53" s="31">
        <v>5.3798954204974203</v>
      </c>
      <c r="AL53" s="31">
        <v>1.5633193669170299E-2</v>
      </c>
      <c r="AM53" s="31">
        <v>0</v>
      </c>
      <c r="AN53" s="31">
        <v>23.4191783058256</v>
      </c>
      <c r="AO53" s="31">
        <v>8.4725474606724998</v>
      </c>
      <c r="AP53" s="31">
        <v>0</v>
      </c>
      <c r="AQ53" s="31">
        <v>48.440255383613</v>
      </c>
      <c r="AR53" s="31">
        <v>20.696909543227498</v>
      </c>
      <c r="AS53" s="31">
        <v>4.56735760384234</v>
      </c>
      <c r="AT53" s="31">
        <v>0</v>
      </c>
      <c r="AU53" s="31">
        <v>3.89338125716109</v>
      </c>
      <c r="AV53" s="31">
        <v>0</v>
      </c>
      <c r="AW53" s="31">
        <v>0</v>
      </c>
      <c r="AX53" s="31">
        <v>349.51708617651099</v>
      </c>
      <c r="AY53" s="31">
        <v>-5.1112549880413498</v>
      </c>
      <c r="AZ53" s="31">
        <v>0</v>
      </c>
      <c r="BA53" s="31">
        <v>27.7778874551313</v>
      </c>
      <c r="BB53" s="31">
        <v>0.69679614326495998</v>
      </c>
      <c r="BC53" s="31">
        <v>9.5554828289389793</v>
      </c>
      <c r="BD53" s="31">
        <v>0</v>
      </c>
    </row>
    <row r="54" spans="1:56" ht="11.25" customHeight="1" x14ac:dyDescent="0.25">
      <c r="A54" s="97"/>
      <c r="B54" s="97"/>
      <c r="C54" s="97"/>
      <c r="D54" s="97"/>
      <c r="E54" s="97"/>
      <c r="F54" s="97"/>
      <c r="G54" s="38" t="s">
        <v>104</v>
      </c>
      <c r="H54" s="38" t="s">
        <v>102</v>
      </c>
      <c r="I54" s="38">
        <f>'MERCADO TUSD'!$U$51</f>
        <v>0</v>
      </c>
      <c r="J54" s="15"/>
      <c r="L54" s="31">
        <f>('TUSD BE'!$L$54+'TUSD BF'!$L$54+'TUSD CVA'!$L$54)*(1 - CUSTOS!$M$40)</f>
        <v>3.9201218453504918</v>
      </c>
      <c r="M54" s="31">
        <f>('TUSD BE'!$M$54+'TUSD BF'!$M$54+'TUSD CVA'!$M$54)*(1 - CUSTOS!$M$40)</f>
        <v>0.75742062980317459</v>
      </c>
      <c r="N54" s="31">
        <f ca="1">('TUSD BE'!$N$54+'TUSD BF'!$N$54+'TUSD CVA'!$N$54)*(1 - CUSTOS!$M$40)</f>
        <v>2.4220096051581077</v>
      </c>
      <c r="O54" s="31">
        <f>('TUSD BE'!$O$54+'TUSD BF'!$O$54+'TUSD CVA'!$O$54)*(1 - CUSTOS!$M$40)</f>
        <v>1.7229930178552448E-2</v>
      </c>
      <c r="P54" s="31">
        <f>('TUSD BE'!$P$54+'TUSD BF'!$P$54+'TUSD CVA'!$P$54)*(1 - CUSTOS!$M$40)</f>
        <v>0</v>
      </c>
      <c r="Q54" s="31">
        <f>('TUSD BE'!$Q$54+'TUSD BF'!$Q$54+'TUSD CVA'!$Q$54)*(1 - CUSTOS!$M$40)</f>
        <v>43.424282403190723</v>
      </c>
      <c r="R54" s="31">
        <f>('TUSD BE'!$R$54+'TUSD BF'!$R$54+'TUSD CVA'!$R$54)*(1 - CUSTOS!$M$40)</f>
        <v>16.607688573223239</v>
      </c>
      <c r="S54" s="31">
        <f>('TUSD BE'!$S$54+'TUSD BF'!$S$54+'TUSD CVA'!$S$54)*(1 - CUSTOS!$M$40)</f>
        <v>0</v>
      </c>
      <c r="T54" s="31">
        <f>('TUSD BE'!$U$54+'TUSD BF'!$U$54+'TUSD CVA'!$U$54)*(1 - CUSTOS!$M$40)</f>
        <v>21.276331197904092</v>
      </c>
      <c r="U54" s="31">
        <f>('TUSD BE'!$V$54+'TUSD BF'!$V$54+'TUSD CVA'!$V$54)*(1 - CUSTOS!$M$40)</f>
        <v>6.5656254659677202</v>
      </c>
      <c r="V54" s="31">
        <f>('TUSD BE'!$W$54+'TUSD BF'!$W$54+'TUSD CVA'!$W$54)*(1 - CUSTOS!$M$40)</f>
        <v>1.0071704859410604</v>
      </c>
      <c r="W54" s="31">
        <f>('TUSD BE'!$X$54+'TUSD BF'!$X$54+'TUSD CVA'!$X$54)*(1 - CUSTOS!$M$40)</f>
        <v>5.859983779404071E-2</v>
      </c>
      <c r="X54" s="31">
        <f>('TUSD BE'!$Y$54+'TUSD BF'!$Y$54+'TUSD CVA'!$Y$54)*(1 - CUSTOS!$M$40)</f>
        <v>1.2309946680239683</v>
      </c>
      <c r="Y54" s="31">
        <f>('TUSD BE'!$Z$54+'TUSD BF'!$Z$54+'TUSD CVA'!$Z$54)*(1 - CUSTOS!$M$40)</f>
        <v>0</v>
      </c>
      <c r="Z54" s="31">
        <f>('TUSD BE'!$AA$54+'TUSD BF'!$AA$54+'TUSD CVA'!$AA$54)*(1 - CUSTOS!$M$40)</f>
        <v>0</v>
      </c>
      <c r="AA54" s="31">
        <f>('TUSD BE'!$AC$54+'TUSD BF'!$AC$54+'TUSD CVA'!$AC$54)*(1 - CUSTOS!$M$40)</f>
        <v>140.0742280106513</v>
      </c>
      <c r="AB54" s="31">
        <f ca="1">('TUSD BE'!$AE$54+'TUSD BF'!$AE$54+'TUSD CVA'!$AE$54)*(1 - CUSTOS!$M$40)</f>
        <v>-24.193926895733917</v>
      </c>
      <c r="AC54" s="31">
        <f ca="1">('TUSD BE'!$AF$54+'TUSD BF'!$AF$54+'TUSD CVA'!$AF$54)*(1 - CUSTOS!$M$40)</f>
        <v>0</v>
      </c>
      <c r="AD54" s="31">
        <f>('TUSD BE'!$AH$54+'TUSD BF'!$AH$54+'TUSD CVA'!$AH$54)*(1 - CUSTOS!$M$40)</f>
        <v>27.730834344162233</v>
      </c>
      <c r="AE54" s="31">
        <f>('TUSD BE'!$AI$54+'TUSD BF'!$AI$54+'TUSD CVA'!$AI$54)*(1 - CUSTOS!$M$40)</f>
        <v>0.84056616362847802</v>
      </c>
      <c r="AF54" s="31">
        <f ca="1">('TUSD BE'!$AJ$54+'TUSD BF'!$AJ$54+'TUSD CVA'!$AJ$54)*(1 - CUSTOS!$M$40)</f>
        <v>9.3910858674163737</v>
      </c>
      <c r="AG54" s="31">
        <f ca="1">('TUSD BE'!$AK$54+'TUSD BF'!$AK$54+'TUSD CVA'!$AK$54)*(1 - CUSTOS!$M$40)</f>
        <v>0</v>
      </c>
      <c r="AI54" s="31">
        <v>3.3834587864493999</v>
      </c>
      <c r="AJ54" s="31">
        <v>0.61270093793131897</v>
      </c>
      <c r="AK54" s="31">
        <v>2.313746121946</v>
      </c>
      <c r="AL54" s="31">
        <v>1.5633193669170299E-2</v>
      </c>
      <c r="AM54" s="31">
        <v>0</v>
      </c>
      <c r="AN54" s="31">
        <v>23.4191783058256</v>
      </c>
      <c r="AO54" s="31">
        <v>8.4725474606724998</v>
      </c>
      <c r="AP54" s="31">
        <v>0</v>
      </c>
      <c r="AQ54" s="31">
        <v>16.146721512148101</v>
      </c>
      <c r="AR54" s="31">
        <v>6.8989698477424897</v>
      </c>
      <c r="AS54" s="31">
        <v>1.52248098954336</v>
      </c>
      <c r="AT54" s="31">
        <v>0</v>
      </c>
      <c r="AU54" s="31">
        <v>1.29779375238703</v>
      </c>
      <c r="AV54" s="31">
        <v>0</v>
      </c>
      <c r="AW54" s="31">
        <v>0</v>
      </c>
      <c r="AX54" s="31">
        <v>116.505666712885</v>
      </c>
      <c r="AY54" s="31">
        <v>-2.16205390650026</v>
      </c>
      <c r="AZ54" s="31">
        <v>0</v>
      </c>
      <c r="BA54" s="31">
        <v>27.7778874551313</v>
      </c>
      <c r="BB54" s="31">
        <v>0.69679614326495998</v>
      </c>
      <c r="BC54" s="31">
        <v>9.5554828289389793</v>
      </c>
      <c r="BD54" s="31">
        <v>0</v>
      </c>
    </row>
    <row r="55" spans="1:56" ht="11.25" customHeight="1" x14ac:dyDescent="0.25">
      <c r="A55" s="97"/>
      <c r="B55" s="37" t="s">
        <v>23</v>
      </c>
      <c r="C55" s="37" t="s">
        <v>45</v>
      </c>
      <c r="D55" s="37" t="s">
        <v>117</v>
      </c>
      <c r="E55" s="37" t="s">
        <v>25</v>
      </c>
      <c r="F55" s="37" t="s">
        <v>25</v>
      </c>
      <c r="G55" s="38" t="s">
        <v>108</v>
      </c>
      <c r="H55" s="38" t="s">
        <v>102</v>
      </c>
      <c r="I55" s="38">
        <f>'MERCADO TUSD'!$U$52</f>
        <v>0</v>
      </c>
      <c r="J55" s="15"/>
      <c r="L55" s="31">
        <f>('TUSD BE'!$L$55+'TUSD BF'!$L$55+'TUSD CVA'!$L$55)*(1 - CUSTOS!$M$40)</f>
        <v>3.9201218453504918</v>
      </c>
      <c r="M55" s="31">
        <f>('TUSD BE'!$M$55+'TUSD BF'!$M$55+'TUSD CVA'!$M$55)*(1 - CUSTOS!$M$40)</f>
        <v>0.75742062980317459</v>
      </c>
      <c r="N55" s="31">
        <f ca="1">('TUSD BE'!$N$55+'TUSD BF'!$N$55+'TUSD CVA'!$N$55)*(1 - CUSTOS!$M$40)</f>
        <v>3.2081123119946509</v>
      </c>
      <c r="O55" s="31">
        <f>('TUSD BE'!$O$55+'TUSD BF'!$O$55+'TUSD CVA'!$O$55)*(1 - CUSTOS!$M$40)</f>
        <v>1.7229930178552448E-2</v>
      </c>
      <c r="P55" s="31">
        <f>('TUSD BE'!$P$55+'TUSD BF'!$P$55+'TUSD CVA'!$P$55)*(1 - CUSTOS!$M$40)</f>
        <v>0</v>
      </c>
      <c r="Q55" s="31">
        <f>('TUSD BE'!$Q$55+'TUSD BF'!$Q$55+'TUSD CVA'!$Q$55)*(1 - CUSTOS!$M$40)</f>
        <v>43.424282403190723</v>
      </c>
      <c r="R55" s="31">
        <f>('TUSD BE'!$R$55+'TUSD BF'!$R$55+'TUSD CVA'!$R$55)*(1 - CUSTOS!$M$40)</f>
        <v>16.607688573223239</v>
      </c>
      <c r="S55" s="31">
        <f>('TUSD BE'!$S$55+'TUSD BF'!$S$55+'TUSD CVA'!$S$55)*(1 - CUSTOS!$M$40)</f>
        <v>0</v>
      </c>
      <c r="T55" s="31">
        <f>('TUSD BE'!$U$55+'TUSD BF'!$U$55+'TUSD CVA'!$U$55)*(1 - CUSTOS!$M$40)</f>
        <v>31.755823620482204</v>
      </c>
      <c r="U55" s="31">
        <f>('TUSD BE'!$V$55+'TUSD BF'!$V$55+'TUSD CVA'!$V$55)*(1 - CUSTOS!$M$40)</f>
        <v>9.7993968000992933</v>
      </c>
      <c r="V55" s="31">
        <f>('TUSD BE'!$W$55+'TUSD BF'!$W$55+'TUSD CVA'!$W$55)*(1 - CUSTOS!$M$40)</f>
        <v>1.5032167740546727</v>
      </c>
      <c r="W55" s="31">
        <f>('TUSD BE'!$X$55+'TUSD BF'!$X$55+'TUSD CVA'!$X$55)*(1 - CUSTOS!$M$40)</f>
        <v>8.7437612859877792E-2</v>
      </c>
      <c r="X55" s="31">
        <f>('TUSD BE'!$Y$55+'TUSD BF'!$Y$55+'TUSD CVA'!$Y$55)*(1 - CUSTOS!$M$40)</f>
        <v>1.8373120618757275</v>
      </c>
      <c r="Y55" s="31">
        <f>('TUSD BE'!$Z$55+'TUSD BF'!$Z$55+'TUSD CVA'!$Z$55)*(1 - CUSTOS!$M$40)</f>
        <v>0</v>
      </c>
      <c r="Z55" s="31">
        <f>('TUSD BE'!$AA$55+'TUSD BF'!$AA$55+'TUSD CVA'!$AA$55)*(1 - CUSTOS!$M$40)</f>
        <v>0</v>
      </c>
      <c r="AA55" s="31">
        <f>('TUSD BE'!$AC$55+'TUSD BF'!$AC$55+'TUSD CVA'!$AC$55)*(1 - CUSTOS!$M$40)</f>
        <v>209.0661030477211</v>
      </c>
      <c r="AB55" s="31">
        <f ca="1">('TUSD BE'!$AE$55+'TUSD BF'!$AE$55+'TUSD CVA'!$AE$55)*(1 - CUSTOS!$M$40)</f>
        <v>-31.865404422955464</v>
      </c>
      <c r="AC55" s="31">
        <f ca="1">('TUSD BE'!$AF$55+'TUSD BF'!$AF$55+'TUSD CVA'!$AF$55)*(1 - CUSTOS!$M$40)</f>
        <v>0</v>
      </c>
      <c r="AD55" s="31">
        <f>('TUSD BE'!$AH$55+'TUSD BF'!$AH$55+'TUSD CVA'!$AH$55)*(1 - CUSTOS!$M$40)</f>
        <v>27.730834344162233</v>
      </c>
      <c r="AE55" s="31">
        <f>('TUSD BE'!$AI$55+'TUSD BF'!$AI$55+'TUSD CVA'!$AI$55)*(1 - CUSTOS!$M$40)</f>
        <v>0.84056616362847802</v>
      </c>
      <c r="AF55" s="31">
        <f ca="1">('TUSD BE'!$AJ$55+'TUSD BF'!$AJ$55+'TUSD CVA'!$AJ$55)*(1 - CUSTOS!$M$40)</f>
        <v>9.3910858674163737</v>
      </c>
      <c r="AG55" s="31">
        <f ca="1">('TUSD BE'!$AK$55+'TUSD BF'!$AK$55+'TUSD CVA'!$AK$55)*(1 - CUSTOS!$M$40)</f>
        <v>0</v>
      </c>
      <c r="AI55" s="31">
        <v>3.3834587864493999</v>
      </c>
      <c r="AJ55" s="31">
        <v>0.61270093793131897</v>
      </c>
      <c r="AK55" s="31">
        <v>3.0688433764277701</v>
      </c>
      <c r="AL55" s="31">
        <v>1.5633193669170299E-2</v>
      </c>
      <c r="AM55" s="31">
        <v>0</v>
      </c>
      <c r="AN55" s="31">
        <v>23.4191783058256</v>
      </c>
      <c r="AO55" s="31">
        <v>8.4725474606724998</v>
      </c>
      <c r="AP55" s="31">
        <v>0</v>
      </c>
      <c r="AQ55" s="31">
        <v>24.099664346235201</v>
      </c>
      <c r="AR55" s="31">
        <v>10.2969234843469</v>
      </c>
      <c r="AS55" s="31">
        <v>2.27232528515025</v>
      </c>
      <c r="AT55" s="31">
        <v>0</v>
      </c>
      <c r="AU55" s="31">
        <v>1.93701254524136</v>
      </c>
      <c r="AV55" s="31">
        <v>0</v>
      </c>
      <c r="AW55" s="31">
        <v>0</v>
      </c>
      <c r="AX55" s="31">
        <v>173.88913056003</v>
      </c>
      <c r="AY55" s="31">
        <v>-2.8883503537595199</v>
      </c>
      <c r="AZ55" s="31">
        <v>0</v>
      </c>
      <c r="BA55" s="31">
        <v>27.7778874551313</v>
      </c>
      <c r="BB55" s="31">
        <v>0.69679614326495998</v>
      </c>
      <c r="BC55" s="31">
        <v>9.5554828289389793</v>
      </c>
      <c r="BD55" s="31">
        <v>0</v>
      </c>
    </row>
    <row r="56" spans="1:56" ht="11.25" customHeight="1" x14ac:dyDescent="0.25">
      <c r="A56" s="97"/>
      <c r="B56" s="97" t="s">
        <v>115</v>
      </c>
      <c r="C56" s="97" t="s">
        <v>45</v>
      </c>
      <c r="D56" s="37" t="s">
        <v>25</v>
      </c>
      <c r="E56" s="37" t="s">
        <v>25</v>
      </c>
      <c r="F56" s="37" t="s">
        <v>25</v>
      </c>
      <c r="G56" s="38" t="s">
        <v>108</v>
      </c>
      <c r="H56" s="38" t="s">
        <v>102</v>
      </c>
      <c r="I56" s="38">
        <f>'MERCADO TUSD'!$U$53</f>
        <v>0</v>
      </c>
      <c r="J56" s="15"/>
      <c r="L56" s="31">
        <f>('TUSD BE'!$L$56+'TUSD BF'!$L$56+'TUSD CVA'!$L$56)*(1 - CUSTOS!$M$38)</f>
        <v>4.0053418854668061</v>
      </c>
      <c r="M56" s="31">
        <f>('TUSD BE'!$M$56+'TUSD BF'!$M$56+'TUSD CVA'!$M$56)*(1 - CUSTOS!$M$38)</f>
        <v>0.7738862956684609</v>
      </c>
      <c r="N56" s="31">
        <f ca="1">('TUSD BE'!$N$56+'TUSD BF'!$N$56+'TUSD CVA'!$N$56)*(1 - CUSTOS!$M$38)</f>
        <v>3.2778538839945344</v>
      </c>
      <c r="O56" s="31">
        <f>('TUSD BE'!$O$56+'TUSD BF'!$O$56+'TUSD CVA'!$O$56)*(1 - CUSTOS!$M$38)</f>
        <v>1.7604493878086193E-2</v>
      </c>
      <c r="P56" s="31">
        <f>('TUSD BE'!$P$56+'TUSD BF'!$P$56+'TUSD CVA'!$P$56)*(1 - CUSTOS!$M$38)</f>
        <v>0</v>
      </c>
      <c r="Q56" s="31">
        <f>('TUSD BE'!$Q$56+'TUSD BF'!$Q$56+'TUSD CVA'!$Q$56)*(1 - CUSTOS!$M$38)</f>
        <v>44.368288542390516</v>
      </c>
      <c r="R56" s="31">
        <f>('TUSD BE'!$R$56+'TUSD BF'!$R$56+'TUSD CVA'!$R$56)*(1 - CUSTOS!$M$38)</f>
        <v>16.968725281336788</v>
      </c>
      <c r="S56" s="31">
        <f>('TUSD BE'!$S$56+'TUSD BF'!$S$56+'TUSD CVA'!$S$56)*(1 - CUSTOS!$M$38)</f>
        <v>0</v>
      </c>
      <c r="T56" s="31">
        <f>('TUSD BE'!$U$56+'TUSD BF'!$U$56+'TUSD CVA'!$U$56)*(1 - CUSTOS!$M$38)</f>
        <v>32.446167612231811</v>
      </c>
      <c r="U56" s="31">
        <f>('TUSD BE'!$V$56+'TUSD BF'!$V$56+'TUSD CVA'!$V$56)*(1 - CUSTOS!$M$38)</f>
        <v>10.012427165318842</v>
      </c>
      <c r="V56" s="31">
        <f>('TUSD BE'!$W$56+'TUSD BF'!$W$56+'TUSD CVA'!$W$56)*(1 - CUSTOS!$M$38)</f>
        <v>1.5358953995776004</v>
      </c>
      <c r="W56" s="31">
        <f>('TUSD BE'!$X$56+'TUSD BF'!$X$56+'TUSD CVA'!$X$56)*(1 - CUSTOS!$M$38)</f>
        <v>8.9338430530744681E-2</v>
      </c>
      <c r="X56" s="31">
        <f>('TUSD BE'!$Y$56+'TUSD BF'!$Y$56+'TUSD CVA'!$Y$56)*(1 - CUSTOS!$M$38)</f>
        <v>1.8772536284382431</v>
      </c>
      <c r="Y56" s="31">
        <f>('TUSD BE'!$Z$56+'TUSD BF'!$Z$56+'TUSD CVA'!$Z$56)*(1 - CUSTOS!$M$38)</f>
        <v>0</v>
      </c>
      <c r="Z56" s="31">
        <f>('TUSD BE'!$AA$56+'TUSD BF'!$AA$56+'TUSD CVA'!$AA$56)*(1 - CUSTOS!$M$38)</f>
        <v>0</v>
      </c>
      <c r="AA56" s="31">
        <f>('TUSD BE'!$AC$56+'TUSD BF'!$AC$56+'TUSD CVA'!$AC$56)*(1 - CUSTOS!$M$38)</f>
        <v>213.61101833136718</v>
      </c>
      <c r="AB56" s="31">
        <f ca="1">('TUSD BE'!$AE$56+'TUSD BF'!$AE$56+'TUSD CVA'!$AE$56)*(1 - CUSTOS!$M$38)</f>
        <v>-32.558130606063187</v>
      </c>
      <c r="AC56" s="31">
        <f ca="1">('TUSD BE'!$AF$56+'TUSD BF'!$AF$56+'TUSD CVA'!$AF$56)*(1 - CUSTOS!$M$38)</f>
        <v>0</v>
      </c>
      <c r="AD56" s="31">
        <f>('TUSD BE'!$AH$56+'TUSD BF'!$AH$56+'TUSD CVA'!$AH$56)*(1 - CUSTOS!$M$38)</f>
        <v>28.333678569035321</v>
      </c>
      <c r="AE56" s="31">
        <f>('TUSD BE'!$AI$56+'TUSD BF'!$AI$56+'TUSD CVA'!$AI$56)*(1 - CUSTOS!$M$38)</f>
        <v>0.85883934109866233</v>
      </c>
      <c r="AF56" s="31">
        <f ca="1">('TUSD BE'!$AJ$56+'TUSD BF'!$AJ$56+'TUSD CVA'!$AJ$56)*(1 - CUSTOS!$M$38)</f>
        <v>9.5952399080123794</v>
      </c>
      <c r="AG56" s="31">
        <f ca="1">('TUSD BE'!$AK$56+'TUSD BF'!$AK$56+'TUSD CVA'!$AK$56)*(1 - CUSTOS!$M$38)</f>
        <v>0</v>
      </c>
      <c r="AI56" s="31">
        <v>3.5445758715184201</v>
      </c>
      <c r="AJ56" s="31">
        <v>0.64187717307090497</v>
      </c>
      <c r="AK56" s="31">
        <v>3.2149787753052901</v>
      </c>
      <c r="AL56" s="31">
        <v>1.6377631462940301E-2</v>
      </c>
      <c r="AM56" s="31">
        <v>0</v>
      </c>
      <c r="AN56" s="31">
        <v>24.534377272769699</v>
      </c>
      <c r="AO56" s="31">
        <v>8.8760021016569102</v>
      </c>
      <c r="AP56" s="31">
        <v>0</v>
      </c>
      <c r="AQ56" s="31">
        <v>25.247267410341699</v>
      </c>
      <c r="AR56" s="31">
        <v>10.7872531740777</v>
      </c>
      <c r="AS56" s="31">
        <v>2.3805312511097898</v>
      </c>
      <c r="AT56" s="31">
        <v>0</v>
      </c>
      <c r="AU56" s="31">
        <v>2.0292512378718999</v>
      </c>
      <c r="AV56" s="31">
        <v>0</v>
      </c>
      <c r="AW56" s="31">
        <v>0</v>
      </c>
      <c r="AX56" s="31">
        <v>182.16956534860199</v>
      </c>
      <c r="AY56" s="31">
        <v>-3.02589084679569</v>
      </c>
      <c r="AZ56" s="31">
        <v>0</v>
      </c>
      <c r="BA56" s="31">
        <v>29.100644000613698</v>
      </c>
      <c r="BB56" s="31">
        <v>0.72997691199186299</v>
      </c>
      <c r="BC56" s="31">
        <v>10.010505820793201</v>
      </c>
      <c r="BD56" s="31">
        <v>0</v>
      </c>
    </row>
    <row r="57" spans="1:56" ht="11.25" customHeight="1" x14ac:dyDescent="0.25">
      <c r="A57" s="97"/>
      <c r="B57" s="97"/>
      <c r="C57" s="97"/>
      <c r="D57" s="37" t="s">
        <v>116</v>
      </c>
      <c r="E57" s="37" t="s">
        <v>25</v>
      </c>
      <c r="F57" s="37" t="s">
        <v>25</v>
      </c>
      <c r="G57" s="38" t="s">
        <v>108</v>
      </c>
      <c r="H57" s="38" t="s">
        <v>102</v>
      </c>
      <c r="I57" s="38">
        <f>'MERCADO TUSD'!$U$54</f>
        <v>0</v>
      </c>
      <c r="J57" s="15"/>
      <c r="L57" s="31">
        <f>('TUSD BE'!$L$57+'TUSD BF'!$L$57+'TUSD CVA'!$L$57)*(1 - CUSTOS!$M$39)</f>
        <v>4.0053418854668061</v>
      </c>
      <c r="M57" s="31">
        <f>('TUSD BE'!$M$57+'TUSD BF'!$M$57+'TUSD CVA'!$M$57)*(1 - CUSTOS!$M$39)</f>
        <v>0.7738862956684609</v>
      </c>
      <c r="N57" s="31">
        <f ca="1">('TUSD BE'!$N$57+'TUSD BF'!$N$57+'TUSD CVA'!$N$57)*(1 - CUSTOS!$M$39)</f>
        <v>3.2778538839945344</v>
      </c>
      <c r="O57" s="31">
        <f>('TUSD BE'!$O$57+'TUSD BF'!$O$57+'TUSD CVA'!$O$57)*(1 - CUSTOS!$M$39)</f>
        <v>1.7604493878086193E-2</v>
      </c>
      <c r="P57" s="31">
        <f>('TUSD BE'!$P$57+'TUSD BF'!$P$57+'TUSD CVA'!$P$57)*(1 - CUSTOS!$M$39)</f>
        <v>0</v>
      </c>
      <c r="Q57" s="31">
        <f>('TUSD BE'!$Q$57+'TUSD BF'!$Q$57+'TUSD CVA'!$Q$57)*(1 - CUSTOS!$M$39)</f>
        <v>44.368288542390516</v>
      </c>
      <c r="R57" s="31">
        <f>('TUSD BE'!$R$57+'TUSD BF'!$R$57+'TUSD CVA'!$R$57)*(1 - CUSTOS!$M$39)</f>
        <v>16.968725281336788</v>
      </c>
      <c r="S57" s="31">
        <f>('TUSD BE'!$S$57+'TUSD BF'!$S$57+'TUSD CVA'!$S$57)*(1 - CUSTOS!$M$39)</f>
        <v>0</v>
      </c>
      <c r="T57" s="31">
        <f>('TUSD BE'!$U$57+'TUSD BF'!$U$57+'TUSD CVA'!$U$57)*(1 - CUSTOS!$M$39)</f>
        <v>32.446167612231811</v>
      </c>
      <c r="U57" s="31">
        <f>('TUSD BE'!$V$57+'TUSD BF'!$V$57+'TUSD CVA'!$V$57)*(1 - CUSTOS!$M$39)</f>
        <v>10.012427165318842</v>
      </c>
      <c r="V57" s="31">
        <f>('TUSD BE'!$W$57+'TUSD BF'!$W$57+'TUSD CVA'!$W$57)*(1 - CUSTOS!$M$39)</f>
        <v>1.5358953995776004</v>
      </c>
      <c r="W57" s="31">
        <f>('TUSD BE'!$X$57+'TUSD BF'!$X$57+'TUSD CVA'!$X$57)*(1 - CUSTOS!$M$39)</f>
        <v>8.9338430530744681E-2</v>
      </c>
      <c r="X57" s="31">
        <f>('TUSD BE'!$Y$57+'TUSD BF'!$Y$57+'TUSD CVA'!$Y$57)*(1 - CUSTOS!$M$39)</f>
        <v>1.8772536284382431</v>
      </c>
      <c r="Y57" s="31">
        <f>('TUSD BE'!$Z$57+'TUSD BF'!$Z$57+'TUSD CVA'!$Z$57)*(1 - CUSTOS!$M$39)</f>
        <v>0</v>
      </c>
      <c r="Z57" s="31">
        <f>('TUSD BE'!$AA$57+'TUSD BF'!$AA$57+'TUSD CVA'!$AA$57)*(1 - CUSTOS!$M$39)</f>
        <v>0</v>
      </c>
      <c r="AA57" s="31">
        <f>('TUSD BE'!$AC$57+'TUSD BF'!$AC$57+'TUSD CVA'!$AC$57)*(1 - CUSTOS!$M$39)</f>
        <v>213.61101833136718</v>
      </c>
      <c r="AB57" s="31">
        <f ca="1">('TUSD BE'!$AE$57+'TUSD BF'!$AE$57+'TUSD CVA'!$AE$57)*(1 - CUSTOS!$M$39)</f>
        <v>-32.558130606063187</v>
      </c>
      <c r="AC57" s="31">
        <f ca="1">('TUSD BE'!$AF$57+'TUSD BF'!$AF$57+'TUSD CVA'!$AF$57)*(1 - CUSTOS!$M$39)</f>
        <v>0</v>
      </c>
      <c r="AD57" s="31">
        <f>('TUSD BE'!$AH$57+'TUSD BF'!$AH$57+'TUSD CVA'!$AH$57)*(1 - CUSTOS!$M$39)</f>
        <v>28.333678569035321</v>
      </c>
      <c r="AE57" s="31">
        <f>('TUSD BE'!$AI$57+'TUSD BF'!$AI$57+'TUSD CVA'!$AI$57)*(1 - CUSTOS!$M$39)</f>
        <v>0.85883934109866233</v>
      </c>
      <c r="AF57" s="31">
        <f ca="1">('TUSD BE'!$AJ$57+'TUSD BF'!$AJ$57+'TUSD CVA'!$AJ$57)*(1 - CUSTOS!$M$39)</f>
        <v>9.5952399080123794</v>
      </c>
      <c r="AG57" s="31">
        <f ca="1">('TUSD BE'!$AK$57+'TUSD BF'!$AK$57+'TUSD CVA'!$AK$57)*(1 - CUSTOS!$M$39)</f>
        <v>0</v>
      </c>
      <c r="AI57" s="31">
        <v>3.5445758715184201</v>
      </c>
      <c r="AJ57" s="31">
        <v>0.64187717307090497</v>
      </c>
      <c r="AK57" s="31">
        <v>3.2149787753052901</v>
      </c>
      <c r="AL57" s="31">
        <v>1.6377631462940301E-2</v>
      </c>
      <c r="AM57" s="31">
        <v>0</v>
      </c>
      <c r="AN57" s="31">
        <v>24.534377272769699</v>
      </c>
      <c r="AO57" s="31">
        <v>8.8760021016569102</v>
      </c>
      <c r="AP57" s="31">
        <v>0</v>
      </c>
      <c r="AQ57" s="31">
        <v>25.247267410341699</v>
      </c>
      <c r="AR57" s="31">
        <v>10.7872531740777</v>
      </c>
      <c r="AS57" s="31">
        <v>2.3805312511097898</v>
      </c>
      <c r="AT57" s="31">
        <v>0</v>
      </c>
      <c r="AU57" s="31">
        <v>2.0292512378718999</v>
      </c>
      <c r="AV57" s="31">
        <v>0</v>
      </c>
      <c r="AW57" s="31">
        <v>0</v>
      </c>
      <c r="AX57" s="31">
        <v>182.16956534860199</v>
      </c>
      <c r="AY57" s="31">
        <v>-3.02589084679569</v>
      </c>
      <c r="AZ57" s="31">
        <v>0</v>
      </c>
      <c r="BA57" s="31">
        <v>29.100644000613698</v>
      </c>
      <c r="BB57" s="31">
        <v>0.72997691199186299</v>
      </c>
      <c r="BC57" s="31">
        <v>10.010505820793201</v>
      </c>
      <c r="BD57" s="31">
        <v>0</v>
      </c>
    </row>
    <row r="58" spans="1:56" ht="11.25" customHeight="1" x14ac:dyDescent="0.25">
      <c r="A58" s="97"/>
      <c r="B58" s="97"/>
      <c r="C58" s="97"/>
      <c r="D58" s="37" t="s">
        <v>117</v>
      </c>
      <c r="E58" s="37" t="s">
        <v>25</v>
      </c>
      <c r="F58" s="37" t="s">
        <v>25</v>
      </c>
      <c r="G58" s="38" t="s">
        <v>108</v>
      </c>
      <c r="H58" s="38" t="s">
        <v>102</v>
      </c>
      <c r="I58" s="38">
        <f>'MERCADO TUSD'!$U$55</f>
        <v>0</v>
      </c>
      <c r="J58" s="15"/>
      <c r="L58" s="31">
        <f>('TUSD BE'!$L$58+'TUSD BF'!$L$58+'TUSD CVA'!$L$58)*(1 - CUSTOS!$M$40)</f>
        <v>3.9201218453504918</v>
      </c>
      <c r="M58" s="31">
        <f>('TUSD BE'!$M$58+'TUSD BF'!$M$58+'TUSD CVA'!$M$58)*(1 - CUSTOS!$M$40)</f>
        <v>0.75742062980317459</v>
      </c>
      <c r="N58" s="31">
        <f ca="1">('TUSD BE'!$N$58+'TUSD BF'!$N$58+'TUSD CVA'!$N$58)*(1 - CUSTOS!$M$40)</f>
        <v>3.2081123119946509</v>
      </c>
      <c r="O58" s="31">
        <f>('TUSD BE'!$O$58+'TUSD BF'!$O$58+'TUSD CVA'!$O$58)*(1 - CUSTOS!$M$40)</f>
        <v>1.7229930178552448E-2</v>
      </c>
      <c r="P58" s="31">
        <f>('TUSD BE'!$P$58+'TUSD BF'!$P$58+'TUSD CVA'!$P$58)*(1 - CUSTOS!$M$40)</f>
        <v>0</v>
      </c>
      <c r="Q58" s="31">
        <f>('TUSD BE'!$Q$58+'TUSD BF'!$Q$58+'TUSD CVA'!$Q$58)*(1 - CUSTOS!$M$40)</f>
        <v>43.424282403190723</v>
      </c>
      <c r="R58" s="31">
        <f>('TUSD BE'!$R$58+'TUSD BF'!$R$58+'TUSD CVA'!$R$58)*(1 - CUSTOS!$M$40)</f>
        <v>16.607688573223239</v>
      </c>
      <c r="S58" s="31">
        <f>('TUSD BE'!$S$58+'TUSD BF'!$S$58+'TUSD CVA'!$S$58)*(1 - CUSTOS!$M$40)</f>
        <v>0</v>
      </c>
      <c r="T58" s="31">
        <f>('TUSD BE'!$U$58+'TUSD BF'!$U$58+'TUSD CVA'!$U$58)*(1 - CUSTOS!$M$40)</f>
        <v>31.755823620482204</v>
      </c>
      <c r="U58" s="31">
        <f>('TUSD BE'!$V$58+'TUSD BF'!$V$58+'TUSD CVA'!$V$58)*(1 - CUSTOS!$M$40)</f>
        <v>9.7993968000992933</v>
      </c>
      <c r="V58" s="31">
        <f>('TUSD BE'!$W$58+'TUSD BF'!$W$58+'TUSD CVA'!$W$58)*(1 - CUSTOS!$M$40)</f>
        <v>1.5032167740546727</v>
      </c>
      <c r="W58" s="31">
        <f>('TUSD BE'!$X$58+'TUSD BF'!$X$58+'TUSD CVA'!$X$58)*(1 - CUSTOS!$M$40)</f>
        <v>8.7437612859877792E-2</v>
      </c>
      <c r="X58" s="31">
        <f>('TUSD BE'!$Y$58+'TUSD BF'!$Y$58+'TUSD CVA'!$Y$58)*(1 - CUSTOS!$M$40)</f>
        <v>1.8373120618757275</v>
      </c>
      <c r="Y58" s="31">
        <f>('TUSD BE'!$Z$58+'TUSD BF'!$Z$58+'TUSD CVA'!$Z$58)*(1 - CUSTOS!$M$40)</f>
        <v>0</v>
      </c>
      <c r="Z58" s="31">
        <f>('TUSD BE'!$AA$58+'TUSD BF'!$AA$58+'TUSD CVA'!$AA$58)*(1 - CUSTOS!$M$40)</f>
        <v>0</v>
      </c>
      <c r="AA58" s="31">
        <f>('TUSD BE'!$AC$58+'TUSD BF'!$AC$58+'TUSD CVA'!$AC$58)*(1 - CUSTOS!$M$40)</f>
        <v>209.0661030477211</v>
      </c>
      <c r="AB58" s="31">
        <f ca="1">('TUSD BE'!$AE$58+'TUSD BF'!$AE$58+'TUSD CVA'!$AE$58)*(1 - CUSTOS!$M$40)</f>
        <v>-31.865404422955464</v>
      </c>
      <c r="AC58" s="31">
        <f ca="1">('TUSD BE'!$AF$58+'TUSD BF'!$AF$58+'TUSD CVA'!$AF$58)*(1 - CUSTOS!$M$40)</f>
        <v>0</v>
      </c>
      <c r="AD58" s="31">
        <f>('TUSD BE'!$AH$58+'TUSD BF'!$AH$58+'TUSD CVA'!$AH$58)*(1 - CUSTOS!$M$40)</f>
        <v>27.730834344162233</v>
      </c>
      <c r="AE58" s="31">
        <f>('TUSD BE'!$AI$58+'TUSD BF'!$AI$58+'TUSD CVA'!$AI$58)*(1 - CUSTOS!$M$40)</f>
        <v>0.84056616362847802</v>
      </c>
      <c r="AF58" s="31">
        <f ca="1">('TUSD BE'!$AJ$58+'TUSD BF'!$AJ$58+'TUSD CVA'!$AJ$58)*(1 - CUSTOS!$M$40)</f>
        <v>9.3910858674163737</v>
      </c>
      <c r="AG58" s="31">
        <f ca="1">('TUSD BE'!$AK$58+'TUSD BF'!$AK$58+'TUSD CVA'!$AK$58)*(1 - CUSTOS!$M$40)</f>
        <v>0</v>
      </c>
      <c r="AI58" s="31">
        <v>3.3834587864493999</v>
      </c>
      <c r="AJ58" s="31">
        <v>0.61270093793131897</v>
      </c>
      <c r="AK58" s="31">
        <v>3.0688433764277701</v>
      </c>
      <c r="AL58" s="31">
        <v>1.5633193669170299E-2</v>
      </c>
      <c r="AM58" s="31">
        <v>0</v>
      </c>
      <c r="AN58" s="31">
        <v>23.4191783058256</v>
      </c>
      <c r="AO58" s="31">
        <v>8.4725474606724998</v>
      </c>
      <c r="AP58" s="31">
        <v>0</v>
      </c>
      <c r="AQ58" s="31">
        <v>24.099664346235201</v>
      </c>
      <c r="AR58" s="31">
        <v>10.2969234843469</v>
      </c>
      <c r="AS58" s="31">
        <v>2.27232528515025</v>
      </c>
      <c r="AT58" s="31">
        <v>0</v>
      </c>
      <c r="AU58" s="31">
        <v>1.93701254524136</v>
      </c>
      <c r="AV58" s="31">
        <v>0</v>
      </c>
      <c r="AW58" s="31">
        <v>0</v>
      </c>
      <c r="AX58" s="31">
        <v>173.88913056003</v>
      </c>
      <c r="AY58" s="31">
        <v>-2.8883503537595199</v>
      </c>
      <c r="AZ58" s="31">
        <v>0</v>
      </c>
      <c r="BA58" s="31">
        <v>27.7778874551313</v>
      </c>
      <c r="BB58" s="31">
        <v>0.69679614326495998</v>
      </c>
      <c r="BC58" s="31">
        <v>9.5554828289389793</v>
      </c>
      <c r="BD58" s="31">
        <v>0</v>
      </c>
    </row>
    <row r="59" spans="1:56" ht="11.25" customHeight="1" x14ac:dyDescent="0.25">
      <c r="A59" s="97" t="s">
        <v>37</v>
      </c>
      <c r="B59" s="97" t="s">
        <v>33</v>
      </c>
      <c r="C59" s="97" t="s">
        <v>25</v>
      </c>
      <c r="D59" s="97" t="s">
        <v>25</v>
      </c>
      <c r="E59" s="97" t="s">
        <v>25</v>
      </c>
      <c r="F59" s="97" t="s">
        <v>25</v>
      </c>
      <c r="G59" s="38" t="s">
        <v>103</v>
      </c>
      <c r="H59" s="38" t="s">
        <v>102</v>
      </c>
      <c r="I59" s="38">
        <f>'MERCADO TUSD'!$U$56</f>
        <v>54.588999999999999</v>
      </c>
      <c r="J59" s="15"/>
      <c r="L59" s="31">
        <f>('TUSD BE'!$L$59+'TUSD BF'!$L$59+'TUSD CVA'!$L$59)*1</f>
        <v>4.2610020058157518</v>
      </c>
      <c r="M59" s="31">
        <f>('TUSD BE'!$M$59+'TUSD BF'!$M$59+'TUSD CVA'!$M$59)*1</f>
        <v>0.82328329326432015</v>
      </c>
      <c r="N59" s="31">
        <f ca="1">('TUSD BE'!$N$59+'TUSD BF'!$N$59+'TUSD CVA'!$N$59)*1</f>
        <v>9.7013220316987745</v>
      </c>
      <c r="O59" s="31">
        <f>('TUSD BE'!$O$59+'TUSD BF'!$O$59+'TUSD CVA'!$O$59)*1</f>
        <v>1.8728184976687441E-2</v>
      </c>
      <c r="P59" s="31">
        <f>('TUSD BE'!$P$59+'TUSD BF'!$P$59+'TUSD CVA'!$P$59)*1</f>
        <v>0</v>
      </c>
      <c r="Q59" s="31">
        <f>('TUSD BE'!$Q$59+'TUSD BF'!$Q$59+'TUSD CVA'!$Q$59)*1</f>
        <v>47.200306959989916</v>
      </c>
      <c r="R59" s="31">
        <f>('TUSD BE'!$R$59+'TUSD BF'!$R$59+'TUSD CVA'!$R$59)*1</f>
        <v>18.051835405677433</v>
      </c>
      <c r="S59" s="31">
        <f>('TUSD BE'!$S$59+'TUSD BF'!$S$59+'TUSD CVA'!$S$59)*1</f>
        <v>0</v>
      </c>
      <c r="T59" s="31">
        <f>('TUSD BE'!$U$59+'TUSD BF'!$U$59+'TUSD CVA'!$U$59)*1</f>
        <v>117.35824438580164</v>
      </c>
      <c r="U59" s="31">
        <f>('TUSD BE'!$V$59+'TUSD BF'!$V$59+'TUSD CVA'!$V$59)*1</f>
        <v>36.21526936957418</v>
      </c>
      <c r="V59" s="31">
        <f>('TUSD BE'!$W$59+'TUSD BF'!$W$59+'TUSD CVA'!$W$59)*1</f>
        <v>5.5553295096116404</v>
      </c>
      <c r="W59" s="31">
        <f>('TUSD BE'!$X$59+'TUSD BF'!$X$59+'TUSD CVA'!$X$59)*1</f>
        <v>0.3230988176272715</v>
      </c>
      <c r="X59" s="31">
        <f>('TUSD BE'!$Y$59+'TUSD BF'!$Y$59+'TUSD CVA'!$Y$59)*1</f>
        <v>6.7900663156276888</v>
      </c>
      <c r="Y59" s="31">
        <f>('TUSD BE'!$Z$59+'TUSD BF'!$Z$59+'TUSD CVA'!$Z$59)*1</f>
        <v>0</v>
      </c>
      <c r="Z59" s="31">
        <f>('TUSD BE'!$AA$59+'TUSD BF'!$AA$59+'TUSD CVA'!$AA$59)*1</f>
        <v>0</v>
      </c>
      <c r="AA59" s="31">
        <f>('TUSD BE'!$AC$59+'TUSD BF'!$AC$59+'TUSD CVA'!$AC$59)*1</f>
        <v>772.63550826947505</v>
      </c>
      <c r="AB59" s="31">
        <f ca="1">('TUSD BE'!$AE$59+'TUSD BF'!$AE$59+'TUSD CVA'!$AE$59)*1</f>
        <v>-95.280321022198976</v>
      </c>
      <c r="AC59" s="31">
        <f ca="1">('TUSD BE'!$AF$59+'TUSD BF'!$AF$59+'TUSD CVA'!$AF$59)*1</f>
        <v>0</v>
      </c>
      <c r="AD59" s="31">
        <f>('TUSD BE'!$AH$59+'TUSD BF'!$AH$59+'TUSD CVA'!$AH$59)*1</f>
        <v>30.1422112436546</v>
      </c>
      <c r="AE59" s="31">
        <f>('TUSD BE'!$AI$59+'TUSD BF'!$AI$59+'TUSD CVA'!$AI$59)*1</f>
        <v>0.91365887350921526</v>
      </c>
      <c r="AF59" s="31">
        <f ca="1">('TUSD BE'!$AJ$59+'TUSD BF'!$AJ$59+'TUSD CVA'!$AJ$59)*1</f>
        <v>10.207702029800405</v>
      </c>
      <c r="AG59" s="31">
        <f ca="1">('TUSD BE'!$AK$59+'TUSD BF'!$AK$59+'TUSD CVA'!$AK$59)*1</f>
        <v>0</v>
      </c>
      <c r="AI59" s="31">
        <v>4.0279271267254799</v>
      </c>
      <c r="AJ59" s="31">
        <v>0.72940587848966498</v>
      </c>
      <c r="AK59" s="31">
        <v>10.1910149190302</v>
      </c>
      <c r="AL59" s="31">
        <v>1.86109448442504E-2</v>
      </c>
      <c r="AM59" s="31">
        <v>0</v>
      </c>
      <c r="AN59" s="31">
        <v>27.879974173601902</v>
      </c>
      <c r="AO59" s="31">
        <v>10.086366024610101</v>
      </c>
      <c r="AP59" s="31">
        <v>0</v>
      </c>
      <c r="AQ59" s="31">
        <v>97.546065776543301</v>
      </c>
      <c r="AR59" s="31">
        <v>41.678147092317097</v>
      </c>
      <c r="AS59" s="31">
        <v>9.1974461317121605</v>
      </c>
      <c r="AT59" s="31">
        <v>0</v>
      </c>
      <c r="AU59" s="31">
        <v>7.8402888735959904</v>
      </c>
      <c r="AV59" s="31">
        <v>0</v>
      </c>
      <c r="AW59" s="31">
        <v>0</v>
      </c>
      <c r="AX59" s="31">
        <v>703.83687508787705</v>
      </c>
      <c r="AY59" s="31">
        <v>-9.7267858113703198</v>
      </c>
      <c r="AZ59" s="31">
        <v>0</v>
      </c>
      <c r="BA59" s="31">
        <v>33.068913637061002</v>
      </c>
      <c r="BB59" s="31">
        <v>0.82951921817257102</v>
      </c>
      <c r="BC59" s="31">
        <v>11.375574796355901</v>
      </c>
      <c r="BD59" s="31">
        <v>0</v>
      </c>
    </row>
    <row r="60" spans="1:56" ht="11.25" customHeight="1" x14ac:dyDescent="0.25">
      <c r="A60" s="97"/>
      <c r="B60" s="97"/>
      <c r="C60" s="97"/>
      <c r="D60" s="97"/>
      <c r="E60" s="97"/>
      <c r="F60" s="97"/>
      <c r="G60" s="38" t="s">
        <v>113</v>
      </c>
      <c r="H60" s="38" t="s">
        <v>102</v>
      </c>
      <c r="I60" s="38">
        <f>'MERCADO TUSD'!$U$57</f>
        <v>66.038999999999987</v>
      </c>
      <c r="J60" s="15"/>
      <c r="L60" s="31">
        <f>('TUSD BE'!$L$60+'TUSD BF'!$L$60+'TUSD CVA'!$L$60)*1</f>
        <v>4.2610020058157518</v>
      </c>
      <c r="M60" s="31">
        <f>('TUSD BE'!$M$60+'TUSD BF'!$M$60+'TUSD CVA'!$M$60)*1</f>
        <v>0.82328329326432015</v>
      </c>
      <c r="N60" s="31">
        <f ca="1">('TUSD BE'!$N$60+'TUSD BF'!$N$60+'TUSD CVA'!$N$60)*1</f>
        <v>6.1799182069239906</v>
      </c>
      <c r="O60" s="31">
        <f>('TUSD BE'!$O$60+'TUSD BF'!$O$60+'TUSD CVA'!$O$60)*1</f>
        <v>1.8728184976687441E-2</v>
      </c>
      <c r="P60" s="31">
        <f>('TUSD BE'!$P$60+'TUSD BF'!$P$60+'TUSD CVA'!$P$60)*1</f>
        <v>0</v>
      </c>
      <c r="Q60" s="31">
        <f>('TUSD BE'!$Q$60+'TUSD BF'!$Q$60+'TUSD CVA'!$Q$60)*1</f>
        <v>47.200306959989916</v>
      </c>
      <c r="R60" s="31">
        <f>('TUSD BE'!$R$60+'TUSD BF'!$R$60+'TUSD CVA'!$R$60)*1</f>
        <v>18.051835405677433</v>
      </c>
      <c r="S60" s="31">
        <f>('TUSD BE'!$S$60+'TUSD BF'!$S$60+'TUSD CVA'!$S$60)*1</f>
        <v>0</v>
      </c>
      <c r="T60" s="31">
        <f>('TUSD BE'!$U$60+'TUSD BF'!$U$60+'TUSD CVA'!$U$60)*1</f>
        <v>70.414946631480973</v>
      </c>
      <c r="U60" s="31">
        <f>('TUSD BE'!$V$60+'TUSD BF'!$V$60+'TUSD CVA'!$V$60)*1</f>
        <v>21.729215262869854</v>
      </c>
      <c r="V60" s="31">
        <f>('TUSD BE'!$W$60+'TUSD BF'!$W$60+'TUSD CVA'!$W$60)*1</f>
        <v>3.3332345350530463</v>
      </c>
      <c r="W60" s="31">
        <f>('TUSD BE'!$X$60+'TUSD BF'!$X$60+'TUSD CVA'!$X$60)*1</f>
        <v>0.19389947699646579</v>
      </c>
      <c r="X60" s="31">
        <f>('TUSD BE'!$Y$60+'TUSD BF'!$Y$60+'TUSD CVA'!$Y$60)*1</f>
        <v>4.0739822228622309</v>
      </c>
      <c r="Y60" s="31">
        <f>('TUSD BE'!$Z$60+'TUSD BF'!$Z$60+'TUSD CVA'!$Z$60)*1</f>
        <v>0</v>
      </c>
      <c r="Z60" s="31">
        <f>('TUSD BE'!$AA$60+'TUSD BF'!$AA$60+'TUSD CVA'!$AA$60)*1</f>
        <v>0</v>
      </c>
      <c r="AA60" s="31">
        <f>('TUSD BE'!$AC$60+'TUSD BF'!$AC$60+'TUSD CVA'!$AC$60)*1</f>
        <v>463.58134993686684</v>
      </c>
      <c r="AB60" s="31">
        <f ca="1">('TUSD BE'!$AE$60+'TUSD BF'!$AE$60+'TUSD CVA'!$AE$60)*1</f>
        <v>-60.915386973818919</v>
      </c>
      <c r="AC60" s="31">
        <f ca="1">('TUSD BE'!$AF$60+'TUSD BF'!$AF$60+'TUSD CVA'!$AF$60)*1</f>
        <v>0</v>
      </c>
      <c r="AD60" s="31">
        <f>('TUSD BE'!$AH$60+'TUSD BF'!$AH$60+'TUSD CVA'!$AH$60)*1</f>
        <v>30.1422112436546</v>
      </c>
      <c r="AE60" s="31">
        <f>('TUSD BE'!$AI$60+'TUSD BF'!$AI$60+'TUSD CVA'!$AI$60)*1</f>
        <v>0.91365887350921526</v>
      </c>
      <c r="AF60" s="31">
        <f ca="1">('TUSD BE'!$AJ$60+'TUSD BF'!$AJ$60+'TUSD CVA'!$AJ$60)*1</f>
        <v>10.207702029800405</v>
      </c>
      <c r="AG60" s="31">
        <f ca="1">('TUSD BE'!$AK$60+'TUSD BF'!$AK$60+'TUSD CVA'!$AK$60)*1</f>
        <v>0</v>
      </c>
      <c r="AI60" s="31">
        <v>4.0279271267254799</v>
      </c>
      <c r="AJ60" s="31">
        <v>0.72940587848966498</v>
      </c>
      <c r="AK60" s="31">
        <v>6.4863584005271102</v>
      </c>
      <c r="AL60" s="31">
        <v>1.86109448442504E-2</v>
      </c>
      <c r="AM60" s="31">
        <v>0</v>
      </c>
      <c r="AN60" s="31">
        <v>27.879974173601902</v>
      </c>
      <c r="AO60" s="31">
        <v>10.086366024610101</v>
      </c>
      <c r="AP60" s="31">
        <v>0</v>
      </c>
      <c r="AQ60" s="31">
        <v>58.527639465926001</v>
      </c>
      <c r="AR60" s="31">
        <v>25.0069499879896</v>
      </c>
      <c r="AS60" s="31">
        <v>5.5185286538756904</v>
      </c>
      <c r="AT60" s="31">
        <v>0</v>
      </c>
      <c r="AU60" s="31">
        <v>4.7041068538049897</v>
      </c>
      <c r="AV60" s="31">
        <v>0</v>
      </c>
      <c r="AW60" s="31">
        <v>0</v>
      </c>
      <c r="AX60" s="31">
        <v>422.302166023133</v>
      </c>
      <c r="AY60" s="31">
        <v>-6.1634313948185504</v>
      </c>
      <c r="AZ60" s="31">
        <v>0</v>
      </c>
      <c r="BA60" s="31">
        <v>33.068913637061002</v>
      </c>
      <c r="BB60" s="31">
        <v>0.82951921817257102</v>
      </c>
      <c r="BC60" s="31">
        <v>11.375574796355901</v>
      </c>
      <c r="BD60" s="31">
        <v>0</v>
      </c>
    </row>
    <row r="61" spans="1:56" ht="11.25" customHeight="1" x14ac:dyDescent="0.25">
      <c r="A61" s="97"/>
      <c r="B61" s="97"/>
      <c r="C61" s="97"/>
      <c r="D61" s="97"/>
      <c r="E61" s="97"/>
      <c r="F61" s="97"/>
      <c r="G61" s="38" t="s">
        <v>104</v>
      </c>
      <c r="H61" s="38" t="s">
        <v>102</v>
      </c>
      <c r="I61" s="38">
        <f>'MERCADO TUSD'!$U$58</f>
        <v>1004.5179999999999</v>
      </c>
      <c r="J61" s="15"/>
      <c r="L61" s="31">
        <f>('TUSD BE'!$L$61+'TUSD BF'!$L$61+'TUSD CVA'!$L$61)*1</f>
        <v>4.2610020058157518</v>
      </c>
      <c r="M61" s="31">
        <f>('TUSD BE'!$M$61+'TUSD BF'!$M$61+'TUSD CVA'!$M$61)*1</f>
        <v>0.82328329326432015</v>
      </c>
      <c r="N61" s="31">
        <f ca="1">('TUSD BE'!$N$61+'TUSD BF'!$N$61+'TUSD CVA'!$N$61)*1</f>
        <v>2.6585111645490462</v>
      </c>
      <c r="O61" s="31">
        <f>('TUSD BE'!$O$61+'TUSD BF'!$O$61+'TUSD CVA'!$O$61)*1</f>
        <v>1.8728184976687441E-2</v>
      </c>
      <c r="P61" s="31">
        <f>('TUSD BE'!$P$61+'TUSD BF'!$P$61+'TUSD CVA'!$P$61)*1</f>
        <v>0</v>
      </c>
      <c r="Q61" s="31">
        <f>('TUSD BE'!$Q$61+'TUSD BF'!$Q$61+'TUSD CVA'!$Q$61)*1</f>
        <v>47.200306959989916</v>
      </c>
      <c r="R61" s="31">
        <f>('TUSD BE'!$R$61+'TUSD BF'!$R$61+'TUSD CVA'!$R$61)*1</f>
        <v>18.051835405677433</v>
      </c>
      <c r="S61" s="31">
        <f>('TUSD BE'!$S$61+'TUSD BF'!$S$61+'TUSD CVA'!$S$61)*1</f>
        <v>0</v>
      </c>
      <c r="T61" s="31">
        <f>('TUSD BE'!$U$61+'TUSD BF'!$U$61+'TUSD CVA'!$U$61)*1</f>
        <v>23.471648877160323</v>
      </c>
      <c r="U61" s="31">
        <f>('TUSD BE'!$V$61+'TUSD BF'!$V$61+'TUSD CVA'!$V$61)*1</f>
        <v>7.2430270533521588</v>
      </c>
      <c r="V61" s="31">
        <f>('TUSD BE'!$W$61+'TUSD BF'!$W$61+'TUSD CVA'!$W$61)*1</f>
        <v>1.1110781783510155</v>
      </c>
      <c r="W61" s="31">
        <f>('TUSD BE'!$X$61+'TUSD BF'!$X$61+'TUSD CVA'!$X$61)*1</f>
        <v>6.4599670315402855E-2</v>
      </c>
      <c r="X61" s="31">
        <f>('TUSD BE'!$Y$61+'TUSD BF'!$Y$61+'TUSD CVA'!$Y$61)*1</f>
        <v>1.3579940742874101</v>
      </c>
      <c r="Y61" s="31">
        <f>('TUSD BE'!$Z$61+'TUSD BF'!$Z$61+'TUSD CVA'!$Z$61)*1</f>
        <v>0</v>
      </c>
      <c r="Z61" s="31">
        <f>('TUSD BE'!$AA$61+'TUSD BF'!$AA$61+'TUSD CVA'!$AA$61)*1</f>
        <v>0</v>
      </c>
      <c r="AA61" s="31">
        <f>('TUSD BE'!$AC$61+'TUSD BF'!$AC$61+'TUSD CVA'!$AC$61)*1</f>
        <v>154.52707916630405</v>
      </c>
      <c r="AB61" s="31">
        <f ca="1">('TUSD BE'!$AE$61+'TUSD BF'!$AE$61+'TUSD CVA'!$AE$61)*1</f>
        <v>-26.550425076818833</v>
      </c>
      <c r="AC61" s="31">
        <f ca="1">('TUSD BE'!$AF$61+'TUSD BF'!$AF$61+'TUSD CVA'!$AF$61)*1</f>
        <v>0</v>
      </c>
      <c r="AD61" s="31">
        <f>('TUSD BE'!$AH$61+'TUSD BF'!$AH$61+'TUSD CVA'!$AH$61)*1</f>
        <v>30.1422112436546</v>
      </c>
      <c r="AE61" s="31">
        <f>('TUSD BE'!$AI$61+'TUSD BF'!$AI$61+'TUSD CVA'!$AI$61)*1</f>
        <v>0.91365887350921526</v>
      </c>
      <c r="AF61" s="31">
        <f ca="1">('TUSD BE'!$AJ$61+'TUSD BF'!$AJ$61+'TUSD CVA'!$AJ$61)*1</f>
        <v>10.207702029800405</v>
      </c>
      <c r="AG61" s="31">
        <f ca="1">('TUSD BE'!$AK$61+'TUSD BF'!$AK$61+'TUSD CVA'!$AK$61)*1</f>
        <v>0</v>
      </c>
      <c r="AI61" s="31">
        <v>4.0279271267254799</v>
      </c>
      <c r="AJ61" s="31">
        <v>0.72940587848966498</v>
      </c>
      <c r="AK61" s="31">
        <v>2.7816996244444101</v>
      </c>
      <c r="AL61" s="31">
        <v>1.86109448442504E-2</v>
      </c>
      <c r="AM61" s="31">
        <v>0</v>
      </c>
      <c r="AN61" s="31">
        <v>27.879974173601902</v>
      </c>
      <c r="AO61" s="31">
        <v>10.086366024610101</v>
      </c>
      <c r="AP61" s="31">
        <v>0</v>
      </c>
      <c r="AQ61" s="31">
        <v>19.5092131553087</v>
      </c>
      <c r="AR61" s="31">
        <v>8.3355985521637699</v>
      </c>
      <c r="AS61" s="31">
        <v>1.8395095512919</v>
      </c>
      <c r="AT61" s="31">
        <v>0</v>
      </c>
      <c r="AU61" s="31">
        <v>1.5680356179349999</v>
      </c>
      <c r="AV61" s="31">
        <v>0</v>
      </c>
      <c r="AW61" s="31">
        <v>0</v>
      </c>
      <c r="AX61" s="31">
        <v>140.767354532372</v>
      </c>
      <c r="AY61" s="31">
        <v>-2.60007458192214</v>
      </c>
      <c r="AZ61" s="31">
        <v>0</v>
      </c>
      <c r="BA61" s="31">
        <v>33.068913637061002</v>
      </c>
      <c r="BB61" s="31">
        <v>0.82951921817257102</v>
      </c>
      <c r="BC61" s="31">
        <v>11.375574796355901</v>
      </c>
      <c r="BD61" s="31">
        <v>0</v>
      </c>
    </row>
    <row r="62" spans="1:56" ht="11.25" customHeight="1" x14ac:dyDescent="0.25">
      <c r="A62" s="97"/>
      <c r="B62" s="37" t="s">
        <v>23</v>
      </c>
      <c r="C62" s="37" t="s">
        <v>25</v>
      </c>
      <c r="D62" s="37" t="s">
        <v>25</v>
      </c>
      <c r="E62" s="37" t="s">
        <v>25</v>
      </c>
      <c r="F62" s="37" t="s">
        <v>25</v>
      </c>
      <c r="G62" s="38" t="s">
        <v>108</v>
      </c>
      <c r="H62" s="38" t="s">
        <v>102</v>
      </c>
      <c r="I62" s="38">
        <f>'MERCADO TUSD'!$U$59</f>
        <v>650710.04299999995</v>
      </c>
      <c r="J62" s="15"/>
      <c r="L62" s="31">
        <f>('TUSD BE'!$L$62+'TUSD BF'!$L$62+'TUSD CVA'!$L$62)*1</f>
        <v>4.2610020058157518</v>
      </c>
      <c r="M62" s="31">
        <f>('TUSD BE'!$M$62+'TUSD BF'!$M$62+'TUSD CVA'!$M$62)*1</f>
        <v>0.82328329326432015</v>
      </c>
      <c r="N62" s="31">
        <f ca="1">('TUSD BE'!$N$62+'TUSD BF'!$N$62+'TUSD CVA'!$N$62)*1</f>
        <v>3.4870785999941858</v>
      </c>
      <c r="O62" s="31">
        <f>('TUSD BE'!$O$62+'TUSD BF'!$O$62+'TUSD CVA'!$O$62)*1</f>
        <v>1.8728184976687441E-2</v>
      </c>
      <c r="P62" s="31">
        <f>('TUSD BE'!$P$62+'TUSD BF'!$P$62+'TUSD CVA'!$P$62)*1</f>
        <v>0</v>
      </c>
      <c r="Q62" s="31">
        <f>('TUSD BE'!$Q$62+'TUSD BF'!$Q$62+'TUSD CVA'!$Q$62)*1</f>
        <v>47.200306959989916</v>
      </c>
      <c r="R62" s="31">
        <f>('TUSD BE'!$R$62+'TUSD BF'!$R$62+'TUSD CVA'!$R$62)*1</f>
        <v>18.051835405677433</v>
      </c>
      <c r="S62" s="31">
        <f>('TUSD BE'!$S$62+'TUSD BF'!$S$62+'TUSD CVA'!$S$62)*1</f>
        <v>0</v>
      </c>
      <c r="T62" s="31">
        <f>('TUSD BE'!$U$62+'TUSD BF'!$U$62+'TUSD CVA'!$U$62)*1</f>
        <v>34.517199587480654</v>
      </c>
      <c r="U62" s="31">
        <f>('TUSD BE'!$V$62+'TUSD BF'!$V$62+'TUSD CVA'!$V$62)*1</f>
        <v>10.651518260977491</v>
      </c>
      <c r="V62" s="31">
        <f>('TUSD BE'!$W$62+'TUSD BF'!$W$62+'TUSD CVA'!$W$62)*1</f>
        <v>1.6339312761463833</v>
      </c>
      <c r="W62" s="31">
        <f>('TUSD BE'!$X$62+'TUSD BF'!$X$62+'TUSD CVA'!$X$62)*1</f>
        <v>9.5040883543345417E-2</v>
      </c>
      <c r="X62" s="31">
        <f>('TUSD BE'!$Y$62+'TUSD BF'!$Y$62+'TUSD CVA'!$Y$62)*1</f>
        <v>1.9970783281257907</v>
      </c>
      <c r="Y62" s="31">
        <f>('TUSD BE'!$Z$62+'TUSD BF'!$Z$62+'TUSD CVA'!$Z$62)*1</f>
        <v>0</v>
      </c>
      <c r="Z62" s="31">
        <f>('TUSD BE'!$AA$62+'TUSD BF'!$AA$62+'TUSD CVA'!$AA$62)*1</f>
        <v>0</v>
      </c>
      <c r="AA62" s="31">
        <f>('TUSD BE'!$AC$62+'TUSD BF'!$AC$62+'TUSD CVA'!$AC$62)*1</f>
        <v>227.24576418230552</v>
      </c>
      <c r="AB62" s="31">
        <f ca="1">('TUSD BE'!$AE$62+'TUSD BF'!$AE$62+'TUSD CVA'!$AE$62)*1</f>
        <v>-34.636309155386371</v>
      </c>
      <c r="AC62" s="31">
        <f ca="1">('TUSD BE'!$AF$62+'TUSD BF'!$AF$62+'TUSD CVA'!$AF$62)*1</f>
        <v>0</v>
      </c>
      <c r="AD62" s="31">
        <f>('TUSD BE'!$AH$62+'TUSD BF'!$AH$62+'TUSD CVA'!$AH$62)*1</f>
        <v>30.1422112436546</v>
      </c>
      <c r="AE62" s="31">
        <f>('TUSD BE'!$AI$62+'TUSD BF'!$AI$62+'TUSD CVA'!$AI$62)*1</f>
        <v>0.91365887350921526</v>
      </c>
      <c r="AF62" s="31">
        <f ca="1">('TUSD BE'!$AJ$62+'TUSD BF'!$AJ$62+'TUSD CVA'!$AJ$62)*1</f>
        <v>10.207702029800405</v>
      </c>
      <c r="AG62" s="31">
        <f ca="1">('TUSD BE'!$AK$62+'TUSD BF'!$AK$62+'TUSD CVA'!$AK$62)*1</f>
        <v>0</v>
      </c>
      <c r="AI62" s="31">
        <v>4.0279271267254799</v>
      </c>
      <c r="AJ62" s="31">
        <v>0.72940587848966498</v>
      </c>
      <c r="AK62" s="31">
        <v>3.6533849719378302</v>
      </c>
      <c r="AL62" s="31">
        <v>1.86109448442504E-2</v>
      </c>
      <c r="AM62" s="31">
        <v>0</v>
      </c>
      <c r="AN62" s="31">
        <v>27.879974173601902</v>
      </c>
      <c r="AO62" s="31">
        <v>10.086366024610101</v>
      </c>
      <c r="AP62" s="31">
        <v>0</v>
      </c>
      <c r="AQ62" s="31">
        <v>28.690076602661001</v>
      </c>
      <c r="AR62" s="31">
        <v>12.2582422432702</v>
      </c>
      <c r="AS62" s="31">
        <v>2.7051491489883999</v>
      </c>
      <c r="AT62" s="31">
        <v>0</v>
      </c>
      <c r="AU62" s="31">
        <v>2.3059673157635299</v>
      </c>
      <c r="AV62" s="31">
        <v>0</v>
      </c>
      <c r="AW62" s="31">
        <v>0</v>
      </c>
      <c r="AX62" s="31">
        <v>207.01086971432099</v>
      </c>
      <c r="AY62" s="31">
        <v>-3.4385123259041901</v>
      </c>
      <c r="AZ62" s="31">
        <v>0</v>
      </c>
      <c r="BA62" s="31">
        <v>33.068913637061002</v>
      </c>
      <c r="BB62" s="31">
        <v>0.82951921817257102</v>
      </c>
      <c r="BC62" s="31">
        <v>11.375574796355901</v>
      </c>
      <c r="BD62" s="31">
        <v>0</v>
      </c>
    </row>
    <row r="63" spans="1:56" ht="11.25" customHeight="1" x14ac:dyDescent="0.25">
      <c r="A63" s="97"/>
      <c r="B63" s="37" t="s">
        <v>115</v>
      </c>
      <c r="C63" s="37" t="s">
        <v>25</v>
      </c>
      <c r="D63" s="37" t="s">
        <v>25</v>
      </c>
      <c r="E63" s="37" t="s">
        <v>25</v>
      </c>
      <c r="F63" s="37" t="s">
        <v>25</v>
      </c>
      <c r="G63" s="38" t="s">
        <v>108</v>
      </c>
      <c r="H63" s="38" t="s">
        <v>102</v>
      </c>
      <c r="I63" s="38">
        <f>'MERCADO TUSD'!$U$60</f>
        <v>0</v>
      </c>
      <c r="J63" s="15"/>
      <c r="L63" s="31">
        <f>('TUSD BE'!$L$63+'TUSD BF'!$L$63+'TUSD CVA'!$L$63)*1</f>
        <v>4.2610020058157518</v>
      </c>
      <c r="M63" s="31">
        <f>('TUSD BE'!$M$63+'TUSD BF'!$M$63+'TUSD CVA'!$M$63)*1</f>
        <v>0.82328329326432015</v>
      </c>
      <c r="N63" s="31">
        <f ca="1">('TUSD BE'!$N$63+'TUSD BF'!$N$63+'TUSD CVA'!$N$63)*1</f>
        <v>3.4870785999941858</v>
      </c>
      <c r="O63" s="31">
        <f>('TUSD BE'!$O$63+'TUSD BF'!$O$63+'TUSD CVA'!$O$63)*1</f>
        <v>1.8728184976687441E-2</v>
      </c>
      <c r="P63" s="31">
        <f>('TUSD BE'!$P$63+'TUSD BF'!$P$63+'TUSD CVA'!$P$63)*1</f>
        <v>0</v>
      </c>
      <c r="Q63" s="31">
        <f>('TUSD BE'!$Q$63+'TUSD BF'!$Q$63+'TUSD CVA'!$Q$63)*1</f>
        <v>47.200306959989916</v>
      </c>
      <c r="R63" s="31">
        <f>('TUSD BE'!$R$63+'TUSD BF'!$R$63+'TUSD CVA'!$R$63)*1</f>
        <v>18.051835405677433</v>
      </c>
      <c r="S63" s="31">
        <f>('TUSD BE'!$S$63+'TUSD BF'!$S$63+'TUSD CVA'!$S$63)*1</f>
        <v>0</v>
      </c>
      <c r="T63" s="31">
        <f>('TUSD BE'!$U$63+'TUSD BF'!$U$63+'TUSD CVA'!$U$63)*1</f>
        <v>34.517199587480654</v>
      </c>
      <c r="U63" s="31">
        <f>('TUSD BE'!$V$63+'TUSD BF'!$V$63+'TUSD CVA'!$V$63)*1</f>
        <v>10.651518260977491</v>
      </c>
      <c r="V63" s="31">
        <f>('TUSD BE'!$W$63+'TUSD BF'!$W$63+'TUSD CVA'!$W$63)*1</f>
        <v>1.6339312761463833</v>
      </c>
      <c r="W63" s="31">
        <f>('TUSD BE'!$X$63+'TUSD BF'!$X$63+'TUSD CVA'!$X$63)*1</f>
        <v>9.5040883543345417E-2</v>
      </c>
      <c r="X63" s="31">
        <f>('TUSD BE'!$Y$63+'TUSD BF'!$Y$63+'TUSD CVA'!$Y$63)*1</f>
        <v>1.9970783281257907</v>
      </c>
      <c r="Y63" s="31">
        <f>('TUSD BE'!$Z$63+'TUSD BF'!$Z$63+'TUSD CVA'!$Z$63)*1</f>
        <v>0</v>
      </c>
      <c r="Z63" s="31">
        <f>('TUSD BE'!$AA$63+'TUSD BF'!$AA$63+'TUSD CVA'!$AA$63)*1</f>
        <v>0</v>
      </c>
      <c r="AA63" s="31">
        <f>('TUSD BE'!$AC$63+'TUSD BF'!$AC$63+'TUSD CVA'!$AC$63)*1</f>
        <v>227.24576418230552</v>
      </c>
      <c r="AB63" s="31">
        <f ca="1">('TUSD BE'!$AE$63+'TUSD BF'!$AE$63+'TUSD CVA'!$AE$63)*1</f>
        <v>-34.636309155386371</v>
      </c>
      <c r="AC63" s="31">
        <f ca="1">('TUSD BE'!$AF$63+'TUSD BF'!$AF$63+'TUSD CVA'!$AF$63)*1</f>
        <v>0</v>
      </c>
      <c r="AD63" s="31">
        <f>('TUSD BE'!$AH$63+'TUSD BF'!$AH$63+'TUSD CVA'!$AH$63)*1</f>
        <v>30.1422112436546</v>
      </c>
      <c r="AE63" s="31">
        <f>('TUSD BE'!$AI$63+'TUSD BF'!$AI$63+'TUSD CVA'!$AI$63)*1</f>
        <v>0.91365887350921526</v>
      </c>
      <c r="AF63" s="31">
        <f ca="1">('TUSD BE'!$AJ$63+'TUSD BF'!$AJ$63+'TUSD CVA'!$AJ$63)*1</f>
        <v>10.207702029800405</v>
      </c>
      <c r="AG63" s="31">
        <f ca="1">('TUSD BE'!$AK$63+'TUSD BF'!$AK$63+'TUSD CVA'!$AK$63)*1</f>
        <v>0</v>
      </c>
      <c r="AI63" s="31">
        <v>4.0279271267254799</v>
      </c>
      <c r="AJ63" s="31">
        <v>0.72940587848966498</v>
      </c>
      <c r="AK63" s="31">
        <v>3.6533849719378302</v>
      </c>
      <c r="AL63" s="31">
        <v>1.86109448442504E-2</v>
      </c>
      <c r="AM63" s="31">
        <v>0</v>
      </c>
      <c r="AN63" s="31">
        <v>27.879974173601902</v>
      </c>
      <c r="AO63" s="31">
        <v>10.086366024610101</v>
      </c>
      <c r="AP63" s="31">
        <v>0</v>
      </c>
      <c r="AQ63" s="31">
        <v>28.690076602661001</v>
      </c>
      <c r="AR63" s="31">
        <v>12.2582422432702</v>
      </c>
      <c r="AS63" s="31">
        <v>2.7051491489883999</v>
      </c>
      <c r="AT63" s="31">
        <v>0</v>
      </c>
      <c r="AU63" s="31">
        <v>2.3059673157635299</v>
      </c>
      <c r="AV63" s="31">
        <v>0</v>
      </c>
      <c r="AW63" s="31">
        <v>0</v>
      </c>
      <c r="AX63" s="31">
        <v>207.01086971432099</v>
      </c>
      <c r="AY63" s="31">
        <v>-3.4385123259041901</v>
      </c>
      <c r="AZ63" s="31">
        <v>0</v>
      </c>
      <c r="BA63" s="31">
        <v>33.068913637061002</v>
      </c>
      <c r="BB63" s="31">
        <v>0.82951921817257102</v>
      </c>
      <c r="BC63" s="31">
        <v>11.375574796355901</v>
      </c>
      <c r="BD63" s="31">
        <v>0</v>
      </c>
    </row>
    <row r="64" spans="1:56" ht="11.25" customHeight="1" x14ac:dyDescent="0.25">
      <c r="A64" s="97" t="s">
        <v>47</v>
      </c>
      <c r="B64" s="97" t="s">
        <v>23</v>
      </c>
      <c r="C64" s="97" t="s">
        <v>48</v>
      </c>
      <c r="D64" s="37" t="s">
        <v>49</v>
      </c>
      <c r="E64" s="37" t="s">
        <v>25</v>
      </c>
      <c r="F64" s="37" t="s">
        <v>25</v>
      </c>
      <c r="G64" s="38" t="s">
        <v>108</v>
      </c>
      <c r="H64" s="38" t="s">
        <v>102</v>
      </c>
      <c r="I64" s="38">
        <f>'MERCADO TUSD'!$U$61</f>
        <v>252172.81799999997</v>
      </c>
      <c r="J64" s="15"/>
      <c r="L64" s="31">
        <f>('TUSD BE'!$L$64+'TUSD BF'!$L$64+'TUSD CVA'!$L$64)*1</f>
        <v>2.343551103198664</v>
      </c>
      <c r="M64" s="31">
        <f>('TUSD BE'!$M$64+'TUSD BF'!$M$64+'TUSD CVA'!$M$64)*1</f>
        <v>0.45280581129537623</v>
      </c>
      <c r="N64" s="31">
        <f ca="1">('TUSD BE'!$N$64+'TUSD BF'!$N$64+'TUSD CVA'!$N$64)*1</f>
        <v>1.9178932299968021</v>
      </c>
      <c r="O64" s="31">
        <f>('TUSD BE'!$O$64+'TUSD BF'!$O$64+'TUSD CVA'!$O$64)*1</f>
        <v>1.0300501737178093E-2</v>
      </c>
      <c r="P64" s="31">
        <f>('TUSD BE'!$P$64+'TUSD BF'!$P$64+'TUSD CVA'!$P$64)*1</f>
        <v>0</v>
      </c>
      <c r="Q64" s="31">
        <f>('TUSD BE'!$Q$64+'TUSD BF'!$Q$64+'TUSD CVA'!$Q$64)*1</f>
        <v>25.960168827994455</v>
      </c>
      <c r="R64" s="31">
        <f>('TUSD BE'!$R$64+'TUSD BF'!$R$64+'TUSD CVA'!$R$64)*1</f>
        <v>9.9285094731225882</v>
      </c>
      <c r="S64" s="31">
        <f>('TUSD BE'!$S$64+'TUSD BF'!$S$64+'TUSD CVA'!$S$64)*1</f>
        <v>0</v>
      </c>
      <c r="T64" s="31">
        <f>('TUSD BE'!$U$64+'TUSD BF'!$U$64+'TUSD CVA'!$U$64)*1</f>
        <v>18.984459773114359</v>
      </c>
      <c r="U64" s="31">
        <f>('TUSD BE'!$V$64+'TUSD BF'!$V$64+'TUSD CVA'!$V$64)*1</f>
        <v>5.8583350435376218</v>
      </c>
      <c r="V64" s="31">
        <f>('TUSD BE'!$W$64+'TUSD BF'!$W$64+'TUSD CVA'!$W$64)*1</f>
        <v>0.89866220188051094</v>
      </c>
      <c r="W64" s="31">
        <f>('TUSD BE'!$X$64+'TUSD BF'!$X$64+'TUSD CVA'!$X$64)*1</f>
        <v>5.2272485948839979E-2</v>
      </c>
      <c r="X64" s="31">
        <f>('TUSD BE'!$Y$64+'TUSD BF'!$Y$64+'TUSD CVA'!$Y$64)*1</f>
        <v>1.098393080469185</v>
      </c>
      <c r="Y64" s="31">
        <f>('TUSD BE'!$Z$64+'TUSD BF'!$Z$64+'TUSD CVA'!$Z$64)*1</f>
        <v>0</v>
      </c>
      <c r="Z64" s="31">
        <f>('TUSD BE'!$AA$64+'TUSD BF'!$AA$64+'TUSD CVA'!$AA$64)*1</f>
        <v>0</v>
      </c>
      <c r="AA64" s="31">
        <f>('TUSD BE'!$AC$64+'TUSD BF'!$AC$64+'TUSD CVA'!$AC$64)*1</f>
        <v>124.98517030026804</v>
      </c>
      <c r="AB64" s="31">
        <f ca="1">('TUSD BE'!$AE$64+'TUSD BF'!$AE$64+'TUSD CVA'!$AE$64)*1</f>
        <v>-19.049970035462504</v>
      </c>
      <c r="AC64" s="31">
        <f ca="1">('TUSD BE'!$AF$64+'TUSD BF'!$AF$64+'TUSD CVA'!$AF$64)*1</f>
        <v>0</v>
      </c>
      <c r="AD64" s="31">
        <f>('TUSD BE'!$AH$64+'TUSD BF'!$AH$64+'TUSD CVA'!$AH$64)*1</f>
        <v>16.578216184010031</v>
      </c>
      <c r="AE64" s="31">
        <f>('TUSD BE'!$AI$64+'TUSD BF'!$AI$64+'TUSD CVA'!$AI$64)*1</f>
        <v>0.50251238043006852</v>
      </c>
      <c r="AF64" s="31">
        <f ca="1">('TUSD BE'!$AJ$64+'TUSD BF'!$AJ$64+'TUSD CVA'!$AJ$64)*1</f>
        <v>5.6142361163902228</v>
      </c>
      <c r="AG64" s="31">
        <f ca="1">('TUSD BE'!$AK$64+'TUSD BF'!$AK$64+'TUSD CVA'!$AK$64)*1</f>
        <v>0</v>
      </c>
      <c r="AI64" s="31">
        <v>2.2153599196990101</v>
      </c>
      <c r="AJ64" s="31">
        <v>0.40117323316931602</v>
      </c>
      <c r="AK64" s="31">
        <v>2.0093617345657999</v>
      </c>
      <c r="AL64" s="31">
        <v>1.02360196643377E-2</v>
      </c>
      <c r="AM64" s="31">
        <v>0</v>
      </c>
      <c r="AN64" s="31">
        <v>15.3339857954811</v>
      </c>
      <c r="AO64" s="31">
        <v>5.5475013135355704</v>
      </c>
      <c r="AP64" s="31">
        <v>0</v>
      </c>
      <c r="AQ64" s="31">
        <v>15.7795421314636</v>
      </c>
      <c r="AR64" s="31">
        <v>6.7420332337985798</v>
      </c>
      <c r="AS64" s="31">
        <v>1.48783203194362</v>
      </c>
      <c r="AT64" s="31">
        <v>0</v>
      </c>
      <c r="AU64" s="31">
        <v>1.2682820236699399</v>
      </c>
      <c r="AV64" s="31">
        <v>0</v>
      </c>
      <c r="AW64" s="31">
        <v>0</v>
      </c>
      <c r="AX64" s="31">
        <v>113.85597834287699</v>
      </c>
      <c r="AY64" s="31">
        <v>-1.89118177924731</v>
      </c>
      <c r="AZ64" s="31">
        <v>0</v>
      </c>
      <c r="BA64" s="31">
        <v>18.187902500383601</v>
      </c>
      <c r="BB64" s="31">
        <v>0.45623556999491399</v>
      </c>
      <c r="BC64" s="31">
        <v>6.25656613799576</v>
      </c>
      <c r="BD64" s="31">
        <v>0</v>
      </c>
    </row>
    <row r="65" spans="1:56" ht="11.25" customHeight="1" x14ac:dyDescent="0.25">
      <c r="A65" s="97"/>
      <c r="B65" s="97"/>
      <c r="C65" s="97"/>
      <c r="D65" s="38" t="s">
        <v>118</v>
      </c>
      <c r="E65" s="38" t="s">
        <v>25</v>
      </c>
      <c r="F65" s="38" t="s">
        <v>25</v>
      </c>
      <c r="G65" s="38" t="s">
        <v>108</v>
      </c>
      <c r="H65" s="38" t="s">
        <v>102</v>
      </c>
      <c r="I65" s="38">
        <f>'MERCADO TUSD'!$U$62</f>
        <v>0</v>
      </c>
      <c r="J65" s="15"/>
      <c r="L65" s="31">
        <f>('TUSD BE'!$L$65+'TUSD BF'!$L$65+'TUSD CVA'!$L$65)*1</f>
        <v>2.5566012034894507</v>
      </c>
      <c r="M65" s="31">
        <f>('TUSD BE'!$M$65+'TUSD BF'!$M$65+'TUSD CVA'!$M$65)*1</f>
        <v>0.49396997595859204</v>
      </c>
      <c r="N65" s="31">
        <f ca="1">('TUSD BE'!$N$65+'TUSD BF'!$N$65+'TUSD CVA'!$N$65)*1</f>
        <v>2.0922471599965116</v>
      </c>
      <c r="O65" s="31">
        <f>('TUSD BE'!$O$65+'TUSD BF'!$O$65+'TUSD CVA'!$O$65)*1</f>
        <v>1.1236910986012464E-2</v>
      </c>
      <c r="P65" s="31">
        <f>('TUSD BE'!$P$65+'TUSD BF'!$P$65+'TUSD CVA'!$P$65)*1</f>
        <v>0</v>
      </c>
      <c r="Q65" s="31">
        <f>('TUSD BE'!$Q$65+'TUSD BF'!$Q$65+'TUSD CVA'!$Q$65)*1</f>
        <v>28.320184175993951</v>
      </c>
      <c r="R65" s="31">
        <f>('TUSD BE'!$R$65+'TUSD BF'!$R$65+'TUSD CVA'!$R$65)*1</f>
        <v>10.831101243406458</v>
      </c>
      <c r="S65" s="31">
        <f>('TUSD BE'!$S$65+'TUSD BF'!$S$65+'TUSD CVA'!$S$65)*1</f>
        <v>0</v>
      </c>
      <c r="T65" s="31">
        <f>('TUSD BE'!$U$65+'TUSD BF'!$U$65+'TUSD CVA'!$U$65)*1</f>
        <v>20.710319752488388</v>
      </c>
      <c r="U65" s="31">
        <f>('TUSD BE'!$V$65+'TUSD BF'!$V$65+'TUSD CVA'!$V$65)*1</f>
        <v>6.3909109565864952</v>
      </c>
      <c r="V65" s="31">
        <f>('TUSD BE'!$W$65+'TUSD BF'!$W$65+'TUSD CVA'!$W$65)*1</f>
        <v>0.98035876568782987</v>
      </c>
      <c r="W65" s="31">
        <f>('TUSD BE'!$X$65+'TUSD BF'!$X$65+'TUSD CVA'!$X$65)*1</f>
        <v>5.7024530126007243E-2</v>
      </c>
      <c r="X65" s="31">
        <f>('TUSD BE'!$Y$65+'TUSD BF'!$Y$65+'TUSD CVA'!$Y$65)*1</f>
        <v>1.1982469968754745</v>
      </c>
      <c r="Y65" s="31">
        <f>('TUSD BE'!$Z$65+'TUSD BF'!$Z$65+'TUSD CVA'!$Z$65)*1</f>
        <v>0</v>
      </c>
      <c r="Z65" s="31">
        <f>('TUSD BE'!$AA$65+'TUSD BF'!$AA$65+'TUSD CVA'!$AA$65)*1</f>
        <v>0</v>
      </c>
      <c r="AA65" s="31">
        <f>('TUSD BE'!$AC$65+'TUSD BF'!$AC$65+'TUSD CVA'!$AC$65)*1</f>
        <v>136.3474585093833</v>
      </c>
      <c r="AB65" s="31">
        <f ca="1">('TUSD BE'!$AE$65+'TUSD BF'!$AE$65+'TUSD CVA'!$AE$65)*1</f>
        <v>-20.781785493231819</v>
      </c>
      <c r="AC65" s="31">
        <f ca="1">('TUSD BE'!$AF$65+'TUSD BF'!$AF$65+'TUSD CVA'!$AF$65)*1</f>
        <v>0</v>
      </c>
      <c r="AD65" s="31">
        <f>('TUSD BE'!$AH$65+'TUSD BF'!$AH$65+'TUSD CVA'!$AH$65)*1</f>
        <v>18.085326746192759</v>
      </c>
      <c r="AE65" s="31">
        <f>('TUSD BE'!$AI$65+'TUSD BF'!$AI$65+'TUSD CVA'!$AI$65)*1</f>
        <v>0.54819532410552929</v>
      </c>
      <c r="AF65" s="31">
        <f ca="1">('TUSD BE'!$AJ$65+'TUSD BF'!$AJ$65+'TUSD CVA'!$AJ$65)*1</f>
        <v>6.1246212178802431</v>
      </c>
      <c r="AG65" s="31">
        <f ca="1">('TUSD BE'!$AK$65+'TUSD BF'!$AK$65+'TUSD CVA'!$AK$65)*1</f>
        <v>0</v>
      </c>
      <c r="AI65" s="31">
        <v>2.4167562760352901</v>
      </c>
      <c r="AJ65" s="31">
        <v>0.437643527093799</v>
      </c>
      <c r="AK65" s="31">
        <v>2.1920309831627001</v>
      </c>
      <c r="AL65" s="31">
        <v>1.1166566906550201E-2</v>
      </c>
      <c r="AM65" s="31">
        <v>0</v>
      </c>
      <c r="AN65" s="31">
        <v>16.727984504161199</v>
      </c>
      <c r="AO65" s="31">
        <v>6.0518196147660701</v>
      </c>
      <c r="AP65" s="31">
        <v>0</v>
      </c>
      <c r="AQ65" s="31">
        <v>17.2140459615966</v>
      </c>
      <c r="AR65" s="31">
        <v>7.3549453459620899</v>
      </c>
      <c r="AS65" s="31">
        <v>1.6230894893930401</v>
      </c>
      <c r="AT65" s="31">
        <v>0</v>
      </c>
      <c r="AU65" s="31">
        <v>1.38358038945812</v>
      </c>
      <c r="AV65" s="31">
        <v>0</v>
      </c>
      <c r="AW65" s="31">
        <v>0</v>
      </c>
      <c r="AX65" s="31">
        <v>124.206521828593</v>
      </c>
      <c r="AY65" s="31">
        <v>-2.0631073955425201</v>
      </c>
      <c r="AZ65" s="31">
        <v>0</v>
      </c>
      <c r="BA65" s="31">
        <v>19.841348182236601</v>
      </c>
      <c r="BB65" s="31">
        <v>0.49771153090354298</v>
      </c>
      <c r="BC65" s="31">
        <v>6.8253448778135599</v>
      </c>
      <c r="BD65" s="31">
        <v>0</v>
      </c>
    </row>
    <row r="67" spans="1:56" ht="11.25" customHeight="1" x14ac:dyDescent="0.25">
      <c r="L67" s="99" t="s">
        <v>1134</v>
      </c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I67" s="99" t="s">
        <v>1135</v>
      </c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</row>
    <row r="68" spans="1:56" ht="11.25" customHeight="1" x14ac:dyDescent="0.25">
      <c r="L68" s="99" t="s">
        <v>834</v>
      </c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I68" s="99" t="s">
        <v>834</v>
      </c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</row>
    <row r="69" spans="1:56" ht="11.25" customHeight="1" x14ac:dyDescent="0.25">
      <c r="L69" s="99" t="s">
        <v>835</v>
      </c>
      <c r="M69" s="99"/>
      <c r="N69" s="99"/>
      <c r="O69" s="99"/>
      <c r="P69" s="99"/>
      <c r="Q69" s="99"/>
      <c r="R69" s="99"/>
      <c r="S69" s="99"/>
      <c r="T69" s="99" t="s">
        <v>844</v>
      </c>
      <c r="U69" s="99"/>
      <c r="V69" s="99"/>
      <c r="W69" s="99"/>
      <c r="X69" s="99"/>
      <c r="Y69" s="99"/>
      <c r="Z69" s="99"/>
      <c r="AA69" s="32" t="s">
        <v>852</v>
      </c>
      <c r="AB69" s="99" t="s">
        <v>854</v>
      </c>
      <c r="AC69" s="99"/>
      <c r="AD69" s="99" t="s">
        <v>857</v>
      </c>
      <c r="AE69" s="99"/>
      <c r="AF69" s="99"/>
      <c r="AG69" s="99"/>
      <c r="AI69" s="99" t="s">
        <v>835</v>
      </c>
      <c r="AJ69" s="99"/>
      <c r="AK69" s="99"/>
      <c r="AL69" s="99"/>
      <c r="AM69" s="99"/>
      <c r="AN69" s="99"/>
      <c r="AO69" s="99"/>
      <c r="AP69" s="99"/>
      <c r="AQ69" s="99" t="s">
        <v>844</v>
      </c>
      <c r="AR69" s="99"/>
      <c r="AS69" s="99"/>
      <c r="AT69" s="99"/>
      <c r="AU69" s="99"/>
      <c r="AV69" s="99"/>
      <c r="AW69" s="99"/>
      <c r="AX69" s="32" t="s">
        <v>852</v>
      </c>
      <c r="AY69" s="99" t="s">
        <v>854</v>
      </c>
      <c r="AZ69" s="99"/>
      <c r="BA69" s="99" t="s">
        <v>857</v>
      </c>
      <c r="BB69" s="99"/>
      <c r="BC69" s="99"/>
      <c r="BD69" s="99"/>
    </row>
    <row r="70" spans="1:56" ht="11.25" customHeight="1" x14ac:dyDescent="0.25">
      <c r="L70" s="32" t="s">
        <v>920</v>
      </c>
      <c r="M70" s="32" t="s">
        <v>836</v>
      </c>
      <c r="N70" s="32" t="s">
        <v>837</v>
      </c>
      <c r="O70" s="32" t="s">
        <v>838</v>
      </c>
      <c r="P70" s="32" t="s">
        <v>839</v>
      </c>
      <c r="Q70" s="32" t="s">
        <v>840</v>
      </c>
      <c r="R70" s="32" t="s">
        <v>841</v>
      </c>
      <c r="S70" s="32" t="s">
        <v>842</v>
      </c>
      <c r="T70" s="32" t="s">
        <v>845</v>
      </c>
      <c r="U70" s="32" t="s">
        <v>846</v>
      </c>
      <c r="V70" s="32" t="s">
        <v>847</v>
      </c>
      <c r="W70" s="32" t="s">
        <v>848</v>
      </c>
      <c r="X70" s="32" t="s">
        <v>849</v>
      </c>
      <c r="Y70" s="32" t="s">
        <v>850</v>
      </c>
      <c r="Z70" s="32" t="s">
        <v>851</v>
      </c>
      <c r="AA70" s="32" t="s">
        <v>853</v>
      </c>
      <c r="AB70" s="32" t="s">
        <v>855</v>
      </c>
      <c r="AC70" s="32" t="s">
        <v>856</v>
      </c>
      <c r="AD70" s="32" t="s">
        <v>858</v>
      </c>
      <c r="AE70" s="32" t="s">
        <v>859</v>
      </c>
      <c r="AF70" s="32" t="s">
        <v>860</v>
      </c>
      <c r="AG70" s="32" t="s">
        <v>861</v>
      </c>
      <c r="AI70" s="32" t="s">
        <v>920</v>
      </c>
      <c r="AJ70" s="32" t="s">
        <v>836</v>
      </c>
      <c r="AK70" s="32" t="s">
        <v>837</v>
      </c>
      <c r="AL70" s="32" t="s">
        <v>838</v>
      </c>
      <c r="AM70" s="32" t="s">
        <v>839</v>
      </c>
      <c r="AN70" s="32" t="s">
        <v>840</v>
      </c>
      <c r="AO70" s="32" t="s">
        <v>841</v>
      </c>
      <c r="AP70" s="32" t="s">
        <v>842</v>
      </c>
      <c r="AQ70" s="32" t="s">
        <v>845</v>
      </c>
      <c r="AR70" s="32" t="s">
        <v>846</v>
      </c>
      <c r="AS70" s="32" t="s">
        <v>847</v>
      </c>
      <c r="AT70" s="32" t="s">
        <v>848</v>
      </c>
      <c r="AU70" s="32" t="s">
        <v>849</v>
      </c>
      <c r="AV70" s="32" t="s">
        <v>850</v>
      </c>
      <c r="AW70" s="32" t="s">
        <v>851</v>
      </c>
      <c r="AX70" s="32" t="s">
        <v>853</v>
      </c>
      <c r="AY70" s="32" t="s">
        <v>855</v>
      </c>
      <c r="AZ70" s="32" t="s">
        <v>856</v>
      </c>
      <c r="BA70" s="32" t="s">
        <v>858</v>
      </c>
      <c r="BB70" s="32" t="s">
        <v>859</v>
      </c>
      <c r="BC70" s="32" t="s">
        <v>860</v>
      </c>
      <c r="BD70" s="32" t="s">
        <v>861</v>
      </c>
    </row>
    <row r="71" spans="1:56" ht="11.25" customHeight="1" x14ac:dyDescent="0.25">
      <c r="A71" s="9" t="s">
        <v>39</v>
      </c>
      <c r="B71" s="9" t="s">
        <v>1136</v>
      </c>
      <c r="C71" s="9" t="s">
        <v>1137</v>
      </c>
      <c r="D71" s="9" t="s">
        <v>1138</v>
      </c>
      <c r="E71" s="9" t="s">
        <v>1139</v>
      </c>
      <c r="F71" s="9" t="s">
        <v>1140</v>
      </c>
      <c r="G71" s="9" t="s">
        <v>1141</v>
      </c>
      <c r="L71" s="31">
        <f>$I$5*$L$5</f>
        <v>0</v>
      </c>
      <c r="M71" s="31">
        <f>$I$5*$M$5</f>
        <v>0</v>
      </c>
      <c r="N71" s="31">
        <f ca="1">$I$5*$N$5</f>
        <v>0</v>
      </c>
      <c r="O71" s="31">
        <f>$I$5*$O$5</f>
        <v>0</v>
      </c>
      <c r="P71" s="31">
        <f>$I$5*$P$5</f>
        <v>0</v>
      </c>
      <c r="Q71" s="31">
        <f>$I$5*$Q$5</f>
        <v>0</v>
      </c>
      <c r="R71" s="31">
        <f>$I$5*$R$5</f>
        <v>0</v>
      </c>
      <c r="S71" s="31">
        <f>$I$5*$S$5</f>
        <v>0</v>
      </c>
      <c r="T71" s="31">
        <f>$I$5*$T$5</f>
        <v>9895678.9767142627</v>
      </c>
      <c r="U71" s="31">
        <f>$I$5*$U$5</f>
        <v>3069285.0324613829</v>
      </c>
      <c r="V71" s="31">
        <f>$I$5*$V$5</f>
        <v>489001.99365877337</v>
      </c>
      <c r="W71" s="31">
        <f>$I$5*$W$5</f>
        <v>28450.548969262702</v>
      </c>
      <c r="X71" s="31">
        <f>$I$5*$X$5</f>
        <v>578468.74504410231</v>
      </c>
      <c r="Y71" s="31">
        <f>$I$5*$Y$5</f>
        <v>0</v>
      </c>
      <c r="Z71" s="31">
        <f>$I$5*$Z$5</f>
        <v>0</v>
      </c>
      <c r="AA71" s="31">
        <f>$I$5*$AA$5</f>
        <v>11622146.542242916</v>
      </c>
      <c r="AB71" s="31">
        <f ca="1">$I$5*$AB$5</f>
        <v>-2289645.6329648811</v>
      </c>
      <c r="AC71" s="31">
        <f ca="1">$I$5*$AC$5</f>
        <v>0</v>
      </c>
      <c r="AD71" s="31">
        <f>$I$5*$AD$5</f>
        <v>0</v>
      </c>
      <c r="AE71" s="31">
        <f>$I$5*$AE$5</f>
        <v>0</v>
      </c>
      <c r="AF71" s="31">
        <f ca="1">$I$5*$AF$5</f>
        <v>0</v>
      </c>
      <c r="AG71" s="31">
        <f ca="1">$I$5*$AG$5</f>
        <v>0</v>
      </c>
      <c r="AI71" s="31">
        <f>$I$5*$AI$5</f>
        <v>0</v>
      </c>
      <c r="AJ71" s="31">
        <f>$I$5*$AJ$5</f>
        <v>0</v>
      </c>
      <c r="AK71" s="31">
        <f>$I$5*$AK$5</f>
        <v>0</v>
      </c>
      <c r="AL71" s="31">
        <f>$I$5*$AL$5</f>
        <v>0</v>
      </c>
      <c r="AM71" s="31">
        <f>$I$5*$AM$5</f>
        <v>0</v>
      </c>
      <c r="AN71" s="31">
        <f>$I$5*$AN$5</f>
        <v>0</v>
      </c>
      <c r="AO71" s="31">
        <f>$I$5*$AO$5</f>
        <v>0</v>
      </c>
      <c r="AP71" s="31">
        <f>$I$5*$AP$5</f>
        <v>0</v>
      </c>
      <c r="AQ71" s="31">
        <f>$I$5*$AQ$5</f>
        <v>8225110.7062650342</v>
      </c>
      <c r="AR71" s="31">
        <f>$I$5*$AR$5</f>
        <v>3532270.097061465</v>
      </c>
      <c r="AS71" s="31">
        <f>$I$5*$AS$5</f>
        <v>809595.4501339444</v>
      </c>
      <c r="AT71" s="31">
        <f>$I$5*$AT$5</f>
        <v>0</v>
      </c>
      <c r="AU71" s="31">
        <f>$I$5*$AU$5</f>
        <v>667940.76149947813</v>
      </c>
      <c r="AV71" s="31">
        <f>$I$5*$AV$5</f>
        <v>0</v>
      </c>
      <c r="AW71" s="31">
        <f>$I$5*$AW$5</f>
        <v>0</v>
      </c>
      <c r="AX71" s="31">
        <f>$I$5*$AX$5</f>
        <v>10582203.85406879</v>
      </c>
      <c r="AY71" s="31">
        <f>$I$5*$AY$5</f>
        <v>-237209.8925998928</v>
      </c>
      <c r="AZ71" s="31">
        <f>$I$5*$AZ$5</f>
        <v>0</v>
      </c>
      <c r="BA71" s="31">
        <f>$I$5*$BA$5</f>
        <v>0</v>
      </c>
      <c r="BB71" s="31">
        <f>$I$5*$BB$5</f>
        <v>0</v>
      </c>
      <c r="BC71" s="31">
        <f>$I$5*$BC$5</f>
        <v>0</v>
      </c>
      <c r="BD71" s="31">
        <f>$I$5*$BD$5</f>
        <v>0</v>
      </c>
    </row>
    <row r="72" spans="1:56" ht="11.25" customHeight="1" x14ac:dyDescent="0.25">
      <c r="A72" s="9" t="s">
        <v>39</v>
      </c>
      <c r="B72" s="9" t="s">
        <v>1136</v>
      </c>
      <c r="C72" s="9" t="s">
        <v>1137</v>
      </c>
      <c r="D72" s="9" t="s">
        <v>1138</v>
      </c>
      <c r="E72" s="9" t="s">
        <v>1139</v>
      </c>
      <c r="F72" s="9" t="s">
        <v>1140</v>
      </c>
      <c r="G72" s="9" t="s">
        <v>1142</v>
      </c>
      <c r="L72" s="31">
        <f>$I$6*$L$6</f>
        <v>0</v>
      </c>
      <c r="M72" s="31">
        <f>$I$6*$M$6</f>
        <v>0</v>
      </c>
      <c r="N72" s="31">
        <f ca="1">$I$6*$N$6</f>
        <v>0</v>
      </c>
      <c r="O72" s="31">
        <f>$I$6*$O$6</f>
        <v>0</v>
      </c>
      <c r="P72" s="31">
        <f>$I$6*$P$6</f>
        <v>0</v>
      </c>
      <c r="Q72" s="31">
        <f>$I$6*$Q$6</f>
        <v>0</v>
      </c>
      <c r="R72" s="31">
        <f>$I$6*$R$6</f>
        <v>0</v>
      </c>
      <c r="S72" s="31">
        <f>$I$6*$S$6</f>
        <v>0</v>
      </c>
      <c r="T72" s="31">
        <f>$I$6*$T$6</f>
        <v>9633948.3602774777</v>
      </c>
      <c r="U72" s="31">
        <f>$I$6*$U$6</f>
        <v>2952202.0234131226</v>
      </c>
      <c r="V72" s="31">
        <f>$I$6*$V$6</f>
        <v>435349.40387727297</v>
      </c>
      <c r="W72" s="31">
        <f>$I$6*$W$6</f>
        <v>25352.89611997778</v>
      </c>
      <c r="X72" s="31">
        <f>$I$6*$X$6</f>
        <v>298059.90093451587</v>
      </c>
      <c r="Y72" s="31">
        <f>$I$6*$Y$6</f>
        <v>0</v>
      </c>
      <c r="Z72" s="31">
        <f>$I$6*$Z$6</f>
        <v>0</v>
      </c>
      <c r="AA72" s="31">
        <f>$I$6*$AA$6</f>
        <v>2758255.417210036</v>
      </c>
      <c r="AB72" s="31">
        <f ca="1">$I$6*$AB$6</f>
        <v>-1414845.0405845817</v>
      </c>
      <c r="AC72" s="31">
        <f ca="1">$I$6*$AC$6</f>
        <v>0</v>
      </c>
      <c r="AD72" s="31">
        <f>$I$6*$AD$6</f>
        <v>0</v>
      </c>
      <c r="AE72" s="31">
        <f>$I$6*$AE$6</f>
        <v>0</v>
      </c>
      <c r="AF72" s="31">
        <f ca="1">$I$6*$AF$6</f>
        <v>0</v>
      </c>
      <c r="AG72" s="31">
        <f ca="1">$I$6*$AG$6</f>
        <v>0</v>
      </c>
      <c r="AI72" s="31">
        <f>$I$6*$AI$6</f>
        <v>0</v>
      </c>
      <c r="AJ72" s="31">
        <f>$I$6*$AJ$6</f>
        <v>0</v>
      </c>
      <c r="AK72" s="31">
        <f>$I$6*$AK$6</f>
        <v>0</v>
      </c>
      <c r="AL72" s="31">
        <f>$I$6*$AL$6</f>
        <v>0</v>
      </c>
      <c r="AM72" s="31">
        <f>$I$6*$AM$6</f>
        <v>0</v>
      </c>
      <c r="AN72" s="31">
        <f>$I$6*$AN$6</f>
        <v>0</v>
      </c>
      <c r="AO72" s="31">
        <f>$I$6*$AO$6</f>
        <v>0</v>
      </c>
      <c r="AP72" s="31">
        <f>$I$6*$AP$6</f>
        <v>0</v>
      </c>
      <c r="AQ72" s="31">
        <f>$I$6*$AQ$6</f>
        <v>8007564.9167868998</v>
      </c>
      <c r="AR72" s="31">
        <f>$I$6*$AR$6</f>
        <v>3397525.7486672481</v>
      </c>
      <c r="AS72" s="31">
        <f>$I$6*$AS$6</f>
        <v>720767.81110939686</v>
      </c>
      <c r="AT72" s="31">
        <f>$I$6*$AT$6</f>
        <v>0</v>
      </c>
      <c r="AU72" s="31">
        <f>$I$6*$AU$6</f>
        <v>344160.95754228008</v>
      </c>
      <c r="AV72" s="31">
        <f>$I$6*$AV$6</f>
        <v>0</v>
      </c>
      <c r="AW72" s="31">
        <f>$I$6*$AW$6</f>
        <v>0</v>
      </c>
      <c r="AX72" s="31">
        <f>$I$6*$AX$6</f>
        <v>2517818.5469493992</v>
      </c>
      <c r="AY72" s="31">
        <f>$I$6*$AY$6</f>
        <v>-145937.81130839582</v>
      </c>
      <c r="AZ72" s="31">
        <f>$I$6*$AZ$6</f>
        <v>0</v>
      </c>
      <c r="BA72" s="31">
        <f>$I$6*$BA$6</f>
        <v>0</v>
      </c>
      <c r="BB72" s="31">
        <f>$I$6*$BB$6</f>
        <v>0</v>
      </c>
      <c r="BC72" s="31">
        <f>$I$6*$BC$6</f>
        <v>0</v>
      </c>
      <c r="BD72" s="31">
        <f>$I$6*$BD$6</f>
        <v>0</v>
      </c>
    </row>
    <row r="73" spans="1:56" ht="11.25" customHeight="1" x14ac:dyDescent="0.25">
      <c r="A73" s="9" t="s">
        <v>39</v>
      </c>
      <c r="B73" s="9" t="s">
        <v>1136</v>
      </c>
      <c r="C73" s="9" t="s">
        <v>1137</v>
      </c>
      <c r="D73" s="9" t="s">
        <v>1138</v>
      </c>
      <c r="E73" s="9" t="s">
        <v>1139</v>
      </c>
      <c r="F73" s="9" t="s">
        <v>1140</v>
      </c>
      <c r="G73" s="9" t="s">
        <v>1143</v>
      </c>
      <c r="L73" s="31">
        <f>$I$7*$L$7</f>
        <v>1702279.9711561243</v>
      </c>
      <c r="M73" s="31">
        <f>$I$7*$M$7</f>
        <v>67961.976938940774</v>
      </c>
      <c r="N73" s="31">
        <f ca="1">$I$7*$N$7</f>
        <v>146719.93969809491</v>
      </c>
      <c r="O73" s="31">
        <f>$I$7*$O$7</f>
        <v>12067.665160572666</v>
      </c>
      <c r="P73" s="31">
        <f>$I$7*$P$7</f>
        <v>0</v>
      </c>
      <c r="Q73" s="31">
        <f>$I$7*$Q$7</f>
        <v>18856629.745948579</v>
      </c>
      <c r="R73" s="31">
        <f>$I$7*$R$7</f>
        <v>11631853.566197364</v>
      </c>
      <c r="S73" s="31">
        <f>$I$7*$S$7</f>
        <v>0</v>
      </c>
      <c r="T73" s="31">
        <f>$I$7*$T$7</f>
        <v>0</v>
      </c>
      <c r="U73" s="31">
        <f>$I$7*$U$7</f>
        <v>0</v>
      </c>
      <c r="V73" s="31">
        <f>$I$7*$V$7</f>
        <v>0</v>
      </c>
      <c r="W73" s="31">
        <f>$I$7*$W$7</f>
        <v>0</v>
      </c>
      <c r="X73" s="31">
        <f>$I$7*$X$7</f>
        <v>0</v>
      </c>
      <c r="Y73" s="31">
        <f>$I$7*$Y$7</f>
        <v>0</v>
      </c>
      <c r="Z73" s="31">
        <f>$I$7*$Z$7</f>
        <v>0</v>
      </c>
      <c r="AA73" s="31">
        <f>$I$7*$AA$7</f>
        <v>0</v>
      </c>
      <c r="AB73" s="31">
        <f ca="1">$I$7*$AB$7</f>
        <v>-3020280.0559653365</v>
      </c>
      <c r="AC73" s="31">
        <f ca="1">$I$7*$AC$7</f>
        <v>0</v>
      </c>
      <c r="AD73" s="31">
        <f>$I$7*$AD$7</f>
        <v>4003119.8474241495</v>
      </c>
      <c r="AE73" s="31">
        <f>$I$7*$AE$7</f>
        <v>121340.9972066959</v>
      </c>
      <c r="AF73" s="31">
        <f ca="1">$I$7*$AF$7</f>
        <v>2116543.6701762779</v>
      </c>
      <c r="AG73" s="31">
        <f ca="1">$I$7*$AG$7</f>
        <v>0</v>
      </c>
      <c r="AI73" s="31">
        <f>$I$7*$AI$7</f>
        <v>1738937.4818970012</v>
      </c>
      <c r="AJ73" s="31">
        <f>$I$7*$AJ$7</f>
        <v>62733.980980911205</v>
      </c>
      <c r="AK73" s="31">
        <f>$I$7*$AK$7</f>
        <v>149725.55520049779</v>
      </c>
      <c r="AL73" s="31">
        <f>$I$7*$AL$7</f>
        <v>11992.120484812973</v>
      </c>
      <c r="AM73" s="31">
        <f>$I$7*$AM$7</f>
        <v>0</v>
      </c>
      <c r="AN73" s="31">
        <f>$I$7*$AN$7</f>
        <v>12036347.868142808</v>
      </c>
      <c r="AO73" s="31">
        <f>$I$7*$AO$7</f>
        <v>6499235.6719823601</v>
      </c>
      <c r="AP73" s="31">
        <f>$I$7*$AP$7</f>
        <v>0</v>
      </c>
      <c r="AQ73" s="31">
        <f>$I$7*$AQ$7</f>
        <v>0</v>
      </c>
      <c r="AR73" s="31">
        <f>$I$7*$AR$7</f>
        <v>0</v>
      </c>
      <c r="AS73" s="31">
        <f>$I$7*$AS$7</f>
        <v>0</v>
      </c>
      <c r="AT73" s="31">
        <f>$I$7*$AT$7</f>
        <v>0</v>
      </c>
      <c r="AU73" s="31">
        <f>$I$7*$AU$7</f>
        <v>0</v>
      </c>
      <c r="AV73" s="31">
        <f>$I$7*$AV$7</f>
        <v>0</v>
      </c>
      <c r="AW73" s="31">
        <f>$I$7*$AW$7</f>
        <v>0</v>
      </c>
      <c r="AX73" s="31">
        <f>$I$7*$AX$7</f>
        <v>0</v>
      </c>
      <c r="AY73" s="31">
        <f>$I$7*$AY$7</f>
        <v>-249020.48333465512</v>
      </c>
      <c r="AZ73" s="31">
        <f>$I$7*$AZ$7</f>
        <v>0</v>
      </c>
      <c r="BA73" s="31">
        <f>$I$7*$BA$7</f>
        <v>4391808.6647057766</v>
      </c>
      <c r="BB73" s="31">
        <f>$I$7*$BB$7</f>
        <v>110166.5972427761</v>
      </c>
      <c r="BC73" s="31">
        <f>$I$7*$BC$7</f>
        <v>2277419.6956898314</v>
      </c>
      <c r="BD73" s="31">
        <f>$I$7*$BD$7</f>
        <v>0</v>
      </c>
    </row>
    <row r="74" spans="1:56" ht="11.25" customHeight="1" x14ac:dyDescent="0.25">
      <c r="A74" s="9" t="s">
        <v>39</v>
      </c>
      <c r="B74" s="9" t="s">
        <v>1136</v>
      </c>
      <c r="C74" s="9" t="s">
        <v>1137</v>
      </c>
      <c r="D74" s="9" t="s">
        <v>1138</v>
      </c>
      <c r="E74" s="9" t="s">
        <v>1144</v>
      </c>
      <c r="F74" s="9" t="s">
        <v>1145</v>
      </c>
      <c r="G74" s="9" t="s">
        <v>1146</v>
      </c>
      <c r="L74" s="31">
        <f>$I$8*$L$8</f>
        <v>0</v>
      </c>
      <c r="M74" s="31">
        <f>$I$8*$M$8</f>
        <v>0</v>
      </c>
      <c r="N74" s="31">
        <f ca="1">$I$8*$N$8</f>
        <v>0</v>
      </c>
      <c r="O74" s="31">
        <f>$I$8*$O$8</f>
        <v>0</v>
      </c>
      <c r="P74" s="31">
        <f>$I$8*$P$8</f>
        <v>0</v>
      </c>
      <c r="Q74" s="31">
        <f>$I$8*$Q$8</f>
        <v>0</v>
      </c>
      <c r="R74" s="31">
        <f>$I$8*$R$8</f>
        <v>0</v>
      </c>
      <c r="S74" s="31">
        <f>$I$8*$S$8</f>
        <v>0</v>
      </c>
      <c r="T74" s="31">
        <f>$I$8*$T$8</f>
        <v>0</v>
      </c>
      <c r="U74" s="31">
        <f>$I$8*$U$8</f>
        <v>0</v>
      </c>
      <c r="V74" s="31">
        <f>$I$8*$V$8</f>
        <v>0</v>
      </c>
      <c r="W74" s="31">
        <f>$I$8*$W$8</f>
        <v>0</v>
      </c>
      <c r="X74" s="31">
        <f>$I$8*$X$8</f>
        <v>0</v>
      </c>
      <c r="Y74" s="31">
        <f>$I$8*$Y$8</f>
        <v>0</v>
      </c>
      <c r="Z74" s="31">
        <f>$I$8*$Z$8</f>
        <v>0</v>
      </c>
      <c r="AA74" s="31">
        <f>$I$8*$AA$8</f>
        <v>0</v>
      </c>
      <c r="AB74" s="31">
        <f ca="1">$I$8*$AB$8</f>
        <v>0</v>
      </c>
      <c r="AC74" s="31">
        <f ca="1">$I$8*$AC$8</f>
        <v>0</v>
      </c>
      <c r="AD74" s="31">
        <f>$I$8*$AD$8</f>
        <v>0</v>
      </c>
      <c r="AE74" s="31">
        <f>$I$8*$AE$8</f>
        <v>0</v>
      </c>
      <c r="AF74" s="31">
        <f ca="1">$I$8*$AF$8</f>
        <v>0</v>
      </c>
      <c r="AG74" s="31">
        <f ca="1">$I$8*$AG$8</f>
        <v>0</v>
      </c>
      <c r="AI74" s="31">
        <f>$I$8*$AI$8</f>
        <v>0</v>
      </c>
      <c r="AJ74" s="31">
        <f>$I$8*$AJ$8</f>
        <v>0</v>
      </c>
      <c r="AK74" s="31">
        <f>$I$8*$AK$8</f>
        <v>0</v>
      </c>
      <c r="AL74" s="31">
        <f>$I$8*$AL$8</f>
        <v>0</v>
      </c>
      <c r="AM74" s="31">
        <f>$I$8*$AM$8</f>
        <v>0</v>
      </c>
      <c r="AN74" s="31">
        <f>$I$8*$AN$8</f>
        <v>0</v>
      </c>
      <c r="AO74" s="31">
        <f>$I$8*$AO$8</f>
        <v>0</v>
      </c>
      <c r="AP74" s="31">
        <f>$I$8*$AP$8</f>
        <v>0</v>
      </c>
      <c r="AQ74" s="31">
        <f>$I$8*$AQ$8</f>
        <v>0</v>
      </c>
      <c r="AR74" s="31">
        <f>$I$8*$AR$8</f>
        <v>0</v>
      </c>
      <c r="AS74" s="31">
        <f>$I$8*$AS$8</f>
        <v>0</v>
      </c>
      <c r="AT74" s="31">
        <f>$I$8*$AT$8</f>
        <v>0</v>
      </c>
      <c r="AU74" s="31">
        <f>$I$8*$AU$8</f>
        <v>0</v>
      </c>
      <c r="AV74" s="31">
        <f>$I$8*$AV$8</f>
        <v>0</v>
      </c>
      <c r="AW74" s="31">
        <f>$I$8*$AW$8</f>
        <v>0</v>
      </c>
      <c r="AX74" s="31">
        <f>$I$8*$AX$8</f>
        <v>0</v>
      </c>
      <c r="AY74" s="31">
        <f>$I$8*$AY$8</f>
        <v>0</v>
      </c>
      <c r="AZ74" s="31">
        <f>$I$8*$AZ$8</f>
        <v>0</v>
      </c>
      <c r="BA74" s="31">
        <f>$I$8*$BA$8</f>
        <v>0</v>
      </c>
      <c r="BB74" s="31">
        <f>$I$8*$BB$8</f>
        <v>0</v>
      </c>
      <c r="BC74" s="31">
        <f>$I$8*$BC$8</f>
        <v>0</v>
      </c>
      <c r="BD74" s="31">
        <f>$I$8*$BD$8</f>
        <v>0</v>
      </c>
    </row>
    <row r="75" spans="1:56" ht="11.25" customHeight="1" x14ac:dyDescent="0.25">
      <c r="A75" s="9" t="s">
        <v>39</v>
      </c>
      <c r="B75" s="9" t="s">
        <v>1147</v>
      </c>
      <c r="C75" s="9" t="s">
        <v>1148</v>
      </c>
      <c r="D75" s="9" t="s">
        <v>1149</v>
      </c>
      <c r="E75" s="9" t="s">
        <v>1150</v>
      </c>
      <c r="F75" s="9" t="s">
        <v>1151</v>
      </c>
      <c r="G75" s="9" t="s">
        <v>1152</v>
      </c>
      <c r="L75" s="31">
        <f>$I$9*$L$9</f>
        <v>0</v>
      </c>
      <c r="M75" s="31">
        <f>$I$9*$M$9</f>
        <v>0</v>
      </c>
      <c r="N75" s="31">
        <f ca="1">$I$9*$N$9</f>
        <v>0</v>
      </c>
      <c r="O75" s="31">
        <f>$I$9*$O$9</f>
        <v>0</v>
      </c>
      <c r="P75" s="31">
        <f>$I$9*$P$9</f>
        <v>0</v>
      </c>
      <c r="Q75" s="31">
        <f>$I$9*$Q$9</f>
        <v>0</v>
      </c>
      <c r="R75" s="31">
        <f>$I$9*$R$9</f>
        <v>0</v>
      </c>
      <c r="S75" s="31">
        <f>$I$9*$S$9</f>
        <v>0</v>
      </c>
      <c r="T75" s="31">
        <f>$I$9*$T$9</f>
        <v>3104895.846508286</v>
      </c>
      <c r="U75" s="31">
        <f>$I$9*$U$9</f>
        <v>963027.43565794744</v>
      </c>
      <c r="V75" s="31">
        <f>$I$9*$V$9</f>
        <v>153430.62993637344</v>
      </c>
      <c r="W75" s="31">
        <f>$I$9*$W$9</f>
        <v>8926.7236268890392</v>
      </c>
      <c r="X75" s="31">
        <f>$I$9*$X$9</f>
        <v>181501.96747981629</v>
      </c>
      <c r="Y75" s="31">
        <f>$I$9*$Y$9</f>
        <v>0</v>
      </c>
      <c r="Z75" s="31">
        <f>$I$9*$Z$9</f>
        <v>0</v>
      </c>
      <c r="AA75" s="31">
        <f>$I$9*$AA$9</f>
        <v>3646597.1270323512</v>
      </c>
      <c r="AB75" s="31">
        <f>$I$9*$AB$9</f>
        <v>0</v>
      </c>
      <c r="AC75" s="31">
        <f ca="1">$I$9*$AC$9</f>
        <v>0</v>
      </c>
      <c r="AD75" s="31">
        <f>$I$9*$AD$9</f>
        <v>0</v>
      </c>
      <c r="AE75" s="31">
        <f>$I$9*$AE$9</f>
        <v>0</v>
      </c>
      <c r="AF75" s="31">
        <f ca="1">$I$9*$AF$9</f>
        <v>0</v>
      </c>
      <c r="AG75" s="31">
        <f ca="1">$I$9*$AG$9</f>
        <v>0</v>
      </c>
      <c r="AI75" s="31">
        <f>$I$9*$AI$9</f>
        <v>0</v>
      </c>
      <c r="AJ75" s="31">
        <f>$I$9*$AJ$9</f>
        <v>0</v>
      </c>
      <c r="AK75" s="31">
        <f>$I$9*$AK$9</f>
        <v>0</v>
      </c>
      <c r="AL75" s="31">
        <f>$I$9*$AL$9</f>
        <v>0</v>
      </c>
      <c r="AM75" s="31">
        <f>$I$9*$AM$9</f>
        <v>0</v>
      </c>
      <c r="AN75" s="31">
        <f>$I$9*$AN$9</f>
        <v>0</v>
      </c>
      <c r="AO75" s="31">
        <f>$I$9*$AO$9</f>
        <v>0</v>
      </c>
      <c r="AP75" s="31">
        <f>$I$9*$AP$9</f>
        <v>0</v>
      </c>
      <c r="AQ75" s="31">
        <f>$I$9*$AQ$9</f>
        <v>2580733.6847777124</v>
      </c>
      <c r="AR75" s="31">
        <f>$I$9*$AR$9</f>
        <v>1108294.9213408222</v>
      </c>
      <c r="AS75" s="31">
        <f>$I$9*$AS$9</f>
        <v>254020.92735505613</v>
      </c>
      <c r="AT75" s="31">
        <f>$I$9*$AT$9</f>
        <v>0</v>
      </c>
      <c r="AU75" s="31">
        <f>$I$9*$AU$9</f>
        <v>209574.95700632758</v>
      </c>
      <c r="AV75" s="31">
        <f>$I$9*$AV$9</f>
        <v>0</v>
      </c>
      <c r="AW75" s="31">
        <f>$I$9*$AW$9</f>
        <v>0</v>
      </c>
      <c r="AX75" s="31">
        <f>$I$9*$AX$9</f>
        <v>3320301.8075584136</v>
      </c>
      <c r="AY75" s="31">
        <f>$I$9*$AY$9</f>
        <v>0</v>
      </c>
      <c r="AZ75" s="31">
        <f>$I$9*$AZ$9</f>
        <v>0</v>
      </c>
      <c r="BA75" s="31">
        <f>$I$9*$BA$9</f>
        <v>0</v>
      </c>
      <c r="BB75" s="31">
        <f>$I$9*$BB$9</f>
        <v>0</v>
      </c>
      <c r="BC75" s="31">
        <f>$I$9*$BC$9</f>
        <v>0</v>
      </c>
      <c r="BD75" s="31">
        <f>$I$9*$BD$9</f>
        <v>0</v>
      </c>
    </row>
    <row r="76" spans="1:56" ht="11.25" customHeight="1" x14ac:dyDescent="0.25">
      <c r="A76" s="9" t="s">
        <v>39</v>
      </c>
      <c r="B76" s="9" t="s">
        <v>1147</v>
      </c>
      <c r="C76" s="9" t="s">
        <v>1148</v>
      </c>
      <c r="D76" s="9" t="s">
        <v>1149</v>
      </c>
      <c r="E76" s="9" t="s">
        <v>1150</v>
      </c>
      <c r="F76" s="9" t="s">
        <v>1151</v>
      </c>
      <c r="G76" s="9" t="s">
        <v>1153</v>
      </c>
      <c r="L76" s="31">
        <f>$I$10*$L$10</f>
        <v>0</v>
      </c>
      <c r="M76" s="31">
        <f>$I$10*$M$10</f>
        <v>0</v>
      </c>
      <c r="N76" s="31">
        <f ca="1">$I$10*$N$10</f>
        <v>0</v>
      </c>
      <c r="O76" s="31">
        <f>$I$10*$O$10</f>
        <v>0</v>
      </c>
      <c r="P76" s="31">
        <f>$I$10*$P$10</f>
        <v>0</v>
      </c>
      <c r="Q76" s="31">
        <f>$I$10*$Q$10</f>
        <v>0</v>
      </c>
      <c r="R76" s="31">
        <f>$I$10*$R$10</f>
        <v>0</v>
      </c>
      <c r="S76" s="31">
        <f>$I$10*$S$10</f>
        <v>0</v>
      </c>
      <c r="T76" s="31">
        <f>$I$10*$T$10</f>
        <v>2550342.6462317491</v>
      </c>
      <c r="U76" s="31">
        <f>$I$10*$U$10</f>
        <v>781520.35271915176</v>
      </c>
      <c r="V76" s="31">
        <f>$I$10*$V$10</f>
        <v>115247.67511705868</v>
      </c>
      <c r="W76" s="31">
        <f>$I$10*$W$10</f>
        <v>6711.5340213844038</v>
      </c>
      <c r="X76" s="31">
        <f>$I$10*$X$10</f>
        <v>78903.773204677229</v>
      </c>
      <c r="Y76" s="31">
        <f>$I$10*$Y$10</f>
        <v>0</v>
      </c>
      <c r="Z76" s="31">
        <f>$I$10*$Z$10</f>
        <v>0</v>
      </c>
      <c r="AA76" s="31">
        <f>$I$10*$AA$10</f>
        <v>730177.92463109002</v>
      </c>
      <c r="AB76" s="31">
        <f>$I$10*$AB$10</f>
        <v>0</v>
      </c>
      <c r="AC76" s="31">
        <f ca="1">$I$10*$AC$10</f>
        <v>0</v>
      </c>
      <c r="AD76" s="31">
        <f>$I$10*$AD$10</f>
        <v>0</v>
      </c>
      <c r="AE76" s="31">
        <f>$I$10*$AE$10</f>
        <v>0</v>
      </c>
      <c r="AF76" s="31">
        <f ca="1">$I$10*$AF$10</f>
        <v>0</v>
      </c>
      <c r="AG76" s="31">
        <f ca="1">$I$10*$AG$10</f>
        <v>0</v>
      </c>
      <c r="AI76" s="31">
        <f>$I$10*$AI$10</f>
        <v>0</v>
      </c>
      <c r="AJ76" s="31">
        <f>$I$10*$AJ$10</f>
        <v>0</v>
      </c>
      <c r="AK76" s="31">
        <f>$I$10*$AK$10</f>
        <v>0</v>
      </c>
      <c r="AL76" s="31">
        <f>$I$10*$AL$10</f>
        <v>0</v>
      </c>
      <c r="AM76" s="31">
        <f>$I$10*$AM$10</f>
        <v>0</v>
      </c>
      <c r="AN76" s="31">
        <f>$I$10*$AN$10</f>
        <v>0</v>
      </c>
      <c r="AO76" s="31">
        <f>$I$10*$AO$10</f>
        <v>0</v>
      </c>
      <c r="AP76" s="31">
        <f>$I$10*$AP$10</f>
        <v>0</v>
      </c>
      <c r="AQ76" s="31">
        <f>$I$10*$AQ$10</f>
        <v>2119799.0207166341</v>
      </c>
      <c r="AR76" s="31">
        <f>$I$10*$AR$10</f>
        <v>899408.47557615198</v>
      </c>
      <c r="AS76" s="31">
        <f>$I$10*$AS$10</f>
        <v>190804.93458763574</v>
      </c>
      <c r="AT76" s="31">
        <f>$I$10*$AT$10</f>
        <v>0</v>
      </c>
      <c r="AU76" s="31">
        <f>$I$10*$AU$10</f>
        <v>91107.854678468604</v>
      </c>
      <c r="AV76" s="31">
        <f>$I$10*$AV$10</f>
        <v>0</v>
      </c>
      <c r="AW76" s="31">
        <f>$I$10*$AW$10</f>
        <v>0</v>
      </c>
      <c r="AX76" s="31">
        <f>$I$10*$AX$10</f>
        <v>666528.38230216142</v>
      </c>
      <c r="AY76" s="31">
        <f>$I$10*$AY$10</f>
        <v>0</v>
      </c>
      <c r="AZ76" s="31">
        <f>$I$10*$AZ$10</f>
        <v>0</v>
      </c>
      <c r="BA76" s="31">
        <f>$I$10*$BA$10</f>
        <v>0</v>
      </c>
      <c r="BB76" s="31">
        <f>$I$10*$BB$10</f>
        <v>0</v>
      </c>
      <c r="BC76" s="31">
        <f>$I$10*$BC$10</f>
        <v>0</v>
      </c>
      <c r="BD76" s="31">
        <f>$I$10*$BD$10</f>
        <v>0</v>
      </c>
    </row>
    <row r="77" spans="1:56" ht="11.25" customHeight="1" x14ac:dyDescent="0.25">
      <c r="A77" s="9" t="s">
        <v>39</v>
      </c>
      <c r="B77" s="9" t="s">
        <v>1147</v>
      </c>
      <c r="C77" s="9" t="s">
        <v>1148</v>
      </c>
      <c r="D77" s="9" t="s">
        <v>1149</v>
      </c>
      <c r="E77" s="9" t="s">
        <v>1150</v>
      </c>
      <c r="F77" s="9" t="s">
        <v>1151</v>
      </c>
      <c r="G77" s="9" t="s">
        <v>1154</v>
      </c>
      <c r="L77" s="31">
        <f>$I$11*$L$11</f>
        <v>0</v>
      </c>
      <c r="M77" s="31">
        <f>$I$11*$M$11</f>
        <v>0</v>
      </c>
      <c r="N77" s="31">
        <f ca="1">$I$11*$N$11</f>
        <v>0</v>
      </c>
      <c r="O77" s="31">
        <f>$I$11*$O$11</f>
        <v>0</v>
      </c>
      <c r="P77" s="31">
        <f>$I$11*$P$11</f>
        <v>0</v>
      </c>
      <c r="Q77" s="31">
        <f>$I$11*$Q$11</f>
        <v>0</v>
      </c>
      <c r="R77" s="31">
        <f>$I$11*$R$11</f>
        <v>0</v>
      </c>
      <c r="S77" s="31">
        <f>$I$11*$S$11</f>
        <v>0</v>
      </c>
      <c r="T77" s="31">
        <f>$I$11*$T$11</f>
        <v>0</v>
      </c>
      <c r="U77" s="31">
        <f>$I$11*$U$11</f>
        <v>0</v>
      </c>
      <c r="V77" s="31">
        <f>$I$11*$V$11</f>
        <v>0</v>
      </c>
      <c r="W77" s="31">
        <f>$I$11*$W$11</f>
        <v>0</v>
      </c>
      <c r="X77" s="31">
        <f>$I$11*$X$11</f>
        <v>0</v>
      </c>
      <c r="Y77" s="31">
        <f>$I$11*$Y$11</f>
        <v>0</v>
      </c>
      <c r="Z77" s="31">
        <f>$I$11*$Z$11</f>
        <v>0</v>
      </c>
      <c r="AA77" s="31">
        <f>$I$11*$AA$11</f>
        <v>0</v>
      </c>
      <c r="AB77" s="31">
        <f>$I$11*$AB$11</f>
        <v>0</v>
      </c>
      <c r="AC77" s="31">
        <f ca="1">$I$11*$AC$11</f>
        <v>0</v>
      </c>
      <c r="AD77" s="31">
        <f>$I$11*$AD$11</f>
        <v>891965.57377145952</v>
      </c>
      <c r="AE77" s="31">
        <f>$I$11*$AE$11</f>
        <v>27036.910290136482</v>
      </c>
      <c r="AF77" s="31">
        <f ca="1">$I$11*$AF$11</f>
        <v>0</v>
      </c>
      <c r="AG77" s="31">
        <f ca="1">$I$11*$AG$11</f>
        <v>0</v>
      </c>
      <c r="AI77" s="31">
        <f>$I$11*$AI$11</f>
        <v>0</v>
      </c>
      <c r="AJ77" s="31">
        <f>$I$11*$AJ$11</f>
        <v>0</v>
      </c>
      <c r="AK77" s="31">
        <f>$I$11*$AK$11</f>
        <v>0</v>
      </c>
      <c r="AL77" s="31">
        <f>$I$11*$AL$11</f>
        <v>0</v>
      </c>
      <c r="AM77" s="31">
        <f>$I$11*$AM$11</f>
        <v>0</v>
      </c>
      <c r="AN77" s="31">
        <f>$I$11*$AN$11</f>
        <v>0</v>
      </c>
      <c r="AO77" s="31">
        <f>$I$11*$AO$11</f>
        <v>0</v>
      </c>
      <c r="AP77" s="31">
        <f>$I$11*$AP$11</f>
        <v>0</v>
      </c>
      <c r="AQ77" s="31">
        <f>$I$11*$AQ$11</f>
        <v>0</v>
      </c>
      <c r="AR77" s="31">
        <f>$I$11*$AR$11</f>
        <v>0</v>
      </c>
      <c r="AS77" s="31">
        <f>$I$11*$AS$11</f>
        <v>0</v>
      </c>
      <c r="AT77" s="31">
        <f>$I$11*$AT$11</f>
        <v>0</v>
      </c>
      <c r="AU77" s="31">
        <f>$I$11*$AU$11</f>
        <v>0</v>
      </c>
      <c r="AV77" s="31">
        <f>$I$11*$AV$11</f>
        <v>0</v>
      </c>
      <c r="AW77" s="31">
        <f>$I$11*$AW$11</f>
        <v>0</v>
      </c>
      <c r="AX77" s="31">
        <f>$I$11*$AX$11</f>
        <v>0</v>
      </c>
      <c r="AY77" s="31">
        <f>$I$11*$AY$11</f>
        <v>0</v>
      </c>
      <c r="AZ77" s="31">
        <f>$I$11*$AZ$11</f>
        <v>0</v>
      </c>
      <c r="BA77" s="31">
        <f>$I$11*$BA$11</f>
        <v>978572.28482165269</v>
      </c>
      <c r="BB77" s="31">
        <f>$I$11*$BB$11</f>
        <v>24547.057261683443</v>
      </c>
      <c r="BC77" s="31">
        <f>$I$11*$BC$11</f>
        <v>0</v>
      </c>
      <c r="BD77" s="31">
        <f>$I$11*$BD$11</f>
        <v>0</v>
      </c>
    </row>
    <row r="78" spans="1:56" ht="11.25" customHeight="1" x14ac:dyDescent="0.25">
      <c r="A78" s="9" t="s">
        <v>39</v>
      </c>
      <c r="B78" s="9" t="s">
        <v>1155</v>
      </c>
      <c r="C78" s="9" t="s">
        <v>1156</v>
      </c>
      <c r="D78" s="9" t="s">
        <v>1157</v>
      </c>
      <c r="E78" s="9" t="s">
        <v>1158</v>
      </c>
      <c r="F78" s="9" t="s">
        <v>1159</v>
      </c>
      <c r="G78" s="9" t="s">
        <v>1160</v>
      </c>
      <c r="L78" s="31">
        <f>$I$12*$L$12</f>
        <v>0</v>
      </c>
      <c r="M78" s="31">
        <f>$I$12*$M$12</f>
        <v>158021.03147967145</v>
      </c>
      <c r="N78" s="31">
        <f ca="1">$I$12*$N$12</f>
        <v>369991.91502568783</v>
      </c>
      <c r="O78" s="31">
        <f>$I$12*$O$12</f>
        <v>16725.429001074292</v>
      </c>
      <c r="P78" s="31">
        <f>$I$12*$P$12</f>
        <v>0</v>
      </c>
      <c r="Q78" s="31">
        <f>$I$12*$Q$12</f>
        <v>0</v>
      </c>
      <c r="R78" s="31">
        <f>$I$12*$R$12</f>
        <v>0</v>
      </c>
      <c r="S78" s="31">
        <f>$I$12*$S$12</f>
        <v>0</v>
      </c>
      <c r="T78" s="31">
        <f>$I$12*$T$12</f>
        <v>0</v>
      </c>
      <c r="U78" s="31">
        <f>$I$12*$U$12</f>
        <v>0</v>
      </c>
      <c r="V78" s="31">
        <f>$I$12*$V$12</f>
        <v>589910.20010914432</v>
      </c>
      <c r="W78" s="31">
        <f>$I$12*$W$12</f>
        <v>0</v>
      </c>
      <c r="X78" s="31">
        <f>$I$12*$X$12</f>
        <v>2442639.251079116</v>
      </c>
      <c r="Y78" s="31">
        <f>$I$12*$Y$12</f>
        <v>0</v>
      </c>
      <c r="Z78" s="31">
        <f>$I$12*$Z$12</f>
        <v>0</v>
      </c>
      <c r="AA78" s="31">
        <f>$I$12*$AA$12</f>
        <v>29924985.959762391</v>
      </c>
      <c r="AB78" s="31">
        <f ca="1">$I$12*$AB$12</f>
        <v>-3373832.7762125614</v>
      </c>
      <c r="AC78" s="31">
        <f ca="1">$I$12*$AC$12</f>
        <v>0</v>
      </c>
      <c r="AD78" s="31">
        <f>$I$12*$AD$12</f>
        <v>2411009.3626976968</v>
      </c>
      <c r="AE78" s="31">
        <f>$I$12*$AE$12</f>
        <v>674962.39573948865</v>
      </c>
      <c r="AF78" s="31">
        <f ca="1">$I$12*$AF$12</f>
        <v>0</v>
      </c>
      <c r="AG78" s="31">
        <f ca="1">$I$12*$AG$12</f>
        <v>0</v>
      </c>
      <c r="AI78" s="31">
        <f>$I$12*$AI$12</f>
        <v>0</v>
      </c>
      <c r="AJ78" s="31">
        <f>$I$12*$AJ$12</f>
        <v>138973.49382821281</v>
      </c>
      <c r="AK78" s="31">
        <f>$I$12*$AK$12</f>
        <v>336121.63631880435</v>
      </c>
      <c r="AL78" s="31">
        <f>$I$12*$AL$12</f>
        <v>14913.478621563991</v>
      </c>
      <c r="AM78" s="31">
        <f>$I$12*$AM$12</f>
        <v>0</v>
      </c>
      <c r="AN78" s="31">
        <f>$I$12*$AN$12</f>
        <v>0</v>
      </c>
      <c r="AO78" s="31">
        <f>$I$12*$AO$12</f>
        <v>0</v>
      </c>
      <c r="AP78" s="31">
        <f>$I$12*$AP$12</f>
        <v>0</v>
      </c>
      <c r="AQ78" s="31">
        <f>$I$12*$AQ$12</f>
        <v>0</v>
      </c>
      <c r="AR78" s="31">
        <f>$I$12*$AR$12</f>
        <v>0</v>
      </c>
      <c r="AS78" s="31">
        <f>$I$12*$AS$12</f>
        <v>535907.87714394403</v>
      </c>
      <c r="AT78" s="31">
        <f>$I$12*$AT$12</f>
        <v>0</v>
      </c>
      <c r="AU78" s="31">
        <f>$I$12*$AU$12</f>
        <v>2388177.8329131561</v>
      </c>
      <c r="AV78" s="31">
        <f>$I$12*$AV$12</f>
        <v>0</v>
      </c>
      <c r="AW78" s="31">
        <f>$I$12*$AW$12</f>
        <v>0</v>
      </c>
      <c r="AX78" s="31">
        <f>$I$12*$AX$12</f>
        <v>27110294.281735323</v>
      </c>
      <c r="AY78" s="31">
        <f>$I$12*$AY$12</f>
        <v>-347415.02723888663</v>
      </c>
      <c r="AZ78" s="31">
        <f>$I$12*$AZ$12</f>
        <v>0</v>
      </c>
      <c r="BA78" s="31">
        <f>$I$12*$BA$12</f>
        <v>2591383.4341473947</v>
      </c>
      <c r="BB78" s="31">
        <f>$I$12*$BB$12</f>
        <v>725458.14132993948</v>
      </c>
      <c r="BC78" s="31">
        <f>$I$12*$BC$12</f>
        <v>0</v>
      </c>
      <c r="BD78" s="31">
        <f>$I$12*$BD$12</f>
        <v>0</v>
      </c>
    </row>
    <row r="79" spans="1:56" ht="11.25" customHeight="1" x14ac:dyDescent="0.25">
      <c r="A79" s="9" t="s">
        <v>41</v>
      </c>
      <c r="B79" s="9" t="s">
        <v>1161</v>
      </c>
      <c r="C79" s="9" t="s">
        <v>1162</v>
      </c>
      <c r="D79" s="9" t="s">
        <v>1163</v>
      </c>
      <c r="E79" s="9" t="s">
        <v>1164</v>
      </c>
      <c r="F79" s="9" t="s">
        <v>1165</v>
      </c>
      <c r="G79" s="9" t="s">
        <v>1166</v>
      </c>
      <c r="L79" s="31">
        <f>$I$13*$L$13</f>
        <v>0</v>
      </c>
      <c r="M79" s="31">
        <f>$I$13*$M$13</f>
        <v>0</v>
      </c>
      <c r="N79" s="31">
        <f ca="1">$I$13*$N$13</f>
        <v>0</v>
      </c>
      <c r="O79" s="31">
        <f>$I$13*$O$13</f>
        <v>0</v>
      </c>
      <c r="P79" s="31">
        <f>$I$13*$P$13</f>
        <v>0</v>
      </c>
      <c r="Q79" s="31">
        <f>$I$13*$Q$13</f>
        <v>0</v>
      </c>
      <c r="R79" s="31">
        <f>$I$13*$R$13</f>
        <v>0</v>
      </c>
      <c r="S79" s="31">
        <f>$I$13*$S$13</f>
        <v>0</v>
      </c>
      <c r="T79" s="31">
        <f>$I$13*$T$13</f>
        <v>4324341.5079049598</v>
      </c>
      <c r="U79" s="31">
        <f>$I$13*$U$13</f>
        <v>1341241.6544238094</v>
      </c>
      <c r="V79" s="31">
        <f>$I$13*$V$13</f>
        <v>213698.22145664386</v>
      </c>
      <c r="W79" s="31">
        <f>$I$13*$W$13</f>
        <v>12411.430976734486</v>
      </c>
      <c r="X79" s="31">
        <f>$I$13*$X$13</f>
        <v>326998.02730467136</v>
      </c>
      <c r="Y79" s="31">
        <f>$I$13*$Y$13</f>
        <v>0</v>
      </c>
      <c r="Z79" s="31">
        <f>$I$13*$Z$13</f>
        <v>0</v>
      </c>
      <c r="AA79" s="31">
        <f>$I$13*$AA$13</f>
        <v>25888856.859073017</v>
      </c>
      <c r="AB79" s="31">
        <f ca="1">$I$13*$AB$13</f>
        <v>-2909028.7568845004</v>
      </c>
      <c r="AC79" s="31">
        <f ca="1">$I$13*$AC$13</f>
        <v>0</v>
      </c>
      <c r="AD79" s="31">
        <f>$I$13*$AD$13</f>
        <v>0</v>
      </c>
      <c r="AE79" s="31">
        <f>$I$13*$AE$13</f>
        <v>0</v>
      </c>
      <c r="AF79" s="31">
        <f ca="1">$I$13*$AF$13</f>
        <v>0</v>
      </c>
      <c r="AG79" s="31">
        <f ca="1">$I$13*$AG$13</f>
        <v>0</v>
      </c>
      <c r="AI79" s="31">
        <f>$I$13*$AI$13</f>
        <v>0</v>
      </c>
      <c r="AJ79" s="31">
        <f>$I$13*$AJ$13</f>
        <v>0</v>
      </c>
      <c r="AK79" s="31">
        <f>$I$13*$AK$13</f>
        <v>0</v>
      </c>
      <c r="AL79" s="31">
        <f>$I$13*$AL$13</f>
        <v>0</v>
      </c>
      <c r="AM79" s="31">
        <f>$I$13*$AM$13</f>
        <v>0</v>
      </c>
      <c r="AN79" s="31">
        <f>$I$13*$AN$13</f>
        <v>0</v>
      </c>
      <c r="AO79" s="31">
        <f>$I$13*$AO$13</f>
        <v>0</v>
      </c>
      <c r="AP79" s="31">
        <f>$I$13*$AP$13</f>
        <v>0</v>
      </c>
      <c r="AQ79" s="31">
        <f>$I$13*$AQ$13</f>
        <v>3594315.0255694115</v>
      </c>
      <c r="AR79" s="31">
        <f>$I$13*$AR$13</f>
        <v>1543560.7116147096</v>
      </c>
      <c r="AS79" s="31">
        <f>$I$13*$AS$13</f>
        <v>353800.41397896834</v>
      </c>
      <c r="AT79" s="31">
        <f>$I$13*$AT$13</f>
        <v>0</v>
      </c>
      <c r="AU79" s="31">
        <f>$I$13*$AU$13</f>
        <v>377574.95670757012</v>
      </c>
      <c r="AV79" s="31">
        <f>$I$13*$AV$13</f>
        <v>0</v>
      </c>
      <c r="AW79" s="31">
        <f>$I$13*$AW$13</f>
        <v>0</v>
      </c>
      <c r="AX79" s="31">
        <f>$I$13*$AX$13</f>
        <v>23582576.302511681</v>
      </c>
      <c r="AY79" s="31">
        <f>$I$13*$AY$13</f>
        <v>-301409.29703667172</v>
      </c>
      <c r="AZ79" s="31">
        <f>$I$13*$AZ$13</f>
        <v>0</v>
      </c>
      <c r="BA79" s="31">
        <f>$I$13*$BA$13</f>
        <v>0</v>
      </c>
      <c r="BB79" s="31">
        <f>$I$13*$BB$13</f>
        <v>0</v>
      </c>
      <c r="BC79" s="31">
        <f>$I$13*$BC$13</f>
        <v>0</v>
      </c>
      <c r="BD79" s="31">
        <f>$I$13*$BD$13</f>
        <v>0</v>
      </c>
    </row>
    <row r="80" spans="1:56" ht="11.25" customHeight="1" x14ac:dyDescent="0.25">
      <c r="A80" s="9" t="s">
        <v>41</v>
      </c>
      <c r="B80" s="9" t="s">
        <v>1161</v>
      </c>
      <c r="C80" s="9" t="s">
        <v>1162</v>
      </c>
      <c r="D80" s="9" t="s">
        <v>1163</v>
      </c>
      <c r="E80" s="9" t="s">
        <v>1164</v>
      </c>
      <c r="F80" s="9" t="s">
        <v>1165</v>
      </c>
      <c r="G80" s="9" t="s">
        <v>1167</v>
      </c>
      <c r="L80" s="31">
        <f>$I$14*$L$14</f>
        <v>0</v>
      </c>
      <c r="M80" s="31">
        <f>$I$14*$M$14</f>
        <v>0</v>
      </c>
      <c r="N80" s="31">
        <f ca="1">$I$14*$N$14</f>
        <v>0</v>
      </c>
      <c r="O80" s="31">
        <f>$I$14*$O$14</f>
        <v>0</v>
      </c>
      <c r="P80" s="31">
        <f>$I$14*$P$14</f>
        <v>0</v>
      </c>
      <c r="Q80" s="31">
        <f>$I$14*$Q$14</f>
        <v>0</v>
      </c>
      <c r="R80" s="31">
        <f>$I$14*$R$14</f>
        <v>0</v>
      </c>
      <c r="S80" s="31">
        <f>$I$14*$S$14</f>
        <v>0</v>
      </c>
      <c r="T80" s="31">
        <f>$I$14*$T$14</f>
        <v>3090997.9499509893</v>
      </c>
      <c r="U80" s="31">
        <f>$I$14*$U$14</f>
        <v>953778.7288425169</v>
      </c>
      <c r="V80" s="31">
        <f>$I$14*$V$14</f>
        <v>139500.64389183657</v>
      </c>
      <c r="W80" s="31">
        <f>$I$14*$W$14</f>
        <v>8099.3670163353527</v>
      </c>
      <c r="X80" s="31">
        <f>$I$14*$X$14</f>
        <v>121854.17117303734</v>
      </c>
      <c r="Y80" s="31">
        <f>$I$14*$Y$14</f>
        <v>0</v>
      </c>
      <c r="Z80" s="31">
        <f>$I$14*$Z$14</f>
        <v>0</v>
      </c>
      <c r="AA80" s="31">
        <f>$I$14*$AA$14</f>
        <v>14171437.743407141</v>
      </c>
      <c r="AB80" s="31">
        <f ca="1">$I$14*$AB$14</f>
        <v>-1670962.4944831529</v>
      </c>
      <c r="AC80" s="31">
        <f ca="1">$I$14*$AC$14</f>
        <v>0</v>
      </c>
      <c r="AD80" s="31">
        <f>$I$14*$AD$14</f>
        <v>0</v>
      </c>
      <c r="AE80" s="31">
        <f>$I$14*$AE$14</f>
        <v>0</v>
      </c>
      <c r="AF80" s="31">
        <f ca="1">$I$14*$AF$14</f>
        <v>0</v>
      </c>
      <c r="AG80" s="31">
        <f ca="1">$I$14*$AG$14</f>
        <v>0</v>
      </c>
      <c r="AI80" s="31">
        <f>$I$14*$AI$14</f>
        <v>0</v>
      </c>
      <c r="AJ80" s="31">
        <f>$I$14*$AJ$14</f>
        <v>0</v>
      </c>
      <c r="AK80" s="31">
        <f>$I$14*$AK$14</f>
        <v>0</v>
      </c>
      <c r="AL80" s="31">
        <f>$I$14*$AL$14</f>
        <v>0</v>
      </c>
      <c r="AM80" s="31">
        <f>$I$14*$AM$14</f>
        <v>0</v>
      </c>
      <c r="AN80" s="31">
        <f>$I$14*$AN$14</f>
        <v>0</v>
      </c>
      <c r="AO80" s="31">
        <f>$I$14*$AO$14</f>
        <v>0</v>
      </c>
      <c r="AP80" s="31">
        <f>$I$14*$AP$14</f>
        <v>0</v>
      </c>
      <c r="AQ80" s="31">
        <f>$I$14*$AQ$14</f>
        <v>2569182.0026711095</v>
      </c>
      <c r="AR80" s="31">
        <f>$I$14*$AR$14</f>
        <v>1097651.0970706365</v>
      </c>
      <c r="AS80" s="31">
        <f>$I$14*$AS$14</f>
        <v>230958.33565127655</v>
      </c>
      <c r="AT80" s="31">
        <f>$I$14*$AT$14</f>
        <v>0</v>
      </c>
      <c r="AU80" s="31">
        <f>$I$14*$AU$14</f>
        <v>140701.4096829051</v>
      </c>
      <c r="AV80" s="31">
        <f>$I$14*$AV$14</f>
        <v>0</v>
      </c>
      <c r="AW80" s="31">
        <f>$I$14*$AW$14</f>
        <v>0</v>
      </c>
      <c r="AX80" s="31">
        <f>$I$14*$AX$14</f>
        <v>12910013.572070517</v>
      </c>
      <c r="AY80" s="31">
        <f>$I$14*$AY$14</f>
        <v>-172877.31874044001</v>
      </c>
      <c r="AZ80" s="31">
        <f>$I$14*$AZ$14</f>
        <v>0</v>
      </c>
      <c r="BA80" s="31">
        <f>$I$14*$BA$14</f>
        <v>0</v>
      </c>
      <c r="BB80" s="31">
        <f>$I$14*$BB$14</f>
        <v>0</v>
      </c>
      <c r="BC80" s="31">
        <f>$I$14*$BC$14</f>
        <v>0</v>
      </c>
      <c r="BD80" s="31">
        <f>$I$14*$BD$14</f>
        <v>0</v>
      </c>
    </row>
    <row r="81" spans="1:56" ht="11.25" customHeight="1" x14ac:dyDescent="0.25">
      <c r="A81" s="9" t="s">
        <v>41</v>
      </c>
      <c r="B81" s="9" t="s">
        <v>1161</v>
      </c>
      <c r="C81" s="9" t="s">
        <v>1162</v>
      </c>
      <c r="D81" s="9" t="s">
        <v>1163</v>
      </c>
      <c r="E81" s="9" t="s">
        <v>1164</v>
      </c>
      <c r="F81" s="9" t="s">
        <v>1165</v>
      </c>
      <c r="G81" s="9" t="s">
        <v>1168</v>
      </c>
      <c r="L81" s="31">
        <f>$I$15*$L$15</f>
        <v>870502.1695427692</v>
      </c>
      <c r="M81" s="31">
        <f>$I$15*$M$15</f>
        <v>157526.1014044265</v>
      </c>
      <c r="N81" s="31">
        <f ca="1">$I$15*$N$15</f>
        <v>122068.1156908516</v>
      </c>
      <c r="O81" s="31">
        <f>$I$15*$O$15</f>
        <v>4554.8546561273815</v>
      </c>
      <c r="P81" s="31">
        <f>$I$15*$P$15</f>
        <v>0</v>
      </c>
      <c r="Q81" s="31">
        <f>$I$15*$Q$15</f>
        <v>9642795.1819022316</v>
      </c>
      <c r="R81" s="31">
        <f>$I$15*$R$15</f>
        <v>4390360.6596979639</v>
      </c>
      <c r="S81" s="31">
        <f>$I$15*$S$15</f>
        <v>0</v>
      </c>
      <c r="T81" s="31">
        <f>$I$15*$T$15</f>
        <v>0</v>
      </c>
      <c r="U81" s="31">
        <f>$I$15*$U$15</f>
        <v>0</v>
      </c>
      <c r="V81" s="31">
        <f>$I$15*$V$15</f>
        <v>0</v>
      </c>
      <c r="W81" s="31">
        <f>$I$15*$W$15</f>
        <v>0</v>
      </c>
      <c r="X81" s="31">
        <f>$I$15*$X$15</f>
        <v>0</v>
      </c>
      <c r="Y81" s="31">
        <f>$I$15*$Y$15</f>
        <v>0</v>
      </c>
      <c r="Z81" s="31">
        <f>$I$15*$Z$15</f>
        <v>0</v>
      </c>
      <c r="AA81" s="31">
        <f>$I$15*$AA$15</f>
        <v>0</v>
      </c>
      <c r="AB81" s="31">
        <f ca="1">$I$15*$AB$15</f>
        <v>-1663935.2704101636</v>
      </c>
      <c r="AC81" s="31">
        <f ca="1">$I$15*$AC$15</f>
        <v>0</v>
      </c>
      <c r="AD81" s="31">
        <f>$I$15*$AD$15</f>
        <v>3243243.2696238528</v>
      </c>
      <c r="AE81" s="31">
        <f>$I$15*$AE$15</f>
        <v>98307.916704839503</v>
      </c>
      <c r="AF81" s="31">
        <f ca="1">$I$15*$AF$15</f>
        <v>2074734.9260041739</v>
      </c>
      <c r="AG81" s="31">
        <f ca="1">$I$15*$AG$15</f>
        <v>0</v>
      </c>
      <c r="AI81" s="31">
        <f>$I$15*$AI$15</f>
        <v>852274.8844041269</v>
      </c>
      <c r="AJ81" s="31">
        <f>$I$15*$AJ$15</f>
        <v>136019.54055343175</v>
      </c>
      <c r="AK81" s="31">
        <f>$I$15*$AK$15</f>
        <v>123869.4538027493</v>
      </c>
      <c r="AL81" s="31">
        <f>$I$15*$AL$15</f>
        <v>4526.3408538672811</v>
      </c>
      <c r="AM81" s="31">
        <f>$I$15*$AM$15</f>
        <v>0</v>
      </c>
      <c r="AN81" s="31">
        <f>$I$15*$AN$15</f>
        <v>5899163.767968554</v>
      </c>
      <c r="AO81" s="31">
        <f>$I$15*$AO$15</f>
        <v>2453090.4253555886</v>
      </c>
      <c r="AP81" s="31">
        <f>$I$15*$AP$15</f>
        <v>0</v>
      </c>
      <c r="AQ81" s="31">
        <f>$I$15*$AQ$15</f>
        <v>0</v>
      </c>
      <c r="AR81" s="31">
        <f>$I$15*$AR$15</f>
        <v>0</v>
      </c>
      <c r="AS81" s="31">
        <f>$I$15*$AS$15</f>
        <v>0</v>
      </c>
      <c r="AT81" s="31">
        <f>$I$15*$AT$15</f>
        <v>0</v>
      </c>
      <c r="AU81" s="31">
        <f>$I$15*$AU$15</f>
        <v>0</v>
      </c>
      <c r="AV81" s="31">
        <f>$I$15*$AV$15</f>
        <v>0</v>
      </c>
      <c r="AW81" s="31">
        <f>$I$15*$AW$15</f>
        <v>0</v>
      </c>
      <c r="AX81" s="31">
        <f>$I$15*$AX$15</f>
        <v>0</v>
      </c>
      <c r="AY81" s="31">
        <f>$I$15*$AY$15</f>
        <v>-140705.76496867105</v>
      </c>
      <c r="AZ81" s="31">
        <f>$I$15*$AZ$15</f>
        <v>0</v>
      </c>
      <c r="BA81" s="31">
        <f>$I$15*$BA$15</f>
        <v>3558150.7514565261</v>
      </c>
      <c r="BB81" s="31">
        <f>$I$15*$BB$15</f>
        <v>89254.653536017082</v>
      </c>
      <c r="BC81" s="31">
        <f>$I$15*$BC$15</f>
        <v>2240716.3276157309</v>
      </c>
      <c r="BD81" s="31">
        <f>$I$15*$BD$15</f>
        <v>0</v>
      </c>
    </row>
    <row r="82" spans="1:56" ht="11.25" customHeight="1" x14ac:dyDescent="0.25">
      <c r="A82" s="9" t="s">
        <v>41</v>
      </c>
      <c r="B82" s="9" t="s">
        <v>1161</v>
      </c>
      <c r="C82" s="9" t="s">
        <v>1162</v>
      </c>
      <c r="D82" s="9" t="s">
        <v>1163</v>
      </c>
      <c r="E82" s="9" t="s">
        <v>1169</v>
      </c>
      <c r="F82" s="9" t="s">
        <v>1170</v>
      </c>
      <c r="G82" s="9" t="s">
        <v>1171</v>
      </c>
      <c r="L82" s="31">
        <f>$I$16*$L$16</f>
        <v>0</v>
      </c>
      <c r="M82" s="31">
        <f>$I$16*$M$16</f>
        <v>0</v>
      </c>
      <c r="N82" s="31">
        <f ca="1">$I$16*$N$16</f>
        <v>0</v>
      </c>
      <c r="O82" s="31">
        <f>$I$16*$O$16</f>
        <v>0</v>
      </c>
      <c r="P82" s="31">
        <f>$I$16*$P$16</f>
        <v>0</v>
      </c>
      <c r="Q82" s="31">
        <f>$I$16*$Q$16</f>
        <v>0</v>
      </c>
      <c r="R82" s="31">
        <f>$I$16*$R$16</f>
        <v>0</v>
      </c>
      <c r="S82" s="31">
        <f>$I$16*$S$16</f>
        <v>0</v>
      </c>
      <c r="T82" s="31">
        <f>$I$16*$T$16</f>
        <v>0</v>
      </c>
      <c r="U82" s="31">
        <f>$I$16*$U$16</f>
        <v>0</v>
      </c>
      <c r="V82" s="31">
        <f>$I$16*$V$16</f>
        <v>0</v>
      </c>
      <c r="W82" s="31">
        <f>$I$16*$W$16</f>
        <v>0</v>
      </c>
      <c r="X82" s="31">
        <f>$I$16*$X$16</f>
        <v>0</v>
      </c>
      <c r="Y82" s="31">
        <f>$I$16*$Y$16</f>
        <v>0</v>
      </c>
      <c r="Z82" s="31">
        <f>$I$16*$Z$16</f>
        <v>0</v>
      </c>
      <c r="AA82" s="31">
        <f>$I$16*$AA$16</f>
        <v>0</v>
      </c>
      <c r="AB82" s="31">
        <f ca="1">$I$16*$AB$16</f>
        <v>0</v>
      </c>
      <c r="AC82" s="31">
        <f ca="1">$I$16*$AC$16</f>
        <v>0</v>
      </c>
      <c r="AD82" s="31">
        <f>$I$16*$AD$16</f>
        <v>0</v>
      </c>
      <c r="AE82" s="31">
        <f>$I$16*$AE$16</f>
        <v>0</v>
      </c>
      <c r="AF82" s="31">
        <f ca="1">$I$16*$AF$16</f>
        <v>0</v>
      </c>
      <c r="AG82" s="31">
        <f ca="1">$I$16*$AG$16</f>
        <v>0</v>
      </c>
      <c r="AI82" s="31">
        <f>$I$16*$AI$16</f>
        <v>0</v>
      </c>
      <c r="AJ82" s="31">
        <f>$I$16*$AJ$16</f>
        <v>0</v>
      </c>
      <c r="AK82" s="31">
        <f>$I$16*$AK$16</f>
        <v>0</v>
      </c>
      <c r="AL82" s="31">
        <f>$I$16*$AL$16</f>
        <v>0</v>
      </c>
      <c r="AM82" s="31">
        <f>$I$16*$AM$16</f>
        <v>0</v>
      </c>
      <c r="AN82" s="31">
        <f>$I$16*$AN$16</f>
        <v>0</v>
      </c>
      <c r="AO82" s="31">
        <f>$I$16*$AO$16</f>
        <v>0</v>
      </c>
      <c r="AP82" s="31">
        <f>$I$16*$AP$16</f>
        <v>0</v>
      </c>
      <c r="AQ82" s="31">
        <f>$I$16*$AQ$16</f>
        <v>0</v>
      </c>
      <c r="AR82" s="31">
        <f>$I$16*$AR$16</f>
        <v>0</v>
      </c>
      <c r="AS82" s="31">
        <f>$I$16*$AS$16</f>
        <v>0</v>
      </c>
      <c r="AT82" s="31">
        <f>$I$16*$AT$16</f>
        <v>0</v>
      </c>
      <c r="AU82" s="31">
        <f>$I$16*$AU$16</f>
        <v>0</v>
      </c>
      <c r="AV82" s="31">
        <f>$I$16*$AV$16</f>
        <v>0</v>
      </c>
      <c r="AW82" s="31">
        <f>$I$16*$AW$16</f>
        <v>0</v>
      </c>
      <c r="AX82" s="31">
        <f>$I$16*$AX$16</f>
        <v>0</v>
      </c>
      <c r="AY82" s="31">
        <f>$I$16*$AY$16</f>
        <v>0</v>
      </c>
      <c r="AZ82" s="31">
        <f>$I$16*$AZ$16</f>
        <v>0</v>
      </c>
      <c r="BA82" s="31">
        <f>$I$16*$BA$16</f>
        <v>0</v>
      </c>
      <c r="BB82" s="31">
        <f>$I$16*$BB$16</f>
        <v>0</v>
      </c>
      <c r="BC82" s="31">
        <f>$I$16*$BC$16</f>
        <v>0</v>
      </c>
      <c r="BD82" s="31">
        <f>$I$16*$BD$16</f>
        <v>0</v>
      </c>
    </row>
    <row r="83" spans="1:56" ht="11.25" customHeight="1" x14ac:dyDescent="0.25">
      <c r="A83" s="9" t="s">
        <v>41</v>
      </c>
      <c r="B83" s="9" t="s">
        <v>1172</v>
      </c>
      <c r="C83" s="9" t="s">
        <v>1173</v>
      </c>
      <c r="D83" s="9" t="s">
        <v>1174</v>
      </c>
      <c r="E83" s="9" t="s">
        <v>1175</v>
      </c>
      <c r="F83" s="9" t="s">
        <v>1176</v>
      </c>
      <c r="G83" s="9" t="s">
        <v>1177</v>
      </c>
      <c r="L83" s="31">
        <f>$I$17*$L$17</f>
        <v>0</v>
      </c>
      <c r="M83" s="31">
        <f>$I$17*$M$17</f>
        <v>0</v>
      </c>
      <c r="N83" s="31">
        <f ca="1">$I$17*$N$17</f>
        <v>0</v>
      </c>
      <c r="O83" s="31">
        <f>$I$17*$O$17</f>
        <v>0</v>
      </c>
      <c r="P83" s="31">
        <f>$I$17*$P$17</f>
        <v>0</v>
      </c>
      <c r="Q83" s="31">
        <f>$I$17*$Q$17</f>
        <v>0</v>
      </c>
      <c r="R83" s="31">
        <f>$I$17*$R$17</f>
        <v>0</v>
      </c>
      <c r="S83" s="31">
        <f>$I$17*$S$17</f>
        <v>0</v>
      </c>
      <c r="T83" s="31">
        <f>$I$17*$T$17</f>
        <v>646502.97228010348</v>
      </c>
      <c r="U83" s="31">
        <f>$I$17*$U$17</f>
        <v>200519.9437985585</v>
      </c>
      <c r="V83" s="31">
        <f>$I$17*$V$17</f>
        <v>31948.571843861053</v>
      </c>
      <c r="W83" s="31">
        <f>$I$17*$W$17</f>
        <v>1855.5488742136008</v>
      </c>
      <c r="X83" s="31">
        <f>$I$17*$X$17</f>
        <v>48887.257446191215</v>
      </c>
      <c r="Y83" s="31">
        <f>$I$17*$Y$17</f>
        <v>0</v>
      </c>
      <c r="Z83" s="31">
        <f>$I$17*$Z$17</f>
        <v>0</v>
      </c>
      <c r="AA83" s="31">
        <f>$I$17*$AA$17</f>
        <v>1389381.4533659329</v>
      </c>
      <c r="AB83" s="31">
        <f>$I$17*$AB$17</f>
        <v>0</v>
      </c>
      <c r="AC83" s="31">
        <f ca="1">$I$17*$AC$17</f>
        <v>0</v>
      </c>
      <c r="AD83" s="31">
        <f>$I$17*$AD$17</f>
        <v>0</v>
      </c>
      <c r="AE83" s="31">
        <f>$I$17*$AE$17</f>
        <v>0</v>
      </c>
      <c r="AF83" s="31">
        <f ca="1">$I$17*$AF$17</f>
        <v>0</v>
      </c>
      <c r="AG83" s="31">
        <f ca="1">$I$17*$AG$17</f>
        <v>0</v>
      </c>
      <c r="AI83" s="31">
        <f>$I$17*$AI$17</f>
        <v>0</v>
      </c>
      <c r="AJ83" s="31">
        <f>$I$17*$AJ$17</f>
        <v>0</v>
      </c>
      <c r="AK83" s="31">
        <f>$I$17*$AK$17</f>
        <v>0</v>
      </c>
      <c r="AL83" s="31">
        <f>$I$17*$AL$17</f>
        <v>0</v>
      </c>
      <c r="AM83" s="31">
        <f>$I$17*$AM$17</f>
        <v>0</v>
      </c>
      <c r="AN83" s="31">
        <f>$I$17*$AN$17</f>
        <v>0</v>
      </c>
      <c r="AO83" s="31">
        <f>$I$17*$AO$17</f>
        <v>0</v>
      </c>
      <c r="AP83" s="31">
        <f>$I$17*$AP$17</f>
        <v>0</v>
      </c>
      <c r="AQ83" s="31">
        <f>$I$17*$AQ$17</f>
        <v>537361.66375709197</v>
      </c>
      <c r="AR83" s="31">
        <f>$I$17*$AR$17</f>
        <v>230767.29396360007</v>
      </c>
      <c r="AS83" s="31">
        <f>$I$17*$AS$17</f>
        <v>52894.300511004229</v>
      </c>
      <c r="AT83" s="31">
        <f>$I$17*$AT$17</f>
        <v>0</v>
      </c>
      <c r="AU83" s="31">
        <f>$I$17*$AU$17</f>
        <v>56448.671161551647</v>
      </c>
      <c r="AV83" s="31">
        <f>$I$17*$AV$17</f>
        <v>0</v>
      </c>
      <c r="AW83" s="31">
        <f>$I$17*$AW$17</f>
        <v>0</v>
      </c>
      <c r="AX83" s="31">
        <f>$I$17*$AX$17</f>
        <v>1265613.8731151307</v>
      </c>
      <c r="AY83" s="31">
        <f>$I$17*$AY$17</f>
        <v>0</v>
      </c>
      <c r="AZ83" s="31">
        <f>$I$17*$AZ$17</f>
        <v>0</v>
      </c>
      <c r="BA83" s="31">
        <f>$I$17*$BA$17</f>
        <v>0</v>
      </c>
      <c r="BB83" s="31">
        <f>$I$17*$BB$17</f>
        <v>0</v>
      </c>
      <c r="BC83" s="31">
        <f>$I$17*$BC$17</f>
        <v>0</v>
      </c>
      <c r="BD83" s="31">
        <f>$I$17*$BD$17</f>
        <v>0</v>
      </c>
    </row>
    <row r="84" spans="1:56" ht="11.25" customHeight="1" x14ac:dyDescent="0.25">
      <c r="A84" s="9" t="s">
        <v>41</v>
      </c>
      <c r="B84" s="9" t="s">
        <v>1172</v>
      </c>
      <c r="C84" s="9" t="s">
        <v>1173</v>
      </c>
      <c r="D84" s="9" t="s">
        <v>1174</v>
      </c>
      <c r="E84" s="9" t="s">
        <v>1175</v>
      </c>
      <c r="F84" s="9" t="s">
        <v>1176</v>
      </c>
      <c r="G84" s="9" t="s">
        <v>1178</v>
      </c>
      <c r="L84" s="31">
        <f>$I$18*$L$18</f>
        <v>0</v>
      </c>
      <c r="M84" s="31">
        <f>$I$18*$M$18</f>
        <v>0</v>
      </c>
      <c r="N84" s="31">
        <f ca="1">$I$18*$N$18</f>
        <v>0</v>
      </c>
      <c r="O84" s="31">
        <f>$I$18*$O$18</f>
        <v>0</v>
      </c>
      <c r="P84" s="31">
        <f>$I$18*$P$18</f>
        <v>0</v>
      </c>
      <c r="Q84" s="31">
        <f>$I$18*$Q$18</f>
        <v>0</v>
      </c>
      <c r="R84" s="31">
        <f>$I$18*$R$18</f>
        <v>0</v>
      </c>
      <c r="S84" s="31">
        <f>$I$18*$S$18</f>
        <v>0</v>
      </c>
      <c r="T84" s="31">
        <f>$I$18*$T$18</f>
        <v>415543.74971747631</v>
      </c>
      <c r="U84" s="31">
        <f>$I$18*$U$18</f>
        <v>128222.92211169918</v>
      </c>
      <c r="V84" s="31">
        <f>$I$18*$V$18</f>
        <v>18754.014589927268</v>
      </c>
      <c r="W84" s="31">
        <f>$I$18*$W$18</f>
        <v>1088.8526601447297</v>
      </c>
      <c r="X84" s="31">
        <f>$I$18*$X$18</f>
        <v>16381.679971273363</v>
      </c>
      <c r="Y84" s="31">
        <f>$I$18*$Y$18</f>
        <v>0</v>
      </c>
      <c r="Z84" s="31">
        <f>$I$18*$Z$18</f>
        <v>0</v>
      </c>
      <c r="AA84" s="31">
        <f>$I$18*$AA$18</f>
        <v>683898.17103513214</v>
      </c>
      <c r="AB84" s="31">
        <f>$I$18*$AB$18</f>
        <v>0</v>
      </c>
      <c r="AC84" s="31">
        <f ca="1">$I$18*$AC$18</f>
        <v>0</v>
      </c>
      <c r="AD84" s="31">
        <f>$I$18*$AD$18</f>
        <v>0</v>
      </c>
      <c r="AE84" s="31">
        <f>$I$18*$AE$18</f>
        <v>0</v>
      </c>
      <c r="AF84" s="31">
        <f ca="1">$I$18*$AF$18</f>
        <v>0</v>
      </c>
      <c r="AG84" s="31">
        <f ca="1">$I$18*$AG$18</f>
        <v>0</v>
      </c>
      <c r="AI84" s="31">
        <f>$I$18*$AI$18</f>
        <v>0</v>
      </c>
      <c r="AJ84" s="31">
        <f>$I$18*$AJ$18</f>
        <v>0</v>
      </c>
      <c r="AK84" s="31">
        <f>$I$18*$AK$18</f>
        <v>0</v>
      </c>
      <c r="AL84" s="31">
        <f>$I$18*$AL$18</f>
        <v>0</v>
      </c>
      <c r="AM84" s="31">
        <f>$I$18*$AM$18</f>
        <v>0</v>
      </c>
      <c r="AN84" s="31">
        <f>$I$18*$AN$18</f>
        <v>0</v>
      </c>
      <c r="AO84" s="31">
        <f>$I$18*$AO$18</f>
        <v>0</v>
      </c>
      <c r="AP84" s="31">
        <f>$I$18*$AP$18</f>
        <v>0</v>
      </c>
      <c r="AQ84" s="31">
        <f>$I$18*$AQ$18</f>
        <v>345392.504421925</v>
      </c>
      <c r="AR84" s="31">
        <f>$I$18*$AR$18</f>
        <v>147564.65715723496</v>
      </c>
      <c r="AS84" s="31">
        <f>$I$18*$AS$18</f>
        <v>31049.290351862157</v>
      </c>
      <c r="AT84" s="31">
        <f>$I$18*$AT$18</f>
        <v>0</v>
      </c>
      <c r="AU84" s="31">
        <f>$I$18*$AU$18</f>
        <v>18915.441652459289</v>
      </c>
      <c r="AV84" s="31">
        <f>$I$18*$AV$18</f>
        <v>0</v>
      </c>
      <c r="AW84" s="31">
        <f>$I$18*$AW$18</f>
        <v>0</v>
      </c>
      <c r="AX84" s="31">
        <f>$I$18*$AX$18</f>
        <v>623018.69470454392</v>
      </c>
      <c r="AY84" s="31">
        <f>$I$18*$AY$18</f>
        <v>0</v>
      </c>
      <c r="AZ84" s="31">
        <f>$I$18*$AZ$18</f>
        <v>0</v>
      </c>
      <c r="BA84" s="31">
        <f>$I$18*$BA$18</f>
        <v>0</v>
      </c>
      <c r="BB84" s="31">
        <f>$I$18*$BB$18</f>
        <v>0</v>
      </c>
      <c r="BC84" s="31">
        <f>$I$18*$BC$18</f>
        <v>0</v>
      </c>
      <c r="BD84" s="31">
        <f>$I$18*$BD$18</f>
        <v>0</v>
      </c>
    </row>
    <row r="85" spans="1:56" ht="11.25" customHeight="1" x14ac:dyDescent="0.25">
      <c r="A85" s="9" t="s">
        <v>41</v>
      </c>
      <c r="B85" s="9" t="s">
        <v>1172</v>
      </c>
      <c r="C85" s="9" t="s">
        <v>1173</v>
      </c>
      <c r="D85" s="9" t="s">
        <v>1174</v>
      </c>
      <c r="E85" s="9" t="s">
        <v>1175</v>
      </c>
      <c r="F85" s="9" t="s">
        <v>1176</v>
      </c>
      <c r="G85" s="9" t="s">
        <v>1179</v>
      </c>
      <c r="L85" s="31">
        <f>$I$19*$L$19</f>
        <v>0</v>
      </c>
      <c r="M85" s="31">
        <f>$I$19*$M$19</f>
        <v>0</v>
      </c>
      <c r="N85" s="31">
        <f ca="1">$I$19*$N$19</f>
        <v>0</v>
      </c>
      <c r="O85" s="31">
        <f>$I$19*$O$19</f>
        <v>0</v>
      </c>
      <c r="P85" s="31">
        <f>$I$19*$P$19</f>
        <v>0</v>
      </c>
      <c r="Q85" s="31">
        <f>$I$19*$Q$19</f>
        <v>0</v>
      </c>
      <c r="R85" s="31">
        <f>$I$19*$R$19</f>
        <v>0</v>
      </c>
      <c r="S85" s="31">
        <f>$I$19*$S$19</f>
        <v>0</v>
      </c>
      <c r="T85" s="31">
        <f>$I$19*$T$19</f>
        <v>0</v>
      </c>
      <c r="U85" s="31">
        <f>$I$19*$U$19</f>
        <v>0</v>
      </c>
      <c r="V85" s="31">
        <f>$I$19*$V$19</f>
        <v>0</v>
      </c>
      <c r="W85" s="31">
        <f>$I$19*$W$19</f>
        <v>0</v>
      </c>
      <c r="X85" s="31">
        <f>$I$19*$X$19</f>
        <v>0</v>
      </c>
      <c r="Y85" s="31">
        <f>$I$19*$Y$19</f>
        <v>0</v>
      </c>
      <c r="Z85" s="31">
        <f>$I$19*$Z$19</f>
        <v>0</v>
      </c>
      <c r="AA85" s="31">
        <f>$I$19*$AA$19</f>
        <v>0</v>
      </c>
      <c r="AB85" s="31">
        <f>$I$19*$AB$19</f>
        <v>0</v>
      </c>
      <c r="AC85" s="31">
        <f ca="1">$I$19*$AC$19</f>
        <v>0</v>
      </c>
      <c r="AD85" s="31">
        <f>$I$19*$AD$19</f>
        <v>585280.06250648166</v>
      </c>
      <c r="AE85" s="31">
        <f>$I$19*$AE$19</f>
        <v>17740.779476145683</v>
      </c>
      <c r="AF85" s="31">
        <f ca="1">$I$19*$AF$19</f>
        <v>0</v>
      </c>
      <c r="AG85" s="31">
        <f ca="1">$I$19*$AG$19</f>
        <v>0</v>
      </c>
      <c r="AI85" s="31">
        <f>$I$19*$AI$19</f>
        <v>0</v>
      </c>
      <c r="AJ85" s="31">
        <f>$I$19*$AJ$19</f>
        <v>0</v>
      </c>
      <c r="AK85" s="31">
        <f>$I$19*$AK$19</f>
        <v>0</v>
      </c>
      <c r="AL85" s="31">
        <f>$I$19*$AL$19</f>
        <v>0</v>
      </c>
      <c r="AM85" s="31">
        <f>$I$19*$AM$19</f>
        <v>0</v>
      </c>
      <c r="AN85" s="31">
        <f>$I$19*$AN$19</f>
        <v>0</v>
      </c>
      <c r="AO85" s="31">
        <f>$I$19*$AO$19</f>
        <v>0</v>
      </c>
      <c r="AP85" s="31">
        <f>$I$19*$AP$19</f>
        <v>0</v>
      </c>
      <c r="AQ85" s="31">
        <f>$I$19*$AQ$19</f>
        <v>0</v>
      </c>
      <c r="AR85" s="31">
        <f>$I$19*$AR$19</f>
        <v>0</v>
      </c>
      <c r="AS85" s="31">
        <f>$I$19*$AS$19</f>
        <v>0</v>
      </c>
      <c r="AT85" s="31">
        <f>$I$19*$AT$19</f>
        <v>0</v>
      </c>
      <c r="AU85" s="31">
        <f>$I$19*$AU$19</f>
        <v>0</v>
      </c>
      <c r="AV85" s="31">
        <f>$I$19*$AV$19</f>
        <v>0</v>
      </c>
      <c r="AW85" s="31">
        <f>$I$19*$AW$19</f>
        <v>0</v>
      </c>
      <c r="AX85" s="31">
        <f>$I$19*$AX$19</f>
        <v>0</v>
      </c>
      <c r="AY85" s="31">
        <f>$I$19*$AY$19</f>
        <v>0</v>
      </c>
      <c r="AZ85" s="31">
        <f>$I$19*$AZ$19</f>
        <v>0</v>
      </c>
      <c r="BA85" s="31">
        <f>$I$19*$BA$19</f>
        <v>642108.69216156204</v>
      </c>
      <c r="BB85" s="31">
        <f>$I$19*$BB$19</f>
        <v>16107.015372489481</v>
      </c>
      <c r="BC85" s="31">
        <f>$I$19*$BC$19</f>
        <v>0</v>
      </c>
      <c r="BD85" s="31">
        <f>$I$19*$BD$19</f>
        <v>0</v>
      </c>
    </row>
    <row r="86" spans="1:56" ht="11.25" customHeight="1" x14ac:dyDescent="0.25">
      <c r="A86" s="9" t="s">
        <v>41</v>
      </c>
      <c r="B86" s="9" t="s">
        <v>1172</v>
      </c>
      <c r="C86" s="9" t="s">
        <v>1173</v>
      </c>
      <c r="D86" s="9" t="s">
        <v>1174</v>
      </c>
      <c r="E86" s="9" t="s">
        <v>1175</v>
      </c>
      <c r="F86" s="9" t="s">
        <v>1180</v>
      </c>
      <c r="G86" s="9" t="s">
        <v>1181</v>
      </c>
      <c r="L86" s="31">
        <f>$I$20*$L$20</f>
        <v>0</v>
      </c>
      <c r="M86" s="31">
        <f>$I$20*$M$20</f>
        <v>0</v>
      </c>
      <c r="N86" s="31">
        <f ca="1">$I$20*$N$20</f>
        <v>0</v>
      </c>
      <c r="O86" s="31">
        <f>$I$20*$O$20</f>
        <v>0</v>
      </c>
      <c r="P86" s="31">
        <f>$I$20*$P$20</f>
        <v>0</v>
      </c>
      <c r="Q86" s="31">
        <f>$I$20*$Q$20</f>
        <v>0</v>
      </c>
      <c r="R86" s="31">
        <f>$I$20*$R$20</f>
        <v>0</v>
      </c>
      <c r="S86" s="31">
        <f>$I$20*$S$20</f>
        <v>0</v>
      </c>
      <c r="T86" s="31">
        <f>$I$20*$T$20</f>
        <v>217718.60972396538</v>
      </c>
      <c r="U86" s="31">
        <f>$I$20*$U$20</f>
        <v>67527.7999601138</v>
      </c>
      <c r="V86" s="31">
        <f>$I$20*$V$20</f>
        <v>10759.113171560157</v>
      </c>
      <c r="W86" s="31">
        <f>$I$20*$W$20</f>
        <v>624.8811505751637</v>
      </c>
      <c r="X86" s="31">
        <f>$I$20*$X$20</f>
        <v>16463.444378088421</v>
      </c>
      <c r="Y86" s="31">
        <f>$I$20*$Y$20</f>
        <v>0</v>
      </c>
      <c r="Z86" s="31">
        <f>$I$20*$Z$20</f>
        <v>0</v>
      </c>
      <c r="AA86" s="31">
        <f>$I$20*$AA$20</f>
        <v>467892.97400481999</v>
      </c>
      <c r="AB86" s="31">
        <f>$I$20*$AB$20</f>
        <v>0</v>
      </c>
      <c r="AC86" s="31">
        <f ca="1">$I$20*$AC$20</f>
        <v>0</v>
      </c>
      <c r="AD86" s="31">
        <f>$I$20*$AD$20</f>
        <v>0</v>
      </c>
      <c r="AE86" s="31">
        <f>$I$20*$AE$20</f>
        <v>0</v>
      </c>
      <c r="AF86" s="31">
        <f ca="1">$I$20*$AF$20</f>
        <v>0</v>
      </c>
      <c r="AG86" s="31">
        <f ca="1">$I$20*$AG$20</f>
        <v>0</v>
      </c>
      <c r="AI86" s="31">
        <f>$I$20*$AI$20</f>
        <v>0</v>
      </c>
      <c r="AJ86" s="31">
        <f>$I$20*$AJ$20</f>
        <v>0</v>
      </c>
      <c r="AK86" s="31">
        <f>$I$20*$AK$20</f>
        <v>0</v>
      </c>
      <c r="AL86" s="31">
        <f>$I$20*$AL$20</f>
        <v>0</v>
      </c>
      <c r="AM86" s="31">
        <f>$I$20*$AM$20</f>
        <v>0</v>
      </c>
      <c r="AN86" s="31">
        <f>$I$20*$AN$20</f>
        <v>0</v>
      </c>
      <c r="AO86" s="31">
        <f>$I$20*$AO$20</f>
        <v>0</v>
      </c>
      <c r="AP86" s="31">
        <f>$I$20*$AP$20</f>
        <v>0</v>
      </c>
      <c r="AQ86" s="31">
        <f>$I$20*$AQ$20</f>
        <v>180963.79965514282</v>
      </c>
      <c r="AR86" s="31">
        <f>$I$20*$AR$20</f>
        <v>77714.003749001582</v>
      </c>
      <c r="AS86" s="31">
        <f>$I$20*$AS$20</f>
        <v>17812.870262548495</v>
      </c>
      <c r="AT86" s="31">
        <f>$I$20*$AT$20</f>
        <v>0</v>
      </c>
      <c r="AU86" s="31">
        <f>$I$20*$AU$20</f>
        <v>19009.852596212961</v>
      </c>
      <c r="AV86" s="31">
        <f>$I$20*$AV$20</f>
        <v>0</v>
      </c>
      <c r="AW86" s="31">
        <f>$I$20*$AW$20</f>
        <v>0</v>
      </c>
      <c r="AX86" s="31">
        <f>$I$20*$AX$20</f>
        <v>426212.56934083474</v>
      </c>
      <c r="AY86" s="31">
        <f>$I$20*$AY$20</f>
        <v>0</v>
      </c>
      <c r="AZ86" s="31">
        <f>$I$20*$AZ$20</f>
        <v>0</v>
      </c>
      <c r="BA86" s="31">
        <f>$I$20*$BA$20</f>
        <v>0</v>
      </c>
      <c r="BB86" s="31">
        <f>$I$20*$BB$20</f>
        <v>0</v>
      </c>
      <c r="BC86" s="31">
        <f>$I$20*$BC$20</f>
        <v>0</v>
      </c>
      <c r="BD86" s="31">
        <f>$I$20*$BD$20</f>
        <v>0</v>
      </c>
    </row>
    <row r="87" spans="1:56" ht="11.25" customHeight="1" x14ac:dyDescent="0.25">
      <c r="A87" s="9" t="s">
        <v>41</v>
      </c>
      <c r="B87" s="9" t="s">
        <v>1172</v>
      </c>
      <c r="C87" s="9" t="s">
        <v>1173</v>
      </c>
      <c r="D87" s="9" t="s">
        <v>1174</v>
      </c>
      <c r="E87" s="9" t="s">
        <v>1175</v>
      </c>
      <c r="F87" s="9" t="s">
        <v>1180</v>
      </c>
      <c r="G87" s="9" t="s">
        <v>1182</v>
      </c>
      <c r="L87" s="31">
        <f>$I$21*$L$21</f>
        <v>0</v>
      </c>
      <c r="M87" s="31">
        <f>$I$21*$M$21</f>
        <v>0</v>
      </c>
      <c r="N87" s="31">
        <f ca="1">$I$21*$N$21</f>
        <v>0</v>
      </c>
      <c r="O87" s="31">
        <f>$I$21*$O$21</f>
        <v>0</v>
      </c>
      <c r="P87" s="31">
        <f>$I$21*$P$21</f>
        <v>0</v>
      </c>
      <c r="Q87" s="31">
        <f>$I$21*$Q$21</f>
        <v>0</v>
      </c>
      <c r="R87" s="31">
        <f>$I$21*$R$21</f>
        <v>0</v>
      </c>
      <c r="S87" s="31">
        <f>$I$21*$S$21</f>
        <v>0</v>
      </c>
      <c r="T87" s="31">
        <f>$I$21*$T$21</f>
        <v>232989.72239321112</v>
      </c>
      <c r="U87" s="31">
        <f>$I$21*$U$21</f>
        <v>71892.846535563483</v>
      </c>
      <c r="V87" s="31">
        <f>$I$21*$V$21</f>
        <v>10515.12062456999</v>
      </c>
      <c r="W87" s="31">
        <f>$I$21*$W$21</f>
        <v>610.50486064755421</v>
      </c>
      <c r="X87" s="31">
        <f>$I$21*$X$21</f>
        <v>9184.9849057683659</v>
      </c>
      <c r="Y87" s="31">
        <f>$I$21*$Y$21</f>
        <v>0</v>
      </c>
      <c r="Z87" s="31">
        <f>$I$21*$Z$21</f>
        <v>0</v>
      </c>
      <c r="AA87" s="31">
        <f>$I$21*$AA$21</f>
        <v>383452.39249305194</v>
      </c>
      <c r="AB87" s="31">
        <f>$I$21*$AB$21</f>
        <v>0</v>
      </c>
      <c r="AC87" s="31">
        <f ca="1">$I$21*$AC$21</f>
        <v>0</v>
      </c>
      <c r="AD87" s="31">
        <f>$I$21*$AD$21</f>
        <v>0</v>
      </c>
      <c r="AE87" s="31">
        <f>$I$21*$AE$21</f>
        <v>0</v>
      </c>
      <c r="AF87" s="31">
        <f ca="1">$I$21*$AF$21</f>
        <v>0</v>
      </c>
      <c r="AG87" s="31">
        <f ca="1">$I$21*$AG$21</f>
        <v>0</v>
      </c>
      <c r="AI87" s="31">
        <f>$I$21*$AI$21</f>
        <v>0</v>
      </c>
      <c r="AJ87" s="31">
        <f>$I$21*$AJ$21</f>
        <v>0</v>
      </c>
      <c r="AK87" s="31">
        <f>$I$21*$AK$21</f>
        <v>0</v>
      </c>
      <c r="AL87" s="31">
        <f>$I$21*$AL$21</f>
        <v>0</v>
      </c>
      <c r="AM87" s="31">
        <f>$I$21*$AM$21</f>
        <v>0</v>
      </c>
      <c r="AN87" s="31">
        <f>$I$21*$AN$21</f>
        <v>0</v>
      </c>
      <c r="AO87" s="31">
        <f>$I$21*$AO$21</f>
        <v>0</v>
      </c>
      <c r="AP87" s="31">
        <f>$I$21*$AP$21</f>
        <v>0</v>
      </c>
      <c r="AQ87" s="31">
        <f>$I$21*$AQ$21</f>
        <v>193656.87434036224</v>
      </c>
      <c r="AR87" s="31">
        <f>$I$21*$AR$21</f>
        <v>82737.494017149467</v>
      </c>
      <c r="AS87" s="31">
        <f>$I$21*$AS$21</f>
        <v>17408.914330933872</v>
      </c>
      <c r="AT87" s="31">
        <f>$I$21*$AT$21</f>
        <v>0</v>
      </c>
      <c r="AU87" s="31">
        <f>$I$21*$AU$21</f>
        <v>10605.630580529281</v>
      </c>
      <c r="AV87" s="31">
        <f>$I$21*$AV$21</f>
        <v>0</v>
      </c>
      <c r="AW87" s="31">
        <f>$I$21*$AW$21</f>
        <v>0</v>
      </c>
      <c r="AX87" s="31">
        <f>$I$21*$AX$21</f>
        <v>349318.09905378934</v>
      </c>
      <c r="AY87" s="31">
        <f>$I$21*$AY$21</f>
        <v>0</v>
      </c>
      <c r="AZ87" s="31">
        <f>$I$21*$AZ$21</f>
        <v>0</v>
      </c>
      <c r="BA87" s="31">
        <f>$I$21*$BA$21</f>
        <v>0</v>
      </c>
      <c r="BB87" s="31">
        <f>$I$21*$BB$21</f>
        <v>0</v>
      </c>
      <c r="BC87" s="31">
        <f>$I$21*$BC$21</f>
        <v>0</v>
      </c>
      <c r="BD87" s="31">
        <f>$I$21*$BD$21</f>
        <v>0</v>
      </c>
    </row>
    <row r="88" spans="1:56" ht="11.25" customHeight="1" x14ac:dyDescent="0.25">
      <c r="A88" s="9" t="s">
        <v>41</v>
      </c>
      <c r="B88" s="9" t="s">
        <v>1172</v>
      </c>
      <c r="C88" s="9" t="s">
        <v>1173</v>
      </c>
      <c r="D88" s="9" t="s">
        <v>1174</v>
      </c>
      <c r="E88" s="9" t="s">
        <v>1175</v>
      </c>
      <c r="F88" s="9" t="s">
        <v>1180</v>
      </c>
      <c r="G88" s="9" t="s">
        <v>1183</v>
      </c>
      <c r="L88" s="31">
        <f>$I$22*$L$22</f>
        <v>0</v>
      </c>
      <c r="M88" s="31">
        <f>$I$22*$M$22</f>
        <v>0</v>
      </c>
      <c r="N88" s="31">
        <f ca="1">$I$22*$N$22</f>
        <v>0</v>
      </c>
      <c r="O88" s="31">
        <f>$I$22*$O$22</f>
        <v>0</v>
      </c>
      <c r="P88" s="31">
        <f>$I$22*$P$22</f>
        <v>0</v>
      </c>
      <c r="Q88" s="31">
        <f>$I$22*$Q$22</f>
        <v>0</v>
      </c>
      <c r="R88" s="31">
        <f>$I$22*$R$22</f>
        <v>0</v>
      </c>
      <c r="S88" s="31">
        <f>$I$22*$S$22</f>
        <v>0</v>
      </c>
      <c r="T88" s="31">
        <f>$I$22*$T$22</f>
        <v>0</v>
      </c>
      <c r="U88" s="31">
        <f>$I$22*$U$22</f>
        <v>0</v>
      </c>
      <c r="V88" s="31">
        <f>$I$22*$V$22</f>
        <v>0</v>
      </c>
      <c r="W88" s="31">
        <f>$I$22*$W$22</f>
        <v>0</v>
      </c>
      <c r="X88" s="31">
        <f>$I$22*$X$22</f>
        <v>0</v>
      </c>
      <c r="Y88" s="31">
        <f>$I$22*$Y$22</f>
        <v>0</v>
      </c>
      <c r="Z88" s="31">
        <f>$I$22*$Z$22</f>
        <v>0</v>
      </c>
      <c r="AA88" s="31">
        <f>$I$22*$AA$22</f>
        <v>0</v>
      </c>
      <c r="AB88" s="31">
        <f>$I$22*$AB$22</f>
        <v>0</v>
      </c>
      <c r="AC88" s="31">
        <f ca="1">$I$22*$AC$22</f>
        <v>0</v>
      </c>
      <c r="AD88" s="31">
        <f>$I$22*$AD$22</f>
        <v>314683.15566623001</v>
      </c>
      <c r="AE88" s="31">
        <f>$I$22*$AE$22</f>
        <v>9538.5522712391794</v>
      </c>
      <c r="AF88" s="31">
        <f ca="1">$I$22*$AF$22</f>
        <v>0</v>
      </c>
      <c r="AG88" s="31">
        <f ca="1">$I$22*$AG$22</f>
        <v>0</v>
      </c>
      <c r="AI88" s="31">
        <f>$I$22*$AI$22</f>
        <v>0</v>
      </c>
      <c r="AJ88" s="31">
        <f>$I$22*$AJ$22</f>
        <v>0</v>
      </c>
      <c r="AK88" s="31">
        <f>$I$22*$AK$22</f>
        <v>0</v>
      </c>
      <c r="AL88" s="31">
        <f>$I$22*$AL$22</f>
        <v>0</v>
      </c>
      <c r="AM88" s="31">
        <f>$I$22*$AM$22</f>
        <v>0</v>
      </c>
      <c r="AN88" s="31">
        <f>$I$22*$AN$22</f>
        <v>0</v>
      </c>
      <c r="AO88" s="31">
        <f>$I$22*$AO$22</f>
        <v>0</v>
      </c>
      <c r="AP88" s="31">
        <f>$I$22*$AP$22</f>
        <v>0</v>
      </c>
      <c r="AQ88" s="31">
        <f>$I$22*$AQ$22</f>
        <v>0</v>
      </c>
      <c r="AR88" s="31">
        <f>$I$22*$AR$22</f>
        <v>0</v>
      </c>
      <c r="AS88" s="31">
        <f>$I$22*$AS$22</f>
        <v>0</v>
      </c>
      <c r="AT88" s="31">
        <f>$I$22*$AT$22</f>
        <v>0</v>
      </c>
      <c r="AU88" s="31">
        <f>$I$22*$AU$22</f>
        <v>0</v>
      </c>
      <c r="AV88" s="31">
        <f>$I$22*$AV$22</f>
        <v>0</v>
      </c>
      <c r="AW88" s="31">
        <f>$I$22*$AW$22</f>
        <v>0</v>
      </c>
      <c r="AX88" s="31">
        <f>$I$22*$AX$22</f>
        <v>0</v>
      </c>
      <c r="AY88" s="31">
        <f>$I$22*$AY$22</f>
        <v>0</v>
      </c>
      <c r="AZ88" s="31">
        <f>$I$22*$AZ$22</f>
        <v>0</v>
      </c>
      <c r="BA88" s="31">
        <f>$I$22*$BA$22</f>
        <v>345237.78012321825</v>
      </c>
      <c r="BB88" s="31">
        <f>$I$22*$BB$22</f>
        <v>8660.1385396129645</v>
      </c>
      <c r="BC88" s="31">
        <f>$I$22*$BC$22</f>
        <v>0</v>
      </c>
      <c r="BD88" s="31">
        <f>$I$22*$BD$22</f>
        <v>0</v>
      </c>
    </row>
    <row r="89" spans="1:56" ht="11.25" customHeight="1" x14ac:dyDescent="0.25">
      <c r="A89" s="9" t="s">
        <v>41</v>
      </c>
      <c r="B89" s="9" t="s">
        <v>1184</v>
      </c>
      <c r="C89" s="9" t="s">
        <v>1185</v>
      </c>
      <c r="D89" s="9" t="s">
        <v>1186</v>
      </c>
      <c r="E89" s="9" t="s">
        <v>1187</v>
      </c>
      <c r="F89" s="9" t="s">
        <v>1188</v>
      </c>
      <c r="G89" s="9" t="s">
        <v>1189</v>
      </c>
      <c r="L89" s="31">
        <f>$I$23*$L$23</f>
        <v>0</v>
      </c>
      <c r="M89" s="31">
        <f>$I$23*$M$23</f>
        <v>12069.939953810383</v>
      </c>
      <c r="N89" s="31">
        <f ca="1">$I$23*$N$23</f>
        <v>33996.246515419029</v>
      </c>
      <c r="O89" s="31">
        <f>$I$23*$O$23</f>
        <v>0</v>
      </c>
      <c r="P89" s="31">
        <f>$I$23*$P$23</f>
        <v>0</v>
      </c>
      <c r="Q89" s="31">
        <f>$I$23*$Q$23</f>
        <v>0</v>
      </c>
      <c r="R89" s="31">
        <f>$I$23*$R$23</f>
        <v>0</v>
      </c>
      <c r="S89" s="31">
        <f>$I$23*$S$23</f>
        <v>0</v>
      </c>
      <c r="T89" s="31">
        <f>$I$23*$T$23</f>
        <v>0</v>
      </c>
      <c r="U89" s="31">
        <f>$I$23*$U$23</f>
        <v>0</v>
      </c>
      <c r="V89" s="31">
        <f>$I$23*$V$23</f>
        <v>0</v>
      </c>
      <c r="W89" s="31">
        <f>$I$23*$W$23</f>
        <v>0</v>
      </c>
      <c r="X89" s="31">
        <f>$I$23*$X$23</f>
        <v>0</v>
      </c>
      <c r="Y89" s="31">
        <f>$I$23*$Y$23</f>
        <v>0</v>
      </c>
      <c r="Z89" s="31">
        <f>$I$23*$Z$23</f>
        <v>0</v>
      </c>
      <c r="AA89" s="31">
        <f>$I$23*$AA$23</f>
        <v>3550020.6457293141</v>
      </c>
      <c r="AB89" s="31">
        <f ca="1">$I$23*$AB$23</f>
        <v>-328602.7461280658</v>
      </c>
      <c r="AC89" s="31">
        <f ca="1">$I$23*$AC$23</f>
        <v>0</v>
      </c>
      <c r="AD89" s="31">
        <f>$I$23*$AD$23</f>
        <v>136.78364686573852</v>
      </c>
      <c r="AE89" s="31">
        <f>$I$23*$AE$23</f>
        <v>0</v>
      </c>
      <c r="AF89" s="31">
        <f ca="1">$I$23*$AF$23</f>
        <v>0</v>
      </c>
      <c r="AG89" s="31">
        <f ca="1">$I$23*$AG$23</f>
        <v>0</v>
      </c>
      <c r="AI89" s="31">
        <f>$I$23*$AI$23</f>
        <v>0</v>
      </c>
      <c r="AJ89" s="31">
        <f>$I$23*$AJ$23</f>
        <v>11727.513046590189</v>
      </c>
      <c r="AK89" s="31">
        <f>$I$23*$AK$23</f>
        <v>35779.414200705978</v>
      </c>
      <c r="AL89" s="31">
        <f>$I$23*$AL$23</f>
        <v>0</v>
      </c>
      <c r="AM89" s="31">
        <f>$I$23*$AM$23</f>
        <v>0</v>
      </c>
      <c r="AN89" s="31">
        <f>$I$23*$AN$23</f>
        <v>0</v>
      </c>
      <c r="AO89" s="31">
        <f>$I$23*$AO$23</f>
        <v>0</v>
      </c>
      <c r="AP89" s="31">
        <f>$I$23*$AP$23</f>
        <v>0</v>
      </c>
      <c r="AQ89" s="31">
        <f>$I$23*$AQ$23</f>
        <v>0</v>
      </c>
      <c r="AR89" s="31">
        <f>$I$23*$AR$23</f>
        <v>0</v>
      </c>
      <c r="AS89" s="31">
        <f>$I$23*$AS$23</f>
        <v>0</v>
      </c>
      <c r="AT89" s="31">
        <f>$I$23*$AT$23</f>
        <v>0</v>
      </c>
      <c r="AU89" s="31">
        <f>$I$23*$AU$23</f>
        <v>0</v>
      </c>
      <c r="AV89" s="31">
        <f>$I$23*$AV$23</f>
        <v>0</v>
      </c>
      <c r="AW89" s="31">
        <f>$I$23*$AW$23</f>
        <v>0</v>
      </c>
      <c r="AX89" s="31">
        <f>$I$23*$AX$23</f>
        <v>3233981.5270160506</v>
      </c>
      <c r="AY89" s="31">
        <f>$I$23*$AY$23</f>
        <v>-34085.805763777578</v>
      </c>
      <c r="AZ89" s="31">
        <f>$I$23*$AZ$23</f>
        <v>0</v>
      </c>
      <c r="BA89" s="31">
        <f>$I$23*$BA$23</f>
        <v>150.0648565097421</v>
      </c>
      <c r="BB89" s="31">
        <f>$I$23*$BB$23</f>
        <v>0</v>
      </c>
      <c r="BC89" s="31">
        <f>$I$23*$BC$23</f>
        <v>0</v>
      </c>
      <c r="BD89" s="31">
        <f>$I$23*$BD$23</f>
        <v>0</v>
      </c>
    </row>
    <row r="90" spans="1:56" ht="11.25" customHeight="1" x14ac:dyDescent="0.25">
      <c r="A90" s="9" t="s">
        <v>41</v>
      </c>
      <c r="B90" s="9" t="s">
        <v>1190</v>
      </c>
      <c r="C90" s="9" t="s">
        <v>1191</v>
      </c>
      <c r="D90" s="9" t="s">
        <v>1192</v>
      </c>
      <c r="E90" s="9" t="s">
        <v>1193</v>
      </c>
      <c r="F90" s="9" t="s">
        <v>1194</v>
      </c>
      <c r="G90" s="9" t="s">
        <v>1195</v>
      </c>
      <c r="L90" s="31">
        <f>$I$24*$L$24</f>
        <v>0</v>
      </c>
      <c r="M90" s="31">
        <f>$I$24*$M$24</f>
        <v>0</v>
      </c>
      <c r="N90" s="31">
        <f ca="1">$I$24*$N$24</f>
        <v>0</v>
      </c>
      <c r="O90" s="31">
        <f>$I$24*$O$24</f>
        <v>0</v>
      </c>
      <c r="P90" s="31">
        <f>$I$24*$P$24</f>
        <v>0</v>
      </c>
      <c r="Q90" s="31">
        <f>$I$24*$Q$24</f>
        <v>0</v>
      </c>
      <c r="R90" s="31">
        <f>$I$24*$R$24</f>
        <v>0</v>
      </c>
      <c r="S90" s="31">
        <f>$I$24*$S$24</f>
        <v>0</v>
      </c>
      <c r="T90" s="31">
        <f>$I$24*$T$24</f>
        <v>14044814.479034603</v>
      </c>
      <c r="U90" s="31">
        <f>$I$24*$U$24</f>
        <v>4333760.6551486067</v>
      </c>
      <c r="V90" s="31">
        <f>$I$24*$V$24</f>
        <v>633860.22730871825</v>
      </c>
      <c r="W90" s="31">
        <f>$I$24*$W$24</f>
        <v>36801.741374123434</v>
      </c>
      <c r="X90" s="31">
        <f>$I$24*$X$24</f>
        <v>553678.53856032866</v>
      </c>
      <c r="Y90" s="31">
        <f>$I$24*$Y$24</f>
        <v>0</v>
      </c>
      <c r="Z90" s="31">
        <f>$I$24*$Z$24</f>
        <v>0</v>
      </c>
      <c r="AA90" s="31">
        <f>$I$24*$AA$24</f>
        <v>64391894.537004784</v>
      </c>
      <c r="AB90" s="31">
        <f ca="1">$I$24*$AB$24</f>
        <v>-7592485.8626363305</v>
      </c>
      <c r="AC90" s="31">
        <f ca="1">$I$24*$AC$24</f>
        <v>0</v>
      </c>
      <c r="AD90" s="31">
        <f>$I$24*$AD$24</f>
        <v>0</v>
      </c>
      <c r="AE90" s="31">
        <f>$I$24*$AE$24</f>
        <v>0</v>
      </c>
      <c r="AF90" s="31">
        <f ca="1">$I$24*$AF$24</f>
        <v>0</v>
      </c>
      <c r="AG90" s="31">
        <f ca="1">$I$24*$AG$24</f>
        <v>0</v>
      </c>
      <c r="AI90" s="31">
        <f>$I$24*$AI$24</f>
        <v>0</v>
      </c>
      <c r="AJ90" s="31">
        <f>$I$24*$AJ$24</f>
        <v>0</v>
      </c>
      <c r="AK90" s="31">
        <f>$I$24*$AK$24</f>
        <v>0</v>
      </c>
      <c r="AL90" s="31">
        <f>$I$24*$AL$24</f>
        <v>0</v>
      </c>
      <c r="AM90" s="31">
        <f>$I$24*$AM$24</f>
        <v>0</v>
      </c>
      <c r="AN90" s="31">
        <f>$I$24*$AN$24</f>
        <v>0</v>
      </c>
      <c r="AO90" s="31">
        <f>$I$24*$AO$24</f>
        <v>0</v>
      </c>
      <c r="AP90" s="31">
        <f>$I$24*$AP$24</f>
        <v>0</v>
      </c>
      <c r="AQ90" s="31">
        <f>$I$24*$AQ$24</f>
        <v>11673797.645502308</v>
      </c>
      <c r="AR90" s="31">
        <f>$I$24*$AR$24</f>
        <v>4987485.0357989827</v>
      </c>
      <c r="AS90" s="31">
        <f>$I$24*$AS$24</f>
        <v>1049423.85246817</v>
      </c>
      <c r="AT90" s="31">
        <f>$I$24*$AT$24</f>
        <v>0</v>
      </c>
      <c r="AU90" s="31">
        <f>$I$24*$AU$24</f>
        <v>639316.24282260635</v>
      </c>
      <c r="AV90" s="31">
        <f>$I$24*$AV$24</f>
        <v>0</v>
      </c>
      <c r="AW90" s="31">
        <f>$I$24*$AW$24</f>
        <v>0</v>
      </c>
      <c r="AX90" s="31">
        <f>$I$24*$AX$24</f>
        <v>58660260.691672154</v>
      </c>
      <c r="AY90" s="31">
        <f>$I$24*$AY$24</f>
        <v>-785516.4929439408</v>
      </c>
      <c r="AZ90" s="31">
        <f>$I$24*$AZ$24</f>
        <v>0</v>
      </c>
      <c r="BA90" s="31">
        <f>$I$24*$BA$24</f>
        <v>0</v>
      </c>
      <c r="BB90" s="31">
        <f>$I$24*$BB$24</f>
        <v>0</v>
      </c>
      <c r="BC90" s="31">
        <f>$I$24*$BC$24</f>
        <v>0</v>
      </c>
      <c r="BD90" s="31">
        <f>$I$24*$BD$24</f>
        <v>0</v>
      </c>
    </row>
    <row r="91" spans="1:56" ht="11.25" customHeight="1" x14ac:dyDescent="0.25">
      <c r="A91" s="9" t="s">
        <v>41</v>
      </c>
      <c r="B91" s="9" t="s">
        <v>1190</v>
      </c>
      <c r="C91" s="9" t="s">
        <v>1191</v>
      </c>
      <c r="D91" s="9" t="s">
        <v>1192</v>
      </c>
      <c r="E91" s="9" t="s">
        <v>1193</v>
      </c>
      <c r="F91" s="9" t="s">
        <v>1194</v>
      </c>
      <c r="G91" s="9" t="s">
        <v>1196</v>
      </c>
      <c r="L91" s="31">
        <f>$I$25*$L$25</f>
        <v>128812.3375473879</v>
      </c>
      <c r="M91" s="31">
        <f>$I$25*$M$25</f>
        <v>23309.884864835018</v>
      </c>
      <c r="N91" s="31">
        <f ca="1">$I$25*$N$25</f>
        <v>483878.44976442965</v>
      </c>
      <c r="O91" s="31">
        <f>$I$25*$O$25</f>
        <v>674.00346141876571</v>
      </c>
      <c r="P91" s="31">
        <f>$I$25*$P$25</f>
        <v>0</v>
      </c>
      <c r="Q91" s="31">
        <f>$I$25*$Q$25</f>
        <v>1426890.1690663609</v>
      </c>
      <c r="R91" s="31">
        <f>$I$25*$R$25</f>
        <v>649662.50405651773</v>
      </c>
      <c r="S91" s="31">
        <f>$I$25*$S$25</f>
        <v>0</v>
      </c>
      <c r="T91" s="31">
        <f>$I$25*$T$25</f>
        <v>6695642.621320324</v>
      </c>
      <c r="U91" s="31">
        <f>$I$25*$U$25</f>
        <v>2076694.6499302955</v>
      </c>
      <c r="V91" s="31">
        <f>$I$25*$V$25</f>
        <v>330880.37649870315</v>
      </c>
      <c r="W91" s="31">
        <f>$I$25*$W$25</f>
        <v>19246.077555775351</v>
      </c>
      <c r="X91" s="31">
        <f>$I$25*$X$25</f>
        <v>506338.01405225758</v>
      </c>
      <c r="Y91" s="31">
        <f>$I$25*$Y$25</f>
        <v>0</v>
      </c>
      <c r="Z91" s="31">
        <f>$I$25*$Z$25</f>
        <v>0</v>
      </c>
      <c r="AA91" s="31">
        <f>$I$25*$AA$25</f>
        <v>40085199.957874097</v>
      </c>
      <c r="AB91" s="31">
        <f ca="1">$I$25*$AB$25</f>
        <v>-4793001.0690883975</v>
      </c>
      <c r="AC91" s="31">
        <f ca="1">$I$25*$AC$25</f>
        <v>0</v>
      </c>
      <c r="AD91" s="31">
        <f>$I$25*$AD$25</f>
        <v>479918.09947414038</v>
      </c>
      <c r="AE91" s="31">
        <f>$I$25*$AE$25</f>
        <v>14547.089017383676</v>
      </c>
      <c r="AF91" s="31">
        <f ca="1">$I$25*$AF$25</f>
        <v>307008.37397128856</v>
      </c>
      <c r="AG91" s="31">
        <f ca="1">$I$25*$AG$25</f>
        <v>0</v>
      </c>
      <c r="AI91" s="31">
        <f>$I$25*$AI$25</f>
        <v>126115.15965628109</v>
      </c>
      <c r="AJ91" s="31">
        <f>$I$25*$AJ$25</f>
        <v>20127.456982688698</v>
      </c>
      <c r="AK91" s="31">
        <f>$I$25*$AK$25</f>
        <v>508344.88971179078</v>
      </c>
      <c r="AL91" s="31">
        <f>$I$25*$AL$25</f>
        <v>669.78413876800573</v>
      </c>
      <c r="AM91" s="31">
        <f>$I$25*$AM$25</f>
        <v>0</v>
      </c>
      <c r="AN91" s="31">
        <f>$I$25*$AN$25</f>
        <v>872927.26096939575</v>
      </c>
      <c r="AO91" s="31">
        <f>$I$25*$AO$25</f>
        <v>362995.43293630407</v>
      </c>
      <c r="AP91" s="31">
        <f>$I$25*$AP$25</f>
        <v>0</v>
      </c>
      <c r="AQ91" s="31">
        <f>$I$25*$AQ$25</f>
        <v>5565297.9385788823</v>
      </c>
      <c r="AR91" s="31">
        <f>$I$25*$AR$25</f>
        <v>2389952.8180325842</v>
      </c>
      <c r="AS91" s="31">
        <f>$I$25*$AS$25</f>
        <v>547808.08836309728</v>
      </c>
      <c r="AT91" s="31">
        <f>$I$25*$AT$25</f>
        <v>0</v>
      </c>
      <c r="AU91" s="31">
        <f>$I$25*$AU$25</f>
        <v>584653.5384663078</v>
      </c>
      <c r="AV91" s="31">
        <f>$I$25*$AV$25</f>
        <v>0</v>
      </c>
      <c r="AW91" s="31">
        <f>$I$25*$AW$25</f>
        <v>0</v>
      </c>
      <c r="AX91" s="31">
        <f>$I$25*$AX$25</f>
        <v>36514327.02584675</v>
      </c>
      <c r="AY91" s="31">
        <f>$I$25*$AY$25</f>
        <v>-492585.96186837513</v>
      </c>
      <c r="AZ91" s="31">
        <f>$I$25*$AZ$25</f>
        <v>0</v>
      </c>
      <c r="BA91" s="31">
        <f>$I$25*$BA$25</f>
        <v>526516.45415409992</v>
      </c>
      <c r="BB91" s="31">
        <f>$I$25*$BB$25</f>
        <v>13207.434698290801</v>
      </c>
      <c r="BC91" s="31">
        <f>$I$25*$BC$25</f>
        <v>331569.42973776243</v>
      </c>
      <c r="BD91" s="31">
        <f>$I$25*$BD$25</f>
        <v>0</v>
      </c>
    </row>
    <row r="92" spans="1:56" ht="11.25" customHeight="1" x14ac:dyDescent="0.25">
      <c r="A92" s="9" t="s">
        <v>41</v>
      </c>
      <c r="B92" s="9" t="s">
        <v>1190</v>
      </c>
      <c r="C92" s="9" t="s">
        <v>1191</v>
      </c>
      <c r="D92" s="9" t="s">
        <v>1192</v>
      </c>
      <c r="E92" s="9" t="s">
        <v>1193</v>
      </c>
      <c r="F92" s="9" t="s">
        <v>1194</v>
      </c>
      <c r="G92" s="9" t="s">
        <v>1197</v>
      </c>
      <c r="L92" s="31">
        <f>$I$26*$L$26</f>
        <v>1949592.7123037411</v>
      </c>
      <c r="M92" s="31">
        <f>$I$26*$M$26</f>
        <v>352798.36172838067</v>
      </c>
      <c r="N92" s="31">
        <f ca="1">$I$26*$N$26</f>
        <v>273386.00302459294</v>
      </c>
      <c r="O92" s="31">
        <f>$I$26*$O$26</f>
        <v>10201.136486371975</v>
      </c>
      <c r="P92" s="31">
        <f>$I$26*$P$26</f>
        <v>0</v>
      </c>
      <c r="Q92" s="31">
        <f>$I$26*$Q$26</f>
        <v>21596181.917327855</v>
      </c>
      <c r="R92" s="31">
        <f>$I$26*$R$26</f>
        <v>9832732.6984469481</v>
      </c>
      <c r="S92" s="31">
        <f>$I$26*$S$26</f>
        <v>0</v>
      </c>
      <c r="T92" s="31">
        <f>$I$26*$T$26</f>
        <v>0</v>
      </c>
      <c r="U92" s="31">
        <f>$I$26*$U$26</f>
        <v>0</v>
      </c>
      <c r="V92" s="31">
        <f>$I$26*$V$26</f>
        <v>0</v>
      </c>
      <c r="W92" s="31">
        <f>$I$26*$W$26</f>
        <v>0</v>
      </c>
      <c r="X92" s="31">
        <f>$I$26*$X$26</f>
        <v>0</v>
      </c>
      <c r="Y92" s="31">
        <f>$I$26*$Y$26</f>
        <v>0</v>
      </c>
      <c r="Z92" s="31">
        <f>$I$26*$Z$26</f>
        <v>0</v>
      </c>
      <c r="AA92" s="31">
        <f>$I$26*$AA$26</f>
        <v>0</v>
      </c>
      <c r="AB92" s="31">
        <f ca="1">$I$26*$AB$26</f>
        <v>-3726580.1171302274</v>
      </c>
      <c r="AC92" s="31">
        <f ca="1">$I$26*$AC$26</f>
        <v>0</v>
      </c>
      <c r="AD92" s="31">
        <f>$I$26*$AD$26</f>
        <v>7263627.4370320924</v>
      </c>
      <c r="AE92" s="31">
        <f>$I$26*$AE$26</f>
        <v>220172.22320099195</v>
      </c>
      <c r="AF92" s="31">
        <f ca="1">$I$26*$AF$26</f>
        <v>4646614.6015745774</v>
      </c>
      <c r="AG92" s="31">
        <f ca="1">$I$26*$AG$26</f>
        <v>0</v>
      </c>
      <c r="AI92" s="31">
        <f>$I$26*$AI$26</f>
        <v>1908770.548368131</v>
      </c>
      <c r="AJ92" s="31">
        <f>$I$26*$AJ$26</f>
        <v>304631.87143250986</v>
      </c>
      <c r="AK92" s="31">
        <f>$I$26*$AK$26</f>
        <v>277420.31307943794</v>
      </c>
      <c r="AL92" s="31">
        <f>$I$26*$AL$26</f>
        <v>10137.276448991986</v>
      </c>
      <c r="AM92" s="31">
        <f>$I$26*$AM$26</f>
        <v>0</v>
      </c>
      <c r="AN92" s="31">
        <f>$I$26*$AN$26</f>
        <v>13211875.964374272</v>
      </c>
      <c r="AO92" s="31">
        <f>$I$26*$AO$26</f>
        <v>5493986.5553779844</v>
      </c>
      <c r="AP92" s="31">
        <f>$I$26*$AP$26</f>
        <v>0</v>
      </c>
      <c r="AQ92" s="31">
        <f>$I$26*$AQ$26</f>
        <v>0</v>
      </c>
      <c r="AR92" s="31">
        <f>$I$26*$AR$26</f>
        <v>0</v>
      </c>
      <c r="AS92" s="31">
        <f>$I$26*$AS$26</f>
        <v>0</v>
      </c>
      <c r="AT92" s="31">
        <f>$I$26*$AT$26</f>
        <v>0</v>
      </c>
      <c r="AU92" s="31">
        <f>$I$26*$AU$26</f>
        <v>0</v>
      </c>
      <c r="AV92" s="31">
        <f>$I$26*$AV$26</f>
        <v>0</v>
      </c>
      <c r="AW92" s="31">
        <f>$I$26*$AW$26</f>
        <v>0</v>
      </c>
      <c r="AX92" s="31">
        <f>$I$26*$AX$26</f>
        <v>0</v>
      </c>
      <c r="AY92" s="31">
        <f>$I$26*$AY$26</f>
        <v>-315127.22605404881</v>
      </c>
      <c r="AZ92" s="31">
        <f>$I$26*$AZ$26</f>
        <v>0</v>
      </c>
      <c r="BA92" s="31">
        <f>$I$26*$BA$26</f>
        <v>7968900.0407217247</v>
      </c>
      <c r="BB92" s="31">
        <f>$I$26*$BB$26</f>
        <v>199896.36805203257</v>
      </c>
      <c r="BC92" s="31">
        <f>$I$26*$BC$26</f>
        <v>5018349.6095755575</v>
      </c>
      <c r="BD92" s="31">
        <f>$I$26*$BD$26</f>
        <v>0</v>
      </c>
    </row>
    <row r="93" spans="1:56" ht="11.25" customHeight="1" x14ac:dyDescent="0.25">
      <c r="A93" s="9" t="s">
        <v>41</v>
      </c>
      <c r="B93" s="9" t="s">
        <v>1190</v>
      </c>
      <c r="C93" s="9" t="s">
        <v>1191</v>
      </c>
      <c r="D93" s="9" t="s">
        <v>1192</v>
      </c>
      <c r="E93" s="9" t="s">
        <v>1198</v>
      </c>
      <c r="F93" s="9" t="s">
        <v>1199</v>
      </c>
      <c r="G93" s="9" t="s">
        <v>1200</v>
      </c>
      <c r="L93" s="31">
        <f>$I$27*$L$27</f>
        <v>0</v>
      </c>
      <c r="M93" s="31">
        <f>$I$27*$M$27</f>
        <v>0</v>
      </c>
      <c r="N93" s="31">
        <f ca="1">$I$27*$N$27</f>
        <v>0</v>
      </c>
      <c r="O93" s="31">
        <f>$I$27*$O$27</f>
        <v>0</v>
      </c>
      <c r="P93" s="31">
        <f>$I$27*$P$27</f>
        <v>0</v>
      </c>
      <c r="Q93" s="31">
        <f>$I$27*$Q$27</f>
        <v>0</v>
      </c>
      <c r="R93" s="31">
        <f>$I$27*$R$27</f>
        <v>0</v>
      </c>
      <c r="S93" s="31">
        <f>$I$27*$S$27</f>
        <v>0</v>
      </c>
      <c r="T93" s="31">
        <f>$I$27*$T$27</f>
        <v>0</v>
      </c>
      <c r="U93" s="31">
        <f>$I$27*$U$27</f>
        <v>0</v>
      </c>
      <c r="V93" s="31">
        <f>$I$27*$V$27</f>
        <v>0</v>
      </c>
      <c r="W93" s="31">
        <f>$I$27*$W$27</f>
        <v>0</v>
      </c>
      <c r="X93" s="31">
        <f>$I$27*$X$27</f>
        <v>0</v>
      </c>
      <c r="Y93" s="31">
        <f>$I$27*$Y$27</f>
        <v>0</v>
      </c>
      <c r="Z93" s="31">
        <f>$I$27*$Z$27</f>
        <v>0</v>
      </c>
      <c r="AA93" s="31">
        <f>$I$27*$AA$27</f>
        <v>0</v>
      </c>
      <c r="AB93" s="31">
        <f ca="1">$I$27*$AB$27</f>
        <v>0</v>
      </c>
      <c r="AC93" s="31">
        <f ca="1">$I$27*$AC$27</f>
        <v>0</v>
      </c>
      <c r="AD93" s="31">
        <f>$I$27*$AD$27</f>
        <v>0</v>
      </c>
      <c r="AE93" s="31">
        <f>$I$27*$AE$27</f>
        <v>0</v>
      </c>
      <c r="AF93" s="31">
        <f ca="1">$I$27*$AF$27</f>
        <v>0</v>
      </c>
      <c r="AG93" s="31">
        <f ca="1">$I$27*$AG$27</f>
        <v>0</v>
      </c>
      <c r="AI93" s="31">
        <f>$I$27*$AI$27</f>
        <v>0</v>
      </c>
      <c r="AJ93" s="31">
        <f>$I$27*$AJ$27</f>
        <v>0</v>
      </c>
      <c r="AK93" s="31">
        <f>$I$27*$AK$27</f>
        <v>0</v>
      </c>
      <c r="AL93" s="31">
        <f>$I$27*$AL$27</f>
        <v>0</v>
      </c>
      <c r="AM93" s="31">
        <f>$I$27*$AM$27</f>
        <v>0</v>
      </c>
      <c r="AN93" s="31">
        <f>$I$27*$AN$27</f>
        <v>0</v>
      </c>
      <c r="AO93" s="31">
        <f>$I$27*$AO$27</f>
        <v>0</v>
      </c>
      <c r="AP93" s="31">
        <f>$I$27*$AP$27</f>
        <v>0</v>
      </c>
      <c r="AQ93" s="31">
        <f>$I$27*$AQ$27</f>
        <v>0</v>
      </c>
      <c r="AR93" s="31">
        <f>$I$27*$AR$27</f>
        <v>0</v>
      </c>
      <c r="AS93" s="31">
        <f>$I$27*$AS$27</f>
        <v>0</v>
      </c>
      <c r="AT93" s="31">
        <f>$I$27*$AT$27</f>
        <v>0</v>
      </c>
      <c r="AU93" s="31">
        <f>$I$27*$AU$27</f>
        <v>0</v>
      </c>
      <c r="AV93" s="31">
        <f>$I$27*$AV$27</f>
        <v>0</v>
      </c>
      <c r="AW93" s="31">
        <f>$I$27*$AW$27</f>
        <v>0</v>
      </c>
      <c r="AX93" s="31">
        <f>$I$27*$AX$27</f>
        <v>0</v>
      </c>
      <c r="AY93" s="31">
        <f>$I$27*$AY$27</f>
        <v>0</v>
      </c>
      <c r="AZ93" s="31">
        <f>$I$27*$AZ$27</f>
        <v>0</v>
      </c>
      <c r="BA93" s="31">
        <f>$I$27*$BA$27</f>
        <v>0</v>
      </c>
      <c r="BB93" s="31">
        <f>$I$27*$BB$27</f>
        <v>0</v>
      </c>
      <c r="BC93" s="31">
        <f>$I$27*$BC$27</f>
        <v>0</v>
      </c>
      <c r="BD93" s="31">
        <f>$I$27*$BD$27</f>
        <v>0</v>
      </c>
    </row>
    <row r="94" spans="1:56" ht="11.25" customHeight="1" x14ac:dyDescent="0.25">
      <c r="A94" s="9" t="s">
        <v>41</v>
      </c>
      <c r="B94" s="9" t="s">
        <v>1190</v>
      </c>
      <c r="C94" s="9" t="s">
        <v>1191</v>
      </c>
      <c r="D94" s="9" t="s">
        <v>1192</v>
      </c>
      <c r="E94" s="9" t="s">
        <v>1198</v>
      </c>
      <c r="F94" s="9" t="s">
        <v>1199</v>
      </c>
      <c r="G94" s="9" t="s">
        <v>1201</v>
      </c>
      <c r="L94" s="31">
        <f>$I$28*$L$28</f>
        <v>0</v>
      </c>
      <c r="M94" s="31">
        <f>$I$28*$M$28</f>
        <v>657.67232591439506</v>
      </c>
      <c r="N94" s="31">
        <f ca="1">$I$28*$N$28</f>
        <v>498.74457181650911</v>
      </c>
      <c r="O94" s="31">
        <f>$I$28*$O$28</f>
        <v>19.0165428407735</v>
      </c>
      <c r="P94" s="31">
        <f>$I$28*$P$28</f>
        <v>0</v>
      </c>
      <c r="Q94" s="31">
        <f>$I$28*$Q$28</f>
        <v>0</v>
      </c>
      <c r="R94" s="31">
        <f>$I$28*$R$28</f>
        <v>0</v>
      </c>
      <c r="S94" s="31">
        <f>$I$28*$S$28</f>
        <v>0</v>
      </c>
      <c r="T94" s="31">
        <f>$I$28*$T$28</f>
        <v>0</v>
      </c>
      <c r="U94" s="31">
        <f>$I$28*$U$28</f>
        <v>0</v>
      </c>
      <c r="V94" s="31">
        <f>$I$28*$V$28</f>
        <v>0</v>
      </c>
      <c r="W94" s="31">
        <f>$I$28*$W$28</f>
        <v>0</v>
      </c>
      <c r="X94" s="31">
        <f>$I$28*$X$28</f>
        <v>0</v>
      </c>
      <c r="Y94" s="31">
        <f>$I$28*$Y$28</f>
        <v>0</v>
      </c>
      <c r="Z94" s="31">
        <f>$I$28*$Z$28</f>
        <v>0</v>
      </c>
      <c r="AA94" s="31">
        <f>$I$28*$AA$28</f>
        <v>0</v>
      </c>
      <c r="AB94" s="31">
        <f ca="1">$I$28*$AB$28</f>
        <v>-2319.3347170590314</v>
      </c>
      <c r="AC94" s="31">
        <f ca="1">$I$28*$AC$28</f>
        <v>0</v>
      </c>
      <c r="AD94" s="31">
        <f>$I$28*$AD$28</f>
        <v>13540.558203516803</v>
      </c>
      <c r="AE94" s="31">
        <f>$I$28*$AE$28</f>
        <v>410.4360842974155</v>
      </c>
      <c r="AF94" s="31">
        <f ca="1">$I$28*$AF$28</f>
        <v>8662.0295447916997</v>
      </c>
      <c r="AG94" s="31">
        <f ca="1">$I$28*$AG$28</f>
        <v>0</v>
      </c>
      <c r="AI94" s="31">
        <f>$I$28*$AI$28</f>
        <v>0</v>
      </c>
      <c r="AJ94" s="31">
        <f>$I$28*$AJ$28</f>
        <v>567.88231796530147</v>
      </c>
      <c r="AK94" s="31">
        <f>$I$28*$AK$28</f>
        <v>505.69394225476304</v>
      </c>
      <c r="AL94" s="31">
        <f>$I$28*$AL$28</f>
        <v>18.897497562017325</v>
      </c>
      <c r="AM94" s="31">
        <f>$I$28*$AM$28</f>
        <v>0</v>
      </c>
      <c r="AN94" s="31">
        <f>$I$28*$AN$28</f>
        <v>0</v>
      </c>
      <c r="AO94" s="31">
        <f>$I$28*$AO$28</f>
        <v>0</v>
      </c>
      <c r="AP94" s="31">
        <f>$I$28*$AP$28</f>
        <v>0</v>
      </c>
      <c r="AQ94" s="31">
        <f>$I$28*$AQ$28</f>
        <v>0</v>
      </c>
      <c r="AR94" s="31">
        <f>$I$28*$AR$28</f>
        <v>0</v>
      </c>
      <c r="AS94" s="31">
        <f>$I$28*$AS$28</f>
        <v>0</v>
      </c>
      <c r="AT94" s="31">
        <f>$I$28*$AT$28</f>
        <v>0</v>
      </c>
      <c r="AU94" s="31">
        <f>$I$28*$AU$28</f>
        <v>0</v>
      </c>
      <c r="AV94" s="31">
        <f>$I$28*$AV$28</f>
        <v>0</v>
      </c>
      <c r="AW94" s="31">
        <f>$I$28*$AW$28</f>
        <v>0</v>
      </c>
      <c r="AX94" s="31">
        <f>$I$28*$AX$28</f>
        <v>0</v>
      </c>
      <c r="AY94" s="31">
        <f>$I$28*$AY$28</f>
        <v>-241.88599136402928</v>
      </c>
      <c r="AZ94" s="31">
        <f>$I$28*$AZ$28</f>
        <v>0</v>
      </c>
      <c r="BA94" s="31">
        <f>$I$28*$BA$28</f>
        <v>14855.298644486795</v>
      </c>
      <c r="BB94" s="31">
        <f>$I$28*$BB$28</f>
        <v>372.63866157019208</v>
      </c>
      <c r="BC94" s="31">
        <f>$I$28*$BC$28</f>
        <v>9355.0027948320039</v>
      </c>
      <c r="BD94" s="31">
        <f>$I$28*$BD$28</f>
        <v>0</v>
      </c>
    </row>
    <row r="95" spans="1:56" ht="11.25" customHeight="1" x14ac:dyDescent="0.25">
      <c r="A95" s="9" t="s">
        <v>110</v>
      </c>
      <c r="B95" s="9" t="s">
        <v>1202</v>
      </c>
      <c r="C95" s="9" t="s">
        <v>1203</v>
      </c>
      <c r="D95" s="9" t="s">
        <v>1204</v>
      </c>
      <c r="E95" s="9" t="s">
        <v>1205</v>
      </c>
      <c r="F95" s="9" t="s">
        <v>1206</v>
      </c>
      <c r="G95" s="9" t="s">
        <v>1207</v>
      </c>
      <c r="L95" s="31">
        <f>$I$29*$L$29</f>
        <v>0</v>
      </c>
      <c r="M95" s="31">
        <f>$I$29*$M$29</f>
        <v>2.2467260260997131E-10</v>
      </c>
      <c r="N95" s="31">
        <f ca="1">$I$29*$N$29</f>
        <v>6.3172216523719652E-10</v>
      </c>
      <c r="O95" s="31">
        <f>$I$29*$O$29</f>
        <v>0</v>
      </c>
      <c r="P95" s="31">
        <f>$I$29*$P$29</f>
        <v>0</v>
      </c>
      <c r="Q95" s="31">
        <f>$I$29*$Q$29</f>
        <v>0</v>
      </c>
      <c r="R95" s="31">
        <f>$I$29*$R$29</f>
        <v>0</v>
      </c>
      <c r="S95" s="31">
        <f>$I$29*$S$29</f>
        <v>0</v>
      </c>
      <c r="T95" s="31">
        <f>$I$29*$T$29</f>
        <v>0</v>
      </c>
      <c r="U95" s="31">
        <f>$I$29*$U$29</f>
        <v>0</v>
      </c>
      <c r="V95" s="31">
        <f>$I$29*$V$29</f>
        <v>0</v>
      </c>
      <c r="W95" s="31">
        <f>$I$29*$W$29</f>
        <v>0</v>
      </c>
      <c r="X95" s="31">
        <f>$I$29*$X$29</f>
        <v>0</v>
      </c>
      <c r="Y95" s="31">
        <f>$I$29*$Y$29</f>
        <v>0</v>
      </c>
      <c r="Z95" s="31">
        <f>$I$29*$Z$29</f>
        <v>0</v>
      </c>
      <c r="AA95" s="31">
        <f>$I$29*$AA$29</f>
        <v>6.6007825689404356E-8</v>
      </c>
      <c r="AB95" s="31">
        <f ca="1">$I$29*$AB$29</f>
        <v>-6.1096617408564211E-9</v>
      </c>
      <c r="AC95" s="31">
        <f ca="1">$I$29*$AC$29</f>
        <v>0</v>
      </c>
      <c r="AD95" s="31">
        <f>$I$29*$AD$29</f>
        <v>0</v>
      </c>
      <c r="AE95" s="31">
        <f>$I$29*$AE$29</f>
        <v>0</v>
      </c>
      <c r="AF95" s="31">
        <f ca="1">$I$29*$AF$29</f>
        <v>0</v>
      </c>
      <c r="AG95" s="31">
        <f ca="1">$I$29*$AG$29</f>
        <v>0</v>
      </c>
      <c r="AI95" s="31">
        <f>$I$29*$AI$29</f>
        <v>0</v>
      </c>
      <c r="AJ95" s="31">
        <f>$I$29*$AJ$29</f>
        <v>2.1829859041577201E-10</v>
      </c>
      <c r="AK95" s="31">
        <f>$I$29*$AK$29</f>
        <v>6.6598598218291606E-10</v>
      </c>
      <c r="AL95" s="31">
        <f>$I$29*$AL$29</f>
        <v>0</v>
      </c>
      <c r="AM95" s="31">
        <f>$I$29*$AM$29</f>
        <v>0</v>
      </c>
      <c r="AN95" s="31">
        <f>$I$29*$AN$29</f>
        <v>0</v>
      </c>
      <c r="AO95" s="31">
        <f>$I$29*$AO$29</f>
        <v>0</v>
      </c>
      <c r="AP95" s="31">
        <f>$I$29*$AP$29</f>
        <v>0</v>
      </c>
      <c r="AQ95" s="31">
        <f>$I$29*$AQ$29</f>
        <v>0</v>
      </c>
      <c r="AR95" s="31">
        <f>$I$29*$AR$29</f>
        <v>0</v>
      </c>
      <c r="AS95" s="31">
        <f>$I$29*$AS$29</f>
        <v>0</v>
      </c>
      <c r="AT95" s="31">
        <f>$I$29*$AT$29</f>
        <v>0</v>
      </c>
      <c r="AU95" s="31">
        <f>$I$29*$AU$29</f>
        <v>0</v>
      </c>
      <c r="AV95" s="31">
        <f>$I$29*$AV$29</f>
        <v>0</v>
      </c>
      <c r="AW95" s="31">
        <f>$I$29*$AW$29</f>
        <v>0</v>
      </c>
      <c r="AX95" s="31">
        <f>$I$29*$AX$29</f>
        <v>6.0157873306812199E-8</v>
      </c>
      <c r="AY95" s="31">
        <f>$I$29*$AY$29</f>
        <v>-6.3403714180534908E-10</v>
      </c>
      <c r="AZ95" s="31">
        <f>$I$29*$AZ$29</f>
        <v>0</v>
      </c>
      <c r="BA95" s="31">
        <f>$I$29*$BA$29</f>
        <v>0</v>
      </c>
      <c r="BB95" s="31">
        <f>$I$29*$BB$29</f>
        <v>0</v>
      </c>
      <c r="BC95" s="31">
        <f>$I$29*$BC$29</f>
        <v>0</v>
      </c>
      <c r="BD95" s="31">
        <f>$I$29*$BD$29</f>
        <v>0</v>
      </c>
    </row>
    <row r="96" spans="1:56" ht="11.25" customHeight="1" x14ac:dyDescent="0.25">
      <c r="A96" s="9" t="s">
        <v>110</v>
      </c>
      <c r="B96" s="9" t="s">
        <v>1202</v>
      </c>
      <c r="C96" s="9" t="s">
        <v>1203</v>
      </c>
      <c r="D96" s="9" t="s">
        <v>1204</v>
      </c>
      <c r="E96" s="9" t="s">
        <v>1208</v>
      </c>
      <c r="F96" s="9" t="s">
        <v>1209</v>
      </c>
      <c r="G96" s="9" t="s">
        <v>1210</v>
      </c>
      <c r="L96" s="31">
        <f>$I$30*$L$30</f>
        <v>0</v>
      </c>
      <c r="M96" s="31">
        <f>$I$30*$M$30</f>
        <v>2.2467260260997131E-10</v>
      </c>
      <c r="N96" s="31">
        <f ca="1">$I$30*$N$30</f>
        <v>6.3172216523719652E-10</v>
      </c>
      <c r="O96" s="31">
        <f>$I$30*$O$30</f>
        <v>0</v>
      </c>
      <c r="P96" s="31">
        <f>$I$30*$P$30</f>
        <v>0</v>
      </c>
      <c r="Q96" s="31">
        <f>$I$30*$Q$30</f>
        <v>0</v>
      </c>
      <c r="R96" s="31">
        <f>$I$30*$R$30</f>
        <v>0</v>
      </c>
      <c r="S96" s="31">
        <f>$I$30*$S$30</f>
        <v>0</v>
      </c>
      <c r="T96" s="31">
        <f>$I$30*$T$30</f>
        <v>0</v>
      </c>
      <c r="U96" s="31">
        <f>$I$30*$U$30</f>
        <v>0</v>
      </c>
      <c r="V96" s="31">
        <f>$I$30*$V$30</f>
        <v>0</v>
      </c>
      <c r="W96" s="31">
        <f>$I$30*$W$30</f>
        <v>0</v>
      </c>
      <c r="X96" s="31">
        <f>$I$30*$X$30</f>
        <v>0</v>
      </c>
      <c r="Y96" s="31">
        <f>$I$30*$Y$30</f>
        <v>0</v>
      </c>
      <c r="Z96" s="31">
        <f>$I$30*$Z$30</f>
        <v>0</v>
      </c>
      <c r="AA96" s="31">
        <f>$I$30*$AA$30</f>
        <v>1.8524715227502836E-7</v>
      </c>
      <c r="AB96" s="31">
        <f ca="1">$I$30*$AB$30</f>
        <v>-1.7004265830513131E-8</v>
      </c>
      <c r="AC96" s="31">
        <f ca="1">$I$30*$AC$30</f>
        <v>0</v>
      </c>
      <c r="AD96" s="31">
        <f>$I$30*$AD$30</f>
        <v>0</v>
      </c>
      <c r="AE96" s="31">
        <f>$I$30*$AE$30</f>
        <v>0</v>
      </c>
      <c r="AF96" s="31">
        <f ca="1">$I$30*$AF$30</f>
        <v>0</v>
      </c>
      <c r="AG96" s="31">
        <f ca="1">$I$30*$AG$30</f>
        <v>0</v>
      </c>
      <c r="AI96" s="31">
        <f>$I$30*$AI$30</f>
        <v>0</v>
      </c>
      <c r="AJ96" s="31">
        <f>$I$30*$AJ$30</f>
        <v>2.1829859041577201E-10</v>
      </c>
      <c r="AK96" s="31">
        <f>$I$30*$AK$30</f>
        <v>6.6598598218291606E-10</v>
      </c>
      <c r="AL96" s="31">
        <f>$I$30*$AL$30</f>
        <v>0</v>
      </c>
      <c r="AM96" s="31">
        <f>$I$30*$AM$30</f>
        <v>0</v>
      </c>
      <c r="AN96" s="31">
        <f>$I$30*$AN$30</f>
        <v>0</v>
      </c>
      <c r="AO96" s="31">
        <f>$I$30*$AO$30</f>
        <v>0</v>
      </c>
      <c r="AP96" s="31">
        <f>$I$30*$AP$30</f>
        <v>0</v>
      </c>
      <c r="AQ96" s="31">
        <f>$I$30*$AQ$30</f>
        <v>0</v>
      </c>
      <c r="AR96" s="31">
        <f>$I$30*$AR$30</f>
        <v>0</v>
      </c>
      <c r="AS96" s="31">
        <f>$I$30*$AS$30</f>
        <v>0</v>
      </c>
      <c r="AT96" s="31">
        <f>$I$30*$AT$30</f>
        <v>0</v>
      </c>
      <c r="AU96" s="31">
        <f>$I$30*$AU$30</f>
        <v>0</v>
      </c>
      <c r="AV96" s="31">
        <f>$I$30*$AV$30</f>
        <v>0</v>
      </c>
      <c r="AW96" s="31">
        <f>$I$30*$AW$30</f>
        <v>0</v>
      </c>
      <c r="AX96" s="31">
        <f>$I$30*$AX$30</f>
        <v>1.6883085442440301E-7</v>
      </c>
      <c r="AY96" s="31">
        <f>$I$30*$AY$30</f>
        <v>-1.76263257567985E-9</v>
      </c>
      <c r="AZ96" s="31">
        <f>$I$30*$AZ$30</f>
        <v>0</v>
      </c>
      <c r="BA96" s="31">
        <f>$I$30*$BA$30</f>
        <v>0</v>
      </c>
      <c r="BB96" s="31">
        <f>$I$30*$BB$30</f>
        <v>0</v>
      </c>
      <c r="BC96" s="31">
        <f>$I$30*$BC$30</f>
        <v>0</v>
      </c>
      <c r="BD96" s="31">
        <f>$I$30*$BD$30</f>
        <v>0</v>
      </c>
    </row>
    <row r="97" spans="1:56" ht="11.25" customHeight="1" x14ac:dyDescent="0.25">
      <c r="A97" s="9" t="s">
        <v>22</v>
      </c>
      <c r="B97" s="9" t="s">
        <v>1211</v>
      </c>
      <c r="C97" s="9" t="s">
        <v>1212</v>
      </c>
      <c r="D97" s="9" t="s">
        <v>1213</v>
      </c>
      <c r="E97" s="9" t="s">
        <v>1214</v>
      </c>
      <c r="F97" s="9" t="s">
        <v>1215</v>
      </c>
      <c r="G97" s="9" t="s">
        <v>1216</v>
      </c>
      <c r="L97" s="31">
        <f>$I$31*$L$31</f>
        <v>457.55917839051284</v>
      </c>
      <c r="M97" s="31">
        <f>$I$31*$M$31</f>
        <v>88.40662988060248</v>
      </c>
      <c r="N97" s="31">
        <f ca="1">$I$31*$N$31</f>
        <v>986.14852289484304</v>
      </c>
      <c r="O97" s="31">
        <f>$I$31*$O$31</f>
        <v>2.0110886873516276</v>
      </c>
      <c r="P97" s="31">
        <f>$I$31*$P$31</f>
        <v>0</v>
      </c>
      <c r="Q97" s="31">
        <f>$I$31*$Q$31</f>
        <v>5068.5105622845967</v>
      </c>
      <c r="R97" s="31">
        <f>$I$31*$R$31</f>
        <v>1938.4602413678597</v>
      </c>
      <c r="S97" s="31">
        <f>$I$31*$S$31</f>
        <v>0</v>
      </c>
      <c r="T97" s="31">
        <f>$I$31*$T$31</f>
        <v>11860.973857186213</v>
      </c>
      <c r="U97" s="31">
        <f>$I$31*$U$31</f>
        <v>3660.1401134843113</v>
      </c>
      <c r="V97" s="31">
        <f>$I$31*$V$31</f>
        <v>561.4619334043083</v>
      </c>
      <c r="W97" s="31">
        <f>$I$31*$W$31</f>
        <v>32.656322962937239</v>
      </c>
      <c r="X97" s="31">
        <f>$I$31*$X$31</f>
        <v>686.24723874922176</v>
      </c>
      <c r="Y97" s="31">
        <f>$I$31*$Y$31</f>
        <v>0</v>
      </c>
      <c r="Z97" s="31">
        <f>$I$31*$Z$31</f>
        <v>0</v>
      </c>
      <c r="AA97" s="31">
        <f>$I$31*$AA$31</f>
        <v>78087.457235033275</v>
      </c>
      <c r="AB97" s="31">
        <f ca="1">$I$31*$AB$31</f>
        <v>-9688.8095989732265</v>
      </c>
      <c r="AC97" s="31">
        <f ca="1">$I$31*$AC$31</f>
        <v>0</v>
      </c>
      <c r="AD97" s="31">
        <f>$I$31*$AD$31</f>
        <v>3236.7610699773618</v>
      </c>
      <c r="AE97" s="31">
        <f>$I$31*$AE$31</f>
        <v>98.111430814040062</v>
      </c>
      <c r="AF97" s="31">
        <f ca="1">$I$31*$AF$31</f>
        <v>1096.1336670660569</v>
      </c>
      <c r="AG97" s="31">
        <f ca="1">$I$31*$AG$31</f>
        <v>0</v>
      </c>
      <c r="AI97" s="31">
        <f>$I$31*$AI$31</f>
        <v>432.53089864916217</v>
      </c>
      <c r="AJ97" s="31">
        <f>$I$31*$AJ$31</f>
        <v>78.325791449855686</v>
      </c>
      <c r="AK97" s="31">
        <f>$I$31*$AK$31</f>
        <v>1035.8393498790044</v>
      </c>
      <c r="AL97" s="31">
        <f>$I$31*$AL$31</f>
        <v>1.9984990902101405</v>
      </c>
      <c r="AM97" s="31">
        <f>$I$31*$AM$31</f>
        <v>0</v>
      </c>
      <c r="AN97" s="31">
        <f>$I$31*$AN$31</f>
        <v>2993.8352666838928</v>
      </c>
      <c r="AO97" s="31">
        <f>$I$31*$AO$31</f>
        <v>1083.1042428207063</v>
      </c>
      <c r="AP97" s="31">
        <f>$I$31*$AP$31</f>
        <v>0</v>
      </c>
      <c r="AQ97" s="31">
        <f>$I$31*$AQ$31</f>
        <v>9858.6285275661776</v>
      </c>
      <c r="AR97" s="31">
        <f>$I$31*$AR$31</f>
        <v>4212.2524748207643</v>
      </c>
      <c r="AS97" s="31">
        <f>$I$31*$AS$31</f>
        <v>929.56068196467618</v>
      </c>
      <c r="AT97" s="31">
        <f>$I$31*$AT$31</f>
        <v>0</v>
      </c>
      <c r="AU97" s="31">
        <f>$I$31*$AU$31</f>
        <v>792.38940245963181</v>
      </c>
      <c r="AV97" s="31">
        <f>$I$31*$AV$31</f>
        <v>0</v>
      </c>
      <c r="AW97" s="31">
        <f>$I$31*$AW$31</f>
        <v>0</v>
      </c>
      <c r="AX97" s="31">
        <f>$I$31*$AX$31</f>
        <v>71134.229912580151</v>
      </c>
      <c r="AY97" s="31">
        <f>$I$31*$AY$31</f>
        <v>-988.22040487258334</v>
      </c>
      <c r="AZ97" s="31">
        <f>$I$31*$AZ$31</f>
        <v>0</v>
      </c>
      <c r="BA97" s="31">
        <f>$I$31*$BA$31</f>
        <v>3551.0391530885213</v>
      </c>
      <c r="BB97" s="31">
        <f>$I$31*$BB$31</f>
        <v>89.076262205025188</v>
      </c>
      <c r="BC97" s="31">
        <f>$I$31*$BC$31</f>
        <v>1221.5433483570857</v>
      </c>
      <c r="BD97" s="31">
        <f>$I$31*$BD$31</f>
        <v>0</v>
      </c>
    </row>
    <row r="98" spans="1:56" ht="11.25" customHeight="1" x14ac:dyDescent="0.25">
      <c r="A98" s="9" t="s">
        <v>22</v>
      </c>
      <c r="B98" s="9" t="s">
        <v>1211</v>
      </c>
      <c r="C98" s="9" t="s">
        <v>1212</v>
      </c>
      <c r="D98" s="9" t="s">
        <v>1213</v>
      </c>
      <c r="E98" s="9" t="s">
        <v>1214</v>
      </c>
      <c r="F98" s="9" t="s">
        <v>1215</v>
      </c>
      <c r="G98" s="9" t="s">
        <v>1217</v>
      </c>
      <c r="L98" s="31">
        <f>$I$32*$L$32</f>
        <v>314.01454281859185</v>
      </c>
      <c r="M98" s="31">
        <f>$I$32*$M$32</f>
        <v>60.671862297114082</v>
      </c>
      <c r="N98" s="31">
        <f ca="1">$I$32*$N$32</f>
        <v>432.53100440569847</v>
      </c>
      <c r="O98" s="31">
        <f>$I$32*$O$32</f>
        <v>1.3801735918569811</v>
      </c>
      <c r="P98" s="31">
        <f>$I$32*$P$32</f>
        <v>0</v>
      </c>
      <c r="Q98" s="31">
        <f>$I$32*$Q$32</f>
        <v>3478.4266214164572</v>
      </c>
      <c r="R98" s="31">
        <f>$I$32*$R$32</f>
        <v>1330.3300102213987</v>
      </c>
      <c r="S98" s="31">
        <f>$I$32*$S$32</f>
        <v>0</v>
      </c>
      <c r="T98" s="31">
        <f>$I$32*$T$32</f>
        <v>4883.9823905385665</v>
      </c>
      <c r="U98" s="31">
        <f>$I$32*$U$32</f>
        <v>1507.1325572756934</v>
      </c>
      <c r="V98" s="31">
        <f>$I$32*$V$32</f>
        <v>231.18995425217776</v>
      </c>
      <c r="W98" s="31">
        <f>$I$32*$W$32</f>
        <v>13.445383561851948</v>
      </c>
      <c r="X98" s="31">
        <f>$I$32*$X$32</f>
        <v>282.5768139125878</v>
      </c>
      <c r="Y98" s="31">
        <f>$I$32*$Y$32</f>
        <v>0</v>
      </c>
      <c r="Z98" s="31">
        <f>$I$32*$Z$32</f>
        <v>0</v>
      </c>
      <c r="AA98" s="31">
        <f>$I$32*$AA$32</f>
        <v>32153.996095180151</v>
      </c>
      <c r="AB98" s="31">
        <f ca="1">$I$32*$AB$32</f>
        <v>-4265.7003039954852</v>
      </c>
      <c r="AC98" s="31">
        <f ca="1">$I$32*$AC$32</f>
        <v>0</v>
      </c>
      <c r="AD98" s="31">
        <f>$I$32*$AD$32</f>
        <v>2221.330257601126</v>
      </c>
      <c r="AE98" s="31">
        <f>$I$32*$AE$32</f>
        <v>67.332090683261626</v>
      </c>
      <c r="AF98" s="31">
        <f ca="1">$I$32*$AF$32</f>
        <v>752.2566010861409</v>
      </c>
      <c r="AG98" s="31">
        <f ca="1">$I$32*$AG$32</f>
        <v>0</v>
      </c>
      <c r="AI98" s="31">
        <f>$I$32*$AI$32</f>
        <v>296.83808960403428</v>
      </c>
      <c r="AJ98" s="31">
        <f>$I$32*$AJ$32</f>
        <v>53.753566215295869</v>
      </c>
      <c r="AK98" s="31">
        <f>$I$32*$AK$32</f>
        <v>453.92255055590027</v>
      </c>
      <c r="AL98" s="31">
        <f>$I$32*$AL$32</f>
        <v>1.3715335802970334</v>
      </c>
      <c r="AM98" s="31">
        <f>$I$32*$AM$32</f>
        <v>0</v>
      </c>
      <c r="AN98" s="31">
        <f>$I$32*$AN$32</f>
        <v>2054.6146967235923</v>
      </c>
      <c r="AO98" s="31">
        <f>$I$32*$AO$32</f>
        <v>743.31474418364144</v>
      </c>
      <c r="AP98" s="31">
        <f>$I$32*$AP$32</f>
        <v>0</v>
      </c>
      <c r="AQ98" s="31">
        <f>$I$32*$AQ$32</f>
        <v>4059.4784798654655</v>
      </c>
      <c r="AR98" s="31">
        <f>$I$32*$AR$32</f>
        <v>1734.4753608965098</v>
      </c>
      <c r="AS98" s="31">
        <f>$I$32*$AS$32</f>
        <v>382.75986091346215</v>
      </c>
      <c r="AT98" s="31">
        <f>$I$32*$AT$32</f>
        <v>0</v>
      </c>
      <c r="AU98" s="31">
        <f>$I$32*$AU$32</f>
        <v>326.28309460778229</v>
      </c>
      <c r="AV98" s="31">
        <f>$I$32*$AV$32</f>
        <v>0</v>
      </c>
      <c r="AW98" s="31">
        <f>$I$32*$AW$32</f>
        <v>0</v>
      </c>
      <c r="AX98" s="31">
        <f>$I$32*$AX$32</f>
        <v>29290.872463146276</v>
      </c>
      <c r="AY98" s="31">
        <f>$I$32*$AY$32</f>
        <v>-431.04325585071444</v>
      </c>
      <c r="AZ98" s="31">
        <f>$I$32*$AZ$32</f>
        <v>0</v>
      </c>
      <c r="BA98" s="31">
        <f>$I$32*$BA$32</f>
        <v>2437.0135904832109</v>
      </c>
      <c r="BB98" s="31">
        <f>$I$32*$BB$32</f>
        <v>61.13141878322763</v>
      </c>
      <c r="BC98" s="31">
        <f>$I$32*$BC$32</f>
        <v>838.32298461744813</v>
      </c>
      <c r="BD98" s="31">
        <f>$I$32*$BD$32</f>
        <v>0</v>
      </c>
    </row>
    <row r="99" spans="1:56" ht="11.25" customHeight="1" x14ac:dyDescent="0.25">
      <c r="A99" s="9" t="s">
        <v>22</v>
      </c>
      <c r="B99" s="9" t="s">
        <v>1211</v>
      </c>
      <c r="C99" s="9" t="s">
        <v>1212</v>
      </c>
      <c r="D99" s="9" t="s">
        <v>1213</v>
      </c>
      <c r="E99" s="9" t="s">
        <v>1214</v>
      </c>
      <c r="F99" s="9" t="s">
        <v>1215</v>
      </c>
      <c r="G99" s="9" t="s">
        <v>1218</v>
      </c>
      <c r="L99" s="31">
        <f>$I$33*$L$33</f>
        <v>5786.8114310722976</v>
      </c>
      <c r="M99" s="31">
        <f>$I$33*$M$33</f>
        <v>1118.090337899461</v>
      </c>
      <c r="N99" s="31">
        <f ca="1">$I$33*$N$33</f>
        <v>3469.8320294622799</v>
      </c>
      <c r="O99" s="31">
        <f>$I$33*$O$33</f>
        <v>25.434504550434522</v>
      </c>
      <c r="P99" s="31">
        <f>$I$33*$P$33</f>
        <v>0</v>
      </c>
      <c r="Q99" s="31">
        <f>$I$33*$Q$33</f>
        <v>64102.123278371837</v>
      </c>
      <c r="R99" s="31">
        <f>$I$33*$R$33</f>
        <v>24515.962990590251</v>
      </c>
      <c r="S99" s="31">
        <f>$I$33*$S$33</f>
        <v>0</v>
      </c>
      <c r="T99" s="31">
        <f>$I$33*$T$33</f>
        <v>30001.460944068345</v>
      </c>
      <c r="U99" s="31">
        <f>$I$33*$U$33</f>
        <v>9258.0551973805323</v>
      </c>
      <c r="V99" s="31">
        <f>$I$33*$V$33</f>
        <v>1420.1599900512354</v>
      </c>
      <c r="W99" s="31">
        <f>$I$33*$W$33</f>
        <v>82.547190261397958</v>
      </c>
      <c r="X99" s="31">
        <f>$I$33*$X$33</f>
        <v>1735.8640340852103</v>
      </c>
      <c r="Y99" s="31">
        <f>$I$33*$Y$33</f>
        <v>0</v>
      </c>
      <c r="Z99" s="31">
        <f>$I$33*$Z$33</f>
        <v>0</v>
      </c>
      <c r="AA99" s="31">
        <f>$I$33*$AA$33</f>
        <v>197516.44885412816</v>
      </c>
      <c r="AB99" s="31">
        <f ca="1">$I$33*$AB$33</f>
        <v>-34685.130447936644</v>
      </c>
      <c r="AC99" s="31">
        <f ca="1">$I$33*$AC$33</f>
        <v>0</v>
      </c>
      <c r="AD99" s="31">
        <f>$I$33*$AD$33</f>
        <v>40935.745241261153</v>
      </c>
      <c r="AE99" s="31">
        <f>$I$33*$AE$33</f>
        <v>1240.8282385475097</v>
      </c>
      <c r="AF99" s="31">
        <f ca="1">$I$33*$AF$33</f>
        <v>13862.947426545545</v>
      </c>
      <c r="AG99" s="31">
        <f ca="1">$I$33*$AG$33</f>
        <v>0</v>
      </c>
      <c r="AI99" s="31">
        <f>$I$33*$AI$33</f>
        <v>5470.2754677532275</v>
      </c>
      <c r="AJ99" s="31">
        <f>$I$33*$AJ$33</f>
        <v>990.5966413003938</v>
      </c>
      <c r="AK99" s="31">
        <f>$I$33*$AK$33</f>
        <v>3629.8131802937487</v>
      </c>
      <c r="AL99" s="31">
        <f>$I$33*$AL$33</f>
        <v>25.275282250693497</v>
      </c>
      <c r="AM99" s="31">
        <f>$I$33*$AM$33</f>
        <v>0</v>
      </c>
      <c r="AN99" s="31">
        <f>$I$33*$AN$33</f>
        <v>37863.43048550449</v>
      </c>
      <c r="AO99" s="31">
        <f>$I$33*$AO$33</f>
        <v>13698.16257526466</v>
      </c>
      <c r="AP99" s="31">
        <f>$I$33*$AP$33</f>
        <v>0</v>
      </c>
      <c r="AQ99" s="31">
        <f>$I$33*$AQ$33</f>
        <v>24936.675714250403</v>
      </c>
      <c r="AR99" s="31">
        <f>$I$33*$AR$33</f>
        <v>10654.582805047183</v>
      </c>
      <c r="AS99" s="31">
        <f>$I$33*$AS$33</f>
        <v>2351.2277686336934</v>
      </c>
      <c r="AT99" s="31">
        <f>$I$33*$AT$33</f>
        <v>0</v>
      </c>
      <c r="AU99" s="31">
        <f>$I$33*$AU$33</f>
        <v>2004.3508914177098</v>
      </c>
      <c r="AV99" s="31">
        <f>$I$33*$AV$33</f>
        <v>0</v>
      </c>
      <c r="AW99" s="31">
        <f>$I$33*$AW$33</f>
        <v>0</v>
      </c>
      <c r="AX99" s="31">
        <f>$I$33*$AX$33</f>
        <v>179928.77450237167</v>
      </c>
      <c r="AY99" s="31">
        <f>$I$33*$AY$33</f>
        <v>-3388.7947609729763</v>
      </c>
      <c r="AZ99" s="31">
        <f>$I$33*$AZ$33</f>
        <v>0</v>
      </c>
      <c r="BA99" s="31">
        <f>$I$33*$BA$33</f>
        <v>44910.461714615274</v>
      </c>
      <c r="BB99" s="31">
        <f>$I$33*$BB$33</f>
        <v>1126.5592664503326</v>
      </c>
      <c r="BC99" s="31">
        <f>$I$33*$BC$33</f>
        <v>15449.020248458599</v>
      </c>
      <c r="BD99" s="31">
        <f>$I$33*$BD$33</f>
        <v>0</v>
      </c>
    </row>
    <row r="100" spans="1:56" ht="11.25" customHeight="1" x14ac:dyDescent="0.25">
      <c r="A100" s="9" t="s">
        <v>22</v>
      </c>
      <c r="B100" s="9" t="s">
        <v>1219</v>
      </c>
      <c r="C100" s="9" t="s">
        <v>1220</v>
      </c>
      <c r="D100" s="9" t="s">
        <v>1221</v>
      </c>
      <c r="E100" s="9" t="s">
        <v>1222</v>
      </c>
      <c r="F100" s="9" t="s">
        <v>1223</v>
      </c>
      <c r="G100" s="9" t="s">
        <v>1224</v>
      </c>
      <c r="L100" s="31">
        <f>$I$34*$L$34</f>
        <v>5958453.9106779424</v>
      </c>
      <c r="M100" s="31">
        <f>$I$34*$M$34</f>
        <v>1151253.9894727101</v>
      </c>
      <c r="N100" s="31">
        <f ca="1">$I$34*$N$34</f>
        <v>4876223.2668789681</v>
      </c>
      <c r="O100" s="31">
        <f>$I$34*$O$34</f>
        <v>26188.916799836035</v>
      </c>
      <c r="P100" s="31">
        <f>$I$34*$P$34</f>
        <v>0</v>
      </c>
      <c r="Q100" s="31">
        <f>$I$34*$Q$34</f>
        <v>66003454.869791545</v>
      </c>
      <c r="R100" s="31">
        <f>$I$34*$R$34</f>
        <v>25243130.400094971</v>
      </c>
      <c r="S100" s="31">
        <f>$I$34*$S$34</f>
        <v>0</v>
      </c>
      <c r="T100" s="31">
        <f>$I$34*$T$34</f>
        <v>48267788.32466206</v>
      </c>
      <c r="U100" s="31">
        <f>$I$34*$U$34</f>
        <v>14894754.930918749</v>
      </c>
      <c r="V100" s="31">
        <f>$I$34*$V$34</f>
        <v>2284839.1502386909</v>
      </c>
      <c r="W100" s="31">
        <f>$I$34*$W$34</f>
        <v>132902.24305226962</v>
      </c>
      <c r="X100" s="31">
        <f>$I$34*$X$34</f>
        <v>2792652.7980765812</v>
      </c>
      <c r="Y100" s="31">
        <f>$I$34*$Y$34</f>
        <v>0</v>
      </c>
      <c r="Z100" s="31">
        <f>$I$34*$Z$34</f>
        <v>0</v>
      </c>
      <c r="AA100" s="31">
        <f>$I$34*$AA$34</f>
        <v>317773474.50880432</v>
      </c>
      <c r="AB100" s="31">
        <f ca="1">$I$34*$AB$34</f>
        <v>-48434347.474298298</v>
      </c>
      <c r="AC100" s="31">
        <f ca="1">$I$34*$AC$34</f>
        <v>0</v>
      </c>
      <c r="AD100" s="31">
        <f>$I$34*$AD$34</f>
        <v>42149939.431171544</v>
      </c>
      <c r="AE100" s="31">
        <f>$I$34*$AE$34</f>
        <v>1277632.4161444174</v>
      </c>
      <c r="AF100" s="31">
        <f ca="1">$I$34*$AF$34</f>
        <v>14274135.988550244</v>
      </c>
      <c r="AG100" s="31">
        <f ca="1">$I$34*$AG$34</f>
        <v>0</v>
      </c>
      <c r="AI100" s="31">
        <f>$I$34*$AI$34</f>
        <v>5632529.1814943561</v>
      </c>
      <c r="AJ100" s="31">
        <f>$I$34*$AJ$34</f>
        <v>1019978.7052966137</v>
      </c>
      <c r="AK100" s="31">
        <f>$I$34*$AK$34</f>
        <v>5108780.9730067216</v>
      </c>
      <c r="AL100" s="31">
        <f>$I$34*$AL$34</f>
        <v>26024.971811156276</v>
      </c>
      <c r="AM100" s="31">
        <f>$I$34*$AM$34</f>
        <v>0</v>
      </c>
      <c r="AN100" s="31">
        <f>$I$34*$AN$34</f>
        <v>38986496.818720691</v>
      </c>
      <c r="AO100" s="31">
        <f>$I$34*$AO$34</f>
        <v>14104463.457618451</v>
      </c>
      <c r="AP100" s="31">
        <f>$I$34*$AP$34</f>
        <v>0</v>
      </c>
      <c r="AQ100" s="31">
        <f>$I$34*$AQ$34</f>
        <v>40119319.093830794</v>
      </c>
      <c r="AR100" s="31">
        <f>$I$34*$AR$34</f>
        <v>17141548.239770807</v>
      </c>
      <c r="AS100" s="31">
        <f>$I$34*$AS$34</f>
        <v>3782797.216184651</v>
      </c>
      <c r="AT100" s="31">
        <f>$I$34*$AT$34</f>
        <v>0</v>
      </c>
      <c r="AU100" s="31">
        <f>$I$34*$AU$34</f>
        <v>3224593.64059282</v>
      </c>
      <c r="AV100" s="31">
        <f>$I$34*$AV$34</f>
        <v>0</v>
      </c>
      <c r="AW100" s="31">
        <f>$I$34*$AW$34</f>
        <v>0</v>
      </c>
      <c r="AX100" s="31">
        <f>$I$34*$AX$34</f>
        <v>289477621.582578</v>
      </c>
      <c r="AY100" s="31">
        <f>$I$34*$AY$34</f>
        <v>-4808309.685664122</v>
      </c>
      <c r="AZ100" s="31">
        <f>$I$34*$AZ$34</f>
        <v>0</v>
      </c>
      <c r="BA100" s="31">
        <f>$I$34*$BA$34</f>
        <v>46242549.877630211</v>
      </c>
      <c r="BB100" s="31">
        <f>$I$34*$BB$34</f>
        <v>1159974.1147168539</v>
      </c>
      <c r="BC100" s="31">
        <f>$I$34*$BC$34</f>
        <v>15907253.279637894</v>
      </c>
      <c r="BD100" s="31">
        <f>$I$34*$BD$34</f>
        <v>0</v>
      </c>
    </row>
    <row r="101" spans="1:56" ht="11.25" customHeight="1" x14ac:dyDescent="0.25">
      <c r="A101" s="9" t="s">
        <v>22</v>
      </c>
      <c r="B101" s="9" t="s">
        <v>1219</v>
      </c>
      <c r="C101" s="9" t="s">
        <v>1220</v>
      </c>
      <c r="D101" s="9" t="s">
        <v>1225</v>
      </c>
      <c r="E101" s="9" t="s">
        <v>1226</v>
      </c>
      <c r="F101" s="9" t="s">
        <v>1227</v>
      </c>
      <c r="G101" s="9" t="s">
        <v>1228</v>
      </c>
      <c r="L101" s="31">
        <f>$I$35*$L$35</f>
        <v>0</v>
      </c>
      <c r="M101" s="31">
        <f>$I$35*$M$35</f>
        <v>46409.509703843738</v>
      </c>
      <c r="N101" s="31">
        <f ca="1">$I$35*$N$35</f>
        <v>195966.38478870434</v>
      </c>
      <c r="O101" s="31">
        <f>$I$35*$O$35</f>
        <v>1055.7312282685971</v>
      </c>
      <c r="P101" s="31">
        <f>$I$35*$P$35</f>
        <v>0</v>
      </c>
      <c r="Q101" s="31">
        <f>$I$35*$Q$35</f>
        <v>0</v>
      </c>
      <c r="R101" s="31">
        <f>$I$35*$R$35</f>
        <v>0</v>
      </c>
      <c r="S101" s="31">
        <f>$I$35*$S$35</f>
        <v>0</v>
      </c>
      <c r="T101" s="31">
        <f>$I$35*$T$35</f>
        <v>1945777.7441991481</v>
      </c>
      <c r="U101" s="31">
        <f>$I$35*$U$35</f>
        <v>600439.41634413262</v>
      </c>
      <c r="V101" s="31">
        <f>$I$35*$V$35</f>
        <v>92106.751146453418</v>
      </c>
      <c r="W101" s="31">
        <f>$I$35*$W$35</f>
        <v>5357.5735632602682</v>
      </c>
      <c r="X101" s="31">
        <f>$I$35*$X$35</f>
        <v>112577.80499954021</v>
      </c>
      <c r="Y101" s="31">
        <f>$I$35*$Y$35</f>
        <v>0</v>
      </c>
      <c r="Z101" s="31">
        <f>$I$35*$Z$35</f>
        <v>0</v>
      </c>
      <c r="AA101" s="31">
        <f>$I$35*$AA$35</f>
        <v>12810128.159117302</v>
      </c>
      <c r="AB101" s="31">
        <f ca="1">$I$35*$AB$35</f>
        <v>-1660800.4371396012</v>
      </c>
      <c r="AC101" s="31">
        <f ca="1">$I$35*$AC$35</f>
        <v>0</v>
      </c>
      <c r="AD101" s="31">
        <f>$I$35*$AD$35</f>
        <v>1699154.175303513</v>
      </c>
      <c r="AE101" s="31">
        <f>$I$35*$AE$35</f>
        <v>51504.094280843492</v>
      </c>
      <c r="AF101" s="31">
        <f ca="1">$I$35*$AF$35</f>
        <v>575420.93989009445</v>
      </c>
      <c r="AG101" s="31">
        <f ca="1">$I$35*$AG$35</f>
        <v>0</v>
      </c>
      <c r="AI101" s="31">
        <f>$I$35*$AI$35</f>
        <v>0</v>
      </c>
      <c r="AJ101" s="31">
        <f>$I$35*$AJ$35</f>
        <v>41117.52233133027</v>
      </c>
      <c r="AK101" s="31">
        <f>$I$35*$AK$35</f>
        <v>205309.57068850246</v>
      </c>
      <c r="AL101" s="31">
        <f>$I$35*$AL$35</f>
        <v>1049.1222552595079</v>
      </c>
      <c r="AM101" s="31">
        <f>$I$35*$AM$35</f>
        <v>0</v>
      </c>
      <c r="AN101" s="31">
        <f>$I$35*$AN$35</f>
        <v>0</v>
      </c>
      <c r="AO101" s="31">
        <f>$I$35*$AO$35</f>
        <v>0</v>
      </c>
      <c r="AP101" s="31">
        <f>$I$35*$AP$35</f>
        <v>0</v>
      </c>
      <c r="AQ101" s="31">
        <f>$I$35*$AQ$35</f>
        <v>1617295.5280263885</v>
      </c>
      <c r="AR101" s="31">
        <f>$I$35*$AR$35</f>
        <v>691012.45828204171</v>
      </c>
      <c r="AS101" s="31">
        <f>$I$35*$AS$35</f>
        <v>152492.64342840828</v>
      </c>
      <c r="AT101" s="31">
        <f>$I$35*$AT$35</f>
        <v>0</v>
      </c>
      <c r="AU101" s="31">
        <f>$I$35*$AU$35</f>
        <v>129990.26385358073</v>
      </c>
      <c r="AV101" s="31">
        <f>$I$35*$AV$35</f>
        <v>0</v>
      </c>
      <c r="AW101" s="31">
        <f>$I$35*$AW$35</f>
        <v>0</v>
      </c>
      <c r="AX101" s="31">
        <f>$I$35*$AX$35</f>
        <v>11669461.830951346</v>
      </c>
      <c r="AY101" s="31">
        <f>$I$35*$AY$35</f>
        <v>-172598.73207176384</v>
      </c>
      <c r="AZ101" s="31">
        <f>$I$35*$AZ$35</f>
        <v>0</v>
      </c>
      <c r="BA101" s="31">
        <f>$I$35*$BA$35</f>
        <v>1864136.0524268907</v>
      </c>
      <c r="BB101" s="31">
        <f>$I$35*$BB$35</f>
        <v>46761.036596117279</v>
      </c>
      <c r="BC101" s="31">
        <f>$I$35*$BC$35</f>
        <v>641255.38950877683</v>
      </c>
      <c r="BD101" s="31">
        <f>$I$35*$BD$35</f>
        <v>0</v>
      </c>
    </row>
    <row r="102" spans="1:56" ht="11.25" customHeight="1" x14ac:dyDescent="0.25">
      <c r="A102" s="9" t="s">
        <v>22</v>
      </c>
      <c r="B102" s="9" t="s">
        <v>1219</v>
      </c>
      <c r="C102" s="9" t="s">
        <v>1220</v>
      </c>
      <c r="D102" s="9" t="s">
        <v>1229</v>
      </c>
      <c r="E102" s="9" t="s">
        <v>1230</v>
      </c>
      <c r="F102" s="9" t="s">
        <v>1231</v>
      </c>
      <c r="G102" s="9" t="s">
        <v>1232</v>
      </c>
      <c r="L102" s="31">
        <f>$I$36*$L$36</f>
        <v>0</v>
      </c>
      <c r="M102" s="31">
        <f>$I$36*$M$36</f>
        <v>131963.0061745501</v>
      </c>
      <c r="N102" s="31">
        <f ca="1">$I$36*$N$36</f>
        <v>557220.13464266888</v>
      </c>
      <c r="O102" s="31">
        <f>$I$36*$O$36</f>
        <v>3001.9163633425683</v>
      </c>
      <c r="P102" s="31">
        <f>$I$36*$P$36</f>
        <v>0</v>
      </c>
      <c r="Q102" s="31">
        <f>$I$36*$Q$36</f>
        <v>0</v>
      </c>
      <c r="R102" s="31">
        <f>$I$36*$R$36</f>
        <v>0</v>
      </c>
      <c r="S102" s="31">
        <f>$I$36*$S$36</f>
        <v>0</v>
      </c>
      <c r="T102" s="31">
        <f>$I$36*$T$36</f>
        <v>5532716.9390627723</v>
      </c>
      <c r="U102" s="31">
        <f>$I$36*$U$36</f>
        <v>1707317.9809934844</v>
      </c>
      <c r="V102" s="31">
        <f>$I$36*$V$36</f>
        <v>261900.71491426474</v>
      </c>
      <c r="W102" s="31">
        <f>$I$36*$W$36</f>
        <v>15233.979365883406</v>
      </c>
      <c r="X102" s="31">
        <f>$I$36*$X$36</f>
        <v>320109.08262280578</v>
      </c>
      <c r="Y102" s="31">
        <f>$I$36*$Y$36</f>
        <v>0</v>
      </c>
      <c r="Z102" s="31">
        <f>$I$36*$Z$36</f>
        <v>0</v>
      </c>
      <c r="AA102" s="31">
        <f>$I$36*$AA$36</f>
        <v>36424927.394101873</v>
      </c>
      <c r="AB102" s="31">
        <f ca="1">$I$36*$AB$36</f>
        <v>-4722398.9165047575</v>
      </c>
      <c r="AC102" s="31">
        <f ca="1">$I$36*$AC$36</f>
        <v>0</v>
      </c>
      <c r="AD102" s="31">
        <f>$I$36*$AD$36</f>
        <v>4831455.7589157037</v>
      </c>
      <c r="AE102" s="31">
        <f>$I$36*$AE$36</f>
        <v>146449.19015454818</v>
      </c>
      <c r="AF102" s="31">
        <f ca="1">$I$36*$AF$36</f>
        <v>1636179.2556794218</v>
      </c>
      <c r="AG102" s="31">
        <f ca="1">$I$36*$AG$36</f>
        <v>0</v>
      </c>
      <c r="AI102" s="31">
        <f>$I$36*$AI$36</f>
        <v>0</v>
      </c>
      <c r="AJ102" s="31">
        <f>$I$36*$AJ$36</f>
        <v>116915.51770136757</v>
      </c>
      <c r="AK102" s="31">
        <f>$I$36*$AK$36</f>
        <v>583786.99360009178</v>
      </c>
      <c r="AL102" s="31">
        <f>$I$36*$AL$36</f>
        <v>2983.1240953015654</v>
      </c>
      <c r="AM102" s="31">
        <f>$I$36*$AM$36</f>
        <v>0</v>
      </c>
      <c r="AN102" s="31">
        <f>$I$36*$AN$36</f>
        <v>0</v>
      </c>
      <c r="AO102" s="31">
        <f>$I$36*$AO$36</f>
        <v>0</v>
      </c>
      <c r="AP102" s="31">
        <f>$I$36*$AP$36</f>
        <v>0</v>
      </c>
      <c r="AQ102" s="31">
        <f>$I$36*$AQ$36</f>
        <v>4598694.9897327041</v>
      </c>
      <c r="AR102" s="31">
        <f>$I$36*$AR$36</f>
        <v>1964857.6742324813</v>
      </c>
      <c r="AS102" s="31">
        <f>$I$36*$AS$36</f>
        <v>433604.83174097975</v>
      </c>
      <c r="AT102" s="31">
        <f>$I$36*$AT$36</f>
        <v>0</v>
      </c>
      <c r="AU102" s="31">
        <f>$I$36*$AU$36</f>
        <v>369620.49590713088</v>
      </c>
      <c r="AV102" s="31">
        <f>$I$36*$AV$36</f>
        <v>0</v>
      </c>
      <c r="AW102" s="31">
        <f>$I$36*$AW$36</f>
        <v>0</v>
      </c>
      <c r="AX102" s="31">
        <f>$I$36*$AX$36</f>
        <v>33181502.529943213</v>
      </c>
      <c r="AY102" s="31">
        <f>$I$36*$AY$36</f>
        <v>-490775.44002192729</v>
      </c>
      <c r="AZ102" s="31">
        <f>$I$36*$AZ$36</f>
        <v>0</v>
      </c>
      <c r="BA102" s="31">
        <f>$I$36*$BA$36</f>
        <v>5300573.0714762565</v>
      </c>
      <c r="BB102" s="31">
        <f>$I$36*$BB$36</f>
        <v>132962.55445143642</v>
      </c>
      <c r="BC102" s="31">
        <f>$I$36*$BC$36</f>
        <v>1823376.0594588155</v>
      </c>
      <c r="BD102" s="31">
        <f>$I$36*$BD$36</f>
        <v>0</v>
      </c>
    </row>
    <row r="103" spans="1:56" ht="11.25" customHeight="1" x14ac:dyDescent="0.25">
      <c r="A103" s="9" t="s">
        <v>22</v>
      </c>
      <c r="B103" s="9" t="s">
        <v>1219</v>
      </c>
      <c r="C103" s="9" t="s">
        <v>1220</v>
      </c>
      <c r="D103" s="9" t="s">
        <v>1233</v>
      </c>
      <c r="E103" s="9" t="s">
        <v>1234</v>
      </c>
      <c r="F103" s="9" t="s">
        <v>1235</v>
      </c>
      <c r="G103" s="9" t="s">
        <v>1236</v>
      </c>
      <c r="L103" s="31">
        <f>$I$37*$L$37</f>
        <v>0</v>
      </c>
      <c r="M103" s="31">
        <f>$I$37*$M$37</f>
        <v>104316.79612876994</v>
      </c>
      <c r="N103" s="31">
        <f ca="1">$I$37*$N$37</f>
        <v>440482.68427197478</v>
      </c>
      <c r="O103" s="31">
        <f>$I$37*$O$37</f>
        <v>2373.0157894115796</v>
      </c>
      <c r="P103" s="31">
        <f>$I$37*$P$37</f>
        <v>0</v>
      </c>
      <c r="Q103" s="31">
        <f>$I$37*$Q$37</f>
        <v>0</v>
      </c>
      <c r="R103" s="31">
        <f>$I$37*$R$37</f>
        <v>0</v>
      </c>
      <c r="S103" s="31">
        <f>$I$37*$S$37</f>
        <v>0</v>
      </c>
      <c r="T103" s="31">
        <f>$I$37*$T$37</f>
        <v>4373614.4068057099</v>
      </c>
      <c r="U103" s="31">
        <f>$I$37*$U$37</f>
        <v>1349635.3782263906</v>
      </c>
      <c r="V103" s="31">
        <f>$I$37*$V$37</f>
        <v>207032.59402527471</v>
      </c>
      <c r="W103" s="31">
        <f>$I$37*$W$37</f>
        <v>12042.465277266672</v>
      </c>
      <c r="X103" s="31">
        <f>$I$37*$X$37</f>
        <v>253046.32623147083</v>
      </c>
      <c r="Y103" s="31">
        <f>$I$37*$Y$37</f>
        <v>0</v>
      </c>
      <c r="Z103" s="31">
        <f>$I$37*$Z$37</f>
        <v>0</v>
      </c>
      <c r="AA103" s="31">
        <f>$I$37*$AA$37</f>
        <v>28793916.076372124</v>
      </c>
      <c r="AB103" s="31">
        <f ca="1">$I$37*$AB$37</f>
        <v>-3733057.7659025528</v>
      </c>
      <c r="AC103" s="31">
        <f ca="1">$I$37*$AC$37</f>
        <v>0</v>
      </c>
      <c r="AD103" s="31">
        <f>$I$37*$AD$37</f>
        <v>3819267.2326767654</v>
      </c>
      <c r="AE103" s="31">
        <f>$I$37*$AE$37</f>
        <v>115768.12892825526</v>
      </c>
      <c r="AF103" s="31">
        <f ca="1">$I$37*$AF$37</f>
        <v>1293400.1944383539</v>
      </c>
      <c r="AG103" s="31">
        <f ca="1">$I$37*$AG$37</f>
        <v>0</v>
      </c>
      <c r="AI103" s="31">
        <f>$I$37*$AI$37</f>
        <v>0</v>
      </c>
      <c r="AJ103" s="31">
        <f>$I$37*$AJ$37</f>
        <v>92421.751958355046</v>
      </c>
      <c r="AK103" s="31">
        <f>$I$37*$AK$37</f>
        <v>461483.79427986097</v>
      </c>
      <c r="AL103" s="31">
        <f>$I$37*$AL$37</f>
        <v>2358.16049586486</v>
      </c>
      <c r="AM103" s="31">
        <f>$I$37*$AM$37</f>
        <v>0</v>
      </c>
      <c r="AN103" s="31">
        <f>$I$37*$AN$37</f>
        <v>0</v>
      </c>
      <c r="AO103" s="31">
        <f>$I$37*$AO$37</f>
        <v>0</v>
      </c>
      <c r="AP103" s="31">
        <f>$I$37*$AP$37</f>
        <v>0</v>
      </c>
      <c r="AQ103" s="31">
        <f>$I$37*$AQ$37</f>
        <v>3635269.7745291241</v>
      </c>
      <c r="AR103" s="31">
        <f>$I$37*$AR$37</f>
        <v>1553220.5833038033</v>
      </c>
      <c r="AS103" s="31">
        <f>$I$37*$AS$37</f>
        <v>342764.75009476329</v>
      </c>
      <c r="AT103" s="31">
        <f>$I$37*$AT$37</f>
        <v>0</v>
      </c>
      <c r="AU103" s="31">
        <f>$I$37*$AU$37</f>
        <v>292185.11334576516</v>
      </c>
      <c r="AV103" s="31">
        <f>$I$37*$AV$37</f>
        <v>0</v>
      </c>
      <c r="AW103" s="31">
        <f>$I$37*$AW$37</f>
        <v>0</v>
      </c>
      <c r="AX103" s="31">
        <f>$I$37*$AX$37</f>
        <v>26229987.744322024</v>
      </c>
      <c r="AY103" s="31">
        <f>$I$37*$AY$37</f>
        <v>-387958.13316086872</v>
      </c>
      <c r="AZ103" s="31">
        <f>$I$37*$AZ$37</f>
        <v>0</v>
      </c>
      <c r="BA103" s="31">
        <f>$I$37*$BA$37</f>
        <v>4190104.6095559034</v>
      </c>
      <c r="BB103" s="31">
        <f>$I$37*$BB$37</f>
        <v>105106.93934271645</v>
      </c>
      <c r="BC103" s="31">
        <f>$I$37*$BC$37</f>
        <v>1441379.3242103909</v>
      </c>
      <c r="BD103" s="31">
        <f>$I$37*$BD$37</f>
        <v>0</v>
      </c>
    </row>
    <row r="104" spans="1:56" ht="11.25" customHeight="1" x14ac:dyDescent="0.25">
      <c r="A104" s="9" t="s">
        <v>22</v>
      </c>
      <c r="B104" s="9" t="s">
        <v>1219</v>
      </c>
      <c r="C104" s="9" t="s">
        <v>1220</v>
      </c>
      <c r="D104" s="9" t="s">
        <v>1237</v>
      </c>
      <c r="E104" s="9" t="s">
        <v>1238</v>
      </c>
      <c r="F104" s="9" t="s">
        <v>1239</v>
      </c>
      <c r="G104" s="9" t="s">
        <v>1240</v>
      </c>
      <c r="L104" s="31">
        <f>$I$38*$L$38</f>
        <v>0</v>
      </c>
      <c r="M104" s="31">
        <f>$I$38*$M$38</f>
        <v>32462.438963727051</v>
      </c>
      <c r="N104" s="31">
        <f ca="1">$I$38*$N$38</f>
        <v>137074.20840558215</v>
      </c>
      <c r="O104" s="31">
        <f>$I$38*$O$38</f>
        <v>738.46094859587515</v>
      </c>
      <c r="P104" s="31">
        <f>$I$38*$P$38</f>
        <v>0</v>
      </c>
      <c r="Q104" s="31">
        <f>$I$38*$Q$38</f>
        <v>0</v>
      </c>
      <c r="R104" s="31">
        <f>$I$38*$R$38</f>
        <v>0</v>
      </c>
      <c r="S104" s="31">
        <f>$I$38*$S$38</f>
        <v>0</v>
      </c>
      <c r="T104" s="31">
        <f>$I$38*$T$38</f>
        <v>1361029.0576461726</v>
      </c>
      <c r="U104" s="31">
        <f>$I$38*$U$38</f>
        <v>419994.26472874259</v>
      </c>
      <c r="V104" s="31">
        <f>$I$38*$V$38</f>
        <v>64426.661826838936</v>
      </c>
      <c r="W104" s="31">
        <f>$I$38*$W$38</f>
        <v>3747.5057569205405</v>
      </c>
      <c r="X104" s="31">
        <f>$I$38*$X$38</f>
        <v>78745.717134030871</v>
      </c>
      <c r="Y104" s="31">
        <f>$I$38*$Y$38</f>
        <v>0</v>
      </c>
      <c r="Z104" s="31">
        <f>$I$38*$Z$38</f>
        <v>0</v>
      </c>
      <c r="AA104" s="31">
        <f>$I$38*$AA$38</f>
        <v>8960405.0147598311</v>
      </c>
      <c r="AB104" s="31">
        <f ca="1">$I$38*$AB$38</f>
        <v>-1161693.6521333312</v>
      </c>
      <c r="AC104" s="31">
        <f ca="1">$I$38*$AC$38</f>
        <v>0</v>
      </c>
      <c r="AD104" s="31">
        <f>$I$38*$AD$38</f>
        <v>1188521.2547544732</v>
      </c>
      <c r="AE104" s="31">
        <f>$I$38*$AE$38</f>
        <v>36025.98966555018</v>
      </c>
      <c r="AF104" s="31">
        <f ca="1">$I$38*$AF$38</f>
        <v>402494.38657796377</v>
      </c>
      <c r="AG104" s="31">
        <f ca="1">$I$38*$AG$38</f>
        <v>0</v>
      </c>
      <c r="AI104" s="31">
        <f>$I$38*$AI$38</f>
        <v>0</v>
      </c>
      <c r="AJ104" s="31">
        <f>$I$38*$AJ$38</f>
        <v>28760.8093155516</v>
      </c>
      <c r="AK104" s="31">
        <f>$I$38*$AK$38</f>
        <v>143609.56298990044</v>
      </c>
      <c r="AL104" s="31">
        <f>$I$38*$AL$38</f>
        <v>733.83811624342172</v>
      </c>
      <c r="AM104" s="31">
        <f>$I$38*$AM$38</f>
        <v>0</v>
      </c>
      <c r="AN104" s="31">
        <f>$I$38*$AN$38</f>
        <v>0</v>
      </c>
      <c r="AO104" s="31">
        <f>$I$38*$AO$38</f>
        <v>0</v>
      </c>
      <c r="AP104" s="31">
        <f>$I$38*$AP$38</f>
        <v>0</v>
      </c>
      <c r="AQ104" s="31">
        <f>$I$38*$AQ$38</f>
        <v>1131262.9178781607</v>
      </c>
      <c r="AR104" s="31">
        <f>$I$38*$AR$38</f>
        <v>483348.13044357597</v>
      </c>
      <c r="AS104" s="31">
        <f>$I$38*$AS$38</f>
        <v>106665.27531322117</v>
      </c>
      <c r="AT104" s="31">
        <f>$I$38*$AT$38</f>
        <v>0</v>
      </c>
      <c r="AU104" s="31">
        <f>$I$38*$AU$38</f>
        <v>90925.352005521243</v>
      </c>
      <c r="AV104" s="31">
        <f>$I$38*$AV$38</f>
        <v>0</v>
      </c>
      <c r="AW104" s="31">
        <f>$I$38*$AW$38</f>
        <v>0</v>
      </c>
      <c r="AX104" s="31">
        <f>$I$38*$AX$38</f>
        <v>8162533.8178357463</v>
      </c>
      <c r="AY104" s="31">
        <f>$I$38*$AY$38</f>
        <v>-120729.04542303922</v>
      </c>
      <c r="AZ104" s="31">
        <f>$I$38*$AZ$38</f>
        <v>0</v>
      </c>
      <c r="BA104" s="31">
        <f>$I$38*$BA$38</f>
        <v>1303922.4764095885</v>
      </c>
      <c r="BB104" s="31">
        <f>$I$38*$BB$38</f>
        <v>32708.324351384839</v>
      </c>
      <c r="BC104" s="31">
        <f>$I$38*$BC$38</f>
        <v>448544.14698471955</v>
      </c>
      <c r="BD104" s="31">
        <f>$I$38*$BD$38</f>
        <v>0</v>
      </c>
    </row>
    <row r="105" spans="1:56" ht="11.25" customHeight="1" x14ac:dyDescent="0.25">
      <c r="A105" s="9" t="s">
        <v>22</v>
      </c>
      <c r="B105" s="9" t="s">
        <v>1241</v>
      </c>
      <c r="C105" s="9" t="s">
        <v>1242</v>
      </c>
      <c r="D105" s="9" t="s">
        <v>1243</v>
      </c>
      <c r="E105" s="9" t="s">
        <v>1244</v>
      </c>
      <c r="F105" s="9" t="s">
        <v>1245</v>
      </c>
      <c r="G105" s="9" t="s">
        <v>1246</v>
      </c>
      <c r="L105" s="31">
        <f>$I$39*$L$39</f>
        <v>0</v>
      </c>
      <c r="M105" s="31">
        <f>$I$39*$M$39</f>
        <v>0</v>
      </c>
      <c r="N105" s="31">
        <f ca="1">$I$39*$N$39</f>
        <v>0</v>
      </c>
      <c r="O105" s="31">
        <f>$I$39*$O$39</f>
        <v>0</v>
      </c>
      <c r="P105" s="31">
        <f>$I$39*$P$39</f>
        <v>0</v>
      </c>
      <c r="Q105" s="31">
        <f>$I$39*$Q$39</f>
        <v>0</v>
      </c>
      <c r="R105" s="31">
        <f>$I$39*$R$39</f>
        <v>0</v>
      </c>
      <c r="S105" s="31">
        <f>$I$39*$S$39</f>
        <v>0</v>
      </c>
      <c r="T105" s="31">
        <f>$I$39*$T$39</f>
        <v>0</v>
      </c>
      <c r="U105" s="31">
        <f>$I$39*$U$39</f>
        <v>0</v>
      </c>
      <c r="V105" s="31">
        <f>$I$39*$V$39</f>
        <v>0</v>
      </c>
      <c r="W105" s="31">
        <f>$I$39*$W$39</f>
        <v>0</v>
      </c>
      <c r="X105" s="31">
        <f>$I$39*$X$39</f>
        <v>0</v>
      </c>
      <c r="Y105" s="31">
        <f>$I$39*$Y$39</f>
        <v>0</v>
      </c>
      <c r="Z105" s="31">
        <f>$I$39*$Z$39</f>
        <v>0</v>
      </c>
      <c r="AA105" s="31">
        <f>$I$39*$AA$39</f>
        <v>0</v>
      </c>
      <c r="AB105" s="31">
        <f ca="1">$I$39*$AB$39</f>
        <v>0</v>
      </c>
      <c r="AC105" s="31">
        <f ca="1">$I$39*$AC$39</f>
        <v>0</v>
      </c>
      <c r="AD105" s="31">
        <f>$I$39*$AD$39</f>
        <v>0</v>
      </c>
      <c r="AE105" s="31">
        <f>$I$39*$AE$39</f>
        <v>0</v>
      </c>
      <c r="AF105" s="31">
        <f ca="1">$I$39*$AF$39</f>
        <v>0</v>
      </c>
      <c r="AG105" s="31">
        <f ca="1">$I$39*$AG$39</f>
        <v>0</v>
      </c>
      <c r="AI105" s="31">
        <f>$I$39*$AI$39</f>
        <v>0</v>
      </c>
      <c r="AJ105" s="31">
        <f>$I$39*$AJ$39</f>
        <v>0</v>
      </c>
      <c r="AK105" s="31">
        <f>$I$39*$AK$39</f>
        <v>0</v>
      </c>
      <c r="AL105" s="31">
        <f>$I$39*$AL$39</f>
        <v>0</v>
      </c>
      <c r="AM105" s="31">
        <f>$I$39*$AM$39</f>
        <v>0</v>
      </c>
      <c r="AN105" s="31">
        <f>$I$39*$AN$39</f>
        <v>0</v>
      </c>
      <c r="AO105" s="31">
        <f>$I$39*$AO$39</f>
        <v>0</v>
      </c>
      <c r="AP105" s="31">
        <f>$I$39*$AP$39</f>
        <v>0</v>
      </c>
      <c r="AQ105" s="31">
        <f>$I$39*$AQ$39</f>
        <v>0</v>
      </c>
      <c r="AR105" s="31">
        <f>$I$39*$AR$39</f>
        <v>0</v>
      </c>
      <c r="AS105" s="31">
        <f>$I$39*$AS$39</f>
        <v>0</v>
      </c>
      <c r="AT105" s="31">
        <f>$I$39*$AT$39</f>
        <v>0</v>
      </c>
      <c r="AU105" s="31">
        <f>$I$39*$AU$39</f>
        <v>0</v>
      </c>
      <c r="AV105" s="31">
        <f>$I$39*$AV$39</f>
        <v>0</v>
      </c>
      <c r="AW105" s="31">
        <f>$I$39*$AW$39</f>
        <v>0</v>
      </c>
      <c r="AX105" s="31">
        <f>$I$39*$AX$39</f>
        <v>0</v>
      </c>
      <c r="AY105" s="31">
        <f>$I$39*$AY$39</f>
        <v>0</v>
      </c>
      <c r="AZ105" s="31">
        <f>$I$39*$AZ$39</f>
        <v>0</v>
      </c>
      <c r="BA105" s="31">
        <f>$I$39*$BA$39</f>
        <v>0</v>
      </c>
      <c r="BB105" s="31">
        <f>$I$39*$BB$39</f>
        <v>0</v>
      </c>
      <c r="BC105" s="31">
        <f>$I$39*$BC$39</f>
        <v>0</v>
      </c>
      <c r="BD105" s="31">
        <f>$I$39*$BD$39</f>
        <v>0</v>
      </c>
    </row>
    <row r="106" spans="1:56" ht="11.25" customHeight="1" x14ac:dyDescent="0.25">
      <c r="A106" s="9" t="s">
        <v>22</v>
      </c>
      <c r="B106" s="9" t="s">
        <v>1241</v>
      </c>
      <c r="C106" s="9" t="s">
        <v>1242</v>
      </c>
      <c r="D106" s="9" t="s">
        <v>1247</v>
      </c>
      <c r="E106" s="9" t="s">
        <v>1248</v>
      </c>
      <c r="F106" s="9" t="s">
        <v>1249</v>
      </c>
      <c r="G106" s="9" t="s">
        <v>1250</v>
      </c>
      <c r="L106" s="31">
        <f>$I$40*$L$40</f>
        <v>0</v>
      </c>
      <c r="M106" s="31">
        <f>$I$40*$M$40</f>
        <v>0</v>
      </c>
      <c r="N106" s="31">
        <f ca="1">$I$40*$N$40</f>
        <v>0</v>
      </c>
      <c r="O106" s="31">
        <f>$I$40*$O$40</f>
        <v>0</v>
      </c>
      <c r="P106" s="31">
        <f>$I$40*$P$40</f>
        <v>0</v>
      </c>
      <c r="Q106" s="31">
        <f>$I$40*$Q$40</f>
        <v>0</v>
      </c>
      <c r="R106" s="31">
        <f>$I$40*$R$40</f>
        <v>0</v>
      </c>
      <c r="S106" s="31">
        <f>$I$40*$S$40</f>
        <v>0</v>
      </c>
      <c r="T106" s="31">
        <f>$I$40*$T$40</f>
        <v>0</v>
      </c>
      <c r="U106" s="31">
        <f>$I$40*$U$40</f>
        <v>0</v>
      </c>
      <c r="V106" s="31">
        <f>$I$40*$V$40</f>
        <v>0</v>
      </c>
      <c r="W106" s="31">
        <f>$I$40*$W$40</f>
        <v>0</v>
      </c>
      <c r="X106" s="31">
        <f>$I$40*$X$40</f>
        <v>0</v>
      </c>
      <c r="Y106" s="31">
        <f>$I$40*$Y$40</f>
        <v>0</v>
      </c>
      <c r="Z106" s="31">
        <f>$I$40*$Z$40</f>
        <v>0</v>
      </c>
      <c r="AA106" s="31">
        <f>$I$40*$AA$40</f>
        <v>0</v>
      </c>
      <c r="AB106" s="31">
        <f ca="1">$I$40*$AB$40</f>
        <v>0</v>
      </c>
      <c r="AC106" s="31">
        <f ca="1">$I$40*$AC$40</f>
        <v>0</v>
      </c>
      <c r="AD106" s="31">
        <f>$I$40*$AD$40</f>
        <v>0</v>
      </c>
      <c r="AE106" s="31">
        <f>$I$40*$AE$40</f>
        <v>0</v>
      </c>
      <c r="AF106" s="31">
        <f ca="1">$I$40*$AF$40</f>
        <v>0</v>
      </c>
      <c r="AG106" s="31">
        <f ca="1">$I$40*$AG$40</f>
        <v>0</v>
      </c>
      <c r="AI106" s="31">
        <f>$I$40*$AI$40</f>
        <v>0</v>
      </c>
      <c r="AJ106" s="31">
        <f>$I$40*$AJ$40</f>
        <v>0</v>
      </c>
      <c r="AK106" s="31">
        <f>$I$40*$AK$40</f>
        <v>0</v>
      </c>
      <c r="AL106" s="31">
        <f>$I$40*$AL$40</f>
        <v>0</v>
      </c>
      <c r="AM106" s="31">
        <f>$I$40*$AM$40</f>
        <v>0</v>
      </c>
      <c r="AN106" s="31">
        <f>$I$40*$AN$40</f>
        <v>0</v>
      </c>
      <c r="AO106" s="31">
        <f>$I$40*$AO$40</f>
        <v>0</v>
      </c>
      <c r="AP106" s="31">
        <f>$I$40*$AP$40</f>
        <v>0</v>
      </c>
      <c r="AQ106" s="31">
        <f>$I$40*$AQ$40</f>
        <v>0</v>
      </c>
      <c r="AR106" s="31">
        <f>$I$40*$AR$40</f>
        <v>0</v>
      </c>
      <c r="AS106" s="31">
        <f>$I$40*$AS$40</f>
        <v>0</v>
      </c>
      <c r="AT106" s="31">
        <f>$I$40*$AT$40</f>
        <v>0</v>
      </c>
      <c r="AU106" s="31">
        <f>$I$40*$AU$40</f>
        <v>0</v>
      </c>
      <c r="AV106" s="31">
        <f>$I$40*$AV$40</f>
        <v>0</v>
      </c>
      <c r="AW106" s="31">
        <f>$I$40*$AW$40</f>
        <v>0</v>
      </c>
      <c r="AX106" s="31">
        <f>$I$40*$AX$40</f>
        <v>0</v>
      </c>
      <c r="AY106" s="31">
        <f>$I$40*$AY$40</f>
        <v>0</v>
      </c>
      <c r="AZ106" s="31">
        <f>$I$40*$AZ$40</f>
        <v>0</v>
      </c>
      <c r="BA106" s="31">
        <f>$I$40*$BA$40</f>
        <v>0</v>
      </c>
      <c r="BB106" s="31">
        <f>$I$40*$BB$40</f>
        <v>0</v>
      </c>
      <c r="BC106" s="31">
        <f>$I$40*$BC$40</f>
        <v>0</v>
      </c>
      <c r="BD106" s="31">
        <f>$I$40*$BD$40</f>
        <v>0</v>
      </c>
    </row>
    <row r="107" spans="1:56" ht="11.25" customHeight="1" x14ac:dyDescent="0.25">
      <c r="A107" s="9" t="s">
        <v>22</v>
      </c>
      <c r="B107" s="9" t="s">
        <v>1241</v>
      </c>
      <c r="C107" s="9" t="s">
        <v>1242</v>
      </c>
      <c r="D107" s="9" t="s">
        <v>1251</v>
      </c>
      <c r="E107" s="9" t="s">
        <v>1252</v>
      </c>
      <c r="F107" s="9" t="s">
        <v>1253</v>
      </c>
      <c r="G107" s="9" t="s">
        <v>1254</v>
      </c>
      <c r="L107" s="31">
        <f>$I$41*$L$41</f>
        <v>0</v>
      </c>
      <c r="M107" s="31">
        <f>$I$41*$M$41</f>
        <v>0</v>
      </c>
      <c r="N107" s="31">
        <f ca="1">$I$41*$N$41</f>
        <v>0</v>
      </c>
      <c r="O107" s="31">
        <f>$I$41*$O$41</f>
        <v>0</v>
      </c>
      <c r="P107" s="31">
        <f>$I$41*$P$41</f>
        <v>0</v>
      </c>
      <c r="Q107" s="31">
        <f>$I$41*$Q$41</f>
        <v>0</v>
      </c>
      <c r="R107" s="31">
        <f>$I$41*$R$41</f>
        <v>0</v>
      </c>
      <c r="S107" s="31">
        <f>$I$41*$S$41</f>
        <v>0</v>
      </c>
      <c r="T107" s="31">
        <f>$I$41*$T$41</f>
        <v>0</v>
      </c>
      <c r="U107" s="31">
        <f>$I$41*$U$41</f>
        <v>0</v>
      </c>
      <c r="V107" s="31">
        <f>$I$41*$V$41</f>
        <v>0</v>
      </c>
      <c r="W107" s="31">
        <f>$I$41*$W$41</f>
        <v>0</v>
      </c>
      <c r="X107" s="31">
        <f>$I$41*$X$41</f>
        <v>0</v>
      </c>
      <c r="Y107" s="31">
        <f>$I$41*$Y$41</f>
        <v>0</v>
      </c>
      <c r="Z107" s="31">
        <f>$I$41*$Z$41</f>
        <v>0</v>
      </c>
      <c r="AA107" s="31">
        <f>$I$41*$AA$41</f>
        <v>0</v>
      </c>
      <c r="AB107" s="31">
        <f ca="1">$I$41*$AB$41</f>
        <v>0</v>
      </c>
      <c r="AC107" s="31">
        <f ca="1">$I$41*$AC$41</f>
        <v>0</v>
      </c>
      <c r="AD107" s="31">
        <f>$I$41*$AD$41</f>
        <v>0</v>
      </c>
      <c r="AE107" s="31">
        <f>$I$41*$AE$41</f>
        <v>0</v>
      </c>
      <c r="AF107" s="31">
        <f ca="1">$I$41*$AF$41</f>
        <v>0</v>
      </c>
      <c r="AG107" s="31">
        <f ca="1">$I$41*$AG$41</f>
        <v>0</v>
      </c>
      <c r="AI107" s="31">
        <f>$I$41*$AI$41</f>
        <v>0</v>
      </c>
      <c r="AJ107" s="31">
        <f>$I$41*$AJ$41</f>
        <v>0</v>
      </c>
      <c r="AK107" s="31">
        <f>$I$41*$AK$41</f>
        <v>0</v>
      </c>
      <c r="AL107" s="31">
        <f>$I$41*$AL$41</f>
        <v>0</v>
      </c>
      <c r="AM107" s="31">
        <f>$I$41*$AM$41</f>
        <v>0</v>
      </c>
      <c r="AN107" s="31">
        <f>$I$41*$AN$41</f>
        <v>0</v>
      </c>
      <c r="AO107" s="31">
        <f>$I$41*$AO$41</f>
        <v>0</v>
      </c>
      <c r="AP107" s="31">
        <f>$I$41*$AP$41</f>
        <v>0</v>
      </c>
      <c r="AQ107" s="31">
        <f>$I$41*$AQ$41</f>
        <v>0</v>
      </c>
      <c r="AR107" s="31">
        <f>$I$41*$AR$41</f>
        <v>0</v>
      </c>
      <c r="AS107" s="31">
        <f>$I$41*$AS$41</f>
        <v>0</v>
      </c>
      <c r="AT107" s="31">
        <f>$I$41*$AT$41</f>
        <v>0</v>
      </c>
      <c r="AU107" s="31">
        <f>$I$41*$AU$41</f>
        <v>0</v>
      </c>
      <c r="AV107" s="31">
        <f>$I$41*$AV$41</f>
        <v>0</v>
      </c>
      <c r="AW107" s="31">
        <f>$I$41*$AW$41</f>
        <v>0</v>
      </c>
      <c r="AX107" s="31">
        <f>$I$41*$AX$41</f>
        <v>0</v>
      </c>
      <c r="AY107" s="31">
        <f>$I$41*$AY$41</f>
        <v>0</v>
      </c>
      <c r="AZ107" s="31">
        <f>$I$41*$AZ$41</f>
        <v>0</v>
      </c>
      <c r="BA107" s="31">
        <f>$I$41*$BA$41</f>
        <v>0</v>
      </c>
      <c r="BB107" s="31">
        <f>$I$41*$BB$41</f>
        <v>0</v>
      </c>
      <c r="BC107" s="31">
        <f>$I$41*$BC$41</f>
        <v>0</v>
      </c>
      <c r="BD107" s="31">
        <f>$I$41*$BD$41</f>
        <v>0</v>
      </c>
    </row>
    <row r="108" spans="1:56" ht="11.25" customHeight="1" x14ac:dyDescent="0.25">
      <c r="A108" s="9" t="s">
        <v>22</v>
      </c>
      <c r="B108" s="9" t="s">
        <v>1241</v>
      </c>
      <c r="C108" s="9" t="s">
        <v>1242</v>
      </c>
      <c r="D108" s="9" t="s">
        <v>1255</v>
      </c>
      <c r="E108" s="9" t="s">
        <v>1256</v>
      </c>
      <c r="F108" s="9" t="s">
        <v>1257</v>
      </c>
      <c r="G108" s="9" t="s">
        <v>1258</v>
      </c>
      <c r="L108" s="31">
        <f>$I$42*$L$42</f>
        <v>0</v>
      </c>
      <c r="M108" s="31">
        <f>$I$42*$M$42</f>
        <v>0</v>
      </c>
      <c r="N108" s="31">
        <f ca="1">$I$42*$N$42</f>
        <v>0</v>
      </c>
      <c r="O108" s="31">
        <f>$I$42*$O$42</f>
        <v>0</v>
      </c>
      <c r="P108" s="31">
        <f>$I$42*$P$42</f>
        <v>0</v>
      </c>
      <c r="Q108" s="31">
        <f>$I$42*$Q$42</f>
        <v>0</v>
      </c>
      <c r="R108" s="31">
        <f>$I$42*$R$42</f>
        <v>0</v>
      </c>
      <c r="S108" s="31">
        <f>$I$42*$S$42</f>
        <v>0</v>
      </c>
      <c r="T108" s="31">
        <f>$I$42*$T$42</f>
        <v>0</v>
      </c>
      <c r="U108" s="31">
        <f>$I$42*$U$42</f>
        <v>0</v>
      </c>
      <c r="V108" s="31">
        <f>$I$42*$V$42</f>
        <v>0</v>
      </c>
      <c r="W108" s="31">
        <f>$I$42*$W$42</f>
        <v>0</v>
      </c>
      <c r="X108" s="31">
        <f>$I$42*$X$42</f>
        <v>0</v>
      </c>
      <c r="Y108" s="31">
        <f>$I$42*$Y$42</f>
        <v>0</v>
      </c>
      <c r="Z108" s="31">
        <f>$I$42*$Z$42</f>
        <v>0</v>
      </c>
      <c r="AA108" s="31">
        <f>$I$42*$AA$42</f>
        <v>0</v>
      </c>
      <c r="AB108" s="31">
        <f ca="1">$I$42*$AB$42</f>
        <v>0</v>
      </c>
      <c r="AC108" s="31">
        <f ca="1">$I$42*$AC$42</f>
        <v>0</v>
      </c>
      <c r="AD108" s="31">
        <f>$I$42*$AD$42</f>
        <v>0</v>
      </c>
      <c r="AE108" s="31">
        <f>$I$42*$AE$42</f>
        <v>0</v>
      </c>
      <c r="AF108" s="31">
        <f ca="1">$I$42*$AF$42</f>
        <v>0</v>
      </c>
      <c r="AG108" s="31">
        <f ca="1">$I$42*$AG$42</f>
        <v>0</v>
      </c>
      <c r="AI108" s="31">
        <f>$I$42*$AI$42</f>
        <v>0</v>
      </c>
      <c r="AJ108" s="31">
        <f>$I$42*$AJ$42</f>
        <v>0</v>
      </c>
      <c r="AK108" s="31">
        <f>$I$42*$AK$42</f>
        <v>0</v>
      </c>
      <c r="AL108" s="31">
        <f>$I$42*$AL$42</f>
        <v>0</v>
      </c>
      <c r="AM108" s="31">
        <f>$I$42*$AM$42</f>
        <v>0</v>
      </c>
      <c r="AN108" s="31">
        <f>$I$42*$AN$42</f>
        <v>0</v>
      </c>
      <c r="AO108" s="31">
        <f>$I$42*$AO$42</f>
        <v>0</v>
      </c>
      <c r="AP108" s="31">
        <f>$I$42*$AP$42</f>
        <v>0</v>
      </c>
      <c r="AQ108" s="31">
        <f>$I$42*$AQ$42</f>
        <v>0</v>
      </c>
      <c r="AR108" s="31">
        <f>$I$42*$AR$42</f>
        <v>0</v>
      </c>
      <c r="AS108" s="31">
        <f>$I$42*$AS$42</f>
        <v>0</v>
      </c>
      <c r="AT108" s="31">
        <f>$I$42*$AT$42</f>
        <v>0</v>
      </c>
      <c r="AU108" s="31">
        <f>$I$42*$AU$42</f>
        <v>0</v>
      </c>
      <c r="AV108" s="31">
        <f>$I$42*$AV$42</f>
        <v>0</v>
      </c>
      <c r="AW108" s="31">
        <f>$I$42*$AW$42</f>
        <v>0</v>
      </c>
      <c r="AX108" s="31">
        <f>$I$42*$AX$42</f>
        <v>0</v>
      </c>
      <c r="AY108" s="31">
        <f>$I$42*$AY$42</f>
        <v>0</v>
      </c>
      <c r="AZ108" s="31">
        <f>$I$42*$AZ$42</f>
        <v>0</v>
      </c>
      <c r="BA108" s="31">
        <f>$I$42*$BA$42</f>
        <v>0</v>
      </c>
      <c r="BB108" s="31">
        <f>$I$42*$BB$42</f>
        <v>0</v>
      </c>
      <c r="BC108" s="31">
        <f>$I$42*$BC$42</f>
        <v>0</v>
      </c>
      <c r="BD108" s="31">
        <f>$I$42*$BD$42</f>
        <v>0</v>
      </c>
    </row>
    <row r="109" spans="1:56" ht="11.25" customHeight="1" x14ac:dyDescent="0.25">
      <c r="A109" s="9" t="s">
        <v>22</v>
      </c>
      <c r="B109" s="9" t="s">
        <v>1241</v>
      </c>
      <c r="C109" s="9" t="s">
        <v>1242</v>
      </c>
      <c r="D109" s="9" t="s">
        <v>1259</v>
      </c>
      <c r="E109" s="9" t="s">
        <v>1260</v>
      </c>
      <c r="F109" s="9" t="s">
        <v>1261</v>
      </c>
      <c r="G109" s="9" t="s">
        <v>1262</v>
      </c>
      <c r="L109" s="31">
        <f>$I$43*$L$43</f>
        <v>0</v>
      </c>
      <c r="M109" s="31">
        <f>$I$43*$M$43</f>
        <v>0</v>
      </c>
      <c r="N109" s="31">
        <f ca="1">$I$43*$N$43</f>
        <v>0</v>
      </c>
      <c r="O109" s="31">
        <f>$I$43*$O$43</f>
        <v>0</v>
      </c>
      <c r="P109" s="31">
        <f>$I$43*$P$43</f>
        <v>0</v>
      </c>
      <c r="Q109" s="31">
        <f>$I$43*$Q$43</f>
        <v>0</v>
      </c>
      <c r="R109" s="31">
        <f>$I$43*$R$43</f>
        <v>0</v>
      </c>
      <c r="S109" s="31">
        <f>$I$43*$S$43</f>
        <v>0</v>
      </c>
      <c r="T109" s="31">
        <f>$I$43*$T$43</f>
        <v>0</v>
      </c>
      <c r="U109" s="31">
        <f>$I$43*$U$43</f>
        <v>0</v>
      </c>
      <c r="V109" s="31">
        <f>$I$43*$V$43</f>
        <v>0</v>
      </c>
      <c r="W109" s="31">
        <f>$I$43*$W$43</f>
        <v>0</v>
      </c>
      <c r="X109" s="31">
        <f>$I$43*$X$43</f>
        <v>0</v>
      </c>
      <c r="Y109" s="31">
        <f>$I$43*$Y$43</f>
        <v>0</v>
      </c>
      <c r="Z109" s="31">
        <f>$I$43*$Z$43</f>
        <v>0</v>
      </c>
      <c r="AA109" s="31">
        <f>$I$43*$AA$43</f>
        <v>0</v>
      </c>
      <c r="AB109" s="31">
        <f ca="1">$I$43*$AB$43</f>
        <v>0</v>
      </c>
      <c r="AC109" s="31">
        <f ca="1">$I$43*$AC$43</f>
        <v>0</v>
      </c>
      <c r="AD109" s="31">
        <f>$I$43*$AD$43</f>
        <v>0</v>
      </c>
      <c r="AE109" s="31">
        <f>$I$43*$AE$43</f>
        <v>0</v>
      </c>
      <c r="AF109" s="31">
        <f ca="1">$I$43*$AF$43</f>
        <v>0</v>
      </c>
      <c r="AG109" s="31">
        <f ca="1">$I$43*$AG$43</f>
        <v>0</v>
      </c>
      <c r="AI109" s="31">
        <f>$I$43*$AI$43</f>
        <v>0</v>
      </c>
      <c r="AJ109" s="31">
        <f>$I$43*$AJ$43</f>
        <v>0</v>
      </c>
      <c r="AK109" s="31">
        <f>$I$43*$AK$43</f>
        <v>0</v>
      </c>
      <c r="AL109" s="31">
        <f>$I$43*$AL$43</f>
        <v>0</v>
      </c>
      <c r="AM109" s="31">
        <f>$I$43*$AM$43</f>
        <v>0</v>
      </c>
      <c r="AN109" s="31">
        <f>$I$43*$AN$43</f>
        <v>0</v>
      </c>
      <c r="AO109" s="31">
        <f>$I$43*$AO$43</f>
        <v>0</v>
      </c>
      <c r="AP109" s="31">
        <f>$I$43*$AP$43</f>
        <v>0</v>
      </c>
      <c r="AQ109" s="31">
        <f>$I$43*$AQ$43</f>
        <v>0</v>
      </c>
      <c r="AR109" s="31">
        <f>$I$43*$AR$43</f>
        <v>0</v>
      </c>
      <c r="AS109" s="31">
        <f>$I$43*$AS$43</f>
        <v>0</v>
      </c>
      <c r="AT109" s="31">
        <f>$I$43*$AT$43</f>
        <v>0</v>
      </c>
      <c r="AU109" s="31">
        <f>$I$43*$AU$43</f>
        <v>0</v>
      </c>
      <c r="AV109" s="31">
        <f>$I$43*$AV$43</f>
        <v>0</v>
      </c>
      <c r="AW109" s="31">
        <f>$I$43*$AW$43</f>
        <v>0</v>
      </c>
      <c r="AX109" s="31">
        <f>$I$43*$AX$43</f>
        <v>0</v>
      </c>
      <c r="AY109" s="31">
        <f>$I$43*$AY$43</f>
        <v>0</v>
      </c>
      <c r="AZ109" s="31">
        <f>$I$43*$AZ$43</f>
        <v>0</v>
      </c>
      <c r="BA109" s="31">
        <f>$I$43*$BA$43</f>
        <v>0</v>
      </c>
      <c r="BB109" s="31">
        <f>$I$43*$BB$43</f>
        <v>0</v>
      </c>
      <c r="BC109" s="31">
        <f>$I$43*$BC$43</f>
        <v>0</v>
      </c>
      <c r="BD109" s="31">
        <f>$I$43*$BD$43</f>
        <v>0</v>
      </c>
    </row>
    <row r="110" spans="1:56" ht="11.25" customHeight="1" x14ac:dyDescent="0.25">
      <c r="A110" s="9" t="s">
        <v>44</v>
      </c>
      <c r="B110" s="9" t="s">
        <v>1263</v>
      </c>
      <c r="C110" s="9" t="s">
        <v>1264</v>
      </c>
      <c r="D110" s="9" t="s">
        <v>1265</v>
      </c>
      <c r="E110" s="9" t="s">
        <v>1266</v>
      </c>
      <c r="F110" s="9" t="s">
        <v>1267</v>
      </c>
      <c r="G110" s="9" t="s">
        <v>1268</v>
      </c>
      <c r="L110" s="31">
        <f>$I$44*$L$44</f>
        <v>15.801073738166547</v>
      </c>
      <c r="M110" s="31">
        <f>$I$44*$M$44</f>
        <v>3.052981436412078</v>
      </c>
      <c r="N110" s="31">
        <f ca="1">$I$44*$N$44</f>
        <v>35.495319534472181</v>
      </c>
      <c r="O110" s="31">
        <f>$I$44*$O$44</f>
        <v>6.9449728349050013E-2</v>
      </c>
      <c r="P110" s="31">
        <f>$I$44*$P$44</f>
        <v>0</v>
      </c>
      <c r="Q110" s="31">
        <f>$I$44*$Q$44</f>
        <v>175.03289829973056</v>
      </c>
      <c r="R110" s="31">
        <f>$I$44*$R$44</f>
        <v>66.941621234873622</v>
      </c>
      <c r="S110" s="31">
        <f>$I$44*$S$44</f>
        <v>0</v>
      </c>
      <c r="T110" s="31">
        <f>$I$44*$T$44</f>
        <v>428.79949871710556</v>
      </c>
      <c r="U110" s="31">
        <f>$I$44*$U$44</f>
        <v>132.32183376875503</v>
      </c>
      <c r="V110" s="31">
        <f>$I$44*$V$44</f>
        <v>20.297861671756035</v>
      </c>
      <c r="W110" s="31">
        <f>$I$44*$W$44</f>
        <v>1.180637107461272</v>
      </c>
      <c r="X110" s="31">
        <f>$I$44*$X$44</f>
        <v>24.809225692572173</v>
      </c>
      <c r="Y110" s="31">
        <f>$I$44*$Y$44</f>
        <v>0</v>
      </c>
      <c r="Z110" s="31">
        <f>$I$44*$Z$44</f>
        <v>0</v>
      </c>
      <c r="AA110" s="31">
        <f>$I$44*$AA$44</f>
        <v>2823.029419406781</v>
      </c>
      <c r="AB110" s="31">
        <f ca="1">$I$44*$AB$44</f>
        <v>-348.64284580107937</v>
      </c>
      <c r="AC110" s="31">
        <f ca="1">$I$44*$AC$44</f>
        <v>0</v>
      </c>
      <c r="AD110" s="31">
        <f>$I$44*$AD$44</f>
        <v>111.77636195484432</v>
      </c>
      <c r="AE110" s="31">
        <f>$I$44*$AE$44</f>
        <v>3.3881212006342225</v>
      </c>
      <c r="AF110" s="31">
        <f ca="1">$I$44*$AF$44</f>
        <v>37.853221437108829</v>
      </c>
      <c r="AG110" s="31">
        <f ca="1">$I$44*$AG$44</f>
        <v>0</v>
      </c>
      <c r="AI110" s="31">
        <f>$I$44*$AI$44</f>
        <v>13.983351813140166</v>
      </c>
      <c r="AJ110" s="31">
        <f>$I$44*$AJ$44</f>
        <v>2.5322054477647198</v>
      </c>
      <c r="AK110" s="31">
        <f>$I$44*$AK$44</f>
        <v>34.906288408598492</v>
      </c>
      <c r="AL110" s="31">
        <f>$I$44*$AL$44</f>
        <v>6.4609756121299475E-2</v>
      </c>
      <c r="AM110" s="31">
        <f>$I$44*$AM$44</f>
        <v>0</v>
      </c>
      <c r="AN110" s="31">
        <f>$I$44*$AN$44</f>
        <v>96.788118341076455</v>
      </c>
      <c r="AO110" s="31">
        <f>$I$44*$AO$44</f>
        <v>35.015828291036506</v>
      </c>
      <c r="AP110" s="31">
        <f>$I$44*$AP$44</f>
        <v>0</v>
      </c>
      <c r="AQ110" s="31">
        <f>$I$44*$AQ$44</f>
        <v>333.6608421344024</v>
      </c>
      <c r="AR110" s="31">
        <f>$I$44*$AR$44</f>
        <v>142.56174829076363</v>
      </c>
      <c r="AS110" s="31">
        <f>$I$44*$AS$44</f>
        <v>31.460276561546888</v>
      </c>
      <c r="AT110" s="31">
        <f>$I$44*$AT$44</f>
        <v>0</v>
      </c>
      <c r="AU110" s="31">
        <f>$I$44*$AU$44</f>
        <v>26.817980897540583</v>
      </c>
      <c r="AV110" s="31">
        <f>$I$44*$AV$44</f>
        <v>0</v>
      </c>
      <c r="AW110" s="31">
        <f>$I$44*$AW$44</f>
        <v>0</v>
      </c>
      <c r="AX110" s="31">
        <f>$I$44*$AX$44</f>
        <v>2407.5070954527359</v>
      </c>
      <c r="AY110" s="31">
        <f>$I$44*$AY$44</f>
        <v>-33.312704904194362</v>
      </c>
      <c r="AZ110" s="31">
        <f>$I$44*$AZ$44</f>
        <v>0</v>
      </c>
      <c r="BA110" s="31">
        <f>$I$44*$BA$44</f>
        <v>114.80204058242103</v>
      </c>
      <c r="BB110" s="31">
        <f>$I$44*$BB$44</f>
        <v>2.8797589178078988</v>
      </c>
      <c r="BC110" s="31">
        <f>$I$44*$BC$44</f>
        <v>39.491445463029173</v>
      </c>
      <c r="BD110" s="31">
        <f>$I$44*$BD$44</f>
        <v>0</v>
      </c>
    </row>
    <row r="111" spans="1:56" ht="11.25" customHeight="1" x14ac:dyDescent="0.25">
      <c r="A111" s="9" t="s">
        <v>44</v>
      </c>
      <c r="B111" s="9" t="s">
        <v>1263</v>
      </c>
      <c r="C111" s="9" t="s">
        <v>1264</v>
      </c>
      <c r="D111" s="9" t="s">
        <v>1265</v>
      </c>
      <c r="E111" s="9" t="s">
        <v>1266</v>
      </c>
      <c r="F111" s="9" t="s">
        <v>1267</v>
      </c>
      <c r="G111" s="9" t="s">
        <v>1269</v>
      </c>
      <c r="L111" s="31">
        <f>$I$45*$L$45</f>
        <v>16.966628226837386</v>
      </c>
      <c r="M111" s="31">
        <f>$I$45*$M$45</f>
        <v>3.2781823484515993</v>
      </c>
      <c r="N111" s="31">
        <f ca="1">$I$45*$N$45</f>
        <v>24.298143227367124</v>
      </c>
      <c r="O111" s="31">
        <f>$I$45*$O$45</f>
        <v>7.4572636067573098E-2</v>
      </c>
      <c r="P111" s="31">
        <f>$I$45*$P$45</f>
        <v>0</v>
      </c>
      <c r="Q111" s="31">
        <f>$I$45*$Q$45</f>
        <v>187.94407026556618</v>
      </c>
      <c r="R111" s="31">
        <f>$I$45*$R$45</f>
        <v>71.879520291742608</v>
      </c>
      <c r="S111" s="31">
        <f>$I$45*$S$45</f>
        <v>0</v>
      </c>
      <c r="T111" s="31">
        <f>$I$45*$T$45</f>
        <v>276.25795272821523</v>
      </c>
      <c r="U111" s="31">
        <f>$I$45*$U$45</f>
        <v>85.249793821985534</v>
      </c>
      <c r="V111" s="31">
        <f>$I$45*$V$45</f>
        <v>13.077119915711467</v>
      </c>
      <c r="W111" s="31">
        <f>$I$45*$W$45</f>
        <v>0.76087558083203144</v>
      </c>
      <c r="X111" s="31">
        <f>$I$45*$X$45</f>
        <v>15.983555898667028</v>
      </c>
      <c r="Y111" s="31">
        <f>$I$45*$Y$45</f>
        <v>0</v>
      </c>
      <c r="Z111" s="31">
        <f>$I$45*$Z$45</f>
        <v>0</v>
      </c>
      <c r="AA111" s="31">
        <f>$I$45*$AA$45</f>
        <v>1818.7607653032007</v>
      </c>
      <c r="AB111" s="31">
        <f ca="1">$I$45*$AB$45</f>
        <v>-239.53688769738528</v>
      </c>
      <c r="AC111" s="31">
        <f ca="1">$I$45*$AC$45</f>
        <v>0</v>
      </c>
      <c r="AD111" s="31">
        <f>$I$45*$AD$45</f>
        <v>120.02146241843359</v>
      </c>
      <c r="AE111" s="31">
        <f>$I$45*$AE$45</f>
        <v>3.6380434488939328</v>
      </c>
      <c r="AF111" s="31">
        <f ca="1">$I$45*$AF$45</f>
        <v>40.645436250340431</v>
      </c>
      <c r="AG111" s="31">
        <f ca="1">$I$45*$AG$45</f>
        <v>0</v>
      </c>
      <c r="AI111" s="31">
        <f>$I$45*$AI$45</f>
        <v>15.014823391752024</v>
      </c>
      <c r="AJ111" s="31">
        <f>$I$45*$AJ$45</f>
        <v>2.7189917051283525</v>
      </c>
      <c r="AK111" s="31">
        <f>$I$45*$AK$45</f>
        <v>23.874438763190248</v>
      </c>
      <c r="AL111" s="31">
        <f>$I$45*$AL$45</f>
        <v>6.9375646877015099E-2</v>
      </c>
      <c r="AM111" s="31">
        <f>$I$45*$AM$45</f>
        <v>0</v>
      </c>
      <c r="AN111" s="31">
        <f>$I$45*$AN$45</f>
        <v>103.92762212745242</v>
      </c>
      <c r="AO111" s="31">
        <f>$I$45*$AO$45</f>
        <v>37.598744902618662</v>
      </c>
      <c r="AP111" s="31">
        <f>$I$45*$AP$45</f>
        <v>0</v>
      </c>
      <c r="AQ111" s="31">
        <f>$I$45*$AQ$45</f>
        <v>214.96401331950773</v>
      </c>
      <c r="AR111" s="31">
        <f>$I$45*$AR$45</f>
        <v>91.846971150116687</v>
      </c>
      <c r="AS111" s="31">
        <f>$I$45*$AS$45</f>
        <v>20.268628086536928</v>
      </c>
      <c r="AT111" s="31">
        <f>$I$45*$AT$45</f>
        <v>0</v>
      </c>
      <c r="AU111" s="31">
        <f>$I$45*$AU$45</f>
        <v>17.277713624636004</v>
      </c>
      <c r="AV111" s="31">
        <f>$I$45*$AV$45</f>
        <v>0</v>
      </c>
      <c r="AW111" s="31">
        <f>$I$45*$AW$45</f>
        <v>0</v>
      </c>
      <c r="AX111" s="31">
        <f>$I$45*$AX$45</f>
        <v>1551.0569664267332</v>
      </c>
      <c r="AY111" s="31">
        <f>$I$45*$AY$45</f>
        <v>-22.68228927835947</v>
      </c>
      <c r="AZ111" s="31">
        <f>$I$45*$AZ$45</f>
        <v>0</v>
      </c>
      <c r="BA111" s="31">
        <f>$I$45*$BA$45</f>
        <v>123.2703279865996</v>
      </c>
      <c r="BB111" s="31">
        <f>$I$45*$BB$45</f>
        <v>3.0921821991975307</v>
      </c>
      <c r="BC111" s="31">
        <f>$I$45*$BC$45</f>
        <v>42.404502656879984</v>
      </c>
      <c r="BD111" s="31">
        <f>$I$45*$BD$45</f>
        <v>0</v>
      </c>
    </row>
    <row r="112" spans="1:56" ht="11.25" customHeight="1" x14ac:dyDescent="0.25">
      <c r="A112" s="9" t="s">
        <v>44</v>
      </c>
      <c r="B112" s="9" t="s">
        <v>1263</v>
      </c>
      <c r="C112" s="9" t="s">
        <v>1264</v>
      </c>
      <c r="D112" s="9" t="s">
        <v>1265</v>
      </c>
      <c r="E112" s="9" t="s">
        <v>1266</v>
      </c>
      <c r="F112" s="9" t="s">
        <v>1267</v>
      </c>
      <c r="G112" s="9" t="s">
        <v>1270</v>
      </c>
      <c r="L112" s="31">
        <f>$I$46*$L$46</f>
        <v>423.90535844837939</v>
      </c>
      <c r="M112" s="31">
        <f>$I$46*$M$46</f>
        <v>81.904256102071557</v>
      </c>
      <c r="N112" s="31">
        <f ca="1">$I$46*$N$46</f>
        <v>261.90585148716713</v>
      </c>
      <c r="O112" s="31">
        <f>$I$46*$O$46</f>
        <v>1.8631716095872521</v>
      </c>
      <c r="P112" s="31">
        <f>$I$46*$P$46</f>
        <v>0</v>
      </c>
      <c r="Q112" s="31">
        <f>$I$46*$Q$46</f>
        <v>4695.7178178839004</v>
      </c>
      <c r="R112" s="31">
        <f>$I$46*$R$46</f>
        <v>1795.8850401502789</v>
      </c>
      <c r="S112" s="31">
        <f>$I$46*$S$46</f>
        <v>0</v>
      </c>
      <c r="T112" s="31">
        <f>$I$46*$T$46</f>
        <v>2300.7322625982265</v>
      </c>
      <c r="U112" s="31">
        <f>$I$46*$U$46</f>
        <v>709.97890534701298</v>
      </c>
      <c r="V112" s="31">
        <f>$I$46*$V$46</f>
        <v>108.91114682260628</v>
      </c>
      <c r="W112" s="31">
        <f>$I$46*$W$46</f>
        <v>6.3367380466916954</v>
      </c>
      <c r="X112" s="31">
        <f>$I$46*$X$46</f>
        <v>133.11454505314964</v>
      </c>
      <c r="Y112" s="31">
        <f>$I$46*$Y$46</f>
        <v>0</v>
      </c>
      <c r="Z112" s="31">
        <f>$I$46*$Z$46</f>
        <v>0</v>
      </c>
      <c r="AA112" s="31">
        <f>$I$46*$AA$46</f>
        <v>15147.033224148741</v>
      </c>
      <c r="AB112" s="31">
        <f ca="1">$I$46*$AB$46</f>
        <v>-2616.228693292825</v>
      </c>
      <c r="AC112" s="31">
        <f ca="1">$I$46*$AC$46</f>
        <v>0</v>
      </c>
      <c r="AD112" s="31">
        <f>$I$46*$AD$46</f>
        <v>2998.6948713538532</v>
      </c>
      <c r="AE112" s="31">
        <f>$I$46*$AE$46</f>
        <v>90.895261665176918</v>
      </c>
      <c r="AF112" s="31">
        <f ca="1">$I$46*$AF$46</f>
        <v>1015.5122156644901</v>
      </c>
      <c r="AG112" s="31">
        <f ca="1">$I$46*$AG$46</f>
        <v>0</v>
      </c>
      <c r="AI112" s="31">
        <f>$I$46*$AI$46</f>
        <v>375.14018736215195</v>
      </c>
      <c r="AJ112" s="31">
        <f>$I$46*$AJ$46</f>
        <v>67.933070611959224</v>
      </c>
      <c r="AK112" s="31">
        <f>$I$46*$AK$46</f>
        <v>256.53605037882858</v>
      </c>
      <c r="AL112" s="31">
        <f>$I$46*$AL$46</f>
        <v>1.7333266258802866</v>
      </c>
      <c r="AM112" s="31">
        <f>$I$46*$AM$46</f>
        <v>0</v>
      </c>
      <c r="AN112" s="31">
        <f>$I$46*$AN$46</f>
        <v>2596.5958186635808</v>
      </c>
      <c r="AO112" s="31">
        <f>$I$46*$AO$46</f>
        <v>939.39168242885899</v>
      </c>
      <c r="AP112" s="31">
        <f>$I$46*$AP$46</f>
        <v>0</v>
      </c>
      <c r="AQ112" s="31">
        <f>$I$46*$AQ$46</f>
        <v>1790.2639032019194</v>
      </c>
      <c r="AR112" s="31">
        <f>$I$46*$AR$46</f>
        <v>764.92163925657962</v>
      </c>
      <c r="AS112" s="31">
        <f>$I$46*$AS$46</f>
        <v>168.80471722014633</v>
      </c>
      <c r="AT112" s="31">
        <f>$I$46*$AT$46</f>
        <v>0</v>
      </c>
      <c r="AU112" s="31">
        <f>$I$46*$AU$46</f>
        <v>143.89257329739942</v>
      </c>
      <c r="AV112" s="31">
        <f>$I$46*$AV$46</f>
        <v>0</v>
      </c>
      <c r="AW112" s="31">
        <f>$I$46*$AW$46</f>
        <v>0</v>
      </c>
      <c r="AX112" s="31">
        <f>$I$46*$AX$46</f>
        <v>12917.538057346694</v>
      </c>
      <c r="AY112" s="31">
        <f>$I$46*$AY$46</f>
        <v>-239.71721210847628</v>
      </c>
      <c r="AZ112" s="31">
        <f>$I$46*$AZ$46</f>
        <v>0</v>
      </c>
      <c r="BA112" s="31">
        <f>$I$46*$BA$46</f>
        <v>3079.8666578049506</v>
      </c>
      <c r="BB112" s="31">
        <f>$I$46*$BB$46</f>
        <v>77.25710648065882</v>
      </c>
      <c r="BC112" s="31">
        <f>$I$46*$BC$46</f>
        <v>1059.4618835436484</v>
      </c>
      <c r="BD112" s="31">
        <f>$I$46*$BD$46</f>
        <v>0</v>
      </c>
    </row>
    <row r="113" spans="1:56" ht="11.25" customHeight="1" x14ac:dyDescent="0.25">
      <c r="A113" s="9" t="s">
        <v>44</v>
      </c>
      <c r="B113" s="9" t="s">
        <v>1271</v>
      </c>
      <c r="C113" s="9" t="s">
        <v>1272</v>
      </c>
      <c r="D113" s="9" t="s">
        <v>1273</v>
      </c>
      <c r="E113" s="9" t="s">
        <v>1274</v>
      </c>
      <c r="F113" s="9" t="s">
        <v>1275</v>
      </c>
      <c r="G113" s="9" t="s">
        <v>1276</v>
      </c>
      <c r="L113" s="31">
        <f>$I$47*$L$47</f>
        <v>1008274.8102954522</v>
      </c>
      <c r="M113" s="31">
        <f>$I$47*$M$47</f>
        <v>194812.34817597302</v>
      </c>
      <c r="N113" s="31">
        <f ca="1">$I$47*$N$47</f>
        <v>825142.42168758565</v>
      </c>
      <c r="O113" s="31">
        <f>$I$47*$O$47</f>
        <v>4431.6236248597033</v>
      </c>
      <c r="P113" s="31">
        <f>$I$47*$P$47</f>
        <v>0</v>
      </c>
      <c r="Q113" s="31">
        <f>$I$47*$Q$47</f>
        <v>11168941.12723138</v>
      </c>
      <c r="R113" s="31">
        <f>$I$47*$R$47</f>
        <v>4271579.9932273431</v>
      </c>
      <c r="S113" s="31">
        <f>$I$47*$S$47</f>
        <v>0</v>
      </c>
      <c r="T113" s="31">
        <f>$I$47*$T$47</f>
        <v>8167755.5698156636</v>
      </c>
      <c r="U113" s="31">
        <f>$I$47*$U$47</f>
        <v>2520453.5316545959</v>
      </c>
      <c r="V113" s="31">
        <f>$I$47*$V$47</f>
        <v>386634.82092797162</v>
      </c>
      <c r="W113" s="31">
        <f>$I$47*$W$47</f>
        <v>22489.388339687725</v>
      </c>
      <c r="X113" s="31">
        <f>$I$47*$X$47</f>
        <v>472565.78844315617</v>
      </c>
      <c r="Y113" s="31">
        <f>$I$47*$Y$47</f>
        <v>0</v>
      </c>
      <c r="Z113" s="31">
        <f>$I$47*$Z$47</f>
        <v>0</v>
      </c>
      <c r="AA113" s="31">
        <f>$I$47*$AA$47</f>
        <v>53772840.157932267</v>
      </c>
      <c r="AB113" s="31">
        <f ca="1">$I$47*$AB$47</f>
        <v>-8195940.296511543</v>
      </c>
      <c r="AC113" s="31">
        <f ca="1">$I$47*$AC$47</f>
        <v>0</v>
      </c>
      <c r="AD113" s="31">
        <f>$I$47*$AD$47</f>
        <v>7132508.3353869338</v>
      </c>
      <c r="AE113" s="31">
        <f>$I$47*$AE$47</f>
        <v>216197.79246874517</v>
      </c>
      <c r="AF113" s="31">
        <f ca="1">$I$47*$AF$47</f>
        <v>2415433.931643764</v>
      </c>
      <c r="AG113" s="31">
        <f ca="1">$I$47*$AG$47</f>
        <v>0</v>
      </c>
      <c r="AI113" s="31">
        <f>$I$47*$AI$47</f>
        <v>892285.02001310396</v>
      </c>
      <c r="AJ113" s="31">
        <f>$I$47*$AJ$47</f>
        <v>161581.35894949222</v>
      </c>
      <c r="AK113" s="31">
        <f>$I$47*$AK$47</f>
        <v>809314.71206909313</v>
      </c>
      <c r="AL113" s="31">
        <f>$I$47*$AL$47</f>
        <v>4122.7824561748794</v>
      </c>
      <c r="AM113" s="31">
        <f>$I$47*$AM$47</f>
        <v>0</v>
      </c>
      <c r="AN113" s="31">
        <f>$I$47*$AN$47</f>
        <v>6176100.642039421</v>
      </c>
      <c r="AO113" s="31">
        <f>$I$47*$AO$47</f>
        <v>2234378.3854513923</v>
      </c>
      <c r="AP113" s="31">
        <f>$I$47*$AP$47</f>
        <v>0</v>
      </c>
      <c r="AQ113" s="31">
        <f>$I$47*$AQ$47</f>
        <v>6355558.2735664565</v>
      </c>
      <c r="AR113" s="31">
        <f>$I$47*$AR$47</f>
        <v>2715502.4361758311</v>
      </c>
      <c r="AS113" s="31">
        <f>$I$47*$AS$47</f>
        <v>599257.13316115143</v>
      </c>
      <c r="AT113" s="31">
        <f>$I$47*$AT$47</f>
        <v>0</v>
      </c>
      <c r="AU113" s="31">
        <f>$I$47*$AU$47</f>
        <v>510828.52985186398</v>
      </c>
      <c r="AV113" s="31">
        <f>$I$47*$AV$47</f>
        <v>0</v>
      </c>
      <c r="AW113" s="31">
        <f>$I$47*$AW$47</f>
        <v>0</v>
      </c>
      <c r="AX113" s="31">
        <f>$I$47*$AX$47</f>
        <v>45858003.934677817</v>
      </c>
      <c r="AY113" s="31">
        <f>$I$47*$AY$47</f>
        <v>-761715.13113470376</v>
      </c>
      <c r="AZ113" s="31">
        <f>$I$47*$AZ$47</f>
        <v>0</v>
      </c>
      <c r="BA113" s="31">
        <f>$I$47*$BA$47</f>
        <v>7325578.4769980116</v>
      </c>
      <c r="BB113" s="31">
        <f>$I$47*$BB$47</f>
        <v>183758.92832750679</v>
      </c>
      <c r="BC113" s="31">
        <f>$I$47*$BC$47</f>
        <v>2519969.8667534464</v>
      </c>
      <c r="BD113" s="31">
        <f>$I$47*$BD$47</f>
        <v>0</v>
      </c>
    </row>
    <row r="114" spans="1:56" ht="11.25" customHeight="1" x14ac:dyDescent="0.25">
      <c r="A114" s="9" t="s">
        <v>44</v>
      </c>
      <c r="B114" s="9" t="s">
        <v>1263</v>
      </c>
      <c r="C114" s="9" t="s">
        <v>1264</v>
      </c>
      <c r="D114" s="9" t="s">
        <v>1277</v>
      </c>
      <c r="E114" s="9" t="s">
        <v>1278</v>
      </c>
      <c r="F114" s="9" t="s">
        <v>1279</v>
      </c>
      <c r="G114" s="9" t="s">
        <v>1280</v>
      </c>
      <c r="L114" s="31">
        <f>$I$48*$L$48</f>
        <v>0</v>
      </c>
      <c r="M114" s="31">
        <f>$I$48*$M$48</f>
        <v>0</v>
      </c>
      <c r="N114" s="31">
        <f ca="1">$I$48*$N$48</f>
        <v>0</v>
      </c>
      <c r="O114" s="31">
        <f>$I$48*$O$48</f>
        <v>0</v>
      </c>
      <c r="P114" s="31">
        <f>$I$48*$P$48</f>
        <v>0</v>
      </c>
      <c r="Q114" s="31">
        <f>$I$48*$Q$48</f>
        <v>0</v>
      </c>
      <c r="R114" s="31">
        <f>$I$48*$R$48</f>
        <v>0</v>
      </c>
      <c r="S114" s="31">
        <f>$I$48*$S$48</f>
        <v>0</v>
      </c>
      <c r="T114" s="31">
        <f>$I$48*$T$48</f>
        <v>0</v>
      </c>
      <c r="U114" s="31">
        <f>$I$48*$U$48</f>
        <v>0</v>
      </c>
      <c r="V114" s="31">
        <f>$I$48*$V$48</f>
        <v>0</v>
      </c>
      <c r="W114" s="31">
        <f>$I$48*$W$48</f>
        <v>0</v>
      </c>
      <c r="X114" s="31">
        <f>$I$48*$X$48</f>
        <v>0</v>
      </c>
      <c r="Y114" s="31">
        <f>$I$48*$Y$48</f>
        <v>0</v>
      </c>
      <c r="Z114" s="31">
        <f>$I$48*$Z$48</f>
        <v>0</v>
      </c>
      <c r="AA114" s="31">
        <f>$I$48*$AA$48</f>
        <v>0</v>
      </c>
      <c r="AB114" s="31">
        <f ca="1">$I$48*$AB$48</f>
        <v>0</v>
      </c>
      <c r="AC114" s="31">
        <f ca="1">$I$48*$AC$48</f>
        <v>0</v>
      </c>
      <c r="AD114" s="31">
        <f>$I$48*$AD$48</f>
        <v>0</v>
      </c>
      <c r="AE114" s="31">
        <f>$I$48*$AE$48</f>
        <v>0</v>
      </c>
      <c r="AF114" s="31">
        <f ca="1">$I$48*$AF$48</f>
        <v>0</v>
      </c>
      <c r="AG114" s="31">
        <f ca="1">$I$48*$AG$48</f>
        <v>0</v>
      </c>
      <c r="AI114" s="31">
        <f>$I$48*$AI$48</f>
        <v>0</v>
      </c>
      <c r="AJ114" s="31">
        <f>$I$48*$AJ$48</f>
        <v>0</v>
      </c>
      <c r="AK114" s="31">
        <f>$I$48*$AK$48</f>
        <v>0</v>
      </c>
      <c r="AL114" s="31">
        <f>$I$48*$AL$48</f>
        <v>0</v>
      </c>
      <c r="AM114" s="31">
        <f>$I$48*$AM$48</f>
        <v>0</v>
      </c>
      <c r="AN114" s="31">
        <f>$I$48*$AN$48</f>
        <v>0</v>
      </c>
      <c r="AO114" s="31">
        <f>$I$48*$AO$48</f>
        <v>0</v>
      </c>
      <c r="AP114" s="31">
        <f>$I$48*$AP$48</f>
        <v>0</v>
      </c>
      <c r="AQ114" s="31">
        <f>$I$48*$AQ$48</f>
        <v>0</v>
      </c>
      <c r="AR114" s="31">
        <f>$I$48*$AR$48</f>
        <v>0</v>
      </c>
      <c r="AS114" s="31">
        <f>$I$48*$AS$48</f>
        <v>0</v>
      </c>
      <c r="AT114" s="31">
        <f>$I$48*$AT$48</f>
        <v>0</v>
      </c>
      <c r="AU114" s="31">
        <f>$I$48*$AU$48</f>
        <v>0</v>
      </c>
      <c r="AV114" s="31">
        <f>$I$48*$AV$48</f>
        <v>0</v>
      </c>
      <c r="AW114" s="31">
        <f>$I$48*$AW$48</f>
        <v>0</v>
      </c>
      <c r="AX114" s="31">
        <f>$I$48*$AX$48</f>
        <v>0</v>
      </c>
      <c r="AY114" s="31">
        <f>$I$48*$AY$48</f>
        <v>0</v>
      </c>
      <c r="AZ114" s="31">
        <f>$I$48*$AZ$48</f>
        <v>0</v>
      </c>
      <c r="BA114" s="31">
        <f>$I$48*$BA$48</f>
        <v>0</v>
      </c>
      <c r="BB114" s="31">
        <f>$I$48*$BB$48</f>
        <v>0</v>
      </c>
      <c r="BC114" s="31">
        <f>$I$48*$BC$48</f>
        <v>0</v>
      </c>
      <c r="BD114" s="31">
        <f>$I$48*$BD$48</f>
        <v>0</v>
      </c>
    </row>
    <row r="115" spans="1:56" ht="11.25" customHeight="1" x14ac:dyDescent="0.25">
      <c r="A115" s="9" t="s">
        <v>44</v>
      </c>
      <c r="B115" s="9" t="s">
        <v>1263</v>
      </c>
      <c r="C115" s="9" t="s">
        <v>1264</v>
      </c>
      <c r="D115" s="9" t="s">
        <v>1277</v>
      </c>
      <c r="E115" s="9" t="s">
        <v>1278</v>
      </c>
      <c r="F115" s="9" t="s">
        <v>1279</v>
      </c>
      <c r="G115" s="9" t="s">
        <v>1281</v>
      </c>
      <c r="L115" s="31">
        <f>$I$49*$L$49</f>
        <v>0</v>
      </c>
      <c r="M115" s="31">
        <f>$I$49*$M$49</f>
        <v>0</v>
      </c>
      <c r="N115" s="31">
        <f ca="1">$I$49*$N$49</f>
        <v>0</v>
      </c>
      <c r="O115" s="31">
        <f>$I$49*$O$49</f>
        <v>0</v>
      </c>
      <c r="P115" s="31">
        <f>$I$49*$P$49</f>
        <v>0</v>
      </c>
      <c r="Q115" s="31">
        <f>$I$49*$Q$49</f>
        <v>0</v>
      </c>
      <c r="R115" s="31">
        <f>$I$49*$R$49</f>
        <v>0</v>
      </c>
      <c r="S115" s="31">
        <f>$I$49*$S$49</f>
        <v>0</v>
      </c>
      <c r="T115" s="31">
        <f>$I$49*$T$49</f>
        <v>0</v>
      </c>
      <c r="U115" s="31">
        <f>$I$49*$U$49</f>
        <v>0</v>
      </c>
      <c r="V115" s="31">
        <f>$I$49*$V$49</f>
        <v>0</v>
      </c>
      <c r="W115" s="31">
        <f>$I$49*$W$49</f>
        <v>0</v>
      </c>
      <c r="X115" s="31">
        <f>$I$49*$X$49</f>
        <v>0</v>
      </c>
      <c r="Y115" s="31">
        <f>$I$49*$Y$49</f>
        <v>0</v>
      </c>
      <c r="Z115" s="31">
        <f>$I$49*$Z$49</f>
        <v>0</v>
      </c>
      <c r="AA115" s="31">
        <f>$I$49*$AA$49</f>
        <v>0</v>
      </c>
      <c r="AB115" s="31">
        <f ca="1">$I$49*$AB$49</f>
        <v>0</v>
      </c>
      <c r="AC115" s="31">
        <f ca="1">$I$49*$AC$49</f>
        <v>0</v>
      </c>
      <c r="AD115" s="31">
        <f>$I$49*$AD$49</f>
        <v>0</v>
      </c>
      <c r="AE115" s="31">
        <f>$I$49*$AE$49</f>
        <v>0</v>
      </c>
      <c r="AF115" s="31">
        <f ca="1">$I$49*$AF$49</f>
        <v>0</v>
      </c>
      <c r="AG115" s="31">
        <f ca="1">$I$49*$AG$49</f>
        <v>0</v>
      </c>
      <c r="AI115" s="31">
        <f>$I$49*$AI$49</f>
        <v>0</v>
      </c>
      <c r="AJ115" s="31">
        <f>$I$49*$AJ$49</f>
        <v>0</v>
      </c>
      <c r="AK115" s="31">
        <f>$I$49*$AK$49</f>
        <v>0</v>
      </c>
      <c r="AL115" s="31">
        <f>$I$49*$AL$49</f>
        <v>0</v>
      </c>
      <c r="AM115" s="31">
        <f>$I$49*$AM$49</f>
        <v>0</v>
      </c>
      <c r="AN115" s="31">
        <f>$I$49*$AN$49</f>
        <v>0</v>
      </c>
      <c r="AO115" s="31">
        <f>$I$49*$AO$49</f>
        <v>0</v>
      </c>
      <c r="AP115" s="31">
        <f>$I$49*$AP$49</f>
        <v>0</v>
      </c>
      <c r="AQ115" s="31">
        <f>$I$49*$AQ$49</f>
        <v>0</v>
      </c>
      <c r="AR115" s="31">
        <f>$I$49*$AR$49</f>
        <v>0</v>
      </c>
      <c r="AS115" s="31">
        <f>$I$49*$AS$49</f>
        <v>0</v>
      </c>
      <c r="AT115" s="31">
        <f>$I$49*$AT$49</f>
        <v>0</v>
      </c>
      <c r="AU115" s="31">
        <f>$I$49*$AU$49</f>
        <v>0</v>
      </c>
      <c r="AV115" s="31">
        <f>$I$49*$AV$49</f>
        <v>0</v>
      </c>
      <c r="AW115" s="31">
        <f>$I$49*$AW$49</f>
        <v>0</v>
      </c>
      <c r="AX115" s="31">
        <f>$I$49*$AX$49</f>
        <v>0</v>
      </c>
      <c r="AY115" s="31">
        <f>$I$49*$AY$49</f>
        <v>0</v>
      </c>
      <c r="AZ115" s="31">
        <f>$I$49*$AZ$49</f>
        <v>0</v>
      </c>
      <c r="BA115" s="31">
        <f>$I$49*$BA$49</f>
        <v>0</v>
      </c>
      <c r="BB115" s="31">
        <f>$I$49*$BB$49</f>
        <v>0</v>
      </c>
      <c r="BC115" s="31">
        <f>$I$49*$BC$49</f>
        <v>0</v>
      </c>
      <c r="BD115" s="31">
        <f>$I$49*$BD$49</f>
        <v>0</v>
      </c>
    </row>
    <row r="116" spans="1:56" ht="11.25" customHeight="1" x14ac:dyDescent="0.25">
      <c r="A116" s="9" t="s">
        <v>44</v>
      </c>
      <c r="B116" s="9" t="s">
        <v>1263</v>
      </c>
      <c r="C116" s="9" t="s">
        <v>1264</v>
      </c>
      <c r="D116" s="9" t="s">
        <v>1277</v>
      </c>
      <c r="E116" s="9" t="s">
        <v>1278</v>
      </c>
      <c r="F116" s="9" t="s">
        <v>1279</v>
      </c>
      <c r="G116" s="9" t="s">
        <v>1282</v>
      </c>
      <c r="L116" s="31">
        <f>$I$50*$L$50</f>
        <v>0</v>
      </c>
      <c r="M116" s="31">
        <f>$I$50*$M$50</f>
        <v>0</v>
      </c>
      <c r="N116" s="31">
        <f ca="1">$I$50*$N$50</f>
        <v>0</v>
      </c>
      <c r="O116" s="31">
        <f>$I$50*$O$50</f>
        <v>0</v>
      </c>
      <c r="P116" s="31">
        <f>$I$50*$P$50</f>
        <v>0</v>
      </c>
      <c r="Q116" s="31">
        <f>$I$50*$Q$50</f>
        <v>0</v>
      </c>
      <c r="R116" s="31">
        <f>$I$50*$R$50</f>
        <v>0</v>
      </c>
      <c r="S116" s="31">
        <f>$I$50*$S$50</f>
        <v>0</v>
      </c>
      <c r="T116" s="31">
        <f>$I$50*$T$50</f>
        <v>0</v>
      </c>
      <c r="U116" s="31">
        <f>$I$50*$U$50</f>
        <v>0</v>
      </c>
      <c r="V116" s="31">
        <f>$I$50*$V$50</f>
        <v>0</v>
      </c>
      <c r="W116" s="31">
        <f>$I$50*$W$50</f>
        <v>0</v>
      </c>
      <c r="X116" s="31">
        <f>$I$50*$X$50</f>
        <v>0</v>
      </c>
      <c r="Y116" s="31">
        <f>$I$50*$Y$50</f>
        <v>0</v>
      </c>
      <c r="Z116" s="31">
        <f>$I$50*$Z$50</f>
        <v>0</v>
      </c>
      <c r="AA116" s="31">
        <f>$I$50*$AA$50</f>
        <v>0</v>
      </c>
      <c r="AB116" s="31">
        <f ca="1">$I$50*$AB$50</f>
        <v>0</v>
      </c>
      <c r="AC116" s="31">
        <f ca="1">$I$50*$AC$50</f>
        <v>0</v>
      </c>
      <c r="AD116" s="31">
        <f>$I$50*$AD$50</f>
        <v>0</v>
      </c>
      <c r="AE116" s="31">
        <f>$I$50*$AE$50</f>
        <v>0</v>
      </c>
      <c r="AF116" s="31">
        <f ca="1">$I$50*$AF$50</f>
        <v>0</v>
      </c>
      <c r="AG116" s="31">
        <f ca="1">$I$50*$AG$50</f>
        <v>0</v>
      </c>
      <c r="AI116" s="31">
        <f>$I$50*$AI$50</f>
        <v>0</v>
      </c>
      <c r="AJ116" s="31">
        <f>$I$50*$AJ$50</f>
        <v>0</v>
      </c>
      <c r="AK116" s="31">
        <f>$I$50*$AK$50</f>
        <v>0</v>
      </c>
      <c r="AL116" s="31">
        <f>$I$50*$AL$50</f>
        <v>0</v>
      </c>
      <c r="AM116" s="31">
        <f>$I$50*$AM$50</f>
        <v>0</v>
      </c>
      <c r="AN116" s="31">
        <f>$I$50*$AN$50</f>
        <v>0</v>
      </c>
      <c r="AO116" s="31">
        <f>$I$50*$AO$50</f>
        <v>0</v>
      </c>
      <c r="AP116" s="31">
        <f>$I$50*$AP$50</f>
        <v>0</v>
      </c>
      <c r="AQ116" s="31">
        <f>$I$50*$AQ$50</f>
        <v>0</v>
      </c>
      <c r="AR116" s="31">
        <f>$I$50*$AR$50</f>
        <v>0</v>
      </c>
      <c r="AS116" s="31">
        <f>$I$50*$AS$50</f>
        <v>0</v>
      </c>
      <c r="AT116" s="31">
        <f>$I$50*$AT$50</f>
        <v>0</v>
      </c>
      <c r="AU116" s="31">
        <f>$I$50*$AU$50</f>
        <v>0</v>
      </c>
      <c r="AV116" s="31">
        <f>$I$50*$AV$50</f>
        <v>0</v>
      </c>
      <c r="AW116" s="31">
        <f>$I$50*$AW$50</f>
        <v>0</v>
      </c>
      <c r="AX116" s="31">
        <f>$I$50*$AX$50</f>
        <v>0</v>
      </c>
      <c r="AY116" s="31">
        <f>$I$50*$AY$50</f>
        <v>0</v>
      </c>
      <c r="AZ116" s="31">
        <f>$I$50*$AZ$50</f>
        <v>0</v>
      </c>
      <c r="BA116" s="31">
        <f>$I$50*$BA$50</f>
        <v>0</v>
      </c>
      <c r="BB116" s="31">
        <f>$I$50*$BB$50</f>
        <v>0</v>
      </c>
      <c r="BC116" s="31">
        <f>$I$50*$BC$50</f>
        <v>0</v>
      </c>
      <c r="BD116" s="31">
        <f>$I$50*$BD$50</f>
        <v>0</v>
      </c>
    </row>
    <row r="117" spans="1:56" ht="11.25" customHeight="1" x14ac:dyDescent="0.25">
      <c r="A117" s="9" t="s">
        <v>44</v>
      </c>
      <c r="B117" s="9" t="s">
        <v>1271</v>
      </c>
      <c r="C117" s="9" t="s">
        <v>1272</v>
      </c>
      <c r="D117" s="9" t="s">
        <v>1283</v>
      </c>
      <c r="E117" s="9" t="s">
        <v>1284</v>
      </c>
      <c r="F117" s="9" t="s">
        <v>1285</v>
      </c>
      <c r="G117" s="9" t="s">
        <v>1286</v>
      </c>
      <c r="L117" s="31">
        <f>$I$51*$L$51</f>
        <v>0</v>
      </c>
      <c r="M117" s="31">
        <f>$I$51*$M$51</f>
        <v>0</v>
      </c>
      <c r="N117" s="31">
        <f ca="1">$I$51*$N$51</f>
        <v>0</v>
      </c>
      <c r="O117" s="31">
        <f>$I$51*$O$51</f>
        <v>0</v>
      </c>
      <c r="P117" s="31">
        <f>$I$51*$P$51</f>
        <v>0</v>
      </c>
      <c r="Q117" s="31">
        <f>$I$51*$Q$51</f>
        <v>0</v>
      </c>
      <c r="R117" s="31">
        <f>$I$51*$R$51</f>
        <v>0</v>
      </c>
      <c r="S117" s="31">
        <f>$I$51*$S$51</f>
        <v>0</v>
      </c>
      <c r="T117" s="31">
        <f>$I$51*$T$51</f>
        <v>0</v>
      </c>
      <c r="U117" s="31">
        <f>$I$51*$U$51</f>
        <v>0</v>
      </c>
      <c r="V117" s="31">
        <f>$I$51*$V$51</f>
        <v>0</v>
      </c>
      <c r="W117" s="31">
        <f>$I$51*$W$51</f>
        <v>0</v>
      </c>
      <c r="X117" s="31">
        <f>$I$51*$X$51</f>
        <v>0</v>
      </c>
      <c r="Y117" s="31">
        <f>$I$51*$Y$51</f>
        <v>0</v>
      </c>
      <c r="Z117" s="31">
        <f>$I$51*$Z$51</f>
        <v>0</v>
      </c>
      <c r="AA117" s="31">
        <f>$I$51*$AA$51</f>
        <v>0</v>
      </c>
      <c r="AB117" s="31">
        <f ca="1">$I$51*$AB$51</f>
        <v>0</v>
      </c>
      <c r="AC117" s="31">
        <f ca="1">$I$51*$AC$51</f>
        <v>0</v>
      </c>
      <c r="AD117" s="31">
        <f>$I$51*$AD$51</f>
        <v>0</v>
      </c>
      <c r="AE117" s="31">
        <f>$I$51*$AE$51</f>
        <v>0</v>
      </c>
      <c r="AF117" s="31">
        <f ca="1">$I$51*$AF$51</f>
        <v>0</v>
      </c>
      <c r="AG117" s="31">
        <f ca="1">$I$51*$AG$51</f>
        <v>0</v>
      </c>
      <c r="AI117" s="31">
        <f>$I$51*$AI$51</f>
        <v>0</v>
      </c>
      <c r="AJ117" s="31">
        <f>$I$51*$AJ$51</f>
        <v>0</v>
      </c>
      <c r="AK117" s="31">
        <f>$I$51*$AK$51</f>
        <v>0</v>
      </c>
      <c r="AL117" s="31">
        <f>$I$51*$AL$51</f>
        <v>0</v>
      </c>
      <c r="AM117" s="31">
        <f>$I$51*$AM$51</f>
        <v>0</v>
      </c>
      <c r="AN117" s="31">
        <f>$I$51*$AN$51</f>
        <v>0</v>
      </c>
      <c r="AO117" s="31">
        <f>$I$51*$AO$51</f>
        <v>0</v>
      </c>
      <c r="AP117" s="31">
        <f>$I$51*$AP$51</f>
        <v>0</v>
      </c>
      <c r="AQ117" s="31">
        <f>$I$51*$AQ$51</f>
        <v>0</v>
      </c>
      <c r="AR117" s="31">
        <f>$I$51*$AR$51</f>
        <v>0</v>
      </c>
      <c r="AS117" s="31">
        <f>$I$51*$AS$51</f>
        <v>0</v>
      </c>
      <c r="AT117" s="31">
        <f>$I$51*$AT$51</f>
        <v>0</v>
      </c>
      <c r="AU117" s="31">
        <f>$I$51*$AU$51</f>
        <v>0</v>
      </c>
      <c r="AV117" s="31">
        <f>$I$51*$AV$51</f>
        <v>0</v>
      </c>
      <c r="AW117" s="31">
        <f>$I$51*$AW$51</f>
        <v>0</v>
      </c>
      <c r="AX117" s="31">
        <f>$I$51*$AX$51</f>
        <v>0</v>
      </c>
      <c r="AY117" s="31">
        <f>$I$51*$AY$51</f>
        <v>0</v>
      </c>
      <c r="AZ117" s="31">
        <f>$I$51*$AZ$51</f>
        <v>0</v>
      </c>
      <c r="BA117" s="31">
        <f>$I$51*$BA$51</f>
        <v>0</v>
      </c>
      <c r="BB117" s="31">
        <f>$I$51*$BB$51</f>
        <v>0</v>
      </c>
      <c r="BC117" s="31">
        <f>$I$51*$BC$51</f>
        <v>0</v>
      </c>
      <c r="BD117" s="31">
        <f>$I$51*$BD$51</f>
        <v>0</v>
      </c>
    </row>
    <row r="118" spans="1:56" ht="11.25" customHeight="1" x14ac:dyDescent="0.25">
      <c r="A118" s="9" t="s">
        <v>44</v>
      </c>
      <c r="B118" s="9" t="s">
        <v>1263</v>
      </c>
      <c r="C118" s="9" t="s">
        <v>1264</v>
      </c>
      <c r="D118" s="9" t="s">
        <v>1287</v>
      </c>
      <c r="E118" s="9" t="s">
        <v>1288</v>
      </c>
      <c r="F118" s="9" t="s">
        <v>1289</v>
      </c>
      <c r="G118" s="9" t="s">
        <v>1290</v>
      </c>
      <c r="L118" s="31">
        <f>$I$52*$L$52</f>
        <v>0</v>
      </c>
      <c r="M118" s="31">
        <f>$I$52*$M$52</f>
        <v>0</v>
      </c>
      <c r="N118" s="31">
        <f ca="1">$I$52*$N$52</f>
        <v>0</v>
      </c>
      <c r="O118" s="31">
        <f>$I$52*$O$52</f>
        <v>0</v>
      </c>
      <c r="P118" s="31">
        <f>$I$52*$P$52</f>
        <v>0</v>
      </c>
      <c r="Q118" s="31">
        <f>$I$52*$Q$52</f>
        <v>0</v>
      </c>
      <c r="R118" s="31">
        <f>$I$52*$R$52</f>
        <v>0</v>
      </c>
      <c r="S118" s="31">
        <f>$I$52*$S$52</f>
        <v>0</v>
      </c>
      <c r="T118" s="31">
        <f>$I$52*$T$52</f>
        <v>0</v>
      </c>
      <c r="U118" s="31">
        <f>$I$52*$U$52</f>
        <v>0</v>
      </c>
      <c r="V118" s="31">
        <f>$I$52*$V$52</f>
        <v>0</v>
      </c>
      <c r="W118" s="31">
        <f>$I$52*$W$52</f>
        <v>0</v>
      </c>
      <c r="X118" s="31">
        <f>$I$52*$X$52</f>
        <v>0</v>
      </c>
      <c r="Y118" s="31">
        <f>$I$52*$Y$52</f>
        <v>0</v>
      </c>
      <c r="Z118" s="31">
        <f>$I$52*$Z$52</f>
        <v>0</v>
      </c>
      <c r="AA118" s="31">
        <f>$I$52*$AA$52</f>
        <v>0</v>
      </c>
      <c r="AB118" s="31">
        <f ca="1">$I$52*$AB$52</f>
        <v>0</v>
      </c>
      <c r="AC118" s="31">
        <f ca="1">$I$52*$AC$52</f>
        <v>0</v>
      </c>
      <c r="AD118" s="31">
        <f>$I$52*$AD$52</f>
        <v>0</v>
      </c>
      <c r="AE118" s="31">
        <f>$I$52*$AE$52</f>
        <v>0</v>
      </c>
      <c r="AF118" s="31">
        <f ca="1">$I$52*$AF$52</f>
        <v>0</v>
      </c>
      <c r="AG118" s="31">
        <f ca="1">$I$52*$AG$52</f>
        <v>0</v>
      </c>
      <c r="AI118" s="31">
        <f>$I$52*$AI$52</f>
        <v>0</v>
      </c>
      <c r="AJ118" s="31">
        <f>$I$52*$AJ$52</f>
        <v>0</v>
      </c>
      <c r="AK118" s="31">
        <f>$I$52*$AK$52</f>
        <v>0</v>
      </c>
      <c r="AL118" s="31">
        <f>$I$52*$AL$52</f>
        <v>0</v>
      </c>
      <c r="AM118" s="31">
        <f>$I$52*$AM$52</f>
        <v>0</v>
      </c>
      <c r="AN118" s="31">
        <f>$I$52*$AN$52</f>
        <v>0</v>
      </c>
      <c r="AO118" s="31">
        <f>$I$52*$AO$52</f>
        <v>0</v>
      </c>
      <c r="AP118" s="31">
        <f>$I$52*$AP$52</f>
        <v>0</v>
      </c>
      <c r="AQ118" s="31">
        <f>$I$52*$AQ$52</f>
        <v>0</v>
      </c>
      <c r="AR118" s="31">
        <f>$I$52*$AR$52</f>
        <v>0</v>
      </c>
      <c r="AS118" s="31">
        <f>$I$52*$AS$52</f>
        <v>0</v>
      </c>
      <c r="AT118" s="31">
        <f>$I$52*$AT$52</f>
        <v>0</v>
      </c>
      <c r="AU118" s="31">
        <f>$I$52*$AU$52</f>
        <v>0</v>
      </c>
      <c r="AV118" s="31">
        <f>$I$52*$AV$52</f>
        <v>0</v>
      </c>
      <c r="AW118" s="31">
        <f>$I$52*$AW$52</f>
        <v>0</v>
      </c>
      <c r="AX118" s="31">
        <f>$I$52*$AX$52</f>
        <v>0</v>
      </c>
      <c r="AY118" s="31">
        <f>$I$52*$AY$52</f>
        <v>0</v>
      </c>
      <c r="AZ118" s="31">
        <f>$I$52*$AZ$52</f>
        <v>0</v>
      </c>
      <c r="BA118" s="31">
        <f>$I$52*$BA$52</f>
        <v>0</v>
      </c>
      <c r="BB118" s="31">
        <f>$I$52*$BB$52</f>
        <v>0</v>
      </c>
      <c r="BC118" s="31">
        <f>$I$52*$BC$52</f>
        <v>0</v>
      </c>
      <c r="BD118" s="31">
        <f>$I$52*$BD$52</f>
        <v>0</v>
      </c>
    </row>
    <row r="119" spans="1:56" ht="11.25" customHeight="1" x14ac:dyDescent="0.25">
      <c r="A119" s="9" t="s">
        <v>44</v>
      </c>
      <c r="B119" s="9" t="s">
        <v>1263</v>
      </c>
      <c r="C119" s="9" t="s">
        <v>1264</v>
      </c>
      <c r="D119" s="9" t="s">
        <v>1287</v>
      </c>
      <c r="E119" s="9" t="s">
        <v>1288</v>
      </c>
      <c r="F119" s="9" t="s">
        <v>1289</v>
      </c>
      <c r="G119" s="9" t="s">
        <v>1291</v>
      </c>
      <c r="L119" s="31">
        <f>$I$53*$L$53</f>
        <v>0</v>
      </c>
      <c r="M119" s="31">
        <f>$I$53*$M$53</f>
        <v>0</v>
      </c>
      <c r="N119" s="31">
        <f ca="1">$I$53*$N$53</f>
        <v>0</v>
      </c>
      <c r="O119" s="31">
        <f>$I$53*$O$53</f>
        <v>0</v>
      </c>
      <c r="P119" s="31">
        <f>$I$53*$P$53</f>
        <v>0</v>
      </c>
      <c r="Q119" s="31">
        <f>$I$53*$Q$53</f>
        <v>0</v>
      </c>
      <c r="R119" s="31">
        <f>$I$53*$R$53</f>
        <v>0</v>
      </c>
      <c r="S119" s="31">
        <f>$I$53*$S$53</f>
        <v>0</v>
      </c>
      <c r="T119" s="31">
        <f>$I$53*$T$53</f>
        <v>0</v>
      </c>
      <c r="U119" s="31">
        <f>$I$53*$U$53</f>
        <v>0</v>
      </c>
      <c r="V119" s="31">
        <f>$I$53*$V$53</f>
        <v>0</v>
      </c>
      <c r="W119" s="31">
        <f>$I$53*$W$53</f>
        <v>0</v>
      </c>
      <c r="X119" s="31">
        <f>$I$53*$X$53</f>
        <v>0</v>
      </c>
      <c r="Y119" s="31">
        <f>$I$53*$Y$53</f>
        <v>0</v>
      </c>
      <c r="Z119" s="31">
        <f>$I$53*$Z$53</f>
        <v>0</v>
      </c>
      <c r="AA119" s="31">
        <f>$I$53*$AA$53</f>
        <v>0</v>
      </c>
      <c r="AB119" s="31">
        <f ca="1">$I$53*$AB$53</f>
        <v>0</v>
      </c>
      <c r="AC119" s="31">
        <f ca="1">$I$53*$AC$53</f>
        <v>0</v>
      </c>
      <c r="AD119" s="31">
        <f>$I$53*$AD$53</f>
        <v>0</v>
      </c>
      <c r="AE119" s="31">
        <f>$I$53*$AE$53</f>
        <v>0</v>
      </c>
      <c r="AF119" s="31">
        <f ca="1">$I$53*$AF$53</f>
        <v>0</v>
      </c>
      <c r="AG119" s="31">
        <f ca="1">$I$53*$AG$53</f>
        <v>0</v>
      </c>
      <c r="AI119" s="31">
        <f>$I$53*$AI$53</f>
        <v>0</v>
      </c>
      <c r="AJ119" s="31">
        <f>$I$53*$AJ$53</f>
        <v>0</v>
      </c>
      <c r="AK119" s="31">
        <f>$I$53*$AK$53</f>
        <v>0</v>
      </c>
      <c r="AL119" s="31">
        <f>$I$53*$AL$53</f>
        <v>0</v>
      </c>
      <c r="AM119" s="31">
        <f>$I$53*$AM$53</f>
        <v>0</v>
      </c>
      <c r="AN119" s="31">
        <f>$I$53*$AN$53</f>
        <v>0</v>
      </c>
      <c r="AO119" s="31">
        <f>$I$53*$AO$53</f>
        <v>0</v>
      </c>
      <c r="AP119" s="31">
        <f>$I$53*$AP$53</f>
        <v>0</v>
      </c>
      <c r="AQ119" s="31">
        <f>$I$53*$AQ$53</f>
        <v>0</v>
      </c>
      <c r="AR119" s="31">
        <f>$I$53*$AR$53</f>
        <v>0</v>
      </c>
      <c r="AS119" s="31">
        <f>$I$53*$AS$53</f>
        <v>0</v>
      </c>
      <c r="AT119" s="31">
        <f>$I$53*$AT$53</f>
        <v>0</v>
      </c>
      <c r="AU119" s="31">
        <f>$I$53*$AU$53</f>
        <v>0</v>
      </c>
      <c r="AV119" s="31">
        <f>$I$53*$AV$53</f>
        <v>0</v>
      </c>
      <c r="AW119" s="31">
        <f>$I$53*$AW$53</f>
        <v>0</v>
      </c>
      <c r="AX119" s="31">
        <f>$I$53*$AX$53</f>
        <v>0</v>
      </c>
      <c r="AY119" s="31">
        <f>$I$53*$AY$53</f>
        <v>0</v>
      </c>
      <c r="AZ119" s="31">
        <f>$I$53*$AZ$53</f>
        <v>0</v>
      </c>
      <c r="BA119" s="31">
        <f>$I$53*$BA$53</f>
        <v>0</v>
      </c>
      <c r="BB119" s="31">
        <f>$I$53*$BB$53</f>
        <v>0</v>
      </c>
      <c r="BC119" s="31">
        <f>$I$53*$BC$53</f>
        <v>0</v>
      </c>
      <c r="BD119" s="31">
        <f>$I$53*$BD$53</f>
        <v>0</v>
      </c>
    </row>
    <row r="120" spans="1:56" ht="11.25" customHeight="1" x14ac:dyDescent="0.25">
      <c r="A120" s="9" t="s">
        <v>44</v>
      </c>
      <c r="B120" s="9" t="s">
        <v>1263</v>
      </c>
      <c r="C120" s="9" t="s">
        <v>1264</v>
      </c>
      <c r="D120" s="9" t="s">
        <v>1287</v>
      </c>
      <c r="E120" s="9" t="s">
        <v>1288</v>
      </c>
      <c r="F120" s="9" t="s">
        <v>1289</v>
      </c>
      <c r="G120" s="9" t="s">
        <v>1292</v>
      </c>
      <c r="L120" s="31">
        <f>$I$54*$L$54</f>
        <v>0</v>
      </c>
      <c r="M120" s="31">
        <f>$I$54*$M$54</f>
        <v>0</v>
      </c>
      <c r="N120" s="31">
        <f ca="1">$I$54*$N$54</f>
        <v>0</v>
      </c>
      <c r="O120" s="31">
        <f>$I$54*$O$54</f>
        <v>0</v>
      </c>
      <c r="P120" s="31">
        <f>$I$54*$P$54</f>
        <v>0</v>
      </c>
      <c r="Q120" s="31">
        <f>$I$54*$Q$54</f>
        <v>0</v>
      </c>
      <c r="R120" s="31">
        <f>$I$54*$R$54</f>
        <v>0</v>
      </c>
      <c r="S120" s="31">
        <f>$I$54*$S$54</f>
        <v>0</v>
      </c>
      <c r="T120" s="31">
        <f>$I$54*$T$54</f>
        <v>0</v>
      </c>
      <c r="U120" s="31">
        <f>$I$54*$U$54</f>
        <v>0</v>
      </c>
      <c r="V120" s="31">
        <f>$I$54*$V$54</f>
        <v>0</v>
      </c>
      <c r="W120" s="31">
        <f>$I$54*$W$54</f>
        <v>0</v>
      </c>
      <c r="X120" s="31">
        <f>$I$54*$X$54</f>
        <v>0</v>
      </c>
      <c r="Y120" s="31">
        <f>$I$54*$Y$54</f>
        <v>0</v>
      </c>
      <c r="Z120" s="31">
        <f>$I$54*$Z$54</f>
        <v>0</v>
      </c>
      <c r="AA120" s="31">
        <f>$I$54*$AA$54</f>
        <v>0</v>
      </c>
      <c r="AB120" s="31">
        <f ca="1">$I$54*$AB$54</f>
        <v>0</v>
      </c>
      <c r="AC120" s="31">
        <f ca="1">$I$54*$AC$54</f>
        <v>0</v>
      </c>
      <c r="AD120" s="31">
        <f>$I$54*$AD$54</f>
        <v>0</v>
      </c>
      <c r="AE120" s="31">
        <f>$I$54*$AE$54</f>
        <v>0</v>
      </c>
      <c r="AF120" s="31">
        <f ca="1">$I$54*$AF$54</f>
        <v>0</v>
      </c>
      <c r="AG120" s="31">
        <f ca="1">$I$54*$AG$54</f>
        <v>0</v>
      </c>
      <c r="AI120" s="31">
        <f>$I$54*$AI$54</f>
        <v>0</v>
      </c>
      <c r="AJ120" s="31">
        <f>$I$54*$AJ$54</f>
        <v>0</v>
      </c>
      <c r="AK120" s="31">
        <f>$I$54*$AK$54</f>
        <v>0</v>
      </c>
      <c r="AL120" s="31">
        <f>$I$54*$AL$54</f>
        <v>0</v>
      </c>
      <c r="AM120" s="31">
        <f>$I$54*$AM$54</f>
        <v>0</v>
      </c>
      <c r="AN120" s="31">
        <f>$I$54*$AN$54</f>
        <v>0</v>
      </c>
      <c r="AO120" s="31">
        <f>$I$54*$AO$54</f>
        <v>0</v>
      </c>
      <c r="AP120" s="31">
        <f>$I$54*$AP$54</f>
        <v>0</v>
      </c>
      <c r="AQ120" s="31">
        <f>$I$54*$AQ$54</f>
        <v>0</v>
      </c>
      <c r="AR120" s="31">
        <f>$I$54*$AR$54</f>
        <v>0</v>
      </c>
      <c r="AS120" s="31">
        <f>$I$54*$AS$54</f>
        <v>0</v>
      </c>
      <c r="AT120" s="31">
        <f>$I$54*$AT$54</f>
        <v>0</v>
      </c>
      <c r="AU120" s="31">
        <f>$I$54*$AU$54</f>
        <v>0</v>
      </c>
      <c r="AV120" s="31">
        <f>$I$54*$AV$54</f>
        <v>0</v>
      </c>
      <c r="AW120" s="31">
        <f>$I$54*$AW$54</f>
        <v>0</v>
      </c>
      <c r="AX120" s="31">
        <f>$I$54*$AX$54</f>
        <v>0</v>
      </c>
      <c r="AY120" s="31">
        <f>$I$54*$AY$54</f>
        <v>0</v>
      </c>
      <c r="AZ120" s="31">
        <f>$I$54*$AZ$54</f>
        <v>0</v>
      </c>
      <c r="BA120" s="31">
        <f>$I$54*$BA$54</f>
        <v>0</v>
      </c>
      <c r="BB120" s="31">
        <f>$I$54*$BB$54</f>
        <v>0</v>
      </c>
      <c r="BC120" s="31">
        <f>$I$54*$BC$54</f>
        <v>0</v>
      </c>
      <c r="BD120" s="31">
        <f>$I$54*$BD$54</f>
        <v>0</v>
      </c>
    </row>
    <row r="121" spans="1:56" ht="11.25" customHeight="1" x14ac:dyDescent="0.25">
      <c r="A121" s="9" t="s">
        <v>44</v>
      </c>
      <c r="B121" s="9" t="s">
        <v>1271</v>
      </c>
      <c r="C121" s="9" t="s">
        <v>1272</v>
      </c>
      <c r="D121" s="9" t="s">
        <v>1293</v>
      </c>
      <c r="E121" s="9" t="s">
        <v>1294</v>
      </c>
      <c r="F121" s="9" t="s">
        <v>1295</v>
      </c>
      <c r="G121" s="9" t="s">
        <v>1296</v>
      </c>
      <c r="L121" s="31">
        <f>$I$55*$L$55</f>
        <v>0</v>
      </c>
      <c r="M121" s="31">
        <f>$I$55*$M$55</f>
        <v>0</v>
      </c>
      <c r="N121" s="31">
        <f ca="1">$I$55*$N$55</f>
        <v>0</v>
      </c>
      <c r="O121" s="31">
        <f>$I$55*$O$55</f>
        <v>0</v>
      </c>
      <c r="P121" s="31">
        <f>$I$55*$P$55</f>
        <v>0</v>
      </c>
      <c r="Q121" s="31">
        <f>$I$55*$Q$55</f>
        <v>0</v>
      </c>
      <c r="R121" s="31">
        <f>$I$55*$R$55</f>
        <v>0</v>
      </c>
      <c r="S121" s="31">
        <f>$I$55*$S$55</f>
        <v>0</v>
      </c>
      <c r="T121" s="31">
        <f>$I$55*$T$55</f>
        <v>0</v>
      </c>
      <c r="U121" s="31">
        <f>$I$55*$U$55</f>
        <v>0</v>
      </c>
      <c r="V121" s="31">
        <f>$I$55*$V$55</f>
        <v>0</v>
      </c>
      <c r="W121" s="31">
        <f>$I$55*$W$55</f>
        <v>0</v>
      </c>
      <c r="X121" s="31">
        <f>$I$55*$X$55</f>
        <v>0</v>
      </c>
      <c r="Y121" s="31">
        <f>$I$55*$Y$55</f>
        <v>0</v>
      </c>
      <c r="Z121" s="31">
        <f>$I$55*$Z$55</f>
        <v>0</v>
      </c>
      <c r="AA121" s="31">
        <f>$I$55*$AA$55</f>
        <v>0</v>
      </c>
      <c r="AB121" s="31">
        <f ca="1">$I$55*$AB$55</f>
        <v>0</v>
      </c>
      <c r="AC121" s="31">
        <f ca="1">$I$55*$AC$55</f>
        <v>0</v>
      </c>
      <c r="AD121" s="31">
        <f>$I$55*$AD$55</f>
        <v>0</v>
      </c>
      <c r="AE121" s="31">
        <f>$I$55*$AE$55</f>
        <v>0</v>
      </c>
      <c r="AF121" s="31">
        <f ca="1">$I$55*$AF$55</f>
        <v>0</v>
      </c>
      <c r="AG121" s="31">
        <f ca="1">$I$55*$AG$55</f>
        <v>0</v>
      </c>
      <c r="AI121" s="31">
        <f>$I$55*$AI$55</f>
        <v>0</v>
      </c>
      <c r="AJ121" s="31">
        <f>$I$55*$AJ$55</f>
        <v>0</v>
      </c>
      <c r="AK121" s="31">
        <f>$I$55*$AK$55</f>
        <v>0</v>
      </c>
      <c r="AL121" s="31">
        <f>$I$55*$AL$55</f>
        <v>0</v>
      </c>
      <c r="AM121" s="31">
        <f>$I$55*$AM$55</f>
        <v>0</v>
      </c>
      <c r="AN121" s="31">
        <f>$I$55*$AN$55</f>
        <v>0</v>
      </c>
      <c r="AO121" s="31">
        <f>$I$55*$AO$55</f>
        <v>0</v>
      </c>
      <c r="AP121" s="31">
        <f>$I$55*$AP$55</f>
        <v>0</v>
      </c>
      <c r="AQ121" s="31">
        <f>$I$55*$AQ$55</f>
        <v>0</v>
      </c>
      <c r="AR121" s="31">
        <f>$I$55*$AR$55</f>
        <v>0</v>
      </c>
      <c r="AS121" s="31">
        <f>$I$55*$AS$55</f>
        <v>0</v>
      </c>
      <c r="AT121" s="31">
        <f>$I$55*$AT$55</f>
        <v>0</v>
      </c>
      <c r="AU121" s="31">
        <f>$I$55*$AU$55</f>
        <v>0</v>
      </c>
      <c r="AV121" s="31">
        <f>$I$55*$AV$55</f>
        <v>0</v>
      </c>
      <c r="AW121" s="31">
        <f>$I$55*$AW$55</f>
        <v>0</v>
      </c>
      <c r="AX121" s="31">
        <f>$I$55*$AX$55</f>
        <v>0</v>
      </c>
      <c r="AY121" s="31">
        <f>$I$55*$AY$55</f>
        <v>0</v>
      </c>
      <c r="AZ121" s="31">
        <f>$I$55*$AZ$55</f>
        <v>0</v>
      </c>
      <c r="BA121" s="31">
        <f>$I$55*$BA$55</f>
        <v>0</v>
      </c>
      <c r="BB121" s="31">
        <f>$I$55*$BB$55</f>
        <v>0</v>
      </c>
      <c r="BC121" s="31">
        <f>$I$55*$BC$55</f>
        <v>0</v>
      </c>
      <c r="BD121" s="31">
        <f>$I$55*$BD$55</f>
        <v>0</v>
      </c>
    </row>
    <row r="122" spans="1:56" ht="11.25" customHeight="1" x14ac:dyDescent="0.25">
      <c r="A122" s="9" t="s">
        <v>44</v>
      </c>
      <c r="B122" s="9" t="s">
        <v>1297</v>
      </c>
      <c r="C122" s="9" t="s">
        <v>1298</v>
      </c>
      <c r="D122" s="9" t="s">
        <v>1299</v>
      </c>
      <c r="E122" s="9" t="s">
        <v>1300</v>
      </c>
      <c r="F122" s="9" t="s">
        <v>1301</v>
      </c>
      <c r="G122" s="9" t="s">
        <v>1302</v>
      </c>
      <c r="L122" s="31">
        <f>$I$56*$L$56</f>
        <v>0</v>
      </c>
      <c r="M122" s="31">
        <f>$I$56*$M$56</f>
        <v>0</v>
      </c>
      <c r="N122" s="31">
        <f ca="1">$I$56*$N$56</f>
        <v>0</v>
      </c>
      <c r="O122" s="31">
        <f>$I$56*$O$56</f>
        <v>0</v>
      </c>
      <c r="P122" s="31">
        <f>$I$56*$P$56</f>
        <v>0</v>
      </c>
      <c r="Q122" s="31">
        <f>$I$56*$Q$56</f>
        <v>0</v>
      </c>
      <c r="R122" s="31">
        <f>$I$56*$R$56</f>
        <v>0</v>
      </c>
      <c r="S122" s="31">
        <f>$I$56*$S$56</f>
        <v>0</v>
      </c>
      <c r="T122" s="31">
        <f>$I$56*$T$56</f>
        <v>0</v>
      </c>
      <c r="U122" s="31">
        <f>$I$56*$U$56</f>
        <v>0</v>
      </c>
      <c r="V122" s="31">
        <f>$I$56*$V$56</f>
        <v>0</v>
      </c>
      <c r="W122" s="31">
        <f>$I$56*$W$56</f>
        <v>0</v>
      </c>
      <c r="X122" s="31">
        <f>$I$56*$X$56</f>
        <v>0</v>
      </c>
      <c r="Y122" s="31">
        <f>$I$56*$Y$56</f>
        <v>0</v>
      </c>
      <c r="Z122" s="31">
        <f>$I$56*$Z$56</f>
        <v>0</v>
      </c>
      <c r="AA122" s="31">
        <f>$I$56*$AA$56</f>
        <v>0</v>
      </c>
      <c r="AB122" s="31">
        <f ca="1">$I$56*$AB$56</f>
        <v>0</v>
      </c>
      <c r="AC122" s="31">
        <f ca="1">$I$56*$AC$56</f>
        <v>0</v>
      </c>
      <c r="AD122" s="31">
        <f>$I$56*$AD$56</f>
        <v>0</v>
      </c>
      <c r="AE122" s="31">
        <f>$I$56*$AE$56</f>
        <v>0</v>
      </c>
      <c r="AF122" s="31">
        <f ca="1">$I$56*$AF$56</f>
        <v>0</v>
      </c>
      <c r="AG122" s="31">
        <f ca="1">$I$56*$AG$56</f>
        <v>0</v>
      </c>
      <c r="AI122" s="31">
        <f>$I$56*$AI$56</f>
        <v>0</v>
      </c>
      <c r="AJ122" s="31">
        <f>$I$56*$AJ$56</f>
        <v>0</v>
      </c>
      <c r="AK122" s="31">
        <f>$I$56*$AK$56</f>
        <v>0</v>
      </c>
      <c r="AL122" s="31">
        <f>$I$56*$AL$56</f>
        <v>0</v>
      </c>
      <c r="AM122" s="31">
        <f>$I$56*$AM$56</f>
        <v>0</v>
      </c>
      <c r="AN122" s="31">
        <f>$I$56*$AN$56</f>
        <v>0</v>
      </c>
      <c r="AO122" s="31">
        <f>$I$56*$AO$56</f>
        <v>0</v>
      </c>
      <c r="AP122" s="31">
        <f>$I$56*$AP$56</f>
        <v>0</v>
      </c>
      <c r="AQ122" s="31">
        <f>$I$56*$AQ$56</f>
        <v>0</v>
      </c>
      <c r="AR122" s="31">
        <f>$I$56*$AR$56</f>
        <v>0</v>
      </c>
      <c r="AS122" s="31">
        <f>$I$56*$AS$56</f>
        <v>0</v>
      </c>
      <c r="AT122" s="31">
        <f>$I$56*$AT$56</f>
        <v>0</v>
      </c>
      <c r="AU122" s="31">
        <f>$I$56*$AU$56</f>
        <v>0</v>
      </c>
      <c r="AV122" s="31">
        <f>$I$56*$AV$56</f>
        <v>0</v>
      </c>
      <c r="AW122" s="31">
        <f>$I$56*$AW$56</f>
        <v>0</v>
      </c>
      <c r="AX122" s="31">
        <f>$I$56*$AX$56</f>
        <v>0</v>
      </c>
      <c r="AY122" s="31">
        <f>$I$56*$AY$56</f>
        <v>0</v>
      </c>
      <c r="AZ122" s="31">
        <f>$I$56*$AZ$56</f>
        <v>0</v>
      </c>
      <c r="BA122" s="31">
        <f>$I$56*$BA$56</f>
        <v>0</v>
      </c>
      <c r="BB122" s="31">
        <f>$I$56*$BB$56</f>
        <v>0</v>
      </c>
      <c r="BC122" s="31">
        <f>$I$56*$BC$56</f>
        <v>0</v>
      </c>
      <c r="BD122" s="31">
        <f>$I$56*$BD$56</f>
        <v>0</v>
      </c>
    </row>
    <row r="123" spans="1:56" ht="11.25" customHeight="1" x14ac:dyDescent="0.25">
      <c r="A123" s="9" t="s">
        <v>44</v>
      </c>
      <c r="B123" s="9" t="s">
        <v>1297</v>
      </c>
      <c r="C123" s="9" t="s">
        <v>1298</v>
      </c>
      <c r="D123" s="9" t="s">
        <v>1303</v>
      </c>
      <c r="E123" s="9" t="s">
        <v>1304</v>
      </c>
      <c r="F123" s="9" t="s">
        <v>1305</v>
      </c>
      <c r="G123" s="9" t="s">
        <v>1306</v>
      </c>
      <c r="L123" s="31">
        <f>$I$57*$L$57</f>
        <v>0</v>
      </c>
      <c r="M123" s="31">
        <f>$I$57*$M$57</f>
        <v>0</v>
      </c>
      <c r="N123" s="31">
        <f ca="1">$I$57*$N$57</f>
        <v>0</v>
      </c>
      <c r="O123" s="31">
        <f>$I$57*$O$57</f>
        <v>0</v>
      </c>
      <c r="P123" s="31">
        <f>$I$57*$P$57</f>
        <v>0</v>
      </c>
      <c r="Q123" s="31">
        <f>$I$57*$Q$57</f>
        <v>0</v>
      </c>
      <c r="R123" s="31">
        <f>$I$57*$R$57</f>
        <v>0</v>
      </c>
      <c r="S123" s="31">
        <f>$I$57*$S$57</f>
        <v>0</v>
      </c>
      <c r="T123" s="31">
        <f>$I$57*$T$57</f>
        <v>0</v>
      </c>
      <c r="U123" s="31">
        <f>$I$57*$U$57</f>
        <v>0</v>
      </c>
      <c r="V123" s="31">
        <f>$I$57*$V$57</f>
        <v>0</v>
      </c>
      <c r="W123" s="31">
        <f>$I$57*$W$57</f>
        <v>0</v>
      </c>
      <c r="X123" s="31">
        <f>$I$57*$X$57</f>
        <v>0</v>
      </c>
      <c r="Y123" s="31">
        <f>$I$57*$Y$57</f>
        <v>0</v>
      </c>
      <c r="Z123" s="31">
        <f>$I$57*$Z$57</f>
        <v>0</v>
      </c>
      <c r="AA123" s="31">
        <f>$I$57*$AA$57</f>
        <v>0</v>
      </c>
      <c r="AB123" s="31">
        <f ca="1">$I$57*$AB$57</f>
        <v>0</v>
      </c>
      <c r="AC123" s="31">
        <f ca="1">$I$57*$AC$57</f>
        <v>0</v>
      </c>
      <c r="AD123" s="31">
        <f>$I$57*$AD$57</f>
        <v>0</v>
      </c>
      <c r="AE123" s="31">
        <f>$I$57*$AE$57</f>
        <v>0</v>
      </c>
      <c r="AF123" s="31">
        <f ca="1">$I$57*$AF$57</f>
        <v>0</v>
      </c>
      <c r="AG123" s="31">
        <f ca="1">$I$57*$AG$57</f>
        <v>0</v>
      </c>
      <c r="AI123" s="31">
        <f>$I$57*$AI$57</f>
        <v>0</v>
      </c>
      <c r="AJ123" s="31">
        <f>$I$57*$AJ$57</f>
        <v>0</v>
      </c>
      <c r="AK123" s="31">
        <f>$I$57*$AK$57</f>
        <v>0</v>
      </c>
      <c r="AL123" s="31">
        <f>$I$57*$AL$57</f>
        <v>0</v>
      </c>
      <c r="AM123" s="31">
        <f>$I$57*$AM$57</f>
        <v>0</v>
      </c>
      <c r="AN123" s="31">
        <f>$I$57*$AN$57</f>
        <v>0</v>
      </c>
      <c r="AO123" s="31">
        <f>$I$57*$AO$57</f>
        <v>0</v>
      </c>
      <c r="AP123" s="31">
        <f>$I$57*$AP$57</f>
        <v>0</v>
      </c>
      <c r="AQ123" s="31">
        <f>$I$57*$AQ$57</f>
        <v>0</v>
      </c>
      <c r="AR123" s="31">
        <f>$I$57*$AR$57</f>
        <v>0</v>
      </c>
      <c r="AS123" s="31">
        <f>$I$57*$AS$57</f>
        <v>0</v>
      </c>
      <c r="AT123" s="31">
        <f>$I$57*$AT$57</f>
        <v>0</v>
      </c>
      <c r="AU123" s="31">
        <f>$I$57*$AU$57</f>
        <v>0</v>
      </c>
      <c r="AV123" s="31">
        <f>$I$57*$AV$57</f>
        <v>0</v>
      </c>
      <c r="AW123" s="31">
        <f>$I$57*$AW$57</f>
        <v>0</v>
      </c>
      <c r="AX123" s="31">
        <f>$I$57*$AX$57</f>
        <v>0</v>
      </c>
      <c r="AY123" s="31">
        <f>$I$57*$AY$57</f>
        <v>0</v>
      </c>
      <c r="AZ123" s="31">
        <f>$I$57*$AZ$57</f>
        <v>0</v>
      </c>
      <c r="BA123" s="31">
        <f>$I$57*$BA$57</f>
        <v>0</v>
      </c>
      <c r="BB123" s="31">
        <f>$I$57*$BB$57</f>
        <v>0</v>
      </c>
      <c r="BC123" s="31">
        <f>$I$57*$BC$57</f>
        <v>0</v>
      </c>
      <c r="BD123" s="31">
        <f>$I$57*$BD$57</f>
        <v>0</v>
      </c>
    </row>
    <row r="124" spans="1:56" ht="11.25" customHeight="1" x14ac:dyDescent="0.25">
      <c r="A124" s="9" t="s">
        <v>44</v>
      </c>
      <c r="B124" s="9" t="s">
        <v>1297</v>
      </c>
      <c r="C124" s="9" t="s">
        <v>1298</v>
      </c>
      <c r="D124" s="9" t="s">
        <v>1307</v>
      </c>
      <c r="E124" s="9" t="s">
        <v>1308</v>
      </c>
      <c r="F124" s="9" t="s">
        <v>1309</v>
      </c>
      <c r="G124" s="9" t="s">
        <v>1310</v>
      </c>
      <c r="L124" s="31">
        <f>$I$58*$L$58</f>
        <v>0</v>
      </c>
      <c r="M124" s="31">
        <f>$I$58*$M$58</f>
        <v>0</v>
      </c>
      <c r="N124" s="31">
        <f ca="1">$I$58*$N$58</f>
        <v>0</v>
      </c>
      <c r="O124" s="31">
        <f>$I$58*$O$58</f>
        <v>0</v>
      </c>
      <c r="P124" s="31">
        <f>$I$58*$P$58</f>
        <v>0</v>
      </c>
      <c r="Q124" s="31">
        <f>$I$58*$Q$58</f>
        <v>0</v>
      </c>
      <c r="R124" s="31">
        <f>$I$58*$R$58</f>
        <v>0</v>
      </c>
      <c r="S124" s="31">
        <f>$I$58*$S$58</f>
        <v>0</v>
      </c>
      <c r="T124" s="31">
        <f>$I$58*$T$58</f>
        <v>0</v>
      </c>
      <c r="U124" s="31">
        <f>$I$58*$U$58</f>
        <v>0</v>
      </c>
      <c r="V124" s="31">
        <f>$I$58*$V$58</f>
        <v>0</v>
      </c>
      <c r="W124" s="31">
        <f>$I$58*$W$58</f>
        <v>0</v>
      </c>
      <c r="X124" s="31">
        <f>$I$58*$X$58</f>
        <v>0</v>
      </c>
      <c r="Y124" s="31">
        <f>$I$58*$Y$58</f>
        <v>0</v>
      </c>
      <c r="Z124" s="31">
        <f>$I$58*$Z$58</f>
        <v>0</v>
      </c>
      <c r="AA124" s="31">
        <f>$I$58*$AA$58</f>
        <v>0</v>
      </c>
      <c r="AB124" s="31">
        <f ca="1">$I$58*$AB$58</f>
        <v>0</v>
      </c>
      <c r="AC124" s="31">
        <f ca="1">$I$58*$AC$58</f>
        <v>0</v>
      </c>
      <c r="AD124" s="31">
        <f>$I$58*$AD$58</f>
        <v>0</v>
      </c>
      <c r="AE124" s="31">
        <f>$I$58*$AE$58</f>
        <v>0</v>
      </c>
      <c r="AF124" s="31">
        <f ca="1">$I$58*$AF$58</f>
        <v>0</v>
      </c>
      <c r="AG124" s="31">
        <f ca="1">$I$58*$AG$58</f>
        <v>0</v>
      </c>
      <c r="AI124" s="31">
        <f>$I$58*$AI$58</f>
        <v>0</v>
      </c>
      <c r="AJ124" s="31">
        <f>$I$58*$AJ$58</f>
        <v>0</v>
      </c>
      <c r="AK124" s="31">
        <f>$I$58*$AK$58</f>
        <v>0</v>
      </c>
      <c r="AL124" s="31">
        <f>$I$58*$AL$58</f>
        <v>0</v>
      </c>
      <c r="AM124" s="31">
        <f>$I$58*$AM$58</f>
        <v>0</v>
      </c>
      <c r="AN124" s="31">
        <f>$I$58*$AN$58</f>
        <v>0</v>
      </c>
      <c r="AO124" s="31">
        <f>$I$58*$AO$58</f>
        <v>0</v>
      </c>
      <c r="AP124" s="31">
        <f>$I$58*$AP$58</f>
        <v>0</v>
      </c>
      <c r="AQ124" s="31">
        <f>$I$58*$AQ$58</f>
        <v>0</v>
      </c>
      <c r="AR124" s="31">
        <f>$I$58*$AR$58</f>
        <v>0</v>
      </c>
      <c r="AS124" s="31">
        <f>$I$58*$AS$58</f>
        <v>0</v>
      </c>
      <c r="AT124" s="31">
        <f>$I$58*$AT$58</f>
        <v>0</v>
      </c>
      <c r="AU124" s="31">
        <f>$I$58*$AU$58</f>
        <v>0</v>
      </c>
      <c r="AV124" s="31">
        <f>$I$58*$AV$58</f>
        <v>0</v>
      </c>
      <c r="AW124" s="31">
        <f>$I$58*$AW$58</f>
        <v>0</v>
      </c>
      <c r="AX124" s="31">
        <f>$I$58*$AX$58</f>
        <v>0</v>
      </c>
      <c r="AY124" s="31">
        <f>$I$58*$AY$58</f>
        <v>0</v>
      </c>
      <c r="AZ124" s="31">
        <f>$I$58*$AZ$58</f>
        <v>0</v>
      </c>
      <c r="BA124" s="31">
        <f>$I$58*$BA$58</f>
        <v>0</v>
      </c>
      <c r="BB124" s="31">
        <f>$I$58*$BB$58</f>
        <v>0</v>
      </c>
      <c r="BC124" s="31">
        <f>$I$58*$BC$58</f>
        <v>0</v>
      </c>
      <c r="BD124" s="31">
        <f>$I$58*$BD$58</f>
        <v>0</v>
      </c>
    </row>
    <row r="125" spans="1:56" ht="11.25" customHeight="1" x14ac:dyDescent="0.25">
      <c r="A125" s="9" t="s">
        <v>37</v>
      </c>
      <c r="B125" s="9" t="s">
        <v>1311</v>
      </c>
      <c r="C125" s="9" t="s">
        <v>1312</v>
      </c>
      <c r="D125" s="9" t="s">
        <v>1313</v>
      </c>
      <c r="E125" s="9" t="s">
        <v>1314</v>
      </c>
      <c r="F125" s="9" t="s">
        <v>1315</v>
      </c>
      <c r="G125" s="9" t="s">
        <v>1316</v>
      </c>
      <c r="L125" s="31">
        <f>$I$59*$L$59</f>
        <v>232.60383849547608</v>
      </c>
      <c r="M125" s="31">
        <f>$I$59*$M$59</f>
        <v>44.94221169600597</v>
      </c>
      <c r="N125" s="31">
        <f ca="1">$I$59*$N$59</f>
        <v>529.58546838840437</v>
      </c>
      <c r="O125" s="31">
        <f>$I$59*$O$59</f>
        <v>1.0223528896923908</v>
      </c>
      <c r="P125" s="31">
        <f>$I$59*$P$59</f>
        <v>0</v>
      </c>
      <c r="Q125" s="31">
        <f>$I$59*$Q$59</f>
        <v>2576.6175566388893</v>
      </c>
      <c r="R125" s="31">
        <f>$I$59*$R$59</f>
        <v>985.43164296052544</v>
      </c>
      <c r="S125" s="31">
        <f>$I$59*$S$59</f>
        <v>0</v>
      </c>
      <c r="T125" s="31">
        <f>$I$59*$T$59</f>
        <v>6406.4692027765259</v>
      </c>
      <c r="U125" s="31">
        <f>$I$59*$U$59</f>
        <v>1976.9553396156848</v>
      </c>
      <c r="V125" s="31">
        <f>$I$59*$V$59</f>
        <v>303.25988260018983</v>
      </c>
      <c r="W125" s="31">
        <f>$I$59*$W$59</f>
        <v>17.637641355455123</v>
      </c>
      <c r="X125" s="31">
        <f>$I$59*$X$59</f>
        <v>370.66293010379991</v>
      </c>
      <c r="Y125" s="31">
        <f>$I$59*$Y$59</f>
        <v>0</v>
      </c>
      <c r="Z125" s="31">
        <f>$I$59*$Z$59</f>
        <v>0</v>
      </c>
      <c r="AA125" s="31">
        <f>$I$59*$AA$59</f>
        <v>42177.399760922373</v>
      </c>
      <c r="AB125" s="31">
        <f ca="1">$I$59*$AB$59</f>
        <v>-5201.25744428082</v>
      </c>
      <c r="AC125" s="31">
        <f ca="1">$I$59*$AC$59</f>
        <v>0</v>
      </c>
      <c r="AD125" s="31">
        <f>$I$59*$AD$59</f>
        <v>1645.433169579861</v>
      </c>
      <c r="AE125" s="31">
        <f>$I$59*$AE$59</f>
        <v>49.875724245994547</v>
      </c>
      <c r="AF125" s="31">
        <f ca="1">$I$59*$AF$59</f>
        <v>557.22824610477426</v>
      </c>
      <c r="AG125" s="31">
        <f ca="1">$I$59*$AG$59</f>
        <v>0</v>
      </c>
      <c r="AI125" s="31">
        <f>$I$59*$AI$59</f>
        <v>219.88051392081721</v>
      </c>
      <c r="AJ125" s="31">
        <f>$I$59*$AJ$59</f>
        <v>39.817537500872319</v>
      </c>
      <c r="AK125" s="31">
        <f>$I$59*$AK$59</f>
        <v>556.31731341493958</v>
      </c>
      <c r="AL125" s="31">
        <f>$I$59*$AL$59</f>
        <v>1.015952868102785</v>
      </c>
      <c r="AM125" s="31">
        <f>$I$59*$AM$59</f>
        <v>0</v>
      </c>
      <c r="AN125" s="31">
        <f>$I$59*$AN$59</f>
        <v>1521.9399101627541</v>
      </c>
      <c r="AO125" s="31">
        <f>$I$59*$AO$59</f>
        <v>550.60463491744076</v>
      </c>
      <c r="AP125" s="31">
        <f>$I$59*$AP$59</f>
        <v>0</v>
      </c>
      <c r="AQ125" s="31">
        <f>$I$59*$AQ$59</f>
        <v>5324.9421846757223</v>
      </c>
      <c r="AR125" s="31">
        <f>$I$59*$AR$59</f>
        <v>2275.1683716224979</v>
      </c>
      <c r="AS125" s="31">
        <f>$I$59*$AS$59</f>
        <v>502.0793868840351</v>
      </c>
      <c r="AT125" s="31">
        <f>$I$59*$AT$59</f>
        <v>0</v>
      </c>
      <c r="AU125" s="31">
        <f>$I$59*$AU$59</f>
        <v>427.99352932073151</v>
      </c>
      <c r="AV125" s="31">
        <f>$I$59*$AV$59</f>
        <v>0</v>
      </c>
      <c r="AW125" s="31">
        <f>$I$59*$AW$59</f>
        <v>0</v>
      </c>
      <c r="AX125" s="31">
        <f>$I$59*$AX$59</f>
        <v>38421.751174172117</v>
      </c>
      <c r="AY125" s="31">
        <f>$I$59*$AY$59</f>
        <v>-530.97551065689436</v>
      </c>
      <c r="AZ125" s="31">
        <f>$I$59*$AZ$59</f>
        <v>0</v>
      </c>
      <c r="BA125" s="31">
        <f>$I$59*$BA$59</f>
        <v>1805.198926533523</v>
      </c>
      <c r="BB125" s="31">
        <f>$I$59*$BB$59</f>
        <v>45.28262460082248</v>
      </c>
      <c r="BC125" s="31">
        <f>$I$59*$BC$59</f>
        <v>620.98125255827222</v>
      </c>
      <c r="BD125" s="31">
        <f>$I$59*$BD$59</f>
        <v>0</v>
      </c>
    </row>
    <row r="126" spans="1:56" ht="11.25" customHeight="1" x14ac:dyDescent="0.25">
      <c r="A126" s="9" t="s">
        <v>37</v>
      </c>
      <c r="B126" s="9" t="s">
        <v>1311</v>
      </c>
      <c r="C126" s="9" t="s">
        <v>1312</v>
      </c>
      <c r="D126" s="9" t="s">
        <v>1313</v>
      </c>
      <c r="E126" s="9" t="s">
        <v>1314</v>
      </c>
      <c r="F126" s="9" t="s">
        <v>1315</v>
      </c>
      <c r="G126" s="9" t="s">
        <v>1317</v>
      </c>
      <c r="L126" s="31">
        <f>$I$60*$L$60</f>
        <v>281.3923114620664</v>
      </c>
      <c r="M126" s="31">
        <f>$I$60*$M$60</f>
        <v>54.368805403882426</v>
      </c>
      <c r="N126" s="31">
        <f ca="1">$I$60*$N$60</f>
        <v>408.11561846705337</v>
      </c>
      <c r="O126" s="31">
        <f>$I$60*$O$60</f>
        <v>1.2367906076754618</v>
      </c>
      <c r="P126" s="31">
        <f>$I$60*$P$60</f>
        <v>0</v>
      </c>
      <c r="Q126" s="31">
        <f>$I$60*$Q$60</f>
        <v>3117.0610713307733</v>
      </c>
      <c r="R126" s="31">
        <f>$I$60*$R$60</f>
        <v>1192.1251583555318</v>
      </c>
      <c r="S126" s="31">
        <f>$I$60*$S$60</f>
        <v>0</v>
      </c>
      <c r="T126" s="31">
        <f>$I$60*$T$60</f>
        <v>4650.1326605963714</v>
      </c>
      <c r="U126" s="31">
        <f>$I$60*$U$60</f>
        <v>1434.9756467446621</v>
      </c>
      <c r="V126" s="31">
        <f>$I$60*$V$60</f>
        <v>220.1234754603681</v>
      </c>
      <c r="W126" s="31">
        <f>$I$60*$W$60</f>
        <v>12.804927561369601</v>
      </c>
      <c r="X126" s="31">
        <f>$I$60*$X$60</f>
        <v>269.04171201559882</v>
      </c>
      <c r="Y126" s="31">
        <f>$I$60*$Y$60</f>
        <v>0</v>
      </c>
      <c r="Z126" s="31">
        <f>$I$60*$Z$60</f>
        <v>0</v>
      </c>
      <c r="AA126" s="31">
        <f>$I$60*$AA$60</f>
        <v>30614.448768480743</v>
      </c>
      <c r="AB126" s="31">
        <f ca="1">$I$60*$AB$60</f>
        <v>-4022.7912403640266</v>
      </c>
      <c r="AC126" s="31">
        <f ca="1">$I$60*$AC$60</f>
        <v>0</v>
      </c>
      <c r="AD126" s="31">
        <f>$I$60*$AD$60</f>
        <v>1990.5614883197059</v>
      </c>
      <c r="AE126" s="31">
        <f>$I$60*$AE$60</f>
        <v>60.337118347675052</v>
      </c>
      <c r="AF126" s="31">
        <f ca="1">$I$60*$AF$60</f>
        <v>674.10643434598887</v>
      </c>
      <c r="AG126" s="31">
        <f ca="1">$I$60*$AG$60</f>
        <v>0</v>
      </c>
      <c r="AI126" s="31">
        <f>$I$60*$AI$60</f>
        <v>266.00027952182393</v>
      </c>
      <c r="AJ126" s="31">
        <f>$I$60*$AJ$60</f>
        <v>48.169234809578974</v>
      </c>
      <c r="AK126" s="31">
        <f>$I$60*$AK$60</f>
        <v>428.35262241240974</v>
      </c>
      <c r="AL126" s="31">
        <f>$I$60*$AL$60</f>
        <v>1.2290481865694518</v>
      </c>
      <c r="AM126" s="31">
        <f>$I$60*$AM$60</f>
        <v>0</v>
      </c>
      <c r="AN126" s="31">
        <f>$I$60*$AN$60</f>
        <v>1841.1656144504957</v>
      </c>
      <c r="AO126" s="31">
        <f>$I$60*$AO$60</f>
        <v>666.09352589922628</v>
      </c>
      <c r="AP126" s="31">
        <f>$I$60*$AP$60</f>
        <v>0</v>
      </c>
      <c r="AQ126" s="31">
        <f>$I$60*$AQ$60</f>
        <v>3865.1067826902863</v>
      </c>
      <c r="AR126" s="31">
        <f>$I$60*$AR$60</f>
        <v>1651.433970256845</v>
      </c>
      <c r="AS126" s="31">
        <f>$I$60*$AS$60</f>
        <v>364.43811377329666</v>
      </c>
      <c r="AT126" s="31">
        <f>$I$60*$AT$60</f>
        <v>0</v>
      </c>
      <c r="AU126" s="31">
        <f>$I$60*$AU$60</f>
        <v>310.65451251842768</v>
      </c>
      <c r="AV126" s="31">
        <f>$I$60*$AV$60</f>
        <v>0</v>
      </c>
      <c r="AW126" s="31">
        <f>$I$60*$AW$60</f>
        <v>0</v>
      </c>
      <c r="AX126" s="31">
        <f>$I$60*$AX$60</f>
        <v>27888.412742001674</v>
      </c>
      <c r="AY126" s="31">
        <f>$I$60*$AY$60</f>
        <v>-407.02684588242215</v>
      </c>
      <c r="AZ126" s="31">
        <f>$I$60*$AZ$60</f>
        <v>0</v>
      </c>
      <c r="BA126" s="31">
        <f>$I$60*$BA$60</f>
        <v>2183.8379876778708</v>
      </c>
      <c r="BB126" s="31">
        <f>$I$60*$BB$60</f>
        <v>54.780619648898409</v>
      </c>
      <c r="BC126" s="31">
        <f>$I$60*$BC$60</f>
        <v>751.2315839765472</v>
      </c>
      <c r="BD126" s="31">
        <f>$I$60*$BD$60</f>
        <v>0</v>
      </c>
    </row>
    <row r="127" spans="1:56" ht="11.25" customHeight="1" x14ac:dyDescent="0.25">
      <c r="A127" s="9" t="s">
        <v>37</v>
      </c>
      <c r="B127" s="9" t="s">
        <v>1311</v>
      </c>
      <c r="C127" s="9" t="s">
        <v>1312</v>
      </c>
      <c r="D127" s="9" t="s">
        <v>1313</v>
      </c>
      <c r="E127" s="9" t="s">
        <v>1314</v>
      </c>
      <c r="F127" s="9" t="s">
        <v>1315</v>
      </c>
      <c r="G127" s="9" t="s">
        <v>1318</v>
      </c>
      <c r="L127" s="31">
        <f>$I$61*$L$61</f>
        <v>4280.2532128780267</v>
      </c>
      <c r="M127" s="31">
        <f>$I$61*$M$61</f>
        <v>827.00288718328829</v>
      </c>
      <c r="N127" s="31">
        <f ca="1">$I$61*$N$61</f>
        <v>2670.5223179904788</v>
      </c>
      <c r="O127" s="31">
        <f>$I$61*$O$61</f>
        <v>18.812798916412113</v>
      </c>
      <c r="P127" s="31">
        <f>$I$61*$P$61</f>
        <v>0</v>
      </c>
      <c r="Q127" s="31">
        <f>$I$61*$Q$61</f>
        <v>47413.55794683515</v>
      </c>
      <c r="R127" s="31">
        <f>$I$61*$R$61</f>
        <v>18133.393598040282</v>
      </c>
      <c r="S127" s="31">
        <f>$I$61*$S$61</f>
        <v>0</v>
      </c>
      <c r="T127" s="31">
        <f>$I$61*$T$61</f>
        <v>23577.693786787331</v>
      </c>
      <c r="U127" s="31">
        <f>$I$61*$U$61</f>
        <v>7275.751049579203</v>
      </c>
      <c r="V127" s="31">
        <f>$I$61*$V$61</f>
        <v>1116.0980295608053</v>
      </c>
      <c r="W127" s="31">
        <f>$I$61*$W$61</f>
        <v>64.891531625887836</v>
      </c>
      <c r="X127" s="31">
        <f>$I$61*$X$61</f>
        <v>1364.1294915150406</v>
      </c>
      <c r="Y127" s="31">
        <f>$I$61*$Y$61</f>
        <v>0</v>
      </c>
      <c r="Z127" s="31">
        <f>$I$61*$Z$61</f>
        <v>0</v>
      </c>
      <c r="AA127" s="31">
        <f>$I$61*$AA$61</f>
        <v>155225.23250997739</v>
      </c>
      <c r="AB127" s="31">
        <f ca="1">$I$61*$AB$61</f>
        <v>-26670.379897315899</v>
      </c>
      <c r="AC127" s="31">
        <f ca="1">$I$61*$AC$61</f>
        <v>0</v>
      </c>
      <c r="AD127" s="31">
        <f>$I$61*$AD$61</f>
        <v>30278.393754053428</v>
      </c>
      <c r="AE127" s="31">
        <f>$I$61*$AE$61</f>
        <v>917.78678429972979</v>
      </c>
      <c r="AF127" s="31">
        <f ca="1">$I$61*$AF$61</f>
        <v>10253.820427571043</v>
      </c>
      <c r="AG127" s="31">
        <f ca="1">$I$61*$AG$61</f>
        <v>0</v>
      </c>
      <c r="AI127" s="31">
        <f>$I$61*$AI$61</f>
        <v>4046.1253014840254</v>
      </c>
      <c r="AJ127" s="31">
        <f>$I$61*$AJ$61</f>
        <v>732.70133424868118</v>
      </c>
      <c r="AK127" s="31">
        <f>$I$61*$AK$61</f>
        <v>2794.2673433476498</v>
      </c>
      <c r="AL127" s="31">
        <f>$I$61*$AL$61</f>
        <v>18.695029093056721</v>
      </c>
      <c r="AM127" s="31">
        <f>$I$61*$AM$61</f>
        <v>0</v>
      </c>
      <c r="AN127" s="31">
        <f>$I$61*$AN$61</f>
        <v>28005.935896918232</v>
      </c>
      <c r="AO127" s="31">
        <f>$I$61*$AO$61</f>
        <v>10131.936226309288</v>
      </c>
      <c r="AP127" s="31">
        <f>$I$61*$AP$61</f>
        <v>0</v>
      </c>
      <c r="AQ127" s="31">
        <f>$I$61*$AQ$61</f>
        <v>19597.355780344384</v>
      </c>
      <c r="AR127" s="31">
        <f>$I$61*$AR$61</f>
        <v>8373.2587864224442</v>
      </c>
      <c r="AS127" s="31">
        <f>$I$61*$AS$61</f>
        <v>1847.8204554446365</v>
      </c>
      <c r="AT127" s="31">
        <f>$I$61*$AT$61</f>
        <v>0</v>
      </c>
      <c r="AU127" s="31">
        <f>$I$61*$AU$61</f>
        <v>1575.1200028568301</v>
      </c>
      <c r="AV127" s="31">
        <f>$I$61*$AV$61</f>
        <v>0</v>
      </c>
      <c r="AW127" s="31">
        <f>$I$61*$AW$61</f>
        <v>0</v>
      </c>
      <c r="AX127" s="31">
        <f>$I$61*$AX$61</f>
        <v>141403.34144014923</v>
      </c>
      <c r="AY127" s="31">
        <f>$I$61*$AY$61</f>
        <v>-2611.8217188832641</v>
      </c>
      <c r="AZ127" s="31">
        <f>$I$61*$AZ$61</f>
        <v>0</v>
      </c>
      <c r="BA127" s="31">
        <f>$I$61*$BA$61</f>
        <v>33218.318988873238</v>
      </c>
      <c r="BB127" s="31">
        <f>$I$61*$BB$61</f>
        <v>833.26698600027464</v>
      </c>
      <c r="BC127" s="31">
        <f>$I$61*$BC$61</f>
        <v>11426.969643285836</v>
      </c>
      <c r="BD127" s="31">
        <f>$I$61*$BD$61</f>
        <v>0</v>
      </c>
    </row>
    <row r="128" spans="1:56" ht="11.25" customHeight="1" x14ac:dyDescent="0.25">
      <c r="A128" s="9" t="s">
        <v>37</v>
      </c>
      <c r="B128" s="9" t="s">
        <v>1319</v>
      </c>
      <c r="C128" s="9" t="s">
        <v>1320</v>
      </c>
      <c r="D128" s="9" t="s">
        <v>1321</v>
      </c>
      <c r="E128" s="9" t="s">
        <v>1322</v>
      </c>
      <c r="F128" s="9" t="s">
        <v>1323</v>
      </c>
      <c r="G128" s="9" t="s">
        <v>1324</v>
      </c>
      <c r="L128" s="31">
        <f>$I$62*$L$62</f>
        <v>2772676.7984274537</v>
      </c>
      <c r="M128" s="31">
        <f>$I$62*$M$62</f>
        <v>535718.70716120733</v>
      </c>
      <c r="N128" s="31">
        <f ca="1">$I$62*$N$62</f>
        <v>2269077.0657465961</v>
      </c>
      <c r="O128" s="31">
        <f>$I$62*$O$62</f>
        <v>12186.618051492238</v>
      </c>
      <c r="P128" s="31">
        <f>$I$62*$P$62</f>
        <v>0</v>
      </c>
      <c r="Q128" s="31">
        <f>$I$62*$Q$62</f>
        <v>30713713.771548234</v>
      </c>
      <c r="R128" s="31">
        <f>$I$62*$R$62</f>
        <v>11746510.593057284</v>
      </c>
      <c r="S128" s="31">
        <f>$I$62*$S$62</f>
        <v>0</v>
      </c>
      <c r="T128" s="31">
        <f>$I$62*$T$62</f>
        <v>22460688.427809115</v>
      </c>
      <c r="U128" s="31">
        <f>$I$62*$U$62</f>
        <v>6931049.9056159481</v>
      </c>
      <c r="V128" s="31">
        <f>$I$62*$V$62</f>
        <v>1063215.4909602578</v>
      </c>
      <c r="W128" s="31">
        <f>$I$62*$W$62</f>
        <v>61844.057417248281</v>
      </c>
      <c r="X128" s="31">
        <f>$I$62*$X$62</f>
        <v>1299518.9247691012</v>
      </c>
      <c r="Y128" s="31">
        <f>$I$62*$Y$62</f>
        <v>0</v>
      </c>
      <c r="Z128" s="31">
        <f>$I$62*$Z$62</f>
        <v>0</v>
      </c>
      <c r="AA128" s="31">
        <f>$I$62*$AA$62</f>
        <v>147871100.98263589</v>
      </c>
      <c r="AB128" s="31">
        <f ca="1">$I$62*$AB$62</f>
        <v>-22538194.219862759</v>
      </c>
      <c r="AC128" s="31">
        <f ca="1">$I$62*$AC$62</f>
        <v>0</v>
      </c>
      <c r="AD128" s="31">
        <f>$I$62*$AD$62</f>
        <v>19613839.574473567</v>
      </c>
      <c r="AE128" s="31">
        <f>$I$62*$AE$62</f>
        <v>594527.00486851297</v>
      </c>
      <c r="AF128" s="31">
        <f ca="1">$I$62*$AF$62</f>
        <v>6642254.2267426085</v>
      </c>
      <c r="AG128" s="31">
        <f ca="1">$I$62*$AG$62</f>
        <v>0</v>
      </c>
      <c r="AI128" s="31">
        <f>$I$62*$AI$62</f>
        <v>2621012.6338324035</v>
      </c>
      <c r="AJ128" s="31">
        <f>$I$62*$AJ$62</f>
        <v>474631.73055646266</v>
      </c>
      <c r="AK128" s="31">
        <f>$I$62*$AK$62</f>
        <v>2377294.292185219</v>
      </c>
      <c r="AL128" s="31">
        <f>$I$62*$AL$62</f>
        <v>12110.328719872805</v>
      </c>
      <c r="AM128" s="31">
        <f>$I$62*$AM$62</f>
        <v>0</v>
      </c>
      <c r="AN128" s="31">
        <f>$I$62*$AN$62</f>
        <v>18141779.193343382</v>
      </c>
      <c r="AO128" s="31">
        <f>$I$62*$AO$62</f>
        <v>6563299.669587777</v>
      </c>
      <c r="AP128" s="31">
        <f>$I$62*$AP$62</f>
        <v>0</v>
      </c>
      <c r="AQ128" s="31">
        <f>$I$62*$AQ$62</f>
        <v>18668920.979790833</v>
      </c>
      <c r="AR128" s="31">
        <f>$I$62*$AR$62</f>
        <v>7976561.3372227671</v>
      </c>
      <c r="AS128" s="31">
        <f>$I$62*$AS$62</f>
        <v>1760267.719059655</v>
      </c>
      <c r="AT128" s="31">
        <f>$I$62*$AT$62</f>
        <v>0</v>
      </c>
      <c r="AU128" s="31">
        <f>$I$62*$AU$62</f>
        <v>1500516.0911970809</v>
      </c>
      <c r="AV128" s="31">
        <f>$I$62*$AV$62</f>
        <v>0</v>
      </c>
      <c r="AW128" s="31">
        <f>$I$62*$AW$62</f>
        <v>0</v>
      </c>
      <c r="AX128" s="31">
        <f>$I$62*$AX$62</f>
        <v>134704051.9332732</v>
      </c>
      <c r="AY128" s="31">
        <f>$I$62*$AY$62</f>
        <v>-2237474.5034451452</v>
      </c>
      <c r="AZ128" s="31">
        <f>$I$62*$AZ$62</f>
        <v>0</v>
      </c>
      <c r="BA128" s="31">
        <f>$I$62*$BA$62</f>
        <v>21518274.214735247</v>
      </c>
      <c r="BB128" s="31">
        <f>$I$62*$BB$62</f>
        <v>539776.48612640006</v>
      </c>
      <c r="BC128" s="31">
        <f>$I$62*$BC$62</f>
        <v>7402200.764886464</v>
      </c>
      <c r="BD128" s="31">
        <f>$I$62*$BD$62</f>
        <v>0</v>
      </c>
    </row>
    <row r="129" spans="1:56" ht="11.25" customHeight="1" x14ac:dyDescent="0.25">
      <c r="A129" s="9" t="s">
        <v>37</v>
      </c>
      <c r="B129" s="9" t="s">
        <v>1325</v>
      </c>
      <c r="C129" s="9" t="s">
        <v>1326</v>
      </c>
      <c r="D129" s="9" t="s">
        <v>1327</v>
      </c>
      <c r="E129" s="9" t="s">
        <v>1328</v>
      </c>
      <c r="F129" s="9" t="s">
        <v>1329</v>
      </c>
      <c r="G129" s="9" t="s">
        <v>1330</v>
      </c>
      <c r="L129" s="31">
        <f>$I$63*$L$63</f>
        <v>0</v>
      </c>
      <c r="M129" s="31">
        <f>$I$63*$M$63</f>
        <v>0</v>
      </c>
      <c r="N129" s="31">
        <f ca="1">$I$63*$N$63</f>
        <v>0</v>
      </c>
      <c r="O129" s="31">
        <f>$I$63*$O$63</f>
        <v>0</v>
      </c>
      <c r="P129" s="31">
        <f>$I$63*$P$63</f>
        <v>0</v>
      </c>
      <c r="Q129" s="31">
        <f>$I$63*$Q$63</f>
        <v>0</v>
      </c>
      <c r="R129" s="31">
        <f>$I$63*$R$63</f>
        <v>0</v>
      </c>
      <c r="S129" s="31">
        <f>$I$63*$S$63</f>
        <v>0</v>
      </c>
      <c r="T129" s="31">
        <f>$I$63*$T$63</f>
        <v>0</v>
      </c>
      <c r="U129" s="31">
        <f>$I$63*$U$63</f>
        <v>0</v>
      </c>
      <c r="V129" s="31">
        <f>$I$63*$V$63</f>
        <v>0</v>
      </c>
      <c r="W129" s="31">
        <f>$I$63*$W$63</f>
        <v>0</v>
      </c>
      <c r="X129" s="31">
        <f>$I$63*$X$63</f>
        <v>0</v>
      </c>
      <c r="Y129" s="31">
        <f>$I$63*$Y$63</f>
        <v>0</v>
      </c>
      <c r="Z129" s="31">
        <f>$I$63*$Z$63</f>
        <v>0</v>
      </c>
      <c r="AA129" s="31">
        <f>$I$63*$AA$63</f>
        <v>0</v>
      </c>
      <c r="AB129" s="31">
        <f ca="1">$I$63*$AB$63</f>
        <v>0</v>
      </c>
      <c r="AC129" s="31">
        <f ca="1">$I$63*$AC$63</f>
        <v>0</v>
      </c>
      <c r="AD129" s="31">
        <f>$I$63*$AD$63</f>
        <v>0</v>
      </c>
      <c r="AE129" s="31">
        <f>$I$63*$AE$63</f>
        <v>0</v>
      </c>
      <c r="AF129" s="31">
        <f ca="1">$I$63*$AF$63</f>
        <v>0</v>
      </c>
      <c r="AG129" s="31">
        <f ca="1">$I$63*$AG$63</f>
        <v>0</v>
      </c>
      <c r="AI129" s="31">
        <f>$I$63*$AI$63</f>
        <v>0</v>
      </c>
      <c r="AJ129" s="31">
        <f>$I$63*$AJ$63</f>
        <v>0</v>
      </c>
      <c r="AK129" s="31">
        <f>$I$63*$AK$63</f>
        <v>0</v>
      </c>
      <c r="AL129" s="31">
        <f>$I$63*$AL$63</f>
        <v>0</v>
      </c>
      <c r="AM129" s="31">
        <f>$I$63*$AM$63</f>
        <v>0</v>
      </c>
      <c r="AN129" s="31">
        <f>$I$63*$AN$63</f>
        <v>0</v>
      </c>
      <c r="AO129" s="31">
        <f>$I$63*$AO$63</f>
        <v>0</v>
      </c>
      <c r="AP129" s="31">
        <f>$I$63*$AP$63</f>
        <v>0</v>
      </c>
      <c r="AQ129" s="31">
        <f>$I$63*$AQ$63</f>
        <v>0</v>
      </c>
      <c r="AR129" s="31">
        <f>$I$63*$AR$63</f>
        <v>0</v>
      </c>
      <c r="AS129" s="31">
        <f>$I$63*$AS$63</f>
        <v>0</v>
      </c>
      <c r="AT129" s="31">
        <f>$I$63*$AT$63</f>
        <v>0</v>
      </c>
      <c r="AU129" s="31">
        <f>$I$63*$AU$63</f>
        <v>0</v>
      </c>
      <c r="AV129" s="31">
        <f>$I$63*$AV$63</f>
        <v>0</v>
      </c>
      <c r="AW129" s="31">
        <f>$I$63*$AW$63</f>
        <v>0</v>
      </c>
      <c r="AX129" s="31">
        <f>$I$63*$AX$63</f>
        <v>0</v>
      </c>
      <c r="AY129" s="31">
        <f>$I$63*$AY$63</f>
        <v>0</v>
      </c>
      <c r="AZ129" s="31">
        <f>$I$63*$AZ$63</f>
        <v>0</v>
      </c>
      <c r="BA129" s="31">
        <f>$I$63*$BA$63</f>
        <v>0</v>
      </c>
      <c r="BB129" s="31">
        <f>$I$63*$BB$63</f>
        <v>0</v>
      </c>
      <c r="BC129" s="31">
        <f>$I$63*$BC$63</f>
        <v>0</v>
      </c>
      <c r="BD129" s="31">
        <f>$I$63*$BD$63</f>
        <v>0</v>
      </c>
    </row>
    <row r="130" spans="1:56" ht="11.25" customHeight="1" x14ac:dyDescent="0.25">
      <c r="A130" s="9" t="s">
        <v>47</v>
      </c>
      <c r="B130" s="9" t="s">
        <v>1331</v>
      </c>
      <c r="C130" s="9" t="s">
        <v>1332</v>
      </c>
      <c r="D130" s="9" t="s">
        <v>1333</v>
      </c>
      <c r="E130" s="9" t="s">
        <v>1334</v>
      </c>
      <c r="F130" s="9" t="s">
        <v>1335</v>
      </c>
      <c r="G130" s="9" t="s">
        <v>1336</v>
      </c>
      <c r="L130" s="31">
        <f>$I$64*$L$64</f>
        <v>590979.8858206158</v>
      </c>
      <c r="M130" s="31">
        <f>$I$64*$M$64</f>
        <v>114185.31744113124</v>
      </c>
      <c r="N130" s="31">
        <f ca="1">$I$64*$N$64</f>
        <v>483640.54043141566</v>
      </c>
      <c r="O130" s="31">
        <f>$I$64*$O$64</f>
        <v>2597.5065498780946</v>
      </c>
      <c r="P130" s="31">
        <f>$I$64*$P$64</f>
        <v>0</v>
      </c>
      <c r="Q130" s="31">
        <f>$I$64*$Q$64</f>
        <v>6546448.9291111184</v>
      </c>
      <c r="R130" s="31">
        <f>$I$64*$R$64</f>
        <v>2503700.2123770178</v>
      </c>
      <c r="S130" s="31">
        <f>$I$64*$S$64</f>
        <v>0</v>
      </c>
      <c r="T130" s="31">
        <f>$I$64*$T$64</f>
        <v>4787364.7191938879</v>
      </c>
      <c r="U130" s="31">
        <f>$I$64*$U$64</f>
        <v>1477312.8567170347</v>
      </c>
      <c r="V130" s="31">
        <f>$I$64*$V$64</f>
        <v>226618.1798782933</v>
      </c>
      <c r="W130" s="31">
        <f>$I$64*$W$64</f>
        <v>13181.70008558438</v>
      </c>
      <c r="X130" s="31">
        <f>$I$64*$X$64</f>
        <v>276984.87837361509</v>
      </c>
      <c r="Y130" s="31">
        <f>$I$64*$Y$64</f>
        <v>0</v>
      </c>
      <c r="Z130" s="31">
        <f>$I$64*$Z$64</f>
        <v>0</v>
      </c>
      <c r="AA130" s="31">
        <f>$I$64*$AA$64</f>
        <v>31517862.602828495</v>
      </c>
      <c r="AB130" s="31">
        <f ca="1">$I$64*$AB$64</f>
        <v>-4803884.6266581388</v>
      </c>
      <c r="AC130" s="31">
        <f ca="1">$I$64*$AC$64</f>
        <v>0</v>
      </c>
      <c r="AD130" s="31">
        <f>$I$64*$AD$64</f>
        <v>4180575.4925350156</v>
      </c>
      <c r="AE130" s="31">
        <f>$I$64*$AE$64</f>
        <v>126719.96305293842</v>
      </c>
      <c r="AF130" s="31">
        <f ca="1">$I$64*$AF$64</f>
        <v>1415757.7423874983</v>
      </c>
      <c r="AG130" s="31">
        <f ca="1">$I$64*$AG$64</f>
        <v>0</v>
      </c>
      <c r="AI130" s="31">
        <f>$I$64*$AI$64</f>
        <v>558653.55383475299</v>
      </c>
      <c r="AJ130" s="31">
        <f>$I$64*$AJ$64</f>
        <v>101164.98471447748</v>
      </c>
      <c r="AK130" s="31">
        <f>$I$64*$AK$64</f>
        <v>506706.41098682571</v>
      </c>
      <c r="AL130" s="31">
        <f>$I$64*$AL$64</f>
        <v>2581.2459238594515</v>
      </c>
      <c r="AM130" s="31">
        <f>$I$64*$AM$64</f>
        <v>0</v>
      </c>
      <c r="AN130" s="31">
        <f>$I$64*$AN$64</f>
        <v>3866814.4092184403</v>
      </c>
      <c r="AO130" s="31">
        <f>$I$64*$AO$64</f>
        <v>1398929.0390929661</v>
      </c>
      <c r="AP130" s="31">
        <f>$I$64*$AP$64</f>
        <v>0</v>
      </c>
      <c r="AQ130" s="31">
        <f>$I$64*$AQ$64</f>
        <v>3979171.606040902</v>
      </c>
      <c r="AR130" s="31">
        <f>$I$64*$AR$64</f>
        <v>1700157.5196166404</v>
      </c>
      <c r="AS130" s="31">
        <f>$I$64*$AS$64</f>
        <v>375190.79620588862</v>
      </c>
      <c r="AT130" s="31">
        <f>$I$64*$AT$64</f>
        <v>0</v>
      </c>
      <c r="AU130" s="31">
        <f>$I$64*$AU$64</f>
        <v>319826.25192759139</v>
      </c>
      <c r="AV130" s="31">
        <f>$I$64*$AV$64</f>
        <v>0</v>
      </c>
      <c r="AW130" s="31">
        <f>$I$64*$AW$64</f>
        <v>0</v>
      </c>
      <c r="AX130" s="31">
        <f>$I$64*$AX$64</f>
        <v>28711382.904870257</v>
      </c>
      <c r="AY130" s="31">
        <f>$I$64*$AY$64</f>
        <v>-476904.63862304803</v>
      </c>
      <c r="AZ130" s="31">
        <f>$I$64*$AZ$64</f>
        <v>0</v>
      </c>
      <c r="BA130" s="31">
        <f>$I$64*$BA$64</f>
        <v>4586494.627030978</v>
      </c>
      <c r="BB130" s="31">
        <f>$I$64*$BB$64</f>
        <v>115050.2093574537</v>
      </c>
      <c r="BC130" s="31">
        <f>$I$64*$BC$64</f>
        <v>1577735.9140217674</v>
      </c>
      <c r="BD130" s="31">
        <f>$I$64*$BD$64</f>
        <v>0</v>
      </c>
    </row>
    <row r="131" spans="1:56" ht="11.25" customHeight="1" x14ac:dyDescent="0.25">
      <c r="A131" s="9" t="s">
        <v>47</v>
      </c>
      <c r="B131" s="9" t="s">
        <v>1331</v>
      </c>
      <c r="C131" s="9" t="s">
        <v>1332</v>
      </c>
      <c r="D131" s="9" t="s">
        <v>1337</v>
      </c>
      <c r="E131" s="9" t="s">
        <v>1338</v>
      </c>
      <c r="F131" s="9" t="s">
        <v>1339</v>
      </c>
      <c r="G131" s="9" t="s">
        <v>1340</v>
      </c>
      <c r="L131" s="31">
        <f>$I$65*$L$65</f>
        <v>0</v>
      </c>
      <c r="M131" s="31">
        <f>$I$65*$M$65</f>
        <v>0</v>
      </c>
      <c r="N131" s="31">
        <f ca="1">$I$65*$N$65</f>
        <v>0</v>
      </c>
      <c r="O131" s="31">
        <f>$I$65*$O$65</f>
        <v>0</v>
      </c>
      <c r="P131" s="31">
        <f>$I$65*$P$65</f>
        <v>0</v>
      </c>
      <c r="Q131" s="31">
        <f>$I$65*$Q$65</f>
        <v>0</v>
      </c>
      <c r="R131" s="31">
        <f>$I$65*$R$65</f>
        <v>0</v>
      </c>
      <c r="S131" s="31">
        <f>$I$65*$S$65</f>
        <v>0</v>
      </c>
      <c r="T131" s="31">
        <f>$I$65*$T$65</f>
        <v>0</v>
      </c>
      <c r="U131" s="31">
        <f>$I$65*$U$65</f>
        <v>0</v>
      </c>
      <c r="V131" s="31">
        <f>$I$65*$V$65</f>
        <v>0</v>
      </c>
      <c r="W131" s="31">
        <f>$I$65*$W$65</f>
        <v>0</v>
      </c>
      <c r="X131" s="31">
        <f>$I$65*$X$65</f>
        <v>0</v>
      </c>
      <c r="Y131" s="31">
        <f>$I$65*$Y$65</f>
        <v>0</v>
      </c>
      <c r="Z131" s="31">
        <f>$I$65*$Z$65</f>
        <v>0</v>
      </c>
      <c r="AA131" s="31">
        <f>$I$65*$AA$65</f>
        <v>0</v>
      </c>
      <c r="AB131" s="31">
        <f ca="1">$I$65*$AB$65</f>
        <v>0</v>
      </c>
      <c r="AC131" s="31">
        <f ca="1">$I$65*$AC$65</f>
        <v>0</v>
      </c>
      <c r="AD131" s="31">
        <f>$I$65*$AD$65</f>
        <v>0</v>
      </c>
      <c r="AE131" s="31">
        <f>$I$65*$AE$65</f>
        <v>0</v>
      </c>
      <c r="AF131" s="31">
        <f ca="1">$I$65*$AF$65</f>
        <v>0</v>
      </c>
      <c r="AG131" s="31">
        <f ca="1">$I$65*$AG$65</f>
        <v>0</v>
      </c>
      <c r="AI131" s="31">
        <f>$I$65*$AI$65</f>
        <v>0</v>
      </c>
      <c r="AJ131" s="31">
        <f>$I$65*$AJ$65</f>
        <v>0</v>
      </c>
      <c r="AK131" s="31">
        <f>$I$65*$AK$65</f>
        <v>0</v>
      </c>
      <c r="AL131" s="31">
        <f>$I$65*$AL$65</f>
        <v>0</v>
      </c>
      <c r="AM131" s="31">
        <f>$I$65*$AM$65</f>
        <v>0</v>
      </c>
      <c r="AN131" s="31">
        <f>$I$65*$AN$65</f>
        <v>0</v>
      </c>
      <c r="AO131" s="31">
        <f>$I$65*$AO$65</f>
        <v>0</v>
      </c>
      <c r="AP131" s="31">
        <f>$I$65*$AP$65</f>
        <v>0</v>
      </c>
      <c r="AQ131" s="31">
        <f>$I$65*$AQ$65</f>
        <v>0</v>
      </c>
      <c r="AR131" s="31">
        <f>$I$65*$AR$65</f>
        <v>0</v>
      </c>
      <c r="AS131" s="31">
        <f>$I$65*$AS$65</f>
        <v>0</v>
      </c>
      <c r="AT131" s="31">
        <f>$I$65*$AT$65</f>
        <v>0</v>
      </c>
      <c r="AU131" s="31">
        <f>$I$65*$AU$65</f>
        <v>0</v>
      </c>
      <c r="AV131" s="31">
        <f>$I$65*$AV$65</f>
        <v>0</v>
      </c>
      <c r="AW131" s="31">
        <f>$I$65*$AW$65</f>
        <v>0</v>
      </c>
      <c r="AX131" s="31">
        <f>$I$65*$AX$65</f>
        <v>0</v>
      </c>
      <c r="AY131" s="31">
        <f>$I$65*$AY$65</f>
        <v>0</v>
      </c>
      <c r="AZ131" s="31">
        <f>$I$65*$AZ$65</f>
        <v>0</v>
      </c>
      <c r="BA131" s="31">
        <f>$I$65*$BA$65</f>
        <v>0</v>
      </c>
      <c r="BB131" s="31">
        <f>$I$65*$BB$65</f>
        <v>0</v>
      </c>
      <c r="BC131" s="31">
        <f>$I$65*$BC$65</f>
        <v>0</v>
      </c>
      <c r="BD131" s="31">
        <f>$I$65*$BD$65</f>
        <v>0</v>
      </c>
    </row>
  </sheetData>
  <mergeCells count="105">
    <mergeCell ref="AQ69:AW69"/>
    <mergeCell ref="AY69:AZ69"/>
    <mergeCell ref="BA69:BD69"/>
    <mergeCell ref="BA3:BD3"/>
    <mergeCell ref="L67:AG67"/>
    <mergeCell ref="AI67:BD67"/>
    <mergeCell ref="L68:AG68"/>
    <mergeCell ref="AI68:BD68"/>
    <mergeCell ref="L69:S69"/>
    <mergeCell ref="T69:Z69"/>
    <mergeCell ref="AB69:AC69"/>
    <mergeCell ref="AD69:AG69"/>
    <mergeCell ref="AI69:AP69"/>
    <mergeCell ref="AB3:AC3"/>
    <mergeCell ref="AD3:AG3"/>
    <mergeCell ref="E59:E61"/>
    <mergeCell ref="F59:F61"/>
    <mergeCell ref="A64:A65"/>
    <mergeCell ref="B64:B65"/>
    <mergeCell ref="C64:C65"/>
    <mergeCell ref="AI1:BD1"/>
    <mergeCell ref="AI2:BD2"/>
    <mergeCell ref="AI3:AP3"/>
    <mergeCell ref="AQ3:AW3"/>
    <mergeCell ref="AY3:AZ3"/>
    <mergeCell ref="B56:B58"/>
    <mergeCell ref="C56:C58"/>
    <mergeCell ref="A59:A63"/>
    <mergeCell ref="B59:B61"/>
    <mergeCell ref="C59:C61"/>
    <mergeCell ref="D59:D61"/>
    <mergeCell ref="F48:F50"/>
    <mergeCell ref="B52:B54"/>
    <mergeCell ref="C52:C54"/>
    <mergeCell ref="D52:D54"/>
    <mergeCell ref="E52:E54"/>
    <mergeCell ref="F52:F54"/>
    <mergeCell ref="A44:A58"/>
    <mergeCell ref="B44:B46"/>
    <mergeCell ref="C44:C46"/>
    <mergeCell ref="D44:D46"/>
    <mergeCell ref="E44:E46"/>
    <mergeCell ref="F44:F46"/>
    <mergeCell ref="B48:B50"/>
    <mergeCell ref="C48:C50"/>
    <mergeCell ref="D48:D50"/>
    <mergeCell ref="E48:E50"/>
    <mergeCell ref="E31:E33"/>
    <mergeCell ref="F31:F33"/>
    <mergeCell ref="B34:B38"/>
    <mergeCell ref="C34:C38"/>
    <mergeCell ref="B39:B43"/>
    <mergeCell ref="C39:C43"/>
    <mergeCell ref="E17:E22"/>
    <mergeCell ref="F17:F19"/>
    <mergeCell ref="F20:F22"/>
    <mergeCell ref="A29:A30"/>
    <mergeCell ref="B29:B30"/>
    <mergeCell ref="C29:C30"/>
    <mergeCell ref="D29:D30"/>
    <mergeCell ref="A31:A43"/>
    <mergeCell ref="B31:B33"/>
    <mergeCell ref="C31:C33"/>
    <mergeCell ref="D31:D33"/>
    <mergeCell ref="B24:B28"/>
    <mergeCell ref="C24:C28"/>
    <mergeCell ref="D24:D28"/>
    <mergeCell ref="C9:C11"/>
    <mergeCell ref="D9:D11"/>
    <mergeCell ref="E9:E11"/>
    <mergeCell ref="F9:F11"/>
    <mergeCell ref="A13:A28"/>
    <mergeCell ref="B13:B16"/>
    <mergeCell ref="C13:C16"/>
    <mergeCell ref="D13:D16"/>
    <mergeCell ref="E13:E15"/>
    <mergeCell ref="F13:F15"/>
    <mergeCell ref="A5:A12"/>
    <mergeCell ref="B5:B8"/>
    <mergeCell ref="C5:C8"/>
    <mergeCell ref="D5:D8"/>
    <mergeCell ref="E5:E7"/>
    <mergeCell ref="F5:F7"/>
    <mergeCell ref="B9:B11"/>
    <mergeCell ref="E24:E26"/>
    <mergeCell ref="F24:F26"/>
    <mergeCell ref="E27:E28"/>
    <mergeCell ref="F27:F28"/>
    <mergeCell ref="B17:B22"/>
    <mergeCell ref="C17:C22"/>
    <mergeCell ref="D17:D22"/>
    <mergeCell ref="G1:G4"/>
    <mergeCell ref="H1:H4"/>
    <mergeCell ref="I1:I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  <mergeCell ref="F1:F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E8CBC-1D04-4E6D-B7CC-15A9E0A0C1F8}">
  <dimension ref="A1:AH89"/>
  <sheetViews>
    <sheetView showGridLines="0" topLeftCell="L1" workbookViewId="0">
      <selection activeCell="V45" sqref="V45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6" style="9" bestFit="1" customWidth="1"/>
    <col min="15" max="15" width="11.140625" style="9" bestFit="1" customWidth="1"/>
    <col min="16" max="16" width="11.42578125" style="9" bestFit="1" customWidth="1"/>
    <col min="17" max="17" width="15" style="9" bestFit="1" customWidth="1"/>
    <col min="18" max="18" width="6" style="9" bestFit="1" customWidth="1"/>
    <col min="19" max="19" width="10.42578125" style="9" bestFit="1" customWidth="1"/>
    <col min="20" max="20" width="7" style="9" bestFit="1" customWidth="1"/>
    <col min="21" max="21" width="11.42578125" style="9" bestFit="1" customWidth="1"/>
    <col min="22" max="22" width="11" style="9" bestFit="1" customWidth="1"/>
    <col min="23" max="23" width="9.140625" style="9"/>
    <col min="24" max="24" width="10" style="9" bestFit="1" customWidth="1"/>
    <col min="25" max="25" width="10.85546875" style="9" bestFit="1" customWidth="1"/>
    <col min="26" max="26" width="6" style="9" bestFit="1" customWidth="1"/>
    <col min="27" max="27" width="11.140625" style="9" bestFit="1" customWidth="1"/>
    <col min="28" max="28" width="11.42578125" style="9" bestFit="1" customWidth="1"/>
    <col min="29" max="29" width="15" style="9" bestFit="1" customWidth="1"/>
    <col min="30" max="30" width="6" style="9" bestFit="1" customWidth="1"/>
    <col min="31" max="31" width="10.42578125" style="9" bestFit="1" customWidth="1"/>
    <col min="32" max="32" width="7" style="9" bestFit="1" customWidth="1"/>
    <col min="33" max="33" width="11.425781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07" t="s">
        <v>92</v>
      </c>
      <c r="B1" s="107" t="s">
        <v>93</v>
      </c>
      <c r="C1" s="107" t="s">
        <v>94</v>
      </c>
      <c r="D1" s="107" t="s">
        <v>95</v>
      </c>
      <c r="E1" s="107" t="s">
        <v>96</v>
      </c>
      <c r="F1" s="107" t="s">
        <v>15</v>
      </c>
      <c r="G1" s="107" t="s">
        <v>98</v>
      </c>
      <c r="H1" s="107" t="s">
        <v>99</v>
      </c>
      <c r="I1" s="107" t="s">
        <v>924</v>
      </c>
      <c r="J1" s="93"/>
      <c r="L1" s="105" t="s">
        <v>1341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X1" s="105" t="s">
        <v>1342</v>
      </c>
      <c r="Y1" s="105"/>
      <c r="Z1" s="105"/>
      <c r="AA1" s="105"/>
      <c r="AB1" s="105"/>
      <c r="AC1" s="105"/>
      <c r="AD1" s="105"/>
      <c r="AE1" s="105"/>
      <c r="AF1" s="105"/>
      <c r="AG1" s="105"/>
      <c r="AH1" s="105"/>
    </row>
    <row r="2" spans="1:34" ht="11.25" customHeight="1" x14ac:dyDescent="0.25">
      <c r="A2" s="107"/>
      <c r="B2" s="107"/>
      <c r="C2" s="107"/>
      <c r="D2" s="107"/>
      <c r="E2" s="107"/>
      <c r="F2" s="107"/>
      <c r="G2" s="107"/>
      <c r="H2" s="107"/>
      <c r="I2" s="107"/>
      <c r="J2" s="93"/>
      <c r="L2" s="105" t="s">
        <v>862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X2" s="105" t="s">
        <v>862</v>
      </c>
      <c r="Y2" s="105"/>
      <c r="Z2" s="105"/>
      <c r="AA2" s="105"/>
      <c r="AB2" s="105"/>
      <c r="AC2" s="105"/>
      <c r="AD2" s="105"/>
      <c r="AE2" s="105"/>
      <c r="AF2" s="105"/>
      <c r="AG2" s="105"/>
      <c r="AH2" s="105"/>
    </row>
    <row r="3" spans="1:34" ht="11.25" customHeight="1" x14ac:dyDescent="0.25">
      <c r="A3" s="107"/>
      <c r="B3" s="107"/>
      <c r="C3" s="107"/>
      <c r="D3" s="107"/>
      <c r="E3" s="107"/>
      <c r="F3" s="107"/>
      <c r="G3" s="107"/>
      <c r="H3" s="107"/>
      <c r="I3" s="107"/>
      <c r="J3" s="93"/>
      <c r="L3" s="105" t="s">
        <v>835</v>
      </c>
      <c r="M3" s="105"/>
      <c r="N3" s="105"/>
      <c r="O3" s="105"/>
      <c r="P3" s="105"/>
      <c r="Q3" s="44" t="s">
        <v>866</v>
      </c>
      <c r="R3" s="105" t="s">
        <v>844</v>
      </c>
      <c r="S3" s="105"/>
      <c r="T3" s="105"/>
      <c r="U3" s="44" t="s">
        <v>854</v>
      </c>
      <c r="V3" s="44" t="s">
        <v>857</v>
      </c>
      <c r="X3" s="105" t="s">
        <v>835</v>
      </c>
      <c r="Y3" s="105"/>
      <c r="Z3" s="105"/>
      <c r="AA3" s="105"/>
      <c r="AB3" s="105"/>
      <c r="AC3" s="44" t="s">
        <v>866</v>
      </c>
      <c r="AD3" s="105" t="s">
        <v>844</v>
      </c>
      <c r="AE3" s="105"/>
      <c r="AF3" s="105"/>
      <c r="AG3" s="44" t="s">
        <v>854</v>
      </c>
      <c r="AH3" s="44" t="s">
        <v>857</v>
      </c>
    </row>
    <row r="4" spans="1:34" ht="11.25" customHeight="1" x14ac:dyDescent="0.25">
      <c r="A4" s="107"/>
      <c r="B4" s="107"/>
      <c r="C4" s="107"/>
      <c r="D4" s="107"/>
      <c r="E4" s="107"/>
      <c r="F4" s="107"/>
      <c r="G4" s="107"/>
      <c r="H4" s="107"/>
      <c r="I4" s="107"/>
      <c r="J4" s="93"/>
      <c r="L4" s="44" t="s">
        <v>837</v>
      </c>
      <c r="M4" s="44" t="s">
        <v>863</v>
      </c>
      <c r="N4" s="44" t="s">
        <v>864</v>
      </c>
      <c r="O4" s="44" t="s">
        <v>923</v>
      </c>
      <c r="P4" s="44" t="s">
        <v>865</v>
      </c>
      <c r="Q4" s="44" t="s">
        <v>867</v>
      </c>
      <c r="R4" s="44" t="s">
        <v>868</v>
      </c>
      <c r="S4" s="44" t="s">
        <v>869</v>
      </c>
      <c r="T4" s="44" t="s">
        <v>870</v>
      </c>
      <c r="U4" s="44" t="s">
        <v>855</v>
      </c>
      <c r="V4" s="44" t="s">
        <v>871</v>
      </c>
      <c r="X4" s="44" t="s">
        <v>837</v>
      </c>
      <c r="Y4" s="44" t="s">
        <v>863</v>
      </c>
      <c r="Z4" s="44" t="s">
        <v>864</v>
      </c>
      <c r="AA4" s="44" t="s">
        <v>923</v>
      </c>
      <c r="AB4" s="44" t="s">
        <v>865</v>
      </c>
      <c r="AC4" s="44" t="s">
        <v>867</v>
      </c>
      <c r="AD4" s="44" t="s">
        <v>868</v>
      </c>
      <c r="AE4" s="44" t="s">
        <v>869</v>
      </c>
      <c r="AF4" s="44" t="s">
        <v>870</v>
      </c>
      <c r="AG4" s="44" t="s">
        <v>855</v>
      </c>
      <c r="AH4" s="44" t="s">
        <v>871</v>
      </c>
    </row>
    <row r="5" spans="1:34" ht="11.25" customHeight="1" x14ac:dyDescent="0.25">
      <c r="A5" s="108" t="s">
        <v>39</v>
      </c>
      <c r="B5" s="108" t="s">
        <v>101</v>
      </c>
      <c r="C5" s="108" t="s">
        <v>25</v>
      </c>
      <c r="D5" s="108" t="s">
        <v>25</v>
      </c>
      <c r="E5" s="108" t="s">
        <v>25</v>
      </c>
      <c r="F5" s="108" t="s">
        <v>25</v>
      </c>
      <c r="G5" s="43" t="s">
        <v>103</v>
      </c>
      <c r="H5" s="43" t="s">
        <v>102</v>
      </c>
      <c r="I5" s="43">
        <f>'MERCADO TE'!$U$2</f>
        <v>7394.5769999999993</v>
      </c>
      <c r="J5" s="15"/>
      <c r="L5" s="40">
        <f>('TE BE'!$L$5+'TE BF'!$L$5+'TE CVA'!$L$5)*1</f>
        <v>2.529240889876224</v>
      </c>
      <c r="M5" s="40">
        <f>('TE BE'!$M$5+'TE BF'!$M$5+'TE CVA'!$M$5)*1</f>
        <v>58.712738107516927</v>
      </c>
      <c r="N5" s="40">
        <f>('TE BE'!$N$5+'TE BF'!$N$5+'TE CVA'!$N$5)*1</f>
        <v>0</v>
      </c>
      <c r="O5" s="40">
        <f>('TE BE'!$O$5+'TE BF'!$O$5+'TE CVA'!$O$5)*1</f>
        <v>5.6985652074762694</v>
      </c>
      <c r="P5" s="40">
        <f>('TE BE'!$P$5+'TE BF'!$P$5+'TE CVA'!$P$5)*1</f>
        <v>-17.093827857921234</v>
      </c>
      <c r="Q5" s="40">
        <f>('TE BE'!$R$5+'TE BF'!$R$5+'TE CVA'!$R$5)*1</f>
        <v>339.76227815273677</v>
      </c>
      <c r="R5" s="40">
        <f>('TE BE'!$T$5+'TE BF'!$T$5+'TE CVA'!$T$5)*1</f>
        <v>0</v>
      </c>
      <c r="S5" s="40">
        <f>('TE BE'!$U$5+'TE BF'!$U$5+'TE CVA'!$U$5)*1</f>
        <v>0</v>
      </c>
      <c r="T5" s="40">
        <f>('TE BE'!$V$5+'TE BF'!$V$5+'TE CVA'!$V$5)*1</f>
        <v>2.6775784651651382E-13</v>
      </c>
      <c r="U5" s="40">
        <f>('TE BE'!$X$5+'TE BF'!$X$5+'TE CVA'!$X$5)*1</f>
        <v>-34.82919728865982</v>
      </c>
      <c r="V5" s="40">
        <f>('TE BE'!$Z$5+'TE BF'!$Z$5+'TE CVA'!$Z$5)*1</f>
        <v>5.4804946646457644</v>
      </c>
      <c r="X5" s="40">
        <v>2.4065652767022101</v>
      </c>
      <c r="Y5" s="40">
        <v>15.3126941095431</v>
      </c>
      <c r="Z5" s="40">
        <v>0</v>
      </c>
      <c r="AA5" s="40">
        <v>0</v>
      </c>
      <c r="AB5" s="40">
        <v>0</v>
      </c>
      <c r="AC5" s="40">
        <v>373.248462788192</v>
      </c>
      <c r="AD5" s="40">
        <v>0</v>
      </c>
      <c r="AE5" s="40">
        <v>0</v>
      </c>
      <c r="AF5" s="40">
        <v>2.7097819992040501E-13</v>
      </c>
      <c r="AG5" s="40">
        <v>-3.65995320927277</v>
      </c>
      <c r="AH5" s="40">
        <v>5.1335901940711199</v>
      </c>
    </row>
    <row r="6" spans="1:34" ht="11.25" customHeight="1" x14ac:dyDescent="0.25">
      <c r="A6" s="108"/>
      <c r="B6" s="108"/>
      <c r="C6" s="108"/>
      <c r="D6" s="108"/>
      <c r="E6" s="108"/>
      <c r="F6" s="108"/>
      <c r="G6" s="43" t="s">
        <v>104</v>
      </c>
      <c r="H6" s="43" t="s">
        <v>102</v>
      </c>
      <c r="I6" s="43">
        <f>'MERCADO TE'!$U$3</f>
        <v>86286.733999999997</v>
      </c>
      <c r="J6" s="15"/>
      <c r="L6" s="40">
        <f>('TE BE'!$L$6+'TE BF'!$L$6+'TE CVA'!$L$6)*1</f>
        <v>2.529240889876224</v>
      </c>
      <c r="M6" s="40">
        <f>('TE BE'!$M$6+'TE BF'!$M$6+'TE CVA'!$M$6)*1</f>
        <v>58.712738107516927</v>
      </c>
      <c r="N6" s="40">
        <f>('TE BE'!$N$6+'TE BF'!$N$6+'TE CVA'!$N$6)*1</f>
        <v>0</v>
      </c>
      <c r="O6" s="40">
        <f>('TE BE'!$O$6+'TE BF'!$O$6+'TE CVA'!$O$6)*1</f>
        <v>5.6985652074762694</v>
      </c>
      <c r="P6" s="40">
        <f>('TE BE'!$P$6+'TE BF'!$P$6+'TE CVA'!$P$6)*1</f>
        <v>-17.093827857921234</v>
      </c>
      <c r="Q6" s="40">
        <f>('TE BE'!$R$6+'TE BF'!$R$6+'TE CVA'!$R$6)*1</f>
        <v>197.53620822833531</v>
      </c>
      <c r="R6" s="40">
        <f>('TE BE'!$T$6+'TE BF'!$T$6+'TE CVA'!$T$6)*1</f>
        <v>0</v>
      </c>
      <c r="S6" s="40">
        <f>('TE BE'!$U$6+'TE BF'!$U$6+'TE CVA'!$U$6)*1</f>
        <v>0</v>
      </c>
      <c r="T6" s="40">
        <f>('TE BE'!$V$6+'TE BF'!$V$6+'TE CVA'!$V$6)*1</f>
        <v>2.6775784651651382E-13</v>
      </c>
      <c r="U6" s="40">
        <f>('TE BE'!$X$6+'TE BF'!$X$6+'TE CVA'!$X$6)*1</f>
        <v>-21.100845396607767</v>
      </c>
      <c r="V6" s="40">
        <f>('TE BE'!$Z$6+'TE BF'!$Z$6+'TE CVA'!$Z$6)*1</f>
        <v>5.4804946646457644</v>
      </c>
      <c r="X6" s="40">
        <v>2.4065652767022101</v>
      </c>
      <c r="Y6" s="40">
        <v>15.3126941095431</v>
      </c>
      <c r="Z6" s="40">
        <v>0</v>
      </c>
      <c r="AA6" s="40">
        <v>0</v>
      </c>
      <c r="AB6" s="40">
        <v>0</v>
      </c>
      <c r="AC6" s="40">
        <v>217.00492022569301</v>
      </c>
      <c r="AD6" s="40">
        <v>0</v>
      </c>
      <c r="AE6" s="40">
        <v>0</v>
      </c>
      <c r="AF6" s="40">
        <v>2.7097819992040501E-13</v>
      </c>
      <c r="AG6" s="40">
        <v>-2.2160267905011</v>
      </c>
      <c r="AH6" s="40">
        <v>5.1335901940711199</v>
      </c>
    </row>
    <row r="7" spans="1:34" ht="11.25" customHeight="1" x14ac:dyDescent="0.25">
      <c r="A7" s="108" t="s">
        <v>41</v>
      </c>
      <c r="B7" s="108" t="s">
        <v>101</v>
      </c>
      <c r="C7" s="108" t="s">
        <v>25</v>
      </c>
      <c r="D7" s="108" t="s">
        <v>25</v>
      </c>
      <c r="E7" s="108" t="s">
        <v>25</v>
      </c>
      <c r="F7" s="108" t="s">
        <v>25</v>
      </c>
      <c r="G7" s="43" t="s">
        <v>103</v>
      </c>
      <c r="H7" s="43" t="s">
        <v>102</v>
      </c>
      <c r="I7" s="43">
        <f>'MERCADO TE'!$U$4</f>
        <v>39726.173999999992</v>
      </c>
      <c r="J7" s="15"/>
      <c r="L7" s="40">
        <f>('TE BE'!$L$7+'TE BF'!$L$7+'TE CVA'!$L$7)*1</f>
        <v>2.529240889876224</v>
      </c>
      <c r="M7" s="40">
        <f>('TE BE'!$M$7+'TE BF'!$M$7+'TE CVA'!$M$7)*1</f>
        <v>58.712738107516927</v>
      </c>
      <c r="N7" s="40">
        <f>('TE BE'!$N$7+'TE BF'!$N$7+'TE CVA'!$N$7)*1</f>
        <v>0</v>
      </c>
      <c r="O7" s="40">
        <f>('TE BE'!$O$7+'TE BF'!$O$7+'TE CVA'!$O$7)*1</f>
        <v>5.6985652074762694</v>
      </c>
      <c r="P7" s="40">
        <f>('TE BE'!$P$7+'TE BF'!$P$7+'TE CVA'!$P$7)*1</f>
        <v>-17.093827857921234</v>
      </c>
      <c r="Q7" s="40">
        <f>('TE BE'!$R$7+'TE BF'!$R$7+'TE CVA'!$R$7)*1</f>
        <v>339.76227815273677</v>
      </c>
      <c r="R7" s="40">
        <f>('TE BE'!$T$7+'TE BF'!$T$7+'TE CVA'!$T$7)*1</f>
        <v>0</v>
      </c>
      <c r="S7" s="40">
        <f>('TE BE'!$U$7+'TE BF'!$U$7+'TE CVA'!$U$7)*1</f>
        <v>0</v>
      </c>
      <c r="T7" s="40">
        <f>('TE BE'!$V$7+'TE BF'!$V$7+'TE CVA'!$V$7)*1</f>
        <v>2.6775784651651382E-13</v>
      </c>
      <c r="U7" s="40">
        <f>('TE BE'!$X$7+'TE BF'!$X$7+'TE CVA'!$X$7)*1</f>
        <v>-34.82919728865982</v>
      </c>
      <c r="V7" s="40">
        <f>('TE BE'!$Z$7+'TE BF'!$Z$7+'TE CVA'!$Z$7)*1</f>
        <v>5.4804946646457644</v>
      </c>
      <c r="X7" s="40">
        <v>2.4065652767022101</v>
      </c>
      <c r="Y7" s="40">
        <v>15.3126941095431</v>
      </c>
      <c r="Z7" s="40">
        <v>0</v>
      </c>
      <c r="AA7" s="40">
        <v>0</v>
      </c>
      <c r="AB7" s="40">
        <v>0</v>
      </c>
      <c r="AC7" s="40">
        <v>373.248462788192</v>
      </c>
      <c r="AD7" s="40">
        <v>0</v>
      </c>
      <c r="AE7" s="40">
        <v>0</v>
      </c>
      <c r="AF7" s="40">
        <v>2.7097819992040501E-13</v>
      </c>
      <c r="AG7" s="40">
        <v>-3.65995320927277</v>
      </c>
      <c r="AH7" s="40">
        <v>5.1335901940711199</v>
      </c>
    </row>
    <row r="8" spans="1:34" ht="11.25" customHeight="1" x14ac:dyDescent="0.25">
      <c r="A8" s="108"/>
      <c r="B8" s="108"/>
      <c r="C8" s="108"/>
      <c r="D8" s="108"/>
      <c r="E8" s="108"/>
      <c r="F8" s="108"/>
      <c r="G8" s="43" t="s">
        <v>104</v>
      </c>
      <c r="H8" s="43" t="s">
        <v>102</v>
      </c>
      <c r="I8" s="43">
        <f>'MERCADO TE'!$U$5</f>
        <v>550599.2379999999</v>
      </c>
      <c r="J8" s="15"/>
      <c r="L8" s="40">
        <f>('TE BE'!$L$8+'TE BF'!$L$8+'TE CVA'!$L$8)*1</f>
        <v>2.529240889876224</v>
      </c>
      <c r="M8" s="40">
        <f>('TE BE'!$M$8+'TE BF'!$M$8+'TE CVA'!$M$8)*1</f>
        <v>58.712738107516927</v>
      </c>
      <c r="N8" s="40">
        <f>('TE BE'!$N$8+'TE BF'!$N$8+'TE CVA'!$N$8)*1</f>
        <v>0</v>
      </c>
      <c r="O8" s="40">
        <f>('TE BE'!$O$8+'TE BF'!$O$8+'TE CVA'!$O$8)*1</f>
        <v>5.6985652074762694</v>
      </c>
      <c r="P8" s="40">
        <f>('TE BE'!$P$8+'TE BF'!$P$8+'TE CVA'!$P$8)*1</f>
        <v>-17.093827857921234</v>
      </c>
      <c r="Q8" s="40">
        <f>('TE BE'!$R$8+'TE BF'!$R$8+'TE CVA'!$R$8)*1</f>
        <v>197.53620822833531</v>
      </c>
      <c r="R8" s="40">
        <f>('TE BE'!$T$8+'TE BF'!$T$8+'TE CVA'!$T$8)*1</f>
        <v>0</v>
      </c>
      <c r="S8" s="40">
        <f>('TE BE'!$U$8+'TE BF'!$U$8+'TE CVA'!$U$8)*1</f>
        <v>0</v>
      </c>
      <c r="T8" s="40">
        <f>('TE BE'!$V$8+'TE BF'!$V$8+'TE CVA'!$V$8)*1</f>
        <v>2.6775784651651382E-13</v>
      </c>
      <c r="U8" s="40">
        <f>('TE BE'!$X$8+'TE BF'!$X$8+'TE CVA'!$X$8)*1</f>
        <v>-21.100845396607767</v>
      </c>
      <c r="V8" s="40">
        <f>('TE BE'!$Z$8+'TE BF'!$Z$8+'TE CVA'!$Z$8)*1</f>
        <v>5.4804946646457644</v>
      </c>
      <c r="X8" s="40">
        <v>2.4065652767022101</v>
      </c>
      <c r="Y8" s="40">
        <v>15.3126941095431</v>
      </c>
      <c r="Z8" s="40">
        <v>0</v>
      </c>
      <c r="AA8" s="40">
        <v>0</v>
      </c>
      <c r="AB8" s="40">
        <v>0</v>
      </c>
      <c r="AC8" s="40">
        <v>217.00492022569301</v>
      </c>
      <c r="AD8" s="40">
        <v>0</v>
      </c>
      <c r="AE8" s="40">
        <v>0</v>
      </c>
      <c r="AF8" s="40">
        <v>2.7097819992040501E-13</v>
      </c>
      <c r="AG8" s="40">
        <v>-2.2160267905011</v>
      </c>
      <c r="AH8" s="40">
        <v>5.1335901940711199</v>
      </c>
    </row>
    <row r="9" spans="1:34" ht="11.25" customHeight="1" x14ac:dyDescent="0.25">
      <c r="A9" s="108"/>
      <c r="B9" s="42" t="s">
        <v>109</v>
      </c>
      <c r="C9" s="42" t="s">
        <v>25</v>
      </c>
      <c r="D9" s="42" t="s">
        <v>25</v>
      </c>
      <c r="E9" s="42" t="s">
        <v>25</v>
      </c>
      <c r="F9" s="42" t="s">
        <v>25</v>
      </c>
      <c r="G9" s="43" t="s">
        <v>108</v>
      </c>
      <c r="H9" s="43" t="s">
        <v>102</v>
      </c>
      <c r="I9" s="43">
        <f>'MERCADO TE'!$U$6</f>
        <v>0</v>
      </c>
      <c r="J9" s="15"/>
      <c r="L9" s="40">
        <f>('TE BE'!$L$9+'TE BF'!$L$9+'TE CVA'!$L$9)*1</f>
        <v>2.529240889876224</v>
      </c>
      <c r="M9" s="40">
        <f>('TE BE'!$M$9+'TE BF'!$M$9+'TE CVA'!$M$9)*1</f>
        <v>58.712738107516927</v>
      </c>
      <c r="N9" s="40">
        <f>('TE BE'!$N$9+'TE BF'!$N$9+'TE CVA'!$N$9)*1</f>
        <v>0</v>
      </c>
      <c r="O9" s="40">
        <f>('TE BE'!$O$9+'TE BF'!$O$9+'TE CVA'!$O$9)*1</f>
        <v>5.6985652074762694</v>
      </c>
      <c r="P9" s="40">
        <f>('TE BE'!$P$9+'TE BF'!$P$9+'TE CVA'!$P$9)*1</f>
        <v>-17.093827857921234</v>
      </c>
      <c r="Q9" s="40">
        <f>('TE BE'!$R$9+'TE BF'!$R$9+'TE CVA'!$R$9)*1</f>
        <v>209.38838072203544</v>
      </c>
      <c r="R9" s="40">
        <f>('TE BE'!$T$9+'TE BF'!$T$9+'TE CVA'!$T$9)*1</f>
        <v>0</v>
      </c>
      <c r="S9" s="40">
        <f>('TE BE'!$U$9+'TE BF'!$U$9+'TE CVA'!$U$9)*1</f>
        <v>0</v>
      </c>
      <c r="T9" s="40">
        <f>('TE BE'!$V$9+'TE BF'!$V$9+'TE CVA'!$V$9)*1</f>
        <v>2.6775784651651382E-13</v>
      </c>
      <c r="U9" s="40">
        <f>('TE BE'!$X$9+'TE BF'!$X$9+'TE CVA'!$X$9)*1</f>
        <v>-22.244874720945436</v>
      </c>
      <c r="V9" s="40">
        <f>('TE BE'!$Z$9+'TE BF'!$Z$9+'TE CVA'!$Z$9)*1</f>
        <v>5.4804946646457644</v>
      </c>
      <c r="X9" s="40">
        <v>2.4065652767022101</v>
      </c>
      <c r="Y9" s="40">
        <v>15.3126941095431</v>
      </c>
      <c r="Z9" s="40">
        <v>0</v>
      </c>
      <c r="AA9" s="40">
        <v>0</v>
      </c>
      <c r="AB9" s="40">
        <v>0</v>
      </c>
      <c r="AC9" s="40">
        <v>230.02521543923399</v>
      </c>
      <c r="AD9" s="40">
        <v>0</v>
      </c>
      <c r="AE9" s="40">
        <v>0</v>
      </c>
      <c r="AF9" s="40">
        <v>2.7097819992040501E-13</v>
      </c>
      <c r="AG9" s="40">
        <v>-2.3363539920654102</v>
      </c>
      <c r="AH9" s="40">
        <v>5.1335901940711199</v>
      </c>
    </row>
    <row r="10" spans="1:34" ht="11.25" customHeight="1" x14ac:dyDescent="0.25">
      <c r="A10" s="108" t="s">
        <v>22</v>
      </c>
      <c r="B10" s="108" t="s">
        <v>101</v>
      </c>
      <c r="C10" s="108" t="s">
        <v>24</v>
      </c>
      <c r="D10" s="108" t="s">
        <v>24</v>
      </c>
      <c r="E10" s="108" t="s">
        <v>25</v>
      </c>
      <c r="F10" s="108" t="s">
        <v>25</v>
      </c>
      <c r="G10" s="43" t="s">
        <v>103</v>
      </c>
      <c r="H10" s="43" t="s">
        <v>102</v>
      </c>
      <c r="I10" s="43">
        <f>'MERCADO TE'!$U$7</f>
        <v>107.383</v>
      </c>
      <c r="J10" s="15"/>
      <c r="L10" s="40">
        <f>('TE BE'!$L$10+'TE BF'!$L$10+'TE CVA'!$L$10)*1</f>
        <v>2.529240889876224</v>
      </c>
      <c r="M10" s="40">
        <f>('TE BE'!$M$10+'TE BF'!$M$10+'TE CVA'!$M$10)*1</f>
        <v>58.712738107516927</v>
      </c>
      <c r="N10" s="40">
        <f>('TE BE'!$N$10+'TE BF'!$N$10+'TE CVA'!$N$10)*1</f>
        <v>0</v>
      </c>
      <c r="O10" s="40">
        <f>('TE BE'!$O$10+'TE BF'!$O$10+'TE CVA'!$O$10)*1</f>
        <v>5.6985652074762694</v>
      </c>
      <c r="P10" s="40">
        <f>('TE BE'!$P$10+'TE BF'!$P$10+'TE CVA'!$P$10)*1</f>
        <v>-17.093827857921234</v>
      </c>
      <c r="Q10" s="40">
        <f>('TE BE'!$R$10+'TE BF'!$R$10+'TE CVA'!$R$10)*1</f>
        <v>339.76227815273677</v>
      </c>
      <c r="R10" s="40">
        <f>('TE BE'!$T$10+'TE BF'!$T$10+'TE CVA'!$T$10)*1</f>
        <v>0</v>
      </c>
      <c r="S10" s="40">
        <f>('TE BE'!$U$10+'TE BF'!$U$10+'TE CVA'!$U$10)*1</f>
        <v>0</v>
      </c>
      <c r="T10" s="40">
        <f>('TE BE'!$V$10+'TE BF'!$V$10+'TE CVA'!$V$10)*1</f>
        <v>2.6775784651651382E-13</v>
      </c>
      <c r="U10" s="40">
        <f>('TE BE'!$X$10+'TE BF'!$X$10+'TE CVA'!$X$10)*1</f>
        <v>-34.82919728865982</v>
      </c>
      <c r="V10" s="40">
        <f>('TE BE'!$Z$10+'TE BF'!$Z$10+'TE CVA'!$Z$10)*1</f>
        <v>5.4804946646457644</v>
      </c>
      <c r="X10" s="40">
        <v>2.4065652767022101</v>
      </c>
      <c r="Y10" s="40">
        <v>15.3126941095431</v>
      </c>
      <c r="Z10" s="40">
        <v>0</v>
      </c>
      <c r="AA10" s="40">
        <v>0</v>
      </c>
      <c r="AB10" s="40">
        <v>0</v>
      </c>
      <c r="AC10" s="40">
        <v>373.248462788192</v>
      </c>
      <c r="AD10" s="40">
        <v>0</v>
      </c>
      <c r="AE10" s="40">
        <v>0</v>
      </c>
      <c r="AF10" s="40">
        <v>2.7097819992040501E-13</v>
      </c>
      <c r="AG10" s="40">
        <v>-3.65995320927277</v>
      </c>
      <c r="AH10" s="40">
        <v>5.1335901940711199</v>
      </c>
    </row>
    <row r="11" spans="1:34" ht="11.25" customHeight="1" x14ac:dyDescent="0.25">
      <c r="A11" s="108"/>
      <c r="B11" s="108"/>
      <c r="C11" s="108"/>
      <c r="D11" s="108"/>
      <c r="E11" s="108"/>
      <c r="F11" s="108"/>
      <c r="G11" s="43" t="s">
        <v>113</v>
      </c>
      <c r="H11" s="43" t="s">
        <v>102</v>
      </c>
      <c r="I11" s="43">
        <f>'MERCADO TE'!$U$8</f>
        <v>73.695000000000007</v>
      </c>
      <c r="J11" s="15"/>
      <c r="L11" s="40">
        <f>('TE BE'!$L$11+'TE BF'!$L$11+'TE CVA'!$L$11)*1</f>
        <v>2.529240889876224</v>
      </c>
      <c r="M11" s="40">
        <f>('TE BE'!$M$11+'TE BF'!$M$11+'TE CVA'!$M$11)*1</f>
        <v>58.712738107516927</v>
      </c>
      <c r="N11" s="40">
        <f>('TE BE'!$N$11+'TE BF'!$N$11+'TE CVA'!$N$11)*1</f>
        <v>0</v>
      </c>
      <c r="O11" s="40">
        <f>('TE BE'!$O$11+'TE BF'!$O$11+'TE CVA'!$O$11)*1</f>
        <v>5.6985652074762694</v>
      </c>
      <c r="P11" s="40">
        <f>('TE BE'!$P$11+'TE BF'!$P$11+'TE CVA'!$P$11)*1</f>
        <v>-17.093827857921234</v>
      </c>
      <c r="Q11" s="40">
        <f>('TE BE'!$R$11+'TE BF'!$R$11+'TE CVA'!$R$11)*1</f>
        <v>197.53620822833531</v>
      </c>
      <c r="R11" s="40">
        <f>('TE BE'!$T$11+'TE BF'!$T$11+'TE CVA'!$T$11)*1</f>
        <v>0</v>
      </c>
      <c r="S11" s="40">
        <f>('TE BE'!$U$11+'TE BF'!$U$11+'TE CVA'!$U$11)*1</f>
        <v>0</v>
      </c>
      <c r="T11" s="40">
        <f>('TE BE'!$V$11+'TE BF'!$V$11+'TE CVA'!$V$11)*1</f>
        <v>2.6775784651651382E-13</v>
      </c>
      <c r="U11" s="40">
        <f>('TE BE'!$X$11+'TE BF'!$X$11+'TE CVA'!$X$11)*1</f>
        <v>-21.100845396607767</v>
      </c>
      <c r="V11" s="40">
        <f>('TE BE'!$Z$11+'TE BF'!$Z$11+'TE CVA'!$Z$11)*1</f>
        <v>5.4804946646457644</v>
      </c>
      <c r="X11" s="40">
        <v>2.4065652767022101</v>
      </c>
      <c r="Y11" s="40">
        <v>15.3126941095431</v>
      </c>
      <c r="Z11" s="40">
        <v>0</v>
      </c>
      <c r="AA11" s="40">
        <v>0</v>
      </c>
      <c r="AB11" s="40">
        <v>0</v>
      </c>
      <c r="AC11" s="40">
        <v>217.00492022569301</v>
      </c>
      <c r="AD11" s="40">
        <v>0</v>
      </c>
      <c r="AE11" s="40">
        <v>0</v>
      </c>
      <c r="AF11" s="40">
        <v>2.7097819992040501E-13</v>
      </c>
      <c r="AG11" s="40">
        <v>-2.2160267905011</v>
      </c>
      <c r="AH11" s="40">
        <v>5.1335901940711199</v>
      </c>
    </row>
    <row r="12" spans="1:34" ht="11.25" customHeight="1" x14ac:dyDescent="0.25">
      <c r="A12" s="108"/>
      <c r="B12" s="108"/>
      <c r="C12" s="108"/>
      <c r="D12" s="108"/>
      <c r="E12" s="108"/>
      <c r="F12" s="108"/>
      <c r="G12" s="43" t="s">
        <v>104</v>
      </c>
      <c r="H12" s="43" t="s">
        <v>102</v>
      </c>
      <c r="I12" s="43">
        <f>'MERCADO TE'!$U$9</f>
        <v>1358.0870000000002</v>
      </c>
      <c r="J12" s="15"/>
      <c r="L12" s="40">
        <f>('TE BE'!$L$12+'TE BF'!$L$12+'TE CVA'!$L$12)*1</f>
        <v>2.529240889876224</v>
      </c>
      <c r="M12" s="40">
        <f>('TE BE'!$M$12+'TE BF'!$M$12+'TE CVA'!$M$12)*1</f>
        <v>58.712738107516927</v>
      </c>
      <c r="N12" s="40">
        <f>('TE BE'!$N$12+'TE BF'!$N$12+'TE CVA'!$N$12)*1</f>
        <v>0</v>
      </c>
      <c r="O12" s="40">
        <f>('TE BE'!$O$12+'TE BF'!$O$12+'TE CVA'!$O$12)*1</f>
        <v>5.6985652074762694</v>
      </c>
      <c r="P12" s="40">
        <f>('TE BE'!$P$12+'TE BF'!$P$12+'TE CVA'!$P$12)*1</f>
        <v>-17.093827857921234</v>
      </c>
      <c r="Q12" s="40">
        <f>('TE BE'!$R$12+'TE BF'!$R$12+'TE CVA'!$R$12)*1</f>
        <v>197.53620822833531</v>
      </c>
      <c r="R12" s="40">
        <f>('TE BE'!$T$12+'TE BF'!$T$12+'TE CVA'!$T$12)*1</f>
        <v>0</v>
      </c>
      <c r="S12" s="40">
        <f>('TE BE'!$U$12+'TE BF'!$U$12+'TE CVA'!$U$12)*1</f>
        <v>0</v>
      </c>
      <c r="T12" s="40">
        <f>('TE BE'!$V$12+'TE BF'!$V$12+'TE CVA'!$V$12)*1</f>
        <v>2.6775784651651382E-13</v>
      </c>
      <c r="U12" s="40">
        <f>('TE BE'!$X$12+'TE BF'!$X$12+'TE CVA'!$X$12)*1</f>
        <v>-21.100845396607767</v>
      </c>
      <c r="V12" s="40">
        <f>('TE BE'!$Z$12+'TE BF'!$Z$12+'TE CVA'!$Z$12)*1</f>
        <v>5.4804946646457644</v>
      </c>
      <c r="X12" s="40">
        <v>2.4065652767022101</v>
      </c>
      <c r="Y12" s="40">
        <v>15.3126941095431</v>
      </c>
      <c r="Z12" s="40">
        <v>0</v>
      </c>
      <c r="AA12" s="40">
        <v>0</v>
      </c>
      <c r="AB12" s="40">
        <v>0</v>
      </c>
      <c r="AC12" s="40">
        <v>217.00492022569301</v>
      </c>
      <c r="AD12" s="40">
        <v>0</v>
      </c>
      <c r="AE12" s="40">
        <v>0</v>
      </c>
      <c r="AF12" s="40">
        <v>2.7097819992040501E-13</v>
      </c>
      <c r="AG12" s="40">
        <v>-2.2160267905011</v>
      </c>
      <c r="AH12" s="40">
        <v>5.1335901940711199</v>
      </c>
    </row>
    <row r="13" spans="1:34" ht="11.25" customHeight="1" x14ac:dyDescent="0.25">
      <c r="A13" s="108"/>
      <c r="B13" s="108" t="s">
        <v>109</v>
      </c>
      <c r="C13" s="108" t="s">
        <v>24</v>
      </c>
      <c r="D13" s="42" t="s">
        <v>24</v>
      </c>
      <c r="E13" s="42" t="s">
        <v>25</v>
      </c>
      <c r="F13" s="42" t="s">
        <v>25</v>
      </c>
      <c r="G13" s="43" t="s">
        <v>108</v>
      </c>
      <c r="H13" s="43" t="s">
        <v>102</v>
      </c>
      <c r="I13" s="43">
        <f>'MERCADO TE'!$U$10</f>
        <v>1398369.1870000002</v>
      </c>
      <c r="J13" s="15"/>
      <c r="L13" s="40">
        <f>('TE BE'!$L$13+'TE BF'!$L$13+'TE CVA'!$L$13)*1</f>
        <v>2.529240889876224</v>
      </c>
      <c r="M13" s="40">
        <f>('TE BE'!$M$13+'TE BF'!$M$13+'TE CVA'!$M$13)*1</f>
        <v>58.712738107516927</v>
      </c>
      <c r="N13" s="40">
        <f>('TE BE'!$N$13+'TE BF'!$N$13+'TE CVA'!$N$13)*1</f>
        <v>0</v>
      </c>
      <c r="O13" s="40">
        <f>('TE BE'!$O$13+'TE BF'!$O$13+'TE CVA'!$O$13)*1</f>
        <v>5.6985652074762694</v>
      </c>
      <c r="P13" s="40">
        <f>('TE BE'!$P$13+'TE BF'!$P$13+'TE CVA'!$P$13)*1</f>
        <v>-17.093827857921234</v>
      </c>
      <c r="Q13" s="40">
        <f>('TE BE'!$R$13+'TE BF'!$R$13+'TE CVA'!$R$13)*1</f>
        <v>209.38838072203544</v>
      </c>
      <c r="R13" s="40">
        <f>('TE BE'!$T$13+'TE BF'!$T$13+'TE CVA'!$T$13)*1</f>
        <v>0</v>
      </c>
      <c r="S13" s="40">
        <f>('TE BE'!$U$13+'TE BF'!$U$13+'TE CVA'!$U$13)*1</f>
        <v>0</v>
      </c>
      <c r="T13" s="40">
        <f>('TE BE'!$V$13+'TE BF'!$V$13+'TE CVA'!$V$13)*1</f>
        <v>2.6775784651651382E-13</v>
      </c>
      <c r="U13" s="40">
        <f>('TE BE'!$X$13+'TE BF'!$X$13+'TE CVA'!$X$13)*1</f>
        <v>-22.244874720945436</v>
      </c>
      <c r="V13" s="40">
        <f>('TE BE'!$Z$13+'TE BF'!$Z$13+'TE CVA'!$Z$13)*1</f>
        <v>5.4804946646457644</v>
      </c>
      <c r="X13" s="40">
        <v>2.4065652767022101</v>
      </c>
      <c r="Y13" s="40">
        <v>15.3126941095431</v>
      </c>
      <c r="Z13" s="40">
        <v>0</v>
      </c>
      <c r="AA13" s="40">
        <v>0</v>
      </c>
      <c r="AB13" s="40">
        <v>0</v>
      </c>
      <c r="AC13" s="40">
        <v>230.02521543923399</v>
      </c>
      <c r="AD13" s="40">
        <v>0</v>
      </c>
      <c r="AE13" s="40">
        <v>0</v>
      </c>
      <c r="AF13" s="40">
        <v>2.7097819992040501E-13</v>
      </c>
      <c r="AG13" s="40">
        <v>-2.3363539920654102</v>
      </c>
      <c r="AH13" s="40">
        <v>5.1335901940711199</v>
      </c>
    </row>
    <row r="14" spans="1:34" ht="11.25" customHeight="1" x14ac:dyDescent="0.25">
      <c r="A14" s="108"/>
      <c r="B14" s="108"/>
      <c r="C14" s="108"/>
      <c r="D14" s="42" t="s">
        <v>29</v>
      </c>
      <c r="E14" s="42" t="s">
        <v>25</v>
      </c>
      <c r="F14" s="42" t="s">
        <v>25</v>
      </c>
      <c r="G14" s="43" t="s">
        <v>108</v>
      </c>
      <c r="H14" s="43" t="s">
        <v>102</v>
      </c>
      <c r="I14" s="43">
        <f>'MERCADO TE'!$U$11</f>
        <v>161060.71900000001</v>
      </c>
      <c r="J14" s="15"/>
      <c r="L14" s="40">
        <f>('TE BE'!$L$14+'TE BF'!$L$14+'TE CVA'!$L$14)*(1 - 0.65)</f>
        <v>0.8852343114566783</v>
      </c>
      <c r="M14" s="40">
        <f>('TE BE'!$M$14+'TE BF'!$M$14+'TE CVA'!$M$14)*(1 - 0.65)</f>
        <v>20.549458337630924</v>
      </c>
      <c r="N14" s="40">
        <f>('TE BE'!$N$14+'TE BF'!$N$14+'TE CVA'!$N$14)*(1 - 0.65)</f>
        <v>0</v>
      </c>
      <c r="O14" s="40">
        <f>('TE BE'!$O$14+'TE BF'!$O$14+'TE CVA'!$O$14)*(1 - 0.65)</f>
        <v>1.9944978226166941</v>
      </c>
      <c r="P14" s="40">
        <f>('TE BE'!$P$14+'TE BF'!$P$14+'TE CVA'!$P$14)*(1 - 0.65)</f>
        <v>-5.9828397502724311</v>
      </c>
      <c r="Q14" s="40">
        <f>('TE BE'!$R$14+'TE BF'!$R$14+'TE CVA'!$R$14)*(1 - 0.65)</f>
        <v>73.285933252712397</v>
      </c>
      <c r="R14" s="40">
        <f>('TE BE'!$T$14+'TE BF'!$T$14+'TE CVA'!$T$14)*(1 - 0.65)</f>
        <v>0</v>
      </c>
      <c r="S14" s="40">
        <f>('TE BE'!$U$14+'TE BF'!$U$14+'TE CVA'!$U$14)*(1 - 0.65)</f>
        <v>0</v>
      </c>
      <c r="T14" s="40">
        <f>('TE BE'!$V$14+'TE BF'!$V$14+'TE CVA'!$V$14)*(1 - 0.65)</f>
        <v>9.3715246280779831E-14</v>
      </c>
      <c r="U14" s="40">
        <f>('TE BE'!$X$14+'TE BF'!$X$14+'TE CVA'!$X$14)*(1 - 0.65)</f>
        <v>-7.7857061523309019</v>
      </c>
      <c r="V14" s="40">
        <f>('TE BE'!$Z$14+'TE BF'!$Z$14+'TE CVA'!$Z$14)*(1 - 0.65)</f>
        <v>1.9181731326260174</v>
      </c>
      <c r="X14" s="40">
        <v>0.84229784684577302</v>
      </c>
      <c r="Y14" s="40">
        <v>5.3594429383400799</v>
      </c>
      <c r="Z14" s="40">
        <v>0</v>
      </c>
      <c r="AA14" s="40">
        <v>0</v>
      </c>
      <c r="AB14" s="40">
        <v>0</v>
      </c>
      <c r="AC14" s="40">
        <v>80.508825403732004</v>
      </c>
      <c r="AD14" s="40">
        <v>0</v>
      </c>
      <c r="AE14" s="40">
        <v>0</v>
      </c>
      <c r="AF14" s="40">
        <v>9.4842369972141603E-14</v>
      </c>
      <c r="AG14" s="40">
        <v>-0.81772389722289396</v>
      </c>
      <c r="AH14" s="40">
        <v>1.79675656792489</v>
      </c>
    </row>
    <row r="15" spans="1:34" ht="11.25" customHeight="1" x14ac:dyDescent="0.25">
      <c r="A15" s="108"/>
      <c r="B15" s="108"/>
      <c r="C15" s="108"/>
      <c r="D15" s="42" t="s">
        <v>30</v>
      </c>
      <c r="E15" s="42" t="s">
        <v>25</v>
      </c>
      <c r="F15" s="42" t="s">
        <v>25</v>
      </c>
      <c r="G15" s="43" t="s">
        <v>108</v>
      </c>
      <c r="H15" s="43" t="s">
        <v>102</v>
      </c>
      <c r="I15" s="43">
        <f>'MERCADO TE'!$U$12</f>
        <v>267147.82800000004</v>
      </c>
      <c r="J15" s="15"/>
      <c r="L15" s="40">
        <f>('TE BE'!$L$15+'TE BF'!$L$15+'TE CVA'!$L$15)*(1 - 0.4)</f>
        <v>1.5175445339257343</v>
      </c>
      <c r="M15" s="40">
        <f>('TE BE'!$M$15+'TE BF'!$M$15+'TE CVA'!$M$15)*(1 - 0.4)</f>
        <v>35.227642864510152</v>
      </c>
      <c r="N15" s="40">
        <f>('TE BE'!$N$15+'TE BF'!$N$15+'TE CVA'!$N$15)*(1 - 0.4)</f>
        <v>0</v>
      </c>
      <c r="O15" s="40">
        <f>('TE BE'!$O$15+'TE BF'!$O$15+'TE CVA'!$O$15)*(1 - 0.4)</f>
        <v>3.4191391244857616</v>
      </c>
      <c r="P15" s="40">
        <f>('TE BE'!$P$15+'TE BF'!$P$15+'TE CVA'!$P$15)*(1 - 0.4)</f>
        <v>-10.25629671475274</v>
      </c>
      <c r="Q15" s="40">
        <f>('TE BE'!$R$15+'TE BF'!$R$15+'TE CVA'!$R$15)*(1 - 0.4)</f>
        <v>125.63302843322126</v>
      </c>
      <c r="R15" s="40">
        <f>('TE BE'!$T$15+'TE BF'!$T$15+'TE CVA'!$T$15)*(1 - 0.4)</f>
        <v>0</v>
      </c>
      <c r="S15" s="40">
        <f>('TE BE'!$U$15+'TE BF'!$U$15+'TE CVA'!$U$15)*(1 - 0.4)</f>
        <v>0</v>
      </c>
      <c r="T15" s="40">
        <f>('TE BE'!$V$15+'TE BF'!$V$15+'TE CVA'!$V$15)*(1 - 0.4)</f>
        <v>1.6065470790990829E-13</v>
      </c>
      <c r="U15" s="40">
        <f>('TE BE'!$X$15+'TE BF'!$X$15+'TE CVA'!$X$15)*(1 - 0.4)</f>
        <v>-13.346924832567261</v>
      </c>
      <c r="V15" s="40">
        <f>('TE BE'!$Z$15+'TE BF'!$Z$15+'TE CVA'!$Z$15)*(1 - 0.4)</f>
        <v>3.2882967987874587</v>
      </c>
      <c r="X15" s="40">
        <v>1.4439391660213201</v>
      </c>
      <c r="Y15" s="40">
        <v>9.1876164657258599</v>
      </c>
      <c r="Z15" s="40">
        <v>0</v>
      </c>
      <c r="AA15" s="40">
        <v>0</v>
      </c>
      <c r="AB15" s="40">
        <v>0</v>
      </c>
      <c r="AC15" s="40">
        <v>138.01512926354101</v>
      </c>
      <c r="AD15" s="40">
        <v>0</v>
      </c>
      <c r="AE15" s="40">
        <v>0</v>
      </c>
      <c r="AF15" s="40">
        <v>1.6258691995224301E-13</v>
      </c>
      <c r="AG15" s="40">
        <v>-1.4018123952392501</v>
      </c>
      <c r="AH15" s="40">
        <v>3.08015411644267</v>
      </c>
    </row>
    <row r="16" spans="1:34" ht="11.25" customHeight="1" x14ac:dyDescent="0.25">
      <c r="A16" s="108"/>
      <c r="B16" s="108"/>
      <c r="C16" s="108"/>
      <c r="D16" s="42" t="s">
        <v>31</v>
      </c>
      <c r="E16" s="42" t="s">
        <v>25</v>
      </c>
      <c r="F16" s="42" t="s">
        <v>25</v>
      </c>
      <c r="G16" s="43" t="s">
        <v>108</v>
      </c>
      <c r="H16" s="43" t="s">
        <v>102</v>
      </c>
      <c r="I16" s="43">
        <f>'MERCADO TE'!$U$13</f>
        <v>140786.959</v>
      </c>
      <c r="J16" s="15"/>
      <c r="L16" s="40">
        <f>('TE BE'!$L$16+'TE BF'!$L$16+'TE CVA'!$L$16)*(1 - 0.1)</f>
        <v>2.2763168008886017</v>
      </c>
      <c r="M16" s="40">
        <f>('TE BE'!$M$16+'TE BF'!$M$16+'TE CVA'!$M$16)*(1 - 0.1)</f>
        <v>52.841464296765238</v>
      </c>
      <c r="N16" s="40">
        <f>('TE BE'!$N$16+'TE BF'!$N$16+'TE CVA'!$N$16)*(1 - 0.1)</f>
        <v>0</v>
      </c>
      <c r="O16" s="40">
        <f>('TE BE'!$O$16+'TE BF'!$O$16+'TE CVA'!$O$16)*(1 - 0.1)</f>
        <v>5.1287086867286424</v>
      </c>
      <c r="P16" s="40">
        <f>('TE BE'!$P$16+'TE BF'!$P$16+'TE CVA'!$P$16)*(1 - 0.1)</f>
        <v>-15.384445072129111</v>
      </c>
      <c r="Q16" s="40">
        <f>('TE BE'!$R$16+'TE BF'!$R$16+'TE CVA'!$R$16)*(1 - 0.1)</f>
        <v>188.4495426498319</v>
      </c>
      <c r="R16" s="40">
        <f>('TE BE'!$T$16+'TE BF'!$T$16+'TE CVA'!$T$16)*(1 - 0.1)</f>
        <v>0</v>
      </c>
      <c r="S16" s="40">
        <f>('TE BE'!$U$16+'TE BF'!$U$16+'TE CVA'!$U$16)*(1 - 0.1)</f>
        <v>0</v>
      </c>
      <c r="T16" s="40">
        <f>('TE BE'!$V$16+'TE BF'!$V$16+'TE CVA'!$V$16)*(1 - 0.1)</f>
        <v>2.4098206186486244E-13</v>
      </c>
      <c r="U16" s="40">
        <f>('TE BE'!$X$16+'TE BF'!$X$16+'TE CVA'!$X$16)*(1 - 0.1)</f>
        <v>-20.020387248850891</v>
      </c>
      <c r="V16" s="40">
        <f>('TE BE'!$Z$16+'TE BF'!$Z$16+'TE CVA'!$Z$16)*(1 - 0.1)</f>
        <v>4.9324451981811883</v>
      </c>
      <c r="X16" s="40">
        <v>2.1659087490319902</v>
      </c>
      <c r="Y16" s="40">
        <v>13.7814246985888</v>
      </c>
      <c r="Z16" s="40">
        <v>0</v>
      </c>
      <c r="AA16" s="40">
        <v>0</v>
      </c>
      <c r="AB16" s="40">
        <v>0</v>
      </c>
      <c r="AC16" s="40">
        <v>207.02269389531099</v>
      </c>
      <c r="AD16" s="40">
        <v>0</v>
      </c>
      <c r="AE16" s="40">
        <v>0</v>
      </c>
      <c r="AF16" s="40">
        <v>2.4388037992836398E-13</v>
      </c>
      <c r="AG16" s="40">
        <v>-2.1027185928588699</v>
      </c>
      <c r="AH16" s="40">
        <v>4.6202311746640099</v>
      </c>
    </row>
    <row r="17" spans="1:34" ht="11.25" customHeight="1" x14ac:dyDescent="0.25">
      <c r="A17" s="108"/>
      <c r="B17" s="108"/>
      <c r="C17" s="108"/>
      <c r="D17" s="42" t="s">
        <v>32</v>
      </c>
      <c r="E17" s="42" t="s">
        <v>25</v>
      </c>
      <c r="F17" s="42" t="s">
        <v>25</v>
      </c>
      <c r="G17" s="43" t="s">
        <v>108</v>
      </c>
      <c r="H17" s="43" t="s">
        <v>102</v>
      </c>
      <c r="I17" s="43">
        <f>'MERCADO TE'!$U$14</f>
        <v>39430.460000000006</v>
      </c>
      <c r="J17" s="15"/>
      <c r="L17" s="40">
        <f>('TE BE'!$L$17+'TE BF'!$L$17+'TE CVA'!$L$17)*1</f>
        <v>2.529240889876224</v>
      </c>
      <c r="M17" s="40">
        <f>('TE BE'!$M$17+'TE BF'!$M$17+'TE CVA'!$M$17)*1</f>
        <v>58.712738107516927</v>
      </c>
      <c r="N17" s="40">
        <f>('TE BE'!$N$17+'TE BF'!$N$17+'TE CVA'!$N$17)*1</f>
        <v>0</v>
      </c>
      <c r="O17" s="40">
        <f>('TE BE'!$O$17+'TE BF'!$O$17+'TE CVA'!$O$17)*1</f>
        <v>5.6985652074762694</v>
      </c>
      <c r="P17" s="40">
        <f>('TE BE'!$P$17+'TE BF'!$P$17+'TE CVA'!$P$17)*1</f>
        <v>-17.093827857921234</v>
      </c>
      <c r="Q17" s="40">
        <f>('TE BE'!$R$17+'TE BF'!$R$17+'TE CVA'!$R$17)*1</f>
        <v>209.38838072203544</v>
      </c>
      <c r="R17" s="40">
        <f>('TE BE'!$T$17+'TE BF'!$T$17+'TE CVA'!$T$17)*1</f>
        <v>0</v>
      </c>
      <c r="S17" s="40">
        <f>('TE BE'!$U$17+'TE BF'!$U$17+'TE CVA'!$U$17)*1</f>
        <v>0</v>
      </c>
      <c r="T17" s="40">
        <f>('TE BE'!$V$17+'TE BF'!$V$17+'TE CVA'!$V$17)*1</f>
        <v>2.6775784651651382E-13</v>
      </c>
      <c r="U17" s="40">
        <f>('TE BE'!$X$17+'TE BF'!$X$17+'TE CVA'!$X$17)*1</f>
        <v>-22.244874720945436</v>
      </c>
      <c r="V17" s="40">
        <f>('TE BE'!$Z$17+'TE BF'!$Z$17+'TE CVA'!$Z$17)*1</f>
        <v>5.4804946646457644</v>
      </c>
      <c r="X17" s="40">
        <v>2.4065652767022101</v>
      </c>
      <c r="Y17" s="40">
        <v>15.3126941095431</v>
      </c>
      <c r="Z17" s="40">
        <v>0</v>
      </c>
      <c r="AA17" s="40">
        <v>0</v>
      </c>
      <c r="AB17" s="40">
        <v>0</v>
      </c>
      <c r="AC17" s="40">
        <v>230.02521543923399</v>
      </c>
      <c r="AD17" s="40">
        <v>0</v>
      </c>
      <c r="AE17" s="40">
        <v>0</v>
      </c>
      <c r="AF17" s="40">
        <v>2.7097819992040501E-13</v>
      </c>
      <c r="AG17" s="40">
        <v>-2.3363539920654102</v>
      </c>
      <c r="AH17" s="40">
        <v>5.1335901940711199</v>
      </c>
    </row>
    <row r="18" spans="1:34" ht="11.25" customHeight="1" x14ac:dyDescent="0.25">
      <c r="A18" s="108"/>
      <c r="B18" s="108" t="s">
        <v>114</v>
      </c>
      <c r="C18" s="108" t="s">
        <v>24</v>
      </c>
      <c r="D18" s="42" t="s">
        <v>24</v>
      </c>
      <c r="E18" s="42" t="s">
        <v>25</v>
      </c>
      <c r="F18" s="42" t="s">
        <v>25</v>
      </c>
      <c r="G18" s="43" t="s">
        <v>108</v>
      </c>
      <c r="H18" s="43" t="s">
        <v>102</v>
      </c>
      <c r="I18" s="43">
        <f>'MERCADO TE'!$U$15</f>
        <v>0</v>
      </c>
      <c r="J18" s="15"/>
      <c r="L18" s="40">
        <f>('TE BE'!$L$18+'TE BF'!$L$18+'TE CVA'!$L$18)*1</f>
        <v>2.529240889876224</v>
      </c>
      <c r="M18" s="40">
        <f>('TE BE'!$M$18+'TE BF'!$M$18+'TE CVA'!$M$18)*1</f>
        <v>58.712738107516927</v>
      </c>
      <c r="N18" s="40">
        <f>('TE BE'!$N$18+'TE BF'!$N$18+'TE CVA'!$N$18)*1</f>
        <v>0</v>
      </c>
      <c r="O18" s="40">
        <f>('TE BE'!$O$18+'TE BF'!$O$18+'TE CVA'!$O$18)*1</f>
        <v>5.6985652074762694</v>
      </c>
      <c r="P18" s="40">
        <f>('TE BE'!$P$18+'TE BF'!$P$18+'TE CVA'!$P$18)*1</f>
        <v>-17.093827857921234</v>
      </c>
      <c r="Q18" s="40">
        <f>('TE BE'!$R$18+'TE BF'!$R$18+'TE CVA'!$R$18)*1</f>
        <v>209.38838072203544</v>
      </c>
      <c r="R18" s="40">
        <f>('TE BE'!$T$18+'TE BF'!$T$18+'TE CVA'!$T$18)*1</f>
        <v>0</v>
      </c>
      <c r="S18" s="40">
        <f>('TE BE'!$U$18+'TE BF'!$U$18+'TE CVA'!$U$18)*1</f>
        <v>0</v>
      </c>
      <c r="T18" s="40">
        <f>('TE BE'!$V$18+'TE BF'!$V$18+'TE CVA'!$V$18)*1</f>
        <v>2.6775784651651382E-13</v>
      </c>
      <c r="U18" s="40">
        <f>('TE BE'!$X$18+'TE BF'!$X$18+'TE CVA'!$X$18)*1</f>
        <v>-22.244874720945436</v>
      </c>
      <c r="V18" s="40">
        <f>('TE BE'!$Z$18+'TE BF'!$Z$18+'TE CVA'!$Z$18)*1</f>
        <v>5.4804946646457644</v>
      </c>
      <c r="X18" s="40">
        <v>2.4065652767022101</v>
      </c>
      <c r="Y18" s="40">
        <v>15.3126941095431</v>
      </c>
      <c r="Z18" s="40">
        <v>0</v>
      </c>
      <c r="AA18" s="40">
        <v>0</v>
      </c>
      <c r="AB18" s="40">
        <v>0</v>
      </c>
      <c r="AC18" s="40">
        <v>230.02521543923399</v>
      </c>
      <c r="AD18" s="40">
        <v>0</v>
      </c>
      <c r="AE18" s="40">
        <v>0</v>
      </c>
      <c r="AF18" s="40">
        <v>2.7097819992040501E-13</v>
      </c>
      <c r="AG18" s="40">
        <v>-2.3363539920654102</v>
      </c>
      <c r="AH18" s="40">
        <v>5.1335901940711199</v>
      </c>
    </row>
    <row r="19" spans="1:34" ht="11.25" customHeight="1" x14ac:dyDescent="0.25">
      <c r="A19" s="108"/>
      <c r="B19" s="108"/>
      <c r="C19" s="108"/>
      <c r="D19" s="42" t="s">
        <v>29</v>
      </c>
      <c r="E19" s="42" t="s">
        <v>25</v>
      </c>
      <c r="F19" s="42" t="s">
        <v>25</v>
      </c>
      <c r="G19" s="43" t="s">
        <v>108</v>
      </c>
      <c r="H19" s="43" t="s">
        <v>102</v>
      </c>
      <c r="I19" s="43">
        <f>'MERCADO TE'!$U$16</f>
        <v>0</v>
      </c>
      <c r="J19" s="15"/>
      <c r="L19" s="40">
        <f>('TE BE'!$L$19+'TE BF'!$L$19+'TE CVA'!$L$19)*(1 - 0.65)</f>
        <v>0.8852343114566783</v>
      </c>
      <c r="M19" s="40">
        <f>('TE BE'!$M$19+'TE BF'!$M$19+'TE CVA'!$M$19)*(1 - 0.65)</f>
        <v>20.549458337630924</v>
      </c>
      <c r="N19" s="40">
        <f>('TE BE'!$N$19+'TE BF'!$N$19+'TE CVA'!$N$19)*(1 - 0.65)</f>
        <v>0</v>
      </c>
      <c r="O19" s="40">
        <f>('TE BE'!$O$19+'TE BF'!$O$19+'TE CVA'!$O$19)*(1 - 0.65)</f>
        <v>1.9944978226166941</v>
      </c>
      <c r="P19" s="40">
        <f>('TE BE'!$P$19+'TE BF'!$P$19+'TE CVA'!$P$19)*(1 - 0.65)</f>
        <v>-5.9828397502724311</v>
      </c>
      <c r="Q19" s="40">
        <f>('TE BE'!$R$19+'TE BF'!$R$19+'TE CVA'!$R$19)*(1 - 0.65)</f>
        <v>73.285933252712397</v>
      </c>
      <c r="R19" s="40">
        <f>('TE BE'!$T$19+'TE BF'!$T$19+'TE CVA'!$T$19)*(1 - 0.65)</f>
        <v>0</v>
      </c>
      <c r="S19" s="40">
        <f>('TE BE'!$U$19+'TE BF'!$U$19+'TE CVA'!$U$19)*(1 - 0.65)</f>
        <v>0</v>
      </c>
      <c r="T19" s="40">
        <f>('TE BE'!$V$19+'TE BF'!$V$19+'TE CVA'!$V$19)*(1 - 0.65)</f>
        <v>9.3715246280779831E-14</v>
      </c>
      <c r="U19" s="40">
        <f>('TE BE'!$X$19+'TE BF'!$X$19+'TE CVA'!$X$19)*(1 - 0.65)</f>
        <v>-7.7857061523309019</v>
      </c>
      <c r="V19" s="40">
        <f>('TE BE'!$Z$19+'TE BF'!$Z$19+'TE CVA'!$Z$19)*(1 - 0.65)</f>
        <v>1.9181731326260174</v>
      </c>
      <c r="X19" s="40">
        <v>0.84229784684577302</v>
      </c>
      <c r="Y19" s="40">
        <v>5.3594429383400799</v>
      </c>
      <c r="Z19" s="40">
        <v>0</v>
      </c>
      <c r="AA19" s="40">
        <v>0</v>
      </c>
      <c r="AB19" s="40">
        <v>0</v>
      </c>
      <c r="AC19" s="40">
        <v>80.508825403732004</v>
      </c>
      <c r="AD19" s="40">
        <v>0</v>
      </c>
      <c r="AE19" s="40">
        <v>0</v>
      </c>
      <c r="AF19" s="40">
        <v>9.4842369972141603E-14</v>
      </c>
      <c r="AG19" s="40">
        <v>-0.81772389722289396</v>
      </c>
      <c r="AH19" s="40">
        <v>1.79675656792489</v>
      </c>
    </row>
    <row r="20" spans="1:34" ht="11.25" customHeight="1" x14ac:dyDescent="0.25">
      <c r="A20" s="108"/>
      <c r="B20" s="108"/>
      <c r="C20" s="108"/>
      <c r="D20" s="42" t="s">
        <v>30</v>
      </c>
      <c r="E20" s="42" t="s">
        <v>25</v>
      </c>
      <c r="F20" s="42" t="s">
        <v>25</v>
      </c>
      <c r="G20" s="43" t="s">
        <v>108</v>
      </c>
      <c r="H20" s="43" t="s">
        <v>102</v>
      </c>
      <c r="I20" s="43">
        <f>'MERCADO TE'!$U$17</f>
        <v>0</v>
      </c>
      <c r="J20" s="15"/>
      <c r="L20" s="40">
        <f>('TE BE'!$L$20+'TE BF'!$L$20+'TE CVA'!$L$20)*(1 - 0.4)</f>
        <v>1.5175445339257343</v>
      </c>
      <c r="M20" s="40">
        <f>('TE BE'!$M$20+'TE BF'!$M$20+'TE CVA'!$M$20)*(1 - 0.4)</f>
        <v>35.227642864510152</v>
      </c>
      <c r="N20" s="40">
        <f>('TE BE'!$N$20+'TE BF'!$N$20+'TE CVA'!$N$20)*(1 - 0.4)</f>
        <v>0</v>
      </c>
      <c r="O20" s="40">
        <f>('TE BE'!$O$20+'TE BF'!$O$20+'TE CVA'!$O$20)*(1 - 0.4)</f>
        <v>3.4191391244857616</v>
      </c>
      <c r="P20" s="40">
        <f>('TE BE'!$P$20+'TE BF'!$P$20+'TE CVA'!$P$20)*(1 - 0.4)</f>
        <v>-10.25629671475274</v>
      </c>
      <c r="Q20" s="40">
        <f>('TE BE'!$R$20+'TE BF'!$R$20+'TE CVA'!$R$20)*(1 - 0.4)</f>
        <v>125.63302843322126</v>
      </c>
      <c r="R20" s="40">
        <f>('TE BE'!$T$20+'TE BF'!$T$20+'TE CVA'!$T$20)*(1 - 0.4)</f>
        <v>0</v>
      </c>
      <c r="S20" s="40">
        <f>('TE BE'!$U$20+'TE BF'!$U$20+'TE CVA'!$U$20)*(1 - 0.4)</f>
        <v>0</v>
      </c>
      <c r="T20" s="40">
        <f>('TE BE'!$V$20+'TE BF'!$V$20+'TE CVA'!$V$20)*(1 - 0.4)</f>
        <v>1.6065470790990829E-13</v>
      </c>
      <c r="U20" s="40">
        <f>('TE BE'!$X$20+'TE BF'!$X$20+'TE CVA'!$X$20)*(1 - 0.4)</f>
        <v>-13.346924832567261</v>
      </c>
      <c r="V20" s="40">
        <f>('TE BE'!$Z$20+'TE BF'!$Z$20+'TE CVA'!$Z$20)*(1 - 0.4)</f>
        <v>3.2882967987874587</v>
      </c>
      <c r="X20" s="40">
        <v>1.4439391660213201</v>
      </c>
      <c r="Y20" s="40">
        <v>9.1876164657258599</v>
      </c>
      <c r="Z20" s="40">
        <v>0</v>
      </c>
      <c r="AA20" s="40">
        <v>0</v>
      </c>
      <c r="AB20" s="40">
        <v>0</v>
      </c>
      <c r="AC20" s="40">
        <v>138.01512926354101</v>
      </c>
      <c r="AD20" s="40">
        <v>0</v>
      </c>
      <c r="AE20" s="40">
        <v>0</v>
      </c>
      <c r="AF20" s="40">
        <v>1.6258691995224301E-13</v>
      </c>
      <c r="AG20" s="40">
        <v>-1.4018123952392501</v>
      </c>
      <c r="AH20" s="40">
        <v>3.08015411644267</v>
      </c>
    </row>
    <row r="21" spans="1:34" ht="11.25" customHeight="1" x14ac:dyDescent="0.25">
      <c r="A21" s="108"/>
      <c r="B21" s="108"/>
      <c r="C21" s="108"/>
      <c r="D21" s="42" t="s">
        <v>31</v>
      </c>
      <c r="E21" s="42" t="s">
        <v>25</v>
      </c>
      <c r="F21" s="42" t="s">
        <v>25</v>
      </c>
      <c r="G21" s="43" t="s">
        <v>108</v>
      </c>
      <c r="H21" s="43" t="s">
        <v>102</v>
      </c>
      <c r="I21" s="43">
        <f>'MERCADO TE'!$U$18</f>
        <v>0</v>
      </c>
      <c r="J21" s="15"/>
      <c r="L21" s="40">
        <f>('TE BE'!$L$21+'TE BF'!$L$21+'TE CVA'!$L$21)*(1 - 0.1)</f>
        <v>2.2763168008886017</v>
      </c>
      <c r="M21" s="40">
        <f>('TE BE'!$M$21+'TE BF'!$M$21+'TE CVA'!$M$21)*(1 - 0.1)</f>
        <v>52.841464296765238</v>
      </c>
      <c r="N21" s="40">
        <f>('TE BE'!$N$21+'TE BF'!$N$21+'TE CVA'!$N$21)*(1 - 0.1)</f>
        <v>0</v>
      </c>
      <c r="O21" s="40">
        <f>('TE BE'!$O$21+'TE BF'!$O$21+'TE CVA'!$O$21)*(1 - 0.1)</f>
        <v>5.1287086867286424</v>
      </c>
      <c r="P21" s="40">
        <f>('TE BE'!$P$21+'TE BF'!$P$21+'TE CVA'!$P$21)*(1 - 0.1)</f>
        <v>-15.384445072129111</v>
      </c>
      <c r="Q21" s="40">
        <f>('TE BE'!$R$21+'TE BF'!$R$21+'TE CVA'!$R$21)*(1 - 0.1)</f>
        <v>188.4495426498319</v>
      </c>
      <c r="R21" s="40">
        <f>('TE BE'!$T$21+'TE BF'!$T$21+'TE CVA'!$T$21)*(1 - 0.1)</f>
        <v>0</v>
      </c>
      <c r="S21" s="40">
        <f>('TE BE'!$U$21+'TE BF'!$U$21+'TE CVA'!$U$21)*(1 - 0.1)</f>
        <v>0</v>
      </c>
      <c r="T21" s="40">
        <f>('TE BE'!$V$21+'TE BF'!$V$21+'TE CVA'!$V$21)*(1 - 0.1)</f>
        <v>2.4098206186486244E-13</v>
      </c>
      <c r="U21" s="40">
        <f>('TE BE'!$X$21+'TE BF'!$X$21+'TE CVA'!$X$21)*(1 - 0.1)</f>
        <v>-20.020387248850891</v>
      </c>
      <c r="V21" s="40">
        <f>('TE BE'!$Z$21+'TE BF'!$Z$21+'TE CVA'!$Z$21)*(1 - 0.1)</f>
        <v>4.9324451981811883</v>
      </c>
      <c r="X21" s="40">
        <v>2.1659087490319902</v>
      </c>
      <c r="Y21" s="40">
        <v>13.7814246985888</v>
      </c>
      <c r="Z21" s="40">
        <v>0</v>
      </c>
      <c r="AA21" s="40">
        <v>0</v>
      </c>
      <c r="AB21" s="40">
        <v>0</v>
      </c>
      <c r="AC21" s="40">
        <v>207.02269389531099</v>
      </c>
      <c r="AD21" s="40">
        <v>0</v>
      </c>
      <c r="AE21" s="40">
        <v>0</v>
      </c>
      <c r="AF21" s="40">
        <v>2.4388037992836398E-13</v>
      </c>
      <c r="AG21" s="40">
        <v>-2.1027185928588699</v>
      </c>
      <c r="AH21" s="40">
        <v>4.6202311746640099</v>
      </c>
    </row>
    <row r="22" spans="1:34" ht="11.25" customHeight="1" x14ac:dyDescent="0.25">
      <c r="A22" s="108"/>
      <c r="B22" s="108"/>
      <c r="C22" s="108"/>
      <c r="D22" s="42" t="s">
        <v>32</v>
      </c>
      <c r="E22" s="42" t="s">
        <v>25</v>
      </c>
      <c r="F22" s="42" t="s">
        <v>25</v>
      </c>
      <c r="G22" s="43" t="s">
        <v>108</v>
      </c>
      <c r="H22" s="43" t="s">
        <v>102</v>
      </c>
      <c r="I22" s="43">
        <f>'MERCADO TE'!$U$19</f>
        <v>0</v>
      </c>
      <c r="J22" s="15"/>
      <c r="L22" s="40">
        <f>('TE BE'!$L$22+'TE BF'!$L$22+'TE CVA'!$L$22)*1</f>
        <v>2.529240889876224</v>
      </c>
      <c r="M22" s="40">
        <f>('TE BE'!$M$22+'TE BF'!$M$22+'TE CVA'!$M$22)*1</f>
        <v>58.712738107516927</v>
      </c>
      <c r="N22" s="40">
        <f>('TE BE'!$N$22+'TE BF'!$N$22+'TE CVA'!$N$22)*1</f>
        <v>0</v>
      </c>
      <c r="O22" s="40">
        <f>('TE BE'!$O$22+'TE BF'!$O$22+'TE CVA'!$O$22)*1</f>
        <v>5.6985652074762694</v>
      </c>
      <c r="P22" s="40">
        <f>('TE BE'!$P$22+'TE BF'!$P$22+'TE CVA'!$P$22)*1</f>
        <v>-17.093827857921234</v>
      </c>
      <c r="Q22" s="40">
        <f>('TE BE'!$R$22+'TE BF'!$R$22+'TE CVA'!$R$22)*1</f>
        <v>209.38838072203544</v>
      </c>
      <c r="R22" s="40">
        <f>('TE BE'!$T$22+'TE BF'!$T$22+'TE CVA'!$T$22)*1</f>
        <v>0</v>
      </c>
      <c r="S22" s="40">
        <f>('TE BE'!$U$22+'TE BF'!$U$22+'TE CVA'!$U$22)*1</f>
        <v>0</v>
      </c>
      <c r="T22" s="40">
        <f>('TE BE'!$V$22+'TE BF'!$V$22+'TE CVA'!$V$22)*1</f>
        <v>2.6775784651651382E-13</v>
      </c>
      <c r="U22" s="40">
        <f>('TE BE'!$X$22+'TE BF'!$X$22+'TE CVA'!$X$22)*1</f>
        <v>-22.244874720945436</v>
      </c>
      <c r="V22" s="40">
        <f>('TE BE'!$Z$22+'TE BF'!$Z$22+'TE CVA'!$Z$22)*1</f>
        <v>5.4804946646457644</v>
      </c>
      <c r="X22" s="40">
        <v>2.4065652767022101</v>
      </c>
      <c r="Y22" s="40">
        <v>15.3126941095431</v>
      </c>
      <c r="Z22" s="40">
        <v>0</v>
      </c>
      <c r="AA22" s="40">
        <v>0</v>
      </c>
      <c r="AB22" s="40">
        <v>0</v>
      </c>
      <c r="AC22" s="40">
        <v>230.02521543923399</v>
      </c>
      <c r="AD22" s="40">
        <v>0</v>
      </c>
      <c r="AE22" s="40">
        <v>0</v>
      </c>
      <c r="AF22" s="40">
        <v>2.7097819992040501E-13</v>
      </c>
      <c r="AG22" s="40">
        <v>-2.3363539920654102</v>
      </c>
      <c r="AH22" s="40">
        <v>5.1335901940711199</v>
      </c>
    </row>
    <row r="23" spans="1:34" ht="11.25" customHeight="1" x14ac:dyDescent="0.25">
      <c r="A23" s="108" t="s">
        <v>44</v>
      </c>
      <c r="B23" s="108" t="s">
        <v>101</v>
      </c>
      <c r="C23" s="108" t="s">
        <v>45</v>
      </c>
      <c r="D23" s="108" t="s">
        <v>25</v>
      </c>
      <c r="E23" s="108" t="s">
        <v>25</v>
      </c>
      <c r="F23" s="108" t="s">
        <v>25</v>
      </c>
      <c r="G23" s="43" t="s">
        <v>103</v>
      </c>
      <c r="H23" s="43" t="s">
        <v>102</v>
      </c>
      <c r="I23" s="43">
        <f>'MERCADO TE'!$U$20</f>
        <v>3.9449999999999994</v>
      </c>
      <c r="J23" s="15"/>
      <c r="L23" s="40">
        <f>('TE BE'!$L$23+'TE BF'!$L$23+'TE CVA'!$L$23)*(1 - CUSTOS!$M$38)</f>
        <v>2.3774864364836503</v>
      </c>
      <c r="M23" s="40">
        <f>('TE BE'!$M$23+'TE BF'!$M$23+'TE CVA'!$M$23)*(1 - CUSTOS!$M$38)</f>
        <v>55.189973821065905</v>
      </c>
      <c r="N23" s="40">
        <f>('TE BE'!$N$23+'TE BF'!$N$23+'TE CVA'!$N$23)*(1 - CUSTOS!$M$38)</f>
        <v>0</v>
      </c>
      <c r="O23" s="40">
        <f>('TE BE'!$O$23+'TE BF'!$O$23+'TE CVA'!$O$23)*(1 - CUSTOS!$M$38)</f>
        <v>5.3566512950276932</v>
      </c>
      <c r="P23" s="40">
        <f>('TE BE'!$P$23+'TE BF'!$P$23+'TE CVA'!$P$23)*(1 - CUSTOS!$M$38)</f>
        <v>-16.068198186445958</v>
      </c>
      <c r="Q23" s="40">
        <f>('TE BE'!$R$23+'TE BF'!$R$23+'TE CVA'!$R$23)*(1 - CUSTOS!$M$38)</f>
        <v>319.37654146357255</v>
      </c>
      <c r="R23" s="40">
        <f>('TE BE'!$T$23+'TE BF'!$T$23+'TE CVA'!$T$23)*(1 - CUSTOS!$M$38)</f>
        <v>0</v>
      </c>
      <c r="S23" s="40">
        <f>('TE BE'!$U$23+'TE BF'!$U$23+'TE CVA'!$U$23)*(1 - CUSTOS!$M$38)</f>
        <v>0</v>
      </c>
      <c r="T23" s="40">
        <f>('TE BE'!$V$23+'TE BF'!$V$23+'TE CVA'!$V$23)*(1 - CUSTOS!$M$38)</f>
        <v>2.5169237572552299E-13</v>
      </c>
      <c r="U23" s="40">
        <f>('TE BE'!$X$23+'TE BF'!$X$23+'TE CVA'!$X$23)*(1 - CUSTOS!$M$38)</f>
        <v>-32.739445451340231</v>
      </c>
      <c r="V23" s="40">
        <f>('TE BE'!$Z$23+'TE BF'!$Z$23+'TE CVA'!$Z$23)*(1 - CUSTOS!$M$38)</f>
        <v>5.1516649847670184</v>
      </c>
      <c r="X23" s="40">
        <v>2.1177774434979399</v>
      </c>
      <c r="Y23" s="40">
        <v>13.475170816397901</v>
      </c>
      <c r="Z23" s="40">
        <v>0</v>
      </c>
      <c r="AA23" s="40">
        <v>0</v>
      </c>
      <c r="AB23" s="40">
        <v>0</v>
      </c>
      <c r="AC23" s="40">
        <v>328.458647253609</v>
      </c>
      <c r="AD23" s="40">
        <v>0</v>
      </c>
      <c r="AE23" s="40">
        <v>0</v>
      </c>
      <c r="AF23" s="40">
        <v>2.38460815929956E-13</v>
      </c>
      <c r="AG23" s="40">
        <v>-3.22075882416003</v>
      </c>
      <c r="AH23" s="40">
        <v>4.5175593707825898</v>
      </c>
    </row>
    <row r="24" spans="1:34" ht="11.25" customHeight="1" x14ac:dyDescent="0.25">
      <c r="A24" s="108"/>
      <c r="B24" s="108"/>
      <c r="C24" s="108"/>
      <c r="D24" s="108"/>
      <c r="E24" s="108"/>
      <c r="F24" s="108"/>
      <c r="G24" s="43" t="s">
        <v>113</v>
      </c>
      <c r="H24" s="43" t="s">
        <v>102</v>
      </c>
      <c r="I24" s="43">
        <f>'MERCADO TE'!$U$21</f>
        <v>4.2359999999999989</v>
      </c>
      <c r="J24" s="15"/>
      <c r="L24" s="40">
        <f>('TE BE'!$L$24+'TE BF'!$L$24+'TE CVA'!$L$24)*(1 - CUSTOS!$M$38)</f>
        <v>2.3774864364836503</v>
      </c>
      <c r="M24" s="40">
        <f>('TE BE'!$M$24+'TE BF'!$M$24+'TE CVA'!$M$24)*(1 - CUSTOS!$M$38)</f>
        <v>55.189973821065905</v>
      </c>
      <c r="N24" s="40">
        <f>('TE BE'!$N$24+'TE BF'!$N$24+'TE CVA'!$N$24)*(1 - CUSTOS!$M$38)</f>
        <v>0</v>
      </c>
      <c r="O24" s="40">
        <f>('TE BE'!$O$24+'TE BF'!$O$24+'TE CVA'!$O$24)*(1 - CUSTOS!$M$38)</f>
        <v>5.3566512950276932</v>
      </c>
      <c r="P24" s="40">
        <f>('TE BE'!$P$24+'TE BF'!$P$24+'TE CVA'!$P$24)*(1 - CUSTOS!$M$38)</f>
        <v>-16.068198186445958</v>
      </c>
      <c r="Q24" s="40">
        <f>('TE BE'!$R$24+'TE BF'!$R$24+'TE CVA'!$R$24)*(1 - CUSTOS!$M$38)</f>
        <v>185.68403573463519</v>
      </c>
      <c r="R24" s="40">
        <f>('TE BE'!$T$24+'TE BF'!$T$24+'TE CVA'!$T$24)*(1 - CUSTOS!$M$38)</f>
        <v>0</v>
      </c>
      <c r="S24" s="40">
        <f>('TE BE'!$U$24+'TE BF'!$U$24+'TE CVA'!$U$24)*(1 - CUSTOS!$M$38)</f>
        <v>0</v>
      </c>
      <c r="T24" s="40">
        <f>('TE BE'!$V$24+'TE BF'!$V$24+'TE CVA'!$V$24)*(1 - CUSTOS!$M$38)</f>
        <v>2.5169237572552299E-13</v>
      </c>
      <c r="U24" s="40">
        <f>('TE BE'!$X$24+'TE BF'!$X$24+'TE CVA'!$X$24)*(1 - CUSTOS!$M$38)</f>
        <v>-19.834794672811299</v>
      </c>
      <c r="V24" s="40">
        <f>('TE BE'!$Z$24+'TE BF'!$Z$24+'TE CVA'!$Z$24)*(1 - CUSTOS!$M$38)</f>
        <v>5.1516649847670184</v>
      </c>
      <c r="X24" s="40">
        <v>2.1177774434979399</v>
      </c>
      <c r="Y24" s="40">
        <v>13.475170816397901</v>
      </c>
      <c r="Z24" s="40">
        <v>0</v>
      </c>
      <c r="AA24" s="40">
        <v>0</v>
      </c>
      <c r="AB24" s="40">
        <v>0</v>
      </c>
      <c r="AC24" s="40">
        <v>190.96432979861001</v>
      </c>
      <c r="AD24" s="40">
        <v>0</v>
      </c>
      <c r="AE24" s="40">
        <v>0</v>
      </c>
      <c r="AF24" s="40">
        <v>2.38460815929956E-13</v>
      </c>
      <c r="AG24" s="40">
        <v>-1.9501035756409699</v>
      </c>
      <c r="AH24" s="40">
        <v>4.5175593707825898</v>
      </c>
    </row>
    <row r="25" spans="1:34" ht="11.25" customHeight="1" x14ac:dyDescent="0.25">
      <c r="A25" s="108"/>
      <c r="B25" s="108"/>
      <c r="C25" s="108"/>
      <c r="D25" s="108"/>
      <c r="E25" s="108"/>
      <c r="F25" s="108"/>
      <c r="G25" s="43" t="s">
        <v>104</v>
      </c>
      <c r="H25" s="43" t="s">
        <v>102</v>
      </c>
      <c r="I25" s="43">
        <f>'MERCADO TE'!$U$22</f>
        <v>105.83499999999999</v>
      </c>
      <c r="J25" s="15"/>
      <c r="L25" s="40">
        <f>('TE BE'!$L$25+'TE BF'!$L$25+'TE CVA'!$L$25)*(1 - CUSTOS!$M$38)</f>
        <v>2.3774864364836503</v>
      </c>
      <c r="M25" s="40">
        <f>('TE BE'!$M$25+'TE BF'!$M$25+'TE CVA'!$M$25)*(1 - CUSTOS!$M$38)</f>
        <v>55.189973821065905</v>
      </c>
      <c r="N25" s="40">
        <f>('TE BE'!$N$25+'TE BF'!$N$25+'TE CVA'!$N$25)*(1 - CUSTOS!$M$38)</f>
        <v>0</v>
      </c>
      <c r="O25" s="40">
        <f>('TE BE'!$O$25+'TE BF'!$O$25+'TE CVA'!$O$25)*(1 - CUSTOS!$M$38)</f>
        <v>5.3566512950276932</v>
      </c>
      <c r="P25" s="40">
        <f>('TE BE'!$P$25+'TE BF'!$P$25+'TE CVA'!$P$25)*(1 - CUSTOS!$M$38)</f>
        <v>-16.068198186445958</v>
      </c>
      <c r="Q25" s="40">
        <f>('TE BE'!$R$25+'TE BF'!$R$25+'TE CVA'!$R$25)*(1 - CUSTOS!$M$38)</f>
        <v>185.68403573463519</v>
      </c>
      <c r="R25" s="40">
        <f>('TE BE'!$T$25+'TE BF'!$T$25+'TE CVA'!$T$25)*(1 - CUSTOS!$M$38)</f>
        <v>0</v>
      </c>
      <c r="S25" s="40">
        <f>('TE BE'!$U$25+'TE BF'!$U$25+'TE CVA'!$U$25)*(1 - CUSTOS!$M$38)</f>
        <v>0</v>
      </c>
      <c r="T25" s="40">
        <f>('TE BE'!$V$25+'TE BF'!$V$25+'TE CVA'!$V$25)*(1 - CUSTOS!$M$38)</f>
        <v>2.5169237572552299E-13</v>
      </c>
      <c r="U25" s="40">
        <f>('TE BE'!$X$25+'TE BF'!$X$25+'TE CVA'!$X$25)*(1 - CUSTOS!$M$38)</f>
        <v>-19.834794672811299</v>
      </c>
      <c r="V25" s="40">
        <f>('TE BE'!$Z$25+'TE BF'!$Z$25+'TE CVA'!$Z$25)*(1 - CUSTOS!$M$38)</f>
        <v>5.1516649847670184</v>
      </c>
      <c r="X25" s="40">
        <v>2.1177774434979399</v>
      </c>
      <c r="Y25" s="40">
        <v>13.475170816397901</v>
      </c>
      <c r="Z25" s="40">
        <v>0</v>
      </c>
      <c r="AA25" s="40">
        <v>0</v>
      </c>
      <c r="AB25" s="40">
        <v>0</v>
      </c>
      <c r="AC25" s="40">
        <v>190.96432979861001</v>
      </c>
      <c r="AD25" s="40">
        <v>0</v>
      </c>
      <c r="AE25" s="40">
        <v>0</v>
      </c>
      <c r="AF25" s="40">
        <v>2.38460815929956E-13</v>
      </c>
      <c r="AG25" s="40">
        <v>-1.9501035756409699</v>
      </c>
      <c r="AH25" s="40">
        <v>4.5175593707825898</v>
      </c>
    </row>
    <row r="26" spans="1:34" ht="11.25" customHeight="1" x14ac:dyDescent="0.25">
      <c r="A26" s="108"/>
      <c r="B26" s="42" t="s">
        <v>109</v>
      </c>
      <c r="C26" s="42" t="s">
        <v>45</v>
      </c>
      <c r="D26" s="42" t="s">
        <v>25</v>
      </c>
      <c r="E26" s="42" t="s">
        <v>25</v>
      </c>
      <c r="F26" s="42" t="s">
        <v>25</v>
      </c>
      <c r="G26" s="43" t="s">
        <v>108</v>
      </c>
      <c r="H26" s="43" t="s">
        <v>102</v>
      </c>
      <c r="I26" s="43">
        <f>'MERCADO TE'!$U$23</f>
        <v>251732.52099999998</v>
      </c>
      <c r="J26" s="15"/>
      <c r="L26" s="40">
        <f>('TE BE'!$L$26+'TE BF'!$L$26+'TE CVA'!$L$26)*(1 - CUSTOS!$M$38)</f>
        <v>2.3774864364836503</v>
      </c>
      <c r="M26" s="40">
        <f>('TE BE'!$M$26+'TE BF'!$M$26+'TE CVA'!$M$26)*(1 - CUSTOS!$M$38)</f>
        <v>55.189973821065905</v>
      </c>
      <c r="N26" s="40">
        <f>('TE BE'!$N$26+'TE BF'!$N$26+'TE CVA'!$N$26)*(1 - CUSTOS!$M$38)</f>
        <v>0</v>
      </c>
      <c r="O26" s="40">
        <f>('TE BE'!$O$26+'TE BF'!$O$26+'TE CVA'!$O$26)*(1 - CUSTOS!$M$38)</f>
        <v>5.3566512950276932</v>
      </c>
      <c r="P26" s="40">
        <f>('TE BE'!$P$26+'TE BF'!$P$26+'TE CVA'!$P$26)*(1 - CUSTOS!$M$38)</f>
        <v>-16.068198186445958</v>
      </c>
      <c r="Q26" s="40">
        <f>('TE BE'!$R$26+'TE BF'!$R$26+'TE CVA'!$R$26)*(1 - CUSTOS!$M$38)</f>
        <v>196.8250778787133</v>
      </c>
      <c r="R26" s="40">
        <f>('TE BE'!$T$26+'TE BF'!$T$26+'TE CVA'!$T$26)*(1 - CUSTOS!$M$38)</f>
        <v>0</v>
      </c>
      <c r="S26" s="40">
        <f>('TE BE'!$U$26+'TE BF'!$U$26+'TE CVA'!$U$26)*(1 - CUSTOS!$M$38)</f>
        <v>0</v>
      </c>
      <c r="T26" s="40">
        <f>('TE BE'!$V$26+'TE BF'!$V$26+'TE CVA'!$V$26)*(1 - CUSTOS!$M$38)</f>
        <v>2.5169237572552299E-13</v>
      </c>
      <c r="U26" s="40">
        <f>('TE BE'!$X$26+'TE BF'!$X$26+'TE CVA'!$X$26)*(1 - CUSTOS!$M$38)</f>
        <v>-20.910182237688709</v>
      </c>
      <c r="V26" s="40">
        <f>('TE BE'!$Z$26+'TE BF'!$Z$26+'TE CVA'!$Z$26)*(1 - CUSTOS!$M$38)</f>
        <v>5.1516649847670184</v>
      </c>
      <c r="X26" s="40">
        <v>2.1177774434979399</v>
      </c>
      <c r="Y26" s="40">
        <v>13.475170816397901</v>
      </c>
      <c r="Z26" s="40">
        <v>0</v>
      </c>
      <c r="AA26" s="40">
        <v>0</v>
      </c>
      <c r="AB26" s="40">
        <v>0</v>
      </c>
      <c r="AC26" s="40">
        <v>202.422189586526</v>
      </c>
      <c r="AD26" s="40">
        <v>0</v>
      </c>
      <c r="AE26" s="40">
        <v>0</v>
      </c>
      <c r="AF26" s="40">
        <v>2.38460815929956E-13</v>
      </c>
      <c r="AG26" s="40">
        <v>-2.0559915130175601</v>
      </c>
      <c r="AH26" s="40">
        <v>4.5175593707825898</v>
      </c>
    </row>
    <row r="27" spans="1:34" ht="11.25" customHeight="1" x14ac:dyDescent="0.25">
      <c r="A27" s="108"/>
      <c r="B27" s="108" t="s">
        <v>101</v>
      </c>
      <c r="C27" s="108" t="s">
        <v>45</v>
      </c>
      <c r="D27" s="108" t="s">
        <v>116</v>
      </c>
      <c r="E27" s="108" t="s">
        <v>25</v>
      </c>
      <c r="F27" s="108" t="s">
        <v>25</v>
      </c>
      <c r="G27" s="43" t="s">
        <v>103</v>
      </c>
      <c r="H27" s="43" t="s">
        <v>102</v>
      </c>
      <c r="I27" s="43">
        <f>'MERCADO TE'!$U$24</f>
        <v>0</v>
      </c>
      <c r="J27" s="15"/>
      <c r="L27" s="40">
        <f>('TE BE'!$L$27+'TE BF'!$L$27+'TE CVA'!$L$27)*(1 - CUSTOS!$M$39)</f>
        <v>2.3774864364836503</v>
      </c>
      <c r="M27" s="40">
        <f>('TE BE'!$M$27+'TE BF'!$M$27+'TE CVA'!$M$27)*(1 - CUSTOS!$M$39)</f>
        <v>55.189973821065905</v>
      </c>
      <c r="N27" s="40">
        <f>('TE BE'!$N$27+'TE BF'!$N$27+'TE CVA'!$N$27)*(1 - CUSTOS!$M$39)</f>
        <v>0</v>
      </c>
      <c r="O27" s="40">
        <f>('TE BE'!$O$27+'TE BF'!$O$27+'TE CVA'!$O$27)*(1 - CUSTOS!$M$39)</f>
        <v>5.3566512950276932</v>
      </c>
      <c r="P27" s="40">
        <f>('TE BE'!$P$27+'TE BF'!$P$27+'TE CVA'!$P$27)*(1 - CUSTOS!$M$39)</f>
        <v>-16.068198186445958</v>
      </c>
      <c r="Q27" s="40">
        <f>('TE BE'!$R$27+'TE BF'!$R$27+'TE CVA'!$R$27)*(1 - CUSTOS!$M$39)</f>
        <v>319.37654146357255</v>
      </c>
      <c r="R27" s="40">
        <f>('TE BE'!$T$27+'TE BF'!$T$27+'TE CVA'!$T$27)*(1 - CUSTOS!$M$39)</f>
        <v>0</v>
      </c>
      <c r="S27" s="40">
        <f>('TE BE'!$U$27+'TE BF'!$U$27+'TE CVA'!$U$27)*(1 - CUSTOS!$M$39)</f>
        <v>0</v>
      </c>
      <c r="T27" s="40">
        <f>('TE BE'!$V$27+'TE BF'!$V$27+'TE CVA'!$V$27)*(1 - CUSTOS!$M$39)</f>
        <v>2.5169237572552299E-13</v>
      </c>
      <c r="U27" s="40">
        <f>('TE BE'!$X$27+'TE BF'!$X$27+'TE CVA'!$X$27)*(1 - CUSTOS!$M$39)</f>
        <v>-32.739445451340231</v>
      </c>
      <c r="V27" s="40">
        <f>('TE BE'!$Z$27+'TE BF'!$Z$27+'TE CVA'!$Z$27)*(1 - CUSTOS!$M$39)</f>
        <v>5.1516649847670184</v>
      </c>
      <c r="X27" s="40">
        <v>2.1177774434979399</v>
      </c>
      <c r="Y27" s="40">
        <v>13.475170816397901</v>
      </c>
      <c r="Z27" s="40">
        <v>0</v>
      </c>
      <c r="AA27" s="40">
        <v>0</v>
      </c>
      <c r="AB27" s="40">
        <v>0</v>
      </c>
      <c r="AC27" s="40">
        <v>328.458647253609</v>
      </c>
      <c r="AD27" s="40">
        <v>0</v>
      </c>
      <c r="AE27" s="40">
        <v>0</v>
      </c>
      <c r="AF27" s="40">
        <v>2.38460815929956E-13</v>
      </c>
      <c r="AG27" s="40">
        <v>-3.22075882416003</v>
      </c>
      <c r="AH27" s="40">
        <v>4.5175593707825898</v>
      </c>
    </row>
    <row r="28" spans="1:34" ht="11.25" customHeight="1" x14ac:dyDescent="0.25">
      <c r="A28" s="108"/>
      <c r="B28" s="108"/>
      <c r="C28" s="108"/>
      <c r="D28" s="108"/>
      <c r="E28" s="108"/>
      <c r="F28" s="108"/>
      <c r="G28" s="43" t="s">
        <v>113</v>
      </c>
      <c r="H28" s="43" t="s">
        <v>102</v>
      </c>
      <c r="I28" s="43">
        <f>'MERCADO TE'!$U$25</f>
        <v>0</v>
      </c>
      <c r="J28" s="15"/>
      <c r="L28" s="40">
        <f>('TE BE'!$L$28+'TE BF'!$L$28+'TE CVA'!$L$28)*(1 - CUSTOS!$M$39)</f>
        <v>2.3774864364836503</v>
      </c>
      <c r="M28" s="40">
        <f>('TE BE'!$M$28+'TE BF'!$M$28+'TE CVA'!$M$28)*(1 - CUSTOS!$M$39)</f>
        <v>55.189973821065905</v>
      </c>
      <c r="N28" s="40">
        <f>('TE BE'!$N$28+'TE BF'!$N$28+'TE CVA'!$N$28)*(1 - CUSTOS!$M$39)</f>
        <v>0</v>
      </c>
      <c r="O28" s="40">
        <f>('TE BE'!$O$28+'TE BF'!$O$28+'TE CVA'!$O$28)*(1 - CUSTOS!$M$39)</f>
        <v>5.3566512950276932</v>
      </c>
      <c r="P28" s="40">
        <f>('TE BE'!$P$28+'TE BF'!$P$28+'TE CVA'!$P$28)*(1 - CUSTOS!$M$39)</f>
        <v>-16.068198186445958</v>
      </c>
      <c r="Q28" s="40">
        <f>('TE BE'!$R$28+'TE BF'!$R$28+'TE CVA'!$R$28)*(1 - CUSTOS!$M$39)</f>
        <v>185.68403573463519</v>
      </c>
      <c r="R28" s="40">
        <f>('TE BE'!$T$28+'TE BF'!$T$28+'TE CVA'!$T$28)*(1 - CUSTOS!$M$39)</f>
        <v>0</v>
      </c>
      <c r="S28" s="40">
        <f>('TE BE'!$U$28+'TE BF'!$U$28+'TE CVA'!$U$28)*(1 - CUSTOS!$M$39)</f>
        <v>0</v>
      </c>
      <c r="T28" s="40">
        <f>('TE BE'!$V$28+'TE BF'!$V$28+'TE CVA'!$V$28)*(1 - CUSTOS!$M$39)</f>
        <v>2.5169237572552299E-13</v>
      </c>
      <c r="U28" s="40">
        <f>('TE BE'!$X$28+'TE BF'!$X$28+'TE CVA'!$X$28)*(1 - CUSTOS!$M$39)</f>
        <v>-19.834794672811299</v>
      </c>
      <c r="V28" s="40">
        <f>('TE BE'!$Z$28+'TE BF'!$Z$28+'TE CVA'!$Z$28)*(1 - CUSTOS!$M$39)</f>
        <v>5.1516649847670184</v>
      </c>
      <c r="X28" s="40">
        <v>2.1177774434979399</v>
      </c>
      <c r="Y28" s="40">
        <v>13.475170816397901</v>
      </c>
      <c r="Z28" s="40">
        <v>0</v>
      </c>
      <c r="AA28" s="40">
        <v>0</v>
      </c>
      <c r="AB28" s="40">
        <v>0</v>
      </c>
      <c r="AC28" s="40">
        <v>190.96432979861001</v>
      </c>
      <c r="AD28" s="40">
        <v>0</v>
      </c>
      <c r="AE28" s="40">
        <v>0</v>
      </c>
      <c r="AF28" s="40">
        <v>2.38460815929956E-13</v>
      </c>
      <c r="AG28" s="40">
        <v>-1.9501035756409699</v>
      </c>
      <c r="AH28" s="40">
        <v>4.5175593707825898</v>
      </c>
    </row>
    <row r="29" spans="1:34" ht="11.25" customHeight="1" x14ac:dyDescent="0.25">
      <c r="A29" s="108"/>
      <c r="B29" s="108"/>
      <c r="C29" s="108"/>
      <c r="D29" s="108"/>
      <c r="E29" s="108"/>
      <c r="F29" s="108"/>
      <c r="G29" s="43" t="s">
        <v>104</v>
      </c>
      <c r="H29" s="43" t="s">
        <v>102</v>
      </c>
      <c r="I29" s="43">
        <f>'MERCADO TE'!$U$26</f>
        <v>0</v>
      </c>
      <c r="J29" s="15"/>
      <c r="L29" s="40">
        <f>('TE BE'!$L$29+'TE BF'!$L$29+'TE CVA'!$L$29)*(1 - CUSTOS!$M$39)</f>
        <v>2.3774864364836503</v>
      </c>
      <c r="M29" s="40">
        <f>('TE BE'!$M$29+'TE BF'!$M$29+'TE CVA'!$M$29)*(1 - CUSTOS!$M$39)</f>
        <v>55.189973821065905</v>
      </c>
      <c r="N29" s="40">
        <f>('TE BE'!$N$29+'TE BF'!$N$29+'TE CVA'!$N$29)*(1 - CUSTOS!$M$39)</f>
        <v>0</v>
      </c>
      <c r="O29" s="40">
        <f>('TE BE'!$O$29+'TE BF'!$O$29+'TE CVA'!$O$29)*(1 - CUSTOS!$M$39)</f>
        <v>5.3566512950276932</v>
      </c>
      <c r="P29" s="40">
        <f>('TE BE'!$P$29+'TE BF'!$P$29+'TE CVA'!$P$29)*(1 - CUSTOS!$M$39)</f>
        <v>-16.068198186445958</v>
      </c>
      <c r="Q29" s="40">
        <f>('TE BE'!$R$29+'TE BF'!$R$29+'TE CVA'!$R$29)*(1 - CUSTOS!$M$39)</f>
        <v>185.68403573463519</v>
      </c>
      <c r="R29" s="40">
        <f>('TE BE'!$T$29+'TE BF'!$T$29+'TE CVA'!$T$29)*(1 - CUSTOS!$M$39)</f>
        <v>0</v>
      </c>
      <c r="S29" s="40">
        <f>('TE BE'!$U$29+'TE BF'!$U$29+'TE CVA'!$U$29)*(1 - CUSTOS!$M$39)</f>
        <v>0</v>
      </c>
      <c r="T29" s="40">
        <f>('TE BE'!$V$29+'TE BF'!$V$29+'TE CVA'!$V$29)*(1 - CUSTOS!$M$39)</f>
        <v>2.5169237572552299E-13</v>
      </c>
      <c r="U29" s="40">
        <f>('TE BE'!$X$29+'TE BF'!$X$29+'TE CVA'!$X$29)*(1 - CUSTOS!$M$39)</f>
        <v>-19.834794672811299</v>
      </c>
      <c r="V29" s="40">
        <f>('TE BE'!$Z$29+'TE BF'!$Z$29+'TE CVA'!$Z$29)*(1 - CUSTOS!$M$39)</f>
        <v>5.1516649847670184</v>
      </c>
      <c r="X29" s="40">
        <v>2.1177774434979399</v>
      </c>
      <c r="Y29" s="40">
        <v>13.475170816397901</v>
      </c>
      <c r="Z29" s="40">
        <v>0</v>
      </c>
      <c r="AA29" s="40">
        <v>0</v>
      </c>
      <c r="AB29" s="40">
        <v>0</v>
      </c>
      <c r="AC29" s="40">
        <v>190.96432979861001</v>
      </c>
      <c r="AD29" s="40">
        <v>0</v>
      </c>
      <c r="AE29" s="40">
        <v>0</v>
      </c>
      <c r="AF29" s="40">
        <v>2.38460815929956E-13</v>
      </c>
      <c r="AG29" s="40">
        <v>-1.9501035756409699</v>
      </c>
      <c r="AH29" s="40">
        <v>4.5175593707825898</v>
      </c>
    </row>
    <row r="30" spans="1:34" ht="11.25" customHeight="1" x14ac:dyDescent="0.25">
      <c r="A30" s="108"/>
      <c r="B30" s="42" t="s">
        <v>109</v>
      </c>
      <c r="C30" s="42" t="s">
        <v>45</v>
      </c>
      <c r="D30" s="42" t="s">
        <v>116</v>
      </c>
      <c r="E30" s="42" t="s">
        <v>25</v>
      </c>
      <c r="F30" s="42" t="s">
        <v>25</v>
      </c>
      <c r="G30" s="43" t="s">
        <v>108</v>
      </c>
      <c r="H30" s="43" t="s">
        <v>102</v>
      </c>
      <c r="I30" s="43">
        <f>'MERCADO TE'!$U$27</f>
        <v>0</v>
      </c>
      <c r="J30" s="15"/>
      <c r="L30" s="40">
        <f>('TE BE'!$L$30+'TE BF'!$L$30+'TE CVA'!$L$30)*(1 - CUSTOS!$M$39)</f>
        <v>2.3774864364836503</v>
      </c>
      <c r="M30" s="40">
        <f>('TE BE'!$M$30+'TE BF'!$M$30+'TE CVA'!$M$30)*(1 - CUSTOS!$M$39)</f>
        <v>55.189973821065905</v>
      </c>
      <c r="N30" s="40">
        <f>('TE BE'!$N$30+'TE BF'!$N$30+'TE CVA'!$N$30)*(1 - CUSTOS!$M$39)</f>
        <v>0</v>
      </c>
      <c r="O30" s="40">
        <f>('TE BE'!$O$30+'TE BF'!$O$30+'TE CVA'!$O$30)*(1 - CUSTOS!$M$39)</f>
        <v>5.3566512950276932</v>
      </c>
      <c r="P30" s="40">
        <f>('TE BE'!$P$30+'TE BF'!$P$30+'TE CVA'!$P$30)*(1 - CUSTOS!$M$39)</f>
        <v>-16.068198186445958</v>
      </c>
      <c r="Q30" s="40">
        <f>('TE BE'!$R$30+'TE BF'!$R$30+'TE CVA'!$R$30)*(1 - CUSTOS!$M$39)</f>
        <v>196.8250778787133</v>
      </c>
      <c r="R30" s="40">
        <f>('TE BE'!$T$30+'TE BF'!$T$30+'TE CVA'!$T$30)*(1 - CUSTOS!$M$39)</f>
        <v>0</v>
      </c>
      <c r="S30" s="40">
        <f>('TE BE'!$U$30+'TE BF'!$U$30+'TE CVA'!$U$30)*(1 - CUSTOS!$M$39)</f>
        <v>0</v>
      </c>
      <c r="T30" s="40">
        <f>('TE BE'!$V$30+'TE BF'!$V$30+'TE CVA'!$V$30)*(1 - CUSTOS!$M$39)</f>
        <v>2.5169237572552299E-13</v>
      </c>
      <c r="U30" s="40">
        <f>('TE BE'!$X$30+'TE BF'!$X$30+'TE CVA'!$X$30)*(1 - CUSTOS!$M$39)</f>
        <v>-20.910182237688709</v>
      </c>
      <c r="V30" s="40">
        <f>('TE BE'!$Z$30+'TE BF'!$Z$30+'TE CVA'!$Z$30)*(1 - CUSTOS!$M$39)</f>
        <v>5.1516649847670184</v>
      </c>
      <c r="X30" s="40">
        <v>2.1177774434979399</v>
      </c>
      <c r="Y30" s="40">
        <v>13.475170816397901</v>
      </c>
      <c r="Z30" s="40">
        <v>0</v>
      </c>
      <c r="AA30" s="40">
        <v>0</v>
      </c>
      <c r="AB30" s="40">
        <v>0</v>
      </c>
      <c r="AC30" s="40">
        <v>202.422189586526</v>
      </c>
      <c r="AD30" s="40">
        <v>0</v>
      </c>
      <c r="AE30" s="40">
        <v>0</v>
      </c>
      <c r="AF30" s="40">
        <v>2.38460815929956E-13</v>
      </c>
      <c r="AG30" s="40">
        <v>-2.0559915130175601</v>
      </c>
      <c r="AH30" s="40">
        <v>4.5175593707825898</v>
      </c>
    </row>
    <row r="31" spans="1:34" ht="11.25" customHeight="1" x14ac:dyDescent="0.25">
      <c r="A31" s="108"/>
      <c r="B31" s="108" t="s">
        <v>101</v>
      </c>
      <c r="C31" s="108" t="s">
        <v>45</v>
      </c>
      <c r="D31" s="108" t="s">
        <v>117</v>
      </c>
      <c r="E31" s="108" t="s">
        <v>25</v>
      </c>
      <c r="F31" s="108" t="s">
        <v>25</v>
      </c>
      <c r="G31" s="43" t="s">
        <v>103</v>
      </c>
      <c r="H31" s="43" t="s">
        <v>102</v>
      </c>
      <c r="I31" s="43">
        <f>'MERCADO TE'!$U$28</f>
        <v>0</v>
      </c>
      <c r="J31" s="15"/>
      <c r="L31" s="40">
        <f>('TE BE'!$L$31+'TE BF'!$L$31+'TE CVA'!$L$31)*(1 - CUSTOS!$M$40)</f>
        <v>2.3269016186861262</v>
      </c>
      <c r="M31" s="40">
        <f>('TE BE'!$M$31+'TE BF'!$M$31+'TE CVA'!$M$31)*(1 - CUSTOS!$M$40)</f>
        <v>54.015719058915572</v>
      </c>
      <c r="N31" s="40">
        <f>('TE BE'!$N$31+'TE BF'!$N$31+'TE CVA'!$N$31)*(1 - CUSTOS!$M$40)</f>
        <v>0</v>
      </c>
      <c r="O31" s="40">
        <f>('TE BE'!$O$31+'TE BF'!$O$31+'TE CVA'!$O$31)*(1 - CUSTOS!$M$40)</f>
        <v>5.2426799908781678</v>
      </c>
      <c r="P31" s="40">
        <f>('TE BE'!$P$31+'TE BF'!$P$31+'TE CVA'!$P$31)*(1 - CUSTOS!$M$40)</f>
        <v>-15.726321629287536</v>
      </c>
      <c r="Q31" s="40">
        <f>('TE BE'!$R$31+'TE BF'!$R$31+'TE CVA'!$R$31)*(1 - CUSTOS!$M$40)</f>
        <v>312.58129590051783</v>
      </c>
      <c r="R31" s="40">
        <f>('TE BE'!$T$31+'TE BF'!$T$31+'TE CVA'!$T$31)*(1 - CUSTOS!$M$40)</f>
        <v>0</v>
      </c>
      <c r="S31" s="40">
        <f>('TE BE'!$U$31+'TE BF'!$U$31+'TE CVA'!$U$31)*(1 - CUSTOS!$M$40)</f>
        <v>0</v>
      </c>
      <c r="T31" s="40">
        <f>('TE BE'!$V$31+'TE BF'!$V$31+'TE CVA'!$V$31)*(1 - CUSTOS!$M$40)</f>
        <v>2.4633721879519272E-13</v>
      </c>
      <c r="U31" s="40">
        <f>('TE BE'!$X$31+'TE BF'!$X$31+'TE CVA'!$X$31)*(1 - CUSTOS!$M$40)</f>
        <v>-32.042861505567039</v>
      </c>
      <c r="V31" s="40">
        <f>('TE BE'!$Z$31+'TE BF'!$Z$31+'TE CVA'!$Z$31)*(1 - CUSTOS!$M$40)</f>
        <v>5.0420550914741034</v>
      </c>
      <c r="X31" s="40">
        <v>2.0215148324298502</v>
      </c>
      <c r="Y31" s="40">
        <v>12.862663052016201</v>
      </c>
      <c r="Z31" s="40">
        <v>0</v>
      </c>
      <c r="AA31" s="40">
        <v>0</v>
      </c>
      <c r="AB31" s="40">
        <v>0</v>
      </c>
      <c r="AC31" s="40">
        <v>313.52870874208099</v>
      </c>
      <c r="AD31" s="40">
        <v>0</v>
      </c>
      <c r="AE31" s="40">
        <v>0</v>
      </c>
      <c r="AF31" s="40">
        <v>2.2762168793313998E-13</v>
      </c>
      <c r="AG31" s="40">
        <v>-3.0743606957891201</v>
      </c>
      <c r="AH31" s="40">
        <v>4.31221576301974</v>
      </c>
    </row>
    <row r="32" spans="1:34" ht="11.25" customHeight="1" x14ac:dyDescent="0.25">
      <c r="A32" s="108"/>
      <c r="B32" s="108"/>
      <c r="C32" s="108"/>
      <c r="D32" s="108"/>
      <c r="E32" s="108"/>
      <c r="F32" s="108"/>
      <c r="G32" s="43" t="s">
        <v>113</v>
      </c>
      <c r="H32" s="43" t="s">
        <v>102</v>
      </c>
      <c r="I32" s="43">
        <f>'MERCADO TE'!$U$29</f>
        <v>0</v>
      </c>
      <c r="J32" s="15"/>
      <c r="L32" s="40">
        <f>('TE BE'!$L$32+'TE BF'!$L$32+'TE CVA'!$L$32)*(1 - CUSTOS!$M$40)</f>
        <v>2.3269016186861262</v>
      </c>
      <c r="M32" s="40">
        <f>('TE BE'!$M$32+'TE BF'!$M$32+'TE CVA'!$M$32)*(1 - CUSTOS!$M$40)</f>
        <v>54.015719058915572</v>
      </c>
      <c r="N32" s="40">
        <f>('TE BE'!$N$32+'TE BF'!$N$32+'TE CVA'!$N$32)*(1 - CUSTOS!$M$40)</f>
        <v>0</v>
      </c>
      <c r="O32" s="40">
        <f>('TE BE'!$O$32+'TE BF'!$O$32+'TE CVA'!$O$32)*(1 - CUSTOS!$M$40)</f>
        <v>5.2426799908781678</v>
      </c>
      <c r="P32" s="40">
        <f>('TE BE'!$P$32+'TE BF'!$P$32+'TE CVA'!$P$32)*(1 - CUSTOS!$M$40)</f>
        <v>-15.726321629287536</v>
      </c>
      <c r="Q32" s="40">
        <f>('TE BE'!$R$32+'TE BF'!$R$32+'TE CVA'!$R$32)*(1 - CUSTOS!$M$40)</f>
        <v>181.73331157006851</v>
      </c>
      <c r="R32" s="40">
        <f>('TE BE'!$T$32+'TE BF'!$T$32+'TE CVA'!$T$32)*(1 - CUSTOS!$M$40)</f>
        <v>0</v>
      </c>
      <c r="S32" s="40">
        <f>('TE BE'!$U$32+'TE BF'!$U$32+'TE CVA'!$U$32)*(1 - CUSTOS!$M$40)</f>
        <v>0</v>
      </c>
      <c r="T32" s="40">
        <f>('TE BE'!$V$32+'TE BF'!$V$32+'TE CVA'!$V$32)*(1 - CUSTOS!$M$40)</f>
        <v>2.4633721879519272E-13</v>
      </c>
      <c r="U32" s="40">
        <f>('TE BE'!$X$32+'TE BF'!$X$32+'TE CVA'!$X$32)*(1 - CUSTOS!$M$40)</f>
        <v>-19.412777764879145</v>
      </c>
      <c r="V32" s="40">
        <f>('TE BE'!$Z$32+'TE BF'!$Z$32+'TE CVA'!$Z$32)*(1 - CUSTOS!$M$40)</f>
        <v>5.0420550914741034</v>
      </c>
      <c r="X32" s="40">
        <v>2.0215148324298502</v>
      </c>
      <c r="Y32" s="40">
        <v>12.862663052016201</v>
      </c>
      <c r="Z32" s="40">
        <v>0</v>
      </c>
      <c r="AA32" s="40">
        <v>0</v>
      </c>
      <c r="AB32" s="40">
        <v>0</v>
      </c>
      <c r="AC32" s="40">
        <v>182.28413298958199</v>
      </c>
      <c r="AD32" s="40">
        <v>0</v>
      </c>
      <c r="AE32" s="40">
        <v>0</v>
      </c>
      <c r="AF32" s="40">
        <v>2.2762168793313998E-13</v>
      </c>
      <c r="AG32" s="40">
        <v>-1.8614625040209301</v>
      </c>
      <c r="AH32" s="40">
        <v>4.31221576301974</v>
      </c>
    </row>
    <row r="33" spans="1:34" ht="11.25" customHeight="1" x14ac:dyDescent="0.25">
      <c r="A33" s="108"/>
      <c r="B33" s="108"/>
      <c r="C33" s="108"/>
      <c r="D33" s="108"/>
      <c r="E33" s="108"/>
      <c r="F33" s="108"/>
      <c r="G33" s="43" t="s">
        <v>104</v>
      </c>
      <c r="H33" s="43" t="s">
        <v>102</v>
      </c>
      <c r="I33" s="43">
        <f>'MERCADO TE'!$U$30</f>
        <v>0</v>
      </c>
      <c r="J33" s="15"/>
      <c r="L33" s="40">
        <f>('TE BE'!$L$33+'TE BF'!$L$33+'TE CVA'!$L$33)*(1 - CUSTOS!$M$40)</f>
        <v>2.3269016186861262</v>
      </c>
      <c r="M33" s="40">
        <f>('TE BE'!$M$33+'TE BF'!$M$33+'TE CVA'!$M$33)*(1 - CUSTOS!$M$40)</f>
        <v>54.015719058915572</v>
      </c>
      <c r="N33" s="40">
        <f>('TE BE'!$N$33+'TE BF'!$N$33+'TE CVA'!$N$33)*(1 - CUSTOS!$M$40)</f>
        <v>0</v>
      </c>
      <c r="O33" s="40">
        <f>('TE BE'!$O$33+'TE BF'!$O$33+'TE CVA'!$O$33)*(1 - CUSTOS!$M$40)</f>
        <v>5.2426799908781678</v>
      </c>
      <c r="P33" s="40">
        <f>('TE BE'!$P$33+'TE BF'!$P$33+'TE CVA'!$P$33)*(1 - CUSTOS!$M$40)</f>
        <v>-15.726321629287536</v>
      </c>
      <c r="Q33" s="40">
        <f>('TE BE'!$R$33+'TE BF'!$R$33+'TE CVA'!$R$33)*(1 - CUSTOS!$M$40)</f>
        <v>181.73331157006851</v>
      </c>
      <c r="R33" s="40">
        <f>('TE BE'!$T$33+'TE BF'!$T$33+'TE CVA'!$T$33)*(1 - CUSTOS!$M$40)</f>
        <v>0</v>
      </c>
      <c r="S33" s="40">
        <f>('TE BE'!$U$33+'TE BF'!$U$33+'TE CVA'!$U$33)*(1 - CUSTOS!$M$40)</f>
        <v>0</v>
      </c>
      <c r="T33" s="40">
        <f>('TE BE'!$V$33+'TE BF'!$V$33+'TE CVA'!$V$33)*(1 - CUSTOS!$M$40)</f>
        <v>2.4633721879519272E-13</v>
      </c>
      <c r="U33" s="40">
        <f>('TE BE'!$X$33+'TE BF'!$X$33+'TE CVA'!$X$33)*(1 - CUSTOS!$M$40)</f>
        <v>-19.412777764879145</v>
      </c>
      <c r="V33" s="40">
        <f>('TE BE'!$Z$33+'TE BF'!$Z$33+'TE CVA'!$Z$33)*(1 - CUSTOS!$M$40)</f>
        <v>5.0420550914741034</v>
      </c>
      <c r="X33" s="40">
        <v>2.0215148324298502</v>
      </c>
      <c r="Y33" s="40">
        <v>12.862663052016201</v>
      </c>
      <c r="Z33" s="40">
        <v>0</v>
      </c>
      <c r="AA33" s="40">
        <v>0</v>
      </c>
      <c r="AB33" s="40">
        <v>0</v>
      </c>
      <c r="AC33" s="40">
        <v>182.28413298958199</v>
      </c>
      <c r="AD33" s="40">
        <v>0</v>
      </c>
      <c r="AE33" s="40">
        <v>0</v>
      </c>
      <c r="AF33" s="40">
        <v>2.2762168793313998E-13</v>
      </c>
      <c r="AG33" s="40">
        <v>-1.8614625040209301</v>
      </c>
      <c r="AH33" s="40">
        <v>4.31221576301974</v>
      </c>
    </row>
    <row r="34" spans="1:34" ht="11.25" customHeight="1" x14ac:dyDescent="0.25">
      <c r="A34" s="108"/>
      <c r="B34" s="42" t="s">
        <v>109</v>
      </c>
      <c r="C34" s="42" t="s">
        <v>45</v>
      </c>
      <c r="D34" s="42" t="s">
        <v>117</v>
      </c>
      <c r="E34" s="42" t="s">
        <v>25</v>
      </c>
      <c r="F34" s="42" t="s">
        <v>25</v>
      </c>
      <c r="G34" s="43" t="s">
        <v>108</v>
      </c>
      <c r="H34" s="43" t="s">
        <v>102</v>
      </c>
      <c r="I34" s="43">
        <f>'MERCADO TE'!$U$31</f>
        <v>0</v>
      </c>
      <c r="J34" s="15"/>
      <c r="L34" s="40">
        <f>('TE BE'!$L$34+'TE BF'!$L$34+'TE CVA'!$L$34)*(1 - CUSTOS!$M$40)</f>
        <v>2.3269016186861262</v>
      </c>
      <c r="M34" s="40">
        <f>('TE BE'!$M$34+'TE BF'!$M$34+'TE CVA'!$M$34)*(1 - CUSTOS!$M$40)</f>
        <v>54.015719058915572</v>
      </c>
      <c r="N34" s="40">
        <f>('TE BE'!$N$34+'TE BF'!$N$34+'TE CVA'!$N$34)*(1 - CUSTOS!$M$40)</f>
        <v>0</v>
      </c>
      <c r="O34" s="40">
        <f>('TE BE'!$O$34+'TE BF'!$O$34+'TE CVA'!$O$34)*(1 - CUSTOS!$M$40)</f>
        <v>5.2426799908781678</v>
      </c>
      <c r="P34" s="40">
        <f>('TE BE'!$P$34+'TE BF'!$P$34+'TE CVA'!$P$34)*(1 - CUSTOS!$M$40)</f>
        <v>-15.726321629287536</v>
      </c>
      <c r="Q34" s="40">
        <f>('TE BE'!$R$34+'TE BF'!$R$34+'TE CVA'!$R$34)*(1 - CUSTOS!$M$40)</f>
        <v>192.6373102642726</v>
      </c>
      <c r="R34" s="40">
        <f>('TE BE'!$T$34+'TE BF'!$T$34+'TE CVA'!$T$34)*(1 - CUSTOS!$M$40)</f>
        <v>0</v>
      </c>
      <c r="S34" s="40">
        <f>('TE BE'!$U$34+'TE BF'!$U$34+'TE CVA'!$U$34)*(1 - CUSTOS!$M$40)</f>
        <v>0</v>
      </c>
      <c r="T34" s="40">
        <f>('TE BE'!$V$34+'TE BF'!$V$34+'TE CVA'!$V$34)*(1 - CUSTOS!$M$40)</f>
        <v>2.4633721879519272E-13</v>
      </c>
      <c r="U34" s="40">
        <f>('TE BE'!$X$34+'TE BF'!$X$34+'TE CVA'!$X$34)*(1 - CUSTOS!$M$40)</f>
        <v>-20.465284743269802</v>
      </c>
      <c r="V34" s="40">
        <f>('TE BE'!$Z$34+'TE BF'!$Z$34+'TE CVA'!$Z$34)*(1 - CUSTOS!$M$40)</f>
        <v>5.0420550914741034</v>
      </c>
      <c r="X34" s="40">
        <v>2.0215148324298502</v>
      </c>
      <c r="Y34" s="40">
        <v>12.862663052016201</v>
      </c>
      <c r="Z34" s="40">
        <v>0</v>
      </c>
      <c r="AA34" s="40">
        <v>0</v>
      </c>
      <c r="AB34" s="40">
        <v>0</v>
      </c>
      <c r="AC34" s="40">
        <v>193.22118096895699</v>
      </c>
      <c r="AD34" s="40">
        <v>0</v>
      </c>
      <c r="AE34" s="40">
        <v>0</v>
      </c>
      <c r="AF34" s="40">
        <v>2.2762168793313998E-13</v>
      </c>
      <c r="AG34" s="40">
        <v>-1.9625373533349399</v>
      </c>
      <c r="AH34" s="40">
        <v>4.31221576301974</v>
      </c>
    </row>
    <row r="35" spans="1:34" ht="11.25" customHeight="1" x14ac:dyDescent="0.25">
      <c r="A35" s="108"/>
      <c r="B35" s="108" t="s">
        <v>114</v>
      </c>
      <c r="C35" s="108" t="s">
        <v>45</v>
      </c>
      <c r="D35" s="42" t="s">
        <v>25</v>
      </c>
      <c r="E35" s="42" t="s">
        <v>25</v>
      </c>
      <c r="F35" s="42" t="s">
        <v>25</v>
      </c>
      <c r="G35" s="43" t="s">
        <v>108</v>
      </c>
      <c r="H35" s="43" t="s">
        <v>102</v>
      </c>
      <c r="I35" s="43">
        <f>'MERCADO TE'!$U$32</f>
        <v>0</v>
      </c>
      <c r="J35" s="15"/>
      <c r="L35" s="40">
        <f>('TE BE'!$L$35+'TE BF'!$L$35+'TE CVA'!$L$35)*(1 - CUSTOS!$M$38)</f>
        <v>2.3774864364836503</v>
      </c>
      <c r="M35" s="40">
        <f>('TE BE'!$M$35+'TE BF'!$M$35+'TE CVA'!$M$35)*(1 - CUSTOS!$M$38)</f>
        <v>55.189973821065905</v>
      </c>
      <c r="N35" s="40">
        <f>('TE BE'!$N$35+'TE BF'!$N$35+'TE CVA'!$N$35)*(1 - CUSTOS!$M$38)</f>
        <v>0</v>
      </c>
      <c r="O35" s="40">
        <f>('TE BE'!$O$35+'TE BF'!$O$35+'TE CVA'!$O$35)*(1 - CUSTOS!$M$38)</f>
        <v>5.3566512950276932</v>
      </c>
      <c r="P35" s="40">
        <f>('TE BE'!$P$35+'TE BF'!$P$35+'TE CVA'!$P$35)*(1 - CUSTOS!$M$38)</f>
        <v>-16.068198186445958</v>
      </c>
      <c r="Q35" s="40">
        <f>('TE BE'!$R$35+'TE BF'!$R$35+'TE CVA'!$R$35)*(1 - CUSTOS!$M$38)</f>
        <v>196.8250778787133</v>
      </c>
      <c r="R35" s="40">
        <f>('TE BE'!$T$35+'TE BF'!$T$35+'TE CVA'!$T$35)*(1 - CUSTOS!$M$38)</f>
        <v>0</v>
      </c>
      <c r="S35" s="40">
        <f>('TE BE'!$U$35+'TE BF'!$U$35+'TE CVA'!$U$35)*(1 - CUSTOS!$M$38)</f>
        <v>0</v>
      </c>
      <c r="T35" s="40">
        <f>('TE BE'!$V$35+'TE BF'!$V$35+'TE CVA'!$V$35)*(1 - CUSTOS!$M$38)</f>
        <v>2.5169237572552299E-13</v>
      </c>
      <c r="U35" s="40">
        <f>('TE BE'!$X$35+'TE BF'!$X$35+'TE CVA'!$X$35)*(1 - CUSTOS!$M$38)</f>
        <v>-20.910182237688709</v>
      </c>
      <c r="V35" s="40">
        <f>('TE BE'!$Z$35+'TE BF'!$Z$35+'TE CVA'!$Z$35)*(1 - CUSTOS!$M$38)</f>
        <v>5.1516649847670184</v>
      </c>
      <c r="X35" s="40">
        <v>2.1177774434979399</v>
      </c>
      <c r="Y35" s="40">
        <v>13.475170816397901</v>
      </c>
      <c r="Z35" s="40">
        <v>0</v>
      </c>
      <c r="AA35" s="40">
        <v>0</v>
      </c>
      <c r="AB35" s="40">
        <v>0</v>
      </c>
      <c r="AC35" s="40">
        <v>202.422189586526</v>
      </c>
      <c r="AD35" s="40">
        <v>0</v>
      </c>
      <c r="AE35" s="40">
        <v>0</v>
      </c>
      <c r="AF35" s="40">
        <v>2.38460815929956E-13</v>
      </c>
      <c r="AG35" s="40">
        <v>-2.0559915130175601</v>
      </c>
      <c r="AH35" s="40">
        <v>4.5175593707825898</v>
      </c>
    </row>
    <row r="36" spans="1:34" ht="11.25" customHeight="1" x14ac:dyDescent="0.25">
      <c r="A36" s="108"/>
      <c r="B36" s="108"/>
      <c r="C36" s="108"/>
      <c r="D36" s="42" t="s">
        <v>116</v>
      </c>
      <c r="E36" s="42" t="s">
        <v>25</v>
      </c>
      <c r="F36" s="42" t="s">
        <v>25</v>
      </c>
      <c r="G36" s="43" t="s">
        <v>108</v>
      </c>
      <c r="H36" s="43" t="s">
        <v>102</v>
      </c>
      <c r="I36" s="43">
        <f>'MERCADO TE'!$U$33</f>
        <v>0</v>
      </c>
      <c r="J36" s="15"/>
      <c r="L36" s="40">
        <f>('TE BE'!$L$36+'TE BF'!$L$36+'TE CVA'!$L$36)*(1 - CUSTOS!$M$39)</f>
        <v>2.3774864364836503</v>
      </c>
      <c r="M36" s="40">
        <f>('TE BE'!$M$36+'TE BF'!$M$36+'TE CVA'!$M$36)*(1 - CUSTOS!$M$39)</f>
        <v>55.189973821065905</v>
      </c>
      <c r="N36" s="40">
        <f>('TE BE'!$N$36+'TE BF'!$N$36+'TE CVA'!$N$36)*(1 - CUSTOS!$M$39)</f>
        <v>0</v>
      </c>
      <c r="O36" s="40">
        <f>('TE BE'!$O$36+'TE BF'!$O$36+'TE CVA'!$O$36)*(1 - CUSTOS!$M$39)</f>
        <v>5.3566512950276932</v>
      </c>
      <c r="P36" s="40">
        <f>('TE BE'!$P$36+'TE BF'!$P$36+'TE CVA'!$P$36)*(1 - CUSTOS!$M$39)</f>
        <v>-16.068198186445958</v>
      </c>
      <c r="Q36" s="40">
        <f>('TE BE'!$R$36+'TE BF'!$R$36+'TE CVA'!$R$36)*(1 - CUSTOS!$M$39)</f>
        <v>196.8250778787133</v>
      </c>
      <c r="R36" s="40">
        <f>('TE BE'!$T$36+'TE BF'!$T$36+'TE CVA'!$T$36)*(1 - CUSTOS!$M$39)</f>
        <v>0</v>
      </c>
      <c r="S36" s="40">
        <f>('TE BE'!$U$36+'TE BF'!$U$36+'TE CVA'!$U$36)*(1 - CUSTOS!$M$39)</f>
        <v>0</v>
      </c>
      <c r="T36" s="40">
        <f>('TE BE'!$V$36+'TE BF'!$V$36+'TE CVA'!$V$36)*(1 - CUSTOS!$M$39)</f>
        <v>2.5169237572552299E-13</v>
      </c>
      <c r="U36" s="40">
        <f>('TE BE'!$X$36+'TE BF'!$X$36+'TE CVA'!$X$36)*(1 - CUSTOS!$M$39)</f>
        <v>-20.910182237688709</v>
      </c>
      <c r="V36" s="40">
        <f>('TE BE'!$Z$36+'TE BF'!$Z$36+'TE CVA'!$Z$36)*(1 - CUSTOS!$M$39)</f>
        <v>5.1516649847670184</v>
      </c>
      <c r="X36" s="40">
        <v>2.1177774434979399</v>
      </c>
      <c r="Y36" s="40">
        <v>13.475170816397901</v>
      </c>
      <c r="Z36" s="40">
        <v>0</v>
      </c>
      <c r="AA36" s="40">
        <v>0</v>
      </c>
      <c r="AB36" s="40">
        <v>0</v>
      </c>
      <c r="AC36" s="40">
        <v>202.422189586526</v>
      </c>
      <c r="AD36" s="40">
        <v>0</v>
      </c>
      <c r="AE36" s="40">
        <v>0</v>
      </c>
      <c r="AF36" s="40">
        <v>2.38460815929956E-13</v>
      </c>
      <c r="AG36" s="40">
        <v>-2.0559915130175601</v>
      </c>
      <c r="AH36" s="40">
        <v>4.5175593707825898</v>
      </c>
    </row>
    <row r="37" spans="1:34" ht="11.25" customHeight="1" x14ac:dyDescent="0.25">
      <c r="A37" s="108"/>
      <c r="B37" s="108"/>
      <c r="C37" s="108"/>
      <c r="D37" s="42" t="s">
        <v>117</v>
      </c>
      <c r="E37" s="42" t="s">
        <v>25</v>
      </c>
      <c r="F37" s="42" t="s">
        <v>25</v>
      </c>
      <c r="G37" s="43" t="s">
        <v>108</v>
      </c>
      <c r="H37" s="43" t="s">
        <v>102</v>
      </c>
      <c r="I37" s="43">
        <f>'MERCADO TE'!$U$34</f>
        <v>0</v>
      </c>
      <c r="J37" s="15"/>
      <c r="L37" s="40">
        <f>('TE BE'!$L$37+'TE BF'!$L$37+'TE CVA'!$L$37)*(1 - CUSTOS!$M$40)</f>
        <v>2.3269016186861262</v>
      </c>
      <c r="M37" s="40">
        <f>('TE BE'!$M$37+'TE BF'!$M$37+'TE CVA'!$M$37)*(1 - CUSTOS!$M$40)</f>
        <v>54.015719058915572</v>
      </c>
      <c r="N37" s="40">
        <f>('TE BE'!$N$37+'TE BF'!$N$37+'TE CVA'!$N$37)*(1 - CUSTOS!$M$40)</f>
        <v>0</v>
      </c>
      <c r="O37" s="40">
        <f>('TE BE'!$O$37+'TE BF'!$O$37+'TE CVA'!$O$37)*(1 - CUSTOS!$M$40)</f>
        <v>5.2426799908781678</v>
      </c>
      <c r="P37" s="40">
        <f>('TE BE'!$P$37+'TE BF'!$P$37+'TE CVA'!$P$37)*(1 - CUSTOS!$M$40)</f>
        <v>-15.726321629287536</v>
      </c>
      <c r="Q37" s="40">
        <f>('TE BE'!$R$37+'TE BF'!$R$37+'TE CVA'!$R$37)*(1 - CUSTOS!$M$40)</f>
        <v>192.6373102642726</v>
      </c>
      <c r="R37" s="40">
        <f>('TE BE'!$T$37+'TE BF'!$T$37+'TE CVA'!$T$37)*(1 - CUSTOS!$M$40)</f>
        <v>0</v>
      </c>
      <c r="S37" s="40">
        <f>('TE BE'!$U$37+'TE BF'!$U$37+'TE CVA'!$U$37)*(1 - CUSTOS!$M$40)</f>
        <v>0</v>
      </c>
      <c r="T37" s="40">
        <f>('TE BE'!$V$37+'TE BF'!$V$37+'TE CVA'!$V$37)*(1 - CUSTOS!$M$40)</f>
        <v>2.4633721879519272E-13</v>
      </c>
      <c r="U37" s="40">
        <f>('TE BE'!$X$37+'TE BF'!$X$37+'TE CVA'!$X$37)*(1 - CUSTOS!$M$40)</f>
        <v>-20.465284743269802</v>
      </c>
      <c r="V37" s="40">
        <f>('TE BE'!$Z$37+'TE BF'!$Z$37+'TE CVA'!$Z$37)*(1 - CUSTOS!$M$40)</f>
        <v>5.0420550914741034</v>
      </c>
      <c r="X37" s="40">
        <v>2.0215148324298502</v>
      </c>
      <c r="Y37" s="40">
        <v>12.862663052016201</v>
      </c>
      <c r="Z37" s="40">
        <v>0</v>
      </c>
      <c r="AA37" s="40">
        <v>0</v>
      </c>
      <c r="AB37" s="40">
        <v>0</v>
      </c>
      <c r="AC37" s="40">
        <v>193.22118096895699</v>
      </c>
      <c r="AD37" s="40">
        <v>0</v>
      </c>
      <c r="AE37" s="40">
        <v>0</v>
      </c>
      <c r="AF37" s="40">
        <v>2.2762168793313998E-13</v>
      </c>
      <c r="AG37" s="40">
        <v>-1.9625373533349399</v>
      </c>
      <c r="AH37" s="40">
        <v>4.31221576301974</v>
      </c>
    </row>
    <row r="38" spans="1:34" ht="11.25" customHeight="1" x14ac:dyDescent="0.25">
      <c r="A38" s="108" t="s">
        <v>37</v>
      </c>
      <c r="B38" s="108" t="s">
        <v>101</v>
      </c>
      <c r="C38" s="108" t="s">
        <v>25</v>
      </c>
      <c r="D38" s="108" t="s">
        <v>25</v>
      </c>
      <c r="E38" s="108" t="s">
        <v>25</v>
      </c>
      <c r="F38" s="108" t="s">
        <v>25</v>
      </c>
      <c r="G38" s="43" t="s">
        <v>103</v>
      </c>
      <c r="H38" s="43" t="s">
        <v>102</v>
      </c>
      <c r="I38" s="43">
        <f>'MERCADO TE'!$U$35</f>
        <v>54.588999999999999</v>
      </c>
      <c r="J38" s="15"/>
      <c r="L38" s="40">
        <f>('TE BE'!$L$38+'TE BF'!$L$38+'TE CVA'!$L$38)*1</f>
        <v>2.529240889876224</v>
      </c>
      <c r="M38" s="40">
        <f>('TE BE'!$M$38+'TE BF'!$M$38+'TE CVA'!$M$38)*1</f>
        <v>58.712738107516927</v>
      </c>
      <c r="N38" s="40">
        <f>('TE BE'!$N$38+'TE BF'!$N$38+'TE CVA'!$N$38)*1</f>
        <v>0</v>
      </c>
      <c r="O38" s="40">
        <f>('TE BE'!$O$38+'TE BF'!$O$38+'TE CVA'!$O$38)*1</f>
        <v>5.6985652074762694</v>
      </c>
      <c r="P38" s="40">
        <f>('TE BE'!$P$38+'TE BF'!$P$38+'TE CVA'!$P$38)*1</f>
        <v>-17.093827857921234</v>
      </c>
      <c r="Q38" s="40">
        <f>('TE BE'!$R$38+'TE BF'!$R$38+'TE CVA'!$R$38)*1</f>
        <v>339.76227815273677</v>
      </c>
      <c r="R38" s="40">
        <f>('TE BE'!$T$38+'TE BF'!$T$38+'TE CVA'!$T$38)*1</f>
        <v>0</v>
      </c>
      <c r="S38" s="40">
        <f>('TE BE'!$U$38+'TE BF'!$U$38+'TE CVA'!$U$38)*1</f>
        <v>0</v>
      </c>
      <c r="T38" s="40">
        <f>('TE BE'!$V$38+'TE BF'!$V$38+'TE CVA'!$V$38)*1</f>
        <v>2.6775784651651382E-13</v>
      </c>
      <c r="U38" s="40">
        <f>('TE BE'!$X$38+'TE BF'!$X$38+'TE CVA'!$X$38)*1</f>
        <v>-34.82919728865982</v>
      </c>
      <c r="V38" s="40">
        <f>('TE BE'!$Z$38+'TE BF'!$Z$38+'TE CVA'!$Z$38)*1</f>
        <v>5.4804946646457644</v>
      </c>
      <c r="X38" s="40">
        <v>2.4065652767022101</v>
      </c>
      <c r="Y38" s="40">
        <v>15.3126941095431</v>
      </c>
      <c r="Z38" s="40">
        <v>0</v>
      </c>
      <c r="AA38" s="40">
        <v>0</v>
      </c>
      <c r="AB38" s="40">
        <v>0</v>
      </c>
      <c r="AC38" s="40">
        <v>373.248462788192</v>
      </c>
      <c r="AD38" s="40">
        <v>0</v>
      </c>
      <c r="AE38" s="40">
        <v>0</v>
      </c>
      <c r="AF38" s="40">
        <v>2.7097819992040501E-13</v>
      </c>
      <c r="AG38" s="40">
        <v>-3.65995320927277</v>
      </c>
      <c r="AH38" s="40">
        <v>5.1335901940711199</v>
      </c>
    </row>
    <row r="39" spans="1:34" ht="11.25" customHeight="1" x14ac:dyDescent="0.25">
      <c r="A39" s="108"/>
      <c r="B39" s="108"/>
      <c r="C39" s="108"/>
      <c r="D39" s="108"/>
      <c r="E39" s="108"/>
      <c r="F39" s="108"/>
      <c r="G39" s="43" t="s">
        <v>113</v>
      </c>
      <c r="H39" s="43" t="s">
        <v>102</v>
      </c>
      <c r="I39" s="43">
        <f>'MERCADO TE'!$U$36</f>
        <v>66.038999999999987</v>
      </c>
      <c r="J39" s="15"/>
      <c r="L39" s="40">
        <f>('TE BE'!$L$39+'TE BF'!$L$39+'TE CVA'!$L$39)*1</f>
        <v>2.529240889876224</v>
      </c>
      <c r="M39" s="40">
        <f>('TE BE'!$M$39+'TE BF'!$M$39+'TE CVA'!$M$39)*1</f>
        <v>58.712738107516927</v>
      </c>
      <c r="N39" s="40">
        <f>('TE BE'!$N$39+'TE BF'!$N$39+'TE CVA'!$N$39)*1</f>
        <v>0</v>
      </c>
      <c r="O39" s="40">
        <f>('TE BE'!$O$39+'TE BF'!$O$39+'TE CVA'!$O$39)*1</f>
        <v>5.6985652074762694</v>
      </c>
      <c r="P39" s="40">
        <f>('TE BE'!$P$39+'TE BF'!$P$39+'TE CVA'!$P$39)*1</f>
        <v>-17.093827857921234</v>
      </c>
      <c r="Q39" s="40">
        <f>('TE BE'!$R$39+'TE BF'!$R$39+'TE CVA'!$R$39)*1</f>
        <v>197.53620822833531</v>
      </c>
      <c r="R39" s="40">
        <f>('TE BE'!$T$39+'TE BF'!$T$39+'TE CVA'!$T$39)*1</f>
        <v>0</v>
      </c>
      <c r="S39" s="40">
        <f>('TE BE'!$U$39+'TE BF'!$U$39+'TE CVA'!$U$39)*1</f>
        <v>0</v>
      </c>
      <c r="T39" s="40">
        <f>('TE BE'!$V$39+'TE BF'!$V$39+'TE CVA'!$V$39)*1</f>
        <v>2.6775784651651382E-13</v>
      </c>
      <c r="U39" s="40">
        <f>('TE BE'!$X$39+'TE BF'!$X$39+'TE CVA'!$X$39)*1</f>
        <v>-21.100845396607767</v>
      </c>
      <c r="V39" s="40">
        <f>('TE BE'!$Z$39+'TE BF'!$Z$39+'TE CVA'!$Z$39)*1</f>
        <v>5.4804946646457644</v>
      </c>
      <c r="X39" s="40">
        <v>2.4065652767022101</v>
      </c>
      <c r="Y39" s="40">
        <v>15.3126941095431</v>
      </c>
      <c r="Z39" s="40">
        <v>0</v>
      </c>
      <c r="AA39" s="40">
        <v>0</v>
      </c>
      <c r="AB39" s="40">
        <v>0</v>
      </c>
      <c r="AC39" s="40">
        <v>217.00492022569301</v>
      </c>
      <c r="AD39" s="40">
        <v>0</v>
      </c>
      <c r="AE39" s="40">
        <v>0</v>
      </c>
      <c r="AF39" s="40">
        <v>2.7097819992040501E-13</v>
      </c>
      <c r="AG39" s="40">
        <v>-2.2160267905011</v>
      </c>
      <c r="AH39" s="40">
        <v>5.1335901940711199</v>
      </c>
    </row>
    <row r="40" spans="1:34" ht="11.25" customHeight="1" x14ac:dyDescent="0.25">
      <c r="A40" s="108"/>
      <c r="B40" s="108"/>
      <c r="C40" s="108"/>
      <c r="D40" s="108"/>
      <c r="E40" s="108"/>
      <c r="F40" s="108"/>
      <c r="G40" s="43" t="s">
        <v>104</v>
      </c>
      <c r="H40" s="43" t="s">
        <v>102</v>
      </c>
      <c r="I40" s="43">
        <f>'MERCADO TE'!$U$37</f>
        <v>1004.5179999999999</v>
      </c>
      <c r="J40" s="15"/>
      <c r="L40" s="40">
        <f>('TE BE'!$L$40+'TE BF'!$L$40+'TE CVA'!$L$40)*1</f>
        <v>2.529240889876224</v>
      </c>
      <c r="M40" s="40">
        <f>('TE BE'!$M$40+'TE BF'!$M$40+'TE CVA'!$M$40)*1</f>
        <v>58.712738107516927</v>
      </c>
      <c r="N40" s="40">
        <f>('TE BE'!$N$40+'TE BF'!$N$40+'TE CVA'!$N$40)*1</f>
        <v>0</v>
      </c>
      <c r="O40" s="40">
        <f>('TE BE'!$O$40+'TE BF'!$O$40+'TE CVA'!$O$40)*1</f>
        <v>5.6985652074762694</v>
      </c>
      <c r="P40" s="40">
        <f>('TE BE'!$P$40+'TE BF'!$P$40+'TE CVA'!$P$40)*1</f>
        <v>-17.093827857921234</v>
      </c>
      <c r="Q40" s="40">
        <f>('TE BE'!$R$40+'TE BF'!$R$40+'TE CVA'!$R$40)*1</f>
        <v>197.53620822833531</v>
      </c>
      <c r="R40" s="40">
        <f>('TE BE'!$T$40+'TE BF'!$T$40+'TE CVA'!$T$40)*1</f>
        <v>0</v>
      </c>
      <c r="S40" s="40">
        <f>('TE BE'!$U$40+'TE BF'!$U$40+'TE CVA'!$U$40)*1</f>
        <v>0</v>
      </c>
      <c r="T40" s="40">
        <f>('TE BE'!$V$40+'TE BF'!$V$40+'TE CVA'!$V$40)*1</f>
        <v>2.6775784651651382E-13</v>
      </c>
      <c r="U40" s="40">
        <f>('TE BE'!$X$40+'TE BF'!$X$40+'TE CVA'!$X$40)*1</f>
        <v>-21.100845396607767</v>
      </c>
      <c r="V40" s="40">
        <f>('TE BE'!$Z$40+'TE BF'!$Z$40+'TE CVA'!$Z$40)*1</f>
        <v>5.4804946646457644</v>
      </c>
      <c r="X40" s="40">
        <v>2.4065652767022101</v>
      </c>
      <c r="Y40" s="40">
        <v>15.3126941095431</v>
      </c>
      <c r="Z40" s="40">
        <v>0</v>
      </c>
      <c r="AA40" s="40">
        <v>0</v>
      </c>
      <c r="AB40" s="40">
        <v>0</v>
      </c>
      <c r="AC40" s="40">
        <v>217.00492022569301</v>
      </c>
      <c r="AD40" s="40">
        <v>0</v>
      </c>
      <c r="AE40" s="40">
        <v>0</v>
      </c>
      <c r="AF40" s="40">
        <v>2.7097819992040501E-13</v>
      </c>
      <c r="AG40" s="40">
        <v>-2.2160267905011</v>
      </c>
      <c r="AH40" s="40">
        <v>5.1335901940711199</v>
      </c>
    </row>
    <row r="41" spans="1:34" ht="11.25" customHeight="1" x14ac:dyDescent="0.25">
      <c r="A41" s="108"/>
      <c r="B41" s="42" t="s">
        <v>109</v>
      </c>
      <c r="C41" s="42" t="s">
        <v>25</v>
      </c>
      <c r="D41" s="42" t="s">
        <v>25</v>
      </c>
      <c r="E41" s="42" t="s">
        <v>25</v>
      </c>
      <c r="F41" s="42" t="s">
        <v>25</v>
      </c>
      <c r="G41" s="43" t="s">
        <v>108</v>
      </c>
      <c r="H41" s="43" t="s">
        <v>102</v>
      </c>
      <c r="I41" s="43">
        <f>'MERCADO TE'!$U$38</f>
        <v>650710.04299999995</v>
      </c>
      <c r="J41" s="15"/>
      <c r="L41" s="40">
        <f>('TE BE'!$L$41+'TE BF'!$L$41+'TE CVA'!$L$41)*1</f>
        <v>2.529240889876224</v>
      </c>
      <c r="M41" s="40">
        <f>('TE BE'!$M$41+'TE BF'!$M$41+'TE CVA'!$M$41)*1</f>
        <v>58.712738107516927</v>
      </c>
      <c r="N41" s="40">
        <f>('TE BE'!$N$41+'TE BF'!$N$41+'TE CVA'!$N$41)*1</f>
        <v>0</v>
      </c>
      <c r="O41" s="40">
        <f>('TE BE'!$O$41+'TE BF'!$O$41+'TE CVA'!$O$41)*1</f>
        <v>5.6985652074762694</v>
      </c>
      <c r="P41" s="40">
        <f>('TE BE'!$P$41+'TE BF'!$P$41+'TE CVA'!$P$41)*1</f>
        <v>-17.093827857921234</v>
      </c>
      <c r="Q41" s="40">
        <f>('TE BE'!$R$41+'TE BF'!$R$41+'TE CVA'!$R$41)*1</f>
        <v>209.38838072203544</v>
      </c>
      <c r="R41" s="40">
        <f>('TE BE'!$T$41+'TE BF'!$T$41+'TE CVA'!$T$41)*1</f>
        <v>0</v>
      </c>
      <c r="S41" s="40">
        <f>('TE BE'!$U$41+'TE BF'!$U$41+'TE CVA'!$U$41)*1</f>
        <v>0</v>
      </c>
      <c r="T41" s="40">
        <f>('TE BE'!$V$41+'TE BF'!$V$41+'TE CVA'!$V$41)*1</f>
        <v>2.6775784651651382E-13</v>
      </c>
      <c r="U41" s="40">
        <f>('TE BE'!$X$41+'TE BF'!$X$41+'TE CVA'!$X$41)*1</f>
        <v>-22.244874720945436</v>
      </c>
      <c r="V41" s="40">
        <f>('TE BE'!$Z$41+'TE BF'!$Z$41+'TE CVA'!$Z$41)*1</f>
        <v>5.4804946646457644</v>
      </c>
      <c r="X41" s="40">
        <v>2.4065652767022101</v>
      </c>
      <c r="Y41" s="40">
        <v>15.3126941095431</v>
      </c>
      <c r="Z41" s="40">
        <v>0</v>
      </c>
      <c r="AA41" s="40">
        <v>0</v>
      </c>
      <c r="AB41" s="40">
        <v>0</v>
      </c>
      <c r="AC41" s="40">
        <v>230.02521543923399</v>
      </c>
      <c r="AD41" s="40">
        <v>0</v>
      </c>
      <c r="AE41" s="40">
        <v>0</v>
      </c>
      <c r="AF41" s="40">
        <v>2.7097819992040501E-13</v>
      </c>
      <c r="AG41" s="40">
        <v>-2.3363539920654102</v>
      </c>
      <c r="AH41" s="40">
        <v>5.1335901940711199</v>
      </c>
    </row>
    <row r="42" spans="1:34" ht="11.25" customHeight="1" x14ac:dyDescent="0.25">
      <c r="A42" s="108"/>
      <c r="B42" s="42" t="s">
        <v>114</v>
      </c>
      <c r="C42" s="42" t="s">
        <v>25</v>
      </c>
      <c r="D42" s="42" t="s">
        <v>25</v>
      </c>
      <c r="E42" s="42" t="s">
        <v>25</v>
      </c>
      <c r="F42" s="42" t="s">
        <v>25</v>
      </c>
      <c r="G42" s="43" t="s">
        <v>108</v>
      </c>
      <c r="H42" s="43" t="s">
        <v>102</v>
      </c>
      <c r="I42" s="43">
        <f>'MERCADO TE'!$U$39</f>
        <v>0</v>
      </c>
      <c r="J42" s="15"/>
      <c r="L42" s="40">
        <f>('TE BE'!$L$42+'TE BF'!$L$42+'TE CVA'!$L$42)*1</f>
        <v>2.529240889876224</v>
      </c>
      <c r="M42" s="40">
        <f>('TE BE'!$M$42+'TE BF'!$M$42+'TE CVA'!$M$42)*1</f>
        <v>58.712738107516927</v>
      </c>
      <c r="N42" s="40">
        <f>('TE BE'!$N$42+'TE BF'!$N$42+'TE CVA'!$N$42)*1</f>
        <v>0</v>
      </c>
      <c r="O42" s="40">
        <f>('TE BE'!$O$42+'TE BF'!$O$42+'TE CVA'!$O$42)*1</f>
        <v>5.6985652074762694</v>
      </c>
      <c r="P42" s="40">
        <f>('TE BE'!$P$42+'TE BF'!$P$42+'TE CVA'!$P$42)*1</f>
        <v>-17.093827857921234</v>
      </c>
      <c r="Q42" s="40">
        <f>('TE BE'!$R$42+'TE BF'!$R$42+'TE CVA'!$R$42)*1</f>
        <v>209.38838072203544</v>
      </c>
      <c r="R42" s="40">
        <f>('TE BE'!$T$42+'TE BF'!$T$42+'TE CVA'!$T$42)*1</f>
        <v>0</v>
      </c>
      <c r="S42" s="40">
        <f>('TE BE'!$U$42+'TE BF'!$U$42+'TE CVA'!$U$42)*1</f>
        <v>0</v>
      </c>
      <c r="T42" s="40">
        <f>('TE BE'!$V$42+'TE BF'!$V$42+'TE CVA'!$V$42)*1</f>
        <v>2.6775784651651382E-13</v>
      </c>
      <c r="U42" s="40">
        <f>('TE BE'!$X$42+'TE BF'!$X$42+'TE CVA'!$X$42)*1</f>
        <v>-22.244874720945436</v>
      </c>
      <c r="V42" s="40">
        <f>('TE BE'!$Z$42+'TE BF'!$Z$42+'TE CVA'!$Z$42)*1</f>
        <v>5.4804946646457644</v>
      </c>
      <c r="X42" s="40">
        <v>2.4065652767022101</v>
      </c>
      <c r="Y42" s="40">
        <v>15.3126941095431</v>
      </c>
      <c r="Z42" s="40">
        <v>0</v>
      </c>
      <c r="AA42" s="40">
        <v>0</v>
      </c>
      <c r="AB42" s="40">
        <v>0</v>
      </c>
      <c r="AC42" s="40">
        <v>230.02521543923399</v>
      </c>
      <c r="AD42" s="40">
        <v>0</v>
      </c>
      <c r="AE42" s="40">
        <v>0</v>
      </c>
      <c r="AF42" s="40">
        <v>2.7097819992040501E-13</v>
      </c>
      <c r="AG42" s="40">
        <v>-2.3363539920654102</v>
      </c>
      <c r="AH42" s="40">
        <v>5.1335901940711199</v>
      </c>
    </row>
    <row r="43" spans="1:34" ht="11.25" customHeight="1" x14ac:dyDescent="0.25">
      <c r="A43" s="108" t="s">
        <v>47</v>
      </c>
      <c r="B43" s="108" t="s">
        <v>109</v>
      </c>
      <c r="C43" s="108" t="s">
        <v>48</v>
      </c>
      <c r="D43" s="42" t="s">
        <v>49</v>
      </c>
      <c r="E43" s="42" t="s">
        <v>25</v>
      </c>
      <c r="F43" s="42" t="s">
        <v>25</v>
      </c>
      <c r="G43" s="43" t="s">
        <v>108</v>
      </c>
      <c r="H43" s="43" t="s">
        <v>102</v>
      </c>
      <c r="I43" s="43">
        <f>'MERCADO TE'!$U$40</f>
        <v>252172.81799999997</v>
      </c>
      <c r="J43" s="15"/>
      <c r="L43" s="40">
        <f>('TE BE'!$L$43+'TE BF'!$L$43+'TE CVA'!$L$43)*1</f>
        <v>1.3910824894319234</v>
      </c>
      <c r="M43" s="40">
        <f>('TE BE'!$M$43+'TE BF'!$M$43+'TE CVA'!$M$43)*1</f>
        <v>32.292005959134315</v>
      </c>
      <c r="N43" s="40">
        <f>('TE BE'!$N$43+'TE BF'!$N$43+'TE CVA'!$N$43)*1</f>
        <v>0</v>
      </c>
      <c r="O43" s="40">
        <f>('TE BE'!$O$43+'TE BF'!$O$43+'TE CVA'!$O$43)*1</f>
        <v>3.1342108641119486</v>
      </c>
      <c r="P43" s="40">
        <f>('TE BE'!$P$43+'TE BF'!$P$43+'TE CVA'!$P$43)*1</f>
        <v>-9.40160532185668</v>
      </c>
      <c r="Q43" s="40">
        <f>('TE BE'!$R$43+'TE BF'!$R$43+'TE CVA'!$R$43)*1</f>
        <v>115.1636093971195</v>
      </c>
      <c r="R43" s="40">
        <f>('TE BE'!$T$43+'TE BF'!$T$43+'TE CVA'!$T$43)*1</f>
        <v>0</v>
      </c>
      <c r="S43" s="40">
        <f>('TE BE'!$U$43+'TE BF'!$U$43+'TE CVA'!$U$43)*1</f>
        <v>0</v>
      </c>
      <c r="T43" s="40">
        <f>('TE BE'!$V$43+'TE BF'!$V$43+'TE CVA'!$V$43)*1</f>
        <v>1.4726681558408262E-13</v>
      </c>
      <c r="U43" s="40">
        <f>('TE BE'!$X$43+'TE BF'!$X$43+'TE CVA'!$X$43)*1</f>
        <v>-12.234681096519992</v>
      </c>
      <c r="V43" s="40">
        <f>('TE BE'!$Z$43+'TE BF'!$Z$43+'TE CVA'!$Z$43)*1</f>
        <v>3.0142720655551707</v>
      </c>
      <c r="X43" s="40">
        <v>1.3236109021862099</v>
      </c>
      <c r="Y43" s="40">
        <v>8.4219817602487108</v>
      </c>
      <c r="Z43" s="40">
        <v>0</v>
      </c>
      <c r="AA43" s="40">
        <v>0</v>
      </c>
      <c r="AB43" s="40">
        <v>0</v>
      </c>
      <c r="AC43" s="40">
        <v>126.513868491579</v>
      </c>
      <c r="AD43" s="40">
        <v>0</v>
      </c>
      <c r="AE43" s="40">
        <v>0</v>
      </c>
      <c r="AF43" s="40">
        <v>1.49038009956223E-13</v>
      </c>
      <c r="AG43" s="40">
        <v>-1.2849946956359799</v>
      </c>
      <c r="AH43" s="40">
        <v>2.8234746067391199</v>
      </c>
    </row>
    <row r="44" spans="1:34" ht="11.25" customHeight="1" x14ac:dyDescent="0.25">
      <c r="A44" s="108"/>
      <c r="B44" s="108"/>
      <c r="C44" s="108"/>
      <c r="D44" s="43" t="s">
        <v>118</v>
      </c>
      <c r="E44" s="43" t="s">
        <v>25</v>
      </c>
      <c r="F44" s="43" t="s">
        <v>25</v>
      </c>
      <c r="G44" s="43" t="s">
        <v>108</v>
      </c>
      <c r="H44" s="43" t="s">
        <v>102</v>
      </c>
      <c r="I44" s="43">
        <f>'MERCADO TE'!$U$41</f>
        <v>0</v>
      </c>
      <c r="J44" s="15"/>
      <c r="L44" s="40">
        <f>('TE BE'!$L$44+'TE BF'!$L$44+'TE CVA'!$L$44)*1</f>
        <v>1.5175445339257343</v>
      </c>
      <c r="M44" s="40">
        <f>('TE BE'!$M$44+'TE BF'!$M$44+'TE CVA'!$M$44)*1</f>
        <v>35.227642864510159</v>
      </c>
      <c r="N44" s="40">
        <f>('TE BE'!$N$44+'TE BF'!$N$44+'TE CVA'!$N$44)*1</f>
        <v>0</v>
      </c>
      <c r="O44" s="40">
        <f>('TE BE'!$O$44+'TE BF'!$O$44+'TE CVA'!$O$44)*1</f>
        <v>3.4191391244857621</v>
      </c>
      <c r="P44" s="40">
        <f>('TE BE'!$P$44+'TE BF'!$P$44+'TE CVA'!$P$44)*1</f>
        <v>-10.25629671475274</v>
      </c>
      <c r="Q44" s="40">
        <f>('TE BE'!$R$44+'TE BF'!$R$44+'TE CVA'!$R$44)*1</f>
        <v>125.63302843322126</v>
      </c>
      <c r="R44" s="40">
        <f>('TE BE'!$T$44+'TE BF'!$T$44+'TE CVA'!$T$44)*1</f>
        <v>0</v>
      </c>
      <c r="S44" s="40">
        <f>('TE BE'!$U$44+'TE BF'!$U$44+'TE CVA'!$U$44)*1</f>
        <v>0</v>
      </c>
      <c r="T44" s="40">
        <f>('TE BE'!$V$44+'TE BF'!$V$44+'TE CVA'!$V$44)*1</f>
        <v>1.6065470790990829E-13</v>
      </c>
      <c r="U44" s="40">
        <f>('TE BE'!$X$44+'TE BF'!$X$44+'TE CVA'!$X$44)*1</f>
        <v>-13.346924832567263</v>
      </c>
      <c r="V44" s="40">
        <f>('TE BE'!$Z$44+'TE BF'!$Z$44+'TE CVA'!$Z$44)*1</f>
        <v>3.2882967987874583</v>
      </c>
      <c r="X44" s="40">
        <v>1.4439391660213201</v>
      </c>
      <c r="Y44" s="40">
        <v>9.1876164657258599</v>
      </c>
      <c r="Z44" s="40">
        <v>0</v>
      </c>
      <c r="AA44" s="40">
        <v>0</v>
      </c>
      <c r="AB44" s="40">
        <v>0</v>
      </c>
      <c r="AC44" s="40">
        <v>138.01512926354101</v>
      </c>
      <c r="AD44" s="40">
        <v>0</v>
      </c>
      <c r="AE44" s="40">
        <v>0</v>
      </c>
      <c r="AF44" s="40">
        <v>1.6258691995224301E-13</v>
      </c>
      <c r="AG44" s="40">
        <v>-1.4018123952392501</v>
      </c>
      <c r="AH44" s="40">
        <v>3.08015411644267</v>
      </c>
    </row>
    <row r="46" spans="1:34" ht="11.25" customHeight="1" x14ac:dyDescent="0.25">
      <c r="L46" s="105" t="s">
        <v>1341</v>
      </c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X46" s="105" t="s">
        <v>1342</v>
      </c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</row>
    <row r="47" spans="1:34" ht="11.25" customHeight="1" x14ac:dyDescent="0.25">
      <c r="L47" s="105" t="s">
        <v>862</v>
      </c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X47" s="105" t="s">
        <v>862</v>
      </c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</row>
    <row r="48" spans="1:34" ht="11.25" customHeight="1" x14ac:dyDescent="0.25">
      <c r="L48" s="105" t="s">
        <v>835</v>
      </c>
      <c r="M48" s="105"/>
      <c r="N48" s="105"/>
      <c r="O48" s="105"/>
      <c r="P48" s="105"/>
      <c r="Q48" s="44" t="s">
        <v>866</v>
      </c>
      <c r="R48" s="105" t="s">
        <v>844</v>
      </c>
      <c r="S48" s="105"/>
      <c r="T48" s="105"/>
      <c r="U48" s="44" t="s">
        <v>854</v>
      </c>
      <c r="V48" s="44" t="s">
        <v>857</v>
      </c>
      <c r="X48" s="105" t="s">
        <v>835</v>
      </c>
      <c r="Y48" s="105"/>
      <c r="Z48" s="105"/>
      <c r="AA48" s="105"/>
      <c r="AB48" s="105"/>
      <c r="AC48" s="44" t="s">
        <v>866</v>
      </c>
      <c r="AD48" s="105" t="s">
        <v>844</v>
      </c>
      <c r="AE48" s="105"/>
      <c r="AF48" s="105"/>
      <c r="AG48" s="44" t="s">
        <v>854</v>
      </c>
      <c r="AH48" s="44" t="s">
        <v>857</v>
      </c>
    </row>
    <row r="49" spans="1:34" ht="11.25" customHeight="1" x14ac:dyDescent="0.25">
      <c r="L49" s="44" t="s">
        <v>837</v>
      </c>
      <c r="M49" s="44" t="s">
        <v>863</v>
      </c>
      <c r="N49" s="44" t="s">
        <v>864</v>
      </c>
      <c r="O49" s="44" t="s">
        <v>923</v>
      </c>
      <c r="P49" s="44" t="s">
        <v>865</v>
      </c>
      <c r="Q49" s="44" t="s">
        <v>867</v>
      </c>
      <c r="R49" s="44" t="s">
        <v>868</v>
      </c>
      <c r="S49" s="44" t="s">
        <v>869</v>
      </c>
      <c r="T49" s="44" t="s">
        <v>870</v>
      </c>
      <c r="U49" s="44" t="s">
        <v>855</v>
      </c>
      <c r="V49" s="44" t="s">
        <v>871</v>
      </c>
      <c r="X49" s="44" t="s">
        <v>837</v>
      </c>
      <c r="Y49" s="44" t="s">
        <v>863</v>
      </c>
      <c r="Z49" s="44" t="s">
        <v>864</v>
      </c>
      <c r="AA49" s="44" t="s">
        <v>923</v>
      </c>
      <c r="AB49" s="44" t="s">
        <v>865</v>
      </c>
      <c r="AC49" s="44" t="s">
        <v>867</v>
      </c>
      <c r="AD49" s="44" t="s">
        <v>868</v>
      </c>
      <c r="AE49" s="44" t="s">
        <v>869</v>
      </c>
      <c r="AF49" s="44" t="s">
        <v>870</v>
      </c>
      <c r="AG49" s="44" t="s">
        <v>855</v>
      </c>
      <c r="AH49" s="44" t="s">
        <v>871</v>
      </c>
    </row>
    <row r="50" spans="1:34" ht="11.25" customHeight="1" x14ac:dyDescent="0.25">
      <c r="A50" s="9" t="s">
        <v>39</v>
      </c>
      <c r="B50" s="9" t="s">
        <v>1343</v>
      </c>
      <c r="C50" s="9" t="s">
        <v>1344</v>
      </c>
      <c r="D50" s="9" t="s">
        <v>1345</v>
      </c>
      <c r="E50" s="9" t="s">
        <v>1346</v>
      </c>
      <c r="F50" s="9" t="s">
        <v>1347</v>
      </c>
      <c r="G50" s="9" t="s">
        <v>1348</v>
      </c>
      <c r="L50" s="40">
        <f>$I$5*$L$5</f>
        <v>18702.666511738258</v>
      </c>
      <c r="M50" s="40">
        <f>$I$5*$M$5</f>
        <v>434155.86281686818</v>
      </c>
      <c r="N50" s="40">
        <f>$I$5*$N$5</f>
        <v>0</v>
      </c>
      <c r="O50" s="40">
        <f>$I$5*$O$5</f>
        <v>42138.479216204243</v>
      </c>
      <c r="P50" s="40">
        <f>$I$5*$P$5</f>
        <v>-126401.62632014361</v>
      </c>
      <c r="Q50" s="40">
        <f>$I$5*$Q$5</f>
        <v>2512398.3274958297</v>
      </c>
      <c r="R50" s="40">
        <f>$I$5*$R$5</f>
        <v>0</v>
      </c>
      <c r="S50" s="40">
        <f>$I$5*$S$5</f>
        <v>0</v>
      </c>
      <c r="T50" s="40">
        <f>$I$5*$T$5</f>
        <v>1.9799560134205429E-9</v>
      </c>
      <c r="U50" s="40">
        <f>$I$5*$U$5</f>
        <v>-257547.18119918625</v>
      </c>
      <c r="V50" s="40">
        <f>$I$5*$V$5</f>
        <v>40525.939795812279</v>
      </c>
      <c r="X50" s="40">
        <f>$I$5*$X$5</f>
        <v>17795.532244100796</v>
      </c>
      <c r="Y50" s="40">
        <f>$I$5*$Y$5</f>
        <v>113230.89567046288</v>
      </c>
      <c r="Z50" s="40">
        <f>$I$5*$Z$5</f>
        <v>0</v>
      </c>
      <c r="AA50" s="40">
        <f>$I$5*$AA$5</f>
        <v>0</v>
      </c>
      <c r="AB50" s="40">
        <f>$I$5*$AB$5</f>
        <v>0</v>
      </c>
      <c r="AC50" s="40">
        <f>$I$5*$AC$5</f>
        <v>2760014.4982189201</v>
      </c>
      <c r="AD50" s="40">
        <f>$I$5*$AD$5</f>
        <v>0</v>
      </c>
      <c r="AE50" s="40">
        <f>$I$5*$AE$5</f>
        <v>0</v>
      </c>
      <c r="AF50" s="40">
        <f>$I$5*$AF$5</f>
        <v>2.0037691646328285E-9</v>
      </c>
      <c r="AG50" s="40">
        <f>$I$5*$AG$5</f>
        <v>-27063.805822364608</v>
      </c>
      <c r="AH50" s="40">
        <f>$I$5*$AH$5</f>
        <v>37960.727976503833</v>
      </c>
    </row>
    <row r="51" spans="1:34" ht="11.25" customHeight="1" x14ac:dyDescent="0.25">
      <c r="A51" s="9" t="s">
        <v>39</v>
      </c>
      <c r="B51" s="9" t="s">
        <v>1343</v>
      </c>
      <c r="C51" s="9" t="s">
        <v>1344</v>
      </c>
      <c r="D51" s="9" t="s">
        <v>1345</v>
      </c>
      <c r="E51" s="9" t="s">
        <v>1346</v>
      </c>
      <c r="F51" s="9" t="s">
        <v>1347</v>
      </c>
      <c r="G51" s="9" t="s">
        <v>1349</v>
      </c>
      <c r="L51" s="40">
        <f>$I$6*$L$6</f>
        <v>218239.93588667302</v>
      </c>
      <c r="M51" s="40">
        <f>$I$6*$M$6</f>
        <v>5066130.4154949766</v>
      </c>
      <c r="N51" s="40">
        <f>$I$6*$N$6</f>
        <v>0</v>
      </c>
      <c r="O51" s="40">
        <f>$I$6*$O$6</f>
        <v>491710.58023915964</v>
      </c>
      <c r="P51" s="40">
        <f>$I$6*$P$6</f>
        <v>-1474970.5774182393</v>
      </c>
      <c r="Q51" s="40">
        <f>$I$6*$Q$6</f>
        <v>17044754.254766978</v>
      </c>
      <c r="R51" s="40">
        <f>$I$6*$R$6</f>
        <v>0</v>
      </c>
      <c r="S51" s="40">
        <f>$I$6*$S$6</f>
        <v>0</v>
      </c>
      <c r="T51" s="40">
        <f>$I$6*$T$6</f>
        <v>2.3103950078783253E-8</v>
      </c>
      <c r="U51" s="40">
        <f>$I$6*$U$6</f>
        <v>-1820723.0339122189</v>
      </c>
      <c r="V51" s="40">
        <f>$I$6*$V$6</f>
        <v>472893.98531670828</v>
      </c>
      <c r="X51" s="40">
        <f>$I$6*$X$6</f>
        <v>207654.65788444001</v>
      </c>
      <c r="Y51" s="40">
        <f>$I$6*$Y$6</f>
        <v>1321282.3634535123</v>
      </c>
      <c r="Z51" s="40">
        <f>$I$6*$Z$6</f>
        <v>0</v>
      </c>
      <c r="AA51" s="40">
        <f>$I$6*$AA$6</f>
        <v>0</v>
      </c>
      <c r="AB51" s="40">
        <f>$I$6*$AB$6</f>
        <v>0</v>
      </c>
      <c r="AC51" s="40">
        <f>$I$6*$AC$6</f>
        <v>18724645.828205593</v>
      </c>
      <c r="AD51" s="40">
        <f>$I$6*$AD$6</f>
        <v>0</v>
      </c>
      <c r="AE51" s="40">
        <f>$I$6*$AE$6</f>
        <v>0</v>
      </c>
      <c r="AF51" s="40">
        <f>$I$6*$AF$6</f>
        <v>2.3381823856330808E-8</v>
      </c>
      <c r="AG51" s="40">
        <f>$I$6*$AG$6</f>
        <v>-191213.71420884214</v>
      </c>
      <c r="AH51" s="40">
        <f>$I$6*$AH$6</f>
        <v>442960.73154082306</v>
      </c>
    </row>
    <row r="52" spans="1:34" ht="11.25" customHeight="1" x14ac:dyDescent="0.25">
      <c r="A52" s="9" t="s">
        <v>41</v>
      </c>
      <c r="B52" s="9" t="s">
        <v>1350</v>
      </c>
      <c r="C52" s="9" t="s">
        <v>1351</v>
      </c>
      <c r="D52" s="9" t="s">
        <v>1352</v>
      </c>
      <c r="E52" s="9" t="s">
        <v>1353</v>
      </c>
      <c r="F52" s="9" t="s">
        <v>1354</v>
      </c>
      <c r="G52" s="9" t="s">
        <v>1355</v>
      </c>
      <c r="L52" s="40">
        <f>$I$7*$L$7</f>
        <v>100477.06367913769</v>
      </c>
      <c r="M52" s="40">
        <f>$I$7*$M$7</f>
        <v>2332432.4500756478</v>
      </c>
      <c r="N52" s="40">
        <f>$I$7*$N$7</f>
        <v>0</v>
      </c>
      <c r="O52" s="40">
        <f>$I$7*$O$7</f>
        <v>226382.19298254832</v>
      </c>
      <c r="P52" s="40">
        <f>$I$7*$P$7</f>
        <v>-679072.37980982603</v>
      </c>
      <c r="Q52" s="40">
        <f>$I$7*$Q$7</f>
        <v>13497455.380532017</v>
      </c>
      <c r="R52" s="40">
        <f>$I$7*$R$7</f>
        <v>0</v>
      </c>
      <c r="S52" s="40">
        <f>$I$7*$S$7</f>
        <v>0</v>
      </c>
      <c r="T52" s="40">
        <f>$I$7*$T$7</f>
        <v>1.063699480058032E-8</v>
      </c>
      <c r="U52" s="40">
        <f>$I$7*$U$7</f>
        <v>-1383630.7517696279</v>
      </c>
      <c r="V52" s="40">
        <f>$I$7*$V$7</f>
        <v>217719.08465378924</v>
      </c>
      <c r="X52" s="40">
        <f>$I$7*$X$7</f>
        <v>95603.630924630124</v>
      </c>
      <c r="Y52" s="40">
        <f>$I$7*$Y$7</f>
        <v>608314.75060448411</v>
      </c>
      <c r="Z52" s="40">
        <f>$I$7*$Z$7</f>
        <v>0</v>
      </c>
      <c r="AA52" s="40">
        <f>$I$7*$AA$7</f>
        <v>0</v>
      </c>
      <c r="AB52" s="40">
        <f>$I$7*$AB$7</f>
        <v>0</v>
      </c>
      <c r="AC52" s="40">
        <f>$I$7*$AC$7</f>
        <v>14827733.377956238</v>
      </c>
      <c r="AD52" s="40">
        <f>$I$7*$AD$7</f>
        <v>0</v>
      </c>
      <c r="AE52" s="40">
        <f>$I$7*$AE$7</f>
        <v>0</v>
      </c>
      <c r="AF52" s="40">
        <f>$I$7*$AF$7</f>
        <v>1.0764927120244793E-8</v>
      </c>
      <c r="AG52" s="40">
        <f>$I$7*$AG$7</f>
        <v>-145395.93802342843</v>
      </c>
      <c r="AH52" s="40">
        <f>$I$7*$AH$7</f>
        <v>203937.89729436304</v>
      </c>
    </row>
    <row r="53" spans="1:34" ht="11.25" customHeight="1" x14ac:dyDescent="0.25">
      <c r="A53" s="9" t="s">
        <v>41</v>
      </c>
      <c r="B53" s="9" t="s">
        <v>1350</v>
      </c>
      <c r="C53" s="9" t="s">
        <v>1351</v>
      </c>
      <c r="D53" s="9" t="s">
        <v>1352</v>
      </c>
      <c r="E53" s="9" t="s">
        <v>1353</v>
      </c>
      <c r="F53" s="9" t="s">
        <v>1354</v>
      </c>
      <c r="G53" s="9" t="s">
        <v>1356</v>
      </c>
      <c r="L53" s="40">
        <f>$I$8*$L$8</f>
        <v>1392598.1066842906</v>
      </c>
      <c r="M53" s="40">
        <f>$I$8*$M$8</f>
        <v>32327188.862892374</v>
      </c>
      <c r="N53" s="40">
        <f>$I$8*$N$8</f>
        <v>0</v>
      </c>
      <c r="O53" s="40">
        <f>$I$8*$O$8</f>
        <v>3137625.6609297451</v>
      </c>
      <c r="P53" s="40">
        <f>$I$8*$P$8</f>
        <v>-9411848.5930746011</v>
      </c>
      <c r="Q53" s="40">
        <f>$I$8*$Q$8</f>
        <v>108763285.72793072</v>
      </c>
      <c r="R53" s="40">
        <f>$I$8*$R$8</f>
        <v>0</v>
      </c>
      <c r="S53" s="40">
        <f>$I$8*$S$8</f>
        <v>0</v>
      </c>
      <c r="T53" s="40">
        <f>$I$8*$T$8</f>
        <v>1.4742726626051343E-7</v>
      </c>
      <c r="U53" s="40">
        <f>$I$8*$U$8</f>
        <v>-11618109.396528043</v>
      </c>
      <c r="V53" s="40">
        <f>$I$8*$V$8</f>
        <v>3017556.1862170231</v>
      </c>
      <c r="X53" s="40">
        <f>$I$8*$X$8</f>
        <v>1325053.0075494957</v>
      </c>
      <c r="Y53" s="40">
        <f>$I$8*$Y$8</f>
        <v>8431157.7084415182</v>
      </c>
      <c r="Z53" s="40">
        <f>$I$8*$Z$8</f>
        <v>0</v>
      </c>
      <c r="AA53" s="40">
        <f>$I$8*$AA$8</f>
        <v>0</v>
      </c>
      <c r="AB53" s="40">
        <f>$I$8*$AB$8</f>
        <v>0</v>
      </c>
      <c r="AC53" s="40">
        <f>$I$8*$AC$8</f>
        <v>119482743.71851733</v>
      </c>
      <c r="AD53" s="40">
        <f>$I$8*$AD$8</f>
        <v>0</v>
      </c>
      <c r="AE53" s="40">
        <f>$I$8*$AE$8</f>
        <v>0</v>
      </c>
      <c r="AF53" s="40">
        <f>$I$8*$AF$8</f>
        <v>1.4920039039078664E-7</v>
      </c>
      <c r="AG53" s="40">
        <f>$I$8*$AG$8</f>
        <v>-1220142.662237491</v>
      </c>
      <c r="AH53" s="40">
        <f>$I$8*$AH$8</f>
        <v>2826550.8490598304</v>
      </c>
    </row>
    <row r="54" spans="1:34" ht="11.25" customHeight="1" x14ac:dyDescent="0.25">
      <c r="A54" s="9" t="s">
        <v>41</v>
      </c>
      <c r="B54" s="9" t="s">
        <v>1357</v>
      </c>
      <c r="C54" s="9" t="s">
        <v>1358</v>
      </c>
      <c r="D54" s="9" t="s">
        <v>1359</v>
      </c>
      <c r="E54" s="9" t="s">
        <v>1360</v>
      </c>
      <c r="F54" s="9" t="s">
        <v>1361</v>
      </c>
      <c r="G54" s="9" t="s">
        <v>1362</v>
      </c>
      <c r="L54" s="40">
        <f>$I$9*$L$9</f>
        <v>0</v>
      </c>
      <c r="M54" s="40">
        <f>$I$9*$M$9</f>
        <v>0</v>
      </c>
      <c r="N54" s="40">
        <f>$I$9*$N$9</f>
        <v>0</v>
      </c>
      <c r="O54" s="40">
        <f>$I$9*$O$9</f>
        <v>0</v>
      </c>
      <c r="P54" s="40">
        <f>$I$9*$P$9</f>
        <v>0</v>
      </c>
      <c r="Q54" s="40">
        <f>$I$9*$Q$9</f>
        <v>0</v>
      </c>
      <c r="R54" s="40">
        <f>$I$9*$R$9</f>
        <v>0</v>
      </c>
      <c r="S54" s="40">
        <f>$I$9*$S$9</f>
        <v>0</v>
      </c>
      <c r="T54" s="40">
        <f>$I$9*$T$9</f>
        <v>0</v>
      </c>
      <c r="U54" s="40">
        <f>$I$9*$U$9</f>
        <v>0</v>
      </c>
      <c r="V54" s="40">
        <f>$I$9*$V$9</f>
        <v>0</v>
      </c>
      <c r="X54" s="40">
        <f>$I$9*$X$9</f>
        <v>0</v>
      </c>
      <c r="Y54" s="40">
        <f>$I$9*$Y$9</f>
        <v>0</v>
      </c>
      <c r="Z54" s="40">
        <f>$I$9*$Z$9</f>
        <v>0</v>
      </c>
      <c r="AA54" s="40">
        <f>$I$9*$AA$9</f>
        <v>0</v>
      </c>
      <c r="AB54" s="40">
        <f>$I$9*$AB$9</f>
        <v>0</v>
      </c>
      <c r="AC54" s="40">
        <f>$I$9*$AC$9</f>
        <v>0</v>
      </c>
      <c r="AD54" s="40">
        <f>$I$9*$AD$9</f>
        <v>0</v>
      </c>
      <c r="AE54" s="40">
        <f>$I$9*$AE$9</f>
        <v>0</v>
      </c>
      <c r="AF54" s="40">
        <f>$I$9*$AF$9</f>
        <v>0</v>
      </c>
      <c r="AG54" s="40">
        <f>$I$9*$AG$9</f>
        <v>0</v>
      </c>
      <c r="AH54" s="40">
        <f>$I$9*$AH$9</f>
        <v>0</v>
      </c>
    </row>
    <row r="55" spans="1:34" ht="11.25" customHeight="1" x14ac:dyDescent="0.25">
      <c r="A55" s="9" t="s">
        <v>22</v>
      </c>
      <c r="B55" s="9" t="s">
        <v>1363</v>
      </c>
      <c r="C55" s="9" t="s">
        <v>1364</v>
      </c>
      <c r="D55" s="9" t="s">
        <v>1365</v>
      </c>
      <c r="E55" s="9" t="s">
        <v>1366</v>
      </c>
      <c r="F55" s="9" t="s">
        <v>1367</v>
      </c>
      <c r="G55" s="9" t="s">
        <v>1368</v>
      </c>
      <c r="L55" s="40">
        <f>$I$10*$L$10</f>
        <v>271.59747447757854</v>
      </c>
      <c r="M55" s="40">
        <f>$I$10*$M$10</f>
        <v>6304.74995619949</v>
      </c>
      <c r="N55" s="40">
        <f>$I$10*$N$10</f>
        <v>0</v>
      </c>
      <c r="O55" s="40">
        <f>$I$10*$O$10</f>
        <v>611.92902767442422</v>
      </c>
      <c r="P55" s="40">
        <f>$I$10*$P$10</f>
        <v>-1835.5865168671558</v>
      </c>
      <c r="Q55" s="40">
        <f>$I$10*$Q$10</f>
        <v>36484.692714875331</v>
      </c>
      <c r="R55" s="40">
        <f>$I$10*$R$10</f>
        <v>0</v>
      </c>
      <c r="S55" s="40">
        <f>$I$10*$S$10</f>
        <v>0</v>
      </c>
      <c r="T55" s="40">
        <f>$I$10*$T$10</f>
        <v>2.8752640832482801E-11</v>
      </c>
      <c r="U55" s="40">
        <f>$I$10*$U$10</f>
        <v>-3740.0636924481573</v>
      </c>
      <c r="V55" s="40">
        <f>$I$10*$V$10</f>
        <v>588.5119585736561</v>
      </c>
      <c r="X55" s="40">
        <f>$I$10*$X$10</f>
        <v>258.42419910811344</v>
      </c>
      <c r="Y55" s="40">
        <f>$I$10*$Y$10</f>
        <v>1644.3230315650667</v>
      </c>
      <c r="Z55" s="40">
        <f>$I$10*$Z$10</f>
        <v>0</v>
      </c>
      <c r="AA55" s="40">
        <f>$I$10*$AA$10</f>
        <v>0</v>
      </c>
      <c r="AB55" s="40">
        <f>$I$10*$AB$10</f>
        <v>0</v>
      </c>
      <c r="AC55" s="40">
        <f>$I$10*$AC$10</f>
        <v>40080.539679584421</v>
      </c>
      <c r="AD55" s="40">
        <f>$I$10*$AD$10</f>
        <v>0</v>
      </c>
      <c r="AE55" s="40">
        <f>$I$10*$AE$10</f>
        <v>0</v>
      </c>
      <c r="AF55" s="40">
        <f>$I$10*$AF$10</f>
        <v>2.9098452042052851E-11</v>
      </c>
      <c r="AG55" s="40">
        <f>$I$10*$AG$10</f>
        <v>-393.01675547133783</v>
      </c>
      <c r="AH55" s="40">
        <f>$I$10*$AH$10</f>
        <v>551.26031580993902</v>
      </c>
    </row>
    <row r="56" spans="1:34" ht="11.25" customHeight="1" x14ac:dyDescent="0.25">
      <c r="A56" s="9" t="s">
        <v>22</v>
      </c>
      <c r="B56" s="9" t="s">
        <v>1363</v>
      </c>
      <c r="C56" s="9" t="s">
        <v>1364</v>
      </c>
      <c r="D56" s="9" t="s">
        <v>1365</v>
      </c>
      <c r="E56" s="9" t="s">
        <v>1366</v>
      </c>
      <c r="F56" s="9" t="s">
        <v>1367</v>
      </c>
      <c r="G56" s="9" t="s">
        <v>1369</v>
      </c>
      <c r="L56" s="40">
        <f>$I$11*$L$11</f>
        <v>186.39240737942833</v>
      </c>
      <c r="M56" s="40">
        <f>$I$11*$M$11</f>
        <v>4326.8352348334602</v>
      </c>
      <c r="N56" s="40">
        <f>$I$11*$N$11</f>
        <v>0</v>
      </c>
      <c r="O56" s="40">
        <f>$I$11*$O$11</f>
        <v>419.9557629649637</v>
      </c>
      <c r="P56" s="40">
        <f>$I$11*$P$11</f>
        <v>-1259.7296439895053</v>
      </c>
      <c r="Q56" s="40">
        <f>$I$11*$Q$11</f>
        <v>14557.430865387172</v>
      </c>
      <c r="R56" s="40">
        <f>$I$11*$R$11</f>
        <v>0</v>
      </c>
      <c r="S56" s="40">
        <f>$I$11*$S$11</f>
        <v>0</v>
      </c>
      <c r="T56" s="40">
        <f>$I$11*$T$11</f>
        <v>1.9732414499034487E-11</v>
      </c>
      <c r="U56" s="40">
        <f>$I$11*$U$11</f>
        <v>-1555.0268015030094</v>
      </c>
      <c r="V56" s="40">
        <f>$I$11*$V$11</f>
        <v>403.88505431106967</v>
      </c>
      <c r="X56" s="40">
        <f>$I$11*$X$11</f>
        <v>177.3518280665694</v>
      </c>
      <c r="Y56" s="40">
        <f>$I$11*$Y$11</f>
        <v>1128.4689924027789</v>
      </c>
      <c r="Z56" s="40">
        <f>$I$11*$Z$11</f>
        <v>0</v>
      </c>
      <c r="AA56" s="40">
        <f>$I$11*$AA$11</f>
        <v>0</v>
      </c>
      <c r="AB56" s="40">
        <f>$I$11*$AB$11</f>
        <v>0</v>
      </c>
      <c r="AC56" s="40">
        <f>$I$11*$AC$11</f>
        <v>15992.177596032448</v>
      </c>
      <c r="AD56" s="40">
        <f>$I$11*$AD$11</f>
        <v>0</v>
      </c>
      <c r="AE56" s="40">
        <f>$I$11*$AE$11</f>
        <v>0</v>
      </c>
      <c r="AF56" s="40">
        <f>$I$11*$AF$11</f>
        <v>1.9969738443134248E-11</v>
      </c>
      <c r="AG56" s="40">
        <f>$I$11*$AG$11</f>
        <v>-163.31009432597858</v>
      </c>
      <c r="AH56" s="40">
        <f>$I$11*$AH$11</f>
        <v>378.3199293520712</v>
      </c>
    </row>
    <row r="57" spans="1:34" ht="11.25" customHeight="1" x14ac:dyDescent="0.25">
      <c r="A57" s="9" t="s">
        <v>22</v>
      </c>
      <c r="B57" s="9" t="s">
        <v>1363</v>
      </c>
      <c r="C57" s="9" t="s">
        <v>1364</v>
      </c>
      <c r="D57" s="9" t="s">
        <v>1365</v>
      </c>
      <c r="E57" s="9" t="s">
        <v>1366</v>
      </c>
      <c r="F57" s="9" t="s">
        <v>1367</v>
      </c>
      <c r="G57" s="9" t="s">
        <v>1370</v>
      </c>
      <c r="L57" s="40">
        <f>$I$12*$L$12</f>
        <v>3434.9291724093318</v>
      </c>
      <c r="M57" s="40">
        <f>$I$12*$M$12</f>
        <v>79737.006358223356</v>
      </c>
      <c r="N57" s="40">
        <f>$I$12*$N$12</f>
        <v>0</v>
      </c>
      <c r="O57" s="40">
        <f>$I$12*$O$12</f>
        <v>7739.1473269258258</v>
      </c>
      <c r="P57" s="40">
        <f>$I$12*$P$12</f>
        <v>-23214.905394080677</v>
      </c>
      <c r="Q57" s="40">
        <f>$I$12*$Q$12</f>
        <v>268271.35642419528</v>
      </c>
      <c r="R57" s="40">
        <f>$I$12*$R$12</f>
        <v>0</v>
      </c>
      <c r="S57" s="40">
        <f>$I$12*$S$12</f>
        <v>0</v>
      </c>
      <c r="T57" s="40">
        <f>$I$12*$T$12</f>
        <v>3.6363845050207275E-10</v>
      </c>
      <c r="U57" s="40">
        <f>$I$12*$U$12</f>
        <v>-28656.783822142857</v>
      </c>
      <c r="V57" s="40">
        <f>$I$12*$V$12</f>
        <v>7442.9885576247734</v>
      </c>
      <c r="X57" s="40">
        <f>$I$12*$X$12</f>
        <v>3268.3250169406751</v>
      </c>
      <c r="Y57" s="40">
        <f>$I$12*$Y$12</f>
        <v>20795.970805147062</v>
      </c>
      <c r="Z57" s="40">
        <f>$I$12*$Z$12</f>
        <v>0</v>
      </c>
      <c r="AA57" s="40">
        <f>$I$12*$AA$12</f>
        <v>0</v>
      </c>
      <c r="AB57" s="40">
        <f>$I$12*$AB$12</f>
        <v>0</v>
      </c>
      <c r="AC57" s="40">
        <f>$I$12*$AC$12</f>
        <v>294711.56109455077</v>
      </c>
      <c r="AD57" s="40">
        <f>$I$12*$AD$12</f>
        <v>0</v>
      </c>
      <c r="AE57" s="40">
        <f>$I$12*$AE$12</f>
        <v>0</v>
      </c>
      <c r="AF57" s="40">
        <f>$I$12*$AF$12</f>
        <v>3.6801197059530316E-10</v>
      </c>
      <c r="AG57" s="40">
        <f>$I$12*$AG$12</f>
        <v>-3009.5571758312676</v>
      </c>
      <c r="AH57" s="40">
        <f>$I$12*$AH$12</f>
        <v>6971.8621058954659</v>
      </c>
    </row>
    <row r="58" spans="1:34" ht="11.25" customHeight="1" x14ac:dyDescent="0.25">
      <c r="A58" s="9" t="s">
        <v>22</v>
      </c>
      <c r="B58" s="9" t="s">
        <v>1371</v>
      </c>
      <c r="C58" s="9" t="s">
        <v>1372</v>
      </c>
      <c r="D58" s="9" t="s">
        <v>1373</v>
      </c>
      <c r="E58" s="9" t="s">
        <v>1374</v>
      </c>
      <c r="F58" s="9" t="s">
        <v>1375</v>
      </c>
      <c r="G58" s="9" t="s">
        <v>1376</v>
      </c>
      <c r="L58" s="40">
        <f>$I$13*$L$13</f>
        <v>3536812.5269033723</v>
      </c>
      <c r="M58" s="40">
        <f>$I$13*$M$13</f>
        <v>82102083.853952378</v>
      </c>
      <c r="N58" s="40">
        <f>$I$13*$N$13</f>
        <v>0</v>
      </c>
      <c r="O58" s="40">
        <f>$I$13*$O$13</f>
        <v>7968697.9962450778</v>
      </c>
      <c r="P58" s="40">
        <f>$I$13*$P$13</f>
        <v>-23903482.16439927</v>
      </c>
      <c r="Q58" s="40">
        <f>$I$13*$Q$13</f>
        <v>292802259.71751922</v>
      </c>
      <c r="R58" s="40">
        <f>$I$13*$R$13</f>
        <v>0</v>
      </c>
      <c r="S58" s="40">
        <f>$I$13*$S$13</f>
        <v>0</v>
      </c>
      <c r="T58" s="40">
        <f>$I$13*$T$13</f>
        <v>3.7442432214616824E-7</v>
      </c>
      <c r="U58" s="40">
        <f>$I$13*$U$13</f>
        <v>-31106547.378445324</v>
      </c>
      <c r="V58" s="40">
        <f>$I$13*$V$13</f>
        <v>7663754.8685585363</v>
      </c>
      <c r="X58" s="40">
        <f>$I$13*$X$13</f>
        <v>3365266.7294445001</v>
      </c>
      <c r="Y58" s="40">
        <f>$I$13*$Y$13</f>
        <v>21412799.612741478</v>
      </c>
      <c r="Z58" s="40">
        <f>$I$13*$Z$13</f>
        <v>0</v>
      </c>
      <c r="AA58" s="40">
        <f>$I$13*$AA$13</f>
        <v>0</v>
      </c>
      <c r="AB58" s="40">
        <f>$I$13*$AB$13</f>
        <v>0</v>
      </c>
      <c r="AC58" s="40">
        <f>$I$13*$AC$13</f>
        <v>321660173.50326151</v>
      </c>
      <c r="AD58" s="40">
        <f>$I$13*$AD$13</f>
        <v>0</v>
      </c>
      <c r="AE58" s="40">
        <f>$I$13*$AE$13</f>
        <v>0</v>
      </c>
      <c r="AF58" s="40">
        <f>$I$13*$AF$13</f>
        <v>3.7892756511742029E-7</v>
      </c>
      <c r="AG58" s="40">
        <f>$I$13*$AG$13</f>
        <v>-3267085.4324287125</v>
      </c>
      <c r="AH58" s="40">
        <f>$I$13*$AH$13</f>
        <v>7178654.3460744051</v>
      </c>
    </row>
    <row r="59" spans="1:34" ht="11.25" customHeight="1" x14ac:dyDescent="0.25">
      <c r="A59" s="9" t="s">
        <v>22</v>
      </c>
      <c r="B59" s="9" t="s">
        <v>1371</v>
      </c>
      <c r="C59" s="9" t="s">
        <v>1372</v>
      </c>
      <c r="D59" s="9" t="s">
        <v>1377</v>
      </c>
      <c r="E59" s="9" t="s">
        <v>1378</v>
      </c>
      <c r="F59" s="9" t="s">
        <v>1379</v>
      </c>
      <c r="G59" s="9" t="s">
        <v>1380</v>
      </c>
      <c r="L59" s="40">
        <f>$I$14*$L$14</f>
        <v>142576.47468668254</v>
      </c>
      <c r="M59" s="40">
        <f>$I$14*$M$14</f>
        <v>3309710.5349193816</v>
      </c>
      <c r="N59" s="40">
        <f>$I$14*$N$14</f>
        <v>0</v>
      </c>
      <c r="O59" s="40">
        <f>$I$14*$O$14</f>
        <v>321235.25335457921</v>
      </c>
      <c r="P59" s="40">
        <f>$I$14*$P$14</f>
        <v>-963600.47184065823</v>
      </c>
      <c r="Q59" s="40">
        <f>$I$14*$Q$14</f>
        <v>11803485.102267869</v>
      </c>
      <c r="R59" s="40">
        <f>$I$14*$R$14</f>
        <v>0</v>
      </c>
      <c r="S59" s="40">
        <f>$I$14*$S$14</f>
        <v>0</v>
      </c>
      <c r="T59" s="40">
        <f>$I$14*$T$14</f>
        <v>1.5093844947244478E-8</v>
      </c>
      <c r="U59" s="40">
        <f>$I$14*$U$14</f>
        <v>-1253971.4308171386</v>
      </c>
      <c r="V59" s="40">
        <f>$I$14*$V$14</f>
        <v>308942.34390722873</v>
      </c>
      <c r="X59" s="40">
        <f>$I$14*$X$14</f>
        <v>135661.09682513209</v>
      </c>
      <c r="Y59" s="40">
        <f>$I$14*$Y$14</f>
        <v>863195.73308852594</v>
      </c>
      <c r="Z59" s="40">
        <f>$I$14*$Z$14</f>
        <v>0</v>
      </c>
      <c r="AA59" s="40">
        <f>$I$14*$AA$14</f>
        <v>0</v>
      </c>
      <c r="AB59" s="40">
        <f>$I$14*$AB$14</f>
        <v>0</v>
      </c>
      <c r="AC59" s="40">
        <f>$I$14*$AC$14</f>
        <v>12966809.305370543</v>
      </c>
      <c r="AD59" s="40">
        <f>$I$14*$AD$14</f>
        <v>0</v>
      </c>
      <c r="AE59" s="40">
        <f>$I$14*$AE$14</f>
        <v>0</v>
      </c>
      <c r="AF59" s="40">
        <f>$I$14*$AF$14</f>
        <v>1.5275380299377136E-8</v>
      </c>
      <c r="AG59" s="40">
        <f>$I$14*$AG$14</f>
        <v>-131703.19883020141</v>
      </c>
      <c r="AH59" s="40">
        <f>$I$14*$AH$14</f>
        <v>289386.90469795512</v>
      </c>
    </row>
    <row r="60" spans="1:34" ht="11.25" customHeight="1" x14ac:dyDescent="0.25">
      <c r="A60" s="9" t="s">
        <v>22</v>
      </c>
      <c r="B60" s="9" t="s">
        <v>1371</v>
      </c>
      <c r="C60" s="9" t="s">
        <v>1372</v>
      </c>
      <c r="D60" s="9" t="s">
        <v>1381</v>
      </c>
      <c r="E60" s="9" t="s">
        <v>1382</v>
      </c>
      <c r="F60" s="9" t="s">
        <v>1383</v>
      </c>
      <c r="G60" s="9" t="s">
        <v>1384</v>
      </c>
      <c r="L60" s="40">
        <f>$I$15*$L$15</f>
        <v>405408.72613153228</v>
      </c>
      <c r="M60" s="40">
        <f>$I$15*$M$15</f>
        <v>9410988.2768135872</v>
      </c>
      <c r="N60" s="40">
        <f>$I$15*$N$15</f>
        <v>0</v>
      </c>
      <c r="O60" s="40">
        <f>$I$15*$O$15</f>
        <v>913415.590736193</v>
      </c>
      <c r="P60" s="40">
        <f>$I$15*$P$15</f>
        <v>-2739947.3906697305</v>
      </c>
      <c r="Q60" s="40">
        <f>$I$15*$Q$15</f>
        <v>33562590.670997307</v>
      </c>
      <c r="R60" s="40">
        <f>$I$15*$R$15</f>
        <v>0</v>
      </c>
      <c r="S60" s="40">
        <f>$I$15*$S$15</f>
        <v>0</v>
      </c>
      <c r="T60" s="40">
        <f>$I$15*$T$15</f>
        <v>4.2918556276106423E-8</v>
      </c>
      <c r="U60" s="40">
        <f>$I$15*$U$15</f>
        <v>-3565601.9794996078</v>
      </c>
      <c r="V60" s="40">
        <f>$I$15*$V$15</f>
        <v>878461.3476154228</v>
      </c>
      <c r="X60" s="40">
        <f>$I$15*$X$15</f>
        <v>385745.2119667271</v>
      </c>
      <c r="Y60" s="40">
        <f>$I$15*$Y$15</f>
        <v>2454451.7833157005</v>
      </c>
      <c r="Z60" s="40">
        <f>$I$15*$Z$15</f>
        <v>0</v>
      </c>
      <c r="AA60" s="40">
        <f>$I$15*$AA$15</f>
        <v>0</v>
      </c>
      <c r="AB60" s="40">
        <f>$I$15*$AB$15</f>
        <v>0</v>
      </c>
      <c r="AC60" s="40">
        <f>$I$15*$AC$15</f>
        <v>36870442.01389423</v>
      </c>
      <c r="AD60" s="40">
        <f>$I$15*$AD$15</f>
        <v>0</v>
      </c>
      <c r="AE60" s="40">
        <f>$I$15*$AE$15</f>
        <v>0</v>
      </c>
      <c r="AF60" s="40">
        <f>$I$15*$AF$15</f>
        <v>4.3434742526451592E-8</v>
      </c>
      <c r="AG60" s="40">
        <f>$I$15*$AG$15</f>
        <v>-374491.13665164326</v>
      </c>
      <c r="AH60" s="40">
        <f>$I$15*$AH$15</f>
        <v>822856.48211291851</v>
      </c>
    </row>
    <row r="61" spans="1:34" ht="11.25" customHeight="1" x14ac:dyDescent="0.25">
      <c r="A61" s="9" t="s">
        <v>22</v>
      </c>
      <c r="B61" s="9" t="s">
        <v>1371</v>
      </c>
      <c r="C61" s="9" t="s">
        <v>1372</v>
      </c>
      <c r="D61" s="9" t="s">
        <v>1385</v>
      </c>
      <c r="E61" s="9" t="s">
        <v>1386</v>
      </c>
      <c r="F61" s="9" t="s">
        <v>1387</v>
      </c>
      <c r="G61" s="9" t="s">
        <v>1388</v>
      </c>
      <c r="L61" s="40">
        <f>$I$16*$L$16</f>
        <v>320475.72011771472</v>
      </c>
      <c r="M61" s="40">
        <f>$I$16*$M$16</f>
        <v>7439389.0674486514</v>
      </c>
      <c r="N61" s="40">
        <f>$I$16*$N$16</f>
        <v>0</v>
      </c>
      <c r="O61" s="40">
        <f>$I$16*$O$16</f>
        <v>722055.29960140924</v>
      </c>
      <c r="P61" s="40">
        <f>$I$16*$P$16</f>
        <v>-2165929.2376075932</v>
      </c>
      <c r="Q61" s="40">
        <f>$I$16*$Q$16</f>
        <v>26531238.034610637</v>
      </c>
      <c r="R61" s="40">
        <f>$I$16*$R$16</f>
        <v>0</v>
      </c>
      <c r="S61" s="40">
        <f>$I$16*$S$16</f>
        <v>0</v>
      </c>
      <c r="T61" s="40">
        <f>$I$16*$T$16</f>
        <v>3.3927131663503852E-8</v>
      </c>
      <c r="U61" s="40">
        <f>$I$16*$U$16</f>
        <v>-2818609.4387680935</v>
      </c>
      <c r="V61" s="40">
        <f>$I$16*$V$16</f>
        <v>694423.95988608187</v>
      </c>
      <c r="X61" s="40">
        <f>$I$16*$X$16</f>
        <v>304931.70624770812</v>
      </c>
      <c r="Y61" s="40">
        <f>$I$16*$Y$16</f>
        <v>1940244.8740018089</v>
      </c>
      <c r="Z61" s="40">
        <f>$I$16*$Z$16</f>
        <v>0</v>
      </c>
      <c r="AA61" s="40">
        <f>$I$16*$AA$16</f>
        <v>0</v>
      </c>
      <c r="AB61" s="40">
        <f>$I$16*$AB$16</f>
        <v>0</v>
      </c>
      <c r="AC61" s="40">
        <f>$I$16*$AC$16</f>
        <v>29146095.5175087</v>
      </c>
      <c r="AD61" s="40">
        <f>$I$16*$AD$16</f>
        <v>0</v>
      </c>
      <c r="AE61" s="40">
        <f>$I$16*$AE$16</f>
        <v>0</v>
      </c>
      <c r="AF61" s="40">
        <f>$I$16*$AF$16</f>
        <v>3.4335177049879E-8</v>
      </c>
      <c r="AG61" s="40">
        <f>$I$16*$AG$16</f>
        <v>-296035.3563213594</v>
      </c>
      <c r="AH61" s="40">
        <f>$I$16*$AH$16</f>
        <v>650468.29695794382</v>
      </c>
    </row>
    <row r="62" spans="1:34" ht="11.25" customHeight="1" x14ac:dyDescent="0.25">
      <c r="A62" s="9" t="s">
        <v>22</v>
      </c>
      <c r="B62" s="9" t="s">
        <v>1371</v>
      </c>
      <c r="C62" s="9" t="s">
        <v>1372</v>
      </c>
      <c r="D62" s="9" t="s">
        <v>1389</v>
      </c>
      <c r="E62" s="9" t="s">
        <v>1390</v>
      </c>
      <c r="F62" s="9" t="s">
        <v>1391</v>
      </c>
      <c r="G62" s="9" t="s">
        <v>1392</v>
      </c>
      <c r="L62" s="40">
        <f>$I$17*$L$17</f>
        <v>99729.131738628872</v>
      </c>
      <c r="M62" s="40">
        <f>$I$17*$M$17</f>
        <v>2315070.2714389223</v>
      </c>
      <c r="N62" s="40">
        <f>$I$17*$N$17</f>
        <v>0</v>
      </c>
      <c r="O62" s="40">
        <f>$I$17*$O$17</f>
        <v>224697.04747078478</v>
      </c>
      <c r="P62" s="40">
        <f>$I$17*$P$17</f>
        <v>-674017.49559864902</v>
      </c>
      <c r="Q62" s="40">
        <f>$I$17*$Q$17</f>
        <v>8256280.1705249911</v>
      </c>
      <c r="R62" s="40">
        <f>$I$17*$R$17</f>
        <v>0</v>
      </c>
      <c r="S62" s="40">
        <f>$I$17*$S$17</f>
        <v>0</v>
      </c>
      <c r="T62" s="40">
        <f>$I$17*$T$17</f>
        <v>1.0557815056755538E-8</v>
      </c>
      <c r="U62" s="40">
        <f>$I$17*$U$17</f>
        <v>-877125.6428892503</v>
      </c>
      <c r="V62" s="40">
        <f>$I$17*$V$17</f>
        <v>216098.42565452826</v>
      </c>
      <c r="X62" s="40">
        <f>$I$17*$X$17</f>
        <v>94891.975880395446</v>
      </c>
      <c r="Y62" s="40">
        <f>$I$17*$Y$17</f>
        <v>603786.57257857488</v>
      </c>
      <c r="Z62" s="40">
        <f>$I$17*$Z$17</f>
        <v>0</v>
      </c>
      <c r="AA62" s="40">
        <f>$I$17*$AA$17</f>
        <v>0</v>
      </c>
      <c r="AB62" s="40">
        <f>$I$17*$AB$17</f>
        <v>0</v>
      </c>
      <c r="AC62" s="40">
        <f>$I$17*$AC$17</f>
        <v>9070000.0563680995</v>
      </c>
      <c r="AD62" s="40">
        <f>$I$17*$AD$17</f>
        <v>0</v>
      </c>
      <c r="AE62" s="40">
        <f>$I$17*$AE$17</f>
        <v>0</v>
      </c>
      <c r="AF62" s="40">
        <f>$I$17*$AF$17</f>
        <v>1.0684795072833534E-8</v>
      </c>
      <c r="AG62" s="40">
        <f>$I$17*$AG$17</f>
        <v>-92123.512629975492</v>
      </c>
      <c r="AH62" s="40">
        <f>$I$17*$AH$17</f>
        <v>202419.82280371356</v>
      </c>
    </row>
    <row r="63" spans="1:34" ht="11.25" customHeight="1" x14ac:dyDescent="0.25">
      <c r="A63" s="9" t="s">
        <v>22</v>
      </c>
      <c r="B63" s="9" t="s">
        <v>1393</v>
      </c>
      <c r="C63" s="9" t="s">
        <v>1394</v>
      </c>
      <c r="D63" s="9" t="s">
        <v>1395</v>
      </c>
      <c r="E63" s="9" t="s">
        <v>1396</v>
      </c>
      <c r="F63" s="9" t="s">
        <v>1397</v>
      </c>
      <c r="G63" s="9" t="s">
        <v>1398</v>
      </c>
      <c r="L63" s="40">
        <f>$I$18*$L$18</f>
        <v>0</v>
      </c>
      <c r="M63" s="40">
        <f>$I$18*$M$18</f>
        <v>0</v>
      </c>
      <c r="N63" s="40">
        <f>$I$18*$N$18</f>
        <v>0</v>
      </c>
      <c r="O63" s="40">
        <f>$I$18*$O$18</f>
        <v>0</v>
      </c>
      <c r="P63" s="40">
        <f>$I$18*$P$18</f>
        <v>0</v>
      </c>
      <c r="Q63" s="40">
        <f>$I$18*$Q$18</f>
        <v>0</v>
      </c>
      <c r="R63" s="40">
        <f>$I$18*$R$18</f>
        <v>0</v>
      </c>
      <c r="S63" s="40">
        <f>$I$18*$S$18</f>
        <v>0</v>
      </c>
      <c r="T63" s="40">
        <f>$I$18*$T$18</f>
        <v>0</v>
      </c>
      <c r="U63" s="40">
        <f>$I$18*$U$18</f>
        <v>0</v>
      </c>
      <c r="V63" s="40">
        <f>$I$18*$V$18</f>
        <v>0</v>
      </c>
      <c r="X63" s="40">
        <f>$I$18*$X$18</f>
        <v>0</v>
      </c>
      <c r="Y63" s="40">
        <f>$I$18*$Y$18</f>
        <v>0</v>
      </c>
      <c r="Z63" s="40">
        <f>$I$18*$Z$18</f>
        <v>0</v>
      </c>
      <c r="AA63" s="40">
        <f>$I$18*$AA$18</f>
        <v>0</v>
      </c>
      <c r="AB63" s="40">
        <f>$I$18*$AB$18</f>
        <v>0</v>
      </c>
      <c r="AC63" s="40">
        <f>$I$18*$AC$18</f>
        <v>0</v>
      </c>
      <c r="AD63" s="40">
        <f>$I$18*$AD$18</f>
        <v>0</v>
      </c>
      <c r="AE63" s="40">
        <f>$I$18*$AE$18</f>
        <v>0</v>
      </c>
      <c r="AF63" s="40">
        <f>$I$18*$AF$18</f>
        <v>0</v>
      </c>
      <c r="AG63" s="40">
        <f>$I$18*$AG$18</f>
        <v>0</v>
      </c>
      <c r="AH63" s="40">
        <f>$I$18*$AH$18</f>
        <v>0</v>
      </c>
    </row>
    <row r="64" spans="1:34" ht="11.25" customHeight="1" x14ac:dyDescent="0.25">
      <c r="A64" s="9" t="s">
        <v>22</v>
      </c>
      <c r="B64" s="9" t="s">
        <v>1393</v>
      </c>
      <c r="C64" s="9" t="s">
        <v>1394</v>
      </c>
      <c r="D64" s="9" t="s">
        <v>1399</v>
      </c>
      <c r="E64" s="9" t="s">
        <v>1400</v>
      </c>
      <c r="F64" s="9" t="s">
        <v>1401</v>
      </c>
      <c r="G64" s="9" t="s">
        <v>1402</v>
      </c>
      <c r="L64" s="40">
        <f>$I$19*$L$19</f>
        <v>0</v>
      </c>
      <c r="M64" s="40">
        <f>$I$19*$M$19</f>
        <v>0</v>
      </c>
      <c r="N64" s="40">
        <f>$I$19*$N$19</f>
        <v>0</v>
      </c>
      <c r="O64" s="40">
        <f>$I$19*$O$19</f>
        <v>0</v>
      </c>
      <c r="P64" s="40">
        <f>$I$19*$P$19</f>
        <v>0</v>
      </c>
      <c r="Q64" s="40">
        <f>$I$19*$Q$19</f>
        <v>0</v>
      </c>
      <c r="R64" s="40">
        <f>$I$19*$R$19</f>
        <v>0</v>
      </c>
      <c r="S64" s="40">
        <f>$I$19*$S$19</f>
        <v>0</v>
      </c>
      <c r="T64" s="40">
        <f>$I$19*$T$19</f>
        <v>0</v>
      </c>
      <c r="U64" s="40">
        <f>$I$19*$U$19</f>
        <v>0</v>
      </c>
      <c r="V64" s="40">
        <f>$I$19*$V$19</f>
        <v>0</v>
      </c>
      <c r="X64" s="40">
        <f>$I$19*$X$19</f>
        <v>0</v>
      </c>
      <c r="Y64" s="40">
        <f>$I$19*$Y$19</f>
        <v>0</v>
      </c>
      <c r="Z64" s="40">
        <f>$I$19*$Z$19</f>
        <v>0</v>
      </c>
      <c r="AA64" s="40">
        <f>$I$19*$AA$19</f>
        <v>0</v>
      </c>
      <c r="AB64" s="40">
        <f>$I$19*$AB$19</f>
        <v>0</v>
      </c>
      <c r="AC64" s="40">
        <f>$I$19*$AC$19</f>
        <v>0</v>
      </c>
      <c r="AD64" s="40">
        <f>$I$19*$AD$19</f>
        <v>0</v>
      </c>
      <c r="AE64" s="40">
        <f>$I$19*$AE$19</f>
        <v>0</v>
      </c>
      <c r="AF64" s="40">
        <f>$I$19*$AF$19</f>
        <v>0</v>
      </c>
      <c r="AG64" s="40">
        <f>$I$19*$AG$19</f>
        <v>0</v>
      </c>
      <c r="AH64" s="40">
        <f>$I$19*$AH$19</f>
        <v>0</v>
      </c>
    </row>
    <row r="65" spans="1:34" ht="11.25" customHeight="1" x14ac:dyDescent="0.25">
      <c r="A65" s="9" t="s">
        <v>22</v>
      </c>
      <c r="B65" s="9" t="s">
        <v>1393</v>
      </c>
      <c r="C65" s="9" t="s">
        <v>1394</v>
      </c>
      <c r="D65" s="9" t="s">
        <v>1403</v>
      </c>
      <c r="E65" s="9" t="s">
        <v>1404</v>
      </c>
      <c r="F65" s="9" t="s">
        <v>1405</v>
      </c>
      <c r="G65" s="9" t="s">
        <v>1406</v>
      </c>
      <c r="L65" s="40">
        <f>$I$20*$L$20</f>
        <v>0</v>
      </c>
      <c r="M65" s="40">
        <f>$I$20*$M$20</f>
        <v>0</v>
      </c>
      <c r="N65" s="40">
        <f>$I$20*$N$20</f>
        <v>0</v>
      </c>
      <c r="O65" s="40">
        <f>$I$20*$O$20</f>
        <v>0</v>
      </c>
      <c r="P65" s="40">
        <f>$I$20*$P$20</f>
        <v>0</v>
      </c>
      <c r="Q65" s="40">
        <f>$I$20*$Q$20</f>
        <v>0</v>
      </c>
      <c r="R65" s="40">
        <f>$I$20*$R$20</f>
        <v>0</v>
      </c>
      <c r="S65" s="40">
        <f>$I$20*$S$20</f>
        <v>0</v>
      </c>
      <c r="T65" s="40">
        <f>$I$20*$T$20</f>
        <v>0</v>
      </c>
      <c r="U65" s="40">
        <f>$I$20*$U$20</f>
        <v>0</v>
      </c>
      <c r="V65" s="40">
        <f>$I$20*$V$20</f>
        <v>0</v>
      </c>
      <c r="X65" s="40">
        <f>$I$20*$X$20</f>
        <v>0</v>
      </c>
      <c r="Y65" s="40">
        <f>$I$20*$Y$20</f>
        <v>0</v>
      </c>
      <c r="Z65" s="40">
        <f>$I$20*$Z$20</f>
        <v>0</v>
      </c>
      <c r="AA65" s="40">
        <f>$I$20*$AA$20</f>
        <v>0</v>
      </c>
      <c r="AB65" s="40">
        <f>$I$20*$AB$20</f>
        <v>0</v>
      </c>
      <c r="AC65" s="40">
        <f>$I$20*$AC$20</f>
        <v>0</v>
      </c>
      <c r="AD65" s="40">
        <f>$I$20*$AD$20</f>
        <v>0</v>
      </c>
      <c r="AE65" s="40">
        <f>$I$20*$AE$20</f>
        <v>0</v>
      </c>
      <c r="AF65" s="40">
        <f>$I$20*$AF$20</f>
        <v>0</v>
      </c>
      <c r="AG65" s="40">
        <f>$I$20*$AG$20</f>
        <v>0</v>
      </c>
      <c r="AH65" s="40">
        <f>$I$20*$AH$20</f>
        <v>0</v>
      </c>
    </row>
    <row r="66" spans="1:34" ht="11.25" customHeight="1" x14ac:dyDescent="0.25">
      <c r="A66" s="9" t="s">
        <v>22</v>
      </c>
      <c r="B66" s="9" t="s">
        <v>1393</v>
      </c>
      <c r="C66" s="9" t="s">
        <v>1394</v>
      </c>
      <c r="D66" s="9" t="s">
        <v>1407</v>
      </c>
      <c r="E66" s="9" t="s">
        <v>1408</v>
      </c>
      <c r="F66" s="9" t="s">
        <v>1409</v>
      </c>
      <c r="G66" s="9" t="s">
        <v>1410</v>
      </c>
      <c r="L66" s="40">
        <f>$I$21*$L$21</f>
        <v>0</v>
      </c>
      <c r="M66" s="40">
        <f>$I$21*$M$21</f>
        <v>0</v>
      </c>
      <c r="N66" s="40">
        <f>$I$21*$N$21</f>
        <v>0</v>
      </c>
      <c r="O66" s="40">
        <f>$I$21*$O$21</f>
        <v>0</v>
      </c>
      <c r="P66" s="40">
        <f>$I$21*$P$21</f>
        <v>0</v>
      </c>
      <c r="Q66" s="40">
        <f>$I$21*$Q$21</f>
        <v>0</v>
      </c>
      <c r="R66" s="40">
        <f>$I$21*$R$21</f>
        <v>0</v>
      </c>
      <c r="S66" s="40">
        <f>$I$21*$S$21</f>
        <v>0</v>
      </c>
      <c r="T66" s="40">
        <f>$I$21*$T$21</f>
        <v>0</v>
      </c>
      <c r="U66" s="40">
        <f>$I$21*$U$21</f>
        <v>0</v>
      </c>
      <c r="V66" s="40">
        <f>$I$21*$V$21</f>
        <v>0</v>
      </c>
      <c r="X66" s="40">
        <f>$I$21*$X$21</f>
        <v>0</v>
      </c>
      <c r="Y66" s="40">
        <f>$I$21*$Y$21</f>
        <v>0</v>
      </c>
      <c r="Z66" s="40">
        <f>$I$21*$Z$21</f>
        <v>0</v>
      </c>
      <c r="AA66" s="40">
        <f>$I$21*$AA$21</f>
        <v>0</v>
      </c>
      <c r="AB66" s="40">
        <f>$I$21*$AB$21</f>
        <v>0</v>
      </c>
      <c r="AC66" s="40">
        <f>$I$21*$AC$21</f>
        <v>0</v>
      </c>
      <c r="AD66" s="40">
        <f>$I$21*$AD$21</f>
        <v>0</v>
      </c>
      <c r="AE66" s="40">
        <f>$I$21*$AE$21</f>
        <v>0</v>
      </c>
      <c r="AF66" s="40">
        <f>$I$21*$AF$21</f>
        <v>0</v>
      </c>
      <c r="AG66" s="40">
        <f>$I$21*$AG$21</f>
        <v>0</v>
      </c>
      <c r="AH66" s="40">
        <f>$I$21*$AH$21</f>
        <v>0</v>
      </c>
    </row>
    <row r="67" spans="1:34" ht="11.25" customHeight="1" x14ac:dyDescent="0.25">
      <c r="A67" s="9" t="s">
        <v>22</v>
      </c>
      <c r="B67" s="9" t="s">
        <v>1393</v>
      </c>
      <c r="C67" s="9" t="s">
        <v>1394</v>
      </c>
      <c r="D67" s="9" t="s">
        <v>1411</v>
      </c>
      <c r="E67" s="9" t="s">
        <v>1412</v>
      </c>
      <c r="F67" s="9" t="s">
        <v>1413</v>
      </c>
      <c r="G67" s="9" t="s">
        <v>1414</v>
      </c>
      <c r="L67" s="40">
        <f>$I$22*$L$22</f>
        <v>0</v>
      </c>
      <c r="M67" s="40">
        <f>$I$22*$M$22</f>
        <v>0</v>
      </c>
      <c r="N67" s="40">
        <f>$I$22*$N$22</f>
        <v>0</v>
      </c>
      <c r="O67" s="40">
        <f>$I$22*$O$22</f>
        <v>0</v>
      </c>
      <c r="P67" s="40">
        <f>$I$22*$P$22</f>
        <v>0</v>
      </c>
      <c r="Q67" s="40">
        <f>$I$22*$Q$22</f>
        <v>0</v>
      </c>
      <c r="R67" s="40">
        <f>$I$22*$R$22</f>
        <v>0</v>
      </c>
      <c r="S67" s="40">
        <f>$I$22*$S$22</f>
        <v>0</v>
      </c>
      <c r="T67" s="40">
        <f>$I$22*$T$22</f>
        <v>0</v>
      </c>
      <c r="U67" s="40">
        <f>$I$22*$U$22</f>
        <v>0</v>
      </c>
      <c r="V67" s="40">
        <f>$I$22*$V$22</f>
        <v>0</v>
      </c>
      <c r="X67" s="40">
        <f>$I$22*$X$22</f>
        <v>0</v>
      </c>
      <c r="Y67" s="40">
        <f>$I$22*$Y$22</f>
        <v>0</v>
      </c>
      <c r="Z67" s="40">
        <f>$I$22*$Z$22</f>
        <v>0</v>
      </c>
      <c r="AA67" s="40">
        <f>$I$22*$AA$22</f>
        <v>0</v>
      </c>
      <c r="AB67" s="40">
        <f>$I$22*$AB$22</f>
        <v>0</v>
      </c>
      <c r="AC67" s="40">
        <f>$I$22*$AC$22</f>
        <v>0</v>
      </c>
      <c r="AD67" s="40">
        <f>$I$22*$AD$22</f>
        <v>0</v>
      </c>
      <c r="AE67" s="40">
        <f>$I$22*$AE$22</f>
        <v>0</v>
      </c>
      <c r="AF67" s="40">
        <f>$I$22*$AF$22</f>
        <v>0</v>
      </c>
      <c r="AG67" s="40">
        <f>$I$22*$AG$22</f>
        <v>0</v>
      </c>
      <c r="AH67" s="40">
        <f>$I$22*$AH$22</f>
        <v>0</v>
      </c>
    </row>
    <row r="68" spans="1:34" ht="11.25" customHeight="1" x14ac:dyDescent="0.25">
      <c r="A68" s="9" t="s">
        <v>44</v>
      </c>
      <c r="B68" s="9" t="s">
        <v>1415</v>
      </c>
      <c r="C68" s="9" t="s">
        <v>1416</v>
      </c>
      <c r="D68" s="9" t="s">
        <v>1417</v>
      </c>
      <c r="E68" s="9" t="s">
        <v>1418</v>
      </c>
      <c r="F68" s="9" t="s">
        <v>1419</v>
      </c>
      <c r="G68" s="9" t="s">
        <v>1420</v>
      </c>
      <c r="L68" s="40">
        <f>$I$23*$L$23</f>
        <v>9.3791839919279987</v>
      </c>
      <c r="M68" s="40">
        <f>$I$23*$M$23</f>
        <v>217.72444672410495</v>
      </c>
      <c r="N68" s="40">
        <f>$I$23*$N$23</f>
        <v>0</v>
      </c>
      <c r="O68" s="40">
        <f>$I$23*$O$23</f>
        <v>21.131989358884248</v>
      </c>
      <c r="P68" s="40">
        <f>$I$23*$P$23</f>
        <v>-63.389041845529292</v>
      </c>
      <c r="Q68" s="40">
        <f>$I$23*$Q$23</f>
        <v>1259.9404560737935</v>
      </c>
      <c r="R68" s="40">
        <f>$I$23*$R$23</f>
        <v>0</v>
      </c>
      <c r="S68" s="40">
        <f>$I$23*$S$23</f>
        <v>0</v>
      </c>
      <c r="T68" s="40">
        <f>$I$23*$T$23</f>
        <v>9.9292642223718812E-13</v>
      </c>
      <c r="U68" s="40">
        <f>$I$23*$U$23</f>
        <v>-129.1571123055372</v>
      </c>
      <c r="V68" s="40">
        <f>$I$23*$V$23</f>
        <v>20.323318364905884</v>
      </c>
      <c r="X68" s="40">
        <f>$I$23*$X$23</f>
        <v>8.3546320145993711</v>
      </c>
      <c r="Y68" s="40">
        <f>$I$23*$Y$23</f>
        <v>53.159548870689711</v>
      </c>
      <c r="Z68" s="40">
        <f>$I$23*$Z$23</f>
        <v>0</v>
      </c>
      <c r="AA68" s="40">
        <f>$I$23*$AA$23</f>
        <v>0</v>
      </c>
      <c r="AB68" s="40">
        <f>$I$23*$AB$23</f>
        <v>0</v>
      </c>
      <c r="AC68" s="40">
        <f>$I$23*$AC$23</f>
        <v>1295.7693634154873</v>
      </c>
      <c r="AD68" s="40">
        <f>$I$23*$AD$23</f>
        <v>0</v>
      </c>
      <c r="AE68" s="40">
        <f>$I$23*$AE$23</f>
        <v>0</v>
      </c>
      <c r="AF68" s="40">
        <f>$I$23*$AF$23</f>
        <v>9.4072791884367637E-13</v>
      </c>
      <c r="AG68" s="40">
        <f>$I$23*$AG$23</f>
        <v>-12.705893561311317</v>
      </c>
      <c r="AH68" s="40">
        <f>$I$23*$AH$23</f>
        <v>17.821771717737313</v>
      </c>
    </row>
    <row r="69" spans="1:34" ht="11.25" customHeight="1" x14ac:dyDescent="0.25">
      <c r="A69" s="9" t="s">
        <v>44</v>
      </c>
      <c r="B69" s="9" t="s">
        <v>1415</v>
      </c>
      <c r="C69" s="9" t="s">
        <v>1416</v>
      </c>
      <c r="D69" s="9" t="s">
        <v>1417</v>
      </c>
      <c r="E69" s="9" t="s">
        <v>1418</v>
      </c>
      <c r="F69" s="9" t="s">
        <v>1419</v>
      </c>
      <c r="G69" s="9" t="s">
        <v>1421</v>
      </c>
      <c r="L69" s="40">
        <f>$I$24*$L$24</f>
        <v>10.071032544944741</v>
      </c>
      <c r="M69" s="40">
        <f>$I$24*$M$24</f>
        <v>233.78472910603512</v>
      </c>
      <c r="N69" s="40">
        <f>$I$24*$N$24</f>
        <v>0</v>
      </c>
      <c r="O69" s="40">
        <f>$I$24*$O$24</f>
        <v>22.690774885737302</v>
      </c>
      <c r="P69" s="40">
        <f>$I$24*$P$24</f>
        <v>-68.064887517785067</v>
      </c>
      <c r="Q69" s="40">
        <f>$I$24*$Q$24</f>
        <v>786.55757537191448</v>
      </c>
      <c r="R69" s="40">
        <f>$I$24*$R$24</f>
        <v>0</v>
      </c>
      <c r="S69" s="40">
        <f>$I$24*$S$24</f>
        <v>0</v>
      </c>
      <c r="T69" s="40">
        <f>$I$24*$T$24</f>
        <v>1.0661689035733151E-12</v>
      </c>
      <c r="U69" s="40">
        <f>$I$24*$U$24</f>
        <v>-84.020190234028632</v>
      </c>
      <c r="V69" s="40">
        <f>$I$24*$V$24</f>
        <v>21.822452875473083</v>
      </c>
      <c r="X69" s="40">
        <f>$I$24*$X$24</f>
        <v>8.9709052506572711</v>
      </c>
      <c r="Y69" s="40">
        <f>$I$24*$Y$24</f>
        <v>57.080823578261494</v>
      </c>
      <c r="Z69" s="40">
        <f>$I$24*$Z$24</f>
        <v>0</v>
      </c>
      <c r="AA69" s="40">
        <f>$I$24*$AA$24</f>
        <v>0</v>
      </c>
      <c r="AB69" s="40">
        <f>$I$24*$AB$24</f>
        <v>0</v>
      </c>
      <c r="AC69" s="40">
        <f>$I$24*$AC$24</f>
        <v>808.92490102691181</v>
      </c>
      <c r="AD69" s="40">
        <f>$I$24*$AD$24</f>
        <v>0</v>
      </c>
      <c r="AE69" s="40">
        <f>$I$24*$AE$24</f>
        <v>0</v>
      </c>
      <c r="AF69" s="40">
        <f>$I$24*$AF$24</f>
        <v>1.0101200162792933E-12</v>
      </c>
      <c r="AG69" s="40">
        <f>$I$24*$AG$24</f>
        <v>-8.2606387464151467</v>
      </c>
      <c r="AH69" s="40">
        <f>$I$24*$AH$24</f>
        <v>19.136381494635046</v>
      </c>
    </row>
    <row r="70" spans="1:34" ht="11.25" customHeight="1" x14ac:dyDescent="0.25">
      <c r="A70" s="9" t="s">
        <v>44</v>
      </c>
      <c r="B70" s="9" t="s">
        <v>1415</v>
      </c>
      <c r="C70" s="9" t="s">
        <v>1416</v>
      </c>
      <c r="D70" s="9" t="s">
        <v>1417</v>
      </c>
      <c r="E70" s="9" t="s">
        <v>1418</v>
      </c>
      <c r="F70" s="9" t="s">
        <v>1419</v>
      </c>
      <c r="G70" s="9" t="s">
        <v>1422</v>
      </c>
      <c r="L70" s="40">
        <f>$I$25*$L$25</f>
        <v>251.62127700524712</v>
      </c>
      <c r="M70" s="40">
        <f>$I$25*$M$25</f>
        <v>5841.0308793525101</v>
      </c>
      <c r="N70" s="40">
        <f>$I$25*$N$25</f>
        <v>0</v>
      </c>
      <c r="O70" s="40">
        <f>$I$25*$O$25</f>
        <v>566.92118980925591</v>
      </c>
      <c r="P70" s="40">
        <f>$I$25*$P$25</f>
        <v>-1700.5777550625078</v>
      </c>
      <c r="Q70" s="40">
        <f>$I$25*$Q$25</f>
        <v>19651.869921975114</v>
      </c>
      <c r="R70" s="40">
        <f>$I$25*$R$25</f>
        <v>0</v>
      </c>
      <c r="S70" s="40">
        <f>$I$25*$S$25</f>
        <v>0</v>
      </c>
      <c r="T70" s="40">
        <f>$I$25*$T$25</f>
        <v>2.6637862584910725E-11</v>
      </c>
      <c r="U70" s="40">
        <f>$I$25*$U$25</f>
        <v>-2099.2154941969839</v>
      </c>
      <c r="V70" s="40">
        <f>$I$25*$V$25</f>
        <v>545.22646366281731</v>
      </c>
      <c r="X70" s="40">
        <f>$I$25*$X$25</f>
        <v>224.13497573260446</v>
      </c>
      <c r="Y70" s="40">
        <f>$I$25*$Y$25</f>
        <v>1426.1447033534716</v>
      </c>
      <c r="Z70" s="40">
        <f>$I$25*$Z$25</f>
        <v>0</v>
      </c>
      <c r="AA70" s="40">
        <f>$I$25*$AA$25</f>
        <v>0</v>
      </c>
      <c r="AB70" s="40">
        <f>$I$25*$AB$25</f>
        <v>0</v>
      </c>
      <c r="AC70" s="40">
        <f>$I$25*$AC$25</f>
        <v>20210.709844235887</v>
      </c>
      <c r="AD70" s="40">
        <f>$I$25*$AD$25</f>
        <v>0</v>
      </c>
      <c r="AE70" s="40">
        <f>$I$25*$AE$25</f>
        <v>0</v>
      </c>
      <c r="AF70" s="40">
        <f>$I$25*$AF$25</f>
        <v>2.523750045394689E-11</v>
      </c>
      <c r="AG70" s="40">
        <f>$I$25*$AG$25</f>
        <v>-206.38921192796204</v>
      </c>
      <c r="AH70" s="40">
        <f>$I$25*$AH$25</f>
        <v>478.11589600677536</v>
      </c>
    </row>
    <row r="71" spans="1:34" ht="11.25" customHeight="1" x14ac:dyDescent="0.25">
      <c r="A71" s="9" t="s">
        <v>44</v>
      </c>
      <c r="B71" s="9" t="s">
        <v>1423</v>
      </c>
      <c r="C71" s="9" t="s">
        <v>1424</v>
      </c>
      <c r="D71" s="9" t="s">
        <v>1425</v>
      </c>
      <c r="E71" s="9" t="s">
        <v>1426</v>
      </c>
      <c r="F71" s="9" t="s">
        <v>1427</v>
      </c>
      <c r="G71" s="9" t="s">
        <v>1428</v>
      </c>
      <c r="L71" s="40">
        <f>$I$26*$L$26</f>
        <v>598490.65429933567</v>
      </c>
      <c r="M71" s="40">
        <f>$I$26*$M$26</f>
        <v>13893111.243900921</v>
      </c>
      <c r="N71" s="40">
        <f>$I$26*$N$26</f>
        <v>0</v>
      </c>
      <c r="O71" s="40">
        <f>$I$26*$O$26</f>
        <v>1348443.3346152359</v>
      </c>
      <c r="P71" s="40">
        <f>$I$26*$P$26</f>
        <v>-4044888.0374016687</v>
      </c>
      <c r="Q71" s="40">
        <f>$I$26*$Q$26</f>
        <v>49547273.050429828</v>
      </c>
      <c r="R71" s="40">
        <f>$I$26*$R$26</f>
        <v>0</v>
      </c>
      <c r="S71" s="40">
        <f>$I$26*$S$26</f>
        <v>0</v>
      </c>
      <c r="T71" s="40">
        <f>$I$26*$T$26</f>
        <v>6.3359156257865101E-8</v>
      </c>
      <c r="U71" s="40">
        <f>$I$26*$U$26</f>
        <v>-5263772.8892627992</v>
      </c>
      <c r="V71" s="40">
        <f>$I$26*$V$26</f>
        <v>1296841.6139628279</v>
      </c>
      <c r="X71" s="40">
        <f>$I$26*$X$26</f>
        <v>533113.45476867142</v>
      </c>
      <c r="Y71" s="40">
        <f>$I$26*$Y$26</f>
        <v>3392138.7205174714</v>
      </c>
      <c r="Z71" s="40">
        <f>$I$26*$Z$26</f>
        <v>0</v>
      </c>
      <c r="AA71" s="40">
        <f>$I$26*$AA$26</f>
        <v>0</v>
      </c>
      <c r="AB71" s="40">
        <f>$I$26*$AB$26</f>
        <v>0</v>
      </c>
      <c r="AC71" s="40">
        <f>$I$26*$AC$26</f>
        <v>50956248.090956137</v>
      </c>
      <c r="AD71" s="40">
        <f>$I$26*$AD$26</f>
        <v>0</v>
      </c>
      <c r="AE71" s="40">
        <f>$I$26*$AE$26</f>
        <v>0</v>
      </c>
      <c r="AF71" s="40">
        <f>$I$26*$AF$26</f>
        <v>6.0028342353764776E-8</v>
      </c>
      <c r="AG71" s="40">
        <f>$I$26*$AG$26</f>
        <v>-517559.92672651471</v>
      </c>
      <c r="AH71" s="40">
        <f>$I$26*$AH$26</f>
        <v>1137216.6091742751</v>
      </c>
    </row>
    <row r="72" spans="1:34" ht="11.25" customHeight="1" x14ac:dyDescent="0.25">
      <c r="A72" s="9" t="s">
        <v>44</v>
      </c>
      <c r="B72" s="9" t="s">
        <v>1415</v>
      </c>
      <c r="C72" s="9" t="s">
        <v>1416</v>
      </c>
      <c r="D72" s="9" t="s">
        <v>1429</v>
      </c>
      <c r="E72" s="9" t="s">
        <v>1430</v>
      </c>
      <c r="F72" s="9" t="s">
        <v>1431</v>
      </c>
      <c r="G72" s="9" t="s">
        <v>1432</v>
      </c>
      <c r="L72" s="40">
        <f>$I$27*$L$27</f>
        <v>0</v>
      </c>
      <c r="M72" s="40">
        <f>$I$27*$M$27</f>
        <v>0</v>
      </c>
      <c r="N72" s="40">
        <f>$I$27*$N$27</f>
        <v>0</v>
      </c>
      <c r="O72" s="40">
        <f>$I$27*$O$27</f>
        <v>0</v>
      </c>
      <c r="P72" s="40">
        <f>$I$27*$P$27</f>
        <v>0</v>
      </c>
      <c r="Q72" s="40">
        <f>$I$27*$Q$27</f>
        <v>0</v>
      </c>
      <c r="R72" s="40">
        <f>$I$27*$R$27</f>
        <v>0</v>
      </c>
      <c r="S72" s="40">
        <f>$I$27*$S$27</f>
        <v>0</v>
      </c>
      <c r="T72" s="40">
        <f>$I$27*$T$27</f>
        <v>0</v>
      </c>
      <c r="U72" s="40">
        <f>$I$27*$U$27</f>
        <v>0</v>
      </c>
      <c r="V72" s="40">
        <f>$I$27*$V$27</f>
        <v>0</v>
      </c>
      <c r="X72" s="40">
        <f>$I$27*$X$27</f>
        <v>0</v>
      </c>
      <c r="Y72" s="40">
        <f>$I$27*$Y$27</f>
        <v>0</v>
      </c>
      <c r="Z72" s="40">
        <f>$I$27*$Z$27</f>
        <v>0</v>
      </c>
      <c r="AA72" s="40">
        <f>$I$27*$AA$27</f>
        <v>0</v>
      </c>
      <c r="AB72" s="40">
        <f>$I$27*$AB$27</f>
        <v>0</v>
      </c>
      <c r="AC72" s="40">
        <f>$I$27*$AC$27</f>
        <v>0</v>
      </c>
      <c r="AD72" s="40">
        <f>$I$27*$AD$27</f>
        <v>0</v>
      </c>
      <c r="AE72" s="40">
        <f>$I$27*$AE$27</f>
        <v>0</v>
      </c>
      <c r="AF72" s="40">
        <f>$I$27*$AF$27</f>
        <v>0</v>
      </c>
      <c r="AG72" s="40">
        <f>$I$27*$AG$27</f>
        <v>0</v>
      </c>
      <c r="AH72" s="40">
        <f>$I$27*$AH$27</f>
        <v>0</v>
      </c>
    </row>
    <row r="73" spans="1:34" ht="11.25" customHeight="1" x14ac:dyDescent="0.25">
      <c r="A73" s="9" t="s">
        <v>44</v>
      </c>
      <c r="B73" s="9" t="s">
        <v>1415</v>
      </c>
      <c r="C73" s="9" t="s">
        <v>1416</v>
      </c>
      <c r="D73" s="9" t="s">
        <v>1429</v>
      </c>
      <c r="E73" s="9" t="s">
        <v>1430</v>
      </c>
      <c r="F73" s="9" t="s">
        <v>1431</v>
      </c>
      <c r="G73" s="9" t="s">
        <v>1433</v>
      </c>
      <c r="L73" s="40">
        <f>$I$28*$L$28</f>
        <v>0</v>
      </c>
      <c r="M73" s="40">
        <f>$I$28*$M$28</f>
        <v>0</v>
      </c>
      <c r="N73" s="40">
        <f>$I$28*$N$28</f>
        <v>0</v>
      </c>
      <c r="O73" s="40">
        <f>$I$28*$O$28</f>
        <v>0</v>
      </c>
      <c r="P73" s="40">
        <f>$I$28*$P$28</f>
        <v>0</v>
      </c>
      <c r="Q73" s="40">
        <f>$I$28*$Q$28</f>
        <v>0</v>
      </c>
      <c r="R73" s="40">
        <f>$I$28*$R$28</f>
        <v>0</v>
      </c>
      <c r="S73" s="40">
        <f>$I$28*$S$28</f>
        <v>0</v>
      </c>
      <c r="T73" s="40">
        <f>$I$28*$T$28</f>
        <v>0</v>
      </c>
      <c r="U73" s="40">
        <f>$I$28*$U$28</f>
        <v>0</v>
      </c>
      <c r="V73" s="40">
        <f>$I$28*$V$28</f>
        <v>0</v>
      </c>
      <c r="X73" s="40">
        <f>$I$28*$X$28</f>
        <v>0</v>
      </c>
      <c r="Y73" s="40">
        <f>$I$28*$Y$28</f>
        <v>0</v>
      </c>
      <c r="Z73" s="40">
        <f>$I$28*$Z$28</f>
        <v>0</v>
      </c>
      <c r="AA73" s="40">
        <f>$I$28*$AA$28</f>
        <v>0</v>
      </c>
      <c r="AB73" s="40">
        <f>$I$28*$AB$28</f>
        <v>0</v>
      </c>
      <c r="AC73" s="40">
        <f>$I$28*$AC$28</f>
        <v>0</v>
      </c>
      <c r="AD73" s="40">
        <f>$I$28*$AD$28</f>
        <v>0</v>
      </c>
      <c r="AE73" s="40">
        <f>$I$28*$AE$28</f>
        <v>0</v>
      </c>
      <c r="AF73" s="40">
        <f>$I$28*$AF$28</f>
        <v>0</v>
      </c>
      <c r="AG73" s="40">
        <f>$I$28*$AG$28</f>
        <v>0</v>
      </c>
      <c r="AH73" s="40">
        <f>$I$28*$AH$28</f>
        <v>0</v>
      </c>
    </row>
    <row r="74" spans="1:34" ht="11.25" customHeight="1" x14ac:dyDescent="0.25">
      <c r="A74" s="9" t="s">
        <v>44</v>
      </c>
      <c r="B74" s="9" t="s">
        <v>1415</v>
      </c>
      <c r="C74" s="9" t="s">
        <v>1416</v>
      </c>
      <c r="D74" s="9" t="s">
        <v>1429</v>
      </c>
      <c r="E74" s="9" t="s">
        <v>1430</v>
      </c>
      <c r="F74" s="9" t="s">
        <v>1431</v>
      </c>
      <c r="G74" s="9" t="s">
        <v>1434</v>
      </c>
      <c r="L74" s="40">
        <f>$I$29*$L$29</f>
        <v>0</v>
      </c>
      <c r="M74" s="40">
        <f>$I$29*$M$29</f>
        <v>0</v>
      </c>
      <c r="N74" s="40">
        <f>$I$29*$N$29</f>
        <v>0</v>
      </c>
      <c r="O74" s="40">
        <f>$I$29*$O$29</f>
        <v>0</v>
      </c>
      <c r="P74" s="40">
        <f>$I$29*$P$29</f>
        <v>0</v>
      </c>
      <c r="Q74" s="40">
        <f>$I$29*$Q$29</f>
        <v>0</v>
      </c>
      <c r="R74" s="40">
        <f>$I$29*$R$29</f>
        <v>0</v>
      </c>
      <c r="S74" s="40">
        <f>$I$29*$S$29</f>
        <v>0</v>
      </c>
      <c r="T74" s="40">
        <f>$I$29*$T$29</f>
        <v>0</v>
      </c>
      <c r="U74" s="40">
        <f>$I$29*$U$29</f>
        <v>0</v>
      </c>
      <c r="V74" s="40">
        <f>$I$29*$V$29</f>
        <v>0</v>
      </c>
      <c r="X74" s="40">
        <f>$I$29*$X$29</f>
        <v>0</v>
      </c>
      <c r="Y74" s="40">
        <f>$I$29*$Y$29</f>
        <v>0</v>
      </c>
      <c r="Z74" s="40">
        <f>$I$29*$Z$29</f>
        <v>0</v>
      </c>
      <c r="AA74" s="40">
        <f>$I$29*$AA$29</f>
        <v>0</v>
      </c>
      <c r="AB74" s="40">
        <f>$I$29*$AB$29</f>
        <v>0</v>
      </c>
      <c r="AC74" s="40">
        <f>$I$29*$AC$29</f>
        <v>0</v>
      </c>
      <c r="AD74" s="40">
        <f>$I$29*$AD$29</f>
        <v>0</v>
      </c>
      <c r="AE74" s="40">
        <f>$I$29*$AE$29</f>
        <v>0</v>
      </c>
      <c r="AF74" s="40">
        <f>$I$29*$AF$29</f>
        <v>0</v>
      </c>
      <c r="AG74" s="40">
        <f>$I$29*$AG$29</f>
        <v>0</v>
      </c>
      <c r="AH74" s="40">
        <f>$I$29*$AH$29</f>
        <v>0</v>
      </c>
    </row>
    <row r="75" spans="1:34" ht="11.25" customHeight="1" x14ac:dyDescent="0.25">
      <c r="A75" s="9" t="s">
        <v>44</v>
      </c>
      <c r="B75" s="9" t="s">
        <v>1423</v>
      </c>
      <c r="C75" s="9" t="s">
        <v>1424</v>
      </c>
      <c r="D75" s="9" t="s">
        <v>1435</v>
      </c>
      <c r="E75" s="9" t="s">
        <v>1436</v>
      </c>
      <c r="F75" s="9" t="s">
        <v>1437</v>
      </c>
      <c r="G75" s="9" t="s">
        <v>1438</v>
      </c>
      <c r="L75" s="40">
        <f>$I$30*$L$30</f>
        <v>0</v>
      </c>
      <c r="M75" s="40">
        <f>$I$30*$M$30</f>
        <v>0</v>
      </c>
      <c r="N75" s="40">
        <f>$I$30*$N$30</f>
        <v>0</v>
      </c>
      <c r="O75" s="40">
        <f>$I$30*$O$30</f>
        <v>0</v>
      </c>
      <c r="P75" s="40">
        <f>$I$30*$P$30</f>
        <v>0</v>
      </c>
      <c r="Q75" s="40">
        <f>$I$30*$Q$30</f>
        <v>0</v>
      </c>
      <c r="R75" s="40">
        <f>$I$30*$R$30</f>
        <v>0</v>
      </c>
      <c r="S75" s="40">
        <f>$I$30*$S$30</f>
        <v>0</v>
      </c>
      <c r="T75" s="40">
        <f>$I$30*$T$30</f>
        <v>0</v>
      </c>
      <c r="U75" s="40">
        <f>$I$30*$U$30</f>
        <v>0</v>
      </c>
      <c r="V75" s="40">
        <f>$I$30*$V$30</f>
        <v>0</v>
      </c>
      <c r="X75" s="40">
        <f>$I$30*$X$30</f>
        <v>0</v>
      </c>
      <c r="Y75" s="40">
        <f>$I$30*$Y$30</f>
        <v>0</v>
      </c>
      <c r="Z75" s="40">
        <f>$I$30*$Z$30</f>
        <v>0</v>
      </c>
      <c r="AA75" s="40">
        <f>$I$30*$AA$30</f>
        <v>0</v>
      </c>
      <c r="AB75" s="40">
        <f>$I$30*$AB$30</f>
        <v>0</v>
      </c>
      <c r="AC75" s="40">
        <f>$I$30*$AC$30</f>
        <v>0</v>
      </c>
      <c r="AD75" s="40">
        <f>$I$30*$AD$30</f>
        <v>0</v>
      </c>
      <c r="AE75" s="40">
        <f>$I$30*$AE$30</f>
        <v>0</v>
      </c>
      <c r="AF75" s="40">
        <f>$I$30*$AF$30</f>
        <v>0</v>
      </c>
      <c r="AG75" s="40">
        <f>$I$30*$AG$30</f>
        <v>0</v>
      </c>
      <c r="AH75" s="40">
        <f>$I$30*$AH$30</f>
        <v>0</v>
      </c>
    </row>
    <row r="76" spans="1:34" ht="11.25" customHeight="1" x14ac:dyDescent="0.25">
      <c r="A76" s="9" t="s">
        <v>44</v>
      </c>
      <c r="B76" s="9" t="s">
        <v>1415</v>
      </c>
      <c r="C76" s="9" t="s">
        <v>1416</v>
      </c>
      <c r="D76" s="9" t="s">
        <v>1439</v>
      </c>
      <c r="E76" s="9" t="s">
        <v>1440</v>
      </c>
      <c r="F76" s="9" t="s">
        <v>1441</v>
      </c>
      <c r="G76" s="9" t="s">
        <v>1442</v>
      </c>
      <c r="L76" s="40">
        <f>$I$31*$L$31</f>
        <v>0</v>
      </c>
      <c r="M76" s="40">
        <f>$I$31*$M$31</f>
        <v>0</v>
      </c>
      <c r="N76" s="40">
        <f>$I$31*$N$31</f>
        <v>0</v>
      </c>
      <c r="O76" s="40">
        <f>$I$31*$O$31</f>
        <v>0</v>
      </c>
      <c r="P76" s="40">
        <f>$I$31*$P$31</f>
        <v>0</v>
      </c>
      <c r="Q76" s="40">
        <f>$I$31*$Q$31</f>
        <v>0</v>
      </c>
      <c r="R76" s="40">
        <f>$I$31*$R$31</f>
        <v>0</v>
      </c>
      <c r="S76" s="40">
        <f>$I$31*$S$31</f>
        <v>0</v>
      </c>
      <c r="T76" s="40">
        <f>$I$31*$T$31</f>
        <v>0</v>
      </c>
      <c r="U76" s="40">
        <f>$I$31*$U$31</f>
        <v>0</v>
      </c>
      <c r="V76" s="40">
        <f>$I$31*$V$31</f>
        <v>0</v>
      </c>
      <c r="X76" s="40">
        <f>$I$31*$X$31</f>
        <v>0</v>
      </c>
      <c r="Y76" s="40">
        <f>$I$31*$Y$31</f>
        <v>0</v>
      </c>
      <c r="Z76" s="40">
        <f>$I$31*$Z$31</f>
        <v>0</v>
      </c>
      <c r="AA76" s="40">
        <f>$I$31*$AA$31</f>
        <v>0</v>
      </c>
      <c r="AB76" s="40">
        <f>$I$31*$AB$31</f>
        <v>0</v>
      </c>
      <c r="AC76" s="40">
        <f>$I$31*$AC$31</f>
        <v>0</v>
      </c>
      <c r="AD76" s="40">
        <f>$I$31*$AD$31</f>
        <v>0</v>
      </c>
      <c r="AE76" s="40">
        <f>$I$31*$AE$31</f>
        <v>0</v>
      </c>
      <c r="AF76" s="40">
        <f>$I$31*$AF$31</f>
        <v>0</v>
      </c>
      <c r="AG76" s="40">
        <f>$I$31*$AG$31</f>
        <v>0</v>
      </c>
      <c r="AH76" s="40">
        <f>$I$31*$AH$31</f>
        <v>0</v>
      </c>
    </row>
    <row r="77" spans="1:34" ht="11.25" customHeight="1" x14ac:dyDescent="0.25">
      <c r="A77" s="9" t="s">
        <v>44</v>
      </c>
      <c r="B77" s="9" t="s">
        <v>1415</v>
      </c>
      <c r="C77" s="9" t="s">
        <v>1416</v>
      </c>
      <c r="D77" s="9" t="s">
        <v>1439</v>
      </c>
      <c r="E77" s="9" t="s">
        <v>1440</v>
      </c>
      <c r="F77" s="9" t="s">
        <v>1441</v>
      </c>
      <c r="G77" s="9" t="s">
        <v>1443</v>
      </c>
      <c r="L77" s="40">
        <f>$I$32*$L$32</f>
        <v>0</v>
      </c>
      <c r="M77" s="40">
        <f>$I$32*$M$32</f>
        <v>0</v>
      </c>
      <c r="N77" s="40">
        <f>$I$32*$N$32</f>
        <v>0</v>
      </c>
      <c r="O77" s="40">
        <f>$I$32*$O$32</f>
        <v>0</v>
      </c>
      <c r="P77" s="40">
        <f>$I$32*$P$32</f>
        <v>0</v>
      </c>
      <c r="Q77" s="40">
        <f>$I$32*$Q$32</f>
        <v>0</v>
      </c>
      <c r="R77" s="40">
        <f>$I$32*$R$32</f>
        <v>0</v>
      </c>
      <c r="S77" s="40">
        <f>$I$32*$S$32</f>
        <v>0</v>
      </c>
      <c r="T77" s="40">
        <f>$I$32*$T$32</f>
        <v>0</v>
      </c>
      <c r="U77" s="40">
        <f>$I$32*$U$32</f>
        <v>0</v>
      </c>
      <c r="V77" s="40">
        <f>$I$32*$V$32</f>
        <v>0</v>
      </c>
      <c r="X77" s="40">
        <f>$I$32*$X$32</f>
        <v>0</v>
      </c>
      <c r="Y77" s="40">
        <f>$I$32*$Y$32</f>
        <v>0</v>
      </c>
      <c r="Z77" s="40">
        <f>$I$32*$Z$32</f>
        <v>0</v>
      </c>
      <c r="AA77" s="40">
        <f>$I$32*$AA$32</f>
        <v>0</v>
      </c>
      <c r="AB77" s="40">
        <f>$I$32*$AB$32</f>
        <v>0</v>
      </c>
      <c r="AC77" s="40">
        <f>$I$32*$AC$32</f>
        <v>0</v>
      </c>
      <c r="AD77" s="40">
        <f>$I$32*$AD$32</f>
        <v>0</v>
      </c>
      <c r="AE77" s="40">
        <f>$I$32*$AE$32</f>
        <v>0</v>
      </c>
      <c r="AF77" s="40">
        <f>$I$32*$AF$32</f>
        <v>0</v>
      </c>
      <c r="AG77" s="40">
        <f>$I$32*$AG$32</f>
        <v>0</v>
      </c>
      <c r="AH77" s="40">
        <f>$I$32*$AH$32</f>
        <v>0</v>
      </c>
    </row>
    <row r="78" spans="1:34" ht="11.25" customHeight="1" x14ac:dyDescent="0.25">
      <c r="A78" s="9" t="s">
        <v>44</v>
      </c>
      <c r="B78" s="9" t="s">
        <v>1415</v>
      </c>
      <c r="C78" s="9" t="s">
        <v>1416</v>
      </c>
      <c r="D78" s="9" t="s">
        <v>1439</v>
      </c>
      <c r="E78" s="9" t="s">
        <v>1440</v>
      </c>
      <c r="F78" s="9" t="s">
        <v>1441</v>
      </c>
      <c r="G78" s="9" t="s">
        <v>1444</v>
      </c>
      <c r="L78" s="40">
        <f>$I$33*$L$33</f>
        <v>0</v>
      </c>
      <c r="M78" s="40">
        <f>$I$33*$M$33</f>
        <v>0</v>
      </c>
      <c r="N78" s="40">
        <f>$I$33*$N$33</f>
        <v>0</v>
      </c>
      <c r="O78" s="40">
        <f>$I$33*$O$33</f>
        <v>0</v>
      </c>
      <c r="P78" s="40">
        <f>$I$33*$P$33</f>
        <v>0</v>
      </c>
      <c r="Q78" s="40">
        <f>$I$33*$Q$33</f>
        <v>0</v>
      </c>
      <c r="R78" s="40">
        <f>$I$33*$R$33</f>
        <v>0</v>
      </c>
      <c r="S78" s="40">
        <f>$I$33*$S$33</f>
        <v>0</v>
      </c>
      <c r="T78" s="40">
        <f>$I$33*$T$33</f>
        <v>0</v>
      </c>
      <c r="U78" s="40">
        <f>$I$33*$U$33</f>
        <v>0</v>
      </c>
      <c r="V78" s="40">
        <f>$I$33*$V$33</f>
        <v>0</v>
      </c>
      <c r="X78" s="40">
        <f>$I$33*$X$33</f>
        <v>0</v>
      </c>
      <c r="Y78" s="40">
        <f>$I$33*$Y$33</f>
        <v>0</v>
      </c>
      <c r="Z78" s="40">
        <f>$I$33*$Z$33</f>
        <v>0</v>
      </c>
      <c r="AA78" s="40">
        <f>$I$33*$AA$33</f>
        <v>0</v>
      </c>
      <c r="AB78" s="40">
        <f>$I$33*$AB$33</f>
        <v>0</v>
      </c>
      <c r="AC78" s="40">
        <f>$I$33*$AC$33</f>
        <v>0</v>
      </c>
      <c r="AD78" s="40">
        <f>$I$33*$AD$33</f>
        <v>0</v>
      </c>
      <c r="AE78" s="40">
        <f>$I$33*$AE$33</f>
        <v>0</v>
      </c>
      <c r="AF78" s="40">
        <f>$I$33*$AF$33</f>
        <v>0</v>
      </c>
      <c r="AG78" s="40">
        <f>$I$33*$AG$33</f>
        <v>0</v>
      </c>
      <c r="AH78" s="40">
        <f>$I$33*$AH$33</f>
        <v>0</v>
      </c>
    </row>
    <row r="79" spans="1:34" ht="11.25" customHeight="1" x14ac:dyDescent="0.25">
      <c r="A79" s="9" t="s">
        <v>44</v>
      </c>
      <c r="B79" s="9" t="s">
        <v>1423</v>
      </c>
      <c r="C79" s="9" t="s">
        <v>1424</v>
      </c>
      <c r="D79" s="9" t="s">
        <v>1445</v>
      </c>
      <c r="E79" s="9" t="s">
        <v>1446</v>
      </c>
      <c r="F79" s="9" t="s">
        <v>1447</v>
      </c>
      <c r="G79" s="9" t="s">
        <v>1448</v>
      </c>
      <c r="L79" s="40">
        <f>$I$34*$L$34</f>
        <v>0</v>
      </c>
      <c r="M79" s="40">
        <f>$I$34*$M$34</f>
        <v>0</v>
      </c>
      <c r="N79" s="40">
        <f>$I$34*$N$34</f>
        <v>0</v>
      </c>
      <c r="O79" s="40">
        <f>$I$34*$O$34</f>
        <v>0</v>
      </c>
      <c r="P79" s="40">
        <f>$I$34*$P$34</f>
        <v>0</v>
      </c>
      <c r="Q79" s="40">
        <f>$I$34*$Q$34</f>
        <v>0</v>
      </c>
      <c r="R79" s="40">
        <f>$I$34*$R$34</f>
        <v>0</v>
      </c>
      <c r="S79" s="40">
        <f>$I$34*$S$34</f>
        <v>0</v>
      </c>
      <c r="T79" s="40">
        <f>$I$34*$T$34</f>
        <v>0</v>
      </c>
      <c r="U79" s="40">
        <f>$I$34*$U$34</f>
        <v>0</v>
      </c>
      <c r="V79" s="40">
        <f>$I$34*$V$34</f>
        <v>0</v>
      </c>
      <c r="X79" s="40">
        <f>$I$34*$X$34</f>
        <v>0</v>
      </c>
      <c r="Y79" s="40">
        <f>$I$34*$Y$34</f>
        <v>0</v>
      </c>
      <c r="Z79" s="40">
        <f>$I$34*$Z$34</f>
        <v>0</v>
      </c>
      <c r="AA79" s="40">
        <f>$I$34*$AA$34</f>
        <v>0</v>
      </c>
      <c r="AB79" s="40">
        <f>$I$34*$AB$34</f>
        <v>0</v>
      </c>
      <c r="AC79" s="40">
        <f>$I$34*$AC$34</f>
        <v>0</v>
      </c>
      <c r="AD79" s="40">
        <f>$I$34*$AD$34</f>
        <v>0</v>
      </c>
      <c r="AE79" s="40">
        <f>$I$34*$AE$34</f>
        <v>0</v>
      </c>
      <c r="AF79" s="40">
        <f>$I$34*$AF$34</f>
        <v>0</v>
      </c>
      <c r="AG79" s="40">
        <f>$I$34*$AG$34</f>
        <v>0</v>
      </c>
      <c r="AH79" s="40">
        <f>$I$34*$AH$34</f>
        <v>0</v>
      </c>
    </row>
    <row r="80" spans="1:34" ht="11.25" customHeight="1" x14ac:dyDescent="0.25">
      <c r="A80" s="9" t="s">
        <v>44</v>
      </c>
      <c r="B80" s="9" t="s">
        <v>1449</v>
      </c>
      <c r="C80" s="9" t="s">
        <v>1450</v>
      </c>
      <c r="D80" s="9" t="s">
        <v>1451</v>
      </c>
      <c r="E80" s="9" t="s">
        <v>1452</v>
      </c>
      <c r="F80" s="9" t="s">
        <v>1453</v>
      </c>
      <c r="G80" s="9" t="s">
        <v>1454</v>
      </c>
      <c r="L80" s="40">
        <f>$I$35*$L$35</f>
        <v>0</v>
      </c>
      <c r="M80" s="40">
        <f>$I$35*$M$35</f>
        <v>0</v>
      </c>
      <c r="N80" s="40">
        <f>$I$35*$N$35</f>
        <v>0</v>
      </c>
      <c r="O80" s="40">
        <f>$I$35*$O$35</f>
        <v>0</v>
      </c>
      <c r="P80" s="40">
        <f>$I$35*$P$35</f>
        <v>0</v>
      </c>
      <c r="Q80" s="40">
        <f>$I$35*$Q$35</f>
        <v>0</v>
      </c>
      <c r="R80" s="40">
        <f>$I$35*$R$35</f>
        <v>0</v>
      </c>
      <c r="S80" s="40">
        <f>$I$35*$S$35</f>
        <v>0</v>
      </c>
      <c r="T80" s="40">
        <f>$I$35*$T$35</f>
        <v>0</v>
      </c>
      <c r="U80" s="40">
        <f>$I$35*$U$35</f>
        <v>0</v>
      </c>
      <c r="V80" s="40">
        <f>$I$35*$V$35</f>
        <v>0</v>
      </c>
      <c r="X80" s="40">
        <f>$I$35*$X$35</f>
        <v>0</v>
      </c>
      <c r="Y80" s="40">
        <f>$I$35*$Y$35</f>
        <v>0</v>
      </c>
      <c r="Z80" s="40">
        <f>$I$35*$Z$35</f>
        <v>0</v>
      </c>
      <c r="AA80" s="40">
        <f>$I$35*$AA$35</f>
        <v>0</v>
      </c>
      <c r="AB80" s="40">
        <f>$I$35*$AB$35</f>
        <v>0</v>
      </c>
      <c r="AC80" s="40">
        <f>$I$35*$AC$35</f>
        <v>0</v>
      </c>
      <c r="AD80" s="40">
        <f>$I$35*$AD$35</f>
        <v>0</v>
      </c>
      <c r="AE80" s="40">
        <f>$I$35*$AE$35</f>
        <v>0</v>
      </c>
      <c r="AF80" s="40">
        <f>$I$35*$AF$35</f>
        <v>0</v>
      </c>
      <c r="AG80" s="40">
        <f>$I$35*$AG$35</f>
        <v>0</v>
      </c>
      <c r="AH80" s="40">
        <f>$I$35*$AH$35</f>
        <v>0</v>
      </c>
    </row>
    <row r="81" spans="1:34" ht="11.25" customHeight="1" x14ac:dyDescent="0.25">
      <c r="A81" s="9" t="s">
        <v>44</v>
      </c>
      <c r="B81" s="9" t="s">
        <v>1449</v>
      </c>
      <c r="C81" s="9" t="s">
        <v>1450</v>
      </c>
      <c r="D81" s="9" t="s">
        <v>1455</v>
      </c>
      <c r="E81" s="9" t="s">
        <v>1456</v>
      </c>
      <c r="F81" s="9" t="s">
        <v>1457</v>
      </c>
      <c r="G81" s="9" t="s">
        <v>1458</v>
      </c>
      <c r="L81" s="40">
        <f>$I$36*$L$36</f>
        <v>0</v>
      </c>
      <c r="M81" s="40">
        <f>$I$36*$M$36</f>
        <v>0</v>
      </c>
      <c r="N81" s="40">
        <f>$I$36*$N$36</f>
        <v>0</v>
      </c>
      <c r="O81" s="40">
        <f>$I$36*$O$36</f>
        <v>0</v>
      </c>
      <c r="P81" s="40">
        <f>$I$36*$P$36</f>
        <v>0</v>
      </c>
      <c r="Q81" s="40">
        <f>$I$36*$Q$36</f>
        <v>0</v>
      </c>
      <c r="R81" s="40">
        <f>$I$36*$R$36</f>
        <v>0</v>
      </c>
      <c r="S81" s="40">
        <f>$I$36*$S$36</f>
        <v>0</v>
      </c>
      <c r="T81" s="40">
        <f>$I$36*$T$36</f>
        <v>0</v>
      </c>
      <c r="U81" s="40">
        <f>$I$36*$U$36</f>
        <v>0</v>
      </c>
      <c r="V81" s="40">
        <f>$I$36*$V$36</f>
        <v>0</v>
      </c>
      <c r="X81" s="40">
        <f>$I$36*$X$36</f>
        <v>0</v>
      </c>
      <c r="Y81" s="40">
        <f>$I$36*$Y$36</f>
        <v>0</v>
      </c>
      <c r="Z81" s="40">
        <f>$I$36*$Z$36</f>
        <v>0</v>
      </c>
      <c r="AA81" s="40">
        <f>$I$36*$AA$36</f>
        <v>0</v>
      </c>
      <c r="AB81" s="40">
        <f>$I$36*$AB$36</f>
        <v>0</v>
      </c>
      <c r="AC81" s="40">
        <f>$I$36*$AC$36</f>
        <v>0</v>
      </c>
      <c r="AD81" s="40">
        <f>$I$36*$AD$36</f>
        <v>0</v>
      </c>
      <c r="AE81" s="40">
        <f>$I$36*$AE$36</f>
        <v>0</v>
      </c>
      <c r="AF81" s="40">
        <f>$I$36*$AF$36</f>
        <v>0</v>
      </c>
      <c r="AG81" s="40">
        <f>$I$36*$AG$36</f>
        <v>0</v>
      </c>
      <c r="AH81" s="40">
        <f>$I$36*$AH$36</f>
        <v>0</v>
      </c>
    </row>
    <row r="82" spans="1:34" ht="11.25" customHeight="1" x14ac:dyDescent="0.25">
      <c r="A82" s="9" t="s">
        <v>44</v>
      </c>
      <c r="B82" s="9" t="s">
        <v>1449</v>
      </c>
      <c r="C82" s="9" t="s">
        <v>1450</v>
      </c>
      <c r="D82" s="9" t="s">
        <v>1459</v>
      </c>
      <c r="E82" s="9" t="s">
        <v>1460</v>
      </c>
      <c r="F82" s="9" t="s">
        <v>1461</v>
      </c>
      <c r="G82" s="9" t="s">
        <v>1462</v>
      </c>
      <c r="L82" s="40">
        <f>$I$37*$L$37</f>
        <v>0</v>
      </c>
      <c r="M82" s="40">
        <f>$I$37*$M$37</f>
        <v>0</v>
      </c>
      <c r="N82" s="40">
        <f>$I$37*$N$37</f>
        <v>0</v>
      </c>
      <c r="O82" s="40">
        <f>$I$37*$O$37</f>
        <v>0</v>
      </c>
      <c r="P82" s="40">
        <f>$I$37*$P$37</f>
        <v>0</v>
      </c>
      <c r="Q82" s="40">
        <f>$I$37*$Q$37</f>
        <v>0</v>
      </c>
      <c r="R82" s="40">
        <f>$I$37*$R$37</f>
        <v>0</v>
      </c>
      <c r="S82" s="40">
        <f>$I$37*$S$37</f>
        <v>0</v>
      </c>
      <c r="T82" s="40">
        <f>$I$37*$T$37</f>
        <v>0</v>
      </c>
      <c r="U82" s="40">
        <f>$I$37*$U$37</f>
        <v>0</v>
      </c>
      <c r="V82" s="40">
        <f>$I$37*$V$37</f>
        <v>0</v>
      </c>
      <c r="X82" s="40">
        <f>$I$37*$X$37</f>
        <v>0</v>
      </c>
      <c r="Y82" s="40">
        <f>$I$37*$Y$37</f>
        <v>0</v>
      </c>
      <c r="Z82" s="40">
        <f>$I$37*$Z$37</f>
        <v>0</v>
      </c>
      <c r="AA82" s="40">
        <f>$I$37*$AA$37</f>
        <v>0</v>
      </c>
      <c r="AB82" s="40">
        <f>$I$37*$AB$37</f>
        <v>0</v>
      </c>
      <c r="AC82" s="40">
        <f>$I$37*$AC$37</f>
        <v>0</v>
      </c>
      <c r="AD82" s="40">
        <f>$I$37*$AD$37</f>
        <v>0</v>
      </c>
      <c r="AE82" s="40">
        <f>$I$37*$AE$37</f>
        <v>0</v>
      </c>
      <c r="AF82" s="40">
        <f>$I$37*$AF$37</f>
        <v>0</v>
      </c>
      <c r="AG82" s="40">
        <f>$I$37*$AG$37</f>
        <v>0</v>
      </c>
      <c r="AH82" s="40">
        <f>$I$37*$AH$37</f>
        <v>0</v>
      </c>
    </row>
    <row r="83" spans="1:34" ht="11.25" customHeight="1" x14ac:dyDescent="0.25">
      <c r="A83" s="9" t="s">
        <v>37</v>
      </c>
      <c r="B83" s="9" t="s">
        <v>1463</v>
      </c>
      <c r="C83" s="9" t="s">
        <v>1464</v>
      </c>
      <c r="D83" s="9" t="s">
        <v>1465</v>
      </c>
      <c r="E83" s="9" t="s">
        <v>1466</v>
      </c>
      <c r="F83" s="9" t="s">
        <v>1467</v>
      </c>
      <c r="G83" s="9" t="s">
        <v>1468</v>
      </c>
      <c r="L83" s="40">
        <f>$I$38*$L$38</f>
        <v>138.06873093745318</v>
      </c>
      <c r="M83" s="40">
        <f>$I$38*$M$38</f>
        <v>3205.0696605512412</v>
      </c>
      <c r="N83" s="40">
        <f>$I$38*$N$38</f>
        <v>0</v>
      </c>
      <c r="O83" s="40">
        <f>$I$38*$O$38</f>
        <v>311.07897611092204</v>
      </c>
      <c r="P83" s="40">
        <f>$I$38*$P$38</f>
        <v>-933.13496893606225</v>
      </c>
      <c r="Q83" s="40">
        <f>$I$38*$Q$38</f>
        <v>18547.283002079748</v>
      </c>
      <c r="R83" s="40">
        <f>$I$38*$R$38</f>
        <v>0</v>
      </c>
      <c r="S83" s="40">
        <f>$I$38*$S$38</f>
        <v>0</v>
      </c>
      <c r="T83" s="40">
        <f>$I$38*$T$38</f>
        <v>1.4616633083489971E-11</v>
      </c>
      <c r="U83" s="40">
        <f>$I$38*$U$38</f>
        <v>-1901.2910507906508</v>
      </c>
      <c r="V83" s="40">
        <f>$I$38*$V$38</f>
        <v>299.17472324834762</v>
      </c>
      <c r="X83" s="40">
        <f>$I$38*$X$38</f>
        <v>131.37199188989695</v>
      </c>
      <c r="Y83" s="40">
        <f>$I$38*$Y$38</f>
        <v>835.90465874584834</v>
      </c>
      <c r="Z83" s="40">
        <f>$I$38*$Z$38</f>
        <v>0</v>
      </c>
      <c r="AA83" s="40">
        <f>$I$38*$AA$38</f>
        <v>0</v>
      </c>
      <c r="AB83" s="40">
        <f>$I$38*$AB$38</f>
        <v>0</v>
      </c>
      <c r="AC83" s="40">
        <f>$I$38*$AC$38</f>
        <v>20375.260335144612</v>
      </c>
      <c r="AD83" s="40">
        <f>$I$38*$AD$38</f>
        <v>0</v>
      </c>
      <c r="AE83" s="40">
        <f>$I$38*$AE$38</f>
        <v>0</v>
      </c>
      <c r="AF83" s="40">
        <f>$I$38*$AF$38</f>
        <v>1.4792428955454988E-11</v>
      </c>
      <c r="AG83" s="40">
        <f>$I$38*$AG$38</f>
        <v>-199.79318574099125</v>
      </c>
      <c r="AH83" s="40">
        <f>$I$38*$AH$38</f>
        <v>280.23755510414838</v>
      </c>
    </row>
    <row r="84" spans="1:34" ht="11.25" customHeight="1" x14ac:dyDescent="0.25">
      <c r="A84" s="9" t="s">
        <v>37</v>
      </c>
      <c r="B84" s="9" t="s">
        <v>1463</v>
      </c>
      <c r="C84" s="9" t="s">
        <v>1464</v>
      </c>
      <c r="D84" s="9" t="s">
        <v>1465</v>
      </c>
      <c r="E84" s="9" t="s">
        <v>1466</v>
      </c>
      <c r="F84" s="9" t="s">
        <v>1467</v>
      </c>
      <c r="G84" s="9" t="s">
        <v>1469</v>
      </c>
      <c r="L84" s="40">
        <f>$I$39*$L$39</f>
        <v>167.02853912653592</v>
      </c>
      <c r="M84" s="40">
        <f>$I$39*$M$39</f>
        <v>3877.3305118823096</v>
      </c>
      <c r="N84" s="40">
        <f>$I$39*$N$39</f>
        <v>0</v>
      </c>
      <c r="O84" s="40">
        <f>$I$39*$O$39</f>
        <v>376.32754773652528</v>
      </c>
      <c r="P84" s="40">
        <f>$I$39*$P$39</f>
        <v>-1128.8592979092602</v>
      </c>
      <c r="Q84" s="40">
        <f>$I$39*$Q$39</f>
        <v>13045.093655191033</v>
      </c>
      <c r="R84" s="40">
        <f>$I$39*$R$39</f>
        <v>0</v>
      </c>
      <c r="S84" s="40">
        <f>$I$39*$S$39</f>
        <v>0</v>
      </c>
      <c r="T84" s="40">
        <f>$I$39*$T$39</f>
        <v>1.7682460426104052E-11</v>
      </c>
      <c r="U84" s="40">
        <f>$I$39*$U$39</f>
        <v>-1393.47872914658</v>
      </c>
      <c r="V84" s="40">
        <f>$I$39*$V$39</f>
        <v>361.92638715854156</v>
      </c>
      <c r="X84" s="40">
        <f>$I$39*$X$39</f>
        <v>158.92716430813724</v>
      </c>
      <c r="Y84" s="40">
        <f>$I$39*$Y$39</f>
        <v>1011.2350063001167</v>
      </c>
      <c r="Z84" s="40">
        <f>$I$39*$Z$39</f>
        <v>0</v>
      </c>
      <c r="AA84" s="40">
        <f>$I$39*$AA$39</f>
        <v>0</v>
      </c>
      <c r="AB84" s="40">
        <f>$I$39*$AB$39</f>
        <v>0</v>
      </c>
      <c r="AC84" s="40">
        <f>$I$39*$AC$39</f>
        <v>14330.787926784538</v>
      </c>
      <c r="AD84" s="40">
        <f>$I$39*$AD$39</f>
        <v>0</v>
      </c>
      <c r="AE84" s="40">
        <f>$I$39*$AE$39</f>
        <v>0</v>
      </c>
      <c r="AF84" s="40">
        <f>$I$39*$AF$39</f>
        <v>1.7895129344543625E-11</v>
      </c>
      <c r="AG84" s="40">
        <f>$I$39*$AG$39</f>
        <v>-146.3441932179021</v>
      </c>
      <c r="AH84" s="40">
        <f>$I$39*$AH$39</f>
        <v>339.01716282626262</v>
      </c>
    </row>
    <row r="85" spans="1:34" ht="11.25" customHeight="1" x14ac:dyDescent="0.25">
      <c r="A85" s="9" t="s">
        <v>37</v>
      </c>
      <c r="B85" s="9" t="s">
        <v>1463</v>
      </c>
      <c r="C85" s="9" t="s">
        <v>1464</v>
      </c>
      <c r="D85" s="9" t="s">
        <v>1465</v>
      </c>
      <c r="E85" s="9" t="s">
        <v>1466</v>
      </c>
      <c r="F85" s="9" t="s">
        <v>1467</v>
      </c>
      <c r="G85" s="9" t="s">
        <v>1470</v>
      </c>
      <c r="L85" s="40">
        <f>$I$40*$L$40</f>
        <v>2540.6680002166845</v>
      </c>
      <c r="M85" s="40">
        <f>$I$40*$M$40</f>
        <v>58978.00225828668</v>
      </c>
      <c r="N85" s="40">
        <f>$I$40*$N$40</f>
        <v>0</v>
      </c>
      <c r="O85" s="40">
        <f>$I$40*$O$40</f>
        <v>5724.3113250836468</v>
      </c>
      <c r="P85" s="40">
        <f>$I$40*$P$40</f>
        <v>-17171.057772183322</v>
      </c>
      <c r="Q85" s="40">
        <f>$I$40*$Q$40</f>
        <v>198428.67681711091</v>
      </c>
      <c r="R85" s="40">
        <f>$I$40*$R$40</f>
        <v>0</v>
      </c>
      <c r="S85" s="40">
        <f>$I$40*$S$40</f>
        <v>0</v>
      </c>
      <c r="T85" s="40">
        <f>$I$40*$T$40</f>
        <v>2.6896757646707539E-10</v>
      </c>
      <c r="U85" s="40">
        <f>$I$40*$U$40</f>
        <v>-21196.17901610964</v>
      </c>
      <c r="V85" s="40">
        <f>$I$40*$V$40</f>
        <v>5505.2555395406334</v>
      </c>
      <c r="X85" s="40">
        <f>$I$40*$X$40</f>
        <v>2417.4381386223504</v>
      </c>
      <c r="Y85" s="40">
        <f>$I$40*$Y$40</f>
        <v>15381.876861530014</v>
      </c>
      <c r="Z85" s="40">
        <f>$I$40*$Z$40</f>
        <v>0</v>
      </c>
      <c r="AA85" s="40">
        <f>$I$40*$AA$40</f>
        <v>0</v>
      </c>
      <c r="AB85" s="40">
        <f>$I$40*$AB$40</f>
        <v>0</v>
      </c>
      <c r="AC85" s="40">
        <f>$I$40*$AC$40</f>
        <v>217985.34845527267</v>
      </c>
      <c r="AD85" s="40">
        <f>$I$40*$AD$40</f>
        <v>0</v>
      </c>
      <c r="AE85" s="40">
        <f>$I$40*$AE$40</f>
        <v>0</v>
      </c>
      <c r="AF85" s="40">
        <f>$I$40*$AF$40</f>
        <v>2.7220247942764539E-10</v>
      </c>
      <c r="AG85" s="40">
        <f>$I$40*$AG$40</f>
        <v>-2226.0387995405836</v>
      </c>
      <c r="AH85" s="40">
        <f>$I$40*$AH$40</f>
        <v>5156.7837545679331</v>
      </c>
    </row>
    <row r="86" spans="1:34" ht="11.25" customHeight="1" x14ac:dyDescent="0.25">
      <c r="A86" s="9" t="s">
        <v>37</v>
      </c>
      <c r="B86" s="9" t="s">
        <v>1471</v>
      </c>
      <c r="C86" s="9" t="s">
        <v>1472</v>
      </c>
      <c r="D86" s="9" t="s">
        <v>1473</v>
      </c>
      <c r="E86" s="9" t="s">
        <v>1474</v>
      </c>
      <c r="F86" s="9" t="s">
        <v>1475</v>
      </c>
      <c r="G86" s="9" t="s">
        <v>1476</v>
      </c>
      <c r="L86" s="40">
        <f>$I$41*$L$41</f>
        <v>1645802.4482087158</v>
      </c>
      <c r="M86" s="40">
        <f>$I$41*$M$41</f>
        <v>38204968.338590078</v>
      </c>
      <c r="N86" s="40">
        <f>$I$41*$N$41</f>
        <v>0</v>
      </c>
      <c r="O86" s="40">
        <f>$I$41*$O$41</f>
        <v>3708113.6111951871</v>
      </c>
      <c r="P86" s="40">
        <f>$I$41*$P$41</f>
        <v>-11123125.460462524</v>
      </c>
      <c r="Q86" s="40">
        <f>$I$41*$Q$41</f>
        <v>136251122.22333604</v>
      </c>
      <c r="R86" s="40">
        <f>$I$41*$R$41</f>
        <v>0</v>
      </c>
      <c r="S86" s="40">
        <f>$I$41*$S$41</f>
        <v>0</v>
      </c>
      <c r="T86" s="40">
        <f>$I$41*$T$41</f>
        <v>1.7423271982034808E-7</v>
      </c>
      <c r="U86" s="40">
        <f>$I$41*$U$41</f>
        <v>-14474963.386196017</v>
      </c>
      <c r="V86" s="40">
        <f>$I$41*$V$41</f>
        <v>3566212.9188929158</v>
      </c>
      <c r="X86" s="40">
        <f>$I$41*$X$41</f>
        <v>1565976.1946852019</v>
      </c>
      <c r="Y86" s="40">
        <f>$I$41*$Y$41</f>
        <v>9964123.8424666375</v>
      </c>
      <c r="Z86" s="40">
        <f>$I$41*$Z$41</f>
        <v>0</v>
      </c>
      <c r="AA86" s="40">
        <f>$I$41*$AA$41</f>
        <v>0</v>
      </c>
      <c r="AB86" s="40">
        <f>$I$41*$AB$41</f>
        <v>0</v>
      </c>
      <c r="AC86" s="40">
        <f>$I$41*$AC$41</f>
        <v>149679717.82954821</v>
      </c>
      <c r="AD86" s="40">
        <f>$I$41*$AD$41</f>
        <v>0</v>
      </c>
      <c r="AE86" s="40">
        <f>$I$41*$AE$41</f>
        <v>0</v>
      </c>
      <c r="AF86" s="40">
        <f>$I$41*$AF$41</f>
        <v>1.7632823612226934E-7</v>
      </c>
      <c r="AG86" s="40">
        <f>$I$41*$AG$41</f>
        <v>-1520289.0066401046</v>
      </c>
      <c r="AH86" s="40">
        <f>$I$41*$AH$41</f>
        <v>3340478.6959283967</v>
      </c>
    </row>
    <row r="87" spans="1:34" ht="11.25" customHeight="1" x14ac:dyDescent="0.25">
      <c r="A87" s="9" t="s">
        <v>37</v>
      </c>
      <c r="B87" s="9" t="s">
        <v>1477</v>
      </c>
      <c r="C87" s="9" t="s">
        <v>1478</v>
      </c>
      <c r="D87" s="9" t="s">
        <v>1479</v>
      </c>
      <c r="E87" s="9" t="s">
        <v>1480</v>
      </c>
      <c r="F87" s="9" t="s">
        <v>1481</v>
      </c>
      <c r="G87" s="9" t="s">
        <v>1482</v>
      </c>
      <c r="L87" s="40">
        <f>$I$42*$L$42</f>
        <v>0</v>
      </c>
      <c r="M87" s="40">
        <f>$I$42*$M$42</f>
        <v>0</v>
      </c>
      <c r="N87" s="40">
        <f>$I$42*$N$42</f>
        <v>0</v>
      </c>
      <c r="O87" s="40">
        <f>$I$42*$O$42</f>
        <v>0</v>
      </c>
      <c r="P87" s="40">
        <f>$I$42*$P$42</f>
        <v>0</v>
      </c>
      <c r="Q87" s="40">
        <f>$I$42*$Q$42</f>
        <v>0</v>
      </c>
      <c r="R87" s="40">
        <f>$I$42*$R$42</f>
        <v>0</v>
      </c>
      <c r="S87" s="40">
        <f>$I$42*$S$42</f>
        <v>0</v>
      </c>
      <c r="T87" s="40">
        <f>$I$42*$T$42</f>
        <v>0</v>
      </c>
      <c r="U87" s="40">
        <f>$I$42*$U$42</f>
        <v>0</v>
      </c>
      <c r="V87" s="40">
        <f>$I$42*$V$42</f>
        <v>0</v>
      </c>
      <c r="X87" s="40">
        <f>$I$42*$X$42</f>
        <v>0</v>
      </c>
      <c r="Y87" s="40">
        <f>$I$42*$Y$42</f>
        <v>0</v>
      </c>
      <c r="Z87" s="40">
        <f>$I$42*$Z$42</f>
        <v>0</v>
      </c>
      <c r="AA87" s="40">
        <f>$I$42*$AA$42</f>
        <v>0</v>
      </c>
      <c r="AB87" s="40">
        <f>$I$42*$AB$42</f>
        <v>0</v>
      </c>
      <c r="AC87" s="40">
        <f>$I$42*$AC$42</f>
        <v>0</v>
      </c>
      <c r="AD87" s="40">
        <f>$I$42*$AD$42</f>
        <v>0</v>
      </c>
      <c r="AE87" s="40">
        <f>$I$42*$AE$42</f>
        <v>0</v>
      </c>
      <c r="AF87" s="40">
        <f>$I$42*$AF$42</f>
        <v>0</v>
      </c>
      <c r="AG87" s="40">
        <f>$I$42*$AG$42</f>
        <v>0</v>
      </c>
      <c r="AH87" s="40">
        <f>$I$42*$AH$42</f>
        <v>0</v>
      </c>
    </row>
    <row r="88" spans="1:34" ht="11.25" customHeight="1" x14ac:dyDescent="0.25">
      <c r="A88" s="9" t="s">
        <v>47</v>
      </c>
      <c r="B88" s="9" t="s">
        <v>1483</v>
      </c>
      <c r="C88" s="9" t="s">
        <v>1484</v>
      </c>
      <c r="D88" s="9" t="s">
        <v>1485</v>
      </c>
      <c r="E88" s="9" t="s">
        <v>1486</v>
      </c>
      <c r="F88" s="9" t="s">
        <v>1487</v>
      </c>
      <c r="G88" s="9" t="s">
        <v>1488</v>
      </c>
      <c r="L88" s="40">
        <f>$I$43*$L$43</f>
        <v>350793.19143050327</v>
      </c>
      <c r="M88" s="40">
        <f>$I$43*$M$43</f>
        <v>8143166.1415876923</v>
      </c>
      <c r="N88" s="40">
        <f>$I$43*$N$43</f>
        <v>0</v>
      </c>
      <c r="O88" s="40">
        <f>$I$43*$O$43</f>
        <v>790362.78580932505</v>
      </c>
      <c r="P88" s="40">
        <f>$I$43*$P$43</f>
        <v>-2370829.3077363959</v>
      </c>
      <c r="Q88" s="40">
        <f>$I$43*$Q$43</f>
        <v>29041131.912722901</v>
      </c>
      <c r="R88" s="40">
        <f>$I$43*$R$43</f>
        <v>0</v>
      </c>
      <c r="S88" s="40">
        <f>$I$43*$S$43</f>
        <v>0</v>
      </c>
      <c r="T88" s="40">
        <f>$I$43*$T$43</f>
        <v>3.7136687883724429E-8</v>
      </c>
      <c r="U88" s="40">
        <f>$I$43*$U$43</f>
        <v>-3085254.009440776</v>
      </c>
      <c r="V88" s="40">
        <f>$I$43*$V$43</f>
        <v>760117.48098972801</v>
      </c>
      <c r="X88" s="40">
        <f>$I$43*$X$43</f>
        <v>333778.69113981887</v>
      </c>
      <c r="Y88" s="40">
        <f>$I$43*$Y$43</f>
        <v>2123794.8736265176</v>
      </c>
      <c r="Z88" s="40">
        <f>$I$43*$Z$43</f>
        <v>0</v>
      </c>
      <c r="AA88" s="40">
        <f>$I$43*$AA$43</f>
        <v>0</v>
      </c>
      <c r="AB88" s="40">
        <f>$I$43*$AB$43</f>
        <v>0</v>
      </c>
      <c r="AC88" s="40">
        <f>$I$43*$AC$43</f>
        <v>31903358.733602881</v>
      </c>
      <c r="AD88" s="40">
        <f>$I$43*$AD$43</f>
        <v>0</v>
      </c>
      <c r="AE88" s="40">
        <f>$I$43*$AE$43</f>
        <v>0</v>
      </c>
      <c r="AF88" s="40">
        <f>$I$43*$AF$43</f>
        <v>3.7583334959772808E-8</v>
      </c>
      <c r="AG88" s="40">
        <f>$I$43*$AG$43</f>
        <v>-324040.73351357732</v>
      </c>
      <c r="AH88" s="40">
        <f>$I$43*$AH$43</f>
        <v>712003.54813284555</v>
      </c>
    </row>
    <row r="89" spans="1:34" ht="11.25" customHeight="1" x14ac:dyDescent="0.25">
      <c r="A89" s="9" t="s">
        <v>47</v>
      </c>
      <c r="B89" s="9" t="s">
        <v>1483</v>
      </c>
      <c r="C89" s="9" t="s">
        <v>1484</v>
      </c>
      <c r="D89" s="9" t="s">
        <v>1489</v>
      </c>
      <c r="E89" s="9" t="s">
        <v>1490</v>
      </c>
      <c r="F89" s="9" t="s">
        <v>1491</v>
      </c>
      <c r="G89" s="9" t="s">
        <v>1492</v>
      </c>
      <c r="L89" s="40">
        <f>$I$44*$L$44</f>
        <v>0</v>
      </c>
      <c r="M89" s="40">
        <f>$I$44*$M$44</f>
        <v>0</v>
      </c>
      <c r="N89" s="40">
        <f>$I$44*$N$44</f>
        <v>0</v>
      </c>
      <c r="O89" s="40">
        <f>$I$44*$O$44</f>
        <v>0</v>
      </c>
      <c r="P89" s="40">
        <f>$I$44*$P$44</f>
        <v>0</v>
      </c>
      <c r="Q89" s="40">
        <f>$I$44*$Q$44</f>
        <v>0</v>
      </c>
      <c r="R89" s="40">
        <f>$I$44*$R$44</f>
        <v>0</v>
      </c>
      <c r="S89" s="40">
        <f>$I$44*$S$44</f>
        <v>0</v>
      </c>
      <c r="T89" s="40">
        <f>$I$44*$T$44</f>
        <v>0</v>
      </c>
      <c r="U89" s="40">
        <f>$I$44*$U$44</f>
        <v>0</v>
      </c>
      <c r="V89" s="40">
        <f>$I$44*$V$44</f>
        <v>0</v>
      </c>
      <c r="X89" s="40">
        <f>$I$44*$X$44</f>
        <v>0</v>
      </c>
      <c r="Y89" s="40">
        <f>$I$44*$Y$44</f>
        <v>0</v>
      </c>
      <c r="Z89" s="40">
        <f>$I$44*$Z$44</f>
        <v>0</v>
      </c>
      <c r="AA89" s="40">
        <f>$I$44*$AA$44</f>
        <v>0</v>
      </c>
      <c r="AB89" s="40">
        <f>$I$44*$AB$44</f>
        <v>0</v>
      </c>
      <c r="AC89" s="40">
        <f>$I$44*$AC$44</f>
        <v>0</v>
      </c>
      <c r="AD89" s="40">
        <f>$I$44*$AD$44</f>
        <v>0</v>
      </c>
      <c r="AE89" s="40">
        <f>$I$44*$AE$44</f>
        <v>0</v>
      </c>
      <c r="AF89" s="40">
        <f>$I$44*$AF$44</f>
        <v>0</v>
      </c>
      <c r="AG89" s="40">
        <f>$I$44*$AG$44</f>
        <v>0</v>
      </c>
      <c r="AH89" s="40">
        <f>$I$44*$AH$44</f>
        <v>0</v>
      </c>
    </row>
  </sheetData>
  <mergeCells count="75">
    <mergeCell ref="L46:V46"/>
    <mergeCell ref="X46:AH46"/>
    <mergeCell ref="L47:V47"/>
    <mergeCell ref="X47:AH47"/>
    <mergeCell ref="L48:P48"/>
    <mergeCell ref="R48:T48"/>
    <mergeCell ref="X48:AB48"/>
    <mergeCell ref="AD48:AF48"/>
    <mergeCell ref="E38:E40"/>
    <mergeCell ref="F38:F40"/>
    <mergeCell ref="A43:A44"/>
    <mergeCell ref="B43:B44"/>
    <mergeCell ref="C43:C44"/>
    <mergeCell ref="A38:A42"/>
    <mergeCell ref="B38:B40"/>
    <mergeCell ref="C38:C40"/>
    <mergeCell ref="D38:D40"/>
    <mergeCell ref="X1:AH1"/>
    <mergeCell ref="X2:AH2"/>
    <mergeCell ref="X3:AB3"/>
    <mergeCell ref="AD3:AF3"/>
    <mergeCell ref="B35:B37"/>
    <mergeCell ref="C35:C37"/>
    <mergeCell ref="F27:F29"/>
    <mergeCell ref="B31:B33"/>
    <mergeCell ref="C31:C33"/>
    <mergeCell ref="D31:D33"/>
    <mergeCell ref="E31:E33"/>
    <mergeCell ref="F31:F33"/>
    <mergeCell ref="F23:F25"/>
    <mergeCell ref="F10:F12"/>
    <mergeCell ref="F7:F8"/>
    <mergeCell ref="F5:F6"/>
    <mergeCell ref="A23:A37"/>
    <mergeCell ref="B23:B25"/>
    <mergeCell ref="C23:C25"/>
    <mergeCell ref="D23:D25"/>
    <mergeCell ref="E23:E25"/>
    <mergeCell ref="B27:B29"/>
    <mergeCell ref="C27:C29"/>
    <mergeCell ref="D27:D29"/>
    <mergeCell ref="E27:E29"/>
    <mergeCell ref="A10:A22"/>
    <mergeCell ref="B10:B12"/>
    <mergeCell ref="C10:C12"/>
    <mergeCell ref="D10:D12"/>
    <mergeCell ref="E10:E12"/>
    <mergeCell ref="B13:B17"/>
    <mergeCell ref="C13:C17"/>
    <mergeCell ref="B18:B22"/>
    <mergeCell ref="C18:C22"/>
    <mergeCell ref="A7:A9"/>
    <mergeCell ref="B7:B8"/>
    <mergeCell ref="C7:C8"/>
    <mergeCell ref="D7:D8"/>
    <mergeCell ref="E7:E8"/>
    <mergeCell ref="A5:A6"/>
    <mergeCell ref="B5:B6"/>
    <mergeCell ref="C5:C6"/>
    <mergeCell ref="D5:D6"/>
    <mergeCell ref="E5:E6"/>
    <mergeCell ref="G1:G4"/>
    <mergeCell ref="H1:H4"/>
    <mergeCell ref="I1:I4"/>
    <mergeCell ref="J1:J4"/>
    <mergeCell ref="L1:V1"/>
    <mergeCell ref="L2:V2"/>
    <mergeCell ref="L3:P3"/>
    <mergeCell ref="R3:T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7591A-596D-4D5C-87B6-259F474BE3CA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3" width="10.28515625" style="14" bestFit="1" customWidth="1"/>
    <col min="4" max="4" width="10.85546875" style="14" bestFit="1" customWidth="1"/>
    <col min="5" max="6" width="10.28515625" style="14" bestFit="1" customWidth="1"/>
    <col min="7" max="7" width="11.7109375" style="14" bestFit="1" customWidth="1"/>
    <col min="8" max="8" width="10.85546875" style="14" bestFit="1" customWidth="1"/>
    <col min="9" max="9" width="8" style="14" bestFit="1" customWidth="1"/>
    <col min="10" max="10" width="11.7109375" style="14" bestFit="1" customWidth="1"/>
    <col min="11" max="11" width="10.85546875" style="14" bestFit="1" customWidth="1"/>
    <col min="12" max="12" width="10" style="14" bestFit="1" customWidth="1"/>
    <col min="13" max="13" width="9.7109375" style="14" bestFit="1" customWidth="1"/>
    <col min="14" max="14" width="10.85546875" style="14" bestFit="1" customWidth="1"/>
    <col min="15" max="15" width="7.42578125" style="14" bestFit="1" customWidth="1"/>
    <col min="16" max="16" width="9.7109375" style="14" bestFit="1" customWidth="1"/>
    <col min="17" max="17" width="11.7109375" style="14" bestFit="1" customWidth="1"/>
    <col min="18" max="18" width="7.710937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6" style="14" bestFit="1" customWidth="1"/>
    <col min="24" max="24" width="13.140625" style="14" bestFit="1" customWidth="1"/>
    <col min="25" max="26" width="9.140625" style="14"/>
    <col min="27" max="27" width="3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92</v>
      </c>
      <c r="B1" s="14" t="s">
        <v>93</v>
      </c>
      <c r="C1" s="14" t="s">
        <v>94</v>
      </c>
      <c r="D1" s="14" t="s">
        <v>95</v>
      </c>
      <c r="E1" s="14" t="s">
        <v>96</v>
      </c>
      <c r="F1" s="14" t="s">
        <v>15</v>
      </c>
      <c r="G1" s="14" t="s">
        <v>98</v>
      </c>
      <c r="I1" s="14" t="s">
        <v>1500</v>
      </c>
      <c r="AA1" s="14" t="s">
        <v>39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41</v>
      </c>
      <c r="AB2" s="14" t="s">
        <v>40</v>
      </c>
      <c r="AC2" s="14" t="s">
        <v>24</v>
      </c>
      <c r="AD2" s="14" t="s">
        <v>24</v>
      </c>
      <c r="AE2" s="14" t="s">
        <v>59</v>
      </c>
      <c r="AF2" s="14" t="s">
        <v>65</v>
      </c>
      <c r="AG2" s="14" t="s">
        <v>106</v>
      </c>
    </row>
    <row r="3" spans="1:33" x14ac:dyDescent="0.2">
      <c r="AA3" s="14" t="s">
        <v>110</v>
      </c>
      <c r="AB3" s="14" t="s">
        <v>62</v>
      </c>
      <c r="AC3" s="14" t="s">
        <v>45</v>
      </c>
      <c r="AD3" s="14" t="s">
        <v>29</v>
      </c>
      <c r="AE3" s="14" t="s">
        <v>111</v>
      </c>
      <c r="AF3" s="14" t="s">
        <v>63</v>
      </c>
      <c r="AG3" s="14" t="s">
        <v>107</v>
      </c>
    </row>
    <row r="4" spans="1:33" x14ac:dyDescent="0.2">
      <c r="AA4" s="14" t="s">
        <v>22</v>
      </c>
      <c r="AB4" s="14" t="s">
        <v>66</v>
      </c>
      <c r="AC4" s="14" t="s">
        <v>48</v>
      </c>
      <c r="AD4" s="14" t="s">
        <v>30</v>
      </c>
      <c r="AE4" s="14" t="s">
        <v>112</v>
      </c>
      <c r="AG4" s="14" t="s">
        <v>108</v>
      </c>
    </row>
    <row r="5" spans="1:33" x14ac:dyDescent="0.2">
      <c r="A5" s="14" t="s">
        <v>1493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872</v>
      </c>
      <c r="AA5" s="14" t="s">
        <v>44</v>
      </c>
      <c r="AB5" s="14" t="s">
        <v>42</v>
      </c>
      <c r="AD5" s="14" t="s">
        <v>31</v>
      </c>
      <c r="AG5" s="14" t="s">
        <v>9</v>
      </c>
    </row>
    <row r="6" spans="1:33" x14ac:dyDescent="0.2">
      <c r="A6" s="14" t="s">
        <v>1494</v>
      </c>
      <c r="B6" s="19">
        <f>SUM(TUSD!$AI$71:'TUSD'!$AI$131)</f>
        <v>14341714.252413658</v>
      </c>
      <c r="C6" s="19">
        <f>SUM(TUSD!$AJ$71:'TUSD'!$AJ$131)</f>
        <v>2713370.6683392506</v>
      </c>
      <c r="D6" s="19">
        <f>SUM(TUSD!$AK$71:'TUSD'!$AK$131)</f>
        <v>11637267.095199913</v>
      </c>
      <c r="E6" s="19">
        <f>SUM(TUSD!$AL$71:'TUSD'!$AL$131)</f>
        <v>94272.924576396821</v>
      </c>
      <c r="F6" s="19">
        <f>SUM(TUSD!$AM$71:'TUSD'!$AM$131)</f>
        <v>0</v>
      </c>
      <c r="G6" s="19">
        <f>SUM(TUSD!$AN$71:'TUSD'!$AN$131)</f>
        <v>99268584.158206552</v>
      </c>
      <c r="H6" s="19">
        <f>SUM(TUSD!$AO$71:'TUSD'!$AO$131)</f>
        <v>39138263.859607838</v>
      </c>
      <c r="I6" s="19">
        <f>SUM(TUSD!$AP$71:'TUSD'!$AP$131)</f>
        <v>0</v>
      </c>
      <c r="J6" s="19">
        <f>SUM(TUSD!$AQ$71:'TUSD'!$AQ$131)</f>
        <v>125768650.02266592</v>
      </c>
      <c r="K6" s="19">
        <f>SUM(TUSD!$AR$71:'TUSD'!$AR$131)</f>
        <v>53751041.235225298</v>
      </c>
      <c r="L6" s="19">
        <f>SUM(TUSD!$AS$71:'TUSD'!$AS$131)</f>
        <v>12371891.851326039</v>
      </c>
      <c r="M6" s="19">
        <f>SUM(TUSD!$AT$71:'TUSD'!$AT$131)</f>
        <v>0</v>
      </c>
      <c r="N6" s="19">
        <f>SUM(TUSD!$AU$71:'TUSD'!$AU$131)</f>
        <v>11992298.625692209</v>
      </c>
      <c r="O6" s="19">
        <f>SUM(TUSD!$AV$71:'TUSD'!$AV$131)</f>
        <v>0</v>
      </c>
      <c r="P6" s="19">
        <f>SUM(TUSD!$AW$71:'TUSD'!$AW$131)</f>
        <v>0</v>
      </c>
      <c r="Q6" s="19">
        <f>SUM(TUSD!$AX$71:'TUSD'!$AX$131)</f>
        <v>760261958.99075115</v>
      </c>
      <c r="R6" s="19">
        <f>SUM(TUSD!$AY$71:'TUSD'!$AY$131)</f>
        <v>-12687251.872097148</v>
      </c>
      <c r="S6" s="19">
        <f>SUM(TUSD!$AZ$71:'TUSD'!$AZ$131)</f>
        <v>0</v>
      </c>
      <c r="T6" s="19">
        <f>SUM(TUSD!$BA$71:'TUSD'!$BA$131)</f>
        <v>113440740.68144368</v>
      </c>
      <c r="U6" s="19">
        <f>SUM(TUSD!$BB$71:'TUSD'!$BB$131)</f>
        <v>3506061.9641895667</v>
      </c>
      <c r="V6" s="19">
        <f>SUM(TUSD!$BC$71:'TUSD'!$BC$131)</f>
        <v>41670574.237768903</v>
      </c>
      <c r="W6" s="19">
        <f>SUM(TUSD!$BD$71:'TUSD'!$BD$131)</f>
        <v>0</v>
      </c>
      <c r="X6" s="19">
        <f t="shared" ref="X6:X11" si="0">SUM(B6:W6)</f>
        <v>1277269438.6953092</v>
      </c>
      <c r="AA6" s="14" t="s">
        <v>37</v>
      </c>
      <c r="AB6" s="14" t="s">
        <v>33</v>
      </c>
      <c r="AD6" s="14" t="s">
        <v>32</v>
      </c>
      <c r="AG6" s="14" t="s">
        <v>103</v>
      </c>
    </row>
    <row r="7" spans="1:33" x14ac:dyDescent="0.2">
      <c r="A7" s="14" t="s">
        <v>1495</v>
      </c>
      <c r="B7" s="19">
        <f>SUM(TUSD!$L$71:'TUSD'!$L$131)</f>
        <v>14993381.903347017</v>
      </c>
      <c r="C7" s="19">
        <f>SUM(TUSD!$M$71:'TUSD'!$M$131)</f>
        <v>3085748.8000721391</v>
      </c>
      <c r="D7" s="19">
        <f ca="1">SUM(TUSD!$N$71:'TUSD'!$N$131)</f>
        <v>11224184.555420248</v>
      </c>
      <c r="E7" s="19">
        <f>SUM(TUSD!$O$71:'TUSD'!$O$131)</f>
        <v>96867.799567307971</v>
      </c>
      <c r="F7" s="19">
        <f>SUM(TUSD!$P$71:'TUSD'!$P$131)</f>
        <v>0</v>
      </c>
      <c r="G7" s="19">
        <f>SUM(TUSD!$Q$71:'TUSD'!$Q$131)</f>
        <v>166085870.70375064</v>
      </c>
      <c r="H7" s="19">
        <f>SUM(TUSD!$R$71:'TUSD'!$R$131)</f>
        <v>70319561.036978602</v>
      </c>
      <c r="I7" s="19">
        <f>SUM(TUSD!$S$71:'TUSD'!$S$131)</f>
        <v>0</v>
      </c>
      <c r="J7" s="19">
        <f>SUM(TUSD!$T$71:'TUSD'!$T$131)</f>
        <v>151834539.13380793</v>
      </c>
      <c r="K7" s="19">
        <f>SUM(TUSD!$U$71:'TUSD'!$U$131)</f>
        <v>46866672.870638862</v>
      </c>
      <c r="L7" s="19">
        <f>SUM(TUSD!$V$71:'TUSD'!$V$131)</f>
        <v>7763625.1353962272</v>
      </c>
      <c r="M7" s="19">
        <f>SUM(TUSD!$W$71:'TUSD'!$W$131)</f>
        <v>417211.28131224832</v>
      </c>
      <c r="N7" s="19">
        <f>SUM(TUSD!$X$71:'TUSD'!$X$131)</f>
        <v>10790443.505731173</v>
      </c>
      <c r="O7" s="19">
        <f>SUM(TUSD!$Y$71:'TUSD'!$Y$131)</f>
        <v>0</v>
      </c>
      <c r="P7" s="19">
        <f>SUM(TUSD!$Z$71:'TUSD'!$Z$131)</f>
        <v>0</v>
      </c>
      <c r="Q7" s="19">
        <f>SUM(TUSD!$AA$71:'TUSD'!$AA$131)</f>
        <v>838174416.40805101</v>
      </c>
      <c r="R7" s="19">
        <f ca="1">SUM(TUSD!$AB$71:'TUSD'!$AB$131)</f>
        <v>-128123575.0235759</v>
      </c>
      <c r="S7" s="19">
        <f ca="1">SUM(TUSD!$AC$71:'TUSD'!$AC$131)</f>
        <v>0</v>
      </c>
      <c r="T7" s="19">
        <f>SUM(TUSD!$AD$71:'TUSD'!$AD$131)</f>
        <v>103905324.1229405</v>
      </c>
      <c r="U7" s="19">
        <f>SUM(TUSD!$AE$71:'TUSD'!$AE$131)</f>
        <v>3751414.0723682824</v>
      </c>
      <c r="V7" s="19">
        <f ca="1">SUM(TUSD!$AF$71:'TUSD'!$AF$131)</f>
        <v>37836930.770857126</v>
      </c>
      <c r="W7" s="19">
        <f ca="1">SUM(TUSD!$AG$71:'TUSD'!$AG$131)</f>
        <v>0</v>
      </c>
      <c r="X7" s="19">
        <f t="shared" ca="1" si="0"/>
        <v>1339022617.0766635</v>
      </c>
      <c r="AA7" s="14" t="s">
        <v>47</v>
      </c>
      <c r="AB7" s="14" t="s">
        <v>23</v>
      </c>
      <c r="AD7" s="14" t="s">
        <v>116</v>
      </c>
      <c r="AG7" s="14" t="s">
        <v>104</v>
      </c>
    </row>
    <row r="8" spans="1:33" x14ac:dyDescent="0.2">
      <c r="A8" s="14" t="s">
        <v>1498</v>
      </c>
      <c r="B8" s="19">
        <f>IF($G$2&lt;&gt;"Não se aplica",SUMIF(TUSD!$G$71:'TUSD'!$G$131,$I$2,TUSD!$AI$71:'TUSD'!$AI$131),IF($F$2&lt;&gt;"Não se aplica",SUMIF(TUSD!$F$71:'TUSD'!$F$131,$I$2,TUSD!$AI$71:'TUSD'!$AI$131),IF($E$2&lt;&gt;"Não se aplica",SUMIF(TUSD!$E$71:'TUSD'!$E$131,$I$2,TUSD!$AI$71:'TUSD'!$AI$131),IF($D$2&lt;&gt;"Não se aplica",SUMIF(TUSD!$D$71:'TUSD'!$D$131,$I$2,TUSD!$AI$71:'TUSD'!$AI$131),IF($C$2&lt;&gt;"Não se aplica",SUMIF(TUSD!$C$71:'TUSD'!$C$131,$I$2,TUSD!$AI$71:'TUSD'!$AI$131),IF($B$2&lt;&gt;"Não se aplica",SUMIF(TUSD!$B$71:'TUSD'!$B$131,$I$2,TUSD!$AI$71:'TUSD'!$AI$131),SUMIF(TUSD!$A$71:'TUSD'!$A$131,$I$2,TUSD!$AI$71:'TUSD'!$AI$131)))))))</f>
        <v>1738937.4818970012</v>
      </c>
      <c r="C8" s="19">
        <f>IF($G$2&lt;&gt;"Não se aplica",SUMIF(TUSD!$G$71:'TUSD'!$G$131,$I$2,TUSD!$AJ$71:'TUSD'!$AJ$131),IF($F$2&lt;&gt;"Não se aplica",SUMIF(TUSD!$F$71:'TUSD'!$F$131,$I$2,TUSD!$AJ$71:'TUSD'!$AJ$131),IF($E$2&lt;&gt;"Não se aplica",SUMIF(TUSD!$E$71:'TUSD'!$E$131,$I$2,TUSD!$AJ$71:'TUSD'!$AJ$131),IF($D$2&lt;&gt;"Não se aplica",SUMIF(TUSD!$D$71:'TUSD'!$D$131,$I$2,TUSD!$AJ$71:'TUSD'!$AJ$131),IF($C$2&lt;&gt;"Não se aplica",SUMIF(TUSD!$C$71:'TUSD'!$C$131,$I$2,TUSD!$AJ$71:'TUSD'!$AJ$131),IF($B$2&lt;&gt;"Não se aplica",SUMIF(TUSD!$B$71:'TUSD'!$B$131,$I$2,TUSD!$AJ$71:'TUSD'!$AJ$131),SUMIF(TUSD!$A$71:'TUSD'!$A$131,$I$2,TUSD!$AJ$71:'TUSD'!$AJ$131)))))))</f>
        <v>201707.47480912402</v>
      </c>
      <c r="D8" s="19">
        <f>IF($G$2&lt;&gt;"Não se aplica",SUMIF(TUSD!$G$71:'TUSD'!$G$131,$I$2,TUSD!$AK$71:'TUSD'!$AK$131),IF($F$2&lt;&gt;"Não se aplica",SUMIF(TUSD!$F$71:'TUSD'!$F$131,$I$2,TUSD!$AK$71:'TUSD'!$AK$131),IF($E$2&lt;&gt;"Não se aplica",SUMIF(TUSD!$E$71:'TUSD'!$E$131,$I$2,TUSD!$AK$71:'TUSD'!$AK$131),IF($D$2&lt;&gt;"Não se aplica",SUMIF(TUSD!$D$71:'TUSD'!$D$131,$I$2,TUSD!$AK$71:'TUSD'!$AK$131),IF($C$2&lt;&gt;"Não se aplica",SUMIF(TUSD!$C$71:'TUSD'!$C$131,$I$2,TUSD!$AK$71:'TUSD'!$AK$131),IF($B$2&lt;&gt;"Não se aplica",SUMIF(TUSD!$B$71:'TUSD'!$B$131,$I$2,TUSD!$AK$71:'TUSD'!$AK$131),SUMIF(TUSD!$A$71:'TUSD'!$A$131,$I$2,TUSD!$AK$71:'TUSD'!$AK$131)))))))</f>
        <v>485847.19151930214</v>
      </c>
      <c r="E8" s="19">
        <f>IF($G$2&lt;&gt;"Não se aplica",SUMIF(TUSD!$G$71:'TUSD'!$G$131,$I$2,TUSD!$AL$71:'TUSD'!$AL$131),IF($F$2&lt;&gt;"Não se aplica",SUMIF(TUSD!$F$71:'TUSD'!$F$131,$I$2,TUSD!$AL$71:'TUSD'!$AL$131),IF($E$2&lt;&gt;"Não se aplica",SUMIF(TUSD!$E$71:'TUSD'!$E$131,$I$2,TUSD!$AL$71:'TUSD'!$AL$131),IF($D$2&lt;&gt;"Não se aplica",SUMIF(TUSD!$D$71:'TUSD'!$D$131,$I$2,TUSD!$AL$71:'TUSD'!$AL$131),IF($C$2&lt;&gt;"Não se aplica",SUMIF(TUSD!$C$71:'TUSD'!$C$131,$I$2,TUSD!$AL$71:'TUSD'!$AL$131),IF($B$2&lt;&gt;"Não se aplica",SUMIF(TUSD!$B$71:'TUSD'!$B$131,$I$2,TUSD!$AL$71:'TUSD'!$AL$131),SUMIF(TUSD!$A$71:'TUSD'!$A$131,$I$2,TUSD!$AL$71:'TUSD'!$AL$131)))))))</f>
        <v>26905.599106376962</v>
      </c>
      <c r="F8" s="19">
        <f>IF($G$2&lt;&gt;"Não se aplica",SUMIF(TUSD!$G$71:'TUSD'!$G$131,$I$2,TUSD!$AM$71:'TUSD'!$AM$131),IF($F$2&lt;&gt;"Não se aplica",SUMIF(TUSD!$F$71:'TUSD'!$F$131,$I$2,TUSD!$AM$71:'TUSD'!$AM$131),IF($E$2&lt;&gt;"Não se aplica",SUMIF(TUSD!$E$71:'TUSD'!$E$131,$I$2,TUSD!$AM$71:'TUSD'!$AM$131),IF($D$2&lt;&gt;"Não se aplica",SUMIF(TUSD!$D$71:'TUSD'!$D$131,$I$2,TUSD!$AM$71:'TUSD'!$AM$131),IF($C$2&lt;&gt;"Não se aplica",SUMIF(TUSD!$C$71:'TUSD'!$C$131,$I$2,TUSD!$AM$71:'TUSD'!$AM$131),IF($B$2&lt;&gt;"Não se aplica",SUMIF(TUSD!$B$71:'TUSD'!$B$131,$I$2,TUSD!$AM$71:'TUSD'!$AM$131),SUMIF(TUSD!$A$71:'TUSD'!$A$131,$I$2,TUSD!$AM$71:'TUSD'!$AM$131)))))))</f>
        <v>0</v>
      </c>
      <c r="G8" s="19">
        <f>IF($G$2&lt;&gt;"Não se aplica",SUMIF(TUSD!$G$71:'TUSD'!$G$131,$I$2,TUSD!$AN$71:'TUSD'!$AN$131),IF($F$2&lt;&gt;"Não se aplica",SUMIF(TUSD!$F$71:'TUSD'!$F$131,$I$2,TUSD!$AN$71:'TUSD'!$AN$131),IF($E$2&lt;&gt;"Não se aplica",SUMIF(TUSD!$E$71:'TUSD'!$E$131,$I$2,TUSD!$AN$71:'TUSD'!$AN$131),IF($D$2&lt;&gt;"Não se aplica",SUMIF(TUSD!$D$71:'TUSD'!$D$131,$I$2,TUSD!$AN$71:'TUSD'!$AN$131),IF($C$2&lt;&gt;"Não se aplica",SUMIF(TUSD!$C$71:'TUSD'!$C$131,$I$2,TUSD!$AN$71:'TUSD'!$AN$131),IF($B$2&lt;&gt;"Não se aplica",SUMIF(TUSD!$B$71:'TUSD'!$B$131,$I$2,TUSD!$AN$71:'TUSD'!$AN$131),SUMIF(TUSD!$A$71:'TUSD'!$A$131,$I$2,TUSD!$AN$71:'TUSD'!$AN$131)))))))</f>
        <v>12036347.868142808</v>
      </c>
      <c r="H8" s="19">
        <f>IF($G$2&lt;&gt;"Não se aplica",SUMIF(TUSD!$G$71:'TUSD'!$G$131,$I$2,TUSD!$AO$71:'TUSD'!$AO$131),IF($F$2&lt;&gt;"Não se aplica",SUMIF(TUSD!$F$71:'TUSD'!$F$131,$I$2,TUSD!$AO$71:'TUSD'!$AO$131),IF($E$2&lt;&gt;"Não se aplica",SUMIF(TUSD!$E$71:'TUSD'!$E$131,$I$2,TUSD!$AO$71:'TUSD'!$AO$131),IF($D$2&lt;&gt;"Não se aplica",SUMIF(TUSD!$D$71:'TUSD'!$D$131,$I$2,TUSD!$AO$71:'TUSD'!$AO$131),IF($C$2&lt;&gt;"Não se aplica",SUMIF(TUSD!$C$71:'TUSD'!$C$131,$I$2,TUSD!$AO$71:'TUSD'!$AO$131),IF($B$2&lt;&gt;"Não se aplica",SUMIF(TUSD!$B$71:'TUSD'!$B$131,$I$2,TUSD!$AO$71:'TUSD'!$AO$131),SUMIF(TUSD!$A$71:'TUSD'!$A$131,$I$2,TUSD!$AO$71:'TUSD'!$AO$131)))))))</f>
        <v>6499235.6719823601</v>
      </c>
      <c r="I8" s="19">
        <f>IF($G$2&lt;&gt;"Não se aplica",SUMIF(TUSD!$G$71:'TUSD'!$G$131,$I$2,TUSD!$AP$71:'TUSD'!$AP$131),IF($F$2&lt;&gt;"Não se aplica",SUMIF(TUSD!$F$71:'TUSD'!$F$131,$I$2,TUSD!$AP$71:'TUSD'!$AP$131),IF($E$2&lt;&gt;"Não se aplica",SUMIF(TUSD!$E$71:'TUSD'!$E$131,$I$2,TUSD!$AP$71:'TUSD'!$AP$131),IF($D$2&lt;&gt;"Não se aplica",SUMIF(TUSD!$D$71:'TUSD'!$D$131,$I$2,TUSD!$AP$71:'TUSD'!$AP$131),IF($C$2&lt;&gt;"Não se aplica",SUMIF(TUSD!$C$71:'TUSD'!$C$131,$I$2,TUSD!$AP$71:'TUSD'!$AP$131),IF($B$2&lt;&gt;"Não se aplica",SUMIF(TUSD!$B$71:'TUSD'!$B$131,$I$2,TUSD!$AP$71:'TUSD'!$AP$131),SUMIF(TUSD!$A$71:'TUSD'!$A$131,$I$2,TUSD!$AP$71:'TUSD'!$AP$131)))))))</f>
        <v>0</v>
      </c>
      <c r="J8" s="19">
        <f>IF($G$2&lt;&gt;"Não se aplica",SUMIF(TUSD!$G$71:'TUSD'!$G$131,$I$2,TUSD!$AQ$71:'TUSD'!$AQ$131),IF($F$2&lt;&gt;"Não se aplica",SUMIF(TUSD!$F$71:'TUSD'!$F$131,$I$2,TUSD!$AQ$71:'TUSD'!$AQ$131),IF($E$2&lt;&gt;"Não se aplica",SUMIF(TUSD!$E$71:'TUSD'!$E$131,$I$2,TUSD!$AQ$71:'TUSD'!$AQ$131),IF($D$2&lt;&gt;"Não se aplica",SUMIF(TUSD!$D$71:'TUSD'!$D$131,$I$2,TUSD!$AQ$71:'TUSD'!$AQ$131),IF($C$2&lt;&gt;"Não se aplica",SUMIF(TUSD!$C$71:'TUSD'!$C$131,$I$2,TUSD!$AQ$71:'TUSD'!$AQ$131),IF($B$2&lt;&gt;"Não se aplica",SUMIF(TUSD!$B$71:'TUSD'!$B$131,$I$2,TUSD!$AQ$71:'TUSD'!$AQ$131),SUMIF(TUSD!$A$71:'TUSD'!$A$131,$I$2,TUSD!$AQ$71:'TUSD'!$AQ$131)))))))</f>
        <v>20933208.328546282</v>
      </c>
      <c r="K8" s="19">
        <f>IF($G$2&lt;&gt;"Não se aplica",SUMIF(TUSD!$G$71:'TUSD'!$G$131,$I$2,TUSD!$AR$71:'TUSD'!$AR$131),IF($F$2&lt;&gt;"Não se aplica",SUMIF(TUSD!$F$71:'TUSD'!$F$131,$I$2,TUSD!$AR$71:'TUSD'!$AR$131),IF($E$2&lt;&gt;"Não se aplica",SUMIF(TUSD!$E$71:'TUSD'!$E$131,$I$2,TUSD!$AR$71:'TUSD'!$AR$131),IF($D$2&lt;&gt;"Não se aplica",SUMIF(TUSD!$D$71:'TUSD'!$D$131,$I$2,TUSD!$AR$71:'TUSD'!$AR$131),IF($C$2&lt;&gt;"Não se aplica",SUMIF(TUSD!$C$71:'TUSD'!$C$131,$I$2,TUSD!$AR$71:'TUSD'!$AR$131),IF($B$2&lt;&gt;"Não se aplica",SUMIF(TUSD!$B$71:'TUSD'!$B$131,$I$2,TUSD!$AR$71:'TUSD'!$AR$131),SUMIF(TUSD!$A$71:'TUSD'!$A$131,$I$2,TUSD!$AR$71:'TUSD'!$AR$131)))))))</f>
        <v>8937499.2426456865</v>
      </c>
      <c r="L8" s="19">
        <f>IF($G$2&lt;&gt;"Não se aplica",SUMIF(TUSD!$G$71:'TUSD'!$G$131,$I$2,TUSD!$AS$71:'TUSD'!$AS$131),IF($F$2&lt;&gt;"Não se aplica",SUMIF(TUSD!$F$71:'TUSD'!$F$131,$I$2,TUSD!$AS$71:'TUSD'!$AS$131),IF($E$2&lt;&gt;"Não se aplica",SUMIF(TUSD!$E$71:'TUSD'!$E$131,$I$2,TUSD!$AS$71:'TUSD'!$AS$131),IF($D$2&lt;&gt;"Não se aplica",SUMIF(TUSD!$D$71:'TUSD'!$D$131,$I$2,TUSD!$AS$71:'TUSD'!$AS$131),IF($C$2&lt;&gt;"Não se aplica",SUMIF(TUSD!$C$71:'TUSD'!$C$131,$I$2,TUSD!$AS$71:'TUSD'!$AS$131),IF($B$2&lt;&gt;"Não se aplica",SUMIF(TUSD!$B$71:'TUSD'!$B$131,$I$2,TUSD!$AS$71:'TUSD'!$AS$131),SUMIF(TUSD!$A$71:'TUSD'!$A$131,$I$2,TUSD!$AS$71:'TUSD'!$AS$131)))))))</f>
        <v>2511097.0003299774</v>
      </c>
      <c r="M8" s="19">
        <f>IF($G$2&lt;&gt;"Não se aplica",SUMIF(TUSD!$G$71:'TUSD'!$G$131,$I$2,TUSD!$AT$71:'TUSD'!$AT$131),IF($F$2&lt;&gt;"Não se aplica",SUMIF(TUSD!$F$71:'TUSD'!$F$131,$I$2,TUSD!$AT$71:'TUSD'!$AT$131),IF($E$2&lt;&gt;"Não se aplica",SUMIF(TUSD!$E$71:'TUSD'!$E$131,$I$2,TUSD!$AT$71:'TUSD'!$AT$131),IF($D$2&lt;&gt;"Não se aplica",SUMIF(TUSD!$D$71:'TUSD'!$D$131,$I$2,TUSD!$AT$71:'TUSD'!$AT$131),IF($C$2&lt;&gt;"Não se aplica",SUMIF(TUSD!$C$71:'TUSD'!$C$131,$I$2,TUSD!$AT$71:'TUSD'!$AT$131),IF($B$2&lt;&gt;"Não se aplica",SUMIF(TUSD!$B$71:'TUSD'!$B$131,$I$2,TUSD!$AT$71:'TUSD'!$AT$131),SUMIF(TUSD!$A$71:'TUSD'!$A$131,$I$2,TUSD!$AT$71:'TUSD'!$AT$131)))))))</f>
        <v>0</v>
      </c>
      <c r="N8" s="19">
        <f>IF($G$2&lt;&gt;"Não se aplica",SUMIF(TUSD!$G$71:'TUSD'!$G$131,$I$2,TUSD!$AU$71:'TUSD'!$AU$131),IF($F$2&lt;&gt;"Não se aplica",SUMIF(TUSD!$F$71:'TUSD'!$F$131,$I$2,TUSD!$AU$71:'TUSD'!$AU$131),IF($E$2&lt;&gt;"Não se aplica",SUMIF(TUSD!$E$71:'TUSD'!$E$131,$I$2,TUSD!$AU$71:'TUSD'!$AU$131),IF($D$2&lt;&gt;"Não se aplica",SUMIF(TUSD!$D$71:'TUSD'!$D$131,$I$2,TUSD!$AU$71:'TUSD'!$AU$131),IF($C$2&lt;&gt;"Não se aplica",SUMIF(TUSD!$C$71:'TUSD'!$C$131,$I$2,TUSD!$AU$71:'TUSD'!$AU$131),IF($B$2&lt;&gt;"Não se aplica",SUMIF(TUSD!$B$71:'TUSD'!$B$131,$I$2,TUSD!$AU$71:'TUSD'!$AU$131),SUMIF(TUSD!$A$71:'TUSD'!$A$131,$I$2,TUSD!$AU$71:'TUSD'!$AU$131)))))))</f>
        <v>3700962.3636397105</v>
      </c>
      <c r="O8" s="19">
        <f>IF($G$2&lt;&gt;"Não se aplica",SUMIF(TUSD!$G$71:'TUSD'!$G$131,$I$2,TUSD!$AV$71:'TUSD'!$AV$131),IF($F$2&lt;&gt;"Não se aplica",SUMIF(TUSD!$F$71:'TUSD'!$F$131,$I$2,TUSD!$AV$71:'TUSD'!$AV$131),IF($E$2&lt;&gt;"Não se aplica",SUMIF(TUSD!$E$71:'TUSD'!$E$131,$I$2,TUSD!$AV$71:'TUSD'!$AV$131),IF($D$2&lt;&gt;"Não se aplica",SUMIF(TUSD!$D$71:'TUSD'!$D$131,$I$2,TUSD!$AV$71:'TUSD'!$AV$131),IF($C$2&lt;&gt;"Não se aplica",SUMIF(TUSD!$C$71:'TUSD'!$C$131,$I$2,TUSD!$AV$71:'TUSD'!$AV$131),IF($B$2&lt;&gt;"Não se aplica",SUMIF(TUSD!$B$71:'TUSD'!$B$131,$I$2,TUSD!$AV$71:'TUSD'!$AV$131),SUMIF(TUSD!$A$71:'TUSD'!$A$131,$I$2,TUSD!$AV$71:'TUSD'!$AV$131)))))))</f>
        <v>0</v>
      </c>
      <c r="P8" s="19">
        <f>IF($G$2&lt;&gt;"Não se aplica",SUMIF(TUSD!$G$71:'TUSD'!$G$131,$I$2,TUSD!$AW$71:'TUSD'!$AW$131),IF($F$2&lt;&gt;"Não se aplica",SUMIF(TUSD!$F$71:'TUSD'!$F$131,$I$2,TUSD!$AW$71:'TUSD'!$AW$131),IF($E$2&lt;&gt;"Não se aplica",SUMIF(TUSD!$E$71:'TUSD'!$E$131,$I$2,TUSD!$AW$71:'TUSD'!$AW$131),IF($D$2&lt;&gt;"Não se aplica",SUMIF(TUSD!$D$71:'TUSD'!$D$131,$I$2,TUSD!$AW$71:'TUSD'!$AW$131),IF($C$2&lt;&gt;"Não se aplica",SUMIF(TUSD!$C$71:'TUSD'!$C$131,$I$2,TUSD!$AW$71:'TUSD'!$AW$131),IF($B$2&lt;&gt;"Não se aplica",SUMIF(TUSD!$B$71:'TUSD'!$B$131,$I$2,TUSD!$AW$71:'TUSD'!$AW$131),SUMIF(TUSD!$A$71:'TUSD'!$A$131,$I$2,TUSD!$AW$71:'TUSD'!$AW$131)))))))</f>
        <v>0</v>
      </c>
      <c r="Q8" s="19">
        <f>IF($G$2&lt;&gt;"Não se aplica",SUMIF(TUSD!$G$71:'TUSD'!$G$131,$I$2,TUSD!$AX$71:'TUSD'!$AX$131),IF($F$2&lt;&gt;"Não se aplica",SUMIF(TUSD!$F$71:'TUSD'!$F$131,$I$2,TUSD!$AX$71:'TUSD'!$AX$131),IF($E$2&lt;&gt;"Não se aplica",SUMIF(TUSD!$E$71:'TUSD'!$E$131,$I$2,TUSD!$AX$71:'TUSD'!$AX$131),IF($D$2&lt;&gt;"Não se aplica",SUMIF(TUSD!$D$71:'TUSD'!$D$131,$I$2,TUSD!$AX$71:'TUSD'!$AX$131),IF($C$2&lt;&gt;"Não se aplica",SUMIF(TUSD!$C$71:'TUSD'!$C$131,$I$2,TUSD!$AX$71:'TUSD'!$AX$131),IF($B$2&lt;&gt;"Não se aplica",SUMIF(TUSD!$B$71:'TUSD'!$B$131,$I$2,TUSD!$AX$71:'TUSD'!$AX$131),SUMIF(TUSD!$A$71:'TUSD'!$A$131,$I$2,TUSD!$AX$71:'TUSD'!$AX$131)))))))</f>
        <v>44197146.872614086</v>
      </c>
      <c r="R8" s="19">
        <f>IF($G$2&lt;&gt;"Não se aplica",SUMIF(TUSD!$G$71:'TUSD'!$G$131,$I$2,TUSD!$AY$71:'TUSD'!$AY$131),IF($F$2&lt;&gt;"Não se aplica",SUMIF(TUSD!$F$71:'TUSD'!$F$131,$I$2,TUSD!$AY$71:'TUSD'!$AY$131),IF($E$2&lt;&gt;"Não se aplica",SUMIF(TUSD!$E$71:'TUSD'!$E$131,$I$2,TUSD!$AY$71:'TUSD'!$AY$131),IF($D$2&lt;&gt;"Não se aplica",SUMIF(TUSD!$D$71:'TUSD'!$D$131,$I$2,TUSD!$AY$71:'TUSD'!$AY$131),IF($C$2&lt;&gt;"Não se aplica",SUMIF(TUSD!$C$71:'TUSD'!$C$131,$I$2,TUSD!$AY$71:'TUSD'!$AY$131),IF($B$2&lt;&gt;"Não se aplica",SUMIF(TUSD!$B$71:'TUSD'!$B$131,$I$2,TUSD!$AY$71:'TUSD'!$AY$131),SUMIF(TUSD!$A$71:'TUSD'!$A$131,$I$2,TUSD!$AY$71:'TUSD'!$AY$131)))))))</f>
        <v>-979583.21448183036</v>
      </c>
      <c r="S8" s="19">
        <f>IF($G$2&lt;&gt;"Não se aplica",SUMIF(TUSD!$G$71:'TUSD'!$G$131,$I$2,TUSD!$AZ$71:'TUSD'!$AZ$131),IF($F$2&lt;&gt;"Não se aplica",SUMIF(TUSD!$F$71:'TUSD'!$F$131,$I$2,TUSD!$AZ$71:'TUSD'!$AZ$131),IF($E$2&lt;&gt;"Não se aplica",SUMIF(TUSD!$E$71:'TUSD'!$E$131,$I$2,TUSD!$AZ$71:'TUSD'!$AZ$131),IF($D$2&lt;&gt;"Não se aplica",SUMIF(TUSD!$D$71:'TUSD'!$D$131,$I$2,TUSD!$AZ$71:'TUSD'!$AZ$131),IF($C$2&lt;&gt;"Não se aplica",SUMIF(TUSD!$C$71:'TUSD'!$C$131,$I$2,TUSD!$AZ$71:'TUSD'!$AZ$131),IF($B$2&lt;&gt;"Não se aplica",SUMIF(TUSD!$B$71:'TUSD'!$B$131,$I$2,TUSD!$AZ$71:'TUSD'!$AZ$131),SUMIF(TUSD!$A$71:'TUSD'!$A$131,$I$2,TUSD!$AZ$71:'TUSD'!$AZ$131)))))))</f>
        <v>0</v>
      </c>
      <c r="T8" s="19">
        <f>IF($G$2&lt;&gt;"Não se aplica",SUMIF(TUSD!$G$71:'TUSD'!$G$131,$I$2,TUSD!$BA$71:'TUSD'!$BA$131),IF($F$2&lt;&gt;"Não se aplica",SUMIF(TUSD!$F$71:'TUSD'!$F$131,$I$2,TUSD!$BA$71:'TUSD'!$BA$131),IF($E$2&lt;&gt;"Não se aplica",SUMIF(TUSD!$E$71:'TUSD'!$E$131,$I$2,TUSD!$BA$71:'TUSD'!$BA$131),IF($D$2&lt;&gt;"Não se aplica",SUMIF(TUSD!$D$71:'TUSD'!$D$131,$I$2,TUSD!$BA$71:'TUSD'!$BA$131),IF($C$2&lt;&gt;"Não se aplica",SUMIF(TUSD!$C$71:'TUSD'!$C$131,$I$2,TUSD!$BA$71:'TUSD'!$BA$131),IF($B$2&lt;&gt;"Não se aplica",SUMIF(TUSD!$B$71:'TUSD'!$B$131,$I$2,TUSD!$BA$71:'TUSD'!$BA$131),SUMIF(TUSD!$A$71:'TUSD'!$A$131,$I$2,TUSD!$BA$71:'TUSD'!$BA$131)))))))</f>
        <v>7961764.3836748246</v>
      </c>
      <c r="U8" s="19">
        <f>IF($G$2&lt;&gt;"Não se aplica",SUMIF(TUSD!$G$71:'TUSD'!$G$131,$I$2,TUSD!$BB$71:'TUSD'!$BB$131),IF($F$2&lt;&gt;"Não se aplica",SUMIF(TUSD!$F$71:'TUSD'!$F$131,$I$2,TUSD!$BB$71:'TUSD'!$BB$131),IF($E$2&lt;&gt;"Não se aplica",SUMIF(TUSD!$E$71:'TUSD'!$E$131,$I$2,TUSD!$BB$71:'TUSD'!$BB$131),IF($D$2&lt;&gt;"Não se aplica",SUMIF(TUSD!$D$71:'TUSD'!$D$131,$I$2,TUSD!$BB$71:'TUSD'!$BB$131),IF($C$2&lt;&gt;"Não se aplica",SUMIF(TUSD!$C$71:'TUSD'!$C$131,$I$2,TUSD!$BB$71:'TUSD'!$BB$131),IF($B$2&lt;&gt;"Não se aplica",SUMIF(TUSD!$B$71:'TUSD'!$B$131,$I$2,TUSD!$BB$71:'TUSD'!$BB$131),SUMIF(TUSD!$A$71:'TUSD'!$A$131,$I$2,TUSD!$BB$71:'TUSD'!$BB$131)))))))</f>
        <v>860171.79583439906</v>
      </c>
      <c r="V8" s="19">
        <f>IF($G$2&lt;&gt;"Não se aplica",SUMIF(TUSD!$G$71:'TUSD'!$G$131,$I$2,TUSD!$BC$71:'TUSD'!$BC$131),IF($F$2&lt;&gt;"Não se aplica",SUMIF(TUSD!$F$71:'TUSD'!$F$131,$I$2,TUSD!$BC$71:'TUSD'!$BC$131),IF($E$2&lt;&gt;"Não se aplica",SUMIF(TUSD!$E$71:'TUSD'!$E$131,$I$2,TUSD!$BC$71:'TUSD'!$BC$131),IF($D$2&lt;&gt;"Não se aplica",SUMIF(TUSD!$D$71:'TUSD'!$D$131,$I$2,TUSD!$BC$71:'TUSD'!$BC$131),IF($C$2&lt;&gt;"Não se aplica",SUMIF(TUSD!$C$71:'TUSD'!$C$131,$I$2,TUSD!$BC$71:'TUSD'!$BC$131),IF($B$2&lt;&gt;"Não se aplica",SUMIF(TUSD!$B$71:'TUSD'!$B$131,$I$2,TUSD!$BC$71:'TUSD'!$BC$131),SUMIF(TUSD!$A$71:'TUSD'!$A$131,$I$2,TUSD!$BC$71:'TUSD'!$BC$131)))))))</f>
        <v>2277419.6956898314</v>
      </c>
      <c r="W8" s="19">
        <f>IF($G$2&lt;&gt;"Não se aplica",SUMIF(TUSD!$G$71:'TUSD'!$G$131,$I$2,TUSD!$BD$71:'TUSD'!$BD$131),IF($F$2&lt;&gt;"Não se aplica",SUMIF(TUSD!$F$71:'TUSD'!$F$131,$I$2,TUSD!$BD$71:'TUSD'!$BD$131),IF($E$2&lt;&gt;"Não se aplica",SUMIF(TUSD!$E$71:'TUSD'!$E$131,$I$2,TUSD!$BD$71:'TUSD'!$BD$131),IF($D$2&lt;&gt;"Não se aplica",SUMIF(TUSD!$D$71:'TUSD'!$D$131,$I$2,TUSD!$BD$71:'TUSD'!$BD$131),IF($C$2&lt;&gt;"Não se aplica",SUMIF(TUSD!$C$71:'TUSD'!$C$131,$I$2,TUSD!$BD$71:'TUSD'!$BD$131),IF($B$2&lt;&gt;"Não se aplica",SUMIF(TUSD!$B$71:'TUSD'!$B$131,$I$2,TUSD!$BD$71:'TUSD'!$BD$131),SUMIF(TUSD!$A$71:'TUSD'!$A$131,$I$2,TUSD!$BD$71:'TUSD'!$BD$131)))))))</f>
        <v>0</v>
      </c>
      <c r="X8" s="19">
        <f t="shared" si="0"/>
        <v>111388667.75594994</v>
      </c>
      <c r="AB8" s="14" t="s">
        <v>115</v>
      </c>
      <c r="AD8" s="14" t="s">
        <v>117</v>
      </c>
      <c r="AG8" s="14" t="s">
        <v>113</v>
      </c>
    </row>
    <row r="9" spans="1:33" x14ac:dyDescent="0.2">
      <c r="A9" s="14" t="s">
        <v>1499</v>
      </c>
      <c r="B9" s="19">
        <f>IF($G$2&lt;&gt;"Não se aplica",SUMIF(TUSD!$G$71:'TUSD'!$G$131,$I$2,TUSD!$L$71:'TUSD'!$L$131),IF($F$2&lt;&gt;"Não se aplica",SUMIF(TUSD!$F$71:'TUSD'!$F$131,$I$2,TUSD!$L$71:'TUSD'!$L$131),IF($E$2&lt;&gt;"Não se aplica",SUMIF(TUSD!$E$71:'TUSD'!$E$131,$I$2,TUSD!$L$71:'TUSD'!$L$131),IF($D$2&lt;&gt;"Não se aplica",SUMIF(TUSD!$D$71:'TUSD'!$D$131,$I$2,TUSD!$L$71:'TUSD'!$L$131),IF($C$2&lt;&gt;"Não se aplica",SUMIF(TUSD!$C$71:'TUSD'!$C$131,$I$2,TUSD!$L$71:'TUSD'!$L$131),IF($B$2&lt;&gt;"Não se aplica",SUMIF(TUSD!$B$71:'TUSD'!$B$131,$I$2,TUSD!$L$71:'TUSD'!$L$131),SUMIF(TUSD!$A$71:'TUSD'!$A$131,$I$2,TUSD!$L$71:'TUSD'!$L$131)))))))</f>
        <v>1702279.9711561243</v>
      </c>
      <c r="C9" s="19">
        <f>IF($G$2&lt;&gt;"Não se aplica",SUMIF(TUSD!$G$71:'TUSD'!$G$131,$I$2,TUSD!$M$71:'TUSD'!$M$131),IF($F$2&lt;&gt;"Não se aplica",SUMIF(TUSD!$F$71:'TUSD'!$F$131,$I$2,TUSD!$M$71:'TUSD'!$M$131),IF($E$2&lt;&gt;"Não se aplica",SUMIF(TUSD!$E$71:'TUSD'!$E$131,$I$2,TUSD!$M$71:'TUSD'!$M$131),IF($D$2&lt;&gt;"Não se aplica",SUMIF(TUSD!$D$71:'TUSD'!$D$131,$I$2,TUSD!$M$71:'TUSD'!$M$131),IF($C$2&lt;&gt;"Não se aplica",SUMIF(TUSD!$C$71:'TUSD'!$C$131,$I$2,TUSD!$M$71:'TUSD'!$M$131),IF($B$2&lt;&gt;"Não se aplica",SUMIF(TUSD!$B$71:'TUSD'!$B$131,$I$2,TUSD!$M$71:'TUSD'!$M$131),SUMIF(TUSD!$A$71:'TUSD'!$A$131,$I$2,TUSD!$M$71:'TUSD'!$M$131)))))))</f>
        <v>225983.00841861224</v>
      </c>
      <c r="D9" s="19">
        <f ca="1">IF($G$2&lt;&gt;"Não se aplica",SUMIF(TUSD!$G$71:'TUSD'!$G$131,$I$2,TUSD!$N$71:'TUSD'!$N$131),IF($F$2&lt;&gt;"Não se aplica",SUMIF(TUSD!$F$71:'TUSD'!$F$131,$I$2,TUSD!$N$71:'TUSD'!$N$131),IF($E$2&lt;&gt;"Não se aplica",SUMIF(TUSD!$E$71:'TUSD'!$E$131,$I$2,TUSD!$N$71:'TUSD'!$N$131),IF($D$2&lt;&gt;"Não se aplica",SUMIF(TUSD!$D$71:'TUSD'!$D$131,$I$2,TUSD!$N$71:'TUSD'!$N$131),IF($C$2&lt;&gt;"Não se aplica",SUMIF(TUSD!$C$71:'TUSD'!$C$131,$I$2,TUSD!$N$71:'TUSD'!$N$131),IF($B$2&lt;&gt;"Não se aplica",SUMIF(TUSD!$B$71:'TUSD'!$B$131,$I$2,TUSD!$N$71:'TUSD'!$N$131),SUMIF(TUSD!$A$71:'TUSD'!$A$131,$I$2,TUSD!$N$71:'TUSD'!$N$131)))))))</f>
        <v>516711.85472378274</v>
      </c>
      <c r="E9" s="19">
        <f>IF($G$2&lt;&gt;"Não se aplica",SUMIF(TUSD!$G$71:'TUSD'!$G$131,$I$2,TUSD!$O$71:'TUSD'!$O$131),IF($F$2&lt;&gt;"Não se aplica",SUMIF(TUSD!$F$71:'TUSD'!$F$131,$I$2,TUSD!$O$71:'TUSD'!$O$131),IF($E$2&lt;&gt;"Não se aplica",SUMIF(TUSD!$E$71:'TUSD'!$E$131,$I$2,TUSD!$O$71:'TUSD'!$O$131),IF($D$2&lt;&gt;"Não se aplica",SUMIF(TUSD!$D$71:'TUSD'!$D$131,$I$2,TUSD!$O$71:'TUSD'!$O$131),IF($C$2&lt;&gt;"Não se aplica",SUMIF(TUSD!$C$71:'TUSD'!$C$131,$I$2,TUSD!$O$71:'TUSD'!$O$131),IF($B$2&lt;&gt;"Não se aplica",SUMIF(TUSD!$B$71:'TUSD'!$B$131,$I$2,TUSD!$O$71:'TUSD'!$O$131),SUMIF(TUSD!$A$71:'TUSD'!$A$131,$I$2,TUSD!$O$71:'TUSD'!$O$131)))))))</f>
        <v>28793.094161646957</v>
      </c>
      <c r="F9" s="19">
        <f>IF($G$2&lt;&gt;"Não se aplica",SUMIF(TUSD!$G$71:'TUSD'!$G$131,$I$2,TUSD!$P$71:'TUSD'!$P$131),IF($F$2&lt;&gt;"Não se aplica",SUMIF(TUSD!$F$71:'TUSD'!$F$131,$I$2,TUSD!$P$71:'TUSD'!$P$131),IF($E$2&lt;&gt;"Não se aplica",SUMIF(TUSD!$E$71:'TUSD'!$E$131,$I$2,TUSD!$P$71:'TUSD'!$P$131),IF($D$2&lt;&gt;"Não se aplica",SUMIF(TUSD!$D$71:'TUSD'!$D$131,$I$2,TUSD!$P$71:'TUSD'!$P$131),IF($C$2&lt;&gt;"Não se aplica",SUMIF(TUSD!$C$71:'TUSD'!$C$131,$I$2,TUSD!$P$71:'TUSD'!$P$131),IF($B$2&lt;&gt;"Não se aplica",SUMIF(TUSD!$B$71:'TUSD'!$B$131,$I$2,TUSD!$P$71:'TUSD'!$P$131),SUMIF(TUSD!$A$71:'TUSD'!$A$131,$I$2,TUSD!$P$71:'TUSD'!$P$131)))))))</f>
        <v>0</v>
      </c>
      <c r="G9" s="19">
        <f>IF($G$2&lt;&gt;"Não se aplica",SUMIF(TUSD!$G$71:'TUSD'!$G$131,$I$2,TUSD!$Q$71:'TUSD'!$Q$131),IF($F$2&lt;&gt;"Não se aplica",SUMIF(TUSD!$F$71:'TUSD'!$F$131,$I$2,TUSD!$Q$71:'TUSD'!$Q$131),IF($E$2&lt;&gt;"Não se aplica",SUMIF(TUSD!$E$71:'TUSD'!$E$131,$I$2,TUSD!$Q$71:'TUSD'!$Q$131),IF($D$2&lt;&gt;"Não se aplica",SUMIF(TUSD!$D$71:'TUSD'!$D$131,$I$2,TUSD!$Q$71:'TUSD'!$Q$131),IF($C$2&lt;&gt;"Não se aplica",SUMIF(TUSD!$C$71:'TUSD'!$C$131,$I$2,TUSD!$Q$71:'TUSD'!$Q$131),IF($B$2&lt;&gt;"Não se aplica",SUMIF(TUSD!$B$71:'TUSD'!$B$131,$I$2,TUSD!$Q$71:'TUSD'!$Q$131),SUMIF(TUSD!$A$71:'TUSD'!$A$131,$I$2,TUSD!$Q$71:'TUSD'!$Q$131)))))))</f>
        <v>18856629.745948579</v>
      </c>
      <c r="H9" s="19">
        <f>IF($G$2&lt;&gt;"Não se aplica",SUMIF(TUSD!$G$71:'TUSD'!$G$131,$I$2,TUSD!$R$71:'TUSD'!$R$131),IF($F$2&lt;&gt;"Não se aplica",SUMIF(TUSD!$F$71:'TUSD'!$F$131,$I$2,TUSD!$R$71:'TUSD'!$R$131),IF($E$2&lt;&gt;"Não se aplica",SUMIF(TUSD!$E$71:'TUSD'!$E$131,$I$2,TUSD!$R$71:'TUSD'!$R$131),IF($D$2&lt;&gt;"Não se aplica",SUMIF(TUSD!$D$71:'TUSD'!$D$131,$I$2,TUSD!$R$71:'TUSD'!$R$131),IF($C$2&lt;&gt;"Não se aplica",SUMIF(TUSD!$C$71:'TUSD'!$C$131,$I$2,TUSD!$R$71:'TUSD'!$R$131),IF($B$2&lt;&gt;"Não se aplica",SUMIF(TUSD!$B$71:'TUSD'!$B$131,$I$2,TUSD!$R$71:'TUSD'!$R$131),SUMIF(TUSD!$A$71:'TUSD'!$A$131,$I$2,TUSD!$R$71:'TUSD'!$R$131)))))))</f>
        <v>11631853.566197364</v>
      </c>
      <c r="I9" s="19">
        <f>IF($G$2&lt;&gt;"Não se aplica",SUMIF(TUSD!$G$71:'TUSD'!$G$131,$I$2,TUSD!$S$71:'TUSD'!$S$131),IF($F$2&lt;&gt;"Não se aplica",SUMIF(TUSD!$F$71:'TUSD'!$F$131,$I$2,TUSD!$S$71:'TUSD'!$S$131),IF($E$2&lt;&gt;"Não se aplica",SUMIF(TUSD!$E$71:'TUSD'!$E$131,$I$2,TUSD!$S$71:'TUSD'!$S$131),IF($D$2&lt;&gt;"Não se aplica",SUMIF(TUSD!$D$71:'TUSD'!$D$131,$I$2,TUSD!$S$71:'TUSD'!$S$131),IF($C$2&lt;&gt;"Não se aplica",SUMIF(TUSD!$C$71:'TUSD'!$C$131,$I$2,TUSD!$S$71:'TUSD'!$S$131),IF($B$2&lt;&gt;"Não se aplica",SUMIF(TUSD!$B$71:'TUSD'!$B$131,$I$2,TUSD!$S$71:'TUSD'!$S$131),SUMIF(TUSD!$A$71:'TUSD'!$A$131,$I$2,TUSD!$S$71:'TUSD'!$S$131)))))))</f>
        <v>0</v>
      </c>
      <c r="J9" s="19">
        <f>IF($G$2&lt;&gt;"Não se aplica",SUMIF(TUSD!$G$71:'TUSD'!$G$131,$I$2,TUSD!$T$71:'TUSD'!$T$131),IF($F$2&lt;&gt;"Não se aplica",SUMIF(TUSD!$F$71:'TUSD'!$F$131,$I$2,TUSD!$T$71:'TUSD'!$T$131),IF($E$2&lt;&gt;"Não se aplica",SUMIF(TUSD!$E$71:'TUSD'!$E$131,$I$2,TUSD!$T$71:'TUSD'!$T$131),IF($D$2&lt;&gt;"Não se aplica",SUMIF(TUSD!$D$71:'TUSD'!$D$131,$I$2,TUSD!$T$71:'TUSD'!$T$131),IF($C$2&lt;&gt;"Não se aplica",SUMIF(TUSD!$C$71:'TUSD'!$C$131,$I$2,TUSD!$T$71:'TUSD'!$T$131),IF($B$2&lt;&gt;"Não se aplica",SUMIF(TUSD!$B$71:'TUSD'!$B$131,$I$2,TUSD!$T$71:'TUSD'!$T$131),SUMIF(TUSD!$A$71:'TUSD'!$A$131,$I$2,TUSD!$T$71:'TUSD'!$T$131)))))))</f>
        <v>25184865.829731777</v>
      </c>
      <c r="K9" s="19">
        <f>IF($G$2&lt;&gt;"Não se aplica",SUMIF(TUSD!$G$71:'TUSD'!$G$131,$I$2,TUSD!$U$71:'TUSD'!$U$131),IF($F$2&lt;&gt;"Não se aplica",SUMIF(TUSD!$F$71:'TUSD'!$F$131,$I$2,TUSD!$U$71:'TUSD'!$U$131),IF($E$2&lt;&gt;"Não se aplica",SUMIF(TUSD!$E$71:'TUSD'!$E$131,$I$2,TUSD!$U$71:'TUSD'!$U$131),IF($D$2&lt;&gt;"Não se aplica",SUMIF(TUSD!$D$71:'TUSD'!$D$131,$I$2,TUSD!$U$71:'TUSD'!$U$131),IF($C$2&lt;&gt;"Não se aplica",SUMIF(TUSD!$C$71:'TUSD'!$C$131,$I$2,TUSD!$U$71:'TUSD'!$U$131),IF($B$2&lt;&gt;"Não se aplica",SUMIF(TUSD!$B$71:'TUSD'!$B$131,$I$2,TUSD!$U$71:'TUSD'!$U$131),SUMIF(TUSD!$A$71:'TUSD'!$A$131,$I$2,TUSD!$U$71:'TUSD'!$U$131)))))))</f>
        <v>7766034.8442516048</v>
      </c>
      <c r="L9" s="19">
        <f>IF($G$2&lt;&gt;"Não se aplica",SUMIF(TUSD!$G$71:'TUSD'!$G$131,$I$2,TUSD!$V$71:'TUSD'!$V$131),IF($F$2&lt;&gt;"Não se aplica",SUMIF(TUSD!$F$71:'TUSD'!$F$131,$I$2,TUSD!$V$71:'TUSD'!$V$131),IF($E$2&lt;&gt;"Não se aplica",SUMIF(TUSD!$E$71:'TUSD'!$E$131,$I$2,TUSD!$V$71:'TUSD'!$V$131),IF($D$2&lt;&gt;"Não se aplica",SUMIF(TUSD!$D$71:'TUSD'!$D$131,$I$2,TUSD!$V$71:'TUSD'!$V$131),IF($C$2&lt;&gt;"Não se aplica",SUMIF(TUSD!$C$71:'TUSD'!$C$131,$I$2,TUSD!$V$71:'TUSD'!$V$131),IF($B$2&lt;&gt;"Não se aplica",SUMIF(TUSD!$B$71:'TUSD'!$B$131,$I$2,TUSD!$V$71:'TUSD'!$V$131),SUMIF(TUSD!$A$71:'TUSD'!$A$131,$I$2,TUSD!$V$71:'TUSD'!$V$131)))))))</f>
        <v>1782939.9026986226</v>
      </c>
      <c r="M9" s="19">
        <f>IF($G$2&lt;&gt;"Não se aplica",SUMIF(TUSD!$G$71:'TUSD'!$G$131,$I$2,TUSD!$W$71:'TUSD'!$W$131),IF($F$2&lt;&gt;"Não se aplica",SUMIF(TUSD!$F$71:'TUSD'!$F$131,$I$2,TUSD!$W$71:'TUSD'!$W$131),IF($E$2&lt;&gt;"Não se aplica",SUMIF(TUSD!$E$71:'TUSD'!$E$131,$I$2,TUSD!$W$71:'TUSD'!$W$131),IF($D$2&lt;&gt;"Não se aplica",SUMIF(TUSD!$D$71:'TUSD'!$D$131,$I$2,TUSD!$W$71:'TUSD'!$W$131),IF($C$2&lt;&gt;"Não se aplica",SUMIF(TUSD!$C$71:'TUSD'!$C$131,$I$2,TUSD!$W$71:'TUSD'!$W$131),IF($B$2&lt;&gt;"Não se aplica",SUMIF(TUSD!$B$71:'TUSD'!$B$131,$I$2,TUSD!$W$71:'TUSD'!$W$131),SUMIF(TUSD!$A$71:'TUSD'!$A$131,$I$2,TUSD!$W$71:'TUSD'!$W$131)))))))</f>
        <v>69441.70273751393</v>
      </c>
      <c r="N9" s="19">
        <f>IF($G$2&lt;&gt;"Não se aplica",SUMIF(TUSD!$G$71:'TUSD'!$G$131,$I$2,TUSD!$X$71:'TUSD'!$X$131),IF($F$2&lt;&gt;"Não se aplica",SUMIF(TUSD!$F$71:'TUSD'!$F$131,$I$2,TUSD!$X$71:'TUSD'!$X$131),IF($E$2&lt;&gt;"Não se aplica",SUMIF(TUSD!$E$71:'TUSD'!$E$131,$I$2,TUSD!$X$71:'TUSD'!$X$131),IF($D$2&lt;&gt;"Não se aplica",SUMIF(TUSD!$D$71:'TUSD'!$D$131,$I$2,TUSD!$X$71:'TUSD'!$X$131),IF($C$2&lt;&gt;"Não se aplica",SUMIF(TUSD!$C$71:'TUSD'!$C$131,$I$2,TUSD!$X$71:'TUSD'!$X$131),IF($B$2&lt;&gt;"Não se aplica",SUMIF(TUSD!$B$71:'TUSD'!$B$131,$I$2,TUSD!$X$71:'TUSD'!$X$131),SUMIF(TUSD!$A$71:'TUSD'!$A$131,$I$2,TUSD!$X$71:'TUSD'!$X$131)))))))</f>
        <v>3579573.6377422279</v>
      </c>
      <c r="O9" s="19">
        <f>IF($G$2&lt;&gt;"Não se aplica",SUMIF(TUSD!$G$71:'TUSD'!$G$131,$I$2,TUSD!$Y$71:'TUSD'!$Y$131),IF($F$2&lt;&gt;"Não se aplica",SUMIF(TUSD!$F$71:'TUSD'!$F$131,$I$2,TUSD!$Y$71:'TUSD'!$Y$131),IF($E$2&lt;&gt;"Não se aplica",SUMIF(TUSD!$E$71:'TUSD'!$E$131,$I$2,TUSD!$Y$71:'TUSD'!$Y$131),IF($D$2&lt;&gt;"Não se aplica",SUMIF(TUSD!$D$71:'TUSD'!$D$131,$I$2,TUSD!$Y$71:'TUSD'!$Y$131),IF($C$2&lt;&gt;"Não se aplica",SUMIF(TUSD!$C$71:'TUSD'!$C$131,$I$2,TUSD!$Y$71:'TUSD'!$Y$131),IF($B$2&lt;&gt;"Não se aplica",SUMIF(TUSD!$B$71:'TUSD'!$B$131,$I$2,TUSD!$Y$71:'TUSD'!$Y$131),SUMIF(TUSD!$A$71:'TUSD'!$A$131,$I$2,TUSD!$Y$71:'TUSD'!$Y$131)))))))</f>
        <v>0</v>
      </c>
      <c r="P9" s="19">
        <f>IF($G$2&lt;&gt;"Não se aplica",SUMIF(TUSD!$G$71:'TUSD'!$G$131,$I$2,TUSD!$Z$71:'TUSD'!$Z$131),IF($F$2&lt;&gt;"Não se aplica",SUMIF(TUSD!$F$71:'TUSD'!$F$131,$I$2,TUSD!$Z$71:'TUSD'!$Z$131),IF($E$2&lt;&gt;"Não se aplica",SUMIF(TUSD!$E$71:'TUSD'!$E$131,$I$2,TUSD!$Z$71:'TUSD'!$Z$131),IF($D$2&lt;&gt;"Não se aplica",SUMIF(TUSD!$D$71:'TUSD'!$D$131,$I$2,TUSD!$Z$71:'TUSD'!$Z$131),IF($C$2&lt;&gt;"Não se aplica",SUMIF(TUSD!$C$71:'TUSD'!$C$131,$I$2,TUSD!$Z$71:'TUSD'!$Z$131),IF($B$2&lt;&gt;"Não se aplica",SUMIF(TUSD!$B$71:'TUSD'!$B$131,$I$2,TUSD!$Z$71:'TUSD'!$Z$131),SUMIF(TUSD!$A$71:'TUSD'!$A$131,$I$2,TUSD!$Z$71:'TUSD'!$Z$131)))))))</f>
        <v>0</v>
      </c>
      <c r="Q9" s="19">
        <f>IF($G$2&lt;&gt;"Não se aplica",SUMIF(TUSD!$G$71:'TUSD'!$G$131,$I$2,TUSD!$AA$71:'TUSD'!$AA$131),IF($F$2&lt;&gt;"Não se aplica",SUMIF(TUSD!$F$71:'TUSD'!$F$131,$I$2,TUSD!$AA$71:'TUSD'!$AA$131),IF($E$2&lt;&gt;"Não se aplica",SUMIF(TUSD!$E$71:'TUSD'!$E$131,$I$2,TUSD!$AA$71:'TUSD'!$AA$131),IF($D$2&lt;&gt;"Não se aplica",SUMIF(TUSD!$D$71:'TUSD'!$D$131,$I$2,TUSD!$AA$71:'TUSD'!$AA$131),IF($C$2&lt;&gt;"Não se aplica",SUMIF(TUSD!$C$71:'TUSD'!$C$131,$I$2,TUSD!$AA$71:'TUSD'!$AA$131),IF($B$2&lt;&gt;"Não se aplica",SUMIF(TUSD!$B$71:'TUSD'!$B$131,$I$2,TUSD!$AA$71:'TUSD'!$AA$131),SUMIF(TUSD!$A$71:'TUSD'!$A$131,$I$2,TUSD!$AA$71:'TUSD'!$AA$131)))))))</f>
        <v>48682162.97087878</v>
      </c>
      <c r="R9" s="19">
        <f ca="1">IF($G$2&lt;&gt;"Não se aplica",SUMIF(TUSD!$G$71:'TUSD'!$G$131,$I$2,TUSD!$AB$71:'TUSD'!$AB$131),IF($F$2&lt;&gt;"Não se aplica",SUMIF(TUSD!$F$71:'TUSD'!$F$131,$I$2,TUSD!$AB$71:'TUSD'!$AB$131),IF($E$2&lt;&gt;"Não se aplica",SUMIF(TUSD!$E$71:'TUSD'!$E$131,$I$2,TUSD!$AB$71:'TUSD'!$AB$131),IF($D$2&lt;&gt;"Não se aplica",SUMIF(TUSD!$D$71:'TUSD'!$D$131,$I$2,TUSD!$AB$71:'TUSD'!$AB$131),IF($C$2&lt;&gt;"Não se aplica",SUMIF(TUSD!$C$71:'TUSD'!$C$131,$I$2,TUSD!$AB$71:'TUSD'!$AB$131),IF($B$2&lt;&gt;"Não se aplica",SUMIF(TUSD!$B$71:'TUSD'!$B$131,$I$2,TUSD!$AB$71:'TUSD'!$AB$131),SUMIF(TUSD!$A$71:'TUSD'!$A$131,$I$2,TUSD!$AB$71:'TUSD'!$AB$131)))))))</f>
        <v>-10098603.505727362</v>
      </c>
      <c r="S9" s="19">
        <f ca="1">IF($G$2&lt;&gt;"Não se aplica",SUMIF(TUSD!$G$71:'TUSD'!$G$131,$I$2,TUSD!$AC$71:'TUSD'!$AC$131),IF($F$2&lt;&gt;"Não se aplica",SUMIF(TUSD!$F$71:'TUSD'!$F$131,$I$2,TUSD!$AC$71:'TUSD'!$AC$131),IF($E$2&lt;&gt;"Não se aplica",SUMIF(TUSD!$E$71:'TUSD'!$E$131,$I$2,TUSD!$AC$71:'TUSD'!$AC$131),IF($D$2&lt;&gt;"Não se aplica",SUMIF(TUSD!$D$71:'TUSD'!$D$131,$I$2,TUSD!$AC$71:'TUSD'!$AC$131),IF($C$2&lt;&gt;"Não se aplica",SUMIF(TUSD!$C$71:'TUSD'!$C$131,$I$2,TUSD!$AC$71:'TUSD'!$AC$131),IF($B$2&lt;&gt;"Não se aplica",SUMIF(TUSD!$B$71:'TUSD'!$B$131,$I$2,TUSD!$AC$71:'TUSD'!$AC$131),SUMIF(TUSD!$A$71:'TUSD'!$A$131,$I$2,TUSD!$AC$71:'TUSD'!$AC$131)))))))</f>
        <v>0</v>
      </c>
      <c r="T9" s="19">
        <f>IF($G$2&lt;&gt;"Não se aplica",SUMIF(TUSD!$G$71:'TUSD'!$G$131,$I$2,TUSD!$AD$71:'TUSD'!$AD$131),IF($F$2&lt;&gt;"Não se aplica",SUMIF(TUSD!$F$71:'TUSD'!$F$131,$I$2,TUSD!$AD$71:'TUSD'!$AD$131),IF($E$2&lt;&gt;"Não se aplica",SUMIF(TUSD!$E$71:'TUSD'!$E$131,$I$2,TUSD!$AD$71:'TUSD'!$AD$131),IF($D$2&lt;&gt;"Não se aplica",SUMIF(TUSD!$D$71:'TUSD'!$D$131,$I$2,TUSD!$AD$71:'TUSD'!$AD$131),IF($C$2&lt;&gt;"Não se aplica",SUMIF(TUSD!$C$71:'TUSD'!$C$131,$I$2,TUSD!$AD$71:'TUSD'!$AD$131),IF($B$2&lt;&gt;"Não se aplica",SUMIF(TUSD!$B$71:'TUSD'!$B$131,$I$2,TUSD!$AD$71:'TUSD'!$AD$131),SUMIF(TUSD!$A$71:'TUSD'!$A$131,$I$2,TUSD!$AD$71:'TUSD'!$AD$131)))))))</f>
        <v>7306094.7838933058</v>
      </c>
      <c r="U9" s="19">
        <f>IF($G$2&lt;&gt;"Não se aplica",SUMIF(TUSD!$G$71:'TUSD'!$G$131,$I$2,TUSD!$AE$71:'TUSD'!$AE$131),IF($F$2&lt;&gt;"Não se aplica",SUMIF(TUSD!$F$71:'TUSD'!$F$131,$I$2,TUSD!$AE$71:'TUSD'!$AE$131),IF($E$2&lt;&gt;"Não se aplica",SUMIF(TUSD!$E$71:'TUSD'!$E$131,$I$2,TUSD!$AE$71:'TUSD'!$AE$131),IF($D$2&lt;&gt;"Não se aplica",SUMIF(TUSD!$D$71:'TUSD'!$D$131,$I$2,TUSD!$AE$71:'TUSD'!$AE$131),IF($C$2&lt;&gt;"Não se aplica",SUMIF(TUSD!$C$71:'TUSD'!$C$131,$I$2,TUSD!$AE$71:'TUSD'!$AE$131),IF($B$2&lt;&gt;"Não se aplica",SUMIF(TUSD!$B$71:'TUSD'!$B$131,$I$2,TUSD!$AE$71:'TUSD'!$AE$131),SUMIF(TUSD!$A$71:'TUSD'!$A$131,$I$2,TUSD!$AE$71:'TUSD'!$AE$131)))))))</f>
        <v>823340.30323632108</v>
      </c>
      <c r="V9" s="19">
        <f ca="1">IF($G$2&lt;&gt;"Não se aplica",SUMIF(TUSD!$G$71:'TUSD'!$G$131,$I$2,TUSD!$AF$71:'TUSD'!$AF$131),IF($F$2&lt;&gt;"Não se aplica",SUMIF(TUSD!$F$71:'TUSD'!$F$131,$I$2,TUSD!$AF$71:'TUSD'!$AF$131),IF($E$2&lt;&gt;"Não se aplica",SUMIF(TUSD!$E$71:'TUSD'!$E$131,$I$2,TUSD!$AF$71:'TUSD'!$AF$131),IF($D$2&lt;&gt;"Não se aplica",SUMIF(TUSD!$D$71:'TUSD'!$D$131,$I$2,TUSD!$AF$71:'TUSD'!$AF$131),IF($C$2&lt;&gt;"Não se aplica",SUMIF(TUSD!$C$71:'TUSD'!$C$131,$I$2,TUSD!$AF$71:'TUSD'!$AF$131),IF($B$2&lt;&gt;"Não se aplica",SUMIF(TUSD!$B$71:'TUSD'!$B$131,$I$2,TUSD!$AF$71:'TUSD'!$AF$131),SUMIF(TUSD!$A$71:'TUSD'!$A$131,$I$2,TUSD!$AF$71:'TUSD'!$AF$131)))))))</f>
        <v>2116543.6701762779</v>
      </c>
      <c r="W9" s="19">
        <f ca="1">IF($G$2&lt;&gt;"Não se aplica",SUMIF(TUSD!$G$71:'TUSD'!$G$131,$I$2,TUSD!$AG$71:'TUSD'!$AG$131),IF($F$2&lt;&gt;"Não se aplica",SUMIF(TUSD!$F$71:'TUSD'!$F$131,$I$2,TUSD!$AG$71:'TUSD'!$AG$131),IF($E$2&lt;&gt;"Não se aplica",SUMIF(TUSD!$E$71:'TUSD'!$E$131,$I$2,TUSD!$AG$71:'TUSD'!$AG$131),IF($D$2&lt;&gt;"Não se aplica",SUMIF(TUSD!$D$71:'TUSD'!$D$131,$I$2,TUSD!$AG$71:'TUSD'!$AG$131),IF($C$2&lt;&gt;"Não se aplica",SUMIF(TUSD!$C$71:'TUSD'!$C$131,$I$2,TUSD!$AG$71:'TUSD'!$AG$131),IF($B$2&lt;&gt;"Não se aplica",SUMIF(TUSD!$B$71:'TUSD'!$B$131,$I$2,TUSD!$AG$71:'TUSD'!$AG$131),SUMIF(TUSD!$A$71:'TUSD'!$A$131,$I$2,TUSD!$AG$71:'TUSD'!$AG$131)))))))</f>
        <v>0</v>
      </c>
      <c r="X9" s="19">
        <f t="shared" ca="1" si="0"/>
        <v>120174645.38022517</v>
      </c>
      <c r="AD9" s="14" t="s">
        <v>49</v>
      </c>
    </row>
    <row r="10" spans="1:33" x14ac:dyDescent="0.2">
      <c r="A10" s="14" t="s">
        <v>1496</v>
      </c>
      <c r="B10" s="19">
        <f>SUMIF(TUSD!$A$71:'TUSD'!$A$131,$A$2,TUSD!$AI$71:'TUSD'!$AI$131)</f>
        <v>1738937.4818970012</v>
      </c>
      <c r="C10" s="19">
        <f>SUMIF(TUSD!$A$71:'TUSD'!$A$131,$A$2,TUSD!$AJ$71:'TUSD'!$AJ$131)</f>
        <v>201707.47480912402</v>
      </c>
      <c r="D10" s="19">
        <f>SUMIF(TUSD!$A$71:'TUSD'!$A$131,$A$2,TUSD!$AK$71:'TUSD'!$AK$131)</f>
        <v>485847.19151930214</v>
      </c>
      <c r="E10" s="19">
        <f>SUMIF(TUSD!$A$71:'TUSD'!$A$131,$A$2,TUSD!$AL$71:'TUSD'!$AL$131)</f>
        <v>26905.599106376962</v>
      </c>
      <c r="F10" s="19">
        <f>SUMIF(TUSD!$A$71:'TUSD'!$A$131,$A$2,TUSD!$AM$71:'TUSD'!$AM$131)</f>
        <v>0</v>
      </c>
      <c r="G10" s="19">
        <f>SUMIF(TUSD!$A$71:'TUSD'!$A$131,$A$2,TUSD!$AN$71:'TUSD'!$AN$131)</f>
        <v>12036347.868142808</v>
      </c>
      <c r="H10" s="19">
        <f>SUMIF(TUSD!$A$71:'TUSD'!$A$131,$A$2,TUSD!$AO$71:'TUSD'!$AO$131)</f>
        <v>6499235.6719823601</v>
      </c>
      <c r="I10" s="19">
        <f>SUMIF(TUSD!$A$71:'TUSD'!$A$131,$A$2,TUSD!$AP$71:'TUSD'!$AP$131)</f>
        <v>0</v>
      </c>
      <c r="J10" s="19">
        <f>SUMIF(TUSD!$A$71:'TUSD'!$A$131,$A$2,TUSD!$AQ$71:'TUSD'!$AQ$131)</f>
        <v>20933208.328546282</v>
      </c>
      <c r="K10" s="19">
        <f>SUMIF(TUSD!$A$71:'TUSD'!$A$131,$A$2,TUSD!$AR$71:'TUSD'!$AR$131)</f>
        <v>8937499.2426456865</v>
      </c>
      <c r="L10" s="19">
        <f>SUMIF(TUSD!$A$71:'TUSD'!$A$131,$A$2,TUSD!$AS$71:'TUSD'!$AS$131)</f>
        <v>2511097.0003299774</v>
      </c>
      <c r="M10" s="19">
        <f>SUMIF(TUSD!$A$71:'TUSD'!$A$131,$A$2,TUSD!$AT$71:'TUSD'!$AT$131)</f>
        <v>0</v>
      </c>
      <c r="N10" s="19">
        <f>SUMIF(TUSD!$A$71:'TUSD'!$A$131,$A$2,TUSD!$AU$71:'TUSD'!$AU$131)</f>
        <v>3700962.3636397105</v>
      </c>
      <c r="O10" s="19">
        <f>SUMIF(TUSD!$A$71:'TUSD'!$A$131,$A$2,TUSD!$AV$71:'TUSD'!$AV$131)</f>
        <v>0</v>
      </c>
      <c r="P10" s="19">
        <f>SUMIF(TUSD!$A$71:'TUSD'!$A$131,$A$2,TUSD!$AW$71:'TUSD'!$AW$131)</f>
        <v>0</v>
      </c>
      <c r="Q10" s="19">
        <f>SUMIF(TUSD!$A$71:'TUSD'!$A$131,$A$2,TUSD!$AX$71:'TUSD'!$AX$131)</f>
        <v>44197146.872614086</v>
      </c>
      <c r="R10" s="19">
        <f>SUMIF(TUSD!$A$71:'TUSD'!$A$131,$A$2,TUSD!$AY$71:'TUSD'!$AY$131)</f>
        <v>-979583.21448183036</v>
      </c>
      <c r="S10" s="19">
        <f>SUMIF(TUSD!$A$71:'TUSD'!$A$131,$A$2,TUSD!$AZ$71:'TUSD'!$AZ$131)</f>
        <v>0</v>
      </c>
      <c r="T10" s="19">
        <f>SUMIF(TUSD!$A$71:'TUSD'!$A$131,$A$2,TUSD!$BA$71:'TUSD'!$BA$131)</f>
        <v>7961764.3836748246</v>
      </c>
      <c r="U10" s="19">
        <f>SUMIF(TUSD!$A$71:'TUSD'!$A$131,$A$2,TUSD!$BB$71:'TUSD'!$BB$131)</f>
        <v>860171.79583439906</v>
      </c>
      <c r="V10" s="19">
        <f>SUMIF(TUSD!$A$71:'TUSD'!$A$131,$A$2,TUSD!$BC$71:'TUSD'!$BC$131)</f>
        <v>2277419.6956898314</v>
      </c>
      <c r="W10" s="19">
        <f>SUMIF(TUSD!$A$71:'TUSD'!$A$131,$A$2,TUSD!$BD$71:'TUSD'!$BD$131)</f>
        <v>0</v>
      </c>
      <c r="X10" s="19">
        <f t="shared" si="0"/>
        <v>111388667.75594994</v>
      </c>
      <c r="AD10" s="14" t="s">
        <v>118</v>
      </c>
    </row>
    <row r="11" spans="1:33" x14ac:dyDescent="0.2">
      <c r="A11" s="14" t="s">
        <v>1497</v>
      </c>
      <c r="B11" s="19">
        <f>SUMIF(TUSD!$A$71:'TUSD'!$A$131,$A$2,TUSD!$L$71:'TUSD'!$L$131)</f>
        <v>1702279.9711561243</v>
      </c>
      <c r="C11" s="19">
        <f>SUMIF(TUSD!$A$71:'TUSD'!$A$131,$A$2,TUSD!$M$71:'TUSD'!$M$131)</f>
        <v>225983.00841861224</v>
      </c>
      <c r="D11" s="19">
        <f ca="1">SUMIF(TUSD!$A$71:'TUSD'!$A$131,$A$2,TUSD!$N$71:'TUSD'!$N$131)</f>
        <v>516711.85472378274</v>
      </c>
      <c r="E11" s="19">
        <f>SUMIF(TUSD!$A$71:'TUSD'!$A$131,$A$2,TUSD!$O$71:'TUSD'!$O$131)</f>
        <v>28793.094161646957</v>
      </c>
      <c r="F11" s="19">
        <f>SUMIF(TUSD!$A$71:'TUSD'!$A$131,$A$2,TUSD!$P$71:'TUSD'!$P$131)</f>
        <v>0</v>
      </c>
      <c r="G11" s="19">
        <f>SUMIF(TUSD!$A$71:'TUSD'!$A$131,$A$2,TUSD!$Q$71:'TUSD'!$Q$131)</f>
        <v>18856629.745948579</v>
      </c>
      <c r="H11" s="19">
        <f>SUMIF(TUSD!$A$71:'TUSD'!$A$131,$A$2,TUSD!$R$71:'TUSD'!$R$131)</f>
        <v>11631853.566197364</v>
      </c>
      <c r="I11" s="19">
        <f>SUMIF(TUSD!$A$71:'TUSD'!$A$131,$A$2,TUSD!$S$71:'TUSD'!$S$131)</f>
        <v>0</v>
      </c>
      <c r="J11" s="19">
        <f>SUMIF(TUSD!$A$71:'TUSD'!$A$131,$A$2,TUSD!$T$71:'TUSD'!$T$131)</f>
        <v>25184865.829731777</v>
      </c>
      <c r="K11" s="19">
        <f>SUMIF(TUSD!$A$71:'TUSD'!$A$131,$A$2,TUSD!$U$71:'TUSD'!$U$131)</f>
        <v>7766034.8442516048</v>
      </c>
      <c r="L11" s="19">
        <f>SUMIF(TUSD!$A$71:'TUSD'!$A$131,$A$2,TUSD!$V$71:'TUSD'!$V$131)</f>
        <v>1782939.9026986226</v>
      </c>
      <c r="M11" s="19">
        <f>SUMIF(TUSD!$A$71:'TUSD'!$A$131,$A$2,TUSD!$W$71:'TUSD'!$W$131)</f>
        <v>69441.70273751393</v>
      </c>
      <c r="N11" s="19">
        <f>SUMIF(TUSD!$A$71:'TUSD'!$A$131,$A$2,TUSD!$X$71:'TUSD'!$X$131)</f>
        <v>3579573.6377422279</v>
      </c>
      <c r="O11" s="19">
        <f>SUMIF(TUSD!$A$71:'TUSD'!$A$131,$A$2,TUSD!$Y$71:'TUSD'!$Y$131)</f>
        <v>0</v>
      </c>
      <c r="P11" s="19">
        <f>SUMIF(TUSD!$A$71:'TUSD'!$A$131,$A$2,TUSD!$Z$71:'TUSD'!$Z$131)</f>
        <v>0</v>
      </c>
      <c r="Q11" s="19">
        <f>SUMIF(TUSD!$A$71:'TUSD'!$A$131,$A$2,TUSD!$AA$71:'TUSD'!$AA$131)</f>
        <v>48682162.97087878</v>
      </c>
      <c r="R11" s="19">
        <f ca="1">SUMIF(TUSD!$A$71:'TUSD'!$A$131,$A$2,TUSD!$AB$71:'TUSD'!$AB$131)</f>
        <v>-10098603.505727362</v>
      </c>
      <c r="S11" s="19">
        <f ca="1">SUMIF(TUSD!$A$71:'TUSD'!$A$131,$A$2,TUSD!$AC$71:'TUSD'!$AC$131)</f>
        <v>0</v>
      </c>
      <c r="T11" s="19">
        <f>SUMIF(TUSD!$A$71:'TUSD'!$A$131,$A$2,TUSD!$AD$71:'TUSD'!$AD$131)</f>
        <v>7306094.7838933058</v>
      </c>
      <c r="U11" s="19">
        <f>SUMIF(TUSD!$A$71:'TUSD'!$A$131,$A$2,TUSD!$AE$71:'TUSD'!$AE$131)</f>
        <v>823340.30323632108</v>
      </c>
      <c r="V11" s="19">
        <f ca="1">SUMIF(TUSD!$A$71:'TUSD'!$A$131,$A$2,TUSD!$AF$71:'TUSD'!$AF$131)</f>
        <v>2116543.6701762779</v>
      </c>
      <c r="W11" s="19">
        <f ca="1">SUMIF(TUSD!$A$71:'TUSD'!$A$131,$A$2,TUSD!$AG$71:'TUSD'!$AG$131)</f>
        <v>0</v>
      </c>
      <c r="X11" s="19">
        <f t="shared" ca="1" si="0"/>
        <v>120174645.38022517</v>
      </c>
    </row>
    <row r="13" spans="1:33" x14ac:dyDescent="0.2">
      <c r="A13" s="14" t="s">
        <v>1501</v>
      </c>
      <c r="B13" s="33">
        <f t="shared" ref="B13:X13" si="1">IF($X$6&lt;&gt;0,(B$7-B$6)/$X$6,0)</f>
        <v>5.1020374495064802E-4</v>
      </c>
      <c r="C13" s="33">
        <f t="shared" si="1"/>
        <v>2.915423484282699E-4</v>
      </c>
      <c r="D13" s="33">
        <f t="shared" ca="1" si="1"/>
        <v>-3.2341065030226971E-4</v>
      </c>
      <c r="E13" s="33">
        <f t="shared" si="1"/>
        <v>2.0315799566626554E-6</v>
      </c>
      <c r="F13" s="33">
        <f t="shared" si="1"/>
        <v>0</v>
      </c>
      <c r="G13" s="33">
        <f t="shared" si="1"/>
        <v>5.2312601023160675E-2</v>
      </c>
      <c r="H13" s="33">
        <f t="shared" si="1"/>
        <v>2.4412466338520934E-2</v>
      </c>
      <c r="I13" s="33">
        <f t="shared" si="1"/>
        <v>0</v>
      </c>
      <c r="J13" s="33">
        <f t="shared" si="1"/>
        <v>2.0407510210036419E-2</v>
      </c>
      <c r="K13" s="33">
        <f t="shared" si="1"/>
        <v>-5.3899108175786328E-3</v>
      </c>
      <c r="L13" s="33">
        <f t="shared" si="1"/>
        <v>-3.6079049387081649E-3</v>
      </c>
      <c r="M13" s="33">
        <f t="shared" si="1"/>
        <v>3.2664312530519531E-4</v>
      </c>
      <c r="N13" s="33">
        <f t="shared" si="1"/>
        <v>-9.4095660911506173E-4</v>
      </c>
      <c r="O13" s="33">
        <f t="shared" si="1"/>
        <v>0</v>
      </c>
      <c r="P13" s="33">
        <f t="shared" si="1"/>
        <v>0</v>
      </c>
      <c r="Q13" s="33">
        <f t="shared" si="1"/>
        <v>6.0999234035447533E-2</v>
      </c>
      <c r="R13" s="33">
        <f t="shared" ca="1" si="1"/>
        <v>-9.0377425196514025E-2</v>
      </c>
      <c r="S13" s="33">
        <f t="shared" ca="1" si="1"/>
        <v>0</v>
      </c>
      <c r="T13" s="33">
        <f t="shared" si="1"/>
        <v>-7.4654699076205184E-3</v>
      </c>
      <c r="U13" s="33">
        <f t="shared" si="1"/>
        <v>1.9209111307739047E-4</v>
      </c>
      <c r="V13" s="33">
        <f t="shared" ca="1" si="1"/>
        <v>-3.0014367765878159E-3</v>
      </c>
      <c r="W13" s="33">
        <f t="shared" ca="1" si="1"/>
        <v>0</v>
      </c>
      <c r="X13" s="33">
        <f t="shared" ca="1" si="1"/>
        <v>4.8347808622457356E-2</v>
      </c>
    </row>
    <row r="14" spans="1:33" x14ac:dyDescent="0.2">
      <c r="A14" s="14" t="s">
        <v>1502</v>
      </c>
      <c r="B14" s="33">
        <f t="shared" ref="B14:X14" si="2">IF($X$10&lt;&gt;0,(B$9-B$8)/$X$10,0)</f>
        <v>-3.290955128504874E-4</v>
      </c>
      <c r="C14" s="33">
        <f t="shared" si="2"/>
        <v>2.1793539772533565E-4</v>
      </c>
      <c r="D14" s="33">
        <f t="shared" ca="1" si="2"/>
        <v>2.7708979581391873E-4</v>
      </c>
      <c r="E14" s="33">
        <f t="shared" si="2"/>
        <v>1.694512640554652E-5</v>
      </c>
      <c r="F14" s="33">
        <f t="shared" si="2"/>
        <v>0</v>
      </c>
      <c r="G14" s="33">
        <f t="shared" si="2"/>
        <v>6.1229584797161368E-2</v>
      </c>
      <c r="H14" s="33">
        <f t="shared" si="2"/>
        <v>4.6078456611586861E-2</v>
      </c>
      <c r="I14" s="33">
        <f t="shared" si="2"/>
        <v>0</v>
      </c>
      <c r="J14" s="33">
        <f t="shared" si="2"/>
        <v>3.8169569551731966E-2</v>
      </c>
      <c r="K14" s="33">
        <f t="shared" si="2"/>
        <v>-1.0516908245646082E-2</v>
      </c>
      <c r="L14" s="33">
        <f t="shared" si="2"/>
        <v>-6.5370841783181262E-3</v>
      </c>
      <c r="M14" s="33">
        <f t="shared" si="2"/>
        <v>6.2341802031117867E-4</v>
      </c>
      <c r="N14" s="33">
        <f t="shared" si="2"/>
        <v>-1.089776261292958E-3</v>
      </c>
      <c r="O14" s="33">
        <f t="shared" si="2"/>
        <v>0</v>
      </c>
      <c r="P14" s="33">
        <f t="shared" si="2"/>
        <v>0</v>
      </c>
      <c r="Q14" s="33">
        <f t="shared" si="2"/>
        <v>4.0264563609749449E-2</v>
      </c>
      <c r="R14" s="33">
        <f t="shared" ca="1" si="2"/>
        <v>-8.1866678854846331E-2</v>
      </c>
      <c r="S14" s="33">
        <f t="shared" ca="1" si="2"/>
        <v>0</v>
      </c>
      <c r="T14" s="33">
        <f t="shared" si="2"/>
        <v>-5.8863223072034227E-3</v>
      </c>
      <c r="U14" s="33">
        <f t="shared" si="2"/>
        <v>-3.3065744783638987E-4</v>
      </c>
      <c r="V14" s="33">
        <f t="shared" ca="1" si="2"/>
        <v>-1.4442764129833142E-3</v>
      </c>
      <c r="W14" s="33">
        <f t="shared" ca="1" si="2"/>
        <v>0</v>
      </c>
      <c r="X14" s="33">
        <f t="shared" ca="1" si="2"/>
        <v>7.8876763689508356E-2</v>
      </c>
    </row>
    <row r="15" spans="1:33" x14ac:dyDescent="0.2">
      <c r="A15" s="14" t="s">
        <v>1503</v>
      </c>
      <c r="B15" s="33">
        <f t="shared" ref="B15:X15" si="3">IF($X$8&lt;&gt;0,(B$9-B$8)/$X$8,0)</f>
        <v>-3.290955128504874E-4</v>
      </c>
      <c r="C15" s="33">
        <f t="shared" si="3"/>
        <v>2.1793539772533565E-4</v>
      </c>
      <c r="D15" s="33">
        <f t="shared" ca="1" si="3"/>
        <v>2.7708979581391873E-4</v>
      </c>
      <c r="E15" s="33">
        <f t="shared" si="3"/>
        <v>1.694512640554652E-5</v>
      </c>
      <c r="F15" s="33">
        <f t="shared" si="3"/>
        <v>0</v>
      </c>
      <c r="G15" s="33">
        <f t="shared" si="3"/>
        <v>6.1229584797161368E-2</v>
      </c>
      <c r="H15" s="33">
        <f t="shared" si="3"/>
        <v>4.6078456611586861E-2</v>
      </c>
      <c r="I15" s="33">
        <f t="shared" si="3"/>
        <v>0</v>
      </c>
      <c r="J15" s="33">
        <f t="shared" si="3"/>
        <v>3.8169569551731966E-2</v>
      </c>
      <c r="K15" s="33">
        <f t="shared" si="3"/>
        <v>-1.0516908245646082E-2</v>
      </c>
      <c r="L15" s="33">
        <f t="shared" si="3"/>
        <v>-6.5370841783181262E-3</v>
      </c>
      <c r="M15" s="33">
        <f t="shared" si="3"/>
        <v>6.2341802031117867E-4</v>
      </c>
      <c r="N15" s="33">
        <f t="shared" si="3"/>
        <v>-1.089776261292958E-3</v>
      </c>
      <c r="O15" s="33">
        <f t="shared" si="3"/>
        <v>0</v>
      </c>
      <c r="P15" s="33">
        <f t="shared" si="3"/>
        <v>0</v>
      </c>
      <c r="Q15" s="33">
        <f t="shared" si="3"/>
        <v>4.0264563609749449E-2</v>
      </c>
      <c r="R15" s="33">
        <f t="shared" ca="1" si="3"/>
        <v>-8.1866678854846331E-2</v>
      </c>
      <c r="S15" s="33">
        <f t="shared" ca="1" si="3"/>
        <v>0</v>
      </c>
      <c r="T15" s="33">
        <f t="shared" si="3"/>
        <v>-5.8863223072034227E-3</v>
      </c>
      <c r="U15" s="33">
        <f t="shared" si="3"/>
        <v>-3.3065744783638987E-4</v>
      </c>
      <c r="V15" s="33">
        <f t="shared" ca="1" si="3"/>
        <v>-1.4442764129833142E-3</v>
      </c>
      <c r="W15" s="33">
        <f t="shared" ca="1" si="3"/>
        <v>0</v>
      </c>
      <c r="X15" s="33">
        <f t="shared" ca="1" si="3"/>
        <v>7.8876763689508356E-2</v>
      </c>
    </row>
  </sheetData>
  <dataValidations count="5">
    <dataValidation type="list" allowBlank="1" showInputMessage="1" showErrorMessage="1" error="Deve-se selecionar grupo válido" sqref="A2" xr:uid="{E566F30A-E7E9-4D4F-9F22-F9182722F811}">
      <formula1>AA1:AA7</formula1>
    </dataValidation>
    <dataValidation type="list" allowBlank="1" showInputMessage="1" showErrorMessage="1" error="Deve-se selecionar grupo válido" sqref="B2 G2" xr:uid="{B01B65A2-9F4C-4293-9FB5-D42B6B10897A}">
      <formula1>AB1:AB8</formula1>
    </dataValidation>
    <dataValidation type="list" allowBlank="1" showInputMessage="1" showErrorMessage="1" error="Deve-se selecionar grupo válido" sqref="C2 E2" xr:uid="{362AEE34-2B1A-4D7F-8563-51B6B7243FDC}">
      <formula1>AC1:AC4</formula1>
    </dataValidation>
    <dataValidation type="list" allowBlank="1" showInputMessage="1" showErrorMessage="1" error="Deve-se selecionar grupo válido" sqref="D2" xr:uid="{B2943619-55EE-452A-83AD-764C95D1CE57}">
      <formula1>AD1:AD10</formula1>
    </dataValidation>
    <dataValidation type="list" allowBlank="1" showInputMessage="1" showErrorMessage="1" error="Deve-se selecionar grupo válido" sqref="F2" xr:uid="{12A94D25-23DE-46D6-B0B4-4C6785D9C5B3}">
      <formula1>AF1:AF3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BC78-A3ED-46B7-8288-FFDBBFC43893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3" width="11.7109375" style="14" bestFit="1" customWidth="1"/>
    <col min="4" max="4" width="10.28515625" style="14" bestFit="1" customWidth="1"/>
    <col min="5" max="5" width="10.85546875" style="14" bestFit="1" customWidth="1"/>
    <col min="6" max="6" width="11.42578125" style="14" bestFit="1" customWidth="1"/>
    <col min="7" max="7" width="14.85546875" style="14" bestFit="1" customWidth="1"/>
    <col min="8" max="8" width="6" style="14" bestFit="1" customWidth="1"/>
    <col min="9" max="9" width="9.5703125" style="14" bestFit="1" customWidth="1"/>
    <col min="10" max="10" width="6.42578125" style="14" bestFit="1" customWidth="1"/>
    <col min="11" max="11" width="11.42578125" style="14" bestFit="1" customWidth="1"/>
    <col min="12" max="12" width="10.85546875" style="14" bestFit="1" customWidth="1"/>
    <col min="13" max="13" width="11.7109375" style="14" bestFit="1" customWidth="1"/>
    <col min="14" max="26" width="9.140625" style="14"/>
    <col min="27" max="27" width="3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92</v>
      </c>
      <c r="B1" s="14" t="s">
        <v>93</v>
      </c>
      <c r="C1" s="14" t="s">
        <v>94</v>
      </c>
      <c r="D1" s="14" t="s">
        <v>95</v>
      </c>
      <c r="E1" s="14" t="s">
        <v>96</v>
      </c>
      <c r="F1" s="14" t="s">
        <v>15</v>
      </c>
      <c r="G1" s="14" t="s">
        <v>98</v>
      </c>
      <c r="I1" s="14" t="s">
        <v>1500</v>
      </c>
      <c r="AA1" s="14" t="s">
        <v>39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41</v>
      </c>
      <c r="AB2" s="14" t="s">
        <v>101</v>
      </c>
      <c r="AC2" s="14" t="s">
        <v>24</v>
      </c>
      <c r="AD2" s="14" t="s">
        <v>24</v>
      </c>
      <c r="AG2" s="14" t="s">
        <v>103</v>
      </c>
    </row>
    <row r="3" spans="1:33" x14ac:dyDescent="0.2">
      <c r="AA3" s="14" t="s">
        <v>22</v>
      </c>
      <c r="AB3" s="14" t="s">
        <v>109</v>
      </c>
      <c r="AC3" s="14" t="s">
        <v>45</v>
      </c>
      <c r="AD3" s="14" t="s">
        <v>29</v>
      </c>
      <c r="AG3" s="14" t="s">
        <v>104</v>
      </c>
    </row>
    <row r="4" spans="1:33" x14ac:dyDescent="0.2">
      <c r="AA4" s="14" t="s">
        <v>44</v>
      </c>
      <c r="AB4" s="14" t="s">
        <v>114</v>
      </c>
      <c r="AC4" s="14" t="s">
        <v>48</v>
      </c>
      <c r="AD4" s="14" t="s">
        <v>30</v>
      </c>
      <c r="AG4" s="14" t="s">
        <v>108</v>
      </c>
    </row>
    <row r="5" spans="1:33" x14ac:dyDescent="0.2">
      <c r="A5" s="14" t="s">
        <v>1493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872</v>
      </c>
      <c r="AA5" s="14" t="s">
        <v>37</v>
      </c>
      <c r="AD5" s="14" t="s">
        <v>31</v>
      </c>
      <c r="AG5" s="14" t="s">
        <v>113</v>
      </c>
    </row>
    <row r="6" spans="1:33" x14ac:dyDescent="0.2">
      <c r="A6" s="14" t="s">
        <v>1494</v>
      </c>
      <c r="B6" s="19">
        <f>SUM(TE!$X$50:'TE'!$X$89)</f>
        <v>8372125.1884127548</v>
      </c>
      <c r="C6" s="19">
        <f>SUM(TE!$Y$50:'TE'!$Y$89)</f>
        <v>53270855.894938178</v>
      </c>
      <c r="D6" s="19">
        <f>SUM(TE!$Z$50:'TE'!$Z$89)</f>
        <v>0</v>
      </c>
      <c r="E6" s="19">
        <f>SUM(TE!$AA$50:'TE'!$AA$89)</f>
        <v>0</v>
      </c>
      <c r="F6" s="19">
        <f>SUM(TE!$AB$50:'TE'!$AB$89)</f>
        <v>0</v>
      </c>
      <c r="G6" s="19">
        <f>SUM(TE!$AC$50:'TE'!$AC$89)</f>
        <v>798673773.55260444</v>
      </c>
      <c r="H6" s="19">
        <f>SUM(TE!$AD$50:'TE'!$AD$89)</f>
        <v>0</v>
      </c>
      <c r="I6" s="19">
        <f>SUM(TE!$AE$50:'TE'!$AE$89)</f>
        <v>0</v>
      </c>
      <c r="J6" s="19">
        <f>SUM(TE!$AF$50:'TE'!$AF$89)</f>
        <v>9.4269764258096085E-7</v>
      </c>
      <c r="K6" s="19">
        <f>SUM(TE!$AG$50:'TE'!$AG$89)</f>
        <v>-8113509.8399825767</v>
      </c>
      <c r="L6" s="19">
        <f>SUM(TE!$AH$50:'TE'!$AH$89)</f>
        <v>17859087.466626748</v>
      </c>
      <c r="M6" s="19">
        <f t="shared" ref="M6:M11" si="0">SUM(B6:L6)</f>
        <v>870062332.26260042</v>
      </c>
      <c r="AA6" s="14" t="s">
        <v>47</v>
      </c>
      <c r="AD6" s="14" t="s">
        <v>32</v>
      </c>
    </row>
    <row r="7" spans="1:33" x14ac:dyDescent="0.2">
      <c r="A7" s="14" t="s">
        <v>1495</v>
      </c>
      <c r="B7" s="19">
        <f>SUM(TE!$L$50:'TE'!$L$89)</f>
        <v>8837116.4020964149</v>
      </c>
      <c r="C7" s="19">
        <f>SUM(TE!$M$50:'TE'!$M$89)</f>
        <v>205141116.85396662</v>
      </c>
      <c r="D7" s="19">
        <f>SUM(TE!$N$50:'TE'!$N$89)</f>
        <v>0</v>
      </c>
      <c r="E7" s="19">
        <f>SUM(TE!$O$50:'TE'!$O$89)</f>
        <v>19910671.326315999</v>
      </c>
      <c r="F7" s="19">
        <f>SUM(TE!$P$50:'TE'!$P$89)</f>
        <v>-59725488.047617696</v>
      </c>
      <c r="G7" s="19">
        <f>SUM(TE!$Q$50:'TE'!$Q$89)</f>
        <v>730184307.47456682</v>
      </c>
      <c r="H7" s="19">
        <f>SUM(TE!$R$50:'TE'!$R$89)</f>
        <v>0</v>
      </c>
      <c r="I7" s="19">
        <f>SUM(TE!$S$50:'TE'!$S$89)</f>
        <v>0</v>
      </c>
      <c r="J7" s="19">
        <f>SUM(TE!$T$50:'TE'!$T$89)</f>
        <v>9.3554048833873482E-7</v>
      </c>
      <c r="K7" s="19">
        <f>SUM(TE!$U$50:'TE'!$U$89)</f>
        <v>-77586611.734636977</v>
      </c>
      <c r="L7" s="19">
        <f>SUM(TE!$V$50:'TE'!$V$89)</f>
        <v>19148737.269905962</v>
      </c>
      <c r="M7" s="19">
        <f t="shared" si="0"/>
        <v>845909849.54459798</v>
      </c>
      <c r="AD7" s="14" t="s">
        <v>116</v>
      </c>
    </row>
    <row r="8" spans="1:33" x14ac:dyDescent="0.2">
      <c r="A8" s="14" t="s">
        <v>1498</v>
      </c>
      <c r="B8" s="19">
        <f>IF($G$2&lt;&gt;"Não se aplica",SUMIF(TE!$G$50:'TE'!$G$89,$I$2,TE!$X$50:'TE'!$X$89),IF($F$2&lt;&gt;"Não se aplica",SUMIF(TE!$F$50:'TE'!$F$89,$I$2,TE!$X$50:'TE'!$X$89),IF($E$2&lt;&gt;"Não se aplica",SUMIF(TE!$E$50:'TE'!$E$89,$I$2,TE!$X$50:'TE'!$X$89),IF($D$2&lt;&gt;"Não se aplica",SUMIF(TE!$D$50:'TE'!$D$89,$I$2,TE!$X$50:'TE'!$X$89),IF($C$2&lt;&gt;"Não se aplica",SUMIF(TE!$C$50:'TE'!$C$89,$I$2,TE!$X$50:'TE'!$X$89),IF($B$2&lt;&gt;"Não se aplica",SUMIF(TE!$B$50:'TE'!$B$89,$I$2,TE!$X$50:'TE'!$X$89),SUMIF(TE!$A$50:'TE'!$A$89,$I$2,TE!$X$50:'TE'!$X$89)))))))</f>
        <v>225450.19012854079</v>
      </c>
      <c r="C8" s="19">
        <f>IF($G$2&lt;&gt;"Não se aplica",SUMIF(TE!$G$50:'TE'!$G$89,$I$2,TE!$Y$50:'TE'!$Y$89),IF($F$2&lt;&gt;"Não se aplica",SUMIF(TE!$F$50:'TE'!$F$89,$I$2,TE!$Y$50:'TE'!$Y$89),IF($E$2&lt;&gt;"Não se aplica",SUMIF(TE!$E$50:'TE'!$E$89,$I$2,TE!$Y$50:'TE'!$Y$89),IF($D$2&lt;&gt;"Não se aplica",SUMIF(TE!$D$50:'TE'!$D$89,$I$2,TE!$Y$50:'TE'!$Y$89),IF($C$2&lt;&gt;"Não se aplica",SUMIF(TE!$C$50:'TE'!$C$89,$I$2,TE!$Y$50:'TE'!$Y$89),IF($B$2&lt;&gt;"Não se aplica",SUMIF(TE!$B$50:'TE'!$B$89,$I$2,TE!$Y$50:'TE'!$Y$89),SUMIF(TE!$A$50:'TE'!$A$89,$I$2,TE!$Y$50:'TE'!$Y$89)))))))</f>
        <v>1434513.2591239752</v>
      </c>
      <c r="D8" s="19">
        <f>IF($G$2&lt;&gt;"Não se aplica",SUMIF(TE!$G$50:'TE'!$G$89,$I$2,TE!$Z$50:'TE'!$Z$89),IF($F$2&lt;&gt;"Não se aplica",SUMIF(TE!$F$50:'TE'!$F$89,$I$2,TE!$Z$50:'TE'!$Z$89),IF($E$2&lt;&gt;"Não se aplica",SUMIF(TE!$E$50:'TE'!$E$89,$I$2,TE!$Z$50:'TE'!$Z$89),IF($D$2&lt;&gt;"Não se aplica",SUMIF(TE!$D$50:'TE'!$D$89,$I$2,TE!$Z$50:'TE'!$Z$89),IF($C$2&lt;&gt;"Não se aplica",SUMIF(TE!$C$50:'TE'!$C$89,$I$2,TE!$Z$50:'TE'!$Z$89),IF($B$2&lt;&gt;"Não se aplica",SUMIF(TE!$B$50:'TE'!$B$89,$I$2,TE!$Z$50:'TE'!$Z$89),SUMIF(TE!$A$50:'TE'!$A$89,$I$2,TE!$Z$50:'TE'!$Z$89)))))))</f>
        <v>0</v>
      </c>
      <c r="E8" s="19">
        <f>IF($G$2&lt;&gt;"Não se aplica",SUMIF(TE!$G$50:'TE'!$G$89,$I$2,TE!$AA$50:'TE'!$AA$89),IF($F$2&lt;&gt;"Não se aplica",SUMIF(TE!$F$50:'TE'!$F$89,$I$2,TE!$AA$50:'TE'!$AA$89),IF($E$2&lt;&gt;"Não se aplica",SUMIF(TE!$E$50:'TE'!$E$89,$I$2,TE!$AA$50:'TE'!$AA$89),IF($D$2&lt;&gt;"Não se aplica",SUMIF(TE!$D$50:'TE'!$D$89,$I$2,TE!$AA$50:'TE'!$AA$89),IF($C$2&lt;&gt;"Não se aplica",SUMIF(TE!$C$50:'TE'!$C$89,$I$2,TE!$AA$50:'TE'!$AA$89),IF($B$2&lt;&gt;"Não se aplica",SUMIF(TE!$B$50:'TE'!$B$89,$I$2,TE!$AA$50:'TE'!$AA$89),SUMIF(TE!$A$50:'TE'!$A$89,$I$2,TE!$AA$50:'TE'!$AA$89)))))))</f>
        <v>0</v>
      </c>
      <c r="F8" s="19">
        <f>IF($G$2&lt;&gt;"Não se aplica",SUMIF(TE!$G$50:'TE'!$G$89,$I$2,TE!$AB$50:'TE'!$AB$89),IF($F$2&lt;&gt;"Não se aplica",SUMIF(TE!$F$50:'TE'!$F$89,$I$2,TE!$AB$50:'TE'!$AB$89),IF($E$2&lt;&gt;"Não se aplica",SUMIF(TE!$E$50:'TE'!$E$89,$I$2,TE!$AB$50:'TE'!$AB$89),IF($D$2&lt;&gt;"Não se aplica",SUMIF(TE!$D$50:'TE'!$D$89,$I$2,TE!$AB$50:'TE'!$AB$89),IF($C$2&lt;&gt;"Não se aplica",SUMIF(TE!$C$50:'TE'!$C$89,$I$2,TE!$AB$50:'TE'!$AB$89),IF($B$2&lt;&gt;"Não se aplica",SUMIF(TE!$B$50:'TE'!$B$89,$I$2,TE!$AB$50:'TE'!$AB$89),SUMIF(TE!$A$50:'TE'!$A$89,$I$2,TE!$AB$50:'TE'!$AB$89)))))))</f>
        <v>0</v>
      </c>
      <c r="G8" s="19">
        <f>IF($G$2&lt;&gt;"Não se aplica",SUMIF(TE!$G$50:'TE'!$G$89,$I$2,TE!$AC$50:'TE'!$AC$89),IF($F$2&lt;&gt;"Não se aplica",SUMIF(TE!$F$50:'TE'!$F$89,$I$2,TE!$AC$50:'TE'!$AC$89),IF($E$2&lt;&gt;"Não se aplica",SUMIF(TE!$E$50:'TE'!$E$89,$I$2,TE!$AC$50:'TE'!$AC$89),IF($D$2&lt;&gt;"Não se aplica",SUMIF(TE!$D$50:'TE'!$D$89,$I$2,TE!$AC$50:'TE'!$AC$89),IF($C$2&lt;&gt;"Não se aplica",SUMIF(TE!$C$50:'TE'!$C$89,$I$2,TE!$AC$50:'TE'!$AC$89),IF($B$2&lt;&gt;"Não se aplica",SUMIF(TE!$B$50:'TE'!$B$89,$I$2,TE!$AC$50:'TE'!$AC$89),SUMIF(TE!$A$50:'TE'!$A$89,$I$2,TE!$AC$50:'TE'!$AC$89)))))))</f>
        <v>21484660.326424513</v>
      </c>
      <c r="H8" s="19">
        <f>IF($G$2&lt;&gt;"Não se aplica",SUMIF(TE!$G$50:'TE'!$G$89,$I$2,TE!$AD$50:'TE'!$AD$89),IF($F$2&lt;&gt;"Não se aplica",SUMIF(TE!$F$50:'TE'!$F$89,$I$2,TE!$AD$50:'TE'!$AD$89),IF($E$2&lt;&gt;"Não se aplica",SUMIF(TE!$E$50:'TE'!$E$89,$I$2,TE!$AD$50:'TE'!$AD$89),IF($D$2&lt;&gt;"Não se aplica",SUMIF(TE!$D$50:'TE'!$D$89,$I$2,TE!$AD$50:'TE'!$AD$89),IF($C$2&lt;&gt;"Não se aplica",SUMIF(TE!$C$50:'TE'!$C$89,$I$2,TE!$AD$50:'TE'!$AD$89),IF($B$2&lt;&gt;"Não se aplica",SUMIF(TE!$B$50:'TE'!$B$89,$I$2,TE!$AD$50:'TE'!$AD$89),SUMIF(TE!$A$50:'TE'!$A$89,$I$2,TE!$AD$50:'TE'!$AD$89)))))))</f>
        <v>0</v>
      </c>
      <c r="I8" s="19">
        <f>IF($G$2&lt;&gt;"Não se aplica",SUMIF(TE!$G$50:'TE'!$G$89,$I$2,TE!$AE$50:'TE'!$AE$89),IF($F$2&lt;&gt;"Não se aplica",SUMIF(TE!$F$50:'TE'!$F$89,$I$2,TE!$AE$50:'TE'!$AE$89),IF($E$2&lt;&gt;"Não se aplica",SUMIF(TE!$E$50:'TE'!$E$89,$I$2,TE!$AE$50:'TE'!$AE$89),IF($D$2&lt;&gt;"Não se aplica",SUMIF(TE!$D$50:'TE'!$D$89,$I$2,TE!$AE$50:'TE'!$AE$89),IF($C$2&lt;&gt;"Não se aplica",SUMIF(TE!$C$50:'TE'!$C$89,$I$2,TE!$AE$50:'TE'!$AE$89),IF($B$2&lt;&gt;"Não se aplica",SUMIF(TE!$B$50:'TE'!$B$89,$I$2,TE!$AE$50:'TE'!$AE$89),SUMIF(TE!$A$50:'TE'!$A$89,$I$2,TE!$AE$50:'TE'!$AE$89)))))))</f>
        <v>0</v>
      </c>
      <c r="J8" s="19">
        <f>IF($G$2&lt;&gt;"Não se aplica",SUMIF(TE!$G$50:'TE'!$G$89,$I$2,TE!$AF$50:'TE'!$AF$89),IF($F$2&lt;&gt;"Não se aplica",SUMIF(TE!$F$50:'TE'!$F$89,$I$2,TE!$AF$50:'TE'!$AF$89),IF($E$2&lt;&gt;"Não se aplica",SUMIF(TE!$E$50:'TE'!$E$89,$I$2,TE!$AF$50:'TE'!$AF$89),IF($D$2&lt;&gt;"Não se aplica",SUMIF(TE!$D$50:'TE'!$D$89,$I$2,TE!$AF$50:'TE'!$AF$89),IF($C$2&lt;&gt;"Não se aplica",SUMIF(TE!$C$50:'TE'!$C$89,$I$2,TE!$AF$50:'TE'!$AF$89),IF($B$2&lt;&gt;"Não se aplica",SUMIF(TE!$B$50:'TE'!$B$89,$I$2,TE!$AF$50:'TE'!$AF$89),SUMIF(TE!$A$50:'TE'!$A$89,$I$2,TE!$AF$50:'TE'!$AF$89)))))))</f>
        <v>2.5385593020963638E-8</v>
      </c>
      <c r="K8" s="19">
        <f>IF($G$2&lt;&gt;"Não se aplica",SUMIF(TE!$G$50:'TE'!$G$89,$I$2,TE!$AG$50:'TE'!$AG$89),IF($F$2&lt;&gt;"Não se aplica",SUMIF(TE!$F$50:'TE'!$F$89,$I$2,TE!$AG$50:'TE'!$AG$89),IF($E$2&lt;&gt;"Não se aplica",SUMIF(TE!$E$50:'TE'!$E$89,$I$2,TE!$AG$50:'TE'!$AG$89),IF($D$2&lt;&gt;"Não se aplica",SUMIF(TE!$D$50:'TE'!$D$89,$I$2,TE!$AG$50:'TE'!$AG$89),IF($C$2&lt;&gt;"Não se aplica",SUMIF(TE!$C$50:'TE'!$C$89,$I$2,TE!$AG$50:'TE'!$AG$89),IF($B$2&lt;&gt;"Não se aplica",SUMIF(TE!$B$50:'TE'!$B$89,$I$2,TE!$AG$50:'TE'!$AG$89),SUMIF(TE!$A$50:'TE'!$A$89,$I$2,TE!$AG$50:'TE'!$AG$89)))))))</f>
        <v>-218277.52003120675</v>
      </c>
      <c r="L8" s="19">
        <f>IF($G$2&lt;&gt;"Não se aplica",SUMIF(TE!$G$50:'TE'!$G$89,$I$2,TE!$AH$50:'TE'!$AH$89),IF($F$2&lt;&gt;"Não se aplica",SUMIF(TE!$F$50:'TE'!$F$89,$I$2,TE!$AH$50:'TE'!$AH$89),IF($E$2&lt;&gt;"Não se aplica",SUMIF(TE!$E$50:'TE'!$E$89,$I$2,TE!$AH$50:'TE'!$AH$89),IF($D$2&lt;&gt;"Não se aplica",SUMIF(TE!$D$50:'TE'!$D$89,$I$2,TE!$AH$50:'TE'!$AH$89),IF($C$2&lt;&gt;"Não se aplica",SUMIF(TE!$C$50:'TE'!$C$89,$I$2,TE!$AH$50:'TE'!$AH$89),IF($B$2&lt;&gt;"Não se aplica",SUMIF(TE!$B$50:'TE'!$B$89,$I$2,TE!$AH$50:'TE'!$AH$89),SUMIF(TE!$A$50:'TE'!$A$89,$I$2,TE!$AH$50:'TE'!$AH$89)))))))</f>
        <v>480921.4595173269</v>
      </c>
      <c r="M8" s="19">
        <f t="shared" si="0"/>
        <v>23407267.715163175</v>
      </c>
      <c r="AD8" s="14" t="s">
        <v>117</v>
      </c>
    </row>
    <row r="9" spans="1:33" x14ac:dyDescent="0.2">
      <c r="A9" s="14" t="s">
        <v>1499</v>
      </c>
      <c r="B9" s="19">
        <f>IF($G$2&lt;&gt;"Não se aplica",SUMIF(TE!$G$50:'TE'!$G$89,$I$2,TE!$L$50:'TE'!$L$89),IF($F$2&lt;&gt;"Não se aplica",SUMIF(TE!$F$50:'TE'!$F$89,$I$2,TE!$L$50:'TE'!$L$89),IF($E$2&lt;&gt;"Não se aplica",SUMIF(TE!$E$50:'TE'!$E$89,$I$2,TE!$L$50:'TE'!$L$89),IF($D$2&lt;&gt;"Não se aplica",SUMIF(TE!$D$50:'TE'!$D$89,$I$2,TE!$L$50:'TE'!$L$89),IF($C$2&lt;&gt;"Não se aplica",SUMIF(TE!$C$50:'TE'!$C$89,$I$2,TE!$L$50:'TE'!$L$89),IF($B$2&lt;&gt;"Não se aplica",SUMIF(TE!$B$50:'TE'!$B$89,$I$2,TE!$L$50:'TE'!$L$89),SUMIF(TE!$A$50:'TE'!$A$89,$I$2,TE!$L$50:'TE'!$L$89)))))))</f>
        <v>236942.60239841128</v>
      </c>
      <c r="C9" s="19">
        <f>IF($G$2&lt;&gt;"Não se aplica",SUMIF(TE!$G$50:'TE'!$G$89,$I$2,TE!$M$50:'TE'!$M$89),IF($F$2&lt;&gt;"Não se aplica",SUMIF(TE!$F$50:'TE'!$F$89,$I$2,TE!$M$50:'TE'!$M$89),IF($E$2&lt;&gt;"Não se aplica",SUMIF(TE!$E$50:'TE'!$E$89,$I$2,TE!$M$50:'TE'!$M$89),IF($D$2&lt;&gt;"Não se aplica",SUMIF(TE!$D$50:'TE'!$D$89,$I$2,TE!$M$50:'TE'!$M$89),IF($C$2&lt;&gt;"Não se aplica",SUMIF(TE!$C$50:'TE'!$C$89,$I$2,TE!$M$50:'TE'!$M$89),IF($B$2&lt;&gt;"Não se aplica",SUMIF(TE!$B$50:'TE'!$B$89,$I$2,TE!$M$50:'TE'!$M$89),SUMIF(TE!$A$50:'TE'!$A$89,$I$2,TE!$M$50:'TE'!$M$89)))))))</f>
        <v>5500286.2783118449</v>
      </c>
      <c r="D9" s="19">
        <f>IF($G$2&lt;&gt;"Não se aplica",SUMIF(TE!$G$50:'TE'!$G$89,$I$2,TE!$N$50:'TE'!$N$89),IF($F$2&lt;&gt;"Não se aplica",SUMIF(TE!$F$50:'TE'!$F$89,$I$2,TE!$N$50:'TE'!$N$89),IF($E$2&lt;&gt;"Não se aplica",SUMIF(TE!$E$50:'TE'!$E$89,$I$2,TE!$N$50:'TE'!$N$89),IF($D$2&lt;&gt;"Não se aplica",SUMIF(TE!$D$50:'TE'!$D$89,$I$2,TE!$N$50:'TE'!$N$89),IF($C$2&lt;&gt;"Não se aplica",SUMIF(TE!$C$50:'TE'!$C$89,$I$2,TE!$N$50:'TE'!$N$89),IF($B$2&lt;&gt;"Não se aplica",SUMIF(TE!$B$50:'TE'!$B$89,$I$2,TE!$N$50:'TE'!$N$89),SUMIF(TE!$A$50:'TE'!$A$89,$I$2,TE!$N$50:'TE'!$N$89)))))))</f>
        <v>0</v>
      </c>
      <c r="E9" s="19">
        <f>IF($G$2&lt;&gt;"Não se aplica",SUMIF(TE!$G$50:'TE'!$G$89,$I$2,TE!$O$50:'TE'!$O$89),IF($F$2&lt;&gt;"Não se aplica",SUMIF(TE!$F$50:'TE'!$F$89,$I$2,TE!$O$50:'TE'!$O$89),IF($E$2&lt;&gt;"Não se aplica",SUMIF(TE!$E$50:'TE'!$E$89,$I$2,TE!$O$50:'TE'!$O$89),IF($D$2&lt;&gt;"Não se aplica",SUMIF(TE!$D$50:'TE'!$D$89,$I$2,TE!$O$50:'TE'!$O$89),IF($C$2&lt;&gt;"Não se aplica",SUMIF(TE!$C$50:'TE'!$C$89,$I$2,TE!$O$50:'TE'!$O$89),IF($B$2&lt;&gt;"Não se aplica",SUMIF(TE!$B$50:'TE'!$B$89,$I$2,TE!$O$50:'TE'!$O$89),SUMIF(TE!$A$50:'TE'!$A$89,$I$2,TE!$O$50:'TE'!$O$89)))))))</f>
        <v>533849.05945536389</v>
      </c>
      <c r="F9" s="19">
        <f>IF($G$2&lt;&gt;"Não se aplica",SUMIF(TE!$G$50:'TE'!$G$89,$I$2,TE!$P$50:'TE'!$P$89),IF($F$2&lt;&gt;"Não se aplica",SUMIF(TE!$F$50:'TE'!$F$89,$I$2,TE!$P$50:'TE'!$P$89),IF($E$2&lt;&gt;"Não se aplica",SUMIF(TE!$E$50:'TE'!$E$89,$I$2,TE!$P$50:'TE'!$P$89),IF($D$2&lt;&gt;"Não se aplica",SUMIF(TE!$D$50:'TE'!$D$89,$I$2,TE!$P$50:'TE'!$P$89),IF($C$2&lt;&gt;"Não se aplica",SUMIF(TE!$C$50:'TE'!$C$89,$I$2,TE!$P$50:'TE'!$P$89),IF($B$2&lt;&gt;"Não se aplica",SUMIF(TE!$B$50:'TE'!$B$89,$I$2,TE!$P$50:'TE'!$P$89),SUMIF(TE!$A$50:'TE'!$A$89,$I$2,TE!$P$50:'TE'!$P$89)))))))</f>
        <v>-1601372.203738383</v>
      </c>
      <c r="G9" s="19">
        <f>IF($G$2&lt;&gt;"Não se aplica",SUMIF(TE!$G$50:'TE'!$G$89,$I$2,TE!$Q$50:'TE'!$Q$89),IF($F$2&lt;&gt;"Não se aplica",SUMIF(TE!$F$50:'TE'!$F$89,$I$2,TE!$Q$50:'TE'!$Q$89),IF($E$2&lt;&gt;"Não se aplica",SUMIF(TE!$E$50:'TE'!$E$89,$I$2,TE!$Q$50:'TE'!$Q$89),IF($D$2&lt;&gt;"Não se aplica",SUMIF(TE!$D$50:'TE'!$D$89,$I$2,TE!$Q$50:'TE'!$Q$89),IF($C$2&lt;&gt;"Não se aplica",SUMIF(TE!$C$50:'TE'!$C$89,$I$2,TE!$Q$50:'TE'!$Q$89),IF($B$2&lt;&gt;"Não se aplica",SUMIF(TE!$B$50:'TE'!$B$89,$I$2,TE!$Q$50:'TE'!$Q$89),SUMIF(TE!$A$50:'TE'!$A$89,$I$2,TE!$Q$50:'TE'!$Q$89)))))))</f>
        <v>19557152.582262807</v>
      </c>
      <c r="H9" s="19">
        <f>IF($G$2&lt;&gt;"Não se aplica",SUMIF(TE!$G$50:'TE'!$G$89,$I$2,TE!$R$50:'TE'!$R$89),IF($F$2&lt;&gt;"Não se aplica",SUMIF(TE!$F$50:'TE'!$F$89,$I$2,TE!$R$50:'TE'!$R$89),IF($E$2&lt;&gt;"Não se aplica",SUMIF(TE!$E$50:'TE'!$E$89,$I$2,TE!$R$50:'TE'!$R$89),IF($D$2&lt;&gt;"Não se aplica",SUMIF(TE!$D$50:'TE'!$D$89,$I$2,TE!$R$50:'TE'!$R$89),IF($C$2&lt;&gt;"Não se aplica",SUMIF(TE!$C$50:'TE'!$C$89,$I$2,TE!$R$50:'TE'!$R$89),IF($B$2&lt;&gt;"Não se aplica",SUMIF(TE!$B$50:'TE'!$B$89,$I$2,TE!$R$50:'TE'!$R$89),SUMIF(TE!$A$50:'TE'!$A$89,$I$2,TE!$R$50:'TE'!$R$89)))))))</f>
        <v>0</v>
      </c>
      <c r="I9" s="19">
        <f>IF($G$2&lt;&gt;"Não se aplica",SUMIF(TE!$G$50:'TE'!$G$89,$I$2,TE!$S$50:'TE'!$S$89),IF($F$2&lt;&gt;"Não se aplica",SUMIF(TE!$F$50:'TE'!$F$89,$I$2,TE!$S$50:'TE'!$S$89),IF($E$2&lt;&gt;"Não se aplica",SUMIF(TE!$E$50:'TE'!$E$89,$I$2,TE!$S$50:'TE'!$S$89),IF($D$2&lt;&gt;"Não se aplica",SUMIF(TE!$D$50:'TE'!$D$89,$I$2,TE!$S$50:'TE'!$S$89),IF($C$2&lt;&gt;"Não se aplica",SUMIF(TE!$C$50:'TE'!$C$89,$I$2,TE!$S$50:'TE'!$S$89),IF($B$2&lt;&gt;"Não se aplica",SUMIF(TE!$B$50:'TE'!$B$89,$I$2,TE!$S$50:'TE'!$S$89),SUMIF(TE!$A$50:'TE'!$A$89,$I$2,TE!$S$50:'TE'!$S$89)))))))</f>
        <v>0</v>
      </c>
      <c r="J9" s="19">
        <f>IF($G$2&lt;&gt;"Não se aplica",SUMIF(TE!$G$50:'TE'!$G$89,$I$2,TE!$T$50:'TE'!$T$89),IF($F$2&lt;&gt;"Não se aplica",SUMIF(TE!$F$50:'TE'!$F$89,$I$2,TE!$T$50:'TE'!$T$89),IF($E$2&lt;&gt;"Não se aplica",SUMIF(TE!$E$50:'TE'!$E$89,$I$2,TE!$T$50:'TE'!$T$89),IF($D$2&lt;&gt;"Não se aplica",SUMIF(TE!$D$50:'TE'!$D$89,$I$2,TE!$T$50:'TE'!$T$89),IF($C$2&lt;&gt;"Não se aplica",SUMIF(TE!$C$50:'TE'!$C$89,$I$2,TE!$T$50:'TE'!$T$89),IF($B$2&lt;&gt;"Não se aplica",SUMIF(TE!$B$50:'TE'!$B$89,$I$2,TE!$T$50:'TE'!$T$89),SUMIF(TE!$A$50:'TE'!$A$89,$I$2,TE!$T$50:'TE'!$T$89)))))))</f>
        <v>2.5083906092203796E-8</v>
      </c>
      <c r="K9" s="19">
        <f>IF($G$2&lt;&gt;"Não se aplica",SUMIF(TE!$G$50:'TE'!$G$89,$I$2,TE!$U$50:'TE'!$U$89),IF($F$2&lt;&gt;"Não se aplica",SUMIF(TE!$F$50:'TE'!$F$89,$I$2,TE!$U$50:'TE'!$U$89),IF($E$2&lt;&gt;"Não se aplica",SUMIF(TE!$E$50:'TE'!$E$89,$I$2,TE!$U$50:'TE'!$U$89),IF($D$2&lt;&gt;"Não se aplica",SUMIF(TE!$D$50:'TE'!$D$89,$I$2,TE!$U$50:'TE'!$U$89),IF($C$2&lt;&gt;"Não se aplica",SUMIF(TE!$C$50:'TE'!$C$89,$I$2,TE!$U$50:'TE'!$U$89),IF($B$2&lt;&gt;"Não se aplica",SUMIF(TE!$B$50:'TE'!$B$89,$I$2,TE!$U$50:'TE'!$U$89),SUMIF(TE!$A$50:'TE'!$A$89,$I$2,TE!$U$50:'TE'!$U$89)))))))</f>
        <v>-2078270.2151114051</v>
      </c>
      <c r="L9" s="19">
        <f>IF($G$2&lt;&gt;"Não se aplica",SUMIF(TE!$G$50:'TE'!$G$89,$I$2,TE!$V$50:'TE'!$V$89),IF($F$2&lt;&gt;"Não se aplica",SUMIF(TE!$F$50:'TE'!$F$89,$I$2,TE!$V$50:'TE'!$V$89),IF($E$2&lt;&gt;"Não se aplica",SUMIF(TE!$E$50:'TE'!$E$89,$I$2,TE!$V$50:'TE'!$V$89),IF($D$2&lt;&gt;"Não se aplica",SUMIF(TE!$D$50:'TE'!$D$89,$I$2,TE!$V$50:'TE'!$V$89),IF($C$2&lt;&gt;"Não se aplica",SUMIF(TE!$C$50:'TE'!$C$89,$I$2,TE!$V$50:'TE'!$V$89),IF($B$2&lt;&gt;"Não se aplica",SUMIF(TE!$B$50:'TE'!$B$89,$I$2,TE!$V$50:'TE'!$V$89),SUMIF(TE!$A$50:'TE'!$A$89,$I$2,TE!$V$50:'TE'!$V$89)))))))</f>
        <v>513419.92511252058</v>
      </c>
      <c r="M9" s="19">
        <f t="shared" si="0"/>
        <v>22662008.028691184</v>
      </c>
      <c r="AD9" s="14" t="s">
        <v>49</v>
      </c>
    </row>
    <row r="10" spans="1:33" x14ac:dyDescent="0.2">
      <c r="A10" s="14" t="s">
        <v>1496</v>
      </c>
      <c r="B10" s="19">
        <f>SUMIF(TE!$A$50:'TE'!$A$89,$A$2,TE!$X$50:'TE'!$X$89)</f>
        <v>225450.19012854079</v>
      </c>
      <c r="C10" s="19">
        <f>SUMIF(TE!$A$50:'TE'!$A$89,$A$2,TE!$Y$50:'TE'!$Y$89)</f>
        <v>1434513.2591239752</v>
      </c>
      <c r="D10" s="19">
        <f>SUMIF(TE!$A$50:'TE'!$A$89,$A$2,TE!$Z$50:'TE'!$Z$89)</f>
        <v>0</v>
      </c>
      <c r="E10" s="19">
        <f>SUMIF(TE!$A$50:'TE'!$A$89,$A$2,TE!$AA$50:'TE'!$AA$89)</f>
        <v>0</v>
      </c>
      <c r="F10" s="19">
        <f>SUMIF(TE!$A$50:'TE'!$A$89,$A$2,TE!$AB$50:'TE'!$AB$89)</f>
        <v>0</v>
      </c>
      <c r="G10" s="19">
        <f>SUMIF(TE!$A$50:'TE'!$A$89,$A$2,TE!$AC$50:'TE'!$AC$89)</f>
        <v>21484660.326424513</v>
      </c>
      <c r="H10" s="19">
        <f>SUMIF(TE!$A$50:'TE'!$A$89,$A$2,TE!$AD$50:'TE'!$AD$89)</f>
        <v>0</v>
      </c>
      <c r="I10" s="19">
        <f>SUMIF(TE!$A$50:'TE'!$A$89,$A$2,TE!$AE$50:'TE'!$AE$89)</f>
        <v>0</v>
      </c>
      <c r="J10" s="19">
        <f>SUMIF(TE!$A$50:'TE'!$A$89,$A$2,TE!$AF$50:'TE'!$AF$89)</f>
        <v>2.5385593020963638E-8</v>
      </c>
      <c r="K10" s="19">
        <f>SUMIF(TE!$A$50:'TE'!$A$89,$A$2,TE!$AG$50:'TE'!$AG$89)</f>
        <v>-218277.52003120675</v>
      </c>
      <c r="L10" s="19">
        <f>SUMIF(TE!$A$50:'TE'!$A$89,$A$2,TE!$AH$50:'TE'!$AH$89)</f>
        <v>480921.4595173269</v>
      </c>
      <c r="M10" s="19">
        <f t="shared" si="0"/>
        <v>23407267.715163175</v>
      </c>
      <c r="AD10" s="14" t="s">
        <v>118</v>
      </c>
    </row>
    <row r="11" spans="1:33" x14ac:dyDescent="0.2">
      <c r="A11" s="14" t="s">
        <v>1497</v>
      </c>
      <c r="B11" s="19">
        <f>SUMIF(TE!$A$50:'TE'!$A$89,$A$2,TE!$L$50:'TE'!$L$89)</f>
        <v>236942.60239841128</v>
      </c>
      <c r="C11" s="19">
        <f>SUMIF(TE!$A$50:'TE'!$A$89,$A$2,TE!$M$50:'TE'!$M$89)</f>
        <v>5500286.2783118449</v>
      </c>
      <c r="D11" s="19">
        <f>SUMIF(TE!$A$50:'TE'!$A$89,$A$2,TE!$N$50:'TE'!$N$89)</f>
        <v>0</v>
      </c>
      <c r="E11" s="19">
        <f>SUMIF(TE!$A$50:'TE'!$A$89,$A$2,TE!$O$50:'TE'!$O$89)</f>
        <v>533849.05945536389</v>
      </c>
      <c r="F11" s="19">
        <f>SUMIF(TE!$A$50:'TE'!$A$89,$A$2,TE!$P$50:'TE'!$P$89)</f>
        <v>-1601372.203738383</v>
      </c>
      <c r="G11" s="19">
        <f>SUMIF(TE!$A$50:'TE'!$A$89,$A$2,TE!$Q$50:'TE'!$Q$89)</f>
        <v>19557152.582262807</v>
      </c>
      <c r="H11" s="19">
        <f>SUMIF(TE!$A$50:'TE'!$A$89,$A$2,TE!$R$50:'TE'!$R$89)</f>
        <v>0</v>
      </c>
      <c r="I11" s="19">
        <f>SUMIF(TE!$A$50:'TE'!$A$89,$A$2,TE!$S$50:'TE'!$S$89)</f>
        <v>0</v>
      </c>
      <c r="J11" s="19">
        <f>SUMIF(TE!$A$50:'TE'!$A$89,$A$2,TE!$T$50:'TE'!$T$89)</f>
        <v>2.5083906092203796E-8</v>
      </c>
      <c r="K11" s="19">
        <f>SUMIF(TE!$A$50:'TE'!$A$89,$A$2,TE!$U$50:'TE'!$U$89)</f>
        <v>-2078270.2151114051</v>
      </c>
      <c r="L11" s="19">
        <f>SUMIF(TE!$A$50:'TE'!$A$89,$A$2,TE!$V$50:'TE'!$V$89)</f>
        <v>513419.92511252058</v>
      </c>
      <c r="M11" s="19">
        <f t="shared" si="0"/>
        <v>22662008.028691184</v>
      </c>
    </row>
    <row r="13" spans="1:33" x14ac:dyDescent="0.2">
      <c r="A13" s="14" t="s">
        <v>1501</v>
      </c>
      <c r="B13" s="33">
        <f t="shared" ref="B13:M13" si="1">IF($M$6&lt;&gt;0,(B$7-B$6)/$M$6,0)</f>
        <v>5.3443436917266452E-4</v>
      </c>
      <c r="C13" s="33">
        <f t="shared" si="1"/>
        <v>0.17455101241320178</v>
      </c>
      <c r="D13" s="33">
        <f t="shared" si="1"/>
        <v>0</v>
      </c>
      <c r="E13" s="33">
        <f t="shared" si="1"/>
        <v>2.2884189543682716E-2</v>
      </c>
      <c r="F13" s="33">
        <f t="shared" si="1"/>
        <v>-6.8645068097938841E-2</v>
      </c>
      <c r="G13" s="33">
        <f t="shared" si="1"/>
        <v>-7.8717884384134296E-2</v>
      </c>
      <c r="H13" s="33">
        <f t="shared" si="1"/>
        <v>0</v>
      </c>
      <c r="I13" s="33">
        <f t="shared" si="1"/>
        <v>0</v>
      </c>
      <c r="J13" s="33">
        <f t="shared" si="1"/>
        <v>-8.2260247074641461E-18</v>
      </c>
      <c r="K13" s="33">
        <f t="shared" si="1"/>
        <v>-7.9848419266685552E-2</v>
      </c>
      <c r="L13" s="33">
        <f t="shared" si="1"/>
        <v>1.4822498980337127E-3</v>
      </c>
      <c r="M13" s="33">
        <f t="shared" si="1"/>
        <v>-2.7759485524667889E-2</v>
      </c>
    </row>
    <row r="14" spans="1:33" x14ac:dyDescent="0.2">
      <c r="A14" s="14" t="s">
        <v>1502</v>
      </c>
      <c r="B14" s="33">
        <f t="shared" ref="B14:M14" si="2">IF($M$10&lt;&gt;0,(B$9-B$8)/$M$10,0)</f>
        <v>4.9097623907747804E-4</v>
      </c>
      <c r="C14" s="33">
        <f t="shared" si="2"/>
        <v>0.17369703583789367</v>
      </c>
      <c r="D14" s="33">
        <f t="shared" si="2"/>
        <v>0</v>
      </c>
      <c r="E14" s="33">
        <f t="shared" si="2"/>
        <v>2.2806978838864549E-2</v>
      </c>
      <c r="F14" s="33">
        <f t="shared" si="2"/>
        <v>-6.8413461290102548E-2</v>
      </c>
      <c r="G14" s="33">
        <f t="shared" si="2"/>
        <v>-8.2346550123535825E-2</v>
      </c>
      <c r="H14" s="33">
        <f t="shared" si="2"/>
        <v>0</v>
      </c>
      <c r="I14" s="33">
        <f t="shared" si="2"/>
        <v>0</v>
      </c>
      <c r="J14" s="33">
        <f t="shared" si="2"/>
        <v>-1.2888600772674109E-17</v>
      </c>
      <c r="K14" s="33">
        <f t="shared" si="2"/>
        <v>-7.9462187458782266E-2</v>
      </c>
      <c r="L14" s="33">
        <f t="shared" si="2"/>
        <v>1.3883921007209756E-3</v>
      </c>
      <c r="M14" s="33">
        <f t="shared" si="2"/>
        <v>-3.1838815855864018E-2</v>
      </c>
    </row>
    <row r="15" spans="1:33" x14ac:dyDescent="0.2">
      <c r="A15" s="14" t="s">
        <v>1503</v>
      </c>
      <c r="B15" s="33">
        <f t="shared" ref="B15:M15" si="3">IF($M$8&lt;&gt;0,(B$9-B$8)/$M$8,0)</f>
        <v>4.9097623907747804E-4</v>
      </c>
      <c r="C15" s="33">
        <f t="shared" si="3"/>
        <v>0.17369703583789367</v>
      </c>
      <c r="D15" s="33">
        <f t="shared" si="3"/>
        <v>0</v>
      </c>
      <c r="E15" s="33">
        <f t="shared" si="3"/>
        <v>2.2806978838864549E-2</v>
      </c>
      <c r="F15" s="33">
        <f t="shared" si="3"/>
        <v>-6.8413461290102548E-2</v>
      </c>
      <c r="G15" s="33">
        <f t="shared" si="3"/>
        <v>-8.2346550123535825E-2</v>
      </c>
      <c r="H15" s="33">
        <f t="shared" si="3"/>
        <v>0</v>
      </c>
      <c r="I15" s="33">
        <f t="shared" si="3"/>
        <v>0</v>
      </c>
      <c r="J15" s="33">
        <f t="shared" si="3"/>
        <v>-1.2888600772674109E-17</v>
      </c>
      <c r="K15" s="33">
        <f t="shared" si="3"/>
        <v>-7.9462187458782266E-2</v>
      </c>
      <c r="L15" s="33">
        <f t="shared" si="3"/>
        <v>1.3883921007209756E-3</v>
      </c>
      <c r="M15" s="33">
        <f t="shared" si="3"/>
        <v>-3.1838815855864018E-2</v>
      </c>
    </row>
  </sheetData>
  <dataValidations count="5">
    <dataValidation type="list" allowBlank="1" showInputMessage="1" showErrorMessage="1" sqref="A2" xr:uid="{C11353A1-3947-42F9-9572-275176814CE8}">
      <formula1>AA1:AA6</formula1>
    </dataValidation>
    <dataValidation type="list" allowBlank="1" showInputMessage="1" showErrorMessage="1" sqref="B2 C2" xr:uid="{0772B161-8C74-41AF-B6CD-C2256DAB9E5D}">
      <formula1>AB1:AB4</formula1>
    </dataValidation>
    <dataValidation type="list" allowBlank="1" showInputMessage="1" showErrorMessage="1" sqref="D2" xr:uid="{B4366B0D-E7C0-47BC-B9F8-95F02E2D30C9}">
      <formula1>AD1:AD10</formula1>
    </dataValidation>
    <dataValidation type="list" allowBlank="1" showInputMessage="1" showErrorMessage="1" sqref="E2 F2" xr:uid="{9A8823D7-0C5F-407D-9733-C87254482596}">
      <formula1>AE1:AE1</formula1>
    </dataValidation>
    <dataValidation type="list" allowBlank="1" showInputMessage="1" showErrorMessage="1" sqref="G2" xr:uid="{4158139B-D373-4D12-BAB9-533778F2781F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A0253-B4B7-4EEB-B4D6-82AD0CD685F6}">
  <dimension ref="B1:U22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59" t="s">
        <v>1035</v>
      </c>
      <c r="C1" s="59" t="s">
        <v>1036</v>
      </c>
      <c r="D1" s="59" t="s">
        <v>1037</v>
      </c>
      <c r="E1" s="59" t="s">
        <v>2</v>
      </c>
      <c r="F1" s="59" t="s">
        <v>1038</v>
      </c>
      <c r="G1" s="59" t="s">
        <v>951</v>
      </c>
      <c r="H1" s="59" t="s">
        <v>3</v>
      </c>
      <c r="I1" s="59" t="s">
        <v>1039</v>
      </c>
      <c r="J1" s="59" t="s">
        <v>5</v>
      </c>
      <c r="K1" s="59" t="s">
        <v>1</v>
      </c>
      <c r="L1" s="59" t="s">
        <v>1040</v>
      </c>
      <c r="M1" s="59" t="s">
        <v>1041</v>
      </c>
      <c r="N1" s="59" t="s">
        <v>1042</v>
      </c>
      <c r="O1" s="59" t="s">
        <v>1043</v>
      </c>
      <c r="P1" s="59" t="s">
        <v>1044</v>
      </c>
      <c r="Q1" s="59" t="s">
        <v>1045</v>
      </c>
      <c r="R1" s="59" t="s">
        <v>1046</v>
      </c>
      <c r="S1" s="59" t="s">
        <v>1047</v>
      </c>
      <c r="T1" s="59" t="s">
        <v>1048</v>
      </c>
      <c r="U1" s="59" t="s">
        <v>1049</v>
      </c>
    </row>
    <row r="2" spans="2:21" x14ac:dyDescent="0.25">
      <c r="B2" s="58" t="s">
        <v>1014</v>
      </c>
      <c r="C2" s="58">
        <v>7789</v>
      </c>
      <c r="D2" s="58">
        <v>6600</v>
      </c>
      <c r="E2" s="58" t="s">
        <v>40</v>
      </c>
      <c r="F2" s="58">
        <v>1</v>
      </c>
      <c r="G2" s="58" t="s">
        <v>1015</v>
      </c>
      <c r="H2" s="58" t="s">
        <v>50</v>
      </c>
      <c r="I2" s="58" t="s">
        <v>51</v>
      </c>
      <c r="J2" s="58" t="s">
        <v>964</v>
      </c>
      <c r="K2" s="58" t="s">
        <v>39</v>
      </c>
      <c r="L2" s="58">
        <v>0.15</v>
      </c>
      <c r="M2" s="58">
        <v>0.12</v>
      </c>
      <c r="N2" s="58">
        <v>0.09</v>
      </c>
      <c r="O2" s="58">
        <v>0.06</v>
      </c>
      <c r="P2" s="58">
        <v>0.03</v>
      </c>
      <c r="Q2" s="58">
        <v>0</v>
      </c>
      <c r="R2" s="58"/>
      <c r="S2" s="58"/>
      <c r="T2" s="58"/>
      <c r="U2" s="58">
        <v>3</v>
      </c>
    </row>
    <row r="3" spans="2:21" x14ac:dyDescent="0.25">
      <c r="B3" s="58" t="s">
        <v>1016</v>
      </c>
      <c r="C3" s="58">
        <v>7790</v>
      </c>
      <c r="D3" s="58">
        <v>6600</v>
      </c>
      <c r="E3" s="58" t="s">
        <v>42</v>
      </c>
      <c r="F3" s="58">
        <v>1</v>
      </c>
      <c r="G3" s="58" t="s">
        <v>1015</v>
      </c>
      <c r="H3" s="58" t="s">
        <v>50</v>
      </c>
      <c r="I3" s="58" t="s">
        <v>51</v>
      </c>
      <c r="J3" s="58" t="s">
        <v>964</v>
      </c>
      <c r="K3" s="58" t="s">
        <v>39</v>
      </c>
      <c r="L3" s="58">
        <v>0.15</v>
      </c>
      <c r="M3" s="58">
        <v>0.12</v>
      </c>
      <c r="N3" s="58">
        <v>0.09</v>
      </c>
      <c r="O3" s="58">
        <v>0.06</v>
      </c>
      <c r="P3" s="58">
        <v>0.03</v>
      </c>
      <c r="Q3" s="58">
        <v>0</v>
      </c>
      <c r="R3" s="58"/>
      <c r="S3" s="58"/>
      <c r="T3" s="58"/>
      <c r="U3" s="58">
        <v>3</v>
      </c>
    </row>
    <row r="4" spans="2:21" x14ac:dyDescent="0.25">
      <c r="B4" s="58" t="s">
        <v>1017</v>
      </c>
      <c r="C4" s="58">
        <v>7791</v>
      </c>
      <c r="D4" s="58">
        <v>6600</v>
      </c>
      <c r="E4" s="58" t="s">
        <v>23</v>
      </c>
      <c r="F4" s="58">
        <v>1</v>
      </c>
      <c r="G4" s="58" t="s">
        <v>1015</v>
      </c>
      <c r="H4" s="58" t="s">
        <v>50</v>
      </c>
      <c r="I4" s="58" t="s">
        <v>51</v>
      </c>
      <c r="J4" s="58" t="s">
        <v>964</v>
      </c>
      <c r="K4" s="58" t="s">
        <v>39</v>
      </c>
      <c r="L4" s="58">
        <v>0.15</v>
      </c>
      <c r="M4" s="58">
        <v>0.12</v>
      </c>
      <c r="N4" s="58">
        <v>0.09</v>
      </c>
      <c r="O4" s="58">
        <v>0.06</v>
      </c>
      <c r="P4" s="58">
        <v>0.03</v>
      </c>
      <c r="Q4" s="58">
        <v>0</v>
      </c>
      <c r="R4" s="58"/>
      <c r="S4" s="58"/>
      <c r="T4" s="58"/>
      <c r="U4" s="58">
        <v>3</v>
      </c>
    </row>
    <row r="5" spans="2:21" x14ac:dyDescent="0.25">
      <c r="B5" s="58" t="s">
        <v>1018</v>
      </c>
      <c r="C5" s="58">
        <v>7792</v>
      </c>
      <c r="D5" s="58">
        <v>6600</v>
      </c>
      <c r="E5" s="58" t="s">
        <v>23</v>
      </c>
      <c r="F5" s="58">
        <v>1</v>
      </c>
      <c r="G5" s="58" t="s">
        <v>1015</v>
      </c>
      <c r="H5" s="58" t="s">
        <v>45</v>
      </c>
      <c r="I5" s="58" t="s">
        <v>116</v>
      </c>
      <c r="J5" s="58" t="s">
        <v>964</v>
      </c>
      <c r="K5" s="58" t="s">
        <v>44</v>
      </c>
      <c r="L5" s="58">
        <v>0.3</v>
      </c>
      <c r="M5" s="58">
        <v>0.24</v>
      </c>
      <c r="N5" s="58">
        <v>0.18</v>
      </c>
      <c r="O5" s="58">
        <v>0.12</v>
      </c>
      <c r="P5" s="58">
        <v>0.06</v>
      </c>
      <c r="Q5" s="58">
        <v>0</v>
      </c>
      <c r="R5" s="58"/>
      <c r="S5" s="58"/>
      <c r="T5" s="58"/>
      <c r="U5" s="58">
        <v>3</v>
      </c>
    </row>
    <row r="6" spans="2:21" x14ac:dyDescent="0.25">
      <c r="B6" s="58" t="s">
        <v>1019</v>
      </c>
      <c r="C6" s="58">
        <v>7793</v>
      </c>
      <c r="D6" s="58">
        <v>6600</v>
      </c>
      <c r="E6" s="58" t="s">
        <v>33</v>
      </c>
      <c r="F6" s="58">
        <v>1</v>
      </c>
      <c r="G6" s="58" t="s">
        <v>1015</v>
      </c>
      <c r="H6" s="58" t="s">
        <v>45</v>
      </c>
      <c r="I6" s="58" t="s">
        <v>116</v>
      </c>
      <c r="J6" s="58" t="s">
        <v>964</v>
      </c>
      <c r="K6" s="58" t="s">
        <v>44</v>
      </c>
      <c r="L6" s="58">
        <v>0.3</v>
      </c>
      <c r="M6" s="58">
        <v>0.24</v>
      </c>
      <c r="N6" s="58">
        <v>0.18</v>
      </c>
      <c r="O6" s="58">
        <v>0.12</v>
      </c>
      <c r="P6" s="58">
        <v>0.06</v>
      </c>
      <c r="Q6" s="58">
        <v>0</v>
      </c>
      <c r="R6" s="58"/>
      <c r="S6" s="58"/>
      <c r="T6" s="58"/>
      <c r="U6" s="58">
        <v>3</v>
      </c>
    </row>
    <row r="7" spans="2:21" x14ac:dyDescent="0.25">
      <c r="B7" s="58" t="s">
        <v>1020</v>
      </c>
      <c r="C7" s="58">
        <v>7794</v>
      </c>
      <c r="D7" s="58">
        <v>6600</v>
      </c>
      <c r="E7" s="58" t="s">
        <v>23</v>
      </c>
      <c r="F7" s="58">
        <v>1</v>
      </c>
      <c r="G7" s="58" t="s">
        <v>1015</v>
      </c>
      <c r="H7" s="58" t="s">
        <v>45</v>
      </c>
      <c r="I7" s="58" t="s">
        <v>25</v>
      </c>
      <c r="J7" s="58" t="s">
        <v>45</v>
      </c>
      <c r="K7" s="58" t="s">
        <v>44</v>
      </c>
      <c r="L7" s="58">
        <v>0.3</v>
      </c>
      <c r="M7" s="58">
        <v>0.24</v>
      </c>
      <c r="N7" s="58">
        <v>0.18</v>
      </c>
      <c r="O7" s="58">
        <v>0.12</v>
      </c>
      <c r="P7" s="58">
        <v>0.06</v>
      </c>
      <c r="Q7" s="58">
        <v>0</v>
      </c>
      <c r="R7" s="58"/>
      <c r="S7" s="58"/>
      <c r="T7" s="58"/>
      <c r="U7" s="58">
        <v>3</v>
      </c>
    </row>
    <row r="8" spans="2:21" x14ac:dyDescent="0.25">
      <c r="B8" s="58" t="s">
        <v>1021</v>
      </c>
      <c r="C8" s="58">
        <v>7795</v>
      </c>
      <c r="D8" s="58">
        <v>6600</v>
      </c>
      <c r="E8" s="58" t="s">
        <v>40</v>
      </c>
      <c r="F8" s="58">
        <v>1</v>
      </c>
      <c r="G8" s="58" t="s">
        <v>1015</v>
      </c>
      <c r="H8" s="58" t="s">
        <v>45</v>
      </c>
      <c r="I8" s="58" t="s">
        <v>25</v>
      </c>
      <c r="J8" s="58" t="s">
        <v>963</v>
      </c>
      <c r="K8" s="58" t="s">
        <v>41</v>
      </c>
      <c r="L8" s="58">
        <v>0.1</v>
      </c>
      <c r="M8" s="58">
        <v>0.08</v>
      </c>
      <c r="N8" s="58">
        <v>0.06</v>
      </c>
      <c r="O8" s="58">
        <v>0.04</v>
      </c>
      <c r="P8" s="58">
        <v>0.02</v>
      </c>
      <c r="Q8" s="58">
        <v>0</v>
      </c>
      <c r="R8" s="58"/>
      <c r="S8" s="58"/>
      <c r="T8" s="58"/>
      <c r="U8" s="58">
        <v>3</v>
      </c>
    </row>
    <row r="9" spans="2:21" x14ac:dyDescent="0.25">
      <c r="B9" s="58" t="s">
        <v>1022</v>
      </c>
      <c r="C9" s="58">
        <v>7796</v>
      </c>
      <c r="D9" s="58">
        <v>6600</v>
      </c>
      <c r="E9" s="58" t="s">
        <v>42</v>
      </c>
      <c r="F9" s="58">
        <v>1</v>
      </c>
      <c r="G9" s="58" t="s">
        <v>1015</v>
      </c>
      <c r="H9" s="58" t="s">
        <v>45</v>
      </c>
      <c r="I9" s="58" t="s">
        <v>25</v>
      </c>
      <c r="J9" s="58" t="s">
        <v>963</v>
      </c>
      <c r="K9" s="58" t="s">
        <v>41</v>
      </c>
      <c r="L9" s="58">
        <v>0.1</v>
      </c>
      <c r="M9" s="58">
        <v>0.08</v>
      </c>
      <c r="N9" s="58">
        <v>0.06</v>
      </c>
      <c r="O9" s="58">
        <v>0.04</v>
      </c>
      <c r="P9" s="58">
        <v>0.02</v>
      </c>
      <c r="Q9" s="58">
        <v>0</v>
      </c>
      <c r="R9" s="58"/>
      <c r="S9" s="58"/>
      <c r="T9" s="58"/>
      <c r="U9" s="58">
        <v>3</v>
      </c>
    </row>
    <row r="10" spans="2:21" x14ac:dyDescent="0.25">
      <c r="B10" s="58" t="s">
        <v>1023</v>
      </c>
      <c r="C10" s="58">
        <v>7797</v>
      </c>
      <c r="D10" s="58">
        <v>6600</v>
      </c>
      <c r="E10" s="58" t="s">
        <v>966</v>
      </c>
      <c r="F10" s="58">
        <v>1</v>
      </c>
      <c r="G10" s="58" t="s">
        <v>1015</v>
      </c>
      <c r="H10" s="58" t="s">
        <v>45</v>
      </c>
      <c r="I10" s="58" t="s">
        <v>25</v>
      </c>
      <c r="J10" s="58" t="s">
        <v>963</v>
      </c>
      <c r="K10" s="58" t="s">
        <v>41</v>
      </c>
      <c r="L10" s="58">
        <v>0.1</v>
      </c>
      <c r="M10" s="58">
        <v>0.08</v>
      </c>
      <c r="N10" s="58">
        <v>0.06</v>
      </c>
      <c r="O10" s="58">
        <v>0.04</v>
      </c>
      <c r="P10" s="58">
        <v>0.02</v>
      </c>
      <c r="Q10" s="58">
        <v>0</v>
      </c>
      <c r="R10" s="58"/>
      <c r="S10" s="58"/>
      <c r="T10" s="58"/>
      <c r="U10" s="58">
        <v>3</v>
      </c>
    </row>
    <row r="11" spans="2:21" x14ac:dyDescent="0.25">
      <c r="B11" s="58" t="s">
        <v>1020</v>
      </c>
      <c r="C11" s="58">
        <v>7798</v>
      </c>
      <c r="D11" s="58">
        <v>6600</v>
      </c>
      <c r="E11" s="58" t="s">
        <v>23</v>
      </c>
      <c r="F11" s="58">
        <v>1</v>
      </c>
      <c r="G11" s="58" t="s">
        <v>1015</v>
      </c>
      <c r="H11" s="58" t="s">
        <v>45</v>
      </c>
      <c r="I11" s="58" t="s">
        <v>25</v>
      </c>
      <c r="J11" s="58" t="s">
        <v>45</v>
      </c>
      <c r="K11" s="58" t="s">
        <v>44</v>
      </c>
      <c r="L11" s="58">
        <v>0.3</v>
      </c>
      <c r="M11" s="58">
        <v>0.24</v>
      </c>
      <c r="N11" s="58">
        <v>0.18</v>
      </c>
      <c r="O11" s="58">
        <v>0.12</v>
      </c>
      <c r="P11" s="58">
        <v>0.06</v>
      </c>
      <c r="Q11" s="58">
        <v>0</v>
      </c>
      <c r="R11" s="58"/>
      <c r="S11" s="58"/>
      <c r="T11" s="58"/>
      <c r="U11" s="58">
        <v>3</v>
      </c>
    </row>
    <row r="12" spans="2:21" x14ac:dyDescent="0.25">
      <c r="B12" s="58" t="s">
        <v>1024</v>
      </c>
      <c r="C12" s="58">
        <v>7799</v>
      </c>
      <c r="D12" s="58">
        <v>6600</v>
      </c>
      <c r="E12" s="58" t="s">
        <v>965</v>
      </c>
      <c r="F12" s="58">
        <v>1</v>
      </c>
      <c r="G12" s="58" t="s">
        <v>1015</v>
      </c>
      <c r="H12" s="58" t="s">
        <v>45</v>
      </c>
      <c r="I12" s="58" t="s">
        <v>25</v>
      </c>
      <c r="J12" s="58" t="s">
        <v>45</v>
      </c>
      <c r="K12" s="58" t="s">
        <v>44</v>
      </c>
      <c r="L12" s="58">
        <v>0.3</v>
      </c>
      <c r="M12" s="58">
        <v>0.24</v>
      </c>
      <c r="N12" s="58">
        <v>0.18</v>
      </c>
      <c r="O12" s="58">
        <v>0.12</v>
      </c>
      <c r="P12" s="58">
        <v>0.06</v>
      </c>
      <c r="Q12" s="58">
        <v>0</v>
      </c>
      <c r="R12" s="58"/>
      <c r="S12" s="58"/>
      <c r="T12" s="58"/>
      <c r="U12" s="58">
        <v>3</v>
      </c>
    </row>
    <row r="13" spans="2:21" x14ac:dyDescent="0.25">
      <c r="B13" s="58" t="s">
        <v>1025</v>
      </c>
      <c r="C13" s="58">
        <v>7800</v>
      </c>
      <c r="D13" s="58">
        <v>6600</v>
      </c>
      <c r="E13" s="58" t="s">
        <v>40</v>
      </c>
      <c r="F13" s="58">
        <v>1</v>
      </c>
      <c r="G13" s="58" t="s">
        <v>1015</v>
      </c>
      <c r="H13" s="58" t="s">
        <v>45</v>
      </c>
      <c r="I13" s="58" t="s">
        <v>25</v>
      </c>
      <c r="J13" s="58" t="s">
        <v>963</v>
      </c>
      <c r="K13" s="58" t="s">
        <v>39</v>
      </c>
      <c r="L13" s="58">
        <v>0.1</v>
      </c>
      <c r="M13" s="58">
        <v>0.08</v>
      </c>
      <c r="N13" s="58">
        <v>0.06</v>
      </c>
      <c r="O13" s="58">
        <v>0.04</v>
      </c>
      <c r="P13" s="58">
        <v>0.02</v>
      </c>
      <c r="Q13" s="58">
        <v>0</v>
      </c>
      <c r="R13" s="58"/>
      <c r="S13" s="58"/>
      <c r="T13" s="58"/>
      <c r="U13" s="58">
        <v>3</v>
      </c>
    </row>
    <row r="14" spans="2:21" x14ac:dyDescent="0.25">
      <c r="B14" s="58" t="s">
        <v>1026</v>
      </c>
      <c r="C14" s="58">
        <v>7801</v>
      </c>
      <c r="D14" s="58">
        <v>6600</v>
      </c>
      <c r="E14" s="58" t="s">
        <v>42</v>
      </c>
      <c r="F14" s="58">
        <v>1</v>
      </c>
      <c r="G14" s="58" t="s">
        <v>1015</v>
      </c>
      <c r="H14" s="58" t="s">
        <v>45</v>
      </c>
      <c r="I14" s="58" t="s">
        <v>25</v>
      </c>
      <c r="J14" s="58" t="s">
        <v>963</v>
      </c>
      <c r="K14" s="58" t="s">
        <v>39</v>
      </c>
      <c r="L14" s="58">
        <v>0.1</v>
      </c>
      <c r="M14" s="58">
        <v>0.08</v>
      </c>
      <c r="N14" s="58">
        <v>0.06</v>
      </c>
      <c r="O14" s="58">
        <v>0.04</v>
      </c>
      <c r="P14" s="58">
        <v>0.02</v>
      </c>
      <c r="Q14" s="58">
        <v>0</v>
      </c>
      <c r="R14" s="58"/>
      <c r="S14" s="58"/>
      <c r="T14" s="58"/>
      <c r="U14" s="58">
        <v>3</v>
      </c>
    </row>
    <row r="15" spans="2:21" x14ac:dyDescent="0.25">
      <c r="B15" s="58" t="s">
        <v>1027</v>
      </c>
      <c r="C15" s="58">
        <v>7802</v>
      </c>
      <c r="D15" s="58">
        <v>6600</v>
      </c>
      <c r="E15" s="58" t="s">
        <v>966</v>
      </c>
      <c r="F15" s="58">
        <v>1</v>
      </c>
      <c r="G15" s="58" t="s">
        <v>1015</v>
      </c>
      <c r="H15" s="58" t="s">
        <v>45</v>
      </c>
      <c r="I15" s="58" t="s">
        <v>25</v>
      </c>
      <c r="J15" s="58" t="s">
        <v>963</v>
      </c>
      <c r="K15" s="58" t="s">
        <v>39</v>
      </c>
      <c r="L15" s="58">
        <v>0.1</v>
      </c>
      <c r="M15" s="58">
        <v>0.08</v>
      </c>
      <c r="N15" s="58">
        <v>0.06</v>
      </c>
      <c r="O15" s="58">
        <v>0.04</v>
      </c>
      <c r="P15" s="58">
        <v>0.02</v>
      </c>
      <c r="Q15" s="58">
        <v>0</v>
      </c>
      <c r="R15" s="58"/>
      <c r="S15" s="58"/>
      <c r="T15" s="58"/>
      <c r="U15" s="58">
        <v>3</v>
      </c>
    </row>
    <row r="16" spans="2:21" x14ac:dyDescent="0.25">
      <c r="B16" s="58" t="s">
        <v>1028</v>
      </c>
      <c r="C16" s="58">
        <v>7803</v>
      </c>
      <c r="D16" s="58">
        <v>6600</v>
      </c>
      <c r="E16" s="58" t="s">
        <v>23</v>
      </c>
      <c r="F16" s="58">
        <v>1</v>
      </c>
      <c r="G16" s="58" t="s">
        <v>1015</v>
      </c>
      <c r="H16" s="58" t="s">
        <v>45</v>
      </c>
      <c r="I16" s="58" t="s">
        <v>117</v>
      </c>
      <c r="J16" s="58" t="s">
        <v>964</v>
      </c>
      <c r="K16" s="58" t="s">
        <v>44</v>
      </c>
      <c r="L16" s="58">
        <v>0.4</v>
      </c>
      <c r="M16" s="58">
        <v>0.32</v>
      </c>
      <c r="N16" s="58">
        <v>0.24</v>
      </c>
      <c r="O16" s="58">
        <v>0.16</v>
      </c>
      <c r="P16" s="58">
        <v>0.08</v>
      </c>
      <c r="Q16" s="58">
        <v>0</v>
      </c>
      <c r="R16" s="58"/>
      <c r="S16" s="58"/>
      <c r="T16" s="58"/>
      <c r="U16" s="58">
        <v>3</v>
      </c>
    </row>
    <row r="17" spans="2:21" x14ac:dyDescent="0.25">
      <c r="B17" s="58" t="s">
        <v>1029</v>
      </c>
      <c r="C17" s="58">
        <v>7804</v>
      </c>
      <c r="D17" s="58">
        <v>6600</v>
      </c>
      <c r="E17" s="58" t="s">
        <v>33</v>
      </c>
      <c r="F17" s="58">
        <v>1</v>
      </c>
      <c r="G17" s="58" t="s">
        <v>1015</v>
      </c>
      <c r="H17" s="58" t="s">
        <v>45</v>
      </c>
      <c r="I17" s="58" t="s">
        <v>117</v>
      </c>
      <c r="J17" s="58" t="s">
        <v>964</v>
      </c>
      <c r="K17" s="58" t="s">
        <v>44</v>
      </c>
      <c r="L17" s="58">
        <v>0.4</v>
      </c>
      <c r="M17" s="58">
        <v>0.32</v>
      </c>
      <c r="N17" s="58">
        <v>0.24</v>
      </c>
      <c r="O17" s="58">
        <v>0.16</v>
      </c>
      <c r="P17" s="58">
        <v>0.08</v>
      </c>
      <c r="Q17" s="58">
        <v>0</v>
      </c>
      <c r="R17" s="58"/>
      <c r="S17" s="58"/>
      <c r="T17" s="58"/>
      <c r="U17" s="58">
        <v>3</v>
      </c>
    </row>
    <row r="18" spans="2:21" x14ac:dyDescent="0.25">
      <c r="B18" s="58" t="s">
        <v>1030</v>
      </c>
      <c r="C18" s="58">
        <v>7784</v>
      </c>
      <c r="D18" s="58">
        <v>6600</v>
      </c>
      <c r="E18" s="58" t="s">
        <v>40</v>
      </c>
      <c r="F18" s="58">
        <v>1</v>
      </c>
      <c r="G18" s="58" t="s">
        <v>1015</v>
      </c>
      <c r="H18" s="58" t="s">
        <v>50</v>
      </c>
      <c r="I18" s="58" t="s">
        <v>51</v>
      </c>
      <c r="J18" s="58" t="s">
        <v>964</v>
      </c>
      <c r="K18" s="58" t="s">
        <v>41</v>
      </c>
      <c r="L18" s="58">
        <v>0.15</v>
      </c>
      <c r="M18" s="58">
        <v>0.12</v>
      </c>
      <c r="N18" s="58">
        <v>0.09</v>
      </c>
      <c r="O18" s="58">
        <v>0.06</v>
      </c>
      <c r="P18" s="58">
        <v>0.03</v>
      </c>
      <c r="Q18" s="58">
        <v>0</v>
      </c>
      <c r="R18" s="58"/>
      <c r="S18" s="58"/>
      <c r="T18" s="58"/>
      <c r="U18" s="58">
        <v>3</v>
      </c>
    </row>
    <row r="19" spans="2:21" x14ac:dyDescent="0.25">
      <c r="B19" s="58" t="s">
        <v>1031</v>
      </c>
      <c r="C19" s="58">
        <v>7785</v>
      </c>
      <c r="D19" s="58">
        <v>6600</v>
      </c>
      <c r="E19" s="58" t="s">
        <v>42</v>
      </c>
      <c r="F19" s="58">
        <v>1</v>
      </c>
      <c r="G19" s="58" t="s">
        <v>1015</v>
      </c>
      <c r="H19" s="58" t="s">
        <v>50</v>
      </c>
      <c r="I19" s="58" t="s">
        <v>51</v>
      </c>
      <c r="J19" s="58" t="s">
        <v>964</v>
      </c>
      <c r="K19" s="58" t="s">
        <v>41</v>
      </c>
      <c r="L19" s="58">
        <v>0.15</v>
      </c>
      <c r="M19" s="58">
        <v>0.12</v>
      </c>
      <c r="N19" s="58">
        <v>0.09</v>
      </c>
      <c r="O19" s="58">
        <v>0.06</v>
      </c>
      <c r="P19" s="58">
        <v>0.03</v>
      </c>
      <c r="Q19" s="58">
        <v>0</v>
      </c>
      <c r="R19" s="58"/>
      <c r="S19" s="58"/>
      <c r="T19" s="58"/>
      <c r="U19" s="58">
        <v>3</v>
      </c>
    </row>
    <row r="20" spans="2:21" x14ac:dyDescent="0.25">
      <c r="B20" s="58" t="s">
        <v>1032</v>
      </c>
      <c r="C20" s="58">
        <v>7786</v>
      </c>
      <c r="D20" s="58">
        <v>6600</v>
      </c>
      <c r="E20" s="58" t="s">
        <v>23</v>
      </c>
      <c r="F20" s="58">
        <v>1</v>
      </c>
      <c r="G20" s="58" t="s">
        <v>1015</v>
      </c>
      <c r="H20" s="58" t="s">
        <v>50</v>
      </c>
      <c r="I20" s="58" t="s">
        <v>51</v>
      </c>
      <c r="J20" s="58" t="s">
        <v>964</v>
      </c>
      <c r="K20" s="58" t="s">
        <v>41</v>
      </c>
      <c r="L20" s="58">
        <v>0.15</v>
      </c>
      <c r="M20" s="58">
        <v>0.12</v>
      </c>
      <c r="N20" s="58">
        <v>0.09</v>
      </c>
      <c r="O20" s="58">
        <v>0.06</v>
      </c>
      <c r="P20" s="58">
        <v>0.03</v>
      </c>
      <c r="Q20" s="58">
        <v>0</v>
      </c>
      <c r="R20" s="58"/>
      <c r="S20" s="58"/>
      <c r="T20" s="58"/>
      <c r="U20" s="58">
        <v>3</v>
      </c>
    </row>
    <row r="21" spans="2:21" x14ac:dyDescent="0.25">
      <c r="B21" s="58" t="s">
        <v>1033</v>
      </c>
      <c r="C21" s="58">
        <v>7787</v>
      </c>
      <c r="D21" s="58">
        <v>6600</v>
      </c>
      <c r="E21" s="58" t="s">
        <v>23</v>
      </c>
      <c r="F21" s="58">
        <v>1</v>
      </c>
      <c r="G21" s="58" t="s">
        <v>1015</v>
      </c>
      <c r="H21" s="58" t="s">
        <v>50</v>
      </c>
      <c r="I21" s="58" t="s">
        <v>51</v>
      </c>
      <c r="J21" s="58" t="s">
        <v>964</v>
      </c>
      <c r="K21" s="58" t="s">
        <v>37</v>
      </c>
      <c r="L21" s="58">
        <v>0.15</v>
      </c>
      <c r="M21" s="58">
        <v>0.12</v>
      </c>
      <c r="N21" s="58">
        <v>0.09</v>
      </c>
      <c r="O21" s="58">
        <v>0.06</v>
      </c>
      <c r="P21" s="58">
        <v>0.03</v>
      </c>
      <c r="Q21" s="58">
        <v>0</v>
      </c>
      <c r="R21" s="58"/>
      <c r="S21" s="58"/>
      <c r="T21" s="58"/>
      <c r="U21" s="58">
        <v>3</v>
      </c>
    </row>
    <row r="22" spans="2:21" x14ac:dyDescent="0.25">
      <c r="B22" s="58" t="s">
        <v>1034</v>
      </c>
      <c r="C22" s="58">
        <v>7788</v>
      </c>
      <c r="D22" s="58">
        <v>6600</v>
      </c>
      <c r="E22" s="58" t="s">
        <v>965</v>
      </c>
      <c r="F22" s="58">
        <v>1</v>
      </c>
      <c r="G22" s="58" t="s">
        <v>1015</v>
      </c>
      <c r="H22" s="58" t="s">
        <v>50</v>
      </c>
      <c r="I22" s="58" t="s">
        <v>51</v>
      </c>
      <c r="J22" s="58" t="s">
        <v>964</v>
      </c>
      <c r="K22" s="58" t="s">
        <v>37</v>
      </c>
      <c r="L22" s="58">
        <v>0.15</v>
      </c>
      <c r="M22" s="58">
        <v>0.12</v>
      </c>
      <c r="N22" s="58">
        <v>0.09</v>
      </c>
      <c r="O22" s="58">
        <v>0.06</v>
      </c>
      <c r="P22" s="58">
        <v>0.03</v>
      </c>
      <c r="Q22" s="58">
        <v>0</v>
      </c>
      <c r="R22" s="58"/>
      <c r="S22" s="58"/>
      <c r="T22" s="58"/>
      <c r="U22" s="58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38398-2ED9-40D2-A11D-3E7A9A878D3E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12" width="11" style="14" customWidth="1"/>
    <col min="13" max="16384" width="9.140625" style="14"/>
  </cols>
  <sheetData>
    <row r="1" spans="1:12" ht="12" thickBot="1" x14ac:dyDescent="0.25">
      <c r="A1" s="79" t="s">
        <v>1524</v>
      </c>
      <c r="B1" s="79" t="s">
        <v>22</v>
      </c>
      <c r="C1" s="79" t="s">
        <v>1523</v>
      </c>
      <c r="D1" s="79" t="s">
        <v>1522</v>
      </c>
      <c r="E1" s="79" t="s">
        <v>37</v>
      </c>
      <c r="F1" s="79" t="s">
        <v>1521</v>
      </c>
      <c r="G1" s="79" t="s">
        <v>1520</v>
      </c>
      <c r="H1" s="79" t="s">
        <v>1066</v>
      </c>
      <c r="I1" s="79" t="s">
        <v>41</v>
      </c>
      <c r="J1" s="79" t="s">
        <v>1065</v>
      </c>
      <c r="K1" s="79" t="s">
        <v>39</v>
      </c>
      <c r="L1" s="79" t="s">
        <v>1064</v>
      </c>
    </row>
    <row r="2" spans="1:12" x14ac:dyDescent="0.2">
      <c r="A2" s="75" t="s">
        <v>1519</v>
      </c>
      <c r="B2" s="81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646.72493450638376</v>
      </c>
      <c r="C2" s="81">
        <f t="shared" si="0"/>
        <v>607.9214384360007</v>
      </c>
      <c r="D2" s="81">
        <f t="shared" si="0"/>
        <v>594.98693974587297</v>
      </c>
      <c r="E2" s="81">
        <f t="shared" si="0"/>
        <v>646.72493450638376</v>
      </c>
      <c r="F2" s="81">
        <f t="shared" si="0"/>
        <v>355.69871397851102</v>
      </c>
      <c r="G2" s="81">
        <f t="shared" si="0"/>
        <v>388.03496070383028</v>
      </c>
      <c r="H2" s="81">
        <f t="shared" si="0"/>
        <v>0</v>
      </c>
      <c r="I2" s="81">
        <f t="shared" si="0"/>
        <v>1023.1617067687343</v>
      </c>
      <c r="J2" s="81">
        <f t="shared" si="0"/>
        <v>0</v>
      </c>
      <c r="K2" s="81">
        <f t="shared" si="0"/>
        <v>95.933745832327475</v>
      </c>
      <c r="L2" s="81">
        <f t="shared" si="0"/>
        <v>0</v>
      </c>
    </row>
    <row r="3" spans="1:12" ht="12" thickBot="1" x14ac:dyDescent="0.25">
      <c r="A3" s="73" t="s">
        <v>1518</v>
      </c>
      <c r="B3" s="80">
        <v>14</v>
      </c>
      <c r="C3" s="80">
        <v>13.16</v>
      </c>
      <c r="D3" s="80">
        <v>12.88</v>
      </c>
      <c r="E3" s="80">
        <v>14</v>
      </c>
      <c r="F3" s="80">
        <v>7.7</v>
      </c>
      <c r="G3" s="80">
        <v>8.4</v>
      </c>
      <c r="H3" s="80">
        <v>0</v>
      </c>
      <c r="I3" s="80">
        <f>'TUSD BE'!$AC$14</f>
        <v>22.148927821524858</v>
      </c>
      <c r="J3" s="80">
        <v>0</v>
      </c>
      <c r="K3" s="80">
        <f>'TUSD BE'!$AC$6</f>
        <v>2.076729023410381</v>
      </c>
      <c r="L3" s="80">
        <v>0</v>
      </c>
    </row>
    <row r="5" spans="1:12" ht="12" thickBot="1" x14ac:dyDescent="0.25">
      <c r="A5" s="79" t="s">
        <v>1517</v>
      </c>
      <c r="B5" s="79" t="s">
        <v>1516</v>
      </c>
    </row>
    <row r="6" spans="1:12" x14ac:dyDescent="0.2">
      <c r="A6" s="75" t="s">
        <v>1515</v>
      </c>
      <c r="B6" s="78">
        <v>0.10635435454367226</v>
      </c>
    </row>
    <row r="7" spans="1:12" x14ac:dyDescent="0.2">
      <c r="A7" s="77" t="s">
        <v>1514</v>
      </c>
      <c r="B7" s="76">
        <v>0.34</v>
      </c>
    </row>
    <row r="8" spans="1:12" x14ac:dyDescent="0.2">
      <c r="A8" s="75" t="s">
        <v>1513</v>
      </c>
      <c r="B8" s="74">
        <v>818782029.26078081</v>
      </c>
    </row>
    <row r="9" spans="1:12" x14ac:dyDescent="0.2">
      <c r="A9" s="77" t="s">
        <v>1512</v>
      </c>
      <c r="B9" s="76">
        <v>3.8800000000000001E-2</v>
      </c>
    </row>
    <row r="10" spans="1:12" x14ac:dyDescent="0.2">
      <c r="A10" s="75" t="s">
        <v>1511</v>
      </c>
      <c r="B10" s="74">
        <v>456805139.86598223</v>
      </c>
    </row>
    <row r="11" spans="1:12" ht="12" thickBot="1" x14ac:dyDescent="0.25">
      <c r="A11" s="73" t="s">
        <v>1510</v>
      </c>
      <c r="B11" s="72">
        <f>(1+$B$6)^(1/IF($B$9&lt;&gt;0,$B$9,1))*$B$6/IF((1+$B$6)^(1/IF($B$9&lt;&gt;0,$B$9,1))-1&lt;&gt;0,(1+$B$6)^(1/IF($B$9&lt;&gt;0,$B$9,1))-1,1)</f>
        <v>0.11484238885079426</v>
      </c>
    </row>
    <row r="18" spans="2:2" x14ac:dyDescent="0.2">
      <c r="B18" s="7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E9956-19E3-40EA-9396-03FE108811CD}">
  <dimension ref="B1:AT68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3" bestFit="1" customWidth="1"/>
    <col min="11" max="11" width="10.28515625" bestFit="1" customWidth="1"/>
    <col min="12" max="12" width="19.42578125" bestFit="1" customWidth="1"/>
    <col min="13" max="13" width="14.140625" bestFit="1" customWidth="1"/>
    <col min="14" max="14" width="12.7109375" bestFit="1" customWidth="1"/>
    <col min="15" max="15" width="13" bestFit="1" customWidth="1"/>
    <col min="16" max="17" width="12.5703125" bestFit="1" customWidth="1"/>
    <col min="18" max="18" width="17.28515625" bestFit="1" customWidth="1"/>
    <col min="19" max="19" width="11" bestFit="1" customWidth="1"/>
    <col min="20" max="21" width="12.140625" bestFit="1" customWidth="1"/>
    <col min="22" max="22" width="12.42578125" bestFit="1" customWidth="1"/>
    <col min="23" max="23" width="12.7109375" bestFit="1" customWidth="1"/>
    <col min="24" max="24" width="14" bestFit="1" customWidth="1"/>
    <col min="25" max="25" width="11.5703125" bestFit="1" customWidth="1"/>
    <col min="26" max="26" width="14.42578125" bestFit="1" customWidth="1"/>
    <col min="27" max="27" width="13" bestFit="1" customWidth="1"/>
    <col min="28" max="28" width="16.28515625" bestFit="1" customWidth="1"/>
    <col min="29" max="29" width="25.140625" bestFit="1" customWidth="1"/>
    <col min="30" max="30" width="14.5703125" bestFit="1" customWidth="1"/>
    <col min="31" max="31" width="12.140625" bestFit="1" customWidth="1"/>
    <col min="32" max="32" width="17.85546875" bestFit="1" customWidth="1"/>
    <col min="33" max="33" width="12.7109375" bestFit="1" customWidth="1"/>
    <col min="34" max="34" width="10.85546875" bestFit="1" customWidth="1"/>
    <col min="35" max="35" width="16.7109375" bestFit="1" customWidth="1"/>
    <col min="36" max="36" width="14.7109375" bestFit="1" customWidth="1"/>
    <col min="37" max="37" width="12.140625" bestFit="1" customWidth="1"/>
    <col min="38" max="38" width="12.7109375" bestFit="1" customWidth="1"/>
    <col min="39" max="39" width="12.42578125" bestFit="1" customWidth="1"/>
    <col min="40" max="40" width="14.28515625" bestFit="1" customWidth="1"/>
    <col min="41" max="41" width="25.42578125" bestFit="1" customWidth="1"/>
    <col min="42" max="42" width="18" bestFit="1" customWidth="1"/>
    <col min="43" max="43" width="14.140625" bestFit="1" customWidth="1"/>
    <col min="44" max="44" width="13.42578125" bestFit="1" customWidth="1"/>
    <col min="45" max="45" width="22.28515625" bestFit="1" customWidth="1"/>
    <col min="46" max="46" width="12.7109375" bestFit="1" customWidth="1"/>
  </cols>
  <sheetData>
    <row r="1" spans="2:46" ht="12" customHeight="1" x14ac:dyDescent="0.25">
      <c r="L1" s="125" t="s">
        <v>1564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</row>
    <row r="2" spans="2:46" ht="12" customHeight="1" x14ac:dyDescent="0.25">
      <c r="L2" s="126" t="s">
        <v>835</v>
      </c>
      <c r="M2" s="126"/>
      <c r="N2" s="126"/>
      <c r="O2" s="126"/>
      <c r="P2" s="126"/>
      <c r="Q2" s="126"/>
      <c r="R2" s="126"/>
      <c r="S2" s="127"/>
      <c r="T2" s="126" t="s">
        <v>844</v>
      </c>
      <c r="U2" s="126"/>
      <c r="V2" s="126"/>
      <c r="W2" s="126"/>
      <c r="X2" s="126"/>
      <c r="Y2" s="126"/>
      <c r="Z2" s="127"/>
      <c r="AA2" s="128" t="s">
        <v>852</v>
      </c>
      <c r="AB2" s="126" t="s">
        <v>25</v>
      </c>
      <c r="AC2" s="126"/>
      <c r="AD2" s="127"/>
      <c r="AE2" s="126" t="s">
        <v>1563</v>
      </c>
      <c r="AF2" s="126"/>
      <c r="AG2" s="126"/>
      <c r="AH2" s="127"/>
      <c r="AI2" s="126" t="s">
        <v>835</v>
      </c>
      <c r="AJ2" s="126"/>
      <c r="AK2" s="126"/>
      <c r="AL2" s="126"/>
      <c r="AM2" s="127"/>
      <c r="AN2" s="128" t="s">
        <v>866</v>
      </c>
      <c r="AO2" s="126" t="s">
        <v>844</v>
      </c>
      <c r="AP2" s="126"/>
      <c r="AQ2" s="126"/>
      <c r="AR2" s="126"/>
      <c r="AS2" s="127"/>
      <c r="AT2" s="129" t="s">
        <v>1563</v>
      </c>
    </row>
    <row r="3" spans="2:46" ht="12" customHeight="1" x14ac:dyDescent="0.25">
      <c r="B3" s="116" t="s">
        <v>92</v>
      </c>
      <c r="C3" s="117" t="s">
        <v>93</v>
      </c>
      <c r="D3" s="117" t="s">
        <v>94</v>
      </c>
      <c r="E3" s="117" t="s">
        <v>95</v>
      </c>
      <c r="F3" s="117" t="s">
        <v>96</v>
      </c>
      <c r="G3" s="117" t="s">
        <v>98</v>
      </c>
      <c r="H3" s="117" t="s">
        <v>99</v>
      </c>
      <c r="I3" s="117" t="s">
        <v>1111</v>
      </c>
      <c r="J3" s="117" t="s">
        <v>1525</v>
      </c>
      <c r="K3" s="117" t="s">
        <v>1526</v>
      </c>
      <c r="L3" s="117" t="s">
        <v>1527</v>
      </c>
      <c r="M3" s="117" t="s">
        <v>1528</v>
      </c>
      <c r="N3" s="117" t="s">
        <v>1529</v>
      </c>
      <c r="O3" s="117" t="s">
        <v>1530</v>
      </c>
      <c r="P3" s="117" t="s">
        <v>1531</v>
      </c>
      <c r="Q3" s="117" t="s">
        <v>1532</v>
      </c>
      <c r="R3" s="117" t="s">
        <v>1533</v>
      </c>
      <c r="S3" s="117" t="s">
        <v>1534</v>
      </c>
      <c r="T3" s="117" t="s">
        <v>1535</v>
      </c>
      <c r="U3" s="117" t="s">
        <v>1536</v>
      </c>
      <c r="V3" s="117" t="s">
        <v>1537</v>
      </c>
      <c r="W3" s="117" t="s">
        <v>1538</v>
      </c>
      <c r="X3" s="117" t="s">
        <v>1539</v>
      </c>
      <c r="Y3" s="117" t="s">
        <v>1540</v>
      </c>
      <c r="Z3" s="117" t="s">
        <v>1541</v>
      </c>
      <c r="AA3" s="117" t="s">
        <v>1542</v>
      </c>
      <c r="AB3" s="117" t="s">
        <v>1543</v>
      </c>
      <c r="AC3" s="117" t="s">
        <v>1544</v>
      </c>
      <c r="AD3" s="117" t="s">
        <v>1545</v>
      </c>
      <c r="AE3" s="117" t="s">
        <v>1546</v>
      </c>
      <c r="AF3" s="117" t="s">
        <v>1547</v>
      </c>
      <c r="AG3" s="117" t="s">
        <v>1548</v>
      </c>
      <c r="AH3" s="117" t="s">
        <v>1549</v>
      </c>
      <c r="AI3" s="117" t="s">
        <v>1550</v>
      </c>
      <c r="AJ3" s="117" t="s">
        <v>1551</v>
      </c>
      <c r="AK3" s="117" t="s">
        <v>1552</v>
      </c>
      <c r="AL3" s="117" t="s">
        <v>1553</v>
      </c>
      <c r="AM3" s="117" t="s">
        <v>1554</v>
      </c>
      <c r="AN3" s="117" t="s">
        <v>1555</v>
      </c>
      <c r="AO3" s="117" t="s">
        <v>1556</v>
      </c>
      <c r="AP3" s="117" t="s">
        <v>1557</v>
      </c>
      <c r="AQ3" s="117" t="s">
        <v>1558</v>
      </c>
      <c r="AR3" s="117" t="s">
        <v>1559</v>
      </c>
      <c r="AS3" s="117" t="s">
        <v>1560</v>
      </c>
      <c r="AT3" s="118" t="s">
        <v>1561</v>
      </c>
    </row>
    <row r="4" spans="2:46" ht="12" customHeight="1" x14ac:dyDescent="0.25">
      <c r="B4" s="119" t="s">
        <v>39</v>
      </c>
      <c r="C4" s="120" t="s">
        <v>40</v>
      </c>
      <c r="D4" s="120" t="s">
        <v>25</v>
      </c>
      <c r="E4" s="120" t="s">
        <v>25</v>
      </c>
      <c r="F4" s="120" t="s">
        <v>59</v>
      </c>
      <c r="G4" s="120" t="s">
        <v>34</v>
      </c>
      <c r="H4" s="120" t="s">
        <v>102</v>
      </c>
      <c r="I4" s="120" t="s">
        <v>25</v>
      </c>
      <c r="J4" s="120">
        <v>9.0500000000000007</v>
      </c>
      <c r="K4" s="120">
        <v>0</v>
      </c>
      <c r="L4" s="120">
        <v>0</v>
      </c>
      <c r="M4" s="120">
        <v>0.10547230624631</v>
      </c>
      <c r="N4" s="120">
        <v>0.21697390486523199</v>
      </c>
      <c r="O4" s="120">
        <v>1.87281849766874E-2</v>
      </c>
      <c r="P4" s="120">
        <v>0</v>
      </c>
      <c r="Q4" s="120">
        <v>0</v>
      </c>
      <c r="R4" s="120">
        <v>0</v>
      </c>
      <c r="S4" s="120">
        <v>0</v>
      </c>
      <c r="T4" s="120">
        <v>0</v>
      </c>
      <c r="U4" s="120">
        <v>0</v>
      </c>
      <c r="V4" s="120">
        <v>0</v>
      </c>
      <c r="W4" s="120">
        <v>0</v>
      </c>
      <c r="X4" s="120">
        <v>0</v>
      </c>
      <c r="Y4" s="120">
        <v>0</v>
      </c>
      <c r="Z4" s="120">
        <v>0</v>
      </c>
      <c r="AA4" s="120">
        <v>0</v>
      </c>
      <c r="AB4" s="120">
        <v>-0.97826648490269097</v>
      </c>
      <c r="AC4" s="120">
        <v>0</v>
      </c>
      <c r="AD4" s="120">
        <v>0</v>
      </c>
      <c r="AE4" s="120">
        <v>6.2125662246043403</v>
      </c>
      <c r="AF4" s="120">
        <v>0.18831286837220099</v>
      </c>
      <c r="AG4" s="120">
        <v>3.28472996547886</v>
      </c>
      <c r="AH4" s="120">
        <v>0</v>
      </c>
      <c r="AI4" s="120">
        <v>0</v>
      </c>
      <c r="AJ4" s="120">
        <v>0</v>
      </c>
      <c r="AK4" s="120">
        <v>0</v>
      </c>
      <c r="AL4" s="120">
        <v>0</v>
      </c>
      <c r="AM4" s="120">
        <v>0</v>
      </c>
      <c r="AN4" s="120">
        <v>0</v>
      </c>
      <c r="AO4" s="120">
        <v>0</v>
      </c>
      <c r="AP4" s="120">
        <v>0</v>
      </c>
      <c r="AQ4" s="120">
        <v>0</v>
      </c>
      <c r="AR4" s="120">
        <v>0</v>
      </c>
      <c r="AS4" s="120">
        <v>0</v>
      </c>
      <c r="AT4" s="121">
        <v>0</v>
      </c>
    </row>
    <row r="5" spans="2:46" ht="12" customHeight="1" x14ac:dyDescent="0.25">
      <c r="B5" s="119" t="s">
        <v>39</v>
      </c>
      <c r="C5" s="120" t="s">
        <v>40</v>
      </c>
      <c r="D5" s="120" t="s">
        <v>25</v>
      </c>
      <c r="E5" s="120" t="s">
        <v>25</v>
      </c>
      <c r="F5" s="120" t="s">
        <v>59</v>
      </c>
      <c r="G5" s="120" t="s">
        <v>34</v>
      </c>
      <c r="H5" s="120" t="s">
        <v>105</v>
      </c>
      <c r="I5" s="120" t="s">
        <v>25</v>
      </c>
      <c r="J5" s="120">
        <v>21.31</v>
      </c>
      <c r="K5" s="120">
        <v>0</v>
      </c>
      <c r="L5" s="120">
        <v>0</v>
      </c>
      <c r="M5" s="120">
        <v>0</v>
      </c>
      <c r="N5" s="120">
        <v>0</v>
      </c>
      <c r="O5" s="120">
        <v>0</v>
      </c>
      <c r="P5" s="120">
        <v>0</v>
      </c>
      <c r="Q5" s="120">
        <v>0</v>
      </c>
      <c r="R5" s="120">
        <v>0</v>
      </c>
      <c r="S5" s="120">
        <v>0</v>
      </c>
      <c r="T5" s="120">
        <v>9.0155864436696707</v>
      </c>
      <c r="U5" s="120">
        <v>2.7963118645553502</v>
      </c>
      <c r="V5" s="120">
        <v>0.44551159706489502</v>
      </c>
      <c r="W5" s="120">
        <v>2.59202409663669E-2</v>
      </c>
      <c r="X5" s="120">
        <v>0.52702143917343103</v>
      </c>
      <c r="Y5" s="120">
        <v>0</v>
      </c>
      <c r="Z5" s="120">
        <v>0</v>
      </c>
      <c r="AA5" s="120">
        <v>10.588507070525299</v>
      </c>
      <c r="AB5" s="120">
        <v>-2.0860112962374799</v>
      </c>
      <c r="AC5" s="120">
        <v>0</v>
      </c>
      <c r="AD5" s="120">
        <v>0</v>
      </c>
      <c r="AE5" s="120">
        <v>0</v>
      </c>
      <c r="AF5" s="120">
        <v>0</v>
      </c>
      <c r="AG5" s="120">
        <v>0</v>
      </c>
      <c r="AH5" s="120">
        <v>0</v>
      </c>
      <c r="AI5" s="120">
        <v>0</v>
      </c>
      <c r="AJ5" s="120">
        <v>0</v>
      </c>
      <c r="AK5" s="120">
        <v>0</v>
      </c>
      <c r="AL5" s="120">
        <v>0</v>
      </c>
      <c r="AM5" s="120">
        <v>0</v>
      </c>
      <c r="AN5" s="120">
        <v>0</v>
      </c>
      <c r="AO5" s="120">
        <v>0</v>
      </c>
      <c r="AP5" s="120">
        <v>0</v>
      </c>
      <c r="AQ5" s="120">
        <v>0</v>
      </c>
      <c r="AR5" s="120">
        <v>0</v>
      </c>
      <c r="AS5" s="120">
        <v>0</v>
      </c>
      <c r="AT5" s="121">
        <v>0</v>
      </c>
    </row>
    <row r="6" spans="2:46" ht="12" customHeight="1" x14ac:dyDescent="0.25">
      <c r="B6" s="119" t="s">
        <v>39</v>
      </c>
      <c r="C6" s="120" t="s">
        <v>40</v>
      </c>
      <c r="D6" s="120" t="s">
        <v>25</v>
      </c>
      <c r="E6" s="120" t="s">
        <v>25</v>
      </c>
      <c r="F6" s="120" t="s">
        <v>59</v>
      </c>
      <c r="G6" s="120" t="s">
        <v>35</v>
      </c>
      <c r="H6" s="120" t="s">
        <v>102</v>
      </c>
      <c r="I6" s="120" t="s">
        <v>25</v>
      </c>
      <c r="J6" s="120">
        <v>9.0500000000000007</v>
      </c>
      <c r="K6" s="120">
        <v>0</v>
      </c>
      <c r="L6" s="120">
        <v>0</v>
      </c>
      <c r="M6" s="120">
        <v>0.10547230624631</v>
      </c>
      <c r="N6" s="120">
        <v>0.21697390486523199</v>
      </c>
      <c r="O6" s="120">
        <v>1.87281849766874E-2</v>
      </c>
      <c r="P6" s="120">
        <v>0</v>
      </c>
      <c r="Q6" s="120">
        <v>0</v>
      </c>
      <c r="R6" s="120">
        <v>0</v>
      </c>
      <c r="S6" s="120">
        <v>0</v>
      </c>
      <c r="T6" s="120">
        <v>0</v>
      </c>
      <c r="U6" s="120">
        <v>0</v>
      </c>
      <c r="V6" s="120">
        <v>0</v>
      </c>
      <c r="W6" s="120">
        <v>0</v>
      </c>
      <c r="X6" s="120">
        <v>0</v>
      </c>
      <c r="Y6" s="120">
        <v>0</v>
      </c>
      <c r="Z6" s="120">
        <v>0</v>
      </c>
      <c r="AA6" s="120">
        <v>0</v>
      </c>
      <c r="AB6" s="120">
        <v>-0.97826648490269097</v>
      </c>
      <c r="AC6" s="120">
        <v>0</v>
      </c>
      <c r="AD6" s="120">
        <v>0</v>
      </c>
      <c r="AE6" s="120">
        <v>6.2125662246043403</v>
      </c>
      <c r="AF6" s="120">
        <v>0.18831286837220099</v>
      </c>
      <c r="AG6" s="120">
        <v>3.28472996547886</v>
      </c>
      <c r="AH6" s="120">
        <v>0</v>
      </c>
      <c r="AI6" s="120">
        <v>0</v>
      </c>
      <c r="AJ6" s="120">
        <v>0</v>
      </c>
      <c r="AK6" s="120">
        <v>0</v>
      </c>
      <c r="AL6" s="120">
        <v>0</v>
      </c>
      <c r="AM6" s="120">
        <v>0</v>
      </c>
      <c r="AN6" s="120">
        <v>0</v>
      </c>
      <c r="AO6" s="120">
        <v>0</v>
      </c>
      <c r="AP6" s="120">
        <v>0</v>
      </c>
      <c r="AQ6" s="120">
        <v>0</v>
      </c>
      <c r="AR6" s="120">
        <v>0</v>
      </c>
      <c r="AS6" s="120">
        <v>0</v>
      </c>
      <c r="AT6" s="121">
        <v>0</v>
      </c>
    </row>
    <row r="7" spans="2:46" ht="12" customHeight="1" x14ac:dyDescent="0.25">
      <c r="B7" s="119" t="s">
        <v>39</v>
      </c>
      <c r="C7" s="120" t="s">
        <v>40</v>
      </c>
      <c r="D7" s="120" t="s">
        <v>25</v>
      </c>
      <c r="E7" s="120" t="s">
        <v>25</v>
      </c>
      <c r="F7" s="120" t="s">
        <v>59</v>
      </c>
      <c r="G7" s="120" t="s">
        <v>35</v>
      </c>
      <c r="H7" s="120" t="s">
        <v>105</v>
      </c>
      <c r="I7" s="120" t="s">
        <v>25</v>
      </c>
      <c r="J7" s="120">
        <v>11.06</v>
      </c>
      <c r="K7" s="120">
        <v>0</v>
      </c>
      <c r="L7" s="120">
        <v>0</v>
      </c>
      <c r="M7" s="120">
        <v>0</v>
      </c>
      <c r="N7" s="120">
        <v>0</v>
      </c>
      <c r="O7" s="120">
        <v>0</v>
      </c>
      <c r="P7" s="120">
        <v>0</v>
      </c>
      <c r="Q7" s="120">
        <v>0</v>
      </c>
      <c r="R7" s="120">
        <v>0</v>
      </c>
      <c r="S7" s="120">
        <v>0</v>
      </c>
      <c r="T7" s="120">
        <v>7.25353426118245</v>
      </c>
      <c r="U7" s="120">
        <v>2.2227541317382</v>
      </c>
      <c r="V7" s="120">
        <v>0.32778064595295398</v>
      </c>
      <c r="W7" s="120">
        <v>1.90885495488749E-2</v>
      </c>
      <c r="X7" s="120">
        <v>0.22441346190181199</v>
      </c>
      <c r="Y7" s="120">
        <v>0</v>
      </c>
      <c r="Z7" s="120">
        <v>0</v>
      </c>
      <c r="AA7" s="120">
        <v>2.0767290234103801</v>
      </c>
      <c r="AB7" s="120">
        <v>-1.06525658975494</v>
      </c>
      <c r="AC7" s="120">
        <v>0</v>
      </c>
      <c r="AD7" s="120">
        <v>0</v>
      </c>
      <c r="AE7" s="120">
        <v>0</v>
      </c>
      <c r="AF7" s="120">
        <v>0</v>
      </c>
      <c r="AG7" s="120">
        <v>0</v>
      </c>
      <c r="AH7" s="120">
        <v>0</v>
      </c>
      <c r="AI7" s="120">
        <v>0</v>
      </c>
      <c r="AJ7" s="120">
        <v>0</v>
      </c>
      <c r="AK7" s="120">
        <v>0</v>
      </c>
      <c r="AL7" s="120">
        <v>0</v>
      </c>
      <c r="AM7" s="120">
        <v>0</v>
      </c>
      <c r="AN7" s="120">
        <v>0</v>
      </c>
      <c r="AO7" s="120">
        <v>0</v>
      </c>
      <c r="AP7" s="120">
        <v>0</v>
      </c>
      <c r="AQ7" s="120">
        <v>0</v>
      </c>
      <c r="AR7" s="120">
        <v>0</v>
      </c>
      <c r="AS7" s="120">
        <v>0</v>
      </c>
      <c r="AT7" s="121">
        <v>0</v>
      </c>
    </row>
    <row r="8" spans="2:46" ht="12" customHeight="1" x14ac:dyDescent="0.25">
      <c r="B8" s="119" t="s">
        <v>39</v>
      </c>
      <c r="C8" s="120" t="s">
        <v>40</v>
      </c>
      <c r="D8" s="120" t="s">
        <v>25</v>
      </c>
      <c r="E8" s="120" t="s">
        <v>25</v>
      </c>
      <c r="F8" s="120" t="s">
        <v>25</v>
      </c>
      <c r="G8" s="120" t="s">
        <v>34</v>
      </c>
      <c r="H8" s="120" t="s">
        <v>102</v>
      </c>
      <c r="I8" s="120" t="s">
        <v>25</v>
      </c>
      <c r="J8" s="120">
        <v>55.31</v>
      </c>
      <c r="K8" s="120">
        <v>360.26</v>
      </c>
      <c r="L8" s="120">
        <v>2.64182124360577</v>
      </c>
      <c r="M8" s="120">
        <v>0.10547230624631</v>
      </c>
      <c r="N8" s="120">
        <v>0.22769923874022599</v>
      </c>
      <c r="O8" s="120">
        <v>1.87281849766874E-2</v>
      </c>
      <c r="P8" s="120">
        <v>0</v>
      </c>
      <c r="Q8" s="120">
        <v>29.264190315193801</v>
      </c>
      <c r="R8" s="120">
        <v>18.051835405677402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0</v>
      </c>
      <c r="Y8" s="120">
        <v>0</v>
      </c>
      <c r="Z8" s="120">
        <v>0</v>
      </c>
      <c r="AA8" s="120">
        <v>0</v>
      </c>
      <c r="AB8" s="120">
        <v>-4.6872665769949604</v>
      </c>
      <c r="AC8" s="120">
        <v>0</v>
      </c>
      <c r="AD8" s="120">
        <v>0</v>
      </c>
      <c r="AE8" s="120">
        <v>6.2125662246043403</v>
      </c>
      <c r="AF8" s="120">
        <v>0.18831286837220099</v>
      </c>
      <c r="AG8" s="120">
        <v>3.28472996547886</v>
      </c>
      <c r="AH8" s="120">
        <v>0</v>
      </c>
      <c r="AI8" s="120">
        <v>5.6985652074762703</v>
      </c>
      <c r="AJ8" s="120">
        <v>-17.093827857921202</v>
      </c>
      <c r="AK8" s="120">
        <v>2.52924088987622</v>
      </c>
      <c r="AL8" s="120">
        <v>58.712738107516898</v>
      </c>
      <c r="AM8" s="120">
        <v>0</v>
      </c>
      <c r="AN8" s="120">
        <v>339.762278152737</v>
      </c>
      <c r="AO8" s="120">
        <v>0</v>
      </c>
      <c r="AP8" s="120">
        <v>0</v>
      </c>
      <c r="AQ8" s="120">
        <v>2.6775784651651402E-13</v>
      </c>
      <c r="AR8" s="120">
        <v>-34.829197288659799</v>
      </c>
      <c r="AS8" s="120">
        <v>0</v>
      </c>
      <c r="AT8" s="121">
        <v>5.48049466464576</v>
      </c>
    </row>
    <row r="9" spans="2:46" ht="12" customHeight="1" x14ac:dyDescent="0.25">
      <c r="B9" s="119" t="s">
        <v>39</v>
      </c>
      <c r="C9" s="120" t="s">
        <v>40</v>
      </c>
      <c r="D9" s="120" t="s">
        <v>25</v>
      </c>
      <c r="E9" s="120" t="s">
        <v>25</v>
      </c>
      <c r="F9" s="120" t="s">
        <v>25</v>
      </c>
      <c r="G9" s="120" t="s">
        <v>34</v>
      </c>
      <c r="H9" s="120" t="s">
        <v>105</v>
      </c>
      <c r="I9" s="120" t="s">
        <v>25</v>
      </c>
      <c r="J9" s="120">
        <v>21.31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9.0155864436696707</v>
      </c>
      <c r="U9" s="120">
        <v>2.7963118645553502</v>
      </c>
      <c r="V9" s="120">
        <v>0.44551159706489502</v>
      </c>
      <c r="W9" s="120">
        <v>2.59202409663669E-2</v>
      </c>
      <c r="X9" s="120">
        <v>0.52702143917343103</v>
      </c>
      <c r="Y9" s="120">
        <v>0</v>
      </c>
      <c r="Z9" s="120">
        <v>0</v>
      </c>
      <c r="AA9" s="120">
        <v>10.588507070525299</v>
      </c>
      <c r="AB9" s="120">
        <v>-2.0860112962374799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  <c r="AK9" s="120">
        <v>0</v>
      </c>
      <c r="AL9" s="120">
        <v>0</v>
      </c>
      <c r="AM9" s="120">
        <v>0</v>
      </c>
      <c r="AN9" s="120">
        <v>0</v>
      </c>
      <c r="AO9" s="120">
        <v>0</v>
      </c>
      <c r="AP9" s="120">
        <v>0</v>
      </c>
      <c r="AQ9" s="120">
        <v>0</v>
      </c>
      <c r="AR9" s="120">
        <v>0</v>
      </c>
      <c r="AS9" s="120">
        <v>0</v>
      </c>
      <c r="AT9" s="121">
        <v>0</v>
      </c>
    </row>
    <row r="10" spans="2:46" ht="12" customHeight="1" x14ac:dyDescent="0.25">
      <c r="B10" s="119" t="s">
        <v>39</v>
      </c>
      <c r="C10" s="120" t="s">
        <v>40</v>
      </c>
      <c r="D10" s="120" t="s">
        <v>25</v>
      </c>
      <c r="E10" s="120" t="s">
        <v>25</v>
      </c>
      <c r="F10" s="120" t="s">
        <v>25</v>
      </c>
      <c r="G10" s="120" t="s">
        <v>35</v>
      </c>
      <c r="H10" s="120" t="s">
        <v>102</v>
      </c>
      <c r="I10" s="120" t="s">
        <v>25</v>
      </c>
      <c r="J10" s="120">
        <v>55.31</v>
      </c>
      <c r="K10" s="120">
        <v>231.76</v>
      </c>
      <c r="L10" s="120">
        <v>2.64182124360577</v>
      </c>
      <c r="M10" s="120">
        <v>0.10547230624631</v>
      </c>
      <c r="N10" s="120">
        <v>0.22769923874022599</v>
      </c>
      <c r="O10" s="120">
        <v>1.87281849766874E-2</v>
      </c>
      <c r="P10" s="120">
        <v>0</v>
      </c>
      <c r="Q10" s="120">
        <v>29.264190315193801</v>
      </c>
      <c r="R10" s="120">
        <v>18.051835405677402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-4.6872665769949604</v>
      </c>
      <c r="AC10" s="120">
        <v>0</v>
      </c>
      <c r="AD10" s="120">
        <v>0</v>
      </c>
      <c r="AE10" s="120">
        <v>6.2125662246043403</v>
      </c>
      <c r="AF10" s="120">
        <v>0.18831286837220099</v>
      </c>
      <c r="AG10" s="120">
        <v>3.28472996547886</v>
      </c>
      <c r="AH10" s="120">
        <v>0</v>
      </c>
      <c r="AI10" s="120">
        <v>5.6985652074762703</v>
      </c>
      <c r="AJ10" s="120">
        <v>-17.093827857921202</v>
      </c>
      <c r="AK10" s="120">
        <v>2.52924088987622</v>
      </c>
      <c r="AL10" s="120">
        <v>58.712738107516898</v>
      </c>
      <c r="AM10" s="120">
        <v>0</v>
      </c>
      <c r="AN10" s="120">
        <v>197.536208228335</v>
      </c>
      <c r="AO10" s="120">
        <v>0</v>
      </c>
      <c r="AP10" s="120">
        <v>0</v>
      </c>
      <c r="AQ10" s="120">
        <v>2.6775784651651402E-13</v>
      </c>
      <c r="AR10" s="120">
        <v>-21.100845396607799</v>
      </c>
      <c r="AS10" s="120">
        <v>0</v>
      </c>
      <c r="AT10" s="121">
        <v>5.48049466464576</v>
      </c>
    </row>
    <row r="11" spans="2:46" ht="12" customHeight="1" x14ac:dyDescent="0.25">
      <c r="B11" s="119" t="s">
        <v>39</v>
      </c>
      <c r="C11" s="120" t="s">
        <v>40</v>
      </c>
      <c r="D11" s="120" t="s">
        <v>25</v>
      </c>
      <c r="E11" s="120" t="s">
        <v>25</v>
      </c>
      <c r="F11" s="120" t="s">
        <v>25</v>
      </c>
      <c r="G11" s="120" t="s">
        <v>35</v>
      </c>
      <c r="H11" s="120" t="s">
        <v>105</v>
      </c>
      <c r="I11" s="120" t="s">
        <v>25</v>
      </c>
      <c r="J11" s="120">
        <v>11.06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7.25353426118245</v>
      </c>
      <c r="U11" s="120">
        <v>2.2227541317382</v>
      </c>
      <c r="V11" s="120">
        <v>0.32778064595295398</v>
      </c>
      <c r="W11" s="120">
        <v>1.90885495488749E-2</v>
      </c>
      <c r="X11" s="120">
        <v>0.22441346190181199</v>
      </c>
      <c r="Y11" s="120">
        <v>0</v>
      </c>
      <c r="Z11" s="120">
        <v>0</v>
      </c>
      <c r="AA11" s="120">
        <v>2.0767290234103801</v>
      </c>
      <c r="AB11" s="120">
        <v>-1.06525658975494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  <c r="AK11" s="120">
        <v>0</v>
      </c>
      <c r="AL11" s="120">
        <v>0</v>
      </c>
      <c r="AM11" s="120">
        <v>0</v>
      </c>
      <c r="AN11" s="120">
        <v>0</v>
      </c>
      <c r="AO11" s="120">
        <v>0</v>
      </c>
      <c r="AP11" s="120">
        <v>0</v>
      </c>
      <c r="AQ11" s="120">
        <v>0</v>
      </c>
      <c r="AR11" s="120">
        <v>0</v>
      </c>
      <c r="AS11" s="120">
        <v>0</v>
      </c>
      <c r="AT11" s="121">
        <v>0</v>
      </c>
    </row>
    <row r="12" spans="2:46" ht="12" customHeight="1" x14ac:dyDescent="0.25">
      <c r="B12" s="119" t="s">
        <v>39</v>
      </c>
      <c r="C12" s="120" t="s">
        <v>62</v>
      </c>
      <c r="D12" s="120" t="s">
        <v>25</v>
      </c>
      <c r="E12" s="120" t="s">
        <v>25</v>
      </c>
      <c r="F12" s="120" t="s">
        <v>25</v>
      </c>
      <c r="G12" s="120" t="s">
        <v>34</v>
      </c>
      <c r="H12" s="120" t="s">
        <v>105</v>
      </c>
      <c r="I12" s="120" t="s">
        <v>65</v>
      </c>
      <c r="J12" s="120">
        <v>23.4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9.0155864436696707</v>
      </c>
      <c r="U12" s="120">
        <v>2.7963118645553502</v>
      </c>
      <c r="V12" s="120">
        <v>0.44551159706489502</v>
      </c>
      <c r="W12" s="120">
        <v>2.59202409663669E-2</v>
      </c>
      <c r="X12" s="120">
        <v>0.52702143917343103</v>
      </c>
      <c r="Y12" s="120">
        <v>0</v>
      </c>
      <c r="Z12" s="120">
        <v>0</v>
      </c>
      <c r="AA12" s="120">
        <v>10.588507070525299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  <c r="AK12" s="120">
        <v>0</v>
      </c>
      <c r="AL12" s="120">
        <v>0</v>
      </c>
      <c r="AM12" s="120">
        <v>0</v>
      </c>
      <c r="AN12" s="120">
        <v>0</v>
      </c>
      <c r="AO12" s="120">
        <v>0</v>
      </c>
      <c r="AP12" s="120">
        <v>0</v>
      </c>
      <c r="AQ12" s="120">
        <v>0</v>
      </c>
      <c r="AR12" s="120">
        <v>0</v>
      </c>
      <c r="AS12" s="120">
        <v>0</v>
      </c>
      <c r="AT12" s="121">
        <v>0</v>
      </c>
    </row>
    <row r="13" spans="2:46" ht="12" customHeight="1" x14ac:dyDescent="0.25">
      <c r="B13" s="119" t="s">
        <v>39</v>
      </c>
      <c r="C13" s="120" t="s">
        <v>62</v>
      </c>
      <c r="D13" s="120" t="s">
        <v>25</v>
      </c>
      <c r="E13" s="120" t="s">
        <v>25</v>
      </c>
      <c r="F13" s="120" t="s">
        <v>25</v>
      </c>
      <c r="G13" s="120" t="s">
        <v>25</v>
      </c>
      <c r="H13" s="120" t="s">
        <v>102</v>
      </c>
      <c r="I13" s="120" t="s">
        <v>65</v>
      </c>
      <c r="J13" s="120">
        <v>6.4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6.2125662246043403</v>
      </c>
      <c r="AF13" s="120">
        <v>0.18831286837220099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</v>
      </c>
      <c r="AO13" s="120">
        <v>0</v>
      </c>
      <c r="AP13" s="120">
        <v>0</v>
      </c>
      <c r="AQ13" s="120">
        <v>0</v>
      </c>
      <c r="AR13" s="120">
        <v>0</v>
      </c>
      <c r="AS13" s="120">
        <v>0</v>
      </c>
      <c r="AT13" s="121">
        <v>0</v>
      </c>
    </row>
    <row r="14" spans="2:46" ht="12" customHeight="1" x14ac:dyDescent="0.25">
      <c r="B14" s="119" t="s">
        <v>39</v>
      </c>
      <c r="C14" s="120" t="s">
        <v>62</v>
      </c>
      <c r="D14" s="120" t="s">
        <v>25</v>
      </c>
      <c r="E14" s="120" t="s">
        <v>25</v>
      </c>
      <c r="F14" s="120" t="s">
        <v>25</v>
      </c>
      <c r="G14" s="120" t="s">
        <v>35</v>
      </c>
      <c r="H14" s="120" t="s">
        <v>105</v>
      </c>
      <c r="I14" s="120" t="s">
        <v>65</v>
      </c>
      <c r="J14" s="120">
        <v>12.12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7.25353426118245</v>
      </c>
      <c r="U14" s="120">
        <v>2.2227541317382</v>
      </c>
      <c r="V14" s="120">
        <v>0.32778064595295398</v>
      </c>
      <c r="W14" s="120">
        <v>1.90885495488749E-2</v>
      </c>
      <c r="X14" s="120">
        <v>0.22441346190181199</v>
      </c>
      <c r="Y14" s="120">
        <v>0</v>
      </c>
      <c r="Z14" s="120">
        <v>0</v>
      </c>
      <c r="AA14" s="120">
        <v>2.0767290234103801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0</v>
      </c>
      <c r="AT14" s="121">
        <v>0</v>
      </c>
    </row>
    <row r="15" spans="2:46" ht="12" customHeight="1" x14ac:dyDescent="0.25">
      <c r="B15" s="119" t="s">
        <v>39</v>
      </c>
      <c r="C15" s="120" t="s">
        <v>66</v>
      </c>
      <c r="D15" s="120" t="s">
        <v>25</v>
      </c>
      <c r="E15" s="120" t="s">
        <v>25</v>
      </c>
      <c r="F15" s="120" t="s">
        <v>25</v>
      </c>
      <c r="G15" s="120" t="s">
        <v>25</v>
      </c>
      <c r="H15" s="120" t="s">
        <v>105</v>
      </c>
      <c r="I15" s="120" t="s">
        <v>25</v>
      </c>
      <c r="J15" s="120">
        <v>12.8</v>
      </c>
      <c r="K15" s="120">
        <v>0</v>
      </c>
      <c r="L15" s="120">
        <v>0</v>
      </c>
      <c r="M15" s="120">
        <v>6.0881989990357099E-2</v>
      </c>
      <c r="N15" s="120">
        <v>0.142549658461157</v>
      </c>
      <c r="O15" s="120">
        <v>6.4439359210158604E-3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0.22727928404185099</v>
      </c>
      <c r="W15" s="120">
        <v>0</v>
      </c>
      <c r="X15" s="120">
        <v>0.94109459381286897</v>
      </c>
      <c r="Y15" s="120">
        <v>0</v>
      </c>
      <c r="Z15" s="120">
        <v>0</v>
      </c>
      <c r="AA15" s="120">
        <v>11.5294317383203</v>
      </c>
      <c r="AB15" s="120">
        <v>-1.2998627548949799</v>
      </c>
      <c r="AC15" s="120">
        <v>0</v>
      </c>
      <c r="AD15" s="120">
        <v>0</v>
      </c>
      <c r="AE15" s="120">
        <v>0.92890830107827604</v>
      </c>
      <c r="AF15" s="120">
        <v>0.26004800396816402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0</v>
      </c>
      <c r="AM15" s="120">
        <v>0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1">
        <v>0</v>
      </c>
    </row>
    <row r="16" spans="2:46" ht="12" customHeight="1" x14ac:dyDescent="0.25">
      <c r="B16" s="119" t="s">
        <v>41</v>
      </c>
      <c r="C16" s="120" t="s">
        <v>40</v>
      </c>
      <c r="D16" s="120" t="s">
        <v>25</v>
      </c>
      <c r="E16" s="120" t="s">
        <v>25</v>
      </c>
      <c r="F16" s="120" t="s">
        <v>59</v>
      </c>
      <c r="G16" s="120" t="s">
        <v>34</v>
      </c>
      <c r="H16" s="120" t="s">
        <v>102</v>
      </c>
      <c r="I16" s="120" t="s">
        <v>25</v>
      </c>
      <c r="J16" s="120">
        <v>21.14</v>
      </c>
      <c r="K16" s="120">
        <v>0</v>
      </c>
      <c r="L16" s="120">
        <v>0</v>
      </c>
      <c r="M16" s="120">
        <v>0.647699693730034</v>
      </c>
      <c r="N16" s="120">
        <v>0.49118184494981698</v>
      </c>
      <c r="O16" s="120">
        <v>1.87281849766874E-2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-2.28416542205564</v>
      </c>
      <c r="AC16" s="120">
        <v>0</v>
      </c>
      <c r="AD16" s="120">
        <v>0</v>
      </c>
      <c r="AE16" s="120">
        <v>13.335235581272</v>
      </c>
      <c r="AF16" s="120">
        <v>0.40421242558074899</v>
      </c>
      <c r="AG16" s="120">
        <v>8.5306826244234504</v>
      </c>
      <c r="AH16" s="120">
        <v>0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1">
        <v>0</v>
      </c>
    </row>
    <row r="17" spans="2:46" ht="12" customHeight="1" x14ac:dyDescent="0.25">
      <c r="B17" s="119" t="s">
        <v>41</v>
      </c>
      <c r="C17" s="120" t="s">
        <v>40</v>
      </c>
      <c r="D17" s="120" t="s">
        <v>25</v>
      </c>
      <c r="E17" s="120" t="s">
        <v>25</v>
      </c>
      <c r="F17" s="120" t="s">
        <v>59</v>
      </c>
      <c r="G17" s="120" t="s">
        <v>34</v>
      </c>
      <c r="H17" s="120" t="s">
        <v>105</v>
      </c>
      <c r="I17" s="120" t="s">
        <v>25</v>
      </c>
      <c r="J17" s="120">
        <v>52.23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7.73588010673555</v>
      </c>
      <c r="U17" s="120">
        <v>2.3993675369568601</v>
      </c>
      <c r="V17" s="120">
        <v>0.38228798932490599</v>
      </c>
      <c r="W17" s="120">
        <v>2.2202997106849202E-2</v>
      </c>
      <c r="X17" s="120">
        <v>0.58497173031866201</v>
      </c>
      <c r="Y17" s="120">
        <v>0</v>
      </c>
      <c r="Z17" s="120">
        <v>0</v>
      </c>
      <c r="AA17" s="120">
        <v>46.312968667281503</v>
      </c>
      <c r="AB17" s="120">
        <v>-5.2040056617098802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1">
        <v>0</v>
      </c>
    </row>
    <row r="18" spans="2:46" ht="12" customHeight="1" x14ac:dyDescent="0.25">
      <c r="B18" s="119" t="s">
        <v>41</v>
      </c>
      <c r="C18" s="120" t="s">
        <v>40</v>
      </c>
      <c r="D18" s="120" t="s">
        <v>25</v>
      </c>
      <c r="E18" s="120" t="s">
        <v>25</v>
      </c>
      <c r="F18" s="120" t="s">
        <v>59</v>
      </c>
      <c r="G18" s="120" t="s">
        <v>35</v>
      </c>
      <c r="H18" s="120" t="s">
        <v>102</v>
      </c>
      <c r="I18" s="120" t="s">
        <v>25</v>
      </c>
      <c r="J18" s="120">
        <v>21.14</v>
      </c>
      <c r="K18" s="120">
        <v>0</v>
      </c>
      <c r="L18" s="120">
        <v>0</v>
      </c>
      <c r="M18" s="120">
        <v>0.647699693730034</v>
      </c>
      <c r="N18" s="120">
        <v>0.49118184494981698</v>
      </c>
      <c r="O18" s="120">
        <v>1.87281849766874E-2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-2.28416542205564</v>
      </c>
      <c r="AC18" s="120">
        <v>0</v>
      </c>
      <c r="AD18" s="120">
        <v>0</v>
      </c>
      <c r="AE18" s="120">
        <v>13.335235581272</v>
      </c>
      <c r="AF18" s="120">
        <v>0.40421242558074899</v>
      </c>
      <c r="AG18" s="120">
        <v>8.5306826244234504</v>
      </c>
      <c r="AH18" s="120">
        <v>0</v>
      </c>
      <c r="AI18" s="120">
        <v>0</v>
      </c>
      <c r="AJ18" s="120">
        <v>0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1">
        <v>0</v>
      </c>
    </row>
    <row r="19" spans="2:46" ht="12" customHeight="1" x14ac:dyDescent="0.25">
      <c r="B19" s="119" t="s">
        <v>41</v>
      </c>
      <c r="C19" s="120" t="s">
        <v>40</v>
      </c>
      <c r="D19" s="120" t="s">
        <v>25</v>
      </c>
      <c r="E19" s="120" t="s">
        <v>25</v>
      </c>
      <c r="F19" s="120" t="s">
        <v>59</v>
      </c>
      <c r="G19" s="120" t="s">
        <v>35</v>
      </c>
      <c r="H19" s="120" t="s">
        <v>105</v>
      </c>
      <c r="I19" s="120" t="s">
        <v>25</v>
      </c>
      <c r="J19" s="120">
        <v>26.28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4.8310052748032497</v>
      </c>
      <c r="U19" s="120">
        <v>1.49068687350841</v>
      </c>
      <c r="V19" s="120">
        <v>0.21802937348780799</v>
      </c>
      <c r="W19" s="120">
        <v>1.26587223324118E-2</v>
      </c>
      <c r="X19" s="120">
        <v>0.19044921841603099</v>
      </c>
      <c r="Y19" s="120">
        <v>0</v>
      </c>
      <c r="Z19" s="120">
        <v>0</v>
      </c>
      <c r="AA19" s="120">
        <v>22.1489278215249</v>
      </c>
      <c r="AB19" s="120">
        <v>-2.61159300509226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1">
        <v>0</v>
      </c>
    </row>
    <row r="20" spans="2:46" ht="12" customHeight="1" x14ac:dyDescent="0.25">
      <c r="B20" s="119" t="s">
        <v>41</v>
      </c>
      <c r="C20" s="120" t="s">
        <v>40</v>
      </c>
      <c r="D20" s="120" t="s">
        <v>25</v>
      </c>
      <c r="E20" s="120" t="s">
        <v>25</v>
      </c>
      <c r="F20" s="120" t="s">
        <v>25</v>
      </c>
      <c r="G20" s="120" t="s">
        <v>34</v>
      </c>
      <c r="H20" s="120" t="s">
        <v>102</v>
      </c>
      <c r="I20" s="120" t="s">
        <v>25</v>
      </c>
      <c r="J20" s="120">
        <v>77.88</v>
      </c>
      <c r="K20" s="120">
        <v>360.26</v>
      </c>
      <c r="L20" s="120">
        <v>3.57924168488523</v>
      </c>
      <c r="M20" s="120">
        <v>0.647699693730034</v>
      </c>
      <c r="N20" s="120">
        <v>0.50190717882481195</v>
      </c>
      <c r="O20" s="120">
        <v>1.87281849766874E-2</v>
      </c>
      <c r="P20" s="120">
        <v>0</v>
      </c>
      <c r="Q20" s="120">
        <v>39.648257846391502</v>
      </c>
      <c r="R20" s="120">
        <v>18.051835405677402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-6.84159866474661</v>
      </c>
      <c r="AC20" s="120">
        <v>0</v>
      </c>
      <c r="AD20" s="120">
        <v>0</v>
      </c>
      <c r="AE20" s="120">
        <v>13.335235581272</v>
      </c>
      <c r="AF20" s="120">
        <v>0.40421242558074899</v>
      </c>
      <c r="AG20" s="120">
        <v>8.5306826244234504</v>
      </c>
      <c r="AH20" s="120">
        <v>0</v>
      </c>
      <c r="AI20" s="120">
        <v>5.6985652074762703</v>
      </c>
      <c r="AJ20" s="120">
        <v>-17.093827857921202</v>
      </c>
      <c r="AK20" s="120">
        <v>2.52924088987622</v>
      </c>
      <c r="AL20" s="120">
        <v>58.712738107516898</v>
      </c>
      <c r="AM20" s="120">
        <v>0</v>
      </c>
      <c r="AN20" s="120">
        <v>339.762278152737</v>
      </c>
      <c r="AO20" s="120">
        <v>0</v>
      </c>
      <c r="AP20" s="120">
        <v>0</v>
      </c>
      <c r="AQ20" s="120">
        <v>2.6775784651651402E-13</v>
      </c>
      <c r="AR20" s="120">
        <v>-34.829197288659799</v>
      </c>
      <c r="AS20" s="120">
        <v>0</v>
      </c>
      <c r="AT20" s="121">
        <v>5.48049466464576</v>
      </c>
    </row>
    <row r="21" spans="2:46" ht="12" customHeight="1" x14ac:dyDescent="0.25">
      <c r="B21" s="119" t="s">
        <v>41</v>
      </c>
      <c r="C21" s="120" t="s">
        <v>40</v>
      </c>
      <c r="D21" s="120" t="s">
        <v>25</v>
      </c>
      <c r="E21" s="120" t="s">
        <v>25</v>
      </c>
      <c r="F21" s="120" t="s">
        <v>25</v>
      </c>
      <c r="G21" s="120" t="s">
        <v>34</v>
      </c>
      <c r="H21" s="120" t="s">
        <v>105</v>
      </c>
      <c r="I21" s="120" t="s">
        <v>25</v>
      </c>
      <c r="J21" s="120">
        <v>52.23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7.73588010673555</v>
      </c>
      <c r="U21" s="120">
        <v>2.3993675369568601</v>
      </c>
      <c r="V21" s="120">
        <v>0.38228798932490599</v>
      </c>
      <c r="W21" s="120">
        <v>2.2202997106849202E-2</v>
      </c>
      <c r="X21" s="120">
        <v>0.58497173031866201</v>
      </c>
      <c r="Y21" s="120">
        <v>0</v>
      </c>
      <c r="Z21" s="120">
        <v>0</v>
      </c>
      <c r="AA21" s="120">
        <v>46.312968667281503</v>
      </c>
      <c r="AB21" s="120">
        <v>-5.2040056617098802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1">
        <v>0</v>
      </c>
    </row>
    <row r="22" spans="2:46" ht="12" customHeight="1" x14ac:dyDescent="0.25">
      <c r="B22" s="119" t="s">
        <v>41</v>
      </c>
      <c r="C22" s="120" t="s">
        <v>40</v>
      </c>
      <c r="D22" s="120" t="s">
        <v>25</v>
      </c>
      <c r="E22" s="120" t="s">
        <v>25</v>
      </c>
      <c r="F22" s="120" t="s">
        <v>25</v>
      </c>
      <c r="G22" s="120" t="s">
        <v>35</v>
      </c>
      <c r="H22" s="120" t="s">
        <v>102</v>
      </c>
      <c r="I22" s="120" t="s">
        <v>25</v>
      </c>
      <c r="J22" s="120">
        <v>77.88</v>
      </c>
      <c r="K22" s="120">
        <v>231.76</v>
      </c>
      <c r="L22" s="120">
        <v>3.57924168488523</v>
      </c>
      <c r="M22" s="120">
        <v>0.647699693730034</v>
      </c>
      <c r="N22" s="120">
        <v>0.50190717882481195</v>
      </c>
      <c r="O22" s="120">
        <v>1.87281849766874E-2</v>
      </c>
      <c r="P22" s="120">
        <v>0</v>
      </c>
      <c r="Q22" s="120">
        <v>39.648257846391502</v>
      </c>
      <c r="R22" s="120">
        <v>18.051835405677402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-6.84159866474661</v>
      </c>
      <c r="AC22" s="120">
        <v>0</v>
      </c>
      <c r="AD22" s="120">
        <v>0</v>
      </c>
      <c r="AE22" s="120">
        <v>13.335235581272</v>
      </c>
      <c r="AF22" s="120">
        <v>0.40421242558074899</v>
      </c>
      <c r="AG22" s="120">
        <v>8.5306826244234504</v>
      </c>
      <c r="AH22" s="120">
        <v>0</v>
      </c>
      <c r="AI22" s="120">
        <v>5.6985652074762703</v>
      </c>
      <c r="AJ22" s="120">
        <v>-17.093827857921202</v>
      </c>
      <c r="AK22" s="120">
        <v>2.52924088987622</v>
      </c>
      <c r="AL22" s="120">
        <v>58.712738107516898</v>
      </c>
      <c r="AM22" s="120">
        <v>0</v>
      </c>
      <c r="AN22" s="120">
        <v>197.536208228335</v>
      </c>
      <c r="AO22" s="120">
        <v>0</v>
      </c>
      <c r="AP22" s="120">
        <v>0</v>
      </c>
      <c r="AQ22" s="120">
        <v>2.6775784651651402E-13</v>
      </c>
      <c r="AR22" s="120">
        <v>-21.100845396607799</v>
      </c>
      <c r="AS22" s="120">
        <v>0</v>
      </c>
      <c r="AT22" s="121">
        <v>5.48049466464576</v>
      </c>
    </row>
    <row r="23" spans="2:46" ht="12" customHeight="1" x14ac:dyDescent="0.25">
      <c r="B23" s="119" t="s">
        <v>41</v>
      </c>
      <c r="C23" s="120" t="s">
        <v>40</v>
      </c>
      <c r="D23" s="120" t="s">
        <v>25</v>
      </c>
      <c r="E23" s="120" t="s">
        <v>25</v>
      </c>
      <c r="F23" s="120" t="s">
        <v>25</v>
      </c>
      <c r="G23" s="120" t="s">
        <v>35</v>
      </c>
      <c r="H23" s="120" t="s">
        <v>105</v>
      </c>
      <c r="I23" s="120" t="s">
        <v>25</v>
      </c>
      <c r="J23" s="120">
        <v>26.28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4.8310052748032497</v>
      </c>
      <c r="U23" s="120">
        <v>1.49068687350841</v>
      </c>
      <c r="V23" s="120">
        <v>0.21802937348780799</v>
      </c>
      <c r="W23" s="120">
        <v>1.26587223324118E-2</v>
      </c>
      <c r="X23" s="120">
        <v>0.19044921841603099</v>
      </c>
      <c r="Y23" s="120">
        <v>0</v>
      </c>
      <c r="Z23" s="120">
        <v>0</v>
      </c>
      <c r="AA23" s="120">
        <v>22.1489278215249</v>
      </c>
      <c r="AB23" s="120">
        <v>-2.61159300509226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  <c r="AK23" s="120">
        <v>0</v>
      </c>
      <c r="AL23" s="120">
        <v>0</v>
      </c>
      <c r="AM23" s="120">
        <v>0</v>
      </c>
      <c r="AN23" s="120">
        <v>0</v>
      </c>
      <c r="AO23" s="120">
        <v>0</v>
      </c>
      <c r="AP23" s="120">
        <v>0</v>
      </c>
      <c r="AQ23" s="120">
        <v>0</v>
      </c>
      <c r="AR23" s="120">
        <v>0</v>
      </c>
      <c r="AS23" s="120">
        <v>0</v>
      </c>
      <c r="AT23" s="121">
        <v>0</v>
      </c>
    </row>
    <row r="24" spans="2:46" ht="12" customHeight="1" x14ac:dyDescent="0.25">
      <c r="B24" s="119" t="s">
        <v>41</v>
      </c>
      <c r="C24" s="120" t="s">
        <v>23</v>
      </c>
      <c r="D24" s="120" t="s">
        <v>25</v>
      </c>
      <c r="E24" s="120" t="s">
        <v>25</v>
      </c>
      <c r="F24" s="120" t="s">
        <v>25</v>
      </c>
      <c r="G24" s="120" t="s">
        <v>25</v>
      </c>
      <c r="H24" s="120" t="s">
        <v>102</v>
      </c>
      <c r="I24" s="120" t="s">
        <v>25</v>
      </c>
      <c r="J24" s="120">
        <v>0</v>
      </c>
      <c r="K24" s="120">
        <v>242.47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5.6985652074762703</v>
      </c>
      <c r="AJ24" s="120">
        <v>-17.093827857921202</v>
      </c>
      <c r="AK24" s="120">
        <v>2.52924088987622</v>
      </c>
      <c r="AL24" s="120">
        <v>58.712738107516898</v>
      </c>
      <c r="AM24" s="120">
        <v>0</v>
      </c>
      <c r="AN24" s="120">
        <v>209.38838072203501</v>
      </c>
      <c r="AO24" s="120">
        <v>0</v>
      </c>
      <c r="AP24" s="120">
        <v>0</v>
      </c>
      <c r="AQ24" s="120">
        <v>2.6775784651651402E-13</v>
      </c>
      <c r="AR24" s="120">
        <v>-22.244874720945401</v>
      </c>
      <c r="AS24" s="120">
        <v>0</v>
      </c>
      <c r="AT24" s="121">
        <v>5.48049466464576</v>
      </c>
    </row>
    <row r="25" spans="2:46" ht="12" customHeight="1" x14ac:dyDescent="0.25">
      <c r="B25" s="119" t="s">
        <v>41</v>
      </c>
      <c r="C25" s="120" t="s">
        <v>62</v>
      </c>
      <c r="D25" s="120" t="s">
        <v>25</v>
      </c>
      <c r="E25" s="120" t="s">
        <v>25</v>
      </c>
      <c r="F25" s="120" t="s">
        <v>25</v>
      </c>
      <c r="G25" s="120" t="s">
        <v>34</v>
      </c>
      <c r="H25" s="120" t="s">
        <v>105</v>
      </c>
      <c r="I25" s="120" t="s">
        <v>63</v>
      </c>
      <c r="J25" s="120">
        <v>27.75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7.73588010673555</v>
      </c>
      <c r="U25" s="120">
        <v>2.3993675369568601</v>
      </c>
      <c r="V25" s="120">
        <v>0.38228798932490599</v>
      </c>
      <c r="W25" s="120">
        <v>2.2202997106849202E-2</v>
      </c>
      <c r="X25" s="120">
        <v>0.58497173031866201</v>
      </c>
      <c r="Y25" s="120">
        <v>0</v>
      </c>
      <c r="Z25" s="120">
        <v>0</v>
      </c>
      <c r="AA25" s="120">
        <v>16.624963544798899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  <c r="AK25" s="120">
        <v>0</v>
      </c>
      <c r="AL25" s="120">
        <v>0</v>
      </c>
      <c r="AM25" s="120">
        <v>0</v>
      </c>
      <c r="AN25" s="120">
        <v>0</v>
      </c>
      <c r="AO25" s="120">
        <v>0</v>
      </c>
      <c r="AP25" s="120">
        <v>0</v>
      </c>
      <c r="AQ25" s="120">
        <v>0</v>
      </c>
      <c r="AR25" s="120">
        <v>0</v>
      </c>
      <c r="AS25" s="120">
        <v>0</v>
      </c>
      <c r="AT25" s="121">
        <v>0</v>
      </c>
    </row>
    <row r="26" spans="2:46" ht="12" customHeight="1" x14ac:dyDescent="0.25">
      <c r="B26" s="119" t="s">
        <v>41</v>
      </c>
      <c r="C26" s="120" t="s">
        <v>62</v>
      </c>
      <c r="D26" s="120" t="s">
        <v>25</v>
      </c>
      <c r="E26" s="120" t="s">
        <v>25</v>
      </c>
      <c r="F26" s="120" t="s">
        <v>25</v>
      </c>
      <c r="G26" s="120" t="s">
        <v>34</v>
      </c>
      <c r="H26" s="120" t="s">
        <v>105</v>
      </c>
      <c r="I26" s="120" t="s">
        <v>65</v>
      </c>
      <c r="J26" s="120">
        <v>27.75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7.73588010673555</v>
      </c>
      <c r="U26" s="120">
        <v>2.3993675369568601</v>
      </c>
      <c r="V26" s="120">
        <v>0.38228798932490599</v>
      </c>
      <c r="W26" s="120">
        <v>2.2202997106849202E-2</v>
      </c>
      <c r="X26" s="120">
        <v>0.58497173031866201</v>
      </c>
      <c r="Y26" s="120">
        <v>0</v>
      </c>
      <c r="Z26" s="120">
        <v>0</v>
      </c>
      <c r="AA26" s="120">
        <v>16.624963544798899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1">
        <v>0</v>
      </c>
    </row>
    <row r="27" spans="2:46" ht="12" customHeight="1" x14ac:dyDescent="0.25">
      <c r="B27" s="119" t="s">
        <v>41</v>
      </c>
      <c r="C27" s="120" t="s">
        <v>62</v>
      </c>
      <c r="D27" s="120" t="s">
        <v>25</v>
      </c>
      <c r="E27" s="120" t="s">
        <v>25</v>
      </c>
      <c r="F27" s="120" t="s">
        <v>25</v>
      </c>
      <c r="G27" s="120" t="s">
        <v>25</v>
      </c>
      <c r="H27" s="120" t="s">
        <v>102</v>
      </c>
      <c r="I27" s="120" t="s">
        <v>63</v>
      </c>
      <c r="J27" s="120">
        <v>13.74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13.335235581272</v>
      </c>
      <c r="AF27" s="120">
        <v>0.40421242558074899</v>
      </c>
      <c r="AG27" s="120">
        <v>0</v>
      </c>
      <c r="AH27" s="120">
        <v>0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</v>
      </c>
      <c r="AO27" s="120">
        <v>0</v>
      </c>
      <c r="AP27" s="120">
        <v>0</v>
      </c>
      <c r="AQ27" s="120">
        <v>0</v>
      </c>
      <c r="AR27" s="120">
        <v>0</v>
      </c>
      <c r="AS27" s="120">
        <v>0</v>
      </c>
      <c r="AT27" s="121">
        <v>0</v>
      </c>
    </row>
    <row r="28" spans="2:46" ht="12" customHeight="1" x14ac:dyDescent="0.25">
      <c r="B28" s="119" t="s">
        <v>41</v>
      </c>
      <c r="C28" s="120" t="s">
        <v>62</v>
      </c>
      <c r="D28" s="120" t="s">
        <v>25</v>
      </c>
      <c r="E28" s="120" t="s">
        <v>25</v>
      </c>
      <c r="F28" s="120" t="s">
        <v>25</v>
      </c>
      <c r="G28" s="120" t="s">
        <v>25</v>
      </c>
      <c r="H28" s="120" t="s">
        <v>102</v>
      </c>
      <c r="I28" s="120" t="s">
        <v>65</v>
      </c>
      <c r="J28" s="120">
        <v>13.74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13.335235581272</v>
      </c>
      <c r="AF28" s="120">
        <v>0.40421242558074899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1">
        <v>0</v>
      </c>
    </row>
    <row r="29" spans="2:46" ht="12" customHeight="1" x14ac:dyDescent="0.25">
      <c r="B29" s="119" t="s">
        <v>41</v>
      </c>
      <c r="C29" s="120" t="s">
        <v>62</v>
      </c>
      <c r="D29" s="120" t="s">
        <v>25</v>
      </c>
      <c r="E29" s="120" t="s">
        <v>25</v>
      </c>
      <c r="F29" s="120" t="s">
        <v>25</v>
      </c>
      <c r="G29" s="120" t="s">
        <v>35</v>
      </c>
      <c r="H29" s="120" t="s">
        <v>105</v>
      </c>
      <c r="I29" s="120" t="s">
        <v>63</v>
      </c>
      <c r="J29" s="120">
        <v>14.69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4.8310052748032497</v>
      </c>
      <c r="U29" s="120">
        <v>1.49068687350841</v>
      </c>
      <c r="V29" s="120">
        <v>0.21802937348780799</v>
      </c>
      <c r="W29" s="120">
        <v>1.26587223324118E-2</v>
      </c>
      <c r="X29" s="120">
        <v>0.19044921841603099</v>
      </c>
      <c r="Y29" s="120">
        <v>0</v>
      </c>
      <c r="Z29" s="120">
        <v>0</v>
      </c>
      <c r="AA29" s="120">
        <v>7.9508250910892402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1">
        <v>0</v>
      </c>
    </row>
    <row r="30" spans="2:46" ht="12" customHeight="1" x14ac:dyDescent="0.25">
      <c r="B30" s="119" t="s">
        <v>41</v>
      </c>
      <c r="C30" s="120" t="s">
        <v>62</v>
      </c>
      <c r="D30" s="120" t="s">
        <v>25</v>
      </c>
      <c r="E30" s="120" t="s">
        <v>25</v>
      </c>
      <c r="F30" s="120" t="s">
        <v>25</v>
      </c>
      <c r="G30" s="120" t="s">
        <v>35</v>
      </c>
      <c r="H30" s="120" t="s">
        <v>105</v>
      </c>
      <c r="I30" s="120" t="s">
        <v>65</v>
      </c>
      <c r="J30" s="120">
        <v>14.69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4.8310052748032497</v>
      </c>
      <c r="U30" s="120">
        <v>1.49068687350841</v>
      </c>
      <c r="V30" s="120">
        <v>0.21802937348780799</v>
      </c>
      <c r="W30" s="120">
        <v>1.26587223324118E-2</v>
      </c>
      <c r="X30" s="120">
        <v>0.19044921841603099</v>
      </c>
      <c r="Y30" s="120">
        <v>0</v>
      </c>
      <c r="Z30" s="120">
        <v>0</v>
      </c>
      <c r="AA30" s="120">
        <v>7.9508250910892402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1">
        <v>0</v>
      </c>
    </row>
    <row r="31" spans="2:46" ht="12" customHeight="1" x14ac:dyDescent="0.25">
      <c r="B31" s="119" t="s">
        <v>41</v>
      </c>
      <c r="C31" s="120" t="s">
        <v>66</v>
      </c>
      <c r="D31" s="120" t="s">
        <v>25</v>
      </c>
      <c r="E31" s="120" t="s">
        <v>25</v>
      </c>
      <c r="F31" s="120" t="s">
        <v>25</v>
      </c>
      <c r="G31" s="120" t="s">
        <v>25</v>
      </c>
      <c r="H31" s="120" t="s">
        <v>105</v>
      </c>
      <c r="I31" s="120" t="s">
        <v>25</v>
      </c>
      <c r="J31" s="120">
        <v>14.49</v>
      </c>
      <c r="K31" s="120">
        <v>0</v>
      </c>
      <c r="L31" s="120">
        <v>0</v>
      </c>
      <c r="M31" s="120">
        <v>5.3539003175142097E-2</v>
      </c>
      <c r="N31" s="120">
        <v>0.15079819428242799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15.746935556503701</v>
      </c>
      <c r="AB31" s="120">
        <v>-1.4575932884203699</v>
      </c>
      <c r="AC31" s="120">
        <v>0</v>
      </c>
      <c r="AD31" s="120">
        <v>0</v>
      </c>
      <c r="AE31" s="120">
        <v>6.0673542137551397E-4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1">
        <v>0</v>
      </c>
    </row>
    <row r="32" spans="2:46" ht="12" customHeight="1" x14ac:dyDescent="0.25">
      <c r="B32" s="119" t="s">
        <v>41</v>
      </c>
      <c r="C32" s="120" t="s">
        <v>42</v>
      </c>
      <c r="D32" s="120" t="s">
        <v>25</v>
      </c>
      <c r="E32" s="120" t="s">
        <v>25</v>
      </c>
      <c r="F32" s="120" t="s">
        <v>59</v>
      </c>
      <c r="G32" s="120" t="s">
        <v>34</v>
      </c>
      <c r="H32" s="120" t="s">
        <v>102</v>
      </c>
      <c r="I32" s="120" t="s">
        <v>25</v>
      </c>
      <c r="J32" s="120">
        <v>1289.1300000000001</v>
      </c>
      <c r="K32" s="120">
        <v>0</v>
      </c>
      <c r="L32" s="120">
        <v>0</v>
      </c>
      <c r="M32" s="120">
        <v>0.647699693730034</v>
      </c>
      <c r="N32" s="120">
        <v>13.4345544490289</v>
      </c>
      <c r="O32" s="120">
        <v>1.87281849766874E-2</v>
      </c>
      <c r="P32" s="120">
        <v>0</v>
      </c>
      <c r="Q32" s="120">
        <v>0</v>
      </c>
      <c r="R32" s="120">
        <v>0</v>
      </c>
      <c r="S32" s="120">
        <v>0</v>
      </c>
      <c r="T32" s="120">
        <v>186.04835246086199</v>
      </c>
      <c r="U32" s="120">
        <v>57.704038288057497</v>
      </c>
      <c r="V32" s="120">
        <v>9.1940015904066197</v>
      </c>
      <c r="W32" s="120">
        <v>0.534780785519268</v>
      </c>
      <c r="X32" s="120">
        <v>14.069352059317501</v>
      </c>
      <c r="Y32" s="120">
        <v>0</v>
      </c>
      <c r="Z32" s="120">
        <v>0</v>
      </c>
      <c r="AA32" s="120">
        <v>1113.8266828160099</v>
      </c>
      <c r="AB32" s="120">
        <v>-128.62320417776999</v>
      </c>
      <c r="AC32" s="120">
        <v>0</v>
      </c>
      <c r="AD32" s="120">
        <v>0</v>
      </c>
      <c r="AE32" s="120">
        <v>13.335235581272</v>
      </c>
      <c r="AF32" s="120">
        <v>0.40421242558074899</v>
      </c>
      <c r="AG32" s="120">
        <v>8.5306826244234504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1">
        <v>0</v>
      </c>
    </row>
    <row r="33" spans="2:46" ht="12" customHeight="1" x14ac:dyDescent="0.25">
      <c r="B33" s="119" t="s">
        <v>41</v>
      </c>
      <c r="C33" s="120" t="s">
        <v>42</v>
      </c>
      <c r="D33" s="120" t="s">
        <v>25</v>
      </c>
      <c r="E33" s="120" t="s">
        <v>25</v>
      </c>
      <c r="F33" s="120" t="s">
        <v>59</v>
      </c>
      <c r="G33" s="120" t="s">
        <v>25</v>
      </c>
      <c r="H33" s="120" t="s">
        <v>105</v>
      </c>
      <c r="I33" s="120" t="s">
        <v>25</v>
      </c>
      <c r="J33" s="120">
        <v>26.28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4.8310052748032497</v>
      </c>
      <c r="U33" s="120">
        <v>1.49068687350841</v>
      </c>
      <c r="V33" s="120">
        <v>0.21802937348780799</v>
      </c>
      <c r="W33" s="120">
        <v>1.26587223324118E-2</v>
      </c>
      <c r="X33" s="120">
        <v>0.19044921841603099</v>
      </c>
      <c r="Y33" s="120">
        <v>0</v>
      </c>
      <c r="Z33" s="120">
        <v>0</v>
      </c>
      <c r="AA33" s="120">
        <v>22.1489278215249</v>
      </c>
      <c r="AB33" s="120">
        <v>-2.61159300509226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0</v>
      </c>
      <c r="AN33" s="120">
        <v>0</v>
      </c>
      <c r="AO33" s="120">
        <v>0</v>
      </c>
      <c r="AP33" s="120">
        <v>0</v>
      </c>
      <c r="AQ33" s="120">
        <v>0</v>
      </c>
      <c r="AR33" s="120">
        <v>0</v>
      </c>
      <c r="AS33" s="120">
        <v>0</v>
      </c>
      <c r="AT33" s="121">
        <v>0</v>
      </c>
    </row>
    <row r="34" spans="2:46" ht="12" customHeight="1" x14ac:dyDescent="0.25">
      <c r="B34" s="119" t="s">
        <v>41</v>
      </c>
      <c r="C34" s="120" t="s">
        <v>42</v>
      </c>
      <c r="D34" s="120" t="s">
        <v>25</v>
      </c>
      <c r="E34" s="120" t="s">
        <v>25</v>
      </c>
      <c r="F34" s="120" t="s">
        <v>59</v>
      </c>
      <c r="G34" s="120" t="s">
        <v>35</v>
      </c>
      <c r="H34" s="120" t="s">
        <v>102</v>
      </c>
      <c r="I34" s="120" t="s">
        <v>25</v>
      </c>
      <c r="J34" s="120">
        <v>21.14</v>
      </c>
      <c r="K34" s="120">
        <v>0</v>
      </c>
      <c r="L34" s="120">
        <v>0</v>
      </c>
      <c r="M34" s="120">
        <v>0.647699693730034</v>
      </c>
      <c r="N34" s="120">
        <v>0.49118184494981698</v>
      </c>
      <c r="O34" s="120">
        <v>1.87281849766874E-2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-2.28416542205564</v>
      </c>
      <c r="AC34" s="120">
        <v>0</v>
      </c>
      <c r="AD34" s="120">
        <v>0</v>
      </c>
      <c r="AE34" s="120">
        <v>13.335235581272</v>
      </c>
      <c r="AF34" s="120">
        <v>0.40421242558074899</v>
      </c>
      <c r="AG34" s="120">
        <v>8.5306826244234504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1">
        <v>0</v>
      </c>
    </row>
    <row r="35" spans="2:46" ht="12" customHeight="1" x14ac:dyDescent="0.25">
      <c r="B35" s="119" t="s">
        <v>41</v>
      </c>
      <c r="C35" s="120" t="s">
        <v>42</v>
      </c>
      <c r="D35" s="120" t="s">
        <v>25</v>
      </c>
      <c r="E35" s="120" t="s">
        <v>25</v>
      </c>
      <c r="F35" s="120" t="s">
        <v>25</v>
      </c>
      <c r="G35" s="120" t="s">
        <v>34</v>
      </c>
      <c r="H35" s="120" t="s">
        <v>102</v>
      </c>
      <c r="I35" s="120" t="s">
        <v>25</v>
      </c>
      <c r="J35" s="120">
        <v>1345.86</v>
      </c>
      <c r="K35" s="120">
        <v>360.26</v>
      </c>
      <c r="L35" s="120">
        <v>3.57924168488523</v>
      </c>
      <c r="M35" s="120">
        <v>0.647699693730034</v>
      </c>
      <c r="N35" s="120">
        <v>13.445279782903899</v>
      </c>
      <c r="O35" s="120">
        <v>1.87281849766874E-2</v>
      </c>
      <c r="P35" s="120">
        <v>0</v>
      </c>
      <c r="Q35" s="120">
        <v>39.648257846391502</v>
      </c>
      <c r="R35" s="120">
        <v>18.051835405677402</v>
      </c>
      <c r="S35" s="120">
        <v>0</v>
      </c>
      <c r="T35" s="120">
        <v>186.04835246086199</v>
      </c>
      <c r="U35" s="120">
        <v>57.704038288057497</v>
      </c>
      <c r="V35" s="120">
        <v>9.1940015904066197</v>
      </c>
      <c r="W35" s="120">
        <v>0.534780785519268</v>
      </c>
      <c r="X35" s="120">
        <v>14.069352059317501</v>
      </c>
      <c r="Y35" s="120">
        <v>0</v>
      </c>
      <c r="Z35" s="120">
        <v>0</v>
      </c>
      <c r="AA35" s="120">
        <v>1113.8266828160099</v>
      </c>
      <c r="AB35" s="120">
        <v>-133.18063742046101</v>
      </c>
      <c r="AC35" s="120">
        <v>0</v>
      </c>
      <c r="AD35" s="120">
        <v>0</v>
      </c>
      <c r="AE35" s="120">
        <v>13.335235581272</v>
      </c>
      <c r="AF35" s="120">
        <v>0.40421242558074899</v>
      </c>
      <c r="AG35" s="120">
        <v>8.5306826244234504</v>
      </c>
      <c r="AH35" s="120">
        <v>0</v>
      </c>
      <c r="AI35" s="120">
        <v>5.6985652074762703</v>
      </c>
      <c r="AJ35" s="120">
        <v>-17.093827857921202</v>
      </c>
      <c r="AK35" s="120">
        <v>2.52924088987622</v>
      </c>
      <c r="AL35" s="120">
        <v>58.712738107516898</v>
      </c>
      <c r="AM35" s="120">
        <v>0</v>
      </c>
      <c r="AN35" s="120">
        <v>339.762278152737</v>
      </c>
      <c r="AO35" s="120">
        <v>0</v>
      </c>
      <c r="AP35" s="120">
        <v>0</v>
      </c>
      <c r="AQ35" s="120">
        <v>2.6775784651651402E-13</v>
      </c>
      <c r="AR35" s="120">
        <v>-34.829197288659799</v>
      </c>
      <c r="AS35" s="120">
        <v>0</v>
      </c>
      <c r="AT35" s="121">
        <v>5.48049466464576</v>
      </c>
    </row>
    <row r="36" spans="2:46" ht="12" customHeight="1" x14ac:dyDescent="0.25">
      <c r="B36" s="119" t="s">
        <v>41</v>
      </c>
      <c r="C36" s="120" t="s">
        <v>42</v>
      </c>
      <c r="D36" s="120" t="s">
        <v>25</v>
      </c>
      <c r="E36" s="120" t="s">
        <v>25</v>
      </c>
      <c r="F36" s="120" t="s">
        <v>25</v>
      </c>
      <c r="G36" s="120" t="s">
        <v>25</v>
      </c>
      <c r="H36" s="120" t="s">
        <v>105</v>
      </c>
      <c r="I36" s="120" t="s">
        <v>25</v>
      </c>
      <c r="J36" s="120">
        <v>26.28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4.8310052748032497</v>
      </c>
      <c r="U36" s="120">
        <v>1.49068687350841</v>
      </c>
      <c r="V36" s="120">
        <v>0.21802937348780799</v>
      </c>
      <c r="W36" s="120">
        <v>1.26587223324118E-2</v>
      </c>
      <c r="X36" s="120">
        <v>0.19044921841603099</v>
      </c>
      <c r="Y36" s="120">
        <v>0</v>
      </c>
      <c r="Z36" s="120">
        <v>0</v>
      </c>
      <c r="AA36" s="120">
        <v>22.1489278215249</v>
      </c>
      <c r="AB36" s="120">
        <v>-2.61159300509226</v>
      </c>
      <c r="AC36" s="120">
        <v>0</v>
      </c>
      <c r="AD36" s="120">
        <v>0</v>
      </c>
      <c r="AE36" s="120">
        <v>0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1">
        <v>0</v>
      </c>
    </row>
    <row r="37" spans="2:46" ht="12" customHeight="1" x14ac:dyDescent="0.25">
      <c r="B37" s="119" t="s">
        <v>41</v>
      </c>
      <c r="C37" s="120" t="s">
        <v>42</v>
      </c>
      <c r="D37" s="120" t="s">
        <v>25</v>
      </c>
      <c r="E37" s="120" t="s">
        <v>25</v>
      </c>
      <c r="F37" s="120" t="s">
        <v>25</v>
      </c>
      <c r="G37" s="120" t="s">
        <v>35</v>
      </c>
      <c r="H37" s="120" t="s">
        <v>102</v>
      </c>
      <c r="I37" s="120" t="s">
        <v>25</v>
      </c>
      <c r="J37" s="120">
        <v>77.88</v>
      </c>
      <c r="K37" s="120">
        <v>231.76</v>
      </c>
      <c r="L37" s="120">
        <v>3.57924168488523</v>
      </c>
      <c r="M37" s="120">
        <v>0.647699693730034</v>
      </c>
      <c r="N37" s="120">
        <v>0.50190717882481195</v>
      </c>
      <c r="O37" s="120">
        <v>1.87281849766874E-2</v>
      </c>
      <c r="P37" s="120">
        <v>0</v>
      </c>
      <c r="Q37" s="120">
        <v>39.648257846391502</v>
      </c>
      <c r="R37" s="120">
        <v>18.051835405677402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-6.84159866474661</v>
      </c>
      <c r="AC37" s="120">
        <v>0</v>
      </c>
      <c r="AD37" s="120">
        <v>0</v>
      </c>
      <c r="AE37" s="120">
        <v>13.335235581272</v>
      </c>
      <c r="AF37" s="120">
        <v>0.40421242558074899</v>
      </c>
      <c r="AG37" s="120">
        <v>8.5306826244234504</v>
      </c>
      <c r="AH37" s="120">
        <v>0</v>
      </c>
      <c r="AI37" s="120">
        <v>5.6985652074762703</v>
      </c>
      <c r="AJ37" s="120">
        <v>-17.093827857921202</v>
      </c>
      <c r="AK37" s="120">
        <v>2.52924088987622</v>
      </c>
      <c r="AL37" s="120">
        <v>58.712738107516898</v>
      </c>
      <c r="AM37" s="120">
        <v>0</v>
      </c>
      <c r="AN37" s="120">
        <v>197.536208228335</v>
      </c>
      <c r="AO37" s="120">
        <v>0</v>
      </c>
      <c r="AP37" s="120">
        <v>0</v>
      </c>
      <c r="AQ37" s="120">
        <v>2.6775784651651402E-13</v>
      </c>
      <c r="AR37" s="120">
        <v>-21.100845396607799</v>
      </c>
      <c r="AS37" s="120">
        <v>0</v>
      </c>
      <c r="AT37" s="121">
        <v>5.48049466464576</v>
      </c>
    </row>
    <row r="38" spans="2:46" ht="12" customHeight="1" x14ac:dyDescent="0.25">
      <c r="B38" s="119" t="s">
        <v>110</v>
      </c>
      <c r="C38" s="120" t="s">
        <v>66</v>
      </c>
      <c r="D38" s="120" t="s">
        <v>25</v>
      </c>
      <c r="E38" s="120" t="s">
        <v>25</v>
      </c>
      <c r="F38" s="120" t="s">
        <v>111</v>
      </c>
      <c r="G38" s="120" t="s">
        <v>25</v>
      </c>
      <c r="H38" s="120" t="s">
        <v>105</v>
      </c>
      <c r="I38" s="120" t="s">
        <v>25</v>
      </c>
      <c r="J38" s="120">
        <v>6.08</v>
      </c>
      <c r="K38" s="120">
        <v>0</v>
      </c>
      <c r="L38" s="120">
        <v>0</v>
      </c>
      <c r="M38" s="120">
        <v>2.2467260260997102E-2</v>
      </c>
      <c r="N38" s="120">
        <v>6.3172216523719696E-2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6.6007825689404296</v>
      </c>
      <c r="AB38" s="120">
        <v>-0.61096617408564202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1">
        <v>0</v>
      </c>
    </row>
    <row r="39" spans="2:46" ht="12" customHeight="1" x14ac:dyDescent="0.25">
      <c r="B39" s="119" t="s">
        <v>110</v>
      </c>
      <c r="C39" s="120" t="s">
        <v>66</v>
      </c>
      <c r="D39" s="120" t="s">
        <v>25</v>
      </c>
      <c r="E39" s="120" t="s">
        <v>25</v>
      </c>
      <c r="F39" s="120" t="s">
        <v>112</v>
      </c>
      <c r="G39" s="120" t="s">
        <v>25</v>
      </c>
      <c r="H39" s="120" t="s">
        <v>105</v>
      </c>
      <c r="I39" s="120" t="s">
        <v>25</v>
      </c>
      <c r="J39" s="120">
        <v>16.91</v>
      </c>
      <c r="K39" s="120">
        <v>0</v>
      </c>
      <c r="L39" s="120">
        <v>0</v>
      </c>
      <c r="M39" s="120">
        <v>2.2467260260997102E-2</v>
      </c>
      <c r="N39" s="120">
        <v>6.3172216523719696E-2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18.524715227502799</v>
      </c>
      <c r="AB39" s="120">
        <v>-1.7004265830513099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  <c r="AK39" s="120">
        <v>0</v>
      </c>
      <c r="AL39" s="120">
        <v>0</v>
      </c>
      <c r="AM39" s="120">
        <v>0</v>
      </c>
      <c r="AN39" s="120">
        <v>0</v>
      </c>
      <c r="AO39" s="120">
        <v>0</v>
      </c>
      <c r="AP39" s="120">
        <v>0</v>
      </c>
      <c r="AQ39" s="120">
        <v>0</v>
      </c>
      <c r="AR39" s="120">
        <v>0</v>
      </c>
      <c r="AS39" s="120">
        <v>0</v>
      </c>
      <c r="AT39" s="121">
        <v>0</v>
      </c>
    </row>
    <row r="40" spans="2:46" ht="12" customHeight="1" x14ac:dyDescent="0.25">
      <c r="B40" s="119" t="s">
        <v>22</v>
      </c>
      <c r="C40" s="120" t="s">
        <v>33</v>
      </c>
      <c r="D40" s="120" t="s">
        <v>24</v>
      </c>
      <c r="E40" s="120" t="s">
        <v>24</v>
      </c>
      <c r="F40" s="120" t="s">
        <v>25</v>
      </c>
      <c r="G40" s="120" t="s">
        <v>34</v>
      </c>
      <c r="H40" s="120" t="s">
        <v>102</v>
      </c>
      <c r="I40" s="120" t="s">
        <v>25</v>
      </c>
      <c r="J40" s="120">
        <v>914.23</v>
      </c>
      <c r="K40" s="120">
        <v>360.26</v>
      </c>
      <c r="L40" s="120">
        <v>4.2610020058157501</v>
      </c>
      <c r="M40" s="120">
        <v>0.82328329326432004</v>
      </c>
      <c r="N40" s="120">
        <v>9.1834696636790092</v>
      </c>
      <c r="O40" s="120">
        <v>1.87281849766874E-2</v>
      </c>
      <c r="P40" s="120">
        <v>0</v>
      </c>
      <c r="Q40" s="120">
        <v>47.200306959989902</v>
      </c>
      <c r="R40" s="120">
        <v>18.051835405677402</v>
      </c>
      <c r="S40" s="120">
        <v>0</v>
      </c>
      <c r="T40" s="120">
        <v>110.454856515335</v>
      </c>
      <c r="U40" s="120">
        <v>34.084912076253303</v>
      </c>
      <c r="V40" s="120">
        <v>5.2285923600971103</v>
      </c>
      <c r="W40" s="120">
        <v>0.30411073412865403</v>
      </c>
      <c r="X40" s="120">
        <v>6.39065065000253</v>
      </c>
      <c r="Y40" s="120">
        <v>0</v>
      </c>
      <c r="Z40" s="120">
        <v>0</v>
      </c>
      <c r="AA40" s="120">
        <v>727.18640040819605</v>
      </c>
      <c r="AB40" s="120">
        <v>-90.226661566292904</v>
      </c>
      <c r="AC40" s="120">
        <v>0</v>
      </c>
      <c r="AD40" s="120">
        <v>0</v>
      </c>
      <c r="AE40" s="120">
        <v>30.1422112436546</v>
      </c>
      <c r="AF40" s="120">
        <v>0.91365887350921504</v>
      </c>
      <c r="AG40" s="120">
        <v>10.2077020298004</v>
      </c>
      <c r="AH40" s="120">
        <v>0</v>
      </c>
      <c r="AI40" s="120">
        <v>5.6985652074762703</v>
      </c>
      <c r="AJ40" s="120">
        <v>-17.093827857921202</v>
      </c>
      <c r="AK40" s="120">
        <v>2.52924088987622</v>
      </c>
      <c r="AL40" s="120">
        <v>58.712738107516898</v>
      </c>
      <c r="AM40" s="120">
        <v>0</v>
      </c>
      <c r="AN40" s="120">
        <v>339.762278152737</v>
      </c>
      <c r="AO40" s="120">
        <v>0</v>
      </c>
      <c r="AP40" s="120">
        <v>0</v>
      </c>
      <c r="AQ40" s="120">
        <v>2.6775784651651402E-13</v>
      </c>
      <c r="AR40" s="120">
        <v>-34.829197288659799</v>
      </c>
      <c r="AS40" s="120">
        <v>0</v>
      </c>
      <c r="AT40" s="121">
        <v>5.48049466464576</v>
      </c>
    </row>
    <row r="41" spans="2:46" ht="12" customHeight="1" x14ac:dyDescent="0.25">
      <c r="B41" s="119" t="s">
        <v>22</v>
      </c>
      <c r="C41" s="120" t="s">
        <v>33</v>
      </c>
      <c r="D41" s="120" t="s">
        <v>24</v>
      </c>
      <c r="E41" s="120" t="s">
        <v>24</v>
      </c>
      <c r="F41" s="120" t="s">
        <v>25</v>
      </c>
      <c r="G41" s="120" t="s">
        <v>36</v>
      </c>
      <c r="H41" s="120" t="s">
        <v>102</v>
      </c>
      <c r="I41" s="120" t="s">
        <v>25</v>
      </c>
      <c r="J41" s="120">
        <v>589.79</v>
      </c>
      <c r="K41" s="120">
        <v>231.76</v>
      </c>
      <c r="L41" s="120">
        <v>4.2610020058157501</v>
      </c>
      <c r="M41" s="120">
        <v>0.82328329326432004</v>
      </c>
      <c r="N41" s="120">
        <v>5.8692042120319998</v>
      </c>
      <c r="O41" s="120">
        <v>1.87281849766874E-2</v>
      </c>
      <c r="P41" s="120">
        <v>0</v>
      </c>
      <c r="Q41" s="120">
        <v>47.200306959989902</v>
      </c>
      <c r="R41" s="120">
        <v>18.051835405677402</v>
      </c>
      <c r="S41" s="120">
        <v>0</v>
      </c>
      <c r="T41" s="120">
        <v>66.272913909200994</v>
      </c>
      <c r="U41" s="120">
        <v>20.450947245752001</v>
      </c>
      <c r="V41" s="120">
        <v>3.13711858677221</v>
      </c>
      <c r="W41" s="120">
        <v>0.18244634726714101</v>
      </c>
      <c r="X41" s="120">
        <v>3.8344095788396499</v>
      </c>
      <c r="Y41" s="120">
        <v>0</v>
      </c>
      <c r="Z41" s="120">
        <v>0</v>
      </c>
      <c r="AA41" s="120">
        <v>436.311772782145</v>
      </c>
      <c r="AB41" s="120">
        <v>-57.883171232722503</v>
      </c>
      <c r="AC41" s="120">
        <v>0</v>
      </c>
      <c r="AD41" s="120">
        <v>0</v>
      </c>
      <c r="AE41" s="120">
        <v>30.1422112436546</v>
      </c>
      <c r="AF41" s="120">
        <v>0.91365887350921504</v>
      </c>
      <c r="AG41" s="120">
        <v>10.2077020298004</v>
      </c>
      <c r="AH41" s="120">
        <v>0</v>
      </c>
      <c r="AI41" s="120">
        <v>5.6985652074762703</v>
      </c>
      <c r="AJ41" s="120">
        <v>-17.093827857921202</v>
      </c>
      <c r="AK41" s="120">
        <v>2.52924088987622</v>
      </c>
      <c r="AL41" s="120">
        <v>58.712738107516898</v>
      </c>
      <c r="AM41" s="120">
        <v>0</v>
      </c>
      <c r="AN41" s="120">
        <v>197.536208228335</v>
      </c>
      <c r="AO41" s="120">
        <v>0</v>
      </c>
      <c r="AP41" s="120">
        <v>0</v>
      </c>
      <c r="AQ41" s="120">
        <v>2.6775784651651402E-13</v>
      </c>
      <c r="AR41" s="120">
        <v>-21.100845396607799</v>
      </c>
      <c r="AS41" s="120">
        <v>0</v>
      </c>
      <c r="AT41" s="121">
        <v>5.48049466464576</v>
      </c>
    </row>
    <row r="42" spans="2:46" ht="12" customHeight="1" x14ac:dyDescent="0.25">
      <c r="B42" s="119" t="s">
        <v>22</v>
      </c>
      <c r="C42" s="120" t="s">
        <v>33</v>
      </c>
      <c r="D42" s="120" t="s">
        <v>24</v>
      </c>
      <c r="E42" s="120" t="s">
        <v>24</v>
      </c>
      <c r="F42" s="120" t="s">
        <v>25</v>
      </c>
      <c r="G42" s="120" t="s">
        <v>35</v>
      </c>
      <c r="H42" s="120" t="s">
        <v>102</v>
      </c>
      <c r="I42" s="120" t="s">
        <v>25</v>
      </c>
      <c r="J42" s="120">
        <v>265.36</v>
      </c>
      <c r="K42" s="120">
        <v>231.76</v>
      </c>
      <c r="L42" s="120">
        <v>4.2610020058157501</v>
      </c>
      <c r="M42" s="120">
        <v>0.82328329326432004</v>
      </c>
      <c r="N42" s="120">
        <v>2.5549409054517702</v>
      </c>
      <c r="O42" s="120">
        <v>1.87281849766874E-2</v>
      </c>
      <c r="P42" s="120">
        <v>0</v>
      </c>
      <c r="Q42" s="120">
        <v>47.200306959989902</v>
      </c>
      <c r="R42" s="120">
        <v>18.051835405677402</v>
      </c>
      <c r="S42" s="120">
        <v>0</v>
      </c>
      <c r="T42" s="120">
        <v>22.090971303067001</v>
      </c>
      <c r="U42" s="120">
        <v>6.8169824152506697</v>
      </c>
      <c r="V42" s="120">
        <v>1.0457061955907401</v>
      </c>
      <c r="W42" s="120">
        <v>6.0781960405627902E-2</v>
      </c>
      <c r="X42" s="120">
        <v>1.2781685076767599</v>
      </c>
      <c r="Y42" s="120">
        <v>0</v>
      </c>
      <c r="Z42" s="120">
        <v>0</v>
      </c>
      <c r="AA42" s="120">
        <v>145.43725759404799</v>
      </c>
      <c r="AB42" s="120">
        <v>-25.5396969766566</v>
      </c>
      <c r="AC42" s="120">
        <v>0</v>
      </c>
      <c r="AD42" s="120">
        <v>0</v>
      </c>
      <c r="AE42" s="120">
        <v>30.1422112436546</v>
      </c>
      <c r="AF42" s="120">
        <v>0.91365887350921504</v>
      </c>
      <c r="AG42" s="120">
        <v>10.2077020298004</v>
      </c>
      <c r="AH42" s="120">
        <v>0</v>
      </c>
      <c r="AI42" s="120">
        <v>5.6985652074762703</v>
      </c>
      <c r="AJ42" s="120">
        <v>-17.093827857921202</v>
      </c>
      <c r="AK42" s="120">
        <v>2.52924088987622</v>
      </c>
      <c r="AL42" s="120">
        <v>58.712738107516898</v>
      </c>
      <c r="AM42" s="120">
        <v>0</v>
      </c>
      <c r="AN42" s="120">
        <v>197.536208228335</v>
      </c>
      <c r="AO42" s="120">
        <v>0</v>
      </c>
      <c r="AP42" s="120">
        <v>0</v>
      </c>
      <c r="AQ42" s="120">
        <v>2.6775784651651402E-13</v>
      </c>
      <c r="AR42" s="120">
        <v>-21.100845396607799</v>
      </c>
      <c r="AS42" s="120">
        <v>0</v>
      </c>
      <c r="AT42" s="121">
        <v>5.48049466464576</v>
      </c>
    </row>
    <row r="43" spans="2:46" ht="12" customHeight="1" x14ac:dyDescent="0.25">
      <c r="B43" s="119" t="s">
        <v>22</v>
      </c>
      <c r="C43" s="120" t="s">
        <v>23</v>
      </c>
      <c r="D43" s="120" t="s">
        <v>24</v>
      </c>
      <c r="E43" s="120" t="s">
        <v>1562</v>
      </c>
      <c r="F43" s="120" t="s">
        <v>25</v>
      </c>
      <c r="G43" s="120" t="s">
        <v>25</v>
      </c>
      <c r="H43" s="120" t="s">
        <v>102</v>
      </c>
      <c r="I43" s="120" t="s">
        <v>25</v>
      </c>
      <c r="J43" s="120">
        <v>292.26</v>
      </c>
      <c r="K43" s="120">
        <v>242.47</v>
      </c>
      <c r="L43" s="120">
        <v>0</v>
      </c>
      <c r="M43" s="120">
        <v>0.82328329326432004</v>
      </c>
      <c r="N43" s="120">
        <v>3.4763532661191898</v>
      </c>
      <c r="O43" s="120">
        <v>1.87281849766874E-2</v>
      </c>
      <c r="P43" s="120">
        <v>0</v>
      </c>
      <c r="Q43" s="120">
        <v>0</v>
      </c>
      <c r="R43" s="120">
        <v>0</v>
      </c>
      <c r="S43" s="120">
        <v>0</v>
      </c>
      <c r="T43" s="120">
        <v>34.517199587480697</v>
      </c>
      <c r="U43" s="120">
        <v>10.6515182609775</v>
      </c>
      <c r="V43" s="120">
        <v>1.63393127614638</v>
      </c>
      <c r="W43" s="120">
        <v>9.5040883543345403E-2</v>
      </c>
      <c r="X43" s="120">
        <v>1.99707832812579</v>
      </c>
      <c r="Y43" s="120">
        <v>0</v>
      </c>
      <c r="Z43" s="120">
        <v>0</v>
      </c>
      <c r="AA43" s="120">
        <v>227.245764182306</v>
      </c>
      <c r="AB43" s="120">
        <v>-29.461833621350898</v>
      </c>
      <c r="AC43" s="120">
        <v>0</v>
      </c>
      <c r="AD43" s="120">
        <v>0</v>
      </c>
      <c r="AE43" s="120">
        <v>30.1422112436546</v>
      </c>
      <c r="AF43" s="120">
        <v>0.91365887350921504</v>
      </c>
      <c r="AG43" s="120">
        <v>10.2077020298004</v>
      </c>
      <c r="AH43" s="120">
        <v>0</v>
      </c>
      <c r="AI43" s="120">
        <v>5.6985652074762703</v>
      </c>
      <c r="AJ43" s="120">
        <v>-17.093827857921202</v>
      </c>
      <c r="AK43" s="120">
        <v>2.52924088987622</v>
      </c>
      <c r="AL43" s="120">
        <v>58.712738107516898</v>
      </c>
      <c r="AM43" s="120">
        <v>0</v>
      </c>
      <c r="AN43" s="120">
        <v>209.38838072203501</v>
      </c>
      <c r="AO43" s="120">
        <v>0</v>
      </c>
      <c r="AP43" s="120">
        <v>0</v>
      </c>
      <c r="AQ43" s="120">
        <v>2.6775784651651402E-13</v>
      </c>
      <c r="AR43" s="120">
        <v>-22.244874720945401</v>
      </c>
      <c r="AS43" s="120">
        <v>0</v>
      </c>
      <c r="AT43" s="121">
        <v>5.48049466464576</v>
      </c>
    </row>
    <row r="44" spans="2:46" ht="12" customHeight="1" x14ac:dyDescent="0.25">
      <c r="B44" s="119" t="s">
        <v>22</v>
      </c>
      <c r="C44" s="120" t="s">
        <v>23</v>
      </c>
      <c r="D44" s="120" t="s">
        <v>24</v>
      </c>
      <c r="E44" s="120" t="s">
        <v>24</v>
      </c>
      <c r="F44" s="120" t="s">
        <v>25</v>
      </c>
      <c r="G44" s="120" t="s">
        <v>25</v>
      </c>
      <c r="H44" s="120" t="s">
        <v>102</v>
      </c>
      <c r="I44" s="120" t="s">
        <v>25</v>
      </c>
      <c r="J44" s="120">
        <v>356.61</v>
      </c>
      <c r="K44" s="120">
        <v>242.47</v>
      </c>
      <c r="L44" s="120">
        <v>4.2610020058157501</v>
      </c>
      <c r="M44" s="120">
        <v>0.82328329326432004</v>
      </c>
      <c r="N44" s="120">
        <v>3.4870785999941898</v>
      </c>
      <c r="O44" s="120">
        <v>1.87281849766874E-2</v>
      </c>
      <c r="P44" s="120">
        <v>0</v>
      </c>
      <c r="Q44" s="120">
        <v>47.200306959989902</v>
      </c>
      <c r="R44" s="120">
        <v>18.051835405677402</v>
      </c>
      <c r="S44" s="120">
        <v>0</v>
      </c>
      <c r="T44" s="120">
        <v>34.517199587480697</v>
      </c>
      <c r="U44" s="120">
        <v>10.6515182609775</v>
      </c>
      <c r="V44" s="120">
        <v>1.63393127614638</v>
      </c>
      <c r="W44" s="120">
        <v>9.5040883543345403E-2</v>
      </c>
      <c r="X44" s="120">
        <v>1.99707832812579</v>
      </c>
      <c r="Y44" s="120">
        <v>0</v>
      </c>
      <c r="Z44" s="120">
        <v>0</v>
      </c>
      <c r="AA44" s="120">
        <v>227.245764182306</v>
      </c>
      <c r="AB44" s="120">
        <v>-34.6363091553864</v>
      </c>
      <c r="AC44" s="120">
        <v>0</v>
      </c>
      <c r="AD44" s="120">
        <v>0</v>
      </c>
      <c r="AE44" s="120">
        <v>30.1422112436546</v>
      </c>
      <c r="AF44" s="120">
        <v>0.91365887350921504</v>
      </c>
      <c r="AG44" s="120">
        <v>10.2077020298004</v>
      </c>
      <c r="AH44" s="120">
        <v>0</v>
      </c>
      <c r="AI44" s="120">
        <v>5.6985652074762703</v>
      </c>
      <c r="AJ44" s="120">
        <v>-17.093827857921202</v>
      </c>
      <c r="AK44" s="120">
        <v>2.52924088987622</v>
      </c>
      <c r="AL44" s="120">
        <v>58.712738107516898</v>
      </c>
      <c r="AM44" s="120">
        <v>0</v>
      </c>
      <c r="AN44" s="120">
        <v>209.38838072203501</v>
      </c>
      <c r="AO44" s="120">
        <v>0</v>
      </c>
      <c r="AP44" s="120">
        <v>0</v>
      </c>
      <c r="AQ44" s="120">
        <v>2.6775784651651402E-13</v>
      </c>
      <c r="AR44" s="120">
        <v>-22.244874720945401</v>
      </c>
      <c r="AS44" s="120">
        <v>0</v>
      </c>
      <c r="AT44" s="121">
        <v>5.48049466464576</v>
      </c>
    </row>
    <row r="45" spans="2:46" ht="12" customHeight="1" x14ac:dyDescent="0.25">
      <c r="B45" s="119" t="s">
        <v>22</v>
      </c>
      <c r="C45" s="120" t="s">
        <v>115</v>
      </c>
      <c r="D45" s="120" t="s">
        <v>24</v>
      </c>
      <c r="E45" s="120" t="s">
        <v>1562</v>
      </c>
      <c r="F45" s="120" t="s">
        <v>25</v>
      </c>
      <c r="G45" s="120" t="s">
        <v>25</v>
      </c>
      <c r="H45" s="120" t="s">
        <v>102</v>
      </c>
      <c r="I45" s="120" t="s">
        <v>25</v>
      </c>
      <c r="J45" s="120">
        <v>292.26</v>
      </c>
      <c r="K45" s="120">
        <v>242.47</v>
      </c>
      <c r="L45" s="120">
        <v>0</v>
      </c>
      <c r="M45" s="120">
        <v>0.82328329326432004</v>
      </c>
      <c r="N45" s="120">
        <v>3.4763532661191898</v>
      </c>
      <c r="O45" s="120">
        <v>1.87281849766874E-2</v>
      </c>
      <c r="P45" s="120">
        <v>0</v>
      </c>
      <c r="Q45" s="120">
        <v>0</v>
      </c>
      <c r="R45" s="120">
        <v>0</v>
      </c>
      <c r="S45" s="120">
        <v>0</v>
      </c>
      <c r="T45" s="120">
        <v>34.517199587480697</v>
      </c>
      <c r="U45" s="120">
        <v>10.6515182609775</v>
      </c>
      <c r="V45" s="120">
        <v>1.63393127614638</v>
      </c>
      <c r="W45" s="120">
        <v>9.5040883543345403E-2</v>
      </c>
      <c r="X45" s="120">
        <v>1.99707832812579</v>
      </c>
      <c r="Y45" s="120">
        <v>0</v>
      </c>
      <c r="Z45" s="120">
        <v>0</v>
      </c>
      <c r="AA45" s="120">
        <v>227.245764182306</v>
      </c>
      <c r="AB45" s="120">
        <v>-29.461833621350898</v>
      </c>
      <c r="AC45" s="120">
        <v>0</v>
      </c>
      <c r="AD45" s="120">
        <v>0</v>
      </c>
      <c r="AE45" s="120">
        <v>30.1422112436546</v>
      </c>
      <c r="AF45" s="120">
        <v>0.91365887350921504</v>
      </c>
      <c r="AG45" s="120">
        <v>10.2077020298004</v>
      </c>
      <c r="AH45" s="120">
        <v>0</v>
      </c>
      <c r="AI45" s="120">
        <v>5.6985652074762703</v>
      </c>
      <c r="AJ45" s="120">
        <v>-17.093827857921202</v>
      </c>
      <c r="AK45" s="120">
        <v>2.52924088987622</v>
      </c>
      <c r="AL45" s="120">
        <v>58.712738107516898</v>
      </c>
      <c r="AM45" s="120">
        <v>0</v>
      </c>
      <c r="AN45" s="120">
        <v>209.38838072203501</v>
      </c>
      <c r="AO45" s="120">
        <v>0</v>
      </c>
      <c r="AP45" s="120">
        <v>0</v>
      </c>
      <c r="AQ45" s="120">
        <v>2.6775784651651402E-13</v>
      </c>
      <c r="AR45" s="120">
        <v>-22.244874720945401</v>
      </c>
      <c r="AS45" s="120">
        <v>0</v>
      </c>
      <c r="AT45" s="121">
        <v>5.48049466464576</v>
      </c>
    </row>
    <row r="46" spans="2:46" ht="12" customHeight="1" x14ac:dyDescent="0.25">
      <c r="B46" s="119" t="s">
        <v>22</v>
      </c>
      <c r="C46" s="120" t="s">
        <v>115</v>
      </c>
      <c r="D46" s="120" t="s">
        <v>24</v>
      </c>
      <c r="E46" s="120" t="s">
        <v>24</v>
      </c>
      <c r="F46" s="120" t="s">
        <v>25</v>
      </c>
      <c r="G46" s="120" t="s">
        <v>25</v>
      </c>
      <c r="H46" s="120" t="s">
        <v>102</v>
      </c>
      <c r="I46" s="120" t="s">
        <v>25</v>
      </c>
      <c r="J46" s="120">
        <v>356.61</v>
      </c>
      <c r="K46" s="120">
        <v>242.47</v>
      </c>
      <c r="L46" s="120">
        <v>4.2610020058157501</v>
      </c>
      <c r="M46" s="120">
        <v>0.82328329326432004</v>
      </c>
      <c r="N46" s="120">
        <v>3.4870785999941898</v>
      </c>
      <c r="O46" s="120">
        <v>1.87281849766874E-2</v>
      </c>
      <c r="P46" s="120">
        <v>0</v>
      </c>
      <c r="Q46" s="120">
        <v>47.200306959989902</v>
      </c>
      <c r="R46" s="120">
        <v>18.051835405677402</v>
      </c>
      <c r="S46" s="120">
        <v>0</v>
      </c>
      <c r="T46" s="120">
        <v>34.517199587480697</v>
      </c>
      <c r="U46" s="120">
        <v>10.6515182609775</v>
      </c>
      <c r="V46" s="120">
        <v>1.63393127614638</v>
      </c>
      <c r="W46" s="120">
        <v>9.5040883543345403E-2</v>
      </c>
      <c r="X46" s="120">
        <v>1.99707832812579</v>
      </c>
      <c r="Y46" s="120">
        <v>0</v>
      </c>
      <c r="Z46" s="120">
        <v>0</v>
      </c>
      <c r="AA46" s="120">
        <v>227.245764182306</v>
      </c>
      <c r="AB46" s="120">
        <v>-34.6363091553864</v>
      </c>
      <c r="AC46" s="120">
        <v>0</v>
      </c>
      <c r="AD46" s="120">
        <v>0</v>
      </c>
      <c r="AE46" s="120">
        <v>30.1422112436546</v>
      </c>
      <c r="AF46" s="120">
        <v>0.91365887350921504</v>
      </c>
      <c r="AG46" s="120">
        <v>10.2077020298004</v>
      </c>
      <c r="AH46" s="120">
        <v>0</v>
      </c>
      <c r="AI46" s="120">
        <v>5.6985652074762703</v>
      </c>
      <c r="AJ46" s="120">
        <v>-17.093827857921202</v>
      </c>
      <c r="AK46" s="120">
        <v>2.52924088987622</v>
      </c>
      <c r="AL46" s="120">
        <v>58.712738107516898</v>
      </c>
      <c r="AM46" s="120">
        <v>0</v>
      </c>
      <c r="AN46" s="120">
        <v>209.38838072203501</v>
      </c>
      <c r="AO46" s="120">
        <v>0</v>
      </c>
      <c r="AP46" s="120">
        <v>0</v>
      </c>
      <c r="AQ46" s="120">
        <v>2.6775784651651402E-13</v>
      </c>
      <c r="AR46" s="120">
        <v>-22.244874720945401</v>
      </c>
      <c r="AS46" s="120">
        <v>0</v>
      </c>
      <c r="AT46" s="121">
        <v>5.48049466464576</v>
      </c>
    </row>
    <row r="47" spans="2:46" ht="12" customHeight="1" x14ac:dyDescent="0.25">
      <c r="B47" s="119" t="s">
        <v>44</v>
      </c>
      <c r="C47" s="120" t="s">
        <v>33</v>
      </c>
      <c r="D47" s="120" t="s">
        <v>45</v>
      </c>
      <c r="E47" s="120" t="s">
        <v>116</v>
      </c>
      <c r="F47" s="120" t="s">
        <v>25</v>
      </c>
      <c r="G47" s="120" t="s">
        <v>34</v>
      </c>
      <c r="H47" s="120" t="s">
        <v>102</v>
      </c>
      <c r="I47" s="120" t="s">
        <v>25</v>
      </c>
      <c r="J47" s="120">
        <v>895.11</v>
      </c>
      <c r="K47" s="120">
        <v>338.64</v>
      </c>
      <c r="L47" s="120">
        <v>4.0053418854668097</v>
      </c>
      <c r="M47" s="120">
        <v>0.77388629566846101</v>
      </c>
      <c r="N47" s="120">
        <v>8.9975461430854704</v>
      </c>
      <c r="O47" s="120">
        <v>1.76044938780862E-2</v>
      </c>
      <c r="P47" s="120">
        <v>0</v>
      </c>
      <c r="Q47" s="120">
        <v>44.368288542390502</v>
      </c>
      <c r="R47" s="120">
        <v>16.968725281336798</v>
      </c>
      <c r="S47" s="120">
        <v>0</v>
      </c>
      <c r="T47" s="120">
        <v>108.694422995464</v>
      </c>
      <c r="U47" s="120">
        <v>33.541656215147</v>
      </c>
      <c r="V47" s="120">
        <v>5.1452120840953199</v>
      </c>
      <c r="W47" s="120">
        <v>0.29927429846927101</v>
      </c>
      <c r="X47" s="120">
        <v>6.2887771083833197</v>
      </c>
      <c r="Y47" s="120">
        <v>0</v>
      </c>
      <c r="Z47" s="120">
        <v>0</v>
      </c>
      <c r="AA47" s="120">
        <v>715.59681100298599</v>
      </c>
      <c r="AB47" s="120">
        <v>-88.375879797485297</v>
      </c>
      <c r="AC47" s="120">
        <v>0</v>
      </c>
      <c r="AD47" s="120">
        <v>0</v>
      </c>
      <c r="AE47" s="120">
        <v>28.3336785690353</v>
      </c>
      <c r="AF47" s="120">
        <v>0.858839341098662</v>
      </c>
      <c r="AG47" s="120">
        <v>9.5952399080123794</v>
      </c>
      <c r="AH47" s="120">
        <v>0</v>
      </c>
      <c r="AI47" s="120">
        <v>5.3566512950276897</v>
      </c>
      <c r="AJ47" s="120">
        <v>-16.068198186446001</v>
      </c>
      <c r="AK47" s="120">
        <v>2.3774864364836499</v>
      </c>
      <c r="AL47" s="120">
        <v>55.189973821065898</v>
      </c>
      <c r="AM47" s="120">
        <v>0</v>
      </c>
      <c r="AN47" s="120">
        <v>319.37654146357301</v>
      </c>
      <c r="AO47" s="120">
        <v>0</v>
      </c>
      <c r="AP47" s="120">
        <v>0</v>
      </c>
      <c r="AQ47" s="120">
        <v>2.5169237572552299E-13</v>
      </c>
      <c r="AR47" s="120">
        <v>-32.739445451340202</v>
      </c>
      <c r="AS47" s="120">
        <v>0</v>
      </c>
      <c r="AT47" s="121">
        <v>5.1516649847670202</v>
      </c>
    </row>
    <row r="48" spans="2:46" ht="12" customHeight="1" x14ac:dyDescent="0.25">
      <c r="B48" s="119" t="s">
        <v>44</v>
      </c>
      <c r="C48" s="120" t="s">
        <v>33</v>
      </c>
      <c r="D48" s="120" t="s">
        <v>45</v>
      </c>
      <c r="E48" s="120" t="s">
        <v>116</v>
      </c>
      <c r="F48" s="120" t="s">
        <v>25</v>
      </c>
      <c r="G48" s="120" t="s">
        <v>36</v>
      </c>
      <c r="H48" s="120" t="s">
        <v>102</v>
      </c>
      <c r="I48" s="120" t="s">
        <v>25</v>
      </c>
      <c r="J48" s="120">
        <v>575.85</v>
      </c>
      <c r="K48" s="120">
        <v>217.86</v>
      </c>
      <c r="L48" s="120">
        <v>4.0053418854668097</v>
      </c>
      <c r="M48" s="120">
        <v>0.77388629566846101</v>
      </c>
      <c r="N48" s="120">
        <v>5.7361055777542802</v>
      </c>
      <c r="O48" s="120">
        <v>1.76044938780862E-2</v>
      </c>
      <c r="P48" s="120">
        <v>0</v>
      </c>
      <c r="Q48" s="120">
        <v>44.368288542390502</v>
      </c>
      <c r="R48" s="120">
        <v>16.968725281336798</v>
      </c>
      <c r="S48" s="120">
        <v>0</v>
      </c>
      <c r="T48" s="120">
        <v>65.216702721486101</v>
      </c>
      <c r="U48" s="120">
        <v>20.125069363074999</v>
      </c>
      <c r="V48" s="120">
        <v>3.0871387903001599</v>
      </c>
      <c r="W48" s="120">
        <v>0.17962124193390699</v>
      </c>
      <c r="X48" s="120">
        <v>3.77326626502999</v>
      </c>
      <c r="Y48" s="120">
        <v>0</v>
      </c>
      <c r="Z48" s="120">
        <v>0</v>
      </c>
      <c r="AA48" s="120">
        <v>429.358065463456</v>
      </c>
      <c r="AB48" s="120">
        <v>-56.5478960569843</v>
      </c>
      <c r="AC48" s="120">
        <v>0</v>
      </c>
      <c r="AD48" s="120">
        <v>0</v>
      </c>
      <c r="AE48" s="120">
        <v>28.3336785690353</v>
      </c>
      <c r="AF48" s="120">
        <v>0.858839341098662</v>
      </c>
      <c r="AG48" s="120">
        <v>9.5952399080123794</v>
      </c>
      <c r="AH48" s="120">
        <v>0</v>
      </c>
      <c r="AI48" s="120">
        <v>5.3566512950276897</v>
      </c>
      <c r="AJ48" s="120">
        <v>-16.068198186446001</v>
      </c>
      <c r="AK48" s="120">
        <v>2.3774864364836499</v>
      </c>
      <c r="AL48" s="120">
        <v>55.189973821065898</v>
      </c>
      <c r="AM48" s="120">
        <v>0</v>
      </c>
      <c r="AN48" s="120">
        <v>185.68403573463499</v>
      </c>
      <c r="AO48" s="120">
        <v>0</v>
      </c>
      <c r="AP48" s="120">
        <v>0</v>
      </c>
      <c r="AQ48" s="120">
        <v>2.5169237572552299E-13</v>
      </c>
      <c r="AR48" s="120">
        <v>-19.834794672811299</v>
      </c>
      <c r="AS48" s="120">
        <v>0</v>
      </c>
      <c r="AT48" s="121">
        <v>5.1516649847670202</v>
      </c>
    </row>
    <row r="49" spans="2:46" ht="12" customHeight="1" x14ac:dyDescent="0.25">
      <c r="B49" s="119" t="s">
        <v>44</v>
      </c>
      <c r="C49" s="120" t="s">
        <v>33</v>
      </c>
      <c r="D49" s="120" t="s">
        <v>45</v>
      </c>
      <c r="E49" s="120" t="s">
        <v>116</v>
      </c>
      <c r="F49" s="120" t="s">
        <v>25</v>
      </c>
      <c r="G49" s="120" t="s">
        <v>35</v>
      </c>
      <c r="H49" s="120" t="s">
        <v>102</v>
      </c>
      <c r="I49" s="120" t="s">
        <v>25</v>
      </c>
      <c r="J49" s="120">
        <v>256.58999999999997</v>
      </c>
      <c r="K49" s="120">
        <v>217.86</v>
      </c>
      <c r="L49" s="120">
        <v>4.0053418854668097</v>
      </c>
      <c r="M49" s="120">
        <v>0.77388629566846101</v>
      </c>
      <c r="N49" s="120">
        <v>2.4746619878789402</v>
      </c>
      <c r="O49" s="120">
        <v>1.76044938780862E-2</v>
      </c>
      <c r="P49" s="120">
        <v>0</v>
      </c>
      <c r="Q49" s="120">
        <v>44.368288542390502</v>
      </c>
      <c r="R49" s="120">
        <v>16.968725281336798</v>
      </c>
      <c r="S49" s="120">
        <v>0</v>
      </c>
      <c r="T49" s="120">
        <v>21.738860136989</v>
      </c>
      <c r="U49" s="120">
        <v>6.7083564543583201</v>
      </c>
      <c r="V49" s="120">
        <v>1.0290654965049999</v>
      </c>
      <c r="W49" s="120">
        <v>5.9873747311302503E-2</v>
      </c>
      <c r="X49" s="120">
        <v>1.25775542167666</v>
      </c>
      <c r="Y49" s="120">
        <v>0</v>
      </c>
      <c r="Z49" s="120">
        <v>0</v>
      </c>
      <c r="AA49" s="120">
        <v>143.11931992392601</v>
      </c>
      <c r="AB49" s="120">
        <v>-24.7198818282499</v>
      </c>
      <c r="AC49" s="120">
        <v>0</v>
      </c>
      <c r="AD49" s="120">
        <v>0</v>
      </c>
      <c r="AE49" s="120">
        <v>28.3336785690353</v>
      </c>
      <c r="AF49" s="120">
        <v>0.858839341098662</v>
      </c>
      <c r="AG49" s="120">
        <v>9.5952399080123794</v>
      </c>
      <c r="AH49" s="120">
        <v>0</v>
      </c>
      <c r="AI49" s="120">
        <v>5.3566512950276897</v>
      </c>
      <c r="AJ49" s="120">
        <v>-16.068198186446001</v>
      </c>
      <c r="AK49" s="120">
        <v>2.3774864364836499</v>
      </c>
      <c r="AL49" s="120">
        <v>55.189973821065898</v>
      </c>
      <c r="AM49" s="120">
        <v>0</v>
      </c>
      <c r="AN49" s="120">
        <v>185.68403573463499</v>
      </c>
      <c r="AO49" s="120">
        <v>0</v>
      </c>
      <c r="AP49" s="120">
        <v>0</v>
      </c>
      <c r="AQ49" s="120">
        <v>2.5169237572552299E-13</v>
      </c>
      <c r="AR49" s="120">
        <v>-19.834794672811299</v>
      </c>
      <c r="AS49" s="120">
        <v>0</v>
      </c>
      <c r="AT49" s="121">
        <v>5.1516649847670202</v>
      </c>
    </row>
    <row r="50" spans="2:46" ht="12" customHeight="1" x14ac:dyDescent="0.25">
      <c r="B50" s="119" t="s">
        <v>44</v>
      </c>
      <c r="C50" s="120" t="s">
        <v>33</v>
      </c>
      <c r="D50" s="120" t="s">
        <v>45</v>
      </c>
      <c r="E50" s="120" t="s">
        <v>25</v>
      </c>
      <c r="F50" s="120" t="s">
        <v>25</v>
      </c>
      <c r="G50" s="120" t="s">
        <v>34</v>
      </c>
      <c r="H50" s="120" t="s">
        <v>102</v>
      </c>
      <c r="I50" s="120" t="s">
        <v>25</v>
      </c>
      <c r="J50" s="120">
        <v>895.11</v>
      </c>
      <c r="K50" s="120">
        <v>338.64</v>
      </c>
      <c r="L50" s="120">
        <v>4.0053418854668097</v>
      </c>
      <c r="M50" s="120">
        <v>0.77388629566846101</v>
      </c>
      <c r="N50" s="120">
        <v>8.9975461430854704</v>
      </c>
      <c r="O50" s="120">
        <v>1.76044938780862E-2</v>
      </c>
      <c r="P50" s="120">
        <v>0</v>
      </c>
      <c r="Q50" s="120">
        <v>44.368288542390502</v>
      </c>
      <c r="R50" s="120">
        <v>16.968725281336798</v>
      </c>
      <c r="S50" s="120">
        <v>0</v>
      </c>
      <c r="T50" s="120">
        <v>108.694422995464</v>
      </c>
      <c r="U50" s="120">
        <v>33.541656215147</v>
      </c>
      <c r="V50" s="120">
        <v>5.1452120840953199</v>
      </c>
      <c r="W50" s="120">
        <v>0.29927429846927101</v>
      </c>
      <c r="X50" s="120">
        <v>6.2887771083833197</v>
      </c>
      <c r="Y50" s="120">
        <v>0</v>
      </c>
      <c r="Z50" s="120">
        <v>0</v>
      </c>
      <c r="AA50" s="120">
        <v>715.59681100298599</v>
      </c>
      <c r="AB50" s="120">
        <v>-88.375879797485297</v>
      </c>
      <c r="AC50" s="120">
        <v>0</v>
      </c>
      <c r="AD50" s="120">
        <v>0</v>
      </c>
      <c r="AE50" s="120">
        <v>28.3336785690353</v>
      </c>
      <c r="AF50" s="120">
        <v>0.858839341098662</v>
      </c>
      <c r="AG50" s="120">
        <v>9.5952399080123794</v>
      </c>
      <c r="AH50" s="120">
        <v>0</v>
      </c>
      <c r="AI50" s="120">
        <v>5.3566512950276897</v>
      </c>
      <c r="AJ50" s="120">
        <v>-16.068198186446001</v>
      </c>
      <c r="AK50" s="120">
        <v>2.3774864364836499</v>
      </c>
      <c r="AL50" s="120">
        <v>55.189973821065898</v>
      </c>
      <c r="AM50" s="120">
        <v>0</v>
      </c>
      <c r="AN50" s="120">
        <v>319.37654146357301</v>
      </c>
      <c r="AO50" s="120">
        <v>0</v>
      </c>
      <c r="AP50" s="120">
        <v>0</v>
      </c>
      <c r="AQ50" s="120">
        <v>2.5169237572552299E-13</v>
      </c>
      <c r="AR50" s="120">
        <v>-32.739445451340202</v>
      </c>
      <c r="AS50" s="120">
        <v>0</v>
      </c>
      <c r="AT50" s="121">
        <v>5.1516649847670202</v>
      </c>
    </row>
    <row r="51" spans="2:46" ht="12" customHeight="1" x14ac:dyDescent="0.25">
      <c r="B51" s="119" t="s">
        <v>44</v>
      </c>
      <c r="C51" s="120" t="s">
        <v>33</v>
      </c>
      <c r="D51" s="120" t="s">
        <v>45</v>
      </c>
      <c r="E51" s="120" t="s">
        <v>25</v>
      </c>
      <c r="F51" s="120" t="s">
        <v>25</v>
      </c>
      <c r="G51" s="120" t="s">
        <v>36</v>
      </c>
      <c r="H51" s="120" t="s">
        <v>102</v>
      </c>
      <c r="I51" s="120" t="s">
        <v>25</v>
      </c>
      <c r="J51" s="120">
        <v>575.85</v>
      </c>
      <c r="K51" s="120">
        <v>217.86</v>
      </c>
      <c r="L51" s="120">
        <v>4.0053418854668097</v>
      </c>
      <c r="M51" s="120">
        <v>0.77388629566846101</v>
      </c>
      <c r="N51" s="120">
        <v>5.7361055777542802</v>
      </c>
      <c r="O51" s="120">
        <v>1.76044938780862E-2</v>
      </c>
      <c r="P51" s="120">
        <v>0</v>
      </c>
      <c r="Q51" s="120">
        <v>44.368288542390502</v>
      </c>
      <c r="R51" s="120">
        <v>16.968725281336798</v>
      </c>
      <c r="S51" s="120">
        <v>0</v>
      </c>
      <c r="T51" s="120">
        <v>65.216702721486101</v>
      </c>
      <c r="U51" s="120">
        <v>20.125069363074999</v>
      </c>
      <c r="V51" s="120">
        <v>3.0871387903001599</v>
      </c>
      <c r="W51" s="120">
        <v>0.17962124193390699</v>
      </c>
      <c r="X51" s="120">
        <v>3.77326626502999</v>
      </c>
      <c r="Y51" s="120">
        <v>0</v>
      </c>
      <c r="Z51" s="120">
        <v>0</v>
      </c>
      <c r="AA51" s="120">
        <v>429.358065463456</v>
      </c>
      <c r="AB51" s="120">
        <v>-56.5478960569843</v>
      </c>
      <c r="AC51" s="120">
        <v>0</v>
      </c>
      <c r="AD51" s="120">
        <v>0</v>
      </c>
      <c r="AE51" s="120">
        <v>28.3336785690353</v>
      </c>
      <c r="AF51" s="120">
        <v>0.858839341098662</v>
      </c>
      <c r="AG51" s="120">
        <v>9.5952399080123794</v>
      </c>
      <c r="AH51" s="120">
        <v>0</v>
      </c>
      <c r="AI51" s="120">
        <v>5.3566512950276897</v>
      </c>
      <c r="AJ51" s="120">
        <v>-16.068198186446001</v>
      </c>
      <c r="AK51" s="120">
        <v>2.3774864364836499</v>
      </c>
      <c r="AL51" s="120">
        <v>55.189973821065898</v>
      </c>
      <c r="AM51" s="120">
        <v>0</v>
      </c>
      <c r="AN51" s="120">
        <v>185.68403573463499</v>
      </c>
      <c r="AO51" s="120">
        <v>0</v>
      </c>
      <c r="AP51" s="120">
        <v>0</v>
      </c>
      <c r="AQ51" s="120">
        <v>2.5169237572552299E-13</v>
      </c>
      <c r="AR51" s="120">
        <v>-19.834794672811299</v>
      </c>
      <c r="AS51" s="120">
        <v>0</v>
      </c>
      <c r="AT51" s="121">
        <v>5.1516649847670202</v>
      </c>
    </row>
    <row r="52" spans="2:46" ht="12" customHeight="1" x14ac:dyDescent="0.25">
      <c r="B52" s="119" t="s">
        <v>44</v>
      </c>
      <c r="C52" s="120" t="s">
        <v>33</v>
      </c>
      <c r="D52" s="120" t="s">
        <v>45</v>
      </c>
      <c r="E52" s="120" t="s">
        <v>25</v>
      </c>
      <c r="F52" s="120" t="s">
        <v>25</v>
      </c>
      <c r="G52" s="120" t="s">
        <v>35</v>
      </c>
      <c r="H52" s="120" t="s">
        <v>102</v>
      </c>
      <c r="I52" s="120" t="s">
        <v>25</v>
      </c>
      <c r="J52" s="120">
        <v>256.58999999999997</v>
      </c>
      <c r="K52" s="120">
        <v>217.86</v>
      </c>
      <c r="L52" s="120">
        <v>4.0053418854668097</v>
      </c>
      <c r="M52" s="120">
        <v>0.77388629566846101</v>
      </c>
      <c r="N52" s="120">
        <v>2.4746619878789402</v>
      </c>
      <c r="O52" s="120">
        <v>1.76044938780862E-2</v>
      </c>
      <c r="P52" s="120">
        <v>0</v>
      </c>
      <c r="Q52" s="120">
        <v>44.368288542390502</v>
      </c>
      <c r="R52" s="120">
        <v>16.968725281336798</v>
      </c>
      <c r="S52" s="120">
        <v>0</v>
      </c>
      <c r="T52" s="120">
        <v>21.738860136989</v>
      </c>
      <c r="U52" s="120">
        <v>6.7083564543583201</v>
      </c>
      <c r="V52" s="120">
        <v>1.0290654965049999</v>
      </c>
      <c r="W52" s="120">
        <v>5.9873747311302503E-2</v>
      </c>
      <c r="X52" s="120">
        <v>1.25775542167666</v>
      </c>
      <c r="Y52" s="120">
        <v>0</v>
      </c>
      <c r="Z52" s="120">
        <v>0</v>
      </c>
      <c r="AA52" s="120">
        <v>143.11931992392601</v>
      </c>
      <c r="AB52" s="120">
        <v>-24.7198818282499</v>
      </c>
      <c r="AC52" s="120">
        <v>0</v>
      </c>
      <c r="AD52" s="120">
        <v>0</v>
      </c>
      <c r="AE52" s="120">
        <v>28.3336785690353</v>
      </c>
      <c r="AF52" s="120">
        <v>0.858839341098662</v>
      </c>
      <c r="AG52" s="120">
        <v>9.5952399080123794</v>
      </c>
      <c r="AH52" s="120">
        <v>0</v>
      </c>
      <c r="AI52" s="120">
        <v>5.3566512950276897</v>
      </c>
      <c r="AJ52" s="120">
        <v>-16.068198186446001</v>
      </c>
      <c r="AK52" s="120">
        <v>2.3774864364836499</v>
      </c>
      <c r="AL52" s="120">
        <v>55.189973821065898</v>
      </c>
      <c r="AM52" s="120">
        <v>0</v>
      </c>
      <c r="AN52" s="120">
        <v>185.68403573463499</v>
      </c>
      <c r="AO52" s="120">
        <v>0</v>
      </c>
      <c r="AP52" s="120">
        <v>0</v>
      </c>
      <c r="AQ52" s="120">
        <v>2.5169237572552299E-13</v>
      </c>
      <c r="AR52" s="120">
        <v>-19.834794672811299</v>
      </c>
      <c r="AS52" s="120">
        <v>0</v>
      </c>
      <c r="AT52" s="121">
        <v>5.1516649847670202</v>
      </c>
    </row>
    <row r="53" spans="2:46" ht="12" customHeight="1" x14ac:dyDescent="0.25">
      <c r="B53" s="119" t="s">
        <v>44</v>
      </c>
      <c r="C53" s="120" t="s">
        <v>33</v>
      </c>
      <c r="D53" s="120" t="s">
        <v>45</v>
      </c>
      <c r="E53" s="120" t="s">
        <v>117</v>
      </c>
      <c r="F53" s="120" t="s">
        <v>25</v>
      </c>
      <c r="G53" s="120" t="s">
        <v>34</v>
      </c>
      <c r="H53" s="120" t="s">
        <v>102</v>
      </c>
      <c r="I53" s="120" t="s">
        <v>25</v>
      </c>
      <c r="J53" s="120">
        <v>876.06</v>
      </c>
      <c r="K53" s="120">
        <v>331.44</v>
      </c>
      <c r="L53" s="120">
        <v>3.92012184535049</v>
      </c>
      <c r="M53" s="120">
        <v>0.75742062980317504</v>
      </c>
      <c r="N53" s="120">
        <v>8.8061089911049297</v>
      </c>
      <c r="O53" s="120">
        <v>1.72299301785524E-2</v>
      </c>
      <c r="P53" s="120">
        <v>0</v>
      </c>
      <c r="Q53" s="120">
        <v>43.424282403190702</v>
      </c>
      <c r="R53" s="120">
        <v>16.6076885732232</v>
      </c>
      <c r="S53" s="120">
        <v>0</v>
      </c>
      <c r="T53" s="120">
        <v>106.381775697688</v>
      </c>
      <c r="U53" s="120">
        <v>32.828003955250303</v>
      </c>
      <c r="V53" s="120">
        <v>5.03573948656138</v>
      </c>
      <c r="W53" s="120">
        <v>0.292906760203967</v>
      </c>
      <c r="X53" s="120">
        <v>6.1549733401198399</v>
      </c>
      <c r="Y53" s="120">
        <v>0</v>
      </c>
      <c r="Z53" s="120">
        <v>0</v>
      </c>
      <c r="AA53" s="120">
        <v>700.37134693909297</v>
      </c>
      <c r="AB53" s="120">
        <v>-86.495541929453694</v>
      </c>
      <c r="AC53" s="120">
        <v>0</v>
      </c>
      <c r="AD53" s="120">
        <v>0</v>
      </c>
      <c r="AE53" s="120">
        <v>27.730834344162201</v>
      </c>
      <c r="AF53" s="120">
        <v>0.84056616362847802</v>
      </c>
      <c r="AG53" s="120">
        <v>9.3910858674163702</v>
      </c>
      <c r="AH53" s="120">
        <v>0</v>
      </c>
      <c r="AI53" s="120">
        <v>5.2426799908781696</v>
      </c>
      <c r="AJ53" s="120">
        <v>-15.726321629287501</v>
      </c>
      <c r="AK53" s="120">
        <v>2.3269016186861302</v>
      </c>
      <c r="AL53" s="120">
        <v>54.0157190589156</v>
      </c>
      <c r="AM53" s="120">
        <v>0</v>
      </c>
      <c r="AN53" s="120">
        <v>312.581295900518</v>
      </c>
      <c r="AO53" s="120">
        <v>0</v>
      </c>
      <c r="AP53" s="120">
        <v>0</v>
      </c>
      <c r="AQ53" s="120">
        <v>2.4633721879519302E-13</v>
      </c>
      <c r="AR53" s="120">
        <v>-32.042861505566997</v>
      </c>
      <c r="AS53" s="120">
        <v>0</v>
      </c>
      <c r="AT53" s="121">
        <v>5.0420550914740998</v>
      </c>
    </row>
    <row r="54" spans="2:46" ht="12" customHeight="1" x14ac:dyDescent="0.25">
      <c r="B54" s="119" t="s">
        <v>44</v>
      </c>
      <c r="C54" s="120" t="s">
        <v>33</v>
      </c>
      <c r="D54" s="120" t="s">
        <v>45</v>
      </c>
      <c r="E54" s="120" t="s">
        <v>117</v>
      </c>
      <c r="F54" s="120" t="s">
        <v>25</v>
      </c>
      <c r="G54" s="120" t="s">
        <v>36</v>
      </c>
      <c r="H54" s="120" t="s">
        <v>102</v>
      </c>
      <c r="I54" s="120" t="s">
        <v>25</v>
      </c>
      <c r="J54" s="120">
        <v>563.6</v>
      </c>
      <c r="K54" s="120">
        <v>213.22</v>
      </c>
      <c r="L54" s="120">
        <v>3.92012184535049</v>
      </c>
      <c r="M54" s="120">
        <v>0.75742062980317504</v>
      </c>
      <c r="N54" s="120">
        <v>5.6140607782275902</v>
      </c>
      <c r="O54" s="120">
        <v>1.72299301785524E-2</v>
      </c>
      <c r="P54" s="120">
        <v>0</v>
      </c>
      <c r="Q54" s="120">
        <v>43.424282403190702</v>
      </c>
      <c r="R54" s="120">
        <v>16.6076885732232</v>
      </c>
      <c r="S54" s="120">
        <v>0</v>
      </c>
      <c r="T54" s="120">
        <v>63.829113301880099</v>
      </c>
      <c r="U54" s="120">
        <v>19.6968763979032</v>
      </c>
      <c r="V54" s="120">
        <v>3.0214549862512201</v>
      </c>
      <c r="W54" s="120">
        <v>0.17579951338212199</v>
      </c>
      <c r="X54" s="120">
        <v>3.6929840040719002</v>
      </c>
      <c r="Y54" s="120">
        <v>0</v>
      </c>
      <c r="Z54" s="120">
        <v>0</v>
      </c>
      <c r="AA54" s="120">
        <v>420.22278747487201</v>
      </c>
      <c r="AB54" s="120">
        <v>-55.344749332367599</v>
      </c>
      <c r="AC54" s="120">
        <v>0</v>
      </c>
      <c r="AD54" s="120">
        <v>0</v>
      </c>
      <c r="AE54" s="120">
        <v>27.730834344162201</v>
      </c>
      <c r="AF54" s="120">
        <v>0.84056616362847802</v>
      </c>
      <c r="AG54" s="120">
        <v>9.3910858674163702</v>
      </c>
      <c r="AH54" s="120">
        <v>0</v>
      </c>
      <c r="AI54" s="120">
        <v>5.2426799908781696</v>
      </c>
      <c r="AJ54" s="120">
        <v>-15.726321629287501</v>
      </c>
      <c r="AK54" s="120">
        <v>2.3269016186861302</v>
      </c>
      <c r="AL54" s="120">
        <v>54.0157190589156</v>
      </c>
      <c r="AM54" s="120">
        <v>0</v>
      </c>
      <c r="AN54" s="120">
        <v>181.73331157006899</v>
      </c>
      <c r="AO54" s="120">
        <v>0</v>
      </c>
      <c r="AP54" s="120">
        <v>0</v>
      </c>
      <c r="AQ54" s="120">
        <v>2.4633721879519302E-13</v>
      </c>
      <c r="AR54" s="120">
        <v>-19.412777764879099</v>
      </c>
      <c r="AS54" s="120">
        <v>0</v>
      </c>
      <c r="AT54" s="121">
        <v>5.0420550914740998</v>
      </c>
    </row>
    <row r="55" spans="2:46" ht="12" customHeight="1" x14ac:dyDescent="0.25">
      <c r="B55" s="119" t="s">
        <v>44</v>
      </c>
      <c r="C55" s="120" t="s">
        <v>33</v>
      </c>
      <c r="D55" s="120" t="s">
        <v>45</v>
      </c>
      <c r="E55" s="120" t="s">
        <v>117</v>
      </c>
      <c r="F55" s="120" t="s">
        <v>25</v>
      </c>
      <c r="G55" s="120" t="s">
        <v>35</v>
      </c>
      <c r="H55" s="120" t="s">
        <v>102</v>
      </c>
      <c r="I55" s="120" t="s">
        <v>25</v>
      </c>
      <c r="J55" s="120">
        <v>251.13</v>
      </c>
      <c r="K55" s="120">
        <v>213.22</v>
      </c>
      <c r="L55" s="120">
        <v>3.92012184535049</v>
      </c>
      <c r="M55" s="120">
        <v>0.75742062980317504</v>
      </c>
      <c r="N55" s="120">
        <v>2.4220096051581099</v>
      </c>
      <c r="O55" s="120">
        <v>1.72299301785524E-2</v>
      </c>
      <c r="P55" s="120">
        <v>0</v>
      </c>
      <c r="Q55" s="120">
        <v>43.424282403190702</v>
      </c>
      <c r="R55" s="120">
        <v>16.6076885732232</v>
      </c>
      <c r="S55" s="120">
        <v>0</v>
      </c>
      <c r="T55" s="120">
        <v>21.276331197904099</v>
      </c>
      <c r="U55" s="120">
        <v>6.5656254659677202</v>
      </c>
      <c r="V55" s="120">
        <v>1.00717048594106</v>
      </c>
      <c r="W55" s="120">
        <v>5.8599837794040703E-2</v>
      </c>
      <c r="X55" s="120">
        <v>1.2309946680239701</v>
      </c>
      <c r="Y55" s="120">
        <v>0</v>
      </c>
      <c r="Z55" s="120">
        <v>0</v>
      </c>
      <c r="AA55" s="120">
        <v>140.07422801065101</v>
      </c>
      <c r="AB55" s="120">
        <v>-24.193926895733899</v>
      </c>
      <c r="AC55" s="120">
        <v>0</v>
      </c>
      <c r="AD55" s="120">
        <v>0</v>
      </c>
      <c r="AE55" s="120">
        <v>27.730834344162201</v>
      </c>
      <c r="AF55" s="120">
        <v>0.84056616362847802</v>
      </c>
      <c r="AG55" s="120">
        <v>9.3910858674163702</v>
      </c>
      <c r="AH55" s="120">
        <v>0</v>
      </c>
      <c r="AI55" s="120">
        <v>5.2426799908781696</v>
      </c>
      <c r="AJ55" s="120">
        <v>-15.726321629287501</v>
      </c>
      <c r="AK55" s="120">
        <v>2.3269016186861302</v>
      </c>
      <c r="AL55" s="120">
        <v>54.0157190589156</v>
      </c>
      <c r="AM55" s="120">
        <v>0</v>
      </c>
      <c r="AN55" s="120">
        <v>181.73331157006899</v>
      </c>
      <c r="AO55" s="120">
        <v>0</v>
      </c>
      <c r="AP55" s="120">
        <v>0</v>
      </c>
      <c r="AQ55" s="120">
        <v>2.4633721879519302E-13</v>
      </c>
      <c r="AR55" s="120">
        <v>-19.412777764879099</v>
      </c>
      <c r="AS55" s="120">
        <v>0</v>
      </c>
      <c r="AT55" s="121">
        <v>5.0420550914740998</v>
      </c>
    </row>
    <row r="56" spans="2:46" ht="12" customHeight="1" x14ac:dyDescent="0.25">
      <c r="B56" s="119" t="s">
        <v>44</v>
      </c>
      <c r="C56" s="120" t="s">
        <v>23</v>
      </c>
      <c r="D56" s="120" t="s">
        <v>45</v>
      </c>
      <c r="E56" s="120" t="s">
        <v>116</v>
      </c>
      <c r="F56" s="120" t="s">
        <v>25</v>
      </c>
      <c r="G56" s="120" t="s">
        <v>25</v>
      </c>
      <c r="H56" s="120" t="s">
        <v>102</v>
      </c>
      <c r="I56" s="120" t="s">
        <v>25</v>
      </c>
      <c r="J56" s="120">
        <v>335.21</v>
      </c>
      <c r="K56" s="120">
        <v>227.92</v>
      </c>
      <c r="L56" s="120">
        <v>4.0053418854668097</v>
      </c>
      <c r="M56" s="120">
        <v>0.77388629566846101</v>
      </c>
      <c r="N56" s="120">
        <v>3.2778538839945299</v>
      </c>
      <c r="O56" s="120">
        <v>1.76044938780862E-2</v>
      </c>
      <c r="P56" s="120">
        <v>0</v>
      </c>
      <c r="Q56" s="120">
        <v>44.368288542390502</v>
      </c>
      <c r="R56" s="120">
        <v>16.968725281336798</v>
      </c>
      <c r="S56" s="120">
        <v>0</v>
      </c>
      <c r="T56" s="120">
        <v>32.446167612231797</v>
      </c>
      <c r="U56" s="120">
        <v>10.012427165318799</v>
      </c>
      <c r="V56" s="120">
        <v>1.5358953995775999</v>
      </c>
      <c r="W56" s="120">
        <v>8.9338430530744695E-2</v>
      </c>
      <c r="X56" s="120">
        <v>1.87725362843824</v>
      </c>
      <c r="Y56" s="120">
        <v>0</v>
      </c>
      <c r="Z56" s="120">
        <v>0</v>
      </c>
      <c r="AA56" s="120">
        <v>213.61101833136701</v>
      </c>
      <c r="AB56" s="120">
        <v>-32.558130606063202</v>
      </c>
      <c r="AC56" s="120">
        <v>0</v>
      </c>
      <c r="AD56" s="120">
        <v>0</v>
      </c>
      <c r="AE56" s="120">
        <v>28.3336785690353</v>
      </c>
      <c r="AF56" s="120">
        <v>0.858839341098662</v>
      </c>
      <c r="AG56" s="120">
        <v>9.5952399080123794</v>
      </c>
      <c r="AH56" s="120">
        <v>0</v>
      </c>
      <c r="AI56" s="120">
        <v>5.3566512950276897</v>
      </c>
      <c r="AJ56" s="120">
        <v>-16.068198186446001</v>
      </c>
      <c r="AK56" s="120">
        <v>2.3774864364836499</v>
      </c>
      <c r="AL56" s="120">
        <v>55.189973821065898</v>
      </c>
      <c r="AM56" s="120">
        <v>0</v>
      </c>
      <c r="AN56" s="120">
        <v>196.82507787871299</v>
      </c>
      <c r="AO56" s="120">
        <v>0</v>
      </c>
      <c r="AP56" s="120">
        <v>0</v>
      </c>
      <c r="AQ56" s="120">
        <v>2.5169237572552299E-13</v>
      </c>
      <c r="AR56" s="120">
        <v>-20.910182237688701</v>
      </c>
      <c r="AS56" s="120">
        <v>0</v>
      </c>
      <c r="AT56" s="121">
        <v>5.1516649847670202</v>
      </c>
    </row>
    <row r="57" spans="2:46" ht="12" customHeight="1" x14ac:dyDescent="0.25">
      <c r="B57" s="119" t="s">
        <v>44</v>
      </c>
      <c r="C57" s="120" t="s">
        <v>23</v>
      </c>
      <c r="D57" s="120" t="s">
        <v>45</v>
      </c>
      <c r="E57" s="120" t="s">
        <v>25</v>
      </c>
      <c r="F57" s="120" t="s">
        <v>25</v>
      </c>
      <c r="G57" s="120" t="s">
        <v>25</v>
      </c>
      <c r="H57" s="120" t="s">
        <v>102</v>
      </c>
      <c r="I57" s="120" t="s">
        <v>25</v>
      </c>
      <c r="J57" s="120">
        <v>335.21</v>
      </c>
      <c r="K57" s="120">
        <v>227.92</v>
      </c>
      <c r="L57" s="120">
        <v>4.0053418854668097</v>
      </c>
      <c r="M57" s="120">
        <v>0.77388629566846101</v>
      </c>
      <c r="N57" s="120">
        <v>3.2778538839945299</v>
      </c>
      <c r="O57" s="120">
        <v>1.76044938780862E-2</v>
      </c>
      <c r="P57" s="120">
        <v>0</v>
      </c>
      <c r="Q57" s="120">
        <v>44.368288542390502</v>
      </c>
      <c r="R57" s="120">
        <v>16.968725281336798</v>
      </c>
      <c r="S57" s="120">
        <v>0</v>
      </c>
      <c r="T57" s="120">
        <v>32.446167612231797</v>
      </c>
      <c r="U57" s="120">
        <v>10.012427165318799</v>
      </c>
      <c r="V57" s="120">
        <v>1.5358953995775999</v>
      </c>
      <c r="W57" s="120">
        <v>8.9338430530744695E-2</v>
      </c>
      <c r="X57" s="120">
        <v>1.87725362843824</v>
      </c>
      <c r="Y57" s="120">
        <v>0</v>
      </c>
      <c r="Z57" s="120">
        <v>0</v>
      </c>
      <c r="AA57" s="120">
        <v>213.61101833136701</v>
      </c>
      <c r="AB57" s="120">
        <v>-32.558130606063202</v>
      </c>
      <c r="AC57" s="120">
        <v>0</v>
      </c>
      <c r="AD57" s="120">
        <v>0</v>
      </c>
      <c r="AE57" s="120">
        <v>28.3336785690353</v>
      </c>
      <c r="AF57" s="120">
        <v>0.858839341098662</v>
      </c>
      <c r="AG57" s="120">
        <v>9.5952399080123794</v>
      </c>
      <c r="AH57" s="120">
        <v>0</v>
      </c>
      <c r="AI57" s="120">
        <v>5.3566512950276897</v>
      </c>
      <c r="AJ57" s="120">
        <v>-16.068198186446001</v>
      </c>
      <c r="AK57" s="120">
        <v>2.3774864364836499</v>
      </c>
      <c r="AL57" s="120">
        <v>55.189973821065898</v>
      </c>
      <c r="AM57" s="120">
        <v>0</v>
      </c>
      <c r="AN57" s="120">
        <v>196.82507787871299</v>
      </c>
      <c r="AO57" s="120">
        <v>0</v>
      </c>
      <c r="AP57" s="120">
        <v>0</v>
      </c>
      <c r="AQ57" s="120">
        <v>2.5169237572552299E-13</v>
      </c>
      <c r="AR57" s="120">
        <v>-20.910182237688701</v>
      </c>
      <c r="AS57" s="120">
        <v>0</v>
      </c>
      <c r="AT57" s="121">
        <v>5.1516649847670202</v>
      </c>
    </row>
    <row r="58" spans="2:46" ht="12" customHeight="1" x14ac:dyDescent="0.25">
      <c r="B58" s="119" t="s">
        <v>44</v>
      </c>
      <c r="C58" s="120" t="s">
        <v>23</v>
      </c>
      <c r="D58" s="120" t="s">
        <v>45</v>
      </c>
      <c r="E58" s="120" t="s">
        <v>117</v>
      </c>
      <c r="F58" s="120" t="s">
        <v>25</v>
      </c>
      <c r="G58" s="120" t="s">
        <v>25</v>
      </c>
      <c r="H58" s="120" t="s">
        <v>102</v>
      </c>
      <c r="I58" s="120" t="s">
        <v>25</v>
      </c>
      <c r="J58" s="120">
        <v>328.08</v>
      </c>
      <c r="K58" s="120">
        <v>223.07</v>
      </c>
      <c r="L58" s="120">
        <v>3.92012184535049</v>
      </c>
      <c r="M58" s="120">
        <v>0.75742062980317504</v>
      </c>
      <c r="N58" s="120">
        <v>3.20811231199465</v>
      </c>
      <c r="O58" s="120">
        <v>1.72299301785524E-2</v>
      </c>
      <c r="P58" s="120">
        <v>0</v>
      </c>
      <c r="Q58" s="120">
        <v>43.424282403190702</v>
      </c>
      <c r="R58" s="120">
        <v>16.6076885732232</v>
      </c>
      <c r="S58" s="120">
        <v>0</v>
      </c>
      <c r="T58" s="120">
        <v>31.7558236204822</v>
      </c>
      <c r="U58" s="120">
        <v>9.7993968000992897</v>
      </c>
      <c r="V58" s="120">
        <v>1.50321677405467</v>
      </c>
      <c r="W58" s="120">
        <v>8.7437612859877806E-2</v>
      </c>
      <c r="X58" s="120">
        <v>1.8373120618757299</v>
      </c>
      <c r="Y58" s="120">
        <v>0</v>
      </c>
      <c r="Z58" s="120">
        <v>0</v>
      </c>
      <c r="AA58" s="120">
        <v>209.06610304772099</v>
      </c>
      <c r="AB58" s="120">
        <v>-31.8654044229555</v>
      </c>
      <c r="AC58" s="120">
        <v>0</v>
      </c>
      <c r="AD58" s="120">
        <v>0</v>
      </c>
      <c r="AE58" s="120">
        <v>27.730834344162201</v>
      </c>
      <c r="AF58" s="120">
        <v>0.84056616362847802</v>
      </c>
      <c r="AG58" s="120">
        <v>9.3910858674163702</v>
      </c>
      <c r="AH58" s="120">
        <v>0</v>
      </c>
      <c r="AI58" s="120">
        <v>5.2426799908781696</v>
      </c>
      <c r="AJ58" s="120">
        <v>-15.726321629287501</v>
      </c>
      <c r="AK58" s="120">
        <v>2.3269016186861302</v>
      </c>
      <c r="AL58" s="120">
        <v>54.0157190589156</v>
      </c>
      <c r="AM58" s="120">
        <v>0</v>
      </c>
      <c r="AN58" s="120">
        <v>192.637310264273</v>
      </c>
      <c r="AO58" s="120">
        <v>0</v>
      </c>
      <c r="AP58" s="120">
        <v>0</v>
      </c>
      <c r="AQ58" s="120">
        <v>2.4633721879519302E-13</v>
      </c>
      <c r="AR58" s="120">
        <v>-20.465284743269802</v>
      </c>
      <c r="AS58" s="120">
        <v>0</v>
      </c>
      <c r="AT58" s="121">
        <v>5.0420550914740998</v>
      </c>
    </row>
    <row r="59" spans="2:46" ht="12" customHeight="1" x14ac:dyDescent="0.25">
      <c r="B59" s="119" t="s">
        <v>44</v>
      </c>
      <c r="C59" s="120" t="s">
        <v>115</v>
      </c>
      <c r="D59" s="120" t="s">
        <v>45</v>
      </c>
      <c r="E59" s="120" t="s">
        <v>116</v>
      </c>
      <c r="F59" s="120" t="s">
        <v>25</v>
      </c>
      <c r="G59" s="120" t="s">
        <v>25</v>
      </c>
      <c r="H59" s="120" t="s">
        <v>102</v>
      </c>
      <c r="I59" s="120" t="s">
        <v>25</v>
      </c>
      <c r="J59" s="120">
        <v>335.21</v>
      </c>
      <c r="K59" s="120">
        <v>227.92</v>
      </c>
      <c r="L59" s="120">
        <v>4.0053418854668097</v>
      </c>
      <c r="M59" s="120">
        <v>0.77388629566846101</v>
      </c>
      <c r="N59" s="120">
        <v>3.2778538839945299</v>
      </c>
      <c r="O59" s="120">
        <v>1.76044938780862E-2</v>
      </c>
      <c r="P59" s="120">
        <v>0</v>
      </c>
      <c r="Q59" s="120">
        <v>44.368288542390502</v>
      </c>
      <c r="R59" s="120">
        <v>16.968725281336798</v>
      </c>
      <c r="S59" s="120">
        <v>0</v>
      </c>
      <c r="T59" s="120">
        <v>32.446167612231797</v>
      </c>
      <c r="U59" s="120">
        <v>10.012427165318799</v>
      </c>
      <c r="V59" s="120">
        <v>1.5358953995775999</v>
      </c>
      <c r="W59" s="120">
        <v>8.9338430530744695E-2</v>
      </c>
      <c r="X59" s="120">
        <v>1.87725362843824</v>
      </c>
      <c r="Y59" s="120">
        <v>0</v>
      </c>
      <c r="Z59" s="120">
        <v>0</v>
      </c>
      <c r="AA59" s="120">
        <v>213.61101833136701</v>
      </c>
      <c r="AB59" s="120">
        <v>-32.558130606063202</v>
      </c>
      <c r="AC59" s="120">
        <v>0</v>
      </c>
      <c r="AD59" s="120">
        <v>0</v>
      </c>
      <c r="AE59" s="120">
        <v>28.3336785690353</v>
      </c>
      <c r="AF59" s="120">
        <v>0.858839341098662</v>
      </c>
      <c r="AG59" s="120">
        <v>9.5952399080123794</v>
      </c>
      <c r="AH59" s="120">
        <v>0</v>
      </c>
      <c r="AI59" s="120">
        <v>5.3566512950276897</v>
      </c>
      <c r="AJ59" s="120">
        <v>-16.068198186446001</v>
      </c>
      <c r="AK59" s="120">
        <v>2.3774864364836499</v>
      </c>
      <c r="AL59" s="120">
        <v>55.189973821065898</v>
      </c>
      <c r="AM59" s="120">
        <v>0</v>
      </c>
      <c r="AN59" s="120">
        <v>196.82507787871299</v>
      </c>
      <c r="AO59" s="120">
        <v>0</v>
      </c>
      <c r="AP59" s="120">
        <v>0</v>
      </c>
      <c r="AQ59" s="120">
        <v>2.5169237572552299E-13</v>
      </c>
      <c r="AR59" s="120">
        <v>-20.910182237688701</v>
      </c>
      <c r="AS59" s="120">
        <v>0</v>
      </c>
      <c r="AT59" s="121">
        <v>5.1516649847670202</v>
      </c>
    </row>
    <row r="60" spans="2:46" ht="12" customHeight="1" x14ac:dyDescent="0.25">
      <c r="B60" s="119" t="s">
        <v>44</v>
      </c>
      <c r="C60" s="120" t="s">
        <v>115</v>
      </c>
      <c r="D60" s="120" t="s">
        <v>45</v>
      </c>
      <c r="E60" s="120" t="s">
        <v>25</v>
      </c>
      <c r="F60" s="120" t="s">
        <v>25</v>
      </c>
      <c r="G60" s="120" t="s">
        <v>25</v>
      </c>
      <c r="H60" s="120" t="s">
        <v>102</v>
      </c>
      <c r="I60" s="120" t="s">
        <v>25</v>
      </c>
      <c r="J60" s="120">
        <v>335.21</v>
      </c>
      <c r="K60" s="120">
        <v>227.92</v>
      </c>
      <c r="L60" s="120">
        <v>4.0053418854668097</v>
      </c>
      <c r="M60" s="120">
        <v>0.77388629566846101</v>
      </c>
      <c r="N60" s="120">
        <v>3.2778538839945299</v>
      </c>
      <c r="O60" s="120">
        <v>1.76044938780862E-2</v>
      </c>
      <c r="P60" s="120">
        <v>0</v>
      </c>
      <c r="Q60" s="120">
        <v>44.368288542390502</v>
      </c>
      <c r="R60" s="120">
        <v>16.968725281336798</v>
      </c>
      <c r="S60" s="120">
        <v>0</v>
      </c>
      <c r="T60" s="120">
        <v>32.446167612231797</v>
      </c>
      <c r="U60" s="120">
        <v>10.012427165318799</v>
      </c>
      <c r="V60" s="120">
        <v>1.5358953995775999</v>
      </c>
      <c r="W60" s="120">
        <v>8.9338430530744695E-2</v>
      </c>
      <c r="X60" s="120">
        <v>1.87725362843824</v>
      </c>
      <c r="Y60" s="120">
        <v>0</v>
      </c>
      <c r="Z60" s="120">
        <v>0</v>
      </c>
      <c r="AA60" s="120">
        <v>213.61101833136701</v>
      </c>
      <c r="AB60" s="120">
        <v>-32.558130606063202</v>
      </c>
      <c r="AC60" s="120">
        <v>0</v>
      </c>
      <c r="AD60" s="120">
        <v>0</v>
      </c>
      <c r="AE60" s="120">
        <v>28.3336785690353</v>
      </c>
      <c r="AF60" s="120">
        <v>0.858839341098662</v>
      </c>
      <c r="AG60" s="120">
        <v>9.5952399080123794</v>
      </c>
      <c r="AH60" s="120">
        <v>0</v>
      </c>
      <c r="AI60" s="120">
        <v>5.3566512950276897</v>
      </c>
      <c r="AJ60" s="120">
        <v>-16.068198186446001</v>
      </c>
      <c r="AK60" s="120">
        <v>2.3774864364836499</v>
      </c>
      <c r="AL60" s="120">
        <v>55.189973821065898</v>
      </c>
      <c r="AM60" s="120">
        <v>0</v>
      </c>
      <c r="AN60" s="120">
        <v>196.82507787871299</v>
      </c>
      <c r="AO60" s="120">
        <v>0</v>
      </c>
      <c r="AP60" s="120">
        <v>0</v>
      </c>
      <c r="AQ60" s="120">
        <v>2.5169237572552299E-13</v>
      </c>
      <c r="AR60" s="120">
        <v>-20.910182237688701</v>
      </c>
      <c r="AS60" s="120">
        <v>0</v>
      </c>
      <c r="AT60" s="121">
        <v>5.1516649847670202</v>
      </c>
    </row>
    <row r="61" spans="2:46" ht="12" customHeight="1" x14ac:dyDescent="0.25">
      <c r="B61" s="119" t="s">
        <v>44</v>
      </c>
      <c r="C61" s="120" t="s">
        <v>115</v>
      </c>
      <c r="D61" s="120" t="s">
        <v>45</v>
      </c>
      <c r="E61" s="120" t="s">
        <v>117</v>
      </c>
      <c r="F61" s="120" t="s">
        <v>25</v>
      </c>
      <c r="G61" s="120" t="s">
        <v>25</v>
      </c>
      <c r="H61" s="120" t="s">
        <v>102</v>
      </c>
      <c r="I61" s="120" t="s">
        <v>25</v>
      </c>
      <c r="J61" s="120">
        <v>328.08</v>
      </c>
      <c r="K61" s="120">
        <v>223.07</v>
      </c>
      <c r="L61" s="120">
        <v>3.92012184535049</v>
      </c>
      <c r="M61" s="120">
        <v>0.75742062980317504</v>
      </c>
      <c r="N61" s="120">
        <v>3.20811231199465</v>
      </c>
      <c r="O61" s="120">
        <v>1.72299301785524E-2</v>
      </c>
      <c r="P61" s="120">
        <v>0</v>
      </c>
      <c r="Q61" s="120">
        <v>43.424282403190702</v>
      </c>
      <c r="R61" s="120">
        <v>16.6076885732232</v>
      </c>
      <c r="S61" s="120">
        <v>0</v>
      </c>
      <c r="T61" s="120">
        <v>31.7558236204822</v>
      </c>
      <c r="U61" s="120">
        <v>9.7993968000992897</v>
      </c>
      <c r="V61" s="120">
        <v>1.50321677405467</v>
      </c>
      <c r="W61" s="120">
        <v>8.7437612859877806E-2</v>
      </c>
      <c r="X61" s="120">
        <v>1.8373120618757299</v>
      </c>
      <c r="Y61" s="120">
        <v>0</v>
      </c>
      <c r="Z61" s="120">
        <v>0</v>
      </c>
      <c r="AA61" s="120">
        <v>209.06610304772099</v>
      </c>
      <c r="AB61" s="120">
        <v>-31.8654044229555</v>
      </c>
      <c r="AC61" s="120">
        <v>0</v>
      </c>
      <c r="AD61" s="120">
        <v>0</v>
      </c>
      <c r="AE61" s="120">
        <v>27.730834344162201</v>
      </c>
      <c r="AF61" s="120">
        <v>0.84056616362847802</v>
      </c>
      <c r="AG61" s="120">
        <v>9.3910858674163702</v>
      </c>
      <c r="AH61" s="120">
        <v>0</v>
      </c>
      <c r="AI61" s="120">
        <v>5.2426799908781696</v>
      </c>
      <c r="AJ61" s="120">
        <v>-15.726321629287501</v>
      </c>
      <c r="AK61" s="120">
        <v>2.3269016186861302</v>
      </c>
      <c r="AL61" s="120">
        <v>54.0157190589156</v>
      </c>
      <c r="AM61" s="120">
        <v>0</v>
      </c>
      <c r="AN61" s="120">
        <v>192.637310264273</v>
      </c>
      <c r="AO61" s="120">
        <v>0</v>
      </c>
      <c r="AP61" s="120">
        <v>0</v>
      </c>
      <c r="AQ61" s="120">
        <v>2.4633721879519302E-13</v>
      </c>
      <c r="AR61" s="120">
        <v>-20.465284743269802</v>
      </c>
      <c r="AS61" s="120">
        <v>0</v>
      </c>
      <c r="AT61" s="121">
        <v>5.0420550914740998</v>
      </c>
    </row>
    <row r="62" spans="2:46" ht="12" customHeight="1" x14ac:dyDescent="0.25">
      <c r="B62" s="119" t="s">
        <v>37</v>
      </c>
      <c r="C62" s="120" t="s">
        <v>33</v>
      </c>
      <c r="D62" s="120" t="s">
        <v>25</v>
      </c>
      <c r="E62" s="120" t="s">
        <v>25</v>
      </c>
      <c r="F62" s="120" t="s">
        <v>25</v>
      </c>
      <c r="G62" s="120" t="s">
        <v>34</v>
      </c>
      <c r="H62" s="120" t="s">
        <v>102</v>
      </c>
      <c r="I62" s="120" t="s">
        <v>25</v>
      </c>
      <c r="J62" s="120">
        <v>964.92</v>
      </c>
      <c r="K62" s="120">
        <v>360.26</v>
      </c>
      <c r="L62" s="120">
        <v>4.2610020058157501</v>
      </c>
      <c r="M62" s="120">
        <v>0.82328329326432004</v>
      </c>
      <c r="N62" s="120">
        <v>9.7013220316987692</v>
      </c>
      <c r="O62" s="120">
        <v>1.87281849766874E-2</v>
      </c>
      <c r="P62" s="120">
        <v>0</v>
      </c>
      <c r="Q62" s="120">
        <v>47.200306959989902</v>
      </c>
      <c r="R62" s="120">
        <v>18.051835405677402</v>
      </c>
      <c r="S62" s="120">
        <v>0</v>
      </c>
      <c r="T62" s="120">
        <v>117.358244385802</v>
      </c>
      <c r="U62" s="120">
        <v>36.215269369574202</v>
      </c>
      <c r="V62" s="120">
        <v>5.5553295096116404</v>
      </c>
      <c r="W62" s="120">
        <v>0.32309881762727199</v>
      </c>
      <c r="X62" s="120">
        <v>6.7900663156276897</v>
      </c>
      <c r="Y62" s="120">
        <v>0</v>
      </c>
      <c r="Z62" s="120">
        <v>0</v>
      </c>
      <c r="AA62" s="120">
        <v>772.63550826947505</v>
      </c>
      <c r="AB62" s="120">
        <v>-95.280321022199004</v>
      </c>
      <c r="AC62" s="120">
        <v>0</v>
      </c>
      <c r="AD62" s="120">
        <v>0</v>
      </c>
      <c r="AE62" s="120">
        <v>30.1422112436546</v>
      </c>
      <c r="AF62" s="120">
        <v>0.91365887350921504</v>
      </c>
      <c r="AG62" s="120">
        <v>10.2077020298004</v>
      </c>
      <c r="AH62" s="120">
        <v>0</v>
      </c>
      <c r="AI62" s="120">
        <v>5.6985652074762703</v>
      </c>
      <c r="AJ62" s="120">
        <v>-17.093827857921202</v>
      </c>
      <c r="AK62" s="120">
        <v>2.52924088987622</v>
      </c>
      <c r="AL62" s="120">
        <v>58.712738107516898</v>
      </c>
      <c r="AM62" s="120">
        <v>0</v>
      </c>
      <c r="AN62" s="120">
        <v>339.762278152737</v>
      </c>
      <c r="AO62" s="120">
        <v>0</v>
      </c>
      <c r="AP62" s="120">
        <v>0</v>
      </c>
      <c r="AQ62" s="120">
        <v>2.6775784651651402E-13</v>
      </c>
      <c r="AR62" s="120">
        <v>-34.829197288659799</v>
      </c>
      <c r="AS62" s="120">
        <v>0</v>
      </c>
      <c r="AT62" s="121">
        <v>5.48049466464576</v>
      </c>
    </row>
    <row r="63" spans="2:46" ht="12" customHeight="1" x14ac:dyDescent="0.25">
      <c r="B63" s="119" t="s">
        <v>37</v>
      </c>
      <c r="C63" s="120" t="s">
        <v>33</v>
      </c>
      <c r="D63" s="120" t="s">
        <v>25</v>
      </c>
      <c r="E63" s="120" t="s">
        <v>25</v>
      </c>
      <c r="F63" s="120" t="s">
        <v>25</v>
      </c>
      <c r="G63" s="120" t="s">
        <v>36</v>
      </c>
      <c r="H63" s="120" t="s">
        <v>102</v>
      </c>
      <c r="I63" s="120" t="s">
        <v>25</v>
      </c>
      <c r="J63" s="120">
        <v>620.21</v>
      </c>
      <c r="K63" s="120">
        <v>231.76</v>
      </c>
      <c r="L63" s="120">
        <v>4.2610020058157501</v>
      </c>
      <c r="M63" s="120">
        <v>0.82328329326432004</v>
      </c>
      <c r="N63" s="120">
        <v>6.1799182069239897</v>
      </c>
      <c r="O63" s="120">
        <v>1.87281849766874E-2</v>
      </c>
      <c r="P63" s="120">
        <v>0</v>
      </c>
      <c r="Q63" s="120">
        <v>47.200306959989902</v>
      </c>
      <c r="R63" s="120">
        <v>18.051835405677402</v>
      </c>
      <c r="S63" s="120">
        <v>0</v>
      </c>
      <c r="T63" s="120">
        <v>70.414946631481001</v>
      </c>
      <c r="U63" s="120">
        <v>21.7292152628699</v>
      </c>
      <c r="V63" s="120">
        <v>3.3332345350530499</v>
      </c>
      <c r="W63" s="120">
        <v>0.19389947699646601</v>
      </c>
      <c r="X63" s="120">
        <v>4.07398222286223</v>
      </c>
      <c r="Y63" s="120">
        <v>0</v>
      </c>
      <c r="Z63" s="120">
        <v>0</v>
      </c>
      <c r="AA63" s="120">
        <v>463.58134993686701</v>
      </c>
      <c r="AB63" s="120">
        <v>-60.915386973818897</v>
      </c>
      <c r="AC63" s="120">
        <v>0</v>
      </c>
      <c r="AD63" s="120">
        <v>0</v>
      </c>
      <c r="AE63" s="120">
        <v>30.1422112436546</v>
      </c>
      <c r="AF63" s="120">
        <v>0.91365887350921504</v>
      </c>
      <c r="AG63" s="120">
        <v>10.2077020298004</v>
      </c>
      <c r="AH63" s="120">
        <v>0</v>
      </c>
      <c r="AI63" s="120">
        <v>5.6985652074762703</v>
      </c>
      <c r="AJ63" s="120">
        <v>-17.093827857921202</v>
      </c>
      <c r="AK63" s="120">
        <v>2.52924088987622</v>
      </c>
      <c r="AL63" s="120">
        <v>58.712738107516898</v>
      </c>
      <c r="AM63" s="120">
        <v>0</v>
      </c>
      <c r="AN63" s="120">
        <v>197.536208228335</v>
      </c>
      <c r="AO63" s="120">
        <v>0</v>
      </c>
      <c r="AP63" s="120">
        <v>0</v>
      </c>
      <c r="AQ63" s="120">
        <v>2.6775784651651402E-13</v>
      </c>
      <c r="AR63" s="120">
        <v>-21.100845396607799</v>
      </c>
      <c r="AS63" s="120">
        <v>0</v>
      </c>
      <c r="AT63" s="121">
        <v>5.48049466464576</v>
      </c>
    </row>
    <row r="64" spans="2:46" ht="12" customHeight="1" x14ac:dyDescent="0.25">
      <c r="B64" s="119" t="s">
        <v>37</v>
      </c>
      <c r="C64" s="120" t="s">
        <v>33</v>
      </c>
      <c r="D64" s="120" t="s">
        <v>25</v>
      </c>
      <c r="E64" s="120" t="s">
        <v>25</v>
      </c>
      <c r="F64" s="120" t="s">
        <v>25</v>
      </c>
      <c r="G64" s="120" t="s">
        <v>35</v>
      </c>
      <c r="H64" s="120" t="s">
        <v>102</v>
      </c>
      <c r="I64" s="120" t="s">
        <v>25</v>
      </c>
      <c r="J64" s="120">
        <v>275.5</v>
      </c>
      <c r="K64" s="120">
        <v>231.76</v>
      </c>
      <c r="L64" s="120">
        <v>4.2610020058157501</v>
      </c>
      <c r="M64" s="120">
        <v>0.82328329326432004</v>
      </c>
      <c r="N64" s="120">
        <v>2.6585111645490498</v>
      </c>
      <c r="O64" s="120">
        <v>1.87281849766874E-2</v>
      </c>
      <c r="P64" s="120">
        <v>0</v>
      </c>
      <c r="Q64" s="120">
        <v>47.200306959989902</v>
      </c>
      <c r="R64" s="120">
        <v>18.051835405677402</v>
      </c>
      <c r="S64" s="120">
        <v>0</v>
      </c>
      <c r="T64" s="120">
        <v>23.471648877160298</v>
      </c>
      <c r="U64" s="120">
        <v>7.2430270533521597</v>
      </c>
      <c r="V64" s="120">
        <v>1.11107817835102</v>
      </c>
      <c r="W64" s="120">
        <v>6.4599670315402896E-2</v>
      </c>
      <c r="X64" s="120">
        <v>1.3579940742874099</v>
      </c>
      <c r="Y64" s="120">
        <v>0</v>
      </c>
      <c r="Z64" s="120">
        <v>0</v>
      </c>
      <c r="AA64" s="120">
        <v>154.52707916630399</v>
      </c>
      <c r="AB64" s="120">
        <v>-26.550425076818801</v>
      </c>
      <c r="AC64" s="120">
        <v>0</v>
      </c>
      <c r="AD64" s="120">
        <v>0</v>
      </c>
      <c r="AE64" s="120">
        <v>30.1422112436546</v>
      </c>
      <c r="AF64" s="120">
        <v>0.91365887350921504</v>
      </c>
      <c r="AG64" s="120">
        <v>10.2077020298004</v>
      </c>
      <c r="AH64" s="120">
        <v>0</v>
      </c>
      <c r="AI64" s="120">
        <v>5.6985652074762703</v>
      </c>
      <c r="AJ64" s="120">
        <v>-17.093827857921202</v>
      </c>
      <c r="AK64" s="120">
        <v>2.52924088987622</v>
      </c>
      <c r="AL64" s="120">
        <v>58.712738107516898</v>
      </c>
      <c r="AM64" s="120">
        <v>0</v>
      </c>
      <c r="AN64" s="120">
        <v>197.536208228335</v>
      </c>
      <c r="AO64" s="120">
        <v>0</v>
      </c>
      <c r="AP64" s="120">
        <v>0</v>
      </c>
      <c r="AQ64" s="120">
        <v>2.6775784651651402E-13</v>
      </c>
      <c r="AR64" s="120">
        <v>-21.100845396607799</v>
      </c>
      <c r="AS64" s="120">
        <v>0</v>
      </c>
      <c r="AT64" s="121">
        <v>5.48049466464576</v>
      </c>
    </row>
    <row r="65" spans="2:46" ht="12" customHeight="1" x14ac:dyDescent="0.25">
      <c r="B65" s="119" t="s">
        <v>37</v>
      </c>
      <c r="C65" s="120" t="s">
        <v>23</v>
      </c>
      <c r="D65" s="120" t="s">
        <v>25</v>
      </c>
      <c r="E65" s="120" t="s">
        <v>25</v>
      </c>
      <c r="F65" s="120" t="s">
        <v>25</v>
      </c>
      <c r="G65" s="120" t="s">
        <v>25</v>
      </c>
      <c r="H65" s="120" t="s">
        <v>102</v>
      </c>
      <c r="I65" s="120" t="s">
        <v>25</v>
      </c>
      <c r="J65" s="120">
        <v>356.61</v>
      </c>
      <c r="K65" s="120">
        <v>242.47</v>
      </c>
      <c r="L65" s="120">
        <v>4.2610020058157501</v>
      </c>
      <c r="M65" s="120">
        <v>0.82328329326432004</v>
      </c>
      <c r="N65" s="120">
        <v>3.4870785999941898</v>
      </c>
      <c r="O65" s="120">
        <v>1.87281849766874E-2</v>
      </c>
      <c r="P65" s="120">
        <v>0</v>
      </c>
      <c r="Q65" s="120">
        <v>47.200306959989902</v>
      </c>
      <c r="R65" s="120">
        <v>18.051835405677402</v>
      </c>
      <c r="S65" s="120">
        <v>0</v>
      </c>
      <c r="T65" s="120">
        <v>34.517199587480697</v>
      </c>
      <c r="U65" s="120">
        <v>10.6515182609775</v>
      </c>
      <c r="V65" s="120">
        <v>1.63393127614638</v>
      </c>
      <c r="W65" s="120">
        <v>9.5040883543345403E-2</v>
      </c>
      <c r="X65" s="120">
        <v>1.99707832812579</v>
      </c>
      <c r="Y65" s="120">
        <v>0</v>
      </c>
      <c r="Z65" s="120">
        <v>0</v>
      </c>
      <c r="AA65" s="120">
        <v>227.245764182306</v>
      </c>
      <c r="AB65" s="120">
        <v>-34.6363091553864</v>
      </c>
      <c r="AC65" s="120">
        <v>0</v>
      </c>
      <c r="AD65" s="120">
        <v>0</v>
      </c>
      <c r="AE65" s="120">
        <v>30.1422112436546</v>
      </c>
      <c r="AF65" s="120">
        <v>0.91365887350921504</v>
      </c>
      <c r="AG65" s="120">
        <v>10.2077020298004</v>
      </c>
      <c r="AH65" s="120">
        <v>0</v>
      </c>
      <c r="AI65" s="120">
        <v>5.6985652074762703</v>
      </c>
      <c r="AJ65" s="120">
        <v>-17.093827857921202</v>
      </c>
      <c r="AK65" s="120">
        <v>2.52924088987622</v>
      </c>
      <c r="AL65" s="120">
        <v>58.712738107516898</v>
      </c>
      <c r="AM65" s="120">
        <v>0</v>
      </c>
      <c r="AN65" s="120">
        <v>209.38838072203501</v>
      </c>
      <c r="AO65" s="120">
        <v>0</v>
      </c>
      <c r="AP65" s="120">
        <v>0</v>
      </c>
      <c r="AQ65" s="120">
        <v>2.6775784651651402E-13</v>
      </c>
      <c r="AR65" s="120">
        <v>-22.244874720945401</v>
      </c>
      <c r="AS65" s="120">
        <v>0</v>
      </c>
      <c r="AT65" s="121">
        <v>5.48049466464576</v>
      </c>
    </row>
    <row r="66" spans="2:46" ht="12" customHeight="1" x14ac:dyDescent="0.25">
      <c r="B66" s="119" t="s">
        <v>37</v>
      </c>
      <c r="C66" s="120" t="s">
        <v>115</v>
      </c>
      <c r="D66" s="120" t="s">
        <v>25</v>
      </c>
      <c r="E66" s="120" t="s">
        <v>25</v>
      </c>
      <c r="F66" s="120" t="s">
        <v>25</v>
      </c>
      <c r="G66" s="120" t="s">
        <v>25</v>
      </c>
      <c r="H66" s="120" t="s">
        <v>102</v>
      </c>
      <c r="I66" s="120" t="s">
        <v>25</v>
      </c>
      <c r="J66" s="120">
        <v>356.61</v>
      </c>
      <c r="K66" s="120">
        <v>242.47</v>
      </c>
      <c r="L66" s="120">
        <v>4.2610020058157501</v>
      </c>
      <c r="M66" s="120">
        <v>0.82328329326432004</v>
      </c>
      <c r="N66" s="120">
        <v>3.4870785999941898</v>
      </c>
      <c r="O66" s="120">
        <v>1.87281849766874E-2</v>
      </c>
      <c r="P66" s="120">
        <v>0</v>
      </c>
      <c r="Q66" s="120">
        <v>47.200306959989902</v>
      </c>
      <c r="R66" s="120">
        <v>18.051835405677402</v>
      </c>
      <c r="S66" s="120">
        <v>0</v>
      </c>
      <c r="T66" s="120">
        <v>34.517199587480697</v>
      </c>
      <c r="U66" s="120">
        <v>10.6515182609775</v>
      </c>
      <c r="V66" s="120">
        <v>1.63393127614638</v>
      </c>
      <c r="W66" s="120">
        <v>9.5040883543345403E-2</v>
      </c>
      <c r="X66" s="120">
        <v>1.99707832812579</v>
      </c>
      <c r="Y66" s="120">
        <v>0</v>
      </c>
      <c r="Z66" s="120">
        <v>0</v>
      </c>
      <c r="AA66" s="120">
        <v>227.245764182306</v>
      </c>
      <c r="AB66" s="120">
        <v>-34.6363091553864</v>
      </c>
      <c r="AC66" s="120">
        <v>0</v>
      </c>
      <c r="AD66" s="120">
        <v>0</v>
      </c>
      <c r="AE66" s="120">
        <v>30.1422112436546</v>
      </c>
      <c r="AF66" s="120">
        <v>0.91365887350921504</v>
      </c>
      <c r="AG66" s="120">
        <v>10.2077020298004</v>
      </c>
      <c r="AH66" s="120">
        <v>0</v>
      </c>
      <c r="AI66" s="120">
        <v>5.6985652074762703</v>
      </c>
      <c r="AJ66" s="120">
        <v>-17.093827857921202</v>
      </c>
      <c r="AK66" s="120">
        <v>2.52924088987622</v>
      </c>
      <c r="AL66" s="120">
        <v>58.712738107516898</v>
      </c>
      <c r="AM66" s="120">
        <v>0</v>
      </c>
      <c r="AN66" s="120">
        <v>209.38838072203501</v>
      </c>
      <c r="AO66" s="120">
        <v>0</v>
      </c>
      <c r="AP66" s="120">
        <v>0</v>
      </c>
      <c r="AQ66" s="120">
        <v>2.6775784651651402E-13</v>
      </c>
      <c r="AR66" s="120">
        <v>-22.244874720945401</v>
      </c>
      <c r="AS66" s="120">
        <v>0</v>
      </c>
      <c r="AT66" s="121">
        <v>5.48049466464576</v>
      </c>
    </row>
    <row r="67" spans="2:46" ht="12" customHeight="1" x14ac:dyDescent="0.25">
      <c r="B67" s="119" t="s">
        <v>47</v>
      </c>
      <c r="C67" s="120" t="s">
        <v>23</v>
      </c>
      <c r="D67" s="120" t="s">
        <v>48</v>
      </c>
      <c r="E67" s="120" t="s">
        <v>49</v>
      </c>
      <c r="F67" s="120" t="s">
        <v>25</v>
      </c>
      <c r="G67" s="120" t="s">
        <v>25</v>
      </c>
      <c r="H67" s="120" t="s">
        <v>102</v>
      </c>
      <c r="I67" s="120" t="s">
        <v>25</v>
      </c>
      <c r="J67" s="120">
        <v>196.14</v>
      </c>
      <c r="K67" s="120">
        <v>133.36000000000001</v>
      </c>
      <c r="L67" s="120">
        <v>2.34355110319866</v>
      </c>
      <c r="M67" s="120">
        <v>0.452805811295376</v>
      </c>
      <c r="N67" s="120">
        <v>1.9178932299967999</v>
      </c>
      <c r="O67" s="120">
        <v>1.03005017371781E-2</v>
      </c>
      <c r="P67" s="120">
        <v>0</v>
      </c>
      <c r="Q67" s="120">
        <v>25.960168827994501</v>
      </c>
      <c r="R67" s="120">
        <v>9.92850947312259</v>
      </c>
      <c r="S67" s="120">
        <v>0</v>
      </c>
      <c r="T67" s="120">
        <v>18.984459773114398</v>
      </c>
      <c r="U67" s="120">
        <v>5.85833504353762</v>
      </c>
      <c r="V67" s="120">
        <v>0.89866220188051105</v>
      </c>
      <c r="W67" s="120">
        <v>5.227248594884E-2</v>
      </c>
      <c r="X67" s="120">
        <v>1.0983930804691899</v>
      </c>
      <c r="Y67" s="120">
        <v>0</v>
      </c>
      <c r="Z67" s="120">
        <v>0</v>
      </c>
      <c r="AA67" s="120">
        <v>124.985170300268</v>
      </c>
      <c r="AB67" s="120">
        <v>-19.049970035462501</v>
      </c>
      <c r="AC67" s="120">
        <v>0</v>
      </c>
      <c r="AD67" s="120">
        <v>0</v>
      </c>
      <c r="AE67" s="120">
        <v>16.57821618401</v>
      </c>
      <c r="AF67" s="120">
        <v>0.50251238043006896</v>
      </c>
      <c r="AG67" s="120">
        <v>5.6142361163902201</v>
      </c>
      <c r="AH67" s="120">
        <v>0</v>
      </c>
      <c r="AI67" s="120">
        <v>3.1342108641119499</v>
      </c>
      <c r="AJ67" s="120">
        <v>-9.40160532185668</v>
      </c>
      <c r="AK67" s="120">
        <v>1.39108248943192</v>
      </c>
      <c r="AL67" s="120">
        <v>32.2920059591343</v>
      </c>
      <c r="AM67" s="120">
        <v>0</v>
      </c>
      <c r="AN67" s="120">
        <v>115.16360939712</v>
      </c>
      <c r="AO67" s="120">
        <v>0</v>
      </c>
      <c r="AP67" s="120">
        <v>0</v>
      </c>
      <c r="AQ67" s="120">
        <v>1.47266815584083E-13</v>
      </c>
      <c r="AR67" s="120">
        <v>-12.234681096519999</v>
      </c>
      <c r="AS67" s="120">
        <v>0</v>
      </c>
      <c r="AT67" s="121">
        <v>3.0142720655551698</v>
      </c>
    </row>
    <row r="68" spans="2:46" ht="12" customHeight="1" x14ac:dyDescent="0.25">
      <c r="B68" s="122" t="s">
        <v>47</v>
      </c>
      <c r="C68" s="123" t="s">
        <v>23</v>
      </c>
      <c r="D68" s="123" t="s">
        <v>48</v>
      </c>
      <c r="E68" s="123" t="s">
        <v>118</v>
      </c>
      <c r="F68" s="123" t="s">
        <v>25</v>
      </c>
      <c r="G68" s="123" t="s">
        <v>25</v>
      </c>
      <c r="H68" s="123" t="s">
        <v>102</v>
      </c>
      <c r="I68" s="123" t="s">
        <v>25</v>
      </c>
      <c r="J68" s="123">
        <v>213.97</v>
      </c>
      <c r="K68" s="123">
        <v>145.47999999999999</v>
      </c>
      <c r="L68" s="123">
        <v>2.5566012034894499</v>
      </c>
      <c r="M68" s="123">
        <v>0.49396997595859199</v>
      </c>
      <c r="N68" s="123">
        <v>2.0922471599965098</v>
      </c>
      <c r="O68" s="123">
        <v>1.12369109860125E-2</v>
      </c>
      <c r="P68" s="123">
        <v>0</v>
      </c>
      <c r="Q68" s="123">
        <v>28.320184175994001</v>
      </c>
      <c r="R68" s="123">
        <v>10.831101243406501</v>
      </c>
      <c r="S68" s="123">
        <v>0</v>
      </c>
      <c r="T68" s="123">
        <v>20.710319752488399</v>
      </c>
      <c r="U68" s="123">
        <v>6.3909109565864997</v>
      </c>
      <c r="V68" s="123">
        <v>0.98035876568782998</v>
      </c>
      <c r="W68" s="123">
        <v>5.7024530126007202E-2</v>
      </c>
      <c r="X68" s="123">
        <v>1.1982469968754701</v>
      </c>
      <c r="Y68" s="123">
        <v>0</v>
      </c>
      <c r="Z68" s="123">
        <v>0</v>
      </c>
      <c r="AA68" s="123">
        <v>136.34745850938299</v>
      </c>
      <c r="AB68" s="123">
        <v>-20.781785493231801</v>
      </c>
      <c r="AC68" s="123">
        <v>0</v>
      </c>
      <c r="AD68" s="123">
        <v>0</v>
      </c>
      <c r="AE68" s="123">
        <v>18.085326746192798</v>
      </c>
      <c r="AF68" s="123">
        <v>0.54819532410552896</v>
      </c>
      <c r="AG68" s="123">
        <v>6.1246212178802404</v>
      </c>
      <c r="AH68" s="123">
        <v>0</v>
      </c>
      <c r="AI68" s="123">
        <v>3.4191391244857599</v>
      </c>
      <c r="AJ68" s="123">
        <v>-10.2562967147527</v>
      </c>
      <c r="AK68" s="123">
        <v>1.5175445339257301</v>
      </c>
      <c r="AL68" s="123">
        <v>35.227642864510202</v>
      </c>
      <c r="AM68" s="123">
        <v>0</v>
      </c>
      <c r="AN68" s="123">
        <v>125.633028433221</v>
      </c>
      <c r="AO68" s="123">
        <v>0</v>
      </c>
      <c r="AP68" s="123">
        <v>0</v>
      </c>
      <c r="AQ68" s="123">
        <v>1.6065470790990801E-13</v>
      </c>
      <c r="AR68" s="123">
        <v>-13.3469248325673</v>
      </c>
      <c r="AS68" s="123">
        <v>0</v>
      </c>
      <c r="AT68" s="124">
        <v>3.2882967987874601</v>
      </c>
    </row>
  </sheetData>
  <mergeCells count="7">
    <mergeCell ref="L1:AT1"/>
    <mergeCell ref="L2:S2"/>
    <mergeCell ref="T2:Z2"/>
    <mergeCell ref="AB2:AD2"/>
    <mergeCell ref="AE2:AH2"/>
    <mergeCell ref="AI2:AM2"/>
    <mergeCell ref="AO2:AS2"/>
  </mergeCells>
  <phoneticPr fontId="11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7A73A-AAF4-47F2-B87F-D69BB2A1F43F}">
  <dimension ref="B1:AT68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3" bestFit="1" customWidth="1"/>
    <col min="11" max="11" width="10.28515625" bestFit="1" customWidth="1"/>
    <col min="12" max="12" width="19.42578125" bestFit="1" customWidth="1"/>
    <col min="13" max="13" width="14.140625" bestFit="1" customWidth="1"/>
    <col min="14" max="14" width="12.7109375" bestFit="1" customWidth="1"/>
    <col min="15" max="15" width="13" bestFit="1" customWidth="1"/>
    <col min="16" max="17" width="12.5703125" bestFit="1" customWidth="1"/>
    <col min="18" max="18" width="17.28515625" bestFit="1" customWidth="1"/>
    <col min="19" max="19" width="11" bestFit="1" customWidth="1"/>
    <col min="20" max="21" width="12.140625" bestFit="1" customWidth="1"/>
    <col min="22" max="22" width="12.42578125" bestFit="1" customWidth="1"/>
    <col min="23" max="23" width="12.7109375" bestFit="1" customWidth="1"/>
    <col min="24" max="24" width="14" bestFit="1" customWidth="1"/>
    <col min="25" max="25" width="11.5703125" bestFit="1" customWidth="1"/>
    <col min="26" max="26" width="14.42578125" bestFit="1" customWidth="1"/>
    <col min="27" max="27" width="13" bestFit="1" customWidth="1"/>
    <col min="28" max="28" width="16.28515625" bestFit="1" customWidth="1"/>
    <col min="29" max="29" width="25.140625" bestFit="1" customWidth="1"/>
    <col min="30" max="30" width="14.5703125" bestFit="1" customWidth="1"/>
    <col min="31" max="31" width="12.140625" bestFit="1" customWidth="1"/>
    <col min="32" max="32" width="17.85546875" bestFit="1" customWidth="1"/>
    <col min="33" max="33" width="12.7109375" bestFit="1" customWidth="1"/>
    <col min="34" max="34" width="10.85546875" bestFit="1" customWidth="1"/>
    <col min="35" max="35" width="16.7109375" bestFit="1" customWidth="1"/>
    <col min="36" max="36" width="14.7109375" bestFit="1" customWidth="1"/>
    <col min="37" max="37" width="12.140625" bestFit="1" customWidth="1"/>
    <col min="38" max="38" width="12.7109375" bestFit="1" customWidth="1"/>
    <col min="39" max="39" width="12.42578125" bestFit="1" customWidth="1"/>
    <col min="40" max="40" width="14.28515625" bestFit="1" customWidth="1"/>
    <col min="41" max="41" width="25.42578125" bestFit="1" customWidth="1"/>
    <col min="42" max="42" width="18" bestFit="1" customWidth="1"/>
    <col min="43" max="43" width="14.140625" bestFit="1" customWidth="1"/>
    <col min="44" max="44" width="13.42578125" bestFit="1" customWidth="1"/>
    <col min="45" max="45" width="22.28515625" bestFit="1" customWidth="1"/>
    <col min="46" max="46" width="12.7109375" bestFit="1" customWidth="1"/>
  </cols>
  <sheetData>
    <row r="1" spans="2:46" ht="12" customHeight="1" x14ac:dyDescent="0.25">
      <c r="L1" s="125" t="s">
        <v>1564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</row>
    <row r="2" spans="2:46" ht="12" customHeight="1" x14ac:dyDescent="0.25">
      <c r="L2" s="126" t="s">
        <v>835</v>
      </c>
      <c r="M2" s="126"/>
      <c r="N2" s="126"/>
      <c r="O2" s="126"/>
      <c r="P2" s="126"/>
      <c r="Q2" s="126"/>
      <c r="R2" s="126"/>
      <c r="S2" s="127"/>
      <c r="T2" s="126" t="s">
        <v>844</v>
      </c>
      <c r="U2" s="126"/>
      <c r="V2" s="126"/>
      <c r="W2" s="126"/>
      <c r="X2" s="126"/>
      <c r="Y2" s="126"/>
      <c r="Z2" s="127"/>
      <c r="AA2" s="128" t="s">
        <v>852</v>
      </c>
      <c r="AB2" s="126" t="s">
        <v>25</v>
      </c>
      <c r="AC2" s="126"/>
      <c r="AD2" s="127"/>
      <c r="AE2" s="126" t="s">
        <v>1563</v>
      </c>
      <c r="AF2" s="126"/>
      <c r="AG2" s="126"/>
      <c r="AH2" s="127"/>
      <c r="AI2" s="126" t="s">
        <v>835</v>
      </c>
      <c r="AJ2" s="126"/>
      <c r="AK2" s="126"/>
      <c r="AL2" s="126"/>
      <c r="AM2" s="127"/>
      <c r="AN2" s="128" t="s">
        <v>866</v>
      </c>
      <c r="AO2" s="126" t="s">
        <v>844</v>
      </c>
      <c r="AP2" s="126"/>
      <c r="AQ2" s="126"/>
      <c r="AR2" s="126"/>
      <c r="AS2" s="127"/>
      <c r="AT2" s="129" t="s">
        <v>1563</v>
      </c>
    </row>
    <row r="3" spans="2:46" ht="12" customHeight="1" x14ac:dyDescent="0.25">
      <c r="B3" s="116" t="s">
        <v>92</v>
      </c>
      <c r="C3" s="117" t="s">
        <v>93</v>
      </c>
      <c r="D3" s="117" t="s">
        <v>94</v>
      </c>
      <c r="E3" s="117" t="s">
        <v>95</v>
      </c>
      <c r="F3" s="117" t="s">
        <v>96</v>
      </c>
      <c r="G3" s="117" t="s">
        <v>98</v>
      </c>
      <c r="H3" s="117" t="s">
        <v>99</v>
      </c>
      <c r="I3" s="117" t="s">
        <v>1111</v>
      </c>
      <c r="J3" s="117" t="s">
        <v>1525</v>
      </c>
      <c r="K3" s="117" t="s">
        <v>1526</v>
      </c>
      <c r="L3" s="117" t="s">
        <v>1527</v>
      </c>
      <c r="M3" s="117" t="s">
        <v>1528</v>
      </c>
      <c r="N3" s="117" t="s">
        <v>1529</v>
      </c>
      <c r="O3" s="117" t="s">
        <v>1530</v>
      </c>
      <c r="P3" s="117" t="s">
        <v>1531</v>
      </c>
      <c r="Q3" s="117" t="s">
        <v>1532</v>
      </c>
      <c r="R3" s="117" t="s">
        <v>1533</v>
      </c>
      <c r="S3" s="117" t="s">
        <v>1534</v>
      </c>
      <c r="T3" s="117" t="s">
        <v>1535</v>
      </c>
      <c r="U3" s="117" t="s">
        <v>1536</v>
      </c>
      <c r="V3" s="117" t="s">
        <v>1537</v>
      </c>
      <c r="W3" s="117" t="s">
        <v>1538</v>
      </c>
      <c r="X3" s="117" t="s">
        <v>1539</v>
      </c>
      <c r="Y3" s="117" t="s">
        <v>1540</v>
      </c>
      <c r="Z3" s="117" t="s">
        <v>1541</v>
      </c>
      <c r="AA3" s="117" t="s">
        <v>1542</v>
      </c>
      <c r="AB3" s="117" t="s">
        <v>1543</v>
      </c>
      <c r="AC3" s="117" t="s">
        <v>1544</v>
      </c>
      <c r="AD3" s="117" t="s">
        <v>1545</v>
      </c>
      <c r="AE3" s="117" t="s">
        <v>1546</v>
      </c>
      <c r="AF3" s="117" t="s">
        <v>1547</v>
      </c>
      <c r="AG3" s="117" t="s">
        <v>1548</v>
      </c>
      <c r="AH3" s="117" t="s">
        <v>1549</v>
      </c>
      <c r="AI3" s="117" t="s">
        <v>1550</v>
      </c>
      <c r="AJ3" s="117" t="s">
        <v>1551</v>
      </c>
      <c r="AK3" s="117" t="s">
        <v>1552</v>
      </c>
      <c r="AL3" s="117" t="s">
        <v>1553</v>
      </c>
      <c r="AM3" s="117" t="s">
        <v>1554</v>
      </c>
      <c r="AN3" s="117" t="s">
        <v>1555</v>
      </c>
      <c r="AO3" s="117" t="s">
        <v>1556</v>
      </c>
      <c r="AP3" s="117" t="s">
        <v>1557</v>
      </c>
      <c r="AQ3" s="117" t="s">
        <v>1558</v>
      </c>
      <c r="AR3" s="117" t="s">
        <v>1559</v>
      </c>
      <c r="AS3" s="117" t="s">
        <v>1560</v>
      </c>
      <c r="AT3" s="118" t="s">
        <v>1561</v>
      </c>
    </row>
    <row r="4" spans="2:46" ht="12" customHeight="1" x14ac:dyDescent="0.25">
      <c r="B4" s="119" t="s">
        <v>39</v>
      </c>
      <c r="C4" s="120" t="s">
        <v>40</v>
      </c>
      <c r="D4" s="120" t="s">
        <v>25</v>
      </c>
      <c r="E4" s="120" t="s">
        <v>25</v>
      </c>
      <c r="F4" s="120" t="s">
        <v>59</v>
      </c>
      <c r="G4" s="120" t="s">
        <v>34</v>
      </c>
      <c r="H4" s="120" t="s">
        <v>102</v>
      </c>
      <c r="I4" s="120" t="s">
        <v>25</v>
      </c>
      <c r="J4" s="120">
        <v>10.71</v>
      </c>
      <c r="K4" s="120">
        <v>0</v>
      </c>
      <c r="L4" s="120">
        <v>0</v>
      </c>
      <c r="M4" s="120">
        <v>0.107744961028877</v>
      </c>
      <c r="N4" s="120">
        <v>0.21697390486523199</v>
      </c>
      <c r="O4" s="120">
        <v>1.9190865198739599E-2</v>
      </c>
      <c r="P4" s="120">
        <v>0</v>
      </c>
      <c r="Q4" s="120">
        <v>0</v>
      </c>
      <c r="R4" s="120">
        <v>0</v>
      </c>
      <c r="S4" s="120">
        <v>0</v>
      </c>
      <c r="T4" s="120">
        <v>0</v>
      </c>
      <c r="U4" s="120">
        <v>0</v>
      </c>
      <c r="V4" s="120">
        <v>0</v>
      </c>
      <c r="W4" s="120">
        <v>0</v>
      </c>
      <c r="X4" s="120">
        <v>0</v>
      </c>
      <c r="Y4" s="120">
        <v>0</v>
      </c>
      <c r="Z4" s="120">
        <v>0</v>
      </c>
      <c r="AA4" s="120">
        <v>0</v>
      </c>
      <c r="AB4" s="120">
        <v>0</v>
      </c>
      <c r="AC4" s="120">
        <v>0</v>
      </c>
      <c r="AD4" s="120">
        <v>0</v>
      </c>
      <c r="AE4" s="120">
        <v>6.6470772504401703</v>
      </c>
      <c r="AF4" s="120">
        <v>0.201483596000091</v>
      </c>
      <c r="AG4" s="120">
        <v>3.51446617034077</v>
      </c>
      <c r="AH4" s="120">
        <v>0</v>
      </c>
      <c r="AI4" s="120">
        <v>0</v>
      </c>
      <c r="AJ4" s="120">
        <v>0</v>
      </c>
      <c r="AK4" s="120">
        <v>0</v>
      </c>
      <c r="AL4" s="120">
        <v>0</v>
      </c>
      <c r="AM4" s="120">
        <v>0</v>
      </c>
      <c r="AN4" s="120">
        <v>0</v>
      </c>
      <c r="AO4" s="120">
        <v>0</v>
      </c>
      <c r="AP4" s="120">
        <v>0</v>
      </c>
      <c r="AQ4" s="120">
        <v>0</v>
      </c>
      <c r="AR4" s="120">
        <v>0</v>
      </c>
      <c r="AS4" s="120">
        <v>0</v>
      </c>
      <c r="AT4" s="121">
        <v>0</v>
      </c>
    </row>
    <row r="5" spans="2:46" ht="12" customHeight="1" x14ac:dyDescent="0.25">
      <c r="B5" s="119" t="s">
        <v>39</v>
      </c>
      <c r="C5" s="120" t="s">
        <v>40</v>
      </c>
      <c r="D5" s="120" t="s">
        <v>25</v>
      </c>
      <c r="E5" s="120" t="s">
        <v>25</v>
      </c>
      <c r="F5" s="120" t="s">
        <v>59</v>
      </c>
      <c r="G5" s="120" t="s">
        <v>34</v>
      </c>
      <c r="H5" s="120" t="s">
        <v>105</v>
      </c>
      <c r="I5" s="120" t="s">
        <v>25</v>
      </c>
      <c r="J5" s="120">
        <v>22.83</v>
      </c>
      <c r="K5" s="120">
        <v>0</v>
      </c>
      <c r="L5" s="120">
        <v>0</v>
      </c>
      <c r="M5" s="120">
        <v>0</v>
      </c>
      <c r="N5" s="120">
        <v>0</v>
      </c>
      <c r="O5" s="120">
        <v>0</v>
      </c>
      <c r="P5" s="120">
        <v>0</v>
      </c>
      <c r="Q5" s="120">
        <v>0</v>
      </c>
      <c r="R5" s="120">
        <v>0</v>
      </c>
      <c r="S5" s="120">
        <v>0</v>
      </c>
      <c r="T5" s="120">
        <v>8.5521113100201394</v>
      </c>
      <c r="U5" s="120">
        <v>2.6664474733501198</v>
      </c>
      <c r="V5" s="120">
        <v>0.44551159706489502</v>
      </c>
      <c r="W5" s="120">
        <v>2.59202409663669E-2</v>
      </c>
      <c r="X5" s="120">
        <v>0.55249094854233005</v>
      </c>
      <c r="Y5" s="120">
        <v>0</v>
      </c>
      <c r="Z5" s="120">
        <v>0</v>
      </c>
      <c r="AA5" s="120">
        <v>10.588507070525299</v>
      </c>
      <c r="AB5" s="120">
        <v>0</v>
      </c>
      <c r="AC5" s="120">
        <v>0</v>
      </c>
      <c r="AD5" s="120">
        <v>0</v>
      </c>
      <c r="AE5" s="120">
        <v>0</v>
      </c>
      <c r="AF5" s="120">
        <v>0</v>
      </c>
      <c r="AG5" s="120">
        <v>0</v>
      </c>
      <c r="AH5" s="120">
        <v>0</v>
      </c>
      <c r="AI5" s="120">
        <v>0</v>
      </c>
      <c r="AJ5" s="120">
        <v>0</v>
      </c>
      <c r="AK5" s="120">
        <v>0</v>
      </c>
      <c r="AL5" s="120">
        <v>0</v>
      </c>
      <c r="AM5" s="120">
        <v>0</v>
      </c>
      <c r="AN5" s="120">
        <v>0</v>
      </c>
      <c r="AO5" s="120">
        <v>0</v>
      </c>
      <c r="AP5" s="120">
        <v>0</v>
      </c>
      <c r="AQ5" s="120">
        <v>0</v>
      </c>
      <c r="AR5" s="120">
        <v>0</v>
      </c>
      <c r="AS5" s="120">
        <v>0</v>
      </c>
      <c r="AT5" s="121">
        <v>0</v>
      </c>
    </row>
    <row r="6" spans="2:46" ht="12" customHeight="1" x14ac:dyDescent="0.25">
      <c r="B6" s="119" t="s">
        <v>39</v>
      </c>
      <c r="C6" s="120" t="s">
        <v>40</v>
      </c>
      <c r="D6" s="120" t="s">
        <v>25</v>
      </c>
      <c r="E6" s="120" t="s">
        <v>25</v>
      </c>
      <c r="F6" s="120" t="s">
        <v>59</v>
      </c>
      <c r="G6" s="120" t="s">
        <v>35</v>
      </c>
      <c r="H6" s="120" t="s">
        <v>102</v>
      </c>
      <c r="I6" s="120" t="s">
        <v>25</v>
      </c>
      <c r="J6" s="120">
        <v>10.71</v>
      </c>
      <c r="K6" s="120">
        <v>0</v>
      </c>
      <c r="L6" s="120">
        <v>0</v>
      </c>
      <c r="M6" s="120">
        <v>0.107744961028877</v>
      </c>
      <c r="N6" s="120">
        <v>0.21697390486523199</v>
      </c>
      <c r="O6" s="120">
        <v>1.9190865198739599E-2</v>
      </c>
      <c r="P6" s="120">
        <v>0</v>
      </c>
      <c r="Q6" s="120">
        <v>0</v>
      </c>
      <c r="R6" s="120">
        <v>0</v>
      </c>
      <c r="S6" s="120">
        <v>0</v>
      </c>
      <c r="T6" s="120">
        <v>0</v>
      </c>
      <c r="U6" s="120">
        <v>0</v>
      </c>
      <c r="V6" s="120">
        <v>0</v>
      </c>
      <c r="W6" s="120">
        <v>0</v>
      </c>
      <c r="X6" s="120">
        <v>0</v>
      </c>
      <c r="Y6" s="120">
        <v>0</v>
      </c>
      <c r="Z6" s="120">
        <v>0</v>
      </c>
      <c r="AA6" s="120">
        <v>0</v>
      </c>
      <c r="AB6" s="120">
        <v>0</v>
      </c>
      <c r="AC6" s="120">
        <v>0</v>
      </c>
      <c r="AD6" s="120">
        <v>0</v>
      </c>
      <c r="AE6" s="120">
        <v>6.6470772504401703</v>
      </c>
      <c r="AF6" s="120">
        <v>0.201483596000091</v>
      </c>
      <c r="AG6" s="120">
        <v>3.51446617034077</v>
      </c>
      <c r="AH6" s="120">
        <v>0</v>
      </c>
      <c r="AI6" s="120">
        <v>0</v>
      </c>
      <c r="AJ6" s="120">
        <v>0</v>
      </c>
      <c r="AK6" s="120">
        <v>0</v>
      </c>
      <c r="AL6" s="120">
        <v>0</v>
      </c>
      <c r="AM6" s="120">
        <v>0</v>
      </c>
      <c r="AN6" s="120">
        <v>0</v>
      </c>
      <c r="AO6" s="120">
        <v>0</v>
      </c>
      <c r="AP6" s="120">
        <v>0</v>
      </c>
      <c r="AQ6" s="120">
        <v>0</v>
      </c>
      <c r="AR6" s="120">
        <v>0</v>
      </c>
      <c r="AS6" s="120">
        <v>0</v>
      </c>
      <c r="AT6" s="121">
        <v>0</v>
      </c>
    </row>
    <row r="7" spans="2:46" ht="12" customHeight="1" x14ac:dyDescent="0.25">
      <c r="B7" s="119" t="s">
        <v>39</v>
      </c>
      <c r="C7" s="120" t="s">
        <v>40</v>
      </c>
      <c r="D7" s="120" t="s">
        <v>25</v>
      </c>
      <c r="E7" s="120" t="s">
        <v>25</v>
      </c>
      <c r="F7" s="120" t="s">
        <v>59</v>
      </c>
      <c r="G7" s="120" t="s">
        <v>35</v>
      </c>
      <c r="H7" s="120" t="s">
        <v>105</v>
      </c>
      <c r="I7" s="120" t="s">
        <v>25</v>
      </c>
      <c r="J7" s="120">
        <v>11.66</v>
      </c>
      <c r="K7" s="120">
        <v>0</v>
      </c>
      <c r="L7" s="120">
        <v>0</v>
      </c>
      <c r="M7" s="120">
        <v>0</v>
      </c>
      <c r="N7" s="120">
        <v>0</v>
      </c>
      <c r="O7" s="120">
        <v>0</v>
      </c>
      <c r="P7" s="120">
        <v>0</v>
      </c>
      <c r="Q7" s="120">
        <v>0</v>
      </c>
      <c r="R7" s="120">
        <v>0</v>
      </c>
      <c r="S7" s="120">
        <v>0</v>
      </c>
      <c r="T7" s="120">
        <v>6.8806430707825701</v>
      </c>
      <c r="U7" s="120">
        <v>2.11952651404077</v>
      </c>
      <c r="V7" s="120">
        <v>0.32778064595295398</v>
      </c>
      <c r="W7" s="120">
        <v>1.90885495488749E-2</v>
      </c>
      <c r="X7" s="120">
        <v>0.235258752710816</v>
      </c>
      <c r="Y7" s="120">
        <v>0</v>
      </c>
      <c r="Z7" s="120">
        <v>0</v>
      </c>
      <c r="AA7" s="120">
        <v>2.0767290234103801</v>
      </c>
      <c r="AB7" s="120">
        <v>0</v>
      </c>
      <c r="AC7" s="120">
        <v>0</v>
      </c>
      <c r="AD7" s="120">
        <v>0</v>
      </c>
      <c r="AE7" s="120">
        <v>0</v>
      </c>
      <c r="AF7" s="120">
        <v>0</v>
      </c>
      <c r="AG7" s="120">
        <v>0</v>
      </c>
      <c r="AH7" s="120">
        <v>0</v>
      </c>
      <c r="AI7" s="120">
        <v>0</v>
      </c>
      <c r="AJ7" s="120">
        <v>0</v>
      </c>
      <c r="AK7" s="120">
        <v>0</v>
      </c>
      <c r="AL7" s="120">
        <v>0</v>
      </c>
      <c r="AM7" s="120">
        <v>0</v>
      </c>
      <c r="AN7" s="120">
        <v>0</v>
      </c>
      <c r="AO7" s="120">
        <v>0</v>
      </c>
      <c r="AP7" s="120">
        <v>0</v>
      </c>
      <c r="AQ7" s="120">
        <v>0</v>
      </c>
      <c r="AR7" s="120">
        <v>0</v>
      </c>
      <c r="AS7" s="120">
        <v>0</v>
      </c>
      <c r="AT7" s="121">
        <v>0</v>
      </c>
    </row>
    <row r="8" spans="2:46" ht="12" customHeight="1" x14ac:dyDescent="0.25">
      <c r="B8" s="119" t="s">
        <v>39</v>
      </c>
      <c r="C8" s="120" t="s">
        <v>40</v>
      </c>
      <c r="D8" s="120" t="s">
        <v>25</v>
      </c>
      <c r="E8" s="120" t="s">
        <v>25</v>
      </c>
      <c r="F8" s="120" t="s">
        <v>25</v>
      </c>
      <c r="G8" s="120" t="s">
        <v>34</v>
      </c>
      <c r="H8" s="120" t="s">
        <v>102</v>
      </c>
      <c r="I8" s="120" t="s">
        <v>25</v>
      </c>
      <c r="J8" s="120">
        <v>51.3</v>
      </c>
      <c r="K8" s="120">
        <v>386.07</v>
      </c>
      <c r="L8" s="120">
        <v>2.4963486307544902</v>
      </c>
      <c r="M8" s="120">
        <v>0.107744961028877</v>
      </c>
      <c r="N8" s="120">
        <v>0.22769923874022599</v>
      </c>
      <c r="O8" s="120">
        <v>1.9190865198739599E-2</v>
      </c>
      <c r="P8" s="120">
        <v>0</v>
      </c>
      <c r="Q8" s="120">
        <v>23.6731076818355</v>
      </c>
      <c r="R8" s="120">
        <v>14.414104263105401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0</v>
      </c>
      <c r="Y8" s="120">
        <v>0</v>
      </c>
      <c r="Z8" s="120">
        <v>0</v>
      </c>
      <c r="AA8" s="120">
        <v>0</v>
      </c>
      <c r="AB8" s="120">
        <v>0</v>
      </c>
      <c r="AC8" s="120">
        <v>0</v>
      </c>
      <c r="AD8" s="120">
        <v>0</v>
      </c>
      <c r="AE8" s="120">
        <v>6.6470772504401703</v>
      </c>
      <c r="AF8" s="120">
        <v>0.201483596000091</v>
      </c>
      <c r="AG8" s="120">
        <v>3.51446617034077</v>
      </c>
      <c r="AH8" s="120">
        <v>0</v>
      </c>
      <c r="AI8" s="120">
        <v>5.4577863114272098</v>
      </c>
      <c r="AJ8" s="120">
        <v>-17.093827857921202</v>
      </c>
      <c r="AK8" s="120">
        <v>2.52924088987622</v>
      </c>
      <c r="AL8" s="120">
        <v>25.785661314506399</v>
      </c>
      <c r="AM8" s="120">
        <v>0</v>
      </c>
      <c r="AN8" s="120">
        <v>363.52547852487697</v>
      </c>
      <c r="AO8" s="120">
        <v>0</v>
      </c>
      <c r="AP8" s="120">
        <v>0</v>
      </c>
      <c r="AQ8" s="120">
        <v>2.6775784651651402E-13</v>
      </c>
      <c r="AR8" s="120">
        <v>0</v>
      </c>
      <c r="AS8" s="120">
        <v>0</v>
      </c>
      <c r="AT8" s="121">
        <v>5.8638041172503801</v>
      </c>
    </row>
    <row r="9" spans="2:46" ht="12" customHeight="1" x14ac:dyDescent="0.25">
      <c r="B9" s="119" t="s">
        <v>39</v>
      </c>
      <c r="C9" s="120" t="s">
        <v>40</v>
      </c>
      <c r="D9" s="120" t="s">
        <v>25</v>
      </c>
      <c r="E9" s="120" t="s">
        <v>25</v>
      </c>
      <c r="F9" s="120" t="s">
        <v>25</v>
      </c>
      <c r="G9" s="120" t="s">
        <v>34</v>
      </c>
      <c r="H9" s="120" t="s">
        <v>105</v>
      </c>
      <c r="I9" s="120" t="s">
        <v>25</v>
      </c>
      <c r="J9" s="120">
        <v>22.83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8.5521113100201394</v>
      </c>
      <c r="U9" s="120">
        <v>2.6664474733501198</v>
      </c>
      <c r="V9" s="120">
        <v>0.44551159706489502</v>
      </c>
      <c r="W9" s="120">
        <v>2.59202409663669E-2</v>
      </c>
      <c r="X9" s="120">
        <v>0.55249094854233005</v>
      </c>
      <c r="Y9" s="120">
        <v>0</v>
      </c>
      <c r="Z9" s="120">
        <v>0</v>
      </c>
      <c r="AA9" s="120">
        <v>10.588507070525299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  <c r="AK9" s="120">
        <v>0</v>
      </c>
      <c r="AL9" s="120">
        <v>0</v>
      </c>
      <c r="AM9" s="120">
        <v>0</v>
      </c>
      <c r="AN9" s="120">
        <v>0</v>
      </c>
      <c r="AO9" s="120">
        <v>0</v>
      </c>
      <c r="AP9" s="120">
        <v>0</v>
      </c>
      <c r="AQ9" s="120">
        <v>0</v>
      </c>
      <c r="AR9" s="120">
        <v>0</v>
      </c>
      <c r="AS9" s="120">
        <v>0</v>
      </c>
      <c r="AT9" s="121">
        <v>0</v>
      </c>
    </row>
    <row r="10" spans="2:46" ht="12" customHeight="1" x14ac:dyDescent="0.25">
      <c r="B10" s="119" t="s">
        <v>39</v>
      </c>
      <c r="C10" s="120" t="s">
        <v>40</v>
      </c>
      <c r="D10" s="120" t="s">
        <v>25</v>
      </c>
      <c r="E10" s="120" t="s">
        <v>25</v>
      </c>
      <c r="F10" s="120" t="s">
        <v>25</v>
      </c>
      <c r="G10" s="120" t="s">
        <v>35</v>
      </c>
      <c r="H10" s="120" t="s">
        <v>102</v>
      </c>
      <c r="I10" s="120" t="s">
        <v>25</v>
      </c>
      <c r="J10" s="120">
        <v>51.3</v>
      </c>
      <c r="K10" s="120">
        <v>233.89</v>
      </c>
      <c r="L10" s="120">
        <v>2.4963486307544902</v>
      </c>
      <c r="M10" s="120">
        <v>0.107744961028877</v>
      </c>
      <c r="N10" s="120">
        <v>0.22769923874022599</v>
      </c>
      <c r="O10" s="120">
        <v>1.9190865198739599E-2</v>
      </c>
      <c r="P10" s="120">
        <v>0</v>
      </c>
      <c r="Q10" s="120">
        <v>23.6731076818355</v>
      </c>
      <c r="R10" s="120">
        <v>14.414104263105401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6.6470772504401703</v>
      </c>
      <c r="AF10" s="120">
        <v>0.201483596000091</v>
      </c>
      <c r="AG10" s="120">
        <v>3.51446617034077</v>
      </c>
      <c r="AH10" s="120">
        <v>0</v>
      </c>
      <c r="AI10" s="120">
        <v>5.4577863114272098</v>
      </c>
      <c r="AJ10" s="120">
        <v>-17.093827857921202</v>
      </c>
      <c r="AK10" s="120">
        <v>2.52924088987622</v>
      </c>
      <c r="AL10" s="120">
        <v>25.785661314506399</v>
      </c>
      <c r="AM10" s="120">
        <v>0</v>
      </c>
      <c r="AN10" s="120">
        <v>211.352022398184</v>
      </c>
      <c r="AO10" s="120">
        <v>0</v>
      </c>
      <c r="AP10" s="120">
        <v>0</v>
      </c>
      <c r="AQ10" s="120">
        <v>2.6775784651651402E-13</v>
      </c>
      <c r="AR10" s="120">
        <v>0</v>
      </c>
      <c r="AS10" s="120">
        <v>0</v>
      </c>
      <c r="AT10" s="121">
        <v>5.8638041172503801</v>
      </c>
    </row>
    <row r="11" spans="2:46" ht="12" customHeight="1" x14ac:dyDescent="0.25">
      <c r="B11" s="119" t="s">
        <v>39</v>
      </c>
      <c r="C11" s="120" t="s">
        <v>40</v>
      </c>
      <c r="D11" s="120" t="s">
        <v>25</v>
      </c>
      <c r="E11" s="120" t="s">
        <v>25</v>
      </c>
      <c r="F11" s="120" t="s">
        <v>25</v>
      </c>
      <c r="G11" s="120" t="s">
        <v>35</v>
      </c>
      <c r="H11" s="120" t="s">
        <v>105</v>
      </c>
      <c r="I11" s="120" t="s">
        <v>25</v>
      </c>
      <c r="J11" s="120">
        <v>11.66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6.8806430707825701</v>
      </c>
      <c r="U11" s="120">
        <v>2.11952651404077</v>
      </c>
      <c r="V11" s="120">
        <v>0.32778064595295398</v>
      </c>
      <c r="W11" s="120">
        <v>1.90885495488749E-2</v>
      </c>
      <c r="X11" s="120">
        <v>0.235258752710816</v>
      </c>
      <c r="Y11" s="120">
        <v>0</v>
      </c>
      <c r="Z11" s="120">
        <v>0</v>
      </c>
      <c r="AA11" s="120">
        <v>2.0767290234103801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  <c r="AK11" s="120">
        <v>0</v>
      </c>
      <c r="AL11" s="120">
        <v>0</v>
      </c>
      <c r="AM11" s="120">
        <v>0</v>
      </c>
      <c r="AN11" s="120">
        <v>0</v>
      </c>
      <c r="AO11" s="120">
        <v>0</v>
      </c>
      <c r="AP11" s="120">
        <v>0</v>
      </c>
      <c r="AQ11" s="120">
        <v>0</v>
      </c>
      <c r="AR11" s="120">
        <v>0</v>
      </c>
      <c r="AS11" s="120">
        <v>0</v>
      </c>
      <c r="AT11" s="121">
        <v>0</v>
      </c>
    </row>
    <row r="12" spans="2:46" ht="12" customHeight="1" x14ac:dyDescent="0.25">
      <c r="B12" s="119" t="s">
        <v>39</v>
      </c>
      <c r="C12" s="120" t="s">
        <v>62</v>
      </c>
      <c r="D12" s="120" t="s">
        <v>25</v>
      </c>
      <c r="E12" s="120" t="s">
        <v>25</v>
      </c>
      <c r="F12" s="120" t="s">
        <v>25</v>
      </c>
      <c r="G12" s="120" t="s">
        <v>34</v>
      </c>
      <c r="H12" s="120" t="s">
        <v>105</v>
      </c>
      <c r="I12" s="120" t="s">
        <v>65</v>
      </c>
      <c r="J12" s="120">
        <v>22.83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8.5521113100201394</v>
      </c>
      <c r="U12" s="120">
        <v>2.6664474733501198</v>
      </c>
      <c r="V12" s="120">
        <v>0.44551159706489502</v>
      </c>
      <c r="W12" s="120">
        <v>2.59202409663669E-2</v>
      </c>
      <c r="X12" s="120">
        <v>0.55249094854233005</v>
      </c>
      <c r="Y12" s="120">
        <v>0</v>
      </c>
      <c r="Z12" s="120">
        <v>0</v>
      </c>
      <c r="AA12" s="120">
        <v>10.588507070525299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  <c r="AK12" s="120">
        <v>0</v>
      </c>
      <c r="AL12" s="120">
        <v>0</v>
      </c>
      <c r="AM12" s="120">
        <v>0</v>
      </c>
      <c r="AN12" s="120">
        <v>0</v>
      </c>
      <c r="AO12" s="120">
        <v>0</v>
      </c>
      <c r="AP12" s="120">
        <v>0</v>
      </c>
      <c r="AQ12" s="120">
        <v>0</v>
      </c>
      <c r="AR12" s="120">
        <v>0</v>
      </c>
      <c r="AS12" s="120">
        <v>0</v>
      </c>
      <c r="AT12" s="121">
        <v>0</v>
      </c>
    </row>
    <row r="13" spans="2:46" ht="12" customHeight="1" x14ac:dyDescent="0.25">
      <c r="B13" s="119" t="s">
        <v>39</v>
      </c>
      <c r="C13" s="120" t="s">
        <v>62</v>
      </c>
      <c r="D13" s="120" t="s">
        <v>25</v>
      </c>
      <c r="E13" s="120" t="s">
        <v>25</v>
      </c>
      <c r="F13" s="120" t="s">
        <v>25</v>
      </c>
      <c r="G13" s="120" t="s">
        <v>25</v>
      </c>
      <c r="H13" s="120" t="s">
        <v>102</v>
      </c>
      <c r="I13" s="120" t="s">
        <v>65</v>
      </c>
      <c r="J13" s="120">
        <v>6.85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6.6470772504401703</v>
      </c>
      <c r="AF13" s="120">
        <v>0.201483596000091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</v>
      </c>
      <c r="AO13" s="120">
        <v>0</v>
      </c>
      <c r="AP13" s="120">
        <v>0</v>
      </c>
      <c r="AQ13" s="120">
        <v>0</v>
      </c>
      <c r="AR13" s="120">
        <v>0</v>
      </c>
      <c r="AS13" s="120">
        <v>0</v>
      </c>
      <c r="AT13" s="121">
        <v>0</v>
      </c>
    </row>
    <row r="14" spans="2:46" ht="12" customHeight="1" x14ac:dyDescent="0.25">
      <c r="B14" s="119" t="s">
        <v>39</v>
      </c>
      <c r="C14" s="120" t="s">
        <v>62</v>
      </c>
      <c r="D14" s="120" t="s">
        <v>25</v>
      </c>
      <c r="E14" s="120" t="s">
        <v>25</v>
      </c>
      <c r="F14" s="120" t="s">
        <v>25</v>
      </c>
      <c r="G14" s="120" t="s">
        <v>35</v>
      </c>
      <c r="H14" s="120" t="s">
        <v>105</v>
      </c>
      <c r="I14" s="120" t="s">
        <v>65</v>
      </c>
      <c r="J14" s="120">
        <v>11.66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6.8806430707825701</v>
      </c>
      <c r="U14" s="120">
        <v>2.11952651404077</v>
      </c>
      <c r="V14" s="120">
        <v>0.32778064595295398</v>
      </c>
      <c r="W14" s="120">
        <v>1.90885495488749E-2</v>
      </c>
      <c r="X14" s="120">
        <v>0.235258752710816</v>
      </c>
      <c r="Y14" s="120">
        <v>0</v>
      </c>
      <c r="Z14" s="120">
        <v>0</v>
      </c>
      <c r="AA14" s="120">
        <v>2.0767290234103801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0</v>
      </c>
      <c r="AT14" s="121">
        <v>0</v>
      </c>
    </row>
    <row r="15" spans="2:46" ht="12" customHeight="1" x14ac:dyDescent="0.25">
      <c r="B15" s="119" t="s">
        <v>39</v>
      </c>
      <c r="C15" s="120" t="s">
        <v>66</v>
      </c>
      <c r="D15" s="120" t="s">
        <v>25</v>
      </c>
      <c r="E15" s="120" t="s">
        <v>25</v>
      </c>
      <c r="F15" s="120" t="s">
        <v>25</v>
      </c>
      <c r="G15" s="120" t="s">
        <v>25</v>
      </c>
      <c r="H15" s="120" t="s">
        <v>105</v>
      </c>
      <c r="I15" s="120" t="s">
        <v>25</v>
      </c>
      <c r="J15" s="120">
        <v>14.23</v>
      </c>
      <c r="K15" s="120">
        <v>0</v>
      </c>
      <c r="L15" s="120">
        <v>0</v>
      </c>
      <c r="M15" s="120">
        <v>6.2193839049584303E-2</v>
      </c>
      <c r="N15" s="120">
        <v>0.142549658461157</v>
      </c>
      <c r="O15" s="120">
        <v>6.6031334997741099E-3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0.22727928404185099</v>
      </c>
      <c r="W15" s="120">
        <v>0</v>
      </c>
      <c r="X15" s="120">
        <v>0.986575129883147</v>
      </c>
      <c r="Y15" s="120">
        <v>0</v>
      </c>
      <c r="Z15" s="120">
        <v>0</v>
      </c>
      <c r="AA15" s="120">
        <v>11.5294317383203</v>
      </c>
      <c r="AB15" s="120">
        <v>0</v>
      </c>
      <c r="AC15" s="120">
        <v>0</v>
      </c>
      <c r="AD15" s="120">
        <v>0</v>
      </c>
      <c r="AE15" s="120">
        <v>0.99387676728317897</v>
      </c>
      <c r="AF15" s="120">
        <v>0.27823593483049602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0</v>
      </c>
      <c r="AM15" s="120">
        <v>0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1">
        <v>0</v>
      </c>
    </row>
    <row r="16" spans="2:46" ht="12" customHeight="1" x14ac:dyDescent="0.25">
      <c r="B16" s="119" t="s">
        <v>41</v>
      </c>
      <c r="C16" s="120" t="s">
        <v>40</v>
      </c>
      <c r="D16" s="120" t="s">
        <v>25</v>
      </c>
      <c r="E16" s="120" t="s">
        <v>25</v>
      </c>
      <c r="F16" s="120" t="s">
        <v>59</v>
      </c>
      <c r="G16" s="120" t="s">
        <v>34</v>
      </c>
      <c r="H16" s="120" t="s">
        <v>102</v>
      </c>
      <c r="I16" s="120" t="s">
        <v>25</v>
      </c>
      <c r="J16" s="120">
        <v>25</v>
      </c>
      <c r="K16" s="120">
        <v>0</v>
      </c>
      <c r="L16" s="120">
        <v>0</v>
      </c>
      <c r="M16" s="120">
        <v>0.66165594309074105</v>
      </c>
      <c r="N16" s="120">
        <v>0.49118184494981698</v>
      </c>
      <c r="O16" s="120">
        <v>1.9190865198739599E-2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14.267910853083601</v>
      </c>
      <c r="AF16" s="120">
        <v>0.43248331225542003</v>
      </c>
      <c r="AG16" s="120">
        <v>9.1273242575601898</v>
      </c>
      <c r="AH16" s="120">
        <v>0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1">
        <v>0</v>
      </c>
    </row>
    <row r="17" spans="2:46" ht="12" customHeight="1" x14ac:dyDescent="0.25">
      <c r="B17" s="119" t="s">
        <v>41</v>
      </c>
      <c r="C17" s="120" t="s">
        <v>40</v>
      </c>
      <c r="D17" s="120" t="s">
        <v>25</v>
      </c>
      <c r="E17" s="120" t="s">
        <v>25</v>
      </c>
      <c r="F17" s="120" t="s">
        <v>59</v>
      </c>
      <c r="G17" s="120" t="s">
        <v>34</v>
      </c>
      <c r="H17" s="120" t="s">
        <v>105</v>
      </c>
      <c r="I17" s="120" t="s">
        <v>25</v>
      </c>
      <c r="J17" s="120">
        <v>56.96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7.3381923812872003</v>
      </c>
      <c r="U17" s="120">
        <v>2.2879377610387599</v>
      </c>
      <c r="V17" s="120">
        <v>0.38228798932490599</v>
      </c>
      <c r="W17" s="120">
        <v>2.2202997106849202E-2</v>
      </c>
      <c r="X17" s="120">
        <v>0.61324181927227195</v>
      </c>
      <c r="Y17" s="120">
        <v>0</v>
      </c>
      <c r="Z17" s="120">
        <v>0</v>
      </c>
      <c r="AA17" s="120">
        <v>46.312968667281503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1">
        <v>0</v>
      </c>
    </row>
    <row r="18" spans="2:46" ht="12" customHeight="1" x14ac:dyDescent="0.25">
      <c r="B18" s="119" t="s">
        <v>41</v>
      </c>
      <c r="C18" s="120" t="s">
        <v>40</v>
      </c>
      <c r="D18" s="120" t="s">
        <v>25</v>
      </c>
      <c r="E18" s="120" t="s">
        <v>25</v>
      </c>
      <c r="F18" s="120" t="s">
        <v>59</v>
      </c>
      <c r="G18" s="120" t="s">
        <v>35</v>
      </c>
      <c r="H18" s="120" t="s">
        <v>102</v>
      </c>
      <c r="I18" s="120" t="s">
        <v>25</v>
      </c>
      <c r="J18" s="120">
        <v>25</v>
      </c>
      <c r="K18" s="120">
        <v>0</v>
      </c>
      <c r="L18" s="120">
        <v>0</v>
      </c>
      <c r="M18" s="120">
        <v>0.66165594309074105</v>
      </c>
      <c r="N18" s="120">
        <v>0.49118184494981698</v>
      </c>
      <c r="O18" s="120">
        <v>1.9190865198739599E-2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14.267910853083601</v>
      </c>
      <c r="AF18" s="120">
        <v>0.43248331225542003</v>
      </c>
      <c r="AG18" s="120">
        <v>9.1273242575601898</v>
      </c>
      <c r="AH18" s="120">
        <v>0</v>
      </c>
      <c r="AI18" s="120">
        <v>0</v>
      </c>
      <c r="AJ18" s="120">
        <v>0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1">
        <v>0</v>
      </c>
    </row>
    <row r="19" spans="2:46" ht="12" customHeight="1" x14ac:dyDescent="0.25">
      <c r="B19" s="119" t="s">
        <v>41</v>
      </c>
      <c r="C19" s="120" t="s">
        <v>40</v>
      </c>
      <c r="D19" s="120" t="s">
        <v>25</v>
      </c>
      <c r="E19" s="120" t="s">
        <v>25</v>
      </c>
      <c r="F19" s="120" t="s">
        <v>59</v>
      </c>
      <c r="G19" s="120" t="s">
        <v>35</v>
      </c>
      <c r="H19" s="120" t="s">
        <v>105</v>
      </c>
      <c r="I19" s="120" t="s">
        <v>25</v>
      </c>
      <c r="J19" s="120">
        <v>28.58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4.5826519558715502</v>
      </c>
      <c r="U19" s="120">
        <v>1.4214574196125001</v>
      </c>
      <c r="V19" s="120">
        <v>0.21802937348780799</v>
      </c>
      <c r="W19" s="120">
        <v>1.26587223324118E-2</v>
      </c>
      <c r="X19" s="120">
        <v>0.19965310993200899</v>
      </c>
      <c r="Y19" s="120">
        <v>0</v>
      </c>
      <c r="Z19" s="120">
        <v>0</v>
      </c>
      <c r="AA19" s="120">
        <v>22.1489278215249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1">
        <v>0</v>
      </c>
    </row>
    <row r="20" spans="2:46" ht="12" customHeight="1" x14ac:dyDescent="0.25">
      <c r="B20" s="119" t="s">
        <v>41</v>
      </c>
      <c r="C20" s="120" t="s">
        <v>40</v>
      </c>
      <c r="D20" s="120" t="s">
        <v>25</v>
      </c>
      <c r="E20" s="120" t="s">
        <v>25</v>
      </c>
      <c r="F20" s="120" t="s">
        <v>25</v>
      </c>
      <c r="G20" s="120" t="s">
        <v>34</v>
      </c>
      <c r="H20" s="120" t="s">
        <v>102</v>
      </c>
      <c r="I20" s="120" t="s">
        <v>25</v>
      </c>
      <c r="J20" s="120">
        <v>74.88</v>
      </c>
      <c r="K20" s="120">
        <v>386.07</v>
      </c>
      <c r="L20" s="120">
        <v>3.3821497577963999</v>
      </c>
      <c r="M20" s="120">
        <v>0.66165594309074105</v>
      </c>
      <c r="N20" s="120">
        <v>0.50190717882481195</v>
      </c>
      <c r="O20" s="120">
        <v>1.9190865198739599E-2</v>
      </c>
      <c r="P20" s="120">
        <v>0</v>
      </c>
      <c r="Q20" s="120">
        <v>32.073242665712598</v>
      </c>
      <c r="R20" s="120">
        <v>14.414104263105401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14.267910853083601</v>
      </c>
      <c r="AF20" s="120">
        <v>0.43248331225542003</v>
      </c>
      <c r="AG20" s="120">
        <v>9.1273242575601898</v>
      </c>
      <c r="AH20" s="120">
        <v>0</v>
      </c>
      <c r="AI20" s="120">
        <v>5.4577863114272098</v>
      </c>
      <c r="AJ20" s="120">
        <v>-17.093827857921202</v>
      </c>
      <c r="AK20" s="120">
        <v>2.52924088987622</v>
      </c>
      <c r="AL20" s="120">
        <v>25.785661314506399</v>
      </c>
      <c r="AM20" s="120">
        <v>0</v>
      </c>
      <c r="AN20" s="120">
        <v>363.52547852487697</v>
      </c>
      <c r="AO20" s="120">
        <v>0</v>
      </c>
      <c r="AP20" s="120">
        <v>0</v>
      </c>
      <c r="AQ20" s="120">
        <v>2.6775784651651402E-13</v>
      </c>
      <c r="AR20" s="120">
        <v>0</v>
      </c>
      <c r="AS20" s="120">
        <v>0</v>
      </c>
      <c r="AT20" s="121">
        <v>5.8638041172503801</v>
      </c>
    </row>
    <row r="21" spans="2:46" ht="12" customHeight="1" x14ac:dyDescent="0.25">
      <c r="B21" s="119" t="s">
        <v>41</v>
      </c>
      <c r="C21" s="120" t="s">
        <v>40</v>
      </c>
      <c r="D21" s="120" t="s">
        <v>25</v>
      </c>
      <c r="E21" s="120" t="s">
        <v>25</v>
      </c>
      <c r="F21" s="120" t="s">
        <v>25</v>
      </c>
      <c r="G21" s="120" t="s">
        <v>34</v>
      </c>
      <c r="H21" s="120" t="s">
        <v>105</v>
      </c>
      <c r="I21" s="120" t="s">
        <v>25</v>
      </c>
      <c r="J21" s="120">
        <v>56.96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7.3381923812872003</v>
      </c>
      <c r="U21" s="120">
        <v>2.2879377610387599</v>
      </c>
      <c r="V21" s="120">
        <v>0.38228798932490599</v>
      </c>
      <c r="W21" s="120">
        <v>2.2202997106849202E-2</v>
      </c>
      <c r="X21" s="120">
        <v>0.61324181927227195</v>
      </c>
      <c r="Y21" s="120">
        <v>0</v>
      </c>
      <c r="Z21" s="120">
        <v>0</v>
      </c>
      <c r="AA21" s="120">
        <v>46.312968667281503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1">
        <v>0</v>
      </c>
    </row>
    <row r="22" spans="2:46" ht="12" customHeight="1" x14ac:dyDescent="0.25">
      <c r="B22" s="119" t="s">
        <v>41</v>
      </c>
      <c r="C22" s="120" t="s">
        <v>40</v>
      </c>
      <c r="D22" s="120" t="s">
        <v>25</v>
      </c>
      <c r="E22" s="120" t="s">
        <v>25</v>
      </c>
      <c r="F22" s="120" t="s">
        <v>25</v>
      </c>
      <c r="G22" s="120" t="s">
        <v>35</v>
      </c>
      <c r="H22" s="120" t="s">
        <v>102</v>
      </c>
      <c r="I22" s="120" t="s">
        <v>25</v>
      </c>
      <c r="J22" s="120">
        <v>74.88</v>
      </c>
      <c r="K22" s="120">
        <v>233.89</v>
      </c>
      <c r="L22" s="120">
        <v>3.3821497577963999</v>
      </c>
      <c r="M22" s="120">
        <v>0.66165594309074105</v>
      </c>
      <c r="N22" s="120">
        <v>0.50190717882481195</v>
      </c>
      <c r="O22" s="120">
        <v>1.9190865198739599E-2</v>
      </c>
      <c r="P22" s="120">
        <v>0</v>
      </c>
      <c r="Q22" s="120">
        <v>32.073242665712598</v>
      </c>
      <c r="R22" s="120">
        <v>14.414104263105401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14.267910853083601</v>
      </c>
      <c r="AF22" s="120">
        <v>0.43248331225542003</v>
      </c>
      <c r="AG22" s="120">
        <v>9.1273242575601898</v>
      </c>
      <c r="AH22" s="120">
        <v>0</v>
      </c>
      <c r="AI22" s="120">
        <v>5.4577863114272098</v>
      </c>
      <c r="AJ22" s="120">
        <v>-17.093827857921202</v>
      </c>
      <c r="AK22" s="120">
        <v>2.52924088987622</v>
      </c>
      <c r="AL22" s="120">
        <v>25.785661314506399</v>
      </c>
      <c r="AM22" s="120">
        <v>0</v>
      </c>
      <c r="AN22" s="120">
        <v>211.352022398184</v>
      </c>
      <c r="AO22" s="120">
        <v>0</v>
      </c>
      <c r="AP22" s="120">
        <v>0</v>
      </c>
      <c r="AQ22" s="120">
        <v>2.6775784651651402E-13</v>
      </c>
      <c r="AR22" s="120">
        <v>0</v>
      </c>
      <c r="AS22" s="120">
        <v>0</v>
      </c>
      <c r="AT22" s="121">
        <v>5.8638041172503801</v>
      </c>
    </row>
    <row r="23" spans="2:46" ht="12" customHeight="1" x14ac:dyDescent="0.25">
      <c r="B23" s="119" t="s">
        <v>41</v>
      </c>
      <c r="C23" s="120" t="s">
        <v>40</v>
      </c>
      <c r="D23" s="120" t="s">
        <v>25</v>
      </c>
      <c r="E23" s="120" t="s">
        <v>25</v>
      </c>
      <c r="F23" s="120" t="s">
        <v>25</v>
      </c>
      <c r="G23" s="120" t="s">
        <v>35</v>
      </c>
      <c r="H23" s="120" t="s">
        <v>105</v>
      </c>
      <c r="I23" s="120" t="s">
        <v>25</v>
      </c>
      <c r="J23" s="120">
        <v>28.58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4.5826519558715502</v>
      </c>
      <c r="U23" s="120">
        <v>1.4214574196125001</v>
      </c>
      <c r="V23" s="120">
        <v>0.21802937348780799</v>
      </c>
      <c r="W23" s="120">
        <v>1.26587223324118E-2</v>
      </c>
      <c r="X23" s="120">
        <v>0.19965310993200899</v>
      </c>
      <c r="Y23" s="120">
        <v>0</v>
      </c>
      <c r="Z23" s="120">
        <v>0</v>
      </c>
      <c r="AA23" s="120">
        <v>22.1489278215249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  <c r="AK23" s="120">
        <v>0</v>
      </c>
      <c r="AL23" s="120">
        <v>0</v>
      </c>
      <c r="AM23" s="120">
        <v>0</v>
      </c>
      <c r="AN23" s="120">
        <v>0</v>
      </c>
      <c r="AO23" s="120">
        <v>0</v>
      </c>
      <c r="AP23" s="120">
        <v>0</v>
      </c>
      <c r="AQ23" s="120">
        <v>0</v>
      </c>
      <c r="AR23" s="120">
        <v>0</v>
      </c>
      <c r="AS23" s="120">
        <v>0</v>
      </c>
      <c r="AT23" s="121">
        <v>0</v>
      </c>
    </row>
    <row r="24" spans="2:46" ht="12" customHeight="1" x14ac:dyDescent="0.25">
      <c r="B24" s="119" t="s">
        <v>41</v>
      </c>
      <c r="C24" s="120" t="s">
        <v>23</v>
      </c>
      <c r="D24" s="120" t="s">
        <v>25</v>
      </c>
      <c r="E24" s="120" t="s">
        <v>25</v>
      </c>
      <c r="F24" s="120" t="s">
        <v>25</v>
      </c>
      <c r="G24" s="120" t="s">
        <v>25</v>
      </c>
      <c r="H24" s="120" t="s">
        <v>102</v>
      </c>
      <c r="I24" s="120" t="s">
        <v>25</v>
      </c>
      <c r="J24" s="120">
        <v>0</v>
      </c>
      <c r="K24" s="120">
        <v>246.58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5.4577863114272098</v>
      </c>
      <c r="AJ24" s="120">
        <v>-17.093827857921202</v>
      </c>
      <c r="AK24" s="120">
        <v>2.52924088987622</v>
      </c>
      <c r="AL24" s="120">
        <v>25.785661314506399</v>
      </c>
      <c r="AM24" s="120">
        <v>0</v>
      </c>
      <c r="AN24" s="120">
        <v>224.033143742075</v>
      </c>
      <c r="AO24" s="120">
        <v>0</v>
      </c>
      <c r="AP24" s="120">
        <v>0</v>
      </c>
      <c r="AQ24" s="120">
        <v>2.6775784651651402E-13</v>
      </c>
      <c r="AR24" s="120">
        <v>0</v>
      </c>
      <c r="AS24" s="120">
        <v>0</v>
      </c>
      <c r="AT24" s="121">
        <v>5.8638041172503801</v>
      </c>
    </row>
    <row r="25" spans="2:46" ht="12" customHeight="1" x14ac:dyDescent="0.25">
      <c r="B25" s="119" t="s">
        <v>41</v>
      </c>
      <c r="C25" s="120" t="s">
        <v>62</v>
      </c>
      <c r="D25" s="120" t="s">
        <v>25</v>
      </c>
      <c r="E25" s="120" t="s">
        <v>25</v>
      </c>
      <c r="F25" s="120" t="s">
        <v>25</v>
      </c>
      <c r="G25" s="120" t="s">
        <v>34</v>
      </c>
      <c r="H25" s="120" t="s">
        <v>105</v>
      </c>
      <c r="I25" s="120" t="s">
        <v>63</v>
      </c>
      <c r="J25" s="120">
        <v>27.27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7.3381923812872003</v>
      </c>
      <c r="U25" s="120">
        <v>2.2879377610387599</v>
      </c>
      <c r="V25" s="120">
        <v>0.38228798932490599</v>
      </c>
      <c r="W25" s="120">
        <v>2.2202997106849202E-2</v>
      </c>
      <c r="X25" s="120">
        <v>0.61324181927227195</v>
      </c>
      <c r="Y25" s="120">
        <v>0</v>
      </c>
      <c r="Z25" s="120">
        <v>0</v>
      </c>
      <c r="AA25" s="120">
        <v>16.624963544798899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  <c r="AK25" s="120">
        <v>0</v>
      </c>
      <c r="AL25" s="120">
        <v>0</v>
      </c>
      <c r="AM25" s="120">
        <v>0</v>
      </c>
      <c r="AN25" s="120">
        <v>0</v>
      </c>
      <c r="AO25" s="120">
        <v>0</v>
      </c>
      <c r="AP25" s="120">
        <v>0</v>
      </c>
      <c r="AQ25" s="120">
        <v>0</v>
      </c>
      <c r="AR25" s="120">
        <v>0</v>
      </c>
      <c r="AS25" s="120">
        <v>0</v>
      </c>
      <c r="AT25" s="121">
        <v>0</v>
      </c>
    </row>
    <row r="26" spans="2:46" ht="12" customHeight="1" x14ac:dyDescent="0.25">
      <c r="B26" s="119" t="s">
        <v>41</v>
      </c>
      <c r="C26" s="120" t="s">
        <v>62</v>
      </c>
      <c r="D26" s="120" t="s">
        <v>25</v>
      </c>
      <c r="E26" s="120" t="s">
        <v>25</v>
      </c>
      <c r="F26" s="120" t="s">
        <v>25</v>
      </c>
      <c r="G26" s="120" t="s">
        <v>34</v>
      </c>
      <c r="H26" s="120" t="s">
        <v>105</v>
      </c>
      <c r="I26" s="120" t="s">
        <v>65</v>
      </c>
      <c r="J26" s="120">
        <v>27.27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7.3381923812872003</v>
      </c>
      <c r="U26" s="120">
        <v>2.2879377610387599</v>
      </c>
      <c r="V26" s="120">
        <v>0.38228798932490599</v>
      </c>
      <c r="W26" s="120">
        <v>2.2202997106849202E-2</v>
      </c>
      <c r="X26" s="120">
        <v>0.61324181927227195</v>
      </c>
      <c r="Y26" s="120">
        <v>0</v>
      </c>
      <c r="Z26" s="120">
        <v>0</v>
      </c>
      <c r="AA26" s="120">
        <v>16.624963544798899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1">
        <v>0</v>
      </c>
    </row>
    <row r="27" spans="2:46" ht="12" customHeight="1" x14ac:dyDescent="0.25">
      <c r="B27" s="119" t="s">
        <v>41</v>
      </c>
      <c r="C27" s="120" t="s">
        <v>62</v>
      </c>
      <c r="D27" s="120" t="s">
        <v>25</v>
      </c>
      <c r="E27" s="120" t="s">
        <v>25</v>
      </c>
      <c r="F27" s="120" t="s">
        <v>25</v>
      </c>
      <c r="G27" s="120" t="s">
        <v>25</v>
      </c>
      <c r="H27" s="120" t="s">
        <v>102</v>
      </c>
      <c r="I27" s="120" t="s">
        <v>63</v>
      </c>
      <c r="J27" s="120">
        <v>14.7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14.267910853083601</v>
      </c>
      <c r="AF27" s="120">
        <v>0.43248331225542003</v>
      </c>
      <c r="AG27" s="120">
        <v>0</v>
      </c>
      <c r="AH27" s="120">
        <v>0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</v>
      </c>
      <c r="AO27" s="120">
        <v>0</v>
      </c>
      <c r="AP27" s="120">
        <v>0</v>
      </c>
      <c r="AQ27" s="120">
        <v>0</v>
      </c>
      <c r="AR27" s="120">
        <v>0</v>
      </c>
      <c r="AS27" s="120">
        <v>0</v>
      </c>
      <c r="AT27" s="121">
        <v>0</v>
      </c>
    </row>
    <row r="28" spans="2:46" ht="12" customHeight="1" x14ac:dyDescent="0.25">
      <c r="B28" s="119" t="s">
        <v>41</v>
      </c>
      <c r="C28" s="120" t="s">
        <v>62</v>
      </c>
      <c r="D28" s="120" t="s">
        <v>25</v>
      </c>
      <c r="E28" s="120" t="s">
        <v>25</v>
      </c>
      <c r="F28" s="120" t="s">
        <v>25</v>
      </c>
      <c r="G28" s="120" t="s">
        <v>25</v>
      </c>
      <c r="H28" s="120" t="s">
        <v>102</v>
      </c>
      <c r="I28" s="120" t="s">
        <v>65</v>
      </c>
      <c r="J28" s="120">
        <v>14.7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14.267910853083601</v>
      </c>
      <c r="AF28" s="120">
        <v>0.43248331225542003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1">
        <v>0</v>
      </c>
    </row>
    <row r="29" spans="2:46" ht="12" customHeight="1" x14ac:dyDescent="0.25">
      <c r="B29" s="119" t="s">
        <v>41</v>
      </c>
      <c r="C29" s="120" t="s">
        <v>62</v>
      </c>
      <c r="D29" s="120" t="s">
        <v>25</v>
      </c>
      <c r="E29" s="120" t="s">
        <v>25</v>
      </c>
      <c r="F29" s="120" t="s">
        <v>25</v>
      </c>
      <c r="G29" s="120" t="s">
        <v>35</v>
      </c>
      <c r="H29" s="120" t="s">
        <v>105</v>
      </c>
      <c r="I29" s="120" t="s">
        <v>63</v>
      </c>
      <c r="J29" s="120">
        <v>14.39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4.5826519558715502</v>
      </c>
      <c r="U29" s="120">
        <v>1.4214574196125001</v>
      </c>
      <c r="V29" s="120">
        <v>0.21802937348780799</v>
      </c>
      <c r="W29" s="120">
        <v>1.26587223324118E-2</v>
      </c>
      <c r="X29" s="120">
        <v>0.19965310993200899</v>
      </c>
      <c r="Y29" s="120">
        <v>0</v>
      </c>
      <c r="Z29" s="120">
        <v>0</v>
      </c>
      <c r="AA29" s="120">
        <v>7.9508250910892402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1">
        <v>0</v>
      </c>
    </row>
    <row r="30" spans="2:46" ht="12" customHeight="1" x14ac:dyDescent="0.25">
      <c r="B30" s="119" t="s">
        <v>41</v>
      </c>
      <c r="C30" s="120" t="s">
        <v>62</v>
      </c>
      <c r="D30" s="120" t="s">
        <v>25</v>
      </c>
      <c r="E30" s="120" t="s">
        <v>25</v>
      </c>
      <c r="F30" s="120" t="s">
        <v>25</v>
      </c>
      <c r="G30" s="120" t="s">
        <v>35</v>
      </c>
      <c r="H30" s="120" t="s">
        <v>105</v>
      </c>
      <c r="I30" s="120" t="s">
        <v>65</v>
      </c>
      <c r="J30" s="120">
        <v>14.39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4.5826519558715502</v>
      </c>
      <c r="U30" s="120">
        <v>1.4214574196125001</v>
      </c>
      <c r="V30" s="120">
        <v>0.21802937348780799</v>
      </c>
      <c r="W30" s="120">
        <v>1.26587223324118E-2</v>
      </c>
      <c r="X30" s="120">
        <v>0.19965310993200899</v>
      </c>
      <c r="Y30" s="120">
        <v>0</v>
      </c>
      <c r="Z30" s="120">
        <v>0</v>
      </c>
      <c r="AA30" s="120">
        <v>7.9508250910892402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1">
        <v>0</v>
      </c>
    </row>
    <row r="31" spans="2:46" ht="12" customHeight="1" x14ac:dyDescent="0.25">
      <c r="B31" s="119" t="s">
        <v>41</v>
      </c>
      <c r="C31" s="120" t="s">
        <v>66</v>
      </c>
      <c r="D31" s="120" t="s">
        <v>25</v>
      </c>
      <c r="E31" s="120" t="s">
        <v>25</v>
      </c>
      <c r="F31" s="120" t="s">
        <v>25</v>
      </c>
      <c r="G31" s="120" t="s">
        <v>25</v>
      </c>
      <c r="H31" s="120" t="s">
        <v>105</v>
      </c>
      <c r="I31" s="120" t="s">
        <v>25</v>
      </c>
      <c r="J31" s="120">
        <v>15.95</v>
      </c>
      <c r="K31" s="120">
        <v>0</v>
      </c>
      <c r="L31" s="120">
        <v>0</v>
      </c>
      <c r="M31" s="120">
        <v>5.4692629903808403E-2</v>
      </c>
      <c r="N31" s="120">
        <v>0.15079819428242799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15.746935556503701</v>
      </c>
      <c r="AB31" s="120">
        <v>0</v>
      </c>
      <c r="AC31" s="120">
        <v>0</v>
      </c>
      <c r="AD31" s="120">
        <v>0</v>
      </c>
      <c r="AE31" s="120">
        <v>6.4917090146886203E-4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1">
        <v>0</v>
      </c>
    </row>
    <row r="32" spans="2:46" ht="12" customHeight="1" x14ac:dyDescent="0.25">
      <c r="B32" s="119" t="s">
        <v>41</v>
      </c>
      <c r="C32" s="120" t="s">
        <v>42</v>
      </c>
      <c r="D32" s="120" t="s">
        <v>25</v>
      </c>
      <c r="E32" s="120" t="s">
        <v>25</v>
      </c>
      <c r="F32" s="120" t="s">
        <v>59</v>
      </c>
      <c r="G32" s="120" t="s">
        <v>34</v>
      </c>
      <c r="H32" s="120" t="s">
        <v>102</v>
      </c>
      <c r="I32" s="120" t="s">
        <v>25</v>
      </c>
      <c r="J32" s="120">
        <v>1407.76</v>
      </c>
      <c r="K32" s="120">
        <v>0</v>
      </c>
      <c r="L32" s="120">
        <v>0</v>
      </c>
      <c r="M32" s="120">
        <v>0.66165594309074105</v>
      </c>
      <c r="N32" s="120">
        <v>13.4345544490289</v>
      </c>
      <c r="O32" s="120">
        <v>1.9190865198739599E-2</v>
      </c>
      <c r="P32" s="120">
        <v>0</v>
      </c>
      <c r="Q32" s="120">
        <v>0</v>
      </c>
      <c r="R32" s="120">
        <v>0</v>
      </c>
      <c r="S32" s="120">
        <v>0</v>
      </c>
      <c r="T32" s="120">
        <v>176.48394025530601</v>
      </c>
      <c r="U32" s="120">
        <v>55.024187053526603</v>
      </c>
      <c r="V32" s="120">
        <v>9.1940015904066197</v>
      </c>
      <c r="W32" s="120">
        <v>0.534780785519268</v>
      </c>
      <c r="X32" s="120">
        <v>14.749285487929299</v>
      </c>
      <c r="Y32" s="120">
        <v>0</v>
      </c>
      <c r="Z32" s="120">
        <v>0</v>
      </c>
      <c r="AA32" s="120">
        <v>1113.8266828160099</v>
      </c>
      <c r="AB32" s="120">
        <v>0</v>
      </c>
      <c r="AC32" s="120">
        <v>0</v>
      </c>
      <c r="AD32" s="120">
        <v>0</v>
      </c>
      <c r="AE32" s="120">
        <v>14.267910853083601</v>
      </c>
      <c r="AF32" s="120">
        <v>0.43248331225542003</v>
      </c>
      <c r="AG32" s="120">
        <v>9.1273242575601898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1">
        <v>0</v>
      </c>
    </row>
    <row r="33" spans="2:46" ht="12" customHeight="1" x14ac:dyDescent="0.25">
      <c r="B33" s="119" t="s">
        <v>41</v>
      </c>
      <c r="C33" s="120" t="s">
        <v>42</v>
      </c>
      <c r="D33" s="120" t="s">
        <v>25</v>
      </c>
      <c r="E33" s="120" t="s">
        <v>25</v>
      </c>
      <c r="F33" s="120" t="s">
        <v>59</v>
      </c>
      <c r="G33" s="120" t="s">
        <v>25</v>
      </c>
      <c r="H33" s="120" t="s">
        <v>105</v>
      </c>
      <c r="I33" s="120" t="s">
        <v>25</v>
      </c>
      <c r="J33" s="120">
        <v>28.58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4.5826519558715502</v>
      </c>
      <c r="U33" s="120">
        <v>1.4214574196125001</v>
      </c>
      <c r="V33" s="120">
        <v>0.21802937348780799</v>
      </c>
      <c r="W33" s="120">
        <v>1.26587223324118E-2</v>
      </c>
      <c r="X33" s="120">
        <v>0.19965310993200899</v>
      </c>
      <c r="Y33" s="120">
        <v>0</v>
      </c>
      <c r="Z33" s="120">
        <v>0</v>
      </c>
      <c r="AA33" s="120">
        <v>22.1489278215249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0</v>
      </c>
      <c r="AN33" s="120">
        <v>0</v>
      </c>
      <c r="AO33" s="120">
        <v>0</v>
      </c>
      <c r="AP33" s="120">
        <v>0</v>
      </c>
      <c r="AQ33" s="120">
        <v>0</v>
      </c>
      <c r="AR33" s="120">
        <v>0</v>
      </c>
      <c r="AS33" s="120">
        <v>0</v>
      </c>
      <c r="AT33" s="121">
        <v>0</v>
      </c>
    </row>
    <row r="34" spans="2:46" ht="12" customHeight="1" x14ac:dyDescent="0.25">
      <c r="B34" s="119" t="s">
        <v>41</v>
      </c>
      <c r="C34" s="120" t="s">
        <v>42</v>
      </c>
      <c r="D34" s="120" t="s">
        <v>25</v>
      </c>
      <c r="E34" s="120" t="s">
        <v>25</v>
      </c>
      <c r="F34" s="120" t="s">
        <v>59</v>
      </c>
      <c r="G34" s="120" t="s">
        <v>35</v>
      </c>
      <c r="H34" s="120" t="s">
        <v>102</v>
      </c>
      <c r="I34" s="120" t="s">
        <v>25</v>
      </c>
      <c r="J34" s="120">
        <v>25</v>
      </c>
      <c r="K34" s="120">
        <v>0</v>
      </c>
      <c r="L34" s="120">
        <v>0</v>
      </c>
      <c r="M34" s="120">
        <v>0.66165594309074105</v>
      </c>
      <c r="N34" s="120">
        <v>0.49118184494981698</v>
      </c>
      <c r="O34" s="120">
        <v>1.9190865198739599E-2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14.267910853083601</v>
      </c>
      <c r="AF34" s="120">
        <v>0.43248331225542003</v>
      </c>
      <c r="AG34" s="120">
        <v>9.1273242575601898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1">
        <v>0</v>
      </c>
    </row>
    <row r="35" spans="2:46" ht="12" customHeight="1" x14ac:dyDescent="0.25">
      <c r="B35" s="119" t="s">
        <v>41</v>
      </c>
      <c r="C35" s="120" t="s">
        <v>42</v>
      </c>
      <c r="D35" s="120" t="s">
        <v>25</v>
      </c>
      <c r="E35" s="120" t="s">
        <v>25</v>
      </c>
      <c r="F35" s="120" t="s">
        <v>25</v>
      </c>
      <c r="G35" s="120" t="s">
        <v>34</v>
      </c>
      <c r="H35" s="120" t="s">
        <v>102</v>
      </c>
      <c r="I35" s="120" t="s">
        <v>25</v>
      </c>
      <c r="J35" s="120">
        <v>1457.64</v>
      </c>
      <c r="K35" s="120">
        <v>386.07</v>
      </c>
      <c r="L35" s="120">
        <v>3.3821497577963999</v>
      </c>
      <c r="M35" s="120">
        <v>0.66165594309074105</v>
      </c>
      <c r="N35" s="120">
        <v>13.445279782903899</v>
      </c>
      <c r="O35" s="120">
        <v>1.9190865198739599E-2</v>
      </c>
      <c r="P35" s="120">
        <v>0</v>
      </c>
      <c r="Q35" s="120">
        <v>32.073242665712598</v>
      </c>
      <c r="R35" s="120">
        <v>14.414104263105401</v>
      </c>
      <c r="S35" s="120">
        <v>0</v>
      </c>
      <c r="T35" s="120">
        <v>176.48394025530601</v>
      </c>
      <c r="U35" s="120">
        <v>55.024187053526603</v>
      </c>
      <c r="V35" s="120">
        <v>9.1940015904066197</v>
      </c>
      <c r="W35" s="120">
        <v>0.534780785519268</v>
      </c>
      <c r="X35" s="120">
        <v>14.749285487929299</v>
      </c>
      <c r="Y35" s="120">
        <v>0</v>
      </c>
      <c r="Z35" s="120">
        <v>0</v>
      </c>
      <c r="AA35" s="120">
        <v>1113.8266828160099</v>
      </c>
      <c r="AB35" s="120">
        <v>0</v>
      </c>
      <c r="AC35" s="120">
        <v>0</v>
      </c>
      <c r="AD35" s="120">
        <v>0</v>
      </c>
      <c r="AE35" s="120">
        <v>14.267910853083601</v>
      </c>
      <c r="AF35" s="120">
        <v>0.43248331225542003</v>
      </c>
      <c r="AG35" s="120">
        <v>9.1273242575601898</v>
      </c>
      <c r="AH35" s="120">
        <v>0</v>
      </c>
      <c r="AI35" s="120">
        <v>5.4577863114272098</v>
      </c>
      <c r="AJ35" s="120">
        <v>-17.093827857921202</v>
      </c>
      <c r="AK35" s="120">
        <v>2.52924088987622</v>
      </c>
      <c r="AL35" s="120">
        <v>25.785661314506399</v>
      </c>
      <c r="AM35" s="120">
        <v>0</v>
      </c>
      <c r="AN35" s="120">
        <v>363.52547852487697</v>
      </c>
      <c r="AO35" s="120">
        <v>0</v>
      </c>
      <c r="AP35" s="120">
        <v>0</v>
      </c>
      <c r="AQ35" s="120">
        <v>2.6775784651651402E-13</v>
      </c>
      <c r="AR35" s="120">
        <v>0</v>
      </c>
      <c r="AS35" s="120">
        <v>0</v>
      </c>
      <c r="AT35" s="121">
        <v>5.8638041172503801</v>
      </c>
    </row>
    <row r="36" spans="2:46" ht="12" customHeight="1" x14ac:dyDescent="0.25">
      <c r="B36" s="119" t="s">
        <v>41</v>
      </c>
      <c r="C36" s="120" t="s">
        <v>42</v>
      </c>
      <c r="D36" s="120" t="s">
        <v>25</v>
      </c>
      <c r="E36" s="120" t="s">
        <v>25</v>
      </c>
      <c r="F36" s="120" t="s">
        <v>25</v>
      </c>
      <c r="G36" s="120" t="s">
        <v>25</v>
      </c>
      <c r="H36" s="120" t="s">
        <v>105</v>
      </c>
      <c r="I36" s="120" t="s">
        <v>25</v>
      </c>
      <c r="J36" s="120">
        <v>28.58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4.5826519558715502</v>
      </c>
      <c r="U36" s="120">
        <v>1.4214574196125001</v>
      </c>
      <c r="V36" s="120">
        <v>0.21802937348780799</v>
      </c>
      <c r="W36" s="120">
        <v>1.26587223324118E-2</v>
      </c>
      <c r="X36" s="120">
        <v>0.19965310993200899</v>
      </c>
      <c r="Y36" s="120">
        <v>0</v>
      </c>
      <c r="Z36" s="120">
        <v>0</v>
      </c>
      <c r="AA36" s="120">
        <v>22.1489278215249</v>
      </c>
      <c r="AB36" s="120">
        <v>0</v>
      </c>
      <c r="AC36" s="120">
        <v>0</v>
      </c>
      <c r="AD36" s="120">
        <v>0</v>
      </c>
      <c r="AE36" s="120">
        <v>0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1">
        <v>0</v>
      </c>
    </row>
    <row r="37" spans="2:46" ht="12" customHeight="1" x14ac:dyDescent="0.25">
      <c r="B37" s="119" t="s">
        <v>41</v>
      </c>
      <c r="C37" s="120" t="s">
        <v>42</v>
      </c>
      <c r="D37" s="120" t="s">
        <v>25</v>
      </c>
      <c r="E37" s="120" t="s">
        <v>25</v>
      </c>
      <c r="F37" s="120" t="s">
        <v>25</v>
      </c>
      <c r="G37" s="120" t="s">
        <v>35</v>
      </c>
      <c r="H37" s="120" t="s">
        <v>102</v>
      </c>
      <c r="I37" s="120" t="s">
        <v>25</v>
      </c>
      <c r="J37" s="120">
        <v>74.88</v>
      </c>
      <c r="K37" s="120">
        <v>233.89</v>
      </c>
      <c r="L37" s="120">
        <v>3.3821497577963999</v>
      </c>
      <c r="M37" s="120">
        <v>0.66165594309074105</v>
      </c>
      <c r="N37" s="120">
        <v>0.50190717882481195</v>
      </c>
      <c r="O37" s="120">
        <v>1.9190865198739599E-2</v>
      </c>
      <c r="P37" s="120">
        <v>0</v>
      </c>
      <c r="Q37" s="120">
        <v>32.073242665712598</v>
      </c>
      <c r="R37" s="120">
        <v>14.414104263105401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14.267910853083601</v>
      </c>
      <c r="AF37" s="120">
        <v>0.43248331225542003</v>
      </c>
      <c r="AG37" s="120">
        <v>9.1273242575601898</v>
      </c>
      <c r="AH37" s="120">
        <v>0</v>
      </c>
      <c r="AI37" s="120">
        <v>5.4577863114272098</v>
      </c>
      <c r="AJ37" s="120">
        <v>-17.093827857921202</v>
      </c>
      <c r="AK37" s="120">
        <v>2.52924088987622</v>
      </c>
      <c r="AL37" s="120">
        <v>25.785661314506399</v>
      </c>
      <c r="AM37" s="120">
        <v>0</v>
      </c>
      <c r="AN37" s="120">
        <v>211.352022398184</v>
      </c>
      <c r="AO37" s="120">
        <v>0</v>
      </c>
      <c r="AP37" s="120">
        <v>0</v>
      </c>
      <c r="AQ37" s="120">
        <v>2.6775784651651402E-13</v>
      </c>
      <c r="AR37" s="120">
        <v>0</v>
      </c>
      <c r="AS37" s="120">
        <v>0</v>
      </c>
      <c r="AT37" s="121">
        <v>5.8638041172503801</v>
      </c>
    </row>
    <row r="38" spans="2:46" ht="12" customHeight="1" x14ac:dyDescent="0.25">
      <c r="B38" s="119" t="s">
        <v>110</v>
      </c>
      <c r="C38" s="120" t="s">
        <v>66</v>
      </c>
      <c r="D38" s="120" t="s">
        <v>25</v>
      </c>
      <c r="E38" s="120" t="s">
        <v>25</v>
      </c>
      <c r="F38" s="120" t="s">
        <v>111</v>
      </c>
      <c r="G38" s="120" t="s">
        <v>25</v>
      </c>
      <c r="H38" s="120" t="s">
        <v>105</v>
      </c>
      <c r="I38" s="120" t="s">
        <v>25</v>
      </c>
      <c r="J38" s="120">
        <v>6.6899999999999995</v>
      </c>
      <c r="K38" s="120">
        <v>0</v>
      </c>
      <c r="L38" s="120">
        <v>0</v>
      </c>
      <c r="M38" s="120">
        <v>2.2951371477491E-2</v>
      </c>
      <c r="N38" s="120">
        <v>6.3172216523719696E-2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6.6007825689404296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1">
        <v>0</v>
      </c>
    </row>
    <row r="39" spans="2:46" ht="12" customHeight="1" x14ac:dyDescent="0.25">
      <c r="B39" s="119" t="s">
        <v>110</v>
      </c>
      <c r="C39" s="120" t="s">
        <v>66</v>
      </c>
      <c r="D39" s="120" t="s">
        <v>25</v>
      </c>
      <c r="E39" s="120" t="s">
        <v>25</v>
      </c>
      <c r="F39" s="120" t="s">
        <v>112</v>
      </c>
      <c r="G39" s="120" t="s">
        <v>25</v>
      </c>
      <c r="H39" s="120" t="s">
        <v>105</v>
      </c>
      <c r="I39" s="120" t="s">
        <v>25</v>
      </c>
      <c r="J39" s="120">
        <v>18.61</v>
      </c>
      <c r="K39" s="120">
        <v>0</v>
      </c>
      <c r="L39" s="120">
        <v>0</v>
      </c>
      <c r="M39" s="120">
        <v>2.2951371477491E-2</v>
      </c>
      <c r="N39" s="120">
        <v>6.3172216523719696E-2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18.524715227502799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  <c r="AK39" s="120">
        <v>0</v>
      </c>
      <c r="AL39" s="120">
        <v>0</v>
      </c>
      <c r="AM39" s="120">
        <v>0</v>
      </c>
      <c r="AN39" s="120">
        <v>0</v>
      </c>
      <c r="AO39" s="120">
        <v>0</v>
      </c>
      <c r="AP39" s="120">
        <v>0</v>
      </c>
      <c r="AQ39" s="120">
        <v>0</v>
      </c>
      <c r="AR39" s="120">
        <v>0</v>
      </c>
      <c r="AS39" s="120">
        <v>0</v>
      </c>
      <c r="AT39" s="121">
        <v>0</v>
      </c>
    </row>
    <row r="40" spans="2:46" ht="12" customHeight="1" x14ac:dyDescent="0.25">
      <c r="B40" s="119" t="s">
        <v>22</v>
      </c>
      <c r="C40" s="120" t="s">
        <v>33</v>
      </c>
      <c r="D40" s="120" t="s">
        <v>24</v>
      </c>
      <c r="E40" s="120" t="s">
        <v>24</v>
      </c>
      <c r="F40" s="120" t="s">
        <v>25</v>
      </c>
      <c r="G40" s="120" t="s">
        <v>34</v>
      </c>
      <c r="H40" s="120" t="s">
        <v>102</v>
      </c>
      <c r="I40" s="120" t="s">
        <v>25</v>
      </c>
      <c r="J40" s="120">
        <v>987.51</v>
      </c>
      <c r="K40" s="120">
        <v>386.07</v>
      </c>
      <c r="L40" s="120">
        <v>4.0263687592814303</v>
      </c>
      <c r="M40" s="120">
        <v>0.84102291402765805</v>
      </c>
      <c r="N40" s="120">
        <v>9.1834696636790092</v>
      </c>
      <c r="O40" s="120">
        <v>1.9190865198739599E-2</v>
      </c>
      <c r="P40" s="120">
        <v>0</v>
      </c>
      <c r="Q40" s="120">
        <v>38.182431744895901</v>
      </c>
      <c r="R40" s="120">
        <v>14.414104263105401</v>
      </c>
      <c r="S40" s="120">
        <v>0</v>
      </c>
      <c r="T40" s="120">
        <v>104.776570393235</v>
      </c>
      <c r="U40" s="120">
        <v>32.501964046681401</v>
      </c>
      <c r="V40" s="120">
        <v>5.2285923600971103</v>
      </c>
      <c r="W40" s="120">
        <v>0.30411073412865403</v>
      </c>
      <c r="X40" s="120">
        <v>6.6994933734767104</v>
      </c>
      <c r="Y40" s="120">
        <v>0</v>
      </c>
      <c r="Z40" s="120">
        <v>0</v>
      </c>
      <c r="AA40" s="120">
        <v>727.18640040819605</v>
      </c>
      <c r="AB40" s="120">
        <v>0</v>
      </c>
      <c r="AC40" s="120">
        <v>0</v>
      </c>
      <c r="AD40" s="120">
        <v>0</v>
      </c>
      <c r="AE40" s="120">
        <v>32.250377604372098</v>
      </c>
      <c r="AF40" s="120">
        <v>0.97756078457782103</v>
      </c>
      <c r="AG40" s="120">
        <v>10.921635518803599</v>
      </c>
      <c r="AH40" s="120">
        <v>0</v>
      </c>
      <c r="AI40" s="120">
        <v>5.4577863114272098</v>
      </c>
      <c r="AJ40" s="120">
        <v>-17.093827857921202</v>
      </c>
      <c r="AK40" s="120">
        <v>2.52924088987622</v>
      </c>
      <c r="AL40" s="120">
        <v>25.785661314506399</v>
      </c>
      <c r="AM40" s="120">
        <v>0</v>
      </c>
      <c r="AN40" s="120">
        <v>363.52547852487697</v>
      </c>
      <c r="AO40" s="120">
        <v>0</v>
      </c>
      <c r="AP40" s="120">
        <v>0</v>
      </c>
      <c r="AQ40" s="120">
        <v>2.6775784651651402E-13</v>
      </c>
      <c r="AR40" s="120">
        <v>0</v>
      </c>
      <c r="AS40" s="120">
        <v>0</v>
      </c>
      <c r="AT40" s="121">
        <v>5.8638041172503801</v>
      </c>
    </row>
    <row r="41" spans="2:46" ht="12" customHeight="1" x14ac:dyDescent="0.25">
      <c r="B41" s="119" t="s">
        <v>22</v>
      </c>
      <c r="C41" s="120" t="s">
        <v>33</v>
      </c>
      <c r="D41" s="120" t="s">
        <v>24</v>
      </c>
      <c r="E41" s="120" t="s">
        <v>24</v>
      </c>
      <c r="F41" s="120" t="s">
        <v>25</v>
      </c>
      <c r="G41" s="120" t="s">
        <v>36</v>
      </c>
      <c r="H41" s="120" t="s">
        <v>102</v>
      </c>
      <c r="I41" s="120" t="s">
        <v>25</v>
      </c>
      <c r="J41" s="120">
        <v>633.52</v>
      </c>
      <c r="K41" s="120">
        <v>233.89</v>
      </c>
      <c r="L41" s="120">
        <v>4.0263687592814303</v>
      </c>
      <c r="M41" s="120">
        <v>0.84102291402765805</v>
      </c>
      <c r="N41" s="120">
        <v>5.8692042120319998</v>
      </c>
      <c r="O41" s="120">
        <v>1.9190865198739599E-2</v>
      </c>
      <c r="P41" s="120">
        <v>0</v>
      </c>
      <c r="Q41" s="120">
        <v>38.182431744895901</v>
      </c>
      <c r="R41" s="120">
        <v>14.414104263105401</v>
      </c>
      <c r="S41" s="120">
        <v>0</v>
      </c>
      <c r="T41" s="120">
        <v>62.8659422359408</v>
      </c>
      <c r="U41" s="120">
        <v>19.501178428008799</v>
      </c>
      <c r="V41" s="120">
        <v>3.13711858677221</v>
      </c>
      <c r="W41" s="120">
        <v>0.18244634726714101</v>
      </c>
      <c r="X41" s="120">
        <v>4.0197161402683799</v>
      </c>
      <c r="Y41" s="120">
        <v>0</v>
      </c>
      <c r="Z41" s="120">
        <v>0</v>
      </c>
      <c r="AA41" s="120">
        <v>436.311772782145</v>
      </c>
      <c r="AB41" s="120">
        <v>0</v>
      </c>
      <c r="AC41" s="120">
        <v>0</v>
      </c>
      <c r="AD41" s="120">
        <v>0</v>
      </c>
      <c r="AE41" s="120">
        <v>32.250377604372098</v>
      </c>
      <c r="AF41" s="120">
        <v>0.97756078457782103</v>
      </c>
      <c r="AG41" s="120">
        <v>10.921635518803599</v>
      </c>
      <c r="AH41" s="120">
        <v>0</v>
      </c>
      <c r="AI41" s="120">
        <v>5.4577863114272098</v>
      </c>
      <c r="AJ41" s="120">
        <v>-17.093827857921202</v>
      </c>
      <c r="AK41" s="120">
        <v>2.52924088987622</v>
      </c>
      <c r="AL41" s="120">
        <v>25.785661314506399</v>
      </c>
      <c r="AM41" s="120">
        <v>0</v>
      </c>
      <c r="AN41" s="120">
        <v>211.352022398184</v>
      </c>
      <c r="AO41" s="120">
        <v>0</v>
      </c>
      <c r="AP41" s="120">
        <v>0</v>
      </c>
      <c r="AQ41" s="120">
        <v>2.6775784651651402E-13</v>
      </c>
      <c r="AR41" s="120">
        <v>0</v>
      </c>
      <c r="AS41" s="120">
        <v>0</v>
      </c>
      <c r="AT41" s="121">
        <v>5.8638041172503801</v>
      </c>
    </row>
    <row r="42" spans="2:46" ht="12" customHeight="1" x14ac:dyDescent="0.25">
      <c r="B42" s="119" t="s">
        <v>22</v>
      </c>
      <c r="C42" s="120" t="s">
        <v>33</v>
      </c>
      <c r="D42" s="120" t="s">
        <v>24</v>
      </c>
      <c r="E42" s="120" t="s">
        <v>24</v>
      </c>
      <c r="F42" s="120" t="s">
        <v>25</v>
      </c>
      <c r="G42" s="120" t="s">
        <v>35</v>
      </c>
      <c r="H42" s="120" t="s">
        <v>102</v>
      </c>
      <c r="I42" s="120" t="s">
        <v>25</v>
      </c>
      <c r="J42" s="120">
        <v>279.52999999999997</v>
      </c>
      <c r="K42" s="120">
        <v>233.89</v>
      </c>
      <c r="L42" s="120">
        <v>4.0263687592814303</v>
      </c>
      <c r="M42" s="120">
        <v>0.84102291402765805</v>
      </c>
      <c r="N42" s="120">
        <v>2.5549409054517702</v>
      </c>
      <c r="O42" s="120">
        <v>1.9190865198739599E-2</v>
      </c>
      <c r="P42" s="120">
        <v>0</v>
      </c>
      <c r="Q42" s="120">
        <v>38.182431744895901</v>
      </c>
      <c r="R42" s="120">
        <v>14.414104263105401</v>
      </c>
      <c r="S42" s="120">
        <v>0</v>
      </c>
      <c r="T42" s="120">
        <v>20.9553140786469</v>
      </c>
      <c r="U42" s="120">
        <v>6.5003928093362697</v>
      </c>
      <c r="V42" s="120">
        <v>1.0457061955907401</v>
      </c>
      <c r="W42" s="120">
        <v>6.0781960405627902E-2</v>
      </c>
      <c r="X42" s="120">
        <v>1.33993890706006</v>
      </c>
      <c r="Y42" s="120">
        <v>0</v>
      </c>
      <c r="Z42" s="120">
        <v>0</v>
      </c>
      <c r="AA42" s="120">
        <v>145.43725759404799</v>
      </c>
      <c r="AB42" s="120">
        <v>0</v>
      </c>
      <c r="AC42" s="120">
        <v>0</v>
      </c>
      <c r="AD42" s="120">
        <v>0</v>
      </c>
      <c r="AE42" s="120">
        <v>32.250377604372098</v>
      </c>
      <c r="AF42" s="120">
        <v>0.97756078457782103</v>
      </c>
      <c r="AG42" s="120">
        <v>10.921635518803599</v>
      </c>
      <c r="AH42" s="120">
        <v>0</v>
      </c>
      <c r="AI42" s="120">
        <v>5.4577863114272098</v>
      </c>
      <c r="AJ42" s="120">
        <v>-17.093827857921202</v>
      </c>
      <c r="AK42" s="120">
        <v>2.52924088987622</v>
      </c>
      <c r="AL42" s="120">
        <v>25.785661314506399</v>
      </c>
      <c r="AM42" s="120">
        <v>0</v>
      </c>
      <c r="AN42" s="120">
        <v>211.352022398184</v>
      </c>
      <c r="AO42" s="120">
        <v>0</v>
      </c>
      <c r="AP42" s="120">
        <v>0</v>
      </c>
      <c r="AQ42" s="120">
        <v>2.6775784651651402E-13</v>
      </c>
      <c r="AR42" s="120">
        <v>0</v>
      </c>
      <c r="AS42" s="120">
        <v>0</v>
      </c>
      <c r="AT42" s="121">
        <v>5.8638041172503801</v>
      </c>
    </row>
    <row r="43" spans="2:46" ht="12" customHeight="1" x14ac:dyDescent="0.25">
      <c r="B43" s="119" t="s">
        <v>22</v>
      </c>
      <c r="C43" s="120" t="s">
        <v>23</v>
      </c>
      <c r="D43" s="120" t="s">
        <v>24</v>
      </c>
      <c r="E43" s="120" t="s">
        <v>1562</v>
      </c>
      <c r="F43" s="120" t="s">
        <v>25</v>
      </c>
      <c r="G43" s="120" t="s">
        <v>25</v>
      </c>
      <c r="H43" s="120" t="s">
        <v>102</v>
      </c>
      <c r="I43" s="120" t="s">
        <v>25</v>
      </c>
      <c r="J43" s="120">
        <v>322.45</v>
      </c>
      <c r="K43" s="120">
        <v>246.58</v>
      </c>
      <c r="L43" s="120">
        <v>0</v>
      </c>
      <c r="M43" s="120">
        <v>0.84102291402765805</v>
      </c>
      <c r="N43" s="120">
        <v>3.4763532661191898</v>
      </c>
      <c r="O43" s="120">
        <v>1.9190865198739599E-2</v>
      </c>
      <c r="P43" s="120">
        <v>0</v>
      </c>
      <c r="Q43" s="120">
        <v>0</v>
      </c>
      <c r="R43" s="120">
        <v>0</v>
      </c>
      <c r="S43" s="120">
        <v>0</v>
      </c>
      <c r="T43" s="120">
        <v>32.742732247838198</v>
      </c>
      <c r="U43" s="120">
        <v>10.1568477802251</v>
      </c>
      <c r="V43" s="120">
        <v>1.63393127614638</v>
      </c>
      <c r="W43" s="120">
        <v>9.5040883543345403E-2</v>
      </c>
      <c r="X43" s="120">
        <v>2.0935916792114702</v>
      </c>
      <c r="Y43" s="120">
        <v>0</v>
      </c>
      <c r="Z43" s="120">
        <v>0</v>
      </c>
      <c r="AA43" s="120">
        <v>227.245764182306</v>
      </c>
      <c r="AB43" s="120">
        <v>0</v>
      </c>
      <c r="AC43" s="120">
        <v>0</v>
      </c>
      <c r="AD43" s="120">
        <v>0</v>
      </c>
      <c r="AE43" s="120">
        <v>32.250377604372098</v>
      </c>
      <c r="AF43" s="120">
        <v>0.97756078457782103</v>
      </c>
      <c r="AG43" s="120">
        <v>10.921635518803599</v>
      </c>
      <c r="AH43" s="120">
        <v>0</v>
      </c>
      <c r="AI43" s="120">
        <v>5.4577863114272098</v>
      </c>
      <c r="AJ43" s="120">
        <v>-17.093827857921202</v>
      </c>
      <c r="AK43" s="120">
        <v>2.52924088987622</v>
      </c>
      <c r="AL43" s="120">
        <v>25.785661314506399</v>
      </c>
      <c r="AM43" s="120">
        <v>0</v>
      </c>
      <c r="AN43" s="120">
        <v>224.033143742075</v>
      </c>
      <c r="AO43" s="120">
        <v>0</v>
      </c>
      <c r="AP43" s="120">
        <v>0</v>
      </c>
      <c r="AQ43" s="120">
        <v>2.6775784651651402E-13</v>
      </c>
      <c r="AR43" s="120">
        <v>0</v>
      </c>
      <c r="AS43" s="120">
        <v>0</v>
      </c>
      <c r="AT43" s="121">
        <v>5.8638041172503801</v>
      </c>
    </row>
    <row r="44" spans="2:46" ht="12" customHeight="1" x14ac:dyDescent="0.25">
      <c r="B44" s="119" t="s">
        <v>22</v>
      </c>
      <c r="C44" s="120" t="s">
        <v>23</v>
      </c>
      <c r="D44" s="120" t="s">
        <v>24</v>
      </c>
      <c r="E44" s="120" t="s">
        <v>24</v>
      </c>
      <c r="F44" s="120" t="s">
        <v>25</v>
      </c>
      <c r="G44" s="120" t="s">
        <v>25</v>
      </c>
      <c r="H44" s="120" t="s">
        <v>102</v>
      </c>
      <c r="I44" s="120" t="s">
        <v>25</v>
      </c>
      <c r="J44" s="120">
        <v>379.09</v>
      </c>
      <c r="K44" s="120">
        <v>246.58</v>
      </c>
      <c r="L44" s="120">
        <v>4.0263687592814303</v>
      </c>
      <c r="M44" s="120">
        <v>0.84102291402765805</v>
      </c>
      <c r="N44" s="120">
        <v>3.4870785999941898</v>
      </c>
      <c r="O44" s="120">
        <v>1.9190865198739599E-2</v>
      </c>
      <c r="P44" s="120">
        <v>0</v>
      </c>
      <c r="Q44" s="120">
        <v>38.182431744895901</v>
      </c>
      <c r="R44" s="120">
        <v>14.414104263105401</v>
      </c>
      <c r="S44" s="120">
        <v>0</v>
      </c>
      <c r="T44" s="120">
        <v>32.742732247838198</v>
      </c>
      <c r="U44" s="120">
        <v>10.1568477802251</v>
      </c>
      <c r="V44" s="120">
        <v>1.63393127614638</v>
      </c>
      <c r="W44" s="120">
        <v>9.5040883543345403E-2</v>
      </c>
      <c r="X44" s="120">
        <v>2.0935916792114702</v>
      </c>
      <c r="Y44" s="120">
        <v>0</v>
      </c>
      <c r="Z44" s="120">
        <v>0</v>
      </c>
      <c r="AA44" s="120">
        <v>227.245764182306</v>
      </c>
      <c r="AB44" s="120">
        <v>0</v>
      </c>
      <c r="AC44" s="120">
        <v>0</v>
      </c>
      <c r="AD44" s="120">
        <v>0</v>
      </c>
      <c r="AE44" s="120">
        <v>32.250377604372098</v>
      </c>
      <c r="AF44" s="120">
        <v>0.97756078457782103</v>
      </c>
      <c r="AG44" s="120">
        <v>10.921635518803599</v>
      </c>
      <c r="AH44" s="120">
        <v>0</v>
      </c>
      <c r="AI44" s="120">
        <v>5.4577863114272098</v>
      </c>
      <c r="AJ44" s="120">
        <v>-17.093827857921202</v>
      </c>
      <c r="AK44" s="120">
        <v>2.52924088987622</v>
      </c>
      <c r="AL44" s="120">
        <v>25.785661314506399</v>
      </c>
      <c r="AM44" s="120">
        <v>0</v>
      </c>
      <c r="AN44" s="120">
        <v>224.033143742075</v>
      </c>
      <c r="AO44" s="120">
        <v>0</v>
      </c>
      <c r="AP44" s="120">
        <v>0</v>
      </c>
      <c r="AQ44" s="120">
        <v>2.6775784651651402E-13</v>
      </c>
      <c r="AR44" s="120">
        <v>0</v>
      </c>
      <c r="AS44" s="120">
        <v>0</v>
      </c>
      <c r="AT44" s="121">
        <v>5.8638041172503801</v>
      </c>
    </row>
    <row r="45" spans="2:46" ht="12" customHeight="1" x14ac:dyDescent="0.25">
      <c r="B45" s="119" t="s">
        <v>22</v>
      </c>
      <c r="C45" s="120" t="s">
        <v>115</v>
      </c>
      <c r="D45" s="120" t="s">
        <v>24</v>
      </c>
      <c r="E45" s="120" t="s">
        <v>1562</v>
      </c>
      <c r="F45" s="120" t="s">
        <v>25</v>
      </c>
      <c r="G45" s="120" t="s">
        <v>25</v>
      </c>
      <c r="H45" s="120" t="s">
        <v>102</v>
      </c>
      <c r="I45" s="120" t="s">
        <v>25</v>
      </c>
      <c r="J45" s="120">
        <v>322.45</v>
      </c>
      <c r="K45" s="120">
        <v>246.58</v>
      </c>
      <c r="L45" s="120">
        <v>0</v>
      </c>
      <c r="M45" s="120">
        <v>0.84102291402765805</v>
      </c>
      <c r="N45" s="120">
        <v>3.4763532661191898</v>
      </c>
      <c r="O45" s="120">
        <v>1.9190865198739599E-2</v>
      </c>
      <c r="P45" s="120">
        <v>0</v>
      </c>
      <c r="Q45" s="120">
        <v>0</v>
      </c>
      <c r="R45" s="120">
        <v>0</v>
      </c>
      <c r="S45" s="120">
        <v>0</v>
      </c>
      <c r="T45" s="120">
        <v>32.742732247838198</v>
      </c>
      <c r="U45" s="120">
        <v>10.1568477802251</v>
      </c>
      <c r="V45" s="120">
        <v>1.63393127614638</v>
      </c>
      <c r="W45" s="120">
        <v>9.5040883543345403E-2</v>
      </c>
      <c r="X45" s="120">
        <v>2.0935916792114702</v>
      </c>
      <c r="Y45" s="120">
        <v>0</v>
      </c>
      <c r="Z45" s="120">
        <v>0</v>
      </c>
      <c r="AA45" s="120">
        <v>227.245764182306</v>
      </c>
      <c r="AB45" s="120">
        <v>0</v>
      </c>
      <c r="AC45" s="120">
        <v>0</v>
      </c>
      <c r="AD45" s="120">
        <v>0</v>
      </c>
      <c r="AE45" s="120">
        <v>32.250377604372098</v>
      </c>
      <c r="AF45" s="120">
        <v>0.97756078457782103</v>
      </c>
      <c r="AG45" s="120">
        <v>10.921635518803599</v>
      </c>
      <c r="AH45" s="120">
        <v>0</v>
      </c>
      <c r="AI45" s="120">
        <v>5.4577863114272098</v>
      </c>
      <c r="AJ45" s="120">
        <v>-17.093827857921202</v>
      </c>
      <c r="AK45" s="120">
        <v>2.52924088987622</v>
      </c>
      <c r="AL45" s="120">
        <v>25.785661314506399</v>
      </c>
      <c r="AM45" s="120">
        <v>0</v>
      </c>
      <c r="AN45" s="120">
        <v>224.033143742075</v>
      </c>
      <c r="AO45" s="120">
        <v>0</v>
      </c>
      <c r="AP45" s="120">
        <v>0</v>
      </c>
      <c r="AQ45" s="120">
        <v>2.6775784651651402E-13</v>
      </c>
      <c r="AR45" s="120">
        <v>0</v>
      </c>
      <c r="AS45" s="120">
        <v>0</v>
      </c>
      <c r="AT45" s="121">
        <v>5.8638041172503801</v>
      </c>
    </row>
    <row r="46" spans="2:46" ht="12" customHeight="1" x14ac:dyDescent="0.25">
      <c r="B46" s="119" t="s">
        <v>22</v>
      </c>
      <c r="C46" s="120" t="s">
        <v>115</v>
      </c>
      <c r="D46" s="120" t="s">
        <v>24</v>
      </c>
      <c r="E46" s="120" t="s">
        <v>24</v>
      </c>
      <c r="F46" s="120" t="s">
        <v>25</v>
      </c>
      <c r="G46" s="120" t="s">
        <v>25</v>
      </c>
      <c r="H46" s="120" t="s">
        <v>102</v>
      </c>
      <c r="I46" s="120" t="s">
        <v>25</v>
      </c>
      <c r="J46" s="120">
        <v>379.09</v>
      </c>
      <c r="K46" s="120">
        <v>246.58</v>
      </c>
      <c r="L46" s="120">
        <v>4.0263687592814303</v>
      </c>
      <c r="M46" s="120">
        <v>0.84102291402765805</v>
      </c>
      <c r="N46" s="120">
        <v>3.4870785999941898</v>
      </c>
      <c r="O46" s="120">
        <v>1.9190865198739599E-2</v>
      </c>
      <c r="P46" s="120">
        <v>0</v>
      </c>
      <c r="Q46" s="120">
        <v>38.182431744895901</v>
      </c>
      <c r="R46" s="120">
        <v>14.414104263105401</v>
      </c>
      <c r="S46" s="120">
        <v>0</v>
      </c>
      <c r="T46" s="120">
        <v>32.742732247838198</v>
      </c>
      <c r="U46" s="120">
        <v>10.1568477802251</v>
      </c>
      <c r="V46" s="120">
        <v>1.63393127614638</v>
      </c>
      <c r="W46" s="120">
        <v>9.5040883543345403E-2</v>
      </c>
      <c r="X46" s="120">
        <v>2.0935916792114702</v>
      </c>
      <c r="Y46" s="120">
        <v>0</v>
      </c>
      <c r="Z46" s="120">
        <v>0</v>
      </c>
      <c r="AA46" s="120">
        <v>227.245764182306</v>
      </c>
      <c r="AB46" s="120">
        <v>0</v>
      </c>
      <c r="AC46" s="120">
        <v>0</v>
      </c>
      <c r="AD46" s="120">
        <v>0</v>
      </c>
      <c r="AE46" s="120">
        <v>32.250377604372098</v>
      </c>
      <c r="AF46" s="120">
        <v>0.97756078457782103</v>
      </c>
      <c r="AG46" s="120">
        <v>10.921635518803599</v>
      </c>
      <c r="AH46" s="120">
        <v>0</v>
      </c>
      <c r="AI46" s="120">
        <v>5.4577863114272098</v>
      </c>
      <c r="AJ46" s="120">
        <v>-17.093827857921202</v>
      </c>
      <c r="AK46" s="120">
        <v>2.52924088987622</v>
      </c>
      <c r="AL46" s="120">
        <v>25.785661314506399</v>
      </c>
      <c r="AM46" s="120">
        <v>0</v>
      </c>
      <c r="AN46" s="120">
        <v>224.033143742075</v>
      </c>
      <c r="AO46" s="120">
        <v>0</v>
      </c>
      <c r="AP46" s="120">
        <v>0</v>
      </c>
      <c r="AQ46" s="120">
        <v>2.6775784651651402E-13</v>
      </c>
      <c r="AR46" s="120">
        <v>0</v>
      </c>
      <c r="AS46" s="120">
        <v>0</v>
      </c>
      <c r="AT46" s="121">
        <v>5.8638041172503801</v>
      </c>
    </row>
    <row r="47" spans="2:46" ht="12" customHeight="1" x14ac:dyDescent="0.25">
      <c r="B47" s="119" t="s">
        <v>44</v>
      </c>
      <c r="C47" s="120" t="s">
        <v>33</v>
      </c>
      <c r="D47" s="120" t="s">
        <v>45</v>
      </c>
      <c r="E47" s="120" t="s">
        <v>116</v>
      </c>
      <c r="F47" s="120" t="s">
        <v>25</v>
      </c>
      <c r="G47" s="120" t="s">
        <v>34</v>
      </c>
      <c r="H47" s="120" t="s">
        <v>102</v>
      </c>
      <c r="I47" s="120" t="s">
        <v>25</v>
      </c>
      <c r="J47" s="120">
        <v>967.26</v>
      </c>
      <c r="K47" s="120">
        <v>362.9</v>
      </c>
      <c r="L47" s="120">
        <v>3.7847866337245399</v>
      </c>
      <c r="M47" s="120">
        <v>0.79056153918599903</v>
      </c>
      <c r="N47" s="120">
        <v>8.9975461430854704</v>
      </c>
      <c r="O47" s="120">
        <v>1.8039413286815201E-2</v>
      </c>
      <c r="P47" s="120">
        <v>0</v>
      </c>
      <c r="Q47" s="120">
        <v>35.891485840202201</v>
      </c>
      <c r="R47" s="120">
        <v>13.5492580073191</v>
      </c>
      <c r="S47" s="120">
        <v>0</v>
      </c>
      <c r="T47" s="120">
        <v>103.106637604071</v>
      </c>
      <c r="U47" s="120">
        <v>31.9839377004105</v>
      </c>
      <c r="V47" s="120">
        <v>5.1452120840953199</v>
      </c>
      <c r="W47" s="120">
        <v>0.29927429846927101</v>
      </c>
      <c r="X47" s="120">
        <v>6.5926965613226498</v>
      </c>
      <c r="Y47" s="120">
        <v>0</v>
      </c>
      <c r="Z47" s="120">
        <v>0</v>
      </c>
      <c r="AA47" s="120">
        <v>715.59681100298599</v>
      </c>
      <c r="AB47" s="120">
        <v>0</v>
      </c>
      <c r="AC47" s="120">
        <v>0</v>
      </c>
      <c r="AD47" s="120">
        <v>0</v>
      </c>
      <c r="AE47" s="120">
        <v>30.3153549481098</v>
      </c>
      <c r="AF47" s="120">
        <v>0.91890713750315201</v>
      </c>
      <c r="AG47" s="120">
        <v>10.266337387675399</v>
      </c>
      <c r="AH47" s="120">
        <v>0</v>
      </c>
      <c r="AI47" s="120">
        <v>5.1303191327415698</v>
      </c>
      <c r="AJ47" s="120">
        <v>-16.068198186446001</v>
      </c>
      <c r="AK47" s="120">
        <v>2.3774864364836499</v>
      </c>
      <c r="AL47" s="120">
        <v>24.238521635636001</v>
      </c>
      <c r="AM47" s="120">
        <v>0</v>
      </c>
      <c r="AN47" s="120">
        <v>341.71394981338398</v>
      </c>
      <c r="AO47" s="120">
        <v>0</v>
      </c>
      <c r="AP47" s="120">
        <v>0</v>
      </c>
      <c r="AQ47" s="120">
        <v>2.5169237572552299E-13</v>
      </c>
      <c r="AR47" s="120">
        <v>0</v>
      </c>
      <c r="AS47" s="120">
        <v>0</v>
      </c>
      <c r="AT47" s="121">
        <v>5.5119758702153501</v>
      </c>
    </row>
    <row r="48" spans="2:46" ht="12" customHeight="1" x14ac:dyDescent="0.25">
      <c r="B48" s="119" t="s">
        <v>44</v>
      </c>
      <c r="C48" s="120" t="s">
        <v>33</v>
      </c>
      <c r="D48" s="120" t="s">
        <v>45</v>
      </c>
      <c r="E48" s="120" t="s">
        <v>116</v>
      </c>
      <c r="F48" s="120" t="s">
        <v>25</v>
      </c>
      <c r="G48" s="120" t="s">
        <v>36</v>
      </c>
      <c r="H48" s="120" t="s">
        <v>102</v>
      </c>
      <c r="I48" s="120" t="s">
        <v>25</v>
      </c>
      <c r="J48" s="120">
        <v>618.91</v>
      </c>
      <c r="K48" s="120">
        <v>219.86</v>
      </c>
      <c r="L48" s="120">
        <v>3.7847866337245399</v>
      </c>
      <c r="M48" s="120">
        <v>0.79056153918599903</v>
      </c>
      <c r="N48" s="120">
        <v>5.7361055777542802</v>
      </c>
      <c r="O48" s="120">
        <v>1.8039413286815201E-2</v>
      </c>
      <c r="P48" s="120">
        <v>0</v>
      </c>
      <c r="Q48" s="120">
        <v>35.891485840202201</v>
      </c>
      <c r="R48" s="120">
        <v>13.5492580073191</v>
      </c>
      <c r="S48" s="120">
        <v>0</v>
      </c>
      <c r="T48" s="120">
        <v>61.8640289715443</v>
      </c>
      <c r="U48" s="120">
        <v>19.190434741691501</v>
      </c>
      <c r="V48" s="120">
        <v>3.0871387903001599</v>
      </c>
      <c r="W48" s="120">
        <v>0.17962124193390699</v>
      </c>
      <c r="X48" s="120">
        <v>3.95561793679359</v>
      </c>
      <c r="Y48" s="120">
        <v>0</v>
      </c>
      <c r="Z48" s="120">
        <v>0</v>
      </c>
      <c r="AA48" s="120">
        <v>429.358065463456</v>
      </c>
      <c r="AB48" s="120">
        <v>0</v>
      </c>
      <c r="AC48" s="120">
        <v>0</v>
      </c>
      <c r="AD48" s="120">
        <v>0</v>
      </c>
      <c r="AE48" s="120">
        <v>30.3153549481098</v>
      </c>
      <c r="AF48" s="120">
        <v>0.91890713750315201</v>
      </c>
      <c r="AG48" s="120">
        <v>10.266337387675399</v>
      </c>
      <c r="AH48" s="120">
        <v>0</v>
      </c>
      <c r="AI48" s="120">
        <v>5.1303191327415698</v>
      </c>
      <c r="AJ48" s="120">
        <v>-16.068198186446001</v>
      </c>
      <c r="AK48" s="120">
        <v>2.3774864364836499</v>
      </c>
      <c r="AL48" s="120">
        <v>24.238521635636001</v>
      </c>
      <c r="AM48" s="120">
        <v>0</v>
      </c>
      <c r="AN48" s="120">
        <v>198.67090105429301</v>
      </c>
      <c r="AO48" s="120">
        <v>0</v>
      </c>
      <c r="AP48" s="120">
        <v>0</v>
      </c>
      <c r="AQ48" s="120">
        <v>2.5169237572552299E-13</v>
      </c>
      <c r="AR48" s="120">
        <v>0</v>
      </c>
      <c r="AS48" s="120">
        <v>0</v>
      </c>
      <c r="AT48" s="121">
        <v>5.5119758702153501</v>
      </c>
    </row>
    <row r="49" spans="2:46" ht="12" customHeight="1" x14ac:dyDescent="0.25">
      <c r="B49" s="119" t="s">
        <v>44</v>
      </c>
      <c r="C49" s="120" t="s">
        <v>33</v>
      </c>
      <c r="D49" s="120" t="s">
        <v>45</v>
      </c>
      <c r="E49" s="120" t="s">
        <v>116</v>
      </c>
      <c r="F49" s="120" t="s">
        <v>25</v>
      </c>
      <c r="G49" s="120" t="s">
        <v>35</v>
      </c>
      <c r="H49" s="120" t="s">
        <v>102</v>
      </c>
      <c r="I49" s="120" t="s">
        <v>25</v>
      </c>
      <c r="J49" s="120">
        <v>270.55</v>
      </c>
      <c r="K49" s="120">
        <v>219.86</v>
      </c>
      <c r="L49" s="120">
        <v>3.7847866337245399</v>
      </c>
      <c r="M49" s="120">
        <v>0.79056153918599903</v>
      </c>
      <c r="N49" s="120">
        <v>2.4746619878789402</v>
      </c>
      <c r="O49" s="120">
        <v>1.8039413286815201E-2</v>
      </c>
      <c r="P49" s="120">
        <v>0</v>
      </c>
      <c r="Q49" s="120">
        <v>35.891485840202201</v>
      </c>
      <c r="R49" s="120">
        <v>13.5492580073191</v>
      </c>
      <c r="S49" s="120">
        <v>0</v>
      </c>
      <c r="T49" s="120">
        <v>20.621304316263199</v>
      </c>
      <c r="U49" s="120">
        <v>6.3968115805638304</v>
      </c>
      <c r="V49" s="120">
        <v>1.0290654965049999</v>
      </c>
      <c r="W49" s="120">
        <v>5.9873747311302503E-2</v>
      </c>
      <c r="X49" s="120">
        <v>1.3185393122645299</v>
      </c>
      <c r="Y49" s="120">
        <v>0</v>
      </c>
      <c r="Z49" s="120">
        <v>0</v>
      </c>
      <c r="AA49" s="120">
        <v>143.11931992392601</v>
      </c>
      <c r="AB49" s="120">
        <v>0</v>
      </c>
      <c r="AC49" s="120">
        <v>0</v>
      </c>
      <c r="AD49" s="120">
        <v>0</v>
      </c>
      <c r="AE49" s="120">
        <v>30.3153549481098</v>
      </c>
      <c r="AF49" s="120">
        <v>0.91890713750315201</v>
      </c>
      <c r="AG49" s="120">
        <v>10.266337387675399</v>
      </c>
      <c r="AH49" s="120">
        <v>0</v>
      </c>
      <c r="AI49" s="120">
        <v>5.1303191327415698</v>
      </c>
      <c r="AJ49" s="120">
        <v>-16.068198186446001</v>
      </c>
      <c r="AK49" s="120">
        <v>2.3774864364836499</v>
      </c>
      <c r="AL49" s="120">
        <v>24.238521635636001</v>
      </c>
      <c r="AM49" s="120">
        <v>0</v>
      </c>
      <c r="AN49" s="120">
        <v>198.67090105429301</v>
      </c>
      <c r="AO49" s="120">
        <v>0</v>
      </c>
      <c r="AP49" s="120">
        <v>0</v>
      </c>
      <c r="AQ49" s="120">
        <v>2.5169237572552299E-13</v>
      </c>
      <c r="AR49" s="120">
        <v>0</v>
      </c>
      <c r="AS49" s="120">
        <v>0</v>
      </c>
      <c r="AT49" s="121">
        <v>5.5119758702153501</v>
      </c>
    </row>
    <row r="50" spans="2:46" ht="12" customHeight="1" x14ac:dyDescent="0.25">
      <c r="B50" s="119" t="s">
        <v>44</v>
      </c>
      <c r="C50" s="120" t="s">
        <v>33</v>
      </c>
      <c r="D50" s="120" t="s">
        <v>45</v>
      </c>
      <c r="E50" s="120" t="s">
        <v>25</v>
      </c>
      <c r="F50" s="120" t="s">
        <v>25</v>
      </c>
      <c r="G50" s="120" t="s">
        <v>34</v>
      </c>
      <c r="H50" s="120" t="s">
        <v>102</v>
      </c>
      <c r="I50" s="120" t="s">
        <v>25</v>
      </c>
      <c r="J50" s="120">
        <v>967.26</v>
      </c>
      <c r="K50" s="120">
        <v>362.9</v>
      </c>
      <c r="L50" s="120">
        <v>3.7847866337245399</v>
      </c>
      <c r="M50" s="120">
        <v>0.79056153918599903</v>
      </c>
      <c r="N50" s="120">
        <v>8.9975461430854704</v>
      </c>
      <c r="O50" s="120">
        <v>1.8039413286815201E-2</v>
      </c>
      <c r="P50" s="120">
        <v>0</v>
      </c>
      <c r="Q50" s="120">
        <v>35.891485840202201</v>
      </c>
      <c r="R50" s="120">
        <v>13.5492580073191</v>
      </c>
      <c r="S50" s="120">
        <v>0</v>
      </c>
      <c r="T50" s="120">
        <v>103.106637604071</v>
      </c>
      <c r="U50" s="120">
        <v>31.9839377004105</v>
      </c>
      <c r="V50" s="120">
        <v>5.1452120840953199</v>
      </c>
      <c r="W50" s="120">
        <v>0.29927429846927101</v>
      </c>
      <c r="X50" s="120">
        <v>6.5926965613226498</v>
      </c>
      <c r="Y50" s="120">
        <v>0</v>
      </c>
      <c r="Z50" s="120">
        <v>0</v>
      </c>
      <c r="AA50" s="120">
        <v>715.59681100298599</v>
      </c>
      <c r="AB50" s="120">
        <v>0</v>
      </c>
      <c r="AC50" s="120">
        <v>0</v>
      </c>
      <c r="AD50" s="120">
        <v>0</v>
      </c>
      <c r="AE50" s="120">
        <v>30.3153549481098</v>
      </c>
      <c r="AF50" s="120">
        <v>0.91890713750315201</v>
      </c>
      <c r="AG50" s="120">
        <v>10.266337387675399</v>
      </c>
      <c r="AH50" s="120">
        <v>0</v>
      </c>
      <c r="AI50" s="120">
        <v>5.1303191327415698</v>
      </c>
      <c r="AJ50" s="120">
        <v>-16.068198186446001</v>
      </c>
      <c r="AK50" s="120">
        <v>2.3774864364836499</v>
      </c>
      <c r="AL50" s="120">
        <v>24.238521635636001</v>
      </c>
      <c r="AM50" s="120">
        <v>0</v>
      </c>
      <c r="AN50" s="120">
        <v>341.71394981338398</v>
      </c>
      <c r="AO50" s="120">
        <v>0</v>
      </c>
      <c r="AP50" s="120">
        <v>0</v>
      </c>
      <c r="AQ50" s="120">
        <v>2.5169237572552299E-13</v>
      </c>
      <c r="AR50" s="120">
        <v>0</v>
      </c>
      <c r="AS50" s="120">
        <v>0</v>
      </c>
      <c r="AT50" s="121">
        <v>5.5119758702153501</v>
      </c>
    </row>
    <row r="51" spans="2:46" ht="12" customHeight="1" x14ac:dyDescent="0.25">
      <c r="B51" s="119" t="s">
        <v>44</v>
      </c>
      <c r="C51" s="120" t="s">
        <v>33</v>
      </c>
      <c r="D51" s="120" t="s">
        <v>45</v>
      </c>
      <c r="E51" s="120" t="s">
        <v>25</v>
      </c>
      <c r="F51" s="120" t="s">
        <v>25</v>
      </c>
      <c r="G51" s="120" t="s">
        <v>36</v>
      </c>
      <c r="H51" s="120" t="s">
        <v>102</v>
      </c>
      <c r="I51" s="120" t="s">
        <v>25</v>
      </c>
      <c r="J51" s="120">
        <v>618.91</v>
      </c>
      <c r="K51" s="120">
        <v>219.86</v>
      </c>
      <c r="L51" s="120">
        <v>3.7847866337245399</v>
      </c>
      <c r="M51" s="120">
        <v>0.79056153918599903</v>
      </c>
      <c r="N51" s="120">
        <v>5.7361055777542802</v>
      </c>
      <c r="O51" s="120">
        <v>1.8039413286815201E-2</v>
      </c>
      <c r="P51" s="120">
        <v>0</v>
      </c>
      <c r="Q51" s="120">
        <v>35.891485840202201</v>
      </c>
      <c r="R51" s="120">
        <v>13.5492580073191</v>
      </c>
      <c r="S51" s="120">
        <v>0</v>
      </c>
      <c r="T51" s="120">
        <v>61.8640289715443</v>
      </c>
      <c r="U51" s="120">
        <v>19.190434741691501</v>
      </c>
      <c r="V51" s="120">
        <v>3.0871387903001599</v>
      </c>
      <c r="W51" s="120">
        <v>0.17962124193390699</v>
      </c>
      <c r="X51" s="120">
        <v>3.95561793679359</v>
      </c>
      <c r="Y51" s="120">
        <v>0</v>
      </c>
      <c r="Z51" s="120">
        <v>0</v>
      </c>
      <c r="AA51" s="120">
        <v>429.358065463456</v>
      </c>
      <c r="AB51" s="120">
        <v>0</v>
      </c>
      <c r="AC51" s="120">
        <v>0</v>
      </c>
      <c r="AD51" s="120">
        <v>0</v>
      </c>
      <c r="AE51" s="120">
        <v>30.3153549481098</v>
      </c>
      <c r="AF51" s="120">
        <v>0.91890713750315201</v>
      </c>
      <c r="AG51" s="120">
        <v>10.266337387675399</v>
      </c>
      <c r="AH51" s="120">
        <v>0</v>
      </c>
      <c r="AI51" s="120">
        <v>5.1303191327415698</v>
      </c>
      <c r="AJ51" s="120">
        <v>-16.068198186446001</v>
      </c>
      <c r="AK51" s="120">
        <v>2.3774864364836499</v>
      </c>
      <c r="AL51" s="120">
        <v>24.238521635636001</v>
      </c>
      <c r="AM51" s="120">
        <v>0</v>
      </c>
      <c r="AN51" s="120">
        <v>198.67090105429301</v>
      </c>
      <c r="AO51" s="120">
        <v>0</v>
      </c>
      <c r="AP51" s="120">
        <v>0</v>
      </c>
      <c r="AQ51" s="120">
        <v>2.5169237572552299E-13</v>
      </c>
      <c r="AR51" s="120">
        <v>0</v>
      </c>
      <c r="AS51" s="120">
        <v>0</v>
      </c>
      <c r="AT51" s="121">
        <v>5.5119758702153501</v>
      </c>
    </row>
    <row r="52" spans="2:46" ht="12" customHeight="1" x14ac:dyDescent="0.25">
      <c r="B52" s="119" t="s">
        <v>44</v>
      </c>
      <c r="C52" s="120" t="s">
        <v>33</v>
      </c>
      <c r="D52" s="120" t="s">
        <v>45</v>
      </c>
      <c r="E52" s="120" t="s">
        <v>25</v>
      </c>
      <c r="F52" s="120" t="s">
        <v>25</v>
      </c>
      <c r="G52" s="120" t="s">
        <v>35</v>
      </c>
      <c r="H52" s="120" t="s">
        <v>102</v>
      </c>
      <c r="I52" s="120" t="s">
        <v>25</v>
      </c>
      <c r="J52" s="120">
        <v>270.55</v>
      </c>
      <c r="K52" s="120">
        <v>219.86</v>
      </c>
      <c r="L52" s="120">
        <v>3.7847866337245399</v>
      </c>
      <c r="M52" s="120">
        <v>0.79056153918599903</v>
      </c>
      <c r="N52" s="120">
        <v>2.4746619878789402</v>
      </c>
      <c r="O52" s="120">
        <v>1.8039413286815201E-2</v>
      </c>
      <c r="P52" s="120">
        <v>0</v>
      </c>
      <c r="Q52" s="120">
        <v>35.891485840202201</v>
      </c>
      <c r="R52" s="120">
        <v>13.5492580073191</v>
      </c>
      <c r="S52" s="120">
        <v>0</v>
      </c>
      <c r="T52" s="120">
        <v>20.621304316263199</v>
      </c>
      <c r="U52" s="120">
        <v>6.3968115805638304</v>
      </c>
      <c r="V52" s="120">
        <v>1.0290654965049999</v>
      </c>
      <c r="W52" s="120">
        <v>5.9873747311302503E-2</v>
      </c>
      <c r="X52" s="120">
        <v>1.3185393122645299</v>
      </c>
      <c r="Y52" s="120">
        <v>0</v>
      </c>
      <c r="Z52" s="120">
        <v>0</v>
      </c>
      <c r="AA52" s="120">
        <v>143.11931992392601</v>
      </c>
      <c r="AB52" s="120">
        <v>0</v>
      </c>
      <c r="AC52" s="120">
        <v>0</v>
      </c>
      <c r="AD52" s="120">
        <v>0</v>
      </c>
      <c r="AE52" s="120">
        <v>30.3153549481098</v>
      </c>
      <c r="AF52" s="120">
        <v>0.91890713750315201</v>
      </c>
      <c r="AG52" s="120">
        <v>10.266337387675399</v>
      </c>
      <c r="AH52" s="120">
        <v>0</v>
      </c>
      <c r="AI52" s="120">
        <v>5.1303191327415698</v>
      </c>
      <c r="AJ52" s="120">
        <v>-16.068198186446001</v>
      </c>
      <c r="AK52" s="120">
        <v>2.3774864364836499</v>
      </c>
      <c r="AL52" s="120">
        <v>24.238521635636001</v>
      </c>
      <c r="AM52" s="120">
        <v>0</v>
      </c>
      <c r="AN52" s="120">
        <v>198.67090105429301</v>
      </c>
      <c r="AO52" s="120">
        <v>0</v>
      </c>
      <c r="AP52" s="120">
        <v>0</v>
      </c>
      <c r="AQ52" s="120">
        <v>2.5169237572552299E-13</v>
      </c>
      <c r="AR52" s="120">
        <v>0</v>
      </c>
      <c r="AS52" s="120">
        <v>0</v>
      </c>
      <c r="AT52" s="121">
        <v>5.5119758702153501</v>
      </c>
    </row>
    <row r="53" spans="2:46" ht="12" customHeight="1" x14ac:dyDescent="0.25">
      <c r="B53" s="119" t="s">
        <v>44</v>
      </c>
      <c r="C53" s="120" t="s">
        <v>33</v>
      </c>
      <c r="D53" s="120" t="s">
        <v>45</v>
      </c>
      <c r="E53" s="120" t="s">
        <v>117</v>
      </c>
      <c r="F53" s="120" t="s">
        <v>25</v>
      </c>
      <c r="G53" s="120" t="s">
        <v>34</v>
      </c>
      <c r="H53" s="120" t="s">
        <v>102</v>
      </c>
      <c r="I53" s="120" t="s">
        <v>25</v>
      </c>
      <c r="J53" s="120">
        <v>946.68</v>
      </c>
      <c r="K53" s="120">
        <v>355.18</v>
      </c>
      <c r="L53" s="120">
        <v>3.70425925853892</v>
      </c>
      <c r="M53" s="120">
        <v>0.77374108090544602</v>
      </c>
      <c r="N53" s="120">
        <v>8.8061089911049297</v>
      </c>
      <c r="O53" s="120">
        <v>1.7655595982840399E-2</v>
      </c>
      <c r="P53" s="120">
        <v>0</v>
      </c>
      <c r="Q53" s="120">
        <v>35.127837205304303</v>
      </c>
      <c r="R53" s="120">
        <v>13.260975922057</v>
      </c>
      <c r="S53" s="120">
        <v>0</v>
      </c>
      <c r="T53" s="120">
        <v>100.912879357176</v>
      </c>
      <c r="U53" s="120">
        <v>31.303428387635801</v>
      </c>
      <c r="V53" s="120">
        <v>5.03573948656138</v>
      </c>
      <c r="W53" s="120">
        <v>0.292906760203967</v>
      </c>
      <c r="X53" s="120">
        <v>6.4524264217200402</v>
      </c>
      <c r="Y53" s="120">
        <v>0</v>
      </c>
      <c r="Z53" s="120">
        <v>0</v>
      </c>
      <c r="AA53" s="120">
        <v>700.37134693909297</v>
      </c>
      <c r="AB53" s="120">
        <v>0</v>
      </c>
      <c r="AC53" s="120">
        <v>0</v>
      </c>
      <c r="AD53" s="120">
        <v>0</v>
      </c>
      <c r="AE53" s="120">
        <v>29.670347396022301</v>
      </c>
      <c r="AF53" s="120">
        <v>0.89935592181159596</v>
      </c>
      <c r="AG53" s="120">
        <v>10.0479046772993</v>
      </c>
      <c r="AH53" s="120">
        <v>0</v>
      </c>
      <c r="AI53" s="120">
        <v>5.0211634065130299</v>
      </c>
      <c r="AJ53" s="120">
        <v>-15.726321629287501</v>
      </c>
      <c r="AK53" s="120">
        <v>2.3269016186861302</v>
      </c>
      <c r="AL53" s="120">
        <v>23.722808409345902</v>
      </c>
      <c r="AM53" s="120">
        <v>0</v>
      </c>
      <c r="AN53" s="120">
        <v>334.44344024288699</v>
      </c>
      <c r="AO53" s="120">
        <v>0</v>
      </c>
      <c r="AP53" s="120">
        <v>0</v>
      </c>
      <c r="AQ53" s="120">
        <v>2.4633721879519302E-13</v>
      </c>
      <c r="AR53" s="120">
        <v>0</v>
      </c>
      <c r="AS53" s="120">
        <v>0</v>
      </c>
      <c r="AT53" s="121">
        <v>5.3946997878703504</v>
      </c>
    </row>
    <row r="54" spans="2:46" ht="12" customHeight="1" x14ac:dyDescent="0.25">
      <c r="B54" s="119" t="s">
        <v>44</v>
      </c>
      <c r="C54" s="120" t="s">
        <v>33</v>
      </c>
      <c r="D54" s="120" t="s">
        <v>45</v>
      </c>
      <c r="E54" s="120" t="s">
        <v>117</v>
      </c>
      <c r="F54" s="120" t="s">
        <v>25</v>
      </c>
      <c r="G54" s="120" t="s">
        <v>36</v>
      </c>
      <c r="H54" s="120" t="s">
        <v>102</v>
      </c>
      <c r="I54" s="120" t="s">
        <v>25</v>
      </c>
      <c r="J54" s="120">
        <v>605.74</v>
      </c>
      <c r="K54" s="120">
        <v>215.18</v>
      </c>
      <c r="L54" s="120">
        <v>3.70425925853892</v>
      </c>
      <c r="M54" s="120">
        <v>0.77374108090544602</v>
      </c>
      <c r="N54" s="120">
        <v>5.6140607782275902</v>
      </c>
      <c r="O54" s="120">
        <v>1.7655595982840399E-2</v>
      </c>
      <c r="P54" s="120">
        <v>0</v>
      </c>
      <c r="Q54" s="120">
        <v>35.127837205304303</v>
      </c>
      <c r="R54" s="120">
        <v>13.260975922057</v>
      </c>
      <c r="S54" s="120">
        <v>0</v>
      </c>
      <c r="T54" s="120">
        <v>60.547773035979503</v>
      </c>
      <c r="U54" s="120">
        <v>18.782127619527799</v>
      </c>
      <c r="V54" s="120">
        <v>3.0214549862512201</v>
      </c>
      <c r="W54" s="120">
        <v>0.17579951338212199</v>
      </c>
      <c r="X54" s="120">
        <v>3.8714558530320198</v>
      </c>
      <c r="Y54" s="120">
        <v>0</v>
      </c>
      <c r="Z54" s="120">
        <v>0</v>
      </c>
      <c r="AA54" s="120">
        <v>420.22278747487201</v>
      </c>
      <c r="AB54" s="120">
        <v>0</v>
      </c>
      <c r="AC54" s="120">
        <v>0</v>
      </c>
      <c r="AD54" s="120">
        <v>0</v>
      </c>
      <c r="AE54" s="120">
        <v>29.670347396022301</v>
      </c>
      <c r="AF54" s="120">
        <v>0.89935592181159596</v>
      </c>
      <c r="AG54" s="120">
        <v>10.0479046772993</v>
      </c>
      <c r="AH54" s="120">
        <v>0</v>
      </c>
      <c r="AI54" s="120">
        <v>5.0211634065130299</v>
      </c>
      <c r="AJ54" s="120">
        <v>-15.726321629287501</v>
      </c>
      <c r="AK54" s="120">
        <v>2.3269016186861302</v>
      </c>
      <c r="AL54" s="120">
        <v>23.722808409345902</v>
      </c>
      <c r="AM54" s="120">
        <v>0</v>
      </c>
      <c r="AN54" s="120">
        <v>194.443860606329</v>
      </c>
      <c r="AO54" s="120">
        <v>0</v>
      </c>
      <c r="AP54" s="120">
        <v>0</v>
      </c>
      <c r="AQ54" s="120">
        <v>2.4633721879519302E-13</v>
      </c>
      <c r="AR54" s="120">
        <v>0</v>
      </c>
      <c r="AS54" s="120">
        <v>0</v>
      </c>
      <c r="AT54" s="121">
        <v>5.3946997878703504</v>
      </c>
    </row>
    <row r="55" spans="2:46" ht="12" customHeight="1" x14ac:dyDescent="0.25">
      <c r="B55" s="119" t="s">
        <v>44</v>
      </c>
      <c r="C55" s="120" t="s">
        <v>33</v>
      </c>
      <c r="D55" s="120" t="s">
        <v>45</v>
      </c>
      <c r="E55" s="120" t="s">
        <v>117</v>
      </c>
      <c r="F55" s="120" t="s">
        <v>25</v>
      </c>
      <c r="G55" s="120" t="s">
        <v>35</v>
      </c>
      <c r="H55" s="120" t="s">
        <v>102</v>
      </c>
      <c r="I55" s="120" t="s">
        <v>25</v>
      </c>
      <c r="J55" s="120">
        <v>264.8</v>
      </c>
      <c r="K55" s="120">
        <v>215.18</v>
      </c>
      <c r="L55" s="120">
        <v>3.70425925853892</v>
      </c>
      <c r="M55" s="120">
        <v>0.77374108090544602</v>
      </c>
      <c r="N55" s="120">
        <v>2.4220096051581099</v>
      </c>
      <c r="O55" s="120">
        <v>1.7655595982840399E-2</v>
      </c>
      <c r="P55" s="120">
        <v>0</v>
      </c>
      <c r="Q55" s="120">
        <v>35.127837205304303</v>
      </c>
      <c r="R55" s="120">
        <v>13.260975922057</v>
      </c>
      <c r="S55" s="120">
        <v>0</v>
      </c>
      <c r="T55" s="120">
        <v>20.182553160598001</v>
      </c>
      <c r="U55" s="120">
        <v>6.2607092065092802</v>
      </c>
      <c r="V55" s="120">
        <v>1.00717048594106</v>
      </c>
      <c r="W55" s="120">
        <v>5.8599837794040703E-2</v>
      </c>
      <c r="X55" s="120">
        <v>1.29048528434401</v>
      </c>
      <c r="Y55" s="120">
        <v>0</v>
      </c>
      <c r="Z55" s="120">
        <v>0</v>
      </c>
      <c r="AA55" s="120">
        <v>140.07422801065101</v>
      </c>
      <c r="AB55" s="120">
        <v>0</v>
      </c>
      <c r="AC55" s="120">
        <v>0</v>
      </c>
      <c r="AD55" s="120">
        <v>0</v>
      </c>
      <c r="AE55" s="120">
        <v>29.670347396022301</v>
      </c>
      <c r="AF55" s="120">
        <v>0.89935592181159596</v>
      </c>
      <c r="AG55" s="120">
        <v>10.0479046772993</v>
      </c>
      <c r="AH55" s="120">
        <v>0</v>
      </c>
      <c r="AI55" s="120">
        <v>5.0211634065130299</v>
      </c>
      <c r="AJ55" s="120">
        <v>-15.726321629287501</v>
      </c>
      <c r="AK55" s="120">
        <v>2.3269016186861302</v>
      </c>
      <c r="AL55" s="120">
        <v>23.722808409345902</v>
      </c>
      <c r="AM55" s="120">
        <v>0</v>
      </c>
      <c r="AN55" s="120">
        <v>194.443860606329</v>
      </c>
      <c r="AO55" s="120">
        <v>0</v>
      </c>
      <c r="AP55" s="120">
        <v>0</v>
      </c>
      <c r="AQ55" s="120">
        <v>2.4633721879519302E-13</v>
      </c>
      <c r="AR55" s="120">
        <v>0</v>
      </c>
      <c r="AS55" s="120">
        <v>0</v>
      </c>
      <c r="AT55" s="121">
        <v>5.3946997878703504</v>
      </c>
    </row>
    <row r="56" spans="2:46" ht="12" customHeight="1" x14ac:dyDescent="0.25">
      <c r="B56" s="119" t="s">
        <v>44</v>
      </c>
      <c r="C56" s="120" t="s">
        <v>23</v>
      </c>
      <c r="D56" s="120" t="s">
        <v>45</v>
      </c>
      <c r="E56" s="120" t="s">
        <v>116</v>
      </c>
      <c r="F56" s="120" t="s">
        <v>25</v>
      </c>
      <c r="G56" s="120" t="s">
        <v>25</v>
      </c>
      <c r="H56" s="120" t="s">
        <v>102</v>
      </c>
      <c r="I56" s="120" t="s">
        <v>25</v>
      </c>
      <c r="J56" s="120">
        <v>356.34</v>
      </c>
      <c r="K56" s="120">
        <v>231.78</v>
      </c>
      <c r="L56" s="120">
        <v>3.7847866337245399</v>
      </c>
      <c r="M56" s="120">
        <v>0.79056153918599903</v>
      </c>
      <c r="N56" s="120">
        <v>3.2778538839945299</v>
      </c>
      <c r="O56" s="120">
        <v>1.8039413286815201E-2</v>
      </c>
      <c r="P56" s="120">
        <v>0</v>
      </c>
      <c r="Q56" s="120">
        <v>35.891485840202201</v>
      </c>
      <c r="R56" s="120">
        <v>13.5492580073191</v>
      </c>
      <c r="S56" s="120">
        <v>0</v>
      </c>
      <c r="T56" s="120">
        <v>30.7781683129679</v>
      </c>
      <c r="U56" s="120">
        <v>9.5474369134115697</v>
      </c>
      <c r="V56" s="120">
        <v>1.5358953995775999</v>
      </c>
      <c r="W56" s="120">
        <v>8.9338430530744695E-2</v>
      </c>
      <c r="X56" s="120">
        <v>1.9679761784587799</v>
      </c>
      <c r="Y56" s="120">
        <v>0</v>
      </c>
      <c r="Z56" s="120">
        <v>0</v>
      </c>
      <c r="AA56" s="120">
        <v>213.61101833136701</v>
      </c>
      <c r="AB56" s="120">
        <v>0</v>
      </c>
      <c r="AC56" s="120">
        <v>0</v>
      </c>
      <c r="AD56" s="120">
        <v>0</v>
      </c>
      <c r="AE56" s="120">
        <v>30.3153549481098</v>
      </c>
      <c r="AF56" s="120">
        <v>0.91890713750315201</v>
      </c>
      <c r="AG56" s="120">
        <v>10.266337387675399</v>
      </c>
      <c r="AH56" s="120">
        <v>0</v>
      </c>
      <c r="AI56" s="120">
        <v>5.1303191327415698</v>
      </c>
      <c r="AJ56" s="120">
        <v>-16.068198186446001</v>
      </c>
      <c r="AK56" s="120">
        <v>2.3774864364836499</v>
      </c>
      <c r="AL56" s="120">
        <v>24.238521635636001</v>
      </c>
      <c r="AM56" s="120">
        <v>0</v>
      </c>
      <c r="AN56" s="120">
        <v>210.59115511755101</v>
      </c>
      <c r="AO56" s="120">
        <v>0</v>
      </c>
      <c r="AP56" s="120">
        <v>0</v>
      </c>
      <c r="AQ56" s="120">
        <v>2.5169237572552299E-13</v>
      </c>
      <c r="AR56" s="120">
        <v>0</v>
      </c>
      <c r="AS56" s="120">
        <v>0</v>
      </c>
      <c r="AT56" s="121">
        <v>5.5119758702153501</v>
      </c>
    </row>
    <row r="57" spans="2:46" ht="12" customHeight="1" x14ac:dyDescent="0.25">
      <c r="B57" s="119" t="s">
        <v>44</v>
      </c>
      <c r="C57" s="120" t="s">
        <v>23</v>
      </c>
      <c r="D57" s="120" t="s">
        <v>45</v>
      </c>
      <c r="E57" s="120" t="s">
        <v>25</v>
      </c>
      <c r="F57" s="120" t="s">
        <v>25</v>
      </c>
      <c r="G57" s="120" t="s">
        <v>25</v>
      </c>
      <c r="H57" s="120" t="s">
        <v>102</v>
      </c>
      <c r="I57" s="120" t="s">
        <v>25</v>
      </c>
      <c r="J57" s="120">
        <v>356.34</v>
      </c>
      <c r="K57" s="120">
        <v>231.78</v>
      </c>
      <c r="L57" s="120">
        <v>3.7847866337245399</v>
      </c>
      <c r="M57" s="120">
        <v>0.79056153918599903</v>
      </c>
      <c r="N57" s="120">
        <v>3.2778538839945299</v>
      </c>
      <c r="O57" s="120">
        <v>1.8039413286815201E-2</v>
      </c>
      <c r="P57" s="120">
        <v>0</v>
      </c>
      <c r="Q57" s="120">
        <v>35.891485840202201</v>
      </c>
      <c r="R57" s="120">
        <v>13.5492580073191</v>
      </c>
      <c r="S57" s="120">
        <v>0</v>
      </c>
      <c r="T57" s="120">
        <v>30.7781683129679</v>
      </c>
      <c r="U57" s="120">
        <v>9.5474369134115697</v>
      </c>
      <c r="V57" s="120">
        <v>1.5358953995775999</v>
      </c>
      <c r="W57" s="120">
        <v>8.9338430530744695E-2</v>
      </c>
      <c r="X57" s="120">
        <v>1.9679761784587799</v>
      </c>
      <c r="Y57" s="120">
        <v>0</v>
      </c>
      <c r="Z57" s="120">
        <v>0</v>
      </c>
      <c r="AA57" s="120">
        <v>213.61101833136701</v>
      </c>
      <c r="AB57" s="120">
        <v>0</v>
      </c>
      <c r="AC57" s="120">
        <v>0</v>
      </c>
      <c r="AD57" s="120">
        <v>0</v>
      </c>
      <c r="AE57" s="120">
        <v>30.3153549481098</v>
      </c>
      <c r="AF57" s="120">
        <v>0.91890713750315201</v>
      </c>
      <c r="AG57" s="120">
        <v>10.266337387675399</v>
      </c>
      <c r="AH57" s="120">
        <v>0</v>
      </c>
      <c r="AI57" s="120">
        <v>5.1303191327415698</v>
      </c>
      <c r="AJ57" s="120">
        <v>-16.068198186446001</v>
      </c>
      <c r="AK57" s="120">
        <v>2.3774864364836499</v>
      </c>
      <c r="AL57" s="120">
        <v>24.238521635636001</v>
      </c>
      <c r="AM57" s="120">
        <v>0</v>
      </c>
      <c r="AN57" s="120">
        <v>210.59115511755101</v>
      </c>
      <c r="AO57" s="120">
        <v>0</v>
      </c>
      <c r="AP57" s="120">
        <v>0</v>
      </c>
      <c r="AQ57" s="120">
        <v>2.5169237572552299E-13</v>
      </c>
      <c r="AR57" s="120">
        <v>0</v>
      </c>
      <c r="AS57" s="120">
        <v>0</v>
      </c>
      <c r="AT57" s="121">
        <v>5.5119758702153501</v>
      </c>
    </row>
    <row r="58" spans="2:46" ht="12" customHeight="1" x14ac:dyDescent="0.25">
      <c r="B58" s="119" t="s">
        <v>44</v>
      </c>
      <c r="C58" s="120" t="s">
        <v>23</v>
      </c>
      <c r="D58" s="120" t="s">
        <v>45</v>
      </c>
      <c r="E58" s="120" t="s">
        <v>117</v>
      </c>
      <c r="F58" s="120" t="s">
        <v>25</v>
      </c>
      <c r="G58" s="120" t="s">
        <v>25</v>
      </c>
      <c r="H58" s="120" t="s">
        <v>102</v>
      </c>
      <c r="I58" s="120" t="s">
        <v>25</v>
      </c>
      <c r="J58" s="120">
        <v>348.76</v>
      </c>
      <c r="K58" s="120">
        <v>226.85</v>
      </c>
      <c r="L58" s="120">
        <v>3.70425925853892</v>
      </c>
      <c r="M58" s="120">
        <v>0.77374108090544602</v>
      </c>
      <c r="N58" s="120">
        <v>3.20811231199465</v>
      </c>
      <c r="O58" s="120">
        <v>1.7655595982840399E-2</v>
      </c>
      <c r="P58" s="120">
        <v>0</v>
      </c>
      <c r="Q58" s="120">
        <v>35.127837205304303</v>
      </c>
      <c r="R58" s="120">
        <v>13.260975922057</v>
      </c>
      <c r="S58" s="120">
        <v>0</v>
      </c>
      <c r="T58" s="120">
        <v>30.1233136680111</v>
      </c>
      <c r="U58" s="120">
        <v>9.3442999578070705</v>
      </c>
      <c r="V58" s="120">
        <v>1.50321677405467</v>
      </c>
      <c r="W58" s="120">
        <v>8.7437612859877806E-2</v>
      </c>
      <c r="X58" s="120">
        <v>1.9261043448745501</v>
      </c>
      <c r="Y58" s="120">
        <v>0</v>
      </c>
      <c r="Z58" s="120">
        <v>0</v>
      </c>
      <c r="AA58" s="120">
        <v>209.06610304772099</v>
      </c>
      <c r="AB58" s="120">
        <v>0</v>
      </c>
      <c r="AC58" s="120">
        <v>0</v>
      </c>
      <c r="AD58" s="120">
        <v>0</v>
      </c>
      <c r="AE58" s="120">
        <v>29.670347396022301</v>
      </c>
      <c r="AF58" s="120">
        <v>0.89935592181159596</v>
      </c>
      <c r="AG58" s="120">
        <v>10.0479046772993</v>
      </c>
      <c r="AH58" s="120">
        <v>0</v>
      </c>
      <c r="AI58" s="120">
        <v>5.0211634065130299</v>
      </c>
      <c r="AJ58" s="120">
        <v>-15.726321629287501</v>
      </c>
      <c r="AK58" s="120">
        <v>2.3269016186861302</v>
      </c>
      <c r="AL58" s="120">
        <v>23.722808409345902</v>
      </c>
      <c r="AM58" s="120">
        <v>0</v>
      </c>
      <c r="AN58" s="120">
        <v>206.110492242709</v>
      </c>
      <c r="AO58" s="120">
        <v>0</v>
      </c>
      <c r="AP58" s="120">
        <v>0</v>
      </c>
      <c r="AQ58" s="120">
        <v>2.4633721879519302E-13</v>
      </c>
      <c r="AR58" s="120">
        <v>0</v>
      </c>
      <c r="AS58" s="120">
        <v>0</v>
      </c>
      <c r="AT58" s="121">
        <v>5.3946997878703504</v>
      </c>
    </row>
    <row r="59" spans="2:46" ht="12" customHeight="1" x14ac:dyDescent="0.25">
      <c r="B59" s="119" t="s">
        <v>44</v>
      </c>
      <c r="C59" s="120" t="s">
        <v>115</v>
      </c>
      <c r="D59" s="120" t="s">
        <v>45</v>
      </c>
      <c r="E59" s="120" t="s">
        <v>116</v>
      </c>
      <c r="F59" s="120" t="s">
        <v>25</v>
      </c>
      <c r="G59" s="120" t="s">
        <v>25</v>
      </c>
      <c r="H59" s="120" t="s">
        <v>102</v>
      </c>
      <c r="I59" s="120" t="s">
        <v>25</v>
      </c>
      <c r="J59" s="120">
        <v>356.34</v>
      </c>
      <c r="K59" s="120">
        <v>231.78</v>
      </c>
      <c r="L59" s="120">
        <v>3.7847866337245399</v>
      </c>
      <c r="M59" s="120">
        <v>0.79056153918599903</v>
      </c>
      <c r="N59" s="120">
        <v>3.2778538839945299</v>
      </c>
      <c r="O59" s="120">
        <v>1.8039413286815201E-2</v>
      </c>
      <c r="P59" s="120">
        <v>0</v>
      </c>
      <c r="Q59" s="120">
        <v>35.891485840202201</v>
      </c>
      <c r="R59" s="120">
        <v>13.5492580073191</v>
      </c>
      <c r="S59" s="120">
        <v>0</v>
      </c>
      <c r="T59" s="120">
        <v>30.7781683129679</v>
      </c>
      <c r="U59" s="120">
        <v>9.5474369134115697</v>
      </c>
      <c r="V59" s="120">
        <v>1.5358953995775999</v>
      </c>
      <c r="W59" s="120">
        <v>8.9338430530744695E-2</v>
      </c>
      <c r="X59" s="120">
        <v>1.9679761784587799</v>
      </c>
      <c r="Y59" s="120">
        <v>0</v>
      </c>
      <c r="Z59" s="120">
        <v>0</v>
      </c>
      <c r="AA59" s="120">
        <v>213.61101833136701</v>
      </c>
      <c r="AB59" s="120">
        <v>0</v>
      </c>
      <c r="AC59" s="120">
        <v>0</v>
      </c>
      <c r="AD59" s="120">
        <v>0</v>
      </c>
      <c r="AE59" s="120">
        <v>30.3153549481098</v>
      </c>
      <c r="AF59" s="120">
        <v>0.91890713750315201</v>
      </c>
      <c r="AG59" s="120">
        <v>10.266337387675399</v>
      </c>
      <c r="AH59" s="120">
        <v>0</v>
      </c>
      <c r="AI59" s="120">
        <v>5.1303191327415698</v>
      </c>
      <c r="AJ59" s="120">
        <v>-16.068198186446001</v>
      </c>
      <c r="AK59" s="120">
        <v>2.3774864364836499</v>
      </c>
      <c r="AL59" s="120">
        <v>24.238521635636001</v>
      </c>
      <c r="AM59" s="120">
        <v>0</v>
      </c>
      <c r="AN59" s="120">
        <v>210.59115511755101</v>
      </c>
      <c r="AO59" s="120">
        <v>0</v>
      </c>
      <c r="AP59" s="120">
        <v>0</v>
      </c>
      <c r="AQ59" s="120">
        <v>2.5169237572552299E-13</v>
      </c>
      <c r="AR59" s="120">
        <v>0</v>
      </c>
      <c r="AS59" s="120">
        <v>0</v>
      </c>
      <c r="AT59" s="121">
        <v>5.5119758702153501</v>
      </c>
    </row>
    <row r="60" spans="2:46" ht="12" customHeight="1" x14ac:dyDescent="0.25">
      <c r="B60" s="119" t="s">
        <v>44</v>
      </c>
      <c r="C60" s="120" t="s">
        <v>115</v>
      </c>
      <c r="D60" s="120" t="s">
        <v>45</v>
      </c>
      <c r="E60" s="120" t="s">
        <v>25</v>
      </c>
      <c r="F60" s="120" t="s">
        <v>25</v>
      </c>
      <c r="G60" s="120" t="s">
        <v>25</v>
      </c>
      <c r="H60" s="120" t="s">
        <v>102</v>
      </c>
      <c r="I60" s="120" t="s">
        <v>25</v>
      </c>
      <c r="J60" s="120">
        <v>356.34</v>
      </c>
      <c r="K60" s="120">
        <v>231.78</v>
      </c>
      <c r="L60" s="120">
        <v>3.7847866337245399</v>
      </c>
      <c r="M60" s="120">
        <v>0.79056153918599903</v>
      </c>
      <c r="N60" s="120">
        <v>3.2778538839945299</v>
      </c>
      <c r="O60" s="120">
        <v>1.8039413286815201E-2</v>
      </c>
      <c r="P60" s="120">
        <v>0</v>
      </c>
      <c r="Q60" s="120">
        <v>35.891485840202201</v>
      </c>
      <c r="R60" s="120">
        <v>13.5492580073191</v>
      </c>
      <c r="S60" s="120">
        <v>0</v>
      </c>
      <c r="T60" s="120">
        <v>30.7781683129679</v>
      </c>
      <c r="U60" s="120">
        <v>9.5474369134115697</v>
      </c>
      <c r="V60" s="120">
        <v>1.5358953995775999</v>
      </c>
      <c r="W60" s="120">
        <v>8.9338430530744695E-2</v>
      </c>
      <c r="X60" s="120">
        <v>1.9679761784587799</v>
      </c>
      <c r="Y60" s="120">
        <v>0</v>
      </c>
      <c r="Z60" s="120">
        <v>0</v>
      </c>
      <c r="AA60" s="120">
        <v>213.61101833136701</v>
      </c>
      <c r="AB60" s="120">
        <v>0</v>
      </c>
      <c r="AC60" s="120">
        <v>0</v>
      </c>
      <c r="AD60" s="120">
        <v>0</v>
      </c>
      <c r="AE60" s="120">
        <v>30.3153549481098</v>
      </c>
      <c r="AF60" s="120">
        <v>0.91890713750315201</v>
      </c>
      <c r="AG60" s="120">
        <v>10.266337387675399</v>
      </c>
      <c r="AH60" s="120">
        <v>0</v>
      </c>
      <c r="AI60" s="120">
        <v>5.1303191327415698</v>
      </c>
      <c r="AJ60" s="120">
        <v>-16.068198186446001</v>
      </c>
      <c r="AK60" s="120">
        <v>2.3774864364836499</v>
      </c>
      <c r="AL60" s="120">
        <v>24.238521635636001</v>
      </c>
      <c r="AM60" s="120">
        <v>0</v>
      </c>
      <c r="AN60" s="120">
        <v>210.59115511755101</v>
      </c>
      <c r="AO60" s="120">
        <v>0</v>
      </c>
      <c r="AP60" s="120">
        <v>0</v>
      </c>
      <c r="AQ60" s="120">
        <v>2.5169237572552299E-13</v>
      </c>
      <c r="AR60" s="120">
        <v>0</v>
      </c>
      <c r="AS60" s="120">
        <v>0</v>
      </c>
      <c r="AT60" s="121">
        <v>5.5119758702153501</v>
      </c>
    </row>
    <row r="61" spans="2:46" ht="12" customHeight="1" x14ac:dyDescent="0.25">
      <c r="B61" s="119" t="s">
        <v>44</v>
      </c>
      <c r="C61" s="120" t="s">
        <v>115</v>
      </c>
      <c r="D61" s="120" t="s">
        <v>45</v>
      </c>
      <c r="E61" s="120" t="s">
        <v>117</v>
      </c>
      <c r="F61" s="120" t="s">
        <v>25</v>
      </c>
      <c r="G61" s="120" t="s">
        <v>25</v>
      </c>
      <c r="H61" s="120" t="s">
        <v>102</v>
      </c>
      <c r="I61" s="120" t="s">
        <v>25</v>
      </c>
      <c r="J61" s="120">
        <v>348.76</v>
      </c>
      <c r="K61" s="120">
        <v>226.85</v>
      </c>
      <c r="L61" s="120">
        <v>3.70425925853892</v>
      </c>
      <c r="M61" s="120">
        <v>0.77374108090544602</v>
      </c>
      <c r="N61" s="120">
        <v>3.20811231199465</v>
      </c>
      <c r="O61" s="120">
        <v>1.7655595982840399E-2</v>
      </c>
      <c r="P61" s="120">
        <v>0</v>
      </c>
      <c r="Q61" s="120">
        <v>35.127837205304303</v>
      </c>
      <c r="R61" s="120">
        <v>13.260975922057</v>
      </c>
      <c r="S61" s="120">
        <v>0</v>
      </c>
      <c r="T61" s="120">
        <v>30.1233136680111</v>
      </c>
      <c r="U61" s="120">
        <v>9.3442999578070705</v>
      </c>
      <c r="V61" s="120">
        <v>1.50321677405467</v>
      </c>
      <c r="W61" s="120">
        <v>8.7437612859877806E-2</v>
      </c>
      <c r="X61" s="120">
        <v>1.9261043448745501</v>
      </c>
      <c r="Y61" s="120">
        <v>0</v>
      </c>
      <c r="Z61" s="120">
        <v>0</v>
      </c>
      <c r="AA61" s="120">
        <v>209.06610304772099</v>
      </c>
      <c r="AB61" s="120">
        <v>0</v>
      </c>
      <c r="AC61" s="120">
        <v>0</v>
      </c>
      <c r="AD61" s="120">
        <v>0</v>
      </c>
      <c r="AE61" s="120">
        <v>29.670347396022301</v>
      </c>
      <c r="AF61" s="120">
        <v>0.89935592181159596</v>
      </c>
      <c r="AG61" s="120">
        <v>10.0479046772993</v>
      </c>
      <c r="AH61" s="120">
        <v>0</v>
      </c>
      <c r="AI61" s="120">
        <v>5.0211634065130299</v>
      </c>
      <c r="AJ61" s="120">
        <v>-15.726321629287501</v>
      </c>
      <c r="AK61" s="120">
        <v>2.3269016186861302</v>
      </c>
      <c r="AL61" s="120">
        <v>23.722808409345902</v>
      </c>
      <c r="AM61" s="120">
        <v>0</v>
      </c>
      <c r="AN61" s="120">
        <v>206.110492242709</v>
      </c>
      <c r="AO61" s="120">
        <v>0</v>
      </c>
      <c r="AP61" s="120">
        <v>0</v>
      </c>
      <c r="AQ61" s="120">
        <v>2.4633721879519302E-13</v>
      </c>
      <c r="AR61" s="120">
        <v>0</v>
      </c>
      <c r="AS61" s="120">
        <v>0</v>
      </c>
      <c r="AT61" s="121">
        <v>5.3946997878703504</v>
      </c>
    </row>
    <row r="62" spans="2:46" ht="12" customHeight="1" x14ac:dyDescent="0.25">
      <c r="B62" s="119" t="s">
        <v>37</v>
      </c>
      <c r="C62" s="120" t="s">
        <v>33</v>
      </c>
      <c r="D62" s="120" t="s">
        <v>25</v>
      </c>
      <c r="E62" s="120" t="s">
        <v>25</v>
      </c>
      <c r="F62" s="120" t="s">
        <v>25</v>
      </c>
      <c r="G62" s="120" t="s">
        <v>34</v>
      </c>
      <c r="H62" s="120" t="s">
        <v>102</v>
      </c>
      <c r="I62" s="120" t="s">
        <v>25</v>
      </c>
      <c r="J62" s="120">
        <v>1042.82</v>
      </c>
      <c r="K62" s="120">
        <v>386.07</v>
      </c>
      <c r="L62" s="120">
        <v>4.0263687592814303</v>
      </c>
      <c r="M62" s="120">
        <v>0.84102291402765805</v>
      </c>
      <c r="N62" s="120">
        <v>9.7013220316987692</v>
      </c>
      <c r="O62" s="120">
        <v>1.9190865198739599E-2</v>
      </c>
      <c r="P62" s="120">
        <v>0</v>
      </c>
      <c r="Q62" s="120">
        <v>38.182431744895901</v>
      </c>
      <c r="R62" s="120">
        <v>14.414104263105401</v>
      </c>
      <c r="S62" s="120">
        <v>0</v>
      </c>
      <c r="T62" s="120">
        <v>111.325067471417</v>
      </c>
      <c r="U62" s="120">
        <v>34.533384752687503</v>
      </c>
      <c r="V62" s="120">
        <v>5.5553295096116404</v>
      </c>
      <c r="W62" s="120">
        <v>0.32309881762727199</v>
      </c>
      <c r="X62" s="120">
        <v>7.1182117093189996</v>
      </c>
      <c r="Y62" s="120">
        <v>0</v>
      </c>
      <c r="Z62" s="120">
        <v>0</v>
      </c>
      <c r="AA62" s="120">
        <v>772.63550826947505</v>
      </c>
      <c r="AB62" s="120">
        <v>0</v>
      </c>
      <c r="AC62" s="120">
        <v>0</v>
      </c>
      <c r="AD62" s="120">
        <v>0</v>
      </c>
      <c r="AE62" s="120">
        <v>32.250377604372098</v>
      </c>
      <c r="AF62" s="120">
        <v>0.97756078457782103</v>
      </c>
      <c r="AG62" s="120">
        <v>10.921635518803599</v>
      </c>
      <c r="AH62" s="120">
        <v>0</v>
      </c>
      <c r="AI62" s="120">
        <v>5.4577863114272098</v>
      </c>
      <c r="AJ62" s="120">
        <v>-17.093827857921202</v>
      </c>
      <c r="AK62" s="120">
        <v>2.52924088987622</v>
      </c>
      <c r="AL62" s="120">
        <v>25.785661314506399</v>
      </c>
      <c r="AM62" s="120">
        <v>0</v>
      </c>
      <c r="AN62" s="120">
        <v>363.52547852487697</v>
      </c>
      <c r="AO62" s="120">
        <v>0</v>
      </c>
      <c r="AP62" s="120">
        <v>0</v>
      </c>
      <c r="AQ62" s="120">
        <v>2.6775784651651402E-13</v>
      </c>
      <c r="AR62" s="120">
        <v>0</v>
      </c>
      <c r="AS62" s="120">
        <v>0</v>
      </c>
      <c r="AT62" s="121">
        <v>5.8638041172503801</v>
      </c>
    </row>
    <row r="63" spans="2:46" ht="12" customHeight="1" x14ac:dyDescent="0.25">
      <c r="B63" s="119" t="s">
        <v>37</v>
      </c>
      <c r="C63" s="120" t="s">
        <v>33</v>
      </c>
      <c r="D63" s="120" t="s">
        <v>25</v>
      </c>
      <c r="E63" s="120" t="s">
        <v>25</v>
      </c>
      <c r="F63" s="120" t="s">
        <v>25</v>
      </c>
      <c r="G63" s="120" t="s">
        <v>36</v>
      </c>
      <c r="H63" s="120" t="s">
        <v>102</v>
      </c>
      <c r="I63" s="120" t="s">
        <v>25</v>
      </c>
      <c r="J63" s="120">
        <v>666.71</v>
      </c>
      <c r="K63" s="120">
        <v>233.89</v>
      </c>
      <c r="L63" s="120">
        <v>4.0263687592814303</v>
      </c>
      <c r="M63" s="120">
        <v>0.84102291402765805</v>
      </c>
      <c r="N63" s="120">
        <v>6.1799182069239897</v>
      </c>
      <c r="O63" s="120">
        <v>1.9190865198739599E-2</v>
      </c>
      <c r="P63" s="120">
        <v>0</v>
      </c>
      <c r="Q63" s="120">
        <v>38.182431744895901</v>
      </c>
      <c r="R63" s="120">
        <v>14.414104263105401</v>
      </c>
      <c r="S63" s="120">
        <v>0</v>
      </c>
      <c r="T63" s="120">
        <v>66.795040482850396</v>
      </c>
      <c r="U63" s="120">
        <v>20.720082001573601</v>
      </c>
      <c r="V63" s="120">
        <v>3.3332345350530499</v>
      </c>
      <c r="W63" s="120">
        <v>0.19389947699646601</v>
      </c>
      <c r="X63" s="120">
        <v>4.27086667704432</v>
      </c>
      <c r="Y63" s="120">
        <v>0</v>
      </c>
      <c r="Z63" s="120">
        <v>0</v>
      </c>
      <c r="AA63" s="120">
        <v>463.58134993686701</v>
      </c>
      <c r="AB63" s="120">
        <v>0</v>
      </c>
      <c r="AC63" s="120">
        <v>0</v>
      </c>
      <c r="AD63" s="120">
        <v>0</v>
      </c>
      <c r="AE63" s="120">
        <v>32.250377604372098</v>
      </c>
      <c r="AF63" s="120">
        <v>0.97756078457782103</v>
      </c>
      <c r="AG63" s="120">
        <v>10.921635518803599</v>
      </c>
      <c r="AH63" s="120">
        <v>0</v>
      </c>
      <c r="AI63" s="120">
        <v>5.4577863114272098</v>
      </c>
      <c r="AJ63" s="120">
        <v>-17.093827857921202</v>
      </c>
      <c r="AK63" s="120">
        <v>2.52924088987622</v>
      </c>
      <c r="AL63" s="120">
        <v>25.785661314506399</v>
      </c>
      <c r="AM63" s="120">
        <v>0</v>
      </c>
      <c r="AN63" s="120">
        <v>211.352022398184</v>
      </c>
      <c r="AO63" s="120">
        <v>0</v>
      </c>
      <c r="AP63" s="120">
        <v>0</v>
      </c>
      <c r="AQ63" s="120">
        <v>2.6775784651651402E-13</v>
      </c>
      <c r="AR63" s="120">
        <v>0</v>
      </c>
      <c r="AS63" s="120">
        <v>0</v>
      </c>
      <c r="AT63" s="121">
        <v>5.8638041172503801</v>
      </c>
    </row>
    <row r="64" spans="2:46" ht="12" customHeight="1" x14ac:dyDescent="0.25">
      <c r="B64" s="119" t="s">
        <v>37</v>
      </c>
      <c r="C64" s="120" t="s">
        <v>33</v>
      </c>
      <c r="D64" s="120" t="s">
        <v>25</v>
      </c>
      <c r="E64" s="120" t="s">
        <v>25</v>
      </c>
      <c r="F64" s="120" t="s">
        <v>25</v>
      </c>
      <c r="G64" s="120" t="s">
        <v>35</v>
      </c>
      <c r="H64" s="120" t="s">
        <v>102</v>
      </c>
      <c r="I64" s="120" t="s">
        <v>25</v>
      </c>
      <c r="J64" s="120">
        <v>290.58999999999997</v>
      </c>
      <c r="K64" s="120">
        <v>233.89</v>
      </c>
      <c r="L64" s="120">
        <v>4.0263687592814303</v>
      </c>
      <c r="M64" s="120">
        <v>0.84102291402765805</v>
      </c>
      <c r="N64" s="120">
        <v>2.6585111645490498</v>
      </c>
      <c r="O64" s="120">
        <v>1.9190865198739599E-2</v>
      </c>
      <c r="P64" s="120">
        <v>0</v>
      </c>
      <c r="Q64" s="120">
        <v>38.182431744895901</v>
      </c>
      <c r="R64" s="120">
        <v>14.414104263105401</v>
      </c>
      <c r="S64" s="120">
        <v>0</v>
      </c>
      <c r="T64" s="120">
        <v>22.265013494283501</v>
      </c>
      <c r="U64" s="120">
        <v>6.9066513755569403</v>
      </c>
      <c r="V64" s="120">
        <v>1.11107817835102</v>
      </c>
      <c r="W64" s="120">
        <v>6.4599670315402896E-2</v>
      </c>
      <c r="X64" s="120">
        <v>1.4236222256814399</v>
      </c>
      <c r="Y64" s="120">
        <v>0</v>
      </c>
      <c r="Z64" s="120">
        <v>0</v>
      </c>
      <c r="AA64" s="120">
        <v>154.52707916630399</v>
      </c>
      <c r="AB64" s="120">
        <v>0</v>
      </c>
      <c r="AC64" s="120">
        <v>0</v>
      </c>
      <c r="AD64" s="120">
        <v>0</v>
      </c>
      <c r="AE64" s="120">
        <v>32.250377604372098</v>
      </c>
      <c r="AF64" s="120">
        <v>0.97756078457782103</v>
      </c>
      <c r="AG64" s="120">
        <v>10.921635518803599</v>
      </c>
      <c r="AH64" s="120">
        <v>0</v>
      </c>
      <c r="AI64" s="120">
        <v>5.4577863114272098</v>
      </c>
      <c r="AJ64" s="120">
        <v>-17.093827857921202</v>
      </c>
      <c r="AK64" s="120">
        <v>2.52924088987622</v>
      </c>
      <c r="AL64" s="120">
        <v>25.785661314506399</v>
      </c>
      <c r="AM64" s="120">
        <v>0</v>
      </c>
      <c r="AN64" s="120">
        <v>211.352022398184</v>
      </c>
      <c r="AO64" s="120">
        <v>0</v>
      </c>
      <c r="AP64" s="120">
        <v>0</v>
      </c>
      <c r="AQ64" s="120">
        <v>2.6775784651651402E-13</v>
      </c>
      <c r="AR64" s="120">
        <v>0</v>
      </c>
      <c r="AS64" s="120">
        <v>0</v>
      </c>
      <c r="AT64" s="121">
        <v>5.8638041172503801</v>
      </c>
    </row>
    <row r="65" spans="2:46" ht="12" customHeight="1" x14ac:dyDescent="0.25">
      <c r="B65" s="119" t="s">
        <v>37</v>
      </c>
      <c r="C65" s="120" t="s">
        <v>23</v>
      </c>
      <c r="D65" s="120" t="s">
        <v>25</v>
      </c>
      <c r="E65" s="120" t="s">
        <v>25</v>
      </c>
      <c r="F65" s="120" t="s">
        <v>25</v>
      </c>
      <c r="G65" s="120" t="s">
        <v>25</v>
      </c>
      <c r="H65" s="120" t="s">
        <v>102</v>
      </c>
      <c r="I65" s="120" t="s">
        <v>25</v>
      </c>
      <c r="J65" s="120">
        <v>379.09</v>
      </c>
      <c r="K65" s="120">
        <v>246.58</v>
      </c>
      <c r="L65" s="120">
        <v>4.0263687592814303</v>
      </c>
      <c r="M65" s="120">
        <v>0.84102291402765805</v>
      </c>
      <c r="N65" s="120">
        <v>3.4870785999941898</v>
      </c>
      <c r="O65" s="120">
        <v>1.9190865198739599E-2</v>
      </c>
      <c r="P65" s="120">
        <v>0</v>
      </c>
      <c r="Q65" s="120">
        <v>38.182431744895901</v>
      </c>
      <c r="R65" s="120">
        <v>14.414104263105401</v>
      </c>
      <c r="S65" s="120">
        <v>0</v>
      </c>
      <c r="T65" s="120">
        <v>32.742732247838198</v>
      </c>
      <c r="U65" s="120">
        <v>10.1568477802251</v>
      </c>
      <c r="V65" s="120">
        <v>1.63393127614638</v>
      </c>
      <c r="W65" s="120">
        <v>9.5040883543345403E-2</v>
      </c>
      <c r="X65" s="120">
        <v>2.0935916792114702</v>
      </c>
      <c r="Y65" s="120">
        <v>0</v>
      </c>
      <c r="Z65" s="120">
        <v>0</v>
      </c>
      <c r="AA65" s="120">
        <v>227.245764182306</v>
      </c>
      <c r="AB65" s="120">
        <v>0</v>
      </c>
      <c r="AC65" s="120">
        <v>0</v>
      </c>
      <c r="AD65" s="120">
        <v>0</v>
      </c>
      <c r="AE65" s="120">
        <v>32.250377604372098</v>
      </c>
      <c r="AF65" s="120">
        <v>0.97756078457782103</v>
      </c>
      <c r="AG65" s="120">
        <v>10.921635518803599</v>
      </c>
      <c r="AH65" s="120">
        <v>0</v>
      </c>
      <c r="AI65" s="120">
        <v>5.4577863114272098</v>
      </c>
      <c r="AJ65" s="120">
        <v>-17.093827857921202</v>
      </c>
      <c r="AK65" s="120">
        <v>2.52924088987622</v>
      </c>
      <c r="AL65" s="120">
        <v>25.785661314506399</v>
      </c>
      <c r="AM65" s="120">
        <v>0</v>
      </c>
      <c r="AN65" s="120">
        <v>224.033143742075</v>
      </c>
      <c r="AO65" s="120">
        <v>0</v>
      </c>
      <c r="AP65" s="120">
        <v>0</v>
      </c>
      <c r="AQ65" s="120">
        <v>2.6775784651651402E-13</v>
      </c>
      <c r="AR65" s="120">
        <v>0</v>
      </c>
      <c r="AS65" s="120">
        <v>0</v>
      </c>
      <c r="AT65" s="121">
        <v>5.8638041172503801</v>
      </c>
    </row>
    <row r="66" spans="2:46" ht="12" customHeight="1" x14ac:dyDescent="0.25">
      <c r="B66" s="119" t="s">
        <v>37</v>
      </c>
      <c r="C66" s="120" t="s">
        <v>115</v>
      </c>
      <c r="D66" s="120" t="s">
        <v>25</v>
      </c>
      <c r="E66" s="120" t="s">
        <v>25</v>
      </c>
      <c r="F66" s="120" t="s">
        <v>25</v>
      </c>
      <c r="G66" s="120" t="s">
        <v>25</v>
      </c>
      <c r="H66" s="120" t="s">
        <v>102</v>
      </c>
      <c r="I66" s="120" t="s">
        <v>25</v>
      </c>
      <c r="J66" s="120">
        <v>379.09</v>
      </c>
      <c r="K66" s="120">
        <v>246.58</v>
      </c>
      <c r="L66" s="120">
        <v>4.0263687592814303</v>
      </c>
      <c r="M66" s="120">
        <v>0.84102291402765805</v>
      </c>
      <c r="N66" s="120">
        <v>3.4870785999941898</v>
      </c>
      <c r="O66" s="120">
        <v>1.9190865198739599E-2</v>
      </c>
      <c r="P66" s="120">
        <v>0</v>
      </c>
      <c r="Q66" s="120">
        <v>38.182431744895901</v>
      </c>
      <c r="R66" s="120">
        <v>14.414104263105401</v>
      </c>
      <c r="S66" s="120">
        <v>0</v>
      </c>
      <c r="T66" s="120">
        <v>32.742732247838198</v>
      </c>
      <c r="U66" s="120">
        <v>10.1568477802251</v>
      </c>
      <c r="V66" s="120">
        <v>1.63393127614638</v>
      </c>
      <c r="W66" s="120">
        <v>9.5040883543345403E-2</v>
      </c>
      <c r="X66" s="120">
        <v>2.0935916792114702</v>
      </c>
      <c r="Y66" s="120">
        <v>0</v>
      </c>
      <c r="Z66" s="120">
        <v>0</v>
      </c>
      <c r="AA66" s="120">
        <v>227.245764182306</v>
      </c>
      <c r="AB66" s="120">
        <v>0</v>
      </c>
      <c r="AC66" s="120">
        <v>0</v>
      </c>
      <c r="AD66" s="120">
        <v>0</v>
      </c>
      <c r="AE66" s="120">
        <v>32.250377604372098</v>
      </c>
      <c r="AF66" s="120">
        <v>0.97756078457782103</v>
      </c>
      <c r="AG66" s="120">
        <v>10.921635518803599</v>
      </c>
      <c r="AH66" s="120">
        <v>0</v>
      </c>
      <c r="AI66" s="120">
        <v>5.4577863114272098</v>
      </c>
      <c r="AJ66" s="120">
        <v>-17.093827857921202</v>
      </c>
      <c r="AK66" s="120">
        <v>2.52924088987622</v>
      </c>
      <c r="AL66" s="120">
        <v>25.785661314506399</v>
      </c>
      <c r="AM66" s="120">
        <v>0</v>
      </c>
      <c r="AN66" s="120">
        <v>224.033143742075</v>
      </c>
      <c r="AO66" s="120">
        <v>0</v>
      </c>
      <c r="AP66" s="120">
        <v>0</v>
      </c>
      <c r="AQ66" s="120">
        <v>2.6775784651651402E-13</v>
      </c>
      <c r="AR66" s="120">
        <v>0</v>
      </c>
      <c r="AS66" s="120">
        <v>0</v>
      </c>
      <c r="AT66" s="121">
        <v>5.8638041172503801</v>
      </c>
    </row>
    <row r="67" spans="2:46" ht="12" customHeight="1" x14ac:dyDescent="0.25">
      <c r="B67" s="119" t="s">
        <v>47</v>
      </c>
      <c r="C67" s="120" t="s">
        <v>23</v>
      </c>
      <c r="D67" s="120" t="s">
        <v>48</v>
      </c>
      <c r="E67" s="120" t="s">
        <v>49</v>
      </c>
      <c r="F67" s="120" t="s">
        <v>25</v>
      </c>
      <c r="G67" s="120" t="s">
        <v>25</v>
      </c>
      <c r="H67" s="120" t="s">
        <v>102</v>
      </c>
      <c r="I67" s="120" t="s">
        <v>25</v>
      </c>
      <c r="J67" s="120">
        <v>208.5</v>
      </c>
      <c r="K67" s="120">
        <v>135.62</v>
      </c>
      <c r="L67" s="120">
        <v>2.2145028176047901</v>
      </c>
      <c r="M67" s="120">
        <v>0.46256260271521199</v>
      </c>
      <c r="N67" s="120">
        <v>1.9178932299967999</v>
      </c>
      <c r="O67" s="120">
        <v>1.05549758593068E-2</v>
      </c>
      <c r="P67" s="120">
        <v>0</v>
      </c>
      <c r="Q67" s="120">
        <v>21.000337459692801</v>
      </c>
      <c r="R67" s="120">
        <v>7.9277573447079703</v>
      </c>
      <c r="S67" s="120">
        <v>0</v>
      </c>
      <c r="T67" s="120">
        <v>18.008502736311002</v>
      </c>
      <c r="U67" s="120">
        <v>5.58626627912379</v>
      </c>
      <c r="V67" s="120">
        <v>0.89866220188051105</v>
      </c>
      <c r="W67" s="120">
        <v>5.227248594884E-2</v>
      </c>
      <c r="X67" s="120">
        <v>1.1514754235663101</v>
      </c>
      <c r="Y67" s="120">
        <v>0</v>
      </c>
      <c r="Z67" s="120">
        <v>0</v>
      </c>
      <c r="AA67" s="120">
        <v>124.985170300268</v>
      </c>
      <c r="AB67" s="120">
        <v>0</v>
      </c>
      <c r="AC67" s="120">
        <v>0</v>
      </c>
      <c r="AD67" s="120">
        <v>0</v>
      </c>
      <c r="AE67" s="120">
        <v>17.737707682404601</v>
      </c>
      <c r="AF67" s="120">
        <v>0.53765843151780202</v>
      </c>
      <c r="AG67" s="120">
        <v>6.0068995353419599</v>
      </c>
      <c r="AH67" s="120">
        <v>0</v>
      </c>
      <c r="AI67" s="120">
        <v>3.0017824712849599</v>
      </c>
      <c r="AJ67" s="120">
        <v>-9.40160532185668</v>
      </c>
      <c r="AK67" s="120">
        <v>1.39108248943192</v>
      </c>
      <c r="AL67" s="120">
        <v>14.182113722978499</v>
      </c>
      <c r="AM67" s="120">
        <v>0</v>
      </c>
      <c r="AN67" s="120">
        <v>123.21822905814101</v>
      </c>
      <c r="AO67" s="120">
        <v>0</v>
      </c>
      <c r="AP67" s="120">
        <v>0</v>
      </c>
      <c r="AQ67" s="120">
        <v>1.47266815584083E-13</v>
      </c>
      <c r="AR67" s="120">
        <v>0</v>
      </c>
      <c r="AS67" s="120">
        <v>0</v>
      </c>
      <c r="AT67" s="121">
        <v>3.22509226448771</v>
      </c>
    </row>
    <row r="68" spans="2:46" ht="12" customHeight="1" x14ac:dyDescent="0.25">
      <c r="B68" s="122" t="s">
        <v>47</v>
      </c>
      <c r="C68" s="123" t="s">
        <v>23</v>
      </c>
      <c r="D68" s="123" t="s">
        <v>48</v>
      </c>
      <c r="E68" s="123" t="s">
        <v>118</v>
      </c>
      <c r="F68" s="123" t="s">
        <v>25</v>
      </c>
      <c r="G68" s="123" t="s">
        <v>25</v>
      </c>
      <c r="H68" s="123" t="s">
        <v>102</v>
      </c>
      <c r="I68" s="123" t="s">
        <v>25</v>
      </c>
      <c r="J68" s="123">
        <v>227.45</v>
      </c>
      <c r="K68" s="123">
        <v>147.94999999999999</v>
      </c>
      <c r="L68" s="123">
        <v>2.4158212555688601</v>
      </c>
      <c r="M68" s="123">
        <v>0.50461374841659501</v>
      </c>
      <c r="N68" s="123">
        <v>2.0922471599965098</v>
      </c>
      <c r="O68" s="123">
        <v>1.1514519119243701E-2</v>
      </c>
      <c r="P68" s="123">
        <v>0</v>
      </c>
      <c r="Q68" s="123">
        <v>22.909459046937599</v>
      </c>
      <c r="R68" s="123">
        <v>8.6484625578632404</v>
      </c>
      <c r="S68" s="123">
        <v>0</v>
      </c>
      <c r="T68" s="123">
        <v>19.6456393487029</v>
      </c>
      <c r="U68" s="123">
        <v>6.09410866813504</v>
      </c>
      <c r="V68" s="123">
        <v>0.98035876568782998</v>
      </c>
      <c r="W68" s="123">
        <v>5.7024530126007202E-2</v>
      </c>
      <c r="X68" s="123">
        <v>1.2561550075268799</v>
      </c>
      <c r="Y68" s="123">
        <v>0</v>
      </c>
      <c r="Z68" s="123">
        <v>0</v>
      </c>
      <c r="AA68" s="123">
        <v>136.34745850938299</v>
      </c>
      <c r="AB68" s="123">
        <v>0</v>
      </c>
      <c r="AC68" s="123">
        <v>0</v>
      </c>
      <c r="AD68" s="123">
        <v>0</v>
      </c>
      <c r="AE68" s="123">
        <v>19.350226562623199</v>
      </c>
      <c r="AF68" s="123">
        <v>0.58653647074669302</v>
      </c>
      <c r="AG68" s="123">
        <v>6.5529813112821396</v>
      </c>
      <c r="AH68" s="123">
        <v>0</v>
      </c>
      <c r="AI68" s="123">
        <v>3.2746717868563202</v>
      </c>
      <c r="AJ68" s="123">
        <v>-10.2562967147527</v>
      </c>
      <c r="AK68" s="123">
        <v>1.5175445339257301</v>
      </c>
      <c r="AL68" s="123">
        <v>15.4713967887038</v>
      </c>
      <c r="AM68" s="123">
        <v>0</v>
      </c>
      <c r="AN68" s="123">
        <v>134.41988624524501</v>
      </c>
      <c r="AO68" s="123">
        <v>0</v>
      </c>
      <c r="AP68" s="123">
        <v>0</v>
      </c>
      <c r="AQ68" s="123">
        <v>1.6065470790990801E-13</v>
      </c>
      <c r="AR68" s="123">
        <v>0</v>
      </c>
      <c r="AS68" s="123">
        <v>0</v>
      </c>
      <c r="AT68" s="124">
        <v>3.51828247035023</v>
      </c>
    </row>
  </sheetData>
  <mergeCells count="7">
    <mergeCell ref="L1:AT1"/>
    <mergeCell ref="L2:S2"/>
    <mergeCell ref="T2:Z2"/>
    <mergeCell ref="AB2:AD2"/>
    <mergeCell ref="AE2:AH2"/>
    <mergeCell ref="AI2:AM2"/>
    <mergeCell ref="AO2:AS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2F59B-6B12-4466-AC83-2958C8E38655}">
  <dimension ref="B1:AT68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" bestFit="1" customWidth="1"/>
    <col min="32" max="32" width="17.7109375" bestFit="1" customWidth="1"/>
    <col min="33" max="33" width="12.5703125" bestFit="1" customWidth="1"/>
    <col min="34" max="34" width="10.7109375" bestFit="1" customWidth="1"/>
    <col min="35" max="35" width="16.5703125" bestFit="1" customWidth="1"/>
    <col min="36" max="36" width="14.5703125" bestFit="1" customWidth="1"/>
    <col min="37" max="37" width="9.85546875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25" t="s">
        <v>1564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</row>
    <row r="2" spans="2:46" ht="12" customHeight="1" x14ac:dyDescent="0.25">
      <c r="L2" s="126" t="s">
        <v>835</v>
      </c>
      <c r="M2" s="126"/>
      <c r="N2" s="126"/>
      <c r="O2" s="126"/>
      <c r="P2" s="126"/>
      <c r="Q2" s="126"/>
      <c r="R2" s="126"/>
      <c r="S2" s="127"/>
      <c r="T2" s="126" t="s">
        <v>844</v>
      </c>
      <c r="U2" s="126"/>
      <c r="V2" s="126"/>
      <c r="W2" s="126"/>
      <c r="X2" s="126"/>
      <c r="Y2" s="126"/>
      <c r="Z2" s="127"/>
      <c r="AA2" s="128" t="s">
        <v>852</v>
      </c>
      <c r="AB2" s="126" t="s">
        <v>25</v>
      </c>
      <c r="AC2" s="126"/>
      <c r="AD2" s="127"/>
      <c r="AE2" s="126" t="s">
        <v>1563</v>
      </c>
      <c r="AF2" s="126"/>
      <c r="AG2" s="126"/>
      <c r="AH2" s="127"/>
      <c r="AI2" s="126" t="s">
        <v>835</v>
      </c>
      <c r="AJ2" s="126"/>
      <c r="AK2" s="126"/>
      <c r="AL2" s="126"/>
      <c r="AM2" s="127"/>
      <c r="AN2" s="128" t="s">
        <v>866</v>
      </c>
      <c r="AO2" s="126" t="s">
        <v>844</v>
      </c>
      <c r="AP2" s="126"/>
      <c r="AQ2" s="126"/>
      <c r="AR2" s="126"/>
      <c r="AS2" s="127"/>
      <c r="AT2" s="129" t="s">
        <v>1563</v>
      </c>
    </row>
    <row r="3" spans="2:46" ht="12" customHeight="1" x14ac:dyDescent="0.25">
      <c r="B3" s="116" t="s">
        <v>92</v>
      </c>
      <c r="C3" s="117" t="s">
        <v>93</v>
      </c>
      <c r="D3" s="117" t="s">
        <v>94</v>
      </c>
      <c r="E3" s="117" t="s">
        <v>95</v>
      </c>
      <c r="F3" s="117" t="s">
        <v>96</v>
      </c>
      <c r="G3" s="117" t="s">
        <v>98</v>
      </c>
      <c r="H3" s="117" t="s">
        <v>99</v>
      </c>
      <c r="I3" s="117" t="s">
        <v>1111</v>
      </c>
      <c r="J3" s="117" t="s">
        <v>1525</v>
      </c>
      <c r="K3" s="117" t="s">
        <v>1526</v>
      </c>
      <c r="L3" s="117" t="s">
        <v>1527</v>
      </c>
      <c r="M3" s="117" t="s">
        <v>1528</v>
      </c>
      <c r="N3" s="117" t="s">
        <v>1529</v>
      </c>
      <c r="O3" s="117" t="s">
        <v>1530</v>
      </c>
      <c r="P3" s="117" t="s">
        <v>1531</v>
      </c>
      <c r="Q3" s="117" t="s">
        <v>1532</v>
      </c>
      <c r="R3" s="117" t="s">
        <v>1533</v>
      </c>
      <c r="S3" s="117" t="s">
        <v>1534</v>
      </c>
      <c r="T3" s="117" t="s">
        <v>1535</v>
      </c>
      <c r="U3" s="117" t="s">
        <v>1536</v>
      </c>
      <c r="V3" s="117" t="s">
        <v>1537</v>
      </c>
      <c r="W3" s="117" t="s">
        <v>1538</v>
      </c>
      <c r="X3" s="117" t="s">
        <v>1539</v>
      </c>
      <c r="Y3" s="117" t="s">
        <v>1540</v>
      </c>
      <c r="Z3" s="117" t="s">
        <v>1541</v>
      </c>
      <c r="AA3" s="117" t="s">
        <v>1542</v>
      </c>
      <c r="AB3" s="117" t="s">
        <v>1543</v>
      </c>
      <c r="AC3" s="117" t="s">
        <v>1544</v>
      </c>
      <c r="AD3" s="117" t="s">
        <v>1545</v>
      </c>
      <c r="AE3" s="117" t="s">
        <v>1546</v>
      </c>
      <c r="AF3" s="117" t="s">
        <v>1547</v>
      </c>
      <c r="AG3" s="117" t="s">
        <v>1548</v>
      </c>
      <c r="AH3" s="117" t="s">
        <v>1549</v>
      </c>
      <c r="AI3" s="117" t="s">
        <v>1550</v>
      </c>
      <c r="AJ3" s="117" t="s">
        <v>1551</v>
      </c>
      <c r="AK3" s="117" t="s">
        <v>1552</v>
      </c>
      <c r="AL3" s="117" t="s">
        <v>1553</v>
      </c>
      <c r="AM3" s="117" t="s">
        <v>1554</v>
      </c>
      <c r="AN3" s="117" t="s">
        <v>1555</v>
      </c>
      <c r="AO3" s="117" t="s">
        <v>1556</v>
      </c>
      <c r="AP3" s="117" t="s">
        <v>1557</v>
      </c>
      <c r="AQ3" s="117" t="s">
        <v>1558</v>
      </c>
      <c r="AR3" s="117" t="s">
        <v>1559</v>
      </c>
      <c r="AS3" s="117" t="s">
        <v>1560</v>
      </c>
      <c r="AT3" s="118" t="s">
        <v>1561</v>
      </c>
    </row>
    <row r="4" spans="2:46" ht="12" customHeight="1" x14ac:dyDescent="0.25">
      <c r="B4" s="119" t="s">
        <v>39</v>
      </c>
      <c r="C4" s="120" t="s">
        <v>40</v>
      </c>
      <c r="D4" s="120" t="s">
        <v>25</v>
      </c>
      <c r="E4" s="120" t="s">
        <v>25</v>
      </c>
      <c r="F4" s="120" t="s">
        <v>59</v>
      </c>
      <c r="G4" s="120" t="s">
        <v>34</v>
      </c>
      <c r="H4" s="120" t="s">
        <v>102</v>
      </c>
      <c r="I4" s="120" t="s">
        <v>25</v>
      </c>
      <c r="J4" s="120">
        <v>0.53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  <c r="R4" s="120">
        <v>0</v>
      </c>
      <c r="S4" s="120">
        <v>0</v>
      </c>
      <c r="T4" s="120">
        <v>0</v>
      </c>
      <c r="U4" s="120">
        <v>0</v>
      </c>
      <c r="V4" s="120">
        <v>0</v>
      </c>
      <c r="W4" s="120">
        <v>0</v>
      </c>
      <c r="X4" s="120">
        <v>0</v>
      </c>
      <c r="Y4" s="120">
        <v>0</v>
      </c>
      <c r="Z4" s="120">
        <v>0</v>
      </c>
      <c r="AA4" s="120">
        <v>0</v>
      </c>
      <c r="AB4" s="120">
        <v>0</v>
      </c>
      <c r="AC4" s="120">
        <v>0</v>
      </c>
      <c r="AD4" s="120">
        <v>0</v>
      </c>
      <c r="AE4" s="120">
        <v>0.33973485952145399</v>
      </c>
      <c r="AF4" s="120">
        <v>1.0297909683302599E-2</v>
      </c>
      <c r="AG4" s="120">
        <v>0.179625815330273</v>
      </c>
      <c r="AH4" s="120">
        <v>0</v>
      </c>
      <c r="AI4" s="120">
        <v>0</v>
      </c>
      <c r="AJ4" s="120">
        <v>0</v>
      </c>
      <c r="AK4" s="120">
        <v>0</v>
      </c>
      <c r="AL4" s="120">
        <v>0</v>
      </c>
      <c r="AM4" s="120">
        <v>0</v>
      </c>
      <c r="AN4" s="120">
        <v>0</v>
      </c>
      <c r="AO4" s="120">
        <v>0</v>
      </c>
      <c r="AP4" s="120">
        <v>0</v>
      </c>
      <c r="AQ4" s="120">
        <v>0</v>
      </c>
      <c r="AR4" s="120">
        <v>0</v>
      </c>
      <c r="AS4" s="120">
        <v>0</v>
      </c>
      <c r="AT4" s="121">
        <v>0</v>
      </c>
    </row>
    <row r="5" spans="2:46" ht="12" customHeight="1" x14ac:dyDescent="0.25">
      <c r="B5" s="119" t="s">
        <v>39</v>
      </c>
      <c r="C5" s="120" t="s">
        <v>40</v>
      </c>
      <c r="D5" s="120" t="s">
        <v>25</v>
      </c>
      <c r="E5" s="120" t="s">
        <v>25</v>
      </c>
      <c r="F5" s="120" t="s">
        <v>59</v>
      </c>
      <c r="G5" s="120" t="s">
        <v>34</v>
      </c>
      <c r="H5" s="120" t="s">
        <v>105</v>
      </c>
      <c r="I5" s="120" t="s">
        <v>25</v>
      </c>
      <c r="J5" s="120">
        <v>0.55000000000000004</v>
      </c>
      <c r="K5" s="120">
        <v>0</v>
      </c>
      <c r="L5" s="120">
        <v>0</v>
      </c>
      <c r="M5" s="120">
        <v>0</v>
      </c>
      <c r="N5" s="120">
        <v>0</v>
      </c>
      <c r="O5" s="120">
        <v>0</v>
      </c>
      <c r="P5" s="120">
        <v>0</v>
      </c>
      <c r="Q5" s="120">
        <v>0</v>
      </c>
      <c r="R5" s="120">
        <v>0</v>
      </c>
      <c r="S5" s="120">
        <v>0</v>
      </c>
      <c r="T5" s="120">
        <v>0.41651475976753299</v>
      </c>
      <c r="U5" s="120">
        <v>0.12986439120523499</v>
      </c>
      <c r="V5" s="120">
        <v>0</v>
      </c>
      <c r="W5" s="120">
        <v>0</v>
      </c>
      <c r="X5" s="120">
        <v>0</v>
      </c>
      <c r="Y5" s="120">
        <v>0</v>
      </c>
      <c r="Z5" s="120">
        <v>0</v>
      </c>
      <c r="AA5" s="120">
        <v>0</v>
      </c>
      <c r="AB5" s="120">
        <v>0</v>
      </c>
      <c r="AC5" s="120">
        <v>0</v>
      </c>
      <c r="AD5" s="120">
        <v>0</v>
      </c>
      <c r="AE5" s="120">
        <v>0</v>
      </c>
      <c r="AF5" s="120">
        <v>0</v>
      </c>
      <c r="AG5" s="120">
        <v>0</v>
      </c>
      <c r="AH5" s="120">
        <v>0</v>
      </c>
      <c r="AI5" s="120">
        <v>0</v>
      </c>
      <c r="AJ5" s="120">
        <v>0</v>
      </c>
      <c r="AK5" s="120">
        <v>0</v>
      </c>
      <c r="AL5" s="120">
        <v>0</v>
      </c>
      <c r="AM5" s="120">
        <v>0</v>
      </c>
      <c r="AN5" s="120">
        <v>0</v>
      </c>
      <c r="AO5" s="120">
        <v>0</v>
      </c>
      <c r="AP5" s="120">
        <v>0</v>
      </c>
      <c r="AQ5" s="120">
        <v>0</v>
      </c>
      <c r="AR5" s="120">
        <v>0</v>
      </c>
      <c r="AS5" s="120">
        <v>0</v>
      </c>
      <c r="AT5" s="121">
        <v>0</v>
      </c>
    </row>
    <row r="6" spans="2:46" ht="12" customHeight="1" x14ac:dyDescent="0.25">
      <c r="B6" s="119" t="s">
        <v>39</v>
      </c>
      <c r="C6" s="120" t="s">
        <v>40</v>
      </c>
      <c r="D6" s="120" t="s">
        <v>25</v>
      </c>
      <c r="E6" s="120" t="s">
        <v>25</v>
      </c>
      <c r="F6" s="120" t="s">
        <v>59</v>
      </c>
      <c r="G6" s="120" t="s">
        <v>35</v>
      </c>
      <c r="H6" s="120" t="s">
        <v>102</v>
      </c>
      <c r="I6" s="120" t="s">
        <v>25</v>
      </c>
      <c r="J6" s="120">
        <v>0.53</v>
      </c>
      <c r="K6" s="120">
        <v>0</v>
      </c>
      <c r="L6" s="120">
        <v>0</v>
      </c>
      <c r="M6" s="120">
        <v>0</v>
      </c>
      <c r="N6" s="120">
        <v>0</v>
      </c>
      <c r="O6" s="120">
        <v>0</v>
      </c>
      <c r="P6" s="120">
        <v>0</v>
      </c>
      <c r="Q6" s="120">
        <v>0</v>
      </c>
      <c r="R6" s="120">
        <v>0</v>
      </c>
      <c r="S6" s="120">
        <v>0</v>
      </c>
      <c r="T6" s="120">
        <v>0</v>
      </c>
      <c r="U6" s="120">
        <v>0</v>
      </c>
      <c r="V6" s="120">
        <v>0</v>
      </c>
      <c r="W6" s="120">
        <v>0</v>
      </c>
      <c r="X6" s="120">
        <v>0</v>
      </c>
      <c r="Y6" s="120">
        <v>0</v>
      </c>
      <c r="Z6" s="120">
        <v>0</v>
      </c>
      <c r="AA6" s="120">
        <v>0</v>
      </c>
      <c r="AB6" s="120">
        <v>0</v>
      </c>
      <c r="AC6" s="120">
        <v>0</v>
      </c>
      <c r="AD6" s="120">
        <v>0</v>
      </c>
      <c r="AE6" s="120">
        <v>0.33973485952145399</v>
      </c>
      <c r="AF6" s="120">
        <v>1.0297909683302599E-2</v>
      </c>
      <c r="AG6" s="120">
        <v>0.179625815330273</v>
      </c>
      <c r="AH6" s="120">
        <v>0</v>
      </c>
      <c r="AI6" s="120">
        <v>0</v>
      </c>
      <c r="AJ6" s="120">
        <v>0</v>
      </c>
      <c r="AK6" s="120">
        <v>0</v>
      </c>
      <c r="AL6" s="120">
        <v>0</v>
      </c>
      <c r="AM6" s="120">
        <v>0</v>
      </c>
      <c r="AN6" s="120">
        <v>0</v>
      </c>
      <c r="AO6" s="120">
        <v>0</v>
      </c>
      <c r="AP6" s="120">
        <v>0</v>
      </c>
      <c r="AQ6" s="120">
        <v>0</v>
      </c>
      <c r="AR6" s="120">
        <v>0</v>
      </c>
      <c r="AS6" s="120">
        <v>0</v>
      </c>
      <c r="AT6" s="121">
        <v>0</v>
      </c>
    </row>
    <row r="7" spans="2:46" ht="12" customHeight="1" x14ac:dyDescent="0.25">
      <c r="B7" s="119" t="s">
        <v>39</v>
      </c>
      <c r="C7" s="120" t="s">
        <v>40</v>
      </c>
      <c r="D7" s="120" t="s">
        <v>25</v>
      </c>
      <c r="E7" s="120" t="s">
        <v>25</v>
      </c>
      <c r="F7" s="120" t="s">
        <v>59</v>
      </c>
      <c r="G7" s="120" t="s">
        <v>35</v>
      </c>
      <c r="H7" s="120" t="s">
        <v>105</v>
      </c>
      <c r="I7" s="120" t="s">
        <v>25</v>
      </c>
      <c r="J7" s="120">
        <v>0.44</v>
      </c>
      <c r="K7" s="120">
        <v>0</v>
      </c>
      <c r="L7" s="120">
        <v>0</v>
      </c>
      <c r="M7" s="120">
        <v>0</v>
      </c>
      <c r="N7" s="120">
        <v>0</v>
      </c>
      <c r="O7" s="120">
        <v>0</v>
      </c>
      <c r="P7" s="120">
        <v>0</v>
      </c>
      <c r="Q7" s="120">
        <v>0</v>
      </c>
      <c r="R7" s="120">
        <v>0</v>
      </c>
      <c r="S7" s="120">
        <v>0</v>
      </c>
      <c r="T7" s="120">
        <v>0.33510899142709999</v>
      </c>
      <c r="U7" s="120">
        <v>0.103227617697428</v>
      </c>
      <c r="V7" s="120">
        <v>0</v>
      </c>
      <c r="W7" s="120">
        <v>0</v>
      </c>
      <c r="X7" s="120">
        <v>0</v>
      </c>
      <c r="Y7" s="120">
        <v>0</v>
      </c>
      <c r="Z7" s="120">
        <v>0</v>
      </c>
      <c r="AA7" s="120">
        <v>0</v>
      </c>
      <c r="AB7" s="120">
        <v>0</v>
      </c>
      <c r="AC7" s="120">
        <v>0</v>
      </c>
      <c r="AD7" s="120">
        <v>0</v>
      </c>
      <c r="AE7" s="120">
        <v>0</v>
      </c>
      <c r="AF7" s="120">
        <v>0</v>
      </c>
      <c r="AG7" s="120">
        <v>0</v>
      </c>
      <c r="AH7" s="120">
        <v>0</v>
      </c>
      <c r="AI7" s="120">
        <v>0</v>
      </c>
      <c r="AJ7" s="120">
        <v>0</v>
      </c>
      <c r="AK7" s="120">
        <v>0</v>
      </c>
      <c r="AL7" s="120">
        <v>0</v>
      </c>
      <c r="AM7" s="120">
        <v>0</v>
      </c>
      <c r="AN7" s="120">
        <v>0</v>
      </c>
      <c r="AO7" s="120">
        <v>0</v>
      </c>
      <c r="AP7" s="120">
        <v>0</v>
      </c>
      <c r="AQ7" s="120">
        <v>0</v>
      </c>
      <c r="AR7" s="120">
        <v>0</v>
      </c>
      <c r="AS7" s="120">
        <v>0</v>
      </c>
      <c r="AT7" s="121">
        <v>0</v>
      </c>
    </row>
    <row r="8" spans="2:46" ht="12" customHeight="1" x14ac:dyDescent="0.25">
      <c r="B8" s="119" t="s">
        <v>39</v>
      </c>
      <c r="C8" s="120" t="s">
        <v>40</v>
      </c>
      <c r="D8" s="120" t="s">
        <v>25</v>
      </c>
      <c r="E8" s="120" t="s">
        <v>25</v>
      </c>
      <c r="F8" s="120" t="s">
        <v>25</v>
      </c>
      <c r="G8" s="120" t="s">
        <v>34</v>
      </c>
      <c r="H8" s="120" t="s">
        <v>102</v>
      </c>
      <c r="I8" s="120" t="s">
        <v>25</v>
      </c>
      <c r="J8" s="120">
        <v>10.19</v>
      </c>
      <c r="K8" s="120">
        <v>51.95</v>
      </c>
      <c r="L8" s="120">
        <v>0.20769259168361701</v>
      </c>
      <c r="M8" s="120">
        <v>0</v>
      </c>
      <c r="N8" s="120">
        <v>0</v>
      </c>
      <c r="O8" s="120">
        <v>0</v>
      </c>
      <c r="P8" s="120">
        <v>0</v>
      </c>
      <c r="Q8" s="120">
        <v>5.6906008514120003</v>
      </c>
      <c r="R8" s="120">
        <v>3.766151008694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0</v>
      </c>
      <c r="Y8" s="120">
        <v>0</v>
      </c>
      <c r="Z8" s="120">
        <v>0</v>
      </c>
      <c r="AA8" s="120">
        <v>0</v>
      </c>
      <c r="AB8" s="120">
        <v>0</v>
      </c>
      <c r="AC8" s="120">
        <v>0</v>
      </c>
      <c r="AD8" s="120">
        <v>0</v>
      </c>
      <c r="AE8" s="120">
        <v>0.33973485952145399</v>
      </c>
      <c r="AF8" s="120">
        <v>1.0297909683302599E-2</v>
      </c>
      <c r="AG8" s="120">
        <v>0.179625815330273</v>
      </c>
      <c r="AH8" s="120">
        <v>0</v>
      </c>
      <c r="AI8" s="120">
        <v>0.45407991893067001</v>
      </c>
      <c r="AJ8" s="120">
        <v>0</v>
      </c>
      <c r="AK8" s="120">
        <v>0</v>
      </c>
      <c r="AL8" s="120">
        <v>32.619747049659502</v>
      </c>
      <c r="AM8" s="120">
        <v>0</v>
      </c>
      <c r="AN8" s="120">
        <v>18.579937125138699</v>
      </c>
      <c r="AO8" s="120">
        <v>0</v>
      </c>
      <c r="AP8" s="120">
        <v>0</v>
      </c>
      <c r="AQ8" s="120">
        <v>0</v>
      </c>
      <c r="AR8" s="120">
        <v>0</v>
      </c>
      <c r="AS8" s="120">
        <v>0</v>
      </c>
      <c r="AT8" s="121">
        <v>0.29970144666266102</v>
      </c>
    </row>
    <row r="9" spans="2:46" ht="12" customHeight="1" x14ac:dyDescent="0.25">
      <c r="B9" s="119" t="s">
        <v>39</v>
      </c>
      <c r="C9" s="120" t="s">
        <v>40</v>
      </c>
      <c r="D9" s="120" t="s">
        <v>25</v>
      </c>
      <c r="E9" s="120" t="s">
        <v>25</v>
      </c>
      <c r="F9" s="120" t="s">
        <v>25</v>
      </c>
      <c r="G9" s="120" t="s">
        <v>34</v>
      </c>
      <c r="H9" s="120" t="s">
        <v>105</v>
      </c>
      <c r="I9" s="120" t="s">
        <v>25</v>
      </c>
      <c r="J9" s="120">
        <v>0.55000000000000004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0.41651475976753299</v>
      </c>
      <c r="U9" s="120">
        <v>0.12986439120523499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  <c r="AK9" s="120">
        <v>0</v>
      </c>
      <c r="AL9" s="120">
        <v>0</v>
      </c>
      <c r="AM9" s="120">
        <v>0</v>
      </c>
      <c r="AN9" s="120">
        <v>0</v>
      </c>
      <c r="AO9" s="120">
        <v>0</v>
      </c>
      <c r="AP9" s="120">
        <v>0</v>
      </c>
      <c r="AQ9" s="120">
        <v>0</v>
      </c>
      <c r="AR9" s="120">
        <v>0</v>
      </c>
      <c r="AS9" s="120">
        <v>0</v>
      </c>
      <c r="AT9" s="121">
        <v>0</v>
      </c>
    </row>
    <row r="10" spans="2:46" ht="12" customHeight="1" x14ac:dyDescent="0.25">
      <c r="B10" s="119" t="s">
        <v>39</v>
      </c>
      <c r="C10" s="120" t="s">
        <v>40</v>
      </c>
      <c r="D10" s="120" t="s">
        <v>25</v>
      </c>
      <c r="E10" s="120" t="s">
        <v>25</v>
      </c>
      <c r="F10" s="120" t="s">
        <v>25</v>
      </c>
      <c r="G10" s="120" t="s">
        <v>35</v>
      </c>
      <c r="H10" s="120" t="s">
        <v>102</v>
      </c>
      <c r="I10" s="120" t="s">
        <v>25</v>
      </c>
      <c r="J10" s="120">
        <v>10.19</v>
      </c>
      <c r="K10" s="120">
        <v>44.18</v>
      </c>
      <c r="L10" s="120">
        <v>0.20769259168361701</v>
      </c>
      <c r="M10" s="120">
        <v>0</v>
      </c>
      <c r="N10" s="120">
        <v>0</v>
      </c>
      <c r="O10" s="120">
        <v>0</v>
      </c>
      <c r="P10" s="120">
        <v>0</v>
      </c>
      <c r="Q10" s="120">
        <v>5.6906008514120003</v>
      </c>
      <c r="R10" s="120">
        <v>3.766151008694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0.33973485952145399</v>
      </c>
      <c r="AF10" s="120">
        <v>1.0297909683302599E-2</v>
      </c>
      <c r="AG10" s="120">
        <v>0.179625815330273</v>
      </c>
      <c r="AH10" s="120">
        <v>0</v>
      </c>
      <c r="AI10" s="120">
        <v>0.45407991893067001</v>
      </c>
      <c r="AJ10" s="120">
        <v>0</v>
      </c>
      <c r="AK10" s="120">
        <v>0</v>
      </c>
      <c r="AL10" s="120">
        <v>32.619747049659502</v>
      </c>
      <c r="AM10" s="120">
        <v>0</v>
      </c>
      <c r="AN10" s="120">
        <v>10.8022890262435</v>
      </c>
      <c r="AO10" s="120">
        <v>0</v>
      </c>
      <c r="AP10" s="120">
        <v>0</v>
      </c>
      <c r="AQ10" s="120">
        <v>0</v>
      </c>
      <c r="AR10" s="120">
        <v>0</v>
      </c>
      <c r="AS10" s="120">
        <v>0</v>
      </c>
      <c r="AT10" s="121">
        <v>0.29970144666266102</v>
      </c>
    </row>
    <row r="11" spans="2:46" ht="12" customHeight="1" x14ac:dyDescent="0.25">
      <c r="B11" s="119" t="s">
        <v>39</v>
      </c>
      <c r="C11" s="120" t="s">
        <v>40</v>
      </c>
      <c r="D11" s="120" t="s">
        <v>25</v>
      </c>
      <c r="E11" s="120" t="s">
        <v>25</v>
      </c>
      <c r="F11" s="120" t="s">
        <v>25</v>
      </c>
      <c r="G11" s="120" t="s">
        <v>35</v>
      </c>
      <c r="H11" s="120" t="s">
        <v>105</v>
      </c>
      <c r="I11" s="120" t="s">
        <v>25</v>
      </c>
      <c r="J11" s="120">
        <v>0.44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0.33510899142709999</v>
      </c>
      <c r="U11" s="120">
        <v>0.103227617697428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  <c r="AK11" s="120">
        <v>0</v>
      </c>
      <c r="AL11" s="120">
        <v>0</v>
      </c>
      <c r="AM11" s="120">
        <v>0</v>
      </c>
      <c r="AN11" s="120">
        <v>0</v>
      </c>
      <c r="AO11" s="120">
        <v>0</v>
      </c>
      <c r="AP11" s="120">
        <v>0</v>
      </c>
      <c r="AQ11" s="120">
        <v>0</v>
      </c>
      <c r="AR11" s="120">
        <v>0</v>
      </c>
      <c r="AS11" s="120">
        <v>0</v>
      </c>
      <c r="AT11" s="121">
        <v>0</v>
      </c>
    </row>
    <row r="12" spans="2:46" ht="12" customHeight="1" x14ac:dyDescent="0.25">
      <c r="B12" s="119" t="s">
        <v>39</v>
      </c>
      <c r="C12" s="120" t="s">
        <v>62</v>
      </c>
      <c r="D12" s="120" t="s">
        <v>25</v>
      </c>
      <c r="E12" s="120" t="s">
        <v>25</v>
      </c>
      <c r="F12" s="120" t="s">
        <v>25</v>
      </c>
      <c r="G12" s="120" t="s">
        <v>34</v>
      </c>
      <c r="H12" s="120" t="s">
        <v>105</v>
      </c>
      <c r="I12" s="120" t="s">
        <v>65</v>
      </c>
      <c r="J12" s="120">
        <v>0.55000000000000004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0.41651475976753299</v>
      </c>
      <c r="U12" s="120">
        <v>0.12986439120523499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  <c r="AK12" s="120">
        <v>0</v>
      </c>
      <c r="AL12" s="120">
        <v>0</v>
      </c>
      <c r="AM12" s="120">
        <v>0</v>
      </c>
      <c r="AN12" s="120">
        <v>0</v>
      </c>
      <c r="AO12" s="120">
        <v>0</v>
      </c>
      <c r="AP12" s="120">
        <v>0</v>
      </c>
      <c r="AQ12" s="120">
        <v>0</v>
      </c>
      <c r="AR12" s="120">
        <v>0</v>
      </c>
      <c r="AS12" s="120">
        <v>0</v>
      </c>
      <c r="AT12" s="121">
        <v>0</v>
      </c>
    </row>
    <row r="13" spans="2:46" ht="12" customHeight="1" x14ac:dyDescent="0.25">
      <c r="B13" s="119" t="s">
        <v>39</v>
      </c>
      <c r="C13" s="120" t="s">
        <v>62</v>
      </c>
      <c r="D13" s="120" t="s">
        <v>25</v>
      </c>
      <c r="E13" s="120" t="s">
        <v>25</v>
      </c>
      <c r="F13" s="120" t="s">
        <v>25</v>
      </c>
      <c r="G13" s="120" t="s">
        <v>25</v>
      </c>
      <c r="H13" s="120" t="s">
        <v>102</v>
      </c>
      <c r="I13" s="120" t="s">
        <v>65</v>
      </c>
      <c r="J13" s="120">
        <v>0.35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0.33973485952145399</v>
      </c>
      <c r="AF13" s="120">
        <v>1.0297909683302599E-2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</v>
      </c>
      <c r="AO13" s="120">
        <v>0</v>
      </c>
      <c r="AP13" s="120">
        <v>0</v>
      </c>
      <c r="AQ13" s="120">
        <v>0</v>
      </c>
      <c r="AR13" s="120">
        <v>0</v>
      </c>
      <c r="AS13" s="120">
        <v>0</v>
      </c>
      <c r="AT13" s="121">
        <v>0</v>
      </c>
    </row>
    <row r="14" spans="2:46" ht="12" customHeight="1" x14ac:dyDescent="0.25">
      <c r="B14" s="119" t="s">
        <v>39</v>
      </c>
      <c r="C14" s="120" t="s">
        <v>62</v>
      </c>
      <c r="D14" s="120" t="s">
        <v>25</v>
      </c>
      <c r="E14" s="120" t="s">
        <v>25</v>
      </c>
      <c r="F14" s="120" t="s">
        <v>25</v>
      </c>
      <c r="G14" s="120" t="s">
        <v>35</v>
      </c>
      <c r="H14" s="120" t="s">
        <v>105</v>
      </c>
      <c r="I14" s="120" t="s">
        <v>65</v>
      </c>
      <c r="J14" s="120">
        <v>0.44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0.33510899142709999</v>
      </c>
      <c r="U14" s="120">
        <v>0.103227617697428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0</v>
      </c>
      <c r="AT14" s="121">
        <v>0</v>
      </c>
    </row>
    <row r="15" spans="2:46" ht="12" customHeight="1" x14ac:dyDescent="0.25">
      <c r="B15" s="119" t="s">
        <v>39</v>
      </c>
      <c r="C15" s="120" t="s">
        <v>66</v>
      </c>
      <c r="D15" s="120" t="s">
        <v>25</v>
      </c>
      <c r="E15" s="120" t="s">
        <v>25</v>
      </c>
      <c r="F15" s="120" t="s">
        <v>25</v>
      </c>
      <c r="G15" s="120" t="s">
        <v>25</v>
      </c>
      <c r="H15" s="120" t="s">
        <v>105</v>
      </c>
      <c r="I15" s="120" t="s">
        <v>25</v>
      </c>
      <c r="J15" s="120">
        <v>7.0000000000000007E-2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5.0797451450143603E-2</v>
      </c>
      <c r="AF15" s="120">
        <v>1.42207533735522E-2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0</v>
      </c>
      <c r="AM15" s="120">
        <v>0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1">
        <v>0</v>
      </c>
    </row>
    <row r="16" spans="2:46" ht="12" customHeight="1" x14ac:dyDescent="0.25">
      <c r="B16" s="119" t="s">
        <v>41</v>
      </c>
      <c r="C16" s="120" t="s">
        <v>40</v>
      </c>
      <c r="D16" s="120" t="s">
        <v>25</v>
      </c>
      <c r="E16" s="120" t="s">
        <v>25</v>
      </c>
      <c r="F16" s="120" t="s">
        <v>59</v>
      </c>
      <c r="G16" s="120" t="s">
        <v>34</v>
      </c>
      <c r="H16" s="120" t="s">
        <v>102</v>
      </c>
      <c r="I16" s="120" t="s">
        <v>25</v>
      </c>
      <c r="J16" s="120">
        <v>1.22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0.72923880778066996</v>
      </c>
      <c r="AF16" s="120">
        <v>2.2104400445284202E-2</v>
      </c>
      <c r="AG16" s="120">
        <v>0.46650130690802999</v>
      </c>
      <c r="AH16" s="120">
        <v>0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1">
        <v>0</v>
      </c>
    </row>
    <row r="17" spans="2:46" ht="12" customHeight="1" x14ac:dyDescent="0.25">
      <c r="B17" s="119" t="s">
        <v>41</v>
      </c>
      <c r="C17" s="120" t="s">
        <v>40</v>
      </c>
      <c r="D17" s="120" t="s">
        <v>25</v>
      </c>
      <c r="E17" s="120" t="s">
        <v>25</v>
      </c>
      <c r="F17" s="120" t="s">
        <v>59</v>
      </c>
      <c r="G17" s="120" t="s">
        <v>34</v>
      </c>
      <c r="H17" s="120" t="s">
        <v>105</v>
      </c>
      <c r="I17" s="120" t="s">
        <v>25</v>
      </c>
      <c r="J17" s="120">
        <v>0.47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0.35739308411931497</v>
      </c>
      <c r="U17" s="120">
        <v>0.111429775918092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1">
        <v>0</v>
      </c>
    </row>
    <row r="18" spans="2:46" ht="12" customHeight="1" x14ac:dyDescent="0.25">
      <c r="B18" s="119" t="s">
        <v>41</v>
      </c>
      <c r="C18" s="120" t="s">
        <v>40</v>
      </c>
      <c r="D18" s="120" t="s">
        <v>25</v>
      </c>
      <c r="E18" s="120" t="s">
        <v>25</v>
      </c>
      <c r="F18" s="120" t="s">
        <v>59</v>
      </c>
      <c r="G18" s="120" t="s">
        <v>35</v>
      </c>
      <c r="H18" s="120" t="s">
        <v>102</v>
      </c>
      <c r="I18" s="120" t="s">
        <v>25</v>
      </c>
      <c r="J18" s="120">
        <v>1.22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0.72923880778066996</v>
      </c>
      <c r="AF18" s="120">
        <v>2.2104400445284202E-2</v>
      </c>
      <c r="AG18" s="120">
        <v>0.46650130690802999</v>
      </c>
      <c r="AH18" s="120">
        <v>0</v>
      </c>
      <c r="AI18" s="120">
        <v>0</v>
      </c>
      <c r="AJ18" s="120">
        <v>0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1">
        <v>0</v>
      </c>
    </row>
    <row r="19" spans="2:46" ht="12" customHeight="1" x14ac:dyDescent="0.25">
      <c r="B19" s="119" t="s">
        <v>41</v>
      </c>
      <c r="C19" s="120" t="s">
        <v>40</v>
      </c>
      <c r="D19" s="120" t="s">
        <v>25</v>
      </c>
      <c r="E19" s="120" t="s">
        <v>25</v>
      </c>
      <c r="F19" s="120" t="s">
        <v>59</v>
      </c>
      <c r="G19" s="120" t="s">
        <v>35</v>
      </c>
      <c r="H19" s="120" t="s">
        <v>105</v>
      </c>
      <c r="I19" s="120" t="s">
        <v>25</v>
      </c>
      <c r="J19" s="120">
        <v>0.28999999999999998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0.223189585507577</v>
      </c>
      <c r="U19" s="120">
        <v>6.9229453895904097E-2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1">
        <v>0</v>
      </c>
    </row>
    <row r="20" spans="2:46" ht="12" customHeight="1" x14ac:dyDescent="0.25">
      <c r="B20" s="119" t="s">
        <v>41</v>
      </c>
      <c r="C20" s="120" t="s">
        <v>40</v>
      </c>
      <c r="D20" s="120" t="s">
        <v>25</v>
      </c>
      <c r="E20" s="120" t="s">
        <v>25</v>
      </c>
      <c r="F20" s="120" t="s">
        <v>25</v>
      </c>
      <c r="G20" s="120" t="s">
        <v>34</v>
      </c>
      <c r="H20" s="120" t="s">
        <v>102</v>
      </c>
      <c r="I20" s="120" t="s">
        <v>25</v>
      </c>
      <c r="J20" s="120">
        <v>12.98</v>
      </c>
      <c r="K20" s="120">
        <v>51.95</v>
      </c>
      <c r="L20" s="120">
        <v>0.28138996292619101</v>
      </c>
      <c r="M20" s="120">
        <v>0</v>
      </c>
      <c r="N20" s="120">
        <v>0</v>
      </c>
      <c r="O20" s="120">
        <v>0</v>
      </c>
      <c r="P20" s="120">
        <v>0</v>
      </c>
      <c r="Q20" s="120">
        <v>7.7098463148162599</v>
      </c>
      <c r="R20" s="120">
        <v>3.766151008694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0.72923880778066996</v>
      </c>
      <c r="AF20" s="120">
        <v>2.2104400445284202E-2</v>
      </c>
      <c r="AG20" s="120">
        <v>0.46650130690802999</v>
      </c>
      <c r="AH20" s="120">
        <v>0</v>
      </c>
      <c r="AI20" s="120">
        <v>0.45407991893067001</v>
      </c>
      <c r="AJ20" s="120">
        <v>0</v>
      </c>
      <c r="AK20" s="120">
        <v>0</v>
      </c>
      <c r="AL20" s="120">
        <v>32.619747049659502</v>
      </c>
      <c r="AM20" s="120">
        <v>0</v>
      </c>
      <c r="AN20" s="120">
        <v>18.579937125138699</v>
      </c>
      <c r="AO20" s="120">
        <v>0</v>
      </c>
      <c r="AP20" s="120">
        <v>0</v>
      </c>
      <c r="AQ20" s="120">
        <v>0</v>
      </c>
      <c r="AR20" s="120">
        <v>0</v>
      </c>
      <c r="AS20" s="120">
        <v>0</v>
      </c>
      <c r="AT20" s="121">
        <v>0.29970144666266102</v>
      </c>
    </row>
    <row r="21" spans="2:46" ht="12" customHeight="1" x14ac:dyDescent="0.25">
      <c r="B21" s="119" t="s">
        <v>41</v>
      </c>
      <c r="C21" s="120" t="s">
        <v>40</v>
      </c>
      <c r="D21" s="120" t="s">
        <v>25</v>
      </c>
      <c r="E21" s="120" t="s">
        <v>25</v>
      </c>
      <c r="F21" s="120" t="s">
        <v>25</v>
      </c>
      <c r="G21" s="120" t="s">
        <v>34</v>
      </c>
      <c r="H21" s="120" t="s">
        <v>105</v>
      </c>
      <c r="I21" s="120" t="s">
        <v>25</v>
      </c>
      <c r="J21" s="120">
        <v>0.47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0.35739308411931497</v>
      </c>
      <c r="U21" s="120">
        <v>0.111429775918092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1">
        <v>0</v>
      </c>
    </row>
    <row r="22" spans="2:46" ht="12" customHeight="1" x14ac:dyDescent="0.25">
      <c r="B22" s="119" t="s">
        <v>41</v>
      </c>
      <c r="C22" s="120" t="s">
        <v>40</v>
      </c>
      <c r="D22" s="120" t="s">
        <v>25</v>
      </c>
      <c r="E22" s="120" t="s">
        <v>25</v>
      </c>
      <c r="F22" s="120" t="s">
        <v>25</v>
      </c>
      <c r="G22" s="120" t="s">
        <v>35</v>
      </c>
      <c r="H22" s="120" t="s">
        <v>102</v>
      </c>
      <c r="I22" s="120" t="s">
        <v>25</v>
      </c>
      <c r="J22" s="120">
        <v>12.98</v>
      </c>
      <c r="K22" s="120">
        <v>44.18</v>
      </c>
      <c r="L22" s="120">
        <v>0.28138996292619101</v>
      </c>
      <c r="M22" s="120">
        <v>0</v>
      </c>
      <c r="N22" s="120">
        <v>0</v>
      </c>
      <c r="O22" s="120">
        <v>0</v>
      </c>
      <c r="P22" s="120">
        <v>0</v>
      </c>
      <c r="Q22" s="120">
        <v>7.7098463148162599</v>
      </c>
      <c r="R22" s="120">
        <v>3.766151008694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0.72923880778066996</v>
      </c>
      <c r="AF22" s="120">
        <v>2.2104400445284202E-2</v>
      </c>
      <c r="AG22" s="120">
        <v>0.46650130690802999</v>
      </c>
      <c r="AH22" s="120">
        <v>0</v>
      </c>
      <c r="AI22" s="120">
        <v>0.45407991893067001</v>
      </c>
      <c r="AJ22" s="120">
        <v>0</v>
      </c>
      <c r="AK22" s="120">
        <v>0</v>
      </c>
      <c r="AL22" s="120">
        <v>32.619747049659502</v>
      </c>
      <c r="AM22" s="120">
        <v>0</v>
      </c>
      <c r="AN22" s="120">
        <v>10.8022890262435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1">
        <v>0.29970144666266102</v>
      </c>
    </row>
    <row r="23" spans="2:46" ht="12" customHeight="1" x14ac:dyDescent="0.25">
      <c r="B23" s="119" t="s">
        <v>41</v>
      </c>
      <c r="C23" s="120" t="s">
        <v>40</v>
      </c>
      <c r="D23" s="120" t="s">
        <v>25</v>
      </c>
      <c r="E23" s="120" t="s">
        <v>25</v>
      </c>
      <c r="F23" s="120" t="s">
        <v>25</v>
      </c>
      <c r="G23" s="120" t="s">
        <v>35</v>
      </c>
      <c r="H23" s="120" t="s">
        <v>105</v>
      </c>
      <c r="I23" s="120" t="s">
        <v>25</v>
      </c>
      <c r="J23" s="120">
        <v>0.28999999999999998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0.223189585507577</v>
      </c>
      <c r="U23" s="120">
        <v>6.9229453895904097E-2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  <c r="AK23" s="120">
        <v>0</v>
      </c>
      <c r="AL23" s="120">
        <v>0</v>
      </c>
      <c r="AM23" s="120">
        <v>0</v>
      </c>
      <c r="AN23" s="120">
        <v>0</v>
      </c>
      <c r="AO23" s="120">
        <v>0</v>
      </c>
      <c r="AP23" s="120">
        <v>0</v>
      </c>
      <c r="AQ23" s="120">
        <v>0</v>
      </c>
      <c r="AR23" s="120">
        <v>0</v>
      </c>
      <c r="AS23" s="120">
        <v>0</v>
      </c>
      <c r="AT23" s="121">
        <v>0</v>
      </c>
    </row>
    <row r="24" spans="2:46" ht="12" customHeight="1" x14ac:dyDescent="0.25">
      <c r="B24" s="119" t="s">
        <v>41</v>
      </c>
      <c r="C24" s="120" t="s">
        <v>23</v>
      </c>
      <c r="D24" s="120" t="s">
        <v>25</v>
      </c>
      <c r="E24" s="120" t="s">
        <v>25</v>
      </c>
      <c r="F24" s="120" t="s">
        <v>25</v>
      </c>
      <c r="G24" s="120" t="s">
        <v>25</v>
      </c>
      <c r="H24" s="120" t="s">
        <v>102</v>
      </c>
      <c r="I24" s="120" t="s">
        <v>25</v>
      </c>
      <c r="J24" s="120">
        <v>0</v>
      </c>
      <c r="K24" s="120">
        <v>44.82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0.45407991893067001</v>
      </c>
      <c r="AJ24" s="120">
        <v>0</v>
      </c>
      <c r="AK24" s="120">
        <v>0</v>
      </c>
      <c r="AL24" s="120">
        <v>32.619747049659502</v>
      </c>
      <c r="AM24" s="120">
        <v>0</v>
      </c>
      <c r="AN24" s="120">
        <v>11.4504263678181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1">
        <v>0.29970144666266102</v>
      </c>
    </row>
    <row r="25" spans="2:46" ht="12" customHeight="1" x14ac:dyDescent="0.25">
      <c r="B25" s="119" t="s">
        <v>41</v>
      </c>
      <c r="C25" s="120" t="s">
        <v>62</v>
      </c>
      <c r="D25" s="120" t="s">
        <v>25</v>
      </c>
      <c r="E25" s="120" t="s">
        <v>25</v>
      </c>
      <c r="F25" s="120" t="s">
        <v>25</v>
      </c>
      <c r="G25" s="120" t="s">
        <v>34</v>
      </c>
      <c r="H25" s="120" t="s">
        <v>105</v>
      </c>
      <c r="I25" s="120" t="s">
        <v>63</v>
      </c>
      <c r="J25" s="120">
        <v>0.47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0.35739308411931497</v>
      </c>
      <c r="U25" s="120">
        <v>0.111429775918092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  <c r="AK25" s="120">
        <v>0</v>
      </c>
      <c r="AL25" s="120">
        <v>0</v>
      </c>
      <c r="AM25" s="120">
        <v>0</v>
      </c>
      <c r="AN25" s="120">
        <v>0</v>
      </c>
      <c r="AO25" s="120">
        <v>0</v>
      </c>
      <c r="AP25" s="120">
        <v>0</v>
      </c>
      <c r="AQ25" s="120">
        <v>0</v>
      </c>
      <c r="AR25" s="120">
        <v>0</v>
      </c>
      <c r="AS25" s="120">
        <v>0</v>
      </c>
      <c r="AT25" s="121">
        <v>0</v>
      </c>
    </row>
    <row r="26" spans="2:46" ht="12" customHeight="1" x14ac:dyDescent="0.25">
      <c r="B26" s="119" t="s">
        <v>41</v>
      </c>
      <c r="C26" s="120" t="s">
        <v>62</v>
      </c>
      <c r="D26" s="120" t="s">
        <v>25</v>
      </c>
      <c r="E26" s="120" t="s">
        <v>25</v>
      </c>
      <c r="F26" s="120" t="s">
        <v>25</v>
      </c>
      <c r="G26" s="120" t="s">
        <v>34</v>
      </c>
      <c r="H26" s="120" t="s">
        <v>105</v>
      </c>
      <c r="I26" s="120" t="s">
        <v>65</v>
      </c>
      <c r="J26" s="120">
        <v>0.47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0.35739308411931497</v>
      </c>
      <c r="U26" s="120">
        <v>0.111429775918092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1">
        <v>0</v>
      </c>
    </row>
    <row r="27" spans="2:46" ht="12" customHeight="1" x14ac:dyDescent="0.25">
      <c r="B27" s="119" t="s">
        <v>41</v>
      </c>
      <c r="C27" s="120" t="s">
        <v>62</v>
      </c>
      <c r="D27" s="120" t="s">
        <v>25</v>
      </c>
      <c r="E27" s="120" t="s">
        <v>25</v>
      </c>
      <c r="F27" s="120" t="s">
        <v>25</v>
      </c>
      <c r="G27" s="120" t="s">
        <v>25</v>
      </c>
      <c r="H27" s="120" t="s">
        <v>102</v>
      </c>
      <c r="I27" s="120" t="s">
        <v>63</v>
      </c>
      <c r="J27" s="120">
        <v>0.75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0.72923880778066996</v>
      </c>
      <c r="AF27" s="120">
        <v>2.2104400445284202E-2</v>
      </c>
      <c r="AG27" s="120">
        <v>0</v>
      </c>
      <c r="AH27" s="120">
        <v>0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</v>
      </c>
      <c r="AO27" s="120">
        <v>0</v>
      </c>
      <c r="AP27" s="120">
        <v>0</v>
      </c>
      <c r="AQ27" s="120">
        <v>0</v>
      </c>
      <c r="AR27" s="120">
        <v>0</v>
      </c>
      <c r="AS27" s="120">
        <v>0</v>
      </c>
      <c r="AT27" s="121">
        <v>0</v>
      </c>
    </row>
    <row r="28" spans="2:46" ht="12" customHeight="1" x14ac:dyDescent="0.25">
      <c r="B28" s="119" t="s">
        <v>41</v>
      </c>
      <c r="C28" s="120" t="s">
        <v>62</v>
      </c>
      <c r="D28" s="120" t="s">
        <v>25</v>
      </c>
      <c r="E28" s="120" t="s">
        <v>25</v>
      </c>
      <c r="F28" s="120" t="s">
        <v>25</v>
      </c>
      <c r="G28" s="120" t="s">
        <v>25</v>
      </c>
      <c r="H28" s="120" t="s">
        <v>102</v>
      </c>
      <c r="I28" s="120" t="s">
        <v>65</v>
      </c>
      <c r="J28" s="120">
        <v>0.75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0.72923880778066996</v>
      </c>
      <c r="AF28" s="120">
        <v>2.2104400445284202E-2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1">
        <v>0</v>
      </c>
    </row>
    <row r="29" spans="2:46" ht="12" customHeight="1" x14ac:dyDescent="0.25">
      <c r="B29" s="119" t="s">
        <v>41</v>
      </c>
      <c r="C29" s="120" t="s">
        <v>62</v>
      </c>
      <c r="D29" s="120" t="s">
        <v>25</v>
      </c>
      <c r="E29" s="120" t="s">
        <v>25</v>
      </c>
      <c r="F29" s="120" t="s">
        <v>25</v>
      </c>
      <c r="G29" s="120" t="s">
        <v>35</v>
      </c>
      <c r="H29" s="120" t="s">
        <v>105</v>
      </c>
      <c r="I29" s="120" t="s">
        <v>63</v>
      </c>
      <c r="J29" s="120">
        <v>0.28999999999999998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0.223189585507577</v>
      </c>
      <c r="U29" s="120">
        <v>6.9229453895904097E-2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1">
        <v>0</v>
      </c>
    </row>
    <row r="30" spans="2:46" ht="12" customHeight="1" x14ac:dyDescent="0.25">
      <c r="B30" s="119" t="s">
        <v>41</v>
      </c>
      <c r="C30" s="120" t="s">
        <v>62</v>
      </c>
      <c r="D30" s="120" t="s">
        <v>25</v>
      </c>
      <c r="E30" s="120" t="s">
        <v>25</v>
      </c>
      <c r="F30" s="120" t="s">
        <v>25</v>
      </c>
      <c r="G30" s="120" t="s">
        <v>35</v>
      </c>
      <c r="H30" s="120" t="s">
        <v>105</v>
      </c>
      <c r="I30" s="120" t="s">
        <v>65</v>
      </c>
      <c r="J30" s="120">
        <v>0.28999999999999998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0.223189585507577</v>
      </c>
      <c r="U30" s="120">
        <v>6.9229453895904097E-2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1">
        <v>0</v>
      </c>
    </row>
    <row r="31" spans="2:46" ht="12" customHeight="1" x14ac:dyDescent="0.25">
      <c r="B31" s="119" t="s">
        <v>41</v>
      </c>
      <c r="C31" s="120" t="s">
        <v>66</v>
      </c>
      <c r="D31" s="120" t="s">
        <v>25</v>
      </c>
      <c r="E31" s="120" t="s">
        <v>25</v>
      </c>
      <c r="F31" s="120" t="s">
        <v>25</v>
      </c>
      <c r="G31" s="120" t="s">
        <v>25</v>
      </c>
      <c r="H31" s="120" t="s">
        <v>105</v>
      </c>
      <c r="I31" s="120" t="s">
        <v>25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3.31793924918407E-5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1">
        <v>0</v>
      </c>
    </row>
    <row r="32" spans="2:46" ht="12" customHeight="1" x14ac:dyDescent="0.25">
      <c r="B32" s="119" t="s">
        <v>41</v>
      </c>
      <c r="C32" s="120" t="s">
        <v>42</v>
      </c>
      <c r="D32" s="120" t="s">
        <v>25</v>
      </c>
      <c r="E32" s="120" t="s">
        <v>25</v>
      </c>
      <c r="F32" s="120" t="s">
        <v>59</v>
      </c>
      <c r="G32" s="120" t="s">
        <v>34</v>
      </c>
      <c r="H32" s="120" t="s">
        <v>102</v>
      </c>
      <c r="I32" s="120" t="s">
        <v>25</v>
      </c>
      <c r="J32" s="120">
        <v>12.49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8.5953238111085195</v>
      </c>
      <c r="U32" s="120">
        <v>2.67985123453093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0.72923880778066996</v>
      </c>
      <c r="AF32" s="120">
        <v>2.2104400445284202E-2</v>
      </c>
      <c r="AG32" s="120">
        <v>0.46650130690802999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1">
        <v>0</v>
      </c>
    </row>
    <row r="33" spans="2:46" ht="12" customHeight="1" x14ac:dyDescent="0.25">
      <c r="B33" s="119" t="s">
        <v>41</v>
      </c>
      <c r="C33" s="120" t="s">
        <v>42</v>
      </c>
      <c r="D33" s="120" t="s">
        <v>25</v>
      </c>
      <c r="E33" s="120" t="s">
        <v>25</v>
      </c>
      <c r="F33" s="120" t="s">
        <v>59</v>
      </c>
      <c r="G33" s="120" t="s">
        <v>25</v>
      </c>
      <c r="H33" s="120" t="s">
        <v>105</v>
      </c>
      <c r="I33" s="120" t="s">
        <v>25</v>
      </c>
      <c r="J33" s="120">
        <v>0.28999999999999998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0.223189585507577</v>
      </c>
      <c r="U33" s="120">
        <v>6.9229453895904097E-2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0</v>
      </c>
      <c r="AN33" s="120">
        <v>0</v>
      </c>
      <c r="AO33" s="120">
        <v>0</v>
      </c>
      <c r="AP33" s="120">
        <v>0</v>
      </c>
      <c r="AQ33" s="120">
        <v>0</v>
      </c>
      <c r="AR33" s="120">
        <v>0</v>
      </c>
      <c r="AS33" s="120">
        <v>0</v>
      </c>
      <c r="AT33" s="121">
        <v>0</v>
      </c>
    </row>
    <row r="34" spans="2:46" ht="12" customHeight="1" x14ac:dyDescent="0.25">
      <c r="B34" s="119" t="s">
        <v>41</v>
      </c>
      <c r="C34" s="120" t="s">
        <v>42</v>
      </c>
      <c r="D34" s="120" t="s">
        <v>25</v>
      </c>
      <c r="E34" s="120" t="s">
        <v>25</v>
      </c>
      <c r="F34" s="120" t="s">
        <v>59</v>
      </c>
      <c r="G34" s="120" t="s">
        <v>35</v>
      </c>
      <c r="H34" s="120" t="s">
        <v>102</v>
      </c>
      <c r="I34" s="120" t="s">
        <v>25</v>
      </c>
      <c r="J34" s="120">
        <v>1.22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0.72923880778066996</v>
      </c>
      <c r="AF34" s="120">
        <v>2.2104400445284202E-2</v>
      </c>
      <c r="AG34" s="120">
        <v>0.46650130690802999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1">
        <v>0</v>
      </c>
    </row>
    <row r="35" spans="2:46" ht="12" customHeight="1" x14ac:dyDescent="0.25">
      <c r="B35" s="119" t="s">
        <v>41</v>
      </c>
      <c r="C35" s="120" t="s">
        <v>42</v>
      </c>
      <c r="D35" s="120" t="s">
        <v>25</v>
      </c>
      <c r="E35" s="120" t="s">
        <v>25</v>
      </c>
      <c r="F35" s="120" t="s">
        <v>25</v>
      </c>
      <c r="G35" s="120" t="s">
        <v>34</v>
      </c>
      <c r="H35" s="120" t="s">
        <v>102</v>
      </c>
      <c r="I35" s="120" t="s">
        <v>25</v>
      </c>
      <c r="J35" s="120">
        <v>24.25</v>
      </c>
      <c r="K35" s="120">
        <v>51.95</v>
      </c>
      <c r="L35" s="120">
        <v>0.28138996292619101</v>
      </c>
      <c r="M35" s="120">
        <v>0</v>
      </c>
      <c r="N35" s="120">
        <v>0</v>
      </c>
      <c r="O35" s="120">
        <v>0</v>
      </c>
      <c r="P35" s="120">
        <v>0</v>
      </c>
      <c r="Q35" s="120">
        <v>7.7098463148162599</v>
      </c>
      <c r="R35" s="120">
        <v>3.766151008694</v>
      </c>
      <c r="S35" s="120">
        <v>0</v>
      </c>
      <c r="T35" s="120">
        <v>8.5953238111085195</v>
      </c>
      <c r="U35" s="120">
        <v>2.67985123453093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0.72923880778066996</v>
      </c>
      <c r="AF35" s="120">
        <v>2.2104400445284202E-2</v>
      </c>
      <c r="AG35" s="120">
        <v>0.46650130690802999</v>
      </c>
      <c r="AH35" s="120">
        <v>0</v>
      </c>
      <c r="AI35" s="120">
        <v>0.45407991893067001</v>
      </c>
      <c r="AJ35" s="120">
        <v>0</v>
      </c>
      <c r="AK35" s="120">
        <v>0</v>
      </c>
      <c r="AL35" s="120">
        <v>32.619747049659502</v>
      </c>
      <c r="AM35" s="120">
        <v>0</v>
      </c>
      <c r="AN35" s="120">
        <v>18.579937125138699</v>
      </c>
      <c r="AO35" s="120">
        <v>0</v>
      </c>
      <c r="AP35" s="120">
        <v>0</v>
      </c>
      <c r="AQ35" s="120">
        <v>0</v>
      </c>
      <c r="AR35" s="120">
        <v>0</v>
      </c>
      <c r="AS35" s="120">
        <v>0</v>
      </c>
      <c r="AT35" s="121">
        <v>0.29970144666266102</v>
      </c>
    </row>
    <row r="36" spans="2:46" ht="12" customHeight="1" x14ac:dyDescent="0.25">
      <c r="B36" s="119" t="s">
        <v>41</v>
      </c>
      <c r="C36" s="120" t="s">
        <v>42</v>
      </c>
      <c r="D36" s="120" t="s">
        <v>25</v>
      </c>
      <c r="E36" s="120" t="s">
        <v>25</v>
      </c>
      <c r="F36" s="120" t="s">
        <v>25</v>
      </c>
      <c r="G36" s="120" t="s">
        <v>25</v>
      </c>
      <c r="H36" s="120" t="s">
        <v>105</v>
      </c>
      <c r="I36" s="120" t="s">
        <v>25</v>
      </c>
      <c r="J36" s="120">
        <v>0.28999999999999998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0.223189585507577</v>
      </c>
      <c r="U36" s="120">
        <v>6.9229453895904097E-2</v>
      </c>
      <c r="V36" s="120">
        <v>0</v>
      </c>
      <c r="W36" s="120">
        <v>0</v>
      </c>
      <c r="X36" s="120">
        <v>0</v>
      </c>
      <c r="Y36" s="120">
        <v>0</v>
      </c>
      <c r="Z36" s="120">
        <v>0</v>
      </c>
      <c r="AA36" s="120">
        <v>0</v>
      </c>
      <c r="AB36" s="120">
        <v>0</v>
      </c>
      <c r="AC36" s="120">
        <v>0</v>
      </c>
      <c r="AD36" s="120">
        <v>0</v>
      </c>
      <c r="AE36" s="120">
        <v>0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1">
        <v>0</v>
      </c>
    </row>
    <row r="37" spans="2:46" ht="12" customHeight="1" x14ac:dyDescent="0.25">
      <c r="B37" s="119" t="s">
        <v>41</v>
      </c>
      <c r="C37" s="120" t="s">
        <v>42</v>
      </c>
      <c r="D37" s="120" t="s">
        <v>25</v>
      </c>
      <c r="E37" s="120" t="s">
        <v>25</v>
      </c>
      <c r="F37" s="120" t="s">
        <v>25</v>
      </c>
      <c r="G37" s="120" t="s">
        <v>35</v>
      </c>
      <c r="H37" s="120" t="s">
        <v>102</v>
      </c>
      <c r="I37" s="120" t="s">
        <v>25</v>
      </c>
      <c r="J37" s="120">
        <v>12.98</v>
      </c>
      <c r="K37" s="120">
        <v>44.18</v>
      </c>
      <c r="L37" s="120">
        <v>0.28138996292619101</v>
      </c>
      <c r="M37" s="120">
        <v>0</v>
      </c>
      <c r="N37" s="120">
        <v>0</v>
      </c>
      <c r="O37" s="120">
        <v>0</v>
      </c>
      <c r="P37" s="120">
        <v>0</v>
      </c>
      <c r="Q37" s="120">
        <v>7.7098463148162599</v>
      </c>
      <c r="R37" s="120">
        <v>3.766151008694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0.72923880778066996</v>
      </c>
      <c r="AF37" s="120">
        <v>2.2104400445284202E-2</v>
      </c>
      <c r="AG37" s="120">
        <v>0.46650130690802999</v>
      </c>
      <c r="AH37" s="120">
        <v>0</v>
      </c>
      <c r="AI37" s="120">
        <v>0.45407991893067001</v>
      </c>
      <c r="AJ37" s="120">
        <v>0</v>
      </c>
      <c r="AK37" s="120">
        <v>0</v>
      </c>
      <c r="AL37" s="120">
        <v>32.619747049659502</v>
      </c>
      <c r="AM37" s="120">
        <v>0</v>
      </c>
      <c r="AN37" s="120">
        <v>10.8022890262435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1">
        <v>0.29970144666266102</v>
      </c>
    </row>
    <row r="38" spans="2:46" ht="12" customHeight="1" x14ac:dyDescent="0.25">
      <c r="B38" s="119" t="s">
        <v>110</v>
      </c>
      <c r="C38" s="120" t="s">
        <v>66</v>
      </c>
      <c r="D38" s="120" t="s">
        <v>25</v>
      </c>
      <c r="E38" s="120" t="s">
        <v>25</v>
      </c>
      <c r="F38" s="120" t="s">
        <v>111</v>
      </c>
      <c r="G38" s="120" t="s">
        <v>25</v>
      </c>
      <c r="H38" s="120" t="s">
        <v>105</v>
      </c>
      <c r="I38" s="120" t="s">
        <v>25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1">
        <v>0</v>
      </c>
    </row>
    <row r="39" spans="2:46" ht="12" customHeight="1" x14ac:dyDescent="0.25">
      <c r="B39" s="119" t="s">
        <v>110</v>
      </c>
      <c r="C39" s="120" t="s">
        <v>66</v>
      </c>
      <c r="D39" s="120" t="s">
        <v>25</v>
      </c>
      <c r="E39" s="120" t="s">
        <v>25</v>
      </c>
      <c r="F39" s="120" t="s">
        <v>112</v>
      </c>
      <c r="G39" s="120" t="s">
        <v>25</v>
      </c>
      <c r="H39" s="120" t="s">
        <v>105</v>
      </c>
      <c r="I39" s="120" t="s">
        <v>25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  <c r="AK39" s="120">
        <v>0</v>
      </c>
      <c r="AL39" s="120">
        <v>0</v>
      </c>
      <c r="AM39" s="120">
        <v>0</v>
      </c>
      <c r="AN39" s="120">
        <v>0</v>
      </c>
      <c r="AO39" s="120">
        <v>0</v>
      </c>
      <c r="AP39" s="120">
        <v>0</v>
      </c>
      <c r="AQ39" s="120">
        <v>0</v>
      </c>
      <c r="AR39" s="120">
        <v>0</v>
      </c>
      <c r="AS39" s="120">
        <v>0</v>
      </c>
      <c r="AT39" s="121">
        <v>0</v>
      </c>
    </row>
    <row r="40" spans="2:46" ht="12" customHeight="1" x14ac:dyDescent="0.25">
      <c r="B40" s="119" t="s">
        <v>22</v>
      </c>
      <c r="C40" s="120" t="s">
        <v>33</v>
      </c>
      <c r="D40" s="120" t="s">
        <v>24</v>
      </c>
      <c r="E40" s="120" t="s">
        <v>24</v>
      </c>
      <c r="F40" s="120" t="s">
        <v>25</v>
      </c>
      <c r="G40" s="120" t="s">
        <v>34</v>
      </c>
      <c r="H40" s="120" t="s">
        <v>102</v>
      </c>
      <c r="I40" s="120" t="s">
        <v>25</v>
      </c>
      <c r="J40" s="120">
        <v>22.22</v>
      </c>
      <c r="K40" s="120">
        <v>51.95</v>
      </c>
      <c r="L40" s="120">
        <v>0.33498805110260799</v>
      </c>
      <c r="M40" s="120">
        <v>0</v>
      </c>
      <c r="N40" s="120">
        <v>0</v>
      </c>
      <c r="O40" s="120">
        <v>0</v>
      </c>
      <c r="P40" s="120">
        <v>0</v>
      </c>
      <c r="Q40" s="120">
        <v>9.1783884700193497</v>
      </c>
      <c r="R40" s="120">
        <v>3.766151008694</v>
      </c>
      <c r="S40" s="120">
        <v>0</v>
      </c>
      <c r="T40" s="120">
        <v>5.1029490221288301</v>
      </c>
      <c r="U40" s="120">
        <v>1.58294802957196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1.6483300993996499</v>
      </c>
      <c r="AF40" s="120">
        <v>4.9963534845369299E-2</v>
      </c>
      <c r="AG40" s="120">
        <v>0.55820929544327902</v>
      </c>
      <c r="AH40" s="120">
        <v>0</v>
      </c>
      <c r="AI40" s="120">
        <v>0.45407991893067001</v>
      </c>
      <c r="AJ40" s="120">
        <v>0</v>
      </c>
      <c r="AK40" s="120">
        <v>0</v>
      </c>
      <c r="AL40" s="120">
        <v>32.619747049659502</v>
      </c>
      <c r="AM40" s="120">
        <v>0</v>
      </c>
      <c r="AN40" s="120">
        <v>18.579937125138699</v>
      </c>
      <c r="AO40" s="120">
        <v>0</v>
      </c>
      <c r="AP40" s="120">
        <v>0</v>
      </c>
      <c r="AQ40" s="120">
        <v>0</v>
      </c>
      <c r="AR40" s="120">
        <v>0</v>
      </c>
      <c r="AS40" s="120">
        <v>0</v>
      </c>
      <c r="AT40" s="121">
        <v>0.29970144666266102</v>
      </c>
    </row>
    <row r="41" spans="2:46" ht="12" customHeight="1" x14ac:dyDescent="0.25">
      <c r="B41" s="119" t="s">
        <v>22</v>
      </c>
      <c r="C41" s="120" t="s">
        <v>33</v>
      </c>
      <c r="D41" s="120" t="s">
        <v>24</v>
      </c>
      <c r="E41" s="120" t="s">
        <v>24</v>
      </c>
      <c r="F41" s="120" t="s">
        <v>25</v>
      </c>
      <c r="G41" s="120" t="s">
        <v>36</v>
      </c>
      <c r="H41" s="120" t="s">
        <v>102</v>
      </c>
      <c r="I41" s="120" t="s">
        <v>25</v>
      </c>
      <c r="J41" s="120">
        <v>19.55</v>
      </c>
      <c r="K41" s="120">
        <v>44.18</v>
      </c>
      <c r="L41" s="120">
        <v>0.33498805110260799</v>
      </c>
      <c r="M41" s="120">
        <v>0</v>
      </c>
      <c r="N41" s="120">
        <v>0</v>
      </c>
      <c r="O41" s="120">
        <v>0</v>
      </c>
      <c r="P41" s="120">
        <v>0</v>
      </c>
      <c r="Q41" s="120">
        <v>9.1783884700193497</v>
      </c>
      <c r="R41" s="120">
        <v>3.766151008694</v>
      </c>
      <c r="S41" s="120">
        <v>0</v>
      </c>
      <c r="T41" s="120">
        <v>3.0617694132772999</v>
      </c>
      <c r="U41" s="120">
        <v>0.94976881774317801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1.6483300993996499</v>
      </c>
      <c r="AF41" s="120">
        <v>4.9963534845369299E-2</v>
      </c>
      <c r="AG41" s="120">
        <v>0.55820929544327902</v>
      </c>
      <c r="AH41" s="120">
        <v>0</v>
      </c>
      <c r="AI41" s="120">
        <v>0.45407991893067001</v>
      </c>
      <c r="AJ41" s="120">
        <v>0</v>
      </c>
      <c r="AK41" s="120">
        <v>0</v>
      </c>
      <c r="AL41" s="120">
        <v>32.619747049659502</v>
      </c>
      <c r="AM41" s="120">
        <v>0</v>
      </c>
      <c r="AN41" s="120">
        <v>10.8022890262435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1">
        <v>0.29970144666266102</v>
      </c>
    </row>
    <row r="42" spans="2:46" ht="12" customHeight="1" x14ac:dyDescent="0.25">
      <c r="B42" s="119" t="s">
        <v>22</v>
      </c>
      <c r="C42" s="120" t="s">
        <v>33</v>
      </c>
      <c r="D42" s="120" t="s">
        <v>24</v>
      </c>
      <c r="E42" s="120" t="s">
        <v>24</v>
      </c>
      <c r="F42" s="120" t="s">
        <v>25</v>
      </c>
      <c r="G42" s="120" t="s">
        <v>35</v>
      </c>
      <c r="H42" s="120" t="s">
        <v>102</v>
      </c>
      <c r="I42" s="120" t="s">
        <v>25</v>
      </c>
      <c r="J42" s="120">
        <v>16.87</v>
      </c>
      <c r="K42" s="120">
        <v>44.18</v>
      </c>
      <c r="L42" s="120">
        <v>0.33498805110260799</v>
      </c>
      <c r="M42" s="120">
        <v>0</v>
      </c>
      <c r="N42" s="120">
        <v>0</v>
      </c>
      <c r="O42" s="120">
        <v>0</v>
      </c>
      <c r="P42" s="120">
        <v>0</v>
      </c>
      <c r="Q42" s="120">
        <v>9.1783884700193497</v>
      </c>
      <c r="R42" s="120">
        <v>3.766151008694</v>
      </c>
      <c r="S42" s="120">
        <v>0</v>
      </c>
      <c r="T42" s="120">
        <v>1.02058980442577</v>
      </c>
      <c r="U42" s="120">
        <v>0.316589605914393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1.6483300993996499</v>
      </c>
      <c r="AF42" s="120">
        <v>4.9963534845369299E-2</v>
      </c>
      <c r="AG42" s="120">
        <v>0.55820929544327902</v>
      </c>
      <c r="AH42" s="120">
        <v>0</v>
      </c>
      <c r="AI42" s="120">
        <v>0.45407991893067001</v>
      </c>
      <c r="AJ42" s="120">
        <v>0</v>
      </c>
      <c r="AK42" s="120">
        <v>0</v>
      </c>
      <c r="AL42" s="120">
        <v>32.619747049659502</v>
      </c>
      <c r="AM42" s="120">
        <v>0</v>
      </c>
      <c r="AN42" s="120">
        <v>10.8022890262435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1">
        <v>0.29970144666266102</v>
      </c>
    </row>
    <row r="43" spans="2:46" ht="12" customHeight="1" x14ac:dyDescent="0.25">
      <c r="B43" s="119" t="s">
        <v>22</v>
      </c>
      <c r="C43" s="120" t="s">
        <v>23</v>
      </c>
      <c r="D43" s="120" t="s">
        <v>24</v>
      </c>
      <c r="E43" s="120" t="s">
        <v>1562</v>
      </c>
      <c r="F43" s="120" t="s">
        <v>25</v>
      </c>
      <c r="G43" s="120" t="s">
        <v>25</v>
      </c>
      <c r="H43" s="120" t="s">
        <v>102</v>
      </c>
      <c r="I43" s="120" t="s">
        <v>25</v>
      </c>
      <c r="J43" s="120">
        <v>4.3499999999999996</v>
      </c>
      <c r="K43" s="120">
        <v>44.82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1.59467419938304</v>
      </c>
      <c r="U43" s="120">
        <v>0.49467048075241699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1.6483300993996499</v>
      </c>
      <c r="AF43" s="120">
        <v>4.9963534845369299E-2</v>
      </c>
      <c r="AG43" s="120">
        <v>0.55820929544327902</v>
      </c>
      <c r="AH43" s="120">
        <v>0</v>
      </c>
      <c r="AI43" s="120">
        <v>0.45407991893067001</v>
      </c>
      <c r="AJ43" s="120">
        <v>0</v>
      </c>
      <c r="AK43" s="120">
        <v>0</v>
      </c>
      <c r="AL43" s="120">
        <v>32.619747049659502</v>
      </c>
      <c r="AM43" s="120">
        <v>0</v>
      </c>
      <c r="AN43" s="120">
        <v>11.4504263678181</v>
      </c>
      <c r="AO43" s="120">
        <v>0</v>
      </c>
      <c r="AP43" s="120">
        <v>0</v>
      </c>
      <c r="AQ43" s="120">
        <v>0</v>
      </c>
      <c r="AR43" s="120">
        <v>0</v>
      </c>
      <c r="AS43" s="120">
        <v>0</v>
      </c>
      <c r="AT43" s="121">
        <v>0.29970144666266102</v>
      </c>
    </row>
    <row r="44" spans="2:46" ht="12" customHeight="1" x14ac:dyDescent="0.25">
      <c r="B44" s="119" t="s">
        <v>22</v>
      </c>
      <c r="C44" s="120" t="s">
        <v>23</v>
      </c>
      <c r="D44" s="120" t="s">
        <v>24</v>
      </c>
      <c r="E44" s="120" t="s">
        <v>24</v>
      </c>
      <c r="F44" s="120" t="s">
        <v>25</v>
      </c>
      <c r="G44" s="120" t="s">
        <v>25</v>
      </c>
      <c r="H44" s="120" t="s">
        <v>102</v>
      </c>
      <c r="I44" s="120" t="s">
        <v>25</v>
      </c>
      <c r="J44" s="120">
        <v>17.63</v>
      </c>
      <c r="K44" s="120">
        <v>44.82</v>
      </c>
      <c r="L44" s="120">
        <v>0.33498805110260799</v>
      </c>
      <c r="M44" s="120">
        <v>0</v>
      </c>
      <c r="N44" s="120">
        <v>0</v>
      </c>
      <c r="O44" s="120">
        <v>0</v>
      </c>
      <c r="P44" s="120">
        <v>0</v>
      </c>
      <c r="Q44" s="120">
        <v>9.1783884700193497</v>
      </c>
      <c r="R44" s="120">
        <v>3.766151008694</v>
      </c>
      <c r="S44" s="120">
        <v>0</v>
      </c>
      <c r="T44" s="120">
        <v>1.59467419938304</v>
      </c>
      <c r="U44" s="120">
        <v>0.49467048075241699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1.6483300993996499</v>
      </c>
      <c r="AF44" s="120">
        <v>4.9963534845369299E-2</v>
      </c>
      <c r="AG44" s="120">
        <v>0.55820929544327902</v>
      </c>
      <c r="AH44" s="120">
        <v>0</v>
      </c>
      <c r="AI44" s="120">
        <v>0.45407991893067001</v>
      </c>
      <c r="AJ44" s="120">
        <v>0</v>
      </c>
      <c r="AK44" s="120">
        <v>0</v>
      </c>
      <c r="AL44" s="120">
        <v>32.619747049659502</v>
      </c>
      <c r="AM44" s="120">
        <v>0</v>
      </c>
      <c r="AN44" s="120">
        <v>11.4504263678181</v>
      </c>
      <c r="AO44" s="120">
        <v>0</v>
      </c>
      <c r="AP44" s="120">
        <v>0</v>
      </c>
      <c r="AQ44" s="120">
        <v>0</v>
      </c>
      <c r="AR44" s="120">
        <v>0</v>
      </c>
      <c r="AS44" s="120">
        <v>0</v>
      </c>
      <c r="AT44" s="121">
        <v>0.29970144666266102</v>
      </c>
    </row>
    <row r="45" spans="2:46" ht="12" customHeight="1" x14ac:dyDescent="0.25">
      <c r="B45" s="119" t="s">
        <v>22</v>
      </c>
      <c r="C45" s="120" t="s">
        <v>115</v>
      </c>
      <c r="D45" s="120" t="s">
        <v>24</v>
      </c>
      <c r="E45" s="120" t="s">
        <v>1562</v>
      </c>
      <c r="F45" s="120" t="s">
        <v>25</v>
      </c>
      <c r="G45" s="120" t="s">
        <v>25</v>
      </c>
      <c r="H45" s="120" t="s">
        <v>102</v>
      </c>
      <c r="I45" s="120" t="s">
        <v>25</v>
      </c>
      <c r="J45" s="120">
        <v>4.3499999999999996</v>
      </c>
      <c r="K45" s="120">
        <v>44.82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1.59467419938304</v>
      </c>
      <c r="U45" s="120">
        <v>0.49467048075241699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1.6483300993996499</v>
      </c>
      <c r="AF45" s="120">
        <v>4.9963534845369299E-2</v>
      </c>
      <c r="AG45" s="120">
        <v>0.55820929544327902</v>
      </c>
      <c r="AH45" s="120">
        <v>0</v>
      </c>
      <c r="AI45" s="120">
        <v>0.45407991893067001</v>
      </c>
      <c r="AJ45" s="120">
        <v>0</v>
      </c>
      <c r="AK45" s="120">
        <v>0</v>
      </c>
      <c r="AL45" s="120">
        <v>32.619747049659502</v>
      </c>
      <c r="AM45" s="120">
        <v>0</v>
      </c>
      <c r="AN45" s="120">
        <v>11.4504263678181</v>
      </c>
      <c r="AO45" s="120">
        <v>0</v>
      </c>
      <c r="AP45" s="120">
        <v>0</v>
      </c>
      <c r="AQ45" s="120">
        <v>0</v>
      </c>
      <c r="AR45" s="120">
        <v>0</v>
      </c>
      <c r="AS45" s="120">
        <v>0</v>
      </c>
      <c r="AT45" s="121">
        <v>0.29970144666266102</v>
      </c>
    </row>
    <row r="46" spans="2:46" ht="12" customHeight="1" x14ac:dyDescent="0.25">
      <c r="B46" s="119" t="s">
        <v>22</v>
      </c>
      <c r="C46" s="120" t="s">
        <v>115</v>
      </c>
      <c r="D46" s="120" t="s">
        <v>24</v>
      </c>
      <c r="E46" s="120" t="s">
        <v>24</v>
      </c>
      <c r="F46" s="120" t="s">
        <v>25</v>
      </c>
      <c r="G46" s="120" t="s">
        <v>25</v>
      </c>
      <c r="H46" s="120" t="s">
        <v>102</v>
      </c>
      <c r="I46" s="120" t="s">
        <v>25</v>
      </c>
      <c r="J46" s="120">
        <v>17.63</v>
      </c>
      <c r="K46" s="120">
        <v>44.82</v>
      </c>
      <c r="L46" s="120">
        <v>0.33498805110260799</v>
      </c>
      <c r="M46" s="120">
        <v>0</v>
      </c>
      <c r="N46" s="120">
        <v>0</v>
      </c>
      <c r="O46" s="120">
        <v>0</v>
      </c>
      <c r="P46" s="120">
        <v>0</v>
      </c>
      <c r="Q46" s="120">
        <v>9.1783884700193497</v>
      </c>
      <c r="R46" s="120">
        <v>3.766151008694</v>
      </c>
      <c r="S46" s="120">
        <v>0</v>
      </c>
      <c r="T46" s="120">
        <v>1.59467419938304</v>
      </c>
      <c r="U46" s="120">
        <v>0.49467048075241699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1.6483300993996499</v>
      </c>
      <c r="AF46" s="120">
        <v>4.9963534845369299E-2</v>
      </c>
      <c r="AG46" s="120">
        <v>0.55820929544327902</v>
      </c>
      <c r="AH46" s="120">
        <v>0</v>
      </c>
      <c r="AI46" s="120">
        <v>0.45407991893067001</v>
      </c>
      <c r="AJ46" s="120">
        <v>0</v>
      </c>
      <c r="AK46" s="120">
        <v>0</v>
      </c>
      <c r="AL46" s="120">
        <v>32.619747049659502</v>
      </c>
      <c r="AM46" s="120">
        <v>0</v>
      </c>
      <c r="AN46" s="120">
        <v>11.4504263678181</v>
      </c>
      <c r="AO46" s="120">
        <v>0</v>
      </c>
      <c r="AP46" s="120">
        <v>0</v>
      </c>
      <c r="AQ46" s="120">
        <v>0</v>
      </c>
      <c r="AR46" s="120">
        <v>0</v>
      </c>
      <c r="AS46" s="120">
        <v>0</v>
      </c>
      <c r="AT46" s="121">
        <v>0.29970144666266102</v>
      </c>
    </row>
    <row r="47" spans="2:46" ht="12" customHeight="1" x14ac:dyDescent="0.25">
      <c r="B47" s="119" t="s">
        <v>44</v>
      </c>
      <c r="C47" s="120" t="s">
        <v>33</v>
      </c>
      <c r="D47" s="120" t="s">
        <v>45</v>
      </c>
      <c r="E47" s="120" t="s">
        <v>116</v>
      </c>
      <c r="F47" s="120" t="s">
        <v>25</v>
      </c>
      <c r="G47" s="120" t="s">
        <v>34</v>
      </c>
      <c r="H47" s="120" t="s">
        <v>102</v>
      </c>
      <c r="I47" s="120" t="s">
        <v>25</v>
      </c>
      <c r="J47" s="120">
        <v>21.18</v>
      </c>
      <c r="K47" s="120">
        <v>48.84</v>
      </c>
      <c r="L47" s="120">
        <v>0.31488876803645199</v>
      </c>
      <c r="M47" s="120">
        <v>0</v>
      </c>
      <c r="N47" s="120">
        <v>0</v>
      </c>
      <c r="O47" s="120">
        <v>0</v>
      </c>
      <c r="P47" s="120">
        <v>0</v>
      </c>
      <c r="Q47" s="120">
        <v>8.6276851618181905</v>
      </c>
      <c r="R47" s="120">
        <v>3.5401819481723602</v>
      </c>
      <c r="S47" s="120">
        <v>0</v>
      </c>
      <c r="T47" s="120">
        <v>5.0216180350436099</v>
      </c>
      <c r="U47" s="120">
        <v>1.55771851473655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1.5494302934356701</v>
      </c>
      <c r="AF47" s="120">
        <v>4.6965722754647103E-2</v>
      </c>
      <c r="AG47" s="120">
        <v>0.52471673771668303</v>
      </c>
      <c r="AH47" s="120">
        <v>0</v>
      </c>
      <c r="AI47" s="120">
        <v>0.42683512379482902</v>
      </c>
      <c r="AJ47" s="120">
        <v>0</v>
      </c>
      <c r="AK47" s="120">
        <v>0</v>
      </c>
      <c r="AL47" s="120">
        <v>30.662562226679899</v>
      </c>
      <c r="AM47" s="120">
        <v>0</v>
      </c>
      <c r="AN47" s="120">
        <v>17.465140897630398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1">
        <v>0.28171935986290098</v>
      </c>
    </row>
    <row r="48" spans="2:46" ht="12" customHeight="1" x14ac:dyDescent="0.25">
      <c r="B48" s="119" t="s">
        <v>44</v>
      </c>
      <c r="C48" s="120" t="s">
        <v>33</v>
      </c>
      <c r="D48" s="120" t="s">
        <v>45</v>
      </c>
      <c r="E48" s="120" t="s">
        <v>116</v>
      </c>
      <c r="F48" s="120" t="s">
        <v>25</v>
      </c>
      <c r="G48" s="120" t="s">
        <v>36</v>
      </c>
      <c r="H48" s="120" t="s">
        <v>102</v>
      </c>
      <c r="I48" s="120" t="s">
        <v>25</v>
      </c>
      <c r="J48" s="120">
        <v>18.55</v>
      </c>
      <c r="K48" s="120">
        <v>41.53</v>
      </c>
      <c r="L48" s="120">
        <v>0.31488876803645199</v>
      </c>
      <c r="M48" s="120">
        <v>0</v>
      </c>
      <c r="N48" s="120">
        <v>0</v>
      </c>
      <c r="O48" s="120">
        <v>0</v>
      </c>
      <c r="P48" s="120">
        <v>0</v>
      </c>
      <c r="Q48" s="120">
        <v>8.6276851618181905</v>
      </c>
      <c r="R48" s="120">
        <v>3.5401819481723602</v>
      </c>
      <c r="S48" s="120">
        <v>0</v>
      </c>
      <c r="T48" s="120">
        <v>3.0129730812956201</v>
      </c>
      <c r="U48" s="120">
        <v>0.93463462138349096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1.5494302934356701</v>
      </c>
      <c r="AF48" s="120">
        <v>4.6965722754647103E-2</v>
      </c>
      <c r="AG48" s="120">
        <v>0.52471673771668303</v>
      </c>
      <c r="AH48" s="120">
        <v>0</v>
      </c>
      <c r="AI48" s="120">
        <v>0.42683512379482902</v>
      </c>
      <c r="AJ48" s="120">
        <v>0</v>
      </c>
      <c r="AK48" s="120">
        <v>0</v>
      </c>
      <c r="AL48" s="120">
        <v>30.662562226679899</v>
      </c>
      <c r="AM48" s="120">
        <v>0</v>
      </c>
      <c r="AN48" s="120">
        <v>10.1541516846689</v>
      </c>
      <c r="AO48" s="120">
        <v>0</v>
      </c>
      <c r="AP48" s="120">
        <v>0</v>
      </c>
      <c r="AQ48" s="120">
        <v>0</v>
      </c>
      <c r="AR48" s="120">
        <v>0</v>
      </c>
      <c r="AS48" s="120">
        <v>0</v>
      </c>
      <c r="AT48" s="121">
        <v>0.28171935986290098</v>
      </c>
    </row>
    <row r="49" spans="2:46" ht="12" customHeight="1" x14ac:dyDescent="0.25">
      <c r="B49" s="119" t="s">
        <v>44</v>
      </c>
      <c r="C49" s="120" t="s">
        <v>33</v>
      </c>
      <c r="D49" s="120" t="s">
        <v>45</v>
      </c>
      <c r="E49" s="120" t="s">
        <v>116</v>
      </c>
      <c r="F49" s="120" t="s">
        <v>25</v>
      </c>
      <c r="G49" s="120" t="s">
        <v>35</v>
      </c>
      <c r="H49" s="120" t="s">
        <v>102</v>
      </c>
      <c r="I49" s="120" t="s">
        <v>25</v>
      </c>
      <c r="J49" s="120">
        <v>15.92</v>
      </c>
      <c r="K49" s="120">
        <v>41.53</v>
      </c>
      <c r="L49" s="120">
        <v>0.31488876803645199</v>
      </c>
      <c r="M49" s="120">
        <v>0</v>
      </c>
      <c r="N49" s="120">
        <v>0</v>
      </c>
      <c r="O49" s="120">
        <v>0</v>
      </c>
      <c r="P49" s="120">
        <v>0</v>
      </c>
      <c r="Q49" s="120">
        <v>8.6276851618181905</v>
      </c>
      <c r="R49" s="120">
        <v>3.5401819481723602</v>
      </c>
      <c r="S49" s="120">
        <v>0</v>
      </c>
      <c r="T49" s="120">
        <v>1.004322476874</v>
      </c>
      <c r="U49" s="120">
        <v>0.31154487379449702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1.5494302934356701</v>
      </c>
      <c r="AF49" s="120">
        <v>4.6965722754647103E-2</v>
      </c>
      <c r="AG49" s="120">
        <v>0.52471673771668303</v>
      </c>
      <c r="AH49" s="120">
        <v>0</v>
      </c>
      <c r="AI49" s="120">
        <v>0.42683512379482902</v>
      </c>
      <c r="AJ49" s="120">
        <v>0</v>
      </c>
      <c r="AK49" s="120">
        <v>0</v>
      </c>
      <c r="AL49" s="120">
        <v>30.662562226679899</v>
      </c>
      <c r="AM49" s="120">
        <v>0</v>
      </c>
      <c r="AN49" s="120">
        <v>10.1541516846689</v>
      </c>
      <c r="AO49" s="120">
        <v>0</v>
      </c>
      <c r="AP49" s="120">
        <v>0</v>
      </c>
      <c r="AQ49" s="120">
        <v>0</v>
      </c>
      <c r="AR49" s="120">
        <v>0</v>
      </c>
      <c r="AS49" s="120">
        <v>0</v>
      </c>
      <c r="AT49" s="121">
        <v>0.28171935986290098</v>
      </c>
    </row>
    <row r="50" spans="2:46" ht="12" customHeight="1" x14ac:dyDescent="0.25">
      <c r="B50" s="119" t="s">
        <v>44</v>
      </c>
      <c r="C50" s="120" t="s">
        <v>33</v>
      </c>
      <c r="D50" s="120" t="s">
        <v>45</v>
      </c>
      <c r="E50" s="120" t="s">
        <v>25</v>
      </c>
      <c r="F50" s="120" t="s">
        <v>25</v>
      </c>
      <c r="G50" s="120" t="s">
        <v>34</v>
      </c>
      <c r="H50" s="120" t="s">
        <v>102</v>
      </c>
      <c r="I50" s="120" t="s">
        <v>25</v>
      </c>
      <c r="J50" s="120">
        <v>21.18</v>
      </c>
      <c r="K50" s="120">
        <v>48.84</v>
      </c>
      <c r="L50" s="120">
        <v>0.31488876803645199</v>
      </c>
      <c r="M50" s="120">
        <v>0</v>
      </c>
      <c r="N50" s="120">
        <v>0</v>
      </c>
      <c r="O50" s="120">
        <v>0</v>
      </c>
      <c r="P50" s="120">
        <v>0</v>
      </c>
      <c r="Q50" s="120">
        <v>8.6276851618181905</v>
      </c>
      <c r="R50" s="120">
        <v>3.5401819481723602</v>
      </c>
      <c r="S50" s="120">
        <v>0</v>
      </c>
      <c r="T50" s="120">
        <v>5.0216180350436099</v>
      </c>
      <c r="U50" s="120">
        <v>1.55771851473655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1.5494302934356701</v>
      </c>
      <c r="AF50" s="120">
        <v>4.6965722754647103E-2</v>
      </c>
      <c r="AG50" s="120">
        <v>0.52471673771668303</v>
      </c>
      <c r="AH50" s="120">
        <v>0</v>
      </c>
      <c r="AI50" s="120">
        <v>0.42683512379482902</v>
      </c>
      <c r="AJ50" s="120">
        <v>0</v>
      </c>
      <c r="AK50" s="120">
        <v>0</v>
      </c>
      <c r="AL50" s="120">
        <v>30.662562226679899</v>
      </c>
      <c r="AM50" s="120">
        <v>0</v>
      </c>
      <c r="AN50" s="120">
        <v>17.465140897630398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1">
        <v>0.28171935986290098</v>
      </c>
    </row>
    <row r="51" spans="2:46" ht="12" customHeight="1" x14ac:dyDescent="0.25">
      <c r="B51" s="119" t="s">
        <v>44</v>
      </c>
      <c r="C51" s="120" t="s">
        <v>33</v>
      </c>
      <c r="D51" s="120" t="s">
        <v>45</v>
      </c>
      <c r="E51" s="120" t="s">
        <v>25</v>
      </c>
      <c r="F51" s="120" t="s">
        <v>25</v>
      </c>
      <c r="G51" s="120" t="s">
        <v>36</v>
      </c>
      <c r="H51" s="120" t="s">
        <v>102</v>
      </c>
      <c r="I51" s="120" t="s">
        <v>25</v>
      </c>
      <c r="J51" s="120">
        <v>18.55</v>
      </c>
      <c r="K51" s="120">
        <v>41.53</v>
      </c>
      <c r="L51" s="120">
        <v>0.31488876803645199</v>
      </c>
      <c r="M51" s="120">
        <v>0</v>
      </c>
      <c r="N51" s="120">
        <v>0</v>
      </c>
      <c r="O51" s="120">
        <v>0</v>
      </c>
      <c r="P51" s="120">
        <v>0</v>
      </c>
      <c r="Q51" s="120">
        <v>8.6276851618181905</v>
      </c>
      <c r="R51" s="120">
        <v>3.5401819481723602</v>
      </c>
      <c r="S51" s="120">
        <v>0</v>
      </c>
      <c r="T51" s="120">
        <v>3.0129730812956201</v>
      </c>
      <c r="U51" s="120">
        <v>0.93463462138349096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1.5494302934356701</v>
      </c>
      <c r="AF51" s="120">
        <v>4.6965722754647103E-2</v>
      </c>
      <c r="AG51" s="120">
        <v>0.52471673771668303</v>
      </c>
      <c r="AH51" s="120">
        <v>0</v>
      </c>
      <c r="AI51" s="120">
        <v>0.42683512379482902</v>
      </c>
      <c r="AJ51" s="120">
        <v>0</v>
      </c>
      <c r="AK51" s="120">
        <v>0</v>
      </c>
      <c r="AL51" s="120">
        <v>30.662562226679899</v>
      </c>
      <c r="AM51" s="120">
        <v>0</v>
      </c>
      <c r="AN51" s="120">
        <v>10.1541516846689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1">
        <v>0.28171935986290098</v>
      </c>
    </row>
    <row r="52" spans="2:46" ht="12" customHeight="1" x14ac:dyDescent="0.25">
      <c r="B52" s="119" t="s">
        <v>44</v>
      </c>
      <c r="C52" s="120" t="s">
        <v>33</v>
      </c>
      <c r="D52" s="120" t="s">
        <v>45</v>
      </c>
      <c r="E52" s="120" t="s">
        <v>25</v>
      </c>
      <c r="F52" s="120" t="s">
        <v>25</v>
      </c>
      <c r="G52" s="120" t="s">
        <v>35</v>
      </c>
      <c r="H52" s="120" t="s">
        <v>102</v>
      </c>
      <c r="I52" s="120" t="s">
        <v>25</v>
      </c>
      <c r="J52" s="120">
        <v>15.92</v>
      </c>
      <c r="K52" s="120">
        <v>41.53</v>
      </c>
      <c r="L52" s="120">
        <v>0.31488876803645199</v>
      </c>
      <c r="M52" s="120">
        <v>0</v>
      </c>
      <c r="N52" s="120">
        <v>0</v>
      </c>
      <c r="O52" s="120">
        <v>0</v>
      </c>
      <c r="P52" s="120">
        <v>0</v>
      </c>
      <c r="Q52" s="120">
        <v>8.6276851618181905</v>
      </c>
      <c r="R52" s="120">
        <v>3.5401819481723602</v>
      </c>
      <c r="S52" s="120">
        <v>0</v>
      </c>
      <c r="T52" s="120">
        <v>1.004322476874</v>
      </c>
      <c r="U52" s="120">
        <v>0.31154487379449702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1.5494302934356701</v>
      </c>
      <c r="AF52" s="120">
        <v>4.6965722754647103E-2</v>
      </c>
      <c r="AG52" s="120">
        <v>0.52471673771668303</v>
      </c>
      <c r="AH52" s="120">
        <v>0</v>
      </c>
      <c r="AI52" s="120">
        <v>0.42683512379482902</v>
      </c>
      <c r="AJ52" s="120">
        <v>0</v>
      </c>
      <c r="AK52" s="120">
        <v>0</v>
      </c>
      <c r="AL52" s="120">
        <v>30.662562226679899</v>
      </c>
      <c r="AM52" s="120">
        <v>0</v>
      </c>
      <c r="AN52" s="120">
        <v>10.1541516846689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1">
        <v>0.28171935986290098</v>
      </c>
    </row>
    <row r="53" spans="2:46" ht="12" customHeight="1" x14ac:dyDescent="0.25">
      <c r="B53" s="119" t="s">
        <v>44</v>
      </c>
      <c r="C53" s="120" t="s">
        <v>33</v>
      </c>
      <c r="D53" s="120" t="s">
        <v>45</v>
      </c>
      <c r="E53" s="120" t="s">
        <v>117</v>
      </c>
      <c r="F53" s="120" t="s">
        <v>25</v>
      </c>
      <c r="G53" s="120" t="s">
        <v>34</v>
      </c>
      <c r="H53" s="120" t="s">
        <v>102</v>
      </c>
      <c r="I53" s="120" t="s">
        <v>25</v>
      </c>
      <c r="J53" s="120">
        <v>20.73</v>
      </c>
      <c r="K53" s="120">
        <v>47.8</v>
      </c>
      <c r="L53" s="120">
        <v>0.3081890070144</v>
      </c>
      <c r="M53" s="120">
        <v>0</v>
      </c>
      <c r="N53" s="120">
        <v>0</v>
      </c>
      <c r="O53" s="120">
        <v>0</v>
      </c>
      <c r="P53" s="120">
        <v>0</v>
      </c>
      <c r="Q53" s="120">
        <v>8.4441173924178106</v>
      </c>
      <c r="R53" s="120">
        <v>3.4648589279984798</v>
      </c>
      <c r="S53" s="120">
        <v>0</v>
      </c>
      <c r="T53" s="120">
        <v>4.91477509812779</v>
      </c>
      <c r="U53" s="120">
        <v>1.5245755676144901</v>
      </c>
      <c r="V53" s="120">
        <v>0</v>
      </c>
      <c r="W53" s="120">
        <v>0</v>
      </c>
      <c r="X53" s="120">
        <v>0</v>
      </c>
      <c r="Y53" s="120">
        <v>0</v>
      </c>
      <c r="Z53" s="120">
        <v>0</v>
      </c>
      <c r="AA53" s="120">
        <v>0</v>
      </c>
      <c r="AB53" s="120">
        <v>0</v>
      </c>
      <c r="AC53" s="120">
        <v>0</v>
      </c>
      <c r="AD53" s="120">
        <v>0</v>
      </c>
      <c r="AE53" s="120">
        <v>1.5164636914476799</v>
      </c>
      <c r="AF53" s="120">
        <v>4.5966452057739797E-2</v>
      </c>
      <c r="AG53" s="120">
        <v>0.513552551807817</v>
      </c>
      <c r="AH53" s="120">
        <v>0</v>
      </c>
      <c r="AI53" s="120">
        <v>0.41775352541621602</v>
      </c>
      <c r="AJ53" s="120">
        <v>0</v>
      </c>
      <c r="AK53" s="120">
        <v>0</v>
      </c>
      <c r="AL53" s="120">
        <v>30.010167285686801</v>
      </c>
      <c r="AM53" s="120">
        <v>0</v>
      </c>
      <c r="AN53" s="120">
        <v>17.0935421551277</v>
      </c>
      <c r="AO53" s="120">
        <v>0</v>
      </c>
      <c r="AP53" s="120">
        <v>0</v>
      </c>
      <c r="AQ53" s="120">
        <v>0</v>
      </c>
      <c r="AR53" s="120">
        <v>0</v>
      </c>
      <c r="AS53" s="120">
        <v>0</v>
      </c>
      <c r="AT53" s="121">
        <v>0.27572533092964802</v>
      </c>
    </row>
    <row r="54" spans="2:46" ht="12" customHeight="1" x14ac:dyDescent="0.25">
      <c r="B54" s="119" t="s">
        <v>44</v>
      </c>
      <c r="C54" s="120" t="s">
        <v>33</v>
      </c>
      <c r="D54" s="120" t="s">
        <v>45</v>
      </c>
      <c r="E54" s="120" t="s">
        <v>117</v>
      </c>
      <c r="F54" s="120" t="s">
        <v>25</v>
      </c>
      <c r="G54" s="120" t="s">
        <v>36</v>
      </c>
      <c r="H54" s="120" t="s">
        <v>102</v>
      </c>
      <c r="I54" s="120" t="s">
        <v>25</v>
      </c>
      <c r="J54" s="120">
        <v>18.16</v>
      </c>
      <c r="K54" s="120">
        <v>40.64</v>
      </c>
      <c r="L54" s="120">
        <v>0.3081890070144</v>
      </c>
      <c r="M54" s="120">
        <v>0</v>
      </c>
      <c r="N54" s="120">
        <v>0</v>
      </c>
      <c r="O54" s="120">
        <v>0</v>
      </c>
      <c r="P54" s="120">
        <v>0</v>
      </c>
      <c r="Q54" s="120">
        <v>8.4441173924178106</v>
      </c>
      <c r="R54" s="120">
        <v>3.4648589279984798</v>
      </c>
      <c r="S54" s="120">
        <v>0</v>
      </c>
      <c r="T54" s="120">
        <v>2.9488672710552799</v>
      </c>
      <c r="U54" s="120">
        <v>0.91474877837533197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  <c r="AD54" s="120">
        <v>0</v>
      </c>
      <c r="AE54" s="120">
        <v>1.5164636914476799</v>
      </c>
      <c r="AF54" s="120">
        <v>4.5966452057739797E-2</v>
      </c>
      <c r="AG54" s="120">
        <v>0.513552551807817</v>
      </c>
      <c r="AH54" s="120">
        <v>0</v>
      </c>
      <c r="AI54" s="120">
        <v>0.41775352541621602</v>
      </c>
      <c r="AJ54" s="120">
        <v>0</v>
      </c>
      <c r="AK54" s="120">
        <v>0</v>
      </c>
      <c r="AL54" s="120">
        <v>30.010167285686801</v>
      </c>
      <c r="AM54" s="120">
        <v>0</v>
      </c>
      <c r="AN54" s="120">
        <v>9.9381059041439794</v>
      </c>
      <c r="AO54" s="120">
        <v>0</v>
      </c>
      <c r="AP54" s="120">
        <v>0</v>
      </c>
      <c r="AQ54" s="120">
        <v>0</v>
      </c>
      <c r="AR54" s="120">
        <v>0</v>
      </c>
      <c r="AS54" s="120">
        <v>0</v>
      </c>
      <c r="AT54" s="121">
        <v>0.27572533092964802</v>
      </c>
    </row>
    <row r="55" spans="2:46" ht="12" customHeight="1" x14ac:dyDescent="0.25">
      <c r="B55" s="119" t="s">
        <v>44</v>
      </c>
      <c r="C55" s="120" t="s">
        <v>33</v>
      </c>
      <c r="D55" s="120" t="s">
        <v>45</v>
      </c>
      <c r="E55" s="120" t="s">
        <v>117</v>
      </c>
      <c r="F55" s="120" t="s">
        <v>25</v>
      </c>
      <c r="G55" s="120" t="s">
        <v>35</v>
      </c>
      <c r="H55" s="120" t="s">
        <v>102</v>
      </c>
      <c r="I55" s="120" t="s">
        <v>25</v>
      </c>
      <c r="J55" s="120">
        <v>15.58</v>
      </c>
      <c r="K55" s="120">
        <v>40.64</v>
      </c>
      <c r="L55" s="120">
        <v>0.3081890070144</v>
      </c>
      <c r="M55" s="120">
        <v>0</v>
      </c>
      <c r="N55" s="120">
        <v>0</v>
      </c>
      <c r="O55" s="120">
        <v>0</v>
      </c>
      <c r="P55" s="120">
        <v>0</v>
      </c>
      <c r="Q55" s="120">
        <v>8.4441173924178106</v>
      </c>
      <c r="R55" s="120">
        <v>3.4648589279984798</v>
      </c>
      <c r="S55" s="120">
        <v>0</v>
      </c>
      <c r="T55" s="120">
        <v>0.98295391353625206</v>
      </c>
      <c r="U55" s="120">
        <v>0.30491625945844397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1.5164636914476799</v>
      </c>
      <c r="AF55" s="120">
        <v>4.5966452057739797E-2</v>
      </c>
      <c r="AG55" s="120">
        <v>0.513552551807817</v>
      </c>
      <c r="AH55" s="120">
        <v>0</v>
      </c>
      <c r="AI55" s="120">
        <v>0.41775352541621602</v>
      </c>
      <c r="AJ55" s="120">
        <v>0</v>
      </c>
      <c r="AK55" s="120">
        <v>0</v>
      </c>
      <c r="AL55" s="120">
        <v>30.010167285686801</v>
      </c>
      <c r="AM55" s="120">
        <v>0</v>
      </c>
      <c r="AN55" s="120">
        <v>9.9381059041439794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1">
        <v>0.27572533092964802</v>
      </c>
    </row>
    <row r="56" spans="2:46" ht="12" customHeight="1" x14ac:dyDescent="0.25">
      <c r="B56" s="119" t="s">
        <v>44</v>
      </c>
      <c r="C56" s="120" t="s">
        <v>23</v>
      </c>
      <c r="D56" s="120" t="s">
        <v>45</v>
      </c>
      <c r="E56" s="120" t="s">
        <v>116</v>
      </c>
      <c r="F56" s="120" t="s">
        <v>25</v>
      </c>
      <c r="G56" s="120" t="s">
        <v>25</v>
      </c>
      <c r="H56" s="120" t="s">
        <v>102</v>
      </c>
      <c r="I56" s="120" t="s">
        <v>25</v>
      </c>
      <c r="J56" s="120">
        <v>16.57</v>
      </c>
      <c r="K56" s="120">
        <v>42.13</v>
      </c>
      <c r="L56" s="120">
        <v>0.31488876803645199</v>
      </c>
      <c r="M56" s="120">
        <v>0</v>
      </c>
      <c r="N56" s="120">
        <v>0</v>
      </c>
      <c r="O56" s="120">
        <v>0</v>
      </c>
      <c r="P56" s="120">
        <v>0</v>
      </c>
      <c r="Q56" s="120">
        <v>8.6276851618181905</v>
      </c>
      <c r="R56" s="120">
        <v>3.5401819481723602</v>
      </c>
      <c r="S56" s="120">
        <v>0</v>
      </c>
      <c r="T56" s="120">
        <v>1.4989937474200501</v>
      </c>
      <c r="U56" s="120">
        <v>0.464990251907272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  <c r="AD56" s="120">
        <v>0</v>
      </c>
      <c r="AE56" s="120">
        <v>1.5494302934356701</v>
      </c>
      <c r="AF56" s="120">
        <v>4.6965722754647103E-2</v>
      </c>
      <c r="AG56" s="120">
        <v>0.52471673771668303</v>
      </c>
      <c r="AH56" s="120">
        <v>0</v>
      </c>
      <c r="AI56" s="120">
        <v>0.42683512379482902</v>
      </c>
      <c r="AJ56" s="120">
        <v>0</v>
      </c>
      <c r="AK56" s="120">
        <v>0</v>
      </c>
      <c r="AL56" s="120">
        <v>30.662562226679899</v>
      </c>
      <c r="AM56" s="120">
        <v>0</v>
      </c>
      <c r="AN56" s="120">
        <v>10.763400785749001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1">
        <v>0.28171935986290098</v>
      </c>
    </row>
    <row r="57" spans="2:46" ht="12" customHeight="1" x14ac:dyDescent="0.25">
      <c r="B57" s="119" t="s">
        <v>44</v>
      </c>
      <c r="C57" s="120" t="s">
        <v>23</v>
      </c>
      <c r="D57" s="120" t="s">
        <v>45</v>
      </c>
      <c r="E57" s="120" t="s">
        <v>25</v>
      </c>
      <c r="F57" s="120" t="s">
        <v>25</v>
      </c>
      <c r="G57" s="120" t="s">
        <v>25</v>
      </c>
      <c r="H57" s="120" t="s">
        <v>102</v>
      </c>
      <c r="I57" s="120" t="s">
        <v>25</v>
      </c>
      <c r="J57" s="120">
        <v>16.57</v>
      </c>
      <c r="K57" s="120">
        <v>42.13</v>
      </c>
      <c r="L57" s="120">
        <v>0.31488876803645199</v>
      </c>
      <c r="M57" s="120">
        <v>0</v>
      </c>
      <c r="N57" s="120">
        <v>0</v>
      </c>
      <c r="O57" s="120">
        <v>0</v>
      </c>
      <c r="P57" s="120">
        <v>0</v>
      </c>
      <c r="Q57" s="120">
        <v>8.6276851618181905</v>
      </c>
      <c r="R57" s="120">
        <v>3.5401819481723602</v>
      </c>
      <c r="S57" s="120">
        <v>0</v>
      </c>
      <c r="T57" s="120">
        <v>1.4989937474200501</v>
      </c>
      <c r="U57" s="120">
        <v>0.464990251907272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  <c r="AD57" s="120">
        <v>0</v>
      </c>
      <c r="AE57" s="120">
        <v>1.5494302934356701</v>
      </c>
      <c r="AF57" s="120">
        <v>4.6965722754647103E-2</v>
      </c>
      <c r="AG57" s="120">
        <v>0.52471673771668303</v>
      </c>
      <c r="AH57" s="120">
        <v>0</v>
      </c>
      <c r="AI57" s="120">
        <v>0.42683512379482902</v>
      </c>
      <c r="AJ57" s="120">
        <v>0</v>
      </c>
      <c r="AK57" s="120">
        <v>0</v>
      </c>
      <c r="AL57" s="120">
        <v>30.662562226679899</v>
      </c>
      <c r="AM57" s="120">
        <v>0</v>
      </c>
      <c r="AN57" s="120">
        <v>10.763400785749001</v>
      </c>
      <c r="AO57" s="120">
        <v>0</v>
      </c>
      <c r="AP57" s="120">
        <v>0</v>
      </c>
      <c r="AQ57" s="120">
        <v>0</v>
      </c>
      <c r="AR57" s="120">
        <v>0</v>
      </c>
      <c r="AS57" s="120">
        <v>0</v>
      </c>
      <c r="AT57" s="121">
        <v>0.28171935986290098</v>
      </c>
    </row>
    <row r="58" spans="2:46" ht="12" customHeight="1" x14ac:dyDescent="0.25">
      <c r="B58" s="119" t="s">
        <v>44</v>
      </c>
      <c r="C58" s="120" t="s">
        <v>23</v>
      </c>
      <c r="D58" s="120" t="s">
        <v>45</v>
      </c>
      <c r="E58" s="120" t="s">
        <v>117</v>
      </c>
      <c r="F58" s="120" t="s">
        <v>25</v>
      </c>
      <c r="G58" s="120" t="s">
        <v>25</v>
      </c>
      <c r="H58" s="120" t="s">
        <v>102</v>
      </c>
      <c r="I58" s="120" t="s">
        <v>25</v>
      </c>
      <c r="J58" s="120">
        <v>16.22</v>
      </c>
      <c r="K58" s="120">
        <v>41.24</v>
      </c>
      <c r="L58" s="120">
        <v>0.3081890070144</v>
      </c>
      <c r="M58" s="120">
        <v>0</v>
      </c>
      <c r="N58" s="120">
        <v>0</v>
      </c>
      <c r="O58" s="120">
        <v>0</v>
      </c>
      <c r="P58" s="120">
        <v>0</v>
      </c>
      <c r="Q58" s="120">
        <v>8.4441173924178106</v>
      </c>
      <c r="R58" s="120">
        <v>3.4648589279984798</v>
      </c>
      <c r="S58" s="120">
        <v>0</v>
      </c>
      <c r="T58" s="120">
        <v>1.46710026343239</v>
      </c>
      <c r="U58" s="120">
        <v>0.45509684229222402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1.5164636914476799</v>
      </c>
      <c r="AF58" s="120">
        <v>4.5966452057739797E-2</v>
      </c>
      <c r="AG58" s="120">
        <v>0.513552551807817</v>
      </c>
      <c r="AH58" s="120">
        <v>0</v>
      </c>
      <c r="AI58" s="120">
        <v>0.41775352541621602</v>
      </c>
      <c r="AJ58" s="120">
        <v>0</v>
      </c>
      <c r="AK58" s="120">
        <v>0</v>
      </c>
      <c r="AL58" s="120">
        <v>30.010167285686801</v>
      </c>
      <c r="AM58" s="120">
        <v>0</v>
      </c>
      <c r="AN58" s="120">
        <v>10.5343922583926</v>
      </c>
      <c r="AO58" s="120">
        <v>0</v>
      </c>
      <c r="AP58" s="120">
        <v>0</v>
      </c>
      <c r="AQ58" s="120">
        <v>0</v>
      </c>
      <c r="AR58" s="120">
        <v>0</v>
      </c>
      <c r="AS58" s="120">
        <v>0</v>
      </c>
      <c r="AT58" s="121">
        <v>0.27572533092964802</v>
      </c>
    </row>
    <row r="59" spans="2:46" ht="12" customHeight="1" x14ac:dyDescent="0.25">
      <c r="B59" s="119" t="s">
        <v>44</v>
      </c>
      <c r="C59" s="120" t="s">
        <v>115</v>
      </c>
      <c r="D59" s="120" t="s">
        <v>45</v>
      </c>
      <c r="E59" s="120" t="s">
        <v>116</v>
      </c>
      <c r="F59" s="120" t="s">
        <v>25</v>
      </c>
      <c r="G59" s="120" t="s">
        <v>25</v>
      </c>
      <c r="H59" s="120" t="s">
        <v>102</v>
      </c>
      <c r="I59" s="120" t="s">
        <v>25</v>
      </c>
      <c r="J59" s="120">
        <v>16.57</v>
      </c>
      <c r="K59" s="120">
        <v>42.13</v>
      </c>
      <c r="L59" s="120">
        <v>0.31488876803645199</v>
      </c>
      <c r="M59" s="120">
        <v>0</v>
      </c>
      <c r="N59" s="120">
        <v>0</v>
      </c>
      <c r="O59" s="120">
        <v>0</v>
      </c>
      <c r="P59" s="120">
        <v>0</v>
      </c>
      <c r="Q59" s="120">
        <v>8.6276851618181905</v>
      </c>
      <c r="R59" s="120">
        <v>3.5401819481723602</v>
      </c>
      <c r="S59" s="120">
        <v>0</v>
      </c>
      <c r="T59" s="120">
        <v>1.4989937474200501</v>
      </c>
      <c r="U59" s="120">
        <v>0.464990251907272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120">
        <v>0</v>
      </c>
      <c r="AE59" s="120">
        <v>1.5494302934356701</v>
      </c>
      <c r="AF59" s="120">
        <v>4.6965722754647103E-2</v>
      </c>
      <c r="AG59" s="120">
        <v>0.52471673771668303</v>
      </c>
      <c r="AH59" s="120">
        <v>0</v>
      </c>
      <c r="AI59" s="120">
        <v>0.42683512379482902</v>
      </c>
      <c r="AJ59" s="120">
        <v>0</v>
      </c>
      <c r="AK59" s="120">
        <v>0</v>
      </c>
      <c r="AL59" s="120">
        <v>30.662562226679899</v>
      </c>
      <c r="AM59" s="120">
        <v>0</v>
      </c>
      <c r="AN59" s="120">
        <v>10.763400785749001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1">
        <v>0.28171935986290098</v>
      </c>
    </row>
    <row r="60" spans="2:46" ht="12" customHeight="1" x14ac:dyDescent="0.25">
      <c r="B60" s="119" t="s">
        <v>44</v>
      </c>
      <c r="C60" s="120" t="s">
        <v>115</v>
      </c>
      <c r="D60" s="120" t="s">
        <v>45</v>
      </c>
      <c r="E60" s="120" t="s">
        <v>25</v>
      </c>
      <c r="F60" s="120" t="s">
        <v>25</v>
      </c>
      <c r="G60" s="120" t="s">
        <v>25</v>
      </c>
      <c r="H60" s="120" t="s">
        <v>102</v>
      </c>
      <c r="I60" s="120" t="s">
        <v>25</v>
      </c>
      <c r="J60" s="120">
        <v>16.57</v>
      </c>
      <c r="K60" s="120">
        <v>42.13</v>
      </c>
      <c r="L60" s="120">
        <v>0.31488876803645199</v>
      </c>
      <c r="M60" s="120">
        <v>0</v>
      </c>
      <c r="N60" s="120">
        <v>0</v>
      </c>
      <c r="O60" s="120">
        <v>0</v>
      </c>
      <c r="P60" s="120">
        <v>0</v>
      </c>
      <c r="Q60" s="120">
        <v>8.6276851618181905</v>
      </c>
      <c r="R60" s="120">
        <v>3.5401819481723602</v>
      </c>
      <c r="S60" s="120">
        <v>0</v>
      </c>
      <c r="T60" s="120">
        <v>1.4989937474200501</v>
      </c>
      <c r="U60" s="120">
        <v>0.464990251907272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120">
        <v>0</v>
      </c>
      <c r="AE60" s="120">
        <v>1.5494302934356701</v>
      </c>
      <c r="AF60" s="120">
        <v>4.6965722754647103E-2</v>
      </c>
      <c r="AG60" s="120">
        <v>0.52471673771668303</v>
      </c>
      <c r="AH60" s="120">
        <v>0</v>
      </c>
      <c r="AI60" s="120">
        <v>0.42683512379482902</v>
      </c>
      <c r="AJ60" s="120">
        <v>0</v>
      </c>
      <c r="AK60" s="120">
        <v>0</v>
      </c>
      <c r="AL60" s="120">
        <v>30.662562226679899</v>
      </c>
      <c r="AM60" s="120">
        <v>0</v>
      </c>
      <c r="AN60" s="120">
        <v>10.763400785749001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1">
        <v>0.28171935986290098</v>
      </c>
    </row>
    <row r="61" spans="2:46" ht="12" customHeight="1" x14ac:dyDescent="0.25">
      <c r="B61" s="119" t="s">
        <v>44</v>
      </c>
      <c r="C61" s="120" t="s">
        <v>115</v>
      </c>
      <c r="D61" s="120" t="s">
        <v>45</v>
      </c>
      <c r="E61" s="120" t="s">
        <v>117</v>
      </c>
      <c r="F61" s="120" t="s">
        <v>25</v>
      </c>
      <c r="G61" s="120" t="s">
        <v>25</v>
      </c>
      <c r="H61" s="120" t="s">
        <v>102</v>
      </c>
      <c r="I61" s="120" t="s">
        <v>25</v>
      </c>
      <c r="J61" s="120">
        <v>16.22</v>
      </c>
      <c r="K61" s="120">
        <v>41.24</v>
      </c>
      <c r="L61" s="120">
        <v>0.3081890070144</v>
      </c>
      <c r="M61" s="120">
        <v>0</v>
      </c>
      <c r="N61" s="120">
        <v>0</v>
      </c>
      <c r="O61" s="120">
        <v>0</v>
      </c>
      <c r="P61" s="120">
        <v>0</v>
      </c>
      <c r="Q61" s="120">
        <v>8.4441173924178106</v>
      </c>
      <c r="R61" s="120">
        <v>3.4648589279984798</v>
      </c>
      <c r="S61" s="120">
        <v>0</v>
      </c>
      <c r="T61" s="120">
        <v>1.46710026343239</v>
      </c>
      <c r="U61" s="120">
        <v>0.45509684229222402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120">
        <v>0</v>
      </c>
      <c r="AE61" s="120">
        <v>1.5164636914476799</v>
      </c>
      <c r="AF61" s="120">
        <v>4.5966452057739797E-2</v>
      </c>
      <c r="AG61" s="120">
        <v>0.513552551807817</v>
      </c>
      <c r="AH61" s="120">
        <v>0</v>
      </c>
      <c r="AI61" s="120">
        <v>0.41775352541621602</v>
      </c>
      <c r="AJ61" s="120">
        <v>0</v>
      </c>
      <c r="AK61" s="120">
        <v>0</v>
      </c>
      <c r="AL61" s="120">
        <v>30.010167285686801</v>
      </c>
      <c r="AM61" s="120">
        <v>0</v>
      </c>
      <c r="AN61" s="120">
        <v>10.5343922583926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1">
        <v>0.27572533092964802</v>
      </c>
    </row>
    <row r="62" spans="2:46" ht="12" customHeight="1" x14ac:dyDescent="0.25">
      <c r="B62" s="119" t="s">
        <v>37</v>
      </c>
      <c r="C62" s="120" t="s">
        <v>33</v>
      </c>
      <c r="D62" s="120" t="s">
        <v>25</v>
      </c>
      <c r="E62" s="120" t="s">
        <v>25</v>
      </c>
      <c r="F62" s="120" t="s">
        <v>25</v>
      </c>
      <c r="G62" s="120" t="s">
        <v>34</v>
      </c>
      <c r="H62" s="120" t="s">
        <v>102</v>
      </c>
      <c r="I62" s="120" t="s">
        <v>25</v>
      </c>
      <c r="J62" s="120">
        <v>22.64</v>
      </c>
      <c r="K62" s="120">
        <v>51.95</v>
      </c>
      <c r="L62" s="120">
        <v>0.33498805110260799</v>
      </c>
      <c r="M62" s="120">
        <v>0</v>
      </c>
      <c r="N62" s="120">
        <v>0</v>
      </c>
      <c r="O62" s="120">
        <v>0</v>
      </c>
      <c r="P62" s="120">
        <v>0</v>
      </c>
      <c r="Q62" s="120">
        <v>9.1783884700193497</v>
      </c>
      <c r="R62" s="120">
        <v>3.766151008694</v>
      </c>
      <c r="S62" s="120">
        <v>0</v>
      </c>
      <c r="T62" s="120">
        <v>5.4218814574634697</v>
      </c>
      <c r="U62" s="120">
        <v>1.6818846168866699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120">
        <v>0</v>
      </c>
      <c r="AE62" s="120">
        <v>1.6483300993996499</v>
      </c>
      <c r="AF62" s="120">
        <v>4.9963534845369299E-2</v>
      </c>
      <c r="AG62" s="120">
        <v>0.55820929544327902</v>
      </c>
      <c r="AH62" s="120">
        <v>0</v>
      </c>
      <c r="AI62" s="120">
        <v>0.45407991893067001</v>
      </c>
      <c r="AJ62" s="120">
        <v>0</v>
      </c>
      <c r="AK62" s="120">
        <v>0</v>
      </c>
      <c r="AL62" s="120">
        <v>32.619747049659502</v>
      </c>
      <c r="AM62" s="120">
        <v>0</v>
      </c>
      <c r="AN62" s="120">
        <v>18.579937125138699</v>
      </c>
      <c r="AO62" s="120">
        <v>0</v>
      </c>
      <c r="AP62" s="120">
        <v>0</v>
      </c>
      <c r="AQ62" s="120">
        <v>0</v>
      </c>
      <c r="AR62" s="120">
        <v>0</v>
      </c>
      <c r="AS62" s="120">
        <v>0</v>
      </c>
      <c r="AT62" s="121">
        <v>0.29970144666266102</v>
      </c>
    </row>
    <row r="63" spans="2:46" ht="12" customHeight="1" x14ac:dyDescent="0.25">
      <c r="B63" s="119" t="s">
        <v>37</v>
      </c>
      <c r="C63" s="120" t="s">
        <v>33</v>
      </c>
      <c r="D63" s="120" t="s">
        <v>25</v>
      </c>
      <c r="E63" s="120" t="s">
        <v>25</v>
      </c>
      <c r="F63" s="120" t="s">
        <v>25</v>
      </c>
      <c r="G63" s="120" t="s">
        <v>36</v>
      </c>
      <c r="H63" s="120" t="s">
        <v>102</v>
      </c>
      <c r="I63" s="120" t="s">
        <v>25</v>
      </c>
      <c r="J63" s="120">
        <v>19.8</v>
      </c>
      <c r="K63" s="120">
        <v>44.18</v>
      </c>
      <c r="L63" s="120">
        <v>0.33498805110260799</v>
      </c>
      <c r="M63" s="120">
        <v>0</v>
      </c>
      <c r="N63" s="120">
        <v>0</v>
      </c>
      <c r="O63" s="120">
        <v>0</v>
      </c>
      <c r="P63" s="120">
        <v>0</v>
      </c>
      <c r="Q63" s="120">
        <v>9.1783884700193497</v>
      </c>
      <c r="R63" s="120">
        <v>3.766151008694</v>
      </c>
      <c r="S63" s="120">
        <v>0</v>
      </c>
      <c r="T63" s="120">
        <v>3.25312887447808</v>
      </c>
      <c r="U63" s="120">
        <v>1.00913326129623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120">
        <v>0</v>
      </c>
      <c r="AE63" s="120">
        <v>1.6483300993996499</v>
      </c>
      <c r="AF63" s="120">
        <v>4.9963534845369299E-2</v>
      </c>
      <c r="AG63" s="120">
        <v>0.55820929544327902</v>
      </c>
      <c r="AH63" s="120">
        <v>0</v>
      </c>
      <c r="AI63" s="120">
        <v>0.45407991893067001</v>
      </c>
      <c r="AJ63" s="120">
        <v>0</v>
      </c>
      <c r="AK63" s="120">
        <v>0</v>
      </c>
      <c r="AL63" s="120">
        <v>32.619747049659502</v>
      </c>
      <c r="AM63" s="120">
        <v>0</v>
      </c>
      <c r="AN63" s="120">
        <v>10.8022890262435</v>
      </c>
      <c r="AO63" s="120">
        <v>0</v>
      </c>
      <c r="AP63" s="120">
        <v>0</v>
      </c>
      <c r="AQ63" s="120">
        <v>0</v>
      </c>
      <c r="AR63" s="120">
        <v>0</v>
      </c>
      <c r="AS63" s="120">
        <v>0</v>
      </c>
      <c r="AT63" s="121">
        <v>0.29970144666266102</v>
      </c>
    </row>
    <row r="64" spans="2:46" ht="12" customHeight="1" x14ac:dyDescent="0.25">
      <c r="B64" s="119" t="s">
        <v>37</v>
      </c>
      <c r="C64" s="120" t="s">
        <v>33</v>
      </c>
      <c r="D64" s="120" t="s">
        <v>25</v>
      </c>
      <c r="E64" s="120" t="s">
        <v>25</v>
      </c>
      <c r="F64" s="120" t="s">
        <v>25</v>
      </c>
      <c r="G64" s="120" t="s">
        <v>35</v>
      </c>
      <c r="H64" s="120" t="s">
        <v>102</v>
      </c>
      <c r="I64" s="120" t="s">
        <v>25</v>
      </c>
      <c r="J64" s="120">
        <v>16.96</v>
      </c>
      <c r="K64" s="120">
        <v>44.18</v>
      </c>
      <c r="L64" s="120">
        <v>0.33498805110260799</v>
      </c>
      <c r="M64" s="120">
        <v>0</v>
      </c>
      <c r="N64" s="120">
        <v>0</v>
      </c>
      <c r="O64" s="120">
        <v>0</v>
      </c>
      <c r="P64" s="120">
        <v>0</v>
      </c>
      <c r="Q64" s="120">
        <v>9.1783884700193497</v>
      </c>
      <c r="R64" s="120">
        <v>3.766151008694</v>
      </c>
      <c r="S64" s="120">
        <v>0</v>
      </c>
      <c r="T64" s="120">
        <v>1.08437629149269</v>
      </c>
      <c r="U64" s="120">
        <v>0.33637567779522098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120">
        <v>0</v>
      </c>
      <c r="AE64" s="120">
        <v>1.6483300993996499</v>
      </c>
      <c r="AF64" s="120">
        <v>4.9963534845369299E-2</v>
      </c>
      <c r="AG64" s="120">
        <v>0.55820929544327902</v>
      </c>
      <c r="AH64" s="120">
        <v>0</v>
      </c>
      <c r="AI64" s="120">
        <v>0.45407991893067001</v>
      </c>
      <c r="AJ64" s="120">
        <v>0</v>
      </c>
      <c r="AK64" s="120">
        <v>0</v>
      </c>
      <c r="AL64" s="120">
        <v>32.619747049659502</v>
      </c>
      <c r="AM64" s="120">
        <v>0</v>
      </c>
      <c r="AN64" s="120">
        <v>10.8022890262435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1">
        <v>0.29970144666266102</v>
      </c>
    </row>
    <row r="65" spans="2:46" ht="12" customHeight="1" x14ac:dyDescent="0.25">
      <c r="B65" s="119" t="s">
        <v>37</v>
      </c>
      <c r="C65" s="120" t="s">
        <v>23</v>
      </c>
      <c r="D65" s="120" t="s">
        <v>25</v>
      </c>
      <c r="E65" s="120" t="s">
        <v>25</v>
      </c>
      <c r="F65" s="120" t="s">
        <v>25</v>
      </c>
      <c r="G65" s="120" t="s">
        <v>25</v>
      </c>
      <c r="H65" s="120" t="s">
        <v>102</v>
      </c>
      <c r="I65" s="120" t="s">
        <v>25</v>
      </c>
      <c r="J65" s="120">
        <v>17.63</v>
      </c>
      <c r="K65" s="120">
        <v>44.82</v>
      </c>
      <c r="L65" s="120">
        <v>0.33498805110260799</v>
      </c>
      <c r="M65" s="120">
        <v>0</v>
      </c>
      <c r="N65" s="120">
        <v>0</v>
      </c>
      <c r="O65" s="120">
        <v>0</v>
      </c>
      <c r="P65" s="120">
        <v>0</v>
      </c>
      <c r="Q65" s="120">
        <v>9.1783884700193497</v>
      </c>
      <c r="R65" s="120">
        <v>3.766151008694</v>
      </c>
      <c r="S65" s="120">
        <v>0</v>
      </c>
      <c r="T65" s="120">
        <v>1.59467419938304</v>
      </c>
      <c r="U65" s="120">
        <v>0.49467048075241699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120">
        <v>0</v>
      </c>
      <c r="AE65" s="120">
        <v>1.6483300993996499</v>
      </c>
      <c r="AF65" s="120">
        <v>4.9963534845369299E-2</v>
      </c>
      <c r="AG65" s="120">
        <v>0.55820929544327902</v>
      </c>
      <c r="AH65" s="120">
        <v>0</v>
      </c>
      <c r="AI65" s="120">
        <v>0.45407991893067001</v>
      </c>
      <c r="AJ65" s="120">
        <v>0</v>
      </c>
      <c r="AK65" s="120">
        <v>0</v>
      </c>
      <c r="AL65" s="120">
        <v>32.619747049659502</v>
      </c>
      <c r="AM65" s="120">
        <v>0</v>
      </c>
      <c r="AN65" s="120">
        <v>11.4504263678181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1">
        <v>0.29970144666266102</v>
      </c>
    </row>
    <row r="66" spans="2:46" ht="12" customHeight="1" x14ac:dyDescent="0.25">
      <c r="B66" s="119" t="s">
        <v>37</v>
      </c>
      <c r="C66" s="120" t="s">
        <v>115</v>
      </c>
      <c r="D66" s="120" t="s">
        <v>25</v>
      </c>
      <c r="E66" s="120" t="s">
        <v>25</v>
      </c>
      <c r="F66" s="120" t="s">
        <v>25</v>
      </c>
      <c r="G66" s="120" t="s">
        <v>25</v>
      </c>
      <c r="H66" s="120" t="s">
        <v>102</v>
      </c>
      <c r="I66" s="120" t="s">
        <v>25</v>
      </c>
      <c r="J66" s="120">
        <v>17.63</v>
      </c>
      <c r="K66" s="120">
        <v>44.82</v>
      </c>
      <c r="L66" s="120">
        <v>0.33498805110260799</v>
      </c>
      <c r="M66" s="120">
        <v>0</v>
      </c>
      <c r="N66" s="120">
        <v>0</v>
      </c>
      <c r="O66" s="120">
        <v>0</v>
      </c>
      <c r="P66" s="120">
        <v>0</v>
      </c>
      <c r="Q66" s="120">
        <v>9.1783884700193497</v>
      </c>
      <c r="R66" s="120">
        <v>3.766151008694</v>
      </c>
      <c r="S66" s="120">
        <v>0</v>
      </c>
      <c r="T66" s="120">
        <v>1.59467419938304</v>
      </c>
      <c r="U66" s="120">
        <v>0.49467048075241699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120">
        <v>0</v>
      </c>
      <c r="AE66" s="120">
        <v>1.6483300993996499</v>
      </c>
      <c r="AF66" s="120">
        <v>4.9963534845369299E-2</v>
      </c>
      <c r="AG66" s="120">
        <v>0.55820929544327902</v>
      </c>
      <c r="AH66" s="120">
        <v>0</v>
      </c>
      <c r="AI66" s="120">
        <v>0.45407991893067001</v>
      </c>
      <c r="AJ66" s="120">
        <v>0</v>
      </c>
      <c r="AK66" s="120">
        <v>0</v>
      </c>
      <c r="AL66" s="120">
        <v>32.619747049659502</v>
      </c>
      <c r="AM66" s="120">
        <v>0</v>
      </c>
      <c r="AN66" s="120">
        <v>11.4504263678181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1">
        <v>0.29970144666266102</v>
      </c>
    </row>
    <row r="67" spans="2:46" ht="12" customHeight="1" x14ac:dyDescent="0.25">
      <c r="B67" s="119" t="s">
        <v>47</v>
      </c>
      <c r="C67" s="120" t="s">
        <v>23</v>
      </c>
      <c r="D67" s="120" t="s">
        <v>48</v>
      </c>
      <c r="E67" s="120" t="s">
        <v>49</v>
      </c>
      <c r="F67" s="120" t="s">
        <v>25</v>
      </c>
      <c r="G67" s="120" t="s">
        <v>25</v>
      </c>
      <c r="H67" s="120" t="s">
        <v>102</v>
      </c>
      <c r="I67" s="120" t="s">
        <v>25</v>
      </c>
      <c r="J67" s="120">
        <v>9.69</v>
      </c>
      <c r="K67" s="120">
        <v>24.65</v>
      </c>
      <c r="L67" s="120">
        <v>0.18424342810643499</v>
      </c>
      <c r="M67" s="120">
        <v>0</v>
      </c>
      <c r="N67" s="120">
        <v>0</v>
      </c>
      <c r="O67" s="120">
        <v>0</v>
      </c>
      <c r="P67" s="120">
        <v>0</v>
      </c>
      <c r="Q67" s="120">
        <v>5.0481136585106396</v>
      </c>
      <c r="R67" s="120">
        <v>2.0713830547817</v>
      </c>
      <c r="S67" s="120">
        <v>0</v>
      </c>
      <c r="T67" s="120">
        <v>0.87707080966066997</v>
      </c>
      <c r="U67" s="120">
        <v>0.27206876441382999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  <c r="AD67" s="120">
        <v>0</v>
      </c>
      <c r="AE67" s="120">
        <v>0.90658155466980905</v>
      </c>
      <c r="AF67" s="120">
        <v>2.7479944164953099E-2</v>
      </c>
      <c r="AG67" s="120">
        <v>0.30701511249380398</v>
      </c>
      <c r="AH67" s="120">
        <v>0</v>
      </c>
      <c r="AI67" s="120">
        <v>0.249743955411868</v>
      </c>
      <c r="AJ67" s="120">
        <v>0</v>
      </c>
      <c r="AK67" s="120">
        <v>0</v>
      </c>
      <c r="AL67" s="120">
        <v>17.940860877312701</v>
      </c>
      <c r="AM67" s="120">
        <v>0</v>
      </c>
      <c r="AN67" s="120">
        <v>6.2977345022999396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1">
        <v>0.16483579566446399</v>
      </c>
    </row>
    <row r="68" spans="2:46" ht="12" customHeight="1" x14ac:dyDescent="0.25">
      <c r="B68" s="122" t="s">
        <v>47</v>
      </c>
      <c r="C68" s="123" t="s">
        <v>23</v>
      </c>
      <c r="D68" s="123" t="s">
        <v>48</v>
      </c>
      <c r="E68" s="123" t="s">
        <v>118</v>
      </c>
      <c r="F68" s="123" t="s">
        <v>25</v>
      </c>
      <c r="G68" s="123" t="s">
        <v>25</v>
      </c>
      <c r="H68" s="123" t="s">
        <v>102</v>
      </c>
      <c r="I68" s="123" t="s">
        <v>25</v>
      </c>
      <c r="J68" s="123">
        <v>10.58</v>
      </c>
      <c r="K68" s="123">
        <v>26.89</v>
      </c>
      <c r="L68" s="123">
        <v>0.20099283066156501</v>
      </c>
      <c r="M68" s="123">
        <v>0</v>
      </c>
      <c r="N68" s="123">
        <v>0</v>
      </c>
      <c r="O68" s="123">
        <v>0</v>
      </c>
      <c r="P68" s="123">
        <v>0</v>
      </c>
      <c r="Q68" s="123">
        <v>5.5070330820116098</v>
      </c>
      <c r="R68" s="123">
        <v>2.2596906052164001</v>
      </c>
      <c r="S68" s="123">
        <v>0</v>
      </c>
      <c r="T68" s="123">
        <v>0.95680451962982205</v>
      </c>
      <c r="U68" s="123">
        <v>0.29680228845145001</v>
      </c>
      <c r="V68" s="123">
        <v>0</v>
      </c>
      <c r="W68" s="123">
        <v>0</v>
      </c>
      <c r="X68" s="123">
        <v>0</v>
      </c>
      <c r="Y68" s="123">
        <v>0</v>
      </c>
      <c r="Z68" s="123">
        <v>0</v>
      </c>
      <c r="AA68" s="123">
        <v>0</v>
      </c>
      <c r="AB68" s="123">
        <v>0</v>
      </c>
      <c r="AC68" s="123">
        <v>0</v>
      </c>
      <c r="AD68" s="123">
        <v>0</v>
      </c>
      <c r="AE68" s="123">
        <v>0.98899805963979104</v>
      </c>
      <c r="AF68" s="123">
        <v>2.99781209072216E-2</v>
      </c>
      <c r="AG68" s="123">
        <v>0.334925577265968</v>
      </c>
      <c r="AH68" s="123">
        <v>0</v>
      </c>
      <c r="AI68" s="123">
        <v>0.272447951358402</v>
      </c>
      <c r="AJ68" s="123">
        <v>0</v>
      </c>
      <c r="AK68" s="123">
        <v>0</v>
      </c>
      <c r="AL68" s="123">
        <v>19.571848229795702</v>
      </c>
      <c r="AM68" s="123">
        <v>0</v>
      </c>
      <c r="AN68" s="123">
        <v>6.87025582069084</v>
      </c>
      <c r="AO68" s="123">
        <v>0</v>
      </c>
      <c r="AP68" s="123">
        <v>0</v>
      </c>
      <c r="AQ68" s="123">
        <v>0</v>
      </c>
      <c r="AR68" s="123">
        <v>0</v>
      </c>
      <c r="AS68" s="123">
        <v>0</v>
      </c>
      <c r="AT68" s="124">
        <v>0.179820867997597</v>
      </c>
    </row>
  </sheetData>
  <mergeCells count="7">
    <mergeCell ref="L1:AT1"/>
    <mergeCell ref="L2:S2"/>
    <mergeCell ref="T2:Z2"/>
    <mergeCell ref="AB2:AD2"/>
    <mergeCell ref="AE2:AH2"/>
    <mergeCell ref="AI2:AM2"/>
    <mergeCell ref="AO2:AS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2022-07-28T21:50:12Z</dcterms:created>
  <dcterms:modified xsi:type="dcterms:W3CDTF">2022-08-19T20:32:08Z</dcterms:modified>
</cp:coreProperties>
</file>